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"/>
    </mc:Choice>
  </mc:AlternateContent>
  <xr:revisionPtr revIDLastSave="0" documentId="13_ncr:1_{CF73D27D-3167-4E70-B3B5-972DF80F5558}" xr6:coauthVersionLast="47" xr6:coauthVersionMax="47" xr10:uidLastSave="{00000000-0000-0000-0000-000000000000}"/>
  <bookViews>
    <workbookView xWindow="-120" yWindow="-120" windowWidth="29040" windowHeight="15720" tabRatio="882" activeTab="1" xr2:uid="{00000000-000D-0000-FFFF-FFFF00000000}"/>
  </bookViews>
  <sheets>
    <sheet name="PDF" sheetId="7" r:id="rId1"/>
    <sheet name="Shayak Income " sheetId="1" r:id="rId2"/>
    <sheet name="Sheet1" sheetId="8" r:id="rId3"/>
    <sheet name="Sheet2" sheetId="10" r:id="rId4"/>
    <sheet name="MPG Payment " sheetId="3" r:id="rId5"/>
    <sheet name="Monthly Deduction" sheetId="5" r:id="rId6"/>
    <sheet name="Hold DP Pending" sheetId="9" r:id="rId7"/>
  </sheets>
  <definedNames>
    <definedName name="_xlnm._FilterDatabase" localSheetId="6" hidden="1">'Hold DP Pending'!$C$2:$F$103</definedName>
    <definedName name="_xlnm._FilterDatabase" localSheetId="5" hidden="1">'Monthly Deduction'!$H$2:$J$790</definedName>
    <definedName name="_xlnm._FilterDatabase" localSheetId="4" hidden="1">'MPG Payment '!$A$2:$AM$4858</definedName>
    <definedName name="_xlnm._FilterDatabase" localSheetId="1" hidden="1">'Shayak Income '!$A$3:$AV$1036</definedName>
    <definedName name="_xlnm.Print_Area" localSheetId="1">'Shayak Income '!#REF!</definedName>
    <definedName name="_xlnm.Print_Titles" localSheetId="0">PDF!$1:$4</definedName>
  </definedNames>
  <calcPr calcId="191029"/>
  <pivotCaches>
    <pivotCache cacheId="12" r:id="rId8"/>
    <pivotCache cacheId="13" r:id="rId9"/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04" i="1" l="1"/>
  <c r="AA311" i="1"/>
  <c r="AA357" i="1"/>
  <c r="AA380" i="1"/>
  <c r="AA460" i="1"/>
  <c r="AA518" i="1"/>
  <c r="Y290" i="1"/>
  <c r="Y320" i="1"/>
  <c r="Y321" i="1"/>
  <c r="Y343" i="1"/>
  <c r="Y356" i="1"/>
  <c r="Y361" i="1"/>
  <c r="Y376" i="1"/>
  <c r="Y381" i="1"/>
  <c r="Y453" i="1"/>
  <c r="Y460" i="1"/>
  <c r="Y461" i="1"/>
  <c r="Y518" i="1"/>
  <c r="U813" i="1" l="1"/>
  <c r="U577" i="1"/>
  <c r="O1042" i="1"/>
  <c r="U8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7" i="1"/>
  <c r="U6" i="1"/>
  <c r="U5" i="1"/>
  <c r="U4" i="1"/>
  <c r="AD4" i="3" l="1"/>
  <c r="AC4" i="3" s="1"/>
  <c r="AD5" i="3"/>
  <c r="AC5" i="3" s="1"/>
  <c r="AD6" i="3"/>
  <c r="AC6" i="3" s="1"/>
  <c r="AD7" i="3"/>
  <c r="AC7" i="3" s="1"/>
  <c r="AD8" i="3"/>
  <c r="AC8" i="3" s="1"/>
  <c r="AD9" i="3"/>
  <c r="AC9" i="3" s="1"/>
  <c r="AD10" i="3"/>
  <c r="AC10" i="3" s="1"/>
  <c r="AD11" i="3"/>
  <c r="AC11" i="3" s="1"/>
  <c r="AD12" i="3"/>
  <c r="AC12" i="3" s="1"/>
  <c r="AD13" i="3"/>
  <c r="AC13" i="3" s="1"/>
  <c r="AD14" i="3"/>
  <c r="AC14" i="3" s="1"/>
  <c r="AD15" i="3"/>
  <c r="AC15" i="3" s="1"/>
  <c r="AD16" i="3"/>
  <c r="AC16" i="3" s="1"/>
  <c r="AD17" i="3"/>
  <c r="AC17" i="3" s="1"/>
  <c r="AD18" i="3"/>
  <c r="AC18" i="3" s="1"/>
  <c r="AD19" i="3"/>
  <c r="AC19" i="3" s="1"/>
  <c r="AD20" i="3"/>
  <c r="AC20" i="3" s="1"/>
  <c r="AD21" i="3"/>
  <c r="AC21" i="3" s="1"/>
  <c r="AD22" i="3"/>
  <c r="AC22" i="3" s="1"/>
  <c r="AD23" i="3"/>
  <c r="AC23" i="3" s="1"/>
  <c r="AD24" i="3"/>
  <c r="AC24" i="3" s="1"/>
  <c r="AD25" i="3"/>
  <c r="AC25" i="3" s="1"/>
  <c r="AD26" i="3"/>
  <c r="AC26" i="3" s="1"/>
  <c r="AD27" i="3"/>
  <c r="AC27" i="3" s="1"/>
  <c r="AD28" i="3"/>
  <c r="AC28" i="3" s="1"/>
  <c r="AD29" i="3"/>
  <c r="AC29" i="3" s="1"/>
  <c r="AD30" i="3"/>
  <c r="AC30" i="3" s="1"/>
  <c r="AD31" i="3"/>
  <c r="AC31" i="3" s="1"/>
  <c r="AD32" i="3"/>
  <c r="AC32" i="3" s="1"/>
  <c r="AD33" i="3"/>
  <c r="AC33" i="3" s="1"/>
  <c r="AD34" i="3"/>
  <c r="AC34" i="3" s="1"/>
  <c r="AD35" i="3"/>
  <c r="AC35" i="3" s="1"/>
  <c r="AD36" i="3"/>
  <c r="AC36" i="3" s="1"/>
  <c r="AD37" i="3"/>
  <c r="AC37" i="3" s="1"/>
  <c r="AD38" i="3"/>
  <c r="AC38" i="3" s="1"/>
  <c r="AC39" i="3"/>
  <c r="AD39" i="3"/>
  <c r="AD40" i="3"/>
  <c r="AC40" i="3" s="1"/>
  <c r="AD41" i="3"/>
  <c r="AC41" i="3" s="1"/>
  <c r="AD42" i="3"/>
  <c r="AC42" i="3" s="1"/>
  <c r="AD43" i="3"/>
  <c r="AC43" i="3" s="1"/>
  <c r="AD44" i="3"/>
  <c r="AC44" i="3" s="1"/>
  <c r="AD45" i="3"/>
  <c r="AC45" i="3" s="1"/>
  <c r="AD46" i="3"/>
  <c r="AC46" i="3" s="1"/>
  <c r="AD47" i="3"/>
  <c r="AC47" i="3" s="1"/>
  <c r="AD48" i="3"/>
  <c r="AC48" i="3" s="1"/>
  <c r="AD49" i="3"/>
  <c r="AC49" i="3" s="1"/>
  <c r="AD50" i="3"/>
  <c r="AC50" i="3" s="1"/>
  <c r="AD51" i="3"/>
  <c r="AC51" i="3" s="1"/>
  <c r="AD52" i="3"/>
  <c r="AC52" i="3" s="1"/>
  <c r="AD53" i="3"/>
  <c r="AC53" i="3" s="1"/>
  <c r="AD54" i="3"/>
  <c r="AC54" i="3" s="1"/>
  <c r="AD55" i="3"/>
  <c r="AC55" i="3" s="1"/>
  <c r="AD56" i="3"/>
  <c r="AC56" i="3" s="1"/>
  <c r="AD57" i="3"/>
  <c r="AC57" i="3" s="1"/>
  <c r="AD58" i="3"/>
  <c r="AC58" i="3" s="1"/>
  <c r="AD59" i="3"/>
  <c r="AC59" i="3" s="1"/>
  <c r="AD60" i="3"/>
  <c r="AC60" i="3" s="1"/>
  <c r="AD61" i="3"/>
  <c r="AC61" i="3" s="1"/>
  <c r="AD62" i="3"/>
  <c r="AC62" i="3" s="1"/>
  <c r="AD63" i="3"/>
  <c r="AC63" i="3" s="1"/>
  <c r="AD64" i="3"/>
  <c r="AC64" i="3" s="1"/>
  <c r="AD65" i="3"/>
  <c r="AC65" i="3" s="1"/>
  <c r="AD66" i="3"/>
  <c r="AC66" i="3" s="1"/>
  <c r="AD67" i="3"/>
  <c r="AC67" i="3" s="1"/>
  <c r="AD68" i="3"/>
  <c r="AC68" i="3" s="1"/>
  <c r="AD69" i="3"/>
  <c r="AC69" i="3" s="1"/>
  <c r="AD70" i="3"/>
  <c r="AC70" i="3" s="1"/>
  <c r="AD71" i="3"/>
  <c r="AC71" i="3" s="1"/>
  <c r="AD72" i="3"/>
  <c r="AC72" i="3" s="1"/>
  <c r="AD73" i="3"/>
  <c r="AC73" i="3" s="1"/>
  <c r="AD74" i="3"/>
  <c r="AC74" i="3" s="1"/>
  <c r="AD75" i="3"/>
  <c r="AC75" i="3" s="1"/>
  <c r="AD76" i="3"/>
  <c r="AC76" i="3" s="1"/>
  <c r="AD77" i="3"/>
  <c r="AC77" i="3" s="1"/>
  <c r="AD78" i="3"/>
  <c r="AC78" i="3" s="1"/>
  <c r="AD79" i="3"/>
  <c r="AC79" i="3" s="1"/>
  <c r="AD80" i="3"/>
  <c r="AC80" i="3" s="1"/>
  <c r="AD81" i="3"/>
  <c r="AC81" i="3" s="1"/>
  <c r="AD82" i="3"/>
  <c r="AC82" i="3" s="1"/>
  <c r="AD83" i="3"/>
  <c r="AC83" i="3" s="1"/>
  <c r="AD84" i="3"/>
  <c r="AC84" i="3" s="1"/>
  <c r="AD85" i="3"/>
  <c r="AC85" i="3" s="1"/>
  <c r="AD86" i="3"/>
  <c r="AC86" i="3" s="1"/>
  <c r="AD87" i="3"/>
  <c r="AC87" i="3" s="1"/>
  <c r="AD88" i="3"/>
  <c r="AC88" i="3" s="1"/>
  <c r="AC89" i="3"/>
  <c r="AD89" i="3"/>
  <c r="AD90" i="3"/>
  <c r="AC90" i="3" s="1"/>
  <c r="AD91" i="3"/>
  <c r="AC91" i="3" s="1"/>
  <c r="AD92" i="3"/>
  <c r="AC92" i="3" s="1"/>
  <c r="AD93" i="3"/>
  <c r="AC93" i="3" s="1"/>
  <c r="AD94" i="3"/>
  <c r="AC94" i="3" s="1"/>
  <c r="AD95" i="3"/>
  <c r="AC95" i="3" s="1"/>
  <c r="AD96" i="3"/>
  <c r="AC96" i="3" s="1"/>
  <c r="AD97" i="3"/>
  <c r="AC97" i="3" s="1"/>
  <c r="AD98" i="3"/>
  <c r="AC98" i="3" s="1"/>
  <c r="AD99" i="3"/>
  <c r="AC99" i="3" s="1"/>
  <c r="AD100" i="3"/>
  <c r="AC100" i="3" s="1"/>
  <c r="AD101" i="3"/>
  <c r="AC101" i="3" s="1"/>
  <c r="AD102" i="3"/>
  <c r="AC102" i="3" s="1"/>
  <c r="AD103" i="3"/>
  <c r="AC103" i="3" s="1"/>
  <c r="AD104" i="3"/>
  <c r="AC104" i="3" s="1"/>
  <c r="AD105" i="3"/>
  <c r="AC105" i="3" s="1"/>
  <c r="AD106" i="3"/>
  <c r="AC106" i="3" s="1"/>
  <c r="AD107" i="3"/>
  <c r="AC107" i="3" s="1"/>
  <c r="AD108" i="3"/>
  <c r="AC108" i="3" s="1"/>
  <c r="AD109" i="3"/>
  <c r="AC109" i="3" s="1"/>
  <c r="AD110" i="3"/>
  <c r="AC110" i="3" s="1"/>
  <c r="AD111" i="3"/>
  <c r="AC111" i="3" s="1"/>
  <c r="AD112" i="3"/>
  <c r="AC112" i="3" s="1"/>
  <c r="AD113" i="3"/>
  <c r="AC113" i="3" s="1"/>
  <c r="AD114" i="3"/>
  <c r="AC114" i="3" s="1"/>
  <c r="AD115" i="3"/>
  <c r="AC115" i="3" s="1"/>
  <c r="AD116" i="3"/>
  <c r="AC116" i="3" s="1"/>
  <c r="AD117" i="3"/>
  <c r="AC117" i="3" s="1"/>
  <c r="AD118" i="3"/>
  <c r="AC118" i="3" s="1"/>
  <c r="AD119" i="3"/>
  <c r="AC119" i="3" s="1"/>
  <c r="AD120" i="3"/>
  <c r="AC120" i="3" s="1"/>
  <c r="AD121" i="3"/>
  <c r="AC121" i="3" s="1"/>
  <c r="AD122" i="3"/>
  <c r="AC122" i="3" s="1"/>
  <c r="AD123" i="3"/>
  <c r="AC123" i="3" s="1"/>
  <c r="AD124" i="3"/>
  <c r="AC124" i="3" s="1"/>
  <c r="AD125" i="3"/>
  <c r="AC125" i="3" s="1"/>
  <c r="AD126" i="3"/>
  <c r="AC126" i="3" s="1"/>
  <c r="AD127" i="3"/>
  <c r="AC127" i="3" s="1"/>
  <c r="AD128" i="3"/>
  <c r="AC128" i="3" s="1"/>
  <c r="AD129" i="3"/>
  <c r="AC129" i="3" s="1"/>
  <c r="AD130" i="3"/>
  <c r="AC130" i="3" s="1"/>
  <c r="AD131" i="3"/>
  <c r="AC131" i="3" s="1"/>
  <c r="AD132" i="3"/>
  <c r="AC132" i="3" s="1"/>
  <c r="AD133" i="3"/>
  <c r="AC133" i="3" s="1"/>
  <c r="AD134" i="3"/>
  <c r="AC134" i="3" s="1"/>
  <c r="AD135" i="3"/>
  <c r="AC135" i="3" s="1"/>
  <c r="AD136" i="3"/>
  <c r="AC136" i="3" s="1"/>
  <c r="AD137" i="3"/>
  <c r="AC137" i="3" s="1"/>
  <c r="AD138" i="3"/>
  <c r="AC138" i="3" s="1"/>
  <c r="AD139" i="3"/>
  <c r="AC139" i="3" s="1"/>
  <c r="AD140" i="3"/>
  <c r="AC140" i="3" s="1"/>
  <c r="AD141" i="3"/>
  <c r="AC141" i="3" s="1"/>
  <c r="AD142" i="3"/>
  <c r="AC142" i="3" s="1"/>
  <c r="AD143" i="3"/>
  <c r="AC143" i="3" s="1"/>
  <c r="AD144" i="3"/>
  <c r="AC144" i="3" s="1"/>
  <c r="AD145" i="3"/>
  <c r="AC145" i="3" s="1"/>
  <c r="AD146" i="3"/>
  <c r="AC146" i="3" s="1"/>
  <c r="AD147" i="3"/>
  <c r="AC147" i="3" s="1"/>
  <c r="AD148" i="3"/>
  <c r="AC148" i="3" s="1"/>
  <c r="AD149" i="3"/>
  <c r="AC149" i="3" s="1"/>
  <c r="AD150" i="3"/>
  <c r="AC150" i="3" s="1"/>
  <c r="AD151" i="3"/>
  <c r="AC151" i="3" s="1"/>
  <c r="AD152" i="3"/>
  <c r="AC152" i="3" s="1"/>
  <c r="AD153" i="3"/>
  <c r="AC153" i="3" s="1"/>
  <c r="AD154" i="3"/>
  <c r="AC154" i="3" s="1"/>
  <c r="AD155" i="3"/>
  <c r="AC155" i="3" s="1"/>
  <c r="AD156" i="3"/>
  <c r="AC156" i="3" s="1"/>
  <c r="AD157" i="3"/>
  <c r="AC157" i="3" s="1"/>
  <c r="AD158" i="3"/>
  <c r="AC158" i="3" s="1"/>
  <c r="AD159" i="3"/>
  <c r="AC159" i="3" s="1"/>
  <c r="AD160" i="3"/>
  <c r="AC160" i="3" s="1"/>
  <c r="AD161" i="3"/>
  <c r="AC161" i="3" s="1"/>
  <c r="AD162" i="3"/>
  <c r="AC162" i="3" s="1"/>
  <c r="AD163" i="3"/>
  <c r="AC163" i="3" s="1"/>
  <c r="AD164" i="3"/>
  <c r="AC164" i="3" s="1"/>
  <c r="AD165" i="3"/>
  <c r="AC165" i="3" s="1"/>
  <c r="AD166" i="3"/>
  <c r="AC166" i="3" s="1"/>
  <c r="AD167" i="3"/>
  <c r="AC167" i="3" s="1"/>
  <c r="AD168" i="3"/>
  <c r="AC168" i="3" s="1"/>
  <c r="AD169" i="3"/>
  <c r="AC169" i="3" s="1"/>
  <c r="AD170" i="3"/>
  <c r="AC170" i="3" s="1"/>
  <c r="AD171" i="3"/>
  <c r="AC171" i="3" s="1"/>
  <c r="AD172" i="3"/>
  <c r="AC172" i="3" s="1"/>
  <c r="AD173" i="3"/>
  <c r="AC173" i="3" s="1"/>
  <c r="AD174" i="3"/>
  <c r="AC174" i="3" s="1"/>
  <c r="AD175" i="3"/>
  <c r="AC175" i="3" s="1"/>
  <c r="AD176" i="3"/>
  <c r="AC176" i="3" s="1"/>
  <c r="AD177" i="3"/>
  <c r="AC177" i="3" s="1"/>
  <c r="AD178" i="3"/>
  <c r="AC178" i="3" s="1"/>
  <c r="AD179" i="3"/>
  <c r="AC179" i="3" s="1"/>
  <c r="AD180" i="3"/>
  <c r="AC180" i="3" s="1"/>
  <c r="AD181" i="3"/>
  <c r="AC181" i="3" s="1"/>
  <c r="AD182" i="3"/>
  <c r="AC182" i="3" s="1"/>
  <c r="AD183" i="3"/>
  <c r="AC183" i="3" s="1"/>
  <c r="AD184" i="3"/>
  <c r="AC184" i="3" s="1"/>
  <c r="AD185" i="3"/>
  <c r="AC185" i="3" s="1"/>
  <c r="AD186" i="3"/>
  <c r="AC186" i="3" s="1"/>
  <c r="AD187" i="3"/>
  <c r="AC187" i="3" s="1"/>
  <c r="AD188" i="3"/>
  <c r="AC188" i="3" s="1"/>
  <c r="AD189" i="3"/>
  <c r="AC189" i="3" s="1"/>
  <c r="AD190" i="3"/>
  <c r="AC190" i="3" s="1"/>
  <c r="AD191" i="3"/>
  <c r="AC191" i="3" s="1"/>
  <c r="AD192" i="3"/>
  <c r="AC192" i="3" s="1"/>
  <c r="AD193" i="3"/>
  <c r="AC193" i="3" s="1"/>
  <c r="AD194" i="3"/>
  <c r="AC194" i="3" s="1"/>
  <c r="AD195" i="3"/>
  <c r="AC195" i="3" s="1"/>
  <c r="AD196" i="3"/>
  <c r="AC196" i="3" s="1"/>
  <c r="AD197" i="3"/>
  <c r="AC197" i="3" s="1"/>
  <c r="AD198" i="3"/>
  <c r="AC198" i="3" s="1"/>
  <c r="AD199" i="3"/>
  <c r="AC199" i="3" s="1"/>
  <c r="AD200" i="3"/>
  <c r="AC200" i="3" s="1"/>
  <c r="AD201" i="3"/>
  <c r="AC201" i="3" s="1"/>
  <c r="AD202" i="3"/>
  <c r="AC202" i="3" s="1"/>
  <c r="AD203" i="3"/>
  <c r="AC203" i="3" s="1"/>
  <c r="AD204" i="3"/>
  <c r="AC204" i="3" s="1"/>
  <c r="AD205" i="3"/>
  <c r="AC205" i="3" s="1"/>
  <c r="AD206" i="3"/>
  <c r="AC206" i="3" s="1"/>
  <c r="AD207" i="3"/>
  <c r="AC207" i="3" s="1"/>
  <c r="AD208" i="3"/>
  <c r="AC208" i="3" s="1"/>
  <c r="AD209" i="3"/>
  <c r="AC209" i="3" s="1"/>
  <c r="AD210" i="3"/>
  <c r="AC210" i="3" s="1"/>
  <c r="AD211" i="3"/>
  <c r="AC211" i="3" s="1"/>
  <c r="AD212" i="3"/>
  <c r="AC212" i="3" s="1"/>
  <c r="AD213" i="3"/>
  <c r="AC213" i="3" s="1"/>
  <c r="AD214" i="3"/>
  <c r="AC214" i="3" s="1"/>
  <c r="AD215" i="3"/>
  <c r="AC215" i="3" s="1"/>
  <c r="AD216" i="3"/>
  <c r="AC216" i="3" s="1"/>
  <c r="AD217" i="3"/>
  <c r="AC217" i="3" s="1"/>
  <c r="AD218" i="3"/>
  <c r="AC218" i="3" s="1"/>
  <c r="AD219" i="3"/>
  <c r="AC219" i="3" s="1"/>
  <c r="AD220" i="3"/>
  <c r="AC220" i="3" s="1"/>
  <c r="AD221" i="3"/>
  <c r="AC221" i="3" s="1"/>
  <c r="AD222" i="3"/>
  <c r="AC222" i="3" s="1"/>
  <c r="AD223" i="3"/>
  <c r="AC223" i="3" s="1"/>
  <c r="AD224" i="3"/>
  <c r="AC224" i="3" s="1"/>
  <c r="AD225" i="3"/>
  <c r="AC225" i="3" s="1"/>
  <c r="AD226" i="3"/>
  <c r="AC226" i="3" s="1"/>
  <c r="AD227" i="3"/>
  <c r="AC227" i="3" s="1"/>
  <c r="AD228" i="3"/>
  <c r="AC228" i="3" s="1"/>
  <c r="AD229" i="3"/>
  <c r="AC229" i="3" s="1"/>
  <c r="AD230" i="3"/>
  <c r="AC230" i="3" s="1"/>
  <c r="AD231" i="3"/>
  <c r="AC231" i="3" s="1"/>
  <c r="AD232" i="3"/>
  <c r="AC232" i="3" s="1"/>
  <c r="AD233" i="3"/>
  <c r="AC233" i="3" s="1"/>
  <c r="AD234" i="3"/>
  <c r="AC234" i="3" s="1"/>
  <c r="AD235" i="3"/>
  <c r="AC235" i="3" s="1"/>
  <c r="AD236" i="3"/>
  <c r="AC236" i="3" s="1"/>
  <c r="AD237" i="3"/>
  <c r="AC237" i="3" s="1"/>
  <c r="AD238" i="3"/>
  <c r="AC238" i="3" s="1"/>
  <c r="AD239" i="3"/>
  <c r="AC239" i="3" s="1"/>
  <c r="AD240" i="3"/>
  <c r="AC240" i="3" s="1"/>
  <c r="AD241" i="3"/>
  <c r="AC241" i="3" s="1"/>
  <c r="AD242" i="3"/>
  <c r="AC242" i="3" s="1"/>
  <c r="AD243" i="3"/>
  <c r="AC243" i="3" s="1"/>
  <c r="AD244" i="3"/>
  <c r="AC244" i="3" s="1"/>
  <c r="AD245" i="3"/>
  <c r="AC245" i="3" s="1"/>
  <c r="AD246" i="3"/>
  <c r="AC246" i="3" s="1"/>
  <c r="AD247" i="3"/>
  <c r="AC247" i="3" s="1"/>
  <c r="AD248" i="3"/>
  <c r="AC248" i="3" s="1"/>
  <c r="AD249" i="3"/>
  <c r="AC249" i="3" s="1"/>
  <c r="AD250" i="3"/>
  <c r="AC250" i="3" s="1"/>
  <c r="AD251" i="3"/>
  <c r="AC251" i="3" s="1"/>
  <c r="AD252" i="3"/>
  <c r="AC252" i="3" s="1"/>
  <c r="AD253" i="3"/>
  <c r="AC253" i="3" s="1"/>
  <c r="AD254" i="3"/>
  <c r="AC254" i="3" s="1"/>
  <c r="AD255" i="3"/>
  <c r="AC255" i="3" s="1"/>
  <c r="AD256" i="3"/>
  <c r="AC256" i="3" s="1"/>
  <c r="AD257" i="3"/>
  <c r="AC257" i="3" s="1"/>
  <c r="AD258" i="3"/>
  <c r="AC258" i="3" s="1"/>
  <c r="AD259" i="3"/>
  <c r="AC259" i="3" s="1"/>
  <c r="AD260" i="3"/>
  <c r="AC260" i="3" s="1"/>
  <c r="AD261" i="3"/>
  <c r="AC261" i="3" s="1"/>
  <c r="AD262" i="3"/>
  <c r="AC262" i="3" s="1"/>
  <c r="AD263" i="3"/>
  <c r="AC263" i="3" s="1"/>
  <c r="AD264" i="3"/>
  <c r="AC264" i="3" s="1"/>
  <c r="AD265" i="3"/>
  <c r="AC265" i="3" s="1"/>
  <c r="AD266" i="3"/>
  <c r="AC266" i="3" s="1"/>
  <c r="AD267" i="3"/>
  <c r="AC267" i="3" s="1"/>
  <c r="AD268" i="3"/>
  <c r="AC268" i="3" s="1"/>
  <c r="AD269" i="3"/>
  <c r="AC269" i="3" s="1"/>
  <c r="AD270" i="3"/>
  <c r="AC270" i="3" s="1"/>
  <c r="AD271" i="3"/>
  <c r="AC271" i="3" s="1"/>
  <c r="AD272" i="3"/>
  <c r="AC272" i="3" s="1"/>
  <c r="AD273" i="3"/>
  <c r="AC273" i="3" s="1"/>
  <c r="AD274" i="3"/>
  <c r="AC274" i="3" s="1"/>
  <c r="AD275" i="3"/>
  <c r="AC275" i="3" s="1"/>
  <c r="AD276" i="3"/>
  <c r="AC276" i="3" s="1"/>
  <c r="AD277" i="3"/>
  <c r="AC277" i="3" s="1"/>
  <c r="AD278" i="3"/>
  <c r="AC278" i="3" s="1"/>
  <c r="AD279" i="3"/>
  <c r="AC279" i="3" s="1"/>
  <c r="AD280" i="3"/>
  <c r="AC280" i="3" s="1"/>
  <c r="AD281" i="3"/>
  <c r="AC281" i="3" s="1"/>
  <c r="AD282" i="3"/>
  <c r="AC282" i="3" s="1"/>
  <c r="AD283" i="3"/>
  <c r="AC283" i="3" s="1"/>
  <c r="AD284" i="3"/>
  <c r="AC284" i="3" s="1"/>
  <c r="AD285" i="3"/>
  <c r="AC285" i="3" s="1"/>
  <c r="AD286" i="3"/>
  <c r="AC286" i="3" s="1"/>
  <c r="AD287" i="3"/>
  <c r="AC287" i="3" s="1"/>
  <c r="AD288" i="3"/>
  <c r="AC288" i="3" s="1"/>
  <c r="AD289" i="3"/>
  <c r="AC289" i="3" s="1"/>
  <c r="AD290" i="3"/>
  <c r="AC290" i="3" s="1"/>
  <c r="AD291" i="3"/>
  <c r="AC291" i="3" s="1"/>
  <c r="AD292" i="3"/>
  <c r="AC292" i="3" s="1"/>
  <c r="AD293" i="3"/>
  <c r="AC293" i="3" s="1"/>
  <c r="AD294" i="3"/>
  <c r="AC294" i="3" s="1"/>
  <c r="AD295" i="3"/>
  <c r="AC295" i="3" s="1"/>
  <c r="AD296" i="3"/>
  <c r="AC296" i="3" s="1"/>
  <c r="AD297" i="3"/>
  <c r="AC297" i="3" s="1"/>
  <c r="AD298" i="3"/>
  <c r="AC298" i="3" s="1"/>
  <c r="AD299" i="3"/>
  <c r="AC299" i="3" s="1"/>
  <c r="AD300" i="3"/>
  <c r="AC300" i="3" s="1"/>
  <c r="AD301" i="3"/>
  <c r="AC301" i="3" s="1"/>
  <c r="AD302" i="3"/>
  <c r="AC302" i="3" s="1"/>
  <c r="AD303" i="3"/>
  <c r="AC303" i="3" s="1"/>
  <c r="AD304" i="3"/>
  <c r="AC304" i="3" s="1"/>
  <c r="AD305" i="3"/>
  <c r="AC305" i="3" s="1"/>
  <c r="AD306" i="3"/>
  <c r="AC306" i="3" s="1"/>
  <c r="AD307" i="3"/>
  <c r="AC307" i="3" s="1"/>
  <c r="AD308" i="3"/>
  <c r="AC308" i="3" s="1"/>
  <c r="AD309" i="3"/>
  <c r="AC309" i="3" s="1"/>
  <c r="AD310" i="3"/>
  <c r="AC310" i="3" s="1"/>
  <c r="AD311" i="3"/>
  <c r="AC311" i="3" s="1"/>
  <c r="AD312" i="3"/>
  <c r="AC312" i="3" s="1"/>
  <c r="AD313" i="3"/>
  <c r="AC313" i="3" s="1"/>
  <c r="AD314" i="3"/>
  <c r="AC314" i="3" s="1"/>
  <c r="AD315" i="3"/>
  <c r="AC315" i="3" s="1"/>
  <c r="AD316" i="3"/>
  <c r="AC316" i="3" s="1"/>
  <c r="AD317" i="3"/>
  <c r="AC317" i="3" s="1"/>
  <c r="AD318" i="3"/>
  <c r="AC318" i="3" s="1"/>
  <c r="AD319" i="3"/>
  <c r="AC319" i="3" s="1"/>
  <c r="AD320" i="3"/>
  <c r="AC320" i="3" s="1"/>
  <c r="AD321" i="3"/>
  <c r="AC321" i="3" s="1"/>
  <c r="AD322" i="3"/>
  <c r="AC322" i="3" s="1"/>
  <c r="AD323" i="3"/>
  <c r="AC323" i="3" s="1"/>
  <c r="AD324" i="3"/>
  <c r="AC324" i="3" s="1"/>
  <c r="AD325" i="3"/>
  <c r="AC325" i="3" s="1"/>
  <c r="AD326" i="3"/>
  <c r="AC326" i="3" s="1"/>
  <c r="AD327" i="3"/>
  <c r="AC327" i="3" s="1"/>
  <c r="AD328" i="3"/>
  <c r="AC328" i="3" s="1"/>
  <c r="AD329" i="3"/>
  <c r="AC329" i="3" s="1"/>
  <c r="AD330" i="3"/>
  <c r="AC330" i="3" s="1"/>
  <c r="AD331" i="3"/>
  <c r="AC331" i="3" s="1"/>
  <c r="AD332" i="3"/>
  <c r="AC332" i="3" s="1"/>
  <c r="AD333" i="3"/>
  <c r="AC333" i="3" s="1"/>
  <c r="AD334" i="3"/>
  <c r="AC334" i="3" s="1"/>
  <c r="AD335" i="3"/>
  <c r="AC335" i="3" s="1"/>
  <c r="AD336" i="3"/>
  <c r="AC336" i="3" s="1"/>
  <c r="AD337" i="3"/>
  <c r="AC337" i="3" s="1"/>
  <c r="AD338" i="3"/>
  <c r="AC338" i="3" s="1"/>
  <c r="AD339" i="3"/>
  <c r="AC339" i="3" s="1"/>
  <c r="AD340" i="3"/>
  <c r="AC340" i="3" s="1"/>
  <c r="AD341" i="3"/>
  <c r="AC341" i="3" s="1"/>
  <c r="AD342" i="3"/>
  <c r="AC342" i="3" s="1"/>
  <c r="AD343" i="3"/>
  <c r="AC343" i="3" s="1"/>
  <c r="AD344" i="3"/>
  <c r="AC344" i="3" s="1"/>
  <c r="AD345" i="3"/>
  <c r="AC345" i="3" s="1"/>
  <c r="AD346" i="3"/>
  <c r="AC346" i="3" s="1"/>
  <c r="AD347" i="3"/>
  <c r="AC347" i="3" s="1"/>
  <c r="AD348" i="3"/>
  <c r="AC348" i="3" s="1"/>
  <c r="AD349" i="3"/>
  <c r="AC349" i="3" s="1"/>
  <c r="AD350" i="3"/>
  <c r="AC350" i="3" s="1"/>
  <c r="AD351" i="3"/>
  <c r="AC351" i="3" s="1"/>
  <c r="AD352" i="3"/>
  <c r="AC352" i="3" s="1"/>
  <c r="AD353" i="3"/>
  <c r="AC353" i="3" s="1"/>
  <c r="AD354" i="3"/>
  <c r="AC354" i="3" s="1"/>
  <c r="AD355" i="3"/>
  <c r="AC355" i="3" s="1"/>
  <c r="AD356" i="3"/>
  <c r="AC356" i="3" s="1"/>
  <c r="AD357" i="3"/>
  <c r="AC357" i="3" s="1"/>
  <c r="AD358" i="3"/>
  <c r="AC358" i="3" s="1"/>
  <c r="AD359" i="3"/>
  <c r="AC359" i="3" s="1"/>
  <c r="AD360" i="3"/>
  <c r="AC360" i="3" s="1"/>
  <c r="AD361" i="3"/>
  <c r="AC361" i="3" s="1"/>
  <c r="AD362" i="3"/>
  <c r="AC362" i="3" s="1"/>
  <c r="AD363" i="3"/>
  <c r="AC363" i="3" s="1"/>
  <c r="AD364" i="3"/>
  <c r="AC364" i="3" s="1"/>
  <c r="AD365" i="3"/>
  <c r="AC365" i="3" s="1"/>
  <c r="AD366" i="3"/>
  <c r="AC366" i="3" s="1"/>
  <c r="AD367" i="3"/>
  <c r="AC367" i="3" s="1"/>
  <c r="AD368" i="3"/>
  <c r="AC368" i="3" s="1"/>
  <c r="AD369" i="3"/>
  <c r="AC369" i="3" s="1"/>
  <c r="AD370" i="3"/>
  <c r="AC370" i="3" s="1"/>
  <c r="AD371" i="3"/>
  <c r="AC371" i="3" s="1"/>
  <c r="AD372" i="3"/>
  <c r="AC372" i="3" s="1"/>
  <c r="AD373" i="3"/>
  <c r="AC373" i="3" s="1"/>
  <c r="AD374" i="3"/>
  <c r="AC374" i="3" s="1"/>
  <c r="AD375" i="3"/>
  <c r="AC375" i="3" s="1"/>
  <c r="AD376" i="3"/>
  <c r="AC376" i="3" s="1"/>
  <c r="AD377" i="3"/>
  <c r="AC377" i="3" s="1"/>
  <c r="AD378" i="3"/>
  <c r="AC378" i="3" s="1"/>
  <c r="AD379" i="3"/>
  <c r="AC379" i="3" s="1"/>
  <c r="AD380" i="3"/>
  <c r="AC380" i="3" s="1"/>
  <c r="AD381" i="3"/>
  <c r="AC381" i="3" s="1"/>
  <c r="AD382" i="3"/>
  <c r="AC382" i="3" s="1"/>
  <c r="AD383" i="3"/>
  <c r="AC383" i="3" s="1"/>
  <c r="AD384" i="3"/>
  <c r="AC384" i="3" s="1"/>
  <c r="AD385" i="3"/>
  <c r="AC385" i="3" s="1"/>
  <c r="AD386" i="3"/>
  <c r="AC386" i="3" s="1"/>
  <c r="AD387" i="3"/>
  <c r="AC387" i="3" s="1"/>
  <c r="AD388" i="3"/>
  <c r="AC388" i="3" s="1"/>
  <c r="AD389" i="3"/>
  <c r="AC389" i="3" s="1"/>
  <c r="AD390" i="3"/>
  <c r="AC390" i="3" s="1"/>
  <c r="AD391" i="3"/>
  <c r="AC391" i="3" s="1"/>
  <c r="AD392" i="3"/>
  <c r="AC392" i="3" s="1"/>
  <c r="AD393" i="3"/>
  <c r="AC393" i="3" s="1"/>
  <c r="AD394" i="3"/>
  <c r="AC394" i="3" s="1"/>
  <c r="AD395" i="3"/>
  <c r="AC395" i="3" s="1"/>
  <c r="AD396" i="3"/>
  <c r="AC396" i="3" s="1"/>
  <c r="AD397" i="3"/>
  <c r="AC397" i="3" s="1"/>
  <c r="AD398" i="3"/>
  <c r="AC398" i="3" s="1"/>
  <c r="AD399" i="3"/>
  <c r="AC399" i="3" s="1"/>
  <c r="AD400" i="3"/>
  <c r="AC400" i="3" s="1"/>
  <c r="AD401" i="3"/>
  <c r="AC401" i="3" s="1"/>
  <c r="AD402" i="3"/>
  <c r="AC402" i="3" s="1"/>
  <c r="AD403" i="3"/>
  <c r="AC403" i="3" s="1"/>
  <c r="AD404" i="3"/>
  <c r="AC404" i="3" s="1"/>
  <c r="AD405" i="3"/>
  <c r="AC405" i="3" s="1"/>
  <c r="AD406" i="3"/>
  <c r="AC406" i="3" s="1"/>
  <c r="AD407" i="3"/>
  <c r="AC407" i="3" s="1"/>
  <c r="AD408" i="3"/>
  <c r="AC408" i="3" s="1"/>
  <c r="AD409" i="3"/>
  <c r="AC409" i="3" s="1"/>
  <c r="AD410" i="3"/>
  <c r="AC410" i="3" s="1"/>
  <c r="AD411" i="3"/>
  <c r="AC411" i="3" s="1"/>
  <c r="AD412" i="3"/>
  <c r="AC412" i="3" s="1"/>
  <c r="AD413" i="3"/>
  <c r="AC413" i="3" s="1"/>
  <c r="AD414" i="3"/>
  <c r="AC414" i="3" s="1"/>
  <c r="AD415" i="3"/>
  <c r="AC415" i="3" s="1"/>
  <c r="AD416" i="3"/>
  <c r="AC416" i="3" s="1"/>
  <c r="AD417" i="3"/>
  <c r="AC417" i="3" s="1"/>
  <c r="AD418" i="3"/>
  <c r="AC418" i="3" s="1"/>
  <c r="AD419" i="3"/>
  <c r="AC419" i="3" s="1"/>
  <c r="AD420" i="3"/>
  <c r="AC420" i="3" s="1"/>
  <c r="AD421" i="3"/>
  <c r="AC421" i="3" s="1"/>
  <c r="AD422" i="3"/>
  <c r="AC422" i="3" s="1"/>
  <c r="AD423" i="3"/>
  <c r="AC423" i="3" s="1"/>
  <c r="AD424" i="3"/>
  <c r="AC424" i="3" s="1"/>
  <c r="AD425" i="3"/>
  <c r="AC425" i="3" s="1"/>
  <c r="AD426" i="3"/>
  <c r="AC426" i="3" s="1"/>
  <c r="AD427" i="3"/>
  <c r="AC427" i="3" s="1"/>
  <c r="AD428" i="3"/>
  <c r="AC428" i="3" s="1"/>
  <c r="AD429" i="3"/>
  <c r="AC429" i="3" s="1"/>
  <c r="AD430" i="3"/>
  <c r="AC430" i="3" s="1"/>
  <c r="AD431" i="3"/>
  <c r="AC431" i="3" s="1"/>
  <c r="AD432" i="3"/>
  <c r="AC432" i="3" s="1"/>
  <c r="AD433" i="3"/>
  <c r="AC433" i="3" s="1"/>
  <c r="AD434" i="3"/>
  <c r="AC434" i="3" s="1"/>
  <c r="AD435" i="3"/>
  <c r="AC435" i="3" s="1"/>
  <c r="AD436" i="3"/>
  <c r="AC436" i="3" s="1"/>
  <c r="AD437" i="3"/>
  <c r="AC437" i="3" s="1"/>
  <c r="AD438" i="3"/>
  <c r="AC438" i="3" s="1"/>
  <c r="AD439" i="3"/>
  <c r="AC439" i="3" s="1"/>
  <c r="AD440" i="3"/>
  <c r="AC440" i="3" s="1"/>
  <c r="AD441" i="3"/>
  <c r="AC441" i="3" s="1"/>
  <c r="AD442" i="3"/>
  <c r="AC442" i="3" s="1"/>
  <c r="AD443" i="3"/>
  <c r="AC443" i="3" s="1"/>
  <c r="AD444" i="3"/>
  <c r="AC444" i="3" s="1"/>
  <c r="AD445" i="3"/>
  <c r="AC445" i="3" s="1"/>
  <c r="AD446" i="3"/>
  <c r="AC446" i="3" s="1"/>
  <c r="AD447" i="3"/>
  <c r="AC447" i="3" s="1"/>
  <c r="AD448" i="3"/>
  <c r="AC448" i="3" s="1"/>
  <c r="AD449" i="3"/>
  <c r="AC449" i="3" s="1"/>
  <c r="AD450" i="3"/>
  <c r="AC450" i="3" s="1"/>
  <c r="AD451" i="3"/>
  <c r="AC451" i="3" s="1"/>
  <c r="AD452" i="3"/>
  <c r="AC452" i="3" s="1"/>
  <c r="AD453" i="3"/>
  <c r="AC453" i="3" s="1"/>
  <c r="AD454" i="3"/>
  <c r="AC454" i="3" s="1"/>
  <c r="AD455" i="3"/>
  <c r="AC455" i="3" s="1"/>
  <c r="AD456" i="3"/>
  <c r="AC456" i="3" s="1"/>
  <c r="AD457" i="3"/>
  <c r="AC457" i="3" s="1"/>
  <c r="AD458" i="3"/>
  <c r="AC458" i="3" s="1"/>
  <c r="AD459" i="3"/>
  <c r="AC459" i="3" s="1"/>
  <c r="AD460" i="3"/>
  <c r="AC460" i="3" s="1"/>
  <c r="AD461" i="3"/>
  <c r="AC461" i="3" s="1"/>
  <c r="AD462" i="3"/>
  <c r="AC462" i="3" s="1"/>
  <c r="AD463" i="3"/>
  <c r="AC463" i="3" s="1"/>
  <c r="AD464" i="3"/>
  <c r="AC464" i="3" s="1"/>
  <c r="AD465" i="3"/>
  <c r="AC465" i="3" s="1"/>
  <c r="AD466" i="3"/>
  <c r="AC466" i="3" s="1"/>
  <c r="AD467" i="3"/>
  <c r="AC467" i="3" s="1"/>
  <c r="AD468" i="3"/>
  <c r="AC468" i="3" s="1"/>
  <c r="AD469" i="3"/>
  <c r="AC469" i="3" s="1"/>
  <c r="AD470" i="3"/>
  <c r="AC470" i="3" s="1"/>
  <c r="AD471" i="3"/>
  <c r="AC471" i="3" s="1"/>
  <c r="AD472" i="3"/>
  <c r="AC472" i="3" s="1"/>
  <c r="AD473" i="3"/>
  <c r="AC473" i="3" s="1"/>
  <c r="AD474" i="3"/>
  <c r="AC474" i="3" s="1"/>
  <c r="AD475" i="3"/>
  <c r="AC475" i="3" s="1"/>
  <c r="AD476" i="3"/>
  <c r="AC476" i="3" s="1"/>
  <c r="AD477" i="3"/>
  <c r="AC477" i="3" s="1"/>
  <c r="AD478" i="3"/>
  <c r="AC478" i="3" s="1"/>
  <c r="AD479" i="3"/>
  <c r="AC479" i="3" s="1"/>
  <c r="AD480" i="3"/>
  <c r="AC480" i="3" s="1"/>
  <c r="AD481" i="3"/>
  <c r="AC481" i="3" s="1"/>
  <c r="AD482" i="3"/>
  <c r="AC482" i="3" s="1"/>
  <c r="AD483" i="3"/>
  <c r="AC483" i="3" s="1"/>
  <c r="AD484" i="3"/>
  <c r="AC484" i="3" s="1"/>
  <c r="AD485" i="3"/>
  <c r="AC485" i="3" s="1"/>
  <c r="AD486" i="3"/>
  <c r="AC486" i="3" s="1"/>
  <c r="AD487" i="3"/>
  <c r="AC487" i="3" s="1"/>
  <c r="AD488" i="3"/>
  <c r="AC488" i="3" s="1"/>
  <c r="AD489" i="3"/>
  <c r="AC489" i="3" s="1"/>
  <c r="AD490" i="3"/>
  <c r="AC490" i="3" s="1"/>
  <c r="AD491" i="3"/>
  <c r="AC491" i="3" s="1"/>
  <c r="AD492" i="3"/>
  <c r="AC492" i="3" s="1"/>
  <c r="AD493" i="3"/>
  <c r="AC493" i="3" s="1"/>
  <c r="AD494" i="3"/>
  <c r="AC494" i="3" s="1"/>
  <c r="AD495" i="3"/>
  <c r="AC495" i="3" s="1"/>
  <c r="AD496" i="3"/>
  <c r="AC496" i="3" s="1"/>
  <c r="AD497" i="3"/>
  <c r="AC497" i="3" s="1"/>
  <c r="AD498" i="3"/>
  <c r="AC498" i="3" s="1"/>
  <c r="AD499" i="3"/>
  <c r="AC499" i="3" s="1"/>
  <c r="AD500" i="3"/>
  <c r="AC500" i="3" s="1"/>
  <c r="AD501" i="3"/>
  <c r="AC501" i="3" s="1"/>
  <c r="AD502" i="3"/>
  <c r="AC502" i="3" s="1"/>
  <c r="AD503" i="3"/>
  <c r="AC503" i="3" s="1"/>
  <c r="AD504" i="3"/>
  <c r="AC504" i="3" s="1"/>
  <c r="AD505" i="3"/>
  <c r="AC505" i="3" s="1"/>
  <c r="AD506" i="3"/>
  <c r="AC506" i="3" s="1"/>
  <c r="AD507" i="3"/>
  <c r="AC507" i="3" s="1"/>
  <c r="AD508" i="3"/>
  <c r="AC508" i="3" s="1"/>
  <c r="AD509" i="3"/>
  <c r="AC509" i="3" s="1"/>
  <c r="AD510" i="3"/>
  <c r="AC510" i="3" s="1"/>
  <c r="AD511" i="3"/>
  <c r="AC511" i="3" s="1"/>
  <c r="AD512" i="3"/>
  <c r="AC512" i="3" s="1"/>
  <c r="AD513" i="3"/>
  <c r="AC513" i="3" s="1"/>
  <c r="AD514" i="3"/>
  <c r="AC514" i="3" s="1"/>
  <c r="AD515" i="3"/>
  <c r="AC515" i="3" s="1"/>
  <c r="AD516" i="3"/>
  <c r="AC516" i="3" s="1"/>
  <c r="AD517" i="3"/>
  <c r="AC517" i="3" s="1"/>
  <c r="AD518" i="3"/>
  <c r="AC518" i="3" s="1"/>
  <c r="AD519" i="3"/>
  <c r="AC519" i="3" s="1"/>
  <c r="AD520" i="3"/>
  <c r="AC520" i="3" s="1"/>
  <c r="AD521" i="3"/>
  <c r="AC521" i="3" s="1"/>
  <c r="AD522" i="3"/>
  <c r="AC522" i="3" s="1"/>
  <c r="AD523" i="3"/>
  <c r="AC523" i="3" s="1"/>
  <c r="AD524" i="3"/>
  <c r="AC524" i="3" s="1"/>
  <c r="AD525" i="3"/>
  <c r="AC525" i="3" s="1"/>
  <c r="AD526" i="3"/>
  <c r="AC526" i="3" s="1"/>
  <c r="AD527" i="3"/>
  <c r="AC527" i="3" s="1"/>
  <c r="AD528" i="3"/>
  <c r="AC528" i="3" s="1"/>
  <c r="AD529" i="3"/>
  <c r="AC529" i="3" s="1"/>
  <c r="AD530" i="3"/>
  <c r="AC530" i="3" s="1"/>
  <c r="AD531" i="3"/>
  <c r="AC531" i="3" s="1"/>
  <c r="AD532" i="3"/>
  <c r="AC532" i="3" s="1"/>
  <c r="AD533" i="3"/>
  <c r="AC533" i="3" s="1"/>
  <c r="AD534" i="3"/>
  <c r="AC534" i="3" s="1"/>
  <c r="AD535" i="3"/>
  <c r="AC535" i="3" s="1"/>
  <c r="AD536" i="3"/>
  <c r="AC536" i="3" s="1"/>
  <c r="AD537" i="3"/>
  <c r="AC537" i="3" s="1"/>
  <c r="AD538" i="3"/>
  <c r="AC538" i="3" s="1"/>
  <c r="AD539" i="3"/>
  <c r="AC539" i="3" s="1"/>
  <c r="AD540" i="3"/>
  <c r="AC540" i="3" s="1"/>
  <c r="AD541" i="3"/>
  <c r="AC541" i="3" s="1"/>
  <c r="AD542" i="3"/>
  <c r="AC542" i="3" s="1"/>
  <c r="AD543" i="3"/>
  <c r="AC543" i="3" s="1"/>
  <c r="AD544" i="3"/>
  <c r="AC544" i="3" s="1"/>
  <c r="AD545" i="3"/>
  <c r="AC545" i="3" s="1"/>
  <c r="AD546" i="3"/>
  <c r="AC546" i="3" s="1"/>
  <c r="AD547" i="3"/>
  <c r="AC547" i="3" s="1"/>
  <c r="AD548" i="3"/>
  <c r="AC548" i="3" s="1"/>
  <c r="AD549" i="3"/>
  <c r="AC549" i="3" s="1"/>
  <c r="AD550" i="3"/>
  <c r="AC550" i="3" s="1"/>
  <c r="AD551" i="3"/>
  <c r="AC551" i="3" s="1"/>
  <c r="AD552" i="3"/>
  <c r="AC552" i="3" s="1"/>
  <c r="AD553" i="3"/>
  <c r="AC553" i="3" s="1"/>
  <c r="AD554" i="3"/>
  <c r="AC554" i="3" s="1"/>
  <c r="AD555" i="3"/>
  <c r="AC555" i="3" s="1"/>
  <c r="AD556" i="3"/>
  <c r="AC556" i="3" s="1"/>
  <c r="AD557" i="3"/>
  <c r="AC557" i="3" s="1"/>
  <c r="AD558" i="3"/>
  <c r="AC558" i="3" s="1"/>
  <c r="AD559" i="3"/>
  <c r="AC559" i="3" s="1"/>
  <c r="AD560" i="3"/>
  <c r="AC560" i="3" s="1"/>
  <c r="AD561" i="3"/>
  <c r="AC561" i="3" s="1"/>
  <c r="AD562" i="3"/>
  <c r="AC562" i="3" s="1"/>
  <c r="AD563" i="3"/>
  <c r="AC563" i="3" s="1"/>
  <c r="AD564" i="3"/>
  <c r="AC564" i="3" s="1"/>
  <c r="AD565" i="3"/>
  <c r="AC565" i="3" s="1"/>
  <c r="AD566" i="3"/>
  <c r="AC566" i="3" s="1"/>
  <c r="AD567" i="3"/>
  <c r="AC567" i="3" s="1"/>
  <c r="AD568" i="3"/>
  <c r="AC568" i="3" s="1"/>
  <c r="AD569" i="3"/>
  <c r="AC569" i="3" s="1"/>
  <c r="AD570" i="3"/>
  <c r="AC570" i="3" s="1"/>
  <c r="AD571" i="3"/>
  <c r="AC571" i="3" s="1"/>
  <c r="AD572" i="3"/>
  <c r="AC572" i="3" s="1"/>
  <c r="AD573" i="3"/>
  <c r="AC573" i="3" s="1"/>
  <c r="AD574" i="3"/>
  <c r="AC574" i="3" s="1"/>
  <c r="AD575" i="3"/>
  <c r="AC575" i="3" s="1"/>
  <c r="AD576" i="3"/>
  <c r="AC576" i="3" s="1"/>
  <c r="AD577" i="3"/>
  <c r="AC577" i="3" s="1"/>
  <c r="AD578" i="3"/>
  <c r="AC578" i="3" s="1"/>
  <c r="AD579" i="3"/>
  <c r="AC579" i="3" s="1"/>
  <c r="AD580" i="3"/>
  <c r="AC580" i="3" s="1"/>
  <c r="AD581" i="3"/>
  <c r="AC581" i="3" s="1"/>
  <c r="AD582" i="3"/>
  <c r="AC582" i="3" s="1"/>
  <c r="AD583" i="3"/>
  <c r="AC583" i="3" s="1"/>
  <c r="AD584" i="3"/>
  <c r="AC584" i="3" s="1"/>
  <c r="AD585" i="3"/>
  <c r="AC585" i="3" s="1"/>
  <c r="AD586" i="3"/>
  <c r="AC586" i="3" s="1"/>
  <c r="AD587" i="3"/>
  <c r="AC587" i="3" s="1"/>
  <c r="AD588" i="3"/>
  <c r="AC588" i="3" s="1"/>
  <c r="AD589" i="3"/>
  <c r="AC589" i="3" s="1"/>
  <c r="AD590" i="3"/>
  <c r="AC590" i="3" s="1"/>
  <c r="AD591" i="3"/>
  <c r="AC591" i="3" s="1"/>
  <c r="AD592" i="3"/>
  <c r="AC592" i="3" s="1"/>
  <c r="AD593" i="3"/>
  <c r="AC593" i="3" s="1"/>
  <c r="AD594" i="3"/>
  <c r="AC594" i="3" s="1"/>
  <c r="AD595" i="3"/>
  <c r="AC595" i="3" s="1"/>
  <c r="AD596" i="3"/>
  <c r="AC596" i="3" s="1"/>
  <c r="AD597" i="3"/>
  <c r="AC597" i="3" s="1"/>
  <c r="AD598" i="3"/>
  <c r="AC598" i="3" s="1"/>
  <c r="AD599" i="3"/>
  <c r="AC599" i="3" s="1"/>
  <c r="AD600" i="3"/>
  <c r="AC600" i="3" s="1"/>
  <c r="AD601" i="3"/>
  <c r="AC601" i="3" s="1"/>
  <c r="AD602" i="3"/>
  <c r="AC602" i="3" s="1"/>
  <c r="AD603" i="3"/>
  <c r="AC603" i="3" s="1"/>
  <c r="AD604" i="3"/>
  <c r="AC604" i="3" s="1"/>
  <c r="AD605" i="3"/>
  <c r="AC605" i="3" s="1"/>
  <c r="AD606" i="3"/>
  <c r="AC606" i="3" s="1"/>
  <c r="AD607" i="3"/>
  <c r="AC607" i="3" s="1"/>
  <c r="AD608" i="3"/>
  <c r="AC608" i="3" s="1"/>
  <c r="AD609" i="3"/>
  <c r="AC609" i="3" s="1"/>
  <c r="AD610" i="3"/>
  <c r="AC610" i="3" s="1"/>
  <c r="AD611" i="3"/>
  <c r="AC611" i="3" s="1"/>
  <c r="AD612" i="3"/>
  <c r="AC612" i="3" s="1"/>
  <c r="AD613" i="3"/>
  <c r="AC613" i="3" s="1"/>
  <c r="AD614" i="3"/>
  <c r="AC614" i="3" s="1"/>
  <c r="AD615" i="3"/>
  <c r="AC615" i="3" s="1"/>
  <c r="AD616" i="3"/>
  <c r="AC616" i="3" s="1"/>
  <c r="AD617" i="3"/>
  <c r="AC617" i="3" s="1"/>
  <c r="AD618" i="3"/>
  <c r="AC618" i="3" s="1"/>
  <c r="AD619" i="3"/>
  <c r="AC619" i="3" s="1"/>
  <c r="AD620" i="3"/>
  <c r="AC620" i="3" s="1"/>
  <c r="AD621" i="3"/>
  <c r="AC621" i="3" s="1"/>
  <c r="AD622" i="3"/>
  <c r="AC622" i="3" s="1"/>
  <c r="AD623" i="3"/>
  <c r="AC623" i="3" s="1"/>
  <c r="AD624" i="3"/>
  <c r="AC624" i="3" s="1"/>
  <c r="AD625" i="3"/>
  <c r="AC625" i="3" s="1"/>
  <c r="AD626" i="3"/>
  <c r="AC626" i="3" s="1"/>
  <c r="AD627" i="3"/>
  <c r="AC627" i="3" s="1"/>
  <c r="AD628" i="3"/>
  <c r="AC628" i="3" s="1"/>
  <c r="AD629" i="3"/>
  <c r="AC629" i="3" s="1"/>
  <c r="AD630" i="3"/>
  <c r="AC630" i="3" s="1"/>
  <c r="AD631" i="3"/>
  <c r="AC631" i="3" s="1"/>
  <c r="AD632" i="3"/>
  <c r="AC632" i="3" s="1"/>
  <c r="AD633" i="3"/>
  <c r="AC633" i="3" s="1"/>
  <c r="AD634" i="3"/>
  <c r="AC634" i="3" s="1"/>
  <c r="AD635" i="3"/>
  <c r="AC635" i="3" s="1"/>
  <c r="AD636" i="3"/>
  <c r="AC636" i="3" s="1"/>
  <c r="AD637" i="3"/>
  <c r="AC637" i="3" s="1"/>
  <c r="AD638" i="3"/>
  <c r="AC638" i="3" s="1"/>
  <c r="AD639" i="3"/>
  <c r="AC639" i="3" s="1"/>
  <c r="AD640" i="3"/>
  <c r="AC640" i="3" s="1"/>
  <c r="AD641" i="3"/>
  <c r="AC641" i="3" s="1"/>
  <c r="AD642" i="3"/>
  <c r="AC642" i="3" s="1"/>
  <c r="AD643" i="3"/>
  <c r="AC643" i="3" s="1"/>
  <c r="AD644" i="3"/>
  <c r="AC644" i="3" s="1"/>
  <c r="AD645" i="3"/>
  <c r="AC645" i="3" s="1"/>
  <c r="AD646" i="3"/>
  <c r="AC646" i="3" s="1"/>
  <c r="AD647" i="3"/>
  <c r="AC647" i="3" s="1"/>
  <c r="AD648" i="3"/>
  <c r="AC648" i="3" s="1"/>
  <c r="AD649" i="3"/>
  <c r="AC649" i="3" s="1"/>
  <c r="AD650" i="3"/>
  <c r="AC650" i="3" s="1"/>
  <c r="AD651" i="3"/>
  <c r="AC651" i="3" s="1"/>
  <c r="AD652" i="3"/>
  <c r="AC652" i="3" s="1"/>
  <c r="AD653" i="3"/>
  <c r="AC653" i="3" s="1"/>
  <c r="AD654" i="3"/>
  <c r="AC654" i="3" s="1"/>
  <c r="AD655" i="3"/>
  <c r="AC655" i="3" s="1"/>
  <c r="AD656" i="3"/>
  <c r="AC656" i="3" s="1"/>
  <c r="AD657" i="3"/>
  <c r="AC657" i="3" s="1"/>
  <c r="AD658" i="3"/>
  <c r="AC658" i="3" s="1"/>
  <c r="AD659" i="3"/>
  <c r="AC659" i="3" s="1"/>
  <c r="AD660" i="3"/>
  <c r="AC660" i="3" s="1"/>
  <c r="AD661" i="3"/>
  <c r="AC661" i="3" s="1"/>
  <c r="AD662" i="3"/>
  <c r="AC662" i="3" s="1"/>
  <c r="AD663" i="3"/>
  <c r="AC663" i="3" s="1"/>
  <c r="AD664" i="3"/>
  <c r="AC664" i="3" s="1"/>
  <c r="AD665" i="3"/>
  <c r="AC665" i="3" s="1"/>
  <c r="AD666" i="3"/>
  <c r="AC666" i="3" s="1"/>
  <c r="AD667" i="3"/>
  <c r="AC667" i="3" s="1"/>
  <c r="AD668" i="3"/>
  <c r="AC668" i="3" s="1"/>
  <c r="AD669" i="3"/>
  <c r="AC669" i="3" s="1"/>
  <c r="AD670" i="3"/>
  <c r="AC670" i="3" s="1"/>
  <c r="AD671" i="3"/>
  <c r="AC671" i="3" s="1"/>
  <c r="AD672" i="3"/>
  <c r="AC672" i="3" s="1"/>
  <c r="AD673" i="3"/>
  <c r="AC673" i="3" s="1"/>
  <c r="AD674" i="3"/>
  <c r="AC674" i="3" s="1"/>
  <c r="AD675" i="3"/>
  <c r="AC675" i="3" s="1"/>
  <c r="AD676" i="3"/>
  <c r="AC676" i="3" s="1"/>
  <c r="AD677" i="3"/>
  <c r="AC677" i="3" s="1"/>
  <c r="AD678" i="3"/>
  <c r="AC678" i="3" s="1"/>
  <c r="AD679" i="3"/>
  <c r="AC679" i="3" s="1"/>
  <c r="AD680" i="3"/>
  <c r="AC680" i="3" s="1"/>
  <c r="AD681" i="3"/>
  <c r="AC681" i="3" s="1"/>
  <c r="AD682" i="3"/>
  <c r="AC682" i="3" s="1"/>
  <c r="AD683" i="3"/>
  <c r="AC683" i="3" s="1"/>
  <c r="AD684" i="3"/>
  <c r="AC684" i="3" s="1"/>
  <c r="AD685" i="3"/>
  <c r="AC685" i="3" s="1"/>
  <c r="AD686" i="3"/>
  <c r="AC686" i="3" s="1"/>
  <c r="AD687" i="3"/>
  <c r="AC687" i="3" s="1"/>
  <c r="AD688" i="3"/>
  <c r="AC688" i="3" s="1"/>
  <c r="AD689" i="3"/>
  <c r="AC689" i="3" s="1"/>
  <c r="AD690" i="3"/>
  <c r="AC690" i="3" s="1"/>
  <c r="AD691" i="3"/>
  <c r="AC691" i="3" s="1"/>
  <c r="AD692" i="3"/>
  <c r="AC692" i="3" s="1"/>
  <c r="AD693" i="3"/>
  <c r="AC693" i="3" s="1"/>
  <c r="AD694" i="3"/>
  <c r="AC694" i="3" s="1"/>
  <c r="AD695" i="3"/>
  <c r="AC695" i="3" s="1"/>
  <c r="AD696" i="3"/>
  <c r="AC696" i="3" s="1"/>
  <c r="AD697" i="3"/>
  <c r="AC697" i="3" s="1"/>
  <c r="AD698" i="3"/>
  <c r="AC698" i="3" s="1"/>
  <c r="AD699" i="3"/>
  <c r="AC699" i="3" s="1"/>
  <c r="AD700" i="3"/>
  <c r="AC700" i="3" s="1"/>
  <c r="AD701" i="3"/>
  <c r="AC701" i="3" s="1"/>
  <c r="AD702" i="3"/>
  <c r="AC702" i="3" s="1"/>
  <c r="AD703" i="3"/>
  <c r="AC703" i="3" s="1"/>
  <c r="AD704" i="3"/>
  <c r="AC704" i="3" s="1"/>
  <c r="AD705" i="3"/>
  <c r="AC705" i="3" s="1"/>
  <c r="AD706" i="3"/>
  <c r="AC706" i="3" s="1"/>
  <c r="AD707" i="3"/>
  <c r="AC707" i="3" s="1"/>
  <c r="AD708" i="3"/>
  <c r="AC708" i="3" s="1"/>
  <c r="AD709" i="3"/>
  <c r="AC709" i="3" s="1"/>
  <c r="AD710" i="3"/>
  <c r="AC710" i="3" s="1"/>
  <c r="AD711" i="3"/>
  <c r="AC711" i="3" s="1"/>
  <c r="AD712" i="3"/>
  <c r="AC712" i="3" s="1"/>
  <c r="AD713" i="3"/>
  <c r="AC713" i="3" s="1"/>
  <c r="AD714" i="3"/>
  <c r="AC714" i="3" s="1"/>
  <c r="AD715" i="3"/>
  <c r="AC715" i="3" s="1"/>
  <c r="AD716" i="3"/>
  <c r="AC716" i="3" s="1"/>
  <c r="AD717" i="3"/>
  <c r="AC717" i="3" s="1"/>
  <c r="AD718" i="3"/>
  <c r="AC718" i="3" s="1"/>
  <c r="AD719" i="3"/>
  <c r="AC719" i="3" s="1"/>
  <c r="AD720" i="3"/>
  <c r="AC720" i="3" s="1"/>
  <c r="AD721" i="3"/>
  <c r="AC721" i="3" s="1"/>
  <c r="AD722" i="3"/>
  <c r="AC722" i="3" s="1"/>
  <c r="AD723" i="3"/>
  <c r="AC723" i="3" s="1"/>
  <c r="AD724" i="3"/>
  <c r="AC724" i="3" s="1"/>
  <c r="AD725" i="3"/>
  <c r="AC725" i="3" s="1"/>
  <c r="AD726" i="3"/>
  <c r="AC726" i="3" s="1"/>
  <c r="AD727" i="3"/>
  <c r="AC727" i="3" s="1"/>
  <c r="AD728" i="3"/>
  <c r="AC728" i="3" s="1"/>
  <c r="AD729" i="3"/>
  <c r="AC729" i="3" s="1"/>
  <c r="AD730" i="3"/>
  <c r="AC730" i="3" s="1"/>
  <c r="AD731" i="3"/>
  <c r="AC731" i="3" s="1"/>
  <c r="AD732" i="3"/>
  <c r="AC732" i="3" s="1"/>
  <c r="AD733" i="3"/>
  <c r="AC733" i="3" s="1"/>
  <c r="AD734" i="3"/>
  <c r="AC734" i="3" s="1"/>
  <c r="AD735" i="3"/>
  <c r="AC735" i="3" s="1"/>
  <c r="AD736" i="3"/>
  <c r="AC736" i="3" s="1"/>
  <c r="AD737" i="3"/>
  <c r="AC737" i="3" s="1"/>
  <c r="AD738" i="3"/>
  <c r="AC738" i="3" s="1"/>
  <c r="AD739" i="3"/>
  <c r="AC739" i="3" s="1"/>
  <c r="AD740" i="3"/>
  <c r="AC740" i="3" s="1"/>
  <c r="AD741" i="3"/>
  <c r="AC741" i="3" s="1"/>
  <c r="AD742" i="3"/>
  <c r="AC742" i="3" s="1"/>
  <c r="AD743" i="3"/>
  <c r="AC743" i="3" s="1"/>
  <c r="AD744" i="3"/>
  <c r="AC744" i="3" s="1"/>
  <c r="AD745" i="3"/>
  <c r="AC745" i="3" s="1"/>
  <c r="AD746" i="3"/>
  <c r="AC746" i="3" s="1"/>
  <c r="AD747" i="3"/>
  <c r="AC747" i="3" s="1"/>
  <c r="AD748" i="3"/>
  <c r="AC748" i="3" s="1"/>
  <c r="AD749" i="3"/>
  <c r="AC749" i="3" s="1"/>
  <c r="AD750" i="3"/>
  <c r="AC750" i="3" s="1"/>
  <c r="AD751" i="3"/>
  <c r="AC751" i="3" s="1"/>
  <c r="AD752" i="3"/>
  <c r="AC752" i="3" s="1"/>
  <c r="AD753" i="3"/>
  <c r="AC753" i="3" s="1"/>
  <c r="AD754" i="3"/>
  <c r="AC754" i="3" s="1"/>
  <c r="AD755" i="3"/>
  <c r="AC755" i="3" s="1"/>
  <c r="AD756" i="3"/>
  <c r="AC756" i="3" s="1"/>
  <c r="AD757" i="3"/>
  <c r="AC757" i="3" s="1"/>
  <c r="AD758" i="3"/>
  <c r="AC758" i="3" s="1"/>
  <c r="AD759" i="3"/>
  <c r="AC759" i="3" s="1"/>
  <c r="AD760" i="3"/>
  <c r="AC760" i="3" s="1"/>
  <c r="AD761" i="3"/>
  <c r="AC761" i="3" s="1"/>
  <c r="AD762" i="3"/>
  <c r="AC762" i="3" s="1"/>
  <c r="AD763" i="3"/>
  <c r="AC763" i="3" s="1"/>
  <c r="AD764" i="3"/>
  <c r="AC764" i="3" s="1"/>
  <c r="AD765" i="3"/>
  <c r="AC765" i="3" s="1"/>
  <c r="AD766" i="3"/>
  <c r="AC766" i="3" s="1"/>
  <c r="AD767" i="3"/>
  <c r="AC767" i="3" s="1"/>
  <c r="AD768" i="3"/>
  <c r="AC768" i="3" s="1"/>
  <c r="AD769" i="3"/>
  <c r="AC769" i="3" s="1"/>
  <c r="AD770" i="3"/>
  <c r="AC770" i="3" s="1"/>
  <c r="AD771" i="3"/>
  <c r="AC771" i="3" s="1"/>
  <c r="AD772" i="3"/>
  <c r="AC772" i="3" s="1"/>
  <c r="AD773" i="3"/>
  <c r="AC773" i="3" s="1"/>
  <c r="AD774" i="3"/>
  <c r="AC774" i="3" s="1"/>
  <c r="AD775" i="3"/>
  <c r="AC775" i="3" s="1"/>
  <c r="AD776" i="3"/>
  <c r="AC776" i="3" s="1"/>
  <c r="AD777" i="3"/>
  <c r="AC777" i="3" s="1"/>
  <c r="AD778" i="3"/>
  <c r="AC778" i="3" s="1"/>
  <c r="AD779" i="3"/>
  <c r="AC779" i="3" s="1"/>
  <c r="AD780" i="3"/>
  <c r="AC780" i="3" s="1"/>
  <c r="AD781" i="3"/>
  <c r="AC781" i="3" s="1"/>
  <c r="AD782" i="3"/>
  <c r="AC782" i="3" s="1"/>
  <c r="AD783" i="3"/>
  <c r="AC783" i="3" s="1"/>
  <c r="AD784" i="3"/>
  <c r="AC784" i="3" s="1"/>
  <c r="AD785" i="3"/>
  <c r="AC785" i="3" s="1"/>
  <c r="AD786" i="3"/>
  <c r="AC786" i="3" s="1"/>
  <c r="AD787" i="3"/>
  <c r="AC787" i="3" s="1"/>
  <c r="AD788" i="3"/>
  <c r="AC788" i="3" s="1"/>
  <c r="AD789" i="3"/>
  <c r="AC789" i="3" s="1"/>
  <c r="AD790" i="3"/>
  <c r="AC790" i="3" s="1"/>
  <c r="AD791" i="3"/>
  <c r="AC791" i="3" s="1"/>
  <c r="AD792" i="3"/>
  <c r="AC792" i="3" s="1"/>
  <c r="AD793" i="3"/>
  <c r="AC793" i="3" s="1"/>
  <c r="AD794" i="3"/>
  <c r="AC794" i="3" s="1"/>
  <c r="AD795" i="3"/>
  <c r="AC795" i="3" s="1"/>
  <c r="AD796" i="3"/>
  <c r="AC796" i="3" s="1"/>
  <c r="AD797" i="3"/>
  <c r="AC797" i="3" s="1"/>
  <c r="AD798" i="3"/>
  <c r="AC798" i="3" s="1"/>
  <c r="AD799" i="3"/>
  <c r="AC799" i="3" s="1"/>
  <c r="AD800" i="3"/>
  <c r="AC800" i="3" s="1"/>
  <c r="AD801" i="3"/>
  <c r="AC801" i="3" s="1"/>
  <c r="AD802" i="3"/>
  <c r="AC802" i="3" s="1"/>
  <c r="AD803" i="3"/>
  <c r="AC803" i="3" s="1"/>
  <c r="AD804" i="3"/>
  <c r="AC804" i="3" s="1"/>
  <c r="AD805" i="3"/>
  <c r="AC805" i="3" s="1"/>
  <c r="AD806" i="3"/>
  <c r="AC806" i="3" s="1"/>
  <c r="AD807" i="3"/>
  <c r="AC807" i="3" s="1"/>
  <c r="AD808" i="3"/>
  <c r="AC808" i="3" s="1"/>
  <c r="AD809" i="3"/>
  <c r="AC809" i="3" s="1"/>
  <c r="AD810" i="3"/>
  <c r="AC810" i="3" s="1"/>
  <c r="AD811" i="3"/>
  <c r="AC811" i="3" s="1"/>
  <c r="AD812" i="3"/>
  <c r="AC812" i="3" s="1"/>
  <c r="AD813" i="3"/>
  <c r="AC813" i="3" s="1"/>
  <c r="AD814" i="3"/>
  <c r="AC814" i="3" s="1"/>
  <c r="AD815" i="3"/>
  <c r="AC815" i="3" s="1"/>
  <c r="AD816" i="3"/>
  <c r="AC816" i="3" s="1"/>
  <c r="AD817" i="3"/>
  <c r="AC817" i="3" s="1"/>
  <c r="AD818" i="3"/>
  <c r="AC818" i="3" s="1"/>
  <c r="AD819" i="3"/>
  <c r="AC819" i="3" s="1"/>
  <c r="AD820" i="3"/>
  <c r="AC820" i="3" s="1"/>
  <c r="AD821" i="3"/>
  <c r="AC821" i="3" s="1"/>
  <c r="AD822" i="3"/>
  <c r="AC822" i="3" s="1"/>
  <c r="AD823" i="3"/>
  <c r="AC823" i="3" s="1"/>
  <c r="AD824" i="3"/>
  <c r="AC824" i="3" s="1"/>
  <c r="AD825" i="3"/>
  <c r="AC825" i="3" s="1"/>
  <c r="AD826" i="3"/>
  <c r="AC826" i="3" s="1"/>
  <c r="AD827" i="3"/>
  <c r="AC827" i="3" s="1"/>
  <c r="AD828" i="3"/>
  <c r="AC828" i="3" s="1"/>
  <c r="AD829" i="3"/>
  <c r="AC829" i="3" s="1"/>
  <c r="AD830" i="3"/>
  <c r="AC830" i="3" s="1"/>
  <c r="AD831" i="3"/>
  <c r="AC831" i="3" s="1"/>
  <c r="AD832" i="3"/>
  <c r="AC832" i="3" s="1"/>
  <c r="AD833" i="3"/>
  <c r="AC833" i="3" s="1"/>
  <c r="AD834" i="3"/>
  <c r="AC834" i="3" s="1"/>
  <c r="AD835" i="3"/>
  <c r="AC835" i="3" s="1"/>
  <c r="AD836" i="3"/>
  <c r="AC836" i="3" s="1"/>
  <c r="AD837" i="3"/>
  <c r="AC837" i="3" s="1"/>
  <c r="AD838" i="3"/>
  <c r="AC838" i="3" s="1"/>
  <c r="AD839" i="3"/>
  <c r="AC839" i="3" s="1"/>
  <c r="AD840" i="3"/>
  <c r="AC840" i="3" s="1"/>
  <c r="AD841" i="3"/>
  <c r="AC841" i="3" s="1"/>
  <c r="AD842" i="3"/>
  <c r="AC842" i="3" s="1"/>
  <c r="AD843" i="3"/>
  <c r="AC843" i="3" s="1"/>
  <c r="AD844" i="3"/>
  <c r="AC844" i="3" s="1"/>
  <c r="AD845" i="3"/>
  <c r="AC845" i="3" s="1"/>
  <c r="AD846" i="3"/>
  <c r="AC846" i="3" s="1"/>
  <c r="AD847" i="3"/>
  <c r="AC847" i="3" s="1"/>
  <c r="AD848" i="3"/>
  <c r="AC848" i="3" s="1"/>
  <c r="AD849" i="3"/>
  <c r="AC849" i="3" s="1"/>
  <c r="AD850" i="3"/>
  <c r="AC850" i="3" s="1"/>
  <c r="AD851" i="3"/>
  <c r="AC851" i="3" s="1"/>
  <c r="AD852" i="3"/>
  <c r="AC852" i="3" s="1"/>
  <c r="AD853" i="3"/>
  <c r="AC853" i="3" s="1"/>
  <c r="AD854" i="3"/>
  <c r="AC854" i="3" s="1"/>
  <c r="AD855" i="3"/>
  <c r="AC855" i="3" s="1"/>
  <c r="AD856" i="3"/>
  <c r="AC856" i="3" s="1"/>
  <c r="AD857" i="3"/>
  <c r="AC857" i="3" s="1"/>
  <c r="AD858" i="3"/>
  <c r="AC858" i="3" s="1"/>
  <c r="AD859" i="3"/>
  <c r="AC859" i="3" s="1"/>
  <c r="AD860" i="3"/>
  <c r="AC860" i="3" s="1"/>
  <c r="AD861" i="3"/>
  <c r="AC861" i="3" s="1"/>
  <c r="AD862" i="3"/>
  <c r="AC862" i="3" s="1"/>
  <c r="AD863" i="3"/>
  <c r="AC863" i="3" s="1"/>
  <c r="AD864" i="3"/>
  <c r="AC864" i="3" s="1"/>
  <c r="AD865" i="3"/>
  <c r="AC865" i="3" s="1"/>
  <c r="AD866" i="3"/>
  <c r="AC866" i="3" s="1"/>
  <c r="AD867" i="3"/>
  <c r="AC867" i="3" s="1"/>
  <c r="AD868" i="3"/>
  <c r="AC868" i="3" s="1"/>
  <c r="AD869" i="3"/>
  <c r="AC869" i="3" s="1"/>
  <c r="AD870" i="3"/>
  <c r="AC870" i="3" s="1"/>
  <c r="AD871" i="3"/>
  <c r="AC871" i="3" s="1"/>
  <c r="AD872" i="3"/>
  <c r="AC872" i="3" s="1"/>
  <c r="AD873" i="3"/>
  <c r="AC873" i="3" s="1"/>
  <c r="AD874" i="3"/>
  <c r="AC874" i="3" s="1"/>
  <c r="AD875" i="3"/>
  <c r="AC875" i="3" s="1"/>
  <c r="AD876" i="3"/>
  <c r="AC876" i="3" s="1"/>
  <c r="AD877" i="3"/>
  <c r="AC877" i="3" s="1"/>
  <c r="AD878" i="3"/>
  <c r="AC878" i="3" s="1"/>
  <c r="AD879" i="3"/>
  <c r="AC879" i="3" s="1"/>
  <c r="AD880" i="3"/>
  <c r="AC880" i="3" s="1"/>
  <c r="AD881" i="3"/>
  <c r="AC881" i="3" s="1"/>
  <c r="AD882" i="3"/>
  <c r="AC882" i="3" s="1"/>
  <c r="AD883" i="3"/>
  <c r="AC883" i="3" s="1"/>
  <c r="AD884" i="3"/>
  <c r="AC884" i="3" s="1"/>
  <c r="AD885" i="3"/>
  <c r="AC885" i="3" s="1"/>
  <c r="AD886" i="3"/>
  <c r="AC886" i="3" s="1"/>
  <c r="AD887" i="3"/>
  <c r="AC887" i="3" s="1"/>
  <c r="AD888" i="3"/>
  <c r="AC888" i="3" s="1"/>
  <c r="AD889" i="3"/>
  <c r="AC889" i="3" s="1"/>
  <c r="AD890" i="3"/>
  <c r="AC890" i="3" s="1"/>
  <c r="AD891" i="3"/>
  <c r="AC891" i="3" s="1"/>
  <c r="AD892" i="3"/>
  <c r="AC892" i="3" s="1"/>
  <c r="AD893" i="3"/>
  <c r="AC893" i="3" s="1"/>
  <c r="AD894" i="3"/>
  <c r="AC894" i="3" s="1"/>
  <c r="AD895" i="3"/>
  <c r="AC895" i="3" s="1"/>
  <c r="AD896" i="3"/>
  <c r="AC896" i="3" s="1"/>
  <c r="AD897" i="3"/>
  <c r="AC897" i="3" s="1"/>
  <c r="AD898" i="3"/>
  <c r="AC898" i="3" s="1"/>
  <c r="AD899" i="3"/>
  <c r="AC899" i="3" s="1"/>
  <c r="AD900" i="3"/>
  <c r="AC900" i="3" s="1"/>
  <c r="AD901" i="3"/>
  <c r="AC901" i="3" s="1"/>
  <c r="AD902" i="3"/>
  <c r="AC902" i="3" s="1"/>
  <c r="AD903" i="3"/>
  <c r="AC903" i="3" s="1"/>
  <c r="AD904" i="3"/>
  <c r="AC904" i="3" s="1"/>
  <c r="AD905" i="3"/>
  <c r="AC905" i="3" s="1"/>
  <c r="AD906" i="3"/>
  <c r="AC906" i="3" s="1"/>
  <c r="AD907" i="3"/>
  <c r="AC907" i="3" s="1"/>
  <c r="AD908" i="3"/>
  <c r="AC908" i="3" s="1"/>
  <c r="AD909" i="3"/>
  <c r="AC909" i="3" s="1"/>
  <c r="AD910" i="3"/>
  <c r="AC910" i="3" s="1"/>
  <c r="AD911" i="3"/>
  <c r="AC911" i="3" s="1"/>
  <c r="AD912" i="3"/>
  <c r="AC912" i="3" s="1"/>
  <c r="AD913" i="3"/>
  <c r="AC913" i="3" s="1"/>
  <c r="AD914" i="3"/>
  <c r="AC914" i="3" s="1"/>
  <c r="AD915" i="3"/>
  <c r="AC915" i="3" s="1"/>
  <c r="AD916" i="3"/>
  <c r="AC916" i="3" s="1"/>
  <c r="AD917" i="3"/>
  <c r="AC917" i="3" s="1"/>
  <c r="AD918" i="3"/>
  <c r="AC918" i="3" s="1"/>
  <c r="AD919" i="3"/>
  <c r="AC919" i="3" s="1"/>
  <c r="AD920" i="3"/>
  <c r="AC920" i="3" s="1"/>
  <c r="AD921" i="3"/>
  <c r="AC921" i="3" s="1"/>
  <c r="AD922" i="3"/>
  <c r="AC922" i="3" s="1"/>
  <c r="AD923" i="3"/>
  <c r="AC923" i="3" s="1"/>
  <c r="AD924" i="3"/>
  <c r="AC924" i="3" s="1"/>
  <c r="AD925" i="3"/>
  <c r="AC925" i="3" s="1"/>
  <c r="AD926" i="3"/>
  <c r="AC926" i="3" s="1"/>
  <c r="AD927" i="3"/>
  <c r="AC927" i="3" s="1"/>
  <c r="AD928" i="3"/>
  <c r="AC928" i="3" s="1"/>
  <c r="AD929" i="3"/>
  <c r="AC929" i="3" s="1"/>
  <c r="AD930" i="3"/>
  <c r="AC930" i="3" s="1"/>
  <c r="AD931" i="3"/>
  <c r="AC931" i="3" s="1"/>
  <c r="AD932" i="3"/>
  <c r="AC932" i="3" s="1"/>
  <c r="AD933" i="3"/>
  <c r="AC933" i="3" s="1"/>
  <c r="AD934" i="3"/>
  <c r="AC934" i="3" s="1"/>
  <c r="AD935" i="3"/>
  <c r="AC935" i="3" s="1"/>
  <c r="AD936" i="3"/>
  <c r="AC936" i="3" s="1"/>
  <c r="AD937" i="3"/>
  <c r="AC937" i="3" s="1"/>
  <c r="AD938" i="3"/>
  <c r="AC938" i="3" s="1"/>
  <c r="AD939" i="3"/>
  <c r="AC939" i="3" s="1"/>
  <c r="AD940" i="3"/>
  <c r="AC940" i="3" s="1"/>
  <c r="AD941" i="3"/>
  <c r="AC941" i="3" s="1"/>
  <c r="AD942" i="3"/>
  <c r="AC942" i="3" s="1"/>
  <c r="AD943" i="3"/>
  <c r="AC943" i="3" s="1"/>
  <c r="AD944" i="3"/>
  <c r="AC944" i="3" s="1"/>
  <c r="AD945" i="3"/>
  <c r="AC945" i="3" s="1"/>
  <c r="AD946" i="3"/>
  <c r="AC946" i="3" s="1"/>
  <c r="AD947" i="3"/>
  <c r="AC947" i="3" s="1"/>
  <c r="AD948" i="3"/>
  <c r="AC948" i="3" s="1"/>
  <c r="AD949" i="3"/>
  <c r="AC949" i="3" s="1"/>
  <c r="AD950" i="3"/>
  <c r="AC950" i="3" s="1"/>
  <c r="AD951" i="3"/>
  <c r="AC951" i="3" s="1"/>
  <c r="AD952" i="3"/>
  <c r="AC952" i="3" s="1"/>
  <c r="AD953" i="3"/>
  <c r="AC953" i="3" s="1"/>
  <c r="AD954" i="3"/>
  <c r="AC954" i="3" s="1"/>
  <c r="AD955" i="3"/>
  <c r="AC955" i="3" s="1"/>
  <c r="AD956" i="3"/>
  <c r="AC956" i="3" s="1"/>
  <c r="AD957" i="3"/>
  <c r="AC957" i="3" s="1"/>
  <c r="AD958" i="3"/>
  <c r="AC958" i="3" s="1"/>
  <c r="AD959" i="3"/>
  <c r="AC959" i="3" s="1"/>
  <c r="AD960" i="3"/>
  <c r="AC960" i="3" s="1"/>
  <c r="AD961" i="3"/>
  <c r="AC961" i="3" s="1"/>
  <c r="AD962" i="3"/>
  <c r="AC962" i="3" s="1"/>
  <c r="AD963" i="3"/>
  <c r="AC963" i="3" s="1"/>
  <c r="AD964" i="3"/>
  <c r="AC964" i="3" s="1"/>
  <c r="AD965" i="3"/>
  <c r="AC965" i="3" s="1"/>
  <c r="AD966" i="3"/>
  <c r="AC966" i="3" s="1"/>
  <c r="AD967" i="3"/>
  <c r="AC967" i="3" s="1"/>
  <c r="AD968" i="3"/>
  <c r="AC968" i="3" s="1"/>
  <c r="AD969" i="3"/>
  <c r="AC969" i="3" s="1"/>
  <c r="AD970" i="3"/>
  <c r="AC970" i="3" s="1"/>
  <c r="AD971" i="3"/>
  <c r="AC971" i="3" s="1"/>
  <c r="AD972" i="3"/>
  <c r="AC972" i="3" s="1"/>
  <c r="AD973" i="3"/>
  <c r="AC973" i="3" s="1"/>
  <c r="AD974" i="3"/>
  <c r="AC974" i="3" s="1"/>
  <c r="AD975" i="3"/>
  <c r="AC975" i="3" s="1"/>
  <c r="AD976" i="3"/>
  <c r="AC976" i="3" s="1"/>
  <c r="AD977" i="3"/>
  <c r="AC977" i="3" s="1"/>
  <c r="AD978" i="3"/>
  <c r="AC978" i="3" s="1"/>
  <c r="AD979" i="3"/>
  <c r="AC979" i="3" s="1"/>
  <c r="AD980" i="3"/>
  <c r="AC980" i="3" s="1"/>
  <c r="AD981" i="3"/>
  <c r="AC981" i="3" s="1"/>
  <c r="AD982" i="3"/>
  <c r="AC982" i="3" s="1"/>
  <c r="AD983" i="3"/>
  <c r="AC983" i="3" s="1"/>
  <c r="AD984" i="3"/>
  <c r="AC984" i="3" s="1"/>
  <c r="AD985" i="3"/>
  <c r="AC985" i="3" s="1"/>
  <c r="AD986" i="3"/>
  <c r="AC986" i="3" s="1"/>
  <c r="AD987" i="3"/>
  <c r="AC987" i="3" s="1"/>
  <c r="AD988" i="3"/>
  <c r="AC988" i="3" s="1"/>
  <c r="AD989" i="3"/>
  <c r="AC989" i="3" s="1"/>
  <c r="AD990" i="3"/>
  <c r="AC990" i="3" s="1"/>
  <c r="AD991" i="3"/>
  <c r="AC991" i="3" s="1"/>
  <c r="AD992" i="3"/>
  <c r="AC992" i="3" s="1"/>
  <c r="AD993" i="3"/>
  <c r="AC993" i="3" s="1"/>
  <c r="AD994" i="3"/>
  <c r="AC994" i="3" s="1"/>
  <c r="AD995" i="3"/>
  <c r="AC995" i="3" s="1"/>
  <c r="AD996" i="3"/>
  <c r="AC996" i="3" s="1"/>
  <c r="AD997" i="3"/>
  <c r="AC997" i="3" s="1"/>
  <c r="AD998" i="3"/>
  <c r="AC998" i="3" s="1"/>
  <c r="AD999" i="3"/>
  <c r="AC999" i="3" s="1"/>
  <c r="AD1000" i="3"/>
  <c r="AC1000" i="3" s="1"/>
  <c r="AD1001" i="3"/>
  <c r="AC1001" i="3" s="1"/>
  <c r="AD1002" i="3"/>
  <c r="AC1002" i="3" s="1"/>
  <c r="AD1003" i="3"/>
  <c r="AC1003" i="3" s="1"/>
  <c r="AD1004" i="3"/>
  <c r="AC1004" i="3" s="1"/>
  <c r="AD1005" i="3"/>
  <c r="AC1005" i="3" s="1"/>
  <c r="AD1006" i="3"/>
  <c r="AC1006" i="3" s="1"/>
  <c r="AD1007" i="3"/>
  <c r="AC1007" i="3" s="1"/>
  <c r="AD1008" i="3"/>
  <c r="AC1008" i="3" s="1"/>
  <c r="AD1009" i="3"/>
  <c r="AC1009" i="3" s="1"/>
  <c r="AD1010" i="3"/>
  <c r="AC1010" i="3" s="1"/>
  <c r="AD1011" i="3"/>
  <c r="AC1011" i="3" s="1"/>
  <c r="AD1012" i="3"/>
  <c r="AC1012" i="3" s="1"/>
  <c r="AD1013" i="3"/>
  <c r="AC1013" i="3" s="1"/>
  <c r="AD1014" i="3"/>
  <c r="AC1014" i="3" s="1"/>
  <c r="AD1015" i="3"/>
  <c r="AC1015" i="3" s="1"/>
  <c r="AD1016" i="3"/>
  <c r="AC1016" i="3" s="1"/>
  <c r="AD1017" i="3"/>
  <c r="AC1017" i="3" s="1"/>
  <c r="AD1018" i="3"/>
  <c r="AC1018" i="3" s="1"/>
  <c r="AD1019" i="3"/>
  <c r="AC1019" i="3" s="1"/>
  <c r="AD1020" i="3"/>
  <c r="AC1020" i="3" s="1"/>
  <c r="AD1021" i="3"/>
  <c r="AC1021" i="3" s="1"/>
  <c r="AD1022" i="3"/>
  <c r="AC1022" i="3" s="1"/>
  <c r="AD1023" i="3"/>
  <c r="AC1023" i="3" s="1"/>
  <c r="AD1024" i="3"/>
  <c r="AC1024" i="3" s="1"/>
  <c r="AD1025" i="3"/>
  <c r="AC1025" i="3" s="1"/>
  <c r="AD1026" i="3"/>
  <c r="AC1026" i="3" s="1"/>
  <c r="AD1027" i="3"/>
  <c r="AC1027" i="3" s="1"/>
  <c r="AD1028" i="3"/>
  <c r="AC1028" i="3" s="1"/>
  <c r="AD1029" i="3"/>
  <c r="AC1029" i="3" s="1"/>
  <c r="AD1030" i="3"/>
  <c r="AC1030" i="3" s="1"/>
  <c r="AD1031" i="3"/>
  <c r="AC1031" i="3" s="1"/>
  <c r="AD1032" i="3"/>
  <c r="AC1032" i="3" s="1"/>
  <c r="AD1033" i="3"/>
  <c r="AC1033" i="3" s="1"/>
  <c r="AD1034" i="3"/>
  <c r="AC1034" i="3" s="1"/>
  <c r="AD1035" i="3"/>
  <c r="AC1035" i="3" s="1"/>
  <c r="AD1036" i="3"/>
  <c r="AC1036" i="3" s="1"/>
  <c r="AD1037" i="3"/>
  <c r="AC1037" i="3" s="1"/>
  <c r="AD1038" i="3"/>
  <c r="AC1038" i="3" s="1"/>
  <c r="AD1039" i="3"/>
  <c r="AC1039" i="3" s="1"/>
  <c r="AD1040" i="3"/>
  <c r="AC1040" i="3" s="1"/>
  <c r="AD1041" i="3"/>
  <c r="AC1041" i="3" s="1"/>
  <c r="AD1042" i="3"/>
  <c r="AC1042" i="3" s="1"/>
  <c r="AD1043" i="3"/>
  <c r="AC1043" i="3" s="1"/>
  <c r="AD1044" i="3"/>
  <c r="AC1044" i="3" s="1"/>
  <c r="AD1045" i="3"/>
  <c r="AC1045" i="3" s="1"/>
  <c r="AD1046" i="3"/>
  <c r="AC1046" i="3" s="1"/>
  <c r="AD1047" i="3"/>
  <c r="AC1047" i="3" s="1"/>
  <c r="AD1048" i="3"/>
  <c r="AC1048" i="3" s="1"/>
  <c r="AD1049" i="3"/>
  <c r="AC1049" i="3" s="1"/>
  <c r="AD1050" i="3"/>
  <c r="AC1050" i="3" s="1"/>
  <c r="AD1051" i="3"/>
  <c r="AC1051" i="3" s="1"/>
  <c r="AD1052" i="3"/>
  <c r="AC1052" i="3" s="1"/>
  <c r="AD1053" i="3"/>
  <c r="AC1053" i="3" s="1"/>
  <c r="AD1054" i="3"/>
  <c r="AC1054" i="3" s="1"/>
  <c r="AD1055" i="3"/>
  <c r="AC1055" i="3" s="1"/>
  <c r="AD1056" i="3"/>
  <c r="AC1056" i="3" s="1"/>
  <c r="AD1057" i="3"/>
  <c r="AC1057" i="3" s="1"/>
  <c r="AD1058" i="3"/>
  <c r="AC1058" i="3" s="1"/>
  <c r="AD1059" i="3"/>
  <c r="AC1059" i="3" s="1"/>
  <c r="AD1060" i="3"/>
  <c r="AC1060" i="3" s="1"/>
  <c r="AD1061" i="3"/>
  <c r="AC1061" i="3" s="1"/>
  <c r="AD1062" i="3"/>
  <c r="AC1062" i="3" s="1"/>
  <c r="AD1063" i="3"/>
  <c r="AC1063" i="3" s="1"/>
  <c r="AD1064" i="3"/>
  <c r="AC1064" i="3" s="1"/>
  <c r="AD1065" i="3"/>
  <c r="AC1065" i="3" s="1"/>
  <c r="AD1066" i="3"/>
  <c r="AC1066" i="3" s="1"/>
  <c r="AD1067" i="3"/>
  <c r="AC1067" i="3" s="1"/>
  <c r="AD1068" i="3"/>
  <c r="AC1068" i="3" s="1"/>
  <c r="AD1069" i="3"/>
  <c r="AC1069" i="3" s="1"/>
  <c r="AD1070" i="3"/>
  <c r="AC1070" i="3" s="1"/>
  <c r="AD1071" i="3"/>
  <c r="AC1071" i="3" s="1"/>
  <c r="AD1072" i="3"/>
  <c r="AC1072" i="3" s="1"/>
  <c r="AD1073" i="3"/>
  <c r="AC1073" i="3" s="1"/>
  <c r="AD1074" i="3"/>
  <c r="AC1074" i="3" s="1"/>
  <c r="AD1075" i="3"/>
  <c r="AC1075" i="3" s="1"/>
  <c r="AD1076" i="3"/>
  <c r="AC1076" i="3" s="1"/>
  <c r="AD1077" i="3"/>
  <c r="AC1077" i="3" s="1"/>
  <c r="AD1078" i="3"/>
  <c r="AC1078" i="3" s="1"/>
  <c r="AD1079" i="3"/>
  <c r="AC1079" i="3" s="1"/>
  <c r="AD1080" i="3"/>
  <c r="AC1080" i="3" s="1"/>
  <c r="AD1081" i="3"/>
  <c r="AC1081" i="3" s="1"/>
  <c r="AD1082" i="3"/>
  <c r="AC1082" i="3" s="1"/>
  <c r="AD1083" i="3"/>
  <c r="AC1083" i="3" s="1"/>
  <c r="AD1084" i="3"/>
  <c r="AC1084" i="3" s="1"/>
  <c r="AD1085" i="3"/>
  <c r="AC1085" i="3" s="1"/>
  <c r="AD1086" i="3"/>
  <c r="AC1086" i="3" s="1"/>
  <c r="AD1087" i="3"/>
  <c r="AC1087" i="3" s="1"/>
  <c r="AD1088" i="3"/>
  <c r="AC1088" i="3" s="1"/>
  <c r="AD1089" i="3"/>
  <c r="AC1089" i="3" s="1"/>
  <c r="AD1090" i="3"/>
  <c r="AC1090" i="3" s="1"/>
  <c r="AD1091" i="3"/>
  <c r="AC1091" i="3" s="1"/>
  <c r="AD1092" i="3"/>
  <c r="AC1092" i="3" s="1"/>
  <c r="AD1093" i="3"/>
  <c r="AC1093" i="3" s="1"/>
  <c r="AD1094" i="3"/>
  <c r="AC1094" i="3" s="1"/>
  <c r="AD1095" i="3"/>
  <c r="AC1095" i="3" s="1"/>
  <c r="AD1096" i="3"/>
  <c r="AC1096" i="3" s="1"/>
  <c r="AD1097" i="3"/>
  <c r="AC1097" i="3" s="1"/>
  <c r="AD1098" i="3"/>
  <c r="AC1098" i="3" s="1"/>
  <c r="AD1099" i="3"/>
  <c r="AC1099" i="3" s="1"/>
  <c r="AD1100" i="3"/>
  <c r="AC1100" i="3" s="1"/>
  <c r="AD1101" i="3"/>
  <c r="AC1101" i="3" s="1"/>
  <c r="AD1102" i="3"/>
  <c r="AC1102" i="3" s="1"/>
  <c r="AD1103" i="3"/>
  <c r="AC1103" i="3" s="1"/>
  <c r="AD1104" i="3"/>
  <c r="AC1104" i="3" s="1"/>
  <c r="AD1105" i="3"/>
  <c r="AC1105" i="3" s="1"/>
  <c r="AD1106" i="3"/>
  <c r="AC1106" i="3" s="1"/>
  <c r="AD1107" i="3"/>
  <c r="AC1107" i="3" s="1"/>
  <c r="AD1108" i="3"/>
  <c r="AC1108" i="3" s="1"/>
  <c r="AD1109" i="3"/>
  <c r="AC1109" i="3" s="1"/>
  <c r="AD1110" i="3"/>
  <c r="AC1110" i="3" s="1"/>
  <c r="AD1111" i="3"/>
  <c r="AC1111" i="3" s="1"/>
  <c r="AD1112" i="3"/>
  <c r="AC1112" i="3" s="1"/>
  <c r="AD1113" i="3"/>
  <c r="AC1113" i="3" s="1"/>
  <c r="AD1114" i="3"/>
  <c r="AC1114" i="3" s="1"/>
  <c r="AD1115" i="3"/>
  <c r="AC1115" i="3" s="1"/>
  <c r="AD1116" i="3"/>
  <c r="AC1116" i="3" s="1"/>
  <c r="AD1117" i="3"/>
  <c r="AC1117" i="3" s="1"/>
  <c r="AD1118" i="3"/>
  <c r="AC1118" i="3" s="1"/>
  <c r="AD1119" i="3"/>
  <c r="AC1119" i="3" s="1"/>
  <c r="AD1120" i="3"/>
  <c r="AC1120" i="3" s="1"/>
  <c r="AD1121" i="3"/>
  <c r="AC1121" i="3" s="1"/>
  <c r="AD1122" i="3"/>
  <c r="AC1122" i="3" s="1"/>
  <c r="AD1123" i="3"/>
  <c r="AC1123" i="3" s="1"/>
  <c r="AD1124" i="3"/>
  <c r="AC1124" i="3" s="1"/>
  <c r="AD1125" i="3"/>
  <c r="AC1125" i="3" s="1"/>
  <c r="AD1126" i="3"/>
  <c r="AC1126" i="3" s="1"/>
  <c r="AD1127" i="3"/>
  <c r="AC1127" i="3" s="1"/>
  <c r="AD1128" i="3"/>
  <c r="AC1128" i="3" s="1"/>
  <c r="AD1129" i="3"/>
  <c r="AC1129" i="3" s="1"/>
  <c r="AD1130" i="3"/>
  <c r="AC1130" i="3" s="1"/>
  <c r="AD1131" i="3"/>
  <c r="AC1131" i="3" s="1"/>
  <c r="AD1132" i="3"/>
  <c r="AC1132" i="3" s="1"/>
  <c r="AD1133" i="3"/>
  <c r="AC1133" i="3" s="1"/>
  <c r="AD1134" i="3"/>
  <c r="AC1134" i="3" s="1"/>
  <c r="AD1135" i="3"/>
  <c r="AC1135" i="3" s="1"/>
  <c r="AD1136" i="3"/>
  <c r="AC1136" i="3" s="1"/>
  <c r="AD1137" i="3"/>
  <c r="AC1137" i="3" s="1"/>
  <c r="AD1138" i="3"/>
  <c r="AC1138" i="3" s="1"/>
  <c r="AD1139" i="3"/>
  <c r="AC1139" i="3" s="1"/>
  <c r="AD1140" i="3"/>
  <c r="AC1140" i="3" s="1"/>
  <c r="AD1141" i="3"/>
  <c r="AC1141" i="3" s="1"/>
  <c r="AD1142" i="3"/>
  <c r="AC1142" i="3" s="1"/>
  <c r="AD1143" i="3"/>
  <c r="AC1143" i="3" s="1"/>
  <c r="AD1144" i="3"/>
  <c r="AC1144" i="3" s="1"/>
  <c r="AD1145" i="3"/>
  <c r="AC1145" i="3" s="1"/>
  <c r="AD1146" i="3"/>
  <c r="AC1146" i="3" s="1"/>
  <c r="AD1147" i="3"/>
  <c r="AC1147" i="3" s="1"/>
  <c r="AD1148" i="3"/>
  <c r="AC1148" i="3" s="1"/>
  <c r="AD1149" i="3"/>
  <c r="AC1149" i="3" s="1"/>
  <c r="AD1150" i="3"/>
  <c r="AC1150" i="3" s="1"/>
  <c r="AD1151" i="3"/>
  <c r="AC1151" i="3" s="1"/>
  <c r="AD1152" i="3"/>
  <c r="AC1152" i="3" s="1"/>
  <c r="AD1153" i="3"/>
  <c r="AC1153" i="3" s="1"/>
  <c r="AD1154" i="3"/>
  <c r="AC1154" i="3" s="1"/>
  <c r="AD1155" i="3"/>
  <c r="AC1155" i="3" s="1"/>
  <c r="AD1156" i="3"/>
  <c r="AC1156" i="3" s="1"/>
  <c r="AD1157" i="3"/>
  <c r="AC1157" i="3" s="1"/>
  <c r="AD1158" i="3"/>
  <c r="AC1158" i="3" s="1"/>
  <c r="AD1159" i="3"/>
  <c r="AC1159" i="3" s="1"/>
  <c r="AD1160" i="3"/>
  <c r="AC1160" i="3" s="1"/>
  <c r="AD1161" i="3"/>
  <c r="AC1161" i="3" s="1"/>
  <c r="AD1162" i="3"/>
  <c r="AC1162" i="3" s="1"/>
  <c r="AD1163" i="3"/>
  <c r="AC1163" i="3" s="1"/>
  <c r="AD1164" i="3"/>
  <c r="AC1164" i="3" s="1"/>
  <c r="AD1165" i="3"/>
  <c r="AC1165" i="3" s="1"/>
  <c r="AD1166" i="3"/>
  <c r="AC1166" i="3" s="1"/>
  <c r="AD1167" i="3"/>
  <c r="AC1167" i="3" s="1"/>
  <c r="AD1168" i="3"/>
  <c r="AC1168" i="3" s="1"/>
  <c r="AD1169" i="3"/>
  <c r="AC1169" i="3" s="1"/>
  <c r="AD1170" i="3"/>
  <c r="AC1170" i="3" s="1"/>
  <c r="AD1171" i="3"/>
  <c r="AC1171" i="3" s="1"/>
  <c r="AD1172" i="3"/>
  <c r="AC1172" i="3" s="1"/>
  <c r="AD1173" i="3"/>
  <c r="AC1173" i="3" s="1"/>
  <c r="AD1174" i="3"/>
  <c r="AC1174" i="3" s="1"/>
  <c r="AD1175" i="3"/>
  <c r="AC1175" i="3" s="1"/>
  <c r="AD1176" i="3"/>
  <c r="AC1176" i="3" s="1"/>
  <c r="AD1177" i="3"/>
  <c r="AC1177" i="3" s="1"/>
  <c r="AD1178" i="3"/>
  <c r="AC1178" i="3" s="1"/>
  <c r="AD1179" i="3"/>
  <c r="AC1179" i="3" s="1"/>
  <c r="AD1180" i="3"/>
  <c r="AC1180" i="3" s="1"/>
  <c r="AD1181" i="3"/>
  <c r="AC1181" i="3" s="1"/>
  <c r="AD1182" i="3"/>
  <c r="AC1182" i="3" s="1"/>
  <c r="AD1183" i="3"/>
  <c r="AC1183" i="3" s="1"/>
  <c r="AD1184" i="3"/>
  <c r="AC1184" i="3" s="1"/>
  <c r="AD1185" i="3"/>
  <c r="AC1185" i="3" s="1"/>
  <c r="AD1186" i="3"/>
  <c r="AC1186" i="3" s="1"/>
  <c r="AD1187" i="3"/>
  <c r="AC1187" i="3" s="1"/>
  <c r="AD1188" i="3"/>
  <c r="AC1188" i="3" s="1"/>
  <c r="AD1189" i="3"/>
  <c r="AC1189" i="3" s="1"/>
  <c r="AD1190" i="3"/>
  <c r="AC1190" i="3" s="1"/>
  <c r="AD1191" i="3"/>
  <c r="AC1191" i="3" s="1"/>
  <c r="AD1192" i="3"/>
  <c r="AC1192" i="3" s="1"/>
  <c r="AD1193" i="3"/>
  <c r="AC1193" i="3" s="1"/>
  <c r="AD1194" i="3"/>
  <c r="AC1194" i="3" s="1"/>
  <c r="AD1195" i="3"/>
  <c r="AC1195" i="3" s="1"/>
  <c r="AD1196" i="3"/>
  <c r="AC1196" i="3" s="1"/>
  <c r="AD1197" i="3"/>
  <c r="AC1197" i="3" s="1"/>
  <c r="AD1198" i="3"/>
  <c r="AC1198" i="3" s="1"/>
  <c r="AD1199" i="3"/>
  <c r="AC1199" i="3" s="1"/>
  <c r="AD1200" i="3"/>
  <c r="AC1200" i="3" s="1"/>
  <c r="AD1201" i="3"/>
  <c r="AC1201" i="3" s="1"/>
  <c r="AD1202" i="3"/>
  <c r="AC1202" i="3" s="1"/>
  <c r="AD1203" i="3"/>
  <c r="AC1203" i="3" s="1"/>
  <c r="AD1204" i="3"/>
  <c r="AC1204" i="3" s="1"/>
  <c r="AD1205" i="3"/>
  <c r="AC1205" i="3" s="1"/>
  <c r="AD1206" i="3"/>
  <c r="AC1206" i="3" s="1"/>
  <c r="AD1207" i="3"/>
  <c r="AC1207" i="3" s="1"/>
  <c r="AD1208" i="3"/>
  <c r="AC1208" i="3" s="1"/>
  <c r="AD1209" i="3"/>
  <c r="AC1209" i="3" s="1"/>
  <c r="AD1210" i="3"/>
  <c r="AC1210" i="3" s="1"/>
  <c r="AD1211" i="3"/>
  <c r="AC1211" i="3" s="1"/>
  <c r="AD1212" i="3"/>
  <c r="AC1212" i="3" s="1"/>
  <c r="AD1213" i="3"/>
  <c r="AC1213" i="3" s="1"/>
  <c r="AD1214" i="3"/>
  <c r="AC1214" i="3" s="1"/>
  <c r="AD1215" i="3"/>
  <c r="AC1215" i="3" s="1"/>
  <c r="AD1216" i="3"/>
  <c r="AC1216" i="3" s="1"/>
  <c r="AD1217" i="3"/>
  <c r="AC1217" i="3" s="1"/>
  <c r="AD1218" i="3"/>
  <c r="AC1218" i="3" s="1"/>
  <c r="AD1219" i="3"/>
  <c r="AC1219" i="3" s="1"/>
  <c r="AD1220" i="3"/>
  <c r="AC1220" i="3" s="1"/>
  <c r="AD1221" i="3"/>
  <c r="AC1221" i="3" s="1"/>
  <c r="AD1222" i="3"/>
  <c r="AC1222" i="3" s="1"/>
  <c r="AD1223" i="3"/>
  <c r="AC1223" i="3" s="1"/>
  <c r="AD1224" i="3"/>
  <c r="AC1224" i="3" s="1"/>
  <c r="AD1225" i="3"/>
  <c r="AC1225" i="3" s="1"/>
  <c r="AD1226" i="3"/>
  <c r="AC1226" i="3" s="1"/>
  <c r="AD1227" i="3"/>
  <c r="AC1227" i="3" s="1"/>
  <c r="AD1228" i="3"/>
  <c r="AC1228" i="3" s="1"/>
  <c r="AD1229" i="3"/>
  <c r="AC1229" i="3" s="1"/>
  <c r="AD1230" i="3"/>
  <c r="AC1230" i="3" s="1"/>
  <c r="AD1231" i="3"/>
  <c r="AC1231" i="3" s="1"/>
  <c r="AD1232" i="3"/>
  <c r="AC1232" i="3" s="1"/>
  <c r="AD1233" i="3"/>
  <c r="AC1233" i="3" s="1"/>
  <c r="AD1234" i="3"/>
  <c r="AC1234" i="3" s="1"/>
  <c r="AD1235" i="3"/>
  <c r="AC1235" i="3" s="1"/>
  <c r="AD1236" i="3"/>
  <c r="AC1236" i="3" s="1"/>
  <c r="AD1237" i="3"/>
  <c r="AC1237" i="3" s="1"/>
  <c r="AD1238" i="3"/>
  <c r="AC1238" i="3" s="1"/>
  <c r="AD1239" i="3"/>
  <c r="AC1239" i="3" s="1"/>
  <c r="AD1240" i="3"/>
  <c r="AC1240" i="3" s="1"/>
  <c r="AD1241" i="3"/>
  <c r="AC1241" i="3" s="1"/>
  <c r="AD1242" i="3"/>
  <c r="AC1242" i="3" s="1"/>
  <c r="AD1243" i="3"/>
  <c r="AC1243" i="3" s="1"/>
  <c r="AD1244" i="3"/>
  <c r="AC1244" i="3" s="1"/>
  <c r="AD1245" i="3"/>
  <c r="AC1245" i="3" s="1"/>
  <c r="AD1246" i="3"/>
  <c r="AC1246" i="3" s="1"/>
  <c r="AD1247" i="3"/>
  <c r="AC1247" i="3" s="1"/>
  <c r="AD1248" i="3"/>
  <c r="AC1248" i="3" s="1"/>
  <c r="AD1249" i="3"/>
  <c r="AC1249" i="3" s="1"/>
  <c r="AD1250" i="3"/>
  <c r="AC1250" i="3" s="1"/>
  <c r="AD1251" i="3"/>
  <c r="AC1251" i="3" s="1"/>
  <c r="AD1252" i="3"/>
  <c r="AC1252" i="3" s="1"/>
  <c r="AD1253" i="3"/>
  <c r="AC1253" i="3" s="1"/>
  <c r="AD1254" i="3"/>
  <c r="AC1254" i="3" s="1"/>
  <c r="AD1255" i="3"/>
  <c r="AC1255" i="3" s="1"/>
  <c r="AD1256" i="3"/>
  <c r="AC1256" i="3" s="1"/>
  <c r="AD1257" i="3"/>
  <c r="AC1257" i="3" s="1"/>
  <c r="AD1258" i="3"/>
  <c r="AC1258" i="3" s="1"/>
  <c r="AD1259" i="3"/>
  <c r="AC1259" i="3" s="1"/>
  <c r="AD1260" i="3"/>
  <c r="AC1260" i="3" s="1"/>
  <c r="AD1261" i="3"/>
  <c r="AC1261" i="3" s="1"/>
  <c r="AD1262" i="3"/>
  <c r="AC1262" i="3" s="1"/>
  <c r="AD1263" i="3"/>
  <c r="AC1263" i="3" s="1"/>
  <c r="AD1264" i="3"/>
  <c r="AC1264" i="3" s="1"/>
  <c r="AD1265" i="3"/>
  <c r="AC1265" i="3" s="1"/>
  <c r="AD1266" i="3"/>
  <c r="AC1266" i="3" s="1"/>
  <c r="AD1267" i="3"/>
  <c r="AC1267" i="3" s="1"/>
  <c r="AD1268" i="3"/>
  <c r="AC1268" i="3" s="1"/>
  <c r="AD1269" i="3"/>
  <c r="AC1269" i="3" s="1"/>
  <c r="AD1270" i="3"/>
  <c r="AC1270" i="3" s="1"/>
  <c r="AD1271" i="3"/>
  <c r="AC1271" i="3" s="1"/>
  <c r="AD1272" i="3"/>
  <c r="AC1272" i="3" s="1"/>
  <c r="AD1273" i="3"/>
  <c r="AC1273" i="3" s="1"/>
  <c r="AD1274" i="3"/>
  <c r="AC1274" i="3" s="1"/>
  <c r="AD1275" i="3"/>
  <c r="AC1275" i="3" s="1"/>
  <c r="AD1276" i="3"/>
  <c r="AC1276" i="3" s="1"/>
  <c r="AD1277" i="3"/>
  <c r="AC1277" i="3" s="1"/>
  <c r="AD1278" i="3"/>
  <c r="AC1278" i="3" s="1"/>
  <c r="AD1279" i="3"/>
  <c r="AC1279" i="3" s="1"/>
  <c r="AD1280" i="3"/>
  <c r="AC1280" i="3" s="1"/>
  <c r="AD1281" i="3"/>
  <c r="AC1281" i="3" s="1"/>
  <c r="AD1282" i="3"/>
  <c r="AC1282" i="3" s="1"/>
  <c r="AD1283" i="3"/>
  <c r="AC1283" i="3" s="1"/>
  <c r="AD1284" i="3"/>
  <c r="AC1284" i="3" s="1"/>
  <c r="AD1285" i="3"/>
  <c r="AC1285" i="3" s="1"/>
  <c r="AD1286" i="3"/>
  <c r="AC1286" i="3" s="1"/>
  <c r="AD1287" i="3"/>
  <c r="AC1287" i="3" s="1"/>
  <c r="AD1288" i="3"/>
  <c r="AC1288" i="3" s="1"/>
  <c r="AD1289" i="3"/>
  <c r="AC1289" i="3" s="1"/>
  <c r="AD1290" i="3"/>
  <c r="AC1290" i="3" s="1"/>
  <c r="AD1291" i="3"/>
  <c r="AC1291" i="3" s="1"/>
  <c r="AD1292" i="3"/>
  <c r="AC1292" i="3" s="1"/>
  <c r="AD1293" i="3"/>
  <c r="AC1293" i="3" s="1"/>
  <c r="AD1294" i="3"/>
  <c r="AC1294" i="3" s="1"/>
  <c r="AD1295" i="3"/>
  <c r="AC1295" i="3" s="1"/>
  <c r="AD1296" i="3"/>
  <c r="AC1296" i="3" s="1"/>
  <c r="AD1297" i="3"/>
  <c r="AC1297" i="3" s="1"/>
  <c r="AD1298" i="3"/>
  <c r="AC1298" i="3" s="1"/>
  <c r="AD1299" i="3"/>
  <c r="AC1299" i="3" s="1"/>
  <c r="AD1300" i="3"/>
  <c r="AC1300" i="3" s="1"/>
  <c r="AD1301" i="3"/>
  <c r="AC1301" i="3" s="1"/>
  <c r="AD1302" i="3"/>
  <c r="AC1302" i="3" s="1"/>
  <c r="AD1303" i="3"/>
  <c r="AC1303" i="3" s="1"/>
  <c r="AD1304" i="3"/>
  <c r="AC1304" i="3" s="1"/>
  <c r="AD1305" i="3"/>
  <c r="AC1305" i="3" s="1"/>
  <c r="AD1306" i="3"/>
  <c r="AC1306" i="3" s="1"/>
  <c r="AD1307" i="3"/>
  <c r="AC1307" i="3" s="1"/>
  <c r="AD1308" i="3"/>
  <c r="AC1308" i="3" s="1"/>
  <c r="AD1309" i="3"/>
  <c r="AC1309" i="3" s="1"/>
  <c r="AD1310" i="3"/>
  <c r="AC1310" i="3" s="1"/>
  <c r="AD1311" i="3"/>
  <c r="AC1311" i="3" s="1"/>
  <c r="AD1312" i="3"/>
  <c r="AC1312" i="3" s="1"/>
  <c r="AD1313" i="3"/>
  <c r="AC1313" i="3" s="1"/>
  <c r="AD1314" i="3"/>
  <c r="AC1314" i="3" s="1"/>
  <c r="AD1315" i="3"/>
  <c r="AC1315" i="3" s="1"/>
  <c r="AD1316" i="3"/>
  <c r="AC1316" i="3" s="1"/>
  <c r="AD1317" i="3"/>
  <c r="AC1317" i="3" s="1"/>
  <c r="AD1318" i="3"/>
  <c r="AC1318" i="3" s="1"/>
  <c r="AD1319" i="3"/>
  <c r="AC1319" i="3" s="1"/>
  <c r="AD1320" i="3"/>
  <c r="AC1320" i="3" s="1"/>
  <c r="AD1321" i="3"/>
  <c r="AC1321" i="3" s="1"/>
  <c r="AD1322" i="3"/>
  <c r="AC1322" i="3" s="1"/>
  <c r="AD1323" i="3"/>
  <c r="AC1323" i="3" s="1"/>
  <c r="AD1324" i="3"/>
  <c r="AC1324" i="3" s="1"/>
  <c r="AD1325" i="3"/>
  <c r="AC1325" i="3" s="1"/>
  <c r="AD1326" i="3"/>
  <c r="AC1326" i="3" s="1"/>
  <c r="AD1327" i="3"/>
  <c r="AC1327" i="3" s="1"/>
  <c r="AD1328" i="3"/>
  <c r="AC1328" i="3" s="1"/>
  <c r="AD1329" i="3"/>
  <c r="AC1329" i="3" s="1"/>
  <c r="AD1330" i="3"/>
  <c r="AC1330" i="3" s="1"/>
  <c r="AD1331" i="3"/>
  <c r="AC1331" i="3" s="1"/>
  <c r="AD1332" i="3"/>
  <c r="AC1332" i="3" s="1"/>
  <c r="AD1333" i="3"/>
  <c r="AC1333" i="3" s="1"/>
  <c r="AD1334" i="3"/>
  <c r="AC1334" i="3" s="1"/>
  <c r="AD1335" i="3"/>
  <c r="AC1335" i="3" s="1"/>
  <c r="AD1336" i="3"/>
  <c r="AC1336" i="3" s="1"/>
  <c r="AD1337" i="3"/>
  <c r="AC1337" i="3" s="1"/>
  <c r="AD1338" i="3"/>
  <c r="AC1338" i="3" s="1"/>
  <c r="AD1339" i="3"/>
  <c r="AC1339" i="3" s="1"/>
  <c r="AD1340" i="3"/>
  <c r="AC1340" i="3" s="1"/>
  <c r="AD1341" i="3"/>
  <c r="AC1341" i="3" s="1"/>
  <c r="AD1342" i="3"/>
  <c r="AC1342" i="3" s="1"/>
  <c r="AD1343" i="3"/>
  <c r="AC1343" i="3" s="1"/>
  <c r="AD1344" i="3"/>
  <c r="AC1344" i="3" s="1"/>
  <c r="AD1345" i="3"/>
  <c r="AC1345" i="3" s="1"/>
  <c r="AD1346" i="3"/>
  <c r="AC1346" i="3" s="1"/>
  <c r="AD1347" i="3"/>
  <c r="AC1347" i="3" s="1"/>
  <c r="AD1348" i="3"/>
  <c r="AC1348" i="3" s="1"/>
  <c r="AD1349" i="3"/>
  <c r="AC1349" i="3" s="1"/>
  <c r="AD1350" i="3"/>
  <c r="AC1350" i="3" s="1"/>
  <c r="AD1351" i="3"/>
  <c r="AC1351" i="3" s="1"/>
  <c r="AD1352" i="3"/>
  <c r="AC1352" i="3" s="1"/>
  <c r="AD1353" i="3"/>
  <c r="AC1353" i="3" s="1"/>
  <c r="AD1354" i="3"/>
  <c r="AC1354" i="3" s="1"/>
  <c r="AD1355" i="3"/>
  <c r="AC1355" i="3" s="1"/>
  <c r="AD1356" i="3"/>
  <c r="AC1356" i="3" s="1"/>
  <c r="AD1357" i="3"/>
  <c r="AC1357" i="3" s="1"/>
  <c r="AD1358" i="3"/>
  <c r="AC1358" i="3" s="1"/>
  <c r="AD1359" i="3"/>
  <c r="AC1359" i="3" s="1"/>
  <c r="AD1360" i="3"/>
  <c r="AC1360" i="3" s="1"/>
  <c r="AD1361" i="3"/>
  <c r="AC1361" i="3" s="1"/>
  <c r="AD1362" i="3"/>
  <c r="AC1362" i="3" s="1"/>
  <c r="AD1363" i="3"/>
  <c r="AC1363" i="3" s="1"/>
  <c r="AD1364" i="3"/>
  <c r="AC1364" i="3" s="1"/>
  <c r="AD1365" i="3"/>
  <c r="AC1365" i="3" s="1"/>
  <c r="AD1366" i="3"/>
  <c r="AC1366" i="3" s="1"/>
  <c r="AD1367" i="3"/>
  <c r="AC1367" i="3" s="1"/>
  <c r="AD1368" i="3"/>
  <c r="AC1368" i="3" s="1"/>
  <c r="AD1369" i="3"/>
  <c r="AC1369" i="3" s="1"/>
  <c r="AD1370" i="3"/>
  <c r="AC1370" i="3" s="1"/>
  <c r="AD1371" i="3"/>
  <c r="AC1371" i="3" s="1"/>
  <c r="AD1372" i="3"/>
  <c r="AC1372" i="3" s="1"/>
  <c r="AD1373" i="3"/>
  <c r="AC1373" i="3" s="1"/>
  <c r="AD1374" i="3"/>
  <c r="AC1374" i="3" s="1"/>
  <c r="AD1375" i="3"/>
  <c r="AC1375" i="3" s="1"/>
  <c r="AD1376" i="3"/>
  <c r="AC1376" i="3" s="1"/>
  <c r="AD1377" i="3"/>
  <c r="AC1377" i="3" s="1"/>
  <c r="AD1378" i="3"/>
  <c r="AC1378" i="3" s="1"/>
  <c r="AD1379" i="3"/>
  <c r="AC1379" i="3" s="1"/>
  <c r="AD1380" i="3"/>
  <c r="AC1380" i="3" s="1"/>
  <c r="AD1381" i="3"/>
  <c r="AC1381" i="3" s="1"/>
  <c r="AD1382" i="3"/>
  <c r="AC1382" i="3" s="1"/>
  <c r="AD1383" i="3"/>
  <c r="AC1383" i="3" s="1"/>
  <c r="AD1384" i="3"/>
  <c r="AC1384" i="3" s="1"/>
  <c r="AD1385" i="3"/>
  <c r="AC1385" i="3" s="1"/>
  <c r="AD1386" i="3"/>
  <c r="AC1386" i="3" s="1"/>
  <c r="AD1387" i="3"/>
  <c r="AC1387" i="3" s="1"/>
  <c r="AD1388" i="3"/>
  <c r="AC1388" i="3" s="1"/>
  <c r="AD1389" i="3"/>
  <c r="AC1389" i="3" s="1"/>
  <c r="AD1390" i="3"/>
  <c r="AC1390" i="3" s="1"/>
  <c r="AD1391" i="3"/>
  <c r="AC1391" i="3" s="1"/>
  <c r="AD1392" i="3"/>
  <c r="AC1392" i="3" s="1"/>
  <c r="AD1393" i="3"/>
  <c r="AC1393" i="3" s="1"/>
  <c r="AD1394" i="3"/>
  <c r="AC1394" i="3" s="1"/>
  <c r="AD1395" i="3"/>
  <c r="AC1395" i="3" s="1"/>
  <c r="AD1396" i="3"/>
  <c r="AC1396" i="3" s="1"/>
  <c r="AD1397" i="3"/>
  <c r="AC1397" i="3" s="1"/>
  <c r="AD1398" i="3"/>
  <c r="AC1398" i="3" s="1"/>
  <c r="AD1399" i="3"/>
  <c r="AC1399" i="3" s="1"/>
  <c r="AD1400" i="3"/>
  <c r="AC1400" i="3" s="1"/>
  <c r="AD1401" i="3"/>
  <c r="AC1401" i="3" s="1"/>
  <c r="AD1402" i="3"/>
  <c r="AC1402" i="3" s="1"/>
  <c r="AD1403" i="3"/>
  <c r="AC1403" i="3" s="1"/>
  <c r="AD1404" i="3"/>
  <c r="AC1404" i="3" s="1"/>
  <c r="AD1405" i="3"/>
  <c r="AC1405" i="3" s="1"/>
  <c r="AD1406" i="3"/>
  <c r="AC1406" i="3" s="1"/>
  <c r="AD1407" i="3"/>
  <c r="AC1407" i="3" s="1"/>
  <c r="AD1408" i="3"/>
  <c r="AC1408" i="3" s="1"/>
  <c r="AD1409" i="3"/>
  <c r="AC1409" i="3" s="1"/>
  <c r="AD1410" i="3"/>
  <c r="AC1410" i="3" s="1"/>
  <c r="AD1411" i="3"/>
  <c r="AC1411" i="3" s="1"/>
  <c r="AD1412" i="3"/>
  <c r="AC1412" i="3" s="1"/>
  <c r="AD1413" i="3"/>
  <c r="AC1413" i="3" s="1"/>
  <c r="AD1414" i="3"/>
  <c r="AC1414" i="3" s="1"/>
  <c r="AD1415" i="3"/>
  <c r="AC1415" i="3" s="1"/>
  <c r="AD1416" i="3"/>
  <c r="AC1416" i="3" s="1"/>
  <c r="AD1417" i="3"/>
  <c r="AC1417" i="3" s="1"/>
  <c r="AD1418" i="3"/>
  <c r="AC1418" i="3" s="1"/>
  <c r="AD1419" i="3"/>
  <c r="AC1419" i="3" s="1"/>
  <c r="AD1420" i="3"/>
  <c r="AC1420" i="3" s="1"/>
  <c r="AD1421" i="3"/>
  <c r="AC1421" i="3" s="1"/>
  <c r="AD1422" i="3"/>
  <c r="AC1422" i="3" s="1"/>
  <c r="AD1423" i="3"/>
  <c r="AC1423" i="3" s="1"/>
  <c r="AD1424" i="3"/>
  <c r="AC1424" i="3" s="1"/>
  <c r="AD1425" i="3"/>
  <c r="AC1425" i="3" s="1"/>
  <c r="AD1426" i="3"/>
  <c r="AC1426" i="3" s="1"/>
  <c r="AD1427" i="3"/>
  <c r="AC1427" i="3" s="1"/>
  <c r="AD1428" i="3"/>
  <c r="AC1428" i="3" s="1"/>
  <c r="AD1429" i="3"/>
  <c r="AC1429" i="3" s="1"/>
  <c r="AD1430" i="3"/>
  <c r="AC1430" i="3" s="1"/>
  <c r="AD1431" i="3"/>
  <c r="AC1431" i="3" s="1"/>
  <c r="AD1432" i="3"/>
  <c r="AC1432" i="3" s="1"/>
  <c r="AD1433" i="3"/>
  <c r="AC1433" i="3" s="1"/>
  <c r="AD1434" i="3"/>
  <c r="AC1434" i="3" s="1"/>
  <c r="AD1435" i="3"/>
  <c r="AC1435" i="3" s="1"/>
  <c r="AD1436" i="3"/>
  <c r="AC1436" i="3" s="1"/>
  <c r="AD1437" i="3"/>
  <c r="AC1437" i="3" s="1"/>
  <c r="AD1438" i="3"/>
  <c r="AC1438" i="3" s="1"/>
  <c r="AD1439" i="3"/>
  <c r="AC1439" i="3" s="1"/>
  <c r="AD1440" i="3"/>
  <c r="AC1440" i="3" s="1"/>
  <c r="AD1441" i="3"/>
  <c r="AC1441" i="3" s="1"/>
  <c r="AD1442" i="3"/>
  <c r="AC1442" i="3" s="1"/>
  <c r="AD1443" i="3"/>
  <c r="AC1443" i="3" s="1"/>
  <c r="AD1444" i="3"/>
  <c r="AC1444" i="3" s="1"/>
  <c r="AD1445" i="3"/>
  <c r="AC1445" i="3" s="1"/>
  <c r="AD1446" i="3"/>
  <c r="AC1446" i="3" s="1"/>
  <c r="AD1447" i="3"/>
  <c r="AC1447" i="3" s="1"/>
  <c r="AD1448" i="3"/>
  <c r="AC1448" i="3" s="1"/>
  <c r="AD1449" i="3"/>
  <c r="AC1449" i="3" s="1"/>
  <c r="AD1450" i="3"/>
  <c r="AC1450" i="3" s="1"/>
  <c r="AD1451" i="3"/>
  <c r="AC1451" i="3" s="1"/>
  <c r="AD1452" i="3"/>
  <c r="AC1452" i="3" s="1"/>
  <c r="AD1453" i="3"/>
  <c r="AC1453" i="3" s="1"/>
  <c r="AD1454" i="3"/>
  <c r="AC1454" i="3" s="1"/>
  <c r="AD1455" i="3"/>
  <c r="AC1455" i="3" s="1"/>
  <c r="AD1456" i="3"/>
  <c r="AC1456" i="3" s="1"/>
  <c r="AD1457" i="3"/>
  <c r="AC1457" i="3" s="1"/>
  <c r="AD1458" i="3"/>
  <c r="AC1458" i="3" s="1"/>
  <c r="AD1459" i="3"/>
  <c r="AC1459" i="3" s="1"/>
  <c r="AD1460" i="3"/>
  <c r="AC1460" i="3" s="1"/>
  <c r="AD1461" i="3"/>
  <c r="AC1461" i="3" s="1"/>
  <c r="AD1462" i="3"/>
  <c r="AC1462" i="3" s="1"/>
  <c r="AD1463" i="3"/>
  <c r="AC1463" i="3" s="1"/>
  <c r="AD1464" i="3"/>
  <c r="AC1464" i="3" s="1"/>
  <c r="AD1465" i="3"/>
  <c r="AC1465" i="3" s="1"/>
  <c r="AD1466" i="3"/>
  <c r="AC1466" i="3" s="1"/>
  <c r="AD1467" i="3"/>
  <c r="AC1467" i="3" s="1"/>
  <c r="AD1468" i="3"/>
  <c r="AC1468" i="3" s="1"/>
  <c r="AD1469" i="3"/>
  <c r="AC1469" i="3" s="1"/>
  <c r="AD1470" i="3"/>
  <c r="AC1470" i="3" s="1"/>
  <c r="AD1471" i="3"/>
  <c r="AC1471" i="3" s="1"/>
  <c r="AD1472" i="3"/>
  <c r="AC1472" i="3" s="1"/>
  <c r="AD1473" i="3"/>
  <c r="AC1473" i="3" s="1"/>
  <c r="AD1474" i="3"/>
  <c r="AC1474" i="3" s="1"/>
  <c r="AD1475" i="3"/>
  <c r="AC1475" i="3" s="1"/>
  <c r="AD1476" i="3"/>
  <c r="AC1476" i="3" s="1"/>
  <c r="AD1477" i="3"/>
  <c r="AC1477" i="3" s="1"/>
  <c r="AD1478" i="3"/>
  <c r="AC1478" i="3" s="1"/>
  <c r="AD1479" i="3"/>
  <c r="AC1479" i="3" s="1"/>
  <c r="AD1480" i="3"/>
  <c r="AC1480" i="3" s="1"/>
  <c r="AD1481" i="3"/>
  <c r="AC1481" i="3" s="1"/>
  <c r="AD1482" i="3"/>
  <c r="AC1482" i="3" s="1"/>
  <c r="AD1483" i="3"/>
  <c r="AC1483" i="3" s="1"/>
  <c r="AD1484" i="3"/>
  <c r="AC1484" i="3" s="1"/>
  <c r="AD1485" i="3"/>
  <c r="AC1485" i="3" s="1"/>
  <c r="AD1486" i="3"/>
  <c r="AC1486" i="3" s="1"/>
  <c r="AD1487" i="3"/>
  <c r="AC1487" i="3" s="1"/>
  <c r="AD1488" i="3"/>
  <c r="AC1488" i="3" s="1"/>
  <c r="AD1489" i="3"/>
  <c r="AC1489" i="3" s="1"/>
  <c r="AD1490" i="3"/>
  <c r="AC1490" i="3" s="1"/>
  <c r="AD1491" i="3"/>
  <c r="AC1491" i="3" s="1"/>
  <c r="AD1492" i="3"/>
  <c r="AC1492" i="3" s="1"/>
  <c r="AD1493" i="3"/>
  <c r="AC1493" i="3" s="1"/>
  <c r="AD1494" i="3"/>
  <c r="AC1494" i="3" s="1"/>
  <c r="AD1495" i="3"/>
  <c r="AC1495" i="3" s="1"/>
  <c r="AD1496" i="3"/>
  <c r="AC1496" i="3" s="1"/>
  <c r="AD1497" i="3"/>
  <c r="AC1497" i="3" s="1"/>
  <c r="AD1498" i="3"/>
  <c r="AC1498" i="3" s="1"/>
  <c r="AD1499" i="3"/>
  <c r="AC1499" i="3" s="1"/>
  <c r="AD1500" i="3"/>
  <c r="AC1500" i="3" s="1"/>
  <c r="AD1501" i="3"/>
  <c r="AC1501" i="3" s="1"/>
  <c r="AD1502" i="3"/>
  <c r="AC1502" i="3" s="1"/>
  <c r="AD1503" i="3"/>
  <c r="AC1503" i="3" s="1"/>
  <c r="AD1504" i="3"/>
  <c r="AC1504" i="3" s="1"/>
  <c r="AD1505" i="3"/>
  <c r="AC1505" i="3" s="1"/>
  <c r="AD1506" i="3"/>
  <c r="AC1506" i="3" s="1"/>
  <c r="AD1507" i="3"/>
  <c r="AC1507" i="3" s="1"/>
  <c r="AD1508" i="3"/>
  <c r="AC1508" i="3" s="1"/>
  <c r="AD1509" i="3"/>
  <c r="AC1509" i="3" s="1"/>
  <c r="AD1510" i="3"/>
  <c r="AC1510" i="3" s="1"/>
  <c r="AD1511" i="3"/>
  <c r="AC1511" i="3" s="1"/>
  <c r="AD1512" i="3"/>
  <c r="AC1512" i="3" s="1"/>
  <c r="AD1513" i="3"/>
  <c r="AC1513" i="3" s="1"/>
  <c r="AD1514" i="3"/>
  <c r="AC1514" i="3" s="1"/>
  <c r="AD1515" i="3"/>
  <c r="AC1515" i="3" s="1"/>
  <c r="AD1516" i="3"/>
  <c r="AC1516" i="3" s="1"/>
  <c r="AD1517" i="3"/>
  <c r="AC1517" i="3" s="1"/>
  <c r="AD1518" i="3"/>
  <c r="AC1518" i="3" s="1"/>
  <c r="AD1519" i="3"/>
  <c r="AC1519" i="3" s="1"/>
  <c r="AD1520" i="3"/>
  <c r="AC1520" i="3" s="1"/>
  <c r="AD1521" i="3"/>
  <c r="AC1521" i="3" s="1"/>
  <c r="AD1522" i="3"/>
  <c r="AC1522" i="3" s="1"/>
  <c r="AD1523" i="3"/>
  <c r="AC1523" i="3" s="1"/>
  <c r="AD1524" i="3"/>
  <c r="AC1524" i="3" s="1"/>
  <c r="AD1525" i="3"/>
  <c r="AC1525" i="3" s="1"/>
  <c r="AD1526" i="3"/>
  <c r="AC1526" i="3" s="1"/>
  <c r="AD1527" i="3"/>
  <c r="AC1527" i="3" s="1"/>
  <c r="AD1528" i="3"/>
  <c r="AC1528" i="3" s="1"/>
  <c r="AD1529" i="3"/>
  <c r="AC1529" i="3" s="1"/>
  <c r="AD1530" i="3"/>
  <c r="AC1530" i="3" s="1"/>
  <c r="AD1531" i="3"/>
  <c r="AC1531" i="3" s="1"/>
  <c r="AD1532" i="3"/>
  <c r="AC1532" i="3" s="1"/>
  <c r="AD1533" i="3"/>
  <c r="AC1533" i="3" s="1"/>
  <c r="AD1534" i="3"/>
  <c r="AC1534" i="3" s="1"/>
  <c r="AD1535" i="3"/>
  <c r="AC1535" i="3" s="1"/>
  <c r="AD1536" i="3"/>
  <c r="AC1536" i="3" s="1"/>
  <c r="AD1537" i="3"/>
  <c r="AC1537" i="3" s="1"/>
  <c r="AD1538" i="3"/>
  <c r="AC1538" i="3" s="1"/>
  <c r="AD1539" i="3"/>
  <c r="AC1539" i="3" s="1"/>
  <c r="AD1540" i="3"/>
  <c r="AC1540" i="3" s="1"/>
  <c r="AD1541" i="3"/>
  <c r="AC1541" i="3" s="1"/>
  <c r="AD1542" i="3"/>
  <c r="AC1542" i="3" s="1"/>
  <c r="AD1543" i="3"/>
  <c r="AC1543" i="3" s="1"/>
  <c r="AD1544" i="3"/>
  <c r="AC1544" i="3" s="1"/>
  <c r="AD1545" i="3"/>
  <c r="AC1545" i="3" s="1"/>
  <c r="AD1546" i="3"/>
  <c r="AC1546" i="3" s="1"/>
  <c r="AD1547" i="3"/>
  <c r="AC1547" i="3" s="1"/>
  <c r="AD1548" i="3"/>
  <c r="AC1548" i="3" s="1"/>
  <c r="AD1549" i="3"/>
  <c r="AC1549" i="3" s="1"/>
  <c r="AD1550" i="3"/>
  <c r="AC1550" i="3" s="1"/>
  <c r="AD1551" i="3"/>
  <c r="AC1551" i="3" s="1"/>
  <c r="AD1552" i="3"/>
  <c r="AC1552" i="3" s="1"/>
  <c r="AD1553" i="3"/>
  <c r="AC1553" i="3" s="1"/>
  <c r="AD1554" i="3"/>
  <c r="AC1554" i="3" s="1"/>
  <c r="AD1555" i="3"/>
  <c r="AC1555" i="3" s="1"/>
  <c r="AD1556" i="3"/>
  <c r="AC1556" i="3" s="1"/>
  <c r="AD1557" i="3"/>
  <c r="AC1557" i="3" s="1"/>
  <c r="AD1558" i="3"/>
  <c r="AC1558" i="3" s="1"/>
  <c r="AD1559" i="3"/>
  <c r="AC1559" i="3" s="1"/>
  <c r="AD1560" i="3"/>
  <c r="AC1560" i="3" s="1"/>
  <c r="AD1561" i="3"/>
  <c r="AC1561" i="3" s="1"/>
  <c r="AD1562" i="3"/>
  <c r="AC1562" i="3" s="1"/>
  <c r="AD1563" i="3"/>
  <c r="AC1563" i="3" s="1"/>
  <c r="AD1564" i="3"/>
  <c r="AC1564" i="3" s="1"/>
  <c r="AD1565" i="3"/>
  <c r="AC1565" i="3" s="1"/>
  <c r="AD1566" i="3"/>
  <c r="AC1566" i="3" s="1"/>
  <c r="AD1567" i="3"/>
  <c r="AC1567" i="3" s="1"/>
  <c r="AD1568" i="3"/>
  <c r="AC1568" i="3" s="1"/>
  <c r="AD1569" i="3"/>
  <c r="AC1569" i="3" s="1"/>
  <c r="AD1570" i="3"/>
  <c r="AC1570" i="3" s="1"/>
  <c r="AD1571" i="3"/>
  <c r="AC1571" i="3" s="1"/>
  <c r="AD1572" i="3"/>
  <c r="AC1572" i="3" s="1"/>
  <c r="AD1573" i="3"/>
  <c r="AC1573" i="3" s="1"/>
  <c r="AD1574" i="3"/>
  <c r="AC1574" i="3" s="1"/>
  <c r="AD1575" i="3"/>
  <c r="AC1575" i="3" s="1"/>
  <c r="AD1576" i="3"/>
  <c r="AC1576" i="3" s="1"/>
  <c r="AD1577" i="3"/>
  <c r="AC1577" i="3" s="1"/>
  <c r="AD1578" i="3"/>
  <c r="AC1578" i="3" s="1"/>
  <c r="AD1579" i="3"/>
  <c r="AC1579" i="3" s="1"/>
  <c r="AD1580" i="3"/>
  <c r="AC1580" i="3" s="1"/>
  <c r="AD1581" i="3"/>
  <c r="AC1581" i="3" s="1"/>
  <c r="AD1582" i="3"/>
  <c r="AC1582" i="3" s="1"/>
  <c r="AD1583" i="3"/>
  <c r="AC1583" i="3" s="1"/>
  <c r="AD1584" i="3"/>
  <c r="AC1584" i="3" s="1"/>
  <c r="AD1585" i="3"/>
  <c r="AC1585" i="3" s="1"/>
  <c r="AD1586" i="3"/>
  <c r="AC1586" i="3" s="1"/>
  <c r="AD1587" i="3"/>
  <c r="AC1587" i="3" s="1"/>
  <c r="AD1588" i="3"/>
  <c r="AC1588" i="3" s="1"/>
  <c r="AD1589" i="3"/>
  <c r="AC1589" i="3" s="1"/>
  <c r="AD1590" i="3"/>
  <c r="AC1590" i="3" s="1"/>
  <c r="AD1591" i="3"/>
  <c r="AC1591" i="3" s="1"/>
  <c r="AD1592" i="3"/>
  <c r="AC1592" i="3" s="1"/>
  <c r="AD1593" i="3"/>
  <c r="AC1593" i="3" s="1"/>
  <c r="AD1594" i="3"/>
  <c r="AC1594" i="3" s="1"/>
  <c r="AD1595" i="3"/>
  <c r="AC1595" i="3" s="1"/>
  <c r="AD1596" i="3"/>
  <c r="AC1596" i="3" s="1"/>
  <c r="AD1597" i="3"/>
  <c r="AC1597" i="3" s="1"/>
  <c r="AD1598" i="3"/>
  <c r="AC1598" i="3" s="1"/>
  <c r="AD1599" i="3"/>
  <c r="AC1599" i="3" s="1"/>
  <c r="AD1600" i="3"/>
  <c r="AC1600" i="3" s="1"/>
  <c r="AD1601" i="3"/>
  <c r="AC1601" i="3" s="1"/>
  <c r="AD1602" i="3"/>
  <c r="AC1602" i="3" s="1"/>
  <c r="AD1603" i="3"/>
  <c r="AC1603" i="3" s="1"/>
  <c r="AD1604" i="3"/>
  <c r="AC1604" i="3" s="1"/>
  <c r="AD1605" i="3"/>
  <c r="AC1605" i="3" s="1"/>
  <c r="AD1606" i="3"/>
  <c r="AC1606" i="3" s="1"/>
  <c r="AD1607" i="3"/>
  <c r="AC1607" i="3" s="1"/>
  <c r="AD1608" i="3"/>
  <c r="AC1608" i="3" s="1"/>
  <c r="AD1609" i="3"/>
  <c r="AC1609" i="3" s="1"/>
  <c r="AD1610" i="3"/>
  <c r="AC1610" i="3" s="1"/>
  <c r="AD1611" i="3"/>
  <c r="AC1611" i="3" s="1"/>
  <c r="AD1612" i="3"/>
  <c r="AC1612" i="3" s="1"/>
  <c r="AD1613" i="3"/>
  <c r="AC1613" i="3" s="1"/>
  <c r="AD1614" i="3"/>
  <c r="AC1614" i="3" s="1"/>
  <c r="AD1615" i="3"/>
  <c r="AC1615" i="3" s="1"/>
  <c r="AD1616" i="3"/>
  <c r="AC1616" i="3" s="1"/>
  <c r="AD1617" i="3"/>
  <c r="AC1617" i="3" s="1"/>
  <c r="AD1618" i="3"/>
  <c r="AC1618" i="3" s="1"/>
  <c r="AD1619" i="3"/>
  <c r="AC1619" i="3" s="1"/>
  <c r="AD1620" i="3"/>
  <c r="AC1620" i="3" s="1"/>
  <c r="AD1621" i="3"/>
  <c r="AC1621" i="3" s="1"/>
  <c r="AD1622" i="3"/>
  <c r="AC1622" i="3" s="1"/>
  <c r="AD1623" i="3"/>
  <c r="AC1623" i="3" s="1"/>
  <c r="AD1624" i="3"/>
  <c r="AC1624" i="3" s="1"/>
  <c r="AD1625" i="3"/>
  <c r="AC1625" i="3" s="1"/>
  <c r="AD1626" i="3"/>
  <c r="AC1626" i="3" s="1"/>
  <c r="AD1627" i="3"/>
  <c r="AC1627" i="3" s="1"/>
  <c r="AD1628" i="3"/>
  <c r="AC1628" i="3" s="1"/>
  <c r="AD1629" i="3"/>
  <c r="AC1629" i="3" s="1"/>
  <c r="AD1630" i="3"/>
  <c r="AC1630" i="3" s="1"/>
  <c r="AD1631" i="3"/>
  <c r="AC1631" i="3" s="1"/>
  <c r="AD1632" i="3"/>
  <c r="AC1632" i="3" s="1"/>
  <c r="AD1633" i="3"/>
  <c r="AC1633" i="3" s="1"/>
  <c r="AD1634" i="3"/>
  <c r="AC1634" i="3" s="1"/>
  <c r="AD1635" i="3"/>
  <c r="AC1635" i="3" s="1"/>
  <c r="AD1636" i="3"/>
  <c r="AC1636" i="3" s="1"/>
  <c r="AD1637" i="3"/>
  <c r="AC1637" i="3" s="1"/>
  <c r="AD1638" i="3"/>
  <c r="AC1638" i="3" s="1"/>
  <c r="AD1639" i="3"/>
  <c r="AC1639" i="3" s="1"/>
  <c r="AD1640" i="3"/>
  <c r="AC1640" i="3" s="1"/>
  <c r="AD1641" i="3"/>
  <c r="AC1641" i="3" s="1"/>
  <c r="AD1642" i="3"/>
  <c r="AC1642" i="3" s="1"/>
  <c r="AD1643" i="3"/>
  <c r="AC1643" i="3" s="1"/>
  <c r="AD1644" i="3"/>
  <c r="AC1644" i="3" s="1"/>
  <c r="AD1645" i="3"/>
  <c r="AC1645" i="3" s="1"/>
  <c r="AD1646" i="3"/>
  <c r="AC1646" i="3" s="1"/>
  <c r="AD1647" i="3"/>
  <c r="AC1647" i="3" s="1"/>
  <c r="AD1648" i="3"/>
  <c r="AC1648" i="3" s="1"/>
  <c r="AD1649" i="3"/>
  <c r="AC1649" i="3" s="1"/>
  <c r="AD1650" i="3"/>
  <c r="AC1650" i="3" s="1"/>
  <c r="AD1651" i="3"/>
  <c r="AC1651" i="3" s="1"/>
  <c r="AD1652" i="3"/>
  <c r="AC1652" i="3" s="1"/>
  <c r="AD1653" i="3"/>
  <c r="AC1653" i="3" s="1"/>
  <c r="AD1654" i="3"/>
  <c r="AC1654" i="3" s="1"/>
  <c r="AD1655" i="3"/>
  <c r="AC1655" i="3" s="1"/>
  <c r="AD1656" i="3"/>
  <c r="AC1656" i="3" s="1"/>
  <c r="AD1657" i="3"/>
  <c r="AC1657" i="3" s="1"/>
  <c r="AD1658" i="3"/>
  <c r="AC1658" i="3" s="1"/>
  <c r="AD1659" i="3"/>
  <c r="AC1659" i="3" s="1"/>
  <c r="AD1660" i="3"/>
  <c r="AC1660" i="3" s="1"/>
  <c r="AD1661" i="3"/>
  <c r="AC1661" i="3" s="1"/>
  <c r="AD1662" i="3"/>
  <c r="AC1662" i="3" s="1"/>
  <c r="AD1663" i="3"/>
  <c r="AC1663" i="3" s="1"/>
  <c r="AD1664" i="3"/>
  <c r="AC1664" i="3" s="1"/>
  <c r="AD1665" i="3"/>
  <c r="AC1665" i="3" s="1"/>
  <c r="AD1666" i="3"/>
  <c r="AC1666" i="3" s="1"/>
  <c r="AD1667" i="3"/>
  <c r="AC1667" i="3" s="1"/>
  <c r="AD1668" i="3"/>
  <c r="AC1668" i="3" s="1"/>
  <c r="AD1669" i="3"/>
  <c r="AC1669" i="3" s="1"/>
  <c r="AD1670" i="3"/>
  <c r="AC1670" i="3" s="1"/>
  <c r="AD1671" i="3"/>
  <c r="AC1671" i="3" s="1"/>
  <c r="AD1672" i="3"/>
  <c r="AC1672" i="3" s="1"/>
  <c r="AD1673" i="3"/>
  <c r="AC1673" i="3" s="1"/>
  <c r="AD1674" i="3"/>
  <c r="AC1674" i="3" s="1"/>
  <c r="AD1675" i="3"/>
  <c r="AC1675" i="3" s="1"/>
  <c r="AD1676" i="3"/>
  <c r="AC1676" i="3" s="1"/>
  <c r="AD1677" i="3"/>
  <c r="AC1677" i="3" s="1"/>
  <c r="AD1678" i="3"/>
  <c r="AC1678" i="3" s="1"/>
  <c r="AD1679" i="3"/>
  <c r="AC1679" i="3" s="1"/>
  <c r="AD1680" i="3"/>
  <c r="AC1680" i="3" s="1"/>
  <c r="AD1681" i="3"/>
  <c r="AC1681" i="3" s="1"/>
  <c r="AD1682" i="3"/>
  <c r="AC1682" i="3" s="1"/>
  <c r="AD1683" i="3"/>
  <c r="AC1683" i="3" s="1"/>
  <c r="AD1684" i="3"/>
  <c r="AC1684" i="3" s="1"/>
  <c r="AD1685" i="3"/>
  <c r="AC1685" i="3" s="1"/>
  <c r="AD1686" i="3"/>
  <c r="AC1686" i="3" s="1"/>
  <c r="AD1687" i="3"/>
  <c r="AC1687" i="3" s="1"/>
  <c r="AD1688" i="3"/>
  <c r="AC1688" i="3" s="1"/>
  <c r="AD1689" i="3"/>
  <c r="AC1689" i="3" s="1"/>
  <c r="AD1690" i="3"/>
  <c r="AC1690" i="3" s="1"/>
  <c r="AD1691" i="3"/>
  <c r="AC1691" i="3" s="1"/>
  <c r="AD1692" i="3"/>
  <c r="AC1692" i="3" s="1"/>
  <c r="AD1693" i="3"/>
  <c r="AC1693" i="3" s="1"/>
  <c r="AD1694" i="3"/>
  <c r="AC1694" i="3" s="1"/>
  <c r="AD1695" i="3"/>
  <c r="AC1695" i="3" s="1"/>
  <c r="AD1696" i="3"/>
  <c r="AC1696" i="3" s="1"/>
  <c r="AD1697" i="3"/>
  <c r="AC1697" i="3" s="1"/>
  <c r="AD1698" i="3"/>
  <c r="AC1698" i="3" s="1"/>
  <c r="AD1699" i="3"/>
  <c r="AC1699" i="3" s="1"/>
  <c r="AD1700" i="3"/>
  <c r="AC1700" i="3" s="1"/>
  <c r="AD1701" i="3"/>
  <c r="AC1701" i="3" s="1"/>
  <c r="AD1702" i="3"/>
  <c r="AC1702" i="3" s="1"/>
  <c r="AD1703" i="3"/>
  <c r="AC1703" i="3" s="1"/>
  <c r="AD1704" i="3"/>
  <c r="AC1704" i="3" s="1"/>
  <c r="AD1705" i="3"/>
  <c r="AC1705" i="3" s="1"/>
  <c r="AD1706" i="3"/>
  <c r="AC1706" i="3" s="1"/>
  <c r="AD1707" i="3"/>
  <c r="AC1707" i="3" s="1"/>
  <c r="AD1708" i="3"/>
  <c r="AC1708" i="3" s="1"/>
  <c r="AD1709" i="3"/>
  <c r="AC1709" i="3" s="1"/>
  <c r="AD1710" i="3"/>
  <c r="AC1710" i="3" s="1"/>
  <c r="AD1711" i="3"/>
  <c r="AC1711" i="3" s="1"/>
  <c r="AD1712" i="3"/>
  <c r="AC1712" i="3" s="1"/>
  <c r="AD1713" i="3"/>
  <c r="AC1713" i="3" s="1"/>
  <c r="AD1714" i="3"/>
  <c r="AC1714" i="3" s="1"/>
  <c r="AD1715" i="3"/>
  <c r="AC1715" i="3" s="1"/>
  <c r="AD1716" i="3"/>
  <c r="AC1716" i="3" s="1"/>
  <c r="AD1717" i="3"/>
  <c r="AC1717" i="3" s="1"/>
  <c r="AD1718" i="3"/>
  <c r="AC1718" i="3" s="1"/>
  <c r="AD1719" i="3"/>
  <c r="AC1719" i="3" s="1"/>
  <c r="AD1720" i="3"/>
  <c r="AC1720" i="3" s="1"/>
  <c r="AD1721" i="3"/>
  <c r="AC1721" i="3" s="1"/>
  <c r="AD1722" i="3"/>
  <c r="AC1722" i="3" s="1"/>
  <c r="AD1723" i="3"/>
  <c r="AC1723" i="3" s="1"/>
  <c r="AD1724" i="3"/>
  <c r="AC1724" i="3" s="1"/>
  <c r="AD1725" i="3"/>
  <c r="AC1725" i="3" s="1"/>
  <c r="AD1726" i="3"/>
  <c r="AC1726" i="3" s="1"/>
  <c r="AD1727" i="3"/>
  <c r="AC1727" i="3" s="1"/>
  <c r="AD1728" i="3"/>
  <c r="AC1728" i="3" s="1"/>
  <c r="AD1729" i="3"/>
  <c r="AC1729" i="3" s="1"/>
  <c r="AD1730" i="3"/>
  <c r="AC1730" i="3" s="1"/>
  <c r="AD1731" i="3"/>
  <c r="AC1731" i="3" s="1"/>
  <c r="AD1732" i="3"/>
  <c r="AC1732" i="3" s="1"/>
  <c r="AD1733" i="3"/>
  <c r="AC1733" i="3" s="1"/>
  <c r="AD1734" i="3"/>
  <c r="AC1734" i="3" s="1"/>
  <c r="AD1735" i="3"/>
  <c r="AC1735" i="3" s="1"/>
  <c r="AD1736" i="3"/>
  <c r="AC1736" i="3" s="1"/>
  <c r="AD1737" i="3"/>
  <c r="AC1737" i="3" s="1"/>
  <c r="AD1738" i="3"/>
  <c r="AC1738" i="3" s="1"/>
  <c r="AD1739" i="3"/>
  <c r="AC1739" i="3" s="1"/>
  <c r="AD1740" i="3"/>
  <c r="AC1740" i="3" s="1"/>
  <c r="AD1741" i="3"/>
  <c r="AC1741" i="3" s="1"/>
  <c r="AD1742" i="3"/>
  <c r="AC1742" i="3" s="1"/>
  <c r="AD1743" i="3"/>
  <c r="AC1743" i="3" s="1"/>
  <c r="AD1744" i="3"/>
  <c r="AC1744" i="3" s="1"/>
  <c r="AD1745" i="3"/>
  <c r="AC1745" i="3" s="1"/>
  <c r="AD1746" i="3"/>
  <c r="AC1746" i="3" s="1"/>
  <c r="AD1747" i="3"/>
  <c r="AC1747" i="3" s="1"/>
  <c r="AD1748" i="3"/>
  <c r="AC1748" i="3" s="1"/>
  <c r="AD1749" i="3"/>
  <c r="AC1749" i="3" s="1"/>
  <c r="AD1750" i="3"/>
  <c r="AC1750" i="3" s="1"/>
  <c r="AD1751" i="3"/>
  <c r="AC1751" i="3" s="1"/>
  <c r="AD1752" i="3"/>
  <c r="AC1752" i="3" s="1"/>
  <c r="AD1753" i="3"/>
  <c r="AC1753" i="3" s="1"/>
  <c r="AD1754" i="3"/>
  <c r="AC1754" i="3" s="1"/>
  <c r="AD1755" i="3"/>
  <c r="AC1755" i="3" s="1"/>
  <c r="AD1756" i="3"/>
  <c r="AC1756" i="3" s="1"/>
  <c r="AD1757" i="3"/>
  <c r="AC1757" i="3" s="1"/>
  <c r="AD1758" i="3"/>
  <c r="AC1758" i="3" s="1"/>
  <c r="AD1759" i="3"/>
  <c r="AC1759" i="3" s="1"/>
  <c r="AD1760" i="3"/>
  <c r="AC1760" i="3" s="1"/>
  <c r="AD1761" i="3"/>
  <c r="AC1761" i="3" s="1"/>
  <c r="AD1762" i="3"/>
  <c r="AC1762" i="3" s="1"/>
  <c r="AD1763" i="3"/>
  <c r="AC1763" i="3" s="1"/>
  <c r="AD1764" i="3"/>
  <c r="AC1764" i="3" s="1"/>
  <c r="AD1765" i="3"/>
  <c r="AC1765" i="3" s="1"/>
  <c r="AD1766" i="3"/>
  <c r="AC1766" i="3" s="1"/>
  <c r="AD1767" i="3"/>
  <c r="AC1767" i="3" s="1"/>
  <c r="AD1768" i="3"/>
  <c r="AC1768" i="3" s="1"/>
  <c r="AD1769" i="3"/>
  <c r="AC1769" i="3" s="1"/>
  <c r="AD1770" i="3"/>
  <c r="AC1770" i="3" s="1"/>
  <c r="AD1771" i="3"/>
  <c r="AC1771" i="3" s="1"/>
  <c r="AD1772" i="3"/>
  <c r="AC1772" i="3" s="1"/>
  <c r="AD1773" i="3"/>
  <c r="AC1773" i="3" s="1"/>
  <c r="AD1774" i="3"/>
  <c r="AC1774" i="3" s="1"/>
  <c r="AD1775" i="3"/>
  <c r="AC1775" i="3" s="1"/>
  <c r="AD1776" i="3"/>
  <c r="AC1776" i="3" s="1"/>
  <c r="AD1777" i="3"/>
  <c r="AC1777" i="3" s="1"/>
  <c r="AD1778" i="3"/>
  <c r="AC1778" i="3" s="1"/>
  <c r="AD1779" i="3"/>
  <c r="AC1779" i="3" s="1"/>
  <c r="AD1780" i="3"/>
  <c r="AC1780" i="3" s="1"/>
  <c r="AD1781" i="3"/>
  <c r="AC1781" i="3" s="1"/>
  <c r="AD1782" i="3"/>
  <c r="AC1782" i="3" s="1"/>
  <c r="AD1783" i="3"/>
  <c r="AC1783" i="3" s="1"/>
  <c r="AD1784" i="3"/>
  <c r="AC1784" i="3" s="1"/>
  <c r="AD1785" i="3"/>
  <c r="AC1785" i="3" s="1"/>
  <c r="AD1786" i="3"/>
  <c r="AC1786" i="3" s="1"/>
  <c r="AD1787" i="3"/>
  <c r="AC1787" i="3" s="1"/>
  <c r="AD1788" i="3"/>
  <c r="AC1788" i="3" s="1"/>
  <c r="AD1789" i="3"/>
  <c r="AC1789" i="3" s="1"/>
  <c r="AD1790" i="3"/>
  <c r="AC1790" i="3" s="1"/>
  <c r="AD1791" i="3"/>
  <c r="AC1791" i="3" s="1"/>
  <c r="AD1792" i="3"/>
  <c r="AC1792" i="3" s="1"/>
  <c r="AD1793" i="3"/>
  <c r="AC1793" i="3" s="1"/>
  <c r="AD1794" i="3"/>
  <c r="AC1794" i="3" s="1"/>
  <c r="AD1795" i="3"/>
  <c r="AC1795" i="3" s="1"/>
  <c r="AD1796" i="3"/>
  <c r="AC1796" i="3" s="1"/>
  <c r="AD1797" i="3"/>
  <c r="AC1797" i="3" s="1"/>
  <c r="AD1798" i="3"/>
  <c r="AC1798" i="3" s="1"/>
  <c r="AD1799" i="3"/>
  <c r="AC1799" i="3" s="1"/>
  <c r="AD1800" i="3"/>
  <c r="AC1800" i="3" s="1"/>
  <c r="AD1801" i="3"/>
  <c r="AC1801" i="3" s="1"/>
  <c r="AD1802" i="3"/>
  <c r="AC1802" i="3" s="1"/>
  <c r="AD1803" i="3"/>
  <c r="AC1803" i="3" s="1"/>
  <c r="AD1804" i="3"/>
  <c r="AC1804" i="3" s="1"/>
  <c r="AD1805" i="3"/>
  <c r="AC1805" i="3" s="1"/>
  <c r="AD1806" i="3"/>
  <c r="AC1806" i="3" s="1"/>
  <c r="AD1807" i="3"/>
  <c r="AC1807" i="3" s="1"/>
  <c r="AD1808" i="3"/>
  <c r="AC1808" i="3" s="1"/>
  <c r="AD1809" i="3"/>
  <c r="AC1809" i="3" s="1"/>
  <c r="AD1810" i="3"/>
  <c r="AC1810" i="3" s="1"/>
  <c r="AD1811" i="3"/>
  <c r="AC1811" i="3" s="1"/>
  <c r="AD1812" i="3"/>
  <c r="AC1812" i="3" s="1"/>
  <c r="AD1813" i="3"/>
  <c r="AC1813" i="3" s="1"/>
  <c r="AD1814" i="3"/>
  <c r="AC1814" i="3" s="1"/>
  <c r="AD1815" i="3"/>
  <c r="AC1815" i="3" s="1"/>
  <c r="AD1816" i="3"/>
  <c r="AC1816" i="3" s="1"/>
  <c r="AD1817" i="3"/>
  <c r="AC1817" i="3" s="1"/>
  <c r="AD1818" i="3"/>
  <c r="AC1818" i="3" s="1"/>
  <c r="AD1819" i="3"/>
  <c r="AC1819" i="3" s="1"/>
  <c r="AD1820" i="3"/>
  <c r="AC1820" i="3" s="1"/>
  <c r="AD1821" i="3"/>
  <c r="AC1821" i="3" s="1"/>
  <c r="AD1822" i="3"/>
  <c r="AC1822" i="3" s="1"/>
  <c r="AD1823" i="3"/>
  <c r="AC1823" i="3" s="1"/>
  <c r="AD1824" i="3"/>
  <c r="AC1824" i="3" s="1"/>
  <c r="AD1825" i="3"/>
  <c r="AC1825" i="3" s="1"/>
  <c r="AD1826" i="3"/>
  <c r="AC1826" i="3" s="1"/>
  <c r="AD1827" i="3"/>
  <c r="AC1827" i="3" s="1"/>
  <c r="AD1828" i="3"/>
  <c r="AC1828" i="3" s="1"/>
  <c r="AD1829" i="3"/>
  <c r="AC1829" i="3" s="1"/>
  <c r="AD1830" i="3"/>
  <c r="AC1830" i="3" s="1"/>
  <c r="AD1831" i="3"/>
  <c r="AC1831" i="3" s="1"/>
  <c r="AD1832" i="3"/>
  <c r="AC1832" i="3" s="1"/>
  <c r="AD1833" i="3"/>
  <c r="AC1833" i="3" s="1"/>
  <c r="AD1834" i="3"/>
  <c r="AC1834" i="3" s="1"/>
  <c r="AD1835" i="3"/>
  <c r="AC1835" i="3" s="1"/>
  <c r="AD1836" i="3"/>
  <c r="AC1836" i="3" s="1"/>
  <c r="AD1837" i="3"/>
  <c r="AC1837" i="3" s="1"/>
  <c r="AD1838" i="3"/>
  <c r="AC1838" i="3" s="1"/>
  <c r="AD1839" i="3"/>
  <c r="AC1839" i="3" s="1"/>
  <c r="AD1840" i="3"/>
  <c r="AC1840" i="3" s="1"/>
  <c r="AD1841" i="3"/>
  <c r="AC1841" i="3" s="1"/>
  <c r="AD1842" i="3"/>
  <c r="AC1842" i="3" s="1"/>
  <c r="AD1843" i="3"/>
  <c r="AC1843" i="3" s="1"/>
  <c r="AD1844" i="3"/>
  <c r="AC1844" i="3" s="1"/>
  <c r="AD1845" i="3"/>
  <c r="AC1845" i="3" s="1"/>
  <c r="AD1846" i="3"/>
  <c r="AC1846" i="3" s="1"/>
  <c r="AD1847" i="3"/>
  <c r="AC1847" i="3" s="1"/>
  <c r="AD1848" i="3"/>
  <c r="AC1848" i="3" s="1"/>
  <c r="AD1849" i="3"/>
  <c r="AC1849" i="3" s="1"/>
  <c r="AD1850" i="3"/>
  <c r="AC1850" i="3" s="1"/>
  <c r="AD1851" i="3"/>
  <c r="AC1851" i="3" s="1"/>
  <c r="AD1852" i="3"/>
  <c r="AC1852" i="3" s="1"/>
  <c r="AD1853" i="3"/>
  <c r="AC1853" i="3" s="1"/>
  <c r="AD1854" i="3"/>
  <c r="AC1854" i="3" s="1"/>
  <c r="AD1855" i="3"/>
  <c r="AC1855" i="3" s="1"/>
  <c r="AD1856" i="3"/>
  <c r="AC1856" i="3" s="1"/>
  <c r="AD1857" i="3"/>
  <c r="AC1857" i="3" s="1"/>
  <c r="AD1858" i="3"/>
  <c r="AC1858" i="3" s="1"/>
  <c r="AD1859" i="3"/>
  <c r="AC1859" i="3" s="1"/>
  <c r="AD1860" i="3"/>
  <c r="AC1860" i="3" s="1"/>
  <c r="AD1861" i="3"/>
  <c r="AC1861" i="3" s="1"/>
  <c r="AD1862" i="3"/>
  <c r="AC1862" i="3" s="1"/>
  <c r="AD1863" i="3"/>
  <c r="AC1863" i="3" s="1"/>
  <c r="AD1864" i="3"/>
  <c r="AC1864" i="3" s="1"/>
  <c r="AD1865" i="3"/>
  <c r="AC1865" i="3" s="1"/>
  <c r="AD1866" i="3"/>
  <c r="AC1866" i="3" s="1"/>
  <c r="AD1867" i="3"/>
  <c r="AC1867" i="3" s="1"/>
  <c r="AD1868" i="3"/>
  <c r="AC1868" i="3" s="1"/>
  <c r="AD1869" i="3"/>
  <c r="AC1869" i="3" s="1"/>
  <c r="AD1870" i="3"/>
  <c r="AC1870" i="3" s="1"/>
  <c r="AD1871" i="3"/>
  <c r="AC1871" i="3" s="1"/>
  <c r="AD1872" i="3"/>
  <c r="AC1872" i="3" s="1"/>
  <c r="AD1873" i="3"/>
  <c r="AC1873" i="3" s="1"/>
  <c r="AD1874" i="3"/>
  <c r="AC1874" i="3" s="1"/>
  <c r="AD1875" i="3"/>
  <c r="AC1875" i="3" s="1"/>
  <c r="AD1876" i="3"/>
  <c r="AC1876" i="3" s="1"/>
  <c r="AD1877" i="3"/>
  <c r="AC1877" i="3" s="1"/>
  <c r="AD1878" i="3"/>
  <c r="AC1878" i="3" s="1"/>
  <c r="AD1879" i="3"/>
  <c r="AC1879" i="3" s="1"/>
  <c r="AD1880" i="3"/>
  <c r="AC1880" i="3" s="1"/>
  <c r="AD1881" i="3"/>
  <c r="AC1881" i="3" s="1"/>
  <c r="AD1882" i="3"/>
  <c r="AC1882" i="3" s="1"/>
  <c r="AD1883" i="3"/>
  <c r="AC1883" i="3" s="1"/>
  <c r="AD1884" i="3"/>
  <c r="AC1884" i="3" s="1"/>
  <c r="AD1885" i="3"/>
  <c r="AC1885" i="3" s="1"/>
  <c r="AD1886" i="3"/>
  <c r="AC1886" i="3" s="1"/>
  <c r="AD1887" i="3"/>
  <c r="AC1887" i="3" s="1"/>
  <c r="AD1888" i="3"/>
  <c r="AC1888" i="3" s="1"/>
  <c r="AD1889" i="3"/>
  <c r="AC1889" i="3" s="1"/>
  <c r="AD1890" i="3"/>
  <c r="AC1890" i="3" s="1"/>
  <c r="AD1891" i="3"/>
  <c r="AC1891" i="3" s="1"/>
  <c r="AD1892" i="3"/>
  <c r="AC1892" i="3" s="1"/>
  <c r="AD1893" i="3"/>
  <c r="AC1893" i="3" s="1"/>
  <c r="AD1894" i="3"/>
  <c r="AC1894" i="3" s="1"/>
  <c r="AD1895" i="3"/>
  <c r="AC1895" i="3" s="1"/>
  <c r="AD1896" i="3"/>
  <c r="AC1896" i="3" s="1"/>
  <c r="AD1897" i="3"/>
  <c r="AC1897" i="3" s="1"/>
  <c r="AD1898" i="3"/>
  <c r="AC1898" i="3" s="1"/>
  <c r="AD1899" i="3"/>
  <c r="AC1899" i="3" s="1"/>
  <c r="AD1900" i="3"/>
  <c r="AC1900" i="3" s="1"/>
  <c r="AD1901" i="3"/>
  <c r="AC1901" i="3" s="1"/>
  <c r="AD1902" i="3"/>
  <c r="AC1902" i="3" s="1"/>
  <c r="AD1903" i="3"/>
  <c r="AC1903" i="3" s="1"/>
  <c r="AD1904" i="3"/>
  <c r="AC1904" i="3" s="1"/>
  <c r="AD1905" i="3"/>
  <c r="AC1905" i="3" s="1"/>
  <c r="AD1906" i="3"/>
  <c r="AC1906" i="3" s="1"/>
  <c r="AD1907" i="3"/>
  <c r="AC1907" i="3" s="1"/>
  <c r="AD1908" i="3"/>
  <c r="AC1908" i="3" s="1"/>
  <c r="AD1909" i="3"/>
  <c r="AC1909" i="3" s="1"/>
  <c r="AD1910" i="3"/>
  <c r="AC1910" i="3" s="1"/>
  <c r="AD1911" i="3"/>
  <c r="AC1911" i="3" s="1"/>
  <c r="AD1912" i="3"/>
  <c r="AC1912" i="3" s="1"/>
  <c r="AD1913" i="3"/>
  <c r="AC1913" i="3" s="1"/>
  <c r="AD1914" i="3"/>
  <c r="AC1914" i="3" s="1"/>
  <c r="AD1915" i="3"/>
  <c r="AC1915" i="3" s="1"/>
  <c r="AD1916" i="3"/>
  <c r="AC1916" i="3" s="1"/>
  <c r="AD1917" i="3"/>
  <c r="AC1917" i="3" s="1"/>
  <c r="AD1918" i="3"/>
  <c r="AC1918" i="3" s="1"/>
  <c r="AD1919" i="3"/>
  <c r="AC1919" i="3" s="1"/>
  <c r="AD1920" i="3"/>
  <c r="AC1920" i="3" s="1"/>
  <c r="AD1921" i="3"/>
  <c r="AC1921" i="3" s="1"/>
  <c r="AD1922" i="3"/>
  <c r="AC1922" i="3" s="1"/>
  <c r="AD1923" i="3"/>
  <c r="AC1923" i="3" s="1"/>
  <c r="AD1924" i="3"/>
  <c r="AC1924" i="3" s="1"/>
  <c r="AD1925" i="3"/>
  <c r="AC1925" i="3" s="1"/>
  <c r="AD1926" i="3"/>
  <c r="AC1926" i="3" s="1"/>
  <c r="AD1927" i="3"/>
  <c r="AC1927" i="3" s="1"/>
  <c r="AD1928" i="3"/>
  <c r="AC1928" i="3" s="1"/>
  <c r="AD1929" i="3"/>
  <c r="AC1929" i="3" s="1"/>
  <c r="AD1930" i="3"/>
  <c r="AC1930" i="3" s="1"/>
  <c r="AD1931" i="3"/>
  <c r="AC1931" i="3" s="1"/>
  <c r="AD1932" i="3"/>
  <c r="AC1932" i="3" s="1"/>
  <c r="AD1933" i="3"/>
  <c r="AC1933" i="3" s="1"/>
  <c r="AD1934" i="3"/>
  <c r="AC1934" i="3" s="1"/>
  <c r="AD1935" i="3"/>
  <c r="AC1935" i="3" s="1"/>
  <c r="AD1936" i="3"/>
  <c r="AC1936" i="3" s="1"/>
  <c r="AD1937" i="3"/>
  <c r="AC1937" i="3" s="1"/>
  <c r="AD1938" i="3"/>
  <c r="AC1938" i="3" s="1"/>
  <c r="AD1939" i="3"/>
  <c r="AC1939" i="3" s="1"/>
  <c r="AD1940" i="3"/>
  <c r="AC1940" i="3" s="1"/>
  <c r="AD1941" i="3"/>
  <c r="AC1941" i="3" s="1"/>
  <c r="AD1942" i="3"/>
  <c r="AC1942" i="3" s="1"/>
  <c r="AD1943" i="3"/>
  <c r="AC1943" i="3" s="1"/>
  <c r="AD1944" i="3"/>
  <c r="AC1944" i="3" s="1"/>
  <c r="AD1945" i="3"/>
  <c r="AC1945" i="3" s="1"/>
  <c r="AD1946" i="3"/>
  <c r="AC1946" i="3" s="1"/>
  <c r="AD1947" i="3"/>
  <c r="AC1947" i="3" s="1"/>
  <c r="AD1948" i="3"/>
  <c r="AC1948" i="3" s="1"/>
  <c r="AD1949" i="3"/>
  <c r="AC1949" i="3" s="1"/>
  <c r="AD1950" i="3"/>
  <c r="AC1950" i="3" s="1"/>
  <c r="AD1951" i="3"/>
  <c r="AC1951" i="3" s="1"/>
  <c r="AD1952" i="3"/>
  <c r="AC1952" i="3" s="1"/>
  <c r="AD1953" i="3"/>
  <c r="AC1953" i="3" s="1"/>
  <c r="AD1954" i="3"/>
  <c r="AC1954" i="3" s="1"/>
  <c r="AD1955" i="3"/>
  <c r="AC1955" i="3" s="1"/>
  <c r="AD1956" i="3"/>
  <c r="AC1956" i="3" s="1"/>
  <c r="AD1957" i="3"/>
  <c r="AC1957" i="3" s="1"/>
  <c r="AD1958" i="3"/>
  <c r="AC1958" i="3" s="1"/>
  <c r="AD1959" i="3"/>
  <c r="AC1959" i="3" s="1"/>
  <c r="AD1960" i="3"/>
  <c r="AC1960" i="3" s="1"/>
  <c r="AD1961" i="3"/>
  <c r="AC1961" i="3" s="1"/>
  <c r="AD1962" i="3"/>
  <c r="AC1962" i="3" s="1"/>
  <c r="AD1963" i="3"/>
  <c r="AC1963" i="3" s="1"/>
  <c r="AD1964" i="3"/>
  <c r="AC1964" i="3" s="1"/>
  <c r="AD1965" i="3"/>
  <c r="AC1965" i="3" s="1"/>
  <c r="AD1966" i="3"/>
  <c r="AC1966" i="3" s="1"/>
  <c r="AD1967" i="3"/>
  <c r="AC1967" i="3" s="1"/>
  <c r="AD1968" i="3"/>
  <c r="AC1968" i="3" s="1"/>
  <c r="AD1969" i="3"/>
  <c r="AC1969" i="3" s="1"/>
  <c r="AD1970" i="3"/>
  <c r="AC1970" i="3" s="1"/>
  <c r="AD1971" i="3"/>
  <c r="AC1971" i="3" s="1"/>
  <c r="AD1972" i="3"/>
  <c r="AC1972" i="3" s="1"/>
  <c r="AD1973" i="3"/>
  <c r="AC1973" i="3" s="1"/>
  <c r="AD1974" i="3"/>
  <c r="AC1974" i="3" s="1"/>
  <c r="AD1975" i="3"/>
  <c r="AC1975" i="3" s="1"/>
  <c r="AD1976" i="3"/>
  <c r="AC1976" i="3" s="1"/>
  <c r="AD1977" i="3"/>
  <c r="AC1977" i="3" s="1"/>
  <c r="AD1978" i="3"/>
  <c r="AC1978" i="3" s="1"/>
  <c r="AD1979" i="3"/>
  <c r="AC1979" i="3" s="1"/>
  <c r="AD1980" i="3"/>
  <c r="AC1980" i="3" s="1"/>
  <c r="AD1981" i="3"/>
  <c r="AC1981" i="3" s="1"/>
  <c r="AD1982" i="3"/>
  <c r="AC1982" i="3" s="1"/>
  <c r="AD1983" i="3"/>
  <c r="AC1983" i="3" s="1"/>
  <c r="AD1984" i="3"/>
  <c r="AC1984" i="3" s="1"/>
  <c r="AD1985" i="3"/>
  <c r="AC1985" i="3" s="1"/>
  <c r="AD1986" i="3"/>
  <c r="AC1986" i="3" s="1"/>
  <c r="AD1987" i="3"/>
  <c r="AC1987" i="3" s="1"/>
  <c r="AD1988" i="3"/>
  <c r="AC1988" i="3" s="1"/>
  <c r="AD1989" i="3"/>
  <c r="AC1989" i="3" s="1"/>
  <c r="AD1990" i="3"/>
  <c r="AC1990" i="3" s="1"/>
  <c r="AD1991" i="3"/>
  <c r="AC1991" i="3" s="1"/>
  <c r="AD1992" i="3"/>
  <c r="AC1992" i="3" s="1"/>
  <c r="AD1993" i="3"/>
  <c r="AC1993" i="3" s="1"/>
  <c r="AD1994" i="3"/>
  <c r="AC1994" i="3" s="1"/>
  <c r="AD1995" i="3"/>
  <c r="AC1995" i="3" s="1"/>
  <c r="AD1996" i="3"/>
  <c r="AC1996" i="3" s="1"/>
  <c r="AD1997" i="3"/>
  <c r="AC1997" i="3" s="1"/>
  <c r="AD1998" i="3"/>
  <c r="AC1998" i="3" s="1"/>
  <c r="AD1999" i="3"/>
  <c r="AC1999" i="3" s="1"/>
  <c r="AD2000" i="3"/>
  <c r="AC2000" i="3" s="1"/>
  <c r="AD2001" i="3"/>
  <c r="AC2001" i="3" s="1"/>
  <c r="AD2002" i="3"/>
  <c r="AC2002" i="3" s="1"/>
  <c r="AD2003" i="3"/>
  <c r="AC2003" i="3" s="1"/>
  <c r="AD2004" i="3"/>
  <c r="AC2004" i="3" s="1"/>
  <c r="AD2005" i="3"/>
  <c r="AC2005" i="3" s="1"/>
  <c r="AD2006" i="3"/>
  <c r="AC2006" i="3" s="1"/>
  <c r="AD2007" i="3"/>
  <c r="AC2007" i="3" s="1"/>
  <c r="AD2008" i="3"/>
  <c r="AC2008" i="3" s="1"/>
  <c r="AD2009" i="3"/>
  <c r="AC2009" i="3" s="1"/>
  <c r="AD2010" i="3"/>
  <c r="AC2010" i="3" s="1"/>
  <c r="AD2011" i="3"/>
  <c r="AC2011" i="3" s="1"/>
  <c r="AD2012" i="3"/>
  <c r="AC2012" i="3" s="1"/>
  <c r="AD2013" i="3"/>
  <c r="AC2013" i="3" s="1"/>
  <c r="AD2014" i="3"/>
  <c r="AC2014" i="3" s="1"/>
  <c r="AD2015" i="3"/>
  <c r="AC2015" i="3" s="1"/>
  <c r="AD2016" i="3"/>
  <c r="AC2016" i="3" s="1"/>
  <c r="AD2017" i="3"/>
  <c r="AC2017" i="3" s="1"/>
  <c r="AD2018" i="3"/>
  <c r="AC2018" i="3" s="1"/>
  <c r="AD2019" i="3"/>
  <c r="AC2019" i="3" s="1"/>
  <c r="AD2020" i="3"/>
  <c r="AC2020" i="3" s="1"/>
  <c r="AD2021" i="3"/>
  <c r="AC2021" i="3" s="1"/>
  <c r="AD2022" i="3"/>
  <c r="AC2022" i="3" s="1"/>
  <c r="AD2023" i="3"/>
  <c r="AC2023" i="3" s="1"/>
  <c r="AD2024" i="3"/>
  <c r="AC2024" i="3" s="1"/>
  <c r="AD2025" i="3"/>
  <c r="AC2025" i="3" s="1"/>
  <c r="AD2026" i="3"/>
  <c r="AC2026" i="3" s="1"/>
  <c r="AD2027" i="3"/>
  <c r="AC2027" i="3" s="1"/>
  <c r="AD2028" i="3"/>
  <c r="AC2028" i="3" s="1"/>
  <c r="AD2029" i="3"/>
  <c r="AC2029" i="3" s="1"/>
  <c r="AD2030" i="3"/>
  <c r="AC2030" i="3" s="1"/>
  <c r="AD2031" i="3"/>
  <c r="AC2031" i="3" s="1"/>
  <c r="AD2032" i="3"/>
  <c r="AC2032" i="3" s="1"/>
  <c r="AD2033" i="3"/>
  <c r="AC2033" i="3" s="1"/>
  <c r="AD2034" i="3"/>
  <c r="AC2034" i="3" s="1"/>
  <c r="AD2035" i="3"/>
  <c r="AC2035" i="3" s="1"/>
  <c r="AD2036" i="3"/>
  <c r="AC2036" i="3" s="1"/>
  <c r="AD2037" i="3"/>
  <c r="AC2037" i="3" s="1"/>
  <c r="AD2038" i="3"/>
  <c r="AC2038" i="3" s="1"/>
  <c r="AD2039" i="3"/>
  <c r="AC2039" i="3" s="1"/>
  <c r="AD2040" i="3"/>
  <c r="AC2040" i="3" s="1"/>
  <c r="AD2041" i="3"/>
  <c r="AC2041" i="3" s="1"/>
  <c r="AD2042" i="3"/>
  <c r="AC2042" i="3" s="1"/>
  <c r="AD2043" i="3"/>
  <c r="AC2043" i="3" s="1"/>
  <c r="AD2044" i="3"/>
  <c r="AC2044" i="3" s="1"/>
  <c r="AD2045" i="3"/>
  <c r="AC2045" i="3" s="1"/>
  <c r="AD2046" i="3"/>
  <c r="AC2046" i="3" s="1"/>
  <c r="AD2047" i="3"/>
  <c r="AC2047" i="3" s="1"/>
  <c r="AD2048" i="3"/>
  <c r="AC2048" i="3" s="1"/>
  <c r="AD2049" i="3"/>
  <c r="AC2049" i="3" s="1"/>
  <c r="AD2050" i="3"/>
  <c r="AC2050" i="3" s="1"/>
  <c r="AD2051" i="3"/>
  <c r="AC2051" i="3" s="1"/>
  <c r="AD2052" i="3"/>
  <c r="AC2052" i="3" s="1"/>
  <c r="AD2053" i="3"/>
  <c r="AC2053" i="3" s="1"/>
  <c r="AD2054" i="3"/>
  <c r="AC2054" i="3" s="1"/>
  <c r="AD2055" i="3"/>
  <c r="AC2055" i="3" s="1"/>
  <c r="AD2056" i="3"/>
  <c r="AC2056" i="3" s="1"/>
  <c r="AD2057" i="3"/>
  <c r="AC2057" i="3" s="1"/>
  <c r="AD2058" i="3"/>
  <c r="AC2058" i="3" s="1"/>
  <c r="AD2059" i="3"/>
  <c r="AC2059" i="3" s="1"/>
  <c r="AD2060" i="3"/>
  <c r="AC2060" i="3" s="1"/>
  <c r="AD2061" i="3"/>
  <c r="AC2061" i="3" s="1"/>
  <c r="AD2062" i="3"/>
  <c r="AC2062" i="3" s="1"/>
  <c r="AD2063" i="3"/>
  <c r="AC2063" i="3" s="1"/>
  <c r="AD2064" i="3"/>
  <c r="AC2064" i="3" s="1"/>
  <c r="AD2065" i="3"/>
  <c r="AC2065" i="3" s="1"/>
  <c r="AD2066" i="3"/>
  <c r="AC2066" i="3" s="1"/>
  <c r="AD2067" i="3"/>
  <c r="AC2067" i="3" s="1"/>
  <c r="AD2068" i="3"/>
  <c r="AC2068" i="3" s="1"/>
  <c r="AD2069" i="3"/>
  <c r="AC2069" i="3" s="1"/>
  <c r="AD2070" i="3"/>
  <c r="AC2070" i="3" s="1"/>
  <c r="AD2071" i="3"/>
  <c r="AC2071" i="3" s="1"/>
  <c r="AD2072" i="3"/>
  <c r="AC2072" i="3" s="1"/>
  <c r="AD2073" i="3"/>
  <c r="AC2073" i="3" s="1"/>
  <c r="AD2074" i="3"/>
  <c r="AC2074" i="3" s="1"/>
  <c r="AD2075" i="3"/>
  <c r="AC2075" i="3" s="1"/>
  <c r="AD2076" i="3"/>
  <c r="AC2076" i="3" s="1"/>
  <c r="AD2077" i="3"/>
  <c r="AC2077" i="3" s="1"/>
  <c r="AD2078" i="3"/>
  <c r="AC2078" i="3" s="1"/>
  <c r="AD2079" i="3"/>
  <c r="AC2079" i="3" s="1"/>
  <c r="AD2080" i="3"/>
  <c r="AC2080" i="3" s="1"/>
  <c r="AD2081" i="3"/>
  <c r="AC2081" i="3" s="1"/>
  <c r="AD2082" i="3"/>
  <c r="AC2082" i="3" s="1"/>
  <c r="AD2083" i="3"/>
  <c r="AC2083" i="3" s="1"/>
  <c r="AD2084" i="3"/>
  <c r="AC2084" i="3" s="1"/>
  <c r="AD2085" i="3"/>
  <c r="AC2085" i="3" s="1"/>
  <c r="AD2086" i="3"/>
  <c r="AC2086" i="3" s="1"/>
  <c r="AD2087" i="3"/>
  <c r="AC2087" i="3" s="1"/>
  <c r="AD2088" i="3"/>
  <c r="AC2088" i="3" s="1"/>
  <c r="AD2089" i="3"/>
  <c r="AC2089" i="3" s="1"/>
  <c r="AD2090" i="3"/>
  <c r="AC2090" i="3" s="1"/>
  <c r="AD2091" i="3"/>
  <c r="AC2091" i="3" s="1"/>
  <c r="AD2092" i="3"/>
  <c r="AC2092" i="3" s="1"/>
  <c r="AD2093" i="3"/>
  <c r="AC2093" i="3" s="1"/>
  <c r="AD2094" i="3"/>
  <c r="AC2094" i="3" s="1"/>
  <c r="AD2095" i="3"/>
  <c r="AC2095" i="3" s="1"/>
  <c r="AD2096" i="3"/>
  <c r="AC2096" i="3" s="1"/>
  <c r="AD2097" i="3"/>
  <c r="AC2097" i="3" s="1"/>
  <c r="AD2098" i="3"/>
  <c r="AC2098" i="3" s="1"/>
  <c r="AD2099" i="3"/>
  <c r="AC2099" i="3" s="1"/>
  <c r="AD2100" i="3"/>
  <c r="AC2100" i="3" s="1"/>
  <c r="AD2101" i="3"/>
  <c r="AC2101" i="3" s="1"/>
  <c r="AD2102" i="3"/>
  <c r="AC2102" i="3" s="1"/>
  <c r="AD2103" i="3"/>
  <c r="AC2103" i="3" s="1"/>
  <c r="AD2104" i="3"/>
  <c r="AC2104" i="3" s="1"/>
  <c r="AD2105" i="3"/>
  <c r="AC2105" i="3" s="1"/>
  <c r="AD2106" i="3"/>
  <c r="AC2106" i="3" s="1"/>
  <c r="AD2107" i="3"/>
  <c r="AC2107" i="3" s="1"/>
  <c r="AD2108" i="3"/>
  <c r="AC2108" i="3" s="1"/>
  <c r="AD2109" i="3"/>
  <c r="AC2109" i="3" s="1"/>
  <c r="AD2110" i="3"/>
  <c r="AC2110" i="3" s="1"/>
  <c r="AD2111" i="3"/>
  <c r="AC2111" i="3" s="1"/>
  <c r="AD2112" i="3"/>
  <c r="AC2112" i="3" s="1"/>
  <c r="AD2113" i="3"/>
  <c r="AC2113" i="3" s="1"/>
  <c r="AD2114" i="3"/>
  <c r="AC2114" i="3" s="1"/>
  <c r="AD2115" i="3"/>
  <c r="AC2115" i="3" s="1"/>
  <c r="AD2116" i="3"/>
  <c r="AC2116" i="3" s="1"/>
  <c r="AD2117" i="3"/>
  <c r="AC2117" i="3" s="1"/>
  <c r="AD2118" i="3"/>
  <c r="AC2118" i="3" s="1"/>
  <c r="AD2119" i="3"/>
  <c r="AC2119" i="3" s="1"/>
  <c r="AD2120" i="3"/>
  <c r="AC2120" i="3" s="1"/>
  <c r="AD2121" i="3"/>
  <c r="AC2121" i="3" s="1"/>
  <c r="AD2122" i="3"/>
  <c r="AC2122" i="3" s="1"/>
  <c r="AD2123" i="3"/>
  <c r="AC2123" i="3" s="1"/>
  <c r="AD2124" i="3"/>
  <c r="AC2124" i="3" s="1"/>
  <c r="AD2125" i="3"/>
  <c r="AC2125" i="3" s="1"/>
  <c r="AD2126" i="3"/>
  <c r="AC2126" i="3" s="1"/>
  <c r="AD2127" i="3"/>
  <c r="AC2127" i="3" s="1"/>
  <c r="AD2128" i="3"/>
  <c r="AC2128" i="3" s="1"/>
  <c r="AD2129" i="3"/>
  <c r="AC2129" i="3" s="1"/>
  <c r="AD2130" i="3"/>
  <c r="AC2130" i="3" s="1"/>
  <c r="AD2131" i="3"/>
  <c r="AC2131" i="3" s="1"/>
  <c r="AD2132" i="3"/>
  <c r="AC2132" i="3" s="1"/>
  <c r="AD2133" i="3"/>
  <c r="AC2133" i="3" s="1"/>
  <c r="AD2134" i="3"/>
  <c r="AC2134" i="3" s="1"/>
  <c r="AD2135" i="3"/>
  <c r="AC2135" i="3" s="1"/>
  <c r="AD2136" i="3"/>
  <c r="AC2136" i="3" s="1"/>
  <c r="AD2137" i="3"/>
  <c r="AC2137" i="3" s="1"/>
  <c r="AD2138" i="3"/>
  <c r="AC2138" i="3" s="1"/>
  <c r="AD2139" i="3"/>
  <c r="AC2139" i="3" s="1"/>
  <c r="AD2140" i="3"/>
  <c r="AC2140" i="3" s="1"/>
  <c r="AD2141" i="3"/>
  <c r="AC2141" i="3" s="1"/>
  <c r="AD2142" i="3"/>
  <c r="AC2142" i="3" s="1"/>
  <c r="AD2143" i="3"/>
  <c r="AC2143" i="3" s="1"/>
  <c r="AD2144" i="3"/>
  <c r="AC2144" i="3" s="1"/>
  <c r="AD2145" i="3"/>
  <c r="AC2145" i="3" s="1"/>
  <c r="AD2146" i="3"/>
  <c r="AC2146" i="3" s="1"/>
  <c r="AD2147" i="3"/>
  <c r="AC2147" i="3" s="1"/>
  <c r="AD2148" i="3"/>
  <c r="AC2148" i="3" s="1"/>
  <c r="AD2149" i="3"/>
  <c r="AC2149" i="3" s="1"/>
  <c r="AD2150" i="3"/>
  <c r="AC2150" i="3" s="1"/>
  <c r="AD2151" i="3"/>
  <c r="AC2151" i="3" s="1"/>
  <c r="AD2152" i="3"/>
  <c r="AC2152" i="3" s="1"/>
  <c r="AD2153" i="3"/>
  <c r="AC2153" i="3" s="1"/>
  <c r="AD2154" i="3"/>
  <c r="AC2154" i="3" s="1"/>
  <c r="AD2155" i="3"/>
  <c r="AC2155" i="3" s="1"/>
  <c r="AD2156" i="3"/>
  <c r="AC2156" i="3" s="1"/>
  <c r="AD2157" i="3"/>
  <c r="AC2157" i="3" s="1"/>
  <c r="AD2158" i="3"/>
  <c r="AC2158" i="3" s="1"/>
  <c r="AD2159" i="3"/>
  <c r="AC2159" i="3" s="1"/>
  <c r="AD2160" i="3"/>
  <c r="AC2160" i="3" s="1"/>
  <c r="AD2161" i="3"/>
  <c r="AC2161" i="3" s="1"/>
  <c r="AD2162" i="3"/>
  <c r="AC2162" i="3" s="1"/>
  <c r="AD2163" i="3"/>
  <c r="AC2163" i="3" s="1"/>
  <c r="AD2164" i="3"/>
  <c r="AC2164" i="3" s="1"/>
  <c r="AD2165" i="3"/>
  <c r="AC2165" i="3" s="1"/>
  <c r="AD2166" i="3"/>
  <c r="AC2166" i="3" s="1"/>
  <c r="AD2167" i="3"/>
  <c r="AC2167" i="3" s="1"/>
  <c r="AD2168" i="3"/>
  <c r="AC2168" i="3" s="1"/>
  <c r="AD2169" i="3"/>
  <c r="AC2169" i="3" s="1"/>
  <c r="AD2170" i="3"/>
  <c r="AC2170" i="3" s="1"/>
  <c r="AD2171" i="3"/>
  <c r="AC2171" i="3" s="1"/>
  <c r="AD2172" i="3"/>
  <c r="AC2172" i="3" s="1"/>
  <c r="AD2173" i="3"/>
  <c r="AC2173" i="3" s="1"/>
  <c r="AD2174" i="3"/>
  <c r="AC2174" i="3" s="1"/>
  <c r="AD2175" i="3"/>
  <c r="AC2175" i="3" s="1"/>
  <c r="AD2176" i="3"/>
  <c r="AC2176" i="3" s="1"/>
  <c r="AD2177" i="3"/>
  <c r="AC2177" i="3" s="1"/>
  <c r="AD2178" i="3"/>
  <c r="AC2178" i="3" s="1"/>
  <c r="AD2179" i="3"/>
  <c r="AC2179" i="3" s="1"/>
  <c r="AD2180" i="3"/>
  <c r="AC2180" i="3" s="1"/>
  <c r="AD2181" i="3"/>
  <c r="AC2181" i="3" s="1"/>
  <c r="AD2182" i="3"/>
  <c r="AC2182" i="3" s="1"/>
  <c r="AD2183" i="3"/>
  <c r="AC2183" i="3" s="1"/>
  <c r="AD2184" i="3"/>
  <c r="AC2184" i="3" s="1"/>
  <c r="AD2185" i="3"/>
  <c r="AC2185" i="3" s="1"/>
  <c r="AD2186" i="3"/>
  <c r="AC2186" i="3" s="1"/>
  <c r="AD2187" i="3"/>
  <c r="AC2187" i="3" s="1"/>
  <c r="AD2188" i="3"/>
  <c r="AC2188" i="3" s="1"/>
  <c r="AD2189" i="3"/>
  <c r="AC2189" i="3" s="1"/>
  <c r="AD2190" i="3"/>
  <c r="AC2190" i="3" s="1"/>
  <c r="AD2191" i="3"/>
  <c r="AC2191" i="3" s="1"/>
  <c r="AD2192" i="3"/>
  <c r="AC2192" i="3" s="1"/>
  <c r="AD2193" i="3"/>
  <c r="AC2193" i="3" s="1"/>
  <c r="AD2194" i="3"/>
  <c r="AC2194" i="3" s="1"/>
  <c r="AD2195" i="3"/>
  <c r="AC2195" i="3" s="1"/>
  <c r="AD2196" i="3"/>
  <c r="AC2196" i="3" s="1"/>
  <c r="AD2197" i="3"/>
  <c r="AC2197" i="3" s="1"/>
  <c r="AD2198" i="3"/>
  <c r="AC2198" i="3" s="1"/>
  <c r="AD2199" i="3"/>
  <c r="AC2199" i="3" s="1"/>
  <c r="AD2200" i="3"/>
  <c r="AC2200" i="3" s="1"/>
  <c r="AD2201" i="3"/>
  <c r="AC2201" i="3" s="1"/>
  <c r="AD2202" i="3"/>
  <c r="AC2202" i="3" s="1"/>
  <c r="AD2203" i="3"/>
  <c r="AC2203" i="3" s="1"/>
  <c r="AD2204" i="3"/>
  <c r="AC2204" i="3" s="1"/>
  <c r="AD2205" i="3"/>
  <c r="AC2205" i="3" s="1"/>
  <c r="AD2206" i="3"/>
  <c r="AC2206" i="3" s="1"/>
  <c r="AD2207" i="3"/>
  <c r="AC2207" i="3" s="1"/>
  <c r="AD2208" i="3"/>
  <c r="AC2208" i="3" s="1"/>
  <c r="AD2209" i="3"/>
  <c r="AC2209" i="3" s="1"/>
  <c r="AD2210" i="3"/>
  <c r="AC2210" i="3" s="1"/>
  <c r="AD2211" i="3"/>
  <c r="AC2211" i="3" s="1"/>
  <c r="AD2212" i="3"/>
  <c r="AC2212" i="3" s="1"/>
  <c r="AD2213" i="3"/>
  <c r="AC2213" i="3" s="1"/>
  <c r="AD2214" i="3"/>
  <c r="AC2214" i="3" s="1"/>
  <c r="AD2215" i="3"/>
  <c r="AC2215" i="3" s="1"/>
  <c r="AD2216" i="3"/>
  <c r="AC2216" i="3" s="1"/>
  <c r="AD2217" i="3"/>
  <c r="AC2217" i="3" s="1"/>
  <c r="AD2218" i="3"/>
  <c r="AC2218" i="3" s="1"/>
  <c r="AD2219" i="3"/>
  <c r="AC2219" i="3" s="1"/>
  <c r="AD2220" i="3"/>
  <c r="AC2220" i="3" s="1"/>
  <c r="AD2221" i="3"/>
  <c r="AC2221" i="3" s="1"/>
  <c r="AD2222" i="3"/>
  <c r="AC2222" i="3" s="1"/>
  <c r="AD2223" i="3"/>
  <c r="AC2223" i="3" s="1"/>
  <c r="AD2224" i="3"/>
  <c r="AC2224" i="3" s="1"/>
  <c r="AD2225" i="3"/>
  <c r="AC2225" i="3" s="1"/>
  <c r="AD2226" i="3"/>
  <c r="AC2226" i="3" s="1"/>
  <c r="AD2227" i="3"/>
  <c r="AC2227" i="3" s="1"/>
  <c r="AD2228" i="3"/>
  <c r="AC2228" i="3" s="1"/>
  <c r="AD2229" i="3"/>
  <c r="AC2229" i="3" s="1"/>
  <c r="AD2230" i="3"/>
  <c r="AC2230" i="3" s="1"/>
  <c r="AD2231" i="3"/>
  <c r="AC2231" i="3" s="1"/>
  <c r="AD2232" i="3"/>
  <c r="AC2232" i="3" s="1"/>
  <c r="AD2233" i="3"/>
  <c r="AC2233" i="3" s="1"/>
  <c r="AD2234" i="3"/>
  <c r="AC2234" i="3" s="1"/>
  <c r="AD2235" i="3"/>
  <c r="AC2235" i="3" s="1"/>
  <c r="AD2236" i="3"/>
  <c r="AC2236" i="3" s="1"/>
  <c r="AD2237" i="3"/>
  <c r="AC2237" i="3" s="1"/>
  <c r="AD2238" i="3"/>
  <c r="AC2238" i="3" s="1"/>
  <c r="AD2239" i="3"/>
  <c r="AC2239" i="3" s="1"/>
  <c r="AD2240" i="3"/>
  <c r="AC2240" i="3" s="1"/>
  <c r="AD2241" i="3"/>
  <c r="AC2241" i="3" s="1"/>
  <c r="AD2242" i="3"/>
  <c r="AC2242" i="3" s="1"/>
  <c r="AD2243" i="3"/>
  <c r="AC2243" i="3" s="1"/>
  <c r="AD2244" i="3"/>
  <c r="AC2244" i="3" s="1"/>
  <c r="AD2245" i="3"/>
  <c r="AC2245" i="3" s="1"/>
  <c r="AD2246" i="3"/>
  <c r="AC2246" i="3" s="1"/>
  <c r="AD2247" i="3"/>
  <c r="AC2247" i="3" s="1"/>
  <c r="AD2248" i="3"/>
  <c r="AC2248" i="3" s="1"/>
  <c r="AD2249" i="3"/>
  <c r="AC2249" i="3" s="1"/>
  <c r="AD2250" i="3"/>
  <c r="AC2250" i="3" s="1"/>
  <c r="AD2251" i="3"/>
  <c r="AC2251" i="3" s="1"/>
  <c r="AD2252" i="3"/>
  <c r="AC2252" i="3" s="1"/>
  <c r="AD2253" i="3"/>
  <c r="AC2253" i="3" s="1"/>
  <c r="AD2254" i="3"/>
  <c r="AC2254" i="3" s="1"/>
  <c r="AD2255" i="3"/>
  <c r="AC2255" i="3" s="1"/>
  <c r="AD2256" i="3"/>
  <c r="AC2256" i="3" s="1"/>
  <c r="AD2257" i="3"/>
  <c r="AC2257" i="3" s="1"/>
  <c r="AD2258" i="3"/>
  <c r="AC2258" i="3" s="1"/>
  <c r="AD2259" i="3"/>
  <c r="AC2259" i="3" s="1"/>
  <c r="AD2260" i="3"/>
  <c r="AC2260" i="3" s="1"/>
  <c r="AD2261" i="3"/>
  <c r="AC2261" i="3" s="1"/>
  <c r="AD2262" i="3"/>
  <c r="AC2262" i="3" s="1"/>
  <c r="AD2263" i="3"/>
  <c r="AC2263" i="3" s="1"/>
  <c r="AD2264" i="3"/>
  <c r="AC2264" i="3" s="1"/>
  <c r="AD2265" i="3"/>
  <c r="AC2265" i="3" s="1"/>
  <c r="AD2266" i="3"/>
  <c r="AC2266" i="3" s="1"/>
  <c r="AD2267" i="3"/>
  <c r="AC2267" i="3" s="1"/>
  <c r="AD2268" i="3"/>
  <c r="AC2268" i="3" s="1"/>
  <c r="AD2269" i="3"/>
  <c r="AC2269" i="3" s="1"/>
  <c r="AD2270" i="3"/>
  <c r="AC2270" i="3" s="1"/>
  <c r="AD2271" i="3"/>
  <c r="AC2271" i="3" s="1"/>
  <c r="AD2272" i="3"/>
  <c r="AC2272" i="3" s="1"/>
  <c r="AD2273" i="3"/>
  <c r="AC2273" i="3" s="1"/>
  <c r="AD2274" i="3"/>
  <c r="AC2274" i="3" s="1"/>
  <c r="AD2275" i="3"/>
  <c r="AC2275" i="3" s="1"/>
  <c r="AD2276" i="3"/>
  <c r="AC2276" i="3" s="1"/>
  <c r="AD2277" i="3"/>
  <c r="AC2277" i="3" s="1"/>
  <c r="AD2278" i="3"/>
  <c r="AC2278" i="3" s="1"/>
  <c r="AD2279" i="3"/>
  <c r="AC2279" i="3" s="1"/>
  <c r="AD2280" i="3"/>
  <c r="AC2280" i="3" s="1"/>
  <c r="AD2281" i="3"/>
  <c r="AC2281" i="3" s="1"/>
  <c r="AD2282" i="3"/>
  <c r="AC2282" i="3" s="1"/>
  <c r="AD2283" i="3"/>
  <c r="AC2283" i="3" s="1"/>
  <c r="AD2284" i="3"/>
  <c r="AC2284" i="3" s="1"/>
  <c r="AD2285" i="3"/>
  <c r="AC2285" i="3" s="1"/>
  <c r="AD2286" i="3"/>
  <c r="AC2286" i="3" s="1"/>
  <c r="AD2287" i="3"/>
  <c r="AC2287" i="3" s="1"/>
  <c r="AD2288" i="3"/>
  <c r="AC2288" i="3" s="1"/>
  <c r="AD2289" i="3"/>
  <c r="AC2289" i="3" s="1"/>
  <c r="AD2290" i="3"/>
  <c r="AC2290" i="3" s="1"/>
  <c r="AD2291" i="3"/>
  <c r="AC2291" i="3" s="1"/>
  <c r="AD2292" i="3"/>
  <c r="AC2292" i="3" s="1"/>
  <c r="AD2293" i="3"/>
  <c r="AC2293" i="3" s="1"/>
  <c r="AD2294" i="3"/>
  <c r="AC2294" i="3" s="1"/>
  <c r="AD2295" i="3"/>
  <c r="AC2295" i="3" s="1"/>
  <c r="AD2296" i="3"/>
  <c r="AC2296" i="3" s="1"/>
  <c r="AD2297" i="3"/>
  <c r="AC2297" i="3" s="1"/>
  <c r="AD2298" i="3"/>
  <c r="AC2298" i="3" s="1"/>
  <c r="AD2299" i="3"/>
  <c r="AC2299" i="3" s="1"/>
  <c r="AD2300" i="3"/>
  <c r="AC2300" i="3" s="1"/>
  <c r="AD2301" i="3"/>
  <c r="AC2301" i="3" s="1"/>
  <c r="AD2302" i="3"/>
  <c r="AC2302" i="3" s="1"/>
  <c r="AD2303" i="3"/>
  <c r="AC2303" i="3" s="1"/>
  <c r="AD2304" i="3"/>
  <c r="AC2304" i="3" s="1"/>
  <c r="AD2305" i="3"/>
  <c r="AC2305" i="3" s="1"/>
  <c r="AD2306" i="3"/>
  <c r="AC2306" i="3" s="1"/>
  <c r="AD2307" i="3"/>
  <c r="AC2307" i="3" s="1"/>
  <c r="AD2308" i="3"/>
  <c r="AC2308" i="3" s="1"/>
  <c r="AD2309" i="3"/>
  <c r="AC2309" i="3" s="1"/>
  <c r="AD2310" i="3"/>
  <c r="AC2310" i="3" s="1"/>
  <c r="AD2311" i="3"/>
  <c r="AC2311" i="3" s="1"/>
  <c r="AD2312" i="3"/>
  <c r="AC2312" i="3" s="1"/>
  <c r="AD2313" i="3"/>
  <c r="AC2313" i="3" s="1"/>
  <c r="AD2314" i="3"/>
  <c r="AC2314" i="3" s="1"/>
  <c r="AD2315" i="3"/>
  <c r="AC2315" i="3" s="1"/>
  <c r="AD2316" i="3"/>
  <c r="AC2316" i="3" s="1"/>
  <c r="AD2317" i="3"/>
  <c r="AC2317" i="3" s="1"/>
  <c r="AD2318" i="3"/>
  <c r="AC2318" i="3" s="1"/>
  <c r="AD2319" i="3"/>
  <c r="AC2319" i="3" s="1"/>
  <c r="AD2320" i="3"/>
  <c r="AC2320" i="3" s="1"/>
  <c r="AD2321" i="3"/>
  <c r="AC2321" i="3" s="1"/>
  <c r="AD2322" i="3"/>
  <c r="AC2322" i="3" s="1"/>
  <c r="AD2323" i="3"/>
  <c r="AC2323" i="3" s="1"/>
  <c r="AD2324" i="3"/>
  <c r="AC2324" i="3" s="1"/>
  <c r="AD2325" i="3"/>
  <c r="AC2325" i="3" s="1"/>
  <c r="AD2326" i="3"/>
  <c r="AC2326" i="3" s="1"/>
  <c r="AD2327" i="3"/>
  <c r="AC2327" i="3" s="1"/>
  <c r="AD2328" i="3"/>
  <c r="AC2328" i="3" s="1"/>
  <c r="AD2329" i="3"/>
  <c r="AC2329" i="3" s="1"/>
  <c r="AD2330" i="3"/>
  <c r="AC2330" i="3" s="1"/>
  <c r="AD2331" i="3"/>
  <c r="AC2331" i="3" s="1"/>
  <c r="AD2332" i="3"/>
  <c r="AC2332" i="3" s="1"/>
  <c r="AD2333" i="3"/>
  <c r="AC2333" i="3" s="1"/>
  <c r="AD2334" i="3"/>
  <c r="AC2334" i="3" s="1"/>
  <c r="AD2335" i="3"/>
  <c r="AC2335" i="3" s="1"/>
  <c r="AD2336" i="3"/>
  <c r="AC2336" i="3" s="1"/>
  <c r="AD2337" i="3"/>
  <c r="AC2337" i="3" s="1"/>
  <c r="AD2338" i="3"/>
  <c r="AC2338" i="3" s="1"/>
  <c r="AD2339" i="3"/>
  <c r="AC2339" i="3" s="1"/>
  <c r="AD2340" i="3"/>
  <c r="AC2340" i="3" s="1"/>
  <c r="AD2341" i="3"/>
  <c r="AC2341" i="3" s="1"/>
  <c r="AD2342" i="3"/>
  <c r="AC2342" i="3" s="1"/>
  <c r="AD2343" i="3"/>
  <c r="AC2343" i="3" s="1"/>
  <c r="AD2344" i="3"/>
  <c r="AC2344" i="3" s="1"/>
  <c r="AD2345" i="3"/>
  <c r="AC2345" i="3" s="1"/>
  <c r="AD2346" i="3"/>
  <c r="AC2346" i="3" s="1"/>
  <c r="AD2347" i="3"/>
  <c r="AC2347" i="3" s="1"/>
  <c r="AD2348" i="3"/>
  <c r="AC2348" i="3" s="1"/>
  <c r="AD2349" i="3"/>
  <c r="AC2349" i="3" s="1"/>
  <c r="AD2350" i="3"/>
  <c r="AC2350" i="3" s="1"/>
  <c r="AD2351" i="3"/>
  <c r="AC2351" i="3" s="1"/>
  <c r="AD2352" i="3"/>
  <c r="AC2352" i="3" s="1"/>
  <c r="AD2353" i="3"/>
  <c r="AC2353" i="3" s="1"/>
  <c r="AD2354" i="3"/>
  <c r="AC2354" i="3" s="1"/>
  <c r="AD2355" i="3"/>
  <c r="AC2355" i="3" s="1"/>
  <c r="AD2356" i="3"/>
  <c r="AC2356" i="3" s="1"/>
  <c r="AD2357" i="3"/>
  <c r="AC2357" i="3" s="1"/>
  <c r="AD2358" i="3"/>
  <c r="AC2358" i="3" s="1"/>
  <c r="AD2359" i="3"/>
  <c r="AC2359" i="3" s="1"/>
  <c r="AD2360" i="3"/>
  <c r="AC2360" i="3" s="1"/>
  <c r="AD2361" i="3"/>
  <c r="AC2361" i="3" s="1"/>
  <c r="AD2362" i="3"/>
  <c r="AC2362" i="3" s="1"/>
  <c r="AD2363" i="3"/>
  <c r="AC2363" i="3" s="1"/>
  <c r="AD2364" i="3"/>
  <c r="AC2364" i="3" s="1"/>
  <c r="AD2365" i="3"/>
  <c r="AC2365" i="3" s="1"/>
  <c r="AD2366" i="3"/>
  <c r="AC2366" i="3" s="1"/>
  <c r="AD2367" i="3"/>
  <c r="AC2367" i="3" s="1"/>
  <c r="AD2368" i="3"/>
  <c r="AC2368" i="3" s="1"/>
  <c r="AD2369" i="3"/>
  <c r="AC2369" i="3" s="1"/>
  <c r="AD2370" i="3"/>
  <c r="AC2370" i="3" s="1"/>
  <c r="AD2371" i="3"/>
  <c r="AC2371" i="3" s="1"/>
  <c r="AD2372" i="3"/>
  <c r="AC2372" i="3" s="1"/>
  <c r="AD2373" i="3"/>
  <c r="AC2373" i="3" s="1"/>
  <c r="AD2374" i="3"/>
  <c r="AC2374" i="3" s="1"/>
  <c r="AD2375" i="3"/>
  <c r="AC2375" i="3" s="1"/>
  <c r="AD2376" i="3"/>
  <c r="AC2376" i="3" s="1"/>
  <c r="AD2377" i="3"/>
  <c r="AC2377" i="3" s="1"/>
  <c r="AD2378" i="3"/>
  <c r="AC2378" i="3" s="1"/>
  <c r="AD2379" i="3"/>
  <c r="AC2379" i="3" s="1"/>
  <c r="AD2380" i="3"/>
  <c r="AC2380" i="3" s="1"/>
  <c r="AD2381" i="3"/>
  <c r="AC2381" i="3" s="1"/>
  <c r="AD2382" i="3"/>
  <c r="AC2382" i="3" s="1"/>
  <c r="AD2383" i="3"/>
  <c r="AC2383" i="3" s="1"/>
  <c r="AD2384" i="3"/>
  <c r="AC2384" i="3" s="1"/>
  <c r="AD2385" i="3"/>
  <c r="AC2385" i="3" s="1"/>
  <c r="AD2386" i="3"/>
  <c r="AC2386" i="3" s="1"/>
  <c r="AD2387" i="3"/>
  <c r="AC2387" i="3" s="1"/>
  <c r="AD2388" i="3"/>
  <c r="AC2388" i="3" s="1"/>
  <c r="AD2389" i="3"/>
  <c r="AC2389" i="3" s="1"/>
  <c r="AD2390" i="3"/>
  <c r="AC2390" i="3" s="1"/>
  <c r="AD2391" i="3"/>
  <c r="AC2391" i="3" s="1"/>
  <c r="AD2392" i="3"/>
  <c r="AC2392" i="3" s="1"/>
  <c r="AD2393" i="3"/>
  <c r="AC2393" i="3" s="1"/>
  <c r="AD2394" i="3"/>
  <c r="AC2394" i="3" s="1"/>
  <c r="AD2395" i="3"/>
  <c r="AC2395" i="3" s="1"/>
  <c r="AD2396" i="3"/>
  <c r="AC2396" i="3" s="1"/>
  <c r="AD2397" i="3"/>
  <c r="AC2397" i="3" s="1"/>
  <c r="AD2398" i="3"/>
  <c r="AC2398" i="3" s="1"/>
  <c r="AD2399" i="3"/>
  <c r="AC2399" i="3" s="1"/>
  <c r="AD2400" i="3"/>
  <c r="AC2400" i="3" s="1"/>
  <c r="AD2401" i="3"/>
  <c r="AC2401" i="3" s="1"/>
  <c r="AD2402" i="3"/>
  <c r="AC2402" i="3" s="1"/>
  <c r="AD2403" i="3"/>
  <c r="AC2403" i="3" s="1"/>
  <c r="AD2404" i="3"/>
  <c r="AC2404" i="3" s="1"/>
  <c r="AD2405" i="3"/>
  <c r="AC2405" i="3" s="1"/>
  <c r="AD2406" i="3"/>
  <c r="AC2406" i="3" s="1"/>
  <c r="AD2407" i="3"/>
  <c r="AC2407" i="3" s="1"/>
  <c r="AD2408" i="3"/>
  <c r="AC2408" i="3" s="1"/>
  <c r="AD2409" i="3"/>
  <c r="AC2409" i="3" s="1"/>
  <c r="AD2410" i="3"/>
  <c r="AC2410" i="3" s="1"/>
  <c r="AD2411" i="3"/>
  <c r="AC2411" i="3" s="1"/>
  <c r="AD2412" i="3"/>
  <c r="AC2412" i="3" s="1"/>
  <c r="AD2413" i="3"/>
  <c r="AC2413" i="3" s="1"/>
  <c r="AD2414" i="3"/>
  <c r="AC2414" i="3" s="1"/>
  <c r="AD2415" i="3"/>
  <c r="AC2415" i="3" s="1"/>
  <c r="AD2416" i="3"/>
  <c r="AC2416" i="3" s="1"/>
  <c r="AD2417" i="3"/>
  <c r="AC2417" i="3" s="1"/>
  <c r="AD2418" i="3"/>
  <c r="AC2418" i="3" s="1"/>
  <c r="AD2419" i="3"/>
  <c r="AC2419" i="3" s="1"/>
  <c r="AD2420" i="3"/>
  <c r="AC2420" i="3" s="1"/>
  <c r="AD2421" i="3"/>
  <c r="AC2421" i="3" s="1"/>
  <c r="AD2422" i="3"/>
  <c r="AC2422" i="3" s="1"/>
  <c r="AD2423" i="3"/>
  <c r="AC2423" i="3" s="1"/>
  <c r="AD2424" i="3"/>
  <c r="AC2424" i="3" s="1"/>
  <c r="AD2425" i="3"/>
  <c r="AC2425" i="3" s="1"/>
  <c r="AD2426" i="3"/>
  <c r="AC2426" i="3" s="1"/>
  <c r="AD2427" i="3"/>
  <c r="AC2427" i="3" s="1"/>
  <c r="AD2428" i="3"/>
  <c r="AC2428" i="3" s="1"/>
  <c r="AD2429" i="3"/>
  <c r="AC2429" i="3" s="1"/>
  <c r="AD2430" i="3"/>
  <c r="AC2430" i="3" s="1"/>
  <c r="AD2431" i="3"/>
  <c r="AC2431" i="3" s="1"/>
  <c r="AD2432" i="3"/>
  <c r="AC2432" i="3" s="1"/>
  <c r="AD2433" i="3"/>
  <c r="AC2433" i="3" s="1"/>
  <c r="AD2434" i="3"/>
  <c r="AC2434" i="3" s="1"/>
  <c r="AD2435" i="3"/>
  <c r="AC2435" i="3" s="1"/>
  <c r="AD2436" i="3"/>
  <c r="AC2436" i="3" s="1"/>
  <c r="AD2437" i="3"/>
  <c r="AC2437" i="3" s="1"/>
  <c r="AD2438" i="3"/>
  <c r="AC2438" i="3" s="1"/>
  <c r="AD2439" i="3"/>
  <c r="AC2439" i="3" s="1"/>
  <c r="AD2440" i="3"/>
  <c r="AC2440" i="3" s="1"/>
  <c r="AD2441" i="3"/>
  <c r="AC2441" i="3" s="1"/>
  <c r="AD2442" i="3"/>
  <c r="AC2442" i="3" s="1"/>
  <c r="AD2443" i="3"/>
  <c r="AC2443" i="3" s="1"/>
  <c r="AD2444" i="3"/>
  <c r="AC2444" i="3" s="1"/>
  <c r="AD2445" i="3"/>
  <c r="AC2445" i="3" s="1"/>
  <c r="AD2446" i="3"/>
  <c r="AC2446" i="3" s="1"/>
  <c r="AD2447" i="3"/>
  <c r="AC2447" i="3" s="1"/>
  <c r="AD2448" i="3"/>
  <c r="AC2448" i="3" s="1"/>
  <c r="AD2449" i="3"/>
  <c r="AC2449" i="3" s="1"/>
  <c r="AD2450" i="3"/>
  <c r="AC2450" i="3" s="1"/>
  <c r="AD2451" i="3"/>
  <c r="AC2451" i="3" s="1"/>
  <c r="AD2452" i="3"/>
  <c r="AC2452" i="3" s="1"/>
  <c r="AD2453" i="3"/>
  <c r="AC2453" i="3" s="1"/>
  <c r="AD2454" i="3"/>
  <c r="AC2454" i="3" s="1"/>
  <c r="AD2455" i="3"/>
  <c r="AC2455" i="3" s="1"/>
  <c r="AD2456" i="3"/>
  <c r="AC2456" i="3" s="1"/>
  <c r="AD2457" i="3"/>
  <c r="AC2457" i="3" s="1"/>
  <c r="AD2458" i="3"/>
  <c r="AC2458" i="3" s="1"/>
  <c r="AD2459" i="3"/>
  <c r="AC2459" i="3" s="1"/>
  <c r="AD2460" i="3"/>
  <c r="AC2460" i="3" s="1"/>
  <c r="AD2461" i="3"/>
  <c r="AC2461" i="3" s="1"/>
  <c r="AD2462" i="3"/>
  <c r="AC2462" i="3" s="1"/>
  <c r="AD2463" i="3"/>
  <c r="AC2463" i="3" s="1"/>
  <c r="AD2464" i="3"/>
  <c r="AC2464" i="3" s="1"/>
  <c r="AD2465" i="3"/>
  <c r="AC2465" i="3" s="1"/>
  <c r="AD2466" i="3"/>
  <c r="AC2466" i="3" s="1"/>
  <c r="AD2467" i="3"/>
  <c r="AC2467" i="3" s="1"/>
  <c r="AD2468" i="3"/>
  <c r="AC2468" i="3" s="1"/>
  <c r="AD2469" i="3"/>
  <c r="AC2469" i="3" s="1"/>
  <c r="AD2470" i="3"/>
  <c r="AC2470" i="3" s="1"/>
  <c r="AD2471" i="3"/>
  <c r="AC2471" i="3" s="1"/>
  <c r="AD2472" i="3"/>
  <c r="AC2472" i="3" s="1"/>
  <c r="AD2473" i="3"/>
  <c r="AC2473" i="3" s="1"/>
  <c r="AD2474" i="3"/>
  <c r="AC2474" i="3" s="1"/>
  <c r="AD2475" i="3"/>
  <c r="AC2475" i="3" s="1"/>
  <c r="AD2476" i="3"/>
  <c r="AC2476" i="3" s="1"/>
  <c r="AD2477" i="3"/>
  <c r="AC2477" i="3" s="1"/>
  <c r="AD2478" i="3"/>
  <c r="AC2478" i="3" s="1"/>
  <c r="AD2479" i="3"/>
  <c r="AC2479" i="3" s="1"/>
  <c r="AD2480" i="3"/>
  <c r="AC2480" i="3" s="1"/>
  <c r="AD2481" i="3"/>
  <c r="AC2481" i="3" s="1"/>
  <c r="AD2482" i="3"/>
  <c r="AC2482" i="3" s="1"/>
  <c r="AD2483" i="3"/>
  <c r="AC2483" i="3" s="1"/>
  <c r="AD2484" i="3"/>
  <c r="AC2484" i="3" s="1"/>
  <c r="AD2485" i="3"/>
  <c r="AC2485" i="3" s="1"/>
  <c r="AD2486" i="3"/>
  <c r="AC2486" i="3" s="1"/>
  <c r="AD2487" i="3"/>
  <c r="AC2487" i="3" s="1"/>
  <c r="AD2488" i="3"/>
  <c r="AC2488" i="3" s="1"/>
  <c r="AD2489" i="3"/>
  <c r="AC2489" i="3" s="1"/>
  <c r="AD2490" i="3"/>
  <c r="AC2490" i="3" s="1"/>
  <c r="AD2491" i="3"/>
  <c r="AC2491" i="3" s="1"/>
  <c r="AD2492" i="3"/>
  <c r="AC2492" i="3" s="1"/>
  <c r="AD2493" i="3"/>
  <c r="AC2493" i="3" s="1"/>
  <c r="AD2494" i="3"/>
  <c r="AC2494" i="3" s="1"/>
  <c r="AD2495" i="3"/>
  <c r="AC2495" i="3" s="1"/>
  <c r="AD2496" i="3"/>
  <c r="AC2496" i="3" s="1"/>
  <c r="AD2497" i="3"/>
  <c r="AC2497" i="3" s="1"/>
  <c r="AD2498" i="3"/>
  <c r="AC2498" i="3" s="1"/>
  <c r="AD2499" i="3"/>
  <c r="AC2499" i="3" s="1"/>
  <c r="AD2500" i="3"/>
  <c r="AC2500" i="3" s="1"/>
  <c r="AD2501" i="3"/>
  <c r="AC2501" i="3" s="1"/>
  <c r="AD2502" i="3"/>
  <c r="AC2502" i="3" s="1"/>
  <c r="AD2503" i="3"/>
  <c r="AC2503" i="3" s="1"/>
  <c r="AD2504" i="3"/>
  <c r="AC2504" i="3" s="1"/>
  <c r="AD2505" i="3"/>
  <c r="AC2505" i="3" s="1"/>
  <c r="AD2506" i="3"/>
  <c r="AC2506" i="3" s="1"/>
  <c r="AD2507" i="3"/>
  <c r="AC2507" i="3" s="1"/>
  <c r="AD2508" i="3"/>
  <c r="AC2508" i="3" s="1"/>
  <c r="AD2509" i="3"/>
  <c r="AC2509" i="3" s="1"/>
  <c r="AD2510" i="3"/>
  <c r="AC2510" i="3" s="1"/>
  <c r="AD2511" i="3"/>
  <c r="AC2511" i="3" s="1"/>
  <c r="AD2512" i="3"/>
  <c r="AC2512" i="3" s="1"/>
  <c r="AD2513" i="3"/>
  <c r="AC2513" i="3" s="1"/>
  <c r="AD2514" i="3"/>
  <c r="AC2514" i="3" s="1"/>
  <c r="AD2515" i="3"/>
  <c r="AC2515" i="3" s="1"/>
  <c r="AD2516" i="3"/>
  <c r="AC2516" i="3" s="1"/>
  <c r="AD2517" i="3"/>
  <c r="AC2517" i="3" s="1"/>
  <c r="AD2518" i="3"/>
  <c r="AC2518" i="3" s="1"/>
  <c r="AD2519" i="3"/>
  <c r="AC2519" i="3" s="1"/>
  <c r="AD2520" i="3"/>
  <c r="AC2520" i="3" s="1"/>
  <c r="AD2521" i="3"/>
  <c r="AC2521" i="3" s="1"/>
  <c r="AD2522" i="3"/>
  <c r="AC2522" i="3" s="1"/>
  <c r="AD2523" i="3"/>
  <c r="AC2523" i="3" s="1"/>
  <c r="AD2524" i="3"/>
  <c r="AC2524" i="3" s="1"/>
  <c r="AD2525" i="3"/>
  <c r="AC2525" i="3" s="1"/>
  <c r="AD2526" i="3"/>
  <c r="AC2526" i="3" s="1"/>
  <c r="AD2527" i="3"/>
  <c r="AC2527" i="3" s="1"/>
  <c r="AD2528" i="3"/>
  <c r="AC2528" i="3" s="1"/>
  <c r="AD2529" i="3"/>
  <c r="AC2529" i="3" s="1"/>
  <c r="AD2530" i="3"/>
  <c r="AC2530" i="3" s="1"/>
  <c r="AD2531" i="3"/>
  <c r="AC2531" i="3" s="1"/>
  <c r="AD2532" i="3"/>
  <c r="AC2532" i="3" s="1"/>
  <c r="AD2533" i="3"/>
  <c r="AC2533" i="3" s="1"/>
  <c r="AD2534" i="3"/>
  <c r="AC2534" i="3" s="1"/>
  <c r="AD2535" i="3"/>
  <c r="AC2535" i="3" s="1"/>
  <c r="AD2536" i="3"/>
  <c r="AC2536" i="3" s="1"/>
  <c r="AD2537" i="3"/>
  <c r="AC2537" i="3" s="1"/>
  <c r="AD2538" i="3"/>
  <c r="AC2538" i="3" s="1"/>
  <c r="AD2539" i="3"/>
  <c r="AC2539" i="3" s="1"/>
  <c r="AD2540" i="3"/>
  <c r="AC2540" i="3" s="1"/>
  <c r="AD2541" i="3"/>
  <c r="AC2541" i="3" s="1"/>
  <c r="AD2542" i="3"/>
  <c r="AC2542" i="3" s="1"/>
  <c r="AD2543" i="3"/>
  <c r="AC2543" i="3" s="1"/>
  <c r="AD2544" i="3"/>
  <c r="AC2544" i="3" s="1"/>
  <c r="AD2545" i="3"/>
  <c r="AC2545" i="3" s="1"/>
  <c r="AD2546" i="3"/>
  <c r="AC2546" i="3" s="1"/>
  <c r="AD2547" i="3"/>
  <c r="AC2547" i="3" s="1"/>
  <c r="AD2548" i="3"/>
  <c r="AC2548" i="3" s="1"/>
  <c r="AD2549" i="3"/>
  <c r="AC2549" i="3" s="1"/>
  <c r="AD2550" i="3"/>
  <c r="AC2550" i="3" s="1"/>
  <c r="AD2551" i="3"/>
  <c r="AC2551" i="3" s="1"/>
  <c r="AD2552" i="3"/>
  <c r="AC2552" i="3" s="1"/>
  <c r="AD2553" i="3"/>
  <c r="AC2553" i="3" s="1"/>
  <c r="AD2554" i="3"/>
  <c r="AC2554" i="3" s="1"/>
  <c r="AD2555" i="3"/>
  <c r="AC2555" i="3" s="1"/>
  <c r="AD2556" i="3"/>
  <c r="AC2556" i="3" s="1"/>
  <c r="AD2557" i="3"/>
  <c r="AC2557" i="3" s="1"/>
  <c r="AD2558" i="3"/>
  <c r="AC2558" i="3" s="1"/>
  <c r="AD2559" i="3"/>
  <c r="AC2559" i="3" s="1"/>
  <c r="AD2560" i="3"/>
  <c r="AC2560" i="3" s="1"/>
  <c r="AD2561" i="3"/>
  <c r="AC2561" i="3" s="1"/>
  <c r="AD2562" i="3"/>
  <c r="AC2562" i="3" s="1"/>
  <c r="AD2563" i="3"/>
  <c r="AC2563" i="3" s="1"/>
  <c r="AD2564" i="3"/>
  <c r="AC2564" i="3" s="1"/>
  <c r="AD2565" i="3"/>
  <c r="AC2565" i="3" s="1"/>
  <c r="AD2566" i="3"/>
  <c r="AC2566" i="3" s="1"/>
  <c r="AD2567" i="3"/>
  <c r="AC2567" i="3" s="1"/>
  <c r="AD2568" i="3"/>
  <c r="AC2568" i="3" s="1"/>
  <c r="AD2569" i="3"/>
  <c r="AC2569" i="3" s="1"/>
  <c r="AD2570" i="3"/>
  <c r="AC2570" i="3" s="1"/>
  <c r="AD2571" i="3"/>
  <c r="AC2571" i="3" s="1"/>
  <c r="AD2572" i="3"/>
  <c r="AC2572" i="3" s="1"/>
  <c r="AD2573" i="3"/>
  <c r="AC2573" i="3" s="1"/>
  <c r="AD2574" i="3"/>
  <c r="AC2574" i="3" s="1"/>
  <c r="AD2575" i="3"/>
  <c r="AC2575" i="3" s="1"/>
  <c r="AD2576" i="3"/>
  <c r="AC2576" i="3" s="1"/>
  <c r="AD2577" i="3"/>
  <c r="AC2577" i="3" s="1"/>
  <c r="AD2578" i="3"/>
  <c r="AC2578" i="3" s="1"/>
  <c r="AD2579" i="3"/>
  <c r="AC2579" i="3" s="1"/>
  <c r="AD2580" i="3"/>
  <c r="AC2580" i="3" s="1"/>
  <c r="AD2581" i="3"/>
  <c r="AC2581" i="3" s="1"/>
  <c r="AD2582" i="3"/>
  <c r="AC2582" i="3" s="1"/>
  <c r="AD2583" i="3"/>
  <c r="AC2583" i="3" s="1"/>
  <c r="AD2584" i="3"/>
  <c r="AC2584" i="3" s="1"/>
  <c r="AD2585" i="3"/>
  <c r="AC2585" i="3" s="1"/>
  <c r="AD2586" i="3"/>
  <c r="AC2586" i="3" s="1"/>
  <c r="AD2587" i="3"/>
  <c r="AC2587" i="3" s="1"/>
  <c r="AD2588" i="3"/>
  <c r="AC2588" i="3" s="1"/>
  <c r="AD2589" i="3"/>
  <c r="AC2589" i="3" s="1"/>
  <c r="AD2590" i="3"/>
  <c r="AC2590" i="3" s="1"/>
  <c r="AD2591" i="3"/>
  <c r="AC2591" i="3" s="1"/>
  <c r="AD2592" i="3"/>
  <c r="AC2592" i="3" s="1"/>
  <c r="AD2593" i="3"/>
  <c r="AC2593" i="3" s="1"/>
  <c r="AD2594" i="3"/>
  <c r="AC2594" i="3" s="1"/>
  <c r="AD2595" i="3"/>
  <c r="AC2595" i="3" s="1"/>
  <c r="AD2596" i="3"/>
  <c r="AC2596" i="3" s="1"/>
  <c r="AD2597" i="3"/>
  <c r="AC2597" i="3" s="1"/>
  <c r="AD2598" i="3"/>
  <c r="AC2598" i="3" s="1"/>
  <c r="AD2599" i="3"/>
  <c r="AC2599" i="3" s="1"/>
  <c r="AD2600" i="3"/>
  <c r="AC2600" i="3" s="1"/>
  <c r="AD2601" i="3"/>
  <c r="AC2601" i="3" s="1"/>
  <c r="AD2602" i="3"/>
  <c r="AC2602" i="3" s="1"/>
  <c r="AD2603" i="3"/>
  <c r="AC2603" i="3" s="1"/>
  <c r="AD2604" i="3"/>
  <c r="AC2604" i="3" s="1"/>
  <c r="AD2605" i="3"/>
  <c r="AC2605" i="3" s="1"/>
  <c r="AD2606" i="3"/>
  <c r="AC2606" i="3" s="1"/>
  <c r="AD2607" i="3"/>
  <c r="AC2607" i="3" s="1"/>
  <c r="AD2608" i="3"/>
  <c r="AC2608" i="3" s="1"/>
  <c r="AD2609" i="3"/>
  <c r="AC2609" i="3" s="1"/>
  <c r="AD2610" i="3"/>
  <c r="AC2610" i="3" s="1"/>
  <c r="AD2611" i="3"/>
  <c r="AC2611" i="3" s="1"/>
  <c r="AD2612" i="3"/>
  <c r="AC2612" i="3" s="1"/>
  <c r="AD2613" i="3"/>
  <c r="AC2613" i="3" s="1"/>
  <c r="AD2614" i="3"/>
  <c r="AC2614" i="3" s="1"/>
  <c r="AD2615" i="3"/>
  <c r="AC2615" i="3" s="1"/>
  <c r="AD2616" i="3"/>
  <c r="AC2616" i="3" s="1"/>
  <c r="AD2617" i="3"/>
  <c r="AC2617" i="3" s="1"/>
  <c r="AD2618" i="3"/>
  <c r="AC2618" i="3" s="1"/>
  <c r="AD2619" i="3"/>
  <c r="AC2619" i="3" s="1"/>
  <c r="AD2620" i="3"/>
  <c r="AC2620" i="3" s="1"/>
  <c r="AD2621" i="3"/>
  <c r="AC2621" i="3" s="1"/>
  <c r="AD2622" i="3"/>
  <c r="AC2622" i="3" s="1"/>
  <c r="AD2623" i="3"/>
  <c r="AC2623" i="3" s="1"/>
  <c r="AD2624" i="3"/>
  <c r="AC2624" i="3" s="1"/>
  <c r="AD2625" i="3"/>
  <c r="AC2625" i="3" s="1"/>
  <c r="AD2626" i="3"/>
  <c r="AC2626" i="3" s="1"/>
  <c r="AD2627" i="3"/>
  <c r="AC2627" i="3" s="1"/>
  <c r="AD2628" i="3"/>
  <c r="AC2628" i="3" s="1"/>
  <c r="AD2629" i="3"/>
  <c r="AC2629" i="3" s="1"/>
  <c r="AD2630" i="3"/>
  <c r="AC2630" i="3" s="1"/>
  <c r="AD2631" i="3"/>
  <c r="AC2631" i="3" s="1"/>
  <c r="AD2632" i="3"/>
  <c r="AC2632" i="3" s="1"/>
  <c r="AD2633" i="3"/>
  <c r="AC2633" i="3" s="1"/>
  <c r="AD2634" i="3"/>
  <c r="AC2634" i="3" s="1"/>
  <c r="AD2635" i="3"/>
  <c r="AC2635" i="3" s="1"/>
  <c r="AD2636" i="3"/>
  <c r="AC2636" i="3" s="1"/>
  <c r="AD2637" i="3"/>
  <c r="AC2637" i="3" s="1"/>
  <c r="AD2638" i="3"/>
  <c r="AC2638" i="3" s="1"/>
  <c r="AD2639" i="3"/>
  <c r="AC2639" i="3" s="1"/>
  <c r="AD2640" i="3"/>
  <c r="AC2640" i="3" s="1"/>
  <c r="AD2641" i="3"/>
  <c r="AC2641" i="3" s="1"/>
  <c r="AD2642" i="3"/>
  <c r="AC2642" i="3" s="1"/>
  <c r="AD2643" i="3"/>
  <c r="AC2643" i="3" s="1"/>
  <c r="AD2644" i="3"/>
  <c r="AC2644" i="3" s="1"/>
  <c r="AD2645" i="3"/>
  <c r="AC2645" i="3" s="1"/>
  <c r="AD2646" i="3"/>
  <c r="AC2646" i="3" s="1"/>
  <c r="AD2647" i="3"/>
  <c r="AC2647" i="3" s="1"/>
  <c r="AD2648" i="3"/>
  <c r="AC2648" i="3" s="1"/>
  <c r="AD2649" i="3"/>
  <c r="AC2649" i="3" s="1"/>
  <c r="AD2650" i="3"/>
  <c r="AC2650" i="3" s="1"/>
  <c r="AD2651" i="3"/>
  <c r="AC2651" i="3" s="1"/>
  <c r="AD2652" i="3"/>
  <c r="AC2652" i="3" s="1"/>
  <c r="AD2653" i="3"/>
  <c r="AC2653" i="3" s="1"/>
  <c r="AD2654" i="3"/>
  <c r="AC2654" i="3" s="1"/>
  <c r="AD2655" i="3"/>
  <c r="AC2655" i="3" s="1"/>
  <c r="AD2656" i="3"/>
  <c r="AC2656" i="3" s="1"/>
  <c r="AD2657" i="3"/>
  <c r="AC2657" i="3" s="1"/>
  <c r="AD2658" i="3"/>
  <c r="AC2658" i="3" s="1"/>
  <c r="AD2659" i="3"/>
  <c r="AC2659" i="3" s="1"/>
  <c r="AD2660" i="3"/>
  <c r="AC2660" i="3" s="1"/>
  <c r="AD2661" i="3"/>
  <c r="AC2661" i="3" s="1"/>
  <c r="AD2662" i="3"/>
  <c r="AC2662" i="3" s="1"/>
  <c r="AD2663" i="3"/>
  <c r="AC2663" i="3" s="1"/>
  <c r="AD2664" i="3"/>
  <c r="AC2664" i="3" s="1"/>
  <c r="AD2665" i="3"/>
  <c r="AC2665" i="3" s="1"/>
  <c r="AD2666" i="3"/>
  <c r="AC2666" i="3" s="1"/>
  <c r="AD2667" i="3"/>
  <c r="AC2667" i="3" s="1"/>
  <c r="AD2668" i="3"/>
  <c r="AC2668" i="3" s="1"/>
  <c r="AD2669" i="3"/>
  <c r="AC2669" i="3" s="1"/>
  <c r="AD2670" i="3"/>
  <c r="AC2670" i="3" s="1"/>
  <c r="AD2671" i="3"/>
  <c r="AC2671" i="3" s="1"/>
  <c r="AD2672" i="3"/>
  <c r="AC2672" i="3" s="1"/>
  <c r="AD2673" i="3"/>
  <c r="AC2673" i="3" s="1"/>
  <c r="AD2674" i="3"/>
  <c r="AC2674" i="3" s="1"/>
  <c r="AD2675" i="3"/>
  <c r="AC2675" i="3" s="1"/>
  <c r="AD2676" i="3"/>
  <c r="AC2676" i="3" s="1"/>
  <c r="AD2677" i="3"/>
  <c r="AC2677" i="3" s="1"/>
  <c r="AD2678" i="3"/>
  <c r="AC2678" i="3" s="1"/>
  <c r="AD2679" i="3"/>
  <c r="AC2679" i="3" s="1"/>
  <c r="AD2680" i="3"/>
  <c r="AC2680" i="3" s="1"/>
  <c r="AD2681" i="3"/>
  <c r="AC2681" i="3" s="1"/>
  <c r="AD2682" i="3"/>
  <c r="AC2682" i="3" s="1"/>
  <c r="AD2683" i="3"/>
  <c r="AC2683" i="3" s="1"/>
  <c r="AD2684" i="3"/>
  <c r="AC2684" i="3" s="1"/>
  <c r="AD2685" i="3"/>
  <c r="AC2685" i="3" s="1"/>
  <c r="AD2686" i="3"/>
  <c r="AC2686" i="3" s="1"/>
  <c r="AD2687" i="3"/>
  <c r="AC2687" i="3" s="1"/>
  <c r="AD2688" i="3"/>
  <c r="AC2688" i="3" s="1"/>
  <c r="AD2689" i="3"/>
  <c r="AC2689" i="3" s="1"/>
  <c r="AD2690" i="3"/>
  <c r="AC2690" i="3" s="1"/>
  <c r="AD2691" i="3"/>
  <c r="AC2691" i="3" s="1"/>
  <c r="AD2692" i="3"/>
  <c r="AC2692" i="3" s="1"/>
  <c r="AD2693" i="3"/>
  <c r="AC2693" i="3" s="1"/>
  <c r="AD2694" i="3"/>
  <c r="AC2694" i="3" s="1"/>
  <c r="AD2695" i="3"/>
  <c r="AC2695" i="3" s="1"/>
  <c r="AD2696" i="3"/>
  <c r="AC2696" i="3" s="1"/>
  <c r="AD2697" i="3"/>
  <c r="AC2697" i="3" s="1"/>
  <c r="AD2698" i="3"/>
  <c r="AC2698" i="3" s="1"/>
  <c r="AD2699" i="3"/>
  <c r="AC2699" i="3" s="1"/>
  <c r="AD2700" i="3"/>
  <c r="AC2700" i="3" s="1"/>
  <c r="AD2701" i="3"/>
  <c r="AC2701" i="3" s="1"/>
  <c r="AD2702" i="3"/>
  <c r="AC2702" i="3" s="1"/>
  <c r="AD2703" i="3"/>
  <c r="AC2703" i="3" s="1"/>
  <c r="AD2704" i="3"/>
  <c r="AC2704" i="3" s="1"/>
  <c r="AD2705" i="3"/>
  <c r="AC2705" i="3" s="1"/>
  <c r="AD2706" i="3"/>
  <c r="AC2706" i="3" s="1"/>
  <c r="AD2707" i="3"/>
  <c r="AC2707" i="3" s="1"/>
  <c r="AD2708" i="3"/>
  <c r="AC2708" i="3" s="1"/>
  <c r="AD2709" i="3"/>
  <c r="AC2709" i="3" s="1"/>
  <c r="AD2710" i="3"/>
  <c r="AC2710" i="3" s="1"/>
  <c r="AD2711" i="3"/>
  <c r="AC2711" i="3" s="1"/>
  <c r="AD2712" i="3"/>
  <c r="AC2712" i="3" s="1"/>
  <c r="AD2713" i="3"/>
  <c r="AC2713" i="3" s="1"/>
  <c r="AD2714" i="3"/>
  <c r="AC2714" i="3" s="1"/>
  <c r="AD2715" i="3"/>
  <c r="AC2715" i="3" s="1"/>
  <c r="AD2716" i="3"/>
  <c r="AC2716" i="3" s="1"/>
  <c r="AD2717" i="3"/>
  <c r="AC2717" i="3" s="1"/>
  <c r="AD2718" i="3"/>
  <c r="AC2718" i="3" s="1"/>
  <c r="AD2719" i="3"/>
  <c r="AC2719" i="3" s="1"/>
  <c r="AD2720" i="3"/>
  <c r="AC2720" i="3" s="1"/>
  <c r="AD2721" i="3"/>
  <c r="AC2721" i="3" s="1"/>
  <c r="AD2722" i="3"/>
  <c r="AC2722" i="3" s="1"/>
  <c r="AD2723" i="3"/>
  <c r="AC2723" i="3" s="1"/>
  <c r="AD2724" i="3"/>
  <c r="AC2724" i="3" s="1"/>
  <c r="AD2725" i="3"/>
  <c r="AC2725" i="3" s="1"/>
  <c r="AD2726" i="3"/>
  <c r="AC2726" i="3" s="1"/>
  <c r="AD2727" i="3"/>
  <c r="AC2727" i="3" s="1"/>
  <c r="AD2728" i="3"/>
  <c r="AC2728" i="3" s="1"/>
  <c r="AD2729" i="3"/>
  <c r="AC2729" i="3" s="1"/>
  <c r="AD2730" i="3"/>
  <c r="AC2730" i="3" s="1"/>
  <c r="AD2731" i="3"/>
  <c r="AC2731" i="3" s="1"/>
  <c r="AD2732" i="3"/>
  <c r="AC2732" i="3" s="1"/>
  <c r="AD2733" i="3"/>
  <c r="AC2733" i="3" s="1"/>
  <c r="AD2734" i="3"/>
  <c r="AC2734" i="3" s="1"/>
  <c r="AD2735" i="3"/>
  <c r="AC2735" i="3" s="1"/>
  <c r="AD2736" i="3"/>
  <c r="AC2736" i="3" s="1"/>
  <c r="AD2737" i="3"/>
  <c r="AC2737" i="3" s="1"/>
  <c r="AD2738" i="3"/>
  <c r="AC2738" i="3" s="1"/>
  <c r="AD2739" i="3"/>
  <c r="AC2739" i="3" s="1"/>
  <c r="AD2740" i="3"/>
  <c r="AC2740" i="3" s="1"/>
  <c r="AD2741" i="3"/>
  <c r="AC2741" i="3" s="1"/>
  <c r="AD2742" i="3"/>
  <c r="AC2742" i="3" s="1"/>
  <c r="AD2743" i="3"/>
  <c r="AC2743" i="3" s="1"/>
  <c r="AD2744" i="3"/>
  <c r="AC2744" i="3" s="1"/>
  <c r="AD2745" i="3"/>
  <c r="AC2745" i="3" s="1"/>
  <c r="AD2746" i="3"/>
  <c r="AC2746" i="3" s="1"/>
  <c r="AD2747" i="3"/>
  <c r="AC2747" i="3" s="1"/>
  <c r="AD2748" i="3"/>
  <c r="AC2748" i="3" s="1"/>
  <c r="AD2749" i="3"/>
  <c r="AC2749" i="3" s="1"/>
  <c r="AD2750" i="3"/>
  <c r="AC2750" i="3" s="1"/>
  <c r="AD2751" i="3"/>
  <c r="AC2751" i="3" s="1"/>
  <c r="AD2752" i="3"/>
  <c r="AC2752" i="3" s="1"/>
  <c r="AD2753" i="3"/>
  <c r="AC2753" i="3" s="1"/>
  <c r="AD2754" i="3"/>
  <c r="AC2754" i="3" s="1"/>
  <c r="AD2755" i="3"/>
  <c r="AC2755" i="3" s="1"/>
  <c r="AD2756" i="3"/>
  <c r="AC2756" i="3" s="1"/>
  <c r="AD2757" i="3"/>
  <c r="AC2757" i="3" s="1"/>
  <c r="AD2758" i="3"/>
  <c r="AC2758" i="3" s="1"/>
  <c r="AD2759" i="3"/>
  <c r="AC2759" i="3" s="1"/>
  <c r="AD2760" i="3"/>
  <c r="AC2760" i="3" s="1"/>
  <c r="AD2761" i="3"/>
  <c r="AC2761" i="3" s="1"/>
  <c r="AD2762" i="3"/>
  <c r="AC2762" i="3" s="1"/>
  <c r="AD2763" i="3"/>
  <c r="AC2763" i="3" s="1"/>
  <c r="AD2764" i="3"/>
  <c r="AC2764" i="3" s="1"/>
  <c r="AD2765" i="3"/>
  <c r="AC2765" i="3" s="1"/>
  <c r="AD2766" i="3"/>
  <c r="AC2766" i="3" s="1"/>
  <c r="AD2767" i="3"/>
  <c r="AC2767" i="3" s="1"/>
  <c r="AD2768" i="3"/>
  <c r="AC2768" i="3" s="1"/>
  <c r="AD2769" i="3"/>
  <c r="AC2769" i="3" s="1"/>
  <c r="AD2770" i="3"/>
  <c r="AC2770" i="3" s="1"/>
  <c r="AD2771" i="3"/>
  <c r="AC2771" i="3" s="1"/>
  <c r="AD2772" i="3"/>
  <c r="AC2772" i="3" s="1"/>
  <c r="AD2773" i="3"/>
  <c r="AC2773" i="3" s="1"/>
  <c r="AD2774" i="3"/>
  <c r="AC2774" i="3" s="1"/>
  <c r="AD2775" i="3"/>
  <c r="AC2775" i="3" s="1"/>
  <c r="AD2776" i="3"/>
  <c r="AC2776" i="3" s="1"/>
  <c r="AD2777" i="3"/>
  <c r="AC2777" i="3" s="1"/>
  <c r="AD2778" i="3"/>
  <c r="AC2778" i="3" s="1"/>
  <c r="AD2779" i="3"/>
  <c r="AC2779" i="3" s="1"/>
  <c r="AD2780" i="3"/>
  <c r="AC2780" i="3" s="1"/>
  <c r="AD2781" i="3"/>
  <c r="AC2781" i="3" s="1"/>
  <c r="AD2782" i="3"/>
  <c r="AC2782" i="3" s="1"/>
  <c r="AD2783" i="3"/>
  <c r="AC2783" i="3" s="1"/>
  <c r="AD2784" i="3"/>
  <c r="AC2784" i="3" s="1"/>
  <c r="AD2785" i="3"/>
  <c r="AC2785" i="3" s="1"/>
  <c r="AD2786" i="3"/>
  <c r="AC2786" i="3" s="1"/>
  <c r="AD2787" i="3"/>
  <c r="AC2787" i="3" s="1"/>
  <c r="AD2788" i="3"/>
  <c r="AC2788" i="3" s="1"/>
  <c r="AD2789" i="3"/>
  <c r="AC2789" i="3" s="1"/>
  <c r="AD2790" i="3"/>
  <c r="AC2790" i="3" s="1"/>
  <c r="AD2791" i="3"/>
  <c r="AC2791" i="3" s="1"/>
  <c r="AD2792" i="3"/>
  <c r="AC2792" i="3" s="1"/>
  <c r="AD2793" i="3"/>
  <c r="AC2793" i="3" s="1"/>
  <c r="AD2794" i="3"/>
  <c r="AC2794" i="3" s="1"/>
  <c r="AD2795" i="3"/>
  <c r="AC2795" i="3" s="1"/>
  <c r="AD2796" i="3"/>
  <c r="AC2796" i="3" s="1"/>
  <c r="AD2797" i="3"/>
  <c r="AC2797" i="3" s="1"/>
  <c r="AD2798" i="3"/>
  <c r="AC2798" i="3" s="1"/>
  <c r="AD2799" i="3"/>
  <c r="AC2799" i="3" s="1"/>
  <c r="AD2800" i="3"/>
  <c r="AC2800" i="3" s="1"/>
  <c r="AD2801" i="3"/>
  <c r="AC2801" i="3" s="1"/>
  <c r="AD2802" i="3"/>
  <c r="AC2802" i="3" s="1"/>
  <c r="AD2803" i="3"/>
  <c r="AC2803" i="3" s="1"/>
  <c r="AD2804" i="3"/>
  <c r="AC2804" i="3" s="1"/>
  <c r="AD2805" i="3"/>
  <c r="AC2805" i="3" s="1"/>
  <c r="AD2806" i="3"/>
  <c r="AC2806" i="3" s="1"/>
  <c r="AD2807" i="3"/>
  <c r="AC2807" i="3" s="1"/>
  <c r="AD2808" i="3"/>
  <c r="AC2808" i="3" s="1"/>
  <c r="AD2809" i="3"/>
  <c r="AC2809" i="3" s="1"/>
  <c r="AD2810" i="3"/>
  <c r="AC2810" i="3" s="1"/>
  <c r="AD2811" i="3"/>
  <c r="AC2811" i="3" s="1"/>
  <c r="AD2812" i="3"/>
  <c r="AC2812" i="3" s="1"/>
  <c r="AD2813" i="3"/>
  <c r="AC2813" i="3" s="1"/>
  <c r="AD2814" i="3"/>
  <c r="AC2814" i="3" s="1"/>
  <c r="AD2815" i="3"/>
  <c r="AC2815" i="3" s="1"/>
  <c r="AD2816" i="3"/>
  <c r="AC2816" i="3" s="1"/>
  <c r="AD2817" i="3"/>
  <c r="AC2817" i="3" s="1"/>
  <c r="AD2818" i="3"/>
  <c r="AC2818" i="3" s="1"/>
  <c r="AD2819" i="3"/>
  <c r="AC2819" i="3" s="1"/>
  <c r="AD2820" i="3"/>
  <c r="AC2820" i="3" s="1"/>
  <c r="AD2821" i="3"/>
  <c r="AC2821" i="3" s="1"/>
  <c r="AD2822" i="3"/>
  <c r="AC2822" i="3" s="1"/>
  <c r="AD2823" i="3"/>
  <c r="AC2823" i="3" s="1"/>
  <c r="AD2824" i="3"/>
  <c r="AC2824" i="3" s="1"/>
  <c r="AD2825" i="3"/>
  <c r="AC2825" i="3" s="1"/>
  <c r="AD2826" i="3"/>
  <c r="AC2826" i="3" s="1"/>
  <c r="AD2827" i="3"/>
  <c r="AC2827" i="3" s="1"/>
  <c r="AD2828" i="3"/>
  <c r="AC2828" i="3" s="1"/>
  <c r="AD2829" i="3"/>
  <c r="AC2829" i="3" s="1"/>
  <c r="AD2830" i="3"/>
  <c r="AC2830" i="3" s="1"/>
  <c r="AD2831" i="3"/>
  <c r="AC2831" i="3" s="1"/>
  <c r="AD2832" i="3"/>
  <c r="AC2832" i="3" s="1"/>
  <c r="AD2833" i="3"/>
  <c r="AC2833" i="3" s="1"/>
  <c r="AD2834" i="3"/>
  <c r="AC2834" i="3" s="1"/>
  <c r="AD2835" i="3"/>
  <c r="AC2835" i="3" s="1"/>
  <c r="AD2836" i="3"/>
  <c r="AC2836" i="3" s="1"/>
  <c r="AD2837" i="3"/>
  <c r="AC2837" i="3" s="1"/>
  <c r="AD2838" i="3"/>
  <c r="AC2838" i="3" s="1"/>
  <c r="AD2839" i="3"/>
  <c r="AC2839" i="3" s="1"/>
  <c r="AD2840" i="3"/>
  <c r="AC2840" i="3" s="1"/>
  <c r="AD2841" i="3"/>
  <c r="AC2841" i="3" s="1"/>
  <c r="AD2842" i="3"/>
  <c r="AC2842" i="3" s="1"/>
  <c r="AD2843" i="3"/>
  <c r="AC2843" i="3" s="1"/>
  <c r="AD2844" i="3"/>
  <c r="AC2844" i="3" s="1"/>
  <c r="AD2845" i="3"/>
  <c r="AC2845" i="3" s="1"/>
  <c r="AD2846" i="3"/>
  <c r="AC2846" i="3" s="1"/>
  <c r="AD2847" i="3"/>
  <c r="AC2847" i="3" s="1"/>
  <c r="AD2848" i="3"/>
  <c r="AC2848" i="3" s="1"/>
  <c r="AD2849" i="3"/>
  <c r="AC2849" i="3" s="1"/>
  <c r="AD2850" i="3"/>
  <c r="AC2850" i="3" s="1"/>
  <c r="AD2851" i="3"/>
  <c r="AC2851" i="3" s="1"/>
  <c r="AD2852" i="3"/>
  <c r="AC2852" i="3" s="1"/>
  <c r="AD2853" i="3"/>
  <c r="AC2853" i="3" s="1"/>
  <c r="AD2854" i="3"/>
  <c r="AC2854" i="3" s="1"/>
  <c r="AD2855" i="3"/>
  <c r="AC2855" i="3" s="1"/>
  <c r="AD2856" i="3"/>
  <c r="AC2856" i="3" s="1"/>
  <c r="AD2857" i="3"/>
  <c r="AC2857" i="3" s="1"/>
  <c r="AD2858" i="3"/>
  <c r="AC2858" i="3" s="1"/>
  <c r="AD2859" i="3"/>
  <c r="AC2859" i="3" s="1"/>
  <c r="AD2860" i="3"/>
  <c r="AC2860" i="3" s="1"/>
  <c r="AD2861" i="3"/>
  <c r="AC2861" i="3" s="1"/>
  <c r="AD2862" i="3"/>
  <c r="AC2862" i="3" s="1"/>
  <c r="AD2863" i="3"/>
  <c r="AC2863" i="3" s="1"/>
  <c r="AD2864" i="3"/>
  <c r="AC2864" i="3" s="1"/>
  <c r="AD2865" i="3"/>
  <c r="AC2865" i="3" s="1"/>
  <c r="AD2866" i="3"/>
  <c r="AC2866" i="3" s="1"/>
  <c r="AD2867" i="3"/>
  <c r="AC2867" i="3" s="1"/>
  <c r="AD2868" i="3"/>
  <c r="AC2868" i="3" s="1"/>
  <c r="AD2869" i="3"/>
  <c r="AC2869" i="3" s="1"/>
  <c r="AD2870" i="3"/>
  <c r="AC2870" i="3" s="1"/>
  <c r="AD2871" i="3"/>
  <c r="AC2871" i="3" s="1"/>
  <c r="AD2872" i="3"/>
  <c r="AC2872" i="3" s="1"/>
  <c r="AD2873" i="3"/>
  <c r="AC2873" i="3" s="1"/>
  <c r="AD2874" i="3"/>
  <c r="AC2874" i="3" s="1"/>
  <c r="AD2875" i="3"/>
  <c r="AC2875" i="3" s="1"/>
  <c r="AD2876" i="3"/>
  <c r="AC2876" i="3" s="1"/>
  <c r="AD2877" i="3"/>
  <c r="AC2877" i="3" s="1"/>
  <c r="AD2878" i="3"/>
  <c r="AC2878" i="3" s="1"/>
  <c r="AD2879" i="3"/>
  <c r="AC2879" i="3" s="1"/>
  <c r="AD2880" i="3"/>
  <c r="AC2880" i="3" s="1"/>
  <c r="AD2881" i="3"/>
  <c r="AC2881" i="3" s="1"/>
  <c r="AD2882" i="3"/>
  <c r="AC2882" i="3" s="1"/>
  <c r="AD2883" i="3"/>
  <c r="AC2883" i="3" s="1"/>
  <c r="AD2884" i="3"/>
  <c r="AC2884" i="3" s="1"/>
  <c r="AD2885" i="3"/>
  <c r="AC2885" i="3" s="1"/>
  <c r="AD2886" i="3"/>
  <c r="AC2886" i="3" s="1"/>
  <c r="AD2887" i="3"/>
  <c r="AC2887" i="3" s="1"/>
  <c r="AD2888" i="3"/>
  <c r="AC2888" i="3" s="1"/>
  <c r="AD2889" i="3"/>
  <c r="AC2889" i="3" s="1"/>
  <c r="AD2890" i="3"/>
  <c r="AC2890" i="3" s="1"/>
  <c r="AD2891" i="3"/>
  <c r="AC2891" i="3" s="1"/>
  <c r="AD2892" i="3"/>
  <c r="AC2892" i="3" s="1"/>
  <c r="AD2893" i="3"/>
  <c r="AC2893" i="3" s="1"/>
  <c r="AD2894" i="3"/>
  <c r="AC2894" i="3" s="1"/>
  <c r="AD2895" i="3"/>
  <c r="AC2895" i="3" s="1"/>
  <c r="AD2896" i="3"/>
  <c r="AC2896" i="3" s="1"/>
  <c r="AD2897" i="3"/>
  <c r="AC2897" i="3" s="1"/>
  <c r="AD2898" i="3"/>
  <c r="AC2898" i="3" s="1"/>
  <c r="AD2899" i="3"/>
  <c r="AC2899" i="3" s="1"/>
  <c r="AD2900" i="3"/>
  <c r="AC2900" i="3" s="1"/>
  <c r="AD2901" i="3"/>
  <c r="AC2901" i="3" s="1"/>
  <c r="AD2902" i="3"/>
  <c r="AC2902" i="3" s="1"/>
  <c r="AD2903" i="3"/>
  <c r="AC2903" i="3" s="1"/>
  <c r="AD2904" i="3"/>
  <c r="AC2904" i="3" s="1"/>
  <c r="AD2905" i="3"/>
  <c r="AC2905" i="3" s="1"/>
  <c r="AD2906" i="3"/>
  <c r="AC2906" i="3" s="1"/>
  <c r="AD2907" i="3"/>
  <c r="AC2907" i="3" s="1"/>
  <c r="AD2908" i="3"/>
  <c r="AC2908" i="3" s="1"/>
  <c r="AD2909" i="3"/>
  <c r="AC2909" i="3" s="1"/>
  <c r="AD2910" i="3"/>
  <c r="AC2910" i="3" s="1"/>
  <c r="AD2911" i="3"/>
  <c r="AC2911" i="3" s="1"/>
  <c r="AD2912" i="3"/>
  <c r="AC2912" i="3" s="1"/>
  <c r="AD2913" i="3"/>
  <c r="AC2913" i="3" s="1"/>
  <c r="AD2914" i="3"/>
  <c r="AC2914" i="3" s="1"/>
  <c r="AD2915" i="3"/>
  <c r="AC2915" i="3" s="1"/>
  <c r="AD2916" i="3"/>
  <c r="AC2916" i="3" s="1"/>
  <c r="AD2917" i="3"/>
  <c r="AC2917" i="3" s="1"/>
  <c r="AD2918" i="3"/>
  <c r="AC2918" i="3" s="1"/>
  <c r="AD2919" i="3"/>
  <c r="AC2919" i="3" s="1"/>
  <c r="AD2920" i="3"/>
  <c r="AC2920" i="3" s="1"/>
  <c r="AD2921" i="3"/>
  <c r="AC2921" i="3" s="1"/>
  <c r="AD2922" i="3"/>
  <c r="AC2922" i="3" s="1"/>
  <c r="AD2923" i="3"/>
  <c r="AC2923" i="3" s="1"/>
  <c r="AD2924" i="3"/>
  <c r="AC2924" i="3" s="1"/>
  <c r="AD2925" i="3"/>
  <c r="AC2925" i="3" s="1"/>
  <c r="AD2926" i="3"/>
  <c r="AC2926" i="3" s="1"/>
  <c r="AD2927" i="3"/>
  <c r="AC2927" i="3" s="1"/>
  <c r="AD2928" i="3"/>
  <c r="AC2928" i="3" s="1"/>
  <c r="AD2929" i="3"/>
  <c r="AC2929" i="3" s="1"/>
  <c r="AD2930" i="3"/>
  <c r="AC2930" i="3" s="1"/>
  <c r="AD2931" i="3"/>
  <c r="AC2931" i="3" s="1"/>
  <c r="AD2932" i="3"/>
  <c r="AC2932" i="3" s="1"/>
  <c r="AD2933" i="3"/>
  <c r="AC2933" i="3" s="1"/>
  <c r="AD2934" i="3"/>
  <c r="AC2934" i="3" s="1"/>
  <c r="AD2935" i="3"/>
  <c r="AC2935" i="3" s="1"/>
  <c r="AD2936" i="3"/>
  <c r="AC2936" i="3" s="1"/>
  <c r="AD2937" i="3"/>
  <c r="AC2937" i="3" s="1"/>
  <c r="AD2938" i="3"/>
  <c r="AC2938" i="3" s="1"/>
  <c r="AD2939" i="3"/>
  <c r="AC2939" i="3" s="1"/>
  <c r="AD2940" i="3"/>
  <c r="AC2940" i="3" s="1"/>
  <c r="AD2941" i="3"/>
  <c r="AC2941" i="3" s="1"/>
  <c r="AD2942" i="3"/>
  <c r="AC2942" i="3" s="1"/>
  <c r="AD2943" i="3"/>
  <c r="AC2943" i="3" s="1"/>
  <c r="AD2944" i="3"/>
  <c r="AC2944" i="3" s="1"/>
  <c r="AD2945" i="3"/>
  <c r="AC2945" i="3" s="1"/>
  <c r="AD2946" i="3"/>
  <c r="AC2946" i="3" s="1"/>
  <c r="AD2947" i="3"/>
  <c r="AC2947" i="3" s="1"/>
  <c r="AD2948" i="3"/>
  <c r="AC2948" i="3" s="1"/>
  <c r="AD2949" i="3"/>
  <c r="AC2949" i="3" s="1"/>
  <c r="AD2950" i="3"/>
  <c r="AC2950" i="3" s="1"/>
  <c r="AD2951" i="3"/>
  <c r="AC2951" i="3" s="1"/>
  <c r="AD2952" i="3"/>
  <c r="AC2952" i="3" s="1"/>
  <c r="AD2953" i="3"/>
  <c r="AC2953" i="3" s="1"/>
  <c r="AD2954" i="3"/>
  <c r="AC2954" i="3" s="1"/>
  <c r="AD2955" i="3"/>
  <c r="AC2955" i="3" s="1"/>
  <c r="AD2956" i="3"/>
  <c r="AC2956" i="3" s="1"/>
  <c r="AD2957" i="3"/>
  <c r="AC2957" i="3" s="1"/>
  <c r="AD2958" i="3"/>
  <c r="AC2958" i="3" s="1"/>
  <c r="AD2959" i="3"/>
  <c r="AC2959" i="3" s="1"/>
  <c r="AD2960" i="3"/>
  <c r="AC2960" i="3" s="1"/>
  <c r="AD2961" i="3"/>
  <c r="AC2961" i="3" s="1"/>
  <c r="AD2962" i="3"/>
  <c r="AC2962" i="3" s="1"/>
  <c r="AD2963" i="3"/>
  <c r="AC2963" i="3" s="1"/>
  <c r="AD2964" i="3"/>
  <c r="AC2964" i="3" s="1"/>
  <c r="AD2965" i="3"/>
  <c r="AC2965" i="3" s="1"/>
  <c r="AD2966" i="3"/>
  <c r="AC2966" i="3" s="1"/>
  <c r="AD2967" i="3"/>
  <c r="AC2967" i="3" s="1"/>
  <c r="AD2968" i="3"/>
  <c r="AC2968" i="3" s="1"/>
  <c r="AD2969" i="3"/>
  <c r="AC2969" i="3" s="1"/>
  <c r="AD2970" i="3"/>
  <c r="AC2970" i="3" s="1"/>
  <c r="AD2971" i="3"/>
  <c r="AC2971" i="3" s="1"/>
  <c r="AD2972" i="3"/>
  <c r="AC2972" i="3" s="1"/>
  <c r="AD2973" i="3"/>
  <c r="AC2973" i="3" s="1"/>
  <c r="AD2974" i="3"/>
  <c r="AC2974" i="3" s="1"/>
  <c r="AD2975" i="3"/>
  <c r="AC2975" i="3" s="1"/>
  <c r="AD2976" i="3"/>
  <c r="AC2976" i="3" s="1"/>
  <c r="AD2977" i="3"/>
  <c r="AC2977" i="3" s="1"/>
  <c r="AD2978" i="3"/>
  <c r="AC2978" i="3" s="1"/>
  <c r="AD2979" i="3"/>
  <c r="AC2979" i="3" s="1"/>
  <c r="AD2980" i="3"/>
  <c r="AC2980" i="3" s="1"/>
  <c r="AD2981" i="3"/>
  <c r="AC2981" i="3" s="1"/>
  <c r="AD2982" i="3"/>
  <c r="AC2982" i="3" s="1"/>
  <c r="AD2983" i="3"/>
  <c r="AC2983" i="3" s="1"/>
  <c r="AD2984" i="3"/>
  <c r="AC2984" i="3" s="1"/>
  <c r="AD2985" i="3"/>
  <c r="AC2985" i="3" s="1"/>
  <c r="AD2986" i="3"/>
  <c r="AC2986" i="3" s="1"/>
  <c r="AD2987" i="3"/>
  <c r="AC2987" i="3" s="1"/>
  <c r="AD2988" i="3"/>
  <c r="AC2988" i="3" s="1"/>
  <c r="AD2989" i="3"/>
  <c r="AC2989" i="3" s="1"/>
  <c r="AD2990" i="3"/>
  <c r="AC2990" i="3" s="1"/>
  <c r="AD2991" i="3"/>
  <c r="AC2991" i="3" s="1"/>
  <c r="AD2992" i="3"/>
  <c r="AC2992" i="3" s="1"/>
  <c r="AD2993" i="3"/>
  <c r="AC2993" i="3" s="1"/>
  <c r="AD2994" i="3"/>
  <c r="AC2994" i="3" s="1"/>
  <c r="AD2995" i="3"/>
  <c r="AC2995" i="3" s="1"/>
  <c r="AD2996" i="3"/>
  <c r="AC2996" i="3" s="1"/>
  <c r="AD2997" i="3"/>
  <c r="AC2997" i="3" s="1"/>
  <c r="AD2998" i="3"/>
  <c r="AC2998" i="3" s="1"/>
  <c r="AD2999" i="3"/>
  <c r="AC2999" i="3" s="1"/>
  <c r="AC3000" i="3"/>
  <c r="AD3000" i="3"/>
  <c r="AD3001" i="3"/>
  <c r="AC3001" i="3" s="1"/>
  <c r="AD3002" i="3"/>
  <c r="AC3002" i="3" s="1"/>
  <c r="AD3003" i="3"/>
  <c r="AC3003" i="3" s="1"/>
  <c r="AD3004" i="3"/>
  <c r="AC3004" i="3" s="1"/>
  <c r="AD3005" i="3"/>
  <c r="AC3005" i="3" s="1"/>
  <c r="AD3006" i="3"/>
  <c r="AC3006" i="3" s="1"/>
  <c r="AD3007" i="3"/>
  <c r="AC3007" i="3" s="1"/>
  <c r="AD3008" i="3"/>
  <c r="AC3008" i="3" s="1"/>
  <c r="AD3009" i="3"/>
  <c r="AC3009" i="3" s="1"/>
  <c r="AD3010" i="3"/>
  <c r="AC3010" i="3" s="1"/>
  <c r="AD3011" i="3"/>
  <c r="AC3011" i="3" s="1"/>
  <c r="AD3012" i="3"/>
  <c r="AC3012" i="3" s="1"/>
  <c r="AD3013" i="3"/>
  <c r="AC3013" i="3" s="1"/>
  <c r="AD3014" i="3"/>
  <c r="AC3014" i="3" s="1"/>
  <c r="AD3015" i="3"/>
  <c r="AC3015" i="3" s="1"/>
  <c r="AD3016" i="3"/>
  <c r="AC3016" i="3" s="1"/>
  <c r="AD3017" i="3"/>
  <c r="AC3017" i="3" s="1"/>
  <c r="AD3018" i="3"/>
  <c r="AC3018" i="3" s="1"/>
  <c r="AD3019" i="3"/>
  <c r="AC3019" i="3" s="1"/>
  <c r="AD3020" i="3"/>
  <c r="AC3020" i="3" s="1"/>
  <c r="AD3021" i="3"/>
  <c r="AC3021" i="3" s="1"/>
  <c r="AD3022" i="3"/>
  <c r="AC3022" i="3" s="1"/>
  <c r="AD3023" i="3"/>
  <c r="AC3023" i="3" s="1"/>
  <c r="AD3024" i="3"/>
  <c r="AC3024" i="3" s="1"/>
  <c r="AD3025" i="3"/>
  <c r="AC3025" i="3" s="1"/>
  <c r="AD3026" i="3"/>
  <c r="AC3026" i="3" s="1"/>
  <c r="AD3027" i="3"/>
  <c r="AC3027" i="3" s="1"/>
  <c r="AD3028" i="3"/>
  <c r="AC3028" i="3" s="1"/>
  <c r="AD3029" i="3"/>
  <c r="AC3029" i="3" s="1"/>
  <c r="AD3030" i="3"/>
  <c r="AC3030" i="3" s="1"/>
  <c r="AD3031" i="3"/>
  <c r="AC3031" i="3" s="1"/>
  <c r="AD3032" i="3"/>
  <c r="AC3032" i="3" s="1"/>
  <c r="AD3033" i="3"/>
  <c r="AC3033" i="3" s="1"/>
  <c r="AD3034" i="3"/>
  <c r="AC3034" i="3" s="1"/>
  <c r="AD3035" i="3"/>
  <c r="AC3035" i="3" s="1"/>
  <c r="AD3036" i="3"/>
  <c r="AC3036" i="3" s="1"/>
  <c r="AD3037" i="3"/>
  <c r="AC3037" i="3" s="1"/>
  <c r="AD3038" i="3"/>
  <c r="AC3038" i="3" s="1"/>
  <c r="AD3039" i="3"/>
  <c r="AC3039" i="3" s="1"/>
  <c r="AD3040" i="3"/>
  <c r="AC3040" i="3" s="1"/>
  <c r="AD3041" i="3"/>
  <c r="AC3041" i="3" s="1"/>
  <c r="AD3042" i="3"/>
  <c r="AC3042" i="3" s="1"/>
  <c r="AD3043" i="3"/>
  <c r="AC3043" i="3" s="1"/>
  <c r="AD3044" i="3"/>
  <c r="AC3044" i="3" s="1"/>
  <c r="AD3045" i="3"/>
  <c r="AC3045" i="3" s="1"/>
  <c r="AD3046" i="3"/>
  <c r="AC3046" i="3" s="1"/>
  <c r="AD3047" i="3"/>
  <c r="AC3047" i="3" s="1"/>
  <c r="AD3048" i="3"/>
  <c r="AC3048" i="3" s="1"/>
  <c r="AD3049" i="3"/>
  <c r="AC3049" i="3" s="1"/>
  <c r="AD3050" i="3"/>
  <c r="AC3050" i="3" s="1"/>
  <c r="AD3051" i="3"/>
  <c r="AC3051" i="3" s="1"/>
  <c r="AD3052" i="3"/>
  <c r="AC3052" i="3" s="1"/>
  <c r="AD3053" i="3"/>
  <c r="AC3053" i="3" s="1"/>
  <c r="AD3054" i="3"/>
  <c r="AC3054" i="3" s="1"/>
  <c r="AD3055" i="3"/>
  <c r="AC3055" i="3" s="1"/>
  <c r="AD3056" i="3"/>
  <c r="AC3056" i="3" s="1"/>
  <c r="AD3057" i="3"/>
  <c r="AC3057" i="3" s="1"/>
  <c r="AD3058" i="3"/>
  <c r="AC3058" i="3" s="1"/>
  <c r="AD3059" i="3"/>
  <c r="AC3059" i="3" s="1"/>
  <c r="AD3060" i="3"/>
  <c r="AC3060" i="3" s="1"/>
  <c r="AD3061" i="3"/>
  <c r="AC3061" i="3" s="1"/>
  <c r="AD3062" i="3"/>
  <c r="AC3062" i="3" s="1"/>
  <c r="AD3063" i="3"/>
  <c r="AC3063" i="3" s="1"/>
  <c r="AD3064" i="3"/>
  <c r="AC3064" i="3" s="1"/>
  <c r="AD3065" i="3"/>
  <c r="AC3065" i="3" s="1"/>
  <c r="AD3066" i="3"/>
  <c r="AC3066" i="3" s="1"/>
  <c r="AD3067" i="3"/>
  <c r="AC3067" i="3" s="1"/>
  <c r="AD3068" i="3"/>
  <c r="AC3068" i="3" s="1"/>
  <c r="AD3069" i="3"/>
  <c r="AC3069" i="3" s="1"/>
  <c r="AD3070" i="3"/>
  <c r="AC3070" i="3" s="1"/>
  <c r="AD3071" i="3"/>
  <c r="AC3071" i="3" s="1"/>
  <c r="AD3072" i="3"/>
  <c r="AC3072" i="3" s="1"/>
  <c r="AD3073" i="3"/>
  <c r="AC3073" i="3" s="1"/>
  <c r="AD3074" i="3"/>
  <c r="AC3074" i="3" s="1"/>
  <c r="AD3075" i="3"/>
  <c r="AC3075" i="3" s="1"/>
  <c r="AD3076" i="3"/>
  <c r="AC3076" i="3" s="1"/>
  <c r="AD3077" i="3"/>
  <c r="AC3077" i="3" s="1"/>
  <c r="AD3078" i="3"/>
  <c r="AC3078" i="3" s="1"/>
  <c r="AD3079" i="3"/>
  <c r="AC3079" i="3" s="1"/>
  <c r="AD3080" i="3"/>
  <c r="AC3080" i="3" s="1"/>
  <c r="AD3081" i="3"/>
  <c r="AC3081" i="3" s="1"/>
  <c r="AD3082" i="3"/>
  <c r="AC3082" i="3" s="1"/>
  <c r="AD3083" i="3"/>
  <c r="AC3083" i="3" s="1"/>
  <c r="AD3084" i="3"/>
  <c r="AC3084" i="3" s="1"/>
  <c r="AD3085" i="3"/>
  <c r="AC3085" i="3" s="1"/>
  <c r="AD3086" i="3"/>
  <c r="AC3086" i="3" s="1"/>
  <c r="AD3087" i="3"/>
  <c r="AC3087" i="3" s="1"/>
  <c r="AD3088" i="3"/>
  <c r="AC3088" i="3" s="1"/>
  <c r="AD3089" i="3"/>
  <c r="AC3089" i="3" s="1"/>
  <c r="AD3090" i="3"/>
  <c r="AC3090" i="3" s="1"/>
  <c r="AD3091" i="3"/>
  <c r="AC3091" i="3" s="1"/>
  <c r="AD3092" i="3"/>
  <c r="AC3092" i="3" s="1"/>
  <c r="AD3093" i="3"/>
  <c r="AC3093" i="3" s="1"/>
  <c r="AD3094" i="3"/>
  <c r="AC3094" i="3" s="1"/>
  <c r="AD3095" i="3"/>
  <c r="AC3095" i="3" s="1"/>
  <c r="AD3096" i="3"/>
  <c r="AC3096" i="3" s="1"/>
  <c r="AD3097" i="3"/>
  <c r="AC3097" i="3" s="1"/>
  <c r="AD3098" i="3"/>
  <c r="AC3098" i="3" s="1"/>
  <c r="AD3099" i="3"/>
  <c r="AC3099" i="3" s="1"/>
  <c r="AD3100" i="3"/>
  <c r="AC3100" i="3" s="1"/>
  <c r="AD3101" i="3"/>
  <c r="AC3101" i="3" s="1"/>
  <c r="AD3102" i="3"/>
  <c r="AC3102" i="3" s="1"/>
  <c r="AD3103" i="3"/>
  <c r="AC3103" i="3" s="1"/>
  <c r="AD3104" i="3"/>
  <c r="AC3104" i="3" s="1"/>
  <c r="AD3105" i="3"/>
  <c r="AC3105" i="3" s="1"/>
  <c r="AD3106" i="3"/>
  <c r="AC3106" i="3" s="1"/>
  <c r="AD3107" i="3"/>
  <c r="AC3107" i="3" s="1"/>
  <c r="AD3108" i="3"/>
  <c r="AC3108" i="3" s="1"/>
  <c r="AD3109" i="3"/>
  <c r="AC3109" i="3" s="1"/>
  <c r="AD3110" i="3"/>
  <c r="AC3110" i="3" s="1"/>
  <c r="AD3111" i="3"/>
  <c r="AC3111" i="3" s="1"/>
  <c r="AD3112" i="3"/>
  <c r="AC3112" i="3" s="1"/>
  <c r="AD3113" i="3"/>
  <c r="AC3113" i="3" s="1"/>
  <c r="AD3114" i="3"/>
  <c r="AC3114" i="3" s="1"/>
  <c r="AD3115" i="3"/>
  <c r="AC3115" i="3" s="1"/>
  <c r="AD3116" i="3"/>
  <c r="AC3116" i="3" s="1"/>
  <c r="AD3117" i="3"/>
  <c r="AC3117" i="3" s="1"/>
  <c r="AD3118" i="3"/>
  <c r="AC3118" i="3" s="1"/>
  <c r="AD3119" i="3"/>
  <c r="AC3119" i="3" s="1"/>
  <c r="AD3120" i="3"/>
  <c r="AC3120" i="3" s="1"/>
  <c r="AD3121" i="3"/>
  <c r="AC3121" i="3" s="1"/>
  <c r="AD3122" i="3"/>
  <c r="AC3122" i="3" s="1"/>
  <c r="AD3123" i="3"/>
  <c r="AC3123" i="3" s="1"/>
  <c r="AD3124" i="3"/>
  <c r="AC3124" i="3" s="1"/>
  <c r="AD3125" i="3"/>
  <c r="AC3125" i="3" s="1"/>
  <c r="AD3126" i="3"/>
  <c r="AC3126" i="3" s="1"/>
  <c r="AD3127" i="3"/>
  <c r="AC3127" i="3" s="1"/>
  <c r="AD3128" i="3"/>
  <c r="AC3128" i="3" s="1"/>
  <c r="AD3129" i="3"/>
  <c r="AC3129" i="3" s="1"/>
  <c r="AD3130" i="3"/>
  <c r="AC3130" i="3" s="1"/>
  <c r="AD3131" i="3"/>
  <c r="AC3131" i="3" s="1"/>
  <c r="AD3132" i="3"/>
  <c r="AC3132" i="3" s="1"/>
  <c r="AD3133" i="3"/>
  <c r="AC3133" i="3" s="1"/>
  <c r="AD3134" i="3"/>
  <c r="AC3134" i="3" s="1"/>
  <c r="AD3135" i="3"/>
  <c r="AC3135" i="3" s="1"/>
  <c r="AD3136" i="3"/>
  <c r="AC3136" i="3" s="1"/>
  <c r="AD3137" i="3"/>
  <c r="AC3137" i="3" s="1"/>
  <c r="AD3138" i="3"/>
  <c r="AC3138" i="3" s="1"/>
  <c r="AD3139" i="3"/>
  <c r="AC3139" i="3" s="1"/>
  <c r="AD3140" i="3"/>
  <c r="AC3140" i="3" s="1"/>
  <c r="AD3141" i="3"/>
  <c r="AC3141" i="3" s="1"/>
  <c r="AD3142" i="3"/>
  <c r="AC3142" i="3" s="1"/>
  <c r="AD3143" i="3"/>
  <c r="AC3143" i="3" s="1"/>
  <c r="AD3144" i="3"/>
  <c r="AC3144" i="3" s="1"/>
  <c r="AD3145" i="3"/>
  <c r="AC3145" i="3" s="1"/>
  <c r="AD3146" i="3"/>
  <c r="AC3146" i="3" s="1"/>
  <c r="AD3147" i="3"/>
  <c r="AC3147" i="3" s="1"/>
  <c r="AD3148" i="3"/>
  <c r="AC3148" i="3" s="1"/>
  <c r="AD3149" i="3"/>
  <c r="AC3149" i="3" s="1"/>
  <c r="AD3150" i="3"/>
  <c r="AC3150" i="3" s="1"/>
  <c r="AD3151" i="3"/>
  <c r="AC3151" i="3" s="1"/>
  <c r="AD3152" i="3"/>
  <c r="AC3152" i="3" s="1"/>
  <c r="AD3153" i="3"/>
  <c r="AC3153" i="3" s="1"/>
  <c r="AD3154" i="3"/>
  <c r="AC3154" i="3" s="1"/>
  <c r="AD3155" i="3"/>
  <c r="AC3155" i="3" s="1"/>
  <c r="AD3156" i="3"/>
  <c r="AC3156" i="3" s="1"/>
  <c r="AD3157" i="3"/>
  <c r="AC3157" i="3" s="1"/>
  <c r="AD3158" i="3"/>
  <c r="AC3158" i="3" s="1"/>
  <c r="AD3159" i="3"/>
  <c r="AC3159" i="3" s="1"/>
  <c r="AD3160" i="3"/>
  <c r="AC3160" i="3" s="1"/>
  <c r="AD3161" i="3"/>
  <c r="AC3161" i="3" s="1"/>
  <c r="AD3162" i="3"/>
  <c r="AC3162" i="3" s="1"/>
  <c r="AD3163" i="3"/>
  <c r="AC3163" i="3" s="1"/>
  <c r="AD3164" i="3"/>
  <c r="AC3164" i="3" s="1"/>
  <c r="AD3165" i="3"/>
  <c r="AC3165" i="3" s="1"/>
  <c r="AD3166" i="3"/>
  <c r="AC3166" i="3" s="1"/>
  <c r="AD3167" i="3"/>
  <c r="AC3167" i="3" s="1"/>
  <c r="AD3168" i="3"/>
  <c r="AC3168" i="3" s="1"/>
  <c r="AD3169" i="3"/>
  <c r="AC3169" i="3" s="1"/>
  <c r="AD3170" i="3"/>
  <c r="AC3170" i="3" s="1"/>
  <c r="AD3171" i="3"/>
  <c r="AC3171" i="3" s="1"/>
  <c r="AD3172" i="3"/>
  <c r="AC3172" i="3" s="1"/>
  <c r="AD3173" i="3"/>
  <c r="AC3173" i="3" s="1"/>
  <c r="AD3174" i="3"/>
  <c r="AC3174" i="3" s="1"/>
  <c r="AD3175" i="3"/>
  <c r="AC3175" i="3" s="1"/>
  <c r="AD3176" i="3"/>
  <c r="AC3176" i="3" s="1"/>
  <c r="AD3177" i="3"/>
  <c r="AC3177" i="3" s="1"/>
  <c r="AD3178" i="3"/>
  <c r="AC3178" i="3" s="1"/>
  <c r="AD3179" i="3"/>
  <c r="AC3179" i="3" s="1"/>
  <c r="AD3180" i="3"/>
  <c r="AC3180" i="3" s="1"/>
  <c r="AD3181" i="3"/>
  <c r="AC3181" i="3" s="1"/>
  <c r="AD3182" i="3"/>
  <c r="AC3182" i="3" s="1"/>
  <c r="AD3183" i="3"/>
  <c r="AC3183" i="3" s="1"/>
  <c r="AD3184" i="3"/>
  <c r="AC3184" i="3" s="1"/>
  <c r="AD3185" i="3"/>
  <c r="AC3185" i="3" s="1"/>
  <c r="AD3186" i="3"/>
  <c r="AC3186" i="3" s="1"/>
  <c r="AD3187" i="3"/>
  <c r="AC3187" i="3" s="1"/>
  <c r="AD3188" i="3"/>
  <c r="AC3188" i="3" s="1"/>
  <c r="AD3189" i="3"/>
  <c r="AC3189" i="3" s="1"/>
  <c r="AD3190" i="3"/>
  <c r="AC3190" i="3" s="1"/>
  <c r="AD3191" i="3"/>
  <c r="AC3191" i="3" s="1"/>
  <c r="AD3192" i="3"/>
  <c r="AC3192" i="3" s="1"/>
  <c r="AD3193" i="3"/>
  <c r="AC3193" i="3" s="1"/>
  <c r="AD3194" i="3"/>
  <c r="AC3194" i="3" s="1"/>
  <c r="AD3195" i="3"/>
  <c r="AC3195" i="3" s="1"/>
  <c r="AD3196" i="3"/>
  <c r="AC3196" i="3" s="1"/>
  <c r="AD3197" i="3"/>
  <c r="AC3197" i="3" s="1"/>
  <c r="AD3198" i="3"/>
  <c r="AC3198" i="3" s="1"/>
  <c r="AD3199" i="3"/>
  <c r="AC3199" i="3" s="1"/>
  <c r="AD3200" i="3"/>
  <c r="AC3200" i="3" s="1"/>
  <c r="AD3201" i="3"/>
  <c r="AC3201" i="3" s="1"/>
  <c r="AD3202" i="3"/>
  <c r="AC3202" i="3" s="1"/>
  <c r="AD3203" i="3"/>
  <c r="AC3203" i="3" s="1"/>
  <c r="AD3204" i="3"/>
  <c r="AC3204" i="3" s="1"/>
  <c r="AD3205" i="3"/>
  <c r="AC3205" i="3" s="1"/>
  <c r="AD3206" i="3"/>
  <c r="AC3206" i="3" s="1"/>
  <c r="AD3207" i="3"/>
  <c r="AC3207" i="3" s="1"/>
  <c r="AD3208" i="3"/>
  <c r="AC3208" i="3" s="1"/>
  <c r="AD3209" i="3"/>
  <c r="AC3209" i="3" s="1"/>
  <c r="AD3210" i="3"/>
  <c r="AC3210" i="3" s="1"/>
  <c r="AD3211" i="3"/>
  <c r="AC3211" i="3" s="1"/>
  <c r="AD3212" i="3"/>
  <c r="AC3212" i="3" s="1"/>
  <c r="AD3213" i="3"/>
  <c r="AC3213" i="3" s="1"/>
  <c r="AD3214" i="3"/>
  <c r="AC3214" i="3" s="1"/>
  <c r="AD3215" i="3"/>
  <c r="AC3215" i="3" s="1"/>
  <c r="AD3216" i="3"/>
  <c r="AC3216" i="3" s="1"/>
  <c r="AD3217" i="3"/>
  <c r="AC3217" i="3" s="1"/>
  <c r="AD3218" i="3"/>
  <c r="AC3218" i="3" s="1"/>
  <c r="AD3219" i="3"/>
  <c r="AC3219" i="3" s="1"/>
  <c r="AD3220" i="3"/>
  <c r="AC3220" i="3" s="1"/>
  <c r="AD3221" i="3"/>
  <c r="AC3221" i="3" s="1"/>
  <c r="AD3222" i="3"/>
  <c r="AC3222" i="3" s="1"/>
  <c r="AD3223" i="3"/>
  <c r="AC3223" i="3" s="1"/>
  <c r="AD3224" i="3"/>
  <c r="AC3224" i="3" s="1"/>
  <c r="AD3225" i="3"/>
  <c r="AC3225" i="3" s="1"/>
  <c r="AD3226" i="3"/>
  <c r="AC3226" i="3" s="1"/>
  <c r="AD3227" i="3"/>
  <c r="AC3227" i="3" s="1"/>
  <c r="AD3228" i="3"/>
  <c r="AC3228" i="3" s="1"/>
  <c r="AD3229" i="3"/>
  <c r="AC3229" i="3" s="1"/>
  <c r="AD3230" i="3"/>
  <c r="AC3230" i="3" s="1"/>
  <c r="AD3231" i="3"/>
  <c r="AC3231" i="3" s="1"/>
  <c r="AD3232" i="3"/>
  <c r="AC3232" i="3" s="1"/>
  <c r="AD3233" i="3"/>
  <c r="AC3233" i="3" s="1"/>
  <c r="AD3234" i="3"/>
  <c r="AC3234" i="3" s="1"/>
  <c r="AD3235" i="3"/>
  <c r="AC3235" i="3" s="1"/>
  <c r="AD3236" i="3"/>
  <c r="AC3236" i="3" s="1"/>
  <c r="AD3237" i="3"/>
  <c r="AC3237" i="3" s="1"/>
  <c r="AD3238" i="3"/>
  <c r="AC3238" i="3" s="1"/>
  <c r="AD3239" i="3"/>
  <c r="AC3239" i="3" s="1"/>
  <c r="AD3240" i="3"/>
  <c r="AC3240" i="3" s="1"/>
  <c r="AD3241" i="3"/>
  <c r="AC3241" i="3" s="1"/>
  <c r="AD3242" i="3"/>
  <c r="AC3242" i="3" s="1"/>
  <c r="AD3243" i="3"/>
  <c r="AC3243" i="3" s="1"/>
  <c r="AD3244" i="3"/>
  <c r="AC3244" i="3" s="1"/>
  <c r="AD3245" i="3"/>
  <c r="AC3245" i="3" s="1"/>
  <c r="AD3246" i="3"/>
  <c r="AC3246" i="3" s="1"/>
  <c r="AD3247" i="3"/>
  <c r="AC3247" i="3" s="1"/>
  <c r="AD3248" i="3"/>
  <c r="AC3248" i="3" s="1"/>
  <c r="AD3249" i="3"/>
  <c r="AC3249" i="3" s="1"/>
  <c r="AD3250" i="3"/>
  <c r="AC3250" i="3" s="1"/>
  <c r="AD3251" i="3"/>
  <c r="AC3251" i="3" s="1"/>
  <c r="AD3252" i="3"/>
  <c r="AC3252" i="3" s="1"/>
  <c r="AD3253" i="3"/>
  <c r="AC3253" i="3" s="1"/>
  <c r="AD3254" i="3"/>
  <c r="AC3254" i="3" s="1"/>
  <c r="AD3255" i="3"/>
  <c r="AC3255" i="3" s="1"/>
  <c r="AD3256" i="3"/>
  <c r="AC3256" i="3" s="1"/>
  <c r="AD3257" i="3"/>
  <c r="AC3257" i="3" s="1"/>
  <c r="AD3258" i="3"/>
  <c r="AC3258" i="3" s="1"/>
  <c r="AD3259" i="3"/>
  <c r="AC3259" i="3" s="1"/>
  <c r="AD3260" i="3"/>
  <c r="AC3260" i="3" s="1"/>
  <c r="AD3261" i="3"/>
  <c r="AC3261" i="3" s="1"/>
  <c r="AD3262" i="3"/>
  <c r="AC3262" i="3" s="1"/>
  <c r="AD3263" i="3"/>
  <c r="AC3263" i="3" s="1"/>
  <c r="AD3264" i="3"/>
  <c r="AC3264" i="3" s="1"/>
  <c r="AD3265" i="3"/>
  <c r="AC3265" i="3" s="1"/>
  <c r="AD3266" i="3"/>
  <c r="AC3266" i="3" s="1"/>
  <c r="AD3267" i="3"/>
  <c r="AC3267" i="3" s="1"/>
  <c r="AD3268" i="3"/>
  <c r="AC3268" i="3" s="1"/>
  <c r="AD3269" i="3"/>
  <c r="AC3269" i="3" s="1"/>
  <c r="AD3270" i="3"/>
  <c r="AC3270" i="3" s="1"/>
  <c r="AD3271" i="3"/>
  <c r="AC3271" i="3" s="1"/>
  <c r="AD3272" i="3"/>
  <c r="AC3272" i="3" s="1"/>
  <c r="AD3273" i="3"/>
  <c r="AC3273" i="3" s="1"/>
  <c r="AD3274" i="3"/>
  <c r="AC3274" i="3" s="1"/>
  <c r="AD3275" i="3"/>
  <c r="AC3275" i="3" s="1"/>
  <c r="AD3276" i="3"/>
  <c r="AC3276" i="3" s="1"/>
  <c r="AD3277" i="3"/>
  <c r="AC3277" i="3" s="1"/>
  <c r="AD3278" i="3"/>
  <c r="AC3278" i="3" s="1"/>
  <c r="AD3279" i="3"/>
  <c r="AC3279" i="3" s="1"/>
  <c r="AD3280" i="3"/>
  <c r="AC3280" i="3" s="1"/>
  <c r="AD3281" i="3"/>
  <c r="AC3281" i="3" s="1"/>
  <c r="AD3282" i="3"/>
  <c r="AC3282" i="3" s="1"/>
  <c r="AD3283" i="3"/>
  <c r="AC3283" i="3" s="1"/>
  <c r="AD3284" i="3"/>
  <c r="AC3284" i="3" s="1"/>
  <c r="AD3285" i="3"/>
  <c r="AC3285" i="3" s="1"/>
  <c r="AD3286" i="3"/>
  <c r="AC3286" i="3" s="1"/>
  <c r="AD3287" i="3"/>
  <c r="AC3287" i="3" s="1"/>
  <c r="AD3288" i="3"/>
  <c r="AC3288" i="3" s="1"/>
  <c r="AD3289" i="3"/>
  <c r="AC3289" i="3" s="1"/>
  <c r="AD3290" i="3"/>
  <c r="AC3290" i="3" s="1"/>
  <c r="AD3291" i="3"/>
  <c r="AC3291" i="3" s="1"/>
  <c r="AD3292" i="3"/>
  <c r="AC3292" i="3" s="1"/>
  <c r="AD3293" i="3"/>
  <c r="AC3293" i="3" s="1"/>
  <c r="AD3294" i="3"/>
  <c r="AC3294" i="3" s="1"/>
  <c r="AD3295" i="3"/>
  <c r="AC3295" i="3" s="1"/>
  <c r="AD3296" i="3"/>
  <c r="AC3296" i="3" s="1"/>
  <c r="AD3297" i="3"/>
  <c r="AC3297" i="3" s="1"/>
  <c r="AD3298" i="3"/>
  <c r="AC3298" i="3" s="1"/>
  <c r="AD3299" i="3"/>
  <c r="AC3299" i="3" s="1"/>
  <c r="AD3300" i="3"/>
  <c r="AC3300" i="3" s="1"/>
  <c r="AD3301" i="3"/>
  <c r="AC3301" i="3" s="1"/>
  <c r="AD3302" i="3"/>
  <c r="AC3302" i="3" s="1"/>
  <c r="AD3303" i="3"/>
  <c r="AC3303" i="3" s="1"/>
  <c r="AD3304" i="3"/>
  <c r="AC3304" i="3" s="1"/>
  <c r="AD3305" i="3"/>
  <c r="AC3305" i="3" s="1"/>
  <c r="AD3306" i="3"/>
  <c r="AC3306" i="3" s="1"/>
  <c r="AD3307" i="3"/>
  <c r="AC3307" i="3" s="1"/>
  <c r="AD3308" i="3"/>
  <c r="AC3308" i="3" s="1"/>
  <c r="AD3309" i="3"/>
  <c r="AC3309" i="3" s="1"/>
  <c r="AD3310" i="3"/>
  <c r="AC3310" i="3" s="1"/>
  <c r="AD3311" i="3"/>
  <c r="AC3311" i="3" s="1"/>
  <c r="AD3312" i="3"/>
  <c r="AC3312" i="3" s="1"/>
  <c r="AD3313" i="3"/>
  <c r="AC3313" i="3" s="1"/>
  <c r="AD3314" i="3"/>
  <c r="AC3314" i="3" s="1"/>
  <c r="AD3315" i="3"/>
  <c r="AC3315" i="3" s="1"/>
  <c r="AD3316" i="3"/>
  <c r="AC3316" i="3" s="1"/>
  <c r="AD3317" i="3"/>
  <c r="AC3317" i="3" s="1"/>
  <c r="AD3318" i="3"/>
  <c r="AC3318" i="3" s="1"/>
  <c r="AD3319" i="3"/>
  <c r="AC3319" i="3" s="1"/>
  <c r="AD3320" i="3"/>
  <c r="AC3320" i="3" s="1"/>
  <c r="AD3321" i="3"/>
  <c r="AC3321" i="3" s="1"/>
  <c r="AD3322" i="3"/>
  <c r="AC3322" i="3" s="1"/>
  <c r="AD3323" i="3"/>
  <c r="AC3323" i="3" s="1"/>
  <c r="AD3324" i="3"/>
  <c r="AC3324" i="3" s="1"/>
  <c r="AD3325" i="3"/>
  <c r="AC3325" i="3" s="1"/>
  <c r="AD3326" i="3"/>
  <c r="AC3326" i="3" s="1"/>
  <c r="AD3327" i="3"/>
  <c r="AC3327" i="3" s="1"/>
  <c r="AD3328" i="3"/>
  <c r="AC3328" i="3" s="1"/>
  <c r="AD3329" i="3"/>
  <c r="AC3329" i="3" s="1"/>
  <c r="AD3330" i="3"/>
  <c r="AC3330" i="3" s="1"/>
  <c r="AD3331" i="3"/>
  <c r="AC3331" i="3" s="1"/>
  <c r="AD3332" i="3"/>
  <c r="AC3332" i="3" s="1"/>
  <c r="AD3333" i="3"/>
  <c r="AC3333" i="3" s="1"/>
  <c r="AD3334" i="3"/>
  <c r="AC3334" i="3" s="1"/>
  <c r="AD3335" i="3"/>
  <c r="AC3335" i="3" s="1"/>
  <c r="AD3336" i="3"/>
  <c r="AC3336" i="3" s="1"/>
  <c r="AD3337" i="3"/>
  <c r="AC3337" i="3" s="1"/>
  <c r="AD3338" i="3"/>
  <c r="AC3338" i="3" s="1"/>
  <c r="AD3339" i="3"/>
  <c r="AC3339" i="3" s="1"/>
  <c r="AD3340" i="3"/>
  <c r="AC3340" i="3" s="1"/>
  <c r="AD3341" i="3"/>
  <c r="AC3341" i="3" s="1"/>
  <c r="AD3342" i="3"/>
  <c r="AC3342" i="3" s="1"/>
  <c r="AD3343" i="3"/>
  <c r="AC3343" i="3" s="1"/>
  <c r="AD3344" i="3"/>
  <c r="AC3344" i="3" s="1"/>
  <c r="AD3345" i="3"/>
  <c r="AC3345" i="3" s="1"/>
  <c r="AD3346" i="3"/>
  <c r="AC3346" i="3" s="1"/>
  <c r="AD3347" i="3"/>
  <c r="AC3347" i="3" s="1"/>
  <c r="AD3348" i="3"/>
  <c r="AC3348" i="3" s="1"/>
  <c r="AD3349" i="3"/>
  <c r="AC3349" i="3" s="1"/>
  <c r="AD3350" i="3"/>
  <c r="AC3350" i="3" s="1"/>
  <c r="AD3351" i="3"/>
  <c r="AC3351" i="3" s="1"/>
  <c r="AD3352" i="3"/>
  <c r="AC3352" i="3" s="1"/>
  <c r="AD3353" i="3"/>
  <c r="AC3353" i="3" s="1"/>
  <c r="AD3354" i="3"/>
  <c r="AC3354" i="3" s="1"/>
  <c r="AD3355" i="3"/>
  <c r="AC3355" i="3" s="1"/>
  <c r="AD3356" i="3"/>
  <c r="AC3356" i="3" s="1"/>
  <c r="AD3357" i="3"/>
  <c r="AC3357" i="3" s="1"/>
  <c r="AD3358" i="3"/>
  <c r="AC3358" i="3" s="1"/>
  <c r="AC3359" i="3"/>
  <c r="AD3359" i="3"/>
  <c r="AD3360" i="3"/>
  <c r="AC3360" i="3" s="1"/>
  <c r="AD3361" i="3"/>
  <c r="AC3361" i="3" s="1"/>
  <c r="AD3362" i="3"/>
  <c r="AC3362" i="3" s="1"/>
  <c r="AD3363" i="3"/>
  <c r="AC3363" i="3" s="1"/>
  <c r="AD3364" i="3"/>
  <c r="AC3364" i="3" s="1"/>
  <c r="AD3365" i="3"/>
  <c r="AC3365" i="3" s="1"/>
  <c r="AD3366" i="3"/>
  <c r="AC3366" i="3" s="1"/>
  <c r="AD3367" i="3"/>
  <c r="AC3367" i="3" s="1"/>
  <c r="AD3368" i="3"/>
  <c r="AC3368" i="3" s="1"/>
  <c r="AD3369" i="3"/>
  <c r="AC3369" i="3" s="1"/>
  <c r="AD3370" i="3"/>
  <c r="AC3370" i="3" s="1"/>
  <c r="AD3371" i="3"/>
  <c r="AC3371" i="3" s="1"/>
  <c r="AD3372" i="3"/>
  <c r="AC3372" i="3" s="1"/>
  <c r="AD3373" i="3"/>
  <c r="AC3373" i="3" s="1"/>
  <c r="AD3374" i="3"/>
  <c r="AC3374" i="3" s="1"/>
  <c r="AD3375" i="3"/>
  <c r="AC3375" i="3" s="1"/>
  <c r="AD3376" i="3"/>
  <c r="AC3376" i="3" s="1"/>
  <c r="AD3377" i="3"/>
  <c r="AC3377" i="3" s="1"/>
  <c r="AD3378" i="3"/>
  <c r="AC3378" i="3" s="1"/>
  <c r="AD3379" i="3"/>
  <c r="AC3379" i="3" s="1"/>
  <c r="AD3380" i="3"/>
  <c r="AC3380" i="3" s="1"/>
  <c r="AD3381" i="3"/>
  <c r="AC3381" i="3" s="1"/>
  <c r="AD3382" i="3"/>
  <c r="AC3382" i="3" s="1"/>
  <c r="AD3383" i="3"/>
  <c r="AC3383" i="3" s="1"/>
  <c r="AD3384" i="3"/>
  <c r="AC3384" i="3" s="1"/>
  <c r="AD3385" i="3"/>
  <c r="AC3385" i="3" s="1"/>
  <c r="AD3386" i="3"/>
  <c r="AC3386" i="3" s="1"/>
  <c r="AD3387" i="3"/>
  <c r="AC3387" i="3" s="1"/>
  <c r="AD3388" i="3"/>
  <c r="AC3388" i="3" s="1"/>
  <c r="AD3389" i="3"/>
  <c r="AC3389" i="3" s="1"/>
  <c r="AD3390" i="3"/>
  <c r="AC3390" i="3" s="1"/>
  <c r="AD3391" i="3"/>
  <c r="AC3391" i="3" s="1"/>
  <c r="AD3392" i="3"/>
  <c r="AC3392" i="3" s="1"/>
  <c r="AD3393" i="3"/>
  <c r="AC3393" i="3" s="1"/>
  <c r="AD3394" i="3"/>
  <c r="AC3394" i="3" s="1"/>
  <c r="AD3395" i="3"/>
  <c r="AC3395" i="3" s="1"/>
  <c r="AD3396" i="3"/>
  <c r="AC3396" i="3" s="1"/>
  <c r="AD3397" i="3"/>
  <c r="AC3397" i="3" s="1"/>
  <c r="AD3398" i="3"/>
  <c r="AC3398" i="3" s="1"/>
  <c r="AD3399" i="3"/>
  <c r="AC3399" i="3" s="1"/>
  <c r="AD3400" i="3"/>
  <c r="AC3400" i="3" s="1"/>
  <c r="AD3401" i="3"/>
  <c r="AC3401" i="3" s="1"/>
  <c r="AD3402" i="3"/>
  <c r="AC3402" i="3" s="1"/>
  <c r="AD3403" i="3"/>
  <c r="AC3403" i="3" s="1"/>
  <c r="AD3404" i="3"/>
  <c r="AC3404" i="3" s="1"/>
  <c r="AD3405" i="3"/>
  <c r="AC3405" i="3" s="1"/>
  <c r="AD3406" i="3"/>
  <c r="AC3406" i="3" s="1"/>
  <c r="AD3407" i="3"/>
  <c r="AC3407" i="3" s="1"/>
  <c r="AD3408" i="3"/>
  <c r="AC3408" i="3" s="1"/>
  <c r="AD3409" i="3"/>
  <c r="AC3409" i="3" s="1"/>
  <c r="AD3410" i="3"/>
  <c r="AC3410" i="3" s="1"/>
  <c r="AD3411" i="3"/>
  <c r="AC3411" i="3" s="1"/>
  <c r="AD3412" i="3"/>
  <c r="AC3412" i="3" s="1"/>
  <c r="AD3413" i="3"/>
  <c r="AC3413" i="3" s="1"/>
  <c r="AD3414" i="3"/>
  <c r="AC3414" i="3" s="1"/>
  <c r="AD3415" i="3"/>
  <c r="AC3415" i="3" s="1"/>
  <c r="AD3416" i="3"/>
  <c r="AC3416" i="3" s="1"/>
  <c r="AD3417" i="3"/>
  <c r="AC3417" i="3" s="1"/>
  <c r="AD3418" i="3"/>
  <c r="AC3418" i="3" s="1"/>
  <c r="AD3419" i="3"/>
  <c r="AC3419" i="3" s="1"/>
  <c r="AD3420" i="3"/>
  <c r="AC3420" i="3" s="1"/>
  <c r="AD3421" i="3"/>
  <c r="AC3421" i="3" s="1"/>
  <c r="AD3422" i="3"/>
  <c r="AC3422" i="3" s="1"/>
  <c r="AD3423" i="3"/>
  <c r="AC3423" i="3" s="1"/>
  <c r="AD3424" i="3"/>
  <c r="AC3424" i="3" s="1"/>
  <c r="AD3425" i="3"/>
  <c r="AC3425" i="3" s="1"/>
  <c r="AD3426" i="3"/>
  <c r="AC3426" i="3" s="1"/>
  <c r="AD3427" i="3"/>
  <c r="AC3427" i="3" s="1"/>
  <c r="AD3428" i="3"/>
  <c r="AC3428" i="3" s="1"/>
  <c r="AD3429" i="3"/>
  <c r="AC3429" i="3" s="1"/>
  <c r="AD3430" i="3"/>
  <c r="AC3430" i="3" s="1"/>
  <c r="AD3431" i="3"/>
  <c r="AC3431" i="3" s="1"/>
  <c r="AD3432" i="3"/>
  <c r="AC3432" i="3" s="1"/>
  <c r="AD3433" i="3"/>
  <c r="AC3433" i="3" s="1"/>
  <c r="AD3434" i="3"/>
  <c r="AC3434" i="3" s="1"/>
  <c r="AD3435" i="3"/>
  <c r="AC3435" i="3" s="1"/>
  <c r="AD3436" i="3"/>
  <c r="AC3436" i="3" s="1"/>
  <c r="AD3437" i="3"/>
  <c r="AC3437" i="3" s="1"/>
  <c r="AD3438" i="3"/>
  <c r="AC3438" i="3" s="1"/>
  <c r="AD3439" i="3"/>
  <c r="AC3439" i="3" s="1"/>
  <c r="AD3440" i="3"/>
  <c r="AC3440" i="3" s="1"/>
  <c r="AD3441" i="3"/>
  <c r="AC3441" i="3" s="1"/>
  <c r="AD3442" i="3"/>
  <c r="AC3442" i="3" s="1"/>
  <c r="AD3443" i="3"/>
  <c r="AC3443" i="3" s="1"/>
  <c r="AD3444" i="3"/>
  <c r="AC3444" i="3" s="1"/>
  <c r="AD3445" i="3"/>
  <c r="AC3445" i="3" s="1"/>
  <c r="AD3446" i="3"/>
  <c r="AC3446" i="3" s="1"/>
  <c r="AD3447" i="3"/>
  <c r="AC3447" i="3" s="1"/>
  <c r="AD3448" i="3"/>
  <c r="AC3448" i="3" s="1"/>
  <c r="AD3449" i="3"/>
  <c r="AC3449" i="3" s="1"/>
  <c r="AD3450" i="3"/>
  <c r="AC3450" i="3" s="1"/>
  <c r="AD3451" i="3"/>
  <c r="AC3451" i="3" s="1"/>
  <c r="AD3452" i="3"/>
  <c r="AC3452" i="3" s="1"/>
  <c r="AD3453" i="3"/>
  <c r="AC3453" i="3" s="1"/>
  <c r="AD3454" i="3"/>
  <c r="AC3454" i="3" s="1"/>
  <c r="AD3455" i="3"/>
  <c r="AC3455" i="3" s="1"/>
  <c r="AD3456" i="3"/>
  <c r="AC3456" i="3" s="1"/>
  <c r="AD3457" i="3"/>
  <c r="AC3457" i="3" s="1"/>
  <c r="AD3458" i="3"/>
  <c r="AC3458" i="3" s="1"/>
  <c r="AD3459" i="3"/>
  <c r="AC3459" i="3" s="1"/>
  <c r="AD3460" i="3"/>
  <c r="AC3460" i="3" s="1"/>
  <c r="AD3461" i="3"/>
  <c r="AC3461" i="3" s="1"/>
  <c r="AD3462" i="3"/>
  <c r="AC3462" i="3" s="1"/>
  <c r="AD3463" i="3"/>
  <c r="AC3463" i="3" s="1"/>
  <c r="AD3464" i="3"/>
  <c r="AC3464" i="3" s="1"/>
  <c r="AD3465" i="3"/>
  <c r="AC3465" i="3" s="1"/>
  <c r="AD3466" i="3"/>
  <c r="AC3466" i="3" s="1"/>
  <c r="AD3467" i="3"/>
  <c r="AC3467" i="3" s="1"/>
  <c r="AD3468" i="3"/>
  <c r="AC3468" i="3" s="1"/>
  <c r="AD3469" i="3"/>
  <c r="AC3469" i="3" s="1"/>
  <c r="AD3470" i="3"/>
  <c r="AC3470" i="3" s="1"/>
  <c r="AD3471" i="3"/>
  <c r="AC3471" i="3" s="1"/>
  <c r="AD3472" i="3"/>
  <c r="AC3472" i="3" s="1"/>
  <c r="AD3473" i="3"/>
  <c r="AC3473" i="3" s="1"/>
  <c r="AD3474" i="3"/>
  <c r="AC3474" i="3" s="1"/>
  <c r="AD3475" i="3"/>
  <c r="AC3475" i="3" s="1"/>
  <c r="AD3476" i="3"/>
  <c r="AC3476" i="3" s="1"/>
  <c r="AD3477" i="3"/>
  <c r="AC3477" i="3" s="1"/>
  <c r="AD3478" i="3"/>
  <c r="AC3478" i="3" s="1"/>
  <c r="AD3479" i="3"/>
  <c r="AC3479" i="3" s="1"/>
  <c r="AD3480" i="3"/>
  <c r="AC3480" i="3" s="1"/>
  <c r="AD3481" i="3"/>
  <c r="AC3481" i="3" s="1"/>
  <c r="AD3482" i="3"/>
  <c r="AC3482" i="3" s="1"/>
  <c r="AD3483" i="3"/>
  <c r="AC3483" i="3" s="1"/>
  <c r="AD3484" i="3"/>
  <c r="AC3484" i="3" s="1"/>
  <c r="AD3485" i="3"/>
  <c r="AC3485" i="3" s="1"/>
  <c r="AD3486" i="3"/>
  <c r="AC3486" i="3" s="1"/>
  <c r="AD3487" i="3"/>
  <c r="AC3487" i="3" s="1"/>
  <c r="AD3488" i="3"/>
  <c r="AC3488" i="3" s="1"/>
  <c r="AD3489" i="3"/>
  <c r="AC3489" i="3" s="1"/>
  <c r="AD3490" i="3"/>
  <c r="AC3490" i="3" s="1"/>
  <c r="AD3491" i="3"/>
  <c r="AC3491" i="3" s="1"/>
  <c r="AD3492" i="3"/>
  <c r="AC3492" i="3" s="1"/>
  <c r="AD3493" i="3"/>
  <c r="AC3493" i="3" s="1"/>
  <c r="AD3494" i="3"/>
  <c r="AC3494" i="3" s="1"/>
  <c r="AD3495" i="3"/>
  <c r="AC3495" i="3" s="1"/>
  <c r="AD3496" i="3"/>
  <c r="AC3496" i="3" s="1"/>
  <c r="AD3497" i="3"/>
  <c r="AC3497" i="3" s="1"/>
  <c r="AD3498" i="3"/>
  <c r="AC3498" i="3" s="1"/>
  <c r="AD3499" i="3"/>
  <c r="AC3499" i="3" s="1"/>
  <c r="AD3500" i="3"/>
  <c r="AC3500" i="3" s="1"/>
  <c r="AD3501" i="3"/>
  <c r="AC3501" i="3" s="1"/>
  <c r="AD3502" i="3"/>
  <c r="AC3502" i="3" s="1"/>
  <c r="AD3503" i="3"/>
  <c r="AC3503" i="3" s="1"/>
  <c r="AD3504" i="3"/>
  <c r="AC3504" i="3" s="1"/>
  <c r="AD3505" i="3"/>
  <c r="AC3505" i="3" s="1"/>
  <c r="AD3506" i="3"/>
  <c r="AC3506" i="3" s="1"/>
  <c r="AD3507" i="3"/>
  <c r="AC3507" i="3" s="1"/>
  <c r="AD3508" i="3"/>
  <c r="AC3508" i="3" s="1"/>
  <c r="AD3509" i="3"/>
  <c r="AC3509" i="3" s="1"/>
  <c r="AD3510" i="3"/>
  <c r="AC3510" i="3" s="1"/>
  <c r="AD3511" i="3"/>
  <c r="AC3511" i="3" s="1"/>
  <c r="AD3512" i="3"/>
  <c r="AC3512" i="3" s="1"/>
  <c r="AD3513" i="3"/>
  <c r="AC3513" i="3" s="1"/>
  <c r="AD3514" i="3"/>
  <c r="AC3514" i="3" s="1"/>
  <c r="AD3515" i="3"/>
  <c r="AC3515" i="3" s="1"/>
  <c r="AD3516" i="3"/>
  <c r="AC3516" i="3" s="1"/>
  <c r="AD3517" i="3"/>
  <c r="AC3517" i="3" s="1"/>
  <c r="AD3518" i="3"/>
  <c r="AC3518" i="3" s="1"/>
  <c r="AD3519" i="3"/>
  <c r="AC3519" i="3" s="1"/>
  <c r="AD3520" i="3"/>
  <c r="AC3520" i="3" s="1"/>
  <c r="AD3521" i="3"/>
  <c r="AC3521" i="3" s="1"/>
  <c r="AD3522" i="3"/>
  <c r="AC3522" i="3" s="1"/>
  <c r="AD3523" i="3"/>
  <c r="AC3523" i="3" s="1"/>
  <c r="AD3524" i="3"/>
  <c r="AC3524" i="3" s="1"/>
  <c r="AD3525" i="3"/>
  <c r="AC3525" i="3" s="1"/>
  <c r="AD3526" i="3"/>
  <c r="AC3526" i="3" s="1"/>
  <c r="AD3527" i="3"/>
  <c r="AC3527" i="3" s="1"/>
  <c r="AD3528" i="3"/>
  <c r="AC3528" i="3" s="1"/>
  <c r="AD3529" i="3"/>
  <c r="AC3529" i="3" s="1"/>
  <c r="AD3530" i="3"/>
  <c r="AC3530" i="3" s="1"/>
  <c r="AD3531" i="3"/>
  <c r="AC3531" i="3" s="1"/>
  <c r="AD3532" i="3"/>
  <c r="AC3532" i="3" s="1"/>
  <c r="AD3533" i="3"/>
  <c r="AC3533" i="3" s="1"/>
  <c r="AD3534" i="3"/>
  <c r="AC3534" i="3" s="1"/>
  <c r="AD3535" i="3"/>
  <c r="AC3535" i="3" s="1"/>
  <c r="AD3536" i="3"/>
  <c r="AC3536" i="3" s="1"/>
  <c r="AD3537" i="3"/>
  <c r="AC3537" i="3" s="1"/>
  <c r="AD3538" i="3"/>
  <c r="AC3538" i="3" s="1"/>
  <c r="AD3539" i="3"/>
  <c r="AC3539" i="3" s="1"/>
  <c r="AD3540" i="3"/>
  <c r="AC3540" i="3" s="1"/>
  <c r="AD3541" i="3"/>
  <c r="AC3541" i="3" s="1"/>
  <c r="AD3542" i="3"/>
  <c r="AC3542" i="3" s="1"/>
  <c r="AD3543" i="3"/>
  <c r="AC3543" i="3" s="1"/>
  <c r="AD3544" i="3"/>
  <c r="AC3544" i="3" s="1"/>
  <c r="AD3545" i="3"/>
  <c r="AC3545" i="3" s="1"/>
  <c r="AD3546" i="3"/>
  <c r="AC3546" i="3" s="1"/>
  <c r="AD3547" i="3"/>
  <c r="AC3547" i="3" s="1"/>
  <c r="AD3548" i="3"/>
  <c r="AC3548" i="3" s="1"/>
  <c r="AD3549" i="3"/>
  <c r="AC3549" i="3" s="1"/>
  <c r="AD3550" i="3"/>
  <c r="AC3550" i="3" s="1"/>
  <c r="AD3551" i="3"/>
  <c r="AC3551" i="3" s="1"/>
  <c r="AD3552" i="3"/>
  <c r="AC3552" i="3" s="1"/>
  <c r="AD3553" i="3"/>
  <c r="AC3553" i="3" s="1"/>
  <c r="AD3554" i="3"/>
  <c r="AC3554" i="3" s="1"/>
  <c r="AD3555" i="3"/>
  <c r="AC3555" i="3" s="1"/>
  <c r="AD3556" i="3"/>
  <c r="AC3556" i="3" s="1"/>
  <c r="AD3557" i="3"/>
  <c r="AC3557" i="3" s="1"/>
  <c r="AD3558" i="3"/>
  <c r="AC3558" i="3" s="1"/>
  <c r="AD3559" i="3"/>
  <c r="AC3559" i="3" s="1"/>
  <c r="AD3560" i="3"/>
  <c r="AC3560" i="3" s="1"/>
  <c r="AD3561" i="3"/>
  <c r="AC3561" i="3" s="1"/>
  <c r="AD3562" i="3"/>
  <c r="AC3562" i="3" s="1"/>
  <c r="AD3563" i="3"/>
  <c r="AC3563" i="3" s="1"/>
  <c r="AD3564" i="3"/>
  <c r="AC3564" i="3" s="1"/>
  <c r="AD3565" i="3"/>
  <c r="AC3565" i="3" s="1"/>
  <c r="AD3566" i="3"/>
  <c r="AC3566" i="3" s="1"/>
  <c r="AD3567" i="3"/>
  <c r="AC3567" i="3" s="1"/>
  <c r="AD3568" i="3"/>
  <c r="AC3568" i="3" s="1"/>
  <c r="AD3569" i="3"/>
  <c r="AC3569" i="3" s="1"/>
  <c r="AD3570" i="3"/>
  <c r="AC3570" i="3" s="1"/>
  <c r="AD3571" i="3"/>
  <c r="AC3571" i="3" s="1"/>
  <c r="AD3572" i="3"/>
  <c r="AC3572" i="3" s="1"/>
  <c r="AD3573" i="3"/>
  <c r="AC3573" i="3" s="1"/>
  <c r="AD3574" i="3"/>
  <c r="AC3574" i="3" s="1"/>
  <c r="AD3575" i="3"/>
  <c r="AC3575" i="3" s="1"/>
  <c r="AD3576" i="3"/>
  <c r="AC3576" i="3" s="1"/>
  <c r="AD3577" i="3"/>
  <c r="AC3577" i="3" s="1"/>
  <c r="AD3578" i="3"/>
  <c r="AC3578" i="3" s="1"/>
  <c r="AD3579" i="3"/>
  <c r="AC3579" i="3" s="1"/>
  <c r="AD3580" i="3"/>
  <c r="AC3580" i="3" s="1"/>
  <c r="AD3581" i="3"/>
  <c r="AC3581" i="3" s="1"/>
  <c r="AD3582" i="3"/>
  <c r="AC3582" i="3" s="1"/>
  <c r="AD3583" i="3"/>
  <c r="AC3583" i="3" s="1"/>
  <c r="AD3584" i="3"/>
  <c r="AC3584" i="3" s="1"/>
  <c r="AD3585" i="3"/>
  <c r="AC3585" i="3" s="1"/>
  <c r="AD3586" i="3"/>
  <c r="AC3586" i="3" s="1"/>
  <c r="AD3587" i="3"/>
  <c r="AC3587" i="3" s="1"/>
  <c r="AD3588" i="3"/>
  <c r="AC3588" i="3" s="1"/>
  <c r="AD3589" i="3"/>
  <c r="AC3589" i="3" s="1"/>
  <c r="AD3590" i="3"/>
  <c r="AC3590" i="3" s="1"/>
  <c r="AD3591" i="3"/>
  <c r="AC3591" i="3" s="1"/>
  <c r="AD3592" i="3"/>
  <c r="AC3592" i="3" s="1"/>
  <c r="AD3593" i="3"/>
  <c r="AC3593" i="3" s="1"/>
  <c r="AD3594" i="3"/>
  <c r="AC3594" i="3" s="1"/>
  <c r="AD3595" i="3"/>
  <c r="AC3595" i="3" s="1"/>
  <c r="AD3596" i="3"/>
  <c r="AC3596" i="3" s="1"/>
  <c r="AD3597" i="3"/>
  <c r="AC3597" i="3" s="1"/>
  <c r="AD3598" i="3"/>
  <c r="AC3598" i="3" s="1"/>
  <c r="AD3599" i="3"/>
  <c r="AC3599" i="3" s="1"/>
  <c r="AD3600" i="3"/>
  <c r="AC3600" i="3" s="1"/>
  <c r="AD3601" i="3"/>
  <c r="AC3601" i="3" s="1"/>
  <c r="AD3602" i="3"/>
  <c r="AC3602" i="3" s="1"/>
  <c r="AD3603" i="3"/>
  <c r="AC3603" i="3" s="1"/>
  <c r="AD3604" i="3"/>
  <c r="AC3604" i="3" s="1"/>
  <c r="AD3605" i="3"/>
  <c r="AC3605" i="3" s="1"/>
  <c r="AD3606" i="3"/>
  <c r="AC3606" i="3" s="1"/>
  <c r="AD3607" i="3"/>
  <c r="AC3607" i="3" s="1"/>
  <c r="AD3608" i="3"/>
  <c r="AC3608" i="3" s="1"/>
  <c r="AD3609" i="3"/>
  <c r="AC3609" i="3" s="1"/>
  <c r="AD3610" i="3"/>
  <c r="AC3610" i="3" s="1"/>
  <c r="AD3611" i="3"/>
  <c r="AC3611" i="3" s="1"/>
  <c r="AD3612" i="3"/>
  <c r="AC3612" i="3" s="1"/>
  <c r="AD3613" i="3"/>
  <c r="AC3613" i="3" s="1"/>
  <c r="AD3614" i="3"/>
  <c r="AC3614" i="3" s="1"/>
  <c r="AD3615" i="3"/>
  <c r="AC3615" i="3" s="1"/>
  <c r="AD3616" i="3"/>
  <c r="AC3616" i="3" s="1"/>
  <c r="AD3617" i="3"/>
  <c r="AC3617" i="3" s="1"/>
  <c r="AD3618" i="3"/>
  <c r="AC3618" i="3" s="1"/>
  <c r="AD3619" i="3"/>
  <c r="AC3619" i="3" s="1"/>
  <c r="AD3620" i="3"/>
  <c r="AC3620" i="3" s="1"/>
  <c r="AD3621" i="3"/>
  <c r="AC3621" i="3" s="1"/>
  <c r="AD3622" i="3"/>
  <c r="AC3622" i="3" s="1"/>
  <c r="AD3623" i="3"/>
  <c r="AC3623" i="3" s="1"/>
  <c r="AD3624" i="3"/>
  <c r="AC3624" i="3" s="1"/>
  <c r="AD3625" i="3"/>
  <c r="AC3625" i="3" s="1"/>
  <c r="AD3626" i="3"/>
  <c r="AC3626" i="3" s="1"/>
  <c r="AD3627" i="3"/>
  <c r="AC3627" i="3" s="1"/>
  <c r="AD3628" i="3"/>
  <c r="AC3628" i="3" s="1"/>
  <c r="AD3629" i="3"/>
  <c r="AC3629" i="3" s="1"/>
  <c r="AD3630" i="3"/>
  <c r="AC3630" i="3" s="1"/>
  <c r="AD3631" i="3"/>
  <c r="AC3631" i="3" s="1"/>
  <c r="AD3632" i="3"/>
  <c r="AC3632" i="3" s="1"/>
  <c r="AD3633" i="3"/>
  <c r="AC3633" i="3" s="1"/>
  <c r="AD3634" i="3"/>
  <c r="AC3634" i="3" s="1"/>
  <c r="AD3635" i="3"/>
  <c r="AC3635" i="3" s="1"/>
  <c r="AD3636" i="3"/>
  <c r="AC3636" i="3" s="1"/>
  <c r="AD3637" i="3"/>
  <c r="AC3637" i="3" s="1"/>
  <c r="AD3638" i="3"/>
  <c r="AC3638" i="3" s="1"/>
  <c r="AD3639" i="3"/>
  <c r="AC3639" i="3" s="1"/>
  <c r="AD3640" i="3"/>
  <c r="AC3640" i="3" s="1"/>
  <c r="AD3641" i="3"/>
  <c r="AC3641" i="3" s="1"/>
  <c r="AD3642" i="3"/>
  <c r="AC3642" i="3" s="1"/>
  <c r="AD3643" i="3"/>
  <c r="AC3643" i="3" s="1"/>
  <c r="AD3644" i="3"/>
  <c r="AC3644" i="3" s="1"/>
  <c r="AD3645" i="3"/>
  <c r="AC3645" i="3" s="1"/>
  <c r="AD3646" i="3"/>
  <c r="AC3646" i="3" s="1"/>
  <c r="AD3647" i="3"/>
  <c r="AC3647" i="3" s="1"/>
  <c r="AD3648" i="3"/>
  <c r="AC3648" i="3" s="1"/>
  <c r="AD3649" i="3"/>
  <c r="AC3649" i="3" s="1"/>
  <c r="AD3650" i="3"/>
  <c r="AC3650" i="3" s="1"/>
  <c r="AD3651" i="3"/>
  <c r="AC3651" i="3" s="1"/>
  <c r="AD3652" i="3"/>
  <c r="AC3652" i="3" s="1"/>
  <c r="AD3653" i="3"/>
  <c r="AC3653" i="3" s="1"/>
  <c r="AD3654" i="3"/>
  <c r="AC3654" i="3" s="1"/>
  <c r="AD3655" i="3"/>
  <c r="AC3655" i="3" s="1"/>
  <c r="AD3656" i="3"/>
  <c r="AC3656" i="3" s="1"/>
  <c r="AD3657" i="3"/>
  <c r="AC3657" i="3" s="1"/>
  <c r="AD3658" i="3"/>
  <c r="AC3658" i="3" s="1"/>
  <c r="AD3659" i="3"/>
  <c r="AC3659" i="3" s="1"/>
  <c r="AD3660" i="3"/>
  <c r="AC3660" i="3" s="1"/>
  <c r="AD3661" i="3"/>
  <c r="AC3661" i="3" s="1"/>
  <c r="AD3662" i="3"/>
  <c r="AC3662" i="3" s="1"/>
  <c r="AD3663" i="3"/>
  <c r="AC3663" i="3" s="1"/>
  <c r="AD3664" i="3"/>
  <c r="AC3664" i="3" s="1"/>
  <c r="AD3665" i="3"/>
  <c r="AC3665" i="3" s="1"/>
  <c r="AD3666" i="3"/>
  <c r="AC3666" i="3" s="1"/>
  <c r="AD3667" i="3"/>
  <c r="AC3667" i="3" s="1"/>
  <c r="AD3668" i="3"/>
  <c r="AC3668" i="3" s="1"/>
  <c r="AD3669" i="3"/>
  <c r="AC3669" i="3" s="1"/>
  <c r="AD3670" i="3"/>
  <c r="AC3670" i="3" s="1"/>
  <c r="AD3671" i="3"/>
  <c r="AC3671" i="3" s="1"/>
  <c r="AD3672" i="3"/>
  <c r="AC3672" i="3" s="1"/>
  <c r="AD3673" i="3"/>
  <c r="AC3673" i="3" s="1"/>
  <c r="AD3674" i="3"/>
  <c r="AC3674" i="3" s="1"/>
  <c r="AD3675" i="3"/>
  <c r="AC3675" i="3" s="1"/>
  <c r="AD3676" i="3"/>
  <c r="AC3676" i="3" s="1"/>
  <c r="AD3677" i="3"/>
  <c r="AC3677" i="3" s="1"/>
  <c r="AD3678" i="3"/>
  <c r="AC3678" i="3" s="1"/>
  <c r="AD3679" i="3"/>
  <c r="AC3679" i="3" s="1"/>
  <c r="AD3680" i="3"/>
  <c r="AC3680" i="3" s="1"/>
  <c r="AD3681" i="3"/>
  <c r="AC3681" i="3" s="1"/>
  <c r="AD3682" i="3"/>
  <c r="AC3682" i="3" s="1"/>
  <c r="AD3683" i="3"/>
  <c r="AC3683" i="3" s="1"/>
  <c r="AD3684" i="3"/>
  <c r="AC3684" i="3" s="1"/>
  <c r="AD3685" i="3"/>
  <c r="AC3685" i="3" s="1"/>
  <c r="AD3686" i="3"/>
  <c r="AC3686" i="3" s="1"/>
  <c r="AD3687" i="3"/>
  <c r="AC3687" i="3" s="1"/>
  <c r="AD3688" i="3"/>
  <c r="AC3688" i="3" s="1"/>
  <c r="AD3689" i="3"/>
  <c r="AC3689" i="3" s="1"/>
  <c r="AD3690" i="3"/>
  <c r="AC3690" i="3" s="1"/>
  <c r="AD3691" i="3"/>
  <c r="AC3691" i="3" s="1"/>
  <c r="AD3692" i="3"/>
  <c r="AC3692" i="3" s="1"/>
  <c r="AD3693" i="3"/>
  <c r="AC3693" i="3" s="1"/>
  <c r="AD3694" i="3"/>
  <c r="AC3694" i="3" s="1"/>
  <c r="AD3695" i="3"/>
  <c r="AC3695" i="3" s="1"/>
  <c r="AD3696" i="3"/>
  <c r="AC3696" i="3" s="1"/>
  <c r="AD3697" i="3"/>
  <c r="AC3697" i="3" s="1"/>
  <c r="AD3698" i="3"/>
  <c r="AC3698" i="3" s="1"/>
  <c r="AD3699" i="3"/>
  <c r="AC3699" i="3" s="1"/>
  <c r="AD3700" i="3"/>
  <c r="AC3700" i="3" s="1"/>
  <c r="AD3701" i="3"/>
  <c r="AC3701" i="3" s="1"/>
  <c r="AD3702" i="3"/>
  <c r="AC3702" i="3" s="1"/>
  <c r="AD3703" i="3"/>
  <c r="AC3703" i="3" s="1"/>
  <c r="AD3704" i="3"/>
  <c r="AC3704" i="3" s="1"/>
  <c r="AD3705" i="3"/>
  <c r="AC3705" i="3" s="1"/>
  <c r="AD3706" i="3"/>
  <c r="AC3706" i="3" s="1"/>
  <c r="AD3707" i="3"/>
  <c r="AC3707" i="3" s="1"/>
  <c r="AD3708" i="3"/>
  <c r="AC3708" i="3" s="1"/>
  <c r="AD3709" i="3"/>
  <c r="AC3709" i="3" s="1"/>
  <c r="AD3710" i="3"/>
  <c r="AC3710" i="3" s="1"/>
  <c r="AD3711" i="3"/>
  <c r="AC3711" i="3" s="1"/>
  <c r="AD3712" i="3"/>
  <c r="AC3712" i="3" s="1"/>
  <c r="AD3713" i="3"/>
  <c r="AC3713" i="3" s="1"/>
  <c r="AD3714" i="3"/>
  <c r="AC3714" i="3" s="1"/>
  <c r="AD3715" i="3"/>
  <c r="AC3715" i="3" s="1"/>
  <c r="AD3716" i="3"/>
  <c r="AC3716" i="3" s="1"/>
  <c r="AD3717" i="3"/>
  <c r="AC3717" i="3" s="1"/>
  <c r="AD3718" i="3"/>
  <c r="AC3718" i="3" s="1"/>
  <c r="AD3719" i="3"/>
  <c r="AC3719" i="3" s="1"/>
  <c r="AD3720" i="3"/>
  <c r="AC3720" i="3" s="1"/>
  <c r="AD3721" i="3"/>
  <c r="AC3721" i="3" s="1"/>
  <c r="AD3722" i="3"/>
  <c r="AC3722" i="3" s="1"/>
  <c r="AD3723" i="3"/>
  <c r="AC3723" i="3" s="1"/>
  <c r="AD3724" i="3"/>
  <c r="AC3724" i="3" s="1"/>
  <c r="AD3725" i="3"/>
  <c r="AC3725" i="3" s="1"/>
  <c r="AD3726" i="3"/>
  <c r="AC3726" i="3" s="1"/>
  <c r="AD3727" i="3"/>
  <c r="AC3727" i="3" s="1"/>
  <c r="AD3728" i="3"/>
  <c r="AC3728" i="3" s="1"/>
  <c r="AD3729" i="3"/>
  <c r="AC3729" i="3" s="1"/>
  <c r="AD3730" i="3"/>
  <c r="AC3730" i="3" s="1"/>
  <c r="AD3731" i="3"/>
  <c r="AC3731" i="3" s="1"/>
  <c r="AD3732" i="3"/>
  <c r="AC3732" i="3" s="1"/>
  <c r="AD3733" i="3"/>
  <c r="AC3733" i="3" s="1"/>
  <c r="AD3734" i="3"/>
  <c r="AC3734" i="3" s="1"/>
  <c r="AD3735" i="3"/>
  <c r="AC3735" i="3" s="1"/>
  <c r="AD3736" i="3"/>
  <c r="AC3736" i="3" s="1"/>
  <c r="AD3737" i="3"/>
  <c r="AC3737" i="3" s="1"/>
  <c r="AD3738" i="3"/>
  <c r="AC3738" i="3" s="1"/>
  <c r="AD3739" i="3"/>
  <c r="AC3739" i="3" s="1"/>
  <c r="AD3740" i="3"/>
  <c r="AC3740" i="3" s="1"/>
  <c r="AD3741" i="3"/>
  <c r="AC3741" i="3" s="1"/>
  <c r="AD3742" i="3"/>
  <c r="AC3742" i="3" s="1"/>
  <c r="AD3743" i="3"/>
  <c r="AC3743" i="3" s="1"/>
  <c r="AD3744" i="3"/>
  <c r="AC3744" i="3" s="1"/>
  <c r="AD3745" i="3"/>
  <c r="AC3745" i="3" s="1"/>
  <c r="AD3746" i="3"/>
  <c r="AC3746" i="3" s="1"/>
  <c r="AD3747" i="3"/>
  <c r="AC3747" i="3" s="1"/>
  <c r="AD3748" i="3"/>
  <c r="AC3748" i="3" s="1"/>
  <c r="AD3749" i="3"/>
  <c r="AC3749" i="3" s="1"/>
  <c r="AD3750" i="3"/>
  <c r="AC3750" i="3" s="1"/>
  <c r="AD3751" i="3"/>
  <c r="AC3751" i="3" s="1"/>
  <c r="AD3752" i="3"/>
  <c r="AC3752" i="3" s="1"/>
  <c r="AD3753" i="3"/>
  <c r="AC3753" i="3" s="1"/>
  <c r="AD3754" i="3"/>
  <c r="AC3754" i="3" s="1"/>
  <c r="AD3755" i="3"/>
  <c r="AC3755" i="3" s="1"/>
  <c r="AD3756" i="3"/>
  <c r="AC3756" i="3" s="1"/>
  <c r="AD3757" i="3"/>
  <c r="AC3757" i="3" s="1"/>
  <c r="AD3758" i="3"/>
  <c r="AC3758" i="3" s="1"/>
  <c r="AD3759" i="3"/>
  <c r="AC3759" i="3" s="1"/>
  <c r="AD3760" i="3"/>
  <c r="AC3760" i="3" s="1"/>
  <c r="AD3761" i="3"/>
  <c r="AC3761" i="3" s="1"/>
  <c r="AD3762" i="3"/>
  <c r="AC3762" i="3" s="1"/>
  <c r="AD3763" i="3"/>
  <c r="AC3763" i="3" s="1"/>
  <c r="AD3764" i="3"/>
  <c r="AC3764" i="3" s="1"/>
  <c r="AD3765" i="3"/>
  <c r="AC3765" i="3" s="1"/>
  <c r="AD3766" i="3"/>
  <c r="AC3766" i="3" s="1"/>
  <c r="AD3767" i="3"/>
  <c r="AC3767" i="3" s="1"/>
  <c r="AD3768" i="3"/>
  <c r="AC3768" i="3" s="1"/>
  <c r="AD3769" i="3"/>
  <c r="AC3769" i="3" s="1"/>
  <c r="AD3770" i="3"/>
  <c r="AC3770" i="3" s="1"/>
  <c r="AD3771" i="3"/>
  <c r="AC3771" i="3" s="1"/>
  <c r="AD3772" i="3"/>
  <c r="AC3772" i="3" s="1"/>
  <c r="AD3773" i="3"/>
  <c r="AC3773" i="3" s="1"/>
  <c r="AD3774" i="3"/>
  <c r="AC3774" i="3" s="1"/>
  <c r="AD3775" i="3"/>
  <c r="AC3775" i="3" s="1"/>
  <c r="AD3776" i="3"/>
  <c r="AC3776" i="3" s="1"/>
  <c r="AD3777" i="3"/>
  <c r="AC3777" i="3" s="1"/>
  <c r="AD3778" i="3"/>
  <c r="AC3778" i="3" s="1"/>
  <c r="AD3779" i="3"/>
  <c r="AC3779" i="3" s="1"/>
  <c r="AD3780" i="3"/>
  <c r="AC3780" i="3" s="1"/>
  <c r="AD3781" i="3"/>
  <c r="AC3781" i="3" s="1"/>
  <c r="AD3782" i="3"/>
  <c r="AC3782" i="3" s="1"/>
  <c r="AD3783" i="3"/>
  <c r="AC3783" i="3" s="1"/>
  <c r="AD3784" i="3"/>
  <c r="AC3784" i="3" s="1"/>
  <c r="AD3785" i="3"/>
  <c r="AC3785" i="3" s="1"/>
  <c r="AD3786" i="3"/>
  <c r="AC3786" i="3" s="1"/>
  <c r="AD3787" i="3"/>
  <c r="AC3787" i="3" s="1"/>
  <c r="AD3788" i="3"/>
  <c r="AC3788" i="3" s="1"/>
  <c r="AD3789" i="3"/>
  <c r="AC3789" i="3" s="1"/>
  <c r="AD3790" i="3"/>
  <c r="AC3790" i="3" s="1"/>
  <c r="AD3791" i="3"/>
  <c r="AC3791" i="3" s="1"/>
  <c r="AD3792" i="3"/>
  <c r="AC3792" i="3" s="1"/>
  <c r="AD3793" i="3"/>
  <c r="AC3793" i="3" s="1"/>
  <c r="AD3794" i="3"/>
  <c r="AC3794" i="3" s="1"/>
  <c r="AD3795" i="3"/>
  <c r="AC3795" i="3" s="1"/>
  <c r="AD3796" i="3"/>
  <c r="AC3796" i="3" s="1"/>
  <c r="AD3797" i="3"/>
  <c r="AC3797" i="3" s="1"/>
  <c r="AD3798" i="3"/>
  <c r="AC3798" i="3" s="1"/>
  <c r="AD3799" i="3"/>
  <c r="AC3799" i="3" s="1"/>
  <c r="AD3800" i="3"/>
  <c r="AC3800" i="3" s="1"/>
  <c r="AD3801" i="3"/>
  <c r="AC3801" i="3" s="1"/>
  <c r="AD3802" i="3"/>
  <c r="AC3802" i="3" s="1"/>
  <c r="AD3803" i="3"/>
  <c r="AC3803" i="3" s="1"/>
  <c r="AD3804" i="3"/>
  <c r="AC3804" i="3" s="1"/>
  <c r="AD3805" i="3"/>
  <c r="AC3805" i="3" s="1"/>
  <c r="AD3806" i="3"/>
  <c r="AC3806" i="3" s="1"/>
  <c r="AD3807" i="3"/>
  <c r="AC3807" i="3" s="1"/>
  <c r="AD3808" i="3"/>
  <c r="AC3808" i="3" s="1"/>
  <c r="AD3809" i="3"/>
  <c r="AC3809" i="3" s="1"/>
  <c r="AD3810" i="3"/>
  <c r="AC3810" i="3" s="1"/>
  <c r="AD3811" i="3"/>
  <c r="AC3811" i="3" s="1"/>
  <c r="AD3812" i="3"/>
  <c r="AC3812" i="3" s="1"/>
  <c r="AD3813" i="3"/>
  <c r="AC3813" i="3" s="1"/>
  <c r="AD3814" i="3"/>
  <c r="AC3814" i="3" s="1"/>
  <c r="AD3815" i="3"/>
  <c r="AC3815" i="3" s="1"/>
  <c r="AD3816" i="3"/>
  <c r="AC3816" i="3" s="1"/>
  <c r="AD3817" i="3"/>
  <c r="AC3817" i="3" s="1"/>
  <c r="AD3818" i="3"/>
  <c r="AC3818" i="3" s="1"/>
  <c r="AD3819" i="3"/>
  <c r="AC3819" i="3" s="1"/>
  <c r="AD3820" i="3"/>
  <c r="AC3820" i="3" s="1"/>
  <c r="AD3821" i="3"/>
  <c r="AC3821" i="3" s="1"/>
  <c r="AD3822" i="3"/>
  <c r="AC3822" i="3" s="1"/>
  <c r="AD3823" i="3"/>
  <c r="AC3823" i="3" s="1"/>
  <c r="AD3824" i="3"/>
  <c r="AC3824" i="3" s="1"/>
  <c r="AD3825" i="3"/>
  <c r="AC3825" i="3" s="1"/>
  <c r="AD3826" i="3"/>
  <c r="AC3826" i="3" s="1"/>
  <c r="AD3827" i="3"/>
  <c r="AC3827" i="3" s="1"/>
  <c r="AD3828" i="3"/>
  <c r="AC3828" i="3" s="1"/>
  <c r="AD3829" i="3"/>
  <c r="AC3829" i="3" s="1"/>
  <c r="AD3830" i="3"/>
  <c r="AC3830" i="3" s="1"/>
  <c r="AD3831" i="3"/>
  <c r="AC3831" i="3" s="1"/>
  <c r="AD3832" i="3"/>
  <c r="AC3832" i="3" s="1"/>
  <c r="AD3833" i="3"/>
  <c r="AC3833" i="3" s="1"/>
  <c r="AD3834" i="3"/>
  <c r="AC3834" i="3" s="1"/>
  <c r="AD3835" i="3"/>
  <c r="AC3835" i="3" s="1"/>
  <c r="AD3836" i="3"/>
  <c r="AC3836" i="3" s="1"/>
  <c r="AD3837" i="3"/>
  <c r="AC3837" i="3" s="1"/>
  <c r="AD3838" i="3"/>
  <c r="AC3838" i="3" s="1"/>
  <c r="AD3839" i="3"/>
  <c r="AC3839" i="3" s="1"/>
  <c r="AD3840" i="3"/>
  <c r="AC3840" i="3" s="1"/>
  <c r="AD3841" i="3"/>
  <c r="AC3841" i="3" s="1"/>
  <c r="AD3842" i="3"/>
  <c r="AC3842" i="3" s="1"/>
  <c r="AD3843" i="3"/>
  <c r="AC3843" i="3" s="1"/>
  <c r="AD3844" i="3"/>
  <c r="AC3844" i="3" s="1"/>
  <c r="AD3845" i="3"/>
  <c r="AC3845" i="3" s="1"/>
  <c r="AD3846" i="3"/>
  <c r="AC3846" i="3" s="1"/>
  <c r="AD3847" i="3"/>
  <c r="AC3847" i="3" s="1"/>
  <c r="AD3848" i="3"/>
  <c r="AC3848" i="3" s="1"/>
  <c r="AD3849" i="3"/>
  <c r="AC3849" i="3" s="1"/>
  <c r="AD3850" i="3"/>
  <c r="AC3850" i="3" s="1"/>
  <c r="AD3851" i="3"/>
  <c r="AC3851" i="3" s="1"/>
  <c r="AD3852" i="3"/>
  <c r="AC3852" i="3" s="1"/>
  <c r="AD3853" i="3"/>
  <c r="AC3853" i="3" s="1"/>
  <c r="AD3854" i="3"/>
  <c r="AC3854" i="3" s="1"/>
  <c r="AD3855" i="3"/>
  <c r="AC3855" i="3" s="1"/>
  <c r="AD3856" i="3"/>
  <c r="AC3856" i="3" s="1"/>
  <c r="AD3857" i="3"/>
  <c r="AC3857" i="3" s="1"/>
  <c r="AD3858" i="3"/>
  <c r="AC3858" i="3" s="1"/>
  <c r="AD3859" i="3"/>
  <c r="AC3859" i="3" s="1"/>
  <c r="AD3860" i="3"/>
  <c r="AC3860" i="3" s="1"/>
  <c r="AD3861" i="3"/>
  <c r="AC3861" i="3" s="1"/>
  <c r="AD3862" i="3"/>
  <c r="AC3862" i="3" s="1"/>
  <c r="AD3863" i="3"/>
  <c r="AC3863" i="3" s="1"/>
  <c r="AD3864" i="3"/>
  <c r="AC3864" i="3" s="1"/>
  <c r="AD3865" i="3"/>
  <c r="AC3865" i="3" s="1"/>
  <c r="AD3866" i="3"/>
  <c r="AC3866" i="3" s="1"/>
  <c r="AD3867" i="3"/>
  <c r="AC3867" i="3" s="1"/>
  <c r="AD3868" i="3"/>
  <c r="AC3868" i="3" s="1"/>
  <c r="AD3869" i="3"/>
  <c r="AC3869" i="3" s="1"/>
  <c r="AD3870" i="3"/>
  <c r="AC3870" i="3" s="1"/>
  <c r="AD3871" i="3"/>
  <c r="AC3871" i="3" s="1"/>
  <c r="AD3872" i="3"/>
  <c r="AC3872" i="3" s="1"/>
  <c r="AD3873" i="3"/>
  <c r="AC3873" i="3" s="1"/>
  <c r="AD3874" i="3"/>
  <c r="AC3874" i="3" s="1"/>
  <c r="AD3875" i="3"/>
  <c r="AC3875" i="3" s="1"/>
  <c r="AD3876" i="3"/>
  <c r="AC3876" i="3" s="1"/>
  <c r="AD3877" i="3"/>
  <c r="AC3877" i="3" s="1"/>
  <c r="AD3878" i="3"/>
  <c r="AC3878" i="3" s="1"/>
  <c r="AD3879" i="3"/>
  <c r="AC3879" i="3" s="1"/>
  <c r="AD3880" i="3"/>
  <c r="AC3880" i="3" s="1"/>
  <c r="AD3881" i="3"/>
  <c r="AC3881" i="3" s="1"/>
  <c r="AD3882" i="3"/>
  <c r="AC3882" i="3" s="1"/>
  <c r="AD3883" i="3"/>
  <c r="AC3883" i="3" s="1"/>
  <c r="AD3884" i="3"/>
  <c r="AC3884" i="3" s="1"/>
  <c r="AD3885" i="3"/>
  <c r="AC3885" i="3" s="1"/>
  <c r="AD3886" i="3"/>
  <c r="AC3886" i="3" s="1"/>
  <c r="AD3887" i="3"/>
  <c r="AC3887" i="3" s="1"/>
  <c r="AD3888" i="3"/>
  <c r="AC3888" i="3" s="1"/>
  <c r="AD3889" i="3"/>
  <c r="AC3889" i="3" s="1"/>
  <c r="AD3890" i="3"/>
  <c r="AC3890" i="3" s="1"/>
  <c r="AD3891" i="3"/>
  <c r="AC3891" i="3" s="1"/>
  <c r="AD3892" i="3"/>
  <c r="AC3892" i="3" s="1"/>
  <c r="AD3893" i="3"/>
  <c r="AC3893" i="3" s="1"/>
  <c r="AD3894" i="3"/>
  <c r="AC3894" i="3" s="1"/>
  <c r="AD3895" i="3"/>
  <c r="AC3895" i="3" s="1"/>
  <c r="AD3896" i="3"/>
  <c r="AC3896" i="3" s="1"/>
  <c r="AD3897" i="3"/>
  <c r="AC3897" i="3" s="1"/>
  <c r="AD3898" i="3"/>
  <c r="AC3898" i="3" s="1"/>
  <c r="AD3899" i="3"/>
  <c r="AC3899" i="3" s="1"/>
  <c r="AD3900" i="3"/>
  <c r="AC3900" i="3" s="1"/>
  <c r="AD3901" i="3"/>
  <c r="AC3901" i="3" s="1"/>
  <c r="AD3902" i="3"/>
  <c r="AC3902" i="3" s="1"/>
  <c r="AD3903" i="3"/>
  <c r="AC3903" i="3" s="1"/>
  <c r="AD3904" i="3"/>
  <c r="AC3904" i="3" s="1"/>
  <c r="AD3905" i="3"/>
  <c r="AC3905" i="3" s="1"/>
  <c r="AD3906" i="3"/>
  <c r="AC3906" i="3" s="1"/>
  <c r="AD3907" i="3"/>
  <c r="AC3907" i="3" s="1"/>
  <c r="AD3908" i="3"/>
  <c r="AC3908" i="3" s="1"/>
  <c r="AD3909" i="3"/>
  <c r="AC3909" i="3" s="1"/>
  <c r="AD3910" i="3"/>
  <c r="AC3910" i="3" s="1"/>
  <c r="AD3911" i="3"/>
  <c r="AC3911" i="3" s="1"/>
  <c r="AD3912" i="3"/>
  <c r="AC3912" i="3" s="1"/>
  <c r="AD3913" i="3"/>
  <c r="AC3913" i="3" s="1"/>
  <c r="AD3914" i="3"/>
  <c r="AC3914" i="3" s="1"/>
  <c r="AD3915" i="3"/>
  <c r="AC3915" i="3" s="1"/>
  <c r="AD3916" i="3"/>
  <c r="AC3916" i="3" s="1"/>
  <c r="AD3917" i="3"/>
  <c r="AC3917" i="3" s="1"/>
  <c r="AD3918" i="3"/>
  <c r="AC3918" i="3" s="1"/>
  <c r="AD3919" i="3"/>
  <c r="AC3919" i="3" s="1"/>
  <c r="AD3920" i="3"/>
  <c r="AC3920" i="3" s="1"/>
  <c r="AD3921" i="3"/>
  <c r="AC3921" i="3" s="1"/>
  <c r="AD3922" i="3"/>
  <c r="AC3922" i="3" s="1"/>
  <c r="AD3923" i="3"/>
  <c r="AC3923" i="3" s="1"/>
  <c r="AD3924" i="3"/>
  <c r="AC3924" i="3" s="1"/>
  <c r="AD3925" i="3"/>
  <c r="AC3925" i="3" s="1"/>
  <c r="AD3926" i="3"/>
  <c r="AC3926" i="3" s="1"/>
  <c r="AD3927" i="3"/>
  <c r="AC3927" i="3" s="1"/>
  <c r="AD3928" i="3"/>
  <c r="AC3928" i="3" s="1"/>
  <c r="AD3929" i="3"/>
  <c r="AC3929" i="3" s="1"/>
  <c r="AD3930" i="3"/>
  <c r="AC3930" i="3" s="1"/>
  <c r="AD3931" i="3"/>
  <c r="AC3931" i="3" s="1"/>
  <c r="AD3932" i="3"/>
  <c r="AC3932" i="3" s="1"/>
  <c r="AD3933" i="3"/>
  <c r="AC3933" i="3" s="1"/>
  <c r="AD3934" i="3"/>
  <c r="AC3934" i="3" s="1"/>
  <c r="AD3935" i="3"/>
  <c r="AC3935" i="3" s="1"/>
  <c r="AD3936" i="3"/>
  <c r="AC3936" i="3" s="1"/>
  <c r="AD3937" i="3"/>
  <c r="AC3937" i="3" s="1"/>
  <c r="AD3938" i="3"/>
  <c r="AC3938" i="3" s="1"/>
  <c r="AD3939" i="3"/>
  <c r="AC3939" i="3" s="1"/>
  <c r="AD3940" i="3"/>
  <c r="AC3940" i="3" s="1"/>
  <c r="AD3941" i="3"/>
  <c r="AC3941" i="3" s="1"/>
  <c r="AD3942" i="3"/>
  <c r="AC3942" i="3" s="1"/>
  <c r="AD3943" i="3"/>
  <c r="AC3943" i="3" s="1"/>
  <c r="AD3944" i="3"/>
  <c r="AC3944" i="3" s="1"/>
  <c r="AD3945" i="3"/>
  <c r="AC3945" i="3" s="1"/>
  <c r="AD3946" i="3"/>
  <c r="AC3946" i="3" s="1"/>
  <c r="AD3947" i="3"/>
  <c r="AC3947" i="3" s="1"/>
  <c r="AD3948" i="3"/>
  <c r="AC3948" i="3" s="1"/>
  <c r="AD3949" i="3"/>
  <c r="AC3949" i="3" s="1"/>
  <c r="AD3950" i="3"/>
  <c r="AC3950" i="3" s="1"/>
  <c r="AD3951" i="3"/>
  <c r="AC3951" i="3" s="1"/>
  <c r="AD3952" i="3"/>
  <c r="AC3952" i="3" s="1"/>
  <c r="AD3953" i="3"/>
  <c r="AC3953" i="3" s="1"/>
  <c r="AD3954" i="3"/>
  <c r="AC3954" i="3" s="1"/>
  <c r="AD3955" i="3"/>
  <c r="AC3955" i="3" s="1"/>
  <c r="AD3956" i="3"/>
  <c r="AC3956" i="3" s="1"/>
  <c r="AD3957" i="3"/>
  <c r="AC3957" i="3" s="1"/>
  <c r="AD3958" i="3"/>
  <c r="AC3958" i="3" s="1"/>
  <c r="AD3959" i="3"/>
  <c r="AC3959" i="3" s="1"/>
  <c r="AD3960" i="3"/>
  <c r="AC3960" i="3" s="1"/>
  <c r="AD3961" i="3"/>
  <c r="AC3961" i="3" s="1"/>
  <c r="AD3962" i="3"/>
  <c r="AC3962" i="3" s="1"/>
  <c r="AD3963" i="3"/>
  <c r="AC3963" i="3" s="1"/>
  <c r="AD3964" i="3"/>
  <c r="AC3964" i="3" s="1"/>
  <c r="AD3965" i="3"/>
  <c r="AC3965" i="3" s="1"/>
  <c r="AD3966" i="3"/>
  <c r="AC3966" i="3" s="1"/>
  <c r="AD3967" i="3"/>
  <c r="AC3967" i="3" s="1"/>
  <c r="AD3968" i="3"/>
  <c r="AC3968" i="3" s="1"/>
  <c r="AD3969" i="3"/>
  <c r="AC3969" i="3" s="1"/>
  <c r="AD3970" i="3"/>
  <c r="AC3970" i="3" s="1"/>
  <c r="AD3971" i="3"/>
  <c r="AC3971" i="3" s="1"/>
  <c r="AD3972" i="3"/>
  <c r="AC3972" i="3" s="1"/>
  <c r="AD3973" i="3"/>
  <c r="AC3973" i="3" s="1"/>
  <c r="AD3974" i="3"/>
  <c r="AC3974" i="3" s="1"/>
  <c r="AD3975" i="3"/>
  <c r="AC3975" i="3" s="1"/>
  <c r="AD3976" i="3"/>
  <c r="AC3976" i="3" s="1"/>
  <c r="AD3977" i="3"/>
  <c r="AC3977" i="3" s="1"/>
  <c r="AD3978" i="3"/>
  <c r="AC3978" i="3" s="1"/>
  <c r="AD3979" i="3"/>
  <c r="AC3979" i="3" s="1"/>
  <c r="AD3980" i="3"/>
  <c r="AC3980" i="3" s="1"/>
  <c r="AD3981" i="3"/>
  <c r="AC3981" i="3" s="1"/>
  <c r="AD3982" i="3"/>
  <c r="AC3982" i="3" s="1"/>
  <c r="AD3983" i="3"/>
  <c r="AC3983" i="3" s="1"/>
  <c r="AD3984" i="3"/>
  <c r="AC3984" i="3" s="1"/>
  <c r="AD3985" i="3"/>
  <c r="AC3985" i="3" s="1"/>
  <c r="AD3986" i="3"/>
  <c r="AC3986" i="3" s="1"/>
  <c r="AD3987" i="3"/>
  <c r="AC3987" i="3" s="1"/>
  <c r="AD3988" i="3"/>
  <c r="AC3988" i="3" s="1"/>
  <c r="AD3989" i="3"/>
  <c r="AC3989" i="3" s="1"/>
  <c r="AD3990" i="3"/>
  <c r="AC3990" i="3" s="1"/>
  <c r="AD3991" i="3"/>
  <c r="AC3991" i="3" s="1"/>
  <c r="AD3992" i="3"/>
  <c r="AC3992" i="3" s="1"/>
  <c r="AD3993" i="3"/>
  <c r="AC3993" i="3" s="1"/>
  <c r="AD3994" i="3"/>
  <c r="AC3994" i="3" s="1"/>
  <c r="AD3995" i="3"/>
  <c r="AC3995" i="3" s="1"/>
  <c r="AD3996" i="3"/>
  <c r="AC3996" i="3" s="1"/>
  <c r="AD3997" i="3"/>
  <c r="AC3997" i="3" s="1"/>
  <c r="AD3998" i="3"/>
  <c r="AC3998" i="3" s="1"/>
  <c r="AD3999" i="3"/>
  <c r="AC3999" i="3" s="1"/>
  <c r="AD4000" i="3"/>
  <c r="AC4000" i="3" s="1"/>
  <c r="AD4001" i="3"/>
  <c r="AC4001" i="3" s="1"/>
  <c r="AD4002" i="3"/>
  <c r="AC4002" i="3" s="1"/>
  <c r="AD4003" i="3"/>
  <c r="AC4003" i="3" s="1"/>
  <c r="AD4004" i="3"/>
  <c r="AC4004" i="3" s="1"/>
  <c r="AD4005" i="3"/>
  <c r="AC4005" i="3" s="1"/>
  <c r="AD4006" i="3"/>
  <c r="AC4006" i="3" s="1"/>
  <c r="AD4007" i="3"/>
  <c r="AC4007" i="3" s="1"/>
  <c r="AD4008" i="3"/>
  <c r="AC4008" i="3" s="1"/>
  <c r="AD4009" i="3"/>
  <c r="AC4009" i="3" s="1"/>
  <c r="AD4010" i="3"/>
  <c r="AC4010" i="3" s="1"/>
  <c r="AD4011" i="3"/>
  <c r="AC4011" i="3" s="1"/>
  <c r="AD4012" i="3"/>
  <c r="AC4012" i="3" s="1"/>
  <c r="AD4013" i="3"/>
  <c r="AC4013" i="3" s="1"/>
  <c r="AD4014" i="3"/>
  <c r="AC4014" i="3" s="1"/>
  <c r="AD4015" i="3"/>
  <c r="AC4015" i="3" s="1"/>
  <c r="AD4016" i="3"/>
  <c r="AC4016" i="3" s="1"/>
  <c r="AD4017" i="3"/>
  <c r="AC4017" i="3" s="1"/>
  <c r="AD4018" i="3"/>
  <c r="AC4018" i="3" s="1"/>
  <c r="AD4019" i="3"/>
  <c r="AC4019" i="3" s="1"/>
  <c r="AD4020" i="3"/>
  <c r="AC4020" i="3" s="1"/>
  <c r="AD4021" i="3"/>
  <c r="AC4021" i="3" s="1"/>
  <c r="AD4022" i="3"/>
  <c r="AC4022" i="3" s="1"/>
  <c r="AD4023" i="3"/>
  <c r="AC4023" i="3" s="1"/>
  <c r="AD4024" i="3"/>
  <c r="AC4024" i="3" s="1"/>
  <c r="AD4025" i="3"/>
  <c r="AC4025" i="3" s="1"/>
  <c r="AD4026" i="3"/>
  <c r="AC4026" i="3" s="1"/>
  <c r="AD4027" i="3"/>
  <c r="AC4027" i="3" s="1"/>
  <c r="AD4028" i="3"/>
  <c r="AC4028" i="3" s="1"/>
  <c r="AD4029" i="3"/>
  <c r="AC4029" i="3" s="1"/>
  <c r="AD4030" i="3"/>
  <c r="AC4030" i="3" s="1"/>
  <c r="AD4031" i="3"/>
  <c r="AC4031" i="3" s="1"/>
  <c r="AD4032" i="3"/>
  <c r="AC4032" i="3" s="1"/>
  <c r="AD4033" i="3"/>
  <c r="AC4033" i="3" s="1"/>
  <c r="AD4034" i="3"/>
  <c r="AC4034" i="3" s="1"/>
  <c r="AD4035" i="3"/>
  <c r="AC4035" i="3" s="1"/>
  <c r="AD4036" i="3"/>
  <c r="AC4036" i="3" s="1"/>
  <c r="AD4037" i="3"/>
  <c r="AC4037" i="3" s="1"/>
  <c r="AD4038" i="3"/>
  <c r="AC4038" i="3" s="1"/>
  <c r="AD4039" i="3"/>
  <c r="AC4039" i="3" s="1"/>
  <c r="AD4040" i="3"/>
  <c r="AC4040" i="3" s="1"/>
  <c r="AD4041" i="3"/>
  <c r="AC4041" i="3" s="1"/>
  <c r="AD4042" i="3"/>
  <c r="AC4042" i="3" s="1"/>
  <c r="AD4043" i="3"/>
  <c r="AC4043" i="3" s="1"/>
  <c r="AD4044" i="3"/>
  <c r="AC4044" i="3" s="1"/>
  <c r="AD4045" i="3"/>
  <c r="AC4045" i="3" s="1"/>
  <c r="AD4046" i="3"/>
  <c r="AC4046" i="3" s="1"/>
  <c r="AD4047" i="3"/>
  <c r="AC4047" i="3" s="1"/>
  <c r="AD4048" i="3"/>
  <c r="AC4048" i="3" s="1"/>
  <c r="AD4049" i="3"/>
  <c r="AC4049" i="3" s="1"/>
  <c r="AD4050" i="3"/>
  <c r="AC4050" i="3" s="1"/>
  <c r="AD4051" i="3"/>
  <c r="AC4051" i="3" s="1"/>
  <c r="AD4052" i="3"/>
  <c r="AC4052" i="3" s="1"/>
  <c r="AD4053" i="3"/>
  <c r="AC4053" i="3" s="1"/>
  <c r="AD4054" i="3"/>
  <c r="AC4054" i="3" s="1"/>
  <c r="AD4055" i="3"/>
  <c r="AC4055" i="3" s="1"/>
  <c r="AD4056" i="3"/>
  <c r="AC4056" i="3" s="1"/>
  <c r="AD4057" i="3"/>
  <c r="AC4057" i="3" s="1"/>
  <c r="AD4058" i="3"/>
  <c r="AC4058" i="3" s="1"/>
  <c r="AD4059" i="3"/>
  <c r="AC4059" i="3" s="1"/>
  <c r="AD4060" i="3"/>
  <c r="AC4060" i="3" s="1"/>
  <c r="AD4061" i="3"/>
  <c r="AC4061" i="3" s="1"/>
  <c r="AD4062" i="3"/>
  <c r="AC4062" i="3" s="1"/>
  <c r="AD4063" i="3"/>
  <c r="AC4063" i="3" s="1"/>
  <c r="AD4064" i="3"/>
  <c r="AC4064" i="3" s="1"/>
  <c r="AD4065" i="3"/>
  <c r="AC4065" i="3" s="1"/>
  <c r="AD4066" i="3"/>
  <c r="AC4066" i="3" s="1"/>
  <c r="AD4067" i="3"/>
  <c r="AC4067" i="3" s="1"/>
  <c r="AD4068" i="3"/>
  <c r="AC4068" i="3" s="1"/>
  <c r="AD4069" i="3"/>
  <c r="AC4069" i="3" s="1"/>
  <c r="AD4070" i="3"/>
  <c r="AC4070" i="3" s="1"/>
  <c r="AD4071" i="3"/>
  <c r="AC4071" i="3" s="1"/>
  <c r="AD4072" i="3"/>
  <c r="AC4072" i="3" s="1"/>
  <c r="AD4073" i="3"/>
  <c r="AC4073" i="3" s="1"/>
  <c r="AD4074" i="3"/>
  <c r="AC4074" i="3" s="1"/>
  <c r="AD4075" i="3"/>
  <c r="AC4075" i="3" s="1"/>
  <c r="AD4076" i="3"/>
  <c r="AC4076" i="3" s="1"/>
  <c r="AD4077" i="3"/>
  <c r="AC4077" i="3" s="1"/>
  <c r="AD4078" i="3"/>
  <c r="AC4078" i="3" s="1"/>
  <c r="AD4079" i="3"/>
  <c r="AC4079" i="3" s="1"/>
  <c r="AD4080" i="3"/>
  <c r="AC4080" i="3" s="1"/>
  <c r="AD4081" i="3"/>
  <c r="AC4081" i="3" s="1"/>
  <c r="AD4082" i="3"/>
  <c r="AC4082" i="3" s="1"/>
  <c r="AD4083" i="3"/>
  <c r="AC4083" i="3" s="1"/>
  <c r="AD4084" i="3"/>
  <c r="AC4084" i="3" s="1"/>
  <c r="AD4085" i="3"/>
  <c r="AC4085" i="3" s="1"/>
  <c r="AD4086" i="3"/>
  <c r="AC4086" i="3" s="1"/>
  <c r="AD4087" i="3"/>
  <c r="AC4087" i="3" s="1"/>
  <c r="AD4088" i="3"/>
  <c r="AC4088" i="3" s="1"/>
  <c r="AD4089" i="3"/>
  <c r="AC4089" i="3" s="1"/>
  <c r="AD4090" i="3"/>
  <c r="AC4090" i="3" s="1"/>
  <c r="AD4091" i="3"/>
  <c r="AC4091" i="3" s="1"/>
  <c r="AD4092" i="3"/>
  <c r="AC4092" i="3" s="1"/>
  <c r="AD4093" i="3"/>
  <c r="AC4093" i="3" s="1"/>
  <c r="AD4094" i="3"/>
  <c r="AC4094" i="3" s="1"/>
  <c r="AD4095" i="3"/>
  <c r="AC4095" i="3" s="1"/>
  <c r="AD4096" i="3"/>
  <c r="AC4096" i="3" s="1"/>
  <c r="AD4097" i="3"/>
  <c r="AC4097" i="3" s="1"/>
  <c r="AD4098" i="3"/>
  <c r="AC4098" i="3" s="1"/>
  <c r="AD4099" i="3"/>
  <c r="AC4099" i="3" s="1"/>
  <c r="AD4100" i="3"/>
  <c r="AC4100" i="3" s="1"/>
  <c r="AD4101" i="3"/>
  <c r="AC4101" i="3" s="1"/>
  <c r="AD4102" i="3"/>
  <c r="AC4102" i="3" s="1"/>
  <c r="AD4103" i="3"/>
  <c r="AC4103" i="3" s="1"/>
  <c r="AD4104" i="3"/>
  <c r="AC4104" i="3" s="1"/>
  <c r="AD4105" i="3"/>
  <c r="AC4105" i="3" s="1"/>
  <c r="AD4106" i="3"/>
  <c r="AC4106" i="3" s="1"/>
  <c r="AD4107" i="3"/>
  <c r="AC4107" i="3" s="1"/>
  <c r="AD4108" i="3"/>
  <c r="AC4108" i="3" s="1"/>
  <c r="AD4109" i="3"/>
  <c r="AC4109" i="3" s="1"/>
  <c r="AD4110" i="3"/>
  <c r="AC4110" i="3" s="1"/>
  <c r="AD4111" i="3"/>
  <c r="AC4111" i="3" s="1"/>
  <c r="AD4112" i="3"/>
  <c r="AC4112" i="3" s="1"/>
  <c r="AD4113" i="3"/>
  <c r="AC4113" i="3" s="1"/>
  <c r="AD4114" i="3"/>
  <c r="AC4114" i="3" s="1"/>
  <c r="AD4115" i="3"/>
  <c r="AC4115" i="3" s="1"/>
  <c r="AD4116" i="3"/>
  <c r="AC4116" i="3" s="1"/>
  <c r="AD4117" i="3"/>
  <c r="AC4117" i="3" s="1"/>
  <c r="AD4118" i="3"/>
  <c r="AC4118" i="3" s="1"/>
  <c r="AD4119" i="3"/>
  <c r="AC4119" i="3" s="1"/>
  <c r="AD4120" i="3"/>
  <c r="AC4120" i="3" s="1"/>
  <c r="AD4121" i="3"/>
  <c r="AC4121" i="3" s="1"/>
  <c r="AD4122" i="3"/>
  <c r="AC4122" i="3" s="1"/>
  <c r="AD4123" i="3"/>
  <c r="AC4123" i="3" s="1"/>
  <c r="AD4124" i="3"/>
  <c r="AC4124" i="3" s="1"/>
  <c r="AD4125" i="3"/>
  <c r="AC4125" i="3" s="1"/>
  <c r="AD4126" i="3"/>
  <c r="AC4126" i="3" s="1"/>
  <c r="AD4127" i="3"/>
  <c r="AC4127" i="3" s="1"/>
  <c r="AD4128" i="3"/>
  <c r="AC4128" i="3" s="1"/>
  <c r="AD4129" i="3"/>
  <c r="AC4129" i="3" s="1"/>
  <c r="AD4130" i="3"/>
  <c r="AC4130" i="3" s="1"/>
  <c r="AD4131" i="3"/>
  <c r="AC4131" i="3" s="1"/>
  <c r="AD4132" i="3"/>
  <c r="AC4132" i="3" s="1"/>
  <c r="AD4133" i="3"/>
  <c r="AC4133" i="3" s="1"/>
  <c r="AD4134" i="3"/>
  <c r="AC4134" i="3" s="1"/>
  <c r="AD4135" i="3"/>
  <c r="AC4135" i="3" s="1"/>
  <c r="AD4136" i="3"/>
  <c r="AC4136" i="3" s="1"/>
  <c r="AD4137" i="3"/>
  <c r="AC4137" i="3" s="1"/>
  <c r="AD4138" i="3"/>
  <c r="AC4138" i="3" s="1"/>
  <c r="AD4139" i="3"/>
  <c r="AC4139" i="3" s="1"/>
  <c r="AD4140" i="3"/>
  <c r="AC4140" i="3" s="1"/>
  <c r="AD4141" i="3"/>
  <c r="AC4141" i="3" s="1"/>
  <c r="AD4142" i="3"/>
  <c r="AC4142" i="3" s="1"/>
  <c r="AD4143" i="3"/>
  <c r="AC4143" i="3" s="1"/>
  <c r="AD4144" i="3"/>
  <c r="AC4144" i="3" s="1"/>
  <c r="AD4145" i="3"/>
  <c r="AC4145" i="3" s="1"/>
  <c r="AD4146" i="3"/>
  <c r="AC4146" i="3" s="1"/>
  <c r="AD4147" i="3"/>
  <c r="AC4147" i="3" s="1"/>
  <c r="AD4148" i="3"/>
  <c r="AC4148" i="3" s="1"/>
  <c r="AD4149" i="3"/>
  <c r="AC4149" i="3" s="1"/>
  <c r="AD4150" i="3"/>
  <c r="AC4150" i="3" s="1"/>
  <c r="AD4151" i="3"/>
  <c r="AC4151" i="3" s="1"/>
  <c r="AD4152" i="3"/>
  <c r="AC4152" i="3" s="1"/>
  <c r="AD4153" i="3"/>
  <c r="AC4153" i="3" s="1"/>
  <c r="AD4154" i="3"/>
  <c r="AC4154" i="3" s="1"/>
  <c r="AD4155" i="3"/>
  <c r="AC4155" i="3" s="1"/>
  <c r="AD4156" i="3"/>
  <c r="AC4156" i="3" s="1"/>
  <c r="AD4157" i="3"/>
  <c r="AC4157" i="3" s="1"/>
  <c r="AD4158" i="3"/>
  <c r="AC4158" i="3" s="1"/>
  <c r="AD4159" i="3"/>
  <c r="AC4159" i="3" s="1"/>
  <c r="AD4160" i="3"/>
  <c r="AC4160" i="3" s="1"/>
  <c r="AD4161" i="3"/>
  <c r="AC4161" i="3" s="1"/>
  <c r="AD4162" i="3"/>
  <c r="AC4162" i="3" s="1"/>
  <c r="AD4163" i="3"/>
  <c r="AC4163" i="3" s="1"/>
  <c r="AD4164" i="3"/>
  <c r="AC4164" i="3" s="1"/>
  <c r="AD4165" i="3"/>
  <c r="AC4165" i="3" s="1"/>
  <c r="AD4166" i="3"/>
  <c r="AC4166" i="3" s="1"/>
  <c r="AD4167" i="3"/>
  <c r="AC4167" i="3" s="1"/>
  <c r="AD4168" i="3"/>
  <c r="AC4168" i="3" s="1"/>
  <c r="AD4169" i="3"/>
  <c r="AC4169" i="3" s="1"/>
  <c r="AD4170" i="3"/>
  <c r="AC4170" i="3" s="1"/>
  <c r="AD4171" i="3"/>
  <c r="AC4171" i="3" s="1"/>
  <c r="AD4172" i="3"/>
  <c r="AC4172" i="3" s="1"/>
  <c r="AD4173" i="3"/>
  <c r="AC4173" i="3" s="1"/>
  <c r="AD4174" i="3"/>
  <c r="AC4174" i="3" s="1"/>
  <c r="AD4175" i="3"/>
  <c r="AC4175" i="3" s="1"/>
  <c r="AD4176" i="3"/>
  <c r="AC4176" i="3" s="1"/>
  <c r="AD4177" i="3"/>
  <c r="AC4177" i="3" s="1"/>
  <c r="AD4178" i="3"/>
  <c r="AC4178" i="3" s="1"/>
  <c r="AD4179" i="3"/>
  <c r="AC4179" i="3" s="1"/>
  <c r="AD4180" i="3"/>
  <c r="AC4180" i="3" s="1"/>
  <c r="AD4181" i="3"/>
  <c r="AC4181" i="3" s="1"/>
  <c r="AD4182" i="3"/>
  <c r="AC4182" i="3" s="1"/>
  <c r="AD4183" i="3"/>
  <c r="AC4183" i="3" s="1"/>
  <c r="AD4184" i="3"/>
  <c r="AC4184" i="3" s="1"/>
  <c r="AD4185" i="3"/>
  <c r="AC4185" i="3" s="1"/>
  <c r="AD4186" i="3"/>
  <c r="AC4186" i="3" s="1"/>
  <c r="AD4187" i="3"/>
  <c r="AC4187" i="3" s="1"/>
  <c r="AD4188" i="3"/>
  <c r="AC4188" i="3" s="1"/>
  <c r="AD4189" i="3"/>
  <c r="AC4189" i="3" s="1"/>
  <c r="AD4190" i="3"/>
  <c r="AC4190" i="3" s="1"/>
  <c r="AD4191" i="3"/>
  <c r="AC4191" i="3" s="1"/>
  <c r="AD4192" i="3"/>
  <c r="AC4192" i="3" s="1"/>
  <c r="AD4193" i="3"/>
  <c r="AC4193" i="3" s="1"/>
  <c r="AD4194" i="3"/>
  <c r="AC4194" i="3" s="1"/>
  <c r="AD4195" i="3"/>
  <c r="AC4195" i="3" s="1"/>
  <c r="AD4196" i="3"/>
  <c r="AC4196" i="3" s="1"/>
  <c r="AD4197" i="3"/>
  <c r="AC4197" i="3" s="1"/>
  <c r="AD4198" i="3"/>
  <c r="AC4198" i="3" s="1"/>
  <c r="AD4199" i="3"/>
  <c r="AC4199" i="3" s="1"/>
  <c r="AD4200" i="3"/>
  <c r="AC4200" i="3" s="1"/>
  <c r="AD4201" i="3"/>
  <c r="AC4201" i="3" s="1"/>
  <c r="AD4202" i="3"/>
  <c r="AC4202" i="3" s="1"/>
  <c r="AD4203" i="3"/>
  <c r="AC4203" i="3" s="1"/>
  <c r="AD4204" i="3"/>
  <c r="AC4204" i="3" s="1"/>
  <c r="AD4205" i="3"/>
  <c r="AC4205" i="3" s="1"/>
  <c r="AD4206" i="3"/>
  <c r="AC4206" i="3" s="1"/>
  <c r="AD4207" i="3"/>
  <c r="AC4207" i="3" s="1"/>
  <c r="AD4208" i="3"/>
  <c r="AC4208" i="3" s="1"/>
  <c r="AD4209" i="3"/>
  <c r="AC4209" i="3" s="1"/>
  <c r="AD4210" i="3"/>
  <c r="AC4210" i="3" s="1"/>
  <c r="AD4211" i="3"/>
  <c r="AC4211" i="3" s="1"/>
  <c r="AD4212" i="3"/>
  <c r="AC4212" i="3" s="1"/>
  <c r="AD4213" i="3"/>
  <c r="AC4213" i="3" s="1"/>
  <c r="AD4214" i="3"/>
  <c r="AC4214" i="3" s="1"/>
  <c r="AD4215" i="3"/>
  <c r="AC4215" i="3" s="1"/>
  <c r="AD4216" i="3"/>
  <c r="AC4216" i="3" s="1"/>
  <c r="AD4217" i="3"/>
  <c r="AC4217" i="3" s="1"/>
  <c r="AD4218" i="3"/>
  <c r="AC4218" i="3" s="1"/>
  <c r="AD4219" i="3"/>
  <c r="AC4219" i="3" s="1"/>
  <c r="AD4220" i="3"/>
  <c r="AC4220" i="3" s="1"/>
  <c r="AD4221" i="3"/>
  <c r="AC4221" i="3" s="1"/>
  <c r="AD4222" i="3"/>
  <c r="AC4222" i="3" s="1"/>
  <c r="AD4223" i="3"/>
  <c r="AC4223" i="3" s="1"/>
  <c r="AD4224" i="3"/>
  <c r="AC4224" i="3" s="1"/>
  <c r="AD4225" i="3"/>
  <c r="AC4225" i="3" s="1"/>
  <c r="AD4226" i="3"/>
  <c r="AC4226" i="3" s="1"/>
  <c r="AD4227" i="3"/>
  <c r="AC4227" i="3" s="1"/>
  <c r="AD4228" i="3"/>
  <c r="AC4228" i="3" s="1"/>
  <c r="AD4229" i="3"/>
  <c r="AC4229" i="3" s="1"/>
  <c r="AD4230" i="3"/>
  <c r="AC4230" i="3" s="1"/>
  <c r="AD4231" i="3"/>
  <c r="AC4231" i="3" s="1"/>
  <c r="AD4232" i="3"/>
  <c r="AC4232" i="3" s="1"/>
  <c r="AD4233" i="3"/>
  <c r="AC4233" i="3" s="1"/>
  <c r="AD4234" i="3"/>
  <c r="AC4234" i="3" s="1"/>
  <c r="AD4235" i="3"/>
  <c r="AC4235" i="3" s="1"/>
  <c r="AD4236" i="3"/>
  <c r="AC4236" i="3" s="1"/>
  <c r="AD4237" i="3"/>
  <c r="AC4237" i="3" s="1"/>
  <c r="AD4238" i="3"/>
  <c r="AC4238" i="3" s="1"/>
  <c r="AD4239" i="3"/>
  <c r="AC4239" i="3" s="1"/>
  <c r="AD4240" i="3"/>
  <c r="AC4240" i="3" s="1"/>
  <c r="AD4241" i="3"/>
  <c r="AC4241" i="3" s="1"/>
  <c r="AD4242" i="3"/>
  <c r="AC4242" i="3" s="1"/>
  <c r="AD4243" i="3"/>
  <c r="AC4243" i="3" s="1"/>
  <c r="AD4244" i="3"/>
  <c r="AC4244" i="3" s="1"/>
  <c r="AD4245" i="3"/>
  <c r="AC4245" i="3" s="1"/>
  <c r="AD4246" i="3"/>
  <c r="AC4246" i="3" s="1"/>
  <c r="AD4247" i="3"/>
  <c r="AC4247" i="3" s="1"/>
  <c r="AD4248" i="3"/>
  <c r="AC4248" i="3" s="1"/>
  <c r="AD4249" i="3"/>
  <c r="AC4249" i="3" s="1"/>
  <c r="AD4250" i="3"/>
  <c r="AC4250" i="3" s="1"/>
  <c r="AD4251" i="3"/>
  <c r="AC4251" i="3" s="1"/>
  <c r="AD4252" i="3"/>
  <c r="AC4252" i="3" s="1"/>
  <c r="AD4253" i="3"/>
  <c r="AC4253" i="3" s="1"/>
  <c r="AD4254" i="3"/>
  <c r="AC4254" i="3" s="1"/>
  <c r="AD4255" i="3"/>
  <c r="AC4255" i="3" s="1"/>
  <c r="AD4256" i="3"/>
  <c r="AC4256" i="3" s="1"/>
  <c r="AD4257" i="3"/>
  <c r="AC4257" i="3" s="1"/>
  <c r="AD4258" i="3"/>
  <c r="AC4258" i="3" s="1"/>
  <c r="AD4259" i="3"/>
  <c r="AC4259" i="3" s="1"/>
  <c r="AD4260" i="3"/>
  <c r="AC4260" i="3" s="1"/>
  <c r="AD4261" i="3"/>
  <c r="AC4261" i="3" s="1"/>
  <c r="AD4262" i="3"/>
  <c r="AC4262" i="3" s="1"/>
  <c r="AD4263" i="3"/>
  <c r="AC4263" i="3" s="1"/>
  <c r="AD4264" i="3"/>
  <c r="AC4264" i="3" s="1"/>
  <c r="AD4265" i="3"/>
  <c r="AC4265" i="3" s="1"/>
  <c r="AD4266" i="3"/>
  <c r="AC4266" i="3" s="1"/>
  <c r="AD4267" i="3"/>
  <c r="AC4267" i="3" s="1"/>
  <c r="AD4268" i="3"/>
  <c r="AC4268" i="3" s="1"/>
  <c r="AD4269" i="3"/>
  <c r="AC4269" i="3" s="1"/>
  <c r="AD4270" i="3"/>
  <c r="AC4270" i="3" s="1"/>
  <c r="AD4271" i="3"/>
  <c r="AC4271" i="3" s="1"/>
  <c r="AD4272" i="3"/>
  <c r="AC4272" i="3" s="1"/>
  <c r="AD4273" i="3"/>
  <c r="AC4273" i="3" s="1"/>
  <c r="AD4274" i="3"/>
  <c r="AC4274" i="3" s="1"/>
  <c r="AD4275" i="3"/>
  <c r="AC4275" i="3" s="1"/>
  <c r="AD4276" i="3"/>
  <c r="AC4276" i="3" s="1"/>
  <c r="AD4277" i="3"/>
  <c r="AC4277" i="3" s="1"/>
  <c r="AD4278" i="3"/>
  <c r="AC4278" i="3" s="1"/>
  <c r="AD4279" i="3"/>
  <c r="AC4279" i="3" s="1"/>
  <c r="AD4280" i="3"/>
  <c r="AC4280" i="3" s="1"/>
  <c r="AD4281" i="3"/>
  <c r="AC4281" i="3" s="1"/>
  <c r="AD4282" i="3"/>
  <c r="AC4282" i="3" s="1"/>
  <c r="AD4283" i="3"/>
  <c r="AC4283" i="3" s="1"/>
  <c r="AD4284" i="3"/>
  <c r="AC4284" i="3" s="1"/>
  <c r="AD4285" i="3"/>
  <c r="AC4285" i="3" s="1"/>
  <c r="AD4286" i="3"/>
  <c r="AC4286" i="3" s="1"/>
  <c r="AD4287" i="3"/>
  <c r="AC4287" i="3" s="1"/>
  <c r="AD4288" i="3"/>
  <c r="AC4288" i="3" s="1"/>
  <c r="AD4289" i="3"/>
  <c r="AC4289" i="3" s="1"/>
  <c r="AD4290" i="3"/>
  <c r="AC4290" i="3" s="1"/>
  <c r="AD4291" i="3"/>
  <c r="AC4291" i="3" s="1"/>
  <c r="AD4292" i="3"/>
  <c r="AC4292" i="3" s="1"/>
  <c r="AD4293" i="3"/>
  <c r="AC4293" i="3" s="1"/>
  <c r="AD4294" i="3"/>
  <c r="AC4294" i="3" s="1"/>
  <c r="AD4295" i="3"/>
  <c r="AC4295" i="3" s="1"/>
  <c r="AD4296" i="3"/>
  <c r="AC4296" i="3" s="1"/>
  <c r="AD4297" i="3"/>
  <c r="AC4297" i="3" s="1"/>
  <c r="AD4298" i="3"/>
  <c r="AC4298" i="3" s="1"/>
  <c r="AD4299" i="3"/>
  <c r="AC4299" i="3" s="1"/>
  <c r="AD4300" i="3"/>
  <c r="AC4300" i="3" s="1"/>
  <c r="AD4301" i="3"/>
  <c r="AC4301" i="3" s="1"/>
  <c r="AD4302" i="3"/>
  <c r="AC4302" i="3" s="1"/>
  <c r="AD4303" i="3"/>
  <c r="AC4303" i="3" s="1"/>
  <c r="AD4304" i="3"/>
  <c r="AC4304" i="3" s="1"/>
  <c r="AD4305" i="3"/>
  <c r="AC4305" i="3" s="1"/>
  <c r="AD4306" i="3"/>
  <c r="AC4306" i="3" s="1"/>
  <c r="AD4307" i="3"/>
  <c r="AC4307" i="3" s="1"/>
  <c r="AD4308" i="3"/>
  <c r="AC4308" i="3" s="1"/>
  <c r="AD4309" i="3"/>
  <c r="AC4309" i="3" s="1"/>
  <c r="AD4310" i="3"/>
  <c r="AC4310" i="3" s="1"/>
  <c r="AD4311" i="3"/>
  <c r="AC4311" i="3" s="1"/>
  <c r="AD4312" i="3"/>
  <c r="AC4312" i="3" s="1"/>
  <c r="AD4313" i="3"/>
  <c r="AC4313" i="3" s="1"/>
  <c r="AD4314" i="3"/>
  <c r="AC4314" i="3" s="1"/>
  <c r="AD4315" i="3"/>
  <c r="AC4315" i="3" s="1"/>
  <c r="AD4316" i="3"/>
  <c r="AC4316" i="3" s="1"/>
  <c r="AD4317" i="3"/>
  <c r="AC4317" i="3" s="1"/>
  <c r="AD4318" i="3"/>
  <c r="AC4318" i="3" s="1"/>
  <c r="AD4319" i="3"/>
  <c r="AC4319" i="3" s="1"/>
  <c r="AD4320" i="3"/>
  <c r="AC4320" i="3" s="1"/>
  <c r="AD4321" i="3"/>
  <c r="AC4321" i="3" s="1"/>
  <c r="AD4322" i="3"/>
  <c r="AC4322" i="3" s="1"/>
  <c r="AD4323" i="3"/>
  <c r="AC4323" i="3" s="1"/>
  <c r="AD4324" i="3"/>
  <c r="AC4324" i="3" s="1"/>
  <c r="AD4325" i="3"/>
  <c r="AC4325" i="3" s="1"/>
  <c r="AD4326" i="3"/>
  <c r="AC4326" i="3" s="1"/>
  <c r="AD4327" i="3"/>
  <c r="AC4327" i="3" s="1"/>
  <c r="AD4328" i="3"/>
  <c r="AC4328" i="3" s="1"/>
  <c r="AD4329" i="3"/>
  <c r="AC4329" i="3" s="1"/>
  <c r="AD4330" i="3"/>
  <c r="AC4330" i="3" s="1"/>
  <c r="AD4331" i="3"/>
  <c r="AC4331" i="3" s="1"/>
  <c r="AD4332" i="3"/>
  <c r="AC4332" i="3" s="1"/>
  <c r="AD4333" i="3"/>
  <c r="AC4333" i="3" s="1"/>
  <c r="AD4334" i="3"/>
  <c r="AC4334" i="3" s="1"/>
  <c r="AD4335" i="3"/>
  <c r="AC4335" i="3" s="1"/>
  <c r="AD4336" i="3"/>
  <c r="AC4336" i="3" s="1"/>
  <c r="AD4337" i="3"/>
  <c r="AC4337" i="3" s="1"/>
  <c r="AD4338" i="3"/>
  <c r="AC4338" i="3" s="1"/>
  <c r="AD4339" i="3"/>
  <c r="AC4339" i="3" s="1"/>
  <c r="AD4340" i="3"/>
  <c r="AC4340" i="3" s="1"/>
  <c r="AD4341" i="3"/>
  <c r="AC4341" i="3" s="1"/>
  <c r="AD4342" i="3"/>
  <c r="AC4342" i="3" s="1"/>
  <c r="AD4343" i="3"/>
  <c r="AC4343" i="3" s="1"/>
  <c r="AD4344" i="3"/>
  <c r="AC4344" i="3" s="1"/>
  <c r="AD4345" i="3"/>
  <c r="AC4345" i="3" s="1"/>
  <c r="AD4346" i="3"/>
  <c r="AC4346" i="3" s="1"/>
  <c r="AD4347" i="3"/>
  <c r="AC4347" i="3" s="1"/>
  <c r="AD4348" i="3"/>
  <c r="AC4348" i="3" s="1"/>
  <c r="AD4349" i="3"/>
  <c r="AC4349" i="3" s="1"/>
  <c r="AD4350" i="3"/>
  <c r="AC4350" i="3" s="1"/>
  <c r="AD4351" i="3"/>
  <c r="AC4351" i="3" s="1"/>
  <c r="AD4352" i="3"/>
  <c r="AC4352" i="3" s="1"/>
  <c r="AD4353" i="3"/>
  <c r="AC4353" i="3" s="1"/>
  <c r="AD4354" i="3"/>
  <c r="AC4354" i="3" s="1"/>
  <c r="AD4355" i="3"/>
  <c r="AC4355" i="3" s="1"/>
  <c r="AD4356" i="3"/>
  <c r="AC4356" i="3" s="1"/>
  <c r="AD4357" i="3"/>
  <c r="AC4357" i="3" s="1"/>
  <c r="AD4358" i="3"/>
  <c r="AC4358" i="3" s="1"/>
  <c r="AD4359" i="3"/>
  <c r="AC4359" i="3" s="1"/>
  <c r="AD4360" i="3"/>
  <c r="AC4360" i="3" s="1"/>
  <c r="AD4361" i="3"/>
  <c r="AC4361" i="3" s="1"/>
  <c r="AD4362" i="3"/>
  <c r="AC4362" i="3" s="1"/>
  <c r="AD4363" i="3"/>
  <c r="AC4363" i="3" s="1"/>
  <c r="AD4364" i="3"/>
  <c r="AC4364" i="3" s="1"/>
  <c r="AD4365" i="3"/>
  <c r="AC4365" i="3" s="1"/>
  <c r="AD4366" i="3"/>
  <c r="AC4366" i="3" s="1"/>
  <c r="AD4367" i="3"/>
  <c r="AC4367" i="3" s="1"/>
  <c r="AD4368" i="3"/>
  <c r="AC4368" i="3" s="1"/>
  <c r="AD4369" i="3"/>
  <c r="AC4369" i="3" s="1"/>
  <c r="AD4370" i="3"/>
  <c r="AC4370" i="3" s="1"/>
  <c r="AD4371" i="3"/>
  <c r="AC4371" i="3" s="1"/>
  <c r="AD4372" i="3"/>
  <c r="AC4372" i="3" s="1"/>
  <c r="AD4373" i="3"/>
  <c r="AC4373" i="3" s="1"/>
  <c r="AD4374" i="3"/>
  <c r="AC4374" i="3" s="1"/>
  <c r="AD4375" i="3"/>
  <c r="AC4375" i="3" s="1"/>
  <c r="AD4376" i="3"/>
  <c r="AC4376" i="3" s="1"/>
  <c r="AD4377" i="3"/>
  <c r="AC4377" i="3" s="1"/>
  <c r="AD4378" i="3"/>
  <c r="AC4378" i="3" s="1"/>
  <c r="AD4379" i="3"/>
  <c r="AC4379" i="3" s="1"/>
  <c r="AD4380" i="3"/>
  <c r="AC4380" i="3" s="1"/>
  <c r="AD4381" i="3"/>
  <c r="AC4381" i="3" s="1"/>
  <c r="AD4382" i="3"/>
  <c r="AC4382" i="3" s="1"/>
  <c r="AD4383" i="3"/>
  <c r="AC4383" i="3" s="1"/>
  <c r="AD4384" i="3"/>
  <c r="AC4384" i="3" s="1"/>
  <c r="AD4385" i="3"/>
  <c r="AC4385" i="3" s="1"/>
  <c r="AD4386" i="3"/>
  <c r="AC4386" i="3" s="1"/>
  <c r="AD4387" i="3"/>
  <c r="AC4387" i="3" s="1"/>
  <c r="AD4388" i="3"/>
  <c r="AC4388" i="3" s="1"/>
  <c r="AD4389" i="3"/>
  <c r="AC4389" i="3" s="1"/>
  <c r="AD4390" i="3"/>
  <c r="AC4390" i="3" s="1"/>
  <c r="AD4391" i="3"/>
  <c r="AC4391" i="3" s="1"/>
  <c r="AD4392" i="3"/>
  <c r="AC4392" i="3" s="1"/>
  <c r="AD4393" i="3"/>
  <c r="AC4393" i="3" s="1"/>
  <c r="AD4394" i="3"/>
  <c r="AC4394" i="3" s="1"/>
  <c r="AD4395" i="3"/>
  <c r="AC4395" i="3" s="1"/>
  <c r="AD4396" i="3"/>
  <c r="AC4396" i="3" s="1"/>
  <c r="AD4397" i="3"/>
  <c r="AC4397" i="3" s="1"/>
  <c r="AD4398" i="3"/>
  <c r="AC4398" i="3" s="1"/>
  <c r="AD4399" i="3"/>
  <c r="AC4399" i="3" s="1"/>
  <c r="AD4400" i="3"/>
  <c r="AC4400" i="3" s="1"/>
  <c r="AD4401" i="3"/>
  <c r="AC4401" i="3" s="1"/>
  <c r="AD4402" i="3"/>
  <c r="AC4402" i="3" s="1"/>
  <c r="AD4403" i="3"/>
  <c r="AC4403" i="3" s="1"/>
  <c r="AD4404" i="3"/>
  <c r="AC4404" i="3" s="1"/>
  <c r="AD4405" i="3"/>
  <c r="AC4405" i="3" s="1"/>
  <c r="AD4406" i="3"/>
  <c r="AC4406" i="3" s="1"/>
  <c r="AD4407" i="3"/>
  <c r="AC4407" i="3" s="1"/>
  <c r="AD4408" i="3"/>
  <c r="AC4408" i="3" s="1"/>
  <c r="AD4409" i="3"/>
  <c r="AC4409" i="3" s="1"/>
  <c r="AD4410" i="3"/>
  <c r="AC4410" i="3" s="1"/>
  <c r="AD4411" i="3"/>
  <c r="AC4411" i="3" s="1"/>
  <c r="AD4412" i="3"/>
  <c r="AC4412" i="3" s="1"/>
  <c r="AD4413" i="3"/>
  <c r="AC4413" i="3" s="1"/>
  <c r="AD4414" i="3"/>
  <c r="AC4414" i="3" s="1"/>
  <c r="AD4415" i="3"/>
  <c r="AC4415" i="3" s="1"/>
  <c r="AD4416" i="3"/>
  <c r="AC4416" i="3" s="1"/>
  <c r="AD4417" i="3"/>
  <c r="AC4417" i="3" s="1"/>
  <c r="AD4418" i="3"/>
  <c r="AC4418" i="3" s="1"/>
  <c r="AD4419" i="3"/>
  <c r="AC4419" i="3" s="1"/>
  <c r="AD4420" i="3"/>
  <c r="AC4420" i="3" s="1"/>
  <c r="AD4421" i="3"/>
  <c r="AC4421" i="3" s="1"/>
  <c r="AD4422" i="3"/>
  <c r="AC4422" i="3" s="1"/>
  <c r="AD4423" i="3"/>
  <c r="AC4423" i="3" s="1"/>
  <c r="AD4424" i="3"/>
  <c r="AC4424" i="3" s="1"/>
  <c r="AD4425" i="3"/>
  <c r="AC4425" i="3" s="1"/>
  <c r="AD4426" i="3"/>
  <c r="AC4426" i="3" s="1"/>
  <c r="AD4427" i="3"/>
  <c r="AC4427" i="3" s="1"/>
  <c r="AD4428" i="3"/>
  <c r="AC4428" i="3" s="1"/>
  <c r="AD4429" i="3"/>
  <c r="AC4429" i="3" s="1"/>
  <c r="AD4430" i="3"/>
  <c r="AC4430" i="3" s="1"/>
  <c r="AD4431" i="3"/>
  <c r="AC4431" i="3" s="1"/>
  <c r="AD4432" i="3"/>
  <c r="AC4432" i="3" s="1"/>
  <c r="AD4433" i="3"/>
  <c r="AC4433" i="3" s="1"/>
  <c r="AD4434" i="3"/>
  <c r="AC4434" i="3" s="1"/>
  <c r="AD4435" i="3"/>
  <c r="AC4435" i="3" s="1"/>
  <c r="AD4436" i="3"/>
  <c r="AC4436" i="3" s="1"/>
  <c r="AD4437" i="3"/>
  <c r="AC4437" i="3" s="1"/>
  <c r="AD4438" i="3"/>
  <c r="AC4438" i="3" s="1"/>
  <c r="AD4439" i="3"/>
  <c r="AC4439" i="3" s="1"/>
  <c r="AD4440" i="3"/>
  <c r="AC4440" i="3" s="1"/>
  <c r="AD4441" i="3"/>
  <c r="AC4441" i="3" s="1"/>
  <c r="AD4442" i="3"/>
  <c r="AC4442" i="3" s="1"/>
  <c r="AD4443" i="3"/>
  <c r="AC4443" i="3" s="1"/>
  <c r="AD4444" i="3"/>
  <c r="AC4444" i="3" s="1"/>
  <c r="AD4445" i="3"/>
  <c r="AC4445" i="3" s="1"/>
  <c r="AD4446" i="3"/>
  <c r="AC4446" i="3" s="1"/>
  <c r="AD4447" i="3"/>
  <c r="AC4447" i="3" s="1"/>
  <c r="AD4448" i="3"/>
  <c r="AC4448" i="3" s="1"/>
  <c r="AD4449" i="3"/>
  <c r="AC4449" i="3" s="1"/>
  <c r="AD4450" i="3"/>
  <c r="AC4450" i="3" s="1"/>
  <c r="AD4451" i="3"/>
  <c r="AC4451" i="3" s="1"/>
  <c r="AD4452" i="3"/>
  <c r="AC4452" i="3" s="1"/>
  <c r="AD4453" i="3"/>
  <c r="AC4453" i="3" s="1"/>
  <c r="AD4454" i="3"/>
  <c r="AC4454" i="3" s="1"/>
  <c r="AD4455" i="3"/>
  <c r="AC4455" i="3" s="1"/>
  <c r="AD4456" i="3"/>
  <c r="AC4456" i="3" s="1"/>
  <c r="AD4457" i="3"/>
  <c r="AC4457" i="3" s="1"/>
  <c r="AD4458" i="3"/>
  <c r="AC4458" i="3" s="1"/>
  <c r="AD4459" i="3"/>
  <c r="AC4459" i="3" s="1"/>
  <c r="AD4460" i="3"/>
  <c r="AC4460" i="3" s="1"/>
  <c r="AD4461" i="3"/>
  <c r="AC4461" i="3" s="1"/>
  <c r="AD4462" i="3"/>
  <c r="AC4462" i="3" s="1"/>
  <c r="AD4463" i="3"/>
  <c r="AC4463" i="3" s="1"/>
  <c r="AD4464" i="3"/>
  <c r="AC4464" i="3" s="1"/>
  <c r="AD4465" i="3"/>
  <c r="AC4465" i="3" s="1"/>
  <c r="AD4466" i="3"/>
  <c r="AC4466" i="3" s="1"/>
  <c r="AD4467" i="3"/>
  <c r="AC4467" i="3" s="1"/>
  <c r="AD4468" i="3"/>
  <c r="AC4468" i="3" s="1"/>
  <c r="AD4469" i="3"/>
  <c r="AC4469" i="3" s="1"/>
  <c r="AD4470" i="3"/>
  <c r="AC4470" i="3" s="1"/>
  <c r="AD4471" i="3"/>
  <c r="AC4471" i="3" s="1"/>
  <c r="AD4472" i="3"/>
  <c r="AC4472" i="3" s="1"/>
  <c r="AD4473" i="3"/>
  <c r="AC4473" i="3" s="1"/>
  <c r="AD4474" i="3"/>
  <c r="AC4474" i="3" s="1"/>
  <c r="AD4475" i="3"/>
  <c r="AC4475" i="3" s="1"/>
  <c r="AD4476" i="3"/>
  <c r="AC4476" i="3" s="1"/>
  <c r="AD4477" i="3"/>
  <c r="AC4477" i="3" s="1"/>
  <c r="AD4478" i="3"/>
  <c r="AC4478" i="3" s="1"/>
  <c r="AD4479" i="3"/>
  <c r="AC4479" i="3" s="1"/>
  <c r="AD4480" i="3"/>
  <c r="AC4480" i="3" s="1"/>
  <c r="AD4481" i="3"/>
  <c r="AC4481" i="3" s="1"/>
  <c r="AD4482" i="3"/>
  <c r="AC4482" i="3" s="1"/>
  <c r="AD4483" i="3"/>
  <c r="AC4483" i="3" s="1"/>
  <c r="AD4484" i="3"/>
  <c r="AC4484" i="3" s="1"/>
  <c r="AD4485" i="3"/>
  <c r="AC4485" i="3" s="1"/>
  <c r="AD4486" i="3"/>
  <c r="AC4486" i="3" s="1"/>
  <c r="AD4487" i="3"/>
  <c r="AC4487" i="3" s="1"/>
  <c r="AD4488" i="3"/>
  <c r="AC4488" i="3" s="1"/>
  <c r="AD4489" i="3"/>
  <c r="AC4489" i="3" s="1"/>
  <c r="AD4490" i="3"/>
  <c r="AC4490" i="3" s="1"/>
  <c r="AD4491" i="3"/>
  <c r="AC4491" i="3" s="1"/>
  <c r="AD4492" i="3"/>
  <c r="AC4492" i="3" s="1"/>
  <c r="AD4493" i="3"/>
  <c r="AC4493" i="3" s="1"/>
  <c r="AD4494" i="3"/>
  <c r="AC4494" i="3" s="1"/>
  <c r="AD4495" i="3"/>
  <c r="AC4495" i="3" s="1"/>
  <c r="AD4496" i="3"/>
  <c r="AC4496" i="3" s="1"/>
  <c r="AD4497" i="3"/>
  <c r="AC4497" i="3" s="1"/>
  <c r="AD4498" i="3"/>
  <c r="AC4498" i="3" s="1"/>
  <c r="AD4499" i="3"/>
  <c r="AC4499" i="3" s="1"/>
  <c r="AD4500" i="3"/>
  <c r="AC4500" i="3" s="1"/>
  <c r="AD4501" i="3"/>
  <c r="AC4501" i="3" s="1"/>
  <c r="AD4502" i="3"/>
  <c r="AC4502" i="3" s="1"/>
  <c r="AD4503" i="3"/>
  <c r="AC4503" i="3" s="1"/>
  <c r="AD4504" i="3"/>
  <c r="AC4504" i="3" s="1"/>
  <c r="AD4505" i="3"/>
  <c r="AC4505" i="3" s="1"/>
  <c r="AD4506" i="3"/>
  <c r="AC4506" i="3" s="1"/>
  <c r="AD4507" i="3"/>
  <c r="AC4507" i="3" s="1"/>
  <c r="AD4508" i="3"/>
  <c r="AC4508" i="3" s="1"/>
  <c r="AD4509" i="3"/>
  <c r="AC4509" i="3" s="1"/>
  <c r="AD4510" i="3"/>
  <c r="AC4510" i="3" s="1"/>
  <c r="AD4511" i="3"/>
  <c r="AC4511" i="3" s="1"/>
  <c r="AD4512" i="3"/>
  <c r="AC4512" i="3" s="1"/>
  <c r="AD4513" i="3"/>
  <c r="AC4513" i="3" s="1"/>
  <c r="AD4514" i="3"/>
  <c r="AC4514" i="3" s="1"/>
  <c r="AD4515" i="3"/>
  <c r="AC4515" i="3" s="1"/>
  <c r="AD4516" i="3"/>
  <c r="AC4516" i="3" s="1"/>
  <c r="AD4517" i="3"/>
  <c r="AC4517" i="3" s="1"/>
  <c r="AD4518" i="3"/>
  <c r="AC4518" i="3" s="1"/>
  <c r="AD4519" i="3"/>
  <c r="AC4519" i="3" s="1"/>
  <c r="AD4520" i="3"/>
  <c r="AC4520" i="3" s="1"/>
  <c r="AD4521" i="3"/>
  <c r="AC4521" i="3" s="1"/>
  <c r="AD4522" i="3"/>
  <c r="AC4522" i="3" s="1"/>
  <c r="AD4523" i="3"/>
  <c r="AC4523" i="3" s="1"/>
  <c r="AD4524" i="3"/>
  <c r="AC4524" i="3" s="1"/>
  <c r="AD4525" i="3"/>
  <c r="AC4525" i="3" s="1"/>
  <c r="AD4526" i="3"/>
  <c r="AC4526" i="3" s="1"/>
  <c r="AD4527" i="3"/>
  <c r="AC4527" i="3" s="1"/>
  <c r="AD4528" i="3"/>
  <c r="AC4528" i="3" s="1"/>
  <c r="AD4529" i="3"/>
  <c r="AC4529" i="3" s="1"/>
  <c r="AD4530" i="3"/>
  <c r="AC4530" i="3" s="1"/>
  <c r="AD4531" i="3"/>
  <c r="AC4531" i="3" s="1"/>
  <c r="AD4532" i="3"/>
  <c r="AC4532" i="3" s="1"/>
  <c r="AD4533" i="3"/>
  <c r="AC4533" i="3" s="1"/>
  <c r="AD4534" i="3"/>
  <c r="AC4534" i="3" s="1"/>
  <c r="AD4535" i="3"/>
  <c r="AC4535" i="3" s="1"/>
  <c r="AD4536" i="3"/>
  <c r="AC4536" i="3" s="1"/>
  <c r="AD4537" i="3"/>
  <c r="AC4537" i="3" s="1"/>
  <c r="AD4538" i="3"/>
  <c r="AC4538" i="3" s="1"/>
  <c r="AD4539" i="3"/>
  <c r="AC4539" i="3" s="1"/>
  <c r="AD4540" i="3"/>
  <c r="AC4540" i="3" s="1"/>
  <c r="AD4541" i="3"/>
  <c r="AC4541" i="3" s="1"/>
  <c r="AD4542" i="3"/>
  <c r="AC4542" i="3" s="1"/>
  <c r="AD4543" i="3"/>
  <c r="AC4543" i="3" s="1"/>
  <c r="AD4544" i="3"/>
  <c r="AC4544" i="3" s="1"/>
  <c r="AD4545" i="3"/>
  <c r="AC4545" i="3" s="1"/>
  <c r="AD4546" i="3"/>
  <c r="AC4546" i="3" s="1"/>
  <c r="AD4547" i="3"/>
  <c r="AC4547" i="3" s="1"/>
  <c r="AD4548" i="3"/>
  <c r="AC4548" i="3" s="1"/>
  <c r="AD4549" i="3"/>
  <c r="AC4549" i="3" s="1"/>
  <c r="AD4550" i="3"/>
  <c r="AC4550" i="3" s="1"/>
  <c r="AD4551" i="3"/>
  <c r="AC4551" i="3" s="1"/>
  <c r="AD4552" i="3"/>
  <c r="AC4552" i="3" s="1"/>
  <c r="AD4553" i="3"/>
  <c r="AC4553" i="3" s="1"/>
  <c r="AD4554" i="3"/>
  <c r="AC4554" i="3" s="1"/>
  <c r="AD4555" i="3"/>
  <c r="AC4555" i="3" s="1"/>
  <c r="AD4556" i="3"/>
  <c r="AC4556" i="3" s="1"/>
  <c r="AD4557" i="3"/>
  <c r="AC4557" i="3" s="1"/>
  <c r="AD4558" i="3"/>
  <c r="AC4558" i="3" s="1"/>
  <c r="AD4559" i="3"/>
  <c r="AC4559" i="3" s="1"/>
  <c r="AD4560" i="3"/>
  <c r="AC4560" i="3" s="1"/>
  <c r="AD4561" i="3"/>
  <c r="AC4561" i="3" s="1"/>
  <c r="AD4562" i="3"/>
  <c r="AC4562" i="3" s="1"/>
  <c r="AD4563" i="3"/>
  <c r="AC4563" i="3" s="1"/>
  <c r="AD4564" i="3"/>
  <c r="AC4564" i="3" s="1"/>
  <c r="AD4565" i="3"/>
  <c r="AC4565" i="3" s="1"/>
  <c r="AD4566" i="3"/>
  <c r="AC4566" i="3" s="1"/>
  <c r="AD4567" i="3"/>
  <c r="AC4567" i="3" s="1"/>
  <c r="AD4568" i="3"/>
  <c r="AC4568" i="3" s="1"/>
  <c r="AD4569" i="3"/>
  <c r="AC4569" i="3" s="1"/>
  <c r="AD4570" i="3"/>
  <c r="AC4570" i="3" s="1"/>
  <c r="AD4571" i="3"/>
  <c r="AC4571" i="3" s="1"/>
  <c r="AD4572" i="3"/>
  <c r="AC4572" i="3" s="1"/>
  <c r="AD4573" i="3"/>
  <c r="AC4573" i="3" s="1"/>
  <c r="AD4574" i="3"/>
  <c r="AC4574" i="3" s="1"/>
  <c r="AD4575" i="3"/>
  <c r="AC4575" i="3" s="1"/>
  <c r="AD4576" i="3"/>
  <c r="AC4576" i="3" s="1"/>
  <c r="AD4577" i="3"/>
  <c r="AC4577" i="3" s="1"/>
  <c r="AD4578" i="3"/>
  <c r="AC4578" i="3" s="1"/>
  <c r="AD4579" i="3"/>
  <c r="AC4579" i="3" s="1"/>
  <c r="AD4580" i="3"/>
  <c r="AC4580" i="3" s="1"/>
  <c r="AD4581" i="3"/>
  <c r="AC4581" i="3" s="1"/>
  <c r="AD4582" i="3"/>
  <c r="AC4582" i="3" s="1"/>
  <c r="AD4583" i="3"/>
  <c r="AC4583" i="3" s="1"/>
  <c r="AD4584" i="3"/>
  <c r="AC4584" i="3" s="1"/>
  <c r="AD4585" i="3"/>
  <c r="AC4585" i="3" s="1"/>
  <c r="AD4586" i="3"/>
  <c r="AC4586" i="3" s="1"/>
  <c r="AD4587" i="3"/>
  <c r="AC4587" i="3" s="1"/>
  <c r="AD4588" i="3"/>
  <c r="AC4588" i="3" s="1"/>
  <c r="AD4589" i="3"/>
  <c r="AC4589" i="3" s="1"/>
  <c r="AD4590" i="3"/>
  <c r="AC4590" i="3" s="1"/>
  <c r="AD4591" i="3"/>
  <c r="AC4591" i="3" s="1"/>
  <c r="AD4592" i="3"/>
  <c r="AC4592" i="3" s="1"/>
  <c r="AD4593" i="3"/>
  <c r="AC4593" i="3" s="1"/>
  <c r="AD4594" i="3"/>
  <c r="AC4594" i="3" s="1"/>
  <c r="AD4595" i="3"/>
  <c r="AC4595" i="3" s="1"/>
  <c r="AD4596" i="3"/>
  <c r="AC4596" i="3" s="1"/>
  <c r="AD4597" i="3"/>
  <c r="AC4597" i="3" s="1"/>
  <c r="AD4598" i="3"/>
  <c r="AC4598" i="3" s="1"/>
  <c r="AD4599" i="3"/>
  <c r="AC4599" i="3" s="1"/>
  <c r="AD4600" i="3"/>
  <c r="AC4600" i="3" s="1"/>
  <c r="AD4601" i="3"/>
  <c r="AC4601" i="3" s="1"/>
  <c r="AD4602" i="3"/>
  <c r="AC4602" i="3" s="1"/>
  <c r="AD4603" i="3"/>
  <c r="AC4603" i="3" s="1"/>
  <c r="AD4604" i="3"/>
  <c r="AC4604" i="3" s="1"/>
  <c r="AD4605" i="3"/>
  <c r="AC4605" i="3" s="1"/>
  <c r="AD4606" i="3"/>
  <c r="AC4606" i="3" s="1"/>
  <c r="AD4607" i="3"/>
  <c r="AC4607" i="3" s="1"/>
  <c r="AD4608" i="3"/>
  <c r="AC4608" i="3" s="1"/>
  <c r="AD4609" i="3"/>
  <c r="AC4609" i="3" s="1"/>
  <c r="AD4610" i="3"/>
  <c r="AC4610" i="3" s="1"/>
  <c r="AD4611" i="3"/>
  <c r="AC4611" i="3" s="1"/>
  <c r="AD4612" i="3"/>
  <c r="AC4612" i="3" s="1"/>
  <c r="AD4613" i="3"/>
  <c r="AC4613" i="3" s="1"/>
  <c r="AD4614" i="3"/>
  <c r="AC4614" i="3" s="1"/>
  <c r="AD4615" i="3"/>
  <c r="AC4615" i="3" s="1"/>
  <c r="AD4616" i="3"/>
  <c r="AC4616" i="3" s="1"/>
  <c r="AD4617" i="3"/>
  <c r="AC4617" i="3" s="1"/>
  <c r="AD4618" i="3"/>
  <c r="AC4618" i="3" s="1"/>
  <c r="AD4619" i="3"/>
  <c r="AC4619" i="3" s="1"/>
  <c r="AD4620" i="3"/>
  <c r="AC4620" i="3" s="1"/>
  <c r="AD4621" i="3"/>
  <c r="AC4621" i="3" s="1"/>
  <c r="AD4622" i="3"/>
  <c r="AC4622" i="3" s="1"/>
  <c r="AD4623" i="3"/>
  <c r="AC4623" i="3" s="1"/>
  <c r="AD4624" i="3"/>
  <c r="AC4624" i="3" s="1"/>
  <c r="AD4625" i="3"/>
  <c r="AC4625" i="3" s="1"/>
  <c r="AD4626" i="3"/>
  <c r="AC4626" i="3" s="1"/>
  <c r="AD4627" i="3"/>
  <c r="AC4627" i="3" s="1"/>
  <c r="AD4628" i="3"/>
  <c r="AC4628" i="3" s="1"/>
  <c r="AD4629" i="3"/>
  <c r="AC4629" i="3" s="1"/>
  <c r="AD4630" i="3"/>
  <c r="AC4630" i="3" s="1"/>
  <c r="AD4631" i="3"/>
  <c r="AC4631" i="3" s="1"/>
  <c r="AD4632" i="3"/>
  <c r="AC4632" i="3" s="1"/>
  <c r="AD4633" i="3"/>
  <c r="AC4633" i="3" s="1"/>
  <c r="AD4634" i="3"/>
  <c r="AC4634" i="3" s="1"/>
  <c r="AD4635" i="3"/>
  <c r="AC4635" i="3" s="1"/>
  <c r="AD4636" i="3"/>
  <c r="AC4636" i="3" s="1"/>
  <c r="AD4637" i="3"/>
  <c r="AC4637" i="3" s="1"/>
  <c r="AD4638" i="3"/>
  <c r="AC4638" i="3" s="1"/>
  <c r="AD4639" i="3"/>
  <c r="AC4639" i="3" s="1"/>
  <c r="AD4640" i="3"/>
  <c r="AC4640" i="3" s="1"/>
  <c r="AD4641" i="3"/>
  <c r="AC4641" i="3" s="1"/>
  <c r="AD4642" i="3"/>
  <c r="AC4642" i="3" s="1"/>
  <c r="AD4643" i="3"/>
  <c r="AC4643" i="3" s="1"/>
  <c r="AD4644" i="3"/>
  <c r="AC4644" i="3" s="1"/>
  <c r="AD4645" i="3"/>
  <c r="AC4645" i="3" s="1"/>
  <c r="AD4646" i="3"/>
  <c r="AC4646" i="3" s="1"/>
  <c r="AD4647" i="3"/>
  <c r="AC4647" i="3" s="1"/>
  <c r="AD4648" i="3"/>
  <c r="AC4648" i="3" s="1"/>
  <c r="AD4649" i="3"/>
  <c r="AC4649" i="3" s="1"/>
  <c r="AD4650" i="3"/>
  <c r="AC4650" i="3" s="1"/>
  <c r="AD4651" i="3"/>
  <c r="AC4651" i="3" s="1"/>
  <c r="AD4652" i="3"/>
  <c r="AC4652" i="3" s="1"/>
  <c r="AD4653" i="3"/>
  <c r="AC4653" i="3" s="1"/>
  <c r="AD4654" i="3"/>
  <c r="AC4654" i="3" s="1"/>
  <c r="AD4655" i="3"/>
  <c r="AC4655" i="3" s="1"/>
  <c r="AD4656" i="3"/>
  <c r="AC4656" i="3" s="1"/>
  <c r="AD4657" i="3"/>
  <c r="AC4657" i="3" s="1"/>
  <c r="AD4658" i="3"/>
  <c r="AC4658" i="3" s="1"/>
  <c r="AD4659" i="3"/>
  <c r="AC4659" i="3" s="1"/>
  <c r="AD4660" i="3"/>
  <c r="AC4660" i="3" s="1"/>
  <c r="AD4661" i="3"/>
  <c r="AC4661" i="3" s="1"/>
  <c r="AD4662" i="3"/>
  <c r="AC4662" i="3" s="1"/>
  <c r="AD4663" i="3"/>
  <c r="AC4663" i="3" s="1"/>
  <c r="AD4664" i="3"/>
  <c r="AC4664" i="3" s="1"/>
  <c r="AD4665" i="3"/>
  <c r="AC4665" i="3" s="1"/>
  <c r="AD4666" i="3"/>
  <c r="AC4666" i="3" s="1"/>
  <c r="AD4667" i="3"/>
  <c r="AC4667" i="3" s="1"/>
  <c r="AD4668" i="3"/>
  <c r="AC4668" i="3" s="1"/>
  <c r="AD4669" i="3"/>
  <c r="AC4669" i="3" s="1"/>
  <c r="AD4670" i="3"/>
  <c r="AC4670" i="3" s="1"/>
  <c r="AD4671" i="3"/>
  <c r="AC4671" i="3" s="1"/>
  <c r="AD4672" i="3"/>
  <c r="AC4672" i="3" s="1"/>
  <c r="AD4673" i="3"/>
  <c r="AC4673" i="3" s="1"/>
  <c r="AD4674" i="3"/>
  <c r="AC4674" i="3" s="1"/>
  <c r="AD4675" i="3"/>
  <c r="AC4675" i="3" s="1"/>
  <c r="AD4676" i="3"/>
  <c r="AC4676" i="3" s="1"/>
  <c r="AD4677" i="3"/>
  <c r="AC4677" i="3" s="1"/>
  <c r="AD4678" i="3"/>
  <c r="AC4678" i="3" s="1"/>
  <c r="AD4679" i="3"/>
  <c r="AC4679" i="3" s="1"/>
  <c r="AD4680" i="3"/>
  <c r="AC4680" i="3" s="1"/>
  <c r="AD4681" i="3"/>
  <c r="AC4681" i="3" s="1"/>
  <c r="AD4682" i="3"/>
  <c r="AC4682" i="3" s="1"/>
  <c r="AD4683" i="3"/>
  <c r="AC4683" i="3" s="1"/>
  <c r="AD4684" i="3"/>
  <c r="AC4684" i="3" s="1"/>
  <c r="AD4685" i="3"/>
  <c r="AC4685" i="3" s="1"/>
  <c r="AD4686" i="3"/>
  <c r="AC4686" i="3" s="1"/>
  <c r="AD4687" i="3"/>
  <c r="AC4687" i="3" s="1"/>
  <c r="AD4688" i="3"/>
  <c r="AC4688" i="3" s="1"/>
  <c r="AD4689" i="3"/>
  <c r="AC4689" i="3" s="1"/>
  <c r="AD4690" i="3"/>
  <c r="AC4690" i="3" s="1"/>
  <c r="AD4691" i="3"/>
  <c r="AC4691" i="3" s="1"/>
  <c r="AD4692" i="3"/>
  <c r="AC4692" i="3" s="1"/>
  <c r="AD4693" i="3"/>
  <c r="AC4693" i="3" s="1"/>
  <c r="AD4694" i="3"/>
  <c r="AC4694" i="3" s="1"/>
  <c r="AD4695" i="3"/>
  <c r="AC4695" i="3" s="1"/>
  <c r="AD4696" i="3"/>
  <c r="AC4696" i="3" s="1"/>
  <c r="AD4697" i="3"/>
  <c r="AC4697" i="3" s="1"/>
  <c r="AD4698" i="3"/>
  <c r="AC4698" i="3" s="1"/>
  <c r="AD4699" i="3"/>
  <c r="AC4699" i="3" s="1"/>
  <c r="AD4700" i="3"/>
  <c r="AC4700" i="3" s="1"/>
  <c r="AD4701" i="3"/>
  <c r="AC4701" i="3" s="1"/>
  <c r="AD4702" i="3"/>
  <c r="AC4702" i="3" s="1"/>
  <c r="AD4703" i="3"/>
  <c r="AC4703" i="3" s="1"/>
  <c r="AD4704" i="3"/>
  <c r="AC4704" i="3" s="1"/>
  <c r="AD4705" i="3"/>
  <c r="AC4705" i="3" s="1"/>
  <c r="AD4706" i="3"/>
  <c r="AC4706" i="3" s="1"/>
  <c r="AD4707" i="3"/>
  <c r="AC4707" i="3" s="1"/>
  <c r="AD4708" i="3"/>
  <c r="AC4708" i="3" s="1"/>
  <c r="AD4709" i="3"/>
  <c r="AC4709" i="3" s="1"/>
  <c r="AD4710" i="3"/>
  <c r="AC4710" i="3" s="1"/>
  <c r="AD4711" i="3"/>
  <c r="AC4711" i="3" s="1"/>
  <c r="AD4712" i="3"/>
  <c r="AC4712" i="3" s="1"/>
  <c r="AD4713" i="3"/>
  <c r="AC4713" i="3" s="1"/>
  <c r="AD4714" i="3"/>
  <c r="AC4714" i="3" s="1"/>
  <c r="AD4715" i="3"/>
  <c r="AC4715" i="3" s="1"/>
  <c r="AD4716" i="3"/>
  <c r="AC4716" i="3" s="1"/>
  <c r="AD4717" i="3"/>
  <c r="AC4717" i="3" s="1"/>
  <c r="AD4718" i="3"/>
  <c r="AC4718" i="3" s="1"/>
  <c r="AD4719" i="3"/>
  <c r="AC4719" i="3" s="1"/>
  <c r="AD4720" i="3"/>
  <c r="AC4720" i="3" s="1"/>
  <c r="AD4721" i="3"/>
  <c r="AC4721" i="3" s="1"/>
  <c r="AD4722" i="3"/>
  <c r="AC4722" i="3" s="1"/>
  <c r="AD4723" i="3"/>
  <c r="AC4723" i="3" s="1"/>
  <c r="AD4724" i="3"/>
  <c r="AC4724" i="3" s="1"/>
  <c r="AD4725" i="3"/>
  <c r="AC4725" i="3" s="1"/>
  <c r="AD4726" i="3"/>
  <c r="AC4726" i="3" s="1"/>
  <c r="AD4727" i="3"/>
  <c r="AC4727" i="3" s="1"/>
  <c r="AD4728" i="3"/>
  <c r="AC4728" i="3" s="1"/>
  <c r="AD4729" i="3"/>
  <c r="AC4729" i="3" s="1"/>
  <c r="AD4730" i="3"/>
  <c r="AC4730" i="3" s="1"/>
  <c r="AD4731" i="3"/>
  <c r="AC4731" i="3" s="1"/>
  <c r="AD4732" i="3"/>
  <c r="AC4732" i="3" s="1"/>
  <c r="AD4733" i="3"/>
  <c r="AC4733" i="3" s="1"/>
  <c r="AD4734" i="3"/>
  <c r="AC4734" i="3" s="1"/>
  <c r="AD4735" i="3"/>
  <c r="AC4735" i="3" s="1"/>
  <c r="AD4736" i="3"/>
  <c r="AC4736" i="3" s="1"/>
  <c r="AD4737" i="3"/>
  <c r="AC4737" i="3" s="1"/>
  <c r="AD4738" i="3"/>
  <c r="AC4738" i="3" s="1"/>
  <c r="AD4739" i="3"/>
  <c r="AC4739" i="3" s="1"/>
  <c r="AD4740" i="3"/>
  <c r="AC4740" i="3" s="1"/>
  <c r="AD4741" i="3"/>
  <c r="AC4741" i="3" s="1"/>
  <c r="AD4742" i="3"/>
  <c r="AC4742" i="3" s="1"/>
  <c r="AD4743" i="3"/>
  <c r="AC4743" i="3" s="1"/>
  <c r="AD4744" i="3"/>
  <c r="AC4744" i="3" s="1"/>
  <c r="AD4745" i="3"/>
  <c r="AC4745" i="3" s="1"/>
  <c r="AD4746" i="3"/>
  <c r="AC4746" i="3" s="1"/>
  <c r="AD4747" i="3"/>
  <c r="AC4747" i="3" s="1"/>
  <c r="AD4748" i="3"/>
  <c r="AC4748" i="3" s="1"/>
  <c r="AD4749" i="3"/>
  <c r="AC4749" i="3" s="1"/>
  <c r="AD4750" i="3"/>
  <c r="AC4750" i="3" s="1"/>
  <c r="AD4751" i="3"/>
  <c r="AC4751" i="3" s="1"/>
  <c r="AD4752" i="3"/>
  <c r="AC4752" i="3" s="1"/>
  <c r="AD4753" i="3"/>
  <c r="AC4753" i="3" s="1"/>
  <c r="AD4754" i="3"/>
  <c r="AC4754" i="3" s="1"/>
  <c r="AD4755" i="3"/>
  <c r="AC4755" i="3" s="1"/>
  <c r="AD4756" i="3"/>
  <c r="AC4756" i="3" s="1"/>
  <c r="AD4757" i="3"/>
  <c r="AC4757" i="3" s="1"/>
  <c r="AD4758" i="3"/>
  <c r="AC4758" i="3" s="1"/>
  <c r="AD4759" i="3"/>
  <c r="AC4759" i="3" s="1"/>
  <c r="AD4760" i="3"/>
  <c r="AC4760" i="3" s="1"/>
  <c r="AD4761" i="3"/>
  <c r="AC4761" i="3" s="1"/>
  <c r="AD4762" i="3"/>
  <c r="AC4762" i="3" s="1"/>
  <c r="AD4763" i="3"/>
  <c r="AC4763" i="3" s="1"/>
  <c r="AD4764" i="3"/>
  <c r="AC4764" i="3" s="1"/>
  <c r="AD4765" i="3"/>
  <c r="AC4765" i="3" s="1"/>
  <c r="AD4766" i="3"/>
  <c r="AC4766" i="3" s="1"/>
  <c r="AD4767" i="3"/>
  <c r="AC4767" i="3" s="1"/>
  <c r="AD4768" i="3"/>
  <c r="AC4768" i="3" s="1"/>
  <c r="AD4769" i="3"/>
  <c r="AC4769" i="3" s="1"/>
  <c r="AD4770" i="3"/>
  <c r="AC4770" i="3" s="1"/>
  <c r="AD4771" i="3"/>
  <c r="AC4771" i="3" s="1"/>
  <c r="AD4772" i="3"/>
  <c r="AC4772" i="3" s="1"/>
  <c r="AD4773" i="3"/>
  <c r="AC4773" i="3" s="1"/>
  <c r="AD4774" i="3"/>
  <c r="AC4774" i="3" s="1"/>
  <c r="AD4775" i="3"/>
  <c r="AC4775" i="3" s="1"/>
  <c r="AD4776" i="3"/>
  <c r="AC4776" i="3" s="1"/>
  <c r="AD4777" i="3"/>
  <c r="AC4777" i="3" s="1"/>
  <c r="AD4778" i="3"/>
  <c r="AC4778" i="3" s="1"/>
  <c r="AD4779" i="3"/>
  <c r="AC4779" i="3" s="1"/>
  <c r="AD4780" i="3"/>
  <c r="AC4780" i="3" s="1"/>
  <c r="AD4781" i="3"/>
  <c r="AC4781" i="3" s="1"/>
  <c r="AD4782" i="3"/>
  <c r="AC4782" i="3" s="1"/>
  <c r="AD4783" i="3"/>
  <c r="AC4783" i="3" s="1"/>
  <c r="AD4784" i="3"/>
  <c r="AC4784" i="3" s="1"/>
  <c r="AD4785" i="3"/>
  <c r="AC4785" i="3" s="1"/>
  <c r="AD4786" i="3"/>
  <c r="AC4786" i="3" s="1"/>
  <c r="AD4787" i="3"/>
  <c r="AC4787" i="3" s="1"/>
  <c r="AD4788" i="3"/>
  <c r="AC4788" i="3" s="1"/>
  <c r="AD4789" i="3"/>
  <c r="AC4789" i="3" s="1"/>
  <c r="AD4790" i="3"/>
  <c r="AC4790" i="3" s="1"/>
  <c r="AD4791" i="3"/>
  <c r="AC4791" i="3" s="1"/>
  <c r="AD4792" i="3"/>
  <c r="AC4792" i="3" s="1"/>
  <c r="AD4793" i="3"/>
  <c r="AC4793" i="3" s="1"/>
  <c r="AD4794" i="3"/>
  <c r="AC4794" i="3" s="1"/>
  <c r="AD4795" i="3"/>
  <c r="AC4795" i="3" s="1"/>
  <c r="AD4796" i="3"/>
  <c r="AC4796" i="3" s="1"/>
  <c r="AD4797" i="3"/>
  <c r="AC4797" i="3" s="1"/>
  <c r="AD4798" i="3"/>
  <c r="AC4798" i="3" s="1"/>
  <c r="AD4799" i="3"/>
  <c r="AC4799" i="3" s="1"/>
  <c r="AD4800" i="3"/>
  <c r="AC4800" i="3" s="1"/>
  <c r="AD4801" i="3"/>
  <c r="AC4801" i="3" s="1"/>
  <c r="AD4802" i="3"/>
  <c r="AC4802" i="3" s="1"/>
  <c r="AD4803" i="3"/>
  <c r="AC4803" i="3" s="1"/>
  <c r="AD4804" i="3"/>
  <c r="AC4804" i="3" s="1"/>
  <c r="AD4805" i="3"/>
  <c r="AC4805" i="3" s="1"/>
  <c r="AD4806" i="3"/>
  <c r="AC4806" i="3" s="1"/>
  <c r="AD4807" i="3"/>
  <c r="AC4807" i="3" s="1"/>
  <c r="AD4808" i="3"/>
  <c r="AC4808" i="3" s="1"/>
  <c r="AD4809" i="3"/>
  <c r="AC4809" i="3" s="1"/>
  <c r="AD4810" i="3"/>
  <c r="AC4810" i="3" s="1"/>
  <c r="AD4811" i="3"/>
  <c r="AC4811" i="3" s="1"/>
  <c r="AD4812" i="3"/>
  <c r="AC4812" i="3" s="1"/>
  <c r="AD4813" i="3"/>
  <c r="AC4813" i="3" s="1"/>
  <c r="AD4814" i="3"/>
  <c r="AC4814" i="3" s="1"/>
  <c r="AD4815" i="3"/>
  <c r="AC4815" i="3" s="1"/>
  <c r="AD4816" i="3"/>
  <c r="AC4816" i="3" s="1"/>
  <c r="AD4817" i="3"/>
  <c r="AC4817" i="3" s="1"/>
  <c r="AD4818" i="3"/>
  <c r="AC4818" i="3" s="1"/>
  <c r="AD4819" i="3"/>
  <c r="AC4819" i="3" s="1"/>
  <c r="AD4820" i="3"/>
  <c r="AC4820" i="3" s="1"/>
  <c r="AD4821" i="3"/>
  <c r="AC4821" i="3" s="1"/>
  <c r="AD4822" i="3"/>
  <c r="AC4822" i="3" s="1"/>
  <c r="AD4823" i="3"/>
  <c r="AC4823" i="3" s="1"/>
  <c r="AD4824" i="3"/>
  <c r="AC4824" i="3" s="1"/>
  <c r="AD4825" i="3"/>
  <c r="AC4825" i="3" s="1"/>
  <c r="AD4826" i="3"/>
  <c r="AC4826" i="3" s="1"/>
  <c r="AD4827" i="3"/>
  <c r="AC4827" i="3" s="1"/>
  <c r="AD4828" i="3"/>
  <c r="AC4828" i="3" s="1"/>
  <c r="AD4829" i="3"/>
  <c r="AC4829" i="3" s="1"/>
  <c r="AD4830" i="3"/>
  <c r="AC4830" i="3" s="1"/>
  <c r="AD4831" i="3"/>
  <c r="AC4831" i="3" s="1"/>
  <c r="AD4832" i="3"/>
  <c r="AC4832" i="3" s="1"/>
  <c r="AD4833" i="3"/>
  <c r="AC4833" i="3" s="1"/>
  <c r="AD4834" i="3"/>
  <c r="AC4834" i="3" s="1"/>
  <c r="AD4835" i="3"/>
  <c r="AC4835" i="3" s="1"/>
  <c r="AD4836" i="3"/>
  <c r="AC4836" i="3" s="1"/>
  <c r="AD4837" i="3"/>
  <c r="AC4837" i="3" s="1"/>
  <c r="AD4838" i="3"/>
  <c r="AC4838" i="3" s="1"/>
  <c r="AD4839" i="3"/>
  <c r="AC4839" i="3" s="1"/>
  <c r="AD4840" i="3"/>
  <c r="AC4840" i="3" s="1"/>
  <c r="AD4841" i="3"/>
  <c r="AC4841" i="3" s="1"/>
  <c r="AD4842" i="3"/>
  <c r="AC4842" i="3" s="1"/>
  <c r="AD4843" i="3"/>
  <c r="AC4843" i="3" s="1"/>
  <c r="AD4844" i="3"/>
  <c r="AC4844" i="3" s="1"/>
  <c r="AD4845" i="3"/>
  <c r="AC4845" i="3" s="1"/>
  <c r="AD4846" i="3"/>
  <c r="AC4846" i="3" s="1"/>
  <c r="AD4847" i="3"/>
  <c r="AC4847" i="3" s="1"/>
  <c r="AD4848" i="3"/>
  <c r="AC4848" i="3" s="1"/>
  <c r="AD4849" i="3"/>
  <c r="AC4849" i="3" s="1"/>
  <c r="AD4850" i="3"/>
  <c r="AC4850" i="3" s="1"/>
  <c r="AD4851" i="3"/>
  <c r="AC4851" i="3" s="1"/>
  <c r="AD4852" i="3"/>
  <c r="AC4852" i="3" s="1"/>
  <c r="AD4853" i="3"/>
  <c r="AC4853" i="3" s="1"/>
  <c r="AD4854" i="3"/>
  <c r="AC4854" i="3" s="1"/>
  <c r="AD4855" i="3"/>
  <c r="AC4855" i="3" s="1"/>
  <c r="AD4856" i="3"/>
  <c r="AC4856" i="3" s="1"/>
  <c r="AD4857" i="3"/>
  <c r="AC4857" i="3" s="1"/>
  <c r="AD4858" i="3"/>
  <c r="AC4858" i="3" s="1"/>
  <c r="AD3" i="3"/>
  <c r="AC3" i="3" s="1"/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1" i="1"/>
  <c r="AA72" i="1"/>
  <c r="AA74" i="1"/>
  <c r="AA75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4" i="1"/>
  <c r="AA185" i="1"/>
  <c r="AA186" i="1"/>
  <c r="AA187" i="1"/>
  <c r="AA188" i="1"/>
  <c r="AA189" i="1"/>
  <c r="AA190" i="1"/>
  <c r="AA191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3" i="1"/>
  <c r="AA264" i="1"/>
  <c r="AA266" i="1"/>
  <c r="AA268" i="1"/>
  <c r="AA269" i="1"/>
  <c r="AA270" i="1"/>
  <c r="AA271" i="1"/>
  <c r="AA272" i="1"/>
  <c r="AA273" i="1"/>
  <c r="AA274" i="1"/>
  <c r="AA276" i="1"/>
  <c r="AA278" i="1"/>
  <c r="AA279" i="1"/>
  <c r="AA280" i="1"/>
  <c r="AA281" i="1"/>
  <c r="AA282" i="1"/>
  <c r="AA283" i="1"/>
  <c r="AA284" i="1"/>
  <c r="AA287" i="1"/>
  <c r="AA288" i="1"/>
  <c r="AA289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5" i="1"/>
  <c r="AA306" i="1"/>
  <c r="AA307" i="1"/>
  <c r="AA308" i="1"/>
  <c r="AA309" i="1"/>
  <c r="AA310" i="1"/>
  <c r="AA312" i="1"/>
  <c r="AA313" i="1"/>
  <c r="AA314" i="1"/>
  <c r="AA315" i="1"/>
  <c r="AA316" i="1"/>
  <c r="AA317" i="1"/>
  <c r="AA318" i="1"/>
  <c r="AA319" i="1"/>
  <c r="AA322" i="1"/>
  <c r="AA323" i="1"/>
  <c r="AA324" i="1"/>
  <c r="AA325" i="1"/>
  <c r="AA326" i="1"/>
  <c r="AA327" i="1"/>
  <c r="AA328" i="1"/>
  <c r="AA329" i="1"/>
  <c r="AA330" i="1"/>
  <c r="AA331" i="1"/>
  <c r="AA333" i="1"/>
  <c r="AA334" i="1"/>
  <c r="AA335" i="1"/>
  <c r="AA336" i="1"/>
  <c r="AA337" i="1"/>
  <c r="AA338" i="1"/>
  <c r="AA340" i="1"/>
  <c r="AA342" i="1"/>
  <c r="AA344" i="1"/>
  <c r="AA345" i="1"/>
  <c r="AA346" i="1"/>
  <c r="AA347" i="1"/>
  <c r="AA349" i="1"/>
  <c r="AA350" i="1"/>
  <c r="AA351" i="1"/>
  <c r="AA352" i="1"/>
  <c r="AA353" i="1"/>
  <c r="AA354" i="1"/>
  <c r="AA355" i="1"/>
  <c r="AA358" i="1"/>
  <c r="AA359" i="1"/>
  <c r="AA360" i="1"/>
  <c r="AA362" i="1"/>
  <c r="AA363" i="1"/>
  <c r="AA364" i="1"/>
  <c r="AA365" i="1"/>
  <c r="AA366" i="1"/>
  <c r="AA367" i="1"/>
  <c r="AA368" i="1"/>
  <c r="AA369" i="1"/>
  <c r="AA370" i="1"/>
  <c r="AA373" i="1"/>
  <c r="AA374" i="1"/>
  <c r="AA375" i="1"/>
  <c r="AA377" i="1"/>
  <c r="AA378" i="1"/>
  <c r="AA382" i="1"/>
  <c r="AA383" i="1"/>
  <c r="AA384" i="1"/>
  <c r="AA386" i="1"/>
  <c r="AA388" i="1"/>
  <c r="AA390" i="1"/>
  <c r="AA393" i="1"/>
  <c r="AA394" i="1"/>
  <c r="AA395" i="1"/>
  <c r="AA396" i="1"/>
  <c r="AA397" i="1"/>
  <c r="AA399" i="1"/>
  <c r="AA400" i="1"/>
  <c r="AA401" i="1"/>
  <c r="AA402" i="1"/>
  <c r="AA403" i="1"/>
  <c r="AA404" i="1"/>
  <c r="AA405" i="1"/>
  <c r="AA406" i="1"/>
  <c r="AA407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3" i="1"/>
  <c r="AA424" i="1"/>
  <c r="AA425" i="1"/>
  <c r="AA426" i="1"/>
  <c r="AA427" i="1"/>
  <c r="AA429" i="1"/>
  <c r="AA430" i="1"/>
  <c r="AA431" i="1"/>
  <c r="AA432" i="1"/>
  <c r="AA434" i="1"/>
  <c r="AA435" i="1"/>
  <c r="AA436" i="1"/>
  <c r="AA437" i="1"/>
  <c r="AA441" i="1"/>
  <c r="AA443" i="1"/>
  <c r="AA444" i="1"/>
  <c r="AA447" i="1"/>
  <c r="AA448" i="1"/>
  <c r="AA449" i="1"/>
  <c r="AA450" i="1"/>
  <c r="AA451" i="1"/>
  <c r="AA452" i="1"/>
  <c r="AA455" i="1"/>
  <c r="AA457" i="1"/>
  <c r="AA458" i="1"/>
  <c r="AA467" i="1"/>
  <c r="AA468" i="1"/>
  <c r="AA469" i="1"/>
  <c r="AA472" i="1"/>
  <c r="AA474" i="1"/>
  <c r="AA475" i="1"/>
  <c r="AA483" i="1"/>
  <c r="AA486" i="1"/>
  <c r="AA488" i="1"/>
  <c r="AA489" i="1"/>
  <c r="AA490" i="1"/>
  <c r="AA493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9" i="1"/>
  <c r="AA521" i="1"/>
  <c r="AA522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6" i="1"/>
  <c r="AA597" i="1"/>
  <c r="AA598" i="1"/>
  <c r="AA599" i="1"/>
  <c r="AA600" i="1"/>
  <c r="AA601" i="1"/>
  <c r="AA603" i="1"/>
  <c r="AA604" i="1"/>
  <c r="AA605" i="1"/>
  <c r="AA606" i="1"/>
  <c r="AA607" i="1"/>
  <c r="AA608" i="1"/>
  <c r="AA610" i="1"/>
  <c r="AA611" i="1"/>
  <c r="AA612" i="1"/>
  <c r="AA613" i="1"/>
  <c r="AA614" i="1"/>
  <c r="AA615" i="1"/>
  <c r="AA616" i="1"/>
  <c r="AA617" i="1"/>
  <c r="AA620" i="1"/>
  <c r="AA621" i="1"/>
  <c r="AA622" i="1"/>
  <c r="AA623" i="1"/>
  <c r="AA624" i="1"/>
  <c r="AA625" i="1"/>
  <c r="AA626" i="1"/>
  <c r="AA627" i="1"/>
  <c r="AA628" i="1"/>
  <c r="AA629" i="1"/>
  <c r="AA631" i="1"/>
  <c r="AA632" i="1"/>
  <c r="AA633" i="1"/>
  <c r="AA634" i="1"/>
  <c r="AA635" i="1"/>
  <c r="AA636" i="1"/>
  <c r="AA637" i="1"/>
  <c r="AA638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5" i="1"/>
  <c r="AA686" i="1"/>
  <c r="AA687" i="1"/>
  <c r="AA688" i="1"/>
  <c r="AA689" i="1"/>
  <c r="AA690" i="1"/>
  <c r="AA691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4" i="1"/>
  <c r="AA765" i="1"/>
  <c r="AA766" i="1"/>
  <c r="AA767" i="1"/>
  <c r="AA768" i="1"/>
  <c r="AA769" i="1"/>
  <c r="AA770" i="1"/>
  <c r="AA771" i="1"/>
  <c r="AA772" i="1"/>
  <c r="AA773" i="1"/>
  <c r="AA774" i="1"/>
  <c r="AA776" i="1"/>
  <c r="AA777" i="1"/>
  <c r="AA781" i="1"/>
  <c r="AA782" i="1"/>
  <c r="AA783" i="1"/>
  <c r="AA784" i="1"/>
  <c r="AA785" i="1"/>
  <c r="AA786" i="1"/>
  <c r="AA787" i="1"/>
  <c r="AA788" i="1"/>
  <c r="AA789" i="1"/>
  <c r="AA790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8" i="1"/>
  <c r="AA959" i="1"/>
  <c r="AA960" i="1"/>
  <c r="AA961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2" i="1"/>
  <c r="AA1033" i="1"/>
  <c r="AA1034" i="1"/>
  <c r="AA1035" i="1"/>
  <c r="AA1036" i="1"/>
  <c r="Y5" i="1"/>
  <c r="Y6" i="1"/>
  <c r="Y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7" i="1"/>
  <c r="Y178" i="1"/>
  <c r="Y179" i="1"/>
  <c r="Y180" i="1"/>
  <c r="Y181" i="1"/>
  <c r="Y182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3" i="1"/>
  <c r="Y264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7" i="1"/>
  <c r="Y288" i="1"/>
  <c r="Y289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5" i="1"/>
  <c r="Y306" i="1"/>
  <c r="Y307" i="1"/>
  <c r="Y308" i="1"/>
  <c r="Y309" i="1"/>
  <c r="Y310" i="1"/>
  <c r="Y312" i="1"/>
  <c r="Y313" i="1"/>
  <c r="Y314" i="1"/>
  <c r="Y315" i="1"/>
  <c r="Y316" i="1"/>
  <c r="Y317" i="1"/>
  <c r="Y318" i="1"/>
  <c r="Y319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8" i="1"/>
  <c r="Y359" i="1"/>
  <c r="Y360" i="1"/>
  <c r="Y362" i="1"/>
  <c r="Y363" i="1"/>
  <c r="Y364" i="1"/>
  <c r="Y365" i="1"/>
  <c r="Y366" i="1"/>
  <c r="Y367" i="1"/>
  <c r="Y368" i="1"/>
  <c r="Y369" i="1"/>
  <c r="Y370" i="1"/>
  <c r="Y371" i="1"/>
  <c r="Y373" i="1"/>
  <c r="Y374" i="1"/>
  <c r="Y375" i="1"/>
  <c r="Y377" i="1"/>
  <c r="Y378" i="1"/>
  <c r="Y382" i="1"/>
  <c r="Y383" i="1"/>
  <c r="Y384" i="1"/>
  <c r="Y385" i="1"/>
  <c r="Y386" i="1"/>
  <c r="Y387" i="1"/>
  <c r="Y388" i="1"/>
  <c r="Y390" i="1"/>
  <c r="Y393" i="1"/>
  <c r="Y394" i="1"/>
  <c r="Y395" i="1"/>
  <c r="Y396" i="1"/>
  <c r="Y397" i="1"/>
  <c r="Y399" i="1"/>
  <c r="Y400" i="1"/>
  <c r="Y401" i="1"/>
  <c r="Y402" i="1"/>
  <c r="Y403" i="1"/>
  <c r="Y405" i="1"/>
  <c r="Y406" i="1"/>
  <c r="Y407" i="1"/>
  <c r="Y409" i="1"/>
  <c r="Y410" i="1"/>
  <c r="Y411" i="1"/>
  <c r="Y412" i="1"/>
  <c r="Y413" i="1"/>
  <c r="Y414" i="1"/>
  <c r="Y415" i="1"/>
  <c r="Y416" i="1"/>
  <c r="Y417" i="1"/>
  <c r="Y418" i="1"/>
  <c r="Y420" i="1"/>
  <c r="Y421" i="1"/>
  <c r="Y423" i="1"/>
  <c r="Y424" i="1"/>
  <c r="Y425" i="1"/>
  <c r="Y426" i="1"/>
  <c r="Y427" i="1"/>
  <c r="Y429" i="1"/>
  <c r="Y430" i="1"/>
  <c r="Y431" i="1"/>
  <c r="Y432" i="1"/>
  <c r="Y434" i="1"/>
  <c r="Y435" i="1"/>
  <c r="Y436" i="1"/>
  <c r="Y437" i="1"/>
  <c r="Y441" i="1"/>
  <c r="Y443" i="1"/>
  <c r="Y444" i="1"/>
  <c r="Y447" i="1"/>
  <c r="Y448" i="1"/>
  <c r="Y449" i="1"/>
  <c r="Y450" i="1"/>
  <c r="Y451" i="1"/>
  <c r="Y452" i="1"/>
  <c r="Y455" i="1"/>
  <c r="Y457" i="1"/>
  <c r="Y458" i="1"/>
  <c r="Y464" i="1"/>
  <c r="Y465" i="1"/>
  <c r="Y467" i="1"/>
  <c r="Y468" i="1"/>
  <c r="Y469" i="1"/>
  <c r="Y470" i="1"/>
  <c r="Y471" i="1"/>
  <c r="Y472" i="1"/>
  <c r="Y473" i="1"/>
  <c r="Y474" i="1"/>
  <c r="Y475" i="1"/>
  <c r="Y482" i="1"/>
  <c r="Y483" i="1"/>
  <c r="Y486" i="1"/>
  <c r="Y487" i="1"/>
  <c r="Y488" i="1"/>
  <c r="Y489" i="1"/>
  <c r="Y490" i="1"/>
  <c r="Y493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9" i="1"/>
  <c r="Y520" i="1"/>
  <c r="Y521" i="1"/>
  <c r="Y522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6" i="1"/>
  <c r="Y597" i="1"/>
  <c r="Y598" i="1"/>
  <c r="Y599" i="1"/>
  <c r="Y600" i="1"/>
  <c r="Y601" i="1"/>
  <c r="Y603" i="1"/>
  <c r="Y604" i="1"/>
  <c r="Y605" i="1"/>
  <c r="Y606" i="1"/>
  <c r="Y607" i="1"/>
  <c r="Y608" i="1"/>
  <c r="Y610" i="1"/>
  <c r="Y611" i="1"/>
  <c r="Y612" i="1"/>
  <c r="Y613" i="1"/>
  <c r="Y614" i="1"/>
  <c r="Y615" i="1"/>
  <c r="Y616" i="1"/>
  <c r="Y617" i="1"/>
  <c r="Y620" i="1"/>
  <c r="Y621" i="1"/>
  <c r="Y622" i="1"/>
  <c r="Y623" i="1"/>
  <c r="Y624" i="1"/>
  <c r="Y625" i="1"/>
  <c r="Y626" i="1"/>
  <c r="Y627" i="1"/>
  <c r="Y628" i="1"/>
  <c r="Y629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5" i="1"/>
  <c r="Y686" i="1"/>
  <c r="Y687" i="1"/>
  <c r="Y688" i="1"/>
  <c r="Y689" i="1"/>
  <c r="Y690" i="1"/>
  <c r="Y691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1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8" i="1"/>
  <c r="Y959" i="1"/>
  <c r="Y960" i="1"/>
  <c r="Y961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U14" i="5"/>
  <c r="T14" i="5"/>
  <c r="T43" i="5"/>
  <c r="U18" i="5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AH4755" i="3" l="1"/>
  <c r="AH4756" i="3"/>
  <c r="AH4757" i="3"/>
  <c r="AH4758" i="3"/>
  <c r="AH4759" i="3"/>
  <c r="AH4760" i="3"/>
  <c r="AH4761" i="3"/>
  <c r="AH4762" i="3"/>
  <c r="AH4763" i="3"/>
  <c r="AH4764" i="3"/>
  <c r="AH4765" i="3"/>
  <c r="AH4766" i="3"/>
  <c r="AH4767" i="3"/>
  <c r="AH4768" i="3"/>
  <c r="AH4769" i="3"/>
  <c r="AH4770" i="3"/>
  <c r="AH4771" i="3"/>
  <c r="AH4772" i="3"/>
  <c r="AH4773" i="3"/>
  <c r="AH4774" i="3"/>
  <c r="AH4775" i="3"/>
  <c r="AH4776" i="3"/>
  <c r="AH4777" i="3"/>
  <c r="AH4778" i="3"/>
  <c r="AH4779" i="3"/>
  <c r="AH4780" i="3"/>
  <c r="AH4781" i="3"/>
  <c r="AH4782" i="3"/>
  <c r="AH4783" i="3"/>
  <c r="AH4784" i="3"/>
  <c r="AH4785" i="3"/>
  <c r="AH4786" i="3"/>
  <c r="AH4787" i="3"/>
  <c r="AH4788" i="3"/>
  <c r="AH4789" i="3"/>
  <c r="AH4790" i="3"/>
  <c r="AH4791" i="3"/>
  <c r="AH4792" i="3"/>
  <c r="AH4793" i="3"/>
  <c r="AH4794" i="3"/>
  <c r="AH4795" i="3"/>
  <c r="AH4796" i="3"/>
  <c r="AH4797" i="3"/>
  <c r="AH4798" i="3"/>
  <c r="AH4799" i="3"/>
  <c r="AH4800" i="3"/>
  <c r="AH4801" i="3"/>
  <c r="AH4802" i="3"/>
  <c r="AH4803" i="3"/>
  <c r="AH4804" i="3"/>
  <c r="AH4805" i="3"/>
  <c r="AH4806" i="3"/>
  <c r="AH4807" i="3"/>
  <c r="AH4808" i="3"/>
  <c r="AH4809" i="3"/>
  <c r="AH4810" i="3"/>
  <c r="AH4811" i="3"/>
  <c r="AH4812" i="3"/>
  <c r="AH4813" i="3"/>
  <c r="AH4814" i="3"/>
  <c r="AH4815" i="3"/>
  <c r="AH4816" i="3"/>
  <c r="AH4817" i="3"/>
  <c r="AH4818" i="3"/>
  <c r="AH4819" i="3"/>
  <c r="AH4820" i="3"/>
  <c r="AH4821" i="3"/>
  <c r="AH4822" i="3"/>
  <c r="AH4823" i="3"/>
  <c r="AH4824" i="3"/>
  <c r="AH4825" i="3"/>
  <c r="AH4826" i="3"/>
  <c r="AH4827" i="3"/>
  <c r="AH4828" i="3"/>
  <c r="AH4829" i="3"/>
  <c r="AH4830" i="3"/>
  <c r="AH4831" i="3"/>
  <c r="AH4832" i="3"/>
  <c r="AH4833" i="3"/>
  <c r="AH4834" i="3"/>
  <c r="AH4835" i="3"/>
  <c r="AH4836" i="3"/>
  <c r="AH4837" i="3"/>
  <c r="AH4838" i="3"/>
  <c r="AH4839" i="3"/>
  <c r="AH4840" i="3"/>
  <c r="AH4841" i="3"/>
  <c r="AH4842" i="3"/>
  <c r="AH4843" i="3"/>
  <c r="AH4844" i="3"/>
  <c r="AH4845" i="3"/>
  <c r="AH4846" i="3"/>
  <c r="AH4847" i="3"/>
  <c r="AH4848" i="3"/>
  <c r="AH4849" i="3"/>
  <c r="AH4850" i="3"/>
  <c r="AH4851" i="3"/>
  <c r="AH4852" i="3"/>
  <c r="AH4853" i="3"/>
  <c r="AH4854" i="3"/>
  <c r="AH4855" i="3"/>
  <c r="AH4856" i="3"/>
  <c r="AH4857" i="3"/>
  <c r="AH4858" i="3"/>
  <c r="A1006" i="1" l="1"/>
  <c r="B1006" i="1"/>
  <c r="E1006" i="1"/>
  <c r="F1006" i="1"/>
  <c r="G1006" i="1"/>
  <c r="H1006" i="1"/>
  <c r="I1006" i="1"/>
  <c r="J1006" i="1"/>
  <c r="M1006" i="1"/>
  <c r="N1006" i="1"/>
  <c r="R1006" i="1" s="1"/>
  <c r="AL1006" i="1"/>
  <c r="AO1006" i="1"/>
  <c r="A1007" i="1"/>
  <c r="B1007" i="1"/>
  <c r="E1007" i="1"/>
  <c r="F1007" i="1"/>
  <c r="G1007" i="1"/>
  <c r="H1007" i="1"/>
  <c r="I1007" i="1"/>
  <c r="J1007" i="1"/>
  <c r="M1007" i="1"/>
  <c r="T1007" i="1" s="1"/>
  <c r="N1007" i="1"/>
  <c r="R1007" i="1" s="1"/>
  <c r="AL1007" i="1"/>
  <c r="AO1007" i="1"/>
  <c r="A1008" i="1"/>
  <c r="B1008" i="1"/>
  <c r="X1008" i="1" s="1"/>
  <c r="E1008" i="1"/>
  <c r="F1008" i="1"/>
  <c r="G1008" i="1"/>
  <c r="H1008" i="1"/>
  <c r="I1008" i="1"/>
  <c r="J1008" i="1"/>
  <c r="M1008" i="1"/>
  <c r="T1008" i="1" s="1"/>
  <c r="N1008" i="1"/>
  <c r="R1008" i="1" s="1"/>
  <c r="AL1008" i="1"/>
  <c r="AO1008" i="1"/>
  <c r="A1009" i="1"/>
  <c r="B1009" i="1"/>
  <c r="X1009" i="1" s="1"/>
  <c r="E1009" i="1"/>
  <c r="F1009" i="1"/>
  <c r="G1009" i="1"/>
  <c r="H1009" i="1"/>
  <c r="I1009" i="1"/>
  <c r="J1009" i="1"/>
  <c r="M1009" i="1"/>
  <c r="N1009" i="1"/>
  <c r="R1009" i="1" s="1"/>
  <c r="AL1009" i="1"/>
  <c r="AO1009" i="1"/>
  <c r="A1010" i="1"/>
  <c r="B1010" i="1"/>
  <c r="E1010" i="1"/>
  <c r="F1010" i="1"/>
  <c r="G1010" i="1"/>
  <c r="H1010" i="1"/>
  <c r="I1010" i="1"/>
  <c r="J1010" i="1"/>
  <c r="M1010" i="1"/>
  <c r="N1010" i="1"/>
  <c r="R1010" i="1" s="1"/>
  <c r="AL1010" i="1"/>
  <c r="AO1010" i="1"/>
  <c r="A1011" i="1"/>
  <c r="B1011" i="1"/>
  <c r="X1011" i="1" s="1"/>
  <c r="E1011" i="1"/>
  <c r="F1011" i="1"/>
  <c r="G1011" i="1"/>
  <c r="H1011" i="1"/>
  <c r="I1011" i="1"/>
  <c r="J1011" i="1"/>
  <c r="M1011" i="1"/>
  <c r="T1011" i="1" s="1"/>
  <c r="N1011" i="1"/>
  <c r="R1011" i="1" s="1"/>
  <c r="AL1011" i="1"/>
  <c r="AO1011" i="1"/>
  <c r="A1012" i="1"/>
  <c r="B1012" i="1"/>
  <c r="E1012" i="1"/>
  <c r="F1012" i="1"/>
  <c r="G1012" i="1"/>
  <c r="H1012" i="1"/>
  <c r="I1012" i="1"/>
  <c r="J1012" i="1"/>
  <c r="M1012" i="1"/>
  <c r="N1012" i="1"/>
  <c r="R1012" i="1" s="1"/>
  <c r="AL1012" i="1"/>
  <c r="AO1012" i="1"/>
  <c r="A1013" i="1"/>
  <c r="B1013" i="1"/>
  <c r="E1013" i="1"/>
  <c r="F1013" i="1"/>
  <c r="G1013" i="1"/>
  <c r="H1013" i="1"/>
  <c r="I1013" i="1"/>
  <c r="J1013" i="1"/>
  <c r="M1013" i="1"/>
  <c r="N1013" i="1"/>
  <c r="R1013" i="1" s="1"/>
  <c r="AL1013" i="1"/>
  <c r="AO1013" i="1"/>
  <c r="A1014" i="1"/>
  <c r="B1014" i="1"/>
  <c r="E1014" i="1"/>
  <c r="F1014" i="1"/>
  <c r="G1014" i="1"/>
  <c r="H1014" i="1"/>
  <c r="I1014" i="1"/>
  <c r="J1014" i="1"/>
  <c r="M1014" i="1"/>
  <c r="N1014" i="1"/>
  <c r="R1014" i="1" s="1"/>
  <c r="AL1014" i="1"/>
  <c r="AO1014" i="1"/>
  <c r="A1015" i="1"/>
  <c r="B1015" i="1"/>
  <c r="X1015" i="1" s="1"/>
  <c r="E1015" i="1"/>
  <c r="F1015" i="1"/>
  <c r="G1015" i="1"/>
  <c r="H1015" i="1"/>
  <c r="I1015" i="1"/>
  <c r="J1015" i="1"/>
  <c r="M1015" i="1"/>
  <c r="T1015" i="1" s="1"/>
  <c r="N1015" i="1"/>
  <c r="R1015" i="1" s="1"/>
  <c r="AL1015" i="1"/>
  <c r="AO1015" i="1"/>
  <c r="A1016" i="1"/>
  <c r="B1016" i="1"/>
  <c r="X1016" i="1" s="1"/>
  <c r="E1016" i="1"/>
  <c r="F1016" i="1"/>
  <c r="G1016" i="1"/>
  <c r="H1016" i="1"/>
  <c r="I1016" i="1"/>
  <c r="J1016" i="1"/>
  <c r="M1016" i="1"/>
  <c r="N1016" i="1"/>
  <c r="R1016" i="1" s="1"/>
  <c r="AL1016" i="1"/>
  <c r="AO1016" i="1"/>
  <c r="A1017" i="1"/>
  <c r="B1017" i="1"/>
  <c r="E1017" i="1"/>
  <c r="F1017" i="1"/>
  <c r="G1017" i="1"/>
  <c r="H1017" i="1"/>
  <c r="I1017" i="1"/>
  <c r="J1017" i="1"/>
  <c r="M1017" i="1"/>
  <c r="N1017" i="1"/>
  <c r="R1017" i="1" s="1"/>
  <c r="AL1017" i="1"/>
  <c r="AO1017" i="1"/>
  <c r="A1018" i="1"/>
  <c r="B1018" i="1"/>
  <c r="E1018" i="1"/>
  <c r="F1018" i="1"/>
  <c r="G1018" i="1"/>
  <c r="H1018" i="1"/>
  <c r="I1018" i="1"/>
  <c r="J1018" i="1"/>
  <c r="M1018" i="1"/>
  <c r="N1018" i="1"/>
  <c r="R1018" i="1" s="1"/>
  <c r="AL1018" i="1"/>
  <c r="AO1018" i="1"/>
  <c r="A1019" i="1"/>
  <c r="B1019" i="1"/>
  <c r="E1019" i="1"/>
  <c r="F1019" i="1"/>
  <c r="G1019" i="1"/>
  <c r="H1019" i="1"/>
  <c r="I1019" i="1"/>
  <c r="J1019" i="1"/>
  <c r="M1019" i="1"/>
  <c r="T1019" i="1" s="1"/>
  <c r="N1019" i="1"/>
  <c r="R1019" i="1" s="1"/>
  <c r="AL1019" i="1"/>
  <c r="AO1019" i="1"/>
  <c r="A1020" i="1"/>
  <c r="B1020" i="1"/>
  <c r="E1020" i="1"/>
  <c r="F1020" i="1"/>
  <c r="G1020" i="1"/>
  <c r="H1020" i="1"/>
  <c r="I1020" i="1"/>
  <c r="J1020" i="1"/>
  <c r="M1020" i="1"/>
  <c r="N1020" i="1"/>
  <c r="R1020" i="1" s="1"/>
  <c r="AL1020" i="1"/>
  <c r="AO1020" i="1"/>
  <c r="A1021" i="1"/>
  <c r="B1021" i="1"/>
  <c r="E1021" i="1"/>
  <c r="F1021" i="1"/>
  <c r="G1021" i="1"/>
  <c r="H1021" i="1"/>
  <c r="I1021" i="1"/>
  <c r="J1021" i="1"/>
  <c r="M1021" i="1"/>
  <c r="T1021" i="1" s="1"/>
  <c r="N1021" i="1"/>
  <c r="R1021" i="1" s="1"/>
  <c r="AL1021" i="1"/>
  <c r="AO1021" i="1"/>
  <c r="A1022" i="1"/>
  <c r="B1022" i="1"/>
  <c r="E1022" i="1"/>
  <c r="F1022" i="1"/>
  <c r="G1022" i="1"/>
  <c r="H1022" i="1"/>
  <c r="I1022" i="1"/>
  <c r="J1022" i="1"/>
  <c r="M1022" i="1"/>
  <c r="N1022" i="1"/>
  <c r="R1022" i="1" s="1"/>
  <c r="AL1022" i="1"/>
  <c r="AO1022" i="1"/>
  <c r="A1023" i="1"/>
  <c r="B1023" i="1"/>
  <c r="E1023" i="1"/>
  <c r="F1023" i="1"/>
  <c r="G1023" i="1"/>
  <c r="H1023" i="1"/>
  <c r="I1023" i="1"/>
  <c r="J1023" i="1"/>
  <c r="M1023" i="1"/>
  <c r="T1023" i="1" s="1"/>
  <c r="N1023" i="1"/>
  <c r="R1023" i="1" s="1"/>
  <c r="AL1023" i="1"/>
  <c r="AO1023" i="1"/>
  <c r="A1024" i="1"/>
  <c r="B1024" i="1"/>
  <c r="E1024" i="1"/>
  <c r="F1024" i="1"/>
  <c r="G1024" i="1"/>
  <c r="H1024" i="1"/>
  <c r="I1024" i="1"/>
  <c r="J1024" i="1"/>
  <c r="M1024" i="1"/>
  <c r="T1024" i="1" s="1"/>
  <c r="N1024" i="1"/>
  <c r="R1024" i="1" s="1"/>
  <c r="AL1024" i="1"/>
  <c r="AO1024" i="1"/>
  <c r="A1025" i="1"/>
  <c r="B1025" i="1"/>
  <c r="E1025" i="1"/>
  <c r="F1025" i="1"/>
  <c r="G1025" i="1"/>
  <c r="H1025" i="1"/>
  <c r="I1025" i="1"/>
  <c r="J1025" i="1"/>
  <c r="M1025" i="1"/>
  <c r="T1025" i="1" s="1"/>
  <c r="N1025" i="1"/>
  <c r="R1025" i="1" s="1"/>
  <c r="AL1025" i="1"/>
  <c r="AO1025" i="1"/>
  <c r="A1026" i="1"/>
  <c r="B1026" i="1"/>
  <c r="X1026" i="1" s="1"/>
  <c r="E1026" i="1"/>
  <c r="F1026" i="1"/>
  <c r="G1026" i="1"/>
  <c r="H1026" i="1"/>
  <c r="I1026" i="1"/>
  <c r="J1026" i="1"/>
  <c r="M1026" i="1"/>
  <c r="T1026" i="1" s="1"/>
  <c r="N1026" i="1"/>
  <c r="R1026" i="1" s="1"/>
  <c r="AL1026" i="1"/>
  <c r="AO1026" i="1"/>
  <c r="A1027" i="1"/>
  <c r="AN1027" i="1" s="1"/>
  <c r="B1027" i="1"/>
  <c r="X1027" i="1" s="1"/>
  <c r="E1027" i="1"/>
  <c r="F1027" i="1"/>
  <c r="G1027" i="1"/>
  <c r="H1027" i="1"/>
  <c r="I1027" i="1"/>
  <c r="J1027" i="1"/>
  <c r="M1027" i="1"/>
  <c r="T1027" i="1" s="1"/>
  <c r="N1027" i="1"/>
  <c r="R1027" i="1" s="1"/>
  <c r="AL1027" i="1"/>
  <c r="AO1027" i="1"/>
  <c r="A1028" i="1"/>
  <c r="B1028" i="1"/>
  <c r="E1028" i="1"/>
  <c r="F1028" i="1"/>
  <c r="G1028" i="1"/>
  <c r="H1028" i="1"/>
  <c r="I1028" i="1"/>
  <c r="J1028" i="1"/>
  <c r="M1028" i="1"/>
  <c r="T1028" i="1" s="1"/>
  <c r="N1028" i="1"/>
  <c r="R1028" i="1" s="1"/>
  <c r="AL1028" i="1"/>
  <c r="AO1028" i="1"/>
  <c r="A1029" i="1"/>
  <c r="B1029" i="1"/>
  <c r="E1029" i="1"/>
  <c r="F1029" i="1"/>
  <c r="G1029" i="1"/>
  <c r="H1029" i="1"/>
  <c r="I1029" i="1"/>
  <c r="J1029" i="1"/>
  <c r="M1029" i="1"/>
  <c r="T1029" i="1" s="1"/>
  <c r="N1029" i="1"/>
  <c r="R1029" i="1" s="1"/>
  <c r="AL1029" i="1"/>
  <c r="AO1029" i="1"/>
  <c r="A1030" i="1"/>
  <c r="B1030" i="1"/>
  <c r="E1030" i="1"/>
  <c r="F1030" i="1"/>
  <c r="G1030" i="1"/>
  <c r="H1030" i="1"/>
  <c r="I1030" i="1"/>
  <c r="J1030" i="1"/>
  <c r="M1030" i="1"/>
  <c r="N1030" i="1"/>
  <c r="R1030" i="1" s="1"/>
  <c r="AL1030" i="1"/>
  <c r="AO1030" i="1"/>
  <c r="A1031" i="1"/>
  <c r="B1031" i="1"/>
  <c r="E1031" i="1"/>
  <c r="F1031" i="1"/>
  <c r="G1031" i="1"/>
  <c r="H1031" i="1"/>
  <c r="I1031" i="1"/>
  <c r="J1031" i="1"/>
  <c r="M1031" i="1"/>
  <c r="T1031" i="1" s="1"/>
  <c r="N1031" i="1"/>
  <c r="R1031" i="1" s="1"/>
  <c r="AL1031" i="1"/>
  <c r="AO1031" i="1"/>
  <c r="A1032" i="1"/>
  <c r="B1032" i="1"/>
  <c r="E1032" i="1"/>
  <c r="F1032" i="1"/>
  <c r="G1032" i="1"/>
  <c r="H1032" i="1"/>
  <c r="I1032" i="1"/>
  <c r="J1032" i="1"/>
  <c r="M1032" i="1"/>
  <c r="N1032" i="1"/>
  <c r="R1032" i="1" s="1"/>
  <c r="AL1032" i="1"/>
  <c r="AO1032" i="1"/>
  <c r="A1033" i="1"/>
  <c r="B1033" i="1"/>
  <c r="E1033" i="1"/>
  <c r="F1033" i="1"/>
  <c r="G1033" i="1"/>
  <c r="H1033" i="1"/>
  <c r="I1033" i="1"/>
  <c r="J1033" i="1"/>
  <c r="M1033" i="1"/>
  <c r="N1033" i="1"/>
  <c r="R1033" i="1" s="1"/>
  <c r="AL1033" i="1"/>
  <c r="AO1033" i="1"/>
  <c r="A1034" i="1"/>
  <c r="B1034" i="1"/>
  <c r="E1034" i="1"/>
  <c r="F1034" i="1"/>
  <c r="G1034" i="1"/>
  <c r="H1034" i="1"/>
  <c r="I1034" i="1"/>
  <c r="J1034" i="1"/>
  <c r="M1034" i="1"/>
  <c r="N1034" i="1"/>
  <c r="R1034" i="1" s="1"/>
  <c r="AL1034" i="1"/>
  <c r="AO1034" i="1"/>
  <c r="A1035" i="1"/>
  <c r="B1035" i="1"/>
  <c r="E1035" i="1"/>
  <c r="F1035" i="1"/>
  <c r="G1035" i="1"/>
  <c r="H1035" i="1"/>
  <c r="I1035" i="1"/>
  <c r="J1035" i="1"/>
  <c r="M1035" i="1"/>
  <c r="T1035" i="1" s="1"/>
  <c r="N1035" i="1"/>
  <c r="R1035" i="1" s="1"/>
  <c r="AL1035" i="1"/>
  <c r="AO1035" i="1"/>
  <c r="A1036" i="1"/>
  <c r="AN1036" i="1" s="1"/>
  <c r="B1036" i="1"/>
  <c r="E1036" i="1"/>
  <c r="F1036" i="1"/>
  <c r="G1036" i="1"/>
  <c r="H1036" i="1"/>
  <c r="I1036" i="1"/>
  <c r="J1036" i="1"/>
  <c r="M1036" i="1"/>
  <c r="T1036" i="1" s="1"/>
  <c r="N1036" i="1"/>
  <c r="R1036" i="1" s="1"/>
  <c r="AL1036" i="1"/>
  <c r="AO1036" i="1"/>
  <c r="A950" i="1"/>
  <c r="B950" i="1"/>
  <c r="E950" i="1"/>
  <c r="F950" i="1"/>
  <c r="G950" i="1"/>
  <c r="H950" i="1"/>
  <c r="I950" i="1"/>
  <c r="J950" i="1"/>
  <c r="M950" i="1"/>
  <c r="N950" i="1"/>
  <c r="R950" i="1" s="1"/>
  <c r="AL950" i="1"/>
  <c r="AO950" i="1"/>
  <c r="A951" i="1"/>
  <c r="AN951" i="1" s="1"/>
  <c r="B951" i="1"/>
  <c r="E951" i="1"/>
  <c r="F951" i="1"/>
  <c r="G951" i="1"/>
  <c r="H951" i="1"/>
  <c r="I951" i="1"/>
  <c r="J951" i="1"/>
  <c r="M951" i="1"/>
  <c r="T951" i="1" s="1"/>
  <c r="N951" i="1"/>
  <c r="R951" i="1" s="1"/>
  <c r="AL951" i="1"/>
  <c r="AO951" i="1"/>
  <c r="A952" i="1"/>
  <c r="AN952" i="1" s="1"/>
  <c r="B952" i="1"/>
  <c r="E952" i="1"/>
  <c r="F952" i="1"/>
  <c r="G952" i="1"/>
  <c r="H952" i="1"/>
  <c r="I952" i="1"/>
  <c r="J952" i="1"/>
  <c r="M952" i="1"/>
  <c r="N952" i="1"/>
  <c r="R952" i="1" s="1"/>
  <c r="AL952" i="1"/>
  <c r="AO952" i="1"/>
  <c r="A953" i="1"/>
  <c r="B953" i="1"/>
  <c r="E953" i="1"/>
  <c r="F953" i="1"/>
  <c r="G953" i="1"/>
  <c r="H953" i="1"/>
  <c r="I953" i="1"/>
  <c r="J953" i="1"/>
  <c r="M953" i="1"/>
  <c r="N953" i="1"/>
  <c r="R953" i="1" s="1"/>
  <c r="AL953" i="1"/>
  <c r="AO953" i="1"/>
  <c r="A954" i="1"/>
  <c r="B954" i="1"/>
  <c r="E954" i="1"/>
  <c r="F954" i="1"/>
  <c r="G954" i="1"/>
  <c r="H954" i="1"/>
  <c r="I954" i="1"/>
  <c r="J954" i="1"/>
  <c r="M954" i="1"/>
  <c r="N954" i="1"/>
  <c r="R954" i="1" s="1"/>
  <c r="AL954" i="1"/>
  <c r="AO954" i="1"/>
  <c r="A955" i="1"/>
  <c r="B955" i="1"/>
  <c r="E955" i="1"/>
  <c r="F955" i="1"/>
  <c r="G955" i="1"/>
  <c r="H955" i="1"/>
  <c r="I955" i="1"/>
  <c r="J955" i="1"/>
  <c r="M955" i="1"/>
  <c r="T955" i="1" s="1"/>
  <c r="N955" i="1"/>
  <c r="R955" i="1" s="1"/>
  <c r="AL955" i="1"/>
  <c r="AO955" i="1"/>
  <c r="A956" i="1"/>
  <c r="B956" i="1"/>
  <c r="E956" i="1"/>
  <c r="F956" i="1"/>
  <c r="G956" i="1"/>
  <c r="H956" i="1"/>
  <c r="I956" i="1"/>
  <c r="J956" i="1"/>
  <c r="M956" i="1"/>
  <c r="T956" i="1" s="1"/>
  <c r="N956" i="1"/>
  <c r="R956" i="1" s="1"/>
  <c r="AL956" i="1"/>
  <c r="AO956" i="1"/>
  <c r="A957" i="1"/>
  <c r="B957" i="1"/>
  <c r="E957" i="1"/>
  <c r="F957" i="1"/>
  <c r="G957" i="1"/>
  <c r="H957" i="1"/>
  <c r="I957" i="1"/>
  <c r="J957" i="1"/>
  <c r="M957" i="1"/>
  <c r="T957" i="1" s="1"/>
  <c r="N957" i="1"/>
  <c r="R957" i="1" s="1"/>
  <c r="AL957" i="1"/>
  <c r="AO957" i="1"/>
  <c r="A958" i="1"/>
  <c r="B958" i="1"/>
  <c r="E958" i="1"/>
  <c r="F958" i="1"/>
  <c r="G958" i="1"/>
  <c r="H958" i="1"/>
  <c r="I958" i="1"/>
  <c r="J958" i="1"/>
  <c r="M958" i="1"/>
  <c r="N958" i="1"/>
  <c r="R958" i="1" s="1"/>
  <c r="AL958" i="1"/>
  <c r="AO958" i="1"/>
  <c r="A959" i="1"/>
  <c r="B959" i="1"/>
  <c r="E959" i="1"/>
  <c r="F959" i="1"/>
  <c r="G959" i="1"/>
  <c r="H959" i="1"/>
  <c r="I959" i="1"/>
  <c r="J959" i="1"/>
  <c r="M959" i="1"/>
  <c r="T959" i="1" s="1"/>
  <c r="N959" i="1"/>
  <c r="R959" i="1" s="1"/>
  <c r="AL959" i="1"/>
  <c r="AO959" i="1"/>
  <c r="A960" i="1"/>
  <c r="B960" i="1"/>
  <c r="E960" i="1"/>
  <c r="F960" i="1"/>
  <c r="G960" i="1"/>
  <c r="H960" i="1"/>
  <c r="I960" i="1"/>
  <c r="J960" i="1"/>
  <c r="M960" i="1"/>
  <c r="N960" i="1"/>
  <c r="R960" i="1" s="1"/>
  <c r="AL960" i="1"/>
  <c r="AO960" i="1"/>
  <c r="A961" i="1"/>
  <c r="B961" i="1"/>
  <c r="E961" i="1"/>
  <c r="F961" i="1"/>
  <c r="G961" i="1"/>
  <c r="H961" i="1"/>
  <c r="I961" i="1"/>
  <c r="J961" i="1"/>
  <c r="M961" i="1"/>
  <c r="T961" i="1" s="1"/>
  <c r="N961" i="1"/>
  <c r="R961" i="1" s="1"/>
  <c r="AL961" i="1"/>
  <c r="AO961" i="1"/>
  <c r="A962" i="1"/>
  <c r="B962" i="1"/>
  <c r="E962" i="1"/>
  <c r="F962" i="1"/>
  <c r="G962" i="1"/>
  <c r="H962" i="1"/>
  <c r="I962" i="1"/>
  <c r="J962" i="1"/>
  <c r="M962" i="1"/>
  <c r="N962" i="1"/>
  <c r="R962" i="1" s="1"/>
  <c r="AL962" i="1"/>
  <c r="AO962" i="1"/>
  <c r="A963" i="1"/>
  <c r="B963" i="1"/>
  <c r="E963" i="1"/>
  <c r="F963" i="1"/>
  <c r="G963" i="1"/>
  <c r="H963" i="1"/>
  <c r="I963" i="1"/>
  <c r="J963" i="1"/>
  <c r="M963" i="1"/>
  <c r="T963" i="1" s="1"/>
  <c r="N963" i="1"/>
  <c r="R963" i="1" s="1"/>
  <c r="AL963" i="1"/>
  <c r="AO963" i="1"/>
  <c r="A964" i="1"/>
  <c r="B964" i="1"/>
  <c r="E964" i="1"/>
  <c r="F964" i="1"/>
  <c r="G964" i="1"/>
  <c r="H964" i="1"/>
  <c r="I964" i="1"/>
  <c r="J964" i="1"/>
  <c r="M964" i="1"/>
  <c r="N964" i="1"/>
  <c r="R964" i="1" s="1"/>
  <c r="AL964" i="1"/>
  <c r="AO964" i="1"/>
  <c r="A965" i="1"/>
  <c r="B965" i="1"/>
  <c r="E965" i="1"/>
  <c r="F965" i="1"/>
  <c r="G965" i="1"/>
  <c r="H965" i="1"/>
  <c r="I965" i="1"/>
  <c r="J965" i="1"/>
  <c r="M965" i="1"/>
  <c r="T965" i="1" s="1"/>
  <c r="N965" i="1"/>
  <c r="R965" i="1" s="1"/>
  <c r="AL965" i="1"/>
  <c r="AO965" i="1"/>
  <c r="A966" i="1"/>
  <c r="B966" i="1"/>
  <c r="E966" i="1"/>
  <c r="F966" i="1"/>
  <c r="G966" i="1"/>
  <c r="H966" i="1"/>
  <c r="I966" i="1"/>
  <c r="J966" i="1"/>
  <c r="M966" i="1"/>
  <c r="N966" i="1"/>
  <c r="R966" i="1" s="1"/>
  <c r="AL966" i="1"/>
  <c r="AO966" i="1"/>
  <c r="A967" i="1"/>
  <c r="B967" i="1"/>
  <c r="E967" i="1"/>
  <c r="F967" i="1"/>
  <c r="G967" i="1"/>
  <c r="H967" i="1"/>
  <c r="I967" i="1"/>
  <c r="J967" i="1"/>
  <c r="M967" i="1"/>
  <c r="T967" i="1" s="1"/>
  <c r="N967" i="1"/>
  <c r="R967" i="1" s="1"/>
  <c r="AL967" i="1"/>
  <c r="AO967" i="1"/>
  <c r="A968" i="1"/>
  <c r="B968" i="1"/>
  <c r="E968" i="1"/>
  <c r="F968" i="1"/>
  <c r="G968" i="1"/>
  <c r="H968" i="1"/>
  <c r="I968" i="1"/>
  <c r="J968" i="1"/>
  <c r="M968" i="1"/>
  <c r="N968" i="1"/>
  <c r="R968" i="1" s="1"/>
  <c r="AL968" i="1"/>
  <c r="AO968" i="1"/>
  <c r="A969" i="1"/>
  <c r="B969" i="1"/>
  <c r="E969" i="1"/>
  <c r="F969" i="1"/>
  <c r="G969" i="1"/>
  <c r="H969" i="1"/>
  <c r="I969" i="1"/>
  <c r="J969" i="1"/>
  <c r="M969" i="1"/>
  <c r="T969" i="1" s="1"/>
  <c r="N969" i="1"/>
  <c r="R969" i="1" s="1"/>
  <c r="AL969" i="1"/>
  <c r="AO969" i="1"/>
  <c r="A970" i="1"/>
  <c r="B970" i="1"/>
  <c r="E970" i="1"/>
  <c r="F970" i="1"/>
  <c r="G970" i="1"/>
  <c r="H970" i="1"/>
  <c r="I970" i="1"/>
  <c r="J970" i="1"/>
  <c r="M970" i="1"/>
  <c r="N970" i="1"/>
  <c r="R970" i="1" s="1"/>
  <c r="AL970" i="1"/>
  <c r="AO970" i="1"/>
  <c r="A971" i="1"/>
  <c r="AN971" i="1" s="1"/>
  <c r="B971" i="1"/>
  <c r="E971" i="1"/>
  <c r="F971" i="1"/>
  <c r="G971" i="1"/>
  <c r="H971" i="1"/>
  <c r="I971" i="1"/>
  <c r="J971" i="1"/>
  <c r="M971" i="1"/>
  <c r="T971" i="1" s="1"/>
  <c r="N971" i="1"/>
  <c r="R971" i="1" s="1"/>
  <c r="AL971" i="1"/>
  <c r="AO971" i="1"/>
  <c r="A972" i="1"/>
  <c r="AN972" i="1" s="1"/>
  <c r="B972" i="1"/>
  <c r="E972" i="1"/>
  <c r="F972" i="1"/>
  <c r="G972" i="1"/>
  <c r="H972" i="1"/>
  <c r="I972" i="1"/>
  <c r="J972" i="1"/>
  <c r="M972" i="1"/>
  <c r="N972" i="1"/>
  <c r="R972" i="1" s="1"/>
  <c r="AE972" i="1"/>
  <c r="AL972" i="1"/>
  <c r="AO972" i="1"/>
  <c r="A973" i="1"/>
  <c r="B973" i="1"/>
  <c r="E973" i="1"/>
  <c r="F973" i="1"/>
  <c r="G973" i="1"/>
  <c r="H973" i="1"/>
  <c r="I973" i="1"/>
  <c r="J973" i="1"/>
  <c r="M973" i="1"/>
  <c r="T973" i="1" s="1"/>
  <c r="N973" i="1"/>
  <c r="R973" i="1" s="1"/>
  <c r="AL973" i="1"/>
  <c r="AO973" i="1"/>
  <c r="A974" i="1"/>
  <c r="B974" i="1"/>
  <c r="X974" i="1" s="1"/>
  <c r="E974" i="1"/>
  <c r="F974" i="1"/>
  <c r="G974" i="1"/>
  <c r="H974" i="1"/>
  <c r="I974" i="1"/>
  <c r="J974" i="1"/>
  <c r="M974" i="1"/>
  <c r="N974" i="1"/>
  <c r="R974" i="1" s="1"/>
  <c r="AL974" i="1"/>
  <c r="AO974" i="1"/>
  <c r="A975" i="1"/>
  <c r="B975" i="1"/>
  <c r="E975" i="1"/>
  <c r="F975" i="1"/>
  <c r="G975" i="1"/>
  <c r="H975" i="1"/>
  <c r="I975" i="1"/>
  <c r="J975" i="1"/>
  <c r="M975" i="1"/>
  <c r="T975" i="1" s="1"/>
  <c r="N975" i="1"/>
  <c r="R975" i="1" s="1"/>
  <c r="AL975" i="1"/>
  <c r="AO975" i="1"/>
  <c r="A976" i="1"/>
  <c r="B976" i="1"/>
  <c r="X976" i="1" s="1"/>
  <c r="E976" i="1"/>
  <c r="F976" i="1"/>
  <c r="G976" i="1"/>
  <c r="H976" i="1"/>
  <c r="I976" i="1"/>
  <c r="J976" i="1"/>
  <c r="M976" i="1"/>
  <c r="T976" i="1" s="1"/>
  <c r="N976" i="1"/>
  <c r="R976" i="1" s="1"/>
  <c r="AL976" i="1"/>
  <c r="AO976" i="1"/>
  <c r="A977" i="1"/>
  <c r="B977" i="1"/>
  <c r="E977" i="1"/>
  <c r="F977" i="1"/>
  <c r="G977" i="1"/>
  <c r="H977" i="1"/>
  <c r="I977" i="1"/>
  <c r="J977" i="1"/>
  <c r="M977" i="1"/>
  <c r="T977" i="1" s="1"/>
  <c r="N977" i="1"/>
  <c r="R977" i="1" s="1"/>
  <c r="AL977" i="1"/>
  <c r="AO977" i="1"/>
  <c r="A978" i="1"/>
  <c r="B978" i="1"/>
  <c r="E978" i="1"/>
  <c r="F978" i="1"/>
  <c r="G978" i="1"/>
  <c r="H978" i="1"/>
  <c r="I978" i="1"/>
  <c r="J978" i="1"/>
  <c r="M978" i="1"/>
  <c r="N978" i="1"/>
  <c r="R978" i="1" s="1"/>
  <c r="AL978" i="1"/>
  <c r="AO978" i="1"/>
  <c r="A979" i="1"/>
  <c r="AN979" i="1" s="1"/>
  <c r="B979" i="1"/>
  <c r="X979" i="1" s="1"/>
  <c r="E979" i="1"/>
  <c r="F979" i="1"/>
  <c r="G979" i="1"/>
  <c r="H979" i="1"/>
  <c r="I979" i="1"/>
  <c r="J979" i="1"/>
  <c r="M979" i="1"/>
  <c r="N979" i="1"/>
  <c r="R979" i="1" s="1"/>
  <c r="AL979" i="1"/>
  <c r="AO979" i="1"/>
  <c r="A980" i="1"/>
  <c r="B980" i="1"/>
  <c r="X980" i="1" s="1"/>
  <c r="E980" i="1"/>
  <c r="F980" i="1"/>
  <c r="G980" i="1"/>
  <c r="H980" i="1"/>
  <c r="I980" i="1"/>
  <c r="J980" i="1"/>
  <c r="M980" i="1"/>
  <c r="T980" i="1" s="1"/>
  <c r="N980" i="1"/>
  <c r="R980" i="1" s="1"/>
  <c r="AL980" i="1"/>
  <c r="AO980" i="1"/>
  <c r="A981" i="1"/>
  <c r="B981" i="1"/>
  <c r="X981" i="1" s="1"/>
  <c r="E981" i="1"/>
  <c r="F981" i="1"/>
  <c r="G981" i="1"/>
  <c r="H981" i="1"/>
  <c r="I981" i="1"/>
  <c r="J981" i="1"/>
  <c r="M981" i="1"/>
  <c r="N981" i="1"/>
  <c r="R981" i="1" s="1"/>
  <c r="AL981" i="1"/>
  <c r="AO981" i="1"/>
  <c r="A982" i="1"/>
  <c r="B982" i="1"/>
  <c r="E982" i="1"/>
  <c r="F982" i="1"/>
  <c r="G982" i="1"/>
  <c r="H982" i="1"/>
  <c r="I982" i="1"/>
  <c r="J982" i="1"/>
  <c r="M982" i="1"/>
  <c r="N982" i="1"/>
  <c r="R982" i="1" s="1"/>
  <c r="AL982" i="1"/>
  <c r="AO982" i="1"/>
  <c r="A983" i="1"/>
  <c r="B983" i="1"/>
  <c r="E983" i="1"/>
  <c r="F983" i="1"/>
  <c r="G983" i="1"/>
  <c r="H983" i="1"/>
  <c r="I983" i="1"/>
  <c r="J983" i="1"/>
  <c r="M983" i="1"/>
  <c r="T983" i="1" s="1"/>
  <c r="N983" i="1"/>
  <c r="R983" i="1" s="1"/>
  <c r="AL983" i="1"/>
  <c r="AO983" i="1"/>
  <c r="A984" i="1"/>
  <c r="B984" i="1"/>
  <c r="E984" i="1"/>
  <c r="F984" i="1"/>
  <c r="G984" i="1"/>
  <c r="H984" i="1"/>
  <c r="I984" i="1"/>
  <c r="J984" i="1"/>
  <c r="M984" i="1"/>
  <c r="T984" i="1" s="1"/>
  <c r="N984" i="1"/>
  <c r="R984" i="1" s="1"/>
  <c r="AL984" i="1"/>
  <c r="AO984" i="1"/>
  <c r="A985" i="1"/>
  <c r="B985" i="1"/>
  <c r="E985" i="1"/>
  <c r="F985" i="1"/>
  <c r="G985" i="1"/>
  <c r="H985" i="1"/>
  <c r="I985" i="1"/>
  <c r="J985" i="1"/>
  <c r="M985" i="1"/>
  <c r="N985" i="1"/>
  <c r="R985" i="1" s="1"/>
  <c r="AL985" i="1"/>
  <c r="AO985" i="1"/>
  <c r="A986" i="1"/>
  <c r="B986" i="1"/>
  <c r="E986" i="1"/>
  <c r="F986" i="1"/>
  <c r="G986" i="1"/>
  <c r="H986" i="1"/>
  <c r="I986" i="1"/>
  <c r="J986" i="1"/>
  <c r="M986" i="1"/>
  <c r="N986" i="1"/>
  <c r="R986" i="1" s="1"/>
  <c r="AL986" i="1"/>
  <c r="AO986" i="1"/>
  <c r="A987" i="1"/>
  <c r="B987" i="1"/>
  <c r="E987" i="1"/>
  <c r="F987" i="1"/>
  <c r="G987" i="1"/>
  <c r="H987" i="1"/>
  <c r="I987" i="1"/>
  <c r="J987" i="1"/>
  <c r="M987" i="1"/>
  <c r="T987" i="1" s="1"/>
  <c r="N987" i="1"/>
  <c r="R987" i="1" s="1"/>
  <c r="AE987" i="1"/>
  <c r="AL987" i="1"/>
  <c r="AO987" i="1"/>
  <c r="A988" i="1"/>
  <c r="B988" i="1"/>
  <c r="E988" i="1"/>
  <c r="F988" i="1"/>
  <c r="G988" i="1"/>
  <c r="H988" i="1"/>
  <c r="I988" i="1"/>
  <c r="J988" i="1"/>
  <c r="M988" i="1"/>
  <c r="N988" i="1"/>
  <c r="R988" i="1" s="1"/>
  <c r="AL988" i="1"/>
  <c r="AO988" i="1"/>
  <c r="A989" i="1"/>
  <c r="B989" i="1"/>
  <c r="E989" i="1"/>
  <c r="F989" i="1"/>
  <c r="G989" i="1"/>
  <c r="H989" i="1"/>
  <c r="I989" i="1"/>
  <c r="J989" i="1"/>
  <c r="M989" i="1"/>
  <c r="T989" i="1" s="1"/>
  <c r="N989" i="1"/>
  <c r="R989" i="1" s="1"/>
  <c r="AL989" i="1"/>
  <c r="AO989" i="1"/>
  <c r="A990" i="1"/>
  <c r="B990" i="1"/>
  <c r="E990" i="1"/>
  <c r="F990" i="1"/>
  <c r="G990" i="1"/>
  <c r="H990" i="1"/>
  <c r="I990" i="1"/>
  <c r="J990" i="1"/>
  <c r="M990" i="1"/>
  <c r="T990" i="1" s="1"/>
  <c r="N990" i="1"/>
  <c r="R990" i="1" s="1"/>
  <c r="AL990" i="1"/>
  <c r="AO990" i="1"/>
  <c r="A991" i="1"/>
  <c r="B991" i="1"/>
  <c r="E991" i="1"/>
  <c r="F991" i="1"/>
  <c r="G991" i="1"/>
  <c r="H991" i="1"/>
  <c r="I991" i="1"/>
  <c r="J991" i="1"/>
  <c r="M991" i="1"/>
  <c r="T991" i="1" s="1"/>
  <c r="N991" i="1"/>
  <c r="R991" i="1" s="1"/>
  <c r="AL991" i="1"/>
  <c r="AO991" i="1"/>
  <c r="A992" i="1"/>
  <c r="B992" i="1"/>
  <c r="E992" i="1"/>
  <c r="F992" i="1"/>
  <c r="G992" i="1"/>
  <c r="H992" i="1"/>
  <c r="I992" i="1"/>
  <c r="J992" i="1"/>
  <c r="M992" i="1"/>
  <c r="N992" i="1"/>
  <c r="R992" i="1" s="1"/>
  <c r="AL992" i="1"/>
  <c r="AO992" i="1"/>
  <c r="A993" i="1"/>
  <c r="B993" i="1"/>
  <c r="E993" i="1"/>
  <c r="F993" i="1"/>
  <c r="G993" i="1"/>
  <c r="H993" i="1"/>
  <c r="I993" i="1"/>
  <c r="J993" i="1"/>
  <c r="M993" i="1"/>
  <c r="N993" i="1"/>
  <c r="R993" i="1" s="1"/>
  <c r="AL993" i="1"/>
  <c r="AO993" i="1"/>
  <c r="A994" i="1"/>
  <c r="B994" i="1"/>
  <c r="E994" i="1"/>
  <c r="F994" i="1"/>
  <c r="G994" i="1"/>
  <c r="H994" i="1"/>
  <c r="I994" i="1"/>
  <c r="J994" i="1"/>
  <c r="M994" i="1"/>
  <c r="N994" i="1"/>
  <c r="R994" i="1" s="1"/>
  <c r="AL994" i="1"/>
  <c r="AO994" i="1"/>
  <c r="A995" i="1"/>
  <c r="B995" i="1"/>
  <c r="E995" i="1"/>
  <c r="F995" i="1"/>
  <c r="G995" i="1"/>
  <c r="H995" i="1"/>
  <c r="I995" i="1"/>
  <c r="J995" i="1"/>
  <c r="M995" i="1"/>
  <c r="T995" i="1" s="1"/>
  <c r="N995" i="1"/>
  <c r="R995" i="1" s="1"/>
  <c r="AE995" i="1"/>
  <c r="AL995" i="1"/>
  <c r="AO995" i="1"/>
  <c r="A996" i="1"/>
  <c r="B996" i="1"/>
  <c r="E996" i="1"/>
  <c r="F996" i="1"/>
  <c r="G996" i="1"/>
  <c r="H996" i="1"/>
  <c r="I996" i="1"/>
  <c r="J996" i="1"/>
  <c r="M996" i="1"/>
  <c r="T996" i="1" s="1"/>
  <c r="N996" i="1"/>
  <c r="R996" i="1" s="1"/>
  <c r="AE996" i="1"/>
  <c r="AL996" i="1"/>
  <c r="AO996" i="1"/>
  <c r="A997" i="1"/>
  <c r="B997" i="1"/>
  <c r="E997" i="1"/>
  <c r="F997" i="1"/>
  <c r="G997" i="1"/>
  <c r="H997" i="1"/>
  <c r="I997" i="1"/>
  <c r="J997" i="1"/>
  <c r="M997" i="1"/>
  <c r="N997" i="1"/>
  <c r="R997" i="1" s="1"/>
  <c r="AL997" i="1"/>
  <c r="AO997" i="1"/>
  <c r="A998" i="1"/>
  <c r="B998" i="1"/>
  <c r="E998" i="1"/>
  <c r="F998" i="1"/>
  <c r="G998" i="1"/>
  <c r="H998" i="1"/>
  <c r="I998" i="1"/>
  <c r="J998" i="1"/>
  <c r="M998" i="1"/>
  <c r="N998" i="1"/>
  <c r="R998" i="1" s="1"/>
  <c r="AL998" i="1"/>
  <c r="AO998" i="1"/>
  <c r="A999" i="1"/>
  <c r="B999" i="1"/>
  <c r="E999" i="1"/>
  <c r="F999" i="1"/>
  <c r="G999" i="1"/>
  <c r="H999" i="1"/>
  <c r="I999" i="1"/>
  <c r="J999" i="1"/>
  <c r="M999" i="1"/>
  <c r="T999" i="1" s="1"/>
  <c r="N999" i="1"/>
  <c r="R999" i="1" s="1"/>
  <c r="AL999" i="1"/>
  <c r="AO999" i="1"/>
  <c r="A909" i="1"/>
  <c r="B909" i="1"/>
  <c r="E909" i="1"/>
  <c r="F909" i="1"/>
  <c r="G909" i="1"/>
  <c r="H909" i="1"/>
  <c r="I909" i="1"/>
  <c r="J909" i="1"/>
  <c r="M909" i="1"/>
  <c r="N909" i="1"/>
  <c r="R909" i="1" s="1"/>
  <c r="AL909" i="1"/>
  <c r="AO909" i="1"/>
  <c r="A910" i="1"/>
  <c r="B910" i="1"/>
  <c r="E910" i="1"/>
  <c r="F910" i="1"/>
  <c r="G910" i="1"/>
  <c r="H910" i="1"/>
  <c r="I910" i="1"/>
  <c r="J910" i="1"/>
  <c r="M910" i="1"/>
  <c r="T910" i="1" s="1"/>
  <c r="N910" i="1"/>
  <c r="R910" i="1" s="1"/>
  <c r="AL910" i="1"/>
  <c r="AO910" i="1"/>
  <c r="A911" i="1"/>
  <c r="B911" i="1"/>
  <c r="E911" i="1"/>
  <c r="F911" i="1"/>
  <c r="G911" i="1"/>
  <c r="H911" i="1"/>
  <c r="I911" i="1"/>
  <c r="J911" i="1"/>
  <c r="M911" i="1"/>
  <c r="T911" i="1" s="1"/>
  <c r="N911" i="1"/>
  <c r="R911" i="1" s="1"/>
  <c r="AL911" i="1"/>
  <c r="AO911" i="1"/>
  <c r="A912" i="1"/>
  <c r="B912" i="1"/>
  <c r="E912" i="1"/>
  <c r="F912" i="1"/>
  <c r="G912" i="1"/>
  <c r="H912" i="1"/>
  <c r="I912" i="1"/>
  <c r="J912" i="1"/>
  <c r="M912" i="1"/>
  <c r="N912" i="1"/>
  <c r="R912" i="1" s="1"/>
  <c r="AL912" i="1"/>
  <c r="AO912" i="1"/>
  <c r="A913" i="1"/>
  <c r="B913" i="1"/>
  <c r="E913" i="1"/>
  <c r="F913" i="1"/>
  <c r="G913" i="1"/>
  <c r="H913" i="1"/>
  <c r="I913" i="1"/>
  <c r="J913" i="1"/>
  <c r="M913" i="1"/>
  <c r="N913" i="1"/>
  <c r="R913" i="1" s="1"/>
  <c r="AL913" i="1"/>
  <c r="AO913" i="1"/>
  <c r="A914" i="1"/>
  <c r="B914" i="1"/>
  <c r="E914" i="1"/>
  <c r="F914" i="1"/>
  <c r="G914" i="1"/>
  <c r="H914" i="1"/>
  <c r="I914" i="1"/>
  <c r="J914" i="1"/>
  <c r="M914" i="1"/>
  <c r="T914" i="1" s="1"/>
  <c r="N914" i="1"/>
  <c r="R914" i="1" s="1"/>
  <c r="AL914" i="1"/>
  <c r="AO914" i="1"/>
  <c r="A915" i="1"/>
  <c r="B915" i="1"/>
  <c r="E915" i="1"/>
  <c r="F915" i="1"/>
  <c r="G915" i="1"/>
  <c r="H915" i="1"/>
  <c r="I915" i="1"/>
  <c r="J915" i="1"/>
  <c r="M915" i="1"/>
  <c r="N915" i="1"/>
  <c r="R915" i="1" s="1"/>
  <c r="AL915" i="1"/>
  <c r="AO915" i="1"/>
  <c r="A916" i="1"/>
  <c r="B916" i="1"/>
  <c r="E916" i="1"/>
  <c r="F916" i="1"/>
  <c r="G916" i="1"/>
  <c r="H916" i="1"/>
  <c r="I916" i="1"/>
  <c r="J916" i="1"/>
  <c r="M916" i="1"/>
  <c r="N916" i="1"/>
  <c r="R916" i="1" s="1"/>
  <c r="AL916" i="1"/>
  <c r="AO916" i="1"/>
  <c r="A917" i="1"/>
  <c r="B917" i="1"/>
  <c r="E917" i="1"/>
  <c r="F917" i="1"/>
  <c r="G917" i="1"/>
  <c r="H917" i="1"/>
  <c r="I917" i="1"/>
  <c r="J917" i="1"/>
  <c r="M917" i="1"/>
  <c r="N917" i="1"/>
  <c r="R917" i="1" s="1"/>
  <c r="AL917" i="1"/>
  <c r="AO917" i="1"/>
  <c r="A918" i="1"/>
  <c r="B918" i="1"/>
  <c r="E918" i="1"/>
  <c r="F918" i="1"/>
  <c r="G918" i="1"/>
  <c r="H918" i="1"/>
  <c r="I918" i="1"/>
  <c r="J918" i="1"/>
  <c r="M918" i="1"/>
  <c r="T918" i="1" s="1"/>
  <c r="N918" i="1"/>
  <c r="R918" i="1" s="1"/>
  <c r="AL918" i="1"/>
  <c r="AO918" i="1"/>
  <c r="A919" i="1"/>
  <c r="B919" i="1"/>
  <c r="E919" i="1"/>
  <c r="F919" i="1"/>
  <c r="G919" i="1"/>
  <c r="H919" i="1"/>
  <c r="I919" i="1"/>
  <c r="J919" i="1"/>
  <c r="M919" i="1"/>
  <c r="N919" i="1"/>
  <c r="R919" i="1" s="1"/>
  <c r="AL919" i="1"/>
  <c r="AO919" i="1"/>
  <c r="A920" i="1"/>
  <c r="B920" i="1"/>
  <c r="E920" i="1"/>
  <c r="F920" i="1"/>
  <c r="G920" i="1"/>
  <c r="H920" i="1"/>
  <c r="I920" i="1"/>
  <c r="J920" i="1"/>
  <c r="M920" i="1"/>
  <c r="T920" i="1" s="1"/>
  <c r="N920" i="1"/>
  <c r="R920" i="1" s="1"/>
  <c r="AL920" i="1"/>
  <c r="AO920" i="1"/>
  <c r="A921" i="1"/>
  <c r="B921" i="1"/>
  <c r="E921" i="1"/>
  <c r="F921" i="1"/>
  <c r="G921" i="1"/>
  <c r="H921" i="1"/>
  <c r="I921" i="1"/>
  <c r="J921" i="1"/>
  <c r="M921" i="1"/>
  <c r="T921" i="1" s="1"/>
  <c r="N921" i="1"/>
  <c r="R921" i="1" s="1"/>
  <c r="AL921" i="1"/>
  <c r="AO921" i="1"/>
  <c r="A922" i="1"/>
  <c r="B922" i="1"/>
  <c r="E922" i="1"/>
  <c r="F922" i="1"/>
  <c r="G922" i="1"/>
  <c r="H922" i="1"/>
  <c r="I922" i="1"/>
  <c r="J922" i="1"/>
  <c r="M922" i="1"/>
  <c r="T922" i="1" s="1"/>
  <c r="N922" i="1"/>
  <c r="R922" i="1" s="1"/>
  <c r="AL922" i="1"/>
  <c r="AO922" i="1"/>
  <c r="A923" i="1"/>
  <c r="B923" i="1"/>
  <c r="E923" i="1"/>
  <c r="F923" i="1"/>
  <c r="G923" i="1"/>
  <c r="H923" i="1"/>
  <c r="I923" i="1"/>
  <c r="J923" i="1"/>
  <c r="M923" i="1"/>
  <c r="T923" i="1" s="1"/>
  <c r="N923" i="1"/>
  <c r="R923" i="1" s="1"/>
  <c r="AL923" i="1"/>
  <c r="AO923" i="1"/>
  <c r="A924" i="1"/>
  <c r="B924" i="1"/>
  <c r="E924" i="1"/>
  <c r="F924" i="1"/>
  <c r="G924" i="1"/>
  <c r="H924" i="1"/>
  <c r="I924" i="1"/>
  <c r="J924" i="1"/>
  <c r="M924" i="1"/>
  <c r="N924" i="1"/>
  <c r="R924" i="1" s="1"/>
  <c r="AL924" i="1"/>
  <c r="AO924" i="1"/>
  <c r="A925" i="1"/>
  <c r="B925" i="1"/>
  <c r="E925" i="1"/>
  <c r="F925" i="1"/>
  <c r="G925" i="1"/>
  <c r="H925" i="1"/>
  <c r="I925" i="1"/>
  <c r="J925" i="1"/>
  <c r="M925" i="1"/>
  <c r="N925" i="1"/>
  <c r="R925" i="1" s="1"/>
  <c r="AL925" i="1"/>
  <c r="AO925" i="1"/>
  <c r="A926" i="1"/>
  <c r="B926" i="1"/>
  <c r="E926" i="1"/>
  <c r="F926" i="1"/>
  <c r="G926" i="1"/>
  <c r="H926" i="1"/>
  <c r="I926" i="1"/>
  <c r="J926" i="1"/>
  <c r="M926" i="1"/>
  <c r="T926" i="1" s="1"/>
  <c r="N926" i="1"/>
  <c r="R926" i="1" s="1"/>
  <c r="AL926" i="1"/>
  <c r="AO926" i="1"/>
  <c r="A927" i="1"/>
  <c r="B927" i="1"/>
  <c r="E927" i="1"/>
  <c r="F927" i="1"/>
  <c r="G927" i="1"/>
  <c r="H927" i="1"/>
  <c r="I927" i="1"/>
  <c r="J927" i="1"/>
  <c r="M927" i="1"/>
  <c r="N927" i="1"/>
  <c r="R927" i="1" s="1"/>
  <c r="AL927" i="1"/>
  <c r="AO927" i="1"/>
  <c r="A928" i="1"/>
  <c r="B928" i="1"/>
  <c r="E928" i="1"/>
  <c r="F928" i="1"/>
  <c r="G928" i="1"/>
  <c r="H928" i="1"/>
  <c r="I928" i="1"/>
  <c r="J928" i="1"/>
  <c r="M928" i="1"/>
  <c r="N928" i="1"/>
  <c r="R928" i="1" s="1"/>
  <c r="AL928" i="1"/>
  <c r="AO928" i="1"/>
  <c r="A929" i="1"/>
  <c r="B929" i="1"/>
  <c r="E929" i="1"/>
  <c r="F929" i="1"/>
  <c r="G929" i="1"/>
  <c r="H929" i="1"/>
  <c r="I929" i="1"/>
  <c r="J929" i="1"/>
  <c r="M929" i="1"/>
  <c r="N929" i="1"/>
  <c r="R929" i="1" s="1"/>
  <c r="AL929" i="1"/>
  <c r="AO929" i="1"/>
  <c r="A930" i="1"/>
  <c r="B930" i="1"/>
  <c r="E930" i="1"/>
  <c r="F930" i="1"/>
  <c r="G930" i="1"/>
  <c r="H930" i="1"/>
  <c r="I930" i="1"/>
  <c r="J930" i="1"/>
  <c r="M930" i="1"/>
  <c r="T930" i="1" s="1"/>
  <c r="N930" i="1"/>
  <c r="R930" i="1" s="1"/>
  <c r="AL930" i="1"/>
  <c r="AO930" i="1"/>
  <c r="A931" i="1"/>
  <c r="B931" i="1"/>
  <c r="E931" i="1"/>
  <c r="F931" i="1"/>
  <c r="G931" i="1"/>
  <c r="H931" i="1"/>
  <c r="I931" i="1"/>
  <c r="J931" i="1"/>
  <c r="M931" i="1"/>
  <c r="T931" i="1" s="1"/>
  <c r="N931" i="1"/>
  <c r="R931" i="1" s="1"/>
  <c r="AL931" i="1"/>
  <c r="AO931" i="1"/>
  <c r="A932" i="1"/>
  <c r="B932" i="1"/>
  <c r="E932" i="1"/>
  <c r="F932" i="1"/>
  <c r="G932" i="1"/>
  <c r="H932" i="1"/>
  <c r="I932" i="1"/>
  <c r="J932" i="1"/>
  <c r="M932" i="1"/>
  <c r="T932" i="1" s="1"/>
  <c r="N932" i="1"/>
  <c r="R932" i="1" s="1"/>
  <c r="AL932" i="1"/>
  <c r="AO932" i="1"/>
  <c r="A933" i="1"/>
  <c r="AN933" i="1" s="1"/>
  <c r="B933" i="1"/>
  <c r="E933" i="1"/>
  <c r="F933" i="1"/>
  <c r="G933" i="1"/>
  <c r="H933" i="1"/>
  <c r="I933" i="1"/>
  <c r="J933" i="1"/>
  <c r="M933" i="1"/>
  <c r="N933" i="1"/>
  <c r="R933" i="1" s="1"/>
  <c r="AL933" i="1"/>
  <c r="AO933" i="1"/>
  <c r="A934" i="1"/>
  <c r="B934" i="1"/>
  <c r="E934" i="1"/>
  <c r="F934" i="1"/>
  <c r="G934" i="1"/>
  <c r="H934" i="1"/>
  <c r="I934" i="1"/>
  <c r="J934" i="1"/>
  <c r="M934" i="1"/>
  <c r="T934" i="1" s="1"/>
  <c r="N934" i="1"/>
  <c r="R934" i="1" s="1"/>
  <c r="AL934" i="1"/>
  <c r="AO934" i="1"/>
  <c r="A935" i="1"/>
  <c r="B935" i="1"/>
  <c r="E935" i="1"/>
  <c r="F935" i="1"/>
  <c r="G935" i="1"/>
  <c r="H935" i="1"/>
  <c r="I935" i="1"/>
  <c r="J935" i="1"/>
  <c r="M935" i="1"/>
  <c r="N935" i="1"/>
  <c r="R935" i="1" s="1"/>
  <c r="AL935" i="1"/>
  <c r="AO935" i="1"/>
  <c r="A936" i="1"/>
  <c r="B936" i="1"/>
  <c r="E936" i="1"/>
  <c r="F936" i="1"/>
  <c r="G936" i="1"/>
  <c r="H936" i="1"/>
  <c r="I936" i="1"/>
  <c r="J936" i="1"/>
  <c r="M936" i="1"/>
  <c r="T936" i="1" s="1"/>
  <c r="N936" i="1"/>
  <c r="R936" i="1" s="1"/>
  <c r="AL936" i="1"/>
  <c r="AO936" i="1"/>
  <c r="A937" i="1"/>
  <c r="B937" i="1"/>
  <c r="E937" i="1"/>
  <c r="F937" i="1"/>
  <c r="G937" i="1"/>
  <c r="H937" i="1"/>
  <c r="I937" i="1"/>
  <c r="J937" i="1"/>
  <c r="M937" i="1"/>
  <c r="N937" i="1"/>
  <c r="R937" i="1" s="1"/>
  <c r="AL937" i="1"/>
  <c r="AO937" i="1"/>
  <c r="A938" i="1"/>
  <c r="B938" i="1"/>
  <c r="E938" i="1"/>
  <c r="F938" i="1"/>
  <c r="G938" i="1"/>
  <c r="H938" i="1"/>
  <c r="I938" i="1"/>
  <c r="J938" i="1"/>
  <c r="M938" i="1"/>
  <c r="T938" i="1" s="1"/>
  <c r="N938" i="1"/>
  <c r="R938" i="1" s="1"/>
  <c r="AL938" i="1"/>
  <c r="AO938" i="1"/>
  <c r="A939" i="1"/>
  <c r="B939" i="1"/>
  <c r="E939" i="1"/>
  <c r="F939" i="1"/>
  <c r="G939" i="1"/>
  <c r="H939" i="1"/>
  <c r="I939" i="1"/>
  <c r="J939" i="1"/>
  <c r="M939" i="1"/>
  <c r="N939" i="1"/>
  <c r="R939" i="1" s="1"/>
  <c r="AL939" i="1"/>
  <c r="AO939" i="1"/>
  <c r="A940" i="1"/>
  <c r="B940" i="1"/>
  <c r="E940" i="1"/>
  <c r="F940" i="1"/>
  <c r="G940" i="1"/>
  <c r="H940" i="1"/>
  <c r="I940" i="1"/>
  <c r="J940" i="1"/>
  <c r="M940" i="1"/>
  <c r="T940" i="1" s="1"/>
  <c r="N940" i="1"/>
  <c r="R940" i="1" s="1"/>
  <c r="AL940" i="1"/>
  <c r="AO940" i="1"/>
  <c r="A941" i="1"/>
  <c r="B941" i="1"/>
  <c r="E941" i="1"/>
  <c r="F941" i="1"/>
  <c r="G941" i="1"/>
  <c r="H941" i="1"/>
  <c r="I941" i="1"/>
  <c r="J941" i="1"/>
  <c r="M941" i="1"/>
  <c r="N941" i="1"/>
  <c r="R941" i="1" s="1"/>
  <c r="AL941" i="1"/>
  <c r="AO941" i="1"/>
  <c r="A942" i="1"/>
  <c r="B942" i="1"/>
  <c r="E942" i="1"/>
  <c r="F942" i="1"/>
  <c r="G942" i="1"/>
  <c r="H942" i="1"/>
  <c r="I942" i="1"/>
  <c r="J942" i="1"/>
  <c r="M942" i="1"/>
  <c r="T942" i="1" s="1"/>
  <c r="N942" i="1"/>
  <c r="R942" i="1" s="1"/>
  <c r="AL942" i="1"/>
  <c r="AO942" i="1"/>
  <c r="A943" i="1"/>
  <c r="B943" i="1"/>
  <c r="E943" i="1"/>
  <c r="F943" i="1"/>
  <c r="G943" i="1"/>
  <c r="H943" i="1"/>
  <c r="I943" i="1"/>
  <c r="J943" i="1"/>
  <c r="M943" i="1"/>
  <c r="N943" i="1"/>
  <c r="R943" i="1" s="1"/>
  <c r="AL943" i="1"/>
  <c r="AO943" i="1"/>
  <c r="A944" i="1"/>
  <c r="B944" i="1"/>
  <c r="E944" i="1"/>
  <c r="F944" i="1"/>
  <c r="G944" i="1"/>
  <c r="H944" i="1"/>
  <c r="I944" i="1"/>
  <c r="J944" i="1"/>
  <c r="M944" i="1"/>
  <c r="T944" i="1" s="1"/>
  <c r="N944" i="1"/>
  <c r="R944" i="1" s="1"/>
  <c r="AL944" i="1"/>
  <c r="AO944" i="1"/>
  <c r="A945" i="1"/>
  <c r="B945" i="1"/>
  <c r="E945" i="1"/>
  <c r="F945" i="1"/>
  <c r="G945" i="1"/>
  <c r="H945" i="1"/>
  <c r="I945" i="1"/>
  <c r="J945" i="1"/>
  <c r="M945" i="1"/>
  <c r="N945" i="1"/>
  <c r="R945" i="1" s="1"/>
  <c r="AL945" i="1"/>
  <c r="AO945" i="1"/>
  <c r="A946" i="1"/>
  <c r="B946" i="1"/>
  <c r="E946" i="1"/>
  <c r="F946" i="1"/>
  <c r="G946" i="1"/>
  <c r="H946" i="1"/>
  <c r="I946" i="1"/>
  <c r="J946" i="1"/>
  <c r="M946" i="1"/>
  <c r="N946" i="1"/>
  <c r="R946" i="1" s="1"/>
  <c r="AL946" i="1"/>
  <c r="AO946" i="1"/>
  <c r="A948" i="1"/>
  <c r="B948" i="1"/>
  <c r="E948" i="1"/>
  <c r="F948" i="1"/>
  <c r="G948" i="1"/>
  <c r="H948" i="1"/>
  <c r="I948" i="1"/>
  <c r="J948" i="1"/>
  <c r="M948" i="1"/>
  <c r="N948" i="1"/>
  <c r="R948" i="1" s="1"/>
  <c r="AL948" i="1"/>
  <c r="AO948" i="1"/>
  <c r="A949" i="1"/>
  <c r="AN949" i="1" s="1"/>
  <c r="B949" i="1"/>
  <c r="E949" i="1"/>
  <c r="F949" i="1"/>
  <c r="G949" i="1"/>
  <c r="H949" i="1"/>
  <c r="I949" i="1"/>
  <c r="J949" i="1"/>
  <c r="M949" i="1"/>
  <c r="T949" i="1" s="1"/>
  <c r="N949" i="1"/>
  <c r="R949" i="1" s="1"/>
  <c r="AL949" i="1"/>
  <c r="AO949" i="1"/>
  <c r="A1000" i="1"/>
  <c r="B1000" i="1"/>
  <c r="E1000" i="1"/>
  <c r="F1000" i="1"/>
  <c r="G1000" i="1"/>
  <c r="H1000" i="1"/>
  <c r="I1000" i="1"/>
  <c r="J1000" i="1"/>
  <c r="M1000" i="1"/>
  <c r="T1000" i="1" s="1"/>
  <c r="N1000" i="1"/>
  <c r="R1000" i="1" s="1"/>
  <c r="AL1000" i="1"/>
  <c r="AO1000" i="1"/>
  <c r="A1001" i="1"/>
  <c r="B1001" i="1"/>
  <c r="E1001" i="1"/>
  <c r="F1001" i="1"/>
  <c r="G1001" i="1"/>
  <c r="H1001" i="1"/>
  <c r="I1001" i="1"/>
  <c r="J1001" i="1"/>
  <c r="M1001" i="1"/>
  <c r="T1001" i="1" s="1"/>
  <c r="N1001" i="1"/>
  <c r="R1001" i="1" s="1"/>
  <c r="AL1001" i="1"/>
  <c r="AO1001" i="1"/>
  <c r="A1002" i="1"/>
  <c r="B1002" i="1"/>
  <c r="E1002" i="1"/>
  <c r="F1002" i="1"/>
  <c r="G1002" i="1"/>
  <c r="H1002" i="1"/>
  <c r="I1002" i="1"/>
  <c r="J1002" i="1"/>
  <c r="M1002" i="1"/>
  <c r="N1002" i="1"/>
  <c r="R1002" i="1" s="1"/>
  <c r="AL1002" i="1"/>
  <c r="AO1002" i="1"/>
  <c r="A1003" i="1"/>
  <c r="B1003" i="1"/>
  <c r="E1003" i="1"/>
  <c r="F1003" i="1"/>
  <c r="G1003" i="1"/>
  <c r="H1003" i="1"/>
  <c r="I1003" i="1"/>
  <c r="J1003" i="1"/>
  <c r="M1003" i="1"/>
  <c r="T1003" i="1" s="1"/>
  <c r="N1003" i="1"/>
  <c r="R1003" i="1" s="1"/>
  <c r="AL1003" i="1"/>
  <c r="AO1003" i="1"/>
  <c r="A1004" i="1"/>
  <c r="B1004" i="1"/>
  <c r="E1004" i="1"/>
  <c r="F1004" i="1"/>
  <c r="G1004" i="1"/>
  <c r="H1004" i="1"/>
  <c r="I1004" i="1"/>
  <c r="J1004" i="1"/>
  <c r="M1004" i="1"/>
  <c r="N1004" i="1"/>
  <c r="R1004" i="1" s="1"/>
  <c r="AL1004" i="1"/>
  <c r="AO1004" i="1"/>
  <c r="A1005" i="1"/>
  <c r="AN1005" i="1" s="1"/>
  <c r="B1005" i="1"/>
  <c r="E1005" i="1"/>
  <c r="F1005" i="1"/>
  <c r="G1005" i="1"/>
  <c r="H1005" i="1"/>
  <c r="I1005" i="1"/>
  <c r="J1005" i="1"/>
  <c r="M1005" i="1"/>
  <c r="N1005" i="1"/>
  <c r="R1005" i="1" s="1"/>
  <c r="AL1005" i="1"/>
  <c r="AO1005" i="1"/>
  <c r="AH2885" i="3"/>
  <c r="AH2886" i="3"/>
  <c r="AH2887" i="3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AH3949" i="3"/>
  <c r="AH3950" i="3"/>
  <c r="AH3951" i="3"/>
  <c r="AH3952" i="3"/>
  <c r="AH3953" i="3"/>
  <c r="AH3954" i="3"/>
  <c r="AH3955" i="3"/>
  <c r="AH3956" i="3"/>
  <c r="AH3957" i="3"/>
  <c r="AH3958" i="3"/>
  <c r="AH3959" i="3"/>
  <c r="AH3960" i="3"/>
  <c r="AH3961" i="3"/>
  <c r="AH3962" i="3"/>
  <c r="AH3963" i="3"/>
  <c r="AH3964" i="3"/>
  <c r="AH3965" i="3"/>
  <c r="AH3966" i="3"/>
  <c r="AH3967" i="3"/>
  <c r="AH3968" i="3"/>
  <c r="AH3969" i="3"/>
  <c r="AH3970" i="3"/>
  <c r="AH3971" i="3"/>
  <c r="AH3972" i="3"/>
  <c r="AH3973" i="3"/>
  <c r="AH3974" i="3"/>
  <c r="AH3975" i="3"/>
  <c r="AH3976" i="3"/>
  <c r="AH3977" i="3"/>
  <c r="AH3978" i="3"/>
  <c r="AH3979" i="3"/>
  <c r="AH3980" i="3"/>
  <c r="AH3981" i="3"/>
  <c r="AH3982" i="3"/>
  <c r="AH3983" i="3"/>
  <c r="AH3984" i="3"/>
  <c r="AH3985" i="3"/>
  <c r="AH3986" i="3"/>
  <c r="AH3987" i="3"/>
  <c r="AH3988" i="3"/>
  <c r="AH3989" i="3"/>
  <c r="AH3990" i="3"/>
  <c r="AH3991" i="3"/>
  <c r="AH3992" i="3"/>
  <c r="AH3993" i="3"/>
  <c r="AH3994" i="3"/>
  <c r="AH3995" i="3"/>
  <c r="AH3996" i="3"/>
  <c r="AH3997" i="3"/>
  <c r="AH3998" i="3"/>
  <c r="AH3999" i="3"/>
  <c r="AH4000" i="3"/>
  <c r="AH4001" i="3"/>
  <c r="AH4002" i="3"/>
  <c r="AH4003" i="3"/>
  <c r="AH4004" i="3"/>
  <c r="AH4005" i="3"/>
  <c r="AH4006" i="3"/>
  <c r="AH4007" i="3"/>
  <c r="AH4008" i="3"/>
  <c r="AH4009" i="3"/>
  <c r="AH4010" i="3"/>
  <c r="AH4011" i="3"/>
  <c r="AH4012" i="3"/>
  <c r="AH4013" i="3"/>
  <c r="AH4014" i="3"/>
  <c r="AH4015" i="3"/>
  <c r="AH4016" i="3"/>
  <c r="AH4017" i="3"/>
  <c r="AH4018" i="3"/>
  <c r="AH4019" i="3"/>
  <c r="AH4020" i="3"/>
  <c r="AH4021" i="3"/>
  <c r="AH4022" i="3"/>
  <c r="AH4023" i="3"/>
  <c r="AH4024" i="3"/>
  <c r="AH4025" i="3"/>
  <c r="AH4026" i="3"/>
  <c r="AH4027" i="3"/>
  <c r="AH4028" i="3"/>
  <c r="AH4029" i="3"/>
  <c r="AH4030" i="3"/>
  <c r="AH4031" i="3"/>
  <c r="AH4032" i="3"/>
  <c r="AH4033" i="3"/>
  <c r="AH4034" i="3"/>
  <c r="AH4035" i="3"/>
  <c r="AH4036" i="3"/>
  <c r="AH4037" i="3"/>
  <c r="AH4038" i="3"/>
  <c r="AH4039" i="3"/>
  <c r="AH4040" i="3"/>
  <c r="AH4041" i="3"/>
  <c r="AH4042" i="3"/>
  <c r="AH4043" i="3"/>
  <c r="AH4044" i="3"/>
  <c r="AH4045" i="3"/>
  <c r="AH4046" i="3"/>
  <c r="AH4047" i="3"/>
  <c r="AH4048" i="3"/>
  <c r="AH4049" i="3"/>
  <c r="AH4050" i="3"/>
  <c r="AH4051" i="3"/>
  <c r="AH4052" i="3"/>
  <c r="AH4053" i="3"/>
  <c r="AH4054" i="3"/>
  <c r="AH4055" i="3"/>
  <c r="AH4056" i="3"/>
  <c r="AH4057" i="3"/>
  <c r="AH4058" i="3"/>
  <c r="AH4059" i="3"/>
  <c r="AH4060" i="3"/>
  <c r="AH4061" i="3"/>
  <c r="AH4062" i="3"/>
  <c r="AH4063" i="3"/>
  <c r="AH4064" i="3"/>
  <c r="AH4065" i="3"/>
  <c r="AH4066" i="3"/>
  <c r="AH4067" i="3"/>
  <c r="AH4068" i="3"/>
  <c r="AH4069" i="3"/>
  <c r="AH4070" i="3"/>
  <c r="AH4071" i="3"/>
  <c r="AH4072" i="3"/>
  <c r="AH4073" i="3"/>
  <c r="AH4074" i="3"/>
  <c r="AH4075" i="3"/>
  <c r="AH4076" i="3"/>
  <c r="AH4077" i="3"/>
  <c r="AH4078" i="3"/>
  <c r="AH4079" i="3"/>
  <c r="AH4080" i="3"/>
  <c r="AH4081" i="3"/>
  <c r="AH4082" i="3"/>
  <c r="AH4083" i="3"/>
  <c r="AH4084" i="3"/>
  <c r="AH4085" i="3"/>
  <c r="AH4086" i="3"/>
  <c r="AH4087" i="3"/>
  <c r="AH4088" i="3"/>
  <c r="AH4089" i="3"/>
  <c r="AH4090" i="3"/>
  <c r="AH4091" i="3"/>
  <c r="AH4092" i="3"/>
  <c r="AH4093" i="3"/>
  <c r="AH4094" i="3"/>
  <c r="AH4095" i="3"/>
  <c r="AH4096" i="3"/>
  <c r="AH4097" i="3"/>
  <c r="AH4098" i="3"/>
  <c r="AH4099" i="3"/>
  <c r="AH4100" i="3"/>
  <c r="AH4101" i="3"/>
  <c r="AH4102" i="3"/>
  <c r="AH4103" i="3"/>
  <c r="AH4104" i="3"/>
  <c r="AH4105" i="3"/>
  <c r="AH4106" i="3"/>
  <c r="AH4107" i="3"/>
  <c r="AH4108" i="3"/>
  <c r="AH4109" i="3"/>
  <c r="AH4110" i="3"/>
  <c r="AH4111" i="3"/>
  <c r="AH4112" i="3"/>
  <c r="AH4113" i="3"/>
  <c r="AH4114" i="3"/>
  <c r="AH4115" i="3"/>
  <c r="AH4116" i="3"/>
  <c r="AH4117" i="3"/>
  <c r="AH4118" i="3"/>
  <c r="AH4119" i="3"/>
  <c r="AH4120" i="3"/>
  <c r="AH4121" i="3"/>
  <c r="AH4122" i="3"/>
  <c r="AH4123" i="3"/>
  <c r="AH4124" i="3"/>
  <c r="AH4125" i="3"/>
  <c r="AH4126" i="3"/>
  <c r="AH4127" i="3"/>
  <c r="AH4128" i="3"/>
  <c r="AH4129" i="3"/>
  <c r="AH4130" i="3"/>
  <c r="AH4131" i="3"/>
  <c r="AH4132" i="3"/>
  <c r="AH4133" i="3"/>
  <c r="AH4134" i="3"/>
  <c r="AH4135" i="3"/>
  <c r="AH4136" i="3"/>
  <c r="AH4137" i="3"/>
  <c r="AH4138" i="3"/>
  <c r="AH4139" i="3"/>
  <c r="AH4140" i="3"/>
  <c r="AH4141" i="3"/>
  <c r="AH4142" i="3"/>
  <c r="AH4143" i="3"/>
  <c r="AH4144" i="3"/>
  <c r="AH4145" i="3"/>
  <c r="AH4146" i="3"/>
  <c r="AH4147" i="3"/>
  <c r="AH4148" i="3"/>
  <c r="AH4149" i="3"/>
  <c r="AH4150" i="3"/>
  <c r="AH4151" i="3"/>
  <c r="AH4152" i="3"/>
  <c r="AH4153" i="3"/>
  <c r="AH4154" i="3"/>
  <c r="AH4155" i="3"/>
  <c r="AH4156" i="3"/>
  <c r="AH4157" i="3"/>
  <c r="AH4158" i="3"/>
  <c r="AH4159" i="3"/>
  <c r="AH4160" i="3"/>
  <c r="AH4161" i="3"/>
  <c r="AH4162" i="3"/>
  <c r="AH4163" i="3"/>
  <c r="AH4164" i="3"/>
  <c r="AH4165" i="3"/>
  <c r="AH4166" i="3"/>
  <c r="AH4167" i="3"/>
  <c r="AH4168" i="3"/>
  <c r="AH4169" i="3"/>
  <c r="AH4170" i="3"/>
  <c r="AH4171" i="3"/>
  <c r="AH4172" i="3"/>
  <c r="AH4173" i="3"/>
  <c r="AH4174" i="3"/>
  <c r="AH4175" i="3"/>
  <c r="AH4176" i="3"/>
  <c r="AH4177" i="3"/>
  <c r="AH4178" i="3"/>
  <c r="AH4179" i="3"/>
  <c r="AH4180" i="3"/>
  <c r="AH4181" i="3"/>
  <c r="AH4182" i="3"/>
  <c r="AH4183" i="3"/>
  <c r="AH4184" i="3"/>
  <c r="AH4185" i="3"/>
  <c r="AH4186" i="3"/>
  <c r="AH4187" i="3"/>
  <c r="AH4188" i="3"/>
  <c r="AH4189" i="3"/>
  <c r="AH4190" i="3"/>
  <c r="AH4191" i="3"/>
  <c r="AH4192" i="3"/>
  <c r="AH4193" i="3"/>
  <c r="AH4194" i="3"/>
  <c r="AH4195" i="3"/>
  <c r="AH4196" i="3"/>
  <c r="AH4197" i="3"/>
  <c r="AH4198" i="3"/>
  <c r="AH4199" i="3"/>
  <c r="AH4200" i="3"/>
  <c r="AH4201" i="3"/>
  <c r="AH4202" i="3"/>
  <c r="AH4203" i="3"/>
  <c r="AH4204" i="3"/>
  <c r="AH4205" i="3"/>
  <c r="AH4206" i="3"/>
  <c r="AH4207" i="3"/>
  <c r="AH4208" i="3"/>
  <c r="AH4209" i="3"/>
  <c r="AH4210" i="3"/>
  <c r="AH4211" i="3"/>
  <c r="AH4212" i="3"/>
  <c r="AH4213" i="3"/>
  <c r="AH4214" i="3"/>
  <c r="AH4215" i="3"/>
  <c r="AH4216" i="3"/>
  <c r="AH4217" i="3"/>
  <c r="AH4218" i="3"/>
  <c r="AH4219" i="3"/>
  <c r="AH4220" i="3"/>
  <c r="AH4221" i="3"/>
  <c r="AH4222" i="3"/>
  <c r="AH4223" i="3"/>
  <c r="AH4224" i="3"/>
  <c r="AH4225" i="3"/>
  <c r="AH4226" i="3"/>
  <c r="AH4227" i="3"/>
  <c r="AH4228" i="3"/>
  <c r="AH4229" i="3"/>
  <c r="AH4230" i="3"/>
  <c r="AH4231" i="3"/>
  <c r="AH4232" i="3"/>
  <c r="AH4233" i="3"/>
  <c r="AH4234" i="3"/>
  <c r="AH4235" i="3"/>
  <c r="AH4236" i="3"/>
  <c r="AH4237" i="3"/>
  <c r="AH4238" i="3"/>
  <c r="AH4239" i="3"/>
  <c r="AH4240" i="3"/>
  <c r="AH4241" i="3"/>
  <c r="AH4242" i="3"/>
  <c r="AH4243" i="3"/>
  <c r="AH4244" i="3"/>
  <c r="AH4245" i="3"/>
  <c r="AH4246" i="3"/>
  <c r="AH4247" i="3"/>
  <c r="AH4248" i="3"/>
  <c r="AH4249" i="3"/>
  <c r="AH4250" i="3"/>
  <c r="AH4251" i="3"/>
  <c r="AH4252" i="3"/>
  <c r="AH4253" i="3"/>
  <c r="AH4254" i="3"/>
  <c r="AH4255" i="3"/>
  <c r="AH4256" i="3"/>
  <c r="AH4257" i="3"/>
  <c r="AH4258" i="3"/>
  <c r="AH4259" i="3"/>
  <c r="AH4260" i="3"/>
  <c r="AH4261" i="3"/>
  <c r="AH4262" i="3"/>
  <c r="AH4263" i="3"/>
  <c r="AH4264" i="3"/>
  <c r="AH4265" i="3"/>
  <c r="AH4266" i="3"/>
  <c r="AH4267" i="3"/>
  <c r="AH4268" i="3"/>
  <c r="AH4269" i="3"/>
  <c r="AH4270" i="3"/>
  <c r="AH4271" i="3"/>
  <c r="AH4272" i="3"/>
  <c r="AH4273" i="3"/>
  <c r="AH4274" i="3"/>
  <c r="AH4275" i="3"/>
  <c r="AH4276" i="3"/>
  <c r="AH4277" i="3"/>
  <c r="AH4278" i="3"/>
  <c r="AH4279" i="3"/>
  <c r="AH4280" i="3"/>
  <c r="AH4281" i="3"/>
  <c r="AH4282" i="3"/>
  <c r="AH4283" i="3"/>
  <c r="AH4284" i="3"/>
  <c r="AH4285" i="3"/>
  <c r="AH4286" i="3"/>
  <c r="AH4287" i="3"/>
  <c r="AH4288" i="3"/>
  <c r="AH4289" i="3"/>
  <c r="AH4290" i="3"/>
  <c r="AH4291" i="3"/>
  <c r="AH4292" i="3"/>
  <c r="AH4293" i="3"/>
  <c r="AH4294" i="3"/>
  <c r="AH4295" i="3"/>
  <c r="AH4296" i="3"/>
  <c r="AH4297" i="3"/>
  <c r="AH4298" i="3"/>
  <c r="AH4299" i="3"/>
  <c r="AH4300" i="3"/>
  <c r="AH4301" i="3"/>
  <c r="AH4302" i="3"/>
  <c r="AH4303" i="3"/>
  <c r="AH4304" i="3"/>
  <c r="AH4305" i="3"/>
  <c r="AH4306" i="3"/>
  <c r="AH4307" i="3"/>
  <c r="AH4308" i="3"/>
  <c r="AH4309" i="3"/>
  <c r="AH4310" i="3"/>
  <c r="AH4311" i="3"/>
  <c r="AH4312" i="3"/>
  <c r="AH4313" i="3"/>
  <c r="AH4314" i="3"/>
  <c r="AH4315" i="3"/>
  <c r="AH4316" i="3"/>
  <c r="AH4317" i="3"/>
  <c r="AH4318" i="3"/>
  <c r="AH4319" i="3"/>
  <c r="AH4320" i="3"/>
  <c r="AH4321" i="3"/>
  <c r="AH4322" i="3"/>
  <c r="AH4323" i="3"/>
  <c r="AH4324" i="3"/>
  <c r="AH4325" i="3"/>
  <c r="AH4326" i="3"/>
  <c r="AH4327" i="3"/>
  <c r="AH4328" i="3"/>
  <c r="AH4329" i="3"/>
  <c r="AH4330" i="3"/>
  <c r="AH4331" i="3"/>
  <c r="AH4332" i="3"/>
  <c r="AH4333" i="3"/>
  <c r="AH4334" i="3"/>
  <c r="AH4335" i="3"/>
  <c r="AH4336" i="3"/>
  <c r="AH4337" i="3"/>
  <c r="AH4338" i="3"/>
  <c r="AH4339" i="3"/>
  <c r="AH4340" i="3"/>
  <c r="AH4341" i="3"/>
  <c r="AH4342" i="3"/>
  <c r="AH4343" i="3"/>
  <c r="AH4344" i="3"/>
  <c r="AH4345" i="3"/>
  <c r="AH4346" i="3"/>
  <c r="AH4347" i="3"/>
  <c r="AH4348" i="3"/>
  <c r="AH4349" i="3"/>
  <c r="AH4350" i="3"/>
  <c r="AH4351" i="3"/>
  <c r="AH4352" i="3"/>
  <c r="AH4353" i="3"/>
  <c r="AH4354" i="3"/>
  <c r="AH4355" i="3"/>
  <c r="AH4356" i="3"/>
  <c r="AH4357" i="3"/>
  <c r="AH4358" i="3"/>
  <c r="AH4359" i="3"/>
  <c r="AH4360" i="3"/>
  <c r="AH4361" i="3"/>
  <c r="AH4362" i="3"/>
  <c r="AH4363" i="3"/>
  <c r="AH4364" i="3"/>
  <c r="AH4365" i="3"/>
  <c r="AH4366" i="3"/>
  <c r="AH4367" i="3"/>
  <c r="AH4368" i="3"/>
  <c r="AH4369" i="3"/>
  <c r="AH4370" i="3"/>
  <c r="AH4371" i="3"/>
  <c r="AH4372" i="3"/>
  <c r="AH4373" i="3"/>
  <c r="AH4374" i="3"/>
  <c r="AH4375" i="3"/>
  <c r="AH4376" i="3"/>
  <c r="AH4377" i="3"/>
  <c r="AH4378" i="3"/>
  <c r="AH4379" i="3"/>
  <c r="AH4380" i="3"/>
  <c r="AH4381" i="3"/>
  <c r="AH4382" i="3"/>
  <c r="AH4383" i="3"/>
  <c r="AH4384" i="3"/>
  <c r="AH4385" i="3"/>
  <c r="AH4386" i="3"/>
  <c r="AH4387" i="3"/>
  <c r="AH4388" i="3"/>
  <c r="AH4389" i="3"/>
  <c r="AH4390" i="3"/>
  <c r="AH4391" i="3"/>
  <c r="AH4392" i="3"/>
  <c r="AH4393" i="3"/>
  <c r="AH4394" i="3"/>
  <c r="AH4395" i="3"/>
  <c r="AH4396" i="3"/>
  <c r="AH4397" i="3"/>
  <c r="AH4398" i="3"/>
  <c r="AH4399" i="3"/>
  <c r="AH4400" i="3"/>
  <c r="AH4401" i="3"/>
  <c r="AH4402" i="3"/>
  <c r="AH4403" i="3"/>
  <c r="AH4404" i="3"/>
  <c r="AH4405" i="3"/>
  <c r="AH4406" i="3"/>
  <c r="AH4407" i="3"/>
  <c r="AH4408" i="3"/>
  <c r="AH4409" i="3"/>
  <c r="AH4410" i="3"/>
  <c r="AH4411" i="3"/>
  <c r="AH4412" i="3"/>
  <c r="AH4413" i="3"/>
  <c r="AH4414" i="3"/>
  <c r="AH4415" i="3"/>
  <c r="AH4416" i="3"/>
  <c r="AH4417" i="3"/>
  <c r="AH4418" i="3"/>
  <c r="AH4419" i="3"/>
  <c r="AH4420" i="3"/>
  <c r="AH4421" i="3"/>
  <c r="AH4422" i="3"/>
  <c r="AH4423" i="3"/>
  <c r="AH4424" i="3"/>
  <c r="AH4425" i="3"/>
  <c r="AH4426" i="3"/>
  <c r="AH4427" i="3"/>
  <c r="AH4428" i="3"/>
  <c r="AH4429" i="3"/>
  <c r="AH4430" i="3"/>
  <c r="AH4431" i="3"/>
  <c r="AH4432" i="3"/>
  <c r="AH4433" i="3"/>
  <c r="AH4434" i="3"/>
  <c r="AH4435" i="3"/>
  <c r="AH4436" i="3"/>
  <c r="AH4437" i="3"/>
  <c r="AH4438" i="3"/>
  <c r="AH4439" i="3"/>
  <c r="AH4440" i="3"/>
  <c r="AH4441" i="3"/>
  <c r="AH4442" i="3"/>
  <c r="AH4443" i="3"/>
  <c r="AH4444" i="3"/>
  <c r="AH4445" i="3"/>
  <c r="AH4446" i="3"/>
  <c r="AH4447" i="3"/>
  <c r="AH4448" i="3"/>
  <c r="AH4449" i="3"/>
  <c r="AH4450" i="3"/>
  <c r="AH4451" i="3"/>
  <c r="AH4452" i="3"/>
  <c r="AH4453" i="3"/>
  <c r="AH4454" i="3"/>
  <c r="AH4455" i="3"/>
  <c r="AH4456" i="3"/>
  <c r="AH4457" i="3"/>
  <c r="AH4458" i="3"/>
  <c r="AH4459" i="3"/>
  <c r="AH4460" i="3"/>
  <c r="AH4461" i="3"/>
  <c r="AH4462" i="3"/>
  <c r="AH4463" i="3"/>
  <c r="AH4464" i="3"/>
  <c r="AH4465" i="3"/>
  <c r="AH4466" i="3"/>
  <c r="AH4467" i="3"/>
  <c r="AH4468" i="3"/>
  <c r="AH4469" i="3"/>
  <c r="AH4470" i="3"/>
  <c r="AH4471" i="3"/>
  <c r="AH4472" i="3"/>
  <c r="AH4473" i="3"/>
  <c r="AH4474" i="3"/>
  <c r="AH4475" i="3"/>
  <c r="AH4476" i="3"/>
  <c r="AH4477" i="3"/>
  <c r="AH4478" i="3"/>
  <c r="AH4479" i="3"/>
  <c r="AH4480" i="3"/>
  <c r="AH4481" i="3"/>
  <c r="AH4482" i="3"/>
  <c r="AH4483" i="3"/>
  <c r="AH4484" i="3"/>
  <c r="AH4485" i="3"/>
  <c r="AH4486" i="3"/>
  <c r="AH4487" i="3"/>
  <c r="AH4488" i="3"/>
  <c r="AH4489" i="3"/>
  <c r="AH4490" i="3"/>
  <c r="AH4491" i="3"/>
  <c r="AH4492" i="3"/>
  <c r="AH4493" i="3"/>
  <c r="AH4494" i="3"/>
  <c r="AH4495" i="3"/>
  <c r="AH4496" i="3"/>
  <c r="AH4497" i="3"/>
  <c r="AH4498" i="3"/>
  <c r="AH4499" i="3"/>
  <c r="AH4500" i="3"/>
  <c r="AH4501" i="3"/>
  <c r="AH4502" i="3"/>
  <c r="AH4503" i="3"/>
  <c r="AH4504" i="3"/>
  <c r="AH4505" i="3"/>
  <c r="AH4506" i="3"/>
  <c r="AH4507" i="3"/>
  <c r="AH4508" i="3"/>
  <c r="AH4509" i="3"/>
  <c r="AH4510" i="3"/>
  <c r="AH4511" i="3"/>
  <c r="AH4512" i="3"/>
  <c r="AH4513" i="3"/>
  <c r="AH4514" i="3"/>
  <c r="AH4515" i="3"/>
  <c r="AH4516" i="3"/>
  <c r="AH4517" i="3"/>
  <c r="AH4518" i="3"/>
  <c r="AH4519" i="3"/>
  <c r="AH4520" i="3"/>
  <c r="AH4521" i="3"/>
  <c r="AH4522" i="3"/>
  <c r="AH4523" i="3"/>
  <c r="AH4524" i="3"/>
  <c r="AH4525" i="3"/>
  <c r="AH4526" i="3"/>
  <c r="AH4527" i="3"/>
  <c r="AH4528" i="3"/>
  <c r="AH4529" i="3"/>
  <c r="AH4530" i="3"/>
  <c r="AH4531" i="3"/>
  <c r="AH4532" i="3"/>
  <c r="AH4533" i="3"/>
  <c r="AH4534" i="3"/>
  <c r="AH4535" i="3"/>
  <c r="AH4536" i="3"/>
  <c r="AH4537" i="3"/>
  <c r="AH4538" i="3"/>
  <c r="AH4539" i="3"/>
  <c r="AH4540" i="3"/>
  <c r="AH4541" i="3"/>
  <c r="AH4542" i="3"/>
  <c r="AH4543" i="3"/>
  <c r="AH4544" i="3"/>
  <c r="AH4545" i="3"/>
  <c r="AH4546" i="3"/>
  <c r="AH4547" i="3"/>
  <c r="AH4548" i="3"/>
  <c r="AH4549" i="3"/>
  <c r="AH4550" i="3"/>
  <c r="AH4551" i="3"/>
  <c r="AH4552" i="3"/>
  <c r="AH4553" i="3"/>
  <c r="AH4554" i="3"/>
  <c r="AH4555" i="3"/>
  <c r="AH4556" i="3"/>
  <c r="AH4557" i="3"/>
  <c r="AH4558" i="3"/>
  <c r="AH4559" i="3"/>
  <c r="AH4560" i="3"/>
  <c r="AH4561" i="3"/>
  <c r="AH4562" i="3"/>
  <c r="AH4563" i="3"/>
  <c r="AH4564" i="3"/>
  <c r="AH4565" i="3"/>
  <c r="AH4566" i="3"/>
  <c r="AH4567" i="3"/>
  <c r="AH4568" i="3"/>
  <c r="AH4569" i="3"/>
  <c r="AH4570" i="3"/>
  <c r="AH4571" i="3"/>
  <c r="AH4572" i="3"/>
  <c r="AH4573" i="3"/>
  <c r="AH4574" i="3"/>
  <c r="AH4575" i="3"/>
  <c r="AH4576" i="3"/>
  <c r="AH4577" i="3"/>
  <c r="AH4578" i="3"/>
  <c r="AH4579" i="3"/>
  <c r="AH4580" i="3"/>
  <c r="AH4581" i="3"/>
  <c r="AH4582" i="3"/>
  <c r="AH4583" i="3"/>
  <c r="AH4584" i="3"/>
  <c r="AH4585" i="3"/>
  <c r="AH4586" i="3"/>
  <c r="AH4587" i="3"/>
  <c r="AH4588" i="3"/>
  <c r="AH4589" i="3"/>
  <c r="AH4590" i="3"/>
  <c r="AH4591" i="3"/>
  <c r="AH4592" i="3"/>
  <c r="AH4593" i="3"/>
  <c r="AH4594" i="3"/>
  <c r="AH4595" i="3"/>
  <c r="AH4596" i="3"/>
  <c r="AH4597" i="3"/>
  <c r="AH4598" i="3"/>
  <c r="AH4599" i="3"/>
  <c r="AH4600" i="3"/>
  <c r="AH4601" i="3"/>
  <c r="AH4602" i="3"/>
  <c r="AH4603" i="3"/>
  <c r="AH4604" i="3"/>
  <c r="AH4605" i="3"/>
  <c r="AH4606" i="3"/>
  <c r="AH4607" i="3"/>
  <c r="AH4608" i="3"/>
  <c r="AH4609" i="3"/>
  <c r="AH4610" i="3"/>
  <c r="AH4611" i="3"/>
  <c r="AH4612" i="3"/>
  <c r="AH4613" i="3"/>
  <c r="AH4614" i="3"/>
  <c r="AH4615" i="3"/>
  <c r="AH4616" i="3"/>
  <c r="AH4617" i="3"/>
  <c r="AH4618" i="3"/>
  <c r="AH4619" i="3"/>
  <c r="AH4620" i="3"/>
  <c r="AH4621" i="3"/>
  <c r="AH4622" i="3"/>
  <c r="AH4623" i="3"/>
  <c r="AH4624" i="3"/>
  <c r="AH4625" i="3"/>
  <c r="AH4626" i="3"/>
  <c r="AH4627" i="3"/>
  <c r="AH4628" i="3"/>
  <c r="AH4629" i="3"/>
  <c r="AH4630" i="3"/>
  <c r="AH4631" i="3"/>
  <c r="AH4632" i="3"/>
  <c r="AH4633" i="3"/>
  <c r="AH4634" i="3"/>
  <c r="AH4635" i="3"/>
  <c r="AH4636" i="3"/>
  <c r="AH4637" i="3"/>
  <c r="AH4638" i="3"/>
  <c r="AH4639" i="3"/>
  <c r="AH4640" i="3"/>
  <c r="AH4641" i="3"/>
  <c r="AH4642" i="3"/>
  <c r="AH4643" i="3"/>
  <c r="AH4644" i="3"/>
  <c r="AH4645" i="3"/>
  <c r="AH4646" i="3"/>
  <c r="AH4647" i="3"/>
  <c r="AH4648" i="3"/>
  <c r="AH4649" i="3"/>
  <c r="AH4650" i="3"/>
  <c r="AH4651" i="3"/>
  <c r="AH4652" i="3"/>
  <c r="AH4653" i="3"/>
  <c r="AH4654" i="3"/>
  <c r="AH4655" i="3"/>
  <c r="AH4656" i="3"/>
  <c r="AH4657" i="3"/>
  <c r="AH4658" i="3"/>
  <c r="AH4659" i="3"/>
  <c r="AH4660" i="3"/>
  <c r="AH4661" i="3"/>
  <c r="AH4662" i="3"/>
  <c r="AH4663" i="3"/>
  <c r="AH4664" i="3"/>
  <c r="AH4665" i="3"/>
  <c r="AH4666" i="3"/>
  <c r="AH4667" i="3"/>
  <c r="AH4668" i="3"/>
  <c r="AH4669" i="3"/>
  <c r="AH4670" i="3"/>
  <c r="AH4671" i="3"/>
  <c r="AH4672" i="3"/>
  <c r="AH4673" i="3"/>
  <c r="AH4674" i="3"/>
  <c r="AH4675" i="3"/>
  <c r="AH4676" i="3"/>
  <c r="AH4677" i="3"/>
  <c r="AH4678" i="3"/>
  <c r="AH4679" i="3"/>
  <c r="AH4680" i="3"/>
  <c r="AH4681" i="3"/>
  <c r="AH4682" i="3"/>
  <c r="AH4683" i="3"/>
  <c r="AH4684" i="3"/>
  <c r="AH4685" i="3"/>
  <c r="AH4686" i="3"/>
  <c r="AH4687" i="3"/>
  <c r="AH4688" i="3"/>
  <c r="AH4689" i="3"/>
  <c r="AH4690" i="3"/>
  <c r="AH4691" i="3"/>
  <c r="AH4692" i="3"/>
  <c r="AH4693" i="3"/>
  <c r="AH4694" i="3"/>
  <c r="AH4695" i="3"/>
  <c r="AH4696" i="3"/>
  <c r="AH4697" i="3"/>
  <c r="AH4698" i="3"/>
  <c r="AH4699" i="3"/>
  <c r="AH4700" i="3"/>
  <c r="AH4701" i="3"/>
  <c r="AH4702" i="3"/>
  <c r="AH4703" i="3"/>
  <c r="AH4704" i="3"/>
  <c r="AH4705" i="3"/>
  <c r="AH4706" i="3"/>
  <c r="AH4707" i="3"/>
  <c r="AH4708" i="3"/>
  <c r="AH4709" i="3"/>
  <c r="AH4710" i="3"/>
  <c r="AH4711" i="3"/>
  <c r="AH4712" i="3"/>
  <c r="AH4713" i="3"/>
  <c r="AH4714" i="3"/>
  <c r="AH4715" i="3"/>
  <c r="AH4716" i="3"/>
  <c r="AH4717" i="3"/>
  <c r="AH4718" i="3"/>
  <c r="AH4719" i="3"/>
  <c r="AH4720" i="3"/>
  <c r="AH4721" i="3"/>
  <c r="AH4722" i="3"/>
  <c r="AH4723" i="3"/>
  <c r="AH4724" i="3"/>
  <c r="AH4725" i="3"/>
  <c r="AH4726" i="3"/>
  <c r="AH4727" i="3"/>
  <c r="AH4728" i="3"/>
  <c r="AH4729" i="3"/>
  <c r="AH4730" i="3"/>
  <c r="AH4731" i="3"/>
  <c r="AH4732" i="3"/>
  <c r="AH4733" i="3"/>
  <c r="AH4734" i="3"/>
  <c r="AH4735" i="3"/>
  <c r="AH4736" i="3"/>
  <c r="AH4737" i="3"/>
  <c r="AH4738" i="3"/>
  <c r="AH4739" i="3"/>
  <c r="AH4740" i="3"/>
  <c r="AH4741" i="3"/>
  <c r="AH4742" i="3"/>
  <c r="AH4743" i="3"/>
  <c r="AH4744" i="3"/>
  <c r="AH4745" i="3"/>
  <c r="AH4746" i="3"/>
  <c r="AH4747" i="3"/>
  <c r="AH4748" i="3"/>
  <c r="AH4749" i="3"/>
  <c r="AH4750" i="3"/>
  <c r="AH4751" i="3"/>
  <c r="AH4752" i="3"/>
  <c r="AH4753" i="3"/>
  <c r="AH4754" i="3"/>
  <c r="AN969" i="1" l="1"/>
  <c r="AN910" i="1"/>
  <c r="AN996" i="1"/>
  <c r="AP996" i="1" s="1"/>
  <c r="AQ996" i="1" s="1"/>
  <c r="AN990" i="1"/>
  <c r="AN982" i="1"/>
  <c r="AN978" i="1"/>
  <c r="AN973" i="1"/>
  <c r="AP973" i="1" s="1"/>
  <c r="AQ973" i="1" s="1"/>
  <c r="AS1031" i="1"/>
  <c r="AS1030" i="1"/>
  <c r="AS1023" i="1"/>
  <c r="AS1014" i="1"/>
  <c r="AS1007" i="1"/>
  <c r="AS1006" i="1"/>
  <c r="AN1033" i="1"/>
  <c r="AP1033" i="1" s="1"/>
  <c r="AQ1033" i="1" s="1"/>
  <c r="AN1031" i="1"/>
  <c r="AP1031" i="1" s="1"/>
  <c r="AQ1031" i="1" s="1"/>
  <c r="AN1030" i="1"/>
  <c r="AP1030" i="1" s="1"/>
  <c r="AQ1030" i="1" s="1"/>
  <c r="P994" i="1"/>
  <c r="S994" i="1" s="1"/>
  <c r="T994" i="1"/>
  <c r="O993" i="1"/>
  <c r="T993" i="1"/>
  <c r="P986" i="1"/>
  <c r="S986" i="1" s="1"/>
  <c r="T986" i="1"/>
  <c r="O985" i="1"/>
  <c r="T985" i="1"/>
  <c r="P982" i="1"/>
  <c r="S982" i="1" s="1"/>
  <c r="T982" i="1"/>
  <c r="O981" i="1"/>
  <c r="T981" i="1"/>
  <c r="P978" i="1"/>
  <c r="S978" i="1" s="1"/>
  <c r="T978" i="1"/>
  <c r="P974" i="1"/>
  <c r="S974" i="1" s="1"/>
  <c r="T974" i="1"/>
  <c r="O972" i="1"/>
  <c r="T972" i="1"/>
  <c r="P970" i="1"/>
  <c r="S970" i="1" s="1"/>
  <c r="T970" i="1"/>
  <c r="O968" i="1"/>
  <c r="T968" i="1"/>
  <c r="P966" i="1"/>
  <c r="S966" i="1" s="1"/>
  <c r="T966" i="1"/>
  <c r="O964" i="1"/>
  <c r="T964" i="1"/>
  <c r="P962" i="1"/>
  <c r="S962" i="1" s="1"/>
  <c r="T962" i="1"/>
  <c r="O960" i="1"/>
  <c r="T960" i="1"/>
  <c r="P958" i="1"/>
  <c r="S958" i="1" s="1"/>
  <c r="T958" i="1"/>
  <c r="P954" i="1"/>
  <c r="S954" i="1" s="1"/>
  <c r="T954" i="1"/>
  <c r="P953" i="1"/>
  <c r="S953" i="1" s="1"/>
  <c r="T953" i="1"/>
  <c r="O952" i="1"/>
  <c r="T952" i="1"/>
  <c r="O950" i="1"/>
  <c r="T950" i="1"/>
  <c r="P1034" i="1"/>
  <c r="S1034" i="1" s="1"/>
  <c r="T1034" i="1"/>
  <c r="O1033" i="1"/>
  <c r="T1033" i="1"/>
  <c r="O1032" i="1"/>
  <c r="T1032" i="1"/>
  <c r="P1030" i="1"/>
  <c r="S1030" i="1" s="1"/>
  <c r="T1030" i="1"/>
  <c r="P1022" i="1"/>
  <c r="S1022" i="1" s="1"/>
  <c r="T1022" i="1"/>
  <c r="P1020" i="1"/>
  <c r="S1020" i="1" s="1"/>
  <c r="T1020" i="1"/>
  <c r="P1018" i="1"/>
  <c r="S1018" i="1" s="1"/>
  <c r="T1018" i="1"/>
  <c r="O1017" i="1"/>
  <c r="T1017" i="1"/>
  <c r="P1016" i="1"/>
  <c r="S1016" i="1" s="1"/>
  <c r="T1016" i="1"/>
  <c r="P1014" i="1"/>
  <c r="S1014" i="1" s="1"/>
  <c r="T1014" i="1"/>
  <c r="O1013" i="1"/>
  <c r="T1013" i="1"/>
  <c r="O1012" i="1"/>
  <c r="T1012" i="1"/>
  <c r="P1010" i="1"/>
  <c r="S1010" i="1" s="1"/>
  <c r="T1010" i="1"/>
  <c r="O1009" i="1"/>
  <c r="T1009" i="1"/>
  <c r="P1006" i="1"/>
  <c r="S1006" i="1" s="1"/>
  <c r="T1006" i="1"/>
  <c r="O941" i="1"/>
  <c r="T941" i="1"/>
  <c r="O939" i="1"/>
  <c r="T939" i="1"/>
  <c r="O988" i="1"/>
  <c r="T988" i="1"/>
  <c r="P1005" i="1"/>
  <c r="S1005" i="1" s="1"/>
  <c r="T1005" i="1"/>
  <c r="P1002" i="1"/>
  <c r="S1002" i="1" s="1"/>
  <c r="T1002" i="1"/>
  <c r="O945" i="1"/>
  <c r="T945" i="1"/>
  <c r="O943" i="1"/>
  <c r="T943" i="1"/>
  <c r="P937" i="1"/>
  <c r="S937" i="1" s="1"/>
  <c r="T937" i="1"/>
  <c r="O935" i="1"/>
  <c r="T935" i="1"/>
  <c r="P1004" i="1"/>
  <c r="S1004" i="1" s="1"/>
  <c r="T1004" i="1"/>
  <c r="P948" i="1"/>
  <c r="S948" i="1" s="1"/>
  <c r="T948" i="1"/>
  <c r="P933" i="1"/>
  <c r="S933" i="1" s="1"/>
  <c r="T933" i="1"/>
  <c r="P929" i="1"/>
  <c r="S929" i="1" s="1"/>
  <c r="T929" i="1"/>
  <c r="O928" i="1"/>
  <c r="T928" i="1"/>
  <c r="O927" i="1"/>
  <c r="T927" i="1"/>
  <c r="O925" i="1"/>
  <c r="T925" i="1"/>
  <c r="P924" i="1"/>
  <c r="S924" i="1" s="1"/>
  <c r="T924" i="1"/>
  <c r="P992" i="1"/>
  <c r="S992" i="1" s="1"/>
  <c r="T992" i="1"/>
  <c r="O919" i="1"/>
  <c r="T919" i="1"/>
  <c r="O917" i="1"/>
  <c r="T917" i="1"/>
  <c r="O916" i="1"/>
  <c r="T916" i="1"/>
  <c r="O915" i="1"/>
  <c r="T915" i="1"/>
  <c r="O913" i="1"/>
  <c r="T913" i="1"/>
  <c r="O912" i="1"/>
  <c r="T912" i="1"/>
  <c r="O909" i="1"/>
  <c r="T909" i="1"/>
  <c r="P998" i="1"/>
  <c r="S998" i="1" s="1"/>
  <c r="T998" i="1"/>
  <c r="O997" i="1"/>
  <c r="T997" i="1"/>
  <c r="AP951" i="1"/>
  <c r="AQ951" i="1" s="1"/>
  <c r="AP982" i="1"/>
  <c r="AQ982" i="1" s="1"/>
  <c r="W979" i="1"/>
  <c r="AP979" i="1" s="1"/>
  <c r="AQ979" i="1" s="1"/>
  <c r="AP978" i="1"/>
  <c r="AQ978" i="1" s="1"/>
  <c r="AP971" i="1"/>
  <c r="AQ971" i="1" s="1"/>
  <c r="AP969" i="1"/>
  <c r="AQ969" i="1" s="1"/>
  <c r="AP952" i="1"/>
  <c r="AQ952" i="1" s="1"/>
  <c r="AP990" i="1"/>
  <c r="AQ990" i="1" s="1"/>
  <c r="AP910" i="1"/>
  <c r="AQ910" i="1" s="1"/>
  <c r="AP933" i="1"/>
  <c r="AQ933" i="1" s="1"/>
  <c r="AP972" i="1"/>
  <c r="AQ972" i="1" s="1"/>
  <c r="AP1005" i="1"/>
  <c r="AQ1005" i="1" s="1"/>
  <c r="AP949" i="1"/>
  <c r="AQ949" i="1" s="1"/>
  <c r="AP1036" i="1"/>
  <c r="AQ1036" i="1" s="1"/>
  <c r="W1027" i="1"/>
  <c r="AP1027" i="1" s="1"/>
  <c r="AQ1027" i="1" s="1"/>
  <c r="AN999" i="1"/>
  <c r="AP999" i="1" s="1"/>
  <c r="AQ999" i="1" s="1"/>
  <c r="AS997" i="1"/>
  <c r="AN912" i="1"/>
  <c r="AN1003" i="1"/>
  <c r="AN970" i="1"/>
  <c r="AN956" i="1"/>
  <c r="AN955" i="1"/>
  <c r="AN909" i="1"/>
  <c r="AN1001" i="1"/>
  <c r="AN913" i="1"/>
  <c r="AN987" i="1"/>
  <c r="AN997" i="1"/>
  <c r="AN992" i="1"/>
  <c r="AN1035" i="1"/>
  <c r="AN927" i="1"/>
  <c r="AN918" i="1"/>
  <c r="AN988" i="1"/>
  <c r="AN911" i="1"/>
  <c r="AN960" i="1"/>
  <c r="AN1026" i="1"/>
  <c r="W1026" i="1" s="1"/>
  <c r="AS989" i="1"/>
  <c r="AS986" i="1"/>
  <c r="AS966" i="1"/>
  <c r="AS954" i="1"/>
  <c r="AS1033" i="1"/>
  <c r="AS1029" i="1"/>
  <c r="AS969" i="1"/>
  <c r="AS962" i="1"/>
  <c r="AS958" i="1"/>
  <c r="AS1017" i="1"/>
  <c r="AS982" i="1"/>
  <c r="AS953" i="1"/>
  <c r="AS965" i="1"/>
  <c r="AS961" i="1"/>
  <c r="AS957" i="1"/>
  <c r="AS998" i="1"/>
  <c r="AS995" i="1"/>
  <c r="AS981" i="1"/>
  <c r="AS978" i="1"/>
  <c r="AS974" i="1"/>
  <c r="AS1035" i="1"/>
  <c r="AS944" i="1"/>
  <c r="AS932" i="1"/>
  <c r="AS925" i="1"/>
  <c r="AS1015" i="1"/>
  <c r="AS917" i="1"/>
  <c r="AS913" i="1"/>
  <c r="AS928" i="1"/>
  <c r="AS924" i="1"/>
  <c r="AS987" i="1"/>
  <c r="AS973" i="1"/>
  <c r="AS970" i="1"/>
  <c r="AS945" i="1"/>
  <c r="AS916" i="1"/>
  <c r="AS950" i="1"/>
  <c r="AS912" i="1"/>
  <c r="AS909" i="1"/>
  <c r="AS1026" i="1"/>
  <c r="AS1022" i="1"/>
  <c r="AN1016" i="1"/>
  <c r="W1016" i="1" s="1"/>
  <c r="AN940" i="1"/>
  <c r="AN991" i="1"/>
  <c r="AN977" i="1"/>
  <c r="AN964" i="1"/>
  <c r="AN1010" i="1"/>
  <c r="AN1009" i="1"/>
  <c r="W1009" i="1" s="1"/>
  <c r="AN953" i="1"/>
  <c r="AN962" i="1"/>
  <c r="AN1029" i="1"/>
  <c r="AN926" i="1"/>
  <c r="AN1024" i="1"/>
  <c r="AN1012" i="1"/>
  <c r="AN1007" i="1"/>
  <c r="AN1000" i="1"/>
  <c r="AN1023" i="1"/>
  <c r="AN944" i="1"/>
  <c r="AN963" i="1"/>
  <c r="AN1018" i="1"/>
  <c r="AN1002" i="1"/>
  <c r="AN1025" i="1"/>
  <c r="AN1020" i="1"/>
  <c r="AN1008" i="1"/>
  <c r="W1008" i="1" s="1"/>
  <c r="P1008" i="1"/>
  <c r="S1008" i="1" s="1"/>
  <c r="C943" i="1"/>
  <c r="C968" i="1"/>
  <c r="C1014" i="1"/>
  <c r="C1018" i="1"/>
  <c r="O995" i="1"/>
  <c r="P1032" i="1"/>
  <c r="O1016" i="1"/>
  <c r="O942" i="1"/>
  <c r="C1016" i="1"/>
  <c r="C996" i="1"/>
  <c r="AN1013" i="1"/>
  <c r="C1013" i="1"/>
  <c r="C1028" i="1"/>
  <c r="C958" i="1"/>
  <c r="C1017" i="1"/>
  <c r="AN935" i="1"/>
  <c r="P910" i="1"/>
  <c r="S910" i="1" s="1"/>
  <c r="AN967" i="1"/>
  <c r="AN954" i="1"/>
  <c r="P1011" i="1"/>
  <c r="C1005" i="1"/>
  <c r="C1001" i="1"/>
  <c r="C976" i="1"/>
  <c r="AS1013" i="1"/>
  <c r="C914" i="1"/>
  <c r="P997" i="1"/>
  <c r="S997" i="1" s="1"/>
  <c r="O961" i="1"/>
  <c r="C1033" i="1"/>
  <c r="O1030" i="1"/>
  <c r="AN1022" i="1"/>
  <c r="AN938" i="1"/>
  <c r="AN998" i="1"/>
  <c r="P995" i="1"/>
  <c r="C951" i="1"/>
  <c r="O1015" i="1"/>
  <c r="AN923" i="1"/>
  <c r="AN919" i="1"/>
  <c r="AN915" i="1"/>
  <c r="C970" i="1"/>
  <c r="O1008" i="1"/>
  <c r="AN934" i="1"/>
  <c r="P945" i="1"/>
  <c r="S945" i="1" s="1"/>
  <c r="P988" i="1"/>
  <c r="S988" i="1" s="1"/>
  <c r="P967" i="1"/>
  <c r="S967" i="1" s="1"/>
  <c r="C955" i="1"/>
  <c r="P977" i="1"/>
  <c r="S977" i="1" s="1"/>
  <c r="AN975" i="1"/>
  <c r="O970" i="1"/>
  <c r="C960" i="1"/>
  <c r="C1023" i="1"/>
  <c r="AN1017" i="1"/>
  <c r="P1009" i="1"/>
  <c r="S1009" i="1" s="1"/>
  <c r="AN932" i="1"/>
  <c r="AN930" i="1"/>
  <c r="AN941" i="1"/>
  <c r="P975" i="1"/>
  <c r="S975" i="1" s="1"/>
  <c r="P965" i="1"/>
  <c r="O962" i="1"/>
  <c r="P957" i="1"/>
  <c r="S957" i="1" s="1"/>
  <c r="O1034" i="1"/>
  <c r="P1025" i="1"/>
  <c r="C1010" i="1"/>
  <c r="O982" i="1"/>
  <c r="O975" i="1"/>
  <c r="AN974" i="1"/>
  <c r="W974" i="1" s="1"/>
  <c r="O965" i="1"/>
  <c r="C950" i="1"/>
  <c r="O1025" i="1"/>
  <c r="AN1015" i="1"/>
  <c r="W1015" i="1" s="1"/>
  <c r="P963" i="1"/>
  <c r="S963" i="1" s="1"/>
  <c r="P912" i="1"/>
  <c r="S912" i="1" s="1"/>
  <c r="C981" i="1"/>
  <c r="O966" i="1"/>
  <c r="C964" i="1"/>
  <c r="O963" i="1"/>
  <c r="AN961" i="1"/>
  <c r="C1036" i="1"/>
  <c r="P1035" i="1"/>
  <c r="S1035" i="1" s="1"/>
  <c r="P935" i="1"/>
  <c r="P942" i="1"/>
  <c r="S942" i="1" s="1"/>
  <c r="C938" i="1"/>
  <c r="AN959" i="1"/>
  <c r="AS1018" i="1"/>
  <c r="O1005" i="1"/>
  <c r="AS948" i="1"/>
  <c r="AN929" i="1"/>
  <c r="O998" i="1"/>
  <c r="AN976" i="1"/>
  <c r="W976" i="1" s="1"/>
  <c r="P1036" i="1"/>
  <c r="S1036" i="1" s="1"/>
  <c r="O1035" i="1"/>
  <c r="O1031" i="1"/>
  <c r="P1017" i="1"/>
  <c r="S1017" i="1" s="1"/>
  <c r="C1012" i="1"/>
  <c r="O1011" i="1"/>
  <c r="P1007" i="1"/>
  <c r="S1007" i="1" s="1"/>
  <c r="AN942" i="1"/>
  <c r="O937" i="1"/>
  <c r="AN936" i="1"/>
  <c r="P976" i="1"/>
  <c r="S976" i="1" s="1"/>
  <c r="P973" i="1"/>
  <c r="AN968" i="1"/>
  <c r="O1036" i="1"/>
  <c r="C1021" i="1"/>
  <c r="C1008" i="1"/>
  <c r="O1007" i="1"/>
  <c r="AN1006" i="1"/>
  <c r="C911" i="1"/>
  <c r="O910" i="1"/>
  <c r="C977" i="1"/>
  <c r="O976" i="1"/>
  <c r="O973" i="1"/>
  <c r="AN965" i="1"/>
  <c r="C954" i="1"/>
  <c r="O953" i="1"/>
  <c r="AN1028" i="1"/>
  <c r="C1027" i="1"/>
  <c r="AS1019" i="1"/>
  <c r="C1009" i="1"/>
  <c r="P949" i="1"/>
  <c r="S949" i="1" s="1"/>
  <c r="AN922" i="1"/>
  <c r="AS1005" i="1"/>
  <c r="C1000" i="1"/>
  <c r="O949" i="1"/>
  <c r="AN946" i="1"/>
  <c r="AN943" i="1"/>
  <c r="AN920" i="1"/>
  <c r="AN916" i="1"/>
  <c r="O999" i="1"/>
  <c r="P980" i="1"/>
  <c r="S980" i="1" s="1"/>
  <c r="C978" i="1"/>
  <c r="O977" i="1"/>
  <c r="O957" i="1"/>
  <c r="O954" i="1"/>
  <c r="P951" i="1"/>
  <c r="S951" i="1" s="1"/>
  <c r="P1024" i="1"/>
  <c r="S1024" i="1" s="1"/>
  <c r="O1004" i="1"/>
  <c r="P943" i="1"/>
  <c r="S943" i="1" s="1"/>
  <c r="O994" i="1"/>
  <c r="O980" i="1"/>
  <c r="AN966" i="1"/>
  <c r="AN958" i="1"/>
  <c r="O951" i="1"/>
  <c r="C1034" i="1"/>
  <c r="P1033" i="1"/>
  <c r="O1024" i="1"/>
  <c r="AN1014" i="1"/>
  <c r="C923" i="1"/>
  <c r="AN914" i="1"/>
  <c r="O992" i="1"/>
  <c r="P985" i="1"/>
  <c r="C952" i="1"/>
  <c r="AN1034" i="1"/>
  <c r="C1020" i="1"/>
  <c r="C1015" i="1"/>
  <c r="O1014" i="1"/>
  <c r="O1010" i="1"/>
  <c r="P1029" i="1"/>
  <c r="S1029" i="1" s="1"/>
  <c r="C1026" i="1"/>
  <c r="C1025" i="1"/>
  <c r="O1023" i="1"/>
  <c r="P1021" i="1"/>
  <c r="S1021" i="1" s="1"/>
  <c r="AS1034" i="1"/>
  <c r="O1029" i="1"/>
  <c r="C1024" i="1"/>
  <c r="O1022" i="1"/>
  <c r="AN1021" i="1"/>
  <c r="O1021" i="1"/>
  <c r="AS1010" i="1"/>
  <c r="O1006" i="1"/>
  <c r="AS994" i="1"/>
  <c r="AN950" i="1"/>
  <c r="C957" i="1"/>
  <c r="AS990" i="1"/>
  <c r="C989" i="1"/>
  <c r="AS937" i="1"/>
  <c r="P996" i="1"/>
  <c r="S996" i="1" s="1"/>
  <c r="C987" i="1"/>
  <c r="P964" i="1"/>
  <c r="S964" i="1" s="1"/>
  <c r="P1019" i="1"/>
  <c r="P1013" i="1"/>
  <c r="P1012" i="1"/>
  <c r="S1012" i="1" s="1"/>
  <c r="C937" i="1"/>
  <c r="C948" i="1"/>
  <c r="P941" i="1"/>
  <c r="S941" i="1" s="1"/>
  <c r="C924" i="1"/>
  <c r="O996" i="1"/>
  <c r="C991" i="1"/>
  <c r="AN989" i="1"/>
  <c r="P984" i="1"/>
  <c r="S984" i="1" s="1"/>
  <c r="C979" i="1"/>
  <c r="O978" i="1"/>
  <c r="O974" i="1"/>
  <c r="C972" i="1"/>
  <c r="O958" i="1"/>
  <c r="C1022" i="1"/>
  <c r="O1019" i="1"/>
  <c r="O948" i="1"/>
  <c r="C922" i="1"/>
  <c r="P993" i="1"/>
  <c r="S993" i="1" s="1"/>
  <c r="AS991" i="1"/>
  <c r="O984" i="1"/>
  <c r="P981" i="1"/>
  <c r="C966" i="1"/>
  <c r="P961" i="1"/>
  <c r="S961" i="1" s="1"/>
  <c r="C1031" i="1"/>
  <c r="C1030" i="1"/>
  <c r="P1023" i="1"/>
  <c r="S1023" i="1" s="1"/>
  <c r="O1020" i="1"/>
  <c r="AS1009" i="1"/>
  <c r="C1006" i="1"/>
  <c r="AS1016" i="1"/>
  <c r="AS1011" i="1"/>
  <c r="AN1019" i="1"/>
  <c r="C1019" i="1"/>
  <c r="AN1011" i="1"/>
  <c r="W1011" i="1" s="1"/>
  <c r="C1011" i="1"/>
  <c r="O1028" i="1"/>
  <c r="P1028" i="1"/>
  <c r="S1028" i="1" s="1"/>
  <c r="AS1036" i="1"/>
  <c r="P1026" i="1"/>
  <c r="S1026" i="1" s="1"/>
  <c r="O1026" i="1"/>
  <c r="AN1032" i="1"/>
  <c r="C1032" i="1"/>
  <c r="P1027" i="1"/>
  <c r="S1027" i="1" s="1"/>
  <c r="C1029" i="1"/>
  <c r="O1027" i="1"/>
  <c r="AS1020" i="1"/>
  <c r="C1007" i="1"/>
  <c r="AS1008" i="1"/>
  <c r="C1035" i="1"/>
  <c r="P1031" i="1"/>
  <c r="O1018" i="1"/>
  <c r="P1015" i="1"/>
  <c r="AS1021" i="1"/>
  <c r="AS1012" i="1"/>
  <c r="AS1028" i="1"/>
  <c r="AS1025" i="1"/>
  <c r="AS1027" i="1"/>
  <c r="AS1024" i="1"/>
  <c r="AS1032" i="1"/>
  <c r="C997" i="1"/>
  <c r="C993" i="1"/>
  <c r="AN993" i="1"/>
  <c r="O989" i="1"/>
  <c r="P989" i="1"/>
  <c r="S989" i="1" s="1"/>
  <c r="C984" i="1"/>
  <c r="AN984" i="1"/>
  <c r="AN983" i="1"/>
  <c r="C983" i="1"/>
  <c r="O911" i="1"/>
  <c r="P990" i="1"/>
  <c r="S990" i="1" s="1"/>
  <c r="C1004" i="1"/>
  <c r="AN1004" i="1"/>
  <c r="C985" i="1"/>
  <c r="AN985" i="1"/>
  <c r="AS975" i="1"/>
  <c r="AS941" i="1"/>
  <c r="O979" i="1"/>
  <c r="P979" i="1"/>
  <c r="S979" i="1" s="1"/>
  <c r="O923" i="1"/>
  <c r="P923" i="1"/>
  <c r="S923" i="1" s="1"/>
  <c r="AN995" i="1"/>
  <c r="C995" i="1"/>
  <c r="O969" i="1"/>
  <c r="P969" i="1"/>
  <c r="S969" i="1" s="1"/>
  <c r="C986" i="1"/>
  <c r="AN986" i="1"/>
  <c r="C980" i="1"/>
  <c r="AN980" i="1"/>
  <c r="W980" i="1" s="1"/>
  <c r="O956" i="1"/>
  <c r="P956" i="1"/>
  <c r="S956" i="1" s="1"/>
  <c r="C994" i="1"/>
  <c r="AN994" i="1"/>
  <c r="O931" i="1"/>
  <c r="P931" i="1"/>
  <c r="S931" i="1" s="1"/>
  <c r="P920" i="1"/>
  <c r="S920" i="1" s="1"/>
  <c r="O991" i="1"/>
  <c r="AN981" i="1"/>
  <c r="W981" i="1" s="1"/>
  <c r="C945" i="1"/>
  <c r="P968" i="1"/>
  <c r="O967" i="1"/>
  <c r="O1000" i="1"/>
  <c r="P939" i="1"/>
  <c r="S939" i="1" s="1"/>
  <c r="C931" i="1"/>
  <c r="C915" i="1"/>
  <c r="C990" i="1"/>
  <c r="C925" i="1"/>
  <c r="AS933" i="1"/>
  <c r="C939" i="1"/>
  <c r="C928" i="1"/>
  <c r="C917" i="1"/>
  <c r="AN925" i="1"/>
  <c r="AS940" i="1"/>
  <c r="C998" i="1"/>
  <c r="C982" i="1"/>
  <c r="C974" i="1"/>
  <c r="P971" i="1"/>
  <c r="S971" i="1" s="1"/>
  <c r="C962" i="1"/>
  <c r="P959" i="1"/>
  <c r="S959" i="1" s="1"/>
  <c r="AN957" i="1"/>
  <c r="P999" i="1"/>
  <c r="S999" i="1" s="1"/>
  <c r="AS983" i="1"/>
  <c r="P972" i="1"/>
  <c r="O971" i="1"/>
  <c r="P960" i="1"/>
  <c r="S960" i="1" s="1"/>
  <c r="O959" i="1"/>
  <c r="AS996" i="1"/>
  <c r="P950" i="1"/>
  <c r="P987" i="1"/>
  <c r="S987" i="1" s="1"/>
  <c r="AS984" i="1"/>
  <c r="C992" i="1"/>
  <c r="O990" i="1"/>
  <c r="O987" i="1"/>
  <c r="C973" i="1"/>
  <c r="AS972" i="1"/>
  <c r="C969" i="1"/>
  <c r="AS968" i="1"/>
  <c r="C965" i="1"/>
  <c r="AS964" i="1"/>
  <c r="C961" i="1"/>
  <c r="AS960" i="1"/>
  <c r="AS992" i="1"/>
  <c r="C975" i="1"/>
  <c r="C971" i="1"/>
  <c r="C967" i="1"/>
  <c r="C963" i="1"/>
  <c r="C959" i="1"/>
  <c r="C956" i="1"/>
  <c r="AS955" i="1"/>
  <c r="C953" i="1"/>
  <c r="AS951" i="1"/>
  <c r="AS985" i="1"/>
  <c r="AS971" i="1"/>
  <c r="AS967" i="1"/>
  <c r="AS963" i="1"/>
  <c r="AS959" i="1"/>
  <c r="AS956" i="1"/>
  <c r="AS952" i="1"/>
  <c r="AS999" i="1"/>
  <c r="P955" i="1"/>
  <c r="S955" i="1" s="1"/>
  <c r="AS976" i="1"/>
  <c r="P983" i="1"/>
  <c r="S983" i="1" s="1"/>
  <c r="AS980" i="1"/>
  <c r="AS979" i="1"/>
  <c r="C988" i="1"/>
  <c r="O986" i="1"/>
  <c r="O983" i="1"/>
  <c r="C999" i="1"/>
  <c r="P991" i="1"/>
  <c r="AS988" i="1"/>
  <c r="O955" i="1"/>
  <c r="P952" i="1"/>
  <c r="S952" i="1" s="1"/>
  <c r="AN948" i="1"/>
  <c r="C935" i="1"/>
  <c r="P934" i="1"/>
  <c r="S934" i="1" s="1"/>
  <c r="O933" i="1"/>
  <c r="O922" i="1"/>
  <c r="AS921" i="1"/>
  <c r="O914" i="1"/>
  <c r="C912" i="1"/>
  <c r="P922" i="1"/>
  <c r="S922" i="1" s="1"/>
  <c r="P914" i="1"/>
  <c r="P1000" i="1"/>
  <c r="AS929" i="1"/>
  <c r="P927" i="1"/>
  <c r="S927" i="1" s="1"/>
  <c r="C940" i="1"/>
  <c r="P1001" i="1"/>
  <c r="S1001" i="1" s="1"/>
  <c r="AN924" i="1"/>
  <c r="O918" i="1"/>
  <c r="C921" i="1"/>
  <c r="C920" i="1"/>
  <c r="AN921" i="1"/>
  <c r="P918" i="1"/>
  <c r="S918" i="1" s="1"/>
  <c r="C916" i="1"/>
  <c r="AS1002" i="1"/>
  <c r="C1002" i="1"/>
  <c r="O1001" i="1"/>
  <c r="AN945" i="1"/>
  <c r="C941" i="1"/>
  <c r="AN939" i="1"/>
  <c r="AN928" i="1"/>
  <c r="C919" i="1"/>
  <c r="AN917" i="1"/>
  <c r="P916" i="1"/>
  <c r="S916" i="1" s="1"/>
  <c r="C910" i="1"/>
  <c r="C933" i="1"/>
  <c r="AN931" i="1"/>
  <c r="AS920" i="1"/>
  <c r="C913" i="1"/>
  <c r="C929" i="1"/>
  <c r="O930" i="1"/>
  <c r="C909" i="1"/>
  <c r="AS939" i="1"/>
  <c r="P921" i="1"/>
  <c r="S921" i="1" s="1"/>
  <c r="P940" i="1"/>
  <c r="S940" i="1" s="1"/>
  <c r="O940" i="1"/>
  <c r="C936" i="1"/>
  <c r="AS938" i="1"/>
  <c r="P909" i="1"/>
  <c r="P938" i="1"/>
  <c r="S938" i="1" s="1"/>
  <c r="AS935" i="1"/>
  <c r="AS915" i="1"/>
  <c r="O938" i="1"/>
  <c r="O929" i="1"/>
  <c r="P925" i="1"/>
  <c r="AS923" i="1"/>
  <c r="AS922" i="1"/>
  <c r="P917" i="1"/>
  <c r="S917" i="1" s="1"/>
  <c r="AS914" i="1"/>
  <c r="C946" i="1"/>
  <c r="C944" i="1"/>
  <c r="P936" i="1"/>
  <c r="S936" i="1" s="1"/>
  <c r="O936" i="1"/>
  <c r="C934" i="1"/>
  <c r="C932" i="1"/>
  <c r="C927" i="1"/>
  <c r="P946" i="1"/>
  <c r="S946" i="1" s="1"/>
  <c r="AS943" i="1"/>
  <c r="AS931" i="1"/>
  <c r="C926" i="1"/>
  <c r="O946" i="1"/>
  <c r="AN937" i="1"/>
  <c r="AS936" i="1"/>
  <c r="O934" i="1"/>
  <c r="C930" i="1"/>
  <c r="AS926" i="1"/>
  <c r="AS911" i="1"/>
  <c r="AS910" i="1"/>
  <c r="P932" i="1"/>
  <c r="S932" i="1" s="1"/>
  <c r="O932" i="1"/>
  <c r="AS930" i="1"/>
  <c r="P926" i="1"/>
  <c r="S926" i="1" s="1"/>
  <c r="C918" i="1"/>
  <c r="P913" i="1"/>
  <c r="S913" i="1" s="1"/>
  <c r="AS946" i="1"/>
  <c r="AS934" i="1"/>
  <c r="AS927" i="1"/>
  <c r="O944" i="1"/>
  <c r="P944" i="1"/>
  <c r="S944" i="1" s="1"/>
  <c r="C942" i="1"/>
  <c r="AS942" i="1"/>
  <c r="P930" i="1"/>
  <c r="S930" i="1" s="1"/>
  <c r="O926" i="1"/>
  <c r="O921" i="1"/>
  <c r="AS919" i="1"/>
  <c r="AS918" i="1"/>
  <c r="P919" i="1"/>
  <c r="P915" i="1"/>
  <c r="S915" i="1" s="1"/>
  <c r="P911" i="1"/>
  <c r="S911" i="1" s="1"/>
  <c r="P928" i="1"/>
  <c r="O924" i="1"/>
  <c r="O920" i="1"/>
  <c r="AS1001" i="1"/>
  <c r="C1003" i="1"/>
  <c r="P1003" i="1"/>
  <c r="S1003" i="1" s="1"/>
  <c r="O1003" i="1"/>
  <c r="O1002" i="1"/>
  <c r="C949" i="1"/>
  <c r="AS1003" i="1"/>
  <c r="AS949" i="1"/>
  <c r="AS1004" i="1"/>
  <c r="AS1000" i="1"/>
  <c r="AP912" i="1" l="1"/>
  <c r="AQ912" i="1" s="1"/>
  <c r="AP955" i="1"/>
  <c r="AQ955" i="1" s="1"/>
  <c r="V933" i="1"/>
  <c r="AP1001" i="1"/>
  <c r="AQ1001" i="1" s="1"/>
  <c r="AP987" i="1"/>
  <c r="AQ987" i="1" s="1"/>
  <c r="AP909" i="1"/>
  <c r="AQ909" i="1" s="1"/>
  <c r="AP988" i="1"/>
  <c r="AQ988" i="1" s="1"/>
  <c r="AP970" i="1"/>
  <c r="AQ970" i="1" s="1"/>
  <c r="AP1003" i="1"/>
  <c r="AQ1003" i="1" s="1"/>
  <c r="AP956" i="1"/>
  <c r="AQ956" i="1" s="1"/>
  <c r="AP927" i="1"/>
  <c r="AQ927" i="1" s="1"/>
  <c r="AP1035" i="1"/>
  <c r="AQ1035" i="1" s="1"/>
  <c r="AP913" i="1"/>
  <c r="AQ913" i="1" s="1"/>
  <c r="AP1026" i="1"/>
  <c r="AQ1026" i="1" s="1"/>
  <c r="AP960" i="1"/>
  <c r="AQ960" i="1" s="1"/>
  <c r="AP911" i="1"/>
  <c r="AQ911" i="1" s="1"/>
  <c r="AP992" i="1"/>
  <c r="AQ992" i="1" s="1"/>
  <c r="AP997" i="1"/>
  <c r="AQ997" i="1" s="1"/>
  <c r="AP918" i="1"/>
  <c r="AQ918" i="1" s="1"/>
  <c r="V926" i="1"/>
  <c r="AB926" i="1" s="1"/>
  <c r="V932" i="1"/>
  <c r="V950" i="1"/>
  <c r="V1013" i="1"/>
  <c r="V1024" i="1"/>
  <c r="V938" i="1"/>
  <c r="V909" i="1"/>
  <c r="V936" i="1"/>
  <c r="V1004" i="1"/>
  <c r="V911" i="1"/>
  <c r="V964" i="1"/>
  <c r="V993" i="1"/>
  <c r="V931" i="1"/>
  <c r="V965" i="1"/>
  <c r="V949" i="1"/>
  <c r="V1003" i="1"/>
  <c r="V946" i="1"/>
  <c r="V992" i="1"/>
  <c r="V928" i="1"/>
  <c r="V925" i="1"/>
  <c r="V990" i="1"/>
  <c r="AB990" i="1" s="1"/>
  <c r="V939" i="1"/>
  <c r="V954" i="1"/>
  <c r="V929" i="1"/>
  <c r="V1001" i="1"/>
  <c r="V948" i="1"/>
  <c r="V957" i="1"/>
  <c r="V945" i="1"/>
  <c r="V1006" i="1"/>
  <c r="V919" i="1"/>
  <c r="V951" i="1"/>
  <c r="AB951" i="1" s="1"/>
  <c r="V935" i="1"/>
  <c r="V941" i="1"/>
  <c r="V1020" i="1"/>
  <c r="V995" i="1"/>
  <c r="V956" i="1"/>
  <c r="V923" i="1"/>
  <c r="V1025" i="1"/>
  <c r="V1005" i="1"/>
  <c r="AB1005" i="1" s="1"/>
  <c r="V1029" i="1"/>
  <c r="V963" i="1"/>
  <c r="V1000" i="1"/>
  <c r="V958" i="1"/>
  <c r="V1035" i="1"/>
  <c r="V1018" i="1"/>
  <c r="V1026" i="1"/>
  <c r="V997" i="1"/>
  <c r="V1019" i="1"/>
  <c r="V988" i="1"/>
  <c r="AB988" i="1" s="1"/>
  <c r="V1023" i="1"/>
  <c r="V1007" i="1"/>
  <c r="V998" i="1"/>
  <c r="V952" i="1"/>
  <c r="AP1020" i="1"/>
  <c r="AQ1020" i="1" s="1"/>
  <c r="AP1024" i="1"/>
  <c r="AQ1024" i="1" s="1"/>
  <c r="V1012" i="1"/>
  <c r="AP959" i="1"/>
  <c r="AQ959" i="1" s="1"/>
  <c r="AP1025" i="1"/>
  <c r="AQ1025" i="1" s="1"/>
  <c r="AP976" i="1"/>
  <c r="AQ976" i="1" s="1"/>
  <c r="AP930" i="1"/>
  <c r="AQ930" i="1" s="1"/>
  <c r="AP1022" i="1"/>
  <c r="AQ1022" i="1" s="1"/>
  <c r="AP1013" i="1"/>
  <c r="AQ1013" i="1" s="1"/>
  <c r="AP1002" i="1"/>
  <c r="AQ1002" i="1" s="1"/>
  <c r="AP1029" i="1"/>
  <c r="AQ1029" i="1" s="1"/>
  <c r="AP977" i="1"/>
  <c r="AQ977" i="1" s="1"/>
  <c r="AP915" i="1"/>
  <c r="AQ915" i="1" s="1"/>
  <c r="V1030" i="1"/>
  <c r="AP1018" i="1"/>
  <c r="AQ1018" i="1" s="1"/>
  <c r="AP962" i="1"/>
  <c r="AQ962" i="1" s="1"/>
  <c r="V960" i="1"/>
  <c r="AB960" i="1" s="1"/>
  <c r="V1002" i="1"/>
  <c r="V918" i="1"/>
  <c r="V989" i="1"/>
  <c r="V937" i="1"/>
  <c r="AP929" i="1"/>
  <c r="AQ929" i="1" s="1"/>
  <c r="AP919" i="1"/>
  <c r="AQ919" i="1" s="1"/>
  <c r="AP963" i="1"/>
  <c r="AQ963" i="1" s="1"/>
  <c r="V920" i="1"/>
  <c r="V953" i="1"/>
  <c r="AP942" i="1"/>
  <c r="AQ942" i="1" s="1"/>
  <c r="V961" i="1"/>
  <c r="AP944" i="1"/>
  <c r="AQ944" i="1" s="1"/>
  <c r="AP953" i="1"/>
  <c r="AQ953" i="1" s="1"/>
  <c r="V912" i="1"/>
  <c r="V924" i="1"/>
  <c r="V930" i="1"/>
  <c r="V955" i="1"/>
  <c r="V1021" i="1"/>
  <c r="V1034" i="1"/>
  <c r="AP935" i="1"/>
  <c r="AQ935" i="1" s="1"/>
  <c r="V944" i="1"/>
  <c r="V914" i="1"/>
  <c r="V959" i="1"/>
  <c r="V991" i="1"/>
  <c r="V1028" i="1"/>
  <c r="V996" i="1"/>
  <c r="AB996" i="1" s="1"/>
  <c r="AD996" i="1" s="1"/>
  <c r="V1010" i="1"/>
  <c r="V999" i="1"/>
  <c r="AB999" i="1" s="1"/>
  <c r="AC999" i="1" s="1"/>
  <c r="AP965" i="1"/>
  <c r="AQ965" i="1" s="1"/>
  <c r="V1036" i="1"/>
  <c r="V1011" i="1"/>
  <c r="V1015" i="1"/>
  <c r="V1016" i="1"/>
  <c r="AP1009" i="1"/>
  <c r="AQ1009" i="1" s="1"/>
  <c r="AP991" i="1"/>
  <c r="AQ991" i="1" s="1"/>
  <c r="V927" i="1"/>
  <c r="V943" i="1"/>
  <c r="V1009" i="1"/>
  <c r="V1022" i="1"/>
  <c r="AB1022" i="1" s="1"/>
  <c r="AC1022" i="1" s="1"/>
  <c r="V1014" i="1"/>
  <c r="V973" i="1"/>
  <c r="AB973" i="1" s="1"/>
  <c r="AC973" i="1" s="1"/>
  <c r="AP1000" i="1"/>
  <c r="AQ1000" i="1" s="1"/>
  <c r="AP961" i="1"/>
  <c r="AQ961" i="1" s="1"/>
  <c r="AP1010" i="1"/>
  <c r="AQ1010" i="1" s="1"/>
  <c r="AP1016" i="1"/>
  <c r="AQ1016" i="1" s="1"/>
  <c r="V917" i="1"/>
  <c r="V916" i="1"/>
  <c r="V962" i="1"/>
  <c r="V934" i="1"/>
  <c r="V994" i="1"/>
  <c r="V1031" i="1"/>
  <c r="V942" i="1"/>
  <c r="AP1007" i="1"/>
  <c r="AQ1007" i="1" s="1"/>
  <c r="V921" i="1"/>
  <c r="V1017" i="1"/>
  <c r="V940" i="1"/>
  <c r="V922" i="1"/>
  <c r="V987" i="1"/>
  <c r="V1008" i="1"/>
  <c r="AP938" i="1"/>
  <c r="AQ938" i="1" s="1"/>
  <c r="AP1008" i="1"/>
  <c r="AQ1008" i="1" s="1"/>
  <c r="AP1012" i="1"/>
  <c r="AQ1012" i="1" s="1"/>
  <c r="AP964" i="1"/>
  <c r="AQ964" i="1" s="1"/>
  <c r="V915" i="1"/>
  <c r="AB915" i="1" s="1"/>
  <c r="AC915" i="1" s="1"/>
  <c r="V913" i="1"/>
  <c r="S1032" i="1"/>
  <c r="S981" i="1"/>
  <c r="S995" i="1"/>
  <c r="S1019" i="1"/>
  <c r="S968" i="1"/>
  <c r="S972" i="1"/>
  <c r="S919" i="1"/>
  <c r="S1013" i="1"/>
  <c r="S935" i="1"/>
  <c r="AP928" i="1"/>
  <c r="AQ928" i="1" s="1"/>
  <c r="AP921" i="1"/>
  <c r="AQ921" i="1" s="1"/>
  <c r="AP994" i="1"/>
  <c r="AQ994" i="1" s="1"/>
  <c r="AP950" i="1"/>
  <c r="AQ950" i="1" s="1"/>
  <c r="AP958" i="1"/>
  <c r="AQ958" i="1" s="1"/>
  <c r="AP924" i="1"/>
  <c r="AQ924" i="1" s="1"/>
  <c r="AP983" i="1"/>
  <c r="AQ983" i="1" s="1"/>
  <c r="AP966" i="1"/>
  <c r="AQ966" i="1" s="1"/>
  <c r="AP975" i="1"/>
  <c r="AQ975" i="1" s="1"/>
  <c r="AP934" i="1"/>
  <c r="AQ934" i="1" s="1"/>
  <c r="AP939" i="1"/>
  <c r="AQ939" i="1" s="1"/>
  <c r="AP1019" i="1"/>
  <c r="AQ1019" i="1" s="1"/>
  <c r="AP936" i="1"/>
  <c r="AQ936" i="1" s="1"/>
  <c r="AP1017" i="1"/>
  <c r="AQ1017" i="1" s="1"/>
  <c r="AP1021" i="1"/>
  <c r="AQ1021" i="1" s="1"/>
  <c r="AP943" i="1"/>
  <c r="AQ943" i="1" s="1"/>
  <c r="AP1015" i="1"/>
  <c r="AQ1015" i="1" s="1"/>
  <c r="AP946" i="1"/>
  <c r="AQ946" i="1" s="1"/>
  <c r="AP945" i="1"/>
  <c r="AQ945" i="1" s="1"/>
  <c r="AP986" i="1"/>
  <c r="AQ986" i="1" s="1"/>
  <c r="AP923" i="1"/>
  <c r="AQ923" i="1" s="1"/>
  <c r="AP937" i="1"/>
  <c r="AQ937" i="1" s="1"/>
  <c r="AP931" i="1"/>
  <c r="AQ931" i="1" s="1"/>
  <c r="AP948" i="1"/>
  <c r="AQ948" i="1" s="1"/>
  <c r="AP1032" i="1"/>
  <c r="AQ1032" i="1" s="1"/>
  <c r="AP1028" i="1"/>
  <c r="AQ1028" i="1" s="1"/>
  <c r="AP968" i="1"/>
  <c r="AQ968" i="1" s="1"/>
  <c r="AP974" i="1"/>
  <c r="AQ974" i="1" s="1"/>
  <c r="AP941" i="1"/>
  <c r="AQ941" i="1" s="1"/>
  <c r="AP917" i="1"/>
  <c r="AQ917" i="1" s="1"/>
  <c r="AP925" i="1"/>
  <c r="AQ925" i="1" s="1"/>
  <c r="AP981" i="1"/>
  <c r="AQ981" i="1" s="1"/>
  <c r="AP954" i="1"/>
  <c r="AQ954" i="1" s="1"/>
  <c r="AP995" i="1"/>
  <c r="AQ995" i="1" s="1"/>
  <c r="AP1004" i="1"/>
  <c r="AQ1004" i="1" s="1"/>
  <c r="AP1014" i="1"/>
  <c r="AQ1014" i="1" s="1"/>
  <c r="AP916" i="1"/>
  <c r="AQ916" i="1" s="1"/>
  <c r="AP1006" i="1"/>
  <c r="AQ1006" i="1" s="1"/>
  <c r="AP932" i="1"/>
  <c r="AQ932" i="1" s="1"/>
  <c r="AP998" i="1"/>
  <c r="AQ998" i="1" s="1"/>
  <c r="AP967" i="1"/>
  <c r="AQ967" i="1" s="1"/>
  <c r="AP989" i="1"/>
  <c r="AQ989" i="1" s="1"/>
  <c r="AP920" i="1"/>
  <c r="AQ920" i="1" s="1"/>
  <c r="S1011" i="1"/>
  <c r="S1025" i="1"/>
  <c r="S965" i="1"/>
  <c r="S985" i="1"/>
  <c r="S973" i="1"/>
  <c r="S1033" i="1"/>
  <c r="S1015" i="1"/>
  <c r="S1031" i="1"/>
  <c r="S914" i="1"/>
  <c r="S1000" i="1"/>
  <c r="S991" i="1"/>
  <c r="AS993" i="1"/>
  <c r="S950" i="1"/>
  <c r="AS977" i="1"/>
  <c r="S909" i="1"/>
  <c r="S928" i="1"/>
  <c r="S925" i="1"/>
  <c r="AB955" i="1" l="1"/>
  <c r="AE988" i="1"/>
  <c r="AE990" i="1"/>
  <c r="AE999" i="1"/>
  <c r="AB956" i="1"/>
  <c r="AB909" i="1"/>
  <c r="AB987" i="1"/>
  <c r="AD987" i="1" s="1"/>
  <c r="AB1001" i="1"/>
  <c r="AC1001" i="1" s="1"/>
  <c r="AB1003" i="1"/>
  <c r="AB927" i="1"/>
  <c r="AB997" i="1"/>
  <c r="AB918" i="1"/>
  <c r="AB1026" i="1"/>
  <c r="AB992" i="1"/>
  <c r="AB911" i="1"/>
  <c r="AC911" i="1" s="1"/>
  <c r="AB962" i="1"/>
  <c r="AB942" i="1"/>
  <c r="AB953" i="1"/>
  <c r="AE953" i="1" s="1"/>
  <c r="AB959" i="1"/>
  <c r="AB1013" i="1"/>
  <c r="AC1013" i="1" s="1"/>
  <c r="AE1013" i="1" s="1"/>
  <c r="AB1029" i="1"/>
  <c r="AB1000" i="1"/>
  <c r="AE1000" i="1" s="1"/>
  <c r="AB961" i="1"/>
  <c r="AB1010" i="1"/>
  <c r="AB1018" i="1"/>
  <c r="AE1018" i="1" s="1"/>
  <c r="AB1025" i="1"/>
  <c r="AB1024" i="1"/>
  <c r="AB963" i="1"/>
  <c r="AB944" i="1"/>
  <c r="AE944" i="1" s="1"/>
  <c r="AB919" i="1"/>
  <c r="AB1012" i="1"/>
  <c r="AE1012" i="1" s="1"/>
  <c r="AB1008" i="1"/>
  <c r="AE1008" i="1" s="1"/>
  <c r="AB940" i="1"/>
  <c r="AB1023" i="1"/>
  <c r="AE1023" i="1" s="1"/>
  <c r="AB991" i="1"/>
  <c r="AB914" i="1"/>
  <c r="AB1002" i="1"/>
  <c r="AE1002" i="1" s="1"/>
  <c r="AP940" i="1"/>
  <c r="AQ940" i="1" s="1"/>
  <c r="AB929" i="1"/>
  <c r="AB964" i="1"/>
  <c r="AB1020" i="1"/>
  <c r="AE1020" i="1" s="1"/>
  <c r="AB1009" i="1"/>
  <c r="AB930" i="1"/>
  <c r="AP926" i="1"/>
  <c r="AQ926" i="1" s="1"/>
  <c r="AB1016" i="1"/>
  <c r="AB965" i="1"/>
  <c r="AC965" i="1" s="1"/>
  <c r="AB935" i="1"/>
  <c r="AC935" i="1" s="1"/>
  <c r="AB1007" i="1"/>
  <c r="AE1007" i="1" s="1"/>
  <c r="AP914" i="1"/>
  <c r="AQ914" i="1" s="1"/>
  <c r="AP1023" i="1"/>
  <c r="AQ1023" i="1" s="1"/>
  <c r="AE1022" i="1"/>
  <c r="AE915" i="1"/>
  <c r="AE951" i="1"/>
  <c r="AE973" i="1"/>
  <c r="AE963" i="1"/>
  <c r="AE926" i="1"/>
  <c r="AE991" i="1"/>
  <c r="AE955" i="1"/>
  <c r="AE1029" i="1"/>
  <c r="AE960" i="1"/>
  <c r="AE959" i="1"/>
  <c r="AE1005" i="1"/>
  <c r="AB943" i="1"/>
  <c r="AC943" i="1" s="1"/>
  <c r="AB1004" i="1"/>
  <c r="AB937" i="1"/>
  <c r="AB1017" i="1"/>
  <c r="AB958" i="1"/>
  <c r="AB994" i="1"/>
  <c r="AB932" i="1"/>
  <c r="AC932" i="1" s="1"/>
  <c r="AB948" i="1"/>
  <c r="AB954" i="1"/>
  <c r="AC954" i="1" s="1"/>
  <c r="AB993" i="1"/>
  <c r="AC993" i="1" s="1"/>
  <c r="AB1019" i="1"/>
  <c r="AB928" i="1"/>
  <c r="AB921" i="1"/>
  <c r="AB1011" i="1"/>
  <c r="AC1011" i="1" s="1"/>
  <c r="AP985" i="1"/>
  <c r="AQ985" i="1" s="1"/>
  <c r="AB923" i="1"/>
  <c r="AB1015" i="1"/>
  <c r="AB924" i="1"/>
  <c r="AB989" i="1"/>
  <c r="AB922" i="1"/>
  <c r="AB925" i="1"/>
  <c r="AB1014" i="1"/>
  <c r="AC1014" i="1" s="1"/>
  <c r="AB945" i="1"/>
  <c r="AB917" i="1"/>
  <c r="AC917" i="1" s="1"/>
  <c r="AP984" i="1"/>
  <c r="AQ984" i="1" s="1"/>
  <c r="AP957" i="1"/>
  <c r="AQ957" i="1" s="1"/>
  <c r="AB1028" i="1"/>
  <c r="AB916" i="1"/>
  <c r="AC916" i="1" s="1"/>
  <c r="AB936" i="1"/>
  <c r="AC936" i="1" s="1"/>
  <c r="AB995" i="1"/>
  <c r="AD995" i="1" s="1"/>
  <c r="AB1021" i="1"/>
  <c r="AP1011" i="1"/>
  <c r="AQ1011" i="1" s="1"/>
  <c r="AB1006" i="1"/>
  <c r="AC1006" i="1" s="1"/>
  <c r="AB931" i="1"/>
  <c r="AC931" i="1" s="1"/>
  <c r="AB920" i="1"/>
  <c r="AC920" i="1" s="1"/>
  <c r="AP993" i="1"/>
  <c r="AQ993" i="1" s="1"/>
  <c r="AB939" i="1"/>
  <c r="AP1034" i="1"/>
  <c r="AQ1034" i="1" s="1"/>
  <c r="AB934" i="1"/>
  <c r="AP980" i="1"/>
  <c r="AQ980" i="1" s="1"/>
  <c r="AB946" i="1"/>
  <c r="AB998" i="1"/>
  <c r="AP922" i="1"/>
  <c r="AQ922" i="1" s="1"/>
  <c r="AB941" i="1"/>
  <c r="AC941" i="1" s="1"/>
  <c r="AC918" i="1" l="1"/>
  <c r="AD918" i="1" s="1"/>
  <c r="AC940" i="1"/>
  <c r="AD940" i="1" s="1"/>
  <c r="AC930" i="1"/>
  <c r="AE930" i="1" s="1"/>
  <c r="AC942" i="1"/>
  <c r="AE942" i="1" s="1"/>
  <c r="AC964" i="1"/>
  <c r="AE964" i="1" s="1"/>
  <c r="AC962" i="1"/>
  <c r="AE962" i="1" s="1"/>
  <c r="AC1024" i="1"/>
  <c r="AE1024" i="1" s="1"/>
  <c r="AC1010" i="1"/>
  <c r="AD1010" i="1" s="1"/>
  <c r="AC961" i="1"/>
  <c r="AD961" i="1" s="1"/>
  <c r="AE937" i="1"/>
  <c r="AC956" i="1"/>
  <c r="AE956" i="1" s="1"/>
  <c r="AC1025" i="1"/>
  <c r="AE1025" i="1" s="1"/>
  <c r="AC914" i="1"/>
  <c r="AE914" i="1" s="1"/>
  <c r="AC919" i="1"/>
  <c r="AD919" i="1" s="1"/>
  <c r="AE921" i="1"/>
  <c r="AD988" i="1"/>
  <c r="AE911" i="1"/>
  <c r="AE1009" i="1"/>
  <c r="AE992" i="1"/>
  <c r="AE941" i="1"/>
  <c r="AE1004" i="1"/>
  <c r="AE1026" i="1"/>
  <c r="AD999" i="1"/>
  <c r="AE928" i="1"/>
  <c r="AE997" i="1"/>
  <c r="AE927" i="1"/>
  <c r="AE935" i="1"/>
  <c r="AE929" i="1"/>
  <c r="AE1003" i="1"/>
  <c r="AD990" i="1"/>
  <c r="AE948" i="1"/>
  <c r="AE965" i="1"/>
  <c r="AE1001" i="1"/>
  <c r="AD1016" i="1"/>
  <c r="AE909" i="1"/>
  <c r="AD960" i="1"/>
  <c r="AD1013" i="1"/>
  <c r="AD944" i="1"/>
  <c r="AD973" i="1"/>
  <c r="AD1018" i="1"/>
  <c r="AD915" i="1"/>
  <c r="AE1014" i="1"/>
  <c r="AE932" i="1"/>
  <c r="AE1011" i="1"/>
  <c r="AD1005" i="1"/>
  <c r="AD959" i="1"/>
  <c r="AD1008" i="1"/>
  <c r="AD926" i="1"/>
  <c r="AD953" i="1"/>
  <c r="AE1021" i="1"/>
  <c r="AE923" i="1"/>
  <c r="AE943" i="1"/>
  <c r="AD1029" i="1"/>
  <c r="AE925" i="1"/>
  <c r="AD991" i="1"/>
  <c r="AD1022" i="1"/>
  <c r="AE989" i="1"/>
  <c r="AE994" i="1"/>
  <c r="AE920" i="1"/>
  <c r="AE924" i="1"/>
  <c r="AE1019" i="1"/>
  <c r="AE958" i="1"/>
  <c r="AD1007" i="1"/>
  <c r="AD951" i="1"/>
  <c r="AE936" i="1"/>
  <c r="AE916" i="1"/>
  <c r="AE934" i="1"/>
  <c r="AE922" i="1"/>
  <c r="AE939" i="1"/>
  <c r="AE993" i="1"/>
  <c r="AE946" i="1"/>
  <c r="AD1020" i="1"/>
  <c r="AD1002" i="1"/>
  <c r="AD955" i="1"/>
  <c r="AD963" i="1"/>
  <c r="AE1028" i="1"/>
  <c r="AE931" i="1"/>
  <c r="AE1015" i="1"/>
  <c r="AE1017" i="1"/>
  <c r="AE998" i="1"/>
  <c r="AE1006" i="1"/>
  <c r="AE917" i="1"/>
  <c r="AE945" i="1"/>
  <c r="AE954" i="1"/>
  <c r="AD1023" i="1"/>
  <c r="AD1012" i="1"/>
  <c r="AD1000" i="1"/>
  <c r="AD962" i="1" l="1"/>
  <c r="AD1024" i="1"/>
  <c r="AD937" i="1"/>
  <c r="AD914" i="1"/>
  <c r="AD942" i="1"/>
  <c r="AD921" i="1"/>
  <c r="AD956" i="1"/>
  <c r="AE961" i="1"/>
  <c r="AD1025" i="1"/>
  <c r="AD930" i="1"/>
  <c r="AE919" i="1"/>
  <c r="AE1010" i="1"/>
  <c r="AE940" i="1"/>
  <c r="AE918" i="1"/>
  <c r="AD964" i="1"/>
  <c r="AE1016" i="1"/>
  <c r="AD948" i="1"/>
  <c r="AD1009" i="1"/>
  <c r="AD1003" i="1"/>
  <c r="AD941" i="1"/>
  <c r="AD927" i="1"/>
  <c r="AD911" i="1"/>
  <c r="AD929" i="1"/>
  <c r="AD992" i="1"/>
  <c r="AD1001" i="1"/>
  <c r="AD965" i="1"/>
  <c r="AD935" i="1"/>
  <c r="AD1004" i="1"/>
  <c r="AD1026" i="1"/>
  <c r="AD997" i="1"/>
  <c r="AD909" i="1"/>
  <c r="AD928" i="1"/>
  <c r="AD954" i="1"/>
  <c r="AD939" i="1"/>
  <c r="AD1028" i="1"/>
  <c r="AD922" i="1"/>
  <c r="AD925" i="1"/>
  <c r="AD1017" i="1"/>
  <c r="AD934" i="1"/>
  <c r="AD920" i="1"/>
  <c r="AD1006" i="1"/>
  <c r="AD946" i="1"/>
  <c r="AD1019" i="1"/>
  <c r="AD923" i="1"/>
  <c r="AD998" i="1"/>
  <c r="AD993" i="1"/>
  <c r="AD916" i="1"/>
  <c r="AD924" i="1"/>
  <c r="AD1021" i="1"/>
  <c r="AD1011" i="1"/>
  <c r="AD1015" i="1"/>
  <c r="AD936" i="1"/>
  <c r="AD994" i="1"/>
  <c r="AD932" i="1"/>
  <c r="AD945" i="1"/>
  <c r="AD931" i="1"/>
  <c r="AD989" i="1"/>
  <c r="AD917" i="1"/>
  <c r="AD958" i="1"/>
  <c r="AD943" i="1"/>
  <c r="AD1014" i="1"/>
  <c r="S1049" i="1"/>
  <c r="Q1049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4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47" i="1"/>
  <c r="G4" i="1"/>
  <c r="Q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47" i="1"/>
  <c r="N4" i="1"/>
  <c r="M5" i="1"/>
  <c r="T5" i="1" s="1"/>
  <c r="M6" i="1"/>
  <c r="T6" i="1" s="1"/>
  <c r="M7" i="1"/>
  <c r="T7" i="1" s="1"/>
  <c r="M8" i="1"/>
  <c r="T8" i="1" s="1"/>
  <c r="M9" i="1"/>
  <c r="T9" i="1" s="1"/>
  <c r="M10" i="1"/>
  <c r="T10" i="1" s="1"/>
  <c r="M11" i="1"/>
  <c r="T11" i="1" s="1"/>
  <c r="M12" i="1"/>
  <c r="T12" i="1" s="1"/>
  <c r="M13" i="1"/>
  <c r="T13" i="1" s="1"/>
  <c r="M14" i="1"/>
  <c r="T14" i="1" s="1"/>
  <c r="M15" i="1"/>
  <c r="T15" i="1" s="1"/>
  <c r="M16" i="1"/>
  <c r="T16" i="1" s="1"/>
  <c r="M17" i="1"/>
  <c r="T17" i="1" s="1"/>
  <c r="M18" i="1"/>
  <c r="T18" i="1" s="1"/>
  <c r="M19" i="1"/>
  <c r="T19" i="1" s="1"/>
  <c r="M20" i="1"/>
  <c r="T20" i="1" s="1"/>
  <c r="M21" i="1"/>
  <c r="T21" i="1" s="1"/>
  <c r="M22" i="1"/>
  <c r="T22" i="1" s="1"/>
  <c r="M23" i="1"/>
  <c r="T23" i="1" s="1"/>
  <c r="M24" i="1"/>
  <c r="T24" i="1" s="1"/>
  <c r="M25" i="1"/>
  <c r="T25" i="1" s="1"/>
  <c r="M26" i="1"/>
  <c r="T26" i="1" s="1"/>
  <c r="M27" i="1"/>
  <c r="T27" i="1" s="1"/>
  <c r="M28" i="1"/>
  <c r="T28" i="1" s="1"/>
  <c r="M29" i="1"/>
  <c r="T29" i="1" s="1"/>
  <c r="M30" i="1"/>
  <c r="T30" i="1" s="1"/>
  <c r="M31" i="1"/>
  <c r="T31" i="1" s="1"/>
  <c r="M32" i="1"/>
  <c r="T32" i="1" s="1"/>
  <c r="M33" i="1"/>
  <c r="T33" i="1" s="1"/>
  <c r="M34" i="1"/>
  <c r="T34" i="1" s="1"/>
  <c r="M35" i="1"/>
  <c r="T35" i="1" s="1"/>
  <c r="M36" i="1"/>
  <c r="T36" i="1" s="1"/>
  <c r="M37" i="1"/>
  <c r="T37" i="1" s="1"/>
  <c r="M38" i="1"/>
  <c r="T38" i="1" s="1"/>
  <c r="M39" i="1"/>
  <c r="T39" i="1" s="1"/>
  <c r="M40" i="1"/>
  <c r="T40" i="1" s="1"/>
  <c r="M41" i="1"/>
  <c r="T41" i="1" s="1"/>
  <c r="M42" i="1"/>
  <c r="T42" i="1" s="1"/>
  <c r="M43" i="1"/>
  <c r="T43" i="1" s="1"/>
  <c r="M44" i="1"/>
  <c r="T44" i="1" s="1"/>
  <c r="M45" i="1"/>
  <c r="T45" i="1" s="1"/>
  <c r="M46" i="1"/>
  <c r="T46" i="1" s="1"/>
  <c r="M47" i="1"/>
  <c r="T47" i="1" s="1"/>
  <c r="M48" i="1"/>
  <c r="T48" i="1" s="1"/>
  <c r="M49" i="1"/>
  <c r="T49" i="1" s="1"/>
  <c r="M50" i="1"/>
  <c r="T50" i="1" s="1"/>
  <c r="M51" i="1"/>
  <c r="T51" i="1" s="1"/>
  <c r="M52" i="1"/>
  <c r="T52" i="1" s="1"/>
  <c r="M53" i="1"/>
  <c r="T53" i="1" s="1"/>
  <c r="M54" i="1"/>
  <c r="T54" i="1" s="1"/>
  <c r="M55" i="1"/>
  <c r="T55" i="1" s="1"/>
  <c r="M56" i="1"/>
  <c r="T56" i="1" s="1"/>
  <c r="M57" i="1"/>
  <c r="T57" i="1" s="1"/>
  <c r="M58" i="1"/>
  <c r="T58" i="1" s="1"/>
  <c r="M59" i="1"/>
  <c r="T59" i="1" s="1"/>
  <c r="M60" i="1"/>
  <c r="T60" i="1" s="1"/>
  <c r="M61" i="1"/>
  <c r="T61" i="1" s="1"/>
  <c r="M62" i="1"/>
  <c r="T62" i="1" s="1"/>
  <c r="M63" i="1"/>
  <c r="T63" i="1" s="1"/>
  <c r="M64" i="1"/>
  <c r="T64" i="1" s="1"/>
  <c r="M65" i="1"/>
  <c r="T65" i="1" s="1"/>
  <c r="M66" i="1"/>
  <c r="T66" i="1" s="1"/>
  <c r="M67" i="1"/>
  <c r="T67" i="1" s="1"/>
  <c r="M68" i="1"/>
  <c r="T68" i="1" s="1"/>
  <c r="M69" i="1"/>
  <c r="T69" i="1" s="1"/>
  <c r="M70" i="1"/>
  <c r="T70" i="1" s="1"/>
  <c r="M71" i="1"/>
  <c r="T71" i="1" s="1"/>
  <c r="M72" i="1"/>
  <c r="T72" i="1" s="1"/>
  <c r="M73" i="1"/>
  <c r="T73" i="1" s="1"/>
  <c r="M74" i="1"/>
  <c r="T74" i="1" s="1"/>
  <c r="M75" i="1"/>
  <c r="T75" i="1" s="1"/>
  <c r="M76" i="1"/>
  <c r="T76" i="1" s="1"/>
  <c r="M77" i="1"/>
  <c r="T77" i="1" s="1"/>
  <c r="M78" i="1"/>
  <c r="T78" i="1" s="1"/>
  <c r="M79" i="1"/>
  <c r="T79" i="1" s="1"/>
  <c r="M80" i="1"/>
  <c r="T80" i="1" s="1"/>
  <c r="M81" i="1"/>
  <c r="T81" i="1" s="1"/>
  <c r="M82" i="1"/>
  <c r="T82" i="1" s="1"/>
  <c r="M83" i="1"/>
  <c r="T83" i="1" s="1"/>
  <c r="M84" i="1"/>
  <c r="T84" i="1" s="1"/>
  <c r="M85" i="1"/>
  <c r="T85" i="1" s="1"/>
  <c r="M86" i="1"/>
  <c r="T86" i="1" s="1"/>
  <c r="M87" i="1"/>
  <c r="T87" i="1" s="1"/>
  <c r="M88" i="1"/>
  <c r="T88" i="1" s="1"/>
  <c r="M89" i="1"/>
  <c r="T89" i="1" s="1"/>
  <c r="M90" i="1"/>
  <c r="T90" i="1" s="1"/>
  <c r="M91" i="1"/>
  <c r="T91" i="1" s="1"/>
  <c r="M92" i="1"/>
  <c r="T92" i="1" s="1"/>
  <c r="M93" i="1"/>
  <c r="T93" i="1" s="1"/>
  <c r="M94" i="1"/>
  <c r="T94" i="1" s="1"/>
  <c r="M95" i="1"/>
  <c r="T95" i="1" s="1"/>
  <c r="M96" i="1"/>
  <c r="T96" i="1" s="1"/>
  <c r="M97" i="1"/>
  <c r="T97" i="1" s="1"/>
  <c r="M98" i="1"/>
  <c r="T98" i="1" s="1"/>
  <c r="M99" i="1"/>
  <c r="T99" i="1" s="1"/>
  <c r="M100" i="1"/>
  <c r="T100" i="1" s="1"/>
  <c r="M101" i="1"/>
  <c r="T101" i="1" s="1"/>
  <c r="M102" i="1"/>
  <c r="T102" i="1" s="1"/>
  <c r="M103" i="1"/>
  <c r="T103" i="1" s="1"/>
  <c r="M104" i="1"/>
  <c r="T104" i="1" s="1"/>
  <c r="M105" i="1"/>
  <c r="T105" i="1" s="1"/>
  <c r="M106" i="1"/>
  <c r="T106" i="1" s="1"/>
  <c r="M107" i="1"/>
  <c r="T107" i="1" s="1"/>
  <c r="M108" i="1"/>
  <c r="T108" i="1" s="1"/>
  <c r="M109" i="1"/>
  <c r="T109" i="1" s="1"/>
  <c r="M110" i="1"/>
  <c r="T110" i="1" s="1"/>
  <c r="M111" i="1"/>
  <c r="T111" i="1" s="1"/>
  <c r="M112" i="1"/>
  <c r="T112" i="1" s="1"/>
  <c r="M113" i="1"/>
  <c r="T113" i="1" s="1"/>
  <c r="M114" i="1"/>
  <c r="T114" i="1" s="1"/>
  <c r="M115" i="1"/>
  <c r="T115" i="1" s="1"/>
  <c r="M116" i="1"/>
  <c r="T116" i="1" s="1"/>
  <c r="M117" i="1"/>
  <c r="T117" i="1" s="1"/>
  <c r="M118" i="1"/>
  <c r="T118" i="1" s="1"/>
  <c r="M119" i="1"/>
  <c r="T119" i="1" s="1"/>
  <c r="M120" i="1"/>
  <c r="T120" i="1" s="1"/>
  <c r="M121" i="1"/>
  <c r="T121" i="1" s="1"/>
  <c r="M122" i="1"/>
  <c r="T122" i="1" s="1"/>
  <c r="M123" i="1"/>
  <c r="T123" i="1" s="1"/>
  <c r="M124" i="1"/>
  <c r="T124" i="1" s="1"/>
  <c r="M125" i="1"/>
  <c r="T125" i="1" s="1"/>
  <c r="M126" i="1"/>
  <c r="T126" i="1" s="1"/>
  <c r="M127" i="1"/>
  <c r="T127" i="1" s="1"/>
  <c r="M128" i="1"/>
  <c r="T128" i="1" s="1"/>
  <c r="M129" i="1"/>
  <c r="T129" i="1" s="1"/>
  <c r="M130" i="1"/>
  <c r="T130" i="1" s="1"/>
  <c r="M131" i="1"/>
  <c r="T131" i="1" s="1"/>
  <c r="M132" i="1"/>
  <c r="T132" i="1" s="1"/>
  <c r="M133" i="1"/>
  <c r="T133" i="1" s="1"/>
  <c r="M134" i="1"/>
  <c r="T134" i="1" s="1"/>
  <c r="M135" i="1"/>
  <c r="T135" i="1" s="1"/>
  <c r="M136" i="1"/>
  <c r="T136" i="1" s="1"/>
  <c r="M137" i="1"/>
  <c r="T137" i="1" s="1"/>
  <c r="M138" i="1"/>
  <c r="T138" i="1" s="1"/>
  <c r="M139" i="1"/>
  <c r="T139" i="1" s="1"/>
  <c r="M140" i="1"/>
  <c r="T140" i="1" s="1"/>
  <c r="M141" i="1"/>
  <c r="T141" i="1" s="1"/>
  <c r="M142" i="1"/>
  <c r="T142" i="1" s="1"/>
  <c r="M143" i="1"/>
  <c r="T143" i="1" s="1"/>
  <c r="M144" i="1"/>
  <c r="T144" i="1" s="1"/>
  <c r="M145" i="1"/>
  <c r="T145" i="1" s="1"/>
  <c r="M146" i="1"/>
  <c r="T146" i="1" s="1"/>
  <c r="M147" i="1"/>
  <c r="T147" i="1" s="1"/>
  <c r="M148" i="1"/>
  <c r="T148" i="1" s="1"/>
  <c r="M149" i="1"/>
  <c r="T149" i="1" s="1"/>
  <c r="M150" i="1"/>
  <c r="T150" i="1" s="1"/>
  <c r="M151" i="1"/>
  <c r="T151" i="1" s="1"/>
  <c r="M152" i="1"/>
  <c r="T152" i="1" s="1"/>
  <c r="M153" i="1"/>
  <c r="T153" i="1" s="1"/>
  <c r="M154" i="1"/>
  <c r="T154" i="1" s="1"/>
  <c r="M155" i="1"/>
  <c r="T155" i="1" s="1"/>
  <c r="M156" i="1"/>
  <c r="T156" i="1" s="1"/>
  <c r="M157" i="1"/>
  <c r="T157" i="1" s="1"/>
  <c r="M158" i="1"/>
  <c r="T158" i="1" s="1"/>
  <c r="M159" i="1"/>
  <c r="T159" i="1" s="1"/>
  <c r="M160" i="1"/>
  <c r="T160" i="1" s="1"/>
  <c r="M161" i="1"/>
  <c r="T161" i="1" s="1"/>
  <c r="M162" i="1"/>
  <c r="T162" i="1" s="1"/>
  <c r="M163" i="1"/>
  <c r="T163" i="1" s="1"/>
  <c r="M164" i="1"/>
  <c r="T164" i="1" s="1"/>
  <c r="M165" i="1"/>
  <c r="T165" i="1" s="1"/>
  <c r="M166" i="1"/>
  <c r="T166" i="1" s="1"/>
  <c r="M167" i="1"/>
  <c r="T167" i="1" s="1"/>
  <c r="M168" i="1"/>
  <c r="T168" i="1" s="1"/>
  <c r="M169" i="1"/>
  <c r="T169" i="1" s="1"/>
  <c r="M170" i="1"/>
  <c r="T170" i="1" s="1"/>
  <c r="M171" i="1"/>
  <c r="T171" i="1" s="1"/>
  <c r="M172" i="1"/>
  <c r="T172" i="1" s="1"/>
  <c r="M173" i="1"/>
  <c r="T173" i="1" s="1"/>
  <c r="M174" i="1"/>
  <c r="T174" i="1" s="1"/>
  <c r="M175" i="1"/>
  <c r="T175" i="1" s="1"/>
  <c r="M176" i="1"/>
  <c r="T176" i="1" s="1"/>
  <c r="M177" i="1"/>
  <c r="T177" i="1" s="1"/>
  <c r="M178" i="1"/>
  <c r="T178" i="1" s="1"/>
  <c r="M179" i="1"/>
  <c r="T179" i="1" s="1"/>
  <c r="M180" i="1"/>
  <c r="T180" i="1" s="1"/>
  <c r="M181" i="1"/>
  <c r="T181" i="1" s="1"/>
  <c r="M182" i="1"/>
  <c r="T182" i="1" s="1"/>
  <c r="M183" i="1"/>
  <c r="T183" i="1" s="1"/>
  <c r="M184" i="1"/>
  <c r="T184" i="1" s="1"/>
  <c r="M185" i="1"/>
  <c r="T185" i="1" s="1"/>
  <c r="M186" i="1"/>
  <c r="T186" i="1" s="1"/>
  <c r="M187" i="1"/>
  <c r="T187" i="1" s="1"/>
  <c r="M188" i="1"/>
  <c r="T188" i="1" s="1"/>
  <c r="M189" i="1"/>
  <c r="T189" i="1" s="1"/>
  <c r="M190" i="1"/>
  <c r="T190" i="1" s="1"/>
  <c r="M191" i="1"/>
  <c r="T191" i="1" s="1"/>
  <c r="M192" i="1"/>
  <c r="T192" i="1" s="1"/>
  <c r="M193" i="1"/>
  <c r="T193" i="1" s="1"/>
  <c r="M194" i="1"/>
  <c r="T194" i="1" s="1"/>
  <c r="M195" i="1"/>
  <c r="T195" i="1" s="1"/>
  <c r="M196" i="1"/>
  <c r="T196" i="1" s="1"/>
  <c r="M197" i="1"/>
  <c r="T197" i="1" s="1"/>
  <c r="M198" i="1"/>
  <c r="T198" i="1" s="1"/>
  <c r="M199" i="1"/>
  <c r="T199" i="1" s="1"/>
  <c r="M200" i="1"/>
  <c r="T200" i="1" s="1"/>
  <c r="M201" i="1"/>
  <c r="T201" i="1" s="1"/>
  <c r="M202" i="1"/>
  <c r="T202" i="1" s="1"/>
  <c r="M203" i="1"/>
  <c r="T203" i="1" s="1"/>
  <c r="M204" i="1"/>
  <c r="T204" i="1" s="1"/>
  <c r="M205" i="1"/>
  <c r="T205" i="1" s="1"/>
  <c r="M206" i="1"/>
  <c r="T206" i="1" s="1"/>
  <c r="M207" i="1"/>
  <c r="T207" i="1" s="1"/>
  <c r="M208" i="1"/>
  <c r="T208" i="1" s="1"/>
  <c r="M209" i="1"/>
  <c r="T209" i="1" s="1"/>
  <c r="M210" i="1"/>
  <c r="T210" i="1" s="1"/>
  <c r="M211" i="1"/>
  <c r="T211" i="1" s="1"/>
  <c r="M212" i="1"/>
  <c r="T212" i="1" s="1"/>
  <c r="M213" i="1"/>
  <c r="T213" i="1" s="1"/>
  <c r="M214" i="1"/>
  <c r="T214" i="1" s="1"/>
  <c r="M215" i="1"/>
  <c r="T215" i="1" s="1"/>
  <c r="M216" i="1"/>
  <c r="T216" i="1" s="1"/>
  <c r="M217" i="1"/>
  <c r="T217" i="1" s="1"/>
  <c r="M218" i="1"/>
  <c r="T218" i="1" s="1"/>
  <c r="M219" i="1"/>
  <c r="T219" i="1" s="1"/>
  <c r="M220" i="1"/>
  <c r="T220" i="1" s="1"/>
  <c r="M221" i="1"/>
  <c r="T221" i="1" s="1"/>
  <c r="M222" i="1"/>
  <c r="T222" i="1" s="1"/>
  <c r="M223" i="1"/>
  <c r="T223" i="1" s="1"/>
  <c r="M224" i="1"/>
  <c r="T224" i="1" s="1"/>
  <c r="M225" i="1"/>
  <c r="T225" i="1" s="1"/>
  <c r="M226" i="1"/>
  <c r="T226" i="1" s="1"/>
  <c r="M227" i="1"/>
  <c r="T227" i="1" s="1"/>
  <c r="M228" i="1"/>
  <c r="T228" i="1" s="1"/>
  <c r="M229" i="1"/>
  <c r="T229" i="1" s="1"/>
  <c r="M230" i="1"/>
  <c r="T230" i="1" s="1"/>
  <c r="M231" i="1"/>
  <c r="T231" i="1" s="1"/>
  <c r="M232" i="1"/>
  <c r="T232" i="1" s="1"/>
  <c r="M233" i="1"/>
  <c r="T233" i="1" s="1"/>
  <c r="M234" i="1"/>
  <c r="T234" i="1" s="1"/>
  <c r="M235" i="1"/>
  <c r="T235" i="1" s="1"/>
  <c r="M236" i="1"/>
  <c r="T236" i="1" s="1"/>
  <c r="M237" i="1"/>
  <c r="T237" i="1" s="1"/>
  <c r="M238" i="1"/>
  <c r="T238" i="1" s="1"/>
  <c r="M239" i="1"/>
  <c r="T239" i="1" s="1"/>
  <c r="M240" i="1"/>
  <c r="T240" i="1" s="1"/>
  <c r="M241" i="1"/>
  <c r="T241" i="1" s="1"/>
  <c r="M242" i="1"/>
  <c r="T242" i="1" s="1"/>
  <c r="M243" i="1"/>
  <c r="T243" i="1" s="1"/>
  <c r="M244" i="1"/>
  <c r="T244" i="1" s="1"/>
  <c r="M245" i="1"/>
  <c r="T245" i="1" s="1"/>
  <c r="M246" i="1"/>
  <c r="T246" i="1" s="1"/>
  <c r="M247" i="1"/>
  <c r="T247" i="1" s="1"/>
  <c r="M248" i="1"/>
  <c r="T248" i="1" s="1"/>
  <c r="M249" i="1"/>
  <c r="T249" i="1" s="1"/>
  <c r="M250" i="1"/>
  <c r="T250" i="1" s="1"/>
  <c r="M251" i="1"/>
  <c r="T251" i="1" s="1"/>
  <c r="M252" i="1"/>
  <c r="T252" i="1" s="1"/>
  <c r="M253" i="1"/>
  <c r="T253" i="1" s="1"/>
  <c r="M254" i="1"/>
  <c r="T254" i="1" s="1"/>
  <c r="M255" i="1"/>
  <c r="T255" i="1" s="1"/>
  <c r="M256" i="1"/>
  <c r="T256" i="1" s="1"/>
  <c r="M257" i="1"/>
  <c r="T257" i="1" s="1"/>
  <c r="M258" i="1"/>
  <c r="T258" i="1" s="1"/>
  <c r="M259" i="1"/>
  <c r="T259" i="1" s="1"/>
  <c r="M260" i="1"/>
  <c r="T260" i="1" s="1"/>
  <c r="M261" i="1"/>
  <c r="T261" i="1" s="1"/>
  <c r="M262" i="1"/>
  <c r="T262" i="1" s="1"/>
  <c r="M263" i="1"/>
  <c r="T263" i="1" s="1"/>
  <c r="M264" i="1"/>
  <c r="T264" i="1" s="1"/>
  <c r="M265" i="1"/>
  <c r="T265" i="1" s="1"/>
  <c r="M266" i="1"/>
  <c r="T266" i="1" s="1"/>
  <c r="M267" i="1"/>
  <c r="T267" i="1" s="1"/>
  <c r="M268" i="1"/>
  <c r="T268" i="1" s="1"/>
  <c r="M269" i="1"/>
  <c r="T269" i="1" s="1"/>
  <c r="M270" i="1"/>
  <c r="T270" i="1" s="1"/>
  <c r="M271" i="1"/>
  <c r="T271" i="1" s="1"/>
  <c r="M272" i="1"/>
  <c r="T272" i="1" s="1"/>
  <c r="M273" i="1"/>
  <c r="T273" i="1" s="1"/>
  <c r="M274" i="1"/>
  <c r="T274" i="1" s="1"/>
  <c r="M275" i="1"/>
  <c r="T275" i="1" s="1"/>
  <c r="M276" i="1"/>
  <c r="T276" i="1" s="1"/>
  <c r="M277" i="1"/>
  <c r="T277" i="1" s="1"/>
  <c r="M278" i="1"/>
  <c r="T278" i="1" s="1"/>
  <c r="M279" i="1"/>
  <c r="T279" i="1" s="1"/>
  <c r="M280" i="1"/>
  <c r="T280" i="1" s="1"/>
  <c r="M281" i="1"/>
  <c r="T281" i="1" s="1"/>
  <c r="M282" i="1"/>
  <c r="T282" i="1" s="1"/>
  <c r="M283" i="1"/>
  <c r="T283" i="1" s="1"/>
  <c r="M284" i="1"/>
  <c r="T284" i="1" s="1"/>
  <c r="M285" i="1"/>
  <c r="T285" i="1" s="1"/>
  <c r="M286" i="1"/>
  <c r="T286" i="1" s="1"/>
  <c r="M287" i="1"/>
  <c r="T287" i="1" s="1"/>
  <c r="M288" i="1"/>
  <c r="T288" i="1" s="1"/>
  <c r="M289" i="1"/>
  <c r="T289" i="1" s="1"/>
  <c r="M290" i="1"/>
  <c r="T290" i="1" s="1"/>
  <c r="M291" i="1"/>
  <c r="T291" i="1" s="1"/>
  <c r="M292" i="1"/>
  <c r="T292" i="1" s="1"/>
  <c r="M293" i="1"/>
  <c r="T293" i="1" s="1"/>
  <c r="M294" i="1"/>
  <c r="T294" i="1" s="1"/>
  <c r="M295" i="1"/>
  <c r="T295" i="1" s="1"/>
  <c r="M296" i="1"/>
  <c r="T296" i="1" s="1"/>
  <c r="M297" i="1"/>
  <c r="T297" i="1" s="1"/>
  <c r="M298" i="1"/>
  <c r="T298" i="1" s="1"/>
  <c r="M299" i="1"/>
  <c r="T299" i="1" s="1"/>
  <c r="M300" i="1"/>
  <c r="T300" i="1" s="1"/>
  <c r="M301" i="1"/>
  <c r="T301" i="1" s="1"/>
  <c r="M302" i="1"/>
  <c r="T302" i="1" s="1"/>
  <c r="M303" i="1"/>
  <c r="T303" i="1" s="1"/>
  <c r="M304" i="1"/>
  <c r="T304" i="1" s="1"/>
  <c r="M305" i="1"/>
  <c r="T305" i="1" s="1"/>
  <c r="M306" i="1"/>
  <c r="T306" i="1" s="1"/>
  <c r="M307" i="1"/>
  <c r="T307" i="1" s="1"/>
  <c r="M308" i="1"/>
  <c r="T308" i="1" s="1"/>
  <c r="M309" i="1"/>
  <c r="T309" i="1" s="1"/>
  <c r="M310" i="1"/>
  <c r="T310" i="1" s="1"/>
  <c r="M311" i="1"/>
  <c r="T311" i="1" s="1"/>
  <c r="M312" i="1"/>
  <c r="T312" i="1" s="1"/>
  <c r="M313" i="1"/>
  <c r="T313" i="1" s="1"/>
  <c r="M314" i="1"/>
  <c r="T314" i="1" s="1"/>
  <c r="M315" i="1"/>
  <c r="T315" i="1" s="1"/>
  <c r="M316" i="1"/>
  <c r="T316" i="1" s="1"/>
  <c r="M317" i="1"/>
  <c r="T317" i="1" s="1"/>
  <c r="M318" i="1"/>
  <c r="T318" i="1" s="1"/>
  <c r="M319" i="1"/>
  <c r="T319" i="1" s="1"/>
  <c r="M320" i="1"/>
  <c r="T320" i="1" s="1"/>
  <c r="M321" i="1"/>
  <c r="T321" i="1" s="1"/>
  <c r="M322" i="1"/>
  <c r="T322" i="1" s="1"/>
  <c r="M323" i="1"/>
  <c r="T323" i="1" s="1"/>
  <c r="M324" i="1"/>
  <c r="T324" i="1" s="1"/>
  <c r="M325" i="1"/>
  <c r="T325" i="1" s="1"/>
  <c r="M326" i="1"/>
  <c r="T326" i="1" s="1"/>
  <c r="M327" i="1"/>
  <c r="T327" i="1" s="1"/>
  <c r="M328" i="1"/>
  <c r="T328" i="1" s="1"/>
  <c r="M329" i="1"/>
  <c r="T329" i="1" s="1"/>
  <c r="M330" i="1"/>
  <c r="T330" i="1" s="1"/>
  <c r="M331" i="1"/>
  <c r="T331" i="1" s="1"/>
  <c r="M332" i="1"/>
  <c r="T332" i="1" s="1"/>
  <c r="M333" i="1"/>
  <c r="T333" i="1" s="1"/>
  <c r="M334" i="1"/>
  <c r="T334" i="1" s="1"/>
  <c r="M335" i="1"/>
  <c r="T335" i="1" s="1"/>
  <c r="M336" i="1"/>
  <c r="T336" i="1" s="1"/>
  <c r="M337" i="1"/>
  <c r="T337" i="1" s="1"/>
  <c r="M338" i="1"/>
  <c r="T338" i="1" s="1"/>
  <c r="M339" i="1"/>
  <c r="T339" i="1" s="1"/>
  <c r="M340" i="1"/>
  <c r="T340" i="1" s="1"/>
  <c r="M341" i="1"/>
  <c r="T341" i="1" s="1"/>
  <c r="M342" i="1"/>
  <c r="T342" i="1" s="1"/>
  <c r="M343" i="1"/>
  <c r="T343" i="1" s="1"/>
  <c r="M344" i="1"/>
  <c r="T344" i="1" s="1"/>
  <c r="M345" i="1"/>
  <c r="T345" i="1" s="1"/>
  <c r="M346" i="1"/>
  <c r="T346" i="1" s="1"/>
  <c r="M347" i="1"/>
  <c r="T347" i="1" s="1"/>
  <c r="M348" i="1"/>
  <c r="T348" i="1" s="1"/>
  <c r="M349" i="1"/>
  <c r="T349" i="1" s="1"/>
  <c r="M350" i="1"/>
  <c r="T350" i="1" s="1"/>
  <c r="M351" i="1"/>
  <c r="T351" i="1" s="1"/>
  <c r="M352" i="1"/>
  <c r="T352" i="1" s="1"/>
  <c r="M353" i="1"/>
  <c r="T353" i="1" s="1"/>
  <c r="M354" i="1"/>
  <c r="T354" i="1" s="1"/>
  <c r="M355" i="1"/>
  <c r="T355" i="1" s="1"/>
  <c r="M356" i="1"/>
  <c r="T356" i="1" s="1"/>
  <c r="M357" i="1"/>
  <c r="T357" i="1" s="1"/>
  <c r="M358" i="1"/>
  <c r="T358" i="1" s="1"/>
  <c r="M359" i="1"/>
  <c r="T359" i="1" s="1"/>
  <c r="M360" i="1"/>
  <c r="T360" i="1" s="1"/>
  <c r="M361" i="1"/>
  <c r="T361" i="1" s="1"/>
  <c r="M362" i="1"/>
  <c r="T362" i="1" s="1"/>
  <c r="M363" i="1"/>
  <c r="T363" i="1" s="1"/>
  <c r="M364" i="1"/>
  <c r="T364" i="1" s="1"/>
  <c r="M365" i="1"/>
  <c r="T365" i="1" s="1"/>
  <c r="M366" i="1"/>
  <c r="T366" i="1" s="1"/>
  <c r="M367" i="1"/>
  <c r="T367" i="1" s="1"/>
  <c r="M368" i="1"/>
  <c r="T368" i="1" s="1"/>
  <c r="M369" i="1"/>
  <c r="T369" i="1" s="1"/>
  <c r="M370" i="1"/>
  <c r="T370" i="1" s="1"/>
  <c r="M371" i="1"/>
  <c r="T371" i="1" s="1"/>
  <c r="M372" i="1"/>
  <c r="T372" i="1" s="1"/>
  <c r="M373" i="1"/>
  <c r="T373" i="1" s="1"/>
  <c r="M374" i="1"/>
  <c r="T374" i="1" s="1"/>
  <c r="M375" i="1"/>
  <c r="T375" i="1" s="1"/>
  <c r="M376" i="1"/>
  <c r="T376" i="1" s="1"/>
  <c r="M377" i="1"/>
  <c r="T377" i="1" s="1"/>
  <c r="M378" i="1"/>
  <c r="T378" i="1" s="1"/>
  <c r="M379" i="1"/>
  <c r="T379" i="1" s="1"/>
  <c r="M380" i="1"/>
  <c r="T380" i="1" s="1"/>
  <c r="M381" i="1"/>
  <c r="T381" i="1" s="1"/>
  <c r="M382" i="1"/>
  <c r="T382" i="1" s="1"/>
  <c r="M383" i="1"/>
  <c r="T383" i="1" s="1"/>
  <c r="M384" i="1"/>
  <c r="T384" i="1" s="1"/>
  <c r="M385" i="1"/>
  <c r="T385" i="1" s="1"/>
  <c r="M386" i="1"/>
  <c r="T386" i="1" s="1"/>
  <c r="M387" i="1"/>
  <c r="T387" i="1" s="1"/>
  <c r="M388" i="1"/>
  <c r="T388" i="1" s="1"/>
  <c r="M389" i="1"/>
  <c r="T389" i="1" s="1"/>
  <c r="M390" i="1"/>
  <c r="T390" i="1" s="1"/>
  <c r="M391" i="1"/>
  <c r="T391" i="1" s="1"/>
  <c r="M392" i="1"/>
  <c r="T392" i="1" s="1"/>
  <c r="M393" i="1"/>
  <c r="T393" i="1" s="1"/>
  <c r="M394" i="1"/>
  <c r="T394" i="1" s="1"/>
  <c r="M395" i="1"/>
  <c r="T395" i="1" s="1"/>
  <c r="M396" i="1"/>
  <c r="T396" i="1" s="1"/>
  <c r="M397" i="1"/>
  <c r="T397" i="1" s="1"/>
  <c r="M398" i="1"/>
  <c r="T398" i="1" s="1"/>
  <c r="M399" i="1"/>
  <c r="T399" i="1" s="1"/>
  <c r="M400" i="1"/>
  <c r="T400" i="1" s="1"/>
  <c r="M401" i="1"/>
  <c r="T401" i="1" s="1"/>
  <c r="M402" i="1"/>
  <c r="T402" i="1" s="1"/>
  <c r="M403" i="1"/>
  <c r="T403" i="1" s="1"/>
  <c r="M404" i="1"/>
  <c r="T404" i="1" s="1"/>
  <c r="M405" i="1"/>
  <c r="T405" i="1" s="1"/>
  <c r="M406" i="1"/>
  <c r="T406" i="1" s="1"/>
  <c r="M407" i="1"/>
  <c r="T407" i="1" s="1"/>
  <c r="M408" i="1"/>
  <c r="T408" i="1" s="1"/>
  <c r="M409" i="1"/>
  <c r="T409" i="1" s="1"/>
  <c r="M410" i="1"/>
  <c r="T410" i="1" s="1"/>
  <c r="M411" i="1"/>
  <c r="T411" i="1" s="1"/>
  <c r="M412" i="1"/>
  <c r="T412" i="1" s="1"/>
  <c r="M413" i="1"/>
  <c r="T413" i="1" s="1"/>
  <c r="M414" i="1"/>
  <c r="T414" i="1" s="1"/>
  <c r="M415" i="1"/>
  <c r="T415" i="1" s="1"/>
  <c r="M416" i="1"/>
  <c r="T416" i="1" s="1"/>
  <c r="M417" i="1"/>
  <c r="T417" i="1" s="1"/>
  <c r="M418" i="1"/>
  <c r="T418" i="1" s="1"/>
  <c r="M419" i="1"/>
  <c r="T419" i="1" s="1"/>
  <c r="M420" i="1"/>
  <c r="T420" i="1" s="1"/>
  <c r="M421" i="1"/>
  <c r="T421" i="1" s="1"/>
  <c r="M422" i="1"/>
  <c r="T422" i="1" s="1"/>
  <c r="M423" i="1"/>
  <c r="T423" i="1" s="1"/>
  <c r="M424" i="1"/>
  <c r="T424" i="1" s="1"/>
  <c r="M425" i="1"/>
  <c r="T425" i="1" s="1"/>
  <c r="M426" i="1"/>
  <c r="T426" i="1" s="1"/>
  <c r="M427" i="1"/>
  <c r="T427" i="1" s="1"/>
  <c r="M428" i="1"/>
  <c r="T428" i="1" s="1"/>
  <c r="M429" i="1"/>
  <c r="T429" i="1" s="1"/>
  <c r="M430" i="1"/>
  <c r="T430" i="1" s="1"/>
  <c r="M431" i="1"/>
  <c r="T431" i="1" s="1"/>
  <c r="M432" i="1"/>
  <c r="T432" i="1" s="1"/>
  <c r="M433" i="1"/>
  <c r="T433" i="1" s="1"/>
  <c r="M434" i="1"/>
  <c r="T434" i="1" s="1"/>
  <c r="M435" i="1"/>
  <c r="T435" i="1" s="1"/>
  <c r="M436" i="1"/>
  <c r="T436" i="1" s="1"/>
  <c r="M437" i="1"/>
  <c r="T437" i="1" s="1"/>
  <c r="M438" i="1"/>
  <c r="T438" i="1" s="1"/>
  <c r="M439" i="1"/>
  <c r="T439" i="1" s="1"/>
  <c r="M440" i="1"/>
  <c r="T440" i="1" s="1"/>
  <c r="M441" i="1"/>
  <c r="T441" i="1" s="1"/>
  <c r="M442" i="1"/>
  <c r="T442" i="1" s="1"/>
  <c r="M443" i="1"/>
  <c r="T443" i="1" s="1"/>
  <c r="M444" i="1"/>
  <c r="T444" i="1" s="1"/>
  <c r="M445" i="1"/>
  <c r="T445" i="1" s="1"/>
  <c r="M446" i="1"/>
  <c r="T446" i="1" s="1"/>
  <c r="M447" i="1"/>
  <c r="T447" i="1" s="1"/>
  <c r="M448" i="1"/>
  <c r="T448" i="1" s="1"/>
  <c r="M449" i="1"/>
  <c r="T449" i="1" s="1"/>
  <c r="M450" i="1"/>
  <c r="T450" i="1" s="1"/>
  <c r="M451" i="1"/>
  <c r="T451" i="1" s="1"/>
  <c r="M452" i="1"/>
  <c r="T452" i="1" s="1"/>
  <c r="M453" i="1"/>
  <c r="T453" i="1" s="1"/>
  <c r="M454" i="1"/>
  <c r="T454" i="1" s="1"/>
  <c r="M455" i="1"/>
  <c r="T455" i="1" s="1"/>
  <c r="M456" i="1"/>
  <c r="T456" i="1" s="1"/>
  <c r="M457" i="1"/>
  <c r="T457" i="1" s="1"/>
  <c r="M458" i="1"/>
  <c r="T458" i="1" s="1"/>
  <c r="M459" i="1"/>
  <c r="T459" i="1" s="1"/>
  <c r="M460" i="1"/>
  <c r="T460" i="1" s="1"/>
  <c r="M461" i="1"/>
  <c r="T461" i="1" s="1"/>
  <c r="M462" i="1"/>
  <c r="T462" i="1" s="1"/>
  <c r="M463" i="1"/>
  <c r="T463" i="1" s="1"/>
  <c r="M464" i="1"/>
  <c r="T464" i="1" s="1"/>
  <c r="M465" i="1"/>
  <c r="T465" i="1" s="1"/>
  <c r="M466" i="1"/>
  <c r="T466" i="1" s="1"/>
  <c r="M467" i="1"/>
  <c r="T467" i="1" s="1"/>
  <c r="M468" i="1"/>
  <c r="T468" i="1" s="1"/>
  <c r="M469" i="1"/>
  <c r="T469" i="1" s="1"/>
  <c r="M470" i="1"/>
  <c r="T470" i="1" s="1"/>
  <c r="M471" i="1"/>
  <c r="T471" i="1" s="1"/>
  <c r="M472" i="1"/>
  <c r="T472" i="1" s="1"/>
  <c r="M473" i="1"/>
  <c r="T473" i="1" s="1"/>
  <c r="M474" i="1"/>
  <c r="T474" i="1" s="1"/>
  <c r="M475" i="1"/>
  <c r="T475" i="1" s="1"/>
  <c r="M476" i="1"/>
  <c r="T476" i="1" s="1"/>
  <c r="M477" i="1"/>
  <c r="T477" i="1" s="1"/>
  <c r="M478" i="1"/>
  <c r="T478" i="1" s="1"/>
  <c r="M479" i="1"/>
  <c r="T479" i="1" s="1"/>
  <c r="M480" i="1"/>
  <c r="T480" i="1" s="1"/>
  <c r="M481" i="1"/>
  <c r="T481" i="1" s="1"/>
  <c r="M482" i="1"/>
  <c r="T482" i="1" s="1"/>
  <c r="M483" i="1"/>
  <c r="T483" i="1" s="1"/>
  <c r="M484" i="1"/>
  <c r="T484" i="1" s="1"/>
  <c r="M485" i="1"/>
  <c r="T485" i="1" s="1"/>
  <c r="M486" i="1"/>
  <c r="T486" i="1" s="1"/>
  <c r="M487" i="1"/>
  <c r="T487" i="1" s="1"/>
  <c r="M488" i="1"/>
  <c r="T488" i="1" s="1"/>
  <c r="M489" i="1"/>
  <c r="T489" i="1" s="1"/>
  <c r="M490" i="1"/>
  <c r="T490" i="1" s="1"/>
  <c r="M491" i="1"/>
  <c r="T491" i="1" s="1"/>
  <c r="M492" i="1"/>
  <c r="T492" i="1" s="1"/>
  <c r="M493" i="1"/>
  <c r="T493" i="1" s="1"/>
  <c r="M494" i="1"/>
  <c r="T494" i="1" s="1"/>
  <c r="M495" i="1"/>
  <c r="T495" i="1" s="1"/>
  <c r="M496" i="1"/>
  <c r="T496" i="1" s="1"/>
  <c r="M497" i="1"/>
  <c r="T497" i="1" s="1"/>
  <c r="M498" i="1"/>
  <c r="T498" i="1" s="1"/>
  <c r="M499" i="1"/>
  <c r="T499" i="1" s="1"/>
  <c r="M500" i="1"/>
  <c r="T500" i="1" s="1"/>
  <c r="M501" i="1"/>
  <c r="T501" i="1" s="1"/>
  <c r="M502" i="1"/>
  <c r="T502" i="1" s="1"/>
  <c r="M503" i="1"/>
  <c r="T503" i="1" s="1"/>
  <c r="M504" i="1"/>
  <c r="T504" i="1" s="1"/>
  <c r="M505" i="1"/>
  <c r="T505" i="1" s="1"/>
  <c r="M506" i="1"/>
  <c r="T506" i="1" s="1"/>
  <c r="M507" i="1"/>
  <c r="T507" i="1" s="1"/>
  <c r="M508" i="1"/>
  <c r="T508" i="1" s="1"/>
  <c r="M509" i="1"/>
  <c r="T509" i="1" s="1"/>
  <c r="M510" i="1"/>
  <c r="T510" i="1" s="1"/>
  <c r="M511" i="1"/>
  <c r="T511" i="1" s="1"/>
  <c r="M512" i="1"/>
  <c r="T512" i="1" s="1"/>
  <c r="M513" i="1"/>
  <c r="T513" i="1" s="1"/>
  <c r="M514" i="1"/>
  <c r="T514" i="1" s="1"/>
  <c r="M515" i="1"/>
  <c r="T515" i="1" s="1"/>
  <c r="M516" i="1"/>
  <c r="T516" i="1" s="1"/>
  <c r="M517" i="1"/>
  <c r="T517" i="1" s="1"/>
  <c r="M518" i="1"/>
  <c r="T518" i="1" s="1"/>
  <c r="M519" i="1"/>
  <c r="T519" i="1" s="1"/>
  <c r="M520" i="1"/>
  <c r="T520" i="1" s="1"/>
  <c r="M521" i="1"/>
  <c r="T521" i="1" s="1"/>
  <c r="M522" i="1"/>
  <c r="T522" i="1" s="1"/>
  <c r="M523" i="1"/>
  <c r="T523" i="1" s="1"/>
  <c r="M524" i="1"/>
  <c r="T524" i="1" s="1"/>
  <c r="M525" i="1"/>
  <c r="T525" i="1" s="1"/>
  <c r="M526" i="1"/>
  <c r="T526" i="1" s="1"/>
  <c r="M527" i="1"/>
  <c r="T527" i="1" s="1"/>
  <c r="M528" i="1"/>
  <c r="T528" i="1" s="1"/>
  <c r="M529" i="1"/>
  <c r="T529" i="1" s="1"/>
  <c r="M530" i="1"/>
  <c r="T530" i="1" s="1"/>
  <c r="M531" i="1"/>
  <c r="T531" i="1" s="1"/>
  <c r="M532" i="1"/>
  <c r="M533" i="1"/>
  <c r="T533" i="1" s="1"/>
  <c r="M534" i="1"/>
  <c r="T534" i="1" s="1"/>
  <c r="M535" i="1"/>
  <c r="T535" i="1" s="1"/>
  <c r="M536" i="1"/>
  <c r="T536" i="1" s="1"/>
  <c r="M537" i="1"/>
  <c r="T537" i="1" s="1"/>
  <c r="M538" i="1"/>
  <c r="T538" i="1" s="1"/>
  <c r="M539" i="1"/>
  <c r="T539" i="1" s="1"/>
  <c r="M540" i="1"/>
  <c r="T540" i="1" s="1"/>
  <c r="M541" i="1"/>
  <c r="T541" i="1" s="1"/>
  <c r="M542" i="1"/>
  <c r="T542" i="1" s="1"/>
  <c r="M543" i="1"/>
  <c r="T543" i="1" s="1"/>
  <c r="M544" i="1"/>
  <c r="T544" i="1" s="1"/>
  <c r="M545" i="1"/>
  <c r="T545" i="1" s="1"/>
  <c r="M546" i="1"/>
  <c r="T546" i="1" s="1"/>
  <c r="M547" i="1"/>
  <c r="T547" i="1" s="1"/>
  <c r="M548" i="1"/>
  <c r="T548" i="1" s="1"/>
  <c r="M549" i="1"/>
  <c r="T549" i="1" s="1"/>
  <c r="M550" i="1"/>
  <c r="T550" i="1" s="1"/>
  <c r="M551" i="1"/>
  <c r="T551" i="1" s="1"/>
  <c r="M552" i="1"/>
  <c r="T552" i="1" s="1"/>
  <c r="M553" i="1"/>
  <c r="T553" i="1" s="1"/>
  <c r="M554" i="1"/>
  <c r="T554" i="1" s="1"/>
  <c r="M555" i="1"/>
  <c r="T555" i="1" s="1"/>
  <c r="M556" i="1"/>
  <c r="T556" i="1" s="1"/>
  <c r="M557" i="1"/>
  <c r="T557" i="1" s="1"/>
  <c r="M558" i="1"/>
  <c r="T558" i="1" s="1"/>
  <c r="M559" i="1"/>
  <c r="T559" i="1" s="1"/>
  <c r="M560" i="1"/>
  <c r="T560" i="1" s="1"/>
  <c r="M561" i="1"/>
  <c r="T561" i="1" s="1"/>
  <c r="M562" i="1"/>
  <c r="T562" i="1" s="1"/>
  <c r="M563" i="1"/>
  <c r="T563" i="1" s="1"/>
  <c r="M564" i="1"/>
  <c r="T564" i="1" s="1"/>
  <c r="M565" i="1"/>
  <c r="T565" i="1" s="1"/>
  <c r="M566" i="1"/>
  <c r="T566" i="1" s="1"/>
  <c r="M567" i="1"/>
  <c r="T567" i="1" s="1"/>
  <c r="M568" i="1"/>
  <c r="T568" i="1" s="1"/>
  <c r="M569" i="1"/>
  <c r="T569" i="1" s="1"/>
  <c r="M570" i="1"/>
  <c r="T570" i="1" s="1"/>
  <c r="M571" i="1"/>
  <c r="T571" i="1" s="1"/>
  <c r="M572" i="1"/>
  <c r="T572" i="1" s="1"/>
  <c r="M573" i="1"/>
  <c r="T573" i="1" s="1"/>
  <c r="M574" i="1"/>
  <c r="T574" i="1" s="1"/>
  <c r="M575" i="1"/>
  <c r="T575" i="1" s="1"/>
  <c r="M576" i="1"/>
  <c r="T576" i="1" s="1"/>
  <c r="M577" i="1"/>
  <c r="T577" i="1" s="1"/>
  <c r="M578" i="1"/>
  <c r="T578" i="1" s="1"/>
  <c r="M579" i="1"/>
  <c r="T579" i="1" s="1"/>
  <c r="M580" i="1"/>
  <c r="T580" i="1" s="1"/>
  <c r="M581" i="1"/>
  <c r="T581" i="1" s="1"/>
  <c r="M582" i="1"/>
  <c r="T582" i="1" s="1"/>
  <c r="M583" i="1"/>
  <c r="T583" i="1" s="1"/>
  <c r="M584" i="1"/>
  <c r="T584" i="1" s="1"/>
  <c r="M585" i="1"/>
  <c r="T585" i="1" s="1"/>
  <c r="M586" i="1"/>
  <c r="T586" i="1" s="1"/>
  <c r="M587" i="1"/>
  <c r="T587" i="1" s="1"/>
  <c r="M588" i="1"/>
  <c r="T588" i="1" s="1"/>
  <c r="M589" i="1"/>
  <c r="T589" i="1" s="1"/>
  <c r="M590" i="1"/>
  <c r="T590" i="1" s="1"/>
  <c r="M591" i="1"/>
  <c r="T591" i="1" s="1"/>
  <c r="M592" i="1"/>
  <c r="T592" i="1" s="1"/>
  <c r="M593" i="1"/>
  <c r="T593" i="1" s="1"/>
  <c r="M594" i="1"/>
  <c r="T594" i="1" s="1"/>
  <c r="M595" i="1"/>
  <c r="T595" i="1" s="1"/>
  <c r="M596" i="1"/>
  <c r="T596" i="1" s="1"/>
  <c r="M597" i="1"/>
  <c r="T597" i="1" s="1"/>
  <c r="M598" i="1"/>
  <c r="T598" i="1" s="1"/>
  <c r="M599" i="1"/>
  <c r="T599" i="1" s="1"/>
  <c r="M600" i="1"/>
  <c r="T600" i="1" s="1"/>
  <c r="M601" i="1"/>
  <c r="T601" i="1" s="1"/>
  <c r="M602" i="1"/>
  <c r="T602" i="1" s="1"/>
  <c r="M603" i="1"/>
  <c r="T603" i="1" s="1"/>
  <c r="M604" i="1"/>
  <c r="T604" i="1" s="1"/>
  <c r="M605" i="1"/>
  <c r="T605" i="1" s="1"/>
  <c r="M606" i="1"/>
  <c r="T606" i="1" s="1"/>
  <c r="M607" i="1"/>
  <c r="T607" i="1" s="1"/>
  <c r="M608" i="1"/>
  <c r="T608" i="1" s="1"/>
  <c r="M609" i="1"/>
  <c r="T609" i="1" s="1"/>
  <c r="M610" i="1"/>
  <c r="T610" i="1" s="1"/>
  <c r="M611" i="1"/>
  <c r="T611" i="1" s="1"/>
  <c r="M612" i="1"/>
  <c r="T612" i="1" s="1"/>
  <c r="M613" i="1"/>
  <c r="T613" i="1" s="1"/>
  <c r="M614" i="1"/>
  <c r="T614" i="1" s="1"/>
  <c r="M615" i="1"/>
  <c r="T615" i="1" s="1"/>
  <c r="M616" i="1"/>
  <c r="T616" i="1" s="1"/>
  <c r="M617" i="1"/>
  <c r="T617" i="1" s="1"/>
  <c r="M618" i="1"/>
  <c r="T618" i="1" s="1"/>
  <c r="M619" i="1"/>
  <c r="T619" i="1" s="1"/>
  <c r="M620" i="1"/>
  <c r="T620" i="1" s="1"/>
  <c r="M621" i="1"/>
  <c r="T621" i="1" s="1"/>
  <c r="M622" i="1"/>
  <c r="T622" i="1" s="1"/>
  <c r="M623" i="1"/>
  <c r="T623" i="1" s="1"/>
  <c r="M624" i="1"/>
  <c r="T624" i="1" s="1"/>
  <c r="M625" i="1"/>
  <c r="T625" i="1" s="1"/>
  <c r="M626" i="1"/>
  <c r="T626" i="1" s="1"/>
  <c r="M627" i="1"/>
  <c r="T627" i="1" s="1"/>
  <c r="M628" i="1"/>
  <c r="T628" i="1" s="1"/>
  <c r="M629" i="1"/>
  <c r="T629" i="1" s="1"/>
  <c r="M630" i="1"/>
  <c r="T630" i="1" s="1"/>
  <c r="M631" i="1"/>
  <c r="T631" i="1" s="1"/>
  <c r="M632" i="1"/>
  <c r="T632" i="1" s="1"/>
  <c r="M633" i="1"/>
  <c r="T633" i="1" s="1"/>
  <c r="M634" i="1"/>
  <c r="T634" i="1" s="1"/>
  <c r="M635" i="1"/>
  <c r="T635" i="1" s="1"/>
  <c r="M636" i="1"/>
  <c r="T636" i="1" s="1"/>
  <c r="M637" i="1"/>
  <c r="T637" i="1" s="1"/>
  <c r="M638" i="1"/>
  <c r="T638" i="1" s="1"/>
  <c r="M639" i="1"/>
  <c r="T639" i="1" s="1"/>
  <c r="M640" i="1"/>
  <c r="T640" i="1" s="1"/>
  <c r="M641" i="1"/>
  <c r="T641" i="1" s="1"/>
  <c r="M642" i="1"/>
  <c r="T642" i="1" s="1"/>
  <c r="M643" i="1"/>
  <c r="T643" i="1" s="1"/>
  <c r="M644" i="1"/>
  <c r="T644" i="1" s="1"/>
  <c r="M645" i="1"/>
  <c r="T645" i="1" s="1"/>
  <c r="M646" i="1"/>
  <c r="T646" i="1" s="1"/>
  <c r="M647" i="1"/>
  <c r="T647" i="1" s="1"/>
  <c r="M648" i="1"/>
  <c r="T648" i="1" s="1"/>
  <c r="M649" i="1"/>
  <c r="T649" i="1" s="1"/>
  <c r="M650" i="1"/>
  <c r="T650" i="1" s="1"/>
  <c r="M651" i="1"/>
  <c r="T651" i="1" s="1"/>
  <c r="M652" i="1"/>
  <c r="T652" i="1" s="1"/>
  <c r="M653" i="1"/>
  <c r="T653" i="1" s="1"/>
  <c r="M654" i="1"/>
  <c r="T654" i="1" s="1"/>
  <c r="M655" i="1"/>
  <c r="T655" i="1" s="1"/>
  <c r="M656" i="1"/>
  <c r="T656" i="1" s="1"/>
  <c r="M657" i="1"/>
  <c r="T657" i="1" s="1"/>
  <c r="M658" i="1"/>
  <c r="T658" i="1" s="1"/>
  <c r="M659" i="1"/>
  <c r="T659" i="1" s="1"/>
  <c r="M660" i="1"/>
  <c r="T660" i="1" s="1"/>
  <c r="M661" i="1"/>
  <c r="T661" i="1" s="1"/>
  <c r="M662" i="1"/>
  <c r="T662" i="1" s="1"/>
  <c r="M663" i="1"/>
  <c r="T663" i="1" s="1"/>
  <c r="M664" i="1"/>
  <c r="T664" i="1" s="1"/>
  <c r="M665" i="1"/>
  <c r="T665" i="1" s="1"/>
  <c r="M666" i="1"/>
  <c r="T666" i="1" s="1"/>
  <c r="M667" i="1"/>
  <c r="T667" i="1" s="1"/>
  <c r="M668" i="1"/>
  <c r="T668" i="1" s="1"/>
  <c r="M669" i="1"/>
  <c r="T669" i="1" s="1"/>
  <c r="M670" i="1"/>
  <c r="T670" i="1" s="1"/>
  <c r="M671" i="1"/>
  <c r="T671" i="1" s="1"/>
  <c r="M672" i="1"/>
  <c r="T672" i="1" s="1"/>
  <c r="M673" i="1"/>
  <c r="T673" i="1" s="1"/>
  <c r="M674" i="1"/>
  <c r="T674" i="1" s="1"/>
  <c r="M675" i="1"/>
  <c r="T675" i="1" s="1"/>
  <c r="M676" i="1"/>
  <c r="T676" i="1" s="1"/>
  <c r="M677" i="1"/>
  <c r="T677" i="1" s="1"/>
  <c r="M678" i="1"/>
  <c r="T678" i="1" s="1"/>
  <c r="M679" i="1"/>
  <c r="T679" i="1" s="1"/>
  <c r="M680" i="1"/>
  <c r="T680" i="1" s="1"/>
  <c r="M681" i="1"/>
  <c r="T681" i="1" s="1"/>
  <c r="M682" i="1"/>
  <c r="T682" i="1" s="1"/>
  <c r="M683" i="1"/>
  <c r="T683" i="1" s="1"/>
  <c r="M684" i="1"/>
  <c r="T684" i="1" s="1"/>
  <c r="M685" i="1"/>
  <c r="T685" i="1" s="1"/>
  <c r="M686" i="1"/>
  <c r="T686" i="1" s="1"/>
  <c r="M687" i="1"/>
  <c r="T687" i="1" s="1"/>
  <c r="M688" i="1"/>
  <c r="T688" i="1" s="1"/>
  <c r="M689" i="1"/>
  <c r="T689" i="1" s="1"/>
  <c r="M690" i="1"/>
  <c r="T690" i="1" s="1"/>
  <c r="M691" i="1"/>
  <c r="T691" i="1" s="1"/>
  <c r="M692" i="1"/>
  <c r="T692" i="1" s="1"/>
  <c r="M693" i="1"/>
  <c r="T693" i="1" s="1"/>
  <c r="M694" i="1"/>
  <c r="T694" i="1" s="1"/>
  <c r="M695" i="1"/>
  <c r="T695" i="1" s="1"/>
  <c r="M696" i="1"/>
  <c r="T696" i="1" s="1"/>
  <c r="M697" i="1"/>
  <c r="T697" i="1" s="1"/>
  <c r="M698" i="1"/>
  <c r="T698" i="1" s="1"/>
  <c r="M699" i="1"/>
  <c r="T699" i="1" s="1"/>
  <c r="M700" i="1"/>
  <c r="T700" i="1" s="1"/>
  <c r="M701" i="1"/>
  <c r="T701" i="1" s="1"/>
  <c r="M702" i="1"/>
  <c r="T702" i="1" s="1"/>
  <c r="M703" i="1"/>
  <c r="T703" i="1" s="1"/>
  <c r="M704" i="1"/>
  <c r="T704" i="1" s="1"/>
  <c r="M705" i="1"/>
  <c r="T705" i="1" s="1"/>
  <c r="M706" i="1"/>
  <c r="T706" i="1" s="1"/>
  <c r="M707" i="1"/>
  <c r="T707" i="1" s="1"/>
  <c r="M708" i="1"/>
  <c r="T708" i="1" s="1"/>
  <c r="M709" i="1"/>
  <c r="T709" i="1" s="1"/>
  <c r="M710" i="1"/>
  <c r="T710" i="1" s="1"/>
  <c r="M711" i="1"/>
  <c r="T711" i="1" s="1"/>
  <c r="M712" i="1"/>
  <c r="T712" i="1" s="1"/>
  <c r="M713" i="1"/>
  <c r="T713" i="1" s="1"/>
  <c r="M714" i="1"/>
  <c r="T714" i="1" s="1"/>
  <c r="M715" i="1"/>
  <c r="T715" i="1" s="1"/>
  <c r="M716" i="1"/>
  <c r="T716" i="1" s="1"/>
  <c r="M717" i="1"/>
  <c r="T717" i="1" s="1"/>
  <c r="M718" i="1"/>
  <c r="T718" i="1" s="1"/>
  <c r="M719" i="1"/>
  <c r="T719" i="1" s="1"/>
  <c r="M720" i="1"/>
  <c r="T720" i="1" s="1"/>
  <c r="M721" i="1"/>
  <c r="T721" i="1" s="1"/>
  <c r="M722" i="1"/>
  <c r="T722" i="1" s="1"/>
  <c r="M723" i="1"/>
  <c r="T723" i="1" s="1"/>
  <c r="M724" i="1"/>
  <c r="T724" i="1" s="1"/>
  <c r="M725" i="1"/>
  <c r="T725" i="1" s="1"/>
  <c r="M726" i="1"/>
  <c r="T726" i="1" s="1"/>
  <c r="M727" i="1"/>
  <c r="T727" i="1" s="1"/>
  <c r="M728" i="1"/>
  <c r="T728" i="1" s="1"/>
  <c r="M729" i="1"/>
  <c r="T729" i="1" s="1"/>
  <c r="M730" i="1"/>
  <c r="T730" i="1" s="1"/>
  <c r="M731" i="1"/>
  <c r="T731" i="1" s="1"/>
  <c r="M732" i="1"/>
  <c r="T732" i="1" s="1"/>
  <c r="M733" i="1"/>
  <c r="T733" i="1" s="1"/>
  <c r="M734" i="1"/>
  <c r="T734" i="1" s="1"/>
  <c r="M735" i="1"/>
  <c r="T735" i="1" s="1"/>
  <c r="M736" i="1"/>
  <c r="T736" i="1" s="1"/>
  <c r="M737" i="1"/>
  <c r="M738" i="1"/>
  <c r="T738" i="1" s="1"/>
  <c r="M739" i="1"/>
  <c r="T739" i="1" s="1"/>
  <c r="M740" i="1"/>
  <c r="T740" i="1" s="1"/>
  <c r="M741" i="1"/>
  <c r="T741" i="1" s="1"/>
  <c r="M742" i="1"/>
  <c r="T742" i="1" s="1"/>
  <c r="M743" i="1"/>
  <c r="T743" i="1" s="1"/>
  <c r="M744" i="1"/>
  <c r="T744" i="1" s="1"/>
  <c r="M745" i="1"/>
  <c r="T745" i="1" s="1"/>
  <c r="M746" i="1"/>
  <c r="T746" i="1" s="1"/>
  <c r="M747" i="1"/>
  <c r="T747" i="1" s="1"/>
  <c r="M748" i="1"/>
  <c r="T748" i="1" s="1"/>
  <c r="M749" i="1"/>
  <c r="T749" i="1" s="1"/>
  <c r="M750" i="1"/>
  <c r="T750" i="1" s="1"/>
  <c r="M751" i="1"/>
  <c r="T751" i="1" s="1"/>
  <c r="M752" i="1"/>
  <c r="T752" i="1" s="1"/>
  <c r="M753" i="1"/>
  <c r="T753" i="1" s="1"/>
  <c r="M754" i="1"/>
  <c r="T754" i="1" s="1"/>
  <c r="M755" i="1"/>
  <c r="T755" i="1" s="1"/>
  <c r="M756" i="1"/>
  <c r="T756" i="1" s="1"/>
  <c r="M757" i="1"/>
  <c r="T757" i="1" s="1"/>
  <c r="M758" i="1"/>
  <c r="T758" i="1" s="1"/>
  <c r="M759" i="1"/>
  <c r="T759" i="1" s="1"/>
  <c r="M760" i="1"/>
  <c r="T760" i="1" s="1"/>
  <c r="M761" i="1"/>
  <c r="T761" i="1" s="1"/>
  <c r="M762" i="1"/>
  <c r="T762" i="1" s="1"/>
  <c r="M763" i="1"/>
  <c r="T763" i="1" s="1"/>
  <c r="M764" i="1"/>
  <c r="T764" i="1" s="1"/>
  <c r="M765" i="1"/>
  <c r="T765" i="1" s="1"/>
  <c r="M766" i="1"/>
  <c r="T766" i="1" s="1"/>
  <c r="M767" i="1"/>
  <c r="T767" i="1" s="1"/>
  <c r="M768" i="1"/>
  <c r="T768" i="1" s="1"/>
  <c r="M769" i="1"/>
  <c r="T769" i="1" s="1"/>
  <c r="M770" i="1"/>
  <c r="T770" i="1" s="1"/>
  <c r="M771" i="1"/>
  <c r="T771" i="1" s="1"/>
  <c r="M772" i="1"/>
  <c r="T772" i="1" s="1"/>
  <c r="M773" i="1"/>
  <c r="T773" i="1" s="1"/>
  <c r="M774" i="1"/>
  <c r="T774" i="1" s="1"/>
  <c r="M775" i="1"/>
  <c r="T775" i="1" s="1"/>
  <c r="M776" i="1"/>
  <c r="T776" i="1" s="1"/>
  <c r="M777" i="1"/>
  <c r="T777" i="1" s="1"/>
  <c r="M778" i="1"/>
  <c r="T778" i="1" s="1"/>
  <c r="M779" i="1"/>
  <c r="T779" i="1" s="1"/>
  <c r="M780" i="1"/>
  <c r="T780" i="1" s="1"/>
  <c r="M781" i="1"/>
  <c r="T781" i="1" s="1"/>
  <c r="M782" i="1"/>
  <c r="T782" i="1" s="1"/>
  <c r="M783" i="1"/>
  <c r="T783" i="1" s="1"/>
  <c r="M784" i="1"/>
  <c r="T784" i="1" s="1"/>
  <c r="M785" i="1"/>
  <c r="T785" i="1" s="1"/>
  <c r="M786" i="1"/>
  <c r="T786" i="1" s="1"/>
  <c r="M787" i="1"/>
  <c r="T787" i="1" s="1"/>
  <c r="M788" i="1"/>
  <c r="T788" i="1" s="1"/>
  <c r="M789" i="1"/>
  <c r="T789" i="1" s="1"/>
  <c r="M790" i="1"/>
  <c r="T790" i="1" s="1"/>
  <c r="M791" i="1"/>
  <c r="T791" i="1" s="1"/>
  <c r="M792" i="1"/>
  <c r="T792" i="1" s="1"/>
  <c r="M793" i="1"/>
  <c r="T793" i="1" s="1"/>
  <c r="M794" i="1"/>
  <c r="T794" i="1" s="1"/>
  <c r="M795" i="1"/>
  <c r="T795" i="1" s="1"/>
  <c r="M796" i="1"/>
  <c r="T796" i="1" s="1"/>
  <c r="M797" i="1"/>
  <c r="T797" i="1" s="1"/>
  <c r="M798" i="1"/>
  <c r="T798" i="1" s="1"/>
  <c r="M799" i="1"/>
  <c r="T799" i="1" s="1"/>
  <c r="M800" i="1"/>
  <c r="T800" i="1" s="1"/>
  <c r="M801" i="1"/>
  <c r="T801" i="1" s="1"/>
  <c r="M802" i="1"/>
  <c r="T802" i="1" s="1"/>
  <c r="M803" i="1"/>
  <c r="T803" i="1" s="1"/>
  <c r="M804" i="1"/>
  <c r="T804" i="1" s="1"/>
  <c r="M805" i="1"/>
  <c r="T805" i="1" s="1"/>
  <c r="M806" i="1"/>
  <c r="T806" i="1" s="1"/>
  <c r="M807" i="1"/>
  <c r="T807" i="1" s="1"/>
  <c r="M808" i="1"/>
  <c r="T808" i="1" s="1"/>
  <c r="M809" i="1"/>
  <c r="T809" i="1" s="1"/>
  <c r="M810" i="1"/>
  <c r="T810" i="1" s="1"/>
  <c r="M811" i="1"/>
  <c r="T811" i="1" s="1"/>
  <c r="M812" i="1"/>
  <c r="T812" i="1" s="1"/>
  <c r="M813" i="1"/>
  <c r="T813" i="1" s="1"/>
  <c r="M814" i="1"/>
  <c r="T814" i="1" s="1"/>
  <c r="M815" i="1"/>
  <c r="T815" i="1" s="1"/>
  <c r="M816" i="1"/>
  <c r="T816" i="1" s="1"/>
  <c r="M817" i="1"/>
  <c r="T817" i="1" s="1"/>
  <c r="M818" i="1"/>
  <c r="T818" i="1" s="1"/>
  <c r="M819" i="1"/>
  <c r="T819" i="1" s="1"/>
  <c r="M820" i="1"/>
  <c r="T820" i="1" s="1"/>
  <c r="M821" i="1"/>
  <c r="T821" i="1" s="1"/>
  <c r="M822" i="1"/>
  <c r="T822" i="1" s="1"/>
  <c r="M823" i="1"/>
  <c r="T823" i="1" s="1"/>
  <c r="M824" i="1"/>
  <c r="T824" i="1" s="1"/>
  <c r="M825" i="1"/>
  <c r="T825" i="1" s="1"/>
  <c r="M826" i="1"/>
  <c r="T826" i="1" s="1"/>
  <c r="M827" i="1"/>
  <c r="T827" i="1" s="1"/>
  <c r="M828" i="1"/>
  <c r="T828" i="1" s="1"/>
  <c r="M829" i="1"/>
  <c r="T829" i="1" s="1"/>
  <c r="M830" i="1"/>
  <c r="T830" i="1" s="1"/>
  <c r="M831" i="1"/>
  <c r="T831" i="1" s="1"/>
  <c r="M832" i="1"/>
  <c r="T832" i="1" s="1"/>
  <c r="M833" i="1"/>
  <c r="T833" i="1" s="1"/>
  <c r="M834" i="1"/>
  <c r="T834" i="1" s="1"/>
  <c r="M835" i="1"/>
  <c r="T835" i="1" s="1"/>
  <c r="M836" i="1"/>
  <c r="T836" i="1" s="1"/>
  <c r="M837" i="1"/>
  <c r="T837" i="1" s="1"/>
  <c r="M838" i="1"/>
  <c r="T838" i="1" s="1"/>
  <c r="M839" i="1"/>
  <c r="T839" i="1" s="1"/>
  <c r="M840" i="1"/>
  <c r="T840" i="1" s="1"/>
  <c r="M841" i="1"/>
  <c r="T841" i="1" s="1"/>
  <c r="M842" i="1"/>
  <c r="T842" i="1" s="1"/>
  <c r="M843" i="1"/>
  <c r="T843" i="1" s="1"/>
  <c r="M844" i="1"/>
  <c r="T844" i="1" s="1"/>
  <c r="M845" i="1"/>
  <c r="T845" i="1" s="1"/>
  <c r="M846" i="1"/>
  <c r="T846" i="1" s="1"/>
  <c r="M847" i="1"/>
  <c r="T847" i="1" s="1"/>
  <c r="M848" i="1"/>
  <c r="T848" i="1" s="1"/>
  <c r="M849" i="1"/>
  <c r="T849" i="1" s="1"/>
  <c r="M850" i="1"/>
  <c r="T850" i="1" s="1"/>
  <c r="M851" i="1"/>
  <c r="T851" i="1" s="1"/>
  <c r="M852" i="1"/>
  <c r="T852" i="1" s="1"/>
  <c r="M853" i="1"/>
  <c r="T853" i="1" s="1"/>
  <c r="M854" i="1"/>
  <c r="T854" i="1" s="1"/>
  <c r="M855" i="1"/>
  <c r="T855" i="1" s="1"/>
  <c r="M856" i="1"/>
  <c r="T856" i="1" s="1"/>
  <c r="M857" i="1"/>
  <c r="T857" i="1" s="1"/>
  <c r="M858" i="1"/>
  <c r="T858" i="1" s="1"/>
  <c r="M859" i="1"/>
  <c r="T859" i="1" s="1"/>
  <c r="M860" i="1"/>
  <c r="T860" i="1" s="1"/>
  <c r="M861" i="1"/>
  <c r="T861" i="1" s="1"/>
  <c r="M862" i="1"/>
  <c r="T862" i="1" s="1"/>
  <c r="M863" i="1"/>
  <c r="T863" i="1" s="1"/>
  <c r="M864" i="1"/>
  <c r="T864" i="1" s="1"/>
  <c r="M865" i="1"/>
  <c r="T865" i="1" s="1"/>
  <c r="M866" i="1"/>
  <c r="T866" i="1" s="1"/>
  <c r="M867" i="1"/>
  <c r="T867" i="1" s="1"/>
  <c r="M868" i="1"/>
  <c r="T868" i="1" s="1"/>
  <c r="M869" i="1"/>
  <c r="T869" i="1" s="1"/>
  <c r="M870" i="1"/>
  <c r="T870" i="1" s="1"/>
  <c r="M871" i="1"/>
  <c r="T871" i="1" s="1"/>
  <c r="M872" i="1"/>
  <c r="T872" i="1" s="1"/>
  <c r="M873" i="1"/>
  <c r="T873" i="1" s="1"/>
  <c r="M874" i="1"/>
  <c r="T874" i="1" s="1"/>
  <c r="M875" i="1"/>
  <c r="T875" i="1" s="1"/>
  <c r="M876" i="1"/>
  <c r="T876" i="1" s="1"/>
  <c r="M877" i="1"/>
  <c r="T877" i="1" s="1"/>
  <c r="M878" i="1"/>
  <c r="T878" i="1" s="1"/>
  <c r="M879" i="1"/>
  <c r="T879" i="1" s="1"/>
  <c r="M880" i="1"/>
  <c r="T880" i="1" s="1"/>
  <c r="M881" i="1"/>
  <c r="T881" i="1" s="1"/>
  <c r="M882" i="1"/>
  <c r="T882" i="1" s="1"/>
  <c r="M883" i="1"/>
  <c r="T883" i="1" s="1"/>
  <c r="M884" i="1"/>
  <c r="T884" i="1" s="1"/>
  <c r="M885" i="1"/>
  <c r="T885" i="1" s="1"/>
  <c r="M886" i="1"/>
  <c r="T886" i="1" s="1"/>
  <c r="M887" i="1"/>
  <c r="T887" i="1" s="1"/>
  <c r="M888" i="1"/>
  <c r="T888" i="1" s="1"/>
  <c r="M889" i="1"/>
  <c r="T889" i="1" s="1"/>
  <c r="M890" i="1"/>
  <c r="T890" i="1" s="1"/>
  <c r="M891" i="1"/>
  <c r="T891" i="1" s="1"/>
  <c r="M892" i="1"/>
  <c r="T892" i="1" s="1"/>
  <c r="M893" i="1"/>
  <c r="T893" i="1" s="1"/>
  <c r="M894" i="1"/>
  <c r="T894" i="1" s="1"/>
  <c r="M895" i="1"/>
  <c r="T895" i="1" s="1"/>
  <c r="M896" i="1"/>
  <c r="T896" i="1" s="1"/>
  <c r="M897" i="1"/>
  <c r="T897" i="1" s="1"/>
  <c r="M898" i="1"/>
  <c r="T898" i="1" s="1"/>
  <c r="M899" i="1"/>
  <c r="T899" i="1" s="1"/>
  <c r="M900" i="1"/>
  <c r="T900" i="1" s="1"/>
  <c r="M901" i="1"/>
  <c r="T901" i="1" s="1"/>
  <c r="M902" i="1"/>
  <c r="T902" i="1" s="1"/>
  <c r="M903" i="1"/>
  <c r="T903" i="1" s="1"/>
  <c r="M904" i="1"/>
  <c r="T904" i="1" s="1"/>
  <c r="M905" i="1"/>
  <c r="T905" i="1" s="1"/>
  <c r="M906" i="1"/>
  <c r="T906" i="1" s="1"/>
  <c r="M907" i="1"/>
  <c r="T907" i="1" s="1"/>
  <c r="M908" i="1"/>
  <c r="T908" i="1" s="1"/>
  <c r="M947" i="1"/>
  <c r="T947" i="1" s="1"/>
  <c r="M4" i="1"/>
  <c r="A887" i="1" l="1"/>
  <c r="AN887" i="1" s="1"/>
  <c r="B887" i="1"/>
  <c r="E887" i="1"/>
  <c r="F887" i="1"/>
  <c r="I887" i="1"/>
  <c r="J887" i="1"/>
  <c r="P887" i="1"/>
  <c r="R887" i="1"/>
  <c r="O887" i="1"/>
  <c r="AL887" i="1"/>
  <c r="AO887" i="1"/>
  <c r="A888" i="1"/>
  <c r="B888" i="1"/>
  <c r="E888" i="1"/>
  <c r="F888" i="1"/>
  <c r="I888" i="1"/>
  <c r="J888" i="1"/>
  <c r="R888" i="1"/>
  <c r="AL888" i="1"/>
  <c r="AO888" i="1"/>
  <c r="A889" i="1"/>
  <c r="B889" i="1"/>
  <c r="E889" i="1"/>
  <c r="F889" i="1"/>
  <c r="I889" i="1"/>
  <c r="J889" i="1"/>
  <c r="O889" i="1"/>
  <c r="R889" i="1"/>
  <c r="AL889" i="1"/>
  <c r="AO889" i="1"/>
  <c r="A890" i="1"/>
  <c r="B890" i="1"/>
  <c r="E890" i="1"/>
  <c r="F890" i="1"/>
  <c r="I890" i="1"/>
  <c r="J890" i="1"/>
  <c r="P890" i="1"/>
  <c r="R890" i="1"/>
  <c r="AL890" i="1"/>
  <c r="AO890" i="1"/>
  <c r="A891" i="1"/>
  <c r="AN891" i="1" s="1"/>
  <c r="B891" i="1"/>
  <c r="E891" i="1"/>
  <c r="F891" i="1"/>
  <c r="I891" i="1"/>
  <c r="J891" i="1"/>
  <c r="R891" i="1"/>
  <c r="AL891" i="1"/>
  <c r="AO891" i="1"/>
  <c r="A892" i="1"/>
  <c r="AN892" i="1" s="1"/>
  <c r="B892" i="1"/>
  <c r="E892" i="1"/>
  <c r="F892" i="1"/>
  <c r="I892" i="1"/>
  <c r="J892" i="1"/>
  <c r="P892" i="1"/>
  <c r="R892" i="1"/>
  <c r="AL892" i="1"/>
  <c r="AO892" i="1"/>
  <c r="A893" i="1"/>
  <c r="AN893" i="1" s="1"/>
  <c r="B893" i="1"/>
  <c r="E893" i="1"/>
  <c r="F893" i="1"/>
  <c r="I893" i="1"/>
  <c r="J893" i="1"/>
  <c r="P893" i="1"/>
  <c r="R893" i="1"/>
  <c r="AL893" i="1"/>
  <c r="AO893" i="1"/>
  <c r="A894" i="1"/>
  <c r="B894" i="1"/>
  <c r="E894" i="1"/>
  <c r="F894" i="1"/>
  <c r="I894" i="1"/>
  <c r="J894" i="1"/>
  <c r="R894" i="1"/>
  <c r="AE894" i="1"/>
  <c r="AL894" i="1"/>
  <c r="AO894" i="1"/>
  <c r="A895" i="1"/>
  <c r="B895" i="1"/>
  <c r="E895" i="1"/>
  <c r="F895" i="1"/>
  <c r="I895" i="1"/>
  <c r="J895" i="1"/>
  <c r="O895" i="1"/>
  <c r="R895" i="1"/>
  <c r="AL895" i="1"/>
  <c r="AO895" i="1"/>
  <c r="A896" i="1"/>
  <c r="B896" i="1"/>
  <c r="E896" i="1"/>
  <c r="F896" i="1"/>
  <c r="I896" i="1"/>
  <c r="J896" i="1"/>
  <c r="P896" i="1"/>
  <c r="R896" i="1"/>
  <c r="AL896" i="1"/>
  <c r="AO896" i="1"/>
  <c r="A897" i="1"/>
  <c r="AN897" i="1" s="1"/>
  <c r="B897" i="1"/>
  <c r="E897" i="1"/>
  <c r="F897" i="1"/>
  <c r="I897" i="1"/>
  <c r="J897" i="1"/>
  <c r="R897" i="1"/>
  <c r="AL897" i="1"/>
  <c r="AO897" i="1"/>
  <c r="A898" i="1"/>
  <c r="B898" i="1"/>
  <c r="X898" i="1" s="1"/>
  <c r="E898" i="1"/>
  <c r="F898" i="1"/>
  <c r="I898" i="1"/>
  <c r="J898" i="1"/>
  <c r="P898" i="1"/>
  <c r="R898" i="1"/>
  <c r="AL898" i="1"/>
  <c r="AO898" i="1"/>
  <c r="A899" i="1"/>
  <c r="B899" i="1"/>
  <c r="E899" i="1"/>
  <c r="F899" i="1"/>
  <c r="I899" i="1"/>
  <c r="J899" i="1"/>
  <c r="P899" i="1"/>
  <c r="R899" i="1"/>
  <c r="AL899" i="1"/>
  <c r="AO899" i="1"/>
  <c r="A900" i="1"/>
  <c r="B900" i="1"/>
  <c r="E900" i="1"/>
  <c r="F900" i="1"/>
  <c r="I900" i="1"/>
  <c r="J900" i="1"/>
  <c r="R900" i="1"/>
  <c r="AL900" i="1"/>
  <c r="AO900" i="1"/>
  <c r="A901" i="1"/>
  <c r="AN901" i="1" s="1"/>
  <c r="B901" i="1"/>
  <c r="E901" i="1"/>
  <c r="F901" i="1"/>
  <c r="I901" i="1"/>
  <c r="J901" i="1"/>
  <c r="P901" i="1"/>
  <c r="R901" i="1"/>
  <c r="AL901" i="1"/>
  <c r="AO901" i="1"/>
  <c r="A902" i="1"/>
  <c r="B902" i="1"/>
  <c r="E902" i="1"/>
  <c r="F902" i="1"/>
  <c r="I902" i="1"/>
  <c r="J902" i="1"/>
  <c r="P902" i="1"/>
  <c r="R902" i="1"/>
  <c r="AL902" i="1"/>
  <c r="AO902" i="1"/>
  <c r="A903" i="1"/>
  <c r="AN903" i="1" s="1"/>
  <c r="B903" i="1"/>
  <c r="E903" i="1"/>
  <c r="F903" i="1"/>
  <c r="I903" i="1"/>
  <c r="J903" i="1"/>
  <c r="R903" i="1"/>
  <c r="AL903" i="1"/>
  <c r="AO903" i="1"/>
  <c r="A904" i="1"/>
  <c r="AN904" i="1" s="1"/>
  <c r="B904" i="1"/>
  <c r="E904" i="1"/>
  <c r="F904" i="1"/>
  <c r="I904" i="1"/>
  <c r="J904" i="1"/>
  <c r="O904" i="1"/>
  <c r="R904" i="1"/>
  <c r="AL904" i="1"/>
  <c r="AO904" i="1"/>
  <c r="A905" i="1"/>
  <c r="B905" i="1"/>
  <c r="E905" i="1"/>
  <c r="F905" i="1"/>
  <c r="I905" i="1"/>
  <c r="J905" i="1"/>
  <c r="P905" i="1"/>
  <c r="R905" i="1"/>
  <c r="AL905" i="1"/>
  <c r="AO905" i="1"/>
  <c r="A906" i="1"/>
  <c r="AN906" i="1" s="1"/>
  <c r="B906" i="1"/>
  <c r="E906" i="1"/>
  <c r="F906" i="1"/>
  <c r="I906" i="1"/>
  <c r="J906" i="1"/>
  <c r="R906" i="1"/>
  <c r="AL906" i="1"/>
  <c r="AO906" i="1"/>
  <c r="A907" i="1"/>
  <c r="AN907" i="1" s="1"/>
  <c r="B907" i="1"/>
  <c r="E907" i="1"/>
  <c r="F907" i="1"/>
  <c r="I907" i="1"/>
  <c r="J907" i="1"/>
  <c r="O907" i="1"/>
  <c r="R907" i="1"/>
  <c r="AL907" i="1"/>
  <c r="AO907" i="1"/>
  <c r="A908" i="1"/>
  <c r="B908" i="1"/>
  <c r="E908" i="1"/>
  <c r="F908" i="1"/>
  <c r="I908" i="1"/>
  <c r="J908" i="1"/>
  <c r="P908" i="1"/>
  <c r="R908" i="1"/>
  <c r="AL908" i="1"/>
  <c r="AO908" i="1"/>
  <c r="A947" i="1"/>
  <c r="AN947" i="1" s="1"/>
  <c r="B947" i="1"/>
  <c r="E947" i="1"/>
  <c r="F947" i="1"/>
  <c r="I947" i="1"/>
  <c r="J947" i="1"/>
  <c r="R947" i="1"/>
  <c r="AL947" i="1"/>
  <c r="AO947" i="1"/>
  <c r="AA4" i="1"/>
  <c r="Y4" i="1"/>
  <c r="AP906" i="1" l="1"/>
  <c r="AQ906" i="1" s="1"/>
  <c r="AP947" i="1"/>
  <c r="AQ947" i="1" s="1"/>
  <c r="AP897" i="1"/>
  <c r="AQ897" i="1" s="1"/>
  <c r="AP891" i="1"/>
  <c r="AQ891" i="1" s="1"/>
  <c r="AP907" i="1"/>
  <c r="AQ907" i="1" s="1"/>
  <c r="AP901" i="1"/>
  <c r="AQ901" i="1" s="1"/>
  <c r="AP903" i="1"/>
  <c r="AQ903" i="1" s="1"/>
  <c r="AP904" i="1"/>
  <c r="AQ904" i="1" s="1"/>
  <c r="AP892" i="1"/>
  <c r="AQ892" i="1" s="1"/>
  <c r="AP893" i="1"/>
  <c r="AQ893" i="1" s="1"/>
  <c r="AP887" i="1"/>
  <c r="AQ887" i="1" s="1"/>
  <c r="AA2" i="1"/>
  <c r="AS907" i="1"/>
  <c r="AS899" i="1"/>
  <c r="AS898" i="1"/>
  <c r="AS887" i="1"/>
  <c r="AS896" i="1"/>
  <c r="AS895" i="1"/>
  <c r="AS893" i="1"/>
  <c r="AS904" i="1"/>
  <c r="AS892" i="1"/>
  <c r="AS890" i="1"/>
  <c r="AS901" i="1"/>
  <c r="AS889" i="1"/>
  <c r="O890" i="1"/>
  <c r="C896" i="1"/>
  <c r="S890" i="1"/>
  <c r="O905" i="1"/>
  <c r="C906" i="1"/>
  <c r="C900" i="1"/>
  <c r="O893" i="1"/>
  <c r="S887" i="1"/>
  <c r="O908" i="1"/>
  <c r="S908" i="1"/>
  <c r="C905" i="1"/>
  <c r="AN900" i="1"/>
  <c r="C894" i="1"/>
  <c r="P894" i="1"/>
  <c r="S894" i="1" s="1"/>
  <c r="P891" i="1"/>
  <c r="S891" i="1" s="1"/>
  <c r="C888" i="1"/>
  <c r="C947" i="1"/>
  <c r="O899" i="1"/>
  <c r="C897" i="1"/>
  <c r="P906" i="1"/>
  <c r="S906" i="1" s="1"/>
  <c r="C904" i="1"/>
  <c r="S899" i="1"/>
  <c r="P888" i="1"/>
  <c r="S888" i="1" s="1"/>
  <c r="P897" i="1"/>
  <c r="S897" i="1" s="1"/>
  <c r="S893" i="1"/>
  <c r="C902" i="1"/>
  <c r="S901" i="1"/>
  <c r="C895" i="1"/>
  <c r="C889" i="1"/>
  <c r="O902" i="1"/>
  <c r="C899" i="1"/>
  <c r="C891" i="1"/>
  <c r="C890" i="1"/>
  <c r="C903" i="1"/>
  <c r="S898" i="1"/>
  <c r="AN894" i="1"/>
  <c r="P889" i="1"/>
  <c r="S889" i="1" s="1"/>
  <c r="AN888" i="1"/>
  <c r="S892" i="1"/>
  <c r="C898" i="1"/>
  <c r="AN898" i="1"/>
  <c r="W898" i="1" s="1"/>
  <c r="C907" i="1"/>
  <c r="P903" i="1"/>
  <c r="S903" i="1" s="1"/>
  <c r="O896" i="1"/>
  <c r="AN895" i="1"/>
  <c r="C892" i="1"/>
  <c r="AS902" i="1"/>
  <c r="AN889" i="1"/>
  <c r="AS908" i="1"/>
  <c r="S896" i="1"/>
  <c r="AN890" i="1"/>
  <c r="C908" i="1"/>
  <c r="P900" i="1"/>
  <c r="S900" i="1" s="1"/>
  <c r="AS905" i="1"/>
  <c r="C901" i="1"/>
  <c r="C893" i="1"/>
  <c r="C887" i="1"/>
  <c r="S905" i="1"/>
  <c r="S902" i="1"/>
  <c r="P947" i="1"/>
  <c r="S947" i="1" s="1"/>
  <c r="O947" i="1"/>
  <c r="O906" i="1"/>
  <c r="O903" i="1"/>
  <c r="O900" i="1"/>
  <c r="O897" i="1"/>
  <c r="O894" i="1"/>
  <c r="O891" i="1"/>
  <c r="O888" i="1"/>
  <c r="AS947" i="1"/>
  <c r="P907" i="1"/>
  <c r="S907" i="1" s="1"/>
  <c r="AS906" i="1"/>
  <c r="P904" i="1"/>
  <c r="S904" i="1" s="1"/>
  <c r="AS903" i="1"/>
  <c r="P895" i="1"/>
  <c r="S895" i="1" s="1"/>
  <c r="AS894" i="1"/>
  <c r="V887" i="1"/>
  <c r="O901" i="1"/>
  <c r="AS900" i="1"/>
  <c r="AN899" i="1"/>
  <c r="O898" i="1"/>
  <c r="AS897" i="1"/>
  <c r="AN896" i="1"/>
  <c r="O892" i="1"/>
  <c r="AS891" i="1"/>
  <c r="AS888" i="1"/>
  <c r="AN908" i="1"/>
  <c r="AN905" i="1"/>
  <c r="AN902" i="1"/>
  <c r="V900" i="1" l="1"/>
  <c r="V947" i="1"/>
  <c r="AB947" i="1" s="1"/>
  <c r="V897" i="1"/>
  <c r="AB897" i="1" s="1"/>
  <c r="AC897" i="1" s="1"/>
  <c r="V898" i="1"/>
  <c r="V892" i="1"/>
  <c r="AB892" i="1" s="1"/>
  <c r="AC892" i="1" s="1"/>
  <c r="V896" i="1"/>
  <c r="V903" i="1"/>
  <c r="AB903" i="1" s="1"/>
  <c r="V901" i="1"/>
  <c r="AB901" i="1" s="1"/>
  <c r="AC901" i="1" s="1"/>
  <c r="V904" i="1"/>
  <c r="AB904" i="1" s="1"/>
  <c r="V893" i="1"/>
  <c r="AB893" i="1" s="1"/>
  <c r="AC893" i="1" s="1"/>
  <c r="V905" i="1"/>
  <c r="V894" i="1"/>
  <c r="V902" i="1"/>
  <c r="V889" i="1"/>
  <c r="V888" i="1"/>
  <c r="V891" i="1"/>
  <c r="AB891" i="1" s="1"/>
  <c r="V899" i="1"/>
  <c r="AP896" i="1"/>
  <c r="AQ896" i="1" s="1"/>
  <c r="AP895" i="1"/>
  <c r="AQ895" i="1" s="1"/>
  <c r="AP890" i="1"/>
  <c r="AQ890" i="1" s="1"/>
  <c r="AP898" i="1"/>
  <c r="AQ898" i="1" s="1"/>
  <c r="AP902" i="1"/>
  <c r="AQ902" i="1" s="1"/>
  <c r="AP888" i="1"/>
  <c r="AQ888" i="1" s="1"/>
  <c r="AP900" i="1"/>
  <c r="AQ900" i="1" s="1"/>
  <c r="AP905" i="1"/>
  <c r="AQ905" i="1" s="1"/>
  <c r="AP899" i="1"/>
  <c r="AQ899" i="1" s="1"/>
  <c r="AP889" i="1"/>
  <c r="AQ889" i="1" s="1"/>
  <c r="AP908" i="1"/>
  <c r="AQ908" i="1" s="1"/>
  <c r="AP894" i="1"/>
  <c r="AQ894" i="1" s="1"/>
  <c r="AB887" i="1"/>
  <c r="AC887" i="1" s="1"/>
  <c r="AE947" i="1" l="1"/>
  <c r="AE897" i="1"/>
  <c r="AB896" i="1"/>
  <c r="AC896" i="1" s="1"/>
  <c r="AB899" i="1"/>
  <c r="AC899" i="1" s="1"/>
  <c r="AB900" i="1"/>
  <c r="AB898" i="1"/>
  <c r="AB894" i="1"/>
  <c r="AD894" i="1" s="1"/>
  <c r="AB905" i="1"/>
  <c r="AC905" i="1" s="1"/>
  <c r="AB902" i="1"/>
  <c r="AB889" i="1"/>
  <c r="AC889" i="1" s="1"/>
  <c r="AE892" i="1"/>
  <c r="AE901" i="1"/>
  <c r="AE893" i="1"/>
  <c r="AE904" i="1"/>
  <c r="AE891" i="1"/>
  <c r="AE887" i="1"/>
  <c r="AE903" i="1"/>
  <c r="AE889" i="1" l="1"/>
  <c r="AE900" i="1"/>
  <c r="AD902" i="1"/>
  <c r="AD898" i="1"/>
  <c r="AE899" i="1"/>
  <c r="AE896" i="1"/>
  <c r="AD897" i="1"/>
  <c r="AD905" i="1"/>
  <c r="AD947" i="1"/>
  <c r="AD891" i="1"/>
  <c r="AD904" i="1"/>
  <c r="AD903" i="1"/>
  <c r="AD901" i="1"/>
  <c r="AD887" i="1"/>
  <c r="AD893" i="1"/>
  <c r="AD892" i="1"/>
  <c r="AE898" i="1" l="1"/>
  <c r="AE902" i="1"/>
  <c r="AD889" i="1"/>
  <c r="AD900" i="1"/>
  <c r="AD899" i="1"/>
  <c r="AE905" i="1"/>
  <c r="AD896" i="1"/>
  <c r="P611" i="1"/>
  <c r="A863" i="1" l="1"/>
  <c r="AN863" i="1" s="1"/>
  <c r="B863" i="1"/>
  <c r="E863" i="1"/>
  <c r="F863" i="1"/>
  <c r="I863" i="1"/>
  <c r="J863" i="1"/>
  <c r="P863" i="1"/>
  <c r="R863" i="1"/>
  <c r="AL863" i="1"/>
  <c r="AO863" i="1"/>
  <c r="A864" i="1"/>
  <c r="AN864" i="1" s="1"/>
  <c r="B864" i="1"/>
  <c r="E864" i="1"/>
  <c r="F864" i="1"/>
  <c r="I864" i="1"/>
  <c r="J864" i="1"/>
  <c r="R864" i="1"/>
  <c r="O864" i="1"/>
  <c r="AL864" i="1"/>
  <c r="AO864" i="1"/>
  <c r="A865" i="1"/>
  <c r="B865" i="1"/>
  <c r="E865" i="1"/>
  <c r="F865" i="1"/>
  <c r="I865" i="1"/>
  <c r="J865" i="1"/>
  <c r="O865" i="1"/>
  <c r="R865" i="1"/>
  <c r="AL865" i="1"/>
  <c r="AO865" i="1"/>
  <c r="A866" i="1"/>
  <c r="AN866" i="1" s="1"/>
  <c r="B866" i="1"/>
  <c r="E866" i="1"/>
  <c r="F866" i="1"/>
  <c r="I866" i="1"/>
  <c r="J866" i="1"/>
  <c r="R866" i="1"/>
  <c r="O866" i="1"/>
  <c r="P866" i="1"/>
  <c r="AL866" i="1"/>
  <c r="AO866" i="1"/>
  <c r="A867" i="1"/>
  <c r="B867" i="1"/>
  <c r="E867" i="1"/>
  <c r="F867" i="1"/>
  <c r="I867" i="1"/>
  <c r="J867" i="1"/>
  <c r="P867" i="1"/>
  <c r="R867" i="1"/>
  <c r="O867" i="1"/>
  <c r="AL867" i="1"/>
  <c r="AO867" i="1"/>
  <c r="A868" i="1"/>
  <c r="AN868" i="1" s="1"/>
  <c r="B868" i="1"/>
  <c r="E868" i="1"/>
  <c r="F868" i="1"/>
  <c r="I868" i="1"/>
  <c r="J868" i="1"/>
  <c r="O868" i="1"/>
  <c r="P868" i="1"/>
  <c r="R868" i="1"/>
  <c r="AL868" i="1"/>
  <c r="AO868" i="1"/>
  <c r="A869" i="1"/>
  <c r="AN869" i="1" s="1"/>
  <c r="B869" i="1"/>
  <c r="E869" i="1"/>
  <c r="F869" i="1"/>
  <c r="I869" i="1"/>
  <c r="J869" i="1"/>
  <c r="P869" i="1"/>
  <c r="R869" i="1"/>
  <c r="AL869" i="1"/>
  <c r="AO869" i="1"/>
  <c r="A870" i="1"/>
  <c r="B870" i="1"/>
  <c r="E870" i="1"/>
  <c r="F870" i="1"/>
  <c r="I870" i="1"/>
  <c r="J870" i="1"/>
  <c r="O870" i="1"/>
  <c r="R870" i="1"/>
  <c r="P870" i="1"/>
  <c r="AL870" i="1"/>
  <c r="AO870" i="1"/>
  <c r="A871" i="1"/>
  <c r="AN871" i="1" s="1"/>
  <c r="B871" i="1"/>
  <c r="E871" i="1"/>
  <c r="F871" i="1"/>
  <c r="I871" i="1"/>
  <c r="J871" i="1"/>
  <c r="P871" i="1"/>
  <c r="R871" i="1"/>
  <c r="O871" i="1"/>
  <c r="AL871" i="1"/>
  <c r="AO871" i="1"/>
  <c r="A872" i="1"/>
  <c r="AN872" i="1" s="1"/>
  <c r="B872" i="1"/>
  <c r="E872" i="1"/>
  <c r="F872" i="1"/>
  <c r="I872" i="1"/>
  <c r="J872" i="1"/>
  <c r="R872" i="1"/>
  <c r="AL872" i="1"/>
  <c r="AO872" i="1"/>
  <c r="A873" i="1"/>
  <c r="AN873" i="1" s="1"/>
  <c r="B873" i="1"/>
  <c r="E873" i="1"/>
  <c r="F873" i="1"/>
  <c r="I873" i="1"/>
  <c r="J873" i="1"/>
  <c r="O873" i="1"/>
  <c r="R873" i="1"/>
  <c r="AL873" i="1"/>
  <c r="AO873" i="1"/>
  <c r="A874" i="1"/>
  <c r="B874" i="1"/>
  <c r="E874" i="1"/>
  <c r="F874" i="1"/>
  <c r="I874" i="1"/>
  <c r="J874" i="1"/>
  <c r="O874" i="1"/>
  <c r="AL874" i="1"/>
  <c r="AO874" i="1"/>
  <c r="A875" i="1"/>
  <c r="AN875" i="1" s="1"/>
  <c r="B875" i="1"/>
  <c r="E875" i="1"/>
  <c r="F875" i="1"/>
  <c r="I875" i="1"/>
  <c r="J875" i="1"/>
  <c r="P875" i="1"/>
  <c r="R875" i="1"/>
  <c r="O875" i="1"/>
  <c r="AL875" i="1"/>
  <c r="AO875" i="1"/>
  <c r="A876" i="1"/>
  <c r="AN876" i="1" s="1"/>
  <c r="B876" i="1"/>
  <c r="E876" i="1"/>
  <c r="F876" i="1"/>
  <c r="I876" i="1"/>
  <c r="J876" i="1"/>
  <c r="O876" i="1"/>
  <c r="R876" i="1"/>
  <c r="AL876" i="1"/>
  <c r="AO876" i="1"/>
  <c r="A877" i="1"/>
  <c r="B877" i="1"/>
  <c r="E877" i="1"/>
  <c r="F877" i="1"/>
  <c r="I877" i="1"/>
  <c r="J877" i="1"/>
  <c r="O877" i="1"/>
  <c r="R877" i="1"/>
  <c r="AL877" i="1"/>
  <c r="AO877" i="1"/>
  <c r="A878" i="1"/>
  <c r="B878" i="1"/>
  <c r="E878" i="1"/>
  <c r="F878" i="1"/>
  <c r="I878" i="1"/>
  <c r="J878" i="1"/>
  <c r="R878" i="1"/>
  <c r="O878" i="1"/>
  <c r="P878" i="1"/>
  <c r="AL878" i="1"/>
  <c r="AO878" i="1"/>
  <c r="A879" i="1"/>
  <c r="B879" i="1"/>
  <c r="E879" i="1"/>
  <c r="F879" i="1"/>
  <c r="I879" i="1"/>
  <c r="J879" i="1"/>
  <c r="P879" i="1"/>
  <c r="R879" i="1"/>
  <c r="O879" i="1"/>
  <c r="AL879" i="1"/>
  <c r="AO879" i="1"/>
  <c r="A880" i="1"/>
  <c r="AN880" i="1" s="1"/>
  <c r="B880" i="1"/>
  <c r="E880" i="1"/>
  <c r="F880" i="1"/>
  <c r="I880" i="1"/>
  <c r="J880" i="1"/>
  <c r="R880" i="1"/>
  <c r="O880" i="1"/>
  <c r="P880" i="1"/>
  <c r="AL880" i="1"/>
  <c r="AO880" i="1"/>
  <c r="A881" i="1"/>
  <c r="B881" i="1"/>
  <c r="E881" i="1"/>
  <c r="F881" i="1"/>
  <c r="I881" i="1"/>
  <c r="J881" i="1"/>
  <c r="O881" i="1"/>
  <c r="R881" i="1"/>
  <c r="AL881" i="1"/>
  <c r="AO881" i="1"/>
  <c r="A882" i="1"/>
  <c r="B882" i="1"/>
  <c r="E882" i="1"/>
  <c r="F882" i="1"/>
  <c r="I882" i="1"/>
  <c r="J882" i="1"/>
  <c r="R882" i="1"/>
  <c r="O882" i="1"/>
  <c r="P882" i="1"/>
  <c r="AL882" i="1"/>
  <c r="AO882" i="1"/>
  <c r="A883" i="1"/>
  <c r="AN883" i="1" s="1"/>
  <c r="B883" i="1"/>
  <c r="E883" i="1"/>
  <c r="F883" i="1"/>
  <c r="I883" i="1"/>
  <c r="J883" i="1"/>
  <c r="P883" i="1"/>
  <c r="R883" i="1"/>
  <c r="O883" i="1"/>
  <c r="AL883" i="1"/>
  <c r="AO883" i="1"/>
  <c r="A818" i="1"/>
  <c r="B818" i="1"/>
  <c r="E818" i="1"/>
  <c r="F818" i="1"/>
  <c r="I818" i="1"/>
  <c r="J818" i="1"/>
  <c r="O818" i="1"/>
  <c r="R818" i="1"/>
  <c r="AL818" i="1"/>
  <c r="AO818" i="1"/>
  <c r="A819" i="1"/>
  <c r="B819" i="1"/>
  <c r="X819" i="1" s="1"/>
  <c r="E819" i="1"/>
  <c r="F819" i="1"/>
  <c r="I819" i="1"/>
  <c r="J819" i="1"/>
  <c r="R819" i="1"/>
  <c r="AL819" i="1"/>
  <c r="AO819" i="1"/>
  <c r="A820" i="1"/>
  <c r="AN820" i="1" s="1"/>
  <c r="B820" i="1"/>
  <c r="E820" i="1"/>
  <c r="F820" i="1"/>
  <c r="I820" i="1"/>
  <c r="J820" i="1"/>
  <c r="O820" i="1"/>
  <c r="P820" i="1"/>
  <c r="R820" i="1"/>
  <c r="AL820" i="1"/>
  <c r="AO820" i="1"/>
  <c r="A821" i="1"/>
  <c r="B821" i="1"/>
  <c r="E821" i="1"/>
  <c r="F821" i="1"/>
  <c r="I821" i="1"/>
  <c r="J821" i="1"/>
  <c r="O821" i="1"/>
  <c r="R821" i="1"/>
  <c r="AL821" i="1"/>
  <c r="AO821" i="1"/>
  <c r="A822" i="1"/>
  <c r="B822" i="1"/>
  <c r="E822" i="1"/>
  <c r="F822" i="1"/>
  <c r="I822" i="1"/>
  <c r="J822" i="1"/>
  <c r="O822" i="1"/>
  <c r="R822" i="1"/>
  <c r="AL822" i="1"/>
  <c r="AO822" i="1"/>
  <c r="A823" i="1"/>
  <c r="AN823" i="1" s="1"/>
  <c r="B823" i="1"/>
  <c r="E823" i="1"/>
  <c r="F823" i="1"/>
  <c r="I823" i="1"/>
  <c r="J823" i="1"/>
  <c r="R823" i="1"/>
  <c r="O823" i="1"/>
  <c r="AL823" i="1"/>
  <c r="AO823" i="1"/>
  <c r="A824" i="1"/>
  <c r="AN824" i="1" s="1"/>
  <c r="B824" i="1"/>
  <c r="E824" i="1"/>
  <c r="F824" i="1"/>
  <c r="I824" i="1"/>
  <c r="J824" i="1"/>
  <c r="O824" i="1"/>
  <c r="P824" i="1"/>
  <c r="R824" i="1"/>
  <c r="AL824" i="1"/>
  <c r="AO824" i="1"/>
  <c r="A825" i="1"/>
  <c r="B825" i="1"/>
  <c r="E825" i="1"/>
  <c r="F825" i="1"/>
  <c r="I825" i="1"/>
  <c r="J825" i="1"/>
  <c r="O825" i="1"/>
  <c r="R825" i="1"/>
  <c r="AL825" i="1"/>
  <c r="AO825" i="1"/>
  <c r="A826" i="1"/>
  <c r="AN826" i="1" s="1"/>
  <c r="B826" i="1"/>
  <c r="E826" i="1"/>
  <c r="F826" i="1"/>
  <c r="I826" i="1"/>
  <c r="J826" i="1"/>
  <c r="O826" i="1"/>
  <c r="R826" i="1"/>
  <c r="AL826" i="1"/>
  <c r="AO826" i="1"/>
  <c r="A827" i="1"/>
  <c r="AN827" i="1" s="1"/>
  <c r="B827" i="1"/>
  <c r="E827" i="1"/>
  <c r="F827" i="1"/>
  <c r="I827" i="1"/>
  <c r="J827" i="1"/>
  <c r="R827" i="1"/>
  <c r="AL827" i="1"/>
  <c r="AO827" i="1"/>
  <c r="A828" i="1"/>
  <c r="AN828" i="1" s="1"/>
  <c r="B828" i="1"/>
  <c r="X828" i="1" s="1"/>
  <c r="E828" i="1"/>
  <c r="F828" i="1"/>
  <c r="I828" i="1"/>
  <c r="J828" i="1"/>
  <c r="O828" i="1"/>
  <c r="R828" i="1"/>
  <c r="AE828" i="1"/>
  <c r="AL828" i="1"/>
  <c r="AO828" i="1"/>
  <c r="A829" i="1"/>
  <c r="B829" i="1"/>
  <c r="E829" i="1"/>
  <c r="F829" i="1"/>
  <c r="I829" i="1"/>
  <c r="J829" i="1"/>
  <c r="O829" i="1"/>
  <c r="R829" i="1"/>
  <c r="AL829" i="1"/>
  <c r="AO829" i="1"/>
  <c r="A830" i="1"/>
  <c r="B830" i="1"/>
  <c r="E830" i="1"/>
  <c r="F830" i="1"/>
  <c r="I830" i="1"/>
  <c r="J830" i="1"/>
  <c r="R830" i="1"/>
  <c r="AL830" i="1"/>
  <c r="AO830" i="1"/>
  <c r="A831" i="1"/>
  <c r="AN831" i="1" s="1"/>
  <c r="B831" i="1"/>
  <c r="E831" i="1"/>
  <c r="F831" i="1"/>
  <c r="I831" i="1"/>
  <c r="J831" i="1"/>
  <c r="R831" i="1"/>
  <c r="AL831" i="1"/>
  <c r="AO831" i="1"/>
  <c r="A832" i="1"/>
  <c r="AN832" i="1" s="1"/>
  <c r="B832" i="1"/>
  <c r="E832" i="1"/>
  <c r="F832" i="1"/>
  <c r="I832" i="1"/>
  <c r="J832" i="1"/>
  <c r="R832" i="1"/>
  <c r="AL832" i="1"/>
  <c r="AO832" i="1"/>
  <c r="A833" i="1"/>
  <c r="AN833" i="1" s="1"/>
  <c r="B833" i="1"/>
  <c r="X833" i="1" s="1"/>
  <c r="E833" i="1"/>
  <c r="F833" i="1"/>
  <c r="I833" i="1"/>
  <c r="J833" i="1"/>
  <c r="O833" i="1"/>
  <c r="R833" i="1"/>
  <c r="P833" i="1"/>
  <c r="AL833" i="1"/>
  <c r="AO833" i="1"/>
  <c r="A834" i="1"/>
  <c r="AN834" i="1" s="1"/>
  <c r="B834" i="1"/>
  <c r="E834" i="1"/>
  <c r="F834" i="1"/>
  <c r="I834" i="1"/>
  <c r="J834" i="1"/>
  <c r="O834" i="1"/>
  <c r="R834" i="1"/>
  <c r="AL834" i="1"/>
  <c r="AO834" i="1"/>
  <c r="A835" i="1"/>
  <c r="AN835" i="1" s="1"/>
  <c r="B835" i="1"/>
  <c r="E835" i="1"/>
  <c r="F835" i="1"/>
  <c r="I835" i="1"/>
  <c r="J835" i="1"/>
  <c r="R835" i="1"/>
  <c r="O835" i="1"/>
  <c r="AL835" i="1"/>
  <c r="AO835" i="1"/>
  <c r="A836" i="1"/>
  <c r="B836" i="1"/>
  <c r="E836" i="1"/>
  <c r="F836" i="1"/>
  <c r="I836" i="1"/>
  <c r="J836" i="1"/>
  <c r="R836" i="1"/>
  <c r="AL836" i="1"/>
  <c r="AO836" i="1"/>
  <c r="A837" i="1"/>
  <c r="B837" i="1"/>
  <c r="E837" i="1"/>
  <c r="F837" i="1"/>
  <c r="I837" i="1"/>
  <c r="J837" i="1"/>
  <c r="O837" i="1"/>
  <c r="R837" i="1"/>
  <c r="AL837" i="1"/>
  <c r="AO837" i="1"/>
  <c r="A838" i="1"/>
  <c r="B838" i="1"/>
  <c r="E838" i="1"/>
  <c r="F838" i="1"/>
  <c r="I838" i="1"/>
  <c r="J838" i="1"/>
  <c r="O838" i="1"/>
  <c r="R838" i="1"/>
  <c r="AL838" i="1"/>
  <c r="AO838" i="1"/>
  <c r="A839" i="1"/>
  <c r="AN839" i="1" s="1"/>
  <c r="B839" i="1"/>
  <c r="E839" i="1"/>
  <c r="F839" i="1"/>
  <c r="I839" i="1"/>
  <c r="J839" i="1"/>
  <c r="R839" i="1"/>
  <c r="O839" i="1"/>
  <c r="AL839" i="1"/>
  <c r="AO839" i="1"/>
  <c r="A840" i="1"/>
  <c r="AN840" i="1" s="1"/>
  <c r="B840" i="1"/>
  <c r="E840" i="1"/>
  <c r="F840" i="1"/>
  <c r="I840" i="1"/>
  <c r="J840" i="1"/>
  <c r="O840" i="1"/>
  <c r="R840" i="1"/>
  <c r="AL840" i="1"/>
  <c r="AO840" i="1"/>
  <c r="A841" i="1"/>
  <c r="B841" i="1"/>
  <c r="E841" i="1"/>
  <c r="F841" i="1"/>
  <c r="I841" i="1"/>
  <c r="J841" i="1"/>
  <c r="O841" i="1"/>
  <c r="R841" i="1"/>
  <c r="AL841" i="1"/>
  <c r="AO841" i="1"/>
  <c r="A842" i="1"/>
  <c r="AN842" i="1" s="1"/>
  <c r="B842" i="1"/>
  <c r="E842" i="1"/>
  <c r="F842" i="1"/>
  <c r="I842" i="1"/>
  <c r="J842" i="1"/>
  <c r="R842" i="1"/>
  <c r="AL842" i="1"/>
  <c r="AO842" i="1"/>
  <c r="A843" i="1"/>
  <c r="B843" i="1"/>
  <c r="E843" i="1"/>
  <c r="F843" i="1"/>
  <c r="I843" i="1"/>
  <c r="J843" i="1"/>
  <c r="R843" i="1"/>
  <c r="AL843" i="1"/>
  <c r="AO843" i="1"/>
  <c r="A844" i="1"/>
  <c r="B844" i="1"/>
  <c r="E844" i="1"/>
  <c r="F844" i="1"/>
  <c r="I844" i="1"/>
  <c r="J844" i="1"/>
  <c r="O844" i="1"/>
  <c r="R844" i="1"/>
  <c r="AL844" i="1"/>
  <c r="AO844" i="1"/>
  <c r="A845" i="1"/>
  <c r="B845" i="1"/>
  <c r="E845" i="1"/>
  <c r="F845" i="1"/>
  <c r="I845" i="1"/>
  <c r="J845" i="1"/>
  <c r="O845" i="1"/>
  <c r="R845" i="1"/>
  <c r="AL845" i="1"/>
  <c r="AO845" i="1"/>
  <c r="A846" i="1"/>
  <c r="B846" i="1"/>
  <c r="E846" i="1"/>
  <c r="F846" i="1"/>
  <c r="I846" i="1"/>
  <c r="J846" i="1"/>
  <c r="R846" i="1"/>
  <c r="AL846" i="1"/>
  <c r="AO846" i="1"/>
  <c r="A847" i="1"/>
  <c r="B847" i="1"/>
  <c r="E847" i="1"/>
  <c r="F847" i="1"/>
  <c r="I847" i="1"/>
  <c r="J847" i="1"/>
  <c r="R847" i="1"/>
  <c r="O847" i="1"/>
  <c r="AL847" i="1"/>
  <c r="AO847" i="1"/>
  <c r="A848" i="1"/>
  <c r="B848" i="1"/>
  <c r="X848" i="1" s="1"/>
  <c r="E848" i="1"/>
  <c r="F848" i="1"/>
  <c r="I848" i="1"/>
  <c r="J848" i="1"/>
  <c r="O848" i="1"/>
  <c r="R848" i="1"/>
  <c r="AL848" i="1"/>
  <c r="AO848" i="1"/>
  <c r="A849" i="1"/>
  <c r="B849" i="1"/>
  <c r="E849" i="1"/>
  <c r="F849" i="1"/>
  <c r="I849" i="1"/>
  <c r="J849" i="1"/>
  <c r="O849" i="1"/>
  <c r="R849" i="1"/>
  <c r="AL849" i="1"/>
  <c r="AO849" i="1"/>
  <c r="A850" i="1"/>
  <c r="B850" i="1"/>
  <c r="E850" i="1"/>
  <c r="F850" i="1"/>
  <c r="I850" i="1"/>
  <c r="J850" i="1"/>
  <c r="R850" i="1"/>
  <c r="AL850" i="1"/>
  <c r="AO850" i="1"/>
  <c r="A851" i="1"/>
  <c r="B851" i="1"/>
  <c r="E851" i="1"/>
  <c r="F851" i="1"/>
  <c r="I851" i="1"/>
  <c r="J851" i="1"/>
  <c r="R851" i="1"/>
  <c r="AL851" i="1"/>
  <c r="AO851" i="1"/>
  <c r="A852" i="1"/>
  <c r="B852" i="1"/>
  <c r="E852" i="1"/>
  <c r="F852" i="1"/>
  <c r="I852" i="1"/>
  <c r="J852" i="1"/>
  <c r="O852" i="1"/>
  <c r="R852" i="1"/>
  <c r="AL852" i="1"/>
  <c r="AO852" i="1"/>
  <c r="A853" i="1"/>
  <c r="B853" i="1"/>
  <c r="E853" i="1"/>
  <c r="F853" i="1"/>
  <c r="I853" i="1"/>
  <c r="J853" i="1"/>
  <c r="O853" i="1"/>
  <c r="R853" i="1"/>
  <c r="AL853" i="1"/>
  <c r="AO853" i="1"/>
  <c r="AP868" i="1" l="1"/>
  <c r="AQ868" i="1" s="1"/>
  <c r="AP824" i="1"/>
  <c r="AQ824" i="1" s="1"/>
  <c r="AP880" i="1"/>
  <c r="AQ880" i="1" s="1"/>
  <c r="AP871" i="1"/>
  <c r="AQ871" i="1" s="1"/>
  <c r="AP840" i="1"/>
  <c r="AQ840" i="1" s="1"/>
  <c r="AP823" i="1"/>
  <c r="AQ823" i="1" s="1"/>
  <c r="AP835" i="1"/>
  <c r="AQ835" i="1" s="1"/>
  <c r="W828" i="1"/>
  <c r="AP828" i="1" s="1"/>
  <c r="AQ828" i="1" s="1"/>
  <c r="AP820" i="1"/>
  <c r="AQ820" i="1" s="1"/>
  <c r="AP864" i="1"/>
  <c r="AQ864" i="1" s="1"/>
  <c r="AP875" i="1"/>
  <c r="AQ875" i="1" s="1"/>
  <c r="AP876" i="1"/>
  <c r="AQ876" i="1" s="1"/>
  <c r="AP866" i="1"/>
  <c r="AQ866" i="1" s="1"/>
  <c r="AP869" i="1"/>
  <c r="AQ869" i="1" s="1"/>
  <c r="AP831" i="1"/>
  <c r="AQ831" i="1" s="1"/>
  <c r="AP872" i="1"/>
  <c r="AQ872" i="1" s="1"/>
  <c r="AP839" i="1"/>
  <c r="AQ839" i="1" s="1"/>
  <c r="AP883" i="1"/>
  <c r="AQ883" i="1" s="1"/>
  <c r="AP832" i="1"/>
  <c r="AQ832" i="1" s="1"/>
  <c r="AP826" i="1"/>
  <c r="AQ826" i="1" s="1"/>
  <c r="AP873" i="1"/>
  <c r="AQ873" i="1" s="1"/>
  <c r="AP842" i="1"/>
  <c r="AQ842" i="1" s="1"/>
  <c r="AP834" i="1"/>
  <c r="AQ834" i="1" s="1"/>
  <c r="W833" i="1"/>
  <c r="AP833" i="1" s="1"/>
  <c r="AQ833" i="1" s="1"/>
  <c r="W827" i="1"/>
  <c r="AP827" i="1" s="1"/>
  <c r="AQ827" i="1" s="1"/>
  <c r="AP863" i="1"/>
  <c r="AQ863" i="1" s="1"/>
  <c r="V880" i="1"/>
  <c r="V866" i="1"/>
  <c r="V878" i="1"/>
  <c r="V868" i="1"/>
  <c r="V882" i="1"/>
  <c r="S867" i="1"/>
  <c r="AS878" i="1"/>
  <c r="AS849" i="1"/>
  <c r="AS850" i="1"/>
  <c r="AS829" i="1"/>
  <c r="AS837" i="1"/>
  <c r="AS853" i="1"/>
  <c r="AS825" i="1"/>
  <c r="AS879" i="1"/>
  <c r="AS874" i="1"/>
  <c r="AS845" i="1"/>
  <c r="AS841" i="1"/>
  <c r="AS863" i="1"/>
  <c r="C848" i="1"/>
  <c r="C840" i="1"/>
  <c r="S824" i="1"/>
  <c r="S879" i="1"/>
  <c r="C851" i="1"/>
  <c r="C875" i="1"/>
  <c r="S868" i="1"/>
  <c r="C871" i="1"/>
  <c r="C869" i="1"/>
  <c r="S820" i="1"/>
  <c r="C868" i="1"/>
  <c r="C881" i="1"/>
  <c r="C879" i="1"/>
  <c r="C836" i="1"/>
  <c r="S875" i="1"/>
  <c r="C863" i="1"/>
  <c r="C844" i="1"/>
  <c r="C873" i="1"/>
  <c r="C883" i="1"/>
  <c r="C876" i="1"/>
  <c r="C867" i="1"/>
  <c r="S883" i="1"/>
  <c r="C872" i="1"/>
  <c r="C877" i="1"/>
  <c r="AN877" i="1"/>
  <c r="C824" i="1"/>
  <c r="C865" i="1"/>
  <c r="AS883" i="1"/>
  <c r="P872" i="1"/>
  <c r="S872" i="1" s="1"/>
  <c r="AN836" i="1"/>
  <c r="O872" i="1"/>
  <c r="AS871" i="1"/>
  <c r="P852" i="1"/>
  <c r="S852" i="1" s="1"/>
  <c r="O850" i="1"/>
  <c r="V824" i="1"/>
  <c r="AS818" i="1"/>
  <c r="AN878" i="1"/>
  <c r="AS870" i="1"/>
  <c r="AN867" i="1"/>
  <c r="O863" i="1"/>
  <c r="S863" i="1"/>
  <c r="AS875" i="1"/>
  <c r="S880" i="1"/>
  <c r="AN822" i="1"/>
  <c r="P821" i="1"/>
  <c r="S821" i="1" s="1"/>
  <c r="AN881" i="1"/>
  <c r="AN848" i="1"/>
  <c r="W848" i="1" s="1"/>
  <c r="AN851" i="1"/>
  <c r="AN846" i="1"/>
  <c r="P845" i="1"/>
  <c r="S845" i="1" s="1"/>
  <c r="AN843" i="1"/>
  <c r="O827" i="1"/>
  <c r="AS882" i="1"/>
  <c r="V870" i="1"/>
  <c r="P851" i="1"/>
  <c r="S851" i="1" s="1"/>
  <c r="P835" i="1"/>
  <c r="S835" i="1" s="1"/>
  <c r="AS833" i="1"/>
  <c r="S878" i="1"/>
  <c r="C849" i="1"/>
  <c r="C837" i="1"/>
  <c r="C818" i="1"/>
  <c r="C870" i="1"/>
  <c r="S870" i="1"/>
  <c r="S869" i="1"/>
  <c r="P849" i="1"/>
  <c r="S849" i="1" s="1"/>
  <c r="AS838" i="1"/>
  <c r="P837" i="1"/>
  <c r="S837" i="1" s="1"/>
  <c r="P828" i="1"/>
  <c r="AS826" i="1"/>
  <c r="AN819" i="1"/>
  <c r="W819" i="1" s="1"/>
  <c r="P876" i="1"/>
  <c r="S876" i="1" s="1"/>
  <c r="R874" i="1"/>
  <c r="AS867" i="1"/>
  <c r="AS866" i="1"/>
  <c r="S866" i="1"/>
  <c r="C882" i="1"/>
  <c r="AS834" i="1"/>
  <c r="S882" i="1"/>
  <c r="AN829" i="1"/>
  <c r="C874" i="1"/>
  <c r="C864" i="1"/>
  <c r="AS846" i="1"/>
  <c r="AS822" i="1"/>
  <c r="AN865" i="1"/>
  <c r="O819" i="1"/>
  <c r="P874" i="1"/>
  <c r="AS842" i="1"/>
  <c r="P850" i="1"/>
  <c r="S850" i="1" s="1"/>
  <c r="AN847" i="1"/>
  <c r="AS830" i="1"/>
  <c r="P829" i="1"/>
  <c r="P823" i="1"/>
  <c r="C820" i="1"/>
  <c r="AN818" i="1"/>
  <c r="C880" i="1"/>
  <c r="AN879" i="1"/>
  <c r="P864" i="1"/>
  <c r="S864" i="1" s="1"/>
  <c r="S871" i="1"/>
  <c r="AN882" i="1"/>
  <c r="AN874" i="1"/>
  <c r="AN870" i="1"/>
  <c r="P881" i="1"/>
  <c r="S881" i="1" s="1"/>
  <c r="P877" i="1"/>
  <c r="S877" i="1" s="1"/>
  <c r="P873" i="1"/>
  <c r="S873" i="1" s="1"/>
  <c r="P865" i="1"/>
  <c r="S865" i="1" s="1"/>
  <c r="AS880" i="1"/>
  <c r="C878" i="1"/>
  <c r="AS876" i="1"/>
  <c r="AS872" i="1"/>
  <c r="O869" i="1"/>
  <c r="V869" i="1" s="1"/>
  <c r="AS868" i="1"/>
  <c r="C866" i="1"/>
  <c r="AS864" i="1"/>
  <c r="V883" i="1"/>
  <c r="V879" i="1"/>
  <c r="V871" i="1"/>
  <c r="V867" i="1"/>
  <c r="AS873" i="1"/>
  <c r="AS869" i="1"/>
  <c r="AS865" i="1"/>
  <c r="AS881" i="1"/>
  <c r="AS877" i="1"/>
  <c r="C838" i="1"/>
  <c r="AS821" i="1"/>
  <c r="C821" i="1"/>
  <c r="C845" i="1"/>
  <c r="AN845" i="1"/>
  <c r="AN838" i="1"/>
  <c r="W838" i="1" s="1"/>
  <c r="C822" i="1"/>
  <c r="C833" i="1"/>
  <c r="C841" i="1"/>
  <c r="C826" i="1"/>
  <c r="C825" i="1"/>
  <c r="C842" i="1"/>
  <c r="C832" i="1"/>
  <c r="P831" i="1"/>
  <c r="S831" i="1" s="1"/>
  <c r="C819" i="1"/>
  <c r="C830" i="1"/>
  <c r="C853" i="1"/>
  <c r="P853" i="1"/>
  <c r="S853" i="1" s="1"/>
  <c r="P841" i="1"/>
  <c r="S841" i="1" s="1"/>
  <c r="AN825" i="1"/>
  <c r="P825" i="1"/>
  <c r="C846" i="1"/>
  <c r="AN837" i="1"/>
  <c r="C834" i="1"/>
  <c r="C829" i="1"/>
  <c r="AN821" i="1"/>
  <c r="C852" i="1"/>
  <c r="AN844" i="1"/>
  <c r="O831" i="1"/>
  <c r="AN853" i="1"/>
  <c r="O843" i="1"/>
  <c r="AN841" i="1"/>
  <c r="AN830" i="1"/>
  <c r="P827" i="1"/>
  <c r="S827" i="1" s="1"/>
  <c r="P819" i="1"/>
  <c r="S819" i="1" s="1"/>
  <c r="AS848" i="1"/>
  <c r="AS844" i="1"/>
  <c r="AS840" i="1"/>
  <c r="C823" i="1"/>
  <c r="P818" i="1"/>
  <c r="S818" i="1" s="1"/>
  <c r="AS835" i="1"/>
  <c r="P846" i="1"/>
  <c r="S846" i="1" s="1"/>
  <c r="O851" i="1"/>
  <c r="C847" i="1"/>
  <c r="C843" i="1"/>
  <c r="C839" i="1"/>
  <c r="AS824" i="1"/>
  <c r="AS823" i="1"/>
  <c r="O836" i="1"/>
  <c r="P836" i="1"/>
  <c r="S836" i="1" s="1"/>
  <c r="P848" i="1"/>
  <c r="S848" i="1" s="1"/>
  <c r="AS847" i="1"/>
  <c r="P844" i="1"/>
  <c r="S844" i="1" s="1"/>
  <c r="AS843" i="1"/>
  <c r="P840" i="1"/>
  <c r="S840" i="1" s="1"/>
  <c r="AS839" i="1"/>
  <c r="AS832" i="1"/>
  <c r="P826" i="1"/>
  <c r="AS828" i="1"/>
  <c r="P830" i="1"/>
  <c r="S830" i="1" s="1"/>
  <c r="AS851" i="1"/>
  <c r="P847" i="1"/>
  <c r="S847" i="1" s="1"/>
  <c r="P843" i="1"/>
  <c r="P839" i="1"/>
  <c r="V839" i="1" s="1"/>
  <c r="P834" i="1"/>
  <c r="S834" i="1" s="1"/>
  <c r="C831" i="1"/>
  <c r="AN852" i="1"/>
  <c r="AS836" i="1"/>
  <c r="AS820" i="1"/>
  <c r="AS819" i="1"/>
  <c r="AN849" i="1"/>
  <c r="AS827" i="1"/>
  <c r="P842" i="1"/>
  <c r="S842" i="1" s="1"/>
  <c r="C850" i="1"/>
  <c r="AN850" i="1"/>
  <c r="AS831" i="1"/>
  <c r="S833" i="1"/>
  <c r="P832" i="1"/>
  <c r="S832" i="1" s="1"/>
  <c r="O832" i="1"/>
  <c r="P822" i="1"/>
  <c r="S822" i="1" s="1"/>
  <c r="AS852" i="1"/>
  <c r="O846" i="1"/>
  <c r="O842" i="1"/>
  <c r="P838" i="1"/>
  <c r="S838" i="1" s="1"/>
  <c r="C835" i="1"/>
  <c r="O830" i="1"/>
  <c r="C828" i="1"/>
  <c r="C827" i="1"/>
  <c r="V852" i="1" l="1"/>
  <c r="V850" i="1"/>
  <c r="V830" i="1"/>
  <c r="V818" i="1"/>
  <c r="V821" i="1"/>
  <c r="V843" i="1"/>
  <c r="V863" i="1"/>
  <c r="V849" i="1"/>
  <c r="V872" i="1"/>
  <c r="V851" i="1"/>
  <c r="V846" i="1"/>
  <c r="V874" i="1"/>
  <c r="V837" i="1"/>
  <c r="V819" i="1"/>
  <c r="V845" i="1"/>
  <c r="V881" i="1"/>
  <c r="V877" i="1"/>
  <c r="V873" i="1"/>
  <c r="V848" i="1"/>
  <c r="V840" i="1"/>
  <c r="V841" i="1"/>
  <c r="V853" i="1"/>
  <c r="V827" i="1"/>
  <c r="V842" i="1"/>
  <c r="V864" i="1"/>
  <c r="V865" i="1"/>
  <c r="AP849" i="1"/>
  <c r="AQ849" i="1" s="1"/>
  <c r="AP818" i="1"/>
  <c r="AQ818" i="1" s="1"/>
  <c r="AP853" i="1"/>
  <c r="AQ853" i="1" s="1"/>
  <c r="AP848" i="1"/>
  <c r="AQ848" i="1" s="1"/>
  <c r="AP874" i="1"/>
  <c r="AQ874" i="1" s="1"/>
  <c r="AP821" i="1"/>
  <c r="AQ821" i="1" s="1"/>
  <c r="AP847" i="1"/>
  <c r="AQ847" i="1" s="1"/>
  <c r="AP838" i="1"/>
  <c r="AQ838" i="1" s="1"/>
  <c r="AP837" i="1"/>
  <c r="AQ837" i="1" s="1"/>
  <c r="AP845" i="1"/>
  <c r="AQ845" i="1" s="1"/>
  <c r="AP870" i="1"/>
  <c r="AQ870" i="1" s="1"/>
  <c r="AP867" i="1"/>
  <c r="AQ867" i="1" s="1"/>
  <c r="AP852" i="1"/>
  <c r="AQ852" i="1" s="1"/>
  <c r="AP836" i="1"/>
  <c r="AQ836" i="1" s="1"/>
  <c r="AP882" i="1"/>
  <c r="AQ882" i="1" s="1"/>
  <c r="AP878" i="1"/>
  <c r="AQ878" i="1" s="1"/>
  <c r="AP822" i="1"/>
  <c r="AQ822" i="1" s="1"/>
  <c r="AP879" i="1"/>
  <c r="AQ879" i="1" s="1"/>
  <c r="AP829" i="1"/>
  <c r="AQ829" i="1" s="1"/>
  <c r="AP843" i="1"/>
  <c r="AQ843" i="1" s="1"/>
  <c r="AP865" i="1"/>
  <c r="AQ865" i="1" s="1"/>
  <c r="AP844" i="1"/>
  <c r="AQ844" i="1" s="1"/>
  <c r="AP881" i="1"/>
  <c r="AQ881" i="1" s="1"/>
  <c r="AP850" i="1"/>
  <c r="AQ850" i="1" s="1"/>
  <c r="AP830" i="1"/>
  <c r="AQ830" i="1" s="1"/>
  <c r="AP819" i="1"/>
  <c r="AQ819" i="1" s="1"/>
  <c r="AP846" i="1"/>
  <c r="AQ846" i="1" s="1"/>
  <c r="AP841" i="1"/>
  <c r="AQ841" i="1" s="1"/>
  <c r="AP851" i="1"/>
  <c r="AQ851" i="1" s="1"/>
  <c r="AP825" i="1"/>
  <c r="AQ825" i="1" s="1"/>
  <c r="AP877" i="1"/>
  <c r="AQ877" i="1" s="1"/>
  <c r="S874" i="1"/>
  <c r="S823" i="1"/>
  <c r="S839" i="1"/>
  <c r="S829" i="1"/>
  <c r="S828" i="1"/>
  <c r="S826" i="1"/>
  <c r="S825" i="1"/>
  <c r="S843" i="1"/>
  <c r="AE10" i="1" l="1"/>
  <c r="AE15" i="1"/>
  <c r="AE19" i="1"/>
  <c r="AE20" i="1"/>
  <c r="AE21" i="1"/>
  <c r="AE22" i="1"/>
  <c r="AE34" i="1"/>
  <c r="AE36" i="1"/>
  <c r="AE38" i="1"/>
  <c r="AE39" i="1"/>
  <c r="AE41" i="1"/>
  <c r="AE42" i="1"/>
  <c r="AE43" i="1"/>
  <c r="AE44" i="1"/>
  <c r="AE45" i="1"/>
  <c r="AE46" i="1"/>
  <c r="AE47" i="1"/>
  <c r="AE48" i="1"/>
  <c r="AE49" i="1"/>
  <c r="AE50" i="1"/>
  <c r="AE54" i="1"/>
  <c r="AE55" i="1"/>
  <c r="AE56" i="1"/>
  <c r="AE61" i="1"/>
  <c r="AE63" i="1"/>
  <c r="AE64" i="1"/>
  <c r="AE65" i="1"/>
  <c r="AE66" i="1"/>
  <c r="AE67" i="1"/>
  <c r="AE68" i="1"/>
  <c r="AE85" i="1"/>
  <c r="AE86" i="1"/>
  <c r="AE87" i="1"/>
  <c r="AE88" i="1"/>
  <c r="AE89" i="1"/>
  <c r="AE95" i="1"/>
  <c r="AE96" i="1"/>
  <c r="AE97" i="1"/>
  <c r="AE98" i="1"/>
  <c r="AE99" i="1"/>
  <c r="AE101" i="1"/>
  <c r="AE103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5" i="1"/>
  <c r="AE135" i="1"/>
  <c r="AE142" i="1"/>
  <c r="AE144" i="1"/>
  <c r="AE145" i="1"/>
  <c r="AE146" i="1"/>
  <c r="AE148" i="1"/>
  <c r="AE149" i="1"/>
  <c r="AE151" i="1"/>
  <c r="AE153" i="1"/>
  <c r="AE163" i="1"/>
  <c r="AE164" i="1"/>
  <c r="AE166" i="1"/>
  <c r="AE169" i="1"/>
  <c r="AE170" i="1"/>
  <c r="AE176" i="1"/>
  <c r="AE180" i="1"/>
  <c r="AE183" i="1"/>
  <c r="AE184" i="1"/>
  <c r="AE196" i="1"/>
  <c r="AE197" i="1"/>
  <c r="AE198" i="1"/>
  <c r="AE199" i="1"/>
  <c r="AE201" i="1"/>
  <c r="AE204" i="1"/>
  <c r="AE205" i="1"/>
  <c r="AE206" i="1"/>
  <c r="AE208" i="1"/>
  <c r="AE209" i="1"/>
  <c r="AE210" i="1"/>
  <c r="AE214" i="1"/>
  <c r="AE216" i="1"/>
  <c r="AE217" i="1"/>
  <c r="AE227" i="1"/>
  <c r="AE241" i="1"/>
  <c r="AE255" i="1"/>
  <c r="AE257" i="1"/>
  <c r="AE259" i="1"/>
  <c r="AE266" i="1"/>
  <c r="AE270" i="1"/>
  <c r="AE272" i="1"/>
  <c r="AE280" i="1"/>
  <c r="AE281" i="1"/>
  <c r="AE282" i="1"/>
  <c r="AE283" i="1"/>
  <c r="AE284" i="1"/>
  <c r="AE285" i="1"/>
  <c r="AE295" i="1"/>
  <c r="AE300" i="1"/>
  <c r="AE318" i="1"/>
  <c r="AE320" i="1"/>
  <c r="AE321" i="1"/>
  <c r="AE325" i="1"/>
  <c r="AE333" i="1"/>
  <c r="AE342" i="1"/>
  <c r="AE343" i="1"/>
  <c r="AE348" i="1"/>
  <c r="AE354" i="1"/>
  <c r="AE356" i="1"/>
  <c r="AE366" i="1"/>
  <c r="AE375" i="1"/>
  <c r="AE381" i="1"/>
  <c r="AE383" i="1"/>
  <c r="AE384" i="1"/>
  <c r="AE386" i="1"/>
  <c r="AE387" i="1"/>
  <c r="AE392" i="1"/>
  <c r="AE393" i="1"/>
  <c r="AE394" i="1"/>
  <c r="AE396" i="1"/>
  <c r="AE399" i="1"/>
  <c r="AE400" i="1"/>
  <c r="AE401" i="1"/>
  <c r="AE402" i="1"/>
  <c r="AE411" i="1"/>
  <c r="AE412" i="1"/>
  <c r="AE413" i="1"/>
  <c r="AE418" i="1"/>
  <c r="AE420" i="1"/>
  <c r="AE422" i="1"/>
  <c r="AE423" i="1"/>
  <c r="AE425" i="1"/>
  <c r="AE429" i="1"/>
  <c r="AE430" i="1"/>
  <c r="AE445" i="1"/>
  <c r="AE446" i="1"/>
  <c r="AE448" i="1"/>
  <c r="AE456" i="1"/>
  <c r="AE469" i="1"/>
  <c r="AE475" i="1"/>
  <c r="AE478" i="1"/>
  <c r="AE479" i="1"/>
  <c r="AE481" i="1"/>
  <c r="AE482" i="1"/>
  <c r="AE529" i="1"/>
  <c r="AE534" i="1"/>
  <c r="AE537" i="1"/>
  <c r="AE542" i="1"/>
  <c r="AE544" i="1"/>
  <c r="AE546" i="1"/>
  <c r="AE550" i="1"/>
  <c r="AE552" i="1"/>
  <c r="AE554" i="1"/>
  <c r="AE558" i="1"/>
  <c r="AE559" i="1"/>
  <c r="AE560" i="1"/>
  <c r="AE563" i="1"/>
  <c r="AE564" i="1"/>
  <c r="AE565" i="1"/>
  <c r="AE568" i="1"/>
  <c r="AE570" i="1"/>
  <c r="AE574" i="1"/>
  <c r="AE575" i="1"/>
  <c r="AE582" i="1"/>
  <c r="AE583" i="1"/>
  <c r="AE585" i="1"/>
  <c r="AE586" i="1"/>
  <c r="AE588" i="1"/>
  <c r="AE590" i="1"/>
  <c r="AE594" i="1"/>
  <c r="AE595" i="1"/>
  <c r="AE596" i="1"/>
  <c r="AE598" i="1"/>
  <c r="AE600" i="1"/>
  <c r="AE602" i="1"/>
  <c r="AE607" i="1"/>
  <c r="AE611" i="1"/>
  <c r="AE612" i="1"/>
  <c r="AE615" i="1"/>
  <c r="AE616" i="1"/>
  <c r="AE620" i="1"/>
  <c r="AE621" i="1"/>
  <c r="AE622" i="1"/>
  <c r="AE624" i="1"/>
  <c r="AE625" i="1"/>
  <c r="AE627" i="1"/>
  <c r="AE629" i="1"/>
  <c r="AE632" i="1"/>
  <c r="AE634" i="1"/>
  <c r="AE636" i="1"/>
  <c r="AE639" i="1"/>
  <c r="AE641" i="1"/>
  <c r="AE642" i="1"/>
  <c r="AE643" i="1"/>
  <c r="AE644" i="1"/>
  <c r="AE647" i="1"/>
  <c r="AE648" i="1"/>
  <c r="AE649" i="1"/>
  <c r="AE650" i="1"/>
  <c r="AE651" i="1"/>
  <c r="AE657" i="1"/>
  <c r="AE660" i="1"/>
  <c r="AE663" i="1"/>
  <c r="AE666" i="1"/>
  <c r="AE677" i="1"/>
  <c r="AE687" i="1"/>
  <c r="AE695" i="1"/>
  <c r="AE697" i="1"/>
  <c r="AE702" i="1"/>
  <c r="AE706" i="1"/>
  <c r="AE707" i="1"/>
  <c r="AE721" i="1"/>
  <c r="AE736" i="1"/>
  <c r="AE758" i="1"/>
  <c r="AE811" i="1"/>
  <c r="AE884" i="1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V133" i="5"/>
  <c r="AL133" i="5"/>
  <c r="AV132" i="5"/>
  <c r="AL132" i="5"/>
  <c r="AV131" i="5"/>
  <c r="AL131" i="5"/>
  <c r="AV130" i="5"/>
  <c r="AL130" i="5"/>
  <c r="AV129" i="5"/>
  <c r="AL129" i="5"/>
  <c r="AV128" i="5"/>
  <c r="AL128" i="5"/>
  <c r="AV127" i="5"/>
  <c r="AL127" i="5"/>
  <c r="AV126" i="5"/>
  <c r="AL126" i="5"/>
  <c r="AV125" i="5"/>
  <c r="AL125" i="5"/>
  <c r="AV124" i="5"/>
  <c r="AL124" i="5"/>
  <c r="AV123" i="5"/>
  <c r="AL123" i="5"/>
  <c r="AV122" i="5"/>
  <c r="AL122" i="5"/>
  <c r="AV121" i="5"/>
  <c r="AL121" i="5"/>
  <c r="AV120" i="5"/>
  <c r="AL120" i="5"/>
  <c r="AV119" i="5"/>
  <c r="AL119" i="5"/>
  <c r="AV118" i="5"/>
  <c r="AL118" i="5"/>
  <c r="AV117" i="5"/>
  <c r="AL117" i="5"/>
  <c r="AV116" i="5"/>
  <c r="AL116" i="5"/>
  <c r="AV115" i="5"/>
  <c r="AL115" i="5"/>
  <c r="AV114" i="5"/>
  <c r="AL114" i="5"/>
  <c r="AV113" i="5"/>
  <c r="AL113" i="5"/>
  <c r="AV112" i="5"/>
  <c r="AL112" i="5"/>
  <c r="AV111" i="5"/>
  <c r="AL111" i="5"/>
  <c r="AV110" i="5"/>
  <c r="AL110" i="5"/>
  <c r="AV109" i="5"/>
  <c r="AL109" i="5"/>
  <c r="AV108" i="5"/>
  <c r="AL108" i="5"/>
  <c r="AV107" i="5"/>
  <c r="AL107" i="5"/>
  <c r="AV106" i="5"/>
  <c r="AL106" i="5"/>
  <c r="AV105" i="5"/>
  <c r="AL105" i="5"/>
  <c r="AV104" i="5"/>
  <c r="AL104" i="5"/>
  <c r="AV103" i="5"/>
  <c r="AL103" i="5"/>
  <c r="AV102" i="5"/>
  <c r="AL102" i="5"/>
  <c r="AV101" i="5"/>
  <c r="AL101" i="5"/>
  <c r="AV100" i="5"/>
  <c r="AL100" i="5"/>
  <c r="AV99" i="5"/>
  <c r="AL99" i="5"/>
  <c r="AV98" i="5"/>
  <c r="AL98" i="5"/>
  <c r="AV97" i="5"/>
  <c r="AL97" i="5"/>
  <c r="AV96" i="5"/>
  <c r="AL96" i="5"/>
  <c r="AV95" i="5"/>
  <c r="AL95" i="5"/>
  <c r="AV94" i="5"/>
  <c r="AL94" i="5"/>
  <c r="AV93" i="5"/>
  <c r="AL93" i="5"/>
  <c r="AV92" i="5"/>
  <c r="AL92" i="5"/>
  <c r="AV91" i="5"/>
  <c r="AL91" i="5"/>
  <c r="AV90" i="5"/>
  <c r="AL90" i="5"/>
  <c r="AV89" i="5"/>
  <c r="AL89" i="5"/>
  <c r="AV88" i="5"/>
  <c r="AL88" i="5"/>
  <c r="AV87" i="5"/>
  <c r="AL87" i="5"/>
  <c r="AV86" i="5"/>
  <c r="AL86" i="5"/>
  <c r="AV85" i="5"/>
  <c r="AL85" i="5"/>
  <c r="AV84" i="5"/>
  <c r="AL84" i="5"/>
  <c r="AV83" i="5"/>
  <c r="AL83" i="5"/>
  <c r="AV82" i="5"/>
  <c r="AL82" i="5"/>
  <c r="AV81" i="5"/>
  <c r="AL81" i="5"/>
  <c r="AV80" i="5"/>
  <c r="AL80" i="5"/>
  <c r="AV79" i="5"/>
  <c r="AL79" i="5"/>
  <c r="AV78" i="5"/>
  <c r="AL78" i="5"/>
  <c r="AV77" i="5"/>
  <c r="AL77" i="5"/>
  <c r="AV76" i="5"/>
  <c r="AL76" i="5"/>
  <c r="AV75" i="5"/>
  <c r="AL75" i="5"/>
  <c r="AV74" i="5"/>
  <c r="AL74" i="5"/>
  <c r="AV73" i="5"/>
  <c r="AL73" i="5"/>
  <c r="AV72" i="5"/>
  <c r="AL72" i="5"/>
  <c r="AV71" i="5"/>
  <c r="AL71" i="5"/>
  <c r="AV70" i="5"/>
  <c r="AL70" i="5"/>
  <c r="AV69" i="5"/>
  <c r="AL69" i="5"/>
  <c r="AV68" i="5"/>
  <c r="AL68" i="5"/>
  <c r="AV67" i="5"/>
  <c r="AL67" i="5"/>
  <c r="AV66" i="5"/>
  <c r="AL66" i="5"/>
  <c r="AV65" i="5"/>
  <c r="AL65" i="5"/>
  <c r="AV64" i="5"/>
  <c r="AL64" i="5"/>
  <c r="AV63" i="5"/>
  <c r="AL63" i="5"/>
  <c r="AV62" i="5"/>
  <c r="AL62" i="5"/>
  <c r="AV61" i="5"/>
  <c r="AL61" i="5"/>
  <c r="AV60" i="5"/>
  <c r="AL60" i="5"/>
  <c r="AV59" i="5"/>
  <c r="AL59" i="5"/>
  <c r="AV58" i="5"/>
  <c r="AL58" i="5"/>
  <c r="AV57" i="5"/>
  <c r="AL57" i="5"/>
  <c r="AV56" i="5"/>
  <c r="AL56" i="5"/>
  <c r="AV55" i="5"/>
  <c r="AL55" i="5"/>
  <c r="AV54" i="5"/>
  <c r="AL54" i="5"/>
  <c r="AV53" i="5"/>
  <c r="AL53" i="5"/>
  <c r="AV52" i="5"/>
  <c r="AL52" i="5"/>
  <c r="AV51" i="5"/>
  <c r="AL51" i="5"/>
  <c r="AV50" i="5"/>
  <c r="AL50" i="5"/>
  <c r="AV49" i="5"/>
  <c r="AL49" i="5"/>
  <c r="AV48" i="5"/>
  <c r="AL48" i="5"/>
  <c r="AV47" i="5"/>
  <c r="AL47" i="5"/>
  <c r="AV46" i="5"/>
  <c r="AL46" i="5"/>
  <c r="AV45" i="5"/>
  <c r="AL45" i="5"/>
  <c r="AV44" i="5"/>
  <c r="AL44" i="5"/>
  <c r="AV43" i="5"/>
  <c r="AL43" i="5"/>
  <c r="AV42" i="5"/>
  <c r="AL42" i="5"/>
  <c r="AV41" i="5"/>
  <c r="AL41" i="5"/>
  <c r="AV40" i="5"/>
  <c r="AL40" i="5"/>
  <c r="AV39" i="5"/>
  <c r="AL39" i="5"/>
  <c r="AV38" i="5"/>
  <c r="AL38" i="5"/>
  <c r="AV37" i="5"/>
  <c r="AL37" i="5"/>
  <c r="AV36" i="5"/>
  <c r="AL36" i="5"/>
  <c r="AV35" i="5"/>
  <c r="AL35" i="5"/>
  <c r="AV34" i="5"/>
  <c r="AL34" i="5"/>
  <c r="AV33" i="5"/>
  <c r="AL33" i="5"/>
  <c r="AV32" i="5"/>
  <c r="AL32" i="5"/>
  <c r="AV31" i="5"/>
  <c r="AL31" i="5"/>
  <c r="AV30" i="5"/>
  <c r="AL30" i="5"/>
  <c r="AV29" i="5"/>
  <c r="AL29" i="5"/>
  <c r="AV28" i="5"/>
  <c r="AL28" i="5"/>
  <c r="AV27" i="5"/>
  <c r="AL27" i="5"/>
  <c r="AV26" i="5"/>
  <c r="AL26" i="5"/>
  <c r="AV25" i="5"/>
  <c r="AL25" i="5"/>
  <c r="AV24" i="5"/>
  <c r="AL24" i="5"/>
  <c r="AV23" i="5"/>
  <c r="AL23" i="5"/>
  <c r="AV22" i="5"/>
  <c r="AL22" i="5"/>
  <c r="AV21" i="5"/>
  <c r="AL21" i="5"/>
  <c r="AV20" i="5"/>
  <c r="AL20" i="5"/>
  <c r="AV19" i="5"/>
  <c r="AL19" i="5"/>
  <c r="AV18" i="5"/>
  <c r="AL18" i="5"/>
  <c r="AV17" i="5"/>
  <c r="AL17" i="5"/>
  <c r="AV16" i="5"/>
  <c r="AL16" i="5"/>
  <c r="AV15" i="5"/>
  <c r="AL15" i="5"/>
  <c r="AV14" i="5"/>
  <c r="AL14" i="5"/>
  <c r="AV13" i="5"/>
  <c r="AL13" i="5"/>
  <c r="AV12" i="5"/>
  <c r="AL12" i="5"/>
  <c r="AV11" i="5"/>
  <c r="AL11" i="5"/>
  <c r="AV10" i="5"/>
  <c r="AL10" i="5"/>
  <c r="AV9" i="5"/>
  <c r="AL9" i="5"/>
  <c r="AV8" i="5"/>
  <c r="AL8" i="5"/>
  <c r="AV7" i="5"/>
  <c r="AL7" i="5"/>
  <c r="AV6" i="5"/>
  <c r="AL6" i="5"/>
  <c r="AV5" i="5"/>
  <c r="AL5" i="5"/>
  <c r="AV4" i="5"/>
  <c r="AL4" i="5"/>
  <c r="AV3" i="5"/>
  <c r="AL3" i="5"/>
  <c r="V832" i="1"/>
  <c r="V825" i="1"/>
  <c r="AH2884" i="3"/>
  <c r="AH2883" i="3"/>
  <c r="AH2882" i="3"/>
  <c r="AH2881" i="3"/>
  <c r="AH2880" i="3"/>
  <c r="AH2879" i="3"/>
  <c r="AH2878" i="3"/>
  <c r="AH2877" i="3"/>
  <c r="AH2876" i="3"/>
  <c r="AH2875" i="3"/>
  <c r="AH2874" i="3"/>
  <c r="AH2873" i="3"/>
  <c r="AH2872" i="3"/>
  <c r="AH2871" i="3"/>
  <c r="AH2870" i="3"/>
  <c r="AH2869" i="3"/>
  <c r="AH2868" i="3"/>
  <c r="AH2867" i="3"/>
  <c r="AH2866" i="3"/>
  <c r="AH2865" i="3"/>
  <c r="AH2864" i="3"/>
  <c r="AH2863" i="3"/>
  <c r="AH2862" i="3"/>
  <c r="AH2861" i="3"/>
  <c r="AH2860" i="3"/>
  <c r="AH2859" i="3"/>
  <c r="AH2858" i="3"/>
  <c r="AH2857" i="3"/>
  <c r="AH2856" i="3"/>
  <c r="AH2855" i="3"/>
  <c r="AH2854" i="3"/>
  <c r="AH2853" i="3"/>
  <c r="AH2852" i="3"/>
  <c r="AH2851" i="3"/>
  <c r="AH2850" i="3"/>
  <c r="AH2849" i="3"/>
  <c r="AH2848" i="3"/>
  <c r="AH2847" i="3"/>
  <c r="AH2846" i="3"/>
  <c r="AH2845" i="3"/>
  <c r="AH2844" i="3"/>
  <c r="AH2843" i="3"/>
  <c r="AH2842" i="3"/>
  <c r="AH2841" i="3"/>
  <c r="AH2840" i="3"/>
  <c r="AH2839" i="3"/>
  <c r="AH2838" i="3"/>
  <c r="AH2837" i="3"/>
  <c r="AH2836" i="3"/>
  <c r="AH2835" i="3"/>
  <c r="AH2834" i="3"/>
  <c r="AH2833" i="3"/>
  <c r="AH2832" i="3"/>
  <c r="AH2831" i="3"/>
  <c r="AH2830" i="3"/>
  <c r="AH2829" i="3"/>
  <c r="AH2828" i="3"/>
  <c r="AH2827" i="3"/>
  <c r="AH2826" i="3"/>
  <c r="AH2825" i="3"/>
  <c r="AH2824" i="3"/>
  <c r="AH2823" i="3"/>
  <c r="AH2822" i="3"/>
  <c r="AH2821" i="3"/>
  <c r="AH2820" i="3"/>
  <c r="AH2819" i="3"/>
  <c r="AH2818" i="3"/>
  <c r="AH2817" i="3"/>
  <c r="AH2816" i="3"/>
  <c r="AH2815" i="3"/>
  <c r="AH2814" i="3"/>
  <c r="AH2813" i="3"/>
  <c r="AH2812" i="3"/>
  <c r="AH2811" i="3"/>
  <c r="AH2810" i="3"/>
  <c r="AH2809" i="3"/>
  <c r="AH2808" i="3"/>
  <c r="AH2807" i="3"/>
  <c r="AH2806" i="3"/>
  <c r="AH2805" i="3"/>
  <c r="AH2804" i="3"/>
  <c r="AH2803" i="3"/>
  <c r="AH2802" i="3"/>
  <c r="AH2801" i="3"/>
  <c r="AH2800" i="3"/>
  <c r="AH2799" i="3"/>
  <c r="AH2798" i="3"/>
  <c r="AH2797" i="3"/>
  <c r="AH2796" i="3"/>
  <c r="AH2795" i="3"/>
  <c r="AH2794" i="3"/>
  <c r="AH2793" i="3"/>
  <c r="AH2792" i="3"/>
  <c r="AH2791" i="3"/>
  <c r="AH2790" i="3"/>
  <c r="AH2789" i="3"/>
  <c r="AH2788" i="3"/>
  <c r="AH2787" i="3"/>
  <c r="AH2786" i="3"/>
  <c r="AH2785" i="3"/>
  <c r="AH2784" i="3"/>
  <c r="AH2783" i="3"/>
  <c r="AH2782" i="3"/>
  <c r="AH2781" i="3"/>
  <c r="AH2780" i="3"/>
  <c r="V823" i="1"/>
  <c r="AH2779" i="3"/>
  <c r="AH2778" i="3"/>
  <c r="AH2777" i="3"/>
  <c r="AH2776" i="3"/>
  <c r="AH2775" i="3"/>
  <c r="AH2774" i="3"/>
  <c r="AH2773" i="3"/>
  <c r="AH2772" i="3"/>
  <c r="AH2771" i="3"/>
  <c r="AH2770" i="3"/>
  <c r="AH2769" i="3"/>
  <c r="AH2768" i="3"/>
  <c r="AH2767" i="3"/>
  <c r="AH2766" i="3"/>
  <c r="AH2765" i="3"/>
  <c r="AH2764" i="3"/>
  <c r="AH2763" i="3"/>
  <c r="AH2762" i="3"/>
  <c r="AH2761" i="3"/>
  <c r="AH2760" i="3"/>
  <c r="AH2759" i="3"/>
  <c r="AH2758" i="3"/>
  <c r="AH2757" i="3"/>
  <c r="AH2756" i="3"/>
  <c r="AH2755" i="3"/>
  <c r="AH2754" i="3"/>
  <c r="AH2753" i="3"/>
  <c r="AH2752" i="3"/>
  <c r="AH2751" i="3"/>
  <c r="AH2750" i="3"/>
  <c r="AH2749" i="3"/>
  <c r="AH2748" i="3"/>
  <c r="AH2747" i="3"/>
  <c r="AH2746" i="3"/>
  <c r="AH2745" i="3"/>
  <c r="AH2744" i="3"/>
  <c r="AH2743" i="3"/>
  <c r="AH2742" i="3"/>
  <c r="AH2741" i="3"/>
  <c r="AH2740" i="3"/>
  <c r="AH2739" i="3"/>
  <c r="AH2738" i="3"/>
  <c r="AH2737" i="3"/>
  <c r="AH2736" i="3"/>
  <c r="AH2735" i="3"/>
  <c r="AH2734" i="3"/>
  <c r="AH2733" i="3"/>
  <c r="AH2732" i="3"/>
  <c r="AH2731" i="3"/>
  <c r="AH2730" i="3"/>
  <c r="AH2729" i="3"/>
  <c r="AH2728" i="3"/>
  <c r="AH2727" i="3"/>
  <c r="AH2726" i="3"/>
  <c r="AH2725" i="3"/>
  <c r="AH2724" i="3"/>
  <c r="AH2723" i="3"/>
  <c r="AH2722" i="3"/>
  <c r="AH2721" i="3"/>
  <c r="AH2720" i="3"/>
  <c r="AH2719" i="3"/>
  <c r="AH2718" i="3"/>
  <c r="AH2717" i="3"/>
  <c r="AH2716" i="3"/>
  <c r="AH2715" i="3"/>
  <c r="AH2714" i="3"/>
  <c r="AH2713" i="3"/>
  <c r="AH2712" i="3"/>
  <c r="AH2711" i="3"/>
  <c r="AH2710" i="3"/>
  <c r="AH2709" i="3"/>
  <c r="AH2708" i="3"/>
  <c r="AH2707" i="3"/>
  <c r="AH2706" i="3"/>
  <c r="AH2705" i="3"/>
  <c r="AH2704" i="3"/>
  <c r="AH2703" i="3"/>
  <c r="AH2702" i="3"/>
  <c r="AH2701" i="3"/>
  <c r="AH2700" i="3"/>
  <c r="AH2699" i="3"/>
  <c r="AH2698" i="3"/>
  <c r="AH2697" i="3"/>
  <c r="AH2696" i="3"/>
  <c r="AH2695" i="3"/>
  <c r="AH2694" i="3"/>
  <c r="AH2693" i="3"/>
  <c r="AH2692" i="3"/>
  <c r="AH2691" i="3"/>
  <c r="AH2690" i="3"/>
  <c r="AH2689" i="3"/>
  <c r="AH2688" i="3"/>
  <c r="AH2687" i="3"/>
  <c r="AH2686" i="3"/>
  <c r="AH2685" i="3"/>
  <c r="AH2684" i="3"/>
  <c r="AH2683" i="3"/>
  <c r="AH2682" i="3"/>
  <c r="AH2681" i="3"/>
  <c r="AH2680" i="3"/>
  <c r="AH2679" i="3"/>
  <c r="AH2678" i="3"/>
  <c r="AH2677" i="3"/>
  <c r="AH2676" i="3"/>
  <c r="AH2675" i="3"/>
  <c r="AH2674" i="3"/>
  <c r="AH2673" i="3"/>
  <c r="AH2672" i="3"/>
  <c r="AH2671" i="3"/>
  <c r="AH2670" i="3"/>
  <c r="AH2669" i="3"/>
  <c r="AH2668" i="3"/>
  <c r="AH2667" i="3"/>
  <c r="AH2666" i="3"/>
  <c r="AH2665" i="3"/>
  <c r="AH2664" i="3"/>
  <c r="AH2663" i="3"/>
  <c r="AH2662" i="3"/>
  <c r="AH2661" i="3"/>
  <c r="AH2660" i="3"/>
  <c r="AH2659" i="3"/>
  <c r="AH2658" i="3"/>
  <c r="AH2657" i="3"/>
  <c r="AH2656" i="3"/>
  <c r="AH2655" i="3"/>
  <c r="AH2654" i="3"/>
  <c r="AH2653" i="3"/>
  <c r="AH2652" i="3"/>
  <c r="AH2651" i="3"/>
  <c r="AH2650" i="3"/>
  <c r="AH2649" i="3"/>
  <c r="AH2648" i="3"/>
  <c r="AH2647" i="3"/>
  <c r="AH2646" i="3"/>
  <c r="AH2645" i="3"/>
  <c r="AH2644" i="3"/>
  <c r="AH2643" i="3"/>
  <c r="AH2642" i="3"/>
  <c r="AH2641" i="3"/>
  <c r="AH2640" i="3"/>
  <c r="AH2639" i="3"/>
  <c r="AH2638" i="3"/>
  <c r="AH2637" i="3"/>
  <c r="AH2636" i="3"/>
  <c r="AH2635" i="3"/>
  <c r="AH2634" i="3"/>
  <c r="AH2633" i="3"/>
  <c r="AH2632" i="3"/>
  <c r="AH2631" i="3"/>
  <c r="AH2630" i="3"/>
  <c r="AH2629" i="3"/>
  <c r="AH2628" i="3"/>
  <c r="AH2627" i="3"/>
  <c r="AH2626" i="3"/>
  <c r="AH2625" i="3"/>
  <c r="AH2624" i="3"/>
  <c r="AH2623" i="3"/>
  <c r="AH2622" i="3"/>
  <c r="AH2621" i="3"/>
  <c r="AH2620" i="3"/>
  <c r="AH2619" i="3"/>
  <c r="AH2618" i="3"/>
  <c r="AH2617" i="3"/>
  <c r="AH2616" i="3"/>
  <c r="AH2615" i="3"/>
  <c r="AH2614" i="3"/>
  <c r="AH2613" i="3"/>
  <c r="AH2612" i="3"/>
  <c r="AH2611" i="3"/>
  <c r="AH2610" i="3"/>
  <c r="AH2609" i="3"/>
  <c r="AH2608" i="3"/>
  <c r="AH2607" i="3"/>
  <c r="AH2606" i="3"/>
  <c r="AH2605" i="3"/>
  <c r="AH2604" i="3"/>
  <c r="AH2603" i="3"/>
  <c r="AH2602" i="3"/>
  <c r="AH2601" i="3"/>
  <c r="AH2600" i="3"/>
  <c r="AH2599" i="3"/>
  <c r="AH2598" i="3"/>
  <c r="AH2597" i="3"/>
  <c r="AH2596" i="3"/>
  <c r="AH2595" i="3"/>
  <c r="AH2594" i="3"/>
  <c r="AH2593" i="3"/>
  <c r="AH2592" i="3"/>
  <c r="AH2591" i="3"/>
  <c r="AH2590" i="3"/>
  <c r="AH2589" i="3"/>
  <c r="AH2588" i="3"/>
  <c r="AH2587" i="3"/>
  <c r="AH2586" i="3"/>
  <c r="AH2585" i="3"/>
  <c r="AH2584" i="3"/>
  <c r="AH2583" i="3"/>
  <c r="AH2582" i="3"/>
  <c r="AH2581" i="3"/>
  <c r="AH2580" i="3"/>
  <c r="AH2579" i="3"/>
  <c r="AH2578" i="3"/>
  <c r="AH2577" i="3"/>
  <c r="AH2576" i="3"/>
  <c r="AH2575" i="3"/>
  <c r="AH2574" i="3"/>
  <c r="AH2573" i="3"/>
  <c r="AH2572" i="3"/>
  <c r="AH2571" i="3"/>
  <c r="AH2570" i="3"/>
  <c r="AH2569" i="3"/>
  <c r="AH2568" i="3"/>
  <c r="AH2567" i="3"/>
  <c r="AH2566" i="3"/>
  <c r="AH2565" i="3"/>
  <c r="AH2564" i="3"/>
  <c r="AH2563" i="3"/>
  <c r="AH2562" i="3"/>
  <c r="AH2561" i="3"/>
  <c r="AH2560" i="3"/>
  <c r="AH2559" i="3"/>
  <c r="AH2558" i="3"/>
  <c r="AH2557" i="3"/>
  <c r="AH2556" i="3"/>
  <c r="AH2555" i="3"/>
  <c r="AH2554" i="3"/>
  <c r="AH2553" i="3"/>
  <c r="AH2552" i="3"/>
  <c r="AH2551" i="3"/>
  <c r="AH2550" i="3"/>
  <c r="AH2549" i="3"/>
  <c r="AH2548" i="3"/>
  <c r="AH2547" i="3"/>
  <c r="AH2546" i="3"/>
  <c r="AH2545" i="3"/>
  <c r="AH2544" i="3"/>
  <c r="AH2543" i="3"/>
  <c r="AH2542" i="3"/>
  <c r="AH2541" i="3"/>
  <c r="AH2540" i="3"/>
  <c r="AH2539" i="3"/>
  <c r="AH2538" i="3"/>
  <c r="AH2537" i="3"/>
  <c r="AH2536" i="3"/>
  <c r="AH2535" i="3"/>
  <c r="AH2534" i="3"/>
  <c r="AH2533" i="3"/>
  <c r="AH2532" i="3"/>
  <c r="AH2531" i="3"/>
  <c r="AH2530" i="3"/>
  <c r="AH2529" i="3"/>
  <c r="AH2528" i="3"/>
  <c r="AH2527" i="3"/>
  <c r="AH2526" i="3"/>
  <c r="AH2525" i="3"/>
  <c r="AH2524" i="3"/>
  <c r="AH2523" i="3"/>
  <c r="AH2522" i="3"/>
  <c r="AH2521" i="3"/>
  <c r="AH2520" i="3"/>
  <c r="AH2519" i="3"/>
  <c r="AH2518" i="3"/>
  <c r="AH2517" i="3"/>
  <c r="AH2516" i="3"/>
  <c r="AH2515" i="3"/>
  <c r="AH2514" i="3"/>
  <c r="AH2513" i="3"/>
  <c r="AH2512" i="3"/>
  <c r="AH2511" i="3"/>
  <c r="AH2510" i="3"/>
  <c r="AH2509" i="3"/>
  <c r="AH2508" i="3"/>
  <c r="AH2507" i="3"/>
  <c r="AH2506" i="3"/>
  <c r="AH2505" i="3"/>
  <c r="AH2504" i="3"/>
  <c r="AH2503" i="3"/>
  <c r="AH2502" i="3"/>
  <c r="AH2501" i="3"/>
  <c r="AH2500" i="3"/>
  <c r="AH2499" i="3"/>
  <c r="AH2498" i="3"/>
  <c r="AH2497" i="3"/>
  <c r="AH2496" i="3"/>
  <c r="AH2495" i="3"/>
  <c r="AH2494" i="3"/>
  <c r="AH2493" i="3"/>
  <c r="AH2492" i="3"/>
  <c r="V847" i="1"/>
  <c r="AH2491" i="3"/>
  <c r="AH2490" i="3"/>
  <c r="AH2489" i="3"/>
  <c r="AH2488" i="3"/>
  <c r="AH2487" i="3"/>
  <c r="AH2486" i="3"/>
  <c r="AH2485" i="3"/>
  <c r="AH2484" i="3"/>
  <c r="AH2483" i="3"/>
  <c r="AH2482" i="3"/>
  <c r="AH2481" i="3"/>
  <c r="AH2480" i="3"/>
  <c r="AH2479" i="3"/>
  <c r="AH2478" i="3"/>
  <c r="AH2477" i="3"/>
  <c r="AH2476" i="3"/>
  <c r="AH2475" i="3"/>
  <c r="AH2474" i="3"/>
  <c r="AH2473" i="3"/>
  <c r="AH2472" i="3"/>
  <c r="AB883" i="1"/>
  <c r="AH2471" i="3"/>
  <c r="AH2470" i="3"/>
  <c r="AH2469" i="3"/>
  <c r="AH2468" i="3"/>
  <c r="AH2467" i="3"/>
  <c r="AH2466" i="3"/>
  <c r="AH2465" i="3"/>
  <c r="AH2464" i="3"/>
  <c r="AH2463" i="3"/>
  <c r="AH2462" i="3"/>
  <c r="AB880" i="1"/>
  <c r="AH2461" i="3"/>
  <c r="AB879" i="1"/>
  <c r="AH2460" i="3"/>
  <c r="AB878" i="1"/>
  <c r="AH2459" i="3"/>
  <c r="AH2458" i="3"/>
  <c r="AH2457" i="3"/>
  <c r="AH2456" i="3"/>
  <c r="AH2455" i="3"/>
  <c r="AH2454" i="3"/>
  <c r="AH2453" i="3"/>
  <c r="AH2452" i="3"/>
  <c r="AH2451" i="3"/>
  <c r="AH2450" i="3"/>
  <c r="AH2449" i="3"/>
  <c r="AH2448" i="3"/>
  <c r="AH2447" i="3"/>
  <c r="AH2446" i="3"/>
  <c r="AH2445" i="3"/>
  <c r="AH2444" i="3"/>
  <c r="AH2443" i="3"/>
  <c r="AH2442" i="3"/>
  <c r="AH2441" i="3"/>
  <c r="AH2440" i="3"/>
  <c r="AH2439" i="3"/>
  <c r="AH2438" i="3"/>
  <c r="AH2437" i="3"/>
  <c r="AH2436" i="3"/>
  <c r="AH2435" i="3"/>
  <c r="AH2434" i="3"/>
  <c r="AH2433" i="3"/>
  <c r="AH2432" i="3"/>
  <c r="AH2431" i="3"/>
  <c r="AH2430" i="3"/>
  <c r="AH2429" i="3"/>
  <c r="AH2428" i="3"/>
  <c r="AH2427" i="3"/>
  <c r="AH2426" i="3"/>
  <c r="AH2425" i="3"/>
  <c r="AH2424" i="3"/>
  <c r="AH2423" i="3"/>
  <c r="AH2422" i="3"/>
  <c r="AH2421" i="3"/>
  <c r="AH2420" i="3"/>
  <c r="AH2419" i="3"/>
  <c r="AH2418" i="3"/>
  <c r="AH2417" i="3"/>
  <c r="AH2416" i="3"/>
  <c r="AH2415" i="3"/>
  <c r="AH2414" i="3"/>
  <c r="AH2413" i="3"/>
  <c r="AH2412" i="3"/>
  <c r="AH2411" i="3"/>
  <c r="AH2410" i="3"/>
  <c r="AH2409" i="3"/>
  <c r="AH2408" i="3"/>
  <c r="AH2407" i="3"/>
  <c r="AH2406" i="3"/>
  <c r="AH2405" i="3"/>
  <c r="AH2404" i="3"/>
  <c r="AH2403" i="3"/>
  <c r="AH2402" i="3"/>
  <c r="AH2401" i="3"/>
  <c r="AH2400" i="3"/>
  <c r="AH2399" i="3"/>
  <c r="AH2398" i="3"/>
  <c r="AH2397" i="3"/>
  <c r="AH2396" i="3"/>
  <c r="AH2395" i="3"/>
  <c r="AH2394" i="3"/>
  <c r="AH2393" i="3"/>
  <c r="AH2392" i="3"/>
  <c r="AH2391" i="3"/>
  <c r="AH2390" i="3"/>
  <c r="AH2389" i="3"/>
  <c r="AH2388" i="3"/>
  <c r="AH2387" i="3"/>
  <c r="AH2386" i="3"/>
  <c r="AH2385" i="3"/>
  <c r="AH2384" i="3"/>
  <c r="AH2383" i="3"/>
  <c r="AH2382" i="3"/>
  <c r="AH2381" i="3"/>
  <c r="AH2380" i="3"/>
  <c r="AH2379" i="3"/>
  <c r="AH2378" i="3"/>
  <c r="AH2377" i="3"/>
  <c r="AH2376" i="3"/>
  <c r="AH2375" i="3"/>
  <c r="AH2374" i="3"/>
  <c r="AH2373" i="3"/>
  <c r="AH2372" i="3"/>
  <c r="AH2371" i="3"/>
  <c r="AH2370" i="3"/>
  <c r="AH2369" i="3"/>
  <c r="AH2368" i="3"/>
  <c r="AH2367" i="3"/>
  <c r="AH2366" i="3"/>
  <c r="AH2365" i="3"/>
  <c r="AH2364" i="3"/>
  <c r="AH2363" i="3"/>
  <c r="AH2362" i="3"/>
  <c r="AH2361" i="3"/>
  <c r="AH2360" i="3"/>
  <c r="AH2359" i="3"/>
  <c r="AH2358" i="3"/>
  <c r="AH2357" i="3"/>
  <c r="AH2356" i="3"/>
  <c r="AH2355" i="3"/>
  <c r="AH2354" i="3"/>
  <c r="AH2353" i="3"/>
  <c r="AH2352" i="3"/>
  <c r="AH2351" i="3"/>
  <c r="AH2350" i="3"/>
  <c r="AH2349" i="3"/>
  <c r="AH2348" i="3"/>
  <c r="AH2347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H2273" i="3"/>
  <c r="AH2272" i="3"/>
  <c r="AB874" i="1"/>
  <c r="AC874" i="1" s="1"/>
  <c r="AH2271" i="3"/>
  <c r="AH2270" i="3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H2203" i="3"/>
  <c r="AH2202" i="3"/>
  <c r="AB873" i="1"/>
  <c r="AC873" i="1" s="1"/>
  <c r="AH2201" i="3"/>
  <c r="AH2200" i="3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AH1900" i="3"/>
  <c r="AH1899" i="3"/>
  <c r="V828" i="1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AH1779" i="3"/>
  <c r="V822" i="1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AH1714" i="3"/>
  <c r="V1033" i="1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AH1691" i="3"/>
  <c r="V1032" i="1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H1585" i="3"/>
  <c r="AB866" i="1"/>
  <c r="AH1584" i="3"/>
  <c r="AH1583" i="3"/>
  <c r="AB865" i="1"/>
  <c r="AH1582" i="3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AH1557" i="3"/>
  <c r="V820" i="1"/>
  <c r="AH1556" i="3"/>
  <c r="AH1555" i="3"/>
  <c r="AH1554" i="3"/>
  <c r="AH1553" i="3"/>
  <c r="AH1552" i="3"/>
  <c r="AH1551" i="3"/>
  <c r="AH1550" i="3"/>
  <c r="AH1549" i="3"/>
  <c r="AH1548" i="3"/>
  <c r="AH1547" i="3"/>
  <c r="AH1546" i="3"/>
  <c r="V910" i="1"/>
  <c r="AB910" i="1" s="1"/>
  <c r="AH1545" i="3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6" i="3"/>
  <c r="AH1345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V838" i="1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V844" i="1"/>
  <c r="AH1015" i="3"/>
  <c r="AH1014" i="3"/>
  <c r="AH1013" i="3"/>
  <c r="AH1012" i="3"/>
  <c r="AH1011" i="3"/>
  <c r="AH1010" i="3"/>
  <c r="AH1009" i="3"/>
  <c r="AH1008" i="3"/>
  <c r="AH1007" i="3"/>
  <c r="AH1006" i="3"/>
  <c r="AH1005" i="3"/>
  <c r="V1027" i="1"/>
  <c r="AB1027" i="1" s="1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V836" i="1"/>
  <c r="AH897" i="3"/>
  <c r="AH896" i="3"/>
  <c r="V835" i="1"/>
  <c r="AH895" i="3"/>
  <c r="V834" i="1"/>
  <c r="AH894" i="3"/>
  <c r="V833" i="1"/>
  <c r="AH893" i="3"/>
  <c r="AH892" i="3"/>
  <c r="AH891" i="3"/>
  <c r="AH890" i="3"/>
  <c r="AH889" i="3"/>
  <c r="AH888" i="3"/>
  <c r="AH887" i="3"/>
  <c r="AH886" i="3"/>
  <c r="V831" i="1"/>
  <c r="AH885" i="3"/>
  <c r="AH884" i="3"/>
  <c r="V829" i="1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V972" i="1"/>
  <c r="AB972" i="1" s="1"/>
  <c r="AD972" i="1" s="1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V876" i="1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V890" i="1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K1043" i="1"/>
  <c r="D1037" i="1"/>
  <c r="AO886" i="1"/>
  <c r="AL886" i="1"/>
  <c r="J886" i="1"/>
  <c r="I886" i="1"/>
  <c r="F886" i="1"/>
  <c r="E886" i="1"/>
  <c r="B886" i="1"/>
  <c r="A886" i="1"/>
  <c r="AO885" i="1"/>
  <c r="AL885" i="1"/>
  <c r="R885" i="1"/>
  <c r="J885" i="1"/>
  <c r="I885" i="1"/>
  <c r="F885" i="1"/>
  <c r="E885" i="1"/>
  <c r="B885" i="1"/>
  <c r="A885" i="1"/>
  <c r="AN885" i="1" s="1"/>
  <c r="AO884" i="1"/>
  <c r="AL884" i="1"/>
  <c r="R884" i="1"/>
  <c r="J884" i="1"/>
  <c r="I884" i="1"/>
  <c r="F884" i="1"/>
  <c r="E884" i="1"/>
  <c r="B884" i="1"/>
  <c r="A884" i="1"/>
  <c r="AN884" i="1" s="1"/>
  <c r="AO862" i="1"/>
  <c r="AL862" i="1"/>
  <c r="R862" i="1"/>
  <c r="J862" i="1"/>
  <c r="I862" i="1"/>
  <c r="F862" i="1"/>
  <c r="E862" i="1"/>
  <c r="B862" i="1"/>
  <c r="A862" i="1"/>
  <c r="AO861" i="1"/>
  <c r="AL861" i="1"/>
  <c r="R861" i="1"/>
  <c r="J861" i="1"/>
  <c r="I861" i="1"/>
  <c r="F861" i="1"/>
  <c r="E861" i="1"/>
  <c r="B861" i="1"/>
  <c r="A861" i="1"/>
  <c r="AO860" i="1"/>
  <c r="AL860" i="1"/>
  <c r="R860" i="1"/>
  <c r="J860" i="1"/>
  <c r="I860" i="1"/>
  <c r="F860" i="1"/>
  <c r="E860" i="1"/>
  <c r="B860" i="1"/>
  <c r="A860" i="1"/>
  <c r="AO859" i="1"/>
  <c r="AL859" i="1"/>
  <c r="R859" i="1"/>
  <c r="J859" i="1"/>
  <c r="I859" i="1"/>
  <c r="F859" i="1"/>
  <c r="E859" i="1"/>
  <c r="B859" i="1"/>
  <c r="A859" i="1"/>
  <c r="AO858" i="1"/>
  <c r="AL858" i="1"/>
  <c r="R858" i="1"/>
  <c r="O858" i="1"/>
  <c r="J858" i="1"/>
  <c r="I858" i="1"/>
  <c r="F858" i="1"/>
  <c r="E858" i="1"/>
  <c r="B858" i="1"/>
  <c r="A858" i="1"/>
  <c r="AO857" i="1"/>
  <c r="AL857" i="1"/>
  <c r="R857" i="1"/>
  <c r="O857" i="1"/>
  <c r="J857" i="1"/>
  <c r="I857" i="1"/>
  <c r="F857" i="1"/>
  <c r="E857" i="1"/>
  <c r="B857" i="1"/>
  <c r="A857" i="1"/>
  <c r="AO856" i="1"/>
  <c r="AL856" i="1"/>
  <c r="R856" i="1"/>
  <c r="J856" i="1"/>
  <c r="I856" i="1"/>
  <c r="F856" i="1"/>
  <c r="E856" i="1"/>
  <c r="B856" i="1"/>
  <c r="A856" i="1"/>
  <c r="AO855" i="1"/>
  <c r="AL855" i="1"/>
  <c r="R855" i="1"/>
  <c r="O855" i="1"/>
  <c r="J855" i="1"/>
  <c r="I855" i="1"/>
  <c r="F855" i="1"/>
  <c r="E855" i="1"/>
  <c r="B855" i="1"/>
  <c r="A855" i="1"/>
  <c r="AO854" i="1"/>
  <c r="AL854" i="1"/>
  <c r="R854" i="1"/>
  <c r="O854" i="1"/>
  <c r="J854" i="1"/>
  <c r="I854" i="1"/>
  <c r="F854" i="1"/>
  <c r="E854" i="1"/>
  <c r="B854" i="1"/>
  <c r="A854" i="1"/>
  <c r="AO817" i="1"/>
  <c r="AL817" i="1"/>
  <c r="R817" i="1"/>
  <c r="O817" i="1"/>
  <c r="J817" i="1"/>
  <c r="I817" i="1"/>
  <c r="F817" i="1"/>
  <c r="E817" i="1"/>
  <c r="B817" i="1"/>
  <c r="X817" i="1" s="1"/>
  <c r="A817" i="1"/>
  <c r="AO816" i="1"/>
  <c r="AL816" i="1"/>
  <c r="R816" i="1"/>
  <c r="J816" i="1"/>
  <c r="I816" i="1"/>
  <c r="F816" i="1"/>
  <c r="E816" i="1"/>
  <c r="B816" i="1"/>
  <c r="A816" i="1"/>
  <c r="AO815" i="1"/>
  <c r="AL815" i="1"/>
  <c r="R815" i="1"/>
  <c r="O815" i="1"/>
  <c r="J815" i="1"/>
  <c r="I815" i="1"/>
  <c r="F815" i="1"/>
  <c r="E815" i="1"/>
  <c r="B815" i="1"/>
  <c r="A815" i="1"/>
  <c r="AO814" i="1"/>
  <c r="AL814" i="1"/>
  <c r="R814" i="1"/>
  <c r="O814" i="1"/>
  <c r="J814" i="1"/>
  <c r="I814" i="1"/>
  <c r="F814" i="1"/>
  <c r="E814" i="1"/>
  <c r="B814" i="1"/>
  <c r="A814" i="1"/>
  <c r="AO813" i="1"/>
  <c r="AL813" i="1"/>
  <c r="R813" i="1"/>
  <c r="J813" i="1"/>
  <c r="I813" i="1"/>
  <c r="F813" i="1"/>
  <c r="E813" i="1"/>
  <c r="B813" i="1"/>
  <c r="A813" i="1"/>
  <c r="AO812" i="1"/>
  <c r="AL812" i="1"/>
  <c r="R812" i="1"/>
  <c r="J812" i="1"/>
  <c r="I812" i="1"/>
  <c r="F812" i="1"/>
  <c r="E812" i="1"/>
  <c r="B812" i="1"/>
  <c r="A812" i="1"/>
  <c r="AO811" i="1"/>
  <c r="AL811" i="1"/>
  <c r="R811" i="1"/>
  <c r="P811" i="1"/>
  <c r="J811" i="1"/>
  <c r="I811" i="1"/>
  <c r="F811" i="1"/>
  <c r="E811" i="1"/>
  <c r="B811" i="1"/>
  <c r="A811" i="1"/>
  <c r="AO810" i="1"/>
  <c r="AL810" i="1"/>
  <c r="R810" i="1"/>
  <c r="P810" i="1"/>
  <c r="J810" i="1"/>
  <c r="I810" i="1"/>
  <c r="F810" i="1"/>
  <c r="E810" i="1"/>
  <c r="B810" i="1"/>
  <c r="X810" i="1" s="1"/>
  <c r="A810" i="1"/>
  <c r="AO809" i="1"/>
  <c r="AL809" i="1"/>
  <c r="R809" i="1"/>
  <c r="J809" i="1"/>
  <c r="I809" i="1"/>
  <c r="F809" i="1"/>
  <c r="E809" i="1"/>
  <c r="B809" i="1"/>
  <c r="X809" i="1" s="1"/>
  <c r="A809" i="1"/>
  <c r="AO808" i="1"/>
  <c r="AL808" i="1"/>
  <c r="R808" i="1"/>
  <c r="J808" i="1"/>
  <c r="I808" i="1"/>
  <c r="F808" i="1"/>
  <c r="E808" i="1"/>
  <c r="B808" i="1"/>
  <c r="X808" i="1" s="1"/>
  <c r="A808" i="1"/>
  <c r="AO807" i="1"/>
  <c r="AL807" i="1"/>
  <c r="R807" i="1"/>
  <c r="J807" i="1"/>
  <c r="I807" i="1"/>
  <c r="F807" i="1"/>
  <c r="E807" i="1"/>
  <c r="B807" i="1"/>
  <c r="A807" i="1"/>
  <c r="AO806" i="1"/>
  <c r="AL806" i="1"/>
  <c r="R806" i="1"/>
  <c r="P806" i="1"/>
  <c r="J806" i="1"/>
  <c r="I806" i="1"/>
  <c r="F806" i="1"/>
  <c r="E806" i="1"/>
  <c r="B806" i="1"/>
  <c r="A806" i="1"/>
  <c r="AO805" i="1"/>
  <c r="AL805" i="1"/>
  <c r="R805" i="1"/>
  <c r="J805" i="1"/>
  <c r="I805" i="1"/>
  <c r="F805" i="1"/>
  <c r="E805" i="1"/>
  <c r="B805" i="1"/>
  <c r="A805" i="1"/>
  <c r="AN805" i="1" s="1"/>
  <c r="AO804" i="1"/>
  <c r="AL804" i="1"/>
  <c r="J804" i="1"/>
  <c r="I804" i="1"/>
  <c r="F804" i="1"/>
  <c r="E804" i="1"/>
  <c r="B804" i="1"/>
  <c r="A804" i="1"/>
  <c r="AO803" i="1"/>
  <c r="AL803" i="1"/>
  <c r="J803" i="1"/>
  <c r="I803" i="1"/>
  <c r="F803" i="1"/>
  <c r="E803" i="1"/>
  <c r="B803" i="1"/>
  <c r="X803" i="1" s="1"/>
  <c r="A803" i="1"/>
  <c r="AO802" i="1"/>
  <c r="AL802" i="1"/>
  <c r="R802" i="1"/>
  <c r="J802" i="1"/>
  <c r="I802" i="1"/>
  <c r="F802" i="1"/>
  <c r="E802" i="1"/>
  <c r="B802" i="1"/>
  <c r="A802" i="1"/>
  <c r="AO801" i="1"/>
  <c r="AL801" i="1"/>
  <c r="R801" i="1"/>
  <c r="J801" i="1"/>
  <c r="I801" i="1"/>
  <c r="F801" i="1"/>
  <c r="E801" i="1"/>
  <c r="B801" i="1"/>
  <c r="X801" i="1" s="1"/>
  <c r="A801" i="1"/>
  <c r="AO800" i="1"/>
  <c r="AL800" i="1"/>
  <c r="J800" i="1"/>
  <c r="I800" i="1"/>
  <c r="F800" i="1"/>
  <c r="E800" i="1"/>
  <c r="B800" i="1"/>
  <c r="A800" i="1"/>
  <c r="AO799" i="1"/>
  <c r="AL799" i="1"/>
  <c r="R799" i="1"/>
  <c r="O799" i="1"/>
  <c r="J799" i="1"/>
  <c r="I799" i="1"/>
  <c r="F799" i="1"/>
  <c r="E799" i="1"/>
  <c r="B799" i="1"/>
  <c r="X799" i="1" s="1"/>
  <c r="A799" i="1"/>
  <c r="AO798" i="1"/>
  <c r="AL798" i="1"/>
  <c r="R798" i="1"/>
  <c r="J798" i="1"/>
  <c r="I798" i="1"/>
  <c r="F798" i="1"/>
  <c r="E798" i="1"/>
  <c r="B798" i="1"/>
  <c r="X798" i="1" s="1"/>
  <c r="A798" i="1"/>
  <c r="AO797" i="1"/>
  <c r="AL797" i="1"/>
  <c r="R797" i="1"/>
  <c r="J797" i="1"/>
  <c r="I797" i="1"/>
  <c r="F797" i="1"/>
  <c r="E797" i="1"/>
  <c r="B797" i="1"/>
  <c r="A797" i="1"/>
  <c r="AO796" i="1"/>
  <c r="AL796" i="1"/>
  <c r="R796" i="1"/>
  <c r="J796" i="1"/>
  <c r="I796" i="1"/>
  <c r="F796" i="1"/>
  <c r="E796" i="1"/>
  <c r="B796" i="1"/>
  <c r="A796" i="1"/>
  <c r="AO795" i="1"/>
  <c r="AL795" i="1"/>
  <c r="R795" i="1"/>
  <c r="J795" i="1"/>
  <c r="I795" i="1"/>
  <c r="F795" i="1"/>
  <c r="E795" i="1"/>
  <c r="B795" i="1"/>
  <c r="X795" i="1" s="1"/>
  <c r="A795" i="1"/>
  <c r="AO794" i="1"/>
  <c r="AL794" i="1"/>
  <c r="R794" i="1"/>
  <c r="J794" i="1"/>
  <c r="I794" i="1"/>
  <c r="F794" i="1"/>
  <c r="E794" i="1"/>
  <c r="B794" i="1"/>
  <c r="A794" i="1"/>
  <c r="AN794" i="1" s="1"/>
  <c r="AO793" i="1"/>
  <c r="AL793" i="1"/>
  <c r="R793" i="1"/>
  <c r="J793" i="1"/>
  <c r="I793" i="1"/>
  <c r="F793" i="1"/>
  <c r="E793" i="1"/>
  <c r="B793" i="1"/>
  <c r="A793" i="1"/>
  <c r="AO792" i="1"/>
  <c r="AL792" i="1"/>
  <c r="R792" i="1"/>
  <c r="P792" i="1"/>
  <c r="J792" i="1"/>
  <c r="I792" i="1"/>
  <c r="F792" i="1"/>
  <c r="E792" i="1"/>
  <c r="B792" i="1"/>
  <c r="A792" i="1"/>
  <c r="AO791" i="1"/>
  <c r="AL791" i="1"/>
  <c r="R791" i="1"/>
  <c r="J791" i="1"/>
  <c r="I791" i="1"/>
  <c r="F791" i="1"/>
  <c r="E791" i="1"/>
  <c r="B791" i="1"/>
  <c r="A791" i="1"/>
  <c r="AO790" i="1"/>
  <c r="AL790" i="1"/>
  <c r="R790" i="1"/>
  <c r="J790" i="1"/>
  <c r="I790" i="1"/>
  <c r="F790" i="1"/>
  <c r="E790" i="1"/>
  <c r="B790" i="1"/>
  <c r="A790" i="1"/>
  <c r="AO789" i="1"/>
  <c r="AL789" i="1"/>
  <c r="R789" i="1"/>
  <c r="J789" i="1"/>
  <c r="I789" i="1"/>
  <c r="F789" i="1"/>
  <c r="E789" i="1"/>
  <c r="B789" i="1"/>
  <c r="A789" i="1"/>
  <c r="AO788" i="1"/>
  <c r="AL788" i="1"/>
  <c r="J788" i="1"/>
  <c r="I788" i="1"/>
  <c r="F788" i="1"/>
  <c r="E788" i="1"/>
  <c r="B788" i="1"/>
  <c r="X788" i="1" s="1"/>
  <c r="A788" i="1"/>
  <c r="AO787" i="1"/>
  <c r="AL787" i="1"/>
  <c r="R787" i="1"/>
  <c r="J787" i="1"/>
  <c r="I787" i="1"/>
  <c r="F787" i="1"/>
  <c r="E787" i="1"/>
  <c r="B787" i="1"/>
  <c r="X787" i="1" s="1"/>
  <c r="A787" i="1"/>
  <c r="AO786" i="1"/>
  <c r="AL786" i="1"/>
  <c r="R786" i="1"/>
  <c r="J786" i="1"/>
  <c r="I786" i="1"/>
  <c r="F786" i="1"/>
  <c r="E786" i="1"/>
  <c r="B786" i="1"/>
  <c r="A786" i="1"/>
  <c r="AO785" i="1"/>
  <c r="AL785" i="1"/>
  <c r="R785" i="1"/>
  <c r="J785" i="1"/>
  <c r="I785" i="1"/>
  <c r="F785" i="1"/>
  <c r="E785" i="1"/>
  <c r="B785" i="1"/>
  <c r="A785" i="1"/>
  <c r="AO784" i="1"/>
  <c r="AL784" i="1"/>
  <c r="R784" i="1"/>
  <c r="O784" i="1"/>
  <c r="J784" i="1"/>
  <c r="I784" i="1"/>
  <c r="F784" i="1"/>
  <c r="E784" i="1"/>
  <c r="B784" i="1"/>
  <c r="A784" i="1"/>
  <c r="AO783" i="1"/>
  <c r="AL783" i="1"/>
  <c r="R783" i="1"/>
  <c r="O783" i="1"/>
  <c r="J783" i="1"/>
  <c r="I783" i="1"/>
  <c r="F783" i="1"/>
  <c r="E783" i="1"/>
  <c r="B783" i="1"/>
  <c r="A783" i="1"/>
  <c r="AO782" i="1"/>
  <c r="AL782" i="1"/>
  <c r="R782" i="1"/>
  <c r="O782" i="1"/>
  <c r="J782" i="1"/>
  <c r="I782" i="1"/>
  <c r="F782" i="1"/>
  <c r="E782" i="1"/>
  <c r="B782" i="1"/>
  <c r="A782" i="1"/>
  <c r="AO781" i="1"/>
  <c r="AL781" i="1"/>
  <c r="R781" i="1"/>
  <c r="J781" i="1"/>
  <c r="I781" i="1"/>
  <c r="F781" i="1"/>
  <c r="E781" i="1"/>
  <c r="B781" i="1"/>
  <c r="A781" i="1"/>
  <c r="AO780" i="1"/>
  <c r="AL780" i="1"/>
  <c r="R780" i="1"/>
  <c r="O780" i="1"/>
  <c r="J780" i="1"/>
  <c r="I780" i="1"/>
  <c r="F780" i="1"/>
  <c r="E780" i="1"/>
  <c r="B780" i="1"/>
  <c r="A780" i="1"/>
  <c r="AO779" i="1"/>
  <c r="AL779" i="1"/>
  <c r="R779" i="1"/>
  <c r="J779" i="1"/>
  <c r="I779" i="1"/>
  <c r="F779" i="1"/>
  <c r="E779" i="1"/>
  <c r="B779" i="1"/>
  <c r="A779" i="1"/>
  <c r="AN779" i="1" s="1"/>
  <c r="AO778" i="1"/>
  <c r="AL778" i="1"/>
  <c r="R778" i="1"/>
  <c r="O778" i="1"/>
  <c r="J778" i="1"/>
  <c r="I778" i="1"/>
  <c r="F778" i="1"/>
  <c r="E778" i="1"/>
  <c r="B778" i="1"/>
  <c r="A778" i="1"/>
  <c r="AO777" i="1"/>
  <c r="AL777" i="1"/>
  <c r="R777" i="1"/>
  <c r="J777" i="1"/>
  <c r="I777" i="1"/>
  <c r="F777" i="1"/>
  <c r="E777" i="1"/>
  <c r="B777" i="1"/>
  <c r="A777" i="1"/>
  <c r="AO776" i="1"/>
  <c r="AL776" i="1"/>
  <c r="R776" i="1"/>
  <c r="O776" i="1"/>
  <c r="J776" i="1"/>
  <c r="I776" i="1"/>
  <c r="F776" i="1"/>
  <c r="E776" i="1"/>
  <c r="B776" i="1"/>
  <c r="A776" i="1"/>
  <c r="AO775" i="1"/>
  <c r="AL775" i="1"/>
  <c r="R775" i="1"/>
  <c r="J775" i="1"/>
  <c r="I775" i="1"/>
  <c r="F775" i="1"/>
  <c r="E775" i="1"/>
  <c r="B775" i="1"/>
  <c r="A775" i="1"/>
  <c r="AO774" i="1"/>
  <c r="AL774" i="1"/>
  <c r="R774" i="1"/>
  <c r="J774" i="1"/>
  <c r="I774" i="1"/>
  <c r="F774" i="1"/>
  <c r="E774" i="1"/>
  <c r="B774" i="1"/>
  <c r="A774" i="1"/>
  <c r="AO773" i="1"/>
  <c r="AL773" i="1"/>
  <c r="R773" i="1"/>
  <c r="J773" i="1"/>
  <c r="I773" i="1"/>
  <c r="F773" i="1"/>
  <c r="E773" i="1"/>
  <c r="B773" i="1"/>
  <c r="A773" i="1"/>
  <c r="AO772" i="1"/>
  <c r="AL772" i="1"/>
  <c r="R772" i="1"/>
  <c r="J772" i="1"/>
  <c r="I772" i="1"/>
  <c r="F772" i="1"/>
  <c r="E772" i="1"/>
  <c r="B772" i="1"/>
  <c r="A772" i="1"/>
  <c r="AO771" i="1"/>
  <c r="AL771" i="1"/>
  <c r="R771" i="1"/>
  <c r="J771" i="1"/>
  <c r="I771" i="1"/>
  <c r="F771" i="1"/>
  <c r="E771" i="1"/>
  <c r="B771" i="1"/>
  <c r="A771" i="1"/>
  <c r="AO770" i="1"/>
  <c r="AL770" i="1"/>
  <c r="R770" i="1"/>
  <c r="J770" i="1"/>
  <c r="I770" i="1"/>
  <c r="F770" i="1"/>
  <c r="E770" i="1"/>
  <c r="B770" i="1"/>
  <c r="A770" i="1"/>
  <c r="AN770" i="1" s="1"/>
  <c r="AO769" i="1"/>
  <c r="AL769" i="1"/>
  <c r="R769" i="1"/>
  <c r="J769" i="1"/>
  <c r="I769" i="1"/>
  <c r="F769" i="1"/>
  <c r="E769" i="1"/>
  <c r="B769" i="1"/>
  <c r="A769" i="1"/>
  <c r="AN769" i="1" s="1"/>
  <c r="AO768" i="1"/>
  <c r="AL768" i="1"/>
  <c r="R768" i="1"/>
  <c r="O768" i="1"/>
  <c r="J768" i="1"/>
  <c r="I768" i="1"/>
  <c r="F768" i="1"/>
  <c r="E768" i="1"/>
  <c r="B768" i="1"/>
  <c r="A768" i="1"/>
  <c r="AO767" i="1"/>
  <c r="AL767" i="1"/>
  <c r="R767" i="1"/>
  <c r="O767" i="1"/>
  <c r="J767" i="1"/>
  <c r="I767" i="1"/>
  <c r="F767" i="1"/>
  <c r="E767" i="1"/>
  <c r="B767" i="1"/>
  <c r="A767" i="1"/>
  <c r="AO766" i="1"/>
  <c r="AL766" i="1"/>
  <c r="R766" i="1"/>
  <c r="O766" i="1"/>
  <c r="J766" i="1"/>
  <c r="I766" i="1"/>
  <c r="F766" i="1"/>
  <c r="E766" i="1"/>
  <c r="B766" i="1"/>
  <c r="A766" i="1"/>
  <c r="AO765" i="1"/>
  <c r="AL765" i="1"/>
  <c r="R765" i="1"/>
  <c r="J765" i="1"/>
  <c r="I765" i="1"/>
  <c r="F765" i="1"/>
  <c r="E765" i="1"/>
  <c r="B765" i="1"/>
  <c r="X765" i="1" s="1"/>
  <c r="A765" i="1"/>
  <c r="AO764" i="1"/>
  <c r="AL764" i="1"/>
  <c r="P764" i="1"/>
  <c r="J764" i="1"/>
  <c r="I764" i="1"/>
  <c r="F764" i="1"/>
  <c r="E764" i="1"/>
  <c r="B764" i="1"/>
  <c r="X764" i="1" s="1"/>
  <c r="A764" i="1"/>
  <c r="AO763" i="1"/>
  <c r="AL763" i="1"/>
  <c r="R763" i="1"/>
  <c r="P763" i="1"/>
  <c r="J763" i="1"/>
  <c r="I763" i="1"/>
  <c r="F763" i="1"/>
  <c r="E763" i="1"/>
  <c r="B763" i="1"/>
  <c r="A763" i="1"/>
  <c r="AO762" i="1"/>
  <c r="AL762" i="1"/>
  <c r="R762" i="1"/>
  <c r="J762" i="1"/>
  <c r="I762" i="1"/>
  <c r="F762" i="1"/>
  <c r="E762" i="1"/>
  <c r="B762" i="1"/>
  <c r="A762" i="1"/>
  <c r="AO761" i="1"/>
  <c r="AL761" i="1"/>
  <c r="R761" i="1"/>
  <c r="J761" i="1"/>
  <c r="I761" i="1"/>
  <c r="F761" i="1"/>
  <c r="E761" i="1"/>
  <c r="B761" i="1"/>
  <c r="A761" i="1"/>
  <c r="AO760" i="1"/>
  <c r="AL760" i="1"/>
  <c r="R760" i="1"/>
  <c r="J760" i="1"/>
  <c r="I760" i="1"/>
  <c r="F760" i="1"/>
  <c r="E760" i="1"/>
  <c r="B760" i="1"/>
  <c r="A760" i="1"/>
  <c r="AN760" i="1" s="1"/>
  <c r="AO759" i="1"/>
  <c r="AL759" i="1"/>
  <c r="R759" i="1"/>
  <c r="J759" i="1"/>
  <c r="I759" i="1"/>
  <c r="F759" i="1"/>
  <c r="E759" i="1"/>
  <c r="B759" i="1"/>
  <c r="A759" i="1"/>
  <c r="AO758" i="1"/>
  <c r="AL758" i="1"/>
  <c r="R758" i="1"/>
  <c r="P758" i="1"/>
  <c r="J758" i="1"/>
  <c r="I758" i="1"/>
  <c r="F758" i="1"/>
  <c r="E758" i="1"/>
  <c r="B758" i="1"/>
  <c r="A758" i="1"/>
  <c r="AO757" i="1"/>
  <c r="AL757" i="1"/>
  <c r="R757" i="1"/>
  <c r="J757" i="1"/>
  <c r="I757" i="1"/>
  <c r="F757" i="1"/>
  <c r="E757" i="1"/>
  <c r="B757" i="1"/>
  <c r="A757" i="1"/>
  <c r="AO756" i="1"/>
  <c r="AL756" i="1"/>
  <c r="R756" i="1"/>
  <c r="J756" i="1"/>
  <c r="I756" i="1"/>
  <c r="F756" i="1"/>
  <c r="E756" i="1"/>
  <c r="B756" i="1"/>
  <c r="A756" i="1"/>
  <c r="AN756" i="1" s="1"/>
  <c r="AO755" i="1"/>
  <c r="AL755" i="1"/>
  <c r="R755" i="1"/>
  <c r="O755" i="1"/>
  <c r="J755" i="1"/>
  <c r="I755" i="1"/>
  <c r="F755" i="1"/>
  <c r="E755" i="1"/>
  <c r="B755" i="1"/>
  <c r="X755" i="1" s="1"/>
  <c r="A755" i="1"/>
  <c r="AO754" i="1"/>
  <c r="AL754" i="1"/>
  <c r="R754" i="1"/>
  <c r="J754" i="1"/>
  <c r="I754" i="1"/>
  <c r="F754" i="1"/>
  <c r="E754" i="1"/>
  <c r="B754" i="1"/>
  <c r="A754" i="1"/>
  <c r="AO753" i="1"/>
  <c r="AL753" i="1"/>
  <c r="R753" i="1"/>
  <c r="J753" i="1"/>
  <c r="I753" i="1"/>
  <c r="F753" i="1"/>
  <c r="E753" i="1"/>
  <c r="B753" i="1"/>
  <c r="A753" i="1"/>
  <c r="AO752" i="1"/>
  <c r="AL752" i="1"/>
  <c r="R752" i="1"/>
  <c r="P752" i="1"/>
  <c r="J752" i="1"/>
  <c r="I752" i="1"/>
  <c r="F752" i="1"/>
  <c r="E752" i="1"/>
  <c r="B752" i="1"/>
  <c r="A752" i="1"/>
  <c r="AO751" i="1"/>
  <c r="AL751" i="1"/>
  <c r="P751" i="1"/>
  <c r="J751" i="1"/>
  <c r="I751" i="1"/>
  <c r="F751" i="1"/>
  <c r="E751" i="1"/>
  <c r="B751" i="1"/>
  <c r="A751" i="1"/>
  <c r="AO750" i="1"/>
  <c r="AL750" i="1"/>
  <c r="R750" i="1"/>
  <c r="O750" i="1"/>
  <c r="J750" i="1"/>
  <c r="I750" i="1"/>
  <c r="F750" i="1"/>
  <c r="E750" i="1"/>
  <c r="B750" i="1"/>
  <c r="A750" i="1"/>
  <c r="AO749" i="1"/>
  <c r="AL749" i="1"/>
  <c r="R749" i="1"/>
  <c r="P749" i="1"/>
  <c r="J749" i="1"/>
  <c r="I749" i="1"/>
  <c r="F749" i="1"/>
  <c r="E749" i="1"/>
  <c r="B749" i="1"/>
  <c r="A749" i="1"/>
  <c r="AO748" i="1"/>
  <c r="AL748" i="1"/>
  <c r="R748" i="1"/>
  <c r="J748" i="1"/>
  <c r="I748" i="1"/>
  <c r="F748" i="1"/>
  <c r="E748" i="1"/>
  <c r="B748" i="1"/>
  <c r="A748" i="1"/>
  <c r="AO747" i="1"/>
  <c r="AL747" i="1"/>
  <c r="R747" i="1"/>
  <c r="J747" i="1"/>
  <c r="I747" i="1"/>
  <c r="F747" i="1"/>
  <c r="E747" i="1"/>
  <c r="B747" i="1"/>
  <c r="A747" i="1"/>
  <c r="AN747" i="1" s="1"/>
  <c r="AO746" i="1"/>
  <c r="AL746" i="1"/>
  <c r="R746" i="1"/>
  <c r="J746" i="1"/>
  <c r="I746" i="1"/>
  <c r="F746" i="1"/>
  <c r="E746" i="1"/>
  <c r="B746" i="1"/>
  <c r="A746" i="1"/>
  <c r="AN746" i="1" s="1"/>
  <c r="AO745" i="1"/>
  <c r="AL745" i="1"/>
  <c r="R745" i="1"/>
  <c r="J745" i="1"/>
  <c r="I745" i="1"/>
  <c r="F745" i="1"/>
  <c r="E745" i="1"/>
  <c r="B745" i="1"/>
  <c r="A745" i="1"/>
  <c r="AO744" i="1"/>
  <c r="AL744" i="1"/>
  <c r="R744" i="1"/>
  <c r="J744" i="1"/>
  <c r="I744" i="1"/>
  <c r="F744" i="1"/>
  <c r="E744" i="1"/>
  <c r="B744" i="1"/>
  <c r="A744" i="1"/>
  <c r="AO743" i="1"/>
  <c r="AL743" i="1"/>
  <c r="R743" i="1"/>
  <c r="O743" i="1"/>
  <c r="J743" i="1"/>
  <c r="I743" i="1"/>
  <c r="F743" i="1"/>
  <c r="E743" i="1"/>
  <c r="B743" i="1"/>
  <c r="X743" i="1" s="1"/>
  <c r="A743" i="1"/>
  <c r="AO742" i="1"/>
  <c r="AL742" i="1"/>
  <c r="R742" i="1"/>
  <c r="J742" i="1"/>
  <c r="I742" i="1"/>
  <c r="F742" i="1"/>
  <c r="E742" i="1"/>
  <c r="B742" i="1"/>
  <c r="X742" i="1" s="1"/>
  <c r="A742" i="1"/>
  <c r="AO741" i="1"/>
  <c r="AL741" i="1"/>
  <c r="R741" i="1"/>
  <c r="J741" i="1"/>
  <c r="I741" i="1"/>
  <c r="F741" i="1"/>
  <c r="E741" i="1"/>
  <c r="B741" i="1"/>
  <c r="X741" i="1" s="1"/>
  <c r="A741" i="1"/>
  <c r="AO740" i="1"/>
  <c r="AL740" i="1"/>
  <c r="R740" i="1"/>
  <c r="J740" i="1"/>
  <c r="I740" i="1"/>
  <c r="F740" i="1"/>
  <c r="E740" i="1"/>
  <c r="B740" i="1"/>
  <c r="A740" i="1"/>
  <c r="AO739" i="1"/>
  <c r="AL739" i="1"/>
  <c r="R739" i="1"/>
  <c r="P739" i="1"/>
  <c r="J739" i="1"/>
  <c r="I739" i="1"/>
  <c r="F739" i="1"/>
  <c r="E739" i="1"/>
  <c r="B739" i="1"/>
  <c r="A739" i="1"/>
  <c r="AO738" i="1"/>
  <c r="AL738" i="1"/>
  <c r="R738" i="1"/>
  <c r="J738" i="1"/>
  <c r="I738" i="1"/>
  <c r="F738" i="1"/>
  <c r="E738" i="1"/>
  <c r="B738" i="1"/>
  <c r="X738" i="1" s="1"/>
  <c r="A738" i="1"/>
  <c r="AN738" i="1" s="1"/>
  <c r="AO737" i="1"/>
  <c r="AL737" i="1"/>
  <c r="R737" i="1"/>
  <c r="P737" i="1"/>
  <c r="J737" i="1"/>
  <c r="I737" i="1"/>
  <c r="F737" i="1"/>
  <c r="E737" i="1"/>
  <c r="B737" i="1"/>
  <c r="X737" i="1" s="1"/>
  <c r="A737" i="1"/>
  <c r="AO736" i="1"/>
  <c r="AL736" i="1"/>
  <c r="J736" i="1"/>
  <c r="I736" i="1"/>
  <c r="F736" i="1"/>
  <c r="E736" i="1"/>
  <c r="B736" i="1"/>
  <c r="A736" i="1"/>
  <c r="AO735" i="1"/>
  <c r="AL735" i="1"/>
  <c r="R735" i="1"/>
  <c r="J735" i="1"/>
  <c r="I735" i="1"/>
  <c r="F735" i="1"/>
  <c r="E735" i="1"/>
  <c r="B735" i="1"/>
  <c r="X735" i="1" s="1"/>
  <c r="A735" i="1"/>
  <c r="AO734" i="1"/>
  <c r="AL734" i="1"/>
  <c r="R734" i="1"/>
  <c r="J734" i="1"/>
  <c r="I734" i="1"/>
  <c r="F734" i="1"/>
  <c r="E734" i="1"/>
  <c r="B734" i="1"/>
  <c r="X734" i="1" s="1"/>
  <c r="A734" i="1"/>
  <c r="AN734" i="1" s="1"/>
  <c r="AO733" i="1"/>
  <c r="AL733" i="1"/>
  <c r="R733" i="1"/>
  <c r="O733" i="1"/>
  <c r="J733" i="1"/>
  <c r="I733" i="1"/>
  <c r="F733" i="1"/>
  <c r="E733" i="1"/>
  <c r="B733" i="1"/>
  <c r="A733" i="1"/>
  <c r="AO732" i="1"/>
  <c r="AL732" i="1"/>
  <c r="R732" i="1"/>
  <c r="J732" i="1"/>
  <c r="I732" i="1"/>
  <c r="F732" i="1"/>
  <c r="E732" i="1"/>
  <c r="B732" i="1"/>
  <c r="A732" i="1"/>
  <c r="AN732" i="1" s="1"/>
  <c r="AO731" i="1"/>
  <c r="AL731" i="1"/>
  <c r="R731" i="1"/>
  <c r="J731" i="1"/>
  <c r="I731" i="1"/>
  <c r="F731" i="1"/>
  <c r="E731" i="1"/>
  <c r="B731" i="1"/>
  <c r="A731" i="1"/>
  <c r="AO730" i="1"/>
  <c r="AL730" i="1"/>
  <c r="R730" i="1"/>
  <c r="J730" i="1"/>
  <c r="I730" i="1"/>
  <c r="F730" i="1"/>
  <c r="E730" i="1"/>
  <c r="B730" i="1"/>
  <c r="A730" i="1"/>
  <c r="AO729" i="1"/>
  <c r="AL729" i="1"/>
  <c r="R729" i="1"/>
  <c r="J729" i="1"/>
  <c r="I729" i="1"/>
  <c r="F729" i="1"/>
  <c r="E729" i="1"/>
  <c r="B729" i="1"/>
  <c r="X729" i="1" s="1"/>
  <c r="A729" i="1"/>
  <c r="AO728" i="1"/>
  <c r="AL728" i="1"/>
  <c r="R728" i="1"/>
  <c r="P728" i="1"/>
  <c r="J728" i="1"/>
  <c r="I728" i="1"/>
  <c r="F728" i="1"/>
  <c r="E728" i="1"/>
  <c r="B728" i="1"/>
  <c r="A728" i="1"/>
  <c r="AO727" i="1"/>
  <c r="AL727" i="1"/>
  <c r="R727" i="1"/>
  <c r="P727" i="1"/>
  <c r="J727" i="1"/>
  <c r="I727" i="1"/>
  <c r="F727" i="1"/>
  <c r="E727" i="1"/>
  <c r="B727" i="1"/>
  <c r="X727" i="1" s="1"/>
  <c r="A727" i="1"/>
  <c r="AO726" i="1"/>
  <c r="AL726" i="1"/>
  <c r="R726" i="1"/>
  <c r="P726" i="1"/>
  <c r="J726" i="1"/>
  <c r="I726" i="1"/>
  <c r="F726" i="1"/>
  <c r="E726" i="1"/>
  <c r="B726" i="1"/>
  <c r="A726" i="1"/>
  <c r="AO725" i="1"/>
  <c r="AL725" i="1"/>
  <c r="R725" i="1"/>
  <c r="J725" i="1"/>
  <c r="I725" i="1"/>
  <c r="F725" i="1"/>
  <c r="E725" i="1"/>
  <c r="B725" i="1"/>
  <c r="A725" i="1"/>
  <c r="AO724" i="1"/>
  <c r="AL724" i="1"/>
  <c r="R724" i="1"/>
  <c r="P724" i="1"/>
  <c r="J724" i="1"/>
  <c r="I724" i="1"/>
  <c r="F724" i="1"/>
  <c r="E724" i="1"/>
  <c r="B724" i="1"/>
  <c r="X724" i="1" s="1"/>
  <c r="A724" i="1"/>
  <c r="AO723" i="1"/>
  <c r="AL723" i="1"/>
  <c r="R723" i="1"/>
  <c r="P723" i="1"/>
  <c r="J723" i="1"/>
  <c r="I723" i="1"/>
  <c r="F723" i="1"/>
  <c r="E723" i="1"/>
  <c r="B723" i="1"/>
  <c r="A723" i="1"/>
  <c r="AO722" i="1"/>
  <c r="AL722" i="1"/>
  <c r="R722" i="1"/>
  <c r="J722" i="1"/>
  <c r="I722" i="1"/>
  <c r="F722" i="1"/>
  <c r="E722" i="1"/>
  <c r="B722" i="1"/>
  <c r="A722" i="1"/>
  <c r="AO721" i="1"/>
  <c r="AL721" i="1"/>
  <c r="R721" i="1"/>
  <c r="P721" i="1"/>
  <c r="J721" i="1"/>
  <c r="I721" i="1"/>
  <c r="F721" i="1"/>
  <c r="E721" i="1"/>
  <c r="B721" i="1"/>
  <c r="A721" i="1"/>
  <c r="AO720" i="1"/>
  <c r="AL720" i="1"/>
  <c r="R720" i="1"/>
  <c r="J720" i="1"/>
  <c r="I720" i="1"/>
  <c r="F720" i="1"/>
  <c r="E720" i="1"/>
  <c r="B720" i="1"/>
  <c r="X720" i="1" s="1"/>
  <c r="A720" i="1"/>
  <c r="AO719" i="1"/>
  <c r="AL719" i="1"/>
  <c r="R719" i="1"/>
  <c r="P719" i="1"/>
  <c r="J719" i="1"/>
  <c r="I719" i="1"/>
  <c r="F719" i="1"/>
  <c r="E719" i="1"/>
  <c r="B719" i="1"/>
  <c r="X719" i="1" s="1"/>
  <c r="A719" i="1"/>
  <c r="AO718" i="1"/>
  <c r="AL718" i="1"/>
  <c r="R718" i="1"/>
  <c r="P718" i="1"/>
  <c r="J718" i="1"/>
  <c r="I718" i="1"/>
  <c r="F718" i="1"/>
  <c r="E718" i="1"/>
  <c r="B718" i="1"/>
  <c r="X718" i="1" s="1"/>
  <c r="A718" i="1"/>
  <c r="AN718" i="1" s="1"/>
  <c r="AO717" i="1"/>
  <c r="AL717" i="1"/>
  <c r="R717" i="1"/>
  <c r="P717" i="1"/>
  <c r="J717" i="1"/>
  <c r="I717" i="1"/>
  <c r="F717" i="1"/>
  <c r="E717" i="1"/>
  <c r="B717" i="1"/>
  <c r="X717" i="1" s="1"/>
  <c r="A717" i="1"/>
  <c r="AO716" i="1"/>
  <c r="AL716" i="1"/>
  <c r="R716" i="1"/>
  <c r="J716" i="1"/>
  <c r="I716" i="1"/>
  <c r="F716" i="1"/>
  <c r="E716" i="1"/>
  <c r="B716" i="1"/>
  <c r="A716" i="1"/>
  <c r="AO715" i="1"/>
  <c r="AL715" i="1"/>
  <c r="R715" i="1"/>
  <c r="J715" i="1"/>
  <c r="I715" i="1"/>
  <c r="F715" i="1"/>
  <c r="E715" i="1"/>
  <c r="B715" i="1"/>
  <c r="X715" i="1" s="1"/>
  <c r="A715" i="1"/>
  <c r="AO714" i="1"/>
  <c r="AL714" i="1"/>
  <c r="R714" i="1"/>
  <c r="J714" i="1"/>
  <c r="I714" i="1"/>
  <c r="F714" i="1"/>
  <c r="E714" i="1"/>
  <c r="B714" i="1"/>
  <c r="A714" i="1"/>
  <c r="AO713" i="1"/>
  <c r="AL713" i="1"/>
  <c r="R713" i="1"/>
  <c r="J713" i="1"/>
  <c r="I713" i="1"/>
  <c r="F713" i="1"/>
  <c r="E713" i="1"/>
  <c r="B713" i="1"/>
  <c r="A713" i="1"/>
  <c r="AO712" i="1"/>
  <c r="AL712" i="1"/>
  <c r="R712" i="1"/>
  <c r="J712" i="1"/>
  <c r="I712" i="1"/>
  <c r="F712" i="1"/>
  <c r="E712" i="1"/>
  <c r="B712" i="1"/>
  <c r="A712" i="1"/>
  <c r="AN712" i="1" s="1"/>
  <c r="AO711" i="1"/>
  <c r="AL711" i="1"/>
  <c r="R711" i="1"/>
  <c r="J711" i="1"/>
  <c r="I711" i="1"/>
  <c r="F711" i="1"/>
  <c r="E711" i="1"/>
  <c r="B711" i="1"/>
  <c r="A711" i="1"/>
  <c r="AO710" i="1"/>
  <c r="AL710" i="1"/>
  <c r="R710" i="1"/>
  <c r="J710" i="1"/>
  <c r="I710" i="1"/>
  <c r="F710" i="1"/>
  <c r="E710" i="1"/>
  <c r="B710" i="1"/>
  <c r="A710" i="1"/>
  <c r="AN710" i="1" s="1"/>
  <c r="AO709" i="1"/>
  <c r="AL709" i="1"/>
  <c r="R709" i="1"/>
  <c r="J709" i="1"/>
  <c r="I709" i="1"/>
  <c r="F709" i="1"/>
  <c r="E709" i="1"/>
  <c r="B709" i="1"/>
  <c r="A709" i="1"/>
  <c r="AO708" i="1"/>
  <c r="AL708" i="1"/>
  <c r="R708" i="1"/>
  <c r="P708" i="1"/>
  <c r="J708" i="1"/>
  <c r="I708" i="1"/>
  <c r="F708" i="1"/>
  <c r="E708" i="1"/>
  <c r="B708" i="1"/>
  <c r="X708" i="1" s="1"/>
  <c r="A708" i="1"/>
  <c r="AO707" i="1"/>
  <c r="AL707" i="1"/>
  <c r="R707" i="1"/>
  <c r="J707" i="1"/>
  <c r="I707" i="1"/>
  <c r="F707" i="1"/>
  <c r="E707" i="1"/>
  <c r="B707" i="1"/>
  <c r="X707" i="1" s="1"/>
  <c r="A707" i="1"/>
  <c r="AO706" i="1"/>
  <c r="AL706" i="1"/>
  <c r="R706" i="1"/>
  <c r="O706" i="1"/>
  <c r="J706" i="1"/>
  <c r="I706" i="1"/>
  <c r="F706" i="1"/>
  <c r="E706" i="1"/>
  <c r="B706" i="1"/>
  <c r="A706" i="1"/>
  <c r="AO705" i="1"/>
  <c r="AL705" i="1"/>
  <c r="R705" i="1"/>
  <c r="O705" i="1"/>
  <c r="J705" i="1"/>
  <c r="I705" i="1"/>
  <c r="F705" i="1"/>
  <c r="E705" i="1"/>
  <c r="B705" i="1"/>
  <c r="A705" i="1"/>
  <c r="AO704" i="1"/>
  <c r="AL704" i="1"/>
  <c r="R704" i="1"/>
  <c r="J704" i="1"/>
  <c r="I704" i="1"/>
  <c r="F704" i="1"/>
  <c r="E704" i="1"/>
  <c r="B704" i="1"/>
  <c r="A704" i="1"/>
  <c r="AO703" i="1"/>
  <c r="AL703" i="1"/>
  <c r="R703" i="1"/>
  <c r="J703" i="1"/>
  <c r="I703" i="1"/>
  <c r="F703" i="1"/>
  <c r="E703" i="1"/>
  <c r="B703" i="1"/>
  <c r="X703" i="1" s="1"/>
  <c r="A703" i="1"/>
  <c r="AO702" i="1"/>
  <c r="AL702" i="1"/>
  <c r="R702" i="1"/>
  <c r="O702" i="1"/>
  <c r="J702" i="1"/>
  <c r="I702" i="1"/>
  <c r="F702" i="1"/>
  <c r="E702" i="1"/>
  <c r="B702" i="1"/>
  <c r="X702" i="1" s="1"/>
  <c r="A702" i="1"/>
  <c r="AO701" i="1"/>
  <c r="AL701" i="1"/>
  <c r="R701" i="1"/>
  <c r="O701" i="1"/>
  <c r="J701" i="1"/>
  <c r="I701" i="1"/>
  <c r="F701" i="1"/>
  <c r="E701" i="1"/>
  <c r="B701" i="1"/>
  <c r="A701" i="1"/>
  <c r="AO700" i="1"/>
  <c r="AL700" i="1"/>
  <c r="R700" i="1"/>
  <c r="J700" i="1"/>
  <c r="I700" i="1"/>
  <c r="F700" i="1"/>
  <c r="E700" i="1"/>
  <c r="B700" i="1"/>
  <c r="A700" i="1"/>
  <c r="AO699" i="1"/>
  <c r="AL699" i="1"/>
  <c r="R699" i="1"/>
  <c r="O699" i="1"/>
  <c r="J699" i="1"/>
  <c r="I699" i="1"/>
  <c r="F699" i="1"/>
  <c r="E699" i="1"/>
  <c r="B699" i="1"/>
  <c r="A699" i="1"/>
  <c r="AO698" i="1"/>
  <c r="AL698" i="1"/>
  <c r="R698" i="1"/>
  <c r="J698" i="1"/>
  <c r="I698" i="1"/>
  <c r="F698" i="1"/>
  <c r="E698" i="1"/>
  <c r="B698" i="1"/>
  <c r="A698" i="1"/>
  <c r="AN698" i="1" s="1"/>
  <c r="AO697" i="1"/>
  <c r="AL697" i="1"/>
  <c r="R697" i="1"/>
  <c r="O697" i="1"/>
  <c r="J697" i="1"/>
  <c r="I697" i="1"/>
  <c r="F697" i="1"/>
  <c r="E697" i="1"/>
  <c r="B697" i="1"/>
  <c r="A697" i="1"/>
  <c r="AO696" i="1"/>
  <c r="AL696" i="1"/>
  <c r="R696" i="1"/>
  <c r="O696" i="1"/>
  <c r="J696" i="1"/>
  <c r="I696" i="1"/>
  <c r="F696" i="1"/>
  <c r="E696" i="1"/>
  <c r="B696" i="1"/>
  <c r="X696" i="1" s="1"/>
  <c r="A696" i="1"/>
  <c r="AO695" i="1"/>
  <c r="AL695" i="1"/>
  <c r="R695" i="1"/>
  <c r="J695" i="1"/>
  <c r="I695" i="1"/>
  <c r="F695" i="1"/>
  <c r="E695" i="1"/>
  <c r="B695" i="1"/>
  <c r="A695" i="1"/>
  <c r="AO694" i="1"/>
  <c r="AL694" i="1"/>
  <c r="R694" i="1"/>
  <c r="O694" i="1"/>
  <c r="J694" i="1"/>
  <c r="I694" i="1"/>
  <c r="F694" i="1"/>
  <c r="E694" i="1"/>
  <c r="B694" i="1"/>
  <c r="A694" i="1"/>
  <c r="AO693" i="1"/>
  <c r="AL693" i="1"/>
  <c r="R693" i="1"/>
  <c r="J693" i="1"/>
  <c r="I693" i="1"/>
  <c r="F693" i="1"/>
  <c r="E693" i="1"/>
  <c r="B693" i="1"/>
  <c r="A693" i="1"/>
  <c r="AO692" i="1"/>
  <c r="AL692" i="1"/>
  <c r="R692" i="1"/>
  <c r="J692" i="1"/>
  <c r="I692" i="1"/>
  <c r="F692" i="1"/>
  <c r="E692" i="1"/>
  <c r="B692" i="1"/>
  <c r="A692" i="1"/>
  <c r="AO691" i="1"/>
  <c r="AL691" i="1"/>
  <c r="R691" i="1"/>
  <c r="O691" i="1"/>
  <c r="J691" i="1"/>
  <c r="I691" i="1"/>
  <c r="F691" i="1"/>
  <c r="E691" i="1"/>
  <c r="B691" i="1"/>
  <c r="A691" i="1"/>
  <c r="AO690" i="1"/>
  <c r="AL690" i="1"/>
  <c r="R690" i="1"/>
  <c r="J690" i="1"/>
  <c r="I690" i="1"/>
  <c r="F690" i="1"/>
  <c r="E690" i="1"/>
  <c r="B690" i="1"/>
  <c r="A690" i="1"/>
  <c r="AO689" i="1"/>
  <c r="AL689" i="1"/>
  <c r="R689" i="1"/>
  <c r="J689" i="1"/>
  <c r="I689" i="1"/>
  <c r="F689" i="1"/>
  <c r="E689" i="1"/>
  <c r="B689" i="1"/>
  <c r="A689" i="1"/>
  <c r="AO688" i="1"/>
  <c r="AL688" i="1"/>
  <c r="R688" i="1"/>
  <c r="J688" i="1"/>
  <c r="I688" i="1"/>
  <c r="F688" i="1"/>
  <c r="E688" i="1"/>
  <c r="B688" i="1"/>
  <c r="A688" i="1"/>
  <c r="AO687" i="1"/>
  <c r="AL687" i="1"/>
  <c r="R687" i="1"/>
  <c r="J687" i="1"/>
  <c r="I687" i="1"/>
  <c r="F687" i="1"/>
  <c r="E687" i="1"/>
  <c r="B687" i="1"/>
  <c r="A687" i="1"/>
  <c r="AO686" i="1"/>
  <c r="AL686" i="1"/>
  <c r="R686" i="1"/>
  <c r="J686" i="1"/>
  <c r="I686" i="1"/>
  <c r="F686" i="1"/>
  <c r="E686" i="1"/>
  <c r="B686" i="1"/>
  <c r="A686" i="1"/>
  <c r="AO685" i="1"/>
  <c r="AL685" i="1"/>
  <c r="R685" i="1"/>
  <c r="P685" i="1"/>
  <c r="J685" i="1"/>
  <c r="I685" i="1"/>
  <c r="F685" i="1"/>
  <c r="E685" i="1"/>
  <c r="B685" i="1"/>
  <c r="X685" i="1" s="1"/>
  <c r="A685" i="1"/>
  <c r="AO684" i="1"/>
  <c r="AL684" i="1"/>
  <c r="O684" i="1"/>
  <c r="J684" i="1"/>
  <c r="I684" i="1"/>
  <c r="F684" i="1"/>
  <c r="E684" i="1"/>
  <c r="B684" i="1"/>
  <c r="A684" i="1"/>
  <c r="AO683" i="1"/>
  <c r="AL683" i="1"/>
  <c r="R683" i="1"/>
  <c r="P683" i="1"/>
  <c r="J683" i="1"/>
  <c r="I683" i="1"/>
  <c r="F683" i="1"/>
  <c r="E683" i="1"/>
  <c r="B683" i="1"/>
  <c r="X683" i="1" s="1"/>
  <c r="A683" i="1"/>
  <c r="AO682" i="1"/>
  <c r="AL682" i="1"/>
  <c r="R682" i="1"/>
  <c r="P682" i="1"/>
  <c r="J682" i="1"/>
  <c r="I682" i="1"/>
  <c r="F682" i="1"/>
  <c r="E682" i="1"/>
  <c r="B682" i="1"/>
  <c r="A682" i="1"/>
  <c r="AO681" i="1"/>
  <c r="AL681" i="1"/>
  <c r="R681" i="1"/>
  <c r="O681" i="1"/>
  <c r="J681" i="1"/>
  <c r="I681" i="1"/>
  <c r="F681" i="1"/>
  <c r="E681" i="1"/>
  <c r="B681" i="1"/>
  <c r="A681" i="1"/>
  <c r="AN681" i="1" s="1"/>
  <c r="AO680" i="1"/>
  <c r="AL680" i="1"/>
  <c r="R680" i="1"/>
  <c r="J680" i="1"/>
  <c r="I680" i="1"/>
  <c r="F680" i="1"/>
  <c r="E680" i="1"/>
  <c r="B680" i="1"/>
  <c r="X680" i="1" s="1"/>
  <c r="A680" i="1"/>
  <c r="AO679" i="1"/>
  <c r="AL679" i="1"/>
  <c r="R679" i="1"/>
  <c r="O679" i="1"/>
  <c r="J679" i="1"/>
  <c r="I679" i="1"/>
  <c r="F679" i="1"/>
  <c r="E679" i="1"/>
  <c r="B679" i="1"/>
  <c r="A679" i="1"/>
  <c r="AO678" i="1"/>
  <c r="AL678" i="1"/>
  <c r="R678" i="1"/>
  <c r="P678" i="1"/>
  <c r="J678" i="1"/>
  <c r="I678" i="1"/>
  <c r="F678" i="1"/>
  <c r="E678" i="1"/>
  <c r="B678" i="1"/>
  <c r="A678" i="1"/>
  <c r="AO677" i="1"/>
  <c r="AL677" i="1"/>
  <c r="R677" i="1"/>
  <c r="J677" i="1"/>
  <c r="I677" i="1"/>
  <c r="F677" i="1"/>
  <c r="E677" i="1"/>
  <c r="B677" i="1"/>
  <c r="A677" i="1"/>
  <c r="AN677" i="1" s="1"/>
  <c r="AO676" i="1"/>
  <c r="AL676" i="1"/>
  <c r="R676" i="1"/>
  <c r="O676" i="1"/>
  <c r="J676" i="1"/>
  <c r="I676" i="1"/>
  <c r="F676" i="1"/>
  <c r="E676" i="1"/>
  <c r="B676" i="1"/>
  <c r="A676" i="1"/>
  <c r="AO675" i="1"/>
  <c r="AL675" i="1"/>
  <c r="R675" i="1"/>
  <c r="P675" i="1"/>
  <c r="J675" i="1"/>
  <c r="I675" i="1"/>
  <c r="F675" i="1"/>
  <c r="E675" i="1"/>
  <c r="B675" i="1"/>
  <c r="A675" i="1"/>
  <c r="AO674" i="1"/>
  <c r="AL674" i="1"/>
  <c r="R674" i="1"/>
  <c r="J674" i="1"/>
  <c r="I674" i="1"/>
  <c r="F674" i="1"/>
  <c r="E674" i="1"/>
  <c r="B674" i="1"/>
  <c r="A674" i="1"/>
  <c r="AO673" i="1"/>
  <c r="AL673" i="1"/>
  <c r="R673" i="1"/>
  <c r="P673" i="1"/>
  <c r="J673" i="1"/>
  <c r="I673" i="1"/>
  <c r="F673" i="1"/>
  <c r="E673" i="1"/>
  <c r="B673" i="1"/>
  <c r="A673" i="1"/>
  <c r="AO672" i="1"/>
  <c r="AL672" i="1"/>
  <c r="R672" i="1"/>
  <c r="O672" i="1"/>
  <c r="J672" i="1"/>
  <c r="I672" i="1"/>
  <c r="F672" i="1"/>
  <c r="E672" i="1"/>
  <c r="B672" i="1"/>
  <c r="A672" i="1"/>
  <c r="AO671" i="1"/>
  <c r="AL671" i="1"/>
  <c r="R671" i="1"/>
  <c r="J671" i="1"/>
  <c r="I671" i="1"/>
  <c r="F671" i="1"/>
  <c r="E671" i="1"/>
  <c r="B671" i="1"/>
  <c r="A671" i="1"/>
  <c r="AO670" i="1"/>
  <c r="AL670" i="1"/>
  <c r="R670" i="1"/>
  <c r="O670" i="1"/>
  <c r="J670" i="1"/>
  <c r="I670" i="1"/>
  <c r="F670" i="1"/>
  <c r="E670" i="1"/>
  <c r="B670" i="1"/>
  <c r="A670" i="1"/>
  <c r="AO669" i="1"/>
  <c r="AL669" i="1"/>
  <c r="R669" i="1"/>
  <c r="O669" i="1"/>
  <c r="J669" i="1"/>
  <c r="I669" i="1"/>
  <c r="F669" i="1"/>
  <c r="E669" i="1"/>
  <c r="B669" i="1"/>
  <c r="X669" i="1" s="1"/>
  <c r="A669" i="1"/>
  <c r="AO668" i="1"/>
  <c r="AL668" i="1"/>
  <c r="J668" i="1"/>
  <c r="I668" i="1"/>
  <c r="F668" i="1"/>
  <c r="E668" i="1"/>
  <c r="B668" i="1"/>
  <c r="A668" i="1"/>
  <c r="AO667" i="1"/>
  <c r="AL667" i="1"/>
  <c r="R667" i="1"/>
  <c r="J667" i="1"/>
  <c r="I667" i="1"/>
  <c r="F667" i="1"/>
  <c r="E667" i="1"/>
  <c r="B667" i="1"/>
  <c r="X667" i="1" s="1"/>
  <c r="A667" i="1"/>
  <c r="AO666" i="1"/>
  <c r="AL666" i="1"/>
  <c r="R666" i="1"/>
  <c r="P666" i="1"/>
  <c r="J666" i="1"/>
  <c r="I666" i="1"/>
  <c r="F666" i="1"/>
  <c r="E666" i="1"/>
  <c r="B666" i="1"/>
  <c r="X666" i="1" s="1"/>
  <c r="A666" i="1"/>
  <c r="AO665" i="1"/>
  <c r="AL665" i="1"/>
  <c r="R665" i="1"/>
  <c r="P665" i="1"/>
  <c r="J665" i="1"/>
  <c r="I665" i="1"/>
  <c r="F665" i="1"/>
  <c r="E665" i="1"/>
  <c r="B665" i="1"/>
  <c r="X665" i="1" s="1"/>
  <c r="A665" i="1"/>
  <c r="AO664" i="1"/>
  <c r="AL664" i="1"/>
  <c r="R664" i="1"/>
  <c r="J664" i="1"/>
  <c r="I664" i="1"/>
  <c r="F664" i="1"/>
  <c r="E664" i="1"/>
  <c r="B664" i="1"/>
  <c r="X664" i="1" s="1"/>
  <c r="A664" i="1"/>
  <c r="AO663" i="1"/>
  <c r="AL663" i="1"/>
  <c r="R663" i="1"/>
  <c r="P663" i="1"/>
  <c r="J663" i="1"/>
  <c r="I663" i="1"/>
  <c r="F663" i="1"/>
  <c r="E663" i="1"/>
  <c r="B663" i="1"/>
  <c r="A663" i="1"/>
  <c r="AO662" i="1"/>
  <c r="AL662" i="1"/>
  <c r="R662" i="1"/>
  <c r="J662" i="1"/>
  <c r="I662" i="1"/>
  <c r="F662" i="1"/>
  <c r="E662" i="1"/>
  <c r="B662" i="1"/>
  <c r="A662" i="1"/>
  <c r="AN662" i="1" s="1"/>
  <c r="AO661" i="1"/>
  <c r="AL661" i="1"/>
  <c r="R661" i="1"/>
  <c r="P661" i="1"/>
  <c r="J661" i="1"/>
  <c r="I661" i="1"/>
  <c r="F661" i="1"/>
  <c r="E661" i="1"/>
  <c r="B661" i="1"/>
  <c r="A661" i="1"/>
  <c r="AN661" i="1" s="1"/>
  <c r="AO660" i="1"/>
  <c r="AL660" i="1"/>
  <c r="R660" i="1"/>
  <c r="O660" i="1"/>
  <c r="J660" i="1"/>
  <c r="I660" i="1"/>
  <c r="F660" i="1"/>
  <c r="E660" i="1"/>
  <c r="B660" i="1"/>
  <c r="A660" i="1"/>
  <c r="AO659" i="1"/>
  <c r="AL659" i="1"/>
  <c r="R659" i="1"/>
  <c r="P659" i="1"/>
  <c r="J659" i="1"/>
  <c r="I659" i="1"/>
  <c r="F659" i="1"/>
  <c r="E659" i="1"/>
  <c r="B659" i="1"/>
  <c r="A659" i="1"/>
  <c r="AO658" i="1"/>
  <c r="AL658" i="1"/>
  <c r="R658" i="1"/>
  <c r="J658" i="1"/>
  <c r="I658" i="1"/>
  <c r="F658" i="1"/>
  <c r="E658" i="1"/>
  <c r="B658" i="1"/>
  <c r="X658" i="1" s="1"/>
  <c r="A658" i="1"/>
  <c r="AO657" i="1"/>
  <c r="AL657" i="1"/>
  <c r="R657" i="1"/>
  <c r="J657" i="1"/>
  <c r="I657" i="1"/>
  <c r="F657" i="1"/>
  <c r="E657" i="1"/>
  <c r="B657" i="1"/>
  <c r="A657" i="1"/>
  <c r="AO656" i="1"/>
  <c r="AL656" i="1"/>
  <c r="R656" i="1"/>
  <c r="P656" i="1"/>
  <c r="J656" i="1"/>
  <c r="I656" i="1"/>
  <c r="F656" i="1"/>
  <c r="E656" i="1"/>
  <c r="B656" i="1"/>
  <c r="X656" i="1" s="1"/>
  <c r="A656" i="1"/>
  <c r="AO655" i="1"/>
  <c r="AL655" i="1"/>
  <c r="R655" i="1"/>
  <c r="J655" i="1"/>
  <c r="I655" i="1"/>
  <c r="F655" i="1"/>
  <c r="E655" i="1"/>
  <c r="B655" i="1"/>
  <c r="X655" i="1" s="1"/>
  <c r="A655" i="1"/>
  <c r="AO654" i="1"/>
  <c r="AL654" i="1"/>
  <c r="R654" i="1"/>
  <c r="P654" i="1"/>
  <c r="J654" i="1"/>
  <c r="I654" i="1"/>
  <c r="F654" i="1"/>
  <c r="E654" i="1"/>
  <c r="B654" i="1"/>
  <c r="A654" i="1"/>
  <c r="AN654" i="1" s="1"/>
  <c r="AO653" i="1"/>
  <c r="AL653" i="1"/>
  <c r="R653" i="1"/>
  <c r="O653" i="1"/>
  <c r="J653" i="1"/>
  <c r="I653" i="1"/>
  <c r="F653" i="1"/>
  <c r="E653" i="1"/>
  <c r="B653" i="1"/>
  <c r="A653" i="1"/>
  <c r="AO652" i="1"/>
  <c r="AL652" i="1"/>
  <c r="R652" i="1"/>
  <c r="P652" i="1"/>
  <c r="J652" i="1"/>
  <c r="I652" i="1"/>
  <c r="F652" i="1"/>
  <c r="E652" i="1"/>
  <c r="B652" i="1"/>
  <c r="A652" i="1"/>
  <c r="AO651" i="1"/>
  <c r="AL651" i="1"/>
  <c r="R651" i="1"/>
  <c r="O651" i="1"/>
  <c r="J651" i="1"/>
  <c r="I651" i="1"/>
  <c r="F651" i="1"/>
  <c r="E651" i="1"/>
  <c r="B651" i="1"/>
  <c r="A651" i="1"/>
  <c r="AN651" i="1" s="1"/>
  <c r="AO650" i="1"/>
  <c r="AL650" i="1"/>
  <c r="P650" i="1"/>
  <c r="J650" i="1"/>
  <c r="I650" i="1"/>
  <c r="F650" i="1"/>
  <c r="E650" i="1"/>
  <c r="B650" i="1"/>
  <c r="X650" i="1" s="1"/>
  <c r="A650" i="1"/>
  <c r="AN650" i="1" s="1"/>
  <c r="AO649" i="1"/>
  <c r="AL649" i="1"/>
  <c r="R649" i="1"/>
  <c r="J649" i="1"/>
  <c r="I649" i="1"/>
  <c r="F649" i="1"/>
  <c r="E649" i="1"/>
  <c r="B649" i="1"/>
  <c r="A649" i="1"/>
  <c r="AO648" i="1"/>
  <c r="AL648" i="1"/>
  <c r="J648" i="1"/>
  <c r="I648" i="1"/>
  <c r="F648" i="1"/>
  <c r="E648" i="1"/>
  <c r="B648" i="1"/>
  <c r="X648" i="1" s="1"/>
  <c r="A648" i="1"/>
  <c r="AO647" i="1"/>
  <c r="AL647" i="1"/>
  <c r="R647" i="1"/>
  <c r="J647" i="1"/>
  <c r="I647" i="1"/>
  <c r="F647" i="1"/>
  <c r="E647" i="1"/>
  <c r="B647" i="1"/>
  <c r="A647" i="1"/>
  <c r="AO646" i="1"/>
  <c r="AL646" i="1"/>
  <c r="R646" i="1"/>
  <c r="J646" i="1"/>
  <c r="I646" i="1"/>
  <c r="F646" i="1"/>
  <c r="E646" i="1"/>
  <c r="B646" i="1"/>
  <c r="A646" i="1"/>
  <c r="AO645" i="1"/>
  <c r="AL645" i="1"/>
  <c r="R645" i="1"/>
  <c r="O645" i="1"/>
  <c r="J645" i="1"/>
  <c r="I645" i="1"/>
  <c r="F645" i="1"/>
  <c r="E645" i="1"/>
  <c r="B645" i="1"/>
  <c r="A645" i="1"/>
  <c r="AO644" i="1"/>
  <c r="AL644" i="1"/>
  <c r="J644" i="1"/>
  <c r="I644" i="1"/>
  <c r="F644" i="1"/>
  <c r="E644" i="1"/>
  <c r="B644" i="1"/>
  <c r="X644" i="1" s="1"/>
  <c r="A644" i="1"/>
  <c r="AO643" i="1"/>
  <c r="AL643" i="1"/>
  <c r="R643" i="1"/>
  <c r="J643" i="1"/>
  <c r="I643" i="1"/>
  <c r="F643" i="1"/>
  <c r="E643" i="1"/>
  <c r="B643" i="1"/>
  <c r="A643" i="1"/>
  <c r="AO642" i="1"/>
  <c r="AL642" i="1"/>
  <c r="R642" i="1"/>
  <c r="O642" i="1"/>
  <c r="J642" i="1"/>
  <c r="I642" i="1"/>
  <c r="F642" i="1"/>
  <c r="E642" i="1"/>
  <c r="B642" i="1"/>
  <c r="A642" i="1"/>
  <c r="AO641" i="1"/>
  <c r="AL641" i="1"/>
  <c r="R641" i="1"/>
  <c r="O641" i="1"/>
  <c r="J641" i="1"/>
  <c r="I641" i="1"/>
  <c r="F641" i="1"/>
  <c r="E641" i="1"/>
  <c r="B641" i="1"/>
  <c r="A641" i="1"/>
  <c r="AN641" i="1" s="1"/>
  <c r="AO640" i="1"/>
  <c r="AL640" i="1"/>
  <c r="R640" i="1"/>
  <c r="J640" i="1"/>
  <c r="I640" i="1"/>
  <c r="F640" i="1"/>
  <c r="E640" i="1"/>
  <c r="B640" i="1"/>
  <c r="X640" i="1" s="1"/>
  <c r="A640" i="1"/>
  <c r="AN640" i="1" s="1"/>
  <c r="AO639" i="1"/>
  <c r="AL639" i="1"/>
  <c r="R639" i="1"/>
  <c r="O639" i="1"/>
  <c r="J639" i="1"/>
  <c r="I639" i="1"/>
  <c r="F639" i="1"/>
  <c r="E639" i="1"/>
  <c r="B639" i="1"/>
  <c r="A639" i="1"/>
  <c r="AO638" i="1"/>
  <c r="AL638" i="1"/>
  <c r="R638" i="1"/>
  <c r="J638" i="1"/>
  <c r="I638" i="1"/>
  <c r="F638" i="1"/>
  <c r="E638" i="1"/>
  <c r="B638" i="1"/>
  <c r="A638" i="1"/>
  <c r="AN638" i="1" s="1"/>
  <c r="AO637" i="1"/>
  <c r="AL637" i="1"/>
  <c r="R637" i="1"/>
  <c r="P637" i="1"/>
  <c r="J637" i="1"/>
  <c r="I637" i="1"/>
  <c r="F637" i="1"/>
  <c r="E637" i="1"/>
  <c r="B637" i="1"/>
  <c r="A637" i="1"/>
  <c r="AO636" i="1"/>
  <c r="AL636" i="1"/>
  <c r="R636" i="1"/>
  <c r="P636" i="1"/>
  <c r="J636" i="1"/>
  <c r="I636" i="1"/>
  <c r="F636" i="1"/>
  <c r="E636" i="1"/>
  <c r="B636" i="1"/>
  <c r="X636" i="1" s="1"/>
  <c r="A636" i="1"/>
  <c r="AN636" i="1" s="1"/>
  <c r="AO635" i="1"/>
  <c r="AL635" i="1"/>
  <c r="R635" i="1"/>
  <c r="J635" i="1"/>
  <c r="I635" i="1"/>
  <c r="F635" i="1"/>
  <c r="E635" i="1"/>
  <c r="B635" i="1"/>
  <c r="X635" i="1" s="1"/>
  <c r="A635" i="1"/>
  <c r="AN635" i="1" s="1"/>
  <c r="AO634" i="1"/>
  <c r="AL634" i="1"/>
  <c r="R634" i="1"/>
  <c r="J634" i="1"/>
  <c r="I634" i="1"/>
  <c r="F634" i="1"/>
  <c r="E634" i="1"/>
  <c r="B634" i="1"/>
  <c r="X634" i="1" s="1"/>
  <c r="A634" i="1"/>
  <c r="AO633" i="1"/>
  <c r="AL633" i="1"/>
  <c r="R633" i="1"/>
  <c r="P633" i="1"/>
  <c r="J633" i="1"/>
  <c r="I633" i="1"/>
  <c r="F633" i="1"/>
  <c r="E633" i="1"/>
  <c r="B633" i="1"/>
  <c r="A633" i="1"/>
  <c r="AO632" i="1"/>
  <c r="AL632" i="1"/>
  <c r="R632" i="1"/>
  <c r="J632" i="1"/>
  <c r="I632" i="1"/>
  <c r="F632" i="1"/>
  <c r="E632" i="1"/>
  <c r="B632" i="1"/>
  <c r="X632" i="1" s="1"/>
  <c r="A632" i="1"/>
  <c r="AO631" i="1"/>
  <c r="AL631" i="1"/>
  <c r="R631" i="1"/>
  <c r="P631" i="1"/>
  <c r="J631" i="1"/>
  <c r="I631" i="1"/>
  <c r="F631" i="1"/>
  <c r="E631" i="1"/>
  <c r="B631" i="1"/>
  <c r="X631" i="1" s="1"/>
  <c r="A631" i="1"/>
  <c r="AO630" i="1"/>
  <c r="AL630" i="1"/>
  <c r="R630" i="1"/>
  <c r="J630" i="1"/>
  <c r="I630" i="1"/>
  <c r="F630" i="1"/>
  <c r="E630" i="1"/>
  <c r="B630" i="1"/>
  <c r="A630" i="1"/>
  <c r="AO629" i="1"/>
  <c r="AL629" i="1"/>
  <c r="R629" i="1"/>
  <c r="J629" i="1"/>
  <c r="I629" i="1"/>
  <c r="F629" i="1"/>
  <c r="E629" i="1"/>
  <c r="B629" i="1"/>
  <c r="A629" i="1"/>
  <c r="AO628" i="1"/>
  <c r="AL628" i="1"/>
  <c r="R628" i="1"/>
  <c r="J628" i="1"/>
  <c r="I628" i="1"/>
  <c r="F628" i="1"/>
  <c r="E628" i="1"/>
  <c r="B628" i="1"/>
  <c r="X628" i="1" s="1"/>
  <c r="A628" i="1"/>
  <c r="AO627" i="1"/>
  <c r="AL627" i="1"/>
  <c r="R627" i="1"/>
  <c r="J627" i="1"/>
  <c r="I627" i="1"/>
  <c r="F627" i="1"/>
  <c r="E627" i="1"/>
  <c r="B627" i="1"/>
  <c r="A627" i="1"/>
  <c r="AO626" i="1"/>
  <c r="AL626" i="1"/>
  <c r="R626" i="1"/>
  <c r="J626" i="1"/>
  <c r="I626" i="1"/>
  <c r="F626" i="1"/>
  <c r="E626" i="1"/>
  <c r="B626" i="1"/>
  <c r="A626" i="1"/>
  <c r="AO625" i="1"/>
  <c r="AL625" i="1"/>
  <c r="R625" i="1"/>
  <c r="P625" i="1"/>
  <c r="J625" i="1"/>
  <c r="I625" i="1"/>
  <c r="F625" i="1"/>
  <c r="E625" i="1"/>
  <c r="B625" i="1"/>
  <c r="A625" i="1"/>
  <c r="AO624" i="1"/>
  <c r="AL624" i="1"/>
  <c r="R624" i="1"/>
  <c r="J624" i="1"/>
  <c r="I624" i="1"/>
  <c r="F624" i="1"/>
  <c r="E624" i="1"/>
  <c r="B624" i="1"/>
  <c r="X624" i="1" s="1"/>
  <c r="A624" i="1"/>
  <c r="AO623" i="1"/>
  <c r="AL623" i="1"/>
  <c r="R623" i="1"/>
  <c r="J623" i="1"/>
  <c r="I623" i="1"/>
  <c r="F623" i="1"/>
  <c r="E623" i="1"/>
  <c r="B623" i="1"/>
  <c r="A623" i="1"/>
  <c r="AO622" i="1"/>
  <c r="AL622" i="1"/>
  <c r="R622" i="1"/>
  <c r="J622" i="1"/>
  <c r="I622" i="1"/>
  <c r="F622" i="1"/>
  <c r="E622" i="1"/>
  <c r="B622" i="1"/>
  <c r="X622" i="1" s="1"/>
  <c r="A622" i="1"/>
  <c r="AO621" i="1"/>
  <c r="AL621" i="1"/>
  <c r="R621" i="1"/>
  <c r="P621" i="1"/>
  <c r="J621" i="1"/>
  <c r="I621" i="1"/>
  <c r="F621" i="1"/>
  <c r="E621" i="1"/>
  <c r="B621" i="1"/>
  <c r="A621" i="1"/>
  <c r="AO620" i="1"/>
  <c r="AL620" i="1"/>
  <c r="R620" i="1"/>
  <c r="P620" i="1"/>
  <c r="J620" i="1"/>
  <c r="I620" i="1"/>
  <c r="F620" i="1"/>
  <c r="E620" i="1"/>
  <c r="B620" i="1"/>
  <c r="A620" i="1"/>
  <c r="AN620" i="1" s="1"/>
  <c r="AO619" i="1"/>
  <c r="AL619" i="1"/>
  <c r="R619" i="1"/>
  <c r="P619" i="1"/>
  <c r="J619" i="1"/>
  <c r="I619" i="1"/>
  <c r="F619" i="1"/>
  <c r="E619" i="1"/>
  <c r="B619" i="1"/>
  <c r="A619" i="1"/>
  <c r="AO618" i="1"/>
  <c r="AL618" i="1"/>
  <c r="R618" i="1"/>
  <c r="J618" i="1"/>
  <c r="I618" i="1"/>
  <c r="F618" i="1"/>
  <c r="E618" i="1"/>
  <c r="B618" i="1"/>
  <c r="A618" i="1"/>
  <c r="AN618" i="1" s="1"/>
  <c r="AO617" i="1"/>
  <c r="AL617" i="1"/>
  <c r="R617" i="1"/>
  <c r="P617" i="1"/>
  <c r="J617" i="1"/>
  <c r="I617" i="1"/>
  <c r="F617" i="1"/>
  <c r="E617" i="1"/>
  <c r="B617" i="1"/>
  <c r="X617" i="1" s="1"/>
  <c r="A617" i="1"/>
  <c r="AO616" i="1"/>
  <c r="AL616" i="1"/>
  <c r="R616" i="1"/>
  <c r="J616" i="1"/>
  <c r="I616" i="1"/>
  <c r="F616" i="1"/>
  <c r="E616" i="1"/>
  <c r="B616" i="1"/>
  <c r="X616" i="1" s="1"/>
  <c r="A616" i="1"/>
  <c r="AO615" i="1"/>
  <c r="AL615" i="1"/>
  <c r="R615" i="1"/>
  <c r="J615" i="1"/>
  <c r="I615" i="1"/>
  <c r="F615" i="1"/>
  <c r="E615" i="1"/>
  <c r="B615" i="1"/>
  <c r="X615" i="1" s="1"/>
  <c r="A615" i="1"/>
  <c r="AO614" i="1"/>
  <c r="AL614" i="1"/>
  <c r="R614" i="1"/>
  <c r="O614" i="1"/>
  <c r="J614" i="1"/>
  <c r="I614" i="1"/>
  <c r="F614" i="1"/>
  <c r="E614" i="1"/>
  <c r="B614" i="1"/>
  <c r="X614" i="1" s="1"/>
  <c r="A614" i="1"/>
  <c r="AN614" i="1" s="1"/>
  <c r="AO613" i="1"/>
  <c r="AL613" i="1"/>
  <c r="R613" i="1"/>
  <c r="O613" i="1"/>
  <c r="J613" i="1"/>
  <c r="I613" i="1"/>
  <c r="F613" i="1"/>
  <c r="E613" i="1"/>
  <c r="B613" i="1"/>
  <c r="X613" i="1" s="1"/>
  <c r="A613" i="1"/>
  <c r="AO612" i="1"/>
  <c r="AL612" i="1"/>
  <c r="R612" i="1"/>
  <c r="J612" i="1"/>
  <c r="I612" i="1"/>
  <c r="F612" i="1"/>
  <c r="E612" i="1"/>
  <c r="B612" i="1"/>
  <c r="X612" i="1" s="1"/>
  <c r="A612" i="1"/>
  <c r="AO611" i="1"/>
  <c r="AL611" i="1"/>
  <c r="R611" i="1"/>
  <c r="J611" i="1"/>
  <c r="I611" i="1"/>
  <c r="F611" i="1"/>
  <c r="E611" i="1"/>
  <c r="B611" i="1"/>
  <c r="X611" i="1" s="1"/>
  <c r="A611" i="1"/>
  <c r="AO610" i="1"/>
  <c r="AL610" i="1"/>
  <c r="R610" i="1"/>
  <c r="J610" i="1"/>
  <c r="I610" i="1"/>
  <c r="F610" i="1"/>
  <c r="E610" i="1"/>
  <c r="B610" i="1"/>
  <c r="A610" i="1"/>
  <c r="AO609" i="1"/>
  <c r="AL609" i="1"/>
  <c r="R609" i="1"/>
  <c r="J609" i="1"/>
  <c r="I609" i="1"/>
  <c r="F609" i="1"/>
  <c r="E609" i="1"/>
  <c r="B609" i="1"/>
  <c r="A609" i="1"/>
  <c r="AO608" i="1"/>
  <c r="AL608" i="1"/>
  <c r="R608" i="1"/>
  <c r="J608" i="1"/>
  <c r="I608" i="1"/>
  <c r="F608" i="1"/>
  <c r="E608" i="1"/>
  <c r="B608" i="1"/>
  <c r="A608" i="1"/>
  <c r="AO607" i="1"/>
  <c r="AL607" i="1"/>
  <c r="R607" i="1"/>
  <c r="J607" i="1"/>
  <c r="I607" i="1"/>
  <c r="F607" i="1"/>
  <c r="E607" i="1"/>
  <c r="B607" i="1"/>
  <c r="A607" i="1"/>
  <c r="AO606" i="1"/>
  <c r="AL606" i="1"/>
  <c r="R606" i="1"/>
  <c r="J606" i="1"/>
  <c r="I606" i="1"/>
  <c r="F606" i="1"/>
  <c r="E606" i="1"/>
  <c r="B606" i="1"/>
  <c r="A606" i="1"/>
  <c r="AN606" i="1" s="1"/>
  <c r="AO605" i="1"/>
  <c r="AL605" i="1"/>
  <c r="R605" i="1"/>
  <c r="J605" i="1"/>
  <c r="I605" i="1"/>
  <c r="F605" i="1"/>
  <c r="E605" i="1"/>
  <c r="B605" i="1"/>
  <c r="A605" i="1"/>
  <c r="AO604" i="1"/>
  <c r="AL604" i="1"/>
  <c r="R604" i="1"/>
  <c r="J604" i="1"/>
  <c r="I604" i="1"/>
  <c r="F604" i="1"/>
  <c r="E604" i="1"/>
  <c r="B604" i="1"/>
  <c r="A604" i="1"/>
  <c r="AO603" i="1"/>
  <c r="AL603" i="1"/>
  <c r="R603" i="1"/>
  <c r="J603" i="1"/>
  <c r="I603" i="1"/>
  <c r="F603" i="1"/>
  <c r="E603" i="1"/>
  <c r="B603" i="1"/>
  <c r="A603" i="1"/>
  <c r="AO602" i="1"/>
  <c r="AL602" i="1"/>
  <c r="R602" i="1"/>
  <c r="J602" i="1"/>
  <c r="I602" i="1"/>
  <c r="F602" i="1"/>
  <c r="E602" i="1"/>
  <c r="B602" i="1"/>
  <c r="A602" i="1"/>
  <c r="AO601" i="1"/>
  <c r="AL601" i="1"/>
  <c r="R601" i="1"/>
  <c r="J601" i="1"/>
  <c r="I601" i="1"/>
  <c r="F601" i="1"/>
  <c r="E601" i="1"/>
  <c r="B601" i="1"/>
  <c r="A601" i="1"/>
  <c r="AN601" i="1" s="1"/>
  <c r="AO600" i="1"/>
  <c r="AL600" i="1"/>
  <c r="R600" i="1"/>
  <c r="P600" i="1"/>
  <c r="J600" i="1"/>
  <c r="I600" i="1"/>
  <c r="F600" i="1"/>
  <c r="E600" i="1"/>
  <c r="B600" i="1"/>
  <c r="A600" i="1"/>
  <c r="AO599" i="1"/>
  <c r="AL599" i="1"/>
  <c r="R599" i="1"/>
  <c r="J599" i="1"/>
  <c r="I599" i="1"/>
  <c r="F599" i="1"/>
  <c r="E599" i="1"/>
  <c r="B599" i="1"/>
  <c r="A599" i="1"/>
  <c r="AO598" i="1"/>
  <c r="AL598" i="1"/>
  <c r="R598" i="1"/>
  <c r="J598" i="1"/>
  <c r="I598" i="1"/>
  <c r="F598" i="1"/>
  <c r="E598" i="1"/>
  <c r="B598" i="1"/>
  <c r="X598" i="1" s="1"/>
  <c r="A598" i="1"/>
  <c r="AN598" i="1" s="1"/>
  <c r="AO597" i="1"/>
  <c r="AL597" i="1"/>
  <c r="R597" i="1"/>
  <c r="P597" i="1"/>
  <c r="J597" i="1"/>
  <c r="I597" i="1"/>
  <c r="F597" i="1"/>
  <c r="E597" i="1"/>
  <c r="B597" i="1"/>
  <c r="X597" i="1" s="1"/>
  <c r="A597" i="1"/>
  <c r="AO596" i="1"/>
  <c r="AL596" i="1"/>
  <c r="J596" i="1"/>
  <c r="I596" i="1"/>
  <c r="F596" i="1"/>
  <c r="E596" i="1"/>
  <c r="B596" i="1"/>
  <c r="A596" i="1"/>
  <c r="AO595" i="1"/>
  <c r="AL595" i="1"/>
  <c r="R595" i="1"/>
  <c r="P595" i="1"/>
  <c r="J595" i="1"/>
  <c r="I595" i="1"/>
  <c r="F595" i="1"/>
  <c r="E595" i="1"/>
  <c r="B595" i="1"/>
  <c r="A595" i="1"/>
  <c r="AO594" i="1"/>
  <c r="AL594" i="1"/>
  <c r="J594" i="1"/>
  <c r="I594" i="1"/>
  <c r="F594" i="1"/>
  <c r="E594" i="1"/>
  <c r="B594" i="1"/>
  <c r="A594" i="1"/>
  <c r="AO593" i="1"/>
  <c r="AL593" i="1"/>
  <c r="R593" i="1"/>
  <c r="P593" i="1"/>
  <c r="J593" i="1"/>
  <c r="I593" i="1"/>
  <c r="F593" i="1"/>
  <c r="E593" i="1"/>
  <c r="B593" i="1"/>
  <c r="A593" i="1"/>
  <c r="AO592" i="1"/>
  <c r="AL592" i="1"/>
  <c r="R592" i="1"/>
  <c r="O592" i="1"/>
  <c r="J592" i="1"/>
  <c r="I592" i="1"/>
  <c r="F592" i="1"/>
  <c r="E592" i="1"/>
  <c r="B592" i="1"/>
  <c r="A592" i="1"/>
  <c r="AO591" i="1"/>
  <c r="AL591" i="1"/>
  <c r="R591" i="1"/>
  <c r="P591" i="1"/>
  <c r="J591" i="1"/>
  <c r="I591" i="1"/>
  <c r="F591" i="1"/>
  <c r="E591" i="1"/>
  <c r="B591" i="1"/>
  <c r="X591" i="1" s="1"/>
  <c r="A591" i="1"/>
  <c r="AO590" i="1"/>
  <c r="AL590" i="1"/>
  <c r="R590" i="1"/>
  <c r="J590" i="1"/>
  <c r="I590" i="1"/>
  <c r="F590" i="1"/>
  <c r="E590" i="1"/>
  <c r="B590" i="1"/>
  <c r="X590" i="1" s="1"/>
  <c r="A590" i="1"/>
  <c r="AO589" i="1"/>
  <c r="AL589" i="1"/>
  <c r="R589" i="1"/>
  <c r="J589" i="1"/>
  <c r="I589" i="1"/>
  <c r="F589" i="1"/>
  <c r="E589" i="1"/>
  <c r="B589" i="1"/>
  <c r="A589" i="1"/>
  <c r="AO588" i="1"/>
  <c r="AL588" i="1"/>
  <c r="R588" i="1"/>
  <c r="O588" i="1"/>
  <c r="J588" i="1"/>
  <c r="I588" i="1"/>
  <c r="F588" i="1"/>
  <c r="E588" i="1"/>
  <c r="B588" i="1"/>
  <c r="A588" i="1"/>
  <c r="AO587" i="1"/>
  <c r="AL587" i="1"/>
  <c r="R587" i="1"/>
  <c r="O587" i="1"/>
  <c r="J587" i="1"/>
  <c r="I587" i="1"/>
  <c r="F587" i="1"/>
  <c r="E587" i="1"/>
  <c r="B587" i="1"/>
  <c r="A587" i="1"/>
  <c r="AO586" i="1"/>
  <c r="AL586" i="1"/>
  <c r="R586" i="1"/>
  <c r="J586" i="1"/>
  <c r="I586" i="1"/>
  <c r="F586" i="1"/>
  <c r="E586" i="1"/>
  <c r="B586" i="1"/>
  <c r="X586" i="1" s="1"/>
  <c r="A586" i="1"/>
  <c r="AO585" i="1"/>
  <c r="AL585" i="1"/>
  <c r="R585" i="1"/>
  <c r="P585" i="1"/>
  <c r="J585" i="1"/>
  <c r="I585" i="1"/>
  <c r="F585" i="1"/>
  <c r="E585" i="1"/>
  <c r="B585" i="1"/>
  <c r="A585" i="1"/>
  <c r="AO584" i="1"/>
  <c r="AL584" i="1"/>
  <c r="R584" i="1"/>
  <c r="P584" i="1"/>
  <c r="J584" i="1"/>
  <c r="I584" i="1"/>
  <c r="F584" i="1"/>
  <c r="E584" i="1"/>
  <c r="B584" i="1"/>
  <c r="A584" i="1"/>
  <c r="AN584" i="1" s="1"/>
  <c r="AO583" i="1"/>
  <c r="AL583" i="1"/>
  <c r="R583" i="1"/>
  <c r="J583" i="1"/>
  <c r="I583" i="1"/>
  <c r="F583" i="1"/>
  <c r="E583" i="1"/>
  <c r="B583" i="1"/>
  <c r="A583" i="1"/>
  <c r="AO582" i="1"/>
  <c r="AL582" i="1"/>
  <c r="R582" i="1"/>
  <c r="O582" i="1"/>
  <c r="J582" i="1"/>
  <c r="I582" i="1"/>
  <c r="F582" i="1"/>
  <c r="E582" i="1"/>
  <c r="B582" i="1"/>
  <c r="A582" i="1"/>
  <c r="AO581" i="1"/>
  <c r="AL581" i="1"/>
  <c r="R581" i="1"/>
  <c r="J581" i="1"/>
  <c r="I581" i="1"/>
  <c r="F581" i="1"/>
  <c r="E581" i="1"/>
  <c r="B581" i="1"/>
  <c r="X581" i="1" s="1"/>
  <c r="A581" i="1"/>
  <c r="AO580" i="1"/>
  <c r="AL580" i="1"/>
  <c r="R580" i="1"/>
  <c r="J580" i="1"/>
  <c r="I580" i="1"/>
  <c r="F580" i="1"/>
  <c r="E580" i="1"/>
  <c r="B580" i="1"/>
  <c r="A580" i="1"/>
  <c r="AO579" i="1"/>
  <c r="AL579" i="1"/>
  <c r="J579" i="1"/>
  <c r="I579" i="1"/>
  <c r="F579" i="1"/>
  <c r="E579" i="1"/>
  <c r="B579" i="1"/>
  <c r="X579" i="1" s="1"/>
  <c r="A579" i="1"/>
  <c r="AO578" i="1"/>
  <c r="AL578" i="1"/>
  <c r="R578" i="1"/>
  <c r="P578" i="1"/>
  <c r="J578" i="1"/>
  <c r="I578" i="1"/>
  <c r="F578" i="1"/>
  <c r="E578" i="1"/>
  <c r="B578" i="1"/>
  <c r="A578" i="1"/>
  <c r="AO577" i="1"/>
  <c r="AL577" i="1"/>
  <c r="R577" i="1"/>
  <c r="J577" i="1"/>
  <c r="I577" i="1"/>
  <c r="F577" i="1"/>
  <c r="E577" i="1"/>
  <c r="B577" i="1"/>
  <c r="A577" i="1"/>
  <c r="AO576" i="1"/>
  <c r="AL576" i="1"/>
  <c r="P576" i="1"/>
  <c r="J576" i="1"/>
  <c r="I576" i="1"/>
  <c r="F576" i="1"/>
  <c r="E576" i="1"/>
  <c r="B576" i="1"/>
  <c r="X576" i="1" s="1"/>
  <c r="A576" i="1"/>
  <c r="AO575" i="1"/>
  <c r="AL575" i="1"/>
  <c r="R575" i="1"/>
  <c r="J575" i="1"/>
  <c r="I575" i="1"/>
  <c r="F575" i="1"/>
  <c r="E575" i="1"/>
  <c r="B575" i="1"/>
  <c r="A575" i="1"/>
  <c r="AO574" i="1"/>
  <c r="AL574" i="1"/>
  <c r="R574" i="1"/>
  <c r="J574" i="1"/>
  <c r="I574" i="1"/>
  <c r="F574" i="1"/>
  <c r="E574" i="1"/>
  <c r="B574" i="1"/>
  <c r="A574" i="1"/>
  <c r="AO573" i="1"/>
  <c r="AL573" i="1"/>
  <c r="R573" i="1"/>
  <c r="P573" i="1"/>
  <c r="J573" i="1"/>
  <c r="I573" i="1"/>
  <c r="F573" i="1"/>
  <c r="E573" i="1"/>
  <c r="B573" i="1"/>
  <c r="A573" i="1"/>
  <c r="AO572" i="1"/>
  <c r="AL572" i="1"/>
  <c r="R572" i="1"/>
  <c r="P572" i="1"/>
  <c r="J572" i="1"/>
  <c r="I572" i="1"/>
  <c r="F572" i="1"/>
  <c r="E572" i="1"/>
  <c r="B572" i="1"/>
  <c r="A572" i="1"/>
  <c r="AO571" i="1"/>
  <c r="AL571" i="1"/>
  <c r="R571" i="1"/>
  <c r="J571" i="1"/>
  <c r="I571" i="1"/>
  <c r="F571" i="1"/>
  <c r="E571" i="1"/>
  <c r="B571" i="1"/>
  <c r="A571" i="1"/>
  <c r="AO570" i="1"/>
  <c r="AL570" i="1"/>
  <c r="R570" i="1"/>
  <c r="J570" i="1"/>
  <c r="I570" i="1"/>
  <c r="F570" i="1"/>
  <c r="E570" i="1"/>
  <c r="B570" i="1"/>
  <c r="X570" i="1" s="1"/>
  <c r="A570" i="1"/>
  <c r="AO569" i="1"/>
  <c r="AL569" i="1"/>
  <c r="R569" i="1"/>
  <c r="P569" i="1"/>
  <c r="J569" i="1"/>
  <c r="I569" i="1"/>
  <c r="F569" i="1"/>
  <c r="E569" i="1"/>
  <c r="B569" i="1"/>
  <c r="X569" i="1" s="1"/>
  <c r="A569" i="1"/>
  <c r="AO568" i="1"/>
  <c r="AL568" i="1"/>
  <c r="R568" i="1"/>
  <c r="P568" i="1"/>
  <c r="J568" i="1"/>
  <c r="I568" i="1"/>
  <c r="F568" i="1"/>
  <c r="E568" i="1"/>
  <c r="B568" i="1"/>
  <c r="A568" i="1"/>
  <c r="AO567" i="1"/>
  <c r="AL567" i="1"/>
  <c r="R567" i="1"/>
  <c r="J567" i="1"/>
  <c r="I567" i="1"/>
  <c r="F567" i="1"/>
  <c r="E567" i="1"/>
  <c r="B567" i="1"/>
  <c r="A567" i="1"/>
  <c r="AO566" i="1"/>
  <c r="AL566" i="1"/>
  <c r="R566" i="1"/>
  <c r="P566" i="1"/>
  <c r="J566" i="1"/>
  <c r="I566" i="1"/>
  <c r="F566" i="1"/>
  <c r="E566" i="1"/>
  <c r="B566" i="1"/>
  <c r="A566" i="1"/>
  <c r="AO565" i="1"/>
  <c r="AL565" i="1"/>
  <c r="R565" i="1"/>
  <c r="J565" i="1"/>
  <c r="I565" i="1"/>
  <c r="F565" i="1"/>
  <c r="E565" i="1"/>
  <c r="B565" i="1"/>
  <c r="A565" i="1"/>
  <c r="AO564" i="1"/>
  <c r="AL564" i="1"/>
  <c r="R564" i="1"/>
  <c r="P564" i="1"/>
  <c r="J564" i="1"/>
  <c r="I564" i="1"/>
  <c r="F564" i="1"/>
  <c r="E564" i="1"/>
  <c r="B564" i="1"/>
  <c r="X564" i="1" s="1"/>
  <c r="A564" i="1"/>
  <c r="AO563" i="1"/>
  <c r="AL563" i="1"/>
  <c r="R563" i="1"/>
  <c r="J563" i="1"/>
  <c r="I563" i="1"/>
  <c r="F563" i="1"/>
  <c r="E563" i="1"/>
  <c r="B563" i="1"/>
  <c r="A563" i="1"/>
  <c r="AO562" i="1"/>
  <c r="AL562" i="1"/>
  <c r="R562" i="1"/>
  <c r="J562" i="1"/>
  <c r="I562" i="1"/>
  <c r="F562" i="1"/>
  <c r="E562" i="1"/>
  <c r="B562" i="1"/>
  <c r="A562" i="1"/>
  <c r="AO561" i="1"/>
  <c r="AL561" i="1"/>
  <c r="R561" i="1"/>
  <c r="J561" i="1"/>
  <c r="I561" i="1"/>
  <c r="F561" i="1"/>
  <c r="E561" i="1"/>
  <c r="B561" i="1"/>
  <c r="X561" i="1" s="1"/>
  <c r="A561" i="1"/>
  <c r="AO560" i="1"/>
  <c r="AL560" i="1"/>
  <c r="J560" i="1"/>
  <c r="I560" i="1"/>
  <c r="F560" i="1"/>
  <c r="E560" i="1"/>
  <c r="B560" i="1"/>
  <c r="A560" i="1"/>
  <c r="AO559" i="1"/>
  <c r="AL559" i="1"/>
  <c r="R559" i="1"/>
  <c r="J559" i="1"/>
  <c r="I559" i="1"/>
  <c r="F559" i="1"/>
  <c r="E559" i="1"/>
  <c r="B559" i="1"/>
  <c r="X559" i="1" s="1"/>
  <c r="A559" i="1"/>
  <c r="AO558" i="1"/>
  <c r="AL558" i="1"/>
  <c r="R558" i="1"/>
  <c r="P558" i="1"/>
  <c r="J558" i="1"/>
  <c r="I558" i="1"/>
  <c r="F558" i="1"/>
  <c r="E558" i="1"/>
  <c r="B558" i="1"/>
  <c r="A558" i="1"/>
  <c r="AO557" i="1"/>
  <c r="AL557" i="1"/>
  <c r="R557" i="1"/>
  <c r="O557" i="1"/>
  <c r="J557" i="1"/>
  <c r="I557" i="1"/>
  <c r="F557" i="1"/>
  <c r="E557" i="1"/>
  <c r="B557" i="1"/>
  <c r="X557" i="1" s="1"/>
  <c r="A557" i="1"/>
  <c r="AO556" i="1"/>
  <c r="AL556" i="1"/>
  <c r="R556" i="1"/>
  <c r="P556" i="1"/>
  <c r="J556" i="1"/>
  <c r="I556" i="1"/>
  <c r="F556" i="1"/>
  <c r="E556" i="1"/>
  <c r="B556" i="1"/>
  <c r="A556" i="1"/>
  <c r="AO555" i="1"/>
  <c r="AL555" i="1"/>
  <c r="R555" i="1"/>
  <c r="P555" i="1"/>
  <c r="J555" i="1"/>
  <c r="I555" i="1"/>
  <c r="F555" i="1"/>
  <c r="E555" i="1"/>
  <c r="B555" i="1"/>
  <c r="A555" i="1"/>
  <c r="AO554" i="1"/>
  <c r="AL554" i="1"/>
  <c r="R554" i="1"/>
  <c r="P554" i="1"/>
  <c r="J554" i="1"/>
  <c r="I554" i="1"/>
  <c r="F554" i="1"/>
  <c r="E554" i="1"/>
  <c r="B554" i="1"/>
  <c r="A554" i="1"/>
  <c r="AN554" i="1" s="1"/>
  <c r="AO553" i="1"/>
  <c r="AL553" i="1"/>
  <c r="R553" i="1"/>
  <c r="J553" i="1"/>
  <c r="I553" i="1"/>
  <c r="F553" i="1"/>
  <c r="E553" i="1"/>
  <c r="B553" i="1"/>
  <c r="A553" i="1"/>
  <c r="AO552" i="1"/>
  <c r="AL552" i="1"/>
  <c r="O552" i="1"/>
  <c r="J552" i="1"/>
  <c r="I552" i="1"/>
  <c r="F552" i="1"/>
  <c r="E552" i="1"/>
  <c r="B552" i="1"/>
  <c r="X552" i="1" s="1"/>
  <c r="A552" i="1"/>
  <c r="AO551" i="1"/>
  <c r="AL551" i="1"/>
  <c r="R551" i="1"/>
  <c r="J551" i="1"/>
  <c r="I551" i="1"/>
  <c r="F551" i="1"/>
  <c r="E551" i="1"/>
  <c r="B551" i="1"/>
  <c r="X551" i="1" s="1"/>
  <c r="A551" i="1"/>
  <c r="AO550" i="1"/>
  <c r="AL550" i="1"/>
  <c r="O550" i="1"/>
  <c r="J550" i="1"/>
  <c r="I550" i="1"/>
  <c r="F550" i="1"/>
  <c r="E550" i="1"/>
  <c r="B550" i="1"/>
  <c r="X550" i="1" s="1"/>
  <c r="A550" i="1"/>
  <c r="AO549" i="1"/>
  <c r="AL549" i="1"/>
  <c r="R549" i="1"/>
  <c r="P549" i="1"/>
  <c r="J549" i="1"/>
  <c r="I549" i="1"/>
  <c r="F549" i="1"/>
  <c r="E549" i="1"/>
  <c r="B549" i="1"/>
  <c r="X549" i="1" s="1"/>
  <c r="A549" i="1"/>
  <c r="AO548" i="1"/>
  <c r="AL548" i="1"/>
  <c r="R548" i="1"/>
  <c r="J548" i="1"/>
  <c r="I548" i="1"/>
  <c r="F548" i="1"/>
  <c r="E548" i="1"/>
  <c r="B548" i="1"/>
  <c r="X548" i="1" s="1"/>
  <c r="A548" i="1"/>
  <c r="AO547" i="1"/>
  <c r="AL547" i="1"/>
  <c r="R547" i="1"/>
  <c r="P547" i="1"/>
  <c r="J547" i="1"/>
  <c r="I547" i="1"/>
  <c r="F547" i="1"/>
  <c r="E547" i="1"/>
  <c r="B547" i="1"/>
  <c r="X547" i="1" s="1"/>
  <c r="A547" i="1"/>
  <c r="AO546" i="1"/>
  <c r="AL546" i="1"/>
  <c r="R546" i="1"/>
  <c r="J546" i="1"/>
  <c r="I546" i="1"/>
  <c r="F546" i="1"/>
  <c r="E546" i="1"/>
  <c r="B546" i="1"/>
  <c r="X546" i="1" s="1"/>
  <c r="A546" i="1"/>
  <c r="AO545" i="1"/>
  <c r="AL545" i="1"/>
  <c r="R545" i="1"/>
  <c r="J545" i="1"/>
  <c r="I545" i="1"/>
  <c r="F545" i="1"/>
  <c r="E545" i="1"/>
  <c r="B545" i="1"/>
  <c r="X545" i="1" s="1"/>
  <c r="A545" i="1"/>
  <c r="AO544" i="1"/>
  <c r="AL544" i="1"/>
  <c r="R544" i="1"/>
  <c r="P544" i="1"/>
  <c r="J544" i="1"/>
  <c r="I544" i="1"/>
  <c r="F544" i="1"/>
  <c r="E544" i="1"/>
  <c r="B544" i="1"/>
  <c r="A544" i="1"/>
  <c r="AO543" i="1"/>
  <c r="AL543" i="1"/>
  <c r="R543" i="1"/>
  <c r="P543" i="1"/>
  <c r="J543" i="1"/>
  <c r="I543" i="1"/>
  <c r="F543" i="1"/>
  <c r="E543" i="1"/>
  <c r="B543" i="1"/>
  <c r="X543" i="1" s="1"/>
  <c r="A543" i="1"/>
  <c r="AO542" i="1"/>
  <c r="AL542" i="1"/>
  <c r="R542" i="1"/>
  <c r="J542" i="1"/>
  <c r="I542" i="1"/>
  <c r="F542" i="1"/>
  <c r="E542" i="1"/>
  <c r="B542" i="1"/>
  <c r="X542" i="1" s="1"/>
  <c r="A542" i="1"/>
  <c r="AO541" i="1"/>
  <c r="AL541" i="1"/>
  <c r="R541" i="1"/>
  <c r="P541" i="1"/>
  <c r="J541" i="1"/>
  <c r="I541" i="1"/>
  <c r="F541" i="1"/>
  <c r="E541" i="1"/>
  <c r="B541" i="1"/>
  <c r="X541" i="1" s="1"/>
  <c r="A541" i="1"/>
  <c r="AO540" i="1"/>
  <c r="AL540" i="1"/>
  <c r="R540" i="1"/>
  <c r="O540" i="1"/>
  <c r="J540" i="1"/>
  <c r="I540" i="1"/>
  <c r="F540" i="1"/>
  <c r="E540" i="1"/>
  <c r="B540" i="1"/>
  <c r="X540" i="1" s="1"/>
  <c r="A540" i="1"/>
  <c r="AO539" i="1"/>
  <c r="AL539" i="1"/>
  <c r="R539" i="1"/>
  <c r="J539" i="1"/>
  <c r="I539" i="1"/>
  <c r="F539" i="1"/>
  <c r="E539" i="1"/>
  <c r="B539" i="1"/>
  <c r="A539" i="1"/>
  <c r="AO538" i="1"/>
  <c r="AL538" i="1"/>
  <c r="R538" i="1"/>
  <c r="J538" i="1"/>
  <c r="I538" i="1"/>
  <c r="F538" i="1"/>
  <c r="E538" i="1"/>
  <c r="B538" i="1"/>
  <c r="A538" i="1"/>
  <c r="AO537" i="1"/>
  <c r="AL537" i="1"/>
  <c r="R537" i="1"/>
  <c r="J537" i="1"/>
  <c r="I537" i="1"/>
  <c r="F537" i="1"/>
  <c r="E537" i="1"/>
  <c r="B537" i="1"/>
  <c r="A537" i="1"/>
  <c r="AO536" i="1"/>
  <c r="AL536" i="1"/>
  <c r="P536" i="1"/>
  <c r="J536" i="1"/>
  <c r="I536" i="1"/>
  <c r="F536" i="1"/>
  <c r="E536" i="1"/>
  <c r="B536" i="1"/>
  <c r="A536" i="1"/>
  <c r="AO535" i="1"/>
  <c r="AL535" i="1"/>
  <c r="R535" i="1"/>
  <c r="P535" i="1"/>
  <c r="J535" i="1"/>
  <c r="I535" i="1"/>
  <c r="F535" i="1"/>
  <c r="E535" i="1"/>
  <c r="B535" i="1"/>
  <c r="A535" i="1"/>
  <c r="AO534" i="1"/>
  <c r="AL534" i="1"/>
  <c r="R534" i="1"/>
  <c r="P534" i="1"/>
  <c r="J534" i="1"/>
  <c r="I534" i="1"/>
  <c r="F534" i="1"/>
  <c r="E534" i="1"/>
  <c r="B534" i="1"/>
  <c r="A534" i="1"/>
  <c r="AO533" i="1"/>
  <c r="AL533" i="1"/>
  <c r="R533" i="1"/>
  <c r="J533" i="1"/>
  <c r="I533" i="1"/>
  <c r="F533" i="1"/>
  <c r="E533" i="1"/>
  <c r="B533" i="1"/>
  <c r="A533" i="1"/>
  <c r="AO532" i="1"/>
  <c r="AL532" i="1"/>
  <c r="R532" i="1"/>
  <c r="P532" i="1"/>
  <c r="J532" i="1"/>
  <c r="I532" i="1"/>
  <c r="F532" i="1"/>
  <c r="E532" i="1"/>
  <c r="B532" i="1"/>
  <c r="X532" i="1" s="1"/>
  <c r="A532" i="1"/>
  <c r="AO531" i="1"/>
  <c r="AL531" i="1"/>
  <c r="R531" i="1"/>
  <c r="O531" i="1"/>
  <c r="J531" i="1"/>
  <c r="I531" i="1"/>
  <c r="F531" i="1"/>
  <c r="E531" i="1"/>
  <c r="B531" i="1"/>
  <c r="X531" i="1" s="1"/>
  <c r="A531" i="1"/>
  <c r="AO530" i="1"/>
  <c r="AL530" i="1"/>
  <c r="R530" i="1"/>
  <c r="J530" i="1"/>
  <c r="I530" i="1"/>
  <c r="F530" i="1"/>
  <c r="E530" i="1"/>
  <c r="B530" i="1"/>
  <c r="X530" i="1" s="1"/>
  <c r="A530" i="1"/>
  <c r="AO529" i="1"/>
  <c r="AL529" i="1"/>
  <c r="R529" i="1"/>
  <c r="P529" i="1"/>
  <c r="J529" i="1"/>
  <c r="I529" i="1"/>
  <c r="F529" i="1"/>
  <c r="E529" i="1"/>
  <c r="B529" i="1"/>
  <c r="X529" i="1" s="1"/>
  <c r="A529" i="1"/>
  <c r="AO528" i="1"/>
  <c r="AL528" i="1"/>
  <c r="J528" i="1"/>
  <c r="I528" i="1"/>
  <c r="F528" i="1"/>
  <c r="E528" i="1"/>
  <c r="B528" i="1"/>
  <c r="X528" i="1" s="1"/>
  <c r="A528" i="1"/>
  <c r="AO527" i="1"/>
  <c r="AL527" i="1"/>
  <c r="R527" i="1"/>
  <c r="O527" i="1"/>
  <c r="J527" i="1"/>
  <c r="I527" i="1"/>
  <c r="F527" i="1"/>
  <c r="E527" i="1"/>
  <c r="B527" i="1"/>
  <c r="X527" i="1" s="1"/>
  <c r="A527" i="1"/>
  <c r="AO526" i="1"/>
  <c r="AL526" i="1"/>
  <c r="R526" i="1"/>
  <c r="J526" i="1"/>
  <c r="I526" i="1"/>
  <c r="F526" i="1"/>
  <c r="E526" i="1"/>
  <c r="B526" i="1"/>
  <c r="X526" i="1" s="1"/>
  <c r="A526" i="1"/>
  <c r="AO525" i="1"/>
  <c r="AL525" i="1"/>
  <c r="R525" i="1"/>
  <c r="J525" i="1"/>
  <c r="I525" i="1"/>
  <c r="F525" i="1"/>
  <c r="E525" i="1"/>
  <c r="B525" i="1"/>
  <c r="A525" i="1"/>
  <c r="AO524" i="1"/>
  <c r="AL524" i="1"/>
  <c r="R524" i="1"/>
  <c r="P524" i="1"/>
  <c r="J524" i="1"/>
  <c r="I524" i="1"/>
  <c r="F524" i="1"/>
  <c r="E524" i="1"/>
  <c r="B524" i="1"/>
  <c r="A524" i="1"/>
  <c r="AO523" i="1"/>
  <c r="AL523" i="1"/>
  <c r="R523" i="1"/>
  <c r="J523" i="1"/>
  <c r="I523" i="1"/>
  <c r="F523" i="1"/>
  <c r="E523" i="1"/>
  <c r="B523" i="1"/>
  <c r="A523" i="1"/>
  <c r="AO522" i="1"/>
  <c r="AL522" i="1"/>
  <c r="R522" i="1"/>
  <c r="P522" i="1"/>
  <c r="J522" i="1"/>
  <c r="I522" i="1"/>
  <c r="F522" i="1"/>
  <c r="E522" i="1"/>
  <c r="B522" i="1"/>
  <c r="A522" i="1"/>
  <c r="AN522" i="1" s="1"/>
  <c r="AO521" i="1"/>
  <c r="AL521" i="1"/>
  <c r="R521" i="1"/>
  <c r="J521" i="1"/>
  <c r="I521" i="1"/>
  <c r="F521" i="1"/>
  <c r="E521" i="1"/>
  <c r="B521" i="1"/>
  <c r="A521" i="1"/>
  <c r="AO520" i="1"/>
  <c r="AL520" i="1"/>
  <c r="R520" i="1"/>
  <c r="P520" i="1"/>
  <c r="J520" i="1"/>
  <c r="I520" i="1"/>
  <c r="F520" i="1"/>
  <c r="E520" i="1"/>
  <c r="B520" i="1"/>
  <c r="A520" i="1"/>
  <c r="AO519" i="1"/>
  <c r="AL519" i="1"/>
  <c r="R519" i="1"/>
  <c r="P519" i="1"/>
  <c r="J519" i="1"/>
  <c r="I519" i="1"/>
  <c r="F519" i="1"/>
  <c r="E519" i="1"/>
  <c r="B519" i="1"/>
  <c r="X519" i="1" s="1"/>
  <c r="A519" i="1"/>
  <c r="AO518" i="1"/>
  <c r="AL518" i="1"/>
  <c r="R518" i="1"/>
  <c r="J518" i="1"/>
  <c r="I518" i="1"/>
  <c r="F518" i="1"/>
  <c r="E518" i="1"/>
  <c r="B518" i="1"/>
  <c r="A518" i="1"/>
  <c r="AO517" i="1"/>
  <c r="AL517" i="1"/>
  <c r="R517" i="1"/>
  <c r="J517" i="1"/>
  <c r="I517" i="1"/>
  <c r="F517" i="1"/>
  <c r="E517" i="1"/>
  <c r="B517" i="1"/>
  <c r="A517" i="1"/>
  <c r="AO516" i="1"/>
  <c r="AL516" i="1"/>
  <c r="R516" i="1"/>
  <c r="J516" i="1"/>
  <c r="I516" i="1"/>
  <c r="F516" i="1"/>
  <c r="E516" i="1"/>
  <c r="B516" i="1"/>
  <c r="A516" i="1"/>
  <c r="AO515" i="1"/>
  <c r="AL515" i="1"/>
  <c r="R515" i="1"/>
  <c r="J515" i="1"/>
  <c r="I515" i="1"/>
  <c r="F515" i="1"/>
  <c r="E515" i="1"/>
  <c r="B515" i="1"/>
  <c r="X515" i="1" s="1"/>
  <c r="A515" i="1"/>
  <c r="AO514" i="1"/>
  <c r="AL514" i="1"/>
  <c r="R514" i="1"/>
  <c r="P514" i="1"/>
  <c r="J514" i="1"/>
  <c r="I514" i="1"/>
  <c r="F514" i="1"/>
  <c r="E514" i="1"/>
  <c r="B514" i="1"/>
  <c r="A514" i="1"/>
  <c r="AO513" i="1"/>
  <c r="AL513" i="1"/>
  <c r="R513" i="1"/>
  <c r="P513" i="1"/>
  <c r="J513" i="1"/>
  <c r="I513" i="1"/>
  <c r="F513" i="1"/>
  <c r="E513" i="1"/>
  <c r="B513" i="1"/>
  <c r="X513" i="1" s="1"/>
  <c r="A513" i="1"/>
  <c r="AO512" i="1"/>
  <c r="AL512" i="1"/>
  <c r="R512" i="1"/>
  <c r="J512" i="1"/>
  <c r="I512" i="1"/>
  <c r="F512" i="1"/>
  <c r="E512" i="1"/>
  <c r="B512" i="1"/>
  <c r="X512" i="1" s="1"/>
  <c r="A512" i="1"/>
  <c r="AO511" i="1"/>
  <c r="AL511" i="1"/>
  <c r="R511" i="1"/>
  <c r="P511" i="1"/>
  <c r="J511" i="1"/>
  <c r="I511" i="1"/>
  <c r="F511" i="1"/>
  <c r="E511" i="1"/>
  <c r="B511" i="1"/>
  <c r="X511" i="1" s="1"/>
  <c r="A511" i="1"/>
  <c r="AO510" i="1"/>
  <c r="AL510" i="1"/>
  <c r="R510" i="1"/>
  <c r="O510" i="1"/>
  <c r="J510" i="1"/>
  <c r="I510" i="1"/>
  <c r="F510" i="1"/>
  <c r="E510" i="1"/>
  <c r="B510" i="1"/>
  <c r="X510" i="1" s="1"/>
  <c r="A510" i="1"/>
  <c r="AO509" i="1"/>
  <c r="AL509" i="1"/>
  <c r="R509" i="1"/>
  <c r="P509" i="1"/>
  <c r="J509" i="1"/>
  <c r="I509" i="1"/>
  <c r="F509" i="1"/>
  <c r="E509" i="1"/>
  <c r="B509" i="1"/>
  <c r="A509" i="1"/>
  <c r="AO508" i="1"/>
  <c r="AL508" i="1"/>
  <c r="R508" i="1"/>
  <c r="J508" i="1"/>
  <c r="I508" i="1"/>
  <c r="F508" i="1"/>
  <c r="E508" i="1"/>
  <c r="B508" i="1"/>
  <c r="X508" i="1" s="1"/>
  <c r="A508" i="1"/>
  <c r="AO507" i="1"/>
  <c r="AL507" i="1"/>
  <c r="R507" i="1"/>
  <c r="P507" i="1"/>
  <c r="J507" i="1"/>
  <c r="I507" i="1"/>
  <c r="F507" i="1"/>
  <c r="E507" i="1"/>
  <c r="B507" i="1"/>
  <c r="X507" i="1" s="1"/>
  <c r="A507" i="1"/>
  <c r="AO506" i="1"/>
  <c r="AL506" i="1"/>
  <c r="R506" i="1"/>
  <c r="J506" i="1"/>
  <c r="I506" i="1"/>
  <c r="F506" i="1"/>
  <c r="E506" i="1"/>
  <c r="B506" i="1"/>
  <c r="X506" i="1" s="1"/>
  <c r="A506" i="1"/>
  <c r="AO505" i="1"/>
  <c r="AL505" i="1"/>
  <c r="R505" i="1"/>
  <c r="P505" i="1"/>
  <c r="J505" i="1"/>
  <c r="I505" i="1"/>
  <c r="F505" i="1"/>
  <c r="E505" i="1"/>
  <c r="B505" i="1"/>
  <c r="X505" i="1" s="1"/>
  <c r="A505" i="1"/>
  <c r="AN505" i="1" s="1"/>
  <c r="AO504" i="1"/>
  <c r="AL504" i="1"/>
  <c r="R504" i="1"/>
  <c r="J504" i="1"/>
  <c r="I504" i="1"/>
  <c r="F504" i="1"/>
  <c r="E504" i="1"/>
  <c r="B504" i="1"/>
  <c r="X504" i="1" s="1"/>
  <c r="A504" i="1"/>
  <c r="AO503" i="1"/>
  <c r="AL503" i="1"/>
  <c r="R503" i="1"/>
  <c r="J503" i="1"/>
  <c r="I503" i="1"/>
  <c r="F503" i="1"/>
  <c r="E503" i="1"/>
  <c r="B503" i="1"/>
  <c r="X503" i="1" s="1"/>
  <c r="A503" i="1"/>
  <c r="AO502" i="1"/>
  <c r="AL502" i="1"/>
  <c r="R502" i="1"/>
  <c r="P502" i="1"/>
  <c r="J502" i="1"/>
  <c r="I502" i="1"/>
  <c r="F502" i="1"/>
  <c r="E502" i="1"/>
  <c r="B502" i="1"/>
  <c r="X502" i="1" s="1"/>
  <c r="A502" i="1"/>
  <c r="AO501" i="1"/>
  <c r="AL501" i="1"/>
  <c r="R501" i="1"/>
  <c r="P501" i="1"/>
  <c r="J501" i="1"/>
  <c r="I501" i="1"/>
  <c r="F501" i="1"/>
  <c r="E501" i="1"/>
  <c r="B501" i="1"/>
  <c r="X501" i="1" s="1"/>
  <c r="A501" i="1"/>
  <c r="AO500" i="1"/>
  <c r="AL500" i="1"/>
  <c r="R500" i="1"/>
  <c r="J500" i="1"/>
  <c r="I500" i="1"/>
  <c r="F500" i="1"/>
  <c r="E500" i="1"/>
  <c r="B500" i="1"/>
  <c r="X500" i="1" s="1"/>
  <c r="A500" i="1"/>
  <c r="AN500" i="1" s="1"/>
  <c r="AO499" i="1"/>
  <c r="AL499" i="1"/>
  <c r="R499" i="1"/>
  <c r="J499" i="1"/>
  <c r="I499" i="1"/>
  <c r="F499" i="1"/>
  <c r="E499" i="1"/>
  <c r="B499" i="1"/>
  <c r="X499" i="1" s="1"/>
  <c r="A499" i="1"/>
  <c r="AO498" i="1"/>
  <c r="AL498" i="1"/>
  <c r="R498" i="1"/>
  <c r="O498" i="1"/>
  <c r="J498" i="1"/>
  <c r="I498" i="1"/>
  <c r="F498" i="1"/>
  <c r="E498" i="1"/>
  <c r="B498" i="1"/>
  <c r="X498" i="1" s="1"/>
  <c r="A498" i="1"/>
  <c r="AO497" i="1"/>
  <c r="AL497" i="1"/>
  <c r="R497" i="1"/>
  <c r="J497" i="1"/>
  <c r="I497" i="1"/>
  <c r="F497" i="1"/>
  <c r="E497" i="1"/>
  <c r="B497" i="1"/>
  <c r="X497" i="1" s="1"/>
  <c r="A497" i="1"/>
  <c r="AO496" i="1"/>
  <c r="AL496" i="1"/>
  <c r="R496" i="1"/>
  <c r="J496" i="1"/>
  <c r="I496" i="1"/>
  <c r="F496" i="1"/>
  <c r="E496" i="1"/>
  <c r="B496" i="1"/>
  <c r="A496" i="1"/>
  <c r="AO495" i="1"/>
  <c r="AL495" i="1"/>
  <c r="R495" i="1"/>
  <c r="J495" i="1"/>
  <c r="I495" i="1"/>
  <c r="F495" i="1"/>
  <c r="E495" i="1"/>
  <c r="B495" i="1"/>
  <c r="A495" i="1"/>
  <c r="AO494" i="1"/>
  <c r="AL494" i="1"/>
  <c r="R494" i="1"/>
  <c r="J494" i="1"/>
  <c r="I494" i="1"/>
  <c r="F494" i="1"/>
  <c r="E494" i="1"/>
  <c r="B494" i="1"/>
  <c r="A494" i="1"/>
  <c r="AO493" i="1"/>
  <c r="AL493" i="1"/>
  <c r="R493" i="1"/>
  <c r="O493" i="1"/>
  <c r="J493" i="1"/>
  <c r="I493" i="1"/>
  <c r="F493" i="1"/>
  <c r="E493" i="1"/>
  <c r="B493" i="1"/>
  <c r="A493" i="1"/>
  <c r="AO492" i="1"/>
  <c r="AL492" i="1"/>
  <c r="R492" i="1"/>
  <c r="P492" i="1"/>
  <c r="J492" i="1"/>
  <c r="I492" i="1"/>
  <c r="F492" i="1"/>
  <c r="E492" i="1"/>
  <c r="B492" i="1"/>
  <c r="A492" i="1"/>
  <c r="AN492" i="1" s="1"/>
  <c r="AO491" i="1"/>
  <c r="AL491" i="1"/>
  <c r="R491" i="1"/>
  <c r="J491" i="1"/>
  <c r="I491" i="1"/>
  <c r="F491" i="1"/>
  <c r="E491" i="1"/>
  <c r="B491" i="1"/>
  <c r="A491" i="1"/>
  <c r="AN491" i="1" s="1"/>
  <c r="AO490" i="1"/>
  <c r="AL490" i="1"/>
  <c r="R490" i="1"/>
  <c r="J490" i="1"/>
  <c r="I490" i="1"/>
  <c r="F490" i="1"/>
  <c r="E490" i="1"/>
  <c r="B490" i="1"/>
  <c r="A490" i="1"/>
  <c r="AN490" i="1" s="1"/>
  <c r="AO489" i="1"/>
  <c r="AL489" i="1"/>
  <c r="R489" i="1"/>
  <c r="O489" i="1"/>
  <c r="J489" i="1"/>
  <c r="I489" i="1"/>
  <c r="F489" i="1"/>
  <c r="E489" i="1"/>
  <c r="B489" i="1"/>
  <c r="A489" i="1"/>
  <c r="AO488" i="1"/>
  <c r="AL488" i="1"/>
  <c r="R488" i="1"/>
  <c r="J488" i="1"/>
  <c r="I488" i="1"/>
  <c r="F488" i="1"/>
  <c r="E488" i="1"/>
  <c r="B488" i="1"/>
  <c r="X488" i="1" s="1"/>
  <c r="A488" i="1"/>
  <c r="AN488" i="1" s="1"/>
  <c r="AO487" i="1"/>
  <c r="AL487" i="1"/>
  <c r="R487" i="1"/>
  <c r="J487" i="1"/>
  <c r="I487" i="1"/>
  <c r="F487" i="1"/>
  <c r="E487" i="1"/>
  <c r="B487" i="1"/>
  <c r="A487" i="1"/>
  <c r="AO486" i="1"/>
  <c r="AL486" i="1"/>
  <c r="R486" i="1"/>
  <c r="J486" i="1"/>
  <c r="I486" i="1"/>
  <c r="F486" i="1"/>
  <c r="E486" i="1"/>
  <c r="B486" i="1"/>
  <c r="A486" i="1"/>
  <c r="AN486" i="1" s="1"/>
  <c r="AO485" i="1"/>
  <c r="AL485" i="1"/>
  <c r="P485" i="1"/>
  <c r="J485" i="1"/>
  <c r="I485" i="1"/>
  <c r="F485" i="1"/>
  <c r="E485" i="1"/>
  <c r="B485" i="1"/>
  <c r="A485" i="1"/>
  <c r="AO484" i="1"/>
  <c r="AL484" i="1"/>
  <c r="R484" i="1"/>
  <c r="J484" i="1"/>
  <c r="I484" i="1"/>
  <c r="F484" i="1"/>
  <c r="E484" i="1"/>
  <c r="B484" i="1"/>
  <c r="A484" i="1"/>
  <c r="AO483" i="1"/>
  <c r="AL483" i="1"/>
  <c r="R483" i="1"/>
  <c r="O483" i="1"/>
  <c r="J483" i="1"/>
  <c r="I483" i="1"/>
  <c r="F483" i="1"/>
  <c r="E483" i="1"/>
  <c r="B483" i="1"/>
  <c r="X483" i="1" s="1"/>
  <c r="A483" i="1"/>
  <c r="AO482" i="1"/>
  <c r="AL482" i="1"/>
  <c r="R482" i="1"/>
  <c r="O482" i="1"/>
  <c r="J482" i="1"/>
  <c r="I482" i="1"/>
  <c r="F482" i="1"/>
  <c r="E482" i="1"/>
  <c r="B482" i="1"/>
  <c r="A482" i="1"/>
  <c r="AO481" i="1"/>
  <c r="AL481" i="1"/>
  <c r="R481" i="1"/>
  <c r="P481" i="1"/>
  <c r="J481" i="1"/>
  <c r="I481" i="1"/>
  <c r="F481" i="1"/>
  <c r="E481" i="1"/>
  <c r="B481" i="1"/>
  <c r="A481" i="1"/>
  <c r="AO480" i="1"/>
  <c r="AL480" i="1"/>
  <c r="R480" i="1"/>
  <c r="J480" i="1"/>
  <c r="I480" i="1"/>
  <c r="F480" i="1"/>
  <c r="E480" i="1"/>
  <c r="B480" i="1"/>
  <c r="A480" i="1"/>
  <c r="AO479" i="1"/>
  <c r="AL479" i="1"/>
  <c r="R479" i="1"/>
  <c r="J479" i="1"/>
  <c r="I479" i="1"/>
  <c r="F479" i="1"/>
  <c r="E479" i="1"/>
  <c r="B479" i="1"/>
  <c r="A479" i="1"/>
  <c r="AN479" i="1" s="1"/>
  <c r="AO478" i="1"/>
  <c r="AL478" i="1"/>
  <c r="R478" i="1"/>
  <c r="J478" i="1"/>
  <c r="I478" i="1"/>
  <c r="F478" i="1"/>
  <c r="E478" i="1"/>
  <c r="B478" i="1"/>
  <c r="A478" i="1"/>
  <c r="AN478" i="1" s="1"/>
  <c r="AO477" i="1"/>
  <c r="AL477" i="1"/>
  <c r="R477" i="1"/>
  <c r="O477" i="1"/>
  <c r="J477" i="1"/>
  <c r="I477" i="1"/>
  <c r="F477" i="1"/>
  <c r="E477" i="1"/>
  <c r="B477" i="1"/>
  <c r="A477" i="1"/>
  <c r="AO476" i="1"/>
  <c r="AL476" i="1"/>
  <c r="R476" i="1"/>
  <c r="P476" i="1"/>
  <c r="J476" i="1"/>
  <c r="I476" i="1"/>
  <c r="F476" i="1"/>
  <c r="E476" i="1"/>
  <c r="B476" i="1"/>
  <c r="A476" i="1"/>
  <c r="AO475" i="1"/>
  <c r="AL475" i="1"/>
  <c r="R475" i="1"/>
  <c r="J475" i="1"/>
  <c r="I475" i="1"/>
  <c r="F475" i="1"/>
  <c r="E475" i="1"/>
  <c r="B475" i="1"/>
  <c r="A475" i="1"/>
  <c r="AO474" i="1"/>
  <c r="AL474" i="1"/>
  <c r="R474" i="1"/>
  <c r="J474" i="1"/>
  <c r="I474" i="1"/>
  <c r="F474" i="1"/>
  <c r="E474" i="1"/>
  <c r="B474" i="1"/>
  <c r="X474" i="1" s="1"/>
  <c r="A474" i="1"/>
  <c r="AO473" i="1"/>
  <c r="AL473" i="1"/>
  <c r="R473" i="1"/>
  <c r="O473" i="1"/>
  <c r="J473" i="1"/>
  <c r="I473" i="1"/>
  <c r="F473" i="1"/>
  <c r="E473" i="1"/>
  <c r="B473" i="1"/>
  <c r="A473" i="1"/>
  <c r="AO472" i="1"/>
  <c r="AL472" i="1"/>
  <c r="R472" i="1"/>
  <c r="P472" i="1"/>
  <c r="J472" i="1"/>
  <c r="I472" i="1"/>
  <c r="F472" i="1"/>
  <c r="E472" i="1"/>
  <c r="B472" i="1"/>
  <c r="A472" i="1"/>
  <c r="AO471" i="1"/>
  <c r="AL471" i="1"/>
  <c r="R471" i="1"/>
  <c r="P471" i="1"/>
  <c r="J471" i="1"/>
  <c r="I471" i="1"/>
  <c r="F471" i="1"/>
  <c r="E471" i="1"/>
  <c r="B471" i="1"/>
  <c r="A471" i="1"/>
  <c r="AO470" i="1"/>
  <c r="AL470" i="1"/>
  <c r="R470" i="1"/>
  <c r="J470" i="1"/>
  <c r="I470" i="1"/>
  <c r="F470" i="1"/>
  <c r="E470" i="1"/>
  <c r="B470" i="1"/>
  <c r="A470" i="1"/>
  <c r="AO469" i="1"/>
  <c r="AL469" i="1"/>
  <c r="R469" i="1"/>
  <c r="J469" i="1"/>
  <c r="I469" i="1"/>
  <c r="F469" i="1"/>
  <c r="E469" i="1"/>
  <c r="B469" i="1"/>
  <c r="A469" i="1"/>
  <c r="AO468" i="1"/>
  <c r="AL468" i="1"/>
  <c r="R468" i="1"/>
  <c r="P468" i="1"/>
  <c r="J468" i="1"/>
  <c r="I468" i="1"/>
  <c r="F468" i="1"/>
  <c r="E468" i="1"/>
  <c r="B468" i="1"/>
  <c r="X468" i="1" s="1"/>
  <c r="A468" i="1"/>
  <c r="AO467" i="1"/>
  <c r="AL467" i="1"/>
  <c r="R467" i="1"/>
  <c r="J467" i="1"/>
  <c r="I467" i="1"/>
  <c r="F467" i="1"/>
  <c r="E467" i="1"/>
  <c r="B467" i="1"/>
  <c r="A467" i="1"/>
  <c r="AO466" i="1"/>
  <c r="AL466" i="1"/>
  <c r="R466" i="1"/>
  <c r="J466" i="1"/>
  <c r="I466" i="1"/>
  <c r="F466" i="1"/>
  <c r="E466" i="1"/>
  <c r="B466" i="1"/>
  <c r="A466" i="1"/>
  <c r="AO465" i="1"/>
  <c r="AL465" i="1"/>
  <c r="R465" i="1"/>
  <c r="P465" i="1"/>
  <c r="J465" i="1"/>
  <c r="I465" i="1"/>
  <c r="F465" i="1"/>
  <c r="E465" i="1"/>
  <c r="B465" i="1"/>
  <c r="A465" i="1"/>
  <c r="AO464" i="1"/>
  <c r="AL464" i="1"/>
  <c r="R464" i="1"/>
  <c r="J464" i="1"/>
  <c r="I464" i="1"/>
  <c r="F464" i="1"/>
  <c r="E464" i="1"/>
  <c r="B464" i="1"/>
  <c r="A464" i="1"/>
  <c r="AO463" i="1"/>
  <c r="AL463" i="1"/>
  <c r="R463" i="1"/>
  <c r="P463" i="1"/>
  <c r="J463" i="1"/>
  <c r="I463" i="1"/>
  <c r="F463" i="1"/>
  <c r="E463" i="1"/>
  <c r="B463" i="1"/>
  <c r="A463" i="1"/>
  <c r="AO462" i="1"/>
  <c r="AL462" i="1"/>
  <c r="R462" i="1"/>
  <c r="P462" i="1"/>
  <c r="J462" i="1"/>
  <c r="I462" i="1"/>
  <c r="F462" i="1"/>
  <c r="E462" i="1"/>
  <c r="B462" i="1"/>
  <c r="A462" i="1"/>
  <c r="AN462" i="1" s="1"/>
  <c r="AO461" i="1"/>
  <c r="AL461" i="1"/>
  <c r="R461" i="1"/>
  <c r="P461" i="1"/>
  <c r="J461" i="1"/>
  <c r="I461" i="1"/>
  <c r="F461" i="1"/>
  <c r="E461" i="1"/>
  <c r="B461" i="1"/>
  <c r="A461" i="1"/>
  <c r="AO460" i="1"/>
  <c r="AL460" i="1"/>
  <c r="R460" i="1"/>
  <c r="P460" i="1"/>
  <c r="J460" i="1"/>
  <c r="I460" i="1"/>
  <c r="F460" i="1"/>
  <c r="E460" i="1"/>
  <c r="B460" i="1"/>
  <c r="A460" i="1"/>
  <c r="AO459" i="1"/>
  <c r="AL459" i="1"/>
  <c r="R459" i="1"/>
  <c r="O459" i="1"/>
  <c r="J459" i="1"/>
  <c r="I459" i="1"/>
  <c r="F459" i="1"/>
  <c r="E459" i="1"/>
  <c r="B459" i="1"/>
  <c r="A459" i="1"/>
  <c r="AO458" i="1"/>
  <c r="AL458" i="1"/>
  <c r="R458" i="1"/>
  <c r="P458" i="1"/>
  <c r="J458" i="1"/>
  <c r="I458" i="1"/>
  <c r="F458" i="1"/>
  <c r="E458" i="1"/>
  <c r="B458" i="1"/>
  <c r="X458" i="1" s="1"/>
  <c r="A458" i="1"/>
  <c r="AO457" i="1"/>
  <c r="AL457" i="1"/>
  <c r="R457" i="1"/>
  <c r="O457" i="1"/>
  <c r="J457" i="1"/>
  <c r="I457" i="1"/>
  <c r="F457" i="1"/>
  <c r="E457" i="1"/>
  <c r="B457" i="1"/>
  <c r="A457" i="1"/>
  <c r="AO456" i="1"/>
  <c r="AL456" i="1"/>
  <c r="R456" i="1"/>
  <c r="P456" i="1"/>
  <c r="J456" i="1"/>
  <c r="I456" i="1"/>
  <c r="F456" i="1"/>
  <c r="E456" i="1"/>
  <c r="B456" i="1"/>
  <c r="A456" i="1"/>
  <c r="AO455" i="1"/>
  <c r="AL455" i="1"/>
  <c r="R455" i="1"/>
  <c r="O455" i="1"/>
  <c r="J455" i="1"/>
  <c r="I455" i="1"/>
  <c r="F455" i="1"/>
  <c r="E455" i="1"/>
  <c r="B455" i="1"/>
  <c r="A455" i="1"/>
  <c r="AO454" i="1"/>
  <c r="AL454" i="1"/>
  <c r="R454" i="1"/>
  <c r="O454" i="1"/>
  <c r="J454" i="1"/>
  <c r="I454" i="1"/>
  <c r="F454" i="1"/>
  <c r="E454" i="1"/>
  <c r="B454" i="1"/>
  <c r="A454" i="1"/>
  <c r="AO453" i="1"/>
  <c r="AL453" i="1"/>
  <c r="R453" i="1"/>
  <c r="P453" i="1"/>
  <c r="J453" i="1"/>
  <c r="I453" i="1"/>
  <c r="F453" i="1"/>
  <c r="E453" i="1"/>
  <c r="B453" i="1"/>
  <c r="X453" i="1" s="1"/>
  <c r="A453" i="1"/>
  <c r="AO452" i="1"/>
  <c r="AL452" i="1"/>
  <c r="R452" i="1"/>
  <c r="P452" i="1"/>
  <c r="J452" i="1"/>
  <c r="I452" i="1"/>
  <c r="F452" i="1"/>
  <c r="E452" i="1"/>
  <c r="B452" i="1"/>
  <c r="X452" i="1" s="1"/>
  <c r="A452" i="1"/>
  <c r="AO451" i="1"/>
  <c r="AL451" i="1"/>
  <c r="R451" i="1"/>
  <c r="J451" i="1"/>
  <c r="I451" i="1"/>
  <c r="F451" i="1"/>
  <c r="E451" i="1"/>
  <c r="B451" i="1"/>
  <c r="X451" i="1" s="1"/>
  <c r="A451" i="1"/>
  <c r="AO450" i="1"/>
  <c r="AL450" i="1"/>
  <c r="R450" i="1"/>
  <c r="P450" i="1"/>
  <c r="J450" i="1"/>
  <c r="I450" i="1"/>
  <c r="F450" i="1"/>
  <c r="E450" i="1"/>
  <c r="B450" i="1"/>
  <c r="X450" i="1" s="1"/>
  <c r="A450" i="1"/>
  <c r="AO449" i="1"/>
  <c r="AL449" i="1"/>
  <c r="R449" i="1"/>
  <c r="J449" i="1"/>
  <c r="I449" i="1"/>
  <c r="F449" i="1"/>
  <c r="E449" i="1"/>
  <c r="B449" i="1"/>
  <c r="X449" i="1" s="1"/>
  <c r="A449" i="1"/>
  <c r="AO448" i="1"/>
  <c r="AL448" i="1"/>
  <c r="R448" i="1"/>
  <c r="O448" i="1"/>
  <c r="J448" i="1"/>
  <c r="I448" i="1"/>
  <c r="F448" i="1"/>
  <c r="E448" i="1"/>
  <c r="B448" i="1"/>
  <c r="X448" i="1" s="1"/>
  <c r="A448" i="1"/>
  <c r="AO447" i="1"/>
  <c r="AL447" i="1"/>
  <c r="R447" i="1"/>
  <c r="J447" i="1"/>
  <c r="I447" i="1"/>
  <c r="F447" i="1"/>
  <c r="E447" i="1"/>
  <c r="B447" i="1"/>
  <c r="X447" i="1" s="1"/>
  <c r="A447" i="1"/>
  <c r="AN447" i="1" s="1"/>
  <c r="AO446" i="1"/>
  <c r="AL446" i="1"/>
  <c r="R446" i="1"/>
  <c r="O446" i="1"/>
  <c r="J446" i="1"/>
  <c r="I446" i="1"/>
  <c r="F446" i="1"/>
  <c r="E446" i="1"/>
  <c r="B446" i="1"/>
  <c r="X446" i="1" s="1"/>
  <c r="A446" i="1"/>
  <c r="AO445" i="1"/>
  <c r="AL445" i="1"/>
  <c r="R445" i="1"/>
  <c r="P445" i="1"/>
  <c r="J445" i="1"/>
  <c r="I445" i="1"/>
  <c r="F445" i="1"/>
  <c r="E445" i="1"/>
  <c r="B445" i="1"/>
  <c r="X445" i="1" s="1"/>
  <c r="A445" i="1"/>
  <c r="AO444" i="1"/>
  <c r="AL444" i="1"/>
  <c r="R444" i="1"/>
  <c r="J444" i="1"/>
  <c r="I444" i="1"/>
  <c r="F444" i="1"/>
  <c r="E444" i="1"/>
  <c r="B444" i="1"/>
  <c r="X444" i="1" s="1"/>
  <c r="A444" i="1"/>
  <c r="AO443" i="1"/>
  <c r="AL443" i="1"/>
  <c r="R443" i="1"/>
  <c r="P443" i="1"/>
  <c r="J443" i="1"/>
  <c r="I443" i="1"/>
  <c r="F443" i="1"/>
  <c r="E443" i="1"/>
  <c r="B443" i="1"/>
  <c r="A443" i="1"/>
  <c r="AN443" i="1" s="1"/>
  <c r="AO442" i="1"/>
  <c r="AL442" i="1"/>
  <c r="R442" i="1"/>
  <c r="P442" i="1"/>
  <c r="J442" i="1"/>
  <c r="I442" i="1"/>
  <c r="F442" i="1"/>
  <c r="E442" i="1"/>
  <c r="B442" i="1"/>
  <c r="A442" i="1"/>
  <c r="AO441" i="1"/>
  <c r="AL441" i="1"/>
  <c r="R441" i="1"/>
  <c r="J441" i="1"/>
  <c r="I441" i="1"/>
  <c r="F441" i="1"/>
  <c r="E441" i="1"/>
  <c r="B441" i="1"/>
  <c r="A441" i="1"/>
  <c r="AO440" i="1"/>
  <c r="AL440" i="1"/>
  <c r="R440" i="1"/>
  <c r="J440" i="1"/>
  <c r="I440" i="1"/>
  <c r="F440" i="1"/>
  <c r="E440" i="1"/>
  <c r="B440" i="1"/>
  <c r="A440" i="1"/>
  <c r="AN440" i="1" s="1"/>
  <c r="AO439" i="1"/>
  <c r="AL439" i="1"/>
  <c r="R439" i="1"/>
  <c r="J439" i="1"/>
  <c r="I439" i="1"/>
  <c r="F439" i="1"/>
  <c r="E439" i="1"/>
  <c r="B439" i="1"/>
  <c r="A439" i="1"/>
  <c r="AO438" i="1"/>
  <c r="AL438" i="1"/>
  <c r="R438" i="1"/>
  <c r="P438" i="1"/>
  <c r="J438" i="1"/>
  <c r="I438" i="1"/>
  <c r="F438" i="1"/>
  <c r="E438" i="1"/>
  <c r="B438" i="1"/>
  <c r="A438" i="1"/>
  <c r="AO437" i="1"/>
  <c r="AL437" i="1"/>
  <c r="R437" i="1"/>
  <c r="O437" i="1"/>
  <c r="J437" i="1"/>
  <c r="I437" i="1"/>
  <c r="F437" i="1"/>
  <c r="E437" i="1"/>
  <c r="B437" i="1"/>
  <c r="X437" i="1" s="1"/>
  <c r="A437" i="1"/>
  <c r="AO436" i="1"/>
  <c r="AL436" i="1"/>
  <c r="R436" i="1"/>
  <c r="O436" i="1"/>
  <c r="J436" i="1"/>
  <c r="I436" i="1"/>
  <c r="F436" i="1"/>
  <c r="E436" i="1"/>
  <c r="B436" i="1"/>
  <c r="A436" i="1"/>
  <c r="AO435" i="1"/>
  <c r="AL435" i="1"/>
  <c r="R435" i="1"/>
  <c r="J435" i="1"/>
  <c r="I435" i="1"/>
  <c r="F435" i="1"/>
  <c r="E435" i="1"/>
  <c r="B435" i="1"/>
  <c r="A435" i="1"/>
  <c r="AO434" i="1"/>
  <c r="AL434" i="1"/>
  <c r="R434" i="1"/>
  <c r="P434" i="1"/>
  <c r="J434" i="1"/>
  <c r="I434" i="1"/>
  <c r="F434" i="1"/>
  <c r="E434" i="1"/>
  <c r="B434" i="1"/>
  <c r="A434" i="1"/>
  <c r="AN434" i="1" s="1"/>
  <c r="AO433" i="1"/>
  <c r="AL433" i="1"/>
  <c r="R433" i="1"/>
  <c r="J433" i="1"/>
  <c r="I433" i="1"/>
  <c r="F433" i="1"/>
  <c r="E433" i="1"/>
  <c r="B433" i="1"/>
  <c r="A433" i="1"/>
  <c r="AO432" i="1"/>
  <c r="AL432" i="1"/>
  <c r="R432" i="1"/>
  <c r="O432" i="1"/>
  <c r="J432" i="1"/>
  <c r="I432" i="1"/>
  <c r="F432" i="1"/>
  <c r="E432" i="1"/>
  <c r="B432" i="1"/>
  <c r="X432" i="1" s="1"/>
  <c r="A432" i="1"/>
  <c r="AO431" i="1"/>
  <c r="AL431" i="1"/>
  <c r="R431" i="1"/>
  <c r="O431" i="1"/>
  <c r="J431" i="1"/>
  <c r="I431" i="1"/>
  <c r="F431" i="1"/>
  <c r="E431" i="1"/>
  <c r="B431" i="1"/>
  <c r="X431" i="1" s="1"/>
  <c r="A431" i="1"/>
  <c r="AN431" i="1" s="1"/>
  <c r="AO430" i="1"/>
  <c r="AL430" i="1"/>
  <c r="R430" i="1"/>
  <c r="P430" i="1"/>
  <c r="J430" i="1"/>
  <c r="I430" i="1"/>
  <c r="F430" i="1"/>
  <c r="E430" i="1"/>
  <c r="B430" i="1"/>
  <c r="A430" i="1"/>
  <c r="AO429" i="1"/>
  <c r="AL429" i="1"/>
  <c r="R429" i="1"/>
  <c r="J429" i="1"/>
  <c r="I429" i="1"/>
  <c r="F429" i="1"/>
  <c r="E429" i="1"/>
  <c r="B429" i="1"/>
  <c r="A429" i="1"/>
  <c r="AN429" i="1" s="1"/>
  <c r="AO428" i="1"/>
  <c r="AL428" i="1"/>
  <c r="R428" i="1"/>
  <c r="J428" i="1"/>
  <c r="I428" i="1"/>
  <c r="F428" i="1"/>
  <c r="E428" i="1"/>
  <c r="B428" i="1"/>
  <c r="A428" i="1"/>
  <c r="AN428" i="1" s="1"/>
  <c r="AO427" i="1"/>
  <c r="AL427" i="1"/>
  <c r="R427" i="1"/>
  <c r="J427" i="1"/>
  <c r="I427" i="1"/>
  <c r="F427" i="1"/>
  <c r="E427" i="1"/>
  <c r="B427" i="1"/>
  <c r="A427" i="1"/>
  <c r="AO426" i="1"/>
  <c r="AL426" i="1"/>
  <c r="R426" i="1"/>
  <c r="P426" i="1"/>
  <c r="J426" i="1"/>
  <c r="I426" i="1"/>
  <c r="F426" i="1"/>
  <c r="E426" i="1"/>
  <c r="B426" i="1"/>
  <c r="X426" i="1" s="1"/>
  <c r="A426" i="1"/>
  <c r="AO425" i="1"/>
  <c r="AL425" i="1"/>
  <c r="R425" i="1"/>
  <c r="O425" i="1"/>
  <c r="J425" i="1"/>
  <c r="I425" i="1"/>
  <c r="F425" i="1"/>
  <c r="E425" i="1"/>
  <c r="B425" i="1"/>
  <c r="A425" i="1"/>
  <c r="AO424" i="1"/>
  <c r="AL424" i="1"/>
  <c r="R424" i="1"/>
  <c r="J424" i="1"/>
  <c r="I424" i="1"/>
  <c r="F424" i="1"/>
  <c r="E424" i="1"/>
  <c r="B424" i="1"/>
  <c r="A424" i="1"/>
  <c r="AO423" i="1"/>
  <c r="AL423" i="1"/>
  <c r="R423" i="1"/>
  <c r="J423" i="1"/>
  <c r="I423" i="1"/>
  <c r="F423" i="1"/>
  <c r="E423" i="1"/>
  <c r="B423" i="1"/>
  <c r="X423" i="1" s="1"/>
  <c r="A423" i="1"/>
  <c r="AO422" i="1"/>
  <c r="AL422" i="1"/>
  <c r="R422" i="1"/>
  <c r="P422" i="1"/>
  <c r="J422" i="1"/>
  <c r="I422" i="1"/>
  <c r="F422" i="1"/>
  <c r="E422" i="1"/>
  <c r="B422" i="1"/>
  <c r="A422" i="1"/>
  <c r="AO421" i="1"/>
  <c r="AL421" i="1"/>
  <c r="R421" i="1"/>
  <c r="J421" i="1"/>
  <c r="I421" i="1"/>
  <c r="F421" i="1"/>
  <c r="E421" i="1"/>
  <c r="B421" i="1"/>
  <c r="A421" i="1"/>
  <c r="AO420" i="1"/>
  <c r="AL420" i="1"/>
  <c r="R420" i="1"/>
  <c r="J420" i="1"/>
  <c r="I420" i="1"/>
  <c r="F420" i="1"/>
  <c r="E420" i="1"/>
  <c r="B420" i="1"/>
  <c r="A420" i="1"/>
  <c r="AO419" i="1"/>
  <c r="AL419" i="1"/>
  <c r="R419" i="1"/>
  <c r="O419" i="1"/>
  <c r="J419" i="1"/>
  <c r="I419" i="1"/>
  <c r="F419" i="1"/>
  <c r="E419" i="1"/>
  <c r="B419" i="1"/>
  <c r="A419" i="1"/>
  <c r="AO418" i="1"/>
  <c r="AL418" i="1"/>
  <c r="R418" i="1"/>
  <c r="J418" i="1"/>
  <c r="I418" i="1"/>
  <c r="F418" i="1"/>
  <c r="E418" i="1"/>
  <c r="B418" i="1"/>
  <c r="X418" i="1" s="1"/>
  <c r="A418" i="1"/>
  <c r="AO417" i="1"/>
  <c r="AL417" i="1"/>
  <c r="R417" i="1"/>
  <c r="O417" i="1"/>
  <c r="J417" i="1"/>
  <c r="I417" i="1"/>
  <c r="F417" i="1"/>
  <c r="E417" i="1"/>
  <c r="B417" i="1"/>
  <c r="X417" i="1" s="1"/>
  <c r="A417" i="1"/>
  <c r="AO416" i="1"/>
  <c r="AL416" i="1"/>
  <c r="R416" i="1"/>
  <c r="J416" i="1"/>
  <c r="I416" i="1"/>
  <c r="F416" i="1"/>
  <c r="E416" i="1"/>
  <c r="B416" i="1"/>
  <c r="X416" i="1" s="1"/>
  <c r="A416" i="1"/>
  <c r="AO415" i="1"/>
  <c r="AL415" i="1"/>
  <c r="R415" i="1"/>
  <c r="J415" i="1"/>
  <c r="I415" i="1"/>
  <c r="F415" i="1"/>
  <c r="E415" i="1"/>
  <c r="B415" i="1"/>
  <c r="A415" i="1"/>
  <c r="AO414" i="1"/>
  <c r="AL414" i="1"/>
  <c r="R414" i="1"/>
  <c r="J414" i="1"/>
  <c r="I414" i="1"/>
  <c r="F414" i="1"/>
  <c r="E414" i="1"/>
  <c r="B414" i="1"/>
  <c r="X414" i="1" s="1"/>
  <c r="A414" i="1"/>
  <c r="AO413" i="1"/>
  <c r="AL413" i="1"/>
  <c r="R413" i="1"/>
  <c r="J413" i="1"/>
  <c r="I413" i="1"/>
  <c r="F413" i="1"/>
  <c r="E413" i="1"/>
  <c r="B413" i="1"/>
  <c r="X413" i="1" s="1"/>
  <c r="A413" i="1"/>
  <c r="AO412" i="1"/>
  <c r="AL412" i="1"/>
  <c r="R412" i="1"/>
  <c r="J412" i="1"/>
  <c r="I412" i="1"/>
  <c r="F412" i="1"/>
  <c r="E412" i="1"/>
  <c r="B412" i="1"/>
  <c r="X412" i="1" s="1"/>
  <c r="A412" i="1"/>
  <c r="AO411" i="1"/>
  <c r="AL411" i="1"/>
  <c r="R411" i="1"/>
  <c r="J411" i="1"/>
  <c r="I411" i="1"/>
  <c r="F411" i="1"/>
  <c r="E411" i="1"/>
  <c r="B411" i="1"/>
  <c r="A411" i="1"/>
  <c r="AO410" i="1"/>
  <c r="AL410" i="1"/>
  <c r="R410" i="1"/>
  <c r="J410" i="1"/>
  <c r="I410" i="1"/>
  <c r="F410" i="1"/>
  <c r="E410" i="1"/>
  <c r="B410" i="1"/>
  <c r="A410" i="1"/>
  <c r="AO409" i="1"/>
  <c r="AL409" i="1"/>
  <c r="R409" i="1"/>
  <c r="J409" i="1"/>
  <c r="I409" i="1"/>
  <c r="F409" i="1"/>
  <c r="E409" i="1"/>
  <c r="B409" i="1"/>
  <c r="A409" i="1"/>
  <c r="AO408" i="1"/>
  <c r="AL408" i="1"/>
  <c r="R408" i="1"/>
  <c r="O408" i="1"/>
  <c r="J408" i="1"/>
  <c r="I408" i="1"/>
  <c r="F408" i="1"/>
  <c r="E408" i="1"/>
  <c r="B408" i="1"/>
  <c r="A408" i="1"/>
  <c r="AO407" i="1"/>
  <c r="AL407" i="1"/>
  <c r="R407" i="1"/>
  <c r="O407" i="1"/>
  <c r="J407" i="1"/>
  <c r="I407" i="1"/>
  <c r="F407" i="1"/>
  <c r="E407" i="1"/>
  <c r="B407" i="1"/>
  <c r="A407" i="1"/>
  <c r="AO406" i="1"/>
  <c r="AL406" i="1"/>
  <c r="R406" i="1"/>
  <c r="O406" i="1"/>
  <c r="J406" i="1"/>
  <c r="I406" i="1"/>
  <c r="F406" i="1"/>
  <c r="E406" i="1"/>
  <c r="B406" i="1"/>
  <c r="A406" i="1"/>
  <c r="AO405" i="1"/>
  <c r="AL405" i="1"/>
  <c r="R405" i="1"/>
  <c r="J405" i="1"/>
  <c r="I405" i="1"/>
  <c r="F405" i="1"/>
  <c r="E405" i="1"/>
  <c r="B405" i="1"/>
  <c r="A405" i="1"/>
  <c r="AO404" i="1"/>
  <c r="AL404" i="1"/>
  <c r="R404" i="1"/>
  <c r="J404" i="1"/>
  <c r="I404" i="1"/>
  <c r="F404" i="1"/>
  <c r="E404" i="1"/>
  <c r="B404" i="1"/>
  <c r="A404" i="1"/>
  <c r="AO403" i="1"/>
  <c r="AL403" i="1"/>
  <c r="R403" i="1"/>
  <c r="J403" i="1"/>
  <c r="I403" i="1"/>
  <c r="F403" i="1"/>
  <c r="E403" i="1"/>
  <c r="B403" i="1"/>
  <c r="X403" i="1" s="1"/>
  <c r="A403" i="1"/>
  <c r="AO402" i="1"/>
  <c r="AL402" i="1"/>
  <c r="R402" i="1"/>
  <c r="O402" i="1"/>
  <c r="J402" i="1"/>
  <c r="I402" i="1"/>
  <c r="F402" i="1"/>
  <c r="E402" i="1"/>
  <c r="B402" i="1"/>
  <c r="A402" i="1"/>
  <c r="AO401" i="1"/>
  <c r="AL401" i="1"/>
  <c r="R401" i="1"/>
  <c r="J401" i="1"/>
  <c r="I401" i="1"/>
  <c r="F401" i="1"/>
  <c r="E401" i="1"/>
  <c r="B401" i="1"/>
  <c r="X401" i="1" s="1"/>
  <c r="A401" i="1"/>
  <c r="AO400" i="1"/>
  <c r="AL400" i="1"/>
  <c r="R400" i="1"/>
  <c r="P400" i="1"/>
  <c r="J400" i="1"/>
  <c r="I400" i="1"/>
  <c r="F400" i="1"/>
  <c r="E400" i="1"/>
  <c r="B400" i="1"/>
  <c r="X400" i="1" s="1"/>
  <c r="A400" i="1"/>
  <c r="AO399" i="1"/>
  <c r="AL399" i="1"/>
  <c r="R399" i="1"/>
  <c r="J399" i="1"/>
  <c r="I399" i="1"/>
  <c r="F399" i="1"/>
  <c r="E399" i="1"/>
  <c r="B399" i="1"/>
  <c r="X399" i="1" s="1"/>
  <c r="A399" i="1"/>
  <c r="AO398" i="1"/>
  <c r="AL398" i="1"/>
  <c r="R398" i="1"/>
  <c r="P398" i="1"/>
  <c r="J398" i="1"/>
  <c r="I398" i="1"/>
  <c r="F398" i="1"/>
  <c r="E398" i="1"/>
  <c r="B398" i="1"/>
  <c r="A398" i="1"/>
  <c r="AO397" i="1"/>
  <c r="AL397" i="1"/>
  <c r="R397" i="1"/>
  <c r="J397" i="1"/>
  <c r="I397" i="1"/>
  <c r="F397" i="1"/>
  <c r="E397" i="1"/>
  <c r="B397" i="1"/>
  <c r="A397" i="1"/>
  <c r="AO396" i="1"/>
  <c r="AL396" i="1"/>
  <c r="R396" i="1"/>
  <c r="J396" i="1"/>
  <c r="I396" i="1"/>
  <c r="F396" i="1"/>
  <c r="E396" i="1"/>
  <c r="B396" i="1"/>
  <c r="A396" i="1"/>
  <c r="AO395" i="1"/>
  <c r="AL395" i="1"/>
  <c r="R395" i="1"/>
  <c r="J395" i="1"/>
  <c r="I395" i="1"/>
  <c r="F395" i="1"/>
  <c r="E395" i="1"/>
  <c r="B395" i="1"/>
  <c r="A395" i="1"/>
  <c r="AO394" i="1"/>
  <c r="AL394" i="1"/>
  <c r="R394" i="1"/>
  <c r="O394" i="1"/>
  <c r="J394" i="1"/>
  <c r="I394" i="1"/>
  <c r="F394" i="1"/>
  <c r="E394" i="1"/>
  <c r="B394" i="1"/>
  <c r="X394" i="1" s="1"/>
  <c r="A394" i="1"/>
  <c r="AO393" i="1"/>
  <c r="AL393" i="1"/>
  <c r="R393" i="1"/>
  <c r="J393" i="1"/>
  <c r="I393" i="1"/>
  <c r="F393" i="1"/>
  <c r="E393" i="1"/>
  <c r="B393" i="1"/>
  <c r="X393" i="1" s="1"/>
  <c r="A393" i="1"/>
  <c r="AO392" i="1"/>
  <c r="AL392" i="1"/>
  <c r="R392" i="1"/>
  <c r="O392" i="1"/>
  <c r="J392" i="1"/>
  <c r="I392" i="1"/>
  <c r="F392" i="1"/>
  <c r="E392" i="1"/>
  <c r="B392" i="1"/>
  <c r="A392" i="1"/>
  <c r="AO391" i="1"/>
  <c r="AL391" i="1"/>
  <c r="R391" i="1"/>
  <c r="P391" i="1"/>
  <c r="J391" i="1"/>
  <c r="I391" i="1"/>
  <c r="F391" i="1"/>
  <c r="E391" i="1"/>
  <c r="B391" i="1"/>
  <c r="A391" i="1"/>
  <c r="AO390" i="1"/>
  <c r="AL390" i="1"/>
  <c r="R390" i="1"/>
  <c r="J390" i="1"/>
  <c r="I390" i="1"/>
  <c r="F390" i="1"/>
  <c r="E390" i="1"/>
  <c r="B390" i="1"/>
  <c r="A390" i="1"/>
  <c r="AO389" i="1"/>
  <c r="AL389" i="1"/>
  <c r="R389" i="1"/>
  <c r="P389" i="1"/>
  <c r="J389" i="1"/>
  <c r="I389" i="1"/>
  <c r="F389" i="1"/>
  <c r="E389" i="1"/>
  <c r="B389" i="1"/>
  <c r="A389" i="1"/>
  <c r="AO388" i="1"/>
  <c r="AL388" i="1"/>
  <c r="R388" i="1"/>
  <c r="O388" i="1"/>
  <c r="J388" i="1"/>
  <c r="I388" i="1"/>
  <c r="F388" i="1"/>
  <c r="E388" i="1"/>
  <c r="B388" i="1"/>
  <c r="X388" i="1" s="1"/>
  <c r="A388" i="1"/>
  <c r="AO387" i="1"/>
  <c r="AL387" i="1"/>
  <c r="R387" i="1"/>
  <c r="J387" i="1"/>
  <c r="I387" i="1"/>
  <c r="F387" i="1"/>
  <c r="E387" i="1"/>
  <c r="B387" i="1"/>
  <c r="A387" i="1"/>
  <c r="AO386" i="1"/>
  <c r="AL386" i="1"/>
  <c r="R386" i="1"/>
  <c r="P386" i="1"/>
  <c r="J386" i="1"/>
  <c r="I386" i="1"/>
  <c r="F386" i="1"/>
  <c r="E386" i="1"/>
  <c r="B386" i="1"/>
  <c r="X386" i="1" s="1"/>
  <c r="A386" i="1"/>
  <c r="AO385" i="1"/>
  <c r="AL385" i="1"/>
  <c r="R385" i="1"/>
  <c r="P385" i="1"/>
  <c r="J385" i="1"/>
  <c r="I385" i="1"/>
  <c r="F385" i="1"/>
  <c r="E385" i="1"/>
  <c r="B385" i="1"/>
  <c r="A385" i="1"/>
  <c r="AO384" i="1"/>
  <c r="AL384" i="1"/>
  <c r="J384" i="1"/>
  <c r="I384" i="1"/>
  <c r="F384" i="1"/>
  <c r="E384" i="1"/>
  <c r="B384" i="1"/>
  <c r="X384" i="1" s="1"/>
  <c r="A384" i="1"/>
  <c r="AO383" i="1"/>
  <c r="AL383" i="1"/>
  <c r="R383" i="1"/>
  <c r="P383" i="1"/>
  <c r="J383" i="1"/>
  <c r="I383" i="1"/>
  <c r="F383" i="1"/>
  <c r="E383" i="1"/>
  <c r="B383" i="1"/>
  <c r="X383" i="1" s="1"/>
  <c r="A383" i="1"/>
  <c r="AO382" i="1"/>
  <c r="AL382" i="1"/>
  <c r="J382" i="1"/>
  <c r="I382" i="1"/>
  <c r="F382" i="1"/>
  <c r="E382" i="1"/>
  <c r="B382" i="1"/>
  <c r="X382" i="1" s="1"/>
  <c r="A382" i="1"/>
  <c r="AO381" i="1"/>
  <c r="AL381" i="1"/>
  <c r="P381" i="1"/>
  <c r="J381" i="1"/>
  <c r="I381" i="1"/>
  <c r="F381" i="1"/>
  <c r="E381" i="1"/>
  <c r="B381" i="1"/>
  <c r="A381" i="1"/>
  <c r="AO380" i="1"/>
  <c r="AL380" i="1"/>
  <c r="R380" i="1"/>
  <c r="O380" i="1"/>
  <c r="J380" i="1"/>
  <c r="I380" i="1"/>
  <c r="F380" i="1"/>
  <c r="E380" i="1"/>
  <c r="B380" i="1"/>
  <c r="X380" i="1" s="1"/>
  <c r="A380" i="1"/>
  <c r="AO379" i="1"/>
  <c r="AL379" i="1"/>
  <c r="R379" i="1"/>
  <c r="O379" i="1"/>
  <c r="J379" i="1"/>
  <c r="I379" i="1"/>
  <c r="F379" i="1"/>
  <c r="E379" i="1"/>
  <c r="B379" i="1"/>
  <c r="A379" i="1"/>
  <c r="AO378" i="1"/>
  <c r="AL378" i="1"/>
  <c r="R378" i="1"/>
  <c r="J378" i="1"/>
  <c r="I378" i="1"/>
  <c r="F378" i="1"/>
  <c r="E378" i="1"/>
  <c r="B378" i="1"/>
  <c r="X378" i="1" s="1"/>
  <c r="A378" i="1"/>
  <c r="AO377" i="1"/>
  <c r="AL377" i="1"/>
  <c r="R377" i="1"/>
  <c r="J377" i="1"/>
  <c r="I377" i="1"/>
  <c r="F377" i="1"/>
  <c r="E377" i="1"/>
  <c r="B377" i="1"/>
  <c r="X377" i="1" s="1"/>
  <c r="A377" i="1"/>
  <c r="AO376" i="1"/>
  <c r="AL376" i="1"/>
  <c r="R376" i="1"/>
  <c r="O376" i="1"/>
  <c r="J376" i="1"/>
  <c r="I376" i="1"/>
  <c r="F376" i="1"/>
  <c r="E376" i="1"/>
  <c r="B376" i="1"/>
  <c r="A376" i="1"/>
  <c r="AO375" i="1"/>
  <c r="AL375" i="1"/>
  <c r="R375" i="1"/>
  <c r="J375" i="1"/>
  <c r="I375" i="1"/>
  <c r="F375" i="1"/>
  <c r="E375" i="1"/>
  <c r="B375" i="1"/>
  <c r="X375" i="1" s="1"/>
  <c r="A375" i="1"/>
  <c r="AO374" i="1"/>
  <c r="AL374" i="1"/>
  <c r="R374" i="1"/>
  <c r="O374" i="1"/>
  <c r="J374" i="1"/>
  <c r="I374" i="1"/>
  <c r="F374" i="1"/>
  <c r="E374" i="1"/>
  <c r="B374" i="1"/>
  <c r="X374" i="1" s="1"/>
  <c r="A374" i="1"/>
  <c r="AO373" i="1"/>
  <c r="AL373" i="1"/>
  <c r="R373" i="1"/>
  <c r="O373" i="1"/>
  <c r="J373" i="1"/>
  <c r="I373" i="1"/>
  <c r="F373" i="1"/>
  <c r="E373" i="1"/>
  <c r="B373" i="1"/>
  <c r="X373" i="1" s="1"/>
  <c r="A373" i="1"/>
  <c r="AO372" i="1"/>
  <c r="AL372" i="1"/>
  <c r="R372" i="1"/>
  <c r="P372" i="1"/>
  <c r="J372" i="1"/>
  <c r="I372" i="1"/>
  <c r="F372" i="1"/>
  <c r="E372" i="1"/>
  <c r="B372" i="1"/>
  <c r="A372" i="1"/>
  <c r="AO371" i="1"/>
  <c r="AL371" i="1"/>
  <c r="J371" i="1"/>
  <c r="I371" i="1"/>
  <c r="F371" i="1"/>
  <c r="E371" i="1"/>
  <c r="B371" i="1"/>
  <c r="A371" i="1"/>
  <c r="AO370" i="1"/>
  <c r="AL370" i="1"/>
  <c r="R370" i="1"/>
  <c r="P370" i="1"/>
  <c r="J370" i="1"/>
  <c r="I370" i="1"/>
  <c r="F370" i="1"/>
  <c r="E370" i="1"/>
  <c r="B370" i="1"/>
  <c r="A370" i="1"/>
  <c r="AO369" i="1"/>
  <c r="AL369" i="1"/>
  <c r="R369" i="1"/>
  <c r="J369" i="1"/>
  <c r="I369" i="1"/>
  <c r="F369" i="1"/>
  <c r="E369" i="1"/>
  <c r="B369" i="1"/>
  <c r="X369" i="1" s="1"/>
  <c r="A369" i="1"/>
  <c r="AO368" i="1"/>
  <c r="AL368" i="1"/>
  <c r="J368" i="1"/>
  <c r="I368" i="1"/>
  <c r="F368" i="1"/>
  <c r="E368" i="1"/>
  <c r="B368" i="1"/>
  <c r="A368" i="1"/>
  <c r="AO367" i="1"/>
  <c r="AL367" i="1"/>
  <c r="R367" i="1"/>
  <c r="O367" i="1"/>
  <c r="J367" i="1"/>
  <c r="I367" i="1"/>
  <c r="F367" i="1"/>
  <c r="E367" i="1"/>
  <c r="B367" i="1"/>
  <c r="X367" i="1" s="1"/>
  <c r="A367" i="1"/>
  <c r="AO366" i="1"/>
  <c r="AL366" i="1"/>
  <c r="R366" i="1"/>
  <c r="J366" i="1"/>
  <c r="I366" i="1"/>
  <c r="F366" i="1"/>
  <c r="E366" i="1"/>
  <c r="B366" i="1"/>
  <c r="X366" i="1" s="1"/>
  <c r="A366" i="1"/>
  <c r="AO365" i="1"/>
  <c r="AL365" i="1"/>
  <c r="R365" i="1"/>
  <c r="P365" i="1"/>
  <c r="J365" i="1"/>
  <c r="I365" i="1"/>
  <c r="F365" i="1"/>
  <c r="E365" i="1"/>
  <c r="B365" i="1"/>
  <c r="X365" i="1" s="1"/>
  <c r="A365" i="1"/>
  <c r="AO364" i="1"/>
  <c r="AL364" i="1"/>
  <c r="J364" i="1"/>
  <c r="I364" i="1"/>
  <c r="F364" i="1"/>
  <c r="E364" i="1"/>
  <c r="B364" i="1"/>
  <c r="X364" i="1" s="1"/>
  <c r="A364" i="1"/>
  <c r="AO363" i="1"/>
  <c r="AL363" i="1"/>
  <c r="R363" i="1"/>
  <c r="O363" i="1"/>
  <c r="J363" i="1"/>
  <c r="I363" i="1"/>
  <c r="F363" i="1"/>
  <c r="E363" i="1"/>
  <c r="B363" i="1"/>
  <c r="X363" i="1" s="1"/>
  <c r="A363" i="1"/>
  <c r="AO362" i="1"/>
  <c r="AL362" i="1"/>
  <c r="R362" i="1"/>
  <c r="J362" i="1"/>
  <c r="I362" i="1"/>
  <c r="F362" i="1"/>
  <c r="E362" i="1"/>
  <c r="B362" i="1"/>
  <c r="X362" i="1" s="1"/>
  <c r="A362" i="1"/>
  <c r="AN362" i="1" s="1"/>
  <c r="AO361" i="1"/>
  <c r="AL361" i="1"/>
  <c r="R361" i="1"/>
  <c r="J361" i="1"/>
  <c r="I361" i="1"/>
  <c r="F361" i="1"/>
  <c r="E361" i="1"/>
  <c r="B361" i="1"/>
  <c r="A361" i="1"/>
  <c r="AO360" i="1"/>
  <c r="AL360" i="1"/>
  <c r="R360" i="1"/>
  <c r="J360" i="1"/>
  <c r="I360" i="1"/>
  <c r="F360" i="1"/>
  <c r="E360" i="1"/>
  <c r="B360" i="1"/>
  <c r="X360" i="1" s="1"/>
  <c r="A360" i="1"/>
  <c r="AO359" i="1"/>
  <c r="AL359" i="1"/>
  <c r="R359" i="1"/>
  <c r="P359" i="1"/>
  <c r="J359" i="1"/>
  <c r="I359" i="1"/>
  <c r="F359" i="1"/>
  <c r="E359" i="1"/>
  <c r="B359" i="1"/>
  <c r="X359" i="1" s="1"/>
  <c r="A359" i="1"/>
  <c r="AO358" i="1"/>
  <c r="AL358" i="1"/>
  <c r="R358" i="1"/>
  <c r="J358" i="1"/>
  <c r="I358" i="1"/>
  <c r="F358" i="1"/>
  <c r="E358" i="1"/>
  <c r="B358" i="1"/>
  <c r="A358" i="1"/>
  <c r="AO357" i="1"/>
  <c r="AL357" i="1"/>
  <c r="R357" i="1"/>
  <c r="O357" i="1"/>
  <c r="J357" i="1"/>
  <c r="I357" i="1"/>
  <c r="F357" i="1"/>
  <c r="E357" i="1"/>
  <c r="B357" i="1"/>
  <c r="X357" i="1" s="1"/>
  <c r="A357" i="1"/>
  <c r="AO356" i="1"/>
  <c r="AL356" i="1"/>
  <c r="R356" i="1"/>
  <c r="J356" i="1"/>
  <c r="I356" i="1"/>
  <c r="F356" i="1"/>
  <c r="E356" i="1"/>
  <c r="B356" i="1"/>
  <c r="A356" i="1"/>
  <c r="AO355" i="1"/>
  <c r="AL355" i="1"/>
  <c r="R355" i="1"/>
  <c r="O355" i="1"/>
  <c r="J355" i="1"/>
  <c r="I355" i="1"/>
  <c r="F355" i="1"/>
  <c r="E355" i="1"/>
  <c r="B355" i="1"/>
  <c r="X355" i="1" s="1"/>
  <c r="A355" i="1"/>
  <c r="AO354" i="1"/>
  <c r="AL354" i="1"/>
  <c r="O354" i="1"/>
  <c r="J354" i="1"/>
  <c r="I354" i="1"/>
  <c r="F354" i="1"/>
  <c r="E354" i="1"/>
  <c r="B354" i="1"/>
  <c r="X354" i="1" s="1"/>
  <c r="A354" i="1"/>
  <c r="AO353" i="1"/>
  <c r="AL353" i="1"/>
  <c r="R353" i="1"/>
  <c r="J353" i="1"/>
  <c r="I353" i="1"/>
  <c r="F353" i="1"/>
  <c r="E353" i="1"/>
  <c r="B353" i="1"/>
  <c r="X353" i="1" s="1"/>
  <c r="A353" i="1"/>
  <c r="AO352" i="1"/>
  <c r="AL352" i="1"/>
  <c r="R352" i="1"/>
  <c r="J352" i="1"/>
  <c r="I352" i="1"/>
  <c r="F352" i="1"/>
  <c r="E352" i="1"/>
  <c r="B352" i="1"/>
  <c r="A352" i="1"/>
  <c r="AO351" i="1"/>
  <c r="AL351" i="1"/>
  <c r="R351" i="1"/>
  <c r="O351" i="1"/>
  <c r="J351" i="1"/>
  <c r="I351" i="1"/>
  <c r="F351" i="1"/>
  <c r="E351" i="1"/>
  <c r="B351" i="1"/>
  <c r="X351" i="1" s="1"/>
  <c r="A351" i="1"/>
  <c r="AO350" i="1"/>
  <c r="AL350" i="1"/>
  <c r="R350" i="1"/>
  <c r="J350" i="1"/>
  <c r="I350" i="1"/>
  <c r="F350" i="1"/>
  <c r="E350" i="1"/>
  <c r="B350" i="1"/>
  <c r="X350" i="1" s="1"/>
  <c r="A350" i="1"/>
  <c r="AO349" i="1"/>
  <c r="AL349" i="1"/>
  <c r="R349" i="1"/>
  <c r="P349" i="1"/>
  <c r="J349" i="1"/>
  <c r="I349" i="1"/>
  <c r="F349" i="1"/>
  <c r="E349" i="1"/>
  <c r="B349" i="1"/>
  <c r="X349" i="1" s="1"/>
  <c r="A349" i="1"/>
  <c r="AO348" i="1"/>
  <c r="AL348" i="1"/>
  <c r="J348" i="1"/>
  <c r="I348" i="1"/>
  <c r="F348" i="1"/>
  <c r="E348" i="1"/>
  <c r="B348" i="1"/>
  <c r="A348" i="1"/>
  <c r="AO347" i="1"/>
  <c r="AL347" i="1"/>
  <c r="R347" i="1"/>
  <c r="J347" i="1"/>
  <c r="I347" i="1"/>
  <c r="F347" i="1"/>
  <c r="E347" i="1"/>
  <c r="B347" i="1"/>
  <c r="X347" i="1" s="1"/>
  <c r="A347" i="1"/>
  <c r="AO346" i="1"/>
  <c r="AL346" i="1"/>
  <c r="R346" i="1"/>
  <c r="P346" i="1"/>
  <c r="J346" i="1"/>
  <c r="I346" i="1"/>
  <c r="F346" i="1"/>
  <c r="E346" i="1"/>
  <c r="B346" i="1"/>
  <c r="A346" i="1"/>
  <c r="AO345" i="1"/>
  <c r="AL345" i="1"/>
  <c r="R345" i="1"/>
  <c r="J345" i="1"/>
  <c r="I345" i="1"/>
  <c r="F345" i="1"/>
  <c r="E345" i="1"/>
  <c r="B345" i="1"/>
  <c r="A345" i="1"/>
  <c r="AO344" i="1"/>
  <c r="AL344" i="1"/>
  <c r="R344" i="1"/>
  <c r="J344" i="1"/>
  <c r="I344" i="1"/>
  <c r="F344" i="1"/>
  <c r="E344" i="1"/>
  <c r="B344" i="1"/>
  <c r="A344" i="1"/>
  <c r="AO343" i="1"/>
  <c r="AL343" i="1"/>
  <c r="R343" i="1"/>
  <c r="J343" i="1"/>
  <c r="I343" i="1"/>
  <c r="F343" i="1"/>
  <c r="E343" i="1"/>
  <c r="B343" i="1"/>
  <c r="A343" i="1"/>
  <c r="AO342" i="1"/>
  <c r="AL342" i="1"/>
  <c r="R342" i="1"/>
  <c r="J342" i="1"/>
  <c r="I342" i="1"/>
  <c r="F342" i="1"/>
  <c r="E342" i="1"/>
  <c r="B342" i="1"/>
  <c r="A342" i="1"/>
  <c r="AO341" i="1"/>
  <c r="AL341" i="1"/>
  <c r="R341" i="1"/>
  <c r="J341" i="1"/>
  <c r="I341" i="1"/>
  <c r="F341" i="1"/>
  <c r="E341" i="1"/>
  <c r="B341" i="1"/>
  <c r="A341" i="1"/>
  <c r="AO340" i="1"/>
  <c r="AL340" i="1"/>
  <c r="R340" i="1"/>
  <c r="J340" i="1"/>
  <c r="I340" i="1"/>
  <c r="F340" i="1"/>
  <c r="E340" i="1"/>
  <c r="B340" i="1"/>
  <c r="X340" i="1" s="1"/>
  <c r="A340" i="1"/>
  <c r="AO339" i="1"/>
  <c r="AL339" i="1"/>
  <c r="R339" i="1"/>
  <c r="J339" i="1"/>
  <c r="I339" i="1"/>
  <c r="F339" i="1"/>
  <c r="E339" i="1"/>
  <c r="B339" i="1"/>
  <c r="A339" i="1"/>
  <c r="AO338" i="1"/>
  <c r="AL338" i="1"/>
  <c r="R338" i="1"/>
  <c r="J338" i="1"/>
  <c r="I338" i="1"/>
  <c r="F338" i="1"/>
  <c r="E338" i="1"/>
  <c r="B338" i="1"/>
  <c r="A338" i="1"/>
  <c r="AO337" i="1"/>
  <c r="AL337" i="1"/>
  <c r="R337" i="1"/>
  <c r="J337" i="1"/>
  <c r="I337" i="1"/>
  <c r="F337" i="1"/>
  <c r="E337" i="1"/>
  <c r="B337" i="1"/>
  <c r="A337" i="1"/>
  <c r="AO336" i="1"/>
  <c r="AL336" i="1"/>
  <c r="R336" i="1"/>
  <c r="J336" i="1"/>
  <c r="I336" i="1"/>
  <c r="F336" i="1"/>
  <c r="E336" i="1"/>
  <c r="B336" i="1"/>
  <c r="A336" i="1"/>
  <c r="AO335" i="1"/>
  <c r="AL335" i="1"/>
  <c r="R335" i="1"/>
  <c r="P335" i="1"/>
  <c r="J335" i="1"/>
  <c r="I335" i="1"/>
  <c r="F335" i="1"/>
  <c r="E335" i="1"/>
  <c r="B335" i="1"/>
  <c r="A335" i="1"/>
  <c r="AO334" i="1"/>
  <c r="AL334" i="1"/>
  <c r="R334" i="1"/>
  <c r="J334" i="1"/>
  <c r="I334" i="1"/>
  <c r="F334" i="1"/>
  <c r="E334" i="1"/>
  <c r="B334" i="1"/>
  <c r="A334" i="1"/>
  <c r="AO333" i="1"/>
  <c r="AL333" i="1"/>
  <c r="R333" i="1"/>
  <c r="P333" i="1"/>
  <c r="J333" i="1"/>
  <c r="I333" i="1"/>
  <c r="F333" i="1"/>
  <c r="E333" i="1"/>
  <c r="B333" i="1"/>
  <c r="A333" i="1"/>
  <c r="AO332" i="1"/>
  <c r="AL332" i="1"/>
  <c r="R332" i="1"/>
  <c r="P332" i="1"/>
  <c r="J332" i="1"/>
  <c r="I332" i="1"/>
  <c r="F332" i="1"/>
  <c r="E332" i="1"/>
  <c r="B332" i="1"/>
  <c r="A332" i="1"/>
  <c r="AO331" i="1"/>
  <c r="AL331" i="1"/>
  <c r="R331" i="1"/>
  <c r="O331" i="1"/>
  <c r="J331" i="1"/>
  <c r="I331" i="1"/>
  <c r="F331" i="1"/>
  <c r="E331" i="1"/>
  <c r="B331" i="1"/>
  <c r="A331" i="1"/>
  <c r="AO330" i="1"/>
  <c r="AL330" i="1"/>
  <c r="R330" i="1"/>
  <c r="J330" i="1"/>
  <c r="I330" i="1"/>
  <c r="F330" i="1"/>
  <c r="E330" i="1"/>
  <c r="B330" i="1"/>
  <c r="A330" i="1"/>
  <c r="AO329" i="1"/>
  <c r="AL329" i="1"/>
  <c r="R329" i="1"/>
  <c r="J329" i="1"/>
  <c r="I329" i="1"/>
  <c r="F329" i="1"/>
  <c r="E329" i="1"/>
  <c r="B329" i="1"/>
  <c r="A329" i="1"/>
  <c r="AO328" i="1"/>
  <c r="AL328" i="1"/>
  <c r="R328" i="1"/>
  <c r="P328" i="1"/>
  <c r="J328" i="1"/>
  <c r="I328" i="1"/>
  <c r="F328" i="1"/>
  <c r="E328" i="1"/>
  <c r="B328" i="1"/>
  <c r="A328" i="1"/>
  <c r="AO327" i="1"/>
  <c r="AL327" i="1"/>
  <c r="R327" i="1"/>
  <c r="P327" i="1"/>
  <c r="J327" i="1"/>
  <c r="I327" i="1"/>
  <c r="F327" i="1"/>
  <c r="E327" i="1"/>
  <c r="B327" i="1"/>
  <c r="A327" i="1"/>
  <c r="AO326" i="1"/>
  <c r="AL326" i="1"/>
  <c r="R326" i="1"/>
  <c r="J326" i="1"/>
  <c r="I326" i="1"/>
  <c r="F326" i="1"/>
  <c r="E326" i="1"/>
  <c r="B326" i="1"/>
  <c r="A326" i="1"/>
  <c r="AO325" i="1"/>
  <c r="AL325" i="1"/>
  <c r="R325" i="1"/>
  <c r="J325" i="1"/>
  <c r="I325" i="1"/>
  <c r="F325" i="1"/>
  <c r="E325" i="1"/>
  <c r="B325" i="1"/>
  <c r="X325" i="1" s="1"/>
  <c r="A325" i="1"/>
  <c r="AO324" i="1"/>
  <c r="AL324" i="1"/>
  <c r="R324" i="1"/>
  <c r="J324" i="1"/>
  <c r="I324" i="1"/>
  <c r="F324" i="1"/>
  <c r="E324" i="1"/>
  <c r="B324" i="1"/>
  <c r="A324" i="1"/>
  <c r="AO323" i="1"/>
  <c r="AL323" i="1"/>
  <c r="R323" i="1"/>
  <c r="J323" i="1"/>
  <c r="I323" i="1"/>
  <c r="F323" i="1"/>
  <c r="E323" i="1"/>
  <c r="B323" i="1"/>
  <c r="A323" i="1"/>
  <c r="AO322" i="1"/>
  <c r="AL322" i="1"/>
  <c r="R322" i="1"/>
  <c r="O322" i="1"/>
  <c r="J322" i="1"/>
  <c r="I322" i="1"/>
  <c r="F322" i="1"/>
  <c r="E322" i="1"/>
  <c r="B322" i="1"/>
  <c r="X322" i="1" s="1"/>
  <c r="A322" i="1"/>
  <c r="AO321" i="1"/>
  <c r="AL321" i="1"/>
  <c r="R321" i="1"/>
  <c r="P321" i="1"/>
  <c r="J321" i="1"/>
  <c r="I321" i="1"/>
  <c r="F321" i="1"/>
  <c r="E321" i="1"/>
  <c r="B321" i="1"/>
  <c r="A321" i="1"/>
  <c r="AO320" i="1"/>
  <c r="AL320" i="1"/>
  <c r="R320" i="1"/>
  <c r="P320" i="1"/>
  <c r="J320" i="1"/>
  <c r="I320" i="1"/>
  <c r="F320" i="1"/>
  <c r="E320" i="1"/>
  <c r="B320" i="1"/>
  <c r="A320" i="1"/>
  <c r="AO319" i="1"/>
  <c r="AL319" i="1"/>
  <c r="R319" i="1"/>
  <c r="P319" i="1"/>
  <c r="J319" i="1"/>
  <c r="I319" i="1"/>
  <c r="F319" i="1"/>
  <c r="E319" i="1"/>
  <c r="B319" i="1"/>
  <c r="A319" i="1"/>
  <c r="AO318" i="1"/>
  <c r="AL318" i="1"/>
  <c r="R318" i="1"/>
  <c r="O318" i="1"/>
  <c r="J318" i="1"/>
  <c r="I318" i="1"/>
  <c r="F318" i="1"/>
  <c r="E318" i="1"/>
  <c r="B318" i="1"/>
  <c r="A318" i="1"/>
  <c r="AO317" i="1"/>
  <c r="AL317" i="1"/>
  <c r="R317" i="1"/>
  <c r="J317" i="1"/>
  <c r="I317" i="1"/>
  <c r="F317" i="1"/>
  <c r="E317" i="1"/>
  <c r="B317" i="1"/>
  <c r="A317" i="1"/>
  <c r="AO316" i="1"/>
  <c r="AL316" i="1"/>
  <c r="R316" i="1"/>
  <c r="P316" i="1"/>
  <c r="J316" i="1"/>
  <c r="I316" i="1"/>
  <c r="F316" i="1"/>
  <c r="E316" i="1"/>
  <c r="B316" i="1"/>
  <c r="A316" i="1"/>
  <c r="AO315" i="1"/>
  <c r="AL315" i="1"/>
  <c r="R315" i="1"/>
  <c r="J315" i="1"/>
  <c r="I315" i="1"/>
  <c r="F315" i="1"/>
  <c r="E315" i="1"/>
  <c r="B315" i="1"/>
  <c r="A315" i="1"/>
  <c r="AO314" i="1"/>
  <c r="AL314" i="1"/>
  <c r="R314" i="1"/>
  <c r="J314" i="1"/>
  <c r="I314" i="1"/>
  <c r="F314" i="1"/>
  <c r="E314" i="1"/>
  <c r="B314" i="1"/>
  <c r="A314" i="1"/>
  <c r="AO313" i="1"/>
  <c r="AL313" i="1"/>
  <c r="R313" i="1"/>
  <c r="P313" i="1"/>
  <c r="J313" i="1"/>
  <c r="I313" i="1"/>
  <c r="F313" i="1"/>
  <c r="E313" i="1"/>
  <c r="B313" i="1"/>
  <c r="X313" i="1" s="1"/>
  <c r="A313" i="1"/>
  <c r="AN313" i="1" s="1"/>
  <c r="AO312" i="1"/>
  <c r="AL312" i="1"/>
  <c r="R312" i="1"/>
  <c r="P312" i="1"/>
  <c r="J312" i="1"/>
  <c r="I312" i="1"/>
  <c r="F312" i="1"/>
  <c r="E312" i="1"/>
  <c r="B312" i="1"/>
  <c r="A312" i="1"/>
  <c r="AO311" i="1"/>
  <c r="AL311" i="1"/>
  <c r="R311" i="1"/>
  <c r="P311" i="1"/>
  <c r="J311" i="1"/>
  <c r="I311" i="1"/>
  <c r="F311" i="1"/>
  <c r="E311" i="1"/>
  <c r="B311" i="1"/>
  <c r="A311" i="1"/>
  <c r="AO310" i="1"/>
  <c r="AL310" i="1"/>
  <c r="R310" i="1"/>
  <c r="J310" i="1"/>
  <c r="I310" i="1"/>
  <c r="F310" i="1"/>
  <c r="E310" i="1"/>
  <c r="B310" i="1"/>
  <c r="A310" i="1"/>
  <c r="AO309" i="1"/>
  <c r="AL309" i="1"/>
  <c r="R309" i="1"/>
  <c r="P309" i="1"/>
  <c r="J309" i="1"/>
  <c r="I309" i="1"/>
  <c r="F309" i="1"/>
  <c r="E309" i="1"/>
  <c r="B309" i="1"/>
  <c r="A309" i="1"/>
  <c r="AO308" i="1"/>
  <c r="AL308" i="1"/>
  <c r="R308" i="1"/>
  <c r="J308" i="1"/>
  <c r="I308" i="1"/>
  <c r="F308" i="1"/>
  <c r="E308" i="1"/>
  <c r="B308" i="1"/>
  <c r="A308" i="1"/>
  <c r="AO307" i="1"/>
  <c r="AL307" i="1"/>
  <c r="R307" i="1"/>
  <c r="P307" i="1"/>
  <c r="J307" i="1"/>
  <c r="I307" i="1"/>
  <c r="F307" i="1"/>
  <c r="E307" i="1"/>
  <c r="B307" i="1"/>
  <c r="A307" i="1"/>
  <c r="AO306" i="1"/>
  <c r="AL306" i="1"/>
  <c r="R306" i="1"/>
  <c r="O306" i="1"/>
  <c r="J306" i="1"/>
  <c r="I306" i="1"/>
  <c r="F306" i="1"/>
  <c r="E306" i="1"/>
  <c r="B306" i="1"/>
  <c r="A306" i="1"/>
  <c r="AO305" i="1"/>
  <c r="AL305" i="1"/>
  <c r="R305" i="1"/>
  <c r="J305" i="1"/>
  <c r="I305" i="1"/>
  <c r="F305" i="1"/>
  <c r="E305" i="1"/>
  <c r="B305" i="1"/>
  <c r="X305" i="1" s="1"/>
  <c r="A305" i="1"/>
  <c r="AO304" i="1"/>
  <c r="AL304" i="1"/>
  <c r="R304" i="1"/>
  <c r="P304" i="1"/>
  <c r="J304" i="1"/>
  <c r="I304" i="1"/>
  <c r="F304" i="1"/>
  <c r="E304" i="1"/>
  <c r="B304" i="1"/>
  <c r="X304" i="1" s="1"/>
  <c r="A304" i="1"/>
  <c r="AO303" i="1"/>
  <c r="AL303" i="1"/>
  <c r="R303" i="1"/>
  <c r="J303" i="1"/>
  <c r="I303" i="1"/>
  <c r="F303" i="1"/>
  <c r="E303" i="1"/>
  <c r="B303" i="1"/>
  <c r="X303" i="1" s="1"/>
  <c r="A303" i="1"/>
  <c r="AN303" i="1" s="1"/>
  <c r="AO302" i="1"/>
  <c r="AL302" i="1"/>
  <c r="R302" i="1"/>
  <c r="J302" i="1"/>
  <c r="I302" i="1"/>
  <c r="F302" i="1"/>
  <c r="E302" i="1"/>
  <c r="B302" i="1"/>
  <c r="A302" i="1"/>
  <c r="AN302" i="1" s="1"/>
  <c r="AO301" i="1"/>
  <c r="AL301" i="1"/>
  <c r="R301" i="1"/>
  <c r="O301" i="1"/>
  <c r="J301" i="1"/>
  <c r="I301" i="1"/>
  <c r="F301" i="1"/>
  <c r="E301" i="1"/>
  <c r="B301" i="1"/>
  <c r="X301" i="1" s="1"/>
  <c r="A301" i="1"/>
  <c r="AO300" i="1"/>
  <c r="AL300" i="1"/>
  <c r="R300" i="1"/>
  <c r="J300" i="1"/>
  <c r="I300" i="1"/>
  <c r="F300" i="1"/>
  <c r="E300" i="1"/>
  <c r="B300" i="1"/>
  <c r="X300" i="1" s="1"/>
  <c r="A300" i="1"/>
  <c r="AN300" i="1" s="1"/>
  <c r="AO299" i="1"/>
  <c r="AL299" i="1"/>
  <c r="R299" i="1"/>
  <c r="J299" i="1"/>
  <c r="I299" i="1"/>
  <c r="F299" i="1"/>
  <c r="E299" i="1"/>
  <c r="B299" i="1"/>
  <c r="X299" i="1" s="1"/>
  <c r="A299" i="1"/>
  <c r="AO298" i="1"/>
  <c r="AL298" i="1"/>
  <c r="R298" i="1"/>
  <c r="J298" i="1"/>
  <c r="I298" i="1"/>
  <c r="F298" i="1"/>
  <c r="E298" i="1"/>
  <c r="B298" i="1"/>
  <c r="X298" i="1" s="1"/>
  <c r="A298" i="1"/>
  <c r="AN298" i="1" s="1"/>
  <c r="AO297" i="1"/>
  <c r="AL297" i="1"/>
  <c r="R297" i="1"/>
  <c r="J297" i="1"/>
  <c r="I297" i="1"/>
  <c r="F297" i="1"/>
  <c r="E297" i="1"/>
  <c r="B297" i="1"/>
  <c r="X297" i="1" s="1"/>
  <c r="A297" i="1"/>
  <c r="AN297" i="1" s="1"/>
  <c r="AO296" i="1"/>
  <c r="AL296" i="1"/>
  <c r="R296" i="1"/>
  <c r="P296" i="1"/>
  <c r="J296" i="1"/>
  <c r="I296" i="1"/>
  <c r="F296" i="1"/>
  <c r="E296" i="1"/>
  <c r="B296" i="1"/>
  <c r="X296" i="1" s="1"/>
  <c r="A296" i="1"/>
  <c r="AO295" i="1"/>
  <c r="AL295" i="1"/>
  <c r="R295" i="1"/>
  <c r="P295" i="1"/>
  <c r="J295" i="1"/>
  <c r="I295" i="1"/>
  <c r="F295" i="1"/>
  <c r="E295" i="1"/>
  <c r="B295" i="1"/>
  <c r="X295" i="1" s="1"/>
  <c r="A295" i="1"/>
  <c r="AN295" i="1" s="1"/>
  <c r="AO294" i="1"/>
  <c r="AL294" i="1"/>
  <c r="R294" i="1"/>
  <c r="J294" i="1"/>
  <c r="I294" i="1"/>
  <c r="F294" i="1"/>
  <c r="E294" i="1"/>
  <c r="B294" i="1"/>
  <c r="X294" i="1" s="1"/>
  <c r="A294" i="1"/>
  <c r="AN294" i="1" s="1"/>
  <c r="AO293" i="1"/>
  <c r="AL293" i="1"/>
  <c r="R293" i="1"/>
  <c r="J293" i="1"/>
  <c r="I293" i="1"/>
  <c r="F293" i="1"/>
  <c r="E293" i="1"/>
  <c r="B293" i="1"/>
  <c r="A293" i="1"/>
  <c r="AO292" i="1"/>
  <c r="AL292" i="1"/>
  <c r="R292" i="1"/>
  <c r="J292" i="1"/>
  <c r="I292" i="1"/>
  <c r="F292" i="1"/>
  <c r="E292" i="1"/>
  <c r="B292" i="1"/>
  <c r="X292" i="1" s="1"/>
  <c r="A292" i="1"/>
  <c r="AO291" i="1"/>
  <c r="AL291" i="1"/>
  <c r="R291" i="1"/>
  <c r="J291" i="1"/>
  <c r="I291" i="1"/>
  <c r="F291" i="1"/>
  <c r="E291" i="1"/>
  <c r="B291" i="1"/>
  <c r="A291" i="1"/>
  <c r="AN291" i="1" s="1"/>
  <c r="AO290" i="1"/>
  <c r="AL290" i="1"/>
  <c r="R290" i="1"/>
  <c r="J290" i="1"/>
  <c r="I290" i="1"/>
  <c r="F290" i="1"/>
  <c r="E290" i="1"/>
  <c r="B290" i="1"/>
  <c r="A290" i="1"/>
  <c r="AO289" i="1"/>
  <c r="AL289" i="1"/>
  <c r="R289" i="1"/>
  <c r="J289" i="1"/>
  <c r="I289" i="1"/>
  <c r="F289" i="1"/>
  <c r="E289" i="1"/>
  <c r="B289" i="1"/>
  <c r="A289" i="1"/>
  <c r="AN289" i="1" s="1"/>
  <c r="AO288" i="1"/>
  <c r="AL288" i="1"/>
  <c r="J288" i="1"/>
  <c r="I288" i="1"/>
  <c r="F288" i="1"/>
  <c r="E288" i="1"/>
  <c r="B288" i="1"/>
  <c r="A288" i="1"/>
  <c r="AO287" i="1"/>
  <c r="AL287" i="1"/>
  <c r="R287" i="1"/>
  <c r="O287" i="1"/>
  <c r="J287" i="1"/>
  <c r="I287" i="1"/>
  <c r="F287" i="1"/>
  <c r="E287" i="1"/>
  <c r="B287" i="1"/>
  <c r="A287" i="1"/>
  <c r="AO286" i="1"/>
  <c r="AL286" i="1"/>
  <c r="R286" i="1"/>
  <c r="P286" i="1"/>
  <c r="J286" i="1"/>
  <c r="I286" i="1"/>
  <c r="F286" i="1"/>
  <c r="E286" i="1"/>
  <c r="B286" i="1"/>
  <c r="A286" i="1"/>
  <c r="AO285" i="1"/>
  <c r="AL285" i="1"/>
  <c r="R285" i="1"/>
  <c r="P285" i="1"/>
  <c r="J285" i="1"/>
  <c r="I285" i="1"/>
  <c r="F285" i="1"/>
  <c r="E285" i="1"/>
  <c r="B285" i="1"/>
  <c r="A285" i="1"/>
  <c r="AO284" i="1"/>
  <c r="AL284" i="1"/>
  <c r="R284" i="1"/>
  <c r="J284" i="1"/>
  <c r="I284" i="1"/>
  <c r="F284" i="1"/>
  <c r="E284" i="1"/>
  <c r="B284" i="1"/>
  <c r="A284" i="1"/>
  <c r="AO283" i="1"/>
  <c r="AL283" i="1"/>
  <c r="R283" i="1"/>
  <c r="J283" i="1"/>
  <c r="I283" i="1"/>
  <c r="F283" i="1"/>
  <c r="E283" i="1"/>
  <c r="B283" i="1"/>
  <c r="X283" i="1" s="1"/>
  <c r="A283" i="1"/>
  <c r="AO282" i="1"/>
  <c r="AL282" i="1"/>
  <c r="R282" i="1"/>
  <c r="J282" i="1"/>
  <c r="I282" i="1"/>
  <c r="F282" i="1"/>
  <c r="E282" i="1"/>
  <c r="B282" i="1"/>
  <c r="A282" i="1"/>
  <c r="AO281" i="1"/>
  <c r="AL281" i="1"/>
  <c r="R281" i="1"/>
  <c r="P281" i="1"/>
  <c r="J281" i="1"/>
  <c r="I281" i="1"/>
  <c r="F281" i="1"/>
  <c r="E281" i="1"/>
  <c r="B281" i="1"/>
  <c r="X281" i="1" s="1"/>
  <c r="A281" i="1"/>
  <c r="AO280" i="1"/>
  <c r="AL280" i="1"/>
  <c r="R280" i="1"/>
  <c r="J280" i="1"/>
  <c r="I280" i="1"/>
  <c r="F280" i="1"/>
  <c r="E280" i="1"/>
  <c r="B280" i="1"/>
  <c r="X280" i="1" s="1"/>
  <c r="A280" i="1"/>
  <c r="AO279" i="1"/>
  <c r="AL279" i="1"/>
  <c r="R279" i="1"/>
  <c r="O279" i="1"/>
  <c r="J279" i="1"/>
  <c r="I279" i="1"/>
  <c r="F279" i="1"/>
  <c r="E279" i="1"/>
  <c r="B279" i="1"/>
  <c r="A279" i="1"/>
  <c r="AO278" i="1"/>
  <c r="AL278" i="1"/>
  <c r="R278" i="1"/>
  <c r="J278" i="1"/>
  <c r="I278" i="1"/>
  <c r="F278" i="1"/>
  <c r="E278" i="1"/>
  <c r="B278" i="1"/>
  <c r="A278" i="1"/>
  <c r="AO277" i="1"/>
  <c r="AL277" i="1"/>
  <c r="R277" i="1"/>
  <c r="J277" i="1"/>
  <c r="I277" i="1"/>
  <c r="F277" i="1"/>
  <c r="E277" i="1"/>
  <c r="B277" i="1"/>
  <c r="A277" i="1"/>
  <c r="AO276" i="1"/>
  <c r="AL276" i="1"/>
  <c r="R276" i="1"/>
  <c r="J276" i="1"/>
  <c r="I276" i="1"/>
  <c r="F276" i="1"/>
  <c r="E276" i="1"/>
  <c r="B276" i="1"/>
  <c r="A276" i="1"/>
  <c r="AO275" i="1"/>
  <c r="AL275" i="1"/>
  <c r="R275" i="1"/>
  <c r="J275" i="1"/>
  <c r="I275" i="1"/>
  <c r="F275" i="1"/>
  <c r="E275" i="1"/>
  <c r="B275" i="1"/>
  <c r="A275" i="1"/>
  <c r="AO274" i="1"/>
  <c r="AL274" i="1"/>
  <c r="R274" i="1"/>
  <c r="P274" i="1"/>
  <c r="J274" i="1"/>
  <c r="I274" i="1"/>
  <c r="F274" i="1"/>
  <c r="E274" i="1"/>
  <c r="B274" i="1"/>
  <c r="A274" i="1"/>
  <c r="AO273" i="1"/>
  <c r="AL273" i="1"/>
  <c r="R273" i="1"/>
  <c r="P273" i="1"/>
  <c r="J273" i="1"/>
  <c r="I273" i="1"/>
  <c r="F273" i="1"/>
  <c r="E273" i="1"/>
  <c r="B273" i="1"/>
  <c r="A273" i="1"/>
  <c r="AO272" i="1"/>
  <c r="AL272" i="1"/>
  <c r="R272" i="1"/>
  <c r="J272" i="1"/>
  <c r="I272" i="1"/>
  <c r="F272" i="1"/>
  <c r="E272" i="1"/>
  <c r="B272" i="1"/>
  <c r="A272" i="1"/>
  <c r="AO271" i="1"/>
  <c r="AL271" i="1"/>
  <c r="R271" i="1"/>
  <c r="J271" i="1"/>
  <c r="I271" i="1"/>
  <c r="F271" i="1"/>
  <c r="E271" i="1"/>
  <c r="B271" i="1"/>
  <c r="X271" i="1" s="1"/>
  <c r="A271" i="1"/>
  <c r="AO270" i="1"/>
  <c r="AL270" i="1"/>
  <c r="R270" i="1"/>
  <c r="J270" i="1"/>
  <c r="I270" i="1"/>
  <c r="F270" i="1"/>
  <c r="E270" i="1"/>
  <c r="B270" i="1"/>
  <c r="A270" i="1"/>
  <c r="AO269" i="1"/>
  <c r="AL269" i="1"/>
  <c r="R269" i="1"/>
  <c r="O269" i="1"/>
  <c r="J269" i="1"/>
  <c r="I269" i="1"/>
  <c r="F269" i="1"/>
  <c r="E269" i="1"/>
  <c r="B269" i="1"/>
  <c r="X269" i="1" s="1"/>
  <c r="A269" i="1"/>
  <c r="AO268" i="1"/>
  <c r="AL268" i="1"/>
  <c r="R268" i="1"/>
  <c r="J268" i="1"/>
  <c r="I268" i="1"/>
  <c r="F268" i="1"/>
  <c r="E268" i="1"/>
  <c r="B268" i="1"/>
  <c r="A268" i="1"/>
  <c r="AO267" i="1"/>
  <c r="AL267" i="1"/>
  <c r="J267" i="1"/>
  <c r="I267" i="1"/>
  <c r="F267" i="1"/>
  <c r="E267" i="1"/>
  <c r="B267" i="1"/>
  <c r="A267" i="1"/>
  <c r="AO266" i="1"/>
  <c r="AL266" i="1"/>
  <c r="R266" i="1"/>
  <c r="O266" i="1"/>
  <c r="J266" i="1"/>
  <c r="I266" i="1"/>
  <c r="F266" i="1"/>
  <c r="E266" i="1"/>
  <c r="B266" i="1"/>
  <c r="A266" i="1"/>
  <c r="AO265" i="1"/>
  <c r="AL265" i="1"/>
  <c r="R265" i="1"/>
  <c r="P265" i="1"/>
  <c r="J265" i="1"/>
  <c r="I265" i="1"/>
  <c r="F265" i="1"/>
  <c r="E265" i="1"/>
  <c r="B265" i="1"/>
  <c r="A265" i="1"/>
  <c r="AO264" i="1"/>
  <c r="AL264" i="1"/>
  <c r="R264" i="1"/>
  <c r="J264" i="1"/>
  <c r="I264" i="1"/>
  <c r="F264" i="1"/>
  <c r="E264" i="1"/>
  <c r="B264" i="1"/>
  <c r="A264" i="1"/>
  <c r="AO263" i="1"/>
  <c r="AL263" i="1"/>
  <c r="R263" i="1"/>
  <c r="O263" i="1"/>
  <c r="J263" i="1"/>
  <c r="I263" i="1"/>
  <c r="F263" i="1"/>
  <c r="E263" i="1"/>
  <c r="B263" i="1"/>
  <c r="X263" i="1" s="1"/>
  <c r="A263" i="1"/>
  <c r="AO262" i="1"/>
  <c r="AL262" i="1"/>
  <c r="R262" i="1"/>
  <c r="J262" i="1"/>
  <c r="I262" i="1"/>
  <c r="F262" i="1"/>
  <c r="E262" i="1"/>
  <c r="B262" i="1"/>
  <c r="A262" i="1"/>
  <c r="AN262" i="1" s="1"/>
  <c r="AO261" i="1"/>
  <c r="AL261" i="1"/>
  <c r="R261" i="1"/>
  <c r="J261" i="1"/>
  <c r="I261" i="1"/>
  <c r="F261" i="1"/>
  <c r="E261" i="1"/>
  <c r="B261" i="1"/>
  <c r="A261" i="1"/>
  <c r="AO260" i="1"/>
  <c r="AL260" i="1"/>
  <c r="R260" i="1"/>
  <c r="O260" i="1"/>
  <c r="J260" i="1"/>
  <c r="I260" i="1"/>
  <c r="F260" i="1"/>
  <c r="E260" i="1"/>
  <c r="B260" i="1"/>
  <c r="X260" i="1" s="1"/>
  <c r="A260" i="1"/>
  <c r="AO259" i="1"/>
  <c r="AL259" i="1"/>
  <c r="R259" i="1"/>
  <c r="J259" i="1"/>
  <c r="I259" i="1"/>
  <c r="F259" i="1"/>
  <c r="E259" i="1"/>
  <c r="B259" i="1"/>
  <c r="X259" i="1" s="1"/>
  <c r="A259" i="1"/>
  <c r="AO258" i="1"/>
  <c r="AL258" i="1"/>
  <c r="R258" i="1"/>
  <c r="O258" i="1"/>
  <c r="J258" i="1"/>
  <c r="I258" i="1"/>
  <c r="F258" i="1"/>
  <c r="E258" i="1"/>
  <c r="B258" i="1"/>
  <c r="X258" i="1" s="1"/>
  <c r="A258" i="1"/>
  <c r="AO257" i="1"/>
  <c r="AL257" i="1"/>
  <c r="R257" i="1"/>
  <c r="J257" i="1"/>
  <c r="I257" i="1"/>
  <c r="F257" i="1"/>
  <c r="E257" i="1"/>
  <c r="B257" i="1"/>
  <c r="X257" i="1" s="1"/>
  <c r="A257" i="1"/>
  <c r="AO256" i="1"/>
  <c r="AL256" i="1"/>
  <c r="R256" i="1"/>
  <c r="J256" i="1"/>
  <c r="I256" i="1"/>
  <c r="F256" i="1"/>
  <c r="E256" i="1"/>
  <c r="B256" i="1"/>
  <c r="X256" i="1" s="1"/>
  <c r="A256" i="1"/>
  <c r="AO255" i="1"/>
  <c r="AL255" i="1"/>
  <c r="R255" i="1"/>
  <c r="J255" i="1"/>
  <c r="I255" i="1"/>
  <c r="F255" i="1"/>
  <c r="E255" i="1"/>
  <c r="B255" i="1"/>
  <c r="X255" i="1" s="1"/>
  <c r="A255" i="1"/>
  <c r="AO254" i="1"/>
  <c r="AL254" i="1"/>
  <c r="R254" i="1"/>
  <c r="P254" i="1"/>
  <c r="J254" i="1"/>
  <c r="I254" i="1"/>
  <c r="F254" i="1"/>
  <c r="E254" i="1"/>
  <c r="B254" i="1"/>
  <c r="X254" i="1" s="1"/>
  <c r="A254" i="1"/>
  <c r="AO253" i="1"/>
  <c r="AL253" i="1"/>
  <c r="R253" i="1"/>
  <c r="P253" i="1"/>
  <c r="J253" i="1"/>
  <c r="I253" i="1"/>
  <c r="F253" i="1"/>
  <c r="E253" i="1"/>
  <c r="B253" i="1"/>
  <c r="X253" i="1" s="1"/>
  <c r="A253" i="1"/>
  <c r="AO252" i="1"/>
  <c r="AL252" i="1"/>
  <c r="R252" i="1"/>
  <c r="O252" i="1"/>
  <c r="J252" i="1"/>
  <c r="I252" i="1"/>
  <c r="F252" i="1"/>
  <c r="E252" i="1"/>
  <c r="B252" i="1"/>
  <c r="X252" i="1" s="1"/>
  <c r="A252" i="1"/>
  <c r="AO251" i="1"/>
  <c r="AL251" i="1"/>
  <c r="R251" i="1"/>
  <c r="J251" i="1"/>
  <c r="I251" i="1"/>
  <c r="F251" i="1"/>
  <c r="E251" i="1"/>
  <c r="B251" i="1"/>
  <c r="X251" i="1" s="1"/>
  <c r="A251" i="1"/>
  <c r="AO250" i="1"/>
  <c r="AL250" i="1"/>
  <c r="R250" i="1"/>
  <c r="J250" i="1"/>
  <c r="I250" i="1"/>
  <c r="F250" i="1"/>
  <c r="E250" i="1"/>
  <c r="B250" i="1"/>
  <c r="X250" i="1" s="1"/>
  <c r="A250" i="1"/>
  <c r="AO249" i="1"/>
  <c r="AL249" i="1"/>
  <c r="R249" i="1"/>
  <c r="J249" i="1"/>
  <c r="I249" i="1"/>
  <c r="F249" i="1"/>
  <c r="E249" i="1"/>
  <c r="B249" i="1"/>
  <c r="X249" i="1" s="1"/>
  <c r="A249" i="1"/>
  <c r="AO248" i="1"/>
  <c r="AL248" i="1"/>
  <c r="R248" i="1"/>
  <c r="J248" i="1"/>
  <c r="I248" i="1"/>
  <c r="F248" i="1"/>
  <c r="E248" i="1"/>
  <c r="B248" i="1"/>
  <c r="X248" i="1" s="1"/>
  <c r="A248" i="1"/>
  <c r="AO247" i="1"/>
  <c r="AL247" i="1"/>
  <c r="R247" i="1"/>
  <c r="J247" i="1"/>
  <c r="I247" i="1"/>
  <c r="F247" i="1"/>
  <c r="E247" i="1"/>
  <c r="B247" i="1"/>
  <c r="X247" i="1" s="1"/>
  <c r="A247" i="1"/>
  <c r="AN247" i="1" s="1"/>
  <c r="AO246" i="1"/>
  <c r="AL246" i="1"/>
  <c r="R246" i="1"/>
  <c r="O246" i="1"/>
  <c r="J246" i="1"/>
  <c r="I246" i="1"/>
  <c r="F246" i="1"/>
  <c r="E246" i="1"/>
  <c r="B246" i="1"/>
  <c r="X246" i="1" s="1"/>
  <c r="A246" i="1"/>
  <c r="AN246" i="1" s="1"/>
  <c r="AO245" i="1"/>
  <c r="AL245" i="1"/>
  <c r="R245" i="1"/>
  <c r="P245" i="1"/>
  <c r="J245" i="1"/>
  <c r="I245" i="1"/>
  <c r="F245" i="1"/>
  <c r="E245" i="1"/>
  <c r="B245" i="1"/>
  <c r="X245" i="1" s="1"/>
  <c r="A245" i="1"/>
  <c r="AO244" i="1"/>
  <c r="AL244" i="1"/>
  <c r="R244" i="1"/>
  <c r="O244" i="1"/>
  <c r="J244" i="1"/>
  <c r="I244" i="1"/>
  <c r="F244" i="1"/>
  <c r="E244" i="1"/>
  <c r="B244" i="1"/>
  <c r="X244" i="1" s="1"/>
  <c r="A244" i="1"/>
  <c r="AN244" i="1" s="1"/>
  <c r="AO243" i="1"/>
  <c r="AL243" i="1"/>
  <c r="R243" i="1"/>
  <c r="O243" i="1"/>
  <c r="J243" i="1"/>
  <c r="I243" i="1"/>
  <c r="F243" i="1"/>
  <c r="E243" i="1"/>
  <c r="B243" i="1"/>
  <c r="X243" i="1" s="1"/>
  <c r="A243" i="1"/>
  <c r="AO242" i="1"/>
  <c r="AL242" i="1"/>
  <c r="R242" i="1"/>
  <c r="J242" i="1"/>
  <c r="I242" i="1"/>
  <c r="F242" i="1"/>
  <c r="E242" i="1"/>
  <c r="B242" i="1"/>
  <c r="A242" i="1"/>
  <c r="AO241" i="1"/>
  <c r="AL241" i="1"/>
  <c r="R241" i="1"/>
  <c r="J241" i="1"/>
  <c r="I241" i="1"/>
  <c r="F241" i="1"/>
  <c r="E241" i="1"/>
  <c r="B241" i="1"/>
  <c r="X241" i="1" s="1"/>
  <c r="A241" i="1"/>
  <c r="AO240" i="1"/>
  <c r="AL240" i="1"/>
  <c r="R240" i="1"/>
  <c r="J240" i="1"/>
  <c r="I240" i="1"/>
  <c r="F240" i="1"/>
  <c r="E240" i="1"/>
  <c r="B240" i="1"/>
  <c r="X240" i="1" s="1"/>
  <c r="A240" i="1"/>
  <c r="AO239" i="1"/>
  <c r="AL239" i="1"/>
  <c r="R239" i="1"/>
  <c r="P239" i="1"/>
  <c r="J239" i="1"/>
  <c r="I239" i="1"/>
  <c r="F239" i="1"/>
  <c r="E239" i="1"/>
  <c r="B239" i="1"/>
  <c r="X239" i="1" s="1"/>
  <c r="A239" i="1"/>
  <c r="AO238" i="1"/>
  <c r="AL238" i="1"/>
  <c r="R238" i="1"/>
  <c r="P238" i="1"/>
  <c r="J238" i="1"/>
  <c r="I238" i="1"/>
  <c r="F238" i="1"/>
  <c r="E238" i="1"/>
  <c r="B238" i="1"/>
  <c r="A238" i="1"/>
  <c r="AN238" i="1" s="1"/>
  <c r="AO237" i="1"/>
  <c r="AL237" i="1"/>
  <c r="R237" i="1"/>
  <c r="P237" i="1"/>
  <c r="J237" i="1"/>
  <c r="I237" i="1"/>
  <c r="F237" i="1"/>
  <c r="E237" i="1"/>
  <c r="B237" i="1"/>
  <c r="A237" i="1"/>
  <c r="AO236" i="1"/>
  <c r="AL236" i="1"/>
  <c r="R236" i="1"/>
  <c r="P236" i="1"/>
  <c r="J236" i="1"/>
  <c r="I236" i="1"/>
  <c r="F236" i="1"/>
  <c r="E236" i="1"/>
  <c r="B236" i="1"/>
  <c r="X236" i="1" s="1"/>
  <c r="A236" i="1"/>
  <c r="AO235" i="1"/>
  <c r="AL235" i="1"/>
  <c r="R235" i="1"/>
  <c r="P235" i="1"/>
  <c r="J235" i="1"/>
  <c r="I235" i="1"/>
  <c r="F235" i="1"/>
  <c r="E235" i="1"/>
  <c r="B235" i="1"/>
  <c r="A235" i="1"/>
  <c r="AO234" i="1"/>
  <c r="AL234" i="1"/>
  <c r="J234" i="1"/>
  <c r="I234" i="1"/>
  <c r="F234" i="1"/>
  <c r="E234" i="1"/>
  <c r="B234" i="1"/>
  <c r="A234" i="1"/>
  <c r="AO233" i="1"/>
  <c r="AL233" i="1"/>
  <c r="R233" i="1"/>
  <c r="O233" i="1"/>
  <c r="J233" i="1"/>
  <c r="I233" i="1"/>
  <c r="F233" i="1"/>
  <c r="E233" i="1"/>
  <c r="B233" i="1"/>
  <c r="A233" i="1"/>
  <c r="AN233" i="1" s="1"/>
  <c r="AO232" i="1"/>
  <c r="AL232" i="1"/>
  <c r="R232" i="1"/>
  <c r="P232" i="1"/>
  <c r="J232" i="1"/>
  <c r="I232" i="1"/>
  <c r="F232" i="1"/>
  <c r="E232" i="1"/>
  <c r="B232" i="1"/>
  <c r="A232" i="1"/>
  <c r="AN232" i="1" s="1"/>
  <c r="AO231" i="1"/>
  <c r="AL231" i="1"/>
  <c r="R231" i="1"/>
  <c r="J231" i="1"/>
  <c r="I231" i="1"/>
  <c r="F231" i="1"/>
  <c r="E231" i="1"/>
  <c r="B231" i="1"/>
  <c r="A231" i="1"/>
  <c r="AO230" i="1"/>
  <c r="AL230" i="1"/>
  <c r="R230" i="1"/>
  <c r="O230" i="1"/>
  <c r="J230" i="1"/>
  <c r="I230" i="1"/>
  <c r="F230" i="1"/>
  <c r="E230" i="1"/>
  <c r="B230" i="1"/>
  <c r="A230" i="1"/>
  <c r="AO229" i="1"/>
  <c r="AL229" i="1"/>
  <c r="R229" i="1"/>
  <c r="J229" i="1"/>
  <c r="I229" i="1"/>
  <c r="F229" i="1"/>
  <c r="E229" i="1"/>
  <c r="B229" i="1"/>
  <c r="A229" i="1"/>
  <c r="AO228" i="1"/>
  <c r="AL228" i="1"/>
  <c r="R228" i="1"/>
  <c r="P228" i="1"/>
  <c r="J228" i="1"/>
  <c r="I228" i="1"/>
  <c r="F228" i="1"/>
  <c r="E228" i="1"/>
  <c r="B228" i="1"/>
  <c r="X228" i="1" s="1"/>
  <c r="A228" i="1"/>
  <c r="AO227" i="1"/>
  <c r="AL227" i="1"/>
  <c r="R227" i="1"/>
  <c r="J227" i="1"/>
  <c r="I227" i="1"/>
  <c r="F227" i="1"/>
  <c r="E227" i="1"/>
  <c r="B227" i="1"/>
  <c r="A227" i="1"/>
  <c r="AO226" i="1"/>
  <c r="AL226" i="1"/>
  <c r="R226" i="1"/>
  <c r="P226" i="1"/>
  <c r="J226" i="1"/>
  <c r="I226" i="1"/>
  <c r="F226" i="1"/>
  <c r="E226" i="1"/>
  <c r="B226" i="1"/>
  <c r="A226" i="1"/>
  <c r="AO225" i="1"/>
  <c r="AL225" i="1"/>
  <c r="R225" i="1"/>
  <c r="O225" i="1"/>
  <c r="J225" i="1"/>
  <c r="I225" i="1"/>
  <c r="F225" i="1"/>
  <c r="E225" i="1"/>
  <c r="B225" i="1"/>
  <c r="A225" i="1"/>
  <c r="AO224" i="1"/>
  <c r="AL224" i="1"/>
  <c r="R224" i="1"/>
  <c r="O224" i="1"/>
  <c r="J224" i="1"/>
  <c r="I224" i="1"/>
  <c r="F224" i="1"/>
  <c r="E224" i="1"/>
  <c r="B224" i="1"/>
  <c r="A224" i="1"/>
  <c r="AO223" i="1"/>
  <c r="AL223" i="1"/>
  <c r="R223" i="1"/>
  <c r="P223" i="1"/>
  <c r="J223" i="1"/>
  <c r="I223" i="1"/>
  <c r="F223" i="1"/>
  <c r="E223" i="1"/>
  <c r="B223" i="1"/>
  <c r="A223" i="1"/>
  <c r="AN223" i="1" s="1"/>
  <c r="AO222" i="1"/>
  <c r="AL222" i="1"/>
  <c r="R222" i="1"/>
  <c r="O222" i="1"/>
  <c r="J222" i="1"/>
  <c r="I222" i="1"/>
  <c r="F222" i="1"/>
  <c r="E222" i="1"/>
  <c r="B222" i="1"/>
  <c r="A222" i="1"/>
  <c r="AO221" i="1"/>
  <c r="AL221" i="1"/>
  <c r="R221" i="1"/>
  <c r="J221" i="1"/>
  <c r="I221" i="1"/>
  <c r="F221" i="1"/>
  <c r="E221" i="1"/>
  <c r="B221" i="1"/>
  <c r="A221" i="1"/>
  <c r="AO220" i="1"/>
  <c r="AL220" i="1"/>
  <c r="R220" i="1"/>
  <c r="J220" i="1"/>
  <c r="I220" i="1"/>
  <c r="F220" i="1"/>
  <c r="E220" i="1"/>
  <c r="B220" i="1"/>
  <c r="A220" i="1"/>
  <c r="AO219" i="1"/>
  <c r="AL219" i="1"/>
  <c r="R219" i="1"/>
  <c r="J219" i="1"/>
  <c r="I219" i="1"/>
  <c r="F219" i="1"/>
  <c r="E219" i="1"/>
  <c r="B219" i="1"/>
  <c r="A219" i="1"/>
  <c r="AO218" i="1"/>
  <c r="AL218" i="1"/>
  <c r="R218" i="1"/>
  <c r="J218" i="1"/>
  <c r="I218" i="1"/>
  <c r="F218" i="1"/>
  <c r="E218" i="1"/>
  <c r="B218" i="1"/>
  <c r="X218" i="1" s="1"/>
  <c r="A218" i="1"/>
  <c r="AO217" i="1"/>
  <c r="AL217" i="1"/>
  <c r="R217" i="1"/>
  <c r="P217" i="1"/>
  <c r="J217" i="1"/>
  <c r="I217" i="1"/>
  <c r="F217" i="1"/>
  <c r="E217" i="1"/>
  <c r="B217" i="1"/>
  <c r="X217" i="1" s="1"/>
  <c r="A217" i="1"/>
  <c r="AO216" i="1"/>
  <c r="AL216" i="1"/>
  <c r="R216" i="1"/>
  <c r="O216" i="1"/>
  <c r="J216" i="1"/>
  <c r="I216" i="1"/>
  <c r="F216" i="1"/>
  <c r="E216" i="1"/>
  <c r="B216" i="1"/>
  <c r="A216" i="1"/>
  <c r="AN216" i="1" s="1"/>
  <c r="AO215" i="1"/>
  <c r="AL215" i="1"/>
  <c r="R215" i="1"/>
  <c r="J215" i="1"/>
  <c r="I215" i="1"/>
  <c r="F215" i="1"/>
  <c r="E215" i="1"/>
  <c r="B215" i="1"/>
  <c r="A215" i="1"/>
  <c r="AN215" i="1" s="1"/>
  <c r="AO214" i="1"/>
  <c r="AL214" i="1"/>
  <c r="R214" i="1"/>
  <c r="J214" i="1"/>
  <c r="I214" i="1"/>
  <c r="F214" i="1"/>
  <c r="E214" i="1"/>
  <c r="B214" i="1"/>
  <c r="X214" i="1" s="1"/>
  <c r="A214" i="1"/>
  <c r="AO213" i="1"/>
  <c r="AL213" i="1"/>
  <c r="P213" i="1"/>
  <c r="J213" i="1"/>
  <c r="I213" i="1"/>
  <c r="F213" i="1"/>
  <c r="E213" i="1"/>
  <c r="B213" i="1"/>
  <c r="X213" i="1" s="1"/>
  <c r="A213" i="1"/>
  <c r="AO212" i="1"/>
  <c r="AL212" i="1"/>
  <c r="R212" i="1"/>
  <c r="J212" i="1"/>
  <c r="I212" i="1"/>
  <c r="F212" i="1"/>
  <c r="E212" i="1"/>
  <c r="B212" i="1"/>
  <c r="A212" i="1"/>
  <c r="AO211" i="1"/>
  <c r="AL211" i="1"/>
  <c r="R211" i="1"/>
  <c r="P211" i="1"/>
  <c r="J211" i="1"/>
  <c r="I211" i="1"/>
  <c r="F211" i="1"/>
  <c r="E211" i="1"/>
  <c r="B211" i="1"/>
  <c r="A211" i="1"/>
  <c r="AO210" i="1"/>
  <c r="AL210" i="1"/>
  <c r="R210" i="1"/>
  <c r="J210" i="1"/>
  <c r="I210" i="1"/>
  <c r="F210" i="1"/>
  <c r="E210" i="1"/>
  <c r="B210" i="1"/>
  <c r="X210" i="1" s="1"/>
  <c r="A210" i="1"/>
  <c r="AO209" i="1"/>
  <c r="AL209" i="1"/>
  <c r="R209" i="1"/>
  <c r="J209" i="1"/>
  <c r="I209" i="1"/>
  <c r="F209" i="1"/>
  <c r="E209" i="1"/>
  <c r="B209" i="1"/>
  <c r="X209" i="1" s="1"/>
  <c r="A209" i="1"/>
  <c r="AO208" i="1"/>
  <c r="AL208" i="1"/>
  <c r="R208" i="1"/>
  <c r="P208" i="1"/>
  <c r="J208" i="1"/>
  <c r="I208" i="1"/>
  <c r="F208" i="1"/>
  <c r="E208" i="1"/>
  <c r="B208" i="1"/>
  <c r="A208" i="1"/>
  <c r="AN208" i="1" s="1"/>
  <c r="AO207" i="1"/>
  <c r="AL207" i="1"/>
  <c r="R207" i="1"/>
  <c r="O207" i="1"/>
  <c r="J207" i="1"/>
  <c r="I207" i="1"/>
  <c r="F207" i="1"/>
  <c r="E207" i="1"/>
  <c r="B207" i="1"/>
  <c r="A207" i="1"/>
  <c r="AO206" i="1"/>
  <c r="AL206" i="1"/>
  <c r="R206" i="1"/>
  <c r="P206" i="1"/>
  <c r="J206" i="1"/>
  <c r="I206" i="1"/>
  <c r="F206" i="1"/>
  <c r="E206" i="1"/>
  <c r="B206" i="1"/>
  <c r="X206" i="1" s="1"/>
  <c r="A206" i="1"/>
  <c r="AO205" i="1"/>
  <c r="AL205" i="1"/>
  <c r="R205" i="1"/>
  <c r="J205" i="1"/>
  <c r="I205" i="1"/>
  <c r="F205" i="1"/>
  <c r="E205" i="1"/>
  <c r="B205" i="1"/>
  <c r="A205" i="1"/>
  <c r="AO204" i="1"/>
  <c r="AL204" i="1"/>
  <c r="R204" i="1"/>
  <c r="P204" i="1"/>
  <c r="J204" i="1"/>
  <c r="I204" i="1"/>
  <c r="F204" i="1"/>
  <c r="E204" i="1"/>
  <c r="B204" i="1"/>
  <c r="X204" i="1" s="1"/>
  <c r="A204" i="1"/>
  <c r="AO203" i="1"/>
  <c r="AL203" i="1"/>
  <c r="R203" i="1"/>
  <c r="P203" i="1"/>
  <c r="J203" i="1"/>
  <c r="I203" i="1"/>
  <c r="F203" i="1"/>
  <c r="E203" i="1"/>
  <c r="B203" i="1"/>
  <c r="X203" i="1" s="1"/>
  <c r="A203" i="1"/>
  <c r="AO202" i="1"/>
  <c r="AL202" i="1"/>
  <c r="R202" i="1"/>
  <c r="J202" i="1"/>
  <c r="I202" i="1"/>
  <c r="F202" i="1"/>
  <c r="E202" i="1"/>
  <c r="B202" i="1"/>
  <c r="X202" i="1" s="1"/>
  <c r="A202" i="1"/>
  <c r="AO201" i="1"/>
  <c r="AL201" i="1"/>
  <c r="R201" i="1"/>
  <c r="J201" i="1"/>
  <c r="I201" i="1"/>
  <c r="F201" i="1"/>
  <c r="E201" i="1"/>
  <c r="B201" i="1"/>
  <c r="A201" i="1"/>
  <c r="AN201" i="1" s="1"/>
  <c r="AO200" i="1"/>
  <c r="AL200" i="1"/>
  <c r="R200" i="1"/>
  <c r="P200" i="1"/>
  <c r="J200" i="1"/>
  <c r="I200" i="1"/>
  <c r="F200" i="1"/>
  <c r="E200" i="1"/>
  <c r="B200" i="1"/>
  <c r="A200" i="1"/>
  <c r="AO199" i="1"/>
  <c r="AL199" i="1"/>
  <c r="R199" i="1"/>
  <c r="J199" i="1"/>
  <c r="I199" i="1"/>
  <c r="F199" i="1"/>
  <c r="E199" i="1"/>
  <c r="B199" i="1"/>
  <c r="X199" i="1" s="1"/>
  <c r="A199" i="1"/>
  <c r="AO198" i="1"/>
  <c r="AL198" i="1"/>
  <c r="R198" i="1"/>
  <c r="P198" i="1"/>
  <c r="J198" i="1"/>
  <c r="I198" i="1"/>
  <c r="F198" i="1"/>
  <c r="E198" i="1"/>
  <c r="B198" i="1"/>
  <c r="X198" i="1" s="1"/>
  <c r="A198" i="1"/>
  <c r="AO197" i="1"/>
  <c r="AL197" i="1"/>
  <c r="R197" i="1"/>
  <c r="J197" i="1"/>
  <c r="I197" i="1"/>
  <c r="F197" i="1"/>
  <c r="E197" i="1"/>
  <c r="B197" i="1"/>
  <c r="X197" i="1" s="1"/>
  <c r="A197" i="1"/>
  <c r="AO196" i="1"/>
  <c r="AL196" i="1"/>
  <c r="R196" i="1"/>
  <c r="P196" i="1"/>
  <c r="J196" i="1"/>
  <c r="I196" i="1"/>
  <c r="F196" i="1"/>
  <c r="E196" i="1"/>
  <c r="B196" i="1"/>
  <c r="X196" i="1" s="1"/>
  <c r="A196" i="1"/>
  <c r="AO195" i="1"/>
  <c r="AL195" i="1"/>
  <c r="R195" i="1"/>
  <c r="P195" i="1"/>
  <c r="J195" i="1"/>
  <c r="I195" i="1"/>
  <c r="F195" i="1"/>
  <c r="E195" i="1"/>
  <c r="B195" i="1"/>
  <c r="X195" i="1" s="1"/>
  <c r="A195" i="1"/>
  <c r="AO194" i="1"/>
  <c r="AL194" i="1"/>
  <c r="R194" i="1"/>
  <c r="J194" i="1"/>
  <c r="I194" i="1"/>
  <c r="F194" i="1"/>
  <c r="E194" i="1"/>
  <c r="B194" i="1"/>
  <c r="A194" i="1"/>
  <c r="AO193" i="1"/>
  <c r="AL193" i="1"/>
  <c r="R193" i="1"/>
  <c r="P193" i="1"/>
  <c r="J193" i="1"/>
  <c r="I193" i="1"/>
  <c r="F193" i="1"/>
  <c r="E193" i="1"/>
  <c r="B193" i="1"/>
  <c r="A193" i="1"/>
  <c r="AO192" i="1"/>
  <c r="AL192" i="1"/>
  <c r="R192" i="1"/>
  <c r="J192" i="1"/>
  <c r="I192" i="1"/>
  <c r="F192" i="1"/>
  <c r="E192" i="1"/>
  <c r="B192" i="1"/>
  <c r="A192" i="1"/>
  <c r="AO191" i="1"/>
  <c r="AL191" i="1"/>
  <c r="R191" i="1"/>
  <c r="J191" i="1"/>
  <c r="I191" i="1"/>
  <c r="F191" i="1"/>
  <c r="E191" i="1"/>
  <c r="B191" i="1"/>
  <c r="X191" i="1" s="1"/>
  <c r="A191" i="1"/>
  <c r="AO190" i="1"/>
  <c r="AL190" i="1"/>
  <c r="R190" i="1"/>
  <c r="P190" i="1"/>
  <c r="J190" i="1"/>
  <c r="I190" i="1"/>
  <c r="F190" i="1"/>
  <c r="E190" i="1"/>
  <c r="B190" i="1"/>
  <c r="X190" i="1" s="1"/>
  <c r="A190" i="1"/>
  <c r="AN190" i="1" s="1"/>
  <c r="AO189" i="1"/>
  <c r="AL189" i="1"/>
  <c r="R189" i="1"/>
  <c r="O189" i="1"/>
  <c r="J189" i="1"/>
  <c r="I189" i="1"/>
  <c r="F189" i="1"/>
  <c r="E189" i="1"/>
  <c r="B189" i="1"/>
  <c r="A189" i="1"/>
  <c r="AO188" i="1"/>
  <c r="AL188" i="1"/>
  <c r="P188" i="1"/>
  <c r="J188" i="1"/>
  <c r="I188" i="1"/>
  <c r="F188" i="1"/>
  <c r="E188" i="1"/>
  <c r="B188" i="1"/>
  <c r="X188" i="1" s="1"/>
  <c r="A188" i="1"/>
  <c r="AO187" i="1"/>
  <c r="AL187" i="1"/>
  <c r="O187" i="1"/>
  <c r="J187" i="1"/>
  <c r="I187" i="1"/>
  <c r="F187" i="1"/>
  <c r="E187" i="1"/>
  <c r="B187" i="1"/>
  <c r="A187" i="1"/>
  <c r="AO186" i="1"/>
  <c r="AL186" i="1"/>
  <c r="R186" i="1"/>
  <c r="J186" i="1"/>
  <c r="I186" i="1"/>
  <c r="F186" i="1"/>
  <c r="E186" i="1"/>
  <c r="B186" i="1"/>
  <c r="X186" i="1" s="1"/>
  <c r="A186" i="1"/>
  <c r="AO185" i="1"/>
  <c r="AL185" i="1"/>
  <c r="P185" i="1"/>
  <c r="J185" i="1"/>
  <c r="I185" i="1"/>
  <c r="F185" i="1"/>
  <c r="E185" i="1"/>
  <c r="B185" i="1"/>
  <c r="A185" i="1"/>
  <c r="AO184" i="1"/>
  <c r="AL184" i="1"/>
  <c r="R184" i="1"/>
  <c r="J184" i="1"/>
  <c r="I184" i="1"/>
  <c r="F184" i="1"/>
  <c r="E184" i="1"/>
  <c r="B184" i="1"/>
  <c r="A184" i="1"/>
  <c r="AO183" i="1"/>
  <c r="AL183" i="1"/>
  <c r="R183" i="1"/>
  <c r="J183" i="1"/>
  <c r="I183" i="1"/>
  <c r="F183" i="1"/>
  <c r="E183" i="1"/>
  <c r="B183" i="1"/>
  <c r="A183" i="1"/>
  <c r="AO182" i="1"/>
  <c r="AL182" i="1"/>
  <c r="R182" i="1"/>
  <c r="J182" i="1"/>
  <c r="I182" i="1"/>
  <c r="F182" i="1"/>
  <c r="E182" i="1"/>
  <c r="B182" i="1"/>
  <c r="X182" i="1" s="1"/>
  <c r="A182" i="1"/>
  <c r="AO181" i="1"/>
  <c r="AL181" i="1"/>
  <c r="J181" i="1"/>
  <c r="I181" i="1"/>
  <c r="F181" i="1"/>
  <c r="E181" i="1"/>
  <c r="B181" i="1"/>
  <c r="X181" i="1" s="1"/>
  <c r="A181" i="1"/>
  <c r="AO180" i="1"/>
  <c r="AL180" i="1"/>
  <c r="R180" i="1"/>
  <c r="O180" i="1"/>
  <c r="J180" i="1"/>
  <c r="I180" i="1"/>
  <c r="F180" i="1"/>
  <c r="E180" i="1"/>
  <c r="B180" i="1"/>
  <c r="X180" i="1" s="1"/>
  <c r="A180" i="1"/>
  <c r="AO179" i="1"/>
  <c r="AL179" i="1"/>
  <c r="R179" i="1"/>
  <c r="J179" i="1"/>
  <c r="I179" i="1"/>
  <c r="F179" i="1"/>
  <c r="E179" i="1"/>
  <c r="B179" i="1"/>
  <c r="X179" i="1" s="1"/>
  <c r="A179" i="1"/>
  <c r="AO178" i="1"/>
  <c r="AL178" i="1"/>
  <c r="R178" i="1"/>
  <c r="P178" i="1"/>
  <c r="J178" i="1"/>
  <c r="I178" i="1"/>
  <c r="F178" i="1"/>
  <c r="E178" i="1"/>
  <c r="B178" i="1"/>
  <c r="X178" i="1" s="1"/>
  <c r="A178" i="1"/>
  <c r="AO177" i="1"/>
  <c r="AL177" i="1"/>
  <c r="R177" i="1"/>
  <c r="O177" i="1"/>
  <c r="J177" i="1"/>
  <c r="I177" i="1"/>
  <c r="F177" i="1"/>
  <c r="E177" i="1"/>
  <c r="B177" i="1"/>
  <c r="A177" i="1"/>
  <c r="AO176" i="1"/>
  <c r="AL176" i="1"/>
  <c r="R176" i="1"/>
  <c r="J176" i="1"/>
  <c r="I176" i="1"/>
  <c r="F176" i="1"/>
  <c r="E176" i="1"/>
  <c r="B176" i="1"/>
  <c r="A176" i="1"/>
  <c r="AO175" i="1"/>
  <c r="AL175" i="1"/>
  <c r="R175" i="1"/>
  <c r="J175" i="1"/>
  <c r="I175" i="1"/>
  <c r="F175" i="1"/>
  <c r="E175" i="1"/>
  <c r="B175" i="1"/>
  <c r="X175" i="1" s="1"/>
  <c r="A175" i="1"/>
  <c r="AN175" i="1" s="1"/>
  <c r="AO174" i="1"/>
  <c r="AL174" i="1"/>
  <c r="R174" i="1"/>
  <c r="J174" i="1"/>
  <c r="I174" i="1"/>
  <c r="F174" i="1"/>
  <c r="E174" i="1"/>
  <c r="B174" i="1"/>
  <c r="A174" i="1"/>
  <c r="AN174" i="1" s="1"/>
  <c r="AO173" i="1"/>
  <c r="AL173" i="1"/>
  <c r="R173" i="1"/>
  <c r="P173" i="1"/>
  <c r="J173" i="1"/>
  <c r="I173" i="1"/>
  <c r="F173" i="1"/>
  <c r="E173" i="1"/>
  <c r="B173" i="1"/>
  <c r="X173" i="1" s="1"/>
  <c r="A173" i="1"/>
  <c r="AO172" i="1"/>
  <c r="AL172" i="1"/>
  <c r="R172" i="1"/>
  <c r="P172" i="1"/>
  <c r="J172" i="1"/>
  <c r="I172" i="1"/>
  <c r="F172" i="1"/>
  <c r="E172" i="1"/>
  <c r="B172" i="1"/>
  <c r="X172" i="1" s="1"/>
  <c r="A172" i="1"/>
  <c r="AO171" i="1"/>
  <c r="AL171" i="1"/>
  <c r="R171" i="1"/>
  <c r="J171" i="1"/>
  <c r="I171" i="1"/>
  <c r="F171" i="1"/>
  <c r="E171" i="1"/>
  <c r="B171" i="1"/>
  <c r="A171" i="1"/>
  <c r="AO170" i="1"/>
  <c r="AL170" i="1"/>
  <c r="R170" i="1"/>
  <c r="P170" i="1"/>
  <c r="J170" i="1"/>
  <c r="I170" i="1"/>
  <c r="F170" i="1"/>
  <c r="E170" i="1"/>
  <c r="B170" i="1"/>
  <c r="X170" i="1" s="1"/>
  <c r="A170" i="1"/>
  <c r="AO169" i="1"/>
  <c r="AL169" i="1"/>
  <c r="R169" i="1"/>
  <c r="J169" i="1"/>
  <c r="I169" i="1"/>
  <c r="F169" i="1"/>
  <c r="E169" i="1"/>
  <c r="B169" i="1"/>
  <c r="A169" i="1"/>
  <c r="AO168" i="1"/>
  <c r="AL168" i="1"/>
  <c r="R168" i="1"/>
  <c r="J168" i="1"/>
  <c r="I168" i="1"/>
  <c r="F168" i="1"/>
  <c r="E168" i="1"/>
  <c r="B168" i="1"/>
  <c r="A168" i="1"/>
  <c r="AN168" i="1" s="1"/>
  <c r="AO167" i="1"/>
  <c r="AL167" i="1"/>
  <c r="R167" i="1"/>
  <c r="P167" i="1"/>
  <c r="J167" i="1"/>
  <c r="I167" i="1"/>
  <c r="F167" i="1"/>
  <c r="E167" i="1"/>
  <c r="B167" i="1"/>
  <c r="A167" i="1"/>
  <c r="AO166" i="1"/>
  <c r="AL166" i="1"/>
  <c r="R166" i="1"/>
  <c r="P166" i="1"/>
  <c r="J166" i="1"/>
  <c r="I166" i="1"/>
  <c r="F166" i="1"/>
  <c r="E166" i="1"/>
  <c r="B166" i="1"/>
  <c r="X166" i="1" s="1"/>
  <c r="A166" i="1"/>
  <c r="AO165" i="1"/>
  <c r="AL165" i="1"/>
  <c r="R165" i="1"/>
  <c r="J165" i="1"/>
  <c r="I165" i="1"/>
  <c r="F165" i="1"/>
  <c r="E165" i="1"/>
  <c r="B165" i="1"/>
  <c r="X165" i="1" s="1"/>
  <c r="A165" i="1"/>
  <c r="AN165" i="1" s="1"/>
  <c r="AO164" i="1"/>
  <c r="AL164" i="1"/>
  <c r="R164" i="1"/>
  <c r="J164" i="1"/>
  <c r="I164" i="1"/>
  <c r="F164" i="1"/>
  <c r="E164" i="1"/>
  <c r="B164" i="1"/>
  <c r="A164" i="1"/>
  <c r="AO163" i="1"/>
  <c r="AL163" i="1"/>
  <c r="R163" i="1"/>
  <c r="J163" i="1"/>
  <c r="I163" i="1"/>
  <c r="F163" i="1"/>
  <c r="E163" i="1"/>
  <c r="B163" i="1"/>
  <c r="X163" i="1" s="1"/>
  <c r="A163" i="1"/>
  <c r="AO162" i="1"/>
  <c r="AL162" i="1"/>
  <c r="R162" i="1"/>
  <c r="J162" i="1"/>
  <c r="I162" i="1"/>
  <c r="F162" i="1"/>
  <c r="E162" i="1"/>
  <c r="B162" i="1"/>
  <c r="X162" i="1" s="1"/>
  <c r="A162" i="1"/>
  <c r="AN162" i="1" s="1"/>
  <c r="AO161" i="1"/>
  <c r="AL161" i="1"/>
  <c r="R161" i="1"/>
  <c r="P161" i="1"/>
  <c r="J161" i="1"/>
  <c r="I161" i="1"/>
  <c r="F161" i="1"/>
  <c r="E161" i="1"/>
  <c r="B161" i="1"/>
  <c r="A161" i="1"/>
  <c r="AN161" i="1" s="1"/>
  <c r="AO160" i="1"/>
  <c r="AL160" i="1"/>
  <c r="R160" i="1"/>
  <c r="J160" i="1"/>
  <c r="I160" i="1"/>
  <c r="F160" i="1"/>
  <c r="E160" i="1"/>
  <c r="B160" i="1"/>
  <c r="X160" i="1" s="1"/>
  <c r="A160" i="1"/>
  <c r="AN160" i="1" s="1"/>
  <c r="AO159" i="1"/>
  <c r="AL159" i="1"/>
  <c r="R159" i="1"/>
  <c r="J159" i="1"/>
  <c r="I159" i="1"/>
  <c r="F159" i="1"/>
  <c r="E159" i="1"/>
  <c r="B159" i="1"/>
  <c r="A159" i="1"/>
  <c r="AN159" i="1" s="1"/>
  <c r="AO158" i="1"/>
  <c r="AL158" i="1"/>
  <c r="R158" i="1"/>
  <c r="P158" i="1"/>
  <c r="J158" i="1"/>
  <c r="I158" i="1"/>
  <c r="F158" i="1"/>
  <c r="E158" i="1"/>
  <c r="B158" i="1"/>
  <c r="A158" i="1"/>
  <c r="AN158" i="1" s="1"/>
  <c r="AO157" i="1"/>
  <c r="AL157" i="1"/>
  <c r="R157" i="1"/>
  <c r="J157" i="1"/>
  <c r="I157" i="1"/>
  <c r="F157" i="1"/>
  <c r="E157" i="1"/>
  <c r="B157" i="1"/>
  <c r="A157" i="1"/>
  <c r="AN157" i="1" s="1"/>
  <c r="AO156" i="1"/>
  <c r="AL156" i="1"/>
  <c r="R156" i="1"/>
  <c r="J156" i="1"/>
  <c r="I156" i="1"/>
  <c r="F156" i="1"/>
  <c r="E156" i="1"/>
  <c r="B156" i="1"/>
  <c r="X156" i="1" s="1"/>
  <c r="A156" i="1"/>
  <c r="AO155" i="1"/>
  <c r="AL155" i="1"/>
  <c r="R155" i="1"/>
  <c r="J155" i="1"/>
  <c r="I155" i="1"/>
  <c r="F155" i="1"/>
  <c r="E155" i="1"/>
  <c r="B155" i="1"/>
  <c r="A155" i="1"/>
  <c r="AO154" i="1"/>
  <c r="AL154" i="1"/>
  <c r="R154" i="1"/>
  <c r="J154" i="1"/>
  <c r="I154" i="1"/>
  <c r="F154" i="1"/>
  <c r="E154" i="1"/>
  <c r="B154" i="1"/>
  <c r="A154" i="1"/>
  <c r="AN154" i="1" s="1"/>
  <c r="AO153" i="1"/>
  <c r="AL153" i="1"/>
  <c r="R153" i="1"/>
  <c r="P153" i="1"/>
  <c r="J153" i="1"/>
  <c r="I153" i="1"/>
  <c r="F153" i="1"/>
  <c r="E153" i="1"/>
  <c r="B153" i="1"/>
  <c r="A153" i="1"/>
  <c r="AN153" i="1" s="1"/>
  <c r="AO152" i="1"/>
  <c r="AL152" i="1"/>
  <c r="R152" i="1"/>
  <c r="J152" i="1"/>
  <c r="I152" i="1"/>
  <c r="F152" i="1"/>
  <c r="E152" i="1"/>
  <c r="B152" i="1"/>
  <c r="X152" i="1" s="1"/>
  <c r="A152" i="1"/>
  <c r="AO151" i="1"/>
  <c r="AL151" i="1"/>
  <c r="R151" i="1"/>
  <c r="O151" i="1"/>
  <c r="J151" i="1"/>
  <c r="I151" i="1"/>
  <c r="F151" i="1"/>
  <c r="E151" i="1"/>
  <c r="B151" i="1"/>
  <c r="X151" i="1" s="1"/>
  <c r="A151" i="1"/>
  <c r="AN151" i="1" s="1"/>
  <c r="AO150" i="1"/>
  <c r="AL150" i="1"/>
  <c r="R150" i="1"/>
  <c r="J150" i="1"/>
  <c r="I150" i="1"/>
  <c r="F150" i="1"/>
  <c r="E150" i="1"/>
  <c r="B150" i="1"/>
  <c r="A150" i="1"/>
  <c r="AN150" i="1" s="1"/>
  <c r="AO149" i="1"/>
  <c r="AL149" i="1"/>
  <c r="R149" i="1"/>
  <c r="J149" i="1"/>
  <c r="I149" i="1"/>
  <c r="F149" i="1"/>
  <c r="E149" i="1"/>
  <c r="B149" i="1"/>
  <c r="X149" i="1" s="1"/>
  <c r="A149" i="1"/>
  <c r="AN149" i="1" s="1"/>
  <c r="AO148" i="1"/>
  <c r="AL148" i="1"/>
  <c r="R148" i="1"/>
  <c r="P148" i="1"/>
  <c r="J148" i="1"/>
  <c r="I148" i="1"/>
  <c r="F148" i="1"/>
  <c r="E148" i="1"/>
  <c r="B148" i="1"/>
  <c r="X148" i="1" s="1"/>
  <c r="A148" i="1"/>
  <c r="AO147" i="1"/>
  <c r="AL147" i="1"/>
  <c r="R147" i="1"/>
  <c r="J147" i="1"/>
  <c r="I147" i="1"/>
  <c r="F147" i="1"/>
  <c r="E147" i="1"/>
  <c r="B147" i="1"/>
  <c r="X147" i="1" s="1"/>
  <c r="A147" i="1"/>
  <c r="AN147" i="1" s="1"/>
  <c r="AO146" i="1"/>
  <c r="AL146" i="1"/>
  <c r="R146" i="1"/>
  <c r="J146" i="1"/>
  <c r="I146" i="1"/>
  <c r="F146" i="1"/>
  <c r="E146" i="1"/>
  <c r="B146" i="1"/>
  <c r="X146" i="1" s="1"/>
  <c r="A146" i="1"/>
  <c r="AO145" i="1"/>
  <c r="AL145" i="1"/>
  <c r="R145" i="1"/>
  <c r="J145" i="1"/>
  <c r="I145" i="1"/>
  <c r="F145" i="1"/>
  <c r="E145" i="1"/>
  <c r="B145" i="1"/>
  <c r="A145" i="1"/>
  <c r="AO144" i="1"/>
  <c r="AL144" i="1"/>
  <c r="R144" i="1"/>
  <c r="P144" i="1"/>
  <c r="J144" i="1"/>
  <c r="I144" i="1"/>
  <c r="F144" i="1"/>
  <c r="E144" i="1"/>
  <c r="B144" i="1"/>
  <c r="X144" i="1" s="1"/>
  <c r="A144" i="1"/>
  <c r="AO143" i="1"/>
  <c r="AL143" i="1"/>
  <c r="R143" i="1"/>
  <c r="P143" i="1"/>
  <c r="J143" i="1"/>
  <c r="I143" i="1"/>
  <c r="F143" i="1"/>
  <c r="E143" i="1"/>
  <c r="B143" i="1"/>
  <c r="X143" i="1" s="1"/>
  <c r="A143" i="1"/>
  <c r="AO142" i="1"/>
  <c r="AL142" i="1"/>
  <c r="R142" i="1"/>
  <c r="P142" i="1"/>
  <c r="J142" i="1"/>
  <c r="I142" i="1"/>
  <c r="F142" i="1"/>
  <c r="E142" i="1"/>
  <c r="B142" i="1"/>
  <c r="X142" i="1" s="1"/>
  <c r="A142" i="1"/>
  <c r="AO141" i="1"/>
  <c r="AL141" i="1"/>
  <c r="J141" i="1"/>
  <c r="I141" i="1"/>
  <c r="F141" i="1"/>
  <c r="E141" i="1"/>
  <c r="B141" i="1"/>
  <c r="A141" i="1"/>
  <c r="AO140" i="1"/>
  <c r="AL140" i="1"/>
  <c r="R140" i="1"/>
  <c r="J140" i="1"/>
  <c r="I140" i="1"/>
  <c r="F140" i="1"/>
  <c r="E140" i="1"/>
  <c r="B140" i="1"/>
  <c r="A140" i="1"/>
  <c r="AO139" i="1"/>
  <c r="AL139" i="1"/>
  <c r="R139" i="1"/>
  <c r="P139" i="1"/>
  <c r="J139" i="1"/>
  <c r="I139" i="1"/>
  <c r="F139" i="1"/>
  <c r="E139" i="1"/>
  <c r="B139" i="1"/>
  <c r="A139" i="1"/>
  <c r="AO138" i="1"/>
  <c r="AL138" i="1"/>
  <c r="R138" i="1"/>
  <c r="O138" i="1"/>
  <c r="J138" i="1"/>
  <c r="I138" i="1"/>
  <c r="F138" i="1"/>
  <c r="E138" i="1"/>
  <c r="B138" i="1"/>
  <c r="X138" i="1" s="1"/>
  <c r="A138" i="1"/>
  <c r="AO137" i="1"/>
  <c r="AL137" i="1"/>
  <c r="R137" i="1"/>
  <c r="J137" i="1"/>
  <c r="I137" i="1"/>
  <c r="F137" i="1"/>
  <c r="E137" i="1"/>
  <c r="B137" i="1"/>
  <c r="X137" i="1" s="1"/>
  <c r="A137" i="1"/>
  <c r="AO136" i="1"/>
  <c r="AL136" i="1"/>
  <c r="R136" i="1"/>
  <c r="O136" i="1"/>
  <c r="J136" i="1"/>
  <c r="I136" i="1"/>
  <c r="F136" i="1"/>
  <c r="E136" i="1"/>
  <c r="B136" i="1"/>
  <c r="X136" i="1" s="1"/>
  <c r="A136" i="1"/>
  <c r="AO135" i="1"/>
  <c r="AL135" i="1"/>
  <c r="R135" i="1"/>
  <c r="J135" i="1"/>
  <c r="I135" i="1"/>
  <c r="F135" i="1"/>
  <c r="E135" i="1"/>
  <c r="B135" i="1"/>
  <c r="X135" i="1" s="1"/>
  <c r="A135" i="1"/>
  <c r="AO134" i="1"/>
  <c r="AL134" i="1"/>
  <c r="R134" i="1"/>
  <c r="J134" i="1"/>
  <c r="I134" i="1"/>
  <c r="F134" i="1"/>
  <c r="E134" i="1"/>
  <c r="B134" i="1"/>
  <c r="X134" i="1" s="1"/>
  <c r="A134" i="1"/>
  <c r="AO133" i="1"/>
  <c r="AL133" i="1"/>
  <c r="R133" i="1"/>
  <c r="O133" i="1"/>
  <c r="J133" i="1"/>
  <c r="I133" i="1"/>
  <c r="F133" i="1"/>
  <c r="E133" i="1"/>
  <c r="B133" i="1"/>
  <c r="X133" i="1" s="1"/>
  <c r="A133" i="1"/>
  <c r="AO132" i="1"/>
  <c r="AL132" i="1"/>
  <c r="P132" i="1"/>
  <c r="J132" i="1"/>
  <c r="I132" i="1"/>
  <c r="F132" i="1"/>
  <c r="E132" i="1"/>
  <c r="B132" i="1"/>
  <c r="X132" i="1" s="1"/>
  <c r="A132" i="1"/>
  <c r="AO131" i="1"/>
  <c r="AL131" i="1"/>
  <c r="R131" i="1"/>
  <c r="J131" i="1"/>
  <c r="I131" i="1"/>
  <c r="F131" i="1"/>
  <c r="E131" i="1"/>
  <c r="B131" i="1"/>
  <c r="X131" i="1" s="1"/>
  <c r="A131" i="1"/>
  <c r="AO130" i="1"/>
  <c r="AL130" i="1"/>
  <c r="R130" i="1"/>
  <c r="P130" i="1"/>
  <c r="J130" i="1"/>
  <c r="I130" i="1"/>
  <c r="F130" i="1"/>
  <c r="E130" i="1"/>
  <c r="B130" i="1"/>
  <c r="A130" i="1"/>
  <c r="AO129" i="1"/>
  <c r="AL129" i="1"/>
  <c r="R129" i="1"/>
  <c r="J129" i="1"/>
  <c r="I129" i="1"/>
  <c r="F129" i="1"/>
  <c r="E129" i="1"/>
  <c r="B129" i="1"/>
  <c r="A129" i="1"/>
  <c r="AO128" i="1"/>
  <c r="AL128" i="1"/>
  <c r="R128" i="1"/>
  <c r="O128" i="1"/>
  <c r="J128" i="1"/>
  <c r="I128" i="1"/>
  <c r="F128" i="1"/>
  <c r="E128" i="1"/>
  <c r="B128" i="1"/>
  <c r="A128" i="1"/>
  <c r="AO127" i="1"/>
  <c r="AL127" i="1"/>
  <c r="R127" i="1"/>
  <c r="J127" i="1"/>
  <c r="I127" i="1"/>
  <c r="F127" i="1"/>
  <c r="E127" i="1"/>
  <c r="B127" i="1"/>
  <c r="A127" i="1"/>
  <c r="AO126" i="1"/>
  <c r="AL126" i="1"/>
  <c r="R126" i="1"/>
  <c r="J126" i="1"/>
  <c r="I126" i="1"/>
  <c r="F126" i="1"/>
  <c r="E126" i="1"/>
  <c r="B126" i="1"/>
  <c r="A126" i="1"/>
  <c r="AO125" i="1"/>
  <c r="AL125" i="1"/>
  <c r="R125" i="1"/>
  <c r="O125" i="1"/>
  <c r="J125" i="1"/>
  <c r="I125" i="1"/>
  <c r="F125" i="1"/>
  <c r="E125" i="1"/>
  <c r="B125" i="1"/>
  <c r="A125" i="1"/>
  <c r="AO124" i="1"/>
  <c r="AL124" i="1"/>
  <c r="R124" i="1"/>
  <c r="O124" i="1"/>
  <c r="J124" i="1"/>
  <c r="I124" i="1"/>
  <c r="F124" i="1"/>
  <c r="E124" i="1"/>
  <c r="B124" i="1"/>
  <c r="A124" i="1"/>
  <c r="AN124" i="1" s="1"/>
  <c r="AO123" i="1"/>
  <c r="AL123" i="1"/>
  <c r="R123" i="1"/>
  <c r="J123" i="1"/>
  <c r="I123" i="1"/>
  <c r="F123" i="1"/>
  <c r="E123" i="1"/>
  <c r="B123" i="1"/>
  <c r="A123" i="1"/>
  <c r="AO122" i="1"/>
  <c r="AL122" i="1"/>
  <c r="R122" i="1"/>
  <c r="P122" i="1"/>
  <c r="J122" i="1"/>
  <c r="I122" i="1"/>
  <c r="F122" i="1"/>
  <c r="E122" i="1"/>
  <c r="B122" i="1"/>
  <c r="A122" i="1"/>
  <c r="AN122" i="1" s="1"/>
  <c r="AO121" i="1"/>
  <c r="AL121" i="1"/>
  <c r="R121" i="1"/>
  <c r="O121" i="1"/>
  <c r="J121" i="1"/>
  <c r="I121" i="1"/>
  <c r="F121" i="1"/>
  <c r="E121" i="1"/>
  <c r="B121" i="1"/>
  <c r="A121" i="1"/>
  <c r="AN121" i="1" s="1"/>
  <c r="AO120" i="1"/>
  <c r="AL120" i="1"/>
  <c r="R120" i="1"/>
  <c r="J120" i="1"/>
  <c r="I120" i="1"/>
  <c r="F120" i="1"/>
  <c r="E120" i="1"/>
  <c r="B120" i="1"/>
  <c r="A120" i="1"/>
  <c r="AN120" i="1" s="1"/>
  <c r="AO119" i="1"/>
  <c r="AL119" i="1"/>
  <c r="R119" i="1"/>
  <c r="P119" i="1"/>
  <c r="J119" i="1"/>
  <c r="I119" i="1"/>
  <c r="F119" i="1"/>
  <c r="E119" i="1"/>
  <c r="B119" i="1"/>
  <c r="A119" i="1"/>
  <c r="AN119" i="1" s="1"/>
  <c r="AO118" i="1"/>
  <c r="AL118" i="1"/>
  <c r="R118" i="1"/>
  <c r="O118" i="1"/>
  <c r="J118" i="1"/>
  <c r="I118" i="1"/>
  <c r="F118" i="1"/>
  <c r="E118" i="1"/>
  <c r="B118" i="1"/>
  <c r="A118" i="1"/>
  <c r="AN118" i="1" s="1"/>
  <c r="AO117" i="1"/>
  <c r="AL117" i="1"/>
  <c r="J117" i="1"/>
  <c r="I117" i="1"/>
  <c r="F117" i="1"/>
  <c r="E117" i="1"/>
  <c r="B117" i="1"/>
  <c r="A117" i="1"/>
  <c r="AO116" i="1"/>
  <c r="AL116" i="1"/>
  <c r="R116" i="1"/>
  <c r="J116" i="1"/>
  <c r="I116" i="1"/>
  <c r="F116" i="1"/>
  <c r="E116" i="1"/>
  <c r="B116" i="1"/>
  <c r="A116" i="1"/>
  <c r="AN116" i="1" s="1"/>
  <c r="AO115" i="1"/>
  <c r="AL115" i="1"/>
  <c r="R115" i="1"/>
  <c r="O115" i="1"/>
  <c r="J115" i="1"/>
  <c r="I115" i="1"/>
  <c r="F115" i="1"/>
  <c r="E115" i="1"/>
  <c r="B115" i="1"/>
  <c r="X115" i="1" s="1"/>
  <c r="A115" i="1"/>
  <c r="AO114" i="1"/>
  <c r="AL114" i="1"/>
  <c r="R114" i="1"/>
  <c r="J114" i="1"/>
  <c r="I114" i="1"/>
  <c r="F114" i="1"/>
  <c r="E114" i="1"/>
  <c r="B114" i="1"/>
  <c r="A114" i="1"/>
  <c r="AN114" i="1" s="1"/>
  <c r="AO113" i="1"/>
  <c r="AL113" i="1"/>
  <c r="R113" i="1"/>
  <c r="P113" i="1"/>
  <c r="J113" i="1"/>
  <c r="I113" i="1"/>
  <c r="F113" i="1"/>
  <c r="E113" i="1"/>
  <c r="B113" i="1"/>
  <c r="A113" i="1"/>
  <c r="AO112" i="1"/>
  <c r="AL112" i="1"/>
  <c r="R112" i="1"/>
  <c r="O112" i="1"/>
  <c r="J112" i="1"/>
  <c r="I112" i="1"/>
  <c r="F112" i="1"/>
  <c r="E112" i="1"/>
  <c r="B112" i="1"/>
  <c r="X112" i="1" s="1"/>
  <c r="A112" i="1"/>
  <c r="AO111" i="1"/>
  <c r="AL111" i="1"/>
  <c r="R111" i="1"/>
  <c r="J111" i="1"/>
  <c r="I111" i="1"/>
  <c r="F111" i="1"/>
  <c r="E111" i="1"/>
  <c r="B111" i="1"/>
  <c r="X111" i="1" s="1"/>
  <c r="A111" i="1"/>
  <c r="AO110" i="1"/>
  <c r="AL110" i="1"/>
  <c r="R110" i="1"/>
  <c r="O110" i="1"/>
  <c r="J110" i="1"/>
  <c r="I110" i="1"/>
  <c r="F110" i="1"/>
  <c r="E110" i="1"/>
  <c r="B110" i="1"/>
  <c r="X110" i="1" s="1"/>
  <c r="A110" i="1"/>
  <c r="AO109" i="1"/>
  <c r="AL109" i="1"/>
  <c r="R109" i="1"/>
  <c r="J109" i="1"/>
  <c r="I109" i="1"/>
  <c r="F109" i="1"/>
  <c r="E109" i="1"/>
  <c r="B109" i="1"/>
  <c r="X109" i="1" s="1"/>
  <c r="A109" i="1"/>
  <c r="AO108" i="1"/>
  <c r="AL108" i="1"/>
  <c r="O108" i="1"/>
  <c r="J108" i="1"/>
  <c r="I108" i="1"/>
  <c r="F108" i="1"/>
  <c r="E108" i="1"/>
  <c r="B108" i="1"/>
  <c r="X108" i="1" s="1"/>
  <c r="A108" i="1"/>
  <c r="AN108" i="1" s="1"/>
  <c r="AO107" i="1"/>
  <c r="AL107" i="1"/>
  <c r="R107" i="1"/>
  <c r="J107" i="1"/>
  <c r="I107" i="1"/>
  <c r="F107" i="1"/>
  <c r="E107" i="1"/>
  <c r="B107" i="1"/>
  <c r="X107" i="1" s="1"/>
  <c r="A107" i="1"/>
  <c r="AN107" i="1" s="1"/>
  <c r="AO106" i="1"/>
  <c r="AL106" i="1"/>
  <c r="J106" i="1"/>
  <c r="I106" i="1"/>
  <c r="F106" i="1"/>
  <c r="E106" i="1"/>
  <c r="B106" i="1"/>
  <c r="X106" i="1" s="1"/>
  <c r="A106" i="1"/>
  <c r="AO105" i="1"/>
  <c r="AL105" i="1"/>
  <c r="R105" i="1"/>
  <c r="O105" i="1"/>
  <c r="J105" i="1"/>
  <c r="I105" i="1"/>
  <c r="F105" i="1"/>
  <c r="E105" i="1"/>
  <c r="B105" i="1"/>
  <c r="X105" i="1" s="1"/>
  <c r="A105" i="1"/>
  <c r="AO104" i="1"/>
  <c r="AL104" i="1"/>
  <c r="R104" i="1"/>
  <c r="J104" i="1"/>
  <c r="I104" i="1"/>
  <c r="F104" i="1"/>
  <c r="E104" i="1"/>
  <c r="B104" i="1"/>
  <c r="X104" i="1" s="1"/>
  <c r="A104" i="1"/>
  <c r="AO103" i="1"/>
  <c r="AL103" i="1"/>
  <c r="R103" i="1"/>
  <c r="P103" i="1"/>
  <c r="J103" i="1"/>
  <c r="I103" i="1"/>
  <c r="F103" i="1"/>
  <c r="E103" i="1"/>
  <c r="B103" i="1"/>
  <c r="A103" i="1"/>
  <c r="AN103" i="1" s="1"/>
  <c r="AO102" i="1"/>
  <c r="AL102" i="1"/>
  <c r="R102" i="1"/>
  <c r="P102" i="1"/>
  <c r="J102" i="1"/>
  <c r="I102" i="1"/>
  <c r="F102" i="1"/>
  <c r="E102" i="1"/>
  <c r="B102" i="1"/>
  <c r="X102" i="1" s="1"/>
  <c r="A102" i="1"/>
  <c r="AO101" i="1"/>
  <c r="AL101" i="1"/>
  <c r="R101" i="1"/>
  <c r="J101" i="1"/>
  <c r="I101" i="1"/>
  <c r="F101" i="1"/>
  <c r="E101" i="1"/>
  <c r="B101" i="1"/>
  <c r="A101" i="1"/>
  <c r="AN101" i="1" s="1"/>
  <c r="AO100" i="1"/>
  <c r="AL100" i="1"/>
  <c r="R100" i="1"/>
  <c r="P100" i="1"/>
  <c r="J100" i="1"/>
  <c r="I100" i="1"/>
  <c r="F100" i="1"/>
  <c r="E100" i="1"/>
  <c r="B100" i="1"/>
  <c r="X100" i="1" s="1"/>
  <c r="A100" i="1"/>
  <c r="AO99" i="1"/>
  <c r="AL99" i="1"/>
  <c r="R99" i="1"/>
  <c r="O99" i="1"/>
  <c r="J99" i="1"/>
  <c r="I99" i="1"/>
  <c r="F99" i="1"/>
  <c r="E99" i="1"/>
  <c r="B99" i="1"/>
  <c r="X99" i="1" s="1"/>
  <c r="A99" i="1"/>
  <c r="AO98" i="1"/>
  <c r="AL98" i="1"/>
  <c r="R98" i="1"/>
  <c r="P98" i="1"/>
  <c r="J98" i="1"/>
  <c r="I98" i="1"/>
  <c r="F98" i="1"/>
  <c r="E98" i="1"/>
  <c r="B98" i="1"/>
  <c r="X98" i="1" s="1"/>
  <c r="A98" i="1"/>
  <c r="AO97" i="1"/>
  <c r="AL97" i="1"/>
  <c r="R97" i="1"/>
  <c r="P97" i="1"/>
  <c r="J97" i="1"/>
  <c r="I97" i="1"/>
  <c r="F97" i="1"/>
  <c r="E97" i="1"/>
  <c r="B97" i="1"/>
  <c r="X97" i="1" s="1"/>
  <c r="A97" i="1"/>
  <c r="AO96" i="1"/>
  <c r="AL96" i="1"/>
  <c r="R96" i="1"/>
  <c r="J96" i="1"/>
  <c r="I96" i="1"/>
  <c r="F96" i="1"/>
  <c r="E96" i="1"/>
  <c r="B96" i="1"/>
  <c r="X96" i="1" s="1"/>
  <c r="A96" i="1"/>
  <c r="AO95" i="1"/>
  <c r="AL95" i="1"/>
  <c r="R95" i="1"/>
  <c r="O95" i="1"/>
  <c r="J95" i="1"/>
  <c r="I95" i="1"/>
  <c r="F95" i="1"/>
  <c r="E95" i="1"/>
  <c r="B95" i="1"/>
  <c r="X95" i="1" s="1"/>
  <c r="A95" i="1"/>
  <c r="AO94" i="1"/>
  <c r="AL94" i="1"/>
  <c r="R94" i="1"/>
  <c r="J94" i="1"/>
  <c r="I94" i="1"/>
  <c r="F94" i="1"/>
  <c r="E94" i="1"/>
  <c r="B94" i="1"/>
  <c r="X94" i="1" s="1"/>
  <c r="A94" i="1"/>
  <c r="AO93" i="1"/>
  <c r="AL93" i="1"/>
  <c r="R93" i="1"/>
  <c r="P93" i="1"/>
  <c r="J93" i="1"/>
  <c r="I93" i="1"/>
  <c r="F93" i="1"/>
  <c r="E93" i="1"/>
  <c r="B93" i="1"/>
  <c r="A93" i="1"/>
  <c r="AO92" i="1"/>
  <c r="AL92" i="1"/>
  <c r="R92" i="1"/>
  <c r="P92" i="1"/>
  <c r="J92" i="1"/>
  <c r="I92" i="1"/>
  <c r="F92" i="1"/>
  <c r="E92" i="1"/>
  <c r="B92" i="1"/>
  <c r="X92" i="1" s="1"/>
  <c r="A92" i="1"/>
  <c r="AO91" i="1"/>
  <c r="AL91" i="1"/>
  <c r="R91" i="1"/>
  <c r="P91" i="1"/>
  <c r="J91" i="1"/>
  <c r="I91" i="1"/>
  <c r="F91" i="1"/>
  <c r="E91" i="1"/>
  <c r="B91" i="1"/>
  <c r="X91" i="1" s="1"/>
  <c r="A91" i="1"/>
  <c r="AN91" i="1" s="1"/>
  <c r="AO90" i="1"/>
  <c r="AL90" i="1"/>
  <c r="R90" i="1"/>
  <c r="P90" i="1"/>
  <c r="J90" i="1"/>
  <c r="I90" i="1"/>
  <c r="F90" i="1"/>
  <c r="E90" i="1"/>
  <c r="B90" i="1"/>
  <c r="X90" i="1" s="1"/>
  <c r="A90" i="1"/>
  <c r="AN90" i="1" s="1"/>
  <c r="AO89" i="1"/>
  <c r="AL89" i="1"/>
  <c r="R89" i="1"/>
  <c r="O89" i="1"/>
  <c r="J89" i="1"/>
  <c r="I89" i="1"/>
  <c r="F89" i="1"/>
  <c r="E89" i="1"/>
  <c r="B89" i="1"/>
  <c r="X89" i="1" s="1"/>
  <c r="A89" i="1"/>
  <c r="AN89" i="1" s="1"/>
  <c r="AO88" i="1"/>
  <c r="AL88" i="1"/>
  <c r="R88" i="1"/>
  <c r="O88" i="1"/>
  <c r="J88" i="1"/>
  <c r="I88" i="1"/>
  <c r="F88" i="1"/>
  <c r="E88" i="1"/>
  <c r="B88" i="1"/>
  <c r="X88" i="1" s="1"/>
  <c r="A88" i="1"/>
  <c r="AO87" i="1"/>
  <c r="AL87" i="1"/>
  <c r="R87" i="1"/>
  <c r="O87" i="1"/>
  <c r="J87" i="1"/>
  <c r="I87" i="1"/>
  <c r="F87" i="1"/>
  <c r="E87" i="1"/>
  <c r="B87" i="1"/>
  <c r="A87" i="1"/>
  <c r="AO86" i="1"/>
  <c r="AL86" i="1"/>
  <c r="R86" i="1"/>
  <c r="J86" i="1"/>
  <c r="I86" i="1"/>
  <c r="F86" i="1"/>
  <c r="E86" i="1"/>
  <c r="B86" i="1"/>
  <c r="A86" i="1"/>
  <c r="AO85" i="1"/>
  <c r="AL85" i="1"/>
  <c r="P85" i="1"/>
  <c r="J85" i="1"/>
  <c r="I85" i="1"/>
  <c r="F85" i="1"/>
  <c r="E85" i="1"/>
  <c r="B85" i="1"/>
  <c r="X85" i="1" s="1"/>
  <c r="A85" i="1"/>
  <c r="AO84" i="1"/>
  <c r="AL84" i="1"/>
  <c r="R84" i="1"/>
  <c r="O84" i="1"/>
  <c r="J84" i="1"/>
  <c r="I84" i="1"/>
  <c r="F84" i="1"/>
  <c r="E84" i="1"/>
  <c r="B84" i="1"/>
  <c r="X84" i="1" s="1"/>
  <c r="A84" i="1"/>
  <c r="AO83" i="1"/>
  <c r="AL83" i="1"/>
  <c r="R83" i="1"/>
  <c r="P83" i="1"/>
  <c r="J83" i="1"/>
  <c r="I83" i="1"/>
  <c r="F83" i="1"/>
  <c r="E83" i="1"/>
  <c r="B83" i="1"/>
  <c r="X83" i="1" s="1"/>
  <c r="A83" i="1"/>
  <c r="AO82" i="1"/>
  <c r="AL82" i="1"/>
  <c r="R82" i="1"/>
  <c r="P82" i="1"/>
  <c r="J82" i="1"/>
  <c r="I82" i="1"/>
  <c r="F82" i="1"/>
  <c r="E82" i="1"/>
  <c r="B82" i="1"/>
  <c r="A82" i="1"/>
  <c r="AO81" i="1"/>
  <c r="AL81" i="1"/>
  <c r="R81" i="1"/>
  <c r="J81" i="1"/>
  <c r="I81" i="1"/>
  <c r="F81" i="1"/>
  <c r="E81" i="1"/>
  <c r="B81" i="1"/>
  <c r="X81" i="1" s="1"/>
  <c r="A81" i="1"/>
  <c r="AO80" i="1"/>
  <c r="AL80" i="1"/>
  <c r="J80" i="1"/>
  <c r="I80" i="1"/>
  <c r="F80" i="1"/>
  <c r="E80" i="1"/>
  <c r="B80" i="1"/>
  <c r="X80" i="1" s="1"/>
  <c r="A80" i="1"/>
  <c r="AO79" i="1"/>
  <c r="AL79" i="1"/>
  <c r="R79" i="1"/>
  <c r="J79" i="1"/>
  <c r="I79" i="1"/>
  <c r="F79" i="1"/>
  <c r="E79" i="1"/>
  <c r="B79" i="1"/>
  <c r="X79" i="1" s="1"/>
  <c r="A79" i="1"/>
  <c r="AO78" i="1"/>
  <c r="AL78" i="1"/>
  <c r="R78" i="1"/>
  <c r="P78" i="1"/>
  <c r="J78" i="1"/>
  <c r="I78" i="1"/>
  <c r="F78" i="1"/>
  <c r="E78" i="1"/>
  <c r="B78" i="1"/>
  <c r="X78" i="1" s="1"/>
  <c r="A78" i="1"/>
  <c r="AO77" i="1"/>
  <c r="AL77" i="1"/>
  <c r="R77" i="1"/>
  <c r="J77" i="1"/>
  <c r="I77" i="1"/>
  <c r="F77" i="1"/>
  <c r="E77" i="1"/>
  <c r="B77" i="1"/>
  <c r="X77" i="1" s="1"/>
  <c r="A77" i="1"/>
  <c r="AO76" i="1"/>
  <c r="AL76" i="1"/>
  <c r="R76" i="1"/>
  <c r="P76" i="1"/>
  <c r="J76" i="1"/>
  <c r="I76" i="1"/>
  <c r="F76" i="1"/>
  <c r="E76" i="1"/>
  <c r="B76" i="1"/>
  <c r="A76" i="1"/>
  <c r="AO75" i="1"/>
  <c r="AL75" i="1"/>
  <c r="R75" i="1"/>
  <c r="J75" i="1"/>
  <c r="I75" i="1"/>
  <c r="F75" i="1"/>
  <c r="E75" i="1"/>
  <c r="B75" i="1"/>
  <c r="A75" i="1"/>
  <c r="AO74" i="1"/>
  <c r="AL74" i="1"/>
  <c r="R74" i="1"/>
  <c r="O74" i="1"/>
  <c r="J74" i="1"/>
  <c r="I74" i="1"/>
  <c r="F74" i="1"/>
  <c r="E74" i="1"/>
  <c r="B74" i="1"/>
  <c r="A74" i="1"/>
  <c r="AO73" i="1"/>
  <c r="AL73" i="1"/>
  <c r="R73" i="1"/>
  <c r="J73" i="1"/>
  <c r="I73" i="1"/>
  <c r="F73" i="1"/>
  <c r="E73" i="1"/>
  <c r="B73" i="1"/>
  <c r="A73" i="1"/>
  <c r="AO72" i="1"/>
  <c r="AL72" i="1"/>
  <c r="R72" i="1"/>
  <c r="J72" i="1"/>
  <c r="I72" i="1"/>
  <c r="F72" i="1"/>
  <c r="E72" i="1"/>
  <c r="B72" i="1"/>
  <c r="X72" i="1" s="1"/>
  <c r="A72" i="1"/>
  <c r="AO71" i="1"/>
  <c r="AL71" i="1"/>
  <c r="R71" i="1"/>
  <c r="O71" i="1"/>
  <c r="J71" i="1"/>
  <c r="I71" i="1"/>
  <c r="F71" i="1"/>
  <c r="E71" i="1"/>
  <c r="B71" i="1"/>
  <c r="A71" i="1"/>
  <c r="AO70" i="1"/>
  <c r="AL70" i="1"/>
  <c r="R70" i="1"/>
  <c r="J70" i="1"/>
  <c r="I70" i="1"/>
  <c r="F70" i="1"/>
  <c r="E70" i="1"/>
  <c r="B70" i="1"/>
  <c r="A70" i="1"/>
  <c r="AO69" i="1"/>
  <c r="AL69" i="1"/>
  <c r="R69" i="1"/>
  <c r="O69" i="1"/>
  <c r="J69" i="1"/>
  <c r="I69" i="1"/>
  <c r="F69" i="1"/>
  <c r="E69" i="1"/>
  <c r="B69" i="1"/>
  <c r="A69" i="1"/>
  <c r="AO68" i="1"/>
  <c r="AL68" i="1"/>
  <c r="R68" i="1"/>
  <c r="P68" i="1"/>
  <c r="J68" i="1"/>
  <c r="I68" i="1"/>
  <c r="F68" i="1"/>
  <c r="E68" i="1"/>
  <c r="B68" i="1"/>
  <c r="X68" i="1" s="1"/>
  <c r="A68" i="1"/>
  <c r="AN68" i="1" s="1"/>
  <c r="AO67" i="1"/>
  <c r="AL67" i="1"/>
  <c r="R67" i="1"/>
  <c r="O67" i="1"/>
  <c r="J67" i="1"/>
  <c r="I67" i="1"/>
  <c r="F67" i="1"/>
  <c r="E67" i="1"/>
  <c r="B67" i="1"/>
  <c r="X67" i="1" s="1"/>
  <c r="A67" i="1"/>
  <c r="AO66" i="1"/>
  <c r="AL66" i="1"/>
  <c r="R66" i="1"/>
  <c r="P66" i="1"/>
  <c r="J66" i="1"/>
  <c r="I66" i="1"/>
  <c r="F66" i="1"/>
  <c r="E66" i="1"/>
  <c r="B66" i="1"/>
  <c r="X66" i="1" s="1"/>
  <c r="A66" i="1"/>
  <c r="AO65" i="1"/>
  <c r="AL65" i="1"/>
  <c r="R65" i="1"/>
  <c r="O65" i="1"/>
  <c r="J65" i="1"/>
  <c r="I65" i="1"/>
  <c r="F65" i="1"/>
  <c r="E65" i="1"/>
  <c r="B65" i="1"/>
  <c r="A65" i="1"/>
  <c r="AO64" i="1"/>
  <c r="AL64" i="1"/>
  <c r="R64" i="1"/>
  <c r="O64" i="1"/>
  <c r="J64" i="1"/>
  <c r="I64" i="1"/>
  <c r="F64" i="1"/>
  <c r="E64" i="1"/>
  <c r="B64" i="1"/>
  <c r="A64" i="1"/>
  <c r="AO63" i="1"/>
  <c r="AL63" i="1"/>
  <c r="R63" i="1"/>
  <c r="P63" i="1"/>
  <c r="J63" i="1"/>
  <c r="I63" i="1"/>
  <c r="F63" i="1"/>
  <c r="E63" i="1"/>
  <c r="B63" i="1"/>
  <c r="X63" i="1" s="1"/>
  <c r="A63" i="1"/>
  <c r="AO62" i="1"/>
  <c r="AL62" i="1"/>
  <c r="R62" i="1"/>
  <c r="J62" i="1"/>
  <c r="I62" i="1"/>
  <c r="F62" i="1"/>
  <c r="E62" i="1"/>
  <c r="B62" i="1"/>
  <c r="X62" i="1" s="1"/>
  <c r="A62" i="1"/>
  <c r="AO61" i="1"/>
  <c r="AL61" i="1"/>
  <c r="R61" i="1"/>
  <c r="P61" i="1"/>
  <c r="J61" i="1"/>
  <c r="I61" i="1"/>
  <c r="F61" i="1"/>
  <c r="E61" i="1"/>
  <c r="B61" i="1"/>
  <c r="X61" i="1" s="1"/>
  <c r="A61" i="1"/>
  <c r="AO60" i="1"/>
  <c r="AL60" i="1"/>
  <c r="R60" i="1"/>
  <c r="J60" i="1"/>
  <c r="I60" i="1"/>
  <c r="F60" i="1"/>
  <c r="E60" i="1"/>
  <c r="B60" i="1"/>
  <c r="X60" i="1" s="1"/>
  <c r="A60" i="1"/>
  <c r="AO59" i="1"/>
  <c r="AL59" i="1"/>
  <c r="R59" i="1"/>
  <c r="J59" i="1"/>
  <c r="I59" i="1"/>
  <c r="F59" i="1"/>
  <c r="E59" i="1"/>
  <c r="B59" i="1"/>
  <c r="X59" i="1" s="1"/>
  <c r="A59" i="1"/>
  <c r="AN59" i="1" s="1"/>
  <c r="AO58" i="1"/>
  <c r="AL58" i="1"/>
  <c r="R58" i="1"/>
  <c r="O58" i="1"/>
  <c r="J58" i="1"/>
  <c r="I58" i="1"/>
  <c r="F58" i="1"/>
  <c r="E58" i="1"/>
  <c r="B58" i="1"/>
  <c r="X58" i="1" s="1"/>
  <c r="A58" i="1"/>
  <c r="AO57" i="1"/>
  <c r="AL57" i="1"/>
  <c r="R57" i="1"/>
  <c r="J57" i="1"/>
  <c r="I57" i="1"/>
  <c r="F57" i="1"/>
  <c r="E57" i="1"/>
  <c r="B57" i="1"/>
  <c r="X57" i="1" s="1"/>
  <c r="A57" i="1"/>
  <c r="AN57" i="1" s="1"/>
  <c r="AO56" i="1"/>
  <c r="AL56" i="1"/>
  <c r="R56" i="1"/>
  <c r="J56" i="1"/>
  <c r="I56" i="1"/>
  <c r="F56" i="1"/>
  <c r="E56" i="1"/>
  <c r="B56" i="1"/>
  <c r="A56" i="1"/>
  <c r="AN56" i="1" s="1"/>
  <c r="AO55" i="1"/>
  <c r="AL55" i="1"/>
  <c r="R55" i="1"/>
  <c r="J55" i="1"/>
  <c r="I55" i="1"/>
  <c r="F55" i="1"/>
  <c r="E55" i="1"/>
  <c r="B55" i="1"/>
  <c r="A55" i="1"/>
  <c r="AO54" i="1"/>
  <c r="AL54" i="1"/>
  <c r="R54" i="1"/>
  <c r="J54" i="1"/>
  <c r="I54" i="1"/>
  <c r="F54" i="1"/>
  <c r="E54" i="1"/>
  <c r="B54" i="1"/>
  <c r="A54" i="1"/>
  <c r="AN54" i="1" s="1"/>
  <c r="AO53" i="1"/>
  <c r="AL53" i="1"/>
  <c r="R53" i="1"/>
  <c r="O53" i="1"/>
  <c r="J53" i="1"/>
  <c r="I53" i="1"/>
  <c r="F53" i="1"/>
  <c r="E53" i="1"/>
  <c r="B53" i="1"/>
  <c r="X53" i="1" s="1"/>
  <c r="A53" i="1"/>
  <c r="AN53" i="1" s="1"/>
  <c r="AO52" i="1"/>
  <c r="AL52" i="1"/>
  <c r="R52" i="1"/>
  <c r="O52" i="1"/>
  <c r="J52" i="1"/>
  <c r="I52" i="1"/>
  <c r="F52" i="1"/>
  <c r="E52" i="1"/>
  <c r="B52" i="1"/>
  <c r="X52" i="1" s="1"/>
  <c r="A52" i="1"/>
  <c r="AN52" i="1" s="1"/>
  <c r="AO51" i="1"/>
  <c r="AL51" i="1"/>
  <c r="R51" i="1"/>
  <c r="O51" i="1"/>
  <c r="J51" i="1"/>
  <c r="I51" i="1"/>
  <c r="F51" i="1"/>
  <c r="E51" i="1"/>
  <c r="B51" i="1"/>
  <c r="X51" i="1" s="1"/>
  <c r="A51" i="1"/>
  <c r="AO50" i="1"/>
  <c r="AL50" i="1"/>
  <c r="R50" i="1"/>
  <c r="J50" i="1"/>
  <c r="I50" i="1"/>
  <c r="F50" i="1"/>
  <c r="E50" i="1"/>
  <c r="B50" i="1"/>
  <c r="X50" i="1" s="1"/>
  <c r="A50" i="1"/>
  <c r="AN50" i="1" s="1"/>
  <c r="AO49" i="1"/>
  <c r="AL49" i="1"/>
  <c r="R49" i="1"/>
  <c r="O49" i="1"/>
  <c r="J49" i="1"/>
  <c r="I49" i="1"/>
  <c r="F49" i="1"/>
  <c r="E49" i="1"/>
  <c r="B49" i="1"/>
  <c r="X49" i="1" s="1"/>
  <c r="A49" i="1"/>
  <c r="AO48" i="1"/>
  <c r="AL48" i="1"/>
  <c r="R48" i="1"/>
  <c r="J48" i="1"/>
  <c r="I48" i="1"/>
  <c r="F48" i="1"/>
  <c r="E48" i="1"/>
  <c r="B48" i="1"/>
  <c r="X48" i="1" s="1"/>
  <c r="A48" i="1"/>
  <c r="AN48" i="1" s="1"/>
  <c r="AO47" i="1"/>
  <c r="AL47" i="1"/>
  <c r="R47" i="1"/>
  <c r="J47" i="1"/>
  <c r="I47" i="1"/>
  <c r="F47" i="1"/>
  <c r="E47" i="1"/>
  <c r="B47" i="1"/>
  <c r="X47" i="1" s="1"/>
  <c r="A47" i="1"/>
  <c r="AN47" i="1" s="1"/>
  <c r="AO46" i="1"/>
  <c r="AL46" i="1"/>
  <c r="R46" i="1"/>
  <c r="J46" i="1"/>
  <c r="I46" i="1"/>
  <c r="F46" i="1"/>
  <c r="E46" i="1"/>
  <c r="B46" i="1"/>
  <c r="X46" i="1" s="1"/>
  <c r="A46" i="1"/>
  <c r="AN46" i="1" s="1"/>
  <c r="AO45" i="1"/>
  <c r="AL45" i="1"/>
  <c r="R45" i="1"/>
  <c r="O45" i="1"/>
  <c r="J45" i="1"/>
  <c r="I45" i="1"/>
  <c r="F45" i="1"/>
  <c r="E45" i="1"/>
  <c r="B45" i="1"/>
  <c r="X45" i="1" s="1"/>
  <c r="A45" i="1"/>
  <c r="AN45" i="1" s="1"/>
  <c r="AO44" i="1"/>
  <c r="AL44" i="1"/>
  <c r="R44" i="1"/>
  <c r="J44" i="1"/>
  <c r="I44" i="1"/>
  <c r="F44" i="1"/>
  <c r="E44" i="1"/>
  <c r="B44" i="1"/>
  <c r="X44" i="1" s="1"/>
  <c r="A44" i="1"/>
  <c r="AO43" i="1"/>
  <c r="AL43" i="1"/>
  <c r="R43" i="1"/>
  <c r="J43" i="1"/>
  <c r="I43" i="1"/>
  <c r="F43" i="1"/>
  <c r="E43" i="1"/>
  <c r="B43" i="1"/>
  <c r="X43" i="1" s="1"/>
  <c r="A43" i="1"/>
  <c r="AN43" i="1" s="1"/>
  <c r="AO42" i="1"/>
  <c r="AL42" i="1"/>
  <c r="R42" i="1"/>
  <c r="P42" i="1"/>
  <c r="J42" i="1"/>
  <c r="I42" i="1"/>
  <c r="F42" i="1"/>
  <c r="E42" i="1"/>
  <c r="B42" i="1"/>
  <c r="X42" i="1" s="1"/>
  <c r="A42" i="1"/>
  <c r="AO41" i="1"/>
  <c r="AL41" i="1"/>
  <c r="R41" i="1"/>
  <c r="J41" i="1"/>
  <c r="I41" i="1"/>
  <c r="F41" i="1"/>
  <c r="E41" i="1"/>
  <c r="B41" i="1"/>
  <c r="X41" i="1" s="1"/>
  <c r="A41" i="1"/>
  <c r="AN41" i="1" s="1"/>
  <c r="AO40" i="1"/>
  <c r="AL40" i="1"/>
  <c r="R40" i="1"/>
  <c r="J40" i="1"/>
  <c r="I40" i="1"/>
  <c r="F40" i="1"/>
  <c r="E40" i="1"/>
  <c r="B40" i="1"/>
  <c r="X40" i="1" s="1"/>
  <c r="A40" i="1"/>
  <c r="AO39" i="1"/>
  <c r="AL39" i="1"/>
  <c r="R39" i="1"/>
  <c r="O39" i="1"/>
  <c r="J39" i="1"/>
  <c r="I39" i="1"/>
  <c r="F39" i="1"/>
  <c r="E39" i="1"/>
  <c r="B39" i="1"/>
  <c r="X39" i="1" s="1"/>
  <c r="A39" i="1"/>
  <c r="AO38" i="1"/>
  <c r="AL38" i="1"/>
  <c r="R38" i="1"/>
  <c r="O38" i="1"/>
  <c r="J38" i="1"/>
  <c r="I38" i="1"/>
  <c r="F38" i="1"/>
  <c r="E38" i="1"/>
  <c r="B38" i="1"/>
  <c r="A38" i="1"/>
  <c r="AO37" i="1"/>
  <c r="AL37" i="1"/>
  <c r="R37" i="1"/>
  <c r="J37" i="1"/>
  <c r="I37" i="1"/>
  <c r="F37" i="1"/>
  <c r="E37" i="1"/>
  <c r="B37" i="1"/>
  <c r="X37" i="1" s="1"/>
  <c r="A37" i="1"/>
  <c r="AO36" i="1"/>
  <c r="AL36" i="1"/>
  <c r="R36" i="1"/>
  <c r="J36" i="1"/>
  <c r="I36" i="1"/>
  <c r="F36" i="1"/>
  <c r="E36" i="1"/>
  <c r="B36" i="1"/>
  <c r="X36" i="1" s="1"/>
  <c r="A36" i="1"/>
  <c r="AO35" i="1"/>
  <c r="AL35" i="1"/>
  <c r="R35" i="1"/>
  <c r="O35" i="1"/>
  <c r="J35" i="1"/>
  <c r="I35" i="1"/>
  <c r="F35" i="1"/>
  <c r="E35" i="1"/>
  <c r="B35" i="1"/>
  <c r="X35" i="1" s="1"/>
  <c r="A35" i="1"/>
  <c r="AO34" i="1"/>
  <c r="AL34" i="1"/>
  <c r="R34" i="1"/>
  <c r="J34" i="1"/>
  <c r="I34" i="1"/>
  <c r="F34" i="1"/>
  <c r="E34" i="1"/>
  <c r="B34" i="1"/>
  <c r="X34" i="1" s="1"/>
  <c r="A34" i="1"/>
  <c r="AO33" i="1"/>
  <c r="AL33" i="1"/>
  <c r="R33" i="1"/>
  <c r="J33" i="1"/>
  <c r="I33" i="1"/>
  <c r="F33" i="1"/>
  <c r="E33" i="1"/>
  <c r="B33" i="1"/>
  <c r="X33" i="1" s="1"/>
  <c r="A33" i="1"/>
  <c r="AO32" i="1"/>
  <c r="AL32" i="1"/>
  <c r="R32" i="1"/>
  <c r="O32" i="1"/>
  <c r="J32" i="1"/>
  <c r="I32" i="1"/>
  <c r="F32" i="1"/>
  <c r="E32" i="1"/>
  <c r="B32" i="1"/>
  <c r="A32" i="1"/>
  <c r="AO31" i="1"/>
  <c r="AL31" i="1"/>
  <c r="R31" i="1"/>
  <c r="O31" i="1"/>
  <c r="J31" i="1"/>
  <c r="I31" i="1"/>
  <c r="F31" i="1"/>
  <c r="E31" i="1"/>
  <c r="B31" i="1"/>
  <c r="X31" i="1" s="1"/>
  <c r="A31" i="1"/>
  <c r="AO30" i="1"/>
  <c r="AL30" i="1"/>
  <c r="R30" i="1"/>
  <c r="J30" i="1"/>
  <c r="I30" i="1"/>
  <c r="F30" i="1"/>
  <c r="E30" i="1"/>
  <c r="B30" i="1"/>
  <c r="A30" i="1"/>
  <c r="AO29" i="1"/>
  <c r="AL29" i="1"/>
  <c r="O29" i="1"/>
  <c r="J29" i="1"/>
  <c r="I29" i="1"/>
  <c r="F29" i="1"/>
  <c r="E29" i="1"/>
  <c r="B29" i="1"/>
  <c r="X29" i="1" s="1"/>
  <c r="A29" i="1"/>
  <c r="AO28" i="1"/>
  <c r="AL28" i="1"/>
  <c r="R28" i="1"/>
  <c r="O28" i="1"/>
  <c r="J28" i="1"/>
  <c r="I28" i="1"/>
  <c r="F28" i="1"/>
  <c r="E28" i="1"/>
  <c r="B28" i="1"/>
  <c r="A28" i="1"/>
  <c r="AO27" i="1"/>
  <c r="AL27" i="1"/>
  <c r="R27" i="1"/>
  <c r="J27" i="1"/>
  <c r="I27" i="1"/>
  <c r="F27" i="1"/>
  <c r="E27" i="1"/>
  <c r="B27" i="1"/>
  <c r="X27" i="1" s="1"/>
  <c r="A27" i="1"/>
  <c r="AO26" i="1"/>
  <c r="AL26" i="1"/>
  <c r="R26" i="1"/>
  <c r="J26" i="1"/>
  <c r="I26" i="1"/>
  <c r="F26" i="1"/>
  <c r="E26" i="1"/>
  <c r="B26" i="1"/>
  <c r="A26" i="1"/>
  <c r="AO25" i="1"/>
  <c r="AL25" i="1"/>
  <c r="R25" i="1"/>
  <c r="J25" i="1"/>
  <c r="I25" i="1"/>
  <c r="F25" i="1"/>
  <c r="E25" i="1"/>
  <c r="B25" i="1"/>
  <c r="A25" i="1"/>
  <c r="AO24" i="1"/>
  <c r="AL24" i="1"/>
  <c r="R24" i="1"/>
  <c r="O24" i="1"/>
  <c r="J24" i="1"/>
  <c r="I24" i="1"/>
  <c r="F24" i="1"/>
  <c r="E24" i="1"/>
  <c r="B24" i="1"/>
  <c r="A24" i="1"/>
  <c r="AO23" i="1"/>
  <c r="AL23" i="1"/>
  <c r="R23" i="1"/>
  <c r="P23" i="1"/>
  <c r="J23" i="1"/>
  <c r="I23" i="1"/>
  <c r="F23" i="1"/>
  <c r="E23" i="1"/>
  <c r="B23" i="1"/>
  <c r="A23" i="1"/>
  <c r="AO22" i="1"/>
  <c r="AL22" i="1"/>
  <c r="R22" i="1"/>
  <c r="P22" i="1"/>
  <c r="J22" i="1"/>
  <c r="I22" i="1"/>
  <c r="F22" i="1"/>
  <c r="E22" i="1"/>
  <c r="B22" i="1"/>
  <c r="A22" i="1"/>
  <c r="AO21" i="1"/>
  <c r="AL21" i="1"/>
  <c r="R21" i="1"/>
  <c r="P21" i="1"/>
  <c r="J21" i="1"/>
  <c r="I21" i="1"/>
  <c r="F21" i="1"/>
  <c r="E21" i="1"/>
  <c r="B21" i="1"/>
  <c r="A21" i="1"/>
  <c r="AO20" i="1"/>
  <c r="AL20" i="1"/>
  <c r="R20" i="1"/>
  <c r="P20" i="1"/>
  <c r="J20" i="1"/>
  <c r="I20" i="1"/>
  <c r="F20" i="1"/>
  <c r="E20" i="1"/>
  <c r="B20" i="1"/>
  <c r="X20" i="1" s="1"/>
  <c r="A20" i="1"/>
  <c r="AO19" i="1"/>
  <c r="AL19" i="1"/>
  <c r="R19" i="1"/>
  <c r="P19" i="1"/>
  <c r="J19" i="1"/>
  <c r="I19" i="1"/>
  <c r="F19" i="1"/>
  <c r="E19" i="1"/>
  <c r="B19" i="1"/>
  <c r="A19" i="1"/>
  <c r="AO18" i="1"/>
  <c r="AL18" i="1"/>
  <c r="R18" i="1"/>
  <c r="J18" i="1"/>
  <c r="I18" i="1"/>
  <c r="F18" i="1"/>
  <c r="E18" i="1"/>
  <c r="B18" i="1"/>
  <c r="A18" i="1"/>
  <c r="AO17" i="1"/>
  <c r="AL17" i="1"/>
  <c r="R17" i="1"/>
  <c r="J17" i="1"/>
  <c r="I17" i="1"/>
  <c r="F17" i="1"/>
  <c r="E17" i="1"/>
  <c r="B17" i="1"/>
  <c r="A17" i="1"/>
  <c r="AO16" i="1"/>
  <c r="AL16" i="1"/>
  <c r="R16" i="1"/>
  <c r="J16" i="1"/>
  <c r="I16" i="1"/>
  <c r="F16" i="1"/>
  <c r="E16" i="1"/>
  <c r="B16" i="1"/>
  <c r="A16" i="1"/>
  <c r="AO15" i="1"/>
  <c r="AL15" i="1"/>
  <c r="R15" i="1"/>
  <c r="P15" i="1"/>
  <c r="J15" i="1"/>
  <c r="I15" i="1"/>
  <c r="F15" i="1"/>
  <c r="E15" i="1"/>
  <c r="B15" i="1"/>
  <c r="A15" i="1"/>
  <c r="AO14" i="1"/>
  <c r="AL14" i="1"/>
  <c r="J14" i="1"/>
  <c r="I14" i="1"/>
  <c r="F14" i="1"/>
  <c r="E14" i="1"/>
  <c r="B14" i="1"/>
  <c r="A14" i="1"/>
  <c r="AO13" i="1"/>
  <c r="AL13" i="1"/>
  <c r="R13" i="1"/>
  <c r="P13" i="1"/>
  <c r="J13" i="1"/>
  <c r="I13" i="1"/>
  <c r="F13" i="1"/>
  <c r="E13" i="1"/>
  <c r="B13" i="1"/>
  <c r="X13" i="1" s="1"/>
  <c r="A13" i="1"/>
  <c r="AO12" i="1"/>
  <c r="AL12" i="1"/>
  <c r="R12" i="1"/>
  <c r="O12" i="1"/>
  <c r="J12" i="1"/>
  <c r="I12" i="1"/>
  <c r="F12" i="1"/>
  <c r="E12" i="1"/>
  <c r="B12" i="1"/>
  <c r="A12" i="1"/>
  <c r="AO11" i="1"/>
  <c r="AL11" i="1"/>
  <c r="R11" i="1"/>
  <c r="J11" i="1"/>
  <c r="I11" i="1"/>
  <c r="F11" i="1"/>
  <c r="E11" i="1"/>
  <c r="B11" i="1"/>
  <c r="A11" i="1"/>
  <c r="AN11" i="1" s="1"/>
  <c r="AO10" i="1"/>
  <c r="AL10" i="1"/>
  <c r="R10" i="1"/>
  <c r="P10" i="1"/>
  <c r="J10" i="1"/>
  <c r="I10" i="1"/>
  <c r="F10" i="1"/>
  <c r="E10" i="1"/>
  <c r="B10" i="1"/>
  <c r="A10" i="1"/>
  <c r="AO9" i="1"/>
  <c r="AL9" i="1"/>
  <c r="R9" i="1"/>
  <c r="J9" i="1"/>
  <c r="I9" i="1"/>
  <c r="F9" i="1"/>
  <c r="E9" i="1"/>
  <c r="B9" i="1"/>
  <c r="A9" i="1"/>
  <c r="AO8" i="1"/>
  <c r="AL8" i="1"/>
  <c r="R8" i="1"/>
  <c r="P8" i="1"/>
  <c r="J8" i="1"/>
  <c r="I8" i="1"/>
  <c r="F8" i="1"/>
  <c r="E8" i="1"/>
  <c r="B8" i="1"/>
  <c r="A8" i="1"/>
  <c r="AO7" i="1"/>
  <c r="AL7" i="1"/>
  <c r="R7" i="1"/>
  <c r="J7" i="1"/>
  <c r="I7" i="1"/>
  <c r="F7" i="1"/>
  <c r="E7" i="1"/>
  <c r="B7" i="1"/>
  <c r="A7" i="1"/>
  <c r="AO6" i="1"/>
  <c r="AL6" i="1"/>
  <c r="R6" i="1"/>
  <c r="J6" i="1"/>
  <c r="I6" i="1"/>
  <c r="F6" i="1"/>
  <c r="E6" i="1"/>
  <c r="B6" i="1"/>
  <c r="A6" i="1"/>
  <c r="AO5" i="1"/>
  <c r="AL5" i="1"/>
  <c r="R5" i="1"/>
  <c r="J5" i="1"/>
  <c r="I5" i="1"/>
  <c r="F5" i="1"/>
  <c r="E5" i="1"/>
  <c r="B5" i="1"/>
  <c r="A5" i="1"/>
  <c r="AO4" i="1"/>
  <c r="AL4" i="1"/>
  <c r="R4" i="1"/>
  <c r="T4" i="1"/>
  <c r="J4" i="1"/>
  <c r="I4" i="1"/>
  <c r="F4" i="1"/>
  <c r="E4" i="1"/>
  <c r="B4" i="1"/>
  <c r="A4" i="1"/>
  <c r="AC910" i="1" l="1"/>
  <c r="AE910" i="1" s="1"/>
  <c r="AE865" i="1"/>
  <c r="W56" i="1"/>
  <c r="AP56" i="1" s="1"/>
  <c r="AQ56" i="1" s="1"/>
  <c r="W247" i="1"/>
  <c r="AP247" i="1" s="1"/>
  <c r="AQ247" i="1" s="1"/>
  <c r="W303" i="1"/>
  <c r="AP303" i="1" s="1"/>
  <c r="AQ303" i="1" s="1"/>
  <c r="W447" i="1"/>
  <c r="AP447" i="1" s="1"/>
  <c r="AQ447" i="1" s="1"/>
  <c r="W490" i="1"/>
  <c r="AP490" i="1" s="1"/>
  <c r="AQ490" i="1" s="1"/>
  <c r="W500" i="1"/>
  <c r="AP500" i="1" s="1"/>
  <c r="AQ500" i="1" s="1"/>
  <c r="W505" i="1"/>
  <c r="AP505" i="1" s="1"/>
  <c r="AQ505" i="1" s="1"/>
  <c r="W598" i="1"/>
  <c r="AP598" i="1" s="1"/>
  <c r="AQ598" i="1" s="1"/>
  <c r="AP618" i="1"/>
  <c r="AQ618" i="1" s="1"/>
  <c r="AP769" i="1"/>
  <c r="AQ769" i="1" s="1"/>
  <c r="W41" i="1"/>
  <c r="AP41" i="1" s="1"/>
  <c r="AQ41" i="1" s="1"/>
  <c r="W89" i="1"/>
  <c r="AP89" i="1" s="1"/>
  <c r="AQ89" i="1" s="1"/>
  <c r="W101" i="1"/>
  <c r="AP101" i="1" s="1"/>
  <c r="AQ101" i="1" s="1"/>
  <c r="W151" i="1"/>
  <c r="AP151" i="1" s="1"/>
  <c r="AQ151" i="1" s="1"/>
  <c r="W216" i="1"/>
  <c r="AP216" i="1" s="1"/>
  <c r="AQ216" i="1" s="1"/>
  <c r="W298" i="1"/>
  <c r="AP298" i="1" s="1"/>
  <c r="AQ298" i="1" s="1"/>
  <c r="W431" i="1"/>
  <c r="AP431" i="1" s="1"/>
  <c r="AQ431" i="1" s="1"/>
  <c r="W584" i="1"/>
  <c r="AP584" i="1" s="1"/>
  <c r="AQ584" i="1" s="1"/>
  <c r="AP732" i="1"/>
  <c r="AQ732" i="1" s="1"/>
  <c r="W601" i="1"/>
  <c r="AP601" i="1" s="1"/>
  <c r="AQ601" i="1" s="1"/>
  <c r="W108" i="1"/>
  <c r="AP108" i="1" s="1"/>
  <c r="AQ108" i="1" s="1"/>
  <c r="W119" i="1"/>
  <c r="AP119" i="1" s="1"/>
  <c r="AQ119" i="1" s="1"/>
  <c r="W158" i="1"/>
  <c r="AP158" i="1" s="1"/>
  <c r="AQ158" i="1" s="1"/>
  <c r="AP168" i="1"/>
  <c r="AQ168" i="1" s="1"/>
  <c r="AP223" i="1"/>
  <c r="AQ223" i="1" s="1"/>
  <c r="W244" i="1"/>
  <c r="AP244" i="1" s="1"/>
  <c r="AQ244" i="1" s="1"/>
  <c r="W295" i="1"/>
  <c r="AP295" i="1" s="1"/>
  <c r="AQ295" i="1" s="1"/>
  <c r="W681" i="1"/>
  <c r="AP681" i="1" s="1"/>
  <c r="AQ681" i="1" s="1"/>
  <c r="AP756" i="1"/>
  <c r="AQ756" i="1" s="1"/>
  <c r="W122" i="1"/>
  <c r="AP122" i="1" s="1"/>
  <c r="AQ122" i="1" s="1"/>
  <c r="AP11" i="1"/>
  <c r="AQ11" i="1" s="1"/>
  <c r="AP428" i="1"/>
  <c r="AQ428" i="1" s="1"/>
  <c r="W294" i="1"/>
  <c r="AP294" i="1" s="1"/>
  <c r="AQ294" i="1" s="1"/>
  <c r="W57" i="1"/>
  <c r="AP57" i="1" s="1"/>
  <c r="AQ57" i="1" s="1"/>
  <c r="W760" i="1"/>
  <c r="AP760" i="1" s="1"/>
  <c r="AQ760" i="1" s="1"/>
  <c r="AP779" i="1"/>
  <c r="AQ779" i="1" s="1"/>
  <c r="W107" i="1"/>
  <c r="AP107" i="1" s="1"/>
  <c r="AQ107" i="1" s="1"/>
  <c r="W147" i="1"/>
  <c r="AP147" i="1" s="1"/>
  <c r="AQ147" i="1" s="1"/>
  <c r="AP157" i="1"/>
  <c r="AQ157" i="1" s="1"/>
  <c r="W45" i="1"/>
  <c r="AP45" i="1" s="1"/>
  <c r="AQ45" i="1" s="1"/>
  <c r="W50" i="1"/>
  <c r="AP50" i="1" s="1"/>
  <c r="AQ50" i="1" s="1"/>
  <c r="AP150" i="1"/>
  <c r="AQ150" i="1" s="1"/>
  <c r="W190" i="1"/>
  <c r="AP190" i="1" s="1"/>
  <c r="AQ190" i="1" s="1"/>
  <c r="W262" i="1"/>
  <c r="AP262" i="1" s="1"/>
  <c r="AQ262" i="1" s="1"/>
  <c r="W313" i="1"/>
  <c r="AP313" i="1" s="1"/>
  <c r="AQ313" i="1" s="1"/>
  <c r="W554" i="1"/>
  <c r="AP554" i="1" s="1"/>
  <c r="AQ554" i="1" s="1"/>
  <c r="AP662" i="1"/>
  <c r="AQ662" i="1" s="1"/>
  <c r="W734" i="1"/>
  <c r="AP734" i="1" s="1"/>
  <c r="AQ734" i="1" s="1"/>
  <c r="AP116" i="1"/>
  <c r="AQ116" i="1" s="1"/>
  <c r="W738" i="1"/>
  <c r="AP738" i="1" s="1"/>
  <c r="AQ738" i="1" s="1"/>
  <c r="W91" i="1"/>
  <c r="AP91" i="1" s="1"/>
  <c r="AQ91" i="1" s="1"/>
  <c r="W103" i="1"/>
  <c r="AP103" i="1" s="1"/>
  <c r="AQ103" i="1" s="1"/>
  <c r="W153" i="1"/>
  <c r="AP153" i="1" s="1"/>
  <c r="AQ153" i="1" s="1"/>
  <c r="AP208" i="1"/>
  <c r="AQ208" i="1" s="1"/>
  <c r="AP233" i="1"/>
  <c r="AQ233" i="1" s="1"/>
  <c r="W300" i="1"/>
  <c r="AP300" i="1" s="1"/>
  <c r="AQ300" i="1" s="1"/>
  <c r="AP492" i="1"/>
  <c r="AQ492" i="1" s="1"/>
  <c r="W620" i="1"/>
  <c r="AP620" i="1" s="1"/>
  <c r="AQ620" i="1" s="1"/>
  <c r="W43" i="1"/>
  <c r="AP43" i="1" s="1"/>
  <c r="AQ43" i="1" s="1"/>
  <c r="W53" i="1"/>
  <c r="AP53" i="1" s="1"/>
  <c r="AQ53" i="1" s="1"/>
  <c r="AP118" i="1"/>
  <c r="AQ118" i="1" s="1"/>
  <c r="AP124" i="1"/>
  <c r="AQ124" i="1" s="1"/>
  <c r="W162" i="1"/>
  <c r="AP162" i="1" s="1"/>
  <c r="AQ162" i="1" s="1"/>
  <c r="AP238" i="1"/>
  <c r="AQ238" i="1" s="1"/>
  <c r="W638" i="1"/>
  <c r="AP638" i="1" s="1"/>
  <c r="AQ638" i="1" s="1"/>
  <c r="W121" i="1"/>
  <c r="AP121" i="1" s="1"/>
  <c r="AQ121" i="1" s="1"/>
  <c r="W175" i="1"/>
  <c r="AP175" i="1" s="1"/>
  <c r="AQ175" i="1" s="1"/>
  <c r="AP215" i="1"/>
  <c r="AQ215" i="1" s="1"/>
  <c r="W246" i="1"/>
  <c r="AP246" i="1" s="1"/>
  <c r="AQ246" i="1" s="1"/>
  <c r="W297" i="1"/>
  <c r="AP297" i="1" s="1"/>
  <c r="AQ297" i="1" s="1"/>
  <c r="AP302" i="1"/>
  <c r="AQ302" i="1" s="1"/>
  <c r="AP479" i="1"/>
  <c r="AQ479" i="1" s="1"/>
  <c r="W651" i="1"/>
  <c r="AP651" i="1" s="1"/>
  <c r="AQ651" i="1" s="1"/>
  <c r="W718" i="1"/>
  <c r="AP718" i="1" s="1"/>
  <c r="AQ718" i="1" s="1"/>
  <c r="W165" i="1"/>
  <c r="AP165" i="1" s="1"/>
  <c r="AQ165" i="1" s="1"/>
  <c r="AP606" i="1"/>
  <c r="AQ606" i="1" s="1"/>
  <c r="W661" i="1"/>
  <c r="AP661" i="1" s="1"/>
  <c r="AQ661" i="1" s="1"/>
  <c r="AP677" i="1"/>
  <c r="AQ677" i="1" s="1"/>
  <c r="W698" i="1"/>
  <c r="AP698" i="1" s="1"/>
  <c r="AQ698" i="1" s="1"/>
  <c r="W747" i="1"/>
  <c r="AP747" i="1" s="1"/>
  <c r="AQ747" i="1" s="1"/>
  <c r="AP805" i="1"/>
  <c r="AQ805" i="1" s="1"/>
  <c r="W160" i="1"/>
  <c r="AP160" i="1" s="1"/>
  <c r="AQ160" i="1" s="1"/>
  <c r="W429" i="1"/>
  <c r="AP429" i="1" s="1"/>
  <c r="AQ429" i="1" s="1"/>
  <c r="AP440" i="1"/>
  <c r="AQ440" i="1" s="1"/>
  <c r="AP478" i="1"/>
  <c r="AQ478" i="1" s="1"/>
  <c r="W59" i="1"/>
  <c r="AP59" i="1" s="1"/>
  <c r="AQ59" i="1" s="1"/>
  <c r="W120" i="1"/>
  <c r="AP120" i="1" s="1"/>
  <c r="AQ120" i="1" s="1"/>
  <c r="W149" i="1"/>
  <c r="AP149" i="1" s="1"/>
  <c r="AQ149" i="1" s="1"/>
  <c r="W159" i="1"/>
  <c r="AP159" i="1" s="1"/>
  <c r="AQ159" i="1" s="1"/>
  <c r="W48" i="1"/>
  <c r="AP48" i="1" s="1"/>
  <c r="AQ48" i="1" s="1"/>
  <c r="W54" i="1"/>
  <c r="AP54" i="1" s="1"/>
  <c r="AQ54" i="1" s="1"/>
  <c r="W114" i="1"/>
  <c r="AP114" i="1" s="1"/>
  <c r="AQ114" i="1" s="1"/>
  <c r="W154" i="1"/>
  <c r="AP154" i="1" s="1"/>
  <c r="AQ154" i="1" s="1"/>
  <c r="W174" i="1"/>
  <c r="AP174" i="1" s="1"/>
  <c r="AQ174" i="1" s="1"/>
  <c r="AP291" i="1"/>
  <c r="AQ291" i="1" s="1"/>
  <c r="AP434" i="1"/>
  <c r="AQ434" i="1" s="1"/>
  <c r="AP462" i="1"/>
  <c r="AQ462" i="1" s="1"/>
  <c r="W488" i="1"/>
  <c r="AP488" i="1" s="1"/>
  <c r="AQ488" i="1" s="1"/>
  <c r="W636" i="1"/>
  <c r="AP636" i="1" s="1"/>
  <c r="AQ636" i="1" s="1"/>
  <c r="W641" i="1"/>
  <c r="AP641" i="1" s="1"/>
  <c r="AQ641" i="1" s="1"/>
  <c r="W650" i="1"/>
  <c r="AP650" i="1" s="1"/>
  <c r="AQ650" i="1" s="1"/>
  <c r="AP712" i="1"/>
  <c r="AQ712" i="1" s="1"/>
  <c r="W746" i="1"/>
  <c r="AP746" i="1" s="1"/>
  <c r="AQ746" i="1" s="1"/>
  <c r="W47" i="1"/>
  <c r="AP47" i="1" s="1"/>
  <c r="AQ47" i="1" s="1"/>
  <c r="AP443" i="1"/>
  <c r="AQ443" i="1" s="1"/>
  <c r="W522" i="1"/>
  <c r="AP522" i="1" s="1"/>
  <c r="AQ522" i="1" s="1"/>
  <c r="W614" i="1"/>
  <c r="AP614" i="1" s="1"/>
  <c r="AQ614" i="1" s="1"/>
  <c r="W635" i="1"/>
  <c r="AP635" i="1" s="1"/>
  <c r="AQ635" i="1" s="1"/>
  <c r="W640" i="1"/>
  <c r="AP640" i="1" s="1"/>
  <c r="AQ640" i="1" s="1"/>
  <c r="W654" i="1"/>
  <c r="AP654" i="1" s="1"/>
  <c r="AQ654" i="1" s="1"/>
  <c r="W68" i="1"/>
  <c r="AP68" i="1" s="1"/>
  <c r="AQ68" i="1" s="1"/>
  <c r="AP885" i="1"/>
  <c r="AQ885" i="1" s="1"/>
  <c r="W161" i="1"/>
  <c r="AP161" i="1" s="1"/>
  <c r="AQ161" i="1" s="1"/>
  <c r="AP201" i="1"/>
  <c r="AQ201" i="1" s="1"/>
  <c r="W289" i="1"/>
  <c r="AP289" i="1" s="1"/>
  <c r="AQ289" i="1" s="1"/>
  <c r="W486" i="1"/>
  <c r="AP486" i="1" s="1"/>
  <c r="AQ486" i="1" s="1"/>
  <c r="AP491" i="1"/>
  <c r="AQ491" i="1" s="1"/>
  <c r="W770" i="1"/>
  <c r="AP770" i="1" s="1"/>
  <c r="AQ770" i="1" s="1"/>
  <c r="W794" i="1"/>
  <c r="AP794" i="1" s="1"/>
  <c r="AQ794" i="1" s="1"/>
  <c r="W52" i="1"/>
  <c r="AP52" i="1" s="1"/>
  <c r="AQ52" i="1" s="1"/>
  <c r="W90" i="1"/>
  <c r="AP90" i="1" s="1"/>
  <c r="AQ90" i="1" s="1"/>
  <c r="W232" i="1"/>
  <c r="AP232" i="1" s="1"/>
  <c r="AQ232" i="1" s="1"/>
  <c r="W46" i="1"/>
  <c r="AP46" i="1" s="1"/>
  <c r="AQ46" i="1" s="1"/>
  <c r="W362" i="1"/>
  <c r="AP362" i="1" s="1"/>
  <c r="AQ362" i="1" s="1"/>
  <c r="AP710" i="1"/>
  <c r="AQ710" i="1" s="1"/>
  <c r="AP884" i="1"/>
  <c r="AQ884" i="1" s="1"/>
  <c r="AE1027" i="1"/>
  <c r="V895" i="1"/>
  <c r="AB895" i="1" s="1"/>
  <c r="AD895" i="1" s="1"/>
  <c r="V826" i="1"/>
  <c r="AB826" i="1" s="1"/>
  <c r="AC826" i="1" s="1"/>
  <c r="AB952" i="1"/>
  <c r="V908" i="1"/>
  <c r="AB908" i="1" s="1"/>
  <c r="AC908" i="1" s="1"/>
  <c r="AE895" i="1"/>
  <c r="AB1032" i="1"/>
  <c r="AC1032" i="1" s="1"/>
  <c r="V968" i="1"/>
  <c r="AB968" i="1" s="1"/>
  <c r="AC968" i="1" s="1"/>
  <c r="V979" i="1"/>
  <c r="AB979" i="1" s="1"/>
  <c r="V983" i="1"/>
  <c r="AB983" i="1" s="1"/>
  <c r="AC983" i="1" s="1"/>
  <c r="AB1030" i="1"/>
  <c r="AC1030" i="1" s="1"/>
  <c r="V966" i="1"/>
  <c r="AB966" i="1" s="1"/>
  <c r="AC966" i="1" s="1"/>
  <c r="AB1034" i="1"/>
  <c r="AC1034" i="1" s="1"/>
  <c r="V970" i="1"/>
  <c r="AB970" i="1" s="1"/>
  <c r="AC970" i="1" s="1"/>
  <c r="V975" i="1"/>
  <c r="AB975" i="1" s="1"/>
  <c r="AC975" i="1" s="1"/>
  <c r="AB950" i="1"/>
  <c r="V907" i="1"/>
  <c r="AB907" i="1" s="1"/>
  <c r="AC907" i="1" s="1"/>
  <c r="AE907" i="1" s="1"/>
  <c r="AB949" i="1"/>
  <c r="V906" i="1"/>
  <c r="AB906" i="1" s="1"/>
  <c r="AC906" i="1" s="1"/>
  <c r="AB1033" i="1"/>
  <c r="AC1033" i="1" s="1"/>
  <c r="V969" i="1"/>
  <c r="AB969" i="1" s="1"/>
  <c r="AC969" i="1" s="1"/>
  <c r="V977" i="1"/>
  <c r="AB977" i="1" s="1"/>
  <c r="AC977" i="1" s="1"/>
  <c r="V980" i="1"/>
  <c r="AB980" i="1" s="1"/>
  <c r="AC980" i="1" s="1"/>
  <c r="V984" i="1"/>
  <c r="AB984" i="1" s="1"/>
  <c r="AC984" i="1" s="1"/>
  <c r="V974" i="1"/>
  <c r="AB974" i="1" s="1"/>
  <c r="V978" i="1"/>
  <c r="AB978" i="1" s="1"/>
  <c r="AC978" i="1" s="1"/>
  <c r="V981" i="1"/>
  <c r="AB981" i="1" s="1"/>
  <c r="V985" i="1"/>
  <c r="AB985" i="1" s="1"/>
  <c r="AC985" i="1" s="1"/>
  <c r="AB912" i="1"/>
  <c r="AC912" i="1" s="1"/>
  <c r="V875" i="1"/>
  <c r="AB875" i="1" s="1"/>
  <c r="V982" i="1"/>
  <c r="AB982" i="1" s="1"/>
  <c r="V986" i="1"/>
  <c r="AB986" i="1" s="1"/>
  <c r="AB890" i="1"/>
  <c r="AB1031" i="1"/>
  <c r="AC1031" i="1" s="1"/>
  <c r="V967" i="1"/>
  <c r="AB967" i="1" s="1"/>
  <c r="AC967" i="1" s="1"/>
  <c r="AB1035" i="1"/>
  <c r="V971" i="1"/>
  <c r="AB971" i="1" s="1"/>
  <c r="V976" i="1"/>
  <c r="AB976" i="1" s="1"/>
  <c r="AB957" i="1"/>
  <c r="AC957" i="1" s="1"/>
  <c r="AB1036" i="1"/>
  <c r="AB913" i="1"/>
  <c r="AC913" i="1" s="1"/>
  <c r="AB938" i="1"/>
  <c r="AB845" i="1"/>
  <c r="AC845" i="1" s="1"/>
  <c r="AB846" i="1"/>
  <c r="AB933" i="1"/>
  <c r="AE952" i="1"/>
  <c r="AB888" i="1"/>
  <c r="AC888" i="1" s="1"/>
  <c r="AB881" i="1"/>
  <c r="AE890" i="1"/>
  <c r="AE874" i="1"/>
  <c r="AE873" i="1"/>
  <c r="B1037" i="1"/>
  <c r="AB876" i="1"/>
  <c r="AB882" i="1"/>
  <c r="AC882" i="1" s="1"/>
  <c r="AB818" i="1"/>
  <c r="AB849" i="1"/>
  <c r="AC849" i="1" s="1"/>
  <c r="AB868" i="1"/>
  <c r="AE883" i="1"/>
  <c r="AB872" i="1"/>
  <c r="AC872" i="1" s="1"/>
  <c r="AB837" i="1"/>
  <c r="AB838" i="1"/>
  <c r="AB822" i="1"/>
  <c r="AC822" i="1" s="1"/>
  <c r="AB851" i="1"/>
  <c r="AC851" i="1" s="1"/>
  <c r="AB839" i="1"/>
  <c r="AB843" i="1"/>
  <c r="AE878" i="1"/>
  <c r="AE879" i="1"/>
  <c r="AE866" i="1"/>
  <c r="AE880" i="1"/>
  <c r="AB828" i="1"/>
  <c r="AD828" i="1" s="1"/>
  <c r="AB830" i="1"/>
  <c r="AB877" i="1"/>
  <c r="AC877" i="1" s="1"/>
  <c r="AB840" i="1"/>
  <c r="AC840" i="1" s="1"/>
  <c r="AB833" i="1"/>
  <c r="AB834" i="1"/>
  <c r="AC834" i="1" s="1"/>
  <c r="AB824" i="1"/>
  <c r="AC824" i="1" s="1"/>
  <c r="AB831" i="1"/>
  <c r="AB863" i="1"/>
  <c r="AB819" i="1"/>
  <c r="AB820" i="1"/>
  <c r="AB825" i="1"/>
  <c r="AB827" i="1"/>
  <c r="AC827" i="1" s="1"/>
  <c r="AB836" i="1"/>
  <c r="AB823" i="1"/>
  <c r="AB832" i="1"/>
  <c r="AB869" i="1"/>
  <c r="AB842" i="1"/>
  <c r="AC842" i="1" s="1"/>
  <c r="AB847" i="1"/>
  <c r="AB835" i="1"/>
  <c r="AB870" i="1"/>
  <c r="AC870" i="1" s="1"/>
  <c r="AN808" i="1"/>
  <c r="W808" i="1" s="1"/>
  <c r="AB844" i="1"/>
  <c r="AC844" i="1" s="1"/>
  <c r="AB848" i="1"/>
  <c r="AB853" i="1"/>
  <c r="AC853" i="1" s="1"/>
  <c r="AN574" i="1"/>
  <c r="W574" i="1" s="1"/>
  <c r="AS609" i="1"/>
  <c r="AN22" i="1"/>
  <c r="W22" i="1" s="1"/>
  <c r="AS657" i="1"/>
  <c r="AN658" i="1"/>
  <c r="W658" i="1" s="1"/>
  <c r="AN802" i="1"/>
  <c r="AN72" i="1"/>
  <c r="W72" i="1" s="1"/>
  <c r="AN96" i="1"/>
  <c r="W96" i="1" s="1"/>
  <c r="AS167" i="1"/>
  <c r="AB829" i="1"/>
  <c r="AN441" i="1"/>
  <c r="W441" i="1" s="1"/>
  <c r="AN801" i="1"/>
  <c r="W801" i="1" s="1"/>
  <c r="AS321" i="1"/>
  <c r="AN430" i="1"/>
  <c r="W430" i="1" s="1"/>
  <c r="AN622" i="1"/>
  <c r="W622" i="1" s="1"/>
  <c r="AS132" i="1"/>
  <c r="AS180" i="1"/>
  <c r="AS204" i="1"/>
  <c r="AS240" i="1"/>
  <c r="AS312" i="1"/>
  <c r="AS336" i="1"/>
  <c r="AS360" i="1"/>
  <c r="AS372" i="1"/>
  <c r="AN657" i="1"/>
  <c r="W657" i="1" s="1"/>
  <c r="AS57" i="1"/>
  <c r="AS249" i="1"/>
  <c r="AS441" i="1"/>
  <c r="AN694" i="1"/>
  <c r="AN33" i="1"/>
  <c r="W33" i="1" s="1"/>
  <c r="AN357" i="1"/>
  <c r="W357" i="1" s="1"/>
  <c r="AN465" i="1"/>
  <c r="AN729" i="1"/>
  <c r="W729" i="1" s="1"/>
  <c r="AN166" i="1"/>
  <c r="W166" i="1" s="1"/>
  <c r="AS24" i="1"/>
  <c r="AS72" i="1"/>
  <c r="AS96" i="1"/>
  <c r="AS309" i="1"/>
  <c r="AN310" i="1"/>
  <c r="W310" i="1" s="1"/>
  <c r="AS429" i="1"/>
  <c r="AB841" i="1"/>
  <c r="AN93" i="1"/>
  <c r="W93" i="1" s="1"/>
  <c r="AN309" i="1"/>
  <c r="W309" i="1" s="1"/>
  <c r="AN453" i="1"/>
  <c r="W453" i="1" s="1"/>
  <c r="AS141" i="1"/>
  <c r="AN214" i="1"/>
  <c r="W214" i="1" s="1"/>
  <c r="AB821" i="1"/>
  <c r="AC821" i="1" s="1"/>
  <c r="AS22" i="1"/>
  <c r="AN35" i="1"/>
  <c r="W35" i="1" s="1"/>
  <c r="AN179" i="1"/>
  <c r="W179" i="1" s="1"/>
  <c r="AS250" i="1"/>
  <c r="AN311" i="1"/>
  <c r="AS358" i="1"/>
  <c r="AS442" i="1"/>
  <c r="AS526" i="1"/>
  <c r="AN539" i="1"/>
  <c r="AN563" i="1"/>
  <c r="W563" i="1" s="1"/>
  <c r="AS622" i="1"/>
  <c r="AN623" i="1"/>
  <c r="AN683" i="1"/>
  <c r="W683" i="1" s="1"/>
  <c r="AB852" i="1"/>
  <c r="AC852" i="1" s="1"/>
  <c r="AB864" i="1"/>
  <c r="AS179" i="1"/>
  <c r="AN180" i="1"/>
  <c r="W180" i="1" s="1"/>
  <c r="AN192" i="1"/>
  <c r="AS215" i="1"/>
  <c r="AS239" i="1"/>
  <c r="AN240" i="1"/>
  <c r="W240" i="1" s="1"/>
  <c r="AN276" i="1"/>
  <c r="AS311" i="1"/>
  <c r="AS335" i="1"/>
  <c r="AS359" i="1"/>
  <c r="AN360" i="1"/>
  <c r="W360" i="1" s="1"/>
  <c r="AS371" i="1"/>
  <c r="AS455" i="1"/>
  <c r="AS503" i="1"/>
  <c r="AN504" i="1"/>
  <c r="W504" i="1" s="1"/>
  <c r="AN516" i="1"/>
  <c r="W516" i="1" s="1"/>
  <c r="AS527" i="1"/>
  <c r="AS539" i="1"/>
  <c r="AS563" i="1"/>
  <c r="AN612" i="1"/>
  <c r="W612" i="1" s="1"/>
  <c r="AN624" i="1"/>
  <c r="W624" i="1" s="1"/>
  <c r="AS647" i="1"/>
  <c r="AN768" i="1"/>
  <c r="AB867" i="1"/>
  <c r="AS504" i="1"/>
  <c r="AS516" i="1"/>
  <c r="AS528" i="1"/>
  <c r="AS540" i="1"/>
  <c r="AS552" i="1"/>
  <c r="AS612" i="1"/>
  <c r="AS624" i="1"/>
  <c r="AS648" i="1"/>
  <c r="AB850" i="1"/>
  <c r="AB871" i="1"/>
  <c r="AN361" i="1"/>
  <c r="AN613" i="1"/>
  <c r="W613" i="1" s="1"/>
  <c r="AN685" i="1"/>
  <c r="W685" i="1" s="1"/>
  <c r="AN781" i="1"/>
  <c r="AN205" i="1"/>
  <c r="AN457" i="1"/>
  <c r="W457" i="1" s="1"/>
  <c r="AS361" i="1"/>
  <c r="AN578" i="1"/>
  <c r="AS817" i="1"/>
  <c r="AS325" i="1"/>
  <c r="AS373" i="1"/>
  <c r="AS529" i="1"/>
  <c r="AS541" i="1"/>
  <c r="AS254" i="1"/>
  <c r="AS314" i="1"/>
  <c r="AS530" i="1"/>
  <c r="AN771" i="1"/>
  <c r="AS73" i="1"/>
  <c r="AS133" i="1"/>
  <c r="AS625" i="1"/>
  <c r="AS14" i="1"/>
  <c r="AS98" i="1"/>
  <c r="AS110" i="1"/>
  <c r="AS326" i="1"/>
  <c r="AS446" i="1"/>
  <c r="AN172" i="1"/>
  <c r="W172" i="1" s="1"/>
  <c r="AS183" i="1"/>
  <c r="AN304" i="1"/>
  <c r="W304" i="1" s="1"/>
  <c r="AN352" i="1"/>
  <c r="W352" i="1" s="1"/>
  <c r="AS375" i="1"/>
  <c r="AN109" i="1"/>
  <c r="W109" i="1" s="1"/>
  <c r="AN541" i="1"/>
  <c r="W541" i="1" s="1"/>
  <c r="AN62" i="1"/>
  <c r="W62" i="1" s="1"/>
  <c r="AS109" i="1"/>
  <c r="AS265" i="1"/>
  <c r="AS457" i="1"/>
  <c r="AS493" i="1"/>
  <c r="AS74" i="1"/>
  <c r="AS386" i="1"/>
  <c r="AS27" i="1"/>
  <c r="AS75" i="1"/>
  <c r="AS159" i="1"/>
  <c r="AN460" i="1"/>
  <c r="W460" i="1" s="1"/>
  <c r="AS627" i="1"/>
  <c r="AN688" i="1"/>
  <c r="W688" i="1" s="1"/>
  <c r="AN125" i="1"/>
  <c r="W125" i="1" s="1"/>
  <c r="AN305" i="1"/>
  <c r="W305" i="1" s="1"/>
  <c r="AS568" i="1"/>
  <c r="AS604" i="1"/>
  <c r="AN605" i="1"/>
  <c r="AS97" i="1"/>
  <c r="AS301" i="1"/>
  <c r="AS349" i="1"/>
  <c r="AS481" i="1"/>
  <c r="AS565" i="1"/>
  <c r="AN339" i="1"/>
  <c r="AN507" i="1"/>
  <c r="W507" i="1" s="1"/>
  <c r="AS135" i="1"/>
  <c r="AN196" i="1"/>
  <c r="W196" i="1" s="1"/>
  <c r="AS219" i="1"/>
  <c r="AS243" i="1"/>
  <c r="AS327" i="1"/>
  <c r="AS387" i="1"/>
  <c r="AS447" i="1"/>
  <c r="AN113" i="1"/>
  <c r="W113" i="1" s="1"/>
  <c r="AS160" i="1"/>
  <c r="AS280" i="1"/>
  <c r="AS316" i="1"/>
  <c r="AS352" i="1"/>
  <c r="AS628" i="1"/>
  <c r="AS652" i="1"/>
  <c r="AN653" i="1"/>
  <c r="W653" i="1" s="1"/>
  <c r="AN665" i="1"/>
  <c r="W665" i="1" s="1"/>
  <c r="AS5" i="1"/>
  <c r="AN78" i="1"/>
  <c r="W78" i="1" s="1"/>
  <c r="AS101" i="1"/>
  <c r="AN126" i="1"/>
  <c r="W126" i="1" s="1"/>
  <c r="AS137" i="1"/>
  <c r="AS257" i="1"/>
  <c r="AN270" i="1"/>
  <c r="W270" i="1" s="1"/>
  <c r="AS305" i="1"/>
  <c r="AS317" i="1"/>
  <c r="AN318" i="1"/>
  <c r="W318" i="1" s="1"/>
  <c r="AS377" i="1"/>
  <c r="AS437" i="1"/>
  <c r="AS449" i="1"/>
  <c r="AS509" i="1"/>
  <c r="AN510" i="1"/>
  <c r="W510" i="1" s="1"/>
  <c r="AS545" i="1"/>
  <c r="AN570" i="1"/>
  <c r="W570" i="1" s="1"/>
  <c r="AS605" i="1"/>
  <c r="AN702" i="1"/>
  <c r="W702" i="1" s="1"/>
  <c r="AS181" i="1"/>
  <c r="AS205" i="1"/>
  <c r="AN254" i="1"/>
  <c r="W254" i="1" s="1"/>
  <c r="AS517" i="1"/>
  <c r="AS62" i="1"/>
  <c r="AS134" i="1"/>
  <c r="AS242" i="1"/>
  <c r="AN243" i="1"/>
  <c r="W243" i="1" s="1"/>
  <c r="AS362" i="1"/>
  <c r="AS566" i="1"/>
  <c r="AS626" i="1"/>
  <c r="AS111" i="1"/>
  <c r="AN472" i="1"/>
  <c r="W472" i="1" s="1"/>
  <c r="AS507" i="1"/>
  <c r="AS519" i="1"/>
  <c r="AS567" i="1"/>
  <c r="AS172" i="1"/>
  <c r="AN173" i="1"/>
  <c r="W173" i="1" s="1"/>
  <c r="AN197" i="1"/>
  <c r="W197" i="1" s="1"/>
  <c r="AS220" i="1"/>
  <c r="AS364" i="1"/>
  <c r="AS472" i="1"/>
  <c r="AS484" i="1"/>
  <c r="AS496" i="1"/>
  <c r="AN497" i="1"/>
  <c r="W497" i="1" s="1"/>
  <c r="AN509" i="1"/>
  <c r="AS6" i="1"/>
  <c r="AS54" i="1"/>
  <c r="AS78" i="1"/>
  <c r="AS102" i="1"/>
  <c r="AS114" i="1"/>
  <c r="AS306" i="1"/>
  <c r="AS318" i="1"/>
  <c r="AN427" i="1"/>
  <c r="AS510" i="1"/>
  <c r="AS522" i="1"/>
  <c r="AS534" i="1"/>
  <c r="AS570" i="1"/>
  <c r="AS606" i="1"/>
  <c r="AN655" i="1"/>
  <c r="W655" i="1" s="1"/>
  <c r="AS738" i="1"/>
  <c r="AN763" i="1"/>
  <c r="AN775" i="1"/>
  <c r="AS858" i="1"/>
  <c r="AN26" i="1"/>
  <c r="AS313" i="1"/>
  <c r="AN446" i="1"/>
  <c r="W446" i="1" s="1"/>
  <c r="AS553" i="1"/>
  <c r="AS26" i="1"/>
  <c r="AS182" i="1"/>
  <c r="AS302" i="1"/>
  <c r="AS374" i="1"/>
  <c r="AS494" i="1"/>
  <c r="AN495" i="1"/>
  <c r="AN627" i="1"/>
  <c r="AS63" i="1"/>
  <c r="AS363" i="1"/>
  <c r="AS495" i="1"/>
  <c r="AN532" i="1"/>
  <c r="W532" i="1" s="1"/>
  <c r="AS555" i="1"/>
  <c r="AS28" i="1"/>
  <c r="AS112" i="1"/>
  <c r="AS136" i="1"/>
  <c r="AS304" i="1"/>
  <c r="AS436" i="1"/>
  <c r="AN437" i="1"/>
  <c r="W437" i="1" s="1"/>
  <c r="AS448" i="1"/>
  <c r="AN533" i="1"/>
  <c r="W533" i="1" s="1"/>
  <c r="AS556" i="1"/>
  <c r="AN20" i="1"/>
  <c r="W20" i="1" s="1"/>
  <c r="AS67" i="1"/>
  <c r="AS79" i="1"/>
  <c r="AS91" i="1"/>
  <c r="AN104" i="1"/>
  <c r="W104" i="1" s="1"/>
  <c r="AN152" i="1"/>
  <c r="W152" i="1" s="1"/>
  <c r="AN164" i="1"/>
  <c r="W164" i="1" s="1"/>
  <c r="AN200" i="1"/>
  <c r="AS259" i="1"/>
  <c r="AN296" i="1"/>
  <c r="W296" i="1" s="1"/>
  <c r="AS355" i="1"/>
  <c r="AS439" i="1"/>
  <c r="AS487" i="1"/>
  <c r="AN608" i="1"/>
  <c r="AS655" i="1"/>
  <c r="AN61" i="1"/>
  <c r="W61" i="1" s="1"/>
  <c r="AN337" i="1"/>
  <c r="W337" i="1" s="1"/>
  <c r="AN242" i="1"/>
  <c r="AN458" i="1"/>
  <c r="W458" i="1" s="1"/>
  <c r="AS4" i="1"/>
  <c r="AS350" i="1"/>
  <c r="AS542" i="1"/>
  <c r="AS650" i="1"/>
  <c r="AN256" i="1"/>
  <c r="W256" i="1" s="1"/>
  <c r="AS184" i="1"/>
  <c r="AS256" i="1"/>
  <c r="AS328" i="1"/>
  <c r="AS460" i="1"/>
  <c r="AN545" i="1"/>
  <c r="W545" i="1" s="1"/>
  <c r="AS270" i="1"/>
  <c r="AS56" i="1"/>
  <c r="AS80" i="1"/>
  <c r="AS104" i="1"/>
  <c r="AS164" i="1"/>
  <c r="AS296" i="1"/>
  <c r="AS344" i="1"/>
  <c r="AS548" i="1"/>
  <c r="AS560" i="1"/>
  <c r="AS608" i="1"/>
  <c r="AS656" i="1"/>
  <c r="AS131" i="1"/>
  <c r="AS228" i="1"/>
  <c r="AS237" i="1"/>
  <c r="AS381" i="1"/>
  <c r="AS492" i="1"/>
  <c r="AS502" i="1"/>
  <c r="AS512" i="1"/>
  <c r="AS533" i="1"/>
  <c r="AS561" i="1"/>
  <c r="AS726" i="1"/>
  <c r="AS89" i="1"/>
  <c r="AS716" i="1"/>
  <c r="AS34" i="1"/>
  <c r="AS333" i="1"/>
  <c r="AS430" i="1"/>
  <c r="AS451" i="1"/>
  <c r="AS461" i="1"/>
  <c r="AS582" i="1"/>
  <c r="AS8" i="1"/>
  <c r="AS69" i="1"/>
  <c r="AS144" i="1"/>
  <c r="AS211" i="1"/>
  <c r="AS248" i="1"/>
  <c r="AS324" i="1"/>
  <c r="AS334" i="1"/>
  <c r="AS343" i="1"/>
  <c r="AS546" i="1"/>
  <c r="AS593" i="1"/>
  <c r="AS681" i="1"/>
  <c r="AS693" i="1"/>
  <c r="AS705" i="1"/>
  <c r="AS25" i="1"/>
  <c r="AS90" i="1"/>
  <c r="AS293" i="1"/>
  <c r="AS125" i="1"/>
  <c r="AS155" i="1"/>
  <c r="AS185" i="1"/>
  <c r="AS203" i="1"/>
  <c r="AS212" i="1"/>
  <c r="AS221" i="1"/>
  <c r="AS269" i="1"/>
  <c r="AS353" i="1"/>
  <c r="AS392" i="1"/>
  <c r="AS485" i="1"/>
  <c r="AS525" i="1"/>
  <c r="AS535" i="1"/>
  <c r="AS583" i="1"/>
  <c r="AS594" i="1"/>
  <c r="AS617" i="1"/>
  <c r="AS750" i="1"/>
  <c r="AS60" i="1"/>
  <c r="AS115" i="1"/>
  <c r="AS165" i="1"/>
  <c r="AS175" i="1"/>
  <c r="AS365" i="1"/>
  <c r="AS475" i="1"/>
  <c r="AS547" i="1"/>
  <c r="AS13" i="1"/>
  <c r="AS143" i="1"/>
  <c r="AS18" i="1"/>
  <c r="AS81" i="1"/>
  <c r="AS10" i="1"/>
  <c r="AS19" i="1"/>
  <c r="AS30" i="1"/>
  <c r="AS82" i="1"/>
  <c r="AS93" i="1"/>
  <c r="AS126" i="1"/>
  <c r="AS166" i="1"/>
  <c r="AS186" i="1"/>
  <c r="AS213" i="1"/>
  <c r="AS222" i="1"/>
  <c r="AS260" i="1"/>
  <c r="AS295" i="1"/>
  <c r="AS307" i="1"/>
  <c r="AS445" i="1"/>
  <c r="AS464" i="1"/>
  <c r="AS476" i="1"/>
  <c r="AS497" i="1"/>
  <c r="AS537" i="1"/>
  <c r="AS584" i="1"/>
  <c r="AS595" i="1"/>
  <c r="AS32" i="1"/>
  <c r="AS173" i="1"/>
  <c r="AS9" i="1"/>
  <c r="AS29" i="1"/>
  <c r="AS105" i="1"/>
  <c r="AS117" i="1"/>
  <c r="AS176" i="1"/>
  <c r="AS261" i="1"/>
  <c r="AS271" i="1"/>
  <c r="AS287" i="1"/>
  <c r="AS319" i="1"/>
  <c r="AS404" i="1"/>
  <c r="AS415" i="1"/>
  <c r="AS425" i="1"/>
  <c r="AS454" i="1"/>
  <c r="AS465" i="1"/>
  <c r="AS477" i="1"/>
  <c r="AS498" i="1"/>
  <c r="AS538" i="1"/>
  <c r="AS557" i="1"/>
  <c r="AS576" i="1"/>
  <c r="AS585" i="1"/>
  <c r="AS596" i="1"/>
  <c r="AS649" i="1"/>
  <c r="AS258" i="1"/>
  <c r="AS20" i="1"/>
  <c r="AS31" i="1"/>
  <c r="AS41" i="1"/>
  <c r="AS94" i="1"/>
  <c r="AS106" i="1"/>
  <c r="AS127" i="1"/>
  <c r="AS138" i="1"/>
  <c r="AS168" i="1"/>
  <c r="AS177" i="1"/>
  <c r="AS187" i="1"/>
  <c r="AS197" i="1"/>
  <c r="AS252" i="1"/>
  <c r="AS288" i="1"/>
  <c r="AS308" i="1"/>
  <c r="AS368" i="1"/>
  <c r="AS378" i="1"/>
  <c r="AS405" i="1"/>
  <c r="AS621" i="1"/>
  <c r="AS765" i="1"/>
  <c r="AS7" i="1"/>
  <c r="AS17" i="1"/>
  <c r="AS21" i="1"/>
  <c r="AS139" i="1"/>
  <c r="AS178" i="1"/>
  <c r="AS224" i="1"/>
  <c r="AS263" i="1"/>
  <c r="AS272" i="1"/>
  <c r="AS330" i="1"/>
  <c r="AS347" i="1"/>
  <c r="AS357" i="1"/>
  <c r="AS395" i="1"/>
  <c r="AS417" i="1"/>
  <c r="AS427" i="1"/>
  <c r="AS478" i="1"/>
  <c r="AS489" i="1"/>
  <c r="AS549" i="1"/>
  <c r="AS558" i="1"/>
  <c r="AS569" i="1"/>
  <c r="AS610" i="1"/>
  <c r="AS631" i="1"/>
  <c r="AS65" i="1"/>
  <c r="AS119" i="1"/>
  <c r="AS128" i="1"/>
  <c r="AS151" i="1"/>
  <c r="AS188" i="1"/>
  <c r="AS198" i="1"/>
  <c r="AS245" i="1"/>
  <c r="AS282" i="1"/>
  <c r="AS310" i="1"/>
  <c r="AS331" i="1"/>
  <c r="AS348" i="1"/>
  <c r="AS369" i="1"/>
  <c r="AS379" i="1"/>
  <c r="AS396" i="1"/>
  <c r="AS406" i="1"/>
  <c r="AS438" i="1"/>
  <c r="AS468" i="1"/>
  <c r="AS559" i="1"/>
  <c r="AS611" i="1"/>
  <c r="AS623" i="1"/>
  <c r="AS129" i="1"/>
  <c r="AS140" i="1"/>
  <c r="AS161" i="1"/>
  <c r="AS199" i="1"/>
  <c r="AS226" i="1"/>
  <c r="AS235" i="1"/>
  <c r="AS273" i="1"/>
  <c r="AS370" i="1"/>
  <c r="AS389" i="1"/>
  <c r="AS407" i="1"/>
  <c r="AS501" i="1"/>
  <c r="AS521" i="1"/>
  <c r="AS550" i="1"/>
  <c r="AS600" i="1"/>
  <c r="AS632" i="1"/>
  <c r="AS23" i="1"/>
  <c r="AS44" i="1"/>
  <c r="AS77" i="1"/>
  <c r="AS130" i="1"/>
  <c r="AS152" i="1"/>
  <c r="AS189" i="1"/>
  <c r="AS209" i="1"/>
  <c r="AS283" i="1"/>
  <c r="AS322" i="1"/>
  <c r="AS332" i="1"/>
  <c r="AS341" i="1"/>
  <c r="AS390" i="1"/>
  <c r="AS419" i="1"/>
  <c r="AS450" i="1"/>
  <c r="AS511" i="1"/>
  <c r="AS572" i="1"/>
  <c r="AS581" i="1"/>
  <c r="AS692" i="1"/>
  <c r="AS704" i="1"/>
  <c r="AS798" i="1"/>
  <c r="AS672" i="1"/>
  <c r="AS706" i="1"/>
  <c r="AS695" i="1"/>
  <c r="AS707" i="1"/>
  <c r="AS751" i="1"/>
  <c r="AS799" i="1"/>
  <c r="AS684" i="1"/>
  <c r="AS791" i="1"/>
  <c r="AS653" i="1"/>
  <c r="AS728" i="1"/>
  <c r="AS633" i="1"/>
  <c r="AS642" i="1"/>
  <c r="AS761" i="1"/>
  <c r="AS809" i="1"/>
  <c r="AS643" i="1"/>
  <c r="AS607" i="1"/>
  <c r="AS644" i="1"/>
  <c r="AS678" i="1"/>
  <c r="AS645" i="1"/>
  <c r="AS689" i="1"/>
  <c r="AS701" i="1"/>
  <c r="AS713" i="1"/>
  <c r="AS860" i="1"/>
  <c r="AS281" i="1"/>
  <c r="AS320" i="1"/>
  <c r="AS329" i="1"/>
  <c r="AS337" i="1"/>
  <c r="AS345" i="1"/>
  <c r="AS354" i="1"/>
  <c r="AS366" i="1"/>
  <c r="AS383" i="1"/>
  <c r="AS402" i="1"/>
  <c r="AS413" i="1"/>
  <c r="AS473" i="1"/>
  <c r="AS523" i="1"/>
  <c r="AS571" i="1"/>
  <c r="AS646" i="1"/>
  <c r="AS668" i="1"/>
  <c r="AS679" i="1"/>
  <c r="AS714" i="1"/>
  <c r="AS740" i="1"/>
  <c r="AS755" i="1"/>
  <c r="AS367" i="1"/>
  <c r="AS384" i="1"/>
  <c r="AS393" i="1"/>
  <c r="AS403" i="1"/>
  <c r="AS414" i="1"/>
  <c r="AS453" i="1"/>
  <c r="AS463" i="1"/>
  <c r="AS474" i="1"/>
  <c r="AS513" i="1"/>
  <c r="AS658" i="1"/>
  <c r="AS669" i="1"/>
  <c r="AS691" i="1"/>
  <c r="AS715" i="1"/>
  <c r="AS725" i="1"/>
  <c r="AS764" i="1"/>
  <c r="AS781" i="1"/>
  <c r="AS794" i="1"/>
  <c r="AS699" i="1"/>
  <c r="AS733" i="1"/>
  <c r="AS758" i="1"/>
  <c r="AS795" i="1"/>
  <c r="AS433" i="1"/>
  <c r="AS123" i="1"/>
  <c r="AS206" i="1"/>
  <c r="AS194" i="1"/>
  <c r="AS266" i="1"/>
  <c r="AS399" i="1"/>
  <c r="AS662" i="1"/>
  <c r="AS51" i="1"/>
  <c r="AS64" i="1"/>
  <c r="AS148" i="1"/>
  <c r="AS86" i="1"/>
  <c r="AS100" i="1"/>
  <c r="AS267" i="1"/>
  <c r="AS338" i="1"/>
  <c r="AS351" i="1"/>
  <c r="AS388" i="1"/>
  <c r="AS422" i="1"/>
  <c r="AS769" i="1"/>
  <c r="AS37" i="1"/>
  <c r="AS195" i="1"/>
  <c r="AS412" i="1"/>
  <c r="AS458" i="1"/>
  <c r="AS531" i="1"/>
  <c r="AS589" i="1"/>
  <c r="AS675" i="1"/>
  <c r="AS700" i="1"/>
  <c r="AS469" i="1"/>
  <c r="AS792" i="1"/>
  <c r="AS83" i="1"/>
  <c r="AS124" i="1"/>
  <c r="AS169" i="1"/>
  <c r="AS602" i="1"/>
  <c r="AS782" i="1"/>
  <c r="AS230" i="1"/>
  <c r="AS423" i="1"/>
  <c r="AS696" i="1"/>
  <c r="AS241" i="1"/>
  <c r="AS268" i="1"/>
  <c r="AS747" i="1"/>
  <c r="AS49" i="1"/>
  <c r="AS207" i="1"/>
  <c r="AS217" i="1"/>
  <c r="AS382" i="1"/>
  <c r="AS409" i="1"/>
  <c r="AS420" i="1"/>
  <c r="AS520" i="1"/>
  <c r="AS574" i="1"/>
  <c r="AS673" i="1"/>
  <c r="AS676" i="1"/>
  <c r="AS712" i="1"/>
  <c r="AS720" i="1"/>
  <c r="AS730" i="1"/>
  <c r="AS805" i="1"/>
  <c r="AS400" i="1"/>
  <c r="AS577" i="1"/>
  <c r="AS614" i="1"/>
  <c r="AS723" i="1"/>
  <c r="AS253" i="1"/>
  <c r="AS156" i="1"/>
  <c r="AS277" i="1"/>
  <c r="AS424" i="1"/>
  <c r="AS470" i="1"/>
  <c r="AS551" i="1"/>
  <c r="AS590" i="1"/>
  <c r="AS686" i="1"/>
  <c r="AS39" i="1"/>
  <c r="AS88" i="1"/>
  <c r="AS95" i="1"/>
  <c r="AS146" i="1"/>
  <c r="AS227" i="1"/>
  <c r="AS346" i="1"/>
  <c r="AS398" i="1"/>
  <c r="AS471" i="1"/>
  <c r="AS615" i="1"/>
  <c r="AS635" i="1"/>
  <c r="AS651" i="1"/>
  <c r="AS664" i="1"/>
  <c r="AS697" i="1"/>
  <c r="AS708" i="1"/>
  <c r="AS731" i="1"/>
  <c r="AS735" i="1"/>
  <c r="AS748" i="1"/>
  <c r="AS767" i="1"/>
  <c r="AS142" i="1"/>
  <c r="AS264" i="1"/>
  <c r="AS274" i="1"/>
  <c r="AS286" i="1"/>
  <c r="AS289" i="1"/>
  <c r="AS428" i="1"/>
  <c r="AS435" i="1"/>
  <c r="AS452" i="1"/>
  <c r="AS456" i="1"/>
  <c r="AS482" i="1"/>
  <c r="AS514" i="1"/>
  <c r="AS524" i="1"/>
  <c r="AS586" i="1"/>
  <c r="AS599" i="1"/>
  <c r="AS603" i="1"/>
  <c r="AS680" i="1"/>
  <c r="AS709" i="1"/>
  <c r="AS721" i="1"/>
  <c r="AS806" i="1"/>
  <c r="AS87" i="1"/>
  <c r="AS385" i="1"/>
  <c r="AS408" i="1"/>
  <c r="AS506" i="1"/>
  <c r="AS724" i="1"/>
  <c r="AS170" i="1"/>
  <c r="AS410" i="1"/>
  <c r="AS579" i="1"/>
  <c r="AS587" i="1"/>
  <c r="AS591" i="1"/>
  <c r="AS754" i="1"/>
  <c r="AS532" i="1"/>
  <c r="AS685" i="1"/>
  <c r="AS711" i="1"/>
  <c r="AS84" i="1"/>
  <c r="AS421" i="1"/>
  <c r="AS432" i="1"/>
  <c r="AS575" i="1"/>
  <c r="AS807" i="1"/>
  <c r="AS15" i="1"/>
  <c r="AS99" i="1"/>
  <c r="AS193" i="1"/>
  <c r="AS275" i="1"/>
  <c r="AS279" i="1"/>
  <c r="AS394" i="1"/>
  <c r="AS411" i="1"/>
  <c r="AS467" i="1"/>
  <c r="AS490" i="1"/>
  <c r="AS508" i="1"/>
  <c r="AS588" i="1"/>
  <c r="AS592" i="1"/>
  <c r="AS636" i="1"/>
  <c r="AS671" i="1"/>
  <c r="AS674" i="1"/>
  <c r="AS688" i="1"/>
  <c r="AS698" i="1"/>
  <c r="AS886" i="1"/>
  <c r="AS554" i="1"/>
  <c r="AN381" i="1"/>
  <c r="C280" i="1"/>
  <c r="AS380" i="1"/>
  <c r="AS376" i="1"/>
  <c r="AN565" i="1"/>
  <c r="O861" i="1"/>
  <c r="P794" i="1"/>
  <c r="S794" i="1" s="1"/>
  <c r="O50" i="1"/>
  <c r="S737" i="1"/>
  <c r="AS444" i="1"/>
  <c r="O223" i="1"/>
  <c r="S631" i="1"/>
  <c r="C646" i="1"/>
  <c r="AN647" i="1"/>
  <c r="C54" i="1"/>
  <c r="P58" i="1"/>
  <c r="S58" i="1" s="1"/>
  <c r="O786" i="1"/>
  <c r="O73" i="1"/>
  <c r="C267" i="1"/>
  <c r="C271" i="1"/>
  <c r="C648" i="1"/>
  <c r="C739" i="1"/>
  <c r="O66" i="1"/>
  <c r="O268" i="1"/>
  <c r="C642" i="1"/>
  <c r="P482" i="1"/>
  <c r="C206" i="1"/>
  <c r="AN260" i="1"/>
  <c r="W260" i="1" s="1"/>
  <c r="C602" i="1"/>
  <c r="S811" i="1"/>
  <c r="P641" i="1"/>
  <c r="C645" i="1"/>
  <c r="S119" i="1"/>
  <c r="C137" i="1"/>
  <c r="P207" i="1"/>
  <c r="C468" i="1"/>
  <c r="AN475" i="1"/>
  <c r="W475" i="1" s="1"/>
  <c r="AS59" i="1"/>
  <c r="AN13" i="1"/>
  <c r="W13" i="1" s="1"/>
  <c r="C16" i="1"/>
  <c r="AN21" i="1"/>
  <c r="C138" i="1"/>
  <c r="C274" i="1"/>
  <c r="C363" i="1"/>
  <c r="AN375" i="1"/>
  <c r="W375" i="1" s="1"/>
  <c r="AO2" i="1"/>
  <c r="AN329" i="1"/>
  <c r="W329" i="1" s="1"/>
  <c r="AN95" i="1"/>
  <c r="W95" i="1" s="1"/>
  <c r="C450" i="1"/>
  <c r="S663" i="1"/>
  <c r="AS116" i="1"/>
  <c r="S328" i="1"/>
  <c r="C668" i="1"/>
  <c r="P671" i="1"/>
  <c r="S671" i="1" s="1"/>
  <c r="S739" i="1"/>
  <c r="AN759" i="1"/>
  <c r="O116" i="1"/>
  <c r="P392" i="1"/>
  <c r="S392" i="1" s="1"/>
  <c r="C564" i="1"/>
  <c r="S564" i="1"/>
  <c r="O609" i="1"/>
  <c r="AS58" i="1"/>
  <c r="O48" i="1"/>
  <c r="C28" i="1"/>
  <c r="P48" i="1"/>
  <c r="S48" i="1" s="1"/>
  <c r="AN140" i="1"/>
  <c r="O169" i="1"/>
  <c r="O217" i="1"/>
  <c r="O314" i="1"/>
  <c r="C404" i="1"/>
  <c r="C513" i="1"/>
  <c r="O561" i="1"/>
  <c r="C686" i="1"/>
  <c r="O749" i="1"/>
  <c r="AS772" i="1"/>
  <c r="P790" i="1"/>
  <c r="S790" i="1" s="1"/>
  <c r="O205" i="1"/>
  <c r="P225" i="1"/>
  <c r="S225" i="1" s="1"/>
  <c r="P330" i="1"/>
  <c r="S330" i="1" s="1"/>
  <c r="O70" i="1"/>
  <c r="AS103" i="1"/>
  <c r="C29" i="1"/>
  <c r="P41" i="1"/>
  <c r="S41" i="1" s="1"/>
  <c r="S142" i="1"/>
  <c r="S158" i="1"/>
  <c r="C202" i="1"/>
  <c r="S316" i="1"/>
  <c r="O386" i="1"/>
  <c r="C445" i="1"/>
  <c r="S460" i="1"/>
  <c r="AN764" i="1"/>
  <c r="W764" i="1" s="1"/>
  <c r="P799" i="1"/>
  <c r="S810" i="1"/>
  <c r="O650" i="1"/>
  <c r="AN697" i="1"/>
  <c r="O728" i="1"/>
  <c r="O764" i="1"/>
  <c r="S20" i="1"/>
  <c r="S461" i="1"/>
  <c r="S659" i="1"/>
  <c r="C721" i="1"/>
  <c r="AN761" i="1"/>
  <c r="W761" i="1" s="1"/>
  <c r="P64" i="1"/>
  <c r="P70" i="1"/>
  <c r="S70" i="1" s="1"/>
  <c r="P73" i="1"/>
  <c r="S73" i="1" s="1"/>
  <c r="O81" i="1"/>
  <c r="C85" i="1"/>
  <c r="AN85" i="1"/>
  <c r="W85" i="1" s="1"/>
  <c r="C99" i="1"/>
  <c r="C144" i="1"/>
  <c r="C162" i="1"/>
  <c r="C187" i="1"/>
  <c r="C211" i="1"/>
  <c r="P222" i="1"/>
  <c r="S296" i="1"/>
  <c r="P376" i="1"/>
  <c r="S376" i="1" s="1"/>
  <c r="P484" i="1"/>
  <c r="S484" i="1" s="1"/>
  <c r="C485" i="1"/>
  <c r="P672" i="1"/>
  <c r="O714" i="1"/>
  <c r="O724" i="1"/>
  <c r="AS777" i="1"/>
  <c r="C14" i="1"/>
  <c r="C65" i="1"/>
  <c r="O86" i="1"/>
  <c r="S91" i="1"/>
  <c r="C119" i="1"/>
  <c r="AN155" i="1"/>
  <c r="W155" i="1" s="1"/>
  <c r="C245" i="1"/>
  <c r="S313" i="1"/>
  <c r="C357" i="1"/>
  <c r="P379" i="1"/>
  <c r="O478" i="1"/>
  <c r="P697" i="1"/>
  <c r="P714" i="1"/>
  <c r="S714" i="1" s="1"/>
  <c r="C727" i="1"/>
  <c r="C108" i="1"/>
  <c r="O395" i="1"/>
  <c r="P478" i="1"/>
  <c r="S478" i="1" s="1"/>
  <c r="O495" i="1"/>
  <c r="S584" i="1"/>
  <c r="O631" i="1"/>
  <c r="C32" i="1"/>
  <c r="P74" i="1"/>
  <c r="S83" i="1"/>
  <c r="P87" i="1"/>
  <c r="S87" i="1" s="1"/>
  <c r="S92" i="1"/>
  <c r="S100" i="1"/>
  <c r="C117" i="1"/>
  <c r="C120" i="1"/>
  <c r="C272" i="1"/>
  <c r="C358" i="1"/>
  <c r="S438" i="1"/>
  <c r="S445" i="1"/>
  <c r="O449" i="1"/>
  <c r="O524" i="1"/>
  <c r="AN547" i="1"/>
  <c r="W547" i="1" s="1"/>
  <c r="AN556" i="1"/>
  <c r="W556" i="1" s="1"/>
  <c r="AN575" i="1"/>
  <c r="W575" i="1" s="1"/>
  <c r="AN580" i="1"/>
  <c r="W580" i="1" s="1"/>
  <c r="C643" i="1"/>
  <c r="P681" i="1"/>
  <c r="O756" i="1"/>
  <c r="O765" i="1"/>
  <c r="P767" i="1"/>
  <c r="S767" i="1" s="1"/>
  <c r="C712" i="1"/>
  <c r="C12" i="1"/>
  <c r="C52" i="1"/>
  <c r="S93" i="1"/>
  <c r="C106" i="1"/>
  <c r="C183" i="1"/>
  <c r="C268" i="1"/>
  <c r="S332" i="1"/>
  <c r="C356" i="1"/>
  <c r="S359" i="1"/>
  <c r="C371" i="1"/>
  <c r="C398" i="1"/>
  <c r="C492" i="1"/>
  <c r="S492" i="1"/>
  <c r="S513" i="1"/>
  <c r="AN534" i="1"/>
  <c r="W534" i="1" s="1"/>
  <c r="S678" i="1"/>
  <c r="C691" i="1"/>
  <c r="C703" i="1"/>
  <c r="C704" i="1"/>
  <c r="P768" i="1"/>
  <c r="AS776" i="1"/>
  <c r="C4" i="1"/>
  <c r="P12" i="1"/>
  <c r="S12" i="1" s="1"/>
  <c r="O41" i="1"/>
  <c r="P84" i="1"/>
  <c r="S84" i="1" s="1"/>
  <c r="C115" i="1"/>
  <c r="AN307" i="1"/>
  <c r="W307" i="1" s="1"/>
  <c r="AN317" i="1"/>
  <c r="W317" i="1" s="1"/>
  <c r="AN321" i="1"/>
  <c r="O332" i="1"/>
  <c r="C345" i="1"/>
  <c r="R381" i="1"/>
  <c r="S381" i="1" s="1"/>
  <c r="C382" i="1"/>
  <c r="P406" i="1"/>
  <c r="AN407" i="1"/>
  <c r="W407" i="1" s="1"/>
  <c r="C422" i="1"/>
  <c r="O450" i="1"/>
  <c r="AN518" i="1"/>
  <c r="W518" i="1" s="1"/>
  <c r="C528" i="1"/>
  <c r="P538" i="1"/>
  <c r="S538" i="1" s="1"/>
  <c r="P557" i="1"/>
  <c r="S557" i="1" s="1"/>
  <c r="C594" i="1"/>
  <c r="AN600" i="1"/>
  <c r="W600" i="1" s="1"/>
  <c r="AN626" i="1"/>
  <c r="W626" i="1" s="1"/>
  <c r="S682" i="1"/>
  <c r="C696" i="1"/>
  <c r="O700" i="1"/>
  <c r="C705" i="1"/>
  <c r="S792" i="1"/>
  <c r="O290" i="1"/>
  <c r="C6" i="1"/>
  <c r="C33" i="1"/>
  <c r="C53" i="1"/>
  <c r="P86" i="1"/>
  <c r="S86" i="1" s="1"/>
  <c r="P89" i="1"/>
  <c r="C181" i="1"/>
  <c r="AN181" i="1"/>
  <c r="W181" i="1" s="1"/>
  <c r="P189" i="1"/>
  <c r="S189" i="1" s="1"/>
  <c r="C234" i="1"/>
  <c r="C247" i="1"/>
  <c r="P310" i="1"/>
  <c r="S310" i="1" s="1"/>
  <c r="P345" i="1"/>
  <c r="S345" i="1" s="1"/>
  <c r="O369" i="1"/>
  <c r="P369" i="1"/>
  <c r="S369" i="1" s="1"/>
  <c r="C504" i="1"/>
  <c r="AN14" i="1"/>
  <c r="N2" i="1"/>
  <c r="P6" i="1"/>
  <c r="S6" i="1" s="1"/>
  <c r="P14" i="1"/>
  <c r="O27" i="1"/>
  <c r="Y2" i="1"/>
  <c r="C41" i="1"/>
  <c r="C48" i="1"/>
  <c r="P53" i="1"/>
  <c r="S53" i="1" s="1"/>
  <c r="C63" i="1"/>
  <c r="O94" i="1"/>
  <c r="O101" i="1"/>
  <c r="AS122" i="1"/>
  <c r="AN136" i="1"/>
  <c r="W136" i="1" s="1"/>
  <c r="O155" i="1"/>
  <c r="O181" i="1"/>
  <c r="C182" i="1"/>
  <c r="AN202" i="1"/>
  <c r="W202" i="1" s="1"/>
  <c r="C205" i="1"/>
  <c r="C212" i="1"/>
  <c r="P230" i="1"/>
  <c r="S230" i="1" s="1"/>
  <c r="O234" i="1"/>
  <c r="P243" i="1"/>
  <c r="S243" i="1" s="1"/>
  <c r="C248" i="1"/>
  <c r="AN252" i="1"/>
  <c r="W252" i="1" s="1"/>
  <c r="O261" i="1"/>
  <c r="S265" i="1"/>
  <c r="C266" i="1"/>
  <c r="S274" i="1"/>
  <c r="C275" i="1"/>
  <c r="P283" i="1"/>
  <c r="S283" i="1" s="1"/>
  <c r="AN284" i="1"/>
  <c r="P351" i="1"/>
  <c r="AN421" i="1"/>
  <c r="C421" i="1"/>
  <c r="P421" i="1"/>
  <c r="S421" i="1" s="1"/>
  <c r="O421" i="1"/>
  <c r="P441" i="1"/>
  <c r="S441" i="1" s="1"/>
  <c r="O441" i="1"/>
  <c r="P488" i="1"/>
  <c r="O488" i="1"/>
  <c r="P27" i="1"/>
  <c r="S27" i="1" s="1"/>
  <c r="P261" i="1"/>
  <c r="S261" i="1" s="1"/>
  <c r="AS488" i="1"/>
  <c r="C488" i="1"/>
  <c r="P546" i="1"/>
  <c r="O546" i="1"/>
  <c r="P599" i="1"/>
  <c r="S599" i="1" s="1"/>
  <c r="O599" i="1"/>
  <c r="C7" i="1"/>
  <c r="C143" i="1"/>
  <c r="C177" i="1"/>
  <c r="AN183" i="1"/>
  <c r="W183" i="1" s="1"/>
  <c r="C194" i="1"/>
  <c r="AN221" i="1"/>
  <c r="C227" i="1"/>
  <c r="AN231" i="1"/>
  <c r="W231" i="1" s="1"/>
  <c r="AN332" i="1"/>
  <c r="O404" i="1"/>
  <c r="P404" i="1"/>
  <c r="S404" i="1" s="1"/>
  <c r="C434" i="1"/>
  <c r="O574" i="1"/>
  <c r="AS85" i="1"/>
  <c r="O173" i="1"/>
  <c r="O626" i="1"/>
  <c r="O7" i="1"/>
  <c r="P7" i="1"/>
  <c r="S7" i="1" s="1"/>
  <c r="O15" i="1"/>
  <c r="C26" i="1"/>
  <c r="S42" i="1"/>
  <c r="P52" i="1"/>
  <c r="S52" i="1" s="1"/>
  <c r="C55" i="1"/>
  <c r="C68" i="1"/>
  <c r="P88" i="1"/>
  <c r="S88" i="1" s="1"/>
  <c r="P177" i="1"/>
  <c r="S177" i="1" s="1"/>
  <c r="O183" i="1"/>
  <c r="O238" i="1"/>
  <c r="O327" i="1"/>
  <c r="O400" i="1"/>
  <c r="O415" i="1"/>
  <c r="P415" i="1"/>
  <c r="S415" i="1" s="1"/>
  <c r="P431" i="1"/>
  <c r="AN680" i="1"/>
  <c r="W680" i="1" s="1"/>
  <c r="C680" i="1"/>
  <c r="AN8" i="1"/>
  <c r="O23" i="1"/>
  <c r="O26" i="1"/>
  <c r="S103" i="1"/>
  <c r="P125" i="1"/>
  <c r="C130" i="1"/>
  <c r="AN135" i="1"/>
  <c r="W135" i="1" s="1"/>
  <c r="O144" i="1"/>
  <c r="C168" i="1"/>
  <c r="S200" i="1"/>
  <c r="O232" i="1"/>
  <c r="S273" i="1"/>
  <c r="C279" i="1"/>
  <c r="S286" i="1"/>
  <c r="P289" i="1"/>
  <c r="S289" i="1" s="1"/>
  <c r="C324" i="1"/>
  <c r="O410" i="1"/>
  <c r="P427" i="1"/>
  <c r="S427" i="1" s="1"/>
  <c r="O427" i="1"/>
  <c r="S450" i="1"/>
  <c r="S458" i="1"/>
  <c r="C525" i="1"/>
  <c r="S543" i="1"/>
  <c r="S593" i="1"/>
  <c r="S763" i="1"/>
  <c r="C860" i="1"/>
  <c r="C455" i="1"/>
  <c r="C523" i="1"/>
  <c r="AN531" i="1"/>
  <c r="W531" i="1" s="1"/>
  <c r="AS543" i="1"/>
  <c r="C701" i="1"/>
  <c r="AN728" i="1"/>
  <c r="O763" i="1"/>
  <c r="P778" i="1"/>
  <c r="S778" i="1" s="1"/>
  <c r="AN792" i="1"/>
  <c r="W792" i="1" s="1"/>
  <c r="S554" i="1"/>
  <c r="O607" i="1"/>
  <c r="C613" i="1"/>
  <c r="O616" i="1"/>
  <c r="P669" i="1"/>
  <c r="AN754" i="1"/>
  <c r="W754" i="1" s="1"/>
  <c r="C787" i="1"/>
  <c r="C311" i="1"/>
  <c r="C312" i="1"/>
  <c r="S312" i="1"/>
  <c r="AN328" i="1"/>
  <c r="AN344" i="1"/>
  <c r="W344" i="1" s="1"/>
  <c r="C378" i="1"/>
  <c r="C462" i="1"/>
  <c r="S462" i="1"/>
  <c r="C466" i="1"/>
  <c r="O471" i="1"/>
  <c r="C483" i="1"/>
  <c r="S509" i="1"/>
  <c r="O523" i="1"/>
  <c r="C527" i="1"/>
  <c r="P540" i="1"/>
  <c r="S540" i="1" s="1"/>
  <c r="C601" i="1"/>
  <c r="P607" i="1"/>
  <c r="S607" i="1" s="1"/>
  <c r="C621" i="1"/>
  <c r="O624" i="1"/>
  <c r="P651" i="1"/>
  <c r="S654" i="1"/>
  <c r="AN707" i="1"/>
  <c r="W707" i="1" s="1"/>
  <c r="C748" i="1"/>
  <c r="C802" i="1"/>
  <c r="O462" i="1"/>
  <c r="AS466" i="1"/>
  <c r="O501" i="1"/>
  <c r="S675" i="1"/>
  <c r="AN288" i="1"/>
  <c r="W288" i="1" s="1"/>
  <c r="P301" i="1"/>
  <c r="S301" i="1" s="1"/>
  <c r="P367" i="1"/>
  <c r="C373" i="1"/>
  <c r="O381" i="1"/>
  <c r="C384" i="1"/>
  <c r="O396" i="1"/>
  <c r="O399" i="1"/>
  <c r="P419" i="1"/>
  <c r="P432" i="1"/>
  <c r="P436" i="1"/>
  <c r="S436" i="1" s="1"/>
  <c r="AN452" i="1"/>
  <c r="W452" i="1" s="1"/>
  <c r="AN467" i="1"/>
  <c r="W467" i="1" s="1"/>
  <c r="C477" i="1"/>
  <c r="C487" i="1"/>
  <c r="O675" i="1"/>
  <c r="O695" i="1"/>
  <c r="C700" i="1"/>
  <c r="P702" i="1"/>
  <c r="S702" i="1" s="1"/>
  <c r="O719" i="1"/>
  <c r="P733" i="1"/>
  <c r="O739" i="1"/>
  <c r="S752" i="1"/>
  <c r="C755" i="1"/>
  <c r="P759" i="1"/>
  <c r="S759" i="1" s="1"/>
  <c r="P785" i="1"/>
  <c r="S785" i="1" s="1"/>
  <c r="AN862" i="1"/>
  <c r="C282" i="1"/>
  <c r="S295" i="1"/>
  <c r="C326" i="1"/>
  <c r="C331" i="1"/>
  <c r="C332" i="1"/>
  <c r="P363" i="1"/>
  <c r="AN370" i="1"/>
  <c r="O391" i="1"/>
  <c r="P394" i="1"/>
  <c r="P396" i="1"/>
  <c r="S396" i="1" s="1"/>
  <c r="P402" i="1"/>
  <c r="O412" i="1"/>
  <c r="AN413" i="1"/>
  <c r="W413" i="1" s="1"/>
  <c r="P457" i="1"/>
  <c r="S457" i="1" s="1"/>
  <c r="C463" i="1"/>
  <c r="C473" i="1"/>
  <c r="AN511" i="1"/>
  <c r="W511" i="1" s="1"/>
  <c r="P528" i="1"/>
  <c r="AN553" i="1"/>
  <c r="W553" i="1" s="1"/>
  <c r="S568" i="1"/>
  <c r="P588" i="1"/>
  <c r="P592" i="1"/>
  <c r="C625" i="1"/>
  <c r="C652" i="1"/>
  <c r="O685" i="1"/>
  <c r="AN715" i="1"/>
  <c r="W715" i="1" s="1"/>
  <c r="C720" i="1"/>
  <c r="S724" i="1"/>
  <c r="P750" i="1"/>
  <c r="S750" i="1" s="1"/>
  <c r="C768" i="1"/>
  <c r="P776" i="1"/>
  <c r="P783" i="1"/>
  <c r="C786" i="1"/>
  <c r="P793" i="1"/>
  <c r="S793" i="1" s="1"/>
  <c r="P800" i="1"/>
  <c r="AN18" i="1"/>
  <c r="C21" i="1"/>
  <c r="C50" i="1"/>
  <c r="O68" i="1"/>
  <c r="C82" i="1"/>
  <c r="AN184" i="1"/>
  <c r="W184" i="1" s="1"/>
  <c r="P187" i="1"/>
  <c r="C203" i="1"/>
  <c r="O245" i="1"/>
  <c r="P263" i="1"/>
  <c r="O270" i="1"/>
  <c r="O315" i="1"/>
  <c r="AN138" i="1"/>
  <c r="W138" i="1" s="1"/>
  <c r="C270" i="1"/>
  <c r="AS315" i="1"/>
  <c r="C315" i="1"/>
  <c r="P325" i="1"/>
  <c r="S325" i="1" s="1"/>
  <c r="P343" i="1"/>
  <c r="S343" i="1" s="1"/>
  <c r="O375" i="1"/>
  <c r="AN445" i="1"/>
  <c r="W445" i="1" s="1"/>
  <c r="AN27" i="1"/>
  <c r="W27" i="1" s="1"/>
  <c r="C69" i="1"/>
  <c r="C75" i="1"/>
  <c r="C84" i="1"/>
  <c r="C90" i="1"/>
  <c r="C101" i="1"/>
  <c r="C114" i="1"/>
  <c r="C123" i="1"/>
  <c r="AN131" i="1"/>
  <c r="W131" i="1" s="1"/>
  <c r="C152" i="1"/>
  <c r="AN185" i="1"/>
  <c r="C186" i="1"/>
  <c r="C207" i="1"/>
  <c r="AN220" i="1"/>
  <c r="C265" i="1"/>
  <c r="AN265" i="1"/>
  <c r="O271" i="1"/>
  <c r="P271" i="1"/>
  <c r="S271" i="1" s="1"/>
  <c r="C375" i="1"/>
  <c r="P378" i="1"/>
  <c r="S378" i="1" s="1"/>
  <c r="O378" i="1"/>
  <c r="O440" i="1"/>
  <c r="P440" i="1"/>
  <c r="S440" i="1" s="1"/>
  <c r="C5" i="1"/>
  <c r="P29" i="1"/>
  <c r="O60" i="1"/>
  <c r="P67" i="1"/>
  <c r="O150" i="1"/>
  <c r="O164" i="1"/>
  <c r="O171" i="1"/>
  <c r="O176" i="1"/>
  <c r="O282" i="1"/>
  <c r="P282" i="1"/>
  <c r="S282" i="1" s="1"/>
  <c r="P291" i="1"/>
  <c r="S291" i="1" s="1"/>
  <c r="O291" i="1"/>
  <c r="O325" i="1"/>
  <c r="P353" i="1"/>
  <c r="S353" i="1" s="1"/>
  <c r="AN6" i="1"/>
  <c r="W6" i="1" s="1"/>
  <c r="AS12" i="1"/>
  <c r="AN16" i="1"/>
  <c r="C30" i="1"/>
  <c r="C45" i="1"/>
  <c r="P51" i="1"/>
  <c r="S51" i="1" s="1"/>
  <c r="AS55" i="1"/>
  <c r="C58" i="1"/>
  <c r="P60" i="1"/>
  <c r="S60" i="1" s="1"/>
  <c r="AN63" i="1"/>
  <c r="W63" i="1" s="1"/>
  <c r="P65" i="1"/>
  <c r="P69" i="1"/>
  <c r="S69" i="1" s="1"/>
  <c r="P71" i="1"/>
  <c r="S71" i="1" s="1"/>
  <c r="C76" i="1"/>
  <c r="S76" i="1"/>
  <c r="C77" i="1"/>
  <c r="AN80" i="1"/>
  <c r="W80" i="1" s="1"/>
  <c r="O83" i="1"/>
  <c r="C87" i="1"/>
  <c r="P94" i="1"/>
  <c r="S94" i="1" s="1"/>
  <c r="O96" i="1"/>
  <c r="AN106" i="1"/>
  <c r="W106" i="1" s="1"/>
  <c r="O111" i="1"/>
  <c r="O120" i="1"/>
  <c r="O123" i="1"/>
  <c r="AN132" i="1"/>
  <c r="W132" i="1" s="1"/>
  <c r="P138" i="1"/>
  <c r="S138" i="1" s="1"/>
  <c r="O161" i="1"/>
  <c r="S167" i="1"/>
  <c r="S170" i="1"/>
  <c r="P171" i="1"/>
  <c r="S171" i="1" s="1"/>
  <c r="P176" i="1"/>
  <c r="S176" i="1" s="1"/>
  <c r="R181" i="1"/>
  <c r="O186" i="1"/>
  <c r="AN188" i="1"/>
  <c r="W188" i="1" s="1"/>
  <c r="S190" i="1"/>
  <c r="O202" i="1"/>
  <c r="O213" i="1"/>
  <c r="P216" i="1"/>
  <c r="AS234" i="1"/>
  <c r="O241" i="1"/>
  <c r="O247" i="1"/>
  <c r="C262" i="1"/>
  <c r="O265" i="1"/>
  <c r="P268" i="1"/>
  <c r="S268" i="1" s="1"/>
  <c r="C34" i="1"/>
  <c r="P49" i="1"/>
  <c r="S49" i="1" s="1"/>
  <c r="AS52" i="1"/>
  <c r="O80" i="1"/>
  <c r="C97" i="1"/>
  <c r="P99" i="1"/>
  <c r="S99" i="1" s="1"/>
  <c r="O106" i="1"/>
  <c r="C112" i="1"/>
  <c r="O132" i="1"/>
  <c r="C133" i="1"/>
  <c r="C136" i="1"/>
  <c r="S148" i="1"/>
  <c r="O170" i="1"/>
  <c r="C180" i="1"/>
  <c r="P186" i="1"/>
  <c r="S186" i="1" s="1"/>
  <c r="C189" i="1"/>
  <c r="C191" i="1"/>
  <c r="C195" i="1"/>
  <c r="O204" i="1"/>
  <c r="C210" i="1"/>
  <c r="O218" i="1"/>
  <c r="AN226" i="1"/>
  <c r="O228" i="1"/>
  <c r="AN229" i="1"/>
  <c r="P241" i="1"/>
  <c r="S241" i="1" s="1"/>
  <c r="AN257" i="1"/>
  <c r="W257" i="1" s="1"/>
  <c r="C257" i="1"/>
  <c r="O272" i="1"/>
  <c r="O16" i="1"/>
  <c r="O11" i="1"/>
  <c r="P11" i="1"/>
  <c r="C102" i="1"/>
  <c r="O109" i="1"/>
  <c r="C124" i="1"/>
  <c r="O130" i="1"/>
  <c r="O148" i="1"/>
  <c r="P151" i="1"/>
  <c r="S151" i="1" s="1"/>
  <c r="O178" i="1"/>
  <c r="P180" i="1"/>
  <c r="O210" i="1"/>
  <c r="P214" i="1"/>
  <c r="S214" i="1" s="1"/>
  <c r="P218" i="1"/>
  <c r="S218" i="1" s="1"/>
  <c r="AS223" i="1"/>
  <c r="O368" i="1"/>
  <c r="C10" i="1"/>
  <c r="P26" i="1"/>
  <c r="S26" i="1" s="1"/>
  <c r="AN31" i="1"/>
  <c r="W31" i="1" s="1"/>
  <c r="P34" i="1"/>
  <c r="S34" i="1" s="1"/>
  <c r="C38" i="1"/>
  <c r="S61" i="1"/>
  <c r="S78" i="1"/>
  <c r="C125" i="1"/>
  <c r="AN163" i="1"/>
  <c r="W163" i="1" s="1"/>
  <c r="O175" i="1"/>
  <c r="AS202" i="1"/>
  <c r="C230" i="1"/>
  <c r="O235" i="1"/>
  <c r="C255" i="1"/>
  <c r="O255" i="1"/>
  <c r="P255" i="1"/>
  <c r="S255" i="1" s="1"/>
  <c r="AN417" i="1"/>
  <c r="W417" i="1" s="1"/>
  <c r="AN468" i="1"/>
  <c r="W468" i="1" s="1"/>
  <c r="P477" i="1"/>
  <c r="S477" i="1" s="1"/>
  <c r="O487" i="1"/>
  <c r="O490" i="1"/>
  <c r="C510" i="1"/>
  <c r="O567" i="1"/>
  <c r="AN663" i="1"/>
  <c r="W663" i="1" s="1"/>
  <c r="C663" i="1"/>
  <c r="AN672" i="1"/>
  <c r="C672" i="1"/>
  <c r="AN689" i="1"/>
  <c r="O787" i="1"/>
  <c r="O885" i="1"/>
  <c r="AN258" i="1"/>
  <c r="W258" i="1" s="1"/>
  <c r="AN268" i="1"/>
  <c r="W268" i="1" s="1"/>
  <c r="AN274" i="1"/>
  <c r="C277" i="1"/>
  <c r="C287" i="1"/>
  <c r="O289" i="1"/>
  <c r="AS291" i="1"/>
  <c r="P306" i="1"/>
  <c r="S306" i="1" s="1"/>
  <c r="C322" i="1"/>
  <c r="O330" i="1"/>
  <c r="C333" i="1"/>
  <c r="AN354" i="1"/>
  <c r="W354" i="1" s="1"/>
  <c r="S370" i="1"/>
  <c r="AN391" i="1"/>
  <c r="AN393" i="1"/>
  <c r="W393" i="1" s="1"/>
  <c r="C406" i="1"/>
  <c r="C408" i="1"/>
  <c r="P417" i="1"/>
  <c r="O430" i="1"/>
  <c r="AS434" i="1"/>
  <c r="O444" i="1"/>
  <c r="S463" i="1"/>
  <c r="C472" i="1"/>
  <c r="S472" i="1"/>
  <c r="P487" i="1"/>
  <c r="S487" i="1" s="1"/>
  <c r="P510" i="1"/>
  <c r="S514" i="1"/>
  <c r="O533" i="1"/>
  <c r="P533" i="1"/>
  <c r="S533" i="1" s="1"/>
  <c r="O544" i="1"/>
  <c r="AN550" i="1"/>
  <c r="W550" i="1" s="1"/>
  <c r="P574" i="1"/>
  <c r="S574" i="1" s="1"/>
  <c r="C608" i="1"/>
  <c r="C620" i="1"/>
  <c r="S620" i="1"/>
  <c r="P640" i="1"/>
  <c r="S640" i="1" s="1"/>
  <c r="O640" i="1"/>
  <c r="AN316" i="1"/>
  <c r="W316" i="1" s="1"/>
  <c r="C319" i="1"/>
  <c r="C350" i="1"/>
  <c r="C355" i="1"/>
  <c r="AN374" i="1"/>
  <c r="W374" i="1" s="1"/>
  <c r="AN386" i="1"/>
  <c r="W386" i="1" s="1"/>
  <c r="AN394" i="1"/>
  <c r="W394" i="1" s="1"/>
  <c r="O451" i="1"/>
  <c r="C457" i="1"/>
  <c r="O463" i="1"/>
  <c r="O466" i="1"/>
  <c r="C476" i="1"/>
  <c r="S476" i="1"/>
  <c r="C478" i="1"/>
  <c r="AN483" i="1"/>
  <c r="W483" i="1" s="1"/>
  <c r="C489" i="1"/>
  <c r="C495" i="1"/>
  <c r="C497" i="1"/>
  <c r="C500" i="1"/>
  <c r="S519" i="1"/>
  <c r="C537" i="1"/>
  <c r="S544" i="1"/>
  <c r="P550" i="1"/>
  <c r="C551" i="1"/>
  <c r="AN551" i="1"/>
  <c r="W551" i="1" s="1"/>
  <c r="O553" i="1"/>
  <c r="AN564" i="1"/>
  <c r="W564" i="1" s="1"/>
  <c r="P567" i="1"/>
  <c r="S567" i="1" s="1"/>
  <c r="O575" i="1"/>
  <c r="P575" i="1"/>
  <c r="S575" i="1" s="1"/>
  <c r="O581" i="1"/>
  <c r="C617" i="1"/>
  <c r="P623" i="1"/>
  <c r="S623" i="1" s="1"/>
  <c r="C629" i="1"/>
  <c r="P662" i="1"/>
  <c r="S662" i="1" s="1"/>
  <c r="O662" i="1"/>
  <c r="P667" i="1"/>
  <c r="S667" i="1" s="1"/>
  <c r="O667" i="1"/>
  <c r="O683" i="1"/>
  <c r="P686" i="1"/>
  <c r="S686" i="1" s="1"/>
  <c r="O686" i="1"/>
  <c r="P690" i="1"/>
  <c r="O690" i="1"/>
  <c r="O856" i="1"/>
  <c r="P856" i="1"/>
  <c r="S856" i="1" s="1"/>
  <c r="P451" i="1"/>
  <c r="S451" i="1" s="1"/>
  <c r="P466" i="1"/>
  <c r="S466" i="1" s="1"/>
  <c r="AN476" i="1"/>
  <c r="P525" i="1"/>
  <c r="S525" i="1" s="1"/>
  <c r="O525" i="1"/>
  <c r="O648" i="1"/>
  <c r="P648" i="1"/>
  <c r="P722" i="1"/>
  <c r="S722" i="1" s="1"/>
  <c r="O722" i="1"/>
  <c r="O288" i="1"/>
  <c r="P357" i="1"/>
  <c r="S357" i="1" s="1"/>
  <c r="AN363" i="1"/>
  <c r="W363" i="1" s="1"/>
  <c r="C425" i="1"/>
  <c r="S434" i="1"/>
  <c r="S443" i="1"/>
  <c r="C446" i="1"/>
  <c r="O476" i="1"/>
  <c r="S481" i="1"/>
  <c r="O502" i="1"/>
  <c r="P523" i="1"/>
  <c r="S523" i="1" s="1"/>
  <c r="P531" i="1"/>
  <c r="O578" i="1"/>
  <c r="V578" i="1" s="1"/>
  <c r="O603" i="1"/>
  <c r="P603" i="1"/>
  <c r="S603" i="1" s="1"/>
  <c r="AN607" i="1"/>
  <c r="W607" i="1" s="1"/>
  <c r="C607" i="1"/>
  <c r="C632" i="1"/>
  <c r="AN632" i="1"/>
  <c r="W632" i="1" s="1"/>
  <c r="P632" i="1"/>
  <c r="S632" i="1" s="1"/>
  <c r="O632" i="1"/>
  <c r="AN643" i="1"/>
  <c r="AN648" i="1"/>
  <c r="W648" i="1" s="1"/>
  <c r="O659" i="1"/>
  <c r="O665" i="1"/>
  <c r="C722" i="1"/>
  <c r="AS722" i="1"/>
  <c r="O741" i="1"/>
  <c r="P741" i="1"/>
  <c r="S741" i="1" s="1"/>
  <c r="S749" i="1"/>
  <c r="C269" i="1"/>
  <c r="P288" i="1"/>
  <c r="P290" i="1"/>
  <c r="S290" i="1" s="1"/>
  <c r="C298" i="1"/>
  <c r="S304" i="1"/>
  <c r="C308" i="1"/>
  <c r="AN335" i="1"/>
  <c r="W335" i="1" s="1"/>
  <c r="O345" i="1"/>
  <c r="AN351" i="1"/>
  <c r="W351" i="1" s="1"/>
  <c r="AN379" i="1"/>
  <c r="AN383" i="1"/>
  <c r="W383" i="1" s="1"/>
  <c r="C390" i="1"/>
  <c r="P399" i="1"/>
  <c r="S399" i="1" s="1"/>
  <c r="C401" i="1"/>
  <c r="C410" i="1"/>
  <c r="C414" i="1"/>
  <c r="P425" i="1"/>
  <c r="S425" i="1" s="1"/>
  <c r="O434" i="1"/>
  <c r="C441" i="1"/>
  <c r="O443" i="1"/>
  <c r="P446" i="1"/>
  <c r="AN450" i="1"/>
  <c r="W450" i="1" s="1"/>
  <c r="P455" i="1"/>
  <c r="AN455" i="1"/>
  <c r="S471" i="1"/>
  <c r="P498" i="1"/>
  <c r="S498" i="1" s="1"/>
  <c r="C521" i="1"/>
  <c r="O521" i="1"/>
  <c r="C535" i="1"/>
  <c r="O538" i="1"/>
  <c r="P542" i="1"/>
  <c r="S542" i="1" s="1"/>
  <c r="C552" i="1"/>
  <c r="AN562" i="1"/>
  <c r="O565" i="1"/>
  <c r="C578" i="1"/>
  <c r="S578" i="1"/>
  <c r="AS641" i="1"/>
  <c r="S665" i="1"/>
  <c r="O688" i="1"/>
  <c r="P715" i="1"/>
  <c r="S715" i="1" s="1"/>
  <c r="O715" i="1"/>
  <c r="C789" i="1"/>
  <c r="AN789" i="1"/>
  <c r="C803" i="1"/>
  <c r="O555" i="1"/>
  <c r="O594" i="1"/>
  <c r="P627" i="1"/>
  <c r="S627" i="1" s="1"/>
  <c r="O627" i="1"/>
  <c r="AN682" i="1"/>
  <c r="C682" i="1"/>
  <c r="P754" i="1"/>
  <c r="S754" i="1" s="1"/>
  <c r="O754" i="1"/>
  <c r="C250" i="1"/>
  <c r="O283" i="1"/>
  <c r="C299" i="1"/>
  <c r="P314" i="1"/>
  <c r="S314" i="1" s="1"/>
  <c r="P318" i="1"/>
  <c r="C325" i="1"/>
  <c r="C336" i="1"/>
  <c r="AN349" i="1"/>
  <c r="W349" i="1" s="1"/>
  <c r="C364" i="1"/>
  <c r="AN411" i="1"/>
  <c r="W411" i="1" s="1"/>
  <c r="AN415" i="1"/>
  <c r="C423" i="1"/>
  <c r="C426" i="1"/>
  <c r="C444" i="1"/>
  <c r="AN456" i="1"/>
  <c r="S502" i="1"/>
  <c r="C529" i="1"/>
  <c r="AN536" i="1"/>
  <c r="W536" i="1" s="1"/>
  <c r="C536" i="1"/>
  <c r="S555" i="1"/>
  <c r="C560" i="1"/>
  <c r="P560" i="1"/>
  <c r="O560" i="1"/>
  <c r="O563" i="1"/>
  <c r="P563" i="1"/>
  <c r="S563" i="1" s="1"/>
  <c r="C569" i="1"/>
  <c r="S569" i="1"/>
  <c r="P577" i="1"/>
  <c r="S577" i="1" s="1"/>
  <c r="O577" i="1"/>
  <c r="P587" i="1"/>
  <c r="C590" i="1"/>
  <c r="O590" i="1"/>
  <c r="P590" i="1"/>
  <c r="S590" i="1" s="1"/>
  <c r="O636" i="1"/>
  <c r="C639" i="1"/>
  <c r="AS812" i="1"/>
  <c r="S726" i="1"/>
  <c r="P756" i="1"/>
  <c r="S756" i="1" s="1"/>
  <c r="R764" i="1"/>
  <c r="S764" i="1" s="1"/>
  <c r="P765" i="1"/>
  <c r="S765" i="1" s="1"/>
  <c r="C799" i="1"/>
  <c r="AS814" i="1"/>
  <c r="C579" i="1"/>
  <c r="C582" i="1"/>
  <c r="S600" i="1"/>
  <c r="O680" i="1"/>
  <c r="C692" i="1"/>
  <c r="P704" i="1"/>
  <c r="S704" i="1" s="1"/>
  <c r="O708" i="1"/>
  <c r="O721" i="1"/>
  <c r="AN727" i="1"/>
  <c r="W727" i="1" s="1"/>
  <c r="AN730" i="1"/>
  <c r="AN750" i="1"/>
  <c r="W750" i="1" s="1"/>
  <c r="O751" i="1"/>
  <c r="P755" i="1"/>
  <c r="S755" i="1" s="1"/>
  <c r="C763" i="1"/>
  <c r="AS773" i="1"/>
  <c r="AN784" i="1"/>
  <c r="W784" i="1" s="1"/>
  <c r="P791" i="1"/>
  <c r="S791" i="1" s="1"/>
  <c r="P817" i="1"/>
  <c r="AS857" i="1"/>
  <c r="O862" i="1"/>
  <c r="AS536" i="1"/>
  <c r="C556" i="1"/>
  <c r="AN674" i="1"/>
  <c r="W674" i="1" s="1"/>
  <c r="AN721" i="1"/>
  <c r="AS741" i="1"/>
  <c r="C747" i="1"/>
  <c r="S758" i="1"/>
  <c r="AS768" i="1"/>
  <c r="C808" i="1"/>
  <c r="C501" i="1"/>
  <c r="S524" i="1"/>
  <c r="C543" i="1"/>
  <c r="C545" i="1"/>
  <c r="S549" i="1"/>
  <c r="C561" i="1"/>
  <c r="C566" i="1"/>
  <c r="AN573" i="1"/>
  <c r="W573" i="1" s="1"/>
  <c r="S585" i="1"/>
  <c r="S591" i="1"/>
  <c r="C592" i="1"/>
  <c r="AN599" i="1"/>
  <c r="W599" i="1" s="1"/>
  <c r="C626" i="1"/>
  <c r="C644" i="1"/>
  <c r="C687" i="1"/>
  <c r="P692" i="1"/>
  <c r="S692" i="1" s="1"/>
  <c r="P695" i="1"/>
  <c r="S695" i="1" s="1"/>
  <c r="P700" i="1"/>
  <c r="S700" i="1" s="1"/>
  <c r="C702" i="1"/>
  <c r="C706" i="1"/>
  <c r="S708" i="1"/>
  <c r="S721" i="1"/>
  <c r="C723" i="1"/>
  <c r="O759" i="1"/>
  <c r="C766" i="1"/>
  <c r="P782" i="1"/>
  <c r="P784" i="1"/>
  <c r="S784" i="1" s="1"/>
  <c r="AS796" i="1"/>
  <c r="C800" i="1"/>
  <c r="AN800" i="1"/>
  <c r="W800" i="1" s="1"/>
  <c r="O808" i="1"/>
  <c r="P855" i="1"/>
  <c r="S855" i="1" s="1"/>
  <c r="AN861" i="1"/>
  <c r="O884" i="1"/>
  <c r="P886" i="1"/>
  <c r="O800" i="1"/>
  <c r="P660" i="1"/>
  <c r="S660" i="1" s="1"/>
  <c r="C664" i="1"/>
  <c r="AN669" i="1"/>
  <c r="W669" i="1" s="1"/>
  <c r="O671" i="1"/>
  <c r="C675" i="1"/>
  <c r="AN676" i="1"/>
  <c r="P679" i="1"/>
  <c r="S683" i="1"/>
  <c r="AN687" i="1"/>
  <c r="W687" i="1" s="1"/>
  <c r="O689" i="1"/>
  <c r="P706" i="1"/>
  <c r="S706" i="1" s="1"/>
  <c r="P712" i="1"/>
  <c r="S712" i="1" s="1"/>
  <c r="C728" i="1"/>
  <c r="O737" i="1"/>
  <c r="C778" i="1"/>
  <c r="C785" i="1"/>
  <c r="C788" i="1"/>
  <c r="C673" i="1"/>
  <c r="C729" i="1"/>
  <c r="S10" i="1"/>
  <c r="P362" i="1"/>
  <c r="S362" i="1" s="1"/>
  <c r="O362" i="1"/>
  <c r="O6" i="1"/>
  <c r="AN9" i="1"/>
  <c r="W9" i="1" s="1"/>
  <c r="AS11" i="1"/>
  <c r="O14" i="1"/>
  <c r="O18" i="1"/>
  <c r="C22" i="1"/>
  <c r="S22" i="1"/>
  <c r="AN29" i="1"/>
  <c r="W29" i="1" s="1"/>
  <c r="C31" i="1"/>
  <c r="C37" i="1"/>
  <c r="AN37" i="1"/>
  <c r="W37" i="1" s="1"/>
  <c r="P37" i="1"/>
  <c r="S37" i="1" s="1"/>
  <c r="O37" i="1"/>
  <c r="O40" i="1"/>
  <c r="P40" i="1"/>
  <c r="P77" i="1"/>
  <c r="S77" i="1" s="1"/>
  <c r="O77" i="1"/>
  <c r="P209" i="1"/>
  <c r="S209" i="1" s="1"/>
  <c r="O209" i="1"/>
  <c r="O4" i="1"/>
  <c r="O10" i="1"/>
  <c r="C11" i="1"/>
  <c r="C17" i="1"/>
  <c r="C18" i="1"/>
  <c r="C24" i="1"/>
  <c r="AS121" i="1"/>
  <c r="C127" i="1"/>
  <c r="P127" i="1"/>
  <c r="S127" i="1" s="1"/>
  <c r="AN178" i="1"/>
  <c r="W178" i="1" s="1"/>
  <c r="C178" i="1"/>
  <c r="S8" i="1"/>
  <c r="P4" i="1"/>
  <c r="S4" i="1" s="1"/>
  <c r="AS92" i="1"/>
  <c r="P156" i="1"/>
  <c r="S156" i="1" s="1"/>
  <c r="O156" i="1"/>
  <c r="P165" i="1"/>
  <c r="S165" i="1" s="1"/>
  <c r="P55" i="1"/>
  <c r="S55" i="1" s="1"/>
  <c r="O55" i="1"/>
  <c r="C9" i="1"/>
  <c r="AS35" i="1"/>
  <c r="AN7" i="1"/>
  <c r="W7" i="1" s="1"/>
  <c r="C8" i="1"/>
  <c r="O9" i="1"/>
  <c r="AN10" i="1"/>
  <c r="W10" i="1" s="1"/>
  <c r="S13" i="1"/>
  <c r="AS16" i="1"/>
  <c r="O17" i="1"/>
  <c r="AN17" i="1"/>
  <c r="P24" i="1"/>
  <c r="S24" i="1" s="1"/>
  <c r="C27" i="1"/>
  <c r="AN32" i="1"/>
  <c r="W32" i="1" s="1"/>
  <c r="P35" i="1"/>
  <c r="Y1037" i="1"/>
  <c r="AN105" i="1"/>
  <c r="W105" i="1" s="1"/>
  <c r="C105" i="1"/>
  <c r="O160" i="1"/>
  <c r="P126" i="1"/>
  <c r="S126" i="1" s="1"/>
  <c r="O126" i="1"/>
  <c r="AN5" i="1"/>
  <c r="O8" i="1"/>
  <c r="P9" i="1"/>
  <c r="S9" i="1" s="1"/>
  <c r="P17" i="1"/>
  <c r="AN38" i="1"/>
  <c r="P129" i="1"/>
  <c r="S129" i="1" s="1"/>
  <c r="O129" i="1"/>
  <c r="AN145" i="1"/>
  <c r="O220" i="1"/>
  <c r="P220" i="1"/>
  <c r="S220" i="1" s="1"/>
  <c r="P344" i="1"/>
  <c r="S344" i="1" s="1"/>
  <c r="O344" i="1"/>
  <c r="AN12" i="1"/>
  <c r="C15" i="1"/>
  <c r="S15" i="1"/>
  <c r="C23" i="1"/>
  <c r="AN25" i="1"/>
  <c r="AN67" i="1"/>
  <c r="W67" i="1" s="1"/>
  <c r="C67" i="1"/>
  <c r="C79" i="1"/>
  <c r="AN79" i="1"/>
  <c r="W79" i="1" s="1"/>
  <c r="AN94" i="1"/>
  <c r="W94" i="1" s="1"/>
  <c r="C94" i="1"/>
  <c r="O22" i="1"/>
  <c r="AS36" i="1"/>
  <c r="C36" i="1"/>
  <c r="O36" i="1"/>
  <c r="P36" i="1"/>
  <c r="C44" i="1"/>
  <c r="AN44" i="1"/>
  <c r="W44" i="1" s="1"/>
  <c r="P44" i="1"/>
  <c r="S44" i="1" s="1"/>
  <c r="O44" i="1"/>
  <c r="AN71" i="1"/>
  <c r="W71" i="1" s="1"/>
  <c r="C71" i="1"/>
  <c r="C157" i="1"/>
  <c r="AS157" i="1"/>
  <c r="AN171" i="1"/>
  <c r="C171" i="1"/>
  <c r="AN19" i="1"/>
  <c r="W19" i="1" s="1"/>
  <c r="S19" i="1"/>
  <c r="AS40" i="1"/>
  <c r="P50" i="1"/>
  <c r="S50" i="1" s="1"/>
  <c r="O54" i="1"/>
  <c r="AN58" i="1"/>
  <c r="W58" i="1" s="1"/>
  <c r="C60" i="1"/>
  <c r="C64" i="1"/>
  <c r="AS71" i="1"/>
  <c r="O72" i="1"/>
  <c r="AN74" i="1"/>
  <c r="O75" i="1"/>
  <c r="P81" i="1"/>
  <c r="S81" i="1" s="1"/>
  <c r="AN84" i="1"/>
  <c r="W84" i="1" s="1"/>
  <c r="O85" i="1"/>
  <c r="O90" i="1"/>
  <c r="O92" i="1"/>
  <c r="P95" i="1"/>
  <c r="S95" i="1" s="1"/>
  <c r="P106" i="1"/>
  <c r="P108" i="1"/>
  <c r="O114" i="1"/>
  <c r="P117" i="1"/>
  <c r="O119" i="1"/>
  <c r="C121" i="1"/>
  <c r="C126" i="1"/>
  <c r="C135" i="1"/>
  <c r="O143" i="1"/>
  <c r="O152" i="1"/>
  <c r="C160" i="1"/>
  <c r="S172" i="1"/>
  <c r="C199" i="1"/>
  <c r="AN199" i="1"/>
  <c r="W199" i="1" s="1"/>
  <c r="R213" i="1"/>
  <c r="S213" i="1" s="1"/>
  <c r="AN213" i="1"/>
  <c r="W213" i="1" s="1"/>
  <c r="S321" i="1"/>
  <c r="P340" i="1"/>
  <c r="S340" i="1" s="1"/>
  <c r="O340" i="1"/>
  <c r="C344" i="1"/>
  <c r="C362" i="1"/>
  <c r="P75" i="1"/>
  <c r="S75" i="1" s="1"/>
  <c r="P114" i="1"/>
  <c r="S114" i="1" s="1"/>
  <c r="AN123" i="1"/>
  <c r="W123" i="1" s="1"/>
  <c r="R132" i="1"/>
  <c r="S132" i="1" s="1"/>
  <c r="AN137" i="1"/>
  <c r="W137" i="1" s="1"/>
  <c r="AN144" i="1"/>
  <c r="W144" i="1" s="1"/>
  <c r="P152" i="1"/>
  <c r="S152" i="1" s="1"/>
  <c r="O168" i="1"/>
  <c r="P168" i="1"/>
  <c r="S168" i="1" s="1"/>
  <c r="AN177" i="1"/>
  <c r="AS218" i="1"/>
  <c r="P300" i="1"/>
  <c r="S300" i="1" s="1"/>
  <c r="O300" i="1"/>
  <c r="P303" i="1"/>
  <c r="S303" i="1" s="1"/>
  <c r="O303" i="1"/>
  <c r="AS340" i="1"/>
  <c r="C340" i="1"/>
  <c r="P350" i="1"/>
  <c r="S350" i="1" s="1"/>
  <c r="C39" i="1"/>
  <c r="C42" i="1"/>
  <c r="AS48" i="1"/>
  <c r="AS66" i="1"/>
  <c r="S66" i="1"/>
  <c r="AS70" i="1"/>
  <c r="C74" i="1"/>
  <c r="C88" i="1"/>
  <c r="C89" i="1"/>
  <c r="AN98" i="1"/>
  <c r="W98" i="1" s="1"/>
  <c r="S98" i="1"/>
  <c r="P105" i="1"/>
  <c r="C110" i="1"/>
  <c r="C128" i="1"/>
  <c r="AN133" i="1"/>
  <c r="W133" i="1" s="1"/>
  <c r="AN141" i="1"/>
  <c r="C146" i="1"/>
  <c r="C151" i="1"/>
  <c r="C164" i="1"/>
  <c r="C173" i="1"/>
  <c r="S173" i="1"/>
  <c r="C184" i="1"/>
  <c r="O192" i="1"/>
  <c r="AN285" i="1"/>
  <c r="C285" i="1"/>
  <c r="AS300" i="1"/>
  <c r="C300" i="1"/>
  <c r="AS303" i="1"/>
  <c r="C303" i="1"/>
  <c r="S97" i="1"/>
  <c r="AN100" i="1"/>
  <c r="W100" i="1" s="1"/>
  <c r="S102" i="1"/>
  <c r="C192" i="1"/>
  <c r="AS192" i="1"/>
  <c r="C264" i="1"/>
  <c r="AN264" i="1"/>
  <c r="W264" i="1" s="1"/>
  <c r="O292" i="1"/>
  <c r="P292" i="1"/>
  <c r="S292" i="1" s="1"/>
  <c r="P324" i="1"/>
  <c r="S324" i="1" s="1"/>
  <c r="O342" i="1"/>
  <c r="P342" i="1"/>
  <c r="S342" i="1" s="1"/>
  <c r="AN367" i="1"/>
  <c r="W367" i="1" s="1"/>
  <c r="C367" i="1"/>
  <c r="C59" i="1"/>
  <c r="AN65" i="1"/>
  <c r="AN76" i="1"/>
  <c r="S82" i="1"/>
  <c r="C118" i="1"/>
  <c r="C122" i="1"/>
  <c r="S122" i="1"/>
  <c r="AN128" i="1"/>
  <c r="C139" i="1"/>
  <c r="S139" i="1"/>
  <c r="S153" i="1"/>
  <c r="O162" i="1"/>
  <c r="P164" i="1"/>
  <c r="S164" i="1" s="1"/>
  <c r="S166" i="1"/>
  <c r="AN182" i="1"/>
  <c r="W182" i="1" s="1"/>
  <c r="P308" i="1"/>
  <c r="S308" i="1" s="1"/>
  <c r="O308" i="1"/>
  <c r="AS342" i="1"/>
  <c r="C342" i="1"/>
  <c r="AS50" i="1"/>
  <c r="O59" i="1"/>
  <c r="S63" i="1"/>
  <c r="AS68" i="1"/>
  <c r="AN75" i="1"/>
  <c r="O82" i="1"/>
  <c r="C91" i="1"/>
  <c r="C96" i="1"/>
  <c r="O97" i="1"/>
  <c r="O102" i="1"/>
  <c r="C109" i="1"/>
  <c r="C111" i="1"/>
  <c r="O122" i="1"/>
  <c r="C132" i="1"/>
  <c r="P136" i="1"/>
  <c r="S136" i="1" s="1"/>
  <c r="O139" i="1"/>
  <c r="C150" i="1"/>
  <c r="C161" i="1"/>
  <c r="S161" i="1"/>
  <c r="AN169" i="1"/>
  <c r="W169" i="1" s="1"/>
  <c r="C174" i="1"/>
  <c r="P215" i="1"/>
  <c r="S215" i="1" s="1"/>
  <c r="O215" i="1"/>
  <c r="AN281" i="1"/>
  <c r="W281" i="1" s="1"/>
  <c r="C281" i="1"/>
  <c r="P329" i="1"/>
  <c r="S329" i="1" s="1"/>
  <c r="O329" i="1"/>
  <c r="S335" i="1"/>
  <c r="C92" i="1"/>
  <c r="C95" i="1"/>
  <c r="C140" i="1"/>
  <c r="AN167" i="1"/>
  <c r="O194" i="1"/>
  <c r="P194" i="1"/>
  <c r="S194" i="1" s="1"/>
  <c r="P227" i="1"/>
  <c r="S227" i="1" s="1"/>
  <c r="O227" i="1"/>
  <c r="O250" i="1"/>
  <c r="P250" i="1"/>
  <c r="S250" i="1" s="1"/>
  <c r="P405" i="1"/>
  <c r="S405" i="1" s="1"/>
  <c r="C321" i="1"/>
  <c r="C347" i="1"/>
  <c r="C403" i="1"/>
  <c r="AS416" i="1"/>
  <c r="C416" i="1"/>
  <c r="AN588" i="1"/>
  <c r="C233" i="1"/>
  <c r="C242" i="1"/>
  <c r="C246" i="1"/>
  <c r="AN266" i="1"/>
  <c r="W266" i="1" s="1"/>
  <c r="AN269" i="1"/>
  <c r="W269" i="1" s="1"/>
  <c r="S281" i="1"/>
  <c r="C294" i="1"/>
  <c r="AS299" i="1"/>
  <c r="AN347" i="1"/>
  <c r="W347" i="1" s="1"/>
  <c r="P352" i="1"/>
  <c r="S352" i="1" s="1"/>
  <c r="P390" i="1"/>
  <c r="S390" i="1" s="1"/>
  <c r="AN439" i="1"/>
  <c r="C439" i="1"/>
  <c r="P224" i="1"/>
  <c r="S224" i="1" s="1"/>
  <c r="C229" i="1"/>
  <c r="P233" i="1"/>
  <c r="P244" i="1"/>
  <c r="P246" i="1"/>
  <c r="O248" i="1"/>
  <c r="P252" i="1"/>
  <c r="O254" i="1"/>
  <c r="P269" i="1"/>
  <c r="O275" i="1"/>
  <c r="P279" i="1"/>
  <c r="S279" i="1" s="1"/>
  <c r="AN282" i="1"/>
  <c r="O285" i="1"/>
  <c r="R288" i="1"/>
  <c r="O294" i="1"/>
  <c r="C296" i="1"/>
  <c r="O299" i="1"/>
  <c r="AN322" i="1"/>
  <c r="W322" i="1" s="1"/>
  <c r="C335" i="1"/>
  <c r="O339" i="1"/>
  <c r="O347" i="1"/>
  <c r="C352" i="1"/>
  <c r="C354" i="1"/>
  <c r="C394" i="1"/>
  <c r="O403" i="1"/>
  <c r="C415" i="1"/>
  <c r="P424" i="1"/>
  <c r="S424" i="1" s="1"/>
  <c r="P437" i="1"/>
  <c r="C443" i="1"/>
  <c r="C197" i="1"/>
  <c r="S203" i="1"/>
  <c r="C208" i="1"/>
  <c r="AN212" i="1"/>
  <c r="S217" i="1"/>
  <c r="C221" i="1"/>
  <c r="C223" i="1"/>
  <c r="S223" i="1"/>
  <c r="AS229" i="1"/>
  <c r="AN235" i="1"/>
  <c r="C241" i="1"/>
  <c r="P248" i="1"/>
  <c r="S248" i="1" s="1"/>
  <c r="C260" i="1"/>
  <c r="C263" i="1"/>
  <c r="P266" i="1"/>
  <c r="P275" i="1"/>
  <c r="S275" i="1" s="1"/>
  <c r="O277" i="1"/>
  <c r="P287" i="1"/>
  <c r="P294" i="1"/>
  <c r="S294" i="1" s="1"/>
  <c r="O296" i="1"/>
  <c r="P299" i="1"/>
  <c r="S299" i="1" s="1"/>
  <c r="C302" i="1"/>
  <c r="C305" i="1"/>
  <c r="C307" i="1"/>
  <c r="O310" i="1"/>
  <c r="O312" i="1"/>
  <c r="P322" i="1"/>
  <c r="S322" i="1" s="1"/>
  <c r="P339" i="1"/>
  <c r="P347" i="1"/>
  <c r="S347" i="1" s="1"/>
  <c r="O349" i="1"/>
  <c r="O352" i="1"/>
  <c r="P354" i="1"/>
  <c r="AN356" i="1"/>
  <c r="AN358" i="1"/>
  <c r="O377" i="1"/>
  <c r="P377" i="1"/>
  <c r="S377" i="1" s="1"/>
  <c r="O390" i="1"/>
  <c r="P408" i="1"/>
  <c r="S408" i="1" s="1"/>
  <c r="C420" i="1"/>
  <c r="AN420" i="1"/>
  <c r="P420" i="1"/>
  <c r="S420" i="1" s="1"/>
  <c r="P435" i="1"/>
  <c r="S435" i="1" s="1"/>
  <c r="O464" i="1"/>
  <c r="P464" i="1"/>
  <c r="S464" i="1" s="1"/>
  <c r="S237" i="1"/>
  <c r="S253" i="1"/>
  <c r="P258" i="1"/>
  <c r="P260" i="1"/>
  <c r="P277" i="1"/>
  <c r="S277" i="1" s="1"/>
  <c r="AN280" i="1"/>
  <c r="W280" i="1" s="1"/>
  <c r="C291" i="1"/>
  <c r="C293" i="1"/>
  <c r="AN293" i="1"/>
  <c r="O307" i="1"/>
  <c r="S327" i="1"/>
  <c r="C328" i="1"/>
  <c r="C351" i="1"/>
  <c r="P355" i="1"/>
  <c r="O358" i="1"/>
  <c r="P358" i="1"/>
  <c r="S358" i="1" s="1"/>
  <c r="AN366" i="1"/>
  <c r="W366" i="1" s="1"/>
  <c r="C366" i="1"/>
  <c r="AN368" i="1"/>
  <c r="R368" i="1"/>
  <c r="C377" i="1"/>
  <c r="P407" i="1"/>
  <c r="O424" i="1"/>
  <c r="AN436" i="1"/>
  <c r="C436" i="1"/>
  <c r="AS171" i="1"/>
  <c r="AN191" i="1"/>
  <c r="W191" i="1" s="1"/>
  <c r="C193" i="1"/>
  <c r="S195" i="1"/>
  <c r="C204" i="1"/>
  <c r="AN210" i="1"/>
  <c r="W210" i="1" s="1"/>
  <c r="S226" i="1"/>
  <c r="C232" i="1"/>
  <c r="C238" i="1"/>
  <c r="AN245" i="1"/>
  <c r="W245" i="1" s="1"/>
  <c r="AN249" i="1"/>
  <c r="W249" i="1" s="1"/>
  <c r="AN251" i="1"/>
  <c r="W251" i="1" s="1"/>
  <c r="AN271" i="1"/>
  <c r="W271" i="1" s="1"/>
  <c r="C288" i="1"/>
  <c r="C290" i="1"/>
  <c r="AS292" i="1"/>
  <c r="C306" i="1"/>
  <c r="S320" i="1"/>
  <c r="AN323" i="1"/>
  <c r="AN338" i="1"/>
  <c r="W338" i="1" s="1"/>
  <c r="S349" i="1"/>
  <c r="O397" i="1"/>
  <c r="P397" i="1"/>
  <c r="O422" i="1"/>
  <c r="S204" i="1"/>
  <c r="C213" i="1"/>
  <c r="C218" i="1"/>
  <c r="AS225" i="1"/>
  <c r="AN228" i="1"/>
  <c r="W228" i="1" s="1"/>
  <c r="AS238" i="1"/>
  <c r="AN259" i="1"/>
  <c r="W259" i="1" s="1"/>
  <c r="C261" i="1"/>
  <c r="AN278" i="1"/>
  <c r="W278" i="1" s="1"/>
  <c r="C283" i="1"/>
  <c r="AS285" i="1"/>
  <c r="S307" i="1"/>
  <c r="C314" i="1"/>
  <c r="AN334" i="1"/>
  <c r="W334" i="1" s="1"/>
  <c r="AN340" i="1"/>
  <c r="W340" i="1" s="1"/>
  <c r="AN342" i="1"/>
  <c r="W342" i="1" s="1"/>
  <c r="C348" i="1"/>
  <c r="P374" i="1"/>
  <c r="P393" i="1"/>
  <c r="S393" i="1" s="1"/>
  <c r="O393" i="1"/>
  <c r="AS397" i="1"/>
  <c r="C397" i="1"/>
  <c r="P414" i="1"/>
  <c r="S414" i="1" s="1"/>
  <c r="O414" i="1"/>
  <c r="AS418" i="1"/>
  <c r="C418" i="1"/>
  <c r="AS459" i="1"/>
  <c r="C376" i="1"/>
  <c r="AN377" i="1"/>
  <c r="W377" i="1" s="1"/>
  <c r="AN396" i="1"/>
  <c r="W396" i="1" s="1"/>
  <c r="AN404" i="1"/>
  <c r="W404" i="1" s="1"/>
  <c r="AN444" i="1"/>
  <c r="W444" i="1" s="1"/>
  <c r="P537" i="1"/>
  <c r="S537" i="1" s="1"/>
  <c r="P604" i="1"/>
  <c r="S604" i="1" s="1"/>
  <c r="P716" i="1"/>
  <c r="O716" i="1"/>
  <c r="AN736" i="1"/>
  <c r="R736" i="1"/>
  <c r="C380" i="1"/>
  <c r="S386" i="1"/>
  <c r="AN387" i="1"/>
  <c r="C389" i="1"/>
  <c r="S391" i="1"/>
  <c r="C392" i="1"/>
  <c r="C395" i="1"/>
  <c r="C412" i="1"/>
  <c r="C417" i="1"/>
  <c r="C419" i="1"/>
  <c r="S422" i="1"/>
  <c r="C449" i="1"/>
  <c r="P508" i="1"/>
  <c r="S508" i="1" s="1"/>
  <c r="O508" i="1"/>
  <c r="AN401" i="1"/>
  <c r="W401" i="1" s="1"/>
  <c r="AN409" i="1"/>
  <c r="AN423" i="1"/>
  <c r="W423" i="1" s="1"/>
  <c r="S426" i="1"/>
  <c r="C433" i="1"/>
  <c r="P454" i="1"/>
  <c r="C458" i="1"/>
  <c r="C469" i="1"/>
  <c r="O469" i="1"/>
  <c r="C474" i="1"/>
  <c r="C496" i="1"/>
  <c r="AN496" i="1"/>
  <c r="W496" i="1" s="1"/>
  <c r="O496" i="1"/>
  <c r="P496" i="1"/>
  <c r="S496" i="1" s="1"/>
  <c r="O499" i="1"/>
  <c r="AN610" i="1"/>
  <c r="C610" i="1"/>
  <c r="O658" i="1"/>
  <c r="P658" i="1"/>
  <c r="S658" i="1" s="1"/>
  <c r="C370" i="1"/>
  <c r="P373" i="1"/>
  <c r="P380" i="1"/>
  <c r="AN380" i="1"/>
  <c r="W380" i="1" s="1"/>
  <c r="C383" i="1"/>
  <c r="O384" i="1"/>
  <c r="AN389" i="1"/>
  <c r="AS401" i="1"/>
  <c r="S456" i="1"/>
  <c r="O467" i="1"/>
  <c r="C368" i="1"/>
  <c r="C369" i="1"/>
  <c r="O370" i="1"/>
  <c r="O371" i="1"/>
  <c r="S372" i="1"/>
  <c r="O383" i="1"/>
  <c r="S385" i="1"/>
  <c r="C388" i="1"/>
  <c r="P395" i="1"/>
  <c r="S395" i="1" s="1"/>
  <c r="C402" i="1"/>
  <c r="P412" i="1"/>
  <c r="S412" i="1" s="1"/>
  <c r="AS426" i="1"/>
  <c r="C430" i="1"/>
  <c r="S430" i="1"/>
  <c r="C448" i="1"/>
  <c r="P449" i="1"/>
  <c r="C453" i="1"/>
  <c r="S453" i="1"/>
  <c r="C465" i="1"/>
  <c r="S465" i="1"/>
  <c r="P469" i="1"/>
  <c r="S469" i="1" s="1"/>
  <c r="C503" i="1"/>
  <c r="AN503" i="1"/>
  <c r="W503" i="1" s="1"/>
  <c r="O503" i="1"/>
  <c r="P503" i="1"/>
  <c r="S503" i="1" s="1"/>
  <c r="P506" i="1"/>
  <c r="S506" i="1" s="1"/>
  <c r="O506" i="1"/>
  <c r="AN582" i="1"/>
  <c r="W582" i="1" s="1"/>
  <c r="AN656" i="1"/>
  <c r="W656" i="1" s="1"/>
  <c r="C656" i="1"/>
  <c r="C452" i="1"/>
  <c r="O453" i="1"/>
  <c r="C460" i="1"/>
  <c r="P467" i="1"/>
  <c r="S467" i="1" s="1"/>
  <c r="O548" i="1"/>
  <c r="AN345" i="1"/>
  <c r="W345" i="1" s="1"/>
  <c r="C349" i="1"/>
  <c r="C361" i="1"/>
  <c r="P368" i="1"/>
  <c r="P375" i="1"/>
  <c r="S375" i="1" s="1"/>
  <c r="C381" i="1"/>
  <c r="O382" i="1"/>
  <c r="P388" i="1"/>
  <c r="S388" i="1" s="1"/>
  <c r="C391" i="1"/>
  <c r="AN397" i="1"/>
  <c r="W397" i="1" s="1"/>
  <c r="C399" i="1"/>
  <c r="AN400" i="1"/>
  <c r="W400" i="1" s="1"/>
  <c r="P410" i="1"/>
  <c r="S410" i="1" s="1"/>
  <c r="AN418" i="1"/>
  <c r="W418" i="1" s="1"/>
  <c r="C432" i="1"/>
  <c r="P444" i="1"/>
  <c r="O445" i="1"/>
  <c r="P448" i="1"/>
  <c r="AN448" i="1"/>
  <c r="W448" i="1" s="1"/>
  <c r="AN449" i="1"/>
  <c r="W449" i="1" s="1"/>
  <c r="C451" i="1"/>
  <c r="O452" i="1"/>
  <c r="C459" i="1"/>
  <c r="P459" i="1"/>
  <c r="C548" i="1"/>
  <c r="AS634" i="1"/>
  <c r="C634" i="1"/>
  <c r="AS654" i="1"/>
  <c r="C654" i="1"/>
  <c r="AN463" i="1"/>
  <c r="W463" i="1" s="1"/>
  <c r="C467" i="1"/>
  <c r="O468" i="1"/>
  <c r="C471" i="1"/>
  <c r="O472" i="1"/>
  <c r="AN473" i="1"/>
  <c r="O481" i="1"/>
  <c r="AN487" i="1"/>
  <c r="P490" i="1"/>
  <c r="S490" i="1" s="1"/>
  <c r="O492" i="1"/>
  <c r="O497" i="1"/>
  <c r="O504" i="1"/>
  <c r="O513" i="1"/>
  <c r="AN521" i="1"/>
  <c r="C530" i="1"/>
  <c r="P552" i="1"/>
  <c r="P561" i="1"/>
  <c r="S561" i="1" s="1"/>
  <c r="P565" i="1"/>
  <c r="S565" i="1" s="1"/>
  <c r="P594" i="1"/>
  <c r="O610" i="1"/>
  <c r="P610" i="1"/>
  <c r="S610" i="1" s="1"/>
  <c r="AN615" i="1"/>
  <c r="W615" i="1" s="1"/>
  <c r="C615" i="1"/>
  <c r="O623" i="1"/>
  <c r="P643" i="1"/>
  <c r="S643" i="1" s="1"/>
  <c r="O643" i="1"/>
  <c r="R648" i="1"/>
  <c r="O649" i="1"/>
  <c r="P649" i="1"/>
  <c r="S649" i="1" s="1"/>
  <c r="C658" i="1"/>
  <c r="AN666" i="1"/>
  <c r="W666" i="1" s="1"/>
  <c r="C666" i="1"/>
  <c r="R684" i="1"/>
  <c r="AN684" i="1"/>
  <c r="AS694" i="1"/>
  <c r="S501" i="1"/>
  <c r="AN526" i="1"/>
  <c r="W526" i="1" s="1"/>
  <c r="AN529" i="1"/>
  <c r="W529" i="1" s="1"/>
  <c r="C534" i="1"/>
  <c r="C538" i="1"/>
  <c r="AN543" i="1"/>
  <c r="W543" i="1" s="1"/>
  <c r="R550" i="1"/>
  <c r="C573" i="1"/>
  <c r="AN586" i="1"/>
  <c r="W586" i="1" s="1"/>
  <c r="AN602" i="1"/>
  <c r="C640" i="1"/>
  <c r="AS640" i="1"/>
  <c r="C709" i="1"/>
  <c r="AN709" i="1"/>
  <c r="P709" i="1"/>
  <c r="S709" i="1" s="1"/>
  <c r="O709" i="1"/>
  <c r="AS753" i="1"/>
  <c r="P757" i="1"/>
  <c r="S757" i="1" s="1"/>
  <c r="O757" i="1"/>
  <c r="C498" i="1"/>
  <c r="S511" i="1"/>
  <c r="AN519" i="1"/>
  <c r="W519" i="1" s="1"/>
  <c r="C576" i="1"/>
  <c r="AN581" i="1"/>
  <c r="W581" i="1" s="1"/>
  <c r="C593" i="1"/>
  <c r="AN593" i="1"/>
  <c r="AN609" i="1"/>
  <c r="C609" i="1"/>
  <c r="C612" i="1"/>
  <c r="P615" i="1"/>
  <c r="S615" i="1" s="1"/>
  <c r="O617" i="1"/>
  <c r="O620" i="1"/>
  <c r="P657" i="1"/>
  <c r="S657" i="1" s="1"/>
  <c r="P687" i="1"/>
  <c r="S687" i="1" s="1"/>
  <c r="P707" i="1"/>
  <c r="S707" i="1" s="1"/>
  <c r="O551" i="1"/>
  <c r="AN571" i="1"/>
  <c r="W571" i="1" s="1"/>
  <c r="C571" i="1"/>
  <c r="AN589" i="1"/>
  <c r="W589" i="1" s="1"/>
  <c r="C589" i="1"/>
  <c r="C630" i="1"/>
  <c r="AS630" i="1"/>
  <c r="C661" i="1"/>
  <c r="S661" i="1"/>
  <c r="P710" i="1"/>
  <c r="S710" i="1" s="1"/>
  <c r="O710" i="1"/>
  <c r="P729" i="1"/>
  <c r="S729" i="1" s="1"/>
  <c r="O729" i="1"/>
  <c r="C461" i="1"/>
  <c r="P493" i="1"/>
  <c r="S493" i="1" s="1"/>
  <c r="AN501" i="1"/>
  <c r="W501" i="1" s="1"/>
  <c r="AN514" i="1"/>
  <c r="C516" i="1"/>
  <c r="AN523" i="1"/>
  <c r="O528" i="1"/>
  <c r="O529" i="1"/>
  <c r="S535" i="1"/>
  <c r="O536" i="1"/>
  <c r="C541" i="1"/>
  <c r="C544" i="1"/>
  <c r="AN555" i="1"/>
  <c r="W555" i="1" s="1"/>
  <c r="C557" i="1"/>
  <c r="C559" i="1"/>
  <c r="O559" i="1"/>
  <c r="AN559" i="1"/>
  <c r="W559" i="1" s="1"/>
  <c r="O576" i="1"/>
  <c r="O579" i="1"/>
  <c r="P581" i="1"/>
  <c r="S617" i="1"/>
  <c r="AN630" i="1"/>
  <c r="O646" i="1"/>
  <c r="P646" i="1"/>
  <c r="S646" i="1" s="1"/>
  <c r="O657" i="1"/>
  <c r="P670" i="1"/>
  <c r="O687" i="1"/>
  <c r="P693" i="1"/>
  <c r="S693" i="1" s="1"/>
  <c r="O707" i="1"/>
  <c r="AS710" i="1"/>
  <c r="C710" i="1"/>
  <c r="AS780" i="1"/>
  <c r="AN513" i="1"/>
  <c r="W513" i="1" s="1"/>
  <c r="O516" i="1"/>
  <c r="AN525" i="1"/>
  <c r="W525" i="1" s="1"/>
  <c r="P527" i="1"/>
  <c r="AN527" i="1"/>
  <c r="W527" i="1" s="1"/>
  <c r="O535" i="1"/>
  <c r="O541" i="1"/>
  <c r="AS544" i="1"/>
  <c r="AN566" i="1"/>
  <c r="W566" i="1" s="1"/>
  <c r="AN569" i="1"/>
  <c r="W569" i="1" s="1"/>
  <c r="O571" i="1"/>
  <c r="P609" i="1"/>
  <c r="S609" i="1" s="1"/>
  <c r="C611" i="1"/>
  <c r="S611" i="1"/>
  <c r="O611" i="1"/>
  <c r="P614" i="1"/>
  <c r="C619" i="1"/>
  <c r="S619" i="1"/>
  <c r="S621" i="1"/>
  <c r="P644" i="1"/>
  <c r="O644" i="1"/>
  <c r="C650" i="1"/>
  <c r="C670" i="1"/>
  <c r="AS670" i="1"/>
  <c r="O698" i="1"/>
  <c r="P698" i="1"/>
  <c r="S698" i="1" s="1"/>
  <c r="AN705" i="1"/>
  <c r="AN470" i="1"/>
  <c r="C481" i="1"/>
  <c r="C490" i="1"/>
  <c r="AS505" i="1"/>
  <c r="S507" i="1"/>
  <c r="C509" i="1"/>
  <c r="S520" i="1"/>
  <c r="C522" i="1"/>
  <c r="C524" i="1"/>
  <c r="R536" i="1"/>
  <c r="S536" i="1" s="1"/>
  <c r="C540" i="1"/>
  <c r="O543" i="1"/>
  <c r="AN546" i="1"/>
  <c r="W546" i="1" s="1"/>
  <c r="P553" i="1"/>
  <c r="S553" i="1" s="1"/>
  <c r="P559" i="1"/>
  <c r="S559" i="1" s="1"/>
  <c r="S572" i="1"/>
  <c r="P579" i="1"/>
  <c r="C584" i="1"/>
  <c r="O585" i="1"/>
  <c r="C599" i="1"/>
  <c r="C606" i="1"/>
  <c r="AS613" i="1"/>
  <c r="P613" i="1"/>
  <c r="O621" i="1"/>
  <c r="P628" i="1"/>
  <c r="S628" i="1" s="1"/>
  <c r="O628" i="1"/>
  <c r="AN642" i="1"/>
  <c r="W642" i="1" s="1"/>
  <c r="AN644" i="1"/>
  <c r="W644" i="1" s="1"/>
  <c r="R644" i="1"/>
  <c r="AN646" i="1"/>
  <c r="W646" i="1" s="1"/>
  <c r="O654" i="1"/>
  <c r="AS683" i="1"/>
  <c r="O693" i="1"/>
  <c r="P711" i="1"/>
  <c r="S711" i="1" s="1"/>
  <c r="O711" i="1"/>
  <c r="S719" i="1"/>
  <c r="AN668" i="1"/>
  <c r="W668" i="1" s="1"/>
  <c r="S673" i="1"/>
  <c r="AN675" i="1"/>
  <c r="P680" i="1"/>
  <c r="S680" i="1" s="1"/>
  <c r="P688" i="1"/>
  <c r="S688" i="1" s="1"/>
  <c r="S727" i="1"/>
  <c r="P748" i="1"/>
  <c r="S748" i="1" s="1"/>
  <c r="O748" i="1"/>
  <c r="AS752" i="1"/>
  <c r="O777" i="1"/>
  <c r="P777" i="1"/>
  <c r="S777" i="1" s="1"/>
  <c r="P789" i="1"/>
  <c r="S789" i="1" s="1"/>
  <c r="O789" i="1"/>
  <c r="O812" i="1"/>
  <c r="P812" i="1"/>
  <c r="S812" i="1" s="1"/>
  <c r="O816" i="1"/>
  <c r="C624" i="1"/>
  <c r="C631" i="1"/>
  <c r="C635" i="1"/>
  <c r="O637" i="1"/>
  <c r="P642" i="1"/>
  <c r="C651" i="1"/>
  <c r="O652" i="1"/>
  <c r="O656" i="1"/>
  <c r="O666" i="1"/>
  <c r="O668" i="1"/>
  <c r="AN671" i="1"/>
  <c r="O673" i="1"/>
  <c r="C681" i="1"/>
  <c r="C685" i="1"/>
  <c r="P691" i="1"/>
  <c r="O692" i="1"/>
  <c r="AS702" i="1"/>
  <c r="C714" i="1"/>
  <c r="AN714" i="1"/>
  <c r="C715" i="1"/>
  <c r="P743" i="1"/>
  <c r="S743" i="1" s="1"/>
  <c r="P753" i="1"/>
  <c r="S753" i="1" s="1"/>
  <c r="O753" i="1"/>
  <c r="P781" i="1"/>
  <c r="S781" i="1" s="1"/>
  <c r="AS789" i="1"/>
  <c r="AN791" i="1"/>
  <c r="C791" i="1"/>
  <c r="AN703" i="1"/>
  <c r="W703" i="1" s="1"/>
  <c r="P730" i="1"/>
  <c r="S730" i="1" s="1"/>
  <c r="O730" i="1"/>
  <c r="AN737" i="1"/>
  <c r="W737" i="1" s="1"/>
  <c r="C737" i="1"/>
  <c r="C752" i="1"/>
  <c r="O779" i="1"/>
  <c r="P779" i="1"/>
  <c r="S779" i="1" s="1"/>
  <c r="C807" i="1"/>
  <c r="AN807" i="1"/>
  <c r="P807" i="1"/>
  <c r="S807" i="1" s="1"/>
  <c r="O807" i="1"/>
  <c r="C550" i="1"/>
  <c r="C565" i="1"/>
  <c r="C567" i="1"/>
  <c r="C577" i="1"/>
  <c r="AN587" i="1"/>
  <c r="S597" i="1"/>
  <c r="C603" i="1"/>
  <c r="P624" i="1"/>
  <c r="S624" i="1" s="1"/>
  <c r="AN634" i="1"/>
  <c r="W634" i="1" s="1"/>
  <c r="S636" i="1"/>
  <c r="S652" i="1"/>
  <c r="AS659" i="1"/>
  <c r="S666" i="1"/>
  <c r="C667" i="1"/>
  <c r="AN670" i="1"/>
  <c r="W670" i="1" s="1"/>
  <c r="C671" i="1"/>
  <c r="C689" i="1"/>
  <c r="AN691" i="1"/>
  <c r="W691" i="1" s="1"/>
  <c r="S718" i="1"/>
  <c r="P735" i="1"/>
  <c r="S735" i="1" s="1"/>
  <c r="O735" i="1"/>
  <c r="AN744" i="1"/>
  <c r="C744" i="1"/>
  <c r="AN774" i="1"/>
  <c r="C774" i="1"/>
  <c r="O774" i="1"/>
  <c r="P774" i="1"/>
  <c r="S774" i="1" s="1"/>
  <c r="AN793" i="1"/>
  <c r="C793" i="1"/>
  <c r="P796" i="1"/>
  <c r="S796" i="1" s="1"/>
  <c r="O796" i="1"/>
  <c r="O742" i="1"/>
  <c r="O752" i="1"/>
  <c r="P766" i="1"/>
  <c r="AS774" i="1"/>
  <c r="C674" i="1"/>
  <c r="O678" i="1"/>
  <c r="C683" i="1"/>
  <c r="C684" i="1"/>
  <c r="P689" i="1"/>
  <c r="C694" i="1"/>
  <c r="P699" i="1"/>
  <c r="P705" i="1"/>
  <c r="C733" i="1"/>
  <c r="AN733" i="1"/>
  <c r="W733" i="1" s="1"/>
  <c r="AN751" i="1"/>
  <c r="R751" i="1"/>
  <c r="S751" i="1" s="1"/>
  <c r="AS756" i="1"/>
  <c r="C761" i="1"/>
  <c r="AS766" i="1"/>
  <c r="AN790" i="1"/>
  <c r="C790" i="1"/>
  <c r="C588" i="1"/>
  <c r="S595" i="1"/>
  <c r="C653" i="1"/>
  <c r="C698" i="1"/>
  <c r="S717" i="1"/>
  <c r="AS757" i="1"/>
  <c r="AN773" i="1"/>
  <c r="C773" i="1"/>
  <c r="O773" i="1"/>
  <c r="P773" i="1"/>
  <c r="S773" i="1" s="1"/>
  <c r="AN788" i="1"/>
  <c r="W788" i="1" s="1"/>
  <c r="R788" i="1"/>
  <c r="P780" i="1"/>
  <c r="C781" i="1"/>
  <c r="P786" i="1"/>
  <c r="P787" i="1"/>
  <c r="O788" i="1"/>
  <c r="AS790" i="1"/>
  <c r="C792" i="1"/>
  <c r="AS793" i="1"/>
  <c r="AN799" i="1"/>
  <c r="W799" i="1" s="1"/>
  <c r="R800" i="1"/>
  <c r="P808" i="1"/>
  <c r="S808" i="1" s="1"/>
  <c r="AS810" i="1"/>
  <c r="P861" i="1"/>
  <c r="S861" i="1" s="1"/>
  <c r="P862" i="1"/>
  <c r="S862" i="1" s="1"/>
  <c r="P884" i="1"/>
  <c r="S884" i="1" s="1"/>
  <c r="P885" i="1"/>
  <c r="S885" i="1" s="1"/>
  <c r="AN785" i="1"/>
  <c r="W785" i="1" s="1"/>
  <c r="AN786" i="1"/>
  <c r="W786" i="1" s="1"/>
  <c r="P788" i="1"/>
  <c r="AS855" i="1"/>
  <c r="S723" i="1"/>
  <c r="AS749" i="1"/>
  <c r="C754" i="1"/>
  <c r="AN755" i="1"/>
  <c r="W755" i="1" s="1"/>
  <c r="C764" i="1"/>
  <c r="AN787" i="1"/>
  <c r="W787" i="1" s="1"/>
  <c r="O790" i="1"/>
  <c r="O791" i="1"/>
  <c r="O793" i="1"/>
  <c r="C794" i="1"/>
  <c r="C801" i="1"/>
  <c r="P857" i="1"/>
  <c r="AN860" i="1"/>
  <c r="C717" i="1"/>
  <c r="C724" i="1"/>
  <c r="C758" i="1"/>
  <c r="C783" i="1"/>
  <c r="C784" i="1"/>
  <c r="O794" i="1"/>
  <c r="C805" i="1"/>
  <c r="P814" i="1"/>
  <c r="P815" i="1"/>
  <c r="C886" i="1"/>
  <c r="C750" i="1"/>
  <c r="AS783" i="1"/>
  <c r="AS784" i="1"/>
  <c r="O758" i="1"/>
  <c r="C765" i="1"/>
  <c r="AS785" i="1"/>
  <c r="AS786" i="1"/>
  <c r="AN739" i="1"/>
  <c r="C751" i="1"/>
  <c r="C756" i="1"/>
  <c r="O785" i="1"/>
  <c r="AS788" i="1"/>
  <c r="C861" i="1"/>
  <c r="C862" i="1"/>
  <c r="C884" i="1"/>
  <c r="C885" i="1"/>
  <c r="S21" i="1"/>
  <c r="C25" i="1"/>
  <c r="P43" i="1"/>
  <c r="S43" i="1" s="1"/>
  <c r="AS45" i="1"/>
  <c r="C51" i="1"/>
  <c r="AN51" i="1"/>
  <c r="W51" i="1" s="1"/>
  <c r="P79" i="1"/>
  <c r="S79" i="1" s="1"/>
  <c r="O79" i="1"/>
  <c r="AN87" i="1"/>
  <c r="W87" i="1" s="1"/>
  <c r="S113" i="1"/>
  <c r="P174" i="1"/>
  <c r="S174" i="1" s="1"/>
  <c r="O174" i="1"/>
  <c r="C176" i="1"/>
  <c r="AN176" i="1"/>
  <c r="AN15" i="1"/>
  <c r="W15" i="1" s="1"/>
  <c r="AO1037" i="1"/>
  <c r="P5" i="1"/>
  <c r="S5" i="1" s="1"/>
  <c r="C13" i="1"/>
  <c r="P16" i="1"/>
  <c r="S16" i="1" s="1"/>
  <c r="P18" i="1"/>
  <c r="S18" i="1" s="1"/>
  <c r="C19" i="1"/>
  <c r="AN23" i="1"/>
  <c r="W23" i="1" s="1"/>
  <c r="O25" i="1"/>
  <c r="O30" i="1"/>
  <c r="P31" i="1"/>
  <c r="AS33" i="1"/>
  <c r="O42" i="1"/>
  <c r="C43" i="1"/>
  <c r="C46" i="1"/>
  <c r="P46" i="1"/>
  <c r="S46" i="1" s="1"/>
  <c r="P47" i="1"/>
  <c r="S47" i="1" s="1"/>
  <c r="AN49" i="1"/>
  <c r="W49" i="1" s="1"/>
  <c r="C49" i="1"/>
  <c r="P57" i="1"/>
  <c r="S57" i="1" s="1"/>
  <c r="C73" i="1"/>
  <c r="AN73" i="1"/>
  <c r="C86" i="1"/>
  <c r="AN86" i="1"/>
  <c r="W86" i="1" s="1"/>
  <c r="S198" i="1"/>
  <c r="AN4" i="1"/>
  <c r="W4" i="1" s="1"/>
  <c r="AA1037" i="1"/>
  <c r="O13" i="1"/>
  <c r="R14" i="1"/>
  <c r="O19" i="1"/>
  <c r="AN24" i="1"/>
  <c r="P25" i="1"/>
  <c r="S25" i="1" s="1"/>
  <c r="R29" i="1"/>
  <c r="P30" i="1"/>
  <c r="S30" i="1" s="1"/>
  <c r="P33" i="1"/>
  <c r="S33" i="1" s="1"/>
  <c r="AN36" i="1"/>
  <c r="W36" i="1" s="1"/>
  <c r="O43" i="1"/>
  <c r="AS46" i="1"/>
  <c r="C47" i="1"/>
  <c r="AS47" i="1"/>
  <c r="R108" i="1"/>
  <c r="AS108" i="1"/>
  <c r="P135" i="1"/>
  <c r="S135" i="1" s="1"/>
  <c r="O135" i="1"/>
  <c r="S196" i="1"/>
  <c r="A1037" i="1"/>
  <c r="AN30" i="1"/>
  <c r="W30" i="1" s="1"/>
  <c r="C40" i="1"/>
  <c r="AN40" i="1"/>
  <c r="W40" i="1" s="1"/>
  <c r="O46" i="1"/>
  <c r="O47" i="1"/>
  <c r="O57" i="1"/>
  <c r="P62" i="1"/>
  <c r="S62" i="1" s="1"/>
  <c r="O62" i="1"/>
  <c r="C66" i="1"/>
  <c r="AN66" i="1"/>
  <c r="W66" i="1" s="1"/>
  <c r="C83" i="1"/>
  <c r="AN83" i="1"/>
  <c r="W83" i="1" s="1"/>
  <c r="AN112" i="1"/>
  <c r="W112" i="1" s="1"/>
  <c r="Q1037" i="1"/>
  <c r="F1045" i="1" s="1"/>
  <c r="O5" i="1"/>
  <c r="M1037" i="1"/>
  <c r="F1041" i="1" s="1"/>
  <c r="C20" i="1"/>
  <c r="O21" i="1"/>
  <c r="AN28" i="1"/>
  <c r="W28" i="1" s="1"/>
  <c r="P32" i="1"/>
  <c r="O33" i="1"/>
  <c r="AN39" i="1"/>
  <c r="W39" i="1" s="1"/>
  <c r="AN42" i="1"/>
  <c r="W42" i="1" s="1"/>
  <c r="P56" i="1"/>
  <c r="S56" i="1" s="1"/>
  <c r="O56" i="1"/>
  <c r="P146" i="1"/>
  <c r="O146" i="1"/>
  <c r="N1037" i="1"/>
  <c r="F1042" i="1" s="1"/>
  <c r="O20" i="1"/>
  <c r="P28" i="1"/>
  <c r="O34" i="1"/>
  <c r="C35" i="1"/>
  <c r="AS38" i="1"/>
  <c r="P38" i="1"/>
  <c r="M2" i="1"/>
  <c r="P39" i="1"/>
  <c r="AS43" i="1"/>
  <c r="P45" i="1"/>
  <c r="C56" i="1"/>
  <c r="S68" i="1"/>
  <c r="S90" i="1"/>
  <c r="AN99" i="1"/>
  <c r="W99" i="1" s="1"/>
  <c r="P137" i="1"/>
  <c r="S137" i="1" s="1"/>
  <c r="O137" i="1"/>
  <c r="AS42" i="1"/>
  <c r="C70" i="1"/>
  <c r="AN70" i="1"/>
  <c r="P107" i="1"/>
  <c r="S107" i="1" s="1"/>
  <c r="O107" i="1"/>
  <c r="S23" i="1"/>
  <c r="AS61" i="1"/>
  <c r="C61" i="1"/>
  <c r="AN81" i="1"/>
  <c r="W81" i="1" s="1"/>
  <c r="C81" i="1"/>
  <c r="P104" i="1"/>
  <c r="S104" i="1" s="1"/>
  <c r="O104" i="1"/>
  <c r="AS107" i="1"/>
  <c r="P141" i="1"/>
  <c r="O141" i="1"/>
  <c r="AS53" i="1"/>
  <c r="P54" i="1"/>
  <c r="S54" i="1" s="1"/>
  <c r="C57" i="1"/>
  <c r="P59" i="1"/>
  <c r="S59" i="1" s="1"/>
  <c r="C62" i="1"/>
  <c r="AN64" i="1"/>
  <c r="W64" i="1" s="1"/>
  <c r="P72" i="1"/>
  <c r="S72" i="1" s="1"/>
  <c r="P80" i="1"/>
  <c r="AN88" i="1"/>
  <c r="W88" i="1" s="1"/>
  <c r="P96" i="1"/>
  <c r="S96" i="1" s="1"/>
  <c r="P101" i="1"/>
  <c r="S101" i="1" s="1"/>
  <c r="C104" i="1"/>
  <c r="C107" i="1"/>
  <c r="P109" i="1"/>
  <c r="AN110" i="1"/>
  <c r="W110" i="1" s="1"/>
  <c r="P111" i="1"/>
  <c r="S111" i="1" s="1"/>
  <c r="P112" i="1"/>
  <c r="AN115" i="1"/>
  <c r="W115" i="1" s="1"/>
  <c r="P116" i="1"/>
  <c r="S116" i="1" s="1"/>
  <c r="AS120" i="1"/>
  <c r="AN129" i="1"/>
  <c r="W129" i="1" s="1"/>
  <c r="C141" i="1"/>
  <c r="S143" i="1"/>
  <c r="AS174" i="1"/>
  <c r="P191" i="1"/>
  <c r="S191" i="1" s="1"/>
  <c r="O191" i="1"/>
  <c r="S206" i="1"/>
  <c r="S211" i="1"/>
  <c r="AS76" i="1"/>
  <c r="R85" i="1"/>
  <c r="S85" i="1" s="1"/>
  <c r="R106" i="1"/>
  <c r="AN127" i="1"/>
  <c r="W127" i="1" s="1"/>
  <c r="AN130" i="1"/>
  <c r="P131" i="1"/>
  <c r="S131" i="1" s="1"/>
  <c r="O131" i="1"/>
  <c r="P134" i="1"/>
  <c r="S134" i="1" s="1"/>
  <c r="O134" i="1"/>
  <c r="P159" i="1"/>
  <c r="S159" i="1" s="1"/>
  <c r="O159" i="1"/>
  <c r="S178" i="1"/>
  <c r="P182" i="1"/>
  <c r="S182" i="1" s="1"/>
  <c r="O182" i="1"/>
  <c r="P184" i="1"/>
  <c r="S184" i="1" s="1"/>
  <c r="O184" i="1"/>
  <c r="AS191" i="1"/>
  <c r="P251" i="1"/>
  <c r="S251" i="1" s="1"/>
  <c r="O251" i="1"/>
  <c r="AN34" i="1"/>
  <c r="W34" i="1" s="1"/>
  <c r="AN69" i="1"/>
  <c r="W69" i="1" s="1"/>
  <c r="C78" i="1"/>
  <c r="R80" i="1"/>
  <c r="AN82" i="1"/>
  <c r="C93" i="1"/>
  <c r="C98" i="1"/>
  <c r="C100" i="1"/>
  <c r="C103" i="1"/>
  <c r="C113" i="1"/>
  <c r="P128" i="1"/>
  <c r="S128" i="1" s="1"/>
  <c r="C129" i="1"/>
  <c r="C131" i="1"/>
  <c r="C134" i="1"/>
  <c r="P140" i="1"/>
  <c r="S140" i="1" s="1"/>
  <c r="O140" i="1"/>
  <c r="C142" i="1"/>
  <c r="AN142" i="1"/>
  <c r="W142" i="1" s="1"/>
  <c r="P147" i="1"/>
  <c r="S147" i="1" s="1"/>
  <c r="O147" i="1"/>
  <c r="P149" i="1"/>
  <c r="S149" i="1" s="1"/>
  <c r="O149" i="1"/>
  <c r="P154" i="1"/>
  <c r="S154" i="1" s="1"/>
  <c r="O154" i="1"/>
  <c r="P157" i="1"/>
  <c r="S157" i="1" s="1"/>
  <c r="O157" i="1"/>
  <c r="C159" i="1"/>
  <c r="P199" i="1"/>
  <c r="O199" i="1"/>
  <c r="AN207" i="1"/>
  <c r="O212" i="1"/>
  <c r="P212" i="1"/>
  <c r="S212" i="1" s="1"/>
  <c r="AS214" i="1"/>
  <c r="AN217" i="1"/>
  <c r="W217" i="1" s="1"/>
  <c r="C217" i="1"/>
  <c r="C249" i="1"/>
  <c r="P317" i="1"/>
  <c r="S317" i="1" s="1"/>
  <c r="O317" i="1"/>
  <c r="AN55" i="1"/>
  <c r="W55" i="1" s="1"/>
  <c r="AN60" i="1"/>
  <c r="W60" i="1" s="1"/>
  <c r="O61" i="1"/>
  <c r="O63" i="1"/>
  <c r="O76" i="1"/>
  <c r="AN77" i="1"/>
  <c r="W77" i="1" s="1"/>
  <c r="O78" i="1"/>
  <c r="O91" i="1"/>
  <c r="AN92" i="1"/>
  <c r="W92" i="1" s="1"/>
  <c r="O93" i="1"/>
  <c r="AN97" i="1"/>
  <c r="W97" i="1" s="1"/>
  <c r="O98" i="1"/>
  <c r="O100" i="1"/>
  <c r="AN102" i="1"/>
  <c r="W102" i="1" s="1"/>
  <c r="O103" i="1"/>
  <c r="O113" i="1"/>
  <c r="AS113" i="1"/>
  <c r="AN117" i="1"/>
  <c r="R117" i="1"/>
  <c r="S130" i="1"/>
  <c r="P133" i="1"/>
  <c r="P145" i="1"/>
  <c r="S145" i="1" s="1"/>
  <c r="O145" i="1"/>
  <c r="AS147" i="1"/>
  <c r="C147" i="1"/>
  <c r="AS149" i="1"/>
  <c r="C149" i="1"/>
  <c r="AS154" i="1"/>
  <c r="C154" i="1"/>
  <c r="AN156" i="1"/>
  <c r="W156" i="1" s="1"/>
  <c r="C156" i="1"/>
  <c r="P179" i="1"/>
  <c r="S179" i="1" s="1"/>
  <c r="O179" i="1"/>
  <c r="S193" i="1"/>
  <c r="AN194" i="1"/>
  <c r="W194" i="1" s="1"/>
  <c r="C201" i="1"/>
  <c r="P201" i="1"/>
  <c r="O201" i="1"/>
  <c r="AS297" i="1"/>
  <c r="P110" i="1"/>
  <c r="AN111" i="1"/>
  <c r="W111" i="1" s="1"/>
  <c r="P115" i="1"/>
  <c r="S115" i="1" s="1"/>
  <c r="O117" i="1"/>
  <c r="P118" i="1"/>
  <c r="AS118" i="1"/>
  <c r="P120" i="1"/>
  <c r="P121" i="1"/>
  <c r="P123" i="1"/>
  <c r="P124" i="1"/>
  <c r="S124" i="1" s="1"/>
  <c r="O127" i="1"/>
  <c r="AN134" i="1"/>
  <c r="W134" i="1" s="1"/>
  <c r="AS145" i="1"/>
  <c r="C145" i="1"/>
  <c r="P163" i="1"/>
  <c r="S163" i="1" s="1"/>
  <c r="O163" i="1"/>
  <c r="AN170" i="1"/>
  <c r="W170" i="1" s="1"/>
  <c r="C170" i="1"/>
  <c r="P197" i="1"/>
  <c r="S197" i="1" s="1"/>
  <c r="O197" i="1"/>
  <c r="AS201" i="1"/>
  <c r="S208" i="1"/>
  <c r="C240" i="1"/>
  <c r="P242" i="1"/>
  <c r="O242" i="1"/>
  <c r="AN139" i="1"/>
  <c r="W139" i="1" s="1"/>
  <c r="AS163" i="1"/>
  <c r="C163" i="1"/>
  <c r="AN204" i="1"/>
  <c r="W204" i="1" s="1"/>
  <c r="C209" i="1"/>
  <c r="AN209" i="1"/>
  <c r="W209" i="1" s="1"/>
  <c r="C219" i="1"/>
  <c r="AN219" i="1"/>
  <c r="P219" i="1"/>
  <c r="S219" i="1" s="1"/>
  <c r="O219" i="1"/>
  <c r="P293" i="1"/>
  <c r="S293" i="1" s="1"/>
  <c r="O293" i="1"/>
  <c r="C72" i="1"/>
  <c r="C80" i="1"/>
  <c r="C116" i="1"/>
  <c r="AN143" i="1"/>
  <c r="W143" i="1" s="1"/>
  <c r="S144" i="1"/>
  <c r="AN148" i="1"/>
  <c r="W148" i="1" s="1"/>
  <c r="C148" i="1"/>
  <c r="AN187" i="1"/>
  <c r="R187" i="1"/>
  <c r="P150" i="1"/>
  <c r="AS150" i="1"/>
  <c r="P155" i="1"/>
  <c r="P160" i="1"/>
  <c r="P162" i="1"/>
  <c r="S162" i="1" s="1"/>
  <c r="P169" i="1"/>
  <c r="P175" i="1"/>
  <c r="C179" i="1"/>
  <c r="P181" i="1"/>
  <c r="P183" i="1"/>
  <c r="AN186" i="1"/>
  <c r="W186" i="1" s="1"/>
  <c r="P192" i="1"/>
  <c r="S192" i="1" s="1"/>
  <c r="AN193" i="1"/>
  <c r="P202" i="1"/>
  <c r="S202" i="1" s="1"/>
  <c r="P205" i="1"/>
  <c r="AN206" i="1"/>
  <c r="W206" i="1" s="1"/>
  <c r="P210" i="1"/>
  <c r="S210" i="1" s="1"/>
  <c r="O214" i="1"/>
  <c r="C220" i="1"/>
  <c r="AN222" i="1"/>
  <c r="C222" i="1"/>
  <c r="AN237" i="1"/>
  <c r="W237" i="1" s="1"/>
  <c r="C237" i="1"/>
  <c r="S238" i="1"/>
  <c r="S245" i="1"/>
  <c r="AS251" i="1"/>
  <c r="C251" i="1"/>
  <c r="AN273" i="1"/>
  <c r="W273" i="1" s="1"/>
  <c r="C273" i="1"/>
  <c r="S309" i="1"/>
  <c r="AN315" i="1"/>
  <c r="C317" i="1"/>
  <c r="AN348" i="1"/>
  <c r="R348" i="1"/>
  <c r="O428" i="1"/>
  <c r="P428" i="1"/>
  <c r="S428" i="1" s="1"/>
  <c r="AN198" i="1"/>
  <c r="W198" i="1" s="1"/>
  <c r="P259" i="1"/>
  <c r="S259" i="1" s="1"/>
  <c r="O259" i="1"/>
  <c r="C153" i="1"/>
  <c r="C158" i="1"/>
  <c r="C166" i="1"/>
  <c r="C167" i="1"/>
  <c r="C185" i="1"/>
  <c r="C188" i="1"/>
  <c r="C190" i="1"/>
  <c r="C196" i="1"/>
  <c r="C198" i="1"/>
  <c r="C200" i="1"/>
  <c r="AN203" i="1"/>
  <c r="W203" i="1" s="1"/>
  <c r="AN234" i="1"/>
  <c r="W234" i="1" s="1"/>
  <c r="R234" i="1"/>
  <c r="AN239" i="1"/>
  <c r="W239" i="1" s="1"/>
  <c r="C239" i="1"/>
  <c r="C259" i="1"/>
  <c r="P264" i="1"/>
  <c r="S264" i="1" s="1"/>
  <c r="O264" i="1"/>
  <c r="P276" i="1"/>
  <c r="O276" i="1"/>
  <c r="AN292" i="1"/>
  <c r="W292" i="1" s="1"/>
  <c r="C292" i="1"/>
  <c r="S319" i="1"/>
  <c r="AN327" i="1"/>
  <c r="C327" i="1"/>
  <c r="AN146" i="1"/>
  <c r="W146" i="1" s="1"/>
  <c r="O153" i="1"/>
  <c r="AS153" i="1"/>
  <c r="O158" i="1"/>
  <c r="AS158" i="1"/>
  <c r="C165" i="1"/>
  <c r="O166" i="1"/>
  <c r="O167" i="1"/>
  <c r="C172" i="1"/>
  <c r="O185" i="1"/>
  <c r="O188" i="1"/>
  <c r="AN189" i="1"/>
  <c r="W189" i="1" s="1"/>
  <c r="O190" i="1"/>
  <c r="AS190" i="1"/>
  <c r="AN195" i="1"/>
  <c r="W195" i="1" s="1"/>
  <c r="O196" i="1"/>
  <c r="AS196" i="1"/>
  <c r="O198" i="1"/>
  <c r="O200" i="1"/>
  <c r="AS200" i="1"/>
  <c r="C215" i="1"/>
  <c r="AN218" i="1"/>
  <c r="W218" i="1" s="1"/>
  <c r="O221" i="1"/>
  <c r="S235" i="1"/>
  <c r="AN236" i="1"/>
  <c r="W236" i="1" s="1"/>
  <c r="C236" i="1"/>
  <c r="AN267" i="1"/>
  <c r="W267" i="1" s="1"/>
  <c r="R267" i="1"/>
  <c r="AS276" i="1"/>
  <c r="C276" i="1"/>
  <c r="P278" i="1"/>
  <c r="S278" i="1" s="1"/>
  <c r="O278" i="1"/>
  <c r="S311" i="1"/>
  <c r="AN320" i="1"/>
  <c r="C320" i="1"/>
  <c r="AN372" i="1"/>
  <c r="C372" i="1"/>
  <c r="R141" i="1"/>
  <c r="O142" i="1"/>
  <c r="O165" i="1"/>
  <c r="O172" i="1"/>
  <c r="O208" i="1"/>
  <c r="AS208" i="1"/>
  <c r="AS210" i="1"/>
  <c r="C226" i="1"/>
  <c r="AS278" i="1"/>
  <c r="C278" i="1"/>
  <c r="P284" i="1"/>
  <c r="S284" i="1" s="1"/>
  <c r="O284" i="1"/>
  <c r="C301" i="1"/>
  <c r="AN301" i="1"/>
  <c r="W301" i="1" s="1"/>
  <c r="P323" i="1"/>
  <c r="S323" i="1" s="1"/>
  <c r="O323" i="1"/>
  <c r="AS162" i="1"/>
  <c r="O193" i="1"/>
  <c r="O195" i="1"/>
  <c r="O203" i="1"/>
  <c r="O206" i="1"/>
  <c r="AN211" i="1"/>
  <c r="W211" i="1" s="1"/>
  <c r="AS216" i="1"/>
  <c r="P221" i="1"/>
  <c r="S221" i="1" s="1"/>
  <c r="S228" i="1"/>
  <c r="P229" i="1"/>
  <c r="S229" i="1" s="1"/>
  <c r="O229" i="1"/>
  <c r="P231" i="1"/>
  <c r="S231" i="1" s="1"/>
  <c r="O231" i="1"/>
  <c r="S232" i="1"/>
  <c r="S239" i="1"/>
  <c r="P256" i="1"/>
  <c r="S256" i="1" s="1"/>
  <c r="O256" i="1"/>
  <c r="AN272" i="1"/>
  <c r="W272" i="1" s="1"/>
  <c r="AS284" i="1"/>
  <c r="C284" i="1"/>
  <c r="S285" i="1"/>
  <c r="AS323" i="1"/>
  <c r="C323" i="1"/>
  <c r="C155" i="1"/>
  <c r="C169" i="1"/>
  <c r="C175" i="1"/>
  <c r="R185" i="1"/>
  <c r="S185" i="1" s="1"/>
  <c r="R188" i="1"/>
  <c r="S188" i="1" s="1"/>
  <c r="O211" i="1"/>
  <c r="C214" i="1"/>
  <c r="C216" i="1"/>
  <c r="AN224" i="1"/>
  <c r="W224" i="1" s="1"/>
  <c r="C224" i="1"/>
  <c r="AN225" i="1"/>
  <c r="C225" i="1"/>
  <c r="AS231" i="1"/>
  <c r="C231" i="1"/>
  <c r="S236" i="1"/>
  <c r="P240" i="1"/>
  <c r="S240" i="1" s="1"/>
  <c r="O240" i="1"/>
  <c r="P249" i="1"/>
  <c r="S249" i="1" s="1"/>
  <c r="O249" i="1"/>
  <c r="AN253" i="1"/>
  <c r="W253" i="1" s="1"/>
  <c r="C253" i="1"/>
  <c r="S254" i="1"/>
  <c r="C256" i="1"/>
  <c r="AN286" i="1"/>
  <c r="C286" i="1"/>
  <c r="P297" i="1"/>
  <c r="S297" i="1" s="1"/>
  <c r="O297" i="1"/>
  <c r="P409" i="1"/>
  <c r="O409" i="1"/>
  <c r="AS244" i="1"/>
  <c r="O257" i="1"/>
  <c r="AN261" i="1"/>
  <c r="O262" i="1"/>
  <c r="AS262" i="1"/>
  <c r="O267" i="1"/>
  <c r="AN279" i="1"/>
  <c r="W279" i="1" s="1"/>
  <c r="O280" i="1"/>
  <c r="AS290" i="1"/>
  <c r="C297" i="1"/>
  <c r="O298" i="1"/>
  <c r="AS298" i="1"/>
  <c r="O302" i="1"/>
  <c r="O305" i="1"/>
  <c r="AN314" i="1"/>
  <c r="AN341" i="1"/>
  <c r="C341" i="1"/>
  <c r="P341" i="1"/>
  <c r="S341" i="1" s="1"/>
  <c r="O341" i="1"/>
  <c r="R364" i="1"/>
  <c r="AN364" i="1"/>
  <c r="W364" i="1" s="1"/>
  <c r="C365" i="1"/>
  <c r="AN365" i="1"/>
  <c r="W365" i="1" s="1"/>
  <c r="O429" i="1"/>
  <c r="P429" i="1"/>
  <c r="S429" i="1" s="1"/>
  <c r="AN230" i="1"/>
  <c r="P234" i="1"/>
  <c r="AN241" i="1"/>
  <c r="W241" i="1" s="1"/>
  <c r="P247" i="1"/>
  <c r="AS247" i="1"/>
  <c r="AN248" i="1"/>
  <c r="W248" i="1" s="1"/>
  <c r="AN250" i="1"/>
  <c r="W250" i="1" s="1"/>
  <c r="AN255" i="1"/>
  <c r="W255" i="1" s="1"/>
  <c r="P257" i="1"/>
  <c r="S257" i="1" s="1"/>
  <c r="P262" i="1"/>
  <c r="S262" i="1" s="1"/>
  <c r="AN263" i="1"/>
  <c r="W263" i="1" s="1"/>
  <c r="P267" i="1"/>
  <c r="P270" i="1"/>
  <c r="S270" i="1" s="1"/>
  <c r="P272" i="1"/>
  <c r="AN275" i="1"/>
  <c r="AN277" i="1"/>
  <c r="P280" i="1"/>
  <c r="S280" i="1" s="1"/>
  <c r="AN283" i="1"/>
  <c r="W283" i="1" s="1"/>
  <c r="AS294" i="1"/>
  <c r="P298" i="1"/>
  <c r="S298" i="1" s="1"/>
  <c r="P302" i="1"/>
  <c r="S302" i="1" s="1"/>
  <c r="P305" i="1"/>
  <c r="S305" i="1" s="1"/>
  <c r="P315" i="1"/>
  <c r="AN324" i="1"/>
  <c r="O326" i="1"/>
  <c r="P337" i="1"/>
  <c r="S337" i="1" s="1"/>
  <c r="AN343" i="1"/>
  <c r="C343" i="1"/>
  <c r="P360" i="1"/>
  <c r="S360" i="1" s="1"/>
  <c r="O360" i="1"/>
  <c r="S365" i="1"/>
  <c r="R384" i="1"/>
  <c r="AN384" i="1"/>
  <c r="W384" i="1" s="1"/>
  <c r="P387" i="1"/>
  <c r="S387" i="1" s="1"/>
  <c r="O387" i="1"/>
  <c r="C429" i="1"/>
  <c r="C442" i="1"/>
  <c r="AN442" i="1"/>
  <c r="AN506" i="1"/>
  <c r="W506" i="1" s="1"/>
  <c r="C506" i="1"/>
  <c r="O226" i="1"/>
  <c r="AS232" i="1"/>
  <c r="O236" i="1"/>
  <c r="O237" i="1"/>
  <c r="O239" i="1"/>
  <c r="C243" i="1"/>
  <c r="O253" i="1"/>
  <c r="O273" i="1"/>
  <c r="O286" i="1"/>
  <c r="C310" i="1"/>
  <c r="AN319" i="1"/>
  <c r="W319" i="1" s="1"/>
  <c r="O320" i="1"/>
  <c r="P334" i="1"/>
  <c r="S334" i="1" s="1"/>
  <c r="P336" i="1"/>
  <c r="S336" i="1" s="1"/>
  <c r="O336" i="1"/>
  <c r="C337" i="1"/>
  <c r="AN385" i="1"/>
  <c r="C385" i="1"/>
  <c r="C387" i="1"/>
  <c r="S389" i="1"/>
  <c r="AN405" i="1"/>
  <c r="W405" i="1" s="1"/>
  <c r="C405" i="1"/>
  <c r="C424" i="1"/>
  <c r="AN424" i="1"/>
  <c r="AS431" i="1"/>
  <c r="C431" i="1"/>
  <c r="C228" i="1"/>
  <c r="C235" i="1"/>
  <c r="AS236" i="1"/>
  <c r="C254" i="1"/>
  <c r="AS255" i="1"/>
  <c r="AN287" i="1"/>
  <c r="W287" i="1" s="1"/>
  <c r="P326" i="1"/>
  <c r="S326" i="1" s="1"/>
  <c r="AN326" i="1"/>
  <c r="O333" i="1"/>
  <c r="C334" i="1"/>
  <c r="O335" i="1"/>
  <c r="O337" i="1"/>
  <c r="AS339" i="1"/>
  <c r="AN346" i="1"/>
  <c r="W346" i="1" s="1"/>
  <c r="C346" i="1"/>
  <c r="AN350" i="1"/>
  <c r="W350" i="1" s="1"/>
  <c r="AN382" i="1"/>
  <c r="W382" i="1" s="1"/>
  <c r="R382" i="1"/>
  <c r="S400" i="1"/>
  <c r="P401" i="1"/>
  <c r="S401" i="1" s="1"/>
  <c r="O401" i="1"/>
  <c r="AN227" i="1"/>
  <c r="AS233" i="1"/>
  <c r="AS246" i="1"/>
  <c r="AN290" i="1"/>
  <c r="C295" i="1"/>
  <c r="AN299" i="1"/>
  <c r="W299" i="1" s="1"/>
  <c r="C304" i="1"/>
  <c r="AN306" i="1"/>
  <c r="C309" i="1"/>
  <c r="C313" i="1"/>
  <c r="C316" i="1"/>
  <c r="O321" i="1"/>
  <c r="O328" i="1"/>
  <c r="C330" i="1"/>
  <c r="AN330" i="1"/>
  <c r="W330" i="1" s="1"/>
  <c r="AN333" i="1"/>
  <c r="W333" i="1" s="1"/>
  <c r="O334" i="1"/>
  <c r="C339" i="1"/>
  <c r="S346" i="1"/>
  <c r="S383" i="1"/>
  <c r="S398" i="1"/>
  <c r="C244" i="1"/>
  <c r="C252" i="1"/>
  <c r="C258" i="1"/>
  <c r="O274" i="1"/>
  <c r="O281" i="1"/>
  <c r="O295" i="1"/>
  <c r="O304" i="1"/>
  <c r="AN308" i="1"/>
  <c r="O309" i="1"/>
  <c r="O311" i="1"/>
  <c r="AN312" i="1"/>
  <c r="O313" i="1"/>
  <c r="O316" i="1"/>
  <c r="C318" i="1"/>
  <c r="O319" i="1"/>
  <c r="O324" i="1"/>
  <c r="AN325" i="1"/>
  <c r="W325" i="1" s="1"/>
  <c r="C329" i="1"/>
  <c r="P331" i="1"/>
  <c r="AN331" i="1"/>
  <c r="W331" i="1" s="1"/>
  <c r="AN336" i="1"/>
  <c r="W336" i="1" s="1"/>
  <c r="P356" i="1"/>
  <c r="S356" i="1" s="1"/>
  <c r="O356" i="1"/>
  <c r="AN398" i="1"/>
  <c r="P413" i="1"/>
  <c r="S413" i="1" s="1"/>
  <c r="O413" i="1"/>
  <c r="C289" i="1"/>
  <c r="S333" i="1"/>
  <c r="C338" i="1"/>
  <c r="P338" i="1"/>
  <c r="S338" i="1" s="1"/>
  <c r="O338" i="1"/>
  <c r="AN353" i="1"/>
  <c r="W353" i="1" s="1"/>
  <c r="C353" i="1"/>
  <c r="AS356" i="1"/>
  <c r="AN359" i="1"/>
  <c r="W359" i="1" s="1"/>
  <c r="C359" i="1"/>
  <c r="R371" i="1"/>
  <c r="AN371" i="1"/>
  <c r="AN403" i="1"/>
  <c r="W403" i="1" s="1"/>
  <c r="P411" i="1"/>
  <c r="S411" i="1" s="1"/>
  <c r="O411" i="1"/>
  <c r="AN416" i="1"/>
  <c r="W416" i="1" s="1"/>
  <c r="AN425" i="1"/>
  <c r="O348" i="1"/>
  <c r="R354" i="1"/>
  <c r="C360" i="1"/>
  <c r="O361" i="1"/>
  <c r="O364" i="1"/>
  <c r="O366" i="1"/>
  <c r="AN402" i="1"/>
  <c r="W402" i="1" s="1"/>
  <c r="C409" i="1"/>
  <c r="C411" i="1"/>
  <c r="C413" i="1"/>
  <c r="O416" i="1"/>
  <c r="O418" i="1"/>
  <c r="AN422" i="1"/>
  <c r="O423" i="1"/>
  <c r="C427" i="1"/>
  <c r="C428" i="1"/>
  <c r="S442" i="1"/>
  <c r="C480" i="1"/>
  <c r="AN480" i="1"/>
  <c r="P480" i="1"/>
  <c r="S480" i="1" s="1"/>
  <c r="O480" i="1"/>
  <c r="AN485" i="1"/>
  <c r="R485" i="1"/>
  <c r="S485" i="1" s="1"/>
  <c r="P348" i="1"/>
  <c r="AN355" i="1"/>
  <c r="W355" i="1" s="1"/>
  <c r="P361" i="1"/>
  <c r="S361" i="1" s="1"/>
  <c r="P364" i="1"/>
  <c r="P366" i="1"/>
  <c r="P371" i="1"/>
  <c r="P382" i="1"/>
  <c r="P384" i="1"/>
  <c r="P403" i="1"/>
  <c r="S403" i="1" s="1"/>
  <c r="AN408" i="1"/>
  <c r="AN410" i="1"/>
  <c r="AN412" i="1"/>
  <c r="W412" i="1" s="1"/>
  <c r="P416" i="1"/>
  <c r="S416" i="1" s="1"/>
  <c r="P418" i="1"/>
  <c r="S418" i="1" s="1"/>
  <c r="P423" i="1"/>
  <c r="S423" i="1" s="1"/>
  <c r="AN435" i="1"/>
  <c r="C435" i="1"/>
  <c r="C438" i="1"/>
  <c r="AN438" i="1"/>
  <c r="P447" i="1"/>
  <c r="S447" i="1" s="1"/>
  <c r="O447" i="1"/>
  <c r="AN482" i="1"/>
  <c r="W482" i="1" s="1"/>
  <c r="C482" i="1"/>
  <c r="O343" i="1"/>
  <c r="O346" i="1"/>
  <c r="O350" i="1"/>
  <c r="O353" i="1"/>
  <c r="O359" i="1"/>
  <c r="O365" i="1"/>
  <c r="O372" i="1"/>
  <c r="C374" i="1"/>
  <c r="C379" i="1"/>
  <c r="O385" i="1"/>
  <c r="AN388" i="1"/>
  <c r="W388" i="1" s="1"/>
  <c r="O389" i="1"/>
  <c r="AS391" i="1"/>
  <c r="C393" i="1"/>
  <c r="C396" i="1"/>
  <c r="O398" i="1"/>
  <c r="O405" i="1"/>
  <c r="C407" i="1"/>
  <c r="AN419" i="1"/>
  <c r="O420" i="1"/>
  <c r="AN426" i="1"/>
  <c r="W426" i="1" s="1"/>
  <c r="AN466" i="1"/>
  <c r="S468" i="1"/>
  <c r="P486" i="1"/>
  <c r="S486" i="1" s="1"/>
  <c r="O486" i="1"/>
  <c r="P491" i="1"/>
  <c r="S491" i="1" s="1"/>
  <c r="O491" i="1"/>
  <c r="C512" i="1"/>
  <c r="AN512" i="1"/>
  <c r="W512" i="1" s="1"/>
  <c r="P512" i="1"/>
  <c r="S512" i="1" s="1"/>
  <c r="O512" i="1"/>
  <c r="AN373" i="1"/>
  <c r="W373" i="1" s="1"/>
  <c r="AN378" i="1"/>
  <c r="W378" i="1" s="1"/>
  <c r="C386" i="1"/>
  <c r="AN392" i="1"/>
  <c r="AN395" i="1"/>
  <c r="W395" i="1" s="1"/>
  <c r="C400" i="1"/>
  <c r="AN406" i="1"/>
  <c r="W406" i="1" s="1"/>
  <c r="AN414" i="1"/>
  <c r="W414" i="1" s="1"/>
  <c r="S452" i="1"/>
  <c r="AN461" i="1"/>
  <c r="W461" i="1" s="1"/>
  <c r="AS486" i="1"/>
  <c r="AS491" i="1"/>
  <c r="C491" i="1"/>
  <c r="AN558" i="1"/>
  <c r="W558" i="1" s="1"/>
  <c r="C558" i="1"/>
  <c r="AN369" i="1"/>
  <c r="W369" i="1" s="1"/>
  <c r="AN390" i="1"/>
  <c r="W390" i="1" s="1"/>
  <c r="AN399" i="1"/>
  <c r="W399" i="1" s="1"/>
  <c r="P433" i="1"/>
  <c r="S433" i="1" s="1"/>
  <c r="O433" i="1"/>
  <c r="AN454" i="1"/>
  <c r="C454" i="1"/>
  <c r="AN376" i="1"/>
  <c r="O426" i="1"/>
  <c r="AN433" i="1"/>
  <c r="AN464" i="1"/>
  <c r="C464" i="1"/>
  <c r="AN517" i="1"/>
  <c r="C517" i="1"/>
  <c r="P517" i="1"/>
  <c r="S517" i="1" s="1"/>
  <c r="O517" i="1"/>
  <c r="P470" i="1"/>
  <c r="S470" i="1" s="1"/>
  <c r="O470" i="1"/>
  <c r="O475" i="1"/>
  <c r="P475" i="1"/>
  <c r="S475" i="1" s="1"/>
  <c r="C494" i="1"/>
  <c r="AN494" i="1"/>
  <c r="O494" i="1"/>
  <c r="P494" i="1"/>
  <c r="S494" i="1" s="1"/>
  <c r="O439" i="1"/>
  <c r="AS440" i="1"/>
  <c r="C447" i="1"/>
  <c r="AS462" i="1"/>
  <c r="C470" i="1"/>
  <c r="AN471" i="1"/>
  <c r="O474" i="1"/>
  <c r="C475" i="1"/>
  <c r="AN477" i="1"/>
  <c r="AS480" i="1"/>
  <c r="C486" i="1"/>
  <c r="C515" i="1"/>
  <c r="P515" i="1"/>
  <c r="S515" i="1" s="1"/>
  <c r="O515" i="1"/>
  <c r="C520" i="1"/>
  <c r="AN520" i="1"/>
  <c r="P526" i="1"/>
  <c r="S526" i="1" s="1"/>
  <c r="O526" i="1"/>
  <c r="P539" i="1"/>
  <c r="S539" i="1" s="1"/>
  <c r="O539" i="1"/>
  <c r="P545" i="1"/>
  <c r="S545" i="1" s="1"/>
  <c r="O545" i="1"/>
  <c r="AN549" i="1"/>
  <c r="W549" i="1" s="1"/>
  <c r="C549" i="1"/>
  <c r="AN432" i="1"/>
  <c r="W432" i="1" s="1"/>
  <c r="P439" i="1"/>
  <c r="S439" i="1" s="1"/>
  <c r="AN469" i="1"/>
  <c r="W469" i="1" s="1"/>
  <c r="P474" i="1"/>
  <c r="S474" i="1" s="1"/>
  <c r="AS483" i="1"/>
  <c r="AS515" i="1"/>
  <c r="C526" i="1"/>
  <c r="S532" i="1"/>
  <c r="C539" i="1"/>
  <c r="AN560" i="1"/>
  <c r="W560" i="1" s="1"/>
  <c r="R560" i="1"/>
  <c r="R579" i="1"/>
  <c r="AN579" i="1"/>
  <c r="W579" i="1" s="1"/>
  <c r="O435" i="1"/>
  <c r="C437" i="1"/>
  <c r="O438" i="1"/>
  <c r="O442" i="1"/>
  <c r="C456" i="1"/>
  <c r="O461" i="1"/>
  <c r="AN484" i="1"/>
  <c r="AS500" i="1"/>
  <c r="P500" i="1"/>
  <c r="S500" i="1" s="1"/>
  <c r="O500" i="1"/>
  <c r="AN508" i="1"/>
  <c r="W508" i="1" s="1"/>
  <c r="C508" i="1"/>
  <c r="AN515" i="1"/>
  <c r="W515" i="1" s="1"/>
  <c r="P518" i="1"/>
  <c r="S518" i="1" s="1"/>
  <c r="O518" i="1"/>
  <c r="AN528" i="1"/>
  <c r="W528" i="1" s="1"/>
  <c r="R528" i="1"/>
  <c r="AN537" i="1"/>
  <c r="W537" i="1" s="1"/>
  <c r="AN552" i="1"/>
  <c r="W552" i="1" s="1"/>
  <c r="R552" i="1"/>
  <c r="S556" i="1"/>
  <c r="S558" i="1"/>
  <c r="S566" i="1"/>
  <c r="AN572" i="1"/>
  <c r="C572" i="1"/>
  <c r="O456" i="1"/>
  <c r="O458" i="1"/>
  <c r="AN481" i="1"/>
  <c r="W481" i="1" s="1"/>
  <c r="P483" i="1"/>
  <c r="P489" i="1"/>
  <c r="S489" i="1" s="1"/>
  <c r="C493" i="1"/>
  <c r="AN493" i="1"/>
  <c r="W493" i="1" s="1"/>
  <c r="AN499" i="1"/>
  <c r="W499" i="1" s="1"/>
  <c r="C499" i="1"/>
  <c r="AS518" i="1"/>
  <c r="C518" i="1"/>
  <c r="S541" i="1"/>
  <c r="C597" i="1"/>
  <c r="AN597" i="1"/>
  <c r="W597" i="1" s="1"/>
  <c r="AN451" i="1"/>
  <c r="W451" i="1" s="1"/>
  <c r="AN459" i="1"/>
  <c r="O460" i="1"/>
  <c r="O465" i="1"/>
  <c r="C479" i="1"/>
  <c r="AS479" i="1"/>
  <c r="C484" i="1"/>
  <c r="AS499" i="1"/>
  <c r="S522" i="1"/>
  <c r="S534" i="1"/>
  <c r="AN542" i="1"/>
  <c r="W542" i="1" s="1"/>
  <c r="C542" i="1"/>
  <c r="S547" i="1"/>
  <c r="P562" i="1"/>
  <c r="O562" i="1"/>
  <c r="P570" i="1"/>
  <c r="S570" i="1" s="1"/>
  <c r="O570" i="1"/>
  <c r="P605" i="1"/>
  <c r="S605" i="1" s="1"/>
  <c r="O605" i="1"/>
  <c r="C440" i="1"/>
  <c r="P473" i="1"/>
  <c r="AN474" i="1"/>
  <c r="W474" i="1" s="1"/>
  <c r="O479" i="1"/>
  <c r="O484" i="1"/>
  <c r="AN489" i="1"/>
  <c r="W489" i="1" s="1"/>
  <c r="P499" i="1"/>
  <c r="S499" i="1" s="1"/>
  <c r="S505" i="1"/>
  <c r="S529" i="1"/>
  <c r="AN548" i="1"/>
  <c r="W548" i="1" s="1"/>
  <c r="AS562" i="1"/>
  <c r="C562" i="1"/>
  <c r="AN568" i="1"/>
  <c r="C568" i="1"/>
  <c r="C570" i="1"/>
  <c r="P580" i="1"/>
  <c r="S580" i="1" s="1"/>
  <c r="O580" i="1"/>
  <c r="P479" i="1"/>
  <c r="S479" i="1" s="1"/>
  <c r="O485" i="1"/>
  <c r="AN502" i="1"/>
  <c r="W502" i="1" s="1"/>
  <c r="C502" i="1"/>
  <c r="P530" i="1"/>
  <c r="S530" i="1" s="1"/>
  <c r="O530" i="1"/>
  <c r="R576" i="1"/>
  <c r="S576" i="1" s="1"/>
  <c r="AN576" i="1"/>
  <c r="W576" i="1" s="1"/>
  <c r="AS580" i="1"/>
  <c r="C580" i="1"/>
  <c r="C595" i="1"/>
  <c r="AN595" i="1"/>
  <c r="S573" i="1"/>
  <c r="P495" i="1"/>
  <c r="S495" i="1" s="1"/>
  <c r="P497" i="1"/>
  <c r="P504" i="1"/>
  <c r="P516" i="1"/>
  <c r="S516" i="1" s="1"/>
  <c r="P521" i="1"/>
  <c r="AN538" i="1"/>
  <c r="W538" i="1" s="1"/>
  <c r="AN544" i="1"/>
  <c r="P548" i="1"/>
  <c r="S548" i="1" s="1"/>
  <c r="P551" i="1"/>
  <c r="AN561" i="1"/>
  <c r="W561" i="1" s="1"/>
  <c r="P571" i="1"/>
  <c r="P586" i="1"/>
  <c r="S586" i="1" s="1"/>
  <c r="O586" i="1"/>
  <c r="P589" i="1"/>
  <c r="S589" i="1" s="1"/>
  <c r="O589" i="1"/>
  <c r="AN498" i="1"/>
  <c r="W498" i="1" s="1"/>
  <c r="O520" i="1"/>
  <c r="C531" i="1"/>
  <c r="C533" i="1"/>
  <c r="O537" i="1"/>
  <c r="O542" i="1"/>
  <c r="C546" i="1"/>
  <c r="O549" i="1"/>
  <c r="C553" i="1"/>
  <c r="C555" i="1"/>
  <c r="AN557" i="1"/>
  <c r="W557" i="1" s="1"/>
  <c r="O558" i="1"/>
  <c r="AN567" i="1"/>
  <c r="O568" i="1"/>
  <c r="O572" i="1"/>
  <c r="AS573" i="1"/>
  <c r="C585" i="1"/>
  <c r="AN585" i="1"/>
  <c r="W585" i="1" s="1"/>
  <c r="C586" i="1"/>
  <c r="AN591" i="1"/>
  <c r="W591" i="1" s="1"/>
  <c r="C591" i="1"/>
  <c r="P612" i="1"/>
  <c r="S612" i="1" s="1"/>
  <c r="O612" i="1"/>
  <c r="P618" i="1"/>
  <c r="S618" i="1" s="1"/>
  <c r="O618" i="1"/>
  <c r="AN530" i="1"/>
  <c r="W530" i="1" s="1"/>
  <c r="AS564" i="1"/>
  <c r="AS578" i="1"/>
  <c r="AN583" i="1"/>
  <c r="C583" i="1"/>
  <c r="P583" i="1"/>
  <c r="S583" i="1" s="1"/>
  <c r="O583" i="1"/>
  <c r="AN594" i="1"/>
  <c r="W594" i="1" s="1"/>
  <c r="R594" i="1"/>
  <c r="AN604" i="1"/>
  <c r="W604" i="1" s="1"/>
  <c r="C604" i="1"/>
  <c r="C618" i="1"/>
  <c r="AS618" i="1"/>
  <c r="C505" i="1"/>
  <c r="C507" i="1"/>
  <c r="C511" i="1"/>
  <c r="C514" i="1"/>
  <c r="C519" i="1"/>
  <c r="AN524" i="1"/>
  <c r="W524" i="1" s="1"/>
  <c r="C532" i="1"/>
  <c r="AN535" i="1"/>
  <c r="W535" i="1" s="1"/>
  <c r="AN540" i="1"/>
  <c r="W540" i="1" s="1"/>
  <c r="C547" i="1"/>
  <c r="C554" i="1"/>
  <c r="O566" i="1"/>
  <c r="O569" i="1"/>
  <c r="O505" i="1"/>
  <c r="O507" i="1"/>
  <c r="O509" i="1"/>
  <c r="O511" i="1"/>
  <c r="O514" i="1"/>
  <c r="O519" i="1"/>
  <c r="O522" i="1"/>
  <c r="O532" i="1"/>
  <c r="O534" i="1"/>
  <c r="O547" i="1"/>
  <c r="O554" i="1"/>
  <c r="O556" i="1"/>
  <c r="C563" i="1"/>
  <c r="O564" i="1"/>
  <c r="O573" i="1"/>
  <c r="C574" i="1"/>
  <c r="AN577" i="1"/>
  <c r="P596" i="1"/>
  <c r="O596" i="1"/>
  <c r="AS598" i="1"/>
  <c r="P598" i="1"/>
  <c r="S598" i="1" s="1"/>
  <c r="O598" i="1"/>
  <c r="C575" i="1"/>
  <c r="C581" i="1"/>
  <c r="P582" i="1"/>
  <c r="S582" i="1" s="1"/>
  <c r="C596" i="1"/>
  <c r="R596" i="1"/>
  <c r="AN596" i="1"/>
  <c r="C598" i="1"/>
  <c r="AS616" i="1"/>
  <c r="C616" i="1"/>
  <c r="AN628" i="1"/>
  <c r="W628" i="1" s="1"/>
  <c r="C628" i="1"/>
  <c r="AS629" i="1"/>
  <c r="AN631" i="1"/>
  <c r="W631" i="1" s="1"/>
  <c r="S633" i="1"/>
  <c r="AN637" i="1"/>
  <c r="W637" i="1" s="1"/>
  <c r="C637" i="1"/>
  <c r="C649" i="1"/>
  <c r="AN649" i="1"/>
  <c r="W649" i="1" s="1"/>
  <c r="O677" i="1"/>
  <c r="P677" i="1"/>
  <c r="S677" i="1" s="1"/>
  <c r="AN619" i="1"/>
  <c r="O629" i="1"/>
  <c r="AS638" i="1"/>
  <c r="O638" i="1"/>
  <c r="O655" i="1"/>
  <c r="P655" i="1"/>
  <c r="S655" i="1" s="1"/>
  <c r="P664" i="1"/>
  <c r="S664" i="1" s="1"/>
  <c r="O664" i="1"/>
  <c r="O601" i="1"/>
  <c r="O602" i="1"/>
  <c r="C605" i="1"/>
  <c r="O606" i="1"/>
  <c r="O608" i="1"/>
  <c r="C622" i="1"/>
  <c r="C638" i="1"/>
  <c r="AS639" i="1"/>
  <c r="C655" i="1"/>
  <c r="S656" i="1"/>
  <c r="P601" i="1"/>
  <c r="S601" i="1" s="1"/>
  <c r="AS601" i="1"/>
  <c r="P602" i="1"/>
  <c r="P606" i="1"/>
  <c r="S606" i="1" s="1"/>
  <c r="P608" i="1"/>
  <c r="S608" i="1" s="1"/>
  <c r="AN611" i="1"/>
  <c r="W611" i="1" s="1"/>
  <c r="P616" i="1"/>
  <c r="S616" i="1" s="1"/>
  <c r="AS619" i="1"/>
  <c r="AN621" i="1"/>
  <c r="W621" i="1" s="1"/>
  <c r="O622" i="1"/>
  <c r="O625" i="1"/>
  <c r="AN625" i="1"/>
  <c r="W625" i="1" s="1"/>
  <c r="P626" i="1"/>
  <c r="S626" i="1" s="1"/>
  <c r="C627" i="1"/>
  <c r="P629" i="1"/>
  <c r="S629" i="1" s="1"/>
  <c r="O630" i="1"/>
  <c r="AN633" i="1"/>
  <c r="C633" i="1"/>
  <c r="O634" i="1"/>
  <c r="C636" i="1"/>
  <c r="P638" i="1"/>
  <c r="S638" i="1" s="1"/>
  <c r="P639" i="1"/>
  <c r="C641" i="1"/>
  <c r="P647" i="1"/>
  <c r="S647" i="1" s="1"/>
  <c r="R650" i="1"/>
  <c r="S650" i="1" s="1"/>
  <c r="C679" i="1"/>
  <c r="AN679" i="1"/>
  <c r="C587" i="1"/>
  <c r="AN590" i="1"/>
  <c r="W590" i="1" s="1"/>
  <c r="O591" i="1"/>
  <c r="O595" i="1"/>
  <c r="O597" i="1"/>
  <c r="AS597" i="1"/>
  <c r="AN603" i="1"/>
  <c r="O604" i="1"/>
  <c r="AN617" i="1"/>
  <c r="W617" i="1" s="1"/>
  <c r="O619" i="1"/>
  <c r="P622" i="1"/>
  <c r="S622" i="1" s="1"/>
  <c r="AN629" i="1"/>
  <c r="P630" i="1"/>
  <c r="S630" i="1" s="1"/>
  <c r="O635" i="1"/>
  <c r="S637" i="1"/>
  <c r="C647" i="1"/>
  <c r="AN660" i="1"/>
  <c r="W660" i="1" s="1"/>
  <c r="C660" i="1"/>
  <c r="P674" i="1"/>
  <c r="S674" i="1" s="1"/>
  <c r="O674" i="1"/>
  <c r="AN592" i="1"/>
  <c r="O593" i="1"/>
  <c r="C600" i="1"/>
  <c r="C623" i="1"/>
  <c r="S625" i="1"/>
  <c r="O633" i="1"/>
  <c r="P634" i="1"/>
  <c r="S634" i="1" s="1"/>
  <c r="AN639" i="1"/>
  <c r="O647" i="1"/>
  <c r="O584" i="1"/>
  <c r="O600" i="1"/>
  <c r="C614" i="1"/>
  <c r="O615" i="1"/>
  <c r="AS620" i="1"/>
  <c r="P635" i="1"/>
  <c r="S635" i="1" s="1"/>
  <c r="P653" i="1"/>
  <c r="AN616" i="1"/>
  <c r="W616" i="1" s="1"/>
  <c r="AS637" i="1"/>
  <c r="P645" i="1"/>
  <c r="C662" i="1"/>
  <c r="AN664" i="1"/>
  <c r="W664" i="1" s="1"/>
  <c r="AS666" i="1"/>
  <c r="AN673" i="1"/>
  <c r="W673" i="1" s="1"/>
  <c r="C693" i="1"/>
  <c r="AN693" i="1"/>
  <c r="W693" i="1" s="1"/>
  <c r="C697" i="1"/>
  <c r="C707" i="1"/>
  <c r="AN652" i="1"/>
  <c r="W652" i="1" s="1"/>
  <c r="AS660" i="1"/>
  <c r="AN686" i="1"/>
  <c r="W686" i="1" s="1"/>
  <c r="AN690" i="1"/>
  <c r="W690" i="1" s="1"/>
  <c r="C690" i="1"/>
  <c r="AN696" i="1"/>
  <c r="W696" i="1" s="1"/>
  <c r="AN701" i="1"/>
  <c r="AS703" i="1"/>
  <c r="AN706" i="1"/>
  <c r="AS667" i="1"/>
  <c r="P684" i="1"/>
  <c r="C688" i="1"/>
  <c r="AS690" i="1"/>
  <c r="AN692" i="1"/>
  <c r="C695" i="1"/>
  <c r="AN695" i="1"/>
  <c r="P696" i="1"/>
  <c r="S696" i="1" s="1"/>
  <c r="P734" i="1"/>
  <c r="O734" i="1"/>
  <c r="AN645" i="1"/>
  <c r="AS661" i="1"/>
  <c r="C676" i="1"/>
  <c r="C699" i="1"/>
  <c r="AN699" i="1"/>
  <c r="P703" i="1"/>
  <c r="S703" i="1" s="1"/>
  <c r="O703" i="1"/>
  <c r="O661" i="1"/>
  <c r="C665" i="1"/>
  <c r="AS665" i="1"/>
  <c r="P668" i="1"/>
  <c r="P676" i="1"/>
  <c r="S676" i="1" s="1"/>
  <c r="C677" i="1"/>
  <c r="AN678" i="1"/>
  <c r="W678" i="1" s="1"/>
  <c r="C678" i="1"/>
  <c r="S685" i="1"/>
  <c r="O732" i="1"/>
  <c r="P732" i="1"/>
  <c r="S732" i="1" s="1"/>
  <c r="AN659" i="1"/>
  <c r="W659" i="1" s="1"/>
  <c r="C659" i="1"/>
  <c r="AN667" i="1"/>
  <c r="W667" i="1" s="1"/>
  <c r="AS682" i="1"/>
  <c r="O682" i="1"/>
  <c r="C713" i="1"/>
  <c r="AN713" i="1"/>
  <c r="O713" i="1"/>
  <c r="P713" i="1"/>
  <c r="S713" i="1" s="1"/>
  <c r="C725" i="1"/>
  <c r="AN725" i="1"/>
  <c r="W725" i="1" s="1"/>
  <c r="P725" i="1"/>
  <c r="S725" i="1" s="1"/>
  <c r="O725" i="1"/>
  <c r="C657" i="1"/>
  <c r="R668" i="1"/>
  <c r="P701" i="1"/>
  <c r="AN723" i="1"/>
  <c r="W723" i="1" s="1"/>
  <c r="C762" i="1"/>
  <c r="AN776" i="1"/>
  <c r="W776" i="1" s="1"/>
  <c r="C776" i="1"/>
  <c r="O770" i="1"/>
  <c r="P770" i="1"/>
  <c r="S770" i="1" s="1"/>
  <c r="AN717" i="1"/>
  <c r="W717" i="1" s="1"/>
  <c r="S728" i="1"/>
  <c r="AS732" i="1"/>
  <c r="C732" i="1"/>
  <c r="AS734" i="1"/>
  <c r="C734" i="1"/>
  <c r="AS745" i="1"/>
  <c r="AN767" i="1"/>
  <c r="W767" i="1" s="1"/>
  <c r="C767" i="1"/>
  <c r="AS770" i="1"/>
  <c r="C782" i="1"/>
  <c r="AN782" i="1"/>
  <c r="C669" i="1"/>
  <c r="P694" i="1"/>
  <c r="AN700" i="1"/>
  <c r="AN704" i="1"/>
  <c r="AN708" i="1"/>
  <c r="W708" i="1" s="1"/>
  <c r="C708" i="1"/>
  <c r="O717" i="1"/>
  <c r="AS717" i="1"/>
  <c r="O727" i="1"/>
  <c r="C736" i="1"/>
  <c r="P736" i="1"/>
  <c r="O736" i="1"/>
  <c r="C738" i="1"/>
  <c r="P738" i="1"/>
  <c r="S738" i="1" s="1"/>
  <c r="O738" i="1"/>
  <c r="C757" i="1"/>
  <c r="AN757" i="1"/>
  <c r="AS762" i="1"/>
  <c r="C716" i="1"/>
  <c r="AN716" i="1"/>
  <c r="O718" i="1"/>
  <c r="AS719" i="1"/>
  <c r="AN731" i="1"/>
  <c r="C731" i="1"/>
  <c r="O731" i="1"/>
  <c r="AS736" i="1"/>
  <c r="AN740" i="1"/>
  <c r="C740" i="1"/>
  <c r="P740" i="1"/>
  <c r="O740" i="1"/>
  <c r="C749" i="1"/>
  <c r="AN749" i="1"/>
  <c r="O663" i="1"/>
  <c r="AS663" i="1"/>
  <c r="AN711" i="1"/>
  <c r="C711" i="1"/>
  <c r="AS718" i="1"/>
  <c r="C718" i="1"/>
  <c r="AN720" i="1"/>
  <c r="W720" i="1" s="1"/>
  <c r="P760" i="1"/>
  <c r="S760" i="1" s="1"/>
  <c r="O760" i="1"/>
  <c r="O771" i="1"/>
  <c r="P771" i="1"/>
  <c r="S771" i="1" s="1"/>
  <c r="AS687" i="1"/>
  <c r="O720" i="1"/>
  <c r="P720" i="1"/>
  <c r="AN722" i="1"/>
  <c r="W722" i="1" s="1"/>
  <c r="AN724" i="1"/>
  <c r="W724" i="1" s="1"/>
  <c r="AN726" i="1"/>
  <c r="C726" i="1"/>
  <c r="O726" i="1"/>
  <c r="C730" i="1"/>
  <c r="P731" i="1"/>
  <c r="S731" i="1" s="1"/>
  <c r="AN735" i="1"/>
  <c r="W735" i="1" s="1"/>
  <c r="C735" i="1"/>
  <c r="C759" i="1"/>
  <c r="AS759" i="1"/>
  <c r="AS727" i="1"/>
  <c r="AS743" i="1"/>
  <c r="AN745" i="1"/>
  <c r="W745" i="1" s="1"/>
  <c r="C745" i="1"/>
  <c r="P745" i="1"/>
  <c r="S745" i="1" s="1"/>
  <c r="O745" i="1"/>
  <c r="C753" i="1"/>
  <c r="AN753" i="1"/>
  <c r="P762" i="1"/>
  <c r="S762" i="1" s="1"/>
  <c r="O762" i="1"/>
  <c r="AN777" i="1"/>
  <c r="W777" i="1" s="1"/>
  <c r="C777" i="1"/>
  <c r="O723" i="1"/>
  <c r="AN741" i="1"/>
  <c r="W741" i="1" s="1"/>
  <c r="C741" i="1"/>
  <c r="P744" i="1"/>
  <c r="S744" i="1" s="1"/>
  <c r="O744" i="1"/>
  <c r="AS744" i="1"/>
  <c r="AN762" i="1"/>
  <c r="W762" i="1" s="1"/>
  <c r="C770" i="1"/>
  <c r="AS771" i="1"/>
  <c r="C771" i="1"/>
  <c r="C779" i="1"/>
  <c r="AN772" i="1"/>
  <c r="C772" i="1"/>
  <c r="O772" i="1"/>
  <c r="P772" i="1"/>
  <c r="S772" i="1" s="1"/>
  <c r="AS775" i="1"/>
  <c r="O775" i="1"/>
  <c r="P775" i="1"/>
  <c r="S775" i="1" s="1"/>
  <c r="AN780" i="1"/>
  <c r="C780" i="1"/>
  <c r="P809" i="1"/>
  <c r="S809" i="1" s="1"/>
  <c r="O809" i="1"/>
  <c r="C760" i="1"/>
  <c r="AS760" i="1"/>
  <c r="AN766" i="1"/>
  <c r="W766" i="1" s="1"/>
  <c r="C769" i="1"/>
  <c r="C775" i="1"/>
  <c r="AN806" i="1"/>
  <c r="W806" i="1" s="1"/>
  <c r="C806" i="1"/>
  <c r="C809" i="1"/>
  <c r="AN742" i="1"/>
  <c r="W742" i="1" s="1"/>
  <c r="C742" i="1"/>
  <c r="O769" i="1"/>
  <c r="S806" i="1"/>
  <c r="P746" i="1"/>
  <c r="S746" i="1" s="1"/>
  <c r="O746" i="1"/>
  <c r="AS746" i="1"/>
  <c r="AN758" i="1"/>
  <c r="O761" i="1"/>
  <c r="AN765" i="1"/>
  <c r="W765" i="1" s="1"/>
  <c r="P769" i="1"/>
  <c r="S769" i="1" s="1"/>
  <c r="P804" i="1"/>
  <c r="O804" i="1"/>
  <c r="O704" i="1"/>
  <c r="O712" i="1"/>
  <c r="AN719" i="1"/>
  <c r="W719" i="1" s="1"/>
  <c r="C719" i="1"/>
  <c r="P742" i="1"/>
  <c r="AS742" i="1"/>
  <c r="C746" i="1"/>
  <c r="AN748" i="1"/>
  <c r="W748" i="1" s="1"/>
  <c r="AN752" i="1"/>
  <c r="P761" i="1"/>
  <c r="S761" i="1" s="1"/>
  <c r="AS763" i="1"/>
  <c r="AS804" i="1"/>
  <c r="C804" i="1"/>
  <c r="AS729" i="1"/>
  <c r="AS737" i="1"/>
  <c r="AS739" i="1"/>
  <c r="AN743" i="1"/>
  <c r="W743" i="1" s="1"/>
  <c r="C743" i="1"/>
  <c r="P747" i="1"/>
  <c r="S747" i="1" s="1"/>
  <c r="O747" i="1"/>
  <c r="AN795" i="1"/>
  <c r="W795" i="1" s="1"/>
  <c r="C795" i="1"/>
  <c r="P795" i="1"/>
  <c r="S795" i="1" s="1"/>
  <c r="O795" i="1"/>
  <c r="AS801" i="1"/>
  <c r="P801" i="1"/>
  <c r="S801" i="1" s="1"/>
  <c r="O801" i="1"/>
  <c r="AS778" i="1"/>
  <c r="R804" i="1"/>
  <c r="AN804" i="1"/>
  <c r="W804" i="1" s="1"/>
  <c r="AN810" i="1"/>
  <c r="W810" i="1" s="1"/>
  <c r="C810" i="1"/>
  <c r="AN811" i="1"/>
  <c r="W811" i="1" s="1"/>
  <c r="C811" i="1"/>
  <c r="AS815" i="1"/>
  <c r="AS803" i="1"/>
  <c r="P803" i="1"/>
  <c r="O803" i="1"/>
  <c r="AN796" i="1"/>
  <c r="C796" i="1"/>
  <c r="AS797" i="1"/>
  <c r="R803" i="1"/>
  <c r="AN803" i="1"/>
  <c r="W803" i="1" s="1"/>
  <c r="AN778" i="1"/>
  <c r="AN783" i="1"/>
  <c r="AS787" i="1"/>
  <c r="AN797" i="1"/>
  <c r="C797" i="1"/>
  <c r="P797" i="1"/>
  <c r="S797" i="1" s="1"/>
  <c r="O797" i="1"/>
  <c r="AN798" i="1"/>
  <c r="W798" i="1" s="1"/>
  <c r="C798" i="1"/>
  <c r="P798" i="1"/>
  <c r="S798" i="1" s="1"/>
  <c r="O798" i="1"/>
  <c r="AS802" i="1"/>
  <c r="P802" i="1"/>
  <c r="S802" i="1" s="1"/>
  <c r="O802" i="1"/>
  <c r="P805" i="1"/>
  <c r="S805" i="1" s="1"/>
  <c r="O805" i="1"/>
  <c r="AN809" i="1"/>
  <c r="W809" i="1" s="1"/>
  <c r="AN813" i="1"/>
  <c r="C813" i="1"/>
  <c r="O813" i="1"/>
  <c r="P813" i="1"/>
  <c r="S813" i="1" s="1"/>
  <c r="AN856" i="1"/>
  <c r="C856" i="1"/>
  <c r="P858" i="1"/>
  <c r="AN816" i="1"/>
  <c r="C816" i="1"/>
  <c r="AN859" i="1"/>
  <c r="C859" i="1"/>
  <c r="P859" i="1"/>
  <c r="S859" i="1" s="1"/>
  <c r="O859" i="1"/>
  <c r="AS813" i="1"/>
  <c r="AN854" i="1"/>
  <c r="C854" i="1"/>
  <c r="AS856" i="1"/>
  <c r="AS859" i="1"/>
  <c r="O806" i="1"/>
  <c r="O810" i="1"/>
  <c r="O811" i="1"/>
  <c r="AN814" i="1"/>
  <c r="C814" i="1"/>
  <c r="P816" i="1"/>
  <c r="AS816" i="1"/>
  <c r="AN857" i="1"/>
  <c r="C857" i="1"/>
  <c r="P860" i="1"/>
  <c r="S860" i="1" s="1"/>
  <c r="O860" i="1"/>
  <c r="O792" i="1"/>
  <c r="AS811" i="1"/>
  <c r="AN817" i="1"/>
  <c r="W817" i="1" s="1"/>
  <c r="C817" i="1"/>
  <c r="P854" i="1"/>
  <c r="S854" i="1" s="1"/>
  <c r="AS854" i="1"/>
  <c r="AN886" i="1"/>
  <c r="R886" i="1"/>
  <c r="O781" i="1"/>
  <c r="AS800" i="1"/>
  <c r="AS808" i="1"/>
  <c r="AN812" i="1"/>
  <c r="C812" i="1"/>
  <c r="AN855" i="1"/>
  <c r="C855" i="1"/>
  <c r="O886" i="1"/>
  <c r="AN815" i="1"/>
  <c r="W815" i="1" s="1"/>
  <c r="C815" i="1"/>
  <c r="AN858" i="1"/>
  <c r="C858" i="1"/>
  <c r="AS861" i="1"/>
  <c r="AS862" i="1"/>
  <c r="AS884" i="1"/>
  <c r="AS885" i="1"/>
  <c r="AC933" i="1" l="1"/>
  <c r="AE933" i="1" s="1"/>
  <c r="AC846" i="1"/>
  <c r="AE846" i="1" s="1"/>
  <c r="AC843" i="1"/>
  <c r="AE843" i="1" s="1"/>
  <c r="AE876" i="1"/>
  <c r="AC839" i="1"/>
  <c r="AE839" i="1" s="1"/>
  <c r="AD865" i="1"/>
  <c r="AC1036" i="1"/>
  <c r="AE1036" i="1" s="1"/>
  <c r="AC841" i="1"/>
  <c r="AE841" i="1" s="1"/>
  <c r="AD910" i="1"/>
  <c r="V568" i="1"/>
  <c r="V97" i="1"/>
  <c r="V811" i="1"/>
  <c r="V34" i="1"/>
  <c r="V817" i="1"/>
  <c r="V130" i="1"/>
  <c r="V536" i="1"/>
  <c r="V764" i="1"/>
  <c r="AD1027" i="1"/>
  <c r="AE819" i="1"/>
  <c r="AE1031" i="1"/>
  <c r="AE978" i="1"/>
  <c r="AE906" i="1"/>
  <c r="AE979" i="1"/>
  <c r="AE1033" i="1"/>
  <c r="AE818" i="1"/>
  <c r="AE949" i="1"/>
  <c r="AE967" i="1"/>
  <c r="AE835" i="1"/>
  <c r="AE986" i="1"/>
  <c r="AE974" i="1"/>
  <c r="AE968" i="1"/>
  <c r="AE868" i="1"/>
  <c r="AE938" i="1"/>
  <c r="AE950" i="1"/>
  <c r="AE1032" i="1"/>
  <c r="AE913" i="1"/>
  <c r="AE982" i="1"/>
  <c r="AE984" i="1"/>
  <c r="AE975" i="1"/>
  <c r="AE908" i="1"/>
  <c r="AE840" i="1"/>
  <c r="AE957" i="1"/>
  <c r="AE980" i="1"/>
  <c r="AE970" i="1"/>
  <c r="AE976" i="1"/>
  <c r="AE912" i="1"/>
  <c r="AE1034" i="1"/>
  <c r="AE985" i="1"/>
  <c r="AE977" i="1"/>
  <c r="AE966" i="1"/>
  <c r="AE881" i="1"/>
  <c r="AE971" i="1"/>
  <c r="AE1030" i="1"/>
  <c r="AE888" i="1"/>
  <c r="AE1035" i="1"/>
  <c r="AE981" i="1"/>
  <c r="AE969" i="1"/>
  <c r="AE983" i="1"/>
  <c r="V187" i="1"/>
  <c r="V554" i="1"/>
  <c r="AB554" i="1" s="1"/>
  <c r="AD554" i="1" s="1"/>
  <c r="V461" i="1"/>
  <c r="V172" i="1"/>
  <c r="V483" i="1"/>
  <c r="V359" i="1"/>
  <c r="V286" i="1"/>
  <c r="V814" i="1"/>
  <c r="V623" i="1"/>
  <c r="V558" i="1"/>
  <c r="V453" i="1"/>
  <c r="AB453" i="1" s="1"/>
  <c r="V549" i="1"/>
  <c r="V253" i="1"/>
  <c r="V218" i="1"/>
  <c r="V670" i="1"/>
  <c r="V663" i="1"/>
  <c r="V165" i="1"/>
  <c r="AB165" i="1" s="1"/>
  <c r="V472" i="1"/>
  <c r="V691" i="1"/>
  <c r="V810" i="1"/>
  <c r="V195" i="1"/>
  <c r="V90" i="1"/>
  <c r="AB90" i="1" s="1"/>
  <c r="V627" i="1"/>
  <c r="V289" i="1"/>
  <c r="AB289" i="1" s="1"/>
  <c r="V125" i="1"/>
  <c r="V510" i="1"/>
  <c r="V544" i="1"/>
  <c r="V262" i="1"/>
  <c r="AB262" i="1" s="1"/>
  <c r="V492" i="1"/>
  <c r="AB492" i="1" s="1"/>
  <c r="V438" i="1"/>
  <c r="V312" i="1"/>
  <c r="V466" i="1"/>
  <c r="V41" i="1"/>
  <c r="AB41" i="1" s="1"/>
  <c r="AD41" i="1" s="1"/>
  <c r="V70" i="1"/>
  <c r="V538" i="1"/>
  <c r="V347" i="1"/>
  <c r="V32" i="1"/>
  <c r="V710" i="1"/>
  <c r="AB710" i="1" s="1"/>
  <c r="AC710" i="1" s="1"/>
  <c r="V227" i="1"/>
  <c r="V329" i="1"/>
  <c r="V308" i="1"/>
  <c r="V340" i="1"/>
  <c r="V10" i="1"/>
  <c r="V723" i="1"/>
  <c r="V682" i="1"/>
  <c r="V547" i="1"/>
  <c r="V350" i="1"/>
  <c r="V311" i="1"/>
  <c r="V684" i="1"/>
  <c r="V21" i="1"/>
  <c r="V206" i="1"/>
  <c r="V770" i="1"/>
  <c r="AB770" i="1" s="1"/>
  <c r="AC770" i="1" s="1"/>
  <c r="V619" i="1"/>
  <c r="V522" i="1"/>
  <c r="AB522" i="1" s="1"/>
  <c r="V679" i="1"/>
  <c r="V746" i="1"/>
  <c r="AB746" i="1" s="1"/>
  <c r="V133" i="1"/>
  <c r="V93" i="1"/>
  <c r="V191" i="1"/>
  <c r="V38" i="1"/>
  <c r="V226" i="1"/>
  <c r="V250" i="1"/>
  <c r="V501" i="1"/>
  <c r="V738" i="1"/>
  <c r="AB738" i="1" s="1"/>
  <c r="V541" i="1"/>
  <c r="V464" i="1"/>
  <c r="V339" i="1"/>
  <c r="V537" i="1"/>
  <c r="V239" i="1"/>
  <c r="V257" i="1"/>
  <c r="V132" i="1"/>
  <c r="V325" i="1"/>
  <c r="V15" i="1"/>
  <c r="V542" i="1"/>
  <c r="V295" i="1"/>
  <c r="AB295" i="1" s="1"/>
  <c r="AD295" i="1" s="1"/>
  <c r="V5" i="1"/>
  <c r="V693" i="1"/>
  <c r="V377" i="1"/>
  <c r="V766" i="1"/>
  <c r="V367" i="1"/>
  <c r="V305" i="1"/>
  <c r="V193" i="1"/>
  <c r="V797" i="1"/>
  <c r="V214" i="1"/>
  <c r="V374" i="1"/>
  <c r="V215" i="1"/>
  <c r="AB215" i="1" s="1"/>
  <c r="V122" i="1"/>
  <c r="AB122" i="1" s="1"/>
  <c r="AD122" i="1" s="1"/>
  <c r="V126" i="1"/>
  <c r="V615" i="1"/>
  <c r="V587" i="1"/>
  <c r="V622" i="1"/>
  <c r="V518" i="1"/>
  <c r="V338" i="1"/>
  <c r="V341" i="1"/>
  <c r="V284" i="1"/>
  <c r="V264" i="1"/>
  <c r="V293" i="1"/>
  <c r="V159" i="1"/>
  <c r="AB159" i="1" s="1"/>
  <c r="V753" i="1"/>
  <c r="V407" i="1"/>
  <c r="V129" i="1"/>
  <c r="V156" i="1"/>
  <c r="V577" i="1"/>
  <c r="V722" i="1"/>
  <c r="V430" i="1"/>
  <c r="V592" i="1"/>
  <c r="V35" i="1"/>
  <c r="V335" i="1"/>
  <c r="V694" i="1"/>
  <c r="V595" i="1"/>
  <c r="V639" i="1"/>
  <c r="V353" i="1"/>
  <c r="V142" i="1"/>
  <c r="V105" i="1"/>
  <c r="V158" i="1"/>
  <c r="AB158" i="1" s="1"/>
  <c r="AC158" i="1" s="1"/>
  <c r="V761" i="1"/>
  <c r="V593" i="1"/>
  <c r="V346" i="1"/>
  <c r="V309" i="1"/>
  <c r="V320" i="1"/>
  <c r="V118" i="1"/>
  <c r="AB118" i="1" s="1"/>
  <c r="AD118" i="1" s="1"/>
  <c r="V792" i="1"/>
  <c r="V591" i="1"/>
  <c r="V572" i="1"/>
  <c r="V331" i="1"/>
  <c r="V304" i="1"/>
  <c r="V203" i="1"/>
  <c r="V42" i="1"/>
  <c r="V671" i="1"/>
  <c r="V476" i="1"/>
  <c r="V647" i="1"/>
  <c r="V442" i="1"/>
  <c r="V405" i="1"/>
  <c r="V372" i="1"/>
  <c r="V188" i="1"/>
  <c r="V785" i="1"/>
  <c r="V793" i="1"/>
  <c r="V529" i="1"/>
  <c r="V86" i="1"/>
  <c r="V762" i="1"/>
  <c r="V734" i="1"/>
  <c r="AB734" i="1" s="1"/>
  <c r="V674" i="1"/>
  <c r="V618" i="1"/>
  <c r="AB618" i="1" s="1"/>
  <c r="AC618" i="1" s="1"/>
  <c r="AE618" i="1" s="1"/>
  <c r="V570" i="1"/>
  <c r="V515" i="1"/>
  <c r="V387" i="1"/>
  <c r="V219" i="1"/>
  <c r="V147" i="1"/>
  <c r="AB147" i="1" s="1"/>
  <c r="V137" i="1"/>
  <c r="V47" i="1"/>
  <c r="AB47" i="1" s="1"/>
  <c r="AD47" i="1" s="1"/>
  <c r="V269" i="1"/>
  <c r="V29" i="1"/>
  <c r="V31" i="1"/>
  <c r="V446" i="1"/>
  <c r="V327" i="1"/>
  <c r="V886" i="1"/>
  <c r="V704" i="1"/>
  <c r="V436" i="1"/>
  <c r="V236" i="1"/>
  <c r="V654" i="1"/>
  <c r="AB654" i="1" s="1"/>
  <c r="AC654" i="1" s="1"/>
  <c r="V701" i="1"/>
  <c r="V263" i="1"/>
  <c r="V401" i="1"/>
  <c r="V276" i="1"/>
  <c r="V259" i="1"/>
  <c r="V141" i="1"/>
  <c r="V107" i="1"/>
  <c r="AB107" i="1" s="1"/>
  <c r="AD107" i="1" s="1"/>
  <c r="V733" i="1"/>
  <c r="V360" i="1"/>
  <c r="V76" i="1"/>
  <c r="V473" i="1"/>
  <c r="V258" i="1"/>
  <c r="V531" i="1"/>
  <c r="V628" i="1"/>
  <c r="V571" i="1"/>
  <c r="V808" i="1"/>
  <c r="V164" i="1"/>
  <c r="V574" i="1"/>
  <c r="V714" i="1"/>
  <c r="V389" i="1"/>
  <c r="V266" i="1"/>
  <c r="V781" i="1"/>
  <c r="V645" i="1"/>
  <c r="V532" i="1"/>
  <c r="V420" i="1"/>
  <c r="V343" i="1"/>
  <c r="V273" i="1"/>
  <c r="V153" i="1"/>
  <c r="AB153" i="1" s="1"/>
  <c r="AD153" i="1" s="1"/>
  <c r="V117" i="1"/>
  <c r="V794" i="1"/>
  <c r="AB794" i="1" s="1"/>
  <c r="V310" i="1"/>
  <c r="V9" i="1"/>
  <c r="V14" i="1"/>
  <c r="V751" i="1"/>
  <c r="V186" i="1"/>
  <c r="V402" i="1"/>
  <c r="V675" i="1"/>
  <c r="V351" i="1"/>
  <c r="V641" i="1"/>
  <c r="V452" i="1"/>
  <c r="V454" i="1"/>
  <c r="V252" i="1"/>
  <c r="V782" i="1"/>
  <c r="V406" i="1"/>
  <c r="V813" i="1"/>
  <c r="V775" i="1"/>
  <c r="V720" i="1"/>
  <c r="AB720" i="1" s="1"/>
  <c r="V661" i="1"/>
  <c r="AB661" i="1" s="1"/>
  <c r="V653" i="1"/>
  <c r="V604" i="1"/>
  <c r="V511" i="1"/>
  <c r="V465" i="1"/>
  <c r="V475" i="1"/>
  <c r="V426" i="1"/>
  <c r="V398" i="1"/>
  <c r="V324" i="1"/>
  <c r="V274" i="1"/>
  <c r="V237" i="1"/>
  <c r="V302" i="1"/>
  <c r="AB302" i="1" s="1"/>
  <c r="V185" i="1"/>
  <c r="V110" i="1"/>
  <c r="V112" i="1"/>
  <c r="V19" i="1"/>
  <c r="V791" i="1"/>
  <c r="V780" i="1"/>
  <c r="V614" i="1"/>
  <c r="AB614" i="1" s="1"/>
  <c r="V528" i="1"/>
  <c r="V437" i="1"/>
  <c r="V139" i="1"/>
  <c r="V82" i="1"/>
  <c r="V85" i="1"/>
  <c r="V6" i="1"/>
  <c r="V636" i="1"/>
  <c r="AB636" i="1" s="1"/>
  <c r="AD636" i="1" s="1"/>
  <c r="V318" i="1"/>
  <c r="V180" i="1"/>
  <c r="V462" i="1"/>
  <c r="AB462" i="1" s="1"/>
  <c r="V74" i="1"/>
  <c r="V279" i="1"/>
  <c r="V221" i="1"/>
  <c r="V859" i="1"/>
  <c r="V795" i="1"/>
  <c r="V743" i="1"/>
  <c r="V744" i="1"/>
  <c r="V736" i="1"/>
  <c r="V703" i="1"/>
  <c r="V608" i="1"/>
  <c r="V573" i="1"/>
  <c r="V509" i="1"/>
  <c r="V612" i="1"/>
  <c r="V589" i="1"/>
  <c r="V484" i="1"/>
  <c r="V460" i="1"/>
  <c r="V539" i="1"/>
  <c r="V470" i="1"/>
  <c r="V361" i="1"/>
  <c r="V319" i="1"/>
  <c r="V337" i="1"/>
  <c r="V429" i="1"/>
  <c r="AB429" i="1" s="1"/>
  <c r="AD429" i="1" s="1"/>
  <c r="V409" i="1"/>
  <c r="V249" i="1"/>
  <c r="V229" i="1"/>
  <c r="AB229" i="1" s="1"/>
  <c r="AE229" i="1" s="1"/>
  <c r="V323" i="1"/>
  <c r="V127" i="1"/>
  <c r="V78" i="1"/>
  <c r="V131" i="1"/>
  <c r="V43" i="1"/>
  <c r="AB43" i="1" s="1"/>
  <c r="AD43" i="1" s="1"/>
  <c r="V30" i="1"/>
  <c r="V790" i="1"/>
  <c r="V705" i="1"/>
  <c r="V652" i="1"/>
  <c r="V527" i="1"/>
  <c r="V610" i="1"/>
  <c r="V383" i="1"/>
  <c r="V422" i="1"/>
  <c r="V354" i="1"/>
  <c r="V296" i="1"/>
  <c r="V299" i="1"/>
  <c r="V246" i="1"/>
  <c r="AB246" i="1" s="1"/>
  <c r="V8" i="1"/>
  <c r="V362" i="1"/>
  <c r="AB362" i="1" s="1"/>
  <c r="V800" i="1"/>
  <c r="V759" i="1"/>
  <c r="V721" i="1"/>
  <c r="V594" i="1"/>
  <c r="V575" i="1"/>
  <c r="V178" i="1"/>
  <c r="V272" i="1"/>
  <c r="V204" i="1"/>
  <c r="V106" i="1"/>
  <c r="V241" i="1"/>
  <c r="V440" i="1"/>
  <c r="AB440" i="1" s="1"/>
  <c r="V375" i="1"/>
  <c r="V68" i="1"/>
  <c r="AB68" i="1" s="1"/>
  <c r="AD68" i="1" s="1"/>
  <c r="V363" i="1"/>
  <c r="V381" i="1"/>
  <c r="V23" i="1"/>
  <c r="V183" i="1"/>
  <c r="V7" i="1"/>
  <c r="V441" i="1"/>
  <c r="V89" i="1"/>
  <c r="AB89" i="1" s="1"/>
  <c r="AD89" i="1" s="1"/>
  <c r="V768" i="1"/>
  <c r="V697" i="1"/>
  <c r="V728" i="1"/>
  <c r="V73" i="1"/>
  <c r="V88" i="1"/>
  <c r="V804" i="1"/>
  <c r="V633" i="1"/>
  <c r="V13" i="1"/>
  <c r="V174" i="1"/>
  <c r="AB174" i="1" s="1"/>
  <c r="V699" i="1"/>
  <c r="V657" i="1"/>
  <c r="V513" i="1"/>
  <c r="V244" i="1"/>
  <c r="AB244" i="1" s="1"/>
  <c r="V119" i="1"/>
  <c r="AB119" i="1" s="1"/>
  <c r="AD119" i="1" s="1"/>
  <c r="V708" i="1"/>
  <c r="V83" i="1"/>
  <c r="V631" i="1"/>
  <c r="V478" i="1"/>
  <c r="AB478" i="1" s="1"/>
  <c r="AD478" i="1" s="1"/>
  <c r="V207" i="1"/>
  <c r="V482" i="1"/>
  <c r="V642" i="1"/>
  <c r="V380" i="1"/>
  <c r="V260" i="1"/>
  <c r="V349" i="1"/>
  <c r="V287" i="1"/>
  <c r="V233" i="1"/>
  <c r="AB233" i="1" s="1"/>
  <c r="V216" i="1"/>
  <c r="AB216" i="1" s="1"/>
  <c r="AD216" i="1" s="1"/>
  <c r="V222" i="1"/>
  <c r="V769" i="1"/>
  <c r="AB769" i="1" s="1"/>
  <c r="AC769" i="1" s="1"/>
  <c r="V718" i="1"/>
  <c r="AB718" i="1" s="1"/>
  <c r="AE718" i="1" s="1"/>
  <c r="V635" i="1"/>
  <c r="AB635" i="1" s="1"/>
  <c r="V597" i="1"/>
  <c r="V556" i="1"/>
  <c r="V433" i="1"/>
  <c r="V121" i="1"/>
  <c r="AB121" i="1" s="1"/>
  <c r="AD121" i="1" s="1"/>
  <c r="V45" i="1"/>
  <c r="AB45" i="1" s="1"/>
  <c r="AD45" i="1" s="1"/>
  <c r="V28" i="1"/>
  <c r="V33" i="1"/>
  <c r="V815" i="1"/>
  <c r="V585" i="1"/>
  <c r="V448" i="1"/>
  <c r="V373" i="1"/>
  <c r="V355" i="1"/>
  <c r="V330" i="1"/>
  <c r="V669" i="1"/>
  <c r="V421" i="1"/>
  <c r="V379" i="1"/>
  <c r="V58" i="1"/>
  <c r="V620" i="1"/>
  <c r="AB620" i="1" s="1"/>
  <c r="AD620" i="1" s="1"/>
  <c r="V445" i="1"/>
  <c r="V108" i="1"/>
  <c r="AB108" i="1" s="1"/>
  <c r="AD108" i="1" s="1"/>
  <c r="V651" i="1"/>
  <c r="AB651" i="1" s="1"/>
  <c r="AD651" i="1" s="1"/>
  <c r="V431" i="1"/>
  <c r="AB431" i="1" s="1"/>
  <c r="V681" i="1"/>
  <c r="AB681" i="1" s="1"/>
  <c r="V64" i="1"/>
  <c r="V120" i="1"/>
  <c r="AB120" i="1" s="1"/>
  <c r="AD120" i="1" s="1"/>
  <c r="V144" i="1"/>
  <c r="V799" i="1"/>
  <c r="V566" i="1"/>
  <c r="V860" i="1"/>
  <c r="V858" i="1"/>
  <c r="V717" i="1"/>
  <c r="V267" i="1"/>
  <c r="V39" i="1"/>
  <c r="V79" i="1"/>
  <c r="V730" i="1"/>
  <c r="V644" i="1"/>
  <c r="V552" i="1"/>
  <c r="V467" i="1"/>
  <c r="V550" i="1"/>
  <c r="V417" i="1"/>
  <c r="V588" i="1"/>
  <c r="V672" i="1"/>
  <c r="V66" i="1"/>
  <c r="V456" i="1"/>
  <c r="V416" i="1"/>
  <c r="V196" i="1"/>
  <c r="V57" i="1"/>
  <c r="AB57" i="1" s="1"/>
  <c r="V857" i="1"/>
  <c r="V735" i="1"/>
  <c r="V621" i="1"/>
  <c r="V707" i="1"/>
  <c r="V459" i="1"/>
  <c r="V533" i="1"/>
  <c r="V67" i="1"/>
  <c r="V432" i="1"/>
  <c r="V613" i="1"/>
  <c r="V143" i="1"/>
  <c r="V455" i="1"/>
  <c r="V690" i="1"/>
  <c r="V640" i="1"/>
  <c r="AB640" i="1" s="1"/>
  <c r="V65" i="1"/>
  <c r="V60" i="1"/>
  <c r="V776" i="1"/>
  <c r="V419" i="1"/>
  <c r="V128" i="1"/>
  <c r="V394" i="1"/>
  <c r="V488" i="1"/>
  <c r="AB488" i="1" s="1"/>
  <c r="V617" i="1"/>
  <c r="V102" i="1"/>
  <c r="V72" i="1"/>
  <c r="V160" i="1"/>
  <c r="AB160" i="1" s="1"/>
  <c r="V18" i="1"/>
  <c r="V787" i="1"/>
  <c r="V228" i="1"/>
  <c r="V271" i="1"/>
  <c r="V624" i="1"/>
  <c r="V427" i="1"/>
  <c r="V395" i="1"/>
  <c r="V71" i="1"/>
  <c r="V230" i="1"/>
  <c r="V95" i="1"/>
  <c r="V784" i="1"/>
  <c r="V664" i="1"/>
  <c r="V534" i="1"/>
  <c r="V605" i="1"/>
  <c r="V494" i="1"/>
  <c r="V512" i="1"/>
  <c r="V480" i="1"/>
  <c r="V411" i="1"/>
  <c r="V163" i="1"/>
  <c r="V100" i="1"/>
  <c r="V199" i="1"/>
  <c r="V251" i="1"/>
  <c r="V104" i="1"/>
  <c r="AB104" i="1" s="1"/>
  <c r="V146" i="1"/>
  <c r="V773" i="1"/>
  <c r="V678" i="1"/>
  <c r="V673" i="1"/>
  <c r="V748" i="1"/>
  <c r="V382" i="1"/>
  <c r="V469" i="1"/>
  <c r="V414" i="1"/>
  <c r="V390" i="1"/>
  <c r="V342" i="1"/>
  <c r="V40" i="1"/>
  <c r="V502" i="1"/>
  <c r="V109" i="1"/>
  <c r="V170" i="1"/>
  <c r="V111" i="1"/>
  <c r="V150" i="1"/>
  <c r="AB150" i="1" s="1"/>
  <c r="V412" i="1"/>
  <c r="V695" i="1"/>
  <c r="V607" i="1"/>
  <c r="V290" i="1"/>
  <c r="V561" i="1"/>
  <c r="V609" i="1"/>
  <c r="V99" i="1"/>
  <c r="V225" i="1"/>
  <c r="V750" i="1"/>
  <c r="V140" i="1"/>
  <c r="V806" i="1"/>
  <c r="V802" i="1"/>
  <c r="V803" i="1"/>
  <c r="V725" i="1"/>
  <c r="V600" i="1"/>
  <c r="V677" i="1"/>
  <c r="AB677" i="1" s="1"/>
  <c r="V801" i="1"/>
  <c r="V584" i="1"/>
  <c r="AB584" i="1" s="1"/>
  <c r="V596" i="1"/>
  <c r="V385" i="1"/>
  <c r="V242" i="1"/>
  <c r="V179" i="1"/>
  <c r="V145" i="1"/>
  <c r="V98" i="1"/>
  <c r="V317" i="1"/>
  <c r="V758" i="1"/>
  <c r="AB758" i="1" s="1"/>
  <c r="V788" i="1"/>
  <c r="V796" i="1"/>
  <c r="V807" i="1"/>
  <c r="V711" i="1"/>
  <c r="V729" i="1"/>
  <c r="V757" i="1"/>
  <c r="V481" i="1"/>
  <c r="V658" i="1"/>
  <c r="V275" i="1"/>
  <c r="V168" i="1"/>
  <c r="AB168" i="1" s="1"/>
  <c r="AC168" i="1" s="1"/>
  <c r="V152" i="1"/>
  <c r="V22" i="1"/>
  <c r="V37" i="1"/>
  <c r="V715" i="1"/>
  <c r="V632" i="1"/>
  <c r="V856" i="1"/>
  <c r="V410" i="1"/>
  <c r="V415" i="1"/>
  <c r="V234" i="1"/>
  <c r="V101" i="1"/>
  <c r="AB101" i="1" s="1"/>
  <c r="AD101" i="1" s="1"/>
  <c r="V450" i="1"/>
  <c r="V855" i="1"/>
  <c r="V706" i="1"/>
  <c r="V52" i="1"/>
  <c r="AB52" i="1" s="1"/>
  <c r="V190" i="1"/>
  <c r="AB190" i="1" s="1"/>
  <c r="V816" i="1"/>
  <c r="V579" i="1"/>
  <c r="V551" i="1"/>
  <c r="V307" i="1"/>
  <c r="V92" i="1"/>
  <c r="V96" i="1"/>
  <c r="V400" i="1"/>
  <c r="V94" i="1"/>
  <c r="V322" i="1"/>
  <c r="V189" i="1"/>
  <c r="V49" i="1"/>
  <c r="V136" i="1"/>
  <c r="V634" i="1"/>
  <c r="V655" i="1"/>
  <c r="V519" i="1"/>
  <c r="V485" i="1"/>
  <c r="V545" i="1"/>
  <c r="V231" i="1"/>
  <c r="V428" i="1"/>
  <c r="AB428" i="1" s="1"/>
  <c r="V134" i="1"/>
  <c r="V46" i="1"/>
  <c r="AB46" i="1" s="1"/>
  <c r="V668" i="1"/>
  <c r="V254" i="1"/>
  <c r="V741" i="1"/>
  <c r="V648" i="1"/>
  <c r="V463" i="1"/>
  <c r="V255" i="1"/>
  <c r="V265" i="1"/>
  <c r="V315" i="1"/>
  <c r="V399" i="1"/>
  <c r="V700" i="1"/>
  <c r="V386" i="1"/>
  <c r="V314" i="1"/>
  <c r="V854" i="1"/>
  <c r="V87" i="1"/>
  <c r="V306" i="1"/>
  <c r="V51" i="1"/>
  <c r="V334" i="1"/>
  <c r="V798" i="1"/>
  <c r="V731" i="1"/>
  <c r="V514" i="1"/>
  <c r="V491" i="1"/>
  <c r="AB491" i="1" s="1"/>
  <c r="AC491" i="1" s="1"/>
  <c r="V366" i="1"/>
  <c r="V281" i="1"/>
  <c r="V326" i="1"/>
  <c r="V157" i="1"/>
  <c r="AB157" i="1" s="1"/>
  <c r="V184" i="1"/>
  <c r="V56" i="1"/>
  <c r="AB56" i="1" s="1"/>
  <c r="AD56" i="1" s="1"/>
  <c r="V666" i="1"/>
  <c r="V812" i="1"/>
  <c r="V535" i="1"/>
  <c r="V687" i="1"/>
  <c r="V576" i="1"/>
  <c r="V709" i="1"/>
  <c r="V506" i="1"/>
  <c r="V716" i="1"/>
  <c r="V303" i="1"/>
  <c r="AB303" i="1" s="1"/>
  <c r="V44" i="1"/>
  <c r="V344" i="1"/>
  <c r="V737" i="1"/>
  <c r="V862" i="1"/>
  <c r="V563" i="1"/>
  <c r="V688" i="1"/>
  <c r="V686" i="1"/>
  <c r="V581" i="1"/>
  <c r="V210" i="1"/>
  <c r="V11" i="1"/>
  <c r="AB11" i="1" s="1"/>
  <c r="V391" i="1"/>
  <c r="V396" i="1"/>
  <c r="V763" i="1"/>
  <c r="V404" i="1"/>
  <c r="V369" i="1"/>
  <c r="V217" i="1"/>
  <c r="V116" i="1"/>
  <c r="AB116" i="1" s="1"/>
  <c r="AD116" i="1" s="1"/>
  <c r="V223" i="1"/>
  <c r="AB223" i="1" s="1"/>
  <c r="V24" i="1"/>
  <c r="V676" i="1"/>
  <c r="V301" i="1"/>
  <c r="V540" i="1"/>
  <c r="V712" i="1"/>
  <c r="AB712" i="1" s="1"/>
  <c r="AC712" i="1" s="1"/>
  <c r="V630" i="1"/>
  <c r="V638" i="1"/>
  <c r="AB638" i="1" s="1"/>
  <c r="V583" i="1"/>
  <c r="V580" i="1"/>
  <c r="V500" i="1"/>
  <c r="AB500" i="1" s="1"/>
  <c r="V365" i="1"/>
  <c r="V447" i="1"/>
  <c r="AB447" i="1" s="1"/>
  <c r="V364" i="1"/>
  <c r="V413" i="1"/>
  <c r="V278" i="1"/>
  <c r="V91" i="1"/>
  <c r="AB91" i="1" s="1"/>
  <c r="V656" i="1"/>
  <c r="V789" i="1"/>
  <c r="V543" i="1"/>
  <c r="V468" i="1"/>
  <c r="V384" i="1"/>
  <c r="V499" i="1"/>
  <c r="V393" i="1"/>
  <c r="V248" i="1"/>
  <c r="V292" i="1"/>
  <c r="V54" i="1"/>
  <c r="AB54" i="1" s="1"/>
  <c r="AD54" i="1" s="1"/>
  <c r="V209" i="1"/>
  <c r="V560" i="1"/>
  <c r="V521" i="1"/>
  <c r="V443" i="1"/>
  <c r="AB443" i="1" s="1"/>
  <c r="V345" i="1"/>
  <c r="V525" i="1"/>
  <c r="V451" i="1"/>
  <c r="V235" i="1"/>
  <c r="V16" i="1"/>
  <c r="V247" i="1"/>
  <c r="AB247" i="1" s="1"/>
  <c r="V291" i="1"/>
  <c r="AB291" i="1" s="1"/>
  <c r="V270" i="1"/>
  <c r="V523" i="1"/>
  <c r="V26" i="1"/>
  <c r="V238" i="1"/>
  <c r="AB238" i="1" s="1"/>
  <c r="V599" i="1"/>
  <c r="V524" i="1"/>
  <c r="V169" i="1"/>
  <c r="V696" i="1"/>
  <c r="V124" i="1"/>
  <c r="AB124" i="1" s="1"/>
  <c r="AC124" i="1" s="1"/>
  <c r="V660" i="1"/>
  <c r="V778" i="1"/>
  <c r="V357" i="1"/>
  <c r="V392" i="1"/>
  <c r="V755" i="1"/>
  <c r="V449" i="1"/>
  <c r="V582" i="1"/>
  <c r="V489" i="1"/>
  <c r="V713" i="1"/>
  <c r="V732" i="1"/>
  <c r="AB732" i="1" s="1"/>
  <c r="V606" i="1"/>
  <c r="AB606" i="1" s="1"/>
  <c r="V564" i="1"/>
  <c r="V507" i="1"/>
  <c r="V479" i="1"/>
  <c r="AB479" i="1" s="1"/>
  <c r="AD479" i="1" s="1"/>
  <c r="V435" i="1"/>
  <c r="V439" i="1"/>
  <c r="V486" i="1"/>
  <c r="AB486" i="1" s="1"/>
  <c r="AE486" i="1" s="1"/>
  <c r="V328" i="1"/>
  <c r="V298" i="1"/>
  <c r="AB298" i="1" s="1"/>
  <c r="V208" i="1"/>
  <c r="AB208" i="1" s="1"/>
  <c r="AD208" i="1" s="1"/>
  <c r="V167" i="1"/>
  <c r="V197" i="1"/>
  <c r="V201" i="1"/>
  <c r="AB201" i="1" s="1"/>
  <c r="AD201" i="1" s="1"/>
  <c r="V154" i="1"/>
  <c r="AB154" i="1" s="1"/>
  <c r="V182" i="1"/>
  <c r="V25" i="1"/>
  <c r="V752" i="1"/>
  <c r="V611" i="1"/>
  <c r="V548" i="1"/>
  <c r="V352" i="1"/>
  <c r="V192" i="1"/>
  <c r="V300" i="1"/>
  <c r="AB300" i="1" s="1"/>
  <c r="AD300" i="1" s="1"/>
  <c r="V55" i="1"/>
  <c r="V590" i="1"/>
  <c r="V434" i="1"/>
  <c r="AB434" i="1" s="1"/>
  <c r="V665" i="1"/>
  <c r="V683" i="1"/>
  <c r="V567" i="1"/>
  <c r="V161" i="1"/>
  <c r="AB161" i="1" s="1"/>
  <c r="V378" i="1"/>
  <c r="V739" i="1"/>
  <c r="V626" i="1"/>
  <c r="V181" i="1"/>
  <c r="V765" i="1"/>
  <c r="V81" i="1"/>
  <c r="V205" i="1"/>
  <c r="V50" i="1"/>
  <c r="AB50" i="1" s="1"/>
  <c r="AD50" i="1" s="1"/>
  <c r="V767" i="1"/>
  <c r="V224" i="1"/>
  <c r="V84" i="1"/>
  <c r="V177" i="1"/>
  <c r="V745" i="1"/>
  <c r="V629" i="1"/>
  <c r="V505" i="1"/>
  <c r="AB505" i="1" s="1"/>
  <c r="V423" i="1"/>
  <c r="V316" i="1"/>
  <c r="V321" i="1"/>
  <c r="V336" i="1"/>
  <c r="V200" i="1"/>
  <c r="V166" i="1"/>
  <c r="V774" i="1"/>
  <c r="V779" i="1"/>
  <c r="AB779" i="1" s="1"/>
  <c r="AC779" i="1" s="1"/>
  <c r="V692" i="1"/>
  <c r="V698" i="1"/>
  <c r="AB698" i="1" s="1"/>
  <c r="AC698" i="1" s="1"/>
  <c r="V516" i="1"/>
  <c r="V559" i="1"/>
  <c r="V649" i="1"/>
  <c r="V504" i="1"/>
  <c r="V371" i="1"/>
  <c r="V496" i="1"/>
  <c r="V397" i="1"/>
  <c r="V358" i="1"/>
  <c r="V294" i="1"/>
  <c r="AB294" i="1" s="1"/>
  <c r="V194" i="1"/>
  <c r="V77" i="1"/>
  <c r="V689" i="1"/>
  <c r="V884" i="1"/>
  <c r="AB884" i="1" s="1"/>
  <c r="AD884" i="1" s="1"/>
  <c r="V283" i="1"/>
  <c r="V659" i="1"/>
  <c r="V603" i="1"/>
  <c r="V667" i="1"/>
  <c r="V175" i="1"/>
  <c r="AB175" i="1" s="1"/>
  <c r="V148" i="1"/>
  <c r="V282" i="1"/>
  <c r="V245" i="1"/>
  <c r="AB245" i="1" s="1"/>
  <c r="V685" i="1"/>
  <c r="V471" i="1"/>
  <c r="V232" i="1"/>
  <c r="AB232" i="1" s="1"/>
  <c r="AC232" i="1" s="1"/>
  <c r="V546" i="1"/>
  <c r="V261" i="1"/>
  <c r="V155" i="1"/>
  <c r="V27" i="1"/>
  <c r="V332" i="1"/>
  <c r="V756" i="1"/>
  <c r="AB756" i="1" s="1"/>
  <c r="V650" i="1"/>
  <c r="AB650" i="1" s="1"/>
  <c r="AD650" i="1" s="1"/>
  <c r="V786" i="1"/>
  <c r="V557" i="1"/>
  <c r="V477" i="1"/>
  <c r="V498" i="1"/>
  <c r="V457" i="1"/>
  <c r="V425" i="1"/>
  <c r="V376" i="1"/>
  <c r="V602" i="1"/>
  <c r="V598" i="1"/>
  <c r="AB598" i="1" s="1"/>
  <c r="AD598" i="1" s="1"/>
  <c r="V586" i="1"/>
  <c r="V530" i="1"/>
  <c r="V526" i="1"/>
  <c r="V474" i="1"/>
  <c r="V348" i="1"/>
  <c r="V356" i="1"/>
  <c r="V313" i="1"/>
  <c r="AB313" i="1" s="1"/>
  <c r="V297" i="1"/>
  <c r="AB297" i="1" s="1"/>
  <c r="V240" i="1"/>
  <c r="V198" i="1"/>
  <c r="V113" i="1"/>
  <c r="V63" i="1"/>
  <c r="V742" i="1"/>
  <c r="V637" i="1"/>
  <c r="V497" i="1"/>
  <c r="V503" i="1"/>
  <c r="V370" i="1"/>
  <c r="V403" i="1"/>
  <c r="V162" i="1"/>
  <c r="AB162" i="1" s="1"/>
  <c r="V114" i="1"/>
  <c r="AB114" i="1" s="1"/>
  <c r="AD114" i="1" s="1"/>
  <c r="V75" i="1"/>
  <c r="V220" i="1"/>
  <c r="V17" i="1"/>
  <c r="V555" i="1"/>
  <c r="V553" i="1"/>
  <c r="V444" i="1"/>
  <c r="V885" i="1"/>
  <c r="AB885" i="1" s="1"/>
  <c r="AC885" i="1" s="1"/>
  <c r="V490" i="1"/>
  <c r="AB490" i="1" s="1"/>
  <c r="V80" i="1"/>
  <c r="V213" i="1"/>
  <c r="V176" i="1"/>
  <c r="V719" i="1"/>
  <c r="V173" i="1"/>
  <c r="V495" i="1"/>
  <c r="V268" i="1"/>
  <c r="V861" i="1"/>
  <c r="V69" i="1"/>
  <c r="V12" i="1"/>
  <c r="V493" i="1"/>
  <c r="V115" i="1"/>
  <c r="V151" i="1"/>
  <c r="AB151" i="1" s="1"/>
  <c r="AD151" i="1" s="1"/>
  <c r="V408" i="1"/>
  <c r="V805" i="1"/>
  <c r="AB805" i="1" s="1"/>
  <c r="V772" i="1"/>
  <c r="V771" i="1"/>
  <c r="V747" i="1"/>
  <c r="AB747" i="1" s="1"/>
  <c r="V809" i="1"/>
  <c r="V726" i="1"/>
  <c r="V760" i="1"/>
  <c r="AB760" i="1" s="1"/>
  <c r="AC760" i="1" s="1"/>
  <c r="V740" i="1"/>
  <c r="V727" i="1"/>
  <c r="V625" i="1"/>
  <c r="V601" i="1"/>
  <c r="V569" i="1"/>
  <c r="V520" i="1"/>
  <c r="V458" i="1"/>
  <c r="V517" i="1"/>
  <c r="V418" i="1"/>
  <c r="V333" i="1"/>
  <c r="V280" i="1"/>
  <c r="V211" i="1"/>
  <c r="V256" i="1"/>
  <c r="V103" i="1"/>
  <c r="AB103" i="1" s="1"/>
  <c r="AD103" i="1" s="1"/>
  <c r="V61" i="1"/>
  <c r="V212" i="1"/>
  <c r="V149" i="1"/>
  <c r="AB149" i="1" s="1"/>
  <c r="AD149" i="1" s="1"/>
  <c r="V20" i="1"/>
  <c r="V62" i="1"/>
  <c r="V135" i="1"/>
  <c r="V777" i="1"/>
  <c r="V646" i="1"/>
  <c r="V643" i="1"/>
  <c r="V508" i="1"/>
  <c r="V424" i="1"/>
  <c r="V277" i="1"/>
  <c r="V285" i="1"/>
  <c r="V59" i="1"/>
  <c r="AB59" i="1" s="1"/>
  <c r="V36" i="1"/>
  <c r="V680" i="1"/>
  <c r="V754" i="1"/>
  <c r="V565" i="1"/>
  <c r="V288" i="1"/>
  <c r="V662" i="1"/>
  <c r="AB662" i="1" s="1"/>
  <c r="V487" i="1"/>
  <c r="V368" i="1"/>
  <c r="V202" i="1"/>
  <c r="V123" i="1"/>
  <c r="V171" i="1"/>
  <c r="V616" i="1"/>
  <c r="V724" i="1"/>
  <c r="V749" i="1"/>
  <c r="V48" i="1"/>
  <c r="AB48" i="1" s="1"/>
  <c r="AD48" i="1" s="1"/>
  <c r="V53" i="1"/>
  <c r="AB53" i="1" s="1"/>
  <c r="V702" i="1"/>
  <c r="V388" i="1"/>
  <c r="V138" i="1"/>
  <c r="V243" i="1"/>
  <c r="AD952" i="1"/>
  <c r="AE834" i="1"/>
  <c r="AE825" i="1"/>
  <c r="AE851" i="1"/>
  <c r="AE838" i="1"/>
  <c r="AD890" i="1"/>
  <c r="AD873" i="1"/>
  <c r="AD874" i="1"/>
  <c r="AE872" i="1"/>
  <c r="AE864" i="1"/>
  <c r="AE823" i="1"/>
  <c r="AD845" i="1"/>
  <c r="AE871" i="1"/>
  <c r="AE836" i="1"/>
  <c r="AE882" i="1"/>
  <c r="AE827" i="1"/>
  <c r="AE820" i="1"/>
  <c r="AE824" i="1"/>
  <c r="AE842" i="1"/>
  <c r="AD907" i="1"/>
  <c r="AE832" i="1"/>
  <c r="AE833" i="1"/>
  <c r="AE852" i="1"/>
  <c r="AE869" i="1"/>
  <c r="AE850" i="1"/>
  <c r="AE877" i="1"/>
  <c r="AE826" i="1"/>
  <c r="AE830" i="1"/>
  <c r="AE875" i="1"/>
  <c r="AE863" i="1"/>
  <c r="AE831" i="1"/>
  <c r="AD883" i="1"/>
  <c r="AP78" i="1"/>
  <c r="AQ78" i="1" s="1"/>
  <c r="AP799" i="1"/>
  <c r="AQ799" i="1" s="1"/>
  <c r="AP788" i="1"/>
  <c r="AQ788" i="1" s="1"/>
  <c r="AP751" i="1"/>
  <c r="AQ751" i="1" s="1"/>
  <c r="AP737" i="1"/>
  <c r="AQ737" i="1" s="1"/>
  <c r="AP559" i="1"/>
  <c r="AQ559" i="1" s="1"/>
  <c r="AP345" i="1"/>
  <c r="AQ345" i="1" s="1"/>
  <c r="AP377" i="1"/>
  <c r="AQ377" i="1" s="1"/>
  <c r="AP271" i="1"/>
  <c r="AQ271" i="1" s="1"/>
  <c r="AP347" i="1"/>
  <c r="AQ347" i="1" s="1"/>
  <c r="AP76" i="1"/>
  <c r="AQ76" i="1" s="1"/>
  <c r="AP264" i="1"/>
  <c r="AQ264" i="1" s="1"/>
  <c r="AP178" i="1"/>
  <c r="AQ178" i="1" s="1"/>
  <c r="AP391" i="1"/>
  <c r="AQ391" i="1" s="1"/>
  <c r="AP445" i="1"/>
  <c r="AQ445" i="1" s="1"/>
  <c r="AP407" i="1"/>
  <c r="AQ407" i="1" s="1"/>
  <c r="AP556" i="1"/>
  <c r="AQ556" i="1" s="1"/>
  <c r="AP437" i="1"/>
  <c r="AQ437" i="1" s="1"/>
  <c r="AP495" i="1"/>
  <c r="AQ495" i="1" s="1"/>
  <c r="AP763" i="1"/>
  <c r="AQ763" i="1" s="1"/>
  <c r="AP173" i="1"/>
  <c r="AQ173" i="1" s="1"/>
  <c r="AP605" i="1"/>
  <c r="AQ605" i="1" s="1"/>
  <c r="AP172" i="1"/>
  <c r="AQ172" i="1" s="1"/>
  <c r="AP613" i="1"/>
  <c r="AQ613" i="1" s="1"/>
  <c r="AP504" i="1"/>
  <c r="AQ504" i="1" s="1"/>
  <c r="AP192" i="1"/>
  <c r="AQ192" i="1" s="1"/>
  <c r="AP309" i="1"/>
  <c r="AQ309" i="1" s="1"/>
  <c r="AP357" i="1"/>
  <c r="AQ357" i="1" s="1"/>
  <c r="AP802" i="1"/>
  <c r="AQ802" i="1" s="1"/>
  <c r="AP813" i="1"/>
  <c r="AQ813" i="1" s="1"/>
  <c r="AP798" i="1"/>
  <c r="AQ798" i="1" s="1"/>
  <c r="AP811" i="1"/>
  <c r="AQ811" i="1" s="1"/>
  <c r="AP766" i="1"/>
  <c r="AQ766" i="1" s="1"/>
  <c r="AP735" i="1"/>
  <c r="AQ735" i="1" s="1"/>
  <c r="AP557" i="1"/>
  <c r="AQ557" i="1" s="1"/>
  <c r="AP538" i="1"/>
  <c r="AQ538" i="1" s="1"/>
  <c r="AP552" i="1"/>
  <c r="AQ552" i="1" s="1"/>
  <c r="AP477" i="1"/>
  <c r="AQ477" i="1" s="1"/>
  <c r="AP461" i="1"/>
  <c r="AQ461" i="1" s="1"/>
  <c r="AP275" i="1"/>
  <c r="AQ275" i="1" s="1"/>
  <c r="AP203" i="1"/>
  <c r="AQ203" i="1" s="1"/>
  <c r="AP117" i="1"/>
  <c r="AQ117" i="1" s="1"/>
  <c r="AP88" i="1"/>
  <c r="AQ88" i="1" s="1"/>
  <c r="AP30" i="1"/>
  <c r="AQ30" i="1" s="1"/>
  <c r="AP860" i="1"/>
  <c r="AQ860" i="1" s="1"/>
  <c r="AP755" i="1"/>
  <c r="AQ755" i="1" s="1"/>
  <c r="AP744" i="1"/>
  <c r="AQ744" i="1" s="1"/>
  <c r="AP791" i="1"/>
  <c r="AQ791" i="1" s="1"/>
  <c r="AP581" i="1"/>
  <c r="AQ581" i="1" s="1"/>
  <c r="AP463" i="1"/>
  <c r="AQ463" i="1" s="1"/>
  <c r="AP423" i="1"/>
  <c r="AQ423" i="1" s="1"/>
  <c r="AP65" i="1"/>
  <c r="AQ65" i="1" s="1"/>
  <c r="AP123" i="1"/>
  <c r="AQ123" i="1" s="1"/>
  <c r="AP213" i="1"/>
  <c r="AQ213" i="1" s="1"/>
  <c r="AP44" i="1"/>
  <c r="AQ44" i="1" s="1"/>
  <c r="AP607" i="1"/>
  <c r="AQ607" i="1" s="1"/>
  <c r="AP185" i="1"/>
  <c r="AQ185" i="1" s="1"/>
  <c r="AP370" i="1"/>
  <c r="AQ370" i="1" s="1"/>
  <c r="AP547" i="1"/>
  <c r="AQ547" i="1" s="1"/>
  <c r="AP381" i="1"/>
  <c r="AQ381" i="1" s="1"/>
  <c r="AP200" i="1"/>
  <c r="AQ200" i="1" s="1"/>
  <c r="AP665" i="1"/>
  <c r="AQ665" i="1" s="1"/>
  <c r="AP361" i="1"/>
  <c r="AQ361" i="1" s="1"/>
  <c r="AP180" i="1"/>
  <c r="AQ180" i="1" s="1"/>
  <c r="AP93" i="1"/>
  <c r="AQ93" i="1" s="1"/>
  <c r="AP33" i="1"/>
  <c r="AQ33" i="1" s="1"/>
  <c r="AP658" i="1"/>
  <c r="AQ658" i="1" s="1"/>
  <c r="AP410" i="1"/>
  <c r="AQ410" i="1" s="1"/>
  <c r="AP322" i="1"/>
  <c r="AQ322" i="1" s="1"/>
  <c r="AP141" i="1"/>
  <c r="AQ141" i="1" s="1"/>
  <c r="AP862" i="1"/>
  <c r="AQ862" i="1" s="1"/>
  <c r="AP284" i="1"/>
  <c r="AQ284" i="1" s="1"/>
  <c r="AP181" i="1"/>
  <c r="AQ181" i="1" s="1"/>
  <c r="AP575" i="1"/>
  <c r="AQ575" i="1" s="1"/>
  <c r="AP155" i="1"/>
  <c r="AQ155" i="1" s="1"/>
  <c r="AP378" i="1"/>
  <c r="AQ378" i="1" s="1"/>
  <c r="AP186" i="1"/>
  <c r="AQ186" i="1" s="1"/>
  <c r="AP130" i="1"/>
  <c r="AQ130" i="1" s="1"/>
  <c r="AP49" i="1"/>
  <c r="AQ49" i="1" s="1"/>
  <c r="AP448" i="1"/>
  <c r="AQ448" i="1" s="1"/>
  <c r="AP249" i="1"/>
  <c r="AQ249" i="1" s="1"/>
  <c r="AP17" i="1"/>
  <c r="AQ17" i="1" s="1"/>
  <c r="AP394" i="1"/>
  <c r="AQ394" i="1" s="1"/>
  <c r="AP274" i="1"/>
  <c r="AQ274" i="1" s="1"/>
  <c r="AP31" i="1"/>
  <c r="AQ31" i="1" s="1"/>
  <c r="AP728" i="1"/>
  <c r="AQ728" i="1" s="1"/>
  <c r="AP85" i="1"/>
  <c r="AQ85" i="1" s="1"/>
  <c r="AP759" i="1"/>
  <c r="AQ759" i="1" s="1"/>
  <c r="AP375" i="1"/>
  <c r="AQ375" i="1" s="1"/>
  <c r="AP458" i="1"/>
  <c r="AQ458" i="1" s="1"/>
  <c r="AP164" i="1"/>
  <c r="AQ164" i="1" s="1"/>
  <c r="AP655" i="1"/>
  <c r="AQ655" i="1" s="1"/>
  <c r="AP653" i="1"/>
  <c r="AQ653" i="1" s="1"/>
  <c r="AP311" i="1"/>
  <c r="AQ311" i="1" s="1"/>
  <c r="AP694" i="1"/>
  <c r="AQ694" i="1" s="1"/>
  <c r="AP812" i="1"/>
  <c r="AQ812" i="1" s="1"/>
  <c r="AP753" i="1"/>
  <c r="AQ753" i="1" s="1"/>
  <c r="AP711" i="1"/>
  <c r="AQ711" i="1" s="1"/>
  <c r="AP498" i="1"/>
  <c r="AQ498" i="1" s="1"/>
  <c r="AP253" i="1"/>
  <c r="AQ253" i="1" s="1"/>
  <c r="AP348" i="1"/>
  <c r="AQ348" i="1" s="1"/>
  <c r="AP219" i="1"/>
  <c r="AQ219" i="1" s="1"/>
  <c r="AP99" i="1"/>
  <c r="AQ99" i="1" s="1"/>
  <c r="AP774" i="1"/>
  <c r="AQ774" i="1" s="1"/>
  <c r="AP527" i="1"/>
  <c r="AQ527" i="1" s="1"/>
  <c r="AP32" i="1"/>
  <c r="AQ32" i="1" s="1"/>
  <c r="AP727" i="1"/>
  <c r="AQ727" i="1" s="1"/>
  <c r="AP393" i="1"/>
  <c r="AQ393" i="1" s="1"/>
  <c r="AP63" i="1"/>
  <c r="AQ63" i="1" s="1"/>
  <c r="AP27" i="1"/>
  <c r="AQ27" i="1" s="1"/>
  <c r="AP792" i="1"/>
  <c r="AQ792" i="1" s="1"/>
  <c r="AP329" i="1"/>
  <c r="AQ329" i="1" s="1"/>
  <c r="AP296" i="1"/>
  <c r="AQ296" i="1" s="1"/>
  <c r="AP627" i="1"/>
  <c r="AQ627" i="1" s="1"/>
  <c r="AP775" i="1"/>
  <c r="AQ775" i="1" s="1"/>
  <c r="AP197" i="1"/>
  <c r="AQ197" i="1" s="1"/>
  <c r="AP453" i="1"/>
  <c r="AQ453" i="1" s="1"/>
  <c r="AP465" i="1"/>
  <c r="AQ465" i="1" s="1"/>
  <c r="AP72" i="1"/>
  <c r="AQ72" i="1" s="1"/>
  <c r="AP731" i="1"/>
  <c r="AQ731" i="1" s="1"/>
  <c r="AP723" i="1"/>
  <c r="AQ723" i="1" s="1"/>
  <c r="AP631" i="1"/>
  <c r="AQ631" i="1" s="1"/>
  <c r="AP408" i="1"/>
  <c r="AQ408" i="1" s="1"/>
  <c r="AP385" i="1"/>
  <c r="AQ385" i="1" s="1"/>
  <c r="AP277" i="1"/>
  <c r="AQ277" i="1" s="1"/>
  <c r="AP234" i="1"/>
  <c r="AQ234" i="1" s="1"/>
  <c r="AP222" i="1"/>
  <c r="AQ222" i="1" s="1"/>
  <c r="AP859" i="1"/>
  <c r="AQ859" i="1" s="1"/>
  <c r="AP809" i="1"/>
  <c r="AQ809" i="1" s="1"/>
  <c r="AP749" i="1"/>
  <c r="AQ749" i="1" s="1"/>
  <c r="AP583" i="1"/>
  <c r="AQ583" i="1" s="1"/>
  <c r="AP474" i="1"/>
  <c r="AQ474" i="1" s="1"/>
  <c r="AP469" i="1"/>
  <c r="AQ469" i="1" s="1"/>
  <c r="AP454" i="1"/>
  <c r="AQ454" i="1" s="1"/>
  <c r="AP858" i="1"/>
  <c r="AQ858" i="1" s="1"/>
  <c r="AP810" i="1"/>
  <c r="AQ810" i="1" s="1"/>
  <c r="AP795" i="1"/>
  <c r="AQ795" i="1" s="1"/>
  <c r="AP741" i="1"/>
  <c r="AQ741" i="1" s="1"/>
  <c r="AP625" i="1"/>
  <c r="AQ625" i="1" s="1"/>
  <c r="AP591" i="1"/>
  <c r="AQ591" i="1" s="1"/>
  <c r="AP579" i="1"/>
  <c r="AQ579" i="1" s="1"/>
  <c r="AP422" i="1"/>
  <c r="AQ422" i="1" s="1"/>
  <c r="AP241" i="1"/>
  <c r="AQ241" i="1" s="1"/>
  <c r="AP364" i="1"/>
  <c r="AQ364" i="1" s="1"/>
  <c r="AP272" i="1"/>
  <c r="AQ272" i="1" s="1"/>
  <c r="AP127" i="1"/>
  <c r="AQ127" i="1" s="1"/>
  <c r="AP23" i="1"/>
  <c r="AQ23" i="1" s="1"/>
  <c r="AP501" i="1"/>
  <c r="AQ501" i="1" s="1"/>
  <c r="AP496" i="1"/>
  <c r="AQ496" i="1" s="1"/>
  <c r="AP401" i="1"/>
  <c r="AQ401" i="1" s="1"/>
  <c r="AP245" i="1"/>
  <c r="AQ245" i="1" s="1"/>
  <c r="AP420" i="1"/>
  <c r="AQ420" i="1" s="1"/>
  <c r="AP199" i="1"/>
  <c r="AQ199" i="1" s="1"/>
  <c r="AP19" i="1"/>
  <c r="AQ19" i="1" s="1"/>
  <c r="AP784" i="1"/>
  <c r="AQ784" i="1" s="1"/>
  <c r="AP268" i="1"/>
  <c r="AQ268" i="1" s="1"/>
  <c r="AP131" i="1"/>
  <c r="AQ131" i="1" s="1"/>
  <c r="AP715" i="1"/>
  <c r="AQ715" i="1" s="1"/>
  <c r="AP332" i="1"/>
  <c r="AQ332" i="1" s="1"/>
  <c r="AP626" i="1"/>
  <c r="AQ626" i="1" s="1"/>
  <c r="AP242" i="1"/>
  <c r="AQ242" i="1" s="1"/>
  <c r="AP152" i="1"/>
  <c r="AQ152" i="1" s="1"/>
  <c r="AP254" i="1"/>
  <c r="AQ254" i="1" s="1"/>
  <c r="AP318" i="1"/>
  <c r="AQ318" i="1" s="1"/>
  <c r="AP196" i="1"/>
  <c r="AQ196" i="1" s="1"/>
  <c r="AP305" i="1"/>
  <c r="AQ305" i="1" s="1"/>
  <c r="AP622" i="1"/>
  <c r="AQ622" i="1" s="1"/>
  <c r="AP22" i="1"/>
  <c r="AQ22" i="1" s="1"/>
  <c r="AP353" i="1"/>
  <c r="AQ353" i="1" s="1"/>
  <c r="AP506" i="1"/>
  <c r="AQ506" i="1" s="1"/>
  <c r="AP273" i="1"/>
  <c r="AQ273" i="1" s="1"/>
  <c r="AP206" i="1"/>
  <c r="AQ206" i="1" s="1"/>
  <c r="AP503" i="1"/>
  <c r="AQ503" i="1" s="1"/>
  <c r="AP259" i="1"/>
  <c r="AQ259" i="1" s="1"/>
  <c r="AP338" i="1"/>
  <c r="AQ338" i="1" s="1"/>
  <c r="AP269" i="1"/>
  <c r="AQ269" i="1" s="1"/>
  <c r="AP861" i="1"/>
  <c r="AQ861" i="1" s="1"/>
  <c r="AP363" i="1"/>
  <c r="AQ363" i="1" s="1"/>
  <c r="AP564" i="1"/>
  <c r="AQ564" i="1" s="1"/>
  <c r="AP374" i="1"/>
  <c r="AQ374" i="1" s="1"/>
  <c r="AP258" i="1"/>
  <c r="AQ258" i="1" s="1"/>
  <c r="AP80" i="1"/>
  <c r="AQ80" i="1" s="1"/>
  <c r="AP8" i="1"/>
  <c r="AQ8" i="1" s="1"/>
  <c r="AP545" i="1"/>
  <c r="AQ545" i="1" s="1"/>
  <c r="AP337" i="1"/>
  <c r="AQ337" i="1" s="1"/>
  <c r="AP509" i="1"/>
  <c r="AQ509" i="1" s="1"/>
  <c r="AP125" i="1"/>
  <c r="AQ125" i="1" s="1"/>
  <c r="AP768" i="1"/>
  <c r="AQ768" i="1" s="1"/>
  <c r="AP360" i="1"/>
  <c r="AQ360" i="1" s="1"/>
  <c r="AP179" i="1"/>
  <c r="AQ179" i="1" s="1"/>
  <c r="AP310" i="1"/>
  <c r="AQ310" i="1" s="1"/>
  <c r="AP430" i="1"/>
  <c r="AQ430" i="1" s="1"/>
  <c r="AP516" i="1"/>
  <c r="AQ516" i="1" s="1"/>
  <c r="AP886" i="1"/>
  <c r="AQ886" i="1" s="1"/>
  <c r="AP752" i="1"/>
  <c r="AQ752" i="1" s="1"/>
  <c r="AP678" i="1"/>
  <c r="AQ678" i="1" s="1"/>
  <c r="AP664" i="1"/>
  <c r="AQ664" i="1" s="1"/>
  <c r="AP745" i="1"/>
  <c r="AQ745" i="1" s="1"/>
  <c r="AP782" i="1"/>
  <c r="AQ782" i="1" s="1"/>
  <c r="AP686" i="1"/>
  <c r="AQ686" i="1" s="1"/>
  <c r="AP399" i="1"/>
  <c r="AQ399" i="1" s="1"/>
  <c r="AP435" i="1"/>
  <c r="AQ435" i="1" s="1"/>
  <c r="AP485" i="1"/>
  <c r="AQ485" i="1" s="1"/>
  <c r="AP326" i="1"/>
  <c r="AQ326" i="1" s="1"/>
  <c r="AP442" i="1"/>
  <c r="AQ442" i="1" s="1"/>
  <c r="AP263" i="1"/>
  <c r="AQ263" i="1" s="1"/>
  <c r="AP279" i="1"/>
  <c r="AQ279" i="1" s="1"/>
  <c r="AP267" i="1"/>
  <c r="AQ267" i="1" s="1"/>
  <c r="AP170" i="1"/>
  <c r="AQ170" i="1" s="1"/>
  <c r="AP207" i="1"/>
  <c r="AQ207" i="1" s="1"/>
  <c r="AP4" i="1"/>
  <c r="AQ4" i="1" s="1"/>
  <c r="AP773" i="1"/>
  <c r="AQ773" i="1" s="1"/>
  <c r="AP807" i="1"/>
  <c r="AQ807" i="1" s="1"/>
  <c r="AP630" i="1"/>
  <c r="AQ630" i="1" s="1"/>
  <c r="AP555" i="1"/>
  <c r="AQ555" i="1" s="1"/>
  <c r="AP282" i="1"/>
  <c r="AQ282" i="1" s="1"/>
  <c r="AP266" i="1"/>
  <c r="AQ266" i="1" s="1"/>
  <c r="AP573" i="1"/>
  <c r="AQ573" i="1" s="1"/>
  <c r="AP550" i="1"/>
  <c r="AQ550" i="1" s="1"/>
  <c r="AP132" i="1"/>
  <c r="AQ132" i="1" s="1"/>
  <c r="AP18" i="1"/>
  <c r="AQ18" i="1" s="1"/>
  <c r="AP754" i="1"/>
  <c r="AQ754" i="1" s="1"/>
  <c r="AP231" i="1"/>
  <c r="AQ231" i="1" s="1"/>
  <c r="AP61" i="1"/>
  <c r="AQ61" i="1" s="1"/>
  <c r="AP497" i="1"/>
  <c r="AQ497" i="1" s="1"/>
  <c r="AP472" i="1"/>
  <c r="AQ472" i="1" s="1"/>
  <c r="AP507" i="1"/>
  <c r="AQ507" i="1" s="1"/>
  <c r="AP688" i="1"/>
  <c r="AQ688" i="1" s="1"/>
  <c r="AP62" i="1"/>
  <c r="AQ62" i="1" s="1"/>
  <c r="AP35" i="1"/>
  <c r="AQ35" i="1" s="1"/>
  <c r="AP574" i="1"/>
  <c r="AQ574" i="1" s="1"/>
  <c r="AP248" i="1"/>
  <c r="AQ248" i="1" s="1"/>
  <c r="AP816" i="1"/>
  <c r="AQ816" i="1" s="1"/>
  <c r="AP804" i="1"/>
  <c r="AQ804" i="1" s="1"/>
  <c r="AP742" i="1"/>
  <c r="AQ742" i="1" s="1"/>
  <c r="AP716" i="1"/>
  <c r="AQ716" i="1" s="1"/>
  <c r="AP568" i="1"/>
  <c r="AQ568" i="1" s="1"/>
  <c r="AP528" i="1"/>
  <c r="AQ528" i="1" s="1"/>
  <c r="AP854" i="1"/>
  <c r="AQ854" i="1" s="1"/>
  <c r="AP797" i="1"/>
  <c r="AQ797" i="1" s="1"/>
  <c r="AP765" i="1"/>
  <c r="AQ765" i="1" s="1"/>
  <c r="AP772" i="1"/>
  <c r="AQ772" i="1" s="1"/>
  <c r="AP815" i="1"/>
  <c r="AQ815" i="1" s="1"/>
  <c r="AP560" i="1"/>
  <c r="AQ560" i="1" s="1"/>
  <c r="AP390" i="1"/>
  <c r="AQ390" i="1" s="1"/>
  <c r="AP388" i="1"/>
  <c r="AQ388" i="1" s="1"/>
  <c r="AP343" i="1"/>
  <c r="AQ343" i="1" s="1"/>
  <c r="AP139" i="1"/>
  <c r="AQ139" i="1" s="1"/>
  <c r="AP64" i="1"/>
  <c r="AQ64" i="1" s="1"/>
  <c r="AP87" i="1"/>
  <c r="AQ87" i="1" s="1"/>
  <c r="AP793" i="1"/>
  <c r="AQ793" i="1" s="1"/>
  <c r="AP586" i="1"/>
  <c r="AQ586" i="1" s="1"/>
  <c r="AP212" i="1"/>
  <c r="AQ212" i="1" s="1"/>
  <c r="AP10" i="1"/>
  <c r="AQ10" i="1" s="1"/>
  <c r="AP789" i="1"/>
  <c r="AQ789" i="1" s="1"/>
  <c r="AP229" i="1"/>
  <c r="AQ229" i="1" s="1"/>
  <c r="AP531" i="1"/>
  <c r="AQ531" i="1" s="1"/>
  <c r="AP252" i="1"/>
  <c r="AQ252" i="1" s="1"/>
  <c r="AP136" i="1"/>
  <c r="AQ136" i="1" s="1"/>
  <c r="AP321" i="1"/>
  <c r="AQ321" i="1" s="1"/>
  <c r="AP702" i="1"/>
  <c r="AQ702" i="1" s="1"/>
  <c r="AP270" i="1"/>
  <c r="AQ270" i="1" s="1"/>
  <c r="AP339" i="1"/>
  <c r="AQ339" i="1" s="1"/>
  <c r="AP541" i="1"/>
  <c r="AQ541" i="1" s="1"/>
  <c r="AP578" i="1"/>
  <c r="AQ578" i="1" s="1"/>
  <c r="AP624" i="1"/>
  <c r="AQ624" i="1" s="1"/>
  <c r="AP683" i="1"/>
  <c r="AQ683" i="1" s="1"/>
  <c r="AP657" i="1"/>
  <c r="AQ657" i="1" s="1"/>
  <c r="AP801" i="1"/>
  <c r="AQ801" i="1" s="1"/>
  <c r="AP384" i="1"/>
  <c r="AQ384" i="1" s="1"/>
  <c r="AP685" i="1"/>
  <c r="AQ685" i="1" s="1"/>
  <c r="AP857" i="1"/>
  <c r="AQ857" i="1" s="1"/>
  <c r="AP542" i="1"/>
  <c r="AQ542" i="1" s="1"/>
  <c r="AP748" i="1"/>
  <c r="AQ748" i="1" s="1"/>
  <c r="AP629" i="1"/>
  <c r="AQ629" i="1" s="1"/>
  <c r="AP856" i="1"/>
  <c r="AQ856" i="1" s="1"/>
  <c r="AP783" i="1"/>
  <c r="AQ783" i="1" s="1"/>
  <c r="AP758" i="1"/>
  <c r="AQ758" i="1" s="1"/>
  <c r="AP777" i="1"/>
  <c r="AQ777" i="1" s="1"/>
  <c r="AP726" i="1"/>
  <c r="AQ726" i="1" s="1"/>
  <c r="AP720" i="1"/>
  <c r="AQ720" i="1" s="1"/>
  <c r="AP740" i="1"/>
  <c r="AQ740" i="1" s="1"/>
  <c r="AP757" i="1"/>
  <c r="AQ757" i="1" s="1"/>
  <c r="AP530" i="1"/>
  <c r="AQ530" i="1" s="1"/>
  <c r="AP502" i="1"/>
  <c r="AQ502" i="1" s="1"/>
  <c r="AP548" i="1"/>
  <c r="AQ548" i="1" s="1"/>
  <c r="AP331" i="1"/>
  <c r="AQ331" i="1" s="1"/>
  <c r="AP382" i="1"/>
  <c r="AQ382" i="1" s="1"/>
  <c r="AP319" i="1"/>
  <c r="AQ319" i="1" s="1"/>
  <c r="AP286" i="1"/>
  <c r="AQ286" i="1" s="1"/>
  <c r="AP372" i="1"/>
  <c r="AQ372" i="1" s="1"/>
  <c r="AP187" i="1"/>
  <c r="AQ187" i="1" s="1"/>
  <c r="AP739" i="1"/>
  <c r="AQ739" i="1" s="1"/>
  <c r="AP790" i="1"/>
  <c r="AQ790" i="1" s="1"/>
  <c r="AP566" i="1"/>
  <c r="AQ566" i="1" s="1"/>
  <c r="AP571" i="1"/>
  <c r="AQ571" i="1" s="1"/>
  <c r="AP169" i="1"/>
  <c r="AQ169" i="1" s="1"/>
  <c r="AP800" i="1"/>
  <c r="AQ800" i="1" s="1"/>
  <c r="AP721" i="1"/>
  <c r="AQ721" i="1" s="1"/>
  <c r="AP288" i="1"/>
  <c r="AQ288" i="1" s="1"/>
  <c r="AP608" i="1"/>
  <c r="AQ608" i="1" s="1"/>
  <c r="AP532" i="1"/>
  <c r="AQ532" i="1" s="1"/>
  <c r="AP446" i="1"/>
  <c r="AQ446" i="1" s="1"/>
  <c r="AP460" i="1"/>
  <c r="AQ460" i="1" s="1"/>
  <c r="AP109" i="1"/>
  <c r="AQ109" i="1" s="1"/>
  <c r="AP612" i="1"/>
  <c r="AQ612" i="1" s="1"/>
  <c r="AP623" i="1"/>
  <c r="AQ623" i="1" s="1"/>
  <c r="AP441" i="1"/>
  <c r="AQ441" i="1" s="1"/>
  <c r="AP778" i="1"/>
  <c r="AQ778" i="1" s="1"/>
  <c r="AP787" i="1"/>
  <c r="AQ787" i="1" s="1"/>
  <c r="AP786" i="1"/>
  <c r="AQ786" i="1" s="1"/>
  <c r="AP334" i="1"/>
  <c r="AQ334" i="1" s="1"/>
  <c r="AP210" i="1"/>
  <c r="AQ210" i="1" s="1"/>
  <c r="AP468" i="1"/>
  <c r="AQ468" i="1" s="1"/>
  <c r="AP188" i="1"/>
  <c r="AQ188" i="1" s="1"/>
  <c r="AP265" i="1"/>
  <c r="AQ265" i="1" s="1"/>
  <c r="AP452" i="1"/>
  <c r="AQ452" i="1" s="1"/>
  <c r="AP221" i="1"/>
  <c r="AQ221" i="1" s="1"/>
  <c r="AP307" i="1"/>
  <c r="AQ307" i="1" s="1"/>
  <c r="AP761" i="1"/>
  <c r="AQ761" i="1" s="1"/>
  <c r="AP20" i="1"/>
  <c r="AQ20" i="1" s="1"/>
  <c r="AP427" i="1"/>
  <c r="AQ427" i="1" s="1"/>
  <c r="AP570" i="1"/>
  <c r="AQ570" i="1" s="1"/>
  <c r="AP457" i="1"/>
  <c r="AQ457" i="1" s="1"/>
  <c r="AP276" i="1"/>
  <c r="AQ276" i="1" s="1"/>
  <c r="AP817" i="1"/>
  <c r="AQ817" i="1" s="1"/>
  <c r="AP814" i="1"/>
  <c r="AQ814" i="1" s="1"/>
  <c r="AP803" i="1"/>
  <c r="AQ803" i="1" s="1"/>
  <c r="AP708" i="1"/>
  <c r="AQ708" i="1" s="1"/>
  <c r="AP725" i="1"/>
  <c r="AQ725" i="1" s="1"/>
  <c r="AP464" i="1"/>
  <c r="AQ464" i="1" s="1"/>
  <c r="AP333" i="1"/>
  <c r="AQ333" i="1" s="1"/>
  <c r="AP320" i="1"/>
  <c r="AQ320" i="1" s="1"/>
  <c r="AP785" i="1"/>
  <c r="AQ785" i="1" s="1"/>
  <c r="AP587" i="1"/>
  <c r="AQ587" i="1" s="1"/>
  <c r="AP582" i="1"/>
  <c r="AQ582" i="1" s="1"/>
  <c r="AP736" i="1"/>
  <c r="AQ736" i="1" s="1"/>
  <c r="AP368" i="1"/>
  <c r="AQ368" i="1" s="1"/>
  <c r="AP750" i="1"/>
  <c r="AQ750" i="1" s="1"/>
  <c r="AP456" i="1"/>
  <c r="AQ456" i="1" s="1"/>
  <c r="AP383" i="1"/>
  <c r="AQ383" i="1" s="1"/>
  <c r="AP417" i="1"/>
  <c r="AQ417" i="1" s="1"/>
  <c r="AP106" i="1"/>
  <c r="AQ106" i="1" s="1"/>
  <c r="AP6" i="1"/>
  <c r="AQ6" i="1" s="1"/>
  <c r="AP184" i="1"/>
  <c r="AQ184" i="1" s="1"/>
  <c r="AP14" i="1"/>
  <c r="AQ14" i="1" s="1"/>
  <c r="AP518" i="1"/>
  <c r="AQ518" i="1" s="1"/>
  <c r="AP534" i="1"/>
  <c r="AQ534" i="1" s="1"/>
  <c r="AP764" i="1"/>
  <c r="AQ764" i="1" s="1"/>
  <c r="AP256" i="1"/>
  <c r="AQ256" i="1" s="1"/>
  <c r="AP26" i="1"/>
  <c r="AQ26" i="1" s="1"/>
  <c r="AP126" i="1"/>
  <c r="AQ126" i="1" s="1"/>
  <c r="AP113" i="1"/>
  <c r="AQ113" i="1" s="1"/>
  <c r="AP352" i="1"/>
  <c r="AQ352" i="1" s="1"/>
  <c r="AP771" i="1"/>
  <c r="AQ771" i="1" s="1"/>
  <c r="AP205" i="1"/>
  <c r="AQ205" i="1" s="1"/>
  <c r="AP240" i="1"/>
  <c r="AQ240" i="1" s="1"/>
  <c r="AP563" i="1"/>
  <c r="AQ563" i="1" s="1"/>
  <c r="AP214" i="1"/>
  <c r="AQ214" i="1" s="1"/>
  <c r="AP166" i="1"/>
  <c r="AQ166" i="1" s="1"/>
  <c r="AP808" i="1"/>
  <c r="AQ808" i="1" s="1"/>
  <c r="AP780" i="1"/>
  <c r="AQ780" i="1" s="1"/>
  <c r="AP724" i="1"/>
  <c r="AQ724" i="1" s="1"/>
  <c r="AP596" i="1"/>
  <c r="AQ596" i="1" s="1"/>
  <c r="AP572" i="1"/>
  <c r="AQ572" i="1" s="1"/>
  <c r="AP549" i="1"/>
  <c r="AQ549" i="1" s="1"/>
  <c r="AP395" i="1"/>
  <c r="AQ395" i="1" s="1"/>
  <c r="AP512" i="1"/>
  <c r="AQ512" i="1" s="1"/>
  <c r="AP350" i="1"/>
  <c r="AQ350" i="1" s="1"/>
  <c r="AP405" i="1"/>
  <c r="AQ405" i="1" s="1"/>
  <c r="AP341" i="1"/>
  <c r="AQ341" i="1" s="1"/>
  <c r="AP146" i="1"/>
  <c r="AQ146" i="1" s="1"/>
  <c r="AP855" i="1"/>
  <c r="AQ855" i="1" s="1"/>
  <c r="AP767" i="1"/>
  <c r="AQ767" i="1" s="1"/>
  <c r="AP392" i="1"/>
  <c r="AQ392" i="1" s="1"/>
  <c r="AP293" i="1"/>
  <c r="AQ293" i="1" s="1"/>
  <c r="AP588" i="1"/>
  <c r="AQ588" i="1" s="1"/>
  <c r="AP806" i="1"/>
  <c r="AQ806" i="1" s="1"/>
  <c r="AP762" i="1"/>
  <c r="AQ762" i="1" s="1"/>
  <c r="AP776" i="1"/>
  <c r="AQ776" i="1" s="1"/>
  <c r="AP679" i="1"/>
  <c r="AQ679" i="1" s="1"/>
  <c r="AP633" i="1"/>
  <c r="AQ633" i="1" s="1"/>
  <c r="AP577" i="1"/>
  <c r="AQ577" i="1" s="1"/>
  <c r="AP594" i="1"/>
  <c r="AQ594" i="1" s="1"/>
  <c r="AP567" i="1"/>
  <c r="AQ567" i="1" s="1"/>
  <c r="AP508" i="1"/>
  <c r="AQ508" i="1" s="1"/>
  <c r="AP433" i="1"/>
  <c r="AQ433" i="1" s="1"/>
  <c r="AP482" i="1"/>
  <c r="AQ482" i="1" s="1"/>
  <c r="AP412" i="1"/>
  <c r="AQ412" i="1" s="1"/>
  <c r="AP371" i="1"/>
  <c r="AQ371" i="1" s="1"/>
  <c r="AP346" i="1"/>
  <c r="AQ346" i="1" s="1"/>
  <c r="AP283" i="1"/>
  <c r="AQ283" i="1" s="1"/>
  <c r="AP237" i="1"/>
  <c r="AQ237" i="1" s="1"/>
  <c r="AP193" i="1"/>
  <c r="AQ193" i="1" s="1"/>
  <c r="AP111" i="1"/>
  <c r="AQ111" i="1" s="1"/>
  <c r="AP81" i="1"/>
  <c r="AQ81" i="1" s="1"/>
  <c r="AP546" i="1"/>
  <c r="AQ546" i="1" s="1"/>
  <c r="AP396" i="1"/>
  <c r="AQ396" i="1" s="1"/>
  <c r="AP144" i="1"/>
  <c r="AQ144" i="1" s="1"/>
  <c r="AP37" i="1"/>
  <c r="AQ37" i="1" s="1"/>
  <c r="AP730" i="1"/>
  <c r="AQ730" i="1" s="1"/>
  <c r="AP450" i="1"/>
  <c r="AQ450" i="1" s="1"/>
  <c r="AP379" i="1"/>
  <c r="AQ379" i="1" s="1"/>
  <c r="AP632" i="1"/>
  <c r="AQ632" i="1" s="1"/>
  <c r="AP220" i="1"/>
  <c r="AQ220" i="1" s="1"/>
  <c r="AP553" i="1"/>
  <c r="AQ553" i="1" s="1"/>
  <c r="AP344" i="1"/>
  <c r="AQ344" i="1" s="1"/>
  <c r="AP183" i="1"/>
  <c r="AQ183" i="1" s="1"/>
  <c r="AP580" i="1"/>
  <c r="AQ580" i="1" s="1"/>
  <c r="AP95" i="1"/>
  <c r="AQ95" i="1" s="1"/>
  <c r="AP533" i="1"/>
  <c r="AQ533" i="1" s="1"/>
  <c r="AP243" i="1"/>
  <c r="AQ243" i="1" s="1"/>
  <c r="AP510" i="1"/>
  <c r="AQ510" i="1" s="1"/>
  <c r="AP304" i="1"/>
  <c r="AQ304" i="1" s="1"/>
  <c r="AP781" i="1"/>
  <c r="AQ781" i="1" s="1"/>
  <c r="AP539" i="1"/>
  <c r="AQ539" i="1" s="1"/>
  <c r="AP729" i="1"/>
  <c r="AQ729" i="1" s="1"/>
  <c r="AP96" i="1"/>
  <c r="AQ96" i="1" s="1"/>
  <c r="AD879" i="1"/>
  <c r="AD878" i="1"/>
  <c r="AE849" i="1"/>
  <c r="AD866" i="1"/>
  <c r="AE821" i="1"/>
  <c r="AE848" i="1"/>
  <c r="AE829" i="1"/>
  <c r="AE844" i="1"/>
  <c r="AE853" i="1"/>
  <c r="AE870" i="1"/>
  <c r="AE847" i="1"/>
  <c r="AE837" i="1"/>
  <c r="AE867" i="1"/>
  <c r="AE822" i="1"/>
  <c r="AD880" i="1"/>
  <c r="AP104" i="1"/>
  <c r="AQ104" i="1" s="1"/>
  <c r="U1037" i="1"/>
  <c r="AP398" i="1"/>
  <c r="AQ398" i="1" s="1"/>
  <c r="S705" i="1"/>
  <c r="S766" i="1"/>
  <c r="AP675" i="1"/>
  <c r="AQ675" i="1" s="1"/>
  <c r="S581" i="1"/>
  <c r="AP514" i="1"/>
  <c r="AQ514" i="1" s="1"/>
  <c r="AP709" i="1"/>
  <c r="AQ709" i="1" s="1"/>
  <c r="AP543" i="1"/>
  <c r="AQ543" i="1" s="1"/>
  <c r="AP323" i="1"/>
  <c r="AQ323" i="1" s="1"/>
  <c r="AP366" i="1"/>
  <c r="AQ366" i="1" s="1"/>
  <c r="AP358" i="1"/>
  <c r="AQ358" i="1" s="1"/>
  <c r="S246" i="1"/>
  <c r="AP71" i="1"/>
  <c r="AQ71" i="1" s="1"/>
  <c r="AP425" i="1"/>
  <c r="AQ425" i="1" s="1"/>
  <c r="AP224" i="1"/>
  <c r="AQ224" i="1" s="1"/>
  <c r="AP189" i="1"/>
  <c r="AQ189" i="1" s="1"/>
  <c r="AP198" i="1"/>
  <c r="AQ198" i="1" s="1"/>
  <c r="S121" i="1"/>
  <c r="AP217" i="1"/>
  <c r="AQ217" i="1" s="1"/>
  <c r="AP142" i="1"/>
  <c r="AQ142" i="1" s="1"/>
  <c r="S699" i="1"/>
  <c r="AP646" i="1"/>
  <c r="AQ646" i="1" s="1"/>
  <c r="S448" i="1"/>
  <c r="S380" i="1"/>
  <c r="AP356" i="1"/>
  <c r="AQ356" i="1" s="1"/>
  <c r="S266" i="1"/>
  <c r="S244" i="1"/>
  <c r="AP137" i="1"/>
  <c r="AQ137" i="1" s="1"/>
  <c r="AP84" i="1"/>
  <c r="AQ84" i="1" s="1"/>
  <c r="S455" i="1"/>
  <c r="AP696" i="1"/>
  <c r="AQ696" i="1" s="1"/>
  <c r="AP611" i="1"/>
  <c r="AQ611" i="1" s="1"/>
  <c r="AP515" i="1"/>
  <c r="AQ515" i="1" s="1"/>
  <c r="AP376" i="1"/>
  <c r="AQ376" i="1" s="1"/>
  <c r="AP416" i="1"/>
  <c r="AQ416" i="1" s="1"/>
  <c r="AP312" i="1"/>
  <c r="AQ312" i="1" s="1"/>
  <c r="AP327" i="1"/>
  <c r="AQ327" i="1" s="1"/>
  <c r="S45" i="1"/>
  <c r="S28" i="1"/>
  <c r="AP42" i="1"/>
  <c r="AQ42" i="1" s="1"/>
  <c r="AP86" i="1"/>
  <c r="AQ86" i="1" s="1"/>
  <c r="AP671" i="1"/>
  <c r="AQ671" i="1" s="1"/>
  <c r="AP668" i="1"/>
  <c r="AQ668" i="1" s="1"/>
  <c r="AP470" i="1"/>
  <c r="AQ470" i="1" s="1"/>
  <c r="AP519" i="1"/>
  <c r="AQ519" i="1" s="1"/>
  <c r="AP280" i="1"/>
  <c r="AQ280" i="1" s="1"/>
  <c r="AP182" i="1"/>
  <c r="AQ182" i="1" s="1"/>
  <c r="S222" i="1"/>
  <c r="AP475" i="1"/>
  <c r="AQ475" i="1" s="1"/>
  <c r="AP369" i="1"/>
  <c r="AQ369" i="1" s="1"/>
  <c r="AP660" i="1"/>
  <c r="AQ660" i="1" s="1"/>
  <c r="AP690" i="1"/>
  <c r="AQ690" i="1" s="1"/>
  <c r="AP603" i="1"/>
  <c r="AQ603" i="1" s="1"/>
  <c r="AP544" i="1"/>
  <c r="AQ544" i="1" s="1"/>
  <c r="AP499" i="1"/>
  <c r="AQ499" i="1" s="1"/>
  <c r="S689" i="1"/>
  <c r="AP634" i="1"/>
  <c r="AQ634" i="1" s="1"/>
  <c r="AP714" i="1"/>
  <c r="AQ714" i="1" s="1"/>
  <c r="AP644" i="1"/>
  <c r="AQ644" i="1" s="1"/>
  <c r="AP705" i="1"/>
  <c r="AQ705" i="1" s="1"/>
  <c r="S614" i="1"/>
  <c r="S670" i="1"/>
  <c r="AP436" i="1"/>
  <c r="AQ436" i="1" s="1"/>
  <c r="S233" i="1"/>
  <c r="AP9" i="1"/>
  <c r="AQ9" i="1" s="1"/>
  <c r="AP687" i="1"/>
  <c r="AQ687" i="1" s="1"/>
  <c r="AP411" i="1"/>
  <c r="AQ411" i="1" s="1"/>
  <c r="S531" i="1"/>
  <c r="AP706" i="1"/>
  <c r="AQ706" i="1" s="1"/>
  <c r="AP616" i="1"/>
  <c r="AQ616" i="1" s="1"/>
  <c r="AP315" i="1"/>
  <c r="AQ315" i="1" s="1"/>
  <c r="AP209" i="1"/>
  <c r="AQ209" i="1" s="1"/>
  <c r="AP703" i="1"/>
  <c r="AQ703" i="1" s="1"/>
  <c r="AP717" i="1"/>
  <c r="AQ717" i="1" s="1"/>
  <c r="AP673" i="1"/>
  <c r="AQ673" i="1" s="1"/>
  <c r="S123" i="1"/>
  <c r="AP649" i="1"/>
  <c r="AQ649" i="1" s="1"/>
  <c r="AP77" i="1"/>
  <c r="AQ77" i="1" s="1"/>
  <c r="AP796" i="1"/>
  <c r="AQ796" i="1" s="1"/>
  <c r="AP667" i="1"/>
  <c r="AQ667" i="1" s="1"/>
  <c r="AP645" i="1"/>
  <c r="AQ645" i="1" s="1"/>
  <c r="AP520" i="1"/>
  <c r="AQ520" i="1" s="1"/>
  <c r="AP471" i="1"/>
  <c r="AQ471" i="1" s="1"/>
  <c r="AP336" i="1"/>
  <c r="AQ336" i="1" s="1"/>
  <c r="AP255" i="1"/>
  <c r="AQ255" i="1" s="1"/>
  <c r="AP230" i="1"/>
  <c r="AQ230" i="1" s="1"/>
  <c r="AP239" i="1"/>
  <c r="AQ239" i="1" s="1"/>
  <c r="S118" i="1"/>
  <c r="AP194" i="1"/>
  <c r="AQ194" i="1" s="1"/>
  <c r="AP102" i="1"/>
  <c r="AQ102" i="1" s="1"/>
  <c r="AP115" i="1"/>
  <c r="AQ115" i="1" s="1"/>
  <c r="AP24" i="1"/>
  <c r="AQ24" i="1" s="1"/>
  <c r="AP691" i="1"/>
  <c r="AQ691" i="1" s="1"/>
  <c r="S35" i="1"/>
  <c r="AP674" i="1"/>
  <c r="AQ674" i="1" s="1"/>
  <c r="AP316" i="1"/>
  <c r="AQ316" i="1" s="1"/>
  <c r="AP663" i="1"/>
  <c r="AQ663" i="1" s="1"/>
  <c r="S402" i="1"/>
  <c r="AP406" i="1"/>
  <c r="AQ406" i="1" s="1"/>
  <c r="AP134" i="1"/>
  <c r="AQ134" i="1" s="1"/>
  <c r="AP722" i="1"/>
  <c r="AQ722" i="1" s="1"/>
  <c r="AP419" i="1"/>
  <c r="AQ419" i="1" s="1"/>
  <c r="AP637" i="1"/>
  <c r="AQ637" i="1" s="1"/>
  <c r="AP480" i="1"/>
  <c r="AQ480" i="1" s="1"/>
  <c r="AP402" i="1"/>
  <c r="AQ402" i="1" s="1"/>
  <c r="AP308" i="1"/>
  <c r="AQ308" i="1" s="1"/>
  <c r="AP314" i="1"/>
  <c r="AQ314" i="1" s="1"/>
  <c r="AP148" i="1"/>
  <c r="AQ148" i="1" s="1"/>
  <c r="AP60" i="1"/>
  <c r="AQ60" i="1" s="1"/>
  <c r="S39" i="1"/>
  <c r="AP73" i="1"/>
  <c r="AQ73" i="1" s="1"/>
  <c r="AP525" i="1"/>
  <c r="AQ525" i="1" s="1"/>
  <c r="S355" i="1"/>
  <c r="S258" i="1"/>
  <c r="S679" i="1"/>
  <c r="S546" i="1"/>
  <c r="S183" i="1"/>
  <c r="AP227" i="1"/>
  <c r="AQ227" i="1" s="1"/>
  <c r="S639" i="1"/>
  <c r="AP535" i="1"/>
  <c r="AQ535" i="1" s="1"/>
  <c r="AP604" i="1"/>
  <c r="AQ604" i="1" s="1"/>
  <c r="AP459" i="1"/>
  <c r="AQ459" i="1" s="1"/>
  <c r="S331" i="1"/>
  <c r="AP306" i="1"/>
  <c r="AQ306" i="1" s="1"/>
  <c r="AP387" i="1"/>
  <c r="AQ387" i="1" s="1"/>
  <c r="AP551" i="1"/>
  <c r="AQ551" i="1" s="1"/>
  <c r="AP699" i="1"/>
  <c r="AQ699" i="1" s="1"/>
  <c r="AP585" i="1"/>
  <c r="AQ585" i="1" s="1"/>
  <c r="S473" i="1"/>
  <c r="AP481" i="1"/>
  <c r="AQ481" i="1" s="1"/>
  <c r="AP414" i="1"/>
  <c r="AQ414" i="1" s="1"/>
  <c r="AP373" i="1"/>
  <c r="AQ373" i="1" s="1"/>
  <c r="AP424" i="1"/>
  <c r="AQ424" i="1" s="1"/>
  <c r="AP324" i="1"/>
  <c r="AQ324" i="1" s="1"/>
  <c r="AP261" i="1"/>
  <c r="AQ261" i="1" s="1"/>
  <c r="AP301" i="1"/>
  <c r="AQ301" i="1" s="1"/>
  <c r="AP143" i="1"/>
  <c r="AQ143" i="1" s="1"/>
  <c r="AP97" i="1"/>
  <c r="AQ97" i="1" s="1"/>
  <c r="AP69" i="1"/>
  <c r="AQ69" i="1" s="1"/>
  <c r="AP28" i="1"/>
  <c r="AQ28" i="1" s="1"/>
  <c r="AP66" i="1"/>
  <c r="AQ66" i="1" s="1"/>
  <c r="S31" i="1"/>
  <c r="S815" i="1"/>
  <c r="AP526" i="1"/>
  <c r="AQ526" i="1" s="1"/>
  <c r="AP418" i="1"/>
  <c r="AQ418" i="1" s="1"/>
  <c r="S374" i="1"/>
  <c r="AP281" i="1"/>
  <c r="AQ281" i="1" s="1"/>
  <c r="AP562" i="1"/>
  <c r="AQ562" i="1" s="1"/>
  <c r="AP444" i="1"/>
  <c r="AQ444" i="1" s="1"/>
  <c r="S858" i="1"/>
  <c r="AP719" i="1"/>
  <c r="AQ719" i="1" s="1"/>
  <c r="AP704" i="1"/>
  <c r="AQ704" i="1" s="1"/>
  <c r="AP659" i="1"/>
  <c r="AQ659" i="1" s="1"/>
  <c r="AP652" i="1"/>
  <c r="AQ652" i="1" s="1"/>
  <c r="AP451" i="1"/>
  <c r="AQ451" i="1" s="1"/>
  <c r="S814" i="1"/>
  <c r="AP670" i="1"/>
  <c r="AQ670" i="1" s="1"/>
  <c r="S449" i="1"/>
  <c r="AP610" i="1"/>
  <c r="AQ610" i="1" s="1"/>
  <c r="S437" i="1"/>
  <c r="S269" i="1"/>
  <c r="AP439" i="1"/>
  <c r="AQ439" i="1" s="1"/>
  <c r="AP330" i="1"/>
  <c r="AQ330" i="1" s="1"/>
  <c r="AP365" i="1"/>
  <c r="AQ365" i="1" s="1"/>
  <c r="AP176" i="1"/>
  <c r="AQ176" i="1" s="1"/>
  <c r="S642" i="1"/>
  <c r="AP589" i="1"/>
  <c r="AQ589" i="1" s="1"/>
  <c r="AP389" i="1"/>
  <c r="AQ389" i="1" s="1"/>
  <c r="AP669" i="1"/>
  <c r="AQ669" i="1" s="1"/>
  <c r="S817" i="1"/>
  <c r="S701" i="1"/>
  <c r="AP695" i="1"/>
  <c r="AQ695" i="1" s="1"/>
  <c r="AP693" i="1"/>
  <c r="AQ693" i="1" s="1"/>
  <c r="AP639" i="1"/>
  <c r="AQ639" i="1" s="1"/>
  <c r="AP466" i="1"/>
  <c r="AQ466" i="1" s="1"/>
  <c r="AP355" i="1"/>
  <c r="AQ355" i="1" s="1"/>
  <c r="AP290" i="1"/>
  <c r="AQ290" i="1" s="1"/>
  <c r="AP287" i="1"/>
  <c r="AQ287" i="1" s="1"/>
  <c r="S272" i="1"/>
  <c r="AP195" i="1"/>
  <c r="AQ195" i="1" s="1"/>
  <c r="S110" i="1"/>
  <c r="AP156" i="1"/>
  <c r="AQ156" i="1" s="1"/>
  <c r="AP129" i="1"/>
  <c r="AQ129" i="1" s="1"/>
  <c r="S857" i="1"/>
  <c r="AP733" i="1"/>
  <c r="AQ733" i="1" s="1"/>
  <c r="AP569" i="1"/>
  <c r="AQ569" i="1" s="1"/>
  <c r="AP523" i="1"/>
  <c r="AQ523" i="1" s="1"/>
  <c r="S454" i="1"/>
  <c r="S252" i="1"/>
  <c r="S318" i="1"/>
  <c r="AP682" i="1"/>
  <c r="AQ682" i="1" s="1"/>
  <c r="S690" i="1"/>
  <c r="S776" i="1"/>
  <c r="AP145" i="1"/>
  <c r="AQ145" i="1" s="1"/>
  <c r="AP713" i="1"/>
  <c r="AQ713" i="1" s="1"/>
  <c r="AP701" i="1"/>
  <c r="AQ701" i="1" s="1"/>
  <c r="S653" i="1"/>
  <c r="AP617" i="1"/>
  <c r="AQ617" i="1" s="1"/>
  <c r="AP561" i="1"/>
  <c r="AQ561" i="1" s="1"/>
  <c r="AP558" i="1"/>
  <c r="AQ558" i="1" s="1"/>
  <c r="AP225" i="1"/>
  <c r="AQ225" i="1" s="1"/>
  <c r="AP236" i="1"/>
  <c r="AQ236" i="1" s="1"/>
  <c r="AP204" i="1"/>
  <c r="AQ204" i="1" s="1"/>
  <c r="S109" i="1"/>
  <c r="S780" i="1"/>
  <c r="AP449" i="1"/>
  <c r="AQ449" i="1" s="1"/>
  <c r="AP400" i="1"/>
  <c r="AQ400" i="1" s="1"/>
  <c r="AP163" i="1"/>
  <c r="AQ163" i="1" s="1"/>
  <c r="AP487" i="1"/>
  <c r="AQ487" i="1" s="1"/>
  <c r="AP397" i="1"/>
  <c r="AQ397" i="1" s="1"/>
  <c r="AP656" i="1"/>
  <c r="AQ656" i="1" s="1"/>
  <c r="S373" i="1"/>
  <c r="AP228" i="1"/>
  <c r="AQ228" i="1" s="1"/>
  <c r="AP251" i="1"/>
  <c r="AQ251" i="1" s="1"/>
  <c r="S587" i="1"/>
  <c r="AP689" i="1"/>
  <c r="AQ689" i="1" s="1"/>
  <c r="AP257" i="1"/>
  <c r="AQ257" i="1" s="1"/>
  <c r="S263" i="1"/>
  <c r="AP328" i="1"/>
  <c r="AQ328" i="1" s="1"/>
  <c r="S681" i="1"/>
  <c r="AP565" i="1"/>
  <c r="AQ565" i="1" s="1"/>
  <c r="AP250" i="1"/>
  <c r="AQ250" i="1" s="1"/>
  <c r="AP292" i="1"/>
  <c r="AQ292" i="1" s="1"/>
  <c r="S112" i="1"/>
  <c r="AP513" i="1"/>
  <c r="AQ513" i="1" s="1"/>
  <c r="AP409" i="1"/>
  <c r="AQ409" i="1" s="1"/>
  <c r="AP235" i="1"/>
  <c r="AQ235" i="1" s="1"/>
  <c r="AP367" i="1"/>
  <c r="AQ367" i="1" s="1"/>
  <c r="AP171" i="1"/>
  <c r="AQ171" i="1" s="1"/>
  <c r="AP67" i="1"/>
  <c r="AQ67" i="1" s="1"/>
  <c r="AP599" i="1"/>
  <c r="AQ599" i="1" s="1"/>
  <c r="AP536" i="1"/>
  <c r="AQ536" i="1" s="1"/>
  <c r="AP386" i="1"/>
  <c r="AQ386" i="1" s="1"/>
  <c r="S394" i="1"/>
  <c r="S733" i="1"/>
  <c r="S697" i="1"/>
  <c r="AP666" i="1"/>
  <c r="AQ666" i="1" s="1"/>
  <c r="AP615" i="1"/>
  <c r="AQ615" i="1" s="1"/>
  <c r="AP473" i="1"/>
  <c r="AQ473" i="1" s="1"/>
  <c r="S459" i="1"/>
  <c r="AP342" i="1"/>
  <c r="AQ342" i="1" s="1"/>
  <c r="AP278" i="1"/>
  <c r="AQ278" i="1" s="1"/>
  <c r="AP191" i="1"/>
  <c r="AQ191" i="1" s="1"/>
  <c r="AP75" i="1"/>
  <c r="AQ75" i="1" s="1"/>
  <c r="AP128" i="1"/>
  <c r="AQ128" i="1" s="1"/>
  <c r="AP100" i="1"/>
  <c r="AQ100" i="1" s="1"/>
  <c r="AP349" i="1"/>
  <c r="AQ349" i="1" s="1"/>
  <c r="S446" i="1"/>
  <c r="AP648" i="1"/>
  <c r="AQ648" i="1" s="1"/>
  <c r="AP354" i="1"/>
  <c r="AQ354" i="1" s="1"/>
  <c r="AP672" i="1"/>
  <c r="AQ672" i="1" s="1"/>
  <c r="S180" i="1"/>
  <c r="AP16" i="1"/>
  <c r="AQ16" i="1" s="1"/>
  <c r="AP421" i="1"/>
  <c r="AQ421" i="1" s="1"/>
  <c r="S89" i="1"/>
  <c r="AP140" i="1"/>
  <c r="AQ140" i="1" s="1"/>
  <c r="S482" i="1"/>
  <c r="AP700" i="1"/>
  <c r="AQ700" i="1" s="1"/>
  <c r="AP592" i="1"/>
  <c r="AQ592" i="1" s="1"/>
  <c r="AP590" i="1"/>
  <c r="AQ590" i="1" s="1"/>
  <c r="AP621" i="1"/>
  <c r="AQ621" i="1" s="1"/>
  <c r="AP524" i="1"/>
  <c r="AQ524" i="1" s="1"/>
  <c r="AP597" i="1"/>
  <c r="AQ597" i="1" s="1"/>
  <c r="AP494" i="1"/>
  <c r="AQ494" i="1" s="1"/>
  <c r="AP517" i="1"/>
  <c r="AQ517" i="1" s="1"/>
  <c r="AP438" i="1"/>
  <c r="AQ438" i="1" s="1"/>
  <c r="AP299" i="1"/>
  <c r="AQ299" i="1" s="1"/>
  <c r="AP211" i="1"/>
  <c r="AQ211" i="1" s="1"/>
  <c r="S133" i="1"/>
  <c r="AP110" i="1"/>
  <c r="AQ110" i="1" s="1"/>
  <c r="AP36" i="1"/>
  <c r="AQ36" i="1" s="1"/>
  <c r="AP15" i="1"/>
  <c r="AQ15" i="1" s="1"/>
  <c r="AP51" i="1"/>
  <c r="AQ51" i="1" s="1"/>
  <c r="AP404" i="1"/>
  <c r="AQ404" i="1" s="1"/>
  <c r="AP340" i="1"/>
  <c r="AQ340" i="1" s="1"/>
  <c r="S287" i="1"/>
  <c r="AP58" i="1"/>
  <c r="AQ58" i="1" s="1"/>
  <c r="AP29" i="1"/>
  <c r="AQ29" i="1" s="1"/>
  <c r="AP351" i="1"/>
  <c r="AQ351" i="1" s="1"/>
  <c r="AP643" i="1"/>
  <c r="AQ643" i="1" s="1"/>
  <c r="S65" i="1"/>
  <c r="S588" i="1"/>
  <c r="S207" i="1"/>
  <c r="S363" i="1"/>
  <c r="S367" i="1"/>
  <c r="S351" i="1"/>
  <c r="AP317" i="1"/>
  <c r="AQ317" i="1" s="1"/>
  <c r="S799" i="1"/>
  <c r="S67" i="1"/>
  <c r="AP467" i="1"/>
  <c r="AQ467" i="1" s="1"/>
  <c r="S379" i="1"/>
  <c r="AP167" i="1"/>
  <c r="AQ167" i="1" s="1"/>
  <c r="AP335" i="1"/>
  <c r="AQ335" i="1" s="1"/>
  <c r="S417" i="1"/>
  <c r="AP680" i="1"/>
  <c r="AQ680" i="1" s="1"/>
  <c r="S216" i="1"/>
  <c r="S431" i="1"/>
  <c r="S74" i="1"/>
  <c r="AP260" i="1"/>
  <c r="AQ260" i="1" s="1"/>
  <c r="AP98" i="1"/>
  <c r="AQ98" i="1" s="1"/>
  <c r="AP177" i="1"/>
  <c r="AQ177" i="1" s="1"/>
  <c r="AP38" i="1"/>
  <c r="AQ38" i="1" s="1"/>
  <c r="AP105" i="1"/>
  <c r="AQ105" i="1" s="1"/>
  <c r="AP676" i="1"/>
  <c r="AQ676" i="1" s="1"/>
  <c r="S782" i="1"/>
  <c r="S510" i="1"/>
  <c r="S432" i="1"/>
  <c r="AP13" i="1"/>
  <c r="AQ13" i="1" s="1"/>
  <c r="AP285" i="1"/>
  <c r="AQ285" i="1" s="1"/>
  <c r="AP133" i="1"/>
  <c r="AQ133" i="1" s="1"/>
  <c r="AP94" i="1"/>
  <c r="AQ94" i="1" s="1"/>
  <c r="AP12" i="1"/>
  <c r="AQ12" i="1" s="1"/>
  <c r="AP511" i="1"/>
  <c r="AQ511" i="1" s="1"/>
  <c r="AP413" i="1"/>
  <c r="AQ413" i="1" s="1"/>
  <c r="S419" i="1"/>
  <c r="S669" i="1"/>
  <c r="AP135" i="1"/>
  <c r="AQ135" i="1" s="1"/>
  <c r="S641" i="1"/>
  <c r="AP647" i="1"/>
  <c r="AQ647" i="1" s="1"/>
  <c r="AP743" i="1"/>
  <c r="AQ743" i="1" s="1"/>
  <c r="AP489" i="1"/>
  <c r="AQ489" i="1" s="1"/>
  <c r="AP493" i="1"/>
  <c r="AQ493" i="1" s="1"/>
  <c r="AP432" i="1"/>
  <c r="AQ432" i="1" s="1"/>
  <c r="AP218" i="1"/>
  <c r="AQ218" i="1" s="1"/>
  <c r="AP82" i="1"/>
  <c r="AQ82" i="1" s="1"/>
  <c r="AP70" i="1"/>
  <c r="AQ70" i="1" s="1"/>
  <c r="AP112" i="1"/>
  <c r="AQ112" i="1" s="1"/>
  <c r="AP40" i="1"/>
  <c r="AQ40" i="1" s="1"/>
  <c r="AP642" i="1"/>
  <c r="AQ642" i="1" s="1"/>
  <c r="S527" i="1"/>
  <c r="AP609" i="1"/>
  <c r="AQ609" i="1" s="1"/>
  <c r="AP380" i="1"/>
  <c r="AQ380" i="1" s="1"/>
  <c r="S260" i="1"/>
  <c r="AP74" i="1"/>
  <c r="AQ74" i="1" s="1"/>
  <c r="AP79" i="1"/>
  <c r="AQ79" i="1" s="1"/>
  <c r="AP7" i="1"/>
  <c r="AQ7" i="1" s="1"/>
  <c r="AP415" i="1"/>
  <c r="AQ415" i="1" s="1"/>
  <c r="AP483" i="1"/>
  <c r="AQ483" i="1" s="1"/>
  <c r="AP600" i="1"/>
  <c r="AQ600" i="1" s="1"/>
  <c r="S406" i="1"/>
  <c r="AP21" i="1"/>
  <c r="AQ21" i="1" s="1"/>
  <c r="AP202" i="1"/>
  <c r="AQ202" i="1" s="1"/>
  <c r="S187" i="1"/>
  <c r="S552" i="1"/>
  <c r="S29" i="1"/>
  <c r="S560" i="1"/>
  <c r="S594" i="1"/>
  <c r="V4" i="1"/>
  <c r="S716" i="1"/>
  <c r="S14" i="1"/>
  <c r="S786" i="1"/>
  <c r="S800" i="1"/>
  <c r="S648" i="1"/>
  <c r="S181" i="1"/>
  <c r="S787" i="1"/>
  <c r="S444" i="1"/>
  <c r="S684" i="1"/>
  <c r="S788" i="1"/>
  <c r="S64" i="1"/>
  <c r="S125" i="1"/>
  <c r="S117" i="1"/>
  <c r="S528" i="1"/>
  <c r="S691" i="1"/>
  <c r="S108" i="1"/>
  <c r="S804" i="1"/>
  <c r="S40" i="1"/>
  <c r="S550" i="1"/>
  <c r="S106" i="1"/>
  <c r="S740" i="1"/>
  <c r="S579" i="1"/>
  <c r="S672" i="1"/>
  <c r="S488" i="1"/>
  <c r="S592" i="1"/>
  <c r="S504" i="1"/>
  <c r="S736" i="1"/>
  <c r="S816" i="1"/>
  <c r="S596" i="1"/>
  <c r="S886" i="1"/>
  <c r="S651" i="1"/>
  <c r="S768" i="1"/>
  <c r="S354" i="1"/>
  <c r="S288" i="1"/>
  <c r="S141" i="1"/>
  <c r="S644" i="1"/>
  <c r="S339" i="1"/>
  <c r="S80" i="1"/>
  <c r="S11" i="1"/>
  <c r="S720" i="1"/>
  <c r="S613" i="1"/>
  <c r="S382" i="1"/>
  <c r="S397" i="1"/>
  <c r="S571" i="1"/>
  <c r="S234" i="1"/>
  <c r="S645" i="1"/>
  <c r="T1037" i="1"/>
  <c r="F1048" i="1" s="1"/>
  <c r="S242" i="1"/>
  <c r="S407" i="1"/>
  <c r="S105" i="1"/>
  <c r="S276" i="1"/>
  <c r="S160" i="1"/>
  <c r="S36" i="1"/>
  <c r="S371" i="1"/>
  <c r="S199" i="1"/>
  <c r="S150" i="1"/>
  <c r="S368" i="1"/>
  <c r="AS779" i="1"/>
  <c r="S146" i="1"/>
  <c r="P1037" i="1"/>
  <c r="F1044" i="1" s="1"/>
  <c r="S17" i="1"/>
  <c r="S409" i="1"/>
  <c r="S742" i="1"/>
  <c r="S32" i="1"/>
  <c r="S120" i="1"/>
  <c r="S734" i="1"/>
  <c r="X1037" i="1"/>
  <c r="AS677" i="1"/>
  <c r="X2" i="1"/>
  <c r="S694" i="1"/>
  <c r="S315" i="1"/>
  <c r="S155" i="1"/>
  <c r="O1037" i="1"/>
  <c r="O1040" i="1" s="1"/>
  <c r="S521" i="1"/>
  <c r="AS443" i="1"/>
  <c r="S497" i="1"/>
  <c r="S364" i="1"/>
  <c r="S175" i="1"/>
  <c r="S483" i="1"/>
  <c r="S384" i="1"/>
  <c r="S247" i="1"/>
  <c r="S205" i="1"/>
  <c r="S169" i="1"/>
  <c r="F1060" i="1"/>
  <c r="S551" i="1"/>
  <c r="S366" i="1"/>
  <c r="S267" i="1"/>
  <c r="S201" i="1"/>
  <c r="S38" i="1"/>
  <c r="AN2" i="1"/>
  <c r="AN1037" i="1"/>
  <c r="R1037" i="1"/>
  <c r="F1046" i="1" s="1"/>
  <c r="S348" i="1"/>
  <c r="S803" i="1"/>
  <c r="S668" i="1"/>
  <c r="AD839" i="1" l="1"/>
  <c r="AD843" i="1"/>
  <c r="AD846" i="1"/>
  <c r="AD1036" i="1"/>
  <c r="AD876" i="1"/>
  <c r="AC606" i="1"/>
  <c r="AE606" i="1" s="1"/>
  <c r="AE661" i="1"/>
  <c r="AE584" i="1"/>
  <c r="AC440" i="1"/>
  <c r="AE440" i="1" s="1"/>
  <c r="AC443" i="1"/>
  <c r="AE443" i="1" s="1"/>
  <c r="AD841" i="1"/>
  <c r="AD933" i="1"/>
  <c r="F1049" i="1"/>
  <c r="O1041" i="1"/>
  <c r="AD969" i="1"/>
  <c r="AD981" i="1"/>
  <c r="AD986" i="1"/>
  <c r="AD971" i="1"/>
  <c r="AD966" i="1"/>
  <c r="AD868" i="1"/>
  <c r="AD983" i="1"/>
  <c r="AD912" i="1"/>
  <c r="AD968" i="1"/>
  <c r="AD982" i="1"/>
  <c r="AD979" i="1"/>
  <c r="AD913" i="1"/>
  <c r="AD906" i="1"/>
  <c r="AD888" i="1"/>
  <c r="AD840" i="1"/>
  <c r="AD1031" i="1"/>
  <c r="AD908" i="1"/>
  <c r="AD881" i="1"/>
  <c r="AE522" i="1"/>
  <c r="AE165" i="1"/>
  <c r="AD1034" i="1"/>
  <c r="AD957" i="1"/>
  <c r="AD984" i="1"/>
  <c r="AD1033" i="1"/>
  <c r="AE654" i="1"/>
  <c r="AE770" i="1"/>
  <c r="AD1035" i="1"/>
  <c r="AE720" i="1"/>
  <c r="AD967" i="1"/>
  <c r="AE291" i="1"/>
  <c r="AE710" i="1"/>
  <c r="AE760" i="1"/>
  <c r="AE289" i="1"/>
  <c r="AD1030" i="1"/>
  <c r="AD977" i="1"/>
  <c r="AD976" i="1"/>
  <c r="AD1032" i="1"/>
  <c r="AD974" i="1"/>
  <c r="AD949" i="1"/>
  <c r="AD978" i="1"/>
  <c r="AE614" i="1"/>
  <c r="AE794" i="1"/>
  <c r="AE712" i="1"/>
  <c r="AD985" i="1"/>
  <c r="AD970" i="1"/>
  <c r="AD950" i="1"/>
  <c r="AE635" i="1"/>
  <c r="AE158" i="1"/>
  <c r="AD980" i="1"/>
  <c r="AD975" i="1"/>
  <c r="AD938" i="1"/>
  <c r="AD835" i="1"/>
  <c r="AD818" i="1"/>
  <c r="AD819" i="1"/>
  <c r="AD851" i="1"/>
  <c r="AE150" i="1"/>
  <c r="AE453" i="1"/>
  <c r="AE233" i="1"/>
  <c r="AE91" i="1"/>
  <c r="AE190" i="1"/>
  <c r="AE223" i="1"/>
  <c r="AE59" i="1"/>
  <c r="AE638" i="1"/>
  <c r="AE500" i="1"/>
  <c r="AE298" i="1"/>
  <c r="AE52" i="1"/>
  <c r="AE174" i="1"/>
  <c r="AD838" i="1"/>
  <c r="AE11" i="1"/>
  <c r="AE294" i="1"/>
  <c r="AE505" i="1"/>
  <c r="AE57" i="1"/>
  <c r="AE90" i="1"/>
  <c r="AD825" i="1"/>
  <c r="AE297" i="1"/>
  <c r="AD834" i="1"/>
  <c r="AD827" i="1"/>
  <c r="AD864" i="1"/>
  <c r="AE462" i="1"/>
  <c r="AE431" i="1"/>
  <c r="AD842" i="1"/>
  <c r="AD871" i="1"/>
  <c r="AE734" i="1"/>
  <c r="AE434" i="1"/>
  <c r="AE159" i="1"/>
  <c r="AE738" i="1"/>
  <c r="AD824" i="1"/>
  <c r="AE845" i="1"/>
  <c r="AE732" i="1"/>
  <c r="AE698" i="1"/>
  <c r="AE104" i="1"/>
  <c r="AE157" i="1"/>
  <c r="AE160" i="1"/>
  <c r="AD820" i="1"/>
  <c r="AD823" i="1"/>
  <c r="AE238" i="1"/>
  <c r="AE428" i="1"/>
  <c r="AE362" i="1"/>
  <c r="AE245" i="1"/>
  <c r="AE885" i="1"/>
  <c r="AE215" i="1"/>
  <c r="AD882" i="1"/>
  <c r="AD872" i="1"/>
  <c r="AE232" i="1"/>
  <c r="AE490" i="1"/>
  <c r="AE302" i="1"/>
  <c r="AD836" i="1"/>
  <c r="AB601" i="1"/>
  <c r="AB653" i="1"/>
  <c r="AC653" i="1" s="1"/>
  <c r="AE124" i="1"/>
  <c r="AD246" i="1"/>
  <c r="AE161" i="1"/>
  <c r="AE53" i="1"/>
  <c r="AE262" i="1"/>
  <c r="AE147" i="1"/>
  <c r="AE805" i="1"/>
  <c r="AE175" i="1"/>
  <c r="AD852" i="1"/>
  <c r="AD875" i="1"/>
  <c r="AE662" i="1"/>
  <c r="AD877" i="1"/>
  <c r="AE746" i="1"/>
  <c r="AE779" i="1"/>
  <c r="AE154" i="1"/>
  <c r="AD831" i="1"/>
  <c r="AD850" i="1"/>
  <c r="AE168" i="1"/>
  <c r="AD863" i="1"/>
  <c r="AD869" i="1"/>
  <c r="AE681" i="1"/>
  <c r="AE447" i="1"/>
  <c r="AE756" i="1"/>
  <c r="AE492" i="1"/>
  <c r="AD830" i="1"/>
  <c r="AD833" i="1"/>
  <c r="AE491" i="1"/>
  <c r="AE162" i="1"/>
  <c r="AE488" i="1"/>
  <c r="AE313" i="1"/>
  <c r="AD826" i="1"/>
  <c r="AD832" i="1"/>
  <c r="AB448" i="1"/>
  <c r="AD448" i="1" s="1"/>
  <c r="AB552" i="1"/>
  <c r="AD552" i="1" s="1"/>
  <c r="AB477" i="1"/>
  <c r="AB799" i="1"/>
  <c r="AB463" i="1"/>
  <c r="AB694" i="1"/>
  <c r="AB123" i="1"/>
  <c r="AD123" i="1" s="1"/>
  <c r="AB570" i="1"/>
  <c r="AD570" i="1" s="1"/>
  <c r="AB131" i="1"/>
  <c r="AB728" i="1"/>
  <c r="AB729" i="1"/>
  <c r="AB800" i="1"/>
  <c r="AC800" i="1" s="1"/>
  <c r="AB754" i="1"/>
  <c r="AC754" i="1" s="1"/>
  <c r="AB269" i="1"/>
  <c r="AB361" i="1"/>
  <c r="AB352" i="1"/>
  <c r="AB655" i="1"/>
  <c r="AB197" i="1"/>
  <c r="AB724" i="1"/>
  <c r="AB270" i="1"/>
  <c r="AD270" i="1" s="1"/>
  <c r="AB78" i="1"/>
  <c r="AB518" i="1"/>
  <c r="AB587" i="1"/>
  <c r="AB605" i="1"/>
  <c r="AB93" i="1"/>
  <c r="AE93" i="1" s="1"/>
  <c r="AB345" i="1"/>
  <c r="AB263" i="1"/>
  <c r="AB422" i="1"/>
  <c r="AD422" i="1" s="1"/>
  <c r="AB465" i="1"/>
  <c r="AB581" i="1"/>
  <c r="AB196" i="1"/>
  <c r="AB527" i="1"/>
  <c r="AB624" i="1"/>
  <c r="AD624" i="1" s="1"/>
  <c r="AB318" i="1"/>
  <c r="AD318" i="1" s="1"/>
  <c r="AB393" i="1"/>
  <c r="AD393" i="1" s="1"/>
  <c r="AB862" i="1"/>
  <c r="AB390" i="1"/>
  <c r="AE390" i="1" s="1"/>
  <c r="AB309" i="1"/>
  <c r="AB579" i="1"/>
  <c r="AB578" i="1"/>
  <c r="AE578" i="1" s="1"/>
  <c r="AB759" i="1"/>
  <c r="AC759" i="1" s="1"/>
  <c r="AB802" i="1"/>
  <c r="AB506" i="1"/>
  <c r="AB27" i="1"/>
  <c r="AB739" i="1"/>
  <c r="AB456" i="1"/>
  <c r="AD456" i="1" s="1"/>
  <c r="AB629" i="1"/>
  <c r="AD629" i="1" s="1"/>
  <c r="AB391" i="1"/>
  <c r="AC391" i="1" s="1"/>
  <c r="AE391" i="1" s="1"/>
  <c r="AB765" i="1"/>
  <c r="AB735" i="1"/>
  <c r="AB10" i="1"/>
  <c r="AD10" i="1" s="1"/>
  <c r="AB249" i="1"/>
  <c r="AB772" i="1"/>
  <c r="AE772" i="1" s="1"/>
  <c r="AB111" i="1"/>
  <c r="AD111" i="1" s="1"/>
  <c r="AB510" i="1"/>
  <c r="AB559" i="1"/>
  <c r="AD559" i="1" s="1"/>
  <c r="AB791" i="1"/>
  <c r="AC791" i="1" s="1"/>
  <c r="AB241" i="1"/>
  <c r="AD241" i="1" s="1"/>
  <c r="AB423" i="1"/>
  <c r="AB30" i="1"/>
  <c r="AB85" i="1"/>
  <c r="AD85" i="1" s="1"/>
  <c r="AB192" i="1"/>
  <c r="AB338" i="1"/>
  <c r="AB360" i="1"/>
  <c r="AB331" i="1"/>
  <c r="AB679" i="1"/>
  <c r="AB742" i="1"/>
  <c r="AB574" i="1"/>
  <c r="AD574" i="1" s="1"/>
  <c r="AB664" i="1"/>
  <c r="AB254" i="1"/>
  <c r="AB856" i="1"/>
  <c r="AC856" i="1" s="1"/>
  <c r="AB379" i="1"/>
  <c r="AB259" i="1"/>
  <c r="AD259" i="1" s="1"/>
  <c r="AB141" i="1"/>
  <c r="AE141" i="1" s="1"/>
  <c r="AB787" i="1"/>
  <c r="AB534" i="1"/>
  <c r="AD534" i="1" s="1"/>
  <c r="AB504" i="1"/>
  <c r="AB548" i="1"/>
  <c r="AB334" i="1"/>
  <c r="AB547" i="1"/>
  <c r="AB200" i="1"/>
  <c r="AE200" i="1" s="1"/>
  <c r="AB665" i="1"/>
  <c r="AE665" i="1" s="1"/>
  <c r="AB357" i="1"/>
  <c r="AB752" i="1"/>
  <c r="AB273" i="1"/>
  <c r="AB775" i="1"/>
  <c r="AB237" i="1"/>
  <c r="AC237" i="1" s="1"/>
  <c r="AB532" i="1"/>
  <c r="AB405" i="1"/>
  <c r="AC405" i="1" s="1"/>
  <c r="AB339" i="1"/>
  <c r="AC339" i="1" s="1"/>
  <c r="AB266" i="1"/>
  <c r="AD266" i="1" s="1"/>
  <c r="AB586" i="1"/>
  <c r="AD586" i="1" s="1"/>
  <c r="AB854" i="1"/>
  <c r="AC854" i="1" s="1"/>
  <c r="AB857" i="1"/>
  <c r="AB188" i="1"/>
  <c r="AB219" i="1"/>
  <c r="AB798" i="1"/>
  <c r="AB482" i="1"/>
  <c r="AD482" i="1" s="1"/>
  <c r="AB265" i="1"/>
  <c r="AC265" i="1" s="1"/>
  <c r="AB127" i="1"/>
  <c r="AB173" i="1"/>
  <c r="AB588" i="1"/>
  <c r="AD588" i="1" s="1"/>
  <c r="AB736" i="1"/>
  <c r="AB730" i="1"/>
  <c r="AB566" i="1"/>
  <c r="AB774" i="1"/>
  <c r="AB886" i="1"/>
  <c r="AC886" i="1" s="1"/>
  <c r="AB310" i="1"/>
  <c r="AB80" i="1"/>
  <c r="AB688" i="1"/>
  <c r="AB508" i="1"/>
  <c r="AB711" i="1"/>
  <c r="AB811" i="1"/>
  <c r="AD811" i="1" s="1"/>
  <c r="AB716" i="1"/>
  <c r="AC716" i="1" s="1"/>
  <c r="AB454" i="1"/>
  <c r="AB497" i="1"/>
  <c r="AB474" i="1"/>
  <c r="AB375" i="1"/>
  <c r="AD375" i="1" s="1"/>
  <c r="AB220" i="1"/>
  <c r="AB771" i="1"/>
  <c r="AB183" i="1"/>
  <c r="AD183" i="1" s="1"/>
  <c r="AB33" i="1"/>
  <c r="AB731" i="1"/>
  <c r="AC731" i="1" s="1"/>
  <c r="AE731" i="1" s="1"/>
  <c r="AB332" i="1"/>
  <c r="AB35" i="1"/>
  <c r="AE35" i="1" s="1"/>
  <c r="AB329" i="1"/>
  <c r="AC329" i="1" s="1"/>
  <c r="AB184" i="1"/>
  <c r="AD184" i="1" s="1"/>
  <c r="AB773" i="1"/>
  <c r="AC773" i="1" s="1"/>
  <c r="AB658" i="1"/>
  <c r="AB377" i="1"/>
  <c r="AB277" i="1"/>
  <c r="AB395" i="1"/>
  <c r="AB178" i="1"/>
  <c r="AB8" i="1"/>
  <c r="AB279" i="1"/>
  <c r="AB88" i="1"/>
  <c r="AD88" i="1" s="1"/>
  <c r="AB780" i="1"/>
  <c r="AC780" i="1" s="1"/>
  <c r="AE780" i="1" s="1"/>
  <c r="AB808" i="1"/>
  <c r="AB206" i="1"/>
  <c r="AD206" i="1" s="1"/>
  <c r="AB130" i="1"/>
  <c r="AC130" i="1" s="1"/>
  <c r="AB626" i="1"/>
  <c r="AB741" i="1"/>
  <c r="AB750" i="1"/>
  <c r="AB631" i="1"/>
  <c r="AB441" i="1"/>
  <c r="AB392" i="1"/>
  <c r="AD392" i="1" s="1"/>
  <c r="AB65" i="1"/>
  <c r="AD65" i="1" s="1"/>
  <c r="AB795" i="1"/>
  <c r="AB446" i="1"/>
  <c r="AD446" i="1" s="1"/>
  <c r="AB577" i="1"/>
  <c r="AB109" i="1"/>
  <c r="AD109" i="1" s="1"/>
  <c r="AB539" i="1"/>
  <c r="AB530" i="1"/>
  <c r="AE530" i="1" s="1"/>
  <c r="AB155" i="1"/>
  <c r="AB410" i="1"/>
  <c r="AB781" i="1"/>
  <c r="AC781" i="1" s="1"/>
  <c r="AB594" i="1"/>
  <c r="AD594" i="1" s="1"/>
  <c r="AB293" i="1"/>
  <c r="AB19" i="1"/>
  <c r="AD19" i="1" s="1"/>
  <c r="AB555" i="1"/>
  <c r="AB242" i="1"/>
  <c r="AB503" i="1"/>
  <c r="AB855" i="1"/>
  <c r="AC855" i="1" s="1"/>
  <c r="AB427" i="1"/>
  <c r="AB764" i="1"/>
  <c r="AB311" i="1"/>
  <c r="AB408" i="1"/>
  <c r="AB755" i="1"/>
  <c r="AB264" i="1"/>
  <c r="AE264" i="1" s="1"/>
  <c r="AB657" i="1"/>
  <c r="AD657" i="1" s="1"/>
  <c r="AB859" i="1"/>
  <c r="AB442" i="1"/>
  <c r="AC442" i="1" s="1"/>
  <c r="AB64" i="1"/>
  <c r="AD64" i="1" s="1"/>
  <c r="AB485" i="1"/>
  <c r="AB556" i="1"/>
  <c r="AB557" i="1"/>
  <c r="AB545" i="1"/>
  <c r="AB136" i="1"/>
  <c r="AB531" i="1"/>
  <c r="AB95" i="1"/>
  <c r="AD95" i="1" s="1"/>
  <c r="AB388" i="1"/>
  <c r="AB858" i="1"/>
  <c r="AB804" i="1"/>
  <c r="AB371" i="1"/>
  <c r="AB786" i="1"/>
  <c r="AC786" i="1" s="1"/>
  <c r="AB126" i="1"/>
  <c r="AC126" i="1" s="1"/>
  <c r="AB23" i="1"/>
  <c r="AB803" i="1"/>
  <c r="AE803" i="1" s="1"/>
  <c r="AB807" i="1"/>
  <c r="AC807" i="1" s="1"/>
  <c r="AB757" i="1"/>
  <c r="AC757" i="1" s="1"/>
  <c r="AB812" i="1"/>
  <c r="AC812" i="1" s="1"/>
  <c r="AB72" i="1"/>
  <c r="AB307" i="1"/>
  <c r="AB785" i="1"/>
  <c r="AB49" i="1"/>
  <c r="AD49" i="1" s="1"/>
  <c r="AB776" i="1"/>
  <c r="AE776" i="1" s="1"/>
  <c r="AB725" i="1"/>
  <c r="AB715" i="1"/>
  <c r="AC715" i="1" s="1"/>
  <c r="AB382" i="1"/>
  <c r="AB139" i="1"/>
  <c r="AE139" i="1" s="1"/>
  <c r="AB580" i="1"/>
  <c r="AB170" i="1"/>
  <c r="AD170" i="1" s="1"/>
  <c r="AB627" i="1"/>
  <c r="AD627" i="1" s="1"/>
  <c r="AB860" i="1"/>
  <c r="AB417" i="1"/>
  <c r="AB234" i="1"/>
  <c r="AB495" i="1"/>
  <c r="AC495" i="1" s="1"/>
  <c r="AB464" i="1"/>
  <c r="AB146" i="1"/>
  <c r="AD146" i="1" s="1"/>
  <c r="AB282" i="1"/>
  <c r="AD282" i="1" s="1"/>
  <c r="AB179" i="1"/>
  <c r="AB573" i="1"/>
  <c r="AB572" i="1"/>
  <c r="AB166" i="1"/>
  <c r="AD166" i="1" s="1"/>
  <c r="AB274" i="1"/>
  <c r="AC274" i="1" s="1"/>
  <c r="AB286" i="1"/>
  <c r="AB275" i="1"/>
  <c r="AC275" i="1" s="1"/>
  <c r="AB457" i="1"/>
  <c r="AB546" i="1"/>
  <c r="AD546" i="1" s="1"/>
  <c r="AB212" i="1"/>
  <c r="AC212" i="1" s="1"/>
  <c r="AE212" i="1" s="1"/>
  <c r="AB381" i="1"/>
  <c r="AD381" i="1" s="1"/>
  <c r="AB608" i="1"/>
  <c r="AB564" i="1"/>
  <c r="AD564" i="1" s="1"/>
  <c r="AB62" i="1"/>
  <c r="AB172" i="1"/>
  <c r="AB322" i="1"/>
  <c r="AB96" i="1"/>
  <c r="AD96" i="1" s="1"/>
  <c r="AB350" i="1"/>
  <c r="AB210" i="1"/>
  <c r="AD210" i="1" s="1"/>
  <c r="AB810" i="1"/>
  <c r="AB582" i="1"/>
  <c r="AD582" i="1" s="1"/>
  <c r="AB341" i="1"/>
  <c r="AB452" i="1"/>
  <c r="AB283" i="1"/>
  <c r="AD283" i="1" s="1"/>
  <c r="AB541" i="1"/>
  <c r="AB721" i="1"/>
  <c r="AD721" i="1" s="1"/>
  <c r="AB412" i="1"/>
  <c r="AD412" i="1" s="1"/>
  <c r="AB575" i="1"/>
  <c r="AD575" i="1" s="1"/>
  <c r="AB763" i="1"/>
  <c r="AB563" i="1"/>
  <c r="AD563" i="1" s="1"/>
  <c r="AB186" i="1"/>
  <c r="AB507" i="1"/>
  <c r="AB740" i="1"/>
  <c r="AB622" i="1"/>
  <c r="AD622" i="1" s="1"/>
  <c r="AB678" i="1"/>
  <c r="AB378" i="1"/>
  <c r="AB633" i="1"/>
  <c r="AB240" i="1"/>
  <c r="AB596" i="1"/>
  <c r="AD596" i="1" s="1"/>
  <c r="AB213" i="1"/>
  <c r="AB370" i="1"/>
  <c r="AB686" i="1"/>
  <c r="AB284" i="1"/>
  <c r="AB430" i="1"/>
  <c r="AD430" i="1" s="1"/>
  <c r="AB364" i="1"/>
  <c r="AB203" i="1"/>
  <c r="AB253" i="1"/>
  <c r="AB353" i="1"/>
  <c r="AB607" i="1"/>
  <c r="AD607" i="1" s="1"/>
  <c r="AB685" i="1"/>
  <c r="AB782" i="1"/>
  <c r="AB394" i="1"/>
  <c r="AB815" i="1"/>
  <c r="AC815" i="1" s="1"/>
  <c r="AB267" i="1"/>
  <c r="AB185" i="1"/>
  <c r="AE185" i="1" s="1"/>
  <c r="AB76" i="1"/>
  <c r="AC76" i="1" s="1"/>
  <c r="AB496" i="1"/>
  <c r="AB61" i="1"/>
  <c r="AD61" i="1" s="1"/>
  <c r="AB187" i="1"/>
  <c r="AB768" i="1"/>
  <c r="AC768" i="1" s="1"/>
  <c r="AB751" i="1"/>
  <c r="AB748" i="1"/>
  <c r="AB20" i="1"/>
  <c r="AB630" i="1"/>
  <c r="AB288" i="1"/>
  <c r="AB363" i="1"/>
  <c r="AB125" i="1"/>
  <c r="AD125" i="1" s="1"/>
  <c r="AB583" i="1"/>
  <c r="AD583" i="1" s="1"/>
  <c r="AB814" i="1"/>
  <c r="AC814" i="1" s="1"/>
  <c r="AB778" i="1"/>
  <c r="AE778" i="1" s="1"/>
  <c r="AB744" i="1"/>
  <c r="AB348" i="1"/>
  <c r="AD348" i="1" s="1"/>
  <c r="AB319" i="1"/>
  <c r="AB14" i="1"/>
  <c r="AB347" i="1"/>
  <c r="AE347" i="1" s="1"/>
  <c r="AB22" i="1"/>
  <c r="AD22" i="1" s="1"/>
  <c r="AB816" i="1"/>
  <c r="AC816" i="1" s="1"/>
  <c r="AB632" i="1"/>
  <c r="AD632" i="1" s="1"/>
  <c r="AB591" i="1"/>
  <c r="AB749" i="1"/>
  <c r="AC749" i="1" s="1"/>
  <c r="AB383" i="1"/>
  <c r="AD383" i="1" s="1"/>
  <c r="AB199" i="1"/>
  <c r="AB243" i="1"/>
  <c r="AB399" i="1"/>
  <c r="AD399" i="1" s="1"/>
  <c r="AB32" i="1"/>
  <c r="AB231" i="1"/>
  <c r="AE231" i="1" s="1"/>
  <c r="AB783" i="1"/>
  <c r="AB784" i="1"/>
  <c r="AB81" i="1"/>
  <c r="AB106" i="1"/>
  <c r="AD106" i="1" s="1"/>
  <c r="AB252" i="1"/>
  <c r="AB276" i="1"/>
  <c r="AB516" i="1"/>
  <c r="AB304" i="1"/>
  <c r="AB766" i="1"/>
  <c r="AB44" i="1"/>
  <c r="AD44" i="1" s="1"/>
  <c r="AB337" i="1"/>
  <c r="AC337" i="1" s="1"/>
  <c r="AB18" i="1"/>
  <c r="AB737" i="1"/>
  <c r="AB708" i="1"/>
  <c r="AB801" i="1"/>
  <c r="AB727" i="1"/>
  <c r="AE727" i="1" s="1"/>
  <c r="AB420" i="1"/>
  <c r="AB568" i="1"/>
  <c r="AD568" i="1" s="1"/>
  <c r="AB458" i="1"/>
  <c r="AB792" i="1"/>
  <c r="AB17" i="1"/>
  <c r="AB806" i="1"/>
  <c r="AC806" i="1" s="1"/>
  <c r="AB193" i="1"/>
  <c r="AB553" i="1"/>
  <c r="AB144" i="1"/>
  <c r="AD144" i="1" s="1"/>
  <c r="AB549" i="1"/>
  <c r="AB498" i="1"/>
  <c r="AC498" i="1" s="1"/>
  <c r="AB385" i="1"/>
  <c r="AB214" i="1"/>
  <c r="AD214" i="1" s="1"/>
  <c r="AB4" i="1"/>
  <c r="AB861" i="1"/>
  <c r="AB550" i="1"/>
  <c r="AB164" i="1"/>
  <c r="AD164" i="1" s="1"/>
  <c r="AB809" i="1"/>
  <c r="AB789" i="1"/>
  <c r="AB271" i="1"/>
  <c r="AB384" i="1"/>
  <c r="AD384" i="1" s="1"/>
  <c r="AB305" i="1"/>
  <c r="AB258" i="1"/>
  <c r="AB433" i="1"/>
  <c r="AB797" i="1"/>
  <c r="AE797" i="1" s="1"/>
  <c r="AB181" i="1"/>
  <c r="AB790" i="1"/>
  <c r="AC790" i="1" s="1"/>
  <c r="AB320" i="1"/>
  <c r="AD320" i="1" s="1"/>
  <c r="AB571" i="1"/>
  <c r="AB435" i="1"/>
  <c r="AC435" i="1" s="1"/>
  <c r="AB623" i="1"/>
  <c r="AB445" i="1"/>
  <c r="AD445" i="1" s="1"/>
  <c r="AB788" i="1"/>
  <c r="AB321" i="1"/>
  <c r="AB793" i="1"/>
  <c r="AB296" i="1"/>
  <c r="AB761" i="1"/>
  <c r="AC761" i="1" s="1"/>
  <c r="AB117" i="1"/>
  <c r="AD117" i="1" s="1"/>
  <c r="AB169" i="1"/>
  <c r="AD169" i="1" s="1"/>
  <c r="AB31" i="1"/>
  <c r="AB469" i="1"/>
  <c r="AB87" i="1"/>
  <c r="AD87" i="1" s="1"/>
  <c r="AB180" i="1"/>
  <c r="AB437" i="1"/>
  <c r="AB374" i="1"/>
  <c r="AB401" i="1"/>
  <c r="AD401" i="1" s="1"/>
  <c r="AB333" i="1"/>
  <c r="AD333" i="1" s="1"/>
  <c r="AB753" i="1"/>
  <c r="AC753" i="1" s="1"/>
  <c r="AB272" i="1"/>
  <c r="AB450" i="1"/>
  <c r="AB368" i="1"/>
  <c r="AB222" i="1"/>
  <c r="AB37" i="1"/>
  <c r="AE37" i="1" s="1"/>
  <c r="AB533" i="1"/>
  <c r="AB343" i="1"/>
  <c r="AD343" i="1" s="1"/>
  <c r="AB625" i="1"/>
  <c r="AD625" i="1" s="1"/>
  <c r="AB346" i="1"/>
  <c r="AB461" i="1"/>
  <c r="AB207" i="1"/>
  <c r="AB817" i="1"/>
  <c r="AB813" i="1"/>
  <c r="AB63" i="1"/>
  <c r="AD63" i="1" s="1"/>
  <c r="AB723" i="1"/>
  <c r="AC723" i="1" s="1"/>
  <c r="AE723" i="1" s="1"/>
  <c r="AB745" i="1"/>
  <c r="AB512" i="1"/>
  <c r="AB612" i="1"/>
  <c r="AD612" i="1" s="1"/>
  <c r="AB221" i="1"/>
  <c r="AE221" i="1" s="1"/>
  <c r="AB344" i="1"/>
  <c r="AB762" i="1"/>
  <c r="AC762" i="1" s="1"/>
  <c r="AB26" i="1"/>
  <c r="AB726" i="1"/>
  <c r="AC726" i="1" s="1"/>
  <c r="AB538" i="1"/>
  <c r="AB509" i="1"/>
  <c r="AB460" i="1"/>
  <c r="AB407" i="1"/>
  <c r="AB113" i="1"/>
  <c r="AD113" i="1" s="1"/>
  <c r="AB268" i="1"/>
  <c r="AB372" i="1"/>
  <c r="AB152" i="1"/>
  <c r="AB683" i="1"/>
  <c r="AB6" i="1"/>
  <c r="AB777" i="1"/>
  <c r="AC777" i="1" s="1"/>
  <c r="AB542" i="1"/>
  <c r="AD542" i="1" s="1"/>
  <c r="AB528" i="1"/>
  <c r="AB502" i="1"/>
  <c r="AB767" i="1"/>
  <c r="AB613" i="1"/>
  <c r="AB205" i="1"/>
  <c r="AD205" i="1" s="1"/>
  <c r="AB99" i="1"/>
  <c r="AD99" i="1" s="1"/>
  <c r="AB702" i="1"/>
  <c r="AD702" i="1" s="1"/>
  <c r="AB256" i="1"/>
  <c r="AB248" i="1"/>
  <c r="AB132" i="1"/>
  <c r="AB472" i="1"/>
  <c r="AB396" i="1"/>
  <c r="AD396" i="1" s="1"/>
  <c r="AB501" i="1"/>
  <c r="AB468" i="1"/>
  <c r="AE468" i="1" s="1"/>
  <c r="AB326" i="1"/>
  <c r="AC326" i="1" s="1"/>
  <c r="AB567" i="1"/>
  <c r="AE567" i="1" s="1"/>
  <c r="AB560" i="1"/>
  <c r="AD560" i="1" s="1"/>
  <c r="AD821" i="1"/>
  <c r="AD829" i="1"/>
  <c r="AD847" i="1"/>
  <c r="AE508" i="1"/>
  <c r="AE303" i="1"/>
  <c r="AE605" i="1"/>
  <c r="AD867" i="1"/>
  <c r="AD844" i="1"/>
  <c r="AD837" i="1"/>
  <c r="AE769" i="1"/>
  <c r="AD848" i="1"/>
  <c r="AE678" i="1"/>
  <c r="AE747" i="1"/>
  <c r="AE640" i="1"/>
  <c r="AD870" i="1"/>
  <c r="AE271" i="1"/>
  <c r="AE244" i="1"/>
  <c r="AE631" i="1"/>
  <c r="AE269" i="1"/>
  <c r="AE322" i="1"/>
  <c r="AE247" i="1"/>
  <c r="AD822" i="1"/>
  <c r="AD853" i="1"/>
  <c r="AD849" i="1"/>
  <c r="AB226" i="1"/>
  <c r="AC226" i="1" s="1"/>
  <c r="AB359" i="1"/>
  <c r="AB209" i="1"/>
  <c r="AD209" i="1" s="1"/>
  <c r="AB308" i="1"/>
  <c r="AB34" i="1"/>
  <c r="AB476" i="1"/>
  <c r="AB535" i="1"/>
  <c r="AB25" i="1"/>
  <c r="AB529" i="1"/>
  <c r="AD529" i="1" s="1"/>
  <c r="AB719" i="1"/>
  <c r="AB537" i="1"/>
  <c r="AD537" i="1" s="1"/>
  <c r="AB77" i="1"/>
  <c r="AB444" i="1"/>
  <c r="AB414" i="1"/>
  <c r="AB198" i="1"/>
  <c r="AD198" i="1" s="1"/>
  <c r="AB691" i="1"/>
  <c r="AB142" i="1"/>
  <c r="AD142" i="1" s="1"/>
  <c r="AB499" i="1"/>
  <c r="AB589" i="1"/>
  <c r="AE589" i="1" s="1"/>
  <c r="AB418" i="1"/>
  <c r="AD418" i="1" s="1"/>
  <c r="AB494" i="1"/>
  <c r="AC494" i="1" s="1"/>
  <c r="AB714" i="1"/>
  <c r="AC714" i="1" s="1"/>
  <c r="AB675" i="1"/>
  <c r="AC675" i="1" s="1"/>
  <c r="AB709" i="1"/>
  <c r="AC709" i="1" s="1"/>
  <c r="AB83" i="1"/>
  <c r="AB515" i="1"/>
  <c r="AB602" i="1"/>
  <c r="AB611" i="1"/>
  <c r="AD611" i="1" s="1"/>
  <c r="AB543" i="1"/>
  <c r="AB519" i="1"/>
  <c r="AB224" i="1"/>
  <c r="AC224" i="1" s="1"/>
  <c r="AB16" i="1"/>
  <c r="AB703" i="1"/>
  <c r="AB722" i="1"/>
  <c r="AB562" i="1"/>
  <c r="AB676" i="1"/>
  <c r="AB597" i="1"/>
  <c r="AB102" i="1"/>
  <c r="AB621" i="1"/>
  <c r="AD621" i="1" s="1"/>
  <c r="AB148" i="1"/>
  <c r="AD148" i="1" s="1"/>
  <c r="AB15" i="1"/>
  <c r="AD15" i="1" s="1"/>
  <c r="AB194" i="1"/>
  <c r="AE194" i="1" s="1"/>
  <c r="AB58" i="1"/>
  <c r="AB644" i="1"/>
  <c r="AD644" i="1" s="1"/>
  <c r="AB796" i="1"/>
  <c r="AC796" i="1" s="1"/>
  <c r="AB299" i="1"/>
  <c r="AB419" i="1"/>
  <c r="AB387" i="1"/>
  <c r="AD387" i="1" s="1"/>
  <c r="AB481" i="1"/>
  <c r="AB470" i="1"/>
  <c r="AB526" i="1"/>
  <c r="AE526" i="1" s="1"/>
  <c r="AB7" i="1"/>
  <c r="AB301" i="1"/>
  <c r="AB426" i="1"/>
  <c r="AB595" i="1"/>
  <c r="AD595" i="1" s="1"/>
  <c r="AB92" i="1"/>
  <c r="AB315" i="1"/>
  <c r="AB459" i="1"/>
  <c r="AB524" i="1"/>
  <c r="AB687" i="1"/>
  <c r="AD687" i="1" s="1"/>
  <c r="AB84" i="1"/>
  <c r="AB358" i="1"/>
  <c r="AB28" i="1"/>
  <c r="AB643" i="1"/>
  <c r="AD643" i="1" s="1"/>
  <c r="AB493" i="1"/>
  <c r="AB285" i="1"/>
  <c r="AD285" i="1" s="1"/>
  <c r="AB69" i="1"/>
  <c r="AB163" i="1"/>
  <c r="AD163" i="1" s="1"/>
  <c r="AB523" i="1"/>
  <c r="AB400" i="1"/>
  <c r="AD400" i="1" s="1"/>
  <c r="AB204" i="1"/>
  <c r="AD204" i="1" s="1"/>
  <c r="AB634" i="1"/>
  <c r="AD634" i="1" s="1"/>
  <c r="AB365" i="1"/>
  <c r="AB236" i="1"/>
  <c r="AB513" i="1"/>
  <c r="AB483" i="1"/>
  <c r="AB376" i="1"/>
  <c r="AB128" i="1"/>
  <c r="AC128" i="1" s="1"/>
  <c r="AB432" i="1"/>
  <c r="AB140" i="1"/>
  <c r="AB398" i="1"/>
  <c r="AC398" i="1" s="1"/>
  <c r="AB652" i="1"/>
  <c r="AC652" i="1" s="1"/>
  <c r="AE652" i="1" s="1"/>
  <c r="AB695" i="1"/>
  <c r="AP92" i="1"/>
  <c r="AQ92" i="1" s="1"/>
  <c r="AB389" i="1"/>
  <c r="AB669" i="1"/>
  <c r="AB659" i="1"/>
  <c r="AB656" i="1"/>
  <c r="AB340" i="1"/>
  <c r="AB239" i="1"/>
  <c r="AB73" i="1"/>
  <c r="AB449" i="1"/>
  <c r="AB489" i="1"/>
  <c r="AC489" i="1" s="1"/>
  <c r="AB616" i="1"/>
  <c r="AD616" i="1" s="1"/>
  <c r="AB646" i="1"/>
  <c r="AC646" i="1" s="1"/>
  <c r="AB328" i="1"/>
  <c r="AB281" i="1"/>
  <c r="AD281" i="1" s="1"/>
  <c r="AB292" i="1"/>
  <c r="AB696" i="1"/>
  <c r="AB156" i="1"/>
  <c r="AE156" i="1" s="1"/>
  <c r="AB24" i="1"/>
  <c r="AB79" i="1"/>
  <c r="AB314" i="1"/>
  <c r="AP476" i="1"/>
  <c r="AQ476" i="1" s="1"/>
  <c r="AB647" i="1"/>
  <c r="AD647" i="1" s="1"/>
  <c r="AB191" i="1"/>
  <c r="AB397" i="1"/>
  <c r="AB42" i="1"/>
  <c r="AD42" i="1" s="1"/>
  <c r="AB585" i="1"/>
  <c r="AD585" i="1" s="1"/>
  <c r="AB202" i="1"/>
  <c r="AB356" i="1"/>
  <c r="AD356" i="1" s="1"/>
  <c r="AB195" i="1"/>
  <c r="AB682" i="1"/>
  <c r="AB413" i="1"/>
  <c r="AD413" i="1" s="1"/>
  <c r="AB105" i="1"/>
  <c r="AB561" i="1"/>
  <c r="AB565" i="1"/>
  <c r="AD565" i="1" s="1"/>
  <c r="AB373" i="1"/>
  <c r="AB668" i="1"/>
  <c r="AB576" i="1"/>
  <c r="AE576" i="1" s="1"/>
  <c r="AB411" i="1"/>
  <c r="AD411" i="1" s="1"/>
  <c r="AB312" i="1"/>
  <c r="AB642" i="1"/>
  <c r="AB439" i="1"/>
  <c r="AC439" i="1" s="1"/>
  <c r="AB261" i="1"/>
  <c r="AB663" i="1"/>
  <c r="AD663" i="1" s="1"/>
  <c r="AB520" i="1"/>
  <c r="AB673" i="1"/>
  <c r="AB674" i="1"/>
  <c r="AB60" i="1"/>
  <c r="AB133" i="1"/>
  <c r="AB336" i="1"/>
  <c r="AB5" i="1"/>
  <c r="AB138" i="1"/>
  <c r="AB82" i="1"/>
  <c r="AB167" i="1"/>
  <c r="AB707" i="1"/>
  <c r="AD707" i="1" s="1"/>
  <c r="AB317" i="1"/>
  <c r="AC317" i="1" s="1"/>
  <c r="AB97" i="1"/>
  <c r="AD97" i="1" s="1"/>
  <c r="AB700" i="1"/>
  <c r="AB424" i="1"/>
  <c r="AB438" i="1"/>
  <c r="AB129" i="1"/>
  <c r="AB325" i="1"/>
  <c r="AD325" i="1" s="1"/>
  <c r="AB733" i="1"/>
  <c r="AB551" i="1"/>
  <c r="AB599" i="1"/>
  <c r="AB415" i="1"/>
  <c r="AB473" i="1"/>
  <c r="AB225" i="1"/>
  <c r="AB100" i="1"/>
  <c r="AB278" i="1"/>
  <c r="AB70" i="1"/>
  <c r="AC70" i="1" s="1"/>
  <c r="AE70" i="1" s="1"/>
  <c r="AB701" i="1"/>
  <c r="AB36" i="1"/>
  <c r="AB451" i="1"/>
  <c r="AP576" i="1"/>
  <c r="AQ576" i="1" s="1"/>
  <c r="AB466" i="1"/>
  <c r="AB134" i="1"/>
  <c r="AB672" i="1"/>
  <c r="AC672" i="1" s="1"/>
  <c r="AB421" i="1"/>
  <c r="AB260" i="1"/>
  <c r="AC260" i="1" s="1"/>
  <c r="AB666" i="1"/>
  <c r="AD666" i="1" s="1"/>
  <c r="AB290" i="1"/>
  <c r="AE290" i="1" s="1"/>
  <c r="AB660" i="1"/>
  <c r="AB86" i="1"/>
  <c r="AD86" i="1" s="1"/>
  <c r="AB639" i="1"/>
  <c r="AD639" i="1" s="1"/>
  <c r="AB517" i="1"/>
  <c r="AC517" i="1" s="1"/>
  <c r="AB569" i="1"/>
  <c r="AB257" i="1"/>
  <c r="AB480" i="1"/>
  <c r="AB436" i="1"/>
  <c r="AB487" i="1"/>
  <c r="AC487" i="1" s="1"/>
  <c r="AP226" i="1"/>
  <c r="AQ226" i="1" s="1"/>
  <c r="AP34" i="1"/>
  <c r="AQ34" i="1" s="1"/>
  <c r="AB135" i="1"/>
  <c r="AD135" i="1" s="1"/>
  <c r="AB628" i="1"/>
  <c r="AC628" i="1" s="1"/>
  <c r="AE628" i="1" s="1"/>
  <c r="AB514" i="1"/>
  <c r="AB406" i="1"/>
  <c r="AE406" i="1" s="1"/>
  <c r="AB416" i="1"/>
  <c r="AB177" i="1"/>
  <c r="AB250" i="1"/>
  <c r="AB351" i="1"/>
  <c r="AB112" i="1"/>
  <c r="AD112" i="1" s="1"/>
  <c r="AB306" i="1"/>
  <c r="AB617" i="1"/>
  <c r="AB115" i="1"/>
  <c r="AD115" i="1" s="1"/>
  <c r="AB455" i="1"/>
  <c r="AB484" i="1"/>
  <c r="AC484" i="1" s="1"/>
  <c r="AB349" i="1"/>
  <c r="AB670" i="1"/>
  <c r="AB684" i="1"/>
  <c r="AB189" i="1"/>
  <c r="AB230" i="1"/>
  <c r="AC230" i="1" s="1"/>
  <c r="AB67" i="1"/>
  <c r="AD67" i="1" s="1"/>
  <c r="AB55" i="1"/>
  <c r="AD55" i="1" s="1"/>
  <c r="AB690" i="1"/>
  <c r="AB137" i="1"/>
  <c r="AB143" i="1"/>
  <c r="AE143" i="1" s="1"/>
  <c r="AB609" i="1"/>
  <c r="AB521" i="1"/>
  <c r="AC521" i="1" s="1"/>
  <c r="AB94" i="1"/>
  <c r="AP707" i="1"/>
  <c r="AQ707" i="1" s="1"/>
  <c r="AP138" i="1"/>
  <c r="AQ138" i="1" s="1"/>
  <c r="AB402" i="1"/>
  <c r="AD402" i="1" s="1"/>
  <c r="AP25" i="1"/>
  <c r="AQ25" i="1" s="1"/>
  <c r="AB40" i="1"/>
  <c r="AB544" i="1"/>
  <c r="AD544" i="1" s="1"/>
  <c r="AP5" i="1"/>
  <c r="AQ5" i="1" s="1"/>
  <c r="AP602" i="1"/>
  <c r="AQ602" i="1" s="1"/>
  <c r="AB403" i="1"/>
  <c r="AP455" i="1"/>
  <c r="AQ455" i="1" s="1"/>
  <c r="AP521" i="1"/>
  <c r="AQ521" i="1" s="1"/>
  <c r="AP325" i="1"/>
  <c r="AQ325" i="1" s="1"/>
  <c r="AP426" i="1"/>
  <c r="AQ426" i="1" s="1"/>
  <c r="AB667" i="1"/>
  <c r="AB471" i="1"/>
  <c r="AB369" i="1"/>
  <c r="AB704" i="1"/>
  <c r="AB671" i="1"/>
  <c r="AP529" i="1"/>
  <c r="AQ529" i="1" s="1"/>
  <c r="AB342" i="1"/>
  <c r="AD342" i="1" s="1"/>
  <c r="AB593" i="1"/>
  <c r="AP55" i="1"/>
  <c r="AQ55" i="1" s="1"/>
  <c r="AB386" i="1"/>
  <c r="AD386" i="1" s="1"/>
  <c r="AP403" i="1"/>
  <c r="AQ403" i="1" s="1"/>
  <c r="AB176" i="1"/>
  <c r="AD176" i="1" s="1"/>
  <c r="AB705" i="1"/>
  <c r="AB227" i="1"/>
  <c r="AD227" i="1" s="1"/>
  <c r="AB287" i="1"/>
  <c r="AB604" i="1"/>
  <c r="AC604" i="1" s="1"/>
  <c r="AB13" i="1"/>
  <c r="AB367" i="1"/>
  <c r="AB145" i="1"/>
  <c r="AD145" i="1" s="1"/>
  <c r="AB71" i="1"/>
  <c r="AB327" i="1"/>
  <c r="AB323" i="1"/>
  <c r="AB354" i="1"/>
  <c r="AD354" i="1" s="1"/>
  <c r="AB713" i="1"/>
  <c r="AB693" i="1"/>
  <c r="AB699" i="1"/>
  <c r="AE699" i="1" s="1"/>
  <c r="AB218" i="1"/>
  <c r="AB38" i="1"/>
  <c r="AD38" i="1" s="1"/>
  <c r="AB217" i="1"/>
  <c r="AD217" i="1" s="1"/>
  <c r="AB235" i="1"/>
  <c r="AC235" i="1" s="1"/>
  <c r="AP537" i="1"/>
  <c r="AQ537" i="1" s="1"/>
  <c r="AB619" i="1"/>
  <c r="AB182" i="1"/>
  <c r="AB280" i="1"/>
  <c r="AD280" i="1" s="1"/>
  <c r="AB467" i="1"/>
  <c r="AB9" i="1"/>
  <c r="AB637" i="1"/>
  <c r="AP83" i="1"/>
  <c r="AQ83" i="1" s="1"/>
  <c r="AB335" i="1"/>
  <c r="AB645" i="1"/>
  <c r="AB110" i="1"/>
  <c r="AD110" i="1" s="1"/>
  <c r="AP359" i="1"/>
  <c r="AQ359" i="1" s="1"/>
  <c r="AB540" i="1"/>
  <c r="AB380" i="1"/>
  <c r="AB743" i="1"/>
  <c r="AB21" i="1"/>
  <c r="AD21" i="1" s="1"/>
  <c r="AB75" i="1"/>
  <c r="AC75" i="1" s="1"/>
  <c r="AB404" i="1"/>
  <c r="AB409" i="1"/>
  <c r="AB355" i="1"/>
  <c r="AC355" i="1" s="1"/>
  <c r="AP540" i="1"/>
  <c r="AQ540" i="1" s="1"/>
  <c r="AB615" i="1"/>
  <c r="AD615" i="1" s="1"/>
  <c r="AB610" i="1"/>
  <c r="AC610" i="1" s="1"/>
  <c r="AB697" i="1"/>
  <c r="AD697" i="1" s="1"/>
  <c r="AB692" i="1"/>
  <c r="AB603" i="1"/>
  <c r="AB66" i="1"/>
  <c r="AD66" i="1" s="1"/>
  <c r="AB74" i="1"/>
  <c r="AB558" i="1"/>
  <c r="AD558" i="1" s="1"/>
  <c r="AB706" i="1"/>
  <c r="AD706" i="1" s="1"/>
  <c r="AB324" i="1"/>
  <c r="AB366" i="1"/>
  <c r="AD366" i="1" s="1"/>
  <c r="AB211" i="1"/>
  <c r="AB98" i="1"/>
  <c r="AD98" i="1" s="1"/>
  <c r="AB590" i="1"/>
  <c r="AD590" i="1" s="1"/>
  <c r="AB689" i="1"/>
  <c r="AC689" i="1" s="1"/>
  <c r="AB425" i="1"/>
  <c r="AD425" i="1" s="1"/>
  <c r="AB330" i="1"/>
  <c r="AC330" i="1" s="1"/>
  <c r="AB475" i="1"/>
  <c r="AD475" i="1" s="1"/>
  <c r="AB251" i="1"/>
  <c r="AB511" i="1"/>
  <c r="AB649" i="1"/>
  <c r="AD649" i="1" s="1"/>
  <c r="AB680" i="1"/>
  <c r="AB717" i="1"/>
  <c r="AE717" i="1" s="1"/>
  <c r="AB171" i="1"/>
  <c r="AC171" i="1" s="1"/>
  <c r="AB51" i="1"/>
  <c r="AB228" i="1"/>
  <c r="AB29" i="1"/>
  <c r="AB536" i="1"/>
  <c r="AP697" i="1"/>
  <c r="AQ697" i="1" s="1"/>
  <c r="AP593" i="1"/>
  <c r="AQ593" i="1" s="1"/>
  <c r="AP595" i="1"/>
  <c r="AQ595" i="1" s="1"/>
  <c r="AB592" i="1"/>
  <c r="AB648" i="1"/>
  <c r="AD648" i="1" s="1"/>
  <c r="AB12" i="1"/>
  <c r="AC12" i="1" s="1"/>
  <c r="AP684" i="1"/>
  <c r="AQ684" i="1" s="1"/>
  <c r="AP628" i="1"/>
  <c r="AQ628" i="1" s="1"/>
  <c r="AP484" i="1"/>
  <c r="AQ484" i="1" s="1"/>
  <c r="AP692" i="1"/>
  <c r="AQ692" i="1" s="1"/>
  <c r="AP619" i="1"/>
  <c r="AQ619" i="1" s="1"/>
  <c r="AB600" i="1"/>
  <c r="AD600" i="1" s="1"/>
  <c r="AB316" i="1"/>
  <c r="AB525" i="1"/>
  <c r="AB255" i="1"/>
  <c r="AD255" i="1" s="1"/>
  <c r="AB641" i="1"/>
  <c r="AD758" i="1"/>
  <c r="S1037" i="1"/>
  <c r="F1047" i="1" s="1"/>
  <c r="AD677" i="1"/>
  <c r="F1043" i="1"/>
  <c r="W1037" i="1"/>
  <c r="W2" i="1"/>
  <c r="AP39" i="1"/>
  <c r="AB39" i="1"/>
  <c r="V1037" i="1"/>
  <c r="F1050" i="1" s="1"/>
  <c r="AC336" i="1" l="1"/>
  <c r="AE336" i="1" s="1"/>
  <c r="AC532" i="1"/>
  <c r="AE532" i="1" s="1"/>
  <c r="AD440" i="1"/>
  <c r="AD584" i="1"/>
  <c r="AC225" i="1"/>
  <c r="AE225" i="1" s="1"/>
  <c r="AC509" i="1"/>
  <c r="AE509" i="1" s="1"/>
  <c r="AC813" i="1"/>
  <c r="AE813" i="1" s="1"/>
  <c r="AC273" i="1"/>
  <c r="AE273" i="1" s="1"/>
  <c r="AC670" i="1"/>
  <c r="AE670" i="1" s="1"/>
  <c r="AC711" i="1"/>
  <c r="AE711" i="1" s="1"/>
  <c r="AC278" i="1"/>
  <c r="AE278" i="1" s="1"/>
  <c r="AC433" i="1"/>
  <c r="AE433" i="1" s="1"/>
  <c r="AC771" i="1"/>
  <c r="AE771" i="1" s="1"/>
  <c r="AC277" i="1"/>
  <c r="AE277" i="1" s="1"/>
  <c r="AC220" i="1"/>
  <c r="AE220" i="1" s="1"/>
  <c r="AC167" i="1"/>
  <c r="AE167" i="1" s="1"/>
  <c r="AC645" i="1"/>
  <c r="AE645" i="1" s="1"/>
  <c r="AC26" i="1"/>
  <c r="AE26" i="1" s="1"/>
  <c r="AC630" i="1"/>
  <c r="AE630" i="1" s="1"/>
  <c r="AC774" i="1"/>
  <c r="AE774" i="1" s="1"/>
  <c r="AD443" i="1"/>
  <c r="AC783" i="1"/>
  <c r="AE783" i="1" s="1"/>
  <c r="AC782" i="1"/>
  <c r="AE782" i="1" s="1"/>
  <c r="AC626" i="1"/>
  <c r="AE626" i="1" s="1"/>
  <c r="AC18" i="1"/>
  <c r="AE18" i="1" s="1"/>
  <c r="AC623" i="1"/>
  <c r="AE623" i="1" s="1"/>
  <c r="AC319" i="1"/>
  <c r="AE319" i="1" s="1"/>
  <c r="AC633" i="1"/>
  <c r="AE633" i="1" s="1"/>
  <c r="AC23" i="1"/>
  <c r="AE23" i="1" s="1"/>
  <c r="AE556" i="1"/>
  <c r="AC485" i="1"/>
  <c r="AE485" i="1" s="1"/>
  <c r="AC802" i="1"/>
  <c r="AE802" i="1" s="1"/>
  <c r="AC438" i="1"/>
  <c r="AE438" i="1" s="1"/>
  <c r="AC722" i="1"/>
  <c r="AE722" i="1" s="1"/>
  <c r="AC725" i="1"/>
  <c r="AD725" i="1" s="1"/>
  <c r="AC668" i="1"/>
  <c r="AE668" i="1" s="1"/>
  <c r="AC25" i="1"/>
  <c r="AE25" i="1" s="1"/>
  <c r="AC603" i="1"/>
  <c r="AE603" i="1" s="1"/>
  <c r="AC619" i="1"/>
  <c r="AE619" i="1" s="1"/>
  <c r="AC69" i="1"/>
  <c r="AE69" i="1" s="1"/>
  <c r="AC276" i="1"/>
  <c r="AE276" i="1" s="1"/>
  <c r="AD606" i="1"/>
  <c r="AE761" i="1"/>
  <c r="AD710" i="1"/>
  <c r="AD291" i="1"/>
  <c r="AD158" i="1"/>
  <c r="AD522" i="1"/>
  <c r="AD770" i="1"/>
  <c r="AE376" i="1"/>
  <c r="AE817" i="1"/>
  <c r="AE862" i="1"/>
  <c r="AE129" i="1"/>
  <c r="AE397" i="1"/>
  <c r="AE419" i="1"/>
  <c r="AD614" i="1"/>
  <c r="AE701" i="1"/>
  <c r="AE461" i="1"/>
  <c r="AD635" i="1"/>
  <c r="AD654" i="1"/>
  <c r="AE795" i="1"/>
  <c r="AE287" i="1"/>
  <c r="AE637" i="1"/>
  <c r="AE753" i="1"/>
  <c r="AE424" i="1"/>
  <c r="AE762" i="1"/>
  <c r="AE572" i="1"/>
  <c r="AE580" i="1"/>
  <c r="AD807" i="1"/>
  <c r="AE78" i="1"/>
  <c r="AE517" i="1"/>
  <c r="AE286" i="1"/>
  <c r="AD794" i="1"/>
  <c r="AE646" i="1"/>
  <c r="AE524" i="1"/>
  <c r="AE288" i="1"/>
  <c r="AD760" i="1"/>
  <c r="AE609" i="1"/>
  <c r="AE344" i="1"/>
  <c r="AE62" i="1"/>
  <c r="AE573" i="1"/>
  <c r="AE27" i="1"/>
  <c r="AE224" i="1"/>
  <c r="AE179" i="1"/>
  <c r="AE334" i="1"/>
  <c r="AE742" i="1"/>
  <c r="AE403" i="1"/>
  <c r="AE353" i="1"/>
  <c r="AE608" i="1"/>
  <c r="AE301" i="1"/>
  <c r="AE331" i="1"/>
  <c r="AE465" i="1"/>
  <c r="AE617" i="1"/>
  <c r="AE464" i="1"/>
  <c r="AE332" i="1"/>
  <c r="AE249" i="1"/>
  <c r="AE519" i="1"/>
  <c r="AE203" i="1"/>
  <c r="AE127" i="1"/>
  <c r="AE599" i="1"/>
  <c r="AE513" i="1"/>
  <c r="AE613" i="1"/>
  <c r="AD579" i="1"/>
  <c r="AD712" i="1"/>
  <c r="AD720" i="1"/>
  <c r="AD165" i="1"/>
  <c r="AE515" i="1"/>
  <c r="AE749" i="1"/>
  <c r="AE365" i="1"/>
  <c r="AE597" i="1"/>
  <c r="AE83" i="1"/>
  <c r="AE275" i="1"/>
  <c r="AE754" i="1"/>
  <c r="AD289" i="1"/>
  <c r="AE329" i="1"/>
  <c r="AD90" i="1"/>
  <c r="AD505" i="1"/>
  <c r="AE28" i="1"/>
  <c r="AE32" i="1"/>
  <c r="AE236" i="1"/>
  <c r="AE809" i="1"/>
  <c r="AE739" i="1"/>
  <c r="AD52" i="1"/>
  <c r="AD223" i="1"/>
  <c r="AE733" i="1"/>
  <c r="AE744" i="1"/>
  <c r="AE187" i="1"/>
  <c r="AE253" i="1"/>
  <c r="AD855" i="1"/>
  <c r="AD57" i="1"/>
  <c r="AE171" i="1"/>
  <c r="AE230" i="1"/>
  <c r="AE292" i="1"/>
  <c r="AE680" i="1"/>
  <c r="AE409" i="1"/>
  <c r="AE416" i="1"/>
  <c r="AE451" i="1"/>
  <c r="AE328" i="1"/>
  <c r="AE77" i="1"/>
  <c r="AE745" i="1"/>
  <c r="AE222" i="1"/>
  <c r="AE716" i="1"/>
  <c r="AE510" i="1"/>
  <c r="AD527" i="1"/>
  <c r="AD190" i="1"/>
  <c r="AE604" i="1"/>
  <c r="AE193" i="1"/>
  <c r="AE335" i="1"/>
  <c r="AE562" i="1"/>
  <c r="AE675" i="1"/>
  <c r="AE458" i="1"/>
  <c r="AE496" i="1"/>
  <c r="AE857" i="1"/>
  <c r="AE467" i="1"/>
  <c r="AE459" i="1"/>
  <c r="AE299" i="1"/>
  <c r="AE460" i="1"/>
  <c r="AE457" i="1"/>
  <c r="AE234" i="1"/>
  <c r="AE405" i="1"/>
  <c r="AD298" i="1"/>
  <c r="AD91" i="1"/>
  <c r="AE541" i="1"/>
  <c r="AE427" i="1"/>
  <c r="AE251" i="1"/>
  <c r="AE398" i="1"/>
  <c r="AE796" i="1"/>
  <c r="AE501" i="1"/>
  <c r="AE186" i="1"/>
  <c r="AE360" i="1"/>
  <c r="AD294" i="1"/>
  <c r="AE414" i="1"/>
  <c r="AE182" i="1"/>
  <c r="AE673" i="1"/>
  <c r="AE16" i="1"/>
  <c r="AE296" i="1"/>
  <c r="AE385" i="1"/>
  <c r="AE350" i="1"/>
  <c r="AE72" i="1"/>
  <c r="AE338" i="1"/>
  <c r="AE655" i="1"/>
  <c r="AD500" i="1"/>
  <c r="AD233" i="1"/>
  <c r="AE474" i="1"/>
  <c r="AE404" i="1"/>
  <c r="AE330" i="1"/>
  <c r="AE71" i="1"/>
  <c r="AE314" i="1"/>
  <c r="AE432" i="1"/>
  <c r="AE726" i="1"/>
  <c r="AE441" i="1"/>
  <c r="AE352" i="1"/>
  <c r="AE799" i="1"/>
  <c r="AD11" i="1"/>
  <c r="AE536" i="1"/>
  <c r="AE499" i="1"/>
  <c r="AE476" i="1"/>
  <c r="AE408" i="1"/>
  <c r="AE395" i="1"/>
  <c r="AE477" i="1"/>
  <c r="AE653" i="1"/>
  <c r="AD297" i="1"/>
  <c r="AD638" i="1"/>
  <c r="AD453" i="1"/>
  <c r="AE659" i="1"/>
  <c r="AE566" i="1"/>
  <c r="AE435" i="1"/>
  <c r="AE219" i="1"/>
  <c r="AE30" i="1"/>
  <c r="AE235" i="1"/>
  <c r="AE415" i="1"/>
  <c r="AE656" i="1"/>
  <c r="AE437" i="1"/>
  <c r="AE155" i="1"/>
  <c r="AE741" i="1"/>
  <c r="AE856" i="1"/>
  <c r="AD174" i="1"/>
  <c r="AD59" i="1"/>
  <c r="AD150" i="1"/>
  <c r="AD732" i="1"/>
  <c r="Z1037" i="1"/>
  <c r="F1051" i="1" s="1" a="1"/>
  <c r="F1051" i="1" s="1"/>
  <c r="F1061" i="1" s="1"/>
  <c r="F1062" i="1" s="1"/>
  <c r="AD238" i="1"/>
  <c r="AE737" i="1"/>
  <c r="AE816" i="1"/>
  <c r="AE763" i="1"/>
  <c r="AE178" i="1"/>
  <c r="AE237" i="1"/>
  <c r="AE694" i="1"/>
  <c r="AE593" i="1"/>
  <c r="AE520" i="1"/>
  <c r="AE73" i="1"/>
  <c r="AE58" i="1"/>
  <c r="AE535" i="1"/>
  <c r="AE372" i="1"/>
  <c r="AE789" i="1"/>
  <c r="AD781" i="1"/>
  <c r="AE735" i="1"/>
  <c r="AE463" i="1"/>
  <c r="AD490" i="1"/>
  <c r="AD245" i="1"/>
  <c r="AD157" i="1"/>
  <c r="AD159" i="1"/>
  <c r="AE239" i="1"/>
  <c r="AE426" i="1"/>
  <c r="AE512" i="1"/>
  <c r="AE337" i="1"/>
  <c r="AE172" i="1"/>
  <c r="AE410" i="1"/>
  <c r="AE765" i="1"/>
  <c r="AE309" i="1"/>
  <c r="AE263" i="1"/>
  <c r="AE449" i="1"/>
  <c r="AE92" i="1"/>
  <c r="AE689" i="1"/>
  <c r="AE690" i="1"/>
  <c r="AE487" i="1"/>
  <c r="AE421" i="1"/>
  <c r="AE473" i="1"/>
  <c r="AE261" i="1"/>
  <c r="AE340" i="1"/>
  <c r="AE543" i="1"/>
  <c r="AE14" i="1"/>
  <c r="AE240" i="1"/>
  <c r="AE545" i="1"/>
  <c r="AE886" i="1"/>
  <c r="AE361" i="1"/>
  <c r="AD232" i="1"/>
  <c r="AD362" i="1"/>
  <c r="AD104" i="1"/>
  <c r="AD434" i="1"/>
  <c r="AE5" i="1"/>
  <c r="AE228" i="1"/>
  <c r="AE610" i="1"/>
  <c r="AE13" i="1"/>
  <c r="AE671" i="1"/>
  <c r="AE439" i="1"/>
  <c r="AE195" i="1"/>
  <c r="AE483" i="1"/>
  <c r="AE7" i="1"/>
  <c r="AE691" i="1"/>
  <c r="AE407" i="1"/>
  <c r="AE17" i="1"/>
  <c r="AE525" i="1"/>
  <c r="AE351" i="1"/>
  <c r="AE480" i="1"/>
  <c r="AE767" i="1"/>
  <c r="AE450" i="1"/>
  <c r="AE861" i="1"/>
  <c r="AE792" i="1"/>
  <c r="AE304" i="1"/>
  <c r="AE539" i="1"/>
  <c r="AE130" i="1"/>
  <c r="AE773" i="1"/>
  <c r="AD428" i="1"/>
  <c r="AD698" i="1"/>
  <c r="AD734" i="1"/>
  <c r="AE211" i="1"/>
  <c r="AE466" i="1"/>
  <c r="AE551" i="1"/>
  <c r="AE202" i="1"/>
  <c r="AE669" i="1"/>
  <c r="AE358" i="1"/>
  <c r="AE502" i="1"/>
  <c r="AE4" i="1"/>
  <c r="AE516" i="1"/>
  <c r="AE243" i="1"/>
  <c r="AE454" i="1"/>
  <c r="AE854" i="1"/>
  <c r="AE664" i="1"/>
  <c r="AE800" i="1"/>
  <c r="Z2" i="1"/>
  <c r="AE471" i="1"/>
  <c r="AE341" i="1"/>
  <c r="AE577" i="1"/>
  <c r="AE547" i="1"/>
  <c r="AE601" i="1"/>
  <c r="AE12" i="1"/>
  <c r="AE324" i="1"/>
  <c r="AE472" i="1"/>
  <c r="AE207" i="1"/>
  <c r="AE814" i="1"/>
  <c r="AE371" i="1"/>
  <c r="AE242" i="1"/>
  <c r="AE518" i="1"/>
  <c r="AE728" i="1"/>
  <c r="AE177" i="1"/>
  <c r="AE258" i="1"/>
  <c r="AE252" i="1"/>
  <c r="AE173" i="1"/>
  <c r="AE506" i="1"/>
  <c r="AD215" i="1"/>
  <c r="AD431" i="1"/>
  <c r="AE444" i="1"/>
  <c r="AE538" i="1"/>
  <c r="AE786" i="1"/>
  <c r="AE592" i="1"/>
  <c r="AE511" i="1"/>
  <c r="AE349" i="1"/>
  <c r="AE248" i="1"/>
  <c r="AE6" i="1"/>
  <c r="AE346" i="1"/>
  <c r="AE305" i="1"/>
  <c r="AE417" i="1"/>
  <c r="AE504" i="1"/>
  <c r="AE581" i="1"/>
  <c r="AE528" i="1"/>
  <c r="AE9" i="1"/>
  <c r="AE713" i="1"/>
  <c r="AE484" i="1"/>
  <c r="AE674" i="1"/>
  <c r="AE489" i="1"/>
  <c r="AE523" i="1"/>
  <c r="AE315" i="1"/>
  <c r="AE860" i="1"/>
  <c r="AE388" i="1"/>
  <c r="AE8" i="1"/>
  <c r="AE759" i="1"/>
  <c r="AD302" i="1"/>
  <c r="AD160" i="1"/>
  <c r="AD738" i="1"/>
  <c r="AD462" i="1"/>
  <c r="O1045" i="1"/>
  <c r="AD161" i="1"/>
  <c r="AE246" i="1"/>
  <c r="AD175" i="1"/>
  <c r="AE79" i="1"/>
  <c r="AE798" i="1"/>
  <c r="AE51" i="1"/>
  <c r="AE40" i="1"/>
  <c r="AE326" i="1"/>
  <c r="AD382" i="1"/>
  <c r="AE188" i="1"/>
  <c r="AD752" i="1"/>
  <c r="AE327" i="1"/>
  <c r="AE293" i="1"/>
  <c r="AE531" i="1"/>
  <c r="AE126" i="1"/>
  <c r="AE128" i="1"/>
  <c r="AE787" i="1"/>
  <c r="AE569" i="1"/>
  <c r="AD729" i="1"/>
  <c r="AE743" i="1"/>
  <c r="AE363" i="1"/>
  <c r="AE540" i="1"/>
  <c r="AE250" i="1"/>
  <c r="AD693" i="1"/>
  <c r="AE94" i="1"/>
  <c r="AE60" i="1"/>
  <c r="AE132" i="1"/>
  <c r="AE76" i="1"/>
  <c r="AE859" i="1"/>
  <c r="AD53" i="1"/>
  <c r="AE740" i="1"/>
  <c r="AE521" i="1"/>
  <c r="AE703" i="1"/>
  <c r="AE858" i="1"/>
  <c r="AE279" i="1"/>
  <c r="AE339" i="1"/>
  <c r="AE380" i="1"/>
  <c r="AE100" i="1"/>
  <c r="AE105" i="1"/>
  <c r="AE256" i="1"/>
  <c r="AE152" i="1"/>
  <c r="AE815" i="1"/>
  <c r="AE274" i="1"/>
  <c r="AD708" i="1"/>
  <c r="AE33" i="1"/>
  <c r="AE306" i="1"/>
  <c r="AE775" i="1"/>
  <c r="AE571" i="1"/>
  <c r="AE748" i="1"/>
  <c r="AD147" i="1"/>
  <c r="AD124" i="1"/>
  <c r="AD168" i="1"/>
  <c r="AD492" i="1"/>
  <c r="AE218" i="1"/>
  <c r="AE138" i="1"/>
  <c r="AE312" i="1"/>
  <c r="AE102" i="1"/>
  <c r="AE683" i="1"/>
  <c r="AE788" i="1"/>
  <c r="AE81" i="1"/>
  <c r="AE267" i="1"/>
  <c r="AE686" i="1"/>
  <c r="AE688" i="1"/>
  <c r="AD313" i="1"/>
  <c r="AD756" i="1"/>
  <c r="AE355" i="1"/>
  <c r="AE389" i="1"/>
  <c r="AE359" i="1"/>
  <c r="AE784" i="1"/>
  <c r="AE370" i="1"/>
  <c r="AE812" i="1"/>
  <c r="AE755" i="1"/>
  <c r="AE265" i="1"/>
  <c r="AE724" i="1"/>
  <c r="AE705" i="1"/>
  <c r="AE667" i="1"/>
  <c r="AE684" i="1"/>
  <c r="AE676" i="1"/>
  <c r="AE709" i="1"/>
  <c r="AE533" i="1"/>
  <c r="AE553" i="1"/>
  <c r="AE213" i="1"/>
  <c r="AE757" i="1"/>
  <c r="AE80" i="1"/>
  <c r="AD488" i="1"/>
  <c r="AD447" i="1"/>
  <c r="AE133" i="1"/>
  <c r="AE268" i="1"/>
  <c r="AE136" i="1"/>
  <c r="AE311" i="1"/>
  <c r="AE750" i="1"/>
  <c r="AE310" i="1"/>
  <c r="AE192" i="1"/>
  <c r="AE75" i="1"/>
  <c r="AE373" i="1"/>
  <c r="AE191" i="1"/>
  <c r="AE714" i="1"/>
  <c r="AE719" i="1"/>
  <c r="AE31" i="1"/>
  <c r="AE806" i="1"/>
  <c r="AE685" i="1"/>
  <c r="AE764" i="1"/>
  <c r="AE377" i="1"/>
  <c r="AD162" i="1"/>
  <c r="AD681" i="1"/>
  <c r="AD154" i="1"/>
  <c r="AE74" i="1"/>
  <c r="AE494" i="1"/>
  <c r="AE368" i="1"/>
  <c r="AE766" i="1"/>
  <c r="AE751" i="1"/>
  <c r="AE557" i="1"/>
  <c r="AE658" i="1"/>
  <c r="AE379" i="1"/>
  <c r="AE345" i="1"/>
  <c r="AE455" i="1"/>
  <c r="AE561" i="1"/>
  <c r="AE790" i="1"/>
  <c r="AE768" i="1"/>
  <c r="AE378" i="1"/>
  <c r="AE715" i="1"/>
  <c r="AE497" i="1"/>
  <c r="AE357" i="1"/>
  <c r="AD491" i="1"/>
  <c r="AD779" i="1"/>
  <c r="AE181" i="1"/>
  <c r="AE452" i="1"/>
  <c r="AE730" i="1"/>
  <c r="AE254" i="1"/>
  <c r="AE503" i="1"/>
  <c r="AE808" i="1"/>
  <c r="AE791" i="1"/>
  <c r="AD746" i="1"/>
  <c r="AE29" i="1"/>
  <c r="AE493" i="1"/>
  <c r="AE793" i="1"/>
  <c r="AE364" i="1"/>
  <c r="AE495" i="1"/>
  <c r="AE442" i="1"/>
  <c r="AE587" i="1"/>
  <c r="AE260" i="1"/>
  <c r="AE436" i="1"/>
  <c r="AE672" i="1"/>
  <c r="AE308" i="1"/>
  <c r="AE777" i="1"/>
  <c r="AE498" i="1"/>
  <c r="AE507" i="1"/>
  <c r="AE810" i="1"/>
  <c r="AD785" i="1"/>
  <c r="AE804" i="1"/>
  <c r="AE555" i="1"/>
  <c r="AE704" i="1"/>
  <c r="AE134" i="1"/>
  <c r="AE82" i="1"/>
  <c r="AE374" i="1"/>
  <c r="AE549" i="1"/>
  <c r="AE801" i="1"/>
  <c r="AE591" i="1"/>
  <c r="AE307" i="1"/>
  <c r="AE548" i="1"/>
  <c r="AE679" i="1"/>
  <c r="AE131" i="1"/>
  <c r="AD662" i="1"/>
  <c r="AD390" i="1"/>
  <c r="AD767" i="1"/>
  <c r="AD139" i="1"/>
  <c r="AD778" i="1"/>
  <c r="AD37" i="1"/>
  <c r="AD567" i="1"/>
  <c r="AD322" i="1"/>
  <c r="AD631" i="1"/>
  <c r="AD247" i="1"/>
  <c r="AD776" i="1"/>
  <c r="AD244" i="1"/>
  <c r="AD769" i="1"/>
  <c r="AD678" i="1"/>
  <c r="AD212" i="1"/>
  <c r="AE514" i="1"/>
  <c r="AD640" i="1"/>
  <c r="AE316" i="1"/>
  <c r="AE84" i="1"/>
  <c r="AD578" i="1"/>
  <c r="AD605" i="1"/>
  <c r="AE323" i="1"/>
  <c r="AD35" i="1"/>
  <c r="AE692" i="1"/>
  <c r="AE137" i="1"/>
  <c r="AE317" i="1"/>
  <c r="AE369" i="1"/>
  <c r="AE470" i="1"/>
  <c r="AE189" i="1"/>
  <c r="AD303" i="1"/>
  <c r="AE367" i="1"/>
  <c r="AE682" i="1"/>
  <c r="AE24" i="1"/>
  <c r="AD468" i="1"/>
  <c r="AD271" i="1"/>
  <c r="AD780" i="1"/>
  <c r="AE696" i="1"/>
  <c r="AD665" i="1"/>
  <c r="AE226" i="1"/>
  <c r="AD269" i="1"/>
  <c r="AD508" i="1"/>
  <c r="AD221" i="1"/>
  <c r="AE700" i="1"/>
  <c r="AE140" i="1"/>
  <c r="AD747" i="1"/>
  <c r="AD391" i="1"/>
  <c r="AD805" i="1"/>
  <c r="AD423" i="1"/>
  <c r="AD185" i="1"/>
  <c r="AD262" i="1"/>
  <c r="AD641" i="1"/>
  <c r="AD284" i="1"/>
  <c r="AD196" i="1"/>
  <c r="AD550" i="1"/>
  <c r="AD197" i="1"/>
  <c r="AD180" i="1"/>
  <c r="AD70" i="1"/>
  <c r="AD156" i="1"/>
  <c r="AD257" i="1"/>
  <c r="AD347" i="1"/>
  <c r="AD486" i="1"/>
  <c r="AD229" i="1"/>
  <c r="AD660" i="1"/>
  <c r="AD329" i="1"/>
  <c r="AD200" i="1"/>
  <c r="AD695" i="1"/>
  <c r="AD661" i="1"/>
  <c r="AD93" i="1"/>
  <c r="AD652" i="1"/>
  <c r="AD46" i="1"/>
  <c r="AD199" i="1"/>
  <c r="AD231" i="1"/>
  <c r="AD628" i="1"/>
  <c r="AD718" i="1"/>
  <c r="AD885" i="1"/>
  <c r="AD321" i="1"/>
  <c r="AD394" i="1"/>
  <c r="AD290" i="1"/>
  <c r="AD469" i="1"/>
  <c r="AD642" i="1"/>
  <c r="AD618" i="1"/>
  <c r="AD526" i="1"/>
  <c r="AD20" i="1"/>
  <c r="AD589" i="1"/>
  <c r="AD717" i="1"/>
  <c r="AD803" i="1"/>
  <c r="AD731" i="1"/>
  <c r="AD699" i="1"/>
  <c r="AD602" i="1"/>
  <c r="AD576" i="1"/>
  <c r="AD420" i="1"/>
  <c r="AD797" i="1"/>
  <c r="AD772" i="1"/>
  <c r="AD736" i="1"/>
  <c r="AD34" i="1"/>
  <c r="AD194" i="1"/>
  <c r="AD406" i="1"/>
  <c r="AD36" i="1"/>
  <c r="AD723" i="1"/>
  <c r="AD530" i="1"/>
  <c r="AD727" i="1"/>
  <c r="AD272" i="1"/>
  <c r="AD143" i="1"/>
  <c r="AD264" i="1"/>
  <c r="AD481" i="1"/>
  <c r="AD141" i="1"/>
  <c r="AP2" i="1"/>
  <c r="AQ39" i="1"/>
  <c r="AP1037" i="1"/>
  <c r="AB2" i="1"/>
  <c r="AB1037" i="1"/>
  <c r="F1056" i="1" s="1"/>
  <c r="AD783" i="1" l="1"/>
  <c r="AD336" i="1"/>
  <c r="AD532" i="1"/>
  <c r="AD509" i="1"/>
  <c r="AD485" i="1"/>
  <c r="AD277" i="1"/>
  <c r="AD782" i="1"/>
  <c r="AD26" i="1"/>
  <c r="AD802" i="1"/>
  <c r="AD276" i="1"/>
  <c r="AD438" i="1"/>
  <c r="AD23" i="1"/>
  <c r="AD623" i="1"/>
  <c r="AD619" i="1"/>
  <c r="AD603" i="1"/>
  <c r="AD433" i="1"/>
  <c r="AD633" i="1"/>
  <c r="AE725" i="1"/>
  <c r="AD319" i="1"/>
  <c r="AD167" i="1"/>
  <c r="AD711" i="1"/>
  <c r="AD813" i="1"/>
  <c r="AD771" i="1"/>
  <c r="AD69" i="1"/>
  <c r="AD722" i="1"/>
  <c r="AD220" i="1"/>
  <c r="AD670" i="1"/>
  <c r="AD774" i="1"/>
  <c r="AD273" i="1"/>
  <c r="AD630" i="1"/>
  <c r="AD25" i="1"/>
  <c r="AD18" i="1"/>
  <c r="AD668" i="1"/>
  <c r="AD556" i="1"/>
  <c r="AD626" i="1"/>
  <c r="AD645" i="1"/>
  <c r="AD278" i="1"/>
  <c r="AD225" i="1"/>
  <c r="AC1037" i="1"/>
  <c r="F1057" i="1" s="1"/>
  <c r="AD573" i="1"/>
  <c r="AD761" i="1"/>
  <c r="AD397" i="1"/>
  <c r="AD419" i="1"/>
  <c r="AD203" i="1"/>
  <c r="AD753" i="1"/>
  <c r="AD524" i="1"/>
  <c r="AD332" i="1"/>
  <c r="AD78" i="1"/>
  <c r="AD646" i="1"/>
  <c r="AD224" i="1"/>
  <c r="AD795" i="1"/>
  <c r="AD129" i="1"/>
  <c r="AD275" i="1"/>
  <c r="AD862" i="1"/>
  <c r="AD83" i="1"/>
  <c r="AD513" i="1"/>
  <c r="AD597" i="1"/>
  <c r="AD608" i="1"/>
  <c r="AD701" i="1"/>
  <c r="AD424" i="1"/>
  <c r="AE807" i="1"/>
  <c r="AD754" i="1"/>
  <c r="AD301" i="1"/>
  <c r="AD127" i="1"/>
  <c r="AD617" i="1"/>
  <c r="AD403" i="1"/>
  <c r="AD580" i="1"/>
  <c r="AD287" i="1"/>
  <c r="AD461" i="1"/>
  <c r="AD749" i="1"/>
  <c r="AD288" i="1"/>
  <c r="AD376" i="1"/>
  <c r="AD599" i="1"/>
  <c r="AD464" i="1"/>
  <c r="AD353" i="1"/>
  <c r="AD27" i="1"/>
  <c r="AD637" i="1"/>
  <c r="AD762" i="1"/>
  <c r="AD517" i="1"/>
  <c r="AD515" i="1"/>
  <c r="AD465" i="1"/>
  <c r="AD742" i="1"/>
  <c r="AD62" i="1"/>
  <c r="AD572" i="1"/>
  <c r="AE579" i="1"/>
  <c r="AD519" i="1"/>
  <c r="AD331" i="1"/>
  <c r="AD334" i="1"/>
  <c r="AD344" i="1"/>
  <c r="AD286" i="1"/>
  <c r="AD613" i="1"/>
  <c r="AD249" i="1"/>
  <c r="AD179" i="1"/>
  <c r="AD609" i="1"/>
  <c r="AD365" i="1"/>
  <c r="AD817" i="1"/>
  <c r="AD739" i="1"/>
  <c r="AD474" i="1"/>
  <c r="AD385" i="1"/>
  <c r="AD796" i="1"/>
  <c r="AD16" i="1"/>
  <c r="AD328" i="1"/>
  <c r="AD352" i="1"/>
  <c r="AD219" i="1"/>
  <c r="AD745" i="1"/>
  <c r="AD741" i="1"/>
  <c r="AD809" i="1"/>
  <c r="AD656" i="1"/>
  <c r="AD193" i="1"/>
  <c r="AD155" i="1"/>
  <c r="AD566" i="1"/>
  <c r="AD330" i="1"/>
  <c r="AE527" i="1"/>
  <c r="AD187" i="1"/>
  <c r="AD296" i="1"/>
  <c r="AD409" i="1"/>
  <c r="AD510" i="1"/>
  <c r="AD222" i="1"/>
  <c r="AD230" i="1"/>
  <c r="AD655" i="1"/>
  <c r="AD182" i="1"/>
  <c r="AD30" i="1"/>
  <c r="AD432" i="1"/>
  <c r="AD171" i="1"/>
  <c r="AD314" i="1"/>
  <c r="AD72" i="1"/>
  <c r="AD451" i="1"/>
  <c r="AD477" i="1"/>
  <c r="AD501" i="1"/>
  <c r="AD459" i="1"/>
  <c r="AD562" i="1"/>
  <c r="AD437" i="1"/>
  <c r="AD435" i="1"/>
  <c r="AD799" i="1"/>
  <c r="AD71" i="1"/>
  <c r="AD338" i="1"/>
  <c r="AD673" i="1"/>
  <c r="AD716" i="1"/>
  <c r="AD416" i="1"/>
  <c r="AD395" i="1"/>
  <c r="AD405" i="1"/>
  <c r="AD467" i="1"/>
  <c r="AD335" i="1"/>
  <c r="AE855" i="1"/>
  <c r="AD408" i="1"/>
  <c r="AD398" i="1"/>
  <c r="AD234" i="1"/>
  <c r="AD857" i="1"/>
  <c r="AD253" i="1"/>
  <c r="AD415" i="1"/>
  <c r="AD659" i="1"/>
  <c r="AD441" i="1"/>
  <c r="AD404" i="1"/>
  <c r="AD350" i="1"/>
  <c r="AD414" i="1"/>
  <c r="AD680" i="1"/>
  <c r="AD476" i="1"/>
  <c r="AD251" i="1"/>
  <c r="AD457" i="1"/>
  <c r="AD496" i="1"/>
  <c r="AD604" i="1"/>
  <c r="AD236" i="1"/>
  <c r="AD856" i="1"/>
  <c r="AD235" i="1"/>
  <c r="AD726" i="1"/>
  <c r="AD77" i="1"/>
  <c r="AD292" i="1"/>
  <c r="AD499" i="1"/>
  <c r="AD360" i="1"/>
  <c r="AD427" i="1"/>
  <c r="AD460" i="1"/>
  <c r="AD458" i="1"/>
  <c r="AD744" i="1"/>
  <c r="AD32" i="1"/>
  <c r="AD653" i="1"/>
  <c r="AD536" i="1"/>
  <c r="AD186" i="1"/>
  <c r="AD541" i="1"/>
  <c r="AD299" i="1"/>
  <c r="AD675" i="1"/>
  <c r="AD733" i="1"/>
  <c r="AD28" i="1"/>
  <c r="AD792" i="1"/>
  <c r="AD17" i="1"/>
  <c r="AD763" i="1"/>
  <c r="AD504" i="1"/>
  <c r="AD6" i="1"/>
  <c r="AD324" i="1"/>
  <c r="AD258" i="1"/>
  <c r="AD14" i="1"/>
  <c r="AD816" i="1"/>
  <c r="AD484" i="1"/>
  <c r="AD759" i="1"/>
  <c r="AD309" i="1"/>
  <c r="AD487" i="1"/>
  <c r="AD861" i="1"/>
  <c r="AD506" i="1"/>
  <c r="AD814" i="1"/>
  <c r="AD471" i="1"/>
  <c r="AD520" i="1"/>
  <c r="AD860" i="1"/>
  <c r="AD528" i="1"/>
  <c r="AD511" i="1"/>
  <c r="AD669" i="1"/>
  <c r="AE781" i="1"/>
  <c r="AD417" i="1"/>
  <c r="AD518" i="1"/>
  <c r="AD547" i="1"/>
  <c r="AD439" i="1"/>
  <c r="AD426" i="1"/>
  <c r="AD538" i="1"/>
  <c r="AD523" i="1"/>
  <c r="AD8" i="1"/>
  <c r="AD489" i="1"/>
  <c r="AD581" i="1"/>
  <c r="AD248" i="1"/>
  <c r="AD444" i="1"/>
  <c r="AD177" i="1"/>
  <c r="AD207" i="1"/>
  <c r="AD577" i="1"/>
  <c r="AD854" i="1"/>
  <c r="AD502" i="1"/>
  <c r="AD211" i="1"/>
  <c r="AD304" i="1"/>
  <c r="AD351" i="1"/>
  <c r="AD483" i="1"/>
  <c r="AD228" i="1"/>
  <c r="AD545" i="1"/>
  <c r="AD473" i="1"/>
  <c r="AD449" i="1"/>
  <c r="AD337" i="1"/>
  <c r="AD463" i="1"/>
  <c r="AD58" i="1"/>
  <c r="AD388" i="1"/>
  <c r="AD674" i="1"/>
  <c r="AD349" i="1"/>
  <c r="AD728" i="1"/>
  <c r="AD472" i="1"/>
  <c r="AD341" i="1"/>
  <c r="AD664" i="1"/>
  <c r="AD4" i="1"/>
  <c r="AD466" i="1"/>
  <c r="AD539" i="1"/>
  <c r="AD480" i="1"/>
  <c r="AD7" i="1"/>
  <c r="AD610" i="1"/>
  <c r="AD886" i="1"/>
  <c r="AD261" i="1"/>
  <c r="AD92" i="1"/>
  <c r="AD172" i="1"/>
  <c r="AD535" i="1"/>
  <c r="AD454" i="1"/>
  <c r="AD358" i="1"/>
  <c r="AD525" i="1"/>
  <c r="AD195" i="1"/>
  <c r="AD5" i="1"/>
  <c r="AD240" i="1"/>
  <c r="AD421" i="1"/>
  <c r="AD263" i="1"/>
  <c r="AD512" i="1"/>
  <c r="AD735" i="1"/>
  <c r="AD73" i="1"/>
  <c r="AD178" i="1"/>
  <c r="AD237" i="1"/>
  <c r="AD12" i="1"/>
  <c r="AD713" i="1"/>
  <c r="AD305" i="1"/>
  <c r="AD592" i="1"/>
  <c r="AD173" i="1"/>
  <c r="AD242" i="1"/>
  <c r="AD800" i="1"/>
  <c r="AD243" i="1"/>
  <c r="AD202" i="1"/>
  <c r="AD773" i="1"/>
  <c r="AD450" i="1"/>
  <c r="AD407" i="1"/>
  <c r="AD671" i="1"/>
  <c r="AD543" i="1"/>
  <c r="AD690" i="1"/>
  <c r="AD765" i="1"/>
  <c r="AD239" i="1"/>
  <c r="AD789" i="1"/>
  <c r="AD593" i="1"/>
  <c r="AD315" i="1"/>
  <c r="AD9" i="1"/>
  <c r="AD346" i="1"/>
  <c r="AD786" i="1"/>
  <c r="AD252" i="1"/>
  <c r="AD371" i="1"/>
  <c r="AD601" i="1"/>
  <c r="AD516" i="1"/>
  <c r="AD551" i="1"/>
  <c r="AD130" i="1"/>
  <c r="AD691" i="1"/>
  <c r="AD13" i="1"/>
  <c r="AD361" i="1"/>
  <c r="AD340" i="1"/>
  <c r="AD689" i="1"/>
  <c r="AD410" i="1"/>
  <c r="AD372" i="1"/>
  <c r="AD694" i="1"/>
  <c r="AD737" i="1"/>
  <c r="AD326" i="1"/>
  <c r="AD798" i="1"/>
  <c r="AD306" i="1"/>
  <c r="AD363" i="1"/>
  <c r="AD858" i="1"/>
  <c r="AD703" i="1"/>
  <c r="AD859" i="1"/>
  <c r="AD256" i="1"/>
  <c r="AD250" i="1"/>
  <c r="AD100" i="1"/>
  <c r="AD327" i="1"/>
  <c r="AD569" i="1"/>
  <c r="AD787" i="1"/>
  <c r="AE693" i="1"/>
  <c r="AD132" i="1"/>
  <c r="AD521" i="1"/>
  <c r="AD126" i="1"/>
  <c r="AE752" i="1"/>
  <c r="AE382" i="1"/>
  <c r="AD79" i="1"/>
  <c r="AD51" i="1"/>
  <c r="AE708" i="1"/>
  <c r="AD380" i="1"/>
  <c r="AD188" i="1"/>
  <c r="AD33" i="1"/>
  <c r="AD40" i="1"/>
  <c r="AD740" i="1"/>
  <c r="AE729" i="1"/>
  <c r="AD105" i="1"/>
  <c r="AD815" i="1"/>
  <c r="AD60" i="1"/>
  <c r="AD743" i="1"/>
  <c r="AD531" i="1"/>
  <c r="AD274" i="1"/>
  <c r="AD748" i="1"/>
  <c r="AD94" i="1"/>
  <c r="AD775" i="1"/>
  <c r="AD571" i="1"/>
  <c r="AD339" i="1"/>
  <c r="AD293" i="1"/>
  <c r="AD152" i="1"/>
  <c r="AD279" i="1"/>
  <c r="AD76" i="1"/>
  <c r="AD540" i="1"/>
  <c r="AD128" i="1"/>
  <c r="AD494" i="1"/>
  <c r="AD507" i="1"/>
  <c r="AD370" i="1"/>
  <c r="AD801" i="1"/>
  <c r="AD136" i="1"/>
  <c r="AD806" i="1"/>
  <c r="AD790" i="1"/>
  <c r="AD102" i="1"/>
  <c r="AD373" i="1"/>
  <c r="AD133" i="1"/>
  <c r="AD260" i="1"/>
  <c r="AD658" i="1"/>
  <c r="AD768" i="1"/>
  <c r="AD213" i="1"/>
  <c r="AD667" i="1"/>
  <c r="AD31" i="1"/>
  <c r="AD134" i="1"/>
  <c r="AD788" i="1"/>
  <c r="AD192" i="1"/>
  <c r="AD804" i="1"/>
  <c r="AD307" i="1"/>
  <c r="AD808" i="1"/>
  <c r="AD685" i="1"/>
  <c r="AD688" i="1"/>
  <c r="AD777" i="1"/>
  <c r="AD310" i="1"/>
  <c r="AD82" i="1"/>
  <c r="AD810" i="1"/>
  <c r="AD436" i="1"/>
  <c r="AD364" i="1"/>
  <c r="AD791" i="1"/>
  <c r="AD181" i="1"/>
  <c r="AD378" i="1"/>
  <c r="AD379" i="1"/>
  <c r="AD368" i="1"/>
  <c r="AD757" i="1"/>
  <c r="AD684" i="1"/>
  <c r="AD812" i="1"/>
  <c r="AD683" i="1"/>
  <c r="AD131" i="1"/>
  <c r="AD555" i="1"/>
  <c r="AD497" i="1"/>
  <c r="AD719" i="1"/>
  <c r="AD714" i="1"/>
  <c r="AD730" i="1"/>
  <c r="AD548" i="1"/>
  <c r="AD374" i="1"/>
  <c r="AE785" i="1"/>
  <c r="AD672" i="1"/>
  <c r="AD495" i="1"/>
  <c r="AD452" i="1"/>
  <c r="AD715" i="1"/>
  <c r="AD345" i="1"/>
  <c r="AD766" i="1"/>
  <c r="AD80" i="1"/>
  <c r="AD676" i="1"/>
  <c r="AD755" i="1"/>
  <c r="AD355" i="1"/>
  <c r="AD764" i="1"/>
  <c r="AD191" i="1"/>
  <c r="AD311" i="1"/>
  <c r="AD679" i="1"/>
  <c r="AD549" i="1"/>
  <c r="AD308" i="1"/>
  <c r="AD442" i="1"/>
  <c r="AD29" i="1"/>
  <c r="AD455" i="1"/>
  <c r="AD709" i="1"/>
  <c r="AD265" i="1"/>
  <c r="AD389" i="1"/>
  <c r="AD81" i="1"/>
  <c r="AD218" i="1"/>
  <c r="AD377" i="1"/>
  <c r="AD750" i="1"/>
  <c r="AD75" i="1"/>
  <c r="AD268" i="1"/>
  <c r="AD591" i="1"/>
  <c r="AD704" i="1"/>
  <c r="AD498" i="1"/>
  <c r="AD587" i="1"/>
  <c r="AD793" i="1"/>
  <c r="AD503" i="1"/>
  <c r="AD357" i="1"/>
  <c r="AD557" i="1"/>
  <c r="AD74" i="1"/>
  <c r="AD553" i="1"/>
  <c r="AD705" i="1"/>
  <c r="AD784" i="1"/>
  <c r="AD686" i="1"/>
  <c r="AD312" i="1"/>
  <c r="AD493" i="1"/>
  <c r="AD254" i="1"/>
  <c r="AD751" i="1"/>
  <c r="AD533" i="1"/>
  <c r="AD724" i="1"/>
  <c r="AD359" i="1"/>
  <c r="AD267" i="1"/>
  <c r="AD138" i="1"/>
  <c r="AD561" i="1"/>
  <c r="AD470" i="1"/>
  <c r="AD24" i="1"/>
  <c r="AD692" i="1"/>
  <c r="AD700" i="1"/>
  <c r="AD696" i="1"/>
  <c r="AD367" i="1"/>
  <c r="AD317" i="1"/>
  <c r="AD84" i="1"/>
  <c r="AD316" i="1"/>
  <c r="AD140" i="1"/>
  <c r="AD682" i="1"/>
  <c r="AD369" i="1"/>
  <c r="AD137" i="1"/>
  <c r="AD189" i="1"/>
  <c r="AD514" i="1"/>
  <c r="AD226" i="1"/>
  <c r="AD323" i="1"/>
  <c r="AC2" i="1"/>
  <c r="AD39" i="1"/>
  <c r="AQ2" i="1"/>
  <c r="AQ1037" i="1"/>
  <c r="AE1037" i="1" l="1"/>
  <c r="AD2" i="1"/>
  <c r="AD1037" i="1"/>
  <c r="F105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AH698" authorId="0" shapeId="0" xr:uid="{3CC3B6B6-41EA-4823-AC75-71FEB91EFA71}">
      <text>
        <r>
          <rPr>
            <b/>
            <sz val="9"/>
            <color indexed="81"/>
            <rFont val="Tahoma"/>
            <charset val="1"/>
          </rPr>
          <t>rahul:</t>
        </r>
        <r>
          <rPr>
            <sz val="9"/>
            <color indexed="81"/>
            <rFont val="Tahoma"/>
            <charset val="1"/>
          </rPr>
          <t xml:space="preserve">
Deduction mpg Budhnagar code - 10100044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Sharma</author>
  </authors>
  <commentList>
    <comment ref="W217" authorId="0" shapeId="0" xr:uid="{FCCA0887-292D-4439-A2DF-5A505EA2A0C0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785" authorId="0" shapeId="0" xr:uid="{DDC31DFB-645D-4BE8-8B03-6ECDB1829FC4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1352" authorId="0" shapeId="0" xr:uid="{C58091A2-5D01-4C80-BBB9-1C95DB4A944B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<sst xmlns="http://schemas.openxmlformats.org/spreadsheetml/2006/main" count="28408" uniqueCount="1706">
  <si>
    <t xml:space="preserve">Code </t>
  </si>
  <si>
    <t xml:space="preserve">MPG NAME </t>
  </si>
  <si>
    <t xml:space="preserve">BMC Code </t>
  </si>
  <si>
    <t>status</t>
  </si>
  <si>
    <t>BMC Volume</t>
  </si>
  <si>
    <t>BMC Amount</t>
  </si>
  <si>
    <t>Volume Penalty</t>
  </si>
  <si>
    <t>Net Sahayak Income</t>
  </si>
  <si>
    <t>Payble to Sahyak</t>
  </si>
  <si>
    <t>Particulars</t>
  </si>
  <si>
    <t>Reserve from Std Gain</t>
  </si>
  <si>
    <t>Start Date</t>
  </si>
  <si>
    <t>Farmer Sample Milk</t>
  </si>
  <si>
    <t>New Assets EMI</t>
  </si>
  <si>
    <t>Can Deduction</t>
  </si>
  <si>
    <t>Sahayak Comission @ 0.75/-</t>
  </si>
  <si>
    <t>Std Gain @ 3%</t>
  </si>
  <si>
    <t>VLC Type</t>
  </si>
  <si>
    <t xml:space="preserve">Period </t>
  </si>
  <si>
    <t>Farmer Payment</t>
  </si>
  <si>
    <t>Type</t>
  </si>
  <si>
    <t>Payable</t>
  </si>
  <si>
    <t>Sample Am</t>
  </si>
  <si>
    <t>Loss Apportion</t>
  </si>
  <si>
    <t>CF/Vet Ded</t>
  </si>
  <si>
    <t>Advance</t>
  </si>
  <si>
    <t>Payment to Farmer A/c</t>
  </si>
  <si>
    <t>Payment to MPGs A/c</t>
  </si>
  <si>
    <t>Amount</t>
  </si>
  <si>
    <t xml:space="preserve">Vol Penalty Amount </t>
  </si>
  <si>
    <t>Income</t>
  </si>
  <si>
    <t>Internal</t>
  </si>
  <si>
    <t>MPG Deduction</t>
  </si>
  <si>
    <t>Other Security Deduction</t>
  </si>
  <si>
    <t>TOTAL</t>
  </si>
  <si>
    <t>Area</t>
  </si>
  <si>
    <t>Actual Volume Penalty</t>
  </si>
  <si>
    <t>New Format</t>
  </si>
  <si>
    <t>Reg. Farmers</t>
  </si>
  <si>
    <t>Unreg. Farmers</t>
  </si>
  <si>
    <t>Total farmer</t>
  </si>
  <si>
    <t>Vol</t>
  </si>
  <si>
    <t>Amt</t>
  </si>
  <si>
    <t>Code</t>
  </si>
  <si>
    <t>Stop Payment</t>
  </si>
  <si>
    <t>MPG Sheet</t>
  </si>
  <si>
    <t xml:space="preserve">MPG Payment </t>
  </si>
  <si>
    <t>Proc Cost</t>
  </si>
  <si>
    <t>Less: Penalty</t>
  </si>
  <si>
    <t>Net Proc Cost</t>
  </si>
  <si>
    <t>Unreg. Farmer payment</t>
  </si>
  <si>
    <t>Closing Reserve</t>
  </si>
  <si>
    <t xml:space="preserve">Payment relase </t>
  </si>
  <si>
    <t>Balance Recoverable Value</t>
  </si>
  <si>
    <t xml:space="preserve">Old Can </t>
  </si>
  <si>
    <t>Amcu new</t>
  </si>
  <si>
    <t xml:space="preserve">PCB Deduction </t>
  </si>
  <si>
    <t>PCB Ded</t>
  </si>
  <si>
    <t>Net Payble</t>
  </si>
  <si>
    <t>Net Payable</t>
  </si>
  <si>
    <t>Total Deductable Amt</t>
  </si>
  <si>
    <t>Amcu type</t>
  </si>
  <si>
    <t>Munger</t>
  </si>
  <si>
    <t>Owner</t>
  </si>
  <si>
    <t>Consumables</t>
  </si>
  <si>
    <t>Yes</t>
  </si>
  <si>
    <t>Release2</t>
  </si>
  <si>
    <t>Hold</t>
  </si>
  <si>
    <t>Release1</t>
  </si>
  <si>
    <t>Std gain @ 0.95/-</t>
  </si>
  <si>
    <t>MCC Name</t>
  </si>
  <si>
    <t>Other Ded</t>
  </si>
  <si>
    <t>Others</t>
  </si>
  <si>
    <t>Gomukh Krishna Dairy Tulsipur</t>
  </si>
  <si>
    <t>New Code</t>
  </si>
  <si>
    <t>Old Code</t>
  </si>
  <si>
    <t>AMC from MPG @ 0.10/-</t>
  </si>
  <si>
    <t>Grand Total</t>
  </si>
  <si>
    <t>Values</t>
  </si>
  <si>
    <t>MCC</t>
  </si>
  <si>
    <t xml:space="preserve"> BMC Volume</t>
  </si>
  <si>
    <t xml:space="preserve"> BMC Amount</t>
  </si>
  <si>
    <t xml:space="preserve"> Sahayak Comission @ 0.75/-</t>
  </si>
  <si>
    <t xml:space="preserve"> Std gain @ 0.95/-</t>
  </si>
  <si>
    <t xml:space="preserve"> Farmer Sample Milk</t>
  </si>
  <si>
    <t xml:space="preserve"> Actual Volume Penalty</t>
  </si>
  <si>
    <t xml:space="preserve"> Net Sahayak Income</t>
  </si>
  <si>
    <t xml:space="preserve"> New Assets EMI</t>
  </si>
  <si>
    <t xml:space="preserve"> Can Deduction</t>
  </si>
  <si>
    <t xml:space="preserve"> PCB Ded</t>
  </si>
  <si>
    <t xml:space="preserve"> Consumables</t>
  </si>
  <si>
    <t xml:space="preserve"> Net Payble</t>
  </si>
  <si>
    <t>Majhaul</t>
  </si>
  <si>
    <t>MPG</t>
  </si>
  <si>
    <t>Direct</t>
  </si>
  <si>
    <t>Gomukh Kumbhi</t>
  </si>
  <si>
    <t>Gomukh Amba</t>
  </si>
  <si>
    <t xml:space="preserve">Gomukh Jagdar                                                                                       </t>
  </si>
  <si>
    <t>Gomukh Goriyari</t>
  </si>
  <si>
    <t>Indirect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</si>
  <si>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</si>
  <si>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</si>
  <si>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</si>
  <si>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</si>
  <si>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>Gomukh Sherpur</t>
  </si>
  <si>
    <t>Laldiyara</t>
  </si>
  <si>
    <t>PIPARIYA DIH -2</t>
  </si>
  <si>
    <t>LAL DIYARA -1</t>
  </si>
  <si>
    <t>SABIKPUR</t>
  </si>
  <si>
    <t>GANGA KINARE KHUTHA</t>
  </si>
  <si>
    <t>Gomukh ID Khutaha Ganga</t>
  </si>
  <si>
    <t>Gomukh ID Khutaha Dhih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</si>
  <si>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</si>
  <si>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</si>
  <si>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</si>
  <si>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</si>
  <si>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Gomukh Dariyapur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</si>
  <si>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</si>
  <si>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</si>
  <si>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</si>
  <si>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</si>
  <si>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</si>
  <si>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</si>
  <si>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</si>
  <si>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</si>
  <si>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</si>
  <si>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</si>
  <si>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</si>
  <si>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</si>
  <si>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 xml:space="preserve">DIYARA PIPARIYA-THANA                                                                               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</si>
  <si>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</si>
  <si>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</si>
  <si>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</si>
  <si>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</si>
  <si>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</si>
  <si>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</si>
  <si>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</si>
  <si>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</si>
  <si>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</si>
  <si>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Asarganj</t>
  </si>
  <si>
    <t>CHATMADIH</t>
  </si>
  <si>
    <t>SIYADIH</t>
  </si>
  <si>
    <t>HARPUR M</t>
  </si>
  <si>
    <t>Gomukh ID Laldiyara</t>
  </si>
  <si>
    <t>KATHNI</t>
  </si>
  <si>
    <t>DEVDHA GOMUKH MPG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</si>
  <si>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</si>
  <si>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</si>
  <si>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</si>
  <si>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</si>
  <si>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</si>
  <si>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</si>
  <si>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</si>
  <si>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</si>
  <si>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</si>
  <si>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</si>
  <si>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</si>
  <si>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</si>
  <si>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</si>
  <si>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</si>
  <si>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</si>
  <si>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</si>
  <si>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</si>
  <si>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</si>
  <si>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</si>
  <si>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</si>
  <si>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</si>
  <si>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</si>
  <si>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</si>
  <si>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</si>
  <si>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</si>
  <si>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</si>
  <si>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</si>
  <si>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</si>
  <si>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</si>
  <si>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</si>
  <si>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</si>
  <si>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</si>
  <si>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</si>
  <si>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</si>
  <si>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</si>
  <si>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</si>
  <si>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</si>
  <si>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</si>
  <si>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</si>
  <si>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</si>
  <si>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</si>
  <si>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</si>
  <si>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</si>
  <si>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</si>
  <si>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</si>
  <si>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</si>
  <si>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</si>
  <si>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</si>
  <si>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</si>
  <si>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</si>
  <si>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</si>
  <si>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</si>
  <si>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</si>
  <si>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</si>
  <si>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</si>
  <si>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</si>
  <si>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</si>
  <si>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</si>
  <si>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MALIYA</t>
  </si>
  <si>
    <t>MAHULIYA</t>
  </si>
  <si>
    <t xml:space="preserve">ABGIL HUSSAINA-2                                                                                    </t>
  </si>
  <si>
    <t>Araria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</si>
  <si>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</si>
  <si>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</si>
  <si>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</si>
  <si>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</si>
  <si>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</si>
  <si>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</si>
  <si>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</si>
  <si>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</si>
  <si>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</si>
  <si>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</si>
  <si>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</si>
  <si>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</si>
  <si>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>Gomukh Sapha</t>
  </si>
  <si>
    <t>Teghra</t>
  </si>
  <si>
    <t>Labherchak</t>
  </si>
  <si>
    <t>Paspura</t>
  </si>
  <si>
    <t>Gomukh Godhna</t>
  </si>
  <si>
    <t>Gomukh Sihma 2</t>
  </si>
  <si>
    <t>Gomukh ID Marsaito</t>
  </si>
  <si>
    <t>Gomukh ID Akashpur</t>
  </si>
  <si>
    <t>Gomukh ID Rachiyahi</t>
  </si>
  <si>
    <t>GomukhBariyahi Chanan</t>
  </si>
  <si>
    <t>GomukhGehuni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</si>
  <si>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</si>
  <si>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</si>
  <si>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</si>
  <si>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</si>
  <si>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</si>
  <si>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</si>
  <si>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</si>
  <si>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Adharpur - Manish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</si>
  <si>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</si>
  <si>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</si>
  <si>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</si>
  <si>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</si>
  <si>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</si>
  <si>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</si>
  <si>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</si>
  <si>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</si>
  <si>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HADIPUR</t>
  </si>
  <si>
    <t>Gomukh Harichak</t>
  </si>
  <si>
    <t>Halsi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</si>
  <si>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</si>
  <si>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</si>
  <si>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</si>
  <si>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</si>
  <si>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</si>
  <si>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</si>
  <si>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</si>
  <si>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</si>
  <si>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</si>
  <si>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</si>
  <si>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</si>
  <si>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</si>
  <si>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</si>
  <si>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KHURIYARI</t>
  </si>
  <si>
    <t>BISANPUR</t>
  </si>
  <si>
    <t>BEHRAMA</t>
  </si>
  <si>
    <t>Gomukh ID Kurha Dih</t>
  </si>
  <si>
    <t>RAMNAGAR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</si>
  <si>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</si>
  <si>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</si>
  <si>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</si>
  <si>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</si>
  <si>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</si>
  <si>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</si>
  <si>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BAKHIYA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</si>
  <si>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</si>
  <si>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</si>
  <si>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</si>
  <si>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</si>
  <si>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Gomukh Madhawpur</t>
  </si>
  <si>
    <t>Gomukh Muradpur</t>
  </si>
  <si>
    <t>Gomukh Salarpur Uttari</t>
  </si>
  <si>
    <t>Gomukh Kanhaiyachak Pachhim</t>
  </si>
  <si>
    <t>Gomukh Dumariya Bujurg</t>
  </si>
  <si>
    <t xml:space="preserve">Gomukh Bandahera                                                                                    </t>
  </si>
  <si>
    <t>RMC</t>
  </si>
  <si>
    <t>Gomukh Basudevpur</t>
  </si>
  <si>
    <t>Gomukh Fudkichak</t>
  </si>
  <si>
    <t>Gomukh Tehay</t>
  </si>
  <si>
    <t>Sahibpur Kamal</t>
  </si>
  <si>
    <t>Gomukh Mahendrapur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</si>
  <si>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</si>
  <si>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</si>
  <si>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</si>
  <si>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</si>
  <si>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</si>
  <si>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</si>
  <si>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</si>
  <si>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</si>
  <si>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</si>
  <si>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Sanhatol</t>
  </si>
  <si>
    <t>Gomukh Sonapur</t>
  </si>
  <si>
    <t>Gomukh Barkhandi 2</t>
  </si>
  <si>
    <t>Gomukh Sahibpur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</si>
  <si>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</si>
  <si>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</si>
  <si>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</si>
  <si>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</si>
  <si>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</si>
  <si>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</si>
  <si>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</si>
  <si>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SRINAGAR</t>
  </si>
  <si>
    <t>GOMUKH THATHA</t>
  </si>
  <si>
    <t>GOMUKH GARHIYA</t>
  </si>
  <si>
    <t>DalsinghSarai</t>
  </si>
  <si>
    <t>GOMUKH SUBHANPUR</t>
  </si>
  <si>
    <t>GOMUKH  BHAJANGAMA</t>
  </si>
  <si>
    <t>Gomukh Basadhiya Kurni</t>
  </si>
  <si>
    <t>KHAJURI</t>
  </si>
  <si>
    <t>ARMAULI-2</t>
  </si>
  <si>
    <t>MUSAPUR - 2</t>
  </si>
  <si>
    <t>Janganath Pur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</si>
  <si>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</si>
  <si>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</si>
  <si>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</si>
  <si>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</si>
  <si>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</si>
  <si>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</si>
  <si>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</si>
  <si>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</si>
  <si>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</si>
  <si>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</si>
  <si>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</si>
  <si>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</si>
  <si>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</si>
  <si>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</si>
  <si>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</si>
  <si>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</si>
  <si>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</si>
  <si>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</si>
  <si>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</si>
  <si>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</si>
  <si>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</si>
  <si>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</si>
  <si>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Mordiba</t>
  </si>
  <si>
    <t>Jagdispur</t>
  </si>
  <si>
    <t>Baruna Rasalpur</t>
  </si>
  <si>
    <t>Chaklal Sahi_Vikrant</t>
  </si>
  <si>
    <t>Piparpaati</t>
  </si>
  <si>
    <t>Suratpur</t>
  </si>
  <si>
    <t>Ballochak</t>
  </si>
  <si>
    <t>Musrigharari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</si>
  <si>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</si>
  <si>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</si>
  <si>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</si>
  <si>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</si>
  <si>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</si>
  <si>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</si>
  <si>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</si>
  <si>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</si>
  <si>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</si>
  <si>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</si>
  <si>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</si>
  <si>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</si>
  <si>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 xml:space="preserve">Chhuchhipur                                                                                         </t>
  </si>
  <si>
    <t>Gomukh ID Sararanjan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</si>
  <si>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</si>
  <si>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</si>
  <si>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</si>
  <si>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</si>
  <si>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</si>
  <si>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</si>
  <si>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</si>
  <si>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</si>
  <si>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Rampur Maheshpur</t>
  </si>
  <si>
    <t>Godhiyari</t>
  </si>
  <si>
    <t>Dumraon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</si>
  <si>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</si>
  <si>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</si>
  <si>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</si>
  <si>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</si>
  <si>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</si>
  <si>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</si>
  <si>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</si>
  <si>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</si>
  <si>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</si>
  <si>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</si>
  <si>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</si>
  <si>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</si>
  <si>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</si>
  <si>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</si>
  <si>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</si>
  <si>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</si>
  <si>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</si>
  <si>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</si>
  <si>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</si>
  <si>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</si>
  <si>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</si>
  <si>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</si>
  <si>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</si>
  <si>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</si>
  <si>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Dhakaich</t>
  </si>
  <si>
    <t>VISHWASHPUR</t>
  </si>
  <si>
    <t>KUMARPUIR KATHARA</t>
  </si>
  <si>
    <t>KUDHIYA MPG</t>
  </si>
  <si>
    <t>SHAHJADPUR MPG</t>
  </si>
  <si>
    <t>FARDA - 3</t>
  </si>
  <si>
    <t>MANIKPUR</t>
  </si>
  <si>
    <t>JAKARPURA</t>
  </si>
  <si>
    <t>NANDPUR</t>
  </si>
  <si>
    <t>NOWAGADHI</t>
  </si>
  <si>
    <t>MAHADAT PUR 2</t>
  </si>
  <si>
    <t>SONBARSHA 1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</si>
  <si>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</si>
  <si>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</si>
  <si>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</si>
  <si>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</si>
  <si>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</si>
  <si>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</si>
  <si>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</si>
  <si>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KUNTHA M</t>
  </si>
  <si>
    <t>ARAK</t>
  </si>
  <si>
    <t>Diyaman</t>
  </si>
  <si>
    <t>HENHA</t>
  </si>
  <si>
    <t>Gomukh Kajipura Chandan</t>
  </si>
  <si>
    <t xml:space="preserve">Manish Dairy                                                                                        </t>
  </si>
  <si>
    <t>Jhakhra-Rambilash</t>
  </si>
  <si>
    <t>Manika Tol</t>
  </si>
  <si>
    <t>Kulharia Agriculture Producer Company Limited</t>
  </si>
  <si>
    <t>Gomukh Lauwalagam</t>
  </si>
  <si>
    <t>MPG Code</t>
  </si>
  <si>
    <t>Milk Cans</t>
  </si>
  <si>
    <t>AMCU</t>
  </si>
  <si>
    <t>Gomukh Bhith-02</t>
  </si>
  <si>
    <t>Gomukh Krochaka Dudhela</t>
  </si>
  <si>
    <t>GOMUKH SANHA NAYATOLA</t>
  </si>
  <si>
    <t>Gomukh Gopalpur</t>
  </si>
  <si>
    <t>SRI RAM SINGH(VLC)</t>
  </si>
  <si>
    <t>SHIKARITOLA</t>
  </si>
  <si>
    <t>Gomukh Durgapur</t>
  </si>
  <si>
    <t>Desu Balo Tol</t>
  </si>
  <si>
    <t>Beri</t>
  </si>
  <si>
    <t>Simri-Rupesh</t>
  </si>
  <si>
    <t>Assets Value</t>
  </si>
  <si>
    <t>Remarks</t>
  </si>
  <si>
    <t>Gomukh Menhan</t>
  </si>
  <si>
    <t>Mahmmadipur</t>
  </si>
  <si>
    <t>Gomukh Banswar</t>
  </si>
  <si>
    <t>GONAI</t>
  </si>
  <si>
    <t>Dumri Purvi Tola</t>
  </si>
  <si>
    <t>BHANDAR</t>
  </si>
  <si>
    <t>Gomukh Sondiha</t>
  </si>
  <si>
    <t>EMI</t>
  </si>
  <si>
    <t>Recovery from Milk</t>
  </si>
  <si>
    <t>EMI Recovery</t>
  </si>
  <si>
    <t>Inward Penalty</t>
  </si>
  <si>
    <t>Total</t>
  </si>
  <si>
    <t>Gomukh Sharmatola Sahuri</t>
  </si>
  <si>
    <t>Sangat- Sanjeev Kumar</t>
  </si>
  <si>
    <t>CHETAN-TOLA-KHUTHA</t>
  </si>
  <si>
    <t>Net Recovered</t>
  </si>
  <si>
    <t>Recovery from Com</t>
  </si>
  <si>
    <t>Cow Segre %</t>
  </si>
  <si>
    <t>Chakmilki</t>
  </si>
  <si>
    <t>RAMDIH Ajit Kumar</t>
  </si>
  <si>
    <t>Gomukh Mangolpur</t>
  </si>
  <si>
    <t>Gomukh Basaon Kalan</t>
  </si>
  <si>
    <t>Gomukh Paharpur</t>
  </si>
  <si>
    <t>Gomukh Dafadihari</t>
  </si>
  <si>
    <t>Irregular Pourer</t>
  </si>
  <si>
    <t>No of pouring shift</t>
  </si>
  <si>
    <t>Bagaraha-Gopal Yadav</t>
  </si>
  <si>
    <t>RAJ BHARDWAJ</t>
  </si>
  <si>
    <t>Dagarua</t>
  </si>
  <si>
    <t>Gomukh Dhanipur</t>
  </si>
  <si>
    <t>Gomukh Amarpur</t>
  </si>
  <si>
    <t>NARAYANPUR</t>
  </si>
  <si>
    <t>Gomukh Rakshanagar_tola</t>
  </si>
  <si>
    <t>LAXMIPUR</t>
  </si>
  <si>
    <t>KASBA(MANGOAN)</t>
  </si>
  <si>
    <t>Gomukh Garhi Bisanpur</t>
  </si>
  <si>
    <t>Gomukh Barkurwa</t>
  </si>
  <si>
    <t>BAIKUNTHPUR</t>
  </si>
  <si>
    <t>KAITHA</t>
  </si>
  <si>
    <t>AKHA-KURHA</t>
  </si>
  <si>
    <t>BASMATIYA</t>
  </si>
  <si>
    <t>Gomukh Barauni 3</t>
  </si>
  <si>
    <t>Gomukh Koniya</t>
  </si>
  <si>
    <t>GOMUKH ROHUA</t>
  </si>
  <si>
    <t>GOMUKH LAXMIPUR</t>
  </si>
  <si>
    <t>Gomukh Kewasnijamat</t>
  </si>
  <si>
    <t>Gomukh Akaha</t>
  </si>
  <si>
    <t>Vishnupur Kowahi</t>
  </si>
  <si>
    <t>Nauachak-Pankaj</t>
  </si>
  <si>
    <t>Gomukh Nadaon</t>
  </si>
  <si>
    <t>REHUA RK</t>
  </si>
  <si>
    <t>Gomukh ID Mathurapur</t>
  </si>
  <si>
    <t>CHANDAN YADAV</t>
  </si>
  <si>
    <t>DINESH YADAV</t>
  </si>
  <si>
    <t>ANITA DEVI</t>
  </si>
  <si>
    <t>Gomukh Sirdulpur 2</t>
  </si>
  <si>
    <t>GANOUL</t>
  </si>
  <si>
    <t>GOMUKH WESTOL</t>
  </si>
  <si>
    <t>Telouch</t>
  </si>
  <si>
    <t>GOMUKH BACHOTA</t>
  </si>
  <si>
    <t>Gomukh Jhaura Tabhka</t>
  </si>
  <si>
    <t>TILATHI</t>
  </si>
  <si>
    <t>Gomukh Thebhay B</t>
  </si>
  <si>
    <t>Gomukh Baisa</t>
  </si>
  <si>
    <t>GOMUKH CHATAR</t>
  </si>
  <si>
    <t>GOMUKH BATHNAMA</t>
  </si>
  <si>
    <t>Gomukh Mohanpur</t>
  </si>
  <si>
    <t>Gomukh Dalsagar Pachhim</t>
  </si>
  <si>
    <t>Gomukh Badkagaon Yamunatola</t>
  </si>
  <si>
    <t>Other</t>
  </si>
  <si>
    <t>HDFC</t>
  </si>
  <si>
    <t>OTHER</t>
  </si>
  <si>
    <t>AKHA KURHA</t>
  </si>
  <si>
    <t>Gomukh Bochaha</t>
  </si>
  <si>
    <t>Gomukh Chapra</t>
  </si>
  <si>
    <t>GOMUKH TILAK NAGAR</t>
  </si>
  <si>
    <t>Gomukh Gangapur</t>
  </si>
  <si>
    <t>Gomukh Morwa Mohanpur</t>
  </si>
  <si>
    <t>Gomukh Bramhpur</t>
  </si>
  <si>
    <t>RAGHUNATHPUR</t>
  </si>
  <si>
    <t>Gomukh Jhangara B</t>
  </si>
  <si>
    <t>NAWKADIH</t>
  </si>
  <si>
    <t>Gomukh Mashariya</t>
  </si>
  <si>
    <t>Kamla- Amarjeet</t>
  </si>
  <si>
    <t>Gomukh Goha-02</t>
  </si>
  <si>
    <t>Gomukh Rahul Nagar</t>
  </si>
  <si>
    <t>Gomukh Thatha Purvi</t>
  </si>
  <si>
    <t>Gomukh Nipur</t>
  </si>
  <si>
    <t>KATHELA TOLA TELDHI</t>
  </si>
  <si>
    <t>Gomukh Cheria Bariarpur</t>
  </si>
  <si>
    <t>SANGRAMPUR</t>
  </si>
  <si>
    <t>GOMUKH CHASMASKAN</t>
  </si>
  <si>
    <t xml:space="preserve">KHARAGWADA </t>
  </si>
  <si>
    <t>Gomukh Terganj</t>
  </si>
  <si>
    <t xml:space="preserve"> Gomukh Nauranga</t>
  </si>
  <si>
    <t>GOMUKH Chiranjipur</t>
  </si>
  <si>
    <t>Gomukh Dhoriya Dadpur -VLC</t>
  </si>
  <si>
    <t>Kalyanpur</t>
  </si>
  <si>
    <t>Gomukh CHANDAULI</t>
  </si>
  <si>
    <t>GOMUKH HATHA</t>
  </si>
  <si>
    <t>GOMUKH VADEYA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</si>
  <si>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</si>
  <si>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</si>
  <si>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</si>
  <si>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</si>
  <si>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</si>
  <si>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</si>
  <si>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</si>
  <si>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</si>
  <si>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</si>
  <si>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</si>
  <si>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</si>
  <si>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</si>
  <si>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</si>
  <si>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</si>
  <si>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Belsandi</t>
  </si>
  <si>
    <t>CHANNAYA</t>
  </si>
  <si>
    <t>Gomukh Pachkhutti Jorabarpur</t>
  </si>
  <si>
    <t>GOMUKH FATEHA SALEMPUR</t>
  </si>
  <si>
    <t>UFFAPUR</t>
  </si>
  <si>
    <t>GOMUKH NAYAGAON 2</t>
  </si>
  <si>
    <t>Gomukh Belsandi East</t>
  </si>
  <si>
    <t>Gomukh Belsandi West Tola</t>
  </si>
  <si>
    <t>Gomukh Pakrail Vijay Nagar VLC</t>
  </si>
  <si>
    <t>Gomukh Bagraha-01</t>
  </si>
  <si>
    <t>Gomukh Shobhaipura</t>
  </si>
  <si>
    <t>BANGAMA</t>
  </si>
  <si>
    <t>KORIYA</t>
  </si>
  <si>
    <t>GOMUKH KAJITOLA</t>
  </si>
  <si>
    <t>Gomukh Godhiyasi Nayagow VLC</t>
  </si>
  <si>
    <t>Hasanpur - Abhijeet</t>
  </si>
  <si>
    <t>Gomukh Chhatauna East</t>
  </si>
  <si>
    <t>Gomukh Sahu Tol</t>
  </si>
  <si>
    <t>Gomukh Sherpur Narsari East</t>
  </si>
  <si>
    <t>Gomukh Saidpur</t>
  </si>
  <si>
    <t>Gomukh Bharkhar</t>
  </si>
  <si>
    <t>Gomukh Rampur</t>
  </si>
  <si>
    <t>Gomukh Bharav</t>
  </si>
  <si>
    <t>Gomukh Hiralalpur</t>
  </si>
  <si>
    <t>Gomukh Khanjapur Bangali Tola</t>
  </si>
  <si>
    <t>Gomukh Gogri</t>
  </si>
  <si>
    <t>GOMUKH GEHUNI 2</t>
  </si>
  <si>
    <t>GOMUKH MALHIPUR</t>
  </si>
  <si>
    <t>BIHRAURA</t>
  </si>
  <si>
    <t>SHIJHORI</t>
  </si>
  <si>
    <t>GOMUKH HANSPUR</t>
  </si>
  <si>
    <t>GOMUKH LABHGAON</t>
  </si>
  <si>
    <t>GOMUKH TATRABAD</t>
  </si>
  <si>
    <t>GOMUKH BADIL TOL</t>
  </si>
  <si>
    <t>GOMUKH TRIBHUVAN TOLA</t>
  </si>
  <si>
    <t>GOMUKH AHUNA</t>
  </si>
  <si>
    <t>GOMUKH SHADIPUR</t>
  </si>
  <si>
    <t>GOMUKH ASHRAPHA DIYARA</t>
  </si>
  <si>
    <t>GOMUKH MANIAPPA</t>
  </si>
  <si>
    <t>GOMUKH JALALPUR</t>
  </si>
  <si>
    <t>Gomukh KritSagar</t>
  </si>
  <si>
    <t>Gomukh Suraundha</t>
  </si>
  <si>
    <t>Gomukh Semra Nandpur</t>
  </si>
  <si>
    <t>Gomukh Harpur</t>
  </si>
  <si>
    <t>Gomukh Fulhatta</t>
  </si>
  <si>
    <t>Gomukh Birauli Khurd</t>
  </si>
  <si>
    <t>Gomukh Bedauliya</t>
  </si>
  <si>
    <t>Gomukh Khanua</t>
  </si>
  <si>
    <t>Gomukh Punas</t>
  </si>
  <si>
    <t>Gomukh Dighra</t>
  </si>
  <si>
    <t>Belsandi 3</t>
  </si>
  <si>
    <t>AMCU ded from Milk Bill</t>
  </si>
  <si>
    <t>AMCU ded from Commission</t>
  </si>
  <si>
    <t>Total AMCU Deduction</t>
  </si>
  <si>
    <t>Recommendation</t>
  </si>
  <si>
    <t>Vikash Kumar</t>
  </si>
  <si>
    <t>Karari Pipariya 2</t>
  </si>
  <si>
    <t>Farda Ravi Tola</t>
  </si>
  <si>
    <t>Chak Punervas</t>
  </si>
  <si>
    <t>Prashant Kumar</t>
  </si>
  <si>
    <t>Vishan Pur</t>
  </si>
  <si>
    <t>Gomukh Govind Pur</t>
  </si>
  <si>
    <t>Rahimpur Pachkhutti</t>
  </si>
  <si>
    <t>GOMUKH Nista Tol</t>
  </si>
  <si>
    <t>Gomukh Rahimpur Dakshin</t>
  </si>
  <si>
    <t>Nagargama</t>
  </si>
  <si>
    <t xml:space="preserve">Gomukh Soharthi Purvi Tola                                                                          </t>
  </si>
  <si>
    <t>Gomukh Ekauni Karuwaj</t>
  </si>
  <si>
    <t>Gomukh Sikraul Lakh</t>
  </si>
  <si>
    <t>Gaachhi Tola</t>
  </si>
  <si>
    <t>Sheela Devi</t>
  </si>
  <si>
    <t>Gomukh Vijay Lalganj</t>
  </si>
  <si>
    <t>Gomukh Sarswati Nagar Nakdahri</t>
  </si>
  <si>
    <t>Dhobina Basa</t>
  </si>
  <si>
    <t>Gomukh Shreepur Madhay</t>
  </si>
  <si>
    <t>vlc</t>
  </si>
  <si>
    <t>GOMUKH KAMALPUR</t>
  </si>
  <si>
    <t>LADHAUNA</t>
  </si>
  <si>
    <t>Gomukh Ataon</t>
  </si>
  <si>
    <t>Gomukh Loharkha</t>
  </si>
  <si>
    <t>Basuwari</t>
  </si>
  <si>
    <t>Gomukh Bandehra Purbi</t>
  </si>
  <si>
    <t>Gomukh Tila Tol</t>
  </si>
  <si>
    <t>Gomukh Dina Chakla Vlc</t>
  </si>
  <si>
    <t>GOMUKH BISHANPUR 2</t>
  </si>
  <si>
    <t>GOMUKH SAIDPUR SAMASTIPUR</t>
  </si>
  <si>
    <t>Gomukh Gaopur Bhagwatpur</t>
  </si>
  <si>
    <t>Gomukh Pirauna</t>
  </si>
  <si>
    <t>Parra- Nagendra Kumar</t>
  </si>
  <si>
    <t>Rasalpur - Durgesh Kumar</t>
  </si>
  <si>
    <t>GOMUKH DHUSMURI BISHANPUR</t>
  </si>
  <si>
    <t>GOMUKH HANUMAN NAGAR</t>
  </si>
  <si>
    <t>Gumukh Gayghat</t>
  </si>
  <si>
    <t>Gomukh Shivpur</t>
  </si>
  <si>
    <t>GOMUKH HARPUR W-13</t>
  </si>
  <si>
    <t>GOMUKH MILKI</t>
  </si>
  <si>
    <t>Gomukh Fulhara</t>
  </si>
  <si>
    <t>SD</t>
  </si>
  <si>
    <t>Gomukh Salempur</t>
  </si>
  <si>
    <t>Ghato</t>
  </si>
  <si>
    <t>Gomukh Belamegh</t>
  </si>
  <si>
    <t>GOMUKH JAGMAGLA</t>
  </si>
  <si>
    <t>Fateha - Anil Yadav</t>
  </si>
  <si>
    <t>Gomukh Chakki Janardan Yadav</t>
  </si>
  <si>
    <t>RAMDEV TOLA</t>
  </si>
  <si>
    <t>Gomukh Gamghatta</t>
  </si>
  <si>
    <t>RAM PRAVESH YADAV</t>
  </si>
  <si>
    <t>Gomukh Mordiwa East</t>
  </si>
  <si>
    <t>Gomukh Ramaiya</t>
  </si>
  <si>
    <t>Gomukh Bimhnath Girdhar Baraw</t>
  </si>
  <si>
    <t>GOMUKH KATEHAR</t>
  </si>
  <si>
    <t>Gomukh Giridhar Baraw</t>
  </si>
  <si>
    <t>Gomukh Tiyar</t>
  </si>
  <si>
    <t>Gomukh Rajpur</t>
  </si>
  <si>
    <t>Gomukh Ratwara</t>
  </si>
  <si>
    <t>Gomukh Ranitola</t>
  </si>
  <si>
    <t>GOMUKH ANANDPUR PARAS</t>
  </si>
  <si>
    <t>GOMUKH GHAMARIYA</t>
  </si>
  <si>
    <t>GOMUKH MEGHAUMA</t>
  </si>
  <si>
    <t>GOMUKH AURA</t>
  </si>
  <si>
    <t>GOMUKH BEHORBA</t>
  </si>
  <si>
    <t>Gomukh Malinagar East</t>
  </si>
  <si>
    <t>GOMUKH Singhiya Ward 11</t>
  </si>
  <si>
    <t>GOMUKH ANANDPUR PARAS 2</t>
  </si>
  <si>
    <t>GOMUKH PHULTAURA</t>
  </si>
  <si>
    <t>GOMUKH GADBANNI</t>
  </si>
  <si>
    <t>Opening Balance ____</t>
  </si>
  <si>
    <t>MPG Code New</t>
  </si>
  <si>
    <t>MPG Name</t>
  </si>
  <si>
    <t>Centre Status</t>
  </si>
  <si>
    <t>Total Deduction</t>
  </si>
  <si>
    <t>Recoverable Value</t>
  </si>
  <si>
    <t>Active</t>
  </si>
  <si>
    <t>Gomukh Gangauli Dubha</t>
  </si>
  <si>
    <t>Rani Panchwati</t>
  </si>
  <si>
    <t>GOMUKH KAMATHAN</t>
  </si>
  <si>
    <t>Gomukh Rajwara</t>
  </si>
  <si>
    <t>GOMUKH NIKASPUR</t>
  </si>
  <si>
    <t>PIPARPATI</t>
  </si>
  <si>
    <t>GOMUKH MINAPUR</t>
  </si>
  <si>
    <t>Gomukh Sikraul lakh</t>
  </si>
  <si>
    <t>Jaynagar</t>
  </si>
  <si>
    <t>Amba-2</t>
  </si>
  <si>
    <t>Gomukh Mukhiyadera </t>
  </si>
  <si>
    <t>GOMUKH TARA</t>
  </si>
  <si>
    <t>Morkahi</t>
  </si>
  <si>
    <t>Gomukh English Lagar</t>
  </si>
  <si>
    <t>Gomukh Prem Nagar</t>
  </si>
  <si>
    <t>Gomukh purani tola</t>
  </si>
  <si>
    <t>Gomukh Ramgardh Dera</t>
  </si>
  <si>
    <t>GOMUKH D SANJHAUTI</t>
  </si>
  <si>
    <t>GOMUKH KASAHA</t>
  </si>
  <si>
    <t>Gomukh Borba Naya tola </t>
  </si>
  <si>
    <t>Gomukh Kharaiya Sultanpur</t>
  </si>
  <si>
    <t>GOMUKH ALOLI</t>
  </si>
  <si>
    <t>Gomukh Koransarai</t>
  </si>
  <si>
    <t>Narayanpur</t>
  </si>
  <si>
    <t>BASUHAR</t>
  </si>
  <si>
    <t>Gomukh Manikpur</t>
  </si>
  <si>
    <t>Vrindavan</t>
  </si>
  <si>
    <t>Narhan (2111)</t>
  </si>
  <si>
    <t>Bhusari</t>
  </si>
  <si>
    <t>Gomukh Bicchu ka Dera</t>
  </si>
  <si>
    <t>Dashara</t>
  </si>
  <si>
    <t>KASIMPUR</t>
  </si>
  <si>
    <t>GOMUKH BHARAUL</t>
  </si>
  <si>
    <t>Akdara</t>
  </si>
  <si>
    <t>RAMNATHPUR</t>
  </si>
  <si>
    <t>Basadhiya</t>
  </si>
  <si>
    <t>SAMASPURA</t>
  </si>
  <si>
    <t>HARPUR</t>
  </si>
  <si>
    <t>Gomukh Minapur</t>
  </si>
  <si>
    <t>Gomukh Sihma Barari</t>
  </si>
  <si>
    <t>BHADAPUR</t>
  </si>
  <si>
    <t>Gomukh ID Pipara</t>
  </si>
  <si>
    <t>CHHOTKI BASAULI</t>
  </si>
  <si>
    <t>ASHA PARARI</t>
  </si>
  <si>
    <t>Basadhiya Kurni (320)</t>
  </si>
  <si>
    <t>Chotka Sihanpura</t>
  </si>
  <si>
    <t>kamatpur</t>
  </si>
  <si>
    <t>Gomukh Chhapra</t>
  </si>
  <si>
    <t>Ramsir</t>
  </si>
  <si>
    <t>Adarsh Laxmipur</t>
  </si>
  <si>
    <t>UFFRAUL</t>
  </si>
  <si>
    <t>Gomukh Miralipur harijan tola</t>
  </si>
  <si>
    <t>Andaha</t>
  </si>
  <si>
    <t>Gomukh Chandaur</t>
  </si>
  <si>
    <t>Parspur Kadwa</t>
  </si>
  <si>
    <t>Devnagar Gogri</t>
  </si>
  <si>
    <t>Urain</t>
  </si>
  <si>
    <t>Gomukh Mubarakpur</t>
  </si>
  <si>
    <t>Gomukh Dihi</t>
  </si>
  <si>
    <t>Gomukh Teliya bathan purbi</t>
  </si>
  <si>
    <t>Gomukh Kumar chakki</t>
  </si>
  <si>
    <t>Gomukh Bari Jana</t>
  </si>
  <si>
    <t>Gomukh Raka</t>
  </si>
  <si>
    <t>Gomukh Sri Rampur Tuthhi</t>
  </si>
  <si>
    <t>Puran Bhojpur</t>
  </si>
  <si>
    <t>Muradpur</t>
  </si>
  <si>
    <t>Jagdar</t>
  </si>
  <si>
    <t>Aguani</t>
  </si>
  <si>
    <t>LAKHOCHAK</t>
  </si>
  <si>
    <t>Gomukh Bandahera</t>
  </si>
  <si>
    <t>Gomukh Fatehpur</t>
  </si>
  <si>
    <t>Gomukh Vishanpur</t>
  </si>
  <si>
    <t>soharthi purvi tola</t>
  </si>
  <si>
    <t>Rampur Mathiya</t>
  </si>
  <si>
    <t>Mahdah 2</t>
  </si>
  <si>
    <t>Matiyar</t>
  </si>
  <si>
    <t>Gomukh Dadhisir</t>
  </si>
  <si>
    <t>Gomukh Maujitan</t>
  </si>
  <si>
    <t>choraciya mpg गोमुख</t>
  </si>
  <si>
    <t>Tehai</t>
  </si>
  <si>
    <t>Tilakray ka hatta</t>
  </si>
  <si>
    <t>Chunni Dera</t>
  </si>
  <si>
    <t>Basuchak</t>
  </si>
  <si>
    <t>Sapha</t>
  </si>
  <si>
    <t>Simari Ramopatti</t>
  </si>
  <si>
    <t>Gomukh Ekauni karuwaj</t>
  </si>
  <si>
    <t>Gomukh Badkarajpur</t>
  </si>
  <si>
    <t>Giridharpur</t>
  </si>
  <si>
    <t>Gehuni</t>
  </si>
  <si>
    <t>Gomukh Jawahi</t>
  </si>
  <si>
    <t>Gomukh Bishauni</t>
  </si>
  <si>
    <t>Gomukh Bacchwara</t>
  </si>
  <si>
    <t>GOMUKH KHARMOLI</t>
  </si>
  <si>
    <t>GOMUKH BANARASI TOLA</t>
  </si>
  <si>
    <t>GOMUKH RACHIHAI PURANA TOLA</t>
  </si>
  <si>
    <t>Gomukh Amarpur paschim</t>
  </si>
  <si>
    <t>Naua Chak</t>
  </si>
  <si>
    <t>Gomukh Harpur South</t>
  </si>
  <si>
    <t>GOMUKH ADHARPUR</t>
  </si>
  <si>
    <t>Gomukh Aho ghat</t>
  </si>
  <si>
    <t>Gomukh Jalim babu Tola</t>
  </si>
  <si>
    <t>Gomukh Mansi Gharari</t>
  </si>
  <si>
    <t>Gomukh Tikapur</t>
  </si>
  <si>
    <t>GOMUKH Chowki</t>
  </si>
  <si>
    <t>Rahimpur</t>
  </si>
  <si>
    <t>Basudeopur</t>
  </si>
  <si>
    <t>korma sakra</t>
  </si>
  <si>
    <t>Musapur Purvi tol</t>
  </si>
  <si>
    <t>Tatarpur</t>
  </si>
  <si>
    <t>Samda</t>
  </si>
  <si>
    <t>Bolwari</t>
  </si>
  <si>
    <t>Gaspur</t>
  </si>
  <si>
    <t>Goriyaro</t>
  </si>
  <si>
    <t>SAMBHO</t>
  </si>
  <si>
    <t>GOMUKH BIRPUR PASCHIM</t>
  </si>
  <si>
    <t>Gomukh Sugharan</t>
  </si>
  <si>
    <t>Gomukh Rani</t>
  </si>
  <si>
    <t>Gomukh Kutlupur</t>
  </si>
  <si>
    <t>Gomukh Chamuban</t>
  </si>
  <si>
    <t>Gomukh Barahra</t>
  </si>
  <si>
    <t>Gomukh sahuri-2</t>
  </si>
  <si>
    <t>Pidauli 2</t>
  </si>
  <si>
    <t>Gomukh Partarpur</t>
  </si>
  <si>
    <t>Gomukh Basudhar</t>
  </si>
  <si>
    <t>Gomukh Ekauna dera</t>
  </si>
  <si>
    <t>Gomukh Sikendrpur</t>
  </si>
  <si>
    <t>Gomukh Kabela</t>
  </si>
  <si>
    <t>Gomukh karna</t>
  </si>
  <si>
    <t>Gomukh Babuchackla</t>
  </si>
  <si>
    <t>Gomukh Bakhadda</t>
  </si>
  <si>
    <t>Gomukh Birpur Nayagaun</t>
  </si>
  <si>
    <t>Gomukh Basahi</t>
  </si>
  <si>
    <t>MANO</t>
  </si>
  <si>
    <t>Barauni Bariyarpur</t>
  </si>
  <si>
    <t>Bihat - Chakballi</t>
  </si>
  <si>
    <t xml:space="preserve">Alauli </t>
  </si>
  <si>
    <t>Tiyar A2 Milk Producer Company Limited</t>
  </si>
  <si>
    <t>GOMUKH MANIYARPUR</t>
  </si>
  <si>
    <t>GOMUKH SANTOSHPUL</t>
  </si>
  <si>
    <t>GOMUKH DIGHRA W-6</t>
  </si>
  <si>
    <t>BELSANDI RAJO</t>
  </si>
  <si>
    <t xml:space="preserve">Jangli Tol Vlc </t>
  </si>
  <si>
    <t>Gomukh Karhatti</t>
  </si>
  <si>
    <t>Gomukh Pandeypur</t>
  </si>
  <si>
    <t>Mohanpur - Chandan</t>
  </si>
  <si>
    <t>Chautham</t>
  </si>
  <si>
    <t xml:space="preserve">DILKHUSH KUMAR </t>
  </si>
  <si>
    <t>GOMUKH BANDRA W-6</t>
  </si>
  <si>
    <t>KAMARGAMA</t>
  </si>
  <si>
    <t>Gomukh NAMAPUR East</t>
  </si>
  <si>
    <t>Rajkishore Yadav</t>
  </si>
  <si>
    <t>Gomukh Chautham(Mithun Kumar VLC)</t>
  </si>
  <si>
    <t>Mohanpur- Mukesh Kumar</t>
  </si>
  <si>
    <t>ORABAGICHA</t>
  </si>
  <si>
    <t>KHAJURIYA</t>
  </si>
  <si>
    <t>NAYA SALEMPUR</t>
  </si>
  <si>
    <t>GOMUKH MOHABA</t>
  </si>
  <si>
    <t>Gomukh Uttardahan</t>
  </si>
  <si>
    <t>GOMUKH PARAN 2</t>
  </si>
  <si>
    <t>GOMUKH KHARAGPUR</t>
  </si>
  <si>
    <t>GOMUKH BHIKHARI GHAT</t>
  </si>
  <si>
    <t>00000000</t>
  </si>
  <si>
    <t>10530070</t>
  </si>
  <si>
    <t>10530071</t>
  </si>
  <si>
    <t>10120108</t>
  </si>
  <si>
    <t>10530067</t>
  </si>
  <si>
    <t>10530074</t>
  </si>
  <si>
    <t>10140183</t>
  </si>
  <si>
    <t>10140182</t>
  </si>
  <si>
    <t>10140178</t>
  </si>
  <si>
    <t>10140179</t>
  </si>
  <si>
    <t>10140180</t>
  </si>
  <si>
    <t>10080098</t>
  </si>
  <si>
    <t>10140177</t>
  </si>
  <si>
    <t>10060109</t>
  </si>
  <si>
    <t>10060110</t>
  </si>
  <si>
    <t>10030072</t>
  </si>
  <si>
    <t>10030073</t>
  </si>
  <si>
    <t>10060111</t>
  </si>
  <si>
    <t>10110103</t>
  </si>
  <si>
    <t>10140153</t>
  </si>
  <si>
    <t>10130098</t>
  </si>
  <si>
    <t>10120107</t>
  </si>
  <si>
    <t>10130100</t>
  </si>
  <si>
    <t>10130102</t>
  </si>
  <si>
    <t>10530062</t>
  </si>
  <si>
    <t>10120098</t>
  </si>
  <si>
    <t>10130095</t>
  </si>
  <si>
    <t>10060106</t>
  </si>
  <si>
    <t>10130093</t>
  </si>
  <si>
    <t>10110151</t>
  </si>
  <si>
    <t>10140168</t>
  </si>
  <si>
    <t>10140169</t>
  </si>
  <si>
    <t>10140156</t>
  </si>
  <si>
    <t>10140120</t>
  </si>
  <si>
    <t>10140119</t>
  </si>
  <si>
    <t>10120105</t>
  </si>
  <si>
    <t>10080095</t>
  </si>
  <si>
    <t>10080096</t>
  </si>
  <si>
    <t>10140171</t>
  </si>
  <si>
    <t>10010108</t>
  </si>
  <si>
    <t>10140174</t>
  </si>
  <si>
    <t>10120104</t>
  </si>
  <si>
    <t>10130099</t>
  </si>
  <si>
    <t>10110109</t>
  </si>
  <si>
    <t>10110132</t>
  </si>
  <si>
    <t>10070070</t>
  </si>
  <si>
    <t>10070071</t>
  </si>
  <si>
    <t>10070072</t>
  </si>
  <si>
    <t>10140163</t>
  </si>
  <si>
    <t>10140164</t>
  </si>
  <si>
    <t>10070062</t>
  </si>
  <si>
    <t>10110129</t>
  </si>
  <si>
    <t>10110130</t>
  </si>
  <si>
    <t>10060103</t>
  </si>
  <si>
    <t>10110131</t>
  </si>
  <si>
    <t>10140165</t>
  </si>
  <si>
    <t>10480031</t>
  </si>
  <si>
    <t>10140166</t>
  </si>
  <si>
    <t>10010105</t>
  </si>
  <si>
    <t>10010102</t>
  </si>
  <si>
    <t>10120101</t>
  </si>
  <si>
    <t>10060098</t>
  </si>
  <si>
    <t>10060100</t>
  </si>
  <si>
    <t>10060093</t>
  </si>
  <si>
    <t>10110128</t>
  </si>
  <si>
    <t>10110112</t>
  </si>
  <si>
    <t>10110114</t>
  </si>
  <si>
    <t>10110115</t>
  </si>
  <si>
    <t>10110116</t>
  </si>
  <si>
    <t>10010095</t>
  </si>
  <si>
    <t>10060074</t>
  </si>
  <si>
    <t>10120089</t>
  </si>
  <si>
    <t>10060076</t>
  </si>
  <si>
    <t>10060077</t>
  </si>
  <si>
    <t>10120094</t>
  </si>
  <si>
    <t>10130091</t>
  </si>
  <si>
    <t>10070052</t>
  </si>
  <si>
    <t>10120095</t>
  </si>
  <si>
    <t>10130084</t>
  </si>
  <si>
    <t>10130085</t>
  </si>
  <si>
    <t>10140148</t>
  </si>
  <si>
    <t>10120090</t>
  </si>
  <si>
    <t>10130077</t>
  </si>
  <si>
    <t>10130079</t>
  </si>
  <si>
    <t>10080079</t>
  </si>
  <si>
    <t>10140146</t>
  </si>
  <si>
    <t>10140152</t>
  </si>
  <si>
    <t>10110097</t>
  </si>
  <si>
    <t>10060090</t>
  </si>
  <si>
    <t>10110101</t>
  </si>
  <si>
    <t>10080077</t>
  </si>
  <si>
    <t>10140135</t>
  </si>
  <si>
    <t>10140129</t>
  </si>
  <si>
    <t>10020069</t>
  </si>
  <si>
    <t>10060068</t>
  </si>
  <si>
    <t>10120003</t>
  </si>
  <si>
    <t>10140011</t>
  </si>
  <si>
    <t>10120046</t>
  </si>
  <si>
    <t>10120016</t>
  </si>
  <si>
    <t>10120019</t>
  </si>
  <si>
    <t>10140100</t>
  </si>
  <si>
    <t>10120071</t>
  </si>
  <si>
    <t>10120072</t>
  </si>
  <si>
    <t>10110078</t>
  </si>
  <si>
    <t>10110079</t>
  </si>
  <si>
    <t>10110074</t>
  </si>
  <si>
    <t>10010076</t>
  </si>
  <si>
    <t>10120029</t>
  </si>
  <si>
    <t>10130001</t>
  </si>
  <si>
    <t>10130022</t>
  </si>
  <si>
    <t>10130025</t>
  </si>
  <si>
    <t>10120030</t>
  </si>
  <si>
    <t>10130024</t>
  </si>
  <si>
    <t>10120082</t>
  </si>
  <si>
    <t>10120084</t>
  </si>
  <si>
    <t>10110004</t>
  </si>
  <si>
    <t>10110035</t>
  </si>
  <si>
    <t>10450001</t>
  </si>
  <si>
    <t>10020027</t>
  </si>
  <si>
    <t>10070008</t>
  </si>
  <si>
    <t>10140016</t>
  </si>
  <si>
    <t>10140097</t>
  </si>
  <si>
    <t>10120005</t>
  </si>
  <si>
    <t>10140034</t>
  </si>
  <si>
    <t>10030015</t>
  </si>
  <si>
    <t>10140107</t>
  </si>
  <si>
    <t>10140032</t>
  </si>
  <si>
    <t>10140033</t>
  </si>
  <si>
    <t>10060030</t>
  </si>
  <si>
    <t>10020041</t>
  </si>
  <si>
    <t>10020039</t>
  </si>
  <si>
    <t>10110030</t>
  </si>
  <si>
    <t>10110047</t>
  </si>
  <si>
    <t>10100004</t>
  </si>
  <si>
    <t>10130006</t>
  </si>
  <si>
    <t>10080019</t>
  </si>
  <si>
    <t>10080020</t>
  </si>
  <si>
    <t>10480001</t>
  </si>
  <si>
    <t>10060034</t>
  </si>
  <si>
    <t>10060036</t>
  </si>
  <si>
    <t>10080023</t>
  </si>
  <si>
    <t>10030031</t>
  </si>
  <si>
    <t>10080025</t>
  </si>
  <si>
    <t>10010017</t>
  </si>
  <si>
    <t>10010008</t>
  </si>
  <si>
    <t>10080027</t>
  </si>
  <si>
    <t>10010013</t>
  </si>
  <si>
    <t>10010014</t>
  </si>
  <si>
    <t>10010015</t>
  </si>
  <si>
    <t>10100007</t>
  </si>
  <si>
    <t>10100008</t>
  </si>
  <si>
    <t>10100009</t>
  </si>
  <si>
    <t>10110032</t>
  </si>
  <si>
    <t>10110033</t>
  </si>
  <si>
    <t>10010016</t>
  </si>
  <si>
    <t>10100013</t>
  </si>
  <si>
    <t>10100014</t>
  </si>
  <si>
    <t>10100015</t>
  </si>
  <si>
    <t>10140055</t>
  </si>
  <si>
    <t>10130026</t>
  </si>
  <si>
    <t>10010021</t>
  </si>
  <si>
    <t>10010019</t>
  </si>
  <si>
    <t>10100024</t>
  </si>
  <si>
    <t>10060031</t>
  </si>
  <si>
    <t>10100021</t>
  </si>
  <si>
    <t>10070013</t>
  </si>
  <si>
    <t>10100001</t>
  </si>
  <si>
    <t>10140054</t>
  </si>
  <si>
    <t>10130032</t>
  </si>
  <si>
    <t>10140053</t>
  </si>
  <si>
    <t>10140047</t>
  </si>
  <si>
    <t>10140036</t>
  </si>
  <si>
    <t>10100017</t>
  </si>
  <si>
    <t>10120034</t>
  </si>
  <si>
    <t>10070016</t>
  </si>
  <si>
    <t>10070015</t>
  </si>
  <si>
    <t>10060033</t>
  </si>
  <si>
    <t>10010031</t>
  </si>
  <si>
    <t>10110048</t>
  </si>
  <si>
    <t>10080032</t>
  </si>
  <si>
    <t>10100037</t>
  </si>
  <si>
    <t>10140057</t>
  </si>
  <si>
    <t>10060053</t>
  </si>
  <si>
    <t>10080053</t>
  </si>
  <si>
    <t>10080052</t>
  </si>
  <si>
    <t>10070042</t>
  </si>
  <si>
    <t>10480013</t>
  </si>
  <si>
    <t>10140083</t>
  </si>
  <si>
    <t>10140041</t>
  </si>
  <si>
    <t>10140095</t>
  </si>
  <si>
    <t>10140094</t>
  </si>
  <si>
    <t>10140048</t>
  </si>
  <si>
    <t>10080061</t>
  </si>
  <si>
    <t>10030016</t>
  </si>
  <si>
    <t>10080016</t>
  </si>
  <si>
    <t>10140078</t>
  </si>
  <si>
    <t>10100035</t>
  </si>
  <si>
    <t>10080065</t>
  </si>
  <si>
    <t>10080062</t>
  </si>
  <si>
    <t>10100036</t>
  </si>
  <si>
    <t>10080063</t>
  </si>
  <si>
    <t>10080064</t>
  </si>
  <si>
    <t>10080051</t>
  </si>
  <si>
    <t>10110085</t>
  </si>
  <si>
    <t>10080071</t>
  </si>
  <si>
    <t>10110083</t>
  </si>
  <si>
    <t>10080048</t>
  </si>
  <si>
    <t>10110053</t>
  </si>
  <si>
    <t>10130052</t>
  </si>
  <si>
    <t>10130054</t>
  </si>
  <si>
    <t>10130051</t>
  </si>
  <si>
    <t>10080084</t>
  </si>
  <si>
    <t>10130055</t>
  </si>
  <si>
    <t>10140079</t>
  </si>
  <si>
    <t>10080057</t>
  </si>
  <si>
    <t>10080067</t>
  </si>
  <si>
    <t>10110059</t>
  </si>
  <si>
    <t>10010071</t>
  </si>
  <si>
    <t>10110062</t>
  </si>
  <si>
    <t>10110063</t>
  </si>
  <si>
    <t>10110066</t>
  </si>
  <si>
    <t>10110065</t>
  </si>
  <si>
    <t>10110067</t>
  </si>
  <si>
    <t>10110056</t>
  </si>
  <si>
    <t>10110057</t>
  </si>
  <si>
    <t>10080066</t>
  </si>
  <si>
    <t>10100033</t>
  </si>
  <si>
    <t>10120042</t>
  </si>
  <si>
    <t>10120043</t>
  </si>
  <si>
    <t>10120044</t>
  </si>
  <si>
    <t>10120045</t>
  </si>
  <si>
    <t>10010038</t>
  </si>
  <si>
    <t>10060057</t>
  </si>
  <si>
    <t>10130046</t>
  </si>
  <si>
    <t>10120051</t>
  </si>
  <si>
    <t>10120052</t>
  </si>
  <si>
    <t>10120053</t>
  </si>
  <si>
    <t>10120054</t>
  </si>
  <si>
    <t>10030050</t>
  </si>
  <si>
    <t>10030051</t>
  </si>
  <si>
    <t>10030055</t>
  </si>
  <si>
    <t>10030056</t>
  </si>
  <si>
    <t>10010055</t>
  </si>
  <si>
    <t>10010059</t>
  </si>
  <si>
    <t>10010058</t>
  </si>
  <si>
    <t>10080055</t>
  </si>
  <si>
    <t>10110051</t>
  </si>
  <si>
    <t>10010040</t>
  </si>
  <si>
    <t>10080034</t>
  </si>
  <si>
    <t>10140139</t>
  </si>
  <si>
    <t>10110011</t>
  </si>
  <si>
    <t>10140066</t>
  </si>
  <si>
    <t>10120065</t>
  </si>
  <si>
    <t>10140081</t>
  </si>
  <si>
    <t>10140067</t>
  </si>
  <si>
    <t>10140069</t>
  </si>
  <si>
    <t>10130047</t>
  </si>
  <si>
    <t>10010051</t>
  </si>
  <si>
    <t>10070033</t>
  </si>
  <si>
    <t>10070034</t>
  </si>
  <si>
    <t>10100034</t>
  </si>
  <si>
    <t>10110052</t>
  </si>
  <si>
    <t>10110044</t>
  </si>
  <si>
    <t>10060114</t>
  </si>
  <si>
    <t>10090066</t>
  </si>
  <si>
    <t>10090067</t>
  </si>
  <si>
    <t>10100050</t>
  </si>
  <si>
    <t>10010050</t>
  </si>
  <si>
    <t>GOMUKH MANIKA EAST</t>
  </si>
  <si>
    <t>GOMUKH BALAHA W-9</t>
  </si>
  <si>
    <t>PACHRUKHI</t>
  </si>
  <si>
    <t>HARLACHAK</t>
  </si>
  <si>
    <t>KHIRDIH</t>
  </si>
  <si>
    <t>Sangrampur</t>
  </si>
  <si>
    <t>Gomukh Pipara</t>
  </si>
  <si>
    <t>MANO 2</t>
  </si>
  <si>
    <t>KRAUTA</t>
  </si>
  <si>
    <t>KHEVSAR2</t>
  </si>
  <si>
    <t>Ekamba</t>
  </si>
  <si>
    <t>SD Payment Status</t>
  </si>
  <si>
    <t>No Payment</t>
  </si>
  <si>
    <t>Partial Payment</t>
  </si>
  <si>
    <t>&gt;10K</t>
  </si>
  <si>
    <t>&lt;16K</t>
  </si>
  <si>
    <t>Due</t>
  </si>
  <si>
    <t>Gomukh Sawantpur</t>
  </si>
  <si>
    <t>Sibutol- Naya Tola</t>
  </si>
  <si>
    <t>GOMUKH CHOWKI 2</t>
  </si>
  <si>
    <t>NANDAN</t>
  </si>
  <si>
    <t>CHANDANPURA</t>
  </si>
  <si>
    <t>SANHA VLC</t>
  </si>
  <si>
    <t>MOHANPUR VLC</t>
  </si>
  <si>
    <t>GOMUKH PARRI</t>
  </si>
  <si>
    <t>BHADAS VLC</t>
  </si>
  <si>
    <t>Matihani</t>
  </si>
  <si>
    <t>Maida- Ram Kumar</t>
  </si>
  <si>
    <t>Gomukh Aure Bikrampur</t>
  </si>
  <si>
    <t>Manjhaul- Gulshan Kumar</t>
  </si>
  <si>
    <t>BANSIPUR</t>
  </si>
  <si>
    <t>GODIH</t>
  </si>
  <si>
    <t>SINGARPUR</t>
  </si>
  <si>
    <t>KATAHRA</t>
  </si>
  <si>
    <t>Gomukh Gogri VLC</t>
  </si>
  <si>
    <t>Hiratol VLC</t>
  </si>
  <si>
    <t>Gomukh Jagdishpur</t>
  </si>
  <si>
    <t>Gomukh Abhirampur VLC</t>
  </si>
  <si>
    <t>GOMUKH Madanpur W-3</t>
  </si>
  <si>
    <t>GOMUKH BENHER</t>
  </si>
  <si>
    <t>GOMUKH LADORA</t>
  </si>
  <si>
    <t>GOMUKH SAHSI</t>
  </si>
  <si>
    <t>GOMUKH BUDWA</t>
  </si>
  <si>
    <t>GOMUKH GANGIYA</t>
  </si>
  <si>
    <t>Gomukh Pansalwa</t>
  </si>
  <si>
    <t>Total SD</t>
  </si>
  <si>
    <t/>
  </si>
  <si>
    <t>Pending Down Payment</t>
  </si>
  <si>
    <t xml:space="preserve"> Other</t>
  </si>
  <si>
    <t xml:space="preserve"> Payble to Sahyak</t>
  </si>
  <si>
    <t xml:space="preserve"> Hold</t>
  </si>
  <si>
    <t xml:space="preserve">AMC from MPG @ 0.10/- </t>
  </si>
  <si>
    <t>Khaira Manjhaul</t>
  </si>
  <si>
    <t>Mehda Shahpur</t>
  </si>
  <si>
    <t>GOMUKH Kisanpur Tabhka</t>
  </si>
  <si>
    <t>Gomukh Navdera Jaipraksh</t>
  </si>
  <si>
    <t>Gomukh Sondiha Jay Prakash VLC</t>
  </si>
  <si>
    <t>Suddh Dairy</t>
  </si>
  <si>
    <t>Jitwariya W-11</t>
  </si>
  <si>
    <t>GOMUKH DADHIYA-2</t>
  </si>
  <si>
    <t>GOMUKH PREMNAGAR</t>
  </si>
  <si>
    <t>Gomukh Nawada</t>
  </si>
  <si>
    <t>Gomukh Yadav Tol Kanauli</t>
  </si>
  <si>
    <t>Gomukh Hardia</t>
  </si>
  <si>
    <t>EMI Deduction</t>
  </si>
  <si>
    <t>ADARSH PULPAR</t>
  </si>
  <si>
    <t>Jangle Jhakra</t>
  </si>
  <si>
    <t>LOSDHANI</t>
  </si>
  <si>
    <t>Rudauli</t>
  </si>
  <si>
    <t>GOMUKH Kalaunjar</t>
  </si>
  <si>
    <t>Pastara Lakshman</t>
  </si>
  <si>
    <t>Gomukh Chikni</t>
  </si>
  <si>
    <t>GOMUKH MAHGAMA</t>
  </si>
  <si>
    <t>GOMUKH BAGALWA</t>
  </si>
  <si>
    <t>Balahpur-Anil Yadav</t>
  </si>
  <si>
    <t>G WOLIPUR</t>
  </si>
  <si>
    <t>REHUA 3</t>
  </si>
  <si>
    <t>KARHARIA V</t>
  </si>
  <si>
    <t>Gomukh ID Lalpur</t>
  </si>
  <si>
    <t>BHATGAMA W-5</t>
  </si>
  <si>
    <t>Warisnagar</t>
  </si>
  <si>
    <t>Karian</t>
  </si>
  <si>
    <t>Teghara</t>
  </si>
  <si>
    <t>Chakoti</t>
  </si>
  <si>
    <t>Nathudawar</t>
  </si>
  <si>
    <t>Purnahi</t>
  </si>
  <si>
    <t xml:space="preserve">Gomukh Raghunathpur 2 </t>
  </si>
  <si>
    <t>KISHANPUR</t>
  </si>
  <si>
    <t>GOMUKH SUSTA</t>
  </si>
  <si>
    <t>Basantpur</t>
  </si>
  <si>
    <t>Sum of BMC Volume</t>
  </si>
  <si>
    <t>Sum of BMC Amount</t>
  </si>
  <si>
    <t>Birpur-2 - Pankaj</t>
  </si>
  <si>
    <t>WAKIL YADAV VLC</t>
  </si>
  <si>
    <t>GOMUKH BHITAKITA</t>
  </si>
  <si>
    <t>GOMUKH PATHAKTOL</t>
  </si>
  <si>
    <t>Bagdobh</t>
  </si>
  <si>
    <t xml:space="preserve">Baghopur </t>
  </si>
  <si>
    <t>Sadipur Bathnaha</t>
  </si>
  <si>
    <t>Samsa</t>
  </si>
  <si>
    <t>Dahiya</t>
  </si>
  <si>
    <t>Gomukh Musapur West</t>
  </si>
  <si>
    <t>GOMUKH SHIVNAGAR</t>
  </si>
  <si>
    <t>GOMUKH BAKHITIYARPUR</t>
  </si>
  <si>
    <t>GOMUKH JWALAPUR</t>
  </si>
  <si>
    <t>Mahuli</t>
  </si>
  <si>
    <t>CHOTAHA</t>
  </si>
  <si>
    <t>GOMUKH TOKE</t>
  </si>
  <si>
    <t>Gomukh ID Akashpur-2</t>
  </si>
  <si>
    <t>BIO Gas</t>
  </si>
  <si>
    <t>KANHAIYA YADAV</t>
  </si>
  <si>
    <t>KHANPUR SOBHA</t>
  </si>
  <si>
    <t>Gomukh Patel Nagar</t>
  </si>
  <si>
    <t>Patiya</t>
  </si>
  <si>
    <t>GOMUKH RAHATPUR</t>
  </si>
  <si>
    <t>Gomukh Srirampur Thuthi</t>
  </si>
  <si>
    <t>Gomukh Telihar</t>
  </si>
  <si>
    <t>Gomukh Pansalba Ward No 05</t>
  </si>
  <si>
    <t>Gohi</t>
  </si>
  <si>
    <t>Matua</t>
  </si>
  <si>
    <t>Ratni Chouk</t>
  </si>
  <si>
    <t>Balahi 2</t>
  </si>
  <si>
    <t>Chandauli</t>
  </si>
  <si>
    <t>Gulabi Choak</t>
  </si>
  <si>
    <t>Sakhwa Ghat</t>
  </si>
  <si>
    <t>MANOHARPUR</t>
  </si>
  <si>
    <t>BALADEV ITAHARI</t>
  </si>
  <si>
    <t xml:space="preserve">Gomukh Malpa Uttari                                                                                 </t>
  </si>
  <si>
    <t>GOMUKH JANGLITOL</t>
  </si>
  <si>
    <t>GOMUKH BARBIGHI</t>
  </si>
  <si>
    <t>Barkhanditol</t>
  </si>
  <si>
    <t>Gomukh Mohanpur  VLC</t>
  </si>
  <si>
    <t>Satmalpur</t>
  </si>
  <si>
    <t>Chhatnesar</t>
  </si>
  <si>
    <t>BICHWAY</t>
  </si>
  <si>
    <t>GOMUKH KODAND</t>
  </si>
  <si>
    <t>PAHALANPUR</t>
  </si>
  <si>
    <t>TETARIYA</t>
  </si>
  <si>
    <t>GOMUKH BIBHUTIPUR</t>
  </si>
  <si>
    <t>GOMUKH JITWARIYA W-6</t>
  </si>
  <si>
    <t>Deduction</t>
  </si>
  <si>
    <t>DORAI</t>
  </si>
  <si>
    <t>SINGHOL</t>
  </si>
  <si>
    <t>Gaura</t>
  </si>
  <si>
    <t>Gomukh Kumar Chakki</t>
  </si>
  <si>
    <t>Dandari-2</t>
  </si>
  <si>
    <t>Gomukh MANIYAR EAST</t>
  </si>
  <si>
    <t>GOMUKH DADHIYA RAMKRISHANPUR</t>
  </si>
  <si>
    <t>Jitwarpur-Manisha</t>
  </si>
  <si>
    <t>Gomukh Gangapur East</t>
  </si>
  <si>
    <t>RAJAPUR</t>
  </si>
  <si>
    <t>Gomukh Bariyarpur</t>
  </si>
  <si>
    <t>GOMUKH BHARJA</t>
  </si>
  <si>
    <t>GOMUKH NAWABGANJ</t>
  </si>
  <si>
    <t>GOMUKH AMBA ICHARUA</t>
  </si>
  <si>
    <t>GOMUKH MATHURAPUR</t>
  </si>
  <si>
    <t>Gomukh Ashatol Paharpur</t>
  </si>
  <si>
    <t>Gomukh Kharawa</t>
  </si>
  <si>
    <t>Dewanpur</t>
  </si>
  <si>
    <t>Kasiya</t>
  </si>
  <si>
    <t>Belshandi</t>
  </si>
  <si>
    <t>Shri Bhairav Laxmipur</t>
  </si>
  <si>
    <t>Bihat - Sonu Kumar</t>
  </si>
  <si>
    <t>Gomukh Dumariya Bujurg Madhay</t>
  </si>
  <si>
    <t>Gomukh Buddhnagar</t>
  </si>
  <si>
    <t>Chauki-VLC</t>
  </si>
  <si>
    <t>Gomukh Patepur</t>
  </si>
  <si>
    <t>Gomukh Basawkala Sudhir Kumar</t>
  </si>
  <si>
    <t>Gaya Jee Pathak</t>
  </si>
  <si>
    <t>RAJAURA VLC</t>
  </si>
  <si>
    <t>Gomukh Malpa Dhutauli VLC</t>
  </si>
  <si>
    <t>Nipania-VLC</t>
  </si>
  <si>
    <t>BOUDHNAGAR</t>
  </si>
  <si>
    <t>VLC Dhushmuri Bishanpur</t>
  </si>
  <si>
    <t>VLC Govindpur</t>
  </si>
  <si>
    <t>Chhatnesar 2</t>
  </si>
  <si>
    <t>Hajpurwa</t>
  </si>
  <si>
    <t>Shekhopur</t>
  </si>
  <si>
    <t>Dharampur</t>
  </si>
  <si>
    <t>Chatnesar Pachiam</t>
  </si>
  <si>
    <t>Belshandi-2</t>
  </si>
  <si>
    <t>Tofir</t>
  </si>
  <si>
    <t>GOMUKH GANGA SAHYOG</t>
  </si>
  <si>
    <t>Gomukh Saraiya</t>
  </si>
  <si>
    <t>Pachveer</t>
  </si>
  <si>
    <t>GOMUKH Laguniya</t>
  </si>
  <si>
    <t>Gomukh Daunpura Manendra</t>
  </si>
  <si>
    <t>Gomukh Namapur East (08)</t>
  </si>
  <si>
    <t>GOMUKH OJONTOLA</t>
  </si>
  <si>
    <t>KHUDDIBAN SHIVNAGAR</t>
  </si>
  <si>
    <t>Gangaprasad - Prashant</t>
  </si>
  <si>
    <t>MANJOS</t>
  </si>
  <si>
    <t>MOHADDINGAR</t>
  </si>
  <si>
    <t>Gomukh Simri Ward 4</t>
  </si>
  <si>
    <t>Gumukh Orap Khurd</t>
  </si>
  <si>
    <t>Gumukh Mathiyapur</t>
  </si>
  <si>
    <t>Gomukh Raghunathpur Dasrath</t>
  </si>
  <si>
    <t>Gomukh Debka Vlc</t>
  </si>
  <si>
    <t>Almasnagar</t>
  </si>
  <si>
    <t>Kadarchak</t>
  </si>
  <si>
    <t>Old</t>
  </si>
  <si>
    <t>New</t>
  </si>
  <si>
    <t>RAMBRAN YADAV</t>
  </si>
  <si>
    <t>Mukhtiyarpur</t>
  </si>
  <si>
    <t>PACHAUTA</t>
  </si>
  <si>
    <t>GOMUKH MAHINDWARA</t>
  </si>
  <si>
    <t xml:space="preserve">Gomukh Mathuradera Upendra </t>
  </si>
  <si>
    <t>Gomukh Pachgachhia Vlc</t>
  </si>
  <si>
    <t>Anik Kumar</t>
  </si>
  <si>
    <t>SUNIL KUMAR VLC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</si>
  <si>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</si>
  <si>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</si>
  <si>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</si>
  <si>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</si>
  <si>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</si>
  <si>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</si>
  <si>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</si>
  <si>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 xml:space="preserve">Gomukh Paharpur Jilebya </t>
  </si>
  <si>
    <t>Gomukh Azad Nagar</t>
  </si>
  <si>
    <t>MISHRBIGHA</t>
  </si>
  <si>
    <t>DIGHOI</t>
  </si>
  <si>
    <t>PRATAPUR</t>
  </si>
  <si>
    <t>Hasanpur</t>
  </si>
  <si>
    <t>GOMUKH MORKAHI</t>
  </si>
  <si>
    <t>Goapalpur</t>
  </si>
  <si>
    <t>Gopalpur Bmc</t>
  </si>
  <si>
    <t>Gomukh Pakrail Shirnia VLC</t>
  </si>
  <si>
    <t>Gomukh Bari Chak Gogri</t>
  </si>
  <si>
    <t>Gomukh Khatha</t>
  </si>
  <si>
    <t>Gomukh Lakshman Dera Raja</t>
  </si>
  <si>
    <t>GOMUKH CHAKKI</t>
  </si>
  <si>
    <t>GOMUKH KOTHIYA</t>
  </si>
  <si>
    <t>Godah</t>
  </si>
  <si>
    <t>Ballahpur</t>
  </si>
  <si>
    <t>Birpur</t>
  </si>
  <si>
    <t>Ahilwar</t>
  </si>
  <si>
    <t>GOPALPUR</t>
  </si>
  <si>
    <t>Parbatta</t>
  </si>
  <si>
    <t>Gomukh Badi Lagar-1 Kiran</t>
  </si>
  <si>
    <t>Gomukh Khutha VLC</t>
  </si>
  <si>
    <t>GOMUKH BHASINGPUR</t>
  </si>
  <si>
    <t>Gomukh Balaur</t>
  </si>
  <si>
    <t>Paridah</t>
  </si>
  <si>
    <t>TIYAY</t>
  </si>
  <si>
    <t xml:space="preserve">Gomukh Kalyanpur                                                                                    </t>
  </si>
  <si>
    <t>GOMUKH MISHRAULIA</t>
  </si>
  <si>
    <t>GOMUKH CHAKIRDI</t>
  </si>
  <si>
    <t>BELSANDI DIH</t>
  </si>
  <si>
    <t>Gomukh Hathwan - 2</t>
  </si>
  <si>
    <t>Hajpurwa Pachim</t>
  </si>
  <si>
    <t>Gomukh Karisath</t>
  </si>
  <si>
    <t>Gomukh Ama</t>
  </si>
  <si>
    <t>Gomukh Pawat</t>
  </si>
  <si>
    <t>Gomukh Charghat</t>
  </si>
  <si>
    <t>Gomukh Ramdihra</t>
  </si>
  <si>
    <t>Gomukh Bara</t>
  </si>
  <si>
    <t>GOMUKH CHEHRAKALA</t>
  </si>
  <si>
    <t>GOMUKH PREMRAJ</t>
  </si>
  <si>
    <t>GOMUKH MAGURAHI</t>
  </si>
  <si>
    <t>GOMUKH GANGATI</t>
  </si>
  <si>
    <t>GOMUKH Bhagwatpur</t>
  </si>
  <si>
    <t>MASUDAN</t>
  </si>
  <si>
    <t>Gomukh Kabela Vlc</t>
  </si>
  <si>
    <t>Sohan Narayan Farmer Dairy Producer Company Ltd</t>
  </si>
  <si>
    <t>GOMUKH Gopalpur Ward 1</t>
  </si>
  <si>
    <t>Gomukh Purani Hrdia</t>
  </si>
  <si>
    <t>Gomukh Barja</t>
  </si>
  <si>
    <t>Gomukh Rudauli-02</t>
  </si>
  <si>
    <t>Hardia</t>
  </si>
  <si>
    <t>Mithilanchal Dairy Products</t>
  </si>
  <si>
    <t>GOMUKH Bhagwatpur East</t>
  </si>
  <si>
    <t>VLC Sunil Khas</t>
  </si>
  <si>
    <t>Gomukh Nawadai Vlc</t>
  </si>
  <si>
    <t>Buzurgdoar</t>
  </si>
  <si>
    <t>Patpara</t>
  </si>
  <si>
    <t>KOLAWARI</t>
  </si>
  <si>
    <t>MALDAH</t>
  </si>
  <si>
    <t>GOMUKH Khanpatti</t>
  </si>
  <si>
    <t>BARIYARPUR</t>
  </si>
  <si>
    <t>Gomukh Puranatol Raichiahi</t>
  </si>
  <si>
    <t>Gomukh Mirjapur Bari</t>
  </si>
  <si>
    <t>Mathar-3</t>
  </si>
  <si>
    <t>Ahoghat</t>
  </si>
  <si>
    <t>Gomukh Rupauli Buzurg</t>
  </si>
  <si>
    <t>Gomukh Namapur East</t>
  </si>
  <si>
    <t>GOMUKH SAKARI</t>
  </si>
  <si>
    <t>Madhuvan</t>
  </si>
  <si>
    <t>Erout</t>
  </si>
  <si>
    <t>Mahespur</t>
  </si>
  <si>
    <t>Raj Nagar</t>
  </si>
  <si>
    <t>Nauapokhar</t>
  </si>
  <si>
    <t>Erout 2</t>
  </si>
  <si>
    <t>Parsuram</t>
  </si>
  <si>
    <t>Gudarghat</t>
  </si>
  <si>
    <t>Less</t>
  </si>
  <si>
    <t>30-31 Vol</t>
  </si>
  <si>
    <t>27-28 Vol</t>
  </si>
  <si>
    <t>Add</t>
  </si>
  <si>
    <t>ABGIL RAMPUR</t>
  </si>
  <si>
    <t>GOMUKH LARYATAL</t>
  </si>
  <si>
    <t>Bihat-Gududaspur</t>
  </si>
  <si>
    <t>Mathar-4</t>
  </si>
  <si>
    <t>GOMUKH BALTHARA</t>
  </si>
  <si>
    <t>GOMUKH Chakhale Dad</t>
  </si>
  <si>
    <t>Gumukh Niyajipur Nakchhedi Pathak Dera</t>
  </si>
  <si>
    <t>Release3</t>
  </si>
  <si>
    <t>Gomukh Matihani</t>
  </si>
  <si>
    <t>Jalalpur</t>
  </si>
  <si>
    <t>NARMDA</t>
  </si>
  <si>
    <t>AMRATH</t>
  </si>
  <si>
    <t>PUTERIA</t>
  </si>
  <si>
    <t>LAKHAPUR</t>
  </si>
  <si>
    <t>RUPESH KUMAR</t>
  </si>
  <si>
    <t>Gumukh Basawkala Dahpura Tola</t>
  </si>
  <si>
    <t>GOMUKH Keotsa</t>
  </si>
  <si>
    <t>GOMUKH Waini</t>
  </si>
  <si>
    <t>GOMUKH DHOBGAMA</t>
  </si>
  <si>
    <t>Gomukh Pachout</t>
  </si>
  <si>
    <t>Gomukh Murli</t>
  </si>
  <si>
    <t>Kamopur</t>
  </si>
  <si>
    <t>Murli</t>
  </si>
  <si>
    <t>Singhia BMC</t>
  </si>
  <si>
    <t xml:space="preserve">DUMRA </t>
  </si>
  <si>
    <t>BALHA</t>
  </si>
  <si>
    <t>BHARIHAR</t>
  </si>
  <si>
    <t>BARA</t>
  </si>
  <si>
    <t>KABILASHI</t>
  </si>
  <si>
    <t>SULTANPUR</t>
  </si>
  <si>
    <t xml:space="preserve">Manish Kumar                                                                                        </t>
  </si>
  <si>
    <t>Gomukh Bhorkanth Purbi</t>
  </si>
  <si>
    <t>Mahua BMC</t>
  </si>
  <si>
    <t>Gomukh Karhatiya Bujurg</t>
  </si>
  <si>
    <t>Gomukh Uttari Hardia</t>
  </si>
  <si>
    <t>Gomukh Nirpur Keshv Nagar</t>
  </si>
  <si>
    <t>Dagrua</t>
  </si>
  <si>
    <t>Kussaiya</t>
  </si>
  <si>
    <t>Gumukh Khajuriya</t>
  </si>
  <si>
    <t>Gomukh Chhotaki Hardiya</t>
  </si>
  <si>
    <t>GOMUKH BHATOLIYA</t>
  </si>
  <si>
    <t>GOMUKH KHAJECHAND</t>
  </si>
  <si>
    <t>GOMUKH SALEMPUR</t>
  </si>
  <si>
    <t>GOMUKH JIRWARA</t>
  </si>
  <si>
    <t>GOMUKH Karhatiya</t>
  </si>
  <si>
    <t>GOMUKH Bheraukhara</t>
  </si>
  <si>
    <t>GOMUKH SUPOLTARIYA</t>
  </si>
  <si>
    <t>GOMUKH Jilwara</t>
  </si>
  <si>
    <t>GOMUKH ABBUCHAK</t>
  </si>
  <si>
    <t>Gomukh Dumari</t>
  </si>
  <si>
    <t>Madhuban 2</t>
  </si>
  <si>
    <t>Yadav Jee</t>
  </si>
  <si>
    <t xml:space="preserve">Durgaashtan </t>
  </si>
  <si>
    <t>Bachhwara BMC</t>
  </si>
  <si>
    <t>Gomukh Vijaiya</t>
  </si>
  <si>
    <t>Gomukh Gangauli</t>
  </si>
  <si>
    <t>MANDA</t>
  </si>
  <si>
    <t>Phulmalik</t>
  </si>
  <si>
    <t xml:space="preserve">Gomukh Hathwan </t>
  </si>
  <si>
    <t>Saidpur</t>
  </si>
  <si>
    <t>Kanu Bisanpur</t>
  </si>
  <si>
    <t>GOMUKH Shravanapatti</t>
  </si>
  <si>
    <t>GOMUKH KHANPATTI EAST</t>
  </si>
  <si>
    <t>GOMUKH KAILA JALALPUR</t>
  </si>
  <si>
    <t>Maheshwara</t>
  </si>
  <si>
    <t>SISAUNA VLC</t>
  </si>
  <si>
    <t xml:space="preserve">Aditya Bishwas </t>
  </si>
  <si>
    <t>Gomukh Rajakpur</t>
  </si>
  <si>
    <t>Gomukh Chakka</t>
  </si>
  <si>
    <t>Gamharia</t>
  </si>
  <si>
    <t>Gomukh Meghaul-02</t>
  </si>
  <si>
    <t>Gomukh Meida</t>
  </si>
  <si>
    <t>Labharchak-2</t>
  </si>
  <si>
    <t>BILLO 2</t>
  </si>
  <si>
    <t>Gomukh Lagar Wad-13 Vlc</t>
  </si>
  <si>
    <t>Gomukh Manish Vlc</t>
  </si>
  <si>
    <t>Farid Nagar</t>
  </si>
  <si>
    <t>Sadpur-2</t>
  </si>
  <si>
    <t>IMADPUR</t>
  </si>
  <si>
    <t>Gomukh Malipur</t>
  </si>
  <si>
    <t>GOMUKH BHUSKOUL</t>
  </si>
  <si>
    <t>GOMUKH BIRSINGHPUR</t>
  </si>
  <si>
    <t>Gomukh Rahul VLC</t>
  </si>
  <si>
    <t>Gomukh Sachin VLC</t>
  </si>
  <si>
    <t>Gomukh Thuthi Vlc</t>
  </si>
  <si>
    <t>Gomukh Bangalia</t>
  </si>
  <si>
    <t>Gomukh Soharba Purvi</t>
  </si>
  <si>
    <t>Raini 2</t>
  </si>
  <si>
    <t>Hasauli</t>
  </si>
  <si>
    <t>Kusiya 2</t>
  </si>
  <si>
    <t>Pansalla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</si>
  <si>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</si>
  <si>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</si>
  <si>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</si>
  <si>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</si>
  <si>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</si>
  <si>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</si>
  <si>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BAGWANA</t>
  </si>
  <si>
    <t>REWATA</t>
  </si>
  <si>
    <t>Gomukh Jhitkahi East</t>
  </si>
  <si>
    <t>GOMUKH UPHRAUL</t>
  </si>
  <si>
    <t>GOMUKH SHERPUR</t>
  </si>
  <si>
    <t>GOMUKH PANSALA</t>
  </si>
  <si>
    <t>GOMUKH PACHAI</t>
  </si>
  <si>
    <t>GOMUKH GARAHI</t>
  </si>
  <si>
    <t>GOMUKH BAIKUNTHPUR</t>
  </si>
  <si>
    <t>GOMUKH BAHASHI</t>
  </si>
  <si>
    <t>GOMUKH BAKHRI</t>
  </si>
  <si>
    <t>Karua</t>
  </si>
  <si>
    <t>SUKUMARPUR</t>
  </si>
  <si>
    <t>Gomukh KARRAKH</t>
  </si>
  <si>
    <t>Nos.Of farmer</t>
  </si>
  <si>
    <t>Release4</t>
  </si>
  <si>
    <t>GOMUKH LOKDHANI</t>
  </si>
  <si>
    <t>Gomukh Kharra Basa</t>
  </si>
  <si>
    <t>Rahua</t>
  </si>
  <si>
    <t>GOMUKH BABA CHAUK</t>
  </si>
  <si>
    <t>GOMUKH KHARIKA</t>
  </si>
  <si>
    <t>GOMUKH KALYANPUR</t>
  </si>
  <si>
    <t>Siripur Gohar</t>
  </si>
  <si>
    <t>Sedukha</t>
  </si>
  <si>
    <t>Fateha</t>
  </si>
  <si>
    <t>loss/gain</t>
  </si>
  <si>
    <t>Gomukh Paguraha</t>
  </si>
  <si>
    <t>GOMUKH BOHLA</t>
  </si>
  <si>
    <t xml:space="preserve">Gomukh Arion Govind </t>
  </si>
  <si>
    <t>Nand Kishor Kumar</t>
  </si>
  <si>
    <t>GOMUKH DHROOVGAMA W-12</t>
  </si>
  <si>
    <t>Chak</t>
  </si>
  <si>
    <t>Babupur</t>
  </si>
  <si>
    <t>Rahua 2</t>
  </si>
  <si>
    <t>Madhopur</t>
  </si>
  <si>
    <t>GOMUKH DAND</t>
  </si>
  <si>
    <t>Durgaashtan 2</t>
  </si>
  <si>
    <t>DIHA</t>
  </si>
  <si>
    <t>HAWASPUR</t>
  </si>
  <si>
    <t>Gomukh Madhabpur Purbi Vlc</t>
  </si>
  <si>
    <t>GOMUKH GHOSRAWAN</t>
  </si>
  <si>
    <t>GOMUKH HARPUR RAJESH</t>
  </si>
  <si>
    <t>GOMUKH SANICHAR HATT</t>
  </si>
  <si>
    <t>Gomukh Manda</t>
  </si>
  <si>
    <t>Gomukh VISHNUPATTI</t>
  </si>
  <si>
    <t>GOMUKH Karhatiya Bujurg</t>
  </si>
  <si>
    <t>GOMUKH SAHARIYA</t>
  </si>
  <si>
    <t>Row Labels</t>
  </si>
  <si>
    <t>Sum of EMI Recovery</t>
  </si>
  <si>
    <t>01-07 May</t>
  </si>
  <si>
    <t>lean Incentive 26-27</t>
  </si>
  <si>
    <t>Cycle</t>
  </si>
  <si>
    <t>Hold Commission Due to No pouring/downpayment/agreement</t>
  </si>
  <si>
    <t>New Assets EMI deduction</t>
  </si>
  <si>
    <t>PCB Deduction</t>
  </si>
  <si>
    <t>Other deduction</t>
  </si>
  <si>
    <t>Consumables deducion</t>
  </si>
  <si>
    <t>Indent</t>
  </si>
  <si>
    <t>BANOULI</t>
  </si>
  <si>
    <t>DARIYAPUR R</t>
  </si>
  <si>
    <t>MUZAFFARGANJ</t>
  </si>
  <si>
    <t>SARHA</t>
  </si>
  <si>
    <t>KUSUMBHA</t>
  </si>
  <si>
    <t>NAWADIH 2</t>
  </si>
  <si>
    <t>GOMUKH BATHUA W-9</t>
  </si>
  <si>
    <t>Ekdara</t>
  </si>
  <si>
    <t>Laxmipur-VLC</t>
  </si>
  <si>
    <t>BHUSNA</t>
  </si>
  <si>
    <t>Chetan Tola - Ravi</t>
  </si>
  <si>
    <t>HIRDANBIGHA</t>
  </si>
  <si>
    <t>Gomukh Muradpur Deepak</t>
  </si>
  <si>
    <t>GOMUKH KAMTAUL</t>
  </si>
  <si>
    <t>Krishna Dairy</t>
  </si>
  <si>
    <t>Gaighat</t>
  </si>
  <si>
    <t>GOMUKH JATMALPUR</t>
  </si>
  <si>
    <t>DIH LAHI</t>
  </si>
  <si>
    <t>GOMUKH BANDRA W-9</t>
  </si>
  <si>
    <t>Gokhle Nagar</t>
  </si>
  <si>
    <t>Gomukh Mungeria Tol Pakrail Vlc</t>
  </si>
  <si>
    <t>Khanpur</t>
  </si>
  <si>
    <t>GOMUKH RUSULPUR GANGATI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</si>
  <si>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</si>
  <si>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</si>
  <si>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</si>
  <si>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</si>
  <si>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</si>
  <si>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</si>
  <si>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JATMALPUR WEST</t>
  </si>
  <si>
    <t>GOMUKH HAYAGHAT WEST</t>
  </si>
  <si>
    <t>GOMUKH GHOGHARAHA</t>
  </si>
  <si>
    <t>GOMUKH MORWARA</t>
  </si>
  <si>
    <t>GOMUKH NIYAMCHAKHAIDAR</t>
  </si>
  <si>
    <t>GOMUKH JATMAPUR WARD 1</t>
  </si>
  <si>
    <t>GOMUKH PURUSHOTTAMPUR WEST</t>
  </si>
  <si>
    <t>GOMUKH NIMA CHAKHAIDER</t>
  </si>
  <si>
    <t>Gomukh Barhetta</t>
  </si>
  <si>
    <t>GOMUKH  MANORATHPUR</t>
  </si>
  <si>
    <t>GOMUKH BHADOGHAT</t>
  </si>
  <si>
    <t>08-14 May</t>
  </si>
  <si>
    <t>Gomukh Ghanharpur</t>
  </si>
  <si>
    <t>URAIN</t>
  </si>
  <si>
    <t>GOMUKH NAWTOLIYA(OM PRAKASH)</t>
  </si>
  <si>
    <t>PAWAN RAY</t>
  </si>
  <si>
    <t>Gomukh Jitendra Yadav Vlc</t>
  </si>
  <si>
    <t>Gomukh Parbatta Vlc</t>
  </si>
  <si>
    <t>Musapur Bichla Tol-Prashant</t>
  </si>
  <si>
    <t>Gumukh Chakaura Rohit</t>
  </si>
  <si>
    <t>SHIVNAR-2</t>
  </si>
  <si>
    <t>Pauriya 2</t>
  </si>
  <si>
    <t>GOMUKH PAITRAPUR</t>
  </si>
  <si>
    <t>GOMUKH JAI MATA DI MILK CENTER</t>
  </si>
  <si>
    <t>Gomukh Jatmalpur Dhab</t>
  </si>
  <si>
    <t>15-21 May</t>
  </si>
  <si>
    <t>Gomukh Tulsipur</t>
  </si>
  <si>
    <t>Gomukh Bhavnathpur</t>
  </si>
  <si>
    <t>WHACHAUKI</t>
  </si>
  <si>
    <t>ADALPUR</t>
  </si>
  <si>
    <t>Gomukh Gulshan Kumar VLC</t>
  </si>
  <si>
    <t>Vaishnawi Dairy</t>
  </si>
  <si>
    <t>Gomukh Manjesh Kumar Temtha Karari</t>
  </si>
  <si>
    <t xml:space="preserve">Gomukh Mukhiyadera </t>
  </si>
  <si>
    <t>Gumukk JP Dera</t>
  </si>
  <si>
    <t>Gomukh Tulsipur Jamunia VLC</t>
  </si>
  <si>
    <t>Gomukh KAIDRABAD</t>
  </si>
  <si>
    <t>Gomukh KASTOLI</t>
  </si>
  <si>
    <t>GOMUKH PURUSHOTTAMPUR</t>
  </si>
  <si>
    <t>GOMUKH  JATMALPUR DHAB</t>
  </si>
  <si>
    <t>22-28 May</t>
  </si>
  <si>
    <t>29-31 Msy</t>
  </si>
  <si>
    <t>Down Payment</t>
  </si>
  <si>
    <t>29-04 Jun</t>
  </si>
  <si>
    <t>Non pouring</t>
  </si>
  <si>
    <t>Down Payment / Non Pouring</t>
  </si>
  <si>
    <t>Down Payment / Agreement issue</t>
  </si>
  <si>
    <t>Down Payment / Non Pouring / Agreement issue</t>
  </si>
  <si>
    <t>Non pouring / Agreement issue</t>
  </si>
  <si>
    <t>Agreement issue</t>
  </si>
  <si>
    <t>Hold by saket sir,</t>
  </si>
  <si>
    <t>Harkharachak</t>
  </si>
  <si>
    <t>Sajua -2</t>
  </si>
  <si>
    <t>BIO-GAS</t>
  </si>
  <si>
    <t>Hold by Gaurav mishra</t>
  </si>
  <si>
    <t>Release2 dtd-02-07-2026</t>
  </si>
  <si>
    <t>Release2 07-07-2026</t>
  </si>
  <si>
    <t>DP Done dtd. 09-07-2026</t>
  </si>
  <si>
    <t>10130101 Total</t>
  </si>
  <si>
    <t>10610002 Total</t>
  </si>
  <si>
    <t>10610006 Total</t>
  </si>
  <si>
    <t>10610007 Total</t>
  </si>
  <si>
    <t>10610008 Total</t>
  </si>
  <si>
    <t>10610010 Total</t>
  </si>
  <si>
    <t>10610009 Total</t>
  </si>
  <si>
    <t>10610001 Total</t>
  </si>
  <si>
    <t>10610003 Total</t>
  </si>
  <si>
    <t>10610004 Total</t>
  </si>
  <si>
    <t>10610005 Total</t>
  </si>
  <si>
    <t>10610011 Total</t>
  </si>
  <si>
    <t>10610013 Total</t>
  </si>
  <si>
    <t>10610015 Total</t>
  </si>
  <si>
    <t>10610017 Total</t>
  </si>
  <si>
    <t>10610018 Total</t>
  </si>
  <si>
    <t>10610020 Total</t>
  </si>
  <si>
    <t>10610022 Total</t>
  </si>
  <si>
    <t>10610025 Total</t>
  </si>
  <si>
    <t>10610019 Total</t>
  </si>
  <si>
    <t>10610021 Total</t>
  </si>
  <si>
    <t>10610024 Total</t>
  </si>
  <si>
    <t>10610026 Total</t>
  </si>
  <si>
    <t>10610027 Total</t>
  </si>
  <si>
    <t>10610028 Total</t>
  </si>
  <si>
    <t>10610031 Total</t>
  </si>
  <si>
    <t>10610034 Total</t>
  </si>
  <si>
    <t>10610035 Total</t>
  </si>
  <si>
    <t>10610036 Total</t>
  </si>
  <si>
    <t>10610038 Total</t>
  </si>
  <si>
    <t>10610039 Total</t>
  </si>
  <si>
    <t>10610044 Total</t>
  </si>
  <si>
    <t>10610045 Total</t>
  </si>
  <si>
    <t>10610046 Total</t>
  </si>
  <si>
    <t>10610050 Total</t>
  </si>
  <si>
    <t>10610051 Total</t>
  </si>
  <si>
    <t>10610052 Total</t>
  </si>
  <si>
    <t>10610041 Total</t>
  </si>
  <si>
    <t>10610055 Total</t>
  </si>
  <si>
    <t>10610056 Total</t>
  </si>
  <si>
    <t>Sahayak Comission Month Of May'26</t>
  </si>
  <si>
    <t>Agreement issue /  Can recovery 3047 / MISC-4489 Deduction by Pandari sir</t>
  </si>
  <si>
    <t>Dtd.27-07-2026</t>
  </si>
  <si>
    <t>Release3 Dtd.05-09-2026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</si>
</sst>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  <numFmt numFmtId="168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8"/>
      <color theme="2"/>
      <name val="Calibri"/>
      <family val="2"/>
    </font>
    <font>
      <b/>
      <sz val="8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 tint="-9.9795525986510814E-2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2" tint="-0.2497940000610370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rgb="FFC6E0B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2" borderId="1" applyNumberFormat="0" applyFont="0" applyAlignment="0" applyProtection="0"/>
    <xf numFmtId="0" fontId="7" fillId="0" borderId="0"/>
  </cellStyleXfs>
  <cellXfs count="249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43" fontId="1" fillId="4" borderId="2" xfId="3" applyFont="1" applyFill="1" applyBorder="1" applyAlignment="1">
      <alignment horizontal="center" vertical="center" wrapText="1"/>
    </xf>
    <xf numFmtId="43" fontId="1" fillId="5" borderId="2" xfId="3" applyFont="1" applyFill="1" applyBorder="1" applyAlignment="1">
      <alignment horizontal="center" vertical="center" wrapText="1"/>
    </xf>
    <xf numFmtId="164" fontId="0" fillId="0" borderId="0" xfId="2" applyFont="1"/>
    <xf numFmtId="1" fontId="0" fillId="0" borderId="0" xfId="0" applyNumberFormat="1"/>
    <xf numFmtId="1" fontId="0" fillId="0" borderId="0" xfId="3" applyNumberFormat="1" applyFont="1" applyFill="1" applyBorder="1"/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166" fontId="3" fillId="0" borderId="2" xfId="2" applyNumberFormat="1" applyFont="1" applyFill="1" applyBorder="1"/>
    <xf numFmtId="165" fontId="4" fillId="0" borderId="2" xfId="3" applyNumberFormat="1" applyFont="1" applyFill="1" applyBorder="1"/>
    <xf numFmtId="166" fontId="3" fillId="0" borderId="2" xfId="0" applyNumberFormat="1" applyFont="1" applyBorder="1"/>
    <xf numFmtId="0" fontId="3" fillId="0" borderId="0" xfId="0" applyFont="1"/>
    <xf numFmtId="10" fontId="0" fillId="0" borderId="0" xfId="1" applyNumberFormat="1" applyFont="1"/>
    <xf numFmtId="165" fontId="1" fillId="7" borderId="2" xfId="0" applyNumberFormat="1" applyFont="1" applyFill="1" applyBorder="1"/>
    <xf numFmtId="165" fontId="0" fillId="0" borderId="2" xfId="0" applyNumberFormat="1" applyBorder="1"/>
    <xf numFmtId="166" fontId="0" fillId="0" borderId="2" xfId="2" applyNumberFormat="1" applyFont="1" applyBorder="1"/>
    <xf numFmtId="167" fontId="0" fillId="0" borderId="0" xfId="0" applyNumberFormat="1"/>
    <xf numFmtId="166" fontId="0" fillId="0" borderId="0" xfId="2" applyNumberFormat="1" applyFont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43" fontId="0" fillId="0" borderId="5" xfId="3" applyFont="1" applyFill="1" applyBorder="1" applyAlignment="1">
      <alignment horizontal="left" vertical="center" wrapText="1"/>
    </xf>
    <xf numFmtId="43" fontId="0" fillId="9" borderId="5" xfId="3" applyFont="1" applyFill="1" applyBorder="1" applyAlignment="1">
      <alignment horizontal="left" vertical="center" wrapText="1"/>
    </xf>
    <xf numFmtId="43" fontId="0" fillId="10" borderId="5" xfId="3" applyFont="1" applyFill="1" applyBorder="1" applyAlignment="1">
      <alignment horizontal="left" vertical="center" wrapText="1"/>
    </xf>
    <xf numFmtId="43" fontId="0" fillId="5" borderId="5" xfId="3" applyFont="1" applyFill="1" applyBorder="1" applyAlignment="1">
      <alignment horizontal="left" vertical="center" wrapText="1"/>
    </xf>
    <xf numFmtId="43" fontId="1" fillId="9" borderId="6" xfId="3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166" fontId="4" fillId="5" borderId="2" xfId="2" applyNumberFormat="1" applyFont="1" applyFill="1" applyBorder="1" applyAlignment="1">
      <alignment horizontal="right"/>
    </xf>
    <xf numFmtId="165" fontId="1" fillId="5" borderId="2" xfId="0" applyNumberFormat="1" applyFont="1" applyFill="1" applyBorder="1"/>
    <xf numFmtId="164" fontId="0" fillId="0" borderId="2" xfId="2" applyFont="1" applyBorder="1" applyAlignment="1">
      <alignment horizontal="center" vertical="center"/>
    </xf>
    <xf numFmtId="164" fontId="0" fillId="4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6" borderId="7" xfId="2" applyFont="1" applyFill="1" applyBorder="1"/>
    <xf numFmtId="0" fontId="0" fillId="0" borderId="2" xfId="0" applyBorder="1" applyAlignment="1">
      <alignment horizontal="center"/>
    </xf>
    <xf numFmtId="165" fontId="1" fillId="11" borderId="2" xfId="3" applyNumberFormat="1" applyFont="1" applyFill="1" applyBorder="1"/>
    <xf numFmtId="0" fontId="0" fillId="12" borderId="2" xfId="0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65" fontId="8" fillId="6" borderId="8" xfId="3" applyNumberFormat="1" applyFont="1" applyFill="1" applyBorder="1" applyAlignment="1">
      <alignment horizontal="center" vertical="center"/>
    </xf>
    <xf numFmtId="165" fontId="0" fillId="6" borderId="8" xfId="0" applyNumberFormat="1" applyFill="1" applyBorder="1"/>
    <xf numFmtId="1" fontId="0" fillId="0" borderId="2" xfId="0" applyNumberFormat="1" applyBorder="1" applyAlignment="1">
      <alignment horizontal="center"/>
    </xf>
    <xf numFmtId="165" fontId="8" fillId="6" borderId="2" xfId="3" applyNumberFormat="1" applyFont="1" applyFill="1" applyBorder="1" applyAlignment="1">
      <alignment horizontal="center" vertical="center"/>
    </xf>
    <xf numFmtId="165" fontId="0" fillId="6" borderId="9" xfId="0" applyNumberFormat="1" applyFill="1" applyBorder="1"/>
    <xf numFmtId="165" fontId="0" fillId="6" borderId="2" xfId="0" applyNumberFormat="1" applyFill="1" applyBorder="1"/>
    <xf numFmtId="0" fontId="1" fillId="13" borderId="2" xfId="0" applyFont="1" applyFill="1" applyBorder="1"/>
    <xf numFmtId="165" fontId="1" fillId="13" borderId="2" xfId="0" applyNumberFormat="1" applyFont="1" applyFill="1" applyBorder="1"/>
    <xf numFmtId="165" fontId="0" fillId="6" borderId="2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6" borderId="10" xfId="3" applyNumberFormat="1" applyFont="1" applyFill="1" applyBorder="1" applyAlignment="1">
      <alignment horizontal="center" vertical="center"/>
    </xf>
    <xf numFmtId="165" fontId="8" fillId="6" borderId="10" xfId="3" applyNumberFormat="1" applyFont="1" applyFill="1" applyBorder="1" applyAlignment="1">
      <alignment horizontal="center" vertical="center"/>
    </xf>
    <xf numFmtId="165" fontId="0" fillId="6" borderId="10" xfId="0" applyNumberFormat="1" applyFill="1" applyBorder="1"/>
    <xf numFmtId="165" fontId="0" fillId="6" borderId="8" xfId="3" applyNumberFormat="1" applyFont="1" applyFill="1" applyBorder="1" applyAlignment="1">
      <alignment horizontal="center" vertical="center"/>
    </xf>
    <xf numFmtId="0" fontId="0" fillId="0" borderId="2" xfId="0" quotePrefix="1" applyBorder="1"/>
    <xf numFmtId="0" fontId="1" fillId="12" borderId="2" xfId="0" applyFont="1" applyFill="1" applyBorder="1" applyAlignment="1">
      <alignment horizontal="center" vertical="center" wrapText="1"/>
    </xf>
    <xf numFmtId="166" fontId="1" fillId="0" borderId="2" xfId="2" applyNumberFormat="1" applyFont="1" applyFill="1" applyBorder="1" applyAlignment="1"/>
    <xf numFmtId="0" fontId="1" fillId="9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66" fontId="0" fillId="0" borderId="2" xfId="2" applyNumberFormat="1" applyFont="1" applyBorder="1" applyAlignment="1">
      <alignment horizontal="center"/>
    </xf>
    <xf numFmtId="165" fontId="0" fillId="0" borderId="11" xfId="3" applyNumberFormat="1" applyFont="1" applyFill="1" applyBorder="1" applyAlignment="1">
      <alignment horizontal="center" vertical="center" wrapText="1"/>
    </xf>
    <xf numFmtId="165" fontId="0" fillId="9" borderId="11" xfId="3" applyNumberFormat="1" applyFont="1" applyFill="1" applyBorder="1" applyAlignment="1">
      <alignment horizontal="center" vertical="center" wrapText="1"/>
    </xf>
    <xf numFmtId="165" fontId="0" fillId="10" borderId="11" xfId="3" applyNumberFormat="1" applyFont="1" applyFill="1" applyBorder="1" applyAlignment="1">
      <alignment horizontal="center" vertical="center" wrapText="1"/>
    </xf>
    <xf numFmtId="165" fontId="0" fillId="5" borderId="11" xfId="3" applyNumberFormat="1" applyFont="1" applyFill="1" applyBorder="1" applyAlignment="1">
      <alignment horizontal="center" vertical="center" wrapText="1"/>
    </xf>
    <xf numFmtId="165" fontId="1" fillId="9" borderId="12" xfId="3" applyNumberFormat="1" applyFont="1" applyFill="1" applyBorder="1" applyAlignment="1">
      <alignment horizontal="center" vertical="center" wrapText="1"/>
    </xf>
    <xf numFmtId="43" fontId="1" fillId="4" borderId="2" xfId="3" applyFont="1" applyFill="1" applyBorder="1" applyAlignment="1">
      <alignment horizontal="left" vertical="center" wrapText="1"/>
    </xf>
    <xf numFmtId="43" fontId="1" fillId="6" borderId="2" xfId="3" applyFont="1" applyFill="1" applyBorder="1" applyAlignment="1">
      <alignment horizontal="center" vertical="center" wrapText="1"/>
    </xf>
    <xf numFmtId="0" fontId="6" fillId="2" borderId="1" xfId="6" applyFont="1" applyAlignment="1">
      <alignment horizontal="center" vertical="center" wrapText="1"/>
    </xf>
    <xf numFmtId="168" fontId="0" fillId="12" borderId="0" xfId="2" applyNumberFormat="1" applyFont="1" applyFill="1"/>
    <xf numFmtId="168" fontId="0" fillId="12" borderId="0" xfId="0" applyNumberFormat="1" applyFill="1"/>
    <xf numFmtId="164" fontId="0" fillId="12" borderId="0" xfId="2" applyFon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9" fillId="7" borderId="2" xfId="2" applyNumberFormat="1" applyFont="1" applyFill="1" applyBorder="1"/>
    <xf numFmtId="166" fontId="3" fillId="0" borderId="0" xfId="0" applyNumberFormat="1" applyFont="1"/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quotePrefix="1" applyNumberFormat="1"/>
    <xf numFmtId="165" fontId="1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164" fontId="0" fillId="0" borderId="0" xfId="2" applyFont="1" applyFill="1" applyBorder="1"/>
    <xf numFmtId="0" fontId="6" fillId="0" borderId="0" xfId="0" applyFont="1"/>
    <xf numFmtId="0" fontId="13" fillId="0" borderId="0" xfId="0" applyFont="1"/>
    <xf numFmtId="166" fontId="6" fillId="0" borderId="0" xfId="0" applyNumberFormat="1" applyFont="1"/>
    <xf numFmtId="165" fontId="6" fillId="2" borderId="1" xfId="6" applyNumberFormat="1" applyFont="1" applyAlignment="1">
      <alignment horizontal="center"/>
    </xf>
    <xf numFmtId="165" fontId="1" fillId="6" borderId="8" xfId="3" applyNumberFormat="1" applyFont="1" applyFill="1" applyBorder="1" applyAlignment="1">
      <alignment horizontal="center" vertical="center"/>
    </xf>
    <xf numFmtId="0" fontId="0" fillId="12" borderId="8" xfId="0" applyFill="1" applyBorder="1"/>
    <xf numFmtId="0" fontId="0" fillId="12" borderId="2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/>
    </xf>
    <xf numFmtId="165" fontId="0" fillId="12" borderId="8" xfId="3" applyNumberFormat="1" applyFont="1" applyFill="1" applyBorder="1" applyAlignment="1">
      <alignment horizontal="center" vertical="center"/>
    </xf>
    <xf numFmtId="165" fontId="8" fillId="12" borderId="8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" fontId="5" fillId="0" borderId="0" xfId="0" quotePrefix="1" applyNumberFormat="1" applyFont="1"/>
    <xf numFmtId="0" fontId="1" fillId="17" borderId="2" xfId="0" applyFont="1" applyFill="1" applyBorder="1"/>
    <xf numFmtId="0" fontId="1" fillId="0" borderId="2" xfId="0" applyFont="1" applyBorder="1"/>
    <xf numFmtId="166" fontId="1" fillId="0" borderId="2" xfId="2" applyNumberFormat="1" applyFont="1" applyBorder="1"/>
    <xf numFmtId="0" fontId="3" fillId="0" borderId="2" xfId="0" applyFont="1" applyBorder="1"/>
    <xf numFmtId="166" fontId="4" fillId="0" borderId="2" xfId="0" applyNumberFormat="1" applyFont="1" applyBorder="1"/>
    <xf numFmtId="166" fontId="6" fillId="0" borderId="2" xfId="2" applyNumberFormat="1" applyFont="1" applyBorder="1"/>
    <xf numFmtId="166" fontId="3" fillId="0" borderId="8" xfId="2" applyNumberFormat="1" applyFont="1" applyFill="1" applyBorder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5" fontId="3" fillId="0" borderId="8" xfId="3" applyNumberFormat="1" applyFont="1" applyFill="1" applyBorder="1"/>
    <xf numFmtId="165" fontId="4" fillId="0" borderId="8" xfId="3" applyNumberFormat="1" applyFont="1" applyFill="1" applyBorder="1"/>
    <xf numFmtId="166" fontId="3" fillId="0" borderId="8" xfId="0" applyNumberFormat="1" applyFont="1" applyBorder="1"/>
    <xf numFmtId="166" fontId="4" fillId="0" borderId="8" xfId="2" applyNumberFormat="1" applyFont="1" applyFill="1" applyBorder="1" applyAlignment="1">
      <alignment horizontal="right"/>
    </xf>
    <xf numFmtId="166" fontId="9" fillId="0" borderId="8" xfId="2" applyNumberFormat="1" applyFont="1" applyFill="1" applyBorder="1" applyAlignment="1">
      <alignment horizontal="right"/>
    </xf>
    <xf numFmtId="166" fontId="4" fillId="5" borderId="8" xfId="2" applyNumberFormat="1" applyFont="1" applyFill="1" applyBorder="1" applyAlignment="1">
      <alignment horizontal="right"/>
    </xf>
    <xf numFmtId="166" fontId="6" fillId="0" borderId="8" xfId="2" applyNumberFormat="1" applyFont="1" applyBorder="1"/>
    <xf numFmtId="0" fontId="3" fillId="0" borderId="8" xfId="0" applyFont="1" applyBorder="1"/>
    <xf numFmtId="166" fontId="4" fillId="0" borderId="8" xfId="0" applyNumberFormat="1" applyFont="1" applyBorder="1"/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43" fontId="1" fillId="4" borderId="14" xfId="3" applyFont="1" applyFill="1" applyBorder="1" applyAlignment="1">
      <alignment horizontal="center" vertical="center" wrapText="1"/>
    </xf>
    <xf numFmtId="43" fontId="1" fillId="9" borderId="14" xfId="3" applyFont="1" applyFill="1" applyBorder="1" applyAlignment="1">
      <alignment horizontal="center" vertical="center" wrapText="1"/>
    </xf>
    <xf numFmtId="43" fontId="1" fillId="10" borderId="14" xfId="3" applyFont="1" applyFill="1" applyBorder="1" applyAlignment="1">
      <alignment horizontal="center" vertical="center" wrapText="1"/>
    </xf>
    <xf numFmtId="43" fontId="1" fillId="5" borderId="14" xfId="3" applyFont="1" applyFill="1" applyBorder="1" applyAlignment="1">
      <alignment horizontal="center" vertical="center" wrapText="1"/>
    </xf>
    <xf numFmtId="43" fontId="9" fillId="9" borderId="14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164" fontId="3" fillId="0" borderId="8" xfId="2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/>
    <xf numFmtId="0" fontId="9" fillId="0" borderId="0" xfId="0" applyFont="1"/>
    <xf numFmtId="0" fontId="2" fillId="3" borderId="0" xfId="0" applyFont="1" applyFill="1"/>
    <xf numFmtId="1" fontId="3" fillId="0" borderId="8" xfId="2" quotePrefix="1" applyNumberFormat="1" applyFont="1" applyFill="1" applyBorder="1" applyAlignment="1">
      <alignment horizontal="center"/>
    </xf>
    <xf numFmtId="164" fontId="4" fillId="0" borderId="8" xfId="2" applyFont="1" applyFill="1" applyBorder="1" applyAlignment="1">
      <alignment horizontal="center"/>
    </xf>
    <xf numFmtId="1" fontId="3" fillId="0" borderId="8" xfId="0" applyNumberFormat="1" applyFont="1" applyBorder="1"/>
    <xf numFmtId="164" fontId="4" fillId="0" borderId="2" xfId="2" applyFont="1" applyFill="1" applyBorder="1" applyAlignment="1">
      <alignment horizontal="center"/>
    </xf>
    <xf numFmtId="1" fontId="3" fillId="0" borderId="2" xfId="0" applyNumberFormat="1" applyFont="1" applyBorder="1"/>
    <xf numFmtId="0" fontId="4" fillId="19" borderId="14" xfId="0" applyFont="1" applyFill="1" applyBorder="1" applyAlignment="1">
      <alignment horizontal="center" vertical="center" wrapText="1"/>
    </xf>
    <xf numFmtId="1" fontId="4" fillId="19" borderId="14" xfId="2" quotePrefix="1" applyNumberFormat="1" applyFont="1" applyFill="1" applyBorder="1" applyAlignment="1">
      <alignment horizontal="center" vertical="center"/>
    </xf>
    <xf numFmtId="0" fontId="4" fillId="19" borderId="14" xfId="0" quotePrefix="1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0" borderId="0" xfId="3" applyNumberFormat="1" applyFont="1" applyFill="1" applyBorder="1"/>
    <xf numFmtId="0" fontId="4" fillId="19" borderId="13" xfId="0" applyFont="1" applyFill="1" applyBorder="1" applyAlignment="1">
      <alignment horizontal="center" vertical="center" wrapText="1"/>
    </xf>
    <xf numFmtId="164" fontId="1" fillId="3" borderId="0" xfId="0" applyNumberFormat="1" applyFont="1" applyFill="1"/>
    <xf numFmtId="166" fontId="1" fillId="3" borderId="0" xfId="2" applyNumberFormat="1" applyFont="1" applyFill="1" applyBorder="1"/>
    <xf numFmtId="0" fontId="1" fillId="6" borderId="15" xfId="0" applyFont="1" applyFill="1" applyBorder="1" applyAlignment="1">
      <alignment horizontal="center" vertical="center" wrapText="1"/>
    </xf>
    <xf numFmtId="165" fontId="4" fillId="0" borderId="8" xfId="3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center"/>
    </xf>
    <xf numFmtId="1" fontId="1" fillId="3" borderId="0" xfId="0" applyNumberFormat="1" applyFont="1" applyFill="1"/>
    <xf numFmtId="49" fontId="17" fillId="17" borderId="2" xfId="0" applyNumberFormat="1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49" fontId="16" fillId="17" borderId="2" xfId="0" applyNumberFormat="1" applyFont="1" applyFill="1" applyBorder="1" applyAlignment="1">
      <alignment horizontal="center" vertical="top" wrapText="1"/>
    </xf>
    <xf numFmtId="0" fontId="18" fillId="15" borderId="2" xfId="0" applyFont="1" applyFill="1" applyBorder="1" applyAlignment="1">
      <alignment horizontal="center" vertical="center"/>
    </xf>
    <xf numFmtId="3" fontId="19" fillId="15" borderId="2" xfId="0" applyNumberFormat="1" applyFont="1" applyFill="1" applyBorder="1" applyAlignment="1">
      <alignment horizontal="center"/>
    </xf>
    <xf numFmtId="1" fontId="18" fillId="15" borderId="2" xfId="0" applyNumberFormat="1" applyFont="1" applyFill="1" applyBorder="1" applyAlignment="1">
      <alignment horizontal="center" vertical="center"/>
    </xf>
    <xf numFmtId="3" fontId="18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/>
    </xf>
    <xf numFmtId="0" fontId="18" fillId="20" borderId="2" xfId="0" applyFont="1" applyFill="1" applyBorder="1" applyAlignment="1">
      <alignment horizontal="center" vertical="center"/>
    </xf>
    <xf numFmtId="3" fontId="19" fillId="20" borderId="2" xfId="0" applyNumberFormat="1" applyFont="1" applyFill="1" applyBorder="1" applyAlignment="1">
      <alignment horizontal="center"/>
    </xf>
    <xf numFmtId="1" fontId="18" fillId="20" borderId="2" xfId="0" applyNumberFormat="1" applyFont="1" applyFill="1" applyBorder="1" applyAlignment="1">
      <alignment horizontal="center" vertical="center"/>
    </xf>
    <xf numFmtId="3" fontId="18" fillId="20" borderId="2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/>
    </xf>
    <xf numFmtId="49" fontId="18" fillId="15" borderId="2" xfId="0" applyNumberFormat="1" applyFont="1" applyFill="1" applyBorder="1" applyAlignment="1">
      <alignment horizontal="center" vertical="center"/>
    </xf>
    <xf numFmtId="49" fontId="18" fillId="20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6" fillId="0" borderId="0" xfId="3" applyNumberFormat="1" applyFont="1"/>
    <xf numFmtId="0" fontId="10" fillId="0" borderId="0" xfId="0" applyFont="1"/>
    <xf numFmtId="15" fontId="18" fillId="15" borderId="2" xfId="0" applyNumberFormat="1" applyFont="1" applyFill="1" applyBorder="1" applyAlignment="1">
      <alignment horizontal="center" vertical="center"/>
    </xf>
    <xf numFmtId="15" fontId="18" fillId="20" borderId="2" xfId="0" applyNumberFormat="1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vertical="center"/>
    </xf>
    <xf numFmtId="0" fontId="0" fillId="0" borderId="0" xfId="0" pivotButton="1"/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43" fontId="1" fillId="4" borderId="21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left" vertical="center"/>
    </xf>
    <xf numFmtId="166" fontId="0" fillId="0" borderId="2" xfId="2" applyNumberFormat="1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7" xfId="0" quotePrefix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7" fillId="0" borderId="17" xfId="0" quotePrefix="1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quotePrefix="1" applyBorder="1" applyAlignment="1">
      <alignment horizontal="left"/>
    </xf>
    <xf numFmtId="49" fontId="0" fillId="0" borderId="17" xfId="0" quotePrefix="1" applyNumberFormat="1" applyBorder="1"/>
    <xf numFmtId="0" fontId="7" fillId="0" borderId="17" xfId="0" applyFont="1" applyBorder="1" applyAlignment="1">
      <alignment horizontal="center"/>
    </xf>
    <xf numFmtId="49" fontId="0" fillId="0" borderId="17" xfId="0" quotePrefix="1" applyNumberFormat="1" applyBorder="1" applyAlignment="1">
      <alignment horizontal="center"/>
    </xf>
    <xf numFmtId="49" fontId="16" fillId="23" borderId="2" xfId="0" applyNumberFormat="1" applyFont="1" applyFill="1" applyBorder="1" applyAlignment="1">
      <alignment horizontal="center" vertical="top" wrapText="1"/>
    </xf>
    <xf numFmtId="1" fontId="18" fillId="21" borderId="2" xfId="0" applyNumberFormat="1" applyFont="1" applyFill="1" applyBorder="1" applyAlignment="1">
      <alignment horizontal="center" vertical="center"/>
    </xf>
    <xf numFmtId="1" fontId="18" fillId="22" borderId="2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24" borderId="0" xfId="0" applyFill="1"/>
    <xf numFmtId="165" fontId="1" fillId="24" borderId="0" xfId="0" applyNumberFormat="1" applyFont="1" applyFill="1"/>
    <xf numFmtId="166" fontId="6" fillId="0" borderId="2" xfId="2" applyNumberFormat="1" applyFont="1" applyFill="1" applyBorder="1"/>
    <xf numFmtId="0" fontId="18" fillId="21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 wrapText="1"/>
    </xf>
    <xf numFmtId="9" fontId="0" fillId="12" borderId="0" xfId="1" applyFont="1" applyFill="1"/>
    <xf numFmtId="165" fontId="0" fillId="0" borderId="2" xfId="3" applyNumberFormat="1" applyFont="1" applyBorder="1"/>
    <xf numFmtId="165" fontId="0" fillId="26" borderId="2" xfId="3" applyNumberFormat="1" applyFont="1" applyFill="1" applyBorder="1"/>
    <xf numFmtId="166" fontId="0" fillId="0" borderId="0" xfId="2" applyNumberFormat="1" applyFont="1" applyFill="1" applyBorder="1"/>
    <xf numFmtId="0" fontId="0" fillId="12" borderId="2" xfId="0" applyFill="1" applyBorder="1" applyAlignment="1">
      <alignment horizontal="left" vertical="center"/>
    </xf>
    <xf numFmtId="164" fontId="0" fillId="12" borderId="2" xfId="2" applyFont="1" applyFill="1" applyBorder="1"/>
    <xf numFmtId="166" fontId="0" fillId="12" borderId="2" xfId="2" applyNumberFormat="1" applyFont="1" applyFill="1" applyBorder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2" xfId="3" applyNumberFormat="1" applyFont="1" applyBorder="1" applyAlignment="1">
      <alignment horizontal="center"/>
    </xf>
    <xf numFmtId="166" fontId="0" fillId="0" borderId="2" xfId="3" applyNumberFormat="1" applyFont="1" applyBorder="1"/>
    <xf numFmtId="0" fontId="0" fillId="0" borderId="16" xfId="0" applyBorder="1"/>
    <xf numFmtId="0" fontId="0" fillId="0" borderId="7" xfId="0" applyBorder="1"/>
    <xf numFmtId="0" fontId="11" fillId="12" borderId="2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2" fillId="15" borderId="8" xfId="0" applyFont="1" applyFill="1" applyBorder="1" applyAlignment="1">
      <alignment vertical="center"/>
    </xf>
    <xf numFmtId="165" fontId="4" fillId="12" borderId="2" xfId="3" applyNumberFormat="1" applyFont="1" applyFill="1" applyBorder="1"/>
    <xf numFmtId="0" fontId="0" fillId="16" borderId="2" xfId="0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6" fillId="0" borderId="8" xfId="2" applyNumberFormat="1" applyFont="1" applyFill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0" fillId="0" borderId="16" xfId="0" quotePrefix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Alignment="1">
      <alignment horizontal="center"/>
    </xf>
  </cellXfs>
  <cellStyles count="8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Normal 2 2" xfId="7" xr:uid="{00000000-0005-0000-0000-00000A000000}"/>
    <cellStyle name="Note" xfId="6" builtinId="1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434343"/>
      </font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7.657688425927" createdVersion="8" refreshedVersion="8" minRefreshableVersion="3" recordCount="4859" xr:uid="{889E37E9-15ED-42CD-BC6D-4DF0495F9FDC}">
  <cacheSource type="worksheet">
    <worksheetSource ref="A2:AJ4858" sheet="MPG Payment "/>
  </cacheSource>
  <cacheFields count="36">
    <cacheField name="Area" numFmtId="164">
      <sharedItems/>
    </cacheField>
    <cacheField name="Period " numFmtId="0">
      <sharedItems/>
    </cacheField>
    <cacheField name="BMC Code " numFmtId="0">
      <sharedItems containsSemiMixedTypes="0" containsString="0" containsNumber="1" containsInteger="1" minValue="1001" maxValue="1065"/>
    </cacheField>
    <cacheField name="MCC Name" numFmtId="0">
      <sharedItems/>
    </cacheField>
    <cacheField name="Code " numFmtId="0">
      <sharedItems containsSemiMixedTypes="0" containsString="0" containsNumber="1" containsInteger="1" minValue="10010013" maxValue="10650012" count="1070">
        <n v="10010013"/>
        <n v="10010017"/>
        <n v="10010019"/>
        <n v="10010038"/>
        <n v="10010044"/>
        <n v="10010049"/>
        <n v="10010050"/>
        <n v="10010051"/>
        <n v="10010055"/>
        <n v="10010056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10137"/>
        <n v="10010140"/>
        <n v="10010141"/>
        <n v="10010143"/>
        <n v="10010144"/>
        <n v="10010145"/>
        <n v="10010146"/>
        <n v="10010148"/>
        <n v="10020002"/>
        <n v="10020004"/>
        <n v="10020006"/>
        <n v="10020007"/>
        <n v="10020008"/>
        <n v="10020010"/>
        <n v="10020013"/>
        <n v="10020014"/>
        <n v="10020015"/>
        <n v="10020016"/>
        <n v="10020017"/>
        <n v="10020018"/>
        <n v="10020020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8"/>
        <n v="10020069"/>
        <n v="10020070"/>
        <n v="10020073"/>
        <n v="10020075"/>
        <n v="10020076"/>
        <n v="10020077"/>
        <n v="10020078"/>
        <n v="10020079"/>
        <n v="10020080"/>
        <n v="10020081"/>
        <n v="10020082"/>
        <n v="10020083"/>
        <n v="10020084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79"/>
        <n v="10030080"/>
        <n v="10030081"/>
        <n v="10030082"/>
        <n v="10030084"/>
        <n v="10030085"/>
        <n v="10040001"/>
        <n v="10060002"/>
        <n v="10060003"/>
        <n v="10060004"/>
        <n v="10060005"/>
        <n v="10060007"/>
        <n v="10060008"/>
        <n v="10060009"/>
        <n v="10060010"/>
        <n v="10060011"/>
        <n v="10060013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3"/>
        <n v="10060037"/>
        <n v="10060044"/>
        <n v="10060049"/>
        <n v="10060050"/>
        <n v="10060051"/>
        <n v="10060052"/>
        <n v="10060055"/>
        <n v="10060058"/>
        <n v="10060061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6"/>
        <n v="10060107"/>
        <n v="10060109"/>
        <n v="10060110"/>
        <n v="10060111"/>
        <n v="10060113"/>
        <n v="10060114"/>
        <n v="10060115"/>
        <n v="10060116"/>
        <n v="10060117"/>
        <n v="10060118"/>
        <n v="10060120"/>
        <n v="10060121"/>
        <n v="10060122"/>
        <n v="10060124"/>
        <n v="10060125"/>
        <n v="10060126"/>
        <n v="10060129"/>
        <n v="10060130"/>
        <n v="10070002"/>
        <n v="10070003"/>
        <n v="10070004"/>
        <n v="10070008"/>
        <n v="10070013"/>
        <n v="10070016"/>
        <n v="10070018"/>
        <n v="10070020"/>
        <n v="10070024"/>
        <n v="10070031"/>
        <n v="10070033"/>
        <n v="10070039"/>
        <n v="10070042"/>
        <n v="10070043"/>
        <n v="10070045"/>
        <n v="10070046"/>
        <n v="10070047"/>
        <n v="10070048"/>
        <n v="10070053"/>
        <n v="10070056"/>
        <n v="10070058"/>
        <n v="10070059"/>
        <n v="10070060"/>
        <n v="10070061"/>
        <n v="10070063"/>
        <n v="10070064"/>
        <n v="10070065"/>
        <n v="10070074"/>
        <n v="10070076"/>
        <n v="10070077"/>
        <n v="10070078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9"/>
        <n v="10080040"/>
        <n v="10080041"/>
        <n v="10080043"/>
        <n v="10080048"/>
        <n v="10080052"/>
        <n v="10080053"/>
        <n v="10080054"/>
        <n v="10080055"/>
        <n v="10080061"/>
        <n v="10080062"/>
        <n v="10080065"/>
        <n v="10080067"/>
        <n v="10080072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89"/>
        <n v="10080090"/>
        <n v="10080093"/>
        <n v="10080095"/>
        <n v="10080097"/>
        <n v="10080099"/>
        <n v="10080100"/>
        <n v="10080107"/>
        <n v="10080110"/>
        <n v="10080112"/>
        <n v="10080113"/>
        <n v="10080115"/>
        <n v="10080119"/>
        <n v="10080120"/>
        <n v="10080121"/>
        <n v="10080122"/>
        <n v="10080124"/>
        <n v="10080126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59"/>
        <n v="10090060"/>
        <n v="10090061"/>
        <n v="10090063"/>
        <n v="10090064"/>
        <n v="10090065"/>
        <n v="10090066"/>
        <n v="10090072"/>
        <n v="10090074"/>
        <n v="10090075"/>
        <n v="10090076"/>
        <n v="10090077"/>
        <n v="10090078"/>
        <n v="10100001"/>
        <n v="10100003"/>
        <n v="10100004"/>
        <n v="10100009"/>
        <n v="10100014"/>
        <n v="10100015"/>
        <n v="10100016"/>
        <n v="10100021"/>
        <n v="10100026"/>
        <n v="10100033"/>
        <n v="10100035"/>
        <n v="10100037"/>
        <n v="10100044"/>
        <n v="10100045"/>
        <n v="10100049"/>
        <n v="10100051"/>
        <n v="10100054"/>
        <n v="10100060"/>
        <n v="10100061"/>
        <n v="10100062"/>
        <n v="10100065"/>
        <n v="10100069"/>
        <n v="1010007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19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38"/>
        <n v="10110140"/>
        <n v="10110141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4"/>
        <n v="10110166"/>
        <n v="10110167"/>
        <n v="10110168"/>
        <n v="10110171"/>
        <n v="10110172"/>
        <n v="10110173"/>
        <n v="10110176"/>
        <n v="10110177"/>
        <n v="10110178"/>
        <n v="10110179"/>
        <n v="10110181"/>
        <n v="10110183"/>
        <n v="10110184"/>
        <n v="10110185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1"/>
        <n v="10120052"/>
        <n v="10120053"/>
        <n v="10120066"/>
        <n v="10120071"/>
        <n v="10120080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7"/>
        <n v="10120108"/>
        <n v="10120109"/>
        <n v="10120110"/>
        <n v="10120111"/>
        <n v="10120113"/>
        <n v="10120114"/>
        <n v="10120115"/>
        <n v="10120116"/>
        <n v="10120120"/>
        <n v="10120122"/>
        <n v="10120123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0"/>
        <n v="10130073"/>
        <n v="10130074"/>
        <n v="10130077"/>
        <n v="10130080"/>
        <n v="10130081"/>
        <n v="10130083"/>
        <n v="10130085"/>
        <n v="10130091"/>
        <n v="10130093"/>
        <n v="10130094"/>
        <n v="10130097"/>
        <n v="10130098"/>
        <n v="10130100"/>
        <n v="10130101"/>
        <n v="10130107"/>
        <n v="10130111"/>
        <n v="10130113"/>
        <n v="10130114"/>
        <n v="10130115"/>
        <n v="10130116"/>
        <n v="10130117"/>
        <n v="10130118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9"/>
        <n v="10140120"/>
        <n v="10140126"/>
        <n v="10140129"/>
        <n v="10140131"/>
        <n v="10140132"/>
        <n v="10140135"/>
        <n v="10140137"/>
        <n v="10140139"/>
        <n v="10140141"/>
        <n v="10140147"/>
        <n v="10140152"/>
        <n v="10140153"/>
        <n v="10140156"/>
        <n v="10140157"/>
        <n v="10140166"/>
        <n v="10140167"/>
        <n v="10140170"/>
        <n v="10140173"/>
        <n v="10140174"/>
        <n v="10140176"/>
        <n v="10140179"/>
        <n v="10140180"/>
        <n v="10140181"/>
        <n v="10140183"/>
        <n v="10140185"/>
        <n v="10140193"/>
        <n v="10140194"/>
        <n v="10140196"/>
        <n v="10140197"/>
        <n v="10140198"/>
        <n v="10140201"/>
        <n v="10140203"/>
        <n v="10140205"/>
        <n v="10140206"/>
        <n v="10180001"/>
        <n v="10220001"/>
        <n v="1023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430001"/>
        <n v="10440001"/>
        <n v="10460001"/>
        <n v="10460002"/>
        <n v="10480001"/>
        <n v="10480002"/>
        <n v="10480005"/>
        <n v="10480008"/>
        <n v="10480012"/>
        <n v="10480016"/>
        <n v="10480022"/>
        <n v="10480023"/>
        <n v="10480028"/>
        <n v="10480033"/>
        <n v="10480034"/>
        <n v="10480036"/>
        <n v="10500001"/>
        <n v="10510001"/>
        <n v="10510002"/>
        <n v="10510004"/>
        <n v="10520006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7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3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9"/>
        <n v="10530090"/>
        <n v="10530091"/>
        <n v="10530092"/>
        <n v="10530093"/>
        <n v="10530096"/>
        <n v="10530097"/>
        <n v="10530099"/>
        <n v="10530100"/>
        <n v="10530101"/>
        <n v="10530102"/>
        <n v="10530103"/>
        <n v="10530104"/>
        <n v="10530105"/>
        <n v="10530106"/>
        <n v="10530108"/>
        <n v="10530109"/>
        <n v="10530110"/>
        <n v="10530112"/>
        <n v="10540003"/>
        <n v="10540005"/>
        <n v="10540008"/>
        <n v="10540009"/>
        <n v="10540010"/>
        <n v="10540012"/>
        <n v="10540014"/>
        <n v="10540015"/>
        <n v="10540016"/>
        <n v="10540017"/>
        <n v="10540018"/>
        <n v="10540019"/>
        <n v="10540020"/>
        <n v="10540021"/>
        <n v="10540026"/>
        <n v="10540028"/>
        <n v="10540029"/>
        <n v="10540032"/>
        <n v="10540034"/>
        <n v="10540039"/>
        <n v="10540040"/>
        <n v="10540041"/>
        <n v="10540042"/>
        <n v="10540044"/>
        <n v="10540045"/>
        <n v="10540046"/>
        <n v="10540048"/>
        <n v="10540049"/>
        <n v="10550001"/>
        <n v="10550002"/>
        <n v="10550005"/>
        <n v="10550007"/>
        <n v="10550008"/>
        <n v="10560001"/>
        <n v="10560002"/>
        <n v="10560004"/>
        <n v="10560005"/>
        <n v="10560006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7"/>
        <n v="10560028"/>
        <n v="10560029"/>
        <n v="10560031"/>
        <n v="10560032"/>
        <n v="10560034"/>
        <n v="10570001"/>
        <n v="10570003"/>
        <n v="10570007"/>
        <n v="10570008"/>
        <n v="10570009"/>
        <n v="10570010"/>
        <n v="10570013"/>
        <n v="10570015"/>
        <n v="10570016"/>
        <n v="10570017"/>
        <n v="10570018"/>
        <n v="10570019"/>
        <n v="10570020"/>
        <n v="10570021"/>
        <n v="10570022"/>
        <n v="10570024"/>
        <n v="10570025"/>
        <n v="10570026"/>
        <n v="10570028"/>
        <n v="10570029"/>
        <n v="10570030"/>
        <n v="10570031"/>
        <n v="10570033"/>
        <n v="10570036"/>
        <n v="10570037"/>
        <n v="10570038"/>
        <n v="10570044"/>
        <n v="10570045"/>
        <n v="10570046"/>
        <n v="10570047"/>
        <n v="10570049"/>
        <n v="10570053"/>
        <n v="10570054"/>
        <n v="10570055"/>
        <n v="10570056"/>
        <n v="10570057"/>
        <n v="10580001"/>
        <n v="10580002"/>
        <n v="10580004"/>
        <n v="10580005"/>
        <n v="10580007"/>
        <n v="10580009"/>
        <n v="10580010"/>
        <n v="10580012"/>
        <n v="10580015"/>
        <n v="10580017"/>
        <n v="10580018"/>
        <n v="10580019"/>
        <n v="10580022"/>
        <n v="10580023"/>
        <n v="10580025"/>
        <n v="10580027"/>
        <n v="10580028"/>
        <n v="10580029"/>
        <n v="10580031"/>
        <n v="10580032"/>
        <n v="10580033"/>
        <n v="10580034"/>
        <n v="10590001"/>
        <n v="10590002"/>
        <n v="10590004"/>
        <n v="10590006"/>
        <n v="10590007"/>
        <n v="10590008"/>
        <n v="10590009"/>
        <n v="10590010"/>
        <n v="10590011"/>
        <n v="10590012"/>
        <n v="10590013"/>
        <n v="10590014"/>
        <n v="10590015"/>
        <n v="10600001"/>
        <n v="10600002"/>
        <n v="10600004"/>
        <n v="10600005"/>
        <n v="10600006"/>
        <n v="10600007"/>
        <n v="10600008"/>
        <n v="10600009"/>
        <n v="10600010"/>
        <n v="10600012"/>
        <n v="10600013"/>
        <n v="10610001"/>
        <n v="10610002"/>
        <n v="10610003"/>
        <n v="10610004"/>
        <n v="10610005"/>
        <n v="10610006"/>
        <n v="10610007"/>
        <n v="10610008"/>
        <n v="10610009"/>
        <n v="10610010"/>
        <n v="10610011"/>
        <n v="10610013"/>
        <n v="10610014"/>
        <n v="10610015"/>
        <n v="10610017"/>
        <n v="10610018"/>
        <n v="10610019"/>
        <n v="10610020"/>
        <n v="10610021"/>
        <n v="10610022"/>
        <n v="10610023"/>
        <n v="10610024"/>
        <n v="10610025"/>
        <n v="10610027"/>
        <n v="10610028"/>
        <n v="10610030"/>
        <n v="10610031"/>
        <n v="10610032"/>
        <n v="10610034"/>
        <n v="10610035"/>
        <n v="10610036"/>
        <n v="10610038"/>
        <n v="10610039"/>
        <n v="10610040"/>
        <n v="10610042"/>
        <n v="10610043"/>
        <n v="10630001"/>
        <n v="10630002"/>
        <n v="10630003"/>
        <n v="10630004"/>
        <n v="10630007"/>
        <n v="10630008"/>
        <n v="10630009"/>
        <n v="10630010"/>
        <n v="10630011"/>
        <n v="10630012"/>
        <n v="10630015"/>
        <n v="10630016"/>
        <n v="10630017"/>
        <n v="10630019"/>
        <n v="10630020"/>
        <n v="10640001"/>
        <n v="10640003"/>
        <n v="10640004"/>
        <n v="10640005"/>
        <n v="10640006"/>
        <n v="10640007"/>
        <n v="10640009"/>
        <n v="10640010"/>
        <n v="10640011"/>
        <n v="10650001"/>
        <n v="10650003"/>
        <n v="10650004"/>
        <n v="10650006"/>
        <n v="10650007"/>
        <n v="10650010"/>
        <n v="10010047"/>
        <n v="10010149"/>
        <n v="10020012"/>
        <n v="10020056"/>
        <n v="10030042"/>
        <n v="10030043"/>
        <n v="10030044"/>
        <n v="10030045"/>
        <n v="10030046"/>
        <n v="10030047"/>
        <n v="10030048"/>
        <n v="10060041"/>
        <n v="10060132"/>
        <n v="10080117"/>
        <n v="10100059"/>
        <n v="10110186"/>
        <n v="10110187"/>
        <n v="10110188"/>
        <n v="10120028"/>
        <n v="10120050"/>
        <n v="10120060"/>
        <n v="10120067"/>
        <n v="10120070"/>
        <n v="10120075"/>
        <n v="10120087"/>
        <n v="10120092"/>
        <n v="10120105"/>
        <n v="10120106"/>
        <n v="10120117"/>
        <n v="10120118"/>
        <n v="10120119"/>
        <n v="10130036"/>
        <n v="10130063"/>
        <n v="10130087"/>
        <n v="10130088"/>
        <n v="10130103"/>
        <n v="10130105"/>
        <n v="10130106"/>
        <n v="10130110"/>
        <n v="10130112"/>
        <n v="10130119"/>
        <n v="10370001"/>
        <n v="10380001"/>
        <n v="10390001"/>
        <n v="10400001"/>
        <n v="10410001"/>
        <n v="10480003"/>
        <n v="10520010"/>
        <n v="10530011"/>
        <n v="10530012"/>
        <n v="10530021"/>
        <n v="10530026"/>
        <n v="10530042"/>
        <n v="10530050"/>
        <n v="10530052"/>
        <n v="10530053"/>
        <n v="10530056"/>
        <n v="10530094"/>
        <n v="10530107"/>
        <n v="10530111"/>
        <n v="10540027"/>
        <n v="10540036"/>
        <n v="10560033"/>
        <n v="10560035"/>
        <n v="10560036"/>
        <n v="10560037"/>
        <n v="10570042"/>
        <n v="10580020"/>
        <n v="10610026"/>
        <n v="10610044"/>
        <n v="10610045"/>
        <n v="10610046"/>
        <n v="10610047"/>
        <n v="10610048"/>
        <n v="10610049"/>
        <n v="10630013"/>
        <n v="10630014"/>
        <n v="10650012"/>
        <n v="10010080"/>
        <n v="10010147"/>
        <n v="10060085"/>
        <n v="10060127"/>
        <n v="10060133"/>
        <n v="10090079"/>
        <n v="10090081"/>
        <n v="10130102"/>
        <n v="10140204"/>
        <n v="10520011"/>
        <n v="10530115"/>
        <n v="10550009"/>
        <n v="10570035"/>
        <n v="10570058"/>
        <n v="10570059"/>
        <n v="10570060"/>
        <n v="10580014"/>
        <n v="10580026"/>
        <n v="10580030"/>
        <n v="10590016"/>
        <n v="10630018"/>
        <n v="10640002"/>
        <n v="10650008"/>
        <n v="10010079"/>
        <n v="10020067"/>
        <n v="10070019"/>
        <n v="10070026"/>
        <n v="10100067"/>
        <n v="10110143"/>
        <n v="10140148"/>
        <n v="10530113"/>
        <n v="10610050"/>
        <n v="10610051"/>
        <n v="10650011"/>
        <n v="10100053"/>
        <n v="10120056"/>
        <n v="10130027"/>
        <n v="10570006"/>
        <n v="10580024"/>
        <n v="10610052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0.01" maxValue="33274"/>
    </cacheField>
    <cacheField name="BMC Amount" numFmtId="1">
      <sharedItems containsSemiMixedTypes="0" containsString="0" containsNumber="1" minValue="0.31" maxValue="1174471.49"/>
    </cacheField>
    <cacheField name="Vol" numFmtId="165">
      <sharedItems containsSemiMixedTypes="0" containsString="0" containsNumber="1" minValue="0" maxValue="10320"/>
    </cacheField>
    <cacheField name="Amt" numFmtId="165">
      <sharedItems containsSemiMixedTypes="0" containsString="0" containsNumber="1" minValue="0" maxValue="404596.72281599999"/>
    </cacheField>
    <cacheField name="Vol2" numFmtId="165">
      <sharedItems containsSemiMixedTypes="0" containsString="0" containsNumber="1" minValue="0" maxValue="3961.1000000000004"/>
    </cacheField>
    <cacheField name="Amt2" numFmtId="165">
      <sharedItems containsSemiMixedTypes="0" containsString="0" containsNumber="1" minValue="0" maxValue="155272.7434033"/>
    </cacheField>
    <cacheField name="Vol3" numFmtId="165">
      <sharedItems containsSemiMixedTypes="0" containsString="0" containsNumber="1" minValue="0" maxValue="10320"/>
    </cacheField>
    <cacheField name="Amt3" numFmtId="165">
      <sharedItems containsSemiMixedTypes="0" containsString="0" containsNumber="1" minValue="0" maxValue="404596.72281599999"/>
    </cacheField>
    <cacheField name="Payable" numFmtId="165">
      <sharedItems containsSemiMixedTypes="0" containsString="0" containsNumber="1" minValue="0" maxValue="1174471.49"/>
    </cacheField>
    <cacheField name="Other Ded" numFmtId="165">
      <sharedItems containsSemiMixedTypes="0" containsString="0" containsNumber="1" minValue="0" maxValue="18000"/>
    </cacheField>
    <cacheField name="Sample Am" numFmtId="165">
      <sharedItems containsSemiMixedTypes="0" containsString="0" containsNumber="1" minValue="0" maxValue="10987.079424552001"/>
    </cacheField>
    <cacheField name="Loss Apportion" numFmtId="165">
      <sharedItems containsSemiMixedTypes="0" containsString="0" containsNumber="1" minValue="0" maxValue="66996.232295139649"/>
    </cacheField>
    <cacheField name="CF/Vet Ded" numFmtId="165">
      <sharedItems containsSemiMixedTypes="0" containsString="0" containsNumber="1" containsInteger="1" minValue="0" maxValue="200000"/>
    </cacheField>
    <cacheField name="Advance" numFmtId="165">
      <sharedItems containsSemiMixedTypes="0" containsString="0" containsNumber="1" minValue="0" maxValue="10083.329864516134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62607"/>
    </cacheField>
    <cacheField name="Unreg. Farmer payment" numFmtId="165">
      <sharedItems containsSemiMixedTypes="0" containsString="0" containsNumber="1" containsInteger="1" minValue="0" maxValue="154979"/>
    </cacheField>
    <cacheField name="Payment to MPGs A/c" numFmtId="165">
      <sharedItems containsSemiMixedTypes="0" containsString="0" containsNumber="1" minValue="-0.42999999999994998" maxValue="1174471.49"/>
    </cacheField>
    <cacheField name="Closing Reserve" numFmtId="165">
      <sharedItems containsSemiMixedTypes="0" containsString="0" containsNumber="1" containsInteger="1" minValue="-65489" maxValue="99079"/>
    </cacheField>
    <cacheField name="Stop Payment" numFmtId="165">
      <sharedItems containsMixedTypes="1" containsNumber="1" containsInteger="1" minValue="0" maxValue="0"/>
    </cacheField>
    <cacheField name="Vol Penalty Amount " numFmtId="168">
      <sharedItems containsSemiMixedTypes="0" containsString="0" containsNumber="1" minValue="0" maxValue="955.5305838383839"/>
    </cacheField>
    <cacheField name="Vol4" numFmtId="168">
      <sharedItems containsSemiMixedTypes="0" containsString="0" containsNumber="1" minValue="0" maxValue="100"/>
    </cacheField>
    <cacheField name="loss/gain" numFmtId="9">
      <sharedItems containsSemiMixedTypes="0" containsString="0" containsNumber="1" minValue="-10.087521243074908" maxValue="1"/>
    </cacheField>
    <cacheField name="Nos.Of farmer" numFmtId="0">
      <sharedItems containsSemiMixedTypes="0" containsString="0" containsNumber="1" containsInteger="1" minValue="0" maxValue="78"/>
    </cacheField>
    <cacheField name="Field33" caption="Field33" numFmtId="0">
      <sharedItems containsNonDate="0" containsString="0" containsBlank="1"/>
    </cacheField>
    <cacheField name="Field34" caption="Field34" numFmtId="0">
      <sharedItems containsBlank="1"/>
    </cacheField>
    <cacheField name="Field35" caption="Field35" numFmtId="0">
      <sharedItems containsNonDate="0" containsString="0" containsBlank="1"/>
    </cacheField>
    <cacheField name="EMI Recovery" numFmtId="166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3.503489583331" createdVersion="8" refreshedVersion="8" minRefreshableVersion="3" recordCount="3837" xr:uid="{0E802554-1856-4E2C-B369-7B1A58ED1951}">
  <cacheSource type="worksheet">
    <worksheetSource ref="E2:AB3839" sheet="MPG Payment "/>
  </cacheSource>
  <cacheFields count="24">
    <cacheField name="Code " numFmtId="0">
      <sharedItems containsSemiMixedTypes="0" containsString="0" containsNumber="1" containsInteger="1" minValue="10010006" maxValue="10660025" count="1033">
        <n v="10010013"/>
        <n v="10010017"/>
        <n v="10010019"/>
        <n v="10010038"/>
        <n v="10010047"/>
        <n v="10010049"/>
        <n v="10010050"/>
        <n v="10010055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10140"/>
        <n v="10010141"/>
        <n v="10010143"/>
        <n v="10010144"/>
        <n v="10010145"/>
        <n v="10010146"/>
        <n v="10010147"/>
        <n v="10010148"/>
        <n v="10010149"/>
        <n v="10020002"/>
        <n v="10020004"/>
        <n v="10020006"/>
        <n v="10020008"/>
        <n v="10020010"/>
        <n v="10020012"/>
        <n v="10020015"/>
        <n v="10020016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7"/>
        <n v="10020078"/>
        <n v="10020079"/>
        <n v="10020080"/>
        <n v="10020081"/>
        <n v="10020082"/>
        <n v="10020083"/>
        <n v="10020084"/>
        <n v="10030002"/>
        <n v="10030003"/>
        <n v="10030007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79"/>
        <n v="10030080"/>
        <n v="10030081"/>
        <n v="10030082"/>
        <n v="10030084"/>
        <n v="10030085"/>
        <n v="10030086"/>
        <n v="10030087"/>
        <n v="10030088"/>
        <n v="10030089"/>
        <n v="10030090"/>
        <n v="10040001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49"/>
        <n v="10060050"/>
        <n v="10060055"/>
        <n v="10060058"/>
        <n v="10060061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6"/>
        <n v="10060107"/>
        <n v="10060111"/>
        <n v="10060113"/>
        <n v="10060114"/>
        <n v="10060116"/>
        <n v="10060117"/>
        <n v="10060118"/>
        <n v="10060120"/>
        <n v="10060122"/>
        <n v="10060124"/>
        <n v="10060125"/>
        <n v="10060126"/>
        <n v="10060129"/>
        <n v="10060130"/>
        <n v="10060132"/>
        <n v="10060133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3"/>
        <n v="10070039"/>
        <n v="10070042"/>
        <n v="10070043"/>
        <n v="10070045"/>
        <n v="10070046"/>
        <n v="10070048"/>
        <n v="10070053"/>
        <n v="10070056"/>
        <n v="10070058"/>
        <n v="10070059"/>
        <n v="10070060"/>
        <n v="10070061"/>
        <n v="10070063"/>
        <n v="10070064"/>
        <n v="10070065"/>
        <n v="10070074"/>
        <n v="10070076"/>
        <n v="10070077"/>
        <n v="10070078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5"/>
        <n v="10080032"/>
        <n v="10080039"/>
        <n v="10080040"/>
        <n v="10080048"/>
        <n v="10080052"/>
        <n v="10080053"/>
        <n v="10080054"/>
        <n v="10080055"/>
        <n v="10080061"/>
        <n v="10080062"/>
        <n v="10080067"/>
        <n v="10080076"/>
        <n v="10080077"/>
        <n v="10080078"/>
        <n v="10080079"/>
        <n v="10080080"/>
        <n v="10080082"/>
        <n v="10080083"/>
        <n v="10080087"/>
        <n v="10080088"/>
        <n v="10080089"/>
        <n v="10080090"/>
        <n v="10080093"/>
        <n v="10080095"/>
        <n v="10080097"/>
        <n v="10080099"/>
        <n v="10080100"/>
        <n v="10080107"/>
        <n v="10080112"/>
        <n v="10080113"/>
        <n v="10080115"/>
        <n v="10080119"/>
        <n v="10080120"/>
        <n v="10080122"/>
        <n v="10080124"/>
        <n v="10080126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59"/>
        <n v="10090060"/>
        <n v="10090061"/>
        <n v="10090063"/>
        <n v="10090064"/>
        <n v="10090065"/>
        <n v="10090072"/>
        <n v="10090074"/>
        <n v="10090075"/>
        <n v="10090076"/>
        <n v="10090077"/>
        <n v="10090078"/>
        <n v="10090079"/>
        <n v="10090080"/>
        <n v="10100001"/>
        <n v="10100003"/>
        <n v="10100004"/>
        <n v="10100009"/>
        <n v="10100014"/>
        <n v="10100016"/>
        <n v="10100021"/>
        <n v="10100026"/>
        <n v="10100033"/>
        <n v="10100037"/>
        <n v="10100044"/>
        <n v="10100049"/>
        <n v="10100051"/>
        <n v="10100054"/>
        <n v="10100060"/>
        <n v="10100061"/>
        <n v="10100062"/>
        <n v="10100065"/>
        <n v="10100067"/>
        <n v="1010007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4"/>
        <n v="10110166"/>
        <n v="10110167"/>
        <n v="10110168"/>
        <n v="10110172"/>
        <n v="10110173"/>
        <n v="10110176"/>
        <n v="10110177"/>
        <n v="10110178"/>
        <n v="10110181"/>
        <n v="10110183"/>
        <n v="10110184"/>
        <n v="10110185"/>
        <n v="10110186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6"/>
        <n v="10120071"/>
        <n v="10120080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09"/>
        <n v="10120110"/>
        <n v="10120111"/>
        <n v="10120113"/>
        <n v="10120114"/>
        <n v="10120115"/>
        <n v="10120116"/>
        <n v="10120119"/>
        <n v="10120120"/>
        <n v="10120122"/>
        <n v="10120123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3"/>
        <n v="10130074"/>
        <n v="10130077"/>
        <n v="10130080"/>
        <n v="10130081"/>
        <n v="10130083"/>
        <n v="10130085"/>
        <n v="10130093"/>
        <n v="10130097"/>
        <n v="10130098"/>
        <n v="10130100"/>
        <n v="10130101"/>
        <n v="10130102"/>
        <n v="10130107"/>
        <n v="10130111"/>
        <n v="10130114"/>
        <n v="10130115"/>
        <n v="10130116"/>
        <n v="10130117"/>
        <n v="10130118"/>
        <n v="10130121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3"/>
        <n v="10140045"/>
        <n v="10140047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1"/>
        <n v="10140147"/>
        <n v="10140152"/>
        <n v="10140153"/>
        <n v="10140156"/>
        <n v="10140157"/>
        <n v="10140166"/>
        <n v="10140167"/>
        <n v="10140170"/>
        <n v="10140173"/>
        <n v="10140174"/>
        <n v="10140176"/>
        <n v="10140179"/>
        <n v="10140180"/>
        <n v="10140181"/>
        <n v="10140185"/>
        <n v="10140194"/>
        <n v="10140196"/>
        <n v="10140197"/>
        <n v="10140198"/>
        <n v="10140201"/>
        <n v="10140204"/>
        <n v="10140205"/>
        <n v="10140206"/>
        <n v="10180001"/>
        <n v="1022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370001"/>
        <n v="10380001"/>
        <n v="10390001"/>
        <n v="10400001"/>
        <n v="10410001"/>
        <n v="10440001"/>
        <n v="10460001"/>
        <n v="10460002"/>
        <n v="10480001"/>
        <n v="10480002"/>
        <n v="10480003"/>
        <n v="10480005"/>
        <n v="10480008"/>
        <n v="10480012"/>
        <n v="10480016"/>
        <n v="10480022"/>
        <n v="10480023"/>
        <n v="10480028"/>
        <n v="10480033"/>
        <n v="10480034"/>
        <n v="10480036"/>
        <n v="10500001"/>
        <n v="10510001"/>
        <n v="10510002"/>
        <n v="10510004"/>
        <n v="10520006"/>
        <n v="10520010"/>
        <n v="10520011"/>
        <n v="10530001"/>
        <n v="10530002"/>
        <n v="10530003"/>
        <n v="10530005"/>
        <n v="10530006"/>
        <n v="10530007"/>
        <n v="10530008"/>
        <n v="10530009"/>
        <n v="10530010"/>
        <n v="10530015"/>
        <n v="10530016"/>
        <n v="10530017"/>
        <n v="10530018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0"/>
        <n v="10530055"/>
        <n v="10530058"/>
        <n v="10530059"/>
        <n v="10530060"/>
        <n v="10530062"/>
        <n v="10530063"/>
        <n v="10530064"/>
        <n v="10530065"/>
        <n v="10530067"/>
        <n v="10530070"/>
        <n v="10530071"/>
        <n v="10530072"/>
        <n v="10530074"/>
        <n v="10530076"/>
        <n v="10530077"/>
        <n v="10530078"/>
        <n v="10530079"/>
        <n v="10530080"/>
        <n v="10530081"/>
        <n v="10530082"/>
        <n v="10530084"/>
        <n v="10530085"/>
        <n v="10530089"/>
        <n v="10530090"/>
        <n v="10530091"/>
        <n v="10530092"/>
        <n v="10530093"/>
        <n v="10530096"/>
        <n v="10530097"/>
        <n v="10530100"/>
        <n v="10530101"/>
        <n v="10530102"/>
        <n v="10530103"/>
        <n v="10530105"/>
        <n v="10530106"/>
        <n v="10530107"/>
        <n v="10530108"/>
        <n v="10530109"/>
        <n v="10530110"/>
        <n v="10530111"/>
        <n v="10530112"/>
        <n v="10530113"/>
        <n v="10530115"/>
        <n v="10540003"/>
        <n v="10540005"/>
        <n v="10540008"/>
        <n v="10540009"/>
        <n v="10540010"/>
        <n v="10540012"/>
        <n v="10540014"/>
        <n v="10540016"/>
        <n v="10540017"/>
        <n v="10540018"/>
        <n v="10540019"/>
        <n v="10540020"/>
        <n v="10540021"/>
        <n v="10540026"/>
        <n v="10540027"/>
        <n v="10540032"/>
        <n v="10540034"/>
        <n v="10540039"/>
        <n v="10540041"/>
        <n v="10540042"/>
        <n v="10540044"/>
        <n v="10540045"/>
        <n v="10540046"/>
        <n v="10540048"/>
        <n v="10550001"/>
        <n v="10550002"/>
        <n v="10550005"/>
        <n v="10550007"/>
        <n v="10550009"/>
        <n v="10560001"/>
        <n v="10560002"/>
        <n v="10560004"/>
        <n v="10560005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7"/>
        <n v="10560028"/>
        <n v="10560029"/>
        <n v="10560031"/>
        <n v="10560033"/>
        <n v="10560034"/>
        <n v="10560035"/>
        <n v="10560036"/>
        <n v="10560037"/>
        <n v="10570001"/>
        <n v="10570003"/>
        <n v="10570007"/>
        <n v="10570008"/>
        <n v="10570009"/>
        <n v="10570010"/>
        <n v="10570013"/>
        <n v="10570015"/>
        <n v="10570016"/>
        <n v="10570017"/>
        <n v="10570018"/>
        <n v="10570019"/>
        <n v="10570020"/>
        <n v="10570021"/>
        <n v="10570022"/>
        <n v="10570024"/>
        <n v="10570025"/>
        <n v="10570026"/>
        <n v="10570028"/>
        <n v="10570029"/>
        <n v="10570030"/>
        <n v="10570031"/>
        <n v="10570033"/>
        <n v="10570036"/>
        <n v="10570037"/>
        <n v="10570038"/>
        <n v="10570042"/>
        <n v="10570044"/>
        <n v="10570045"/>
        <n v="10570046"/>
        <n v="10570047"/>
        <n v="10570049"/>
        <n v="10570053"/>
        <n v="10570055"/>
        <n v="10570056"/>
        <n v="10570057"/>
        <n v="10570058"/>
        <n v="10570059"/>
        <n v="10570060"/>
        <n v="10570062"/>
        <n v="10580001"/>
        <n v="10580002"/>
        <n v="10580004"/>
        <n v="10580005"/>
        <n v="10580007"/>
        <n v="10580009"/>
        <n v="10580010"/>
        <n v="10580012"/>
        <n v="10580013"/>
        <n v="10580015"/>
        <n v="10580017"/>
        <n v="10580018"/>
        <n v="10580019"/>
        <n v="10580022"/>
        <n v="10580023"/>
        <n v="10580024"/>
        <n v="10580025"/>
        <n v="10580026"/>
        <n v="10580027"/>
        <n v="10580028"/>
        <n v="10580029"/>
        <n v="10580030"/>
        <n v="10590001"/>
        <n v="10590002"/>
        <n v="10590004"/>
        <n v="10590006"/>
        <n v="10590008"/>
        <n v="10590010"/>
        <n v="10590011"/>
        <n v="10590012"/>
        <n v="10590013"/>
        <n v="10590014"/>
        <n v="10590015"/>
        <n v="10590016"/>
        <n v="10600001"/>
        <n v="10600002"/>
        <n v="10600004"/>
        <n v="10600005"/>
        <n v="10600006"/>
        <n v="10600008"/>
        <n v="10600009"/>
        <n v="10600012"/>
        <n v="10600013"/>
        <n v="10610001"/>
        <n v="10610002"/>
        <n v="10610003"/>
        <n v="10610004"/>
        <n v="10610005"/>
        <n v="10610006"/>
        <n v="10610007"/>
        <n v="10610008"/>
        <n v="10610009"/>
        <n v="10610010"/>
        <n v="10610011"/>
        <n v="10610013"/>
        <n v="10610015"/>
        <n v="10610017"/>
        <n v="10610018"/>
        <n v="10610019"/>
        <n v="10610020"/>
        <n v="10610022"/>
        <n v="10610024"/>
        <n v="10610025"/>
        <n v="10610026"/>
        <n v="10610027"/>
        <n v="10610028"/>
        <n v="10610034"/>
        <n v="10610035"/>
        <n v="10610036"/>
        <n v="10610038"/>
        <n v="10610039"/>
        <n v="10610044"/>
        <n v="10610045"/>
        <n v="10610046"/>
        <n v="10610050"/>
        <n v="10610051"/>
        <n v="10610052"/>
        <n v="10630001"/>
        <n v="10630002"/>
        <n v="10630003"/>
        <n v="10630004"/>
        <n v="10630007"/>
        <n v="10630008"/>
        <n v="10630009"/>
        <n v="10630010"/>
        <n v="10630011"/>
        <n v="10630012"/>
        <n v="10630013"/>
        <n v="10630014"/>
        <n v="10630015"/>
        <n v="10630016"/>
        <n v="10630017"/>
        <n v="10630018"/>
        <n v="10630019"/>
        <n v="10640001"/>
        <n v="10640002"/>
        <n v="10640003"/>
        <n v="10640004"/>
        <n v="10640005"/>
        <n v="10640006"/>
        <n v="10640007"/>
        <n v="10640008"/>
        <n v="10640009"/>
        <n v="10640010"/>
        <n v="10640011"/>
        <n v="10650001"/>
        <n v="10650003"/>
        <n v="10650004"/>
        <n v="10650006"/>
        <n v="10650008"/>
        <n v="10650011"/>
        <n v="10010051"/>
        <n v="10020013"/>
        <n v="10020052"/>
        <n v="10020087"/>
        <n v="10060051"/>
        <n v="10060109"/>
        <n v="10080043"/>
        <n v="10080117"/>
        <n v="10100028"/>
        <n v="10100045"/>
        <n v="10110187"/>
        <n v="10130051"/>
        <n v="10130113"/>
        <n v="10130120"/>
        <n v="10140048"/>
        <n v="10140203"/>
        <n v="10520007"/>
        <n v="10530013"/>
        <n v="10530014"/>
        <n v="10530019"/>
        <n v="10530025"/>
        <n v="10530042"/>
        <n v="10530043"/>
        <n v="10530057"/>
        <n v="10530075"/>
        <n v="10530088"/>
        <n v="10530114"/>
        <n v="10540015"/>
        <n v="10540040"/>
        <n v="10540049"/>
        <n v="10550004"/>
        <n v="10550008"/>
        <n v="10560021"/>
        <n v="10570005"/>
        <n v="10610041"/>
        <n v="10660001"/>
        <n v="10660002"/>
        <n v="10660004"/>
        <n v="10660005"/>
        <n v="10660006"/>
        <n v="10660007"/>
        <n v="10660009"/>
        <n v="10660010"/>
        <n v="10660011"/>
        <n v="10660013"/>
        <n v="10660015"/>
        <n v="10660016"/>
        <n v="10660017"/>
        <n v="10660019"/>
        <n v="10660020"/>
        <n v="10660021"/>
        <n v="10660022"/>
        <n v="10660023"/>
        <n v="10660024"/>
        <n v="10010006"/>
        <n v="10010056"/>
        <n v="10010080"/>
        <n v="10020007"/>
        <n v="10060036"/>
        <n v="10060041"/>
        <n v="10060089"/>
        <n v="10060110"/>
        <n v="10080024"/>
        <n v="10080073"/>
        <n v="10080086"/>
        <n v="10080098"/>
        <n v="10080110"/>
        <n v="10100035"/>
        <n v="10100063"/>
        <n v="10100069"/>
        <n v="10100071"/>
        <n v="10110188"/>
        <n v="10120081"/>
        <n v="10130095"/>
        <n v="10140148"/>
        <n v="10140190"/>
        <n v="10140193"/>
        <n v="10200001"/>
        <n v="10430001"/>
        <n v="10530068"/>
        <n v="10530073"/>
        <n v="10570032"/>
        <n v="10610021"/>
        <n v="10610031"/>
        <n v="10610055"/>
        <n v="10610056"/>
        <n v="10650012"/>
        <n v="10660012"/>
        <n v="10010066"/>
        <n v="10020018"/>
        <n v="10030008"/>
        <n v="10030083"/>
        <n v="10060076"/>
        <n v="10060079"/>
        <n v="10060112"/>
        <n v="10070067"/>
        <n v="10080103"/>
        <n v="10100073"/>
        <n v="10110079"/>
        <n v="10130088"/>
        <n v="10130119"/>
        <n v="10140171"/>
        <n v="10140191"/>
        <n v="10480029"/>
        <n v="10650014"/>
        <n v="10650016"/>
        <n v="10660018"/>
        <n v="10660025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0.01" maxValue="40346"/>
    </cacheField>
    <cacheField name="BMC Amount" numFmtId="1">
      <sharedItems containsSemiMixedTypes="0" containsString="0" containsNumber="1" minValue="0.33" maxValue="1496370.9133680002"/>
    </cacheField>
    <cacheField name="Vol" numFmtId="165">
      <sharedItems containsSemiMixedTypes="0" containsString="0" containsNumber="1" minValue="0" maxValue="5785.4"/>
    </cacheField>
    <cacheField name="Amt" numFmtId="165">
      <sharedItems containsSemiMixedTypes="0" containsString="0" containsNumber="1" minValue="0" maxValue="214819.45047940098"/>
    </cacheField>
    <cacheField name="Vol2" numFmtId="165">
      <sharedItems containsSemiMixedTypes="0" containsString="0" containsNumber="1" minValue="0" maxValue="5729.2"/>
    </cacheField>
    <cacheField name="Amt2" numFmtId="165">
      <sharedItems containsSemiMixedTypes="0" containsString="0" containsNumber="1" minValue="0" maxValue="223463.61999935994"/>
    </cacheField>
    <cacheField name="Vol3" numFmtId="165">
      <sharedItems containsSemiMixedTypes="0" containsString="0" containsNumber="1" minValue="0" maxValue="7173.5999999999995"/>
    </cacheField>
    <cacheField name="Amt3" numFmtId="165">
      <sharedItems containsSemiMixedTypes="0" containsString="0" containsNumber="1" minValue="0" maxValue="287973.24490148725"/>
    </cacheField>
    <cacheField name="Payable" numFmtId="165">
      <sharedItems containsSemiMixedTypes="0" containsString="0" containsNumber="1" minValue="0" maxValue="1496370.9133680002"/>
    </cacheField>
    <cacheField name="Other Ded" numFmtId="165">
      <sharedItems containsSemiMixedTypes="0" containsString="0" containsNumber="1" containsInteger="1" minValue="0" maxValue="25028"/>
    </cacheField>
    <cacheField name="Sample Am" numFmtId="165">
      <sharedItems containsSemiMixedTypes="0" containsString="0" containsNumber="1" minValue="0" maxValue="3155.5039803012"/>
    </cacheField>
    <cacheField name="Loss Apportion" numFmtId="165">
      <sharedItems containsSemiMixedTypes="0" containsString="0" containsNumber="1" minValue="0" maxValue="71286.725696000009"/>
    </cacheField>
    <cacheField name="CF/Vet Ded" numFmtId="165">
      <sharedItems containsSemiMixedTypes="0" containsString="0" containsNumber="1" containsInteger="1" minValue="0" maxValue="63040"/>
    </cacheField>
    <cacheField name="Advance" numFmtId="165">
      <sharedItems containsSemiMixedTypes="0" containsString="0" containsNumber="1" minValue="0" maxValue="19326.096000000001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10151"/>
    </cacheField>
    <cacheField name="Unreg. Farmer payment" numFmtId="165">
      <sharedItems containsSemiMixedTypes="0" containsString="0" containsNumber="1" containsInteger="1" minValue="0" maxValue="223155"/>
    </cacheField>
    <cacheField name="Payment to MPGs A/c" numFmtId="165">
      <sharedItems containsSemiMixedTypes="0" containsString="0" containsNumber="1" minValue="-0.47714903225983107" maxValue="1496370.9133680002"/>
    </cacheField>
    <cacheField name="Closing Reserve" numFmtId="165">
      <sharedItems containsSemiMixedTypes="0" containsString="0" containsNumber="1" containsInteger="1" minValue="0" maxValue="131869"/>
    </cacheField>
    <cacheField name="Stop Payment" numFmtId="165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2.748113888891" createdVersion="8" refreshedVersion="8" minRefreshableVersion="3" recordCount="1033" xr:uid="{00000000-000A-0000-FFFF-FFFF0A000000}">
  <cacheSource type="worksheet">
    <worksheetSource ref="A3:AE1036" sheet="Shayak Income "/>
  </cacheSource>
  <cacheFields count="31">
    <cacheField name="AMCU" numFmtId="166">
      <sharedItems containsSemiMixedTypes="0" containsString="0" containsNumber="1" minValue="0" maxValue="108195"/>
    </cacheField>
    <cacheField name="Milk Cans" numFmtId="166">
      <sharedItems containsSemiMixedTypes="0" containsString="0" containsNumber="1" minValue="0" maxValue="32000"/>
    </cacheField>
    <cacheField name="Assets Value" numFmtId="166">
      <sharedItems containsSemiMixedTypes="0" containsString="0" containsNumber="1" minValue="0" maxValue="113639"/>
    </cacheField>
    <cacheField name="Code " numFmtId="0">
      <sharedItems containsSemiMixedTypes="0" containsString="0" containsNumber="1" containsInteger="1" minValue="10010006" maxValue="10660025" count="1502">
        <n v="10010013"/>
        <n v="10010017"/>
        <n v="10010019"/>
        <n v="10010038"/>
        <n v="10010047"/>
        <n v="10010050"/>
        <n v="10010051"/>
        <n v="10010055"/>
        <n v="10010056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20002"/>
        <n v="10020004"/>
        <n v="10020006"/>
        <n v="10020007"/>
        <n v="10020008"/>
        <n v="10020012"/>
        <n v="10020015"/>
        <n v="10020016"/>
        <n v="10020017"/>
        <n v="10020021"/>
        <n v="10020023"/>
        <n v="10020024"/>
        <n v="10020025"/>
        <n v="10020026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7"/>
        <n v="10020078"/>
        <n v="10020079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9"/>
        <n v="10030070"/>
        <n v="10030071"/>
        <n v="10030072"/>
        <n v="10030075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41"/>
        <n v="10060049"/>
        <n v="10060050"/>
        <n v="10060058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7"/>
        <n v="10060109"/>
        <n v="10060110"/>
        <n v="10060111"/>
        <n v="10060113"/>
        <n v="10060114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3"/>
        <n v="10070039"/>
        <n v="10070042"/>
        <n v="10070043"/>
        <n v="10070045"/>
        <n v="10070046"/>
        <n v="10070048"/>
        <n v="10070056"/>
        <n v="10070059"/>
        <n v="10070061"/>
        <n v="10070063"/>
        <n v="10070064"/>
        <n v="10070065"/>
        <n v="10070074"/>
        <n v="10070076"/>
        <n v="10080001"/>
        <n v="10080002"/>
        <n v="10080003"/>
        <n v="10080004"/>
        <n v="10080006"/>
        <n v="10080007"/>
        <n v="10080013"/>
        <n v="10080014"/>
        <n v="10080015"/>
        <n v="10080016"/>
        <n v="10080022"/>
        <n v="10080024"/>
        <n v="10080025"/>
        <n v="10080032"/>
        <n v="10080039"/>
        <n v="10080040"/>
        <n v="10080043"/>
        <n v="10080048"/>
        <n v="10080052"/>
        <n v="10080053"/>
        <n v="10080054"/>
        <n v="10080055"/>
        <n v="10080061"/>
        <n v="10080062"/>
        <n v="10080067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90"/>
        <n v="10080093"/>
        <n v="10080095"/>
        <n v="10080097"/>
        <n v="10080099"/>
        <n v="10080100"/>
        <n v="10080107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60"/>
        <n v="10090061"/>
        <n v="10090063"/>
        <n v="10090064"/>
        <n v="10090065"/>
        <n v="10100001"/>
        <n v="10100003"/>
        <n v="10100009"/>
        <n v="10100014"/>
        <n v="10100021"/>
        <n v="10100033"/>
        <n v="10100035"/>
        <n v="10100037"/>
        <n v="10100045"/>
        <n v="10100049"/>
        <n v="10100051"/>
        <n v="10100054"/>
        <n v="1010006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42"/>
        <n v="10110043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6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6"/>
        <n v="10120071"/>
        <n v="10120080"/>
        <n v="10120083"/>
        <n v="10120084"/>
        <n v="10120086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11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3"/>
        <n v="10130074"/>
        <n v="10130077"/>
        <n v="10130080"/>
        <n v="10130083"/>
        <n v="10130085"/>
        <n v="10130093"/>
        <n v="10130097"/>
        <n v="10130098"/>
        <n v="10130100"/>
        <n v="10130102"/>
        <n v="10130107"/>
        <n v="10140001"/>
        <n v="10140002"/>
        <n v="10140003"/>
        <n v="10140007"/>
        <n v="10140008"/>
        <n v="10140009"/>
        <n v="10140012"/>
        <n v="10140013"/>
        <n v="10140018"/>
        <n v="10140022"/>
        <n v="10140032"/>
        <n v="10140033"/>
        <n v="10140034"/>
        <n v="10140039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1"/>
        <n v="10140152"/>
        <n v="10140153"/>
        <n v="10140156"/>
        <n v="10140166"/>
        <n v="10140167"/>
        <n v="10140170"/>
        <n v="10140173"/>
        <n v="10140174"/>
        <n v="10140176"/>
        <n v="10140179"/>
        <n v="10140180"/>
        <n v="10140181"/>
        <n v="10140185"/>
        <n v="10180001"/>
        <n v="10220001"/>
        <n v="10240001"/>
        <n v="10250001"/>
        <n v="10260001"/>
        <n v="10290001"/>
        <n v="10300001"/>
        <n v="10310001"/>
        <n v="10320001"/>
        <n v="10340001"/>
        <n v="10350001"/>
        <n v="10360001"/>
        <n v="10370001"/>
        <n v="10380001"/>
        <n v="10390001"/>
        <n v="10400001"/>
        <n v="10410001"/>
        <n v="10440001"/>
        <n v="10460001"/>
        <n v="10460002"/>
        <n v="10480001"/>
        <n v="10480002"/>
        <n v="10480003"/>
        <n v="10480005"/>
        <n v="10480008"/>
        <n v="10480012"/>
        <n v="10480016"/>
        <n v="10480022"/>
        <n v="10480023"/>
        <n v="10480028"/>
        <n v="10480034"/>
        <n v="10500001"/>
        <n v="10510001"/>
        <n v="10510002"/>
        <n v="10510004"/>
        <n v="10520006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0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70"/>
        <n v="10530071"/>
        <n v="10530072"/>
        <n v="10530074"/>
        <n v="10530075"/>
        <n v="10530076"/>
        <n v="10530079"/>
        <n v="10530081"/>
        <n v="10530082"/>
        <n v="10540003"/>
        <n v="10540005"/>
        <n v="10540008"/>
        <n v="10540009"/>
        <n v="10540010"/>
        <n v="10540012"/>
        <n v="10540014"/>
        <n v="10540016"/>
        <n v="10540017"/>
        <n v="10540018"/>
        <n v="10540020"/>
        <n v="10540021"/>
        <n v="10560001"/>
        <n v="10560002"/>
        <n v="10560004"/>
        <n v="10560005"/>
        <n v="10560007"/>
        <n v="10020080"/>
        <n v="10030074"/>
        <n v="10060116"/>
        <n v="10080110"/>
        <n v="10530078"/>
        <n v="10530080"/>
        <n v="10540019"/>
        <n v="10060117"/>
        <n v="10060118"/>
        <n v="10550001"/>
        <n v="10020081"/>
        <n v="10020082"/>
        <n v="10030077"/>
        <n v="10090018"/>
        <n v="10530090"/>
        <n v="10570001"/>
        <n v="10570003"/>
        <n v="10570008"/>
        <n v="10570009"/>
        <n v="10570010"/>
        <n v="10110167"/>
        <n v="10330001"/>
        <n v="10530085"/>
        <n v="10570007"/>
        <n v="10010049"/>
        <n v="10020018"/>
        <n v="10060122"/>
        <n v="10120114"/>
        <n v="10550002"/>
        <n v="10570013"/>
        <n v="10570015"/>
        <n v="10080112"/>
        <n v="10080113"/>
        <n v="10120115"/>
        <n v="10530092"/>
        <n v="10530093"/>
        <n v="10540032"/>
        <n v="10570016"/>
        <n v="10580001"/>
        <n v="10090059"/>
        <n v="10530091"/>
        <n v="10080012"/>
        <n v="10530089"/>
        <n v="10560015"/>
        <n v="10580004"/>
        <n v="10020010"/>
        <n v="10560017"/>
        <n v="10560019"/>
        <n v="10570018"/>
        <n v="10570019"/>
        <n v="10570020"/>
        <n v="10570021"/>
        <n v="10570022"/>
        <n v="10570024"/>
        <n v="10580002"/>
        <n v="10020013"/>
        <n v="10020084"/>
        <n v="10030078"/>
        <n v="10060106"/>
        <n v="10110164"/>
        <n v="10110168"/>
        <n v="10110173"/>
        <n v="10480033"/>
        <n v="10570025"/>
        <n v="10570026"/>
        <n v="10020083"/>
        <n v="10030079"/>
        <n v="10030080"/>
        <n v="10030081"/>
        <n v="10120113"/>
        <n v="10530084"/>
        <n v="10030068"/>
        <n v="10060124"/>
        <n v="10080115"/>
        <n v="10110032"/>
        <n v="10110049"/>
        <n v="10110172"/>
        <n v="10120110"/>
        <n v="10120116"/>
        <n v="10130081"/>
        <n v="10130111"/>
        <n v="10140020"/>
        <n v="10430001"/>
        <n v="10530096"/>
        <n v="10530097"/>
        <n v="10540026"/>
        <n v="10540034"/>
        <n v="10560011"/>
        <n v="10560012"/>
        <n v="10570017"/>
        <n v="10580005"/>
        <n v="10580007"/>
        <n v="10010140"/>
        <n v="10080089"/>
        <n v="10100016"/>
        <n v="10100044"/>
        <n v="10110176"/>
        <n v="10130088"/>
        <n v="10140157"/>
        <n v="10140193"/>
        <n v="10540027"/>
        <n v="10070058"/>
        <n v="10080117"/>
        <n v="10090072"/>
        <n v="10540039"/>
        <n v="10540040"/>
        <n v="10570028"/>
        <n v="10570029"/>
        <n v="10570030"/>
        <n v="10570031"/>
        <n v="10570033"/>
        <n v="10580009"/>
        <n v="10040001"/>
        <n v="10070053"/>
        <n v="10110178"/>
        <n v="10130113"/>
        <n v="10140196"/>
        <n v="10530077"/>
        <n v="10060125"/>
        <n v="10060126"/>
        <n v="10090074"/>
        <n v="10120119"/>
        <n v="10140194"/>
        <n v="10140197"/>
        <n v="10140198"/>
        <n v="10560025"/>
        <n v="10570037"/>
        <n v="10570038"/>
        <n v="10030082"/>
        <n v="10080119"/>
        <n v="10090075"/>
        <n v="10130114"/>
        <n v="10140147"/>
        <n v="10480036"/>
        <n v="10520010"/>
        <n v="10540015"/>
        <n v="10540041"/>
        <n v="10030084"/>
        <n v="10030085"/>
        <n v="10090076"/>
        <n v="10090077"/>
        <n v="10530101"/>
        <n v="10530103"/>
        <n v="10560022"/>
        <n v="10560026"/>
        <n v="10590001"/>
        <n v="10590002"/>
        <n v="10590004"/>
        <n v="10010141"/>
        <n v="10070060"/>
        <n v="10070077"/>
        <n v="10070078"/>
        <n v="10140201"/>
        <n v="10530100"/>
        <n v="10530102"/>
        <n v="10580010"/>
        <n v="10580012"/>
        <n v="10580015"/>
        <n v="10580017"/>
        <n v="10590006"/>
        <n v="10100004"/>
        <n v="10100026"/>
        <n v="10100062"/>
        <n v="10120122"/>
        <n v="10540042"/>
        <n v="10580018"/>
        <n v="10090078"/>
        <n v="10130115"/>
        <n v="10130116"/>
        <n v="10530073"/>
        <n v="10540044"/>
        <n v="10570036"/>
        <n v="10600001"/>
        <n v="10600002"/>
        <n v="10600004"/>
        <n v="10600006"/>
        <n v="10600008"/>
        <n v="10600009"/>
        <n v="10610002"/>
        <n v="10610006"/>
        <n v="10610007"/>
        <n v="10610008"/>
        <n v="10610010"/>
        <n v="10060130"/>
        <n v="10100065"/>
        <n v="10140203"/>
        <n v="10530105"/>
        <n v="10560027"/>
        <n v="10600005"/>
        <n v="10020027"/>
        <n v="10080120"/>
        <n v="10110177"/>
        <n v="10120088"/>
        <n v="10130117"/>
        <n v="10530107"/>
        <n v="10540045"/>
        <n v="10560034"/>
        <n v="10570045"/>
        <n v="10570046"/>
        <n v="10580022"/>
        <n v="10580023"/>
        <n v="10610009"/>
        <n v="10060129"/>
        <n v="10080122"/>
        <n v="10110181"/>
        <n v="10110183"/>
        <n v="10110184"/>
        <n v="10130118"/>
        <n v="10530109"/>
        <n v="10630001"/>
        <n v="10630003"/>
        <n v="10630007"/>
        <n v="10630008"/>
        <n v="10630009"/>
        <n v="10630010"/>
        <n v="10630011"/>
        <n v="10630012"/>
        <n v="10060051"/>
        <n v="10060120"/>
        <n v="10080124"/>
        <n v="10110185"/>
        <n v="10120120"/>
        <n v="10120123"/>
        <n v="10140205"/>
        <n v="10550005"/>
        <n v="10550007"/>
        <n v="10590008"/>
        <n v="10590010"/>
        <n v="10590011"/>
        <n v="10590012"/>
        <n v="10060055"/>
        <n v="10140206"/>
        <n v="10530106"/>
        <n v="10530108"/>
        <n v="10530110"/>
        <n v="10560016"/>
        <n v="10560029"/>
        <n v="10570047"/>
        <n v="10630004"/>
        <n v="10640001"/>
        <n v="10640003"/>
        <n v="10640004"/>
        <n v="10640005"/>
        <n v="10640006"/>
        <n v="10640007"/>
        <n v="10060061"/>
        <n v="10100061"/>
        <n v="10130101"/>
        <n v="10560028"/>
        <n v="10560031"/>
        <n v="10570044"/>
        <n v="10570049"/>
        <n v="10600012"/>
        <n v="10600013"/>
        <n v="10610001"/>
        <n v="10610003"/>
        <n v="10610004"/>
        <n v="10610005"/>
        <n v="10610011"/>
        <n v="10610013"/>
        <n v="10610015"/>
        <n v="10610017"/>
        <n v="10610018"/>
        <n v="10610020"/>
        <n v="10610022"/>
        <n v="10610025"/>
        <n v="10630016"/>
        <n v="10630017"/>
        <n v="10630019"/>
        <n v="10650001"/>
        <n v="10650003"/>
        <n v="10650006"/>
        <n v="10110188"/>
        <n v="10540046"/>
        <n v="10550008"/>
        <n v="10570053"/>
        <n v="10610019"/>
        <n v="10610021"/>
        <n v="10610024"/>
        <n v="10630015"/>
        <n v="10640010"/>
        <n v="10640011"/>
        <n v="10010143"/>
        <n v="10010144"/>
        <n v="10010145"/>
        <n v="10010146"/>
        <n v="10010147"/>
        <n v="10010148"/>
        <n v="10010149"/>
        <n v="10080126"/>
        <n v="10090079"/>
        <n v="10100069"/>
        <n v="10100070"/>
        <n v="10110186"/>
        <n v="10110187"/>
        <n v="10120109"/>
        <n v="10530042"/>
        <n v="10530111"/>
        <n v="10530112"/>
        <n v="10540048"/>
        <n v="10540049"/>
        <n v="10560033"/>
        <n v="10560036"/>
        <n v="10560037"/>
        <n v="10570055"/>
        <n v="10570056"/>
        <n v="10570057"/>
        <n v="10580019"/>
        <n v="10580024"/>
        <n v="10580025"/>
        <n v="10580026"/>
        <n v="10580027"/>
        <n v="10580028"/>
        <n v="10580029"/>
        <n v="10580030"/>
        <n v="10590013"/>
        <n v="10590014"/>
        <n v="10590015"/>
        <n v="10610026"/>
        <n v="10610027"/>
        <n v="10610028"/>
        <n v="10610031"/>
        <n v="10610034"/>
        <n v="10610035"/>
        <n v="10610036"/>
        <n v="10610038"/>
        <n v="10610039"/>
        <n v="10630002"/>
        <n v="10640009"/>
        <n v="10650004"/>
        <n v="10060132"/>
        <n v="10130119"/>
        <n v="10560035"/>
        <n v="10570042"/>
        <n v="10610044"/>
        <n v="10610045"/>
        <n v="10610046"/>
        <n v="10630013"/>
        <n v="10630014"/>
        <n v="10650012"/>
        <n v="10010080"/>
        <n v="10060133"/>
        <n v="10140204"/>
        <n v="10520011"/>
        <n v="10530115"/>
        <n v="10550009"/>
        <n v="10570058"/>
        <n v="10570059"/>
        <n v="10570060"/>
        <n v="10590016"/>
        <n v="10630018"/>
        <n v="10640002"/>
        <n v="10650008"/>
        <n v="10100067"/>
        <n v="10140148"/>
        <n v="10530113"/>
        <n v="10610050"/>
        <n v="10610051"/>
        <n v="10650011"/>
        <n v="10130027"/>
        <n v="10610052"/>
        <n v="10030086"/>
        <n v="10030087"/>
        <n v="10030088"/>
        <n v="10030089"/>
        <n v="10030090"/>
        <n v="10090080"/>
        <n v="10130121"/>
        <n v="10570062"/>
        <n v="10580013"/>
        <n v="10640008"/>
        <n v="10020052"/>
        <n v="10020087"/>
        <n v="10100028"/>
        <n v="10130051"/>
        <n v="10130120"/>
        <n v="10520007"/>
        <n v="10530043"/>
        <n v="10530088"/>
        <n v="10530114"/>
        <n v="10550004"/>
        <n v="10560021"/>
        <n v="10570005"/>
        <n v="10610041"/>
        <n v="10660001"/>
        <n v="10660002"/>
        <n v="10660004"/>
        <n v="10660005"/>
        <n v="10660006"/>
        <n v="10660007"/>
        <n v="10660009"/>
        <n v="10660010"/>
        <n v="10660011"/>
        <n v="10660013"/>
        <n v="10660015"/>
        <n v="10660016"/>
        <n v="10660017"/>
        <n v="10660019"/>
        <n v="10660020"/>
        <n v="10660021"/>
        <n v="10660022"/>
        <n v="10660023"/>
        <n v="10660024"/>
        <n v="10010006"/>
        <n v="10060036"/>
        <n v="10060089"/>
        <n v="10080073"/>
        <n v="10080098"/>
        <n v="10100063"/>
        <n v="10100071"/>
        <n v="10120081"/>
        <n v="10130095"/>
        <n v="10140190"/>
        <n v="10200001"/>
        <n v="10570032"/>
        <n v="10610055"/>
        <n v="10610056"/>
        <n v="10660012"/>
        <n v="10010066"/>
        <n v="10030083"/>
        <n v="10060076"/>
        <n v="10060079"/>
        <n v="10060112"/>
        <n v="10070067"/>
        <n v="10080103"/>
        <n v="10100073"/>
        <n v="10110079"/>
        <n v="10140171"/>
        <n v="10140191"/>
        <n v="10480029"/>
        <n v="10650014"/>
        <n v="10650016"/>
        <n v="10660018"/>
        <n v="10660025"/>
        <n v="10010021" u="1"/>
        <n v="10010044" u="1"/>
        <n v="10010059" u="1"/>
        <n v="10010071" u="1"/>
        <n v="10010094" u="1"/>
        <n v="10010102" u="1"/>
        <n v="10010112" u="1"/>
        <n v="10010117" u="1"/>
        <n v="10010124" u="1"/>
        <n v="10020014" u="1"/>
        <n v="10020020" u="1"/>
        <n v="10020028" u="1"/>
        <n v="10020037" u="1"/>
        <n v="10020051" u="1"/>
        <n v="10020076" u="1"/>
        <n v="10030004" u="1"/>
        <n v="10030030" u="1"/>
        <n v="10030062" u="1"/>
        <n v="10030067" u="1"/>
        <n v="10030073" u="1"/>
        <n v="10060025" u="1"/>
        <n v="10060033" u="1"/>
        <n v="10060037" u="1"/>
        <n v="10060044" u="1"/>
        <n v="10060045" u="1"/>
        <n v="10060048" u="1"/>
        <n v="10060052" u="1"/>
        <n v="10060056" u="1"/>
        <n v="10060064" u="1"/>
        <n v="10060071" u="1"/>
        <n v="10060073" u="1"/>
        <n v="10060082" u="1"/>
        <n v="10060084" u="1"/>
        <n v="10060085" u="1"/>
        <n v="10060087" u="1"/>
        <n v="10060095" u="1"/>
        <n v="10060100" u="1"/>
        <n v="10060115" u="1"/>
        <n v="10070021" u="1"/>
        <n v="10070031" u="1"/>
        <n v="10070036" u="1"/>
        <n v="10070044" u="1"/>
        <n v="10070049" u="1"/>
        <n v="10070057" u="1"/>
        <n v="10080020" u="1"/>
        <n v="10080041" u="1"/>
        <n v="10080042" u="1"/>
        <n v="10080051" u="1"/>
        <n v="10080065" u="1"/>
        <n v="10080070" u="1"/>
        <n v="10080072" u="1"/>
        <n v="10080096" u="1"/>
        <n v="10080109" u="1"/>
        <n v="10090004" u="1"/>
        <n v="10090010" u="1"/>
        <n v="10090026" u="1"/>
        <n v="10090028" u="1"/>
        <n v="10090030" u="1"/>
        <n v="10090040" u="1"/>
        <n v="10090054" u="1"/>
        <n v="10090057" u="1"/>
        <n v="10090066" u="1"/>
        <n v="10090069" u="1"/>
        <n v="10100019" u="1"/>
        <n v="10100024" u="1"/>
        <n v="10100048" u="1"/>
        <n v="10100057" u="1"/>
        <n v="10110011" u="1"/>
        <n v="10110033" u="1"/>
        <n v="10110059" u="1"/>
        <n v="10110091" u="1"/>
        <n v="10110112" u="1"/>
        <n v="10110113" u="1"/>
        <n v="10110115" u="1"/>
        <n v="10110127" u="1"/>
        <n v="10110131" u="1"/>
        <n v="10110142" u="1"/>
        <n v="10110145" u="1"/>
        <n v="10110148" u="1"/>
        <n v="10110165" u="1"/>
        <n v="10120004" u="1"/>
        <n v="10120021" u="1"/>
        <n v="10120030" u="1"/>
        <n v="10120047" u="1"/>
        <n v="10120054" u="1"/>
        <n v="10120065" u="1"/>
        <n v="10120090" u="1"/>
        <n v="10120105" u="1"/>
        <n v="10120112" u="1"/>
        <n v="10130013" u="1"/>
        <n v="10130014" u="1"/>
        <n v="10130063" u="1"/>
        <n v="10130070" u="1"/>
        <n v="10130091" u="1"/>
        <n v="10130094" u="1"/>
        <n v="10130103" u="1"/>
        <n v="10130106" u="1"/>
        <n v="10140004" u="1"/>
        <n v="10140006" u="1"/>
        <n v="10140010" u="1"/>
        <n v="10140038" u="1"/>
        <n v="10140041" u="1"/>
        <n v="10140058" u="1"/>
        <n v="10140107" u="1"/>
        <n v="10140114" u="1"/>
        <n v="10140119" u="1"/>
        <n v="10140122" u="1"/>
        <n v="10140130" u="1"/>
        <n v="10140138" u="1"/>
        <n v="10140145" u="1"/>
        <n v="10140155" u="1"/>
        <n v="10140159" u="1"/>
        <n v="10140172" u="1"/>
        <n v="10140175" u="1"/>
        <n v="10140178" u="1"/>
        <n v="10140183" u="1"/>
        <n v="10230001" u="1"/>
        <n v="10480014" u="1"/>
        <n v="10480035" u="1"/>
        <n v="10530020" u="1"/>
        <n v="10530021" u="1"/>
        <n v="10530023" u="1"/>
        <n v="10530024" u="1"/>
        <n v="10530027" u="1"/>
        <n v="10530037" u="1"/>
        <n v="10530053" u="1"/>
        <n v="10530054" u="1"/>
        <n v="10530069" u="1"/>
        <n v="10540007" u="1"/>
        <n v="10540024" u="1"/>
        <n v="10540025" u="1"/>
        <n v="10560003" u="1"/>
        <n v="10030076" u="1"/>
        <n v="10080108" u="1"/>
        <n v="10140011" u="1"/>
        <n v="10140186" u="1"/>
        <n v="10560008" u="1"/>
        <n v="10110147" u="1"/>
        <n v="10540028" u="1"/>
        <n v="10540029" u="1"/>
        <n v="10570002" u="1"/>
        <n v="10570004" u="1"/>
        <n v="10570011" u="1"/>
        <n v="10010135" u="1"/>
        <n v="10100056" u="1"/>
        <n v="10540036" u="1"/>
        <n v="10570012" u="1"/>
        <n v="10060013" u="1"/>
        <n v="10060119" u="1"/>
        <n v="10070015" u="1"/>
        <n v="10110048" u="1"/>
        <n v="10120085" u="1"/>
        <n v="10570014" u="1"/>
        <n v="10010137" u="1"/>
        <n v="10060121" u="1"/>
        <n v="10080111" u="1"/>
        <n v="10090039" u="1"/>
        <n v="10120097" u="1"/>
        <n v="10130108" u="1"/>
        <n v="10130109" u="1"/>
        <n v="10130110" u="1"/>
        <n v="10140187" u="1"/>
        <n v="10540031" u="1"/>
        <n v="10080005" u="1"/>
        <n v="10010101" u="1"/>
        <n v="10120042" u="1"/>
        <n v="10010079" u="1"/>
        <n v="10010123" u="1"/>
        <n v="10010132" u="1"/>
        <n v="10020056" u="1"/>
        <n v="10060043" u="1"/>
        <n v="10060081" u="1"/>
        <n v="10060091" u="1"/>
        <n v="10060099" u="1"/>
        <n v="10060101" u="1"/>
        <n v="10060105" u="1"/>
        <n v="10070066" u="1"/>
        <n v="10070072" u="1"/>
        <n v="10080027" u="1"/>
        <n v="10080057" u="1"/>
        <n v="10080075" u="1"/>
        <n v="10080106" u="1"/>
        <n v="10090070" u="1"/>
        <n v="10100007" u="1"/>
        <n v="10100015" u="1"/>
        <n v="10100055" u="1"/>
        <n v="10110056" u="1"/>
        <n v="10110157" u="1"/>
        <n v="10120067" u="1"/>
        <n v="10120070" u="1"/>
        <n v="10120072" u="1"/>
        <n v="10120082" u="1"/>
        <n v="10130004" u="1"/>
        <n v="10130007" u="1"/>
        <n v="10130009" u="1"/>
        <n v="10130023" u="1"/>
        <n v="10130079" u="1"/>
        <n v="10130105" u="1"/>
        <n v="10140027" u="1"/>
        <n v="10140030" u="1"/>
        <n v="10140053" u="1"/>
        <n v="10140067" u="1"/>
        <n v="10140169" u="1"/>
        <n v="10160001" u="1"/>
        <n v="10190001" u="1"/>
        <n v="10530004" u="1"/>
        <n v="10530012" u="1"/>
        <n v="10540013" u="1"/>
        <n v="10540022" u="1"/>
        <n v="10560006" u="1"/>
        <n v="10480032" u="1"/>
        <n v="10110162" u="1"/>
        <n v="10480006" u="1"/>
        <n v="10530011" u="1"/>
        <n v="10560010" u="1"/>
        <n v="10010114" u="1"/>
        <n v="10010126" u="1"/>
        <n v="10010133" u="1"/>
        <n v="10010134" u="1"/>
        <n v="10010136" u="1"/>
        <n v="10530039" u="1"/>
        <n v="10530086" u="1"/>
        <n v="10010022" u="1"/>
        <n v="10100008" u="1"/>
        <n v="10130082" u="1"/>
        <n v="10010090" u="1"/>
        <n v="10010111" u="1"/>
        <n v="10010122" u="1"/>
        <n v="10020039" u="1"/>
        <n v="10030057" u="1"/>
        <n v="10060034" u="1"/>
        <n v="10060103" u="1"/>
        <n v="10060108" u="1"/>
        <n v="10070068" u="1"/>
        <n v="10070075" u="1"/>
        <n v="10110003" u="1"/>
        <n v="10110044" u="1"/>
        <n v="10110104" u="1"/>
        <n v="10120061" u="1"/>
        <n v="10120075" u="1"/>
        <n v="10120087" u="1"/>
        <n v="10120098" u="1"/>
        <n v="10130076" u="1"/>
        <n v="10130087" u="1"/>
        <n v="10130090" u="1"/>
        <n v="10130104" u="1"/>
        <n v="10140019" u="1"/>
        <n v="10140160" u="1"/>
        <n v="10140168" u="1"/>
        <n v="10140182" u="1"/>
        <n v="10510003" u="1"/>
        <n v="10530045" u="1"/>
        <n v="10530056" u="1"/>
        <n v="10010011" u="1"/>
        <n v="10010035" u="1"/>
        <n v="10010106" u="1"/>
        <n v="10010119" u="1"/>
        <n v="10010120" u="1"/>
        <n v="10010127" u="1"/>
        <n v="10020022" u="1"/>
        <n v="10060030" u="1"/>
        <n v="10060040" u="1"/>
        <n v="10060070" u="1"/>
        <n v="10070001" u="1"/>
        <n v="10070052" u="1"/>
        <n v="10080009" u="1"/>
        <n v="10080104" u="1"/>
        <n v="10080105" u="1"/>
        <n v="10090032" u="1"/>
        <n v="10090062" u="1"/>
        <n v="10100030" u="1"/>
        <n v="10110022" u="1"/>
        <n v="10110047" u="1"/>
        <n v="10110058" u="1"/>
        <n v="10110063" u="1"/>
        <n v="10110102" u="1"/>
        <n v="10110130" u="1"/>
        <n v="10110136" u="1"/>
        <n v="10110156" u="1"/>
        <n v="10110163" u="1"/>
        <n v="10130010" u="1"/>
        <n v="10130096" u="1"/>
        <n v="10140051" u="1"/>
        <n v="10140100" u="1"/>
        <n v="10140184" u="1"/>
        <n v="10480026" u="1"/>
        <n v="10520009" u="1"/>
        <n v="10530036" u="1"/>
        <n v="10010096" u="1"/>
        <n v="10010100" u="1"/>
        <n v="10010105" u="1"/>
        <n v="10010107" u="1"/>
        <n v="10060001" u="1"/>
        <n v="10060039" u="1"/>
        <n v="10060088" u="1"/>
        <n v="10060093" u="1"/>
        <n v="10070011" u="1"/>
        <n v="10070062" u="1"/>
        <n v="10080029" u="1"/>
        <n v="10080037" u="1"/>
        <n v="10080038" u="1"/>
        <n v="10080066" u="1"/>
        <n v="10080084" u="1"/>
        <n v="10080094" u="1"/>
        <n v="10110024" u="1"/>
        <n v="10110039" u="1"/>
        <n v="10110074" u="1"/>
        <n v="10110089" u="1"/>
        <n v="10110117" u="1"/>
        <n v="10120101" u="1"/>
        <n v="10130022" u="1"/>
        <n v="10130036" u="1"/>
        <n v="10130084" u="1"/>
        <n v="10140035" u="1"/>
        <n v="10140117" u="1"/>
        <n v="10140177" u="1"/>
        <n v="10520008" u="1"/>
        <n v="10530052" u="1"/>
        <n v="10010027" u="1"/>
        <n v="10010040" u="1"/>
        <n v="10010081" u="1"/>
        <n v="10010088" u="1"/>
        <n v="10010104" u="1"/>
        <n v="10010110" u="1"/>
        <n v="10060054" u="1"/>
        <n v="10060092" u="1"/>
        <n v="10080018" u="1"/>
        <n v="10080023" u="1"/>
        <n v="10080081" u="1"/>
        <n v="10080085" u="1"/>
        <n v="10100052" u="1"/>
        <n v="10110122" u="1"/>
        <n v="10110125" u="1"/>
        <n v="10110126" u="1"/>
        <n v="10120033" u="1"/>
        <n v="10130029" u="1"/>
        <n v="10140021" u="1"/>
        <n v="10140136" u="1"/>
        <n v="10140150" u="1"/>
        <n v="10140151" u="1"/>
        <n v="10140154" u="1"/>
        <n v="10140164" u="1"/>
        <n v="10140165" u="1"/>
        <n v="10020001" u="1"/>
        <n v="10080017" u="1"/>
        <n v="10530061" u="1"/>
        <n v="10540001" u="1"/>
        <n v="10540002" u="1"/>
        <n v="10110010" u="1"/>
        <n v="10010030" u="1"/>
        <n v="10010069" u="1"/>
        <n v="10010093" u="1"/>
        <n v="10020061" u="1"/>
        <n v="10060068" u="1"/>
        <n v="10070010" u="1"/>
        <n v="10070017" u="1"/>
        <n v="10070032" u="1"/>
        <n v="10070054" u="1"/>
        <n v="10080011" u="1"/>
        <n v="10080064" u="1"/>
        <n v="10080092" u="1"/>
        <n v="10090023" u="1"/>
        <n v="10090044" u="1"/>
        <n v="10100027" u="1"/>
        <n v="10110006" u="1"/>
        <n v="10110041" u="1"/>
        <n v="10110052" u="1"/>
        <n v="10110085" u="1"/>
        <n v="10110087" u="1"/>
        <n v="10110139" u="1"/>
        <n v="10120009" u="1"/>
        <n v="10120055" u="1"/>
        <n v="10130053" u="1"/>
        <n v="10130067" u="1"/>
        <n v="10130069" u="1"/>
        <n v="10130078" u="1"/>
        <n v="10130092" u="1"/>
        <n v="10140025" u="1"/>
        <n v="10140143" u="1"/>
        <n v="10140163" u="1"/>
        <n v="10480025" u="1"/>
        <n v="10480031" u="1"/>
        <n v="10530051" u="1"/>
        <n v="10020009" u="1"/>
        <n v="10060024" u="1"/>
        <n v="10070047" u="1"/>
        <n v="10070050" u="1"/>
        <n v="10070055" u="1"/>
        <n v="10080060" u="1"/>
        <n v="10090013" u="1"/>
        <n v="10090048" u="1"/>
        <n v="10110019" u="1"/>
        <n v="10110036" u="1"/>
        <n v="10110099" u="1"/>
        <n v="10120069" u="1"/>
        <n v="10120092" u="1"/>
        <n v="10120100" u="1"/>
        <n v="10120102" u="1"/>
        <n v="10130075" u="1"/>
        <n v="10140029" u="1"/>
        <n v="10140105" u="1"/>
        <n v="10140111" u="1"/>
        <n v="10140113" u="1"/>
        <n v="10140146" u="1"/>
        <n v="10140149" u="1"/>
        <n v="10140161" u="1"/>
        <n v="10270001" u="1"/>
        <n v="10470001" u="1"/>
        <n v="10480004" u="1"/>
        <n v="10530022" u="1"/>
        <n v="10130048" u="1"/>
        <n v="10130072" u="1"/>
        <n v="10130055" u="1"/>
        <n v="10130086" u="1"/>
        <n v="10100053" u="1"/>
        <n v="10100036" u="1"/>
        <n v="10100050" u="1"/>
        <n v="10020003" u="1"/>
        <n v="10070051" u="1"/>
        <n v="10070025" u="1"/>
        <n v="10120037" u="1"/>
        <n v="10070014" u="1"/>
        <n v="10120003" u="1"/>
        <n v="10120079" u="1"/>
        <n v="10090035" u="1"/>
        <n v="10090051" u="1"/>
        <n v="10010045" u="1"/>
        <n v="10010028" u="1"/>
        <n v="10010075" u="1"/>
        <n v="10010083" u="1"/>
        <n v="10010091" u="1"/>
        <n v="10090031" u="1"/>
        <n v="10010058" u="1"/>
        <n v="10140037" u="1"/>
        <n v="10140061" u="1"/>
        <n v="10140124" u="1"/>
        <n v="10140140" u="1"/>
        <n v="10140059" u="1"/>
        <n v="10010014" u="1"/>
        <n v="10140026" u="1"/>
        <n v="10140050" u="1"/>
        <n v="10010078" u="1"/>
        <n v="10480021" u="1"/>
        <n v="10060035" u="1"/>
        <n v="10140104" u="1"/>
        <n v="10140112" u="1"/>
        <n v="10140128" u="1"/>
        <n v="10480019" u="1"/>
        <n v="10140070" u="1"/>
        <n v="10140078" u="1"/>
        <n v="10140086" u="1"/>
        <n v="10140134" u="1"/>
        <n v="10140142" u="1"/>
        <n v="10060038" u="1"/>
        <n v="10060078" u="1"/>
        <n v="10110035" u="1"/>
        <n v="10110090" u="1"/>
        <n v="10030036" u="1"/>
        <n v="10110088" u="1"/>
        <n v="10030024" u="1"/>
        <n v="10030014" u="1"/>
        <n v="10080059" u="1"/>
        <n v="10080074" u="1"/>
        <n v="10080056" u="1"/>
        <n v="10080047" u="1"/>
        <n v="10080063" u="1"/>
        <n v="10080071" u="1"/>
        <n v="10130061" u="1"/>
        <n v="10130034" u="1"/>
      </sharedItems>
    </cacheField>
    <cacheField name="MPG NAME " numFmtId="0">
      <sharedItems count="1465">
        <s v="Gomukh Kumbhi"/>
        <s v="Gomukh Amba"/>
        <s v="Gomukh Jagdar                                                                                       "/>
        <s v="Gomukh Goriyari"/>
        <s v="Mohanpur - Chandan"/>
        <s v="Ekamba - Ashutosh"/>
        <s v="Gomukh Dunahi"/>
        <s v="GOMUKH BIRPUR PASCHIM                                                                               "/>
        <s v="Gomukh Harigiridham                                                                                 "/>
        <s v="Manish Dairy                                                                                        "/>
        <s v="Gomukh Bhith-02"/>
        <s v="Gomukh Sharmatola Sahuri"/>
        <s v="Sangat- Sanjeev Kumar"/>
        <s v="Gomukh Garhi Bisanpur"/>
        <s v="Bagaraha-Gopal Yadav"/>
        <s v="Gomukh Barkurwa"/>
        <s v="Kamla- Amarjeet"/>
        <s v="Gomukh Goha-02"/>
        <s v="Gomukh Cheria Bariarpur"/>
        <s v="Gomukh Rahul Nagar"/>
        <s v="Gomukh Bagraha-01"/>
        <s v="Gomukh Shobhaipura"/>
        <s v="Gomukh Pirauna"/>
        <s v="Parra- Nagendra Kumar"/>
        <s v="Gomukh Basahi"/>
        <s v="Mohanpur- Mukesh Kumar"/>
        <s v="Gomukh Sawantpur"/>
        <s v="Maida- Ram Kumar"/>
        <s v="Gomukh Aure Bikrampur"/>
        <s v="Manjhaul- Gulshan Kumar"/>
        <s v="Khaira Manjhaul"/>
        <s v="Mehda Shahpur"/>
        <s v="PIPARIYA DIH -2"/>
        <s v="LAL DIYARA -1"/>
        <s v="GANGA KINARE KHUTHA"/>
        <s v="Gomukh ID Khutaha Ganga"/>
        <s v="Gomukh ID Khutaha Dhih"/>
        <s v="KANHAIYA YADAV"/>
        <s v="GOMUKH  LALDIYARA TIRASHI                                                                           "/>
        <s v="GOMUKH  LALDIYARA PURBI"/>
        <s v="GOMUKH RAMCHANDARPUR II"/>
        <s v="MOHANPUR"/>
        <s v="Juwas"/>
        <s v="Morwariya"/>
        <s v="Dumri 2"/>
        <s v="Gomukh Jhakhaur"/>
        <s v="Gomukh Virupur"/>
        <s v="Gomukh Diyarapipariya                                                                               "/>
        <s v="TAJPUR"/>
        <s v="PATHUA"/>
        <s v="LODIYA"/>
        <s v="ADARSH LAXMIPUR-3"/>
        <s v="BHANPUR"/>
        <s v="Karari Pipariya 2"/>
        <s v="DIYARA PIPARIYA-THANA                                                                               "/>
        <s v="SRI RAM SINGH(VLC)"/>
        <s v="GADHTOLA"/>
        <s v="Diyara-Pipariya-Utri - Chandan"/>
        <s v="KANHARPUR-2"/>
        <s v="BASAUNA"/>
        <s v="GANGA-SARAI"/>
        <s v="GOVIND-BIGHA                                                                                        "/>
        <s v="MALPUR                                                                                              "/>
        <s v="Gomukh Hasanpur"/>
        <s v="ADARSH LAXMIPUR-2"/>
        <s v="SABIKPUR"/>
        <s v="CHETAN-TOLA-KHUTHA"/>
        <s v="LAXMIPUR"/>
        <s v="REHUA RK"/>
        <s v="RAMNAGAR"/>
        <s v="BANSIPUR"/>
        <s v="GODIH"/>
        <s v="SINGARPUR"/>
        <s v="CHATMADIH"/>
        <s v="SIYADIH"/>
        <s v="HARPUR M"/>
        <s v="Gomukh ID Laldiyara"/>
        <s v="KATHNI"/>
        <s v="DEVDHA GOMUKH MPG"/>
        <s v="KASBA(MANGOAN)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Ghorpithiya - Vikas"/>
        <s v="Akbarnagar - Rakhi"/>
        <s v="Maheshi - Chamcham"/>
        <s v="Ghorpithiya - Dheeraj"/>
        <s v="Asarganj Chhotki Tola - Akash"/>
        <s v="Manikpur - Golu"/>
        <s v="Rangaon - Jayram"/>
        <s v="Karso - Aparajita"/>
        <s v="Unchagaon - Niraj"/>
        <s v="SRIRAMPUR"/>
        <s v="PAIN"/>
        <s v="MOTICHAK"/>
        <s v="MIRATTHI"/>
        <s v="DAULATPUR"/>
        <s v="MOHADDIPUR"/>
        <s v="JHAJHA"/>
        <s v="KAMARDUH"/>
        <s v="BARSABAD"/>
        <s v="GONAI"/>
        <s v="SHIKARITOLA"/>
        <s v="BAIKUNTHPUR"/>
        <s v="KAITHA"/>
        <s v="RAGHUNATHPUR"/>
        <s v="BANGAMA"/>
        <s v="KORIYA"/>
        <s v="HARLACHAK"/>
        <s v="KATAHRA"/>
        <s v="MANO"/>
        <s v="PURANI SALEMPUR"/>
        <s v="DHANDHHA"/>
        <s v="CHALISH"/>
        <s v="MAA BHAGWATI"/>
        <s v="MAIDINICHOKI"/>
        <s v="GOMUKH JAJWARA"/>
        <s v="Gomukh ID Sonvarsha"/>
        <s v="BALHAPUR"/>
        <s v="Gomukh ID Husaina"/>
        <s v="Gomukh ID Prarotol"/>
        <s v="MAA SARDE"/>
        <s v="PURANI DIH"/>
        <s v="Farda Ravi Tola"/>
        <s v="Gomukh Puranidih 2"/>
        <s v="Gomukh Arma"/>
        <s v="Singhchak"/>
        <s v="MAHA-LAXMI"/>
        <s v="PAWAI"/>
        <s v="LAKHOCHAK                                                                                           "/>
        <s v="BATTA RAMPUR                                                                                        "/>
        <s v="RANDHIR KUMAR(VLC)"/>
        <s v="MALIYA"/>
        <s v="MAHULIYA"/>
        <s v="ABGIL HUSSAINA-2                                                                                    "/>
        <s v="AKHA-KURHA"/>
        <s v="BHANDAR"/>
        <s v="BASMATIYA"/>
        <s v="TILATHI"/>
        <s v="GOMUKH WESTOL"/>
        <s v="SANGRAMPUR"/>
        <s v="GOMUKH CHASMASKAN"/>
        <s v="GOMUKH KAJITOLA"/>
        <s v="RAMDEV TOLA"/>
        <s v="GOMUKH KATEHAR"/>
        <s v="GOMUKH JAGMAGLA"/>
        <s v="PACHRUKHI"/>
        <s v="ORABAGICHA"/>
        <s v="KHAJURIYA"/>
        <s v="NAYA SALEMPUR"/>
        <s v="MANO 2"/>
        <s v="Gomukh ID Araria"/>
        <s v="Gomukh ID Chaidha"/>
        <s v="Gomukh ID Pakrail"/>
        <s v="Gomukh ID Pipra"/>
        <s v="Gomukh Fatepur                                                                                      "/>
        <s v="Gomukh Gauchhari"/>
        <s v="Gomukh Arariya Karjaniya"/>
        <s v="Gomukh Aariya Dummer Kothi"/>
        <s v="Gomukh Balha"/>
        <s v="Haripur - Sanjay"/>
        <s v="Araria - Ankesh"/>
        <s v="Gomukh Kabela                                                                                       "/>
        <s v="Gomukh Malpa Uttari                                                                                 "/>
        <s v="Gomukh Sapha"/>
        <s v="Araria"/>
        <s v="Telouch"/>
        <s v="Gomukh Jhangara B"/>
        <s v=" Gomukh Nauranga"/>
        <s v="Gomukh Pakrail Vijay Nagar VLC"/>
        <s v="Gomukh Godhiyasi Nayagow VLC"/>
        <s v="Gomukh Bandehra Purbi"/>
        <s v="Gomukh Tila Tol"/>
        <s v="Gomukh Dina Chakla Vlc"/>
        <s v="Gomukh Gogri VLC"/>
        <s v="Gomukh Sondiha Jay Prakash VLC"/>
        <s v="Chak Punervas"/>
        <s v="Labherchak"/>
        <s v="Paspura"/>
        <s v="Gomukh Godhna"/>
        <s v="Gomukh Sihma 2"/>
        <s v="Gomukh ID Marsaito"/>
        <s v="Gomukh ID Akashpur"/>
        <s v="Gomukh ID Rachiyahi"/>
        <s v="GomukhBariyahi Chanan"/>
        <s v="GomukhGehuni"/>
        <s v="Gomukh Bakhatpur"/>
        <s v="Ananaya Dairy"/>
        <s v="Gomukh Bishanpur"/>
        <s v="GOMUKH BEGAMSARAI"/>
        <s v="Hasanpur - Abhijeet"/>
        <s v="Adharpur - Manish"/>
        <s v="Gangaprasad - Prashant"/>
        <s v="GOMUKH RANI 3"/>
        <s v="GOMUKH NONPUR"/>
        <s v="GOMUKH FATEHA"/>
        <s v="Bablu Singh"/>
        <s v="Gomukh Rani                                                                                         "/>
        <s v="GOMUKH ROOPNAGAR"/>
        <s v="GOMUKH SIBUTOL 2"/>
        <s v="Gomukh Harichak"/>
        <s v="RAJ BHARDWAJ"/>
        <s v="Gomukh Amarpur"/>
        <s v="Prashant Kumar"/>
        <s v="Gomukh Barauni 3"/>
        <s v="CHANDAN YADAV"/>
        <s v="DINESH YADAV"/>
        <s v="ANITA DEVI"/>
        <s v="GOMUKH FATEHA SALEMPUR"/>
        <s v="GOMUKH GEHUNI 2"/>
        <s v="GOMUKH MALHIPUR"/>
        <s v="Rasalpur - Durgesh Kumar"/>
        <s v="Barauni Bariyarpur"/>
        <s v="Jaynagar"/>
        <s v="Fateha - Anil Yadav"/>
        <s v="Bihat - Chakballi"/>
        <s v="Sibutol- Naya Tola"/>
        <s v="Rasalpur"/>
        <s v="POHE"/>
        <s v="AURO"/>
        <s v="PARSHAMA"/>
        <s v="PRATAPUR 2"/>
        <s v="BALLOPUR"/>
        <s v="KHAIRMA"/>
        <s v="MAHASONI"/>
        <s v="SONDHI"/>
        <s v="BELDARAYA"/>
        <s v="Gomukh ID Aure-2"/>
        <s v="Gomukh Karma"/>
        <s v="GOMUKH UKSI"/>
        <s v="Gomukh ID Halsi"/>
        <s v="KHURIYARI"/>
        <s v="BISANPUR"/>
        <s v="BEHRAMA"/>
        <s v="Gomukh ID Mathurapur"/>
        <s v="Gomukh ID Kurha Dih"/>
        <s v="SANDH MAAF 2"/>
        <s v="BHATTA                                                                                              "/>
        <s v="TAAL-SHAHARSHA                                                                                      "/>
        <s v="Dhira"/>
        <s v="AZADNAGAR(VLC)"/>
        <s v="REWAI"/>
        <s v="BAKHIYA"/>
        <s v="MANJOS"/>
        <s v="RATA"/>
        <s v="BARUI"/>
        <s v="LAHUARA                                                                                             "/>
        <s v="LACHHUAR"/>
        <s v="RAMDIH Ajit Kumar"/>
        <s v="NARAYANPUR"/>
        <s v="NAWKADIH"/>
        <s v="KHARAGWADA "/>
        <s v="UFFAPUR"/>
        <s v="BIHRAURA"/>
        <s v="SHIJHORI"/>
        <s v="RAM PRAVESH YADAV"/>
        <s v="Vishan Pur"/>
        <s v="Gomukh Madhawpur"/>
        <s v="Gomukh Kanhaiyachak Pachhim"/>
        <s v="Gomukh Srirampur Thuthi"/>
        <s v="Gomukh Bandahera                                                                                    "/>
        <s v="Gomukh Basudevpur"/>
        <s v="Gomukh Fudkichak"/>
        <s v="Gomukh Tehay"/>
        <s v="Gomukh Krochaka Dudhela"/>
        <s v="Gomukh Govind Pur"/>
        <s v="Gomukh Sondiha"/>
        <s v="Gomukh Thebhay B"/>
        <s v="Gomukh Baisa"/>
        <s v="Gomukh Mahendrapur"/>
        <s v="Gomukh Balahpur"/>
        <s v="Gomukh Danauli"/>
        <s v="NAYAGAW"/>
        <s v="Dandari"/>
        <s v="Rahimpur Pachkhutti"/>
        <s v="Gomukh Mohanpur                                                                                     "/>
        <s v="Gomukh Raghunathpur"/>
        <s v="Gomukh Chhitraur"/>
        <s v="Gomukh Khorampur Chakaur"/>
        <s v="GOMUKH Mathar"/>
        <s v="Gomukh Sonapur"/>
        <s v="Gomukh Barkhandi 2"/>
        <s v="Gomukh Fatehpur                                                                                     "/>
        <s v="GOMUKH KATAHRI"/>
        <s v="GOMUKH Mathar Ward 10"/>
        <s v="GOMUKH Tartor 2"/>
        <s v="Gomukh Chaidha"/>
        <s v="Gomukh Bakiya"/>
        <s v="Gomukh Sadpur"/>
        <s v="GOMUKH Nista Tol"/>
        <s v="GOMUKH SRINAGAR"/>
        <s v="GOMUKH THATHA"/>
        <s v="GOMUKH SANHA NAYATOLA"/>
        <s v="Gomukh Durgapur"/>
        <s v="Gomukh Koniya"/>
        <s v="GOMUKH ROHUA"/>
        <s v="GOMUKH LAXMIPUR"/>
        <s v="GOMUKH BACHOTA"/>
        <s v="GOMUKH CHATAR"/>
        <s v="GOMUKH BATHNAMA"/>
        <s v="GOMUKH TILAK NAGAR"/>
        <s v="Gomukh Thatha Purvi"/>
        <s v="Gomukh Rahimpur Dakshin"/>
        <s v="GOMUKH MORKAHI"/>
        <s v="GOMUKH HANSPUR"/>
        <s v="GOMUKH NAYAGAON 2"/>
        <s v="GOMUKH LABHGAON"/>
        <s v="GOMUKH CHANDPURA"/>
        <s v="GOMUKH BADIL TOL"/>
        <s v="GOMUKH TRIBHUVAN TOLA"/>
        <s v="GOMUKH SANTOSHPUL"/>
        <s v="GOMUKH AHUNA"/>
        <s v="GOMUKH SHADIPUR"/>
        <s v="GOMUKH ASHRAPHA DIYARA"/>
        <s v="GOMUKH MANIAPPA"/>
        <s v="GOMUKH D SANJHAUTI"/>
        <s v="GOMUKH DHUSMURI BISHANPUR"/>
        <s v="GOMUKH ANANDPUR PARAS"/>
        <s v="GOMUKH BISHANPUR 2"/>
        <s v="GOMUKH GHAMARIYA"/>
        <s v="GOMUKH MEGHAUMA"/>
        <s v="GOMUKH AURA"/>
        <s v="GOMUKH BEHORBA"/>
        <s v="GOMUKH SAIDPUR SAMASTIPUR"/>
        <s v="GOMUKH PHULTAURA"/>
        <s v="Jangli Tol Vlc "/>
        <s v="DILKHUSH KUMAR "/>
        <s v="GOMUKH CHOWKI 2"/>
        <s v="GOMUKH MOHABA"/>
        <s v="SANHA VLC"/>
        <s v="MOHANPUR VLC"/>
        <s v="Hiratol VLC"/>
        <s v="GOMUKH SUBHANPUR"/>
        <s v="GOMUKH  BHAJANGAMA"/>
        <s v="Gomukh Basadhiya Kurni"/>
        <s v="KHAJURI"/>
        <s v="ARMAULI-2"/>
        <s v="MUSAPUR - 2"/>
        <s v="Janganath Pur"/>
        <s v="Nagargama"/>
        <s v="Sato Ghachchhi"/>
        <s v="Bhatgama"/>
        <s v="Borna Rasalpur"/>
        <s v="Narahan"/>
        <s v="Gomukh Dumduma"/>
        <s v="SUPOL"/>
        <s v="BHUSARAI"/>
        <s v="Gomukha Jounapur"/>
        <s v="Patailliya"/>
        <s v="Badiya"/>
        <s v="Gomukh Tabhka"/>
        <s v="Ghato"/>
        <s v="RAMNATHPUR                                                                                          "/>
        <s v="DESUA"/>
        <s v="Matior"/>
        <s v="TELGAMA"/>
        <s v="GOMUKH TATARPUR"/>
        <s v="Gomukh Ghataho"/>
        <s v="Kacha - Amarjeet"/>
        <s v="Simri - Suman"/>
        <s v="Narenpur"/>
        <s v="Mordiba"/>
        <s v="Jagdispur"/>
        <s v="Chaklal Sahi_Vikrant"/>
        <s v="Piparpaati"/>
        <s v="Suratpur"/>
        <s v="Manika Tol"/>
        <s v="Beri"/>
        <s v="Mahmmadipur"/>
        <s v="Simri-Rupesh"/>
        <s v="Gomukh Jhaura Tabhka"/>
        <s v="Gomukh Mohanpur"/>
        <s v="Gomukh Bochaha"/>
        <s v="Gomukh Terganj"/>
        <s v="Gomukh Chapra"/>
        <s v="GOMUKH Chiranjipur"/>
        <s v="Gomukh Sahu Tol"/>
        <s v="Gomukh Mordiwa East"/>
        <s v="Gomukh Belamegh"/>
        <s v="Gomukh Ramaiya"/>
        <s v="GOMUKH MANIKA EAST"/>
        <s v="GOMUKH Kisanpur Tabhka"/>
        <s v="GOMUKH BANGHARH KISHANPUR"/>
        <s v="Gomukh Serpur Narsari"/>
        <s v="PARORIYA"/>
        <s v="JHAKHRA"/>
        <s v="GOMUKH ANDAHA"/>
        <s v="Gomukha Rohua"/>
        <s v="Gomukha Arniya Ganj"/>
        <s v="Gomukha Vishanupatti II"/>
        <s v="Gomukh Khesarhiya"/>
        <s v="Harsingpur"/>
        <s v="Gomukh ID Mahathi"/>
        <s v="MURTUJAPUR"/>
        <s v="Chhuchhipur                                                                                         "/>
        <s v="Gomukh ID Sararanjan"/>
        <s v="Gomukh Soharthi Purvi Tola                                                                          "/>
        <s v="Birnama"/>
        <s v="Maraie - Rubi"/>
        <s v="Arniya East Tola - Seema"/>
        <s v="Lakshmipur Western Tol - Rajeev"/>
        <s v="Jahangipur Salkhanni"/>
        <s v="Sekhpura"/>
        <s v="Songar"/>
        <s v="Rampur Maheshpur"/>
        <s v="Godhiyari"/>
        <s v="Jhakhra-Rambilash"/>
        <s v="Dagarua"/>
        <s v="Chakmilki"/>
        <s v="Gomukh Akaha"/>
        <s v="Nauachak-Pankaj"/>
        <s v="Gomukh Sirdulpur 2"/>
        <s v="Gomukh Repura"/>
        <s v="Gomukh Sherpur Narsari East"/>
        <s v="Gomukh Karhatti"/>
        <s v="Gomukh Gaopur Bhagwatpur"/>
        <s v="Gomukh Rajwara"/>
        <s v="GOMUKH NIKASPUR"/>
        <s v="Gomukh Morwa Mohanpur"/>
        <s v="Dumri Purvi Tola"/>
        <s v="Simri"/>
        <s v="Sahiyar"/>
        <s v="ENGLISH DUBAULI"/>
        <s v="Ramo Bariya"/>
        <s v="HITAN PARARI"/>
        <s v="Gangauli"/>
        <s v="MATHURA DERA"/>
        <s v="NANDAN"/>
        <s v="HEMDAPUR"/>
        <s v="Chaugain"/>
        <s v="Akalupur"/>
        <s v="Chhotka Sihanpura"/>
        <s v="Dharauli"/>
        <s v="Kaithi"/>
        <s v="Rangi Dera"/>
        <s v="Dubki"/>
        <s v="Sonvarsa"/>
        <s v="Soan"/>
        <s v="PURANA BHOJPUR                                                                                      "/>
        <s v="Gomukh Kant"/>
        <s v="Gomukh Naat"/>
        <s v="Gomukh Tilakraika Hata 1 - Manoj"/>
        <s v="Gomukh Murar"/>
        <s v="Gomukh Churamanpur                                                                                  "/>
        <s v="Gomukh Ekauni Karuwaj"/>
        <s v="Kulharia Agriculture Producer Company Limited"/>
        <s v="Gomukh Dhakaich"/>
        <s v="Gomukh Kajipura Chandan"/>
        <s v="Gomukh Sikraul Lakh"/>
        <s v="Gomukh Dafadihari"/>
        <s v="Gomukh Paharpur"/>
        <s v="Gomukh Basaon Kalan"/>
        <s v="Gomukh Mangolpur"/>
        <s v="Gomukh Dhanipur"/>
        <s v="Gomukh Rakshanagar_tola"/>
        <s v="Gomukh Nadaon"/>
        <s v="Gomukh Bimhnath Girdhar Baraw"/>
        <s v="Gomukh Badkagaon Yamunatola"/>
        <s v="Gomukh Bramhpur"/>
        <s v="Gomukh Mashariya"/>
        <s v="Gomukh KritSagar"/>
        <s v="Gomukh Navdera Jaipraksh"/>
        <s v="Gomukh Ataon"/>
        <s v="Gumukh Gayghat"/>
        <s v="Gomukh Shivpur"/>
        <s v="Gomukh Chakki Janardan Yadav"/>
        <s v="Gomukh Rajpur"/>
        <s v="Gomukh Gangauli Dubha"/>
        <s v="Tiyar A2 Milk Producer Company Limited"/>
        <s v="Gomukh Jagdishpur"/>
        <s v="Gaachhi Tola"/>
        <s v="VISHWASHPUR"/>
        <s v="KUMARPUIR KATHARA"/>
        <s v="KUDHIYA MPG"/>
        <s v="SHAHJADPUR MPG"/>
        <s v="FARDA - 3"/>
        <s v="CHANDANPURA"/>
        <s v="MANIKPUR"/>
        <s v="JAKARPURA"/>
        <s v="NANDPUR"/>
        <s v="NOWAGADHI"/>
        <s v="MAHADAT PUR 2"/>
        <s v="KATHELA TOLA TELDHI"/>
        <s v="SONBARSHA 1"/>
        <s v="GANOUL"/>
        <s v="Gauripur"/>
        <s v="Bhramarpur"/>
        <s v="Gomukh Sadananpur"/>
        <s v="TILAKPUR  2"/>
        <s v="TILAKPUR"/>
        <s v="Prasharpur Kadwa Gomukh"/>
        <s v="Borwa Tola Gomukh"/>
        <s v="Sheela Devi"/>
        <s v="Gomukh Vijay Lalganj"/>
        <s v="Gomukh Sarswati Nagar Nakdahri"/>
        <s v="Gomukh Krishna Dairy Tulsipur"/>
        <s v="Gomukh Lauwalagam"/>
        <s v="Dhobina Basa"/>
        <s v="Gomukh Shreepur Madhay"/>
        <s v="Gomukh Dhoriya Dadpur -VLC"/>
        <s v="Gomukh Abhirampur VLC"/>
        <s v="KUNTHA M"/>
        <s v="ARAK"/>
        <s v="Diyaman"/>
        <s v="HENHA"/>
        <s v="Suddh Dairy"/>
        <s v="Gomukh CHANDAULI"/>
        <s v="GOMUKH HATHA"/>
        <s v="GOMUKH VADEYA"/>
        <s v="GOMUKH BARGAMA"/>
        <s v="Gomukh Gograha Tola"/>
        <s v="Gomukh Patsara"/>
        <s v="Gomukh Singhiya"/>
        <s v="Gomukh BALHA "/>
        <s v="Gomukh Kalyanpur 2"/>
        <s v="Gomukh Namapur 2"/>
        <s v="Gomukh Madhopur"/>
        <s v="Gomukh Kalyanpur East"/>
        <s v="Gomukh Bazidpur"/>
        <s v="Gomukh Belsandi"/>
        <s v="Gomukh Namapur Ward 8"/>
        <s v="Belsandi"/>
        <s v="Gomukh Belsandi East"/>
        <s v="Gomukh Belsandi West Tola"/>
        <s v="Gomukh Gopalpur"/>
        <s v="Gomukh Bharav"/>
        <s v="Gomukh Harpur"/>
        <s v="Gomukh Fulhatta"/>
        <s v="Gomukh Birauli Khurd"/>
        <s v="Gomukh Bedauliya"/>
        <s v="Gomukh Khanua"/>
        <s v="Gomukh Hiralalpur"/>
        <s v="Gomukh Punas"/>
        <s v="Gomukh Loharkha"/>
        <s v="Gomukh Dighra"/>
        <s v="Basuwari"/>
        <s v="Belsandi 3"/>
        <s v="Gomukh Bhagwanpur"/>
        <s v="GOMUKH HARPUR W-13"/>
        <s v="GOMUKH MILKI"/>
        <s v="Gomukh Ratwara"/>
        <s v="Gomukh Fulhara"/>
        <s v="Gomukh Ranitola"/>
        <s v="Gomukh Malinagar East"/>
        <s v="GOMUKH Singhiya Ward 11"/>
        <s v="GOMUKH MANIYARPUR"/>
        <s v="GOMUKH DIGHRA W-6"/>
        <s v="GOMUKH BANDRA W-6"/>
        <s v="BELSANDI RAJO"/>
        <s v="GOMUKH PARAN 2"/>
        <s v="GOMUKH KHARAGPUR"/>
        <s v="KAMARGAMA"/>
        <s v="GOMUKH BALAHA W-9"/>
        <s v="Gomukh Namapur East"/>
        <s v="GOMUKH Madanpur W-3"/>
        <s v="Jitwariya W-11"/>
        <s v="GOMUKH DADHIYA-2"/>
        <s v="GOMUKH PREMNAGAR"/>
        <s v="GOMUKH ANANDPUR PARAS 2"/>
        <s v="GOMUKH GADBANNI"/>
        <s v="GOMUKH PARRI"/>
        <s v="GOMUKH BHIKHARI GHAT"/>
        <s v="Vikash Kumar"/>
        <s v="Rajkishore Yadav"/>
        <s v="BHADAS VLC"/>
        <s v="GOMUKH BENHER"/>
        <s v="GOMUKH LADORA"/>
        <s v="GOMUKH SAHSI"/>
        <s v="GOMUKH BUDWA"/>
        <s v="GOMUKH GANGIYA"/>
        <s v="Gomukh Chautham(Mithun Kumar VLC)"/>
        <s v="Gomukh Pansalwa"/>
        <s v="Gomukh Nawada"/>
        <s v="Gomukh Yadav Tol Kanauli"/>
        <s v="Gomukh Hardia"/>
        <s v="ADARSH PULPAR"/>
        <s v="Jangle Jhakra"/>
        <s v="LOSDHANI"/>
        <s v="Rudauli"/>
        <s v="GOMUKH Kalaunjar"/>
        <s v="Pastara Lakshman"/>
        <s v="Gomukh Chikni"/>
        <s v="GOMUKH MAHGAMA"/>
        <s v="GOMUKH BAGALWA"/>
        <s v="Balahpur-Anil Yadav"/>
        <s v="G WOLIPUR"/>
        <s v="REHUA 3"/>
        <s v="KARHARIA V"/>
        <s v="Gomukh ID Lalpur"/>
        <s v="BHATGAMA W-5"/>
        <s v="Karian"/>
        <s v="Teghara"/>
        <s v="Chakoti"/>
        <s v="Nathudawar"/>
        <s v="Purnahi"/>
        <s v="Gomukh Raghunathpur 2 "/>
        <s v="KISHANPUR"/>
        <s v="GOMUKH SUSTA"/>
        <s v="Basantpur"/>
        <s v="Birpur-2 - Pankaj"/>
        <s v="WAKIL YADAV VLC"/>
        <s v="GOMUKH BHITAKITA"/>
        <s v="GOMUKH PATHAKTOL"/>
        <s v="Bagdobh"/>
        <s v="Baghopur "/>
        <s v="Sadipur Bathnaha"/>
        <s v="Samsa"/>
        <s v="Dahiya"/>
        <s v="Gomukh Musapur West"/>
        <s v="GOMUKH SHIVNAGAR"/>
        <s v="GOMUKH BAKHITIYARPUR"/>
        <s v="GOMUKH JWALAPUR"/>
        <s v="Mahuli"/>
        <s v="CHOTAHA"/>
        <s v="GOMUKH TOKE"/>
        <s v="Gomukh ID Akashpur-2"/>
        <s v="KHANPUR SOBHA"/>
        <s v="Gomukh Patel Nagar"/>
        <s v="Patiya"/>
        <s v="GOMUKH RAHATPUR"/>
        <s v="Gomukh Telihar"/>
        <s v="Gomukh Pansalba Ward No 05"/>
        <s v="Gohi"/>
        <s v="Matua"/>
        <s v="Ratni Chouk"/>
        <s v="Balahi 2"/>
        <s v="Chandauli"/>
        <s v="Gulabi Choak"/>
        <s v="Sakhwa Ghat"/>
        <s v="MANOHARPUR"/>
        <s v="BALADEV ITAHARI"/>
        <s v="PIPARPATI"/>
        <s v="GOMUKH JANGLITOL"/>
        <s v="GOMUKH BARBIGHI"/>
        <s v="Barkhanditol"/>
        <s v="Gomukh Mohanpur  VLC"/>
        <s v="Satmalpur"/>
        <s v="Chhatnesar"/>
        <s v="BICHWAY"/>
        <s v="GOMUKH KODAND"/>
        <s v="PAHALANPUR"/>
        <s v="TETARIYA"/>
        <s v="GOMUKH BIBHUTIPUR"/>
        <s v="GOMUKH JITWARIYA W-6"/>
        <s v="DORAI"/>
        <s v="SINGHOL"/>
        <s v="Gaura"/>
        <s v="Gomukh Kumar Chakki"/>
        <s v="Gomukh Kalyanpur                                                                                    "/>
        <s v="Dandari-2"/>
        <s v="Gomukh MANIYAR EAST"/>
        <s v="GOMUKH DADHIYA RAMKRISHANPUR"/>
        <s v="Jitwarpur-Manisha"/>
        <s v="Gomukh Gangapur East"/>
        <s v="RAJAPUR"/>
        <s v="Gomukh Bariyarpur"/>
        <s v="GOMUKH BHARJA"/>
        <s v="GOMUKH NAWABGANJ"/>
        <s v="GOMUKH AMBA ICHARUA"/>
        <s v="GOMUKH MATHURAPUR"/>
        <s v="Gomukh Ashatol Paharpur"/>
        <s v="Gomukh Kharawa"/>
        <s v="Dewanpur"/>
        <s v="Kasiya"/>
        <s v="Belshandi"/>
        <s v="Shri Bhairav Laxmipur"/>
        <s v="Bihat - Sonu Kumar"/>
        <s v="Gomukh Dumariya Bujurg Madhay"/>
        <s v="Gomukh Buddhnagar"/>
        <s v="Chauki-VLC"/>
        <s v="Gomukh Patepur"/>
        <s v="Gomukh Basawkala Sudhir Kumar"/>
        <s v="Gaya Jee Pathak"/>
        <s v="RAJAURA VLC"/>
        <s v="Gomukh Malpa Dhutauli VLC"/>
        <s v="Nipania-VLC"/>
        <s v="BOUDHNAGAR"/>
        <s v="VLC Dhushmuri Bishanpur"/>
        <s v="VLC Govindpur"/>
        <s v="Chhatnesar 2"/>
        <s v="Hajpurwa"/>
        <s v="Shekhopur"/>
        <s v="Dharampur"/>
        <s v="Chatnesar Pachiam"/>
        <s v="Belshandi-2"/>
        <s v="GOMUKH GANGA SAHYOG"/>
        <s v="Gomukh Saraiya"/>
        <s v="Pachveer"/>
        <s v="GOMUKH Laguniya"/>
        <s v="Gomukh Daunpura Manendra"/>
        <s v="Gomukh Namapur East (08)"/>
        <s v="GOMUKH OJONTOLA"/>
        <s v="KHUDDIBAN SHIVNAGAR"/>
        <s v="MOHADDINGAR"/>
        <s v="Gomukh Simri Ward 4"/>
        <s v="Gumukh Orap Khurd"/>
        <s v="Gumukh Mathiyapur"/>
        <s v="Gomukh Raghunathpur Dasrath"/>
        <s v="Gomukh Debka Vlc"/>
        <s v="Almasnagar"/>
        <s v="Kadarchak"/>
        <s v="RAMBRAN YADAV"/>
        <s v="Mukhtiyarpur"/>
        <s v="PACHAUTA"/>
        <s v="GOMUKH MAHINDWARA"/>
        <s v="Gomukh Mathuradera Upendra "/>
        <s v="Gomukh Pachgachhia Vlc"/>
        <s v="Anik Kumar"/>
        <s v="SUNIL KUMAR VLC"/>
        <s v="Gomukh Darhi Mor"/>
        <s v="Gomukh Beldra"/>
        <s v="Gomukh Chandanpura"/>
        <s v="Gomukh Champa"/>
        <s v="GOMUKH DAKRA"/>
        <s v="GOMUKH LAKSHMAN NAGAR"/>
        <s v="GOMUKH JHAHURI"/>
        <s v="Gomukh Paharpur Jilebya "/>
        <s v="Gomukh Azad Nagar"/>
        <s v="MISHRBIGHA"/>
        <s v="DIGHOI"/>
        <s v="PRATAPUR"/>
        <s v="Goapalpur"/>
        <s v="Gomukh Pakrail Shirnia VLC"/>
        <s v="Gomukh Bari Chak Gogri"/>
        <s v="Gomukh Khatha"/>
        <s v="Gomukh Lakshman Dera Raja"/>
        <s v="GOMUKH CHAKKI"/>
        <s v="GOMUKH KOTHIYA"/>
        <s v="Godah"/>
        <s v="Ballahpur"/>
        <s v="Birpur"/>
        <s v="Ahilwar"/>
        <s v="GOPALPUR"/>
        <s v="Gomukh Muradpur"/>
        <s v="Gomukh Badi Lagar-1 Kiran"/>
        <s v="Gomukh Khutha VLC"/>
        <s v="GOMUKH BHASINGPUR"/>
        <s v="Gomukh Balaur"/>
        <s v="Paridah"/>
        <s v="TIYAY"/>
        <s v="GOMUKH MISHRAULIA"/>
        <s v="GOMUKH CHAKIRDI"/>
        <s v="BELSANDI DIH"/>
        <s v="Gomukh Hathwan - 2"/>
        <s v="Hajpurwa Pachim"/>
        <s v="Gomukh Karisath"/>
        <s v="Gomukh Ama"/>
        <s v="Gomukh Pawat"/>
        <s v="Gomukh Charghat"/>
        <s v="Gomukh Ramdihra"/>
        <s v="Gomukh Bara"/>
        <s v="GOMUKH CHEHRAKALA"/>
        <s v="GOMUKH PREMRAJ"/>
        <s v="GOMUKH MAGURAHI"/>
        <s v="GOMUKH GANGATI"/>
        <s v="GOMUKH Bhagwatpur"/>
        <s v="MASUDAN"/>
        <s v="Gomukh Kabela Vlc"/>
        <s v="Sohan Narayan Farmer Dairy Producer Company Ltd"/>
        <s v="GOMUKH Gopalpur Ward 1"/>
        <s v="Gomukh Purani Hrdia"/>
        <s v="Gomukh Barja"/>
        <s v="Gomukh Rudauli-02"/>
        <s v="Hardia"/>
        <s v="Mithilanchal Dairy Products"/>
        <s v="GOMUKH Bhagwatpur East"/>
        <s v="VLC Sunil Khas"/>
        <s v="Gomukh Nawadai Vlc"/>
        <s v="Buzurgdoar"/>
        <s v="Patpara"/>
        <s v="KOLAWARI"/>
        <s v="MALDAH"/>
        <s v="GOMUKH Khanpatti"/>
        <s v="BARIYARPUR"/>
        <s v="Gomukh Puranatol Raichiahi"/>
        <s v="Gomukh Mirjapur Bari"/>
        <s v="Mathar-3"/>
        <s v="Ahoghat"/>
        <s v="Gomukh Rupauli Buzurg"/>
        <s v="GOMUKH SAKARI"/>
        <s v="Madhuvan"/>
        <s v="Erout"/>
        <s v="Mahespur"/>
        <s v="Raj Nagar"/>
        <s v="Nauapokhar"/>
        <s v="Erout 2"/>
        <s v="Parsuram"/>
        <s v="Gudarghat"/>
        <s v="ABGIL RAMPUR"/>
        <s v="GOMUKH LARYATAL"/>
        <s v="Bihat-Gududaspur"/>
        <s v="Mathar-4"/>
        <s v="GOMUKH BALTHARA"/>
        <s v="GOMUKH Chakhale Dad"/>
        <s v="Gumukh Niyajipur Nakchhedi Pathak Dera"/>
        <s v="Gomukh Matihani"/>
        <s v="Jalalpur"/>
        <s v="NARMDA"/>
        <s v="AMRATH"/>
        <s v="PUTERIA"/>
        <s v="LAKHAPUR"/>
        <s v="RUPESH KUMAR"/>
        <s v="Gumukh Basawkala Dahpura Tola"/>
        <s v="GOMUKH Keotsa"/>
        <s v="GOMUKH Waini"/>
        <s v="GOMUKH DHOBGAMA"/>
        <s v="Gomukh Pachout"/>
        <s v="Gomukh Murli"/>
        <s v="Kamopur"/>
        <s v="Murli"/>
        <s v="DUMRA "/>
        <s v="BALHA"/>
        <s v="BHARIHAR"/>
        <s v="BARA"/>
        <s v="KABILASHI"/>
        <s v="SULTANPUR"/>
        <s v="Manish Kumar                                                                                        "/>
        <s v="Gomukh Bhorkanth Purbi"/>
        <s v="Gomukh Karhatiya Bujurg"/>
        <s v="Gomukh Uttari Hardia"/>
        <s v="Gomukh Nirpur Keshv Nagar"/>
        <s v="Dagrua"/>
        <s v="Kussaiya"/>
        <s v="Gumukh Khajuriya"/>
        <s v="Gomukh Chhotaki Hardiya"/>
        <s v="GOMUKH BHATOLIYA"/>
        <s v="GOMUKH KHAJECHAND"/>
        <s v="GOMUKH SALEMPUR"/>
        <s v="GOMUKH JIRWARA"/>
        <s v="GOMUKH Karhatiya"/>
        <s v="GOMUKH Bheraukhara"/>
        <s v="GOMUKH SUPOLTARIYA"/>
        <s v="GOMUKH Jilwara"/>
        <s v="GOMUKH ABBUCHAK"/>
        <s v="Gomukh Dumari"/>
        <s v="Madhuban 2"/>
        <s v="Yadav Jee"/>
        <s v="Durgaashtan "/>
        <s v="Gomukh Vijaiya"/>
        <s v="Gomukh Gangauli"/>
        <s v="MANDA"/>
        <s v="Phulmalik"/>
        <s v="Gomukh Hathwan "/>
        <s v="Saidpur"/>
        <s v="Kanu Bisanpur"/>
        <s v="GOMUKH Shravanapatti"/>
        <s v="GOMUKH KHANPATTI EAST"/>
        <s v="GOMUKH KAILA JALALPUR"/>
        <s v="Maheshwara"/>
        <s v="SISAUNA VLC"/>
        <s v="Aditya Bishwas "/>
        <s v="Gomukh Rajakpur"/>
        <s v="Gomukh Chakka"/>
        <s v="Gamharia"/>
        <s v="Gomukh Meghaul-02"/>
        <s v="Gomukh Meida"/>
        <s v="Labharchak-2"/>
        <s v="BILLO 2"/>
        <s v="Gomukh Lagar Wad-13 Vlc"/>
        <s v="Gomukh Manish Vlc"/>
        <s v="Farid Nagar"/>
        <s v="Sadpur-2"/>
        <s v="IMADPUR"/>
        <s v="Gomukh Malipur"/>
        <s v="GOMUKH BHUSKOUL"/>
        <s v="GOMUKH BIRSINGHPUR"/>
        <s v="Gomukh Rahul VLC"/>
        <s v="Gomukh Sachin VLC"/>
        <s v="Gomukh Thuthi Vlc"/>
        <s v="Gomukh Bangalia"/>
        <s v="Gomukh Soharba Purvi"/>
        <s v="Raini 2"/>
        <s v="Hasauli"/>
        <s v="Kusiya 2"/>
        <s v="Pansalla"/>
        <s v="KARANCHI"/>
        <s v="MARTHUA"/>
        <s v="GARHPURA "/>
        <s v="KOKANI"/>
        <s v="DURGAPUR "/>
        <s v="Girdharpur"/>
        <s v="BAGWANA"/>
        <s v="REWATA"/>
        <s v="Gomukh Jhitkahi East"/>
        <s v="GOMUKH UPHRAUL"/>
        <s v="GOMUKH SHERPUR"/>
        <s v="GOMUKH PANSALA"/>
        <s v="GOMUKH PACHAI"/>
        <s v="GOMUKH GARAHI"/>
        <s v="GOMUKH BAIKUNTHPUR"/>
        <s v="GOMUKH BAHASHI"/>
        <s v="GOMUKH BAKHRI"/>
        <s v="Karua"/>
        <s v="SUKUMARPUR"/>
        <s v="Gomukh KARRAKH"/>
        <s v="GOMUKH LOKDHANI"/>
        <s v="Gomukh Kharra Basa"/>
        <s v="Rahua"/>
        <s v="GOMUKH BABA CHAUK"/>
        <s v="GOMUKH KHARIKA"/>
        <s v="GOMUKH KALYANPUR"/>
        <s v="Siripur Gohar"/>
        <s v="Sedukha"/>
        <s v="Fateha"/>
        <s v="Gomukh Paguraha"/>
        <s v="GOMUKH BOHLA"/>
        <s v="Gomukh Arion Govind "/>
        <s v="Nand Kishor Kumar"/>
        <s v="GOMUKH DHROOVGAMA W-12"/>
        <s v="Chak"/>
        <s v="Babupur"/>
        <s v="Rahua 2"/>
        <s v="Madhopur"/>
        <s v="GOMUKH DAND"/>
        <s v="Durgaashtan 2"/>
        <s v="DIHA"/>
        <s v="HAWASPUR"/>
        <s v="Gomukh Madhabpur Purbi Vlc"/>
        <s v="Gomukh Dalsagar Pachhim"/>
        <s v="GOMUKH GHOSRAWAN"/>
        <s v="GOMUKH HARPUR RAJESH"/>
        <s v="GOMUKH SANICHAR HATT"/>
        <s v="Gomukh Manda"/>
        <s v="Gomukh VISHNUPATTI"/>
        <s v="GOMUKH SAHARIYA"/>
        <s v="BANOULI"/>
        <s v="DARIYAPUR R"/>
        <s v="MUZAFFARGANJ"/>
        <s v="SARHA"/>
        <s v="KUSUMBHA"/>
        <s v="NAWADIH 2"/>
        <s v="GOMUKH BATHUA W-9"/>
        <s v="Ekdara"/>
        <s v="Laxmipur-VLC"/>
        <s v="BHUSNA"/>
        <s v="Chetan Tola - Ravi"/>
        <s v="HIRDANBIGHA"/>
        <s v="Gomukh Muradpur Deepak"/>
        <s v="Kamtaul"/>
        <s v="GOMUKH KAMTAUL"/>
        <s v="Krishna Dairy"/>
        <s v="GOMUKH JATMALPUR"/>
        <s v="DIH LAHI"/>
        <s v="GOMUKH BANDRA W-9"/>
        <s v="Gokhle Nagar"/>
        <s v="Gomukh Mungeria Tol Pakrail Vlc"/>
        <s v="Khanpur"/>
        <s v="GOMUKH RUSULPUR GANGATI"/>
        <s v="GOMUKH CHATAUNA W-2"/>
        <s v="GOMUKH TEERA JATMALPUR"/>
        <s v="GOMUKH GOBARSITTHA"/>
        <s v="GOMUKH UGHRA"/>
        <s v="GOMUKH BALUAHA"/>
        <s v="GOMUKH DHAB WEST"/>
        <s v="GOMUKH JATMALPUR WEST"/>
        <s v="GOMUKH HAYAGHAT WEST"/>
        <s v="GOMUKH GHOGHARAHA"/>
        <s v="GOMUKH MORWARA"/>
        <s v="GOMUKH NIYAMCHAKHAIDAR"/>
        <s v="GOMUKH JATMAPUR WARD 1"/>
        <s v="GOMUKH PURUSHOTTAMPUR WEST"/>
        <s v="GOMUKH NIMA CHAKHAIDER"/>
        <s v="Gomukh Barhetta"/>
        <s v="GOMUKH  MANORATHPUR"/>
        <s v="GOMUKH BHADOGHAT"/>
        <s v="Gomukh Ghanharpur"/>
        <s v="URAIN"/>
        <s v="GOMUKH NAWTOLIYA(OM PRAKASH)"/>
        <s v="PAWAN RAY"/>
        <s v="Rani Panchwati"/>
        <s v="Gomukh Jitendra Yadav Vlc"/>
        <s v="Gomukh Parbatta Vlc"/>
        <s v="Musapur Bichla Tol-Prashant"/>
        <s v="Gomukh Saidpur"/>
        <s v="Gumukh Chakaura Rohit"/>
        <s v="SHIVNAR-2"/>
        <s v="Pauriya 2"/>
        <s v="GOMUKH PAITRAPUR"/>
        <s v="GOMUKH JAI MATA DI MILK CENTER"/>
        <s v="Gomukh Jatmalpur Dhab"/>
        <s v="Gomukh Tulsipur"/>
        <s v="Gomukh Bhavnathpur"/>
        <s v="AKHA KURHA"/>
        <s v="WHACHAUKI"/>
        <s v="ADALPUR"/>
        <s v="Gomukh Gulshan Kumar VLC"/>
        <s v="Vaishnawi Dairy"/>
        <s v="Gomukh Manjesh Kumar Temtha Karari"/>
        <s v="GOMUKH GARHIYA"/>
        <s v="Gomukh Mukhiyadera "/>
        <s v="Gumukk JP Dera"/>
        <s v="Gomukh Tulsipur Jamunia VLC"/>
        <s v="Gomukh KAIDRABAD"/>
        <s v="Gomukh KASTOLI"/>
        <s v="GOMUKH PURUSHOTTAMPUR"/>
        <s v="GOMUKH  JATMALPUR DHAB"/>
        <s v="Gomukh Moradpur                                                                                     " u="1"/>
        <s v="Gomukh Kanausi" u="1"/>
        <s v="Gomukh Menhan" u="1"/>
        <s v="Gomukh Surha" u="1"/>
        <s v="Gomukh Khanjapur Bangali Tola" u="1"/>
        <s v="Badiya-Bharti Devi" u="1"/>
        <s v="Haiwatpur- Vikas Chandra Rai" u="1"/>
        <s v="Pahsara- Abhay Kumar" u="1"/>
        <s v="WALIPUR 2" u="1"/>
        <s v="MUKTAR YADAV" u="1"/>
        <s v="Gomukh Nijampur" u="1"/>
        <s v="JAITPUR" u="1"/>
        <s v="Golapaar - Ramnandan" u="1"/>
        <s v="PACHAM" u="1"/>
        <s v="KUNNATH" u="1"/>
        <s v="MACHIDIH" u="1"/>
        <s v="RANGAUN" u="1"/>
        <s v="MIRATHI 2" u="1"/>
        <s v="KHIRDIH" u="1"/>
        <s v="Gomukh Pokhrama" u="1"/>
        <s v="DARISHIR" u="1"/>
        <s v="NIRAJ KUMAR" u="1"/>
        <s v="Abgil Rampur - Rohit" u="1"/>
        <s v="Abgil-2 - Sheshnath" u="1"/>
        <s v="Tilathi - Roushan" u="1"/>
        <s v="ABGIL" u="1"/>
        <s v="BABLU KUMAR" u="1"/>
        <s v="BELDARIYA" u="1"/>
        <s v="JANKIDIH" u="1"/>
        <s v="GOMUKH BIJULIYA" u="1"/>
        <s v="GOMUKH AKHA 2" u="1"/>
        <s v="GOMUKH  SALHA" u="1"/>
        <s v="GOMUKH BABABARHAM" u="1"/>
        <s v="GOMUKH RAVI RAY TOLA " u="1"/>
        <s v="Champanagar" u="1"/>
        <s v="Muradpur - Deepak" u="1"/>
        <s v="Gomukh Bari Maliya(Indirect)" u="1"/>
        <s v="Gomukh Navlolya                                                                                     " u="1"/>
        <s v="Araria Purbi" u="1"/>
        <s v="Gomukh Sondiha Uttri" u="1"/>
        <s v="Gomukh Bharatkhand Purbi" u="1"/>
        <s v="Gomukh Handalpur" u="1"/>
        <s v="Rani - Surender" u="1"/>
        <s v="Barauni - Ramnandan" u="1"/>
        <s v="Gomukh Ramchandarpur" u="1"/>
        <s v="GOMUKH HADIPUR" u="1"/>
        <s v="GOMUKH MARANCHI" u="1"/>
        <s v="GOMUKH CHIRANJIVIPUR" u="1"/>
        <s v="Amba-2" u="1"/>
        <s v="Mokhtiyarpur" u="1"/>
        <s v="BAHCHA" u="1"/>
        <s v="NANDNAMA" u="1"/>
        <s v="Gomukh ID Nawadih" u="1"/>
        <s v="KUMAR" u="1"/>
        <s v="GUNSAGAR 1" u="1"/>
        <s v="BARHARA" u="1"/>
        <s v="NANDNAMA-2" u="1"/>
        <s v="BELLORI" u="1"/>
        <s v="KRAUTA" u="1"/>
        <s v="MAHMADPUR VL" u="1"/>
        <s v="Gomukh Badi Lagar                                                                                   " u="1"/>
        <s v="Gomukh Aguwani                                                                                      " u="1"/>
        <s v="Gomukh Ganga Nagar" u="1"/>
        <s v="Gomukh Bishouni Purbi " u="1"/>
        <s v="GOMUKH PARTARPUR" u="1"/>
        <s v="Gomukh Sanhatol" u="1"/>
        <s v="Gomukh Aho Ghat" u="1"/>
        <s v="Gomukh Singhpur Balahpur" u="1"/>
        <s v="GOMUKH ALOLI" u="1"/>
        <s v="GOMUKH SONVARSA" u="1"/>
        <s v="GOMUKH TATRABAD" u="1"/>
        <s v="GOMUKH SANJHOTI" u="1"/>
        <s v="GOMUKH KAMALPUR" u="1"/>
        <s v="GOUKH SIRSIYA" u="1"/>
        <s v="GOMUKH SONAPUR BHARAT" u="1"/>
        <s v="GOMUKH SAHARBANNI" u="1"/>
        <s v="Gomukh Chakwari Tola" u="1"/>
        <s v="Gomukh Chora Tabhka" u="1"/>
        <s v="Gomukha Bisanpur Beri" u="1"/>
        <s v="KEWAS JAGIR" u="1"/>
        <s v="Madhepur - Bishwanath" u="1"/>
        <s v="Baruna Rasalpur" u="1"/>
        <s v="Ghataho East" u="1"/>
        <s v="Gomukh Kewasnijamat" u="1"/>
        <s v="GOMUKH HANUMAN NAGAR" u="1"/>
        <s v="Gomukh Mahmaddipur East" u="1"/>
        <s v="Gomukh Sarmaspur" u="1"/>
        <s v="Gomukh Tara Dhamaun Dakshini" u="1"/>
        <s v="Rampur-Pappu" u="1"/>
        <s v="Chaksikandar East" u="1"/>
        <s v="Gomukh Nipur" u="1"/>
        <s v="Gomukh Nauachak East" u="1"/>
        <s v="NAUACHAUK W-04" u="1"/>
        <s v="Gomukh Akhtiyarpur" u="1"/>
        <s v="Majhwari" u="1"/>
        <s v="Ekauna" u="1"/>
        <s v="ARIAON" u="1"/>
        <s v="Jagadhra" u="1"/>
        <s v="Ramopatti" u="1"/>
        <s v="Gomukh Lewar" u="1"/>
        <s v="Gomukh Chhapra" u="1"/>
        <s v="Gomukh Ekrashi Sadabriksh" u="1"/>
        <s v="Gomukh Banswar" u="1"/>
        <s v="Gomukh Navadera Prem" u="1"/>
        <s v="Gomukh Badkagaon" u="1"/>
        <s v="Gomukh Mahada Mirtunjay " u="1"/>
        <s v="Gomukh Pokhraha" u="1"/>
        <s v="Gomukh Rajpur Naurang Rai Dera" u="1"/>
        <s v="Gomukh Kaudesari" u="1"/>
        <s v="Gomukh Laxman Dera" u="1"/>
        <s v="Gomukh Koilawar Roma Bharti" u="1"/>
        <s v="Gomukh Tiyar" u="1"/>
        <s v="Gomukh Uttardahan" u="1"/>
        <s v="KHARIYA" u="1"/>
        <s v="Gomukh Amghatta Shreepur" u="1"/>
        <s v="Gomukh Borba Mahil  VLC" u="1"/>
        <s v="Gomukh Gorai Ward 4" u="1"/>
        <s v="GOMUKH Jitwariya" u="1"/>
        <s v="Gomukh Kharsand" u="1"/>
        <s v="Gomukh Kolwara" u="1"/>
        <s v="Gomukh Janardhanpur" u="1"/>
        <s v="Gomukh Balaha East" u="1"/>
        <s v="Gomukh PARAN" u="1"/>
        <s v="BELSANDI W-9" u="1"/>
        <s v="GOMUKH GORIYAMI" u="1"/>
        <s v="BARUN YADAV" u="1"/>
        <s v="Saharbanni Vlc" u="1"/>
        <s v="Gomukh Kanauli" u="1"/>
        <s v="Malhipur Bisanpur" u="1"/>
        <s v="DULLAHPUR2" u="1"/>
        <s v="Gomukh Akalupur Dera" u="1"/>
        <s v="Gomukh Bramha" u="1"/>
        <s v="MEGHAUNA VLC" u="1"/>
        <s v="HATHWAN VLC" u="1"/>
        <s v="Sadipur" u="1"/>
        <s v="Ranjitpur" u="1"/>
        <s v="Balahi" u="1"/>
        <s v="Gomukh Kaithi" u="1"/>
        <s v="GOMUKH ID ALAULI" u="1"/>
        <s v="Gomukh ID Khawa" u="1"/>
        <s v="PURBI CHASMASKAN" u="1"/>
        <s v="Gomukh Gamghatta" u="1"/>
        <s v="Gomukh Rampur                                                                                       " u="1"/>
        <s v="Rosera-Rajesh" u="1"/>
        <s v="Baghopur 2" u="1"/>
        <s v="Gomukh Shobhaipura 02" u="1"/>
        <s v="Nayatol" u="1"/>
        <s v="SHARMA" u="1"/>
        <s v="Gomukh SUBHANIPUR EAST" u="1"/>
        <s v="GOMUKH MURTUZAPUR EAST" u="1"/>
        <s v="Repura Kundan" u="1"/>
        <s v="Gomukh Baaghi" u="1"/>
        <s v="Gomukh Bakulaha Pati" u="1"/>
        <s v="Gomukh Alauli 2" u="1"/>
        <s v="Briyarpur" u="1"/>
        <s v="Birpur-Amarjeet Yadav" u="1"/>
        <s v="Gomukh Musapur Purvi Tola                                                                           " u="1"/>
        <s v="Chandan Dairy" u="1"/>
        <s v="Maisna- Mamta Devi" u="1"/>
        <s v="Bagraha Hasanpur" u="1"/>
        <s v="Chetan Tola-Dakshin - Hari Om" u="1"/>
        <s v="Medni-Chowki-2 - Ram" u="1"/>
        <s v="RAVIRAJ " u="1"/>
        <s v="GOMUKH SAIDPURA" u="1"/>
        <s v="GOMUKH SHAMHO 2" u="1"/>
        <s v="Gomukh Totha" u="1"/>
        <s v="Gomukh Ranjit Yadav VLC" u="1"/>
        <s v="Gomukh Purani Tola" u="1"/>
        <s v="Gomukh Jamalpur" u="1"/>
        <s v="GOMUKH ADHARPUR                                                                                     " u="1"/>
        <s v="RAM NANDAN YADAV" u="1"/>
        <s v="Hajipur" u="1"/>
        <s v="PRATAPUR P" u="1"/>
        <s v="Gomukh Salarpur Uttari" u="1"/>
        <s v="Gomukh Dumariya Bujurg" u="1"/>
        <s v="Gomukh Chowki" u="1"/>
        <s v="Lalu Kumar" u="1"/>
        <s v="Sarhad-Subodh" u="1"/>
        <s v="Boriya" u="1"/>
        <s v="Ballochak" u="1"/>
        <s v="Desu Balo Tol" u="1"/>
        <s v="PACHPAIKA" u="1"/>
        <s v="GOMUKH MAHIPURA" u="1"/>
        <s v="Gomukh BARDIHA TUTRI PETROL PUMP" u="1"/>
        <s v="SHIRDILPUR" u="1"/>
        <s v="Vishnupur Kowahi" u="1"/>
        <s v="Gomukh Davaichh" u="1"/>
        <s v="Chatursal Ganj" u="1"/>
        <s v="Harnaha" u="1"/>
        <s v="Gomukh Ekauna Dera" u="1"/>
        <s v="Gomukh Semra Nandpur" u="1"/>
        <s v="REHUA" u="1"/>
        <s v="GOMUKH WALIPUR" u="1"/>
        <s v="GOMUKH GORAI" u="1"/>
        <s v="Gomukh GORAI East" u="1"/>
        <s v="Jalkaura VLC" u="1"/>
        <s v="RAHUL KUMAR VLC" u="1"/>
        <s v="Gomukh Baltara" u="1"/>
        <s v="Mithilanchal Agro Producer Company Limited" u="1"/>
        <s v="SAFAPUR VLC" u="1"/>
        <s v="Gomukh Raju Mandal Tola" u="1"/>
        <s v="Gomukh SOMNAHA" u="1"/>
        <s v="Gomukh Baltara Mithlesh" u="1"/>
        <s v="Gomukh Karor " u="1"/>
        <s v="Gomukh Bhitiyarahi" u="1"/>
        <s v="Gomukh Basantpur" u="1"/>
        <s v="Gomukh Sakrauli" u="1"/>
        <s v="Hasanpur-2" u="1"/>
        <s v="Gomukh Thahara" u="1"/>
        <s v="KARUA W-17" u="1"/>
        <s v="Gomukh Shitalrampur                                                                                 " u="1"/>
        <s v="Gomukh Teliya Bathan Purbi" u="1"/>
        <s v="Repura-Anita" u="1"/>
        <s v="Sonma- Khushilal Yadav" u="1"/>
        <s v="Gomukh Munichak" u="1"/>
        <s v="Gomukh Arjun Tola" u="1"/>
        <s v="UFFRAUL" u="1"/>
        <s v="BHITTHI" u="1"/>
        <s v="DEVNAGAR GOHRI" u="1"/>
        <s v="LADHAUNA" u="1"/>
        <s v="GOMUKH RASALPUR" u="1"/>
        <s v="Gomukh Sunni Kumar VLC" u="1"/>
        <s v="Gomukh Rajan Madhabpur Vlc" u="1"/>
        <s v="Gomukh Bhairwar" u="1"/>
        <s v="Gomukh Sahibpur" u="1"/>
        <s v="GOMUKH RON" u="1"/>
        <s v="Bochaha_Sonu" u="1"/>
        <s v="Rupasbaj" u="1"/>
        <s v="Kursaha East" u="1"/>
        <s v="GOMUKH JALALPUR" u="1"/>
        <s v="Pinki Enterprises" u="1"/>
        <s v="Gomukh Akowahi Purvi Tol" u="1"/>
        <s v="Gomukh BAWANGHAT" u="1"/>
        <s v="GURUDEVNGAR" u="1"/>
        <s v="Gomukh Dahivar Kothiya" u="1"/>
        <s v="Gomukh Suraundha" u="1"/>
        <s v="Gomukh Pandeypur" u="1"/>
        <s v="KATHAR" u="1"/>
        <s v="Suddh Daity" u="1"/>
        <s v="Gomukh Bandra" u="1"/>
        <s v="GOMUKH MADHURAPUR" u="1"/>
        <s v="Gomukh Binodpur" u="1"/>
        <s v="Gomukh Goha" u="1"/>
        <s v="Gomukh Fajilpur" u="1"/>
        <s v="Morkahi- Bablu Yadav" u="1"/>
        <s v="Bari Kewal- Jitendra Kumar" u="1"/>
        <s v="Gomukh Gandhinagar" u="1"/>
        <s v="Gomukh Dariyapur" u="1"/>
        <s v="RAMSIR" u="1"/>
        <s v="RUPESH SINGH(VLC)" u="1"/>
        <s v="JAGAN SAIDPUR" u="1"/>
        <s v="MSKMPG LAKXMIPUR" u="1"/>
        <s v="Gomukh Pachkhutti Jorabarpur" u="1"/>
        <s v="Gomukh ID Pidhauli" u="1"/>
        <s v="Barauni-Shubhash" u="1"/>
        <s v="Sitarampur" u="1"/>
        <s v="DHARSANDA" u="1"/>
        <s v="SAITHNAN" u="1"/>
        <s v="SHRIRAMPUR THUTHI GOMUKH" u="1"/>
        <s v="Gomukh Mathar Sukhdev Babu Tola" u="1"/>
        <s v="Gomukh Mohanpur 1                                                                                   " u="1"/>
        <s v="Gomukh Mansi Gharari" u="1"/>
        <s v="Chitraur VLC" u="1"/>
        <s v="GOMUKH KASAHA" u="1"/>
        <s v="SAHEB KUMAR" u="1"/>
        <s v="Sanjeet Kumar" u="1"/>
        <s v="SANTOSH BALAHPUR VLC" u="1"/>
        <s v="Gomukh HUSENIPUR" u="1"/>
        <s v="Gomukh Basadiya East" u="1"/>
        <s v="Kaithi Paschim" u="1"/>
        <s v="Gomukh Bicchu Ka Dera" u="1"/>
        <s v="Gomukh Semra Gayghat Ramashankar" u="1"/>
        <s v="Gomukh Gosain Gaon" u="1"/>
        <s v="Manjhaul-03" u="1"/>
        <s v="Gomukh Hayaghat" u="1"/>
        <s v="Gomukh Chandpura Neema" u="1"/>
        <s v="Gomukh Maida Babhangama" u="1"/>
        <s v="Gomukh Kharaiya Sultanpur" u="1"/>
        <s v="Gomukh Rampur" u="1"/>
        <s v="HUSSAINA ABGIL ARJUN" u="1"/>
        <s v="RAJAN KUMAR(VLC)" u="1"/>
        <s v="GOMUKH BHAGWATI STHAN" u="1"/>
        <s v="CHANNAYA" u="1"/>
        <s v="Gomukh Araria-2" u="1"/>
        <s v="Gomukh Gogri" u="1"/>
        <s v="Gomukh Kederabad                                                                                    " u="1"/>
        <s v="Bariyahi - Ramvaran" u="1"/>
        <s v="Gaura - Raj Bhardwaj" u="1"/>
        <s v="Gomukh Amarpur Paschim" u="1"/>
        <s v="Kaji Rasalpur" u="1"/>
        <s v="Gomukh Pachrukhi" u="1"/>
        <s v="GOMUKH SHAADPUR" u="1"/>
        <s v="Gomukh Kashimpur" u="1"/>
        <s v="Gomukh Shakarpura" u="1"/>
        <s v="GOMUKH KASBA DIYARA" u="1"/>
        <s v="Gomukh Chhatauna East" u="1"/>
        <s v="SAMASPURA                                                                                           " u="1"/>
        <s v="Sihama" u="1"/>
        <s v="Gomukh Gangapur" u="1"/>
        <s v="Harikishunpur" u="1"/>
        <s v="Gomukh Keshopur Surendra" u="1"/>
        <s v="Gomukh Giridhar Baraw" u="1"/>
        <s v="Gomukh Chautham" u="1"/>
        <s v="Gomukh Paroriya                                                                                     " u="1"/>
        <s v="Gomukh Sahuri-2" u="1"/>
        <s v="Gomukh Dharampur" u="1"/>
        <s v="Gomukh Gudaar" u="1"/>
        <s v="Gomukh Sihi" u="1"/>
        <s v="PRAMOD YADAV" u="1"/>
        <s v="GOMUKH JHAGRAHA" u="1"/>
        <s v="Gomukh Jagatpura" u="1"/>
        <s v="Gomukh Ramdiri" u="1"/>
        <s v="SURESH YADAV" u="1"/>
        <s v="Gomukh Vishnupur Purbi" u="1"/>
        <s v="GOMUKH SAURAYDIH" u="1"/>
        <s v="GOMUKH SHUMBHA" u="1"/>
        <s v="GOMUKH BAbhangama" u="1"/>
        <s v="MORDIWA" u="1"/>
        <s v="SUNDAR KUMAR                                                                                        " u="1"/>
        <s v="Gomukh ID Simri" u="1"/>
        <s v="Gomukh Babhuar Ashok" u="1"/>
        <s v="Gomukh Jigina" u="1"/>
        <s v="Gomukh Kuwan" u="1"/>
        <s v="Gomukh Garhtakhurd" u="1"/>
        <s v="Gomukh Bharkhar" u="1"/>
        <s v="PIPRIYA DIHH" u="1"/>
        <s v="Gomukh Bachhwara" u="1"/>
        <s v="GOMUKH Gopalpur Thahara" u="1"/>
        <s v="RAVISH KUMAR" u="1"/>
        <s v="PANKAJ KUMAR" u="1"/>
        <s v="Gomukh Tartar" u="1"/>
        <s v="Gomukh Phulhara                                                                                     " u="1"/>
        <s v="Gomukh Bharwari" u="1"/>
        <s v="Rakesh Dairy" u="1"/>
        <s v="LALAN KUMAR YADAV" u="1"/>
        <s v="BASUHAR" u="1"/>
        <s v="Gomukh Araria-1" u="1"/>
        <s v="Gomukh Arariya Uttari" u="1"/>
        <s v="Gomukh Dumariya Khurd                                                                               " u="1"/>
        <s v="Gomukh Aguwani Farakia" u="1"/>
        <s v="Gomukh ID Islampur" u="1"/>
        <s v="GOMUKH KHARMOLI" u="1"/>
        <s v="Panchwati Chowk - Ghanshyan Kumar Ray" u="1"/>
        <s v="TETARHAT" u="1"/>
        <s v="JALAY" u="1"/>
        <s v="MSK MPG BADI LAGAR" u="1"/>
        <s v="Gomukh Bakhadda                                                                                     " u="1"/>
        <s v="GOMUKH BANARASI TOLA" u="1"/>
        <s v="Gomukh Barkhandi Tol" u="1"/>
        <s v="PRASHANT PAHARPUR" u="1"/>
        <s v="Bhojpur" u="1"/>
        <s v="Siura" u="1"/>
        <s v="Chakpahar" u="1"/>
        <s v="Chakpahar East" u="1"/>
        <s v="Chakpahar Bichla Tol-Sanjay" u="1"/>
        <s v="Salempur" u="1"/>
        <s v="Gomukh Subhash Chowk" u="1"/>
        <s v="BADKA SIHANPURA" u="1"/>
        <s v="Gomukh Chhapra Baradhi Anil" u="1"/>
        <s v="Gomukh Ramgardh Dera" u="1"/>
        <s v="Gomukh Bhagli Basha" u="1"/>
        <s v="Gomukh Borba Naya Tola " u="1"/>
        <s v="Satyajit Kumar" u="1"/>
        <s v="Gomukh Panchyat bhawan Walipur-5" u="1"/>
        <s v="Gomukh ID Kiranpur" u="1"/>
        <s v="Gomukh Salarpur East" u="1"/>
        <s v="Gomukh Adawari" u="1"/>
        <s v="Gomukh Bhorkat" u="1"/>
        <s v="GOMUKH TARA" u="1"/>
        <s v="Gomukh ID Aure" u="1"/>
        <s v="NOMA                                                                                                " u="1"/>
        <s v="Goumukh Samastipur" u="1"/>
        <s v="Gomukh Samastipur kundan                                                                            " u="1"/>
        <s v="GOMUKH ICHARUA" u="1"/>
        <s v="GOMUKH BAGINGAMA" u="1"/>
        <s v="Samsipur" u="1"/>
        <s v="Gomukh Bingama" u="1"/>
        <s v="Gomukh Bhusawar" u="1"/>
        <s v="Gomukh Mou Diyara" u="1"/>
        <s v="Chilahri" u="1"/>
        <s v="Harnaha                                                                                             " u="1"/>
        <s v="AASARFI DWARIKA AGRICULTURE PRODUCER COMPANY LTD BHADA" u="1"/>
        <s v="GOMUKH BARUHAN" u="1"/>
        <s v="Gomukh Bhadwar" u="1"/>
        <s v="Gomukh Koransarai" u="1"/>
        <s v="Gomukh Mathila" u="1"/>
        <s v="Gomukh Bramhpur Pachhimtola" u="1"/>
        <s v="KHARAYA" u="1"/>
        <s v="Bagri" u="1"/>
        <s v="Gomukh Uchit Marar Tola" u="1"/>
        <s v="Gomukh Mohanpur - VLC" u="1"/>
        <s v="GOMUKH Malinagar" u="1"/>
        <s v="Gomukh Niyazipur" u="1"/>
        <s v="Gomukh Jawahi" u="1"/>
        <s v="Gomukh Tawkal Ka Dera 1 - Sunil" u="1"/>
        <s v="Gomukh Garhsisai" u="1"/>
        <s v="Gomukh Bacchwara" u="1"/>
        <s v="GOMUKH LOMA" u="1"/>
        <s v="BANNUBAGICHA" u="1"/>
        <s v="Gomukh Chanwath niraml" u="1"/>
        <s v="Gomukh Badki Basauli Omprakash" u="1"/>
        <s v="BILLO" u="1"/>
        <s v="NATHUN YADAV (CHETAN TOLA)                                                                          " u="1"/>
        <s v="Amit Kumar-Manjhaul" u="1"/>
        <s v="Gomukh Dudhpura" u="1"/>
        <s v="PRIYANSHU KUMAR" u="1"/>
        <s v="Bakhri- Rajaram Mahto" u="1"/>
        <s v="Hussainipur Gobindpur" u="1"/>
        <s v="CHHATUNA" u="1"/>
        <s v="GOMUKH RACHIHAI PURANA TOLA" u="1"/>
        <s v="Gomukh ID Nandpur" u="1"/>
        <s v="Gomukh Lawalagam Purbi" u="1"/>
        <s v="UDHADIH                                                                                             " u="1"/>
        <s v="Gomukh Bithalpur Anup Raj" u="1"/>
        <s v="GOMUKH MAJHARIYA" u="1"/>
        <s v="MANPUR" u="1"/>
        <s v="Gomukh Birpur Nayagaun" u="1"/>
        <s v="Gomukh Bararhi" u="1"/>
        <s v="Gomukh Chak Dakshin" u="1"/>
        <s v="Dalsagar" u="1"/>
        <s v="Gomukh Hasanpur                                                                                     " u="1"/>
        <s v="Gomukh Salarpur                                                                                     " u="1"/>
        <s v="Gomukh Rahthua" u="1"/>
        <s v="Gomukh Raipur                                                                                       " u="1"/>
        <s v="GOMUKH BHIKHAM CHAK" u="1"/>
        <s v="GOMUKH KURUTHIYA" u="1"/>
        <s v="Gomukh Dariyapur                                                                                    " u="1"/>
        <s v="Gomukh Ganga prasad                                                                                 " u="1"/>
        <s v="Gomukh Makundpur                                                                                    " u="1"/>
        <s v="Gomukh Nauranga                                                                                     " u="1"/>
        <s v="Gomukh Paroriya Pokhar tola                                                                         " u="1"/>
        <s v="GOMUKH RAMDIRI LABHARCHAK                                                                           " u="1"/>
        <s v="SALAUNJA                                                                                            " u="1"/>
        <s v="SARIFA" u="1"/>
        <s v="Kancha-Prabhat" u="1"/>
        <s v="Gomukh Jagdishmandal tol" u="1"/>
        <s v="Gomukh Sugharan" u="1"/>
        <s v="Gomukh Dimha" u="1"/>
        <s v="Gomukh Manikpur 1" u="1"/>
        <s v="Gomukh Bishauni" u="1"/>
        <s v="LAKSHMIPUR" u="1"/>
        <s v="Naua Chak" u="1"/>
        <s v="Gomukh ID Dumri" u="1"/>
        <s v="Vishnupatti-Shi" u="1"/>
        <s v="Gomukh Garhpura-1" u="1"/>
        <s v="Basudevpur " u="1"/>
        <s v="Gomukh Ahiyarpur" u="1"/>
        <s v="Gomukh Bharso" u="1"/>
        <s v="Gomukh Boxa Manoj" u="1"/>
        <s v="Gomukh ID Madhu Dih" u="1"/>
        <s v="Tilaunjh - Sanjeevan" u="1"/>
        <s v="Baraipura Dairy" u="1"/>
        <s v="Gomukh Orapkhurd Chandrashekhar" u="1"/>
      </sharedItems>
    </cacheField>
    <cacheField name="Amcu type" numFmtId="164">
      <sharedItems containsSemiMixedTypes="0" containsString="0" containsNumber="1" containsInteger="1" minValue="0" maxValue="0"/>
    </cacheField>
    <cacheField name="VLC Type" numFmtId="0">
      <sharedItems/>
    </cacheField>
    <cacheField name="Farmer Payment" numFmtId="0">
      <sharedItems/>
    </cacheField>
    <cacheField name="BMC Code " numFmtId="0">
      <sharedItems containsSemiMixedTypes="0" containsString="0" containsNumber="1" containsInteger="1" minValue="1001" maxValue="1066"/>
    </cacheField>
    <cacheField name="MCC" numFmtId="0">
      <sharedItems count="28">
        <s v="Majhaul"/>
        <s v="Teghra"/>
        <s v="Hasanpur"/>
        <s v="Laldiyara"/>
        <s v="Asarganj"/>
        <s v="Sonvarsha"/>
        <s v="Gopalpur Bmc"/>
        <s v="Araria"/>
        <s v="Chautham"/>
        <s v="Parbatta"/>
        <s v="Matihani"/>
        <s v="Halsi"/>
        <s v="Sahibpur Kamal"/>
        <s v="Alauli "/>
        <s v="DalsinghSarai"/>
        <s v="Musrigharari"/>
        <s v="Dumraon"/>
        <s v="MAHADAT PUR 2"/>
        <s v="Kalyanpur"/>
        <s v="Warisnagar"/>
        <s v="Bachhwara BMC"/>
        <s v="Tofir"/>
        <s v="Mahua BMC"/>
        <s v="Singhia BMC"/>
        <s v="Gaighat"/>
        <s v="Aluali" u="1"/>
        <s v="Jhandapur" u="1"/>
        <e v="#N/A" u="1"/>
      </sharedItems>
    </cacheField>
    <cacheField name="status" numFmtId="14">
      <sharedItems/>
    </cacheField>
    <cacheField name="Start Date" numFmtId="14">
      <sharedItems containsSemiMixedTypes="0" containsNonDate="0" containsDate="1" containsString="0" minDate="2017-09-01T00:00:00" maxDate="2026-05-29T00:00:00"/>
    </cacheField>
    <cacheField name="BMC Volume" numFmtId="165">
      <sharedItems containsSemiMixedTypes="0" containsString="0" containsNumber="1" minValue="0.01" maxValue="106447"/>
    </cacheField>
    <cacheField name="BMC Amount" numFmtId="165">
      <sharedItems containsSemiMixedTypes="0" containsString="0" containsNumber="1" minValue="0.33" maxValue="4085618.2003672905"/>
    </cacheField>
    <cacheField name="Sahayak Comission @ 0.75/-" numFmtId="165">
      <sharedItems containsSemiMixedTypes="0" containsString="0" containsNumber="1" minValue="7.4999999999999997E-3" maxValue="79835.25"/>
    </cacheField>
    <cacheField name="Std gain @ 0.95/-" numFmtId="165">
      <sharedItems containsSemiMixedTypes="0" containsString="0" containsNumber="1" minValue="9.4999999999999998E-3" maxValue="101124.65"/>
    </cacheField>
    <cacheField name="Farmer Sample Milk" numFmtId="165">
      <sharedItems containsSemiMixedTypes="0" containsString="0" containsNumber="1" minValue="0" maxValue="9058.8885878176188"/>
    </cacheField>
    <cacheField name="Std Gain @ 3%" numFmtId="165">
      <sharedItems containsSemiMixedTypes="0" containsString="0" containsNumber="1" minValue="9.9000000000000008E-3" maxValue="122568.54601101871"/>
    </cacheField>
    <cacheField name="Reserve from Std Gain" numFmtId="165">
      <sharedItems containsSemiMixedTypes="0" containsString="0" containsNumber="1" minValue="-739.851075442401" maxValue="25188.891011018728"/>
    </cacheField>
    <cacheField name="AMC from MPG @ 0.10/-" numFmtId="165">
      <sharedItems containsSemiMixedTypes="0" containsString="0" containsNumber="1" minValue="0" maxValue="10285.59"/>
    </cacheField>
    <cacheField name="Actual Volume Penalty" numFmtId="165">
      <sharedItems containsSemiMixedTypes="0" containsString="0" containsNumber="1" minValue="-6.5999999999348802E-3" maxValue="2139.5724664162117"/>
    </cacheField>
    <cacheField name="Net Sahayak Income" numFmtId="165">
      <sharedItems containsSemiMixedTypes="0" containsString="0" containsNumber="1" containsInteger="1" minValue="0" maxValue="180960"/>
    </cacheField>
    <cacheField name="New Assets EMI" numFmtId="166">
      <sharedItems containsSemiMixedTypes="0" containsString="0" containsNumber="1" minValue="0" maxValue="8475.0942696553029"/>
    </cacheField>
    <cacheField name="Can Deduction" numFmtId="166">
      <sharedItems containsSemiMixedTypes="0" containsString="0" containsNumber="1" minValue="0" maxValue="13895.669582337472"/>
    </cacheField>
    <cacheField name="PCB Ded" numFmtId="166">
      <sharedItems containsSemiMixedTypes="0" containsString="0" containsNumber="1" containsInteger="1" minValue="0" maxValue="3000"/>
    </cacheField>
    <cacheField name="Other" numFmtId="166">
      <sharedItems containsSemiMixedTypes="0" containsString="0" containsNumber="1" containsInteger="1" minValue="0" maxValue="5600"/>
    </cacheField>
    <cacheField name="Consumables" numFmtId="165">
      <sharedItems containsSemiMixedTypes="0" containsString="0" containsNumber="1" minValue="0" maxValue="2920.4999999999995"/>
    </cacheField>
    <cacheField name="Payble to Sahyak" numFmtId="166">
      <sharedItems containsSemiMixedTypes="0" containsString="0" containsNumber="1" containsInteger="1" minValue="0" maxValue="180960"/>
    </cacheField>
    <cacheField name="Hold" numFmtId="166">
      <sharedItems containsSemiMixedTypes="0" containsString="0" containsNumber="1" containsInteger="1" minValue="0" maxValue="180960"/>
    </cacheField>
    <cacheField name="Net Payble" numFmtId="166">
      <sharedItems containsSemiMixedTypes="0" containsString="0" containsNumber="1" containsInteger="1" minValue="0" maxValue="164569"/>
    </cacheField>
    <cacheField name="Payment relase 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9">
  <r>
    <s v="Munger"/>
    <s v="01-02 Apr"/>
    <n v="1001"/>
    <s v="Majhaul"/>
    <x v="0"/>
    <s v="Gomukh Kumbhi"/>
    <s v="MPG"/>
    <s v="Direct"/>
    <n v="142.79999999999998"/>
    <n v="5463.9400000000005"/>
    <n v="144.01"/>
    <n v="5492.4145432876712"/>
    <n v="1.03"/>
    <n v="39.940395660000007"/>
    <n v="145.04"/>
    <n v="5532.3549389476711"/>
    <n v="5463.9400000000005"/>
    <n v="0"/>
    <n v="39.940395660000007"/>
    <n v="68.414938947670635"/>
    <n v="0"/>
    <n v="0"/>
    <n v="0"/>
    <n v="5424"/>
    <n v="0"/>
    <n v="0"/>
    <n v="0"/>
    <n v="0"/>
    <n v="43.772740616246523"/>
    <n v="71.399999999999991"/>
    <n v="-1.2521173173144403E-2"/>
    <n v="18"/>
    <m/>
    <s v="Majhaul"/>
    <m/>
    <n v="0"/>
  </r>
  <r>
    <s v="Munger"/>
    <s v="01-02 Apr"/>
    <n v="1008"/>
    <s v="Teghra"/>
    <x v="1"/>
    <s v="Gomukh Amba"/>
    <s v="MPG"/>
    <s v="Direct"/>
    <n v="17.350000000000001"/>
    <n v="602.49"/>
    <n v="17"/>
    <n v="595.12542804000009"/>
    <n v="0"/>
    <n v="0"/>
    <n v="17"/>
    <n v="595.12542804000009"/>
    <n v="595.12542804000009"/>
    <n v="0"/>
    <n v="0"/>
    <n v="0"/>
    <n v="0"/>
    <n v="0"/>
    <n v="0"/>
    <n v="595"/>
    <n v="0"/>
    <n v="0"/>
    <n v="7"/>
    <n v="0"/>
    <n v="126.85279365994235"/>
    <n v="8.6750000000000007"/>
    <n v="1.2223558830851832E-2"/>
    <n v="1"/>
    <m/>
    <s v="Teghra"/>
    <m/>
    <n v="0"/>
  </r>
  <r>
    <s v="Munger"/>
    <s v="01-02 Apr"/>
    <n v="1001"/>
    <s v="Majhaul"/>
    <x v="2"/>
    <s v="Gomukh Jagdar                                                                                       "/>
    <s v="MPG"/>
    <s v="Direct"/>
    <n v="330.6"/>
    <n v="12783.8"/>
    <n v="327.78"/>
    <n v="13162.008683500002"/>
    <n v="4.0299999999999994"/>
    <n v="153.09544179600002"/>
    <n v="331.80999999999995"/>
    <n v="13315.104125296002"/>
    <n v="12783.8"/>
    <n v="0"/>
    <n v="153.09544179600002"/>
    <n v="531.30412529600289"/>
    <n v="0"/>
    <n v="0"/>
    <n v="0"/>
    <n v="12631"/>
    <n v="0"/>
    <n v="0"/>
    <n v="0"/>
    <s v="Release1"/>
    <n v="0"/>
    <n v="0"/>
    <n v="-4.1560735094103705E-2"/>
    <n v="11"/>
    <m/>
    <s v="Majhaul"/>
    <m/>
    <n v="0"/>
  </r>
  <r>
    <s v="Munger"/>
    <s v="01-02 Apr"/>
    <n v="1058"/>
    <s v="Hasanpur"/>
    <x v="3"/>
    <s v="Gomukh Goriyari"/>
    <s v="MPG"/>
    <s v="Direct"/>
    <n v="328.6"/>
    <n v="12828.68"/>
    <n v="240"/>
    <n v="9411.862680000002"/>
    <n v="88.6"/>
    <n v="3471.1419837600001"/>
    <n v="328.6"/>
    <n v="12883.004663760003"/>
    <n v="12828.68"/>
    <n v="0"/>
    <n v="0"/>
    <n v="54.324663760002295"/>
    <n v="0"/>
    <n v="0"/>
    <n v="0"/>
    <n v="9358"/>
    <n v="3471"/>
    <n v="0"/>
    <n v="0"/>
    <n v="0"/>
    <n v="0"/>
    <n v="0"/>
    <n v="-4.2346261470394692E-3"/>
    <n v="8"/>
    <m/>
    <s v="Hasanpur"/>
    <m/>
    <n v="0"/>
  </r>
  <r>
    <s v="Munger"/>
    <s v="01-02 Apr"/>
    <n v="1058"/>
    <s v="Hasanpur"/>
    <x v="4"/>
    <s v="Gomukh Kanausi"/>
    <s v="MPG"/>
    <s v="Direct"/>
    <n v="135.69999999999999"/>
    <n v="5187.3"/>
    <n v="80"/>
    <n v="3070.6706052000004"/>
    <n v="55.5"/>
    <n v="2076.9897503520001"/>
    <n v="135.5"/>
    <n v="5147.6603555520005"/>
    <n v="5147.6603555520005"/>
    <n v="0"/>
    <n v="0"/>
    <n v="0"/>
    <n v="0"/>
    <n v="0"/>
    <n v="0"/>
    <n v="3071"/>
    <n v="2077"/>
    <n v="0"/>
    <n v="39"/>
    <n v="0"/>
    <n v="49.158937361827583"/>
    <n v="67.849999999999994"/>
    <n v="7.6416718616620725E-3"/>
    <n v="4"/>
    <m/>
    <s v="Hasanpur"/>
    <m/>
    <n v="0"/>
  </r>
  <r>
    <s v="Munger"/>
    <s v="01-02 Apr"/>
    <n v="1001"/>
    <s v="Majhaul"/>
    <x v="5"/>
    <s v="Birpur-2 - Pankaj"/>
    <s v="vlc"/>
    <s v="Indirect"/>
    <n v="1282.0999999999999"/>
    <n v="44428.759999999995"/>
    <n v="0"/>
    <n v="0"/>
    <n v="0"/>
    <n v="0"/>
    <n v="0"/>
    <n v="0"/>
    <n v="44428.759999999995"/>
    <n v="0"/>
    <n v="0"/>
    <n v="0"/>
    <n v="0"/>
    <n v="0"/>
    <n v="0"/>
    <n v="0"/>
    <n v="0"/>
    <n v="44428.759999999995"/>
    <n v="0"/>
    <n v="0"/>
    <n v="0"/>
    <n v="0"/>
    <n v="0"/>
    <n v="0"/>
    <m/>
    <s v="Majhaul"/>
    <m/>
    <n v="0"/>
  </r>
  <r>
    <s v="Munger"/>
    <s v="01-02 Apr"/>
    <n v="1058"/>
    <s v="Hasanpur"/>
    <x v="6"/>
    <s v="Ekamba - Ashutosh"/>
    <s v="vlc"/>
    <s v="Indirect"/>
    <n v="289.2"/>
    <n v="10794.960000000001"/>
    <n v="0"/>
    <n v="0"/>
    <n v="0"/>
    <n v="0"/>
    <n v="0"/>
    <n v="0"/>
    <n v="10794.960000000001"/>
    <n v="0"/>
    <n v="0"/>
    <n v="0"/>
    <n v="0"/>
    <n v="0"/>
    <n v="0"/>
    <n v="0"/>
    <n v="0"/>
    <n v="10794.960000000001"/>
    <n v="0"/>
    <n v="0"/>
    <n v="0"/>
    <n v="0"/>
    <n v="0"/>
    <n v="0"/>
    <m/>
    <s v="Hasanpur"/>
    <m/>
    <n v="0"/>
  </r>
  <r>
    <s v="Munger"/>
    <s v="01-02 Apr"/>
    <n v="1058"/>
    <s v="Hasanpur"/>
    <x v="7"/>
    <s v="Gomukh Dunahi"/>
    <s v="MPG"/>
    <s v="Direct"/>
    <n v="359.70000000000005"/>
    <n v="13122.550000000001"/>
    <n v="240.1"/>
    <n v="9353.7178455600006"/>
    <n v="153"/>
    <n v="5940.9596268000005"/>
    <n v="393.1"/>
    <n v="15294.677472360001"/>
    <n v="13122.550000000001"/>
    <n v="0"/>
    <n v="0"/>
    <n v="2172.12747236"/>
    <n v="0"/>
    <n v="0"/>
    <n v="0"/>
    <n v="7183"/>
    <n v="5940"/>
    <n v="0"/>
    <n v="0"/>
    <n v="0"/>
    <n v="0"/>
    <n v="0"/>
    <n v="-0.16552632471280351"/>
    <n v="7"/>
    <m/>
    <s v="Hasanpur"/>
    <m/>
    <n v="0"/>
  </r>
  <r>
    <s v="Munger"/>
    <s v="01-02 Apr"/>
    <n v="1001"/>
    <s v="Majhaul"/>
    <x v="8"/>
    <s v="GOMUKH BIRPUR PASCHIM                                                                               "/>
    <s v="MPG"/>
    <s v="Direct"/>
    <n v="38.700000000000003"/>
    <n v="1600.6"/>
    <n v="52"/>
    <n v="2091.598344"/>
    <n v="0"/>
    <n v="0"/>
    <n v="52"/>
    <n v="2091.598344"/>
    <n v="1600.6"/>
    <n v="0"/>
    <n v="0"/>
    <n v="490.99834400000009"/>
    <n v="0"/>
    <n v="0"/>
    <n v="0"/>
    <n v="1601"/>
    <n v="0"/>
    <n v="0"/>
    <n v="0"/>
    <n v="0"/>
    <n v="133.42469250645993"/>
    <n v="19.350000000000001"/>
    <n v="-0.30675893040109964"/>
    <n v="2"/>
    <m/>
    <s v="Majhaul"/>
    <m/>
    <n v="0"/>
  </r>
  <r>
    <s v="Munger"/>
    <s v="01-02 Apr"/>
    <n v="1058"/>
    <s v="Hasanpur"/>
    <x v="9"/>
    <s v="Gomukh Harigiridham                                                                                 "/>
    <s v="MPG"/>
    <s v="Direct"/>
    <n v="642.79999999999995"/>
    <n v="22247.31"/>
    <n v="40"/>
    <n v="1384.4551248000002"/>
    <n v="620"/>
    <n v="21591.589456800004"/>
    <n v="660"/>
    <n v="22976.044581600003"/>
    <n v="22247.31"/>
    <n v="0"/>
    <n v="0"/>
    <n v="728.73458160000155"/>
    <n v="0"/>
    <n v="0"/>
    <n v="0"/>
    <n v="660"/>
    <n v="21587"/>
    <n v="0"/>
    <n v="0"/>
    <n v="0"/>
    <n v="0"/>
    <n v="0"/>
    <n v="-3.2756076199774331E-2"/>
    <n v="17"/>
    <m/>
    <s v="Hasanpur"/>
    <m/>
    <n v="0"/>
  </r>
  <r>
    <s v="Munger"/>
    <s v="01-02 Apr"/>
    <n v="1001"/>
    <s v="Majhaul"/>
    <x v="10"/>
    <s v="Manish Dairy                                                                                        "/>
    <s v="vlc"/>
    <s v="Indirect"/>
    <n v="4492"/>
    <n v="159441.59"/>
    <n v="0"/>
    <n v="0"/>
    <n v="0"/>
    <n v="0"/>
    <n v="0"/>
    <n v="0"/>
    <n v="159441.59"/>
    <n v="0"/>
    <n v="0"/>
    <n v="0"/>
    <n v="0"/>
    <n v="0"/>
    <n v="0"/>
    <n v="0"/>
    <n v="0"/>
    <n v="159441.59"/>
    <n v="0"/>
    <n v="0"/>
    <n v="0"/>
    <n v="0"/>
    <n v="0"/>
    <n v="0"/>
    <m/>
    <s v="Majhaul"/>
    <m/>
    <n v="0"/>
  </r>
  <r>
    <s v="Munger"/>
    <s v="01-02 Apr"/>
    <n v="1001"/>
    <s v="Majhaul"/>
    <x v="11"/>
    <s v="Gomukh Bhith-02"/>
    <s v="MPG"/>
    <s v="Direct"/>
    <n v="275.90000000000003"/>
    <n v="12048.95"/>
    <n v="51.679999999999993"/>
    <n v="2440.89110755"/>
    <n v="234.48000000000002"/>
    <n v="10840.410572526902"/>
    <n v="286.16000000000003"/>
    <n v="13281.301680076902"/>
    <n v="12048.95"/>
    <n v="0"/>
    <n v="0"/>
    <n v="1232.3516800769012"/>
    <n v="0"/>
    <n v="0"/>
    <n v="0"/>
    <n v="1207"/>
    <n v="10842"/>
    <n v="0"/>
    <n v="0"/>
    <n v="0"/>
    <n v="0"/>
    <n v="0"/>
    <n v="-0.10227876122623972"/>
    <n v="9"/>
    <m/>
    <s v="Majhaul"/>
    <m/>
    <n v="0"/>
  </r>
  <r>
    <s v="Munger"/>
    <s v="01-02 Apr"/>
    <n v="1001"/>
    <s v="Majhaul"/>
    <x v="12"/>
    <s v="Gomukh Sharmatola Sahuri"/>
    <s v="MPG"/>
    <s v="Direct"/>
    <n v="324.5"/>
    <n v="11827.84"/>
    <n v="320.27999999999997"/>
    <n v="12160.163053772605"/>
    <n v="4.6199999999999992"/>
    <n v="202.50328710536002"/>
    <n v="324.89999999999998"/>
    <n v="12362.666340877966"/>
    <n v="11827.84"/>
    <n v="0"/>
    <n v="0"/>
    <n v="534.82634087796578"/>
    <n v="0"/>
    <n v="0"/>
    <n v="0"/>
    <n v="11625"/>
    <n v="203"/>
    <n v="0"/>
    <n v="0"/>
    <s v="Release1"/>
    <n v="0"/>
    <n v="0"/>
    <n v="-4.5217583335415916E-2"/>
    <n v="10"/>
    <m/>
    <s v="Majhaul"/>
    <m/>
    <n v="0"/>
  </r>
  <r>
    <s v="Munger"/>
    <s v="01-02 Apr"/>
    <n v="1001"/>
    <s v="Majhaul"/>
    <x v="13"/>
    <s v="Sangat- Sanjeev Kumar"/>
    <s v="vlc"/>
    <s v="Indirect"/>
    <n v="82.3"/>
    <n v="3032.57"/>
    <n v="0"/>
    <n v="0"/>
    <n v="0"/>
    <n v="0"/>
    <n v="0"/>
    <n v="0"/>
    <n v="3032.57"/>
    <n v="0"/>
    <n v="0"/>
    <n v="0"/>
    <n v="0"/>
    <n v="0"/>
    <n v="0"/>
    <n v="0"/>
    <n v="0"/>
    <n v="3032.57"/>
    <n v="0"/>
    <n v="0"/>
    <n v="86.739608505467828"/>
    <n v="41.15"/>
    <n v="0"/>
    <n v="0"/>
    <m/>
    <s v="Majhaul"/>
    <m/>
    <n v="0"/>
  </r>
  <r>
    <s v="Munger"/>
    <s v="01-02 Apr"/>
    <n v="1058"/>
    <s v="Hasanpur"/>
    <x v="14"/>
    <s v="Gomukh Garhi Bisanpur"/>
    <s v="MPG"/>
    <s v="Direct"/>
    <n v="40.300000000000004"/>
    <n v="1753.5699999999997"/>
    <n v="36.950000000000003"/>
    <n v="1548.6295401708801"/>
    <n v="0.60000000000000009"/>
    <n v="26.137165216432003"/>
    <n v="37.550000000000004"/>
    <n v="1574.7667053873122"/>
    <n v="1574.7667053873122"/>
    <n v="0"/>
    <n v="26.137165216432003"/>
    <n v="0"/>
    <n v="0"/>
    <n v="0"/>
    <n v="0"/>
    <n v="1549"/>
    <n v="0"/>
    <n v="0"/>
    <n v="178"/>
    <n v="0"/>
    <n v="138.98021290322578"/>
    <n v="20.150000000000002"/>
    <n v="0.101965301991188"/>
    <n v="6"/>
    <m/>
    <s v="Hasanpur"/>
    <m/>
    <n v="0"/>
  </r>
  <r>
    <s v="Munger"/>
    <s v="01-02 Apr"/>
    <n v="1058"/>
    <s v="Hasanpur"/>
    <x v="15"/>
    <s v="Bagaraha-Gopal Yadav"/>
    <s v="vlc"/>
    <s v="Indirect"/>
    <n v="63.099999999999994"/>
    <n v="2015.29"/>
    <n v="0"/>
    <n v="0"/>
    <n v="0"/>
    <n v="0"/>
    <n v="0"/>
    <n v="0"/>
    <n v="2015.29"/>
    <n v="0"/>
    <n v="0"/>
    <n v="0"/>
    <n v="0"/>
    <n v="0"/>
    <n v="0"/>
    <n v="0"/>
    <n v="0"/>
    <n v="2015.29"/>
    <n v="0"/>
    <n v="0"/>
    <n v="87.446339461172755"/>
    <n v="31.549999999999997"/>
    <n v="0"/>
    <n v="0"/>
    <m/>
    <s v="Hasanpur"/>
    <m/>
    <n v="0"/>
  </r>
  <r>
    <s v="Munger"/>
    <s v="01-02 Apr"/>
    <n v="1058"/>
    <s v="Hasanpur"/>
    <x v="16"/>
    <s v="Gomukh Barkurwa"/>
    <s v="MPG"/>
    <s v="Direct"/>
    <n v="91.9"/>
    <n v="3504.6099999999997"/>
    <n v="32.340000000000003"/>
    <n v="1266.9071025600001"/>
    <n v="57.260000000000005"/>
    <n v="2570.2277746926761"/>
    <n v="89.600000000000009"/>
    <n v="3837.1348772526762"/>
    <n v="3504.6099999999997"/>
    <n v="0"/>
    <n v="115.69307349600001"/>
    <n v="332.52487725267656"/>
    <n v="0"/>
    <n v="0"/>
    <n v="0"/>
    <n v="936"/>
    <n v="2453"/>
    <n v="0"/>
    <n v="0"/>
    <n v="0"/>
    <n v="82.447952339499452"/>
    <n v="45.95"/>
    <n v="-9.4882134460803513E-2"/>
    <n v="15"/>
    <m/>
    <s v="Hasanpur"/>
    <m/>
    <n v="0"/>
  </r>
  <r>
    <s v="Munger"/>
    <s v="01-02 Apr"/>
    <n v="1001"/>
    <s v="Majhaul"/>
    <x v="17"/>
    <s v="Kamla- Amarjeet"/>
    <s v="vlc"/>
    <s v="Indirect"/>
    <n v="409.4"/>
    <n v="11733.51"/>
    <n v="0"/>
    <n v="0"/>
    <n v="0"/>
    <n v="0"/>
    <n v="0"/>
    <n v="0"/>
    <n v="11733.51"/>
    <n v="0"/>
    <n v="0"/>
    <n v="0"/>
    <n v="0"/>
    <n v="0"/>
    <n v="0"/>
    <n v="0"/>
    <n v="0"/>
    <n v="11733.51"/>
    <n v="0"/>
    <n v="0"/>
    <n v="0"/>
    <n v="0"/>
    <n v="0"/>
    <n v="0"/>
    <m/>
    <s v="Majhaul"/>
    <m/>
    <n v="0"/>
  </r>
  <r>
    <s v="Munger"/>
    <s v="01-02 Apr"/>
    <n v="1058"/>
    <s v="Hasanpur"/>
    <x v="18"/>
    <s v="Gomukh Goha-02"/>
    <s v="MPG"/>
    <s v="Direct"/>
    <n v="123.30000000000001"/>
    <n v="4883.6299999999992"/>
    <n v="121.5"/>
    <n v="4660.6837860000005"/>
    <n v="0"/>
    <n v="0"/>
    <n v="121.5"/>
    <n v="4660.6837860000005"/>
    <n v="4660.6837860000005"/>
    <n v="0"/>
    <n v="0"/>
    <n v="0"/>
    <n v="0"/>
    <n v="0"/>
    <n v="0"/>
    <n v="4661"/>
    <n v="0"/>
    <n v="0"/>
    <n v="223"/>
    <n v="0"/>
    <n v="60.758219140308178"/>
    <n v="61.650000000000006"/>
    <n v="4.5651741430042553E-2"/>
    <n v="2"/>
    <m/>
    <s v="Hasanpur"/>
    <m/>
    <n v="0"/>
  </r>
  <r>
    <s v="Munger"/>
    <s v="01-02 Apr"/>
    <n v="1001"/>
    <s v="Majhaul"/>
    <x v="19"/>
    <s v="Gomukh Cheria Bariarpur"/>
    <s v="MPG"/>
    <s v="Direct"/>
    <n v="389.8"/>
    <n v="14452.36"/>
    <n v="384.27"/>
    <n v="14644.123413264842"/>
    <n v="0.8"/>
    <n v="31.076292852000009"/>
    <n v="385.07"/>
    <n v="14675.199706116842"/>
    <n v="14452.36"/>
    <n v="0"/>
    <n v="31.076292852000009"/>
    <n v="222.83970611684163"/>
    <n v="0"/>
    <n v="0"/>
    <n v="0"/>
    <n v="14421"/>
    <n v="0"/>
    <n v="0"/>
    <n v="0"/>
    <n v="0"/>
    <n v="0"/>
    <n v="0"/>
    <n v="-1.5418914704369503E-2"/>
    <n v="12"/>
    <m/>
    <s v="Majhaul"/>
    <m/>
    <n v="0"/>
  </r>
  <r>
    <s v="Munger"/>
    <s v="01-02 Apr"/>
    <n v="1058"/>
    <s v="Hasanpur"/>
    <x v="20"/>
    <s v="Gomukh Rahul Nagar"/>
    <s v="MPG"/>
    <s v="Direct"/>
    <n v="123.29999999999998"/>
    <n v="4814.1500000000005"/>
    <n v="118.94"/>
    <n v="5322.4734719384405"/>
    <n v="4.379999999999999"/>
    <n v="192.66819347621995"/>
    <n v="123.32"/>
    <n v="5515.1416654146606"/>
    <n v="4814.1500000000005"/>
    <n v="0"/>
    <n v="134.26985963621996"/>
    <n v="700.99166541466002"/>
    <n v="0"/>
    <n v="0"/>
    <n v="0"/>
    <n v="4622"/>
    <n v="58"/>
    <n v="0"/>
    <n v="0"/>
    <n v="0"/>
    <n v="59.893804541768077"/>
    <n v="61.649999999999991"/>
    <n v="-0.14561068213800149"/>
    <n v="8"/>
    <m/>
    <s v="Hasanpur"/>
    <m/>
    <n v="0"/>
  </r>
  <r>
    <s v="Munger"/>
    <s v="01-02 Apr"/>
    <n v="1058"/>
    <s v="Hasanpur"/>
    <x v="21"/>
    <s v="Gomukh Bagraha-01"/>
    <s v="MPG"/>
    <s v="Direct"/>
    <n v="69"/>
    <n v="3012.43"/>
    <n v="64.900000000000006"/>
    <n v="2628.376443000001"/>
    <n v="5.0999999999999996"/>
    <n v="210.04405488000003"/>
    <n v="70"/>
    <n v="2838.4204978800012"/>
    <n v="2838.4204978800012"/>
    <n v="0"/>
    <n v="0"/>
    <n v="0"/>
    <n v="0"/>
    <n v="0"/>
    <n v="0"/>
    <n v="2628"/>
    <n v="210"/>
    <n v="0"/>
    <n v="174"/>
    <n v="0"/>
    <n v="114.38502318840578"/>
    <n v="34.5"/>
    <n v="5.7763832560424187E-2"/>
    <n v="2"/>
    <m/>
    <s v="Hasanpur"/>
    <m/>
    <n v="0"/>
  </r>
  <r>
    <s v="Munger"/>
    <s v="01-02 Apr"/>
    <n v="1058"/>
    <s v="Hasanpur"/>
    <x v="22"/>
    <s v="Gomukh Shobhaipura"/>
    <s v="MPG"/>
    <s v="Direct"/>
    <n v="30"/>
    <n v="1056.67"/>
    <n v="30.2"/>
    <n v="1068.843624156"/>
    <n v="0"/>
    <n v="0"/>
    <n v="30.2"/>
    <n v="1068.843624156"/>
    <n v="1056.67"/>
    <n v="0"/>
    <n v="0"/>
    <n v="12.17362415599996"/>
    <n v="0"/>
    <n v="0"/>
    <n v="0"/>
    <n v="1057"/>
    <n v="0"/>
    <n v="0"/>
    <n v="0"/>
    <n v="0"/>
    <n v="119.75593333333336"/>
    <n v="15"/>
    <n v="-1.1520743615319786E-2"/>
    <n v="1"/>
    <m/>
    <s v="Hasanpur"/>
    <m/>
    <n v="0"/>
  </r>
  <r>
    <s v="Munger"/>
    <s v="01-02 Apr"/>
    <n v="1001"/>
    <s v="Majhaul"/>
    <x v="23"/>
    <s v="Gomukh Pirauna"/>
    <s v="MPG"/>
    <s v="Direct"/>
    <n v="61.2"/>
    <n v="2189.3599999999997"/>
    <n v="73.900000000000006"/>
    <n v="2823.7959470160004"/>
    <n v="0.49"/>
    <n v="19.112823179999999"/>
    <n v="74.39"/>
    <n v="2842.9087701960002"/>
    <n v="2189.3599999999997"/>
    <n v="0"/>
    <n v="19.112823179999999"/>
    <n v="653.54877019600053"/>
    <n v="0"/>
    <n v="0"/>
    <n v="0"/>
    <n v="2170"/>
    <n v="0"/>
    <n v="0"/>
    <n v="0"/>
    <s v="Release1"/>
    <n v="99.308224836601298"/>
    <n v="30.6"/>
    <n v="-0.29851133216830517"/>
    <n v="2"/>
    <m/>
    <s v="Majhaul"/>
    <m/>
    <n v="0"/>
  </r>
  <r>
    <s v="Munger"/>
    <s v="01-02 Apr"/>
    <n v="1001"/>
    <s v="Majhaul"/>
    <x v="24"/>
    <s v="Parra- Nagendra Kumar"/>
    <s v="vlc"/>
    <s v="Indirect"/>
    <n v="81.8"/>
    <n v="2819.4300000000003"/>
    <n v="0"/>
    <n v="0"/>
    <n v="0"/>
    <n v="0"/>
    <n v="0"/>
    <n v="0"/>
    <n v="2819.4300000000003"/>
    <n v="0"/>
    <n v="0"/>
    <n v="0"/>
    <n v="0"/>
    <n v="0"/>
    <n v="0"/>
    <n v="0"/>
    <n v="0"/>
    <n v="2819.4300000000003"/>
    <n v="0"/>
    <n v="0"/>
    <n v="81.480837652811758"/>
    <n v="40.9"/>
    <n v="0"/>
    <n v="0"/>
    <m/>
    <s v="Majhaul"/>
    <m/>
    <n v="0"/>
  </r>
  <r>
    <s v="Munger"/>
    <s v="01-02 Apr"/>
    <n v="1001"/>
    <s v="Majhaul"/>
    <x v="25"/>
    <s v="Gomukh Basahi"/>
    <s v="MPG"/>
    <s v="Direct"/>
    <n v="150.5"/>
    <n v="6266.420000000001"/>
    <n v="149.62"/>
    <n v="6312.4644602305407"/>
    <n v="1.01"/>
    <n v="42.638890646999997"/>
    <n v="150.63"/>
    <n v="6355.1033508775408"/>
    <n v="6266.420000000001"/>
    <n v="0"/>
    <n v="42.638890646999997"/>
    <n v="88.683350877539851"/>
    <n v="0"/>
    <n v="0"/>
    <n v="0"/>
    <n v="6224"/>
    <n v="0"/>
    <n v="0"/>
    <n v="0"/>
    <s v="Release1"/>
    <n v="41.220968770764131"/>
    <n v="75.25"/>
    <n v="-1.4152155597221354E-2"/>
    <n v="19"/>
    <m/>
    <s v="Majhaul"/>
    <m/>
    <n v="0"/>
  </r>
  <r>
    <s v="Munger"/>
    <s v="01-02 Apr"/>
    <n v="1001"/>
    <s v="Majhaul"/>
    <x v="26"/>
    <s v="Mohanpur- Mukesh Kumar"/>
    <s v="vlc"/>
    <s v="Indirect"/>
    <n v="304"/>
    <n v="11686.46"/>
    <n v="0"/>
    <n v="0"/>
    <n v="0"/>
    <n v="0"/>
    <n v="0"/>
    <n v="0"/>
    <n v="11686.46"/>
    <n v="0"/>
    <n v="0"/>
    <n v="0"/>
    <n v="0"/>
    <n v="0"/>
    <n v="0"/>
    <n v="0"/>
    <n v="0"/>
    <n v="11686.46"/>
    <n v="0"/>
    <n v="0"/>
    <n v="0"/>
    <n v="0"/>
    <n v="0"/>
    <n v="0"/>
    <m/>
    <s v="Majhaul"/>
    <m/>
    <n v="0"/>
  </r>
  <r>
    <s v="Munger"/>
    <s v="01-02 Apr"/>
    <n v="1001"/>
    <s v="Majhaul"/>
    <x v="27"/>
    <s v="Gomukh Sawantpur"/>
    <s v="MPG"/>
    <s v="Direct"/>
    <n v="407.2"/>
    <n v="16171.939999999999"/>
    <n v="411.42999999999995"/>
    <n v="15852.970430674641"/>
    <n v="2.27"/>
    <n v="84.314837376000014"/>
    <n v="413.69999999999993"/>
    <n v="15937.28526805064"/>
    <n v="15937.28526805064"/>
    <n v="0"/>
    <n v="84.314837376000014"/>
    <n v="0"/>
    <n v="0"/>
    <n v="0"/>
    <n v="0"/>
    <n v="15853"/>
    <n v="0"/>
    <n v="0"/>
    <n v="235"/>
    <n v="0"/>
    <n v="0"/>
    <n v="0"/>
    <n v="1.4509992737380822E-2"/>
    <n v="11"/>
    <m/>
    <s v="Majhaul"/>
    <m/>
    <n v="0"/>
  </r>
  <r>
    <s v="Munger"/>
    <s v="01-02 Apr"/>
    <n v="1001"/>
    <s v="Majhaul"/>
    <x v="28"/>
    <s v="Maida- Ram Kumar"/>
    <s v="vlc"/>
    <s v="Indirect"/>
    <n v="54.8"/>
    <n v="2009.3600000000001"/>
    <n v="0"/>
    <n v="0"/>
    <n v="0"/>
    <n v="0"/>
    <n v="0"/>
    <n v="0"/>
    <n v="2009.3600000000001"/>
    <n v="0"/>
    <n v="0"/>
    <n v="0"/>
    <n v="0"/>
    <n v="0"/>
    <n v="0"/>
    <n v="0"/>
    <n v="0"/>
    <n v="2009.3600000000001"/>
    <n v="0"/>
    <n v="0"/>
    <n v="106.48141313868614"/>
    <n v="27.4"/>
    <n v="0"/>
    <n v="0"/>
    <m/>
    <s v="Majhaul"/>
    <m/>
    <n v="0"/>
  </r>
  <r>
    <s v="Munger"/>
    <s v="01-02 Apr"/>
    <n v="1001"/>
    <s v="Majhaul"/>
    <x v="29"/>
    <s v="Gomukh Aure Bikrampur"/>
    <s v="MPG"/>
    <s v="Direct"/>
    <n v="483"/>
    <n v="19566.940000000002"/>
    <n v="509.92"/>
    <n v="21171.775013151524"/>
    <n v="2.54"/>
    <n v="102.93507774000001"/>
    <n v="512.46"/>
    <n v="21274.710090891524"/>
    <n v="19566.940000000002"/>
    <n v="0"/>
    <n v="102.93507774000001"/>
    <n v="1707.7700908915212"/>
    <n v="0"/>
    <n v="0"/>
    <n v="0"/>
    <n v="19464"/>
    <n v="0"/>
    <n v="0"/>
    <n v="0"/>
    <n v="0"/>
    <n v="0"/>
    <n v="0"/>
    <n v="-8.7278342494611888E-2"/>
    <n v="6"/>
    <m/>
    <s v="Majhaul"/>
    <m/>
    <n v="0"/>
  </r>
  <r>
    <s v="Munger"/>
    <s v="01-02 Apr"/>
    <n v="1001"/>
    <s v="Majhaul"/>
    <x v="30"/>
    <s v="Manjhaul- Gulshan Kumar"/>
    <s v="vlc"/>
    <s v="Indirect"/>
    <n v="211.3"/>
    <n v="8361.2800000000007"/>
    <n v="0"/>
    <n v="0"/>
    <n v="0"/>
    <n v="0"/>
    <n v="0"/>
    <n v="0"/>
    <n v="8361.2800000000007"/>
    <n v="0"/>
    <n v="0"/>
    <n v="0"/>
    <n v="0"/>
    <n v="0"/>
    <n v="0"/>
    <n v="0"/>
    <n v="0"/>
    <n v="8361.2800000000007"/>
    <n v="0"/>
    <n v="0"/>
    <n v="0"/>
    <n v="0"/>
    <n v="0"/>
    <n v="0"/>
    <m/>
    <s v="Majhaul"/>
    <m/>
    <n v="0"/>
  </r>
  <r>
    <s v="Munger"/>
    <s v="01-02 Apr"/>
    <n v="1001"/>
    <s v="Majhaul"/>
    <x v="31"/>
    <s v="Khaira Manjhaul"/>
    <s v="vlc"/>
    <s v="Indirect"/>
    <n v="247.9"/>
    <n v="9271.49"/>
    <n v="0"/>
    <n v="0"/>
    <n v="0"/>
    <n v="0"/>
    <n v="0"/>
    <n v="0"/>
    <n v="9271.49"/>
    <n v="0"/>
    <n v="0"/>
    <n v="0"/>
    <n v="0"/>
    <n v="0"/>
    <n v="0"/>
    <n v="0"/>
    <n v="0"/>
    <n v="9271.49"/>
    <n v="0"/>
    <n v="0"/>
    <n v="0"/>
    <n v="0"/>
    <n v="0"/>
    <n v="0"/>
    <m/>
    <s v="Majhaul"/>
    <m/>
    <n v="0"/>
  </r>
  <r>
    <s v="Munger"/>
    <s v="01-02 Apr"/>
    <n v="1001"/>
    <s v="Majhaul"/>
    <x v="32"/>
    <s v="Mehda Shahpur"/>
    <s v="vlc"/>
    <s v="Indirect"/>
    <n v="248.39999999999998"/>
    <n v="9651.73"/>
    <n v="0"/>
    <n v="0"/>
    <n v="0"/>
    <n v="0"/>
    <n v="0"/>
    <n v="0"/>
    <n v="9651.73"/>
    <n v="0"/>
    <n v="0"/>
    <n v="0"/>
    <n v="0"/>
    <n v="0"/>
    <n v="0"/>
    <n v="0"/>
    <n v="0"/>
    <n v="9651.73"/>
    <n v="0"/>
    <n v="0"/>
    <n v="0"/>
    <n v="0"/>
    <n v="0"/>
    <n v="0"/>
    <m/>
    <s v="Majhaul"/>
    <m/>
    <n v="0"/>
  </r>
  <r>
    <s v="Munger"/>
    <s v="01-02 Apr"/>
    <n v="1058"/>
    <s v="Hasanpur"/>
    <x v="33"/>
    <s v="Gomukh Shobhaipura 02"/>
    <s v="MPG"/>
    <s v="Direct"/>
    <n v="85.1"/>
    <n v="3742.5600000000004"/>
    <n v="86.49"/>
    <n v="3919.2003585328844"/>
    <n v="3.1"/>
    <n v="130.20824124000001"/>
    <n v="89.589999999999989"/>
    <n v="4049.4085997728844"/>
    <n v="3742.5600000000004"/>
    <n v="0"/>
    <n v="130.20824124000001"/>
    <n v="306.84859977288397"/>
    <n v="0"/>
    <n v="0"/>
    <n v="0"/>
    <n v="3612"/>
    <n v="0"/>
    <n v="0"/>
    <n v="0"/>
    <s v="Release1"/>
    <n v="101.06231351351354"/>
    <n v="42.55"/>
    <n v="-8.1988959368155465E-2"/>
    <n v="13"/>
    <m/>
    <s v="Hasanpur"/>
    <m/>
    <n v="0"/>
  </r>
  <r>
    <s v="Munger"/>
    <s v="01-02 Apr"/>
    <n v="1001"/>
    <s v="Majhaul"/>
    <x v="34"/>
    <s v="Shri Bhairav Laxmipur"/>
    <s v="MPG"/>
    <s v="Direct"/>
    <n v="115.30000000000001"/>
    <n v="4702.07"/>
    <n v="112.75999999999999"/>
    <n v="4810.5000160138807"/>
    <n v="0"/>
    <n v="0"/>
    <n v="112.75999999999999"/>
    <n v="4810.5000160138807"/>
    <n v="4702.07"/>
    <n v="0"/>
    <n v="0"/>
    <n v="108.43001601388096"/>
    <n v="0"/>
    <n v="0"/>
    <n v="0"/>
    <n v="4702"/>
    <n v="0"/>
    <n v="0"/>
    <n v="0"/>
    <n v="0"/>
    <n v="69.083318126626168"/>
    <n v="57.650000000000006"/>
    <n v="-2.306005993400374E-2"/>
    <n v="8"/>
    <m/>
    <s v="Majhaul"/>
    <m/>
    <n v="0"/>
  </r>
  <r>
    <s v="Munger"/>
    <s v="01-02 Apr"/>
    <n v="1001"/>
    <s v="Majhaul"/>
    <x v="35"/>
    <s v="Goapalpur"/>
    <s v="MPG"/>
    <s v="Direct"/>
    <n v="71.5"/>
    <n v="2588.86"/>
    <n v="72.08"/>
    <n v="2705.5528563706503"/>
    <n v="0"/>
    <n v="0"/>
    <n v="72.08"/>
    <n v="2705.5528563706503"/>
    <n v="2588.86"/>
    <n v="0"/>
    <n v="0"/>
    <n v="116.69285637065013"/>
    <n v="0"/>
    <n v="0"/>
    <n v="0"/>
    <n v="2589"/>
    <n v="0"/>
    <n v="0"/>
    <n v="0"/>
    <n v="0"/>
    <n v="93.054128671328698"/>
    <n v="35.75"/>
    <n v="-4.5074996859872735E-2"/>
    <n v="9"/>
    <m/>
    <s v="Majhaul"/>
    <m/>
    <n v="0"/>
  </r>
  <r>
    <s v="Munger"/>
    <s v="01-02 Apr"/>
    <n v="1001"/>
    <s v="Majhaul"/>
    <x v="36"/>
    <s v="Gomukh Akaha"/>
    <s v="MPG"/>
    <s v="Direct"/>
    <n v="34.099999999999994"/>
    <n v="1252.78"/>
    <n v="34.200000000000003"/>
    <n v="1260.3998404800002"/>
    <n v="0"/>
    <n v="0"/>
    <n v="34.200000000000003"/>
    <n v="1260.3998404800002"/>
    <n v="1252.78"/>
    <n v="0"/>
    <n v="0"/>
    <n v="7.6198404800002209"/>
    <n v="0"/>
    <n v="0"/>
    <n v="0"/>
    <n v="1253"/>
    <n v="0"/>
    <n v="0"/>
    <n v="0"/>
    <n v="0"/>
    <n v="121.89806568914958"/>
    <n v="17.049999999999997"/>
    <n v="-6.082345248168251E-3"/>
    <n v="1"/>
    <m/>
    <s v="Majhaul"/>
    <m/>
    <n v="0"/>
  </r>
  <r>
    <s v="Munger"/>
    <s v="01-02 Apr"/>
    <n v="1001"/>
    <s v="Majhaul"/>
    <x v="37"/>
    <s v="Gomukh Rajakpur"/>
    <s v="MPG"/>
    <s v="Direct"/>
    <n v="19.899999999999999"/>
    <n v="704.71"/>
    <n v="15.6"/>
    <n v="580.3943508000001"/>
    <n v="0"/>
    <n v="0"/>
    <n v="15.6"/>
    <n v="580.3943508000001"/>
    <n v="580.3943508000001"/>
    <n v="0"/>
    <n v="0"/>
    <n v="0"/>
    <n v="0"/>
    <n v="0"/>
    <n v="0"/>
    <n v="580"/>
    <n v="0"/>
    <n v="0"/>
    <n v="125"/>
    <n v="0"/>
    <n v="127.55605125628141"/>
    <n v="9.9499999999999993"/>
    <n v="0.1764068186913765"/>
    <n v="1"/>
    <m/>
    <s v="Majhaul"/>
    <m/>
    <n v="0"/>
  </r>
  <r>
    <s v="Munger"/>
    <s v="01-02 Apr"/>
    <n v="1001"/>
    <s v="Majhaul"/>
    <x v="38"/>
    <s v="Gomukh Mohanpur"/>
    <s v="MPG"/>
    <s v="Direct"/>
    <n v="59.4"/>
    <n v="2469.88"/>
    <n v="58.33"/>
    <n v="2472.0890603226007"/>
    <n v="0.01"/>
    <n v="0.59053862629999998"/>
    <n v="58.339999999999996"/>
    <n v="2472.6795989489005"/>
    <n v="2469.88"/>
    <n v="0"/>
    <n v="0.59053862629999998"/>
    <n v="2.7995989489004387"/>
    <n v="0"/>
    <n v="0"/>
    <n v="0"/>
    <n v="2469"/>
    <n v="0"/>
    <n v="0"/>
    <n v="0"/>
    <n v="0"/>
    <n v="116.92428552188552"/>
    <n v="29.7"/>
    <n v="-1.133495938628775E-3"/>
    <n v="7"/>
    <m/>
    <s v="Majhaul"/>
    <m/>
    <n v="0"/>
  </r>
  <r>
    <s v="Munger"/>
    <s v="01-02 Apr"/>
    <n v="1001"/>
    <s v="Majhaul"/>
    <x v="39"/>
    <s v="Gomukh Chakka"/>
    <s v="MPG"/>
    <s v="Direct"/>
    <n v="32.4"/>
    <n v="1281.8600000000001"/>
    <n v="32.15"/>
    <n v="1272.1807824565503"/>
    <n v="0"/>
    <n v="0"/>
    <n v="32.15"/>
    <n v="1272.1807824565503"/>
    <n v="1272.1807824565503"/>
    <n v="0"/>
    <n v="0"/>
    <n v="0"/>
    <n v="0"/>
    <n v="0"/>
    <n v="0"/>
    <n v="1273"/>
    <n v="0"/>
    <n v="0"/>
    <n v="9"/>
    <n v="0"/>
    <n v="132.61712098765435"/>
    <n v="16.2"/>
    <n v="7.5509162805999048E-3"/>
    <n v="2"/>
    <m/>
    <s v="Majhaul"/>
    <m/>
    <n v="0"/>
  </r>
  <r>
    <s v="Munger"/>
    <s v="01-02 Apr"/>
    <n v="1001"/>
    <s v="Majhaul"/>
    <x v="40"/>
    <s v="Gomukh Meghaul-02"/>
    <s v="MPG"/>
    <s v="Direct"/>
    <n v="45.000000000000007"/>
    <n v="1521.01"/>
    <n v="45"/>
    <n v="1523.7773892000002"/>
    <n v="0"/>
    <n v="0"/>
    <n v="45"/>
    <n v="1523.7773892000002"/>
    <n v="1521.01"/>
    <n v="0"/>
    <n v="0"/>
    <n v="2.7673892000002525"/>
    <n v="0"/>
    <n v="0"/>
    <n v="0"/>
    <n v="1521"/>
    <n v="0"/>
    <n v="0"/>
    <n v="0"/>
    <n v="0"/>
    <n v="104.78068888888887"/>
    <n v="22.500000000000004"/>
    <n v="-1.8194418182656607E-3"/>
    <n v="1"/>
    <m/>
    <s v="Majhaul"/>
    <m/>
    <n v="0"/>
  </r>
  <r>
    <s v="Munger"/>
    <s v="01-02 Apr"/>
    <n v="1002"/>
    <s v="Laldiyara"/>
    <x v="41"/>
    <s v="PIPARIYA DIH -2"/>
    <s v="MPG"/>
    <s v="Direct"/>
    <n v="795.40000000000009"/>
    <n v="33103.4"/>
    <n v="474.4"/>
    <n v="20014.178879576004"/>
    <n v="324.29999999999995"/>
    <n v="13518.432894018002"/>
    <n v="798.69999999999993"/>
    <n v="33532.611773594006"/>
    <n v="33103.4"/>
    <n v="0"/>
    <n v="302.39312239500003"/>
    <n v="429.21177359400463"/>
    <n v="0"/>
    <n v="0"/>
    <n v="0"/>
    <n v="19585"/>
    <n v="13216"/>
    <n v="0"/>
    <n v="0"/>
    <n v="0"/>
    <n v="0"/>
    <n v="0"/>
    <n v="-1.2965791235764442E-2"/>
    <n v="12"/>
    <m/>
    <s v="Laldiyara"/>
    <m/>
    <n v="0"/>
  </r>
  <r>
    <s v="Munger"/>
    <s v="01-02 Apr"/>
    <n v="1002"/>
    <s v="Laldiyara"/>
    <x v="42"/>
    <s v="LAL DIYARA -1"/>
    <s v="MPG"/>
    <s v="Direct"/>
    <n v="158.30000000000001"/>
    <n v="5998.93"/>
    <n v="157.19999999999999"/>
    <n v="5956.7536670400004"/>
    <n v="0"/>
    <n v="0"/>
    <n v="157.19999999999999"/>
    <n v="5956.7536670400004"/>
    <n v="5956.7536670400004"/>
    <n v="0"/>
    <n v="0"/>
    <n v="0"/>
    <n v="0"/>
    <n v="0"/>
    <n v="0"/>
    <n v="5957"/>
    <n v="0"/>
    <n v="0"/>
    <n v="42"/>
    <n v="0"/>
    <n v="31.605228174352487"/>
    <n v="79.150000000000006"/>
    <n v="7.030642624601363E-3"/>
    <n v="1"/>
    <m/>
    <s v="Laldiyara"/>
    <m/>
    <n v="0"/>
  </r>
  <r>
    <s v="Munger"/>
    <s v="01-02 Apr"/>
    <n v="1002"/>
    <s v="Laldiyara"/>
    <x v="43"/>
    <s v="GANGA KINARE KHUTHA"/>
    <s v="vlc"/>
    <s v="Indirect"/>
    <n v="85.100000000000009"/>
    <n v="3266.23"/>
    <n v="0"/>
    <n v="0"/>
    <n v="0"/>
    <n v="0"/>
    <n v="0"/>
    <n v="0"/>
    <n v="3266.23"/>
    <n v="0"/>
    <n v="0"/>
    <n v="0"/>
    <n v="0"/>
    <n v="0"/>
    <n v="0"/>
    <n v="0"/>
    <n v="0"/>
    <n v="3266.23"/>
    <n v="0"/>
    <n v="0"/>
    <n v="88.199724324324308"/>
    <n v="42.550000000000004"/>
    <n v="0"/>
    <n v="0"/>
    <m/>
    <s v="Laldiyara"/>
    <m/>
    <n v="0"/>
  </r>
  <r>
    <s v="Munger"/>
    <s v="01-02 Apr"/>
    <n v="1002"/>
    <s v="Laldiyara"/>
    <x v="44"/>
    <s v="Gomukh ID Khutaha Ganga"/>
    <s v="vlc"/>
    <s v="Indirect"/>
    <n v="183.4"/>
    <n v="7575.18"/>
    <n v="0"/>
    <n v="0"/>
    <n v="0"/>
    <n v="0"/>
    <n v="0"/>
    <n v="0"/>
    <n v="7575.18"/>
    <n v="0"/>
    <n v="0"/>
    <n v="0"/>
    <n v="0"/>
    <n v="0"/>
    <n v="0"/>
    <n v="0"/>
    <n v="0"/>
    <n v="7575.18"/>
    <n v="0"/>
    <n v="0"/>
    <n v="13.712975790621588"/>
    <n v="91.7"/>
    <n v="0"/>
    <n v="0"/>
    <m/>
    <s v="Laldiyara"/>
    <m/>
    <n v="0"/>
  </r>
  <r>
    <s v="Munger"/>
    <s v="01-02 Apr"/>
    <n v="1002"/>
    <s v="Laldiyara"/>
    <x v="45"/>
    <s v="Gomukh ID Khutaha Dhih"/>
    <s v="vlc"/>
    <s v="Indirect"/>
    <n v="788.6"/>
    <n v="31873.239999999998"/>
    <n v="0"/>
    <n v="0"/>
    <n v="0"/>
    <n v="0"/>
    <n v="0"/>
    <n v="0"/>
    <n v="31873.239999999998"/>
    <n v="0"/>
    <n v="0"/>
    <n v="0"/>
    <n v="0"/>
    <n v="0"/>
    <n v="0"/>
    <n v="0"/>
    <n v="0"/>
    <n v="31873.239999999998"/>
    <n v="0"/>
    <n v="0"/>
    <n v="0"/>
    <n v="0"/>
    <n v="0"/>
    <n v="0"/>
    <m/>
    <s v="Laldiyara"/>
    <m/>
    <n v="0"/>
  </r>
  <r>
    <s v="Munger"/>
    <s v="01-02 Apr"/>
    <n v="1002"/>
    <s v="Laldiyara"/>
    <x v="46"/>
    <s v="GOMUKH RAHATPUR"/>
    <s v="MPG"/>
    <s v="Direct"/>
    <n v="143"/>
    <n v="5237.8900000000003"/>
    <n v="149.1"/>
    <n v="5769.3552087600001"/>
    <n v="0.4"/>
    <n v="14.652427680000002"/>
    <n v="149.5"/>
    <n v="5784.0076364400002"/>
    <n v="5237.8900000000003"/>
    <n v="0"/>
    <n v="14.652427680000002"/>
    <n v="546.11763643999984"/>
    <n v="0"/>
    <n v="0"/>
    <n v="0"/>
    <n v="5223"/>
    <n v="0"/>
    <n v="0"/>
    <n v="0"/>
    <n v="0"/>
    <n v="41.756605594405599"/>
    <n v="71.5"/>
    <n v="-0.1042629067124357"/>
    <n v="4"/>
    <m/>
    <s v="Laldiyara"/>
    <m/>
    <n v="0"/>
  </r>
  <r>
    <s v="Munger"/>
    <s v="01-02 Apr"/>
    <n v="1002"/>
    <s v="Laldiyara"/>
    <x v="47"/>
    <s v="Vikash Kumar"/>
    <s v="vlc"/>
    <s v="Indirect"/>
    <n v="247.70000000000002"/>
    <n v="10210.81"/>
    <n v="0"/>
    <n v="0"/>
    <n v="0"/>
    <n v="0"/>
    <n v="0"/>
    <n v="0"/>
    <n v="10210.81"/>
    <n v="0"/>
    <n v="0"/>
    <n v="0"/>
    <n v="0"/>
    <n v="0"/>
    <n v="0"/>
    <n v="0"/>
    <n v="0"/>
    <n v="10210.81"/>
    <n v="0"/>
    <n v="0"/>
    <n v="0"/>
    <n v="0"/>
    <n v="0"/>
    <n v="0"/>
    <m/>
    <s v="Laldiyara"/>
    <m/>
    <n v="0"/>
  </r>
  <r>
    <s v="Munger"/>
    <s v="01-02 Apr"/>
    <n v="1002"/>
    <s v="Laldiyara"/>
    <x v="48"/>
    <s v="WALIPUR 2"/>
    <s v="vlc"/>
    <s v="Indirect"/>
    <n v="14"/>
    <n v="543.34"/>
    <n v="0"/>
    <n v="0"/>
    <n v="0"/>
    <n v="0"/>
    <n v="0"/>
    <n v="0"/>
    <n v="543.34"/>
    <n v="0"/>
    <n v="0"/>
    <n v="0"/>
    <n v="0"/>
    <n v="0"/>
    <n v="0"/>
    <n v="0"/>
    <n v="0"/>
    <n v="543.34"/>
    <n v="0"/>
    <n v="0"/>
    <n v="144.37320000000003"/>
    <n v="7"/>
    <n v="0"/>
    <n v="0"/>
    <m/>
    <s v="Laldiyara"/>
    <m/>
    <n v="0"/>
  </r>
  <r>
    <s v="Munger"/>
    <s v="01-02 Apr"/>
    <n v="1002"/>
    <s v="Laldiyara"/>
    <x v="49"/>
    <s v="GOMUKH  LALDIYARA TIRASHI                                                                           "/>
    <s v="vlc"/>
    <s v="Indirect"/>
    <n v="7343.2000000000007"/>
    <n v="262428.81"/>
    <n v="0"/>
    <n v="0"/>
    <n v="0"/>
    <n v="0"/>
    <n v="0"/>
    <n v="0"/>
    <n v="262428.81"/>
    <n v="0"/>
    <n v="0"/>
    <n v="0"/>
    <n v="0"/>
    <n v="0"/>
    <n v="0"/>
    <n v="0"/>
    <n v="0"/>
    <n v="262428.81"/>
    <n v="0"/>
    <n v="0"/>
    <n v="0"/>
    <n v="0"/>
    <n v="0"/>
    <n v="0"/>
    <m/>
    <s v="Laldiyara"/>
    <m/>
    <n v="0"/>
  </r>
  <r>
    <s v="Munger"/>
    <s v="01-02 Apr"/>
    <n v="1002"/>
    <s v="Laldiyara"/>
    <x v="50"/>
    <s v="GOMUKH  LALDIYARA PURBI"/>
    <s v="vlc"/>
    <s v="Indirect"/>
    <n v="7283"/>
    <n v="260289.09"/>
    <n v="0"/>
    <n v="0"/>
    <n v="0"/>
    <n v="0"/>
    <n v="0"/>
    <n v="0"/>
    <n v="260289.09"/>
    <n v="0"/>
    <n v="0"/>
    <n v="0"/>
    <n v="0"/>
    <n v="0"/>
    <n v="0"/>
    <n v="0"/>
    <n v="0"/>
    <n v="260289.09"/>
    <n v="0"/>
    <n v="0"/>
    <n v="0"/>
    <n v="0"/>
    <n v="0"/>
    <n v="0"/>
    <m/>
    <s v="Laldiyara"/>
    <m/>
    <n v="0"/>
  </r>
  <r>
    <s v="Munger"/>
    <s v="01-02 Apr"/>
    <n v="1002"/>
    <s v="Laldiyara"/>
    <x v="51"/>
    <s v="GOMUKH RAMCHANDARPUR II"/>
    <s v="MPG"/>
    <s v="Direct"/>
    <n v="1767.8"/>
    <n v="78264.02"/>
    <n v="4781.2"/>
    <n v="144749.29376441965"/>
    <n v="11.8"/>
    <n v="510.95853072000023"/>
    <n v="4793"/>
    <n v="145260.25229513965"/>
    <n v="78264.02"/>
    <n v="0"/>
    <n v="510.95853072000023"/>
    <n v="66996.232295139649"/>
    <n v="0"/>
    <n v="0"/>
    <n v="0"/>
    <n v="143242"/>
    <n v="0"/>
    <n v="0"/>
    <n v="-65489"/>
    <s v="Release1"/>
    <n v="0"/>
    <n v="0"/>
    <n v="-0.85602850831249977"/>
    <n v="67"/>
    <m/>
    <s v="Laldiyara"/>
    <m/>
    <n v="0"/>
  </r>
  <r>
    <s v="Munger"/>
    <s v="01-02 Apr"/>
    <n v="1002"/>
    <s v="Laldiyara"/>
    <x v="52"/>
    <s v="WAKIL YADAV VLC"/>
    <s v="vlc"/>
    <s v="Indirect"/>
    <n v="250.7"/>
    <n v="13146.83"/>
    <n v="0"/>
    <n v="0"/>
    <n v="0"/>
    <n v="0"/>
    <n v="0"/>
    <n v="0"/>
    <n v="13146.83"/>
    <n v="0"/>
    <n v="0"/>
    <n v="0"/>
    <n v="0"/>
    <n v="0"/>
    <n v="0"/>
    <n v="0"/>
    <n v="0"/>
    <n v="13146.83"/>
    <n v="0"/>
    <n v="0"/>
    <n v="0"/>
    <n v="0"/>
    <n v="0"/>
    <n v="0"/>
    <m/>
    <s v="Laldiyara"/>
    <m/>
    <n v="0"/>
  </r>
  <r>
    <s v="Munger"/>
    <s v="01-02 Apr"/>
    <n v="1002"/>
    <s v="Laldiyara"/>
    <x v="53"/>
    <s v="MUKTAR YADAV"/>
    <s v="vlc"/>
    <s v="Indirect"/>
    <n v="45"/>
    <n v="1756.49"/>
    <n v="0"/>
    <n v="0"/>
    <n v="0"/>
    <n v="0"/>
    <n v="0"/>
    <n v="0"/>
    <n v="1756.49"/>
    <n v="0"/>
    <n v="0"/>
    <n v="0"/>
    <n v="0"/>
    <n v="0"/>
    <n v="0"/>
    <n v="0"/>
    <n v="0"/>
    <n v="1756.49"/>
    <n v="0"/>
    <n v="0"/>
    <n v="121.00264444444446"/>
    <n v="22.5"/>
    <n v="0"/>
    <n v="0"/>
    <m/>
    <s v="Laldiyara"/>
    <m/>
    <n v="0"/>
  </r>
  <r>
    <s v="Munger"/>
    <s v="01-02 Apr"/>
    <n v="1002"/>
    <s v="Laldiyara"/>
    <x v="54"/>
    <s v="MOHANPUR"/>
    <s v="MPG"/>
    <s v="Direct"/>
    <n v="1750.7"/>
    <n v="76929.2"/>
    <n v="1505.6000000000004"/>
    <n v="66099.887433537515"/>
    <n v="253.2"/>
    <n v="10579.734353413"/>
    <n v="1758.8000000000004"/>
    <n v="76679.62178695052"/>
    <n v="76679.62178695052"/>
    <n v="0"/>
    <n v="661.98376332000009"/>
    <n v="0"/>
    <n v="0"/>
    <n v="0"/>
    <n v="0"/>
    <n v="66098"/>
    <n v="9918"/>
    <n v="0"/>
    <n v="251"/>
    <n v="0"/>
    <n v="0"/>
    <n v="0"/>
    <n v="3.2442585266644814E-3"/>
    <n v="32"/>
    <m/>
    <s v="Laldiyara"/>
    <m/>
    <n v="0"/>
  </r>
  <r>
    <s v="Munger"/>
    <s v="01-02 Apr"/>
    <n v="1002"/>
    <s v="Laldiyara"/>
    <x v="55"/>
    <s v="Juwas"/>
    <s v="MPG"/>
    <s v="Direct"/>
    <n v="289.40000000000003"/>
    <n v="10776.16"/>
    <n v="281.8"/>
    <n v="10631.392662528"/>
    <n v="2.8"/>
    <n v="105.24672180000002"/>
    <n v="284.60000000000002"/>
    <n v="10736.639384328"/>
    <n v="10736.639384328"/>
    <n v="0"/>
    <n v="105.24672180000002"/>
    <n v="0"/>
    <n v="0"/>
    <n v="0"/>
    <n v="0"/>
    <n v="10632"/>
    <n v="0"/>
    <n v="0"/>
    <n v="39"/>
    <n v="0"/>
    <n v="0"/>
    <n v="0"/>
    <n v="3.6674117377618392E-3"/>
    <n v="24"/>
    <m/>
    <s v="Laldiyara"/>
    <m/>
    <n v="0"/>
  </r>
  <r>
    <s v="Munger"/>
    <s v="01-02 Apr"/>
    <n v="1002"/>
    <s v="Laldiyara"/>
    <x v="56"/>
    <s v="Morwariya"/>
    <s v="MPG"/>
    <s v="Direct"/>
    <n v="1130.0999999999999"/>
    <n v="47553.45"/>
    <n v="1136.5500000000004"/>
    <n v="48524.543341764664"/>
    <n v="0"/>
    <n v="0"/>
    <n v="1136.5500000000004"/>
    <n v="48524.543341764664"/>
    <n v="47553.45"/>
    <n v="0"/>
    <n v="0"/>
    <n v="971.09334176466655"/>
    <n v="0"/>
    <n v="0"/>
    <n v="0"/>
    <n v="47553"/>
    <n v="0"/>
    <n v="0"/>
    <n v="0"/>
    <n v="0"/>
    <n v="0"/>
    <n v="0"/>
    <n v="-2.0421091251311242E-2"/>
    <n v="74"/>
    <m/>
    <s v="Laldiyara"/>
    <m/>
    <n v="0"/>
  </r>
  <r>
    <s v="Munger"/>
    <s v="01-02 Apr"/>
    <n v="1002"/>
    <s v="Laldiyara"/>
    <x v="57"/>
    <s v="Dumri 2"/>
    <s v="MPG"/>
    <s v="Direct"/>
    <n v="390.3"/>
    <n v="15233.69"/>
    <n v="427.62"/>
    <n v="16888.815473600804"/>
    <n v="0"/>
    <n v="0"/>
    <n v="427.62"/>
    <n v="16888.815473600804"/>
    <n v="15233.69"/>
    <n v="0"/>
    <n v="0"/>
    <n v="1655.1254736008032"/>
    <n v="0"/>
    <n v="0"/>
    <n v="0"/>
    <n v="15234"/>
    <n v="0"/>
    <n v="0"/>
    <n v="0"/>
    <n v="0"/>
    <n v="0"/>
    <n v="0"/>
    <n v="-0.10864901895737691"/>
    <n v="16"/>
    <m/>
    <s v="Laldiyara"/>
    <m/>
    <n v="0"/>
  </r>
  <r>
    <s v="Munger"/>
    <s v="01-02 Apr"/>
    <n v="1002"/>
    <s v="Laldiyara"/>
    <x v="58"/>
    <s v="Gomukh Jhakhaur"/>
    <s v="MPG"/>
    <s v="Direct"/>
    <n v="223.7"/>
    <n v="9092.73"/>
    <n v="224.14999999999998"/>
    <n v="9317.0582523374396"/>
    <n v="0.57000000000000006"/>
    <n v="22.618817496000002"/>
    <n v="224.71999999999997"/>
    <n v="9339.6770698334403"/>
    <n v="9092.73"/>
    <n v="0"/>
    <n v="22.618817496000002"/>
    <n v="246.94706983344076"/>
    <n v="0"/>
    <n v="0"/>
    <n v="0"/>
    <n v="9070"/>
    <n v="0"/>
    <n v="0"/>
    <n v="0"/>
    <n v="0"/>
    <n v="0"/>
    <n v="0"/>
    <n v="-2.715873778649985E-2"/>
    <n v="4"/>
    <m/>
    <s v="Laldiyara"/>
    <m/>
    <n v="0"/>
  </r>
  <r>
    <s v="Munger"/>
    <s v="01-02 Apr"/>
    <n v="1002"/>
    <s v="Laldiyara"/>
    <x v="59"/>
    <s v="Gomukh Repura"/>
    <s v="MPG"/>
    <s v="Direct"/>
    <n v="93.9"/>
    <n v="3724.52"/>
    <n v="93.9"/>
    <n v="3766.8177558000002"/>
    <n v="0"/>
    <n v="0"/>
    <n v="93.9"/>
    <n v="3766.8177558000002"/>
    <n v="3724.52"/>
    <n v="0"/>
    <n v="0"/>
    <n v="42.297755800000232"/>
    <n v="0"/>
    <n v="0"/>
    <n v="0"/>
    <n v="3725"/>
    <n v="0"/>
    <n v="0"/>
    <n v="0"/>
    <n v="0"/>
    <n v="84.168598935037267"/>
    <n v="46.95"/>
    <n v="-1.1356565624563764E-2"/>
    <n v="1"/>
    <m/>
    <s v="Laldiyara"/>
    <m/>
    <n v="0"/>
  </r>
  <r>
    <s v="Munger"/>
    <s v="01-02 Apr"/>
    <n v="1002"/>
    <s v="Laldiyara"/>
    <x v="60"/>
    <s v="Gomukh Virupur"/>
    <s v="MPG"/>
    <s v="Direct"/>
    <n v="87.899999999999991"/>
    <n v="3622.3199999999997"/>
    <n v="98.13"/>
    <n v="4121.4289436892004"/>
    <n v="0.58000000000000007"/>
    <n v="22.604311620000004"/>
    <n v="98.71"/>
    <n v="4144.0332553092003"/>
    <n v="3622.3199999999997"/>
    <n v="0"/>
    <n v="22.604311620000004"/>
    <n v="521.71325530920058"/>
    <n v="0"/>
    <n v="0"/>
    <n v="0"/>
    <n v="3600"/>
    <n v="0"/>
    <n v="0"/>
    <n v="0"/>
    <s v="Release1"/>
    <n v="92.391825255972705"/>
    <n v="43.949999999999996"/>
    <n v="-0.14402737894752551"/>
    <n v="5"/>
    <m/>
    <s v="Laldiyara"/>
    <m/>
    <n v="0"/>
  </r>
  <r>
    <s v="Munger"/>
    <s v="01-02 Apr"/>
    <n v="1002"/>
    <s v="Laldiyara"/>
    <x v="61"/>
    <s v="Gomukh Diyarapipariya                                                                               "/>
    <s v="MPG"/>
    <s v="Direct"/>
    <n v="376.79999999999995"/>
    <n v="15993.599999999999"/>
    <n v="377.35000000000008"/>
    <n v="16130.691658749198"/>
    <n v="3.89"/>
    <n v="175.40779029300003"/>
    <n v="381.24000000000007"/>
    <n v="16306.099449042198"/>
    <n v="15993.599999999999"/>
    <n v="0"/>
    <n v="175.40779029300003"/>
    <n v="312.49944904219956"/>
    <n v="0"/>
    <n v="0"/>
    <n v="0"/>
    <n v="15818"/>
    <n v="0"/>
    <n v="0"/>
    <n v="0"/>
    <n v="0"/>
    <n v="0"/>
    <n v="0"/>
    <n v="-1.9539031177608517E-2"/>
    <n v="20"/>
    <m/>
    <s v="Laldiyara"/>
    <m/>
    <n v="0"/>
  </r>
  <r>
    <s v="Munger"/>
    <s v="01-02 Apr"/>
    <n v="1002"/>
    <s v="Laldiyara"/>
    <x v="62"/>
    <s v="TAJPUR"/>
    <s v="MPG"/>
    <s v="Direct"/>
    <n v="280.39999999999998"/>
    <n v="11878.53"/>
    <n v="279.67"/>
    <n v="11420.188443681125"/>
    <n v="3.31"/>
    <n v="128.666711448"/>
    <n v="282.98"/>
    <n v="11548.855155129126"/>
    <n v="11548.855155129126"/>
    <n v="0"/>
    <n v="128.666711448"/>
    <n v="0"/>
    <n v="0"/>
    <n v="0"/>
    <n v="0"/>
    <n v="11419"/>
    <n v="0"/>
    <n v="0"/>
    <n v="331"/>
    <n v="0"/>
    <n v="0"/>
    <n v="0"/>
    <n v="2.7753842004934526E-2"/>
    <n v="27"/>
    <m/>
    <s v="Laldiyara"/>
    <m/>
    <n v="0"/>
  </r>
  <r>
    <s v="Munger"/>
    <s v="01-02 Apr"/>
    <n v="1002"/>
    <s v="Laldiyara"/>
    <x v="63"/>
    <s v="PATHUA"/>
    <s v="MPG"/>
    <s v="Direct"/>
    <n v="366.29999999999995"/>
    <n v="15819.27"/>
    <n v="363.4"/>
    <n v="15864.011731807203"/>
    <n v="3.6"/>
    <n v="144.18654087600001"/>
    <n v="367"/>
    <n v="16008.198272683203"/>
    <n v="15819.27"/>
    <n v="0"/>
    <n v="144.18654087600001"/>
    <n v="188.92827268320252"/>
    <n v="0"/>
    <n v="0"/>
    <n v="0"/>
    <n v="15675"/>
    <n v="0"/>
    <n v="0"/>
    <n v="0"/>
    <n v="0"/>
    <n v="0"/>
    <n v="0"/>
    <n v="-1.1942919786007984E-2"/>
    <n v="4"/>
    <m/>
    <s v="Laldiyara"/>
    <m/>
    <n v="0"/>
  </r>
  <r>
    <s v="Munger"/>
    <s v="01-02 Apr"/>
    <n v="1002"/>
    <s v="Laldiyara"/>
    <x v="64"/>
    <s v="LODIYA"/>
    <s v="MPG"/>
    <s v="Direct"/>
    <n v="76"/>
    <n v="3103.1"/>
    <n v="74.849999999999994"/>
    <n v="3109.6400832828003"/>
    <n v="1.3"/>
    <n v="54.058098600000008"/>
    <n v="76.149999999999991"/>
    <n v="3163.6981818828003"/>
    <n v="3103.1"/>
    <n v="0"/>
    <n v="54.058098600000008"/>
    <n v="60.598181882800418"/>
    <n v="0"/>
    <n v="0"/>
    <n v="0"/>
    <n v="3049"/>
    <n v="0"/>
    <n v="0"/>
    <n v="0"/>
    <n v="0"/>
    <n v="101.25905263157894"/>
    <n v="38"/>
    <n v="-1.9528272335019956E-2"/>
    <n v="7"/>
    <m/>
    <s v="Laldiyara"/>
    <m/>
    <n v="0"/>
  </r>
  <r>
    <s v="Munger"/>
    <s v="01-02 Apr"/>
    <n v="1002"/>
    <s v="Laldiyara"/>
    <x v="65"/>
    <s v="ADARSH LAXMIPUR-3"/>
    <s v="MPG"/>
    <s v="Direct"/>
    <n v="66.400000000000006"/>
    <n v="2842.7400000000002"/>
    <n v="68.08"/>
    <n v="2958.5587425550002"/>
    <n v="0"/>
    <n v="0"/>
    <n v="68.08"/>
    <n v="2958.5587425550002"/>
    <n v="2842.7400000000002"/>
    <n v="0"/>
    <n v="0"/>
    <n v="115.81874255499997"/>
    <n v="0"/>
    <n v="0"/>
    <n v="0"/>
    <n v="2843"/>
    <n v="0"/>
    <n v="0"/>
    <n v="0"/>
    <n v="0"/>
    <n v="114.39459759036144"/>
    <n v="33.200000000000003"/>
    <n v="-4.0741940013859855E-2"/>
    <n v="6"/>
    <m/>
    <s v="Laldiyara"/>
    <m/>
    <n v="0"/>
  </r>
  <r>
    <s v="Munger"/>
    <s v="01-02 Apr"/>
    <n v="1002"/>
    <s v="Laldiyara"/>
    <x v="66"/>
    <s v="BHANPUR"/>
    <s v="MPG"/>
    <s v="Direct"/>
    <n v="124.49999999999999"/>
    <n v="4663.87"/>
    <n v="124.49999999999999"/>
    <n v="4663.7384991705003"/>
    <n v="0"/>
    <n v="0"/>
    <n v="124.49999999999999"/>
    <n v="4663.7384991705003"/>
    <n v="4663.7384991705003"/>
    <n v="0"/>
    <n v="0"/>
    <n v="0"/>
    <n v="0"/>
    <n v="0"/>
    <n v="0"/>
    <n v="4664"/>
    <n v="0"/>
    <n v="0"/>
    <n v="0"/>
    <n v="0"/>
    <n v="56.565812851405639"/>
    <n v="62.249999999999993"/>
    <n v="2.8195646426594335E-5"/>
    <n v="1"/>
    <m/>
    <s v="Laldiyara"/>
    <m/>
    <n v="0"/>
  </r>
  <r>
    <s v="Munger"/>
    <s v="01-02 Apr"/>
    <n v="1002"/>
    <s v="Laldiyara"/>
    <x v="67"/>
    <s v="Karari Pipariya 2"/>
    <s v="MPG"/>
    <s v="Direct"/>
    <n v="319.30000000000007"/>
    <n v="14072.54"/>
    <n v="317.47000000000003"/>
    <n v="13927.543896750212"/>
    <n v="2.65"/>
    <n v="116.56162227600001"/>
    <n v="320.12"/>
    <n v="14044.105519026212"/>
    <n v="14044.105519026212"/>
    <n v="0"/>
    <n v="116.56162227600001"/>
    <n v="0"/>
    <n v="0"/>
    <n v="0"/>
    <n v="0"/>
    <n v="13927"/>
    <n v="0"/>
    <n v="0"/>
    <n v="29"/>
    <n v="0"/>
    <n v="0"/>
    <n v="0"/>
    <n v="2.0205649423479053E-3"/>
    <n v="9"/>
    <m/>
    <s v="Laldiyara"/>
    <m/>
    <n v="0"/>
  </r>
  <r>
    <s v="Munger"/>
    <s v="01-02 Apr"/>
    <n v="1002"/>
    <s v="Laldiyara"/>
    <x v="68"/>
    <s v="DIYARA PIPARIYA-THANA                                                                               "/>
    <s v="MPG"/>
    <s v="Direct"/>
    <n v="340.8"/>
    <n v="14830.51"/>
    <n v="340.81000000000006"/>
    <n v="14664.848016629428"/>
    <n v="2.12"/>
    <n v="88.380296928000007"/>
    <n v="342.93000000000006"/>
    <n v="14753.228313557429"/>
    <n v="14753.228313557429"/>
    <n v="0"/>
    <n v="88.380296928000007"/>
    <n v="0"/>
    <n v="0"/>
    <n v="0"/>
    <n v="0"/>
    <n v="14666"/>
    <n v="0"/>
    <n v="0"/>
    <n v="76"/>
    <n v="0"/>
    <n v="0"/>
    <n v="0"/>
    <n v="5.2109931784255093E-3"/>
    <n v="22"/>
    <m/>
    <s v="Laldiyara"/>
    <m/>
    <n v="0"/>
  </r>
  <r>
    <s v="Munger"/>
    <s v="01-02 Apr"/>
    <n v="1002"/>
    <s v="Laldiyara"/>
    <x v="69"/>
    <s v="SRI RAM SINGH(VLC)"/>
    <s v="vlc"/>
    <s v="Indirect"/>
    <n v="583.5"/>
    <n v="22613.53"/>
    <n v="0"/>
    <n v="0"/>
    <n v="0"/>
    <n v="0"/>
    <n v="0"/>
    <n v="0"/>
    <n v="22613.53"/>
    <n v="0"/>
    <n v="0"/>
    <n v="0"/>
    <n v="0"/>
    <n v="0"/>
    <n v="0"/>
    <n v="0"/>
    <n v="0"/>
    <n v="22613.53"/>
    <n v="0"/>
    <n v="0"/>
    <n v="0"/>
    <n v="0"/>
    <n v="0"/>
    <n v="0"/>
    <m/>
    <s v="Laldiyara"/>
    <m/>
    <n v="0"/>
  </r>
  <r>
    <s v="Munger"/>
    <s v="01-02 Apr"/>
    <n v="1002"/>
    <s v="Laldiyara"/>
    <x v="70"/>
    <s v="GADHTOLA"/>
    <s v="MPG"/>
    <s v="Direct"/>
    <n v="288"/>
    <n v="11285.919999999998"/>
    <n v="285.52000000000004"/>
    <n v="11059.900509005822"/>
    <n v="0.87000000000000011"/>
    <n v="34.250985252000007"/>
    <n v="286.39000000000004"/>
    <n v="11094.151494257821"/>
    <n v="11094.151494257821"/>
    <n v="0"/>
    <n v="34.250985252000007"/>
    <n v="0"/>
    <n v="0"/>
    <n v="0"/>
    <n v="0"/>
    <n v="11060"/>
    <n v="0"/>
    <n v="0"/>
    <n v="192"/>
    <n v="0"/>
    <n v="0"/>
    <n v="0"/>
    <n v="1.6991836353808711E-2"/>
    <n v="8"/>
    <m/>
    <s v="Laldiyara"/>
    <m/>
    <n v="0"/>
  </r>
  <r>
    <s v="Munger"/>
    <s v="01-02 Apr"/>
    <n v="1002"/>
    <s v="Laldiyara"/>
    <x v="71"/>
    <s v="Golapaar - Ramnandan"/>
    <s v="vlc"/>
    <s v="Indirect"/>
    <n v="504.90000000000003"/>
    <n v="18841.629999999997"/>
    <n v="0"/>
    <n v="0"/>
    <n v="0"/>
    <n v="0"/>
    <n v="0"/>
    <n v="0"/>
    <n v="18841.629999999997"/>
    <n v="0"/>
    <n v="0"/>
    <n v="0"/>
    <n v="0"/>
    <n v="0"/>
    <n v="0"/>
    <n v="0"/>
    <n v="0"/>
    <n v="18841.629999999997"/>
    <n v="0"/>
    <n v="0"/>
    <n v="0"/>
    <n v="0"/>
    <n v="0"/>
    <n v="0"/>
    <m/>
    <s v="Laldiyara"/>
    <m/>
    <n v="0"/>
  </r>
  <r>
    <s v="Munger"/>
    <s v="01-02 Apr"/>
    <n v="1002"/>
    <s v="Laldiyara"/>
    <x v="72"/>
    <s v="Diyara-Pipariya-Utri - Chandan"/>
    <s v="vlc"/>
    <s v="Indirect"/>
    <n v="483.2"/>
    <n v="19014.670000000002"/>
    <n v="0"/>
    <n v="0"/>
    <n v="0"/>
    <n v="0"/>
    <n v="0"/>
    <n v="0"/>
    <n v="19014.670000000002"/>
    <n v="0"/>
    <n v="0"/>
    <n v="0"/>
    <n v="0"/>
    <n v="0"/>
    <n v="0"/>
    <n v="0"/>
    <n v="0"/>
    <n v="19014.670000000002"/>
    <n v="0"/>
    <n v="0"/>
    <n v="0"/>
    <n v="0"/>
    <n v="0"/>
    <n v="0"/>
    <m/>
    <s v="Laldiyara"/>
    <m/>
    <n v="0"/>
  </r>
  <r>
    <s v="Munger"/>
    <s v="01-02 Apr"/>
    <n v="1002"/>
    <s v="Laldiyara"/>
    <x v="73"/>
    <s v="KANHARPUR-2"/>
    <s v="MPG"/>
    <s v="Direct"/>
    <n v="937.9"/>
    <n v="41475.719999999994"/>
    <n v="672.02"/>
    <n v="30726.837443296416"/>
    <n v="265.78999999999996"/>
    <n v="10958.333659577002"/>
    <n v="937.81"/>
    <n v="41685.171102873413"/>
    <n v="41475.719999999994"/>
    <n v="0"/>
    <n v="506.26642825700003"/>
    <n v="209.45110287341959"/>
    <n v="0"/>
    <n v="0"/>
    <n v="0"/>
    <n v="30517"/>
    <n v="10452"/>
    <n v="0"/>
    <n v="0"/>
    <n v="0"/>
    <n v="0"/>
    <n v="0"/>
    <n v="-5.0499690631873205E-3"/>
    <n v="14"/>
    <m/>
    <s v="Laldiyara"/>
    <m/>
    <n v="0"/>
  </r>
  <r>
    <s v="Munger"/>
    <s v="01-02 Apr"/>
    <n v="1002"/>
    <s v="Laldiyara"/>
    <x v="74"/>
    <s v="BASAUNA"/>
    <s v="MPG"/>
    <s v="Direct"/>
    <n v="525.59999999999991"/>
    <n v="20714.59"/>
    <n v="132.42000000000002"/>
    <n v="5622.3588438387796"/>
    <n v="394.15"/>
    <n v="15160.282275043721"/>
    <n v="526.56999999999994"/>
    <n v="20782.6411188825"/>
    <n v="20714.59"/>
    <n v="0"/>
    <n v="83.225671452"/>
    <n v="68.051118882500305"/>
    <n v="0"/>
    <n v="0"/>
    <n v="0"/>
    <n v="5554"/>
    <n v="15077"/>
    <n v="0"/>
    <n v="0"/>
    <n v="0"/>
    <n v="0"/>
    <n v="0"/>
    <n v="-3.2851781706758525E-3"/>
    <n v="10"/>
    <m/>
    <s v="Laldiyara"/>
    <m/>
    <n v="0"/>
  </r>
  <r>
    <s v="Munger"/>
    <s v="01-02 Apr"/>
    <n v="1002"/>
    <s v="Laldiyara"/>
    <x v="75"/>
    <s v="GANGA-SARAI"/>
    <s v="MPG"/>
    <s v="Direct"/>
    <n v="336"/>
    <n v="13403.73"/>
    <n v="335.53999999999996"/>
    <n v="13292.701246598202"/>
    <n v="3.22"/>
    <n v="120.52740585600002"/>
    <n v="338.76"/>
    <n v="13413.228652454203"/>
    <n v="13403.73"/>
    <n v="0"/>
    <n v="120.52740585600002"/>
    <n v="9.4986524542036932"/>
    <n v="0"/>
    <n v="0"/>
    <n v="0"/>
    <n v="13283"/>
    <n v="0"/>
    <n v="0"/>
    <n v="0"/>
    <n v="0"/>
    <n v="0"/>
    <n v="0"/>
    <n v="-7.086574001567992E-4"/>
    <n v="8"/>
    <m/>
    <s v="Laldiyara"/>
    <m/>
    <n v="0"/>
  </r>
  <r>
    <s v="Munger"/>
    <s v="01-02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133.29999999999998"/>
    <n v="5218.09"/>
    <n v="133.07"/>
    <n v="5120.9031336474654"/>
    <n v="1.7200000000000002"/>
    <n v="67.691432555999995"/>
    <n v="134.79"/>
    <n v="5188.5945662034655"/>
    <n v="5188.5945662034655"/>
    <n v="0"/>
    <n v="67.691432555999995"/>
    <n v="0"/>
    <n v="0"/>
    <n v="0"/>
    <n v="0"/>
    <n v="5122"/>
    <n v="0"/>
    <n v="0"/>
    <n v="28"/>
    <n v="0"/>
    <n v="52.220045461365366"/>
    <n v="66.649999999999991"/>
    <n v="5.6525345090894553E-3"/>
    <n v="14"/>
    <m/>
    <s v="Laldiyara"/>
    <m/>
    <n v="0"/>
  </r>
  <r>
    <s v="Munger"/>
    <s v="01-02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234.5"/>
    <n v="11111.939999999999"/>
    <n v="169.10000000000002"/>
    <n v="8254.8649885319992"/>
    <n v="71.900000000000006"/>
    <n v="3296.3006052000001"/>
    <n v="241.00000000000003"/>
    <n v="11551.165593731999"/>
    <n v="11111.939999999999"/>
    <n v="0"/>
    <n v="77.248531799999995"/>
    <n v="439.22559373200056"/>
    <n v="0"/>
    <n v="0"/>
    <n v="0"/>
    <n v="7816"/>
    <n v="3219"/>
    <n v="0"/>
    <n v="0"/>
    <n v="0"/>
    <n v="0"/>
    <n v="0"/>
    <n v="-3.9527354695219792E-2"/>
    <n v="9"/>
    <m/>
    <s v="Laldiyara"/>
    <m/>
    <n v="0"/>
  </r>
  <r>
    <s v="Munger"/>
    <s v="01-02 Apr"/>
    <n v="1002"/>
    <s v="Laldiyara"/>
    <x v="78"/>
    <s v="Gomukh Hasanpur"/>
    <s v="vlc"/>
    <s v="Indirect"/>
    <n v="447.6"/>
    <n v="17554.89"/>
    <n v="0"/>
    <n v="0"/>
    <n v="0"/>
    <n v="0"/>
    <n v="0"/>
    <n v="0"/>
    <n v="17554.89"/>
    <n v="0"/>
    <n v="0"/>
    <n v="0"/>
    <n v="0"/>
    <n v="0"/>
    <n v="0"/>
    <n v="0"/>
    <n v="0"/>
    <n v="17554.89"/>
    <n v="0"/>
    <n v="0"/>
    <n v="0"/>
    <n v="0"/>
    <n v="0"/>
    <n v="0"/>
    <m/>
    <s v="Laldiyara"/>
    <m/>
    <n v="0"/>
  </r>
  <r>
    <s v="Munger"/>
    <s v="01-02 Apr"/>
    <n v="1002"/>
    <s v="Laldiyara"/>
    <x v="79"/>
    <s v="SABIKPUR"/>
    <s v="MPG"/>
    <s v="Direct"/>
    <n v="230.40000000000003"/>
    <n v="9641.11"/>
    <n v="245.09"/>
    <n v="11494.098901189378"/>
    <n v="0"/>
    <n v="0"/>
    <n v="245.09"/>
    <n v="11494.098901189378"/>
    <n v="9641.11"/>
    <n v="0"/>
    <n v="0"/>
    <n v="1852.9889011893774"/>
    <n v="0"/>
    <n v="0"/>
    <n v="0"/>
    <n v="9641"/>
    <n v="0"/>
    <n v="0"/>
    <n v="0"/>
    <n v="0"/>
    <n v="0"/>
    <n v="0"/>
    <n v="-0.19219663515812779"/>
    <n v="22"/>
    <m/>
    <s v="Laldiyara"/>
    <m/>
    <n v="0"/>
  </r>
  <r>
    <s v="Munger"/>
    <s v="01-02 Apr"/>
    <n v="1002"/>
    <s v="Laldiyara"/>
    <x v="80"/>
    <s v="CHETAN-TOLA-KHUTHA"/>
    <s v="MPG"/>
    <s v="Direct"/>
    <n v="64.900000000000006"/>
    <n v="2421.65"/>
    <n v="64.899999999999991"/>
    <n v="2421.5186991600003"/>
    <n v="0"/>
    <n v="0"/>
    <n v="64.899999999999991"/>
    <n v="2421.5186991600003"/>
    <n v="2421.5186991600003"/>
    <n v="0"/>
    <n v="0"/>
    <n v="0"/>
    <n v="0"/>
    <n v="0"/>
    <n v="0"/>
    <n v="2422"/>
    <n v="0"/>
    <n v="0"/>
    <n v="0"/>
    <n v="0"/>
    <n v="100.82123728813558"/>
    <n v="32.450000000000003"/>
    <n v="5.4219577560657832E-5"/>
    <n v="1"/>
    <m/>
    <s v="Laldiyara"/>
    <m/>
    <n v="0"/>
  </r>
  <r>
    <s v="Munger"/>
    <s v="01-02 Apr"/>
    <n v="1002"/>
    <s v="Laldiyara"/>
    <x v="81"/>
    <s v="LAXMIPUR"/>
    <s v="MPG"/>
    <s v="Direct"/>
    <n v="292.2"/>
    <n v="11983.220000000001"/>
    <n v="261.5"/>
    <n v="12036.149507809701"/>
    <n v="0"/>
    <n v="0"/>
    <n v="261.5"/>
    <n v="12036.149507809701"/>
    <n v="11983.220000000001"/>
    <n v="0"/>
    <n v="0"/>
    <n v="52.929507809700226"/>
    <n v="0"/>
    <n v="0"/>
    <n v="0"/>
    <n v="11983"/>
    <n v="0"/>
    <n v="0"/>
    <n v="0"/>
    <s v="Release1"/>
    <n v="0"/>
    <n v="0"/>
    <n v="-4.4169687120573786E-3"/>
    <n v="14"/>
    <m/>
    <s v="Laldiyara"/>
    <m/>
    <n v="0"/>
  </r>
  <r>
    <s v="Munger"/>
    <s v="01-02 Apr"/>
    <n v="1002"/>
    <s v="Laldiyara"/>
    <x v="82"/>
    <s v="REHUA RK"/>
    <s v="vlc"/>
    <s v="Indirect"/>
    <n v="246.70000000000002"/>
    <n v="10918.28"/>
    <n v="0"/>
    <n v="0"/>
    <n v="0"/>
    <n v="0"/>
    <n v="0"/>
    <n v="0"/>
    <n v="10918.28"/>
    <n v="0"/>
    <n v="0"/>
    <n v="0"/>
    <n v="0"/>
    <n v="0"/>
    <n v="0"/>
    <n v="0"/>
    <n v="0"/>
    <n v="10918.28"/>
    <n v="0"/>
    <n v="0"/>
    <n v="0"/>
    <n v="0"/>
    <n v="0"/>
    <n v="0"/>
    <m/>
    <s v="Laldiyara"/>
    <m/>
    <n v="0"/>
  </r>
  <r>
    <s v="Munger"/>
    <s v="01-02 Apr"/>
    <n v="1002"/>
    <s v="Laldiyara"/>
    <x v="83"/>
    <s v="RAMNAGAR"/>
    <s v="MPG"/>
    <s v="Direct"/>
    <n v="135.5"/>
    <n v="5741.6399999999994"/>
    <n v="135.47999999999999"/>
    <n v="5829.017056815821"/>
    <n v="0"/>
    <n v="0"/>
    <n v="135.47999999999999"/>
    <n v="5829.017056815821"/>
    <n v="5741.6399999999994"/>
    <n v="0"/>
    <n v="0"/>
    <n v="87.377056815821561"/>
    <n v="0"/>
    <n v="0"/>
    <n v="0"/>
    <n v="5742"/>
    <n v="0"/>
    <n v="0"/>
    <n v="0"/>
    <n v="0"/>
    <n v="54.662107749077485"/>
    <n v="67.75"/>
    <n v="-1.5218135727043417E-2"/>
    <n v="13"/>
    <m/>
    <s v="Laldiyara"/>
    <m/>
    <n v="0"/>
  </r>
  <r>
    <s v="Munger"/>
    <s v="01-02 Apr"/>
    <n v="1002"/>
    <s v="Laldiyara"/>
    <x v="84"/>
    <s v="PACHAM"/>
    <s v="MPG"/>
    <s v="Direct"/>
    <n v="61.900000000000006"/>
    <n v="2738.54"/>
    <n v="61.570000000000007"/>
    <n v="2824.3152930505021"/>
    <n v="0"/>
    <n v="0"/>
    <n v="61.570000000000007"/>
    <n v="2824.3152930505021"/>
    <n v="2738.54"/>
    <n v="0"/>
    <n v="0"/>
    <n v="85.775293050502114"/>
    <n v="0"/>
    <n v="0"/>
    <n v="0"/>
    <n v="2739"/>
    <n v="0"/>
    <n v="0"/>
    <n v="0"/>
    <n v="0"/>
    <n v="122.19462810985461"/>
    <n v="30.950000000000003"/>
    <n v="-3.1321541058557521E-2"/>
    <n v="10"/>
    <m/>
    <s v="Laldiyara"/>
    <m/>
    <n v="0"/>
  </r>
  <r>
    <s v="Munger"/>
    <s v="01-02 Apr"/>
    <n v="1002"/>
    <s v="Laldiyara"/>
    <x v="85"/>
    <s v="BANSIPUR"/>
    <s v="MPG"/>
    <s v="Direct"/>
    <n v="30.700000000000003"/>
    <n v="1420.63"/>
    <n v="30.7"/>
    <n v="1425.0199901049"/>
    <n v="0"/>
    <n v="0"/>
    <n v="30.7"/>
    <n v="1425.0199901049"/>
    <n v="1420.63"/>
    <n v="0"/>
    <n v="0"/>
    <n v="4.38999010489988"/>
    <n v="0"/>
    <n v="0"/>
    <n v="0"/>
    <n v="1421"/>
    <n v="0"/>
    <n v="0"/>
    <n v="0"/>
    <n v="0"/>
    <n v="156.68577133550488"/>
    <n v="15.350000000000001"/>
    <n v="-3.0901713358861068E-3"/>
    <n v="1"/>
    <m/>
    <s v="Laldiyara"/>
    <m/>
    <n v="0"/>
  </r>
  <r>
    <s v="Munger"/>
    <s v="01-02 Apr"/>
    <n v="1002"/>
    <s v="Laldiyara"/>
    <x v="86"/>
    <s v="GODIH"/>
    <s v="MPG"/>
    <s v="Direct"/>
    <n v="73.400000000000006"/>
    <n v="3065.01"/>
    <n v="73.099999999999994"/>
    <n v="3391.0225953431004"/>
    <n v="0"/>
    <n v="0"/>
    <n v="73.099999999999994"/>
    <n v="3391.0225953431004"/>
    <n v="3065.01"/>
    <n v="0"/>
    <n v="0"/>
    <n v="326.0125953431002"/>
    <n v="0"/>
    <n v="0"/>
    <n v="0"/>
    <n v="3065"/>
    <n v="0"/>
    <n v="0"/>
    <n v="0"/>
    <n v="0"/>
    <n v="105.73031771117165"/>
    <n v="36.700000000000003"/>
    <n v="-0.10636591572069917"/>
    <n v="4"/>
    <m/>
    <s v="Laldiyara"/>
    <m/>
    <n v="0"/>
  </r>
  <r>
    <s v="Munger"/>
    <s v="01-02 Apr"/>
    <n v="1002"/>
    <s v="Laldiyara"/>
    <x v="87"/>
    <s v="SINGARPUR"/>
    <s v="MPG"/>
    <s v="Direct"/>
    <n v="79.300000000000011"/>
    <n v="4426.96"/>
    <n v="80.66"/>
    <n v="4712.8989344045203"/>
    <n v="0"/>
    <n v="0"/>
    <n v="80.66"/>
    <n v="4712.8989344045203"/>
    <n v="4426.96"/>
    <n v="0"/>
    <n v="0"/>
    <n v="285.9389344045203"/>
    <n v="0"/>
    <n v="0"/>
    <n v="0"/>
    <n v="4427"/>
    <n v="0"/>
    <n v="0"/>
    <n v="0"/>
    <n v="0"/>
    <n v="134.76269155107187"/>
    <n v="39.650000000000006"/>
    <n v="-6.4590358712190821E-2"/>
    <n v="3"/>
    <m/>
    <s v="Laldiyara"/>
    <m/>
    <n v="0"/>
  </r>
  <r>
    <s v="Munger"/>
    <s v="01-02 Apr"/>
    <n v="1002"/>
    <s v="Laldiyara"/>
    <x v="88"/>
    <s v="ADARSH PULPAR"/>
    <s v="MPG"/>
    <s v="Direct"/>
    <n v="21.499999999999996"/>
    <n v="815.12"/>
    <n v="21.5"/>
    <n v="813.01167684000006"/>
    <n v="0"/>
    <n v="0"/>
    <n v="21.5"/>
    <n v="813.01167684000006"/>
    <n v="813.01167684000006"/>
    <n v="0"/>
    <n v="0"/>
    <n v="0"/>
    <n v="0"/>
    <n v="0"/>
    <n v="0"/>
    <n v="813"/>
    <n v="0"/>
    <n v="0"/>
    <n v="2"/>
    <n v="0"/>
    <n v="135.34783255813954"/>
    <n v="10.749999999999998"/>
    <n v="2.586518745706081E-3"/>
    <n v="1"/>
    <m/>
    <s v="Laldiyara"/>
    <m/>
    <n v="0"/>
  </r>
  <r>
    <s v="Munger"/>
    <s v="01-02 Apr"/>
    <n v="1002"/>
    <s v="Laldiyara"/>
    <x v="89"/>
    <s v="G WOLIPUR"/>
    <s v="vlc"/>
    <s v="Indirect"/>
    <n v="774.7"/>
    <n v="31085.279999999999"/>
    <n v="0"/>
    <n v="0"/>
    <n v="0"/>
    <n v="0"/>
    <n v="0"/>
    <n v="0"/>
    <n v="31085.279999999999"/>
    <n v="0"/>
    <n v="0"/>
    <n v="0"/>
    <n v="0"/>
    <n v="0"/>
    <n v="0"/>
    <n v="0"/>
    <n v="0"/>
    <n v="31085.279999999999"/>
    <n v="0"/>
    <n v="0"/>
    <n v="0"/>
    <n v="0"/>
    <n v="0"/>
    <n v="0"/>
    <m/>
    <s v="Laldiyara"/>
    <m/>
    <n v="0"/>
  </r>
  <r>
    <s v="Munger"/>
    <s v="01-02 Apr"/>
    <n v="1002"/>
    <s v="Laldiyara"/>
    <x v="90"/>
    <s v="REHUA 3"/>
    <s v="vlc"/>
    <s v="Indirect"/>
    <n v="633.09999999999991"/>
    <n v="28459.83"/>
    <n v="0"/>
    <n v="0"/>
    <n v="0"/>
    <n v="0"/>
    <n v="0"/>
    <n v="0"/>
    <n v="28459.83"/>
    <n v="0"/>
    <n v="0"/>
    <n v="0"/>
    <n v="0"/>
    <n v="0"/>
    <n v="0"/>
    <n v="0"/>
    <n v="0"/>
    <n v="28459.83"/>
    <n v="0"/>
    <n v="0"/>
    <n v="0"/>
    <n v="0"/>
    <n v="0"/>
    <n v="0"/>
    <m/>
    <s v="Laldiyara"/>
    <m/>
    <n v="0"/>
  </r>
  <r>
    <s v="Munger"/>
    <s v="01-02 Apr"/>
    <n v="1002"/>
    <s v="Laldiyara"/>
    <x v="91"/>
    <s v="BICHWAY"/>
    <s v="MPG"/>
    <s v="Direct"/>
    <n v="75.2"/>
    <n v="2894.81"/>
    <n v="75.2"/>
    <n v="2894.7910464000001"/>
    <n v="0"/>
    <n v="0"/>
    <n v="75.2"/>
    <n v="2894.7910464000001"/>
    <n v="2894.7910464000001"/>
    <n v="0"/>
    <n v="0"/>
    <n v="0"/>
    <n v="0"/>
    <n v="0"/>
    <n v="0"/>
    <n v="2895"/>
    <n v="0"/>
    <n v="0"/>
    <n v="0"/>
    <n v="0"/>
    <n v="96.08305531914894"/>
    <n v="37.6"/>
    <n v="6.5474418009486924E-6"/>
    <n v="1"/>
    <m/>
    <s v="Laldiyara"/>
    <m/>
    <n v="0"/>
  </r>
  <r>
    <s v="Munger"/>
    <s v="01-02 Apr"/>
    <n v="1002"/>
    <s v="Laldiyara"/>
    <x v="92"/>
    <s v="MANOHARPUR"/>
    <s v="MPG"/>
    <s v="Direct"/>
    <n v="194.1"/>
    <n v="7486.57"/>
    <n v="171.4"/>
    <n v="6603.995510481599"/>
    <n v="111.68"/>
    <n v="4619.5896928968014"/>
    <n v="283.08000000000004"/>
    <n v="11223.585203378399"/>
    <n v="7486.57"/>
    <n v="0"/>
    <n v="0"/>
    <n v="3737.0152033783997"/>
    <n v="0"/>
    <n v="0"/>
    <n v="0"/>
    <n v="2865"/>
    <n v="4622"/>
    <n v="0"/>
    <n v="0"/>
    <n v="0"/>
    <n v="4.5513408552292676"/>
    <n v="97.05"/>
    <n v="-0.49916252748299955"/>
    <n v="20"/>
    <m/>
    <s v="Laldiyara"/>
    <m/>
    <n v="0"/>
  </r>
  <r>
    <s v="Munger"/>
    <s v="01-02 Apr"/>
    <n v="1003"/>
    <s v="Asarganj"/>
    <x v="93"/>
    <s v="MOHANPUR"/>
    <s v="vlc"/>
    <s v="Indirect"/>
    <n v="161.60000000000002"/>
    <n v="6553.3099999999995"/>
    <n v="0"/>
    <n v="0"/>
    <n v="0"/>
    <n v="0"/>
    <n v="0"/>
    <n v="0"/>
    <n v="6553.3099999999995"/>
    <n v="0"/>
    <n v="0"/>
    <n v="0"/>
    <n v="0"/>
    <n v="0"/>
    <n v="0"/>
    <n v="0"/>
    <n v="0"/>
    <n v="6553.3099999999995"/>
    <n v="0"/>
    <n v="0"/>
    <n v="31.144443564356408"/>
    <n v="80.800000000000011"/>
    <n v="0"/>
    <n v="0"/>
    <m/>
    <s v="Asarganj"/>
    <m/>
    <n v="0"/>
  </r>
  <r>
    <s v="Munger"/>
    <s v="01-02 Apr"/>
    <n v="1003"/>
    <s v="Asarganj"/>
    <x v="94"/>
    <s v="CHATMADIH"/>
    <s v="MPG"/>
    <s v="Direct"/>
    <n v="480.65000000000003"/>
    <n v="20360.669999999998"/>
    <n v="470.69999999999987"/>
    <n v="19474.175870988613"/>
    <n v="7.2000000000000011"/>
    <n v="448.48980870000003"/>
    <n v="477.89999999999986"/>
    <n v="19922.665679688613"/>
    <n v="19922.665679688613"/>
    <n v="0"/>
    <n v="448.48980870000003"/>
    <n v="0"/>
    <n v="0"/>
    <n v="0"/>
    <n v="0"/>
    <n v="19477"/>
    <n v="0"/>
    <n v="0"/>
    <n v="435"/>
    <n v="0"/>
    <n v="0"/>
    <n v="0"/>
    <n v="2.1512274414908033E-2"/>
    <n v="54"/>
    <m/>
    <s v="Asarganj"/>
    <m/>
    <n v="0"/>
  </r>
  <r>
    <s v="Munger"/>
    <s v="01-02 Apr"/>
    <n v="1003"/>
    <s v="Asarganj"/>
    <x v="95"/>
    <s v="SIYADIH"/>
    <s v="vlc"/>
    <s v="Indirect"/>
    <n v="193.10000000000002"/>
    <n v="5713.3099999999995"/>
    <n v="0"/>
    <n v="0"/>
    <n v="0"/>
    <n v="0"/>
    <n v="0"/>
    <n v="0"/>
    <n v="5713.3099999999995"/>
    <n v="0"/>
    <n v="0"/>
    <n v="0"/>
    <n v="0"/>
    <n v="0"/>
    <n v="0"/>
    <n v="0"/>
    <n v="0"/>
    <n v="5713.3099999999995"/>
    <n v="0"/>
    <n v="0"/>
    <n v="4.083049093733802"/>
    <n v="96.550000000000011"/>
    <n v="0"/>
    <n v="0"/>
    <m/>
    <s v="Asarganj"/>
    <m/>
    <n v="0"/>
  </r>
  <r>
    <s v="Munger"/>
    <s v="01-02 Apr"/>
    <n v="1003"/>
    <s v="Asarganj"/>
    <x v="96"/>
    <s v="HARPUR M"/>
    <s v="RMC"/>
    <s v="Direct"/>
    <n v="814"/>
    <n v="28156.26"/>
    <n v="800"/>
    <n v="29212.444799999997"/>
    <n v="0.4"/>
    <n v="14.7844224"/>
    <n v="800.4"/>
    <n v="29227.229222399998"/>
    <n v="28156.26"/>
    <n v="0"/>
    <n v="14.7844224"/>
    <n v="1070.9692223999991"/>
    <n v="0"/>
    <n v="0"/>
    <n v="0"/>
    <n v="28141"/>
    <n v="0"/>
    <n v="0"/>
    <n v="0"/>
    <s v="Release1"/>
    <n v="0"/>
    <n v="0"/>
    <n v="-3.8036629239820888E-2"/>
    <n v="5"/>
    <m/>
    <s v="Asarganj"/>
    <m/>
    <n v="0"/>
  </r>
  <r>
    <s v="Munger"/>
    <s v="01-02 Apr"/>
    <n v="1003"/>
    <s v="Asarganj"/>
    <x v="97"/>
    <s v="Gomukh ID Laldiyara"/>
    <s v="vlc"/>
    <s v="Indirect"/>
    <n v="235"/>
    <n v="8871.25"/>
    <n v="0"/>
    <n v="0"/>
    <n v="0"/>
    <n v="0"/>
    <n v="0"/>
    <n v="0"/>
    <n v="8871.25"/>
    <n v="0"/>
    <n v="0"/>
    <n v="0"/>
    <n v="0"/>
    <n v="0"/>
    <n v="0"/>
    <n v="0"/>
    <n v="0"/>
    <n v="8871.25"/>
    <n v="0"/>
    <n v="0"/>
    <n v="0"/>
    <n v="0"/>
    <n v="0"/>
    <n v="0"/>
    <m/>
    <s v="Asarganj"/>
    <m/>
    <n v="0"/>
  </r>
  <r>
    <s v="Munger"/>
    <s v="01-02 Apr"/>
    <n v="1003"/>
    <s v="Asarganj"/>
    <x v="98"/>
    <s v="KATHNI"/>
    <s v="MPG"/>
    <s v="Direct"/>
    <n v="74.7"/>
    <n v="2566.0299999999997"/>
    <n v="119"/>
    <n v="5368.8454289359997"/>
    <n v="0"/>
    <n v="0"/>
    <n v="119"/>
    <n v="5368.8454289359997"/>
    <n v="2566.0299999999997"/>
    <n v="0"/>
    <n v="0"/>
    <n v="2802.815428936"/>
    <n v="0"/>
    <n v="0"/>
    <n v="0"/>
    <n v="2566"/>
    <n v="0"/>
    <n v="0"/>
    <n v="0"/>
    <n v="0"/>
    <n v="86.083951539491281"/>
    <n v="37.35"/>
    <n v="-1.0922769526996958"/>
    <n v="3"/>
    <m/>
    <s v="Asarganj"/>
    <m/>
    <n v="0"/>
  </r>
  <r>
    <s v="Munger"/>
    <s v="01-02 Apr"/>
    <n v="1003"/>
    <s v="Asarganj"/>
    <x v="99"/>
    <s v="DEVDHA GOMUKH MPG"/>
    <s v="MPG"/>
    <s v="Direct"/>
    <n v="343.69999999999993"/>
    <n v="13301.98"/>
    <n v="245.6"/>
    <n v="9508.4493629400022"/>
    <n v="98"/>
    <n v="3789.6928245000008"/>
    <n v="343.6"/>
    <n v="13298.142187440004"/>
    <n v="13298.142187440004"/>
    <n v="0"/>
    <n v="77.565345660000006"/>
    <n v="0"/>
    <n v="0"/>
    <n v="0"/>
    <n v="0"/>
    <n v="9509"/>
    <n v="3711"/>
    <n v="0"/>
    <n v="4"/>
    <n v="0"/>
    <n v="0"/>
    <n v="0"/>
    <n v="2.8851438357264519E-4"/>
    <n v="12"/>
    <m/>
    <s v="Asarganj"/>
    <m/>
    <n v="0"/>
  </r>
  <r>
    <s v="Munger"/>
    <s v="01-02 Apr"/>
    <n v="1003"/>
    <s v="Asarganj"/>
    <x v="100"/>
    <s v="KASBA(MANGOAN)"/>
    <s v="vlc"/>
    <s v="Indirect"/>
    <n v="134.80000000000001"/>
    <n v="4936.38"/>
    <n v="0"/>
    <n v="0"/>
    <n v="0"/>
    <n v="0"/>
    <n v="0"/>
    <n v="0"/>
    <n v="4936.38"/>
    <n v="0"/>
    <n v="0"/>
    <n v="0"/>
    <n v="0"/>
    <n v="0"/>
    <n v="0"/>
    <n v="0"/>
    <n v="0"/>
    <n v="4936.38"/>
    <n v="0"/>
    <n v="0"/>
    <n v="47.75251869436201"/>
    <n v="67.400000000000006"/>
    <n v="0"/>
    <n v="0"/>
    <m/>
    <s v="Asarganj"/>
    <m/>
    <n v="0"/>
  </r>
  <r>
    <s v="Munger"/>
    <s v="01-02 Apr"/>
    <n v="1003"/>
    <s v="Asarganj"/>
    <x v="101"/>
    <s v="LOHRA"/>
    <s v="MPG"/>
    <s v="Direct"/>
    <n v="139.20000000000002"/>
    <n v="6635.64"/>
    <n v="135.39999999999998"/>
    <n v="7207.4448904051997"/>
    <n v="3.86"/>
    <n v="185.18903830900001"/>
    <n v="139.26"/>
    <n v="7392.6339287142"/>
    <n v="6635.64"/>
    <n v="0"/>
    <n v="185.18903830900001"/>
    <n v="756.99392871419968"/>
    <n v="0"/>
    <n v="0"/>
    <n v="0"/>
    <n v="6450"/>
    <n v="0"/>
    <n v="0"/>
    <n v="0"/>
    <s v="Release1"/>
    <n v="57.966510344827569"/>
    <n v="69.600000000000009"/>
    <n v="-0.11408001770955019"/>
    <n v="8"/>
    <m/>
    <s v="Asarganj"/>
    <m/>
    <n v="0"/>
  </r>
  <r>
    <s v="Munger"/>
    <s v="01-02 Apr"/>
    <n v="1003"/>
    <s v="Asarganj"/>
    <x v="102"/>
    <s v="KAMATPUR"/>
    <s v="MPG"/>
    <s v="Direct"/>
    <n v="276"/>
    <n v="10132.67"/>
    <n v="272.38"/>
    <n v="9778.5396256878012"/>
    <n v="3.5300000000000002"/>
    <n v="133.94292159600002"/>
    <n v="275.90999999999997"/>
    <n v="9912.482547283802"/>
    <n v="9912.482547283802"/>
    <n v="0"/>
    <n v="133.94292159600002"/>
    <n v="0"/>
    <n v="0"/>
    <n v="0"/>
    <n v="0"/>
    <n v="9779"/>
    <n v="0"/>
    <n v="0"/>
    <n v="220"/>
    <n v="0"/>
    <n v="0"/>
    <n v="0"/>
    <n v="2.1730447425624053E-2"/>
    <n v="5"/>
    <m/>
    <s v="Asarganj"/>
    <m/>
    <n v="0"/>
  </r>
  <r>
    <s v="Munger"/>
    <s v="01-02 Apr"/>
    <n v="1003"/>
    <s v="Asarganj"/>
    <x v="103"/>
    <s v="GIRDHARA"/>
    <s v="MPG"/>
    <s v="Direct"/>
    <n v="207.3"/>
    <n v="8079.1900000000005"/>
    <n v="21.32"/>
    <n v="976.32854789549992"/>
    <n v="184.89"/>
    <n v="7367.8998862629605"/>
    <n v="206.20999999999998"/>
    <n v="8344.22843415846"/>
    <n v="8079.1900000000005"/>
    <n v="0"/>
    <n v="70.459588187999998"/>
    <n v="265.03843415845949"/>
    <n v="0"/>
    <n v="0"/>
    <n v="0"/>
    <n v="712"/>
    <n v="7297"/>
    <n v="0"/>
    <n v="0"/>
    <n v="0"/>
    <n v="0"/>
    <n v="0"/>
    <n v="-3.2805075033321342E-2"/>
    <n v="12"/>
    <m/>
    <s v="Asarganj"/>
    <m/>
    <n v="0"/>
  </r>
  <r>
    <s v="Munger"/>
    <s v="01-02 Apr"/>
    <n v="1003"/>
    <s v="Asarganj"/>
    <x v="104"/>
    <s v="RATNI"/>
    <s v="MPG"/>
    <s v="Direct"/>
    <n v="311.5"/>
    <n v="15201.31"/>
    <n v="316.51000000000005"/>
    <n v="15179.402456704916"/>
    <n v="6.33"/>
    <n v="325.07746099539008"/>
    <n v="322.84000000000003"/>
    <n v="15504.479917700306"/>
    <n v="15201.31"/>
    <n v="0"/>
    <n v="325.07746099539008"/>
    <n v="303.16991770030654"/>
    <n v="0"/>
    <n v="0"/>
    <n v="0"/>
    <n v="14876"/>
    <n v="0"/>
    <n v="0"/>
    <n v="0"/>
    <n v="0"/>
    <n v="0"/>
    <n v="0"/>
    <n v="-1.9943670492892161E-2"/>
    <n v="36"/>
    <m/>
    <s v="Asarganj"/>
    <m/>
    <n v="0"/>
  </r>
  <r>
    <s v="Munger"/>
    <s v="01-02 Apr"/>
    <n v="1003"/>
    <s v="Asarganj"/>
    <x v="105"/>
    <s v="DHAPARI"/>
    <s v="MPG"/>
    <s v="Direct"/>
    <n v="231.95"/>
    <n v="9708.2800000000007"/>
    <n v="225.41000000000003"/>
    <n v="9896.3471294938972"/>
    <n v="6.3599999999999994"/>
    <n v="258.712450128"/>
    <n v="231.77000000000004"/>
    <n v="10155.059579621897"/>
    <n v="9708.2800000000007"/>
    <n v="0"/>
    <n v="258.712450128"/>
    <n v="446.77957962189612"/>
    <n v="0"/>
    <n v="0"/>
    <n v="0"/>
    <n v="9449"/>
    <n v="0"/>
    <n v="0"/>
    <n v="1"/>
    <n v="0"/>
    <n v="0"/>
    <n v="0"/>
    <n v="-4.6020467026280258E-2"/>
    <n v="22"/>
    <m/>
    <s v="Asarganj"/>
    <m/>
    <n v="0"/>
  </r>
  <r>
    <s v="Munger"/>
    <s v="01-02 Apr"/>
    <n v="1003"/>
    <s v="Asarganj"/>
    <x v="106"/>
    <s v="KHARUI"/>
    <s v="MPG"/>
    <s v="Direct"/>
    <n v="252.9"/>
    <n v="11224.350000000002"/>
    <n v="244.5"/>
    <n v="11029.178313725921"/>
    <n v="7.23"/>
    <n v="421.60099799052006"/>
    <n v="251.73"/>
    <n v="11450.77931171644"/>
    <n v="11224.350000000002"/>
    <n v="0"/>
    <n v="421.60099799052006"/>
    <n v="226.42931171643795"/>
    <n v="0"/>
    <n v="0"/>
    <n v="0"/>
    <n v="10802"/>
    <n v="0"/>
    <n v="0"/>
    <n v="1"/>
    <n v="0"/>
    <n v="0"/>
    <n v="0"/>
    <n v="-2.0173044471745616E-2"/>
    <n v="11"/>
    <m/>
    <s v="Asarganj"/>
    <m/>
    <n v="0"/>
  </r>
  <r>
    <s v="Munger"/>
    <s v="01-02 Apr"/>
    <n v="1003"/>
    <s v="Asarganj"/>
    <x v="107"/>
    <s v="KHAIRA"/>
    <s v="MPG"/>
    <s v="Direct"/>
    <n v="279.5"/>
    <n v="11174.98"/>
    <n v="286.72000000000003"/>
    <n v="11892.89660541448"/>
    <n v="8.3999999999999986"/>
    <n v="342.48606480000001"/>
    <n v="295.12"/>
    <n v="12235.38267021448"/>
    <n v="11174.98"/>
    <n v="0"/>
    <n v="342.48606480000001"/>
    <n v="1060.4026702144802"/>
    <n v="0"/>
    <n v="0"/>
    <n v="0"/>
    <n v="10832"/>
    <n v="0"/>
    <n v="0"/>
    <n v="0"/>
    <n v="0"/>
    <n v="0"/>
    <n v="0"/>
    <n v="-9.4890789085482055E-2"/>
    <n v="15"/>
    <m/>
    <s v="Asarganj"/>
    <m/>
    <n v="0"/>
  </r>
  <r>
    <s v="Munger"/>
    <s v="01-02 Apr"/>
    <n v="1003"/>
    <s v="Asarganj"/>
    <x v="108"/>
    <s v="SISUA"/>
    <s v="MPG"/>
    <s v="Direct"/>
    <n v="576.79999999999995"/>
    <n v="23231.51"/>
    <n v="530.89"/>
    <n v="21768.958611386421"/>
    <n v="65.89"/>
    <n v="2408.1312971542202"/>
    <n v="596.78"/>
    <n v="24177.089908540642"/>
    <n v="23231.51"/>
    <n v="0"/>
    <n v="267.65045575422005"/>
    <n v="945.57990854064337"/>
    <n v="0"/>
    <n v="0"/>
    <n v="0"/>
    <n v="20824"/>
    <n v="2140"/>
    <n v="0"/>
    <n v="0"/>
    <n v="0"/>
    <n v="0"/>
    <n v="0"/>
    <n v="-4.0702473000706514E-2"/>
    <n v="27"/>
    <m/>
    <s v="Asarganj"/>
    <m/>
    <n v="0"/>
  </r>
  <r>
    <s v="Munger"/>
    <s v="01-02 Apr"/>
    <n v="1003"/>
    <s v="Asarganj"/>
    <x v="109"/>
    <s v="BISAI"/>
    <s v="MPG"/>
    <s v="Direct"/>
    <n v="66.349999999999994"/>
    <n v="2663.72"/>
    <n v="64.149999999999991"/>
    <n v="2680.0475049920906"/>
    <n v="3.0600000000000005"/>
    <n v="124.66423332000002"/>
    <n v="67.209999999999994"/>
    <n v="2804.7117383120908"/>
    <n v="2663.72"/>
    <n v="0"/>
    <n v="124.66423332000002"/>
    <n v="140.991738312091"/>
    <n v="0"/>
    <n v="0"/>
    <n v="0"/>
    <n v="2539"/>
    <n v="0"/>
    <n v="0"/>
    <n v="0"/>
    <n v="0"/>
    <n v="107.31158342125094"/>
    <n v="33.174999999999997"/>
    <n v="-5.2930389947926586E-2"/>
    <n v="7"/>
    <m/>
    <s v="Asarganj"/>
    <m/>
    <n v="0"/>
  </r>
  <r>
    <s v="Munger"/>
    <s v="01-02 Apr"/>
    <n v="1003"/>
    <s v="Asarganj"/>
    <x v="110"/>
    <s v="SAJUA-1"/>
    <s v="MPG"/>
    <s v="Direct"/>
    <n v="159.1"/>
    <n v="6115.99"/>
    <n v="157.35999999999999"/>
    <n v="6083.6177823421513"/>
    <n v="3.3"/>
    <n v="118.03999723560001"/>
    <n v="160.66"/>
    <n v="6201.6577795777512"/>
    <n v="6115.99"/>
    <n v="0"/>
    <n v="118.03999723560001"/>
    <n v="85.667779577751389"/>
    <n v="0"/>
    <n v="0"/>
    <n v="0"/>
    <n v="5998"/>
    <n v="0"/>
    <n v="0"/>
    <n v="0"/>
    <n v="0"/>
    <n v="31.444876304211189"/>
    <n v="79.55"/>
    <n v="-1.4007181106861095E-2"/>
    <n v="7"/>
    <m/>
    <s v="Asarganj"/>
    <m/>
    <n v="0"/>
  </r>
  <r>
    <s v="Munger"/>
    <s v="01-02 Apr"/>
    <n v="1003"/>
    <s v="Asarganj"/>
    <x v="111"/>
    <s v="SAJUA-2"/>
    <s v="MPG"/>
    <s v="Direct"/>
    <n v="153.44999999999999"/>
    <n v="5884.75"/>
    <n v="199.52"/>
    <n v="7942.468061268879"/>
    <n v="0"/>
    <n v="0"/>
    <n v="199.52"/>
    <n v="7942.468061268879"/>
    <n v="5884.75"/>
    <n v="0"/>
    <n v="0"/>
    <n v="2057.718061268879"/>
    <n v="0"/>
    <n v="0"/>
    <n v="0"/>
    <n v="5885"/>
    <n v="0"/>
    <n v="0"/>
    <n v="0"/>
    <s v="Release1"/>
    <n v="35.703501140436636"/>
    <n v="76.724999999999994"/>
    <n v="-0.34966958006183424"/>
    <n v="29"/>
    <m/>
    <s v="Asarganj"/>
    <m/>
    <n v="0"/>
  </r>
  <r>
    <s v="Munger"/>
    <s v="01-02 Apr"/>
    <n v="1003"/>
    <s v="Asarganj"/>
    <x v="112"/>
    <s v="CHORGAUN"/>
    <s v="MPG"/>
    <s v="Direct"/>
    <n v="289.75"/>
    <n v="10993.55"/>
    <n v="289.39999999999998"/>
    <n v="10556.173105023801"/>
    <n v="6.7"/>
    <n v="232.89478740000001"/>
    <n v="296.09999999999997"/>
    <n v="10789.067892423802"/>
    <n v="10789.067892423802"/>
    <n v="0"/>
    <n v="232.89478740000001"/>
    <n v="0"/>
    <n v="0"/>
    <n v="0"/>
    <n v="0"/>
    <n v="10552"/>
    <n v="0"/>
    <n v="0"/>
    <n v="209"/>
    <n v="0"/>
    <n v="0"/>
    <n v="0"/>
    <n v="1.860018898137521E-2"/>
    <n v="38"/>
    <m/>
    <s v="Asarganj"/>
    <m/>
    <n v="0"/>
  </r>
  <r>
    <s v="Munger"/>
    <s v="01-02 Apr"/>
    <n v="1003"/>
    <s v="Asarganj"/>
    <x v="113"/>
    <s v="PADARATHPUR"/>
    <s v="MPG"/>
    <s v="Direct"/>
    <n v="286.95"/>
    <n v="11308.27"/>
    <n v="280.2"/>
    <n v="11057.138263273702"/>
    <n v="5.8"/>
    <n v="244.80040068"/>
    <n v="286"/>
    <n v="11301.938663953702"/>
    <n v="11301.938663953702"/>
    <n v="0"/>
    <n v="244.80040068"/>
    <n v="0"/>
    <n v="0"/>
    <n v="0"/>
    <n v="0"/>
    <n v="11055"/>
    <n v="0"/>
    <n v="0"/>
    <n v="8"/>
    <n v="0"/>
    <n v="0"/>
    <n v="0"/>
    <n v="5.5988546844902174E-4"/>
    <n v="35"/>
    <m/>
    <s v="Asarganj"/>
    <m/>
    <n v="0"/>
  </r>
  <r>
    <s v="Munger"/>
    <s v="01-02 Apr"/>
    <n v="1003"/>
    <s v="Asarganj"/>
    <x v="114"/>
    <s v="BADARKHA"/>
    <s v="MPG"/>
    <s v="Direct"/>
    <n v="201.75"/>
    <n v="7531.76"/>
    <n v="197.92"/>
    <n v="7771.0300482531748"/>
    <n v="0"/>
    <n v="0"/>
    <n v="197.92"/>
    <n v="7771.0300482531748"/>
    <n v="7531.76"/>
    <n v="0"/>
    <n v="0"/>
    <n v="239.27004825317454"/>
    <n v="0"/>
    <n v="0"/>
    <n v="0"/>
    <n v="7532"/>
    <n v="0"/>
    <n v="0"/>
    <n v="0"/>
    <s v="Release1"/>
    <n v="0"/>
    <n v="0"/>
    <n v="-3.1768145593217854E-2"/>
    <n v="20"/>
    <m/>
    <s v="Asarganj"/>
    <m/>
    <n v="0"/>
  </r>
  <r>
    <s v="Munger"/>
    <s v="01-02 Apr"/>
    <n v="1003"/>
    <s v="Asarganj"/>
    <x v="115"/>
    <s v="MAHDMADPUR                                                                                          "/>
    <s v="MPG"/>
    <s v="Direct"/>
    <n v="441.8"/>
    <n v="16694.57"/>
    <n v="413.20000000000005"/>
    <n v="15516.491130144203"/>
    <n v="2"/>
    <n v="69.170112000000003"/>
    <n v="415.20000000000005"/>
    <n v="15585.661242144202"/>
    <n v="15585.661242144202"/>
    <n v="0"/>
    <n v="69.170112000000003"/>
    <n v="0"/>
    <n v="0"/>
    <n v="0"/>
    <n v="0"/>
    <n v="15514"/>
    <n v="0"/>
    <n v="0"/>
    <n v="1111"/>
    <n v="0"/>
    <n v="0"/>
    <n v="0"/>
    <n v="6.6423319549757637E-2"/>
    <n v="20"/>
    <m/>
    <s v="Asarganj"/>
    <m/>
    <n v="0"/>
  </r>
  <r>
    <s v="Munger"/>
    <s v="01-02 Apr"/>
    <n v="1003"/>
    <s v="Asarganj"/>
    <x v="116"/>
    <s v="MUSKIPUR                                                                                            "/>
    <s v="MPG"/>
    <s v="Direct"/>
    <n v="401.70000000000005"/>
    <n v="16254.86"/>
    <n v="398.78999999999991"/>
    <n v="16388.687565205433"/>
    <n v="0"/>
    <n v="0"/>
    <n v="398.78999999999991"/>
    <n v="16388.687565205433"/>
    <n v="16254.86"/>
    <n v="0"/>
    <n v="0"/>
    <n v="133.82756520543262"/>
    <n v="0"/>
    <n v="0"/>
    <n v="0"/>
    <n v="16255"/>
    <n v="0"/>
    <n v="0"/>
    <n v="0"/>
    <n v="0"/>
    <n v="0"/>
    <n v="0"/>
    <n v="-8.2330801499017909E-3"/>
    <n v="36"/>
    <m/>
    <s v="Asarganj"/>
    <m/>
    <n v="0"/>
  </r>
  <r>
    <s v="Munger"/>
    <s v="01-02 Apr"/>
    <n v="1003"/>
    <s v="Asarganj"/>
    <x v="117"/>
    <s v="NAYAGAUN                                                                                            "/>
    <s v="MPG"/>
    <s v="Direct"/>
    <n v="78.599999999999994"/>
    <n v="3316.85"/>
    <n v="78.490000000000009"/>
    <n v="3204.3053324700004"/>
    <n v="0.57000000000000006"/>
    <n v="23.202916407000004"/>
    <n v="79.06"/>
    <n v="3227.5082488770004"/>
    <n v="3227.5082488770004"/>
    <n v="0"/>
    <n v="23.202916407000004"/>
    <n v="0"/>
    <n v="0"/>
    <n v="0"/>
    <n v="0"/>
    <n v="3205"/>
    <n v="0"/>
    <n v="0"/>
    <n v="89"/>
    <n v="0"/>
    <n v="102.45943765903309"/>
    <n v="39.299999999999997"/>
    <n v="2.6935722484586141E-2"/>
    <n v="3"/>
    <m/>
    <s v="Asarganj"/>
    <m/>
    <n v="0"/>
  </r>
  <r>
    <s v="Munger"/>
    <s v="01-02 Apr"/>
    <n v="1003"/>
    <s v="Asarganj"/>
    <x v="118"/>
    <s v="LAUNA                                                                                               "/>
    <s v="MPG"/>
    <s v="Direct"/>
    <n v="316.60000000000002"/>
    <n v="11487.37"/>
    <n v="317.32000000000005"/>
    <n v="12028.847324740404"/>
    <n v="3.95"/>
    <n v="169.98079348800002"/>
    <n v="321.27000000000004"/>
    <n v="12198.828118228404"/>
    <n v="11487.37"/>
    <n v="0"/>
    <n v="169.98079348800002"/>
    <n v="711.45811822840369"/>
    <n v="0"/>
    <n v="0"/>
    <n v="0"/>
    <n v="11317"/>
    <n v="0"/>
    <n v="0"/>
    <n v="0"/>
    <n v="0"/>
    <n v="0"/>
    <n v="0"/>
    <n v="-6.1933942950249156E-2"/>
    <n v="11"/>
    <m/>
    <s v="Asarganj"/>
    <m/>
    <n v="0"/>
  </r>
  <r>
    <s v="Munger"/>
    <s v="01-02 Apr"/>
    <n v="1003"/>
    <s v="Asarganj"/>
    <x v="119"/>
    <s v="DULHAR"/>
    <s v="MPG"/>
    <s v="Direct"/>
    <n v="59.399999999999991"/>
    <n v="2453.9499999999998"/>
    <n v="88.570000000000007"/>
    <n v="3652.3204927098095"/>
    <n v="0"/>
    <n v="0"/>
    <n v="88.570000000000007"/>
    <n v="3652.3204927098095"/>
    <n v="2453.9499999999998"/>
    <n v="0"/>
    <n v="0"/>
    <n v="1198.3704927098097"/>
    <n v="0"/>
    <n v="0"/>
    <n v="0"/>
    <n v="2454"/>
    <n v="0"/>
    <n v="0"/>
    <n v="0"/>
    <s v="Release1"/>
    <n v="116.17015824915826"/>
    <n v="29.699999999999996"/>
    <n v="-0.48834348406031491"/>
    <n v="9"/>
    <m/>
    <s v="Asarganj"/>
    <m/>
    <n v="0"/>
  </r>
  <r>
    <s v="Munger"/>
    <s v="01-02 Apr"/>
    <n v="1003"/>
    <s v="Asarganj"/>
    <x v="120"/>
    <s v="Ghorpithiya - Vikas"/>
    <s v="vlc"/>
    <s v="Indirect"/>
    <n v="100.95"/>
    <n v="4287.34"/>
    <n v="0"/>
    <n v="0"/>
    <n v="0"/>
    <n v="0"/>
    <n v="0"/>
    <n v="0"/>
    <n v="4287.34"/>
    <n v="0"/>
    <n v="0"/>
    <n v="0"/>
    <n v="0"/>
    <n v="0"/>
    <n v="0"/>
    <n v="0"/>
    <n v="0"/>
    <n v="4287.34"/>
    <n v="0"/>
    <n v="0"/>
    <n v="84.132942446755806"/>
    <n v="50.475000000000001"/>
    <n v="0"/>
    <n v="0"/>
    <m/>
    <s v="Asarganj"/>
    <m/>
    <n v="0"/>
  </r>
  <r>
    <s v="Munger"/>
    <s v="01-02 Apr"/>
    <n v="1003"/>
    <s v="Asarganj"/>
    <x v="121"/>
    <s v="Akbarnagar - Rakhi"/>
    <s v="vlc"/>
    <s v="Indirect"/>
    <n v="321.55"/>
    <n v="11824.029999999999"/>
    <n v="0"/>
    <n v="0"/>
    <n v="0"/>
    <n v="0"/>
    <n v="0"/>
    <n v="0"/>
    <n v="11824.029999999999"/>
    <n v="0"/>
    <n v="0"/>
    <n v="0"/>
    <n v="0"/>
    <n v="0"/>
    <n v="0"/>
    <n v="0"/>
    <n v="0"/>
    <n v="11824.029999999999"/>
    <n v="0"/>
    <n v="0"/>
    <n v="0"/>
    <n v="0"/>
    <n v="0"/>
    <n v="0"/>
    <m/>
    <s v="Asarganj"/>
    <m/>
    <n v="0"/>
  </r>
  <r>
    <s v="Munger"/>
    <s v="01-02 Apr"/>
    <n v="1003"/>
    <s v="Asarganj"/>
    <x v="122"/>
    <s v="SRIRAMPUR"/>
    <s v="MPG"/>
    <s v="Direct"/>
    <n v="252.8"/>
    <n v="8839.8299999999981"/>
    <n v="253"/>
    <n v="8894.1647916000002"/>
    <n v="0"/>
    <n v="0"/>
    <n v="253"/>
    <n v="8894.1647916000002"/>
    <n v="8839.8299999999981"/>
    <n v="0"/>
    <n v="0"/>
    <n v="54.334791600002063"/>
    <n v="0"/>
    <n v="0"/>
    <n v="0"/>
    <n v="8840"/>
    <n v="0"/>
    <n v="0"/>
    <n v="0"/>
    <s v="Release1"/>
    <n v="0"/>
    <n v="0"/>
    <n v="-6.1465878416216233E-3"/>
    <n v="2"/>
    <m/>
    <s v="Asarganj"/>
    <m/>
    <n v="0"/>
  </r>
  <r>
    <s v="Munger"/>
    <s v="01-02 Apr"/>
    <n v="1003"/>
    <s v="Asarganj"/>
    <x v="123"/>
    <s v="PAIN"/>
    <s v="MPG"/>
    <s v="Direct"/>
    <n v="369.4"/>
    <n v="12810.89"/>
    <n v="367.15"/>
    <n v="13339.258102882803"/>
    <n v="1.1599999999999999"/>
    <n v="43.71968502"/>
    <n v="368.31"/>
    <n v="13382.977787902802"/>
    <n v="12810.89"/>
    <n v="0"/>
    <n v="43.71968502"/>
    <n v="572.08778790280303"/>
    <n v="0"/>
    <n v="0"/>
    <n v="0"/>
    <n v="12767"/>
    <n v="0"/>
    <n v="0"/>
    <n v="0"/>
    <n v="0"/>
    <n v="0"/>
    <n v="0"/>
    <n v="-4.4656365631334204E-2"/>
    <n v="14"/>
    <m/>
    <s v="Asarganj"/>
    <m/>
    <n v="0"/>
  </r>
  <r>
    <s v="Munger"/>
    <s v="01-02 Apr"/>
    <n v="1003"/>
    <s v="Asarganj"/>
    <x v="124"/>
    <s v="MOTICHAK"/>
    <s v="MPG"/>
    <s v="Direct"/>
    <n v="689.44999999999993"/>
    <n v="24963.64"/>
    <n v="723.52"/>
    <n v="26534.640167244004"/>
    <n v="15.920000000000002"/>
    <n v="548.08333327440005"/>
    <n v="739.43999999999994"/>
    <n v="27082.723500518405"/>
    <n v="24963.64"/>
    <n v="0"/>
    <n v="548.08333327440005"/>
    <n v="2119.0835005184053"/>
    <n v="0"/>
    <n v="0"/>
    <n v="0"/>
    <n v="24416"/>
    <n v="0"/>
    <n v="0"/>
    <n v="0"/>
    <n v="0"/>
    <n v="0"/>
    <n v="0"/>
    <n v="-8.4886799381757042E-2"/>
    <n v="7"/>
    <m/>
    <s v="Asarganj"/>
    <m/>
    <n v="0"/>
  </r>
  <r>
    <s v="Munger"/>
    <s v="01-02 Apr"/>
    <n v="1003"/>
    <s v="Asarganj"/>
    <x v="125"/>
    <s v="MIRATTHI"/>
    <s v="MPG"/>
    <s v="Direct"/>
    <n v="127.65"/>
    <n v="5135.6000000000004"/>
    <n v="126.3"/>
    <n v="5050.581205986"/>
    <n v="0.35"/>
    <n v="14.368592699999999"/>
    <n v="126.64999999999999"/>
    <n v="5064.9497986859997"/>
    <n v="5064.9497986859997"/>
    <n v="0"/>
    <n v="14.368592699999999"/>
    <n v="0"/>
    <n v="0"/>
    <n v="0"/>
    <n v="0"/>
    <n v="5049"/>
    <n v="0"/>
    <n v="0"/>
    <n v="72"/>
    <n v="0"/>
    <n v="58.215536231884052"/>
    <n v="63.825000000000003"/>
    <n v="1.3756951731832832E-2"/>
    <n v="7"/>
    <m/>
    <s v="Asarganj"/>
    <m/>
    <n v="0"/>
  </r>
  <r>
    <s v="Munger"/>
    <s v="01-02 Apr"/>
    <n v="1003"/>
    <s v="Asarganj"/>
    <x v="126"/>
    <s v="DAULATPUR"/>
    <s v="MPG"/>
    <s v="Direct"/>
    <n v="121.6"/>
    <n v="4787.6400000000003"/>
    <n v="120.38999999999999"/>
    <n v="5026.4468444520007"/>
    <n v="0.93"/>
    <n v="38.446037784000005"/>
    <n v="121.32"/>
    <n v="5064.8928822360003"/>
    <n v="4787.6400000000003"/>
    <n v="0"/>
    <n v="38.446037784000005"/>
    <n v="277.252882236"/>
    <n v="0"/>
    <n v="0"/>
    <n v="0"/>
    <n v="4749"/>
    <n v="0"/>
    <n v="0"/>
    <n v="0"/>
    <n v="0"/>
    <n v="61.735357894736865"/>
    <n v="60.8"/>
    <n v="-5.7910135732009919E-2"/>
    <n v="5"/>
    <m/>
    <s v="Asarganj"/>
    <m/>
    <n v="0"/>
  </r>
  <r>
    <s v="Munger"/>
    <s v="01-02 Apr"/>
    <n v="1003"/>
    <s v="Asarganj"/>
    <x v="127"/>
    <s v="MOHADDIPUR"/>
    <s v="MPG"/>
    <s v="Direct"/>
    <n v="153.69999999999999"/>
    <n v="6227.2"/>
    <n v="290"/>
    <n v="13318.515081760001"/>
    <n v="0"/>
    <n v="0"/>
    <n v="290"/>
    <n v="13318.515081760001"/>
    <n v="6227.2"/>
    <n v="0"/>
    <n v="0"/>
    <n v="7091.3150817600008"/>
    <n v="0"/>
    <n v="0"/>
    <n v="0"/>
    <n v="6227"/>
    <n v="0"/>
    <n v="0"/>
    <n v="0"/>
    <s v="Release1"/>
    <n v="37.517158100195196"/>
    <n v="76.849999999999994"/>
    <n v="-1.1387646264388491"/>
    <n v="2"/>
    <m/>
    <s v="Asarganj"/>
    <m/>
    <n v="0"/>
  </r>
  <r>
    <s v="Munger"/>
    <s v="01-02 Apr"/>
    <n v="1003"/>
    <s v="Asarganj"/>
    <x v="128"/>
    <s v="JHAJHA"/>
    <s v="MPG"/>
    <s v="Direct"/>
    <n v="176.75"/>
    <n v="7371"/>
    <n v="173.45999999999998"/>
    <n v="7436.1451013585838"/>
    <n v="3.17"/>
    <n v="118.840391208"/>
    <n v="176.62999999999997"/>
    <n v="7554.9854925665841"/>
    <n v="7371"/>
    <n v="0"/>
    <n v="118.840391208"/>
    <n v="183.98549256658407"/>
    <n v="0"/>
    <n v="0"/>
    <n v="0"/>
    <n v="7252"/>
    <n v="0"/>
    <n v="0"/>
    <n v="0"/>
    <n v="0"/>
    <n v="19.391881188118813"/>
    <n v="88.375"/>
    <n v="-2.4960723452256691E-2"/>
    <n v="9"/>
    <m/>
    <s v="Asarganj"/>
    <m/>
    <n v="0"/>
  </r>
  <r>
    <s v="Munger"/>
    <s v="01-02 Apr"/>
    <n v="1003"/>
    <s v="Asarganj"/>
    <x v="129"/>
    <s v="KAMARDUH"/>
    <s v="MPG"/>
    <s v="Direct"/>
    <n v="246.79999999999998"/>
    <n v="10189.93"/>
    <n v="246.7"/>
    <n v="10185.117936840001"/>
    <n v="2"/>
    <n v="82.634230800000012"/>
    <n v="248.7"/>
    <n v="10267.752167640001"/>
    <n v="10189.93"/>
    <n v="0"/>
    <n v="82.634230800000012"/>
    <n v="77.822167640000771"/>
    <n v="0"/>
    <n v="0"/>
    <n v="0"/>
    <n v="10107"/>
    <n v="0"/>
    <n v="0"/>
    <n v="0"/>
    <n v="0"/>
    <n v="0"/>
    <n v="0"/>
    <n v="-7.6371641061323062E-3"/>
    <n v="2"/>
    <m/>
    <s v="Asarganj"/>
    <m/>
    <n v="0"/>
  </r>
  <r>
    <s v="Munger"/>
    <s v="01-02 Apr"/>
    <n v="1003"/>
    <s v="Asarganj"/>
    <x v="130"/>
    <s v="BARSABAD"/>
    <s v="MPG"/>
    <s v="Direct"/>
    <n v="203.55"/>
    <n v="6657.41"/>
    <n v="198.65999999999997"/>
    <n v="7406.9309012688009"/>
    <n v="3.17"/>
    <n v="123.402341304"/>
    <n v="201.82999999999996"/>
    <n v="7530.3332425728013"/>
    <n v="6657.41"/>
    <n v="0"/>
    <n v="123.402341304"/>
    <n v="872.92324257280143"/>
    <n v="0"/>
    <n v="0"/>
    <n v="0"/>
    <n v="6534"/>
    <n v="0"/>
    <n v="0"/>
    <n v="0"/>
    <n v="0"/>
    <n v="0"/>
    <n v="0"/>
    <n v="-0.13112054726579878"/>
    <n v="8"/>
    <m/>
    <s v="Asarganj"/>
    <m/>
    <n v="0"/>
  </r>
  <r>
    <s v="Munger"/>
    <s v="01-02 Apr"/>
    <n v="1003"/>
    <s v="Asarganj"/>
    <x v="131"/>
    <s v="GONAI"/>
    <s v="MPG"/>
    <s v="Direct"/>
    <n v="261.40000000000003"/>
    <n v="10090.970000000001"/>
    <n v="261.59999999999997"/>
    <n v="9786.2574408082837"/>
    <n v="0.66"/>
    <n v="26.281918872000002"/>
    <n v="262.26"/>
    <n v="9812.5393596802842"/>
    <n v="9812.5393596802842"/>
    <n v="0"/>
    <n v="26.281918872000002"/>
    <n v="0"/>
    <n v="0"/>
    <n v="0"/>
    <n v="0"/>
    <n v="9787"/>
    <n v="0"/>
    <n v="0"/>
    <n v="278"/>
    <n v="0"/>
    <n v="0"/>
    <n v="0"/>
    <n v="2.7592059070606387E-2"/>
    <n v="7"/>
    <m/>
    <s v="Asarganj"/>
    <m/>
    <n v="0"/>
  </r>
  <r>
    <s v="Munger"/>
    <s v="01-02 Apr"/>
    <n v="1003"/>
    <s v="Asarganj"/>
    <x v="132"/>
    <s v="SHIKARITOLA"/>
    <s v="MPG"/>
    <s v="Direct"/>
    <n v="296.95"/>
    <n v="12030.289999999999"/>
    <n v="295.15000000000003"/>
    <n v="13023.022049245803"/>
    <n v="0"/>
    <n v="0"/>
    <n v="295.15000000000003"/>
    <n v="13023.022049245803"/>
    <n v="12030.289999999999"/>
    <n v="0"/>
    <n v="0"/>
    <n v="992.73204924580386"/>
    <n v="0"/>
    <n v="0"/>
    <n v="0"/>
    <n v="12030"/>
    <n v="0"/>
    <n v="0"/>
    <n v="0"/>
    <n v="0"/>
    <n v="0"/>
    <n v="0"/>
    <n v="-8.2519378106912136E-2"/>
    <n v="2"/>
    <m/>
    <s v="Asarganj"/>
    <m/>
    <n v="0"/>
  </r>
  <r>
    <s v="Munger"/>
    <s v="01-02 Apr"/>
    <n v="1003"/>
    <s v="Asarganj"/>
    <x v="133"/>
    <s v="BAIKUNTHPUR"/>
    <s v="MPG"/>
    <s v="Direct"/>
    <n v="25.1"/>
    <n v="889.3900000000001"/>
    <n v="32.950000000000003"/>
    <n v="1074.9467513664001"/>
    <n v="0.52"/>
    <n v="17.308101610800001"/>
    <n v="33.470000000000006"/>
    <n v="1092.2548529772"/>
    <n v="889.3900000000001"/>
    <n v="0"/>
    <n v="17.308101610800001"/>
    <n v="202.86485297719992"/>
    <n v="0"/>
    <n v="0"/>
    <n v="0"/>
    <n v="872"/>
    <n v="0"/>
    <n v="0"/>
    <n v="0"/>
    <n v="0"/>
    <n v="123.94765816733069"/>
    <n v="12.55"/>
    <n v="-0.22809437139747454"/>
    <n v="4"/>
    <m/>
    <s v="Asarganj"/>
    <m/>
    <n v="0"/>
  </r>
  <r>
    <s v="Munger"/>
    <s v="01-02 Apr"/>
    <n v="1003"/>
    <s v="Asarganj"/>
    <x v="134"/>
    <s v="KAITHA"/>
    <s v="MPG"/>
    <s v="Direct"/>
    <n v="561.65000000000009"/>
    <n v="21616.16"/>
    <n v="360.53"/>
    <n v="15182.630716593958"/>
    <n v="202.75000000000003"/>
    <n v="8010.7654799502006"/>
    <n v="563.28"/>
    <n v="23193.396196544159"/>
    <n v="21616.16"/>
    <n v="0"/>
    <n v="179.17987024080003"/>
    <n v="1577.2361965441596"/>
    <n v="0"/>
    <n v="0"/>
    <n v="0"/>
    <n v="13605"/>
    <n v="7832"/>
    <n v="0"/>
    <n v="0"/>
    <n v="0"/>
    <n v="0"/>
    <n v="0"/>
    <n v="-7.2965605202041414E-2"/>
    <n v="15"/>
    <m/>
    <s v="Asarganj"/>
    <m/>
    <n v="0"/>
  </r>
  <r>
    <s v="Munger"/>
    <s v="01-02 Apr"/>
    <n v="1003"/>
    <s v="Asarganj"/>
    <x v="135"/>
    <s v="DORAI"/>
    <s v="MPG"/>
    <s v="Direct"/>
    <n v="273.14999999999998"/>
    <n v="10301.86"/>
    <n v="258.29999999999995"/>
    <n v="10134.849294504002"/>
    <n v="4.68"/>
    <n v="172.69700338440001"/>
    <n v="262.97999999999996"/>
    <n v="10307.546297888402"/>
    <n v="10301.86"/>
    <n v="0"/>
    <n v="172.69700338440001"/>
    <n v="5.6862978884018958"/>
    <n v="0"/>
    <n v="0"/>
    <n v="0"/>
    <n v="10129"/>
    <n v="0"/>
    <n v="0"/>
    <n v="0"/>
    <n v="0"/>
    <n v="0"/>
    <n v="0"/>
    <n v="-5.5196808036625381E-4"/>
    <n v="3"/>
    <m/>
    <s v="Asarganj"/>
    <m/>
    <n v="0"/>
  </r>
  <r>
    <s v="Munger"/>
    <s v="01-02 Apr"/>
    <n v="1003"/>
    <s v="Asarganj"/>
    <x v="136"/>
    <s v="RAGHUNATHPUR"/>
    <s v="vlc"/>
    <s v="Indirect"/>
    <n v="211.7"/>
    <n v="7671.24"/>
    <n v="0"/>
    <n v="0"/>
    <n v="0"/>
    <n v="0"/>
    <n v="0"/>
    <n v="0"/>
    <n v="7671.24"/>
    <n v="0"/>
    <n v="0"/>
    <n v="0"/>
    <n v="0"/>
    <n v="0"/>
    <n v="0"/>
    <n v="0"/>
    <n v="0"/>
    <n v="7671.24"/>
    <n v="0"/>
    <n v="0"/>
    <n v="0"/>
    <n v="0"/>
    <n v="0"/>
    <n v="0"/>
    <m/>
    <s v="Asarganj"/>
    <m/>
    <n v="0"/>
  </r>
  <r>
    <s v="Munger"/>
    <s v="01-02 Apr"/>
    <n v="1003"/>
    <s v="Asarganj"/>
    <x v="137"/>
    <s v="BANGAMA"/>
    <s v="MPG"/>
    <s v="Direct"/>
    <n v="222.29999999999998"/>
    <n v="8929.75"/>
    <n v="221"/>
    <n v="9072.977583150001"/>
    <n v="4"/>
    <n v="156.29248799999999"/>
    <n v="225"/>
    <n v="9229.2700711500001"/>
    <n v="8929.75"/>
    <n v="0"/>
    <n v="156.29248799999999"/>
    <n v="299.52007115000015"/>
    <n v="0"/>
    <n v="0"/>
    <n v="0"/>
    <n v="8773"/>
    <n v="0"/>
    <n v="0"/>
    <n v="0"/>
    <n v="0"/>
    <n v="0"/>
    <n v="0"/>
    <n v="-3.3541820448500813E-2"/>
    <n v="5"/>
    <m/>
    <s v="Asarganj"/>
    <m/>
    <n v="0"/>
  </r>
  <r>
    <s v="Munger"/>
    <s v="01-02 Apr"/>
    <n v="1003"/>
    <s v="Asarganj"/>
    <x v="138"/>
    <s v="KORIYA"/>
    <s v="MPG"/>
    <s v="Direct"/>
    <n v="31.949999999999996"/>
    <n v="1362.1799999999998"/>
    <n v="32.699999999999996"/>
    <n v="1498.6849461969803"/>
    <n v="0"/>
    <n v="0"/>
    <n v="32.699999999999996"/>
    <n v="1498.6849461969803"/>
    <n v="1362.1799999999998"/>
    <n v="0"/>
    <n v="0"/>
    <n v="136.50494619698043"/>
    <n v="0"/>
    <n v="0"/>
    <n v="0"/>
    <n v="1362"/>
    <n v="0"/>
    <n v="0"/>
    <n v="0"/>
    <n v="0"/>
    <n v="143.29536713615025"/>
    <n v="15.974999999999998"/>
    <n v="-0.1002106521876554"/>
    <n v="7"/>
    <m/>
    <s v="Asarganj"/>
    <m/>
    <n v="0"/>
  </r>
  <r>
    <s v="Munger"/>
    <s v="01-02 Apr"/>
    <n v="1003"/>
    <s v="Asarganj"/>
    <x v="139"/>
    <s v="HARLACHAK"/>
    <s v="MPG"/>
    <s v="Direct"/>
    <n v="244.65000000000003"/>
    <n v="9510.57"/>
    <n v="240.57999999999998"/>
    <n v="9497.8953060288786"/>
    <n v="2.4700000000000002"/>
    <n v="98.506451339999998"/>
    <n v="243.04999999999998"/>
    <n v="9596.401757368878"/>
    <n v="9510.57"/>
    <n v="0"/>
    <n v="98.506451339999998"/>
    <n v="85.831757368878243"/>
    <n v="0"/>
    <n v="0"/>
    <n v="0"/>
    <n v="9412"/>
    <n v="0"/>
    <n v="0"/>
    <n v="0"/>
    <n v="0"/>
    <n v="0"/>
    <n v="0"/>
    <n v="-9.0248804613054998E-3"/>
    <n v="24"/>
    <m/>
    <s v="Asarganj"/>
    <m/>
    <n v="0"/>
  </r>
  <r>
    <s v="Munger"/>
    <s v="01-02 Apr"/>
    <n v="1003"/>
    <s v="Asarganj"/>
    <x v="140"/>
    <s v="Jangle Jhakra"/>
    <s v="MPG"/>
    <s v="Direct"/>
    <n v="495.25000000000006"/>
    <n v="19416.3"/>
    <n v="518.99"/>
    <n v="20022.967463043602"/>
    <n v="0"/>
    <n v="0"/>
    <n v="518.99"/>
    <n v="20022.967463043602"/>
    <n v="19416.3"/>
    <n v="0"/>
    <n v="0"/>
    <n v="606.66746304360277"/>
    <n v="0"/>
    <n v="0"/>
    <n v="0"/>
    <n v="19416"/>
    <n v="0"/>
    <n v="0"/>
    <n v="0"/>
    <n v="0"/>
    <n v="0"/>
    <n v="0"/>
    <n v="-3.1245266247616837E-2"/>
    <n v="3"/>
    <m/>
    <s v="Asarganj"/>
    <m/>
    <n v="0"/>
  </r>
  <r>
    <s v="Munger"/>
    <s v="01-02 Apr"/>
    <n v="1003"/>
    <s v="Asarganj"/>
    <x v="141"/>
    <s v="KATAHRA"/>
    <s v="MPG"/>
    <s v="Direct"/>
    <n v="98.350000000000009"/>
    <n v="3705.92"/>
    <n v="99.22999999999999"/>
    <n v="4125.6172998439324"/>
    <n v="0"/>
    <n v="0"/>
    <n v="99.22999999999999"/>
    <n v="4125.6172998439324"/>
    <n v="3705.92"/>
    <n v="0"/>
    <n v="0"/>
    <n v="419.69729984393234"/>
    <n v="0"/>
    <n v="0"/>
    <n v="0"/>
    <n v="3706"/>
    <n v="0"/>
    <n v="0"/>
    <n v="0"/>
    <n v="0"/>
    <n v="76.605341738688352"/>
    <n v="49.175000000000004"/>
    <n v="-0.11325050185755017"/>
    <n v="3"/>
    <m/>
    <s v="Asarganj"/>
    <m/>
    <n v="0"/>
  </r>
  <r>
    <s v="Munger"/>
    <s v="01-02 Apr"/>
    <n v="1003"/>
    <s v="Asarganj"/>
    <x v="142"/>
    <s v="KARHARIA V"/>
    <s v="vlc"/>
    <s v="Indirect"/>
    <n v="71.7"/>
    <n v="2419.6400000000003"/>
    <n v="0"/>
    <n v="0"/>
    <n v="0"/>
    <n v="0"/>
    <n v="0"/>
    <n v="0"/>
    <n v="2419.6400000000003"/>
    <n v="0"/>
    <n v="0"/>
    <n v="0"/>
    <n v="0"/>
    <n v="0"/>
    <n v="0"/>
    <n v="0"/>
    <n v="0"/>
    <n v="2419.6400000000003"/>
    <n v="0"/>
    <n v="0"/>
    <n v="86.594089818689014"/>
    <n v="35.85"/>
    <n v="0"/>
    <n v="0"/>
    <m/>
    <s v="Asarganj"/>
    <m/>
    <n v="0"/>
  </r>
  <r>
    <s v="Munger"/>
    <s v="01-02 Apr"/>
    <n v="1003"/>
    <s v="Asarganj"/>
    <x v="143"/>
    <s v="BALADEV ITAHARI"/>
    <s v="MPG"/>
    <s v="Direct"/>
    <n v="81.899999999999991"/>
    <n v="2894.99"/>
    <n v="86.350000000000009"/>
    <n v="3233.8533089022999"/>
    <n v="0"/>
    <n v="0"/>
    <n v="86.350000000000009"/>
    <n v="3233.8533089022999"/>
    <n v="2894.99"/>
    <n v="0"/>
    <n v="0"/>
    <n v="338.8633089023001"/>
    <n v="0"/>
    <n v="0"/>
    <n v="0"/>
    <n v="2895"/>
    <n v="0"/>
    <n v="0"/>
    <n v="0"/>
    <n v="0"/>
    <n v="83.491652991453009"/>
    <n v="40.949999999999996"/>
    <n v="-0.11705163365065169"/>
    <n v="3"/>
    <m/>
    <s v="Asarganj"/>
    <m/>
    <n v="0"/>
  </r>
  <r>
    <s v="Munger"/>
    <s v="01-02 Apr"/>
    <n v="1003"/>
    <s v="Asarganj"/>
    <x v="144"/>
    <s v="GOMUKH KODAND"/>
    <s v="vlc"/>
    <s v="Indirect"/>
    <n v="185.3"/>
    <n v="6646.95"/>
    <n v="0"/>
    <n v="0"/>
    <n v="0"/>
    <n v="0"/>
    <n v="0"/>
    <n v="0"/>
    <n v="6646.95"/>
    <n v="0"/>
    <n v="0"/>
    <n v="0"/>
    <n v="0"/>
    <n v="0"/>
    <n v="0"/>
    <n v="0"/>
    <n v="0"/>
    <n v="6646.95"/>
    <n v="0"/>
    <n v="0"/>
    <n v="10.546159201295188"/>
    <n v="92.65"/>
    <n v="0"/>
    <n v="0"/>
    <m/>
    <s v="Asarganj"/>
    <m/>
    <n v="0"/>
  </r>
  <r>
    <s v="Munger"/>
    <s v="01-02 Apr"/>
    <n v="1003"/>
    <s v="Asarganj"/>
    <x v="145"/>
    <s v="PAHALANPUR"/>
    <s v="MPG"/>
    <s v="Direct"/>
    <n v="247.95"/>
    <n v="9589.43"/>
    <n v="251.26999999999995"/>
    <n v="9461.4454508734198"/>
    <n v="0"/>
    <n v="0"/>
    <n v="251.26999999999995"/>
    <n v="9461.4454508734198"/>
    <n v="9461.4454508734198"/>
    <n v="0"/>
    <n v="0"/>
    <n v="0"/>
    <n v="0"/>
    <n v="0"/>
    <n v="0"/>
    <n v="9463"/>
    <n v="0"/>
    <n v="0"/>
    <n v="126"/>
    <n v="0"/>
    <n v="0"/>
    <n v="0"/>
    <n v="1.3346418830585398E-2"/>
    <n v="25"/>
    <m/>
    <s v="Asarganj"/>
    <m/>
    <n v="0"/>
  </r>
  <r>
    <s v="Munger"/>
    <s v="01-02 Apr"/>
    <n v="1003"/>
    <s v="Asarganj"/>
    <x v="146"/>
    <s v="TETARIYA"/>
    <s v="vlc"/>
    <s v="Indirect"/>
    <n v="73.050000000000011"/>
    <n v="3061.93"/>
    <n v="0"/>
    <n v="0"/>
    <n v="0"/>
    <n v="0"/>
    <n v="0"/>
    <n v="0"/>
    <n v="3061.93"/>
    <n v="0"/>
    <n v="0"/>
    <n v="0"/>
    <n v="0"/>
    <n v="0"/>
    <n v="0"/>
    <n v="0"/>
    <n v="0"/>
    <n v="3061.93"/>
    <n v="0"/>
    <n v="0"/>
    <n v="106.42354921286785"/>
    <n v="36.525000000000006"/>
    <n v="0"/>
    <n v="0"/>
    <m/>
    <s v="Asarganj"/>
    <m/>
    <n v="0"/>
  </r>
  <r>
    <s v="Munger"/>
    <s v="01-02 Apr"/>
    <n v="1003"/>
    <s v="Asarganj"/>
    <x v="147"/>
    <s v="RAMBRAN YADAV"/>
    <s v="MPG"/>
    <s v="Direct"/>
    <n v="58.099999999999994"/>
    <n v="2232.77"/>
    <n v="68.490000000000009"/>
    <n v="2523.6800707140001"/>
    <n v="0"/>
    <n v="0"/>
    <n v="68.490000000000009"/>
    <n v="2523.6800707140001"/>
    <n v="2232.77"/>
    <n v="0"/>
    <n v="0"/>
    <n v="290.91007071400008"/>
    <n v="0"/>
    <n v="0"/>
    <n v="0"/>
    <n v="2233"/>
    <n v="0"/>
    <n v="0"/>
    <n v="0"/>
    <n v="0"/>
    <n v="109.06370499139418"/>
    <n v="29.049999999999997"/>
    <n v="-0.13029110509098568"/>
    <n v="1"/>
    <m/>
    <s v="Asarganj"/>
    <m/>
    <n v="0"/>
  </r>
  <r>
    <s v="Munger"/>
    <s v="01-02 Apr"/>
    <n v="1003"/>
    <s v="Asarganj"/>
    <x v="148"/>
    <s v="Gomukh Beldra"/>
    <s v="MPG"/>
    <s v="Indirect"/>
    <n v="31"/>
    <n v="1018.97"/>
    <n v="0"/>
    <n v="0"/>
    <n v="0"/>
    <n v="0"/>
    <n v="0"/>
    <n v="0"/>
    <n v="1018.97"/>
    <n v="0"/>
    <n v="0"/>
    <n v="0"/>
    <n v="0"/>
    <n v="0"/>
    <n v="0"/>
    <n v="0"/>
    <n v="0"/>
    <n v="1018.97"/>
    <n v="0"/>
    <n v="0"/>
    <n v="111.1006"/>
    <n v="15.5"/>
    <n v="0"/>
    <n v="0"/>
    <m/>
    <s v="Asarganj"/>
    <m/>
    <n v="0"/>
  </r>
  <r>
    <s v="Munger"/>
    <s v="01-02 Apr"/>
    <n v="1003"/>
    <s v="Asarganj"/>
    <x v="149"/>
    <s v="Gomukh Chandanpura"/>
    <s v="MPG"/>
    <s v="Indirect"/>
    <n v="120.80000000000001"/>
    <n v="4408.82"/>
    <n v="0"/>
    <n v="0"/>
    <n v="0"/>
    <n v="0"/>
    <n v="0"/>
    <n v="0"/>
    <n v="4408.82"/>
    <n v="0"/>
    <n v="0"/>
    <n v="0"/>
    <n v="0"/>
    <n v="0"/>
    <n v="0"/>
    <n v="0"/>
    <n v="0"/>
    <n v="4408.82"/>
    <n v="0"/>
    <n v="0"/>
    <n v="57.811017218543029"/>
    <n v="60.400000000000006"/>
    <n v="0"/>
    <n v="0"/>
    <m/>
    <s v="Asarganj"/>
    <m/>
    <n v="0"/>
  </r>
  <r>
    <s v="Munger"/>
    <s v="01-02 Apr"/>
    <n v="1004"/>
    <s v="Tofir"/>
    <x v="150"/>
    <s v="GOMUKH GANGA SAHYOG"/>
    <s v="vlc"/>
    <s v="Indirect"/>
    <n v="601.9"/>
    <n v="21770.720000000001"/>
    <n v="0"/>
    <n v="0"/>
    <n v="0"/>
    <n v="0"/>
    <n v="0"/>
    <n v="0"/>
    <n v="21770.720000000001"/>
    <n v="0"/>
    <n v="0"/>
    <n v="0"/>
    <n v="0"/>
    <n v="0"/>
    <n v="0"/>
    <n v="0"/>
    <n v="0"/>
    <n v="21770.720000000001"/>
    <n v="0"/>
    <n v="0"/>
    <n v="0"/>
    <n v="0"/>
    <n v="0"/>
    <n v="0"/>
    <m/>
    <s v="Tofir"/>
    <m/>
    <n v="0"/>
  </r>
  <r>
    <s v="Munger"/>
    <s v="01-02 Apr"/>
    <n v="1006"/>
    <s v="Sonvarsha"/>
    <x v="151"/>
    <s v="MANO"/>
    <s v="vlc"/>
    <s v="Indirect"/>
    <n v="422.7"/>
    <n v="16956.05"/>
    <n v="0"/>
    <n v="0"/>
    <n v="0"/>
    <n v="0"/>
    <n v="0"/>
    <n v="0"/>
    <n v="16956.05"/>
    <n v="0"/>
    <n v="0"/>
    <n v="0"/>
    <n v="0"/>
    <n v="0"/>
    <n v="0"/>
    <n v="0"/>
    <n v="0"/>
    <n v="16956.05"/>
    <n v="0"/>
    <n v="0"/>
    <n v="0"/>
    <n v="0"/>
    <n v="0"/>
    <n v="0"/>
    <m/>
    <s v="Sonvarsha"/>
    <m/>
    <n v="0"/>
  </r>
  <r>
    <s v="Munger"/>
    <s v="01-02 Apr"/>
    <n v="1006"/>
    <s v="Sonvarsha"/>
    <x v="152"/>
    <s v="PURANI SALEMPUR"/>
    <s v="vlc"/>
    <s v="Indirect"/>
    <n v="389"/>
    <n v="15114.300000000001"/>
    <n v="0"/>
    <n v="0"/>
    <n v="0"/>
    <n v="0"/>
    <n v="0"/>
    <n v="0"/>
    <n v="15114.300000000001"/>
    <n v="0"/>
    <n v="0"/>
    <n v="0"/>
    <n v="0"/>
    <n v="0"/>
    <n v="0"/>
    <n v="0"/>
    <n v="0"/>
    <n v="15114.300000000001"/>
    <n v="0"/>
    <n v="0"/>
    <n v="0"/>
    <n v="0"/>
    <n v="0"/>
    <n v="0"/>
    <m/>
    <s v="Sonvarsha"/>
    <m/>
    <n v="0"/>
  </r>
  <r>
    <s v="Munger"/>
    <s v="01-02 Apr"/>
    <n v="1006"/>
    <s v="Sonvarsha"/>
    <x v="153"/>
    <s v="DHANDHHA"/>
    <s v="vlc"/>
    <s v="Indirect"/>
    <n v="748.9"/>
    <n v="30118.410000000003"/>
    <n v="0"/>
    <n v="0"/>
    <n v="0"/>
    <n v="0"/>
    <n v="0"/>
    <n v="0"/>
    <n v="30118.410000000003"/>
    <n v="0"/>
    <n v="0"/>
    <n v="0"/>
    <n v="0"/>
    <n v="0"/>
    <n v="0"/>
    <n v="0"/>
    <n v="0"/>
    <n v="30118.410000000003"/>
    <n v="0"/>
    <n v="0"/>
    <n v="0"/>
    <n v="0"/>
    <n v="0"/>
    <n v="0"/>
    <m/>
    <s v="Sonvarsha"/>
    <m/>
    <n v="0"/>
  </r>
  <r>
    <s v="Munger"/>
    <s v="01-02 Apr"/>
    <n v="1006"/>
    <s v="Sonvarsha"/>
    <x v="154"/>
    <s v="CHALISH"/>
    <s v="vlc"/>
    <s v="Indirect"/>
    <n v="264.7"/>
    <n v="10899.58"/>
    <n v="0"/>
    <n v="0"/>
    <n v="0"/>
    <n v="0"/>
    <n v="0"/>
    <n v="0"/>
    <n v="10899.58"/>
    <n v="10900"/>
    <n v="0"/>
    <n v="0"/>
    <n v="0"/>
    <n v="0"/>
    <n v="0"/>
    <n v="0"/>
    <n v="0"/>
    <n v="-0.42000000000007276"/>
    <n v="0"/>
    <n v="0"/>
    <n v="0"/>
    <n v="0"/>
    <n v="0"/>
    <n v="0"/>
    <m/>
    <s v="Sonvarsha"/>
    <m/>
    <n v="0"/>
  </r>
  <r>
    <s v="Munger"/>
    <s v="01-02 Apr"/>
    <n v="1006"/>
    <s v="Sonvarsha"/>
    <x v="155"/>
    <s v="MAA BHAGWATI"/>
    <s v="vlc"/>
    <s v="Indirect"/>
    <n v="353.3"/>
    <n v="13048.04"/>
    <n v="0"/>
    <n v="0"/>
    <n v="0"/>
    <n v="0"/>
    <n v="0"/>
    <n v="0"/>
    <n v="13048.04"/>
    <n v="0"/>
    <n v="0"/>
    <n v="0"/>
    <n v="0"/>
    <n v="0"/>
    <n v="0"/>
    <n v="0"/>
    <n v="0"/>
    <n v="13048.04"/>
    <n v="0"/>
    <n v="0"/>
    <n v="0"/>
    <n v="0"/>
    <n v="0"/>
    <n v="0"/>
    <m/>
    <s v="Sonvarsha"/>
    <m/>
    <n v="0"/>
  </r>
  <r>
    <s v="Munger"/>
    <s v="01-02 Apr"/>
    <n v="1006"/>
    <s v="Sonvarsha"/>
    <x v="156"/>
    <s v="MAIDINICHOKI"/>
    <s v="vlc"/>
    <s v="Indirect"/>
    <n v="190.7"/>
    <n v="6785.9500000000007"/>
    <n v="0"/>
    <n v="0"/>
    <n v="0"/>
    <n v="0"/>
    <n v="0"/>
    <n v="0"/>
    <n v="6785.9500000000007"/>
    <n v="0"/>
    <n v="0"/>
    <n v="0"/>
    <n v="0"/>
    <n v="0"/>
    <n v="0"/>
    <n v="0"/>
    <n v="0"/>
    <n v="6785.9500000000007"/>
    <n v="0"/>
    <n v="0"/>
    <n v="6.6187031987414882"/>
    <n v="95.35"/>
    <n v="0"/>
    <n v="0"/>
    <m/>
    <s v="Sonvarsha"/>
    <m/>
    <n v="0"/>
  </r>
  <r>
    <s v="Munger"/>
    <s v="01-02 Apr"/>
    <n v="1006"/>
    <s v="Sonvarsha"/>
    <x v="157"/>
    <s v="GOMUKH JAJWARA"/>
    <s v="vlc"/>
    <s v="Indirect"/>
    <n v="607.49999999999989"/>
    <n v="24880.02"/>
    <n v="0"/>
    <n v="0"/>
    <n v="0"/>
    <n v="0"/>
    <n v="0"/>
    <n v="0"/>
    <n v="24880.02"/>
    <n v="0"/>
    <n v="0"/>
    <n v="0"/>
    <n v="0"/>
    <n v="0"/>
    <n v="0"/>
    <n v="0"/>
    <n v="0"/>
    <n v="24880.02"/>
    <n v="0"/>
    <n v="0"/>
    <n v="0"/>
    <n v="0"/>
    <n v="0"/>
    <n v="0"/>
    <m/>
    <s v="Sonvarsha"/>
    <m/>
    <n v="0"/>
  </r>
  <r>
    <s v="Munger"/>
    <s v="01-02 Apr"/>
    <n v="1006"/>
    <s v="Sonvarsha"/>
    <x v="158"/>
    <s v="Gomukh ID Sonvarsha"/>
    <s v="vlc"/>
    <s v="Indirect"/>
    <n v="591"/>
    <n v="23587.54"/>
    <n v="0"/>
    <n v="0"/>
    <n v="0"/>
    <n v="0"/>
    <n v="0"/>
    <n v="0"/>
    <n v="23587.54"/>
    <n v="0"/>
    <n v="0"/>
    <n v="0"/>
    <n v="0"/>
    <n v="0"/>
    <n v="0"/>
    <n v="0"/>
    <n v="0"/>
    <n v="23587.54"/>
    <n v="0"/>
    <n v="0"/>
    <n v="0"/>
    <n v="0"/>
    <n v="0"/>
    <n v="0"/>
    <m/>
    <s v="Sonvarsha"/>
    <m/>
    <n v="0"/>
  </r>
  <r>
    <s v="Munger"/>
    <s v="01-02 Apr"/>
    <n v="1059"/>
    <s v="Gopalpur Bmc"/>
    <x v="159"/>
    <s v="BALHAPUR"/>
    <s v="MPG"/>
    <s v="Direct"/>
    <n v="133.19999999999999"/>
    <n v="5764.91"/>
    <n v="130.68000000000004"/>
    <n v="6307.9792886440609"/>
    <n v="3.01"/>
    <n v="141.15226825968003"/>
    <n v="133.69000000000003"/>
    <n v="6449.1315569037406"/>
    <n v="5764.91"/>
    <n v="0"/>
    <n v="141.15226825968003"/>
    <n v="684.22155690374075"/>
    <n v="0"/>
    <n v="0"/>
    <n v="0"/>
    <n v="5624"/>
    <n v="0"/>
    <n v="0"/>
    <n v="0"/>
    <s v="Release1"/>
    <n v="57.822220420420436"/>
    <n v="66.599999999999994"/>
    <n v="-0.11868729206591963"/>
    <n v="21"/>
    <m/>
    <s v="Gopalpur Bmc"/>
    <m/>
    <n v="0"/>
  </r>
  <r>
    <s v="Munger"/>
    <s v="01-02 Apr"/>
    <n v="1006"/>
    <s v="Sonvarsha"/>
    <x v="160"/>
    <s v="Gomukh ID Khawa"/>
    <s v="vlc"/>
    <s v="Indirect"/>
    <n v="50.9"/>
    <n v="1763.73"/>
    <n v="0"/>
    <n v="0"/>
    <n v="0"/>
    <n v="0"/>
    <n v="0"/>
    <n v="0"/>
    <n v="1763.73"/>
    <n v="0"/>
    <n v="0"/>
    <n v="0"/>
    <n v="0"/>
    <n v="0"/>
    <n v="0"/>
    <n v="0"/>
    <n v="0"/>
    <n v="1763.73"/>
    <n v="0"/>
    <n v="0"/>
    <n v="103.32893634577604"/>
    <n v="25.45"/>
    <n v="0"/>
    <n v="0"/>
    <m/>
    <s v="Sonvarsha"/>
    <m/>
    <n v="0"/>
  </r>
  <r>
    <s v="Munger"/>
    <s v="01-02 Apr"/>
    <n v="1006"/>
    <s v="Sonvarsha"/>
    <x v="161"/>
    <s v="Gomukh ID Husaina"/>
    <s v="vlc"/>
    <s v="Indirect"/>
    <n v="322.39999999999998"/>
    <n v="11569.46"/>
    <n v="0"/>
    <n v="0"/>
    <n v="0"/>
    <n v="0"/>
    <n v="0"/>
    <n v="0"/>
    <n v="11569.46"/>
    <n v="0"/>
    <n v="0"/>
    <n v="0"/>
    <n v="0"/>
    <n v="0"/>
    <n v="0"/>
    <n v="0"/>
    <n v="0"/>
    <n v="11569.46"/>
    <n v="0"/>
    <n v="0"/>
    <n v="0"/>
    <n v="0"/>
    <n v="0"/>
    <n v="0"/>
    <m/>
    <s v="Sonvarsha"/>
    <m/>
    <n v="0"/>
  </r>
  <r>
    <s v="Munger"/>
    <s v="01-02 Apr"/>
    <n v="1006"/>
    <s v="Sonvarsha"/>
    <x v="162"/>
    <s v="Gomukh ID Prarotol"/>
    <s v="vlc"/>
    <s v="Indirect"/>
    <n v="4"/>
    <n v="155.24"/>
    <n v="0"/>
    <n v="0"/>
    <n v="0"/>
    <n v="0"/>
    <n v="0"/>
    <n v="0"/>
    <n v="155.24"/>
    <n v="0"/>
    <n v="0"/>
    <n v="0"/>
    <n v="0"/>
    <n v="0"/>
    <n v="0"/>
    <n v="0"/>
    <n v="0"/>
    <n v="155.24"/>
    <n v="0"/>
    <n v="0"/>
    <n v="152.1352"/>
    <n v="2"/>
    <n v="0"/>
    <n v="0"/>
    <m/>
    <s v="Sonvarsha"/>
    <m/>
    <n v="0"/>
  </r>
  <r>
    <s v="Munger"/>
    <s v="01-02 Apr"/>
    <n v="1006"/>
    <s v="Sonvarsha"/>
    <x v="163"/>
    <s v="MAA SARDE"/>
    <s v="vlc"/>
    <s v="Indirect"/>
    <n v="684.8"/>
    <n v="25733.07"/>
    <n v="0"/>
    <n v="0"/>
    <n v="0"/>
    <n v="0"/>
    <n v="0"/>
    <n v="0"/>
    <n v="25733.07"/>
    <n v="0"/>
    <n v="0"/>
    <n v="0"/>
    <n v="0"/>
    <n v="0"/>
    <n v="0"/>
    <n v="0"/>
    <n v="0"/>
    <n v="25733.07"/>
    <n v="0"/>
    <n v="0"/>
    <n v="0"/>
    <n v="0"/>
    <n v="0"/>
    <n v="0"/>
    <m/>
    <s v="Sonvarsha"/>
    <m/>
    <n v="0"/>
  </r>
  <r>
    <s v="Munger"/>
    <s v="01-02 Apr"/>
    <n v="1006"/>
    <s v="Sonvarsha"/>
    <x v="164"/>
    <s v="PURANI DIH"/>
    <s v="vlc"/>
    <s v="Indirect"/>
    <n v="655.49999999999989"/>
    <n v="29727.55"/>
    <n v="0"/>
    <n v="0"/>
    <n v="0"/>
    <n v="0"/>
    <n v="0"/>
    <n v="0"/>
    <n v="29727.55"/>
    <n v="11250"/>
    <n v="0"/>
    <n v="0"/>
    <n v="0"/>
    <n v="0"/>
    <n v="0"/>
    <n v="0"/>
    <n v="0"/>
    <n v="18477.55"/>
    <n v="0"/>
    <n v="0"/>
    <n v="0"/>
    <n v="0"/>
    <n v="0"/>
    <n v="0"/>
    <m/>
    <s v="Sonvarsha"/>
    <m/>
    <n v="0"/>
  </r>
  <r>
    <s v="Munger"/>
    <s v="01-02 Apr"/>
    <n v="1006"/>
    <s v="Sonvarsha"/>
    <x v="165"/>
    <s v="Farda Ravi Tola"/>
    <s v="MPG"/>
    <s v="Direct"/>
    <n v="624.4"/>
    <n v="22771.21"/>
    <n v="623"/>
    <n v="22910.398473600002"/>
    <n v="4"/>
    <n v="146.6563428"/>
    <n v="627"/>
    <n v="23057.054816400003"/>
    <n v="22771.21"/>
    <n v="0"/>
    <n v="146.6563428"/>
    <n v="285.84481640000377"/>
    <n v="0"/>
    <n v="0"/>
    <n v="0"/>
    <n v="22624"/>
    <n v="0"/>
    <n v="0"/>
    <n v="1"/>
    <n v="0"/>
    <n v="0"/>
    <n v="0"/>
    <n v="-1.2552904145190518E-2"/>
    <n v="4"/>
    <m/>
    <s v="Sonvarsha"/>
    <m/>
    <n v="0"/>
  </r>
  <r>
    <s v="Munger"/>
    <s v="01-02 Apr"/>
    <n v="1006"/>
    <s v="Sonvarsha"/>
    <x v="166"/>
    <s v="Gomukh Puranidih 2"/>
    <s v="vlc"/>
    <s v="Indirect"/>
    <n v="43.5"/>
    <n v="1979.21"/>
    <n v="0"/>
    <n v="0"/>
    <n v="0"/>
    <n v="0"/>
    <n v="0"/>
    <n v="0"/>
    <n v="1979.21"/>
    <n v="0"/>
    <n v="0"/>
    <n v="0"/>
    <n v="0"/>
    <n v="0"/>
    <n v="0"/>
    <n v="0"/>
    <n v="0"/>
    <n v="1979.21"/>
    <n v="0"/>
    <n v="0"/>
    <n v="142.41212183908044"/>
    <n v="21.75"/>
    <n v="0"/>
    <n v="0"/>
    <m/>
    <s v="Sonvarsha"/>
    <m/>
    <n v="0"/>
  </r>
  <r>
    <s v="Munger"/>
    <s v="01-02 Apr"/>
    <n v="1006"/>
    <s v="Sonvarsha"/>
    <x v="167"/>
    <s v="Gomukh Arma"/>
    <s v="MPG"/>
    <s v="Direct"/>
    <n v="175.50000000000003"/>
    <n v="8399.57"/>
    <n v="176.89999999999998"/>
    <n v="7706.0878430069006"/>
    <n v="0.60000000000000009"/>
    <n v="26.32146264"/>
    <n v="177.49999999999997"/>
    <n v="7732.409305646901"/>
    <n v="7732.409305646901"/>
    <n v="795"/>
    <n v="26.32146264"/>
    <n v="0"/>
    <n v="0"/>
    <n v="0"/>
    <n v="0"/>
    <n v="6911"/>
    <n v="0"/>
    <n v="0"/>
    <n v="667"/>
    <n v="0"/>
    <n v="23.451790883190853"/>
    <n v="87.750000000000014"/>
    <n v="7.9427958139892729E-2"/>
    <n v="4"/>
    <m/>
    <s v="Sonvarsha"/>
    <m/>
    <n v="0"/>
  </r>
  <r>
    <s v="Munger"/>
    <s v="01-02 Apr"/>
    <n v="1059"/>
    <s v="Gopalpur Bmc"/>
    <x v="168"/>
    <s v="Singhchak"/>
    <s v="MPG"/>
    <s v="Direct"/>
    <n v="379.6"/>
    <n v="16868.75"/>
    <n v="405.51999999999992"/>
    <n v="18156.178078149744"/>
    <n v="4.68"/>
    <n v="202.82061096000001"/>
    <n v="410.19999999999993"/>
    <n v="18358.998689109743"/>
    <n v="16868.75"/>
    <n v="990"/>
    <n v="202.82061096000001"/>
    <n v="1490.2486891097433"/>
    <n v="0"/>
    <n v="0"/>
    <n v="0"/>
    <n v="15676"/>
    <n v="0"/>
    <n v="0"/>
    <n v="0"/>
    <n v="0"/>
    <n v="0"/>
    <n v="0"/>
    <n v="-8.8343753337368991E-2"/>
    <n v="64"/>
    <m/>
    <s v="Gopalpur Bmc"/>
    <m/>
    <n v="0"/>
  </r>
  <r>
    <s v="Munger"/>
    <s v="01-02 Apr"/>
    <n v="1006"/>
    <s v="Sonvarsha"/>
    <x v="169"/>
    <s v="MAHA-LAXMI"/>
    <s v="vlc"/>
    <s v="Indirect"/>
    <n v="264.8"/>
    <n v="9628.4700000000012"/>
    <n v="0"/>
    <n v="0"/>
    <n v="0"/>
    <n v="0"/>
    <n v="0"/>
    <n v="0"/>
    <n v="9628.4700000000012"/>
    <n v="0"/>
    <n v="0"/>
    <n v="0"/>
    <n v="0"/>
    <n v="0"/>
    <n v="0"/>
    <n v="0"/>
    <n v="0"/>
    <n v="9628.4700000000012"/>
    <n v="0"/>
    <n v="0"/>
    <n v="0"/>
    <n v="0"/>
    <n v="0"/>
    <n v="0"/>
    <m/>
    <s v="Sonvarsha"/>
    <m/>
    <n v="0"/>
  </r>
  <r>
    <s v="Munger"/>
    <s v="01-02 Apr"/>
    <n v="1006"/>
    <s v="Sonvarsha"/>
    <x v="170"/>
    <s v="PAWAI"/>
    <s v="MPG"/>
    <s v="Direct"/>
    <n v="369.99999999999994"/>
    <n v="17990"/>
    <n v="377.33000000000004"/>
    <n v="17375.311331461529"/>
    <n v="11.66"/>
    <n v="647.68202000634005"/>
    <n v="388.99000000000007"/>
    <n v="18022.993351467871"/>
    <n v="17990"/>
    <n v="0"/>
    <n v="264.76714701234005"/>
    <n v="32.993351467870525"/>
    <n v="0"/>
    <n v="0"/>
    <n v="0"/>
    <n v="17342"/>
    <n v="383"/>
    <n v="0"/>
    <n v="0"/>
    <n v="0"/>
    <n v="0"/>
    <n v="0"/>
    <n v="-1.8339828497982505E-3"/>
    <n v="34"/>
    <m/>
    <s v="Sonvarsha"/>
    <m/>
    <n v="0"/>
  </r>
  <r>
    <s v="Munger"/>
    <s v="01-02 Apr"/>
    <n v="1006"/>
    <s v="Sonvarsha"/>
    <x v="171"/>
    <s v="LAKHOCHAK                                                                                           "/>
    <s v="MPG"/>
    <s v="Direct"/>
    <n v="136.39999999999998"/>
    <n v="5671.76"/>
    <n v="116.60000000000001"/>
    <n v="5064.0548869626"/>
    <n v="0"/>
    <n v="0"/>
    <n v="116.60000000000001"/>
    <n v="5064.0548869626"/>
    <n v="5064.0548869626"/>
    <n v="0"/>
    <n v="0"/>
    <n v="0"/>
    <n v="0"/>
    <n v="0"/>
    <n v="0"/>
    <n v="5063"/>
    <n v="0"/>
    <n v="0"/>
    <n v="609"/>
    <n v="0"/>
    <n v="52.892072727272762"/>
    <n v="68.199999999999989"/>
    <n v="0.10714577362889124"/>
    <n v="14"/>
    <m/>
    <s v="Sonvarsha"/>
    <m/>
    <n v="0"/>
  </r>
  <r>
    <s v="Munger"/>
    <s v="01-02 Apr"/>
    <n v="1059"/>
    <s v="Gopalpur Bmc"/>
    <x v="172"/>
    <s v="BATTA RAMPUR                                                                                        "/>
    <s v="MPG"/>
    <s v="Direct"/>
    <n v="696.2"/>
    <n v="34051.160000000003"/>
    <n v="696.66000000000008"/>
    <n v="34323.583555939069"/>
    <n v="6.65"/>
    <n v="455.05159782929002"/>
    <n v="703.31000000000006"/>
    <n v="34778.635153768359"/>
    <n v="34051.160000000003"/>
    <n v="0"/>
    <n v="455.05159782929002"/>
    <n v="727.47515376835509"/>
    <n v="0"/>
    <n v="0"/>
    <n v="0"/>
    <n v="33596"/>
    <n v="0"/>
    <n v="0"/>
    <n v="0"/>
    <n v="0"/>
    <n v="0"/>
    <n v="0"/>
    <n v="-2.1364181242822713E-2"/>
    <n v="41"/>
    <m/>
    <s v="Gopalpur Bmc"/>
    <m/>
    <n v="0"/>
  </r>
  <r>
    <s v="Munger"/>
    <s v="01-02 Apr"/>
    <n v="1059"/>
    <s v="Gopalpur Bmc"/>
    <x v="173"/>
    <s v="DARISHIR"/>
    <s v="MPG"/>
    <s v="Direct"/>
    <n v="53.2"/>
    <n v="2029.3200000000002"/>
    <n v="54.24"/>
    <n v="1976.7598509186"/>
    <n v="0"/>
    <n v="0"/>
    <n v="54.24"/>
    <n v="1976.7598509186"/>
    <n v="1976.7598509186"/>
    <n v="0"/>
    <n v="0"/>
    <n v="0"/>
    <n v="0"/>
    <n v="0"/>
    <n v="0"/>
    <n v="1977"/>
    <n v="0"/>
    <n v="0"/>
    <n v="52"/>
    <n v="0"/>
    <n v="111.99405112781955"/>
    <n v="26.6"/>
    <n v="2.5900375042575904E-2"/>
    <n v="8"/>
    <m/>
    <s v="Gopalpur Bmc"/>
    <m/>
    <n v="0"/>
  </r>
  <r>
    <s v="Munger"/>
    <s v="01-02 Apr"/>
    <n v="1006"/>
    <s v="Sonvarsha"/>
    <x v="174"/>
    <s v="NIRAJ KUMAR"/>
    <s v="vlc"/>
    <s v="Indirect"/>
    <n v="219.4"/>
    <n v="10790.659999999998"/>
    <n v="0"/>
    <n v="0"/>
    <n v="0"/>
    <n v="0"/>
    <n v="0"/>
    <n v="0"/>
    <n v="10790.659999999998"/>
    <n v="0"/>
    <n v="0"/>
    <n v="0"/>
    <n v="0"/>
    <n v="0"/>
    <n v="0"/>
    <n v="0"/>
    <n v="0"/>
    <n v="10790.659999999998"/>
    <n v="0"/>
    <n v="0"/>
    <n v="0"/>
    <n v="0"/>
    <n v="0"/>
    <n v="0"/>
    <m/>
    <s v="Sonvarsha"/>
    <m/>
    <n v="0"/>
  </r>
  <r>
    <s v="Munger"/>
    <s v="01-02 Apr"/>
    <n v="1006"/>
    <s v="Sonvarsha"/>
    <x v="175"/>
    <s v="Abgil Rampur - Rohit"/>
    <s v="vlc"/>
    <s v="Indirect"/>
    <n v="26.6"/>
    <n v="1014.0699999999999"/>
    <n v="0"/>
    <n v="0"/>
    <n v="0"/>
    <n v="0"/>
    <n v="0"/>
    <n v="0"/>
    <n v="1014.0699999999999"/>
    <n v="0"/>
    <n v="0"/>
    <n v="0"/>
    <n v="0"/>
    <n v="0"/>
    <n v="0"/>
    <n v="0"/>
    <n v="0"/>
    <n v="1014.0699999999999"/>
    <n v="0"/>
    <n v="0"/>
    <n v="132.21032932330826"/>
    <n v="13.3"/>
    <n v="0"/>
    <n v="0"/>
    <m/>
    <s v="Sonvarsha"/>
    <m/>
    <n v="0"/>
  </r>
  <r>
    <s v="Munger"/>
    <s v="01-02 Apr"/>
    <n v="1059"/>
    <s v="Gopalpur Bmc"/>
    <x v="176"/>
    <s v="MALIYA"/>
    <s v="MPG"/>
    <s v="Direct"/>
    <n v="181.7"/>
    <n v="8097.4800000000005"/>
    <n v="181.7"/>
    <n v="7896.8553087600003"/>
    <n v="0"/>
    <n v="0"/>
    <n v="181.7"/>
    <n v="7896.8553087600003"/>
    <n v="7896.8553087600003"/>
    <n v="0"/>
    <n v="0"/>
    <n v="0"/>
    <n v="0"/>
    <n v="0"/>
    <n v="0"/>
    <n v="7897"/>
    <n v="0"/>
    <n v="0"/>
    <n v="200"/>
    <n v="0"/>
    <n v="16.310829279031385"/>
    <n v="90.85"/>
    <n v="2.4776188547548147E-2"/>
    <n v="1"/>
    <m/>
    <s v="Gopalpur Bmc"/>
    <m/>
    <n v="0"/>
  </r>
  <r>
    <s v="Munger"/>
    <s v="01-02 Apr"/>
    <n v="1059"/>
    <s v="Gopalpur Bmc"/>
    <x v="177"/>
    <s v="MAHULIYA"/>
    <s v="MPG"/>
    <s v="Direct"/>
    <n v="164.09999999999997"/>
    <n v="7408.74"/>
    <n v="190.17000000000002"/>
    <n v="8382.5286755016277"/>
    <n v="2.44"/>
    <n v="97.594264944000031"/>
    <n v="192.61"/>
    <n v="8480.122940445628"/>
    <n v="7408.74"/>
    <n v="0"/>
    <n v="97.594264944000031"/>
    <n v="1071.3829404456283"/>
    <n v="0"/>
    <n v="0"/>
    <n v="0"/>
    <n v="7311"/>
    <n v="0"/>
    <n v="0"/>
    <n v="0"/>
    <s v="Release1"/>
    <n v="32.416059232175542"/>
    <n v="82.049999999999983"/>
    <n v="-0.14461068149855824"/>
    <n v="16"/>
    <m/>
    <s v="Gopalpur Bmc"/>
    <m/>
    <n v="0"/>
  </r>
  <r>
    <s v="Munger"/>
    <s v="01-02 Apr"/>
    <n v="1006"/>
    <s v="Sonvarsha"/>
    <x v="178"/>
    <s v="ABGIL RAMPUR"/>
    <s v="vlc"/>
    <s v="Indirect"/>
    <n v="180.9"/>
    <n v="7508.11"/>
    <n v="0"/>
    <n v="0"/>
    <n v="0"/>
    <n v="0"/>
    <n v="0"/>
    <n v="0"/>
    <n v="7508.11"/>
    <n v="0"/>
    <n v="0"/>
    <n v="0"/>
    <n v="0"/>
    <n v="0"/>
    <n v="0"/>
    <n v="0"/>
    <n v="0"/>
    <n v="7508.11"/>
    <n v="0"/>
    <n v="0"/>
    <n v="15.854604864566053"/>
    <n v="90.45"/>
    <n v="0"/>
    <n v="0"/>
    <m/>
    <s v="Sonvarsha"/>
    <m/>
    <n v="0"/>
  </r>
  <r>
    <s v="Munger"/>
    <s v="01-02 Apr"/>
    <n v="1006"/>
    <s v="Sonvarsha"/>
    <x v="179"/>
    <s v="ABGIL"/>
    <s v="vlc"/>
    <s v="Indirect"/>
    <n v="196.3"/>
    <n v="6551.5400000000009"/>
    <n v="0"/>
    <n v="0"/>
    <n v="0"/>
    <n v="0"/>
    <n v="0"/>
    <n v="0"/>
    <n v="6551.5400000000009"/>
    <n v="0"/>
    <n v="0"/>
    <n v="0"/>
    <n v="0"/>
    <n v="0"/>
    <n v="0"/>
    <n v="0"/>
    <n v="0"/>
    <n v="6551.5400000000009"/>
    <n v="0"/>
    <n v="0"/>
    <n v="2.469760366785525"/>
    <n v="98.15"/>
    <n v="0"/>
    <n v="0"/>
    <m/>
    <s v="Sonvarsha"/>
    <m/>
    <n v="0"/>
  </r>
  <r>
    <s v="Munger"/>
    <s v="01-02 Apr"/>
    <n v="1006"/>
    <s v="Sonvarsha"/>
    <x v="180"/>
    <s v="RUPESH KUMAR"/>
    <s v="vlc"/>
    <s v="Indirect"/>
    <n v="62"/>
    <n v="2084.21"/>
    <n v="0"/>
    <n v="0"/>
    <n v="0"/>
    <n v="0"/>
    <n v="0"/>
    <n v="0"/>
    <n v="2084.21"/>
    <n v="0"/>
    <n v="0"/>
    <n v="0"/>
    <n v="0"/>
    <n v="0"/>
    <n v="0"/>
    <n v="0"/>
    <n v="0"/>
    <n v="2084.21"/>
    <n v="0"/>
    <n v="0"/>
    <n v="92.78096129032258"/>
    <n v="31"/>
    <n v="0"/>
    <n v="0"/>
    <m/>
    <s v="Sonvarsha"/>
    <m/>
    <n v="0"/>
  </r>
  <r>
    <s v="Munger"/>
    <s v="01-02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224.6"/>
    <n v="8498.76"/>
    <n v="95.470000000000013"/>
    <n v="3669.001414848"/>
    <n v="130.11000000000001"/>
    <n v="5044.8869448120004"/>
    <n v="225.58000000000004"/>
    <n v="8713.8883596600008"/>
    <n v="8498.76"/>
    <n v="0"/>
    <n v="79.191775476000018"/>
    <n v="215.12835966000057"/>
    <n v="0"/>
    <n v="0"/>
    <n v="0"/>
    <n v="3454"/>
    <n v="4966"/>
    <n v="0"/>
    <n v="0"/>
    <n v="0"/>
    <n v="0"/>
    <n v="0"/>
    <n v="-2.5312911490617523E-2"/>
    <n v="6"/>
    <m/>
    <s v="Sonvarsha"/>
    <m/>
    <n v="0"/>
  </r>
  <r>
    <s v="Munger"/>
    <s v="01-02 Apr"/>
    <n v="1006"/>
    <s v="Sonvarsha"/>
    <x v="182"/>
    <s v="Manish Kumar                                                                                        "/>
    <s v="vlc"/>
    <s v="Indirect"/>
    <n v="132.69999999999999"/>
    <n v="4707.79"/>
    <n v="0"/>
    <n v="0"/>
    <n v="0"/>
    <n v="0"/>
    <n v="0"/>
    <n v="0"/>
    <n v="4707.79"/>
    <n v="0"/>
    <n v="0"/>
    <n v="0"/>
    <n v="0"/>
    <n v="0"/>
    <n v="0"/>
    <n v="0"/>
    <n v="0"/>
    <n v="4707.79"/>
    <n v="0"/>
    <n v="0"/>
    <n v="47.751961868877181"/>
    <n v="66.349999999999994"/>
    <n v="0"/>
    <n v="0"/>
    <m/>
    <s v="Sonvarsha"/>
    <m/>
    <n v="0"/>
  </r>
  <r>
    <s v="Munger"/>
    <s v="01-02 Apr"/>
    <n v="1006"/>
    <s v="Sonvarsha"/>
    <x v="183"/>
    <s v="AKHA-KURHA"/>
    <s v="vlc"/>
    <s v="Indirect"/>
    <n v="100.9"/>
    <n v="4171.38"/>
    <n v="0"/>
    <n v="0"/>
    <n v="0"/>
    <n v="0"/>
    <n v="0"/>
    <n v="0"/>
    <n v="4171.38"/>
    <n v="4171"/>
    <n v="0"/>
    <n v="0"/>
    <n v="0"/>
    <n v="0"/>
    <n v="0"/>
    <n v="0"/>
    <n v="0"/>
    <n v="0.38000000000010914"/>
    <n v="0"/>
    <n v="0"/>
    <n v="81.939297918731413"/>
    <n v="50.45"/>
    <n v="0"/>
    <n v="0"/>
    <m/>
    <s v="Sonvarsha"/>
    <m/>
    <n v="0"/>
  </r>
  <r>
    <s v="Munger"/>
    <s v="01-02 Apr"/>
    <n v="1059"/>
    <s v="Gopalpur Bmc"/>
    <x v="184"/>
    <s v="BHANDAR"/>
    <s v="MPG"/>
    <s v="Direct"/>
    <n v="68.2"/>
    <n v="3240.97"/>
    <n v="68.2"/>
    <n v="3241.0674683670004"/>
    <n v="0"/>
    <n v="0"/>
    <n v="68.2"/>
    <n v="3241.0674683670004"/>
    <n v="3240.97"/>
    <n v="0"/>
    <n v="0"/>
    <n v="9.7468367000601575E-2"/>
    <n v="0"/>
    <n v="0"/>
    <n v="0"/>
    <n v="3241"/>
    <n v="0"/>
    <n v="0"/>
    <n v="0"/>
    <n v="0"/>
    <n v="125.26681700879764"/>
    <n v="34.1"/>
    <n v="-3.0073825737542028E-5"/>
    <n v="1"/>
    <m/>
    <s v="Gopalpur Bmc"/>
    <m/>
    <n v="0"/>
  </r>
  <r>
    <s v="Munger"/>
    <s v="01-02 Apr"/>
    <n v="1059"/>
    <s v="Gopalpur Bmc"/>
    <x v="185"/>
    <s v="BASMATIYA"/>
    <s v="MPG"/>
    <s v="Direct"/>
    <n v="124.6"/>
    <n v="5009.57"/>
    <n v="124.21000000000001"/>
    <n v="5405.1801855911963"/>
    <n v="1.86"/>
    <n v="76.216185144000008"/>
    <n v="126.07000000000001"/>
    <n v="5481.3963707351959"/>
    <n v="5009.57"/>
    <n v="0"/>
    <n v="76.216185144000008"/>
    <n v="471.82637073519618"/>
    <n v="0"/>
    <n v="0"/>
    <n v="0"/>
    <n v="4933"/>
    <n v="0"/>
    <n v="0"/>
    <n v="0"/>
    <s v="Release1"/>
    <n v="60.629466773675766"/>
    <n v="62.3"/>
    <n v="-9.4185004049288909E-2"/>
    <n v="11"/>
    <m/>
    <s v="Gopalpur Bmc"/>
    <m/>
    <n v="0"/>
  </r>
  <r>
    <s v="Munger"/>
    <s v="01-02 Apr"/>
    <n v="1006"/>
    <s v="Sonvarsha"/>
    <x v="186"/>
    <s v="TILATHI"/>
    <s v="MPG"/>
    <s v="Direct"/>
    <n v="404.5"/>
    <n v="17211.309999999998"/>
    <n v="398.33000000000004"/>
    <n v="16071.946753697739"/>
    <n v="20.11"/>
    <n v="961.60554575200013"/>
    <n v="418.44000000000005"/>
    <n v="17033.552299449741"/>
    <n v="17033.552299449741"/>
    <n v="0"/>
    <n v="204.61911822000002"/>
    <n v="0"/>
    <n v="0"/>
    <n v="0"/>
    <n v="0"/>
    <n v="16071"/>
    <n v="757"/>
    <n v="0"/>
    <n v="179"/>
    <n v="0"/>
    <n v="0"/>
    <n v="0"/>
    <n v="1.0327958798618883E-2"/>
    <n v="33"/>
    <m/>
    <s v="Sonvarsha"/>
    <m/>
    <n v="0"/>
  </r>
  <r>
    <s v="Munger"/>
    <s v="01-02 Apr"/>
    <n v="1006"/>
    <s v="Sonvarsha"/>
    <x v="187"/>
    <s v="GOMUKH WESTOL"/>
    <s v="vlc"/>
    <s v="Indirect"/>
    <n v="550.4"/>
    <n v="21388.89"/>
    <n v="0"/>
    <n v="0"/>
    <n v="0"/>
    <n v="0"/>
    <n v="0"/>
    <n v="0"/>
    <n v="21388.89"/>
    <n v="0"/>
    <n v="0"/>
    <n v="0"/>
    <n v="0"/>
    <n v="0"/>
    <n v="0"/>
    <n v="0"/>
    <n v="0"/>
    <n v="21388.89"/>
    <n v="0"/>
    <n v="0"/>
    <n v="0"/>
    <n v="0"/>
    <n v="0"/>
    <n v="0"/>
    <m/>
    <s v="Sonvarsha"/>
    <m/>
    <n v="0"/>
  </r>
  <r>
    <s v="Munger"/>
    <s v="01-02 Apr"/>
    <n v="1059"/>
    <s v="Gopalpur Bmc"/>
    <x v="188"/>
    <s v="SANGRAMPUR"/>
    <s v="MPG"/>
    <s v="Direct"/>
    <n v="129.39999999999998"/>
    <n v="5750.28"/>
    <n v="129.4"/>
    <n v="5750.1360387062005"/>
    <n v="0"/>
    <n v="0"/>
    <n v="129.4"/>
    <n v="5750.1360387062005"/>
    <n v="5750.1360387062005"/>
    <n v="0"/>
    <n v="0"/>
    <n v="0"/>
    <n v="0"/>
    <n v="0"/>
    <n v="0"/>
    <n v="5750"/>
    <n v="0"/>
    <n v="0"/>
    <n v="0"/>
    <n v="0"/>
    <n v="62.746486553323059"/>
    <n v="64.699999999999989"/>
    <n v="2.5035527626357908E-5"/>
    <n v="3"/>
    <m/>
    <s v="Gopalpur Bmc"/>
    <m/>
    <n v="0"/>
  </r>
  <r>
    <s v="Munger"/>
    <s v="01-02 Apr"/>
    <n v="1006"/>
    <s v="Sonvarsha"/>
    <x v="189"/>
    <s v="GOMUKH CHASMASKAN"/>
    <s v="vlc"/>
    <s v="Indirect"/>
    <n v="606.5"/>
    <n v="22974.25"/>
    <n v="0"/>
    <n v="0"/>
    <n v="0"/>
    <n v="0"/>
    <n v="0"/>
    <n v="0"/>
    <n v="22974.25"/>
    <n v="0"/>
    <n v="0"/>
    <n v="0"/>
    <n v="0"/>
    <n v="0"/>
    <n v="0"/>
    <n v="0"/>
    <n v="0"/>
    <n v="22974.25"/>
    <n v="0"/>
    <n v="0"/>
    <n v="0"/>
    <n v="0"/>
    <n v="0"/>
    <n v="0"/>
    <m/>
    <s v="Sonvarsha"/>
    <m/>
    <n v="0"/>
  </r>
  <r>
    <s v="Munger"/>
    <s v="01-02 Apr"/>
    <n v="1006"/>
    <s v="Sonvarsha"/>
    <x v="190"/>
    <s v="GOMUKH KAJITOLA"/>
    <s v="vlc"/>
    <s v="Indirect"/>
    <n v="343"/>
    <n v="13341.82"/>
    <n v="0"/>
    <n v="0"/>
    <n v="0"/>
    <n v="0"/>
    <n v="0"/>
    <n v="0"/>
    <n v="13341.82"/>
    <n v="0"/>
    <n v="0"/>
    <n v="0"/>
    <n v="0"/>
    <n v="0"/>
    <n v="0"/>
    <n v="0"/>
    <n v="0"/>
    <n v="13341.82"/>
    <n v="0"/>
    <n v="0"/>
    <n v="0"/>
    <n v="0"/>
    <n v="0"/>
    <n v="0"/>
    <m/>
    <s v="Sonvarsha"/>
    <m/>
    <n v="0"/>
  </r>
  <r>
    <s v="Munger"/>
    <s v="01-02 Apr"/>
    <n v="1006"/>
    <s v="Sonvarsha"/>
    <x v="191"/>
    <s v="RAMDEV TOLA"/>
    <s v="MPG"/>
    <s v="Direct"/>
    <n v="594.9"/>
    <n v="26143.919999999998"/>
    <n v="396.69000000000005"/>
    <n v="18542.619173644802"/>
    <n v="198.70999999999998"/>
    <n v="7618.4722726200007"/>
    <n v="595.40000000000009"/>
    <n v="26161.091446264803"/>
    <n v="26143.919999999998"/>
    <n v="0"/>
    <n v="128.55839040000001"/>
    <n v="17.171446264805127"/>
    <n v="0"/>
    <n v="0"/>
    <n v="0"/>
    <n v="18525"/>
    <n v="7490"/>
    <n v="0"/>
    <n v="0"/>
    <n v="0"/>
    <n v="0"/>
    <n v="0"/>
    <n v="-6.5680457501419553E-4"/>
    <n v="17"/>
    <m/>
    <s v="Sonvarsha"/>
    <m/>
    <n v="0"/>
  </r>
  <r>
    <s v="Munger"/>
    <s v="01-02 Apr"/>
    <n v="1006"/>
    <s v="Sonvarsha"/>
    <x v="192"/>
    <s v="GOMUKH KATEHAR"/>
    <s v="vlc"/>
    <s v="Indirect"/>
    <n v="555.29999999999995"/>
    <n v="20278.269999999997"/>
    <n v="0"/>
    <n v="0"/>
    <n v="0"/>
    <n v="0"/>
    <n v="0"/>
    <n v="0"/>
    <n v="20278.269999999997"/>
    <n v="0"/>
    <n v="0"/>
    <n v="0"/>
    <n v="0"/>
    <n v="0"/>
    <n v="0"/>
    <n v="0"/>
    <n v="0"/>
    <n v="20278.269999999997"/>
    <n v="0"/>
    <n v="0"/>
    <n v="0"/>
    <n v="0"/>
    <n v="0"/>
    <n v="0"/>
    <m/>
    <s v="Sonvarsha"/>
    <m/>
    <n v="0"/>
  </r>
  <r>
    <s v="Munger"/>
    <s v="01-02 Apr"/>
    <n v="1006"/>
    <s v="Sonvarsha"/>
    <x v="193"/>
    <s v="PIPARPATI"/>
    <s v="MPG"/>
    <s v="Direct"/>
    <n v="177.20000000000002"/>
    <n v="8547.82"/>
    <n v="176.7"/>
    <n v="9626.8943768210011"/>
    <n v="1.2"/>
    <n v="44.234467200000005"/>
    <n v="177.89999999999998"/>
    <n v="9671.128844021001"/>
    <n v="8547.82"/>
    <n v="0"/>
    <n v="44.234467200000005"/>
    <n v="1123.3088440210013"/>
    <n v="0"/>
    <n v="0"/>
    <n v="0"/>
    <n v="8504"/>
    <n v="0"/>
    <n v="0"/>
    <n v="0"/>
    <n v="0"/>
    <n v="21.996647404063182"/>
    <n v="88.600000000000009"/>
    <n v="-0.13141465824280357"/>
    <n v="6"/>
    <m/>
    <s v="Sonvarsha"/>
    <m/>
    <n v="0"/>
  </r>
  <r>
    <s v="Munger"/>
    <s v="01-02 Apr"/>
    <n v="1006"/>
    <s v="Sonvarsha"/>
    <x v="194"/>
    <s v="GOMUKH JAGMAGLA"/>
    <s v="vlc"/>
    <s v="Indirect"/>
    <n v="213.2"/>
    <n v="8335.36"/>
    <n v="0"/>
    <n v="0"/>
    <n v="0"/>
    <n v="0"/>
    <n v="0"/>
    <n v="0"/>
    <n v="8335.36"/>
    <n v="0"/>
    <n v="0"/>
    <n v="0"/>
    <n v="0"/>
    <n v="0"/>
    <n v="0"/>
    <n v="0"/>
    <n v="0"/>
    <n v="8335.36"/>
    <n v="0"/>
    <n v="0"/>
    <n v="0"/>
    <n v="0"/>
    <n v="0"/>
    <n v="0"/>
    <m/>
    <s v="Sonvarsha"/>
    <m/>
    <n v="0"/>
  </r>
  <r>
    <s v="Munger"/>
    <s v="01-02 Apr"/>
    <n v="1006"/>
    <s v="Sonvarsha"/>
    <x v="195"/>
    <s v="PACHRUKHI"/>
    <s v="MPG"/>
    <s v="Direct"/>
    <n v="5.5"/>
    <n v="211.86"/>
    <n v="5.5"/>
    <n v="211.85384655599998"/>
    <n v="0"/>
    <n v="0"/>
    <n v="5.5"/>
    <n v="211.85384655599998"/>
    <n v="211.85384655599998"/>
    <n v="0"/>
    <n v="0"/>
    <n v="0"/>
    <n v="0"/>
    <n v="0"/>
    <n v="0"/>
    <n v="212"/>
    <n v="0"/>
    <n v="0"/>
    <n v="0"/>
    <n v="0"/>
    <n v="149.84280000000001"/>
    <n v="2.75"/>
    <n v="2.9044859813246336E-5"/>
    <n v="1"/>
    <m/>
    <s v="Sonvarsha"/>
    <m/>
    <n v="0"/>
  </r>
  <r>
    <s v="Munger"/>
    <s v="01-02 Apr"/>
    <n v="1006"/>
    <s v="Sonvarsha"/>
    <x v="196"/>
    <s v="ORABAGICHA"/>
    <s v="MPG"/>
    <s v="Direct"/>
    <n v="10.199999999999999"/>
    <n v="636.82999999999993"/>
    <n v="15.149999999999999"/>
    <n v="897.0271818030501"/>
    <n v="0.23"/>
    <n v="15.346055595200001"/>
    <n v="15.379999999999999"/>
    <n v="912.37323739825013"/>
    <n v="636.82999999999993"/>
    <n v="0"/>
    <n v="15.346055595200001"/>
    <n v="275.5432373982502"/>
    <n v="0"/>
    <n v="0"/>
    <n v="0"/>
    <n v="621"/>
    <n v="0"/>
    <n v="0"/>
    <n v="0"/>
    <s v="Release1"/>
    <n v="237.00065490196079"/>
    <n v="5.0999999999999996"/>
    <n v="-0.43267942370530632"/>
    <n v="3"/>
    <m/>
    <s v="Sonvarsha"/>
    <m/>
    <n v="0"/>
  </r>
  <r>
    <s v="Munger"/>
    <s v="01-02 Apr"/>
    <n v="1006"/>
    <s v="Sonvarsha"/>
    <x v="197"/>
    <s v="KHAJURIYA"/>
    <s v="MPG"/>
    <s v="Direct"/>
    <n v="180.89999999999998"/>
    <n v="7958.2000000000007"/>
    <n v="218.73000000000002"/>
    <n v="10093.556603431482"/>
    <n v="0"/>
    <n v="0"/>
    <n v="218.73000000000002"/>
    <n v="10093.556603431482"/>
    <n v="7958.2000000000007"/>
    <n v="0"/>
    <n v="0"/>
    <n v="2135.3566034314808"/>
    <n v="0"/>
    <n v="0"/>
    <n v="0"/>
    <n v="7958"/>
    <n v="0"/>
    <n v="0"/>
    <n v="0"/>
    <s v="Release1"/>
    <n v="16.805043670536232"/>
    <n v="90.449999999999989"/>
    <n v="-0.26832155555671894"/>
    <n v="4"/>
    <m/>
    <s v="Sonvarsha"/>
    <m/>
    <n v="0"/>
  </r>
  <r>
    <s v="Munger"/>
    <s v="01-02 Apr"/>
    <n v="1006"/>
    <s v="Sonvarsha"/>
    <x v="198"/>
    <s v="NAYA SALEMPUR"/>
    <s v="vlc"/>
    <s v="Indirect"/>
    <n v="171.5"/>
    <n v="6732.74"/>
    <n v="0"/>
    <n v="0"/>
    <n v="0"/>
    <n v="0"/>
    <n v="0"/>
    <n v="0"/>
    <n v="6732.74"/>
    <n v="0"/>
    <n v="0"/>
    <n v="0"/>
    <n v="0"/>
    <n v="0"/>
    <n v="0"/>
    <n v="0"/>
    <n v="0"/>
    <n v="6732.74"/>
    <n v="0"/>
    <n v="0"/>
    <n v="22.377036734693881"/>
    <n v="85.75"/>
    <n v="0"/>
    <n v="0"/>
    <m/>
    <s v="Sonvarsha"/>
    <m/>
    <n v="0"/>
  </r>
  <r>
    <s v="Munger"/>
    <s v="01-02 Apr"/>
    <n v="1006"/>
    <s v="Sonvarsha"/>
    <x v="199"/>
    <s v="MANO 2"/>
    <s v="MPG"/>
    <s v="Direct"/>
    <n v="114.5"/>
    <n v="4679.68"/>
    <n v="114.5"/>
    <n v="4679.4756690000004"/>
    <n v="0"/>
    <n v="0"/>
    <n v="114.5"/>
    <n v="4679.4756690000004"/>
    <n v="4679.4756690000004"/>
    <n v="0"/>
    <n v="0"/>
    <n v="0"/>
    <n v="0"/>
    <n v="0"/>
    <n v="0"/>
    <n v="4679"/>
    <n v="0"/>
    <n v="0"/>
    <n v="1"/>
    <n v="0"/>
    <n v="69.888670742358087"/>
    <n v="57.25"/>
    <n v="4.3663455620878135E-5"/>
    <n v="1"/>
    <m/>
    <s v="Sonvarsha"/>
    <m/>
    <n v="0"/>
  </r>
  <r>
    <s v="Munger"/>
    <s v="01-02 Apr"/>
    <n v="1006"/>
    <s v="Sonvarsha"/>
    <x v="200"/>
    <s v="Champanagar"/>
    <s v="MPG"/>
    <s v="Direct"/>
    <n v="39.599999999999994"/>
    <n v="2350.7600000000002"/>
    <n v="40.159999999999997"/>
    <n v="2477.2841395721998"/>
    <n v="0"/>
    <n v="0"/>
    <n v="40.159999999999997"/>
    <n v="2477.2841395721998"/>
    <n v="2350.7600000000002"/>
    <n v="0"/>
    <n v="0"/>
    <n v="126.5241395721996"/>
    <n v="0"/>
    <n v="0"/>
    <n v="0"/>
    <n v="2351"/>
    <n v="0"/>
    <n v="0"/>
    <n v="0"/>
    <n v="0"/>
    <n v="190.43530505050512"/>
    <n v="19.799999999999997"/>
    <n v="-5.382265291743929E-2"/>
    <n v="1"/>
    <m/>
    <s v="Sonvarsha"/>
    <m/>
    <n v="0"/>
  </r>
  <r>
    <s v="Munger"/>
    <s v="01-02 Apr"/>
    <n v="1006"/>
    <s v="Sonvarsha"/>
    <x v="201"/>
    <s v="LOSDHANI"/>
    <s v="MPG"/>
    <s v="Direct"/>
    <n v="114.2"/>
    <n v="5241.96"/>
    <n v="102.69999999999999"/>
    <n v="4715.8610421120002"/>
    <n v="1.9000000000000001"/>
    <n v="84.221148330000005"/>
    <n v="104.6"/>
    <n v="4800.082190442"/>
    <n v="4800.082190442"/>
    <n v="0"/>
    <n v="84.221148330000005"/>
    <n v="0"/>
    <n v="0"/>
    <n v="0"/>
    <n v="0"/>
    <n v="4716"/>
    <n v="0"/>
    <n v="0"/>
    <n v="442"/>
    <n v="0"/>
    <n v="78.7671047285464"/>
    <n v="57.1"/>
    <n v="8.4296295576082245E-2"/>
    <n v="2"/>
    <m/>
    <s v="Sonvarsha"/>
    <m/>
    <n v="0"/>
  </r>
  <r>
    <s v="Munger"/>
    <s v="01-02 Apr"/>
    <n v="1006"/>
    <s v="Sonvarsha"/>
    <x v="202"/>
    <s v="GOMUKH MAHGAMA"/>
    <s v="vlc"/>
    <s v="Indirect"/>
    <n v="27.9"/>
    <n v="1247.3499999999999"/>
    <n v="0"/>
    <n v="0"/>
    <n v="0"/>
    <n v="0"/>
    <n v="0"/>
    <n v="0"/>
    <n v="1247.3499999999999"/>
    <n v="0"/>
    <n v="0"/>
    <n v="0"/>
    <n v="0"/>
    <n v="0"/>
    <n v="0"/>
    <n v="0"/>
    <n v="0"/>
    <n v="1247.3499999999999"/>
    <n v="0"/>
    <n v="0"/>
    <n v="153.88454121863799"/>
    <n v="13.95"/>
    <n v="0"/>
    <n v="0"/>
    <m/>
    <s v="Sonvarsha"/>
    <m/>
    <n v="0"/>
  </r>
  <r>
    <s v="Munger"/>
    <s v="01-02 Apr"/>
    <n v="1006"/>
    <s v="Sonvarsha"/>
    <x v="203"/>
    <s v="GOMUKH BAGALWA"/>
    <s v="MPG"/>
    <s v="Direct"/>
    <n v="230.9"/>
    <n v="11669.66"/>
    <n v="0"/>
    <n v="0"/>
    <n v="0"/>
    <n v="0"/>
    <n v="0"/>
    <n v="0"/>
    <n v="0"/>
    <n v="0"/>
    <n v="0"/>
    <n v="0"/>
    <n v="0"/>
    <n v="0"/>
    <n v="0"/>
    <n v="0"/>
    <n v="0"/>
    <n v="0"/>
    <n v="11670"/>
    <n v="0"/>
    <n v="0"/>
    <n v="0"/>
    <n v="1"/>
    <n v="0"/>
    <m/>
    <s v="Sonvarsha"/>
    <m/>
    <n v="0"/>
  </r>
  <r>
    <s v="Munger"/>
    <s v="01-02 Apr"/>
    <n v="1006"/>
    <s v="Sonvarsha"/>
    <x v="204"/>
    <s v="GOMUKH LARYATAL"/>
    <s v="vlc"/>
    <s v="Indirect"/>
    <n v="130.39999999999998"/>
    <n v="6604.71"/>
    <n v="0"/>
    <n v="0"/>
    <n v="0"/>
    <n v="0"/>
    <n v="0"/>
    <n v="0"/>
    <n v="6604.71"/>
    <n v="0"/>
    <n v="0"/>
    <n v="0"/>
    <n v="0"/>
    <n v="0"/>
    <n v="0"/>
    <n v="0"/>
    <n v="0"/>
    <n v="6604.71"/>
    <n v="0"/>
    <n v="0"/>
    <n v="70.504266257668746"/>
    <n v="65.199999999999989"/>
    <n v="0"/>
    <n v="0"/>
    <m/>
    <s v="Sonvarsha"/>
    <m/>
    <n v="0"/>
  </r>
  <r>
    <s v="Munger"/>
    <s v="01-02 Apr"/>
    <n v="1006"/>
    <s v="Sonvarsha"/>
    <x v="205"/>
    <s v="CHANDANPURA"/>
    <s v="MPG"/>
    <s v="Direct"/>
    <n v="57.099999999999994"/>
    <n v="1929.3200000000002"/>
    <n v="60"/>
    <n v="2063.99681917"/>
    <n v="0"/>
    <n v="0"/>
    <n v="60"/>
    <n v="2063.99681917"/>
    <n v="1929.3200000000002"/>
    <n v="0"/>
    <n v="0"/>
    <n v="134.67681916999982"/>
    <n v="0"/>
    <n v="0"/>
    <n v="0"/>
    <n v="1929"/>
    <n v="0"/>
    <n v="0"/>
    <n v="0"/>
    <n v="0"/>
    <n v="96.567365323993016"/>
    <n v="28.549999999999997"/>
    <n v="-6.9805329945265587E-2"/>
    <n v="1"/>
    <m/>
    <s v="Sonvarsha"/>
    <m/>
    <n v="0"/>
  </r>
  <r>
    <s v="Munger"/>
    <s v="01-02 Apr"/>
    <n v="1006"/>
    <s v="Sonvarsha"/>
    <x v="206"/>
    <s v="GOMUKH BHITAKITA"/>
    <s v="vlc"/>
    <s v="Indirect"/>
    <n v="41"/>
    <n v="1778.45"/>
    <n v="0"/>
    <n v="0"/>
    <n v="0"/>
    <n v="0"/>
    <n v="0"/>
    <n v="0"/>
    <n v="1778.45"/>
    <n v="0"/>
    <n v="0"/>
    <n v="0"/>
    <n v="0"/>
    <n v="0"/>
    <n v="0"/>
    <n v="0"/>
    <n v="0"/>
    <n v="1778.45"/>
    <n v="0"/>
    <n v="0"/>
    <n v="137.93831707317074"/>
    <n v="20.5"/>
    <n v="0"/>
    <n v="0"/>
    <m/>
    <s v="Sonvarsha"/>
    <m/>
    <n v="0"/>
  </r>
  <r>
    <s v="Munger"/>
    <s v="01-02 Apr"/>
    <n v="1059"/>
    <s v="Gopalpur Bmc"/>
    <x v="207"/>
    <s v="SINGHOL"/>
    <s v="MPG"/>
    <s v="Direct"/>
    <n v="13.9"/>
    <n v="565.46"/>
    <n v="24.130000000000003"/>
    <n v="975.06487386000003"/>
    <n v="0"/>
    <n v="0"/>
    <n v="24.130000000000003"/>
    <n v="975.06487386000003"/>
    <n v="565.46"/>
    <n v="0"/>
    <n v="0"/>
    <n v="409.60487386"/>
    <n v="0"/>
    <n v="0"/>
    <n v="0"/>
    <n v="565"/>
    <n v="0"/>
    <n v="0"/>
    <n v="0"/>
    <n v="0"/>
    <n v="151.41310215827338"/>
    <n v="6.95"/>
    <n v="-0.72437462218370874"/>
    <n v="1"/>
    <m/>
    <s v="Gopalpur Bmc"/>
    <m/>
    <n v="0"/>
  </r>
  <r>
    <s v="Munger"/>
    <s v="01-02 Apr"/>
    <n v="1006"/>
    <s v="Sonvarsha"/>
    <x v="208"/>
    <s v="GOMUKH OJONTOLA"/>
    <s v="vlc"/>
    <s v="Indirect"/>
    <n v="39.1"/>
    <n v="1727.5600000000002"/>
    <n v="0"/>
    <n v="0"/>
    <n v="0"/>
    <n v="0"/>
    <n v="0"/>
    <n v="0"/>
    <n v="1727.5600000000002"/>
    <n v="0"/>
    <n v="0"/>
    <n v="0"/>
    <n v="0"/>
    <n v="0"/>
    <n v="0"/>
    <n v="0"/>
    <n v="0"/>
    <n v="1727.5600000000002"/>
    <n v="0"/>
    <n v="0"/>
    <n v="142.18128081841434"/>
    <n v="19.55"/>
    <n v="0"/>
    <n v="0"/>
    <m/>
    <s v="Sonvarsha"/>
    <m/>
    <n v="0"/>
  </r>
  <r>
    <s v="Munger"/>
    <s v="01-02 Apr"/>
    <n v="1006"/>
    <s v="Sonvarsha"/>
    <x v="209"/>
    <s v="KHUDDIBAN SHIVNAGAR"/>
    <s v="MPG"/>
    <s v="Direct"/>
    <n v="302"/>
    <n v="10210.93"/>
    <n v="302"/>
    <n v="10199.842610759999"/>
    <n v="0"/>
    <n v="0"/>
    <n v="302"/>
    <n v="10199.842610759999"/>
    <n v="10199.842610759999"/>
    <n v="0"/>
    <n v="0"/>
    <n v="0"/>
    <n v="0"/>
    <n v="0"/>
    <n v="0"/>
    <n v="10200"/>
    <n v="0"/>
    <n v="0"/>
    <n v="11"/>
    <n v="0"/>
    <n v="0"/>
    <n v="0"/>
    <n v="1.0858353979511521E-3"/>
    <n v="1"/>
    <m/>
    <s v="Sonvarsha"/>
    <m/>
    <n v="0"/>
  </r>
  <r>
    <s v="Munger"/>
    <s v="01-02 Apr"/>
    <n v="1006"/>
    <s v="Sonvarsha"/>
    <x v="210"/>
    <s v="BARIYARPUR"/>
    <s v="MPG"/>
    <s v="Direct"/>
    <n v="93.4"/>
    <n v="3667.42"/>
    <n v="92.6"/>
    <n v="3636.1890972000001"/>
    <n v="1"/>
    <n v="38.941115400000001"/>
    <n v="93.6"/>
    <n v="3675.1302126"/>
    <n v="3667.42"/>
    <n v="0"/>
    <n v="38.941115400000001"/>
    <n v="7.7102125999999771"/>
    <n v="0"/>
    <n v="0"/>
    <n v="0"/>
    <n v="3628"/>
    <n v="0"/>
    <n v="0"/>
    <n v="0"/>
    <n v="0"/>
    <n v="83.714555032119904"/>
    <n v="46.7"/>
    <n v="-2.1023533165004217E-3"/>
    <n v="2"/>
    <m/>
    <s v="Sonvarsha"/>
    <m/>
    <n v="0"/>
  </r>
  <r>
    <s v="Munger"/>
    <s v="01-02 Apr"/>
    <n v="1006"/>
    <s v="Sonvarsha"/>
    <x v="211"/>
    <s v="MASUDAN"/>
    <s v="MPG"/>
    <s v="Direct"/>
    <n v="62.400000000000006"/>
    <n v="2637.6499999999996"/>
    <n v="62.4"/>
    <n v="2540.3924123820007"/>
    <n v="0"/>
    <n v="0"/>
    <n v="62.4"/>
    <n v="2540.3924123820007"/>
    <n v="2540.3924123820007"/>
    <n v="0"/>
    <n v="0"/>
    <n v="0"/>
    <n v="0"/>
    <n v="0"/>
    <n v="0"/>
    <n v="2541"/>
    <n v="0"/>
    <n v="0"/>
    <n v="97"/>
    <n v="0"/>
    <n v="116.32712820512818"/>
    <n v="31.200000000000003"/>
    <n v="3.6872817704395579E-2"/>
    <n v="2"/>
    <m/>
    <s v="Sonvarsha"/>
    <m/>
    <n v="0"/>
  </r>
  <r>
    <s v="Munger"/>
    <s v="01-02 Apr"/>
    <n v="1007"/>
    <s v="Araria"/>
    <x v="212"/>
    <s v="Gomukh ID Araria"/>
    <s v="vlc"/>
    <s v="Indirect"/>
    <n v="1297.4000000000001"/>
    <n v="48592.909999999996"/>
    <n v="0"/>
    <n v="0"/>
    <n v="0"/>
    <n v="0"/>
    <n v="0"/>
    <n v="0"/>
    <n v="48592.909999999996"/>
    <n v="0"/>
    <n v="0"/>
    <n v="0"/>
    <n v="0"/>
    <n v="0"/>
    <n v="0"/>
    <n v="0"/>
    <n v="0"/>
    <n v="48592.909999999996"/>
    <n v="0"/>
    <n v="0"/>
    <n v="0"/>
    <n v="0"/>
    <n v="0"/>
    <n v="0"/>
    <m/>
    <s v="Araria"/>
    <m/>
    <n v="0"/>
  </r>
  <r>
    <s v="Munger"/>
    <s v="01-02 Apr"/>
    <n v="1007"/>
    <s v="Araria"/>
    <x v="213"/>
    <s v="Gomukh ID Chaidha"/>
    <s v="vlc"/>
    <s v="Indirect"/>
    <n v="274.90000000000003"/>
    <n v="9816.119999999999"/>
    <n v="0"/>
    <n v="0"/>
    <n v="0"/>
    <n v="0"/>
    <n v="0"/>
    <n v="0"/>
    <n v="9816.119999999999"/>
    <n v="0"/>
    <n v="0"/>
    <n v="0"/>
    <n v="0"/>
    <n v="0"/>
    <n v="0"/>
    <n v="0"/>
    <n v="0"/>
    <n v="9816.119999999999"/>
    <n v="0"/>
    <n v="0"/>
    <n v="0"/>
    <n v="0"/>
    <n v="0"/>
    <n v="0"/>
    <m/>
    <s v="Araria"/>
    <m/>
    <n v="0"/>
  </r>
  <r>
    <s v="Munger"/>
    <s v="01-02 Apr"/>
    <n v="1056"/>
    <s v="Chautham"/>
    <x v="214"/>
    <s v="Gomukh ID Pakrail"/>
    <s v="vlc"/>
    <s v="Indirect"/>
    <n v="144.84"/>
    <n v="5343.42"/>
    <n v="0"/>
    <n v="0"/>
    <n v="0"/>
    <n v="0"/>
    <n v="0"/>
    <n v="0"/>
    <n v="5343.42"/>
    <n v="0"/>
    <n v="0"/>
    <n v="0"/>
    <n v="0"/>
    <n v="0"/>
    <n v="0"/>
    <n v="0"/>
    <n v="0"/>
    <n v="5343.42"/>
    <n v="0"/>
    <n v="0"/>
    <n v="40.699122783761396"/>
    <n v="72.42"/>
    <n v="0"/>
    <n v="0"/>
    <m/>
    <s v="Chautham"/>
    <m/>
    <n v="0"/>
  </r>
  <r>
    <s v="Munger"/>
    <s v="01-02 Apr"/>
    <n v="1056"/>
    <s v="Chautham"/>
    <x v="215"/>
    <s v="Gomukh ID Pipra"/>
    <s v="vlc"/>
    <s v="Indirect"/>
    <n v="421.2"/>
    <n v="16350.27"/>
    <n v="0"/>
    <n v="0"/>
    <n v="0"/>
    <n v="0"/>
    <n v="0"/>
    <n v="0"/>
    <n v="16350.27"/>
    <n v="0"/>
    <n v="0"/>
    <n v="0"/>
    <n v="0"/>
    <n v="0"/>
    <n v="0"/>
    <n v="0"/>
    <n v="0"/>
    <n v="16350.27"/>
    <n v="0"/>
    <n v="0"/>
    <n v="0"/>
    <n v="0"/>
    <n v="0"/>
    <n v="0"/>
    <m/>
    <s v="Chautham"/>
    <m/>
    <n v="0"/>
  </r>
  <r>
    <s v="Munger"/>
    <s v="01-02 Apr"/>
    <n v="1007"/>
    <s v="Araria"/>
    <x v="216"/>
    <s v="Gomukh Fatepur                                                                                      "/>
    <s v="MPG"/>
    <s v="Direct"/>
    <n v="94.8"/>
    <n v="3607.41"/>
    <n v="244.33"/>
    <n v="11258.169678324002"/>
    <n v="12.939999999999998"/>
    <n v="485.45186659199993"/>
    <n v="257.27"/>
    <n v="11743.621544916003"/>
    <n v="3607.41"/>
    <n v="0"/>
    <n v="59.726393496"/>
    <n v="8136.2115449160028"/>
    <n v="0"/>
    <n v="0"/>
    <n v="0"/>
    <n v="3123"/>
    <n v="424"/>
    <n v="0"/>
    <n v="1"/>
    <n v="0"/>
    <n v="80.06319240506329"/>
    <n v="47.4"/>
    <n v="-2.2554163637945237"/>
    <n v="9"/>
    <m/>
    <s v="Araria"/>
    <m/>
    <n v="0"/>
  </r>
  <r>
    <s v="Munger"/>
    <s v="01-02 Apr"/>
    <n v="1007"/>
    <s v="Araria"/>
    <x v="217"/>
    <s v="Gomukh Gauchhari"/>
    <s v="MPG"/>
    <s v="Direct"/>
    <n v="56.300000000000004"/>
    <n v="2201.23"/>
    <n v="57.019999999999996"/>
    <n v="2244.4304885640004"/>
    <n v="0.44"/>
    <n v="17.322849324"/>
    <n v="57.459999999999994"/>
    <n v="2261.7533378880003"/>
    <n v="2201.23"/>
    <n v="0"/>
    <n v="17.322849324"/>
    <n v="60.523337888000242"/>
    <n v="0"/>
    <n v="0"/>
    <n v="0"/>
    <n v="2184"/>
    <n v="0"/>
    <n v="0"/>
    <n v="0"/>
    <s v="Release1"/>
    <n v="112.36829520426285"/>
    <n v="28.150000000000002"/>
    <n v="-2.7495235794533165E-2"/>
    <n v="4"/>
    <m/>
    <s v="Araria"/>
    <m/>
    <n v="0"/>
  </r>
  <r>
    <s v="Munger"/>
    <s v="01-02 Apr"/>
    <n v="1007"/>
    <s v="Araria"/>
    <x v="218"/>
    <s v="Gomukh Arariya Karjaniya"/>
    <s v="vlc"/>
    <s v="Indirect"/>
    <n v="4535.6000000000004"/>
    <n v="163819.27000000002"/>
    <n v="0"/>
    <n v="0"/>
    <n v="0"/>
    <n v="0"/>
    <n v="0"/>
    <n v="0"/>
    <n v="163819.27000000002"/>
    <n v="0"/>
    <n v="0"/>
    <n v="0"/>
    <n v="0"/>
    <n v="0"/>
    <n v="0"/>
    <n v="0"/>
    <n v="0"/>
    <n v="163819.27000000002"/>
    <n v="0"/>
    <n v="0"/>
    <n v="0"/>
    <n v="0"/>
    <n v="0"/>
    <n v="0"/>
    <m/>
    <s v="Araria"/>
    <m/>
    <n v="0"/>
  </r>
  <r>
    <s v="Munger"/>
    <s v="01-02 Apr"/>
    <n v="1007"/>
    <s v="Araria"/>
    <x v="219"/>
    <s v="Gomukh Balha"/>
    <s v="vlc"/>
    <s v="Indirect"/>
    <n v="2333.6999999999998"/>
    <n v="86988.19"/>
    <n v="0"/>
    <n v="0"/>
    <n v="0"/>
    <n v="0"/>
    <n v="0"/>
    <n v="0"/>
    <n v="86988.19"/>
    <n v="0"/>
    <n v="0"/>
    <n v="0"/>
    <n v="0"/>
    <n v="0"/>
    <n v="0"/>
    <n v="0"/>
    <n v="0"/>
    <n v="86988.19"/>
    <n v="0"/>
    <n v="0"/>
    <n v="0"/>
    <n v="0"/>
    <n v="0"/>
    <n v="0"/>
    <m/>
    <s v="Araria"/>
    <m/>
    <n v="0"/>
  </r>
  <r>
    <s v="Munger"/>
    <s v="01-02 Apr"/>
    <n v="1007"/>
    <s v="Araria"/>
    <x v="220"/>
    <s v="Haripur - Sanjay"/>
    <s v="vlc"/>
    <s v="Indirect"/>
    <n v="292.89999999999998"/>
    <n v="10422.69"/>
    <n v="0"/>
    <n v="0"/>
    <n v="0"/>
    <n v="0"/>
    <n v="0"/>
    <n v="0"/>
    <n v="10422.69"/>
    <n v="0"/>
    <n v="0"/>
    <n v="0"/>
    <n v="0"/>
    <n v="0"/>
    <n v="0"/>
    <n v="0"/>
    <n v="0"/>
    <n v="10422.69"/>
    <n v="0"/>
    <n v="0"/>
    <n v="0"/>
    <n v="0"/>
    <n v="0"/>
    <n v="0"/>
    <m/>
    <s v="Araria"/>
    <m/>
    <n v="0"/>
  </r>
  <r>
    <s v="Munger"/>
    <s v="01-02 Apr"/>
    <n v="1007"/>
    <s v="Araria"/>
    <x v="221"/>
    <s v="Gomukh Bari Maliya(Indirect)"/>
    <s v="vlc"/>
    <s v="Direct"/>
    <n v="794.8"/>
    <n v="28965.440000000002"/>
    <n v="794.8"/>
    <n v="28967.044472387999"/>
    <n v="0"/>
    <n v="0"/>
    <n v="794.8"/>
    <n v="28967.044472387999"/>
    <n v="28965.440000000002"/>
    <n v="0"/>
    <n v="0"/>
    <n v="1.6044723879967933"/>
    <n v="0"/>
    <n v="0"/>
    <n v="0"/>
    <n v="28965"/>
    <n v="0"/>
    <n v="0"/>
    <n v="0"/>
    <n v="0"/>
    <n v="0"/>
    <n v="0"/>
    <n v="-5.5392646823137959E-5"/>
    <n v="1"/>
    <m/>
    <s v="Araria"/>
    <m/>
    <n v="0"/>
  </r>
  <r>
    <s v="Munger"/>
    <s v="01-02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168.20000000000002"/>
    <n v="9153.1799999999985"/>
    <n v="182.89999999999998"/>
    <n v="9315.0489982193994"/>
    <n v="0"/>
    <n v="0"/>
    <n v="182.89999999999998"/>
    <n v="9315.0489982193994"/>
    <n v="9153.1799999999985"/>
    <n v="0"/>
    <n v="0"/>
    <n v="161.86899821940096"/>
    <n v="0"/>
    <n v="0"/>
    <n v="0"/>
    <n v="9153"/>
    <n v="0"/>
    <n v="0"/>
    <n v="0"/>
    <n v="0"/>
    <n v="34.610121759809722"/>
    <n v="84.100000000000009"/>
    <n v="-1.76844548254706E-2"/>
    <n v="2"/>
    <m/>
    <s v="Parbatta"/>
    <m/>
    <n v="0"/>
  </r>
  <r>
    <s v="Munger"/>
    <s v="01-02 Apr"/>
    <n v="1056"/>
    <s v="Chautham"/>
    <x v="223"/>
    <s v="Gomukh Malpa Uttari                                                                                 "/>
    <s v="vlc"/>
    <s v="Indirect"/>
    <n v="97.02000000000001"/>
    <n v="3460.96"/>
    <n v="0"/>
    <n v="0"/>
    <n v="0"/>
    <n v="0"/>
    <n v="0"/>
    <n v="0"/>
    <n v="3460.96"/>
    <n v="0"/>
    <n v="0"/>
    <n v="0"/>
    <n v="0"/>
    <n v="0"/>
    <n v="0"/>
    <n v="0"/>
    <n v="0"/>
    <n v="3460.96"/>
    <n v="0"/>
    <n v="0"/>
    <n v="73.471379262007815"/>
    <n v="48.510000000000005"/>
    <n v="0"/>
    <n v="0"/>
    <m/>
    <s v="Chautham"/>
    <m/>
    <n v="0"/>
  </r>
  <r>
    <s v="Munger"/>
    <s v="01-02 Apr"/>
    <n v="1007"/>
    <s v="Araria"/>
    <x v="224"/>
    <s v="Gomukh Sapha"/>
    <s v="MPG"/>
    <s v="Direct"/>
    <n v="43.2"/>
    <n v="1855.2199999999998"/>
    <n v="43.2"/>
    <n v="2181.8683635840002"/>
    <n v="0"/>
    <n v="0"/>
    <n v="43.2"/>
    <n v="2181.8683635840002"/>
    <n v="1855.2199999999998"/>
    <n v="0"/>
    <n v="0"/>
    <n v="326.64836358400044"/>
    <n v="0"/>
    <n v="0"/>
    <n v="0"/>
    <n v="1855"/>
    <n v="0"/>
    <n v="0"/>
    <n v="0"/>
    <n v="0"/>
    <n v="134.67522962962963"/>
    <n v="21.6"/>
    <n v="-0.17606988043682176"/>
    <n v="1"/>
    <m/>
    <s v="Araria"/>
    <m/>
    <n v="0"/>
  </r>
  <r>
    <s v="Munger"/>
    <s v="01-02 Apr"/>
    <n v="1007"/>
    <s v="Araria"/>
    <x v="225"/>
    <s v="Araria"/>
    <s v="vlc"/>
    <s v="Indirect"/>
    <n v="7071.4000000000005"/>
    <n v="263535.09999999998"/>
    <n v="0"/>
    <n v="0"/>
    <n v="0"/>
    <n v="0"/>
    <n v="0"/>
    <n v="0"/>
    <n v="263535.09999999998"/>
    <n v="0"/>
    <n v="0"/>
    <n v="0"/>
    <n v="0"/>
    <n v="0"/>
    <n v="0"/>
    <n v="0"/>
    <n v="0"/>
    <n v="263535.09999999998"/>
    <n v="0"/>
    <n v="0"/>
    <n v="0"/>
    <n v="0"/>
    <n v="0"/>
    <n v="0"/>
    <m/>
    <s v="Araria"/>
    <m/>
    <n v="0"/>
  </r>
  <r>
    <s v="Munger"/>
    <s v="01-02 Apr"/>
    <n v="1007"/>
    <s v="Araria"/>
    <x v="226"/>
    <s v="Gomukh Gauchhari"/>
    <s v="MPG"/>
    <s v="Direct"/>
    <n v="407.09999999999997"/>
    <n v="15891.13"/>
    <n v="500"/>
    <n v="19615.749120000004"/>
    <n v="0"/>
    <n v="0"/>
    <n v="500"/>
    <n v="19615.749120000004"/>
    <n v="15891.13"/>
    <n v="0"/>
    <n v="0"/>
    <n v="3724.6191200000048"/>
    <n v="0"/>
    <n v="0"/>
    <n v="0"/>
    <n v="15891"/>
    <n v="0"/>
    <n v="0"/>
    <n v="0"/>
    <n v="0"/>
    <n v="0"/>
    <n v="0"/>
    <n v="-0.23438352842120133"/>
    <n v="2"/>
    <m/>
    <s v="Araria"/>
    <m/>
    <n v="0"/>
  </r>
  <r>
    <s v="Munger"/>
    <s v="01-02 Apr"/>
    <n v="1056"/>
    <s v="Chautham"/>
    <x v="227"/>
    <s v="Telouch"/>
    <s v="MPG"/>
    <s v="Direct"/>
    <n v="832.18"/>
    <n v="31573.449999999997"/>
    <n v="849.73"/>
    <n v="32973.280853040007"/>
    <n v="4"/>
    <n v="147.44826360000002"/>
    <n v="853.73"/>
    <n v="33120.72911664001"/>
    <n v="31573.449999999997"/>
    <n v="0"/>
    <n v="147.44826360000002"/>
    <n v="1547.2791166400129"/>
    <n v="0"/>
    <n v="0"/>
    <n v="0"/>
    <n v="31426"/>
    <n v="0"/>
    <n v="0"/>
    <n v="0"/>
    <n v="0"/>
    <n v="0"/>
    <n v="0"/>
    <n v="-4.9005703103082277E-2"/>
    <n v="7"/>
    <m/>
    <s v="Chautham"/>
    <m/>
    <n v="0"/>
  </r>
  <r>
    <s v="Munger"/>
    <s v="01-02 Apr"/>
    <n v="1010"/>
    <s v="Parbatta"/>
    <x v="228"/>
    <s v="Gomukh Salarpur East"/>
    <s v="MPG"/>
    <s v="Direct"/>
    <n v="24.8"/>
    <n v="877.42"/>
    <n v="24.8"/>
    <n v="982.10749824000015"/>
    <n v="0"/>
    <n v="0"/>
    <n v="24.8"/>
    <n v="982.10749824000015"/>
    <n v="877.42"/>
    <n v="0"/>
    <n v="0"/>
    <n v="104.6874982400002"/>
    <n v="0"/>
    <n v="0"/>
    <n v="0"/>
    <n v="877"/>
    <n v="0"/>
    <n v="0"/>
    <n v="0"/>
    <n v="0"/>
    <n v="123.97095483870966"/>
    <n v="12.4"/>
    <n v="-0.11931286982289006"/>
    <n v="1"/>
    <m/>
    <s v="Parbatta"/>
    <m/>
    <n v="0"/>
  </r>
  <r>
    <s v="Munger"/>
    <s v="01-02 Apr"/>
    <n v="1007"/>
    <s v="Araria"/>
    <x v="229"/>
    <s v="Gomukh Jhangara B"/>
    <s v="MPG"/>
    <s v="Direct"/>
    <n v="398.20000000000005"/>
    <n v="15824.009999999998"/>
    <n v="400.79999999999995"/>
    <n v="16313.725981476002"/>
    <n v="0"/>
    <n v="0"/>
    <n v="400.79999999999995"/>
    <n v="16313.725981476002"/>
    <n v="15824.009999999998"/>
    <n v="0"/>
    <n v="0"/>
    <n v="489.71598147600344"/>
    <n v="0"/>
    <n v="0"/>
    <n v="0"/>
    <n v="15824"/>
    <n v="0"/>
    <n v="0"/>
    <n v="0"/>
    <n v="0"/>
    <n v="0"/>
    <n v="0"/>
    <n v="-3.0947653690562852E-2"/>
    <n v="7"/>
    <m/>
    <s v="Araria"/>
    <m/>
    <n v="0"/>
  </r>
  <r>
    <s v="Munger"/>
    <s v="01-02 Apr"/>
    <n v="1056"/>
    <s v="Chautham"/>
    <x v="230"/>
    <s v="Gomukh Saraiya"/>
    <s v="vlc"/>
    <s v="Direct"/>
    <n v="122.83999999999999"/>
    <n v="4467.79"/>
    <n v="245.18"/>
    <n v="8528.3667051660013"/>
    <n v="0"/>
    <n v="0"/>
    <n v="245.18"/>
    <n v="8528.3667051660013"/>
    <n v="4467.79"/>
    <n v="0"/>
    <n v="0"/>
    <n v="4060.5767051660014"/>
    <n v="0"/>
    <n v="0"/>
    <n v="0"/>
    <n v="4468"/>
    <n v="0"/>
    <n v="0"/>
    <n v="0"/>
    <n v="0"/>
    <n v="56.127430218169984"/>
    <n v="61.419999999999995"/>
    <n v="-0.90885576653468525"/>
    <n v="2"/>
    <m/>
    <s v="Chautham"/>
    <m/>
    <n v="0"/>
  </r>
  <r>
    <s v="Munger"/>
    <s v="01-02 Apr"/>
    <n v="1056"/>
    <s v="Chautham"/>
    <x v="231"/>
    <s v=" Gomukh Nauranga"/>
    <s v="vlc"/>
    <s v="Indirect"/>
    <n v="247.33999999999997"/>
    <n v="9941.98"/>
    <n v="0"/>
    <n v="0"/>
    <n v="0"/>
    <n v="0"/>
    <n v="0"/>
    <n v="0"/>
    <n v="9941.98"/>
    <n v="0"/>
    <n v="0"/>
    <n v="0"/>
    <n v="0"/>
    <n v="0"/>
    <n v="0"/>
    <n v="0"/>
    <n v="0"/>
    <n v="9941.98"/>
    <n v="0"/>
    <n v="0"/>
    <n v="0"/>
    <n v="0"/>
    <n v="0"/>
    <n v="0"/>
    <m/>
    <s v="Chautham"/>
    <m/>
    <n v="0"/>
  </r>
  <r>
    <s v="Munger"/>
    <s v="01-02 Apr"/>
    <n v="1056"/>
    <s v="Chautham"/>
    <x v="232"/>
    <s v="Gomukh Malpa Dhutauli VLC"/>
    <s v="vlc"/>
    <s v="Indirect"/>
    <n v="16"/>
    <n v="525.37"/>
    <n v="0"/>
    <n v="0"/>
    <n v="0"/>
    <n v="0"/>
    <n v="0"/>
    <n v="0"/>
    <n v="525.37"/>
    <n v="0"/>
    <n v="0"/>
    <n v="0"/>
    <n v="0"/>
    <n v="0"/>
    <n v="0"/>
    <n v="0"/>
    <n v="0"/>
    <n v="525.37"/>
    <n v="0"/>
    <n v="0"/>
    <n v="120.83510000000001"/>
    <n v="8"/>
    <n v="0"/>
    <n v="0"/>
    <m/>
    <s v="Chautham"/>
    <m/>
    <n v="0"/>
  </r>
  <r>
    <s v="Munger"/>
    <s v="01-02 Apr"/>
    <n v="1056"/>
    <s v="Chautham"/>
    <x v="233"/>
    <s v="Gomukh Pakrail Vijay Nagar VLC"/>
    <s v="vlc"/>
    <s v="Indirect"/>
    <n v="527.9"/>
    <n v="19393.61"/>
    <n v="0"/>
    <n v="0"/>
    <n v="0"/>
    <n v="0"/>
    <n v="0"/>
    <n v="0"/>
    <n v="19393.61"/>
    <n v="0"/>
    <n v="0"/>
    <n v="0"/>
    <n v="0"/>
    <n v="0"/>
    <n v="0"/>
    <n v="0"/>
    <n v="0"/>
    <n v="19393.61"/>
    <n v="0"/>
    <n v="0"/>
    <n v="0"/>
    <n v="0"/>
    <n v="0"/>
    <n v="0"/>
    <m/>
    <s v="Chautham"/>
    <m/>
    <n v="0"/>
  </r>
  <r>
    <s v="Munger"/>
    <s v="01-02 Apr"/>
    <n v="1056"/>
    <s v="Chautham"/>
    <x v="234"/>
    <s v="Gomukh Pakrail Shirnia VLC"/>
    <s v="vlc"/>
    <s v="Indirect"/>
    <n v="69.56"/>
    <n v="2526.71"/>
    <n v="0"/>
    <n v="0"/>
    <n v="0"/>
    <n v="0"/>
    <n v="0"/>
    <n v="0"/>
    <n v="2526.71"/>
    <n v="0"/>
    <n v="0"/>
    <n v="0"/>
    <n v="0"/>
    <n v="0"/>
    <n v="0"/>
    <n v="0"/>
    <n v="0"/>
    <n v="2526.71"/>
    <n v="0"/>
    <n v="0"/>
    <n v="94.762522254169056"/>
    <n v="34.78"/>
    <n v="0"/>
    <n v="0"/>
    <m/>
    <s v="Chautham"/>
    <m/>
    <n v="0"/>
  </r>
  <r>
    <s v="Munger"/>
    <s v="01-02 Apr"/>
    <n v="1007"/>
    <s v="Araria"/>
    <x v="235"/>
    <s v="Gomukh Godhiyasi Nayagow VLC"/>
    <s v="vlc"/>
    <s v="Indirect"/>
    <n v="46.4"/>
    <n v="1601.3600000000001"/>
    <n v="0"/>
    <n v="0"/>
    <n v="0"/>
    <n v="0"/>
    <n v="0"/>
    <n v="0"/>
    <n v="1601.3600000000001"/>
    <n v="0"/>
    <n v="0"/>
    <n v="0"/>
    <n v="0"/>
    <n v="0"/>
    <n v="0"/>
    <n v="0"/>
    <n v="0"/>
    <n v="1601.3600000000001"/>
    <n v="0"/>
    <n v="0"/>
    <n v="106.02107586206898"/>
    <n v="23.2"/>
    <n v="0"/>
    <n v="0"/>
    <m/>
    <s v="Araria"/>
    <m/>
    <n v="0"/>
  </r>
  <r>
    <s v="Munger"/>
    <s v="01-02 Apr"/>
    <n v="1010"/>
    <s v="Parbatta"/>
    <x v="236"/>
    <s v="Gomukh Bandehra Purbi"/>
    <s v="MPG"/>
    <s v="Direct"/>
    <n v="272.7"/>
    <n v="10397.540000000001"/>
    <n v="272.7"/>
    <n v="13773.044045123999"/>
    <n v="0"/>
    <n v="0"/>
    <n v="272.7"/>
    <n v="13773.044045123999"/>
    <n v="10397.540000000001"/>
    <n v="0"/>
    <n v="0"/>
    <n v="3375.5040451239984"/>
    <n v="0"/>
    <n v="0"/>
    <n v="0"/>
    <n v="10398"/>
    <n v="0"/>
    <n v="0"/>
    <n v="0"/>
    <n v="0"/>
    <n v="0"/>
    <n v="0"/>
    <n v="-0.3246444875541713"/>
    <n v="1"/>
    <m/>
    <s v="Parbatta"/>
    <m/>
    <n v="0"/>
  </r>
  <r>
    <s v="Munger"/>
    <s v="01-02 Apr"/>
    <n v="1056"/>
    <s v="Chautham"/>
    <x v="237"/>
    <s v="Gomukh Tila Tol"/>
    <s v="MPG"/>
    <s v="Direct"/>
    <n v="458.32"/>
    <n v="17112.129999999997"/>
    <n v="458.62"/>
    <n v="17121.991187664004"/>
    <n v="1.98"/>
    <n v="75.973452984000005"/>
    <n v="460.6"/>
    <n v="17197.964640648002"/>
    <n v="17112.129999999997"/>
    <n v="0"/>
    <n v="75.973452984000005"/>
    <n v="85.834640648005006"/>
    <n v="0"/>
    <n v="0"/>
    <n v="0"/>
    <n v="17036"/>
    <n v="0"/>
    <n v="0"/>
    <n v="0"/>
    <n v="0"/>
    <n v="0"/>
    <n v="0"/>
    <n v="-5.0160114870565512E-3"/>
    <n v="2"/>
    <m/>
    <s v="Chautham"/>
    <m/>
    <n v="0"/>
  </r>
  <r>
    <s v="Munger"/>
    <s v="01-02 Apr"/>
    <n v="1007"/>
    <s v="Araria"/>
    <x v="238"/>
    <s v="Gomukh Dina Chakla Vlc"/>
    <s v="vlc"/>
    <s v="Indirect"/>
    <n v="90"/>
    <n v="3346.64"/>
    <n v="0"/>
    <n v="0"/>
    <n v="0"/>
    <n v="0"/>
    <n v="0"/>
    <n v="0"/>
    <n v="3346.64"/>
    <n v="0"/>
    <n v="0"/>
    <n v="0"/>
    <n v="0"/>
    <n v="0"/>
    <n v="0"/>
    <n v="0"/>
    <n v="0"/>
    <n v="3346.64"/>
    <n v="0"/>
    <n v="0"/>
    <n v="81.806755555555554"/>
    <n v="45"/>
    <n v="0"/>
    <n v="0"/>
    <m/>
    <s v="Araria"/>
    <m/>
    <n v="0"/>
  </r>
  <r>
    <s v="Munger"/>
    <s v="01-02 Apr"/>
    <n v="1007"/>
    <s v="Araria"/>
    <x v="239"/>
    <s v="Gomukh Gogri VLC"/>
    <s v="vlc"/>
    <s v="Indirect"/>
    <n v="197.7"/>
    <n v="6874.98"/>
    <n v="0"/>
    <n v="0"/>
    <n v="0"/>
    <n v="0"/>
    <n v="0"/>
    <n v="0"/>
    <n v="6874.98"/>
    <n v="0"/>
    <n v="0"/>
    <n v="0"/>
    <n v="0"/>
    <n v="0"/>
    <n v="0"/>
    <n v="0"/>
    <n v="0"/>
    <n v="6874.98"/>
    <n v="0"/>
    <n v="0"/>
    <n v="1.5996412746585815"/>
    <n v="98.85"/>
    <n v="0"/>
    <n v="0"/>
    <m/>
    <s v="Araria"/>
    <m/>
    <n v="0"/>
  </r>
  <r>
    <s v="Munger"/>
    <s v="01-02 Apr"/>
    <n v="1007"/>
    <s v="Araria"/>
    <x v="240"/>
    <s v="Gomukh Sondiha Jay Prakash VLC"/>
    <s v="vlc"/>
    <s v="Indirect"/>
    <n v="77.2"/>
    <n v="2747"/>
    <n v="0"/>
    <n v="0"/>
    <n v="0"/>
    <n v="0"/>
    <n v="0"/>
    <n v="0"/>
    <n v="2747"/>
    <n v="0"/>
    <n v="0"/>
    <n v="0"/>
    <n v="0"/>
    <n v="0"/>
    <n v="0"/>
    <n v="0"/>
    <n v="0"/>
    <n v="2747"/>
    <n v="0"/>
    <n v="0"/>
    <n v="87.39160621761657"/>
    <n v="38.6"/>
    <n v="0"/>
    <n v="0"/>
    <m/>
    <s v="Araria"/>
    <m/>
    <n v="0"/>
  </r>
  <r>
    <s v="Munger"/>
    <s v="01-02 Apr"/>
    <n v="1007"/>
    <s v="Araria"/>
    <x v="241"/>
    <s v="Gomukh Bari Chak Gogri"/>
    <s v="MPG"/>
    <s v="Direct"/>
    <n v="55.4"/>
    <n v="1839.26"/>
    <n v="56.64"/>
    <n v="2016.5022890496002"/>
    <n v="0"/>
    <n v="0"/>
    <n v="56.64"/>
    <n v="2016.5022890496002"/>
    <n v="1839.26"/>
    <n v="0"/>
    <n v="0"/>
    <n v="177.24228904960023"/>
    <n v="0"/>
    <n v="0"/>
    <n v="0"/>
    <n v="1839"/>
    <n v="0"/>
    <n v="0"/>
    <n v="0"/>
    <n v="0"/>
    <n v="96.013355956678694"/>
    <n v="27.7"/>
    <n v="-9.6366086931483436E-2"/>
    <n v="1"/>
    <m/>
    <s v="Araria"/>
    <m/>
    <n v="0"/>
  </r>
  <r>
    <s v="Munger"/>
    <s v="01-02 Apr"/>
    <n v="1007"/>
    <s v="Araria"/>
    <x v="242"/>
    <s v="Gomukh Khatha"/>
    <s v="MPG"/>
    <s v="Direct"/>
    <n v="281.89999999999998"/>
    <n v="10385.51"/>
    <n v="282"/>
    <n v="14242.751817840001"/>
    <n v="0"/>
    <n v="0"/>
    <n v="282"/>
    <n v="14242.751817840001"/>
    <n v="10385.51"/>
    <n v="0"/>
    <n v="0"/>
    <n v="3857.2418178400003"/>
    <n v="0"/>
    <n v="0"/>
    <n v="0"/>
    <n v="10386"/>
    <n v="0"/>
    <n v="0"/>
    <n v="0"/>
    <n v="0"/>
    <n v="0"/>
    <n v="0"/>
    <n v="-0.37140610502902605"/>
    <n v="1"/>
    <m/>
    <s v="Araria"/>
    <m/>
    <n v="0"/>
  </r>
  <r>
    <s v="Munger"/>
    <s v="01-02 Apr"/>
    <n v="1055"/>
    <s v="Matihani"/>
    <x v="243"/>
    <s v="Chak Punervas"/>
    <s v="vlc"/>
    <s v="Indirect"/>
    <n v="175.89999999999998"/>
    <n v="6418.92"/>
    <n v="0"/>
    <n v="0"/>
    <n v="0"/>
    <n v="0"/>
    <n v="0"/>
    <n v="0"/>
    <n v="6418.92"/>
    <n v="0"/>
    <n v="0"/>
    <n v="0"/>
    <n v="0"/>
    <n v="0"/>
    <n v="0"/>
    <n v="0"/>
    <n v="0"/>
    <n v="6418.92"/>
    <n v="0"/>
    <n v="0"/>
    <n v="17.58908152359297"/>
    <n v="87.949999999999989"/>
    <n v="0"/>
    <n v="0"/>
    <m/>
    <s v="Matihani"/>
    <m/>
    <n v="0"/>
  </r>
  <r>
    <s v="Munger"/>
    <s v="01-02 Apr"/>
    <n v="1008"/>
    <s v="Teghra"/>
    <x v="244"/>
    <s v="Labherchak"/>
    <s v="vlc"/>
    <s v="Indirect"/>
    <n v="107.25"/>
    <n v="4086.94"/>
    <n v="0"/>
    <n v="0"/>
    <n v="0"/>
    <n v="0"/>
    <n v="0"/>
    <n v="0"/>
    <n v="4086.94"/>
    <n v="0"/>
    <n v="0"/>
    <n v="0"/>
    <n v="0"/>
    <n v="0"/>
    <n v="0"/>
    <n v="0"/>
    <n v="0"/>
    <n v="4086.94"/>
    <n v="0"/>
    <n v="0"/>
    <n v="70.687866666666665"/>
    <n v="53.625"/>
    <n v="0"/>
    <n v="0"/>
    <m/>
    <s v="Teghra"/>
    <m/>
    <n v="0"/>
  </r>
  <r>
    <s v="Munger"/>
    <s v="01-02 Apr"/>
    <n v="1008"/>
    <s v="Teghra"/>
    <x v="245"/>
    <s v="Paspura"/>
    <s v="vlc"/>
    <s v="Indirect"/>
    <n v="126.75"/>
    <n v="4407.67"/>
    <n v="0"/>
    <n v="0"/>
    <n v="0"/>
    <n v="0"/>
    <n v="0"/>
    <n v="0"/>
    <n v="4407.67"/>
    <n v="0"/>
    <n v="0"/>
    <n v="0"/>
    <n v="0"/>
    <n v="0"/>
    <n v="0"/>
    <n v="0"/>
    <n v="0"/>
    <n v="4407.67"/>
    <n v="0"/>
    <n v="0"/>
    <n v="50.944667061143981"/>
    <n v="63.375"/>
    <n v="0"/>
    <n v="0"/>
    <m/>
    <s v="Teghra"/>
    <m/>
    <n v="0"/>
  </r>
  <r>
    <s v="Munger"/>
    <s v="01-02 Apr"/>
    <n v="1008"/>
    <s v="Teghra"/>
    <x v="246"/>
    <s v="Gomukh Godhna"/>
    <s v="vlc"/>
    <s v="Indirect"/>
    <n v="44.85"/>
    <n v="1642.1000000000001"/>
    <n v="0"/>
    <n v="0"/>
    <n v="0"/>
    <n v="0"/>
    <n v="0"/>
    <n v="0"/>
    <n v="1642.1000000000001"/>
    <n v="0"/>
    <n v="0"/>
    <n v="0"/>
    <n v="0"/>
    <n v="0"/>
    <n v="0"/>
    <n v="0"/>
    <n v="0"/>
    <n v="1642.1000000000001"/>
    <n v="0"/>
    <n v="0"/>
    <n v="113.6106198439242"/>
    <n v="22.425000000000001"/>
    <n v="0"/>
    <n v="0"/>
    <m/>
    <s v="Teghra"/>
    <m/>
    <n v="0"/>
  </r>
  <r>
    <s v="Munger"/>
    <s v="01-02 Apr"/>
    <n v="1008"/>
    <s v="Teghra"/>
    <x v="247"/>
    <s v="Gomukh Sihma 2"/>
    <s v="vlc"/>
    <s v="Indirect"/>
    <n v="103.45"/>
    <n v="3705.29"/>
    <n v="0"/>
    <n v="0"/>
    <n v="0"/>
    <n v="0"/>
    <n v="0"/>
    <n v="0"/>
    <n v="3705.29"/>
    <n v="0"/>
    <n v="0"/>
    <n v="0"/>
    <n v="0"/>
    <n v="0"/>
    <n v="0"/>
    <n v="0"/>
    <n v="0"/>
    <n v="3705.29"/>
    <n v="0"/>
    <n v="0"/>
    <n v="69.163025519574674"/>
    <n v="51.725000000000001"/>
    <n v="0"/>
    <n v="0"/>
    <m/>
    <s v="Teghra"/>
    <m/>
    <n v="0"/>
  </r>
  <r>
    <s v="Munger"/>
    <s v="01-02 Apr"/>
    <n v="1008"/>
    <s v="Teghra"/>
    <x v="248"/>
    <s v="Gomukh ID Marsaito"/>
    <s v="vlc"/>
    <s v="Indirect"/>
    <n v="186.25"/>
    <n v="6854.16"/>
    <n v="0"/>
    <n v="0"/>
    <n v="0"/>
    <n v="0"/>
    <n v="0"/>
    <n v="0"/>
    <n v="6854.16"/>
    <n v="0"/>
    <n v="0"/>
    <n v="0"/>
    <n v="0"/>
    <n v="0"/>
    <n v="0"/>
    <n v="0"/>
    <n v="0"/>
    <n v="6854.16"/>
    <n v="0"/>
    <n v="0"/>
    <n v="10.120236241610739"/>
    <n v="93.125"/>
    <n v="0"/>
    <n v="0"/>
    <m/>
    <s v="Teghra"/>
    <m/>
    <n v="0"/>
  </r>
  <r>
    <s v="Munger"/>
    <s v="01-02 Apr"/>
    <n v="1008"/>
    <s v="Teghra"/>
    <x v="249"/>
    <s v="Gomukh ID Akashpur-2"/>
    <s v="vlc"/>
    <s v="Indirect"/>
    <n v="1081.7"/>
    <n v="38628.21"/>
    <n v="0"/>
    <n v="0"/>
    <n v="0"/>
    <n v="0"/>
    <n v="0"/>
    <n v="0"/>
    <n v="38628.21"/>
    <n v="0"/>
    <n v="0"/>
    <n v="0"/>
    <n v="0"/>
    <n v="0"/>
    <n v="0"/>
    <n v="0"/>
    <n v="0"/>
    <n v="38628.21"/>
    <n v="0"/>
    <n v="0"/>
    <n v="0"/>
    <n v="0"/>
    <n v="0"/>
    <n v="0"/>
    <m/>
    <s v="Teghra"/>
    <m/>
    <n v="0"/>
  </r>
  <r>
    <s v="Munger"/>
    <s v="01-02 Apr"/>
    <n v="1008"/>
    <s v="Teghra"/>
    <x v="250"/>
    <s v="Gomukh ID Akashpur"/>
    <s v="vlc"/>
    <s v="Indirect"/>
    <n v="196.75"/>
    <n v="7464.2999999999993"/>
    <n v="0"/>
    <n v="0"/>
    <n v="0"/>
    <n v="0"/>
    <n v="0"/>
    <n v="0"/>
    <n v="7464.2999999999993"/>
    <n v="0"/>
    <n v="0"/>
    <n v="0"/>
    <n v="0"/>
    <n v="0"/>
    <n v="0"/>
    <n v="0"/>
    <n v="0"/>
    <n v="7464.2999999999993"/>
    <n v="0"/>
    <n v="0"/>
    <n v="2.4659695044472678"/>
    <n v="98.375"/>
    <n v="0"/>
    <n v="0"/>
    <m/>
    <s v="Teghra"/>
    <m/>
    <n v="0"/>
  </r>
  <r>
    <s v="Munger"/>
    <s v="01-02 Apr"/>
    <n v="1008"/>
    <s v="Teghra"/>
    <x v="251"/>
    <s v="Gomukh ID Rachiyahi"/>
    <s v="vlc"/>
    <s v="Indirect"/>
    <n v="15.1"/>
    <n v="562.16999999999996"/>
    <n v="0"/>
    <n v="0"/>
    <n v="0"/>
    <n v="0"/>
    <n v="0"/>
    <n v="0"/>
    <n v="562.16999999999996"/>
    <n v="0"/>
    <n v="0"/>
    <n v="0"/>
    <n v="0"/>
    <n v="0"/>
    <n v="0"/>
    <n v="0"/>
    <n v="0"/>
    <n v="562.16999999999996"/>
    <n v="0"/>
    <n v="0"/>
    <n v="137.67580529801324"/>
    <n v="7.55"/>
    <n v="0"/>
    <n v="0"/>
    <m/>
    <s v="Teghra"/>
    <m/>
    <n v="0"/>
  </r>
  <r>
    <s v="Munger"/>
    <s v="01-02 Apr"/>
    <n v="1008"/>
    <s v="Teghra"/>
    <x v="252"/>
    <s v="GomukhBariyahi Chanan"/>
    <s v="MPG"/>
    <s v="Direct"/>
    <n v="1111.05"/>
    <n v="38954.850000000006"/>
    <n v="1109.3"/>
    <n v="39599.718941875806"/>
    <n v="1"/>
    <n v="34.093995408000012"/>
    <n v="1110.3"/>
    <n v="39633.812937283808"/>
    <n v="38954.850000000006"/>
    <n v="0"/>
    <n v="34.093995408000012"/>
    <n v="678.9629372838026"/>
    <n v="0"/>
    <n v="0"/>
    <n v="0"/>
    <n v="38921"/>
    <n v="0"/>
    <n v="0"/>
    <n v="0"/>
    <n v="0"/>
    <n v="0"/>
    <n v="0"/>
    <n v="-1.7429484063827803E-2"/>
    <n v="10"/>
    <m/>
    <s v="Teghra"/>
    <m/>
    <n v="0"/>
  </r>
  <r>
    <s v="Munger"/>
    <s v="01-02 Apr"/>
    <n v="1008"/>
    <s v="Teghra"/>
    <x v="253"/>
    <s v="GomukhGehuni"/>
    <s v="MPG"/>
    <s v="Direct"/>
    <n v="37.349999999999994"/>
    <n v="1400.92"/>
    <n v="34.799999999999997"/>
    <n v="1319.7999078000003"/>
    <n v="0.60000000000000009"/>
    <n v="21.701433600000001"/>
    <n v="35.4"/>
    <n v="1341.5013414000002"/>
    <n v="1341.5013414000002"/>
    <n v="0"/>
    <n v="21.701433600000001"/>
    <n v="0"/>
    <n v="0"/>
    <n v="0"/>
    <n v="0"/>
    <n v="1320"/>
    <n v="0"/>
    <n v="0"/>
    <n v="59"/>
    <n v="0"/>
    <n v="122.013193038822"/>
    <n v="18.674999999999997"/>
    <n v="4.2414026925163349E-2"/>
    <n v="6"/>
    <m/>
    <s v="Teghra"/>
    <m/>
    <n v="0"/>
  </r>
  <r>
    <s v="Munger"/>
    <s v="01-02 Apr"/>
    <n v="1008"/>
    <s v="Teghra"/>
    <x v="254"/>
    <s v="Gomukh Bakhatpur"/>
    <s v="MPG"/>
    <s v="Direct"/>
    <n v="75.849999999999994"/>
    <n v="3166.05"/>
    <n v="73.89"/>
    <n v="3072.4699301097598"/>
    <n v="1.21"/>
    <n v="46.480023691200003"/>
    <n v="75.099999999999994"/>
    <n v="3118.94995380096"/>
    <n v="3118.94995380096"/>
    <n v="0"/>
    <n v="46.480023691200003"/>
    <n v="0"/>
    <n v="0"/>
    <n v="0"/>
    <n v="0"/>
    <n v="3073"/>
    <n v="0"/>
    <n v="0"/>
    <n v="47"/>
    <n v="0"/>
    <n v="103.64274423203693"/>
    <n v="37.924999999999997"/>
    <n v="1.4876595820988362E-2"/>
    <n v="6"/>
    <m/>
    <s v="Teghra"/>
    <m/>
    <n v="0"/>
  </r>
  <r>
    <s v="Munger"/>
    <s v="01-02 Apr"/>
    <n v="1008"/>
    <s v="Teghra"/>
    <x v="255"/>
    <s v="Ananaya Dairy"/>
    <s v="vlc"/>
    <s v="Indirect"/>
    <n v="1132"/>
    <n v="44532.88"/>
    <n v="0"/>
    <n v="0"/>
    <n v="0"/>
    <n v="0"/>
    <n v="0"/>
    <n v="0"/>
    <n v="44532.88"/>
    <n v="0"/>
    <n v="0"/>
    <n v="0"/>
    <n v="0"/>
    <n v="0"/>
    <n v="0"/>
    <n v="0"/>
    <n v="0"/>
    <n v="44532.88"/>
    <n v="0"/>
    <n v="0"/>
    <n v="0"/>
    <n v="0"/>
    <n v="0"/>
    <n v="0"/>
    <m/>
    <s v="Teghra"/>
    <m/>
    <n v="0"/>
  </r>
  <r>
    <s v="Munger"/>
    <s v="01-02 Apr"/>
    <n v="1008"/>
    <s v="Teghra"/>
    <x v="256"/>
    <s v="Gomukh Bishanpur"/>
    <s v="MPG"/>
    <s v="Direct"/>
    <n v="262"/>
    <n v="9240.68"/>
    <n v="265.65999999999997"/>
    <n v="10110.818103024329"/>
    <n v="4.83"/>
    <n v="187.65523180800002"/>
    <n v="270.48999999999995"/>
    <n v="10298.473334832328"/>
    <n v="9240.68"/>
    <n v="0"/>
    <n v="187.65523180800002"/>
    <n v="1057.7933348323277"/>
    <n v="0"/>
    <n v="0"/>
    <n v="0"/>
    <n v="9053"/>
    <n v="0"/>
    <n v="0"/>
    <n v="0"/>
    <s v="Release1"/>
    <n v="0"/>
    <n v="0"/>
    <n v="-0.11447137384178736"/>
    <n v="28"/>
    <m/>
    <s v="Teghra"/>
    <m/>
    <n v="0"/>
  </r>
  <r>
    <s v="Munger"/>
    <s v="01-02 Apr"/>
    <n v="1008"/>
    <s v="Teghra"/>
    <x v="257"/>
    <s v="GOMUKH BEGAMSARAI"/>
    <s v="MPG"/>
    <s v="Direct"/>
    <n v="154.5"/>
    <n v="6300.3799999999992"/>
    <n v="56.599999999999994"/>
    <n v="2395.3143095798405"/>
    <n v="95.88"/>
    <n v="3939.3294727564803"/>
    <n v="152.47999999999999"/>
    <n v="6334.6437823363212"/>
    <n v="6300.3799999999992"/>
    <n v="0"/>
    <n v="27.314663191200001"/>
    <n v="34.263782336322038"/>
    <n v="0"/>
    <n v="0"/>
    <n v="0"/>
    <n v="2361"/>
    <n v="3912"/>
    <n v="0"/>
    <n v="0"/>
    <n v="0"/>
    <n v="37.109034304207114"/>
    <n v="77.25"/>
    <n v="-5.4383675804192833E-3"/>
    <n v="7"/>
    <m/>
    <s v="Teghra"/>
    <m/>
    <n v="0"/>
  </r>
  <r>
    <s v="Munger"/>
    <s v="01-02 Apr"/>
    <n v="1008"/>
    <s v="Teghra"/>
    <x v="258"/>
    <s v="Hasanpur - Abhijeet"/>
    <s v="vlc"/>
    <s v="Indirect"/>
    <n v="1632"/>
    <n v="60318.720000000001"/>
    <n v="0"/>
    <n v="0"/>
    <n v="0"/>
    <n v="0"/>
    <n v="0"/>
    <n v="0"/>
    <n v="60318.720000000001"/>
    <n v="0"/>
    <n v="0"/>
    <n v="0"/>
    <n v="0"/>
    <n v="0"/>
    <n v="0"/>
    <n v="0"/>
    <n v="0"/>
    <n v="60318.720000000001"/>
    <n v="0"/>
    <n v="0"/>
    <n v="0"/>
    <n v="0"/>
    <n v="0"/>
    <n v="0"/>
    <m/>
    <s v="Teghra"/>
    <m/>
    <n v="0"/>
  </r>
  <r>
    <s v="Munger"/>
    <s v="01-02 Apr"/>
    <n v="1008"/>
    <s v="Teghra"/>
    <x v="259"/>
    <s v="Adharpur - Manish"/>
    <s v="vlc"/>
    <s v="Indirect"/>
    <n v="189.85"/>
    <n v="7150.51"/>
    <n v="0"/>
    <n v="0"/>
    <n v="0"/>
    <n v="0"/>
    <n v="0"/>
    <n v="0"/>
    <n v="7150.51"/>
    <n v="0"/>
    <n v="0"/>
    <n v="0"/>
    <n v="0"/>
    <n v="0"/>
    <n v="0"/>
    <n v="0"/>
    <n v="0"/>
    <n v="7150.51"/>
    <n v="0"/>
    <n v="0"/>
    <n v="7.6457915722939207"/>
    <n v="94.924999999999997"/>
    <n v="0"/>
    <n v="0"/>
    <m/>
    <s v="Teghra"/>
    <m/>
    <n v="0"/>
  </r>
  <r>
    <s v="Munger"/>
    <s v="01-02 Apr"/>
    <n v="1008"/>
    <s v="Teghra"/>
    <x v="260"/>
    <s v="Rani - Surender"/>
    <s v="vlc"/>
    <s v="Indirect"/>
    <n v="63.75"/>
    <n v="2645.2200000000003"/>
    <n v="0"/>
    <n v="0"/>
    <n v="0"/>
    <n v="0"/>
    <n v="0"/>
    <n v="0"/>
    <n v="2645.2200000000003"/>
    <n v="0"/>
    <n v="0"/>
    <n v="0"/>
    <n v="0"/>
    <n v="0"/>
    <n v="0"/>
    <n v="0"/>
    <n v="0"/>
    <n v="2645.2200000000003"/>
    <n v="0"/>
    <n v="0"/>
    <n v="113.07018823529414"/>
    <n v="31.875"/>
    <n v="0"/>
    <n v="0"/>
    <m/>
    <s v="Teghra"/>
    <m/>
    <n v="0"/>
  </r>
  <r>
    <s v="Munger"/>
    <s v="01-02 Apr"/>
    <n v="1008"/>
    <s v="Teghra"/>
    <x v="261"/>
    <s v="Gangaprasad - Prashant"/>
    <s v="vlc"/>
    <s v="Indirect"/>
    <n v="238.95"/>
    <n v="8785.2800000000007"/>
    <n v="0"/>
    <n v="0"/>
    <n v="0"/>
    <n v="0"/>
    <n v="0"/>
    <n v="0"/>
    <n v="8785.2800000000007"/>
    <n v="0"/>
    <n v="0"/>
    <n v="0"/>
    <n v="0"/>
    <n v="0"/>
    <n v="0"/>
    <n v="0"/>
    <n v="0"/>
    <n v="8785.2800000000007"/>
    <n v="0"/>
    <n v="0"/>
    <n v="0"/>
    <n v="0"/>
    <n v="0"/>
    <n v="0"/>
    <m/>
    <s v="Teghra"/>
    <m/>
    <n v="0"/>
  </r>
  <r>
    <s v="Munger"/>
    <s v="01-02 Apr"/>
    <n v="1008"/>
    <s v="Teghra"/>
    <x v="262"/>
    <s v="GOMUKH RANI 3"/>
    <s v="MPG"/>
    <s v="Direct"/>
    <n v="84.199999999999989"/>
    <n v="3934.6099999999997"/>
    <n v="82.76"/>
    <n v="3967.9927798332001"/>
    <n v="0.6"/>
    <n v="28.306962440750002"/>
    <n v="83.36"/>
    <n v="3996.29974227395"/>
    <n v="3934.6099999999997"/>
    <n v="0"/>
    <n v="28.306962440750002"/>
    <n v="61.689742273950287"/>
    <n v="0"/>
    <n v="0"/>
    <n v="0"/>
    <n v="3906"/>
    <n v="0"/>
    <n v="0"/>
    <n v="0"/>
    <n v="0"/>
    <n v="108.22513966745845"/>
    <n v="42.099999999999994"/>
    <n v="-1.5678743833302485E-2"/>
    <n v="5"/>
    <m/>
    <s v="Teghra"/>
    <m/>
    <n v="0"/>
  </r>
  <r>
    <s v="Munger"/>
    <s v="01-02 Apr"/>
    <n v="1008"/>
    <s v="Teghra"/>
    <x v="263"/>
    <s v="GOMUKH NONPUR"/>
    <s v="MPG"/>
    <s v="Direct"/>
    <n v="248.15"/>
    <n v="8519.09"/>
    <n v="246.45"/>
    <n v="9876.323537784001"/>
    <n v="0.51"/>
    <n v="20.105492220000002"/>
    <n v="246.95999999999998"/>
    <n v="9896.4290300040011"/>
    <n v="8519.09"/>
    <n v="0"/>
    <n v="20.105492220000002"/>
    <n v="1377.339030004001"/>
    <n v="0"/>
    <n v="0"/>
    <n v="0"/>
    <n v="8499"/>
    <n v="0"/>
    <n v="0"/>
    <n v="0"/>
    <n v="0"/>
    <n v="0"/>
    <n v="0"/>
    <n v="-0.16167677885830539"/>
    <n v="5"/>
    <m/>
    <s v="Teghra"/>
    <m/>
    <n v="0"/>
  </r>
  <r>
    <s v="Munger"/>
    <s v="01-02 Apr"/>
    <n v="1008"/>
    <s v="Teghra"/>
    <x v="264"/>
    <s v="GOMUKH FATEHA"/>
    <s v="MPG"/>
    <s v="Direct"/>
    <n v="159.25"/>
    <n v="5583.53"/>
    <n v="168.01000000000002"/>
    <n v="5998.2099546600002"/>
    <n v="0"/>
    <n v="0"/>
    <n v="168.01000000000002"/>
    <n v="5998.2099546600002"/>
    <n v="5583.53"/>
    <n v="0"/>
    <n v="0"/>
    <n v="414.67995466000048"/>
    <n v="0"/>
    <n v="0"/>
    <n v="0"/>
    <n v="5584"/>
    <n v="0"/>
    <n v="0"/>
    <n v="0"/>
    <n v="0"/>
    <n v="28.575051491365777"/>
    <n v="79.625"/>
    <n v="-7.4268420633541957E-2"/>
    <n v="2"/>
    <m/>
    <s v="Teghra"/>
    <m/>
    <n v="0"/>
  </r>
  <r>
    <s v="Munger"/>
    <s v="01-02 Apr"/>
    <n v="1008"/>
    <s v="Teghra"/>
    <x v="265"/>
    <s v="Bablu Singh"/>
    <s v="vlc"/>
    <s v="Indirect"/>
    <n v="323.64999999999998"/>
    <n v="11404.71"/>
    <n v="0"/>
    <n v="0"/>
    <n v="0"/>
    <n v="0"/>
    <n v="0"/>
    <n v="0"/>
    <n v="11404.71"/>
    <n v="0"/>
    <n v="0"/>
    <n v="0"/>
    <n v="0"/>
    <n v="0"/>
    <n v="0"/>
    <n v="0"/>
    <n v="0"/>
    <n v="11404.71"/>
    <n v="0"/>
    <n v="0"/>
    <n v="0"/>
    <n v="0"/>
    <n v="0"/>
    <n v="0"/>
    <m/>
    <s v="Teghra"/>
    <m/>
    <n v="0"/>
  </r>
  <r>
    <s v="Munger"/>
    <s v="01-02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317.70000000000005"/>
    <n v="12084.810000000001"/>
    <n v="158.80000000000001"/>
    <n v="6233.5515464640011"/>
    <n v="158.23000000000002"/>
    <n v="6028.7231303640001"/>
    <n v="317.03000000000003"/>
    <n v="12262.274676828001"/>
    <n v="12084.810000000001"/>
    <n v="0"/>
    <n v="0"/>
    <n v="177.46467682799994"/>
    <n v="0"/>
    <n v="0"/>
    <n v="0"/>
    <n v="6056"/>
    <n v="6029"/>
    <n v="0"/>
    <n v="0"/>
    <n v="0"/>
    <n v="0"/>
    <n v="0"/>
    <n v="-1.4684937274810272E-2"/>
    <n v="8"/>
    <m/>
    <s v="Teghra"/>
    <m/>
    <n v="0"/>
  </r>
  <r>
    <s v="Munger"/>
    <s v="01-02 Apr"/>
    <n v="1008"/>
    <s v="Teghra"/>
    <x v="267"/>
    <s v="GOMUKH ROOPNAGAR"/>
    <s v="MPG"/>
    <s v="Direct"/>
    <n v="43.150000000000006"/>
    <n v="1494.59"/>
    <n v="43.1"/>
    <n v="1496.3549923080004"/>
    <n v="0"/>
    <n v="0"/>
    <n v="43.1"/>
    <n v="1496.3549923080004"/>
    <n v="1494.59"/>
    <n v="0"/>
    <n v="0"/>
    <n v="1.764992308000501"/>
    <n v="0"/>
    <n v="0"/>
    <n v="0"/>
    <n v="1495"/>
    <n v="0"/>
    <n v="0"/>
    <n v="0"/>
    <n v="0"/>
    <n v="108.65651981460022"/>
    <n v="21.575000000000003"/>
    <n v="-1.1809207260857499E-3"/>
    <n v="1"/>
    <m/>
    <s v="Teghra"/>
    <m/>
    <n v="0"/>
  </r>
  <r>
    <s v="Munger"/>
    <s v="01-02 Apr"/>
    <n v="1008"/>
    <s v="Teghra"/>
    <x v="268"/>
    <s v="GOMUKH SIBUTOL 2"/>
    <s v="MPG"/>
    <s v="Direct"/>
    <n v="78.599999999999994"/>
    <n v="3089.14"/>
    <n v="78"/>
    <n v="3068.293456800001"/>
    <n v="0"/>
    <n v="0"/>
    <n v="78"/>
    <n v="3068.293456800001"/>
    <n v="3068.293456800001"/>
    <n v="0"/>
    <n v="0"/>
    <n v="0"/>
    <n v="0"/>
    <n v="0"/>
    <n v="0"/>
    <n v="3068"/>
    <n v="0"/>
    <n v="0"/>
    <n v="21"/>
    <n v="0"/>
    <n v="95.425342493638695"/>
    <n v="39.299999999999997"/>
    <n v="6.748332286655479E-3"/>
    <n v="1"/>
    <m/>
    <s v="Teghra"/>
    <m/>
    <n v="0"/>
  </r>
  <r>
    <s v="Munger"/>
    <s v="01-02 Apr"/>
    <n v="1008"/>
    <s v="Teghra"/>
    <x v="269"/>
    <s v="GOMUKH HADIPUR"/>
    <s v="MPG"/>
    <s v="Direct"/>
    <n v="31.950000000000003"/>
    <n v="1228.8899999999999"/>
    <n v="36.370000000000005"/>
    <n v="1612.7535639468001"/>
    <n v="0.11"/>
    <n v="4.9361412078000004"/>
    <n v="36.480000000000004"/>
    <n v="1617.6897051546"/>
    <n v="1228.8899999999999"/>
    <n v="0"/>
    <n v="4.9361412078000004"/>
    <n v="388.79970515460013"/>
    <n v="0"/>
    <n v="0"/>
    <n v="0"/>
    <n v="1224"/>
    <n v="0"/>
    <n v="0"/>
    <n v="0"/>
    <n v="0"/>
    <n v="129.27384319248827"/>
    <n v="15.975000000000001"/>
    <n v="-0.31638283748309465"/>
    <n v="2"/>
    <m/>
    <s v="Teghra"/>
    <m/>
    <n v="0"/>
  </r>
  <r>
    <s v="Munger"/>
    <s v="01-02 Apr"/>
    <n v="1008"/>
    <s v="Teghra"/>
    <x v="270"/>
    <s v="Gomukh Harichak"/>
    <s v="MPG"/>
    <s v="Direct"/>
    <n v="39.450000000000003"/>
    <n v="1408.77"/>
    <n v="39"/>
    <n v="1375.0694357400002"/>
    <n v="0"/>
    <n v="0"/>
    <n v="39"/>
    <n v="1375.0694357400002"/>
    <n v="1375.0694357400002"/>
    <n v="0"/>
    <n v="0"/>
    <n v="0"/>
    <n v="0"/>
    <n v="0"/>
    <n v="0"/>
    <n v="1375"/>
    <n v="0"/>
    <n v="0"/>
    <n v="34"/>
    <n v="0"/>
    <n v="114.66566463878326"/>
    <n v="19.725000000000001"/>
    <n v="2.3921977512297774E-2"/>
    <n v="1"/>
    <m/>
    <s v="Teghra"/>
    <m/>
    <n v="0"/>
  </r>
  <r>
    <s v="Munger"/>
    <s v="01-02 Apr"/>
    <n v="1008"/>
    <s v="Teghra"/>
    <x v="271"/>
    <s v="GOMUKH CHIRANJIVIPUR"/>
    <s v="MPG"/>
    <s v="Direct"/>
    <n v="21.3"/>
    <n v="649.96"/>
    <n v="20.8"/>
    <n v="634.41331945200022"/>
    <n v="1.7"/>
    <n v="51.53428962000001"/>
    <n v="22.5"/>
    <n v="685.9476090720002"/>
    <n v="649.96"/>
    <n v="0"/>
    <n v="51.53428962000001"/>
    <n v="35.987609072000168"/>
    <n v="0"/>
    <n v="0"/>
    <n v="0"/>
    <n v="598"/>
    <n v="0"/>
    <n v="0"/>
    <n v="0"/>
    <n v="0"/>
    <n v="109.05901596244132"/>
    <n v="10.65"/>
    <n v="-5.536895973906112E-2"/>
    <n v="2"/>
    <m/>
    <s v="Teghra"/>
    <m/>
    <n v="0"/>
  </r>
  <r>
    <s v="Munger"/>
    <s v="01-02 Apr"/>
    <n v="1008"/>
    <s v="Teghra"/>
    <x v="272"/>
    <s v="RAJ BHARDWAJ"/>
    <s v="vlc"/>
    <s v="Indirect"/>
    <n v="25.4"/>
    <n v="974.02"/>
    <n v="0"/>
    <n v="0"/>
    <n v="0"/>
    <n v="0"/>
    <n v="0"/>
    <n v="0"/>
    <n v="974.02"/>
    <n v="0"/>
    <n v="0"/>
    <n v="0"/>
    <n v="0"/>
    <n v="0"/>
    <n v="0"/>
    <n v="0"/>
    <n v="0"/>
    <n v="974.02"/>
    <n v="0"/>
    <n v="0"/>
    <n v="133.90857637795276"/>
    <n v="12.7"/>
    <n v="0"/>
    <n v="0"/>
    <m/>
    <s v="Teghra"/>
    <m/>
    <n v="0"/>
  </r>
  <r>
    <s v="Munger"/>
    <s v="01-02 Apr"/>
    <n v="1008"/>
    <s v="Teghra"/>
    <x v="273"/>
    <s v="Gomukh Amarpur"/>
    <s v="MPG"/>
    <s v="Direct"/>
    <n v="345.45"/>
    <n v="12804.380000000001"/>
    <n v="342.61"/>
    <n v="12752.291745952441"/>
    <n v="0.30000000000000004"/>
    <n v="11.695523400000003"/>
    <n v="342.91"/>
    <n v="12763.987269352441"/>
    <n v="12763.987269352441"/>
    <n v="0"/>
    <n v="11.695523400000003"/>
    <n v="0"/>
    <n v="0"/>
    <n v="0"/>
    <n v="0"/>
    <n v="12752"/>
    <n v="0"/>
    <n v="0"/>
    <n v="41"/>
    <n v="0"/>
    <n v="0"/>
    <n v="0"/>
    <n v="3.1546026162578584E-3"/>
    <n v="5"/>
    <m/>
    <s v="Teghra"/>
    <m/>
    <n v="0"/>
  </r>
  <r>
    <s v="Munger"/>
    <s v="01-02 Apr"/>
    <n v="1008"/>
    <s v="Teghra"/>
    <x v="274"/>
    <s v="Prashant Kumar"/>
    <s v="vlc"/>
    <s v="Indirect"/>
    <n v="728.59999999999991"/>
    <n v="26067.96"/>
    <n v="0"/>
    <n v="0"/>
    <n v="0"/>
    <n v="0"/>
    <n v="0"/>
    <n v="0"/>
    <n v="26067.96"/>
    <n v="0"/>
    <n v="0"/>
    <n v="0"/>
    <n v="0"/>
    <n v="0"/>
    <n v="0"/>
    <n v="0"/>
    <n v="0"/>
    <n v="26067.96"/>
    <n v="0"/>
    <n v="0"/>
    <n v="0"/>
    <n v="0"/>
    <n v="0"/>
    <n v="0"/>
    <m/>
    <s v="Teghra"/>
    <m/>
    <n v="0"/>
  </r>
  <r>
    <s v="Munger"/>
    <s v="01-02 Apr"/>
    <n v="1008"/>
    <s v="Teghra"/>
    <x v="275"/>
    <s v="Gomukh Barauni 3"/>
    <s v="MPG"/>
    <s v="Direct"/>
    <n v="41.9"/>
    <n v="1522.26"/>
    <n v="41"/>
    <n v="1493.7574608000002"/>
    <n v="0"/>
    <n v="0"/>
    <n v="41"/>
    <n v="1493.7574608000002"/>
    <n v="1493.7574608000002"/>
    <n v="0"/>
    <n v="0"/>
    <n v="0"/>
    <n v="0"/>
    <n v="0"/>
    <n v="0"/>
    <n v="1494"/>
    <n v="0"/>
    <n v="0"/>
    <n v="28"/>
    <n v="0"/>
    <n v="114.87795035799522"/>
    <n v="20.95"/>
    <n v="1.8723831145796233E-2"/>
    <n v="1"/>
    <m/>
    <s v="Teghra"/>
    <m/>
    <n v="0"/>
  </r>
  <r>
    <s v="Munger"/>
    <s v="01-02 Apr"/>
    <n v="1008"/>
    <s v="Teghra"/>
    <x v="276"/>
    <s v="CHANDAN YADAV"/>
    <s v="vlc"/>
    <s v="Indirect"/>
    <n v="61.75"/>
    <n v="2234.1999999999998"/>
    <n v="0"/>
    <n v="0"/>
    <n v="0"/>
    <n v="0"/>
    <n v="0"/>
    <n v="0"/>
    <n v="2234.1999999999998"/>
    <n v="0"/>
    <n v="0"/>
    <n v="0"/>
    <n v="0"/>
    <n v="0"/>
    <n v="0"/>
    <n v="0"/>
    <n v="0"/>
    <n v="2234.1999999999998"/>
    <n v="0"/>
    <n v="0"/>
    <n v="100.0415060728745"/>
    <n v="30.875"/>
    <n v="0"/>
    <n v="0"/>
    <m/>
    <s v="Teghra"/>
    <m/>
    <n v="0"/>
  </r>
  <r>
    <s v="Munger"/>
    <s v="01-02 Apr"/>
    <n v="1008"/>
    <s v="Teghra"/>
    <x v="277"/>
    <s v="DINESH YADAV"/>
    <s v="vlc"/>
    <s v="Indirect"/>
    <n v="151.4"/>
    <n v="5789.8600000000006"/>
    <n v="0"/>
    <n v="0"/>
    <n v="0"/>
    <n v="0"/>
    <n v="0"/>
    <n v="0"/>
    <n v="5789.8600000000006"/>
    <n v="0"/>
    <n v="0"/>
    <n v="0"/>
    <n v="0"/>
    <n v="0"/>
    <n v="0"/>
    <n v="0"/>
    <n v="0"/>
    <n v="5789.8600000000006"/>
    <n v="0"/>
    <n v="0"/>
    <n v="37.171360105680314"/>
    <n v="75.7"/>
    <n v="0"/>
    <n v="0"/>
    <m/>
    <s v="Teghra"/>
    <m/>
    <n v="0"/>
  </r>
  <r>
    <s v="Munger"/>
    <s v="01-02 Apr"/>
    <n v="1008"/>
    <s v="Teghra"/>
    <x v="278"/>
    <s v="ANITA DEVI"/>
    <s v="vlc"/>
    <s v="Indirect"/>
    <n v="37.349999999999994"/>
    <n v="1422.3700000000001"/>
    <n v="0"/>
    <n v="0"/>
    <n v="0"/>
    <n v="0"/>
    <n v="0"/>
    <n v="0"/>
    <n v="1422.3700000000001"/>
    <n v="0"/>
    <n v="0"/>
    <n v="0"/>
    <n v="0"/>
    <n v="0"/>
    <n v="0"/>
    <n v="0"/>
    <n v="0"/>
    <n v="1422.3700000000001"/>
    <n v="0"/>
    <n v="0"/>
    <n v="123.88138179384207"/>
    <n v="18.674999999999997"/>
    <n v="0"/>
    <n v="0"/>
    <m/>
    <s v="Teghra"/>
    <m/>
    <n v="0"/>
  </r>
  <r>
    <s v="Munger"/>
    <s v="01-02 Apr"/>
    <n v="1008"/>
    <s v="Teghra"/>
    <x v="279"/>
    <s v="GOMUKH FATEHA SALEMPUR"/>
    <s v="MPG"/>
    <s v="Direct"/>
    <n v="36.299999999999997"/>
    <n v="1302.1500000000001"/>
    <n v="36.400000000000006"/>
    <n v="1305.8367537600002"/>
    <n v="1"/>
    <n v="35.773095600000005"/>
    <n v="37.400000000000006"/>
    <n v="1341.6098493600002"/>
    <n v="1302.1500000000001"/>
    <n v="0"/>
    <n v="35.773095600000005"/>
    <n v="39.459849360000135"/>
    <n v="0"/>
    <n v="0"/>
    <n v="0"/>
    <n v="1266"/>
    <n v="0"/>
    <n v="0"/>
    <n v="0"/>
    <n v="0"/>
    <n v="117.44460330578514"/>
    <n v="18.149999999999999"/>
    <n v="-3.0303612763506609E-2"/>
    <n v="2"/>
    <m/>
    <s v="Teghra"/>
    <m/>
    <n v="0"/>
  </r>
  <r>
    <s v="Munger"/>
    <s v="01-02 Apr"/>
    <n v="1008"/>
    <s v="Teghra"/>
    <x v="280"/>
    <s v="GOMUKH GEHUNI 2"/>
    <s v="MPG"/>
    <s v="Direct"/>
    <n v="155.04999999999998"/>
    <n v="5892.0700000000006"/>
    <n v="153.21"/>
    <n v="6041.7004525812008"/>
    <n v="0.23"/>
    <n v="8.7769241999999998"/>
    <n v="153.44"/>
    <n v="6050.4773767812012"/>
    <n v="5892.0700000000006"/>
    <n v="0"/>
    <n v="8.7769241999999998"/>
    <n v="158.40737678120058"/>
    <n v="0"/>
    <n v="0"/>
    <n v="0"/>
    <n v="5883"/>
    <n v="0"/>
    <n v="0"/>
    <n v="0"/>
    <n v="0"/>
    <n v="34.16298568203807"/>
    <n v="77.524999999999991"/>
    <n v="-2.6884842980684304E-2"/>
    <n v="3"/>
    <m/>
    <s v="Teghra"/>
    <m/>
    <n v="0"/>
  </r>
  <r>
    <s v="Munger"/>
    <s v="01-02 Apr"/>
    <n v="1008"/>
    <s v="Teghra"/>
    <x v="281"/>
    <s v="GOMUKH MALHIPUR"/>
    <s v="MPG"/>
    <s v="Direct"/>
    <n v="540.35"/>
    <n v="19625.38"/>
    <n v="535.9"/>
    <n v="19685.070466380002"/>
    <n v="1.01"/>
    <n v="37.192093488000005"/>
    <n v="536.91"/>
    <n v="19722.262559868002"/>
    <n v="19625.38"/>
    <n v="0"/>
    <n v="37.192093488000005"/>
    <n v="96.882559868001408"/>
    <n v="0"/>
    <n v="0"/>
    <n v="0"/>
    <n v="19588"/>
    <n v="0"/>
    <n v="0"/>
    <n v="0"/>
    <s v="Release1"/>
    <n v="0"/>
    <n v="0"/>
    <n v="-4.9365953611090032E-3"/>
    <n v="9"/>
    <m/>
    <s v="Teghra"/>
    <m/>
    <n v="0"/>
  </r>
  <r>
    <s v="Munger"/>
    <s v="01-02 Apr"/>
    <n v="1008"/>
    <s v="Teghra"/>
    <x v="282"/>
    <s v="Bihat - Sonu Kumar"/>
    <s v="vlc"/>
    <s v="Indirect"/>
    <n v="216.2"/>
    <n v="7529.47"/>
    <n v="0"/>
    <n v="0"/>
    <n v="0"/>
    <n v="0"/>
    <n v="0"/>
    <n v="0"/>
    <n v="7529.47"/>
    <n v="0"/>
    <n v="0"/>
    <n v="0"/>
    <n v="0"/>
    <n v="0"/>
    <n v="0"/>
    <n v="0"/>
    <n v="0"/>
    <n v="7529.47"/>
    <n v="0"/>
    <n v="0"/>
    <n v="0"/>
    <n v="0"/>
    <n v="0"/>
    <n v="0"/>
    <m/>
    <s v="Teghra"/>
    <m/>
    <n v="0"/>
  </r>
  <r>
    <s v="Munger"/>
    <s v="01-02 Apr"/>
    <n v="1008"/>
    <s v="Teghra"/>
    <x v="283"/>
    <s v="Rasalpur - Durgesh Kumar"/>
    <s v="vlc"/>
    <s v="Indirect"/>
    <n v="201.5"/>
    <n v="7359.15"/>
    <n v="0"/>
    <n v="0"/>
    <n v="0"/>
    <n v="0"/>
    <n v="0"/>
    <n v="0"/>
    <n v="7359.15"/>
    <n v="0"/>
    <n v="0"/>
    <n v="0"/>
    <n v="0"/>
    <n v="0"/>
    <n v="0"/>
    <n v="0"/>
    <n v="0"/>
    <n v="7359.15"/>
    <n v="0"/>
    <n v="0"/>
    <n v="0"/>
    <n v="0"/>
    <n v="0"/>
    <n v="0"/>
    <m/>
    <s v="Teghra"/>
    <m/>
    <n v="0"/>
  </r>
  <r>
    <s v="Munger"/>
    <s v="01-02 Apr"/>
    <n v="1008"/>
    <s v="Teghra"/>
    <x v="284"/>
    <s v="Barauni Bariyarpur"/>
    <s v="MPG"/>
    <s v="Direct"/>
    <n v="192.45"/>
    <n v="6984.06"/>
    <n v="192"/>
    <n v="6969.8154240000013"/>
    <n v="0"/>
    <n v="0"/>
    <n v="192"/>
    <n v="6969.8154240000013"/>
    <n v="6969.8154240000013"/>
    <n v="0"/>
    <n v="0"/>
    <n v="0"/>
    <n v="0"/>
    <n v="0"/>
    <n v="0"/>
    <n v="6970"/>
    <n v="0"/>
    <n v="0"/>
    <n v="14"/>
    <n v="0"/>
    <n v="5.4798288386594001"/>
    <n v="96.224999999999994"/>
    <n v="2.0395838523722793E-3"/>
    <n v="1"/>
    <m/>
    <s v="Teghra"/>
    <m/>
    <n v="0"/>
  </r>
  <r>
    <s v="Munger"/>
    <s v="01-02 Apr"/>
    <n v="1008"/>
    <s v="Teghra"/>
    <x v="285"/>
    <s v="Jaynagar"/>
    <s v="MPG"/>
    <s v="Direct"/>
    <n v="70.45"/>
    <n v="2541.96"/>
    <n v="70.400000000000006"/>
    <n v="2539.6944398100004"/>
    <n v="0"/>
    <n v="0"/>
    <n v="70.400000000000006"/>
    <n v="2539.6944398100004"/>
    <n v="2539.6944398100004"/>
    <n v="0"/>
    <n v="0"/>
    <n v="0"/>
    <n v="0"/>
    <n v="0"/>
    <n v="0"/>
    <n v="2540"/>
    <n v="0"/>
    <n v="0"/>
    <n v="2"/>
    <n v="0"/>
    <n v="93.487840454222862"/>
    <n v="35.225000000000001"/>
    <n v="8.9126508284931023E-4"/>
    <n v="1"/>
    <m/>
    <s v="Teghra"/>
    <m/>
    <n v="0"/>
  </r>
  <r>
    <s v="Munger"/>
    <s v="01-02 Apr"/>
    <n v="1008"/>
    <s v="Teghra"/>
    <x v="286"/>
    <s v="Fateha - Anil Yadav"/>
    <s v="vlc"/>
    <s v="Indirect"/>
    <n v="279.39999999999998"/>
    <n v="9741.1200000000008"/>
    <n v="0"/>
    <n v="0"/>
    <n v="0"/>
    <n v="0"/>
    <n v="0"/>
    <n v="0"/>
    <n v="9741.1200000000008"/>
    <n v="0"/>
    <n v="0"/>
    <n v="0"/>
    <n v="0"/>
    <n v="0"/>
    <n v="0"/>
    <n v="0"/>
    <n v="0"/>
    <n v="9741.1200000000008"/>
    <n v="0"/>
    <n v="0"/>
    <n v="0"/>
    <n v="0"/>
    <n v="0"/>
    <n v="0"/>
    <m/>
    <s v="Teghra"/>
    <m/>
    <n v="0"/>
  </r>
  <r>
    <s v="Munger"/>
    <s v="01-02 Apr"/>
    <n v="1008"/>
    <s v="Teghra"/>
    <x v="287"/>
    <s v="Bihat - Chakballi"/>
    <s v="MPG"/>
    <s v="Direct"/>
    <n v="1276.4499999999998"/>
    <n v="41347.03"/>
    <n v="1276.5"/>
    <n v="40360.558516739999"/>
    <n v="0"/>
    <n v="0"/>
    <n v="1276.5"/>
    <n v="40360.558516739999"/>
    <n v="40360.558516739999"/>
    <n v="0"/>
    <n v="0"/>
    <n v="0"/>
    <n v="0"/>
    <n v="0"/>
    <n v="0"/>
    <n v="40361"/>
    <n v="0"/>
    <n v="0"/>
    <n v="986"/>
    <n v="0"/>
    <n v="0"/>
    <n v="0"/>
    <n v="2.3858339601659423E-2"/>
    <n v="2"/>
    <m/>
    <s v="Teghra"/>
    <m/>
    <n v="0"/>
  </r>
  <r>
    <s v="Munger"/>
    <s v="01-02 Apr"/>
    <n v="1008"/>
    <s v="Teghra"/>
    <x v="288"/>
    <s v="Sibutol- Naya Tola"/>
    <s v="MPG"/>
    <s v="Direct"/>
    <n v="14.750000000000002"/>
    <n v="470.95000000000005"/>
    <n v="63.98"/>
    <n v="2449.22618556"/>
    <n v="0"/>
    <n v="0"/>
    <n v="63.98"/>
    <n v="2449.22618556"/>
    <n v="470.95000000000005"/>
    <n v="0"/>
    <n v="0"/>
    <n v="1978.2761855599999"/>
    <n v="0"/>
    <n v="0"/>
    <n v="0"/>
    <n v="471"/>
    <n v="0"/>
    <n v="0"/>
    <n v="0"/>
    <s v="Release1"/>
    <n v="118.29625423728814"/>
    <n v="7.3750000000000009"/>
    <n v="-4.2006076771631804"/>
    <n v="2"/>
    <m/>
    <s v="Teghra"/>
    <m/>
    <n v="0"/>
  </r>
  <r>
    <s v="Munger"/>
    <s v="01-02 Apr"/>
    <n v="1008"/>
    <s v="Teghra"/>
    <x v="289"/>
    <s v="Rasalpur"/>
    <s v="vlc"/>
    <s v="Indirect"/>
    <n v="236.04999999999998"/>
    <n v="8138.91"/>
    <n v="0"/>
    <n v="0"/>
    <n v="0"/>
    <n v="0"/>
    <n v="0"/>
    <n v="0"/>
    <n v="8138.91"/>
    <n v="0"/>
    <n v="0"/>
    <n v="0"/>
    <n v="0"/>
    <n v="0"/>
    <n v="0"/>
    <n v="0"/>
    <n v="0"/>
    <n v="8138.91"/>
    <n v="0"/>
    <n v="0"/>
    <n v="0"/>
    <n v="0"/>
    <n v="0"/>
    <n v="0"/>
    <m/>
    <s v="Teghra"/>
    <m/>
    <n v="0"/>
  </r>
  <r>
    <s v="Munger"/>
    <s v="01-02 Apr"/>
    <n v="1008"/>
    <s v="Teghra"/>
    <x v="290"/>
    <s v="Rudauli"/>
    <s v="vlc"/>
    <s v="Indirect"/>
    <n v="65.099999999999994"/>
    <n v="2382.33"/>
    <n v="0"/>
    <n v="0"/>
    <n v="0"/>
    <n v="0"/>
    <n v="0"/>
    <n v="0"/>
    <n v="2382.33"/>
    <n v="0"/>
    <n v="0"/>
    <n v="0"/>
    <n v="0"/>
    <n v="0"/>
    <n v="0"/>
    <n v="0"/>
    <n v="0"/>
    <n v="2382.33"/>
    <n v="0"/>
    <n v="0"/>
    <n v="98.733123502304153"/>
    <n v="32.549999999999997"/>
    <n v="0"/>
    <n v="0"/>
    <m/>
    <s v="Teghra"/>
    <m/>
    <n v="0"/>
  </r>
  <r>
    <s v="Munger"/>
    <s v="01-02 Apr"/>
    <n v="1065"/>
    <s v="Bachhwara BMC"/>
    <x v="291"/>
    <s v="Samsa"/>
    <s v="vlc"/>
    <s v="Indirect"/>
    <n v="332"/>
    <n v="13372.98"/>
    <n v="0"/>
    <n v="0"/>
    <n v="0"/>
    <n v="0"/>
    <n v="0"/>
    <n v="0"/>
    <n v="13372.98"/>
    <n v="0"/>
    <n v="0"/>
    <n v="0"/>
    <n v="0"/>
    <n v="0"/>
    <n v="0"/>
    <n v="0"/>
    <n v="0"/>
    <n v="13372.98"/>
    <n v="0"/>
    <n v="0"/>
    <n v="0"/>
    <n v="0"/>
    <n v="0"/>
    <n v="0"/>
    <m/>
    <s v="Bachhwara BMC"/>
    <m/>
    <n v="0"/>
  </r>
  <r>
    <s v="Munger"/>
    <s v="01-02 Apr"/>
    <n v="1008"/>
    <s v="Teghra"/>
    <x v="292"/>
    <s v="Dahiya"/>
    <s v="vlc"/>
    <s v="Indirect"/>
    <n v="146.60000000000002"/>
    <n v="5427.48"/>
    <n v="0"/>
    <n v="0"/>
    <n v="0"/>
    <n v="0"/>
    <n v="0"/>
    <n v="0"/>
    <n v="5427.48"/>
    <n v="0"/>
    <n v="0"/>
    <n v="0"/>
    <n v="0"/>
    <n v="0"/>
    <n v="0"/>
    <n v="0"/>
    <n v="0"/>
    <n v="5427.48"/>
    <n v="0"/>
    <n v="0"/>
    <n v="39.539895225102299"/>
    <n v="73.300000000000011"/>
    <n v="0"/>
    <n v="0"/>
    <m/>
    <s v="Teghra"/>
    <m/>
    <n v="0"/>
  </r>
  <r>
    <s v="Munger"/>
    <s v="01-02 Apr"/>
    <n v="1008"/>
    <s v="Teghra"/>
    <x v="293"/>
    <s v="Gaura"/>
    <s v="MPG"/>
    <s v="Direct"/>
    <n v="232.39999999999998"/>
    <n v="8185.4699999999993"/>
    <n v="232"/>
    <n v="7996.1562331200003"/>
    <n v="0"/>
    <n v="0"/>
    <n v="232"/>
    <n v="7996.1562331200003"/>
    <n v="7996.1562331200003"/>
    <n v="0"/>
    <n v="0"/>
    <n v="0"/>
    <n v="0"/>
    <n v="0"/>
    <n v="0"/>
    <n v="7996"/>
    <n v="0"/>
    <n v="0"/>
    <n v="189"/>
    <n v="0"/>
    <n v="0"/>
    <n v="0"/>
    <n v="2.3128026476182686E-2"/>
    <n v="1"/>
    <m/>
    <s v="Teghra"/>
    <m/>
    <n v="0"/>
  </r>
  <r>
    <s v="Munger"/>
    <s v="01-02 Apr"/>
    <n v="1008"/>
    <s v="Teghra"/>
    <x v="294"/>
    <s v="Mukhtiyarpur"/>
    <s v="MPG"/>
    <s v="Direct"/>
    <n v="311.10000000000002"/>
    <n v="11049.36"/>
    <n v="330.60000000000008"/>
    <n v="13500.074377944002"/>
    <n v="0"/>
    <n v="0"/>
    <n v="330.60000000000008"/>
    <n v="13500.074377944002"/>
    <n v="11049.36"/>
    <n v="0"/>
    <n v="0"/>
    <n v="2450.7143779440012"/>
    <n v="0"/>
    <n v="0"/>
    <n v="0"/>
    <n v="11049"/>
    <n v="0"/>
    <n v="0"/>
    <n v="0"/>
    <n v="0"/>
    <n v="0"/>
    <n v="0"/>
    <n v="-0.22179695275961694"/>
    <n v="3"/>
    <m/>
    <s v="Teghra"/>
    <m/>
    <n v="0"/>
  </r>
  <r>
    <s v="Munger"/>
    <s v="01-02 Apr"/>
    <n v="1008"/>
    <s v="Teghra"/>
    <x v="295"/>
    <s v="Gomukh Rudauli-02"/>
    <s v="MPG"/>
    <s v="Direct"/>
    <n v="134.1"/>
    <n v="4963.33"/>
    <n v="135.93"/>
    <n v="5009.6441421972013"/>
    <n v="0"/>
    <n v="0"/>
    <n v="135.93"/>
    <n v="5009.6441421972013"/>
    <n v="4963.33"/>
    <n v="0"/>
    <n v="0"/>
    <n v="46.314142197201363"/>
    <n v="0"/>
    <n v="0"/>
    <n v="0"/>
    <n v="4963"/>
    <n v="0"/>
    <n v="0"/>
    <n v="0"/>
    <n v="0"/>
    <n v="48.782020432513058"/>
    <n v="67.05"/>
    <n v="-9.3312639290962646E-3"/>
    <n v="6"/>
    <m/>
    <s v="Teghra"/>
    <m/>
    <n v="0"/>
  </r>
  <r>
    <s v="Munger"/>
    <s v="01-02 Apr"/>
    <n v="1008"/>
    <s v="Teghra"/>
    <x v="296"/>
    <s v="Gomukh Jhamatia"/>
    <s v="MPG"/>
    <s v="Direct"/>
    <n v="348.95"/>
    <n v="13592.23"/>
    <n v="347"/>
    <n v="13512.560173200001"/>
    <n v="0"/>
    <n v="0"/>
    <n v="347"/>
    <n v="13512.560173200001"/>
    <n v="13512.560173200001"/>
    <n v="0"/>
    <n v="0"/>
    <n v="0"/>
    <n v="0"/>
    <n v="0"/>
    <n v="0"/>
    <n v="13513"/>
    <n v="0"/>
    <n v="0"/>
    <n v="79"/>
    <n v="0"/>
    <n v="0"/>
    <n v="0"/>
    <n v="5.8614242696009558E-3"/>
    <n v="1"/>
    <m/>
    <s v="Teghra"/>
    <m/>
    <n v="0"/>
  </r>
  <r>
    <s v="Munger"/>
    <s v="01-02 Apr"/>
    <n v="1008"/>
    <s v="Teghra"/>
    <x v="297"/>
    <s v="Gomukh Puranatol Raichiahi"/>
    <s v="MPG"/>
    <s v="Direct"/>
    <n v="172.6"/>
    <n v="6463.92"/>
    <n v="172.5"/>
    <n v="6449.4169621199999"/>
    <n v="0"/>
    <n v="0"/>
    <n v="172.5"/>
    <n v="6449.4169621199999"/>
    <n v="6449.4169621199999"/>
    <n v="0"/>
    <n v="0"/>
    <n v="0"/>
    <n v="0"/>
    <n v="0"/>
    <n v="0"/>
    <n v="6449"/>
    <n v="0"/>
    <n v="0"/>
    <n v="15"/>
    <n v="0"/>
    <n v="20.522758748551571"/>
    <n v="86.3"/>
    <n v="2.2436908068169457E-3"/>
    <n v="1"/>
    <m/>
    <s v="Teghra"/>
    <m/>
    <n v="0"/>
  </r>
  <r>
    <s v="Munger"/>
    <s v="01-02 Apr"/>
    <n v="1008"/>
    <s v="Teghra"/>
    <x v="298"/>
    <s v="Bihat-Gududaspur"/>
    <s v="MPG"/>
    <s v="Direct"/>
    <n v="82.9"/>
    <n v="3319.9000000000005"/>
    <n v="82"/>
    <n v="3290.5858392000005"/>
    <n v="0"/>
    <n v="0"/>
    <n v="82"/>
    <n v="3290.5858392000005"/>
    <n v="3290.5858392000005"/>
    <n v="0"/>
    <n v="0"/>
    <n v="0"/>
    <n v="0"/>
    <n v="0"/>
    <n v="0"/>
    <n v="3291"/>
    <n v="0"/>
    <n v="0"/>
    <n v="29"/>
    <n v="0"/>
    <n v="93.790178528347425"/>
    <n v="41.45"/>
    <n v="8.8298324648333013E-3"/>
    <n v="1"/>
    <m/>
    <s v="Teghra"/>
    <m/>
    <n v="0"/>
  </r>
  <r>
    <s v="Munger"/>
    <s v="01-02 Apr"/>
    <n v="1008"/>
    <s v="Teghra"/>
    <x v="299"/>
    <s v="Labharchak-2"/>
    <s v="MPG"/>
    <s v="Direct"/>
    <n v="51.3"/>
    <n v="1829.3700000000001"/>
    <n v="51"/>
    <n v="1864.8178560000003"/>
    <n v="0"/>
    <n v="0"/>
    <n v="51"/>
    <n v="1864.8178560000003"/>
    <n v="1829.3700000000001"/>
    <n v="0"/>
    <n v="0"/>
    <n v="35.447856000000229"/>
    <n v="0"/>
    <n v="0"/>
    <n v="0"/>
    <n v="1829"/>
    <n v="0"/>
    <n v="0"/>
    <n v="0"/>
    <n v="0"/>
    <n v="106.05353567251463"/>
    <n v="25.65"/>
    <n v="-1.9377083914134497E-2"/>
    <n v="1"/>
    <m/>
    <s v="Teghra"/>
    <m/>
    <n v="0"/>
  </r>
  <r>
    <s v="Munger"/>
    <s v="01-02 Apr"/>
    <n v="1009"/>
    <s v="Halsi"/>
    <x v="300"/>
    <s v="POHE"/>
    <s v="vlc"/>
    <s v="Indirect"/>
    <n v="112.5"/>
    <n v="4818.9799999999996"/>
    <n v="0"/>
    <n v="0"/>
    <n v="0"/>
    <n v="0"/>
    <n v="0"/>
    <n v="0"/>
    <n v="4818.9799999999996"/>
    <n v="0"/>
    <n v="0"/>
    <n v="0"/>
    <n v="0"/>
    <n v="0"/>
    <n v="0"/>
    <n v="0"/>
    <n v="0"/>
    <n v="4818.9799999999996"/>
    <n v="0"/>
    <n v="0"/>
    <n v="74.961911111111107"/>
    <n v="56.25"/>
    <n v="0"/>
    <n v="0"/>
    <m/>
    <s v="Halsi"/>
    <m/>
    <n v="0"/>
  </r>
  <r>
    <s v="Munger"/>
    <s v="01-02 Apr"/>
    <n v="1009"/>
    <s v="Halsi"/>
    <x v="301"/>
    <s v="AURO"/>
    <s v="MPG"/>
    <s v="Direct"/>
    <n v="575.59999999999991"/>
    <n v="24285.820000000003"/>
    <n v="413.68000000000006"/>
    <n v="17550.901531701471"/>
    <n v="162.88999999999999"/>
    <n v="6950.5908222417311"/>
    <n v="576.57000000000005"/>
    <n v="24501.492353943202"/>
    <n v="24285.820000000003"/>
    <n v="0"/>
    <n v="167.49171014400002"/>
    <n v="215.67235394319869"/>
    <n v="0"/>
    <n v="0"/>
    <n v="0"/>
    <n v="17335"/>
    <n v="6783"/>
    <n v="0"/>
    <n v="0"/>
    <n v="0"/>
    <n v="0"/>
    <n v="0"/>
    <n v="-8.8805876821617981E-3"/>
    <n v="14"/>
    <m/>
    <s v="Halsi"/>
    <m/>
    <n v="0"/>
  </r>
  <r>
    <s v="Munger"/>
    <s v="01-02 Apr"/>
    <n v="1009"/>
    <s v="Halsi"/>
    <x v="302"/>
    <s v="PARSHAMA"/>
    <s v="MPG"/>
    <s v="Direct"/>
    <n v="44.900000000000006"/>
    <n v="1518.94"/>
    <n v="45.2"/>
    <n v="1579.1641272000002"/>
    <n v="0.2"/>
    <n v="6.9566112000000011"/>
    <n v="45.400000000000006"/>
    <n v="1586.1207384000002"/>
    <n v="1518.94"/>
    <n v="0"/>
    <n v="6.9566112000000011"/>
    <n v="67.180738400000109"/>
    <n v="0"/>
    <n v="0"/>
    <n v="0"/>
    <n v="1512"/>
    <n v="0"/>
    <n v="0"/>
    <n v="0"/>
    <n v="0"/>
    <n v="104.9387946547884"/>
    <n v="22.450000000000003"/>
    <n v="-4.4228697907751531E-2"/>
    <n v="3"/>
    <m/>
    <s v="Halsi"/>
    <m/>
    <n v="0"/>
  </r>
  <r>
    <s v="Munger"/>
    <s v="01-02 Apr"/>
    <n v="1009"/>
    <s v="Halsi"/>
    <x v="303"/>
    <s v="PRATAPUR 2"/>
    <s v="vlc"/>
    <s v="Indirect"/>
    <n v="26.2"/>
    <n v="1426.6799999999998"/>
    <n v="0"/>
    <n v="0"/>
    <n v="0"/>
    <n v="0"/>
    <n v="0"/>
    <n v="0"/>
    <n v="1426.6799999999998"/>
    <n v="0"/>
    <n v="0"/>
    <n v="0"/>
    <n v="0"/>
    <n v="0"/>
    <n v="0"/>
    <n v="0"/>
    <n v="0"/>
    <n v="1426.6799999999998"/>
    <n v="0"/>
    <n v="0"/>
    <n v="189.28014045801527"/>
    <n v="13.1"/>
    <n v="0"/>
    <n v="0"/>
    <m/>
    <s v="Halsi"/>
    <m/>
    <n v="0"/>
  </r>
  <r>
    <s v="Munger"/>
    <s v="01-02 Apr"/>
    <n v="1009"/>
    <s v="Halsi"/>
    <x v="304"/>
    <s v="BALLOPUR"/>
    <s v="MPG"/>
    <s v="Direct"/>
    <n v="310.7"/>
    <n v="12075.01"/>
    <n v="308.60000000000002"/>
    <n v="12401.280178173602"/>
    <n v="0"/>
    <n v="0"/>
    <n v="308.60000000000002"/>
    <n v="12401.280178173602"/>
    <n v="12075.01"/>
    <n v="0"/>
    <n v="0"/>
    <n v="326.27017817360138"/>
    <n v="0"/>
    <n v="0"/>
    <n v="0"/>
    <n v="12075"/>
    <n v="0"/>
    <n v="0"/>
    <n v="0"/>
    <n v="0"/>
    <n v="0"/>
    <n v="0"/>
    <n v="-2.7020282233604889E-2"/>
    <n v="10"/>
    <m/>
    <s v="Halsi"/>
    <m/>
    <n v="0"/>
  </r>
  <r>
    <s v="Munger"/>
    <s v="01-02 Apr"/>
    <n v="1009"/>
    <s v="Halsi"/>
    <x v="305"/>
    <s v="KHAIRMA"/>
    <s v="MPG"/>
    <s v="Direct"/>
    <n v="110"/>
    <n v="3902.1099999999997"/>
    <n v="124"/>
    <n v="4939.3151280000002"/>
    <n v="0"/>
    <n v="0"/>
    <n v="124"/>
    <n v="4939.3151280000002"/>
    <n v="3902.1099999999997"/>
    <n v="0"/>
    <n v="0"/>
    <n v="1037.2051280000005"/>
    <n v="0"/>
    <n v="0"/>
    <n v="0"/>
    <n v="3902"/>
    <n v="0"/>
    <n v="0"/>
    <n v="0"/>
    <n v="0"/>
    <n v="63.852709090909087"/>
    <n v="55"/>
    <n v="-0.26580622483733174"/>
    <n v="1"/>
    <m/>
    <s v="Halsi"/>
    <m/>
    <n v="0"/>
  </r>
  <r>
    <s v="Munger"/>
    <s v="01-02 Apr"/>
    <n v="1009"/>
    <s v="Halsi"/>
    <x v="306"/>
    <s v="MAHASONI"/>
    <s v="MPG"/>
    <s v="Direct"/>
    <n v="275.2"/>
    <n v="10309.06"/>
    <n v="274.89999999999998"/>
    <n v="10207.222947571718"/>
    <n v="3.7"/>
    <n v="133.11390054600002"/>
    <n v="278.59999999999997"/>
    <n v="10340.336848117719"/>
    <n v="10309.06"/>
    <n v="0"/>
    <n v="133.11390054600002"/>
    <n v="31.276848117719055"/>
    <n v="0"/>
    <n v="0"/>
    <n v="0"/>
    <n v="10176"/>
    <n v="0"/>
    <n v="0"/>
    <n v="0"/>
    <n v="0"/>
    <n v="0"/>
    <n v="0"/>
    <n v="-3.0339185258131253E-3"/>
    <n v="27"/>
    <m/>
    <s v="Halsi"/>
    <m/>
    <n v="0"/>
  </r>
  <r>
    <s v="Munger"/>
    <s v="01-02 Apr"/>
    <n v="1009"/>
    <s v="Halsi"/>
    <x v="307"/>
    <s v="SONDHI"/>
    <s v="MPG"/>
    <s v="Direct"/>
    <n v="162.70000000000002"/>
    <n v="6733.079999999999"/>
    <n v="173.2"/>
    <n v="7087.4859296413006"/>
    <n v="1.7000000000000002"/>
    <n v="73.828797538000003"/>
    <n v="174.89999999999998"/>
    <n v="7161.3147271793005"/>
    <n v="6733.079999999999"/>
    <n v="0"/>
    <n v="73.828797538000003"/>
    <n v="428.23472717930144"/>
    <n v="0"/>
    <n v="0"/>
    <n v="0"/>
    <n v="6659"/>
    <n v="0"/>
    <n v="0"/>
    <n v="0"/>
    <s v="Release1"/>
    <n v="30.872020159803302"/>
    <n v="81.350000000000009"/>
    <n v="-6.3601609839672404E-2"/>
    <n v="12"/>
    <m/>
    <s v="Halsi"/>
    <m/>
    <n v="0"/>
  </r>
  <r>
    <s v="Munger"/>
    <s v="01-02 Apr"/>
    <n v="1009"/>
    <s v="Halsi"/>
    <x v="308"/>
    <s v="BELDARAYA"/>
    <s v="vlc"/>
    <s v="Indirect"/>
    <n v="400"/>
    <n v="14745"/>
    <n v="0"/>
    <n v="0"/>
    <n v="0"/>
    <n v="0"/>
    <n v="0"/>
    <n v="0"/>
    <n v="14745"/>
    <n v="0"/>
    <n v="0"/>
    <n v="0"/>
    <n v="0"/>
    <n v="0"/>
    <n v="0"/>
    <n v="0"/>
    <n v="0"/>
    <n v="14745"/>
    <n v="0"/>
    <n v="0"/>
    <n v="0"/>
    <n v="0"/>
    <n v="0"/>
    <n v="0"/>
    <m/>
    <s v="Halsi"/>
    <m/>
    <n v="0"/>
  </r>
  <r>
    <s v="Munger"/>
    <s v="01-02 Apr"/>
    <n v="1009"/>
    <s v="Halsi"/>
    <x v="309"/>
    <s v="Gomukh ID Aure-2"/>
    <s v="vlc"/>
    <s v="Indirect"/>
    <n v="400"/>
    <n v="14758"/>
    <n v="0"/>
    <n v="0"/>
    <n v="0"/>
    <n v="0"/>
    <n v="0"/>
    <n v="0"/>
    <n v="14758"/>
    <n v="0"/>
    <n v="0"/>
    <n v="0"/>
    <n v="0"/>
    <n v="0"/>
    <n v="0"/>
    <n v="0"/>
    <n v="0"/>
    <n v="14758"/>
    <n v="0"/>
    <n v="0"/>
    <n v="0"/>
    <n v="0"/>
    <n v="0"/>
    <n v="0"/>
    <m/>
    <s v="Halsi"/>
    <m/>
    <n v="0"/>
  </r>
  <r>
    <s v="Munger"/>
    <s v="01-02 Apr"/>
    <n v="1009"/>
    <s v="Halsi"/>
    <x v="310"/>
    <s v="Gomukh Karma"/>
    <s v="vlc"/>
    <s v="Indirect"/>
    <n v="212.5"/>
    <n v="8467.75"/>
    <n v="0"/>
    <n v="0"/>
    <n v="0"/>
    <n v="0"/>
    <n v="0"/>
    <n v="0"/>
    <n v="8467.75"/>
    <n v="0"/>
    <n v="0"/>
    <n v="0"/>
    <n v="0"/>
    <n v="0"/>
    <n v="0"/>
    <n v="0"/>
    <n v="0"/>
    <n v="8467.75"/>
    <n v="0"/>
    <n v="0"/>
    <n v="0"/>
    <n v="0"/>
    <n v="0"/>
    <n v="0"/>
    <m/>
    <s v="Halsi"/>
    <m/>
    <n v="0"/>
  </r>
  <r>
    <s v="Munger"/>
    <s v="01-02 Apr"/>
    <n v="1009"/>
    <s v="Halsi"/>
    <x v="311"/>
    <s v="GOMUKH UKSI"/>
    <s v="vlc"/>
    <s v="Indirect"/>
    <n v="127"/>
    <n v="5113.6099999999997"/>
    <n v="0"/>
    <n v="0"/>
    <n v="0"/>
    <n v="0"/>
    <n v="0"/>
    <n v="0"/>
    <n v="5113.6099999999997"/>
    <n v="0"/>
    <n v="0"/>
    <n v="0"/>
    <n v="0"/>
    <n v="0"/>
    <n v="0"/>
    <n v="0"/>
    <n v="0"/>
    <n v="5113.6099999999997"/>
    <n v="0"/>
    <n v="0"/>
    <n v="58.786382677165349"/>
    <n v="63.5"/>
    <n v="0"/>
    <n v="0"/>
    <m/>
    <s v="Halsi"/>
    <m/>
    <n v="0"/>
  </r>
  <r>
    <s v="Munger"/>
    <s v="01-02 Apr"/>
    <n v="1009"/>
    <s v="Halsi"/>
    <x v="312"/>
    <s v="Gomukh ID Halsi"/>
    <s v="vlc"/>
    <s v="Indirect"/>
    <n v="1123.2"/>
    <n v="38704.07"/>
    <n v="0"/>
    <n v="0"/>
    <n v="0"/>
    <n v="0"/>
    <n v="0"/>
    <n v="0"/>
    <n v="38704.07"/>
    <n v="0"/>
    <n v="0"/>
    <n v="0"/>
    <n v="0"/>
    <n v="0"/>
    <n v="0"/>
    <n v="0"/>
    <n v="0"/>
    <n v="38704.07"/>
    <n v="0"/>
    <n v="0"/>
    <n v="0"/>
    <n v="0"/>
    <n v="0"/>
    <n v="0"/>
    <m/>
    <s v="Halsi"/>
    <m/>
    <n v="0"/>
  </r>
  <r>
    <s v="Munger"/>
    <s v="01-02 Apr"/>
    <n v="1009"/>
    <s v="Halsi"/>
    <x v="313"/>
    <s v="Gomukh ID Lalpur"/>
    <s v="vlc"/>
    <s v="Indirect"/>
    <n v="72"/>
    <n v="2646.49"/>
    <n v="0"/>
    <n v="0"/>
    <n v="0"/>
    <n v="0"/>
    <n v="0"/>
    <n v="0"/>
    <n v="2646.49"/>
    <n v="0"/>
    <n v="0"/>
    <n v="0"/>
    <n v="0"/>
    <n v="0"/>
    <n v="0"/>
    <n v="0"/>
    <n v="0"/>
    <n v="2646.49"/>
    <n v="0"/>
    <n v="0"/>
    <n v="94.097422222222221"/>
    <n v="36"/>
    <n v="0"/>
    <n v="0"/>
    <m/>
    <s v="Halsi"/>
    <m/>
    <n v="0"/>
  </r>
  <r>
    <s v="Munger"/>
    <s v="01-02 Apr"/>
    <n v="1009"/>
    <s v="Halsi"/>
    <x v="314"/>
    <s v="KHURIYARI"/>
    <s v="MPG"/>
    <s v="Direct"/>
    <n v="247.20000000000002"/>
    <n v="9613.68"/>
    <n v="327.2"/>
    <n v="10557.541105056"/>
    <n v="0.8"/>
    <n v="24.664979790000004"/>
    <n v="328"/>
    <n v="10582.206084846001"/>
    <n v="9613.68"/>
    <n v="0"/>
    <n v="24.664979790000004"/>
    <n v="968.52608484600023"/>
    <n v="0"/>
    <n v="0"/>
    <n v="0"/>
    <n v="9589"/>
    <n v="0"/>
    <n v="0"/>
    <n v="0"/>
    <n v="0"/>
    <n v="0"/>
    <n v="0"/>
    <n v="-0.10074457282185388"/>
    <n v="4"/>
    <m/>
    <s v="Halsi"/>
    <m/>
    <n v="0"/>
  </r>
  <r>
    <s v="Munger"/>
    <s v="01-02 Apr"/>
    <n v="1009"/>
    <s v="Halsi"/>
    <x v="315"/>
    <s v="BISANPUR"/>
    <s v="vlc"/>
    <s v="Indirect"/>
    <n v="187.6"/>
    <n v="7253.33"/>
    <n v="0"/>
    <n v="0"/>
    <n v="0"/>
    <n v="0"/>
    <n v="0"/>
    <n v="0"/>
    <n v="7253.33"/>
    <n v="0"/>
    <n v="0"/>
    <n v="0"/>
    <n v="0"/>
    <n v="0"/>
    <n v="0"/>
    <n v="0"/>
    <n v="0"/>
    <n v="7253.33"/>
    <n v="0"/>
    <n v="0"/>
    <n v="9.5886238805970194"/>
    <n v="93.8"/>
    <n v="0"/>
    <n v="0"/>
    <m/>
    <s v="Halsi"/>
    <m/>
    <n v="0"/>
  </r>
  <r>
    <s v="Munger"/>
    <s v="01-02 Apr"/>
    <n v="1009"/>
    <s v="Halsi"/>
    <x v="316"/>
    <s v="BEHRAMA"/>
    <s v="vlc"/>
    <s v="Indirect"/>
    <n v="88.9"/>
    <n v="2989.5299999999997"/>
    <n v="0"/>
    <n v="0"/>
    <n v="0"/>
    <n v="0"/>
    <n v="0"/>
    <n v="0"/>
    <n v="2989.5299999999997"/>
    <n v="0"/>
    <n v="0"/>
    <n v="0"/>
    <n v="0"/>
    <n v="0"/>
    <n v="0"/>
    <n v="0"/>
    <n v="0"/>
    <n v="2989.5299999999997"/>
    <n v="0"/>
    <n v="0"/>
    <n v="74.721435995500556"/>
    <n v="44.45"/>
    <n v="0"/>
    <n v="0"/>
    <m/>
    <s v="Halsi"/>
    <m/>
    <n v="0"/>
  </r>
  <r>
    <s v="Munger"/>
    <s v="01-02 Apr"/>
    <n v="1009"/>
    <s v="Halsi"/>
    <x v="317"/>
    <s v="Gomukh ID Mathurapur"/>
    <s v="vlc"/>
    <s v="Indirect"/>
    <n v="211.4"/>
    <n v="8282.86"/>
    <n v="0"/>
    <n v="0"/>
    <n v="0"/>
    <n v="0"/>
    <n v="0"/>
    <n v="0"/>
    <n v="8282.86"/>
    <n v="0"/>
    <n v="0"/>
    <n v="0"/>
    <n v="0"/>
    <n v="0"/>
    <n v="0"/>
    <n v="0"/>
    <n v="0"/>
    <n v="8282.86"/>
    <n v="0"/>
    <n v="0"/>
    <n v="0"/>
    <n v="0"/>
    <n v="0"/>
    <n v="0"/>
    <m/>
    <s v="Halsi"/>
    <m/>
    <n v="0"/>
  </r>
  <r>
    <s v="Munger"/>
    <s v="01-02 Apr"/>
    <n v="1009"/>
    <s v="Halsi"/>
    <x v="318"/>
    <s v="Gomukh ID Kurha Dih"/>
    <s v="vlc"/>
    <s v="Indirect"/>
    <n v="49.2"/>
    <n v="1814.7"/>
    <n v="0"/>
    <n v="0"/>
    <n v="0"/>
    <n v="0"/>
    <n v="0"/>
    <n v="0"/>
    <n v="1814.7"/>
    <n v="0"/>
    <n v="0"/>
    <n v="0"/>
    <n v="0"/>
    <n v="0"/>
    <n v="0"/>
    <n v="0"/>
    <n v="0"/>
    <n v="1814.7"/>
    <n v="0"/>
    <n v="0"/>
    <n v="111.24258536585367"/>
    <n v="24.6"/>
    <n v="0"/>
    <n v="0"/>
    <m/>
    <s v="Halsi"/>
    <m/>
    <n v="0"/>
  </r>
  <r>
    <s v="Munger"/>
    <s v="01-02 Apr"/>
    <n v="1009"/>
    <s v="Halsi"/>
    <x v="319"/>
    <s v="RAMNAGAR"/>
    <s v="MPG"/>
    <s v="Direct"/>
    <n v="198.2"/>
    <n v="8580.9000000000015"/>
    <n v="217.74"/>
    <n v="9255.0486857968572"/>
    <n v="4.16"/>
    <n v="155.95474752000001"/>
    <n v="221.9"/>
    <n v="9411.0034333168569"/>
    <n v="8580.9000000000015"/>
    <n v="0"/>
    <n v="155.95474752000001"/>
    <n v="830.10343331685544"/>
    <n v="0"/>
    <n v="0"/>
    <n v="0"/>
    <n v="8425"/>
    <n v="0"/>
    <n v="0"/>
    <n v="0"/>
    <n v="0"/>
    <n v="1.5585893037336127"/>
    <n v="99.1"/>
    <n v="-9.6738504506153816E-2"/>
    <n v="22"/>
    <m/>
    <s v="Halsi"/>
    <m/>
    <n v="0"/>
  </r>
  <r>
    <s v="Munger"/>
    <s v="01-02 Apr"/>
    <n v="1009"/>
    <s v="Halsi"/>
    <x v="320"/>
    <s v="SANDH MAAF 2"/>
    <s v="MPG"/>
    <s v="Direct"/>
    <n v="273"/>
    <n v="13407.95"/>
    <n v="275.78000000000003"/>
    <n v="14355.248423211582"/>
    <n v="1.8699999999999999"/>
    <n v="105.8405054288"/>
    <n v="277.65000000000003"/>
    <n v="14461.088928640382"/>
    <n v="13407.95"/>
    <n v="0"/>
    <n v="105.8405054288"/>
    <n v="1053.138928640381"/>
    <n v="0"/>
    <n v="0"/>
    <n v="0"/>
    <n v="13302"/>
    <n v="0"/>
    <n v="0"/>
    <n v="0"/>
    <n v="0"/>
    <n v="0"/>
    <n v="0"/>
    <n v="-7.8545857393589699E-2"/>
    <n v="12"/>
    <m/>
    <s v="Halsi"/>
    <m/>
    <n v="0"/>
  </r>
  <r>
    <s v="Munger"/>
    <s v="01-02 Apr"/>
    <n v="1009"/>
    <s v="Halsi"/>
    <x v="321"/>
    <s v="BHATTA                                                                                              "/>
    <s v="MPG"/>
    <s v="Direct"/>
    <n v="389.29999999999995"/>
    <n v="15809.07"/>
    <n v="390.62"/>
    <n v="17638.401957240203"/>
    <n v="1.39"/>
    <n v="54.014639580000008"/>
    <n v="392.01"/>
    <n v="17692.416596820203"/>
    <n v="15809.07"/>
    <n v="0"/>
    <n v="54.014639580000008"/>
    <n v="1883.3465968202036"/>
    <n v="0"/>
    <n v="0"/>
    <n v="0"/>
    <n v="15755"/>
    <n v="0"/>
    <n v="0"/>
    <n v="0"/>
    <n v="0"/>
    <n v="0"/>
    <n v="0"/>
    <n v="-0.11913076460665957"/>
    <n v="5"/>
    <m/>
    <s v="Halsi"/>
    <m/>
    <n v="0"/>
  </r>
  <r>
    <s v="Munger"/>
    <s v="01-02 Apr"/>
    <n v="1009"/>
    <s v="Halsi"/>
    <x v="322"/>
    <s v="TAAL-SHAHARSHA                                                                                      "/>
    <s v="MPG"/>
    <s v="Direct"/>
    <n v="23.7"/>
    <n v="911.16"/>
    <n v="33.08"/>
    <n v="1348.21092784806"/>
    <n v="0"/>
    <n v="0"/>
    <n v="33.08"/>
    <n v="1348.21092784806"/>
    <n v="911.16"/>
    <n v="0"/>
    <n v="0"/>
    <n v="437.05092784806004"/>
    <n v="0"/>
    <n v="0"/>
    <n v="0"/>
    <n v="911"/>
    <n v="0"/>
    <n v="0"/>
    <n v="0"/>
    <n v="0"/>
    <n v="135.55907848101268"/>
    <n v="11.85"/>
    <n v="-0.47966430467542481"/>
    <n v="3"/>
    <m/>
    <s v="Halsi"/>
    <m/>
    <n v="0"/>
  </r>
  <r>
    <s v="Munger"/>
    <s v="01-02 Apr"/>
    <n v="1009"/>
    <s v="Halsi"/>
    <x v="323"/>
    <s v="Dhira"/>
    <s v="MPG"/>
    <s v="Direct"/>
    <n v="117.30000000000001"/>
    <n v="5492.68"/>
    <n v="116.25"/>
    <n v="5416.3738741820243"/>
    <n v="1.4"/>
    <n v="59.899214232000006"/>
    <n v="117.65"/>
    <n v="5476.2730884140246"/>
    <n v="5476.2730884140246"/>
    <n v="0"/>
    <n v="59.899214232000006"/>
    <n v="0"/>
    <n v="0"/>
    <n v="0"/>
    <n v="0"/>
    <n v="5417"/>
    <n v="0"/>
    <n v="0"/>
    <n v="16"/>
    <n v="0"/>
    <n v="77.450065814151728"/>
    <n v="58.650000000000006"/>
    <n v="2.9870503262479607E-3"/>
    <n v="5"/>
    <m/>
    <s v="Halsi"/>
    <m/>
    <n v="0"/>
  </r>
  <r>
    <s v="Munger"/>
    <s v="01-02 Apr"/>
    <n v="1009"/>
    <s v="Halsi"/>
    <x v="324"/>
    <s v="BARHARA"/>
    <s v="MPG"/>
    <s v="Direct"/>
    <n v="62.900000000000006"/>
    <n v="2226.4299999999998"/>
    <n v="75.569999999999993"/>
    <n v="3010.5489145644005"/>
    <n v="0"/>
    <n v="0"/>
    <n v="75.569999999999993"/>
    <n v="3010.5489145644005"/>
    <n v="2226.4299999999998"/>
    <n v="0"/>
    <n v="0"/>
    <n v="784.11891456440071"/>
    <n v="0"/>
    <n v="0"/>
    <n v="0"/>
    <n v="2226"/>
    <n v="0"/>
    <n v="0"/>
    <n v="0"/>
    <s v="Release1"/>
    <n v="97.056773608902986"/>
    <n v="31.450000000000003"/>
    <n v="-0.35218664613951517"/>
    <n v="2"/>
    <m/>
    <s v="Halsi"/>
    <m/>
    <n v="0"/>
  </r>
  <r>
    <s v="Munger"/>
    <s v="01-02 Apr"/>
    <n v="1009"/>
    <s v="Halsi"/>
    <x v="325"/>
    <s v="AZADNAGAR(VLC)"/>
    <s v="vlc"/>
    <s v="Indirect"/>
    <n v="40.6"/>
    <n v="1117.48"/>
    <n v="0"/>
    <n v="0"/>
    <n v="0"/>
    <n v="0"/>
    <n v="0"/>
    <n v="0"/>
    <n v="1117.48"/>
    <n v="0"/>
    <n v="0"/>
    <n v="0"/>
    <n v="0"/>
    <n v="0"/>
    <n v="0"/>
    <n v="0"/>
    <n v="0"/>
    <n v="1117.48"/>
    <n v="0"/>
    <n v="0"/>
    <n v="87.746951724137929"/>
    <n v="20.3"/>
    <n v="0"/>
    <n v="0"/>
    <m/>
    <s v="Halsi"/>
    <m/>
    <n v="0"/>
  </r>
  <r>
    <s v="Munger"/>
    <s v="01-02 Apr"/>
    <n v="1009"/>
    <s v="Halsi"/>
    <x v="326"/>
    <s v="REWAI"/>
    <s v="MPG"/>
    <s v="Direct"/>
    <n v="91.600000000000009"/>
    <n v="3624.4900000000002"/>
    <n v="65.08"/>
    <n v="2520.7328535840002"/>
    <n v="0"/>
    <n v="0"/>
    <n v="65.08"/>
    <n v="2520.7328535840002"/>
    <n v="2520.7328535840002"/>
    <n v="0"/>
    <n v="0"/>
    <n v="0"/>
    <n v="0"/>
    <n v="0"/>
    <n v="0"/>
    <n v="2521"/>
    <n v="0"/>
    <n v="0"/>
    <n v="1103"/>
    <n v="0"/>
    <n v="85.784872489082971"/>
    <n v="45.800000000000004"/>
    <n v="0.30452757392515911"/>
    <n v="2"/>
    <m/>
    <s v="Halsi"/>
    <m/>
    <n v="0"/>
  </r>
  <r>
    <s v="Munger"/>
    <s v="01-02 Apr"/>
    <n v="1009"/>
    <s v="Halsi"/>
    <x v="327"/>
    <s v="BAKHIYA"/>
    <s v="MPG"/>
    <s v="Direct"/>
    <n v="48.6"/>
    <n v="2120.61"/>
    <n v="49.84"/>
    <n v="2122.8242892064604"/>
    <n v="0"/>
    <n v="0"/>
    <n v="49.84"/>
    <n v="2122.8242892064604"/>
    <n v="2120.61"/>
    <n v="0"/>
    <n v="0"/>
    <n v="2.2142892064603075"/>
    <n v="0"/>
    <n v="0"/>
    <n v="0"/>
    <n v="2121"/>
    <n v="0"/>
    <n v="0"/>
    <n v="0"/>
    <s v="Release1"/>
    <n v="132.12360246913582"/>
    <n v="24.3"/>
    <n v="-1.0441755940320508E-3"/>
    <n v="4"/>
    <m/>
    <s v="Halsi"/>
    <m/>
    <n v="0"/>
  </r>
  <r>
    <s v="Munger"/>
    <s v="01-02 Apr"/>
    <n v="1009"/>
    <s v="Halsi"/>
    <x v="328"/>
    <s v="MANJOS"/>
    <s v="MPG"/>
    <s v="Direct"/>
    <n v="35.799999999999997"/>
    <n v="1398.71"/>
    <n v="35.799999999999997"/>
    <n v="1422.4448224800001"/>
    <n v="0"/>
    <n v="0"/>
    <n v="35.799999999999997"/>
    <n v="1422.4448224800001"/>
    <n v="1398.71"/>
    <n v="0"/>
    <n v="0"/>
    <n v="23.734822480000048"/>
    <n v="0"/>
    <n v="0"/>
    <n v="0"/>
    <n v="1399"/>
    <n v="0"/>
    <n v="0"/>
    <n v="0"/>
    <n v="0"/>
    <n v="128.30624692737433"/>
    <n v="17.899999999999999"/>
    <n v="-1.6969080424105103E-2"/>
    <n v="1"/>
    <m/>
    <s v="Halsi"/>
    <m/>
    <n v="0"/>
  </r>
  <r>
    <s v="Munger"/>
    <s v="01-02 Apr"/>
    <n v="1009"/>
    <s v="Halsi"/>
    <x v="329"/>
    <s v="RATA"/>
    <s v="MPG"/>
    <s v="Direct"/>
    <n v="121.79999999999998"/>
    <n v="4806.8500000000004"/>
    <n v="127"/>
    <n v="4615.0403537079601"/>
    <n v="0"/>
    <n v="0"/>
    <n v="127"/>
    <n v="4615.0403537079601"/>
    <n v="4615.0403537079601"/>
    <n v="0"/>
    <n v="0"/>
    <n v="0"/>
    <n v="0"/>
    <n v="0"/>
    <n v="0"/>
    <n v="4615"/>
    <n v="0"/>
    <n v="0"/>
    <n v="192"/>
    <n v="0"/>
    <n v="61.723426929392474"/>
    <n v="60.899999999999991"/>
    <n v="3.9903397503987074E-2"/>
    <n v="3"/>
    <m/>
    <s v="Halsi"/>
    <m/>
    <n v="0"/>
  </r>
  <r>
    <s v="Munger"/>
    <s v="01-02 Apr"/>
    <n v="1009"/>
    <s v="Halsi"/>
    <x v="330"/>
    <s v="BARUI"/>
    <s v="MPG"/>
    <s v="Direct"/>
    <n v="124.39999999999999"/>
    <n v="5351.5"/>
    <n v="124.66000000000001"/>
    <n v="5427.0743655598999"/>
    <n v="1.37"/>
    <n v="58.476214368000008"/>
    <n v="126.03000000000002"/>
    <n v="5485.5505799278999"/>
    <n v="5351.5"/>
    <n v="0"/>
    <n v="58.476214368000008"/>
    <n v="134.05057992789989"/>
    <n v="0"/>
    <n v="0"/>
    <n v="0"/>
    <n v="5293"/>
    <n v="0"/>
    <n v="0"/>
    <n v="0"/>
    <s v="Release1"/>
    <n v="65.043954983922845"/>
    <n v="62.199999999999996"/>
    <n v="-2.504916003511163E-2"/>
    <n v="16"/>
    <m/>
    <s v="Halsi"/>
    <m/>
    <n v="0"/>
  </r>
  <r>
    <s v="Munger"/>
    <s v="01-02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244.5"/>
    <n v="11581.29"/>
    <n v="243.25999999999996"/>
    <n v="12193.945873195422"/>
    <n v="1.7200000000000002"/>
    <n v="91.175238568699996"/>
    <n v="244.97999999999996"/>
    <n v="12285.121111764121"/>
    <n v="11581.29"/>
    <n v="0"/>
    <n v="91.175238568699996"/>
    <n v="703.83111176412058"/>
    <n v="0"/>
    <n v="0"/>
    <n v="0"/>
    <n v="11490"/>
    <n v="0"/>
    <n v="0"/>
    <n v="0"/>
    <n v="0"/>
    <n v="0"/>
    <n v="0"/>
    <n v="-6.0773118690933436E-2"/>
    <n v="11"/>
    <m/>
    <s v="Halsi"/>
    <m/>
    <n v="0"/>
  </r>
  <r>
    <s v="Munger"/>
    <s v="01-02 Apr"/>
    <n v="1009"/>
    <s v="Halsi"/>
    <x v="332"/>
    <s v="LACHHUAR"/>
    <s v="MPG"/>
    <s v="Direct"/>
    <n v="138.4"/>
    <n v="4383.1099999999997"/>
    <n v="140.95999999999998"/>
    <n v="4517.0182245276001"/>
    <n v="0.18"/>
    <n v="6.5104300800000008"/>
    <n v="141.13999999999999"/>
    <n v="4523.5286546076004"/>
    <n v="4383.1099999999997"/>
    <n v="0"/>
    <n v="6.5104300800000008"/>
    <n v="140.41865460760073"/>
    <n v="0"/>
    <n v="0"/>
    <n v="0"/>
    <n v="4376"/>
    <n v="0"/>
    <n v="0"/>
    <n v="1"/>
    <n v="0"/>
    <n v="39.017279768786118"/>
    <n v="69.2"/>
    <n v="-3.2036306323044765E-2"/>
    <n v="5"/>
    <m/>
    <s v="Halsi"/>
    <m/>
    <n v="0"/>
  </r>
  <r>
    <s v="Munger"/>
    <s v="01-02 Apr"/>
    <n v="1009"/>
    <s v="Halsi"/>
    <x v="333"/>
    <s v="RAMDIH Ajit Kumar"/>
    <s v="vlc"/>
    <s v="Indirect"/>
    <n v="60.4"/>
    <n v="2602.92"/>
    <n v="0"/>
    <n v="0"/>
    <n v="0"/>
    <n v="0"/>
    <n v="0"/>
    <n v="0"/>
    <n v="2602.92"/>
    <n v="0"/>
    <n v="0"/>
    <n v="0"/>
    <n v="0"/>
    <n v="0"/>
    <n v="0"/>
    <n v="0"/>
    <n v="0"/>
    <n v="2602.92"/>
    <n v="0"/>
    <n v="0"/>
    <n v="120.32040794701987"/>
    <n v="30.2"/>
    <n v="0"/>
    <n v="0"/>
    <m/>
    <s v="Halsi"/>
    <m/>
    <n v="0"/>
  </r>
  <r>
    <s v="Munger"/>
    <s v="01-02 Apr"/>
    <n v="1009"/>
    <s v="Halsi"/>
    <x v="334"/>
    <s v="NARAYANPUR"/>
    <s v="MPG"/>
    <s v="Direct"/>
    <n v="125.8"/>
    <n v="5065.0200000000004"/>
    <n v="158.04"/>
    <n v="6440.7791807594003"/>
    <n v="0.39"/>
    <n v="17.150946236460001"/>
    <n v="158.42999999999998"/>
    <n v="6457.9301269958605"/>
    <n v="5065.0200000000004"/>
    <n v="0"/>
    <n v="17.150946236460001"/>
    <n v="1392.9101269958601"/>
    <n v="0"/>
    <n v="0"/>
    <n v="0"/>
    <n v="5048"/>
    <n v="0"/>
    <n v="0"/>
    <n v="0"/>
    <n v="0"/>
    <n v="59.749520508744055"/>
    <n v="62.9"/>
    <n v="-0.27500584933442712"/>
    <n v="3"/>
    <m/>
    <s v="Halsi"/>
    <m/>
    <n v="0"/>
  </r>
  <r>
    <s v="Munger"/>
    <s v="01-02 Apr"/>
    <n v="1009"/>
    <s v="Halsi"/>
    <x v="335"/>
    <s v="NAWKADIH"/>
    <s v="MPG"/>
    <s v="Direct"/>
    <n v="185.5"/>
    <n v="7685.49"/>
    <n v="191.88"/>
    <n v="8447.5509871742615"/>
    <n v="0"/>
    <n v="0"/>
    <n v="191.88"/>
    <n v="8447.5509871742615"/>
    <n v="7685.49"/>
    <n v="0"/>
    <n v="0"/>
    <n v="762.06098717426175"/>
    <n v="0"/>
    <n v="0"/>
    <n v="0"/>
    <n v="7685"/>
    <n v="0"/>
    <n v="0"/>
    <n v="0"/>
    <n v="0"/>
    <n v="12.015051752021563"/>
    <n v="92.75"/>
    <n v="-9.9155810127169744E-2"/>
    <n v="3"/>
    <m/>
    <s v="Halsi"/>
    <m/>
    <n v="0"/>
  </r>
  <r>
    <s v="Munger"/>
    <s v="01-02 Apr"/>
    <n v="1009"/>
    <s v="Halsi"/>
    <x v="336"/>
    <s v="CHOTAHA"/>
    <s v="MPG"/>
    <s v="Direct"/>
    <n v="264.60000000000002"/>
    <n v="10466.040000000001"/>
    <n v="307.95"/>
    <n v="17073.099481411598"/>
    <n v="0"/>
    <n v="0"/>
    <n v="307.95"/>
    <n v="17073.099481411598"/>
    <n v="10466.040000000001"/>
    <n v="0"/>
    <n v="0"/>
    <n v="6607.0594814115975"/>
    <n v="0"/>
    <n v="0"/>
    <n v="0"/>
    <n v="10466"/>
    <n v="0"/>
    <n v="0"/>
    <n v="0"/>
    <n v="0"/>
    <n v="0"/>
    <n v="0"/>
    <n v="-0.63128551786650888"/>
    <n v="1"/>
    <m/>
    <s v="Halsi"/>
    <m/>
    <n v="0"/>
  </r>
  <r>
    <s v="Munger"/>
    <s v="01-02 Apr"/>
    <n v="1009"/>
    <s v="Halsi"/>
    <x v="337"/>
    <s v="KHARAGWADA "/>
    <s v="MPG"/>
    <s v="Direct"/>
    <n v="78.400000000000006"/>
    <n v="3099.31"/>
    <n v="96"/>
    <n v="3903.875712"/>
    <n v="0"/>
    <n v="0"/>
    <n v="96"/>
    <n v="3903.875712"/>
    <n v="3099.31"/>
    <n v="0"/>
    <n v="0"/>
    <n v="804.56571200000008"/>
    <n v="0"/>
    <n v="0"/>
    <n v="0"/>
    <n v="3099"/>
    <n v="0"/>
    <n v="0"/>
    <n v="0"/>
    <n v="0"/>
    <n v="96.141861224489787"/>
    <n v="39.200000000000003"/>
    <n v="-0.25959510729807606"/>
    <n v="1"/>
    <m/>
    <s v="Halsi"/>
    <m/>
    <n v="0"/>
  </r>
  <r>
    <s v="Munger"/>
    <s v="01-02 Apr"/>
    <n v="1009"/>
    <s v="Halsi"/>
    <x v="338"/>
    <s v="UFFAPUR"/>
    <s v="MPG"/>
    <s v="Direct"/>
    <n v="62.3"/>
    <n v="2406.9700000000003"/>
    <n v="73"/>
    <n v="2787.9211404000007"/>
    <n v="0"/>
    <n v="0"/>
    <n v="73"/>
    <n v="2787.9211404000007"/>
    <n v="2406.9700000000003"/>
    <n v="0"/>
    <n v="0"/>
    <n v="380.95114040000044"/>
    <n v="0"/>
    <n v="0"/>
    <n v="0"/>
    <n v="2407"/>
    <n v="0"/>
    <n v="0"/>
    <n v="0"/>
    <n v="0"/>
    <n v="106.40120995184593"/>
    <n v="31.15"/>
    <n v="-0.15826999937681002"/>
    <n v="1"/>
    <m/>
    <s v="Halsi"/>
    <m/>
    <n v="0"/>
  </r>
  <r>
    <s v="Munger"/>
    <s v="01-02 Apr"/>
    <n v="1009"/>
    <s v="Halsi"/>
    <x v="339"/>
    <s v="BIHRAURA"/>
    <s v="MPG"/>
    <s v="Direct"/>
    <n v="33.299999999999997"/>
    <n v="1582.82"/>
    <n v="46"/>
    <n v="2219.2811837600002"/>
    <n v="0"/>
    <n v="0"/>
    <n v="46"/>
    <n v="2219.2811837600002"/>
    <n v="1582.82"/>
    <n v="0"/>
    <n v="0"/>
    <n v="636.46118376000027"/>
    <n v="0"/>
    <n v="0"/>
    <n v="0"/>
    <n v="1583"/>
    <n v="0"/>
    <n v="0"/>
    <n v="0"/>
    <n v="0"/>
    <n v="158.47212852852851"/>
    <n v="16.649999999999999"/>
    <n v="-0.40210585142972688"/>
    <n v="1"/>
    <m/>
    <s v="Halsi"/>
    <m/>
    <n v="0"/>
  </r>
  <r>
    <s v="Munger"/>
    <s v="01-02 Apr"/>
    <n v="1009"/>
    <s v="Halsi"/>
    <x v="340"/>
    <s v="SHIJHORI"/>
    <s v="MPG"/>
    <s v="Direct"/>
    <n v="99.7"/>
    <n v="3954.7100000000005"/>
    <n v="103.69999999999999"/>
    <n v="4035.5748298800013"/>
    <n v="0"/>
    <n v="0"/>
    <n v="103.69999999999999"/>
    <n v="4035.5748298800013"/>
    <n v="3954.7100000000005"/>
    <n v="0"/>
    <n v="0"/>
    <n v="80.864829880000798"/>
    <n v="0"/>
    <n v="0"/>
    <n v="0"/>
    <n v="3955"/>
    <n v="0"/>
    <n v="0"/>
    <n v="0"/>
    <n v="0"/>
    <n v="79.57019317953862"/>
    <n v="49.85"/>
    <n v="-2.0447726857342457E-2"/>
    <n v="1"/>
    <m/>
    <s v="Halsi"/>
    <m/>
    <n v="0"/>
  </r>
  <r>
    <s v="Munger"/>
    <s v="01-02 Apr"/>
    <n v="1009"/>
    <s v="Halsi"/>
    <x v="341"/>
    <s v="RAM PRAVESH YADAV"/>
    <s v="MPG"/>
    <s v="Direct"/>
    <n v="139.5"/>
    <n v="5468.32"/>
    <n v="140.18"/>
    <n v="5299.5693073738212"/>
    <n v="0"/>
    <n v="0"/>
    <n v="140.18"/>
    <n v="5299.5693073738212"/>
    <n v="5299.5693073738212"/>
    <n v="0"/>
    <n v="0"/>
    <n v="0"/>
    <n v="0"/>
    <n v="0"/>
    <n v="0"/>
    <n v="5299"/>
    <n v="0"/>
    <n v="0"/>
    <n v="169"/>
    <n v="0"/>
    <n v="47.43130609318996"/>
    <n v="69.75"/>
    <n v="3.0859695962595194E-2"/>
    <n v="2"/>
    <m/>
    <s v="Halsi"/>
    <m/>
    <n v="0"/>
  </r>
  <r>
    <s v="Munger"/>
    <s v="01-02 Apr"/>
    <n v="1009"/>
    <s v="Halsi"/>
    <x v="342"/>
    <s v="KRAUTA"/>
    <s v="MPG"/>
    <s v="Direct"/>
    <n v="52"/>
    <n v="2265.4500000000003"/>
    <n v="48.47"/>
    <n v="2014.6676730840002"/>
    <n v="0"/>
    <n v="0"/>
    <n v="48.47"/>
    <n v="2014.6676730840002"/>
    <n v="2014.6676730840002"/>
    <n v="0"/>
    <n v="0"/>
    <n v="0"/>
    <n v="0"/>
    <n v="0"/>
    <n v="0"/>
    <n v="2015"/>
    <n v="0"/>
    <n v="0"/>
    <n v="250"/>
    <n v="0"/>
    <n v="128.95638461538462"/>
    <n v="26"/>
    <n v="0.110698681019665"/>
    <n v="1"/>
    <m/>
    <s v="Halsi"/>
    <m/>
    <n v="0"/>
  </r>
  <r>
    <s v="Munger"/>
    <s v="01-02 Apr"/>
    <n v="1009"/>
    <s v="Halsi"/>
    <x v="343"/>
    <s v="BOUDHNAGAR"/>
    <s v="MPG"/>
    <s v="Direct"/>
    <n v="91.1"/>
    <n v="3301.2"/>
    <n v="104.5"/>
    <n v="4229.265249"/>
    <n v="0"/>
    <n v="0"/>
    <n v="104.5"/>
    <n v="4229.265249"/>
    <n v="3301.2"/>
    <n v="0"/>
    <n v="0"/>
    <n v="928.06524900000022"/>
    <n v="0"/>
    <n v="0"/>
    <n v="0"/>
    <n v="3301"/>
    <n v="0"/>
    <n v="0"/>
    <n v="0"/>
    <n v="0"/>
    <n v="78.924408342480803"/>
    <n v="45.55"/>
    <n v="-0.28112966466739375"/>
    <n v="1"/>
    <m/>
    <s v="Halsi"/>
    <m/>
    <n v="0"/>
  </r>
  <r>
    <s v="Munger"/>
    <s v="01-02 Apr"/>
    <n v="1009"/>
    <s v="Halsi"/>
    <x v="344"/>
    <s v="MOHADDINGAR"/>
    <s v="MPG"/>
    <s v="Direct"/>
    <n v="150.6"/>
    <n v="5556.64"/>
    <n v="144.01"/>
    <n v="5518.2649995125012"/>
    <n v="0"/>
    <n v="0"/>
    <n v="144.01"/>
    <n v="5518.2649995125012"/>
    <n v="5518.2649995125012"/>
    <n v="0"/>
    <n v="0"/>
    <n v="0"/>
    <n v="0"/>
    <n v="0"/>
    <n v="0"/>
    <n v="5518"/>
    <n v="0"/>
    <n v="0"/>
    <n v="39"/>
    <n v="0"/>
    <n v="36.453919787516604"/>
    <n v="75.3"/>
    <n v="6.9061520068781062E-3"/>
    <n v="2"/>
    <m/>
    <s v="Halsi"/>
    <m/>
    <n v="0"/>
  </r>
  <r>
    <s v="Munger"/>
    <s v="01-02 Apr"/>
    <n v="1009"/>
    <s v="Halsi"/>
    <x v="345"/>
    <s v="PACHAUTA"/>
    <s v="MPG"/>
    <s v="Direct"/>
    <n v="198.5"/>
    <n v="7756.95"/>
    <n v="201.23000000000002"/>
    <n v="8039.9213666640007"/>
    <n v="0"/>
    <n v="0"/>
    <n v="201.23000000000002"/>
    <n v="8039.9213666640007"/>
    <n v="7756.95"/>
    <n v="0"/>
    <n v="0"/>
    <n v="282.97136666400093"/>
    <n v="0"/>
    <n v="0"/>
    <n v="0"/>
    <n v="7757"/>
    <n v="0"/>
    <n v="0"/>
    <n v="0"/>
    <n v="0"/>
    <n v="1.1723350125944583"/>
    <n v="99.25"/>
    <n v="-3.6479720336472572E-2"/>
    <n v="1"/>
    <m/>
    <s v="Halsi"/>
    <m/>
    <n v="0"/>
  </r>
  <r>
    <s v="Munger"/>
    <s v="01-02 Apr"/>
    <n v="1009"/>
    <s v="Halsi"/>
    <x v="346"/>
    <s v="Gomukh Champa"/>
    <s v="vlc"/>
    <s v="Indirect"/>
    <n v="9795"/>
    <n v="383710.1"/>
    <n v="0"/>
    <n v="0"/>
    <n v="0"/>
    <n v="0"/>
    <n v="0"/>
    <n v="0"/>
    <n v="383710.1"/>
    <n v="0"/>
    <n v="0"/>
    <n v="0"/>
    <n v="0"/>
    <n v="0"/>
    <n v="0"/>
    <n v="0"/>
    <n v="0"/>
    <n v="383710.1"/>
    <n v="0"/>
    <n v="0"/>
    <n v="0"/>
    <n v="0"/>
    <n v="0"/>
    <n v="0"/>
    <m/>
    <s v="Halsi"/>
    <m/>
    <n v="0"/>
  </r>
  <r>
    <s v="Munger"/>
    <s v="01-02 Apr"/>
    <n v="1009"/>
    <s v="Halsi"/>
    <x v="347"/>
    <s v="GOMUKH DAKRA"/>
    <s v="vlc"/>
    <s v="Indirect"/>
    <n v="9785"/>
    <n v="377165"/>
    <n v="0"/>
    <n v="0"/>
    <n v="0"/>
    <n v="0"/>
    <n v="0"/>
    <n v="0"/>
    <n v="377165"/>
    <n v="0"/>
    <n v="0"/>
    <n v="0"/>
    <n v="0"/>
    <n v="0"/>
    <n v="0"/>
    <n v="0"/>
    <n v="0"/>
    <n v="377165"/>
    <n v="0"/>
    <n v="0"/>
    <n v="0"/>
    <n v="0"/>
    <n v="0"/>
    <n v="0"/>
    <m/>
    <s v="Halsi"/>
    <m/>
    <n v="0"/>
  </r>
  <r>
    <s v="Munger"/>
    <s v="01-02 Apr"/>
    <n v="1009"/>
    <s v="Halsi"/>
    <x v="348"/>
    <s v="TIYAY"/>
    <s v="MPG"/>
    <s v="Direct"/>
    <n v="131.9"/>
    <n v="4864.79"/>
    <n v="148"/>
    <n v="5941.0884059999998"/>
    <n v="0"/>
    <n v="0"/>
    <n v="148"/>
    <n v="5941.0884059999998"/>
    <n v="4864.79"/>
    <n v="0"/>
    <n v="0"/>
    <n v="1076.2984059999999"/>
    <n v="0"/>
    <n v="0"/>
    <n v="0"/>
    <n v="4865"/>
    <n v="0"/>
    <n v="0"/>
    <n v="0"/>
    <n v="0"/>
    <n v="50.23384366944655"/>
    <n v="65.95"/>
    <n v="-0.22124252146546919"/>
    <n v="1"/>
    <m/>
    <s v="Halsi"/>
    <m/>
    <n v="0"/>
  </r>
  <r>
    <s v="Munger"/>
    <s v="01-02 Apr"/>
    <n v="1010"/>
    <s v="Parbatta"/>
    <x v="349"/>
    <s v="Vishan Pur"/>
    <s v="MPG"/>
    <s v="Direct"/>
    <n v="194.4"/>
    <n v="7642.34"/>
    <n v="198.15999999999997"/>
    <n v="7868.9872708920002"/>
    <n v="2"/>
    <n v="78.41019780000002"/>
    <n v="200.15999999999997"/>
    <n v="7947.3974686920001"/>
    <n v="7642.34"/>
    <n v="0"/>
    <n v="78.41019780000002"/>
    <n v="305.05746869199993"/>
    <n v="0"/>
    <n v="0"/>
    <n v="0"/>
    <n v="7564"/>
    <n v="0"/>
    <n v="0"/>
    <n v="0"/>
    <n v="0"/>
    <n v="4.4029942386831236"/>
    <n v="97.2"/>
    <n v="-3.9916762234080125E-2"/>
    <n v="11"/>
    <m/>
    <s v="Parbatta"/>
    <m/>
    <n v="0"/>
  </r>
  <r>
    <s v="Munger"/>
    <s v="01-02 Apr"/>
    <n v="1010"/>
    <s v="Parbatta"/>
    <x v="350"/>
    <s v="Gomukh Madhawpur"/>
    <s v="MPG"/>
    <s v="Direct"/>
    <n v="622.40000000000009"/>
    <n v="23984.950000000004"/>
    <n v="625.79999999999995"/>
    <n v="27451.483366164004"/>
    <n v="1"/>
    <n v="46.201161600000006"/>
    <n v="626.79999999999995"/>
    <n v="27497.684527764006"/>
    <n v="23984.950000000004"/>
    <n v="0"/>
    <n v="46.201161600000006"/>
    <n v="3512.7345277640015"/>
    <n v="0"/>
    <n v="0"/>
    <n v="0"/>
    <n v="23939"/>
    <n v="0"/>
    <n v="0"/>
    <n v="0"/>
    <n v="0"/>
    <n v="0"/>
    <n v="0"/>
    <n v="-0.14645577863468554"/>
    <n v="5"/>
    <m/>
    <s v="Parbatta"/>
    <m/>
    <n v="0"/>
  </r>
  <r>
    <s v="Munger"/>
    <s v="01-02 Apr"/>
    <n v="1010"/>
    <s v="Parbatta"/>
    <x v="351"/>
    <s v="Gomukh Muradpur"/>
    <s v="vlc"/>
    <s v="Indirect"/>
    <n v="20.399999999999999"/>
    <n v="683.43000000000006"/>
    <n v="0"/>
    <n v="0"/>
    <n v="0"/>
    <n v="0"/>
    <n v="0"/>
    <n v="0"/>
    <n v="683.43000000000006"/>
    <n v="0"/>
    <n v="0"/>
    <n v="0"/>
    <n v="0"/>
    <n v="0"/>
    <n v="0"/>
    <n v="0"/>
    <n v="0"/>
    <n v="683.43000000000006"/>
    <n v="0"/>
    <n v="0"/>
    <n v="120.3372823529412"/>
    <n v="10.199999999999999"/>
    <n v="0"/>
    <n v="0"/>
    <m/>
    <s v="Parbatta"/>
    <m/>
    <n v="0"/>
  </r>
  <r>
    <s v="Munger"/>
    <s v="01-02 Apr"/>
    <n v="1010"/>
    <s v="Parbatta"/>
    <x v="352"/>
    <s v="Gomukh Kanhaiyachak Pachhim"/>
    <s v="MPG"/>
    <s v="Direct"/>
    <n v="516.80000000000007"/>
    <n v="21451.260000000002"/>
    <n v="516.79999999999995"/>
    <n v="26101.610423615999"/>
    <n v="0"/>
    <n v="0"/>
    <n v="516.79999999999995"/>
    <n v="26101.610423615999"/>
    <n v="21451.260000000002"/>
    <n v="0"/>
    <n v="0"/>
    <n v="4650.350423615997"/>
    <n v="0"/>
    <n v="0"/>
    <n v="0"/>
    <n v="21451"/>
    <n v="0"/>
    <n v="0"/>
    <n v="0"/>
    <n v="0"/>
    <n v="0"/>
    <n v="0"/>
    <n v="-0.21678681921789195"/>
    <n v="1"/>
    <m/>
    <s v="Parbatta"/>
    <m/>
    <n v="0"/>
  </r>
  <r>
    <s v="Munger"/>
    <s v="01-02 Apr"/>
    <n v="1010"/>
    <s v="Parbatta"/>
    <x v="353"/>
    <s v="Gomukh Srirampur Thuthi"/>
    <s v="MPG"/>
    <s v="Direct"/>
    <n v="116"/>
    <n v="5037.3499999999995"/>
    <n v="211.1"/>
    <n v="9776.2298012071005"/>
    <n v="0"/>
    <n v="0"/>
    <n v="211.1"/>
    <n v="9776.2298012071005"/>
    <n v="5037.3499999999995"/>
    <n v="0"/>
    <n v="0"/>
    <n v="4738.8798012071011"/>
    <n v="0"/>
    <n v="0"/>
    <n v="0"/>
    <n v="5037"/>
    <n v="0"/>
    <n v="0"/>
    <n v="0"/>
    <n v="0"/>
    <n v="72.954724137931024"/>
    <n v="58"/>
    <n v="-0.94074856843520926"/>
    <n v="5"/>
    <m/>
    <s v="Parbatta"/>
    <m/>
    <n v="0"/>
  </r>
  <r>
    <s v="Munger"/>
    <s v="01-02 Apr"/>
    <n v="1010"/>
    <s v="Parbatta"/>
    <x v="354"/>
    <s v="Gomukh Dumariya Bujurg"/>
    <s v="MPG"/>
    <s v="Direct"/>
    <n v="96.4"/>
    <n v="4521.99"/>
    <n v="96.4"/>
    <n v="5992.3524048000008"/>
    <n v="0"/>
    <n v="0"/>
    <n v="96.4"/>
    <n v="5992.3524048000008"/>
    <n v="4521.99"/>
    <n v="0"/>
    <n v="0"/>
    <n v="1470.3624048000011"/>
    <n v="0"/>
    <n v="0"/>
    <n v="0"/>
    <n v="4522"/>
    <n v="0"/>
    <n v="0"/>
    <n v="0"/>
    <n v="0"/>
    <n v="97.194639834024883"/>
    <n v="48.2"/>
    <n v="-0.32515826103109496"/>
    <n v="1"/>
    <m/>
    <s v="Parbatta"/>
    <m/>
    <n v="0"/>
  </r>
  <r>
    <s v="Munger"/>
    <s v="01-02 Apr"/>
    <n v="1010"/>
    <s v="Parbatta"/>
    <x v="355"/>
    <s v="Gomukh Dumariya Bujurg Madhay"/>
    <s v="MPG"/>
    <s v="Direct"/>
    <n v="62.6"/>
    <n v="2477.13"/>
    <n v="62.6"/>
    <n v="3161.6888787120001"/>
    <n v="0"/>
    <n v="0"/>
    <n v="62.6"/>
    <n v="3161.6888787120001"/>
    <n v="2477.13"/>
    <n v="0"/>
    <n v="0"/>
    <n v="684.55887871200002"/>
    <n v="0"/>
    <n v="0"/>
    <n v="0"/>
    <n v="2477"/>
    <n v="0"/>
    <n v="0"/>
    <n v="0"/>
    <n v="0"/>
    <n v="108.74046709265177"/>
    <n v="31.3"/>
    <n v="-0.27635161606859548"/>
    <n v="1"/>
    <m/>
    <s v="Parbatta"/>
    <m/>
    <n v="0"/>
  </r>
  <r>
    <s v="Munger"/>
    <s v="01-02 Apr"/>
    <n v="1010"/>
    <s v="Parbatta"/>
    <x v="356"/>
    <s v="Gomukh Bandahera                                                                                    "/>
    <s v="MPG"/>
    <s v="Direct"/>
    <n v="217.7"/>
    <n v="8936.2199999999993"/>
    <n v="322.3"/>
    <n v="14304.286042200001"/>
    <n v="0.4"/>
    <n v="16.672047480000003"/>
    <n v="322.7"/>
    <n v="14320.958089680002"/>
    <n v="8936.2199999999993"/>
    <n v="0"/>
    <n v="16.672047480000003"/>
    <n v="5384.7380896800023"/>
    <n v="0"/>
    <n v="0"/>
    <n v="0"/>
    <n v="8920"/>
    <n v="0"/>
    <n v="0"/>
    <n v="0"/>
    <n v="0"/>
    <n v="0"/>
    <n v="0"/>
    <n v="-0.6025744766444876"/>
    <n v="4"/>
    <m/>
    <s v="Parbatta"/>
    <m/>
    <n v="0"/>
  </r>
  <r>
    <s v="Munger"/>
    <s v="01-02 Apr"/>
    <n v="1010"/>
    <s v="Parbatta"/>
    <x v="357"/>
    <s v="Gomukh Badi Lagar-1 Kiran"/>
    <s v="vlc"/>
    <s v="Indirect"/>
    <n v="318.10000000000002"/>
    <n v="11798.039999999999"/>
    <n v="0"/>
    <n v="0"/>
    <n v="0"/>
    <n v="0"/>
    <n v="0"/>
    <n v="0"/>
    <n v="11798.039999999999"/>
    <n v="0"/>
    <n v="0"/>
    <n v="0"/>
    <n v="0"/>
    <n v="0"/>
    <n v="0"/>
    <n v="0"/>
    <n v="0"/>
    <n v="11798.039999999999"/>
    <n v="0"/>
    <n v="0"/>
    <n v="0"/>
    <n v="0"/>
    <n v="0"/>
    <n v="0"/>
    <m/>
    <s v="Parbatta"/>
    <m/>
    <n v="0"/>
  </r>
  <r>
    <s v="Munger"/>
    <s v="01-02 Apr"/>
    <n v="1007"/>
    <s v="Araria"/>
    <x v="358"/>
    <s v="Gomukh Basudevpur"/>
    <s v="vlc"/>
    <s v="Indirect"/>
    <n v="30.3"/>
    <n v="1119.8900000000001"/>
    <n v="0"/>
    <n v="0"/>
    <n v="0"/>
    <n v="0"/>
    <n v="0"/>
    <n v="0"/>
    <n v="1119.8900000000001"/>
    <n v="0"/>
    <n v="0"/>
    <n v="0"/>
    <n v="0"/>
    <n v="0"/>
    <n v="0"/>
    <n v="0"/>
    <n v="0"/>
    <n v="1119.8900000000001"/>
    <n v="0"/>
    <n v="0"/>
    <n v="125.44246402640265"/>
    <n v="15.15"/>
    <n v="0"/>
    <n v="0"/>
    <m/>
    <s v="Araria"/>
    <m/>
    <n v="0"/>
  </r>
  <r>
    <s v="Munger"/>
    <s v="01-02 Apr"/>
    <n v="1007"/>
    <s v="Araria"/>
    <x v="359"/>
    <s v="Gomukh Fudkichak"/>
    <s v="MPG"/>
    <s v="Direct"/>
    <n v="161.69999999999999"/>
    <n v="6796.0299999999988"/>
    <n v="162"/>
    <n v="8182.0063634400003"/>
    <n v="0"/>
    <n v="0"/>
    <n v="162"/>
    <n v="8182.0063634400003"/>
    <n v="6796.0299999999988"/>
    <n v="0"/>
    <n v="0"/>
    <n v="1385.9763634400015"/>
    <n v="0"/>
    <n v="0"/>
    <n v="0"/>
    <n v="6796"/>
    <n v="0"/>
    <n v="0"/>
    <n v="0"/>
    <n v="0"/>
    <n v="32.193933085961667"/>
    <n v="80.849999999999994"/>
    <n v="-0.20393911790265812"/>
    <n v="1"/>
    <m/>
    <s v="Araria"/>
    <m/>
    <n v="0"/>
  </r>
  <r>
    <s v="Munger"/>
    <s v="01-02 Apr"/>
    <n v="1007"/>
    <s v="Araria"/>
    <x v="360"/>
    <s v="Gomukh Tehay"/>
    <s v="MPG"/>
    <s v="Direct"/>
    <n v="50.2"/>
    <n v="2399.4299999999998"/>
    <n v="50.4"/>
    <n v="2409.5257728660008"/>
    <n v="0.04"/>
    <n v="1.8500687078400002"/>
    <n v="50.44"/>
    <n v="2411.3758415738407"/>
    <n v="2399.4299999999998"/>
    <n v="0"/>
    <n v="1.8500687078400002"/>
    <n v="11.94584157384088"/>
    <n v="0"/>
    <n v="0"/>
    <n v="0"/>
    <n v="2397"/>
    <n v="0"/>
    <n v="0"/>
    <n v="1"/>
    <n v="0"/>
    <n v="143.20104143426295"/>
    <n v="25.1"/>
    <n v="-4.9786164104978605E-3"/>
    <n v="3"/>
    <m/>
    <s v="Araria"/>
    <m/>
    <n v="0"/>
  </r>
  <r>
    <s v="Munger"/>
    <s v="01-02 Apr"/>
    <n v="1007"/>
    <s v="Araria"/>
    <x v="361"/>
    <s v="Gomukh Buddhnagar"/>
    <s v="vlc"/>
    <s v="Indirect"/>
    <n v="280.3"/>
    <n v="10212.06"/>
    <n v="0"/>
    <n v="0"/>
    <n v="0"/>
    <n v="0"/>
    <n v="0"/>
    <n v="0"/>
    <n v="10212.06"/>
    <n v="0"/>
    <n v="0"/>
    <n v="0"/>
    <n v="0"/>
    <n v="0"/>
    <n v="0"/>
    <n v="0"/>
    <n v="0"/>
    <n v="10212.06"/>
    <n v="0"/>
    <n v="0"/>
    <n v="0"/>
    <n v="0"/>
    <n v="0"/>
    <n v="0"/>
    <m/>
    <s v="Araria"/>
    <m/>
    <n v="0"/>
  </r>
  <r>
    <s v="Munger"/>
    <s v="01-02 Apr"/>
    <n v="1010"/>
    <s v="Parbatta"/>
    <x v="362"/>
    <s v="Gomukh Krochaka Dudhela"/>
    <s v="MPG"/>
    <s v="Direct"/>
    <n v="488.8"/>
    <n v="18336.150000000001"/>
    <n v="484.46000000000004"/>
    <n v="18496.434111012"/>
    <n v="1.1000000000000001"/>
    <n v="42.267626280000002"/>
    <n v="485.56000000000006"/>
    <n v="18538.701737292002"/>
    <n v="18336.150000000001"/>
    <n v="0"/>
    <n v="42.267626280000002"/>
    <n v="202.55173729200033"/>
    <n v="0"/>
    <n v="0"/>
    <n v="0"/>
    <n v="18294"/>
    <n v="0"/>
    <n v="0"/>
    <n v="0"/>
    <n v="0"/>
    <n v="0"/>
    <n v="0"/>
    <n v="-1.1046579423270442E-2"/>
    <n v="4"/>
    <m/>
    <s v="Parbatta"/>
    <m/>
    <n v="0"/>
  </r>
  <r>
    <s v="Munger"/>
    <s v="01-02 Apr"/>
    <n v="1007"/>
    <s v="Araria"/>
    <x v="363"/>
    <s v="Gomukh Govind Pur"/>
    <s v="MPG"/>
    <s v="Direct"/>
    <n v="193.1"/>
    <n v="6891.3600000000006"/>
    <n v="194"/>
    <n v="9798.2051512800008"/>
    <n v="0"/>
    <n v="0"/>
    <n v="194"/>
    <n v="9798.2051512800008"/>
    <n v="6891.3600000000006"/>
    <n v="0"/>
    <n v="0"/>
    <n v="2906.8451512800002"/>
    <n v="0"/>
    <n v="0"/>
    <n v="0"/>
    <n v="6891"/>
    <n v="0"/>
    <n v="0"/>
    <n v="0"/>
    <n v="0"/>
    <n v="4.9249491455204604"/>
    <n v="96.55"/>
    <n v="-0.42181008556801558"/>
    <n v="1"/>
    <m/>
    <s v="Araria"/>
    <m/>
    <n v="0"/>
  </r>
  <r>
    <s v="Munger"/>
    <s v="01-02 Apr"/>
    <n v="1007"/>
    <s v="Araria"/>
    <x v="364"/>
    <s v="Gomukh Sondiha"/>
    <s v="MPG"/>
    <s v="Direct"/>
    <n v="391.5"/>
    <n v="15890.919999999998"/>
    <n v="397"/>
    <n v="16195.491139942002"/>
    <n v="0"/>
    <n v="0"/>
    <n v="397"/>
    <n v="16195.491139942002"/>
    <n v="15890.919999999998"/>
    <n v="0"/>
    <n v="0"/>
    <n v="304.57113994200336"/>
    <n v="0"/>
    <n v="0"/>
    <n v="0"/>
    <n v="15891"/>
    <n v="0"/>
    <n v="0"/>
    <n v="0"/>
    <n v="0"/>
    <n v="0"/>
    <n v="0"/>
    <n v="-1.9166362925620632E-2"/>
    <n v="2"/>
    <m/>
    <s v="Araria"/>
    <m/>
    <n v="0"/>
  </r>
  <r>
    <s v="Munger"/>
    <s v="01-02 Apr"/>
    <n v="1007"/>
    <s v="Araria"/>
    <x v="365"/>
    <s v="Gomukh Thebhay B"/>
    <s v="MPG"/>
    <s v="Direct"/>
    <n v="102.6"/>
    <n v="4058.12"/>
    <n v="164.23999999999998"/>
    <n v="6578.4631521312003"/>
    <n v="0.79"/>
    <n v="31.616195292"/>
    <n v="165.02999999999997"/>
    <n v="6610.0793474232005"/>
    <n v="4058.12"/>
    <n v="0"/>
    <n v="31.616195292"/>
    <n v="2551.9593474232006"/>
    <n v="0"/>
    <n v="0"/>
    <n v="0"/>
    <n v="4026"/>
    <n v="0"/>
    <n v="0"/>
    <n v="1"/>
    <n v="0"/>
    <n v="77.048906042884994"/>
    <n v="51.3"/>
    <n v="-0.62885260845494972"/>
    <n v="7"/>
    <m/>
    <s v="Araria"/>
    <m/>
    <n v="0"/>
  </r>
  <r>
    <s v="Munger"/>
    <s v="01-02 Apr"/>
    <n v="1007"/>
    <s v="Araria"/>
    <x v="366"/>
    <s v="Gomukh Baisa"/>
    <s v="MPG"/>
    <s v="Direct"/>
    <n v="147.29999999999998"/>
    <n v="5199.3500000000004"/>
    <n v="211"/>
    <n v="9770.2027533599994"/>
    <n v="0.2"/>
    <n v="7.2602125200000014"/>
    <n v="211.2"/>
    <n v="9777.4629658799986"/>
    <n v="5199.3500000000004"/>
    <n v="0"/>
    <n v="7.2602125200000014"/>
    <n v="4578.1129658799982"/>
    <n v="0"/>
    <n v="0"/>
    <n v="0"/>
    <n v="5192"/>
    <n v="0"/>
    <n v="0"/>
    <n v="0"/>
    <n v="0"/>
    <n v="37.203767141887326"/>
    <n v="73.649999999999991"/>
    <n v="-0.88051640414282517"/>
    <n v="6"/>
    <m/>
    <s v="Araria"/>
    <m/>
    <n v="0"/>
  </r>
  <r>
    <s v="Munger"/>
    <s v="01-02 Apr"/>
    <n v="1010"/>
    <s v="Parbatta"/>
    <x v="367"/>
    <s v="Gomukh Bhorkanth Purbi"/>
    <s v="MPG"/>
    <s v="Direct"/>
    <n v="21.200000000000003"/>
    <n v="775.96"/>
    <n v="21"/>
    <n v="1060.6304545200001"/>
    <n v="0"/>
    <n v="0"/>
    <n v="21"/>
    <n v="1060.6304545200001"/>
    <n v="775.96"/>
    <n v="0"/>
    <n v="0"/>
    <n v="284.67045452000002"/>
    <n v="0"/>
    <n v="0"/>
    <n v="0"/>
    <n v="776"/>
    <n v="0"/>
    <n v="0"/>
    <n v="0"/>
    <n v="0"/>
    <n v="130.88834716981131"/>
    <n v="10.600000000000001"/>
    <n v="-0.36686227965359042"/>
    <n v="1"/>
    <m/>
    <s v="Parbatta"/>
    <m/>
    <n v="0"/>
  </r>
  <r>
    <s v="Munger"/>
    <s v="01-02 Apr"/>
    <n v="1010"/>
    <s v="Parbatta"/>
    <x v="368"/>
    <s v="Gomukh Khutha VLC"/>
    <s v="vlc"/>
    <s v="Indirect"/>
    <n v="3208.9"/>
    <n v="129350.58"/>
    <n v="0"/>
    <n v="0"/>
    <n v="0"/>
    <n v="0"/>
    <n v="0"/>
    <n v="0"/>
    <n v="129350.58"/>
    <n v="0"/>
    <n v="0"/>
    <n v="0"/>
    <n v="0"/>
    <n v="0"/>
    <n v="0"/>
    <n v="0"/>
    <n v="0"/>
    <n v="129350.58"/>
    <n v="0"/>
    <n v="0"/>
    <n v="0"/>
    <n v="0"/>
    <n v="0"/>
    <n v="0"/>
    <m/>
    <s v="Parbatta"/>
    <m/>
    <n v="0"/>
  </r>
  <r>
    <s v="Munger"/>
    <s v="01-02 Apr"/>
    <n v="1010"/>
    <s v="Parbatta"/>
    <x v="369"/>
    <s v="Gomukh Kabela Vlc"/>
    <s v="vlc"/>
    <s v="Indirect"/>
    <n v="442.20000000000005"/>
    <n v="17135.050000000003"/>
    <n v="0"/>
    <n v="0"/>
    <n v="0"/>
    <n v="0"/>
    <n v="0"/>
    <n v="0"/>
    <n v="17135.050000000003"/>
    <n v="0"/>
    <n v="0"/>
    <n v="0"/>
    <n v="0"/>
    <n v="0"/>
    <n v="0"/>
    <n v="0"/>
    <n v="0"/>
    <n v="17135.050000000003"/>
    <n v="0"/>
    <n v="0"/>
    <n v="0"/>
    <n v="0"/>
    <n v="0"/>
    <n v="0"/>
    <m/>
    <s v="Parbatta"/>
    <m/>
    <n v="0"/>
  </r>
  <r>
    <s v="Munger"/>
    <s v="01-02 Apr"/>
    <n v="1010"/>
    <s v="Parbatta"/>
    <x v="370"/>
    <s v="Gomukh Lagar Wad-13 Vlc"/>
    <s v="vlc"/>
    <s v="Indirect"/>
    <n v="306"/>
    <n v="15091.16"/>
    <n v="0"/>
    <n v="0"/>
    <n v="0"/>
    <n v="0"/>
    <n v="0"/>
    <n v="0"/>
    <n v="15091.16"/>
    <n v="0"/>
    <n v="0"/>
    <n v="0"/>
    <n v="0"/>
    <n v="0"/>
    <n v="0"/>
    <n v="0"/>
    <n v="0"/>
    <n v="15091.16"/>
    <n v="0"/>
    <n v="0"/>
    <n v="0"/>
    <n v="0"/>
    <n v="0"/>
    <n v="0"/>
    <m/>
    <s v="Parbatta"/>
    <m/>
    <n v="0"/>
  </r>
  <r>
    <s v="Munger"/>
    <s v="01-02 Apr"/>
    <n v="1010"/>
    <s v="Parbatta"/>
    <x v="371"/>
    <s v="Gomukh Manish Vlc"/>
    <s v="vlc"/>
    <s v="Indirect"/>
    <n v="157"/>
    <n v="6881.31"/>
    <n v="0"/>
    <n v="0"/>
    <n v="0"/>
    <n v="0"/>
    <n v="0"/>
    <n v="0"/>
    <n v="6881.31"/>
    <n v="0"/>
    <n v="0"/>
    <n v="0"/>
    <n v="0"/>
    <n v="0"/>
    <n v="0"/>
    <n v="0"/>
    <n v="0"/>
    <n v="6881.31"/>
    <n v="0"/>
    <n v="0"/>
    <n v="37.693800000000003"/>
    <n v="78.5"/>
    <n v="0"/>
    <n v="0"/>
    <m/>
    <s v="Parbatta"/>
    <m/>
    <n v="0"/>
  </r>
  <r>
    <s v="Munger"/>
    <s v="01-02 Apr"/>
    <n v="1055"/>
    <s v="Matihani"/>
    <x v="372"/>
    <s v="Gomukh Mahendrapur"/>
    <s v="MPG"/>
    <s v="Direct"/>
    <n v="512.70000000000005"/>
    <n v="20548.509999999998"/>
    <n v="511.5"/>
    <n v="20617.442703000001"/>
    <n v="12"/>
    <n v="492.63746400000008"/>
    <n v="523.5"/>
    <n v="21110.080167"/>
    <n v="20548.509999999998"/>
    <n v="0"/>
    <n v="492.63746400000008"/>
    <n v="561.57016700000167"/>
    <n v="0"/>
    <n v="0"/>
    <n v="0"/>
    <n v="20056"/>
    <n v="0"/>
    <n v="0"/>
    <n v="0"/>
    <n v="0"/>
    <n v="0"/>
    <n v="0"/>
    <n v="-2.7328996944304074E-2"/>
    <n v="10"/>
    <m/>
    <s v="Matihani"/>
    <m/>
    <n v="0"/>
  </r>
  <r>
    <s v="Munger"/>
    <s v="01-02 Apr"/>
    <n v="1055"/>
    <s v="Matihani"/>
    <x v="373"/>
    <s v="Gomukh Balahpur"/>
    <s v="MPG"/>
    <s v="Direct"/>
    <n v="57.800000000000004"/>
    <n v="2219"/>
    <n v="62.400000000000006"/>
    <n v="2396.1315628800003"/>
    <n v="0"/>
    <n v="0"/>
    <n v="62.400000000000006"/>
    <n v="2396.1315628800003"/>
    <n v="2219"/>
    <n v="0"/>
    <n v="0"/>
    <n v="177.13156288000027"/>
    <n v="0"/>
    <n v="0"/>
    <n v="0"/>
    <n v="2219"/>
    <n v="0"/>
    <n v="0"/>
    <n v="0"/>
    <n v="0"/>
    <n v="109.18401384083043"/>
    <n v="28.900000000000002"/>
    <n v="-7.9824949472735593E-2"/>
    <n v="2"/>
    <m/>
    <s v="Matihani"/>
    <m/>
    <n v="0"/>
  </r>
  <r>
    <s v="Munger"/>
    <s v="01-02 Apr"/>
    <n v="1011"/>
    <s v="Sahibpur Kamal"/>
    <x v="374"/>
    <s v="Gomukh Danauli"/>
    <s v="MPG"/>
    <s v="Direct"/>
    <n v="192.20000000000002"/>
    <n v="7120.16"/>
    <n v="192.2"/>
    <n v="7120.2107948400007"/>
    <n v="0.4"/>
    <n v="14.837236920000002"/>
    <n v="192.6"/>
    <n v="7135.0480317600004"/>
    <n v="7120.16"/>
    <n v="0"/>
    <n v="14.837236920000002"/>
    <n v="14.888031760000558"/>
    <n v="0"/>
    <n v="0"/>
    <n v="0"/>
    <n v="7105"/>
    <n v="0"/>
    <n v="0"/>
    <n v="0"/>
    <n v="0"/>
    <n v="5.7791100936524327"/>
    <n v="96.100000000000009"/>
    <n v="-2.0909687085684252E-3"/>
    <n v="3"/>
    <m/>
    <s v="Sahibpur Kamal"/>
    <m/>
    <n v="0"/>
  </r>
  <r>
    <s v="Munger"/>
    <s v="01-02 Apr"/>
    <n v="1055"/>
    <s v="Matihani"/>
    <x v="375"/>
    <s v="NAYAGAW"/>
    <s v="MPG"/>
    <s v="Direct"/>
    <n v="1269.8000000000002"/>
    <n v="52621.5"/>
    <n v="1268.6299999999999"/>
    <n v="52103.717223125561"/>
    <n v="7.9399999999999995"/>
    <n v="560.04398434381994"/>
    <n v="1276.57"/>
    <n v="52663.761207469382"/>
    <n v="52621.5"/>
    <n v="0"/>
    <n v="560.04398434381994"/>
    <n v="42.261207469382498"/>
    <n v="0"/>
    <n v="0"/>
    <n v="0"/>
    <n v="52061"/>
    <n v="0"/>
    <n v="0"/>
    <n v="0"/>
    <n v="0"/>
    <n v="0"/>
    <n v="0"/>
    <n v="-8.0311673877374258E-4"/>
    <n v="36"/>
    <m/>
    <s v="Matihani"/>
    <m/>
    <n v="0"/>
  </r>
  <r>
    <s v="Munger"/>
    <s v="01-02 Apr"/>
    <n v="1011"/>
    <s v="Sahibpur Kamal"/>
    <x v="376"/>
    <s v="Dandari"/>
    <s v="MPG"/>
    <s v="Direct"/>
    <n v="313.3"/>
    <n v="11211.33"/>
    <n v="313"/>
    <n v="11199.076456194001"/>
    <n v="0.70000000000000007"/>
    <n v="26.039043756000005"/>
    <n v="313.7"/>
    <n v="11225.115499950001"/>
    <n v="11211.33"/>
    <n v="0"/>
    <n v="26.039043756000005"/>
    <n v="13.785499950001395"/>
    <n v="0"/>
    <n v="0"/>
    <n v="0"/>
    <n v="11185"/>
    <n v="0"/>
    <n v="0"/>
    <n v="0"/>
    <n v="0"/>
    <n v="0"/>
    <n v="0"/>
    <n v="-1.2296043332951038E-3"/>
    <n v="5"/>
    <m/>
    <s v="Sahibpur Kamal"/>
    <m/>
    <n v="0"/>
  </r>
  <r>
    <s v="Munger"/>
    <s v="01-02 Apr"/>
    <n v="1011"/>
    <s v="Sahibpur Kamal"/>
    <x v="377"/>
    <s v="Rahimpur Pachkhutti"/>
    <s v="MPG"/>
    <s v="Direct"/>
    <n v="3143.6"/>
    <n v="121178.79"/>
    <n v="3143.6"/>
    <n v="120755.44882368001"/>
    <n v="0"/>
    <n v="0"/>
    <n v="3143.6"/>
    <n v="120755.44882368001"/>
    <n v="120755.44882368001"/>
    <n v="0"/>
    <n v="0"/>
    <n v="0"/>
    <n v="0"/>
    <n v="0"/>
    <n v="0"/>
    <n v="120755"/>
    <n v="0"/>
    <n v="0"/>
    <n v="424"/>
    <n v="0"/>
    <n v="0"/>
    <n v="0"/>
    <n v="3.4935253629779913E-3"/>
    <n v="1"/>
    <m/>
    <s v="Sahibpur Kamal"/>
    <m/>
    <n v="0"/>
  </r>
  <r>
    <s v="Munger"/>
    <s v="01-02 Apr"/>
    <n v="1011"/>
    <s v="Sahibpur Kamal"/>
    <x v="378"/>
    <s v="Gomukh Mohanpur                                                                                     "/>
    <s v="MPG"/>
    <s v="Direct"/>
    <n v="410.70000000000005"/>
    <n v="14743.279999999999"/>
    <n v="406"/>
    <n v="14741.530333200002"/>
    <n v="0.6"/>
    <n v="21.226245480000003"/>
    <n v="406.6"/>
    <n v="14762.756578680002"/>
    <n v="14743.279999999999"/>
    <n v="0"/>
    <n v="21.226245480000003"/>
    <n v="19.476578680003513"/>
    <n v="0"/>
    <n v="0"/>
    <n v="0"/>
    <n v="14722"/>
    <n v="0"/>
    <n v="0"/>
    <n v="0"/>
    <n v="0"/>
    <n v="0"/>
    <n v="0"/>
    <n v="-1.3210478726581544E-3"/>
    <n v="7"/>
    <m/>
    <s v="Sahibpur Kamal"/>
    <m/>
    <n v="0"/>
  </r>
  <r>
    <s v="Munger"/>
    <s v="01-02 Apr"/>
    <n v="1011"/>
    <s v="Sahibpur Kamal"/>
    <x v="379"/>
    <s v="Gomukh Raghunathpur"/>
    <s v="MPG"/>
    <s v="Direct"/>
    <n v="381.79999999999995"/>
    <n v="18713.61"/>
    <n v="395.89999999999992"/>
    <n v="18931.573248612884"/>
    <n v="6.4"/>
    <n v="287.82644368440003"/>
    <n v="402.2999999999999"/>
    <n v="19219.399692297284"/>
    <n v="18713.61"/>
    <n v="0"/>
    <n v="287.82644368440003"/>
    <n v="505.78969229728318"/>
    <n v="0"/>
    <n v="0"/>
    <n v="0"/>
    <n v="18426"/>
    <n v="0"/>
    <n v="0"/>
    <n v="0"/>
    <n v="0"/>
    <n v="0"/>
    <n v="0"/>
    <n v="-2.7027906015850665E-2"/>
    <n v="35"/>
    <m/>
    <s v="Sahibpur Kamal"/>
    <m/>
    <n v="0"/>
  </r>
  <r>
    <s v="Munger"/>
    <s v="01-02 Apr"/>
    <n v="1055"/>
    <s v="Matihani"/>
    <x v="380"/>
    <s v="Gomukh Chhitraur"/>
    <s v="MPG"/>
    <s v="Direct"/>
    <n v="316.10000000000002"/>
    <n v="12967.699999999999"/>
    <n v="318.20000000000005"/>
    <n v="13836.928082297502"/>
    <n v="0"/>
    <n v="0"/>
    <n v="318.20000000000005"/>
    <n v="13836.928082297502"/>
    <n v="12967.699999999999"/>
    <n v="0"/>
    <n v="0"/>
    <n v="869.22808229750262"/>
    <n v="0"/>
    <n v="0"/>
    <n v="0"/>
    <n v="12968"/>
    <n v="0"/>
    <n v="0"/>
    <n v="0"/>
    <n v="0"/>
    <n v="0"/>
    <n v="0"/>
    <n v="-6.7030243011289792E-2"/>
    <n v="9"/>
    <m/>
    <s v="Matihani"/>
    <m/>
    <n v="0"/>
  </r>
  <r>
    <s v="Munger"/>
    <s v="01-02 Apr"/>
    <n v="1055"/>
    <s v="Matihani"/>
    <x v="381"/>
    <s v="Gomukh Khorampur Chakaur"/>
    <s v="MPG"/>
    <s v="Direct"/>
    <n v="254.7"/>
    <n v="10218.42"/>
    <n v="254.1"/>
    <n v="10250.943100200002"/>
    <n v="1"/>
    <n v="40.360122000000004"/>
    <n v="255.1"/>
    <n v="10291.303222200002"/>
    <n v="10218.42"/>
    <n v="0"/>
    <n v="40.360122000000004"/>
    <n v="72.88322220000191"/>
    <n v="0"/>
    <n v="0"/>
    <n v="0"/>
    <n v="10178"/>
    <n v="0"/>
    <n v="0"/>
    <n v="0"/>
    <n v="0"/>
    <n v="0"/>
    <n v="0"/>
    <n v="-7.1325334249328085E-3"/>
    <n v="6"/>
    <m/>
    <s v="Matihani"/>
    <m/>
    <n v="0"/>
  </r>
  <r>
    <s v="Munger"/>
    <s v="01-02 Apr"/>
    <n v="1011"/>
    <s v="Sahibpur Kamal"/>
    <x v="382"/>
    <s v="Goumukh Samastipur"/>
    <s v="MPG"/>
    <s v="Direct"/>
    <n v="332.9"/>
    <n v="13627.44"/>
    <n v="327.53999999999991"/>
    <n v="13542.217765397882"/>
    <n v="0"/>
    <n v="0"/>
    <n v="327.53999999999991"/>
    <n v="13542.217765397882"/>
    <n v="13542.217765397882"/>
    <n v="0"/>
    <n v="0"/>
    <n v="0"/>
    <n v="0"/>
    <n v="0"/>
    <n v="0"/>
    <n v="13540"/>
    <n v="0"/>
    <n v="0"/>
    <n v="87"/>
    <n v="0"/>
    <n v="0"/>
    <n v="0"/>
    <n v="6.2537229738027821E-3"/>
    <n v="21"/>
    <m/>
    <s v="Sahibpur Kamal"/>
    <m/>
    <n v="0"/>
  </r>
  <r>
    <s v="Munger"/>
    <s v="01-02 Apr"/>
    <n v="1011"/>
    <s v="Sahibpur Kamal"/>
    <x v="383"/>
    <s v="GOMUKH Mathar"/>
    <s v="MPG"/>
    <s v="Direct"/>
    <n v="38.5"/>
    <n v="1494.42"/>
    <n v="39.579999999999991"/>
    <n v="1550.7854004174001"/>
    <n v="0.92"/>
    <n v="33.903876600000004"/>
    <n v="40.499999999999993"/>
    <n v="1584.6892770174002"/>
    <n v="1494.42"/>
    <n v="0"/>
    <n v="33.903876600000004"/>
    <n v="90.2692770174001"/>
    <n v="0"/>
    <n v="0"/>
    <n v="0"/>
    <n v="1461"/>
    <n v="0"/>
    <n v="0"/>
    <n v="0"/>
    <s v="Release1"/>
    <n v="125.37601558441558"/>
    <n v="19.25"/>
    <n v="-6.0404221716385015E-2"/>
    <n v="5"/>
    <m/>
    <s v="Sahibpur Kamal"/>
    <m/>
    <n v="0"/>
  </r>
  <r>
    <s v="Munger"/>
    <s v="01-02 Apr"/>
    <n v="1011"/>
    <s v="Sahibpur Kamal"/>
    <x v="384"/>
    <s v="Gomukh Kumar Chakki"/>
    <s v="MPG"/>
    <s v="Direct"/>
    <n v="63.8"/>
    <n v="2527.63"/>
    <n v="63.8"/>
    <n v="2526.99768288"/>
    <n v="0.4"/>
    <n v="16.487242200000001"/>
    <n v="64.2"/>
    <n v="2543.4849250799998"/>
    <n v="2527.63"/>
    <n v="0"/>
    <n v="16.487242200000001"/>
    <n v="15.854925079999703"/>
    <n v="0"/>
    <n v="0"/>
    <n v="0"/>
    <n v="2511"/>
    <n v="0"/>
    <n v="0"/>
    <n v="0"/>
    <n v="0"/>
    <n v="107.91950031347962"/>
    <n v="31.9"/>
    <n v="-6.2726447620892701E-3"/>
    <n v="3"/>
    <m/>
    <s v="Sahibpur Kamal"/>
    <m/>
    <n v="0"/>
  </r>
  <r>
    <s v="Munger"/>
    <s v="01-02 Apr"/>
    <n v="1055"/>
    <s v="Matihani"/>
    <x v="385"/>
    <s v="Gomukh Sonapur"/>
    <s v="vlc"/>
    <s v="Indirect"/>
    <n v="185.5"/>
    <n v="8133.91"/>
    <n v="0"/>
    <n v="0"/>
    <n v="0"/>
    <n v="0"/>
    <n v="0"/>
    <n v="0"/>
    <n v="8133.91"/>
    <n v="0"/>
    <n v="0"/>
    <n v="0"/>
    <n v="0"/>
    <n v="0"/>
    <n v="0"/>
    <n v="0"/>
    <n v="0"/>
    <n v="8133.91"/>
    <n v="0"/>
    <n v="0"/>
    <n v="12.716085714285715"/>
    <n v="92.75"/>
    <n v="0"/>
    <n v="0"/>
    <m/>
    <s v="Matihani"/>
    <m/>
    <n v="0"/>
  </r>
  <r>
    <s v="Munger"/>
    <s v="01-02 Apr"/>
    <n v="1011"/>
    <s v="Sahibpur Kamal"/>
    <x v="386"/>
    <s v="Gomukh Barkhandi 2"/>
    <s v="MPG"/>
    <s v="Indirect"/>
    <n v="310.40000000000003"/>
    <n v="12854.849999999999"/>
    <n v="0"/>
    <n v="0"/>
    <n v="0"/>
    <n v="0"/>
    <n v="0"/>
    <n v="0"/>
    <n v="12854.849999999999"/>
    <n v="0"/>
    <n v="0"/>
    <n v="0"/>
    <n v="0"/>
    <n v="0"/>
    <n v="0"/>
    <n v="0"/>
    <n v="0"/>
    <n v="12854.849999999999"/>
    <n v="0"/>
    <n v="0"/>
    <n v="0"/>
    <n v="0"/>
    <n v="0"/>
    <n v="0"/>
    <m/>
    <s v="Sahibpur Kamal"/>
    <m/>
    <n v="0"/>
  </r>
  <r>
    <s v="Munger"/>
    <s v="01-02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271.10000000000002"/>
    <n v="10303.379999999999"/>
    <n v="273.00000000000006"/>
    <n v="10632.481148520001"/>
    <n v="0.8"/>
    <n v="30.92848704"/>
    <n v="273.80000000000007"/>
    <n v="10663.409635560001"/>
    <n v="10303.379999999999"/>
    <n v="0"/>
    <n v="30.92848704"/>
    <n v="360.02963556000213"/>
    <n v="0"/>
    <n v="0"/>
    <n v="0"/>
    <n v="10272"/>
    <n v="0"/>
    <n v="0"/>
    <n v="0"/>
    <n v="0"/>
    <n v="0"/>
    <n v="0"/>
    <n v="-3.4942866861166155E-2"/>
    <n v="5"/>
    <m/>
    <s v="Sahibpur Kamal"/>
    <m/>
    <n v="0"/>
  </r>
  <r>
    <s v="Munger"/>
    <s v="01-02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317.5"/>
    <n v="12852.61"/>
    <n v="315"/>
    <n v="12765.405113999999"/>
    <n v="0"/>
    <n v="0"/>
    <n v="315"/>
    <n v="12765.405113999999"/>
    <n v="12765.405113999999"/>
    <n v="0"/>
    <n v="0"/>
    <n v="0"/>
    <n v="0"/>
    <n v="0"/>
    <n v="0"/>
    <n v="12765"/>
    <n v="0"/>
    <n v="0"/>
    <n v="88"/>
    <n v="0"/>
    <n v="0"/>
    <n v="0"/>
    <n v="6.7849943318906702E-3"/>
    <n v="1"/>
    <m/>
    <s v="Sahibpur Kamal"/>
    <m/>
    <n v="0"/>
  </r>
  <r>
    <s v="Munger"/>
    <s v="01-02 Apr"/>
    <n v="1011"/>
    <s v="Sahibpur Kamal"/>
    <x v="389"/>
    <s v="GOMUKH KATAHRI"/>
    <s v="MPG"/>
    <s v="Direct"/>
    <n v="57.300000000000004"/>
    <n v="2633.85"/>
    <n v="58.5"/>
    <n v="2712.4974789180001"/>
    <n v="0.8"/>
    <n v="40.978031226000006"/>
    <n v="59.3"/>
    <n v="2753.4755101440001"/>
    <n v="2633.85"/>
    <n v="0"/>
    <n v="40.978031226000006"/>
    <n v="119.62551014400015"/>
    <n v="0"/>
    <n v="0"/>
    <n v="0"/>
    <n v="2593"/>
    <n v="0"/>
    <n v="0"/>
    <n v="0"/>
    <n v="0"/>
    <n v="131.18687434554974"/>
    <n v="28.650000000000002"/>
    <n v="-4.5418497691212541E-2"/>
    <n v="3"/>
    <m/>
    <s v="Sahibpur Kamal"/>
    <m/>
    <n v="0"/>
  </r>
  <r>
    <s v="Munger"/>
    <s v="01-02 Apr"/>
    <n v="1011"/>
    <s v="Sahibpur Kamal"/>
    <x v="390"/>
    <s v="GOMUKH Mathar Ward 10"/>
    <s v="MPG"/>
    <s v="Direct"/>
    <n v="317.3"/>
    <n v="13646.460000000001"/>
    <n v="260"/>
    <n v="10990.6848288"/>
    <n v="80.2"/>
    <n v="3839.4077474934006"/>
    <n v="340.2"/>
    <n v="14830.0925762934"/>
    <n v="13646.460000000001"/>
    <n v="0"/>
    <n v="42.135687000000004"/>
    <n v="1183.6325762933993"/>
    <n v="0"/>
    <n v="0"/>
    <n v="0"/>
    <n v="9807"/>
    <n v="3797"/>
    <n v="0"/>
    <n v="0"/>
    <n v="0"/>
    <n v="0"/>
    <n v="0"/>
    <n v="-8.673550329487642E-2"/>
    <n v="6"/>
    <m/>
    <s v="Sahibpur Kamal"/>
    <m/>
    <n v="0"/>
  </r>
  <r>
    <s v="Munger"/>
    <s v="01-02 Apr"/>
    <n v="1011"/>
    <s v="Sahibpur Kamal"/>
    <x v="391"/>
    <s v="GOMUKH Tartor 2"/>
    <s v="MPG"/>
    <s v="Direct"/>
    <n v="95.9"/>
    <n v="4282.3599999999997"/>
    <n v="98.5"/>
    <n v="4723.1829202150002"/>
    <n v="0"/>
    <n v="0"/>
    <n v="98.5"/>
    <n v="4723.1829202150002"/>
    <n v="4282.3599999999997"/>
    <n v="0"/>
    <n v="0"/>
    <n v="440.82292021500052"/>
    <n v="0"/>
    <n v="0"/>
    <n v="0"/>
    <n v="4282"/>
    <n v="0"/>
    <n v="0"/>
    <n v="0"/>
    <s v="Release1"/>
    <n v="92.970526798748665"/>
    <n v="47.95"/>
    <n v="-0.10293924850199436"/>
    <n v="2"/>
    <m/>
    <s v="Sahibpur Kamal"/>
    <m/>
    <n v="0"/>
  </r>
  <r>
    <s v="Munger"/>
    <s v="01-02 Apr"/>
    <n v="1011"/>
    <s v="Sahibpur Kamal"/>
    <x v="392"/>
    <s v="Gomukh Chaidha"/>
    <s v="MPG"/>
    <s v="Direct"/>
    <n v="287.10000000000002"/>
    <n v="11010.779999999999"/>
    <n v="301.40000000000003"/>
    <n v="11866.172035752001"/>
    <n v="1.44"/>
    <n v="55.504975680000001"/>
    <n v="302.84000000000003"/>
    <n v="11921.677011432001"/>
    <n v="11010.779999999999"/>
    <n v="0"/>
    <n v="55.504975680000001"/>
    <n v="910.89701143200182"/>
    <n v="0"/>
    <n v="0"/>
    <n v="0"/>
    <n v="10955"/>
    <n v="0"/>
    <n v="0"/>
    <n v="0"/>
    <s v="Release1"/>
    <n v="0"/>
    <n v="0"/>
    <n v="-8.2727746029981702E-2"/>
    <n v="17"/>
    <m/>
    <s v="Sahibpur Kamal"/>
    <m/>
    <n v="0"/>
  </r>
  <r>
    <s v="Munger"/>
    <s v="01-02 Apr"/>
    <n v="1011"/>
    <s v="Sahibpur Kamal"/>
    <x v="393"/>
    <s v="Gomukh Bakiya"/>
    <s v="MPG"/>
    <s v="Direct"/>
    <n v="264.89999999999998"/>
    <n v="10424.140000000001"/>
    <n v="271.96000000000004"/>
    <n v="10684.007048043202"/>
    <n v="1.8000000000000003"/>
    <n v="68.509940400000005"/>
    <n v="273.76000000000005"/>
    <n v="10752.516988443202"/>
    <n v="10424.140000000001"/>
    <n v="0"/>
    <n v="68.509940400000005"/>
    <n v="328.37698844320039"/>
    <n v="0"/>
    <n v="0"/>
    <n v="0"/>
    <n v="10356"/>
    <n v="0"/>
    <n v="0"/>
    <n v="0"/>
    <s v="Release1"/>
    <n v="0"/>
    <n v="0"/>
    <n v="-3.1501590389538162E-2"/>
    <n v="13"/>
    <m/>
    <s v="Sahibpur Kamal"/>
    <m/>
    <n v="0"/>
  </r>
  <r>
    <s v="Munger"/>
    <s v="01-02 Apr"/>
    <n v="1011"/>
    <s v="Sahibpur Kamal"/>
    <x v="394"/>
    <s v="Gomukh Sadpur"/>
    <s v="MPG"/>
    <s v="Direct"/>
    <n v="14.4"/>
    <n v="520.85"/>
    <n v="22.9"/>
    <n v="864.54588924000018"/>
    <n v="0"/>
    <n v="0"/>
    <n v="22.9"/>
    <n v="864.54588924000018"/>
    <n v="520.85"/>
    <n v="0"/>
    <n v="0"/>
    <n v="343.69588924000016"/>
    <n v="0"/>
    <n v="0"/>
    <n v="0"/>
    <n v="521"/>
    <n v="0"/>
    <n v="0"/>
    <n v="0"/>
    <n v="0"/>
    <n v="134.26355555555557"/>
    <n v="7.2"/>
    <n v="-0.65987499134107741"/>
    <n v="1"/>
    <m/>
    <s v="Sahibpur Kamal"/>
    <m/>
    <n v="0"/>
  </r>
  <r>
    <s v="Munger"/>
    <s v="01-02 Apr"/>
    <n v="1011"/>
    <s v="Sahibpur Kamal"/>
    <x v="395"/>
    <s v="GOMUKH Nista Tol"/>
    <s v="MPG"/>
    <s v="Direct"/>
    <n v="124.69999999999999"/>
    <n v="5848.8700000000008"/>
    <n v="127.21999999999998"/>
    <n v="6242.8393374079196"/>
    <n v="0"/>
    <n v="0"/>
    <n v="127.21999999999998"/>
    <n v="6242.8393374079196"/>
    <n v="5848.8700000000008"/>
    <n v="0"/>
    <n v="0"/>
    <n v="393.96933740791883"/>
    <n v="0"/>
    <n v="0"/>
    <n v="0"/>
    <n v="5849"/>
    <n v="0"/>
    <n v="0"/>
    <n v="0"/>
    <s v="Release1"/>
    <n v="70.636713873295946"/>
    <n v="62.349999999999994"/>
    <n v="-6.7358196952217911E-2"/>
    <n v="2"/>
    <m/>
    <s v="Sahibpur Kamal"/>
    <m/>
    <n v="0"/>
  </r>
  <r>
    <s v="Munger"/>
    <s v="01-02 Apr"/>
    <n v="1011"/>
    <s v="Sahibpur Kamal"/>
    <x v="396"/>
    <s v="GOMUKH SRINAGAR"/>
    <s v="MPG"/>
    <s v="Direct"/>
    <n v="581.80000000000007"/>
    <n v="23799.820000000003"/>
    <n v="535.04"/>
    <n v="24285.133785746166"/>
    <n v="52.820000000000007"/>
    <n v="2089.7752690852003"/>
    <n v="587.86"/>
    <n v="26374.909054831365"/>
    <n v="23799.820000000003"/>
    <n v="0"/>
    <n v="56.286303480000015"/>
    <n v="2575.0890548313619"/>
    <n v="0"/>
    <n v="0"/>
    <n v="0"/>
    <n v="21710"/>
    <n v="2034"/>
    <n v="0"/>
    <n v="0"/>
    <n v="0"/>
    <n v="0"/>
    <n v="0"/>
    <n v="-0.10819783741353345"/>
    <n v="8"/>
    <m/>
    <s v="Sahibpur Kamal"/>
    <m/>
    <n v="0"/>
  </r>
  <r>
    <s v="Munger"/>
    <s v="01-02 Apr"/>
    <n v="1011"/>
    <s v="Sahibpur Kamal"/>
    <x v="397"/>
    <s v="GOMUKH THATHA"/>
    <s v="MPG"/>
    <s v="Direct"/>
    <n v="171"/>
    <n v="5347.48"/>
    <n v="305"/>
    <n v="10344.660145380001"/>
    <n v="0"/>
    <n v="0"/>
    <n v="305"/>
    <n v="10344.660145380001"/>
    <n v="5347.48"/>
    <n v="0"/>
    <n v="0"/>
    <n v="4997.1801453800017"/>
    <n v="0"/>
    <n v="0"/>
    <n v="0"/>
    <n v="5347"/>
    <n v="0"/>
    <n v="0"/>
    <n v="0"/>
    <n v="0"/>
    <n v="18.137651461988302"/>
    <n v="85.5"/>
    <n v="-0.9344925358075209"/>
    <n v="1"/>
    <m/>
    <s v="Sahibpur Kamal"/>
    <m/>
    <n v="0"/>
  </r>
  <r>
    <s v="Munger"/>
    <s v="01-02 Apr"/>
    <n v="1011"/>
    <s v="Sahibpur Kamal"/>
    <x v="398"/>
    <s v="GOMUKH SANHA NAYATOLA"/>
    <s v="MPG"/>
    <s v="Direct"/>
    <n v="131.19999999999999"/>
    <n v="4913.7299999999996"/>
    <n v="131.19999999999999"/>
    <n v="4913.7251169600004"/>
    <n v="0"/>
    <n v="0"/>
    <n v="131.19999999999999"/>
    <n v="4913.7251169600004"/>
    <n v="4913.7251169600004"/>
    <n v="0"/>
    <n v="0"/>
    <n v="0"/>
    <n v="0"/>
    <n v="0"/>
    <n v="0"/>
    <n v="4914"/>
    <n v="0"/>
    <n v="0"/>
    <n v="0"/>
    <n v="0"/>
    <n v="51.534241463414645"/>
    <n v="65.599999999999994"/>
    <n v="9.9375423541499281E-7"/>
    <n v="1"/>
    <m/>
    <s v="Sahibpur Kamal"/>
    <m/>
    <n v="0"/>
  </r>
  <r>
    <s v="Munger"/>
    <s v="01-02 Apr"/>
    <n v="1011"/>
    <s v="Sahibpur Kamal"/>
    <x v="399"/>
    <s v="Gomukh Durgapur"/>
    <s v="MPG"/>
    <s v="Direct"/>
    <n v="179.8"/>
    <n v="7222.89"/>
    <n v="178.3"/>
    <n v="7094.9571066000008"/>
    <n v="0.4"/>
    <n v="16.104440880000006"/>
    <n v="178.70000000000002"/>
    <n v="7111.0615474800006"/>
    <n v="7111.0615474800006"/>
    <n v="0"/>
    <n v="16.104440880000006"/>
    <n v="0"/>
    <n v="0"/>
    <n v="0"/>
    <n v="0"/>
    <n v="7095"/>
    <n v="0"/>
    <n v="0"/>
    <n v="112"/>
    <n v="0"/>
    <n v="16.229408008898769"/>
    <n v="89.9"/>
    <n v="1.548250804317935E-2"/>
    <n v="3"/>
    <m/>
    <s v="Sahibpur Kamal"/>
    <m/>
    <n v="0"/>
  </r>
  <r>
    <s v="Munger"/>
    <s v="01-02 Apr"/>
    <n v="1055"/>
    <s v="Matihani"/>
    <x v="400"/>
    <s v="Gomukh Singhpur Balahpur"/>
    <s v="vlc"/>
    <s v="Indirect"/>
    <n v="2204.4"/>
    <n v="89412.05"/>
    <n v="0"/>
    <n v="0"/>
    <n v="0"/>
    <n v="0"/>
    <n v="0"/>
    <n v="0"/>
    <n v="89412.05"/>
    <n v="0"/>
    <n v="0"/>
    <n v="0"/>
    <n v="0"/>
    <n v="0"/>
    <n v="0"/>
    <n v="0"/>
    <n v="0"/>
    <n v="89412.05"/>
    <n v="0"/>
    <n v="0"/>
    <n v="0"/>
    <n v="0"/>
    <n v="0"/>
    <n v="0"/>
    <m/>
    <s v="Matihani"/>
    <m/>
    <n v="0"/>
  </r>
  <r>
    <s v="Munger"/>
    <s v="01-02 Apr"/>
    <n v="1054"/>
    <s v="Alauli "/>
    <x v="401"/>
    <s v="Gomukh Koniya"/>
    <s v="MPG"/>
    <s v="Direct"/>
    <n v="143.80000000000001"/>
    <n v="5251.57"/>
    <n v="151"/>
    <n v="5811.7258980000006"/>
    <n v="4"/>
    <n v="152.20022399999999"/>
    <n v="155"/>
    <n v="5963.9261220000008"/>
    <n v="5251.57"/>
    <n v="0"/>
    <n v="152.20022399999999"/>
    <n v="712.35612200000105"/>
    <n v="0"/>
    <n v="0"/>
    <n v="0"/>
    <n v="5099"/>
    <n v="0"/>
    <n v="0"/>
    <n v="0"/>
    <n v="0"/>
    <n v="41.048433101529888"/>
    <n v="71.900000000000006"/>
    <n v="-0.13564631567321794"/>
    <n v="2"/>
    <m/>
    <s v="Alauli "/>
    <m/>
    <n v="0"/>
  </r>
  <r>
    <s v="Munger"/>
    <s v="01-02 Apr"/>
    <n v="1011"/>
    <s v="Sahibpur Kamal"/>
    <x v="402"/>
    <s v="GOMUKH ROHUA"/>
    <s v="MPG"/>
    <s v="Direct"/>
    <n v="141.70000000000002"/>
    <n v="5215.33"/>
    <n v="139.26"/>
    <n v="5144.4959551920019"/>
    <n v="1.62"/>
    <n v="61.033337640000006"/>
    <n v="140.88"/>
    <n v="5205.5292928320023"/>
    <n v="5205.5292928320023"/>
    <n v="0"/>
    <n v="61.033337640000006"/>
    <n v="0"/>
    <n v="0"/>
    <n v="0"/>
    <n v="0"/>
    <n v="5146"/>
    <n v="0"/>
    <n v="0"/>
    <n v="8"/>
    <n v="0"/>
    <n v="42.915136062103024"/>
    <n v="70.850000000000009"/>
    <n v="1.8792113189381389E-3"/>
    <n v="11"/>
    <m/>
    <s v="Sahibpur Kamal"/>
    <m/>
    <n v="0"/>
  </r>
  <r>
    <s v="Munger"/>
    <s v="01-02 Apr"/>
    <n v="1011"/>
    <s v="Sahibpur Kamal"/>
    <x v="403"/>
    <s v="GOMUKH LAXMIPUR"/>
    <s v="MPG"/>
    <s v="Direct"/>
    <n v="138.5"/>
    <n v="5928.8700000000008"/>
    <n v="139.44000000000003"/>
    <n v="6053.5950355343602"/>
    <n v="2.23"/>
    <n v="94.564653084000014"/>
    <n v="141.67000000000002"/>
    <n v="6148.1596886183606"/>
    <n v="5928.8700000000008"/>
    <n v="0"/>
    <n v="94.564653084000014"/>
    <n v="219.28968861835983"/>
    <n v="0"/>
    <n v="0"/>
    <n v="0"/>
    <n v="5834"/>
    <n v="0"/>
    <n v="0"/>
    <n v="0"/>
    <n v="0"/>
    <n v="52.65350252707583"/>
    <n v="69.25"/>
    <n v="-3.6986759469909071E-2"/>
    <n v="12"/>
    <m/>
    <s v="Sahibpur Kamal"/>
    <m/>
    <n v="0"/>
  </r>
  <r>
    <s v="Munger"/>
    <s v="01-02 Apr"/>
    <n v="1054"/>
    <s v="Alauli "/>
    <x v="404"/>
    <s v="GOMUKH BACHOTA"/>
    <s v="MPG"/>
    <s v="Direct"/>
    <n v="56.5"/>
    <n v="2402.59"/>
    <n v="56.39"/>
    <n v="2312.7026321520002"/>
    <n v="0.31"/>
    <n v="12.146982804000002"/>
    <n v="56.7"/>
    <n v="2324.8496149560001"/>
    <n v="2324.8496149560001"/>
    <n v="0"/>
    <n v="12.146982804000002"/>
    <n v="0"/>
    <n v="0"/>
    <n v="0"/>
    <n v="0"/>
    <n v="2312"/>
    <n v="0"/>
    <n v="0"/>
    <n v="78"/>
    <n v="0"/>
    <n v="122.04306725663717"/>
    <n v="28.25"/>
    <n v="3.2356908604464364E-2"/>
    <n v="4"/>
    <m/>
    <s v="Alauli "/>
    <m/>
    <n v="0"/>
  </r>
  <r>
    <s v="Munger"/>
    <s v="01-02 Apr"/>
    <n v="1054"/>
    <s v="Alauli "/>
    <x v="405"/>
    <s v="GOMUKH CHATAR"/>
    <s v="MPG"/>
    <s v="Direct"/>
    <n v="45.699999999999996"/>
    <n v="1899.4"/>
    <n v="46.4"/>
    <n v="1928.4664608"/>
    <n v="0"/>
    <n v="0"/>
    <n v="46.4"/>
    <n v="1928.4664608"/>
    <n v="1899.4"/>
    <n v="0"/>
    <n v="0"/>
    <n v="29.066460799999959"/>
    <n v="0"/>
    <n v="0"/>
    <n v="0"/>
    <n v="1899"/>
    <n v="0"/>
    <n v="0"/>
    <n v="0"/>
    <n v="0"/>
    <n v="128.26145295404817"/>
    <n v="22.849999999999998"/>
    <n v="-1.5302969779930483E-2"/>
    <n v="1"/>
    <m/>
    <s v="Alauli "/>
    <m/>
    <n v="0"/>
  </r>
  <r>
    <s v="Munger"/>
    <s v="01-02 Apr"/>
    <n v="1054"/>
    <s v="Alauli "/>
    <x v="406"/>
    <s v="GOMUKH BATHNAMA"/>
    <s v="MPG"/>
    <s v="Direct"/>
    <n v="1201.4000000000001"/>
    <n v="49514.61"/>
    <n v="1913.6299999999999"/>
    <n v="78242.421378947562"/>
    <n v="2.54"/>
    <n v="100.54191074400001"/>
    <n v="1916.1699999999998"/>
    <n v="78342.963289691557"/>
    <n v="49514.61"/>
    <n v="0"/>
    <n v="100.54191074400001"/>
    <n v="28828.353289691557"/>
    <n v="0"/>
    <n v="0"/>
    <n v="0"/>
    <n v="49414"/>
    <n v="0"/>
    <n v="0"/>
    <n v="0"/>
    <s v="Release1"/>
    <n v="0"/>
    <n v="0"/>
    <n v="-0.58221913269016068"/>
    <n v="15"/>
    <m/>
    <s v="Alauli "/>
    <m/>
    <n v="0"/>
  </r>
  <r>
    <s v="Munger"/>
    <s v="01-02 Apr"/>
    <n v="1054"/>
    <s v="Alauli "/>
    <x v="407"/>
    <s v="GOMUKH TILAK NAGAR"/>
    <s v="MPG"/>
    <s v="Direct"/>
    <n v="76.2"/>
    <n v="3258.51"/>
    <n v="74.389999999999986"/>
    <n v="3047.9908668318772"/>
    <n v="1.52"/>
    <n v="66.137398202569003"/>
    <n v="75.909999999999982"/>
    <n v="3114.128265034446"/>
    <n v="3114.128265034446"/>
    <n v="0"/>
    <n v="66.137398202569003"/>
    <n v="0"/>
    <n v="0"/>
    <n v="0"/>
    <n v="0"/>
    <n v="3048"/>
    <n v="0"/>
    <n v="0"/>
    <n v="144"/>
    <n v="0"/>
    <n v="105.8801937007874"/>
    <n v="38.1"/>
    <n v="4.4309127474076858E-2"/>
    <n v="9"/>
    <m/>
    <s v="Alauli "/>
    <m/>
    <n v="0"/>
  </r>
  <r>
    <s v="Munger"/>
    <s v="01-02 Apr"/>
    <n v="1011"/>
    <s v="Sahibpur Kamal"/>
    <x v="408"/>
    <s v="Gomukh Thatha Purvi"/>
    <s v="MPG"/>
    <s v="Direct"/>
    <n v="166.5"/>
    <n v="6354.15"/>
    <n v="164.28999999999996"/>
    <n v="6368.5306923584803"/>
    <n v="0"/>
    <n v="0"/>
    <n v="164.28999999999996"/>
    <n v="6368.5306923584803"/>
    <n v="6354.15"/>
    <n v="0"/>
    <n v="0"/>
    <n v="14.380692358480701"/>
    <n v="0"/>
    <n v="0"/>
    <n v="0"/>
    <n v="6354"/>
    <n v="0"/>
    <n v="0"/>
    <n v="0"/>
    <n v="0"/>
    <n v="25.569252252252255"/>
    <n v="83.25"/>
    <n v="-2.2631968648018541E-3"/>
    <n v="14"/>
    <m/>
    <s v="Sahibpur Kamal"/>
    <m/>
    <n v="0"/>
  </r>
  <r>
    <s v="Munger"/>
    <s v="01-02 Apr"/>
    <n v="1011"/>
    <s v="Sahibpur Kamal"/>
    <x v="409"/>
    <s v="Gomukh Rahimpur Dakshin"/>
    <s v="MPG"/>
    <s v="Direct"/>
    <n v="2070.5"/>
    <n v="82574.570000000007"/>
    <n v="868.26"/>
    <n v="37173.443558965999"/>
    <n v="1202.8"/>
    <n v="46281.381141599995"/>
    <n v="2071.06"/>
    <n v="83454.824700565994"/>
    <n v="82574.570000000007"/>
    <n v="0"/>
    <n v="106.43474160000001"/>
    <n v="880.25470056598715"/>
    <n v="0"/>
    <n v="0"/>
    <n v="0"/>
    <n v="36292"/>
    <n v="46176"/>
    <n v="0"/>
    <n v="0"/>
    <n v="0"/>
    <n v="0"/>
    <n v="0"/>
    <n v="-1.0660118491273851E-2"/>
    <n v="9"/>
    <m/>
    <s v="Sahibpur Kamal"/>
    <m/>
    <n v="0"/>
  </r>
  <r>
    <s v="Munger"/>
    <s v="01-02 Apr"/>
    <n v="1054"/>
    <s v="Alauli "/>
    <x v="410"/>
    <s v="GOMUKH MORKAHI"/>
    <s v="MPG"/>
    <s v="Direct"/>
    <n v="108"/>
    <n v="4336.2800000000007"/>
    <n v="107.48"/>
    <n v="4287.7969750439997"/>
    <n v="0.41000000000000003"/>
    <n v="16.214012892000003"/>
    <n v="107.89"/>
    <n v="4304.0109879359998"/>
    <n v="4304.0109879359998"/>
    <n v="0"/>
    <n v="16.214012892000003"/>
    <n v="0"/>
    <n v="0"/>
    <n v="0"/>
    <n v="0"/>
    <n v="4288"/>
    <n v="0"/>
    <n v="0"/>
    <n v="32"/>
    <n v="0"/>
    <n v="73.877362962962977"/>
    <n v="54"/>
    <n v="7.4416347800420829E-3"/>
    <n v="2"/>
    <m/>
    <s v="Alauli "/>
    <m/>
    <n v="0"/>
  </r>
  <r>
    <s v="Munger"/>
    <s v="01-02 Apr"/>
    <n v="1055"/>
    <s v="Matihani"/>
    <x v="411"/>
    <s v="GOMUKH HANSPUR"/>
    <s v="MPG"/>
    <s v="Direct"/>
    <n v="69.300000000000011"/>
    <n v="3247.01"/>
    <n v="69.210000000000008"/>
    <n v="3408.4388582275801"/>
    <n v="0.66999999999999993"/>
    <n v="44.020249827599997"/>
    <n v="69.88000000000001"/>
    <n v="3452.45910805518"/>
    <n v="3247.01"/>
    <n v="0"/>
    <n v="44.020249827599997"/>
    <n v="205.44910805517975"/>
    <n v="0"/>
    <n v="0"/>
    <n v="0"/>
    <n v="3203"/>
    <n v="0"/>
    <n v="0"/>
    <n v="0"/>
    <n v="0"/>
    <n v="122.47740461760461"/>
    <n v="34.650000000000006"/>
    <n v="-6.3273321626721113E-2"/>
    <n v="5"/>
    <m/>
    <s v="Matihani"/>
    <m/>
    <n v="0"/>
  </r>
  <r>
    <s v="Munger"/>
    <s v="01-02 Apr"/>
    <n v="1055"/>
    <s v="Matihani"/>
    <x v="412"/>
    <s v="GOMUKH NAYAGAON 2"/>
    <s v="MPG"/>
    <s v="Direct"/>
    <n v="81.7"/>
    <n v="4309.05"/>
    <n v="81.44"/>
    <n v="4323.9090286159999"/>
    <n v="1.42"/>
    <n v="82.626814812600017"/>
    <n v="82.86"/>
    <n v="4406.5358434285999"/>
    <n v="4309.05"/>
    <n v="0"/>
    <n v="82.626814812600017"/>
    <n v="97.485843428599765"/>
    <n v="0"/>
    <n v="0"/>
    <n v="0"/>
    <n v="4226"/>
    <n v="0"/>
    <n v="0"/>
    <n v="0"/>
    <n v="0"/>
    <n v="124.78840024479804"/>
    <n v="40.85"/>
    <n v="-2.2623511778373368E-2"/>
    <n v="5"/>
    <m/>
    <s v="Matihani"/>
    <m/>
    <n v="0"/>
  </r>
  <r>
    <s v="Munger"/>
    <s v="01-02 Apr"/>
    <n v="1054"/>
    <s v="Alauli "/>
    <x v="413"/>
    <s v="GOMUKH ALOLI"/>
    <s v="MPG"/>
    <s v="Direct"/>
    <n v="4.5999999999999996"/>
    <n v="162.15"/>
    <n v="0"/>
    <n v="0"/>
    <n v="0"/>
    <n v="0"/>
    <n v="0"/>
    <n v="0"/>
    <n v="0"/>
    <n v="0"/>
    <n v="0"/>
    <n v="0"/>
    <n v="0"/>
    <n v="0"/>
    <n v="0"/>
    <n v="0"/>
    <n v="0"/>
    <n v="0"/>
    <n v="162"/>
    <n v="0"/>
    <n v="137.75700000000003"/>
    <n v="2.2999999999999998"/>
    <n v="1"/>
    <n v="0"/>
    <m/>
    <s v="Alauli "/>
    <m/>
    <n v="0"/>
  </r>
  <r>
    <s v="Munger"/>
    <s v="01-02 Apr"/>
    <n v="1054"/>
    <s v="Alauli "/>
    <x v="414"/>
    <s v="GOMUKH LABHGAON"/>
    <s v="MPG"/>
    <s v="Direct"/>
    <n v="171.9"/>
    <n v="6090.34"/>
    <n v="176.68"/>
    <n v="5991.5441357838008"/>
    <n v="0"/>
    <n v="0"/>
    <n v="176.68"/>
    <n v="5991.5441357838008"/>
    <n v="5991.5441357838008"/>
    <n v="0"/>
    <n v="0"/>
    <n v="0"/>
    <n v="0"/>
    <n v="0"/>
    <n v="0"/>
    <n v="5991"/>
    <n v="0"/>
    <n v="0"/>
    <n v="99"/>
    <n v="0"/>
    <n v="19.911408260616636"/>
    <n v="85.95"/>
    <n v="1.6221732155544573E-2"/>
    <n v="2"/>
    <m/>
    <s v="Alauli "/>
    <m/>
    <n v="0"/>
  </r>
  <r>
    <s v="Munger"/>
    <s v="01-02 Apr"/>
    <n v="1054"/>
    <s v="Alauli "/>
    <x v="415"/>
    <s v="GOMUKH CHANDPURA"/>
    <s v="MPG"/>
    <s v="Direct"/>
    <n v="142.30000000000001"/>
    <n v="5348.1299999999992"/>
    <n v="142.30000000000001"/>
    <n v="5335.5256891200006"/>
    <n v="0"/>
    <n v="0"/>
    <n v="142.30000000000001"/>
    <n v="5335.5256891200006"/>
    <n v="5335.5256891200006"/>
    <n v="0"/>
    <n v="0"/>
    <n v="0"/>
    <n v="0"/>
    <n v="0"/>
    <n v="0"/>
    <n v="5336"/>
    <n v="0"/>
    <n v="0"/>
    <n v="12"/>
    <n v="0"/>
    <n v="43.371342375263509"/>
    <n v="71.150000000000006"/>
    <n v="2.3567697269884229E-3"/>
    <n v="5"/>
    <m/>
    <s v="Alauli "/>
    <m/>
    <n v="0"/>
  </r>
  <r>
    <s v="Munger"/>
    <s v="01-02 Apr"/>
    <n v="1054"/>
    <s v="Alauli "/>
    <x v="416"/>
    <s v="GOMUKH BADIL TOL"/>
    <s v="MPG"/>
    <s v="Direct"/>
    <n v="231.7"/>
    <n v="9225.3799999999992"/>
    <n v="225.19"/>
    <n v="9340.255940287374"/>
    <n v="6.0299999999999994"/>
    <n v="234.39371816520003"/>
    <n v="231.22"/>
    <n v="9574.6496584525739"/>
    <n v="9225.3799999999992"/>
    <n v="0"/>
    <n v="234.39371816520003"/>
    <n v="349.26965845257473"/>
    <n v="0"/>
    <n v="0"/>
    <n v="0"/>
    <n v="8991"/>
    <n v="0"/>
    <n v="0"/>
    <n v="0"/>
    <n v="0"/>
    <n v="0"/>
    <n v="0"/>
    <n v="-3.7859650058054493E-2"/>
    <n v="9"/>
    <m/>
    <s v="Alauli "/>
    <m/>
    <n v="0"/>
  </r>
  <r>
    <s v="Munger"/>
    <s v="01-02 Apr"/>
    <n v="1054"/>
    <s v="Alauli "/>
    <x v="417"/>
    <s v="GOMUKH TRIBHUVAN TOLA"/>
    <s v="MPG"/>
    <s v="Direct"/>
    <n v="97"/>
    <n v="3582.27"/>
    <n v="102.36999999999999"/>
    <n v="3809.0130627674403"/>
    <n v="0"/>
    <n v="0"/>
    <n v="102.36999999999999"/>
    <n v="3809.0130627674403"/>
    <n v="3582.27"/>
    <n v="0"/>
    <n v="0"/>
    <n v="226.74306276744028"/>
    <n v="0"/>
    <n v="0"/>
    <n v="0"/>
    <n v="3582"/>
    <n v="0"/>
    <n v="0"/>
    <n v="0"/>
    <n v="0"/>
    <n v="76.077074226804115"/>
    <n v="48.5"/>
    <n v="-6.3295916490783852E-2"/>
    <n v="9"/>
    <m/>
    <s v="Alauli "/>
    <m/>
    <n v="0"/>
  </r>
  <r>
    <s v="Munger"/>
    <s v="01-02 Apr"/>
    <n v="1054"/>
    <s v="Alauli "/>
    <x v="418"/>
    <s v="GOMUKH SANTOSHPUL"/>
    <s v="MPG"/>
    <s v="Direct"/>
    <n v="346.7"/>
    <n v="14920.59"/>
    <n v="353.9"/>
    <n v="16386.615037050004"/>
    <n v="279"/>
    <n v="12112.763374800001"/>
    <n v="632.9"/>
    <n v="28499.378411850004"/>
    <n v="14920.59"/>
    <n v="0"/>
    <n v="0"/>
    <n v="13578.788411850004"/>
    <n v="0"/>
    <n v="0"/>
    <n v="0"/>
    <n v="2808"/>
    <n v="12113"/>
    <n v="0"/>
    <n v="0"/>
    <n v="0"/>
    <n v="0"/>
    <n v="0"/>
    <n v="-0.9100704738787142"/>
    <n v="6"/>
    <m/>
    <s v="Alauli "/>
    <m/>
    <n v="0"/>
  </r>
  <r>
    <s v="Munger"/>
    <s v="01-02 Apr"/>
    <n v="1054"/>
    <s v="Alauli "/>
    <x v="419"/>
    <s v="GOMUKH AHUNA"/>
    <s v="MPG"/>
    <s v="Direct"/>
    <n v="123.1"/>
    <n v="4633.8"/>
    <n v="89.44"/>
    <n v="3225.4758914796003"/>
    <n v="33.93"/>
    <n v="1213.7797900800001"/>
    <n v="123.37"/>
    <n v="4439.2556815595999"/>
    <n v="4439.2556815595999"/>
    <n v="0"/>
    <n v="1213.7797900800001"/>
    <n v="0"/>
    <n v="0"/>
    <n v="0"/>
    <n v="0"/>
    <n v="3225"/>
    <n v="0"/>
    <n v="0"/>
    <n v="195"/>
    <n v="0"/>
    <n v="57.89426807473599"/>
    <n v="61.55"/>
    <n v="4.1983753817687486E-2"/>
    <n v="2"/>
    <m/>
    <s v="Alauli "/>
    <m/>
    <n v="0"/>
  </r>
  <r>
    <s v="Munger"/>
    <s v="01-02 Apr"/>
    <n v="1055"/>
    <s v="Matihani"/>
    <x v="420"/>
    <s v="GOMUKH SHADIPUR"/>
    <s v="MPG"/>
    <s v="Direct"/>
    <n v="281.5"/>
    <n v="11677.63"/>
    <n v="289.74"/>
    <n v="11668.597805645701"/>
    <n v="2.37"/>
    <n v="113.15683275600001"/>
    <n v="292.11"/>
    <n v="11781.754638401701"/>
    <n v="11677.63"/>
    <n v="0"/>
    <n v="113.15683275600001"/>
    <n v="104.1246384017013"/>
    <n v="0"/>
    <n v="0"/>
    <n v="0"/>
    <n v="11564"/>
    <n v="0"/>
    <n v="0"/>
    <n v="0"/>
    <n v="0"/>
    <n v="0"/>
    <n v="0"/>
    <n v="-8.9165899588958819E-3"/>
    <n v="11"/>
    <m/>
    <s v="Matihani"/>
    <m/>
    <n v="0"/>
  </r>
  <r>
    <s v="Munger"/>
    <s v="01-02 Apr"/>
    <n v="1055"/>
    <s v="Matihani"/>
    <x v="421"/>
    <s v="GOMUKH ASHRAPHA DIYARA"/>
    <s v="MPG"/>
    <s v="Direct"/>
    <n v="228.7"/>
    <n v="8929.58"/>
    <n v="226.92999999999998"/>
    <n v="8861.1924973968016"/>
    <n v="2.34"/>
    <n v="94.617509184000028"/>
    <n v="229.26999999999998"/>
    <n v="8955.8100065808012"/>
    <n v="8929.58"/>
    <n v="0"/>
    <n v="94.617509184000028"/>
    <n v="26.230006580801273"/>
    <n v="0"/>
    <n v="0"/>
    <n v="0"/>
    <n v="8835"/>
    <n v="0"/>
    <n v="0"/>
    <n v="0"/>
    <s v="Release1"/>
    <n v="0"/>
    <n v="0"/>
    <n v="-2.9374289250783656E-3"/>
    <n v="12"/>
    <m/>
    <s v="Matihani"/>
    <m/>
    <n v="0"/>
  </r>
  <r>
    <s v="Munger"/>
    <s v="01-02 Apr"/>
    <n v="1055"/>
    <s v="Matihani"/>
    <x v="422"/>
    <s v="GOMUKH MANIAPPA"/>
    <s v="MPG"/>
    <s v="Direct"/>
    <n v="509.3"/>
    <n v="19595.34"/>
    <n v="508.22999999999996"/>
    <n v="19295.857705039081"/>
    <n v="1.25"/>
    <n v="44.048398284000001"/>
    <n v="509.47999999999996"/>
    <n v="19339.906103323083"/>
    <n v="19339.906103323083"/>
    <n v="0"/>
    <n v="44.048398284000001"/>
    <n v="0"/>
    <n v="0"/>
    <n v="0"/>
    <n v="0"/>
    <n v="19296"/>
    <n v="0"/>
    <n v="0"/>
    <n v="255"/>
    <n v="0"/>
    <n v="0"/>
    <n v="0"/>
    <n v="1.3035440909773311E-2"/>
    <n v="11"/>
    <m/>
    <s v="Matihani"/>
    <m/>
    <n v="0"/>
  </r>
  <r>
    <s v="Munger"/>
    <s v="01-02 Apr"/>
    <n v="1054"/>
    <s v="Alauli "/>
    <x v="423"/>
    <s v="GOMUKH D SANJHAUTI"/>
    <s v="MPG"/>
    <s v="Direct"/>
    <n v="258.60000000000002"/>
    <n v="9561.0400000000009"/>
    <n v="295"/>
    <n v="11956.23099"/>
    <n v="0"/>
    <n v="0"/>
    <n v="295"/>
    <n v="11956.23099"/>
    <n v="9561.0400000000009"/>
    <n v="0"/>
    <n v="0"/>
    <n v="2395.1909899999991"/>
    <n v="0"/>
    <n v="0"/>
    <n v="0"/>
    <n v="9561"/>
    <n v="0"/>
    <n v="0"/>
    <n v="0"/>
    <n v="0"/>
    <n v="0"/>
    <n v="0"/>
    <n v="-0.25051573782768388"/>
    <n v="3"/>
    <m/>
    <s v="Alauli "/>
    <m/>
    <n v="0"/>
  </r>
  <r>
    <s v="Munger"/>
    <s v="01-02 Apr"/>
    <n v="1054"/>
    <s v="Alauli "/>
    <x v="424"/>
    <s v="GOMUKH DHUSMURI BISHANPUR"/>
    <s v="MPG"/>
    <s v="Direct"/>
    <n v="46.1"/>
    <n v="1838.56"/>
    <n v="39.01"/>
    <n v="1519.09059456"/>
    <n v="0"/>
    <n v="0"/>
    <n v="39.01"/>
    <n v="1519.09059456"/>
    <n v="1519.09059456"/>
    <n v="0"/>
    <n v="0"/>
    <n v="0"/>
    <n v="0"/>
    <n v="0"/>
    <n v="0"/>
    <n v="1519"/>
    <n v="0"/>
    <n v="0"/>
    <n v="320"/>
    <n v="0"/>
    <n v="122.75678264642082"/>
    <n v="23.05"/>
    <n v="0.1737606634757636"/>
    <n v="1"/>
    <m/>
    <s v="Alauli "/>
    <m/>
    <n v="0"/>
  </r>
  <r>
    <s v="Munger"/>
    <s v="01-02 Apr"/>
    <n v="1054"/>
    <s v="Alauli "/>
    <x v="425"/>
    <s v="GOMUKH ANANDPUR PARAS"/>
    <s v="MPG"/>
    <s v="Direct"/>
    <n v="703.5"/>
    <n v="28648.55"/>
    <n v="703.5"/>
    <n v="28647.186052320001"/>
    <n v="0"/>
    <n v="0"/>
    <n v="703.5"/>
    <n v="28647.186052320001"/>
    <n v="28647.186052320001"/>
    <n v="0"/>
    <n v="0"/>
    <n v="0"/>
    <n v="0"/>
    <n v="0"/>
    <n v="0"/>
    <n v="28647"/>
    <n v="0"/>
    <n v="0"/>
    <n v="2"/>
    <n v="0"/>
    <n v="0"/>
    <n v="0"/>
    <n v="4.7609658429417587E-5"/>
    <n v="1"/>
    <m/>
    <s v="Alauli "/>
    <m/>
    <n v="0"/>
  </r>
  <r>
    <s v="Munger"/>
    <s v="01-02 Apr"/>
    <n v="1054"/>
    <s v="Alauli "/>
    <x v="426"/>
    <s v="Gomukh Bishanpur"/>
    <s v="MPG"/>
    <s v="Direct"/>
    <n v="79"/>
    <n v="3070.83"/>
    <n v="79.940000000000012"/>
    <n v="3352.3974647007817"/>
    <n v="0"/>
    <n v="0"/>
    <n v="79.940000000000012"/>
    <n v="3352.3974647007817"/>
    <n v="3070.83"/>
    <n v="0"/>
    <n v="0"/>
    <n v="281.56746470078178"/>
    <n v="0"/>
    <n v="0"/>
    <n v="0"/>
    <n v="3071"/>
    <n v="0"/>
    <n v="0"/>
    <n v="0"/>
    <n v="0"/>
    <n v="94.068463291139238"/>
    <n v="39.5"/>
    <n v="-9.1690997124810492E-2"/>
    <n v="2"/>
    <m/>
    <s v="Alauli "/>
    <m/>
    <n v="0"/>
  </r>
  <r>
    <s v="Munger"/>
    <s v="01-02 Apr"/>
    <n v="1054"/>
    <s v="Alauli "/>
    <x v="427"/>
    <s v="GOMUKH BISHANPUR 2"/>
    <s v="MPG"/>
    <s v="Direct"/>
    <n v="141.5"/>
    <n v="5730.7400000000007"/>
    <n v="141.54"/>
    <n v="6172.0375392769911"/>
    <n v="0.61"/>
    <n v="23.673532212000005"/>
    <n v="142.15"/>
    <n v="6195.7110714889914"/>
    <n v="5730.7400000000007"/>
    <n v="0"/>
    <n v="23.673532212000005"/>
    <n v="464.97107148899067"/>
    <n v="0"/>
    <n v="0"/>
    <n v="0"/>
    <n v="5707"/>
    <n v="0"/>
    <n v="0"/>
    <n v="0"/>
    <s v="Release1"/>
    <n v="47.384917314487637"/>
    <n v="70.75"/>
    <n v="-8.1136305518831886E-2"/>
    <n v="10"/>
    <m/>
    <s v="Alauli "/>
    <m/>
    <n v="0"/>
  </r>
  <r>
    <s v="Munger"/>
    <s v="01-02 Apr"/>
    <n v="1055"/>
    <s v="Matihani"/>
    <x v="428"/>
    <s v="DAYA DEVI"/>
    <s v="vlc"/>
    <s v="Indirect"/>
    <n v="56.2"/>
    <n v="2226.0100000000002"/>
    <n v="0"/>
    <n v="0"/>
    <n v="0"/>
    <n v="0"/>
    <n v="0"/>
    <n v="0"/>
    <n v="2226.0100000000002"/>
    <n v="0"/>
    <n v="0"/>
    <n v="0"/>
    <n v="0"/>
    <n v="0"/>
    <n v="0"/>
    <n v="0"/>
    <n v="0"/>
    <n v="2226.0100000000002"/>
    <n v="0"/>
    <n v="0"/>
    <n v="113.91467544483987"/>
    <n v="28.1"/>
    <n v="0"/>
    <n v="0"/>
    <m/>
    <s v="Matihani"/>
    <m/>
    <n v="0"/>
  </r>
  <r>
    <s v="Munger"/>
    <s v="01-02 Apr"/>
    <n v="1054"/>
    <s v="Alauli "/>
    <x v="429"/>
    <s v="GOMUKH GHAMARIYA"/>
    <s v="MPG"/>
    <s v="Direct"/>
    <n v="80.599999999999994"/>
    <n v="3400.98"/>
    <n v="79.84"/>
    <n v="3493.5398746567298"/>
    <n v="1.1500000000000001"/>
    <n v="52.395680022000008"/>
    <n v="80.990000000000009"/>
    <n v="3545.9355546787297"/>
    <n v="3400.98"/>
    <n v="0"/>
    <n v="52.395680022000008"/>
    <n v="144.95555467872964"/>
    <n v="0"/>
    <n v="0"/>
    <n v="0"/>
    <n v="3349"/>
    <n v="0"/>
    <n v="0"/>
    <n v="0"/>
    <n v="0"/>
    <n v="100.76352655086851"/>
    <n v="40.299999999999997"/>
    <n v="-4.2621701591520574E-2"/>
    <n v="6"/>
    <m/>
    <s v="Alauli "/>
    <m/>
    <n v="0"/>
  </r>
  <r>
    <s v="Munger"/>
    <s v="01-02 Apr"/>
    <n v="1054"/>
    <s v="Alauli "/>
    <x v="430"/>
    <s v="GOMUKH MEGHAUMA"/>
    <s v="MPG"/>
    <s v="Direct"/>
    <n v="279.7"/>
    <n v="11667.699999999999"/>
    <n v="275.35000000000002"/>
    <n v="11592.896402971517"/>
    <n v="3.7700000000000005"/>
    <n v="170.49049088590002"/>
    <n v="279.12"/>
    <n v="11763.386893857418"/>
    <n v="11667.699999999999"/>
    <n v="0"/>
    <n v="170.49049088590002"/>
    <n v="95.686893857418909"/>
    <n v="0"/>
    <n v="0"/>
    <n v="0"/>
    <n v="11497"/>
    <n v="0"/>
    <n v="0"/>
    <n v="0"/>
    <n v="0"/>
    <n v="0"/>
    <n v="0"/>
    <n v="-8.2010073842675862E-3"/>
    <n v="21"/>
    <m/>
    <s v="Alauli "/>
    <m/>
    <n v="0"/>
  </r>
  <r>
    <s v="Munger"/>
    <s v="01-02 Apr"/>
    <n v="1054"/>
    <s v="Alauli "/>
    <x v="431"/>
    <s v="GOMUKH BEHORBA"/>
    <s v="MPG"/>
    <s v="Direct"/>
    <n v="342.5"/>
    <n v="12759.75"/>
    <n v="342.04999999999995"/>
    <n v="12659.271568198199"/>
    <n v="0"/>
    <n v="0"/>
    <n v="342.04999999999995"/>
    <n v="12659.271568198199"/>
    <n v="12659.271568198199"/>
    <n v="0"/>
    <n v="0"/>
    <n v="0"/>
    <n v="0"/>
    <n v="0"/>
    <n v="0"/>
    <n v="12658"/>
    <n v="0"/>
    <n v="0"/>
    <n v="102"/>
    <n v="0"/>
    <n v="0"/>
    <n v="0"/>
    <n v="7.874639534614784E-3"/>
    <n v="6"/>
    <m/>
    <s v="Alauli "/>
    <m/>
    <n v="0"/>
  </r>
  <r>
    <s v="Munger"/>
    <s v="01-02 Apr"/>
    <n v="1055"/>
    <s v="Matihani"/>
    <x v="432"/>
    <s v="GOMUKH SONAPUR BHARAT"/>
    <s v="MPG"/>
    <s v="Direct"/>
    <n v="29"/>
    <n v="1225.55"/>
    <n v="29.310000000000002"/>
    <n v="1240.0989658200001"/>
    <n v="0"/>
    <n v="0"/>
    <n v="29.310000000000002"/>
    <n v="1240.0989658200001"/>
    <n v="1225.55"/>
    <n v="0"/>
    <n v="0"/>
    <n v="14.548965820000149"/>
    <n v="0"/>
    <n v="0"/>
    <n v="0"/>
    <n v="1226"/>
    <n v="0"/>
    <n v="0"/>
    <n v="0"/>
    <s v="Release1"/>
    <n v="144.53037931034481"/>
    <n v="14.5"/>
    <n v="-1.1871376785932967E-2"/>
    <n v="1"/>
    <m/>
    <s v="Matihani"/>
    <m/>
    <n v="0"/>
  </r>
  <r>
    <s v="Munger"/>
    <s v="01-02 Apr"/>
    <n v="1011"/>
    <s v="Sahibpur Kamal"/>
    <x v="433"/>
    <s v="GOMUKH SAIDPUR SAMASTIPUR"/>
    <s v="MPG"/>
    <s v="Direct"/>
    <n v="1425.6"/>
    <n v="53372.469999999994"/>
    <n v="1423.5"/>
    <n v="53365.708796400002"/>
    <n v="0"/>
    <n v="0"/>
    <n v="1423.5"/>
    <n v="53365.708796400002"/>
    <n v="53365.708796400002"/>
    <n v="0"/>
    <n v="0"/>
    <n v="0"/>
    <n v="0"/>
    <n v="0"/>
    <n v="0"/>
    <n v="53366"/>
    <n v="0"/>
    <n v="0"/>
    <n v="6"/>
    <n v="0"/>
    <n v="0"/>
    <n v="0"/>
    <n v="1.266796084196939E-4"/>
    <n v="1"/>
    <m/>
    <s v="Sahibpur Kamal"/>
    <m/>
    <n v="0"/>
  </r>
  <r>
    <s v="Munger"/>
    <s v="01-02 Apr"/>
    <n v="1054"/>
    <s v="Alauli "/>
    <x v="434"/>
    <s v="GOMUKH SAHARBANNI"/>
    <s v="MPG"/>
    <s v="Direct"/>
    <n v="62.8"/>
    <n v="2774.02"/>
    <n v="164.19"/>
    <n v="6905.7262752399502"/>
    <n v="0"/>
    <n v="0"/>
    <n v="164.19"/>
    <n v="6905.7262752399502"/>
    <n v="2774.02"/>
    <n v="0"/>
    <n v="0"/>
    <n v="4131.7062752399506"/>
    <n v="0"/>
    <n v="0"/>
    <n v="0"/>
    <n v="2774"/>
    <n v="0"/>
    <n v="0"/>
    <n v="0"/>
    <n v="0"/>
    <n v="121.20877197452229"/>
    <n v="31.4"/>
    <n v="-1.489429158852478"/>
    <n v="3"/>
    <m/>
    <s v="Alauli "/>
    <m/>
    <n v="0"/>
  </r>
  <r>
    <s v="Munger"/>
    <s v="01-02 Apr"/>
    <n v="1054"/>
    <s v="Alauli "/>
    <x v="435"/>
    <s v="GOMUKH PHULTAURA"/>
    <s v="MPG"/>
    <s v="Direct"/>
    <n v="131.39999999999998"/>
    <n v="4933.59"/>
    <n v="29.93"/>
    <n v="1490.7955924123999"/>
    <n v="102.47"/>
    <n v="4249.097814152401"/>
    <n v="132.4"/>
    <n v="5739.8934065648009"/>
    <n v="4933.59"/>
    <n v="0"/>
    <n v="0"/>
    <n v="806.30340656480075"/>
    <n v="0"/>
    <n v="0"/>
    <n v="0"/>
    <n v="686"/>
    <n v="4248"/>
    <n v="0"/>
    <n v="0"/>
    <n v="0"/>
    <n v="51.513588127853907"/>
    <n v="65.699999999999989"/>
    <n v="-0.16343137686042025"/>
    <n v="4"/>
    <m/>
    <s v="Alauli "/>
    <m/>
    <n v="0"/>
  </r>
  <r>
    <s v="Munger"/>
    <s v="01-02 Apr"/>
    <n v="1011"/>
    <s v="Sahibpur Kamal"/>
    <x v="436"/>
    <s v="Jangli Tol Vlc "/>
    <s v="vlc"/>
    <s v="Indirect"/>
    <n v="428.3"/>
    <n v="16549.93"/>
    <n v="0"/>
    <n v="0"/>
    <n v="0"/>
    <n v="0"/>
    <n v="0"/>
    <n v="0"/>
    <n v="16549.93"/>
    <n v="0"/>
    <n v="0"/>
    <n v="0"/>
    <n v="0"/>
    <n v="0"/>
    <n v="0"/>
    <n v="0"/>
    <n v="0"/>
    <n v="16549.93"/>
    <n v="0"/>
    <n v="0"/>
    <n v="0"/>
    <n v="0"/>
    <n v="0"/>
    <n v="0"/>
    <m/>
    <s v="Sahibpur Kamal"/>
    <m/>
    <n v="0"/>
  </r>
  <r>
    <s v="Munger"/>
    <s v="01-02 Apr"/>
    <n v="1055"/>
    <s v="Matihani"/>
    <x v="437"/>
    <s v="DILKHUSH KUMAR "/>
    <s v="vlc"/>
    <s v="Indirect"/>
    <n v="237.1"/>
    <n v="8785.89"/>
    <n v="0"/>
    <n v="0"/>
    <n v="0"/>
    <n v="0"/>
    <n v="0"/>
    <n v="0"/>
    <n v="8785.89"/>
    <n v="0"/>
    <n v="0"/>
    <n v="0"/>
    <n v="0"/>
    <n v="0"/>
    <n v="0"/>
    <n v="0"/>
    <n v="0"/>
    <n v="8785.89"/>
    <n v="0"/>
    <n v="0"/>
    <n v="0"/>
    <n v="0"/>
    <n v="0"/>
    <n v="0"/>
    <m/>
    <s v="Matihani"/>
    <m/>
    <n v="0"/>
  </r>
  <r>
    <s v="Munger"/>
    <s v="01-02 Apr"/>
    <n v="1011"/>
    <s v="Sahibpur Kamal"/>
    <x v="438"/>
    <s v="GOMUKH CHOWKI 2"/>
    <s v="MPG"/>
    <s v="Direct"/>
    <n v="1678"/>
    <n v="64724.29"/>
    <n v="1487.0399999999997"/>
    <n v="57391.63126819826"/>
    <n v="202.76"/>
    <n v="8463.2327255503424"/>
    <n v="1689.7999999999997"/>
    <n v="65854.8639937486"/>
    <n v="64724.29"/>
    <n v="0"/>
    <n v="0"/>
    <n v="1130.5739937485996"/>
    <n v="0"/>
    <n v="0"/>
    <n v="0"/>
    <n v="56261"/>
    <n v="8463"/>
    <n v="0"/>
    <n v="0"/>
    <n v="0"/>
    <n v="0"/>
    <n v="0"/>
    <n v="-1.7467537979151251E-2"/>
    <n v="26"/>
    <m/>
    <s v="Sahibpur Kamal"/>
    <m/>
    <n v="0"/>
  </r>
  <r>
    <s v="Munger"/>
    <s v="01-02 Apr"/>
    <n v="1011"/>
    <s v="Sahibpur Kamal"/>
    <x v="439"/>
    <s v="GOMUKH MOHABA"/>
    <s v="MPG"/>
    <s v="Direct"/>
    <n v="475.1"/>
    <n v="17592.43"/>
    <n v="453.89"/>
    <n v="17053.489715724005"/>
    <n v="19.47"/>
    <n v="730.55146467600002"/>
    <n v="473.36"/>
    <n v="17784.041180400003"/>
    <n v="17592.43"/>
    <n v="0"/>
    <n v="113.99191570800002"/>
    <n v="191.61118040000292"/>
    <n v="0"/>
    <n v="0"/>
    <n v="0"/>
    <n v="16861"/>
    <n v="617"/>
    <n v="0"/>
    <n v="0"/>
    <n v="0"/>
    <n v="0"/>
    <n v="0"/>
    <n v="-1.0891683547980747E-2"/>
    <n v="5"/>
    <m/>
    <s v="Sahibpur Kamal"/>
    <m/>
    <n v="0"/>
  </r>
  <r>
    <s v="Munger"/>
    <s v="01-02 Apr"/>
    <n v="1011"/>
    <s v="Sahibpur Kamal"/>
    <x v="440"/>
    <s v="SANHA VLC"/>
    <s v="vlc"/>
    <s v="Indirect"/>
    <n v="294.70000000000005"/>
    <n v="10235.359999999999"/>
    <n v="0"/>
    <n v="0"/>
    <n v="0"/>
    <n v="0"/>
    <n v="0"/>
    <n v="0"/>
    <n v="10235.359999999999"/>
    <n v="0"/>
    <n v="0"/>
    <n v="0"/>
    <n v="0"/>
    <n v="0"/>
    <n v="0"/>
    <n v="0"/>
    <n v="0"/>
    <n v="10235.359999999999"/>
    <n v="0"/>
    <n v="0"/>
    <n v="0"/>
    <n v="0"/>
    <n v="0"/>
    <n v="0"/>
    <m/>
    <s v="Sahibpur Kamal"/>
    <m/>
    <n v="0"/>
  </r>
  <r>
    <s v="Munger"/>
    <s v="01-02 Apr"/>
    <n v="1011"/>
    <s v="Sahibpur Kamal"/>
    <x v="441"/>
    <s v="MOHANPUR VLC"/>
    <s v="vlc"/>
    <s v="Indirect"/>
    <n v="251.59999999999997"/>
    <n v="9044.4"/>
    <n v="0"/>
    <n v="0"/>
    <n v="0"/>
    <n v="0"/>
    <n v="0"/>
    <n v="0"/>
    <n v="9044.4"/>
    <n v="0"/>
    <n v="0"/>
    <n v="0"/>
    <n v="0"/>
    <n v="0"/>
    <n v="0"/>
    <n v="0"/>
    <n v="0"/>
    <n v="9044.4"/>
    <n v="0"/>
    <n v="0"/>
    <n v="0"/>
    <n v="0"/>
    <n v="0"/>
    <n v="0"/>
    <m/>
    <s v="Sahibpur Kamal"/>
    <m/>
    <n v="0"/>
  </r>
  <r>
    <s v="Munger"/>
    <s v="01-02 Apr"/>
    <n v="1011"/>
    <s v="Sahibpur Kamal"/>
    <x v="442"/>
    <s v="GOMUKH JANGLITOL"/>
    <s v="MPG"/>
    <s v="Direct"/>
    <n v="82.2"/>
    <n v="3354.4400000000005"/>
    <n v="74"/>
    <n v="3019.3189488000003"/>
    <n v="0"/>
    <n v="0"/>
    <n v="74"/>
    <n v="3019.3189488000003"/>
    <n v="3019.3189488000003"/>
    <n v="0"/>
    <n v="0"/>
    <n v="0"/>
    <n v="0"/>
    <n v="0"/>
    <n v="0"/>
    <n v="3019"/>
    <n v="0"/>
    <n v="0"/>
    <n v="335"/>
    <n v="0"/>
    <n v="96.144290024330914"/>
    <n v="41.1"/>
    <n v="9.9903724973468055E-2"/>
    <n v="3"/>
    <m/>
    <s v="Sahibpur Kamal"/>
    <m/>
    <n v="0"/>
  </r>
  <r>
    <s v="Munger"/>
    <s v="01-02 Apr"/>
    <n v="1011"/>
    <s v="Sahibpur Kamal"/>
    <x v="443"/>
    <s v="Hiratol VLC"/>
    <s v="vlc"/>
    <s v="Indirect"/>
    <n v="75.199999999999989"/>
    <n v="2580.14"/>
    <n v="0"/>
    <n v="0"/>
    <n v="0"/>
    <n v="0"/>
    <n v="0"/>
    <n v="0"/>
    <n v="2580.14"/>
    <n v="0"/>
    <n v="0"/>
    <n v="0"/>
    <n v="0"/>
    <n v="0"/>
    <n v="0"/>
    <n v="0"/>
    <n v="0"/>
    <n v="2580.14"/>
    <n v="0"/>
    <n v="0"/>
    <n v="85.638689361702149"/>
    <n v="37.599999999999994"/>
    <n v="0"/>
    <n v="0"/>
    <m/>
    <s v="Sahibpur Kamal"/>
    <m/>
    <n v="0"/>
  </r>
  <r>
    <s v="Munger"/>
    <s v="01-02 Apr"/>
    <n v="1011"/>
    <s v="Sahibpur Kamal"/>
    <x v="444"/>
    <s v="Gomukh Raghunathpur 2 "/>
    <s v="MPG"/>
    <s v="Direct"/>
    <n v="7.3"/>
    <n v="341.34000000000003"/>
    <n v="7.3"/>
    <n v="341.33416679999999"/>
    <n v="0"/>
    <n v="0"/>
    <n v="7.3"/>
    <n v="341.33416679999999"/>
    <n v="341.33416679999999"/>
    <n v="0"/>
    <n v="0"/>
    <n v="0"/>
    <n v="0"/>
    <n v="0"/>
    <n v="0"/>
    <n v="341"/>
    <n v="0"/>
    <n v="0"/>
    <n v="0"/>
    <n v="0"/>
    <n v="180.20881643835619"/>
    <n v="3.65"/>
    <n v="1.7089119353256301E-5"/>
    <n v="1"/>
    <m/>
    <s v="Sahibpur Kamal"/>
    <m/>
    <n v="0"/>
  </r>
  <r>
    <s v="Munger"/>
    <s v="01-02 Apr"/>
    <n v="1011"/>
    <s v="Sahibpur Kamal"/>
    <x v="445"/>
    <s v="GOMUKH BARBIGHI"/>
    <s v="MPG"/>
    <s v="Direct"/>
    <n v="489.59999999999997"/>
    <n v="18789.16"/>
    <n v="492"/>
    <n v="18769.355035200002"/>
    <n v="0"/>
    <n v="0"/>
    <n v="492"/>
    <n v="18769.355035200002"/>
    <n v="18769.355035200002"/>
    <n v="0"/>
    <n v="0"/>
    <n v="0"/>
    <n v="0"/>
    <n v="0"/>
    <n v="0"/>
    <n v="18769"/>
    <n v="0"/>
    <n v="0"/>
    <n v="20"/>
    <n v="0"/>
    <n v="0"/>
    <n v="0"/>
    <n v="1.0540633429061137E-3"/>
    <n v="1"/>
    <m/>
    <s v="Sahibpur Kamal"/>
    <m/>
    <n v="0"/>
  </r>
  <r>
    <s v="Munger"/>
    <s v="01-02 Apr"/>
    <n v="1011"/>
    <s v="Sahibpur Kamal"/>
    <x v="446"/>
    <s v="Tetri"/>
    <s v="MPG"/>
    <s v="Direct"/>
    <n v="39"/>
    <n v="2157.2600000000002"/>
    <n v="38"/>
    <n v="2096.38336768"/>
    <n v="0"/>
    <n v="0"/>
    <n v="38"/>
    <n v="2096.38336768"/>
    <n v="2096.38336768"/>
    <n v="0"/>
    <n v="0"/>
    <n v="0"/>
    <n v="0"/>
    <n v="0"/>
    <n v="0"/>
    <n v="2096"/>
    <n v="0"/>
    <n v="0"/>
    <n v="61"/>
    <n v="0"/>
    <n v="178.11223589743594"/>
    <n v="19.5"/>
    <n v="2.8219422934648682E-2"/>
    <n v="1"/>
    <m/>
    <s v="Sahibpur Kamal"/>
    <m/>
    <n v="0"/>
  </r>
  <r>
    <s v="Munger"/>
    <s v="01-02 Apr"/>
    <n v="1011"/>
    <s v="Sahibpur Kamal"/>
    <x v="447"/>
    <s v="Dandari-2"/>
    <s v="MPG"/>
    <s v="Direct"/>
    <n v="125.20000000000002"/>
    <n v="4603.7699999999995"/>
    <n v="124.50000000000001"/>
    <n v="4716.5485791600013"/>
    <n v="0"/>
    <n v="0"/>
    <n v="124.50000000000001"/>
    <n v="4716.5485791600013"/>
    <n v="4603.7699999999995"/>
    <n v="0"/>
    <n v="0"/>
    <n v="112.77857916000175"/>
    <n v="0"/>
    <n v="0"/>
    <n v="0"/>
    <n v="4604"/>
    <n v="0"/>
    <n v="0"/>
    <n v="0"/>
    <s v="Release1"/>
    <n v="55.009903514376973"/>
    <n v="62.600000000000009"/>
    <n v="-2.4497005532422723E-2"/>
    <n v="1"/>
    <m/>
    <s v="Sahibpur Kamal"/>
    <m/>
    <n v="0"/>
  </r>
  <r>
    <s v="Munger"/>
    <s v="01-02 Apr"/>
    <n v="1011"/>
    <s v="Sahibpur Kamal"/>
    <x v="448"/>
    <s v="Barkhanditol"/>
    <s v="vlc"/>
    <s v="Indirect"/>
    <n v="296.70000000000005"/>
    <n v="12213.11"/>
    <n v="0"/>
    <n v="0"/>
    <n v="0"/>
    <n v="0"/>
    <n v="0"/>
    <n v="0"/>
    <n v="12213.11"/>
    <n v="0"/>
    <n v="0"/>
    <n v="0"/>
    <n v="0"/>
    <n v="0"/>
    <n v="0"/>
    <n v="0"/>
    <n v="0"/>
    <n v="12213.11"/>
    <n v="0"/>
    <n v="0"/>
    <n v="0"/>
    <n v="0"/>
    <n v="0"/>
    <n v="0"/>
    <m/>
    <s v="Sahibpur Kamal"/>
    <m/>
    <n v="0"/>
  </r>
  <r>
    <s v="Munger"/>
    <s v="01-02 Apr"/>
    <n v="1011"/>
    <s v="Sahibpur Kamal"/>
    <x v="449"/>
    <s v="Chauki-VLC"/>
    <s v="vlc"/>
    <s v="Indirect"/>
    <n v="178.4"/>
    <n v="6605.87"/>
    <n v="0"/>
    <n v="0"/>
    <n v="0"/>
    <n v="0"/>
    <n v="0"/>
    <n v="0"/>
    <n v="6605.87"/>
    <n v="0"/>
    <n v="0"/>
    <n v="0"/>
    <n v="0"/>
    <n v="0"/>
    <n v="0"/>
    <n v="0"/>
    <n v="0"/>
    <n v="6605.87"/>
    <n v="0"/>
    <n v="0"/>
    <n v="15.99627713004484"/>
    <n v="89.2"/>
    <n v="0"/>
    <n v="0"/>
    <m/>
    <s v="Sahibpur Kamal"/>
    <m/>
    <n v="0"/>
  </r>
  <r>
    <s v="Munger"/>
    <s v="01-02 Apr"/>
    <n v="1011"/>
    <s v="Sahibpur Kamal"/>
    <x v="450"/>
    <s v="Hardia"/>
    <s v="MPG"/>
    <s v="Direct"/>
    <n v="167.29999999999998"/>
    <n v="7361.91"/>
    <n v="166.20000000000002"/>
    <n v="7425.5132991619994"/>
    <n v="0"/>
    <n v="0"/>
    <n v="166.20000000000002"/>
    <n v="7425.5132991619994"/>
    <n v="7361.91"/>
    <n v="0"/>
    <n v="0"/>
    <n v="63.60329916199953"/>
    <n v="0"/>
    <n v="0"/>
    <n v="0"/>
    <n v="7362"/>
    <n v="0"/>
    <n v="0"/>
    <n v="0"/>
    <n v="0"/>
    <n v="28.778775493126137"/>
    <n v="83.649999999999991"/>
    <n v="-8.6395105566353745E-3"/>
    <n v="1"/>
    <m/>
    <s v="Sahibpur Kamal"/>
    <m/>
    <n v="0"/>
  </r>
  <r>
    <s v="Munger"/>
    <s v="01-02 Apr"/>
    <n v="1011"/>
    <s v="Sahibpur Kamal"/>
    <x v="451"/>
    <s v="Pachveer"/>
    <s v="vlc"/>
    <s v="Indirect"/>
    <n v="3498.2999999999997"/>
    <n v="126963.48000000001"/>
    <n v="0"/>
    <n v="0"/>
    <n v="0"/>
    <n v="0"/>
    <n v="0"/>
    <n v="0"/>
    <n v="126963.48000000001"/>
    <n v="0"/>
    <n v="0"/>
    <n v="0"/>
    <n v="0"/>
    <n v="0"/>
    <n v="0"/>
    <n v="0"/>
    <n v="0"/>
    <n v="126963.48000000001"/>
    <n v="0"/>
    <n v="0"/>
    <n v="0"/>
    <n v="0"/>
    <n v="0"/>
    <n v="0"/>
    <m/>
    <s v="Sahibpur Kamal"/>
    <m/>
    <n v="0"/>
  </r>
  <r>
    <s v="Munger"/>
    <s v="01-02 Apr"/>
    <n v="1011"/>
    <s v="Sahibpur Kamal"/>
    <x v="452"/>
    <s v="Barkhaditol-3"/>
    <s v="vlc"/>
    <s v="Indirect"/>
    <n v="318.39999999999998"/>
    <n v="13693.789999999999"/>
    <n v="0"/>
    <n v="0"/>
    <n v="0"/>
    <n v="0"/>
    <n v="0"/>
    <n v="0"/>
    <n v="13693.789999999999"/>
    <n v="0"/>
    <n v="0"/>
    <n v="0"/>
    <n v="0"/>
    <n v="0"/>
    <n v="0"/>
    <n v="0"/>
    <n v="0"/>
    <n v="13693.789999999999"/>
    <n v="0"/>
    <n v="0"/>
    <n v="0"/>
    <n v="0"/>
    <n v="0"/>
    <n v="0"/>
    <m/>
    <s v="Sahibpur Kamal"/>
    <m/>
    <n v="0"/>
  </r>
  <r>
    <s v="Munger"/>
    <s v="01-02 Apr"/>
    <n v="1011"/>
    <s v="Sahibpur Kamal"/>
    <x v="453"/>
    <s v="Gomukh Mirjapur Bari"/>
    <s v="MPG"/>
    <s v="Direct"/>
    <n v="48.2"/>
    <n v="1796.16"/>
    <n v="96.4"/>
    <n v="3596.7326472"/>
    <n v="0"/>
    <n v="0"/>
    <n v="96.4"/>
    <n v="3596.7326472"/>
    <n v="1796.16"/>
    <n v="0"/>
    <n v="0"/>
    <n v="1800.5726471999999"/>
    <n v="0"/>
    <n v="0"/>
    <n v="0"/>
    <n v="1796"/>
    <n v="0"/>
    <n v="0"/>
    <n v="0"/>
    <n v="0"/>
    <n v="113.13572116182576"/>
    <n v="24.1"/>
    <n v="-1.0024567116515231"/>
    <n v="1"/>
    <m/>
    <s v="Sahibpur Kamal"/>
    <m/>
    <n v="0"/>
  </r>
  <r>
    <s v="Munger"/>
    <s v="01-02 Apr"/>
    <n v="1011"/>
    <s v="Sahibpur Kamal"/>
    <x v="454"/>
    <s v="Mathar-3"/>
    <s v="vlc"/>
    <s v="Indirect"/>
    <n v="979.59999999999991"/>
    <n v="40603.149999999994"/>
    <n v="0"/>
    <n v="0"/>
    <n v="0"/>
    <n v="0"/>
    <n v="0"/>
    <n v="0"/>
    <n v="40603.149999999994"/>
    <n v="0"/>
    <n v="0"/>
    <n v="0"/>
    <n v="0"/>
    <n v="0"/>
    <n v="0"/>
    <n v="0"/>
    <n v="0"/>
    <n v="40603.149999999994"/>
    <n v="0"/>
    <n v="0"/>
    <n v="0"/>
    <n v="0"/>
    <n v="0"/>
    <n v="0"/>
    <m/>
    <s v="Sahibpur Kamal"/>
    <m/>
    <n v="0"/>
  </r>
  <r>
    <s v="Munger"/>
    <s v="01-02 Apr"/>
    <n v="1011"/>
    <s v="Sahibpur Kamal"/>
    <x v="455"/>
    <s v="Ahoghat"/>
    <s v="vlc"/>
    <s v="Indirect"/>
    <n v="82.4"/>
    <n v="3310.84"/>
    <n v="0"/>
    <n v="0"/>
    <n v="0"/>
    <n v="0"/>
    <n v="0"/>
    <n v="0"/>
    <n v="3310.84"/>
    <n v="0"/>
    <n v="0"/>
    <n v="0"/>
    <n v="0"/>
    <n v="0"/>
    <n v="0"/>
    <n v="0"/>
    <n v="0"/>
    <n v="3310.84"/>
    <n v="0"/>
    <n v="0"/>
    <n v="94.503588349514558"/>
    <n v="41.2"/>
    <n v="0"/>
    <n v="0"/>
    <m/>
    <s v="Sahibpur Kamal"/>
    <m/>
    <n v="0"/>
  </r>
  <r>
    <s v="Munger"/>
    <s v="01-02 Apr"/>
    <n v="1011"/>
    <s v="Sahibpur Kamal"/>
    <x v="456"/>
    <s v="Mathar-4"/>
    <s v="vlc"/>
    <s v="Indirect"/>
    <n v="104.5"/>
    <n v="3965.6900000000005"/>
    <n v="0"/>
    <n v="0"/>
    <n v="0"/>
    <n v="0"/>
    <n v="0"/>
    <n v="0"/>
    <n v="3965.6900000000005"/>
    <n v="0"/>
    <n v="0"/>
    <n v="0"/>
    <n v="0"/>
    <n v="0"/>
    <n v="0"/>
    <n v="0"/>
    <n v="0"/>
    <n v="3965.6900000000005"/>
    <n v="0"/>
    <n v="0"/>
    <n v="72.482946411483269"/>
    <n v="52.25"/>
    <n v="0"/>
    <n v="0"/>
    <m/>
    <s v="Sahibpur Kamal"/>
    <m/>
    <n v="0"/>
  </r>
  <r>
    <s v="Munger"/>
    <s v="01-02 Apr"/>
    <n v="1012"/>
    <s v="DalsinghSarai"/>
    <x v="457"/>
    <s v="GOMUKH SUBHANPUR"/>
    <s v="vlc"/>
    <s v="Indirect"/>
    <n v="21.58"/>
    <n v="978.81999999999994"/>
    <n v="0"/>
    <n v="0"/>
    <n v="0"/>
    <n v="0"/>
    <n v="0"/>
    <n v="0"/>
    <n v="978.81999999999994"/>
    <n v="0"/>
    <n v="0"/>
    <n v="0"/>
    <n v="0"/>
    <n v="0"/>
    <n v="0"/>
    <n v="0"/>
    <n v="0"/>
    <n v="978.81999999999994"/>
    <n v="0"/>
    <n v="0"/>
    <n v="161.85455458758111"/>
    <n v="10.79"/>
    <n v="0"/>
    <n v="0"/>
    <m/>
    <s v="DalsinghSarai"/>
    <m/>
    <n v="0"/>
  </r>
  <r>
    <s v="Munger"/>
    <s v="01-02 Apr"/>
    <n v="1012"/>
    <s v="DalsinghSarai"/>
    <x v="458"/>
    <s v="GOMUKH  BHAJANGAMA"/>
    <s v="vlc"/>
    <s v="Indirect"/>
    <n v="181.29999999999998"/>
    <n v="6940.02"/>
    <n v="0"/>
    <n v="0"/>
    <n v="0"/>
    <n v="0"/>
    <n v="0"/>
    <n v="0"/>
    <n v="6940.02"/>
    <n v="0"/>
    <n v="0"/>
    <n v="0"/>
    <n v="0"/>
    <n v="0"/>
    <n v="0"/>
    <n v="0"/>
    <n v="0"/>
    <n v="6940.02"/>
    <n v="0"/>
    <n v="0"/>
    <n v="14.316422945394391"/>
    <n v="90.649999999999991"/>
    <n v="0"/>
    <n v="0"/>
    <m/>
    <s v="DalsinghSarai"/>
    <m/>
    <n v="0"/>
  </r>
  <r>
    <s v="Munger"/>
    <s v="01-02 Apr"/>
    <n v="1012"/>
    <s v="DalsinghSarai"/>
    <x v="459"/>
    <s v="Gomukh Chora Tabhka"/>
    <s v="vlc"/>
    <s v="Indirect"/>
    <n v="54"/>
    <n v="1488.56"/>
    <n v="0"/>
    <n v="0"/>
    <n v="0"/>
    <n v="0"/>
    <n v="0"/>
    <n v="0"/>
    <n v="1488.56"/>
    <n v="0"/>
    <n v="0"/>
    <n v="0"/>
    <n v="0"/>
    <n v="0"/>
    <n v="0"/>
    <n v="0"/>
    <n v="0"/>
    <n v="1488.56"/>
    <n v="0"/>
    <n v="0"/>
    <n v="80.492503703703704"/>
    <n v="27"/>
    <n v="0"/>
    <n v="0"/>
    <m/>
    <s v="DalsinghSarai"/>
    <m/>
    <n v="0"/>
  </r>
  <r>
    <s v="Munger"/>
    <s v="01-02 Apr"/>
    <n v="1012"/>
    <s v="DalsinghSarai"/>
    <x v="460"/>
    <s v="Gomukh Basadhiya Kurni"/>
    <s v="MPG"/>
    <s v="Direct"/>
    <n v="98.62"/>
    <n v="3847"/>
    <n v="110.08"/>
    <n v="4296.2877015894001"/>
    <n v="0"/>
    <n v="0"/>
    <n v="110.08"/>
    <n v="4296.2877015894001"/>
    <n v="3847"/>
    <n v="0"/>
    <n v="0"/>
    <n v="449.28770158940006"/>
    <n v="0"/>
    <n v="0"/>
    <n v="0"/>
    <n v="3847"/>
    <n v="0"/>
    <n v="0"/>
    <n v="0"/>
    <s v="Release1"/>
    <n v="79.093258973838971"/>
    <n v="49.31"/>
    <n v="-0.11678910880930597"/>
    <n v="4"/>
    <m/>
    <s v="DalsinghSarai"/>
    <m/>
    <n v="0"/>
  </r>
  <r>
    <s v="Munger"/>
    <s v="01-02 Apr"/>
    <n v="1012"/>
    <s v="DalsinghSarai"/>
    <x v="461"/>
    <s v="KHAJURI"/>
    <s v="MPG"/>
    <s v="Direct"/>
    <n v="113.11"/>
    <n v="4180.58"/>
    <n v="82.4"/>
    <n v="3223.4814396670008"/>
    <n v="25.4"/>
    <n v="939.6342978552002"/>
    <n v="107.80000000000001"/>
    <n v="4163.115737522201"/>
    <n v="4163.115737522201"/>
    <n v="0"/>
    <n v="63.031739760000015"/>
    <n v="0"/>
    <n v="0"/>
    <n v="0"/>
    <n v="0"/>
    <n v="3224"/>
    <n v="877"/>
    <n v="0"/>
    <n v="17"/>
    <n v="0"/>
    <n v="64.229616514897003"/>
    <n v="56.555"/>
    <n v="4.1774735749103981E-3"/>
    <n v="10"/>
    <m/>
    <s v="DalsinghSarai"/>
    <m/>
    <n v="0"/>
  </r>
  <r>
    <s v="Munger"/>
    <s v="01-02 Apr"/>
    <n v="1012"/>
    <s v="DalsinghSarai"/>
    <x v="462"/>
    <s v="ARMAULI-2"/>
    <s v="MPG"/>
    <s v="Direct"/>
    <n v="415.86"/>
    <n v="17120.349999999999"/>
    <n v="421.65000000000003"/>
    <n v="16839.794612173941"/>
    <n v="5.05"/>
    <n v="199.53014994000006"/>
    <n v="426.70000000000005"/>
    <n v="17039.324762113942"/>
    <n v="17039.324762113942"/>
    <n v="0"/>
    <n v="199.53014994000006"/>
    <n v="0"/>
    <n v="0"/>
    <n v="0"/>
    <n v="0"/>
    <n v="16838"/>
    <n v="0"/>
    <n v="0"/>
    <n v="83"/>
    <n v="0"/>
    <n v="0"/>
    <n v="0"/>
    <n v="4.7326858321270803E-3"/>
    <n v="37"/>
    <m/>
    <s v="DalsinghSarai"/>
    <m/>
    <n v="0"/>
  </r>
  <r>
    <s v="Munger"/>
    <s v="01-02 Apr"/>
    <n v="1012"/>
    <s v="DalsinghSarai"/>
    <x v="463"/>
    <s v="MUSAPUR - 2"/>
    <s v="vlc"/>
    <s v="Indirect"/>
    <n v="34.450000000000003"/>
    <n v="1194.99"/>
    <n v="0"/>
    <n v="0"/>
    <n v="0"/>
    <n v="0"/>
    <n v="0"/>
    <n v="0"/>
    <n v="1194.99"/>
    <n v="0"/>
    <n v="0"/>
    <n v="0"/>
    <n v="0"/>
    <n v="0"/>
    <n v="0"/>
    <n v="0"/>
    <n v="0"/>
    <n v="1194.99"/>
    <n v="0"/>
    <n v="0"/>
    <n v="114.85085312046444"/>
    <n v="17.225000000000001"/>
    <n v="0"/>
    <n v="0"/>
    <m/>
    <s v="DalsinghSarai"/>
    <m/>
    <n v="0"/>
  </r>
  <r>
    <s v="Munger"/>
    <s v="01-02 Apr"/>
    <n v="1012"/>
    <s v="DalsinghSarai"/>
    <x v="464"/>
    <s v="Janganath Pur"/>
    <s v="vlc"/>
    <s v="Indirect"/>
    <n v="720.32999999999993"/>
    <n v="30427.770000000004"/>
    <n v="0"/>
    <n v="0"/>
    <n v="0"/>
    <n v="0"/>
    <n v="0"/>
    <n v="0"/>
    <n v="30427.770000000004"/>
    <n v="0"/>
    <n v="0"/>
    <n v="0"/>
    <n v="0"/>
    <n v="0"/>
    <n v="0"/>
    <n v="0"/>
    <n v="0"/>
    <n v="30427.770000000004"/>
    <n v="0"/>
    <n v="0"/>
    <n v="0"/>
    <n v="0"/>
    <n v="0"/>
    <n v="0"/>
    <m/>
    <s v="DalsinghSarai"/>
    <m/>
    <n v="0"/>
  </r>
  <r>
    <s v="Munger"/>
    <s v="01-02 Apr"/>
    <n v="1012"/>
    <s v="DalsinghSarai"/>
    <x v="465"/>
    <s v="Nagargama"/>
    <s v="vlc"/>
    <s v="Indirect"/>
    <n v="189.41000000000003"/>
    <n v="7922.36"/>
    <n v="0"/>
    <n v="0"/>
    <n v="0"/>
    <n v="0"/>
    <n v="0"/>
    <n v="0"/>
    <n v="7922.36"/>
    <n v="0"/>
    <n v="0"/>
    <n v="0"/>
    <n v="0"/>
    <n v="0"/>
    <n v="0"/>
    <n v="0"/>
    <n v="0"/>
    <n v="7922.36"/>
    <n v="0"/>
    <n v="0"/>
    <n v="8.8588556464811568"/>
    <n v="94.705000000000013"/>
    <n v="0"/>
    <n v="0"/>
    <m/>
    <s v="DalsinghSarai"/>
    <m/>
    <n v="0"/>
  </r>
  <r>
    <s v="Munger"/>
    <s v="01-02 Apr"/>
    <n v="1012"/>
    <s v="DalsinghSarai"/>
    <x v="466"/>
    <s v="Sato Ghachchhi"/>
    <s v="MPG"/>
    <s v="Direct"/>
    <n v="238.29999999999998"/>
    <n v="10756.94"/>
    <n v="233.9"/>
    <n v="10660.425027821602"/>
    <n v="4.1000000000000005"/>
    <n v="181.71724685400002"/>
    <n v="238"/>
    <n v="10842.142274675602"/>
    <n v="10756.94"/>
    <n v="425"/>
    <n v="181.71724685400002"/>
    <n v="85.202274675601075"/>
    <n v="0"/>
    <n v="0"/>
    <n v="0"/>
    <n v="10150"/>
    <n v="0"/>
    <n v="0"/>
    <n v="0"/>
    <n v="0"/>
    <n v="0"/>
    <n v="0"/>
    <n v="-7.9206795497233484E-3"/>
    <n v="24"/>
    <m/>
    <s v="DalsinghSarai"/>
    <m/>
    <n v="0"/>
  </r>
  <r>
    <s v="Munger"/>
    <s v="01-02 Apr"/>
    <n v="1012"/>
    <s v="DalsinghSarai"/>
    <x v="467"/>
    <s v="Bhatgama"/>
    <s v="vlc"/>
    <s v="Indirect"/>
    <n v="168.03"/>
    <n v="5430.2800000000007"/>
    <n v="0"/>
    <n v="0"/>
    <n v="0"/>
    <n v="0"/>
    <n v="0"/>
    <n v="0"/>
    <n v="5430.2800000000007"/>
    <n v="0"/>
    <n v="0"/>
    <n v="0"/>
    <n v="0"/>
    <n v="0"/>
    <n v="0"/>
    <n v="0"/>
    <n v="0"/>
    <n v="5430.2800000000007"/>
    <n v="0"/>
    <n v="0"/>
    <n v="20.663697149318576"/>
    <n v="84.015000000000001"/>
    <n v="0"/>
    <n v="0"/>
    <m/>
    <s v="DalsinghSarai"/>
    <m/>
    <n v="0"/>
  </r>
  <r>
    <s v="Munger"/>
    <s v="01-02 Apr"/>
    <n v="1012"/>
    <s v="DalsinghSarai"/>
    <x v="468"/>
    <s v="Borna Rasalpur"/>
    <s v="MPG"/>
    <s v="Direct"/>
    <n v="349.55"/>
    <n v="14596.939999999999"/>
    <n v="179.4"/>
    <n v="7919.1777072110008"/>
    <n v="160.70000000000002"/>
    <n v="6706.7503778860009"/>
    <n v="340.1"/>
    <n v="14625.928085097003"/>
    <n v="14596.939999999999"/>
    <n v="0"/>
    <n v="0"/>
    <n v="28.988085097003932"/>
    <n v="0"/>
    <n v="0"/>
    <n v="0"/>
    <n v="7891"/>
    <n v="6706"/>
    <n v="0"/>
    <n v="0"/>
    <n v="0"/>
    <n v="0"/>
    <n v="0"/>
    <n v="-1.985901503808602E-3"/>
    <n v="9"/>
    <m/>
    <s v="DalsinghSarai"/>
    <m/>
    <n v="0"/>
  </r>
  <r>
    <s v="Munger"/>
    <s v="01-02 Apr"/>
    <n v="1012"/>
    <s v="DalsinghSarai"/>
    <x v="469"/>
    <s v="Rasalpur"/>
    <s v="MPG"/>
    <s v="Direct"/>
    <n v="372.77"/>
    <n v="14039.02"/>
    <n v="596.56000000000006"/>
    <n v="23368.770449455849"/>
    <n v="38.299999999999997"/>
    <n v="1483.8262361281002"/>
    <n v="634.86"/>
    <n v="24852.596685583951"/>
    <n v="14039.02"/>
    <n v="940"/>
    <n v="0"/>
    <n v="10813.57668558395"/>
    <n v="0"/>
    <n v="0"/>
    <n v="0"/>
    <n v="11616"/>
    <n v="1483"/>
    <n v="0"/>
    <n v="0"/>
    <s v="Release1"/>
    <n v="0"/>
    <n v="0"/>
    <n v="-0.77025153362442322"/>
    <n v="18"/>
    <m/>
    <s v="DalsinghSarai"/>
    <m/>
    <n v="0"/>
  </r>
  <r>
    <s v="Munger"/>
    <s v="01-02 Apr"/>
    <n v="1012"/>
    <s v="DalsinghSarai"/>
    <x v="470"/>
    <s v="Narahan"/>
    <s v="MPG"/>
    <s v="Direct"/>
    <n v="90.96"/>
    <n v="3604.21"/>
    <n v="91.31"/>
    <n v="3398.3592078744"/>
    <n v="0.92000000000000015"/>
    <n v="35.122407883200005"/>
    <n v="92.23"/>
    <n v="3433.4816157576001"/>
    <n v="3433.4816157576001"/>
    <n v="0"/>
    <n v="22.572586872000002"/>
    <n v="0"/>
    <n v="0"/>
    <n v="0"/>
    <n v="0"/>
    <n v="3398"/>
    <n v="13"/>
    <n v="0"/>
    <n v="171"/>
    <n v="0"/>
    <n v="86.412281970096757"/>
    <n v="45.48"/>
    <n v="4.736915558261031E-2"/>
    <n v="6"/>
    <m/>
    <s v="DalsinghSarai"/>
    <m/>
    <n v="0"/>
  </r>
  <r>
    <s v="Munger"/>
    <s v="01-02 Apr"/>
    <n v="1012"/>
    <s v="DalsinghSarai"/>
    <x v="471"/>
    <s v="Gomukh Dumduma"/>
    <s v="MPG"/>
    <s v="Direct"/>
    <n v="153.05000000000001"/>
    <n v="5775.9500000000007"/>
    <n v="126.05"/>
    <n v="4799.1823882200006"/>
    <n v="0"/>
    <n v="0"/>
    <n v="126.05"/>
    <n v="4799.1823882200006"/>
    <n v="4799.1823882200006"/>
    <n v="0"/>
    <n v="0"/>
    <n v="0"/>
    <n v="0"/>
    <n v="0"/>
    <n v="0"/>
    <n v="4799"/>
    <n v="0"/>
    <n v="0"/>
    <n v="977"/>
    <n v="0"/>
    <n v="35.436896765762818"/>
    <n v="76.525000000000006"/>
    <n v="0.16910942992581307"/>
    <n v="1"/>
    <m/>
    <s v="DalsinghSarai"/>
    <m/>
    <n v="0"/>
  </r>
  <r>
    <s v="Munger"/>
    <s v="01-02 Apr"/>
    <n v="1012"/>
    <s v="DalsinghSarai"/>
    <x v="472"/>
    <s v="SUPOL"/>
    <s v="MPG"/>
    <s v="Direct"/>
    <n v="99.21"/>
    <n v="3856.67"/>
    <n v="140"/>
    <n v="5802.8770799999993"/>
    <n v="0"/>
    <n v="0"/>
    <n v="140"/>
    <n v="5802.8770799999993"/>
    <n v="3856.67"/>
    <n v="0"/>
    <n v="0"/>
    <n v="1946.2070799999992"/>
    <n v="0"/>
    <n v="0"/>
    <n v="0"/>
    <n v="3857"/>
    <n v="0"/>
    <n v="0"/>
    <n v="0"/>
    <n v="0"/>
    <n v="78.361812176191933"/>
    <n v="49.604999999999997"/>
    <n v="-0.50463407032491736"/>
    <n v="2"/>
    <m/>
    <s v="DalsinghSarai"/>
    <m/>
    <n v="0"/>
  </r>
  <r>
    <s v="Munger"/>
    <s v="01-02 Apr"/>
    <n v="1012"/>
    <s v="DalsinghSarai"/>
    <x v="473"/>
    <s v="BHUSARAI"/>
    <s v="MPG"/>
    <s v="Direct"/>
    <n v="81.97999999999999"/>
    <n v="3097.88"/>
    <n v="52.76"/>
    <n v="1999.5271655040003"/>
    <n v="31.380000000000003"/>
    <n v="1195.1457491160002"/>
    <n v="84.14"/>
    <n v="3194.6729146200005"/>
    <n v="3097.88"/>
    <n v="0"/>
    <n v="36.551857320000003"/>
    <n v="96.792914620000374"/>
    <n v="0"/>
    <n v="0"/>
    <n v="0"/>
    <n v="1902"/>
    <n v="1159"/>
    <n v="0"/>
    <n v="0"/>
    <n v="0"/>
    <n v="89.195364137594552"/>
    <n v="40.989999999999995"/>
    <n v="-3.1244888317171864E-2"/>
    <n v="6"/>
    <m/>
    <s v="DalsinghSarai"/>
    <m/>
    <n v="0"/>
  </r>
  <r>
    <s v="Munger"/>
    <s v="01-02 Apr"/>
    <n v="1012"/>
    <s v="DalsinghSarai"/>
    <x v="474"/>
    <s v="Gomukha Jounapur"/>
    <s v="vlc"/>
    <s v="Indirect"/>
    <n v="89.63"/>
    <n v="3720.2400000000002"/>
    <n v="0"/>
    <n v="0"/>
    <n v="0"/>
    <n v="0"/>
    <n v="0"/>
    <n v="0"/>
    <n v="3720.2400000000002"/>
    <n v="0"/>
    <n v="0"/>
    <n v="0"/>
    <n v="0"/>
    <n v="0"/>
    <n v="0"/>
    <n v="0"/>
    <n v="0"/>
    <n v="3720.2400000000002"/>
    <n v="0"/>
    <n v="0"/>
    <n v="91.621753609282621"/>
    <n v="44.814999999999998"/>
    <n v="0"/>
    <n v="0"/>
    <m/>
    <s v="DalsinghSarai"/>
    <m/>
    <n v="0"/>
  </r>
  <r>
    <s v="Munger"/>
    <s v="01-02 Apr"/>
    <n v="1012"/>
    <s v="DalsinghSarai"/>
    <x v="475"/>
    <s v="Patailliya"/>
    <s v="vlc"/>
    <s v="Indirect"/>
    <n v="105.01999999999998"/>
    <n v="4034.66"/>
    <n v="0"/>
    <n v="0"/>
    <n v="0"/>
    <n v="0"/>
    <n v="0"/>
    <n v="0"/>
    <n v="4034.66"/>
    <n v="0"/>
    <n v="0"/>
    <n v="0"/>
    <n v="0"/>
    <n v="0"/>
    <n v="0"/>
    <n v="0"/>
    <n v="0"/>
    <n v="4034.66"/>
    <n v="0"/>
    <n v="0"/>
    <n v="72.978862464292547"/>
    <n v="52.509999999999991"/>
    <n v="0"/>
    <n v="0"/>
    <m/>
    <s v="DalsinghSarai"/>
    <m/>
    <n v="0"/>
  </r>
  <r>
    <s v="Munger"/>
    <s v="01-02 Apr"/>
    <n v="1012"/>
    <s v="DalsinghSarai"/>
    <x v="476"/>
    <s v="Badiya"/>
    <s v="vlc"/>
    <s v="Indirect"/>
    <n v="105.65"/>
    <n v="3850.5"/>
    <n v="0"/>
    <n v="0"/>
    <n v="0"/>
    <n v="0"/>
    <n v="0"/>
    <n v="0"/>
    <n v="3850.5"/>
    <n v="0"/>
    <n v="0"/>
    <n v="0"/>
    <n v="0"/>
    <n v="0"/>
    <n v="0"/>
    <n v="0"/>
    <n v="0"/>
    <n v="3850.5"/>
    <n v="0"/>
    <n v="0"/>
    <n v="68.773246568859435"/>
    <n v="52.825000000000003"/>
    <n v="0"/>
    <n v="0"/>
    <m/>
    <s v="DalsinghSarai"/>
    <m/>
    <n v="0"/>
  </r>
  <r>
    <s v="Munger"/>
    <s v="01-02 Apr"/>
    <n v="1012"/>
    <s v="DalsinghSarai"/>
    <x v="477"/>
    <s v="Gomukh Tabhka"/>
    <s v="MPG"/>
    <s v="Direct"/>
    <n v="892.48"/>
    <n v="35242.5"/>
    <n v="579.26"/>
    <n v="23816.688675569523"/>
    <n v="311.17"/>
    <n v="12101.452395995342"/>
    <n v="890.43000000000006"/>
    <n v="35918.141071564867"/>
    <n v="35242.5"/>
    <n v="4323"/>
    <n v="298.14663859200004"/>
    <n v="675.64107156486716"/>
    <n v="0"/>
    <n v="0"/>
    <n v="0"/>
    <n v="18816"/>
    <n v="11805"/>
    <n v="0"/>
    <n v="0"/>
    <n v="0"/>
    <n v="0"/>
    <n v="0"/>
    <n v="-1.9171201576643745E-2"/>
    <n v="20"/>
    <m/>
    <s v="DalsinghSarai"/>
    <m/>
    <n v="0"/>
  </r>
  <r>
    <s v="Munger"/>
    <s v="01-02 Apr"/>
    <n v="1012"/>
    <s v="DalsinghSarai"/>
    <x v="478"/>
    <s v="Ghato"/>
    <s v="vlc"/>
    <s v="Indirect"/>
    <n v="16.52"/>
    <n v="480.45"/>
    <n v="0"/>
    <n v="0"/>
    <n v="0"/>
    <n v="0"/>
    <n v="0"/>
    <n v="0"/>
    <n v="480.45"/>
    <n v="0"/>
    <n v="0"/>
    <n v="0"/>
    <n v="0"/>
    <n v="0"/>
    <n v="0"/>
    <n v="0"/>
    <n v="0"/>
    <n v="480.45"/>
    <n v="0"/>
    <n v="0"/>
    <n v="106.7227191283293"/>
    <n v="8.26"/>
    <n v="0"/>
    <n v="0"/>
    <m/>
    <s v="DalsinghSarai"/>
    <m/>
    <n v="0"/>
  </r>
  <r>
    <s v="Munger"/>
    <s v="01-02 Apr"/>
    <n v="1012"/>
    <s v="DalsinghSarai"/>
    <x v="479"/>
    <s v="RAMNATHPUR                                                                                          "/>
    <s v="MPG"/>
    <s v="Direct"/>
    <n v="291.99"/>
    <n v="11582.51"/>
    <n v="225.73999999999995"/>
    <n v="8903.0038310707987"/>
    <n v="77.760000000000005"/>
    <n v="3022.5540557520003"/>
    <n v="303.49999999999994"/>
    <n v="11925.557886822799"/>
    <n v="11582.51"/>
    <n v="0"/>
    <n v="90.966309983999992"/>
    <n v="343.04788682279832"/>
    <n v="0"/>
    <n v="0"/>
    <n v="0"/>
    <n v="8560"/>
    <n v="2932"/>
    <n v="0"/>
    <n v="0"/>
    <n v="0"/>
    <n v="0"/>
    <n v="0"/>
    <n v="-2.9617750109673838E-2"/>
    <n v="19"/>
    <m/>
    <s v="DalsinghSarai"/>
    <m/>
    <n v="0"/>
  </r>
  <r>
    <s v="Munger"/>
    <s v="01-02 Apr"/>
    <n v="1012"/>
    <s v="DalsinghSarai"/>
    <x v="480"/>
    <s v="KEWAS JAGIR"/>
    <s v="MPG"/>
    <s v="Direct"/>
    <n v="67.849999999999994"/>
    <n v="3013.91"/>
    <n v="70.429999999999993"/>
    <n v="3030.9609747999398"/>
    <n v="0"/>
    <n v="0"/>
    <n v="70.429999999999993"/>
    <n v="3030.9609747999398"/>
    <n v="3013.91"/>
    <n v="280"/>
    <n v="0"/>
    <n v="17.050974799939922"/>
    <n v="0"/>
    <n v="0"/>
    <n v="0"/>
    <n v="2734"/>
    <n v="0"/>
    <n v="0"/>
    <n v="0"/>
    <n v="0"/>
    <n v="117.40256639646279"/>
    <n v="33.924999999999997"/>
    <n v="-5.6574266650098789E-3"/>
    <n v="5"/>
    <m/>
    <s v="DalsinghSarai"/>
    <m/>
    <n v="0"/>
  </r>
  <r>
    <s v="Munger"/>
    <s v="01-02 Apr"/>
    <n v="1012"/>
    <s v="DalsinghSarai"/>
    <x v="481"/>
    <s v="DESUA"/>
    <s v="MPG"/>
    <s v="Direct"/>
    <n v="90.220000000000013"/>
    <n v="3332.8799999999997"/>
    <n v="89.7"/>
    <n v="3499.1677783260002"/>
    <n v="5"/>
    <n v="186.14643735600001"/>
    <n v="94.7"/>
    <n v="3685.3142156820004"/>
    <n v="3332.8799999999997"/>
    <n v="0"/>
    <n v="24.375839796000001"/>
    <n v="352.43421568200074"/>
    <n v="0"/>
    <n v="0"/>
    <n v="0"/>
    <n v="3147"/>
    <n v="162"/>
    <n v="0"/>
    <n v="0"/>
    <n v="0"/>
    <n v="81.109192285524259"/>
    <n v="45.110000000000007"/>
    <n v="-0.10574464597645303"/>
    <n v="5"/>
    <m/>
    <s v="DalsinghSarai"/>
    <m/>
    <n v="0"/>
  </r>
  <r>
    <s v="Munger"/>
    <s v="01-02 Apr"/>
    <n v="1012"/>
    <s v="DalsinghSarai"/>
    <x v="482"/>
    <s v="Matior"/>
    <s v="MPG"/>
    <s v="Direct"/>
    <n v="30.880000000000003"/>
    <n v="1170.98"/>
    <n v="30.880000000000003"/>
    <n v="1170.9896394240002"/>
    <n v="0"/>
    <n v="0"/>
    <n v="30.880000000000003"/>
    <n v="1170.9896394240002"/>
    <n v="1170.98"/>
    <n v="1171"/>
    <n v="0"/>
    <n v="9.6394240001700382E-3"/>
    <n v="0"/>
    <n v="0"/>
    <n v="0"/>
    <n v="0"/>
    <n v="0"/>
    <n v="0"/>
    <n v="0"/>
    <n v="0"/>
    <n v="128.26174715025908"/>
    <n v="15.440000000000001"/>
    <n v="-8.2319288119097146E-6"/>
    <n v="1"/>
    <m/>
    <s v="DalsinghSarai"/>
    <m/>
    <n v="0"/>
  </r>
  <r>
    <s v="Munger"/>
    <s v="01-02 Apr"/>
    <n v="1012"/>
    <s v="DalsinghSarai"/>
    <x v="483"/>
    <s v="TELGAMA"/>
    <s v="vlc"/>
    <s v="Indirect"/>
    <n v="131.9"/>
    <n v="5600.4500000000007"/>
    <n v="0"/>
    <n v="0"/>
    <n v="0"/>
    <n v="0"/>
    <n v="0"/>
    <n v="0"/>
    <n v="5600.4500000000007"/>
    <n v="0"/>
    <n v="0"/>
    <n v="0"/>
    <n v="0"/>
    <n v="0"/>
    <n v="0"/>
    <n v="0"/>
    <n v="0"/>
    <n v="5600.4500000000007"/>
    <n v="0"/>
    <n v="0"/>
    <n v="57.830272175890826"/>
    <n v="65.95"/>
    <n v="0"/>
    <n v="0"/>
    <m/>
    <s v="DalsinghSarai"/>
    <m/>
    <n v="0"/>
  </r>
  <r>
    <s v="Munger"/>
    <s v="01-02 Apr"/>
    <n v="1012"/>
    <s v="DalsinghSarai"/>
    <x v="484"/>
    <s v="GOMUKH TATARPUR"/>
    <s v="MPG"/>
    <s v="Direct"/>
    <n v="72.25"/>
    <n v="3094.03"/>
    <n v="72.25"/>
    <n v="3094.0571229651"/>
    <n v="0"/>
    <n v="0"/>
    <n v="72.25"/>
    <n v="3094.0571229651"/>
    <n v="3094.03"/>
    <n v="0"/>
    <n v="0"/>
    <n v="2.7122965099806606E-2"/>
    <n v="0"/>
    <n v="0"/>
    <n v="0"/>
    <n v="3094"/>
    <n v="0"/>
    <n v="0"/>
    <n v="0"/>
    <n v="0"/>
    <n v="109.41517854671281"/>
    <n v="36.125"/>
    <n v="-8.7662256344659253E-6"/>
    <n v="1"/>
    <m/>
    <s v="DalsinghSarai"/>
    <m/>
    <n v="0"/>
  </r>
  <r>
    <s v="Munger"/>
    <s v="01-02 Apr"/>
    <n v="1012"/>
    <s v="DalsinghSarai"/>
    <x v="485"/>
    <s v="Gomukh Ghataho"/>
    <s v="MPG"/>
    <s v="Direct"/>
    <n v="575.69999999999993"/>
    <n v="21471.99"/>
    <n v="452.69999999999993"/>
    <n v="16685.803562451365"/>
    <n v="123.69999999999999"/>
    <n v="4784.2154515265011"/>
    <n v="576.39999999999986"/>
    <n v="21470.019013977864"/>
    <n v="21470.019013977864"/>
    <n v="0"/>
    <n v="183.55129452000003"/>
    <n v="0"/>
    <n v="0"/>
    <n v="0"/>
    <n v="0"/>
    <n v="16685"/>
    <n v="4603"/>
    <n v="0"/>
    <n v="0"/>
    <n v="0"/>
    <n v="0"/>
    <n v="0"/>
    <n v="9.1793356001812929E-5"/>
    <n v="30"/>
    <m/>
    <s v="DalsinghSarai"/>
    <m/>
    <n v="0"/>
  </r>
  <r>
    <s v="Munger"/>
    <s v="01-02 Apr"/>
    <n v="1012"/>
    <s v="DalsinghSarai"/>
    <x v="486"/>
    <s v="Madhepur - Bishwanath"/>
    <s v="vlc"/>
    <s v="Indirect"/>
    <n v="12.45"/>
    <n v="479.06"/>
    <n v="0"/>
    <n v="0"/>
    <n v="0"/>
    <n v="0"/>
    <n v="0"/>
    <n v="0"/>
    <n v="479.06"/>
    <n v="0"/>
    <n v="0"/>
    <n v="0"/>
    <n v="0"/>
    <n v="0"/>
    <n v="0"/>
    <n v="0"/>
    <n v="0"/>
    <n v="479.06"/>
    <n v="0"/>
    <n v="0"/>
    <n v="144.33365943775101"/>
    <n v="6.2249999999999996"/>
    <n v="0"/>
    <n v="0"/>
    <m/>
    <s v="DalsinghSarai"/>
    <m/>
    <n v="0"/>
  </r>
  <r>
    <s v="Munger"/>
    <s v="01-02 Apr"/>
    <n v="1012"/>
    <s v="DalsinghSarai"/>
    <x v="487"/>
    <s v="Kacha - Amarjeet"/>
    <s v="vlc"/>
    <s v="Indirect"/>
    <n v="161.1"/>
    <n v="7236.5199999999995"/>
    <n v="0"/>
    <n v="0"/>
    <n v="0"/>
    <n v="0"/>
    <n v="0"/>
    <n v="0"/>
    <n v="7236.5199999999995"/>
    <n v="0"/>
    <n v="0"/>
    <n v="0"/>
    <n v="0"/>
    <n v="0"/>
    <n v="0"/>
    <n v="0"/>
    <n v="0"/>
    <n v="7236.5199999999995"/>
    <n v="0"/>
    <n v="0"/>
    <n v="34.947315704531356"/>
    <n v="80.55"/>
    <n v="0"/>
    <n v="0"/>
    <m/>
    <s v="DalsinghSarai"/>
    <m/>
    <n v="0"/>
  </r>
  <r>
    <s v="Munger"/>
    <s v="01-02 Apr"/>
    <n v="1012"/>
    <s v="DalsinghSarai"/>
    <x v="488"/>
    <s v="Narenpur"/>
    <s v="MPG"/>
    <s v="Direct"/>
    <n v="142.24"/>
    <n v="6154.94"/>
    <n v="23.16"/>
    <n v="1100.3478794197051"/>
    <n v="119.81"/>
    <n v="5070.9128188117065"/>
    <n v="142.97"/>
    <n v="6171.2606982314119"/>
    <n v="6154.94"/>
    <n v="0"/>
    <n v="0"/>
    <n v="16.32069823141228"/>
    <n v="0"/>
    <n v="0"/>
    <n v="0"/>
    <n v="1083"/>
    <n v="5072"/>
    <n v="0"/>
    <n v="0"/>
    <n v="0"/>
    <n v="49.987251743532042"/>
    <n v="71.12"/>
    <n v="-2.6516421332153164E-3"/>
    <n v="15"/>
    <m/>
    <s v="DalsinghSarai"/>
    <m/>
    <n v="0"/>
  </r>
  <r>
    <s v="Munger"/>
    <s v="01-02 Apr"/>
    <n v="1012"/>
    <s v="DalsinghSarai"/>
    <x v="489"/>
    <s v="Mordiba"/>
    <s v="MPG"/>
    <s v="Direct"/>
    <n v="608.27"/>
    <n v="24349.84"/>
    <n v="433.90999999999997"/>
    <n v="16386.708843926241"/>
    <n v="209.85000000000002"/>
    <n v="7960.1235754158242"/>
    <n v="643.76"/>
    <n v="24346.832419342063"/>
    <n v="24346.832419342063"/>
    <n v="0"/>
    <n v="1337.3826047999999"/>
    <n v="0"/>
    <n v="0"/>
    <n v="0"/>
    <n v="0"/>
    <n v="16387"/>
    <n v="6623"/>
    <n v="0"/>
    <n v="2"/>
    <n v="0"/>
    <n v="0"/>
    <n v="0"/>
    <n v="1.2351541767572472E-4"/>
    <n v="9"/>
    <m/>
    <s v="DalsinghSarai"/>
    <m/>
    <n v="0"/>
  </r>
  <r>
    <s v="Munger"/>
    <s v="01-02 Apr"/>
    <n v="1012"/>
    <s v="DalsinghSarai"/>
    <x v="490"/>
    <s v="Jagdispur"/>
    <s v="MPG"/>
    <s v="Direct"/>
    <n v="94.800000000000011"/>
    <n v="3792.63"/>
    <n v="97.83"/>
    <n v="3664.2270278216006"/>
    <n v="0"/>
    <n v="0"/>
    <n v="97.83"/>
    <n v="3664.2270278216006"/>
    <n v="3664.2270278216006"/>
    <n v="0"/>
    <n v="0"/>
    <n v="0"/>
    <n v="0"/>
    <n v="0"/>
    <n v="0"/>
    <n v="3665"/>
    <n v="0"/>
    <n v="0"/>
    <n v="128"/>
    <n v="0"/>
    <n v="84.173982278481006"/>
    <n v="47.400000000000006"/>
    <n v="3.3855918499405301E-2"/>
    <n v="11"/>
    <m/>
    <s v="DalsinghSarai"/>
    <m/>
    <n v="0"/>
  </r>
  <r>
    <s v="Munger"/>
    <s v="01-02 Apr"/>
    <n v="1012"/>
    <s v="DalsinghSarai"/>
    <x v="491"/>
    <s v="Piparpaati"/>
    <s v="vlc"/>
    <s v="Indirect"/>
    <n v="40.380000000000003"/>
    <n v="1569.38"/>
    <n v="0"/>
    <n v="0"/>
    <n v="0"/>
    <n v="0"/>
    <n v="0"/>
    <n v="0"/>
    <n v="1569.38"/>
    <n v="0"/>
    <n v="0"/>
    <n v="0"/>
    <n v="0"/>
    <n v="0"/>
    <n v="0"/>
    <n v="0"/>
    <n v="0"/>
    <n v="1569.38"/>
    <n v="0"/>
    <n v="0"/>
    <n v="124.07351936602279"/>
    <n v="20.190000000000001"/>
    <n v="0"/>
    <n v="0"/>
    <m/>
    <s v="DalsinghSarai"/>
    <m/>
    <n v="0"/>
  </r>
  <r>
    <s v="Munger"/>
    <s v="01-02 Apr"/>
    <n v="1012"/>
    <s v="DalsinghSarai"/>
    <x v="492"/>
    <s v="Suratpur"/>
    <s v="MPG"/>
    <s v="Direct"/>
    <n v="204.06"/>
    <n v="8293.4699999999993"/>
    <n v="16.920000000000002"/>
    <n v="865.56252270076016"/>
    <n v="192.40000000000003"/>
    <n v="7839.9224482726459"/>
    <n v="209.32000000000005"/>
    <n v="8705.4849709734062"/>
    <n v="8293.4699999999993"/>
    <n v="0"/>
    <n v="0"/>
    <n v="412.01497097340689"/>
    <n v="0"/>
    <n v="0"/>
    <n v="0"/>
    <n v="454"/>
    <n v="7839"/>
    <n v="0"/>
    <n v="0"/>
    <n v="0"/>
    <n v="0"/>
    <n v="0"/>
    <n v="-4.9679443100825942E-2"/>
    <n v="9"/>
    <m/>
    <s v="DalsinghSarai"/>
    <m/>
    <n v="0"/>
  </r>
  <r>
    <s v="Munger"/>
    <s v="01-02 Apr"/>
    <n v="1012"/>
    <s v="DalsinghSarai"/>
    <x v="493"/>
    <s v="Manika Tol"/>
    <s v="MPG"/>
    <s v="Direct"/>
    <n v="13"/>
    <n v="420.99"/>
    <n v="0"/>
    <n v="0"/>
    <n v="0"/>
    <n v="0"/>
    <n v="0"/>
    <n v="0"/>
    <n v="0"/>
    <n v="0"/>
    <n v="0"/>
    <n v="0"/>
    <n v="0"/>
    <n v="0"/>
    <n v="0"/>
    <n v="0"/>
    <n v="0"/>
    <n v="0"/>
    <n v="421"/>
    <n v="0"/>
    <n v="121.11558461538463"/>
    <n v="6.5"/>
    <n v="1"/>
    <n v="0"/>
    <m/>
    <s v="DalsinghSarai"/>
    <m/>
    <n v="0"/>
  </r>
  <r>
    <s v="Munger"/>
    <s v="01-02 Apr"/>
    <n v="1012"/>
    <s v="DalsinghSarai"/>
    <x v="494"/>
    <s v="Beri"/>
    <s v="MPG"/>
    <s v="Direct"/>
    <n v="197.33"/>
    <n v="7792.1"/>
    <n v="197.32999999999998"/>
    <n v="7801.8671579445008"/>
    <n v="0"/>
    <n v="0"/>
    <n v="197.32999999999998"/>
    <n v="7801.8671579445008"/>
    <n v="7792.1"/>
    <n v="4700"/>
    <n v="0"/>
    <n v="9.7671579445004681"/>
    <n v="0"/>
    <n v="0"/>
    <n v="0"/>
    <n v="3092"/>
    <n v="0"/>
    <n v="0"/>
    <n v="0"/>
    <n v="0"/>
    <n v="2.108641058125972"/>
    <n v="98.665000000000006"/>
    <n v="-1.2534692758692095E-3"/>
    <n v="1"/>
    <m/>
    <s v="DalsinghSarai"/>
    <m/>
    <n v="0"/>
  </r>
  <r>
    <s v="Munger"/>
    <s v="01-02 Apr"/>
    <n v="1012"/>
    <s v="DalsinghSarai"/>
    <x v="495"/>
    <s v="Mahmmadipur"/>
    <s v="MPG"/>
    <s v="Direct"/>
    <n v="483"/>
    <n v="23648.52"/>
    <n v="205.59"/>
    <n v="9921.0501375494714"/>
    <n v="279.11999999999995"/>
    <n v="13949.42154866445"/>
    <n v="484.70999999999992"/>
    <n v="23870.471686213921"/>
    <n v="23648.52"/>
    <n v="0"/>
    <n v="159.74662017600002"/>
    <n v="221.95168621392077"/>
    <n v="0"/>
    <n v="0"/>
    <n v="0"/>
    <n v="9698"/>
    <n v="13791"/>
    <n v="0"/>
    <n v="0"/>
    <n v="0"/>
    <n v="0"/>
    <n v="0"/>
    <n v="-9.3854366452497135E-3"/>
    <n v="25"/>
    <m/>
    <s v="DalsinghSarai"/>
    <m/>
    <n v="0"/>
  </r>
  <r>
    <s v="Munger"/>
    <s v="01-02 Apr"/>
    <n v="1012"/>
    <s v="DalsinghSarai"/>
    <x v="496"/>
    <s v="Simri-Rupesh"/>
    <s v="vlc"/>
    <s v="Indirect"/>
    <n v="394.24"/>
    <n v="14532.730000000001"/>
    <n v="0"/>
    <n v="0"/>
    <n v="0"/>
    <n v="0"/>
    <n v="0"/>
    <n v="0"/>
    <n v="14532.730000000001"/>
    <n v="0"/>
    <n v="0"/>
    <n v="0"/>
    <n v="0"/>
    <n v="0"/>
    <n v="0"/>
    <n v="0"/>
    <n v="0"/>
    <n v="14532.730000000001"/>
    <n v="0"/>
    <n v="0"/>
    <n v="0"/>
    <n v="0"/>
    <n v="0"/>
    <n v="0"/>
    <m/>
    <s v="DalsinghSarai"/>
    <m/>
    <n v="0"/>
  </r>
  <r>
    <s v="Munger"/>
    <s v="01-02 Apr"/>
    <n v="1058"/>
    <s v="Hasanpur"/>
    <x v="497"/>
    <s v="Mithilanchal Dairy Products"/>
    <s v="vlc"/>
    <s v="Indirect"/>
    <n v="1330"/>
    <n v="49529.2"/>
    <n v="0"/>
    <n v="0"/>
    <n v="0"/>
    <n v="0"/>
    <n v="0"/>
    <n v="0"/>
    <n v="49529.2"/>
    <n v="0"/>
    <n v="0"/>
    <n v="0"/>
    <n v="0"/>
    <n v="0"/>
    <n v="0"/>
    <n v="0"/>
    <n v="0"/>
    <n v="49529.2"/>
    <n v="0"/>
    <n v="0"/>
    <n v="0"/>
    <n v="0"/>
    <n v="0"/>
    <n v="0"/>
    <m/>
    <s v="Hasanpur"/>
    <m/>
    <n v="0"/>
  </r>
  <r>
    <s v="Munger"/>
    <s v="01-02 Apr"/>
    <n v="1012"/>
    <s v="DalsinghSarai"/>
    <x v="498"/>
    <s v="Gomukh Jhaura Tabhka"/>
    <s v="MPG"/>
    <s v="Direct"/>
    <n v="121.77"/>
    <n v="4438.74"/>
    <n v="123.8"/>
    <n v="4578.4509366420007"/>
    <n v="0.4"/>
    <n v="14.985050652000004"/>
    <n v="124.2"/>
    <n v="4593.4359872940004"/>
    <n v="4438.74"/>
    <n v="0"/>
    <n v="14.985050652000004"/>
    <n v="154.69598729400059"/>
    <n v="0"/>
    <n v="0"/>
    <n v="0"/>
    <n v="4424"/>
    <n v="0"/>
    <n v="0"/>
    <n v="0"/>
    <n v="0"/>
    <n v="57.032541709780737"/>
    <n v="60.884999999999998"/>
    <n v="-3.4851328821692777E-2"/>
    <n v="2"/>
    <m/>
    <s v="DalsinghSarai"/>
    <m/>
    <n v="0"/>
  </r>
  <r>
    <s v="Munger"/>
    <s v="01-02 Apr"/>
    <n v="1012"/>
    <s v="DalsinghSarai"/>
    <x v="499"/>
    <s v="Gomukh Mohanpur"/>
    <s v="MPG"/>
    <s v="Direct"/>
    <n v="132.19999999999999"/>
    <n v="5371.2900000000009"/>
    <n v="41.44"/>
    <n v="1905.69989298316"/>
    <n v="91.22"/>
    <n v="3444.3253561283068"/>
    <n v="132.66"/>
    <n v="5350.025249111467"/>
    <n v="5350.025249111467"/>
    <n v="0"/>
    <n v="107.145953244"/>
    <n v="0"/>
    <n v="0"/>
    <n v="0"/>
    <n v="0"/>
    <n v="1906"/>
    <n v="3337"/>
    <n v="0"/>
    <n v="21"/>
    <n v="0"/>
    <n v="55.094321028744353"/>
    <n v="66.099999999999994"/>
    <n v="3.9589653302156188E-3"/>
    <n v="12"/>
    <m/>
    <s v="DalsinghSarai"/>
    <m/>
    <n v="0"/>
  </r>
  <r>
    <s v="Munger"/>
    <s v="01-02 Apr"/>
    <n v="1012"/>
    <s v="DalsinghSarai"/>
    <x v="500"/>
    <s v="Gomukh Bochaha"/>
    <s v="MPG"/>
    <s v="Direct"/>
    <n v="313.64000000000004"/>
    <n v="15261.22"/>
    <n v="95.359999999999985"/>
    <n v="4144.3573189725012"/>
    <n v="236.62000000000003"/>
    <n v="11118.630670731936"/>
    <n v="331.98"/>
    <n v="15262.987989704437"/>
    <n v="15261.22"/>
    <n v="470"/>
    <n v="0"/>
    <n v="1.7679897044381505"/>
    <n v="0"/>
    <n v="0"/>
    <n v="0"/>
    <n v="3670"/>
    <n v="11121"/>
    <n v="0"/>
    <n v="0"/>
    <n v="0"/>
    <n v="0"/>
    <n v="0"/>
    <n v="-1.1584851698869099E-4"/>
    <n v="24"/>
    <m/>
    <s v="DalsinghSarai"/>
    <m/>
    <n v="0"/>
  </r>
  <r>
    <s v="Munger"/>
    <s v="01-02 Apr"/>
    <n v="1012"/>
    <s v="DalsinghSarai"/>
    <x v="501"/>
    <s v="Gomukh Terganj"/>
    <s v="MPG"/>
    <s v="Direct"/>
    <n v="55.33"/>
    <n v="2205.12"/>
    <n v="47.730000000000004"/>
    <n v="1907.8738092018002"/>
    <n v="10"/>
    <n v="414.49122"/>
    <n v="57.730000000000004"/>
    <n v="2322.3650292018001"/>
    <n v="2205.12"/>
    <n v="0"/>
    <n v="0"/>
    <n v="117.24502920180021"/>
    <n v="0"/>
    <n v="0"/>
    <n v="0"/>
    <n v="1791"/>
    <n v="414"/>
    <n v="0"/>
    <n v="0"/>
    <n v="0"/>
    <n v="115.31346842580879"/>
    <n v="27.664999999999999"/>
    <n v="-5.316945526855691E-2"/>
    <n v="2"/>
    <m/>
    <s v="DalsinghSarai"/>
    <m/>
    <n v="0"/>
  </r>
  <r>
    <s v="Munger"/>
    <s v="01-02 Apr"/>
    <n v="1012"/>
    <s v="DalsinghSarai"/>
    <x v="502"/>
    <s v="Gomukh Chapra"/>
    <s v="vlc"/>
    <s v="Indirect"/>
    <n v="489.65999999999997"/>
    <n v="19016.919999999998"/>
    <n v="0"/>
    <n v="0"/>
    <n v="0"/>
    <n v="0"/>
    <n v="0"/>
    <n v="0"/>
    <n v="19016.919999999998"/>
    <n v="0"/>
    <n v="0"/>
    <n v="0"/>
    <n v="0"/>
    <n v="0"/>
    <n v="0"/>
    <n v="0"/>
    <n v="0"/>
    <n v="19016.919999999998"/>
    <n v="0"/>
    <n v="0"/>
    <n v="0"/>
    <n v="0"/>
    <n v="0"/>
    <n v="0"/>
    <m/>
    <s v="DalsinghSarai"/>
    <m/>
    <n v="0"/>
  </r>
  <r>
    <s v="Munger"/>
    <s v="01-02 Apr"/>
    <n v="1012"/>
    <s v="DalsinghSarai"/>
    <x v="503"/>
    <s v="GOMUKH Chiranjipur"/>
    <s v="vlc"/>
    <s v="Indirect"/>
    <n v="3843"/>
    <n v="149492.70000000001"/>
    <n v="0"/>
    <n v="0"/>
    <n v="0"/>
    <n v="0"/>
    <n v="0"/>
    <n v="0"/>
    <n v="149492.70000000001"/>
    <n v="0"/>
    <n v="0"/>
    <n v="0"/>
    <n v="0"/>
    <n v="0"/>
    <n v="0"/>
    <n v="0"/>
    <n v="0"/>
    <n v="149492.70000000001"/>
    <n v="0"/>
    <n v="0"/>
    <n v="0"/>
    <n v="0"/>
    <n v="0"/>
    <n v="0"/>
    <m/>
    <s v="DalsinghSarai"/>
    <m/>
    <n v="0"/>
  </r>
  <r>
    <s v="Munger"/>
    <s v="01-02 Apr"/>
    <n v="1012"/>
    <s v="DalsinghSarai"/>
    <x v="504"/>
    <s v="Gomukh Sahu Tol"/>
    <s v="vlc"/>
    <s v="Indirect"/>
    <n v="446"/>
    <n v="17014.900000000001"/>
    <n v="0"/>
    <n v="0"/>
    <n v="0"/>
    <n v="0"/>
    <n v="0"/>
    <n v="0"/>
    <n v="17014.900000000001"/>
    <n v="0"/>
    <n v="0"/>
    <n v="0"/>
    <n v="0"/>
    <n v="0"/>
    <n v="0"/>
    <n v="0"/>
    <n v="0"/>
    <n v="17014.900000000001"/>
    <n v="0"/>
    <n v="0"/>
    <n v="0"/>
    <n v="0"/>
    <n v="0"/>
    <n v="0"/>
    <m/>
    <s v="DalsinghSarai"/>
    <m/>
    <n v="0"/>
  </r>
  <r>
    <s v="Munger"/>
    <s v="01-02 Apr"/>
    <n v="1012"/>
    <s v="DalsinghSarai"/>
    <x v="505"/>
    <s v="Gomukh Mordiwa East"/>
    <s v="MPG"/>
    <s v="Direct"/>
    <n v="343.40999999999997"/>
    <n v="12971.86"/>
    <n v="145.79"/>
    <n v="5725.2808130760013"/>
    <n v="202.72"/>
    <n v="7858.9301700492006"/>
    <n v="348.51"/>
    <n v="13584.210983125202"/>
    <n v="12971.86"/>
    <n v="0"/>
    <n v="0"/>
    <n v="612.35098312520131"/>
    <n v="0"/>
    <n v="0"/>
    <n v="0"/>
    <n v="5113"/>
    <n v="7859"/>
    <n v="0"/>
    <n v="0"/>
    <n v="0"/>
    <n v="0"/>
    <n v="0"/>
    <n v="-4.7206104839645303E-2"/>
    <n v="6"/>
    <m/>
    <s v="DalsinghSarai"/>
    <m/>
    <n v="0"/>
  </r>
  <r>
    <s v="Munger"/>
    <s v="01-02 Apr"/>
    <n v="1012"/>
    <s v="DalsinghSarai"/>
    <x v="506"/>
    <s v="Gomukh Ramaiya"/>
    <s v="MPG"/>
    <s v="Direct"/>
    <n v="312.29000000000002"/>
    <n v="12168.380000000001"/>
    <n v="312.29000000000002"/>
    <n v="12167.756985780001"/>
    <n v="0"/>
    <n v="0"/>
    <n v="312.29000000000002"/>
    <n v="12167.756985780001"/>
    <n v="12167.756985780001"/>
    <n v="0"/>
    <n v="0"/>
    <n v="0"/>
    <n v="0"/>
    <n v="0"/>
    <n v="0"/>
    <n v="12168"/>
    <n v="0"/>
    <n v="0"/>
    <n v="0"/>
    <n v="0"/>
    <n v="0"/>
    <n v="0"/>
    <n v="5.1199438216113105E-5"/>
    <n v="1"/>
    <m/>
    <s v="DalsinghSarai"/>
    <m/>
    <n v="0"/>
  </r>
  <r>
    <s v="Munger"/>
    <s v="01-02 Apr"/>
    <n v="1012"/>
    <s v="DalsinghSarai"/>
    <x v="507"/>
    <s v="GOMUKH MANIKA EAST"/>
    <s v="MPG"/>
    <s v="Direct"/>
    <n v="243.73999999999998"/>
    <n v="9605"/>
    <n v="166.1"/>
    <n v="7080.3103826382012"/>
    <n v="58"/>
    <n v="2521.7728350510006"/>
    <n v="224.1"/>
    <n v="9602.0832176892018"/>
    <n v="9602.0832176892018"/>
    <n v="0"/>
    <n v="0"/>
    <n v="0"/>
    <n v="0"/>
    <n v="0"/>
    <n v="0"/>
    <n v="7080"/>
    <n v="2523"/>
    <n v="0"/>
    <n v="2"/>
    <n v="0"/>
    <n v="0"/>
    <n v="0"/>
    <n v="3.0367332751673353E-4"/>
    <n v="12"/>
    <m/>
    <s v="DalsinghSarai"/>
    <m/>
    <n v="0"/>
  </r>
  <r>
    <s v="Munger"/>
    <s v="01-02 Apr"/>
    <n v="1012"/>
    <s v="DalsinghSarai"/>
    <x v="508"/>
    <s v="IMADPUR"/>
    <s v="vlc"/>
    <s v="Indirect"/>
    <n v="234.16"/>
    <n v="7479.5"/>
    <n v="0"/>
    <n v="0"/>
    <n v="0"/>
    <n v="0"/>
    <n v="0"/>
    <n v="0"/>
    <n v="7479.5"/>
    <n v="0"/>
    <n v="0"/>
    <n v="0"/>
    <n v="0"/>
    <n v="0"/>
    <n v="0"/>
    <n v="0"/>
    <n v="0"/>
    <n v="7479.5"/>
    <n v="0"/>
    <n v="0"/>
    <n v="0"/>
    <n v="0"/>
    <n v="0"/>
    <n v="0"/>
    <m/>
    <s v="DalsinghSarai"/>
    <m/>
    <n v="0"/>
  </r>
  <r>
    <s v="Munger"/>
    <s v="01-02 Apr"/>
    <n v="1012"/>
    <s v="DalsinghSarai"/>
    <x v="509"/>
    <s v="Gomukh MANIYAR EAST"/>
    <s v="vlc"/>
    <s v="Indirect"/>
    <n v="155.41"/>
    <n v="6934.19"/>
    <n v="0"/>
    <n v="0"/>
    <n v="0"/>
    <n v="0"/>
    <n v="0"/>
    <n v="0"/>
    <n v="6934.19"/>
    <n v="0"/>
    <n v="0"/>
    <n v="0"/>
    <n v="0"/>
    <n v="0"/>
    <n v="0"/>
    <n v="0"/>
    <n v="0"/>
    <n v="6934.19"/>
    <n v="0"/>
    <n v="0"/>
    <n v="39.790944224953357"/>
    <n v="77.704999999999998"/>
    <n v="0"/>
    <n v="0"/>
    <m/>
    <s v="DalsinghSarai"/>
    <m/>
    <n v="0"/>
  </r>
  <r>
    <s v="Munger"/>
    <s v="01-02 Apr"/>
    <n v="1012"/>
    <s v="DalsinghSarai"/>
    <x v="510"/>
    <s v="GOMUKH Kisanpur Tabhka"/>
    <s v="MPG"/>
    <s v="Direct"/>
    <n v="389.08000000000004"/>
    <n v="14961.66"/>
    <n v="49.099999999999994"/>
    <n v="2024.8478499627001"/>
    <n v="339.98"/>
    <n v="13960.205191133491"/>
    <n v="389.08000000000004"/>
    <n v="15985.053041096191"/>
    <n v="14961.66"/>
    <n v="0"/>
    <n v="0"/>
    <n v="1023.3930410961912"/>
    <n v="0"/>
    <n v="0"/>
    <n v="0"/>
    <n v="1001"/>
    <n v="13961"/>
    <n v="0"/>
    <n v="0"/>
    <s v="Release1"/>
    <n v="0"/>
    <n v="0"/>
    <n v="-6.8401035787218206E-2"/>
    <n v="11"/>
    <m/>
    <s v="DalsinghSarai"/>
    <m/>
    <n v="0"/>
  </r>
  <r>
    <s v="Munger"/>
    <s v="01-02 Apr"/>
    <n v="1012"/>
    <s v="DalsinghSarai"/>
    <x v="511"/>
    <s v="GOMUKH BIBHUTIPUR"/>
    <s v="MPG"/>
    <s v="Direct"/>
    <n v="20.170000000000002"/>
    <n v="781.31"/>
    <n v="20.849999999999998"/>
    <n v="815.16563369999994"/>
    <n v="0"/>
    <n v="0"/>
    <n v="20.849999999999998"/>
    <n v="815.16563369999994"/>
    <n v="781.31"/>
    <n v="0"/>
    <n v="0"/>
    <n v="33.855633699999998"/>
    <n v="0"/>
    <n v="0"/>
    <n v="0"/>
    <n v="781"/>
    <n v="0"/>
    <n v="0"/>
    <n v="0"/>
    <n v="0"/>
    <n v="139.31876777392162"/>
    <n v="10.085000000000001"/>
    <n v="-4.3331883247366601E-2"/>
    <n v="2"/>
    <m/>
    <s v="DalsinghSarai"/>
    <m/>
    <n v="0"/>
  </r>
  <r>
    <s v="Munger"/>
    <s v="01-02 Apr"/>
    <n v="1012"/>
    <s v="DalsinghSarai"/>
    <x v="512"/>
    <s v="GOMUKH PATHAKTOL"/>
    <s v="MPG"/>
    <s v="Direct"/>
    <n v="53.480000000000004"/>
    <n v="2168.8599999999997"/>
    <n v="32"/>
    <n v="1329.1355895840002"/>
    <n v="24.2"/>
    <n v="969.50091744000008"/>
    <n v="56.2"/>
    <n v="2298.6365070240004"/>
    <n v="2168.8599999999997"/>
    <n v="0"/>
    <n v="0"/>
    <n v="129.77650702400069"/>
    <n v="0"/>
    <n v="0"/>
    <n v="0"/>
    <n v="1200"/>
    <n v="969"/>
    <n v="0"/>
    <n v="0"/>
    <n v="0"/>
    <n v="118.84119940164543"/>
    <n v="26.740000000000002"/>
    <n v="-5.9836276672537977E-2"/>
    <n v="5"/>
    <m/>
    <s v="DalsinghSarai"/>
    <m/>
    <n v="0"/>
  </r>
  <r>
    <s v="Munger"/>
    <s v="01-02 Apr"/>
    <n v="1012"/>
    <s v="DalsinghSarai"/>
    <x v="513"/>
    <s v="Gomukh Musapur West"/>
    <s v="vlc"/>
    <s v="Indirect"/>
    <n v="110.99"/>
    <n v="4177.8900000000003"/>
    <n v="0"/>
    <n v="0"/>
    <n v="0"/>
    <n v="0"/>
    <n v="0"/>
    <n v="0"/>
    <n v="4177.8900000000003"/>
    <n v="0"/>
    <n v="0"/>
    <n v="0"/>
    <n v="0"/>
    <n v="0"/>
    <n v="0"/>
    <n v="0"/>
    <n v="0"/>
    <n v="4177.8900000000003"/>
    <n v="0"/>
    <n v="0"/>
    <n v="67.010359293630074"/>
    <n v="55.494999999999997"/>
    <n v="0"/>
    <n v="0"/>
    <m/>
    <s v="DalsinghSarai"/>
    <m/>
    <n v="0"/>
  </r>
  <r>
    <s v="Munger"/>
    <s v="01-02 Apr"/>
    <n v="1012"/>
    <s v="DalsinghSarai"/>
    <x v="514"/>
    <s v="GOMUKH DADHIYA RAMKRISHANPUR"/>
    <s v="MPG"/>
    <s v="Direct"/>
    <n v="580.04999999999995"/>
    <n v="24149.260000000002"/>
    <n v="177.4"/>
    <n v="6378.6802484400005"/>
    <n v="412.50000000000011"/>
    <n v="17760.355026253997"/>
    <n v="589.90000000000009"/>
    <n v="24139.035274693997"/>
    <n v="24139.035274693997"/>
    <n v="0"/>
    <n v="775.00106014500011"/>
    <n v="0"/>
    <n v="0"/>
    <n v="0"/>
    <n v="0"/>
    <n v="6379"/>
    <n v="16986"/>
    <n v="0"/>
    <n v="9"/>
    <n v="0"/>
    <n v="0"/>
    <n v="0"/>
    <n v="4.2339704429887224E-4"/>
    <n v="29"/>
    <m/>
    <s v="DalsinghSarai"/>
    <m/>
    <n v="0"/>
  </r>
  <r>
    <s v="Munger"/>
    <s v="01-02 Apr"/>
    <n v="1012"/>
    <s v="DalsinghSarai"/>
    <x v="515"/>
    <s v="GOMUKH BALTHARA"/>
    <s v="MPG"/>
    <s v="Direct"/>
    <n v="73.06"/>
    <n v="3091.25"/>
    <n v="29.53"/>
    <n v="1352.9327059398602"/>
    <n v="41.839999999999996"/>
    <n v="1732.9689100814201"/>
    <n v="71.37"/>
    <n v="3085.9016160212805"/>
    <n v="3085.9016160212805"/>
    <n v="0"/>
    <n v="0"/>
    <n v="0"/>
    <n v="0"/>
    <n v="0"/>
    <n v="0"/>
    <n v="1353"/>
    <n v="1733"/>
    <n v="0"/>
    <n v="5"/>
    <n v="0"/>
    <n v="107.41945661100465"/>
    <n v="36.53"/>
    <n v="1.7301686950973035E-3"/>
    <n v="7"/>
    <m/>
    <s v="DalsinghSarai"/>
    <m/>
    <n v="0"/>
  </r>
  <r>
    <s v="Munger"/>
    <s v="01-02 Apr"/>
    <n v="1012"/>
    <s v="DalsinghSarai"/>
    <x v="516"/>
    <s v="GOMUKH BHASINGPUR"/>
    <s v="MPG"/>
    <s v="Direct"/>
    <n v="428.71000000000004"/>
    <n v="17733.160000000003"/>
    <n v="202.21"/>
    <n v="9676.6680243480005"/>
    <n v="190.97"/>
    <n v="8052.496612909561"/>
    <n v="393.18"/>
    <n v="17729.164637257563"/>
    <n v="17729.164637257563"/>
    <n v="0"/>
    <n v="0"/>
    <n v="0"/>
    <n v="0"/>
    <n v="0"/>
    <n v="0"/>
    <n v="9677"/>
    <n v="8052"/>
    <n v="0"/>
    <n v="4"/>
    <n v="0"/>
    <n v="0"/>
    <n v="0"/>
    <n v="2.2530461251351661E-4"/>
    <n v="12"/>
    <m/>
    <s v="DalsinghSarai"/>
    <m/>
    <n v="0"/>
  </r>
  <r>
    <s v="Munger"/>
    <s v="01-02 Apr"/>
    <n v="1012"/>
    <s v="DalsinghSarai"/>
    <x v="517"/>
    <s v="GOMUKH Chakhale Dad"/>
    <s v="MPG"/>
    <s v="Direct"/>
    <n v="196.51999999999998"/>
    <n v="7696.25"/>
    <n v="180.16000000000003"/>
    <n v="6740.5762372751196"/>
    <n v="26.21"/>
    <n v="953.86725528633008"/>
    <n v="206.37000000000003"/>
    <n v="7694.4434925614496"/>
    <n v="7694.4434925614496"/>
    <n v="0"/>
    <n v="22.426623410400001"/>
    <n v="0"/>
    <n v="0"/>
    <n v="0"/>
    <n v="0"/>
    <n v="6742"/>
    <n v="931"/>
    <n v="0"/>
    <n v="1"/>
    <n v="0"/>
    <n v="2.7257225727661449"/>
    <n v="98.259999999999991"/>
    <n v="2.3472567010562255E-4"/>
    <n v="15"/>
    <m/>
    <s v="DalsinghSarai"/>
    <m/>
    <n v="0"/>
  </r>
  <r>
    <s v="Munger"/>
    <s v="01-02 Apr"/>
    <n v="1013"/>
    <s v="Musrigharari"/>
    <x v="518"/>
    <s v="GOMUKH BANGHARH KISHANPUR"/>
    <s v="MPG"/>
    <s v="Direct"/>
    <n v="159.9"/>
    <n v="5823.58"/>
    <n v="25.200000000000003"/>
    <n v="803.29996058400013"/>
    <n v="137.70000000000002"/>
    <n v="4635.5047568280006"/>
    <n v="162.90000000000003"/>
    <n v="5438.8047174120011"/>
    <n v="5438.8047174120011"/>
    <n v="0"/>
    <n v="51.604245198000001"/>
    <n v="0"/>
    <n v="0"/>
    <n v="0"/>
    <n v="0"/>
    <n v="803"/>
    <n v="4584"/>
    <n v="0"/>
    <n v="385"/>
    <n v="0"/>
    <n v="29.208950343964972"/>
    <n v="79.95"/>
    <n v="6.6071949314339087E-2"/>
    <n v="8"/>
    <m/>
    <s v="Musrigharari"/>
    <m/>
    <n v="0"/>
  </r>
  <r>
    <s v="Munger"/>
    <s v="01-02 Apr"/>
    <n v="1013"/>
    <s v="Musrigharari"/>
    <x v="519"/>
    <s v="Gomukh Serpur Narsari"/>
    <s v="vlc"/>
    <s v="Indirect"/>
    <n v="21"/>
    <n v="779.19"/>
    <n v="0"/>
    <n v="0"/>
    <n v="0"/>
    <n v="0"/>
    <n v="0"/>
    <n v="0"/>
    <n v="779.19"/>
    <n v="0"/>
    <n v="0"/>
    <n v="0"/>
    <n v="0"/>
    <n v="0"/>
    <n v="0"/>
    <n v="0"/>
    <n v="0"/>
    <n v="779.19"/>
    <n v="0"/>
    <n v="0"/>
    <n v="132.83334285714287"/>
    <n v="10.5"/>
    <n v="0"/>
    <n v="0"/>
    <m/>
    <s v="Musrigharari"/>
    <m/>
    <n v="0"/>
  </r>
  <r>
    <s v="Munger"/>
    <s v="01-02 Apr"/>
    <n v="1013"/>
    <s v="Musrigharari"/>
    <x v="520"/>
    <s v="PARORIYA"/>
    <s v="MPG"/>
    <s v="Direct"/>
    <n v="39.799999999999997"/>
    <n v="1227.3499999999999"/>
    <n v="30.6"/>
    <n v="919.3696480980002"/>
    <n v="0.4"/>
    <n v="12.532429404000002"/>
    <n v="31"/>
    <n v="931.90207750200022"/>
    <n v="931.90207750200022"/>
    <n v="0"/>
    <n v="12.532429404000002"/>
    <n v="0"/>
    <n v="0"/>
    <n v="0"/>
    <n v="0"/>
    <n v="920"/>
    <n v="0"/>
    <n v="0"/>
    <n v="295"/>
    <n v="0"/>
    <n v="98.804758793969853"/>
    <n v="19.899999999999999"/>
    <n v="0.24072018780136042"/>
    <n v="3"/>
    <m/>
    <s v="Musrigharari"/>
    <m/>
    <n v="0"/>
  </r>
  <r>
    <s v="Munger"/>
    <s v="01-02 Apr"/>
    <n v="1013"/>
    <s v="Musrigharari"/>
    <x v="521"/>
    <s v="JHAKHRA"/>
    <s v="vlc"/>
    <s v="Indirect"/>
    <n v="15.5"/>
    <n v="518.06999999999994"/>
    <n v="0"/>
    <n v="0"/>
    <n v="0"/>
    <n v="0"/>
    <n v="0"/>
    <n v="0"/>
    <n v="518.06999999999994"/>
    <n v="0"/>
    <n v="0"/>
    <n v="0"/>
    <n v="0"/>
    <n v="0"/>
    <n v="0"/>
    <n v="0"/>
    <n v="0"/>
    <n v="518.06999999999994"/>
    <n v="0"/>
    <n v="0"/>
    <n v="123.33408387096773"/>
    <n v="7.75"/>
    <n v="0"/>
    <n v="0"/>
    <m/>
    <s v="Musrigharari"/>
    <m/>
    <n v="0"/>
  </r>
  <r>
    <s v="Munger"/>
    <s v="01-02 Apr"/>
    <n v="1013"/>
    <s v="Musrigharari"/>
    <x v="522"/>
    <s v="GOMUKH ANDAHA"/>
    <s v="MPG"/>
    <s v="Direct"/>
    <n v="188.2"/>
    <n v="6679.73"/>
    <n v="183.17"/>
    <n v="6569.5909648166253"/>
    <n v="0"/>
    <n v="0"/>
    <n v="183.17"/>
    <n v="6569.5909648166253"/>
    <n v="6569.5909648166253"/>
    <n v="143"/>
    <n v="0"/>
    <n v="0"/>
    <n v="0"/>
    <n v="0"/>
    <n v="0"/>
    <n v="6427"/>
    <n v="0"/>
    <n v="0"/>
    <n v="110"/>
    <n v="0"/>
    <n v="8.3762820403825806"/>
    <n v="94.1"/>
    <n v="1.6488545971674647E-2"/>
    <n v="10"/>
    <m/>
    <s v="Musrigharari"/>
    <m/>
    <n v="0"/>
  </r>
  <r>
    <s v="Munger"/>
    <s v="01-02 Apr"/>
    <n v="1013"/>
    <s v="Musrigharari"/>
    <x v="523"/>
    <s v="Gomukha Rohua"/>
    <s v="MPG"/>
    <s v="Direct"/>
    <n v="234.4"/>
    <n v="9375.27"/>
    <n v="232.1"/>
    <n v="9753.5729375458504"/>
    <n v="6.9499999999999993"/>
    <n v="272.58383275199998"/>
    <n v="239.04999999999998"/>
    <n v="10026.15677029785"/>
    <n v="9375.27"/>
    <n v="0"/>
    <n v="84.999791052000006"/>
    <n v="650.88677029784958"/>
    <n v="0"/>
    <n v="0"/>
    <n v="0"/>
    <n v="9102"/>
    <n v="188"/>
    <n v="0"/>
    <n v="0"/>
    <n v="0"/>
    <n v="0"/>
    <n v="0"/>
    <n v="-6.9425922698530235E-2"/>
    <n v="10"/>
    <m/>
    <s v="Musrigharari"/>
    <m/>
    <n v="0"/>
  </r>
  <r>
    <s v="Munger"/>
    <s v="01-02 Apr"/>
    <n v="1013"/>
    <s v="Musrigharari"/>
    <x v="524"/>
    <s v="Gomukha Arniya Ganj"/>
    <s v="MPG"/>
    <s v="Direct"/>
    <n v="992.3"/>
    <n v="35998.29"/>
    <n v="563.00000000000011"/>
    <n v="20425.505052552002"/>
    <n v="427.70000000000005"/>
    <n v="15630.104730463052"/>
    <n v="990.70000000000016"/>
    <n v="36055.609783015054"/>
    <n v="35998.29"/>
    <n v="0"/>
    <n v="378.66593556000009"/>
    <n v="57.319783015052963"/>
    <n v="0"/>
    <n v="0"/>
    <n v="0"/>
    <n v="20367"/>
    <n v="15252"/>
    <n v="0"/>
    <n v="1"/>
    <n v="0"/>
    <n v="0"/>
    <n v="0"/>
    <n v="-1.5922918287244467E-3"/>
    <n v="56"/>
    <m/>
    <s v="Musrigharari"/>
    <m/>
    <n v="0"/>
  </r>
  <r>
    <s v="Munger"/>
    <s v="01-02 Apr"/>
    <n v="1013"/>
    <s v="Musrigharari"/>
    <x v="525"/>
    <s v="Gomukha Vishanupatti II"/>
    <s v="vlc"/>
    <s v="Indirect"/>
    <n v="165.7"/>
    <n v="6695.4800000000005"/>
    <n v="0"/>
    <n v="0"/>
    <n v="0"/>
    <n v="0"/>
    <n v="0"/>
    <n v="0"/>
    <n v="6695.4800000000005"/>
    <n v="0"/>
    <n v="0"/>
    <n v="0"/>
    <n v="0"/>
    <n v="0"/>
    <n v="0"/>
    <n v="0"/>
    <n v="0"/>
    <n v="6695.4800000000005"/>
    <n v="0"/>
    <n v="0"/>
    <n v="27.719368014484022"/>
    <n v="82.85"/>
    <n v="0"/>
    <n v="0"/>
    <m/>
    <s v="Musrigharari"/>
    <m/>
    <n v="0"/>
  </r>
  <r>
    <s v="Munger"/>
    <s v="01-02 Apr"/>
    <n v="1013"/>
    <s v="Musrigharari"/>
    <x v="526"/>
    <s v="Gomukh Khesarhiya"/>
    <s v="vlc"/>
    <s v="Indirect"/>
    <n v="37.299999999999997"/>
    <n v="1342.87"/>
    <n v="0"/>
    <n v="0"/>
    <n v="0"/>
    <n v="0"/>
    <n v="0"/>
    <n v="0"/>
    <n v="1342.87"/>
    <n v="1343"/>
    <n v="0"/>
    <n v="0"/>
    <n v="0"/>
    <n v="0"/>
    <n v="0"/>
    <n v="0"/>
    <n v="0"/>
    <n v="-0.13000000000010914"/>
    <n v="0"/>
    <n v="0"/>
    <n v="117.15010670241286"/>
    <n v="18.649999999999999"/>
    <n v="0"/>
    <n v="0"/>
    <m/>
    <s v="Musrigharari"/>
    <m/>
    <n v="0"/>
  </r>
  <r>
    <s v="Munger"/>
    <s v="01-02 Apr"/>
    <n v="1013"/>
    <s v="Musrigharari"/>
    <x v="527"/>
    <s v="Harsingpur"/>
    <s v="vlc"/>
    <s v="Indirect"/>
    <n v="92"/>
    <n v="2675.06"/>
    <n v="0"/>
    <n v="0"/>
    <n v="0"/>
    <n v="0"/>
    <n v="0"/>
    <n v="0"/>
    <n v="2675.06"/>
    <n v="0"/>
    <n v="0"/>
    <n v="0"/>
    <n v="0"/>
    <n v="0"/>
    <n v="0"/>
    <n v="0"/>
    <n v="0"/>
    <n v="2675.06"/>
    <n v="0"/>
    <n v="0"/>
    <n v="62.805756521739134"/>
    <n v="46"/>
    <n v="0"/>
    <n v="0"/>
    <m/>
    <s v="Musrigharari"/>
    <m/>
    <n v="0"/>
  </r>
  <r>
    <s v="Munger"/>
    <s v="01-02 Apr"/>
    <n v="1013"/>
    <s v="Musrigharari"/>
    <x v="528"/>
    <s v="Gomukh ID Mahathi"/>
    <s v="vlc"/>
    <s v="Indirect"/>
    <n v="158.4"/>
    <n v="6121.5499999999993"/>
    <n v="0"/>
    <n v="0"/>
    <n v="0"/>
    <n v="0"/>
    <n v="0"/>
    <n v="0"/>
    <n v="6121.5499999999993"/>
    <n v="470"/>
    <n v="0"/>
    <n v="0"/>
    <n v="0"/>
    <n v="0"/>
    <n v="0"/>
    <n v="0"/>
    <n v="0"/>
    <n v="5651.5499999999993"/>
    <n v="0"/>
    <n v="0"/>
    <n v="32.153595959595954"/>
    <n v="79.2"/>
    <n v="0"/>
    <n v="0"/>
    <m/>
    <s v="Musrigharari"/>
    <m/>
    <n v="0"/>
  </r>
  <r>
    <s v="Munger"/>
    <s v="01-02 Apr"/>
    <n v="1013"/>
    <s v="Musrigharari"/>
    <x v="529"/>
    <s v="MURTUJAPUR"/>
    <s v="vlc"/>
    <s v="Indirect"/>
    <n v="141.89999999999998"/>
    <n v="5895.75"/>
    <n v="0"/>
    <n v="0"/>
    <n v="0"/>
    <n v="0"/>
    <n v="0"/>
    <n v="0"/>
    <n v="5895.75"/>
    <n v="0"/>
    <n v="0"/>
    <n v="0"/>
    <n v="0"/>
    <n v="0"/>
    <n v="0"/>
    <n v="0"/>
    <n v="0"/>
    <n v="5895.75"/>
    <n v="0"/>
    <n v="0"/>
    <n v="48.279503171247391"/>
    <n v="70.949999999999989"/>
    <n v="0"/>
    <n v="0"/>
    <m/>
    <s v="Musrigharari"/>
    <m/>
    <n v="0"/>
  </r>
  <r>
    <s v="Munger"/>
    <s v="01-02 Apr"/>
    <n v="1013"/>
    <s v="Musrigharari"/>
    <x v="530"/>
    <s v="Rasalpur"/>
    <s v="MPG"/>
    <s v="Direct"/>
    <n v="61.3"/>
    <n v="2552.2200000000003"/>
    <n v="24.990000000000002"/>
    <n v="1146.7307552670002"/>
    <n v="38.159999999999997"/>
    <n v="1481.7026210170002"/>
    <n v="63.15"/>
    <n v="2628.4333762840006"/>
    <n v="2552.2200000000003"/>
    <n v="0"/>
    <n v="26.085096565000004"/>
    <n v="76.213376284000333"/>
    <n v="0"/>
    <n v="0"/>
    <n v="0"/>
    <n v="1070"/>
    <n v="1456"/>
    <n v="0"/>
    <n v="0"/>
    <n v="0"/>
    <n v="115.49524110929853"/>
    <n v="30.65"/>
    <n v="-2.9861601383893367E-2"/>
    <n v="6"/>
    <m/>
    <s v="Musrigharari"/>
    <m/>
    <n v="0"/>
  </r>
  <r>
    <s v="Munger"/>
    <s v="01-02 Apr"/>
    <n v="1013"/>
    <s v="Musrigharari"/>
    <x v="531"/>
    <s v="Chhuchhipur                                                                                         "/>
    <s v="MPG"/>
    <s v="Direct"/>
    <n v="135.69999999999999"/>
    <n v="4376.59"/>
    <n v="120"/>
    <n v="4435.32672"/>
    <n v="60"/>
    <n v="2217.6633599999996"/>
    <n v="180"/>
    <n v="6652.9900799999996"/>
    <n v="4376.59"/>
    <n v="0"/>
    <n v="0"/>
    <n v="2276.4000799999994"/>
    <n v="0"/>
    <n v="0"/>
    <n v="0"/>
    <n v="2159"/>
    <n v="2218"/>
    <n v="0"/>
    <n v="0"/>
    <n v="0"/>
    <n v="41.476011348563013"/>
    <n v="67.849999999999994"/>
    <n v="-0.52013098782385359"/>
    <n v="4"/>
    <m/>
    <s v="Musrigharari"/>
    <m/>
    <n v="0"/>
  </r>
  <r>
    <s v="Munger"/>
    <s v="01-02 Apr"/>
    <n v="1013"/>
    <s v="Musrigharari"/>
    <x v="532"/>
    <s v="Gomukh ID Sararanjan"/>
    <s v="vlc"/>
    <s v="Indirect"/>
    <n v="61.9"/>
    <n v="2300.81"/>
    <n v="0"/>
    <n v="0"/>
    <n v="0"/>
    <n v="0"/>
    <n v="0"/>
    <n v="0"/>
    <n v="2300.81"/>
    <n v="0"/>
    <n v="0"/>
    <n v="0"/>
    <n v="0"/>
    <n v="0"/>
    <n v="0"/>
    <n v="0"/>
    <n v="0"/>
    <n v="2300.81"/>
    <n v="0"/>
    <n v="0"/>
    <n v="102.66295993537966"/>
    <n v="30.95"/>
    <n v="0"/>
    <n v="0"/>
    <m/>
    <s v="Musrigharari"/>
    <m/>
    <n v="0"/>
  </r>
  <r>
    <s v="Munger"/>
    <s v="01-02 Apr"/>
    <n v="1013"/>
    <s v="Musrigharari"/>
    <x v="533"/>
    <s v="Gomukh Soharthi Purvi Tola                                                                          "/>
    <s v="MPG"/>
    <s v="Direct"/>
    <n v="24.9"/>
    <n v="1006.96"/>
    <n v="49"/>
    <n v="2356.3613120400005"/>
    <n v="0"/>
    <n v="0"/>
    <n v="49"/>
    <n v="2356.3613120400005"/>
    <n v="1006.96"/>
    <n v="0"/>
    <n v="0"/>
    <n v="1349.4013120400004"/>
    <n v="0"/>
    <n v="0"/>
    <n v="0"/>
    <n v="1007"/>
    <n v="0"/>
    <n v="0"/>
    <n v="0"/>
    <n v="0"/>
    <n v="141.62144257028112"/>
    <n v="12.45"/>
    <n v="-1.3400743942559787"/>
    <n v="1"/>
    <m/>
    <s v="Musrigharari"/>
    <m/>
    <n v="0"/>
  </r>
  <r>
    <s v="Munger"/>
    <s v="01-02 Apr"/>
    <n v="1013"/>
    <s v="Musrigharari"/>
    <x v="534"/>
    <s v="Birnama"/>
    <s v="vlc"/>
    <s v="Indirect"/>
    <n v="222"/>
    <n v="6915.12"/>
    <n v="0"/>
    <n v="0"/>
    <n v="0"/>
    <n v="0"/>
    <n v="0"/>
    <n v="0"/>
    <n v="6915.12"/>
    <n v="0"/>
    <n v="0"/>
    <n v="0"/>
    <n v="0"/>
    <n v="0"/>
    <n v="0"/>
    <n v="0"/>
    <n v="0"/>
    <n v="6915.12"/>
    <n v="0"/>
    <n v="0"/>
    <n v="0"/>
    <n v="0"/>
    <n v="0"/>
    <n v="0"/>
    <m/>
    <s v="Musrigharari"/>
    <m/>
    <n v="0"/>
  </r>
  <r>
    <s v="Munger"/>
    <s v="01-02 Apr"/>
    <n v="1013"/>
    <s v="Musrigharari"/>
    <x v="535"/>
    <s v="Maraie - Rubi"/>
    <s v="vlc"/>
    <s v="Indirect"/>
    <n v="21.6"/>
    <n v="862.62"/>
    <n v="0"/>
    <n v="0"/>
    <n v="0"/>
    <n v="0"/>
    <n v="0"/>
    <n v="0"/>
    <n v="862.62"/>
    <n v="0"/>
    <n v="0"/>
    <n v="0"/>
    <n v="0"/>
    <n v="0"/>
    <n v="0"/>
    <n v="0"/>
    <n v="0"/>
    <n v="862.62"/>
    <n v="0"/>
    <n v="0"/>
    <n v="142.49204444444445"/>
    <n v="10.8"/>
    <n v="0"/>
    <n v="0"/>
    <m/>
    <s v="Musrigharari"/>
    <m/>
    <n v="0"/>
  </r>
  <r>
    <s v="Munger"/>
    <s v="01-02 Apr"/>
    <n v="1013"/>
    <s v="Musrigharari"/>
    <x v="536"/>
    <s v="Arniya East Tola - Seema"/>
    <s v="vlc"/>
    <s v="Indirect"/>
    <n v="10.9"/>
    <n v="503.58"/>
    <n v="0"/>
    <n v="0"/>
    <n v="0"/>
    <n v="0"/>
    <n v="0"/>
    <n v="0"/>
    <n v="503.58"/>
    <n v="0"/>
    <n v="0"/>
    <n v="0"/>
    <n v="0"/>
    <n v="0"/>
    <n v="0"/>
    <n v="0"/>
    <n v="0"/>
    <n v="503.58"/>
    <n v="0"/>
    <n v="0"/>
    <n v="174.72839999999997"/>
    <n v="5.45"/>
    <n v="0"/>
    <n v="0"/>
    <m/>
    <s v="Musrigharari"/>
    <m/>
    <n v="0"/>
  </r>
  <r>
    <s v="Munger"/>
    <s v="01-02 Apr"/>
    <n v="1013"/>
    <s v="Musrigharari"/>
    <x v="537"/>
    <s v="Lakshmipur Western Tol - Rajeev"/>
    <s v="MPG"/>
    <s v="Indirect"/>
    <n v="1013.4"/>
    <n v="43058.75"/>
    <n v="0"/>
    <n v="0"/>
    <n v="0"/>
    <n v="0"/>
    <n v="0"/>
    <n v="0"/>
    <n v="43058.75"/>
    <n v="0"/>
    <n v="0"/>
    <n v="0"/>
    <n v="0"/>
    <n v="0"/>
    <n v="0"/>
    <n v="0"/>
    <n v="0"/>
    <n v="43058.75"/>
    <n v="0"/>
    <n v="0"/>
    <n v="0"/>
    <n v="0"/>
    <n v="0"/>
    <n v="0"/>
    <m/>
    <s v="Musrigharari"/>
    <m/>
    <n v="0"/>
  </r>
  <r>
    <s v="Munger"/>
    <s v="01-02 Apr"/>
    <n v="1013"/>
    <s v="Musrigharari"/>
    <x v="538"/>
    <s v="Jahangipur Salkhanni"/>
    <s v="MPG"/>
    <s v="Direct"/>
    <n v="132.6"/>
    <n v="5691.9"/>
    <n v="109.35999999999999"/>
    <n v="4505.7521548116001"/>
    <n v="32.029999999999994"/>
    <n v="1681.801446836588"/>
    <n v="141.38999999999999"/>
    <n v="6187.5536016481883"/>
    <n v="5691.9"/>
    <n v="0"/>
    <n v="0"/>
    <n v="495.65360164818867"/>
    <n v="0"/>
    <n v="0"/>
    <n v="0"/>
    <n v="4011"/>
    <n v="1681"/>
    <n v="0"/>
    <n v="0"/>
    <n v="0"/>
    <n v="57.863357466063356"/>
    <n v="66.3"/>
    <n v="-8.7080518218554212E-2"/>
    <n v="12"/>
    <m/>
    <s v="Musrigharari"/>
    <m/>
    <n v="0"/>
  </r>
  <r>
    <s v="Munger"/>
    <s v="01-02 Apr"/>
    <n v="1013"/>
    <s v="Musrigharari"/>
    <x v="539"/>
    <s v="Sekhpura"/>
    <s v="MPG"/>
    <s v="Direct"/>
    <n v="75.699999999999989"/>
    <n v="2744.5299999999997"/>
    <n v="75.08"/>
    <n v="2722.1934365208008"/>
    <n v="0.89"/>
    <n v="31.885548552000003"/>
    <n v="75.97"/>
    <n v="2754.0789850728006"/>
    <n v="2744.5299999999997"/>
    <n v="0"/>
    <n v="31.885548552000003"/>
    <n v="9.5489850728008605"/>
    <n v="0"/>
    <n v="0"/>
    <n v="0"/>
    <n v="2713"/>
    <n v="0"/>
    <n v="0"/>
    <n v="0"/>
    <n v="0"/>
    <n v="90.130800264200815"/>
    <n v="37.849999999999994"/>
    <n v="-3.4792788101426697E-3"/>
    <n v="6"/>
    <m/>
    <s v="Musrigharari"/>
    <m/>
    <n v="0"/>
  </r>
  <r>
    <s v="Munger"/>
    <s v="01-02 Apr"/>
    <n v="1013"/>
    <s v="Musrigharari"/>
    <x v="540"/>
    <s v="Songar"/>
    <s v="MPG"/>
    <s v="Direct"/>
    <n v="391"/>
    <n v="13711.46"/>
    <n v="233.37"/>
    <n v="8728.9849862854207"/>
    <n v="157.44"/>
    <n v="5348.3574685266003"/>
    <n v="390.81"/>
    <n v="14077.34245481202"/>
    <n v="13711.46"/>
    <n v="0"/>
    <n v="159.68277576899999"/>
    <n v="365.88245481202102"/>
    <n v="0"/>
    <n v="0"/>
    <n v="0"/>
    <n v="8362"/>
    <n v="5189"/>
    <n v="0"/>
    <n v="1"/>
    <n v="0"/>
    <n v="0"/>
    <n v="0"/>
    <n v="-2.6684427100543709E-2"/>
    <n v="27"/>
    <m/>
    <s v="Musrigharari"/>
    <m/>
    <n v="0"/>
  </r>
  <r>
    <s v="Munger"/>
    <s v="01-02 Apr"/>
    <n v="1013"/>
    <s v="Musrigharari"/>
    <x v="541"/>
    <s v="Rampur Maheshpur"/>
    <s v="MPG"/>
    <s v="Direct"/>
    <n v="243.4"/>
    <n v="9713.4599999999991"/>
    <n v="119.39000000000001"/>
    <n v="5265.0255649318005"/>
    <n v="123.79"/>
    <n v="4546.2902771682002"/>
    <n v="243.18"/>
    <n v="9811.3158421000007"/>
    <n v="9713.4599999999991"/>
    <n v="1410"/>
    <n v="38.838069863999998"/>
    <n v="97.85584210000161"/>
    <n v="0"/>
    <n v="0"/>
    <n v="0"/>
    <n v="3757"/>
    <n v="4507"/>
    <n v="0"/>
    <n v="1"/>
    <n v="0"/>
    <n v="0"/>
    <n v="0"/>
    <n v="-1.0074251821699128E-2"/>
    <n v="13"/>
    <m/>
    <s v="Musrigharari"/>
    <m/>
    <n v="0"/>
  </r>
  <r>
    <s v="Munger"/>
    <s v="01-02 Apr"/>
    <n v="1013"/>
    <s v="Musrigharari"/>
    <x v="542"/>
    <s v="Godhiyari"/>
    <s v="vlc"/>
    <s v="Indirect"/>
    <n v="92.2"/>
    <n v="2998.06"/>
    <n v="0"/>
    <n v="0"/>
    <n v="0"/>
    <n v="0"/>
    <n v="0"/>
    <n v="0"/>
    <n v="2998.06"/>
    <n v="470"/>
    <n v="0"/>
    <n v="0"/>
    <n v="0"/>
    <n v="0"/>
    <n v="0"/>
    <n v="0"/>
    <n v="0"/>
    <n v="2528.06"/>
    <n v="0"/>
    <n v="0"/>
    <n v="70.106478958785246"/>
    <n v="46.1"/>
    <n v="0"/>
    <n v="0"/>
    <m/>
    <s v="Musrigharari"/>
    <m/>
    <n v="0"/>
  </r>
  <r>
    <s v="Munger"/>
    <s v="01-02 Apr"/>
    <n v="1013"/>
    <s v="Musrigharari"/>
    <x v="543"/>
    <s v="Jhakhra-Rambilash"/>
    <s v="vlc"/>
    <s v="Indirect"/>
    <n v="127.8"/>
    <n v="4725.79"/>
    <n v="0"/>
    <n v="0"/>
    <n v="0"/>
    <n v="0"/>
    <n v="0"/>
    <n v="0"/>
    <n v="4725.79"/>
    <n v="0"/>
    <n v="0"/>
    <n v="0"/>
    <n v="0"/>
    <n v="0"/>
    <n v="0"/>
    <n v="0"/>
    <n v="0"/>
    <n v="4725.79"/>
    <n v="0"/>
    <n v="0"/>
    <n v="53.39625007824727"/>
    <n v="63.9"/>
    <n v="0"/>
    <n v="0"/>
    <m/>
    <s v="Musrigharari"/>
    <m/>
    <n v="0"/>
  </r>
  <r>
    <s v="Munger"/>
    <s v="01-02 Apr"/>
    <n v="1013"/>
    <s v="Musrigharari"/>
    <x v="544"/>
    <s v="Chaksikandar East"/>
    <s v="MPG"/>
    <s v="Direct"/>
    <n v="64.599999999999994"/>
    <n v="2561.4100000000003"/>
    <n v="64.199999999999989"/>
    <n v="2567.6179257960002"/>
    <n v="0.4"/>
    <n v="15.576422400000002"/>
    <n v="64.599999999999994"/>
    <n v="2583.1943481960002"/>
    <n v="2561.4100000000003"/>
    <n v="0"/>
    <n v="15.576422400000002"/>
    <n v="21.784348195999883"/>
    <n v="0"/>
    <n v="0"/>
    <n v="0"/>
    <n v="2545"/>
    <n v="0"/>
    <n v="0"/>
    <n v="1"/>
    <n v="0"/>
    <n v="107.3730383900929"/>
    <n v="32.299999999999997"/>
    <n v="-8.5048267149733462E-3"/>
    <n v="3"/>
    <m/>
    <s v="Musrigharari"/>
    <m/>
    <n v="0"/>
  </r>
  <r>
    <s v="Munger"/>
    <s v="01-02 Apr"/>
    <n v="1013"/>
    <s v="Musrigharari"/>
    <x v="545"/>
    <s v="Dagarua"/>
    <s v="MPG"/>
    <s v="Direct"/>
    <n v="24.8"/>
    <n v="788.26"/>
    <n v="24.8"/>
    <n v="795.58657596000012"/>
    <n v="0"/>
    <n v="0"/>
    <n v="24.8"/>
    <n v="795.58657596000012"/>
    <n v="788.26"/>
    <n v="0"/>
    <n v="0"/>
    <n v="7.3265759600001275"/>
    <n v="0"/>
    <n v="0"/>
    <n v="0"/>
    <n v="788"/>
    <n v="0"/>
    <n v="0"/>
    <n v="0"/>
    <n v="0"/>
    <n v="111.37350967741935"/>
    <n v="12.4"/>
    <n v="-9.2946184761374777E-3"/>
    <n v="1"/>
    <m/>
    <s v="Musrigharari"/>
    <m/>
    <n v="0"/>
  </r>
  <r>
    <s v="Munger"/>
    <s v="01-02 Apr"/>
    <n v="1013"/>
    <s v="Musrigharari"/>
    <x v="546"/>
    <s v="Chakmilki"/>
    <s v="MPG"/>
    <s v="Direct"/>
    <n v="109.19999999999999"/>
    <n v="4303.8"/>
    <n v="66.489999999999995"/>
    <n v="2796.9519118363805"/>
    <n v="60.51"/>
    <n v="2254.0580893467477"/>
    <n v="127"/>
    <n v="5051.0100011831282"/>
    <n v="4303.8"/>
    <n v="0"/>
    <n v="63.497842806060007"/>
    <n v="747.21000118312804"/>
    <n v="0"/>
    <n v="0"/>
    <n v="0"/>
    <n v="2049"/>
    <n v="2191"/>
    <n v="0"/>
    <n v="0"/>
    <n v="0"/>
    <n v="71.57235164835167"/>
    <n v="54.599999999999994"/>
    <n v="-0.17361633932411544"/>
    <n v="11"/>
    <m/>
    <s v="Musrigharari"/>
    <m/>
    <n v="0"/>
  </r>
  <r>
    <s v="Munger"/>
    <s v="01-02 Apr"/>
    <n v="1013"/>
    <s v="Musrigharari"/>
    <x v="547"/>
    <s v="Gomukh Akaha"/>
    <s v="MPG"/>
    <s v="Direct"/>
    <n v="53.7"/>
    <n v="1938.65"/>
    <n v="45.14"/>
    <n v="1642.6171263204003"/>
    <n v="10.850000000000001"/>
    <n v="444.10792679220003"/>
    <n v="55.99"/>
    <n v="2086.7250531126001"/>
    <n v="1938.65"/>
    <n v="396"/>
    <n v="10.284932552400001"/>
    <n v="148.07505311260002"/>
    <n v="0"/>
    <n v="0"/>
    <n v="0"/>
    <n v="1098"/>
    <n v="434"/>
    <n v="0"/>
    <n v="0"/>
    <n v="0"/>
    <n v="105.63295903165736"/>
    <n v="26.85"/>
    <n v="-7.6380498342970629E-2"/>
    <n v="7"/>
    <m/>
    <s v="Musrigharari"/>
    <m/>
    <n v="0"/>
  </r>
  <r>
    <s v="Munger"/>
    <s v="01-02 Apr"/>
    <n v="1013"/>
    <s v="Musrigharari"/>
    <x v="548"/>
    <s v="Nauachak-Pankaj"/>
    <s v="vlc"/>
    <s v="Indirect"/>
    <n v="12.7"/>
    <n v="495.4"/>
    <n v="0"/>
    <n v="0"/>
    <n v="0"/>
    <n v="0"/>
    <n v="0"/>
    <n v="0"/>
    <n v="495.4"/>
    <n v="0"/>
    <n v="0"/>
    <n v="0"/>
    <n v="0"/>
    <n v="0"/>
    <n v="0"/>
    <n v="0"/>
    <n v="0"/>
    <n v="495.4"/>
    <n v="0"/>
    <n v="0"/>
    <n v="146.12349606299213"/>
    <n v="6.35"/>
    <n v="0"/>
    <n v="0"/>
    <m/>
    <s v="Musrigharari"/>
    <m/>
    <n v="0"/>
  </r>
  <r>
    <s v="Munger"/>
    <s v="01-02 Apr"/>
    <n v="1013"/>
    <s v="Musrigharari"/>
    <x v="549"/>
    <s v="Jitwarpur-Manisha"/>
    <s v="vlc"/>
    <s v="Indirect"/>
    <n v="13"/>
    <n v="403.91"/>
    <n v="0"/>
    <n v="0"/>
    <n v="0"/>
    <n v="0"/>
    <n v="0"/>
    <n v="0"/>
    <n v="403.91"/>
    <n v="0"/>
    <n v="0"/>
    <n v="0"/>
    <n v="0"/>
    <n v="0"/>
    <n v="0"/>
    <n v="0"/>
    <n v="0"/>
    <n v="403.91"/>
    <n v="0"/>
    <n v="0"/>
    <n v="116.20180000000001"/>
    <n v="6.5"/>
    <n v="0"/>
    <n v="0"/>
    <m/>
    <s v="Musrigharari"/>
    <m/>
    <n v="0"/>
  </r>
  <r>
    <s v="Munger"/>
    <s v="01-02 Apr"/>
    <n v="1013"/>
    <s v="Musrigharari"/>
    <x v="550"/>
    <s v="Gomukh Sirdulpur 2"/>
    <s v="vlc"/>
    <s v="Indirect"/>
    <n v="390.3"/>
    <n v="12986.78"/>
    <n v="0"/>
    <n v="0"/>
    <n v="0"/>
    <n v="0"/>
    <n v="0"/>
    <n v="0"/>
    <n v="12986.78"/>
    <n v="0"/>
    <n v="0"/>
    <n v="0"/>
    <n v="0"/>
    <n v="0"/>
    <n v="0"/>
    <n v="0"/>
    <n v="0"/>
    <n v="12986.78"/>
    <n v="0"/>
    <n v="0"/>
    <n v="0"/>
    <n v="0"/>
    <n v="0"/>
    <n v="0"/>
    <m/>
    <s v="Musrigharari"/>
    <m/>
    <n v="0"/>
  </r>
  <r>
    <s v="Munger"/>
    <s v="01-02 Apr"/>
    <n v="1013"/>
    <s v="Musrigharari"/>
    <x v="551"/>
    <s v="Gomukh Repura"/>
    <s v="MPG"/>
    <s v="Direct"/>
    <n v="70.599999999999994"/>
    <n v="2232.04"/>
    <n v="94.4"/>
    <n v="3115.4694262560006"/>
    <n v="0"/>
    <n v="0"/>
    <n v="94.4"/>
    <n v="3115.4694262560006"/>
    <n v="2232.04"/>
    <n v="0"/>
    <n v="0"/>
    <n v="883.42942625600062"/>
    <n v="0"/>
    <n v="0"/>
    <n v="0"/>
    <n v="2232"/>
    <n v="0"/>
    <n v="0"/>
    <n v="0"/>
    <n v="0"/>
    <n v="81.820389801699733"/>
    <n v="35.299999999999997"/>
    <n v="-0.39579462117883218"/>
    <n v="1"/>
    <m/>
    <s v="Musrigharari"/>
    <m/>
    <n v="0"/>
  </r>
  <r>
    <s v="Munger"/>
    <s v="01-02 Apr"/>
    <n v="1013"/>
    <s v="Musrigharari"/>
    <x v="552"/>
    <s v="Gomukh Nipur"/>
    <s v="MPG"/>
    <s v="Direct"/>
    <n v="76.599999999999994"/>
    <n v="3123.0099999999998"/>
    <n v="84.27"/>
    <n v="3533.2344293909914"/>
    <n v="1.32"/>
    <n v="55.34771536800001"/>
    <n v="85.589999999999989"/>
    <n v="3588.5821447589915"/>
    <n v="3123.0099999999998"/>
    <n v="0"/>
    <n v="55.34771536800001"/>
    <n v="465.57214475899173"/>
    <n v="0"/>
    <n v="0"/>
    <n v="0"/>
    <n v="3068"/>
    <n v="0"/>
    <n v="0"/>
    <n v="0"/>
    <n v="0"/>
    <n v="100.62126214099217"/>
    <n v="38.299999999999997"/>
    <n v="-0.14907801920550742"/>
    <n v="9"/>
    <m/>
    <s v="Musrigharari"/>
    <m/>
    <n v="0"/>
  </r>
  <r>
    <s v="Munger"/>
    <s v="01-02 Apr"/>
    <n v="1013"/>
    <s v="Musrigharari"/>
    <x v="553"/>
    <s v="Gomukh Sherpur Narsari East"/>
    <s v="MPG"/>
    <s v="Direct"/>
    <n v="123"/>
    <n v="4694.8600000000006"/>
    <n v="90.31"/>
    <n v="3353.9418007128006"/>
    <n v="43.85"/>
    <n v="1631.33720442"/>
    <n v="134.16"/>
    <n v="4985.2790051328011"/>
    <n v="4694.8600000000006"/>
    <n v="940"/>
    <n v="29.451364668000004"/>
    <n v="290.41900513280052"/>
    <n v="0"/>
    <n v="0"/>
    <n v="0"/>
    <n v="2123"/>
    <n v="1602"/>
    <n v="0"/>
    <n v="0"/>
    <n v="0"/>
    <n v="58.781173983739841"/>
    <n v="61.5"/>
    <n v="-6.1858927664041205E-2"/>
    <n v="5"/>
    <m/>
    <s v="Musrigharari"/>
    <m/>
    <n v="0"/>
  </r>
  <r>
    <s v="Munger"/>
    <s v="01-02 Apr"/>
    <n v="1013"/>
    <s v="Musrigharari"/>
    <x v="554"/>
    <s v="Gomukh Nauachak East"/>
    <s v="MPG"/>
    <s v="Direct"/>
    <n v="14.399999999999999"/>
    <n v="775.72"/>
    <n v="13.29"/>
    <n v="752.21585881505996"/>
    <n v="0"/>
    <n v="0"/>
    <n v="13.29"/>
    <n v="752.21585881505996"/>
    <n v="752.21585881505996"/>
    <n v="0"/>
    <n v="0"/>
    <n v="0"/>
    <n v="0"/>
    <n v="0"/>
    <n v="0"/>
    <n v="752"/>
    <n v="0"/>
    <n v="0"/>
    <n v="24"/>
    <n v="0"/>
    <n v="199.96337777777782"/>
    <n v="7.1999999999999993"/>
    <n v="3.0299774641546005E-2"/>
    <n v="3"/>
    <m/>
    <s v="Musrigharari"/>
    <m/>
    <n v="0"/>
  </r>
  <r>
    <s v="Munger"/>
    <s v="01-02 Apr"/>
    <n v="1013"/>
    <s v="Musrigharari"/>
    <x v="555"/>
    <s v="Gomukh Karhatti"/>
    <s v="MPG"/>
    <s v="Direct"/>
    <n v="97.2"/>
    <n v="3883.1800000000003"/>
    <n v="131"/>
    <n v="5046.2365140000002"/>
    <n v="0"/>
    <n v="0"/>
    <n v="131"/>
    <n v="5046.2365140000002"/>
    <n v="3883.1800000000003"/>
    <n v="470"/>
    <n v="0"/>
    <n v="1163.0565139999999"/>
    <n v="0"/>
    <n v="0"/>
    <n v="0"/>
    <n v="3413"/>
    <n v="0"/>
    <n v="0"/>
    <n v="0"/>
    <n v="0"/>
    <n v="82.138046090534971"/>
    <n v="48.6"/>
    <n v="-0.29951135770167742"/>
    <n v="1"/>
    <m/>
    <s v="Musrigharari"/>
    <m/>
    <n v="0"/>
  </r>
  <r>
    <s v="Munger"/>
    <s v="01-02 Apr"/>
    <n v="1013"/>
    <s v="Musrigharari"/>
    <x v="556"/>
    <s v="Gomukh Gaopur Bhagwatpur"/>
    <s v="MPG"/>
    <s v="Direct"/>
    <n v="445.8"/>
    <n v="16634.419999999998"/>
    <n v="448.14"/>
    <n v="16945.702240797003"/>
    <n v="0"/>
    <n v="0"/>
    <n v="448.14"/>
    <n v="16945.702240797003"/>
    <n v="16634.419999999998"/>
    <n v="0"/>
    <n v="0"/>
    <n v="311.28224079700522"/>
    <n v="0"/>
    <n v="0"/>
    <n v="0"/>
    <n v="16634"/>
    <n v="0"/>
    <n v="0"/>
    <n v="0"/>
    <n v="0"/>
    <n v="0"/>
    <n v="0"/>
    <n v="-1.871314063231572E-2"/>
    <n v="4"/>
    <m/>
    <s v="Musrigharari"/>
    <m/>
    <n v="0"/>
  </r>
  <r>
    <s v="Munger"/>
    <s v="01-02 Apr"/>
    <n v="1013"/>
    <s v="Musrigharari"/>
    <x v="557"/>
    <s v="Gomukh Rajwara"/>
    <s v="MPG"/>
    <s v="Direct"/>
    <n v="42"/>
    <n v="1705.4700000000003"/>
    <n v="83.56"/>
    <n v="3910.4423635344601"/>
    <n v="0.4"/>
    <n v="15.57643032"/>
    <n v="83.960000000000008"/>
    <n v="3926.01879385446"/>
    <n v="1705.4700000000003"/>
    <n v="0"/>
    <n v="15.57643032"/>
    <n v="2220.5487938544597"/>
    <n v="0"/>
    <n v="0"/>
    <n v="0"/>
    <n v="1689"/>
    <n v="0"/>
    <n v="0"/>
    <n v="1"/>
    <n v="0"/>
    <n v="128.3163142857143"/>
    <n v="21"/>
    <n v="-1.3020157457208039"/>
    <n v="2"/>
    <m/>
    <s v="Musrigharari"/>
    <m/>
    <n v="0"/>
  </r>
  <r>
    <s v="Munger"/>
    <s v="01-02 Apr"/>
    <n v="1061"/>
    <s v="Mahua BMC"/>
    <x v="558"/>
    <s v="Gomukh Karhatiya Bujurg"/>
    <s v="vlc"/>
    <s v="Indirect"/>
    <n v="40.300000000000004"/>
    <n v="1698.24"/>
    <n v="0"/>
    <n v="0"/>
    <n v="0"/>
    <n v="0"/>
    <n v="0"/>
    <n v="0"/>
    <n v="1698.24"/>
    <n v="0"/>
    <n v="0"/>
    <n v="0"/>
    <n v="0"/>
    <n v="0"/>
    <n v="0"/>
    <n v="0"/>
    <n v="0"/>
    <n v="1698.24"/>
    <n v="0"/>
    <n v="0"/>
    <n v="134.5950014888337"/>
    <n v="20.150000000000002"/>
    <n v="0"/>
    <n v="0"/>
    <m/>
    <s v="Mahua BMC"/>
    <m/>
    <n v="0"/>
  </r>
  <r>
    <s v="Munger"/>
    <s v="01-02 Apr"/>
    <n v="1013"/>
    <s v="Musrigharari"/>
    <x v="559"/>
    <s v="Gomukh Morwa Mohanpur"/>
    <s v="vlc"/>
    <s v="Indirect"/>
    <n v="171"/>
    <n v="6362.14"/>
    <n v="0"/>
    <n v="0"/>
    <n v="0"/>
    <n v="0"/>
    <n v="0"/>
    <n v="0"/>
    <n v="6362.14"/>
    <n v="0"/>
    <n v="0"/>
    <n v="0"/>
    <n v="0"/>
    <n v="0"/>
    <n v="0"/>
    <n v="0"/>
    <n v="0"/>
    <n v="6362.14"/>
    <n v="0"/>
    <n v="0"/>
    <n v="21.57918830409357"/>
    <n v="85.5"/>
    <n v="0"/>
    <n v="0"/>
    <m/>
    <s v="Musrigharari"/>
    <m/>
    <n v="0"/>
  </r>
  <r>
    <s v="Munger"/>
    <s v="01-02 Apr"/>
    <n v="1013"/>
    <s v="Musrigharari"/>
    <x v="560"/>
    <s v="Gomukh Gangapur East"/>
    <s v="vlc"/>
    <s v="Indirect"/>
    <n v="1161"/>
    <n v="36653.99"/>
    <n v="0"/>
    <n v="0"/>
    <n v="0"/>
    <n v="0"/>
    <n v="0"/>
    <n v="0"/>
    <n v="36653.99"/>
    <n v="0"/>
    <n v="0"/>
    <n v="0"/>
    <n v="0"/>
    <n v="0"/>
    <n v="0"/>
    <n v="0"/>
    <n v="0"/>
    <n v="36653.99"/>
    <n v="0"/>
    <n v="0"/>
    <n v="0"/>
    <n v="0"/>
    <n v="0"/>
    <n v="0"/>
    <m/>
    <s v="Musrigharari"/>
    <m/>
    <n v="0"/>
  </r>
  <r>
    <s v="Munger"/>
    <s v="01-02 Apr"/>
    <n v="1013"/>
    <s v="Musrigharari"/>
    <x v="561"/>
    <s v="GOMUKH Laguniya"/>
    <s v="vlc"/>
    <s v="Indirect"/>
    <n v="67.099999999999994"/>
    <n v="2400.17"/>
    <n v="0"/>
    <n v="0"/>
    <n v="0"/>
    <n v="0"/>
    <n v="0"/>
    <n v="0"/>
    <n v="2400.17"/>
    <n v="0"/>
    <n v="0"/>
    <n v="0"/>
    <n v="0"/>
    <n v="0"/>
    <n v="0"/>
    <n v="0"/>
    <n v="0"/>
    <n v="2400.17"/>
    <n v="0"/>
    <n v="0"/>
    <n v="95.076778837555906"/>
    <n v="33.549999999999997"/>
    <n v="0"/>
    <n v="0"/>
    <m/>
    <s v="Musrigharari"/>
    <m/>
    <n v="0"/>
  </r>
  <r>
    <s v="Munger"/>
    <s v="01-02 Apr"/>
    <n v="1013"/>
    <s v="Musrigharari"/>
    <x v="562"/>
    <s v="GOMUKH MAHINDWARA"/>
    <s v="vlc"/>
    <s v="Indirect"/>
    <n v="90.3"/>
    <n v="3535.87"/>
    <n v="0"/>
    <n v="0"/>
    <n v="0"/>
    <n v="0"/>
    <n v="0"/>
    <n v="0"/>
    <n v="3535.87"/>
    <n v="0"/>
    <n v="0"/>
    <n v="0"/>
    <n v="0"/>
    <n v="0"/>
    <n v="0"/>
    <n v="0"/>
    <n v="0"/>
    <n v="3535.87"/>
    <n v="0"/>
    <n v="0"/>
    <n v="85.910285492801762"/>
    <n v="45.15"/>
    <n v="0"/>
    <n v="0"/>
    <m/>
    <s v="Musrigharari"/>
    <m/>
    <n v="0"/>
  </r>
  <r>
    <s v="Munger"/>
    <s v="01-02 Apr"/>
    <n v="1013"/>
    <s v="Musrigharari"/>
    <x v="563"/>
    <s v="GOMUKH MISHRAULIA"/>
    <s v="MPG"/>
    <s v="Direct"/>
    <n v="187"/>
    <n v="8137.2099999999991"/>
    <n v="186.8"/>
    <n v="8261.5463223623992"/>
    <n v="4.3"/>
    <n v="206.93630840120002"/>
    <n v="191.10000000000002"/>
    <n v="8468.4826307635994"/>
    <n v="8137.2099999999991"/>
    <n v="0"/>
    <n v="206.93630840120002"/>
    <n v="331.27263076360032"/>
    <n v="0"/>
    <n v="0"/>
    <n v="0"/>
    <n v="7930"/>
    <n v="0"/>
    <n v="0"/>
    <n v="0"/>
    <n v="0"/>
    <n v="11.313767914438502"/>
    <n v="93.5"/>
    <n v="-4.0710837100627902E-2"/>
    <n v="3"/>
    <m/>
    <s v="Musrigharari"/>
    <m/>
    <n v="0"/>
  </r>
  <r>
    <s v="Munger"/>
    <s v="01-02 Apr"/>
    <n v="1013"/>
    <s v="Musrigharari"/>
    <x v="564"/>
    <s v="GOMUKH CHAKIRDI"/>
    <s v="MPG"/>
    <s v="Direct"/>
    <n v="71.7"/>
    <n v="2749.4700000000003"/>
    <n v="70.05"/>
    <n v="2687.9709406769998"/>
    <n v="6.57"/>
    <n v="245.28869057879999"/>
    <n v="76.62"/>
    <n v="2933.2596312557998"/>
    <n v="2749.4700000000003"/>
    <n v="0"/>
    <n v="245.28869057879999"/>
    <n v="183.78963125579958"/>
    <n v="0"/>
    <n v="0"/>
    <n v="0"/>
    <n v="2504"/>
    <n v="0"/>
    <n v="0"/>
    <n v="0"/>
    <n v="0"/>
    <n v="98.398047698744776"/>
    <n v="35.85"/>
    <n v="-6.6845476130235851E-2"/>
    <n v="7"/>
    <m/>
    <s v="Musrigharari"/>
    <m/>
    <n v="0"/>
  </r>
  <r>
    <s v="Munger"/>
    <s v="01-02 Apr"/>
    <n v="1013"/>
    <s v="Musrigharari"/>
    <x v="565"/>
    <s v="GOMUKH Bhagwatpur East"/>
    <s v="MPG"/>
    <s v="Direct"/>
    <n v="123.1"/>
    <n v="4279.8100000000004"/>
    <n v="123.1"/>
    <n v="4279.8798349560002"/>
    <n v="0"/>
    <n v="0"/>
    <n v="123.1"/>
    <n v="4279.8798349560002"/>
    <n v="4279.8100000000004"/>
    <n v="0"/>
    <n v="0"/>
    <n v="6.9834955999795056E-2"/>
    <n v="0"/>
    <n v="0"/>
    <n v="0"/>
    <n v="4280"/>
    <n v="0"/>
    <n v="0"/>
    <n v="0"/>
    <n v="0"/>
    <n v="53.471549796913088"/>
    <n v="61.55"/>
    <n v="-1.6317302870873953E-5"/>
    <n v="1"/>
    <m/>
    <s v="Musrigharari"/>
    <m/>
    <n v="0"/>
  </r>
  <r>
    <s v="Munger"/>
    <s v="01-02 Apr"/>
    <n v="1013"/>
    <s v="Musrigharari"/>
    <x v="566"/>
    <s v="Gomukh Rupauli Buzurg"/>
    <s v="vlc"/>
    <s v="Indirect"/>
    <n v="4165"/>
    <n v="149971.6"/>
    <n v="0"/>
    <n v="0"/>
    <n v="0"/>
    <n v="0"/>
    <n v="0"/>
    <n v="0"/>
    <n v="149971.6"/>
    <n v="0"/>
    <n v="0"/>
    <n v="0"/>
    <n v="0"/>
    <n v="0"/>
    <n v="0"/>
    <n v="0"/>
    <n v="0"/>
    <n v="149971.6"/>
    <n v="0"/>
    <n v="0"/>
    <n v="0"/>
    <n v="0"/>
    <n v="0"/>
    <n v="0"/>
    <m/>
    <s v="Musrigharari"/>
    <m/>
    <n v="0"/>
  </r>
  <r>
    <s v="Munger"/>
    <s v="01-02 Apr"/>
    <n v="1014"/>
    <s v="Dumraon"/>
    <x v="567"/>
    <s v="Dumri Purvi Tola"/>
    <s v="MPG"/>
    <s v="Direct"/>
    <n v="228.20000000000002"/>
    <n v="8669.65"/>
    <n v="200.9"/>
    <n v="8651.567004236902"/>
    <n v="0"/>
    <n v="0"/>
    <n v="200.9"/>
    <n v="8651.567004236902"/>
    <n v="8651.567004236902"/>
    <n v="0"/>
    <n v="0"/>
    <n v="0"/>
    <n v="0"/>
    <n v="0"/>
    <n v="0"/>
    <n v="8652"/>
    <n v="0"/>
    <n v="0"/>
    <n v="18"/>
    <n v="0"/>
    <n v="0"/>
    <n v="0"/>
    <n v="2.0857815209492474E-3"/>
    <n v="5"/>
    <m/>
    <s v="Dumraon"/>
    <m/>
    <n v="0"/>
  </r>
  <r>
    <s v="Munger"/>
    <s v="01-02 Apr"/>
    <n v="1014"/>
    <s v="Dumraon"/>
    <x v="568"/>
    <s v="Simri"/>
    <s v="MPG"/>
    <s v="Direct"/>
    <n v="236.50000000000003"/>
    <n v="8708.65"/>
    <n v="256.35000000000002"/>
    <n v="9522.1361287800009"/>
    <n v="0"/>
    <n v="0"/>
    <n v="256.35000000000002"/>
    <n v="9522.1361287800009"/>
    <n v="8708.65"/>
    <n v="0"/>
    <n v="0"/>
    <n v="813.48612878000131"/>
    <n v="0"/>
    <n v="0"/>
    <n v="0"/>
    <n v="8709"/>
    <n v="0"/>
    <n v="0"/>
    <n v="0"/>
    <n v="0"/>
    <n v="0"/>
    <n v="0"/>
    <n v="-9.3411278301459053E-2"/>
    <n v="13"/>
    <m/>
    <s v="Dumraon"/>
    <m/>
    <n v="0"/>
  </r>
  <r>
    <s v="Munger"/>
    <s v="01-02 Apr"/>
    <n v="1014"/>
    <s v="Dumraon"/>
    <x v="569"/>
    <s v="Sahiyar"/>
    <s v="MPG"/>
    <s v="Direct"/>
    <n v="424.2"/>
    <n v="16720.400000000001"/>
    <n v="401.7"/>
    <n v="16304.860631183086"/>
    <n v="10.6"/>
    <n v="403.6409902800001"/>
    <n v="412.3"/>
    <n v="16708.501621463085"/>
    <n v="16708.501621463085"/>
    <n v="0"/>
    <n v="403.6409902800001"/>
    <n v="0"/>
    <n v="0"/>
    <n v="0"/>
    <n v="0"/>
    <n v="16303"/>
    <n v="0"/>
    <n v="0"/>
    <n v="14"/>
    <n v="0"/>
    <n v="0"/>
    <n v="0"/>
    <n v="7.116084864546556E-4"/>
    <n v="29"/>
    <m/>
    <s v="Dumraon"/>
    <m/>
    <n v="0"/>
  </r>
  <r>
    <s v="Munger"/>
    <s v="01-02 Apr"/>
    <n v="1014"/>
    <s v="Dumraon"/>
    <x v="570"/>
    <s v="ENGLISH DUBAULI"/>
    <s v="MPG"/>
    <s v="Direct"/>
    <n v="242.10000000000002"/>
    <n v="8858.590000000002"/>
    <n v="254.67999999999995"/>
    <n v="9866.8689869462996"/>
    <n v="9.7799999999999994"/>
    <n v="528.82200746700005"/>
    <n v="264.45999999999992"/>
    <n v="10395.6909944133"/>
    <n v="8858.590000000002"/>
    <n v="0"/>
    <n v="528.82200746700005"/>
    <n v="1537.1009944132984"/>
    <n v="0"/>
    <n v="0"/>
    <n v="0"/>
    <n v="8330"/>
    <n v="0"/>
    <n v="0"/>
    <n v="0"/>
    <s v="Release1"/>
    <n v="0"/>
    <n v="0"/>
    <n v="-0.17351531049673796"/>
    <n v="10"/>
    <m/>
    <s v="Dumraon"/>
    <m/>
    <n v="0"/>
  </r>
  <r>
    <s v="Munger"/>
    <s v="01-02 Apr"/>
    <n v="1014"/>
    <s v="Dumraon"/>
    <x v="571"/>
    <s v="Ramo Bariya"/>
    <s v="MPG"/>
    <s v="Direct"/>
    <n v="344.7"/>
    <n v="13216.05"/>
    <n v="347.40000000000009"/>
    <n v="13062.169225140111"/>
    <n v="2.21"/>
    <n v="95.526959615999999"/>
    <n v="349.61000000000007"/>
    <n v="13157.696184756111"/>
    <n v="13157.696184756111"/>
    <n v="0"/>
    <n v="95.526959615999999"/>
    <n v="0"/>
    <n v="0"/>
    <n v="0"/>
    <n v="0"/>
    <n v="13064"/>
    <n v="0"/>
    <n v="0"/>
    <n v="57"/>
    <n v="0"/>
    <n v="0"/>
    <n v="0"/>
    <n v="4.4153748846204937E-3"/>
    <n v="17"/>
    <m/>
    <s v="Dumraon"/>
    <m/>
    <n v="0"/>
  </r>
  <r>
    <s v="Munger"/>
    <s v="01-02 Apr"/>
    <n v="1014"/>
    <s v="Dumraon"/>
    <x v="572"/>
    <s v="HITAN PARARI"/>
    <s v="MPG"/>
    <s v="Direct"/>
    <n v="403.29999999999995"/>
    <n v="16527.34"/>
    <n v="406.18"/>
    <n v="17282.332959648422"/>
    <n v="0"/>
    <n v="0"/>
    <n v="406.18"/>
    <n v="17282.332959648422"/>
    <n v="16527.34"/>
    <n v="0"/>
    <n v="0"/>
    <n v="754.99295964842167"/>
    <n v="0"/>
    <n v="0"/>
    <n v="0"/>
    <n v="16527"/>
    <n v="0"/>
    <n v="0"/>
    <n v="0"/>
    <n v="0"/>
    <n v="0"/>
    <n v="0"/>
    <n v="-4.5681456280830528E-2"/>
    <n v="8"/>
    <m/>
    <s v="Dumraon"/>
    <m/>
    <n v="0"/>
  </r>
  <r>
    <s v="Munger"/>
    <s v="01-02 Apr"/>
    <n v="1014"/>
    <s v="Dumraon"/>
    <x v="573"/>
    <s v="Gangauli"/>
    <s v="MPG"/>
    <s v="Direct"/>
    <n v="474.20000000000005"/>
    <n v="20698.88"/>
    <n v="472.4"/>
    <n v="20149.811549788639"/>
    <n v="3.2"/>
    <n v="117.5246690112"/>
    <n v="475.59999999999997"/>
    <n v="20267.336218799839"/>
    <n v="20267.336218799839"/>
    <n v="0"/>
    <n v="117.5246690112"/>
    <n v="0"/>
    <n v="0"/>
    <n v="0"/>
    <n v="0"/>
    <n v="20151"/>
    <n v="0"/>
    <n v="0"/>
    <n v="430"/>
    <n v="0"/>
    <n v="0"/>
    <n v="0"/>
    <n v="2.0848653704942582E-2"/>
    <n v="21"/>
    <m/>
    <s v="Dumraon"/>
    <m/>
    <n v="0"/>
  </r>
  <r>
    <s v="Munger"/>
    <s v="01-02 Apr"/>
    <n v="1014"/>
    <s v="Dumraon"/>
    <x v="574"/>
    <s v="MATHURA DERA"/>
    <s v="MPG"/>
    <s v="Direct"/>
    <n v="370.20000000000005"/>
    <n v="15033.880000000001"/>
    <n v="404.8"/>
    <n v="14831.740272126"/>
    <n v="2"/>
    <n v="68.642244000000005"/>
    <n v="406.8"/>
    <n v="14900.382516126001"/>
    <n v="14900.382516126001"/>
    <n v="0"/>
    <n v="68.642244000000005"/>
    <n v="0"/>
    <n v="0"/>
    <n v="0"/>
    <n v="0"/>
    <n v="14832"/>
    <n v="0"/>
    <n v="0"/>
    <n v="133"/>
    <n v="0"/>
    <n v="0"/>
    <n v="0"/>
    <n v="8.8797758046492287E-3"/>
    <n v="4"/>
    <m/>
    <s v="Dumraon"/>
    <m/>
    <n v="0"/>
  </r>
  <r>
    <s v="Munger"/>
    <s v="01-02 Apr"/>
    <n v="1014"/>
    <s v="Dumraon"/>
    <x v="575"/>
    <s v="NANDAN"/>
    <s v="MPG"/>
    <s v="Direct"/>
    <n v="116"/>
    <n v="6062.6799999999994"/>
    <n v="115.5"/>
    <n v="6039.1112498640014"/>
    <n v="0"/>
    <n v="0"/>
    <n v="115.5"/>
    <n v="6039.1112498640014"/>
    <n v="6039.1112498640014"/>
    <n v="0"/>
    <n v="0"/>
    <n v="0"/>
    <n v="0"/>
    <n v="0"/>
    <n v="0"/>
    <n v="6039"/>
    <n v="0"/>
    <n v="0"/>
    <n v="24"/>
    <n v="0"/>
    <n v="87.804331034482743"/>
    <n v="58"/>
    <n v="3.8875134653318364E-3"/>
    <n v="1"/>
    <m/>
    <s v="Dumraon"/>
    <m/>
    <n v="0"/>
  </r>
  <r>
    <s v="Munger"/>
    <s v="01-02 Apr"/>
    <n v="1014"/>
    <s v="Dumraon"/>
    <x v="576"/>
    <s v="RAJAPUR"/>
    <s v="MPG"/>
    <s v="Direct"/>
    <n v="71.7"/>
    <n v="2500.23"/>
    <n v="63.2"/>
    <n v="2247.5000750400004"/>
    <n v="7"/>
    <n v="249.48748440000003"/>
    <n v="70.2"/>
    <n v="2496.9875594400005"/>
    <n v="2496.9875594400005"/>
    <n v="0"/>
    <n v="249.48748440000003"/>
    <n v="0"/>
    <n v="0"/>
    <n v="0"/>
    <n v="0"/>
    <n v="2248"/>
    <n v="0"/>
    <n v="0"/>
    <n v="3"/>
    <n v="0"/>
    <n v="89.478245188284504"/>
    <n v="35.85"/>
    <n v="1.2968569131637979E-3"/>
    <n v="2"/>
    <m/>
    <s v="Dumraon"/>
    <m/>
    <n v="0"/>
  </r>
  <r>
    <s v="Munger"/>
    <s v="01-02 Apr"/>
    <n v="1014"/>
    <s v="Dumraon"/>
    <x v="577"/>
    <s v="HEMDAPUR"/>
    <s v="MPG"/>
    <s v="Direct"/>
    <n v="192.60000000000002"/>
    <n v="6890.2"/>
    <n v="194.6"/>
    <n v="7173.4882190400003"/>
    <n v="0"/>
    <n v="0"/>
    <n v="194.6"/>
    <n v="7173.4882190400003"/>
    <n v="6890.2"/>
    <n v="0"/>
    <n v="0"/>
    <n v="283.28821904000051"/>
    <n v="0"/>
    <n v="0"/>
    <n v="0"/>
    <n v="6890"/>
    <n v="0"/>
    <n v="0"/>
    <n v="0"/>
    <n v="0"/>
    <n v="5.2946500519210637"/>
    <n v="96.300000000000011"/>
    <n v="-4.1114658361150698E-2"/>
    <n v="3"/>
    <m/>
    <s v="Dumraon"/>
    <m/>
    <n v="0"/>
  </r>
  <r>
    <s v="Munger"/>
    <s v="01-02 Apr"/>
    <n v="1014"/>
    <s v="Dumraon"/>
    <x v="578"/>
    <s v="Chaugain"/>
    <s v="MPG"/>
    <s v="Direct"/>
    <n v="15"/>
    <n v="499.44000000000005"/>
    <n v="15"/>
    <n v="495.01584000000008"/>
    <n v="0"/>
    <n v="0"/>
    <n v="15"/>
    <n v="495.01584000000008"/>
    <n v="495.01584000000008"/>
    <n v="0"/>
    <n v="0"/>
    <n v="0"/>
    <n v="0"/>
    <n v="0"/>
    <n v="0"/>
    <n v="495"/>
    <n v="0"/>
    <n v="0"/>
    <n v="4"/>
    <n v="0"/>
    <n v="123.19520000000003"/>
    <n v="7.5"/>
    <n v="8.8582412301777425E-3"/>
    <n v="1"/>
    <m/>
    <s v="Dumraon"/>
    <m/>
    <n v="0"/>
  </r>
  <r>
    <s v="Munger"/>
    <s v="01-02 Apr"/>
    <n v="1014"/>
    <s v="Dumraon"/>
    <x v="579"/>
    <s v="Akalupur"/>
    <s v="MPG"/>
    <s v="Direct"/>
    <n v="90.1"/>
    <n v="2992.87"/>
    <n v="90"/>
    <n v="2970.0950400000006"/>
    <n v="0"/>
    <n v="0"/>
    <n v="90"/>
    <n v="2970.0950400000006"/>
    <n v="2970.0950400000006"/>
    <n v="0"/>
    <n v="0"/>
    <n v="0"/>
    <n v="0"/>
    <n v="0"/>
    <n v="0"/>
    <n v="2970"/>
    <n v="0"/>
    <n v="0"/>
    <n v="23"/>
    <n v="0"/>
    <n v="73.011412430632632"/>
    <n v="45.05"/>
    <n v="7.6097391467050968E-3"/>
    <n v="1"/>
    <m/>
    <s v="Dumraon"/>
    <m/>
    <n v="0"/>
  </r>
  <r>
    <s v="Munger"/>
    <s v="01-02 Apr"/>
    <n v="1014"/>
    <s v="Dumraon"/>
    <x v="580"/>
    <s v="Chhotka Sihanpura"/>
    <s v="MPG"/>
    <s v="Direct"/>
    <n v="182.10000000000002"/>
    <n v="6367.34"/>
    <n v="182"/>
    <n v="6366.5521920000001"/>
    <n v="0"/>
    <n v="0"/>
    <n v="182"/>
    <n v="6366.5521920000001"/>
    <n v="6366.5521920000001"/>
    <n v="0"/>
    <n v="0"/>
    <n v="0"/>
    <n v="0"/>
    <n v="0"/>
    <n v="0"/>
    <n v="6367"/>
    <n v="0"/>
    <n v="0"/>
    <n v="0"/>
    <n v="0"/>
    <n v="12.517889730917062"/>
    <n v="91.050000000000011"/>
    <n v="1.2372639124030456E-4"/>
    <n v="1"/>
    <m/>
    <s v="Dumraon"/>
    <m/>
    <n v="0"/>
  </r>
  <r>
    <s v="Munger"/>
    <s v="01-02 Apr"/>
    <n v="1014"/>
    <s v="Dumraon"/>
    <x v="581"/>
    <s v="Dharauli"/>
    <s v="MPG"/>
    <s v="Direct"/>
    <n v="109.9"/>
    <n v="4326.6900000000005"/>
    <n v="108.30000000000001"/>
    <n v="4052.0723857075504"/>
    <n v="1.9"/>
    <n v="69.830014320000004"/>
    <n v="110.20000000000002"/>
    <n v="4121.9024000275504"/>
    <n v="4121.9024000275504"/>
    <n v="0"/>
    <n v="69.830014320000004"/>
    <n v="0"/>
    <n v="0"/>
    <n v="0"/>
    <n v="0"/>
    <n v="4052"/>
    <n v="0"/>
    <n v="0"/>
    <n v="205"/>
    <n v="0"/>
    <n v="70.943543039126467"/>
    <n v="54.95"/>
    <n v="4.7331239347503551E-2"/>
    <n v="16"/>
    <m/>
    <s v="Dumraon"/>
    <m/>
    <n v="0"/>
  </r>
  <r>
    <s v="Munger"/>
    <s v="01-02 Apr"/>
    <n v="1014"/>
    <s v="Dumraon"/>
    <x v="582"/>
    <s v="Ramopatti"/>
    <s v="MPG"/>
    <s v="Direct"/>
    <n v="80.599999999999994"/>
    <n v="3139.54"/>
    <n v="80"/>
    <n v="3115.2876480000004"/>
    <n v="0"/>
    <n v="0"/>
    <n v="80"/>
    <n v="3115.2876480000004"/>
    <n v="3115.2876480000004"/>
    <n v="0"/>
    <n v="0"/>
    <n v="0"/>
    <n v="0"/>
    <n v="0"/>
    <n v="0"/>
    <n v="3115"/>
    <n v="0"/>
    <n v="0"/>
    <n v="25"/>
    <n v="0"/>
    <n v="93.01763672456579"/>
    <n v="40.299999999999997"/>
    <n v="7.7248106410491724E-3"/>
    <n v="1"/>
    <m/>
    <s v="Dumraon"/>
    <m/>
    <n v="0"/>
  </r>
  <r>
    <s v="Munger"/>
    <s v="01-02 Apr"/>
    <n v="1014"/>
    <s v="Dumraon"/>
    <x v="583"/>
    <s v="Kaithi"/>
    <s v="MPG"/>
    <s v="Direct"/>
    <n v="42.2"/>
    <n v="1396.15"/>
    <n v="42"/>
    <n v="1386.0443520000003"/>
    <n v="0"/>
    <n v="0"/>
    <n v="42"/>
    <n v="1386.0443520000003"/>
    <n v="1386.0443520000003"/>
    <n v="0"/>
    <n v="0"/>
    <n v="0"/>
    <n v="0"/>
    <n v="0"/>
    <n v="0"/>
    <n v="1386"/>
    <n v="0"/>
    <n v="0"/>
    <n v="10"/>
    <n v="0"/>
    <n v="104.41349289099527"/>
    <n v="21.1"/>
    <n v="7.2382251190772811E-3"/>
    <n v="1"/>
    <m/>
    <s v="Dumraon"/>
    <m/>
    <n v="0"/>
  </r>
  <r>
    <s v="Munger"/>
    <s v="01-02 Apr"/>
    <n v="1014"/>
    <s v="Dumraon"/>
    <x v="584"/>
    <s v="Rangi Dera"/>
    <s v="MPG"/>
    <s v="Direct"/>
    <n v="87.8"/>
    <n v="3278.93"/>
    <n v="88"/>
    <n v="3252.572928"/>
    <n v="0"/>
    <n v="0"/>
    <n v="88"/>
    <n v="3252.572928"/>
    <n v="3252.572928"/>
    <n v="0"/>
    <n v="0"/>
    <n v="0"/>
    <n v="0"/>
    <n v="0"/>
    <n v="0"/>
    <n v="3253"/>
    <n v="0"/>
    <n v="0"/>
    <n v="26"/>
    <n v="0"/>
    <n v="83.803176765375866"/>
    <n v="43.9"/>
    <n v="8.0383149381047445E-3"/>
    <n v="1"/>
    <m/>
    <s v="Dumraon"/>
    <m/>
    <n v="0"/>
  </r>
  <r>
    <s v="Munger"/>
    <s v="01-02 Apr"/>
    <n v="1014"/>
    <s v="Dumraon"/>
    <x v="585"/>
    <s v="Dubki"/>
    <s v="MPG"/>
    <s v="Direct"/>
    <n v="42.7"/>
    <n v="2164.46"/>
    <n v="44.33"/>
    <n v="2519.6184799714501"/>
    <n v="0.18"/>
    <n v="10.369156247099999"/>
    <n v="44.51"/>
    <n v="2529.9876362185501"/>
    <n v="2164.46"/>
    <n v="0"/>
    <n v="10.369156247099999"/>
    <n v="365.52763621855001"/>
    <n v="0"/>
    <n v="0"/>
    <n v="0"/>
    <n v="2154"/>
    <n v="0"/>
    <n v="0"/>
    <n v="0"/>
    <n v="0"/>
    <n v="159.47051896955503"/>
    <n v="21.35"/>
    <n v="-0.16887705765805328"/>
    <n v="3"/>
    <m/>
    <s v="Dumraon"/>
    <m/>
    <n v="0"/>
  </r>
  <r>
    <s v="Munger"/>
    <s v="01-02 Apr"/>
    <n v="1014"/>
    <s v="Dumraon"/>
    <x v="586"/>
    <s v="Sonvarsa"/>
    <s v="MPG"/>
    <s v="Direct"/>
    <n v="82.5"/>
    <n v="3173.63"/>
    <n v="82.55"/>
    <n v="3063.2763102690005"/>
    <n v="0.4"/>
    <n v="15.048432432000002"/>
    <n v="82.95"/>
    <n v="3078.3247427010006"/>
    <n v="3078.3247427010006"/>
    <n v="0"/>
    <n v="15.048432432000002"/>
    <n v="0"/>
    <n v="0"/>
    <n v="0"/>
    <n v="0"/>
    <n v="3063"/>
    <n v="0"/>
    <n v="0"/>
    <n v="96"/>
    <n v="0"/>
    <n v="90.400369696969705"/>
    <n v="41.25"/>
    <n v="3.0030361856612002E-2"/>
    <n v="4"/>
    <m/>
    <s v="Dumraon"/>
    <m/>
    <n v="0"/>
  </r>
  <r>
    <s v="Munger"/>
    <s v="01-02 Apr"/>
    <n v="1014"/>
    <s v="Dumraon"/>
    <x v="587"/>
    <s v="Soan"/>
    <s v="MPG"/>
    <s v="Direct"/>
    <n v="207"/>
    <n v="8101.9899999999989"/>
    <n v="213.84000000000003"/>
    <n v="7945.2070673608177"/>
    <n v="1.71"/>
    <n v="64.829110062370503"/>
    <n v="215.55000000000004"/>
    <n v="8010.0361774231878"/>
    <n v="8010.0361774231878"/>
    <n v="0"/>
    <n v="64.829110062370503"/>
    <n v="0"/>
    <n v="0"/>
    <n v="0"/>
    <n v="0"/>
    <n v="7944"/>
    <n v="0"/>
    <n v="0"/>
    <n v="93"/>
    <n v="0"/>
    <n v="0"/>
    <n v="0"/>
    <n v="1.1349535432259365E-2"/>
    <n v="9"/>
    <m/>
    <s v="Dumraon"/>
    <m/>
    <n v="0"/>
  </r>
  <r>
    <s v="Munger"/>
    <s v="01-02 Apr"/>
    <n v="1014"/>
    <s v="Dumraon"/>
    <x v="588"/>
    <s v="PURANA BHOJPUR                                                                                      "/>
    <s v="MPG"/>
    <s v="Direct"/>
    <n v="84.1"/>
    <n v="3254.26"/>
    <n v="85"/>
    <n v="3242.6731260000001"/>
    <n v="0"/>
    <n v="0"/>
    <n v="85"/>
    <n v="3242.6731260000001"/>
    <n v="3242.6731260000001"/>
    <n v="0"/>
    <n v="0"/>
    <n v="0"/>
    <n v="0"/>
    <n v="0"/>
    <n v="0"/>
    <n v="3243"/>
    <n v="0"/>
    <n v="0"/>
    <n v="11"/>
    <n v="0"/>
    <n v="89.695299405469683"/>
    <n v="42.05"/>
    <n v="3.5605249734194807E-3"/>
    <n v="1"/>
    <m/>
    <s v="Dumraon"/>
    <m/>
    <n v="0"/>
  </r>
  <r>
    <s v="Munger"/>
    <s v="01-02 Apr"/>
    <n v="1014"/>
    <s v="Dumraon"/>
    <x v="589"/>
    <s v="Gomukh Kant"/>
    <s v="MPG"/>
    <s v="Direct"/>
    <n v="62.8"/>
    <n v="3178.8900000000003"/>
    <n v="58.400000000000006"/>
    <n v="3117.4331788347299"/>
    <n v="0.4"/>
    <n v="21.988613412240003"/>
    <n v="58.800000000000004"/>
    <n v="3139.4217922469697"/>
    <n v="3139.4217922469697"/>
    <n v="0"/>
    <n v="21.988613412240003"/>
    <n v="0"/>
    <n v="0"/>
    <n v="0"/>
    <n v="0"/>
    <n v="3117"/>
    <n v="0"/>
    <n v="0"/>
    <n v="40"/>
    <n v="0"/>
    <n v="138.89927006369427"/>
    <n v="31.4"/>
    <n v="1.2415719874871599E-2"/>
    <n v="3"/>
    <m/>
    <s v="Dumraon"/>
    <m/>
    <n v="0"/>
  </r>
  <r>
    <s v="Munger"/>
    <s v="01-02 Apr"/>
    <n v="1014"/>
    <s v="Dumraon"/>
    <x v="590"/>
    <s v="Gomukh Naat"/>
    <s v="MPG"/>
    <s v="Direct"/>
    <n v="76.400000000000006"/>
    <n v="3098.2799999999997"/>
    <n v="134.41999999999999"/>
    <n v="5323.1385402360002"/>
    <n v="0"/>
    <n v="0"/>
    <n v="134.41999999999999"/>
    <n v="5323.1385402360002"/>
    <n v="3098.2799999999997"/>
    <n v="0"/>
    <n v="0"/>
    <n v="2224.8585402360004"/>
    <n v="0"/>
    <n v="0"/>
    <n v="0"/>
    <n v="3098"/>
    <n v="0"/>
    <n v="0"/>
    <n v="0"/>
    <n v="0"/>
    <n v="100.24801256544501"/>
    <n v="38.200000000000003"/>
    <n v="-0.71809473005538571"/>
    <n v="3"/>
    <m/>
    <s v="Dumraon"/>
    <m/>
    <n v="0"/>
  </r>
  <r>
    <s v="Munger"/>
    <s v="01-02 Apr"/>
    <n v="1014"/>
    <s v="Dumraon"/>
    <x v="591"/>
    <s v="Gomukh Raghunathpur"/>
    <s v="MPG"/>
    <s v="Direct"/>
    <n v="94.600000000000009"/>
    <n v="3561.0999999999995"/>
    <n v="127.8"/>
    <n v="4668.6756006000014"/>
    <n v="2"/>
    <n v="71.744131800000019"/>
    <n v="129.80000000000001"/>
    <n v="4740.4197324000015"/>
    <n v="3561.0999999999995"/>
    <n v="0"/>
    <n v="71.744131800000019"/>
    <n v="1179.3197324000021"/>
    <n v="0"/>
    <n v="0"/>
    <n v="0"/>
    <n v="3489"/>
    <n v="0"/>
    <n v="0"/>
    <n v="0"/>
    <s v="Release1"/>
    <n v="79.353052854122595"/>
    <n v="47.300000000000004"/>
    <n v="-0.33116726079020592"/>
    <n v="3"/>
    <m/>
    <s v="Dumraon"/>
    <m/>
    <n v="0"/>
  </r>
  <r>
    <s v="Munger"/>
    <s v="01-02 Apr"/>
    <n v="1014"/>
    <s v="Dumraon"/>
    <x v="592"/>
    <s v="Gomukh Tilakraika Hata 1 - Manoj"/>
    <s v="vlc"/>
    <s v="Indirect"/>
    <n v="343.6"/>
    <n v="11820.18"/>
    <n v="0"/>
    <n v="0"/>
    <n v="0"/>
    <n v="0"/>
    <n v="0"/>
    <n v="0"/>
    <n v="11820.18"/>
    <n v="0"/>
    <n v="0"/>
    <n v="0"/>
    <n v="0"/>
    <n v="0"/>
    <n v="0"/>
    <n v="0"/>
    <n v="0"/>
    <n v="11820.18"/>
    <n v="0"/>
    <n v="0"/>
    <n v="0"/>
    <n v="0"/>
    <n v="0"/>
    <n v="0"/>
    <m/>
    <s v="Dumraon"/>
    <m/>
    <n v="0"/>
  </r>
  <r>
    <s v="Munger"/>
    <s v="01-02 Apr"/>
    <n v="1014"/>
    <s v="Dumraon"/>
    <x v="593"/>
    <s v="Gomukh Murar"/>
    <s v="MPG"/>
    <s v="Direct"/>
    <n v="186.6"/>
    <n v="7448.4400000000005"/>
    <n v="126.1"/>
    <n v="4823.1982014480009"/>
    <n v="81.400000000000006"/>
    <n v="3652.5641525466003"/>
    <n v="207.5"/>
    <n v="8475.7623539946017"/>
    <n v="7448.4400000000005"/>
    <n v="0"/>
    <n v="47.586218400000007"/>
    <n v="1027.3223539946011"/>
    <n v="0"/>
    <n v="0"/>
    <n v="0"/>
    <n v="3795"/>
    <n v="3605"/>
    <n v="0"/>
    <n v="1"/>
    <n v="0"/>
    <n v="10.697652304394433"/>
    <n v="93.3"/>
    <n v="-0.13792449882050484"/>
    <n v="11"/>
    <m/>
    <s v="Dumraon"/>
    <m/>
    <n v="0"/>
  </r>
  <r>
    <s v="Munger"/>
    <s v="01-02 Apr"/>
    <n v="1014"/>
    <s v="Dumraon"/>
    <x v="594"/>
    <s v="Gomukh Churamanpur                                                                                  "/>
    <s v="MPG"/>
    <s v="Direct"/>
    <n v="82"/>
    <n v="3102.03"/>
    <n v="81.39"/>
    <n v="3079.983720528"/>
    <n v="0"/>
    <n v="0"/>
    <n v="81.39"/>
    <n v="3079.983720528"/>
    <n v="3079.983720528"/>
    <n v="0"/>
    <n v="0"/>
    <n v="0"/>
    <n v="0"/>
    <n v="0"/>
    <n v="0"/>
    <n v="3080"/>
    <n v="0"/>
    <n v="0"/>
    <n v="22"/>
    <n v="0"/>
    <n v="89.277936585365865"/>
    <n v="41"/>
    <n v="7.1070490846317251E-3"/>
    <n v="5"/>
    <m/>
    <s v="Dumraon"/>
    <m/>
    <n v="0"/>
  </r>
  <r>
    <s v="Munger"/>
    <s v="01-02 Apr"/>
    <n v="1014"/>
    <s v="Dumraon"/>
    <x v="595"/>
    <s v="Gomukh Ekauni Karuwaj"/>
    <s v="MPG"/>
    <s v="Direct"/>
    <n v="13.9"/>
    <n v="522.08999999999992"/>
    <n v="14"/>
    <n v="517.45478400000002"/>
    <n v="0"/>
    <n v="0"/>
    <n v="14"/>
    <n v="517.45478400000002"/>
    <n v="517.45478400000002"/>
    <n v="0"/>
    <n v="0"/>
    <n v="0"/>
    <n v="0"/>
    <n v="0"/>
    <n v="0"/>
    <n v="517"/>
    <n v="0"/>
    <n v="0"/>
    <n v="5"/>
    <n v="0"/>
    <n v="139.799926618705"/>
    <n v="6.95"/>
    <n v="8.8781934149282718E-3"/>
    <n v="1"/>
    <m/>
    <s v="Dumraon"/>
    <m/>
    <n v="0"/>
  </r>
  <r>
    <s v="Munger"/>
    <s v="01-02 Apr"/>
    <n v="1014"/>
    <s v="Dumraon"/>
    <x v="596"/>
    <s v="Kulharia Agriculture Producer Company Limited"/>
    <s v="MPG"/>
    <s v="Direct"/>
    <n v="478.30000000000007"/>
    <n v="19895.990000000002"/>
    <n v="472.61"/>
    <n v="19728.452804835673"/>
    <n v="3.95"/>
    <n v="161.305615152"/>
    <n v="476.56"/>
    <n v="19889.758419987673"/>
    <n v="19889.758419987673"/>
    <n v="0"/>
    <n v="161.305615152"/>
    <n v="0"/>
    <n v="0"/>
    <n v="0"/>
    <n v="0"/>
    <n v="19729"/>
    <n v="0"/>
    <n v="0"/>
    <n v="6"/>
    <n v="0"/>
    <n v="0"/>
    <n v="0"/>
    <n v="3.1320783797784263E-4"/>
    <n v="6"/>
    <m/>
    <s v="Dumraon"/>
    <m/>
    <n v="0"/>
  </r>
  <r>
    <s v="Munger"/>
    <s v="01-02 Apr"/>
    <n v="1014"/>
    <s v="Dumraon"/>
    <x v="597"/>
    <s v="Gomukh Dhakaich"/>
    <s v="MPG"/>
    <s v="Direct"/>
    <n v="104.80000000000001"/>
    <n v="3604.0200000000004"/>
    <n v="102.69999999999999"/>
    <n v="3497.6986214544008"/>
    <n v="0"/>
    <n v="0"/>
    <n v="102.69999999999999"/>
    <n v="3497.6986214544008"/>
    <n v="3497.6986214544008"/>
    <n v="0"/>
    <n v="0"/>
    <n v="0"/>
    <n v="0"/>
    <n v="0"/>
    <n v="0"/>
    <n v="3498"/>
    <n v="0"/>
    <n v="0"/>
    <n v="106"/>
    <n v="0"/>
    <n v="65.477615267175565"/>
    <n v="52.400000000000006"/>
    <n v="2.9500773731999153E-2"/>
    <n v="6"/>
    <m/>
    <s v="Dumraon"/>
    <m/>
    <n v="0"/>
  </r>
  <r>
    <s v="Munger"/>
    <s v="01-02 Apr"/>
    <n v="1060"/>
    <s v="Behiya BMC"/>
    <x v="598"/>
    <s v="Gomukh Chhapra"/>
    <s v="MPG"/>
    <s v="Direct"/>
    <n v="338.19999999999993"/>
    <n v="14933.16"/>
    <n v="333.43000000000006"/>
    <n v="15134.580862934941"/>
    <n v="7.48"/>
    <n v="331.47222411600006"/>
    <n v="340.91000000000008"/>
    <n v="15466.053087050941"/>
    <n v="14933.16"/>
    <n v="0"/>
    <n v="331.47222411600006"/>
    <n v="532.89308705094118"/>
    <n v="0"/>
    <n v="0"/>
    <n v="0"/>
    <n v="14602"/>
    <n v="0"/>
    <n v="0"/>
    <n v="0"/>
    <s v="Release1"/>
    <n v="0"/>
    <n v="0"/>
    <n v="-3.5685219139883401E-2"/>
    <n v="53"/>
    <m/>
    <s v="Behiya BMC"/>
    <m/>
    <n v="0"/>
  </r>
  <r>
    <s v="Munger"/>
    <s v="01-02 Apr"/>
    <n v="1014"/>
    <s v="Dumraon"/>
    <x v="599"/>
    <s v="Gomukh Kajipura Chandan"/>
    <s v="vlc"/>
    <s v="Indirect"/>
    <n v="188.2"/>
    <n v="7200.71"/>
    <n v="0"/>
    <n v="0"/>
    <n v="0"/>
    <n v="0"/>
    <n v="0"/>
    <n v="0"/>
    <n v="7200.71"/>
    <n v="0"/>
    <n v="0"/>
    <n v="0"/>
    <n v="0"/>
    <n v="0"/>
    <n v="0"/>
    <n v="0"/>
    <n v="0"/>
    <n v="7200.71"/>
    <n v="0"/>
    <n v="0"/>
    <n v="9.0295832093517632"/>
    <n v="94.1"/>
    <n v="0"/>
    <n v="0"/>
    <m/>
    <s v="Dumraon"/>
    <m/>
    <n v="0"/>
  </r>
  <r>
    <s v="Munger"/>
    <s v="01-02 Apr"/>
    <n v="1014"/>
    <s v="Dumraon"/>
    <x v="600"/>
    <s v="Gomukh Banswar"/>
    <s v="MPG"/>
    <s v="Direct"/>
    <n v="43.8"/>
    <n v="2277.33"/>
    <n v="57.3"/>
    <n v="2694.1170203705997"/>
    <n v="0"/>
    <n v="0"/>
    <n v="57.3"/>
    <n v="2694.1170203705997"/>
    <n v="2277.33"/>
    <n v="0"/>
    <n v="0"/>
    <n v="416.78702037059975"/>
    <n v="0"/>
    <n v="0"/>
    <n v="0"/>
    <n v="2277"/>
    <n v="0"/>
    <n v="0"/>
    <n v="0"/>
    <s v="Release1"/>
    <n v="162.42874246575343"/>
    <n v="21.9"/>
    <n v="-0.18301564567743794"/>
    <n v="8"/>
    <m/>
    <s v="Dumraon"/>
    <m/>
    <n v="0"/>
  </r>
  <r>
    <s v="Munger"/>
    <s v="01-02 Apr"/>
    <n v="1014"/>
    <s v="Dumraon"/>
    <x v="601"/>
    <s v="Gomukh Sikraul Lakh"/>
    <s v="MPG"/>
    <s v="Direct"/>
    <n v="149"/>
    <n v="6031.3899999999994"/>
    <n v="145.96"/>
    <n v="5918.4701605440005"/>
    <n v="0.81"/>
    <n v="31.81554882"/>
    <n v="146.77000000000001"/>
    <n v="5950.2857093640005"/>
    <n v="5950.2857093640005"/>
    <n v="0"/>
    <n v="31.81554882"/>
    <n v="0"/>
    <n v="0"/>
    <n v="0"/>
    <n v="0"/>
    <n v="5919"/>
    <n v="0"/>
    <n v="0"/>
    <n v="81"/>
    <n v="0"/>
    <n v="41.288710067114089"/>
    <n v="74.5"/>
    <n v="1.3447031386794579E-2"/>
    <n v="3"/>
    <m/>
    <s v="Dumraon"/>
    <m/>
    <n v="0"/>
  </r>
  <r>
    <s v="Munger"/>
    <s v="01-02 Apr"/>
    <n v="1014"/>
    <s v="Dumraon"/>
    <x v="602"/>
    <s v="Gomukh Dafadihari"/>
    <s v="MPG"/>
    <s v="Direct"/>
    <n v="55.7"/>
    <n v="2098.4899999999998"/>
    <n v="54.599999999999994"/>
    <n v="2041.3315483430401"/>
    <n v="1.1000000000000001"/>
    <n v="48.637198440000006"/>
    <n v="55.699999999999996"/>
    <n v="2089.9687467830399"/>
    <n v="2089.9687467830399"/>
    <n v="0"/>
    <n v="48.637198440000006"/>
    <n v="0"/>
    <n v="0"/>
    <n v="0"/>
    <n v="0"/>
    <n v="2042"/>
    <n v="0"/>
    <n v="0"/>
    <n v="8"/>
    <n v="0"/>
    <n v="108.72966140035906"/>
    <n v="27.85"/>
    <n v="4.0606594346219663E-3"/>
    <n v="7"/>
    <m/>
    <s v="Dumraon"/>
    <m/>
    <n v="0"/>
  </r>
  <r>
    <s v="Munger"/>
    <s v="01-02 Apr"/>
    <n v="1014"/>
    <s v="Dumraon"/>
    <x v="603"/>
    <s v="Gomukh Paharpur"/>
    <s v="MPG"/>
    <s v="Direct"/>
    <n v="57.800000000000004"/>
    <n v="2216.66"/>
    <n v="58"/>
    <n v="2212.6452480000003"/>
    <n v="0"/>
    <n v="0"/>
    <n v="58"/>
    <n v="2212.6452480000003"/>
    <n v="2212.6452480000003"/>
    <n v="0"/>
    <n v="0"/>
    <n v="0"/>
    <n v="0"/>
    <n v="0"/>
    <n v="0"/>
    <n v="2213"/>
    <n v="0"/>
    <n v="0"/>
    <n v="4"/>
    <n v="0"/>
    <n v="109.06887612456745"/>
    <n v="28.900000000000002"/>
    <n v="1.81117176292241E-3"/>
    <n v="1"/>
    <m/>
    <s v="Dumraon"/>
    <m/>
    <n v="0"/>
  </r>
  <r>
    <s v="Munger"/>
    <s v="01-02 Apr"/>
    <n v="1014"/>
    <s v="Dumraon"/>
    <x v="604"/>
    <s v="Gomukh Basaon Kalan"/>
    <s v="MPG"/>
    <s v="Direct"/>
    <n v="84.199999999999989"/>
    <n v="3130.45"/>
    <n v="87.8"/>
    <n v="3468.2797116000002"/>
    <n v="0"/>
    <n v="0"/>
    <n v="87.8"/>
    <n v="3468.2797116000002"/>
    <n v="3130.45"/>
    <n v="0"/>
    <n v="0"/>
    <n v="337.82971160000034"/>
    <n v="0"/>
    <n v="0"/>
    <n v="0"/>
    <n v="3130"/>
    <n v="0"/>
    <n v="0"/>
    <n v="0"/>
    <n v="0"/>
    <n v="86.105964370546332"/>
    <n v="42.099999999999994"/>
    <n v="-0.10791729994090318"/>
    <n v="1"/>
    <m/>
    <s v="Dumraon"/>
    <m/>
    <n v="0"/>
  </r>
  <r>
    <s v="Munger"/>
    <s v="01-02 Apr"/>
    <n v="1014"/>
    <s v="Dumraon"/>
    <x v="605"/>
    <s v="Gomukh Mangolpur"/>
    <s v="MPG"/>
    <s v="Direct"/>
    <n v="104.4"/>
    <n v="3609.8999999999996"/>
    <n v="103.4"/>
    <n v="3504.0601222092005"/>
    <n v="1.6"/>
    <n v="52.587793368000007"/>
    <n v="105"/>
    <n v="3556.6479155772004"/>
    <n v="3556.6479155772004"/>
    <n v="0"/>
    <n v="52.587793368000007"/>
    <n v="0"/>
    <n v="0"/>
    <n v="0"/>
    <n v="0"/>
    <n v="3504"/>
    <n v="0"/>
    <n v="0"/>
    <n v="53"/>
    <n v="0"/>
    <n v="66.112344827586199"/>
    <n v="52.2"/>
    <n v="1.4751678556968137E-2"/>
    <n v="10"/>
    <m/>
    <s v="Dumraon"/>
    <m/>
    <n v="0"/>
  </r>
  <r>
    <s v="Munger"/>
    <s v="01-02 Apr"/>
    <n v="1014"/>
    <s v="Dumraon"/>
    <x v="606"/>
    <s v="Gomukh Dhanipur"/>
    <s v="MPG"/>
    <s v="Direct"/>
    <n v="137.80000000000001"/>
    <n v="5293.2899999999991"/>
    <n v="125.11999999999999"/>
    <n v="5285.0373894895802"/>
    <n v="0"/>
    <n v="0"/>
    <n v="125.11999999999999"/>
    <n v="5285.0373894895802"/>
    <n v="5285.0373894895802"/>
    <n v="0"/>
    <n v="0"/>
    <n v="0"/>
    <n v="0"/>
    <n v="0"/>
    <n v="0"/>
    <n v="5286"/>
    <n v="0"/>
    <n v="0"/>
    <n v="7"/>
    <n v="0"/>
    <n v="47.785578809869349"/>
    <n v="68.900000000000006"/>
    <n v="1.559070164381489E-3"/>
    <n v="3"/>
    <m/>
    <s v="Dumraon"/>
    <m/>
    <n v="0"/>
  </r>
  <r>
    <s v="Munger"/>
    <s v="01-02 Apr"/>
    <n v="1014"/>
    <s v="Dumraon"/>
    <x v="607"/>
    <s v="Gomukh Rakshanagar_tola"/>
    <s v="MPG"/>
    <s v="Direct"/>
    <n v="213.4"/>
    <n v="9121.5"/>
    <n v="221.4"/>
    <n v="9818.0375554335005"/>
    <n v="0"/>
    <n v="0"/>
    <n v="221.4"/>
    <n v="9818.0375554335005"/>
    <n v="9121.5"/>
    <n v="0"/>
    <n v="0"/>
    <n v="696.53755543350053"/>
    <n v="0"/>
    <n v="0"/>
    <n v="0"/>
    <n v="9121"/>
    <n v="0"/>
    <n v="0"/>
    <n v="1"/>
    <n v="0"/>
    <n v="0"/>
    <n v="0"/>
    <n v="-7.6362172387600777E-2"/>
    <n v="4"/>
    <m/>
    <s v="Dumraon"/>
    <m/>
    <n v="0"/>
  </r>
  <r>
    <s v="Munger"/>
    <s v="01-02 Apr"/>
    <n v="1014"/>
    <s v="Dumraon"/>
    <x v="608"/>
    <s v="Gomukh Nadaon"/>
    <s v="MPG"/>
    <s v="Direct"/>
    <n v="5.0999999999999996"/>
    <n v="166.97"/>
    <n v="5"/>
    <n v="161.04528000000002"/>
    <n v="0"/>
    <n v="0"/>
    <n v="5"/>
    <n v="161.04528000000002"/>
    <n v="161.04528000000002"/>
    <n v="0"/>
    <n v="0"/>
    <n v="0"/>
    <n v="0"/>
    <n v="0"/>
    <n v="0"/>
    <n v="161"/>
    <n v="0"/>
    <n v="0"/>
    <n v="6"/>
    <n v="0"/>
    <n v="127.61746274509805"/>
    <n v="2.5499999999999998"/>
    <n v="3.5483739593938905E-2"/>
    <n v="1"/>
    <m/>
    <s v="Dumraon"/>
    <m/>
    <n v="0"/>
  </r>
  <r>
    <s v="Munger"/>
    <s v="01-02 Apr"/>
    <n v="1014"/>
    <s v="Dumraon"/>
    <x v="609"/>
    <s v="Gomukh Bimhnath Girdhar Baraw"/>
    <s v="vlc"/>
    <s v="Indirect"/>
    <n v="201.1"/>
    <n v="8615.24"/>
    <n v="0"/>
    <n v="0"/>
    <n v="0"/>
    <n v="0"/>
    <n v="0"/>
    <n v="0"/>
    <n v="8615.24"/>
    <n v="0"/>
    <n v="0"/>
    <n v="0"/>
    <n v="0"/>
    <n v="0"/>
    <n v="0"/>
    <n v="0"/>
    <n v="0"/>
    <n v="8615.24"/>
    <n v="0"/>
    <n v="0"/>
    <n v="0"/>
    <n v="0"/>
    <n v="0"/>
    <n v="0"/>
    <m/>
    <s v="Dumraon"/>
    <m/>
    <n v="0"/>
  </r>
  <r>
    <s v="Munger"/>
    <s v="01-02 Apr"/>
    <n v="1014"/>
    <s v="Dumraon"/>
    <x v="610"/>
    <s v="Gomukh Mathuradera Upendra "/>
    <s v="vlc"/>
    <s v="Indirect"/>
    <n v="147.6"/>
    <n v="5117.54"/>
    <n v="0"/>
    <n v="0"/>
    <n v="0"/>
    <n v="0"/>
    <n v="0"/>
    <n v="0"/>
    <n v="5117.54"/>
    <n v="0"/>
    <n v="0"/>
    <n v="0"/>
    <n v="0"/>
    <n v="0"/>
    <n v="0"/>
    <n v="0"/>
    <n v="0"/>
    <n v="5117.54"/>
    <n v="0"/>
    <n v="0"/>
    <n v="36.335920867208678"/>
    <n v="73.8"/>
    <n v="0"/>
    <n v="0"/>
    <m/>
    <s v="Dumraon"/>
    <m/>
    <n v="0"/>
  </r>
  <r>
    <s v="Munger"/>
    <s v="01-02 Apr"/>
    <n v="1014"/>
    <s v="Dumraon"/>
    <x v="611"/>
    <s v="Gomukh Badkagaon Yamunatola"/>
    <s v="MPG"/>
    <s v="Direct"/>
    <n v="68.100000000000009"/>
    <n v="2817.08"/>
    <n v="68.5"/>
    <n v="2812.1388569999999"/>
    <n v="0"/>
    <n v="0"/>
    <n v="68.5"/>
    <n v="2812.1388569999999"/>
    <n v="2812.1388569999999"/>
    <n v="0"/>
    <n v="0"/>
    <n v="0"/>
    <n v="0"/>
    <n v="0"/>
    <n v="0"/>
    <n v="2812"/>
    <n v="0"/>
    <n v="0"/>
    <n v="5"/>
    <n v="0"/>
    <n v="109.12565403817914"/>
    <n v="34.050000000000004"/>
    <n v="1.7539945617447894E-3"/>
    <n v="1"/>
    <m/>
    <s v="Dumraon"/>
    <m/>
    <n v="0"/>
  </r>
  <r>
    <s v="Munger"/>
    <s v="01-02 Apr"/>
    <n v="1060"/>
    <s v="Behiya BMC"/>
    <x v="612"/>
    <s v="Gomukh Bramhpur"/>
    <s v="MPG"/>
    <s v="Direct"/>
    <n v="30.9"/>
    <n v="1246.1300000000001"/>
    <n v="67.83"/>
    <n v="2557.3395310056003"/>
    <n v="0"/>
    <n v="0"/>
    <n v="67.83"/>
    <n v="2557.3395310056003"/>
    <n v="1246.1300000000001"/>
    <n v="0"/>
    <n v="0"/>
    <n v="1311.2095310056002"/>
    <n v="0"/>
    <n v="0"/>
    <n v="0"/>
    <n v="1246"/>
    <n v="0"/>
    <n v="0"/>
    <n v="0"/>
    <n v="0"/>
    <n v="136.38872686084144"/>
    <n v="15.45"/>
    <n v="-1.0522253143777938"/>
    <n v="2"/>
    <m/>
    <s v="Behiya BMC"/>
    <m/>
    <n v="0"/>
  </r>
  <r>
    <s v="Munger"/>
    <s v="01-02 Apr"/>
    <n v="1014"/>
    <s v="Dumraon"/>
    <x v="613"/>
    <s v="Gomukh Mashariya"/>
    <s v="MPG"/>
    <s v="Direct"/>
    <n v="133.9"/>
    <n v="4896.3"/>
    <n v="133"/>
    <n v="4863.1524480000007"/>
    <n v="0"/>
    <n v="0"/>
    <n v="133"/>
    <n v="4863.1524480000007"/>
    <n v="4863.1524480000007"/>
    <n v="0"/>
    <n v="0"/>
    <n v="0"/>
    <n v="0"/>
    <n v="0"/>
    <n v="0"/>
    <n v="4863"/>
    <n v="0"/>
    <n v="0"/>
    <n v="33"/>
    <n v="0"/>
    <n v="48.341363704256899"/>
    <n v="66.95"/>
    <n v="6.7699185098951146E-3"/>
    <n v="1"/>
    <m/>
    <s v="Dumraon"/>
    <m/>
    <n v="0"/>
  </r>
  <r>
    <s v="Munger"/>
    <s v="01-02 Apr"/>
    <n v="1014"/>
    <s v="Dumraon"/>
    <x v="614"/>
    <s v="Gomukh Basawkala Sudhir Kumar"/>
    <s v="vlc"/>
    <s v="Indirect"/>
    <n v="12.8"/>
    <n v="529.32000000000005"/>
    <n v="0"/>
    <n v="0"/>
    <n v="0"/>
    <n v="0"/>
    <n v="0"/>
    <n v="0"/>
    <n v="529.32000000000005"/>
    <n v="0"/>
    <n v="0"/>
    <n v="0"/>
    <n v="0"/>
    <n v="0"/>
    <n v="0"/>
    <n v="0"/>
    <n v="0"/>
    <n v="529.32000000000005"/>
    <n v="0"/>
    <n v="0"/>
    <n v="154.8261"/>
    <n v="6.4"/>
    <n v="0"/>
    <n v="0"/>
    <m/>
    <s v="Dumraon"/>
    <m/>
    <n v="0"/>
  </r>
  <r>
    <s v="Munger"/>
    <s v="01-02 Apr"/>
    <n v="1060"/>
    <s v="Behiya BMC"/>
    <x v="615"/>
    <s v="Gomukh KritSagar"/>
    <s v="MPG"/>
    <s v="Direct"/>
    <n v="79.900000000000006"/>
    <n v="3537.9399999999996"/>
    <n v="80"/>
    <n v="3506.0097600000008"/>
    <n v="0"/>
    <n v="0"/>
    <n v="80"/>
    <n v="3506.0097600000008"/>
    <n v="3506.0097600000008"/>
    <n v="0"/>
    <n v="0"/>
    <n v="0"/>
    <n v="0"/>
    <n v="0"/>
    <n v="0"/>
    <n v="3506"/>
    <n v="0"/>
    <n v="0"/>
    <n v="32"/>
    <n v="0"/>
    <n v="106.35959799749685"/>
    <n v="39.950000000000003"/>
    <n v="9.0250936985926209E-3"/>
    <n v="1"/>
    <m/>
    <s v="Behiya BMC"/>
    <m/>
    <n v="0"/>
  </r>
  <r>
    <s v="Munger"/>
    <s v="01-02 Apr"/>
    <n v="1014"/>
    <s v="Dumraon"/>
    <x v="616"/>
    <s v="Gomukh Navdera Jaipraksh"/>
    <s v="vlc"/>
    <s v="Indirect"/>
    <n v="523.6"/>
    <n v="20646.05"/>
    <n v="0"/>
    <n v="0"/>
    <n v="0"/>
    <n v="0"/>
    <n v="0"/>
    <n v="0"/>
    <n v="20646.05"/>
    <n v="0"/>
    <n v="0"/>
    <n v="0"/>
    <n v="0"/>
    <n v="0"/>
    <n v="0"/>
    <n v="0"/>
    <n v="0"/>
    <n v="20646.05"/>
    <n v="0"/>
    <n v="0"/>
    <n v="0"/>
    <n v="0"/>
    <n v="0"/>
    <n v="0"/>
    <m/>
    <s v="Dumraon"/>
    <m/>
    <n v="0"/>
  </r>
  <r>
    <s v="Munger"/>
    <s v="01-02 Apr"/>
    <n v="1014"/>
    <s v="Dumraon"/>
    <x v="617"/>
    <s v="Gomukh Ataon"/>
    <s v="MPG"/>
    <s v="Direct"/>
    <n v="260"/>
    <n v="10851.69"/>
    <n v="262.48"/>
    <n v="10947.675589325458"/>
    <n v="0"/>
    <n v="0"/>
    <n v="262.48"/>
    <n v="10947.675589325458"/>
    <n v="10851.69"/>
    <n v="0"/>
    <n v="0"/>
    <n v="95.985589325457113"/>
    <n v="0"/>
    <n v="0"/>
    <n v="0"/>
    <n v="10852"/>
    <n v="0"/>
    <n v="0"/>
    <n v="0"/>
    <n v="0"/>
    <n v="0"/>
    <n v="0"/>
    <n v="-8.8452203597280347E-3"/>
    <n v="2"/>
    <m/>
    <s v="Dumraon"/>
    <m/>
    <n v="0"/>
  </r>
  <r>
    <s v="Munger"/>
    <s v="01-02 Apr"/>
    <n v="1014"/>
    <s v="Dumraon"/>
    <x v="618"/>
    <s v="Gumukh Gayghat"/>
    <s v="MPG"/>
    <s v="Direct"/>
    <n v="210"/>
    <n v="7930.58"/>
    <n v="160.88"/>
    <n v="7499.7957445515613"/>
    <n v="69.699999999999989"/>
    <n v="2870.8305888239997"/>
    <n v="230.57999999999998"/>
    <n v="10370.626333375561"/>
    <n v="7930.58"/>
    <n v="0"/>
    <n v="111.366324432"/>
    <n v="2440.0463333755615"/>
    <n v="0"/>
    <n v="0"/>
    <n v="0"/>
    <n v="5060"/>
    <n v="2759"/>
    <n v="0"/>
    <n v="0"/>
    <n v="0"/>
    <n v="0"/>
    <n v="0"/>
    <n v="-0.30767564709965245"/>
    <n v="5"/>
    <m/>
    <s v="Dumraon"/>
    <m/>
    <n v="0"/>
  </r>
  <r>
    <s v="Munger"/>
    <s v="01-02 Apr"/>
    <n v="1014"/>
    <s v="Dumraon"/>
    <x v="619"/>
    <s v="Gomukh Shivpur"/>
    <s v="MPG"/>
    <s v="Direct"/>
    <n v="44.4"/>
    <n v="1628.99"/>
    <n v="45.5"/>
    <n v="1726.062740676"/>
    <n v="0"/>
    <n v="0"/>
    <n v="45.5"/>
    <n v="1726.062740676"/>
    <n v="1628.99"/>
    <n v="0"/>
    <n v="0"/>
    <n v="97.072740675999967"/>
    <n v="0"/>
    <n v="0"/>
    <n v="0"/>
    <n v="1629"/>
    <n v="0"/>
    <n v="0"/>
    <n v="0"/>
    <n v="0"/>
    <n v="114.17605585585585"/>
    <n v="22.2"/>
    <n v="-5.9590752967175961E-2"/>
    <n v="1"/>
    <m/>
    <s v="Dumraon"/>
    <m/>
    <n v="0"/>
  </r>
  <r>
    <s v="Munger"/>
    <s v="01-02 Apr"/>
    <n v="1014"/>
    <s v="Dumraon"/>
    <x v="620"/>
    <s v="Gomukh Chakki Janardan Yadav"/>
    <s v="vlc"/>
    <s v="Indirect"/>
    <n v="82.2"/>
    <n v="3056.46"/>
    <n v="0"/>
    <n v="0"/>
    <n v="0"/>
    <n v="0"/>
    <n v="0"/>
    <n v="0"/>
    <n v="3056.46"/>
    <n v="0"/>
    <n v="0"/>
    <n v="0"/>
    <n v="0"/>
    <n v="0"/>
    <n v="0"/>
    <n v="0"/>
    <n v="0"/>
    <n v="3056.46"/>
    <n v="0"/>
    <n v="0"/>
    <n v="87.603646715328466"/>
    <n v="41.1"/>
    <n v="0"/>
    <n v="0"/>
    <m/>
    <s v="Dumraon"/>
    <m/>
    <n v="0"/>
  </r>
  <r>
    <s v="Munger"/>
    <s v="01-02 Apr"/>
    <n v="1060"/>
    <s v="Behiya BMC"/>
    <x v="621"/>
    <s v="Gomukh Rajpur"/>
    <s v="MPG"/>
    <s v="Direct"/>
    <n v="370"/>
    <n v="15148.659999999998"/>
    <n v="381.91"/>
    <n v="14833.832932982137"/>
    <n v="4.47"/>
    <n v="177.59895832800004"/>
    <n v="386.38000000000005"/>
    <n v="15011.431891310138"/>
    <n v="15011.431891310138"/>
    <n v="0"/>
    <n v="177.59895832800004"/>
    <n v="0"/>
    <n v="0"/>
    <n v="0"/>
    <n v="0"/>
    <n v="14833"/>
    <n v="0"/>
    <n v="0"/>
    <n v="138"/>
    <n v="0"/>
    <n v="0"/>
    <n v="0"/>
    <n v="9.0587622066809984E-3"/>
    <n v="33"/>
    <m/>
    <s v="Behiya BMC"/>
    <m/>
    <n v="0"/>
  </r>
  <r>
    <s v="Munger"/>
    <s v="01-02 Apr"/>
    <n v="1014"/>
    <s v="Dumraon"/>
    <x v="622"/>
    <s v="Gomukh Gangauli Dubha"/>
    <s v="MPG"/>
    <s v="Direct"/>
    <n v="69.8"/>
    <n v="2560.66"/>
    <n v="69.899999999999991"/>
    <n v="2540.8919527200001"/>
    <n v="0.79999999999999993"/>
    <n v="29.093680440000004"/>
    <n v="70.699999999999989"/>
    <n v="2569.9856331599999"/>
    <n v="2560.66"/>
    <n v="0"/>
    <n v="29.093680440000004"/>
    <n v="9.3256331600000522"/>
    <n v="0"/>
    <n v="0"/>
    <n v="0"/>
    <n v="2532"/>
    <n v="0"/>
    <n v="0"/>
    <n v="0"/>
    <n v="0"/>
    <n v="95.529493409742116"/>
    <n v="34.9"/>
    <n v="-3.6418865292541973E-3"/>
    <n v="4"/>
    <m/>
    <s v="Dumraon"/>
    <m/>
    <n v="0"/>
  </r>
  <r>
    <s v="Munger"/>
    <s v="01-02 Apr"/>
    <n v="1060"/>
    <s v="Behiya BMC"/>
    <x v="623"/>
    <s v="Tiyar A2 Milk Producer Company Limited"/>
    <s v="vlc"/>
    <s v="Indirect"/>
    <n v="565.19999999999993"/>
    <n v="23384.039999999997"/>
    <n v="0"/>
    <n v="0"/>
    <n v="0"/>
    <n v="0"/>
    <n v="0"/>
    <n v="0"/>
    <n v="23384.039999999997"/>
    <n v="0"/>
    <n v="0"/>
    <n v="0"/>
    <n v="0"/>
    <n v="0"/>
    <n v="0"/>
    <n v="0"/>
    <n v="0"/>
    <n v="23384.039999999997"/>
    <n v="0"/>
    <n v="0"/>
    <n v="0"/>
    <n v="0"/>
    <n v="0"/>
    <n v="0"/>
    <m/>
    <s v="Behiya BMC"/>
    <m/>
    <n v="0"/>
  </r>
  <r>
    <s v="Munger"/>
    <s v="01-02 Apr"/>
    <n v="1060"/>
    <s v="Behiya BMC"/>
    <x v="624"/>
    <s v="Gomukh Uttardahan"/>
    <s v="MPG"/>
    <s v="Direct"/>
    <n v="88.3"/>
    <n v="4021.84"/>
    <n v="81.09"/>
    <n v="3861.4997151414163"/>
    <n v="0"/>
    <n v="0"/>
    <n v="81.09"/>
    <n v="3861.4997151414163"/>
    <n v="3861.4997151414163"/>
    <n v="0"/>
    <n v="0"/>
    <n v="0"/>
    <n v="0"/>
    <n v="0"/>
    <n v="0"/>
    <n v="3863"/>
    <n v="0"/>
    <n v="0"/>
    <n v="159"/>
    <n v="0"/>
    <n v="101.7530074745187"/>
    <n v="44.15"/>
    <n v="3.9867395236653821E-2"/>
    <n v="12"/>
    <m/>
    <s v="Behiya BMC"/>
    <m/>
    <n v="0"/>
  </r>
  <r>
    <s v="Munger"/>
    <s v="01-02 Apr"/>
    <n v="1014"/>
    <s v="Dumraon"/>
    <x v="625"/>
    <s v="Gomukh Jagdishpur"/>
    <s v="MPG"/>
    <s v="Direct"/>
    <n v="656.80000000000007"/>
    <n v="21015.949999999997"/>
    <n v="652"/>
    <n v="21000.304512000002"/>
    <n v="0"/>
    <n v="0"/>
    <n v="652"/>
    <n v="21000.304512000002"/>
    <n v="21000.304512000002"/>
    <n v="0"/>
    <n v="0"/>
    <n v="0"/>
    <n v="0"/>
    <n v="0"/>
    <n v="0"/>
    <n v="21000"/>
    <n v="0"/>
    <n v="0"/>
    <n v="16"/>
    <n v="0"/>
    <n v="0"/>
    <n v="0"/>
    <n v="7.4445780466715324E-4"/>
    <n v="1"/>
    <m/>
    <s v="Dumraon"/>
    <m/>
    <n v="0"/>
  </r>
  <r>
    <s v="Munger"/>
    <s v="01-02 Apr"/>
    <n v="1014"/>
    <s v="Dumraon"/>
    <x v="626"/>
    <s v="Gaya Jee Pathak"/>
    <s v="vlc"/>
    <s v="Indirect"/>
    <n v="241"/>
    <n v="8611.369999999999"/>
    <n v="0"/>
    <n v="0"/>
    <n v="0"/>
    <n v="0"/>
    <n v="0"/>
    <n v="0"/>
    <n v="8611.369999999999"/>
    <n v="0"/>
    <n v="0"/>
    <n v="0"/>
    <n v="0"/>
    <n v="0"/>
    <n v="0"/>
    <n v="0"/>
    <n v="0"/>
    <n v="8611.369999999999"/>
    <n v="0"/>
    <n v="0"/>
    <n v="0"/>
    <n v="0"/>
    <n v="0"/>
    <n v="0"/>
    <m/>
    <s v="Dumraon"/>
    <m/>
    <n v="0"/>
  </r>
  <r>
    <s v="Munger"/>
    <s v="01-02 Apr"/>
    <n v="1014"/>
    <s v="Dumraon"/>
    <x v="627"/>
    <s v="Gumukh Orap Khurd"/>
    <s v="MPG"/>
    <s v="Direct"/>
    <n v="154.6"/>
    <n v="5754.9400000000005"/>
    <n v="156"/>
    <n v="5745.3347952000013"/>
    <n v="0"/>
    <n v="0"/>
    <n v="156"/>
    <n v="5745.3347952000013"/>
    <n v="5745.3347952000013"/>
    <n v="0"/>
    <n v="0"/>
    <n v="0"/>
    <n v="0"/>
    <n v="0"/>
    <n v="0"/>
    <n v="5745"/>
    <n v="0"/>
    <n v="0"/>
    <n v="10"/>
    <n v="0"/>
    <n v="33.800035705045282"/>
    <n v="77.3"/>
    <n v="1.6690364799631669E-3"/>
    <n v="1"/>
    <m/>
    <s v="Dumraon"/>
    <m/>
    <n v="0"/>
  </r>
  <r>
    <s v="Munger"/>
    <s v="01-02 Apr"/>
    <n v="1014"/>
    <s v="Dumraon"/>
    <x v="628"/>
    <s v="Gomukh Daunpura Manendra"/>
    <s v="vlc"/>
    <s v="Indirect"/>
    <n v="81.2"/>
    <n v="2943.33"/>
    <n v="0"/>
    <n v="0"/>
    <n v="0"/>
    <n v="0"/>
    <n v="0"/>
    <n v="0"/>
    <n v="2943.33"/>
    <n v="0"/>
    <n v="0"/>
    <n v="0"/>
    <n v="0"/>
    <n v="0"/>
    <n v="0"/>
    <n v="0"/>
    <n v="0"/>
    <n v="2943.33"/>
    <n v="0"/>
    <n v="0"/>
    <n v="86.125025615763533"/>
    <n v="40.6"/>
    <n v="0"/>
    <n v="0"/>
    <m/>
    <s v="Dumraon"/>
    <m/>
    <n v="0"/>
  </r>
  <r>
    <s v="Munger"/>
    <s v="01-02 Apr"/>
    <n v="1014"/>
    <s v="Dumraon"/>
    <x v="629"/>
    <s v="Gumukh Mathiyapur"/>
    <s v="MPG"/>
    <s v="Direct"/>
    <n v="84.9"/>
    <n v="3472.0799999999995"/>
    <n v="84.92"/>
    <n v="4004.8223685201001"/>
    <n v="0"/>
    <n v="0"/>
    <n v="84.92"/>
    <n v="4004.8223685201001"/>
    <n v="3472.0799999999995"/>
    <n v="0"/>
    <n v="0"/>
    <n v="532.74236852010063"/>
    <n v="0"/>
    <n v="0"/>
    <n v="0"/>
    <n v="3472"/>
    <n v="0"/>
    <n v="0"/>
    <n v="0"/>
    <n v="0"/>
    <n v="94.142852296819768"/>
    <n v="42.45"/>
    <n v="-0.15343608687590743"/>
    <n v="1"/>
    <m/>
    <s v="Dumraon"/>
    <m/>
    <n v="0"/>
  </r>
  <r>
    <s v="Munger"/>
    <s v="01-02 Apr"/>
    <n v="1014"/>
    <s v="Dumraon"/>
    <x v="630"/>
    <s v="Gomukh Raghunathpur Dasrath"/>
    <s v="vlc"/>
    <s v="Indirect"/>
    <n v="376.2"/>
    <n v="15071.04"/>
    <n v="0"/>
    <n v="0"/>
    <n v="0"/>
    <n v="0"/>
    <n v="0"/>
    <n v="0"/>
    <n v="15071.04"/>
    <n v="0"/>
    <n v="0"/>
    <n v="0"/>
    <n v="0"/>
    <n v="0"/>
    <n v="0"/>
    <n v="0"/>
    <n v="0"/>
    <n v="15071.04"/>
    <n v="0"/>
    <n v="0"/>
    <n v="0"/>
    <n v="0"/>
    <n v="0"/>
    <n v="0"/>
    <m/>
    <s v="Dumraon"/>
    <m/>
    <n v="0"/>
  </r>
  <r>
    <s v="Munger"/>
    <s v="01-02 Apr"/>
    <n v="1014"/>
    <s v="Dumraon"/>
    <x v="631"/>
    <s v="Gomukh Lakshman Dera Raja"/>
    <s v="vlc"/>
    <s v="Indirect"/>
    <n v="153.5"/>
    <n v="5304.2300000000005"/>
    <n v="0"/>
    <n v="0"/>
    <n v="0"/>
    <n v="0"/>
    <n v="0"/>
    <n v="0"/>
    <n v="5304.2300000000005"/>
    <n v="0"/>
    <n v="0"/>
    <n v="0"/>
    <n v="0"/>
    <n v="0"/>
    <n v="0"/>
    <n v="0"/>
    <n v="0"/>
    <n v="5304.2300000000005"/>
    <n v="0"/>
    <n v="0"/>
    <n v="32.136377198697076"/>
    <n v="76.75"/>
    <n v="0"/>
    <n v="0"/>
    <m/>
    <s v="Dumraon"/>
    <m/>
    <n v="0"/>
  </r>
  <r>
    <s v="Munger"/>
    <s v="01-02 Apr"/>
    <n v="1014"/>
    <s v="Dumraon"/>
    <x v="632"/>
    <s v="Sohan Narayan Farmer Dairy Producer Company Ltd"/>
    <s v="vlc"/>
    <s v="Indirect"/>
    <n v="1558.2"/>
    <n v="55735.34"/>
    <n v="0"/>
    <n v="0"/>
    <n v="0"/>
    <n v="0"/>
    <n v="0"/>
    <n v="0"/>
    <n v="55735.34"/>
    <n v="0"/>
    <n v="0"/>
    <n v="0"/>
    <n v="0"/>
    <n v="0"/>
    <n v="0"/>
    <n v="0"/>
    <n v="0"/>
    <n v="55735.34"/>
    <n v="0"/>
    <n v="0"/>
    <n v="0"/>
    <n v="0"/>
    <n v="0"/>
    <n v="0"/>
    <m/>
    <s v="Dumraon"/>
    <m/>
    <n v="0"/>
  </r>
  <r>
    <s v="Munger"/>
    <s v="01-02 Apr"/>
    <n v="1014"/>
    <s v="Dumraon"/>
    <x v="633"/>
    <s v="Gumukh Niyajipur Nakchhedi Pathak Dera"/>
    <s v="MPG"/>
    <s v="Direct"/>
    <n v="80.800000000000011"/>
    <n v="3260.41"/>
    <n v="81.100000000000009"/>
    <n v="3253.1106761999999"/>
    <n v="0"/>
    <n v="0"/>
    <n v="81.100000000000009"/>
    <n v="3253.1106761999999"/>
    <n v="3253.1106761999999"/>
    <n v="0"/>
    <n v="0"/>
    <n v="0"/>
    <n v="0"/>
    <n v="0"/>
    <n v="0"/>
    <n v="3253"/>
    <n v="0"/>
    <n v="0"/>
    <n v="7"/>
    <n v="0"/>
    <n v="96.198235643564331"/>
    <n v="40.400000000000006"/>
    <n v="2.2387748166641346E-3"/>
    <n v="1"/>
    <m/>
    <s v="Dumraon"/>
    <m/>
    <n v="0"/>
  </r>
  <r>
    <s v="Munger"/>
    <s v="01-02 Apr"/>
    <n v="1014"/>
    <s v="Dumraon"/>
    <x v="634"/>
    <s v="Gumukh Basawkala Dahpura Tola"/>
    <s v="MPG"/>
    <s v="Direct"/>
    <n v="166.9"/>
    <n v="7375.66"/>
    <n v="161.24"/>
    <n v="7365.1238892480014"/>
    <n v="0"/>
    <n v="0"/>
    <n v="161.24"/>
    <n v="7365.1238892480014"/>
    <n v="7365.1238892480014"/>
    <n v="0"/>
    <n v="0"/>
    <n v="0"/>
    <n v="0"/>
    <n v="0"/>
    <n v="0"/>
    <n v="7365"/>
    <n v="0"/>
    <n v="0"/>
    <n v="11"/>
    <n v="0"/>
    <n v="29.255164289993999"/>
    <n v="83.45"/>
    <n v="1.4284973483048868E-3"/>
    <n v="1"/>
    <m/>
    <s v="Dumraon"/>
    <m/>
    <n v="0"/>
  </r>
  <r>
    <s v="Munger"/>
    <s v="01-02 Apr"/>
    <n v="1002"/>
    <s v="Laldiyara"/>
    <x v="635"/>
    <s v="Gaachhi Tola"/>
    <s v="vlc"/>
    <s v="Indirect"/>
    <n v="257.7"/>
    <n v="10522.26"/>
    <n v="0"/>
    <n v="0"/>
    <n v="0"/>
    <n v="0"/>
    <n v="0"/>
    <n v="0"/>
    <n v="10522.26"/>
    <n v="0"/>
    <n v="0"/>
    <n v="0"/>
    <n v="0"/>
    <n v="0"/>
    <n v="0"/>
    <n v="0"/>
    <n v="0"/>
    <n v="10522.26"/>
    <n v="0"/>
    <n v="0"/>
    <n v="0"/>
    <n v="0"/>
    <n v="0"/>
    <n v="0"/>
    <m/>
    <s v="Laldiyara"/>
    <m/>
    <n v="0"/>
  </r>
  <r>
    <s v="Munger"/>
    <s v="01-02 Apr"/>
    <n v="1003"/>
    <s v="Asarganj"/>
    <x v="636"/>
    <s v="VISHWASHPUR"/>
    <s v="RMC"/>
    <s v="Direct"/>
    <n v="51"/>
    <n v="1764.09"/>
    <n v="84.40000000000002"/>
    <n v="2939.8284184499998"/>
    <n v="1.3"/>
    <n v="43.273577952000011"/>
    <n v="85.700000000000017"/>
    <n v="2983.1019964019997"/>
    <n v="1764.09"/>
    <n v="0"/>
    <n v="43.273577952000011"/>
    <n v="1219.0119964019998"/>
    <n v="0"/>
    <n v="0"/>
    <n v="0"/>
    <n v="1721"/>
    <n v="0"/>
    <n v="0"/>
    <n v="0"/>
    <s v="Release1"/>
    <n v="103.0782"/>
    <n v="25.5"/>
    <n v="-0.69101462873322783"/>
    <n v="14"/>
    <m/>
    <s v="Asarganj"/>
    <m/>
    <n v="0"/>
  </r>
  <r>
    <s v="Munger"/>
    <s v="01-02 Apr"/>
    <n v="1003"/>
    <s v="Asarganj"/>
    <x v="637"/>
    <s v="KHARIYA"/>
    <s v="MPG"/>
    <s v="Direct"/>
    <n v="11.1"/>
    <n v="478.08000000000004"/>
    <n v="10.5"/>
    <n v="490.41921972120008"/>
    <n v="0.2"/>
    <n v="8.012620440000001"/>
    <n v="10.7"/>
    <n v="498.43184016120006"/>
    <n v="478.08000000000004"/>
    <n v="0"/>
    <n v="8.012620440000001"/>
    <n v="20.351840161200016"/>
    <n v="0"/>
    <n v="0"/>
    <n v="0"/>
    <n v="470"/>
    <n v="0"/>
    <n v="0"/>
    <n v="0"/>
    <s v="Release1"/>
    <n v="162.71948108108111"/>
    <n v="5.55"/>
    <n v="-4.2569946789658662E-2"/>
    <n v="3"/>
    <m/>
    <s v="Asarganj"/>
    <m/>
    <n v="0"/>
  </r>
  <r>
    <s v="Munger"/>
    <s v="01-02 Apr"/>
    <n v="1003"/>
    <s v="Asarganj"/>
    <x v="638"/>
    <s v="KUMARPUIR KATHARA"/>
    <s v="RMC"/>
    <s v="Direct"/>
    <n v="362"/>
    <n v="12944.82"/>
    <n v="423.9"/>
    <n v="14838.207895624595"/>
    <n v="5.6"/>
    <n v="269.34305578360005"/>
    <n v="429.5"/>
    <n v="15107.550951408195"/>
    <n v="12944.82"/>
    <n v="0"/>
    <n v="269.34305578360005"/>
    <n v="2162.7309514081953"/>
    <n v="0"/>
    <n v="0"/>
    <n v="0"/>
    <n v="12675"/>
    <n v="0"/>
    <n v="0"/>
    <n v="0"/>
    <s v="Release1"/>
    <n v="0"/>
    <n v="0"/>
    <n v="-0.16707308030611437"/>
    <n v="50"/>
    <m/>
    <s v="Asarganj"/>
    <m/>
    <n v="0"/>
  </r>
  <r>
    <s v="Munger"/>
    <s v="01-02 Apr"/>
    <n v="1003"/>
    <s v="Asarganj"/>
    <x v="639"/>
    <s v="KUDHIYA MPG"/>
    <s v="RMC"/>
    <s v="Direct"/>
    <n v="722"/>
    <n v="25544.36"/>
    <n v="727.50000000000011"/>
    <n v="25742.794610780002"/>
    <n v="4.5"/>
    <n v="150.28675200000004"/>
    <n v="732.00000000000011"/>
    <n v="25893.081362780002"/>
    <n v="25544.36"/>
    <n v="0"/>
    <n v="150.28675200000004"/>
    <n v="348.72136278000107"/>
    <n v="0"/>
    <n v="0"/>
    <n v="0"/>
    <n v="25394"/>
    <n v="0"/>
    <n v="0"/>
    <n v="0"/>
    <n v="0"/>
    <n v="0"/>
    <n v="0"/>
    <n v="-1.3651599131080249E-2"/>
    <n v="18"/>
    <m/>
    <s v="Asarganj"/>
    <m/>
    <n v="0"/>
  </r>
  <r>
    <s v="Munger"/>
    <s v="01-02 Apr"/>
    <n v="1003"/>
    <s v="Asarganj"/>
    <x v="640"/>
    <s v="SHAHJADPUR MPG"/>
    <s v="RMC"/>
    <s v="Direct"/>
    <n v="269"/>
    <n v="9729.73"/>
    <n v="290.7"/>
    <n v="12735.410935243099"/>
    <n v="2.2000000000000002"/>
    <n v="97.28649612000001"/>
    <n v="292.89999999999998"/>
    <n v="12832.697431363098"/>
    <n v="9729.73"/>
    <n v="0"/>
    <n v="97.28649612000001"/>
    <n v="3102.9674313630985"/>
    <n v="0"/>
    <n v="0"/>
    <n v="0"/>
    <n v="9632"/>
    <n v="0"/>
    <n v="0"/>
    <n v="0"/>
    <s v="Release1"/>
    <n v="0"/>
    <n v="0"/>
    <n v="-0.31891608825353823"/>
    <n v="13"/>
    <m/>
    <s v="Asarganj"/>
    <m/>
    <n v="0"/>
  </r>
  <r>
    <s v="Munger"/>
    <s v="01-02 Apr"/>
    <n v="1006"/>
    <s v="Sonvarsha"/>
    <x v="641"/>
    <s v="FARDA - 3"/>
    <s v="RMC"/>
    <s v="Direct"/>
    <n v="947.3"/>
    <n v="32910.810000000005"/>
    <n v="108.60000000000002"/>
    <n v="3778.3942138800003"/>
    <n v="854.20000000000016"/>
    <n v="30040.650549360002"/>
    <n v="962.80000000000018"/>
    <n v="33819.044763240003"/>
    <n v="32910.810000000005"/>
    <n v="0"/>
    <n v="82.212213599999998"/>
    <n v="908.23476323999785"/>
    <n v="0"/>
    <n v="0"/>
    <n v="0"/>
    <n v="2871"/>
    <n v="29958"/>
    <n v="0"/>
    <n v="0"/>
    <n v="0"/>
    <n v="0"/>
    <n v="0"/>
    <n v="-2.7596852318128837E-2"/>
    <n v="14"/>
    <m/>
    <s v="Sonvarsha"/>
    <m/>
    <n v="0"/>
  </r>
  <r>
    <s v="Munger"/>
    <s v="01-02 Apr"/>
    <n v="1006"/>
    <s v="Sonvarsha"/>
    <x v="642"/>
    <s v="CHANDANPURA"/>
    <s v="vlc"/>
    <s v="Indirect"/>
    <n v="159.9"/>
    <n v="9287.07"/>
    <n v="0"/>
    <n v="0"/>
    <n v="0"/>
    <n v="0"/>
    <n v="0"/>
    <n v="0"/>
    <n v="9287.07"/>
    <n v="0"/>
    <n v="0"/>
    <n v="0"/>
    <n v="0"/>
    <n v="0"/>
    <n v="0"/>
    <n v="0"/>
    <n v="0"/>
    <n v="9287.07"/>
    <n v="0"/>
    <n v="0"/>
    <n v="46.580551219512188"/>
    <n v="79.95"/>
    <n v="0"/>
    <n v="0"/>
    <m/>
    <s v="Sonvarsha"/>
    <m/>
    <n v="0"/>
  </r>
  <r>
    <s v="Munger"/>
    <s v="01-02 Apr"/>
    <n v="1006"/>
    <s v="Sonvarsha"/>
    <x v="643"/>
    <s v="MANIKPUR"/>
    <s v="RMC"/>
    <s v="Direct"/>
    <n v="311.7"/>
    <n v="12469.78"/>
    <n v="0"/>
    <n v="0"/>
    <n v="307.60000000000002"/>
    <n v="12296.196594000001"/>
    <n v="307.60000000000002"/>
    <n v="12296.196594000001"/>
    <n v="12296.196594000001"/>
    <n v="0"/>
    <n v="63.018568800000004"/>
    <n v="0"/>
    <n v="0"/>
    <n v="0"/>
    <n v="0"/>
    <n v="0"/>
    <n v="12234"/>
    <n v="0"/>
    <n v="173"/>
    <n v="0"/>
    <n v="0"/>
    <n v="0"/>
    <n v="1.3920326260768012E-2"/>
    <n v="10"/>
    <m/>
    <s v="Sonvarsha"/>
    <m/>
    <n v="0"/>
  </r>
  <r>
    <s v="Munger"/>
    <s v="01-02 Apr"/>
    <n v="1006"/>
    <s v="Sonvarsha"/>
    <x v="644"/>
    <s v="JAKARPURA"/>
    <s v="vlc"/>
    <s v="Indirect"/>
    <n v="870.2"/>
    <n v="32499.29"/>
    <n v="0"/>
    <n v="0"/>
    <n v="0"/>
    <n v="0"/>
    <n v="0"/>
    <n v="0"/>
    <n v="32499.29"/>
    <n v="0"/>
    <n v="0"/>
    <n v="0"/>
    <n v="0"/>
    <n v="0"/>
    <n v="0"/>
    <n v="0"/>
    <n v="0"/>
    <n v="32499.29"/>
    <n v="0"/>
    <n v="0"/>
    <n v="0"/>
    <n v="0"/>
    <n v="0"/>
    <n v="0"/>
    <m/>
    <s v="Sonvarsha"/>
    <m/>
    <n v="0"/>
  </r>
  <r>
    <s v="Munger"/>
    <s v="01-02 Apr"/>
    <n v="1006"/>
    <s v="Sonvarsha"/>
    <x v="645"/>
    <s v="KISHANPUR"/>
    <s v="vlc"/>
    <s v="Indirect"/>
    <n v="1155.9000000000001"/>
    <n v="37913.240000000005"/>
    <n v="0"/>
    <n v="0"/>
    <n v="0"/>
    <n v="0"/>
    <n v="0"/>
    <n v="0"/>
    <n v="37913.240000000005"/>
    <n v="0"/>
    <n v="0"/>
    <n v="0"/>
    <n v="0"/>
    <n v="0"/>
    <n v="0"/>
    <n v="0"/>
    <n v="0"/>
    <n v="37913.240000000005"/>
    <n v="0"/>
    <n v="0"/>
    <n v="0"/>
    <n v="0"/>
    <n v="0"/>
    <n v="0"/>
    <m/>
    <s v="Sonvarsha"/>
    <m/>
    <n v="0"/>
  </r>
  <r>
    <s v="Munger"/>
    <s v="01-02 Apr"/>
    <n v="1006"/>
    <s v="Sonvarsha"/>
    <x v="646"/>
    <s v="NANDPUR"/>
    <s v="vlc"/>
    <s v="Indirect"/>
    <n v="450.7"/>
    <n v="17508.73"/>
    <n v="0"/>
    <n v="0"/>
    <n v="0"/>
    <n v="0"/>
    <n v="0"/>
    <n v="0"/>
    <n v="17508.73"/>
    <n v="0"/>
    <n v="0"/>
    <n v="0"/>
    <n v="0"/>
    <n v="0"/>
    <n v="0"/>
    <n v="0"/>
    <n v="0"/>
    <n v="17508.73"/>
    <n v="0"/>
    <n v="0"/>
    <n v="0"/>
    <n v="0"/>
    <n v="0"/>
    <n v="0"/>
    <m/>
    <s v="Sonvarsha"/>
    <m/>
    <n v="0"/>
  </r>
  <r>
    <s v="Munger"/>
    <s v="01-02 Apr"/>
    <n v="1006"/>
    <s v="Sonvarsha"/>
    <x v="647"/>
    <s v="NOWAGADHI"/>
    <s v="RMC"/>
    <s v="Direct"/>
    <n v="615"/>
    <n v="23302.35"/>
    <n v="605.79999999999995"/>
    <n v="23516.943588371007"/>
    <n v="5.6"/>
    <n v="233.46148320000003"/>
    <n v="611.4"/>
    <n v="23750.405071571007"/>
    <n v="23302.35"/>
    <n v="0"/>
    <n v="233.46148320000003"/>
    <n v="448.05507157100874"/>
    <n v="0"/>
    <n v="0"/>
    <n v="0"/>
    <n v="23069"/>
    <n v="0"/>
    <n v="0"/>
    <n v="0"/>
    <n v="0"/>
    <n v="0"/>
    <n v="0"/>
    <n v="-1.922789210405855E-2"/>
    <n v="19"/>
    <m/>
    <s v="Sonvarsha"/>
    <m/>
    <n v="0"/>
  </r>
  <r>
    <s v="Munger"/>
    <s v="01-02 Apr"/>
    <n v="1036"/>
    <s v="MAHADAT PUR 2"/>
    <x v="648"/>
    <s v="MAHADAT PUR 2"/>
    <s v="RMC"/>
    <s v="Direct"/>
    <n v="637.70000000000005"/>
    <n v="24387.870000000003"/>
    <n v="621.59999999999991"/>
    <n v="23782.420443362404"/>
    <n v="16.100000000000001"/>
    <n v="605.3694807600001"/>
    <n v="637.69999999999993"/>
    <n v="24387.789924122404"/>
    <n v="24387.789924122404"/>
    <n v="0"/>
    <n v="605.3694807600001"/>
    <n v="0"/>
    <n v="0"/>
    <n v="0"/>
    <n v="0"/>
    <n v="23783"/>
    <n v="0"/>
    <n v="0"/>
    <n v="0"/>
    <n v="0"/>
    <n v="0"/>
    <n v="0"/>
    <n v="3.2834305578377342E-6"/>
    <n v="10"/>
    <m/>
    <s v="MAHADAT PUR 2"/>
    <m/>
    <n v="0"/>
  </r>
  <r>
    <s v="Munger"/>
    <s v="01-02 Apr"/>
    <n v="1011"/>
    <s v="Sahibpur Kamal"/>
    <x v="649"/>
    <s v="Gomukh Bariyarpur"/>
    <s v="RMC"/>
    <s v="Direct"/>
    <n v="658.09999999999991"/>
    <n v="22642.799999999999"/>
    <n v="655"/>
    <n v="22393.831680000007"/>
    <n v="0"/>
    <n v="0"/>
    <n v="655"/>
    <n v="22393.831680000007"/>
    <n v="22393.831680000007"/>
    <n v="0"/>
    <n v="0"/>
    <n v="0"/>
    <n v="0"/>
    <n v="0"/>
    <n v="0"/>
    <n v="22394"/>
    <n v="0"/>
    <n v="0"/>
    <n v="249"/>
    <n v="0"/>
    <n v="0"/>
    <n v="0"/>
    <n v="1.0995474057978372E-2"/>
    <n v="1"/>
    <m/>
    <s v="Sahibpur Kamal"/>
    <m/>
    <n v="0"/>
  </r>
  <r>
    <s v="Munger"/>
    <s v="01-02 Apr"/>
    <n v="1011"/>
    <s v="Sahibpur Kamal"/>
    <x v="650"/>
    <s v="Gomukh Sadananpur"/>
    <s v="MPG"/>
    <s v="Direct"/>
    <n v="56"/>
    <n v="1808.0900000000001"/>
    <n v="77.7"/>
    <n v="2736.3896247600001"/>
    <n v="0"/>
    <n v="0"/>
    <n v="77.7"/>
    <n v="2736.3896247600001"/>
    <n v="1808.0900000000001"/>
    <n v="0"/>
    <n v="0"/>
    <n v="928.29962475999992"/>
    <n v="0"/>
    <n v="0"/>
    <n v="0"/>
    <n v="0"/>
    <n v="0"/>
    <n v="0"/>
    <n v="1808"/>
    <s v="Yes"/>
    <n v="92.987485714285725"/>
    <n v="28"/>
    <n v="-0.51341450080471651"/>
    <n v="1"/>
    <m/>
    <s v="Sahibpur Kamal"/>
    <m/>
    <n v="0"/>
  </r>
  <r>
    <s v="Munger"/>
    <s v="01-02 Apr"/>
    <n v="1003"/>
    <s v="Asarganj"/>
    <x v="651"/>
    <s v="TILAKPUR  2"/>
    <s v="RMC"/>
    <s v="Direct"/>
    <n v="65.45"/>
    <n v="2341.2399999999998"/>
    <n v="65.400000000000006"/>
    <n v="2343.9397661459998"/>
    <n v="0.6"/>
    <n v="20.600534196000002"/>
    <n v="66"/>
    <n v="2364.5403003419997"/>
    <n v="2341.2399999999998"/>
    <n v="0"/>
    <n v="20.600534196000002"/>
    <n v="23.3003003419999"/>
    <n v="0"/>
    <n v="0"/>
    <n v="0"/>
    <n v="2320"/>
    <n v="0"/>
    <n v="0"/>
    <n v="1"/>
    <n v="0"/>
    <n v="96.260914285714279"/>
    <n v="32.725000000000001"/>
    <n v="-9.9521195358014992E-3"/>
    <n v="7"/>
    <m/>
    <s v="Asarganj"/>
    <m/>
    <n v="0"/>
  </r>
  <r>
    <s v="Munger"/>
    <s v="01-02 Apr"/>
    <n v="1003"/>
    <s v="Asarganj"/>
    <x v="652"/>
    <s v="TILAKPUR"/>
    <s v="MPG"/>
    <s v="Direct"/>
    <n v="193.14999999999998"/>
    <n v="6748.9500000000007"/>
    <n v="192.6"/>
    <n v="6706.2703712400016"/>
    <n v="0.4"/>
    <n v="13.675622400000004"/>
    <n v="193"/>
    <n v="6719.9459936400017"/>
    <n v="6719.9459936400017"/>
    <n v="0"/>
    <n v="13.675622400000004"/>
    <n v="0"/>
    <n v="0"/>
    <n v="0"/>
    <n v="0"/>
    <n v="6707"/>
    <n v="0"/>
    <n v="0"/>
    <n v="28"/>
    <n v="0"/>
    <n v="4.7869849857623779"/>
    <n v="96.574999999999989"/>
    <n v="4.2975583401861084E-3"/>
    <n v="4"/>
    <m/>
    <s v="Asarganj"/>
    <m/>
    <n v="0"/>
  </r>
  <r>
    <s v="Munger"/>
    <s v="01-02 Apr"/>
    <n v="1036"/>
    <s v="MAHADAT PUR 2"/>
    <x v="653"/>
    <s v="Prasharpur Kadwa Gomukh"/>
    <s v="MPG"/>
    <s v="Direct"/>
    <n v="134.9"/>
    <n v="5002.1000000000004"/>
    <n v="134.1"/>
    <n v="4972.1733824399998"/>
    <n v="1.2"/>
    <n v="44.630475120000007"/>
    <n v="135.29999999999998"/>
    <n v="5016.8038575599994"/>
    <n v="5002.1000000000004"/>
    <n v="0"/>
    <n v="44.630475120000007"/>
    <n v="14.703857559999051"/>
    <n v="0"/>
    <n v="0"/>
    <n v="0"/>
    <n v="4957"/>
    <n v="0"/>
    <n v="0"/>
    <n v="0"/>
    <n v="0"/>
    <n v="48.278237212750184"/>
    <n v="67.45"/>
    <n v="-2.9395369064990802E-3"/>
    <n v="3"/>
    <m/>
    <s v="MAHADAT PUR 2"/>
    <m/>
    <n v="0"/>
  </r>
  <r>
    <s v="Munger"/>
    <s v="01-02 Apr"/>
    <n v="1036"/>
    <s v="MAHADAT PUR 2"/>
    <x v="654"/>
    <s v="Borwa Tola Gomukh"/>
    <s v="vlc"/>
    <s v="Indirect"/>
    <n v="89.9"/>
    <n v="3222.82"/>
    <n v="89.9"/>
    <n v="3211.0873344000006"/>
    <n v="0"/>
    <n v="0"/>
    <n v="89.9"/>
    <n v="3211.0873344000006"/>
    <n v="3222.82"/>
    <n v="0"/>
    <n v="0"/>
    <n v="0"/>
    <n v="0"/>
    <n v="0"/>
    <n v="0"/>
    <n v="0"/>
    <n v="0"/>
    <n v="3222.82"/>
    <n v="0"/>
    <n v="0"/>
    <n v="78.939373081201325"/>
    <n v="44.95"/>
    <n v="0"/>
    <n v="1"/>
    <m/>
    <s v="MAHADAT PUR 2"/>
    <m/>
    <n v="0"/>
  </r>
  <r>
    <s v="Munger"/>
    <s v="01-02 Apr"/>
    <n v="1036"/>
    <s v="MAHADAT PUR 2"/>
    <x v="655"/>
    <s v="Gomukh Vijay Lalganj"/>
    <s v="MPG"/>
    <s v="Direct"/>
    <n v="72.3"/>
    <n v="2831.79"/>
    <n v="75.400000000000006"/>
    <n v="2967.5474729999996"/>
    <n v="0.4"/>
    <n v="15.734834280000001"/>
    <n v="75.800000000000011"/>
    <n v="2983.2823072799997"/>
    <n v="2831.79"/>
    <n v="0"/>
    <n v="15.734834280000001"/>
    <n v="151.49230727999975"/>
    <n v="0"/>
    <n v="0"/>
    <n v="0"/>
    <n v="2816"/>
    <n v="0"/>
    <n v="0"/>
    <n v="0"/>
    <n v="0"/>
    <n v="100.03307966804979"/>
    <n v="36.15"/>
    <n v="-5.3497013295477333E-2"/>
    <n v="5"/>
    <m/>
    <s v="MAHADAT PUR 2"/>
    <m/>
    <n v="0"/>
  </r>
  <r>
    <s v="Munger"/>
    <s v="01-02 Apr"/>
    <n v="1036"/>
    <s v="MAHADAT PUR 2"/>
    <x v="656"/>
    <s v="Gomukh Sarswati Nagar Nakdahri"/>
    <s v="MPG"/>
    <s v="Direct"/>
    <n v="158.60000000000002"/>
    <n v="5990.4"/>
    <n v="104.07999999999998"/>
    <n v="4140.2695094640003"/>
    <n v="63.39"/>
    <n v="2458.2151804320001"/>
    <n v="167.46999999999997"/>
    <n v="6598.4846898960004"/>
    <n v="5990.4"/>
    <n v="0"/>
    <n v="40.896048600000007"/>
    <n v="608.08468989600078"/>
    <n v="0"/>
    <n v="0"/>
    <n v="0"/>
    <n v="3532"/>
    <n v="2417"/>
    <n v="0"/>
    <n v="1"/>
    <n v="0"/>
    <n v="31.27396721311473"/>
    <n v="79.300000000000011"/>
    <n v="-0.10150986409855783"/>
    <n v="9"/>
    <m/>
    <s v="MAHADAT PUR 2"/>
    <m/>
    <n v="0"/>
  </r>
  <r>
    <s v="Munger"/>
    <s v="01-02 Apr"/>
    <n v="1036"/>
    <s v="MAHADAT PUR 2"/>
    <x v="657"/>
    <s v="Gomukh Krishna Dairy Tulsipur"/>
    <s v="MPG"/>
    <s v="Direct"/>
    <n v="154.30000000000001"/>
    <n v="5649.170000000001"/>
    <n v="147.94"/>
    <n v="6081.9190810489454"/>
    <n v="0"/>
    <n v="0"/>
    <n v="147.94"/>
    <n v="6081.9190810489454"/>
    <n v="5649.170000000001"/>
    <n v="0"/>
    <n v="0"/>
    <n v="432.74908104894439"/>
    <n v="0"/>
    <n v="0"/>
    <n v="0"/>
    <n v="5649"/>
    <n v="0"/>
    <n v="0"/>
    <n v="0"/>
    <n v="0"/>
    <n v="33.463003110823067"/>
    <n v="77.150000000000006"/>
    <n v="-7.6604011040373066E-2"/>
    <n v="10"/>
    <m/>
    <s v="MAHADAT PUR 2"/>
    <m/>
    <n v="0"/>
  </r>
  <r>
    <s v="Munger"/>
    <s v="01-02 Apr"/>
    <n v="1036"/>
    <s v="MAHADAT PUR 2"/>
    <x v="658"/>
    <s v="Gomukh Lauwalagam"/>
    <s v="MPG"/>
    <s v="Direct"/>
    <n v="35.700000000000003"/>
    <n v="1204.72"/>
    <n v="35.700000000000003"/>
    <n v="1204.3669374000001"/>
    <n v="0"/>
    <n v="0"/>
    <n v="35.700000000000003"/>
    <n v="1204.3669374000001"/>
    <n v="1204.3669374000001"/>
    <n v="0"/>
    <n v="0"/>
    <n v="0"/>
    <n v="0"/>
    <n v="0"/>
    <n v="0"/>
    <n v="1204"/>
    <n v="0"/>
    <n v="0"/>
    <n v="1"/>
    <n v="0"/>
    <n v="110.8882330532213"/>
    <n v="17.850000000000001"/>
    <n v="2.9306610664712974E-4"/>
    <n v="1"/>
    <m/>
    <s v="MAHADAT PUR 2"/>
    <m/>
    <n v="0"/>
  </r>
  <r>
    <s v="Munger"/>
    <s v="01-02 Apr"/>
    <n v="1036"/>
    <s v="MAHADAT PUR 2"/>
    <x v="659"/>
    <s v="Dhobina Basa"/>
    <s v="MPG"/>
    <s v="Direct"/>
    <n v="165.1"/>
    <n v="6318.15"/>
    <n v="98.5"/>
    <n v="4901.2665732818004"/>
    <n v="108.5"/>
    <n v="4617.9701370000002"/>
    <n v="207"/>
    <n v="9519.2367102818007"/>
    <n v="6318.15"/>
    <n v="0"/>
    <n v="16.1044488"/>
    <n v="3201.0867102818011"/>
    <n v="0"/>
    <n v="0"/>
    <n v="0"/>
    <n v="1700"/>
    <n v="4602"/>
    <n v="0"/>
    <n v="0"/>
    <n v="0"/>
    <n v="26.711500302846762"/>
    <n v="82.55"/>
    <n v="-0.50664936892631562"/>
    <n v="3"/>
    <m/>
    <s v="MAHADAT PUR 2"/>
    <m/>
    <n v="0"/>
  </r>
  <r>
    <s v="Munger"/>
    <s v="01-02 Apr"/>
    <n v="1036"/>
    <s v="MAHADAT PUR 2"/>
    <x v="660"/>
    <s v="Gomukh Shreepur Madhay"/>
    <s v="MPG"/>
    <s v="Direct"/>
    <n v="469.19999999999993"/>
    <n v="18304.75"/>
    <n v="453.31"/>
    <n v="18735.888795969004"/>
    <n v="19.399999999999999"/>
    <n v="810.34351674480001"/>
    <n v="472.71"/>
    <n v="19546.232312713804"/>
    <n v="18304.75"/>
    <n v="0"/>
    <n v="428.61639894480004"/>
    <n v="1241.4823127138043"/>
    <n v="0"/>
    <n v="0"/>
    <n v="0"/>
    <n v="17494"/>
    <n v="382"/>
    <n v="0"/>
    <n v="0"/>
    <n v="0"/>
    <n v="0"/>
    <n v="0"/>
    <n v="-6.7822959216258305E-2"/>
    <n v="6"/>
    <m/>
    <s v="MAHADAT PUR 2"/>
    <m/>
    <n v="0"/>
  </r>
  <r>
    <s v="Munger"/>
    <s v="01-02 Apr"/>
    <n v="1036"/>
    <s v="MAHADAT PUR 2"/>
    <x v="661"/>
    <s v="Gomukh Dhoriya Dadpur -VLC"/>
    <s v="vlc"/>
    <s v="Indirect"/>
    <n v="65"/>
    <n v="2343.2600000000002"/>
    <n v="0"/>
    <n v="0"/>
    <n v="0"/>
    <n v="0"/>
    <n v="0"/>
    <n v="0"/>
    <n v="2343.2600000000002"/>
    <n v="0"/>
    <n v="0"/>
    <n v="0"/>
    <n v="0"/>
    <n v="0"/>
    <n v="0"/>
    <n v="0"/>
    <n v="0"/>
    <n v="2343.2600000000002"/>
    <n v="0"/>
    <n v="0"/>
    <n v="97.335415384615388"/>
    <n v="32.5"/>
    <n v="0"/>
    <n v="0"/>
    <m/>
    <s v="MAHADAT PUR 2"/>
    <m/>
    <n v="0"/>
  </r>
  <r>
    <s v="Munger"/>
    <s v="01-02 Apr"/>
    <n v="1036"/>
    <s v="MAHADAT PUR 2"/>
    <x v="662"/>
    <s v="Gomukh Mohanpur  VLC"/>
    <s v="vlc"/>
    <s v="Indirect"/>
    <n v="131.19999999999999"/>
    <n v="4622.72"/>
    <n v="0"/>
    <n v="0"/>
    <n v="0"/>
    <n v="0"/>
    <n v="0"/>
    <n v="0"/>
    <n v="4622.72"/>
    <n v="0"/>
    <n v="0"/>
    <n v="0"/>
    <n v="0"/>
    <n v="0"/>
    <n v="0"/>
    <n v="0"/>
    <n v="0"/>
    <n v="4622.72"/>
    <n v="0"/>
    <n v="0"/>
    <n v="48.482185365853674"/>
    <n v="65.599999999999994"/>
    <n v="0"/>
    <n v="0"/>
    <m/>
    <s v="MAHADAT PUR 2"/>
    <m/>
    <n v="0"/>
  </r>
  <r>
    <s v="Munger"/>
    <s v="01-02 Apr"/>
    <n v="1036"/>
    <s v="MAHADAT PUR 2"/>
    <x v="663"/>
    <s v="Gomukh Abhirampur VLC"/>
    <s v="vlc"/>
    <s v="Indirect"/>
    <n v="30.799999999999997"/>
    <n v="1208.6600000000001"/>
    <n v="0"/>
    <n v="0"/>
    <n v="0"/>
    <n v="0"/>
    <n v="0"/>
    <n v="0"/>
    <n v="1208.6600000000001"/>
    <n v="0"/>
    <n v="0"/>
    <n v="0"/>
    <n v="0"/>
    <n v="0"/>
    <n v="0"/>
    <n v="0"/>
    <n v="0"/>
    <n v="1208.6600000000001"/>
    <n v="0"/>
    <n v="0"/>
    <n v="132.79563116883119"/>
    <n v="15.399999999999999"/>
    <n v="0"/>
    <n v="0"/>
    <m/>
    <s v="MAHADAT PUR 2"/>
    <m/>
    <n v="0"/>
  </r>
  <r>
    <s v="Munger"/>
    <s v="01-02 Apr"/>
    <n v="1036"/>
    <s v="MAHADAT PUR 2"/>
    <x v="664"/>
    <s v="Gomukh Pachgachhia Vlc"/>
    <s v="vlc"/>
    <s v="Indirect"/>
    <n v="85.5"/>
    <n v="2816.87"/>
    <n v="0"/>
    <n v="0"/>
    <n v="0"/>
    <n v="0"/>
    <n v="0"/>
    <n v="0"/>
    <n v="2816.87"/>
    <n v="0"/>
    <n v="0"/>
    <n v="0"/>
    <n v="0"/>
    <n v="0"/>
    <n v="0"/>
    <n v="0"/>
    <n v="0"/>
    <n v="2816.87"/>
    <n v="0"/>
    <n v="0"/>
    <n v="75.4459918128655"/>
    <n v="42.75"/>
    <n v="0"/>
    <n v="0"/>
    <m/>
    <s v="MAHADAT PUR 2"/>
    <m/>
    <n v="0"/>
  </r>
  <r>
    <s v="Munger"/>
    <s v="01-02 Apr"/>
    <n v="1003"/>
    <s v="Asarganj"/>
    <x v="665"/>
    <s v="KUNTHA M"/>
    <s v="RMC"/>
    <s v="Direct"/>
    <n v="295"/>
    <n v="10204.049999999999"/>
    <n v="293.3"/>
    <n v="10647.706924800001"/>
    <n v="5.0999999999999996"/>
    <n v="188.65978560000002"/>
    <n v="298.40000000000003"/>
    <n v="10836.366710400001"/>
    <n v="10204.049999999999"/>
    <n v="0"/>
    <n v="188.65978560000002"/>
    <n v="632.31671040000219"/>
    <n v="0"/>
    <n v="0"/>
    <n v="0"/>
    <n v="10015"/>
    <n v="0"/>
    <n v="0"/>
    <n v="0"/>
    <n v="0"/>
    <n v="0"/>
    <n v="0"/>
    <n v="-6.1967229717612343E-2"/>
    <n v="5"/>
    <m/>
    <s v="Asarganj"/>
    <m/>
    <n v="0"/>
  </r>
  <r>
    <s v="Munger"/>
    <s v="01-02 Apr"/>
    <n v="1014"/>
    <s v="Dumraon"/>
    <x v="666"/>
    <s v="ARAK"/>
    <s v="MPG"/>
    <s v="Direct"/>
    <n v="613.79999999999995"/>
    <n v="22865.72"/>
    <n v="605.70000000000005"/>
    <n v="22815.319163021642"/>
    <n v="3.7"/>
    <n v="185.07963402486001"/>
    <n v="609.40000000000009"/>
    <n v="23000.398797046502"/>
    <n v="22865.72"/>
    <n v="0"/>
    <n v="185.07963402486001"/>
    <n v="134.67879704650113"/>
    <n v="0"/>
    <n v="0"/>
    <n v="0"/>
    <n v="22681"/>
    <n v="0"/>
    <n v="0"/>
    <n v="0"/>
    <n v="0"/>
    <n v="0"/>
    <n v="0"/>
    <n v="-5.8899871531052214E-3"/>
    <n v="41"/>
    <m/>
    <s v="Dumraon"/>
    <m/>
    <n v="0"/>
  </r>
  <r>
    <s v="Munger"/>
    <s v="01-02 Apr"/>
    <n v="1014"/>
    <s v="Dumraon"/>
    <x v="667"/>
    <s v="Diyaman"/>
    <s v="MPG"/>
    <s v="Direct"/>
    <n v="468.5"/>
    <n v="18346.310000000001"/>
    <n v="463.47999999999996"/>
    <n v="18330.193806136303"/>
    <n v="1.6600000000000001"/>
    <n v="66.244703976000011"/>
    <n v="465.14"/>
    <n v="18396.438510112304"/>
    <n v="18346.310000000001"/>
    <n v="0"/>
    <n v="66.244703976000011"/>
    <n v="50.128510112303047"/>
    <n v="0"/>
    <n v="0"/>
    <n v="0"/>
    <n v="18280"/>
    <n v="0"/>
    <n v="0"/>
    <n v="0"/>
    <n v="0"/>
    <n v="0"/>
    <n v="0"/>
    <n v="-2.7323483639109468E-3"/>
    <n v="8"/>
    <m/>
    <s v="Dumraon"/>
    <m/>
    <n v="0"/>
  </r>
  <r>
    <s v="Munger"/>
    <s v="01-02 Apr"/>
    <n v="1014"/>
    <s v="Dumraon"/>
    <x v="668"/>
    <s v="HENHA"/>
    <s v="MPG"/>
    <s v="Direct"/>
    <n v="730.6"/>
    <n v="27298.980000000003"/>
    <n v="741.3"/>
    <n v="30792.547502640002"/>
    <n v="7.9"/>
    <n v="429.90766562400006"/>
    <n v="749.19999999999993"/>
    <n v="31222.455168264001"/>
    <n v="27298.980000000003"/>
    <n v="0"/>
    <n v="429.90766562400006"/>
    <n v="3923.4751682639981"/>
    <n v="0"/>
    <n v="0"/>
    <n v="0"/>
    <n v="26869"/>
    <n v="0"/>
    <n v="0"/>
    <n v="0"/>
    <n v="0"/>
    <n v="0"/>
    <n v="0"/>
    <n v="-0.14372240897879693"/>
    <n v="6"/>
    <m/>
    <s v="Dumraon"/>
    <m/>
    <n v="0"/>
  </r>
  <r>
    <s v="Munger"/>
    <s v="01-02 Apr"/>
    <n v="1012"/>
    <s v="DalsinghSarai"/>
    <x v="669"/>
    <s v="Suddh Dairy"/>
    <s v="vlc"/>
    <s v="Indirect"/>
    <n v="6011"/>
    <n v="234921.71000000002"/>
    <n v="0"/>
    <n v="0"/>
    <n v="0"/>
    <n v="0"/>
    <n v="0"/>
    <n v="0"/>
    <n v="234921.71000000002"/>
    <n v="0"/>
    <n v="0"/>
    <n v="0"/>
    <n v="0"/>
    <n v="0"/>
    <n v="0"/>
    <n v="0"/>
    <n v="0"/>
    <n v="234921.71000000002"/>
    <n v="0"/>
    <n v="0"/>
    <n v="0"/>
    <n v="0"/>
    <n v="0"/>
    <n v="0"/>
    <m/>
    <s v="DalsinghSarai"/>
    <m/>
    <n v="0"/>
  </r>
  <r>
    <s v="Munger"/>
    <s v="01-02 Apr"/>
    <n v="1053"/>
    <s v="Kalyanpur"/>
    <x v="670"/>
    <s v="Gomukh CHANDAULI"/>
    <s v="MPG"/>
    <s v="Direct"/>
    <n v="432.35"/>
    <n v="18301.039999999997"/>
    <n v="429.35"/>
    <n v="18292.771783537624"/>
    <n v="3.5700000000000003"/>
    <n v="150.036455448"/>
    <n v="432.92"/>
    <n v="18442.808238985624"/>
    <n v="18301.039999999997"/>
    <n v="0"/>
    <n v="150.036455448"/>
    <n v="141.76823898562725"/>
    <n v="0"/>
    <n v="0"/>
    <n v="0"/>
    <n v="18151"/>
    <n v="0"/>
    <n v="0"/>
    <n v="0"/>
    <n v="0"/>
    <n v="0"/>
    <n v="0"/>
    <n v="-7.7464580693571115E-3"/>
    <n v="26"/>
    <m/>
    <s v="Kalyanpur"/>
    <m/>
    <n v="0"/>
  </r>
  <r>
    <s v="Munger"/>
    <s v="01-02 Apr"/>
    <n v="1053"/>
    <s v="Kalyanpur"/>
    <x v="671"/>
    <s v="GOMUKH HATHA"/>
    <s v="MPG"/>
    <s v="Direct"/>
    <n v="326.39999999999998"/>
    <n v="14709.59"/>
    <n v="329.29999999999995"/>
    <n v="14506.311065689822"/>
    <n v="4.3600000000000003"/>
    <n v="186.38495211600002"/>
    <n v="333.65999999999997"/>
    <n v="14692.696017805822"/>
    <n v="14692.696017805822"/>
    <n v="0"/>
    <n v="186.38495211600002"/>
    <n v="0"/>
    <n v="0"/>
    <n v="0"/>
    <n v="0"/>
    <n v="14508"/>
    <n v="0"/>
    <n v="0"/>
    <n v="15"/>
    <n v="0"/>
    <n v="0"/>
    <n v="0"/>
    <n v="1.1485012290742662E-3"/>
    <n v="33"/>
    <m/>
    <s v="Kalyanpur"/>
    <m/>
    <n v="0"/>
  </r>
  <r>
    <s v="Munger"/>
    <s v="01-02 Apr"/>
    <n v="1053"/>
    <s v="Kalyanpur"/>
    <x v="672"/>
    <s v="GOMUKH VADEYA"/>
    <s v="MPG"/>
    <s v="Direct"/>
    <n v="265.95000000000005"/>
    <n v="11628.699999999999"/>
    <n v="270.94000000000005"/>
    <n v="11461.600016831342"/>
    <n v="3.88"/>
    <n v="163.17217303199999"/>
    <n v="274.82000000000005"/>
    <n v="11624.772189863343"/>
    <n v="11624.772189863343"/>
    <n v="0"/>
    <n v="163.17217303199999"/>
    <n v="0"/>
    <n v="0"/>
    <n v="0"/>
    <n v="0"/>
    <n v="11460"/>
    <n v="0"/>
    <n v="0"/>
    <n v="6"/>
    <n v="0"/>
    <n v="0"/>
    <n v="0"/>
    <n v="3.3776863593146808E-4"/>
    <n v="26"/>
    <m/>
    <s v="Kalyanpur"/>
    <m/>
    <n v="0"/>
  </r>
  <r>
    <s v="Munger"/>
    <s v="01-02 Apr"/>
    <n v="1053"/>
    <s v="Kalyanpur"/>
    <x v="673"/>
    <s v="GOMUKH CHANDPURA"/>
    <s v="MPG"/>
    <s v="Direct"/>
    <n v="170.75000000000003"/>
    <n v="7324.04"/>
    <n v="166.86"/>
    <n v="7253.6764758387708"/>
    <n v="3.43"/>
    <n v="145.98383738400003"/>
    <n v="170.29000000000002"/>
    <n v="7399.660313222771"/>
    <n v="7324.04"/>
    <n v="0"/>
    <n v="145.98383738400003"/>
    <n v="75.620313222771074"/>
    <n v="0"/>
    <n v="0"/>
    <n v="0"/>
    <n v="7178"/>
    <n v="0"/>
    <n v="0"/>
    <n v="0"/>
    <n v="0"/>
    <n v="25.092611420204953"/>
    <n v="85.375000000000014"/>
    <n v="-1.0324945415750197E-2"/>
    <n v="21"/>
    <m/>
    <s v="Kalyanpur"/>
    <m/>
    <n v="0"/>
  </r>
  <r>
    <s v="Munger"/>
    <s v="01-02 Apr"/>
    <n v="1053"/>
    <s v="Kalyanpur"/>
    <x v="674"/>
    <s v="GOMUKH BARGAMA"/>
    <s v="MPG"/>
    <s v="Direct"/>
    <n v="311.35000000000002"/>
    <n v="12867.589999999998"/>
    <n v="305.60000000000002"/>
    <n v="12304.696173078644"/>
    <n v="12.05"/>
    <n v="467.42919933600012"/>
    <n v="317.65000000000003"/>
    <n v="12772.125372414645"/>
    <n v="12772.125372414645"/>
    <n v="0"/>
    <n v="467.42919933600012"/>
    <n v="0"/>
    <n v="0"/>
    <n v="0"/>
    <n v="0"/>
    <n v="12308"/>
    <n v="0"/>
    <n v="0"/>
    <n v="92"/>
    <n v="0"/>
    <n v="0"/>
    <n v="0"/>
    <n v="7.4189982417339857E-3"/>
    <n v="56"/>
    <m/>
    <s v="Kalyanpur"/>
    <m/>
    <n v="0"/>
  </r>
  <r>
    <s v="Munger"/>
    <s v="01-02 Apr"/>
    <n v="1053"/>
    <s v="Kalyanpur"/>
    <x v="675"/>
    <s v="Gomukh Gograha Tola"/>
    <s v="MPG"/>
    <s v="Direct"/>
    <n v="199.39999999999998"/>
    <n v="8673.5400000000009"/>
    <n v="199.57999999999998"/>
    <n v="8669.4806516478402"/>
    <n v="2.65"/>
    <n v="110.08227805300001"/>
    <n v="202.23"/>
    <n v="8779.56292970084"/>
    <n v="8673.5400000000009"/>
    <n v="0"/>
    <n v="110.08227805300001"/>
    <n v="106.02292970083909"/>
    <n v="0"/>
    <n v="0"/>
    <n v="0"/>
    <n v="8563"/>
    <n v="0"/>
    <n v="0"/>
    <n v="0"/>
    <n v="0"/>
    <n v="0.52197833500503488"/>
    <n v="99.699999999999989"/>
    <n v="-1.2223720614747736E-2"/>
    <n v="16"/>
    <m/>
    <s v="Kalyanpur"/>
    <m/>
    <n v="0"/>
  </r>
  <r>
    <s v="Munger"/>
    <s v="01-02 Apr"/>
    <n v="1053"/>
    <s v="Kalyanpur"/>
    <x v="676"/>
    <s v="Gomukh Patsara"/>
    <s v="MPG"/>
    <s v="Direct"/>
    <n v="105.10000000000001"/>
    <n v="4911.04"/>
    <n v="104.21000000000001"/>
    <n v="4890.9206740213103"/>
    <n v="1.1299999999999999"/>
    <n v="45.106255497600003"/>
    <n v="105.34"/>
    <n v="4936.02692951891"/>
    <n v="4911.04"/>
    <n v="0"/>
    <n v="45.106255497600003"/>
    <n v="24.986929518910074"/>
    <n v="0"/>
    <n v="0"/>
    <n v="0"/>
    <n v="4866"/>
    <n v="0"/>
    <n v="0"/>
    <n v="0"/>
    <n v="0"/>
    <n v="88.688429305423398"/>
    <n v="52.550000000000004"/>
    <n v="-5.0879099984748799E-3"/>
    <n v="9"/>
    <m/>
    <s v="Kalyanpur"/>
    <m/>
    <n v="0"/>
  </r>
  <r>
    <s v="Munger"/>
    <s v="01-02 Apr"/>
    <n v="1053"/>
    <s v="Kalyanpur"/>
    <x v="677"/>
    <s v="Gomukh Singhiya"/>
    <s v="vlc"/>
    <s v="Indirect"/>
    <n v="2471.1499999999996"/>
    <n v="96542.040000000008"/>
    <n v="0"/>
    <n v="0"/>
    <n v="0"/>
    <n v="0"/>
    <n v="0"/>
    <n v="0"/>
    <n v="96542.040000000008"/>
    <n v="0"/>
    <n v="0"/>
    <n v="0"/>
    <n v="0"/>
    <n v="0"/>
    <n v="0"/>
    <n v="0"/>
    <n v="0"/>
    <n v="96542.040000000008"/>
    <n v="0"/>
    <n v="0"/>
    <n v="0"/>
    <n v="0"/>
    <n v="0"/>
    <n v="0"/>
    <m/>
    <s v="Kalyanpur"/>
    <m/>
    <n v="0"/>
  </r>
  <r>
    <s v="Munger"/>
    <s v="01-02 Apr"/>
    <n v="1053"/>
    <s v="Kalyanpur"/>
    <x v="678"/>
    <s v="Gomukh BALHA "/>
    <s v="vlc"/>
    <s v="Indirect"/>
    <n v="1010.1000000000001"/>
    <n v="40989.450000000004"/>
    <n v="0"/>
    <n v="0"/>
    <n v="0"/>
    <n v="0"/>
    <n v="0"/>
    <n v="0"/>
    <n v="40989.450000000004"/>
    <n v="0"/>
    <n v="0"/>
    <n v="0"/>
    <n v="0"/>
    <n v="0"/>
    <n v="0"/>
    <n v="0"/>
    <n v="0"/>
    <n v="40989.450000000004"/>
    <n v="0"/>
    <n v="0"/>
    <n v="0"/>
    <n v="0"/>
    <n v="0"/>
    <n v="0"/>
    <m/>
    <s v="Kalyanpur"/>
    <m/>
    <n v="0"/>
  </r>
  <r>
    <s v="Munger"/>
    <s v="01-02 Apr"/>
    <n v="1053"/>
    <s v="Kalyanpur"/>
    <x v="679"/>
    <s v="Gomukh Kalyanpur 2"/>
    <s v="vlc"/>
    <s v="Indirect"/>
    <n v="74.7"/>
    <n v="3275.65"/>
    <n v="0"/>
    <n v="0"/>
    <n v="0"/>
    <n v="0"/>
    <n v="0"/>
    <n v="0"/>
    <n v="3275.65"/>
    <n v="0"/>
    <n v="0"/>
    <n v="0"/>
    <n v="0"/>
    <n v="0"/>
    <n v="0"/>
    <n v="0"/>
    <n v="0"/>
    <n v="3275.65"/>
    <n v="0"/>
    <n v="0"/>
    <n v="109.88994511378849"/>
    <n v="37.35"/>
    <n v="0"/>
    <n v="0"/>
    <m/>
    <s v="Kalyanpur"/>
    <m/>
    <n v="0"/>
  </r>
  <r>
    <s v="Munger"/>
    <s v="01-02 Apr"/>
    <n v="1053"/>
    <s v="Kalyanpur"/>
    <x v="680"/>
    <s v="Gomukh Namapur 2"/>
    <s v="vlc"/>
    <s v="Indirect"/>
    <n v="606.20000000000005"/>
    <n v="23175.59"/>
    <n v="0"/>
    <n v="0"/>
    <n v="0"/>
    <n v="0"/>
    <n v="0"/>
    <n v="0"/>
    <n v="23175.59"/>
    <n v="0"/>
    <n v="0"/>
    <n v="0"/>
    <n v="0"/>
    <n v="0"/>
    <n v="0"/>
    <n v="0"/>
    <n v="0"/>
    <n v="23175.59"/>
    <n v="0"/>
    <n v="0"/>
    <n v="0"/>
    <n v="0"/>
    <n v="0"/>
    <n v="0"/>
    <m/>
    <s v="Kalyanpur"/>
    <m/>
    <n v="0"/>
  </r>
  <r>
    <s v="Munger"/>
    <s v="01-02 Apr"/>
    <n v="1053"/>
    <s v="Kalyanpur"/>
    <x v="681"/>
    <s v="Gomukh Madhopur"/>
    <s v="vlc"/>
    <s v="Indirect"/>
    <n v="163.44999999999999"/>
    <n v="6542.48"/>
    <n v="0"/>
    <n v="0"/>
    <n v="0"/>
    <n v="0"/>
    <n v="0"/>
    <n v="0"/>
    <n v="6542.48"/>
    <n v="0"/>
    <n v="0"/>
    <n v="0"/>
    <n v="0"/>
    <n v="0"/>
    <n v="0"/>
    <n v="0"/>
    <n v="0"/>
    <n v="6542.48"/>
    <n v="0"/>
    <n v="0"/>
    <n v="29.260035974304078"/>
    <n v="81.724999999999994"/>
    <n v="0"/>
    <n v="0"/>
    <m/>
    <s v="Kalyanpur"/>
    <m/>
    <n v="0"/>
  </r>
  <r>
    <s v="Munger"/>
    <s v="01-02 Apr"/>
    <n v="1053"/>
    <s v="Kalyanpur"/>
    <x v="682"/>
    <s v="Gomukh Kalyanpur East"/>
    <s v="vlc"/>
    <s v="Indirect"/>
    <n v="192.75"/>
    <n v="6783.47"/>
    <n v="0"/>
    <n v="0"/>
    <n v="0"/>
    <n v="0"/>
    <n v="0"/>
    <n v="0"/>
    <n v="6783.47"/>
    <n v="0"/>
    <n v="0"/>
    <n v="0"/>
    <n v="0"/>
    <n v="0"/>
    <n v="0"/>
    <n v="0"/>
    <n v="0"/>
    <n v="6783.47"/>
    <n v="0"/>
    <n v="0"/>
    <n v="5.1029994811932555"/>
    <n v="96.375"/>
    <n v="0"/>
    <n v="0"/>
    <m/>
    <s v="Kalyanpur"/>
    <m/>
    <n v="0"/>
  </r>
  <r>
    <s v="Munger"/>
    <s v="01-02 Apr"/>
    <n v="1053"/>
    <s v="Kalyanpur"/>
    <x v="683"/>
    <s v="Gomukh Bazidpur"/>
    <s v="vlc"/>
    <s v="Indirect"/>
    <n v="537.4"/>
    <n v="22259.35"/>
    <n v="0"/>
    <n v="0"/>
    <n v="0"/>
    <n v="0"/>
    <n v="0"/>
    <n v="0"/>
    <n v="22259.35"/>
    <n v="0"/>
    <n v="0"/>
    <n v="0"/>
    <n v="0"/>
    <n v="0"/>
    <n v="0"/>
    <n v="0"/>
    <n v="0"/>
    <n v="22259.35"/>
    <n v="0"/>
    <n v="0"/>
    <n v="0"/>
    <n v="0"/>
    <n v="0"/>
    <n v="0"/>
    <m/>
    <s v="Kalyanpur"/>
    <m/>
    <n v="0"/>
  </r>
  <r>
    <s v="Munger"/>
    <s v="01-02 Apr"/>
    <n v="1053"/>
    <s v="Kalyanpur"/>
    <x v="684"/>
    <s v="Gomukh Belsandi"/>
    <s v="vlc"/>
    <s v="Indirect"/>
    <n v="269.85000000000002"/>
    <n v="11195.88"/>
    <n v="0"/>
    <n v="0"/>
    <n v="0"/>
    <n v="0"/>
    <n v="0"/>
    <n v="0"/>
    <n v="11195.88"/>
    <n v="0"/>
    <n v="0"/>
    <n v="0"/>
    <n v="0"/>
    <n v="0"/>
    <n v="0"/>
    <n v="0"/>
    <n v="0"/>
    <n v="11195.88"/>
    <n v="0"/>
    <n v="0"/>
    <n v="0"/>
    <n v="0"/>
    <n v="0"/>
    <n v="0"/>
    <m/>
    <s v="Kalyanpur"/>
    <m/>
    <n v="0"/>
  </r>
  <r>
    <s v="Munger"/>
    <s v="01-02 Apr"/>
    <n v="1053"/>
    <s v="Kalyanpur"/>
    <x v="685"/>
    <s v="Gomukh Namapur Ward 8"/>
    <s v="vlc"/>
    <s v="Indirect"/>
    <n v="445.15"/>
    <n v="18790.430000000004"/>
    <n v="0"/>
    <n v="0"/>
    <n v="0"/>
    <n v="0"/>
    <n v="0"/>
    <n v="0"/>
    <n v="18790.430000000004"/>
    <n v="0"/>
    <n v="0"/>
    <n v="0"/>
    <n v="0"/>
    <n v="0"/>
    <n v="0"/>
    <n v="0"/>
    <n v="0"/>
    <n v="18790.430000000004"/>
    <n v="0"/>
    <n v="0"/>
    <n v="0"/>
    <n v="0"/>
    <n v="0"/>
    <n v="0"/>
    <m/>
    <s v="Kalyanpur"/>
    <m/>
    <n v="0"/>
  </r>
  <r>
    <s v="Munger"/>
    <s v="01-02 Apr"/>
    <n v="1053"/>
    <s v="Kalyanpur"/>
    <x v="686"/>
    <s v="Belsandi"/>
    <s v="vlc"/>
    <s v="Indirect"/>
    <n v="458.65000000000003"/>
    <n v="17515.370000000003"/>
    <n v="0"/>
    <n v="0"/>
    <n v="0"/>
    <n v="0"/>
    <n v="0"/>
    <n v="0"/>
    <n v="17515.370000000003"/>
    <n v="0"/>
    <n v="0"/>
    <n v="0"/>
    <n v="0"/>
    <n v="0"/>
    <n v="0"/>
    <n v="0"/>
    <n v="0"/>
    <n v="17515.370000000003"/>
    <n v="0"/>
    <n v="0"/>
    <n v="0"/>
    <n v="0"/>
    <n v="0"/>
    <n v="0"/>
    <m/>
    <s v="Kalyanpur"/>
    <m/>
    <n v="0"/>
  </r>
  <r>
    <s v="Munger"/>
    <s v="01-02 Apr"/>
    <n v="1053"/>
    <s v="Kalyanpur"/>
    <x v="687"/>
    <s v="Gomukh Kolwara"/>
    <s v="MPG"/>
    <s v="Direct"/>
    <n v="40.75"/>
    <n v="1592.54"/>
    <n v="35.729999999999997"/>
    <n v="1591.8116408577"/>
    <n v="0"/>
    <n v="0"/>
    <n v="35.729999999999997"/>
    <n v="1591.8116408577"/>
    <n v="1591.8116408577"/>
    <n v="0"/>
    <n v="0"/>
    <n v="0"/>
    <n v="0"/>
    <n v="0"/>
    <n v="0"/>
    <n v="1592"/>
    <n v="0"/>
    <n v="0"/>
    <n v="1"/>
    <n v="0"/>
    <n v="124.47214478527607"/>
    <n v="20.375"/>
    <n v="4.5735689043914171E-4"/>
    <n v="6"/>
    <m/>
    <s v="Kalyanpur"/>
    <m/>
    <n v="0"/>
  </r>
  <r>
    <s v="Munger"/>
    <s v="01-02 Apr"/>
    <n v="1053"/>
    <s v="Kalyanpur"/>
    <x v="688"/>
    <s v="Gomukh Belsandi East"/>
    <s v="vlc"/>
    <s v="Indirect"/>
    <n v="463.7"/>
    <n v="18142.87"/>
    <n v="0"/>
    <n v="0"/>
    <n v="0"/>
    <n v="0"/>
    <n v="0"/>
    <n v="0"/>
    <n v="18142.87"/>
    <n v="0"/>
    <n v="0"/>
    <n v="0"/>
    <n v="0"/>
    <n v="0"/>
    <n v="0"/>
    <n v="0"/>
    <n v="0"/>
    <n v="18142.87"/>
    <n v="0"/>
    <n v="0"/>
    <n v="0"/>
    <n v="0"/>
    <n v="0"/>
    <n v="0"/>
    <m/>
    <s v="Kalyanpur"/>
    <m/>
    <n v="0"/>
  </r>
  <r>
    <s v="Munger"/>
    <s v="01-02 Apr"/>
    <n v="1053"/>
    <s v="Kalyanpur"/>
    <x v="689"/>
    <s v="Gomukh Belsandi West Tola"/>
    <s v="vlc"/>
    <s v="Indirect"/>
    <n v="149"/>
    <n v="5640.16"/>
    <n v="0"/>
    <n v="0"/>
    <n v="0"/>
    <n v="0"/>
    <n v="0"/>
    <n v="0"/>
    <n v="5640.16"/>
    <n v="0"/>
    <n v="0"/>
    <n v="0"/>
    <n v="0"/>
    <n v="0"/>
    <n v="0"/>
    <n v="0"/>
    <n v="0"/>
    <n v="5640.16"/>
    <n v="0"/>
    <n v="0"/>
    <n v="38.610491275167789"/>
    <n v="74.5"/>
    <n v="0"/>
    <n v="0"/>
    <m/>
    <s v="Kalyanpur"/>
    <m/>
    <n v="0"/>
  </r>
  <r>
    <s v="Munger"/>
    <s v="01-02 Apr"/>
    <n v="1053"/>
    <s v="Kalyanpur"/>
    <x v="690"/>
    <s v="Gomukh Gopalpur"/>
    <s v="vlc"/>
    <s v="Indirect"/>
    <n v="632.35"/>
    <n v="24411.84"/>
    <n v="0"/>
    <n v="0"/>
    <n v="0"/>
    <n v="0"/>
    <n v="0"/>
    <n v="0"/>
    <n v="24411.84"/>
    <n v="0"/>
    <n v="0"/>
    <n v="0"/>
    <n v="0"/>
    <n v="0"/>
    <n v="0"/>
    <n v="0"/>
    <n v="0"/>
    <n v="24411.84"/>
    <n v="0"/>
    <n v="0"/>
    <n v="0"/>
    <n v="0"/>
    <n v="0"/>
    <n v="0"/>
    <m/>
    <s v="Kalyanpur"/>
    <m/>
    <n v="0"/>
  </r>
  <r>
    <s v="Munger"/>
    <s v="01-02 Apr"/>
    <n v="1053"/>
    <s v="Kalyanpur"/>
    <x v="691"/>
    <s v="Gomukh Bharav"/>
    <s v="MPG"/>
    <s v="Direct"/>
    <n v="140.1"/>
    <n v="7819.9500000000007"/>
    <n v="142.55000000000004"/>
    <n v="7670.3735742601884"/>
    <n v="2.8100000000000005"/>
    <n v="147.07751350379999"/>
    <n v="145.36000000000004"/>
    <n v="7817.4510877639887"/>
    <n v="7817.4510877639887"/>
    <n v="0"/>
    <n v="147.07751350379999"/>
    <n v="0"/>
    <n v="0"/>
    <n v="0"/>
    <n v="0"/>
    <n v="7670"/>
    <n v="0"/>
    <n v="0"/>
    <n v="3"/>
    <n v="0"/>
    <n v="66.868665952890808"/>
    <n v="70.05"/>
    <n v="3.1955603757211672E-4"/>
    <n v="24"/>
    <m/>
    <s v="Kalyanpur"/>
    <m/>
    <n v="0"/>
  </r>
  <r>
    <s v="Munger"/>
    <s v="01-02 Apr"/>
    <n v="1053"/>
    <s v="Kalyanpur"/>
    <x v="692"/>
    <s v="Gomukh Harpur"/>
    <s v="MPG"/>
    <s v="Direct"/>
    <n v="322.2"/>
    <n v="13182.33"/>
    <n v="319.52"/>
    <n v="12970.770532653902"/>
    <n v="4.3"/>
    <n v="186.07096395244002"/>
    <n v="323.82"/>
    <n v="13156.841496606341"/>
    <n v="13156.841496606341"/>
    <n v="0"/>
    <n v="186.07096395244002"/>
    <n v="0"/>
    <n v="0"/>
    <n v="0"/>
    <n v="0"/>
    <n v="12973"/>
    <n v="0"/>
    <n v="0"/>
    <n v="23"/>
    <n v="0"/>
    <n v="0"/>
    <n v="0"/>
    <n v="1.9335355277601838E-3"/>
    <n v="26"/>
    <m/>
    <s v="Kalyanpur"/>
    <m/>
    <n v="0"/>
  </r>
  <r>
    <s v="Munger"/>
    <s v="01-02 Apr"/>
    <n v="1053"/>
    <s v="Kalyanpur"/>
    <x v="693"/>
    <s v="Gomukh Fulhatta"/>
    <s v="MPG"/>
    <s v="Direct"/>
    <n v="312"/>
    <n v="15859.97"/>
    <n v="312.09000000000003"/>
    <n v="15693.178780404896"/>
    <n v="3.27"/>
    <n v="163.92504786104001"/>
    <n v="315.36"/>
    <n v="15857.103828265936"/>
    <n v="15857.103828265936"/>
    <n v="0"/>
    <n v="163.92504786104001"/>
    <n v="0"/>
    <n v="0"/>
    <n v="0"/>
    <n v="0"/>
    <n v="15695"/>
    <n v="0"/>
    <n v="0"/>
    <n v="1"/>
    <n v="0"/>
    <n v="0"/>
    <n v="0"/>
    <n v="1.8071734902800921E-4"/>
    <n v="39"/>
    <m/>
    <s v="Kalyanpur"/>
    <m/>
    <n v="0"/>
  </r>
  <r>
    <s v="Munger"/>
    <s v="01-02 Apr"/>
    <n v="1053"/>
    <s v="Kalyanpur"/>
    <x v="694"/>
    <s v="Gomukh Birauli Khurd"/>
    <s v="MPG"/>
    <s v="Direct"/>
    <n v="275.5"/>
    <n v="11282.1"/>
    <n v="274.23000000000008"/>
    <n v="11283.225752345214"/>
    <n v="5.5"/>
    <n v="238.49455132800003"/>
    <n v="279.73000000000008"/>
    <n v="11521.720303673213"/>
    <n v="11282.1"/>
    <n v="1490.5"/>
    <n v="238.49455132800003"/>
    <n v="239.62030367321313"/>
    <n v="0"/>
    <n v="0"/>
    <n v="0"/>
    <n v="9553"/>
    <n v="0"/>
    <n v="0"/>
    <n v="0"/>
    <n v="0"/>
    <n v="0"/>
    <n v="0"/>
    <n v="-2.1238980657254689E-2"/>
    <n v="26"/>
    <m/>
    <s v="Kalyanpur"/>
    <m/>
    <n v="0"/>
  </r>
  <r>
    <s v="Munger"/>
    <s v="01-02 Apr"/>
    <n v="1053"/>
    <s v="Kalyanpur"/>
    <x v="695"/>
    <s v="Gomukh Bedauliya"/>
    <s v="vlc"/>
    <s v="Indirect"/>
    <n v="246.95"/>
    <n v="10014.48"/>
    <n v="0"/>
    <n v="0"/>
    <n v="0"/>
    <n v="0"/>
    <n v="0"/>
    <n v="0"/>
    <n v="10014.48"/>
    <n v="0"/>
    <n v="0"/>
    <n v="0"/>
    <n v="0"/>
    <n v="0"/>
    <n v="0"/>
    <n v="0"/>
    <n v="0"/>
    <n v="10014.48"/>
    <n v="0"/>
    <n v="0"/>
    <n v="0"/>
    <n v="0"/>
    <n v="0"/>
    <n v="0"/>
    <m/>
    <s v="Kalyanpur"/>
    <m/>
    <n v="0"/>
  </r>
  <r>
    <s v="Munger"/>
    <s v="01-02 Apr"/>
    <n v="1053"/>
    <s v="Kalyanpur"/>
    <x v="696"/>
    <s v="Gomukh Khanua"/>
    <s v="MPG"/>
    <s v="Direct"/>
    <n v="160.55000000000001"/>
    <n v="7286.13"/>
    <n v="158.15000000000003"/>
    <n v="7144.8092484661802"/>
    <n v="2.77"/>
    <n v="122.03186094"/>
    <n v="160.92000000000004"/>
    <n v="7266.8411094061803"/>
    <n v="7266.8411094061803"/>
    <n v="0"/>
    <n v="122.03186094"/>
    <n v="0"/>
    <n v="0"/>
    <n v="0"/>
    <n v="0"/>
    <n v="7145"/>
    <n v="0"/>
    <n v="0"/>
    <n v="19"/>
    <n v="0"/>
    <n v="35.806643226409214"/>
    <n v="80.275000000000006"/>
    <n v="2.6473437330681465E-3"/>
    <n v="20"/>
    <m/>
    <s v="Kalyanpur"/>
    <m/>
    <n v="0"/>
  </r>
  <r>
    <s v="Munger"/>
    <s v="01-02 Apr"/>
    <n v="1053"/>
    <s v="Kalyanpur"/>
    <x v="697"/>
    <s v="Gomukh Hiralalpur"/>
    <s v="vlc"/>
    <s v="Indirect"/>
    <n v="276.84999999999997"/>
    <n v="11727.029999999999"/>
    <n v="0"/>
    <n v="0"/>
    <n v="0"/>
    <n v="0"/>
    <n v="0"/>
    <n v="0"/>
    <n v="11727.029999999999"/>
    <n v="0"/>
    <n v="0"/>
    <n v="0"/>
    <n v="0"/>
    <n v="0"/>
    <n v="0"/>
    <n v="0"/>
    <n v="0"/>
    <n v="11727.029999999999"/>
    <n v="0"/>
    <n v="0"/>
    <n v="0"/>
    <n v="0"/>
    <n v="0"/>
    <n v="0"/>
    <m/>
    <s v="Kalyanpur"/>
    <m/>
    <n v="0"/>
  </r>
  <r>
    <s v="Munger"/>
    <s v="01-02 Apr"/>
    <n v="1053"/>
    <s v="Kalyanpur"/>
    <x v="698"/>
    <s v="Gomukh Punas"/>
    <s v="MPG"/>
    <s v="Direct"/>
    <n v="352.49999999999994"/>
    <n v="15459.05"/>
    <n v="349.21999999999997"/>
    <n v="15269.777701170822"/>
    <n v="4.12"/>
    <n v="178.434371016"/>
    <n v="353.34"/>
    <n v="15448.212072186821"/>
    <n v="15448.212072186821"/>
    <n v="0"/>
    <n v="178.434371016"/>
    <n v="0"/>
    <n v="0"/>
    <n v="0"/>
    <n v="0"/>
    <n v="15267"/>
    <n v="0"/>
    <n v="0"/>
    <n v="14"/>
    <n v="0"/>
    <n v="0"/>
    <n v="0"/>
    <n v="7.0107333977041826E-4"/>
    <n v="26"/>
    <m/>
    <s v="Kalyanpur"/>
    <m/>
    <n v="0"/>
  </r>
  <r>
    <s v="Munger"/>
    <s v="01-02 Apr"/>
    <n v="1053"/>
    <s v="Kalyanpur"/>
    <x v="699"/>
    <s v="Gomukh Loharkha"/>
    <s v="MPG"/>
    <s v="Direct"/>
    <n v="199.3"/>
    <n v="9565.43"/>
    <n v="197.66000000000003"/>
    <n v="9605.6802480137394"/>
    <n v="0.98"/>
    <n v="46.963522153200003"/>
    <n v="198.64000000000001"/>
    <n v="9652.6437701669402"/>
    <n v="9565.43"/>
    <n v="0"/>
    <n v="46.963522153200003"/>
    <n v="87.213770166939867"/>
    <n v="0"/>
    <n v="0"/>
    <n v="0"/>
    <n v="9518"/>
    <n v="0"/>
    <n v="0"/>
    <n v="0"/>
    <n v="0"/>
    <n v="0.67193186151529261"/>
    <n v="99.65"/>
    <n v="-9.1176005853307023E-3"/>
    <n v="30"/>
    <m/>
    <s v="Kalyanpur"/>
    <m/>
    <n v="0"/>
  </r>
  <r>
    <s v="Munger"/>
    <s v="01-02 Apr"/>
    <n v="1053"/>
    <s v="Kalyanpur"/>
    <x v="700"/>
    <s v="Gomukh Dighra"/>
    <s v="MPG"/>
    <s v="Direct"/>
    <n v="132.30000000000001"/>
    <n v="4581.4800000000005"/>
    <n v="133.20000000000002"/>
    <n v="4750.3183677444003"/>
    <n v="1.1599999999999999"/>
    <n v="45.031958017199997"/>
    <n v="134.36000000000001"/>
    <n v="4795.3503257616003"/>
    <n v="4581.4800000000005"/>
    <n v="0"/>
    <n v="45.031958017199997"/>
    <n v="213.87032576159982"/>
    <n v="0"/>
    <n v="0"/>
    <n v="0"/>
    <n v="4536"/>
    <n v="0"/>
    <n v="0"/>
    <n v="0"/>
    <s v="Release1"/>
    <n v="46.888313832199536"/>
    <n v="66.150000000000006"/>
    <n v="-4.66814928279944E-2"/>
    <n v="7"/>
    <m/>
    <s v="Kalyanpur"/>
    <m/>
    <n v="0"/>
  </r>
  <r>
    <s v="Munger"/>
    <s v="01-02 Apr"/>
    <n v="1053"/>
    <s v="Kalyanpur"/>
    <x v="701"/>
    <s v="Basuwari"/>
    <s v="MPG"/>
    <s v="Direct"/>
    <n v="62.849999999999994"/>
    <n v="2490.2399999999998"/>
    <n v="62.59"/>
    <n v="2421.2922461156004"/>
    <n v="1.54"/>
    <n v="67.295581685119998"/>
    <n v="64.13000000000001"/>
    <n v="2488.5878278007203"/>
    <n v="2488.5878278007203"/>
    <n v="0"/>
    <n v="67.295581685119998"/>
    <n v="0"/>
    <n v="0"/>
    <n v="0"/>
    <n v="0"/>
    <n v="2420"/>
    <n v="0"/>
    <n v="0"/>
    <n v="3"/>
    <n v="0"/>
    <n v="108.68302816229118"/>
    <n v="31.424999999999997"/>
    <n v="6.634590237404621E-4"/>
    <n v="10"/>
    <m/>
    <s v="Kalyanpur"/>
    <m/>
    <n v="0"/>
  </r>
  <r>
    <s v="Munger"/>
    <s v="01-02 Apr"/>
    <n v="1053"/>
    <s v="Kalyanpur"/>
    <x v="702"/>
    <s v="Belsandi 3"/>
    <s v="vlc"/>
    <s v="Indirect"/>
    <n v="859.45"/>
    <n v="31551"/>
    <n v="0"/>
    <n v="0"/>
    <n v="0"/>
    <n v="0"/>
    <n v="0"/>
    <n v="0"/>
    <n v="31551"/>
    <n v="0"/>
    <n v="0"/>
    <n v="0"/>
    <n v="0"/>
    <n v="0"/>
    <n v="0"/>
    <n v="0"/>
    <n v="0"/>
    <n v="31551"/>
    <n v="0"/>
    <n v="0"/>
    <n v="0"/>
    <n v="0"/>
    <n v="0"/>
    <n v="0"/>
    <m/>
    <s v="Kalyanpur"/>
    <m/>
    <n v="0"/>
  </r>
  <r>
    <s v="Munger"/>
    <s v="01-02 Apr"/>
    <n v="1053"/>
    <s v="Kalyanpur"/>
    <x v="703"/>
    <s v="Gomukh PARAN"/>
    <s v="vlc"/>
    <s v="Indirect"/>
    <n v="161.9"/>
    <n v="5855.92"/>
    <n v="0"/>
    <n v="0"/>
    <n v="0"/>
    <n v="0"/>
    <n v="0"/>
    <n v="0"/>
    <n v="5855.92"/>
    <n v="0"/>
    <n v="0"/>
    <n v="0"/>
    <n v="0"/>
    <n v="0"/>
    <n v="0"/>
    <n v="0"/>
    <n v="0"/>
    <n v="5855.92"/>
    <n v="0"/>
    <n v="0"/>
    <n v="27.56152588017294"/>
    <n v="80.95"/>
    <n v="0"/>
    <n v="0"/>
    <m/>
    <s v="Kalyanpur"/>
    <m/>
    <n v="0"/>
  </r>
  <r>
    <s v="Munger"/>
    <s v="01-02 Apr"/>
    <n v="1053"/>
    <s v="Kalyanpur"/>
    <x v="704"/>
    <s v="GOMUKH HARPUR W-13"/>
    <s v="MPG"/>
    <s v="Direct"/>
    <n v="579.20000000000005"/>
    <n v="23299.489999999998"/>
    <n v="574.81999999999994"/>
    <n v="23043.719679937902"/>
    <n v="9.2800000000000011"/>
    <n v="370.96321996800003"/>
    <n v="584.09999999999991"/>
    <n v="23414.682899905903"/>
    <n v="23299.489999999998"/>
    <n v="2656"/>
    <n v="370.96321996800003"/>
    <n v="115.19289990590551"/>
    <n v="0"/>
    <n v="0"/>
    <n v="0"/>
    <n v="20273"/>
    <n v="0"/>
    <n v="0"/>
    <n v="0"/>
    <s v="Release1"/>
    <n v="0"/>
    <n v="0"/>
    <n v="-4.9440095000322119E-3"/>
    <n v="52"/>
    <m/>
    <s v="Kalyanpur"/>
    <m/>
    <n v="0"/>
  </r>
  <r>
    <s v="Munger"/>
    <s v="01-02 Apr"/>
    <n v="1053"/>
    <s v="Kalyanpur"/>
    <x v="705"/>
    <s v="GOMUKH MILKI"/>
    <s v="vlc"/>
    <s v="Indirect"/>
    <n v="19.45"/>
    <n v="672.84999999999991"/>
    <n v="0"/>
    <n v="0"/>
    <n v="0"/>
    <n v="0"/>
    <n v="0"/>
    <n v="0"/>
    <n v="672.84999999999991"/>
    <n v="0"/>
    <n v="0"/>
    <n v="0"/>
    <n v="0"/>
    <n v="0"/>
    <n v="0"/>
    <n v="0"/>
    <n v="0"/>
    <n v="672.84999999999991"/>
    <n v="0"/>
    <n v="0"/>
    <n v="124.91832133676093"/>
    <n v="9.7249999999999996"/>
    <n v="0"/>
    <n v="0"/>
    <m/>
    <s v="Kalyanpur"/>
    <m/>
    <n v="0"/>
  </r>
  <r>
    <s v="Munger"/>
    <s v="01-02 Apr"/>
    <n v="1053"/>
    <s v="Kalyanpur"/>
    <x v="706"/>
    <s v="Gomukh Ratwara"/>
    <s v="MPG"/>
    <s v="Direct"/>
    <n v="63.850000000000009"/>
    <n v="2322.09"/>
    <n v="65.959999999999994"/>
    <n v="2318.1700507613996"/>
    <n v="0"/>
    <n v="0"/>
    <n v="65.959999999999994"/>
    <n v="2318.1700507613996"/>
    <n v="2318.1700507613996"/>
    <n v="0"/>
    <n v="0"/>
    <n v="0"/>
    <n v="0"/>
    <n v="0"/>
    <n v="0"/>
    <n v="2317"/>
    <n v="0"/>
    <n v="0"/>
    <n v="5"/>
    <n v="0"/>
    <n v="99.029774001566153"/>
    <n v="31.925000000000004"/>
    <n v="1.6881125359484626E-3"/>
    <n v="11"/>
    <m/>
    <s v="Kalyanpur"/>
    <m/>
    <n v="0"/>
  </r>
  <r>
    <s v="Munger"/>
    <s v="01-02 Apr"/>
    <n v="1053"/>
    <s v="Kalyanpur"/>
    <x v="707"/>
    <s v="Gomukh Fulhara"/>
    <s v="vlc"/>
    <s v="Indirect"/>
    <n v="541.29999999999995"/>
    <n v="26767.960000000003"/>
    <n v="0"/>
    <n v="0"/>
    <n v="0"/>
    <n v="0"/>
    <n v="0"/>
    <n v="0"/>
    <n v="26767.960000000003"/>
    <n v="0"/>
    <n v="0"/>
    <n v="0"/>
    <n v="0"/>
    <n v="0"/>
    <n v="0"/>
    <n v="0"/>
    <n v="0"/>
    <n v="26767.960000000003"/>
    <n v="0"/>
    <n v="0"/>
    <n v="0"/>
    <n v="0"/>
    <n v="0"/>
    <n v="0"/>
    <m/>
    <s v="Kalyanpur"/>
    <m/>
    <n v="0"/>
  </r>
  <r>
    <s v="Munger"/>
    <s v="01-02 Apr"/>
    <n v="1053"/>
    <s v="Kalyanpur"/>
    <x v="708"/>
    <s v="Gomukh Ranitola"/>
    <s v="vlc"/>
    <s v="Indirect"/>
    <n v="170.14999999999998"/>
    <n v="7558.5300000000007"/>
    <n v="0"/>
    <n v="0"/>
    <n v="0"/>
    <n v="0"/>
    <n v="0"/>
    <n v="0"/>
    <n v="7558.5300000000007"/>
    <n v="0"/>
    <n v="0"/>
    <n v="0"/>
    <n v="0"/>
    <n v="0"/>
    <n v="0"/>
    <n v="0"/>
    <n v="0"/>
    <n v="7558.5300000000007"/>
    <n v="0"/>
    <n v="0"/>
    <n v="26.520378548339728"/>
    <n v="85.074999999999989"/>
    <n v="0"/>
    <n v="0"/>
    <m/>
    <s v="Kalyanpur"/>
    <m/>
    <n v="0"/>
  </r>
  <r>
    <s v="Munger"/>
    <s v="01-02 Apr"/>
    <n v="1053"/>
    <s v="Kalyanpur"/>
    <x v="709"/>
    <s v="Gomukh Malinagar East"/>
    <s v="MPG"/>
    <s v="Direct"/>
    <n v="269.7"/>
    <n v="10954.650000000001"/>
    <n v="268.78000000000003"/>
    <n v="10827.950373663909"/>
    <n v="2.35"/>
    <n v="92.7761967"/>
    <n v="271.13000000000005"/>
    <n v="10920.72657036391"/>
    <n v="10920.72657036391"/>
    <n v="0"/>
    <n v="92.7761967"/>
    <n v="0"/>
    <n v="0"/>
    <n v="0"/>
    <n v="0"/>
    <n v="10828"/>
    <n v="0"/>
    <n v="0"/>
    <n v="34"/>
    <n v="0"/>
    <n v="0"/>
    <n v="0"/>
    <n v="3.0967150603708827E-3"/>
    <n v="10"/>
    <m/>
    <s v="Kalyanpur"/>
    <m/>
    <n v="0"/>
  </r>
  <r>
    <s v="Munger"/>
    <s v="01-02 Apr"/>
    <n v="1053"/>
    <s v="Kalyanpur"/>
    <x v="710"/>
    <s v="GOMUKH Singhiya Ward 11"/>
    <s v="vlc"/>
    <s v="Indirect"/>
    <n v="119.55"/>
    <n v="5902.0199999999995"/>
    <n v="0"/>
    <n v="0"/>
    <n v="0"/>
    <n v="0"/>
    <n v="0"/>
    <n v="0"/>
    <n v="5902.0199999999995"/>
    <n v="0"/>
    <n v="0"/>
    <n v="0"/>
    <n v="0"/>
    <n v="0"/>
    <n v="0"/>
    <n v="0"/>
    <n v="0"/>
    <n v="5902.0199999999995"/>
    <n v="0"/>
    <n v="0"/>
    <n v="79.434129485570892"/>
    <n v="59.774999999999999"/>
    <n v="0"/>
    <n v="0"/>
    <m/>
    <s v="Kalyanpur"/>
    <m/>
    <n v="0"/>
  </r>
  <r>
    <s v="Munger"/>
    <s v="01-02 Apr"/>
    <n v="1053"/>
    <s v="Kalyanpur"/>
    <x v="711"/>
    <s v="GOMUKH MANIYARPUR"/>
    <s v="MPG"/>
    <s v="Direct"/>
    <n v="403.8"/>
    <n v="16577.329999999998"/>
    <n v="399.39"/>
    <n v="16384.069668770611"/>
    <n v="5.74"/>
    <n v="236.88174153600002"/>
    <n v="405.13"/>
    <n v="16620.95141030661"/>
    <n v="16577.329999999998"/>
    <n v="0"/>
    <n v="236.88174153600002"/>
    <n v="43.621410306612233"/>
    <n v="0"/>
    <n v="0"/>
    <n v="0"/>
    <n v="16340"/>
    <n v="0"/>
    <n v="0"/>
    <n v="0"/>
    <n v="0"/>
    <n v="0"/>
    <n v="0"/>
    <n v="-2.6313893918147395E-3"/>
    <n v="38"/>
    <m/>
    <s v="Kalyanpur"/>
    <m/>
    <n v="0"/>
  </r>
  <r>
    <s v="Munger"/>
    <s v="01-02 Apr"/>
    <n v="1053"/>
    <s v="Kalyanpur"/>
    <x v="712"/>
    <s v="GOMUKH DIGHRA W-6"/>
    <s v="MPG"/>
    <s v="Direct"/>
    <n v="382.8"/>
    <n v="14446.619999999999"/>
    <n v="379.96"/>
    <n v="14666.431272897362"/>
    <n v="3.5300000000000002"/>
    <n v="139.35598063200001"/>
    <n v="383.48999999999995"/>
    <n v="14805.787253529363"/>
    <n v="14446.619999999999"/>
    <n v="1689"/>
    <n v="139.35598063200001"/>
    <n v="359.16725352936373"/>
    <n v="0"/>
    <n v="0"/>
    <n v="0"/>
    <n v="12618"/>
    <n v="0"/>
    <n v="0"/>
    <n v="0"/>
    <n v="0"/>
    <n v="0"/>
    <n v="0"/>
    <n v="-2.4861680692740844E-2"/>
    <n v="10"/>
    <m/>
    <s v="Kalyanpur"/>
    <m/>
    <n v="0"/>
  </r>
  <r>
    <s v="Munger"/>
    <s v="01-02 Apr"/>
    <n v="1053"/>
    <s v="Kalyanpur"/>
    <x v="713"/>
    <s v="GOMUKH BANDRA W-6"/>
    <s v="MPG"/>
    <s v="Direct"/>
    <n v="120.4"/>
    <n v="5546.23"/>
    <n v="124.79000000000002"/>
    <n v="5459.0603277530099"/>
    <n v="2.09"/>
    <n v="83.106706716000005"/>
    <n v="126.88000000000002"/>
    <n v="5542.1670344690101"/>
    <n v="5542.1670344690101"/>
    <n v="0"/>
    <n v="83.106706716000005"/>
    <n v="0"/>
    <n v="0"/>
    <n v="0"/>
    <n v="0"/>
    <n v="5459"/>
    <n v="0"/>
    <n v="0"/>
    <n v="4"/>
    <n v="0"/>
    <n v="73.335532890365428"/>
    <n v="60.2"/>
    <n v="7.3256347662997376E-4"/>
    <n v="21"/>
    <m/>
    <s v="Kalyanpur"/>
    <m/>
    <n v="0"/>
  </r>
  <r>
    <s v="Munger"/>
    <s v="01-02 Apr"/>
    <n v="1053"/>
    <s v="Kalyanpur"/>
    <x v="714"/>
    <s v="BELSANDI RAJO"/>
    <s v="vlc"/>
    <s v="Indirect"/>
    <n v="146.80000000000001"/>
    <n v="5736.85"/>
    <n v="0"/>
    <n v="0"/>
    <n v="0"/>
    <n v="0"/>
    <n v="0"/>
    <n v="0"/>
    <n v="5736.85"/>
    <n v="0"/>
    <n v="0"/>
    <n v="0"/>
    <n v="0"/>
    <n v="0"/>
    <n v="0"/>
    <n v="0"/>
    <n v="0"/>
    <n v="5736.85"/>
    <n v="0"/>
    <n v="0"/>
    <n v="41.580438692098078"/>
    <n v="73.400000000000006"/>
    <n v="0"/>
    <n v="0"/>
    <m/>
    <s v="Kalyanpur"/>
    <m/>
    <n v="0"/>
  </r>
  <r>
    <s v="Munger"/>
    <s v="01-02 Apr"/>
    <n v="1053"/>
    <s v="Kalyanpur"/>
    <x v="715"/>
    <s v="BELSANDI W-9"/>
    <s v="vlc"/>
    <s v="Indirect"/>
    <n v="142.5"/>
    <n v="6433.29"/>
    <n v="0"/>
    <n v="0"/>
    <n v="0"/>
    <n v="0"/>
    <n v="0"/>
    <n v="0"/>
    <n v="6433.29"/>
    <n v="0"/>
    <n v="0"/>
    <n v="0"/>
    <n v="0"/>
    <n v="0"/>
    <n v="0"/>
    <n v="0"/>
    <n v="0"/>
    <n v="6433.29"/>
    <n v="0"/>
    <n v="0"/>
    <n v="51.917778947368419"/>
    <n v="71.25"/>
    <n v="0"/>
    <n v="0"/>
    <m/>
    <s v="Kalyanpur"/>
    <m/>
    <n v="0"/>
  </r>
  <r>
    <s v="Munger"/>
    <s v="01-02 Apr"/>
    <n v="1053"/>
    <s v="Kalyanpur"/>
    <x v="716"/>
    <s v="GOMUKH PARAN 2"/>
    <s v="MPG"/>
    <s v="Direct"/>
    <n v="56.4"/>
    <n v="2893.03"/>
    <n v="57.210000000000008"/>
    <n v="2801.3075829815211"/>
    <n v="1.3900000000000001"/>
    <n v="65.994515214680007"/>
    <n v="58.600000000000009"/>
    <n v="2867.3020981962013"/>
    <n v="2867.3020981962013"/>
    <n v="0"/>
    <n v="65.994515214680007"/>
    <n v="0"/>
    <n v="0"/>
    <n v="0"/>
    <n v="0"/>
    <n v="2804"/>
    <n v="0"/>
    <n v="0"/>
    <n v="23"/>
    <n v="0"/>
    <n v="147.3188326241135"/>
    <n v="28.2"/>
    <n v="8.8930642972243241E-3"/>
    <n v="12"/>
    <m/>
    <s v="Kalyanpur"/>
    <m/>
    <n v="0"/>
  </r>
  <r>
    <s v="Munger"/>
    <s v="01-02 Apr"/>
    <n v="1053"/>
    <s v="Kalyanpur"/>
    <x v="717"/>
    <s v="GOMUKH KHARAGPUR"/>
    <s v="MPG"/>
    <s v="Direct"/>
    <n v="82.55"/>
    <n v="4505.07"/>
    <n v="83.52"/>
    <n v="4608.5312112147058"/>
    <n v="0"/>
    <n v="0"/>
    <n v="83.52"/>
    <n v="4608.5312112147058"/>
    <n v="4505.07"/>
    <n v="0"/>
    <n v="0"/>
    <n v="103.46121121470605"/>
    <n v="0"/>
    <n v="0"/>
    <n v="0"/>
    <n v="4505"/>
    <n v="0"/>
    <n v="0"/>
    <n v="0"/>
    <n v="0"/>
    <n v="128.1939361599031"/>
    <n v="41.274999999999999"/>
    <n v="-2.2965505800066604E-2"/>
    <n v="9"/>
    <m/>
    <s v="Kalyanpur"/>
    <m/>
    <n v="0"/>
  </r>
  <r>
    <s v="Munger"/>
    <s v="01-02 Apr"/>
    <n v="1053"/>
    <s v="Kalyanpur"/>
    <x v="718"/>
    <s v="KAMARGAMA"/>
    <s v="vlc"/>
    <s v="Indirect"/>
    <n v="90.85"/>
    <n v="5536.57"/>
    <n v="0"/>
    <n v="0"/>
    <n v="0"/>
    <n v="0"/>
    <n v="0"/>
    <n v="0"/>
    <n v="5536.57"/>
    <n v="0"/>
    <n v="0"/>
    <n v="0"/>
    <n v="0"/>
    <n v="0"/>
    <n v="0"/>
    <n v="0"/>
    <n v="0"/>
    <n v="5536.57"/>
    <n v="0"/>
    <n v="0"/>
    <n v="133.03612889378098"/>
    <n v="45.424999999999997"/>
    <n v="0"/>
    <n v="0"/>
    <m/>
    <s v="Kalyanpur"/>
    <m/>
    <n v="0"/>
  </r>
  <r>
    <s v="Munger"/>
    <s v="01-02 Apr"/>
    <n v="1053"/>
    <s v="Kalyanpur"/>
    <x v="719"/>
    <s v="BELSANDI DIH"/>
    <s v="vlc"/>
    <s v="Indirect"/>
    <n v="53.2"/>
    <n v="2561.4899999999998"/>
    <n v="0"/>
    <n v="0"/>
    <n v="0"/>
    <n v="0"/>
    <n v="0"/>
    <n v="0"/>
    <n v="2561.4899999999998"/>
    <n v="0"/>
    <n v="0"/>
    <n v="0"/>
    <n v="0"/>
    <n v="0"/>
    <n v="0"/>
    <n v="0"/>
    <n v="0"/>
    <n v="2561.4899999999998"/>
    <n v="0"/>
    <n v="0"/>
    <n v="141.36343308270676"/>
    <n v="26.6"/>
    <n v="0"/>
    <n v="0"/>
    <m/>
    <s v="Kalyanpur"/>
    <m/>
    <n v="0"/>
  </r>
  <r>
    <s v="Munger"/>
    <s v="01-02 Apr"/>
    <n v="1053"/>
    <s v="Kalyanpur"/>
    <x v="720"/>
    <s v="GOMUKH BALAHA W-9"/>
    <s v="MPG"/>
    <s v="Direct"/>
    <n v="285.95000000000005"/>
    <n v="11443.809999999998"/>
    <n v="275.15999999999997"/>
    <n v="11142.299198030047"/>
    <n v="3.9800000000000004"/>
    <n v="157.24154556000002"/>
    <n v="279.14"/>
    <n v="11299.540743590047"/>
    <n v="11299.540743590047"/>
    <n v="318"/>
    <n v="157.24154556000002"/>
    <n v="0"/>
    <n v="0"/>
    <n v="0"/>
    <n v="0"/>
    <n v="10823"/>
    <n v="0"/>
    <n v="0"/>
    <n v="146"/>
    <n v="0"/>
    <n v="0"/>
    <n v="0"/>
    <n v="1.2606750410042698E-2"/>
    <n v="24"/>
    <m/>
    <s v="Kalyanpur"/>
    <m/>
    <n v="0"/>
  </r>
  <r>
    <s v="Munger"/>
    <s v="01-02 Apr"/>
    <n v="1053"/>
    <s v="Kalyanpur"/>
    <x v="721"/>
    <s v="Gomukh NAMAPUR East"/>
    <s v="vlc"/>
    <s v="Indirect"/>
    <n v="80.900000000000006"/>
    <n v="3245.04"/>
    <n v="0"/>
    <n v="0"/>
    <n v="0"/>
    <n v="0"/>
    <n v="0"/>
    <n v="0"/>
    <n v="3245.04"/>
    <n v="0"/>
    <n v="0"/>
    <n v="0"/>
    <n v="0"/>
    <n v="0"/>
    <n v="0"/>
    <n v="0"/>
    <n v="0"/>
    <n v="3245.04"/>
    <n v="0"/>
    <n v="0"/>
    <n v="95.546171569839302"/>
    <n v="40.450000000000003"/>
    <n v="0"/>
    <n v="0"/>
    <m/>
    <s v="Kalyanpur"/>
    <m/>
    <n v="0"/>
  </r>
  <r>
    <s v="Munger"/>
    <s v="01-02 Apr"/>
    <n v="1053"/>
    <s v="Kalyanpur"/>
    <x v="722"/>
    <s v="GOMUKH Madanpur W-3"/>
    <s v="MPG"/>
    <s v="Direct"/>
    <n v="535.19999999999993"/>
    <n v="26125.5"/>
    <n v="547.27"/>
    <n v="25879.059652394011"/>
    <n v="8.73"/>
    <n v="390.45517976850005"/>
    <n v="556"/>
    <n v="26269.514832162513"/>
    <n v="26125.5"/>
    <n v="2160"/>
    <n v="390.45517976850005"/>
    <n v="144.0148321625129"/>
    <n v="0"/>
    <n v="0"/>
    <n v="0"/>
    <n v="23575"/>
    <n v="0"/>
    <n v="0"/>
    <n v="0"/>
    <n v="0"/>
    <n v="0"/>
    <n v="0"/>
    <n v="-5.5124239598290138E-3"/>
    <n v="54"/>
    <m/>
    <s v="Kalyanpur"/>
    <m/>
    <n v="0"/>
  </r>
  <r>
    <s v="Munger"/>
    <s v="01-02 Apr"/>
    <n v="1053"/>
    <s v="Kalyanpur"/>
    <x v="723"/>
    <s v="Gomukh Namapur East (08)"/>
    <s v="vlc"/>
    <s v="Indirect"/>
    <n v="224.64999999999998"/>
    <n v="8439.3499999999985"/>
    <n v="0"/>
    <n v="0"/>
    <n v="0"/>
    <n v="0"/>
    <n v="0"/>
    <n v="0"/>
    <n v="8439.3499999999985"/>
    <n v="0"/>
    <n v="0"/>
    <n v="0"/>
    <n v="0"/>
    <n v="0"/>
    <n v="0"/>
    <n v="0"/>
    <n v="0"/>
    <n v="8439.3499999999985"/>
    <n v="0"/>
    <n v="0"/>
    <n v="0"/>
    <n v="0"/>
    <n v="0"/>
    <n v="0"/>
    <m/>
    <s v="Kalyanpur"/>
    <m/>
    <n v="0"/>
  </r>
  <r>
    <s v="Munger"/>
    <s v="01-02 Apr"/>
    <n v="1053"/>
    <s v="Kalyanpur"/>
    <x v="724"/>
    <s v="GOMUKH Kalaunjar"/>
    <s v="MPG"/>
    <s v="Direct"/>
    <n v="180.39999999999998"/>
    <n v="8602.74"/>
    <n v="177.87"/>
    <n v="8528.0358574380989"/>
    <n v="4"/>
    <n v="194.58334750520004"/>
    <n v="181.87"/>
    <n v="8722.6192049432993"/>
    <n v="8602.74"/>
    <n v="0"/>
    <n v="194.58334750520004"/>
    <n v="119.87920494329956"/>
    <n v="0"/>
    <n v="0"/>
    <n v="0"/>
    <n v="8408"/>
    <n v="0"/>
    <n v="0"/>
    <n v="0"/>
    <n v="0"/>
    <n v="18.693315299334838"/>
    <n v="90.199999999999989"/>
    <n v="-1.3935002678600022E-2"/>
    <n v="12"/>
    <m/>
    <s v="Kalyanpur"/>
    <m/>
    <n v="0"/>
  </r>
  <r>
    <s v="Munger"/>
    <s v="01-02 Apr"/>
    <n v="1053"/>
    <s v="Kalyanpur"/>
    <x v="725"/>
    <s v="Jitwariya W-11"/>
    <s v="vlc"/>
    <s v="Indirect"/>
    <n v="57.3"/>
    <n v="2434.3999999999996"/>
    <n v="0"/>
    <n v="0"/>
    <n v="0"/>
    <n v="0"/>
    <n v="0"/>
    <n v="0"/>
    <n v="2434.3999999999996"/>
    <n v="0"/>
    <n v="0"/>
    <n v="0"/>
    <n v="0"/>
    <n v="0"/>
    <n v="0"/>
    <n v="0"/>
    <n v="0"/>
    <n v="2434.3999999999996"/>
    <n v="0"/>
    <n v="0"/>
    <n v="121.25266317626526"/>
    <n v="28.65"/>
    <n v="0"/>
    <n v="0"/>
    <m/>
    <s v="Kalyanpur"/>
    <m/>
    <n v="0"/>
  </r>
  <r>
    <s v="Munger"/>
    <s v="01-02 Apr"/>
    <n v="1053"/>
    <s v="Kalyanpur"/>
    <x v="726"/>
    <s v="Pastara Lakshman"/>
    <s v="vlc"/>
    <s v="Indirect"/>
    <n v="65.05"/>
    <n v="2406.1999999999998"/>
    <n v="0"/>
    <n v="0"/>
    <n v="0"/>
    <n v="0"/>
    <n v="0"/>
    <n v="0"/>
    <n v="2406.1999999999998"/>
    <n v="0"/>
    <n v="0"/>
    <n v="0"/>
    <n v="0"/>
    <n v="0"/>
    <n v="0"/>
    <n v="0"/>
    <n v="0"/>
    <n v="2406.1999999999998"/>
    <n v="0"/>
    <n v="0"/>
    <n v="99.836030745580317"/>
    <n v="32.524999999999999"/>
    <n v="0"/>
    <n v="0"/>
    <m/>
    <s v="Kalyanpur"/>
    <m/>
    <n v="0"/>
  </r>
  <r>
    <s v="Munger"/>
    <s v="01-02 Apr"/>
    <n v="1053"/>
    <s v="Kalyanpur"/>
    <x v="727"/>
    <s v="GOMUKH DADHIYA-2"/>
    <s v="MPG"/>
    <s v="Direct"/>
    <n v="403.79999999999995"/>
    <n v="18733.560000000005"/>
    <n v="400.23999999999995"/>
    <n v="17901.64074678289"/>
    <n v="4.25"/>
    <n v="212.57590627860003"/>
    <n v="404.48999999999995"/>
    <n v="18114.216653061489"/>
    <n v="18114.216653061489"/>
    <n v="0"/>
    <n v="212.57590627860003"/>
    <n v="0"/>
    <n v="0"/>
    <n v="0"/>
    <n v="0"/>
    <n v="17902"/>
    <n v="0"/>
    <n v="0"/>
    <n v="619"/>
    <n v="0"/>
    <n v="0"/>
    <n v="0"/>
    <n v="3.3060632732834348E-2"/>
    <n v="33"/>
    <m/>
    <s v="Kalyanpur"/>
    <m/>
    <n v="0"/>
  </r>
  <r>
    <s v="Munger"/>
    <s v="01-02 Apr"/>
    <n v="1053"/>
    <s v="Kalyanpur"/>
    <x v="728"/>
    <s v="GOMUKH PREMNAGAR"/>
    <s v="MPG"/>
    <s v="Direct"/>
    <n v="385.50000000000006"/>
    <n v="15366.41"/>
    <n v="378.71000000000004"/>
    <n v="15364.904874004762"/>
    <n v="0"/>
    <n v="0"/>
    <n v="378.71000000000004"/>
    <n v="15364.904874004762"/>
    <n v="15364.904874004762"/>
    <n v="0"/>
    <n v="0"/>
    <n v="0"/>
    <n v="0"/>
    <n v="0"/>
    <n v="0"/>
    <n v="15363"/>
    <n v="0"/>
    <n v="0"/>
    <n v="3"/>
    <n v="0"/>
    <n v="0"/>
    <n v="0"/>
    <n v="9.7949097755292502E-5"/>
    <n v="24"/>
    <m/>
    <s v="Kalyanpur"/>
    <m/>
    <n v="0"/>
  </r>
  <r>
    <s v="Munger"/>
    <s v="01-02 Apr"/>
    <n v="1053"/>
    <s v="Kalyanpur"/>
    <x v="729"/>
    <s v="GOMUKH JITWARIYA W-6"/>
    <s v="MPG"/>
    <s v="Direct"/>
    <n v="506.59999999999997"/>
    <n v="20807.59"/>
    <n v="504.58000000000004"/>
    <n v="20599.300940768913"/>
    <n v="4.8600000000000003"/>
    <n v="202.58187958800002"/>
    <n v="509.44000000000005"/>
    <n v="20801.882820356914"/>
    <n v="20801.882820356914"/>
    <n v="0"/>
    <n v="202.58187958800002"/>
    <n v="0"/>
    <n v="0"/>
    <n v="0"/>
    <n v="0"/>
    <n v="20601"/>
    <n v="0"/>
    <n v="0"/>
    <n v="4"/>
    <n v="0"/>
    <n v="0"/>
    <n v="0"/>
    <n v="2.7428354956467421E-4"/>
    <n v="37"/>
    <m/>
    <s v="Kalyanpur"/>
    <m/>
    <n v="0"/>
  </r>
  <r>
    <s v="Munger"/>
    <s v="01-02 Apr"/>
    <n v="1053"/>
    <s v="Kalyanpur"/>
    <x v="730"/>
    <s v="GOMUKH SUSTA"/>
    <s v="MPG"/>
    <s v="Direct"/>
    <n v="318.84999999999997"/>
    <n v="13301.16"/>
    <n v="320.51"/>
    <n v="13296.017824505145"/>
    <n v="0"/>
    <n v="0"/>
    <n v="320.51"/>
    <n v="13296.017824505145"/>
    <n v="13296.017824505145"/>
    <n v="0"/>
    <n v="0"/>
    <n v="0"/>
    <n v="0"/>
    <n v="0"/>
    <n v="0"/>
    <n v="13296"/>
    <n v="0"/>
    <n v="0"/>
    <n v="5"/>
    <n v="0"/>
    <n v="0"/>
    <n v="0"/>
    <n v="3.8659601830630635E-4"/>
    <n v="27"/>
    <m/>
    <s v="Kalyanpur"/>
    <m/>
    <n v="0"/>
  </r>
  <r>
    <s v="Munger"/>
    <s v="01-02 Apr"/>
    <n v="1053"/>
    <s v="Kalyanpur"/>
    <x v="731"/>
    <s v="KHANPUR SOBHA"/>
    <s v="vlc"/>
    <s v="Indirect"/>
    <n v="99.1"/>
    <n v="3689.49"/>
    <n v="0"/>
    <n v="0"/>
    <n v="0"/>
    <n v="0"/>
    <n v="0"/>
    <n v="0"/>
    <n v="3689.49"/>
    <n v="0"/>
    <n v="0"/>
    <n v="0"/>
    <n v="0"/>
    <n v="0"/>
    <n v="0"/>
    <n v="0"/>
    <n v="0"/>
    <n v="3689.49"/>
    <n v="0"/>
    <n v="0"/>
    <n v="75.130078910191727"/>
    <n v="49.55"/>
    <n v="0"/>
    <n v="0"/>
    <m/>
    <s v="Kalyanpur"/>
    <m/>
    <n v="0"/>
  </r>
  <r>
    <s v="Munger"/>
    <s v="01-02 Apr"/>
    <n v="1012"/>
    <s v="DalsinghSarai"/>
    <x v="732"/>
    <s v="BHATGAMA W-5"/>
    <s v="vlc"/>
    <s v="Indirect"/>
    <n v="105.61"/>
    <n v="3770.42"/>
    <n v="0"/>
    <n v="0"/>
    <n v="0"/>
    <n v="0"/>
    <n v="0"/>
    <n v="0"/>
    <n v="3770.42"/>
    <n v="0"/>
    <n v="0"/>
    <n v="0"/>
    <n v="0"/>
    <n v="0"/>
    <n v="0"/>
    <n v="0"/>
    <n v="0"/>
    <n v="3770.42"/>
    <n v="0"/>
    <n v="0"/>
    <n v="67.397016153773308"/>
    <n v="52.805"/>
    <n v="0"/>
    <n v="0"/>
    <m/>
    <s v="DalsinghSarai"/>
    <m/>
    <n v="0"/>
  </r>
  <r>
    <s v="Munger"/>
    <s v="01-02 Apr"/>
    <n v="1053"/>
    <s v="Kalyanpur"/>
    <x v="733"/>
    <s v="GOMUKH TOKE"/>
    <s v="MPG"/>
    <s v="Direct"/>
    <n v="171.7"/>
    <n v="8301.7100000000009"/>
    <n v="171.30000000000004"/>
    <n v="8696.7101869853814"/>
    <n v="1.2999999999999998"/>
    <n v="64.897587077400004"/>
    <n v="172.60000000000005"/>
    <n v="8761.6077740627807"/>
    <n v="8301.7100000000009"/>
    <n v="0"/>
    <n v="64.897587077400004"/>
    <n v="459.89777406277972"/>
    <n v="0"/>
    <n v="0"/>
    <n v="0"/>
    <n v="8237"/>
    <n v="0"/>
    <n v="0"/>
    <n v="0"/>
    <n v="0"/>
    <n v="27.366149446709393"/>
    <n v="85.85"/>
    <n v="-5.5397957054965745E-2"/>
    <n v="18"/>
    <m/>
    <s v="Kalyanpur"/>
    <m/>
    <n v="0"/>
  </r>
  <r>
    <s v="Munger"/>
    <s v="01-02 Apr"/>
    <n v="1053"/>
    <s v="Kalyanpur"/>
    <x v="734"/>
    <s v="GOMUKH SHIVNAGAR"/>
    <s v="MPG"/>
    <s v="Direct"/>
    <n v="321.3"/>
    <n v="12432.47"/>
    <n v="216.79999999999995"/>
    <n v="8786.5414308335312"/>
    <n v="89.100000000000009"/>
    <n v="3641.2186367654003"/>
    <n v="305.89999999999998"/>
    <n v="12427.760067598931"/>
    <n v="12427.760067598931"/>
    <n v="0"/>
    <n v="176.03978832000001"/>
    <n v="0"/>
    <n v="0"/>
    <n v="0"/>
    <n v="0"/>
    <n v="8787"/>
    <n v="3465"/>
    <n v="0"/>
    <n v="4"/>
    <n v="0"/>
    <n v="0"/>
    <n v="0"/>
    <n v="3.7884124402220374E-4"/>
    <n v="18"/>
    <m/>
    <s v="Kalyanpur"/>
    <m/>
    <n v="0"/>
  </r>
  <r>
    <s v="Munger"/>
    <s v="01-02 Apr"/>
    <n v="1053"/>
    <s v="Kalyanpur"/>
    <x v="735"/>
    <s v="GOMUKH BAKHITIYARPUR"/>
    <s v="MPG"/>
    <s v="Direct"/>
    <n v="381.94999999999993"/>
    <n v="16671.3"/>
    <n v="378.75"/>
    <n v="16416.756874697803"/>
    <n v="6"/>
    <n v="253.55223432000005"/>
    <n v="384.75"/>
    <n v="16670.309109017802"/>
    <n v="16670.309109017802"/>
    <n v="0"/>
    <n v="253.55223432000005"/>
    <n v="0"/>
    <n v="0"/>
    <n v="0"/>
    <n v="0"/>
    <n v="16417"/>
    <n v="0"/>
    <n v="0"/>
    <n v="1"/>
    <n v="0"/>
    <n v="0"/>
    <n v="0"/>
    <n v="5.9436935463762007E-5"/>
    <n v="39"/>
    <m/>
    <s v="Kalyanpur"/>
    <m/>
    <n v="0"/>
  </r>
  <r>
    <s v="Munger"/>
    <s v="01-02 Apr"/>
    <n v="1053"/>
    <s v="Kalyanpur"/>
    <x v="736"/>
    <s v="GOMUKH BHARJA"/>
    <s v="MPG"/>
    <s v="Direct"/>
    <n v="230.54999999999998"/>
    <n v="10843.619999999999"/>
    <n v="230.79999999999998"/>
    <n v="10622.604577070402"/>
    <n v="3.7"/>
    <n v="213.49427805840003"/>
    <n v="234.49999999999997"/>
    <n v="10836.098855128803"/>
    <n v="10836.098855128803"/>
    <n v="0"/>
    <n v="213.49427805840003"/>
    <n v="0"/>
    <n v="0"/>
    <n v="0"/>
    <n v="0"/>
    <n v="10623"/>
    <n v="0"/>
    <n v="0"/>
    <n v="7"/>
    <n v="0"/>
    <n v="0"/>
    <n v="0"/>
    <n v="6.9360092581593211E-4"/>
    <n v="3"/>
    <m/>
    <s v="Kalyanpur"/>
    <m/>
    <n v="0"/>
  </r>
  <r>
    <s v="Munger"/>
    <s v="01-02 Apr"/>
    <n v="1053"/>
    <s v="Kalyanpur"/>
    <x v="737"/>
    <s v="GOMUKH NAWABGANJ"/>
    <s v="MPG"/>
    <s v="Direct"/>
    <n v="173.64999999999998"/>
    <n v="7506.6"/>
    <n v="172.5"/>
    <n v="7389.1923684167305"/>
    <n v="1.9000000000000001"/>
    <n v="83.929668795290013"/>
    <n v="174.4"/>
    <n v="7473.1220372120206"/>
    <n v="7473.1220372120206"/>
    <n v="0"/>
    <n v="83.929668795290013"/>
    <n v="0"/>
    <n v="0"/>
    <n v="0"/>
    <n v="0"/>
    <n v="7391"/>
    <n v="0"/>
    <n v="0"/>
    <n v="32"/>
    <n v="0"/>
    <n v="22.781331413763343"/>
    <n v="86.824999999999989"/>
    <n v="4.4598037444355332E-3"/>
    <n v="18"/>
    <m/>
    <s v="Kalyanpur"/>
    <m/>
    <n v="0"/>
  </r>
  <r>
    <s v="Munger"/>
    <s v="01-02 Apr"/>
    <n v="1053"/>
    <s v="Kalyanpur"/>
    <x v="738"/>
    <s v="Gomukh Somnaha Naya Tola"/>
    <s v="MPG"/>
    <s v="Direct"/>
    <n v="34.950000000000003"/>
    <n v="1233.33"/>
    <n v="25"/>
    <n v="1267.3341186250002"/>
    <n v="0"/>
    <n v="0"/>
    <n v="25"/>
    <n v="1267.3341186250002"/>
    <n v="1233.33"/>
    <n v="0"/>
    <n v="0"/>
    <n v="34.004118625000274"/>
    <n v="0"/>
    <n v="0"/>
    <n v="0"/>
    <n v="1233"/>
    <n v="0"/>
    <n v="0"/>
    <n v="0"/>
    <n v="0"/>
    <n v="116.48704806866952"/>
    <n v="17.475000000000001"/>
    <n v="-2.757098150940971E-2"/>
    <n v="1"/>
    <m/>
    <s v="Kalyanpur"/>
    <m/>
    <n v="0"/>
  </r>
  <r>
    <s v="Munger"/>
    <s v="01-02 Apr"/>
    <n v="1053"/>
    <s v="Kalyanpur"/>
    <x v="739"/>
    <s v="GOMUKH CHAKKI"/>
    <s v="MPG"/>
    <s v="Direct"/>
    <n v="100.45000000000002"/>
    <n v="4160.3500000000004"/>
    <n v="95.850000000000009"/>
    <n v="4460.9861254198813"/>
    <n v="1.1000000000000001"/>
    <n v="52.746530159600013"/>
    <n v="96.95"/>
    <n v="4513.7326555794816"/>
    <n v="4160.3500000000004"/>
    <n v="0"/>
    <n v="52.746530159600013"/>
    <n v="353.38265557948125"/>
    <n v="0"/>
    <n v="0"/>
    <n v="0"/>
    <n v="4107"/>
    <n v="0"/>
    <n v="0"/>
    <n v="1"/>
    <n v="0"/>
    <n v="82.461491786958675"/>
    <n v="50.225000000000009"/>
    <n v="-8.4940607299741899E-2"/>
    <n v="16"/>
    <m/>
    <s v="Kalyanpur"/>
    <m/>
    <n v="0"/>
  </r>
  <r>
    <s v="Munger"/>
    <s v="01-02 Apr"/>
    <n v="1053"/>
    <s v="Kalyanpur"/>
    <x v="740"/>
    <s v="GOMUKH LAKSHMAN NAGAR"/>
    <s v="MPG"/>
    <s v="Direct"/>
    <n v="136.75"/>
    <n v="6414.8799999999992"/>
    <n v="139.20000000000002"/>
    <n v="6263.6611914043506"/>
    <n v="3.5"/>
    <n v="148.42757267568001"/>
    <n v="142.70000000000002"/>
    <n v="6412.0887640800302"/>
    <n v="6412.0887640800302"/>
    <n v="0"/>
    <n v="148.42757267568001"/>
    <n v="0"/>
    <n v="0"/>
    <n v="0"/>
    <n v="0"/>
    <n v="6263"/>
    <n v="0"/>
    <n v="0"/>
    <n v="3"/>
    <n v="0"/>
    <n v="59.340571846435097"/>
    <n v="68.375"/>
    <n v="4.3511896091104438E-4"/>
    <n v="15"/>
    <m/>
    <s v="Kalyanpur"/>
    <m/>
    <n v="0"/>
  </r>
  <r>
    <s v="Munger"/>
    <s v="01-02 Apr"/>
    <n v="1053"/>
    <s v="Kalyanpur"/>
    <x v="741"/>
    <s v="GOMUKH KOTHIYA"/>
    <s v="MPG"/>
    <s v="Direct"/>
    <n v="36.299999999999997"/>
    <n v="1359.26"/>
    <n v="36"/>
    <n v="1279.8598262637602"/>
    <n v="0.30000000000000004"/>
    <n v="10.834838388000001"/>
    <n v="36.299999999999997"/>
    <n v="1290.6946646517601"/>
    <n v="1290.6946646517601"/>
    <n v="0"/>
    <n v="10.834838388000001"/>
    <n v="0"/>
    <n v="0"/>
    <n v="0"/>
    <n v="0"/>
    <n v="1280"/>
    <n v="0"/>
    <n v="0"/>
    <n v="68"/>
    <n v="0"/>
    <n v="122.59551625344352"/>
    <n v="18.149999999999999"/>
    <n v="5.0443134755852333E-2"/>
    <n v="4"/>
    <m/>
    <s v="Kalyanpur"/>
    <m/>
    <n v="0"/>
  </r>
  <r>
    <s v="Munger"/>
    <s v="01-02 Apr"/>
    <n v="1053"/>
    <s v="Kalyanpur"/>
    <x v="742"/>
    <s v="GOMUKH JHAHURI"/>
    <s v="MPG"/>
    <s v="Direct"/>
    <n v="572.65"/>
    <n v="26392.039999999997"/>
    <n v="565.70000000000016"/>
    <n v="25961.009255450608"/>
    <n v="7.3000000000000007"/>
    <n v="317.57867420400004"/>
    <n v="573.00000000000011"/>
    <n v="26278.587929654608"/>
    <n v="26278.587929654608"/>
    <n v="0"/>
    <n v="317.57867420400004"/>
    <n v="0"/>
    <n v="0"/>
    <n v="0"/>
    <n v="0"/>
    <n v="25961"/>
    <n v="0"/>
    <n v="0"/>
    <n v="113"/>
    <n v="0"/>
    <n v="0"/>
    <n v="0"/>
    <n v="4.2987230371501822E-3"/>
    <n v="31"/>
    <m/>
    <s v="Kalyanpur"/>
    <m/>
    <n v="0"/>
  </r>
  <r>
    <s v="Munger"/>
    <s v="01-02 Apr"/>
    <n v="1053"/>
    <s v="Kalyanpur"/>
    <x v="743"/>
    <s v="Belsandi Dihtola"/>
    <s v="vlc"/>
    <s v="Indirect"/>
    <n v="172.15"/>
    <n v="6032.55"/>
    <n v="0"/>
    <n v="0"/>
    <n v="0"/>
    <n v="0"/>
    <n v="0"/>
    <n v="0"/>
    <n v="6032.55"/>
    <n v="0"/>
    <n v="0"/>
    <n v="0"/>
    <n v="0"/>
    <n v="0"/>
    <n v="0"/>
    <n v="0"/>
    <n v="0"/>
    <n v="6032.55"/>
    <n v="0"/>
    <n v="0"/>
    <n v="19.518619517862323"/>
    <n v="86.075000000000003"/>
    <n v="0"/>
    <n v="0"/>
    <m/>
    <s v="Kalyanpur"/>
    <m/>
    <n v="0"/>
  </r>
  <r>
    <s v="Munger"/>
    <s v="01-02 Apr"/>
    <n v="1053"/>
    <s v="Kalyanpur"/>
    <x v="744"/>
    <s v="GOMUKH Gopalpur Ward 1"/>
    <s v="MPG"/>
    <s v="Direct"/>
    <n v="93.4"/>
    <n v="3829.31"/>
    <n v="92.75"/>
    <n v="3724.6845244491997"/>
    <n v="1.31"/>
    <n v="52.372434708000007"/>
    <n v="94.06"/>
    <n v="3777.0569591571998"/>
    <n v="3777.0569591571998"/>
    <n v="0"/>
    <n v="52.372434708000007"/>
    <n v="0"/>
    <n v="0"/>
    <n v="0"/>
    <n v="0"/>
    <n v="3725"/>
    <n v="0"/>
    <n v="0"/>
    <n v="52"/>
    <n v="0"/>
    <n v="87.409945610278356"/>
    <n v="46.7"/>
    <n v="1.3645549940537629E-2"/>
    <n v="7"/>
    <m/>
    <s v="Kalyanpur"/>
    <m/>
    <n v="0"/>
  </r>
  <r>
    <s v="Munger"/>
    <s v="01-02 Apr"/>
    <n v="1053"/>
    <s v="Kalyanpur"/>
    <x v="745"/>
    <s v="GOMUKH Keotsa"/>
    <s v="MPG"/>
    <s v="Direct"/>
    <n v="110.8"/>
    <n v="4254.93"/>
    <n v="111.14999999999999"/>
    <n v="4306.6021168573207"/>
    <n v="1.37"/>
    <n v="52.087344804000004"/>
    <n v="112.52"/>
    <n v="4358.6894616613208"/>
    <n v="4254.93"/>
    <n v="0"/>
    <n v="52.087344804000004"/>
    <n v="103.75946166132053"/>
    <n v="0"/>
    <n v="0"/>
    <n v="0"/>
    <n v="4203"/>
    <n v="0"/>
    <n v="0"/>
    <n v="0"/>
    <n v="0"/>
    <n v="68.508981227436834"/>
    <n v="55.4"/>
    <n v="-2.4385703563001158E-2"/>
    <n v="7"/>
    <m/>
    <s v="Kalyanpur"/>
    <m/>
    <n v="0"/>
  </r>
  <r>
    <s v="Munger"/>
    <s v="01-02 Apr"/>
    <n v="1053"/>
    <s v="Kalyanpur"/>
    <x v="746"/>
    <s v="GOMUKH Waini"/>
    <s v="MPG"/>
    <s v="Direct"/>
    <n v="64.150000000000006"/>
    <n v="2464.5599999999995"/>
    <n v="61.970000000000006"/>
    <n v="2327.1857506835995"/>
    <n v="2.13"/>
    <n v="76.493659176000008"/>
    <n v="64.100000000000009"/>
    <n v="2403.6794098595997"/>
    <n v="2403.6794098595997"/>
    <n v="0"/>
    <n v="76.493659176000008"/>
    <n v="0"/>
    <n v="0"/>
    <n v="0"/>
    <n v="0"/>
    <n v="2327"/>
    <n v="0"/>
    <n v="0"/>
    <n v="61"/>
    <n v="0"/>
    <n v="104.38362462977393"/>
    <n v="32.075000000000003"/>
    <n v="2.4702417527023009E-2"/>
    <n v="2"/>
    <m/>
    <s v="Kalyanpur"/>
    <m/>
    <n v="0"/>
  </r>
  <r>
    <s v="Munger"/>
    <s v="01-02 Apr"/>
    <n v="1053"/>
    <s v="Kalyanpur"/>
    <x v="747"/>
    <s v="GOMUKH SAKARI"/>
    <s v="MPG"/>
    <s v="Direct"/>
    <n v="315.04999999999995"/>
    <n v="14234.789999999999"/>
    <n v="311.53000000000003"/>
    <n v="14149.053689853303"/>
    <n v="1.79"/>
    <n v="80.794361783520017"/>
    <n v="313.32000000000005"/>
    <n v="14229.848051636824"/>
    <n v="14229.848051636824"/>
    <n v="0"/>
    <n v="80.794361783520017"/>
    <n v="0"/>
    <n v="0"/>
    <n v="0"/>
    <n v="0"/>
    <n v="14149"/>
    <n v="0"/>
    <n v="0"/>
    <n v="5"/>
    <n v="0"/>
    <n v="0"/>
    <n v="0"/>
    <n v="3.4717395642475026E-4"/>
    <n v="9"/>
    <m/>
    <s v="Kalyanpur"/>
    <m/>
    <n v="0"/>
  </r>
  <r>
    <s v="Munger"/>
    <s v="01-02 Apr"/>
    <n v="1053"/>
    <s v="Kalyanpur"/>
    <x v="748"/>
    <s v="GOMUKH DHOBGAMA"/>
    <s v="MPG"/>
    <s v="Direct"/>
    <n v="359.45000000000005"/>
    <n v="13714.369999999999"/>
    <n v="354.8"/>
    <n v="13331.182310586753"/>
    <n v="6.54"/>
    <n v="252.97049448000001"/>
    <n v="361.34000000000003"/>
    <n v="13584.152805066753"/>
    <n v="13584.152805066753"/>
    <n v="0"/>
    <n v="252.97049448000001"/>
    <n v="0"/>
    <n v="0"/>
    <n v="0"/>
    <n v="0"/>
    <n v="13332"/>
    <n v="0"/>
    <n v="0"/>
    <n v="129"/>
    <n v="0"/>
    <n v="0"/>
    <n v="0"/>
    <n v="9.4949454428636532E-3"/>
    <n v="14"/>
    <m/>
    <s v="Kalyanpur"/>
    <m/>
    <n v="0"/>
  </r>
  <r>
    <s v="Munger"/>
    <s v="01-02 Apr"/>
    <n v="1053"/>
    <s v="Kalyanpur"/>
    <x v="749"/>
    <s v="GOMUKH BIRSINGHPUR"/>
    <s v="MPG"/>
    <s v="Direct"/>
    <n v="80.800000000000011"/>
    <n v="3111.03"/>
    <n v="81.2"/>
    <n v="3108.8918592703203"/>
    <n v="0"/>
    <n v="0"/>
    <n v="81.2"/>
    <n v="3108.8918592703203"/>
    <n v="3108.8918592703203"/>
    <n v="0"/>
    <n v="0"/>
    <n v="0"/>
    <n v="0"/>
    <n v="0"/>
    <n v="0"/>
    <n v="3109"/>
    <n v="0"/>
    <n v="0"/>
    <n v="2"/>
    <n v="0"/>
    <n v="91.790786138613853"/>
    <n v="40.400000000000006"/>
    <n v="6.8727743855889843E-4"/>
    <n v="2"/>
    <m/>
    <s v="Kalyanpur"/>
    <m/>
    <n v="0"/>
  </r>
  <r>
    <s v="Munger"/>
    <s v="01-02 Apr"/>
    <n v="1054"/>
    <s v="Alauli "/>
    <x v="750"/>
    <s v="GOMUKH ANANDPUR PARAS 2"/>
    <s v="MPG"/>
    <s v="Direct"/>
    <n v="853.4"/>
    <n v="35713.410000000003"/>
    <n v="853.4"/>
    <n v="35713.435158720007"/>
    <n v="0"/>
    <n v="0"/>
    <n v="853.4"/>
    <n v="35713.435158720007"/>
    <n v="35713.410000000003"/>
    <n v="0"/>
    <n v="0"/>
    <n v="2.5158720003673807E-2"/>
    <n v="0"/>
    <n v="0"/>
    <n v="0"/>
    <n v="35713"/>
    <n v="0"/>
    <n v="0"/>
    <n v="0"/>
    <n v="0"/>
    <n v="0"/>
    <n v="0"/>
    <n v="-7.0446143349721592E-7"/>
    <n v="1"/>
    <m/>
    <s v="Alauli "/>
    <m/>
    <n v="0"/>
  </r>
  <r>
    <s v="Munger"/>
    <s v="01-02 Apr"/>
    <n v="1054"/>
    <s v="Alauli "/>
    <x v="751"/>
    <s v="GOMUKH GADBANNI"/>
    <s v="MPG"/>
    <s v="Direct"/>
    <n v="116.30000000000001"/>
    <n v="5005.43"/>
    <n v="117.08"/>
    <n v="4907.2066895658008"/>
    <n v="0"/>
    <n v="0"/>
    <n v="117.08"/>
    <n v="4907.2066895658008"/>
    <n v="4907.2066895658008"/>
    <n v="0"/>
    <n v="0"/>
    <n v="0"/>
    <n v="0"/>
    <n v="0"/>
    <n v="0"/>
    <n v="4906"/>
    <n v="0"/>
    <n v="0"/>
    <n v="99"/>
    <n v="0"/>
    <n v="72.04720395528804"/>
    <n v="58.150000000000006"/>
    <n v="1.9623351127515405E-2"/>
    <n v="10"/>
    <m/>
    <s v="Alauli "/>
    <m/>
    <n v="0"/>
  </r>
  <r>
    <s v="Munger"/>
    <s v="01-02 Apr"/>
    <n v="1054"/>
    <s v="Alauli "/>
    <x v="752"/>
    <s v="GOMUKH PARRI"/>
    <s v="MPG"/>
    <s v="Direct"/>
    <n v="70.699999999999989"/>
    <n v="3483.2799999999997"/>
    <n v="72.95"/>
    <n v="4032.60102498376"/>
    <n v="0"/>
    <n v="0"/>
    <n v="72.95"/>
    <n v="4032.60102498376"/>
    <n v="3483.2799999999997"/>
    <n v="0"/>
    <n v="0"/>
    <n v="549.32102498376025"/>
    <n v="0"/>
    <n v="0"/>
    <n v="0"/>
    <n v="3483"/>
    <n v="0"/>
    <n v="0"/>
    <n v="0"/>
    <s v="Release1"/>
    <n v="127.4082330975955"/>
    <n v="35.349999999999994"/>
    <n v="-0.15770223036441525"/>
    <n v="9"/>
    <m/>
    <s v="Alauli "/>
    <m/>
    <n v="0"/>
  </r>
  <r>
    <s v="Munger"/>
    <s v="01-02 Apr"/>
    <n v="1054"/>
    <s v="Alauli "/>
    <x v="753"/>
    <s v="GOMUKH BHIKHARI GHAT"/>
    <s v="MPG"/>
    <s v="Direct"/>
    <n v="507.29999999999995"/>
    <n v="21346.880000000001"/>
    <n v="526.61000000000013"/>
    <n v="23362.714750127656"/>
    <n v="0"/>
    <n v="0"/>
    <n v="526.61000000000013"/>
    <n v="23362.714750127656"/>
    <n v="21346.880000000001"/>
    <n v="0"/>
    <n v="0"/>
    <n v="2015.8347501276548"/>
    <n v="0"/>
    <n v="0"/>
    <n v="0"/>
    <n v="21347"/>
    <n v="0"/>
    <n v="0"/>
    <n v="0"/>
    <s v="Release1"/>
    <n v="0"/>
    <n v="0"/>
    <n v="-9.4432289408459449E-2"/>
    <n v="39"/>
    <m/>
    <s v="Alauli "/>
    <m/>
    <n v="0"/>
  </r>
  <r>
    <s v="Munger"/>
    <s v="01-02 Apr"/>
    <n v="1054"/>
    <s v="Alauli "/>
    <x v="754"/>
    <s v="Vikash Kumar"/>
    <s v="vlc"/>
    <s v="Indirect"/>
    <n v="649.70000000000005"/>
    <n v="27239.93"/>
    <n v="0"/>
    <n v="0"/>
    <n v="0"/>
    <n v="0"/>
    <n v="0"/>
    <n v="0"/>
    <n v="27239.93"/>
    <n v="0"/>
    <n v="0"/>
    <n v="0"/>
    <n v="0"/>
    <n v="0"/>
    <n v="0"/>
    <n v="0"/>
    <n v="0"/>
    <n v="27239.93"/>
    <n v="0"/>
    <n v="0"/>
    <n v="0"/>
    <n v="0"/>
    <n v="0"/>
    <n v="0"/>
    <m/>
    <s v="Alauli "/>
    <m/>
    <n v="0"/>
  </r>
  <r>
    <s v="Munger"/>
    <s v="01-02 Apr"/>
    <n v="1054"/>
    <s v="Alauli "/>
    <x v="755"/>
    <s v="Rajkishore Yadav"/>
    <s v="vlc"/>
    <s v="Indirect"/>
    <n v="58"/>
    <n v="2032.88"/>
    <n v="0"/>
    <n v="0"/>
    <n v="0"/>
    <n v="0"/>
    <n v="0"/>
    <n v="0"/>
    <n v="2032.88"/>
    <n v="0"/>
    <n v="0"/>
    <n v="0"/>
    <n v="0"/>
    <n v="0"/>
    <n v="0"/>
    <n v="0"/>
    <n v="0"/>
    <n v="2032.88"/>
    <n v="0"/>
    <n v="0"/>
    <n v="99.541020689655184"/>
    <n v="29"/>
    <n v="0"/>
    <n v="0"/>
    <m/>
    <s v="Alauli "/>
    <m/>
    <n v="0"/>
  </r>
  <r>
    <s v="Munger"/>
    <s v="01-02 Apr"/>
    <n v="1054"/>
    <s v="Alauli "/>
    <x v="756"/>
    <s v="BHADAS VLC"/>
    <s v="vlc"/>
    <s v="Indirect"/>
    <n v="19.5"/>
    <n v="832.51"/>
    <n v="0"/>
    <n v="0"/>
    <n v="0"/>
    <n v="0"/>
    <n v="0"/>
    <n v="0"/>
    <n v="832.51"/>
    <n v="0"/>
    <n v="0"/>
    <n v="0"/>
    <n v="0"/>
    <n v="0"/>
    <n v="0"/>
    <n v="0"/>
    <n v="0"/>
    <n v="832.51"/>
    <n v="0"/>
    <n v="0"/>
    <n v="154.12108205128206"/>
    <n v="9.75"/>
    <n v="0"/>
    <n v="0"/>
    <m/>
    <s v="Alauli "/>
    <m/>
    <n v="0"/>
  </r>
  <r>
    <s v="Munger"/>
    <s v="01-02 Apr"/>
    <n v="1054"/>
    <s v="Alauli "/>
    <x v="757"/>
    <s v="SUNIL KUMAR VLC"/>
    <s v="vlc"/>
    <s v="Indirect"/>
    <n v="228.5"/>
    <n v="8943.7999999999993"/>
    <n v="0"/>
    <n v="0"/>
    <n v="0"/>
    <n v="0"/>
    <n v="0"/>
    <n v="0"/>
    <n v="8943.7999999999993"/>
    <n v="0"/>
    <n v="0"/>
    <n v="0"/>
    <n v="0"/>
    <n v="0"/>
    <n v="0"/>
    <n v="0"/>
    <n v="0"/>
    <n v="8943.7999999999993"/>
    <n v="0"/>
    <n v="0"/>
    <n v="0"/>
    <n v="0"/>
    <n v="0"/>
    <n v="0"/>
    <m/>
    <s v="Alauli "/>
    <m/>
    <n v="0"/>
  </r>
  <r>
    <s v="Munger"/>
    <s v="01-02 Apr"/>
    <n v="1054"/>
    <s v="Alauli "/>
    <x v="758"/>
    <s v="GOMUKH BENHER"/>
    <s v="MPG"/>
    <s v="Direct"/>
    <n v="121.39999999999999"/>
    <n v="5983.18"/>
    <n v="120.18"/>
    <n v="5859.9992579210011"/>
    <n v="0.62"/>
    <n v="30.22621473489"/>
    <n v="120.80000000000001"/>
    <n v="5890.2254726558913"/>
    <n v="5890.2254726558913"/>
    <n v="0"/>
    <n v="30.22621473489"/>
    <n v="0"/>
    <n v="0"/>
    <n v="0"/>
    <n v="0"/>
    <n v="5860"/>
    <n v="0"/>
    <n v="0"/>
    <n v="93"/>
    <n v="0"/>
    <n v="77.475773970345983"/>
    <n v="60.699999999999996"/>
    <n v="1.5535973737061061E-2"/>
    <n v="8"/>
    <m/>
    <s v="Alauli "/>
    <m/>
    <n v="0"/>
  </r>
  <r>
    <s v="Munger"/>
    <s v="01-02 Apr"/>
    <n v="1054"/>
    <s v="Alauli "/>
    <x v="759"/>
    <s v="GOMUKH LADORA"/>
    <s v="MPG"/>
    <s v="Direct"/>
    <n v="150.20000000000002"/>
    <n v="5957.7899999999991"/>
    <n v="265.08"/>
    <n v="11343.909023291344"/>
    <n v="0"/>
    <n v="0"/>
    <n v="265.08"/>
    <n v="11343.909023291344"/>
    <n v="5957.7899999999991"/>
    <n v="0"/>
    <n v="0"/>
    <n v="5386.119023291345"/>
    <n v="0"/>
    <n v="0"/>
    <n v="0"/>
    <n v="5958"/>
    <n v="0"/>
    <n v="0"/>
    <n v="0"/>
    <n v="0"/>
    <n v="39.507049533954699"/>
    <n v="75.100000000000009"/>
    <n v="-0.90404647080399714"/>
    <n v="2"/>
    <m/>
    <s v="Alauli "/>
    <m/>
    <n v="0"/>
  </r>
  <r>
    <s v="Munger"/>
    <s v="01-02 Apr"/>
    <n v="1054"/>
    <s v="Alauli "/>
    <x v="760"/>
    <s v="GOMUKH SAHSI"/>
    <s v="MPG"/>
    <s v="Direct"/>
    <n v="48.3"/>
    <n v="2119.5"/>
    <n v="135.13999999999999"/>
    <n v="5965.5066843870463"/>
    <n v="0"/>
    <n v="0"/>
    <n v="135.13999999999999"/>
    <n v="5965.5066843870463"/>
    <n v="2119.5"/>
    <n v="0"/>
    <n v="0"/>
    <n v="3846.0066843870463"/>
    <n v="0"/>
    <n v="0"/>
    <n v="0"/>
    <n v="2119"/>
    <n v="0"/>
    <n v="0"/>
    <n v="1"/>
    <n v="0"/>
    <n v="133.13795031055901"/>
    <n v="24.15"/>
    <n v="-1.8145820638768797"/>
    <n v="6"/>
    <m/>
    <s v="Alauli "/>
    <m/>
    <n v="0"/>
  </r>
  <r>
    <s v="Munger"/>
    <s v="01-02 Apr"/>
    <n v="1054"/>
    <s v="Alauli "/>
    <x v="761"/>
    <s v="Gomukh Chikni"/>
    <s v="MPG"/>
    <s v="Direct"/>
    <n v="28.900000000000002"/>
    <n v="1117.95"/>
    <n v="29.68"/>
    <n v="1140.3726070176001"/>
    <n v="0"/>
    <n v="0"/>
    <n v="29.68"/>
    <n v="1140.3726070176001"/>
    <n v="1117.95"/>
    <n v="0"/>
    <n v="0"/>
    <n v="22.422607017600058"/>
    <n v="0"/>
    <n v="0"/>
    <n v="0"/>
    <n v="1118"/>
    <n v="0"/>
    <n v="0"/>
    <n v="0"/>
    <s v="Release1"/>
    <n v="132.37456401384082"/>
    <n v="14.450000000000001"/>
    <n v="-2.0056896120220095E-2"/>
    <n v="1"/>
    <m/>
    <s v="Alauli "/>
    <m/>
    <n v="0"/>
  </r>
  <r>
    <s v="Munger"/>
    <s v="01-02 Apr"/>
    <n v="1054"/>
    <s v="Alauli "/>
    <x v="762"/>
    <s v="GOMUKH BUDWA"/>
    <s v="MPG"/>
    <s v="Direct"/>
    <n v="35.200000000000003"/>
    <n v="1323.87"/>
    <n v="35.22"/>
    <n v="1333.2936904254"/>
    <n v="0"/>
    <n v="0"/>
    <n v="35.22"/>
    <n v="1333.2936904254"/>
    <n v="1323.87"/>
    <n v="0"/>
    <n v="0"/>
    <n v="9.4236904254000819"/>
    <n v="0"/>
    <n v="0"/>
    <n v="0"/>
    <n v="1324"/>
    <n v="0"/>
    <n v="0"/>
    <n v="0"/>
    <s v="Release1"/>
    <n v="123.96237272727271"/>
    <n v="17.600000000000001"/>
    <n v="-7.1182898814838936E-3"/>
    <n v="6"/>
    <m/>
    <s v="Alauli "/>
    <m/>
    <n v="0"/>
  </r>
  <r>
    <s v="Munger"/>
    <s v="01-02 Apr"/>
    <n v="1054"/>
    <s v="Alauli "/>
    <x v="763"/>
    <s v="GOMUKH GANGIYA"/>
    <s v="MPG"/>
    <s v="Indirect"/>
    <n v="271.8"/>
    <n v="9909.0499999999993"/>
    <n v="0"/>
    <n v="0"/>
    <n v="0"/>
    <n v="0"/>
    <n v="0"/>
    <n v="0"/>
    <n v="9909.0499999999993"/>
    <n v="0"/>
    <n v="0"/>
    <n v="0"/>
    <n v="0"/>
    <n v="0"/>
    <n v="0"/>
    <n v="0"/>
    <n v="0"/>
    <n v="9909.0499999999993"/>
    <n v="0"/>
    <n v="0"/>
    <n v="0"/>
    <n v="0"/>
    <n v="0"/>
    <n v="1"/>
    <m/>
    <s v="Alauli "/>
    <m/>
    <n v="0"/>
  </r>
  <r>
    <s v="Munger"/>
    <s v="01-02 Apr"/>
    <n v="1054"/>
    <s v="Alauli "/>
    <x v="764"/>
    <s v="GOMUKH AMBA ICHARUA"/>
    <s v="MPG"/>
    <s v="Direct"/>
    <n v="220"/>
    <n v="8783.39"/>
    <n v="115.4"/>
    <n v="4699.84123224"/>
    <n v="114.3"/>
    <n v="4681.7054459999999"/>
    <n v="229.7"/>
    <n v="9381.5466782399999"/>
    <n v="8783.39"/>
    <n v="0"/>
    <n v="0"/>
    <n v="598.15667824000047"/>
    <n v="0"/>
    <n v="0"/>
    <n v="0"/>
    <n v="4101"/>
    <n v="4682"/>
    <n v="0"/>
    <n v="0"/>
    <n v="0"/>
    <n v="0"/>
    <n v="0"/>
    <n v="-6.8100890230309769E-2"/>
    <n v="3"/>
    <m/>
    <s v="Alauli "/>
    <m/>
    <n v="0"/>
  </r>
  <r>
    <s v="Munger"/>
    <s v="01-02 Apr"/>
    <n v="1054"/>
    <s v="Alauli "/>
    <x v="765"/>
    <s v="MEGHAUNA VLC"/>
    <s v="vlc"/>
    <s v="Indirect"/>
    <n v="405.4"/>
    <n v="16636.010000000002"/>
    <n v="0"/>
    <n v="0"/>
    <n v="0"/>
    <n v="0"/>
    <n v="0"/>
    <n v="0"/>
    <n v="16636.010000000002"/>
    <n v="0"/>
    <n v="0"/>
    <n v="0"/>
    <n v="0"/>
    <n v="0"/>
    <n v="0"/>
    <n v="0"/>
    <n v="0"/>
    <n v="16636.010000000002"/>
    <n v="0"/>
    <n v="0"/>
    <n v="0"/>
    <n v="0"/>
    <n v="0"/>
    <n v="0"/>
    <m/>
    <s v="Alauli "/>
    <m/>
    <n v="0"/>
  </r>
  <r>
    <s v="Munger"/>
    <s v="01-02 Apr"/>
    <n v="1054"/>
    <s v="Alauli "/>
    <x v="766"/>
    <s v="HATHWAN VLC"/>
    <s v="vlc"/>
    <s v="Indirect"/>
    <n v="28.9"/>
    <n v="1448.35"/>
    <n v="0"/>
    <n v="0"/>
    <n v="0"/>
    <n v="0"/>
    <n v="0"/>
    <n v="0"/>
    <n v="1448.35"/>
    <n v="0"/>
    <n v="0"/>
    <n v="0"/>
    <n v="0"/>
    <n v="0"/>
    <n v="0"/>
    <n v="0"/>
    <n v="0"/>
    <n v="1448.35"/>
    <n v="0"/>
    <n v="0"/>
    <n v="171.49666782006921"/>
    <n v="14.45"/>
    <n v="0"/>
    <n v="0"/>
    <m/>
    <s v="Alauli "/>
    <m/>
    <n v="0"/>
  </r>
  <r>
    <s v="Munger"/>
    <s v="01-02 Apr"/>
    <n v="1054"/>
    <s v="Alauli "/>
    <x v="767"/>
    <s v="GOMUKH JWALAPUR"/>
    <s v="MPG"/>
    <s v="Direct"/>
    <n v="89.1"/>
    <n v="3366.02"/>
    <n v="332"/>
    <n v="13761.108504000002"/>
    <n v="0"/>
    <n v="0"/>
    <n v="332"/>
    <n v="13761.108504000002"/>
    <n v="3366.02"/>
    <n v="0"/>
    <n v="0"/>
    <n v="10395.088504000001"/>
    <n v="0"/>
    <n v="0"/>
    <n v="0"/>
    <n v="3366"/>
    <n v="0"/>
    <n v="0"/>
    <n v="0"/>
    <n v="0"/>
    <n v="83.791608978675654"/>
    <n v="44.55"/>
    <n v="-3.0882432380080931"/>
    <n v="1"/>
    <m/>
    <s v="Alauli "/>
    <m/>
    <n v="0"/>
  </r>
  <r>
    <s v="Munger"/>
    <s v="01-02 Apr"/>
    <n v="1054"/>
    <s v="Alauli "/>
    <x v="768"/>
    <s v="GOMUKH MATHURAPUR"/>
    <s v="MPG"/>
    <s v="Direct"/>
    <n v="111.30000000000001"/>
    <n v="4342.4400000000005"/>
    <n v="112"/>
    <n v="4642.3016640000005"/>
    <n v="0"/>
    <n v="0"/>
    <n v="112"/>
    <n v="4642.3016640000005"/>
    <n v="4342.4400000000005"/>
    <n v="0"/>
    <n v="0"/>
    <n v="299.86166400000002"/>
    <n v="0"/>
    <n v="0"/>
    <n v="0"/>
    <n v="4342"/>
    <n v="0"/>
    <n v="0"/>
    <n v="0"/>
    <n v="0"/>
    <n v="69.213733692722371"/>
    <n v="55.650000000000006"/>
    <n v="-6.9053726476358906E-2"/>
    <n v="1"/>
    <m/>
    <s v="Alauli "/>
    <m/>
    <n v="0"/>
  </r>
  <r>
    <s v="Munger"/>
    <s v="01-02 Apr"/>
    <n v="1054"/>
    <s v="Alauli "/>
    <x v="769"/>
    <s v="VLC Dhushmuri Bishanpur"/>
    <s v="vlc"/>
    <s v="Indirect"/>
    <n v="191.6"/>
    <n v="6344.29"/>
    <n v="0"/>
    <n v="0"/>
    <n v="0"/>
    <n v="0"/>
    <n v="0"/>
    <n v="0"/>
    <n v="6344.29"/>
    <n v="0"/>
    <n v="0"/>
    <n v="0"/>
    <n v="0"/>
    <n v="0"/>
    <n v="0"/>
    <n v="0"/>
    <n v="0"/>
    <n v="6344.29"/>
    <n v="0"/>
    <n v="0"/>
    <n v="5.5628430062630514"/>
    <n v="95.8"/>
    <n v="0"/>
    <n v="0"/>
    <m/>
    <s v="Alauli "/>
    <m/>
    <n v="0"/>
  </r>
  <r>
    <s v="Munger"/>
    <s v="01-02 Apr"/>
    <n v="1054"/>
    <s v="Alauli "/>
    <x v="770"/>
    <s v="VLC Govindpur"/>
    <s v="vlc"/>
    <s v="Indirect"/>
    <n v="299.3"/>
    <n v="11097.99"/>
    <n v="0"/>
    <n v="0"/>
    <n v="0"/>
    <n v="0"/>
    <n v="0"/>
    <n v="0"/>
    <n v="11097.99"/>
    <n v="0"/>
    <n v="0"/>
    <n v="0"/>
    <n v="0"/>
    <n v="0"/>
    <n v="0"/>
    <n v="0"/>
    <n v="0"/>
    <n v="11097.99"/>
    <n v="0"/>
    <n v="0"/>
    <n v="0"/>
    <n v="0"/>
    <n v="0"/>
    <n v="0"/>
    <m/>
    <s v="Alauli "/>
    <m/>
    <n v="0"/>
  </r>
  <r>
    <s v="Munger"/>
    <s v="01-02 Apr"/>
    <n v="1054"/>
    <s v="Alauli "/>
    <x v="771"/>
    <s v="Gomukh Darhi Mor"/>
    <s v="MPG"/>
    <s v="Indirect"/>
    <n v="70.5"/>
    <n v="2608.77"/>
    <n v="0"/>
    <n v="0"/>
    <n v="0"/>
    <n v="0"/>
    <n v="0"/>
    <n v="0"/>
    <n v="2608.77"/>
    <n v="0"/>
    <n v="0"/>
    <n v="0"/>
    <n v="0"/>
    <n v="0"/>
    <n v="0"/>
    <n v="0"/>
    <n v="0"/>
    <n v="2608.77"/>
    <n v="0"/>
    <n v="0"/>
    <n v="95.839919148936175"/>
    <n v="35.25"/>
    <n v="0"/>
    <n v="1"/>
    <m/>
    <s v="Alauli "/>
    <m/>
    <n v="0"/>
  </r>
  <r>
    <s v="Munger"/>
    <s v="01-02 Apr"/>
    <n v="1054"/>
    <s v="Alauli "/>
    <x v="772"/>
    <s v="Gomukh Balaur"/>
    <s v="MPG"/>
    <s v="Direct"/>
    <n v="294.89999999999998"/>
    <n v="13286.67"/>
    <n v="295"/>
    <n v="13597.234354275"/>
    <n v="0"/>
    <n v="0"/>
    <n v="295"/>
    <n v="13597.234354275"/>
    <n v="13286.67"/>
    <n v="0"/>
    <n v="0"/>
    <n v="310.56435427500037"/>
    <n v="0"/>
    <n v="0"/>
    <n v="0"/>
    <n v="13287"/>
    <n v="0"/>
    <n v="0"/>
    <n v="0"/>
    <n v="0"/>
    <n v="0"/>
    <n v="0"/>
    <n v="-2.3374130182732045E-2"/>
    <n v="1"/>
    <m/>
    <s v="Alauli "/>
    <m/>
    <n v="0"/>
  </r>
  <r>
    <s v="Munger"/>
    <s v="01-02 Apr"/>
    <n v="1054"/>
    <s v="Alauli "/>
    <x v="773"/>
    <s v="Gomukh Hathwan - 2"/>
    <s v="MPG"/>
    <s v="Direct"/>
    <n v="110.7"/>
    <n v="4160.1000000000004"/>
    <n v="690"/>
    <n v="28110.832596"/>
    <n v="0"/>
    <n v="0"/>
    <n v="690"/>
    <n v="28110.832596"/>
    <n v="4160.1000000000004"/>
    <n v="0"/>
    <n v="0"/>
    <n v="23950.732596000002"/>
    <n v="0"/>
    <n v="0"/>
    <n v="0"/>
    <n v="4160"/>
    <n v="0"/>
    <n v="0"/>
    <n v="0"/>
    <n v="0"/>
    <n v="67.117783197831983"/>
    <n v="55.35"/>
    <n v="-5.7572492478546184"/>
    <n v="1"/>
    <m/>
    <s v="Alauli "/>
    <m/>
    <n v="0"/>
  </r>
  <r>
    <s v="Munger"/>
    <s v="01-02 Apr"/>
    <n v="1054"/>
    <s v="Alauli "/>
    <x v="774"/>
    <s v="VLC Sunil Khas"/>
    <s v="vlc"/>
    <s v="Indirect"/>
    <n v="140.80000000000001"/>
    <n v="5718.3799999999992"/>
    <n v="0"/>
    <n v="0"/>
    <n v="0"/>
    <n v="0"/>
    <n v="0"/>
    <n v="0"/>
    <n v="5718.3799999999992"/>
    <n v="0"/>
    <n v="0"/>
    <n v="0"/>
    <n v="0"/>
    <n v="0"/>
    <n v="0"/>
    <n v="0"/>
    <n v="0"/>
    <n v="5718.3799999999992"/>
    <n v="0"/>
    <n v="0"/>
    <n v="48.086377272727248"/>
    <n v="70.400000000000006"/>
    <n v="0"/>
    <n v="0"/>
    <m/>
    <s v="Alauli "/>
    <m/>
    <n v="0"/>
  </r>
  <r>
    <s v="Munger"/>
    <s v="01-02 Apr"/>
    <n v="1054"/>
    <s v="Alauli "/>
    <x v="775"/>
    <s v="Gomukh Hathwan "/>
    <s v="MPG"/>
    <s v="Direct"/>
    <n v="292.29999999999995"/>
    <n v="12329.24"/>
    <n v="733"/>
    <n v="34543.80207504001"/>
    <n v="0"/>
    <n v="0"/>
    <n v="733"/>
    <n v="34543.80207504001"/>
    <n v="12329.24"/>
    <n v="0"/>
    <n v="0"/>
    <n v="22214.562075040012"/>
    <n v="0"/>
    <n v="0"/>
    <n v="0"/>
    <n v="12329"/>
    <n v="0"/>
    <n v="0"/>
    <n v="0"/>
    <n v="0"/>
    <n v="0"/>
    <n v="0"/>
    <n v="-1.8017787045300451"/>
    <n v="1"/>
    <m/>
    <s v="Alauli "/>
    <m/>
    <n v="0"/>
  </r>
  <r>
    <s v="Munger"/>
    <s v="01-02 Apr"/>
    <n v="1054"/>
    <s v="Alauli "/>
    <x v="776"/>
    <s v="Gomukh Rahul VLC"/>
    <s v="vlc"/>
    <s v="Indirect"/>
    <n v="160"/>
    <n v="6673.6"/>
    <n v="0"/>
    <n v="0"/>
    <n v="0"/>
    <n v="0"/>
    <n v="0"/>
    <n v="0"/>
    <n v="6673.6"/>
    <n v="0"/>
    <n v="0"/>
    <n v="0"/>
    <n v="0"/>
    <n v="0"/>
    <n v="0"/>
    <n v="0"/>
    <n v="0"/>
    <n v="6673.6"/>
    <n v="0"/>
    <n v="0"/>
    <n v="33.368000000000002"/>
    <n v="80"/>
    <n v="0"/>
    <n v="0"/>
    <m/>
    <s v="Alauli "/>
    <m/>
    <n v="0"/>
  </r>
  <r>
    <s v="Munger"/>
    <s v="01-02 Apr"/>
    <n v="1054"/>
    <s v="Alauli "/>
    <x v="777"/>
    <s v="Gomukh Sachin VLC"/>
    <s v="vlc"/>
    <s v="Indirect"/>
    <n v="360.8"/>
    <n v="13996.8"/>
    <n v="0"/>
    <n v="0"/>
    <n v="0"/>
    <n v="0"/>
    <n v="0"/>
    <n v="0"/>
    <n v="13996.8"/>
    <n v="0"/>
    <n v="0"/>
    <n v="0"/>
    <n v="0"/>
    <n v="0"/>
    <n v="0"/>
    <n v="0"/>
    <n v="0"/>
    <n v="13996.8"/>
    <n v="0"/>
    <n v="0"/>
    <n v="0"/>
    <n v="0"/>
    <n v="0"/>
    <n v="0"/>
    <m/>
    <s v="Alauli "/>
    <m/>
    <n v="0"/>
  </r>
  <r>
    <s v="Munger"/>
    <s v="01-02 Apr"/>
    <n v="1055"/>
    <s v="Matihani"/>
    <x v="778"/>
    <s v="Balahpur-Anil Yadav"/>
    <s v="vlc"/>
    <s v="Indirect"/>
    <n v="10145.6"/>
    <n v="364716.88"/>
    <n v="0"/>
    <n v="0"/>
    <n v="0"/>
    <n v="0"/>
    <n v="0"/>
    <n v="0"/>
    <n v="364716.88"/>
    <n v="0"/>
    <n v="0"/>
    <n v="0"/>
    <n v="0"/>
    <n v="0"/>
    <n v="0"/>
    <n v="0"/>
    <n v="0"/>
    <n v="364716.88"/>
    <n v="0"/>
    <n v="0"/>
    <n v="0"/>
    <n v="0"/>
    <n v="0"/>
    <n v="0"/>
    <m/>
    <s v="Matihani"/>
    <m/>
    <n v="0"/>
  </r>
  <r>
    <s v="Munger"/>
    <s v="01-02 Apr"/>
    <n v="1055"/>
    <s v="Matihani"/>
    <x v="779"/>
    <s v="Bagdobh"/>
    <s v="vlc"/>
    <s v="Indirect"/>
    <n v="59.3"/>
    <n v="2017.1000000000001"/>
    <n v="0"/>
    <n v="0"/>
    <n v="0"/>
    <n v="0"/>
    <n v="0"/>
    <n v="0"/>
    <n v="2017.1000000000001"/>
    <n v="0"/>
    <n v="0"/>
    <n v="0"/>
    <n v="0"/>
    <n v="0"/>
    <n v="0"/>
    <n v="0"/>
    <n v="0"/>
    <n v="2017.1000000000001"/>
    <n v="0"/>
    <n v="0"/>
    <n v="95.718708263069146"/>
    <n v="29.65"/>
    <n v="0"/>
    <n v="0"/>
    <m/>
    <s v="Matihani"/>
    <m/>
    <n v="0"/>
  </r>
  <r>
    <s v="Munger"/>
    <s v="01-02 Apr"/>
    <n v="1055"/>
    <s v="Matihani"/>
    <x v="780"/>
    <s v="Gomukh Matihani"/>
    <s v="MPG"/>
    <s v="Direct"/>
    <n v="32"/>
    <n v="1236.55"/>
    <n v="23.01"/>
    <n v="891.0293226120001"/>
    <n v="9.7799999999999994"/>
    <n v="526.88274059417404"/>
    <n v="32.79"/>
    <n v="1417.912063206174"/>
    <n v="1236.55"/>
    <n v="0"/>
    <n v="526.88274059417404"/>
    <n v="181.36206320617407"/>
    <n v="0"/>
    <n v="0"/>
    <n v="0"/>
    <n v="710"/>
    <n v="0"/>
    <n v="0"/>
    <n v="0"/>
    <n v="0"/>
    <n v="129.83775"/>
    <n v="16"/>
    <n v="-0.14666779605044203"/>
    <n v="3"/>
    <m/>
    <s v="Matihani"/>
    <m/>
    <n v="0"/>
  </r>
  <r>
    <s v="Munger"/>
    <s v="01-02 Apr"/>
    <n v="1055"/>
    <s v="Matihani"/>
    <x v="781"/>
    <s v="Jalalpur"/>
    <s v="vlc"/>
    <s v="Indirect"/>
    <n v="1127.5000000000002"/>
    <n v="42399.329999999994"/>
    <n v="0"/>
    <n v="0"/>
    <n v="0"/>
    <n v="0"/>
    <n v="0"/>
    <n v="0"/>
    <n v="42399.329999999994"/>
    <n v="0"/>
    <n v="0"/>
    <n v="0"/>
    <n v="0"/>
    <n v="0"/>
    <n v="0"/>
    <n v="0"/>
    <n v="0"/>
    <n v="42399.329999999994"/>
    <n v="0"/>
    <n v="0"/>
    <n v="0"/>
    <n v="0"/>
    <n v="0"/>
    <n v="0"/>
    <m/>
    <s v="Matihani"/>
    <m/>
    <n v="0"/>
  </r>
  <r>
    <s v="Munger"/>
    <s v="01-02 Apr"/>
    <n v="1055"/>
    <s v="Matihani"/>
    <x v="782"/>
    <s v="Saidpur"/>
    <s v="vlc"/>
    <s v="Indirect"/>
    <n v="207.4"/>
    <n v="6966.53"/>
    <n v="0"/>
    <n v="0"/>
    <n v="0"/>
    <n v="0"/>
    <n v="0"/>
    <n v="0"/>
    <n v="6966.53"/>
    <n v="0"/>
    <n v="0"/>
    <n v="0"/>
    <n v="0"/>
    <n v="0"/>
    <n v="0"/>
    <n v="0"/>
    <n v="0"/>
    <n v="6966.53"/>
    <n v="0"/>
    <n v="0"/>
    <n v="0"/>
    <n v="0"/>
    <n v="0"/>
    <n v="0"/>
    <m/>
    <s v="Matihani"/>
    <m/>
    <n v="0"/>
  </r>
  <r>
    <s v="Munger"/>
    <s v="01-02 Apr"/>
    <n v="1056"/>
    <s v="Chautham"/>
    <x v="783"/>
    <s v="Gomukh Chautham(Mithun Kumar VLC)"/>
    <s v="vlc"/>
    <s v="Indirect"/>
    <n v="1545.62"/>
    <n v="58780.82"/>
    <n v="0"/>
    <n v="0"/>
    <n v="0"/>
    <n v="0"/>
    <n v="0"/>
    <n v="0"/>
    <n v="58780.82"/>
    <n v="0"/>
    <n v="0"/>
    <n v="0"/>
    <n v="0"/>
    <n v="0"/>
    <n v="0"/>
    <n v="0"/>
    <n v="0"/>
    <n v="58780.82"/>
    <n v="0"/>
    <n v="0"/>
    <n v="0"/>
    <n v="0"/>
    <n v="0"/>
    <n v="0"/>
    <m/>
    <s v="Chautham"/>
    <m/>
    <n v="0"/>
  </r>
  <r>
    <s v="Munger"/>
    <s v="01-02 Apr"/>
    <n v="1056"/>
    <s v="Chautham"/>
    <x v="784"/>
    <s v="Gomukh Pansalwa"/>
    <s v="vlc"/>
    <s v="Indirect"/>
    <n v="140.52000000000001"/>
    <n v="5050.8200000000006"/>
    <n v="0"/>
    <n v="0"/>
    <n v="0"/>
    <n v="0"/>
    <n v="0"/>
    <n v="0"/>
    <n v="5050.8200000000006"/>
    <n v="0"/>
    <n v="0"/>
    <n v="0"/>
    <n v="0"/>
    <n v="0"/>
    <n v="0"/>
    <n v="0"/>
    <n v="0"/>
    <n v="5050.8200000000006"/>
    <n v="0"/>
    <n v="0"/>
    <n v="42.758720979220037"/>
    <n v="70.260000000000005"/>
    <n v="0"/>
    <n v="0"/>
    <m/>
    <s v="Chautham"/>
    <m/>
    <n v="0"/>
  </r>
  <r>
    <s v="Munger"/>
    <s v="01-02 Apr"/>
    <n v="1056"/>
    <s v="Chautham"/>
    <x v="785"/>
    <s v="Gomukh Nawada"/>
    <s v="MPG"/>
    <s v="Direct"/>
    <n v="189.04000000000002"/>
    <n v="6711"/>
    <n v="267.2"/>
    <n v="9578.9282711760006"/>
    <n v="0"/>
    <n v="0"/>
    <n v="267.2"/>
    <n v="9578.9282711760006"/>
    <n v="6711"/>
    <n v="0"/>
    <n v="0"/>
    <n v="2867.9282711760006"/>
    <n v="0"/>
    <n v="0"/>
    <n v="0"/>
    <n v="6711"/>
    <n v="0"/>
    <n v="0"/>
    <n v="0"/>
    <n v="0"/>
    <n v="7.7816927634362951"/>
    <n v="94.52000000000001"/>
    <n v="-0.42734738059544042"/>
    <n v="1"/>
    <m/>
    <s v="Chautham"/>
    <m/>
    <n v="0"/>
  </r>
  <r>
    <s v="Munger"/>
    <s v="01-02 Apr"/>
    <n v="1056"/>
    <s v="Chautham"/>
    <x v="786"/>
    <s v="Gomukh Yadav Tol Kanauli"/>
    <s v="MPG"/>
    <s v="Direct"/>
    <n v="626.06000000000006"/>
    <n v="25412.33"/>
    <n v="12"/>
    <n v="485.432308944"/>
    <n v="614"/>
    <n v="24923.182680000002"/>
    <n v="626"/>
    <n v="25408.614988944002"/>
    <n v="25408.614988944002"/>
    <n v="0"/>
    <n v="0"/>
    <n v="0"/>
    <n v="0"/>
    <n v="0"/>
    <n v="0"/>
    <n v="485"/>
    <n v="24923"/>
    <n v="0"/>
    <n v="4"/>
    <n v="0"/>
    <n v="0"/>
    <n v="0"/>
    <n v="1.46189312668285E-4"/>
    <n v="3"/>
    <m/>
    <s v="Chautham"/>
    <m/>
    <n v="0"/>
  </r>
  <r>
    <s v="Munger"/>
    <s v="01-02 Apr"/>
    <n v="1056"/>
    <s v="Chautham"/>
    <x v="787"/>
    <s v="Gomukh Baltara"/>
    <s v="MPG"/>
    <s v="Direct"/>
    <n v="13.24"/>
    <n v="619.30999999999995"/>
    <n v="12.4"/>
    <n v="824.81722052160012"/>
    <n v="0"/>
    <n v="0"/>
    <n v="12.4"/>
    <n v="824.81722052160012"/>
    <n v="619.30999999999995"/>
    <n v="0"/>
    <n v="0"/>
    <n v="205.50722052160017"/>
    <n v="0"/>
    <n v="0"/>
    <n v="0"/>
    <n v="619"/>
    <n v="0"/>
    <n v="0"/>
    <n v="0"/>
    <n v="0"/>
    <n v="174.71651903323257"/>
    <n v="6.62"/>
    <n v="-0.33183255642828341"/>
    <n v="1"/>
    <m/>
    <s v="Chautham"/>
    <m/>
    <n v="0"/>
  </r>
  <r>
    <s v="Munger"/>
    <s v="01-02 Apr"/>
    <n v="1056"/>
    <s v="Chautham"/>
    <x v="788"/>
    <s v="Gomukh Hardia"/>
    <s v="MPG"/>
    <s v="Direct"/>
    <n v="39.880000000000003"/>
    <n v="1826.88"/>
    <n v="64.37"/>
    <n v="3108.5502102661003"/>
    <n v="0"/>
    <n v="0"/>
    <n v="64.37"/>
    <n v="3108.5502102661003"/>
    <n v="1826.88"/>
    <n v="0"/>
    <n v="0"/>
    <n v="1281.6702102661002"/>
    <n v="0"/>
    <n v="0"/>
    <n v="0"/>
    <n v="1827"/>
    <n v="0"/>
    <n v="0"/>
    <n v="0"/>
    <n v="0"/>
    <n v="146.70011313941825"/>
    <n v="19.940000000000001"/>
    <n v="-0.70156234140507323"/>
    <n v="1"/>
    <m/>
    <s v="Chautham"/>
    <m/>
    <n v="0"/>
  </r>
  <r>
    <s v="Munger"/>
    <s v="01-02 Apr"/>
    <n v="1056"/>
    <s v="Chautham"/>
    <x v="789"/>
    <s v="Gomukh Ashatol Paharpur"/>
    <s v="MPG"/>
    <s v="Direct"/>
    <n v="452.3"/>
    <n v="17361.16"/>
    <n v="452.3"/>
    <n v="18212.6023160777"/>
    <n v="0"/>
    <n v="0"/>
    <n v="452.3"/>
    <n v="18212.6023160777"/>
    <n v="17361.16"/>
    <n v="0"/>
    <n v="0"/>
    <n v="851.44231607770053"/>
    <n v="0"/>
    <n v="0"/>
    <n v="0"/>
    <n v="17361"/>
    <n v="0"/>
    <n v="0"/>
    <n v="0"/>
    <n v="0"/>
    <n v="0"/>
    <n v="0"/>
    <n v="-4.9042939301158481E-2"/>
    <n v="11"/>
    <m/>
    <s v="Chautham"/>
    <m/>
    <n v="0"/>
  </r>
  <r>
    <s v="Munger"/>
    <s v="01-02 Apr"/>
    <n v="1056"/>
    <s v="Chautham"/>
    <x v="790"/>
    <s v="Gomukh Kharawa"/>
    <s v="MPG"/>
    <s v="Direct"/>
    <n v="202.84"/>
    <n v="7754.89"/>
    <n v="205.87"/>
    <n v="7973.1474506640006"/>
    <n v="0"/>
    <n v="0"/>
    <n v="205.87"/>
    <n v="7973.1474506640006"/>
    <n v="7754.89"/>
    <n v="0"/>
    <n v="0"/>
    <n v="218.25745066400032"/>
    <n v="0"/>
    <n v="0"/>
    <n v="0"/>
    <n v="7755"/>
    <n v="0"/>
    <n v="0"/>
    <n v="0"/>
    <n v="0"/>
    <n v="0"/>
    <n v="0"/>
    <n v="-2.8144493431112538E-2"/>
    <n v="2"/>
    <m/>
    <s v="Chautham"/>
    <m/>
    <n v="0"/>
  </r>
  <r>
    <s v="Munger"/>
    <s v="01-02 Apr"/>
    <n v="1056"/>
    <s v="Chautham"/>
    <x v="791"/>
    <s v="Gomukh Patel Nagar"/>
    <s v="vlc"/>
    <s v="Indirect"/>
    <n v="326.60000000000002"/>
    <n v="11821.660000000002"/>
    <n v="0"/>
    <n v="0"/>
    <n v="0"/>
    <n v="0"/>
    <n v="0"/>
    <n v="0"/>
    <n v="11821.660000000002"/>
    <n v="0"/>
    <n v="0"/>
    <n v="0"/>
    <n v="0"/>
    <n v="0"/>
    <n v="0"/>
    <n v="0"/>
    <n v="0"/>
    <n v="11821.660000000002"/>
    <n v="0"/>
    <n v="0"/>
    <n v="0"/>
    <n v="0"/>
    <n v="0"/>
    <n v="0"/>
    <m/>
    <s v="Chautham"/>
    <m/>
    <n v="0"/>
  </r>
  <r>
    <s v="Munger"/>
    <s v="01-02 Apr"/>
    <n v="1056"/>
    <s v="Chautham"/>
    <x v="792"/>
    <s v="Gomukh Pachout"/>
    <s v="MPG"/>
    <s v="Direct"/>
    <n v="315.16000000000003"/>
    <n v="11543.57"/>
    <n v="315.02999999999997"/>
    <n v="11638.5819920172"/>
    <n v="0"/>
    <n v="0"/>
    <n v="315.02999999999997"/>
    <n v="11638.5819920172"/>
    <n v="11543.57"/>
    <n v="0"/>
    <n v="0"/>
    <n v="95.0119920172001"/>
    <n v="0"/>
    <n v="0"/>
    <n v="0"/>
    <n v="11544"/>
    <n v="0"/>
    <n v="0"/>
    <n v="0"/>
    <n v="0"/>
    <n v="0"/>
    <n v="0"/>
    <n v="-8.230728623571399E-3"/>
    <n v="1"/>
    <m/>
    <s v="Chautham"/>
    <m/>
    <n v="0"/>
  </r>
  <r>
    <s v="Munger"/>
    <s v="01-02 Apr"/>
    <n v="1056"/>
    <s v="Chautham"/>
    <x v="793"/>
    <s v="Gomukh Telihar"/>
    <s v="MPG"/>
    <s v="Direct"/>
    <n v="407.08000000000004"/>
    <n v="15994.579999999998"/>
    <n v="407.90999999999997"/>
    <n v="16079.160866991058"/>
    <n v="0"/>
    <n v="0"/>
    <n v="407.90999999999997"/>
    <n v="16079.160866991058"/>
    <n v="15994.579999999998"/>
    <n v="0"/>
    <n v="0"/>
    <n v="84.580866991060248"/>
    <n v="0"/>
    <n v="0"/>
    <n v="0"/>
    <n v="15995"/>
    <n v="0"/>
    <n v="0"/>
    <n v="0"/>
    <s v="Release1"/>
    <n v="0"/>
    <n v="0"/>
    <n v="-5.2880955293018173E-3"/>
    <n v="24"/>
    <m/>
    <s v="Chautham"/>
    <m/>
    <n v="0"/>
  </r>
  <r>
    <s v="Munger"/>
    <s v="01-02 Apr"/>
    <n v="1056"/>
    <s v="Chautham"/>
    <x v="794"/>
    <s v="Gomukh Pansalba Ward No 05"/>
    <s v="MPG"/>
    <s v="Indirect"/>
    <n v="408.74"/>
    <n v="14916.95"/>
    <n v="0"/>
    <n v="0"/>
    <n v="0"/>
    <n v="0"/>
    <n v="0"/>
    <n v="0"/>
    <n v="14916.95"/>
    <n v="0"/>
    <n v="0"/>
    <n v="0"/>
    <n v="0"/>
    <n v="0"/>
    <n v="0"/>
    <n v="0"/>
    <n v="0"/>
    <n v="14916.95"/>
    <n v="0"/>
    <n v="0"/>
    <n v="0"/>
    <n v="0"/>
    <n v="0"/>
    <n v="2"/>
    <m/>
    <s v="Chautham"/>
    <m/>
    <n v="0"/>
  </r>
  <r>
    <s v="Munger"/>
    <s v="01-02 Apr"/>
    <n v="1056"/>
    <s v="Chautham"/>
    <x v="795"/>
    <s v="Gomukh Paharpur Jilebya "/>
    <s v="MPG"/>
    <s v="Direct"/>
    <n v="597.28"/>
    <n v="25311.55"/>
    <n v="597.26"/>
    <n v="25310.070895032"/>
    <n v="0"/>
    <n v="0"/>
    <n v="597.26"/>
    <n v="25310.070895032"/>
    <n v="25310.070895032"/>
    <n v="0"/>
    <n v="0"/>
    <n v="0"/>
    <n v="0"/>
    <n v="0"/>
    <n v="0"/>
    <n v="25310"/>
    <n v="0"/>
    <n v="0"/>
    <n v="2"/>
    <n v="0"/>
    <n v="0"/>
    <n v="0"/>
    <n v="5.8435969665977177E-5"/>
    <n v="1"/>
    <m/>
    <s v="Chautham"/>
    <m/>
    <n v="0"/>
  </r>
  <r>
    <s v="Munger"/>
    <s v="01-02 Apr"/>
    <n v="1056"/>
    <s v="Chautham"/>
    <x v="796"/>
    <s v="Gomukh Debka Vlc"/>
    <s v="vlc"/>
    <s v="Indirect"/>
    <n v="22.54"/>
    <n v="934.71"/>
    <n v="0"/>
    <n v="0"/>
    <n v="0"/>
    <n v="0"/>
    <n v="0"/>
    <n v="0"/>
    <n v="934.71"/>
    <n v="0"/>
    <n v="0"/>
    <n v="0"/>
    <n v="0"/>
    <n v="0"/>
    <n v="0"/>
    <n v="0"/>
    <n v="0"/>
    <n v="934.71"/>
    <n v="0"/>
    <n v="0"/>
    <n v="147.18157639751556"/>
    <n v="11.27"/>
    <n v="0"/>
    <n v="0"/>
    <m/>
    <s v="Chautham"/>
    <m/>
    <n v="0"/>
  </r>
  <r>
    <s v="Munger"/>
    <s v="01-02 Apr"/>
    <n v="1056"/>
    <s v="Chautham"/>
    <x v="797"/>
    <s v="Gomukh Azad Nagar"/>
    <s v="MPG"/>
    <s v="Direct"/>
    <n v="308.64"/>
    <n v="11842.629999999997"/>
    <n v="312.11000000000007"/>
    <n v="12071.606892700085"/>
    <n v="0"/>
    <n v="0"/>
    <n v="312.11000000000007"/>
    <n v="12071.606892700085"/>
    <n v="11842.629999999997"/>
    <n v="0"/>
    <n v="0"/>
    <n v="228.97689270008777"/>
    <n v="0"/>
    <n v="0"/>
    <n v="0"/>
    <n v="11843"/>
    <n v="0"/>
    <n v="0"/>
    <n v="0"/>
    <n v="0"/>
    <n v="0"/>
    <n v="0"/>
    <n v="-1.9334969740681572E-2"/>
    <n v="15"/>
    <m/>
    <s v="Chautham"/>
    <m/>
    <n v="0"/>
  </r>
  <r>
    <s v="Munger"/>
    <s v="01-02 Apr"/>
    <n v="1056"/>
    <s v="Chautham"/>
    <x v="798"/>
    <s v="Gomukh Purani Hrdia"/>
    <s v="MPG"/>
    <s v="Direct"/>
    <n v="159.80000000000001"/>
    <n v="6376.45"/>
    <n v="159.82"/>
    <n v="6339.5315200800014"/>
    <n v="0"/>
    <n v="0"/>
    <n v="159.82"/>
    <n v="6339.5315200800014"/>
    <n v="6339.5315200800014"/>
    <n v="0"/>
    <n v="0"/>
    <n v="0"/>
    <n v="0"/>
    <n v="0"/>
    <n v="0"/>
    <n v="6340"/>
    <n v="0"/>
    <n v="0"/>
    <n v="36"/>
    <n v="0"/>
    <n v="32.081763454317887"/>
    <n v="79.900000000000006"/>
    <n v="5.7898172054981047E-3"/>
    <n v="1"/>
    <m/>
    <s v="Chautham"/>
    <m/>
    <n v="0"/>
  </r>
  <r>
    <s v="Munger"/>
    <s v="01-02 Apr"/>
    <n v="1056"/>
    <s v="Chautham"/>
    <x v="799"/>
    <s v="Gomukh Uttari Hardia"/>
    <s v="MPG"/>
    <s v="Direct"/>
    <n v="89.54"/>
    <n v="3533.92"/>
    <n v="89.54"/>
    <n v="3533.9467664160006"/>
    <n v="0"/>
    <n v="0"/>
    <n v="89.54"/>
    <n v="3533.9467664160006"/>
    <n v="3533.92"/>
    <n v="0"/>
    <n v="0"/>
    <n v="2.6766416000555182E-2"/>
    <n v="0"/>
    <n v="0"/>
    <n v="0"/>
    <n v="3534"/>
    <n v="0"/>
    <n v="0"/>
    <n v="0"/>
    <n v="0"/>
    <n v="87.191602233638591"/>
    <n v="44.77"/>
    <n v="-7.5741431612926103E-6"/>
    <n v="1"/>
    <m/>
    <s v="Chautham"/>
    <m/>
    <n v="0"/>
  </r>
  <r>
    <s v="Munger"/>
    <s v="01-02 Apr"/>
    <n v="1056"/>
    <s v="Chautham"/>
    <x v="800"/>
    <s v="Gomukh Murli"/>
    <s v="MPG"/>
    <s v="Direct"/>
    <n v="48.78"/>
    <n v="1940.4299999999998"/>
    <n v="49.010000000000005"/>
    <n v="1895.0492005287199"/>
    <n v="0"/>
    <n v="0"/>
    <n v="49.010000000000005"/>
    <n v="1895.0492005287199"/>
    <n v="1895.0492005287199"/>
    <n v="0"/>
    <n v="0"/>
    <n v="0"/>
    <n v="0"/>
    <n v="0"/>
    <n v="0"/>
    <n v="1895"/>
    <n v="0"/>
    <n v="0"/>
    <n v="45"/>
    <n v="0"/>
    <n v="120.30825116851167"/>
    <n v="24.39"/>
    <n v="2.3386980963642053E-2"/>
    <n v="1"/>
    <m/>
    <s v="Chautham"/>
    <m/>
    <n v="0"/>
  </r>
  <r>
    <s v="Munger"/>
    <s v="01-02 Apr"/>
    <n v="1056"/>
    <s v="Chautham"/>
    <x v="801"/>
    <s v="Gomukh Nirpur Keshv Nagar"/>
    <s v="MPG"/>
    <s v="Direct"/>
    <n v="149.48000000000002"/>
    <n v="5313.41"/>
    <n v="150.28"/>
    <n v="5697.839546784"/>
    <n v="0"/>
    <n v="0"/>
    <n v="150.28"/>
    <n v="5697.839546784"/>
    <n v="5313.41"/>
    <n v="0"/>
    <n v="0"/>
    <n v="384.42954678400019"/>
    <n v="0"/>
    <n v="0"/>
    <n v="0"/>
    <n v="5313"/>
    <n v="0"/>
    <n v="0"/>
    <n v="0"/>
    <n v="0"/>
    <n v="35.915637302649159"/>
    <n v="74.740000000000009"/>
    <n v="-7.235081553729153E-2"/>
    <n v="1"/>
    <m/>
    <s v="Chautham"/>
    <m/>
    <n v="0"/>
  </r>
  <r>
    <s v="Munger"/>
    <s v="01-02 Apr"/>
    <n v="1056"/>
    <s v="Chautham"/>
    <x v="802"/>
    <s v="Gomukh Pansalwa Wad-10 Vlc"/>
    <s v="vlc"/>
    <s v="Indirect"/>
    <n v="243.27999999999997"/>
    <n v="6883.3700000000008"/>
    <n v="0"/>
    <n v="0"/>
    <n v="0"/>
    <n v="0"/>
    <n v="0"/>
    <n v="0"/>
    <n v="6883.3700000000008"/>
    <n v="0"/>
    <n v="0"/>
    <n v="0"/>
    <n v="0"/>
    <n v="0"/>
    <n v="0"/>
    <n v="0"/>
    <n v="0"/>
    <n v="6883.3700000000008"/>
    <n v="0"/>
    <n v="0"/>
    <n v="0"/>
    <n v="0"/>
    <n v="0"/>
    <n v="0"/>
    <m/>
    <s v="Chautham"/>
    <m/>
    <n v="0"/>
  </r>
  <r>
    <s v="Munger"/>
    <s v="01-02 Apr"/>
    <n v="1056"/>
    <s v="Chautham"/>
    <x v="803"/>
    <s v="Gomukh Nawadai Vlc"/>
    <s v="vlc"/>
    <s v="Indirect"/>
    <n v="74.959999999999994"/>
    <n v="2807.74"/>
    <n v="0"/>
    <n v="0"/>
    <n v="0"/>
    <n v="0"/>
    <n v="0"/>
    <n v="0"/>
    <n v="2807.74"/>
    <n v="0"/>
    <n v="0"/>
    <n v="0"/>
    <n v="0"/>
    <n v="0"/>
    <n v="0"/>
    <n v="0"/>
    <n v="0"/>
    <n v="2807.74"/>
    <n v="0"/>
    <n v="0"/>
    <n v="93.671240554962637"/>
    <n v="37.479999999999997"/>
    <n v="0"/>
    <n v="0"/>
    <m/>
    <s v="Chautham"/>
    <m/>
    <n v="0"/>
  </r>
  <r>
    <s v="Munger"/>
    <s v="01-02 Apr"/>
    <n v="1057"/>
    <s v="Warisnagar"/>
    <x v="804"/>
    <s v="Karian"/>
    <s v="MPG"/>
    <s v="Direct"/>
    <n v="35"/>
    <n v="1548.42"/>
    <n v="35"/>
    <n v="1560.1720541616"/>
    <n v="0"/>
    <n v="0"/>
    <n v="35"/>
    <n v="1560.1720541616"/>
    <n v="1548.42"/>
    <n v="0"/>
    <n v="0"/>
    <n v="11.752054161599972"/>
    <n v="0"/>
    <n v="0"/>
    <n v="0"/>
    <n v="1548"/>
    <n v="0"/>
    <n v="0"/>
    <n v="0"/>
    <n v="0"/>
    <n v="145.99388571428571"/>
    <n v="17.5"/>
    <n v="-7.5897070314255638E-3"/>
    <n v="1"/>
    <m/>
    <s v="Warisnagar"/>
    <m/>
    <n v="0"/>
  </r>
  <r>
    <s v="Munger"/>
    <s v="01-02 Apr"/>
    <n v="1057"/>
    <s v="Warisnagar"/>
    <x v="805"/>
    <s v="Teghara"/>
    <s v="MPG"/>
    <s v="Direct"/>
    <n v="48.599999999999994"/>
    <n v="1961.02"/>
    <n v="48.6"/>
    <n v="1956.8960834874003"/>
    <n v="0"/>
    <n v="0"/>
    <n v="48.6"/>
    <n v="1956.8960834874003"/>
    <n v="1956.8960834874003"/>
    <n v="0"/>
    <n v="0"/>
    <n v="0"/>
    <n v="0"/>
    <n v="0"/>
    <n v="0"/>
    <n v="1957"/>
    <n v="0"/>
    <n v="0"/>
    <n v="4"/>
    <n v="0"/>
    <n v="122.1804230452675"/>
    <n v="24.299999999999997"/>
    <n v="2.1029446474791868E-3"/>
    <n v="1"/>
    <m/>
    <s v="Warisnagar"/>
    <m/>
    <n v="0"/>
  </r>
  <r>
    <s v="Munger"/>
    <s v="01-02 Apr"/>
    <n v="1057"/>
    <s v="Warisnagar"/>
    <x v="806"/>
    <s v="Basantpur"/>
    <s v="MPG"/>
    <s v="Direct"/>
    <n v="741.9"/>
    <n v="29100.269999999997"/>
    <n v="226.5"/>
    <n v="9530.9888597352019"/>
    <n v="515.29999999999995"/>
    <n v="19590.911329146002"/>
    <n v="741.8"/>
    <n v="29121.900188881205"/>
    <n v="29100.269999999997"/>
    <n v="0"/>
    <n v="0"/>
    <n v="21.630188881208596"/>
    <n v="0"/>
    <n v="0"/>
    <n v="0"/>
    <n v="9509"/>
    <n v="19591"/>
    <n v="0"/>
    <n v="0"/>
    <n v="0"/>
    <n v="0"/>
    <n v="0"/>
    <n v="-7.4329856325073954E-4"/>
    <n v="3"/>
    <m/>
    <s v="Warisnagar"/>
    <m/>
    <n v="0"/>
  </r>
  <r>
    <s v="Munger"/>
    <s v="01-02 Apr"/>
    <n v="1057"/>
    <s v="Warisnagar"/>
    <x v="807"/>
    <s v="Chakoti"/>
    <s v="MPG"/>
    <s v="Direct"/>
    <n v="469.1"/>
    <n v="17630.419999999998"/>
    <n v="48.2"/>
    <n v="1798.17014124"/>
    <n v="420.30000000000007"/>
    <n v="15953.42852277667"/>
    <n v="468.50000000000006"/>
    <n v="17751.59866401667"/>
    <n v="17630.419999999998"/>
    <n v="0"/>
    <n v="232.00964028000004"/>
    <n v="121.17866401667197"/>
    <n v="0"/>
    <n v="0"/>
    <n v="0"/>
    <n v="1676"/>
    <n v="15722"/>
    <n v="0"/>
    <n v="0"/>
    <n v="0"/>
    <n v="0"/>
    <n v="0"/>
    <n v="-6.8732715395703557E-3"/>
    <n v="16"/>
    <m/>
    <s v="Warisnagar"/>
    <m/>
    <n v="0"/>
  </r>
  <r>
    <s v="Munger"/>
    <s v="01-02 Apr"/>
    <n v="1057"/>
    <s v="Warisnagar"/>
    <x v="808"/>
    <s v="Nathudawar"/>
    <s v="MPG"/>
    <s v="Direct"/>
    <n v="266"/>
    <n v="10053.970000000001"/>
    <n v="266"/>
    <n v="10054.025978040001"/>
    <n v="0"/>
    <n v="0"/>
    <n v="266"/>
    <n v="10054.025978040001"/>
    <n v="10053.970000000001"/>
    <n v="0"/>
    <n v="0"/>
    <n v="5.597803999989992E-2"/>
    <n v="0"/>
    <n v="0"/>
    <n v="0"/>
    <n v="10054"/>
    <n v="0"/>
    <n v="0"/>
    <n v="0"/>
    <n v="0"/>
    <n v="0"/>
    <n v="0"/>
    <n v="-5.5677548271876593E-6"/>
    <n v="1"/>
    <m/>
    <s v="Warisnagar"/>
    <m/>
    <n v="0"/>
  </r>
  <r>
    <s v="Munger"/>
    <s v="01-02 Apr"/>
    <n v="1057"/>
    <s v="Warisnagar"/>
    <x v="809"/>
    <s v="Purnahi"/>
    <s v="vlc"/>
    <s v="Indirect"/>
    <n v="300.8"/>
    <n v="10228.06"/>
    <n v="0"/>
    <n v="0"/>
    <n v="0"/>
    <n v="0"/>
    <n v="0"/>
    <n v="0"/>
    <n v="10228.06"/>
    <n v="0"/>
    <n v="0"/>
    <n v="0"/>
    <n v="0"/>
    <n v="0"/>
    <n v="0"/>
    <n v="0"/>
    <n v="0"/>
    <n v="10228.06"/>
    <n v="0"/>
    <n v="0"/>
    <n v="0"/>
    <n v="0"/>
    <n v="0"/>
    <n v="0"/>
    <m/>
    <s v="Warisnagar"/>
    <m/>
    <n v="0"/>
  </r>
  <r>
    <s v="Munger"/>
    <s v="01-02 Apr"/>
    <n v="1057"/>
    <s v="Warisnagar"/>
    <x v="810"/>
    <s v="Baghopur "/>
    <s v="vlc"/>
    <s v="Indirect"/>
    <n v="215"/>
    <n v="8206.7900000000009"/>
    <n v="0"/>
    <n v="0"/>
    <n v="0"/>
    <n v="0"/>
    <n v="0"/>
    <n v="0"/>
    <n v="8206.7900000000009"/>
    <n v="0"/>
    <n v="0"/>
    <n v="0"/>
    <n v="0"/>
    <n v="0"/>
    <n v="0"/>
    <n v="0"/>
    <n v="0"/>
    <n v="8206.7900000000009"/>
    <n v="0"/>
    <n v="0"/>
    <n v="0"/>
    <n v="0"/>
    <n v="0"/>
    <n v="0"/>
    <m/>
    <s v="Warisnagar"/>
    <m/>
    <n v="0"/>
  </r>
  <r>
    <s v="Munger"/>
    <s v="01-02 Apr"/>
    <n v="1057"/>
    <s v="Warisnagar"/>
    <x v="811"/>
    <s v="Sadipur Bathnaha"/>
    <s v="vlc"/>
    <s v="Indirect"/>
    <n v="194.39999999999998"/>
    <n v="7929.0399999999991"/>
    <n v="0"/>
    <n v="0"/>
    <n v="0"/>
    <n v="0"/>
    <n v="0"/>
    <n v="0"/>
    <n v="7929.0399999999991"/>
    <n v="0"/>
    <n v="0"/>
    <n v="0"/>
    <n v="0"/>
    <n v="0"/>
    <n v="0"/>
    <n v="0"/>
    <n v="0"/>
    <n v="7929.0399999999991"/>
    <n v="0"/>
    <n v="0"/>
    <n v="4.5681711934156564"/>
    <n v="97.199999999999989"/>
    <n v="0"/>
    <n v="0"/>
    <m/>
    <s v="Warisnagar"/>
    <m/>
    <n v="0"/>
  </r>
  <r>
    <s v="Munger"/>
    <s v="01-02 Apr"/>
    <n v="1057"/>
    <s v="Warisnagar"/>
    <x v="812"/>
    <s v="PARORIYA"/>
    <s v="vlc"/>
    <s v="Indirect"/>
    <n v="113.1"/>
    <n v="3819.54"/>
    <n v="0"/>
    <n v="0"/>
    <n v="0"/>
    <n v="0"/>
    <n v="0"/>
    <n v="0"/>
    <n v="3819.54"/>
    <n v="0"/>
    <n v="0"/>
    <n v="0"/>
    <n v="0"/>
    <n v="0"/>
    <n v="0"/>
    <n v="0"/>
    <n v="0"/>
    <n v="3819.54"/>
    <n v="0"/>
    <n v="0"/>
    <n v="58.694611140583568"/>
    <n v="56.55"/>
    <n v="0"/>
    <n v="0"/>
    <m/>
    <s v="Warisnagar"/>
    <m/>
    <n v="0"/>
  </r>
  <r>
    <s v="Munger"/>
    <s v="01-02 Apr"/>
    <n v="1057"/>
    <s v="Warisnagar"/>
    <x v="813"/>
    <s v="Dewanpur"/>
    <s v="MPG"/>
    <s v="Direct"/>
    <n v="39.800000000000004"/>
    <n v="1791.8100000000002"/>
    <n v="31.1"/>
    <n v="1350.8136668538"/>
    <n v="8.4"/>
    <n v="462.81086135308004"/>
    <n v="39.5"/>
    <n v="1813.6245282068801"/>
    <n v="1791.8100000000002"/>
    <n v="0"/>
    <n v="0"/>
    <n v="21.814528206879913"/>
    <n v="0"/>
    <n v="0"/>
    <n v="0"/>
    <n v="1328"/>
    <n v="464"/>
    <n v="0"/>
    <n v="0"/>
    <n v="0"/>
    <n v="144.24520703517589"/>
    <n v="19.900000000000002"/>
    <n v="-1.2174576660962888E-2"/>
    <n v="6"/>
    <m/>
    <s v="Warisnagar"/>
    <m/>
    <n v="0"/>
  </r>
  <r>
    <s v="Munger"/>
    <s v="01-02 Apr"/>
    <n v="1057"/>
    <s v="Warisnagar"/>
    <x v="814"/>
    <s v="Gohi"/>
    <s v="MPG"/>
    <s v="Direct"/>
    <n v="130.80000000000001"/>
    <n v="5109.6499999999996"/>
    <n v="33"/>
    <n v="1341.4727462400001"/>
    <n v="97.499999999999986"/>
    <n v="3868.8667946640007"/>
    <n v="130.5"/>
    <n v="5210.3395409040004"/>
    <n v="5109.6499999999996"/>
    <n v="0"/>
    <n v="79.136204400000011"/>
    <n v="100.68954090400075"/>
    <n v="0"/>
    <n v="0"/>
    <n v="0"/>
    <n v="1241"/>
    <n v="3790"/>
    <n v="0"/>
    <n v="0"/>
    <n v="0"/>
    <n v="54.065409785932701"/>
    <n v="65.400000000000006"/>
    <n v="-1.970576084545923E-2"/>
    <n v="13"/>
    <m/>
    <s v="Warisnagar"/>
    <m/>
    <n v="0"/>
  </r>
  <r>
    <s v="Munger"/>
    <s v="01-02 Apr"/>
    <n v="1057"/>
    <s v="Warisnagar"/>
    <x v="815"/>
    <s v="Matua"/>
    <s v="MPG"/>
    <s v="Direct"/>
    <n v="182.3"/>
    <n v="7574.78"/>
    <n v="78.8"/>
    <n v="3467.1155096527004"/>
    <n v="103.5"/>
    <n v="4273.4070973176003"/>
    <n v="182.3"/>
    <n v="7740.5226069703003"/>
    <n v="7574.78"/>
    <n v="0"/>
    <n v="43.025120397599999"/>
    <n v="165.74260697030059"/>
    <n v="0"/>
    <n v="0"/>
    <n v="0"/>
    <n v="3302"/>
    <n v="4230"/>
    <n v="0"/>
    <n v="0"/>
    <n v="0"/>
    <n v="14.709117498628624"/>
    <n v="91.15"/>
    <n v="-2.1880847624657165E-2"/>
    <n v="7"/>
    <m/>
    <s v="Warisnagar"/>
    <m/>
    <n v="0"/>
  </r>
  <r>
    <s v="Munger"/>
    <s v="01-02 Apr"/>
    <n v="1057"/>
    <s v="Warisnagar"/>
    <x v="816"/>
    <s v="Ratni Chouk"/>
    <s v="MPG"/>
    <s v="Direct"/>
    <n v="111.1"/>
    <n v="6615.0999999999995"/>
    <n v="111.1"/>
    <n v="6615.3621427869002"/>
    <n v="0"/>
    <n v="0"/>
    <n v="111.1"/>
    <n v="6615.3621427869002"/>
    <n v="6615.0999999999995"/>
    <n v="0"/>
    <n v="0"/>
    <n v="0.26214278690076753"/>
    <n v="0"/>
    <n v="0"/>
    <n v="0"/>
    <n v="6615"/>
    <n v="0"/>
    <n v="0"/>
    <n v="0"/>
    <n v="0"/>
    <n v="105.86541674167418"/>
    <n v="55.55"/>
    <n v="-3.9627940152192342E-5"/>
    <n v="1"/>
    <m/>
    <s v="Warisnagar"/>
    <m/>
    <n v="0"/>
  </r>
  <r>
    <s v="Munger"/>
    <s v="01-02 Apr"/>
    <n v="1057"/>
    <s v="Warisnagar"/>
    <x v="817"/>
    <s v="Balahi 2"/>
    <s v="MPG"/>
    <s v="Direct"/>
    <n v="131.1"/>
    <n v="4658.88"/>
    <n v="91.5"/>
    <n v="3416.2641953110005"/>
    <n v="42.4"/>
    <n v="1561.0473104570003"/>
    <n v="133.9"/>
    <n v="4977.3115057680006"/>
    <n v="4658.88"/>
    <n v="0"/>
    <n v="43.619326344000008"/>
    <n v="318.43150576800053"/>
    <n v="0"/>
    <n v="0"/>
    <n v="0"/>
    <n v="3097"/>
    <n v="1518"/>
    <n v="0"/>
    <n v="0"/>
    <n v="0"/>
    <n v="48.969768421052642"/>
    <n v="65.55"/>
    <n v="-6.8349368467958083E-2"/>
    <n v="11"/>
    <m/>
    <s v="Warisnagar"/>
    <m/>
    <n v="0"/>
  </r>
  <r>
    <s v="Munger"/>
    <s v="01-02 Apr"/>
    <n v="1057"/>
    <s v="Warisnagar"/>
    <x v="818"/>
    <s v="Chandauli"/>
    <s v="vlc"/>
    <s v="Indirect"/>
    <n v="85.9"/>
    <n v="4476.71"/>
    <n v="0"/>
    <n v="0"/>
    <n v="0"/>
    <n v="0"/>
    <n v="0"/>
    <n v="0"/>
    <n v="4476.71"/>
    <n v="0"/>
    <n v="0"/>
    <n v="0"/>
    <n v="0"/>
    <n v="0"/>
    <n v="0"/>
    <n v="0"/>
    <n v="0"/>
    <n v="4476.71"/>
    <n v="0"/>
    <n v="0"/>
    <n v="118.92726682188589"/>
    <n v="42.95"/>
    <n v="0"/>
    <n v="0"/>
    <m/>
    <s v="Warisnagar"/>
    <m/>
    <n v="0"/>
  </r>
  <r>
    <s v="Munger"/>
    <s v="01-02 Apr"/>
    <n v="1057"/>
    <s v="Warisnagar"/>
    <x v="819"/>
    <s v="Gulabi Choak"/>
    <s v="vlc"/>
    <s v="Indirect"/>
    <n v="287.39999999999998"/>
    <n v="10283.279999999999"/>
    <n v="0"/>
    <n v="0"/>
    <n v="0"/>
    <n v="0"/>
    <n v="0"/>
    <n v="0"/>
    <n v="10283.279999999999"/>
    <n v="0"/>
    <n v="0"/>
    <n v="0"/>
    <n v="0"/>
    <n v="0"/>
    <n v="0"/>
    <n v="0"/>
    <n v="0"/>
    <n v="10283.279999999999"/>
    <n v="0"/>
    <n v="0"/>
    <n v="0"/>
    <n v="0"/>
    <n v="0"/>
    <n v="0"/>
    <m/>
    <s v="Warisnagar"/>
    <m/>
    <n v="0"/>
  </r>
  <r>
    <s v="Munger"/>
    <s v="01-02 Apr"/>
    <n v="1057"/>
    <s v="Warisnagar"/>
    <x v="820"/>
    <s v="Satmalpur"/>
    <s v="vlc"/>
    <s v="Indirect"/>
    <n v="586.20000000000005"/>
    <n v="22491.679999999997"/>
    <n v="0"/>
    <n v="0"/>
    <n v="0"/>
    <n v="0"/>
    <n v="0"/>
    <n v="0"/>
    <n v="22491.679999999997"/>
    <n v="0"/>
    <n v="0"/>
    <n v="0"/>
    <n v="0"/>
    <n v="0"/>
    <n v="0"/>
    <n v="0"/>
    <n v="0"/>
    <n v="22491.679999999997"/>
    <n v="0"/>
    <n v="0"/>
    <n v="0"/>
    <n v="0"/>
    <n v="0"/>
    <n v="0"/>
    <m/>
    <s v="Warisnagar"/>
    <m/>
    <n v="0"/>
  </r>
  <r>
    <s v="Munger"/>
    <s v="01-02 Apr"/>
    <n v="1057"/>
    <s v="Warisnagar"/>
    <x v="821"/>
    <s v="Chhatnesar"/>
    <s v="vlc"/>
    <s v="Indirect"/>
    <n v="95.6"/>
    <n v="3402.8199999999997"/>
    <n v="0"/>
    <n v="0"/>
    <n v="0"/>
    <n v="0"/>
    <n v="0"/>
    <n v="0"/>
    <n v="3402.8199999999997"/>
    <n v="0"/>
    <n v="0"/>
    <n v="0"/>
    <n v="0"/>
    <n v="0"/>
    <n v="0"/>
    <n v="0"/>
    <n v="0"/>
    <n v="3402.8199999999997"/>
    <n v="0"/>
    <n v="0"/>
    <n v="74.321005857740587"/>
    <n v="47.8"/>
    <n v="0"/>
    <n v="0"/>
    <m/>
    <s v="Warisnagar"/>
    <m/>
    <n v="0"/>
  </r>
  <r>
    <s v="Munger"/>
    <s v="01-02 Apr"/>
    <n v="1057"/>
    <s v="Warisnagar"/>
    <x v="822"/>
    <s v="Chhatnesar 2"/>
    <s v="MPG"/>
    <s v="Direct"/>
    <n v="112"/>
    <n v="4113.38"/>
    <n v="112.10000000000001"/>
    <n v="4117.4110573200005"/>
    <n v="0"/>
    <n v="0"/>
    <n v="112.10000000000001"/>
    <n v="4117.4110573200005"/>
    <n v="4113.38"/>
    <n v="0"/>
    <n v="0"/>
    <n v="4.0310573200004001"/>
    <n v="0"/>
    <n v="0"/>
    <n v="0"/>
    <n v="4113"/>
    <n v="0"/>
    <n v="0"/>
    <n v="0"/>
    <n v="0"/>
    <n v="64.638828571428562"/>
    <n v="56"/>
    <n v="-9.7998660955233891E-4"/>
    <n v="1"/>
    <m/>
    <s v="Warisnagar"/>
    <m/>
    <n v="0"/>
  </r>
  <r>
    <s v="Munger"/>
    <s v="01-02 Apr"/>
    <n v="1057"/>
    <s v="Warisnagar"/>
    <x v="823"/>
    <s v="Hajpurwa"/>
    <s v="MPG"/>
    <s v="Direct"/>
    <n v="120.2"/>
    <n v="4572.5599999999995"/>
    <n v="120.2"/>
    <n v="4537.148836968001"/>
    <n v="0"/>
    <n v="0"/>
    <n v="120.2"/>
    <n v="4537.148836968001"/>
    <n v="4537.148836968001"/>
    <n v="0"/>
    <n v="0"/>
    <n v="0"/>
    <n v="0"/>
    <n v="0"/>
    <n v="0"/>
    <n v="4537"/>
    <n v="0"/>
    <n v="0"/>
    <n v="36"/>
    <n v="0"/>
    <n v="60.71385823627287"/>
    <n v="60.1"/>
    <n v="7.7442752051364045E-3"/>
    <n v="1"/>
    <m/>
    <s v="Warisnagar"/>
    <m/>
    <n v="0"/>
  </r>
  <r>
    <s v="Munger"/>
    <s v="01-02 Apr"/>
    <n v="1057"/>
    <s v="Warisnagar"/>
    <x v="824"/>
    <s v="Shekhopur"/>
    <s v="MPG"/>
    <s v="Direct"/>
    <n v="118"/>
    <n v="4168.21"/>
    <n v="118.2"/>
    <n v="4095.6127856819999"/>
    <n v="0"/>
    <n v="0"/>
    <n v="118.2"/>
    <n v="4095.6127856819999"/>
    <n v="4095.6127856819999"/>
    <n v="0"/>
    <n v="0"/>
    <n v="0"/>
    <n v="0"/>
    <n v="0"/>
    <n v="0"/>
    <n v="4096"/>
    <n v="0"/>
    <n v="0"/>
    <n v="72"/>
    <n v="0"/>
    <n v="57.931054237288137"/>
    <n v="59"/>
    <n v="1.7416880223885114E-2"/>
    <n v="1"/>
    <m/>
    <s v="Warisnagar"/>
    <m/>
    <n v="0"/>
  </r>
  <r>
    <s v="Munger"/>
    <s v="01-02 Apr"/>
    <n v="1057"/>
    <s v="Warisnagar"/>
    <x v="825"/>
    <s v="Dharampur"/>
    <s v="MPG"/>
    <s v="Direct"/>
    <n v="56.900000000000006"/>
    <n v="2243.0299999999997"/>
    <n v="57.500000000000007"/>
    <n v="2284.9120617899998"/>
    <n v="0.4"/>
    <n v="15.80083956"/>
    <n v="57.900000000000006"/>
    <n v="2300.7129013499998"/>
    <n v="2243.0299999999997"/>
    <n v="0"/>
    <n v="15.80083956"/>
    <n v="57.682901350000066"/>
    <n v="0"/>
    <n v="0"/>
    <n v="0"/>
    <n v="2227"/>
    <n v="0"/>
    <n v="0"/>
    <n v="0"/>
    <n v="0"/>
    <n v="112.82164956063265"/>
    <n v="28.450000000000003"/>
    <n v="-2.5716509074778345E-2"/>
    <n v="2"/>
    <m/>
    <s v="Warisnagar"/>
    <m/>
    <n v="0"/>
  </r>
  <r>
    <s v="Munger"/>
    <s v="01-02 Apr"/>
    <n v="1057"/>
    <s v="Warisnagar"/>
    <x v="826"/>
    <s v="Chatnesar Pachiam"/>
    <s v="vlc"/>
    <s v="Indirect"/>
    <n v="97.899999999999991"/>
    <n v="3983.88"/>
    <n v="0"/>
    <n v="0"/>
    <n v="0"/>
    <n v="0"/>
    <n v="0"/>
    <n v="0"/>
    <n v="3983.88"/>
    <n v="0"/>
    <n v="0"/>
    <n v="0"/>
    <n v="0"/>
    <n v="0"/>
    <n v="0"/>
    <n v="0"/>
    <n v="0"/>
    <n v="3983.88"/>
    <n v="0"/>
    <n v="0"/>
    <n v="83.095842288049042"/>
    <n v="48.949999999999996"/>
    <n v="0"/>
    <n v="0"/>
    <m/>
    <s v="Warisnagar"/>
    <m/>
    <n v="0"/>
  </r>
  <r>
    <s v="Munger"/>
    <s v="01-02 Apr"/>
    <n v="1057"/>
    <s v="Warisnagar"/>
    <x v="827"/>
    <s v="Hajpurwa Pachim"/>
    <s v="MPG"/>
    <s v="Direct"/>
    <n v="54.599999999999994"/>
    <n v="2357.38"/>
    <n v="56.3"/>
    <n v="2542.3200657481002"/>
    <n v="0"/>
    <n v="0"/>
    <n v="56.3"/>
    <n v="2542.3200657481002"/>
    <n v="2357.38"/>
    <n v="0"/>
    <n v="0"/>
    <n v="184.9400657481001"/>
    <n v="0"/>
    <n v="0"/>
    <n v="0"/>
    <n v="2357"/>
    <n v="0"/>
    <n v="0"/>
    <n v="0"/>
    <n v="0"/>
    <n v="125.55423150183152"/>
    <n v="27.299999999999997"/>
    <n v="-7.8451529133232695E-2"/>
    <n v="1"/>
    <m/>
    <s v="Warisnagar"/>
    <m/>
    <n v="0"/>
  </r>
  <r>
    <s v="Munger"/>
    <s v="01-02 Apr"/>
    <n v="1057"/>
    <s v="Warisnagar"/>
    <x v="828"/>
    <s v="Almasnagar"/>
    <s v="vlc"/>
    <s v="Indirect"/>
    <n v="72.400000000000006"/>
    <n v="2586.3200000000002"/>
    <n v="0"/>
    <n v="0"/>
    <n v="0"/>
    <n v="0"/>
    <n v="0"/>
    <n v="0"/>
    <n v="2586.3200000000002"/>
    <n v="0"/>
    <n v="0"/>
    <n v="0"/>
    <n v="0"/>
    <n v="0"/>
    <n v="0"/>
    <n v="0"/>
    <n v="0"/>
    <n v="2586.3200000000002"/>
    <n v="0"/>
    <n v="0"/>
    <n v="91.164207734806624"/>
    <n v="36.200000000000003"/>
    <n v="0"/>
    <n v="0"/>
    <m/>
    <s v="Warisnagar"/>
    <m/>
    <n v="0"/>
  </r>
  <r>
    <s v="Munger"/>
    <s v="01-02 Apr"/>
    <n v="1057"/>
    <s v="Warisnagar"/>
    <x v="829"/>
    <s v="Kadarchak"/>
    <s v="vlc"/>
    <s v="Indirect"/>
    <n v="48.3"/>
    <n v="1718.92"/>
    <n v="0"/>
    <n v="0"/>
    <n v="0"/>
    <n v="0"/>
    <n v="0"/>
    <n v="0"/>
    <n v="1718.92"/>
    <n v="0"/>
    <n v="0"/>
    <n v="0"/>
    <n v="0"/>
    <n v="0"/>
    <n v="0"/>
    <n v="0"/>
    <n v="0"/>
    <n v="1718.92"/>
    <n v="0"/>
    <n v="0"/>
    <n v="107.97522318840581"/>
    <n v="24.15"/>
    <n v="0"/>
    <n v="0"/>
    <m/>
    <s v="Warisnagar"/>
    <m/>
    <n v="0"/>
  </r>
  <r>
    <s v="Munger"/>
    <s v="01-02 Apr"/>
    <n v="1057"/>
    <s v="Warisnagar"/>
    <x v="830"/>
    <s v="Dagrua"/>
    <s v="MPG"/>
    <s v="Direct"/>
    <n v="52.199999999999996"/>
    <n v="2118.73"/>
    <n v="49"/>
    <n v="1936.2167550000001"/>
    <n v="0"/>
    <n v="0"/>
    <n v="49"/>
    <n v="1936.2167550000001"/>
    <n v="1936.2167550000001"/>
    <n v="0"/>
    <n v="0"/>
    <n v="0"/>
    <n v="0"/>
    <n v="0"/>
    <n v="0"/>
    <n v="1936"/>
    <n v="0"/>
    <n v="0"/>
    <n v="183"/>
    <n v="0"/>
    <n v="119.98018927203067"/>
    <n v="26.099999999999998"/>
    <n v="8.6142757689748037E-2"/>
    <n v="1"/>
    <m/>
    <s v="Warisnagar"/>
    <m/>
    <n v="0"/>
  </r>
  <r>
    <s v="Munger"/>
    <s v="01-02 Apr"/>
    <n v="1057"/>
    <s v="Warisnagar"/>
    <x v="831"/>
    <s v="Buzurgdoar"/>
    <s v="MPG"/>
    <s v="Direct"/>
    <n v="257"/>
    <n v="9872.2999999999993"/>
    <n v="256.99999999999994"/>
    <n v="9963.8277256660003"/>
    <n v="0"/>
    <n v="0"/>
    <n v="256.99999999999994"/>
    <n v="9963.8277256660003"/>
    <n v="9872.2999999999993"/>
    <n v="0"/>
    <n v="0"/>
    <n v="91.527725666001061"/>
    <n v="0"/>
    <n v="0"/>
    <n v="0"/>
    <n v="9872"/>
    <n v="0"/>
    <n v="0"/>
    <n v="0"/>
    <n v="0"/>
    <n v="0"/>
    <n v="0"/>
    <n v="-9.2711653480952831E-3"/>
    <n v="13"/>
    <m/>
    <s v="Warisnagar"/>
    <m/>
    <n v="0"/>
  </r>
  <r>
    <s v="Munger"/>
    <s v="01-02 Apr"/>
    <n v="1057"/>
    <s v="Warisnagar"/>
    <x v="832"/>
    <s v="Patpara"/>
    <s v="vlc"/>
    <s v="Indirect"/>
    <n v="151.9"/>
    <n v="5378.7300000000005"/>
    <n v="0"/>
    <n v="0"/>
    <n v="0"/>
    <n v="0"/>
    <n v="0"/>
    <n v="0"/>
    <n v="5378.7300000000005"/>
    <n v="0"/>
    <n v="0"/>
    <n v="0"/>
    <n v="0"/>
    <n v="0"/>
    <n v="0"/>
    <n v="0"/>
    <n v="0"/>
    <n v="5378.7300000000005"/>
    <n v="0"/>
    <n v="0"/>
    <n v="34.064109677419353"/>
    <n v="75.95"/>
    <n v="0"/>
    <n v="0"/>
    <m/>
    <s v="Warisnagar"/>
    <m/>
    <n v="0"/>
  </r>
  <r>
    <s v="Munger"/>
    <s v="01-02 Apr"/>
    <n v="1057"/>
    <s v="Warisnagar"/>
    <x v="833"/>
    <s v="Kamopur"/>
    <s v="MPG"/>
    <s v="Direct"/>
    <n v="126.1"/>
    <n v="4997.38"/>
    <n v="126.19999999999999"/>
    <n v="5082.5306923666994"/>
    <n v="0"/>
    <n v="0"/>
    <n v="126.19999999999999"/>
    <n v="5082.5306923666994"/>
    <n v="4997.38"/>
    <n v="0"/>
    <n v="0"/>
    <n v="85.150692366699332"/>
    <n v="0"/>
    <n v="0"/>
    <n v="0"/>
    <n v="4997"/>
    <n v="0"/>
    <n v="0"/>
    <n v="0"/>
    <s v="Release1"/>
    <n v="58.573573671689147"/>
    <n v="63.05"/>
    <n v="-1.703906694441874E-2"/>
    <n v="3"/>
    <m/>
    <s v="Warisnagar"/>
    <m/>
    <n v="0"/>
  </r>
  <r>
    <s v="Munger"/>
    <s v="01-02 Apr"/>
    <n v="1057"/>
    <s v="Warisnagar"/>
    <x v="834"/>
    <s v="Kussaiya"/>
    <s v="MPG"/>
    <s v="Direct"/>
    <n v="51.1"/>
    <n v="2436.34"/>
    <n v="53.3"/>
    <n v="2638.2443958371596"/>
    <n v="0"/>
    <n v="0"/>
    <n v="53.3"/>
    <n v="2638.2443958371596"/>
    <n v="2436.34"/>
    <n v="0"/>
    <n v="0"/>
    <n v="201.90439583715943"/>
    <n v="0"/>
    <n v="0"/>
    <n v="0"/>
    <n v="2436"/>
    <n v="0"/>
    <n v="0"/>
    <n v="0"/>
    <n v="0"/>
    <n v="141.98474598825834"/>
    <n v="25.55"/>
    <n v="-8.2872011228793771E-2"/>
    <n v="1"/>
    <m/>
    <s v="Warisnagar"/>
    <m/>
    <n v="0"/>
  </r>
  <r>
    <s v="Munger"/>
    <s v="01-02 Apr"/>
    <n v="1057"/>
    <s v="Warisnagar"/>
    <x v="835"/>
    <s v="Kanu Bisanpur"/>
    <s v="vlc"/>
    <s v="Indirect"/>
    <n v="53.1"/>
    <n v="1861.0200000000002"/>
    <n v="0"/>
    <n v="0"/>
    <n v="0"/>
    <n v="0"/>
    <n v="0"/>
    <n v="0"/>
    <n v="1861.0200000000002"/>
    <n v="0"/>
    <n v="0"/>
    <n v="0"/>
    <n v="0"/>
    <n v="0"/>
    <n v="0"/>
    <n v="0"/>
    <n v="0"/>
    <n v="1861.0200000000002"/>
    <n v="0"/>
    <n v="0"/>
    <n v="102.96943050847459"/>
    <n v="26.55"/>
    <n v="0"/>
    <n v="0"/>
    <m/>
    <s v="Warisnagar"/>
    <m/>
    <n v="0"/>
  </r>
  <r>
    <s v="Munger"/>
    <s v="01-02 Apr"/>
    <n v="1057"/>
    <s v="Warisnagar"/>
    <x v="836"/>
    <s v="SINGHIA KHURD"/>
    <s v="vlc"/>
    <s v="Indirect"/>
    <n v="1623.2"/>
    <n v="62347.11"/>
    <n v="0"/>
    <n v="0"/>
    <n v="0"/>
    <n v="0"/>
    <n v="0"/>
    <n v="0"/>
    <n v="62347.11"/>
    <n v="0"/>
    <n v="0"/>
    <n v="0"/>
    <n v="0"/>
    <n v="0"/>
    <n v="0"/>
    <n v="0"/>
    <n v="0"/>
    <n v="62347.11"/>
    <n v="0"/>
    <n v="0"/>
    <n v="0"/>
    <n v="0"/>
    <n v="0"/>
    <n v="0"/>
    <m/>
    <s v="Warisnagar"/>
    <m/>
    <n v="0"/>
  </r>
  <r>
    <s v="Munger"/>
    <s v="01-02 Apr"/>
    <n v="1057"/>
    <s v="Warisnagar"/>
    <x v="837"/>
    <s v="Raini 2"/>
    <s v="MPG"/>
    <s v="Direct"/>
    <n v="49.100000000000009"/>
    <n v="1848.19"/>
    <n v="49.1"/>
    <n v="1848.0922693200005"/>
    <n v="0"/>
    <n v="0"/>
    <n v="49.1"/>
    <n v="1848.0922693200005"/>
    <n v="1848.0922693200005"/>
    <n v="0"/>
    <n v="0"/>
    <n v="0"/>
    <n v="0"/>
    <n v="0"/>
    <n v="0"/>
    <n v="1848"/>
    <n v="0"/>
    <n v="0"/>
    <n v="0"/>
    <n v="0"/>
    <n v="113.60157678207737"/>
    <n v="24.550000000000004"/>
    <n v="5.2879130392213919E-5"/>
    <n v="1"/>
    <m/>
    <s v="Warisnagar"/>
    <m/>
    <n v="0"/>
  </r>
  <r>
    <s v="Munger"/>
    <s v="01-02 Apr"/>
    <n v="1057"/>
    <s v="Warisnagar"/>
    <x v="838"/>
    <s v="Hasauli"/>
    <s v="vlc"/>
    <s v="Indirect"/>
    <n v="111.79999999999998"/>
    <n v="4118.5400000000009"/>
    <n v="0"/>
    <n v="0"/>
    <n v="0"/>
    <n v="0"/>
    <n v="0"/>
    <n v="0"/>
    <n v="4118.5400000000009"/>
    <n v="0"/>
    <n v="0"/>
    <n v="0"/>
    <n v="0"/>
    <n v="0"/>
    <n v="0"/>
    <n v="0"/>
    <n v="0"/>
    <n v="4118.5400000000009"/>
    <n v="0"/>
    <n v="0"/>
    <n v="64.983046153846189"/>
    <n v="55.899999999999991"/>
    <n v="0"/>
    <n v="0"/>
    <m/>
    <s v="Warisnagar"/>
    <m/>
    <n v="0"/>
  </r>
  <r>
    <s v="Munger"/>
    <s v="01-02 Apr"/>
    <n v="1057"/>
    <s v="Warisnagar"/>
    <x v="839"/>
    <s v="Kusiya 2"/>
    <s v="vlc"/>
    <s v="Indirect"/>
    <n v="120.2"/>
    <n v="4370.8700000000008"/>
    <n v="0"/>
    <n v="0"/>
    <n v="0"/>
    <n v="0"/>
    <n v="0"/>
    <n v="0"/>
    <n v="4370.8700000000008"/>
    <n v="0"/>
    <n v="0"/>
    <n v="0"/>
    <n v="0"/>
    <n v="0"/>
    <n v="0"/>
    <n v="0"/>
    <n v="0"/>
    <n v="4370.8700000000008"/>
    <n v="0"/>
    <n v="0"/>
    <n v="58.035844592346102"/>
    <n v="60.1"/>
    <n v="0"/>
    <n v="0"/>
    <m/>
    <s v="Warisnagar"/>
    <m/>
    <n v="0"/>
  </r>
  <r>
    <s v="Munger"/>
    <s v="01-02 Apr"/>
    <n v="1058"/>
    <s v="Hasanpur"/>
    <x v="840"/>
    <s v="Mahuli"/>
    <s v="MPG"/>
    <s v="Direct"/>
    <n v="65.800000000000011"/>
    <n v="2766.7"/>
    <n v="63.8"/>
    <n v="2719.1770716240007"/>
    <n v="2.8"/>
    <n v="117.32474160000001"/>
    <n v="66.599999999999994"/>
    <n v="2836.5018132240007"/>
    <n v="2766.7"/>
    <n v="0"/>
    <n v="117.32474160000001"/>
    <n v="69.801813224000853"/>
    <n v="0"/>
    <n v="0"/>
    <n v="0"/>
    <n v="2649"/>
    <n v="0"/>
    <n v="0"/>
    <n v="0"/>
    <n v="0"/>
    <n v="112.85444984802429"/>
    <n v="32.900000000000006"/>
    <n v="-2.5229267077746361E-2"/>
    <n v="9"/>
    <m/>
    <s v="Hasanpur"/>
    <m/>
    <n v="0"/>
  </r>
  <r>
    <s v="Munger"/>
    <s v="01-02 Apr"/>
    <n v="1058"/>
    <s v="Hasanpur"/>
    <x v="841"/>
    <s v="Sakhwa Ghat"/>
    <s v="MPG"/>
    <s v="Direct"/>
    <n v="95.200000000000017"/>
    <n v="3586.52"/>
    <n v="100.7"/>
    <n v="4196.1565840441999"/>
    <n v="1.2"/>
    <n v="44.670083040000009"/>
    <n v="101.9"/>
    <n v="4240.8266670842004"/>
    <n v="3586.52"/>
    <n v="0"/>
    <n v="44.670083040000009"/>
    <n v="654.3066670842004"/>
    <n v="0"/>
    <n v="0"/>
    <n v="0"/>
    <n v="3542"/>
    <n v="0"/>
    <n v="0"/>
    <n v="0"/>
    <n v="0"/>
    <n v="78.9637176470588"/>
    <n v="47.600000000000009"/>
    <n v="-0.1824349695761352"/>
    <n v="5"/>
    <m/>
    <s v="Hasanpur"/>
    <m/>
    <n v="0"/>
  </r>
  <r>
    <s v="Munger"/>
    <s v="01-02 Apr"/>
    <n v="1058"/>
    <s v="Hasanpur"/>
    <x v="842"/>
    <s v="Patiya"/>
    <s v="MPG"/>
    <s v="Direct"/>
    <n v="58.4"/>
    <n v="2369.6999999999998"/>
    <n v="58.8"/>
    <n v="2437.960514415"/>
    <n v="0.60000000000000009"/>
    <n v="24.565840200000004"/>
    <n v="59.4"/>
    <n v="2462.5263546149999"/>
    <n v="2369.6999999999998"/>
    <n v="0"/>
    <n v="24.565840200000004"/>
    <n v="92.826354615000128"/>
    <n v="0"/>
    <n v="0"/>
    <n v="0"/>
    <n v="2345"/>
    <n v="0"/>
    <n v="0"/>
    <n v="0"/>
    <n v="0"/>
    <n v="114.91421917808219"/>
    <n v="29.2"/>
    <n v="-3.9172196740093743E-2"/>
    <n v="3"/>
    <m/>
    <s v="Hasanpur"/>
    <m/>
    <n v="0"/>
  </r>
  <r>
    <s v="Munger"/>
    <s v="01-02 Apr"/>
    <n v="1058"/>
    <s v="Hasanpur"/>
    <x v="843"/>
    <s v="Kasiya"/>
    <s v="MPG"/>
    <s v="Direct"/>
    <n v="110.39999999999999"/>
    <n v="4283.91"/>
    <n v="140.9"/>
    <n v="5678.6961195971007"/>
    <n v="1.1000000000000001"/>
    <n v="41.454362664000008"/>
    <n v="142"/>
    <n v="5720.1504822611005"/>
    <n v="4283.91"/>
    <n v="0"/>
    <n v="41.454362664000008"/>
    <n v="1436.2404822611006"/>
    <n v="0"/>
    <n v="0"/>
    <n v="0"/>
    <n v="4242"/>
    <n v="0"/>
    <n v="0"/>
    <n v="0"/>
    <s v="Release1"/>
    <n v="69.535930434782628"/>
    <n v="55.199999999999996"/>
    <n v="-0.33526392530681098"/>
    <n v="13"/>
    <m/>
    <s v="Hasanpur"/>
    <m/>
    <n v="0"/>
  </r>
  <r>
    <s v="Munger"/>
    <s v="01-02 Apr"/>
    <n v="1058"/>
    <s v="Hasanpur"/>
    <x v="844"/>
    <s v="Belshandi"/>
    <s v="MPG"/>
    <s v="Direct"/>
    <n v="66.199999999999989"/>
    <n v="2672.43"/>
    <n v="63.7"/>
    <n v="2947.3253396519203"/>
    <n v="4.0999999999999996"/>
    <n v="234.08610465856003"/>
    <n v="67.8"/>
    <n v="3181.4114443104804"/>
    <n v="2672.43"/>
    <n v="0"/>
    <n v="234.08610465856003"/>
    <n v="508.98144431048058"/>
    <n v="0"/>
    <n v="0"/>
    <n v="0"/>
    <n v="2438"/>
    <n v="0"/>
    <n v="0"/>
    <n v="0"/>
    <n v="0"/>
    <n v="108.02753293051363"/>
    <n v="33.099999999999994"/>
    <n v="-0.1904564176837113"/>
    <n v="6"/>
    <m/>
    <s v="Hasanpur"/>
    <m/>
    <n v="0"/>
  </r>
  <r>
    <s v="Munger"/>
    <s v="01-02 Apr"/>
    <n v="1058"/>
    <s v="Hasanpur"/>
    <x v="845"/>
    <s v="Belshandi-2"/>
    <s v="MPG"/>
    <s v="Direct"/>
    <n v="91.4"/>
    <n v="3826.1699999999996"/>
    <n v="95.100000000000009"/>
    <n v="4109.5446904119308"/>
    <n v="0"/>
    <n v="0"/>
    <n v="95.100000000000009"/>
    <n v="4109.5446904119308"/>
    <n v="3826.1699999999996"/>
    <n v="0"/>
    <n v="0"/>
    <n v="283.37469041193117"/>
    <n v="0"/>
    <n v="0"/>
    <n v="0"/>
    <n v="3826"/>
    <n v="0"/>
    <n v="0"/>
    <n v="0"/>
    <s v="Release1"/>
    <n v="90.923864770240684"/>
    <n v="45.7"/>
    <n v="-7.4062232052399965E-2"/>
    <n v="16"/>
    <m/>
    <s v="Hasanpur"/>
    <m/>
    <n v="0"/>
  </r>
  <r>
    <s v="Munger"/>
    <s v="01-02 Apr"/>
    <n v="1058"/>
    <s v="Hasanpur"/>
    <x v="846"/>
    <s v="Godah"/>
    <s v="MPG"/>
    <s v="Direct"/>
    <n v="74.400000000000006"/>
    <n v="2715.15"/>
    <n v="97.800000000000011"/>
    <n v="3863.0067022800004"/>
    <n v="0"/>
    <n v="0"/>
    <n v="97.800000000000011"/>
    <n v="3863.0067022800004"/>
    <n v="2715.15"/>
    <n v="0"/>
    <n v="0"/>
    <n v="1147.8567022800003"/>
    <n v="0"/>
    <n v="0"/>
    <n v="0"/>
    <n v="2715"/>
    <n v="0"/>
    <n v="0"/>
    <n v="0"/>
    <n v="0"/>
    <n v="91.672806451612885"/>
    <n v="37.200000000000003"/>
    <n v="-0.42275995885310214"/>
    <n v="3"/>
    <m/>
    <s v="Hasanpur"/>
    <m/>
    <n v="0"/>
  </r>
  <r>
    <s v="Munger"/>
    <s v="01-02 Apr"/>
    <n v="1058"/>
    <s v="Hasanpur"/>
    <x v="847"/>
    <s v="Ballahpur"/>
    <s v="MPG"/>
    <s v="Direct"/>
    <n v="43.5"/>
    <n v="1541.29"/>
    <n v="44.269999999999996"/>
    <n v="1701.2723269738601"/>
    <n v="0"/>
    <n v="0"/>
    <n v="44.269999999999996"/>
    <n v="1701.2723269738601"/>
    <n v="1541.29"/>
    <n v="0"/>
    <n v="0"/>
    <n v="159.98232697386015"/>
    <n v="0"/>
    <n v="0"/>
    <n v="0"/>
    <n v="1541"/>
    <n v="0"/>
    <n v="0"/>
    <n v="0"/>
    <n v="0"/>
    <n v="110.90201609195402"/>
    <n v="21.75"/>
    <n v="-0.1037976804974146"/>
    <n v="4"/>
    <m/>
    <s v="Hasanpur"/>
    <m/>
    <n v="0"/>
  </r>
  <r>
    <s v="Munger"/>
    <s v="01-02 Apr"/>
    <n v="1058"/>
    <s v="Hasanpur"/>
    <x v="848"/>
    <s v="Birpur"/>
    <s v="MPG"/>
    <s v="Direct"/>
    <n v="191.79999999999998"/>
    <n v="5601.2199999999993"/>
    <n v="193.58"/>
    <n v="7396.1792940420009"/>
    <n v="0"/>
    <n v="0"/>
    <n v="193.58"/>
    <n v="7396.1792940420009"/>
    <n v="5601.2199999999993"/>
    <n v="0"/>
    <n v="0"/>
    <n v="1794.9592940420016"/>
    <n v="0"/>
    <n v="0"/>
    <n v="0"/>
    <n v="5601"/>
    <n v="0"/>
    <n v="0"/>
    <n v="0"/>
    <s v="Release1"/>
    <n v="4.7893643378519384"/>
    <n v="95.899999999999991"/>
    <n v="-0.32045863116285411"/>
    <n v="8"/>
    <m/>
    <s v="Hasanpur"/>
    <m/>
    <n v="0"/>
  </r>
  <r>
    <s v="Munger"/>
    <s v="01-02 Apr"/>
    <n v="1058"/>
    <s v="Hasanpur"/>
    <x v="849"/>
    <s v="Ahilwar"/>
    <s v="MPG"/>
    <s v="Direct"/>
    <n v="160"/>
    <n v="6441.1100000000006"/>
    <n v="198.8"/>
    <n v="8012.3754704399998"/>
    <n v="0"/>
    <n v="0"/>
    <n v="198.8"/>
    <n v="8012.3754704399998"/>
    <n v="6441.1100000000006"/>
    <n v="0"/>
    <n v="0"/>
    <n v="1571.2654704399993"/>
    <n v="0"/>
    <n v="0"/>
    <n v="0"/>
    <n v="6441"/>
    <n v="0"/>
    <n v="0"/>
    <n v="0"/>
    <n v="0"/>
    <n v="32.205550000000002"/>
    <n v="80"/>
    <n v="-0.2439432753733439"/>
    <n v="2"/>
    <m/>
    <s v="Hasanpur"/>
    <m/>
    <n v="0"/>
  </r>
  <r>
    <s v="Munger"/>
    <s v="01-02 Apr"/>
    <n v="1058"/>
    <s v="Hasanpur"/>
    <x v="850"/>
    <s v="Paridah"/>
    <s v="MPG"/>
    <s v="Direct"/>
    <n v="87"/>
    <n v="3524.5"/>
    <n v="87.82"/>
    <n v="3607.8324575078623"/>
    <n v="0"/>
    <n v="0"/>
    <n v="87.82"/>
    <n v="3607.8324575078623"/>
    <n v="3524.5"/>
    <n v="0"/>
    <n v="0"/>
    <n v="83.332457507862273"/>
    <n v="0"/>
    <n v="0"/>
    <n v="0"/>
    <n v="3524"/>
    <n v="0"/>
    <n v="0"/>
    <n v="1"/>
    <s v="Release1"/>
    <n v="91.555977011494249"/>
    <n v="43.5"/>
    <n v="-2.3643767203252172E-2"/>
    <n v="15"/>
    <m/>
    <s v="Hasanpur"/>
    <m/>
    <n v="0"/>
  </r>
  <r>
    <s v="Munger"/>
    <s v="01-02 Apr"/>
    <n v="1058"/>
    <s v="Hasanpur"/>
    <x v="851"/>
    <s v="Pansalla"/>
    <s v="MPG"/>
    <s v="Direct"/>
    <n v="69.3"/>
    <n v="2608.4399999999996"/>
    <n v="0"/>
    <n v="0"/>
    <n v="0"/>
    <n v="0"/>
    <n v="0"/>
    <n v="0"/>
    <n v="0"/>
    <n v="0"/>
    <n v="0"/>
    <n v="0"/>
    <n v="0"/>
    <n v="0"/>
    <n v="0"/>
    <n v="0"/>
    <n v="0"/>
    <n v="0"/>
    <n v="2608"/>
    <n v="0"/>
    <n v="98.390507359307335"/>
    <n v="34.65"/>
    <n v="1"/>
    <n v="0"/>
    <m/>
    <s v="Hasanpur"/>
    <m/>
    <n v="0"/>
  </r>
  <r>
    <s v="Munger"/>
    <s v="01-02 Apr"/>
    <n v="1058"/>
    <s v="Hasanpur"/>
    <x v="852"/>
    <s v="KOLAWARI"/>
    <s v="MPG"/>
    <s v="Direct"/>
    <n v="133.6"/>
    <n v="5884.25"/>
    <n v="112.29999999999995"/>
    <n v="4916.9114309406013"/>
    <n v="0"/>
    <n v="0"/>
    <n v="112.29999999999995"/>
    <n v="4916.9114309406013"/>
    <n v="4916.9114309406013"/>
    <n v="0"/>
    <n v="0"/>
    <n v="0"/>
    <n v="0"/>
    <n v="0"/>
    <n v="0"/>
    <n v="4917"/>
    <n v="0"/>
    <n v="0"/>
    <n v="967"/>
    <n v="0"/>
    <n v="58.490149700598813"/>
    <n v="66.8"/>
    <n v="0.16439453950110866"/>
    <n v="1"/>
    <m/>
    <s v="Hasanpur"/>
    <m/>
    <n v="0"/>
  </r>
  <r>
    <s v="Munger"/>
    <s v="01-02 Apr"/>
    <n v="1058"/>
    <s v="Hasanpur"/>
    <x v="853"/>
    <s v="MALDAH"/>
    <s v="vlc"/>
    <s v="Indirect"/>
    <n v="154.10000000000002"/>
    <n v="6390.59"/>
    <n v="0"/>
    <n v="0"/>
    <n v="0"/>
    <n v="0"/>
    <n v="0"/>
    <n v="0"/>
    <n v="6390.59"/>
    <n v="0"/>
    <n v="0"/>
    <n v="0"/>
    <n v="0"/>
    <n v="0"/>
    <n v="0"/>
    <n v="0"/>
    <n v="0"/>
    <n v="6390.59"/>
    <n v="0"/>
    <n v="0"/>
    <n v="38.069835301752086"/>
    <n v="77.050000000000011"/>
    <n v="0"/>
    <n v="0"/>
    <m/>
    <s v="Hasanpur"/>
    <m/>
    <n v="0"/>
  </r>
  <r>
    <s v="Munger"/>
    <s v="01-02 Apr"/>
    <n v="1058"/>
    <s v="Hasanpur"/>
    <x v="854"/>
    <s v="MARTHUA"/>
    <s v="MPG"/>
    <s v="Direct"/>
    <n v="28.6"/>
    <n v="1391.53"/>
    <n v="41.6"/>
    <n v="1987.8262096856004"/>
    <n v="0"/>
    <n v="0"/>
    <n v="41.6"/>
    <n v="1987.8262096856004"/>
    <n v="1391.53"/>
    <n v="0"/>
    <n v="0"/>
    <n v="596.29620968560039"/>
    <n v="0"/>
    <n v="0"/>
    <n v="0"/>
    <n v="1392"/>
    <n v="0"/>
    <n v="0"/>
    <n v="0"/>
    <n v="0"/>
    <n v="166.78898041958044"/>
    <n v="14.3"/>
    <n v="-0.42851840038346312"/>
    <n v="1"/>
    <m/>
    <s v="Hasanpur"/>
    <m/>
    <n v="0"/>
  </r>
  <r>
    <s v="Munger"/>
    <s v="01-02 Apr"/>
    <n v="1058"/>
    <s v="Hasanpur"/>
    <x v="855"/>
    <s v="KOKANI"/>
    <s v="MPG"/>
    <s v="Direct"/>
    <n v="44.7"/>
    <n v="1732.33"/>
    <n v="4.5199999999999996"/>
    <n v="205.65652702824002"/>
    <n v="0"/>
    <n v="0"/>
    <n v="4.5199999999999996"/>
    <n v="205.65652702824002"/>
    <n v="205.65652702824002"/>
    <n v="0"/>
    <n v="0"/>
    <n v="0"/>
    <n v="0"/>
    <n v="0"/>
    <n v="0"/>
    <n v="205"/>
    <n v="0"/>
    <n v="0"/>
    <n v="1527"/>
    <n v="0"/>
    <n v="120.37174451901565"/>
    <n v="22.35"/>
    <n v="0.88128328492363472"/>
    <n v="2"/>
    <m/>
    <s v="Hasanpur"/>
    <m/>
    <n v="0"/>
  </r>
  <r>
    <s v="Munger"/>
    <s v="01-02 Apr"/>
    <n v="1058"/>
    <s v="Hasanpur"/>
    <x v="856"/>
    <s v="DURGAPUR "/>
    <s v="MPG"/>
    <s v="Direct"/>
    <n v="97.4"/>
    <n v="3732.28"/>
    <n v="0"/>
    <n v="0"/>
    <n v="0"/>
    <n v="0"/>
    <n v="0"/>
    <n v="0"/>
    <n v="0"/>
    <n v="0"/>
    <n v="0"/>
    <n v="0"/>
    <n v="0"/>
    <n v="0"/>
    <n v="0"/>
    <n v="0"/>
    <n v="0"/>
    <n v="0"/>
    <n v="3732"/>
    <n v="0"/>
    <n v="78.630786036960984"/>
    <n v="48.7"/>
    <n v="1"/>
    <n v="0"/>
    <m/>
    <s v="Hasanpur"/>
    <m/>
    <n v="0"/>
  </r>
  <r>
    <s v="Munger"/>
    <s v="01-02 Apr"/>
    <n v="1058"/>
    <s v="Hasanpur"/>
    <x v="857"/>
    <s v="Chandauli"/>
    <s v="MPG"/>
    <s v="Direct"/>
    <n v="11.1"/>
    <n v="571.16999999999996"/>
    <n v="11.1"/>
    <n v="743.87433632400007"/>
    <n v="0"/>
    <n v="0"/>
    <n v="11.1"/>
    <n v="743.87433632400007"/>
    <n v="571.16999999999996"/>
    <n v="0"/>
    <n v="0"/>
    <n v="172.70433632400011"/>
    <n v="0"/>
    <n v="0"/>
    <n v="0"/>
    <n v="571"/>
    <n v="0"/>
    <n v="0"/>
    <n v="0"/>
    <n v="0"/>
    <n v="194.40362702702703"/>
    <n v="5.55"/>
    <n v="-0.30236941072535345"/>
    <n v="1"/>
    <m/>
    <s v="Hasanpur"/>
    <m/>
    <n v="0"/>
  </r>
  <r>
    <s v="Munger"/>
    <s v="01-02 Apr"/>
    <n v="1058"/>
    <s v="Hasanpur"/>
    <x v="858"/>
    <s v="Yogidih VLC"/>
    <s v="vlc"/>
    <s v="Indirect"/>
    <n v="91.1"/>
    <n v="3499.83"/>
    <n v="0"/>
    <n v="0"/>
    <n v="0"/>
    <n v="0"/>
    <n v="0"/>
    <n v="0"/>
    <n v="3499.83"/>
    <n v="0"/>
    <n v="0"/>
    <n v="0"/>
    <n v="0"/>
    <n v="0"/>
    <n v="0"/>
    <n v="0"/>
    <n v="0"/>
    <n v="3499.83"/>
    <n v="0"/>
    <n v="0"/>
    <n v="83.67321339187707"/>
    <n v="45.55"/>
    <n v="0"/>
    <n v="0"/>
    <m/>
    <s v="Hasanpur"/>
    <m/>
    <n v="0"/>
  </r>
  <r>
    <s v="Munger"/>
    <s v="01-02 Apr"/>
    <n v="1058"/>
    <s v="Hasanpur"/>
    <x v="859"/>
    <s v="Shankar Dairy"/>
    <s v="vlc"/>
    <s v="Indirect"/>
    <n v="77"/>
    <n v="2134.44"/>
    <n v="0"/>
    <n v="0"/>
    <n v="0"/>
    <n v="0"/>
    <n v="0"/>
    <n v="0"/>
    <n v="2134.44"/>
    <n v="0"/>
    <n v="0"/>
    <n v="0"/>
    <n v="0"/>
    <n v="0"/>
    <n v="0"/>
    <n v="0"/>
    <n v="0"/>
    <n v="2134.44"/>
    <n v="0"/>
    <n v="0"/>
    <n v="68.191200000000009"/>
    <n v="38.5"/>
    <n v="0"/>
    <n v="0"/>
    <m/>
    <s v="Hasanpur"/>
    <m/>
    <n v="0"/>
  </r>
  <r>
    <s v="Munger"/>
    <s v="01-02 Apr"/>
    <n v="1058"/>
    <s v="Hasanpur"/>
    <x v="860"/>
    <s v="Harerampur Vlc"/>
    <s v="vlc"/>
    <s v="Indirect"/>
    <n v="40.299999999999997"/>
    <n v="1441.6999999999998"/>
    <n v="0"/>
    <n v="0"/>
    <n v="0"/>
    <n v="0"/>
    <n v="0"/>
    <n v="0"/>
    <n v="1441.6999999999998"/>
    <n v="0"/>
    <n v="0"/>
    <n v="0"/>
    <n v="0"/>
    <n v="0"/>
    <n v="0"/>
    <n v="0"/>
    <n v="0"/>
    <n v="1441.6999999999998"/>
    <n v="0"/>
    <n v="0"/>
    <n v="114.26277419354838"/>
    <n v="20.149999999999999"/>
    <n v="0"/>
    <n v="0"/>
    <m/>
    <s v="Hasanpur"/>
    <m/>
    <n v="0"/>
  </r>
  <r>
    <s v="Munger"/>
    <s v="01-02 Apr"/>
    <n v="1058"/>
    <s v="Hasanpur"/>
    <x v="861"/>
    <s v="SOUNT VLC"/>
    <s v="vlc"/>
    <s v="Indirect"/>
    <n v="58"/>
    <n v="2101.73"/>
    <n v="0"/>
    <n v="0"/>
    <n v="0"/>
    <n v="0"/>
    <n v="0"/>
    <n v="0"/>
    <n v="2101.73"/>
    <n v="0"/>
    <n v="0"/>
    <n v="0"/>
    <n v="0"/>
    <n v="0"/>
    <n v="0"/>
    <n v="0"/>
    <n v="0"/>
    <n v="2101.73"/>
    <n v="0"/>
    <n v="0"/>
    <n v="102.91229655172414"/>
    <n v="29"/>
    <n v="0"/>
    <n v="0"/>
    <m/>
    <s v="Hasanpur"/>
    <m/>
    <n v="0"/>
  </r>
  <r>
    <s v="Munger"/>
    <s v="01-02 Apr"/>
    <n v="1059"/>
    <s v="Gopalpur Bmc"/>
    <x v="862"/>
    <s v="MISHRBIGHA"/>
    <s v="MPG"/>
    <s v="Direct"/>
    <n v="179.10000000000002"/>
    <n v="10431.790000000001"/>
    <n v="178.23999999999995"/>
    <n v="11121.507616672621"/>
    <n v="0.98"/>
    <n v="40.577867351999998"/>
    <n v="179.21999999999994"/>
    <n v="11162.085484024621"/>
    <n v="10431.790000000001"/>
    <n v="0"/>
    <n v="40.577867351999998"/>
    <n v="730.29548402462024"/>
    <n v="0"/>
    <n v="0"/>
    <n v="0"/>
    <n v="10391"/>
    <n v="0"/>
    <n v="0"/>
    <n v="0"/>
    <n v="0"/>
    <n v="24.346667895030684"/>
    <n v="89.550000000000011"/>
    <n v="-7.0006727898531337E-2"/>
    <n v="8"/>
    <m/>
    <s v="Gopalpur Bmc"/>
    <m/>
    <n v="0"/>
  </r>
  <r>
    <s v="Munger"/>
    <s v="01-02 Apr"/>
    <n v="1059"/>
    <s v="Gopalpur Bmc"/>
    <x v="863"/>
    <s v="DIGHOI"/>
    <s v="MPG"/>
    <s v="Direct"/>
    <n v="30.7"/>
    <n v="1897.31"/>
    <n v="31.08"/>
    <n v="1956.7293240950999"/>
    <n v="0"/>
    <n v="0"/>
    <n v="31.08"/>
    <n v="1956.7293240950999"/>
    <n v="1897.31"/>
    <n v="0"/>
    <n v="0"/>
    <n v="59.41932409509991"/>
    <n v="0"/>
    <n v="0"/>
    <n v="0"/>
    <n v="1897"/>
    <n v="0"/>
    <n v="0"/>
    <n v="0"/>
    <n v="0"/>
    <n v="209.26031465798044"/>
    <n v="15.35"/>
    <n v="-3.1317667695368659E-2"/>
    <n v="1"/>
    <m/>
    <s v="Gopalpur Bmc"/>
    <m/>
    <n v="0"/>
  </r>
  <r>
    <s v="Munger"/>
    <s v="01-02 Apr"/>
    <n v="1059"/>
    <s v="Gopalpur Bmc"/>
    <x v="864"/>
    <s v="PRATAPUR"/>
    <s v="MPG"/>
    <s v="Direct"/>
    <n v="331.20000000000005"/>
    <n v="12575.57"/>
    <n v="334.61"/>
    <n v="12646.862442561602"/>
    <n v="0"/>
    <n v="0"/>
    <n v="334.61"/>
    <n v="12646.862442561602"/>
    <n v="12575.57"/>
    <n v="0"/>
    <n v="0"/>
    <n v="71.292442561602002"/>
    <n v="0"/>
    <n v="0"/>
    <n v="0"/>
    <n v="12576"/>
    <n v="0"/>
    <n v="0"/>
    <n v="0"/>
    <n v="0"/>
    <n v="0"/>
    <n v="0"/>
    <n v="-5.6691221599976787E-3"/>
    <n v="1"/>
    <m/>
    <s v="Gopalpur Bmc"/>
    <m/>
    <n v="0"/>
  </r>
  <r>
    <s v="Munger"/>
    <s v="01-02 Apr"/>
    <n v="1059"/>
    <s v="Gopalpur Bmc"/>
    <x v="865"/>
    <s v="GOPALPUR"/>
    <s v="MPG"/>
    <s v="Direct"/>
    <n v="145.29999999999998"/>
    <n v="5997.02"/>
    <n v="140.6"/>
    <n v="5618.934911964001"/>
    <n v="0"/>
    <n v="0"/>
    <n v="140.6"/>
    <n v="5618.934911964001"/>
    <n v="5618.934911964001"/>
    <n v="0"/>
    <n v="0"/>
    <n v="0"/>
    <n v="0"/>
    <n v="0"/>
    <n v="0"/>
    <n v="5619"/>
    <n v="0"/>
    <n v="0"/>
    <n v="378"/>
    <n v="0"/>
    <n v="45.153061803165883"/>
    <n v="72.649999999999991"/>
    <n v="6.3045493934654112E-2"/>
    <n v="5"/>
    <m/>
    <s v="Gopalpur Bmc"/>
    <m/>
    <n v="0"/>
  </r>
  <r>
    <s v="Munger"/>
    <s v="01-02 Apr"/>
    <n v="1059"/>
    <s v="Gopalpur Bmc"/>
    <x v="866"/>
    <s v="LAXMIPUR"/>
    <s v="MPG"/>
    <s v="Direct"/>
    <n v="14.9"/>
    <n v="561"/>
    <n v="15.580000000000002"/>
    <n v="589.11702379200005"/>
    <n v="0"/>
    <n v="0"/>
    <n v="15.580000000000002"/>
    <n v="589.11702379200005"/>
    <n v="561"/>
    <n v="0"/>
    <n v="0"/>
    <n v="28.117023792000055"/>
    <n v="0"/>
    <n v="0"/>
    <n v="0"/>
    <n v="561"/>
    <n v="0"/>
    <n v="0"/>
    <n v="0"/>
    <n v="0"/>
    <n v="139.38402684563758"/>
    <n v="7.45"/>
    <n v="-5.0119472000000095E-2"/>
    <n v="1"/>
    <m/>
    <s v="Gopalpur Bmc"/>
    <m/>
    <n v="0"/>
  </r>
  <r>
    <s v="Munger"/>
    <s v="01-02 Apr"/>
    <n v="1059"/>
    <s v="Gopalpur Bmc"/>
    <x v="867"/>
    <s v="NARMDA"/>
    <s v="MPG"/>
    <s v="Direct"/>
    <n v="102.1"/>
    <n v="4507.2699999999995"/>
    <n v="92.8"/>
    <n v="4090.7931306"/>
    <n v="0"/>
    <n v="0"/>
    <n v="92.8"/>
    <n v="4090.7931306"/>
    <n v="4090.7931306"/>
    <n v="0"/>
    <n v="0"/>
    <n v="0"/>
    <n v="0"/>
    <n v="0"/>
    <n v="0"/>
    <n v="4091"/>
    <n v="0"/>
    <n v="0"/>
    <n v="416"/>
    <n v="0"/>
    <n v="86.437166111655245"/>
    <n v="51.05"/>
    <n v="9.2401136253208602E-2"/>
    <n v="1"/>
    <m/>
    <s v="Gopalpur Bmc"/>
    <m/>
    <n v="0"/>
  </r>
  <r>
    <s v="Munger"/>
    <s v="01-02 Apr"/>
    <n v="1059"/>
    <s v="Gopalpur Bmc"/>
    <x v="868"/>
    <s v="LAKHANPUR"/>
    <s v="MPG"/>
    <s v="Direct"/>
    <n v="25.200000000000003"/>
    <n v="865.75"/>
    <n v="25.200000000000003"/>
    <n v="865.68327648000013"/>
    <n v="0"/>
    <n v="0"/>
    <n v="25.200000000000003"/>
    <n v="865.68327648000013"/>
    <n v="865.68327648000013"/>
    <n v="0"/>
    <n v="0"/>
    <n v="0"/>
    <n v="0"/>
    <n v="0"/>
    <n v="0"/>
    <n v="866"/>
    <n v="0"/>
    <n v="0"/>
    <n v="0"/>
    <n v="0"/>
    <n v="120.10563492063491"/>
    <n v="12.600000000000001"/>
    <n v="7.7070193473714797E-5"/>
    <n v="1"/>
    <m/>
    <s v="Gopalpur Bmc"/>
    <m/>
    <n v="0"/>
  </r>
  <r>
    <s v="Munger"/>
    <s v="01-02 Apr"/>
    <n v="1059"/>
    <s v="Gopalpur Bmc"/>
    <x v="869"/>
    <s v="AMRATH"/>
    <s v="MPG"/>
    <s v="Direct"/>
    <n v="212.2"/>
    <n v="10808.139999999998"/>
    <n v="227.10000000000002"/>
    <n v="11241.189355885301"/>
    <n v="0"/>
    <n v="0"/>
    <n v="227.10000000000002"/>
    <n v="11241.189355885301"/>
    <n v="10808.139999999998"/>
    <n v="0"/>
    <n v="0"/>
    <n v="433.04935588530316"/>
    <n v="0"/>
    <n v="0"/>
    <n v="0"/>
    <n v="10808"/>
    <n v="0"/>
    <n v="0"/>
    <n v="0"/>
    <n v="0"/>
    <n v="0"/>
    <n v="0"/>
    <n v="-4.0066963962837571E-2"/>
    <n v="2"/>
    <m/>
    <s v="Gopalpur Bmc"/>
    <m/>
    <n v="0"/>
  </r>
  <r>
    <s v="Munger"/>
    <s v="01-02 Apr"/>
    <n v="1059"/>
    <s v="Gopalpur Bmc"/>
    <x v="870"/>
    <s v="PUTERIA"/>
    <s v="MPG"/>
    <s v="Direct"/>
    <n v="195.6"/>
    <n v="7738.869999999999"/>
    <n v="190.23"/>
    <n v="7721.5590513088018"/>
    <n v="0"/>
    <n v="0"/>
    <n v="190.23"/>
    <n v="7721.5590513088018"/>
    <n v="7721.5590513088018"/>
    <n v="0"/>
    <n v="0"/>
    <n v="0"/>
    <n v="0"/>
    <n v="0"/>
    <n v="0"/>
    <n v="7721"/>
    <n v="0"/>
    <n v="0"/>
    <n v="18"/>
    <n v="0"/>
    <n v="3.4817002044989818"/>
    <n v="97.8"/>
    <n v="2.2368832518438941E-3"/>
    <n v="6"/>
    <m/>
    <s v="Gopalpur Bmc"/>
    <m/>
    <n v="0"/>
  </r>
  <r>
    <s v="Munger"/>
    <s v="01-02 Apr"/>
    <n v="1059"/>
    <s v="Gopalpur Bmc"/>
    <x v="871"/>
    <s v="LAKHAPUR"/>
    <s v="MPG"/>
    <s v="Direct"/>
    <n v="150.4"/>
    <n v="5921.8099999999995"/>
    <n v="150.39999999999998"/>
    <n v="5951.3344743600001"/>
    <n v="0"/>
    <n v="0"/>
    <n v="150.39999999999998"/>
    <n v="5951.3344743600001"/>
    <n v="5921.8099999999995"/>
    <n v="0"/>
    <n v="0"/>
    <n v="29.524474360000568"/>
    <n v="0"/>
    <n v="0"/>
    <n v="0"/>
    <n v="5922"/>
    <n v="0"/>
    <n v="0"/>
    <n v="0"/>
    <n v="0"/>
    <n v="39.058746808510627"/>
    <n v="75.2"/>
    <n v="-4.9857179409674695E-3"/>
    <n v="1"/>
    <m/>
    <s v="Gopalpur Bmc"/>
    <m/>
    <n v="0"/>
  </r>
  <r>
    <s v="Munger"/>
    <s v="01-02 Apr"/>
    <n v="1059"/>
    <s v="Gopalpur Bmc"/>
    <x v="872"/>
    <s v="BARIYARPUR"/>
    <s v="MPG"/>
    <s v="Direct"/>
    <n v="13.4"/>
    <n v="460.39"/>
    <n v="13.4"/>
    <n v="473.97335040000007"/>
    <n v="0"/>
    <n v="0"/>
    <n v="13.4"/>
    <n v="473.97335040000007"/>
    <n v="460.39"/>
    <n v="0"/>
    <n v="0"/>
    <n v="13.583350400000086"/>
    <n v="0"/>
    <n v="0"/>
    <n v="0"/>
    <n v="460"/>
    <n v="0"/>
    <n v="0"/>
    <n v="0"/>
    <n v="0"/>
    <n v="128.22205074626862"/>
    <n v="6.7"/>
    <n v="-2.9504008340754766E-2"/>
    <n v="1"/>
    <m/>
    <s v="Gopalpur Bmc"/>
    <m/>
    <n v="0"/>
  </r>
  <r>
    <s v="Munger"/>
    <s v="01-02 Apr"/>
    <n v="1059"/>
    <s v="Gopalpur Bmc"/>
    <x v="873"/>
    <s v="BAGWANA"/>
    <s v="MPG"/>
    <s v="Direct"/>
    <n v="17.8"/>
    <n v="830.94"/>
    <n v="21.830000000000002"/>
    <n v="884.04235585974004"/>
    <n v="0"/>
    <n v="0"/>
    <n v="21.830000000000002"/>
    <n v="884.04235585974004"/>
    <n v="830.94"/>
    <n v="0"/>
    <n v="0"/>
    <n v="53.102355859739987"/>
    <n v="0"/>
    <n v="0"/>
    <n v="0"/>
    <n v="831"/>
    <n v="0"/>
    <n v="0"/>
    <n v="0"/>
    <n v="0"/>
    <n v="170.10928988764044"/>
    <n v="8.9"/>
    <n v="-6.3906366115170754E-2"/>
    <n v="1"/>
    <m/>
    <s v="Gopalpur Bmc"/>
    <m/>
    <n v="0"/>
  </r>
  <r>
    <s v="Munger"/>
    <s v="01-02 Apr"/>
    <n v="1059"/>
    <s v="Gopalpur Bmc"/>
    <x v="874"/>
    <s v="REWATA"/>
    <s v="MPG"/>
    <s v="Direct"/>
    <n v="11"/>
    <n v="529.21"/>
    <n v="11.2"/>
    <n v="503.77355095680014"/>
    <n v="0"/>
    <n v="0"/>
    <n v="11.2"/>
    <n v="503.77355095680014"/>
    <n v="503.77355095680014"/>
    <n v="0"/>
    <n v="0"/>
    <n v="0"/>
    <n v="0"/>
    <n v="0"/>
    <n v="0"/>
    <n v="504"/>
    <n v="0"/>
    <n v="0"/>
    <n v="25"/>
    <n v="0"/>
    <n v="181.85580000000002"/>
    <n v="5.5"/>
    <n v="4.8064944054722884E-2"/>
    <n v="1"/>
    <m/>
    <s v="Gopalpur Bmc"/>
    <m/>
    <n v="0"/>
  </r>
  <r>
    <s v="Munger"/>
    <s v="01-02 Apr"/>
    <n v="1060"/>
    <s v="Behiya BMC"/>
    <x v="875"/>
    <s v="Gomukh Karisath"/>
    <s v="MPG"/>
    <s v="Direct"/>
    <n v="179.5"/>
    <n v="6643.72"/>
    <n v="226.34"/>
    <n v="8897.9892162479991"/>
    <n v="0"/>
    <n v="0"/>
    <n v="226.34"/>
    <n v="8897.9892162479991"/>
    <n v="6643.72"/>
    <n v="0"/>
    <n v="0"/>
    <n v="2254.2692162479989"/>
    <n v="0"/>
    <n v="0"/>
    <n v="0"/>
    <n v="6644"/>
    <n v="0"/>
    <n v="0"/>
    <n v="0"/>
    <n v="0"/>
    <n v="15.175070752089139"/>
    <n v="89.75"/>
    <n v="-0.33930828154226833"/>
    <n v="2"/>
    <m/>
    <s v="Behiya BMC"/>
    <m/>
    <n v="0"/>
  </r>
  <r>
    <s v="Munger"/>
    <s v="01-02 Apr"/>
    <n v="1060"/>
    <s v="Behiya BMC"/>
    <x v="876"/>
    <s v="Gomukh Ama"/>
    <s v="MPG"/>
    <s v="Direct"/>
    <n v="344.1"/>
    <n v="14013.6"/>
    <n v="334.58"/>
    <n v="14033.262565357201"/>
    <n v="0"/>
    <n v="0"/>
    <n v="334.58"/>
    <n v="14033.262565357201"/>
    <n v="14013.6"/>
    <n v="0"/>
    <n v="0"/>
    <n v="19.662565357200947"/>
    <n v="0"/>
    <n v="0"/>
    <n v="0"/>
    <n v="14014"/>
    <n v="0"/>
    <n v="0"/>
    <n v="0"/>
    <n v="0"/>
    <n v="0"/>
    <n v="0"/>
    <n v="-1.403105936889946E-3"/>
    <n v="1"/>
    <m/>
    <s v="Behiya BMC"/>
    <m/>
    <n v="0"/>
  </r>
  <r>
    <s v="Munger"/>
    <s v="01-02 Apr"/>
    <n v="1060"/>
    <s v="Behiya BMC"/>
    <x v="877"/>
    <s v="Gomukh Pawat"/>
    <s v="MPG"/>
    <s v="Direct"/>
    <n v="174.3"/>
    <n v="6279.93"/>
    <n v="170.1"/>
    <n v="7236.9481867044869"/>
    <n v="0"/>
    <n v="0"/>
    <n v="170.1"/>
    <n v="7236.9481867044869"/>
    <n v="6279.93"/>
    <n v="0"/>
    <n v="0"/>
    <n v="957.01818670448665"/>
    <n v="0"/>
    <n v="0"/>
    <n v="0"/>
    <n v="6280"/>
    <n v="0"/>
    <n v="0"/>
    <n v="0"/>
    <n v="0"/>
    <n v="18.519128055077449"/>
    <n v="87.15"/>
    <n v="-0.15239312965343349"/>
    <n v="2"/>
    <m/>
    <s v="Behiya BMC"/>
    <m/>
    <n v="0"/>
  </r>
  <r>
    <s v="Munger"/>
    <s v="01-02 Apr"/>
    <n v="1060"/>
    <s v="Behiya BMC"/>
    <x v="878"/>
    <s v="Gomukh Barja"/>
    <s v="MPG"/>
    <s v="Direct"/>
    <n v="62.6"/>
    <n v="2344.5"/>
    <n v="60.739999999999995"/>
    <n v="2705.2629410854088"/>
    <n v="1.5699999999999998"/>
    <n v="69.59236335892902"/>
    <n v="62.309999999999995"/>
    <n v="2774.8553044443379"/>
    <n v="2344.5"/>
    <n v="0"/>
    <n v="69.59236335892902"/>
    <n v="430.35530444433789"/>
    <n v="0"/>
    <n v="0"/>
    <n v="0"/>
    <n v="2274"/>
    <n v="0"/>
    <n v="0"/>
    <n v="1"/>
    <n v="0"/>
    <n v="102.91830670926518"/>
    <n v="31.3"/>
    <n v="-0.18355952418184598"/>
    <n v="2"/>
    <m/>
    <s v="Behiya BMC"/>
    <m/>
    <n v="0"/>
  </r>
  <r>
    <s v="Munger"/>
    <s v="01-02 Apr"/>
    <n v="1060"/>
    <s v="Behiya BMC"/>
    <x v="879"/>
    <s v="Gomukh Charghat"/>
    <s v="MPG"/>
    <s v="Direct"/>
    <n v="286.7"/>
    <n v="11153.06"/>
    <n v="288.22000000000003"/>
    <n v="11344.565554916624"/>
    <n v="1"/>
    <n v="40.975226028000009"/>
    <n v="289.22000000000003"/>
    <n v="11385.540780944624"/>
    <n v="11153.06"/>
    <n v="0"/>
    <n v="40.975226028000009"/>
    <n v="232.48078094462471"/>
    <n v="0"/>
    <n v="0"/>
    <n v="0"/>
    <n v="11112"/>
    <n v="0"/>
    <n v="0"/>
    <n v="0"/>
    <n v="0"/>
    <n v="0"/>
    <n v="0"/>
    <n v="-2.0844573681538942E-2"/>
    <n v="5"/>
    <m/>
    <s v="Behiya BMC"/>
    <m/>
    <n v="0"/>
  </r>
  <r>
    <s v="Munger"/>
    <s v="01-02 Apr"/>
    <n v="1060"/>
    <s v="Behiya BMC"/>
    <x v="880"/>
    <s v="Gomukh Navadih"/>
    <s v="MPG"/>
    <s v="Indirect"/>
    <n v="13"/>
    <n v="524.29"/>
    <n v="0"/>
    <n v="0"/>
    <n v="0"/>
    <n v="0"/>
    <n v="0"/>
    <n v="0"/>
    <n v="524.29"/>
    <n v="0"/>
    <n v="521.81068104000008"/>
    <n v="0"/>
    <n v="0"/>
    <n v="0"/>
    <n v="0"/>
    <n v="0"/>
    <n v="0"/>
    <n v="2.4793189599998868"/>
    <n v="0"/>
    <n v="0"/>
    <n v="150.83420000000001"/>
    <n v="6.5"/>
    <n v="0"/>
    <n v="1"/>
    <m/>
    <s v="Behiya BMC"/>
    <m/>
    <n v="0"/>
  </r>
  <r>
    <s v="Munger"/>
    <s v="01-02 Apr"/>
    <n v="1060"/>
    <s v="Behiya BMC"/>
    <x v="881"/>
    <s v="Gomukh Ramdihra"/>
    <s v="MPG"/>
    <s v="Direct"/>
    <n v="48.5"/>
    <n v="1589.0400000000002"/>
    <n v="49.22"/>
    <n v="1667.6412841440003"/>
    <n v="0"/>
    <n v="0"/>
    <n v="49.22"/>
    <n v="1667.6412841440003"/>
    <n v="1589.0400000000002"/>
    <n v="0"/>
    <n v="0"/>
    <n v="78.601284144000147"/>
    <n v="0"/>
    <n v="0"/>
    <n v="0"/>
    <n v="1589"/>
    <n v="0"/>
    <n v="0"/>
    <n v="0"/>
    <n v="0"/>
    <n v="99.274045360824772"/>
    <n v="24.25"/>
    <n v="-4.9464635342093423E-2"/>
    <n v="1"/>
    <m/>
    <s v="Behiya BMC"/>
    <m/>
    <n v="0"/>
  </r>
  <r>
    <s v="Munger"/>
    <s v="01-02 Apr"/>
    <n v="1060"/>
    <s v="Behiya BMC"/>
    <x v="882"/>
    <s v="Gomukh Bara"/>
    <s v="MPG"/>
    <s v="Direct"/>
    <n v="191"/>
    <n v="7019.3700000000008"/>
    <n v="228.09999999999997"/>
    <n v="9798.7629496868703"/>
    <n v="0"/>
    <n v="0"/>
    <n v="228.09999999999997"/>
    <n v="9798.7629496868703"/>
    <n v="7019.3700000000008"/>
    <n v="0"/>
    <n v="0"/>
    <n v="2779.3929496868695"/>
    <n v="0"/>
    <n v="0"/>
    <n v="0"/>
    <n v="7019"/>
    <n v="0"/>
    <n v="0"/>
    <n v="0"/>
    <n v="0"/>
    <n v="6.615113089005237"/>
    <n v="95.5"/>
    <n v="-0.39596045652058082"/>
    <n v="7"/>
    <m/>
    <s v="Behiya BMC"/>
    <m/>
    <n v="0"/>
  </r>
  <r>
    <s v="Munger"/>
    <s v="01-02 Apr"/>
    <n v="1060"/>
    <s v="Behiya BMC"/>
    <x v="883"/>
    <s v="Gumukh Salempur"/>
    <s v="MPG"/>
    <s v="Direct"/>
    <n v="123.80000000000001"/>
    <n v="4204.4800000000005"/>
    <n v="174.60999999999996"/>
    <n v="7014.9732479640006"/>
    <n v="2.59"/>
    <n v="99.453025980000007"/>
    <n v="177.19999999999996"/>
    <n v="7114.426273944001"/>
    <n v="4204.4800000000005"/>
    <n v="0"/>
    <n v="99.453025980000007"/>
    <n v="2909.9462739440005"/>
    <n v="0"/>
    <n v="0"/>
    <n v="0"/>
    <n v="4105"/>
    <n v="0"/>
    <n v="0"/>
    <n v="0"/>
    <n v="0"/>
    <n v="51.757895961227781"/>
    <n v="61.900000000000006"/>
    <n v="-0.69210610442765819"/>
    <n v="2"/>
    <m/>
    <s v="Behiya BMC"/>
    <m/>
    <n v="0"/>
  </r>
  <r>
    <s v="Munger"/>
    <s v="01-02 Apr"/>
    <n v="1060"/>
    <s v="Behiya BMC"/>
    <x v="884"/>
    <s v="Gumukh Khajuriya"/>
    <s v="MPG"/>
    <s v="Direct"/>
    <n v="278.10000000000002"/>
    <n v="9703.9600000000009"/>
    <n v="278.58999999999997"/>
    <n v="9663.1272667960839"/>
    <n v="0.01"/>
    <n v="0.39073122000000005"/>
    <n v="278.59999999999997"/>
    <n v="9663.5179980160847"/>
    <n v="9663.5179980160847"/>
    <n v="0"/>
    <n v="0.39073122000000005"/>
    <n v="0"/>
    <n v="0"/>
    <n v="0"/>
    <n v="0"/>
    <n v="9662"/>
    <n v="0"/>
    <n v="0"/>
    <n v="42"/>
    <n v="0"/>
    <n v="0"/>
    <n v="0"/>
    <n v="4.1675771524116202E-3"/>
    <n v="6"/>
    <m/>
    <s v="Behiya BMC"/>
    <m/>
    <n v="0"/>
  </r>
  <r>
    <s v="Munger"/>
    <s v="01-02 Apr"/>
    <n v="1060"/>
    <s v="Behiya BMC"/>
    <x v="885"/>
    <s v="Gomukh Chhotaki Hardiya"/>
    <s v="MPG"/>
    <s v="Direct"/>
    <n v="109.69999999999999"/>
    <n v="5205.6900000000005"/>
    <n v="113.98999999999998"/>
    <n v="6263.7650798602999"/>
    <n v="1.58"/>
    <n v="89.527293135200011"/>
    <n v="115.56999999999998"/>
    <n v="6353.2923729955"/>
    <n v="5205.6900000000005"/>
    <n v="0"/>
    <n v="89.527293135200011"/>
    <n v="1147.6023729954995"/>
    <n v="0"/>
    <n v="0"/>
    <n v="0"/>
    <n v="5116"/>
    <n v="0"/>
    <n v="0"/>
    <n v="0"/>
    <n v="0"/>
    <n v="85.701696809480438"/>
    <n v="54.849999999999994"/>
    <n v="-0.22045153918030067"/>
    <n v="2"/>
    <m/>
    <s v="Behiya BMC"/>
    <m/>
    <n v="0"/>
  </r>
  <r>
    <s v="Munger"/>
    <s v="01-02 Apr"/>
    <n v="1061"/>
    <s v="Mahua BMC"/>
    <x v="886"/>
    <s v="GOMUKH BHATOLIYA"/>
    <s v="MPG"/>
    <s v="Direct"/>
    <n v="196.8"/>
    <n v="9071.6500000000015"/>
    <n v="195.20000000000002"/>
    <n v="8848.7822023140016"/>
    <n v="0.30000000000000004"/>
    <n v="12.434736600000001"/>
    <n v="195.50000000000003"/>
    <n v="8861.2169389140017"/>
    <n v="8861.2169389140017"/>
    <n v="0"/>
    <n v="12.434736600000001"/>
    <n v="0"/>
    <n v="0"/>
    <n v="0"/>
    <n v="0"/>
    <n v="8849"/>
    <n v="0"/>
    <n v="0"/>
    <n v="210"/>
    <n v="0"/>
    <n v="2.9501300813008027"/>
    <n v="98.4"/>
    <n v="2.3196779095974788E-2"/>
    <n v="7"/>
    <m/>
    <s v="Mahua BMC"/>
    <m/>
    <n v="0"/>
  </r>
  <r>
    <s v="Munger"/>
    <s v="01-02 Apr"/>
    <n v="1061"/>
    <s v="Mahua BMC"/>
    <x v="887"/>
    <s v="GOMUKH CHEHRAKALA"/>
    <s v="MPG"/>
    <s v="Direct"/>
    <n v="111.70000000000002"/>
    <n v="5349.41"/>
    <n v="111.6"/>
    <n v="5337.1495605690998"/>
    <n v="0.5"/>
    <n v="27.126990345600007"/>
    <n v="112.1"/>
    <n v="5364.2765509146993"/>
    <n v="5349.41"/>
    <n v="0"/>
    <n v="27.126990345600007"/>
    <n v="14.866550914699474"/>
    <n v="0"/>
    <n v="0"/>
    <n v="0"/>
    <n v="5322"/>
    <n v="0"/>
    <n v="0"/>
    <n v="0"/>
    <n v="0"/>
    <n v="84.575273589973108"/>
    <n v="55.850000000000009"/>
    <n v="-2.7791010437972549E-3"/>
    <n v="11"/>
    <m/>
    <s v="Mahua BMC"/>
    <m/>
    <n v="0"/>
  </r>
  <r>
    <s v="Munger"/>
    <s v="01-02 Apr"/>
    <n v="1061"/>
    <s v="Mahua BMC"/>
    <x v="888"/>
    <s v="GOMUKH KHAJECHAND"/>
    <s v="MPG"/>
    <s v="Direct"/>
    <n v="123"/>
    <n v="4681.26"/>
    <n v="131.70000000000002"/>
    <n v="5155.5972745020008"/>
    <n v="1"/>
    <n v="36.961055999999999"/>
    <n v="132.70000000000002"/>
    <n v="5192.5583305020009"/>
    <n v="4681.26"/>
    <n v="0"/>
    <n v="36.961055999999999"/>
    <n v="511.29833050200068"/>
    <n v="0"/>
    <n v="0"/>
    <n v="0"/>
    <n v="4644"/>
    <n v="0"/>
    <n v="0"/>
    <n v="0"/>
    <n v="0"/>
    <n v="58.610897560975616"/>
    <n v="61.5"/>
    <n v="-0.10922237399802631"/>
    <n v="3"/>
    <m/>
    <s v="Mahua BMC"/>
    <m/>
    <n v="0"/>
  </r>
  <r>
    <s v="Munger"/>
    <s v="01-02 Apr"/>
    <n v="1061"/>
    <s v="Mahua BMC"/>
    <x v="889"/>
    <s v="GOMUKH SALEMPUR"/>
    <s v="MPG"/>
    <s v="Direct"/>
    <n v="52.6"/>
    <n v="2169.19"/>
    <n v="52.099999999999994"/>
    <n v="2074.1123700580001"/>
    <n v="0.8"/>
    <n v="29.500165728000002"/>
    <n v="52.899999999999991"/>
    <n v="2103.6125357860001"/>
    <n v="2103.6125357860001"/>
    <n v="0"/>
    <n v="29.500165728000002"/>
    <n v="0"/>
    <n v="0"/>
    <n v="0"/>
    <n v="0"/>
    <n v="2075"/>
    <n v="0"/>
    <n v="0"/>
    <n v="65"/>
    <n v="0"/>
    <n v="121.5736144486692"/>
    <n v="26.3"/>
    <n v="3.0231314091435039E-2"/>
    <n v="4"/>
    <m/>
    <s v="Mahua BMC"/>
    <m/>
    <n v="0"/>
  </r>
  <r>
    <s v="Munger"/>
    <s v="01-02 Apr"/>
    <n v="1061"/>
    <s v="Mahua BMC"/>
    <x v="890"/>
    <s v="Gomukh Paharpur"/>
    <s v="MPG"/>
    <s v="Direct"/>
    <n v="75.900000000000006"/>
    <n v="2771.7000000000003"/>
    <n v="75.3"/>
    <n v="2826.686910762"/>
    <n v="0"/>
    <n v="0"/>
    <n v="75.3"/>
    <n v="2826.686910762"/>
    <n v="2771.7000000000003"/>
    <n v="0"/>
    <n v="0"/>
    <n v="54.986910761999752"/>
    <n v="0"/>
    <n v="0"/>
    <n v="0"/>
    <n v="2772"/>
    <n v="0"/>
    <n v="0"/>
    <n v="0"/>
    <n v="0"/>
    <n v="90.637146245059284"/>
    <n v="37.950000000000003"/>
    <n v="-1.9838694938846105E-2"/>
    <n v="4"/>
    <m/>
    <s v="Mahua BMC"/>
    <m/>
    <n v="0"/>
  </r>
  <r>
    <s v="Munger"/>
    <s v="01-02 Apr"/>
    <n v="1061"/>
    <s v="Mahua BMC"/>
    <x v="891"/>
    <s v="GOMUKH PREMRAJ"/>
    <s v="MPG"/>
    <s v="Direct"/>
    <n v="132.20000000000002"/>
    <n v="6331.92"/>
    <n v="130.69999999999999"/>
    <n v="6333.4269460924015"/>
    <n v="1.4"/>
    <n v="63.591002151600001"/>
    <n v="132.1"/>
    <n v="6397.0179482440017"/>
    <n v="6331.92"/>
    <n v="0"/>
    <n v="63.591002151600001"/>
    <n v="65.0979482440016"/>
    <n v="0"/>
    <n v="0"/>
    <n v="0"/>
    <n v="6268"/>
    <n v="0"/>
    <n v="0"/>
    <n v="0"/>
    <n v="0"/>
    <n v="64.947681694402405"/>
    <n v="66.100000000000009"/>
    <n v="-1.0280917674891912E-2"/>
    <n v="11"/>
    <m/>
    <s v="Mahua BMC"/>
    <m/>
    <n v="0"/>
  </r>
  <r>
    <s v="Munger"/>
    <s v="01-02 Apr"/>
    <n v="1061"/>
    <s v="Mahua BMC"/>
    <x v="892"/>
    <s v="GOMUKH MAGURAHI"/>
    <s v="MPG"/>
    <s v="Direct"/>
    <n v="112.19999999999999"/>
    <n v="5386.64"/>
    <n v="110.6"/>
    <n v="5116.5214994986"/>
    <n v="2.4"/>
    <n v="104.61052468799998"/>
    <n v="113"/>
    <n v="5221.1320241865997"/>
    <n v="5221.1320241865997"/>
    <n v="0"/>
    <n v="104.61052468799998"/>
    <n v="0"/>
    <n v="0"/>
    <n v="0"/>
    <n v="0"/>
    <n v="5117"/>
    <n v="0"/>
    <n v="0"/>
    <n v="165"/>
    <n v="0"/>
    <n v="84.304276648841366"/>
    <n v="56.099999999999994"/>
    <n v="3.0725642666560353E-2"/>
    <n v="15"/>
    <m/>
    <s v="Mahua BMC"/>
    <m/>
    <n v="0"/>
  </r>
  <r>
    <s v="Munger"/>
    <s v="01-02 Apr"/>
    <n v="1061"/>
    <s v="Mahua BMC"/>
    <x v="893"/>
    <s v="GOMUKH GANGATI"/>
    <s v="MPG"/>
    <s v="Direct"/>
    <n v="163.80000000000001"/>
    <n v="7041.58"/>
    <n v="143.19999999999999"/>
    <n v="6138.4274465688004"/>
    <n v="0"/>
    <n v="0"/>
    <n v="143.19999999999999"/>
    <n v="6138.4274465688004"/>
    <n v="6138.4274465688004"/>
    <n v="0"/>
    <n v="0"/>
    <n v="0"/>
    <n v="0"/>
    <n v="0"/>
    <n v="0"/>
    <n v="6139"/>
    <n v="0"/>
    <n v="0"/>
    <n v="903"/>
    <n v="0"/>
    <n v="31.123955555555543"/>
    <n v="81.900000000000006"/>
    <n v="0.12825992936687497"/>
    <n v="3"/>
    <m/>
    <s v="Mahua BMC"/>
    <m/>
    <n v="0"/>
  </r>
  <r>
    <s v="Munger"/>
    <s v="01-02 Apr"/>
    <n v="1061"/>
    <s v="Mahua BMC"/>
    <x v="894"/>
    <s v="GOMUKH Khanpatti"/>
    <s v="MPG"/>
    <s v="Direct"/>
    <n v="218.7"/>
    <n v="9816.3300000000017"/>
    <n v="236.50000000000003"/>
    <n v="10406.3413392778"/>
    <n v="3.2"/>
    <n v="133.69307688000004"/>
    <n v="239.70000000000002"/>
    <n v="10540.0344161578"/>
    <n v="9816.3300000000017"/>
    <n v="0"/>
    <n v="133.69307688000004"/>
    <n v="723.70441615779782"/>
    <n v="0"/>
    <n v="0"/>
    <n v="0"/>
    <n v="9682"/>
    <n v="0"/>
    <n v="0"/>
    <n v="1"/>
    <n v="0"/>
    <n v="0"/>
    <n v="0"/>
    <n v="-7.3724540246487003E-2"/>
    <n v="28"/>
    <m/>
    <s v="Mahua BMC"/>
    <m/>
    <n v="0"/>
  </r>
  <r>
    <s v="Munger"/>
    <s v="01-02 Apr"/>
    <n v="1061"/>
    <s v="Mahua BMC"/>
    <x v="895"/>
    <s v="GOMUKH Bhagwatpur"/>
    <s v="MPG"/>
    <s v="Direct"/>
    <n v="128.6"/>
    <n v="5646.2"/>
    <n v="128.9"/>
    <n v="5686.8010710969011"/>
    <n v="0.5"/>
    <n v="21.054547800000002"/>
    <n v="129.4"/>
    <n v="5707.8556188969014"/>
    <n v="5646.2"/>
    <n v="0"/>
    <n v="21.054547800000002"/>
    <n v="61.655618896901615"/>
    <n v="0"/>
    <n v="0"/>
    <n v="0"/>
    <n v="5625"/>
    <n v="0"/>
    <n v="0"/>
    <n v="0"/>
    <n v="0"/>
    <n v="62.696528771384138"/>
    <n v="64.3"/>
    <n v="-1.0919843239152282E-2"/>
    <n v="15"/>
    <m/>
    <s v="Mahua BMC"/>
    <m/>
    <n v="0"/>
  </r>
  <r>
    <s v="Munger"/>
    <s v="01-02 Apr"/>
    <n v="1061"/>
    <s v="Mahua BMC"/>
    <x v="896"/>
    <s v="GOMUKH JIRWARA"/>
    <s v="vlc"/>
    <s v="Indirect"/>
    <n v="78.5"/>
    <n v="3177.84"/>
    <n v="0"/>
    <n v="0"/>
    <n v="0"/>
    <n v="0"/>
    <n v="0"/>
    <n v="0"/>
    <n v="3177.84"/>
    <n v="0"/>
    <n v="0"/>
    <n v="0"/>
    <n v="0"/>
    <n v="0"/>
    <n v="0"/>
    <n v="0"/>
    <n v="0"/>
    <n v="3177.84"/>
    <n v="0"/>
    <n v="0"/>
    <n v="98.371352866242049"/>
    <n v="39.25"/>
    <n v="0"/>
    <n v="0"/>
    <m/>
    <s v="Mahua BMC"/>
    <m/>
    <n v="0"/>
  </r>
  <r>
    <s v="Munger"/>
    <s v="01-02 Apr"/>
    <n v="1061"/>
    <s v="Mahua BMC"/>
    <x v="897"/>
    <s v="GOMUKH Karhatiya"/>
    <s v="vlc"/>
    <s v="Indirect"/>
    <n v="118"/>
    <n v="4851.58"/>
    <n v="0"/>
    <n v="0"/>
    <n v="0"/>
    <n v="0"/>
    <n v="0"/>
    <n v="0"/>
    <n v="4851.58"/>
    <n v="0"/>
    <n v="0"/>
    <n v="0"/>
    <n v="0"/>
    <n v="0"/>
    <n v="0"/>
    <n v="0"/>
    <n v="0"/>
    <n v="4851.58"/>
    <n v="0"/>
    <n v="0"/>
    <n v="67.428738983050849"/>
    <n v="59"/>
    <n v="0"/>
    <n v="0"/>
    <m/>
    <s v="Mahua BMC"/>
    <m/>
    <n v="0"/>
  </r>
  <r>
    <s v="Munger"/>
    <s v="01-02 Apr"/>
    <n v="1061"/>
    <s v="Mahua BMC"/>
    <x v="898"/>
    <s v="GOMUKH JHIKTAHI"/>
    <s v="vlc"/>
    <s v="Indirect"/>
    <n v="20"/>
    <n v="754.76"/>
    <n v="0"/>
    <n v="0"/>
    <n v="0"/>
    <n v="0"/>
    <n v="0"/>
    <n v="0"/>
    <n v="754.76"/>
    <n v="0"/>
    <n v="0"/>
    <n v="0"/>
    <n v="0"/>
    <n v="0"/>
    <n v="0"/>
    <n v="0"/>
    <n v="0"/>
    <n v="754.76"/>
    <n v="0"/>
    <n v="0"/>
    <n v="135.85679999999999"/>
    <n v="10"/>
    <n v="0"/>
    <n v="0"/>
    <m/>
    <s v="Mahua BMC"/>
    <m/>
    <n v="0"/>
  </r>
  <r>
    <s v="Munger"/>
    <s v="01-02 Apr"/>
    <n v="1061"/>
    <s v="Mahua BMC"/>
    <x v="899"/>
    <s v="Gomukh Karhatiya Bujurg"/>
    <s v="vlc"/>
    <s v="Indirect"/>
    <n v="142.9"/>
    <n v="5293.8099999999995"/>
    <n v="0"/>
    <n v="0"/>
    <n v="0"/>
    <n v="0"/>
    <n v="0"/>
    <n v="0"/>
    <n v="5293.8099999999995"/>
    <n v="0"/>
    <n v="0"/>
    <n v="0"/>
    <n v="0"/>
    <n v="0"/>
    <n v="0"/>
    <n v="0"/>
    <n v="0"/>
    <n v="5293.8099999999995"/>
    <n v="0"/>
    <n v="0"/>
    <n v="42.306025332400267"/>
    <n v="71.45"/>
    <n v="0"/>
    <n v="0"/>
    <m/>
    <s v="Mahua BMC"/>
    <m/>
    <n v="0"/>
  </r>
  <r>
    <s v="Munger"/>
    <s v="01-02 Apr"/>
    <n v="1061"/>
    <s v="Mahua BMC"/>
    <x v="900"/>
    <s v="GOMUKH Bheraukhara"/>
    <s v="MPG"/>
    <s v="Direct"/>
    <n v="24.8"/>
    <n v="1057.21"/>
    <n v="24.7"/>
    <n v="1010.563175066"/>
    <n v="0"/>
    <n v="0"/>
    <n v="24.7"/>
    <n v="1010.563175066"/>
    <n v="1010.563175066"/>
    <n v="0"/>
    <n v="0"/>
    <n v="0"/>
    <n v="0"/>
    <n v="0"/>
    <n v="0"/>
    <n v="1010"/>
    <n v="0"/>
    <n v="0"/>
    <n v="47"/>
    <n v="0"/>
    <n v="149.37354193548387"/>
    <n v="12.4"/>
    <n v="4.4122572557959205E-2"/>
    <n v="3"/>
    <m/>
    <s v="Mahua BMC"/>
    <m/>
    <n v="0"/>
  </r>
  <r>
    <s v="Munger"/>
    <s v="01-02 Apr"/>
    <n v="1061"/>
    <s v="Mahua BMC"/>
    <x v="901"/>
    <s v="GOMUKH SUPOLTARIYA"/>
    <s v="MPG"/>
    <s v="Direct"/>
    <n v="94.9"/>
    <n v="4157.55"/>
    <n v="96.2"/>
    <n v="4253.6752383510002"/>
    <n v="0"/>
    <n v="0"/>
    <n v="96.2"/>
    <n v="4253.6752383510002"/>
    <n v="4157.55"/>
    <n v="0"/>
    <n v="0"/>
    <n v="96.125238351000007"/>
    <n v="0"/>
    <n v="0"/>
    <n v="0"/>
    <n v="4158"/>
    <n v="0"/>
    <n v="0"/>
    <n v="0"/>
    <n v="0"/>
    <n v="92.088199157007367"/>
    <n v="47.45"/>
    <n v="-2.3120645175884837E-2"/>
    <n v="2"/>
    <m/>
    <s v="Mahua BMC"/>
    <m/>
    <n v="0"/>
  </r>
  <r>
    <s v="Munger"/>
    <s v="01-02 Apr"/>
    <n v="1061"/>
    <s v="Mahua BMC"/>
    <x v="902"/>
    <s v="GOMUKH Shravanapatti"/>
    <s v="MPG"/>
    <s v="Direct"/>
    <n v="16.399999999999999"/>
    <n v="658.89"/>
    <n v="18"/>
    <n v="691.88473728000008"/>
    <n v="0"/>
    <n v="0"/>
    <n v="18"/>
    <n v="691.88473728000008"/>
    <n v="658.89"/>
    <n v="0"/>
    <n v="0"/>
    <n v="32.994737280000095"/>
    <n v="0"/>
    <n v="0"/>
    <n v="0"/>
    <n v="659"/>
    <n v="0"/>
    <n v="0"/>
    <n v="0"/>
    <n v="0"/>
    <n v="147.52707804878051"/>
    <n v="8.1999999999999993"/>
    <n v="-5.0076245321677509E-2"/>
    <n v="2"/>
    <m/>
    <s v="Mahua BMC"/>
    <m/>
    <n v="0"/>
  </r>
  <r>
    <s v="Munger"/>
    <s v="01-02 Apr"/>
    <n v="1061"/>
    <s v="Mahua BMC"/>
    <x v="903"/>
    <s v="GOMUKH Jilwara"/>
    <s v="MPG"/>
    <s v="Direct"/>
    <n v="74.599999999999994"/>
    <n v="3161.94"/>
    <n v="74.400000000000006"/>
    <n v="3241.2156095868004"/>
    <n v="0"/>
    <n v="0"/>
    <n v="74.400000000000006"/>
    <n v="3241.2156095868004"/>
    <n v="3161.94"/>
    <n v="0"/>
    <n v="0"/>
    <n v="79.275609586800329"/>
    <n v="0"/>
    <n v="0"/>
    <n v="0"/>
    <n v="3162"/>
    <n v="0"/>
    <n v="0"/>
    <n v="0"/>
    <n v="0"/>
    <n v="106.30221876675606"/>
    <n v="37.299999999999997"/>
    <n v="-2.5071826026679928E-2"/>
    <n v="10"/>
    <m/>
    <s v="Mahua BMC"/>
    <m/>
    <n v="0"/>
  </r>
  <r>
    <s v="Munger"/>
    <s v="01-02 Apr"/>
    <n v="1061"/>
    <s v="Mahua BMC"/>
    <x v="904"/>
    <s v="GOMUKH KHANPATTI EAST"/>
    <s v="vlc"/>
    <s v="Indirect"/>
    <n v="31.400000000000002"/>
    <n v="1521.99"/>
    <n v="0"/>
    <n v="0"/>
    <n v="0"/>
    <n v="0"/>
    <n v="0"/>
    <n v="0"/>
    <n v="1521.99"/>
    <n v="0"/>
    <n v="0"/>
    <n v="0"/>
    <n v="0"/>
    <n v="0"/>
    <n v="0"/>
    <n v="0"/>
    <n v="0"/>
    <n v="1521.99"/>
    <n v="0"/>
    <n v="0"/>
    <n v="163.44427643312102"/>
    <n v="15.700000000000001"/>
    <n v="0"/>
    <n v="0"/>
    <m/>
    <s v="Mahua BMC"/>
    <m/>
    <n v="0"/>
  </r>
  <r>
    <s v="Munger"/>
    <s v="01-02 Apr"/>
    <n v="1061"/>
    <s v="Mahua BMC"/>
    <x v="905"/>
    <s v="GOMUKH ABBUCHAK"/>
    <s v="MPG"/>
    <s v="Direct"/>
    <n v="55.500000000000007"/>
    <n v="2184.34"/>
    <n v="55.3"/>
    <n v="2217.3772355428505"/>
    <n v="0"/>
    <n v="0"/>
    <n v="55.3"/>
    <n v="2217.3772355428505"/>
    <n v="2184.34"/>
    <n v="0"/>
    <n v="0"/>
    <n v="33.03723554285034"/>
    <n v="0"/>
    <n v="0"/>
    <n v="0"/>
    <n v="2184"/>
    <n v="0"/>
    <n v="0"/>
    <n v="0"/>
    <n v="0"/>
    <n v="113.7431099099099"/>
    <n v="27.750000000000004"/>
    <n v="-1.5124584791218554E-2"/>
    <n v="10"/>
    <m/>
    <s v="Mahua BMC"/>
    <m/>
    <n v="0"/>
  </r>
  <r>
    <s v="Munger"/>
    <s v="01-02 Apr"/>
    <n v="1061"/>
    <s v="Mahua BMC"/>
    <x v="906"/>
    <s v="Gomukh Husena"/>
    <s v="vlc"/>
    <s v="Indirect"/>
    <n v="19.100000000000001"/>
    <n v="701.8"/>
    <n v="0"/>
    <n v="0"/>
    <n v="0"/>
    <n v="0"/>
    <n v="0"/>
    <n v="0"/>
    <n v="701.8"/>
    <n v="0"/>
    <n v="0"/>
    <n v="0"/>
    <n v="0"/>
    <n v="0"/>
    <n v="0"/>
    <n v="0"/>
    <n v="0"/>
    <n v="701.8"/>
    <n v="0"/>
    <n v="0"/>
    <n v="132.9378219895288"/>
    <n v="9.5500000000000007"/>
    <n v="0"/>
    <n v="0"/>
    <m/>
    <s v="Mahua BMC"/>
    <m/>
    <n v="0"/>
  </r>
  <r>
    <s v="Munger"/>
    <s v="01-02 Apr"/>
    <n v="1061"/>
    <s v="Mahua BMC"/>
    <x v="907"/>
    <s v="GOMUKH KAILA JALALPUR"/>
    <s v="MPG"/>
    <s v="Direct"/>
    <n v="69.2"/>
    <n v="2633.77"/>
    <n v="68.300000000000011"/>
    <n v="2507.9145146352002"/>
    <n v="0"/>
    <n v="0"/>
    <n v="68.300000000000011"/>
    <n v="2507.9145146352002"/>
    <n v="2507.9145146352002"/>
    <n v="0"/>
    <n v="0"/>
    <n v="0"/>
    <n v="0"/>
    <n v="0"/>
    <n v="0"/>
    <n v="2507"/>
    <n v="0"/>
    <n v="0"/>
    <n v="127"/>
    <n v="0"/>
    <n v="99.565640462427766"/>
    <n v="34.6"/>
    <n v="4.7785298399176744E-2"/>
    <n v="5"/>
    <m/>
    <s v="Mahua BMC"/>
    <m/>
    <n v="0"/>
  </r>
  <r>
    <s v="Munger"/>
    <s v="01-02 Apr"/>
    <n v="1061"/>
    <s v="Mahua BMC"/>
    <x v="908"/>
    <s v="Gomukh Dumari"/>
    <s v="vlc"/>
    <s v="Indirect"/>
    <n v="19.699999999999996"/>
    <n v="705.89"/>
    <n v="0"/>
    <n v="0"/>
    <n v="0"/>
    <n v="0"/>
    <n v="0"/>
    <n v="0"/>
    <n v="705.89"/>
    <n v="0"/>
    <n v="0"/>
    <n v="0"/>
    <n v="0"/>
    <n v="0"/>
    <n v="0"/>
    <n v="0"/>
    <n v="0"/>
    <n v="705.89"/>
    <n v="0"/>
    <n v="0"/>
    <n v="129.21011878172592"/>
    <n v="9.8499999999999979"/>
    <n v="0"/>
    <n v="0"/>
    <m/>
    <s v="Mahua BMC"/>
    <m/>
    <n v="0"/>
  </r>
  <r>
    <s v="Munger"/>
    <s v="01-02 Apr"/>
    <n v="1061"/>
    <s v="Mahua BMC"/>
    <x v="909"/>
    <s v="GOMUKH UPHRAUL"/>
    <s v="vlc"/>
    <s v="Indirect"/>
    <n v="1240"/>
    <n v="46426.689999999995"/>
    <n v="0"/>
    <n v="0"/>
    <n v="0"/>
    <n v="0"/>
    <n v="0"/>
    <n v="0"/>
    <n v="46426.689999999995"/>
    <n v="0"/>
    <n v="0"/>
    <n v="0"/>
    <n v="0"/>
    <n v="0"/>
    <n v="0"/>
    <n v="0"/>
    <n v="0"/>
    <n v="46426.689999999995"/>
    <n v="0"/>
    <n v="0"/>
    <n v="0"/>
    <n v="0"/>
    <n v="0"/>
    <n v="0"/>
    <m/>
    <s v="Mahua BMC"/>
    <m/>
    <n v="0"/>
  </r>
  <r>
    <s v="Munger"/>
    <s v="01-02 Apr"/>
    <n v="1061"/>
    <s v="Mahua BMC"/>
    <x v="910"/>
    <s v="GOMUKH SHERPUR"/>
    <s v="vlc"/>
    <s v="Indirect"/>
    <n v="73.099999999999994"/>
    <n v="2713.34"/>
    <n v="0"/>
    <n v="0"/>
    <n v="0"/>
    <n v="0"/>
    <n v="0"/>
    <n v="0"/>
    <n v="2713.34"/>
    <n v="0"/>
    <n v="0"/>
    <n v="0"/>
    <n v="0"/>
    <n v="0"/>
    <n v="0"/>
    <n v="0"/>
    <n v="0"/>
    <n v="2713.34"/>
    <n v="0"/>
    <n v="0"/>
    <n v="94.205977017783866"/>
    <n v="36.549999999999997"/>
    <n v="0"/>
    <n v="0"/>
    <m/>
    <s v="Mahua BMC"/>
    <m/>
    <n v="0"/>
  </r>
  <r>
    <s v="Munger"/>
    <s v="01-02 Apr"/>
    <n v="1061"/>
    <s v="Mahua BMC"/>
    <x v="911"/>
    <s v="GOMUKH SHAPUR CHAKUMAR"/>
    <s v="vlc"/>
    <s v="Indirect"/>
    <n v="73.400000000000006"/>
    <n v="2737.63"/>
    <n v="0"/>
    <n v="0"/>
    <n v="0"/>
    <n v="0"/>
    <n v="0"/>
    <n v="0"/>
    <n v="2737.63"/>
    <n v="0"/>
    <n v="0"/>
    <n v="0"/>
    <n v="0"/>
    <n v="0"/>
    <n v="0"/>
    <n v="0"/>
    <n v="0"/>
    <n v="2737.63"/>
    <n v="0"/>
    <n v="0"/>
    <n v="94.437045776566762"/>
    <n v="36.700000000000003"/>
    <n v="0"/>
    <n v="0"/>
    <m/>
    <s v="Mahua BMC"/>
    <m/>
    <n v="0"/>
  </r>
  <r>
    <s v="Munger"/>
    <s v="01-02 Apr"/>
    <n v="1061"/>
    <s v="Mahua BMC"/>
    <x v="912"/>
    <s v="GOMUKH PANSALA"/>
    <s v="vlc"/>
    <s v="Indirect"/>
    <n v="15.4"/>
    <n v="523.82999999999993"/>
    <n v="0"/>
    <n v="0"/>
    <n v="0"/>
    <n v="0"/>
    <n v="0"/>
    <n v="0"/>
    <n v="523.82999999999993"/>
    <n v="0"/>
    <n v="0"/>
    <n v="0"/>
    <n v="0"/>
    <n v="0"/>
    <n v="0"/>
    <n v="0"/>
    <n v="0"/>
    <n v="523.82999999999993"/>
    <n v="0"/>
    <n v="0"/>
    <n v="125.58314025974023"/>
    <n v="7.7"/>
    <n v="0"/>
    <n v="0"/>
    <m/>
    <s v="Mahua BMC"/>
    <m/>
    <n v="0"/>
  </r>
  <r>
    <s v="Munger"/>
    <s v="01-02 Apr"/>
    <n v="1061"/>
    <s v="Mahua BMC"/>
    <x v="913"/>
    <s v="GOMUKH KUSIYARI"/>
    <s v="vlc"/>
    <s v="Indirect"/>
    <n v="111.69999999999999"/>
    <n v="4299.01"/>
    <n v="0"/>
    <n v="0"/>
    <n v="0"/>
    <n v="0"/>
    <n v="0"/>
    <n v="0"/>
    <n v="4299.01"/>
    <n v="0"/>
    <n v="0"/>
    <n v="0"/>
    <n v="0"/>
    <n v="0"/>
    <n v="0"/>
    <n v="0"/>
    <n v="0"/>
    <n v="4299.01"/>
    <n v="0"/>
    <n v="0"/>
    <n v="67.968233303491516"/>
    <n v="55.849999999999994"/>
    <n v="0"/>
    <n v="0"/>
    <m/>
    <s v="Mahua BMC"/>
    <m/>
    <n v="0"/>
  </r>
  <r>
    <s v="Munger"/>
    <s v="01-02 Apr"/>
    <n v="1061"/>
    <s v="Mahua BMC"/>
    <x v="914"/>
    <s v="GOMUKH PACHAI"/>
    <s v="vlc"/>
    <s v="Indirect"/>
    <n v="206.6"/>
    <n v="7722.1799999999994"/>
    <n v="0"/>
    <n v="0"/>
    <n v="0"/>
    <n v="0"/>
    <n v="0"/>
    <n v="0"/>
    <n v="7722.1799999999994"/>
    <n v="0"/>
    <n v="0"/>
    <n v="0"/>
    <n v="0"/>
    <n v="0"/>
    <n v="0"/>
    <n v="0"/>
    <n v="0"/>
    <n v="7722.1799999999994"/>
    <n v="0"/>
    <n v="0"/>
    <n v="0"/>
    <n v="0"/>
    <n v="0"/>
    <n v="0"/>
    <m/>
    <s v="Mahua BMC"/>
    <m/>
    <n v="0"/>
  </r>
  <r>
    <s v="Munger"/>
    <s v="01-02 Apr"/>
    <n v="1061"/>
    <s v="Mahua BMC"/>
    <x v="915"/>
    <s v="GOMUKH GARAHI"/>
    <s v="vlc"/>
    <s v="Indirect"/>
    <n v="158.5"/>
    <n v="4960.8"/>
    <n v="0"/>
    <n v="0"/>
    <n v="0"/>
    <n v="0"/>
    <n v="0"/>
    <n v="0"/>
    <n v="4960.8"/>
    <n v="0"/>
    <n v="0"/>
    <n v="0"/>
    <n v="0"/>
    <n v="0"/>
    <n v="0"/>
    <n v="0"/>
    <n v="0"/>
    <n v="4960.8"/>
    <n v="0"/>
    <n v="0"/>
    <n v="25.977690851735016"/>
    <n v="79.25"/>
    <n v="0"/>
    <n v="0"/>
    <m/>
    <s v="Mahua BMC"/>
    <m/>
    <n v="0"/>
  </r>
  <r>
    <s v="Munger"/>
    <s v="01-02 Apr"/>
    <n v="1061"/>
    <s v="Mahua BMC"/>
    <x v="916"/>
    <s v="GOMUKH BAIKUNTHPUR"/>
    <s v="vlc"/>
    <s v="Indirect"/>
    <n v="77.900000000000006"/>
    <n v="2970.2999999999997"/>
    <n v="0"/>
    <n v="0"/>
    <n v="0"/>
    <n v="0"/>
    <n v="0"/>
    <n v="0"/>
    <n v="2970.2999999999997"/>
    <n v="0"/>
    <n v="0"/>
    <n v="0"/>
    <n v="0"/>
    <n v="0"/>
    <n v="0"/>
    <n v="0"/>
    <n v="0"/>
    <n v="2970.2999999999997"/>
    <n v="0"/>
    <n v="0"/>
    <n v="93.112613607188692"/>
    <n v="38.950000000000003"/>
    <n v="0"/>
    <n v="0"/>
    <m/>
    <s v="Mahua BMC"/>
    <m/>
    <n v="0"/>
  </r>
  <r>
    <s v="Munger"/>
    <s v="01-02 Apr"/>
    <n v="1061"/>
    <s v="Mahua BMC"/>
    <x v="917"/>
    <s v="GOMUKH BAHASHI"/>
    <s v="vlc"/>
    <s v="Indirect"/>
    <n v="643.40000000000009"/>
    <n v="24518.21"/>
    <n v="0"/>
    <n v="0"/>
    <n v="0"/>
    <n v="0"/>
    <n v="0"/>
    <n v="0"/>
    <n v="24518.21"/>
    <n v="0"/>
    <n v="0"/>
    <n v="0"/>
    <n v="0"/>
    <n v="0"/>
    <n v="0"/>
    <n v="0"/>
    <n v="0"/>
    <n v="24518.21"/>
    <n v="0"/>
    <n v="0"/>
    <n v="0"/>
    <n v="0"/>
    <n v="0"/>
    <n v="0"/>
    <m/>
    <s v="Mahua BMC"/>
    <m/>
    <n v="0"/>
  </r>
  <r>
    <s v="Munger"/>
    <s v="01-02 Apr"/>
    <n v="1061"/>
    <s v="Mahua BMC"/>
    <x v="918"/>
    <s v="GOMUKH BAKHRI"/>
    <s v="vlc"/>
    <s v="Indirect"/>
    <n v="79.5"/>
    <n v="2802.38"/>
    <n v="0"/>
    <n v="0"/>
    <n v="0"/>
    <n v="0"/>
    <n v="0"/>
    <n v="0"/>
    <n v="2802.38"/>
    <n v="0"/>
    <n v="0"/>
    <n v="0"/>
    <n v="0"/>
    <n v="0"/>
    <n v="0"/>
    <n v="0"/>
    <n v="0"/>
    <n v="2802.38"/>
    <n v="0"/>
    <n v="0"/>
    <n v="84.952651572327056"/>
    <n v="39.75"/>
    <n v="0"/>
    <n v="0"/>
    <m/>
    <s v="Mahua BMC"/>
    <m/>
    <n v="0"/>
  </r>
  <r>
    <s v="Munger"/>
    <s v="01-02 Apr"/>
    <n v="1061"/>
    <s v="Mahua BMC"/>
    <x v="919"/>
    <s v="GOMUKH BAJITPUR"/>
    <s v="vlc"/>
    <s v="Indirect"/>
    <n v="56.800000000000004"/>
    <n v="1812.7399999999998"/>
    <n v="0"/>
    <n v="0"/>
    <n v="0"/>
    <n v="0"/>
    <n v="0"/>
    <n v="0"/>
    <n v="1812.7399999999998"/>
    <n v="0"/>
    <n v="0"/>
    <n v="0"/>
    <n v="0"/>
    <n v="0"/>
    <n v="0"/>
    <n v="0"/>
    <n v="0"/>
    <n v="1812.7399999999998"/>
    <n v="0"/>
    <n v="0"/>
    <n v="91.402946478873218"/>
    <n v="28.400000000000002"/>
    <n v="0"/>
    <n v="0"/>
    <m/>
    <s v="Mahua BMC"/>
    <m/>
    <n v="0"/>
  </r>
  <r>
    <s v="Munger"/>
    <s v="01-02 Apr"/>
    <n v="1061"/>
    <s v="Mahua BMC"/>
    <x v="920"/>
    <s v="GOMUKH PANAPUR"/>
    <s v="vlc"/>
    <s v="Indirect"/>
    <n v="158.19999999999999"/>
    <n v="5318.2699999999995"/>
    <n v="0"/>
    <n v="0"/>
    <n v="0"/>
    <n v="0"/>
    <n v="0"/>
    <n v="0"/>
    <n v="5318.2699999999995"/>
    <n v="0"/>
    <n v="0"/>
    <n v="0"/>
    <n v="0"/>
    <n v="0"/>
    <n v="0"/>
    <n v="0"/>
    <n v="0"/>
    <n v="5318.2699999999995"/>
    <n v="0"/>
    <n v="0"/>
    <n v="28.104132237673838"/>
    <n v="79.099999999999994"/>
    <n v="0"/>
    <n v="0"/>
    <m/>
    <s v="Mahua BMC"/>
    <m/>
    <n v="0"/>
  </r>
  <r>
    <s v="Munger"/>
    <s v="01-02 Apr"/>
    <n v="1061"/>
    <s v="Mahua BMC"/>
    <x v="921"/>
    <s v="GOMUKH BISANPUR SAID"/>
    <s v="vlc"/>
    <s v="Indirect"/>
    <n v="125.5"/>
    <n v="4786.04"/>
    <n v="0"/>
    <n v="0"/>
    <n v="0"/>
    <n v="0"/>
    <n v="0"/>
    <n v="0"/>
    <n v="4786.04"/>
    <n v="0"/>
    <n v="0"/>
    <n v="0"/>
    <n v="0"/>
    <n v="0"/>
    <n v="0"/>
    <n v="0"/>
    <n v="0"/>
    <n v="4786.04"/>
    <n v="0"/>
    <n v="0"/>
    <n v="56.822307569721119"/>
    <n v="62.75"/>
    <n v="0"/>
    <n v="0"/>
    <m/>
    <s v="Mahua BMC"/>
    <m/>
    <n v="0"/>
  </r>
  <r>
    <s v="Munger"/>
    <s v="01-02 Apr"/>
    <n v="1057"/>
    <s v="Warisnagar"/>
    <x v="922"/>
    <s v="Madhuvan"/>
    <s v="MPG"/>
    <s v="Direct"/>
    <n v="0.01"/>
    <n v="0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99380000000001"/>
    <n v="5.0000000000000001E-3"/>
    <n v="1"/>
    <n v="0"/>
    <m/>
    <s v="Warisnagar"/>
    <m/>
    <n v="0"/>
  </r>
  <r>
    <s v="Munger"/>
    <s v="01-02 Apr"/>
    <n v="1057"/>
    <s v="Warisnagar"/>
    <x v="923"/>
    <s v="Karua"/>
    <s v="MPG"/>
    <s v="Direct"/>
    <n v="21.9"/>
    <n v="871.95"/>
    <n v="21.9"/>
    <n v="858.59101548000001"/>
    <n v="0"/>
    <n v="0"/>
    <n v="21.9"/>
    <n v="858.59101548000001"/>
    <n v="858.59101548000001"/>
    <n v="0"/>
    <n v="0"/>
    <n v="0"/>
    <n v="0"/>
    <n v="0"/>
    <n v="0"/>
    <n v="859"/>
    <n v="0"/>
    <n v="0"/>
    <n v="13"/>
    <n v="0"/>
    <n v="141.82127397260277"/>
    <n v="10.95"/>
    <n v="1.532081486323761E-2"/>
    <n v="1"/>
    <m/>
    <s v="Warisnagar"/>
    <m/>
    <n v="0"/>
  </r>
  <r>
    <s v="Munger"/>
    <s v="01-02 Apr"/>
    <n v="1057"/>
    <s v="Warisnagar"/>
    <x v="924"/>
    <s v="Erout"/>
    <s v="MPG"/>
    <s v="Direct"/>
    <n v="36.599999999999994"/>
    <n v="1770.3600000000001"/>
    <n v="36.6"/>
    <n v="1772.1956809817998"/>
    <n v="0"/>
    <n v="0"/>
    <n v="36.6"/>
    <n v="1772.1956809817998"/>
    <n v="1770.3600000000001"/>
    <n v="0"/>
    <n v="0"/>
    <n v="1.8356809817996691"/>
    <n v="0"/>
    <n v="0"/>
    <n v="0"/>
    <n v="1770"/>
    <n v="0"/>
    <n v="0"/>
    <n v="0"/>
    <n v="0"/>
    <n v="158.0747672131148"/>
    <n v="18.299999999999997"/>
    <n v="-1.0368970050157419E-3"/>
    <n v="1"/>
    <m/>
    <s v="Warisnagar"/>
    <m/>
    <n v="0"/>
  </r>
  <r>
    <s v="Munger"/>
    <s v="01-02 Apr"/>
    <n v="1057"/>
    <s v="Warisnagar"/>
    <x v="925"/>
    <s v="Murli"/>
    <s v="MPG"/>
    <s v="Direct"/>
    <n v="54.6"/>
    <n v="2417.34"/>
    <n v="53.7"/>
    <n v="2497.4597828786996"/>
    <n v="0"/>
    <n v="0"/>
    <n v="53.7"/>
    <n v="2497.4597828786996"/>
    <n v="2417.34"/>
    <n v="0"/>
    <n v="0"/>
    <n v="80.119782878699425"/>
    <n v="0"/>
    <n v="0"/>
    <n v="0"/>
    <n v="2417"/>
    <n v="0"/>
    <n v="0"/>
    <n v="0"/>
    <n v="0"/>
    <n v="128.74770549450551"/>
    <n v="27.3"/>
    <n v="-3.3143779062398925E-2"/>
    <n v="1"/>
    <m/>
    <s v="Warisnagar"/>
    <m/>
    <n v="0"/>
  </r>
  <r>
    <s v="Munger"/>
    <s v="01-02 Apr"/>
    <n v="1057"/>
    <s v="Warisnagar"/>
    <x v="926"/>
    <s v="Mahespur"/>
    <s v="MPG"/>
    <s v="Direct"/>
    <n v="51.3"/>
    <n v="2258.86"/>
    <n v="51.3"/>
    <n v="2258.7341990004002"/>
    <n v="0"/>
    <n v="0"/>
    <n v="51.3"/>
    <n v="2258.7341990004002"/>
    <n v="2258.7341990004002"/>
    <n v="0"/>
    <n v="0"/>
    <n v="0"/>
    <n v="0"/>
    <n v="0"/>
    <n v="0"/>
    <n v="2259"/>
    <n v="0"/>
    <n v="0"/>
    <n v="0"/>
    <n v="0"/>
    <n v="130.95223469785574"/>
    <n v="25.65"/>
    <n v="5.5692251666752272E-5"/>
    <n v="1"/>
    <m/>
    <s v="Warisnagar"/>
    <m/>
    <n v="0"/>
  </r>
  <r>
    <s v="Munger"/>
    <s v="01-02 Apr"/>
    <n v="1057"/>
    <s v="Warisnagar"/>
    <x v="927"/>
    <s v="Raj Nagar"/>
    <s v="MPG"/>
    <s v="Direct"/>
    <n v="90.299999999999983"/>
    <n v="3579.54"/>
    <n v="90.3"/>
    <n v="3546.8588301299997"/>
    <n v="0"/>
    <n v="0"/>
    <n v="90.3"/>
    <n v="3546.8588301299997"/>
    <n v="3546.8588301299997"/>
    <n v="0"/>
    <n v="0"/>
    <n v="0"/>
    <n v="0"/>
    <n v="0"/>
    <n v="0"/>
    <n v="3547"/>
    <n v="0"/>
    <n v="0"/>
    <n v="33"/>
    <n v="0"/>
    <n v="86.971326245847195"/>
    <n v="45.149999999999991"/>
    <n v="9.1299915268443169E-3"/>
    <n v="1"/>
    <m/>
    <s v="Warisnagar"/>
    <m/>
    <n v="0"/>
  </r>
  <r>
    <s v="Munger"/>
    <s v="01-02 Apr"/>
    <n v="1057"/>
    <s v="Warisnagar"/>
    <x v="928"/>
    <s v="Nauapokhar"/>
    <s v="MPG"/>
    <s v="Direct"/>
    <n v="44.3"/>
    <n v="2172.39"/>
    <n v="43.6"/>
    <n v="2151.0467892199999"/>
    <n v="0"/>
    <n v="0"/>
    <n v="43.6"/>
    <n v="2151.0467892199999"/>
    <n v="2151.0467892199999"/>
    <n v="0"/>
    <n v="0"/>
    <n v="0"/>
    <n v="0"/>
    <n v="0"/>
    <n v="0"/>
    <n v="2151"/>
    <n v="0"/>
    <n v="0"/>
    <n v="21"/>
    <n v="0"/>
    <n v="152.7047959367946"/>
    <n v="22.15"/>
    <n v="9.8247601857861331E-3"/>
    <n v="1"/>
    <m/>
    <s v="Warisnagar"/>
    <m/>
    <n v="0"/>
  </r>
  <r>
    <s v="Munger"/>
    <s v="01-02 Apr"/>
    <n v="1057"/>
    <s v="Warisnagar"/>
    <x v="929"/>
    <s v="Erout 2"/>
    <s v="vlc"/>
    <s v="Indirect"/>
    <n v="135.5"/>
    <n v="5262.51"/>
    <n v="0"/>
    <n v="0"/>
    <n v="0"/>
    <n v="0"/>
    <n v="0"/>
    <n v="0"/>
    <n v="5262.51"/>
    <n v="0"/>
    <n v="0"/>
    <n v="0"/>
    <n v="0"/>
    <n v="0"/>
    <n v="0"/>
    <n v="0"/>
    <n v="0"/>
    <n v="5262.51"/>
    <n v="0"/>
    <n v="0"/>
    <n v="50.100648708487086"/>
    <n v="67.75"/>
    <n v="0"/>
    <n v="0"/>
    <m/>
    <s v="Warisnagar"/>
    <m/>
    <n v="0"/>
  </r>
  <r>
    <s v="Munger"/>
    <s v="01-02 Apr"/>
    <n v="1057"/>
    <s v="Warisnagar"/>
    <x v="930"/>
    <s v="Parsuram"/>
    <s v="vlc"/>
    <s v="Indirect"/>
    <n v="50.5"/>
    <n v="1615.53"/>
    <n v="0"/>
    <n v="0"/>
    <n v="0"/>
    <n v="0"/>
    <n v="0"/>
    <n v="0"/>
    <n v="1615.53"/>
    <n v="0"/>
    <n v="0"/>
    <n v="0"/>
    <n v="0"/>
    <n v="0"/>
    <n v="0"/>
    <n v="0"/>
    <n v="0"/>
    <n v="1615.53"/>
    <n v="0"/>
    <n v="0"/>
    <n v="95.652172277227706"/>
    <n v="25.25"/>
    <n v="0"/>
    <n v="0"/>
    <m/>
    <s v="Warisnagar"/>
    <m/>
    <n v="0"/>
  </r>
  <r>
    <s v="Munger"/>
    <s v="01-02 Apr"/>
    <n v="1057"/>
    <s v="Warisnagar"/>
    <x v="931"/>
    <s v="Gudarghat"/>
    <s v="vlc"/>
    <s v="Indirect"/>
    <n v="96.4"/>
    <n v="3975.16"/>
    <n v="0"/>
    <n v="0"/>
    <n v="0"/>
    <n v="0"/>
    <n v="0"/>
    <n v="0"/>
    <n v="3975.16"/>
    <n v="0"/>
    <n v="0"/>
    <n v="0"/>
    <n v="0"/>
    <n v="0"/>
    <n v="0"/>
    <n v="0"/>
    <n v="0"/>
    <n v="3975.16"/>
    <n v="0"/>
    <n v="0"/>
    <n v="85.441198340248945"/>
    <n v="48.2"/>
    <n v="0"/>
    <n v="0"/>
    <m/>
    <s v="Warisnagar"/>
    <m/>
    <n v="0"/>
  </r>
  <r>
    <s v="Munger"/>
    <s v="01-02 Apr"/>
    <n v="1057"/>
    <s v="Warisnagar"/>
    <x v="932"/>
    <s v="Maheshwara"/>
    <s v="MPG"/>
    <s v="Direct"/>
    <n v="62"/>
    <n v="2498.56"/>
    <n v="62"/>
    <n v="2459.4231661560002"/>
    <n v="0"/>
    <n v="0"/>
    <n v="62"/>
    <n v="2459.4231661560002"/>
    <n v="2459.4231661560002"/>
    <n v="0"/>
    <n v="0"/>
    <n v="0"/>
    <n v="0"/>
    <n v="0"/>
    <n v="0"/>
    <n v="2459"/>
    <n v="0"/>
    <n v="0"/>
    <n v="40"/>
    <n v="0"/>
    <n v="111.2262193548387"/>
    <n v="31"/>
    <n v="1.5663755860975816E-2"/>
    <n v="1"/>
    <m/>
    <s v="Warisnagar"/>
    <m/>
    <n v="0"/>
  </r>
  <r>
    <s v="Munger"/>
    <s v="01-02 Apr"/>
    <n v="1057"/>
    <s v="Warisnagar"/>
    <x v="933"/>
    <s v="Madhuban 2"/>
    <s v="vlc"/>
    <s v="Indirect"/>
    <n v="116.10000000000001"/>
    <n v="3893.2200000000003"/>
    <n v="0"/>
    <n v="0"/>
    <n v="0"/>
    <n v="0"/>
    <n v="0"/>
    <n v="0"/>
    <n v="3893.2200000000003"/>
    <n v="0"/>
    <n v="0"/>
    <n v="0"/>
    <n v="0"/>
    <n v="0"/>
    <n v="0"/>
    <n v="0"/>
    <n v="0"/>
    <n v="3893.2200000000003"/>
    <n v="0"/>
    <n v="0"/>
    <n v="56.268933333333329"/>
    <n v="58.050000000000004"/>
    <n v="0"/>
    <n v="0"/>
    <m/>
    <s v="Warisnagar"/>
    <m/>
    <n v="0"/>
  </r>
  <r>
    <s v="Munger"/>
    <s v="01-02 Apr"/>
    <n v="1057"/>
    <s v="Warisnagar"/>
    <x v="934"/>
    <s v="Yadav Jee"/>
    <s v="vlc"/>
    <s v="Indirect"/>
    <n v="33.799999999999997"/>
    <n v="1088.6999999999998"/>
    <n v="0"/>
    <n v="0"/>
    <n v="0"/>
    <n v="0"/>
    <n v="0"/>
    <n v="0"/>
    <n v="1088.6999999999998"/>
    <n v="0"/>
    <n v="0"/>
    <n v="0"/>
    <n v="0"/>
    <n v="0"/>
    <n v="0"/>
    <n v="0"/>
    <n v="0"/>
    <n v="1088.6999999999998"/>
    <n v="0"/>
    <n v="0"/>
    <n v="107.06623668639051"/>
    <n v="16.899999999999999"/>
    <n v="0"/>
    <n v="0"/>
    <m/>
    <s v="Warisnagar"/>
    <m/>
    <n v="0"/>
  </r>
  <r>
    <s v="Munger"/>
    <s v="01-02 Apr"/>
    <n v="1057"/>
    <s v="Warisnagar"/>
    <x v="935"/>
    <s v="Durgaashtan "/>
    <s v="vlc"/>
    <s v="Indirect"/>
    <n v="73.599999999999994"/>
    <n v="2574.5300000000002"/>
    <n v="0"/>
    <n v="0"/>
    <n v="0"/>
    <n v="0"/>
    <n v="0"/>
    <n v="0"/>
    <n v="2574.5300000000002"/>
    <n v="0"/>
    <n v="0"/>
    <n v="0"/>
    <n v="0"/>
    <n v="0"/>
    <n v="0"/>
    <n v="0"/>
    <n v="0"/>
    <n v="2574.5300000000002"/>
    <n v="0"/>
    <n v="0"/>
    <n v="88.429508695652203"/>
    <n v="36.799999999999997"/>
    <n v="0"/>
    <n v="0"/>
    <m/>
    <s v="Warisnagar"/>
    <m/>
    <n v="0"/>
  </r>
  <r>
    <s v="Munger"/>
    <s v="01-02 Apr"/>
    <n v="1057"/>
    <s v="Warisnagar"/>
    <x v="936"/>
    <s v="Purandahi"/>
    <s v="vlc"/>
    <s v="Indirect"/>
    <n v="102.7"/>
    <n v="3430.1800000000003"/>
    <n v="0"/>
    <n v="0"/>
    <n v="0"/>
    <n v="0"/>
    <n v="0"/>
    <n v="0"/>
    <n v="3430.1800000000003"/>
    <n v="0"/>
    <n v="0"/>
    <n v="0"/>
    <n v="0"/>
    <n v="0"/>
    <n v="0"/>
    <n v="0"/>
    <n v="0"/>
    <n v="3430.1800000000003"/>
    <n v="0"/>
    <n v="0"/>
    <n v="64.996399999999994"/>
    <n v="51.35"/>
    <n v="0"/>
    <n v="0"/>
    <m/>
    <s v="Warisnagar"/>
    <m/>
    <n v="0"/>
  </r>
  <r>
    <s v="Munger"/>
    <s v="01-02 Apr"/>
    <n v="1062"/>
    <s v="Singhia BMC"/>
    <x v="937"/>
    <s v="DUMRA "/>
    <s v="MPG"/>
    <s v="Direct"/>
    <n v="129.72"/>
    <n v="4919.6399999999994"/>
    <n v="127.20000000000002"/>
    <n v="4749.5452684819993"/>
    <n v="2.5999999999999996"/>
    <n v="96.816817944000007"/>
    <n v="129.80000000000001"/>
    <n v="4846.3620864259992"/>
    <n v="4846.3620864259992"/>
    <n v="0"/>
    <n v="96.816817944000007"/>
    <n v="0"/>
    <n v="0"/>
    <n v="0"/>
    <n v="0"/>
    <n v="4750"/>
    <n v="0"/>
    <n v="0"/>
    <n v="73"/>
    <n v="0"/>
    <n v="53.307477520814054"/>
    <n v="64.86"/>
    <n v="1.4894974748965412E-2"/>
    <n v="2"/>
    <m/>
    <s v="Singhia BMC"/>
    <m/>
    <n v="0"/>
  </r>
  <r>
    <s v="Munger"/>
    <s v="01-02 Apr"/>
    <n v="1062"/>
    <s v="Singhia BMC"/>
    <x v="938"/>
    <s v="BALHA"/>
    <s v="MPG"/>
    <s v="Direct"/>
    <n v="135.13"/>
    <n v="5229.4400000000005"/>
    <n v="133.69999999999999"/>
    <n v="4846.8351883492196"/>
    <n v="0.05"/>
    <n v="1.9536561000000003"/>
    <n v="133.75"/>
    <n v="4848.7888444492201"/>
    <n v="4848.7888444492201"/>
    <n v="0"/>
    <n v="1.9536561000000003"/>
    <n v="0"/>
    <n v="0"/>
    <n v="0"/>
    <n v="0"/>
    <n v="4847"/>
    <n v="0"/>
    <n v="0"/>
    <n v="380"/>
    <n v="0"/>
    <n v="50.208506297639317"/>
    <n v="67.564999999999998"/>
    <n v="7.279004167765199E-2"/>
    <n v="9"/>
    <m/>
    <s v="Singhia BMC"/>
    <m/>
    <n v="0"/>
  </r>
  <r>
    <s v="Munger"/>
    <s v="01-02 Apr"/>
    <n v="1062"/>
    <s v="Singhia BMC"/>
    <x v="939"/>
    <s v="BHARIHAR"/>
    <s v="MPG"/>
    <s v="Direct"/>
    <n v="39.010000000000005"/>
    <n v="1612.31"/>
    <n v="39.4"/>
    <n v="1609.9082334059999"/>
    <n v="0.25"/>
    <n v="10.269877860000001"/>
    <n v="39.65"/>
    <n v="1620.1781112659999"/>
    <n v="1612.31"/>
    <n v="0"/>
    <n v="10.269877860000001"/>
    <n v="7.8681112659999144"/>
    <n v="0"/>
    <n v="0"/>
    <n v="0"/>
    <n v="1602"/>
    <n v="0"/>
    <n v="0"/>
    <n v="0"/>
    <n v="0"/>
    <n v="133.07653775954881"/>
    <n v="19.505000000000003"/>
    <n v="-4.8800238576948074E-3"/>
    <n v="2"/>
    <m/>
    <s v="Singhia BMC"/>
    <m/>
    <n v="0"/>
  </r>
  <r>
    <s v="Munger"/>
    <s v="01-02 Apr"/>
    <n v="1062"/>
    <s v="Singhia BMC"/>
    <x v="940"/>
    <s v="BARA"/>
    <s v="MPG"/>
    <s v="Direct"/>
    <n v="59.459999999999994"/>
    <n v="2687.3900000000003"/>
    <n v="59.15"/>
    <n v="2672.2865069511004"/>
    <n v="0.2"/>
    <n v="9.206675445700002"/>
    <n v="59.35"/>
    <n v="2681.4931823968004"/>
    <n v="2681.4931823968004"/>
    <n v="0"/>
    <n v="9.206675445700002"/>
    <n v="0"/>
    <n v="0"/>
    <n v="0"/>
    <n v="0"/>
    <n v="2672"/>
    <n v="0"/>
    <n v="0"/>
    <n v="6"/>
    <n v="0"/>
    <n v="127.03861103262703"/>
    <n v="29.729999999999997"/>
    <n v="2.1942545009097695E-3"/>
    <n v="2"/>
    <m/>
    <s v="Singhia BMC"/>
    <m/>
    <n v="0"/>
  </r>
  <r>
    <s v="Munger"/>
    <s v="01-02 Apr"/>
    <n v="1062"/>
    <s v="Singhia BMC"/>
    <x v="941"/>
    <s v="KABILASHI"/>
    <s v="MPG"/>
    <s v="Direct"/>
    <n v="33.86"/>
    <n v="1516.32"/>
    <n v="50.85"/>
    <n v="2199.3166506960001"/>
    <n v="0.15000000000000002"/>
    <n v="6.5341702800000006"/>
    <n v="51"/>
    <n v="2205.8508209760003"/>
    <n v="1516.32"/>
    <n v="0"/>
    <n v="6.5341702800000006"/>
    <n v="689.53082097600031"/>
    <n v="0"/>
    <n v="0"/>
    <n v="0"/>
    <n v="1509"/>
    <n v="0"/>
    <n v="0"/>
    <n v="1"/>
    <n v="0"/>
    <n v="148.80177483756643"/>
    <n v="16.93"/>
    <n v="-0.45473964662868016"/>
    <n v="2"/>
    <m/>
    <s v="Singhia BMC"/>
    <m/>
    <n v="0"/>
  </r>
  <r>
    <s v="Munger"/>
    <s v="01-02 Apr"/>
    <n v="1062"/>
    <s v="Singhia BMC"/>
    <x v="942"/>
    <s v="SULTANPUR"/>
    <s v="vlc"/>
    <s v="Indirect"/>
    <n v="65.710000000000008"/>
    <n v="2707.3100000000004"/>
    <n v="0"/>
    <n v="0"/>
    <n v="0"/>
    <n v="0"/>
    <n v="0"/>
    <n v="0"/>
    <n v="2707.3100000000004"/>
    <n v="0"/>
    <n v="0"/>
    <n v="0"/>
    <n v="0"/>
    <n v="0"/>
    <n v="0"/>
    <n v="0"/>
    <n v="0"/>
    <n v="2707.3100000000004"/>
    <n v="0"/>
    <n v="0"/>
    <n v="110.65733066504338"/>
    <n v="32.855000000000004"/>
    <n v="0"/>
    <n v="0"/>
    <m/>
    <s v="Singhia BMC"/>
    <m/>
    <n v="0"/>
  </r>
  <r>
    <s v="Munger"/>
    <s v="01-02 Apr"/>
    <n v="1062"/>
    <s v="Singhia BMC"/>
    <x v="943"/>
    <s v="SUKUMARPUR"/>
    <s v="MPG"/>
    <s v="Indirect"/>
    <n v="15.6"/>
    <n v="656.43000000000006"/>
    <n v="0"/>
    <n v="0"/>
    <n v="0"/>
    <n v="0"/>
    <n v="0"/>
    <n v="0"/>
    <n v="656.43000000000006"/>
    <n v="0"/>
    <n v="0"/>
    <n v="0"/>
    <n v="0"/>
    <n v="0"/>
    <n v="0"/>
    <n v="0"/>
    <n v="0"/>
    <n v="656.43000000000006"/>
    <n v="0"/>
    <n v="0"/>
    <n v="155.18678461538465"/>
    <n v="7.8"/>
    <n v="0"/>
    <n v="0"/>
    <m/>
    <s v="Singhia BMC"/>
    <m/>
    <n v="0"/>
  </r>
  <r>
    <s v="Munger"/>
    <s v="01-02 Apr"/>
    <n v="1062"/>
    <s v="Singhia BMC"/>
    <x v="944"/>
    <s v="SISAUNA VLC"/>
    <s v="vlc"/>
    <s v="Indirect"/>
    <n v="55.6"/>
    <n v="2465.86"/>
    <n v="0"/>
    <n v="0"/>
    <n v="0"/>
    <n v="0"/>
    <n v="0"/>
    <n v="0"/>
    <n v="2465.86"/>
    <n v="0"/>
    <n v="0"/>
    <n v="0"/>
    <n v="0"/>
    <n v="0"/>
    <n v="0"/>
    <n v="0"/>
    <n v="0"/>
    <n v="2465.86"/>
    <n v="0"/>
    <n v="0"/>
    <n v="128.08280000000002"/>
    <n v="27.8"/>
    <n v="0"/>
    <n v="0"/>
    <m/>
    <s v="Singhia BMC"/>
    <m/>
    <n v="0"/>
  </r>
  <r>
    <s v="Munger"/>
    <s v="01-02 Apr"/>
    <n v="1062"/>
    <s v="Singhia BMC"/>
    <x v="945"/>
    <s v="Aditya Bishwas "/>
    <s v="vlc"/>
    <s v="Indirect"/>
    <n v="122.4"/>
    <n v="4838.67"/>
    <n v="0"/>
    <n v="0"/>
    <n v="0"/>
    <n v="0"/>
    <n v="0"/>
    <n v="0"/>
    <n v="4838.67"/>
    <n v="0"/>
    <n v="0"/>
    <n v="0"/>
    <n v="0"/>
    <n v="0"/>
    <n v="0"/>
    <n v="0"/>
    <n v="0"/>
    <n v="4838.67"/>
    <n v="0"/>
    <n v="0"/>
    <n v="61.35307058823529"/>
    <n v="61.2"/>
    <n v="0"/>
    <n v="0"/>
    <m/>
    <s v="Singhia BMC"/>
    <m/>
    <n v="0"/>
  </r>
  <r>
    <s v="Munger"/>
    <s v="01-02 Apr"/>
    <n v="1065"/>
    <s v="Bachhwara BMC"/>
    <x v="946"/>
    <s v="Gomukh Vijaiya"/>
    <s v="MPG"/>
    <s v="Direct"/>
    <n v="48.5"/>
    <n v="2125.35"/>
    <n v="41.5"/>
    <n v="1927.5494629710001"/>
    <n v="0"/>
    <n v="0"/>
    <n v="41.5"/>
    <n v="1927.5494629710001"/>
    <n v="1927.5494629710001"/>
    <n v="0"/>
    <n v="0"/>
    <n v="0"/>
    <n v="0"/>
    <n v="0"/>
    <n v="0"/>
    <n v="1928"/>
    <n v="0"/>
    <n v="0"/>
    <n v="197"/>
    <n v="0"/>
    <n v="132.77959793814432"/>
    <n v="24.25"/>
    <n v="9.3067276932740389E-2"/>
    <n v="1"/>
    <m/>
    <s v="Bachhwara BMC"/>
    <m/>
    <n v="0"/>
  </r>
  <r>
    <s v="Munger"/>
    <s v="01-02 Apr"/>
    <n v="1065"/>
    <s v="Bachhwara BMC"/>
    <x v="947"/>
    <s v="Gomukh Gangauli"/>
    <s v="MPG"/>
    <s v="Direct"/>
    <n v="240.3"/>
    <n v="9693.2099999999991"/>
    <n v="228.8"/>
    <n v="9438.6714105919982"/>
    <n v="0"/>
    <n v="0"/>
    <n v="228.8"/>
    <n v="9438.6714105919982"/>
    <n v="9438.6714105919982"/>
    <n v="0"/>
    <n v="0"/>
    <n v="0"/>
    <n v="0"/>
    <n v="0"/>
    <n v="0"/>
    <n v="9439"/>
    <n v="0"/>
    <n v="0"/>
    <n v="254"/>
    <n v="0"/>
    <n v="0"/>
    <n v="0"/>
    <n v="2.6259473322872498E-2"/>
    <n v="8"/>
    <m/>
    <s v="Bachhwara BMC"/>
    <m/>
    <n v="0"/>
  </r>
  <r>
    <s v="Munger"/>
    <s v="01-02 Apr"/>
    <n v="1065"/>
    <s v="Bachhwara BMC"/>
    <x v="948"/>
    <s v="Gomukh KARRAKH"/>
    <s v="MPG"/>
    <s v="Direct"/>
    <n v="54.8"/>
    <n v="2190.9700000000003"/>
    <n v="53"/>
    <n v="2075.7208276272004"/>
    <n v="0"/>
    <n v="0"/>
    <n v="53"/>
    <n v="2075.7208276272004"/>
    <n v="2075.7208276272004"/>
    <n v="0"/>
    <n v="0"/>
    <n v="0"/>
    <n v="0"/>
    <n v="0"/>
    <n v="0"/>
    <n v="2075"/>
    <n v="0"/>
    <n v="0"/>
    <n v="116"/>
    <n v="0"/>
    <n v="116.1054175182482"/>
    <n v="27.4"/>
    <n v="5.2601894308365642E-2"/>
    <n v="2"/>
    <m/>
    <s v="Bachhwara BMC"/>
    <m/>
    <n v="0"/>
  </r>
  <r>
    <s v="Munger"/>
    <s v="01-02 Apr"/>
    <n v="1065"/>
    <s v="Bachhwara BMC"/>
    <x v="949"/>
    <s v="MANDA"/>
    <s v="vlc"/>
    <s v="Indirect"/>
    <n v="45.5"/>
    <n v="2027.38"/>
    <n v="0"/>
    <n v="0"/>
    <n v="0"/>
    <n v="0"/>
    <n v="0"/>
    <n v="0"/>
    <n v="2027.38"/>
    <n v="0"/>
    <n v="0"/>
    <n v="0"/>
    <n v="0"/>
    <n v="0"/>
    <n v="0"/>
    <n v="0"/>
    <n v="0"/>
    <n v="2027.38"/>
    <n v="0"/>
    <n v="0"/>
    <n v="137.6836087912088"/>
    <n v="22.75"/>
    <n v="0"/>
    <n v="0"/>
    <m/>
    <s v="Bachhwara BMC"/>
    <m/>
    <n v="0"/>
  </r>
  <r>
    <s v="Munger"/>
    <s v="01-02 Apr"/>
    <n v="1065"/>
    <s v="Bachhwara BMC"/>
    <x v="950"/>
    <s v="KASHTOLI"/>
    <s v="vlc"/>
    <s v="Indirect"/>
    <n v="77.699999999999989"/>
    <n v="2787.88"/>
    <n v="0"/>
    <n v="0"/>
    <n v="0"/>
    <n v="0"/>
    <n v="0"/>
    <n v="0"/>
    <n v="2787.88"/>
    <n v="0"/>
    <n v="0"/>
    <n v="0"/>
    <n v="0"/>
    <n v="0"/>
    <n v="0"/>
    <n v="0"/>
    <n v="0"/>
    <n v="2787.88"/>
    <n v="0"/>
    <n v="0"/>
    <n v="87.762605920205928"/>
    <n v="38.849999999999994"/>
    <n v="0"/>
    <n v="0"/>
    <m/>
    <s v="Bachhwara BMC"/>
    <m/>
    <n v="0"/>
  </r>
  <r>
    <s v="Munger"/>
    <s v="01-02 Apr"/>
    <n v="1065"/>
    <s v="Bachhwara BMC"/>
    <x v="951"/>
    <s v="Sakh Mohan"/>
    <s v="vlc"/>
    <s v="Indirect"/>
    <n v="40.6"/>
    <n v="1356.85"/>
    <n v="0"/>
    <n v="0"/>
    <n v="0"/>
    <n v="0"/>
    <n v="0"/>
    <n v="0"/>
    <n v="1356.85"/>
    <n v="0"/>
    <n v="0"/>
    <n v="0"/>
    <n v="0"/>
    <n v="0"/>
    <n v="0"/>
    <n v="0"/>
    <n v="0"/>
    <n v="1356.85"/>
    <n v="0"/>
    <n v="0"/>
    <n v="106.54280295566502"/>
    <n v="20.3"/>
    <n v="0"/>
    <n v="0"/>
    <m/>
    <s v="Bachhwara BMC"/>
    <m/>
    <n v="0"/>
  </r>
  <r>
    <s v="Munger"/>
    <s v="03-09 Apr"/>
    <n v="1001"/>
    <s v="Majhaul"/>
    <x v="0"/>
    <s v="Gomukh Kumbhi"/>
    <s v="MPG"/>
    <s v="Direct"/>
    <n v="472.6"/>
    <n v="18268.800000000003"/>
    <n v="458.28000000000003"/>
    <n v="17669.74234988305"/>
    <n v="4.1900000000000004"/>
    <n v="155.29869550800004"/>
    <n v="462.47"/>
    <n v="17825.041045391052"/>
    <n v="17825.041045391052"/>
    <n v="0"/>
    <n v="155.29869550800004"/>
    <n v="0"/>
    <n v="0"/>
    <n v="0"/>
    <n v="0"/>
    <n v="17670"/>
    <n v="0"/>
    <n v="0"/>
    <n v="444"/>
    <n v="0"/>
    <n v="175.80724164198054"/>
    <n v="67.51428571428572"/>
    <n v="2.4290536576510285E-2"/>
    <n v="17"/>
    <m/>
    <s v="Majhaul"/>
    <m/>
    <n v="0"/>
  </r>
  <r>
    <s v="Munger"/>
    <s v="03-09 Apr"/>
    <n v="1008"/>
    <s v="Teghra"/>
    <x v="1"/>
    <s v="Gomukh Amba"/>
    <s v="MPG"/>
    <s v="Direct"/>
    <n v="59.25"/>
    <n v="2125.9299999999998"/>
    <n v="59.199999999999996"/>
    <n v="2124.1301837580004"/>
    <n v="0"/>
    <n v="0"/>
    <n v="59.199999999999996"/>
    <n v="2124.1301837580004"/>
    <n v="2124.1301837580004"/>
    <n v="0"/>
    <n v="0"/>
    <n v="0"/>
    <n v="0"/>
    <n v="500"/>
    <n v="0"/>
    <n v="1624"/>
    <n v="0"/>
    <n v="0"/>
    <n v="2"/>
    <n v="0"/>
    <n v="459.81085147679323"/>
    <n v="8.4642857142857135"/>
    <n v="8.466018363725295E-4"/>
    <n v="1"/>
    <m/>
    <s v="Teghra"/>
    <m/>
    <n v="500"/>
  </r>
  <r>
    <s v="Munger"/>
    <s v="03-09 Apr"/>
    <n v="1001"/>
    <s v="Majhaul"/>
    <x v="2"/>
    <s v="Gomukh Jagdar                                                                                       "/>
    <s v="MPG"/>
    <s v="Direct"/>
    <n v="1089.2"/>
    <n v="43815.34"/>
    <n v="1080.3900000000001"/>
    <n v="43503.221659707895"/>
    <n v="12.86"/>
    <n v="487.16672043600016"/>
    <n v="1093.25"/>
    <n v="43990.388380143893"/>
    <n v="43815.34"/>
    <n v="0"/>
    <n v="487.16672043600016"/>
    <n v="175.04838014389679"/>
    <n v="0"/>
    <n v="0"/>
    <n v="0"/>
    <n v="43328"/>
    <n v="0"/>
    <n v="0"/>
    <n v="0"/>
    <s v="Release1"/>
    <n v="0"/>
    <n v="0"/>
    <n v="-3.9951391486154576E-3"/>
    <n v="11"/>
    <m/>
    <s v="Majhaul"/>
    <m/>
    <n v="0"/>
  </r>
  <r>
    <s v="Munger"/>
    <s v="03-09 Apr"/>
    <n v="1058"/>
    <s v="Hasanpur"/>
    <x v="3"/>
    <s v="Gomukh Goriyari"/>
    <s v="MPG"/>
    <s v="Direct"/>
    <n v="1127.8000000000002"/>
    <n v="43562.530000000006"/>
    <n v="840"/>
    <n v="32874.979935600008"/>
    <n v="287.60000000000002"/>
    <n v="11243.040039396003"/>
    <n v="1127.5999999999999"/>
    <n v="44118.019974996008"/>
    <n v="43562.530000000006"/>
    <n v="0"/>
    <n v="132.42601548000002"/>
    <n v="555.48997499600227"/>
    <n v="0"/>
    <n v="0"/>
    <n v="0"/>
    <n v="32320"/>
    <n v="11110"/>
    <n v="0"/>
    <n v="0"/>
    <n v="0"/>
    <n v="0"/>
    <n v="0"/>
    <n v="-1.2751554489512023E-2"/>
    <n v="10"/>
    <m/>
    <s v="Hasanpur"/>
    <m/>
    <n v="0"/>
  </r>
  <r>
    <s v="Munger"/>
    <s v="03-09 Apr"/>
    <n v="1058"/>
    <s v="Hasanpur"/>
    <x v="4"/>
    <s v="Gomukh Kanausi"/>
    <s v="MPG"/>
    <s v="Direct"/>
    <n v="480.90000000000003"/>
    <n v="19246.54"/>
    <n v="300"/>
    <n v="11830.171320000001"/>
    <n v="260"/>
    <n v="10248.767496000002"/>
    <n v="560"/>
    <n v="22078.938816000002"/>
    <n v="19246.54"/>
    <n v="0"/>
    <n v="0"/>
    <n v="2832.3988160000008"/>
    <n v="0"/>
    <n v="0"/>
    <n v="0"/>
    <n v="8998"/>
    <n v="10249"/>
    <n v="0"/>
    <n v="0"/>
    <n v="0"/>
    <n v="175.37604133915571"/>
    <n v="68.7"/>
    <n v="-0.14716405213612424"/>
    <n v="9"/>
    <m/>
    <s v="Hasanpur"/>
    <m/>
    <n v="0"/>
  </r>
  <r>
    <s v="Munger"/>
    <s v="03-09 Apr"/>
    <n v="1001"/>
    <s v="Majhaul"/>
    <x v="952"/>
    <s v="Mohanpur - Chandan"/>
    <s v="vlc"/>
    <s v="Indirect"/>
    <n v="552.69999999999993"/>
    <n v="20239.32"/>
    <n v="0"/>
    <n v="0"/>
    <n v="0"/>
    <n v="0"/>
    <n v="0"/>
    <n v="0"/>
    <n v="20239.32"/>
    <n v="0"/>
    <n v="0"/>
    <n v="0"/>
    <n v="0"/>
    <n v="0"/>
    <n v="0"/>
    <n v="0"/>
    <n v="0"/>
    <n v="20239.32"/>
    <n v="0"/>
    <n v="0"/>
    <n v="107.87956707074373"/>
    <n v="78.957142857142841"/>
    <n v="0"/>
    <n v="0"/>
    <m/>
    <s v="Majhaul"/>
    <m/>
    <n v="0"/>
  </r>
  <r>
    <s v="Munger"/>
    <s v="03-09 Apr"/>
    <n v="1001"/>
    <s v="Majhaul"/>
    <x v="5"/>
    <s v="Birpur-2 - Pankaj"/>
    <s v="vlc"/>
    <s v="Indirect"/>
    <n v="3940.2"/>
    <n v="134847.58999999997"/>
    <n v="0"/>
    <n v="0"/>
    <n v="0"/>
    <n v="0"/>
    <n v="0"/>
    <n v="0"/>
    <n v="134847.58999999997"/>
    <n v="0"/>
    <n v="0"/>
    <n v="0"/>
    <n v="0"/>
    <n v="0"/>
    <n v="0"/>
    <n v="0"/>
    <n v="0"/>
    <n v="134847.58999999997"/>
    <n v="0"/>
    <n v="0"/>
    <n v="0"/>
    <n v="0"/>
    <n v="0"/>
    <n v="0"/>
    <m/>
    <s v="Majhaul"/>
    <m/>
    <n v="0"/>
  </r>
  <r>
    <s v="Munger"/>
    <s v="03-09 Apr"/>
    <n v="1058"/>
    <s v="Hasanpur"/>
    <x v="6"/>
    <s v="Ekamba - Ashutosh"/>
    <s v="vlc"/>
    <s v="Indirect"/>
    <n v="1087"/>
    <n v="42626.9"/>
    <n v="0"/>
    <n v="0"/>
    <n v="0"/>
    <n v="0"/>
    <n v="0"/>
    <n v="0"/>
    <n v="42626.9"/>
    <n v="0"/>
    <n v="0"/>
    <n v="0"/>
    <n v="0"/>
    <n v="0"/>
    <n v="0"/>
    <n v="0"/>
    <n v="0"/>
    <n v="42626.9"/>
    <n v="0"/>
    <n v="0"/>
    <n v="0"/>
    <n v="0"/>
    <n v="0"/>
    <n v="0"/>
    <m/>
    <s v="Hasanpur"/>
    <m/>
    <n v="0"/>
  </r>
  <r>
    <s v="Munger"/>
    <s v="03-09 Apr"/>
    <n v="1058"/>
    <s v="Hasanpur"/>
    <x v="7"/>
    <s v="Gomukh Dunahi"/>
    <s v="MPG"/>
    <s v="Direct"/>
    <n v="1159.6000000000001"/>
    <n v="43878.499999999993"/>
    <n v="800"/>
    <n v="31237.35753600001"/>
    <n v="580"/>
    <n v="22596.395976000003"/>
    <n v="1380"/>
    <n v="53833.75351200001"/>
    <n v="43878.499999999993"/>
    <n v="0"/>
    <n v="0"/>
    <n v="9955.2535120000175"/>
    <n v="0"/>
    <n v="0"/>
    <n v="0"/>
    <n v="21282"/>
    <n v="22596"/>
    <n v="0"/>
    <n v="0"/>
    <n v="0"/>
    <n v="0"/>
    <n v="0"/>
    <n v="-0.22688226607564113"/>
    <n v="10"/>
    <m/>
    <s v="Hasanpur"/>
    <m/>
    <n v="0"/>
  </r>
  <r>
    <s v="Munger"/>
    <s v="03-09 Apr"/>
    <n v="1001"/>
    <s v="Majhaul"/>
    <x v="8"/>
    <s v="GOMUKH BIRPUR PASCHIM                                                                               "/>
    <s v="MPG"/>
    <s v="Direct"/>
    <n v="114.7"/>
    <n v="4805.43"/>
    <n v="115.10000000000001"/>
    <n v="4508.969450040001"/>
    <n v="0"/>
    <n v="0"/>
    <n v="115.10000000000001"/>
    <n v="4508.969450040001"/>
    <n v="4508.969450040001"/>
    <n v="0"/>
    <n v="0"/>
    <n v="0"/>
    <n v="0"/>
    <n v="0"/>
    <n v="0"/>
    <n v="4509"/>
    <n v="0"/>
    <n v="0"/>
    <n v="296"/>
    <n v="0"/>
    <n v="490.43037122929383"/>
    <n v="16.385714285714286"/>
    <n v="6.1692824567208197E-2"/>
    <n v="2"/>
    <m/>
    <s v="Majhaul"/>
    <m/>
    <n v="0"/>
  </r>
  <r>
    <s v="Munger"/>
    <s v="03-09 Apr"/>
    <n v="1058"/>
    <s v="Hasanpur"/>
    <x v="9"/>
    <s v="Gomukh Harigiridham                                                                                 "/>
    <s v="MPG"/>
    <s v="Direct"/>
    <n v="1158.0999999999999"/>
    <n v="40368.51"/>
    <n v="40"/>
    <n v="1381.5513756"/>
    <n v="450"/>
    <n v="15500.540583"/>
    <n v="490"/>
    <n v="16882.091958600002"/>
    <n v="16882.091958600002"/>
    <n v="0"/>
    <n v="169.82282790000002"/>
    <n v="0"/>
    <n v="0"/>
    <n v="0"/>
    <n v="0"/>
    <n v="1382"/>
    <n v="15331"/>
    <n v="0"/>
    <n v="23486"/>
    <n v="0"/>
    <n v="0"/>
    <n v="0"/>
    <n v="0.58180046876637259"/>
    <n v="17"/>
    <m/>
    <s v="Hasanpur"/>
    <m/>
    <n v="0"/>
  </r>
  <r>
    <s v="Munger"/>
    <s v="03-09 Apr"/>
    <n v="1001"/>
    <s v="Majhaul"/>
    <x v="10"/>
    <s v="Manish Dairy                                                                                        "/>
    <s v="vlc"/>
    <s v="Indirect"/>
    <n v="14569"/>
    <n v="524532.01"/>
    <n v="0"/>
    <n v="0"/>
    <n v="0"/>
    <n v="0"/>
    <n v="0"/>
    <n v="0"/>
    <n v="524532.01"/>
    <n v="0"/>
    <n v="0"/>
    <n v="0"/>
    <n v="0"/>
    <n v="0"/>
    <n v="0"/>
    <n v="0"/>
    <n v="0"/>
    <n v="524532.01"/>
    <n v="0"/>
    <n v="0"/>
    <n v="0"/>
    <n v="0"/>
    <n v="0"/>
    <n v="0"/>
    <m/>
    <s v="Majhaul"/>
    <m/>
    <n v="0"/>
  </r>
  <r>
    <s v="Munger"/>
    <s v="03-09 Apr"/>
    <n v="1001"/>
    <s v="Majhaul"/>
    <x v="11"/>
    <s v="Gomukh Bhith-02"/>
    <s v="MPG"/>
    <s v="Direct"/>
    <n v="849.20000000000016"/>
    <n v="37513.450000000004"/>
    <n v="148.66"/>
    <n v="7355.9585876707797"/>
    <n v="755.73"/>
    <n v="33777.390668925145"/>
    <n v="904.39"/>
    <n v="41133.349256595924"/>
    <n v="37513.450000000004"/>
    <n v="0"/>
    <n v="0"/>
    <n v="3619.8992565959197"/>
    <n v="0"/>
    <n v="0"/>
    <n v="0"/>
    <n v="3736"/>
    <n v="33777"/>
    <n v="0"/>
    <n v="0"/>
    <n v="0"/>
    <n v="0"/>
    <n v="0"/>
    <n v="-9.6496036930645387E-2"/>
    <n v="8"/>
    <m/>
    <s v="Majhaul"/>
    <m/>
    <n v="0"/>
  </r>
  <r>
    <s v="Munger"/>
    <s v="03-09 Apr"/>
    <n v="1001"/>
    <s v="Majhaul"/>
    <x v="12"/>
    <s v="Gomukh Sharmatola Sahuri"/>
    <s v="MPG"/>
    <s v="Direct"/>
    <n v="1114.1000000000001"/>
    <n v="41995.289999999994"/>
    <n v="1102.76"/>
    <n v="41653.972038101732"/>
    <n v="17.38"/>
    <n v="726.82430040000008"/>
    <n v="1120.1400000000001"/>
    <n v="42380.796338501736"/>
    <n v="41995.289999999994"/>
    <n v="0"/>
    <n v="0"/>
    <n v="385.50633850174199"/>
    <n v="0"/>
    <n v="0"/>
    <n v="0"/>
    <n v="41268"/>
    <n v="727"/>
    <n v="0"/>
    <n v="0"/>
    <s v="Release1"/>
    <n v="0"/>
    <n v="0"/>
    <n v="-9.1797517888730397E-3"/>
    <n v="11"/>
    <m/>
    <s v="Majhaul"/>
    <m/>
    <n v="0"/>
  </r>
  <r>
    <s v="Munger"/>
    <s v="03-09 Apr"/>
    <n v="1001"/>
    <s v="Majhaul"/>
    <x v="13"/>
    <s v="Sangat- Sanjeev Kumar"/>
    <s v="vlc"/>
    <s v="Indirect"/>
    <n v="301.59999999999997"/>
    <n v="11428.76"/>
    <n v="0"/>
    <n v="0"/>
    <n v="0"/>
    <n v="0"/>
    <n v="0"/>
    <n v="0"/>
    <n v="11428.76"/>
    <n v="0"/>
    <n v="0"/>
    <n v="0"/>
    <n v="0"/>
    <n v="0"/>
    <n v="0"/>
    <n v="0"/>
    <n v="0"/>
    <n v="11428.76"/>
    <n v="0"/>
    <n v="0"/>
    <n v="301.93753209549078"/>
    <n v="43.085714285714282"/>
    <n v="0"/>
    <n v="0"/>
    <m/>
    <s v="Majhaul"/>
    <m/>
    <n v="0"/>
  </r>
  <r>
    <s v="Munger"/>
    <s v="03-09 Apr"/>
    <n v="1058"/>
    <s v="Hasanpur"/>
    <x v="14"/>
    <s v="Gomukh Garhi Bisanpur"/>
    <s v="MPG"/>
    <s v="Direct"/>
    <n v="98.9"/>
    <n v="4803.8900000000003"/>
    <n v="96.11"/>
    <n v="4326.772230966093"/>
    <n v="1.69"/>
    <n v="77.214272617300011"/>
    <n v="97.8"/>
    <n v="4403.9865035833927"/>
    <n v="4403.9865035833927"/>
    <n v="0"/>
    <n v="77.214272617300011"/>
    <n v="0"/>
    <n v="0"/>
    <n v="0"/>
    <n v="0"/>
    <n v="4327"/>
    <n v="0"/>
    <n v="0"/>
    <n v="400"/>
    <n v="0"/>
    <n v="583.94707360970676"/>
    <n v="14.12857142857143"/>
    <n v="8.3245764665012642E-2"/>
    <n v="7"/>
    <m/>
    <s v="Hasanpur"/>
    <m/>
    <n v="0"/>
  </r>
  <r>
    <s v="Munger"/>
    <s v="03-09 Apr"/>
    <n v="1058"/>
    <s v="Hasanpur"/>
    <x v="15"/>
    <s v="Bagaraha-Gopal Yadav"/>
    <s v="vlc"/>
    <s v="Indirect"/>
    <n v="146.89999999999998"/>
    <n v="4742.96"/>
    <n v="0"/>
    <n v="0"/>
    <n v="0"/>
    <n v="0"/>
    <n v="0"/>
    <n v="0"/>
    <n v="4742.96"/>
    <n v="0"/>
    <n v="0"/>
    <n v="0"/>
    <n v="0"/>
    <n v="0"/>
    <n v="0"/>
    <n v="0"/>
    <n v="0"/>
    <n v="4742.96"/>
    <n v="0"/>
    <n v="0"/>
    <n v="357.15877140912198"/>
    <n v="20.985714285714284"/>
    <n v="0"/>
    <n v="0"/>
    <m/>
    <s v="Hasanpur"/>
    <m/>
    <n v="0"/>
  </r>
  <r>
    <s v="Munger"/>
    <s v="03-09 Apr"/>
    <n v="1058"/>
    <s v="Hasanpur"/>
    <x v="16"/>
    <s v="Gomukh Barkurwa"/>
    <s v="MPG"/>
    <s v="Direct"/>
    <n v="384.40000000000003"/>
    <n v="15226.8"/>
    <n v="171.15999999999997"/>
    <n v="6591.3313090680003"/>
    <n v="161.16"/>
    <n v="6863.3081693158583"/>
    <n v="332.31999999999994"/>
    <n v="13454.639478383859"/>
    <n v="13454.639478383859"/>
    <n v="0"/>
    <n v="189.16629019199999"/>
    <n v="0"/>
    <n v="0"/>
    <n v="0"/>
    <n v="0"/>
    <n v="6591"/>
    <n v="6672"/>
    <n v="0"/>
    <n v="1775"/>
    <n v="0"/>
    <n v="250.0300770031217"/>
    <n v="54.914285714285718"/>
    <n v="0.11638430409647074"/>
    <n v="19"/>
    <m/>
    <s v="Hasanpur"/>
    <m/>
    <n v="0"/>
  </r>
  <r>
    <s v="Munger"/>
    <s v="03-09 Apr"/>
    <n v="1001"/>
    <s v="Majhaul"/>
    <x v="17"/>
    <s v="Kamla- Amarjeet"/>
    <s v="vlc"/>
    <s v="Indirect"/>
    <n v="1386.5999999999997"/>
    <n v="41724.960000000006"/>
    <n v="0"/>
    <n v="0"/>
    <n v="0"/>
    <n v="0"/>
    <n v="0"/>
    <n v="0"/>
    <n v="41724.960000000006"/>
    <n v="0"/>
    <n v="0"/>
    <n v="0"/>
    <n v="0"/>
    <n v="0"/>
    <n v="0"/>
    <n v="0"/>
    <n v="0"/>
    <n v="41724.960000000006"/>
    <n v="0"/>
    <n v="0"/>
    <n v="0"/>
    <n v="0"/>
    <n v="0"/>
    <n v="0"/>
    <m/>
    <s v="Majhaul"/>
    <m/>
    <n v="0"/>
  </r>
  <r>
    <s v="Munger"/>
    <s v="03-09 Apr"/>
    <n v="1058"/>
    <s v="Hasanpur"/>
    <x v="18"/>
    <s v="Gomukh Goha-02"/>
    <s v="MPG"/>
    <s v="Direct"/>
    <n v="404"/>
    <n v="16337.17"/>
    <n v="560"/>
    <n v="22023.498816000003"/>
    <n v="0"/>
    <n v="0"/>
    <n v="560"/>
    <n v="22023.498816000003"/>
    <n v="16337.17"/>
    <n v="0"/>
    <n v="0"/>
    <n v="5686.3288160000029"/>
    <n v="0"/>
    <n v="500"/>
    <n v="0"/>
    <n v="15837"/>
    <n v="0"/>
    <n v="0"/>
    <n v="0"/>
    <n v="0"/>
    <n v="239.39615445544555"/>
    <n v="57.714285714285715"/>
    <n v="-0.34806082179471737"/>
    <n v="2"/>
    <m/>
    <s v="Hasanpur"/>
    <m/>
    <n v="500"/>
  </r>
  <r>
    <s v="Munger"/>
    <s v="03-09 Apr"/>
    <n v="1001"/>
    <s v="Majhaul"/>
    <x v="19"/>
    <s v="Gomukh Cheria Bariarpur"/>
    <s v="MPG"/>
    <s v="Direct"/>
    <n v="1211.3000000000002"/>
    <n v="45971.840000000004"/>
    <n v="1191.6199999999999"/>
    <n v="45520.919913529877"/>
    <n v="2.5500000000000003"/>
    <n v="96.585805008000008"/>
    <n v="1194.1699999999998"/>
    <n v="45617.505718537876"/>
    <n v="45617.505718537876"/>
    <n v="0"/>
    <n v="96.585805008000008"/>
    <n v="0"/>
    <n v="0"/>
    <n v="0"/>
    <n v="0"/>
    <n v="45521"/>
    <n v="0"/>
    <n v="0"/>
    <n v="354"/>
    <n v="0"/>
    <n v="0"/>
    <n v="0"/>
    <n v="7.7076375768759366E-3"/>
    <n v="12"/>
    <m/>
    <s v="Majhaul"/>
    <m/>
    <n v="0"/>
  </r>
  <r>
    <s v="Munger"/>
    <s v="03-09 Apr"/>
    <n v="1058"/>
    <s v="Hasanpur"/>
    <x v="20"/>
    <s v="Gomukh Rahul Nagar"/>
    <s v="MPG"/>
    <s v="Direct"/>
    <n v="417.8"/>
    <n v="16801.41"/>
    <n v="407.56"/>
    <n v="18148.301834625239"/>
    <n v="13.16"/>
    <n v="691.73308816472002"/>
    <n v="420.72"/>
    <n v="18840.034922789961"/>
    <n v="16801.41"/>
    <n v="0"/>
    <n v="441.61012971872003"/>
    <n v="2038.6249227899607"/>
    <n v="0"/>
    <n v="0"/>
    <n v="0"/>
    <n v="16109"/>
    <n v="250"/>
    <n v="0"/>
    <n v="1"/>
    <n v="0"/>
    <n v="226.96782680708472"/>
    <n v="59.68571428571429"/>
    <n v="-0.12133653799234473"/>
    <n v="8"/>
    <m/>
    <s v="Hasanpur"/>
    <m/>
    <n v="0"/>
  </r>
  <r>
    <s v="Munger"/>
    <s v="03-09 Apr"/>
    <n v="1058"/>
    <s v="Hasanpur"/>
    <x v="21"/>
    <s v="Gomukh Bagraha-01"/>
    <s v="MPG"/>
    <s v="Direct"/>
    <n v="182.89999999999998"/>
    <n v="7735.9"/>
    <n v="125"/>
    <n v="4911.8576760000014"/>
    <n v="50"/>
    <n v="1990.6155720000004"/>
    <n v="175"/>
    <n v="6902.4732480000021"/>
    <n v="6902.4732480000021"/>
    <n v="0"/>
    <n v="0"/>
    <n v="0"/>
    <n v="0"/>
    <n v="500"/>
    <n v="0"/>
    <n v="4412"/>
    <n v="1990"/>
    <n v="0"/>
    <n v="834"/>
    <n v="0"/>
    <n v="437.42306068890105"/>
    <n v="26.128571428571426"/>
    <n v="0.1077349438332964"/>
    <n v="5"/>
    <m/>
    <s v="Hasanpur"/>
    <m/>
    <n v="500"/>
  </r>
  <r>
    <s v="Munger"/>
    <s v="03-09 Apr"/>
    <n v="1058"/>
    <s v="Hasanpur"/>
    <x v="22"/>
    <s v="Gomukh Shobhaipura"/>
    <s v="MPG"/>
    <s v="Direct"/>
    <n v="100.3"/>
    <n v="3596.0099999999998"/>
    <n v="140"/>
    <n v="5491.3545720000011"/>
    <n v="0"/>
    <n v="0"/>
    <n v="140"/>
    <n v="5491.3545720000011"/>
    <n v="3596.0099999999998"/>
    <n v="0"/>
    <n v="0"/>
    <n v="1895.3445720000013"/>
    <n v="0"/>
    <n v="0"/>
    <n v="0"/>
    <n v="3596"/>
    <n v="0"/>
    <n v="0"/>
    <n v="0"/>
    <n v="0"/>
    <n v="430.01539322033898"/>
    <n v="14.328571428571427"/>
    <n v="-0.52706877122143747"/>
    <n v="2"/>
    <m/>
    <s v="Hasanpur"/>
    <m/>
    <n v="0"/>
  </r>
  <r>
    <s v="Munger"/>
    <s v="03-09 Apr"/>
    <n v="1001"/>
    <s v="Majhaul"/>
    <x v="23"/>
    <s v="Gomukh Pirauna"/>
    <s v="MPG"/>
    <s v="Direct"/>
    <n v="202.60000000000002"/>
    <n v="7570.3"/>
    <n v="207.63"/>
    <n v="8010.0593669844011"/>
    <n v="2.3200000000000003"/>
    <n v="90.338032421999998"/>
    <n v="209.95"/>
    <n v="8100.3973994064008"/>
    <n v="7570.3"/>
    <n v="0"/>
    <n v="90.338032421999998"/>
    <n v="530.09739940640065"/>
    <n v="0"/>
    <n v="0"/>
    <n v="0"/>
    <n v="7480"/>
    <n v="0"/>
    <n v="0"/>
    <n v="0"/>
    <s v="Release1"/>
    <n v="371.71443435340569"/>
    <n v="28.942857142857147"/>
    <n v="-7.0023301508051292E-2"/>
    <n v="2"/>
    <m/>
    <s v="Majhaul"/>
    <m/>
    <n v="0"/>
  </r>
  <r>
    <s v="Munger"/>
    <s v="03-09 Apr"/>
    <n v="1001"/>
    <s v="Majhaul"/>
    <x v="24"/>
    <s v="Parra- Nagendra Kumar"/>
    <s v="vlc"/>
    <s v="Indirect"/>
    <n v="284.7"/>
    <n v="9576.659999999998"/>
    <n v="0"/>
    <n v="0"/>
    <n v="0"/>
    <n v="0"/>
    <n v="0"/>
    <n v="0"/>
    <n v="9576.659999999998"/>
    <n v="0"/>
    <n v="0"/>
    <n v="0"/>
    <n v="0"/>
    <n v="0"/>
    <n v="0"/>
    <n v="0"/>
    <n v="0"/>
    <n v="9576.659999999998"/>
    <n v="0"/>
    <n v="0"/>
    <n v="279.39493487881975"/>
    <n v="40.671428571428571"/>
    <n v="0"/>
    <n v="0"/>
    <m/>
    <s v="Majhaul"/>
    <m/>
    <n v="0"/>
  </r>
  <r>
    <s v="Munger"/>
    <s v="03-09 Apr"/>
    <n v="1001"/>
    <s v="Majhaul"/>
    <x v="25"/>
    <s v="Gomukh Basahi"/>
    <s v="MPG"/>
    <s v="Direct"/>
    <n v="492.90000000000003"/>
    <n v="20728.919999999998"/>
    <n v="484.96999999999997"/>
    <n v="20506.423363206803"/>
    <n v="4.13"/>
    <n v="171.44090924400001"/>
    <n v="489.09999999999997"/>
    <n v="20677.864272450803"/>
    <n v="20677.864272450803"/>
    <n v="0"/>
    <n v="171.44090924400001"/>
    <n v="0"/>
    <n v="0"/>
    <n v="0"/>
    <n v="0"/>
    <n v="20506"/>
    <n v="0"/>
    <n v="0"/>
    <n v="51"/>
    <n v="0"/>
    <n v="174.19189823493599"/>
    <n v="70.414285714285725"/>
    <n v="2.4630191804105367E-3"/>
    <n v="22"/>
    <m/>
    <s v="Majhaul"/>
    <m/>
    <n v="0"/>
  </r>
  <r>
    <s v="Munger"/>
    <s v="03-09 Apr"/>
    <n v="1001"/>
    <s v="Majhaul"/>
    <x v="26"/>
    <s v="Mohanpur- Mukesh Kumar"/>
    <s v="vlc"/>
    <s v="Indirect"/>
    <n v="1187"/>
    <n v="45448.179999999993"/>
    <n v="0"/>
    <n v="0"/>
    <n v="0"/>
    <n v="0"/>
    <n v="0"/>
    <n v="0"/>
    <n v="45448.179999999993"/>
    <n v="0"/>
    <n v="0"/>
    <n v="0"/>
    <n v="0"/>
    <n v="0"/>
    <n v="0"/>
    <n v="0"/>
    <n v="0"/>
    <n v="45448.179999999993"/>
    <n v="0"/>
    <n v="0"/>
    <n v="0"/>
    <n v="0"/>
    <n v="0"/>
    <n v="0"/>
    <m/>
    <s v="Majhaul"/>
    <m/>
    <n v="0"/>
  </r>
  <r>
    <s v="Munger"/>
    <s v="03-09 Apr"/>
    <n v="1001"/>
    <s v="Majhaul"/>
    <x v="27"/>
    <s v="Gomukh Sawantpur"/>
    <s v="MPG"/>
    <s v="Direct"/>
    <n v="1388.4"/>
    <n v="53750.470000000008"/>
    <n v="1422.6299999999999"/>
    <n v="53545.968824474665"/>
    <n v="7.1700000000000008"/>
    <n v="267.62857862400006"/>
    <n v="1429.8"/>
    <n v="53813.597403098662"/>
    <n v="53750.470000000008"/>
    <n v="0"/>
    <n v="267.62857862400006"/>
    <n v="63.127403098653303"/>
    <n v="0"/>
    <n v="0"/>
    <n v="0"/>
    <n v="53482"/>
    <n v="0"/>
    <n v="0"/>
    <n v="1"/>
    <n v="0"/>
    <n v="0"/>
    <n v="0"/>
    <n v="-1.174453043827399E-3"/>
    <n v="12"/>
    <m/>
    <s v="Majhaul"/>
    <m/>
    <n v="0"/>
  </r>
  <r>
    <s v="Munger"/>
    <s v="03-09 Apr"/>
    <n v="1001"/>
    <s v="Majhaul"/>
    <x v="28"/>
    <s v="Maida- Ram Kumar"/>
    <s v="vlc"/>
    <s v="Indirect"/>
    <n v="1107.8"/>
    <n v="49558.95"/>
    <n v="0"/>
    <n v="0"/>
    <n v="0"/>
    <n v="0"/>
    <n v="0"/>
    <n v="0"/>
    <n v="49558.95"/>
    <n v="0"/>
    <n v="0"/>
    <n v="0"/>
    <n v="0"/>
    <n v="0"/>
    <n v="0"/>
    <n v="0"/>
    <n v="0"/>
    <n v="49558.95"/>
    <n v="0"/>
    <n v="0"/>
    <n v="0"/>
    <n v="0"/>
    <n v="0"/>
    <n v="0"/>
    <m/>
    <s v="Majhaul"/>
    <m/>
    <n v="0"/>
  </r>
  <r>
    <s v="Munger"/>
    <s v="03-09 Apr"/>
    <n v="1001"/>
    <s v="Majhaul"/>
    <x v="29"/>
    <s v="Gomukh Aure Bikrampur"/>
    <s v="MPG"/>
    <s v="Direct"/>
    <n v="1343.6999999999998"/>
    <n v="55428.800000000003"/>
    <n v="1329.8099999999997"/>
    <n v="56211.574605711299"/>
    <n v="5.4099999999999993"/>
    <n v="218.87913920400001"/>
    <n v="1335.2199999999998"/>
    <n v="56430.453744915299"/>
    <n v="55428.800000000003"/>
    <n v="0"/>
    <n v="218.87913920400001"/>
    <n v="1001.6537449152966"/>
    <n v="0"/>
    <n v="0"/>
    <n v="0"/>
    <n v="55210"/>
    <n v="0"/>
    <n v="0"/>
    <n v="0"/>
    <n v="0"/>
    <n v="0"/>
    <n v="0"/>
    <n v="-1.807099819796381E-2"/>
    <n v="6"/>
    <m/>
    <s v="Majhaul"/>
    <m/>
    <n v="0"/>
  </r>
  <r>
    <s v="Munger"/>
    <s v="03-09 Apr"/>
    <n v="1001"/>
    <s v="Majhaul"/>
    <x v="30"/>
    <s v="Manjhaul- Gulshan Kumar"/>
    <s v="vlc"/>
    <s v="Indirect"/>
    <n v="850.49999999999989"/>
    <n v="33321.32"/>
    <n v="0"/>
    <n v="0"/>
    <n v="0"/>
    <n v="0"/>
    <n v="0"/>
    <n v="0"/>
    <n v="33321.32"/>
    <n v="0"/>
    <n v="0"/>
    <n v="0"/>
    <n v="0"/>
    <n v="0"/>
    <n v="0"/>
    <n v="0"/>
    <n v="0"/>
    <n v="33321.32"/>
    <n v="0"/>
    <n v="0"/>
    <n v="0"/>
    <n v="0"/>
    <n v="0"/>
    <n v="0"/>
    <m/>
    <s v="Majhaul"/>
    <m/>
    <n v="0"/>
  </r>
  <r>
    <s v="Munger"/>
    <s v="03-09 Apr"/>
    <n v="1001"/>
    <s v="Majhaul"/>
    <x v="31"/>
    <s v="Khaira Manjhaul"/>
    <s v="vlc"/>
    <s v="Indirect"/>
    <n v="753.59999999999991"/>
    <n v="28673.37"/>
    <n v="0"/>
    <n v="0"/>
    <n v="0"/>
    <n v="0"/>
    <n v="0"/>
    <n v="0"/>
    <n v="28673.37"/>
    <n v="0"/>
    <n v="0"/>
    <n v="0"/>
    <n v="0"/>
    <n v="0"/>
    <n v="0"/>
    <n v="0"/>
    <n v="0"/>
    <n v="28673.37"/>
    <n v="0"/>
    <n v="0"/>
    <n v="0"/>
    <n v="0"/>
    <n v="0"/>
    <n v="0"/>
    <m/>
    <s v="Majhaul"/>
    <m/>
    <n v="0"/>
  </r>
  <r>
    <s v="Munger"/>
    <s v="03-09 Apr"/>
    <n v="1001"/>
    <s v="Majhaul"/>
    <x v="32"/>
    <s v="Mehda Shahpur"/>
    <s v="vlc"/>
    <s v="Indirect"/>
    <n v="732.4"/>
    <n v="28819.68"/>
    <n v="0"/>
    <n v="0"/>
    <n v="0"/>
    <n v="0"/>
    <n v="0"/>
    <n v="0"/>
    <n v="28819.68"/>
    <n v="0"/>
    <n v="0"/>
    <n v="0"/>
    <n v="0"/>
    <n v="0"/>
    <n v="0"/>
    <n v="0"/>
    <n v="0"/>
    <n v="28819.68"/>
    <n v="0"/>
    <n v="0"/>
    <n v="0"/>
    <n v="0"/>
    <n v="0"/>
    <n v="0"/>
    <m/>
    <s v="Majhaul"/>
    <m/>
    <n v="0"/>
  </r>
  <r>
    <s v="Munger"/>
    <s v="03-09 Apr"/>
    <n v="1058"/>
    <s v="Hasanpur"/>
    <x v="33"/>
    <s v="Gomukh Shobhaipura 02"/>
    <s v="MPG"/>
    <s v="Direct"/>
    <n v="239.40000000000003"/>
    <n v="10165.84"/>
    <n v="231.94"/>
    <n v="10504.137565721951"/>
    <n v="6.8999999999999995"/>
    <n v="289.55211199200005"/>
    <n v="238.84"/>
    <n v="10793.68967771395"/>
    <n v="10165.84"/>
    <n v="0"/>
    <n v="289.55211199200005"/>
    <n v="627.84967771394986"/>
    <n v="0"/>
    <n v="0"/>
    <n v="0"/>
    <n v="9876"/>
    <n v="0"/>
    <n v="0"/>
    <n v="0"/>
    <s v="Release1"/>
    <n v="391.17676725146197"/>
    <n v="34.200000000000003"/>
    <n v="-6.1760727860555531E-2"/>
    <n v="13"/>
    <m/>
    <s v="Hasanpur"/>
    <m/>
    <n v="0"/>
  </r>
  <r>
    <s v="Munger"/>
    <s v="03-09 Apr"/>
    <n v="1001"/>
    <s v="Majhaul"/>
    <x v="34"/>
    <s v="Shri Bhairav Laxmipur"/>
    <s v="MPG"/>
    <s v="Direct"/>
    <n v="434.09999999999997"/>
    <n v="18072.89"/>
    <n v="454.1099999999999"/>
    <n v="19541.956907284279"/>
    <n v="0"/>
    <n v="0"/>
    <n v="454.1099999999999"/>
    <n v="19541.956907284279"/>
    <n v="18072.89"/>
    <n v="0"/>
    <n v="0"/>
    <n v="1469.0669072842793"/>
    <n v="0"/>
    <n v="0"/>
    <n v="0"/>
    <n v="18073"/>
    <n v="0"/>
    <n v="0"/>
    <n v="0"/>
    <n v="0"/>
    <n v="221.40435157797742"/>
    <n v="62.014285714285712"/>
    <n v="-8.1285666392274802E-2"/>
    <n v="10"/>
    <m/>
    <s v="Majhaul"/>
    <m/>
    <n v="0"/>
  </r>
  <r>
    <s v="Munger"/>
    <s v="03-09 Apr"/>
    <n v="1001"/>
    <s v="Majhaul"/>
    <x v="35"/>
    <s v="Goapalpur"/>
    <s v="MPG"/>
    <s v="Direct"/>
    <n v="211.20000000000002"/>
    <n v="7602.4299999999994"/>
    <n v="224.08000000000004"/>
    <n v="8362.4508148510758"/>
    <n v="0"/>
    <n v="0"/>
    <n v="224.08000000000004"/>
    <n v="8362.4508148510758"/>
    <n v="7602.4299999999994"/>
    <n v="0"/>
    <n v="0"/>
    <n v="760.02081485107647"/>
    <n v="0"/>
    <n v="0"/>
    <n v="0"/>
    <n v="7602"/>
    <n v="0"/>
    <n v="0"/>
    <n v="0"/>
    <n v="0"/>
    <n v="351.90035833333326"/>
    <n v="30.171428571428574"/>
    <n v="-9.9970774456466752E-2"/>
    <n v="9"/>
    <m/>
    <s v="Majhaul"/>
    <m/>
    <n v="0"/>
  </r>
  <r>
    <s v="Munger"/>
    <s v="03-09 Apr"/>
    <n v="1001"/>
    <s v="Majhaul"/>
    <x v="36"/>
    <s v="Gomukh Akaha"/>
    <s v="MPG"/>
    <s v="Direct"/>
    <n v="115.89999999999999"/>
    <n v="4043.5899999999997"/>
    <n v="115.3"/>
    <n v="4028.33337093"/>
    <n v="0"/>
    <n v="0"/>
    <n v="115.3"/>
    <n v="4028.33337093"/>
    <n v="4028.33337093"/>
    <n v="0"/>
    <n v="0"/>
    <n v="0"/>
    <n v="0"/>
    <n v="0"/>
    <n v="0"/>
    <n v="4028"/>
    <n v="0"/>
    <n v="0"/>
    <n v="16"/>
    <n v="0"/>
    <n v="407.56875220017253"/>
    <n v="16.557142857142857"/>
    <n v="3.7730405580189115E-3"/>
    <n v="1"/>
    <m/>
    <s v="Majhaul"/>
    <m/>
    <n v="0"/>
  </r>
  <r>
    <s v="Munger"/>
    <s v="03-09 Apr"/>
    <n v="1001"/>
    <s v="Majhaul"/>
    <x v="37"/>
    <s v="Gomukh Rajakpur"/>
    <s v="MPG"/>
    <s v="Direct"/>
    <n v="47.1"/>
    <n v="1576.0599999999997"/>
    <n v="47.32"/>
    <n v="1703.4430703993999"/>
    <n v="0.18"/>
    <n v="6.6838618044000002"/>
    <n v="47.5"/>
    <n v="1710.1269322037999"/>
    <n v="1576.0599999999997"/>
    <n v="0"/>
    <n v="6.6838618044000002"/>
    <n v="134.06693220380021"/>
    <n v="0"/>
    <n v="0"/>
    <n v="0"/>
    <n v="1569"/>
    <n v="0"/>
    <n v="0"/>
    <n v="0"/>
    <n v="0"/>
    <n v="436.94674055201688"/>
    <n v="6.7285714285714286"/>
    <n v="-8.5064611882669589E-2"/>
    <n v="4"/>
    <m/>
    <s v="Majhaul"/>
    <m/>
    <n v="0"/>
  </r>
  <r>
    <s v="Munger"/>
    <s v="03-09 Apr"/>
    <n v="1001"/>
    <s v="Majhaul"/>
    <x v="38"/>
    <s v="Gomukh Mohanpur"/>
    <s v="MPG"/>
    <s v="Direct"/>
    <n v="285.20000000000005"/>
    <n v="11442.660000000002"/>
    <n v="263.74"/>
    <n v="11419.423160136901"/>
    <n v="0.26"/>
    <n v="8.0310859200000007"/>
    <n v="264"/>
    <n v="11427.454246056901"/>
    <n v="11427.454246056901"/>
    <n v="0"/>
    <n v="8.0310859200000007"/>
    <n v="0"/>
    <n v="0"/>
    <n v="0"/>
    <n v="0"/>
    <n v="11420"/>
    <n v="0"/>
    <n v="0"/>
    <n v="15"/>
    <n v="0"/>
    <n v="332.84820252454409"/>
    <n v="40.742857142857147"/>
    <n v="1.3288653113087967E-3"/>
    <n v="8"/>
    <m/>
    <s v="Majhaul"/>
    <m/>
    <n v="0"/>
  </r>
  <r>
    <s v="Munger"/>
    <s v="03-09 Apr"/>
    <n v="1001"/>
    <s v="Majhaul"/>
    <x v="39"/>
    <s v="Gomukh Chakka"/>
    <s v="MPG"/>
    <s v="Direct"/>
    <n v="80.600000000000009"/>
    <n v="3097.7000000000007"/>
    <n v="78.13"/>
    <n v="3085.9325696902724"/>
    <n v="0"/>
    <n v="0"/>
    <n v="78.13"/>
    <n v="3085.9325696902724"/>
    <n v="3085.9325696902724"/>
    <n v="0"/>
    <n v="0"/>
    <n v="0"/>
    <n v="0"/>
    <n v="0"/>
    <n v="0"/>
    <n v="3086"/>
    <n v="0"/>
    <n v="0"/>
    <n v="12"/>
    <n v="0"/>
    <n v="476.10803473945418"/>
    <n v="11.514285714285716"/>
    <n v="3.7987636987856458E-3"/>
    <n v="2"/>
    <m/>
    <s v="Majhaul"/>
    <m/>
    <n v="0"/>
  </r>
  <r>
    <s v="Munger"/>
    <s v="03-09 Apr"/>
    <n v="1001"/>
    <s v="Majhaul"/>
    <x v="40"/>
    <s v="Gomukh Meghaul-02"/>
    <s v="MPG"/>
    <s v="Direct"/>
    <n v="151.69999999999999"/>
    <n v="5553.88"/>
    <n v="147.37999999999997"/>
    <n v="5292.4834742076009"/>
    <n v="0"/>
    <n v="0"/>
    <n v="147.37999999999997"/>
    <n v="5292.4834742076009"/>
    <n v="5292.4834742076009"/>
    <n v="0"/>
    <n v="0"/>
    <n v="0"/>
    <n v="0"/>
    <n v="0"/>
    <n v="0"/>
    <n v="5292"/>
    <n v="0"/>
    <n v="0"/>
    <n v="262"/>
    <n v="0"/>
    <n v="401.47559709953856"/>
    <n v="21.671428571428571"/>
    <n v="4.7065569618428768E-2"/>
    <n v="2"/>
    <m/>
    <s v="Majhaul"/>
    <m/>
    <n v="0"/>
  </r>
  <r>
    <s v="Munger"/>
    <s v="03-09 Apr"/>
    <n v="1001"/>
    <s v="Majhaul"/>
    <x v="953"/>
    <s v="Gomukh Meida"/>
    <s v="MPG"/>
    <s v="Direct"/>
    <n v="103.10000000000001"/>
    <n v="3910.7700000000004"/>
    <n v="104.6"/>
    <n v="3984.4924812000008"/>
    <n v="0"/>
    <n v="0"/>
    <n v="104.6"/>
    <n v="3984.4924812000008"/>
    <n v="3910.7700000000004"/>
    <n v="0"/>
    <n v="0"/>
    <n v="73.722481200000402"/>
    <n v="0"/>
    <n v="0"/>
    <n v="0"/>
    <n v="3911"/>
    <n v="0"/>
    <n v="0"/>
    <n v="0"/>
    <n v="0"/>
    <n v="452.82999282250245"/>
    <n v="14.72857142857143"/>
    <n v="-1.8851142153591339E-2"/>
    <n v="1"/>
    <m/>
    <s v="Majhaul"/>
    <m/>
    <n v="0"/>
  </r>
  <r>
    <s v="Munger"/>
    <s v="03-09 Apr"/>
    <n v="1002"/>
    <s v="Laldiyara"/>
    <x v="41"/>
    <s v="PIPARIYA DIH -2"/>
    <s v="MPG"/>
    <s v="Direct"/>
    <n v="2980.6000000000004"/>
    <n v="130858.98000000001"/>
    <n v="1487.6"/>
    <n v="62743.114621597"/>
    <n v="1494.4"/>
    <n v="68961.394297544015"/>
    <n v="2982"/>
    <n v="131704.50891914102"/>
    <n v="130858.98000000001"/>
    <n v="0"/>
    <n v="1137.4230302630001"/>
    <n v="845.52891914101201"/>
    <n v="0"/>
    <n v="0"/>
    <n v="0"/>
    <n v="61898"/>
    <n v="67824"/>
    <n v="0"/>
    <n v="0"/>
    <n v="0"/>
    <n v="0"/>
    <n v="0"/>
    <n v="-6.4613748260991481E-3"/>
    <n v="12"/>
    <m/>
    <s v="Laldiyara"/>
    <m/>
    <n v="0"/>
  </r>
  <r>
    <s v="Munger"/>
    <s v="03-09 Apr"/>
    <n v="1002"/>
    <s v="Laldiyara"/>
    <x v="42"/>
    <s v="LAL DIYARA -1"/>
    <s v="MPG"/>
    <s v="Direct"/>
    <n v="571.49999999999989"/>
    <n v="22147.039999999997"/>
    <n v="567.20000000000005"/>
    <n v="21994.730350560003"/>
    <n v="0"/>
    <n v="0"/>
    <n v="567.20000000000005"/>
    <n v="21994.730350560003"/>
    <n v="21994.730350560003"/>
    <n v="0"/>
    <n v="0"/>
    <n v="0"/>
    <n v="0"/>
    <n v="0"/>
    <n v="0"/>
    <n v="21995"/>
    <n v="0"/>
    <n v="0"/>
    <n v="152"/>
    <n v="0"/>
    <n v="99.593863167104217"/>
    <n v="81.642857142857125"/>
    <n v="6.8772011718041901E-3"/>
    <n v="1"/>
    <m/>
    <s v="Laldiyara"/>
    <m/>
    <n v="0"/>
  </r>
  <r>
    <s v="Munger"/>
    <s v="03-09 Apr"/>
    <n v="1002"/>
    <s v="Laldiyara"/>
    <x v="43"/>
    <s v="GANGA KINARE KHUTHA"/>
    <s v="vlc"/>
    <s v="Indirect"/>
    <n v="223"/>
    <n v="8721.8700000000008"/>
    <n v="0"/>
    <n v="0"/>
    <n v="0"/>
    <n v="0"/>
    <n v="0"/>
    <n v="0"/>
    <n v="8721.8700000000008"/>
    <n v="0"/>
    <n v="0"/>
    <n v="0"/>
    <n v="0"/>
    <n v="0"/>
    <n v="0"/>
    <n v="0"/>
    <n v="0"/>
    <n v="8721.8700000000008"/>
    <n v="0"/>
    <n v="0"/>
    <n v="373.12394529147986"/>
    <n v="31.857142857142858"/>
    <n v="0"/>
    <n v="0"/>
    <m/>
    <s v="Laldiyara"/>
    <m/>
    <n v="0"/>
  </r>
  <r>
    <s v="Munger"/>
    <s v="03-09 Apr"/>
    <n v="1002"/>
    <s v="Laldiyara"/>
    <x v="44"/>
    <s v="Gomukh ID Khutaha Ganga"/>
    <s v="vlc"/>
    <s v="Indirect"/>
    <n v="820.09999999999991"/>
    <n v="33924.480000000003"/>
    <n v="0"/>
    <n v="0"/>
    <n v="0"/>
    <n v="0"/>
    <n v="0"/>
    <n v="0"/>
    <n v="33924.480000000003"/>
    <n v="0"/>
    <n v="0"/>
    <n v="0"/>
    <n v="0"/>
    <n v="0"/>
    <n v="0"/>
    <n v="0"/>
    <n v="0"/>
    <n v="33924.480000000003"/>
    <n v="0"/>
    <n v="0"/>
    <n v="0"/>
    <n v="0"/>
    <n v="0"/>
    <n v="0"/>
    <m/>
    <s v="Laldiyara"/>
    <m/>
    <n v="0"/>
  </r>
  <r>
    <s v="Munger"/>
    <s v="03-09 Apr"/>
    <n v="1002"/>
    <s v="Laldiyara"/>
    <x v="45"/>
    <s v="Gomukh ID Khutaha Dhih"/>
    <s v="vlc"/>
    <s v="Indirect"/>
    <n v="2926.9000000000005"/>
    <n v="120820.96"/>
    <n v="0"/>
    <n v="0"/>
    <n v="0"/>
    <n v="0"/>
    <n v="0"/>
    <n v="0"/>
    <n v="120820.96"/>
    <n v="0"/>
    <n v="0"/>
    <n v="0"/>
    <n v="0"/>
    <n v="0"/>
    <n v="0"/>
    <n v="0"/>
    <n v="0"/>
    <n v="120820.96"/>
    <n v="0"/>
    <n v="0"/>
    <n v="0"/>
    <n v="0"/>
    <n v="0"/>
    <n v="0"/>
    <m/>
    <s v="Laldiyara"/>
    <m/>
    <n v="0"/>
  </r>
  <r>
    <s v="Munger"/>
    <s v="03-09 Apr"/>
    <n v="1002"/>
    <s v="Laldiyara"/>
    <x v="46"/>
    <s v="GOMUKH RAHATPUR"/>
    <s v="MPG"/>
    <s v="Direct"/>
    <n v="501.5"/>
    <n v="18879.16"/>
    <n v="511.1"/>
    <n v="19887.957559800001"/>
    <n v="1.4"/>
    <n v="52.326303480000007"/>
    <n v="512.5"/>
    <n v="19940.283863280001"/>
    <n v="18879.16"/>
    <n v="0"/>
    <n v="52.326303480000007"/>
    <n v="1061.1238632800014"/>
    <n v="0"/>
    <n v="0"/>
    <n v="0"/>
    <n v="18827"/>
    <n v="0"/>
    <n v="0"/>
    <n v="0"/>
    <n v="0"/>
    <n v="149.45217387836493"/>
    <n v="71.642857142857139"/>
    <n v="-5.6206095148301161E-2"/>
    <n v="4"/>
    <m/>
    <s v="Laldiyara"/>
    <m/>
    <n v="0"/>
  </r>
  <r>
    <s v="Munger"/>
    <s v="03-09 Apr"/>
    <n v="1002"/>
    <s v="Laldiyara"/>
    <x v="954"/>
    <s v="KANHAIYA YADAV"/>
    <s v="vlc"/>
    <s v="Indirect"/>
    <n v="269.2"/>
    <n v="11594.77"/>
    <n v="0"/>
    <n v="0"/>
    <n v="0"/>
    <n v="0"/>
    <n v="0"/>
    <n v="0"/>
    <n v="11594.77"/>
    <n v="0"/>
    <n v="0"/>
    <n v="0"/>
    <n v="0"/>
    <n v="0"/>
    <n v="0"/>
    <n v="0"/>
    <n v="0"/>
    <n v="11594.77"/>
    <n v="0"/>
    <n v="0"/>
    <n v="371.10155393759294"/>
    <n v="38.457142857142856"/>
    <n v="0"/>
    <n v="0"/>
    <m/>
    <s v="Laldiyara"/>
    <m/>
    <n v="0"/>
  </r>
  <r>
    <s v="Munger"/>
    <s v="03-09 Apr"/>
    <n v="1002"/>
    <s v="Laldiyara"/>
    <x v="47"/>
    <s v="Vikash Kumar"/>
    <s v="vlc"/>
    <s v="Indirect"/>
    <n v="476.80000000000007"/>
    <n v="21083.360000000004"/>
    <n v="0"/>
    <n v="0"/>
    <n v="0"/>
    <n v="0"/>
    <n v="0"/>
    <n v="0"/>
    <n v="21083.360000000004"/>
    <n v="0"/>
    <n v="0"/>
    <n v="0"/>
    <n v="0"/>
    <n v="0"/>
    <n v="0"/>
    <n v="0"/>
    <n v="0"/>
    <n v="21083.360000000004"/>
    <n v="0"/>
    <n v="0"/>
    <n v="197.39118926174487"/>
    <n v="68.114285714285728"/>
    <n v="0"/>
    <n v="0"/>
    <m/>
    <s v="Laldiyara"/>
    <m/>
    <n v="0"/>
  </r>
  <r>
    <s v="Munger"/>
    <s v="03-09 Apr"/>
    <n v="1002"/>
    <s v="Laldiyara"/>
    <x v="48"/>
    <s v="WALIPUR 2"/>
    <s v="vlc"/>
    <s v="Indirect"/>
    <n v="14"/>
    <n v="546.98"/>
    <n v="0"/>
    <n v="0"/>
    <n v="0"/>
    <n v="0"/>
    <n v="0"/>
    <n v="0"/>
    <n v="546.98"/>
    <n v="0"/>
    <n v="0"/>
    <n v="0"/>
    <n v="0"/>
    <n v="0"/>
    <n v="0"/>
    <n v="0"/>
    <n v="0"/>
    <n v="546.98"/>
    <n v="0"/>
    <n v="0"/>
    <n v="536.04039999999998"/>
    <n v="2"/>
    <n v="0"/>
    <n v="0"/>
    <m/>
    <s v="Laldiyara"/>
    <m/>
    <n v="0"/>
  </r>
  <r>
    <s v="Munger"/>
    <s v="03-09 Apr"/>
    <n v="1002"/>
    <s v="Laldiyara"/>
    <x v="49"/>
    <s v="GOMUKH  LALDIYARA TIRASHI                                                                           "/>
    <s v="vlc"/>
    <s v="Indirect"/>
    <n v="31971.500000000004"/>
    <n v="1125024.81"/>
    <n v="0"/>
    <n v="0"/>
    <n v="0"/>
    <n v="0"/>
    <n v="0"/>
    <n v="0"/>
    <n v="1125024.81"/>
    <n v="0"/>
    <n v="0"/>
    <n v="0"/>
    <n v="0"/>
    <n v="0"/>
    <n v="0"/>
    <n v="0"/>
    <n v="0"/>
    <n v="1125024.81"/>
    <n v="0"/>
    <n v="0"/>
    <n v="0"/>
    <n v="0"/>
    <n v="0"/>
    <n v="0"/>
    <m/>
    <s v="Laldiyara"/>
    <m/>
    <n v="0"/>
  </r>
  <r>
    <s v="Munger"/>
    <s v="03-09 Apr"/>
    <n v="1002"/>
    <s v="Laldiyara"/>
    <x v="50"/>
    <s v="GOMUKH  LALDIYARA PURBI"/>
    <s v="vlc"/>
    <s v="Indirect"/>
    <n v="33274"/>
    <n v="1174471.49"/>
    <n v="0"/>
    <n v="0"/>
    <n v="0"/>
    <n v="0"/>
    <n v="0"/>
    <n v="0"/>
    <n v="1174471.49"/>
    <n v="0"/>
    <n v="0"/>
    <n v="0"/>
    <n v="0"/>
    <n v="0"/>
    <n v="0"/>
    <n v="0"/>
    <n v="0"/>
    <n v="1174471.49"/>
    <n v="0"/>
    <n v="0"/>
    <n v="0"/>
    <n v="0"/>
    <n v="0"/>
    <n v="0"/>
    <m/>
    <s v="Laldiyara"/>
    <m/>
    <n v="0"/>
  </r>
  <r>
    <s v="Munger"/>
    <s v="03-09 Apr"/>
    <n v="1002"/>
    <s v="Laldiyara"/>
    <x v="51"/>
    <s v="GOMUKH RAMCHANDARPUR II"/>
    <s v="MPG"/>
    <s v="Direct"/>
    <n v="6017.0999999999995"/>
    <n v="264388.39"/>
    <n v="7533.1999999999989"/>
    <n v="265533.74302400125"/>
    <n v="40.9"/>
    <n v="1781.6493499200005"/>
    <n v="7574.0999999999985"/>
    <n v="267315.39237392123"/>
    <n v="264388.39"/>
    <n v="0"/>
    <n v="1781.6493499200005"/>
    <n v="2927.0023739212193"/>
    <n v="0"/>
    <n v="0"/>
    <n v="0"/>
    <n v="262607"/>
    <n v="0"/>
    <n v="0"/>
    <n v="0"/>
    <s v="Release1"/>
    <n v="0"/>
    <n v="0"/>
    <n v="-1.1070843065087764E-2"/>
    <n v="67"/>
    <m/>
    <s v="Laldiyara"/>
    <m/>
    <n v="0"/>
  </r>
  <r>
    <s v="Munger"/>
    <s v="03-09 Apr"/>
    <n v="1002"/>
    <s v="Laldiyara"/>
    <x v="52"/>
    <s v="WAKIL YADAV VLC"/>
    <s v="vlc"/>
    <s v="Indirect"/>
    <n v="480.1"/>
    <n v="24145.93"/>
    <n v="0"/>
    <n v="0"/>
    <n v="0"/>
    <n v="0"/>
    <n v="0"/>
    <n v="0"/>
    <n v="24145.93"/>
    <n v="0"/>
    <n v="0"/>
    <n v="0"/>
    <n v="0"/>
    <n v="0"/>
    <n v="0"/>
    <n v="0"/>
    <n v="0"/>
    <n v="24145.93"/>
    <n v="0"/>
    <n v="0"/>
    <n v="221.19100216621533"/>
    <n v="68.585714285714289"/>
    <n v="0"/>
    <n v="0"/>
    <m/>
    <s v="Laldiyara"/>
    <m/>
    <n v="0"/>
  </r>
  <r>
    <s v="Munger"/>
    <s v="03-09 Apr"/>
    <n v="1002"/>
    <s v="Laldiyara"/>
    <x v="53"/>
    <s v="MUKTAR YADAV"/>
    <s v="vlc"/>
    <s v="Indirect"/>
    <n v="61.8"/>
    <n v="2452.79"/>
    <n v="0"/>
    <n v="0"/>
    <n v="0"/>
    <n v="0"/>
    <n v="0"/>
    <n v="0"/>
    <n v="2452.79"/>
    <n v="0"/>
    <n v="0"/>
    <n v="0"/>
    <n v="0"/>
    <n v="0"/>
    <n v="0"/>
    <n v="0"/>
    <n v="0"/>
    <n v="2452.79"/>
    <n v="0"/>
    <n v="0"/>
    <n v="506.59242006472493"/>
    <n v="8.8285714285714274"/>
    <n v="0"/>
    <n v="0"/>
    <m/>
    <s v="Laldiyara"/>
    <m/>
    <n v="0"/>
  </r>
  <r>
    <s v="Munger"/>
    <s v="03-09 Apr"/>
    <n v="1002"/>
    <s v="Laldiyara"/>
    <x v="54"/>
    <s v="MOHANPUR"/>
    <s v="MPG"/>
    <s v="Direct"/>
    <n v="4744.2"/>
    <n v="213049.25000000006"/>
    <n v="4230.8999999999996"/>
    <n v="188337.68106838997"/>
    <n v="579.6"/>
    <n v="24460.2765892397"/>
    <n v="4810.5"/>
    <n v="212797.95765762968"/>
    <n v="212797.95765762968"/>
    <n v="0"/>
    <n v="1887.8071291200001"/>
    <n v="0"/>
    <n v="0"/>
    <n v="0"/>
    <n v="0"/>
    <n v="188338"/>
    <n v="22572"/>
    <n v="0"/>
    <n v="251"/>
    <n v="0"/>
    <n v="0"/>
    <n v="0"/>
    <n v="1.179503529678588E-3"/>
    <n v="33"/>
    <m/>
    <s v="Laldiyara"/>
    <m/>
    <n v="0"/>
  </r>
  <r>
    <s v="Munger"/>
    <s v="03-09 Apr"/>
    <n v="1002"/>
    <s v="Laldiyara"/>
    <x v="55"/>
    <s v="Juwas"/>
    <s v="MPG"/>
    <s v="Direct"/>
    <n v="966.8"/>
    <n v="36791.07"/>
    <n v="938.30000000000007"/>
    <n v="35211.523500896757"/>
    <n v="9.2999999999999989"/>
    <n v="340.62944949000007"/>
    <n v="947.6"/>
    <n v="35552.152950386757"/>
    <n v="35552.152950386757"/>
    <n v="0"/>
    <n v="340.62944949000007"/>
    <n v="0"/>
    <n v="0"/>
    <n v="0"/>
    <n v="0"/>
    <n v="35212"/>
    <n v="0"/>
    <n v="0"/>
    <n v="1238"/>
    <n v="0"/>
    <n v="0"/>
    <n v="0"/>
    <n v="3.3674395705622119E-2"/>
    <n v="25"/>
    <m/>
    <s v="Laldiyara"/>
    <m/>
    <n v="0"/>
  </r>
  <r>
    <s v="Munger"/>
    <s v="03-09 Apr"/>
    <n v="1002"/>
    <s v="Laldiyara"/>
    <x v="56"/>
    <s v="Morwariya"/>
    <s v="MPG"/>
    <s v="Direct"/>
    <n v="4002.2999999999997"/>
    <n v="167867.61000000002"/>
    <n v="4011.3599999999992"/>
    <n v="170843.54693304643"/>
    <n v="0"/>
    <n v="0"/>
    <n v="4011.3599999999992"/>
    <n v="170843.54693304643"/>
    <n v="167867.61000000002"/>
    <n v="0"/>
    <n v="0"/>
    <n v="2975.9369330464106"/>
    <n v="0"/>
    <n v="0"/>
    <n v="0"/>
    <n v="167867"/>
    <n v="0"/>
    <n v="0"/>
    <n v="1"/>
    <s v="Release1"/>
    <n v="0"/>
    <n v="0"/>
    <n v="-1.7727880518739799E-2"/>
    <n v="77"/>
    <m/>
    <s v="Laldiyara"/>
    <m/>
    <n v="0"/>
  </r>
  <r>
    <s v="Munger"/>
    <s v="03-09 Apr"/>
    <n v="1002"/>
    <s v="Laldiyara"/>
    <x v="57"/>
    <s v="Dumri 2"/>
    <s v="MPG"/>
    <s v="Direct"/>
    <n v="1379.5000000000002"/>
    <n v="52961.65"/>
    <n v="1366.1"/>
    <n v="53435.953004579605"/>
    <n v="4.84"/>
    <n v="188.28509681520001"/>
    <n v="1370.9399999999998"/>
    <n v="53624.238101394803"/>
    <n v="52961.65"/>
    <n v="0"/>
    <n v="188.28509681520001"/>
    <n v="662.58810139480192"/>
    <n v="0"/>
    <n v="0"/>
    <n v="0"/>
    <n v="52773"/>
    <n v="0"/>
    <n v="0"/>
    <n v="0"/>
    <n v="0"/>
    <n v="0"/>
    <n v="0"/>
    <n v="-1.2510714854895985E-2"/>
    <n v="17"/>
    <m/>
    <s v="Laldiyara"/>
    <m/>
    <n v="0"/>
  </r>
  <r>
    <s v="Munger"/>
    <s v="03-09 Apr"/>
    <n v="1002"/>
    <s v="Laldiyara"/>
    <x v="58"/>
    <s v="Gomukh Jhakhaur"/>
    <s v="MPG"/>
    <s v="Direct"/>
    <n v="762.59999999999991"/>
    <n v="30706.949999999997"/>
    <n v="750.95"/>
    <n v="30370.05505101426"/>
    <n v="2.09"/>
    <n v="81.947863404000003"/>
    <n v="753.04000000000008"/>
    <n v="30452.002914418259"/>
    <n v="30452.002914418259"/>
    <n v="0"/>
    <n v="81.947863404000003"/>
    <n v="0"/>
    <n v="0"/>
    <n v="0"/>
    <n v="0"/>
    <n v="30371"/>
    <n v="0"/>
    <n v="0"/>
    <n v="254"/>
    <n v="0"/>
    <n v="0"/>
    <n v="0"/>
    <n v="8.3025857527933601E-3"/>
    <n v="5"/>
    <m/>
    <s v="Laldiyara"/>
    <m/>
    <n v="0"/>
  </r>
  <r>
    <s v="Munger"/>
    <s v="03-09 Apr"/>
    <n v="1002"/>
    <s v="Laldiyara"/>
    <x v="59"/>
    <s v="Gomukh Repura"/>
    <s v="MPG"/>
    <s v="Direct"/>
    <n v="275.10000000000002"/>
    <n v="10644.519999999999"/>
    <n v="275.10000000000002"/>
    <n v="10663.411568040003"/>
    <n v="0"/>
    <n v="0"/>
    <n v="275.10000000000002"/>
    <n v="10663.411568040003"/>
    <n v="10644.519999999999"/>
    <n v="0"/>
    <n v="0"/>
    <n v="18.891568040004131"/>
    <n v="0"/>
    <n v="0"/>
    <n v="0"/>
    <n v="10645"/>
    <n v="0"/>
    <n v="0"/>
    <n v="0"/>
    <n v="0"/>
    <n v="328.81545241730277"/>
    <n v="39.300000000000004"/>
    <n v="-1.7747693686520514E-3"/>
    <n v="1"/>
    <m/>
    <s v="Laldiyara"/>
    <m/>
    <n v="0"/>
  </r>
  <r>
    <s v="Munger"/>
    <s v="03-09 Apr"/>
    <n v="1002"/>
    <s v="Laldiyara"/>
    <x v="60"/>
    <s v="Gomukh Virupur"/>
    <s v="MPG"/>
    <s v="Direct"/>
    <n v="316.09999999999997"/>
    <n v="12720.78"/>
    <n v="319.86999999999995"/>
    <n v="12570.312293886604"/>
    <n v="2.33"/>
    <n v="91.209269448000015"/>
    <n v="322.19999999999993"/>
    <n v="12661.521563334603"/>
    <n v="12661.521563334603"/>
    <n v="0"/>
    <n v="91.209269448000015"/>
    <n v="0"/>
    <n v="0"/>
    <n v="0"/>
    <n v="0"/>
    <n v="12571"/>
    <n v="0"/>
    <n v="0"/>
    <n v="59"/>
    <n v="0"/>
    <n v="308.98496944005069"/>
    <n v="45.157142857142851"/>
    <n v="4.6583964713954101E-3"/>
    <n v="8"/>
    <m/>
    <s v="Laldiyara"/>
    <m/>
    <n v="0"/>
  </r>
  <r>
    <s v="Munger"/>
    <s v="03-09 Apr"/>
    <n v="1002"/>
    <s v="Laldiyara"/>
    <x v="61"/>
    <s v="Gomukh Diyarapipariya                                                                               "/>
    <s v="MPG"/>
    <s v="Direct"/>
    <n v="1287.0999999999999"/>
    <n v="55256.369999999995"/>
    <n v="1272.4199999999998"/>
    <n v="54615.356818736982"/>
    <n v="13.330000000000002"/>
    <n v="583.42809935256003"/>
    <n v="1285.7499999999998"/>
    <n v="55198.784918089543"/>
    <n v="55198.784918089543"/>
    <n v="0"/>
    <n v="583.42809935256003"/>
    <n v="0"/>
    <n v="0"/>
    <n v="0"/>
    <n v="0"/>
    <n v="54616"/>
    <n v="0"/>
    <n v="0"/>
    <n v="57"/>
    <n v="0"/>
    <n v="0"/>
    <n v="0"/>
    <n v="1.0421437729342803E-3"/>
    <n v="20"/>
    <m/>
    <s v="Laldiyara"/>
    <m/>
    <n v="0"/>
  </r>
  <r>
    <s v="Munger"/>
    <s v="03-09 Apr"/>
    <n v="1002"/>
    <s v="Laldiyara"/>
    <x v="62"/>
    <s v="TAJPUR"/>
    <s v="MPG"/>
    <s v="Direct"/>
    <n v="877.30000000000007"/>
    <n v="37655.25"/>
    <n v="861.56000000000006"/>
    <n v="35858.078514212946"/>
    <n v="11.379999999999999"/>
    <n v="444.47244613200007"/>
    <n v="872.94"/>
    <n v="36302.550960344946"/>
    <n v="36302.550960344946"/>
    <n v="0"/>
    <n v="444.47244613200007"/>
    <n v="0"/>
    <n v="0"/>
    <n v="0"/>
    <n v="0"/>
    <n v="35859"/>
    <n v="0"/>
    <n v="0"/>
    <n v="1352"/>
    <n v="0"/>
    <n v="0"/>
    <n v="0"/>
    <n v="3.5923252126995667E-2"/>
    <n v="28"/>
    <m/>
    <s v="Laldiyara"/>
    <m/>
    <n v="0"/>
  </r>
  <r>
    <s v="Munger"/>
    <s v="03-09 Apr"/>
    <n v="1002"/>
    <s v="Laldiyara"/>
    <x v="63"/>
    <s v="PATHUA"/>
    <s v="MPG"/>
    <s v="Direct"/>
    <n v="1269.9000000000001"/>
    <n v="55385.629999999983"/>
    <n v="1247.8"/>
    <n v="55764.875026036003"/>
    <n v="49"/>
    <n v="1994.3726882820004"/>
    <n v="1296.8"/>
    <n v="57759.247714318"/>
    <n v="55385.629999999983"/>
    <n v="0"/>
    <n v="889.50140428200018"/>
    <n v="2373.6177143180175"/>
    <n v="0"/>
    <n v="0"/>
    <n v="0"/>
    <n v="53391"/>
    <n v="1105"/>
    <n v="0"/>
    <n v="0"/>
    <n v="0"/>
    <n v="0"/>
    <n v="0"/>
    <n v="-4.2856201406719002E-2"/>
    <n v="7"/>
    <m/>
    <s v="Laldiyara"/>
    <m/>
    <n v="0"/>
  </r>
  <r>
    <s v="Munger"/>
    <s v="03-09 Apr"/>
    <n v="1002"/>
    <s v="Laldiyara"/>
    <x v="64"/>
    <s v="LODIYA"/>
    <s v="MPG"/>
    <s v="Direct"/>
    <n v="265.70000000000005"/>
    <n v="10957.359999999999"/>
    <n v="260.09000000000003"/>
    <n v="10767.779436171502"/>
    <n v="3.67"/>
    <n v="151.64308170000001"/>
    <n v="263.76000000000005"/>
    <n v="10919.422517871502"/>
    <n v="10919.422517871502"/>
    <n v="0"/>
    <n v="151.64308170000001"/>
    <n v="0"/>
    <n v="0"/>
    <n v="500"/>
    <n v="0"/>
    <n v="10269"/>
    <n v="0"/>
    <n v="0"/>
    <n v="37"/>
    <n v="0"/>
    <n v="358.20710937147146"/>
    <n v="37.957142857142863"/>
    <n v="3.4622830799112578E-3"/>
    <n v="7"/>
    <m/>
    <s v="Laldiyara"/>
    <m/>
    <n v="500"/>
  </r>
  <r>
    <s v="Munger"/>
    <s v="03-09 Apr"/>
    <n v="1002"/>
    <s v="Laldiyara"/>
    <x v="65"/>
    <s v="ADARSH LAXMIPUR-3"/>
    <s v="MPG"/>
    <s v="Direct"/>
    <n v="312"/>
    <n v="13273.68"/>
    <n v="316.27"/>
    <n v="13588.13028305706"/>
    <n v="0"/>
    <n v="0"/>
    <n v="316.27"/>
    <n v="13588.13028305706"/>
    <n v="13273.68"/>
    <n v="0"/>
    <n v="0"/>
    <n v="314.45028305706001"/>
    <n v="0"/>
    <n v="500"/>
    <n v="0"/>
    <n v="12773"/>
    <n v="0"/>
    <n v="0"/>
    <n v="1"/>
    <n v="0"/>
    <n v="330.14024615384619"/>
    <n v="44.571428571428569"/>
    <n v="-2.3689759211993962E-2"/>
    <n v="5"/>
    <m/>
    <s v="Laldiyara"/>
    <m/>
    <n v="500"/>
  </r>
  <r>
    <s v="Munger"/>
    <s v="03-09 Apr"/>
    <n v="1002"/>
    <s v="Laldiyara"/>
    <x v="66"/>
    <s v="BHANPUR"/>
    <s v="MPG"/>
    <s v="Direct"/>
    <n v="427.30000000000007"/>
    <n v="16133.9"/>
    <n v="427.29999999999995"/>
    <n v="16152.160135320002"/>
    <n v="0"/>
    <n v="0"/>
    <n v="427.29999999999995"/>
    <n v="16152.160135320002"/>
    <n v="16133.9"/>
    <n v="0"/>
    <n v="0"/>
    <n v="18.260135320002519"/>
    <n v="0"/>
    <n v="500"/>
    <n v="0"/>
    <n v="15634"/>
    <n v="0"/>
    <n v="0"/>
    <n v="0"/>
    <n v="0"/>
    <n v="205.93093985490279"/>
    <n v="61.042857142857152"/>
    <n v="-1.1317868165789126E-3"/>
    <n v="1"/>
    <m/>
    <s v="Laldiyara"/>
    <m/>
    <n v="500"/>
  </r>
  <r>
    <s v="Munger"/>
    <s v="03-09 Apr"/>
    <n v="1002"/>
    <s v="Laldiyara"/>
    <x v="67"/>
    <s v="Karari Pipariya 2"/>
    <s v="MPG"/>
    <s v="Direct"/>
    <n v="1224.8"/>
    <n v="54122.96"/>
    <n v="1212.23"/>
    <n v="53853.576231795647"/>
    <n v="9.0399999999999991"/>
    <n v="395.57587443300008"/>
    <n v="1221.27"/>
    <n v="54249.152106228648"/>
    <n v="54122.96"/>
    <n v="0"/>
    <n v="395.57587443300008"/>
    <n v="126.19210622864921"/>
    <n v="0"/>
    <n v="0"/>
    <n v="0"/>
    <n v="53727"/>
    <n v="0"/>
    <n v="0"/>
    <n v="0"/>
    <n v="0"/>
    <n v="0"/>
    <n v="0"/>
    <n v="-2.3315817580680954E-3"/>
    <n v="9"/>
    <m/>
    <s v="Laldiyara"/>
    <m/>
    <n v="0"/>
  </r>
  <r>
    <s v="Munger"/>
    <s v="03-09 Apr"/>
    <n v="1002"/>
    <s v="Laldiyara"/>
    <x v="68"/>
    <s v="DIYARA PIPARIYA-THANA                                                                               "/>
    <s v="MPG"/>
    <s v="Direct"/>
    <n v="1215.8000000000002"/>
    <n v="53072.4"/>
    <n v="1210.7800000000002"/>
    <n v="52091.9763161921"/>
    <n v="8.8600000000000012"/>
    <n v="376.97279399999996"/>
    <n v="1219.6400000000001"/>
    <n v="52468.949110192101"/>
    <n v="52468.949110192101"/>
    <n v="0"/>
    <n v="376.97279399999996"/>
    <n v="0"/>
    <n v="0"/>
    <n v="0"/>
    <n v="0"/>
    <n v="52093"/>
    <n v="0"/>
    <n v="0"/>
    <n v="602"/>
    <n v="0"/>
    <n v="0"/>
    <n v="0"/>
    <n v="1.1370333540746231E-2"/>
    <n v="23"/>
    <m/>
    <s v="Laldiyara"/>
    <m/>
    <n v="0"/>
  </r>
  <r>
    <s v="Munger"/>
    <s v="03-09 Apr"/>
    <n v="1002"/>
    <s v="Laldiyara"/>
    <x v="69"/>
    <s v="SRI RAM SINGH(VLC)"/>
    <s v="vlc"/>
    <s v="Indirect"/>
    <n v="3369.7"/>
    <n v="134205.95000000001"/>
    <n v="0"/>
    <n v="0"/>
    <n v="0"/>
    <n v="0"/>
    <n v="0"/>
    <n v="0"/>
    <n v="134205.95000000001"/>
    <n v="0"/>
    <n v="0"/>
    <n v="0"/>
    <n v="0"/>
    <n v="0"/>
    <n v="0"/>
    <n v="0"/>
    <n v="0"/>
    <n v="134205.95000000001"/>
    <n v="0"/>
    <n v="0"/>
    <n v="0"/>
    <n v="0"/>
    <n v="0"/>
    <n v="0"/>
    <m/>
    <s v="Laldiyara"/>
    <m/>
    <n v="0"/>
  </r>
  <r>
    <s v="Munger"/>
    <s v="03-09 Apr"/>
    <n v="1002"/>
    <s v="Laldiyara"/>
    <x v="70"/>
    <s v="GADHTOLA"/>
    <s v="MPG"/>
    <s v="Direct"/>
    <n v="879.6"/>
    <n v="34420.460000000006"/>
    <n v="877.86"/>
    <n v="34257.372855083348"/>
    <n v="3.92"/>
    <n v="148.50337011840003"/>
    <n v="881.78"/>
    <n v="34405.876225201748"/>
    <n v="34405.876225201748"/>
    <n v="0"/>
    <n v="148.50337011840003"/>
    <n v="0"/>
    <n v="0"/>
    <n v="0"/>
    <n v="0"/>
    <n v="34258"/>
    <n v="0"/>
    <n v="0"/>
    <n v="14"/>
    <n v="0"/>
    <n v="0"/>
    <n v="0"/>
    <n v="4.2369494185314985E-4"/>
    <n v="9"/>
    <m/>
    <s v="Laldiyara"/>
    <m/>
    <n v="0"/>
  </r>
  <r>
    <s v="Munger"/>
    <s v="03-09 Apr"/>
    <n v="1002"/>
    <s v="Laldiyara"/>
    <x v="71"/>
    <s v="Golapaar - Ramnandan"/>
    <s v="vlc"/>
    <s v="Indirect"/>
    <n v="2177.6999999999998"/>
    <n v="81228.679999999993"/>
    <n v="0"/>
    <n v="0"/>
    <n v="0"/>
    <n v="0"/>
    <n v="0"/>
    <n v="0"/>
    <n v="81228.679999999993"/>
    <n v="0"/>
    <n v="0"/>
    <n v="0"/>
    <n v="0"/>
    <n v="0"/>
    <n v="0"/>
    <n v="0"/>
    <n v="0"/>
    <n v="81228.679999999993"/>
    <n v="0"/>
    <n v="0"/>
    <n v="0"/>
    <n v="0"/>
    <n v="0"/>
    <n v="0"/>
    <m/>
    <s v="Laldiyara"/>
    <m/>
    <n v="0"/>
  </r>
  <r>
    <s v="Munger"/>
    <s v="03-09 Apr"/>
    <n v="1002"/>
    <s v="Laldiyara"/>
    <x v="72"/>
    <s v="Diyara-Pipariya-Utri - Chandan"/>
    <s v="vlc"/>
    <s v="Indirect"/>
    <n v="1948.2"/>
    <n v="77514.649999999994"/>
    <n v="0"/>
    <n v="0"/>
    <n v="0"/>
    <n v="0"/>
    <n v="0"/>
    <n v="0"/>
    <n v="77514.649999999994"/>
    <n v="0"/>
    <n v="0"/>
    <n v="0"/>
    <n v="0"/>
    <n v="0"/>
    <n v="0"/>
    <n v="0"/>
    <n v="0"/>
    <n v="77514.649999999994"/>
    <n v="0"/>
    <n v="0"/>
    <n v="0"/>
    <n v="0"/>
    <n v="0"/>
    <n v="0"/>
    <m/>
    <s v="Laldiyara"/>
    <m/>
    <n v="0"/>
  </r>
  <r>
    <s v="Munger"/>
    <s v="03-09 Apr"/>
    <n v="1002"/>
    <s v="Laldiyara"/>
    <x v="955"/>
    <s v="Chetan Tola-Dakshin - Hari Om"/>
    <s v="vlc"/>
    <s v="Indirect"/>
    <n v="95.2"/>
    <n v="5177.93"/>
    <n v="0"/>
    <n v="0"/>
    <n v="0"/>
    <n v="0"/>
    <n v="0"/>
    <n v="0"/>
    <n v="5177.93"/>
    <n v="0"/>
    <n v="0"/>
    <n v="0"/>
    <n v="0"/>
    <n v="0"/>
    <n v="0"/>
    <n v="0"/>
    <n v="0"/>
    <n v="5177.93"/>
    <n v="0"/>
    <n v="0"/>
    <n v="657.90169411764714"/>
    <n v="13.6"/>
    <n v="0"/>
    <n v="0"/>
    <m/>
    <s v="Laldiyara"/>
    <m/>
    <n v="0"/>
  </r>
  <r>
    <s v="Munger"/>
    <s v="03-09 Apr"/>
    <n v="1002"/>
    <s v="Laldiyara"/>
    <x v="73"/>
    <s v="KANHARPUR-2"/>
    <s v="MPG"/>
    <s v="Direct"/>
    <n v="2823.5999999999995"/>
    <n v="125427.82999999999"/>
    <n v="2247.9499999999998"/>
    <n v="100977.07190769454"/>
    <n v="583.03"/>
    <n v="23957.5054492735"/>
    <n v="2830.9799999999996"/>
    <n v="124934.57735696805"/>
    <n v="124934.57735696805"/>
    <n v="0"/>
    <n v="1644.9272347975002"/>
    <n v="0"/>
    <n v="0"/>
    <n v="0"/>
    <n v="0"/>
    <n v="100977"/>
    <n v="22313"/>
    <n v="0"/>
    <n v="493"/>
    <n v="0"/>
    <n v="0"/>
    <n v="0"/>
    <n v="3.9325614022975705E-3"/>
    <n v="15"/>
    <m/>
    <s v="Laldiyara"/>
    <m/>
    <n v="0"/>
  </r>
  <r>
    <s v="Munger"/>
    <s v="03-09 Apr"/>
    <n v="1002"/>
    <s v="Laldiyara"/>
    <x v="74"/>
    <s v="BASAUNA"/>
    <s v="MPG"/>
    <s v="Direct"/>
    <n v="1757.4"/>
    <n v="69529"/>
    <n v="468.65999999999997"/>
    <n v="20139.143285022452"/>
    <n v="1292.4400000000003"/>
    <n v="49788.130157115251"/>
    <n v="1761.1000000000004"/>
    <n v="69927.273442137695"/>
    <n v="69529"/>
    <n v="0"/>
    <n v="281.635064172"/>
    <n v="398.27344213769538"/>
    <n v="0"/>
    <n v="0"/>
    <n v="0"/>
    <n v="19740"/>
    <n v="49507"/>
    <n v="0"/>
    <n v="0"/>
    <n v="0"/>
    <n v="0"/>
    <n v="0"/>
    <n v="-5.7281629555681135E-3"/>
    <n v="10"/>
    <m/>
    <s v="Laldiyara"/>
    <m/>
    <n v="0"/>
  </r>
  <r>
    <s v="Munger"/>
    <s v="03-09 Apr"/>
    <n v="1002"/>
    <s v="Laldiyara"/>
    <x v="75"/>
    <s v="GANGA-SARAI"/>
    <s v="MPG"/>
    <s v="Direct"/>
    <n v="1198.2"/>
    <n v="48284.42"/>
    <n v="1185.6000000000001"/>
    <n v="47051.759101201693"/>
    <n v="10.58"/>
    <n v="392.44477694399995"/>
    <n v="1196.18"/>
    <n v="47444.203878145694"/>
    <n v="47444.203878145694"/>
    <n v="0"/>
    <n v="392.44477694399995"/>
    <n v="0"/>
    <n v="0"/>
    <n v="0"/>
    <n v="0"/>
    <n v="47052"/>
    <n v="0"/>
    <n v="0"/>
    <n v="840"/>
    <n v="0"/>
    <n v="0"/>
    <n v="0"/>
    <n v="1.740139204021306E-2"/>
    <n v="7"/>
    <m/>
    <s v="Laldiyara"/>
    <m/>
    <n v="0"/>
  </r>
  <r>
    <s v="Munger"/>
    <s v="03-09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423.4"/>
    <n v="16578.010000000002"/>
    <n v="423.77000000000004"/>
    <n v="15481.814025142668"/>
    <n v="5.12"/>
    <n v="182.00504314080001"/>
    <n v="428.89000000000004"/>
    <n v="15663.819068283468"/>
    <n v="15663.819068283468"/>
    <n v="0"/>
    <n v="182.00504314080001"/>
    <n v="0"/>
    <n v="0"/>
    <n v="500"/>
    <n v="0"/>
    <n v="14985"/>
    <n v="0"/>
    <n v="0"/>
    <n v="911"/>
    <n v="0"/>
    <n v="216.60262475200761"/>
    <n v="60.48571428571428"/>
    <n v="5.5144793115490552E-2"/>
    <n v="15"/>
    <m/>
    <s v="Laldiyara"/>
    <m/>
    <n v="500"/>
  </r>
  <r>
    <s v="Munger"/>
    <s v="03-09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1123.8"/>
    <n v="51071.32"/>
    <n v="783.14"/>
    <n v="36612.0541251537"/>
    <n v="396.35"/>
    <n v="17912.387879346203"/>
    <n v="1179.49"/>
    <n v="54524.442004499899"/>
    <n v="51071.32"/>
    <n v="0"/>
    <n v="164.37088800000004"/>
    <n v="3453.122004499899"/>
    <n v="0"/>
    <n v="0"/>
    <n v="0"/>
    <n v="33160"/>
    <n v="17747"/>
    <n v="0"/>
    <n v="0"/>
    <n v="0"/>
    <n v="0"/>
    <n v="0"/>
    <n v="-6.7613721448748512E-2"/>
    <n v="10"/>
    <m/>
    <s v="Laldiyara"/>
    <m/>
    <n v="0"/>
  </r>
  <r>
    <s v="Munger"/>
    <s v="03-09 Apr"/>
    <n v="1002"/>
    <s v="Laldiyara"/>
    <x v="78"/>
    <s v="Gomukh Hasanpur"/>
    <s v="vlc"/>
    <s v="Indirect"/>
    <n v="1165.2999999999997"/>
    <n v="46129.810000000012"/>
    <n v="0"/>
    <n v="0"/>
    <n v="0"/>
    <n v="0"/>
    <n v="0"/>
    <n v="0"/>
    <n v="46129.810000000012"/>
    <n v="0"/>
    <n v="0"/>
    <n v="0"/>
    <n v="0"/>
    <n v="0"/>
    <n v="0"/>
    <n v="0"/>
    <n v="0"/>
    <n v="46129.810000000012"/>
    <n v="0"/>
    <n v="0"/>
    <n v="0"/>
    <n v="0"/>
    <n v="0"/>
    <n v="0"/>
    <m/>
    <s v="Laldiyara"/>
    <m/>
    <n v="0"/>
  </r>
  <r>
    <s v="Munger"/>
    <s v="03-09 Apr"/>
    <n v="1002"/>
    <s v="Laldiyara"/>
    <x v="79"/>
    <s v="SABIKPUR"/>
    <s v="MPG"/>
    <s v="Direct"/>
    <n v="703.8"/>
    <n v="29846.239999999998"/>
    <n v="1447.7199999999998"/>
    <n v="62991.571127220406"/>
    <n v="0"/>
    <n v="0"/>
    <n v="1447.7199999999998"/>
    <n v="62991.571127220406"/>
    <n v="29846.239999999998"/>
    <n v="0"/>
    <n v="0"/>
    <n v="33145.331127220408"/>
    <n v="0"/>
    <n v="0"/>
    <n v="0"/>
    <n v="29846"/>
    <n v="0"/>
    <n v="0"/>
    <n v="0"/>
    <n v="0"/>
    <n v="0"/>
    <n v="0"/>
    <n v="-1.1105362393125704"/>
    <n v="21"/>
    <m/>
    <s v="Laldiyara"/>
    <m/>
    <n v="0"/>
  </r>
  <r>
    <s v="Munger"/>
    <s v="03-09 Apr"/>
    <n v="1002"/>
    <s v="Laldiyara"/>
    <x v="80"/>
    <s v="CHETAN-TOLA-KHUTHA"/>
    <s v="MPG"/>
    <s v="Direct"/>
    <n v="245.6"/>
    <n v="9332.7199999999993"/>
    <n v="249.39"/>
    <n v="11066.32911376419"/>
    <n v="0.2"/>
    <n v="9.1967758684000014"/>
    <n v="249.58999999999997"/>
    <n v="11075.52588963259"/>
    <n v="9332.7199999999993"/>
    <n v="0"/>
    <n v="9.1967758684000014"/>
    <n v="1742.8058896325911"/>
    <n v="9324"/>
    <n v="0"/>
    <n v="0"/>
    <n v="0"/>
    <n v="0"/>
    <n v="0"/>
    <n v="0"/>
    <s v="Release2"/>
    <n v="345.3410397394137"/>
    <n v="35.085714285714282"/>
    <n v="-0.18674147404321476"/>
    <n v="3"/>
    <m/>
    <s v="Laldiyara"/>
    <m/>
    <n v="0"/>
  </r>
  <r>
    <s v="Munger"/>
    <s v="03-09 Apr"/>
    <n v="1002"/>
    <s v="Laldiyara"/>
    <x v="81"/>
    <s v="LAXMIPUR"/>
    <s v="MPG"/>
    <s v="Direct"/>
    <n v="931.8"/>
    <n v="38048.399999999994"/>
    <n v="921.35000000000014"/>
    <n v="44596.082936452542"/>
    <n v="0"/>
    <n v="0"/>
    <n v="921.35000000000014"/>
    <n v="44596.082936452542"/>
    <n v="38048.399999999994"/>
    <n v="0"/>
    <n v="0"/>
    <n v="6547.6829364525474"/>
    <n v="0"/>
    <n v="0"/>
    <n v="0"/>
    <n v="38048"/>
    <n v="0"/>
    <n v="0"/>
    <n v="0"/>
    <s v="Release3"/>
    <n v="0"/>
    <n v="0"/>
    <n v="-0.17208825959705398"/>
    <n v="16"/>
    <m/>
    <s v="Laldiyara"/>
    <m/>
    <n v="0"/>
  </r>
  <r>
    <s v="Munger"/>
    <s v="03-09 Apr"/>
    <n v="1002"/>
    <s v="Laldiyara"/>
    <x v="82"/>
    <s v="REHUA RK"/>
    <s v="vlc"/>
    <s v="Indirect"/>
    <n v="951.70000000000016"/>
    <n v="41847.78"/>
    <n v="0"/>
    <n v="0"/>
    <n v="0"/>
    <n v="0"/>
    <n v="0"/>
    <n v="0"/>
    <n v="41847.78"/>
    <n v="0"/>
    <n v="0"/>
    <n v="0"/>
    <n v="0"/>
    <n v="0"/>
    <n v="0"/>
    <n v="0"/>
    <n v="0"/>
    <n v="41847.78"/>
    <n v="0"/>
    <n v="0"/>
    <n v="0"/>
    <n v="0"/>
    <n v="0"/>
    <n v="0"/>
    <m/>
    <s v="Laldiyara"/>
    <m/>
    <n v="0"/>
  </r>
  <r>
    <s v="Munger"/>
    <s v="03-09 Apr"/>
    <n v="1002"/>
    <s v="Laldiyara"/>
    <x v="83"/>
    <s v="RAMNAGAR"/>
    <s v="MPG"/>
    <s v="Direct"/>
    <n v="427.59999999999997"/>
    <n v="18246.07"/>
    <n v="428.14"/>
    <n v="18054.118537884413"/>
    <n v="0"/>
    <n v="0"/>
    <n v="428.14"/>
    <n v="18054.118537884413"/>
    <n v="18054.118537884413"/>
    <n v="0"/>
    <n v="0"/>
    <n v="0"/>
    <n v="2293"/>
    <n v="0"/>
    <n v="0"/>
    <n v="15761"/>
    <n v="0"/>
    <n v="0"/>
    <n v="192"/>
    <s v="Release4"/>
    <n v="232.47097605238545"/>
    <n v="61.085714285714282"/>
    <n v="1.0520153770953788E-2"/>
    <n v="12"/>
    <m/>
    <s v="Laldiyara"/>
    <m/>
    <n v="0"/>
  </r>
  <r>
    <s v="Munger"/>
    <s v="03-09 Apr"/>
    <n v="1002"/>
    <s v="Laldiyara"/>
    <x v="84"/>
    <s v="PACHAM"/>
    <s v="MPG"/>
    <s v="Direct"/>
    <n v="123.8"/>
    <n v="5703.91"/>
    <n v="123.8"/>
    <n v="5826.849071279672"/>
    <n v="0"/>
    <n v="0"/>
    <n v="123.8"/>
    <n v="5826.849071279672"/>
    <n v="5703.91"/>
    <n v="0"/>
    <n v="0"/>
    <n v="122.93907127967213"/>
    <n v="0"/>
    <n v="500"/>
    <n v="0"/>
    <n v="5204"/>
    <n v="0"/>
    <n v="0"/>
    <n v="0"/>
    <n v="0"/>
    <n v="530.9520100161551"/>
    <n v="17.685714285714287"/>
    <n v="-2.1553473192892619E-2"/>
    <n v="10"/>
    <m/>
    <s v="Laldiyara"/>
    <m/>
    <n v="500"/>
  </r>
  <r>
    <s v="Munger"/>
    <s v="03-09 Apr"/>
    <n v="1002"/>
    <s v="Laldiyara"/>
    <x v="85"/>
    <s v="BANSIPUR"/>
    <s v="MPG"/>
    <s v="Direct"/>
    <n v="105.59999999999998"/>
    <n v="4792.04"/>
    <n v="105.6"/>
    <n v="4799.2696190138013"/>
    <n v="0"/>
    <n v="0"/>
    <n v="105.6"/>
    <n v="4799.2696190138013"/>
    <n v="4792.04"/>
    <n v="0"/>
    <n v="0"/>
    <n v="7.2296190138013117"/>
    <n v="0"/>
    <n v="0"/>
    <n v="0"/>
    <n v="4792"/>
    <n v="0"/>
    <n v="0"/>
    <n v="0"/>
    <n v="0"/>
    <n v="539.46753333333345"/>
    <n v="15.085714285714284"/>
    <n v="-1.5086725097873373E-3"/>
    <n v="1"/>
    <m/>
    <s v="Laldiyara"/>
    <m/>
    <n v="0"/>
  </r>
  <r>
    <s v="Munger"/>
    <s v="03-09 Apr"/>
    <n v="1002"/>
    <s v="Laldiyara"/>
    <x v="86"/>
    <s v="GODIH"/>
    <s v="MPG"/>
    <s v="Direct"/>
    <n v="357.1"/>
    <n v="14195.96"/>
    <n v="366.28999999999996"/>
    <n v="15152.4259781129"/>
    <n v="0"/>
    <n v="0"/>
    <n v="366.28999999999996"/>
    <n v="15152.4259781129"/>
    <n v="14195.96"/>
    <n v="0"/>
    <n v="0"/>
    <n v="956.46597811290121"/>
    <n v="0"/>
    <n v="0"/>
    <n v="0"/>
    <n v="14196"/>
    <n v="0"/>
    <n v="0"/>
    <n v="0"/>
    <n v="0"/>
    <n v="272.62921781013716"/>
    <n v="51.01428571428572"/>
    <n v="-6.7375927948014877E-2"/>
    <n v="4"/>
    <m/>
    <s v="Laldiyara"/>
    <m/>
    <n v="0"/>
  </r>
  <r>
    <s v="Munger"/>
    <s v="03-09 Apr"/>
    <n v="1002"/>
    <s v="Laldiyara"/>
    <x v="87"/>
    <s v="SINGARPUR"/>
    <s v="MPG"/>
    <s v="Direct"/>
    <n v="247.90000000000006"/>
    <n v="14606.05"/>
    <n v="248.64"/>
    <n v="15176.814014415513"/>
    <n v="0"/>
    <n v="0"/>
    <n v="248.64"/>
    <n v="15176.814014415513"/>
    <n v="14606.05"/>
    <n v="0"/>
    <n v="0"/>
    <n v="570.76401441551388"/>
    <n v="0"/>
    <n v="0"/>
    <n v="0"/>
    <n v="14606"/>
    <n v="0"/>
    <n v="0"/>
    <n v="0"/>
    <n v="0"/>
    <n v="532.74668858410621"/>
    <n v="35.414285714285725"/>
    <n v="-3.9077232682040247E-2"/>
    <n v="3"/>
    <m/>
    <s v="Laldiyara"/>
    <m/>
    <n v="0"/>
  </r>
  <r>
    <s v="Munger"/>
    <s v="03-09 Apr"/>
    <n v="1002"/>
    <s v="Laldiyara"/>
    <x v="88"/>
    <s v="ADARSH PULPAR"/>
    <s v="MPG"/>
    <s v="Direct"/>
    <n v="25.5"/>
    <n v="1047"/>
    <n v="25.5"/>
    <n v="1036.05655032"/>
    <n v="0"/>
    <n v="0"/>
    <n v="25.5"/>
    <n v="1036.05655032"/>
    <n v="1036.05655032"/>
    <n v="0"/>
    <n v="0"/>
    <n v="0"/>
    <n v="0"/>
    <n v="500"/>
    <n v="0"/>
    <n v="536"/>
    <n v="0"/>
    <n v="0"/>
    <n v="11"/>
    <n v="0"/>
    <n v="553.88352941176481"/>
    <n v="3.6428571428571428"/>
    <n v="1.0452196446991364E-2"/>
    <n v="1"/>
    <m/>
    <s v="Laldiyara"/>
    <m/>
    <n v="500"/>
  </r>
  <r>
    <s v="Munger"/>
    <s v="03-09 Apr"/>
    <n v="1002"/>
    <s v="Laldiyara"/>
    <x v="89"/>
    <s v="G WOLIPUR"/>
    <s v="vlc"/>
    <s v="Indirect"/>
    <n v="2761.7000000000003"/>
    <n v="109670.9"/>
    <n v="0"/>
    <n v="0"/>
    <n v="0"/>
    <n v="0"/>
    <n v="0"/>
    <n v="0"/>
    <n v="109670.9"/>
    <n v="0"/>
    <n v="0"/>
    <n v="0"/>
    <n v="0"/>
    <n v="0"/>
    <n v="0"/>
    <n v="0"/>
    <n v="0"/>
    <n v="109670.9"/>
    <n v="0"/>
    <n v="0"/>
    <n v="0"/>
    <n v="0"/>
    <n v="0"/>
    <n v="0"/>
    <m/>
    <s v="Laldiyara"/>
    <m/>
    <n v="0"/>
  </r>
  <r>
    <s v="Munger"/>
    <s v="03-09 Apr"/>
    <n v="1002"/>
    <s v="Laldiyara"/>
    <x v="90"/>
    <s v="REHUA 3"/>
    <s v="vlc"/>
    <s v="Indirect"/>
    <n v="2015.1000000000004"/>
    <n v="87302.25"/>
    <n v="0"/>
    <n v="0"/>
    <n v="0"/>
    <n v="0"/>
    <n v="0"/>
    <n v="0"/>
    <n v="87302.25"/>
    <n v="0"/>
    <n v="0"/>
    <n v="0"/>
    <n v="0"/>
    <n v="0"/>
    <n v="0"/>
    <n v="0"/>
    <n v="0"/>
    <n v="87302.25"/>
    <n v="0"/>
    <n v="0"/>
    <n v="0"/>
    <n v="0"/>
    <n v="0"/>
    <n v="0"/>
    <m/>
    <s v="Laldiyara"/>
    <m/>
    <n v="0"/>
  </r>
  <r>
    <s v="Munger"/>
    <s v="03-09 Apr"/>
    <n v="1002"/>
    <s v="Laldiyara"/>
    <x v="91"/>
    <s v="BICHWAY"/>
    <s v="MPG"/>
    <s v="Direct"/>
    <n v="257.29999999999995"/>
    <n v="10019.300000000001"/>
    <n v="257.29999999999995"/>
    <n v="10019.059387920002"/>
    <n v="0"/>
    <n v="0"/>
    <n v="257.29999999999995"/>
    <n v="10019.059387920002"/>
    <n v="10019.059387920002"/>
    <n v="0"/>
    <n v="0"/>
    <n v="0"/>
    <n v="0"/>
    <n v="0"/>
    <n v="0"/>
    <n v="10019"/>
    <n v="0"/>
    <n v="0"/>
    <n v="0"/>
    <n v="0"/>
    <n v="344.7760676253402"/>
    <n v="36.757142857142853"/>
    <n v="2.4014859321385202E-5"/>
    <n v="1"/>
    <m/>
    <s v="Laldiyara"/>
    <m/>
    <n v="0"/>
  </r>
  <r>
    <s v="Munger"/>
    <s v="03-09 Apr"/>
    <n v="1002"/>
    <s v="Laldiyara"/>
    <x v="92"/>
    <s v="MANOHARPUR"/>
    <s v="MPG"/>
    <s v="Direct"/>
    <n v="652.70000000000005"/>
    <n v="25238.98"/>
    <n v="230.83999999999997"/>
    <n v="9097.4388035546181"/>
    <n v="420.63"/>
    <n v="16962.104959126089"/>
    <n v="651.47"/>
    <n v="26059.543762680707"/>
    <n v="25238.98"/>
    <n v="0"/>
    <n v="0"/>
    <n v="820.56376268070744"/>
    <n v="0"/>
    <n v="0"/>
    <n v="0"/>
    <n v="8276"/>
    <n v="16963"/>
    <n v="0"/>
    <n v="0"/>
    <n v="0"/>
    <n v="36.580473540677161"/>
    <n v="93.242857142857147"/>
    <n v="-3.2511764052299559E-2"/>
    <n v="23"/>
    <m/>
    <s v="Laldiyara"/>
    <m/>
    <n v="0"/>
  </r>
  <r>
    <s v="Munger"/>
    <s v="03-09 Apr"/>
    <n v="1003"/>
    <s v="Asarganj"/>
    <x v="93"/>
    <s v="MOHANPUR"/>
    <s v="vlc"/>
    <s v="Indirect"/>
    <n v="550.40000000000009"/>
    <n v="21240.649999999998"/>
    <n v="0"/>
    <n v="0"/>
    <n v="0"/>
    <n v="0"/>
    <n v="0"/>
    <n v="0"/>
    <n v="21240.649999999998"/>
    <n v="0"/>
    <n v="0"/>
    <n v="0"/>
    <n v="0"/>
    <n v="0"/>
    <n v="0"/>
    <n v="0"/>
    <n v="0"/>
    <n v="21240.649999999998"/>
    <n v="0"/>
    <n v="0"/>
    <n v="115.46516133720918"/>
    <n v="78.628571428571448"/>
    <n v="0"/>
    <n v="0"/>
    <m/>
    <s v="Asarganj"/>
    <m/>
    <n v="0"/>
  </r>
  <r>
    <s v="Munger"/>
    <s v="03-09 Apr"/>
    <n v="1003"/>
    <s v="Asarganj"/>
    <x v="94"/>
    <s v="CHATMADIH"/>
    <s v="MPG"/>
    <s v="Direct"/>
    <n v="1790.2000000000003"/>
    <n v="75466.5"/>
    <n v="1756.6999999999998"/>
    <n v="72937.643210687806"/>
    <n v="24.3"/>
    <n v="1333.5155953478002"/>
    <n v="1780.9999999999998"/>
    <n v="74271.158806035601"/>
    <n v="74271.158806035601"/>
    <n v="0"/>
    <n v="1333.5155953478002"/>
    <n v="0"/>
    <n v="0"/>
    <n v="0"/>
    <n v="0"/>
    <n v="72937"/>
    <n v="0"/>
    <n v="0"/>
    <n v="1196"/>
    <s v="Release1"/>
    <n v="0"/>
    <n v="0"/>
    <n v="1.5839361756069238E-2"/>
    <n v="58"/>
    <m/>
    <s v="Asarganj"/>
    <m/>
    <n v="0"/>
  </r>
  <r>
    <s v="Munger"/>
    <s v="03-09 Apr"/>
    <n v="1003"/>
    <s v="Asarganj"/>
    <x v="95"/>
    <s v="SIYADIH"/>
    <s v="vlc"/>
    <s v="Indirect"/>
    <n v="676"/>
    <n v="20468.189999999999"/>
    <n v="0"/>
    <n v="0"/>
    <n v="0"/>
    <n v="0"/>
    <n v="0"/>
    <n v="0"/>
    <n v="20468.189999999999"/>
    <n v="0"/>
    <n v="0"/>
    <n v="0"/>
    <n v="0"/>
    <n v="0"/>
    <n v="0"/>
    <n v="0"/>
    <n v="0"/>
    <n v="20468.189999999999"/>
    <n v="0"/>
    <n v="0"/>
    <n v="14.533626035502966"/>
    <n v="96.571428571428569"/>
    <n v="0"/>
    <n v="0"/>
    <m/>
    <s v="Asarganj"/>
    <m/>
    <n v="0"/>
  </r>
  <r>
    <s v="Munger"/>
    <s v="03-09 Apr"/>
    <n v="1003"/>
    <s v="Asarganj"/>
    <x v="96"/>
    <s v="HARPUR M"/>
    <s v="RMC"/>
    <s v="Direct"/>
    <n v="1170"/>
    <n v="38610"/>
    <n v="1188.2"/>
    <n v="41564.490739200002"/>
    <n v="0.8"/>
    <n v="27.984844800000005"/>
    <n v="1189"/>
    <n v="41592.475584"/>
    <n v="38610"/>
    <n v="0"/>
    <n v="27.984844800000005"/>
    <n v="2982.4755839999998"/>
    <n v="0"/>
    <n v="0"/>
    <n v="0"/>
    <n v="38582"/>
    <n v="0"/>
    <n v="0"/>
    <n v="0"/>
    <s v="Release1"/>
    <n v="0"/>
    <n v="0"/>
    <n v="-7.7246194871794863E-2"/>
    <n v="5"/>
    <m/>
    <s v="Asarganj"/>
    <m/>
    <n v="0"/>
  </r>
  <r>
    <s v="Munger"/>
    <s v="03-09 Apr"/>
    <n v="1003"/>
    <s v="Asarganj"/>
    <x v="97"/>
    <s v="Gomukh ID Laldiyara"/>
    <s v="vlc"/>
    <s v="Indirect"/>
    <n v="8567"/>
    <n v="319845.32"/>
    <n v="0"/>
    <n v="0"/>
    <n v="0"/>
    <n v="0"/>
    <n v="0"/>
    <n v="0"/>
    <n v="319845.32"/>
    <n v="0"/>
    <n v="0"/>
    <n v="0"/>
    <n v="0"/>
    <n v="0"/>
    <n v="0"/>
    <n v="0"/>
    <n v="0"/>
    <n v="319845.32"/>
    <n v="0"/>
    <n v="0"/>
    <n v="0"/>
    <n v="0"/>
    <n v="0"/>
    <n v="0"/>
    <m/>
    <s v="Asarganj"/>
    <m/>
    <n v="0"/>
  </r>
  <r>
    <s v="Munger"/>
    <s v="03-09 Apr"/>
    <n v="1003"/>
    <s v="Asarganj"/>
    <x v="98"/>
    <s v="KATHNI"/>
    <s v="MPG"/>
    <s v="Direct"/>
    <n v="346.75"/>
    <n v="12164.32"/>
    <n v="384"/>
    <n v="16522.681189880001"/>
    <n v="0"/>
    <n v="0"/>
    <n v="384"/>
    <n v="16522.681189880001"/>
    <n v="12164.32"/>
    <n v="0"/>
    <n v="0"/>
    <n v="4358.3611898800009"/>
    <n v="0"/>
    <n v="500"/>
    <n v="0"/>
    <n v="11664"/>
    <n v="0"/>
    <n v="0"/>
    <n v="0"/>
    <n v="0"/>
    <n v="247.84692372025955"/>
    <n v="49.535714285714285"/>
    <n v="-0.35829057356925836"/>
    <n v="3"/>
    <m/>
    <s v="Asarganj"/>
    <m/>
    <n v="500"/>
  </r>
  <r>
    <s v="Munger"/>
    <s v="03-09 Apr"/>
    <n v="1003"/>
    <s v="Asarganj"/>
    <x v="99"/>
    <s v="DEVDHA GOMUKH MPG"/>
    <s v="MPG"/>
    <s v="Direct"/>
    <n v="1284.25"/>
    <n v="48574.299999999996"/>
    <n v="1025.9000000000001"/>
    <n v="38571.226685838003"/>
    <n v="360"/>
    <n v="13617.817831134002"/>
    <n v="1385.9"/>
    <n v="52189.044516972004"/>
    <n v="48574.299999999996"/>
    <n v="0"/>
    <n v="265.44493463400005"/>
    <n v="3614.7445169720086"/>
    <n v="0"/>
    <n v="0"/>
    <n v="0"/>
    <n v="34956"/>
    <n v="13353"/>
    <n v="0"/>
    <n v="0"/>
    <n v="0"/>
    <n v="0"/>
    <n v="0"/>
    <n v="-7.4416811296755869E-2"/>
    <n v="12"/>
    <m/>
    <s v="Asarganj"/>
    <m/>
    <n v="0"/>
  </r>
  <r>
    <s v="Munger"/>
    <s v="03-09 Apr"/>
    <n v="1003"/>
    <s v="Asarganj"/>
    <x v="100"/>
    <s v="KASBA(MANGOAN)"/>
    <s v="vlc"/>
    <s v="Indirect"/>
    <n v="477.15000000000003"/>
    <n v="16806.289999999997"/>
    <n v="0"/>
    <n v="0"/>
    <n v="0"/>
    <n v="0"/>
    <n v="0"/>
    <n v="0"/>
    <n v="16806.289999999997"/>
    <n v="0"/>
    <n v="0"/>
    <n v="0"/>
    <n v="0"/>
    <n v="0"/>
    <n v="0"/>
    <n v="0"/>
    <n v="0"/>
    <n v="16806.289999999997"/>
    <n v="0"/>
    <n v="0"/>
    <n v="156.9855067169652"/>
    <n v="68.164285714285725"/>
    <n v="0"/>
    <n v="0"/>
    <m/>
    <s v="Asarganj"/>
    <m/>
    <n v="0"/>
  </r>
  <r>
    <s v="Munger"/>
    <s v="03-09 Apr"/>
    <n v="1003"/>
    <s v="Asarganj"/>
    <x v="101"/>
    <s v="LOHRA"/>
    <s v="MPG"/>
    <s v="Direct"/>
    <n v="425.84999999999997"/>
    <n v="20292.269999999997"/>
    <n v="453.31999999999994"/>
    <n v="23556.269572604408"/>
    <n v="16.520000000000003"/>
    <n v="786.31685698820013"/>
    <n v="469.83999999999992"/>
    <n v="24342.586429592608"/>
    <n v="20292.269999999997"/>
    <n v="0"/>
    <n v="786.31685698820013"/>
    <n v="4050.3164295926108"/>
    <n v="0"/>
    <n v="0"/>
    <n v="0"/>
    <n v="19506"/>
    <n v="0"/>
    <n v="0"/>
    <n v="0"/>
    <s v="Release1"/>
    <n v="261.27161303275801"/>
    <n v="60.835714285714282"/>
    <n v="-0.19959898175968541"/>
    <n v="11"/>
    <m/>
    <s v="Asarganj"/>
    <m/>
    <n v="0"/>
  </r>
  <r>
    <s v="Munger"/>
    <s v="03-09 Apr"/>
    <n v="1003"/>
    <s v="Asarganj"/>
    <x v="102"/>
    <s v="KAMATPUR"/>
    <s v="MPG"/>
    <s v="Direct"/>
    <n v="810.94999999999993"/>
    <n v="29359.54"/>
    <n v="783.44"/>
    <n v="28338.958981218602"/>
    <n v="10.920000000000002"/>
    <n v="389.4336788562"/>
    <n v="794.36"/>
    <n v="28728.392660074802"/>
    <n v="28728.392660074802"/>
    <n v="0"/>
    <n v="389.4336788562"/>
    <n v="0"/>
    <n v="0"/>
    <n v="0"/>
    <n v="0"/>
    <n v="28339"/>
    <n v="0"/>
    <n v="0"/>
    <n v="631"/>
    <n v="0"/>
    <n v="0"/>
    <n v="0"/>
    <n v="2.1497180811593065E-2"/>
    <n v="5"/>
    <m/>
    <s v="Asarganj"/>
    <m/>
    <n v="0"/>
  </r>
  <r>
    <s v="Munger"/>
    <s v="03-09 Apr"/>
    <n v="1003"/>
    <s v="Asarganj"/>
    <x v="103"/>
    <s v="GIRDHARA"/>
    <s v="MPG"/>
    <s v="Direct"/>
    <n v="937.74999999999989"/>
    <n v="36620.75"/>
    <n v="125.95999999999998"/>
    <n v="6234.1553795261407"/>
    <n v="810.43"/>
    <n v="31895.345439569901"/>
    <n v="936.38999999999987"/>
    <n v="38129.500819096043"/>
    <n v="36620.75"/>
    <n v="0"/>
    <n v="278.23606905600008"/>
    <n v="1508.7508190960434"/>
    <n v="0"/>
    <n v="0"/>
    <n v="0"/>
    <n v="4727"/>
    <n v="31616"/>
    <n v="0"/>
    <n v="0"/>
    <n v="0"/>
    <n v="0"/>
    <n v="0"/>
    <n v="-4.1199342424610187E-2"/>
    <n v="12"/>
    <m/>
    <s v="Asarganj"/>
    <m/>
    <n v="0"/>
  </r>
  <r>
    <s v="Munger"/>
    <s v="03-09 Apr"/>
    <n v="1003"/>
    <s v="Asarganj"/>
    <x v="104"/>
    <s v="RATNI"/>
    <s v="MPG"/>
    <s v="Direct"/>
    <n v="1159.4499999999996"/>
    <n v="56269.62999999999"/>
    <n v="1146.1200000000003"/>
    <n v="55989.324259538764"/>
    <n v="20.439999999999998"/>
    <n v="1086.1186332481202"/>
    <n v="1166.5600000000004"/>
    <n v="57075.442892786887"/>
    <n v="56269.62999999999"/>
    <n v="0"/>
    <n v="1086.1186332481202"/>
    <n v="805.81289278689655"/>
    <n v="0"/>
    <n v="0"/>
    <n v="0"/>
    <n v="55183"/>
    <n v="0"/>
    <n v="0"/>
    <n v="1"/>
    <n v="0"/>
    <n v="0"/>
    <n v="0"/>
    <n v="-1.4320564979490654E-2"/>
    <n v="37"/>
    <m/>
    <s v="Asarganj"/>
    <m/>
    <n v="0"/>
  </r>
  <r>
    <s v="Munger"/>
    <s v="03-09 Apr"/>
    <n v="1003"/>
    <s v="Asarganj"/>
    <x v="105"/>
    <s v="DHAPARI"/>
    <s v="MPG"/>
    <s v="Direct"/>
    <n v="881.30000000000007"/>
    <n v="35805.1"/>
    <n v="854.1400000000001"/>
    <n v="35756.936450216199"/>
    <n v="26.530000000000005"/>
    <n v="1082.9053859580001"/>
    <n v="880.67000000000007"/>
    <n v="36839.841836174201"/>
    <n v="35805.1"/>
    <n v="0"/>
    <n v="1082.9053859580001"/>
    <n v="1034.741836174202"/>
    <n v="0"/>
    <n v="0"/>
    <n v="0"/>
    <n v="34722"/>
    <n v="0"/>
    <n v="0"/>
    <n v="0"/>
    <n v="0"/>
    <n v="0"/>
    <n v="0"/>
    <n v="-2.8899286307654554E-2"/>
    <n v="24"/>
    <m/>
    <s v="Asarganj"/>
    <m/>
    <n v="0"/>
  </r>
  <r>
    <s v="Munger"/>
    <s v="03-09 Apr"/>
    <n v="1003"/>
    <s v="Asarganj"/>
    <x v="106"/>
    <s v="KHARUI"/>
    <s v="MPG"/>
    <s v="Direct"/>
    <n v="801.6"/>
    <n v="34743.939999999995"/>
    <n v="784.60000000000014"/>
    <n v="35570.77155666014"/>
    <n v="25.19"/>
    <n v="1468.1782782668902"/>
    <n v="809.79000000000019"/>
    <n v="37038.949834927029"/>
    <n v="34743.939999999995"/>
    <n v="0"/>
    <n v="1468.1782782668902"/>
    <n v="2295.0098349270338"/>
    <n v="0"/>
    <n v="0"/>
    <n v="0"/>
    <n v="33276"/>
    <n v="0"/>
    <n v="0"/>
    <n v="0"/>
    <n v="0"/>
    <n v="0"/>
    <n v="0"/>
    <n v="-6.6054967713133114E-2"/>
    <n v="12"/>
    <m/>
    <s v="Asarganj"/>
    <m/>
    <n v="0"/>
  </r>
  <r>
    <s v="Munger"/>
    <s v="03-09 Apr"/>
    <n v="1003"/>
    <s v="Asarganj"/>
    <x v="107"/>
    <s v="KHAIRA"/>
    <s v="MPG"/>
    <s v="Direct"/>
    <n v="936.75000000000011"/>
    <n v="36937.47"/>
    <n v="930.69999999999993"/>
    <n v="38661.495416786827"/>
    <n v="27.419999999999995"/>
    <n v="1132.2858452400001"/>
    <n v="958.11999999999989"/>
    <n v="39793.781262026831"/>
    <n v="36937.47"/>
    <n v="0"/>
    <n v="1132.2858452400001"/>
    <n v="2856.3112620268294"/>
    <n v="0"/>
    <n v="0"/>
    <n v="0"/>
    <n v="35805"/>
    <n v="0"/>
    <n v="0"/>
    <n v="0"/>
    <n v="0"/>
    <n v="0"/>
    <n v="0"/>
    <n v="-7.7328286480552927E-2"/>
    <n v="16"/>
    <m/>
    <s v="Asarganj"/>
    <m/>
    <n v="0"/>
  </r>
  <r>
    <s v="Munger"/>
    <s v="03-09 Apr"/>
    <n v="1003"/>
    <s v="Asarganj"/>
    <x v="108"/>
    <s v="SISUA"/>
    <s v="MPG"/>
    <s v="Direct"/>
    <n v="2321.1999999999998"/>
    <n v="92012.12000000001"/>
    <n v="2104.04"/>
    <n v="84950.420720628128"/>
    <n v="213.06"/>
    <n v="7928.9929360306587"/>
    <n v="2317.1"/>
    <n v="92879.413656658784"/>
    <n v="92012.12000000001"/>
    <n v="0"/>
    <n v="1064.1985855189573"/>
    <n v="867.29365665877413"/>
    <n v="0"/>
    <n v="0"/>
    <n v="0"/>
    <n v="84084"/>
    <n v="6864"/>
    <n v="0"/>
    <n v="0"/>
    <n v="0"/>
    <n v="0"/>
    <n v="0"/>
    <n v="-9.4258632086596204E-3"/>
    <n v="27"/>
    <m/>
    <s v="Asarganj"/>
    <m/>
    <n v="0"/>
  </r>
  <r>
    <s v="Munger"/>
    <s v="03-09 Apr"/>
    <n v="1003"/>
    <s v="Asarganj"/>
    <x v="109"/>
    <s v="BISAI"/>
    <s v="MPG"/>
    <s v="Direct"/>
    <n v="315.2"/>
    <n v="12682.310000000001"/>
    <n v="285.74"/>
    <n v="12137.878651977371"/>
    <n v="10.99"/>
    <n v="456.61878068400006"/>
    <n v="296.73"/>
    <n v="12594.497432661372"/>
    <n v="12594.497432661372"/>
    <n v="0"/>
    <n v="456.61878068400006"/>
    <n v="0"/>
    <n v="0"/>
    <n v="0"/>
    <n v="0"/>
    <n v="12138"/>
    <n v="0"/>
    <n v="0"/>
    <n v="88"/>
    <n v="0"/>
    <n v="309.65437106598989"/>
    <n v="45.028571428571425"/>
    <n v="6.9240199410540645E-3"/>
    <n v="7"/>
    <m/>
    <s v="Asarganj"/>
    <m/>
    <n v="0"/>
  </r>
  <r>
    <s v="Munger"/>
    <s v="03-09 Apr"/>
    <n v="1003"/>
    <s v="Asarganj"/>
    <x v="110"/>
    <s v="SAJUA-1"/>
    <s v="MPG"/>
    <s v="Direct"/>
    <n v="604.49999999999989"/>
    <n v="23111.759999999995"/>
    <n v="602.1"/>
    <n v="23116.700806476569"/>
    <n v="7.3800000000000008"/>
    <n v="276.89779933200003"/>
    <n v="609.48"/>
    <n v="23393.598605808569"/>
    <n v="23111.759999999995"/>
    <n v="0"/>
    <n v="276.89779933200003"/>
    <n v="281.83860580857436"/>
    <n v="0"/>
    <n v="0"/>
    <n v="0"/>
    <n v="22835"/>
    <n v="0"/>
    <n v="0"/>
    <n v="0"/>
    <n v="0"/>
    <n v="73.024750372208487"/>
    <n v="86.357142857142847"/>
    <n v="-1.2194597287639471E-2"/>
    <n v="6"/>
    <m/>
    <s v="Asarganj"/>
    <m/>
    <n v="0"/>
  </r>
  <r>
    <s v="Munger"/>
    <s v="03-09 Apr"/>
    <n v="1003"/>
    <s v="Asarganj"/>
    <x v="111"/>
    <s v="SAJUA-2"/>
    <s v="MPG"/>
    <s v="Direct"/>
    <n v="879.6"/>
    <n v="33378.219999999994"/>
    <n v="887.0100000000001"/>
    <n v="35033.212273195735"/>
    <n v="0"/>
    <n v="0"/>
    <n v="887.0100000000001"/>
    <n v="35033.212273195735"/>
    <n v="33378.219999999994"/>
    <n v="0"/>
    <n v="0"/>
    <n v="1654.9922731957413"/>
    <n v="0"/>
    <n v="0"/>
    <n v="0"/>
    <n v="33378"/>
    <n v="0"/>
    <n v="0"/>
    <n v="0"/>
    <n v="0"/>
    <n v="0"/>
    <n v="0"/>
    <n v="-4.9582999728437931E-2"/>
    <n v="34"/>
    <m/>
    <s v="Asarganj"/>
    <m/>
    <n v="0"/>
  </r>
  <r>
    <s v="Munger"/>
    <s v="03-09 Apr"/>
    <n v="1003"/>
    <s v="Asarganj"/>
    <x v="112"/>
    <s v="CHORGAUN"/>
    <s v="MPG"/>
    <s v="Direct"/>
    <n v="903.05000000000007"/>
    <n v="33749.97"/>
    <n v="909.2"/>
    <n v="33321.953475392795"/>
    <n v="26.3"/>
    <n v="994.07223378000015"/>
    <n v="935.5"/>
    <n v="34316.025709172798"/>
    <n v="33749.97"/>
    <n v="0"/>
    <n v="994.07223378000015"/>
    <n v="566.05570917279692"/>
    <n v="0"/>
    <n v="0"/>
    <n v="0"/>
    <n v="32756"/>
    <n v="0"/>
    <n v="0"/>
    <n v="0"/>
    <s v="Release4"/>
    <n v="0"/>
    <n v="0"/>
    <n v="-1.6772035921003691E-2"/>
    <n v="41"/>
    <m/>
    <s v="Asarganj"/>
    <m/>
    <n v="0"/>
  </r>
  <r>
    <s v="Munger"/>
    <s v="03-09 Apr"/>
    <n v="1003"/>
    <s v="Asarganj"/>
    <x v="113"/>
    <s v="PADARATHPUR"/>
    <s v="MPG"/>
    <s v="Direct"/>
    <n v="1025.1999999999998"/>
    <n v="39947.689999999995"/>
    <n v="1644.8999999999996"/>
    <n v="66339.870994786688"/>
    <n v="20.999999999999996"/>
    <n v="834.02535348000004"/>
    <n v="1665.8999999999996"/>
    <n v="67173.896348266688"/>
    <n v="39947.689999999995"/>
    <n v="0"/>
    <n v="834.02535348000004"/>
    <n v="27226.206348266693"/>
    <n v="0"/>
    <n v="0"/>
    <n v="0"/>
    <n v="39114"/>
    <n v="0"/>
    <n v="0"/>
    <n v="0"/>
    <n v="0"/>
    <n v="0"/>
    <n v="0"/>
    <n v="-0.68154645107806477"/>
    <n v="38"/>
    <m/>
    <s v="Asarganj"/>
    <m/>
    <n v="0"/>
  </r>
  <r>
    <s v="Munger"/>
    <s v="03-09 Apr"/>
    <n v="1003"/>
    <s v="Asarganj"/>
    <x v="114"/>
    <s v="BADARKHA"/>
    <s v="MPG"/>
    <s v="Direct"/>
    <n v="681.7"/>
    <n v="25236.670000000006"/>
    <n v="646.79999999999995"/>
    <n v="25258.016376611205"/>
    <n v="0"/>
    <n v="0"/>
    <n v="646.79999999999995"/>
    <n v="25258.016376611205"/>
    <n v="25236.670000000006"/>
    <n v="0"/>
    <n v="0"/>
    <n v="21.346376611199958"/>
    <n v="0"/>
    <n v="0"/>
    <n v="0"/>
    <n v="25237"/>
    <n v="0"/>
    <n v="0"/>
    <n v="0"/>
    <n v="0"/>
    <n v="13.549393017456357"/>
    <n v="97.385714285714286"/>
    <n v="-8.4584759444094454E-4"/>
    <n v="19"/>
    <m/>
    <s v="Asarganj"/>
    <m/>
    <n v="0"/>
  </r>
  <r>
    <s v="Munger"/>
    <s v="03-09 Apr"/>
    <n v="1003"/>
    <s v="Asarganj"/>
    <x v="115"/>
    <s v="MAHDMADPUR                                                                                          "/>
    <s v="MPG"/>
    <s v="Direct"/>
    <n v="1426.1"/>
    <n v="54719.67"/>
    <n v="1460"/>
    <n v="55059.630956044508"/>
    <n v="9"/>
    <n v="320.99896184400001"/>
    <n v="1469"/>
    <n v="55380.629917888509"/>
    <n v="54719.67"/>
    <n v="0"/>
    <n v="320.99896184400001"/>
    <n v="660.95991788851097"/>
    <n v="14500"/>
    <n v="0"/>
    <n v="0"/>
    <n v="39898"/>
    <n v="0"/>
    <n v="0"/>
    <n v="1"/>
    <s v="Release1"/>
    <n v="0"/>
    <n v="0"/>
    <n v="-1.2079018712804939E-2"/>
    <n v="21"/>
    <m/>
    <s v="Asarganj"/>
    <m/>
    <n v="0"/>
  </r>
  <r>
    <s v="Munger"/>
    <s v="03-09 Apr"/>
    <n v="1003"/>
    <s v="Asarganj"/>
    <x v="116"/>
    <s v="MUSKIPUR                                                                                            "/>
    <s v="MPG"/>
    <s v="Direct"/>
    <n v="1345.1000000000001"/>
    <n v="54270.130000000005"/>
    <n v="1330.2000000000003"/>
    <n v="54611.067094572834"/>
    <n v="0"/>
    <n v="0"/>
    <n v="1330.2000000000003"/>
    <n v="54611.067094572834"/>
    <n v="54270.130000000005"/>
    <n v="0"/>
    <n v="0"/>
    <n v="340.93709457282966"/>
    <n v="0"/>
    <n v="0"/>
    <n v="0"/>
    <n v="54270"/>
    <n v="0"/>
    <n v="0"/>
    <n v="0"/>
    <n v="0"/>
    <n v="0"/>
    <n v="0"/>
    <n v="-6.2822236573383851E-3"/>
    <n v="36"/>
    <m/>
    <s v="Asarganj"/>
    <m/>
    <n v="0"/>
  </r>
  <r>
    <s v="Munger"/>
    <s v="03-09 Apr"/>
    <n v="1003"/>
    <s v="Asarganj"/>
    <x v="117"/>
    <s v="NAYAGAUN                                                                                            "/>
    <s v="MPG"/>
    <s v="Direct"/>
    <n v="365.75"/>
    <n v="15543.509999999998"/>
    <n v="362.17999999999995"/>
    <n v="15408.5545648971"/>
    <n v="2.1699999999999995"/>
    <n v="93.399734484000007"/>
    <n v="364.34999999999997"/>
    <n v="15501.954299381101"/>
    <n v="15501.954299381101"/>
    <n v="0"/>
    <n v="93.399734484000007"/>
    <n v="0"/>
    <n v="0"/>
    <n v="0"/>
    <n v="0"/>
    <n v="15408"/>
    <n v="0"/>
    <n v="0"/>
    <n v="42"/>
    <n v="0"/>
    <n v="284.0966899521531"/>
    <n v="52.25"/>
    <n v="2.6735081470592803E-3"/>
    <n v="5"/>
    <m/>
    <s v="Asarganj"/>
    <m/>
    <n v="0"/>
  </r>
  <r>
    <s v="Munger"/>
    <s v="03-09 Apr"/>
    <n v="1003"/>
    <s v="Asarganj"/>
    <x v="118"/>
    <s v="LAUNA                                                                                               "/>
    <s v="MPG"/>
    <s v="Direct"/>
    <n v="1182.2"/>
    <n v="42856.98"/>
    <n v="1166.18"/>
    <n v="43802.734128053591"/>
    <n v="10.14"/>
    <n v="384.5869392024"/>
    <n v="1176.3200000000002"/>
    <n v="44187.321067255994"/>
    <n v="42856.98"/>
    <n v="0"/>
    <n v="384.5869392024"/>
    <n v="1330.3410672559912"/>
    <n v="14500"/>
    <n v="0"/>
    <n v="0"/>
    <n v="27972"/>
    <n v="0"/>
    <n v="0"/>
    <n v="0"/>
    <s v="Release1"/>
    <n v="0"/>
    <n v="0"/>
    <n v="-3.104140952666266E-2"/>
    <n v="16"/>
    <m/>
    <s v="Asarganj"/>
    <m/>
    <n v="0"/>
  </r>
  <r>
    <s v="Munger"/>
    <s v="03-09 Apr"/>
    <n v="1003"/>
    <s v="Asarganj"/>
    <x v="119"/>
    <s v="DULHAR"/>
    <s v="MPG"/>
    <s v="Direct"/>
    <n v="472.4"/>
    <n v="19615.100000000002"/>
    <n v="474.91999999999996"/>
    <n v="21130.073050882969"/>
    <n v="0"/>
    <n v="0"/>
    <n v="474.91999999999996"/>
    <n v="21130.073050882969"/>
    <n v="19615.100000000002"/>
    <n v="0"/>
    <n v="0"/>
    <n v="1514.9730508829671"/>
    <n v="0"/>
    <n v="0"/>
    <n v="0"/>
    <n v="19615"/>
    <n v="0"/>
    <n v="0"/>
    <n v="0"/>
    <s v="Release1"/>
    <n v="189.00917696867066"/>
    <n v="67.48571428571428"/>
    <n v="-7.7235040906391855E-2"/>
    <n v="16"/>
    <m/>
    <s v="Asarganj"/>
    <m/>
    <n v="0"/>
  </r>
  <r>
    <s v="Munger"/>
    <s v="03-09 Apr"/>
    <n v="1003"/>
    <s v="Asarganj"/>
    <x v="120"/>
    <s v="Ghorpithiya - Vikas"/>
    <s v="vlc"/>
    <s v="Indirect"/>
    <n v="1056.2"/>
    <n v="41990.770000000004"/>
    <n v="0"/>
    <n v="0"/>
    <n v="0"/>
    <n v="0"/>
    <n v="0"/>
    <n v="0"/>
    <n v="41990.770000000004"/>
    <n v="0"/>
    <n v="0"/>
    <n v="0"/>
    <n v="0"/>
    <n v="0"/>
    <n v="0"/>
    <n v="0"/>
    <n v="0"/>
    <n v="41990.770000000004"/>
    <n v="0"/>
    <n v="0"/>
    <n v="0"/>
    <n v="0"/>
    <n v="0"/>
    <n v="0"/>
    <m/>
    <s v="Asarganj"/>
    <m/>
    <n v="0"/>
  </r>
  <r>
    <s v="Munger"/>
    <s v="03-09 Apr"/>
    <n v="1003"/>
    <s v="Asarganj"/>
    <x v="121"/>
    <s v="Akbarnagar - Rakhi"/>
    <s v="vlc"/>
    <s v="Indirect"/>
    <n v="1124.75"/>
    <n v="42317.73"/>
    <n v="0"/>
    <n v="0"/>
    <n v="0"/>
    <n v="0"/>
    <n v="0"/>
    <n v="0"/>
    <n v="42317.73"/>
    <n v="0"/>
    <n v="0"/>
    <n v="0"/>
    <n v="0"/>
    <n v="0"/>
    <n v="0"/>
    <n v="0"/>
    <n v="0"/>
    <n v="42317.73"/>
    <n v="0"/>
    <n v="0"/>
    <n v="0"/>
    <n v="0"/>
    <n v="0"/>
    <n v="0"/>
    <m/>
    <s v="Asarganj"/>
    <m/>
    <n v="0"/>
  </r>
  <r>
    <s v="Munger"/>
    <s v="03-09 Apr"/>
    <n v="1003"/>
    <s v="Asarganj"/>
    <x v="956"/>
    <s v="Maheshi - Chamcham"/>
    <s v="vlc"/>
    <s v="Indirect"/>
    <n v="1100"/>
    <n v="41333"/>
    <n v="0"/>
    <n v="0"/>
    <n v="0"/>
    <n v="0"/>
    <n v="0"/>
    <n v="0"/>
    <n v="41333"/>
    <n v="0"/>
    <n v="0"/>
    <n v="0"/>
    <n v="0"/>
    <n v="0"/>
    <n v="0"/>
    <n v="0"/>
    <n v="0"/>
    <n v="41333"/>
    <n v="0"/>
    <n v="0"/>
    <n v="0"/>
    <n v="0"/>
    <n v="0"/>
    <n v="0"/>
    <m/>
    <s v="Asarganj"/>
    <m/>
    <n v="0"/>
  </r>
  <r>
    <s v="Munger"/>
    <s v="03-09 Apr"/>
    <n v="1003"/>
    <s v="Asarganj"/>
    <x v="957"/>
    <s v="Ghorpithiya - Dheeraj"/>
    <s v="vlc"/>
    <s v="Indirect"/>
    <n v="8637"/>
    <n v="323006.32"/>
    <n v="0"/>
    <n v="0"/>
    <n v="0"/>
    <n v="0"/>
    <n v="0"/>
    <n v="0"/>
    <n v="323006.32"/>
    <n v="0"/>
    <n v="0"/>
    <n v="0"/>
    <n v="0"/>
    <n v="0"/>
    <n v="0"/>
    <n v="0"/>
    <n v="0"/>
    <n v="323006.32"/>
    <n v="0"/>
    <n v="0"/>
    <n v="0"/>
    <n v="0"/>
    <n v="0"/>
    <n v="0"/>
    <m/>
    <s v="Asarganj"/>
    <m/>
    <n v="0"/>
  </r>
  <r>
    <s v="Munger"/>
    <s v="03-09 Apr"/>
    <n v="1003"/>
    <s v="Asarganj"/>
    <x v="958"/>
    <s v="Asarganj Chhotki Tola - Akash"/>
    <s v="vlc"/>
    <s v="Indirect"/>
    <n v="8974"/>
    <n v="336056.33"/>
    <n v="0"/>
    <n v="0"/>
    <n v="0"/>
    <n v="0"/>
    <n v="0"/>
    <n v="0"/>
    <n v="336056.33"/>
    <n v="0"/>
    <n v="0"/>
    <n v="0"/>
    <n v="0"/>
    <n v="0"/>
    <n v="0"/>
    <n v="0"/>
    <n v="0"/>
    <n v="336056.33"/>
    <n v="0"/>
    <n v="0"/>
    <n v="0"/>
    <n v="0"/>
    <n v="0"/>
    <n v="0"/>
    <m/>
    <s v="Asarganj"/>
    <m/>
    <n v="0"/>
  </r>
  <r>
    <s v="Munger"/>
    <s v="03-09 Apr"/>
    <n v="1003"/>
    <s v="Asarganj"/>
    <x v="959"/>
    <s v="Manikpur - Golu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  <n v="0"/>
    <n v="0"/>
    <n v="0"/>
    <n v="0"/>
    <m/>
    <s v="Asarganj"/>
    <m/>
    <n v="0"/>
  </r>
  <r>
    <s v="Munger"/>
    <s v="03-09 Apr"/>
    <n v="1003"/>
    <s v="Asarganj"/>
    <x v="960"/>
    <s v="Rangaon - Jayram"/>
    <s v="vlc"/>
    <s v="Indirect"/>
    <n v="1100"/>
    <n v="41372"/>
    <n v="0"/>
    <n v="0"/>
    <n v="0"/>
    <n v="0"/>
    <n v="0"/>
    <n v="0"/>
    <n v="41372"/>
    <n v="0"/>
    <n v="0"/>
    <n v="0"/>
    <n v="0"/>
    <n v="0"/>
    <n v="0"/>
    <n v="0"/>
    <n v="0"/>
    <n v="41372"/>
    <n v="0"/>
    <n v="0"/>
    <n v="0"/>
    <n v="0"/>
    <n v="0"/>
    <n v="0"/>
    <m/>
    <s v="Asarganj"/>
    <m/>
    <n v="0"/>
  </r>
  <r>
    <s v="Munger"/>
    <s v="03-09 Apr"/>
    <n v="1003"/>
    <s v="Asarganj"/>
    <x v="961"/>
    <s v="Karso - Aparajita"/>
    <s v="vlc"/>
    <s v="Indirect"/>
    <n v="1100"/>
    <n v="41437"/>
    <n v="0"/>
    <n v="0"/>
    <n v="0"/>
    <n v="0"/>
    <n v="0"/>
    <n v="0"/>
    <n v="41437"/>
    <n v="0"/>
    <n v="0"/>
    <n v="0"/>
    <n v="0"/>
    <n v="0"/>
    <n v="0"/>
    <n v="0"/>
    <n v="0"/>
    <n v="41437"/>
    <n v="0"/>
    <n v="0"/>
    <n v="0"/>
    <n v="0"/>
    <n v="0"/>
    <n v="0"/>
    <m/>
    <s v="Asarganj"/>
    <m/>
    <n v="0"/>
  </r>
  <r>
    <s v="Munger"/>
    <s v="03-09 Apr"/>
    <n v="1003"/>
    <s v="Asarganj"/>
    <x v="962"/>
    <s v="Unchagaon - Niraj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  <n v="0"/>
    <n v="0"/>
    <n v="0"/>
    <n v="0"/>
    <m/>
    <s v="Asarganj"/>
    <m/>
    <n v="0"/>
  </r>
  <r>
    <s v="Munger"/>
    <s v="03-09 Apr"/>
    <n v="1003"/>
    <s v="Asarganj"/>
    <x v="122"/>
    <s v="SRIRAMPUR"/>
    <s v="MPG"/>
    <s v="Direct"/>
    <n v="822.1"/>
    <n v="27758.220000000005"/>
    <n v="830.5"/>
    <n v="28578.614209200001"/>
    <n v="0"/>
    <n v="0"/>
    <n v="830.5"/>
    <n v="28578.614209200001"/>
    <n v="27758.220000000005"/>
    <n v="0"/>
    <n v="0"/>
    <n v="820.39420919999611"/>
    <n v="0"/>
    <n v="0"/>
    <n v="0"/>
    <n v="27758"/>
    <n v="0"/>
    <n v="0"/>
    <n v="0"/>
    <s v="Release1"/>
    <n v="0"/>
    <n v="0"/>
    <n v="-2.955500061603359E-2"/>
    <n v="2"/>
    <m/>
    <s v="Asarganj"/>
    <m/>
    <n v="0"/>
  </r>
  <r>
    <s v="Munger"/>
    <s v="03-09 Apr"/>
    <n v="1003"/>
    <s v="Asarganj"/>
    <x v="123"/>
    <s v="PAIN"/>
    <s v="MPG"/>
    <s v="Direct"/>
    <n v="1213.9000000000001"/>
    <n v="42695.13"/>
    <n v="1205.4000000000001"/>
    <n v="43235.293136666398"/>
    <n v="43.44"/>
    <n v="1411.8714074321999"/>
    <n v="1248.8400000000001"/>
    <n v="44647.164544098596"/>
    <n v="42695.13"/>
    <n v="0"/>
    <n v="1411.8714074321999"/>
    <n v="1952.0345440985984"/>
    <n v="0"/>
    <n v="0"/>
    <n v="0"/>
    <n v="41283"/>
    <n v="0"/>
    <n v="0"/>
    <n v="0"/>
    <n v="0"/>
    <n v="0"/>
    <n v="0"/>
    <n v="-4.5720309180428742E-2"/>
    <n v="14"/>
    <m/>
    <s v="Asarganj"/>
    <m/>
    <n v="0"/>
  </r>
  <r>
    <s v="Munger"/>
    <s v="03-09 Apr"/>
    <n v="1003"/>
    <s v="Asarganj"/>
    <x v="124"/>
    <s v="MOTICHAK"/>
    <s v="MPG"/>
    <s v="Direct"/>
    <n v="2252.1999999999998"/>
    <n v="81154.570000000007"/>
    <n v="2231.37"/>
    <n v="84851.099474209215"/>
    <n v="60.32"/>
    <n v="2307.0845239200007"/>
    <n v="2291.69"/>
    <n v="87158.183998129214"/>
    <n v="81154.570000000007"/>
    <n v="0"/>
    <n v="2307.0845239200007"/>
    <n v="6003.6139981292072"/>
    <n v="0"/>
    <n v="0"/>
    <n v="0"/>
    <n v="78847"/>
    <n v="0"/>
    <n v="0"/>
    <n v="0"/>
    <s v="Release1"/>
    <n v="0"/>
    <n v="0"/>
    <n v="-7.3977522130044021E-2"/>
    <n v="7"/>
    <m/>
    <s v="Asarganj"/>
    <m/>
    <n v="0"/>
  </r>
  <r>
    <s v="Munger"/>
    <s v="03-09 Apr"/>
    <n v="1003"/>
    <s v="Asarganj"/>
    <x v="125"/>
    <s v="MIRATTHI"/>
    <s v="MPG"/>
    <s v="Direct"/>
    <n v="346.25"/>
    <n v="14215.980000000001"/>
    <n v="341.55"/>
    <n v="14093.15400173952"/>
    <n v="1.3"/>
    <n v="53.289858600000002"/>
    <n v="342.85"/>
    <n v="14146.443860339519"/>
    <n v="14146.443860339519"/>
    <n v="0"/>
    <n v="53.289858600000002"/>
    <n v="0"/>
    <n v="0"/>
    <n v="0"/>
    <n v="0"/>
    <n v="14093"/>
    <n v="0"/>
    <n v="0"/>
    <n v="70"/>
    <n v="0"/>
    <n v="290.47814729241878"/>
    <n v="49.464285714285715"/>
    <n v="4.8914066888446767E-3"/>
    <n v="8"/>
    <m/>
    <s v="Asarganj"/>
    <m/>
    <n v="0"/>
  </r>
  <r>
    <s v="Munger"/>
    <s v="03-09 Apr"/>
    <n v="1003"/>
    <s v="Asarganj"/>
    <x v="126"/>
    <s v="DAULATPUR"/>
    <s v="MPG"/>
    <s v="Direct"/>
    <n v="284.8"/>
    <n v="11616.530000000002"/>
    <n v="281.24"/>
    <n v="12130.6262204995"/>
    <n v="3.15"/>
    <n v="130.45421661030002"/>
    <n v="284.39"/>
    <n v="12261.0804371098"/>
    <n v="11616.530000000002"/>
    <n v="0"/>
    <n v="130.45421661030002"/>
    <n v="644.55043710979771"/>
    <n v="0"/>
    <n v="500"/>
    <n v="0"/>
    <n v="10986"/>
    <n v="0"/>
    <n v="0"/>
    <n v="0"/>
    <s v="Release1"/>
    <n v="338.70668932584277"/>
    <n v="40.68571428571429"/>
    <n v="-5.5485625837474496E-2"/>
    <n v="5"/>
    <m/>
    <s v="Asarganj"/>
    <m/>
    <n v="500"/>
  </r>
  <r>
    <s v="Munger"/>
    <s v="03-09 Apr"/>
    <n v="1003"/>
    <s v="Asarganj"/>
    <x v="127"/>
    <s v="MOHADDIPUR"/>
    <s v="MPG"/>
    <s v="Direct"/>
    <n v="422.5"/>
    <n v="15364.710000000001"/>
    <n v="764"/>
    <n v="36699.588618035006"/>
    <n v="0"/>
    <n v="0"/>
    <n v="764"/>
    <n v="36699.588618035006"/>
    <n v="15364.710000000001"/>
    <n v="0"/>
    <n v="0"/>
    <n v="21334.878618035007"/>
    <n v="0"/>
    <n v="500"/>
    <n v="0"/>
    <n v="14865"/>
    <n v="0"/>
    <n v="0"/>
    <n v="0"/>
    <s v="Release1"/>
    <n v="201.83228520710063"/>
    <n v="60.357142857142854"/>
    <n v="-1.3885637033198157"/>
    <n v="2"/>
    <m/>
    <s v="Asarganj"/>
    <m/>
    <n v="500"/>
  </r>
  <r>
    <s v="Munger"/>
    <s v="03-09 Apr"/>
    <n v="1003"/>
    <s v="Asarganj"/>
    <x v="128"/>
    <s v="JHAJHA"/>
    <s v="MPG"/>
    <s v="Direct"/>
    <n v="634.95000000000005"/>
    <n v="26853.18"/>
    <n v="630.53999999999985"/>
    <n v="27076.783238282325"/>
    <n v="2.33"/>
    <n v="91.347811236000013"/>
    <n v="632.86999999999989"/>
    <n v="27168.131049518324"/>
    <n v="26853.18"/>
    <n v="0"/>
    <n v="91.347811236000013"/>
    <n v="314.951049518324"/>
    <n v="0"/>
    <n v="0"/>
    <n v="0"/>
    <n v="26762"/>
    <n v="0"/>
    <n v="0"/>
    <n v="0"/>
    <n v="0"/>
    <n v="55.021635057878491"/>
    <n v="90.70714285714287"/>
    <n v="-1.1728631376929064E-2"/>
    <n v="11"/>
    <m/>
    <s v="Asarganj"/>
    <m/>
    <n v="0"/>
  </r>
  <r>
    <s v="Munger"/>
    <s v="03-09 Apr"/>
    <n v="1003"/>
    <s v="Asarganj"/>
    <x v="129"/>
    <s v="KAMARDUH"/>
    <s v="MPG"/>
    <s v="Direct"/>
    <n v="793.25"/>
    <n v="32380.769999999997"/>
    <n v="793.39999999999986"/>
    <n v="32386.26477636"/>
    <n v="7"/>
    <n v="286.1837946"/>
    <n v="800.39999999999986"/>
    <n v="32672.448570960001"/>
    <n v="32380.769999999997"/>
    <n v="0"/>
    <n v="286.1837946"/>
    <n v="291.67857096000444"/>
    <n v="0"/>
    <n v="0"/>
    <n v="0"/>
    <n v="32095"/>
    <n v="0"/>
    <n v="0"/>
    <n v="0"/>
    <n v="0"/>
    <n v="0"/>
    <n v="0"/>
    <n v="-9.0077713087120675E-3"/>
    <n v="2"/>
    <m/>
    <s v="Asarganj"/>
    <m/>
    <n v="0"/>
  </r>
  <r>
    <s v="Munger"/>
    <s v="03-09 Apr"/>
    <n v="1003"/>
    <s v="Asarganj"/>
    <x v="130"/>
    <s v="BARSABAD"/>
    <s v="MPG"/>
    <s v="Direct"/>
    <n v="686.9"/>
    <n v="22916.570000000003"/>
    <n v="696.30000000000007"/>
    <n v="26137.236292655405"/>
    <n v="4.93"/>
    <n v="193.74721145999999"/>
    <n v="701.23"/>
    <n v="26330.983504115404"/>
    <n v="22916.570000000003"/>
    <n v="0"/>
    <n v="193.74721145999999"/>
    <n v="3414.4135041154004"/>
    <n v="0"/>
    <n v="0"/>
    <n v="0"/>
    <n v="22723"/>
    <n v="0"/>
    <n v="0"/>
    <n v="0"/>
    <n v="0"/>
    <n v="8.7409249381278666"/>
    <n v="98.128571428571419"/>
    <n v="-0.14899321775097232"/>
    <n v="9"/>
    <m/>
    <s v="Asarganj"/>
    <m/>
    <n v="0"/>
  </r>
  <r>
    <s v="Munger"/>
    <s v="03-09 Apr"/>
    <n v="1003"/>
    <s v="Asarganj"/>
    <x v="131"/>
    <s v="GONAI"/>
    <s v="MPG"/>
    <s v="Direct"/>
    <n v="948.1500000000002"/>
    <n v="36815.300000000003"/>
    <n v="904.69999999999993"/>
    <n v="34810.02258568901"/>
    <n v="3.7199999999999998"/>
    <n v="142.38978573600005"/>
    <n v="908.42"/>
    <n v="34952.412371425009"/>
    <n v="34952.412371425009"/>
    <n v="0"/>
    <n v="142.38978573600005"/>
    <n v="0"/>
    <n v="0"/>
    <n v="0"/>
    <n v="0"/>
    <n v="34809"/>
    <n v="0"/>
    <n v="0"/>
    <n v="1864"/>
    <s v="Release1"/>
    <n v="0"/>
    <n v="0"/>
    <n v="5.0600908550928386E-2"/>
    <n v="7"/>
    <m/>
    <s v="Asarganj"/>
    <m/>
    <n v="0"/>
  </r>
  <r>
    <s v="Munger"/>
    <s v="03-09 Apr"/>
    <n v="1003"/>
    <s v="Asarganj"/>
    <x v="132"/>
    <s v="SHIKARITOLA"/>
    <s v="MPG"/>
    <s v="Direct"/>
    <n v="1159.55"/>
    <n v="46088.31"/>
    <n v="1156.8200000000002"/>
    <n v="51224.240241122556"/>
    <n v="0"/>
    <n v="0"/>
    <n v="1156.8200000000002"/>
    <n v="51224.240241122556"/>
    <n v="46088.31"/>
    <n v="0"/>
    <n v="0"/>
    <n v="5135.9302411225581"/>
    <n v="0"/>
    <n v="0"/>
    <n v="0"/>
    <n v="46088"/>
    <n v="0"/>
    <n v="0"/>
    <n v="0"/>
    <s v="Release3"/>
    <n v="0"/>
    <n v="0"/>
    <n v="-0.11143672313266766"/>
    <n v="3"/>
    <m/>
    <s v="Asarganj"/>
    <m/>
    <n v="0"/>
  </r>
  <r>
    <s v="Munger"/>
    <s v="03-09 Apr"/>
    <n v="1003"/>
    <s v="Asarganj"/>
    <x v="133"/>
    <s v="BAIKUNTHPUR"/>
    <s v="MPG"/>
    <s v="Direct"/>
    <n v="96.8"/>
    <n v="3534.75"/>
    <n v="113.29"/>
    <n v="3794.2002705024006"/>
    <n v="1.77"/>
    <n v="58.563866473200001"/>
    <n v="115.06"/>
    <n v="3852.7641369756006"/>
    <n v="3534.75"/>
    <n v="0"/>
    <n v="58.563866473200001"/>
    <n v="318.01413697560065"/>
    <n v="0"/>
    <n v="500"/>
    <n v="0"/>
    <n v="2976"/>
    <n v="0"/>
    <n v="0"/>
    <n v="0"/>
    <n v="0"/>
    <n v="440.52917355371903"/>
    <n v="13.828571428571427"/>
    <n v="-8.9967928983832143E-2"/>
    <n v="4"/>
    <m/>
    <s v="Asarganj"/>
    <m/>
    <n v="500"/>
  </r>
  <r>
    <s v="Munger"/>
    <s v="03-09 Apr"/>
    <n v="1003"/>
    <s v="Asarganj"/>
    <x v="134"/>
    <s v="KAITHA"/>
    <s v="MPG"/>
    <s v="Direct"/>
    <n v="1802.3"/>
    <n v="67792.97"/>
    <n v="1194.9100000000001"/>
    <n v="48902.233810688907"/>
    <n v="724.08"/>
    <n v="28625.568083311715"/>
    <n v="1918.9900000000002"/>
    <n v="77527.801894000615"/>
    <n v="67792.97"/>
    <n v="0"/>
    <n v="663.98254607520016"/>
    <n v="9734.8318940006138"/>
    <n v="0"/>
    <n v="0"/>
    <n v="0"/>
    <n v="39166"/>
    <n v="27963"/>
    <n v="0"/>
    <n v="0"/>
    <n v="0"/>
    <n v="0"/>
    <n v="0"/>
    <n v="-0.1435964804905378"/>
    <n v="18"/>
    <m/>
    <s v="Asarganj"/>
    <m/>
    <n v="0"/>
  </r>
  <r>
    <s v="Munger"/>
    <s v="03-09 Apr"/>
    <n v="1003"/>
    <s v="Asarganj"/>
    <x v="135"/>
    <s v="DORAI"/>
    <s v="MPG"/>
    <s v="Direct"/>
    <n v="943.85"/>
    <n v="34305.790000000008"/>
    <n v="957.93000000000006"/>
    <n v="38453.471458810338"/>
    <n v="27.85"/>
    <n v="1119.7616829954002"/>
    <n v="985.78000000000009"/>
    <n v="39573.233141805737"/>
    <n v="34305.790000000008"/>
    <n v="0"/>
    <n v="1119.7616829954002"/>
    <n v="5267.4431418057284"/>
    <n v="0"/>
    <n v="0"/>
    <n v="0"/>
    <n v="33186"/>
    <n v="0"/>
    <n v="0"/>
    <n v="0"/>
    <n v="0"/>
    <n v="0"/>
    <n v="0"/>
    <n v="-0.15354385197967244"/>
    <n v="4"/>
    <m/>
    <s v="Asarganj"/>
    <m/>
    <n v="0"/>
  </r>
  <r>
    <s v="Munger"/>
    <s v="03-09 Apr"/>
    <n v="1003"/>
    <s v="Asarganj"/>
    <x v="136"/>
    <s v="RAGHUNATHPUR"/>
    <s v="vlc"/>
    <s v="Indirect"/>
    <n v="618.65"/>
    <n v="21483.89"/>
    <n v="0"/>
    <n v="0"/>
    <n v="0"/>
    <n v="0"/>
    <n v="0"/>
    <n v="0"/>
    <n v="21483.89"/>
    <n v="0"/>
    <n v="0"/>
    <n v="0"/>
    <n v="0"/>
    <n v="0"/>
    <n v="0"/>
    <n v="0"/>
    <n v="0"/>
    <n v="21483.89"/>
    <n v="0"/>
    <n v="0"/>
    <n v="56.500911710983637"/>
    <n v="88.378571428571419"/>
    <n v="0"/>
    <n v="0"/>
    <m/>
    <s v="Asarganj"/>
    <m/>
    <n v="0"/>
  </r>
  <r>
    <s v="Munger"/>
    <s v="03-09 Apr"/>
    <n v="1003"/>
    <s v="Asarganj"/>
    <x v="137"/>
    <s v="BANGAMA"/>
    <s v="MPG"/>
    <s v="Direct"/>
    <n v="727.65000000000009"/>
    <n v="28932.400000000001"/>
    <n v="720"/>
    <n v="29373.710929200002"/>
    <n v="14"/>
    <n v="558.50762880000002"/>
    <n v="734"/>
    <n v="29932.218558"/>
    <n v="28932.400000000001"/>
    <n v="0"/>
    <n v="558.50762880000002"/>
    <n v="999.81855799999903"/>
    <n v="0"/>
    <n v="0"/>
    <n v="0"/>
    <n v="28374"/>
    <n v="0"/>
    <n v="0"/>
    <n v="0"/>
    <n v="0"/>
    <n v="0"/>
    <n v="0"/>
    <n v="-3.4557055688432307E-2"/>
    <n v="6"/>
    <m/>
    <s v="Asarganj"/>
    <m/>
    <n v="0"/>
  </r>
  <r>
    <s v="Munger"/>
    <s v="03-09 Apr"/>
    <n v="1003"/>
    <s v="Asarganj"/>
    <x v="138"/>
    <s v="KORIYA"/>
    <s v="MPG"/>
    <s v="Direct"/>
    <n v="91.95"/>
    <n v="3840.5899999999997"/>
    <n v="98.159999999999982"/>
    <n v="4476.7822019966197"/>
    <n v="0"/>
    <n v="0"/>
    <n v="98.159999999999982"/>
    <n v="4476.7822019966197"/>
    <n v="3840.5899999999997"/>
    <n v="0"/>
    <n v="0"/>
    <n v="636.19220199662004"/>
    <n v="0"/>
    <n v="500"/>
    <n v="0"/>
    <n v="3341"/>
    <n v="0"/>
    <n v="0"/>
    <n v="0"/>
    <s v="Release1"/>
    <n v="507.94361054921143"/>
    <n v="13.135714285714286"/>
    <n v="-0.16564960123226383"/>
    <n v="7"/>
    <m/>
    <s v="Asarganj"/>
    <m/>
    <n v="500"/>
  </r>
  <r>
    <s v="Munger"/>
    <s v="03-09 Apr"/>
    <n v="1003"/>
    <s v="Asarganj"/>
    <x v="139"/>
    <s v="HARLACHAK"/>
    <s v="MPG"/>
    <s v="Direct"/>
    <n v="1005.6"/>
    <n v="38585.040000000001"/>
    <n v="984.11999999999989"/>
    <n v="38295.464296444938"/>
    <n v="10.959999999999999"/>
    <n v="430.20810993600003"/>
    <n v="995.07999999999993"/>
    <n v="38725.672406380938"/>
    <n v="38585.040000000001"/>
    <n v="0"/>
    <n v="430.20810993600003"/>
    <n v="140.63240638093703"/>
    <n v="0"/>
    <n v="0"/>
    <n v="0"/>
    <n v="38155"/>
    <n v="0"/>
    <n v="0"/>
    <n v="0"/>
    <n v="0"/>
    <n v="0"/>
    <n v="0"/>
    <n v="-3.6447391626634835E-3"/>
    <n v="26"/>
    <m/>
    <s v="Asarganj"/>
    <m/>
    <n v="0"/>
  </r>
  <r>
    <s v="Munger"/>
    <s v="03-09 Apr"/>
    <n v="1003"/>
    <s v="Asarganj"/>
    <x v="140"/>
    <s v="Jangle Jhakra"/>
    <s v="MPG"/>
    <s v="Direct"/>
    <n v="1784.3500000000001"/>
    <n v="68896.399999999994"/>
    <n v="1835.22"/>
    <n v="72097.654316291999"/>
    <n v="0"/>
    <n v="0"/>
    <n v="1835.22"/>
    <n v="72097.654316291999"/>
    <n v="68896.399999999994"/>
    <n v="0"/>
    <n v="0"/>
    <n v="3201.2543162920047"/>
    <n v="0"/>
    <n v="0"/>
    <n v="0"/>
    <n v="68896"/>
    <n v="0"/>
    <n v="0"/>
    <n v="0"/>
    <s v="Release1"/>
    <n v="0"/>
    <n v="0"/>
    <n v="-4.6464754563257368E-2"/>
    <n v="4"/>
    <m/>
    <s v="Asarganj"/>
    <m/>
    <n v="0"/>
  </r>
  <r>
    <s v="Munger"/>
    <s v="03-09 Apr"/>
    <n v="1003"/>
    <s v="Asarganj"/>
    <x v="141"/>
    <s v="KATAHRA"/>
    <s v="MPG"/>
    <s v="Direct"/>
    <n v="331.65"/>
    <n v="12603.52"/>
    <n v="344.38"/>
    <n v="14321.977734286223"/>
    <n v="0"/>
    <n v="0"/>
    <n v="344.38"/>
    <n v="14321.977734286223"/>
    <n v="12603.52"/>
    <n v="0"/>
    <n v="0"/>
    <n v="1718.4577342862231"/>
    <n v="0"/>
    <n v="500"/>
    <n v="0"/>
    <n v="12104"/>
    <n v="0"/>
    <n v="0"/>
    <n v="0"/>
    <s v="Release1"/>
    <n v="279.96421480476408"/>
    <n v="47.378571428571426"/>
    <n v="-0.13634744375271535"/>
    <n v="3"/>
    <m/>
    <s v="Asarganj"/>
    <m/>
    <n v="500"/>
  </r>
  <r>
    <s v="Munger"/>
    <s v="03-09 Apr"/>
    <n v="1003"/>
    <s v="Asarganj"/>
    <x v="142"/>
    <s v="KARHARIA V"/>
    <s v="vlc"/>
    <s v="Indirect"/>
    <n v="251.29999999999998"/>
    <n v="9083.7999999999993"/>
    <n v="0"/>
    <n v="0"/>
    <n v="0"/>
    <n v="0"/>
    <n v="0"/>
    <n v="0"/>
    <n v="9083.7999999999993"/>
    <n v="0"/>
    <n v="0"/>
    <n v="0"/>
    <n v="0"/>
    <n v="0"/>
    <n v="0"/>
    <n v="0"/>
    <n v="0"/>
    <n v="9083.7999999999993"/>
    <n v="0"/>
    <n v="0"/>
    <n v="324.38528133704727"/>
    <n v="35.9"/>
    <n v="0"/>
    <n v="0"/>
    <m/>
    <s v="Asarganj"/>
    <m/>
    <n v="0"/>
  </r>
  <r>
    <s v="Munger"/>
    <s v="03-09 Apr"/>
    <n v="1003"/>
    <s v="Asarganj"/>
    <x v="143"/>
    <s v="BALADEV ITAHARI"/>
    <s v="MPG"/>
    <s v="Direct"/>
    <n v="308.8"/>
    <n v="10824.529999999999"/>
    <n v="384.40999999999997"/>
    <n v="14491.378515927951"/>
    <n v="0"/>
    <n v="0"/>
    <n v="384.40999999999997"/>
    <n v="14491.378515927951"/>
    <n v="10824.529999999999"/>
    <n v="0"/>
    <n v="0"/>
    <n v="3666.8485159279517"/>
    <n v="0"/>
    <n v="0"/>
    <n v="0"/>
    <n v="10825"/>
    <n v="0"/>
    <n v="0"/>
    <n v="0"/>
    <n v="0"/>
    <n v="274.2588170984456"/>
    <n v="44.114285714285714"/>
    <n v="-0.33875360093490914"/>
    <n v="5"/>
    <m/>
    <s v="Asarganj"/>
    <m/>
    <n v="0"/>
  </r>
  <r>
    <s v="Munger"/>
    <s v="03-09 Apr"/>
    <n v="1003"/>
    <s v="Asarganj"/>
    <x v="144"/>
    <s v="GOMUKH KODAND"/>
    <s v="vlc"/>
    <s v="Indirect"/>
    <n v="686.45"/>
    <n v="24227.259999999995"/>
    <n v="0"/>
    <n v="0"/>
    <n v="0"/>
    <n v="0"/>
    <n v="0"/>
    <n v="0"/>
    <n v="24227.259999999995"/>
    <n v="0"/>
    <n v="0"/>
    <n v="0"/>
    <n v="0"/>
    <n v="0"/>
    <n v="0"/>
    <n v="0"/>
    <n v="0"/>
    <n v="24227.259999999995"/>
    <n v="0"/>
    <n v="0"/>
    <n v="9.5645530774273286"/>
    <n v="98.064285714285717"/>
    <n v="0"/>
    <n v="0"/>
    <m/>
    <s v="Asarganj"/>
    <m/>
    <n v="0"/>
  </r>
  <r>
    <s v="Munger"/>
    <s v="03-09 Apr"/>
    <n v="1003"/>
    <s v="Asarganj"/>
    <x v="145"/>
    <s v="PAHALANPUR"/>
    <s v="MPG"/>
    <s v="Direct"/>
    <n v="862.2"/>
    <n v="33029.270000000004"/>
    <n v="858.3599999999999"/>
    <n v="32880.326132934802"/>
    <n v="0"/>
    <n v="0"/>
    <n v="858.3599999999999"/>
    <n v="32880.326132934802"/>
    <n v="32880.326132934802"/>
    <n v="0"/>
    <n v="0"/>
    <n v="0"/>
    <n v="0"/>
    <n v="0"/>
    <n v="0"/>
    <n v="32879"/>
    <n v="0"/>
    <n v="0"/>
    <n v="150"/>
    <n v="0"/>
    <n v="0"/>
    <n v="0"/>
    <n v="4.5094507709435181E-3"/>
    <n v="25"/>
    <m/>
    <s v="Asarganj"/>
    <m/>
    <n v="0"/>
  </r>
  <r>
    <s v="Munger"/>
    <s v="03-09 Apr"/>
    <n v="1003"/>
    <s v="Asarganj"/>
    <x v="146"/>
    <s v="TETARIYA"/>
    <s v="vlc"/>
    <s v="Indirect"/>
    <n v="186.5"/>
    <n v="6455.67"/>
    <n v="0"/>
    <n v="0"/>
    <n v="0"/>
    <n v="0"/>
    <n v="0"/>
    <n v="0"/>
    <n v="6455.67"/>
    <n v="0"/>
    <n v="0"/>
    <n v="0"/>
    <n v="0"/>
    <n v="0"/>
    <n v="0"/>
    <n v="0"/>
    <n v="0"/>
    <n v="6455.67"/>
    <n v="0"/>
    <n v="0"/>
    <n v="355.49453565683655"/>
    <n v="26.642857142857142"/>
    <n v="0"/>
    <n v="0"/>
    <m/>
    <s v="Asarganj"/>
    <m/>
    <n v="0"/>
  </r>
  <r>
    <s v="Munger"/>
    <s v="03-09 Apr"/>
    <n v="1003"/>
    <s v="Asarganj"/>
    <x v="147"/>
    <s v="RAMBRAN YADAV"/>
    <s v="MPG"/>
    <s v="Direct"/>
    <n v="223.25"/>
    <n v="8415.09"/>
    <n v="255.98000000000005"/>
    <n v="9288.6684918786013"/>
    <n v="0"/>
    <n v="0"/>
    <n v="255.98000000000005"/>
    <n v="9288.6684918786013"/>
    <n v="8415.09"/>
    <n v="0"/>
    <n v="0"/>
    <n v="873.5784918786012"/>
    <n v="0"/>
    <n v="0"/>
    <n v="0"/>
    <n v="8415"/>
    <n v="0"/>
    <n v="0"/>
    <n v="0"/>
    <n v="0"/>
    <n v="359.40821119820833"/>
    <n v="31.892857142857142"/>
    <n v="-0.10381095055175894"/>
    <n v="1"/>
    <m/>
    <s v="Asarganj"/>
    <m/>
    <n v="0"/>
  </r>
  <r>
    <s v="Munger"/>
    <s v="03-09 Apr"/>
    <n v="1003"/>
    <s v="Asarganj"/>
    <x v="148"/>
    <s v="Gomukh Beldra"/>
    <s v="MPG"/>
    <s v="Indirect"/>
    <n v="190.65"/>
    <n v="6341.9800000000005"/>
    <n v="0"/>
    <n v="0"/>
    <n v="0"/>
    <n v="0"/>
    <n v="0"/>
    <n v="0"/>
    <n v="6341.9800000000005"/>
    <n v="0"/>
    <n v="0"/>
    <n v="0"/>
    <n v="0"/>
    <n v="0"/>
    <n v="0"/>
    <n v="0"/>
    <n v="0"/>
    <n v="6341.9800000000005"/>
    <n v="0"/>
    <n v="0"/>
    <n v="338.87096910569102"/>
    <n v="27.235714285714288"/>
    <n v="0"/>
    <n v="0"/>
    <m/>
    <s v="Asarganj"/>
    <m/>
    <n v="0"/>
  </r>
  <r>
    <s v="Munger"/>
    <s v="03-09 Apr"/>
    <n v="1003"/>
    <s v="Asarganj"/>
    <x v="149"/>
    <s v="Gomukh Chandanpura"/>
    <s v="MPG"/>
    <s v="Indirect"/>
    <n v="346.5"/>
    <n v="12287"/>
    <n v="0"/>
    <n v="0"/>
    <n v="0"/>
    <n v="0"/>
    <n v="0"/>
    <n v="0"/>
    <n v="12287"/>
    <n v="0"/>
    <n v="0"/>
    <n v="0"/>
    <n v="0"/>
    <n v="0"/>
    <n v="0"/>
    <n v="0"/>
    <n v="0"/>
    <n v="12287"/>
    <n v="0"/>
    <n v="0"/>
    <n v="250.70444444444445"/>
    <n v="49.5"/>
    <n v="0"/>
    <n v="0"/>
    <m/>
    <s v="Asarganj"/>
    <m/>
    <n v="0"/>
  </r>
  <r>
    <s v="Munger"/>
    <s v="03-09 Apr"/>
    <n v="1004"/>
    <s v="Tofir"/>
    <x v="150"/>
    <s v="GOMUKH GANGA SAHYOG"/>
    <s v="vlc"/>
    <s v="Indirect"/>
    <n v="731.1"/>
    <n v="24038.57"/>
    <n v="0"/>
    <n v="0"/>
    <n v="0"/>
    <n v="0"/>
    <n v="0"/>
    <n v="0"/>
    <n v="24038.57"/>
    <n v="0"/>
    <n v="0"/>
    <n v="0"/>
    <n v="0"/>
    <n v="0"/>
    <n v="0"/>
    <n v="0"/>
    <n v="0"/>
    <n v="24038.57"/>
    <n v="0"/>
    <n v="0"/>
    <n v="0"/>
    <n v="0"/>
    <n v="0"/>
    <n v="0"/>
    <m/>
    <s v="Tofir"/>
    <m/>
    <n v="0"/>
  </r>
  <r>
    <s v="Munger"/>
    <s v="03-09 Apr"/>
    <n v="1006"/>
    <s v="Sonvarsha"/>
    <x v="151"/>
    <s v="MANO"/>
    <s v="vlc"/>
    <s v="Indirect"/>
    <n v="1409.4"/>
    <n v="55345.98"/>
    <n v="0"/>
    <n v="0"/>
    <n v="0"/>
    <n v="0"/>
    <n v="0"/>
    <n v="0"/>
    <n v="55345.98"/>
    <n v="0"/>
    <n v="0"/>
    <n v="0"/>
    <n v="0"/>
    <n v="0"/>
    <n v="0"/>
    <n v="0"/>
    <n v="0"/>
    <n v="55345.98"/>
    <n v="0"/>
    <n v="0"/>
    <n v="0"/>
    <n v="0"/>
    <n v="0"/>
    <n v="0"/>
    <m/>
    <s v="Sonvarsha"/>
    <m/>
    <n v="0"/>
  </r>
  <r>
    <s v="Munger"/>
    <s v="03-09 Apr"/>
    <n v="1006"/>
    <s v="Sonvarsha"/>
    <x v="152"/>
    <s v="PURANI SALEMPUR"/>
    <s v="vlc"/>
    <s v="Indirect"/>
    <n v="1321.6"/>
    <n v="51605.599999999999"/>
    <n v="0"/>
    <n v="0"/>
    <n v="0"/>
    <n v="0"/>
    <n v="0"/>
    <n v="0"/>
    <n v="51605.599999999999"/>
    <n v="0"/>
    <n v="0"/>
    <n v="0"/>
    <n v="0"/>
    <n v="0"/>
    <n v="0"/>
    <n v="0"/>
    <n v="0"/>
    <n v="51605.599999999999"/>
    <n v="0"/>
    <n v="0"/>
    <n v="0"/>
    <n v="0"/>
    <n v="0"/>
    <n v="0"/>
    <m/>
    <s v="Sonvarsha"/>
    <m/>
    <n v="0"/>
  </r>
  <r>
    <s v="Munger"/>
    <s v="03-09 Apr"/>
    <n v="1006"/>
    <s v="Sonvarsha"/>
    <x v="153"/>
    <s v="DHANDHHA"/>
    <s v="vlc"/>
    <s v="Indirect"/>
    <n v="2423.3999999999996"/>
    <n v="96973.949999999983"/>
    <n v="0"/>
    <n v="0"/>
    <n v="0"/>
    <n v="0"/>
    <n v="0"/>
    <n v="0"/>
    <n v="96973.949999999983"/>
    <n v="0"/>
    <n v="0"/>
    <n v="0"/>
    <n v="0"/>
    <n v="0"/>
    <n v="0"/>
    <n v="0"/>
    <n v="0"/>
    <n v="96973.949999999983"/>
    <n v="0"/>
    <n v="0"/>
    <n v="0"/>
    <n v="0"/>
    <n v="0"/>
    <n v="0"/>
    <m/>
    <s v="Sonvarsha"/>
    <m/>
    <n v="0"/>
  </r>
  <r>
    <s v="Munger"/>
    <s v="03-09 Apr"/>
    <n v="1006"/>
    <s v="Sonvarsha"/>
    <x v="154"/>
    <s v="CHALISH"/>
    <s v="vlc"/>
    <s v="Indirect"/>
    <n v="937.8"/>
    <n v="38148.060000000005"/>
    <n v="0"/>
    <n v="0"/>
    <n v="0"/>
    <n v="0"/>
    <n v="0"/>
    <n v="0"/>
    <n v="38148.060000000005"/>
    <n v="0"/>
    <n v="0"/>
    <n v="0"/>
    <n v="0"/>
    <n v="0"/>
    <n v="0"/>
    <n v="0"/>
    <n v="0"/>
    <n v="38148.060000000005"/>
    <n v="0"/>
    <n v="0"/>
    <n v="0"/>
    <n v="0"/>
    <n v="0"/>
    <n v="0"/>
    <m/>
    <s v="Sonvarsha"/>
    <m/>
    <n v="0"/>
  </r>
  <r>
    <s v="Munger"/>
    <s v="03-09 Apr"/>
    <n v="1006"/>
    <s v="Sonvarsha"/>
    <x v="155"/>
    <s v="MAA BHAGWATI"/>
    <s v="vlc"/>
    <s v="Indirect"/>
    <n v="1179.5000000000002"/>
    <n v="43390.37"/>
    <n v="0"/>
    <n v="0"/>
    <n v="0"/>
    <n v="0"/>
    <n v="0"/>
    <n v="0"/>
    <n v="43390.37"/>
    <n v="0"/>
    <n v="0"/>
    <n v="0"/>
    <n v="0"/>
    <n v="0"/>
    <n v="0"/>
    <n v="0"/>
    <n v="0"/>
    <n v="43390.37"/>
    <n v="0"/>
    <n v="0"/>
    <n v="0"/>
    <n v="0"/>
    <n v="0"/>
    <n v="0"/>
    <m/>
    <s v="Sonvarsha"/>
    <m/>
    <n v="0"/>
  </r>
  <r>
    <s v="Munger"/>
    <s v="03-09 Apr"/>
    <n v="1006"/>
    <s v="Sonvarsha"/>
    <x v="156"/>
    <s v="MAIDINICHOKI"/>
    <s v="vlc"/>
    <s v="Indirect"/>
    <n v="635.5"/>
    <n v="22734.329999999998"/>
    <n v="0"/>
    <n v="0"/>
    <n v="0"/>
    <n v="0"/>
    <n v="0"/>
    <n v="0"/>
    <n v="22734.329999999998"/>
    <n v="0"/>
    <n v="0"/>
    <n v="0"/>
    <n v="0"/>
    <n v="0"/>
    <n v="0"/>
    <n v="0"/>
    <n v="0"/>
    <n v="22734.329999999998"/>
    <n v="0"/>
    <n v="0"/>
    <n v="46.148364594807212"/>
    <n v="90.785714285714292"/>
    <n v="0"/>
    <n v="0"/>
    <m/>
    <s v="Sonvarsha"/>
    <m/>
    <n v="0"/>
  </r>
  <r>
    <s v="Munger"/>
    <s v="03-09 Apr"/>
    <n v="1006"/>
    <s v="Sonvarsha"/>
    <x v="157"/>
    <s v="GOMUKH JAJWARA"/>
    <s v="vlc"/>
    <s v="Indirect"/>
    <n v="1937.9000000000003"/>
    <n v="78842.429999999993"/>
    <n v="0"/>
    <n v="0"/>
    <n v="0"/>
    <n v="0"/>
    <n v="0"/>
    <n v="0"/>
    <n v="78842.429999999993"/>
    <n v="0"/>
    <n v="0"/>
    <n v="0"/>
    <n v="0"/>
    <n v="0"/>
    <n v="0"/>
    <n v="0"/>
    <n v="0"/>
    <n v="78842.429999999993"/>
    <n v="0"/>
    <n v="0"/>
    <n v="0"/>
    <n v="0"/>
    <n v="0"/>
    <n v="0"/>
    <m/>
    <s v="Sonvarsha"/>
    <m/>
    <n v="0"/>
  </r>
  <r>
    <s v="Munger"/>
    <s v="03-09 Apr"/>
    <n v="1006"/>
    <s v="Sonvarsha"/>
    <x v="158"/>
    <s v="Gomukh ID Sonvarsha"/>
    <s v="vlc"/>
    <s v="Indirect"/>
    <n v="2070.2999999999997"/>
    <n v="84114.969999999987"/>
    <n v="0"/>
    <n v="0"/>
    <n v="0"/>
    <n v="0"/>
    <n v="0"/>
    <n v="0"/>
    <n v="84114.969999999987"/>
    <n v="0"/>
    <n v="0"/>
    <n v="0"/>
    <n v="0"/>
    <n v="0"/>
    <n v="0"/>
    <n v="0"/>
    <n v="0"/>
    <n v="84114.969999999987"/>
    <n v="0"/>
    <n v="0"/>
    <n v="0"/>
    <n v="0"/>
    <n v="0"/>
    <n v="0"/>
    <m/>
    <s v="Sonvarsha"/>
    <m/>
    <n v="0"/>
  </r>
  <r>
    <s v="Munger"/>
    <s v="03-09 Apr"/>
    <n v="1059"/>
    <s v="Gopalpur Bmc"/>
    <x v="159"/>
    <s v="BALHAPUR"/>
    <s v="MPG"/>
    <s v="Direct"/>
    <n v="437.00000000000006"/>
    <n v="20197.190000000002"/>
    <n v="428.45999999999992"/>
    <n v="19818.746892777934"/>
    <n v="9.68"/>
    <n v="428.00199645020001"/>
    <n v="438.13999999999993"/>
    <n v="20246.748889228133"/>
    <n v="20197.190000000002"/>
    <n v="0"/>
    <n v="428.00199645020001"/>
    <n v="49.558889228130283"/>
    <n v="0"/>
    <n v="0"/>
    <n v="0"/>
    <n v="19769"/>
    <n v="0"/>
    <n v="0"/>
    <n v="0"/>
    <n v="0"/>
    <n v="243.10576521739125"/>
    <n v="62.428571428571438"/>
    <n v="-2.4537516965543365E-3"/>
    <n v="22"/>
    <m/>
    <s v="Gopalpur Bmc"/>
    <m/>
    <n v="0"/>
  </r>
  <r>
    <s v="Munger"/>
    <s v="03-09 Apr"/>
    <n v="1006"/>
    <s v="Sonvarsha"/>
    <x v="160"/>
    <s v="Gomukh ID Khawa"/>
    <s v="vlc"/>
    <s v="Indirect"/>
    <n v="93.3"/>
    <n v="3166.53"/>
    <n v="0"/>
    <n v="0"/>
    <n v="0"/>
    <n v="0"/>
    <n v="0"/>
    <n v="0"/>
    <n v="3166.53"/>
    <n v="0"/>
    <n v="0"/>
    <n v="0"/>
    <n v="0"/>
    <n v="0"/>
    <n v="0"/>
    <n v="0"/>
    <n v="0"/>
    <n v="3166.53"/>
    <n v="0"/>
    <n v="0"/>
    <n v="411.81859614147913"/>
    <n v="13.328571428571427"/>
    <n v="0"/>
    <n v="0"/>
    <m/>
    <s v="Sonvarsha"/>
    <m/>
    <n v="0"/>
  </r>
  <r>
    <s v="Munger"/>
    <s v="03-09 Apr"/>
    <n v="1006"/>
    <s v="Sonvarsha"/>
    <x v="161"/>
    <s v="Gomukh ID Husaina"/>
    <s v="vlc"/>
    <s v="Indirect"/>
    <n v="1407.6"/>
    <n v="53003.35"/>
    <n v="0"/>
    <n v="0"/>
    <n v="0"/>
    <n v="0"/>
    <n v="0"/>
    <n v="0"/>
    <n v="53003.35"/>
    <n v="0"/>
    <n v="0"/>
    <n v="0"/>
    <n v="0"/>
    <n v="0"/>
    <n v="0"/>
    <n v="0"/>
    <n v="0"/>
    <n v="53003.35"/>
    <n v="0"/>
    <n v="0"/>
    <n v="0"/>
    <n v="0"/>
    <n v="0"/>
    <n v="0"/>
    <m/>
    <s v="Sonvarsha"/>
    <m/>
    <n v="0"/>
  </r>
  <r>
    <s v="Munger"/>
    <s v="03-09 Apr"/>
    <n v="1006"/>
    <s v="Sonvarsha"/>
    <x v="162"/>
    <s v="Gomukh ID Prarotol"/>
    <s v="vlc"/>
    <s v="Indirect"/>
    <n v="4.8"/>
    <n v="202.75"/>
    <n v="0"/>
    <n v="0"/>
    <n v="0"/>
    <n v="0"/>
    <n v="0"/>
    <n v="0"/>
    <n v="202.75"/>
    <n v="0"/>
    <n v="0"/>
    <n v="0"/>
    <n v="0"/>
    <n v="0"/>
    <n v="0"/>
    <n v="0"/>
    <n v="0"/>
    <n v="202.75"/>
    <n v="0"/>
    <n v="0"/>
    <n v="587.29916666666668"/>
    <n v="0.68571428571428572"/>
    <n v="0"/>
    <n v="0"/>
    <m/>
    <s v="Sonvarsha"/>
    <m/>
    <n v="0"/>
  </r>
  <r>
    <s v="Munger"/>
    <s v="03-09 Apr"/>
    <n v="1006"/>
    <s v="Sonvarsha"/>
    <x v="163"/>
    <s v="MAA SARDE"/>
    <s v="vlc"/>
    <s v="Indirect"/>
    <n v="1988.0999999999997"/>
    <n v="74603.100000000006"/>
    <n v="0"/>
    <n v="0"/>
    <n v="0"/>
    <n v="0"/>
    <n v="0"/>
    <n v="0"/>
    <n v="74603.100000000006"/>
    <n v="0"/>
    <n v="0"/>
    <n v="0"/>
    <n v="0"/>
    <n v="0"/>
    <n v="0"/>
    <n v="0"/>
    <n v="0"/>
    <n v="74603.100000000006"/>
    <n v="0"/>
    <n v="0"/>
    <n v="0"/>
    <n v="0"/>
    <n v="0"/>
    <n v="0"/>
    <m/>
    <s v="Sonvarsha"/>
    <m/>
    <n v="0"/>
  </r>
  <r>
    <s v="Munger"/>
    <s v="03-09 Apr"/>
    <n v="1006"/>
    <s v="Sonvarsha"/>
    <x v="164"/>
    <s v="PURANI DIH"/>
    <s v="vlc"/>
    <s v="Indirect"/>
    <n v="2631"/>
    <n v="119163.31999999998"/>
    <n v="0"/>
    <n v="0"/>
    <n v="0"/>
    <n v="0"/>
    <n v="0"/>
    <n v="0"/>
    <n v="119163.31999999998"/>
    <n v="0"/>
    <n v="0"/>
    <n v="0"/>
    <n v="13000"/>
    <n v="0"/>
    <n v="0"/>
    <n v="0"/>
    <n v="0"/>
    <n v="106163.31999999998"/>
    <n v="0"/>
    <n v="0"/>
    <n v="0"/>
    <n v="0"/>
    <n v="0"/>
    <n v="0"/>
    <m/>
    <s v="Sonvarsha"/>
    <m/>
    <n v="0"/>
  </r>
  <r>
    <s v="Munger"/>
    <s v="03-09 Apr"/>
    <n v="1006"/>
    <s v="Sonvarsha"/>
    <x v="165"/>
    <s v="Farda Ravi Tola"/>
    <s v="MPG"/>
    <s v="Direct"/>
    <n v="2094.9"/>
    <n v="77776.709999999992"/>
    <n v="2019.4"/>
    <n v="76530.605746319998"/>
    <n v="96.199999999999989"/>
    <n v="3620.9723576400011"/>
    <n v="2115.6"/>
    <n v="80151.578103959997"/>
    <n v="77776.709999999992"/>
    <n v="0"/>
    <n v="3620.9723576400011"/>
    <n v="2374.8681039600051"/>
    <n v="0"/>
    <n v="0"/>
    <n v="0"/>
    <n v="74156"/>
    <n v="0"/>
    <n v="0"/>
    <n v="0"/>
    <n v="0"/>
    <n v="0"/>
    <n v="0"/>
    <n v="-3.0534437673694417E-2"/>
    <n v="5"/>
    <m/>
    <s v="Sonvarsha"/>
    <m/>
    <n v="0"/>
  </r>
  <r>
    <s v="Munger"/>
    <s v="03-09 Apr"/>
    <n v="1006"/>
    <s v="Sonvarsha"/>
    <x v="166"/>
    <s v="Gomukh Puranidih 2"/>
    <s v="vlc"/>
    <s v="Indirect"/>
    <n v="133.20000000000002"/>
    <n v="6033.2100000000009"/>
    <n v="0"/>
    <n v="0"/>
    <n v="0"/>
    <n v="0"/>
    <n v="0"/>
    <n v="0"/>
    <n v="6033.2100000000009"/>
    <n v="0"/>
    <n v="0"/>
    <n v="0"/>
    <n v="0"/>
    <n v="0"/>
    <n v="0"/>
    <n v="0"/>
    <n v="0"/>
    <n v="6033.2100000000009"/>
    <n v="0"/>
    <n v="0"/>
    <n v="513.45697117117118"/>
    <n v="19.028571428571432"/>
    <n v="0"/>
    <n v="0"/>
    <m/>
    <s v="Sonvarsha"/>
    <m/>
    <n v="0"/>
  </r>
  <r>
    <s v="Munger"/>
    <s v="03-09 Apr"/>
    <n v="1006"/>
    <s v="Sonvarsha"/>
    <x v="167"/>
    <s v="Gomukh Arma"/>
    <s v="MPG"/>
    <s v="Direct"/>
    <n v="603.90000000000009"/>
    <n v="28384.950000000004"/>
    <n v="591.04999999999995"/>
    <n v="26458.202274867999"/>
    <n v="13.05"/>
    <n v="543.6859347436"/>
    <n v="604.09999999999991"/>
    <n v="27001.888209611599"/>
    <n v="27001.888209611599"/>
    <n v="0"/>
    <n v="119.34315187960004"/>
    <n v="0"/>
    <n v="0"/>
    <n v="0"/>
    <n v="0"/>
    <n v="26458"/>
    <n v="424"/>
    <n v="0"/>
    <n v="1384"/>
    <n v="0"/>
    <n v="90.339251366120138"/>
    <n v="86.271428571428586"/>
    <n v="4.8725179730399547E-2"/>
    <n v="5"/>
    <m/>
    <s v="Sonvarsha"/>
    <m/>
    <n v="0"/>
  </r>
  <r>
    <s v="Munger"/>
    <s v="03-09 Apr"/>
    <n v="1059"/>
    <s v="Gopalpur Bmc"/>
    <x v="168"/>
    <s v="Singhchak"/>
    <s v="MPG"/>
    <s v="Direct"/>
    <n v="1277.8999999999996"/>
    <n v="57051.77"/>
    <n v="1290.1000000000001"/>
    <n v="56954.366922518726"/>
    <n v="21.259999999999998"/>
    <n v="925.24097872800007"/>
    <n v="1311.3600000000001"/>
    <n v="57879.607901246723"/>
    <n v="57051.77"/>
    <n v="0"/>
    <n v="925.24097872800007"/>
    <n v="827.83790124672669"/>
    <n v="0"/>
    <n v="0"/>
    <n v="0"/>
    <n v="56127"/>
    <n v="0"/>
    <n v="0"/>
    <n v="0"/>
    <n v="0"/>
    <n v="0"/>
    <n v="0"/>
    <n v="-1.4510293041683487E-2"/>
    <n v="68"/>
    <m/>
    <s v="Gopalpur Bmc"/>
    <m/>
    <n v="0"/>
  </r>
  <r>
    <s v="Munger"/>
    <s v="03-09 Apr"/>
    <n v="1006"/>
    <s v="Sonvarsha"/>
    <x v="169"/>
    <s v="MAHA-LAXMI"/>
    <s v="vlc"/>
    <s v="Indirect"/>
    <n v="825.89999999999975"/>
    <n v="30759.54"/>
    <n v="0"/>
    <n v="0"/>
    <n v="0"/>
    <n v="0"/>
    <n v="0"/>
    <n v="0"/>
    <n v="30759.54"/>
    <n v="0"/>
    <n v="0"/>
    <n v="0"/>
    <n v="0"/>
    <n v="0"/>
    <n v="0"/>
    <n v="0"/>
    <n v="0"/>
    <n v="30759.54"/>
    <n v="0"/>
    <n v="0"/>
    <n v="0"/>
    <n v="0"/>
    <n v="0"/>
    <n v="0"/>
    <m/>
    <s v="Sonvarsha"/>
    <m/>
    <n v="0"/>
  </r>
  <r>
    <s v="Munger"/>
    <s v="03-09 Apr"/>
    <n v="1006"/>
    <s v="Sonvarsha"/>
    <x v="170"/>
    <s v="PAWAI"/>
    <s v="MPG"/>
    <s v="Direct"/>
    <n v="1160.2"/>
    <n v="56113.490000000005"/>
    <n v="1162.3899999999996"/>
    <n v="54835.740586380372"/>
    <n v="24.740000000000002"/>
    <n v="1388.35345860954"/>
    <n v="1187.1299999999997"/>
    <n v="56224.094044989914"/>
    <n v="56113.490000000005"/>
    <n v="0"/>
    <n v="893.00112602453999"/>
    <n v="110.60404498990829"/>
    <n v="0"/>
    <n v="0"/>
    <n v="0"/>
    <n v="54725"/>
    <n v="495"/>
    <n v="0"/>
    <n v="0"/>
    <n v="0"/>
    <n v="0"/>
    <n v="0"/>
    <n v="-1.9710776319546027E-3"/>
    <n v="32"/>
    <m/>
    <s v="Sonvarsha"/>
    <m/>
    <n v="0"/>
  </r>
  <r>
    <s v="Munger"/>
    <s v="03-09 Apr"/>
    <n v="1006"/>
    <s v="Sonvarsha"/>
    <x v="171"/>
    <s v="LAKHOCHAK                                                                                           "/>
    <s v="MPG"/>
    <s v="Direct"/>
    <n v="445.2000000000001"/>
    <n v="18674.18"/>
    <n v="776.59"/>
    <n v="33809.901677942798"/>
    <n v="0"/>
    <n v="0"/>
    <n v="776.59"/>
    <n v="33809.901677942798"/>
    <n v="18674.18"/>
    <n v="0"/>
    <n v="0"/>
    <n v="15135.721677942798"/>
    <n v="0"/>
    <n v="0"/>
    <n v="0"/>
    <n v="18674"/>
    <n v="0"/>
    <n v="0"/>
    <n v="0"/>
    <s v="Release4"/>
    <n v="213.75476477987405"/>
    <n v="63.600000000000016"/>
    <n v="-0.81051600005691271"/>
    <n v="15"/>
    <m/>
    <s v="Sonvarsha"/>
    <m/>
    <n v="0"/>
  </r>
  <r>
    <s v="Munger"/>
    <s v="03-09 Apr"/>
    <n v="1059"/>
    <s v="Gopalpur Bmc"/>
    <x v="172"/>
    <s v="BATTA RAMPUR                                                                                        "/>
    <s v="MPG"/>
    <s v="Direct"/>
    <n v="2588.5000000000005"/>
    <n v="125702.12999999999"/>
    <n v="2577.8900000000003"/>
    <n v="126588.46308429749"/>
    <n v="21.62"/>
    <n v="1409.4830882028577"/>
    <n v="2599.5100000000002"/>
    <n v="127997.94617250035"/>
    <n v="125702.12999999999"/>
    <n v="0"/>
    <n v="1409.4830882028577"/>
    <n v="2295.8161725003592"/>
    <n v="0"/>
    <n v="0"/>
    <n v="0"/>
    <n v="124293"/>
    <n v="0"/>
    <n v="0"/>
    <n v="0"/>
    <s v="Release1"/>
    <n v="0"/>
    <n v="0"/>
    <n v="-1.8263940097915283E-2"/>
    <n v="43"/>
    <m/>
    <s v="Gopalpur Bmc"/>
    <m/>
    <n v="0"/>
  </r>
  <r>
    <s v="Munger"/>
    <s v="03-09 Apr"/>
    <n v="1059"/>
    <s v="Gopalpur Bmc"/>
    <x v="173"/>
    <s v="DARISHIR"/>
    <s v="MPG"/>
    <s v="Direct"/>
    <n v="165.3"/>
    <n v="6392.16"/>
    <n v="163.92000000000002"/>
    <n v="6021.1700528958008"/>
    <n v="0"/>
    <n v="0"/>
    <n v="163.92000000000002"/>
    <n v="6021.1700528958008"/>
    <n v="6021.1700528958008"/>
    <n v="0"/>
    <n v="0"/>
    <n v="0"/>
    <n v="0"/>
    <n v="0"/>
    <n v="0"/>
    <n v="6021"/>
    <n v="0"/>
    <n v="0"/>
    <n v="371"/>
    <n v="0"/>
    <n v="413.53756225045373"/>
    <n v="23.614285714285717"/>
    <n v="5.803827612328212E-2"/>
    <n v="8"/>
    <m/>
    <s v="Gopalpur Bmc"/>
    <m/>
    <n v="0"/>
  </r>
  <r>
    <s v="Munger"/>
    <s v="03-09 Apr"/>
    <n v="1006"/>
    <s v="Sonvarsha"/>
    <x v="174"/>
    <s v="NIRAJ KUMAR"/>
    <s v="vlc"/>
    <s v="Indirect"/>
    <n v="929.30000000000007"/>
    <n v="46166.640000000007"/>
    <n v="0"/>
    <n v="0"/>
    <n v="0"/>
    <n v="0"/>
    <n v="0"/>
    <n v="0"/>
    <n v="46166.640000000007"/>
    <n v="0"/>
    <n v="0"/>
    <n v="0"/>
    <n v="0"/>
    <n v="0"/>
    <n v="0"/>
    <n v="0"/>
    <n v="0"/>
    <n v="46166.640000000007"/>
    <n v="0"/>
    <n v="0"/>
    <n v="0"/>
    <n v="0"/>
    <n v="0"/>
    <n v="0"/>
    <m/>
    <s v="Sonvarsha"/>
    <m/>
    <n v="0"/>
  </r>
  <r>
    <s v="Munger"/>
    <s v="03-09 Apr"/>
    <n v="1006"/>
    <s v="Sonvarsha"/>
    <x v="963"/>
    <s v="RANDHIR KUMAR(VLC)"/>
    <s v="vlc"/>
    <s v="Indirect"/>
    <n v="97.7"/>
    <n v="3517.2400000000002"/>
    <n v="0"/>
    <n v="0"/>
    <n v="0"/>
    <n v="0"/>
    <n v="0"/>
    <n v="0"/>
    <n v="3517.2400000000002"/>
    <n v="0"/>
    <n v="0"/>
    <n v="0"/>
    <n v="0"/>
    <n v="0"/>
    <n v="0"/>
    <n v="0"/>
    <n v="0"/>
    <n v="3517.2400000000002"/>
    <n v="0"/>
    <n v="0"/>
    <n v="433.66093183213917"/>
    <n v="13.957142857142857"/>
    <n v="0"/>
    <n v="0"/>
    <m/>
    <s v="Sonvarsha"/>
    <m/>
    <n v="0"/>
  </r>
  <r>
    <s v="Munger"/>
    <s v="03-09 Apr"/>
    <n v="1006"/>
    <s v="Sonvarsha"/>
    <x v="175"/>
    <s v="Abgil Rampur - Rohit"/>
    <s v="vlc"/>
    <s v="Indirect"/>
    <n v="180.9"/>
    <n v="6841.4600000000009"/>
    <n v="0"/>
    <n v="0"/>
    <n v="0"/>
    <n v="0"/>
    <n v="0"/>
    <n v="0"/>
    <n v="6841.4600000000009"/>
    <n v="0"/>
    <n v="0"/>
    <n v="0"/>
    <n v="0"/>
    <n v="0"/>
    <n v="0"/>
    <n v="0"/>
    <n v="0"/>
    <n v="6841.4600000000009"/>
    <n v="0"/>
    <n v="0"/>
    <n v="392.63702443338866"/>
    <n v="25.842857142857145"/>
    <n v="0"/>
    <n v="0"/>
    <m/>
    <s v="Sonvarsha"/>
    <m/>
    <n v="0"/>
  </r>
  <r>
    <s v="Munger"/>
    <s v="03-09 Apr"/>
    <n v="1059"/>
    <s v="Gopalpur Bmc"/>
    <x v="176"/>
    <s v="MALIYA"/>
    <s v="MPG"/>
    <s v="Direct"/>
    <n v="553.70000000000005"/>
    <n v="22904.14"/>
    <n v="579.93999999999983"/>
    <n v="26215.461360468078"/>
    <n v="7.0000000000000009"/>
    <n v="343.17912841002004"/>
    <n v="586.93999999999983"/>
    <n v="26558.6404888781"/>
    <n v="22904.14"/>
    <n v="0"/>
    <n v="343.17912841002004"/>
    <n v="3654.5004888781004"/>
    <n v="0"/>
    <n v="0"/>
    <n v="0"/>
    <n v="22561"/>
    <n v="0"/>
    <n v="0"/>
    <n v="0"/>
    <s v="Release1"/>
    <n v="121.0357840707964"/>
    <n v="79.100000000000009"/>
    <n v="-0.15955632863220801"/>
    <n v="21"/>
    <m/>
    <s v="Gopalpur Bmc"/>
    <m/>
    <n v="0"/>
  </r>
  <r>
    <s v="Munger"/>
    <s v="03-09 Apr"/>
    <n v="1059"/>
    <s v="Gopalpur Bmc"/>
    <x v="177"/>
    <s v="MAHULIYA"/>
    <s v="MPG"/>
    <s v="Direct"/>
    <n v="539.19999999999993"/>
    <n v="24188.53"/>
    <n v="554.29000000000008"/>
    <n v="24704.978514488575"/>
    <n v="7.83"/>
    <n v="332.18673796620999"/>
    <n v="562.12000000000012"/>
    <n v="25037.165252454786"/>
    <n v="24188.53"/>
    <n v="0"/>
    <n v="332.18673796620999"/>
    <n v="848.63525245478741"/>
    <n v="0"/>
    <n v="0"/>
    <n v="0"/>
    <n v="23856"/>
    <n v="0"/>
    <n v="0"/>
    <n v="0"/>
    <n v="0"/>
    <n v="144.26986735905047"/>
    <n v="77.028571428571425"/>
    <n v="-3.5084201167031953E-2"/>
    <n v="16"/>
    <m/>
    <s v="Gopalpur Bmc"/>
    <m/>
    <n v="0"/>
  </r>
  <r>
    <s v="Munger"/>
    <s v="03-09 Apr"/>
    <n v="1006"/>
    <s v="Sonvarsha"/>
    <x v="178"/>
    <s v="ABGIL RAMPUR"/>
    <s v="vlc"/>
    <s v="Indirect"/>
    <n v="876.40000000000009"/>
    <n v="37299.64"/>
    <n v="0"/>
    <n v="0"/>
    <n v="0"/>
    <n v="0"/>
    <n v="0"/>
    <n v="0"/>
    <n v="37299.64"/>
    <n v="0"/>
    <n v="0"/>
    <n v="0"/>
    <n v="0"/>
    <n v="0"/>
    <n v="0"/>
    <n v="0"/>
    <n v="0"/>
    <n v="37299.64"/>
    <n v="0"/>
    <n v="0"/>
    <n v="0"/>
    <n v="0"/>
    <n v="0"/>
    <n v="0"/>
    <m/>
    <s v="Sonvarsha"/>
    <m/>
    <n v="0"/>
  </r>
  <r>
    <s v="Munger"/>
    <s v="03-09 Apr"/>
    <n v="1006"/>
    <s v="Sonvarsha"/>
    <x v="179"/>
    <s v="ABGIL"/>
    <s v="vlc"/>
    <s v="Indirect"/>
    <n v="711.3"/>
    <n v="25000.420000000002"/>
    <n v="0"/>
    <n v="0"/>
    <n v="0"/>
    <n v="0"/>
    <n v="0"/>
    <n v="0"/>
    <n v="25000.420000000002"/>
    <n v="0"/>
    <n v="0"/>
    <n v="0"/>
    <n v="0"/>
    <n v="0"/>
    <n v="0"/>
    <n v="0"/>
    <n v="0"/>
    <n v="25000.420000000002"/>
    <n v="0"/>
    <n v="0"/>
    <n v="0"/>
    <n v="0"/>
    <n v="0"/>
    <n v="0"/>
    <m/>
    <s v="Sonvarsha"/>
    <m/>
    <n v="0"/>
  </r>
  <r>
    <s v="Munger"/>
    <s v="03-09 Apr"/>
    <n v="1006"/>
    <s v="Sonvarsha"/>
    <x v="180"/>
    <s v="RUPESH KUMAR"/>
    <s v="vlc"/>
    <s v="Indirect"/>
    <n v="309.2"/>
    <n v="10360.19"/>
    <n v="0"/>
    <n v="0"/>
    <n v="0"/>
    <n v="0"/>
    <n v="0"/>
    <n v="0"/>
    <n v="10360.19"/>
    <n v="0"/>
    <n v="0"/>
    <n v="0"/>
    <n v="0"/>
    <n v="0"/>
    <n v="0"/>
    <n v="0"/>
    <n v="0"/>
    <n v="10360.19"/>
    <n v="0"/>
    <n v="0"/>
    <n v="261.88630349288485"/>
    <n v="44.171428571428571"/>
    <n v="0"/>
    <n v="0"/>
    <m/>
    <s v="Sonvarsha"/>
    <m/>
    <n v="0"/>
  </r>
  <r>
    <s v="Munger"/>
    <s v="03-09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67.00000000000011"/>
    <n v="29651.14"/>
    <n v="309.95"/>
    <n v="11890.228410324002"/>
    <n v="468.46999999999997"/>
    <n v="18427.159405155602"/>
    <n v="778.42"/>
    <n v="30317.387815479604"/>
    <n v="29651.14"/>
    <n v="0"/>
    <n v="277.27509074760007"/>
    <n v="666.24781547960447"/>
    <n v="0"/>
    <n v="0"/>
    <n v="0"/>
    <n v="11224"/>
    <n v="18150"/>
    <n v="0"/>
    <n v="0"/>
    <n v="0"/>
    <n v="0"/>
    <n v="0"/>
    <n v="-2.2469551439830121E-2"/>
    <n v="6"/>
    <m/>
    <s v="Sonvarsha"/>
    <m/>
    <n v="0"/>
  </r>
  <r>
    <s v="Munger"/>
    <s v="03-09 Apr"/>
    <n v="1006"/>
    <s v="Sonvarsha"/>
    <x v="182"/>
    <s v="Manish Kumar                                                                                        "/>
    <s v="vlc"/>
    <s v="Indirect"/>
    <n v="492.20000000000005"/>
    <n v="17355.069999999996"/>
    <n v="0"/>
    <n v="0"/>
    <n v="0"/>
    <n v="0"/>
    <n v="0"/>
    <n v="0"/>
    <n v="17355.069999999996"/>
    <n v="0"/>
    <n v="0"/>
    <n v="0"/>
    <n v="0"/>
    <n v="0"/>
    <n v="0"/>
    <n v="0"/>
    <n v="0"/>
    <n v="17355.069999999996"/>
    <n v="0"/>
    <n v="0"/>
    <n v="146.54138748476223"/>
    <n v="70.314285714285717"/>
    <n v="0"/>
    <n v="0"/>
    <m/>
    <s v="Sonvarsha"/>
    <m/>
    <n v="0"/>
  </r>
  <r>
    <s v="Munger"/>
    <s v="03-09 Apr"/>
    <n v="1006"/>
    <s v="Sonvarsha"/>
    <x v="183"/>
    <s v="AKHA-KURHA"/>
    <s v="vlc"/>
    <s v="Indirect"/>
    <n v="305.70000000000005"/>
    <n v="12584.63"/>
    <n v="0"/>
    <n v="0"/>
    <n v="0"/>
    <n v="0"/>
    <n v="0"/>
    <n v="0"/>
    <n v="12584.63"/>
    <n v="0"/>
    <n v="0"/>
    <n v="0"/>
    <n v="0"/>
    <n v="0"/>
    <n v="0"/>
    <n v="0"/>
    <n v="0"/>
    <n v="12584.63"/>
    <n v="0"/>
    <n v="0"/>
    <n v="324.6398174026823"/>
    <n v="43.671428571428578"/>
    <n v="0"/>
    <n v="0"/>
    <m/>
    <s v="Sonvarsha"/>
    <m/>
    <n v="0"/>
  </r>
  <r>
    <s v="Munger"/>
    <s v="03-09 Apr"/>
    <n v="1059"/>
    <s v="Gopalpur Bmc"/>
    <x v="184"/>
    <s v="BHANDAR"/>
    <s v="MPG"/>
    <s v="Direct"/>
    <n v="265.90000000000003"/>
    <n v="11763.13"/>
    <n v="265.89999999999998"/>
    <n v="11762.971809930003"/>
    <n v="0"/>
    <n v="0"/>
    <n v="265.89999999999998"/>
    <n v="11762.971809930003"/>
    <n v="11762.971809930003"/>
    <n v="0"/>
    <n v="0"/>
    <n v="0"/>
    <n v="0"/>
    <n v="500"/>
    <n v="0"/>
    <n v="11263"/>
    <n v="0"/>
    <n v="0"/>
    <n v="0"/>
    <s v="Release1"/>
    <n v="384.08234170740872"/>
    <n v="37.985714285714288"/>
    <n v="1.3447957303594829E-5"/>
    <n v="1"/>
    <m/>
    <s v="Gopalpur Bmc"/>
    <m/>
    <n v="500"/>
  </r>
  <r>
    <s v="Munger"/>
    <s v="03-09 Apr"/>
    <n v="1059"/>
    <s v="Gopalpur Bmc"/>
    <x v="185"/>
    <s v="BASMATIYA"/>
    <s v="MPG"/>
    <s v="Direct"/>
    <n v="425.70000000000005"/>
    <n v="16984.490000000002"/>
    <n v="416.49"/>
    <n v="18253.224410389492"/>
    <n v="5.83"/>
    <n v="233.67471766319997"/>
    <n v="422.32"/>
    <n v="18486.899128052693"/>
    <n v="16984.490000000002"/>
    <n v="0"/>
    <n v="233.67471766319997"/>
    <n v="1502.4091280526918"/>
    <n v="2046"/>
    <n v="0"/>
    <n v="0"/>
    <n v="14705"/>
    <n v="0"/>
    <n v="0"/>
    <n v="0"/>
    <s v="Release2"/>
    <n v="218.87928621094665"/>
    <n v="60.814285714285724"/>
    <n v="-8.8457712186394269E-2"/>
    <n v="11"/>
    <m/>
    <s v="Gopalpur Bmc"/>
    <m/>
    <n v="0"/>
  </r>
  <r>
    <s v="Munger"/>
    <s v="03-09 Apr"/>
    <n v="1006"/>
    <s v="Sonvarsha"/>
    <x v="186"/>
    <s v="TILATHI"/>
    <s v="MPG"/>
    <s v="Direct"/>
    <n v="1316.4999999999998"/>
    <n v="56013.22"/>
    <n v="1316.27"/>
    <n v="57260.72517739256"/>
    <n v="60.74"/>
    <n v="2476.1848253339999"/>
    <n v="1377.01"/>
    <n v="59736.910002726559"/>
    <n v="56013.22"/>
    <n v="0"/>
    <n v="751.88673519300005"/>
    <n v="3723.6900027265583"/>
    <n v="1432"/>
    <n v="0"/>
    <n v="0"/>
    <n v="53038"/>
    <n v="791"/>
    <n v="0"/>
    <n v="0"/>
    <s v="Release3"/>
    <n v="0"/>
    <n v="0"/>
    <n v="-6.6478770596058542E-2"/>
    <n v="35"/>
    <m/>
    <s v="Sonvarsha"/>
    <m/>
    <n v="0"/>
  </r>
  <r>
    <s v="Munger"/>
    <s v="03-09 Apr"/>
    <n v="1006"/>
    <s v="Sonvarsha"/>
    <x v="187"/>
    <s v="GOMUKH WESTOL"/>
    <s v="vlc"/>
    <s v="Indirect"/>
    <n v="2718.6999999999994"/>
    <n v="105380.64"/>
    <n v="0"/>
    <n v="0"/>
    <n v="0"/>
    <n v="0"/>
    <n v="0"/>
    <n v="0"/>
    <n v="105380.64"/>
    <n v="0"/>
    <n v="0"/>
    <n v="0"/>
    <n v="0"/>
    <n v="0"/>
    <n v="0"/>
    <n v="0"/>
    <n v="0"/>
    <n v="105380.64"/>
    <n v="0"/>
    <n v="0"/>
    <n v="0"/>
    <n v="0"/>
    <n v="0"/>
    <n v="0"/>
    <m/>
    <s v="Sonvarsha"/>
    <m/>
    <n v="0"/>
  </r>
  <r>
    <s v="Munger"/>
    <s v="03-09 Apr"/>
    <n v="1059"/>
    <s v="Gopalpur Bmc"/>
    <x v="188"/>
    <s v="SANGRAMPUR"/>
    <s v="MPG"/>
    <s v="Direct"/>
    <n v="450.59999999999997"/>
    <n v="20694.190000000002"/>
    <n v="450.6"/>
    <n v="20655.006878181201"/>
    <n v="0"/>
    <n v="0"/>
    <n v="450.6"/>
    <n v="20655.006878181201"/>
    <n v="20655.006878181201"/>
    <n v="0"/>
    <n v="0"/>
    <n v="0"/>
    <n v="0"/>
    <n v="0"/>
    <n v="0"/>
    <n v="20655"/>
    <n v="0"/>
    <n v="0"/>
    <n v="39"/>
    <n v="0"/>
    <n v="229.07816182867296"/>
    <n v="64.371428571428567"/>
    <n v="1.8934358783214869E-3"/>
    <n v="3"/>
    <m/>
    <s v="Gopalpur Bmc"/>
    <m/>
    <n v="0"/>
  </r>
  <r>
    <s v="Munger"/>
    <s v="03-09 Apr"/>
    <n v="1006"/>
    <s v="Sonvarsha"/>
    <x v="189"/>
    <s v="GOMUKH CHASMASKAN"/>
    <s v="vlc"/>
    <s v="Indirect"/>
    <n v="1889.5"/>
    <n v="71204.489999999991"/>
    <n v="0"/>
    <n v="0"/>
    <n v="0"/>
    <n v="0"/>
    <n v="0"/>
    <n v="0"/>
    <n v="71204.489999999991"/>
    <n v="0"/>
    <n v="0"/>
    <n v="0"/>
    <n v="0"/>
    <n v="0"/>
    <n v="0"/>
    <n v="0"/>
    <n v="0"/>
    <n v="71204.489999999991"/>
    <n v="0"/>
    <n v="0"/>
    <n v="0"/>
    <n v="0"/>
    <n v="0"/>
    <n v="0"/>
    <m/>
    <s v="Sonvarsha"/>
    <m/>
    <n v="0"/>
  </r>
  <r>
    <s v="Munger"/>
    <s v="03-09 Apr"/>
    <n v="1006"/>
    <s v="Sonvarsha"/>
    <x v="190"/>
    <s v="GOMUKH KAJITOLA"/>
    <s v="vlc"/>
    <s v="Indirect"/>
    <n v="1019.4000000000001"/>
    <n v="39952.76"/>
    <n v="0"/>
    <n v="0"/>
    <n v="0"/>
    <n v="0"/>
    <n v="0"/>
    <n v="0"/>
    <n v="39952.76"/>
    <n v="0"/>
    <n v="0"/>
    <n v="0"/>
    <n v="0"/>
    <n v="0"/>
    <n v="0"/>
    <n v="0"/>
    <n v="0"/>
    <n v="39952.76"/>
    <n v="0"/>
    <n v="0"/>
    <n v="0"/>
    <n v="0"/>
    <n v="0"/>
    <n v="0"/>
    <m/>
    <s v="Sonvarsha"/>
    <m/>
    <n v="0"/>
  </r>
  <r>
    <s v="Munger"/>
    <s v="03-09 Apr"/>
    <n v="1006"/>
    <s v="Sonvarsha"/>
    <x v="191"/>
    <s v="RAMDEV TOLA"/>
    <s v="MPG"/>
    <s v="Direct"/>
    <n v="2042.2999999999997"/>
    <n v="89955.060000000012"/>
    <n v="1278.33"/>
    <n v="61851.171369166506"/>
    <n v="761.56"/>
    <n v="29497.886967384002"/>
    <n v="2039.8899999999999"/>
    <n v="91349.058336550515"/>
    <n v="89955.060000000012"/>
    <n v="0"/>
    <n v="432.87428052000001"/>
    <n v="1393.9983365505032"/>
    <n v="0"/>
    <n v="0"/>
    <n v="0"/>
    <n v="60456"/>
    <n v="29066"/>
    <n v="0"/>
    <n v="0"/>
    <n v="0"/>
    <n v="0"/>
    <n v="0"/>
    <n v="-1.5496608379234065E-2"/>
    <n v="17"/>
    <m/>
    <s v="Sonvarsha"/>
    <m/>
    <n v="0"/>
  </r>
  <r>
    <s v="Munger"/>
    <s v="03-09 Apr"/>
    <n v="1006"/>
    <s v="Sonvarsha"/>
    <x v="192"/>
    <s v="GOMUKH KATEHAR"/>
    <s v="vlc"/>
    <s v="Indirect"/>
    <n v="1486.1999999999998"/>
    <n v="58117.319999999992"/>
    <n v="0"/>
    <n v="0"/>
    <n v="0"/>
    <n v="0"/>
    <n v="0"/>
    <n v="0"/>
    <n v="58117.319999999992"/>
    <n v="0"/>
    <n v="0"/>
    <n v="0"/>
    <n v="0"/>
    <n v="0"/>
    <n v="0"/>
    <n v="0"/>
    <n v="0"/>
    <n v="58117.319999999992"/>
    <n v="0"/>
    <n v="0"/>
    <n v="0"/>
    <n v="0"/>
    <n v="0"/>
    <n v="0"/>
    <m/>
    <s v="Sonvarsha"/>
    <m/>
    <n v="0"/>
  </r>
  <r>
    <s v="Munger"/>
    <s v="03-09 Apr"/>
    <n v="1006"/>
    <s v="Sonvarsha"/>
    <x v="193"/>
    <s v="PIPARPATI"/>
    <s v="MPG"/>
    <s v="Direct"/>
    <n v="704.69999999999993"/>
    <n v="34184.30999999999"/>
    <n v="700.59999999999991"/>
    <n v="36106.338067374811"/>
    <n v="7.4499999999999993"/>
    <n v="273.82867380000005"/>
    <n v="708.05"/>
    <n v="36380.166741174813"/>
    <n v="34184.30999999999"/>
    <n v="0"/>
    <n v="273.82867380000005"/>
    <n v="2195.8567411748227"/>
    <n v="0"/>
    <n v="0"/>
    <n v="0"/>
    <n v="33910"/>
    <n v="0"/>
    <n v="0"/>
    <n v="0"/>
    <n v="0"/>
    <n v="0"/>
    <n v="0"/>
    <n v="-6.423580704641467E-2"/>
    <n v="11"/>
    <m/>
    <s v="Sonvarsha"/>
    <m/>
    <n v="0"/>
  </r>
  <r>
    <s v="Munger"/>
    <s v="03-09 Apr"/>
    <n v="1006"/>
    <s v="Sonvarsha"/>
    <x v="194"/>
    <s v="GOMUKH JAGMAGLA"/>
    <s v="vlc"/>
    <s v="Indirect"/>
    <n v="593"/>
    <n v="23940.36"/>
    <n v="0"/>
    <n v="0"/>
    <n v="0"/>
    <n v="0"/>
    <n v="0"/>
    <n v="0"/>
    <n v="23940.36"/>
    <n v="0"/>
    <n v="0"/>
    <n v="0"/>
    <n v="0"/>
    <n v="0"/>
    <n v="0"/>
    <n v="0"/>
    <n v="0"/>
    <n v="23940.36"/>
    <n v="0"/>
    <n v="0"/>
    <n v="86.395228330522812"/>
    <n v="84.714285714285708"/>
    <n v="0"/>
    <n v="0"/>
    <m/>
    <s v="Sonvarsha"/>
    <m/>
    <n v="0"/>
  </r>
  <r>
    <s v="Munger"/>
    <s v="03-09 Apr"/>
    <n v="1006"/>
    <s v="Sonvarsha"/>
    <x v="195"/>
    <s v="PACHRUKHI"/>
    <s v="MPG"/>
    <s v="Direct"/>
    <n v="7.3999999999999995"/>
    <n v="279.90999999999997"/>
    <n v="7.3999999999999995"/>
    <n v="277.645770072"/>
    <n v="0"/>
    <n v="0"/>
    <n v="7.3999999999999995"/>
    <n v="277.645770072"/>
    <n v="277.645770072"/>
    <n v="0"/>
    <n v="0"/>
    <n v="0"/>
    <n v="0"/>
    <n v="0"/>
    <n v="0"/>
    <n v="278"/>
    <n v="0"/>
    <n v="0"/>
    <n v="2"/>
    <n v="0"/>
    <n v="523.96125945945937"/>
    <n v="1.0571428571428572"/>
    <n v="8.089135536422291E-3"/>
    <n v="1"/>
    <m/>
    <s v="Sonvarsha"/>
    <m/>
    <n v="0"/>
  </r>
  <r>
    <s v="Munger"/>
    <s v="03-09 Apr"/>
    <n v="1006"/>
    <s v="Sonvarsha"/>
    <x v="196"/>
    <s v="ORABAGICHA"/>
    <s v="MPG"/>
    <s v="Direct"/>
    <n v="21.299999999999997"/>
    <n v="1331.8300000000002"/>
    <n v="21.83"/>
    <n v="1273.95559628206"/>
    <n v="1.7300000000000002"/>
    <n v="97.770722034706012"/>
    <n v="23.56"/>
    <n v="1371.7263183167661"/>
    <n v="1331.8300000000002"/>
    <n v="0"/>
    <n v="97.770722034706012"/>
    <n v="39.896318316765928"/>
    <n v="0"/>
    <n v="0"/>
    <n v="0"/>
    <n v="1234"/>
    <n v="0"/>
    <n v="0"/>
    <n v="0"/>
    <s v="Release3"/>
    <n v="848.74462065727732"/>
    <n v="3.0428571428571423"/>
    <n v="-2.9956014143521264E-2"/>
    <n v="2"/>
    <m/>
    <s v="Sonvarsha"/>
    <m/>
    <n v="0"/>
  </r>
  <r>
    <s v="Munger"/>
    <s v="03-09 Apr"/>
    <n v="1006"/>
    <s v="Sonvarsha"/>
    <x v="197"/>
    <s v="KHAJURIYA"/>
    <s v="MPG"/>
    <s v="Direct"/>
    <n v="636.20000000000005"/>
    <n v="27320.739999999998"/>
    <n v="809.62"/>
    <n v="37816.65482260639"/>
    <n v="0"/>
    <n v="0"/>
    <n v="809.62"/>
    <n v="37816.65482260639"/>
    <n v="27320.739999999998"/>
    <n v="0"/>
    <n v="0"/>
    <n v="10495.914822606392"/>
    <n v="0"/>
    <n v="0"/>
    <n v="0"/>
    <n v="27321"/>
    <n v="0"/>
    <n v="0"/>
    <n v="0"/>
    <s v="Release3"/>
    <n v="54.796077082678394"/>
    <n v="90.885714285714286"/>
    <n v="-0.38417388484376308"/>
    <n v="5"/>
    <m/>
    <s v="Sonvarsha"/>
    <m/>
    <n v="0"/>
  </r>
  <r>
    <s v="Munger"/>
    <s v="03-09 Apr"/>
    <n v="1006"/>
    <s v="Sonvarsha"/>
    <x v="198"/>
    <s v="NAYA SALEMPUR"/>
    <s v="vlc"/>
    <s v="Indirect"/>
    <n v="655.89999999999986"/>
    <n v="25546.750000000004"/>
    <n v="0"/>
    <n v="0"/>
    <n v="0"/>
    <n v="0"/>
    <n v="0"/>
    <n v="0"/>
    <n v="25546.750000000004"/>
    <n v="0"/>
    <n v="0"/>
    <n v="0"/>
    <n v="0"/>
    <n v="0"/>
    <n v="0"/>
    <n v="0"/>
    <n v="0"/>
    <n v="25546.750000000004"/>
    <n v="0"/>
    <n v="0"/>
    <n v="34.353153681963867"/>
    <n v="93.699999999999974"/>
    <n v="0"/>
    <n v="0"/>
    <m/>
    <s v="Sonvarsha"/>
    <m/>
    <n v="0"/>
  </r>
  <r>
    <s v="Munger"/>
    <s v="03-09 Apr"/>
    <n v="1006"/>
    <s v="Sonvarsha"/>
    <x v="199"/>
    <s v="MANO 2"/>
    <s v="MPG"/>
    <s v="Direct"/>
    <n v="415.19999999999993"/>
    <n v="16838.36"/>
    <n v="841.1"/>
    <n v="33647.4533142"/>
    <n v="0"/>
    <n v="0"/>
    <n v="841.1"/>
    <n v="33647.4533142"/>
    <n v="16838.36"/>
    <n v="0"/>
    <n v="0"/>
    <n v="16809.093314199999"/>
    <n v="0"/>
    <n v="0"/>
    <n v="0"/>
    <n v="16838"/>
    <n v="0"/>
    <n v="0"/>
    <n v="0"/>
    <n v="0"/>
    <n v="231.00023737957622"/>
    <n v="59.314285714285703"/>
    <n v="-0.9982619040215317"/>
    <n v="1"/>
    <m/>
    <s v="Sonvarsha"/>
    <m/>
    <n v="0"/>
  </r>
  <r>
    <s v="Munger"/>
    <s v="03-09 Apr"/>
    <n v="1006"/>
    <s v="Sonvarsha"/>
    <x v="200"/>
    <s v="Champanagar"/>
    <s v="MPG"/>
    <s v="Direct"/>
    <n v="155.60000000000002"/>
    <n v="8860.74"/>
    <n v="158.88999999999999"/>
    <n v="9310.2090376532014"/>
    <n v="0"/>
    <n v="0"/>
    <n v="158.88999999999999"/>
    <n v="9310.2090376532014"/>
    <n v="8860.74"/>
    <n v="0"/>
    <n v="0"/>
    <n v="449.46903765320167"/>
    <n v="0"/>
    <n v="0"/>
    <n v="0"/>
    <n v="8861"/>
    <n v="0"/>
    <n v="0"/>
    <n v="0"/>
    <n v="0"/>
    <n v="620.02401748071964"/>
    <n v="22.228571428571431"/>
    <n v="-5.0725902989276483E-2"/>
    <n v="2"/>
    <m/>
    <s v="Sonvarsha"/>
    <m/>
    <n v="0"/>
  </r>
  <r>
    <s v="Munger"/>
    <s v="03-09 Apr"/>
    <n v="1006"/>
    <s v="Sonvarsha"/>
    <x v="201"/>
    <s v="LOSDHANI"/>
    <s v="MPG"/>
    <s v="Direct"/>
    <n v="150.30000000000001"/>
    <n v="5818.4100000000008"/>
    <n v="144.19999999999999"/>
    <n v="5568.8950389600013"/>
    <n v="4.7"/>
    <n v="180.40955724000003"/>
    <n v="148.89999999999998"/>
    <n v="5749.3045962000015"/>
    <n v="5749.3045962000015"/>
    <n v="0"/>
    <n v="180.40955724000003"/>
    <n v="0"/>
    <n v="0"/>
    <n v="500"/>
    <n v="0"/>
    <n v="5069"/>
    <n v="0"/>
    <n v="0"/>
    <n v="69"/>
    <n v="0"/>
    <n v="425.59946467065862"/>
    <n v="21.471428571428572"/>
    <n v="1.1877025476031989E-2"/>
    <n v="2"/>
    <m/>
    <s v="Sonvarsha"/>
    <m/>
    <n v="500"/>
  </r>
  <r>
    <s v="Munger"/>
    <s v="03-09 Apr"/>
    <n v="1006"/>
    <s v="Sonvarsha"/>
    <x v="202"/>
    <s v="GOMUKH MAHGAMA"/>
    <s v="vlc"/>
    <s v="Indirect"/>
    <n v="145.4"/>
    <n v="7390.87"/>
    <n v="0"/>
    <n v="0"/>
    <n v="0"/>
    <n v="0"/>
    <n v="0"/>
    <n v="0"/>
    <n v="7390.87"/>
    <n v="0"/>
    <n v="0"/>
    <n v="0"/>
    <n v="0"/>
    <n v="0"/>
    <n v="0"/>
    <n v="0"/>
    <n v="0"/>
    <n v="7390.87"/>
    <n v="0"/>
    <n v="0"/>
    <n v="563.8207017881706"/>
    <n v="20.771428571428572"/>
    <n v="0"/>
    <n v="0"/>
    <m/>
    <s v="Sonvarsha"/>
    <m/>
    <n v="0"/>
  </r>
  <r>
    <s v="Munger"/>
    <s v="03-09 Apr"/>
    <n v="1006"/>
    <s v="Sonvarsha"/>
    <x v="203"/>
    <s v="GOMUKH BAGALWA"/>
    <s v="MPG"/>
    <s v="Direct"/>
    <n v="653.4"/>
    <n v="33271.80999999999"/>
    <n v="0"/>
    <n v="0"/>
    <n v="0"/>
    <n v="0"/>
    <n v="0"/>
    <n v="0"/>
    <n v="0"/>
    <n v="0"/>
    <n v="0"/>
    <n v="0"/>
    <n v="0"/>
    <n v="0"/>
    <n v="0"/>
    <n v="0"/>
    <n v="0"/>
    <n v="0"/>
    <n v="33272"/>
    <n v="0"/>
    <n v="47.458412794612791"/>
    <n v="93.342857142857142"/>
    <n v="1"/>
    <n v="0"/>
    <m/>
    <s v="Sonvarsha"/>
    <m/>
    <n v="0"/>
  </r>
  <r>
    <s v="Munger"/>
    <s v="03-09 Apr"/>
    <n v="1006"/>
    <s v="Sonvarsha"/>
    <x v="204"/>
    <s v="GOMUKH LARYATAL"/>
    <s v="vlc"/>
    <s v="Indirect"/>
    <n v="392.8"/>
    <n v="20694.23"/>
    <n v="0"/>
    <n v="0"/>
    <n v="0"/>
    <n v="0"/>
    <n v="0"/>
    <n v="0"/>
    <n v="20694.23"/>
    <n v="0"/>
    <n v="0"/>
    <n v="0"/>
    <n v="0"/>
    <n v="0"/>
    <n v="0"/>
    <n v="0"/>
    <n v="0"/>
    <n v="20694.23"/>
    <n v="0"/>
    <n v="0"/>
    <n v="323.68978900203666"/>
    <n v="56.114285714285714"/>
    <n v="0"/>
    <n v="0"/>
    <m/>
    <s v="Sonvarsha"/>
    <m/>
    <n v="0"/>
  </r>
  <r>
    <s v="Munger"/>
    <s v="03-09 Apr"/>
    <n v="1006"/>
    <s v="Sonvarsha"/>
    <x v="205"/>
    <s v="CHANDANPURA"/>
    <s v="MPG"/>
    <s v="Direct"/>
    <n v="174.8"/>
    <n v="6062.4800000000014"/>
    <n v="175.04000000000002"/>
    <n v="6204.5970338802599"/>
    <n v="0"/>
    <n v="0"/>
    <n v="175.04000000000002"/>
    <n v="6204.5970338802599"/>
    <n v="6062.4800000000014"/>
    <n v="0"/>
    <n v="0"/>
    <n v="142.11703388025853"/>
    <n v="0"/>
    <n v="0"/>
    <n v="0"/>
    <n v="6062"/>
    <n v="0"/>
    <n v="0"/>
    <n v="0"/>
    <n v="0"/>
    <n v="364.3037180778033"/>
    <n v="24.971428571428572"/>
    <n v="-2.3442062304578078E-2"/>
    <n v="1"/>
    <m/>
    <s v="Sonvarsha"/>
    <m/>
    <n v="0"/>
  </r>
  <r>
    <s v="Munger"/>
    <s v="03-09 Apr"/>
    <n v="1006"/>
    <s v="Sonvarsha"/>
    <x v="206"/>
    <s v="GOMUKH BHITAKITA"/>
    <s v="vlc"/>
    <s v="Indirect"/>
    <n v="216.6"/>
    <n v="8447.32"/>
    <n v="0"/>
    <n v="0"/>
    <n v="0"/>
    <n v="0"/>
    <n v="0"/>
    <n v="0"/>
    <n v="8447.32"/>
    <n v="0"/>
    <n v="0"/>
    <n v="0"/>
    <n v="0"/>
    <n v="0"/>
    <n v="0"/>
    <n v="0"/>
    <n v="0"/>
    <n v="8447.32"/>
    <n v="0"/>
    <n v="0"/>
    <n v="377.04842917820866"/>
    <n v="30.942857142857143"/>
    <n v="0"/>
    <n v="0"/>
    <m/>
    <s v="Sonvarsha"/>
    <m/>
    <n v="0"/>
  </r>
  <r>
    <s v="Munger"/>
    <s v="03-09 Apr"/>
    <n v="1059"/>
    <s v="Gopalpur Bmc"/>
    <x v="207"/>
    <s v="SINGHOL"/>
    <s v="MPG"/>
    <s v="Direct"/>
    <n v="42.699999999999996"/>
    <n v="1846.17"/>
    <n v="39.190000000000005"/>
    <n v="1732.6217899729049"/>
    <n v="0"/>
    <n v="0"/>
    <n v="39.190000000000005"/>
    <n v="1732.6217899729049"/>
    <n v="1732.6217899729049"/>
    <n v="0"/>
    <n v="0"/>
    <n v="0"/>
    <n v="0"/>
    <n v="0"/>
    <n v="0"/>
    <n v="1733"/>
    <n v="0"/>
    <n v="0"/>
    <n v="113"/>
    <s v="Release1"/>
    <n v="568.37823934426251"/>
    <n v="6.1"/>
    <n v="6.150474226484838E-2"/>
    <n v="2"/>
    <m/>
    <s v="Gopalpur Bmc"/>
    <m/>
    <n v="0"/>
  </r>
  <r>
    <s v="Munger"/>
    <s v="03-09 Apr"/>
    <n v="1006"/>
    <s v="Sonvarsha"/>
    <x v="208"/>
    <s v="GOMUKH OJONTOLA"/>
    <s v="vlc"/>
    <s v="Indirect"/>
    <n v="130.79999999999998"/>
    <n v="5927.9299999999994"/>
    <n v="0"/>
    <n v="0"/>
    <n v="0"/>
    <n v="0"/>
    <n v="0"/>
    <n v="0"/>
    <n v="5927.9299999999994"/>
    <n v="0"/>
    <n v="0"/>
    <n v="0"/>
    <n v="0"/>
    <n v="0"/>
    <n v="0"/>
    <n v="0"/>
    <n v="0"/>
    <n v="5927.9299999999994"/>
    <n v="0"/>
    <n v="0"/>
    <n v="515.92932048929674"/>
    <n v="18.685714285714283"/>
    <n v="0"/>
    <n v="0"/>
    <m/>
    <s v="Sonvarsha"/>
    <m/>
    <n v="0"/>
  </r>
  <r>
    <s v="Munger"/>
    <s v="03-09 Apr"/>
    <n v="1006"/>
    <s v="Sonvarsha"/>
    <x v="209"/>
    <s v="KHUDDIBAN SHIVNAGAR"/>
    <s v="MPG"/>
    <s v="Direct"/>
    <n v="516.4"/>
    <n v="17188.14"/>
    <n v="515.59999999999991"/>
    <n v="17276.470292268001"/>
    <n v="0"/>
    <n v="0"/>
    <n v="515.59999999999991"/>
    <n v="17276.470292268001"/>
    <n v="17188.14"/>
    <n v="0"/>
    <n v="0"/>
    <n v="88.330292268001358"/>
    <n v="0"/>
    <n v="0"/>
    <n v="0"/>
    <n v="17188"/>
    <n v="0"/>
    <n v="0"/>
    <n v="0"/>
    <n v="0"/>
    <n v="122.22085608055772"/>
    <n v="73.771428571428572"/>
    <n v="-5.1390256460560222E-3"/>
    <n v="1"/>
    <m/>
    <s v="Sonvarsha"/>
    <m/>
    <n v="0"/>
  </r>
  <r>
    <s v="Munger"/>
    <s v="03-09 Apr"/>
    <n v="1006"/>
    <s v="Sonvarsha"/>
    <x v="210"/>
    <s v="BARIYARPUR"/>
    <s v="MPG"/>
    <s v="Direct"/>
    <n v="339.10000000000008"/>
    <n v="13674.570000000002"/>
    <n v="328.5"/>
    <n v="13166.121132901002"/>
    <n v="3.9999999999999996"/>
    <n v="158.82686820000004"/>
    <n v="332.5"/>
    <n v="13324.948001101002"/>
    <n v="13324.948001101002"/>
    <n v="0"/>
    <n v="158.82686820000004"/>
    <n v="0"/>
    <n v="0"/>
    <n v="0"/>
    <n v="0"/>
    <n v="13166"/>
    <n v="0"/>
    <n v="0"/>
    <n v="350"/>
    <n v="0"/>
    <n v="291.0735660867"/>
    <n v="48.442857142857157"/>
    <n v="2.5567312090910326E-2"/>
    <n v="2"/>
    <m/>
    <s v="Sonvarsha"/>
    <m/>
    <n v="0"/>
  </r>
  <r>
    <s v="Munger"/>
    <s v="03-09 Apr"/>
    <n v="1006"/>
    <s v="Sonvarsha"/>
    <x v="211"/>
    <s v="MASUDAN"/>
    <s v="MPG"/>
    <s v="Direct"/>
    <n v="247.29999999999998"/>
    <n v="10035.439999999997"/>
    <n v="247.39999999999998"/>
    <n v="9816.7321296000009"/>
    <n v="0"/>
    <n v="0"/>
    <n v="247.39999999999998"/>
    <n v="9816.7321296000009"/>
    <n v="9816.7321296000009"/>
    <n v="0"/>
    <n v="0"/>
    <n v="0"/>
    <n v="3432"/>
    <n v="0"/>
    <n v="0"/>
    <n v="6385"/>
    <n v="0"/>
    <n v="0"/>
    <n v="218"/>
    <s v="Release2"/>
    <n v="367.41153966841892"/>
    <n v="35.328571428571429"/>
    <n v="2.1793550696331803E-2"/>
    <n v="2"/>
    <m/>
    <s v="Sonvarsha"/>
    <m/>
    <n v="0"/>
  </r>
  <r>
    <s v="Munger"/>
    <s v="03-09 Apr"/>
    <n v="1006"/>
    <s v="Sonvarsha"/>
    <x v="964"/>
    <s v="GOMUKH LOKDHANI"/>
    <s v="vlc"/>
    <s v="Indirect"/>
    <n v="249.8"/>
    <n v="10948.73"/>
    <n v="0"/>
    <n v="0"/>
    <n v="0"/>
    <n v="0"/>
    <n v="0"/>
    <n v="0"/>
    <n v="10948.73"/>
    <n v="0"/>
    <n v="0"/>
    <n v="0"/>
    <n v="0"/>
    <n v="0"/>
    <n v="0"/>
    <n v="0"/>
    <n v="0"/>
    <n v="10948.73"/>
    <n v="0"/>
    <n v="0"/>
    <n v="394.6451758206565"/>
    <n v="35.68571428571429"/>
    <n v="0"/>
    <n v="0"/>
    <m/>
    <s v="Sonvarsha"/>
    <m/>
    <n v="0"/>
  </r>
  <r>
    <s v="Munger"/>
    <s v="03-09 Apr"/>
    <n v="1007"/>
    <s v="Araria"/>
    <x v="212"/>
    <s v="Gomukh ID Araria"/>
    <s v="vlc"/>
    <s v="Indirect"/>
    <n v="4566.9999999999991"/>
    <n v="169194.73000000004"/>
    <n v="0"/>
    <n v="0"/>
    <n v="0"/>
    <n v="0"/>
    <n v="0"/>
    <n v="0"/>
    <n v="169194.73000000004"/>
    <n v="0"/>
    <n v="0"/>
    <n v="0"/>
    <n v="0"/>
    <n v="0"/>
    <n v="0"/>
    <n v="0"/>
    <n v="0"/>
    <n v="169194.73000000004"/>
    <n v="0"/>
    <n v="0"/>
    <n v="0"/>
    <n v="0"/>
    <n v="0"/>
    <n v="0"/>
    <m/>
    <s v="Araria"/>
    <m/>
    <n v="0"/>
  </r>
  <r>
    <s v="Munger"/>
    <s v="03-09 Apr"/>
    <n v="1007"/>
    <s v="Araria"/>
    <x v="213"/>
    <s v="Gomukh ID Chaidha"/>
    <s v="vlc"/>
    <s v="Indirect"/>
    <n v="1276.3"/>
    <n v="45685.67"/>
    <n v="0"/>
    <n v="0"/>
    <n v="0"/>
    <n v="0"/>
    <n v="0"/>
    <n v="0"/>
    <n v="45685.67"/>
    <n v="0"/>
    <n v="0"/>
    <n v="0"/>
    <n v="0"/>
    <n v="0"/>
    <n v="0"/>
    <n v="0"/>
    <n v="0"/>
    <n v="45685.67"/>
    <n v="0"/>
    <n v="0"/>
    <n v="0"/>
    <n v="0"/>
    <n v="0"/>
    <n v="0"/>
    <m/>
    <s v="Araria"/>
    <m/>
    <n v="0"/>
  </r>
  <r>
    <s v="Munger"/>
    <s v="03-09 Apr"/>
    <n v="1056"/>
    <s v="Chautham"/>
    <x v="214"/>
    <s v="Gomukh ID Pakrail"/>
    <s v="vlc"/>
    <s v="Indirect"/>
    <n v="452.37999999999994"/>
    <n v="15495.21"/>
    <n v="0"/>
    <n v="0"/>
    <n v="0"/>
    <n v="0"/>
    <n v="0"/>
    <n v="0"/>
    <n v="15495.21"/>
    <n v="0"/>
    <n v="0"/>
    <n v="0"/>
    <n v="0"/>
    <n v="0"/>
    <n v="0"/>
    <n v="0"/>
    <n v="0"/>
    <n v="15495.21"/>
    <n v="0"/>
    <s v="Release1"/>
    <n v="169.63278218312044"/>
    <n v="64.625714285714281"/>
    <n v="0"/>
    <n v="0"/>
    <m/>
    <s v="Chautham"/>
    <m/>
    <n v="0"/>
  </r>
  <r>
    <s v="Munger"/>
    <s v="03-09 Apr"/>
    <n v="1056"/>
    <s v="Chautham"/>
    <x v="215"/>
    <s v="Gomukh ID Pipra"/>
    <s v="vlc"/>
    <s v="Indirect"/>
    <n v="1532.48"/>
    <n v="55751.679999999993"/>
    <n v="0"/>
    <n v="0"/>
    <n v="0"/>
    <n v="0"/>
    <n v="0"/>
    <n v="0"/>
    <n v="55751.679999999993"/>
    <n v="0"/>
    <n v="0"/>
    <n v="0"/>
    <n v="0"/>
    <n v="0"/>
    <n v="0"/>
    <n v="0"/>
    <n v="0"/>
    <n v="55751.679999999993"/>
    <n v="0"/>
    <n v="0"/>
    <n v="0"/>
    <n v="0"/>
    <n v="0"/>
    <n v="0"/>
    <m/>
    <s v="Chautham"/>
    <m/>
    <n v="0"/>
  </r>
  <r>
    <s v="Munger"/>
    <s v="03-09 Apr"/>
    <n v="1007"/>
    <s v="Araria"/>
    <x v="216"/>
    <s v="Gomukh Fatepur                                                                                      "/>
    <s v="MPG"/>
    <s v="Direct"/>
    <n v="194.4"/>
    <n v="7160.9000000000005"/>
    <n v="368.84000000000003"/>
    <n v="16086.720325139997"/>
    <n v="31.08"/>
    <n v="1110.6183666600002"/>
    <n v="399.92"/>
    <n v="17197.338691799996"/>
    <n v="7160.9000000000005"/>
    <n v="0"/>
    <n v="168.05687976000002"/>
    <n v="10036.438691799995"/>
    <n v="0"/>
    <n v="500"/>
    <n v="0"/>
    <n v="5551"/>
    <n v="942"/>
    <n v="0"/>
    <n v="0"/>
    <n v="0"/>
    <n v="372.48467489711936"/>
    <n v="27.771428571428572"/>
    <n v="-1.4015610735801358"/>
    <n v="10"/>
    <m/>
    <s v="Araria"/>
    <m/>
    <n v="500"/>
  </r>
  <r>
    <s v="Munger"/>
    <s v="03-09 Apr"/>
    <n v="1007"/>
    <s v="Araria"/>
    <x v="217"/>
    <s v="Gomukh Gauchhari"/>
    <s v="MPG"/>
    <s v="Direct"/>
    <n v="164.19999999999996"/>
    <n v="6449.8400000000011"/>
    <n v="161.88999999999999"/>
    <n v="6338.030821452001"/>
    <n v="10.479999999999999"/>
    <n v="391.83752401200007"/>
    <n v="172.36999999999998"/>
    <n v="6729.8683454640013"/>
    <n v="6449.8400000000011"/>
    <n v="0"/>
    <n v="391.83752401200007"/>
    <n v="280.02834546400027"/>
    <n v="0"/>
    <n v="500"/>
    <n v="0"/>
    <n v="5558"/>
    <n v="0"/>
    <n v="0"/>
    <n v="0"/>
    <s v="Release3"/>
    <n v="420.92865676004891"/>
    <n v="23.457142857142852"/>
    <n v="-4.3416324352852198E-2"/>
    <n v="4"/>
    <m/>
    <s v="Araria"/>
    <m/>
    <n v="500"/>
  </r>
  <r>
    <s v="Munger"/>
    <s v="03-09 Apr"/>
    <n v="1007"/>
    <s v="Araria"/>
    <x v="218"/>
    <s v="Gomukh Arariya Karjaniya"/>
    <s v="vlc"/>
    <s v="Indirect"/>
    <n v="22214.699999999997"/>
    <n v="822811.01000000013"/>
    <n v="0"/>
    <n v="0"/>
    <n v="0"/>
    <n v="0"/>
    <n v="0"/>
    <n v="0"/>
    <n v="822811.01000000013"/>
    <n v="0"/>
    <n v="0"/>
    <n v="0"/>
    <n v="0"/>
    <n v="0"/>
    <n v="0"/>
    <n v="0"/>
    <n v="0"/>
    <n v="822811.01000000013"/>
    <n v="0"/>
    <n v="0"/>
    <n v="0"/>
    <n v="0"/>
    <n v="0"/>
    <n v="0"/>
    <m/>
    <s v="Araria"/>
    <m/>
    <n v="0"/>
  </r>
  <r>
    <s v="Munger"/>
    <s v="03-09 Apr"/>
    <n v="1007"/>
    <s v="Araria"/>
    <x v="219"/>
    <s v="Gomukh Balha"/>
    <s v="vlc"/>
    <s v="Indirect"/>
    <n v="9371.4000000000015"/>
    <n v="342848.75999999995"/>
    <n v="0"/>
    <n v="0"/>
    <n v="0"/>
    <n v="0"/>
    <n v="0"/>
    <n v="0"/>
    <n v="342848.75999999995"/>
    <n v="0"/>
    <n v="0"/>
    <n v="0"/>
    <n v="0"/>
    <n v="0"/>
    <n v="0"/>
    <n v="0"/>
    <n v="0"/>
    <n v="342848.75999999995"/>
    <n v="0"/>
    <n v="0"/>
    <n v="0"/>
    <n v="0"/>
    <n v="0"/>
    <n v="0"/>
    <m/>
    <s v="Araria"/>
    <m/>
    <n v="0"/>
  </r>
  <r>
    <s v="Munger"/>
    <s v="03-09 Apr"/>
    <n v="1007"/>
    <s v="Araria"/>
    <x v="220"/>
    <s v="Haripur - Sanjay"/>
    <s v="vlc"/>
    <s v="Indirect"/>
    <n v="1032.8"/>
    <n v="37182.22"/>
    <n v="0"/>
    <n v="0"/>
    <n v="0"/>
    <n v="0"/>
    <n v="0"/>
    <n v="0"/>
    <n v="37182.22"/>
    <n v="0"/>
    <n v="0"/>
    <n v="0"/>
    <n v="0"/>
    <n v="0"/>
    <n v="0"/>
    <n v="0"/>
    <n v="0"/>
    <n v="37182.22"/>
    <n v="0"/>
    <n v="0"/>
    <n v="0"/>
    <n v="0"/>
    <n v="0"/>
    <n v="0"/>
    <m/>
    <s v="Araria"/>
    <m/>
    <n v="0"/>
  </r>
  <r>
    <s v="Munger"/>
    <s v="03-09 Apr"/>
    <n v="1007"/>
    <s v="Araria"/>
    <x v="221"/>
    <s v="Gomukh Bari Maliya(Indirect)"/>
    <s v="vlc"/>
    <s v="Direct"/>
    <n v="2177.8999999999996"/>
    <n v="79402.63"/>
    <n v="2485.6999999999998"/>
    <n v="90642.621850308002"/>
    <n v="0"/>
    <n v="0"/>
    <n v="2485.6999999999998"/>
    <n v="90642.621850308002"/>
    <n v="79402.63"/>
    <n v="0"/>
    <n v="0"/>
    <n v="11239.991850307997"/>
    <n v="0"/>
    <n v="0"/>
    <n v="0"/>
    <n v="79403"/>
    <n v="0"/>
    <n v="0"/>
    <n v="0"/>
    <n v="0"/>
    <n v="0"/>
    <n v="0"/>
    <n v="-0.14155692135522457"/>
    <n v="2"/>
    <m/>
    <s v="Araria"/>
    <m/>
    <n v="0"/>
  </r>
  <r>
    <s v="Munger"/>
    <s v="03-09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558.49999999999989"/>
    <n v="30179.390000000003"/>
    <n v="558.20000000000005"/>
    <n v="28155.772598708001"/>
    <n v="0"/>
    <n v="0"/>
    <n v="558.20000000000005"/>
    <n v="28155.772598708001"/>
    <n v="28155.772598708001"/>
    <n v="0"/>
    <n v="0"/>
    <n v="0"/>
    <n v="0"/>
    <n v="0"/>
    <n v="0"/>
    <n v="28156"/>
    <n v="0"/>
    <n v="0"/>
    <n v="2023"/>
    <n v="0"/>
    <n v="152.92331906893489"/>
    <n v="79.785714285714263"/>
    <n v="6.7052959032372808E-2"/>
    <n v="2"/>
    <m/>
    <s v="Parbatta"/>
    <m/>
    <n v="0"/>
  </r>
  <r>
    <s v="Munger"/>
    <s v="03-09 Apr"/>
    <n v="1056"/>
    <s v="Chautham"/>
    <x v="223"/>
    <s v="Gomukh Malpa Uttari                                                                                 "/>
    <s v="vlc"/>
    <s v="Indirect"/>
    <n v="290.54000000000002"/>
    <n v="10079.380000000001"/>
    <n v="0"/>
    <n v="0"/>
    <n v="0"/>
    <n v="0"/>
    <n v="0"/>
    <n v="0"/>
    <n v="10079.380000000001"/>
    <n v="0"/>
    <n v="0"/>
    <n v="0"/>
    <n v="0"/>
    <n v="0"/>
    <n v="0"/>
    <n v="0"/>
    <n v="0"/>
    <n v="10079.380000000001"/>
    <n v="0"/>
    <n v="0"/>
    <n v="284.09877709093411"/>
    <n v="41.505714285714291"/>
    <n v="0"/>
    <n v="0"/>
    <m/>
    <s v="Chautham"/>
    <m/>
    <n v="0"/>
  </r>
  <r>
    <s v="Munger"/>
    <s v="03-09 Apr"/>
    <n v="1007"/>
    <s v="Araria"/>
    <x v="224"/>
    <s v="Gomukh Sapha"/>
    <s v="MPG"/>
    <s v="Direct"/>
    <n v="143.40000000000003"/>
    <n v="6391.96"/>
    <n v="143.4"/>
    <n v="7242.5908180080005"/>
    <n v="0"/>
    <n v="0"/>
    <n v="143.4"/>
    <n v="7242.5908180080005"/>
    <n v="6391.96"/>
    <n v="0"/>
    <n v="0"/>
    <n v="850.63081800800046"/>
    <n v="0"/>
    <n v="0"/>
    <n v="0"/>
    <n v="6392"/>
    <n v="0"/>
    <n v="0"/>
    <n v="0"/>
    <n v="0"/>
    <n v="496.20152524407234"/>
    <n v="20.485714285714291"/>
    <n v="-0.133078244858854"/>
    <n v="1"/>
    <m/>
    <s v="Araria"/>
    <m/>
    <n v="0"/>
  </r>
  <r>
    <s v="Munger"/>
    <s v="03-09 Apr"/>
    <n v="1007"/>
    <s v="Araria"/>
    <x v="225"/>
    <s v="Araria"/>
    <s v="vlc"/>
    <s v="Indirect"/>
    <n v="26754.000000000004"/>
    <n v="986423.9"/>
    <n v="0"/>
    <n v="0"/>
    <n v="0"/>
    <n v="0"/>
    <n v="0"/>
    <n v="0"/>
    <n v="986423.9"/>
    <n v="5800"/>
    <n v="0"/>
    <n v="0"/>
    <n v="0"/>
    <n v="0"/>
    <n v="0"/>
    <n v="0"/>
    <n v="0"/>
    <n v="980623.9"/>
    <n v="0"/>
    <n v="0"/>
    <n v="0"/>
    <n v="0"/>
    <n v="0"/>
    <n v="0"/>
    <m/>
    <s v="Araria"/>
    <m/>
    <n v="0"/>
  </r>
  <r>
    <s v="Munger"/>
    <s v="03-09 Apr"/>
    <n v="1007"/>
    <s v="Araria"/>
    <x v="226"/>
    <s v="Gomukh Gauchhari"/>
    <s v="MPG"/>
    <s v="Direct"/>
    <n v="1260.8"/>
    <n v="48547.850000000006"/>
    <n v="1400"/>
    <n v="54517.533840000004"/>
    <n v="0"/>
    <n v="0"/>
    <n v="1400"/>
    <n v="54517.533840000004"/>
    <n v="48547.850000000006"/>
    <n v="0"/>
    <n v="0"/>
    <n v="5969.6838399999979"/>
    <n v="0"/>
    <n v="0"/>
    <n v="0"/>
    <n v="48548"/>
    <n v="0"/>
    <n v="0"/>
    <n v="0"/>
    <n v="0"/>
    <n v="0"/>
    <n v="0"/>
    <n v="-0.12296494777832587"/>
    <n v="2"/>
    <m/>
    <s v="Araria"/>
    <m/>
    <n v="0"/>
  </r>
  <r>
    <s v="Munger"/>
    <s v="03-09 Apr"/>
    <n v="1056"/>
    <s v="Chautham"/>
    <x v="227"/>
    <s v="Telouch"/>
    <s v="MPG"/>
    <s v="Direct"/>
    <n v="2783.86"/>
    <n v="104316.75000000001"/>
    <n v="2832.02"/>
    <n v="110651.19490551602"/>
    <n v="12"/>
    <n v="424.92067200000002"/>
    <n v="2844.02"/>
    <n v="111076.11557751602"/>
    <n v="104316.75000000001"/>
    <n v="0"/>
    <n v="424.92067200000002"/>
    <n v="6759.3655775160005"/>
    <n v="0"/>
    <n v="0"/>
    <n v="0"/>
    <n v="103892"/>
    <n v="0"/>
    <n v="0"/>
    <n v="0"/>
    <n v="0"/>
    <n v="0"/>
    <n v="0"/>
    <n v="-6.4796550673942577E-2"/>
    <n v="7"/>
    <m/>
    <s v="Chautham"/>
    <m/>
    <n v="0"/>
  </r>
  <r>
    <s v="Munger"/>
    <s v="03-09 Apr"/>
    <n v="1010"/>
    <s v="Parbatta"/>
    <x v="228"/>
    <s v="Gomukh Salarpur East"/>
    <s v="MPG"/>
    <s v="Direct"/>
    <n v="129.69999999999999"/>
    <n v="4557.37"/>
    <n v="129.69999999999999"/>
    <n v="5136.2638113600005"/>
    <n v="0"/>
    <n v="0"/>
    <n v="129.69999999999999"/>
    <n v="5136.2638113600005"/>
    <n v="4557.37"/>
    <n v="0"/>
    <n v="0"/>
    <n v="578.89381136000065"/>
    <n v="0"/>
    <n v="0"/>
    <n v="0"/>
    <n v="4557"/>
    <n v="0"/>
    <n v="0"/>
    <n v="0"/>
    <n v="0"/>
    <n v="400.78151287586752"/>
    <n v="18.528571428571428"/>
    <n v="-0.12702365868033552"/>
    <n v="1"/>
    <m/>
    <s v="Parbatta"/>
    <m/>
    <n v="0"/>
  </r>
  <r>
    <s v="Munger"/>
    <s v="03-09 Apr"/>
    <n v="1007"/>
    <s v="Araria"/>
    <x v="229"/>
    <s v="Gomukh Jhangara B"/>
    <s v="MPG"/>
    <s v="Direct"/>
    <n v="1475.3999999999996"/>
    <n v="58270.680000000008"/>
    <n v="1470.9500000000003"/>
    <n v="60049.214682826641"/>
    <n v="0"/>
    <n v="0"/>
    <n v="1470.9500000000003"/>
    <n v="60049.214682826641"/>
    <n v="58270.680000000008"/>
    <n v="0"/>
    <n v="0"/>
    <n v="1778.5346828266338"/>
    <n v="0"/>
    <n v="0"/>
    <n v="0"/>
    <n v="58271"/>
    <n v="0"/>
    <n v="0"/>
    <n v="0"/>
    <n v="0"/>
    <n v="0"/>
    <n v="0"/>
    <n v="-3.0521948307907745E-2"/>
    <n v="7"/>
    <m/>
    <s v="Araria"/>
    <m/>
    <n v="0"/>
  </r>
  <r>
    <s v="Munger"/>
    <s v="03-09 Apr"/>
    <n v="1056"/>
    <s v="Chautham"/>
    <x v="230"/>
    <s v="Gomukh Saraiya"/>
    <s v="vlc"/>
    <s v="Direct"/>
    <n v="338.86"/>
    <n v="11995.539999999999"/>
    <n v="505.25"/>
    <n v="23274.377815170003"/>
    <n v="0"/>
    <n v="0"/>
    <n v="505.25"/>
    <n v="23274.377815170003"/>
    <n v="11995.539999999999"/>
    <n v="0"/>
    <n v="0"/>
    <n v="11278.837815170004"/>
    <n v="0"/>
    <n v="0"/>
    <n v="0"/>
    <n v="11996"/>
    <n v="0"/>
    <n v="0"/>
    <n v="0"/>
    <s v="Release1"/>
    <n v="255.68490324027618"/>
    <n v="48.408571428571427"/>
    <n v="-0.94025261181822617"/>
    <n v="2"/>
    <m/>
    <s v="Chautham"/>
    <m/>
    <n v="0"/>
  </r>
  <r>
    <s v="Munger"/>
    <s v="03-09 Apr"/>
    <n v="1056"/>
    <s v="Chautham"/>
    <x v="231"/>
    <s v=" Gomukh Nauranga"/>
    <s v="vlc"/>
    <s v="Indirect"/>
    <n v="752.8599999999999"/>
    <n v="33028.270000000004"/>
    <n v="0"/>
    <n v="0"/>
    <n v="0"/>
    <n v="0"/>
    <n v="0"/>
    <n v="0"/>
    <n v="33028.270000000004"/>
    <n v="0"/>
    <n v="0"/>
    <n v="0"/>
    <n v="0"/>
    <n v="0"/>
    <n v="0"/>
    <n v="0"/>
    <n v="0"/>
    <n v="33028.270000000004"/>
    <n v="0"/>
    <n v="0"/>
    <n v="0"/>
    <n v="0"/>
    <n v="0"/>
    <n v="0"/>
    <m/>
    <s v="Chautham"/>
    <m/>
    <n v="0"/>
  </r>
  <r>
    <s v="Munger"/>
    <s v="03-09 Apr"/>
    <n v="1056"/>
    <s v="Chautham"/>
    <x v="232"/>
    <s v="Gomukh Malpa Dhutauli VLC"/>
    <s v="vlc"/>
    <s v="Indirect"/>
    <n v="213.48000000000002"/>
    <n v="7502.48"/>
    <n v="0"/>
    <n v="0"/>
    <n v="0"/>
    <n v="0"/>
    <n v="0"/>
    <n v="0"/>
    <n v="7502.48"/>
    <n v="0"/>
    <n v="0"/>
    <n v="0"/>
    <n v="0"/>
    <n v="0"/>
    <n v="0"/>
    <n v="0"/>
    <n v="0"/>
    <n v="7502.48"/>
    <n v="0"/>
    <n v="0"/>
    <n v="341.96239175566791"/>
    <n v="30.497142857142858"/>
    <n v="0"/>
    <n v="0"/>
    <m/>
    <s v="Chautham"/>
    <m/>
    <n v="0"/>
  </r>
  <r>
    <s v="Munger"/>
    <s v="03-09 Apr"/>
    <n v="1056"/>
    <s v="Chautham"/>
    <x v="233"/>
    <s v="Gomukh Pakrail Vijay Nagar VLC"/>
    <s v="vlc"/>
    <s v="Indirect"/>
    <n v="1524.6000000000001"/>
    <n v="56105.3"/>
    <n v="0"/>
    <n v="0"/>
    <n v="0"/>
    <n v="0"/>
    <n v="0"/>
    <n v="0"/>
    <n v="56105.3"/>
    <n v="0"/>
    <n v="0"/>
    <n v="0"/>
    <n v="0"/>
    <n v="0"/>
    <n v="0"/>
    <n v="0"/>
    <n v="0"/>
    <n v="56105.3"/>
    <n v="0"/>
    <n v="0"/>
    <n v="0"/>
    <n v="0"/>
    <n v="0"/>
    <n v="0"/>
    <m/>
    <s v="Chautham"/>
    <m/>
    <n v="0"/>
  </r>
  <r>
    <s v="Munger"/>
    <s v="03-09 Apr"/>
    <n v="1056"/>
    <s v="Chautham"/>
    <x v="234"/>
    <s v="Gomukh Pakrail Shirnia VLC"/>
    <s v="vlc"/>
    <s v="Indirect"/>
    <n v="245.4"/>
    <n v="9201.2900000000009"/>
    <n v="0"/>
    <n v="0"/>
    <n v="0"/>
    <n v="0"/>
    <n v="0"/>
    <n v="0"/>
    <n v="9201.2900000000009"/>
    <n v="0"/>
    <n v="0"/>
    <n v="0"/>
    <n v="0"/>
    <n v="0"/>
    <n v="0"/>
    <n v="0"/>
    <n v="0"/>
    <n v="9201.2900000000009"/>
    <n v="0"/>
    <n v="0"/>
    <n v="340.90516984515079"/>
    <n v="35.057142857142857"/>
    <n v="0"/>
    <n v="0"/>
    <m/>
    <s v="Chautham"/>
    <m/>
    <n v="0"/>
  </r>
  <r>
    <s v="Munger"/>
    <s v="03-09 Apr"/>
    <n v="1007"/>
    <s v="Araria"/>
    <x v="235"/>
    <s v="Gomukh Godhiyasi Nayagow VLC"/>
    <s v="vlc"/>
    <s v="Indirect"/>
    <n v="188.6"/>
    <n v="6691.8600000000006"/>
    <n v="0"/>
    <n v="0"/>
    <n v="0"/>
    <n v="0"/>
    <n v="0"/>
    <n v="0"/>
    <n v="6691.8600000000006"/>
    <n v="0"/>
    <n v="0"/>
    <n v="0"/>
    <n v="0"/>
    <n v="0"/>
    <n v="0"/>
    <n v="0"/>
    <n v="0"/>
    <n v="6691.8600000000006"/>
    <n v="0"/>
    <n v="0"/>
    <n v="362.90744475079543"/>
    <n v="26.942857142857143"/>
    <n v="0"/>
    <n v="0"/>
    <m/>
    <s v="Araria"/>
    <m/>
    <n v="0"/>
  </r>
  <r>
    <s v="Munger"/>
    <s v="03-09 Apr"/>
    <n v="1010"/>
    <s v="Parbatta"/>
    <x v="236"/>
    <s v="Gomukh Bandehra Purbi"/>
    <s v="MPG"/>
    <s v="Direct"/>
    <n v="932.3"/>
    <n v="35490.31"/>
    <n v="932.3"/>
    <n v="47086.941559475999"/>
    <n v="0"/>
    <n v="0"/>
    <n v="932.3"/>
    <n v="47086.941559475999"/>
    <n v="35490.31"/>
    <n v="0"/>
    <n v="0"/>
    <n v="11596.631559476002"/>
    <n v="0"/>
    <n v="0"/>
    <n v="0"/>
    <n v="35490"/>
    <n v="0"/>
    <n v="0"/>
    <n v="0"/>
    <n v="0"/>
    <n v="0"/>
    <n v="0"/>
    <n v="-0.32675486800413978"/>
    <n v="1"/>
    <m/>
    <s v="Parbatta"/>
    <m/>
    <n v="0"/>
  </r>
  <r>
    <s v="Munger"/>
    <s v="03-09 Apr"/>
    <n v="1056"/>
    <s v="Chautham"/>
    <x v="237"/>
    <s v="Gomukh Tila Tol"/>
    <s v="MPG"/>
    <s v="Direct"/>
    <n v="1632.38"/>
    <n v="59502.77"/>
    <n v="1631.8"/>
    <n v="59530.656121992004"/>
    <n v="5.2399999999999993"/>
    <n v="198.41493988799999"/>
    <n v="1637.04"/>
    <n v="59729.071061880008"/>
    <n v="59502.77"/>
    <n v="0"/>
    <n v="198.41493988799999"/>
    <n v="226.30106188001082"/>
    <n v="0"/>
    <n v="0"/>
    <n v="0"/>
    <n v="59304"/>
    <n v="0"/>
    <n v="0"/>
    <n v="0"/>
    <n v="0"/>
    <n v="0"/>
    <n v="0"/>
    <n v="-3.8032021346234945E-3"/>
    <n v="2"/>
    <m/>
    <s v="Chautham"/>
    <m/>
    <n v="0"/>
  </r>
  <r>
    <s v="Munger"/>
    <s v="03-09 Apr"/>
    <n v="1007"/>
    <s v="Araria"/>
    <x v="238"/>
    <s v="Gomukh Dina Chakla Vlc"/>
    <s v="vlc"/>
    <s v="Indirect"/>
    <n v="418"/>
    <n v="15307.940000000002"/>
    <n v="0"/>
    <n v="0"/>
    <n v="0"/>
    <n v="0"/>
    <n v="0"/>
    <n v="0"/>
    <n v="15307.940000000002"/>
    <n v="0"/>
    <n v="0"/>
    <n v="0"/>
    <n v="0"/>
    <n v="0"/>
    <n v="0"/>
    <n v="0"/>
    <n v="0"/>
    <n v="15307.940000000002"/>
    <n v="0"/>
    <n v="0"/>
    <n v="206.5473244019139"/>
    <n v="59.714285714285715"/>
    <n v="0"/>
    <n v="0"/>
    <m/>
    <s v="Araria"/>
    <m/>
    <n v="0"/>
  </r>
  <r>
    <s v="Munger"/>
    <s v="03-09 Apr"/>
    <n v="1007"/>
    <s v="Araria"/>
    <x v="239"/>
    <s v="Gomukh Gogri VLC"/>
    <s v="vlc"/>
    <s v="Indirect"/>
    <n v="536.80000000000007"/>
    <n v="18751.400000000005"/>
    <n v="0"/>
    <n v="0"/>
    <n v="0"/>
    <n v="0"/>
    <n v="0"/>
    <n v="0"/>
    <n v="18751.400000000005"/>
    <n v="0"/>
    <n v="0"/>
    <n v="0"/>
    <n v="0"/>
    <n v="0"/>
    <n v="0"/>
    <n v="0"/>
    <n v="0"/>
    <n v="18751.400000000005"/>
    <n v="0"/>
    <n v="0"/>
    <n v="114.01745454545451"/>
    <n v="76.685714285714297"/>
    <n v="0"/>
    <n v="0"/>
    <m/>
    <s v="Araria"/>
    <m/>
    <n v="0"/>
  </r>
  <r>
    <s v="Munger"/>
    <s v="03-09 Apr"/>
    <n v="1007"/>
    <s v="Araria"/>
    <x v="240"/>
    <s v="Gomukh Sondiha Jay Prakash VLC"/>
    <s v="vlc"/>
    <s v="Indirect"/>
    <n v="290.40000000000003"/>
    <n v="10346.67"/>
    <n v="0"/>
    <n v="0"/>
    <n v="0"/>
    <n v="0"/>
    <n v="0"/>
    <n v="0"/>
    <n v="10346.67"/>
    <n v="0"/>
    <n v="0"/>
    <n v="0"/>
    <n v="0"/>
    <n v="0"/>
    <n v="0"/>
    <n v="0"/>
    <n v="0"/>
    <n v="10346.67"/>
    <n v="0"/>
    <n v="0"/>
    <n v="291.8730049586776"/>
    <n v="41.485714285714288"/>
    <n v="0"/>
    <n v="0"/>
    <m/>
    <s v="Araria"/>
    <m/>
    <n v="0"/>
  </r>
  <r>
    <s v="Munger"/>
    <s v="03-09 Apr"/>
    <n v="1007"/>
    <s v="Araria"/>
    <x v="241"/>
    <s v="Gomukh Bari Chak Gogri"/>
    <s v="MPG"/>
    <s v="Direct"/>
    <n v="154.20000000000002"/>
    <n v="4997.7"/>
    <n v="147.19999999999999"/>
    <n v="6720.3760762319998"/>
    <n v="10.91"/>
    <n v="447.88956102000003"/>
    <n v="158.10999999999999"/>
    <n v="7168.2656372519996"/>
    <n v="4997.7"/>
    <n v="0"/>
    <n v="0"/>
    <n v="2170.5656372519998"/>
    <n v="0"/>
    <n v="0"/>
    <n v="0"/>
    <n v="4550"/>
    <n v="448"/>
    <n v="0"/>
    <n v="0"/>
    <n v="0"/>
    <n v="353.79308171206219"/>
    <n v="22.028571428571432"/>
    <n v="-0.43431291138963918"/>
    <n v="2"/>
    <m/>
    <s v="Araria"/>
    <m/>
    <n v="0"/>
  </r>
  <r>
    <s v="Munger"/>
    <s v="03-09 Apr"/>
    <n v="1007"/>
    <s v="Araria"/>
    <x v="242"/>
    <s v="Gomukh Khatha"/>
    <s v="MPG"/>
    <s v="Direct"/>
    <n v="1013.4"/>
    <n v="35907.14"/>
    <n v="1013.4"/>
    <n v="40131.763657920004"/>
    <n v="0"/>
    <n v="0"/>
    <n v="1013.4"/>
    <n v="40131.763657920004"/>
    <n v="35907.14"/>
    <n v="0"/>
    <n v="0"/>
    <n v="4224.6236579200049"/>
    <n v="0"/>
    <n v="0"/>
    <n v="0"/>
    <n v="35907"/>
    <n v="0"/>
    <n v="0"/>
    <n v="0"/>
    <n v="0"/>
    <n v="0"/>
    <n v="0"/>
    <n v="-0.11765413948089447"/>
    <n v="1"/>
    <m/>
    <s v="Araria"/>
    <m/>
    <n v="0"/>
  </r>
  <r>
    <s v="Munger"/>
    <s v="03-09 Apr"/>
    <n v="1055"/>
    <s v="Matihani"/>
    <x v="243"/>
    <s v="Chak Punervas"/>
    <s v="vlc"/>
    <s v="Indirect"/>
    <n v="1216"/>
    <n v="45407.789999999994"/>
    <n v="0"/>
    <n v="0"/>
    <n v="0"/>
    <n v="0"/>
    <n v="0"/>
    <n v="0"/>
    <n v="45407.789999999994"/>
    <n v="0"/>
    <n v="0"/>
    <n v="0"/>
    <n v="0"/>
    <n v="0"/>
    <n v="0"/>
    <n v="0"/>
    <n v="0"/>
    <n v="45407.789999999994"/>
    <n v="0"/>
    <n v="0"/>
    <n v="0"/>
    <n v="0"/>
    <n v="0"/>
    <n v="0"/>
    <m/>
    <s v="Matihani"/>
    <m/>
    <n v="0"/>
  </r>
  <r>
    <s v="Munger"/>
    <s v="03-09 Apr"/>
    <n v="1008"/>
    <s v="Teghra"/>
    <x v="244"/>
    <s v="Labherchak"/>
    <s v="vlc"/>
    <s v="Indirect"/>
    <n v="349.99999999999994"/>
    <n v="13097.730000000001"/>
    <n v="0"/>
    <n v="0"/>
    <n v="0"/>
    <n v="0"/>
    <n v="0"/>
    <n v="0"/>
    <n v="13097.730000000001"/>
    <n v="0"/>
    <n v="0"/>
    <n v="0"/>
    <n v="13098"/>
    <n v="0"/>
    <n v="0"/>
    <n v="0"/>
    <n v="0"/>
    <n v="-0.26999999999861757"/>
    <n v="0"/>
    <n v="0"/>
    <n v="261.95460000000008"/>
    <n v="49.999999999999993"/>
    <n v="0"/>
    <n v="0"/>
    <m/>
    <s v="Teghra"/>
    <m/>
    <n v="0"/>
  </r>
  <r>
    <s v="Munger"/>
    <s v="03-09 Apr"/>
    <n v="1008"/>
    <s v="Teghra"/>
    <x v="245"/>
    <s v="Paspura"/>
    <s v="vlc"/>
    <s v="Indirect"/>
    <n v="489.3"/>
    <n v="17542.190000000002"/>
    <n v="0"/>
    <n v="0"/>
    <n v="0"/>
    <n v="0"/>
    <n v="0"/>
    <n v="0"/>
    <n v="17542.190000000002"/>
    <n v="0"/>
    <n v="0"/>
    <n v="0"/>
    <n v="0"/>
    <n v="0"/>
    <n v="0"/>
    <n v="0"/>
    <n v="0"/>
    <n v="17542.190000000002"/>
    <n v="0"/>
    <n v="0"/>
    <n v="151.07866065808295"/>
    <n v="69.900000000000006"/>
    <n v="0"/>
    <n v="0"/>
    <m/>
    <s v="Teghra"/>
    <m/>
    <n v="0"/>
  </r>
  <r>
    <s v="Munger"/>
    <s v="03-09 Apr"/>
    <n v="1008"/>
    <s v="Teghra"/>
    <x v="246"/>
    <s v="Gomukh Godhna"/>
    <s v="vlc"/>
    <s v="Indirect"/>
    <n v="142.55000000000001"/>
    <n v="5298.29"/>
    <n v="0"/>
    <n v="0"/>
    <n v="0"/>
    <n v="0"/>
    <n v="0"/>
    <n v="0"/>
    <n v="5298.29"/>
    <n v="0"/>
    <n v="0"/>
    <n v="0"/>
    <n v="0"/>
    <n v="0"/>
    <n v="0"/>
    <n v="0"/>
    <n v="0"/>
    <n v="5298.29"/>
    <n v="0"/>
    <n v="0"/>
    <n v="414.38537502630658"/>
    <n v="20.364285714285717"/>
    <n v="0"/>
    <n v="0"/>
    <m/>
    <s v="Teghra"/>
    <m/>
    <n v="0"/>
  </r>
  <r>
    <s v="Munger"/>
    <s v="03-09 Apr"/>
    <n v="1008"/>
    <s v="Teghra"/>
    <x v="247"/>
    <s v="Gomukh Sihma 2"/>
    <s v="vlc"/>
    <s v="Indirect"/>
    <n v="364.75"/>
    <n v="13223.66"/>
    <n v="0"/>
    <n v="0"/>
    <n v="0"/>
    <n v="0"/>
    <n v="0"/>
    <n v="0"/>
    <n v="13223.66"/>
    <n v="0"/>
    <n v="0"/>
    <n v="0"/>
    <n v="0"/>
    <n v="0"/>
    <n v="0"/>
    <n v="0"/>
    <n v="0"/>
    <n v="13223.66"/>
    <n v="0"/>
    <n v="0"/>
    <n v="243.08331816312545"/>
    <n v="52.107142857142854"/>
    <n v="0"/>
    <n v="0"/>
    <m/>
    <s v="Teghra"/>
    <m/>
    <n v="0"/>
  </r>
  <r>
    <s v="Munger"/>
    <s v="03-09 Apr"/>
    <n v="1008"/>
    <s v="Teghra"/>
    <x v="248"/>
    <s v="Gomukh ID Marsaito"/>
    <s v="vlc"/>
    <s v="Indirect"/>
    <n v="738.75"/>
    <n v="26463.589999999997"/>
    <n v="0"/>
    <n v="0"/>
    <n v="0"/>
    <n v="0"/>
    <n v="0"/>
    <n v="0"/>
    <n v="26463.589999999997"/>
    <n v="0"/>
    <n v="0"/>
    <n v="0"/>
    <n v="0"/>
    <n v="0"/>
    <n v="0"/>
    <n v="0"/>
    <n v="0"/>
    <n v="26463.589999999997"/>
    <n v="0"/>
    <n v="0"/>
    <n v="0"/>
    <n v="0"/>
    <n v="0"/>
    <n v="0"/>
    <m/>
    <s v="Teghra"/>
    <m/>
    <n v="0"/>
  </r>
  <r>
    <s v="Munger"/>
    <s v="03-09 Apr"/>
    <n v="1008"/>
    <s v="Teghra"/>
    <x v="249"/>
    <s v="Gomukh ID Akashpur-2"/>
    <s v="vlc"/>
    <s v="Indirect"/>
    <n v="2090.2999999999997"/>
    <n v="75431.080000000016"/>
    <n v="0"/>
    <n v="0"/>
    <n v="0"/>
    <n v="0"/>
    <n v="0"/>
    <n v="0"/>
    <n v="75431.080000000016"/>
    <n v="0"/>
    <n v="0"/>
    <n v="0"/>
    <n v="0"/>
    <n v="0"/>
    <n v="0"/>
    <n v="0"/>
    <n v="0"/>
    <n v="75431.080000000016"/>
    <n v="0"/>
    <n v="0"/>
    <n v="0"/>
    <n v="0"/>
    <n v="0"/>
    <n v="0"/>
    <m/>
    <s v="Teghra"/>
    <m/>
    <n v="0"/>
  </r>
  <r>
    <s v="Munger"/>
    <s v="03-09 Apr"/>
    <n v="1008"/>
    <s v="Teghra"/>
    <x v="250"/>
    <s v="Gomukh ID Akashpur"/>
    <s v="vlc"/>
    <s v="Indirect"/>
    <n v="562.75"/>
    <n v="21439.8"/>
    <n v="0"/>
    <n v="0"/>
    <n v="0"/>
    <n v="0"/>
    <n v="0"/>
    <n v="0"/>
    <n v="21439.8"/>
    <n v="0"/>
    <n v="0"/>
    <n v="0"/>
    <n v="0"/>
    <n v="0"/>
    <n v="0"/>
    <n v="0"/>
    <n v="0"/>
    <n v="21439.8"/>
    <n v="0"/>
    <n v="0"/>
    <n v="104.57974411372724"/>
    <n v="80.392857142857139"/>
    <n v="0"/>
    <n v="0"/>
    <m/>
    <s v="Teghra"/>
    <m/>
    <n v="0"/>
  </r>
  <r>
    <s v="Munger"/>
    <s v="03-09 Apr"/>
    <n v="1008"/>
    <s v="Teghra"/>
    <x v="251"/>
    <s v="Gomukh ID Rachiyahi"/>
    <s v="vlc"/>
    <s v="Indirect"/>
    <n v="123.75000000000001"/>
    <n v="4691.7299999999996"/>
    <n v="0"/>
    <n v="0"/>
    <n v="0"/>
    <n v="0"/>
    <n v="0"/>
    <n v="0"/>
    <n v="4691.7299999999996"/>
    <n v="0"/>
    <n v="0"/>
    <n v="0"/>
    <n v="0"/>
    <n v="0"/>
    <n v="0"/>
    <n v="0"/>
    <n v="0"/>
    <n v="4691.7299999999996"/>
    <n v="0"/>
    <n v="0"/>
    <n v="436.94697575757567"/>
    <n v="17.678571428571431"/>
    <n v="0"/>
    <n v="0"/>
    <m/>
    <s v="Teghra"/>
    <m/>
    <n v="0"/>
  </r>
  <r>
    <s v="Munger"/>
    <s v="03-09 Apr"/>
    <n v="1008"/>
    <s v="Teghra"/>
    <x v="252"/>
    <s v="GomukhBariyahi Chanan"/>
    <s v="MPG"/>
    <s v="Direct"/>
    <n v="3660.85"/>
    <n v="132117.59"/>
    <n v="3655.5999999999995"/>
    <n v="133112.5729229784"/>
    <n v="4.3"/>
    <n v="150.02254476000005"/>
    <n v="3659.8999999999996"/>
    <n v="133262.5954677384"/>
    <n v="132117.59"/>
    <n v="0"/>
    <n v="150.02254476000005"/>
    <n v="1145.0054677384032"/>
    <n v="0"/>
    <n v="0"/>
    <n v="0"/>
    <n v="131968"/>
    <n v="0"/>
    <n v="0"/>
    <n v="0"/>
    <n v="0"/>
    <n v="0"/>
    <n v="0"/>
    <n v="-8.6665633829560718E-3"/>
    <n v="10"/>
    <m/>
    <s v="Teghra"/>
    <m/>
    <n v="0"/>
  </r>
  <r>
    <s v="Munger"/>
    <s v="03-09 Apr"/>
    <n v="1008"/>
    <s v="Teghra"/>
    <x v="253"/>
    <s v="GomukhGehuni"/>
    <s v="MPG"/>
    <s v="Direct"/>
    <n v="119.74999999999999"/>
    <n v="4503.3799999999992"/>
    <n v="119.4"/>
    <n v="4557.3081905340005"/>
    <n v="2.2000000000000002"/>
    <n v="82.482522210000013"/>
    <n v="121.60000000000001"/>
    <n v="4639.7907127440003"/>
    <n v="4503.3799999999992"/>
    <n v="0"/>
    <n v="82.482522210000013"/>
    <n v="136.4107127440011"/>
    <n v="0"/>
    <n v="500"/>
    <n v="0"/>
    <n v="3921"/>
    <n v="0"/>
    <n v="0"/>
    <n v="0"/>
    <n v="0"/>
    <n v="436.42358997912322"/>
    <n v="17.107142857142854"/>
    <n v="-3.0290740009504224E-2"/>
    <n v="6"/>
    <m/>
    <s v="Teghra"/>
    <m/>
    <n v="500"/>
  </r>
  <r>
    <s v="Munger"/>
    <s v="03-09 Apr"/>
    <n v="1008"/>
    <s v="Teghra"/>
    <x v="254"/>
    <s v="Gomukh Bakhatpur"/>
    <s v="MPG"/>
    <s v="Direct"/>
    <n v="244.20000000000002"/>
    <n v="10311.539999999999"/>
    <n v="234.32999999999998"/>
    <n v="9804.6257475213424"/>
    <n v="4.0600000000000005"/>
    <n v="164.78400113999999"/>
    <n v="238.39"/>
    <n v="9969.4097486613427"/>
    <n v="9969.4097486613427"/>
    <n v="0"/>
    <n v="164.78400113999999"/>
    <n v="0"/>
    <n v="0"/>
    <n v="500"/>
    <n v="0"/>
    <n v="9304"/>
    <n v="0"/>
    <n v="0"/>
    <n v="343"/>
    <s v="Release3"/>
    <n v="384.93037936117929"/>
    <n v="34.885714285714286"/>
    <n v="3.3179355492841643E-2"/>
    <n v="6"/>
    <m/>
    <s v="Teghra"/>
    <m/>
    <n v="500"/>
  </r>
  <r>
    <s v="Munger"/>
    <s v="03-09 Apr"/>
    <n v="1008"/>
    <s v="Teghra"/>
    <x v="255"/>
    <s v="Ananaya Dairy"/>
    <s v="vlc"/>
    <s v="Indirect"/>
    <n v="5808"/>
    <n v="225801.81"/>
    <n v="0"/>
    <n v="0"/>
    <n v="0"/>
    <n v="0"/>
    <n v="0"/>
    <n v="0"/>
    <n v="225801.81"/>
    <n v="0"/>
    <n v="0"/>
    <n v="0"/>
    <n v="0"/>
    <n v="0"/>
    <n v="0"/>
    <n v="0"/>
    <n v="0"/>
    <n v="225801.81"/>
    <n v="0"/>
    <n v="0"/>
    <n v="0"/>
    <n v="0"/>
    <n v="0"/>
    <n v="0"/>
    <m/>
    <s v="Teghra"/>
    <m/>
    <n v="0"/>
  </r>
  <r>
    <s v="Munger"/>
    <s v="03-09 Apr"/>
    <n v="1008"/>
    <s v="Teghra"/>
    <x v="256"/>
    <s v="Gomukh Bishanpur"/>
    <s v="MPG"/>
    <s v="Direct"/>
    <n v="848.95"/>
    <n v="31483.259999999995"/>
    <n v="869.24000000000024"/>
    <n v="33011.039676007291"/>
    <n v="15.730000000000002"/>
    <n v="618.97987602000012"/>
    <n v="884.97000000000025"/>
    <n v="33630.01955202729"/>
    <n v="31483.259999999995"/>
    <n v="0"/>
    <n v="618.97987602000012"/>
    <n v="2146.7595520272953"/>
    <n v="0"/>
    <n v="0"/>
    <n v="0"/>
    <n v="30864"/>
    <n v="0"/>
    <n v="0"/>
    <n v="0"/>
    <s v="Release3"/>
    <n v="0"/>
    <n v="0"/>
    <n v="-6.8187333587033092E-2"/>
    <n v="27"/>
    <m/>
    <s v="Teghra"/>
    <m/>
    <n v="0"/>
  </r>
  <r>
    <s v="Munger"/>
    <s v="03-09 Apr"/>
    <n v="1008"/>
    <s v="Teghra"/>
    <x v="257"/>
    <s v="GOMUKH BEGAMSARAI"/>
    <s v="MPG"/>
    <s v="Direct"/>
    <n v="334"/>
    <n v="13679.510000000002"/>
    <n v="212.15"/>
    <n v="8996.8513303903201"/>
    <n v="120.63000000000002"/>
    <n v="4821.1802886496007"/>
    <n v="332.78000000000003"/>
    <n v="13818.031619039921"/>
    <n v="13679.510000000002"/>
    <n v="0"/>
    <n v="56.8866832816"/>
    <n v="138.52161903991873"/>
    <n v="0"/>
    <n v="0"/>
    <n v="0"/>
    <n v="8858"/>
    <n v="4764"/>
    <n v="0"/>
    <n v="1"/>
    <n v="0"/>
    <n v="299.80243473053895"/>
    <n v="47.714285714285715"/>
    <n v="-1.0126212052911157E-2"/>
    <n v="7"/>
    <m/>
    <s v="Teghra"/>
    <m/>
    <n v="0"/>
  </r>
  <r>
    <s v="Munger"/>
    <s v="03-09 Apr"/>
    <n v="1008"/>
    <s v="Teghra"/>
    <x v="258"/>
    <s v="Hasanpur - Abhijeet"/>
    <s v="vlc"/>
    <s v="Indirect"/>
    <n v="3486.9"/>
    <n v="128075.52"/>
    <n v="0"/>
    <n v="0"/>
    <n v="0"/>
    <n v="0"/>
    <n v="0"/>
    <n v="0"/>
    <n v="128075.52"/>
    <n v="0"/>
    <n v="0"/>
    <n v="0"/>
    <n v="0"/>
    <n v="0"/>
    <n v="0"/>
    <n v="0"/>
    <n v="0"/>
    <n v="128075.52"/>
    <n v="0"/>
    <n v="0"/>
    <n v="0"/>
    <n v="0"/>
    <n v="0"/>
    <n v="0"/>
    <m/>
    <s v="Teghra"/>
    <m/>
    <n v="0"/>
  </r>
  <r>
    <s v="Munger"/>
    <s v="03-09 Apr"/>
    <n v="1008"/>
    <s v="Teghra"/>
    <x v="259"/>
    <s v="Adharpur - Manish"/>
    <s v="vlc"/>
    <s v="Indirect"/>
    <n v="1224.5000000000002"/>
    <n v="47084.68"/>
    <n v="0"/>
    <n v="0"/>
    <n v="0"/>
    <n v="0"/>
    <n v="0"/>
    <n v="0"/>
    <n v="47084.68"/>
    <n v="0"/>
    <n v="0"/>
    <n v="0"/>
    <n v="0"/>
    <n v="0"/>
    <n v="0"/>
    <n v="0"/>
    <n v="0"/>
    <n v="47084.68"/>
    <n v="0"/>
    <n v="0"/>
    <n v="0"/>
    <n v="0"/>
    <n v="0"/>
    <n v="0"/>
    <m/>
    <s v="Teghra"/>
    <m/>
    <n v="0"/>
  </r>
  <r>
    <s v="Munger"/>
    <s v="03-09 Apr"/>
    <n v="1008"/>
    <s v="Teghra"/>
    <x v="260"/>
    <s v="Rani - Surender"/>
    <s v="vlc"/>
    <s v="Indirect"/>
    <n v="89.750000000000014"/>
    <n v="3617.94"/>
    <n v="0"/>
    <n v="0"/>
    <n v="0"/>
    <n v="0"/>
    <n v="0"/>
    <n v="0"/>
    <n v="3617.94"/>
    <n v="0"/>
    <n v="0"/>
    <n v="0"/>
    <n v="0"/>
    <n v="0"/>
    <n v="0"/>
    <n v="0"/>
    <n v="0"/>
    <n v="3617.94"/>
    <n v="0"/>
    <n v="0"/>
    <n v="491.99952869080778"/>
    <n v="12.821428571428573"/>
    <n v="0"/>
    <n v="0"/>
    <m/>
    <s v="Teghra"/>
    <m/>
    <n v="0"/>
  </r>
  <r>
    <s v="Munger"/>
    <s v="03-09 Apr"/>
    <n v="1008"/>
    <s v="Teghra"/>
    <x v="261"/>
    <s v="Gangaprasad - Prashant"/>
    <s v="vlc"/>
    <s v="Indirect"/>
    <n v="1300.4999999999998"/>
    <n v="45883.180000000008"/>
    <n v="0"/>
    <n v="0"/>
    <n v="0"/>
    <n v="0"/>
    <n v="0"/>
    <n v="0"/>
    <n v="45883.180000000008"/>
    <n v="0"/>
    <n v="0"/>
    <n v="0"/>
    <n v="0"/>
    <n v="0"/>
    <n v="0"/>
    <n v="0"/>
    <n v="0"/>
    <n v="45883.180000000008"/>
    <n v="0"/>
    <n v="0"/>
    <n v="0"/>
    <n v="0"/>
    <n v="0"/>
    <n v="0"/>
    <m/>
    <s v="Teghra"/>
    <m/>
    <n v="0"/>
  </r>
  <r>
    <s v="Munger"/>
    <s v="03-09 Apr"/>
    <n v="1008"/>
    <s v="Teghra"/>
    <x v="262"/>
    <s v="GOMUKH RANI 3"/>
    <s v="MPG"/>
    <s v="Direct"/>
    <n v="249.25"/>
    <n v="11970.970000000001"/>
    <n v="246.4"/>
    <n v="11904.602899391592"/>
    <n v="1.75"/>
    <n v="82.894673559970016"/>
    <n v="248.15"/>
    <n v="11987.497572951561"/>
    <n v="11970.970000000001"/>
    <n v="0"/>
    <n v="82.894673559970016"/>
    <n v="16.527572951559705"/>
    <n v="0"/>
    <n v="0"/>
    <n v="0"/>
    <n v="11888"/>
    <n v="0"/>
    <n v="0"/>
    <n v="0"/>
    <n v="0"/>
    <n v="432.97209448345041"/>
    <n v="35.607142857142854"/>
    <n v="-1.3806377387596579E-3"/>
    <n v="5"/>
    <m/>
    <s v="Teghra"/>
    <m/>
    <n v="0"/>
  </r>
  <r>
    <s v="Munger"/>
    <s v="03-09 Apr"/>
    <n v="1008"/>
    <s v="Teghra"/>
    <x v="263"/>
    <s v="GOMUKH NONPUR"/>
    <s v="MPG"/>
    <s v="Direct"/>
    <n v="857.4"/>
    <n v="30461.609999999997"/>
    <n v="852.4799999999999"/>
    <n v="34568.666819676007"/>
    <n v="2.3299999999999996"/>
    <n v="94.188560400000014"/>
    <n v="854.81"/>
    <n v="34662.855380076006"/>
    <n v="30461.609999999997"/>
    <n v="0"/>
    <n v="94.188560400000014"/>
    <n v="4201.2453800760086"/>
    <n v="0"/>
    <n v="0"/>
    <n v="0"/>
    <n v="30367"/>
    <n v="0"/>
    <n v="0"/>
    <n v="0"/>
    <n v="0"/>
    <n v="0"/>
    <n v="0"/>
    <n v="-0.13791934766665351"/>
    <n v="5"/>
    <m/>
    <s v="Teghra"/>
    <m/>
    <n v="0"/>
  </r>
  <r>
    <s v="Munger"/>
    <s v="03-09 Apr"/>
    <n v="1008"/>
    <s v="Teghra"/>
    <x v="264"/>
    <s v="GOMUKH FATEHA"/>
    <s v="MPG"/>
    <s v="Direct"/>
    <n v="493.39999999999992"/>
    <n v="16767.060000000001"/>
    <n v="589.70000000000005"/>
    <n v="21011.384867297522"/>
    <n v="0"/>
    <n v="0"/>
    <n v="589.70000000000005"/>
    <n v="21011.384867297522"/>
    <n v="16767.060000000001"/>
    <n v="0"/>
    <n v="0"/>
    <n v="4244.3248672975205"/>
    <n v="0"/>
    <n v="0"/>
    <n v="0"/>
    <n v="16767"/>
    <n v="0"/>
    <n v="0"/>
    <n v="0"/>
    <n v="0"/>
    <n v="140.41648139440622"/>
    <n v="70.48571428571428"/>
    <n v="-0.25313470979990055"/>
    <n v="4"/>
    <m/>
    <s v="Teghra"/>
    <m/>
    <n v="0"/>
  </r>
  <r>
    <s v="Munger"/>
    <s v="03-09 Apr"/>
    <n v="1008"/>
    <s v="Teghra"/>
    <x v="265"/>
    <s v="Bablu Singh"/>
    <s v="vlc"/>
    <s v="Indirect"/>
    <n v="1149.0999999999999"/>
    <n v="41324.449999999997"/>
    <n v="0"/>
    <n v="0"/>
    <n v="0"/>
    <n v="0"/>
    <n v="0"/>
    <n v="0"/>
    <n v="41324.449999999997"/>
    <n v="0"/>
    <n v="0"/>
    <n v="0"/>
    <n v="0"/>
    <n v="0"/>
    <n v="0"/>
    <n v="0"/>
    <n v="0"/>
    <n v="41324.449999999997"/>
    <n v="0"/>
    <n v="0"/>
    <n v="0"/>
    <n v="0"/>
    <n v="0"/>
    <n v="0"/>
    <m/>
    <s v="Teghra"/>
    <m/>
    <n v="0"/>
  </r>
  <r>
    <s v="Munger"/>
    <s v="03-09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1019.0500000000001"/>
    <n v="38100.62000000001"/>
    <n v="531.37"/>
    <n v="20821.626265572006"/>
    <n v="480.97"/>
    <n v="19051.960772988001"/>
    <n v="1012.34"/>
    <n v="39873.587038560006"/>
    <n v="38100.62000000001"/>
    <n v="0"/>
    <n v="0"/>
    <n v="1772.9670385599966"/>
    <n v="0"/>
    <n v="0"/>
    <n v="0"/>
    <n v="19048"/>
    <n v="19052"/>
    <n v="0"/>
    <n v="1"/>
    <n v="0"/>
    <n v="0"/>
    <n v="0"/>
    <n v="-4.6533810698093522E-2"/>
    <n v="9"/>
    <m/>
    <s v="Teghra"/>
    <m/>
    <n v="0"/>
  </r>
  <r>
    <s v="Munger"/>
    <s v="03-09 Apr"/>
    <n v="1008"/>
    <s v="Teghra"/>
    <x v="267"/>
    <s v="GOMUKH ROOPNAGAR"/>
    <s v="MPG"/>
    <s v="Direct"/>
    <n v="168"/>
    <n v="5565.22"/>
    <n v="168"/>
    <n v="5565.2398225380002"/>
    <n v="0"/>
    <n v="0"/>
    <n v="168"/>
    <n v="5565.2398225380002"/>
    <n v="5565.22"/>
    <n v="0"/>
    <n v="0"/>
    <n v="1.9822537999971246E-2"/>
    <n v="0"/>
    <n v="0"/>
    <n v="0"/>
    <n v="5565"/>
    <n v="0"/>
    <n v="0"/>
    <n v="0"/>
    <n v="0"/>
    <n v="352.46393333333333"/>
    <n v="24"/>
    <n v="-3.5618606272476641E-6"/>
    <n v="1"/>
    <m/>
    <s v="Teghra"/>
    <m/>
    <n v="0"/>
  </r>
  <r>
    <s v="Munger"/>
    <s v="03-09 Apr"/>
    <n v="1008"/>
    <s v="Teghra"/>
    <x v="268"/>
    <s v="GOMUKH SIBUTOL 2"/>
    <s v="MPG"/>
    <s v="Direct"/>
    <n v="283.65000000000003"/>
    <n v="11078.05"/>
    <n v="280"/>
    <n v="11014.386768000004"/>
    <n v="0"/>
    <n v="0"/>
    <n v="280"/>
    <n v="11014.386768000004"/>
    <n v="11014.386768000004"/>
    <n v="0"/>
    <n v="0"/>
    <n v="0"/>
    <n v="0"/>
    <n v="500"/>
    <n v="0"/>
    <n v="10514"/>
    <n v="0"/>
    <n v="0"/>
    <n v="64"/>
    <n v="0"/>
    <n v="325.21389864269338"/>
    <n v="40.521428571428579"/>
    <n v="5.7467904549984277E-3"/>
    <n v="1"/>
    <m/>
    <s v="Teghra"/>
    <m/>
    <n v="500"/>
  </r>
  <r>
    <s v="Munger"/>
    <s v="03-09 Apr"/>
    <n v="1008"/>
    <s v="Teghra"/>
    <x v="269"/>
    <s v="GOMUKH HADIPUR"/>
    <s v="MPG"/>
    <s v="Direct"/>
    <n v="96.899999999999991"/>
    <n v="3762.6399999999994"/>
    <n v="99.36"/>
    <n v="4361.8123127259005"/>
    <n v="0.36"/>
    <n v="15.574384904000002"/>
    <n v="99.72"/>
    <n v="4377.3866976299005"/>
    <n v="3762.6399999999994"/>
    <n v="0"/>
    <n v="15.574384904000002"/>
    <n v="614.74669762990106"/>
    <n v="0"/>
    <n v="500"/>
    <n v="0"/>
    <n v="3247"/>
    <n v="0"/>
    <n v="0"/>
    <n v="0"/>
    <n v="0"/>
    <n v="468.36907822497415"/>
    <n v="13.842857142857142"/>
    <n v="-0.16338174729176885"/>
    <n v="2"/>
    <m/>
    <s v="Teghra"/>
    <m/>
    <n v="500"/>
  </r>
  <r>
    <s v="Munger"/>
    <s v="03-09 Apr"/>
    <n v="1008"/>
    <s v="Teghra"/>
    <x v="270"/>
    <s v="Gomukh Harichak"/>
    <s v="MPG"/>
    <s v="Direct"/>
    <n v="137.14999999999998"/>
    <n v="5011.16"/>
    <n v="137"/>
    <n v="4938.87612042"/>
    <n v="0"/>
    <n v="0"/>
    <n v="137"/>
    <n v="4938.87612042"/>
    <n v="4938.87612042"/>
    <n v="0"/>
    <n v="0"/>
    <n v="0"/>
    <n v="0"/>
    <n v="0"/>
    <n v="0"/>
    <n v="4939"/>
    <n v="0"/>
    <n v="0"/>
    <n v="72"/>
    <n v="0"/>
    <n v="411.30607451695232"/>
    <n v="19.592857142857138"/>
    <n v="1.4424580252875551E-2"/>
    <n v="1"/>
    <m/>
    <s v="Teghra"/>
    <m/>
    <n v="0"/>
  </r>
  <r>
    <s v="Munger"/>
    <s v="03-09 Apr"/>
    <n v="1008"/>
    <s v="Teghra"/>
    <x v="271"/>
    <s v="GOMUKH CHIRANJIVIPUR"/>
    <s v="MPG"/>
    <s v="Direct"/>
    <n v="40"/>
    <n v="1244.3300000000002"/>
    <n v="39.699999999999996"/>
    <n v="1234.6080102180001"/>
    <n v="3"/>
    <n v="94.006500390000014"/>
    <n v="42.699999999999996"/>
    <n v="1328.614510608"/>
    <n v="1244.3300000000002"/>
    <n v="0"/>
    <n v="94.006500390000014"/>
    <n v="84.284510607999891"/>
    <n v="0"/>
    <n v="500"/>
    <n v="0"/>
    <n v="650"/>
    <n v="0"/>
    <n v="0"/>
    <n v="0"/>
    <n v="0"/>
    <n v="410.6289000000001"/>
    <n v="5.7142857142857144"/>
    <n v="-6.7734853783160326E-2"/>
    <n v="3"/>
    <m/>
    <s v="Teghra"/>
    <m/>
    <n v="500"/>
  </r>
  <r>
    <s v="Munger"/>
    <s v="03-09 Apr"/>
    <n v="1008"/>
    <s v="Teghra"/>
    <x v="272"/>
    <s v="RAJ BHARDWAJ"/>
    <s v="vlc"/>
    <s v="Indirect"/>
    <n v="66.350000000000009"/>
    <n v="2482.21"/>
    <n v="0"/>
    <n v="0"/>
    <n v="0"/>
    <n v="0"/>
    <n v="0"/>
    <n v="0"/>
    <n v="2482.21"/>
    <n v="0"/>
    <n v="0"/>
    <n v="0"/>
    <n v="0"/>
    <n v="0"/>
    <n v="0"/>
    <n v="0"/>
    <n v="0"/>
    <n v="2482.21"/>
    <n v="0"/>
    <n v="0"/>
    <n v="474.10772162773168"/>
    <n v="9.4785714285714295"/>
    <n v="0"/>
    <n v="0"/>
    <m/>
    <s v="Teghra"/>
    <m/>
    <n v="0"/>
  </r>
  <r>
    <s v="Munger"/>
    <s v="03-09 Apr"/>
    <n v="1008"/>
    <s v="Teghra"/>
    <x v="273"/>
    <s v="Gomukh Amarpur"/>
    <s v="MPG"/>
    <s v="Direct"/>
    <n v="1162.55"/>
    <n v="43764.32"/>
    <n v="1160.8999999999999"/>
    <n v="43727.959247727369"/>
    <n v="0.51"/>
    <n v="20.031555852000004"/>
    <n v="1161.4099999999999"/>
    <n v="43747.990803579371"/>
    <n v="43747.990803579371"/>
    <n v="0"/>
    <n v="20.031555852000004"/>
    <n v="0"/>
    <n v="0"/>
    <n v="0"/>
    <n v="0"/>
    <n v="43727"/>
    <n v="0"/>
    <n v="0"/>
    <n v="17"/>
    <n v="0"/>
    <n v="0"/>
    <n v="0"/>
    <n v="3.7311664891923741E-4"/>
    <n v="6"/>
    <m/>
    <s v="Teghra"/>
    <m/>
    <n v="0"/>
  </r>
  <r>
    <s v="Munger"/>
    <s v="03-09 Apr"/>
    <n v="1008"/>
    <s v="Teghra"/>
    <x v="274"/>
    <s v="Prashant Kumar"/>
    <s v="vlc"/>
    <s v="Indirect"/>
    <n v="1078.1000000000001"/>
    <n v="39673.340000000004"/>
    <n v="0"/>
    <n v="0"/>
    <n v="0"/>
    <n v="0"/>
    <n v="0"/>
    <n v="0"/>
    <n v="39673.340000000004"/>
    <n v="0"/>
    <n v="0"/>
    <n v="0"/>
    <n v="0"/>
    <n v="0"/>
    <n v="0"/>
    <n v="0"/>
    <n v="0"/>
    <n v="39673.340000000004"/>
    <n v="0"/>
    <n v="0"/>
    <n v="0"/>
    <n v="0"/>
    <n v="0"/>
    <n v="0"/>
    <m/>
    <s v="Teghra"/>
    <m/>
    <n v="0"/>
  </r>
  <r>
    <s v="Munger"/>
    <s v="03-09 Apr"/>
    <n v="1008"/>
    <s v="Teghra"/>
    <x v="275"/>
    <s v="Gomukh Barauni 3"/>
    <s v="MPG"/>
    <s v="Direct"/>
    <n v="118.24999999999999"/>
    <n v="4478.34"/>
    <n v="118"/>
    <n v="4454.8652808000006"/>
    <n v="0"/>
    <n v="0"/>
    <n v="118"/>
    <n v="4454.8652808000006"/>
    <n v="4454.8652808000006"/>
    <n v="0"/>
    <n v="0"/>
    <n v="0"/>
    <n v="0"/>
    <n v="500"/>
    <n v="0"/>
    <n v="3955"/>
    <n v="0"/>
    <n v="0"/>
    <n v="23"/>
    <n v="0"/>
    <n v="440.63835856236796"/>
    <n v="16.892857142857142"/>
    <n v="5.241834965634482E-3"/>
    <n v="1"/>
    <m/>
    <s v="Teghra"/>
    <m/>
    <n v="500"/>
  </r>
  <r>
    <s v="Munger"/>
    <s v="03-09 Apr"/>
    <n v="1008"/>
    <s v="Teghra"/>
    <x v="276"/>
    <s v="CHANDAN YADAV"/>
    <s v="vlc"/>
    <s v="Indirect"/>
    <n v="476.7"/>
    <n v="17183.999999999996"/>
    <n v="0"/>
    <n v="0"/>
    <n v="0"/>
    <n v="0"/>
    <n v="0"/>
    <n v="0"/>
    <n v="17183.999999999996"/>
    <n v="0"/>
    <n v="0"/>
    <n v="0"/>
    <n v="0"/>
    <n v="0"/>
    <n v="0"/>
    <n v="0"/>
    <n v="0"/>
    <n v="17183.999999999996"/>
    <n v="0"/>
    <n v="0"/>
    <n v="160.98960352422907"/>
    <n v="68.099999999999994"/>
    <n v="0"/>
    <n v="0"/>
    <m/>
    <s v="Teghra"/>
    <m/>
    <n v="0"/>
  </r>
  <r>
    <s v="Munger"/>
    <s v="03-09 Apr"/>
    <n v="1008"/>
    <s v="Teghra"/>
    <x v="277"/>
    <s v="DINESH YADAV"/>
    <s v="vlc"/>
    <s v="Indirect"/>
    <n v="591.35"/>
    <n v="22186.229999999996"/>
    <n v="0"/>
    <n v="0"/>
    <n v="0"/>
    <n v="0"/>
    <n v="0"/>
    <n v="0"/>
    <n v="22186.229999999996"/>
    <n v="0"/>
    <n v="0"/>
    <n v="0"/>
    <n v="0"/>
    <n v="0"/>
    <n v="0"/>
    <n v="0"/>
    <n v="0"/>
    <n v="22186.229999999996"/>
    <n v="0"/>
    <n v="0"/>
    <n v="81.52646958653925"/>
    <n v="84.478571428571428"/>
    <n v="0"/>
    <n v="0"/>
    <m/>
    <s v="Teghra"/>
    <m/>
    <n v="0"/>
  </r>
  <r>
    <s v="Munger"/>
    <s v="03-09 Apr"/>
    <n v="1008"/>
    <s v="Teghra"/>
    <x v="278"/>
    <s v="ANITA DEVI"/>
    <s v="vlc"/>
    <s v="Indirect"/>
    <n v="89"/>
    <n v="3491.1499999999996"/>
    <n v="0"/>
    <n v="0"/>
    <n v="0"/>
    <n v="0"/>
    <n v="0"/>
    <n v="0"/>
    <n v="3491.1499999999996"/>
    <n v="0"/>
    <n v="0"/>
    <n v="0"/>
    <n v="0"/>
    <n v="0"/>
    <n v="0"/>
    <n v="0"/>
    <n v="0"/>
    <n v="3491.1499999999996"/>
    <n v="0"/>
    <n v="0"/>
    <n v="479.34666292134824"/>
    <n v="12.714285714285714"/>
    <n v="0"/>
    <n v="0"/>
    <m/>
    <s v="Teghra"/>
    <m/>
    <n v="0"/>
  </r>
  <r>
    <s v="Munger"/>
    <s v="03-09 Apr"/>
    <n v="1008"/>
    <s v="Teghra"/>
    <x v="279"/>
    <s v="GOMUKH FATEHA SALEMPUR"/>
    <s v="MPG"/>
    <s v="Direct"/>
    <n v="94.75"/>
    <n v="3348.0099999999993"/>
    <n v="144.30000000000001"/>
    <n v="5182.9948447200013"/>
    <n v="5"/>
    <n v="178.07353740000002"/>
    <n v="149.30000000000001"/>
    <n v="5361.0683821200009"/>
    <n v="3348.0099999999993"/>
    <n v="0"/>
    <n v="178.07353740000002"/>
    <n v="2013.0583821200016"/>
    <n v="0"/>
    <n v="0"/>
    <n v="0"/>
    <n v="3170"/>
    <n v="0"/>
    <n v="0"/>
    <n v="0"/>
    <n v="0"/>
    <n v="427.73257044854876"/>
    <n v="13.535714285714286"/>
    <n v="-0.60127012228756849"/>
    <n v="2"/>
    <m/>
    <s v="Teghra"/>
    <m/>
    <n v="0"/>
  </r>
  <r>
    <s v="Munger"/>
    <s v="03-09 Apr"/>
    <n v="1008"/>
    <s v="Teghra"/>
    <x v="280"/>
    <s v="GOMUKH GEHUNI 2"/>
    <s v="MPG"/>
    <s v="Direct"/>
    <n v="585.55000000000007"/>
    <n v="21903.85"/>
    <n v="584.1099999999999"/>
    <n v="21579.376806900003"/>
    <n v="0.80000000000000027"/>
    <n v="29.688555580200003"/>
    <n v="584.90999999999985"/>
    <n v="21609.065362480203"/>
    <n v="21609.065362480203"/>
    <n v="0"/>
    <n v="29.688555580200003"/>
    <n v="0"/>
    <n v="0"/>
    <n v="500"/>
    <n v="0"/>
    <n v="21080"/>
    <n v="0"/>
    <n v="0"/>
    <n v="294"/>
    <n v="0"/>
    <n v="85.625331141661633"/>
    <n v="83.65"/>
    <n v="1.3458119806326061E-2"/>
    <n v="3"/>
    <m/>
    <s v="Teghra"/>
    <m/>
    <n v="500"/>
  </r>
  <r>
    <s v="Munger"/>
    <s v="03-09 Apr"/>
    <n v="1008"/>
    <s v="Teghra"/>
    <x v="281"/>
    <s v="GOMUKH MALHIPUR"/>
    <s v="MPG"/>
    <s v="Direct"/>
    <n v="1890.1499999999999"/>
    <n v="69122.48000000001"/>
    <n v="1875.14"/>
    <n v="68489.940992833814"/>
    <n v="3.02"/>
    <n v="110.92681591200001"/>
    <n v="1878.16"/>
    <n v="68600.86780874581"/>
    <n v="68600.86780874581"/>
    <n v="0"/>
    <n v="110.92681591200001"/>
    <n v="0"/>
    <n v="0"/>
    <n v="0"/>
    <n v="0"/>
    <n v="68489"/>
    <n v="0"/>
    <n v="0"/>
    <n v="523"/>
    <n v="0"/>
    <n v="0"/>
    <n v="0"/>
    <n v="7.5462019194652771E-3"/>
    <n v="8"/>
    <m/>
    <s v="Teghra"/>
    <m/>
    <n v="0"/>
  </r>
  <r>
    <s v="Munger"/>
    <s v="03-09 Apr"/>
    <n v="1008"/>
    <s v="Teghra"/>
    <x v="282"/>
    <s v="Bihat - Sonu Kumar"/>
    <s v="vlc"/>
    <s v="Indirect"/>
    <n v="1160.55"/>
    <n v="38001.1"/>
    <n v="0"/>
    <n v="0"/>
    <n v="0"/>
    <n v="0"/>
    <n v="0"/>
    <n v="0"/>
    <n v="38001.1"/>
    <n v="0"/>
    <n v="0"/>
    <n v="0"/>
    <n v="0"/>
    <n v="0"/>
    <n v="0"/>
    <n v="0"/>
    <n v="0"/>
    <n v="38001.1"/>
    <n v="0"/>
    <n v="0"/>
    <n v="0"/>
    <n v="0"/>
    <n v="0"/>
    <n v="0"/>
    <m/>
    <s v="Teghra"/>
    <m/>
    <n v="0"/>
  </r>
  <r>
    <s v="Munger"/>
    <s v="03-09 Apr"/>
    <n v="1008"/>
    <s v="Teghra"/>
    <x v="283"/>
    <s v="Rasalpur - Durgesh Kumar"/>
    <s v="vlc"/>
    <s v="Indirect"/>
    <n v="608.99999999999989"/>
    <n v="22062.09"/>
    <n v="0"/>
    <n v="0"/>
    <n v="0"/>
    <n v="0"/>
    <n v="0"/>
    <n v="0"/>
    <n v="22062.09"/>
    <n v="0"/>
    <n v="0"/>
    <n v="0"/>
    <n v="0"/>
    <n v="0"/>
    <n v="0"/>
    <n v="0"/>
    <n v="0"/>
    <n v="22062.09"/>
    <n v="0"/>
    <n v="0"/>
    <n v="65.932682758620771"/>
    <n v="86.999999999999986"/>
    <n v="0"/>
    <n v="0"/>
    <m/>
    <s v="Teghra"/>
    <m/>
    <n v="0"/>
  </r>
  <r>
    <s v="Munger"/>
    <s v="03-09 Apr"/>
    <n v="1008"/>
    <s v="Teghra"/>
    <x v="284"/>
    <s v="Barauni Bariyarpur"/>
    <s v="MPG"/>
    <s v="Direct"/>
    <n v="698.85"/>
    <n v="24600.68"/>
    <n v="696"/>
    <n v="24622.458537600003"/>
    <n v="0"/>
    <n v="0"/>
    <n v="696"/>
    <n v="24622.458537600003"/>
    <n v="24600.68"/>
    <n v="0"/>
    <n v="0"/>
    <n v="21.778537600002892"/>
    <n v="0"/>
    <n v="0"/>
    <n v="0"/>
    <n v="24601"/>
    <n v="0"/>
    <n v="0"/>
    <n v="0"/>
    <n v="0"/>
    <n v="0.8096381770050638"/>
    <n v="99.835714285714289"/>
    <n v="-8.8528193529621507E-4"/>
    <n v="1"/>
    <m/>
    <s v="Teghra"/>
    <m/>
    <n v="0"/>
  </r>
  <r>
    <s v="Munger"/>
    <s v="03-09 Apr"/>
    <n v="1008"/>
    <s v="Teghra"/>
    <x v="285"/>
    <s v="Jaynagar"/>
    <s v="MPG"/>
    <s v="Direct"/>
    <n v="263.55"/>
    <n v="9555.7000000000007"/>
    <n v="263.2"/>
    <n v="9543.469134672001"/>
    <n v="0"/>
    <n v="0"/>
    <n v="263.2"/>
    <n v="9543.469134672001"/>
    <n v="9543.469134672001"/>
    <n v="0"/>
    <n v="0"/>
    <n v="0"/>
    <n v="0"/>
    <n v="500"/>
    <n v="0"/>
    <n v="9043"/>
    <n v="0"/>
    <n v="0"/>
    <n v="13"/>
    <s v="Release3"/>
    <n v="316.49290571049136"/>
    <n v="37.65"/>
    <n v="1.2799549303556734E-3"/>
    <n v="1"/>
    <m/>
    <s v="Teghra"/>
    <m/>
    <n v="500"/>
  </r>
  <r>
    <s v="Munger"/>
    <s v="03-09 Apr"/>
    <n v="1008"/>
    <s v="Teghra"/>
    <x v="286"/>
    <s v="Fateha - Anil Yadav"/>
    <s v="vlc"/>
    <s v="Indirect"/>
    <n v="1561.6499999999999"/>
    <n v="53683.73"/>
    <n v="0"/>
    <n v="0"/>
    <n v="0"/>
    <n v="0"/>
    <n v="0"/>
    <n v="0"/>
    <n v="53683.73"/>
    <n v="0"/>
    <n v="0"/>
    <n v="0"/>
    <n v="0"/>
    <n v="0"/>
    <n v="0"/>
    <n v="0"/>
    <n v="0"/>
    <n v="53683.73"/>
    <n v="0"/>
    <n v="0"/>
    <n v="0"/>
    <n v="0"/>
    <n v="0"/>
    <n v="0"/>
    <m/>
    <s v="Teghra"/>
    <m/>
    <n v="0"/>
  </r>
  <r>
    <s v="Munger"/>
    <s v="03-09 Apr"/>
    <n v="1008"/>
    <s v="Teghra"/>
    <x v="287"/>
    <s v="Bihat - Chakballi"/>
    <s v="MPG"/>
    <s v="Direct"/>
    <n v="3694.85"/>
    <n v="116856.97"/>
    <n v="3694.5999999999995"/>
    <n v="117134.78135020201"/>
    <n v="0"/>
    <n v="0"/>
    <n v="3694.5999999999995"/>
    <n v="117134.78135020201"/>
    <n v="116856.97"/>
    <n v="0"/>
    <n v="0"/>
    <n v="277.81135020201327"/>
    <n v="0"/>
    <n v="0"/>
    <n v="0"/>
    <n v="116857"/>
    <n v="0"/>
    <n v="0"/>
    <n v="0"/>
    <n v="0"/>
    <n v="0"/>
    <n v="0"/>
    <n v="-2.3773622591961203E-3"/>
    <n v="2"/>
    <m/>
    <s v="Teghra"/>
    <m/>
    <n v="0"/>
  </r>
  <r>
    <s v="Munger"/>
    <s v="03-09 Apr"/>
    <n v="1008"/>
    <s v="Teghra"/>
    <x v="288"/>
    <s v="Sibutol- Naya Tola"/>
    <s v="MPG"/>
    <s v="Direct"/>
    <n v="43.2"/>
    <n v="1337.21"/>
    <n v="43"/>
    <n v="1369.0932591600001"/>
    <n v="0"/>
    <n v="0"/>
    <n v="43"/>
    <n v="1369.0932591600001"/>
    <n v="1337.21"/>
    <n v="0"/>
    <n v="0"/>
    <n v="31.88325916000008"/>
    <n v="0"/>
    <n v="0"/>
    <n v="0"/>
    <n v="1337"/>
    <n v="0"/>
    <n v="0"/>
    <n v="0"/>
    <n v="0"/>
    <n v="406.61089259259256"/>
    <n v="6.1714285714285717"/>
    <n v="-2.3843120497154584E-2"/>
    <n v="1"/>
    <m/>
    <s v="Teghra"/>
    <m/>
    <n v="0"/>
  </r>
  <r>
    <s v="Munger"/>
    <s v="03-09 Apr"/>
    <n v="1008"/>
    <s v="Teghra"/>
    <x v="289"/>
    <s v="Rasalpur"/>
    <s v="vlc"/>
    <s v="Indirect"/>
    <n v="663.8"/>
    <n v="22947.85"/>
    <n v="0"/>
    <n v="0"/>
    <n v="0"/>
    <n v="0"/>
    <n v="0"/>
    <n v="0"/>
    <n v="22947.85"/>
    <n v="0"/>
    <n v="0"/>
    <n v="0"/>
    <n v="0"/>
    <n v="0"/>
    <n v="0"/>
    <n v="0"/>
    <n v="0"/>
    <n v="22947.85"/>
    <n v="0"/>
    <n v="0"/>
    <n v="25.028989755950615"/>
    <n v="94.828571428571422"/>
    <n v="0"/>
    <n v="0"/>
    <m/>
    <s v="Teghra"/>
    <m/>
    <n v="0"/>
  </r>
  <r>
    <s v="Munger"/>
    <s v="03-09 Apr"/>
    <n v="1008"/>
    <s v="Teghra"/>
    <x v="290"/>
    <s v="Rudauli"/>
    <s v="vlc"/>
    <s v="Indirect"/>
    <n v="228.74999999999997"/>
    <n v="8566.2800000000007"/>
    <n v="0"/>
    <n v="0"/>
    <n v="0"/>
    <n v="0"/>
    <n v="0"/>
    <n v="0"/>
    <n v="8566.2800000000007"/>
    <n v="0"/>
    <n v="0"/>
    <n v="0"/>
    <n v="0"/>
    <n v="0"/>
    <n v="0"/>
    <n v="0"/>
    <n v="0"/>
    <n v="8566.2800000000007"/>
    <n v="0"/>
    <n v="0"/>
    <n v="352.94946010928982"/>
    <n v="32.678571428571423"/>
    <n v="0"/>
    <n v="0"/>
    <m/>
    <s v="Teghra"/>
    <m/>
    <n v="0"/>
  </r>
  <r>
    <s v="Munger"/>
    <s v="03-09 Apr"/>
    <n v="1065"/>
    <s v="Bachhwara BMC"/>
    <x v="291"/>
    <s v="Samsa"/>
    <s v="vlc"/>
    <s v="Indirect"/>
    <n v="1006.1000000000001"/>
    <n v="39643.040000000001"/>
    <n v="0"/>
    <n v="0"/>
    <n v="0"/>
    <n v="0"/>
    <n v="0"/>
    <n v="0"/>
    <n v="39643.040000000001"/>
    <n v="0"/>
    <n v="0"/>
    <n v="0"/>
    <n v="0"/>
    <n v="0"/>
    <n v="0"/>
    <n v="0"/>
    <n v="0"/>
    <n v="39643.040000000001"/>
    <n v="0"/>
    <n v="0"/>
    <n v="0"/>
    <n v="0"/>
    <n v="0"/>
    <n v="0"/>
    <m/>
    <s v="Bachhwara BMC"/>
    <m/>
    <n v="0"/>
  </r>
  <r>
    <s v="Munger"/>
    <s v="03-09 Apr"/>
    <n v="1008"/>
    <s v="Teghra"/>
    <x v="292"/>
    <s v="Dahiya"/>
    <s v="vlc"/>
    <s v="Indirect"/>
    <n v="607.20000000000005"/>
    <n v="23103.85"/>
    <n v="0"/>
    <n v="0"/>
    <n v="0"/>
    <n v="0"/>
    <n v="0"/>
    <n v="0"/>
    <n v="23103.85"/>
    <n v="0"/>
    <n v="0"/>
    <n v="0"/>
    <n v="0"/>
    <n v="0"/>
    <n v="0"/>
    <n v="0"/>
    <n v="0"/>
    <n v="23103.85"/>
    <n v="0"/>
    <n v="0"/>
    <n v="70.620463768115911"/>
    <n v="86.742857142857147"/>
    <n v="0"/>
    <n v="0"/>
    <m/>
    <s v="Teghra"/>
    <m/>
    <n v="0"/>
  </r>
  <r>
    <s v="Munger"/>
    <s v="03-09 Apr"/>
    <n v="1008"/>
    <s v="Teghra"/>
    <x v="293"/>
    <s v="Gaura"/>
    <s v="MPG"/>
    <s v="Direct"/>
    <n v="997.5"/>
    <n v="34277.000000000007"/>
    <n v="995"/>
    <n v="33899.839706700004"/>
    <n v="0"/>
    <n v="0"/>
    <n v="995"/>
    <n v="33899.839706700004"/>
    <n v="33899.839706700004"/>
    <n v="0"/>
    <n v="0"/>
    <n v="0"/>
    <n v="0"/>
    <n v="0"/>
    <n v="0"/>
    <n v="33900"/>
    <n v="0"/>
    <n v="0"/>
    <n v="377"/>
    <n v="0"/>
    <n v="0"/>
    <n v="0"/>
    <n v="1.1003305227995537E-2"/>
    <n v="1"/>
    <m/>
    <s v="Teghra"/>
    <m/>
    <n v="0"/>
  </r>
  <r>
    <s v="Munger"/>
    <s v="03-09 Apr"/>
    <n v="1008"/>
    <s v="Teghra"/>
    <x v="965"/>
    <s v="Nipania-VLC"/>
    <s v="vlc"/>
    <s v="Indirect"/>
    <n v="435.95000000000005"/>
    <n v="15720.080000000002"/>
    <n v="0"/>
    <n v="0"/>
    <n v="0"/>
    <n v="0"/>
    <n v="0"/>
    <n v="0"/>
    <n v="15720.080000000002"/>
    <n v="0"/>
    <n v="0"/>
    <n v="0"/>
    <n v="0"/>
    <n v="0"/>
    <n v="0"/>
    <n v="0"/>
    <n v="0"/>
    <n v="15720.080000000002"/>
    <n v="0"/>
    <n v="0"/>
    <n v="190.42950448445919"/>
    <n v="62.278571428571432"/>
    <n v="0"/>
    <n v="0"/>
    <m/>
    <s v="Teghra"/>
    <m/>
    <n v="0"/>
  </r>
  <r>
    <s v="Munger"/>
    <s v="03-09 Apr"/>
    <n v="1008"/>
    <s v="Teghra"/>
    <x v="294"/>
    <s v="Mukhtiyarpur"/>
    <s v="MPG"/>
    <s v="Direct"/>
    <n v="953.05000000000007"/>
    <n v="34151.4"/>
    <n v="1053.2999999999997"/>
    <n v="42746.246586110406"/>
    <n v="0"/>
    <n v="0"/>
    <n v="1053.2999999999997"/>
    <n v="42746.246586110406"/>
    <n v="34151.4"/>
    <n v="0"/>
    <n v="0"/>
    <n v="8594.846586110405"/>
    <n v="0"/>
    <n v="0"/>
    <n v="0"/>
    <n v="34151"/>
    <n v="0"/>
    <n v="0"/>
    <n v="0"/>
    <n v="0"/>
    <n v="0"/>
    <n v="0"/>
    <n v="-0.2516689384947734"/>
    <n v="4"/>
    <m/>
    <s v="Teghra"/>
    <m/>
    <n v="0"/>
  </r>
  <r>
    <s v="Munger"/>
    <s v="03-09 Apr"/>
    <n v="1008"/>
    <s v="Teghra"/>
    <x v="295"/>
    <s v="Gomukh Rudauli-02"/>
    <s v="MPG"/>
    <s v="Direct"/>
    <n v="554.20000000000005"/>
    <n v="20941.73"/>
    <n v="542.75"/>
    <n v="20078.815035232801"/>
    <n v="7.82"/>
    <n v="313.09613042400008"/>
    <n v="550.57000000000005"/>
    <n v="20391.911165656802"/>
    <n v="20391.911165656802"/>
    <n v="0"/>
    <n v="0"/>
    <n v="0"/>
    <n v="0"/>
    <n v="0"/>
    <n v="0"/>
    <n v="20079"/>
    <n v="313"/>
    <n v="0"/>
    <n v="550"/>
    <n v="0"/>
    <n v="110.18781068206418"/>
    <n v="79.171428571428578"/>
    <n v="2.6254699795250799E-2"/>
    <n v="7"/>
    <m/>
    <s v="Teghra"/>
    <m/>
    <n v="0"/>
  </r>
  <r>
    <s v="Munger"/>
    <s v="03-09 Apr"/>
    <n v="1008"/>
    <s v="Teghra"/>
    <x v="296"/>
    <s v="Gomukh Jhamatia"/>
    <s v="MPG"/>
    <s v="Direct"/>
    <n v="1217"/>
    <n v="46122.67"/>
    <n v="1215"/>
    <n v="46030.375116000003"/>
    <n v="0"/>
    <n v="0"/>
    <n v="1215"/>
    <n v="46030.375116000003"/>
    <n v="46030.375116000003"/>
    <n v="0"/>
    <n v="0"/>
    <n v="0"/>
    <n v="0"/>
    <n v="0"/>
    <n v="0"/>
    <n v="46030"/>
    <n v="0"/>
    <n v="0"/>
    <n v="93"/>
    <n v="0"/>
    <n v="0"/>
    <n v="0"/>
    <n v="2.0010741789231925E-3"/>
    <n v="1"/>
    <m/>
    <s v="Teghra"/>
    <m/>
    <n v="0"/>
  </r>
  <r>
    <s v="Munger"/>
    <s v="03-09 Apr"/>
    <n v="1008"/>
    <s v="Teghra"/>
    <x v="297"/>
    <s v="Gomukh Puranatol Raichiahi"/>
    <s v="MPG"/>
    <s v="Direct"/>
    <n v="709.60000000000014"/>
    <n v="26999.07"/>
    <n v="709.3"/>
    <n v="26986.368119040006"/>
    <n v="0"/>
    <n v="0"/>
    <n v="709.3"/>
    <n v="26986.368119040006"/>
    <n v="26986.368119040006"/>
    <n v="0"/>
    <n v="0"/>
    <n v="0"/>
    <n v="0"/>
    <n v="0"/>
    <n v="0"/>
    <n v="26987"/>
    <n v="0"/>
    <n v="0"/>
    <n v="12"/>
    <n v="0"/>
    <n v="0"/>
    <n v="0"/>
    <n v="4.7045624015916156E-4"/>
    <n v="2"/>
    <m/>
    <s v="Teghra"/>
    <m/>
    <n v="0"/>
  </r>
  <r>
    <s v="Munger"/>
    <s v="03-09 Apr"/>
    <n v="1008"/>
    <s v="Teghra"/>
    <x v="298"/>
    <s v="Bihat-Gududaspur"/>
    <s v="MPG"/>
    <s v="Direct"/>
    <n v="303.2"/>
    <n v="11516.79"/>
    <n v="302"/>
    <n v="11441.2948848"/>
    <n v="0"/>
    <n v="0"/>
    <n v="302"/>
    <n v="11441.2948848"/>
    <n v="11441.2948848"/>
    <n v="0"/>
    <n v="0"/>
    <n v="0"/>
    <n v="0"/>
    <n v="0"/>
    <n v="0"/>
    <n v="11441"/>
    <n v="0"/>
    <n v="0"/>
    <n v="76"/>
    <n v="0"/>
    <n v="301.44210237467024"/>
    <n v="43.31428571428571"/>
    <n v="6.5552220019641956E-3"/>
    <n v="1"/>
    <m/>
    <s v="Teghra"/>
    <m/>
    <n v="0"/>
  </r>
  <r>
    <s v="Munger"/>
    <s v="03-09 Apr"/>
    <n v="1008"/>
    <s v="Teghra"/>
    <x v="299"/>
    <s v="Labharchak-2"/>
    <s v="MPG"/>
    <s v="Direct"/>
    <n v="211.35"/>
    <n v="7789.01"/>
    <n v="210"/>
    <n v="7761.8217599999998"/>
    <n v="0"/>
    <n v="0"/>
    <n v="210"/>
    <n v="7761.8217599999998"/>
    <n v="7761.8217599999998"/>
    <n v="0"/>
    <n v="0"/>
    <n v="0"/>
    <n v="0"/>
    <n v="0"/>
    <n v="0"/>
    <n v="7762"/>
    <n v="0"/>
    <n v="0"/>
    <n v="27"/>
    <n v="0"/>
    <n v="360.17030863496569"/>
    <n v="30.192857142857143"/>
    <n v="3.4905899466043059E-3"/>
    <n v="1"/>
    <m/>
    <s v="Teghra"/>
    <m/>
    <n v="0"/>
  </r>
  <r>
    <s v="Munger"/>
    <s v="03-09 Apr"/>
    <n v="1009"/>
    <s v="Halsi"/>
    <x v="300"/>
    <s v="POHE"/>
    <s v="vlc"/>
    <s v="Indirect"/>
    <n v="370.40000000000003"/>
    <n v="15919.04"/>
    <n v="0"/>
    <n v="0"/>
    <n v="0"/>
    <n v="0"/>
    <n v="0"/>
    <n v="0"/>
    <n v="15919.04"/>
    <n v="0"/>
    <n v="0"/>
    <n v="0"/>
    <n v="0"/>
    <n v="0"/>
    <n v="0"/>
    <n v="0"/>
    <n v="0"/>
    <n v="15919.04"/>
    <n v="0"/>
    <n v="0"/>
    <n v="283.31077667386609"/>
    <n v="52.914285714285718"/>
    <n v="0"/>
    <n v="0"/>
    <m/>
    <s v="Halsi"/>
    <m/>
    <n v="0"/>
  </r>
  <r>
    <s v="Munger"/>
    <s v="03-09 Apr"/>
    <n v="1009"/>
    <s v="Halsi"/>
    <x v="301"/>
    <s v="AURO"/>
    <s v="MPG"/>
    <s v="Direct"/>
    <n v="2013.5"/>
    <n v="84396.549999999988"/>
    <n v="1422.24"/>
    <n v="61202.08037836838"/>
    <n v="592.59"/>
    <n v="24563.261787263364"/>
    <n v="2014.83"/>
    <n v="85765.342165631737"/>
    <n v="84396.549999999988"/>
    <n v="0"/>
    <n v="719.78153385600035"/>
    <n v="1368.7921656317485"/>
    <n v="0"/>
    <n v="0"/>
    <n v="0"/>
    <n v="59832"/>
    <n v="23844"/>
    <n v="0"/>
    <n v="1"/>
    <n v="0"/>
    <n v="0"/>
    <n v="0"/>
    <n v="-1.6218579617670967E-2"/>
    <n v="14"/>
    <m/>
    <s v="Halsi"/>
    <m/>
    <n v="0"/>
  </r>
  <r>
    <s v="Munger"/>
    <s v="03-09 Apr"/>
    <n v="1009"/>
    <s v="Halsi"/>
    <x v="302"/>
    <s v="PARSHAMA"/>
    <s v="MPG"/>
    <s v="Direct"/>
    <n v="175.8"/>
    <n v="5884.99"/>
    <n v="174.8"/>
    <n v="5910.5505888000007"/>
    <n v="0.7"/>
    <n v="23.655139200000008"/>
    <n v="175.5"/>
    <n v="5934.2057280000008"/>
    <n v="5884.99"/>
    <n v="0"/>
    <n v="23.655139200000008"/>
    <n v="49.215728000001036"/>
    <n v="0"/>
    <n v="0"/>
    <n v="0"/>
    <n v="5861"/>
    <n v="0"/>
    <n v="0"/>
    <n v="0"/>
    <n v="0"/>
    <n v="350.95696905574516"/>
    <n v="25.114285714285717"/>
    <n v="-8.3629246608747064E-3"/>
    <n v="3"/>
    <m/>
    <s v="Halsi"/>
    <m/>
    <n v="0"/>
  </r>
  <r>
    <s v="Munger"/>
    <s v="03-09 Apr"/>
    <n v="1009"/>
    <s v="Halsi"/>
    <x v="303"/>
    <s v="PRATAPUR 2"/>
    <s v="vlc"/>
    <s v="Indirect"/>
    <n v="214.2"/>
    <n v="9348.7800000000007"/>
    <n v="0"/>
    <n v="0"/>
    <n v="0"/>
    <n v="0"/>
    <n v="0"/>
    <n v="0"/>
    <n v="9348.7800000000007"/>
    <n v="0"/>
    <n v="0"/>
    <n v="0"/>
    <n v="0"/>
    <n v="0"/>
    <n v="0"/>
    <n v="0"/>
    <n v="0"/>
    <n v="9348.7800000000007"/>
    <n v="0"/>
    <n v="0"/>
    <n v="424.05577254901971"/>
    <n v="30.599999999999998"/>
    <n v="0"/>
    <n v="0"/>
    <m/>
    <s v="Halsi"/>
    <m/>
    <n v="0"/>
  </r>
  <r>
    <s v="Munger"/>
    <s v="03-09 Apr"/>
    <n v="1009"/>
    <s v="Halsi"/>
    <x v="304"/>
    <s v="BALLOPUR"/>
    <s v="MPG"/>
    <s v="Direct"/>
    <n v="1161"/>
    <n v="45515.02"/>
    <n v="1143.7"/>
    <n v="46388.457691006348"/>
    <n v="0"/>
    <n v="0"/>
    <n v="1143.7"/>
    <n v="46388.457691006348"/>
    <n v="45515.02"/>
    <n v="0"/>
    <n v="0"/>
    <n v="873.43769100635109"/>
    <n v="0"/>
    <n v="0"/>
    <n v="0"/>
    <n v="45515"/>
    <n v="0"/>
    <n v="0"/>
    <n v="0"/>
    <n v="0"/>
    <n v="0"/>
    <n v="0"/>
    <n v="-1.9190097928252062E-2"/>
    <n v="9"/>
    <m/>
    <s v="Halsi"/>
    <m/>
    <n v="0"/>
  </r>
  <r>
    <s v="Munger"/>
    <s v="03-09 Apr"/>
    <n v="1009"/>
    <s v="Halsi"/>
    <x v="305"/>
    <s v="KHAIRMA"/>
    <s v="MPG"/>
    <s v="Direct"/>
    <n v="533.9"/>
    <n v="18620.62"/>
    <n v="597.90000000000009"/>
    <n v="21445.500035520006"/>
    <n v="0"/>
    <n v="0"/>
    <n v="597.90000000000009"/>
    <n v="21445.500035520006"/>
    <n v="18620.62"/>
    <n v="0"/>
    <n v="0"/>
    <n v="2824.8800355200074"/>
    <n v="0"/>
    <n v="0"/>
    <n v="0"/>
    <n v="18621"/>
    <n v="0"/>
    <n v="0"/>
    <n v="0"/>
    <n v="0"/>
    <n v="115.86008548417306"/>
    <n v="76.271428571428572"/>
    <n v="-0.15170708792295892"/>
    <n v="1"/>
    <m/>
    <s v="Halsi"/>
    <m/>
    <n v="0"/>
  </r>
  <r>
    <s v="Munger"/>
    <s v="03-09 Apr"/>
    <n v="1009"/>
    <s v="Halsi"/>
    <x v="306"/>
    <s v="MAHASONI"/>
    <s v="MPG"/>
    <s v="Direct"/>
    <n v="880.7"/>
    <n v="33411.31"/>
    <n v="892.2"/>
    <n v="33190.556267907697"/>
    <n v="4.7"/>
    <n v="183.64348728000002"/>
    <n v="896.90000000000009"/>
    <n v="33374.199755187699"/>
    <n v="33374.199755187699"/>
    <n v="0"/>
    <n v="183.64348728000002"/>
    <n v="0"/>
    <n v="0"/>
    <n v="0"/>
    <n v="0"/>
    <n v="33192"/>
    <n v="0"/>
    <n v="0"/>
    <n v="36"/>
    <n v="0"/>
    <n v="0"/>
    <n v="0"/>
    <n v="1.1107090626586726E-3"/>
    <n v="27"/>
    <m/>
    <s v="Halsi"/>
    <m/>
    <n v="0"/>
  </r>
  <r>
    <s v="Munger"/>
    <s v="03-09 Apr"/>
    <n v="1009"/>
    <s v="Halsi"/>
    <x v="307"/>
    <s v="SONDHI"/>
    <s v="MPG"/>
    <s v="Direct"/>
    <n v="540.60000000000014"/>
    <n v="22546.579999999998"/>
    <n v="535.30000000000007"/>
    <n v="21739.461739429524"/>
    <n v="5.4000000000000012"/>
    <n v="228.17832359520003"/>
    <n v="540.70000000000005"/>
    <n v="21967.640063024723"/>
    <n v="21967.640063024723"/>
    <n v="0"/>
    <n v="228.17832359520003"/>
    <n v="0"/>
    <n v="0"/>
    <n v="0"/>
    <n v="0"/>
    <n v="21738"/>
    <n v="0"/>
    <n v="0"/>
    <n v="580"/>
    <n v="0"/>
    <n v="132.96059385867545"/>
    <n v="77.228571428571442"/>
    <n v="2.5677505722609618E-2"/>
    <n v="12"/>
    <m/>
    <s v="Halsi"/>
    <m/>
    <n v="0"/>
  </r>
  <r>
    <s v="Munger"/>
    <s v="03-09 Apr"/>
    <n v="1009"/>
    <s v="Halsi"/>
    <x v="308"/>
    <s v="BELDARAYA"/>
    <s v="vlc"/>
    <s v="Indirect"/>
    <n v="650"/>
    <n v="24005"/>
    <n v="0"/>
    <n v="0"/>
    <n v="0"/>
    <n v="0"/>
    <n v="0"/>
    <n v="0"/>
    <n v="24005"/>
    <n v="0"/>
    <n v="0"/>
    <n v="0"/>
    <n v="0"/>
    <n v="0"/>
    <n v="0"/>
    <n v="0"/>
    <n v="0"/>
    <n v="24005"/>
    <n v="0"/>
    <n v="0"/>
    <n v="36.930769230769208"/>
    <n v="92.857142857142861"/>
    <n v="0"/>
    <n v="0"/>
    <m/>
    <s v="Halsi"/>
    <m/>
    <n v="0"/>
  </r>
  <r>
    <s v="Munger"/>
    <s v="03-09 Apr"/>
    <n v="1009"/>
    <s v="Halsi"/>
    <x v="309"/>
    <s v="Gomukh ID Aure-2"/>
    <s v="vlc"/>
    <s v="Indirect"/>
    <n v="1000"/>
    <n v="36863.5"/>
    <n v="0"/>
    <n v="0"/>
    <n v="0"/>
    <n v="0"/>
    <n v="0"/>
    <n v="0"/>
    <n v="36863.5"/>
    <n v="0"/>
    <n v="0"/>
    <n v="0"/>
    <n v="0"/>
    <n v="0"/>
    <n v="0"/>
    <n v="0"/>
    <n v="0"/>
    <n v="36863.5"/>
    <n v="0"/>
    <n v="0"/>
    <n v="0"/>
    <n v="0"/>
    <n v="0"/>
    <n v="0"/>
    <m/>
    <s v="Halsi"/>
    <m/>
    <n v="0"/>
  </r>
  <r>
    <s v="Munger"/>
    <s v="03-09 Apr"/>
    <n v="1009"/>
    <s v="Halsi"/>
    <x v="310"/>
    <s v="Gomukh Karma"/>
    <s v="vlc"/>
    <s v="Indirect"/>
    <n v="786"/>
    <n v="30616.400000000005"/>
    <n v="0"/>
    <n v="0"/>
    <n v="0"/>
    <n v="0"/>
    <n v="0"/>
    <n v="0"/>
    <n v="30616.400000000005"/>
    <n v="0"/>
    <n v="0"/>
    <n v="0"/>
    <n v="0"/>
    <n v="0"/>
    <n v="0"/>
    <n v="0"/>
    <n v="0"/>
    <n v="30616.400000000005"/>
    <n v="0"/>
    <n v="0"/>
    <n v="0"/>
    <n v="0"/>
    <n v="0"/>
    <n v="0"/>
    <m/>
    <s v="Halsi"/>
    <m/>
    <n v="0"/>
  </r>
  <r>
    <s v="Munger"/>
    <s v="03-09 Apr"/>
    <n v="1009"/>
    <s v="Halsi"/>
    <x v="311"/>
    <s v="GOMUKH UKSI"/>
    <s v="vlc"/>
    <s v="Indirect"/>
    <n v="436.19999999999993"/>
    <n v="17439.22"/>
    <n v="0"/>
    <n v="0"/>
    <n v="0"/>
    <n v="0"/>
    <n v="0"/>
    <n v="0"/>
    <n v="17439.22"/>
    <n v="0"/>
    <n v="0"/>
    <n v="0"/>
    <n v="0"/>
    <n v="0"/>
    <n v="0"/>
    <n v="0"/>
    <n v="0"/>
    <n v="17439.22"/>
    <n v="0"/>
    <n v="0"/>
    <n v="210.93380265933069"/>
    <n v="62.314285714285703"/>
    <n v="0"/>
    <n v="0"/>
    <m/>
    <s v="Halsi"/>
    <m/>
    <n v="0"/>
  </r>
  <r>
    <s v="Munger"/>
    <s v="03-09 Apr"/>
    <n v="1009"/>
    <s v="Halsi"/>
    <x v="312"/>
    <s v="Gomukh ID Halsi"/>
    <s v="vlc"/>
    <s v="Indirect"/>
    <n v="4001"/>
    <n v="138912.28999999998"/>
    <n v="0"/>
    <n v="0"/>
    <n v="0"/>
    <n v="0"/>
    <n v="0"/>
    <n v="0"/>
    <n v="138912.28999999998"/>
    <n v="0"/>
    <n v="0"/>
    <n v="0"/>
    <n v="0"/>
    <n v="0"/>
    <n v="0"/>
    <n v="0"/>
    <n v="0"/>
    <n v="138912.28999999998"/>
    <n v="0"/>
    <n v="0"/>
    <n v="0"/>
    <n v="0"/>
    <n v="0"/>
    <n v="0"/>
    <m/>
    <s v="Halsi"/>
    <m/>
    <n v="0"/>
  </r>
  <r>
    <s v="Munger"/>
    <s v="03-09 Apr"/>
    <n v="1009"/>
    <s v="Halsi"/>
    <x v="313"/>
    <s v="Gomukh ID Lalpur"/>
    <s v="vlc"/>
    <s v="Indirect"/>
    <n v="298.10000000000002"/>
    <n v="10919.339999999998"/>
    <n v="0"/>
    <n v="0"/>
    <n v="0"/>
    <n v="0"/>
    <n v="0"/>
    <n v="0"/>
    <n v="10919.339999999998"/>
    <n v="0"/>
    <n v="0"/>
    <n v="0"/>
    <n v="0"/>
    <n v="0"/>
    <n v="0"/>
    <n v="0"/>
    <n v="0"/>
    <n v="10919.339999999998"/>
    <n v="0"/>
    <n v="0"/>
    <n v="294.43024126132167"/>
    <n v="42.585714285714289"/>
    <n v="0"/>
    <n v="0"/>
    <m/>
    <s v="Halsi"/>
    <m/>
    <n v="0"/>
  </r>
  <r>
    <s v="Munger"/>
    <s v="03-09 Apr"/>
    <n v="1009"/>
    <s v="Halsi"/>
    <x v="314"/>
    <s v="KHURIYARI"/>
    <s v="MPG"/>
    <s v="Direct"/>
    <n v="769.2"/>
    <n v="30254.42"/>
    <n v="900"/>
    <n v="32359.74829820868"/>
    <n v="2.3000000000000003"/>
    <n v="85.046717984440008"/>
    <n v="902.3"/>
    <n v="32444.795016193122"/>
    <n v="30254.42"/>
    <n v="0"/>
    <n v="85.046717984440008"/>
    <n v="2190.3750161931239"/>
    <n v="0"/>
    <n v="0"/>
    <n v="0"/>
    <n v="30169"/>
    <n v="0"/>
    <n v="0"/>
    <n v="0"/>
    <n v="0"/>
    <n v="0"/>
    <n v="0"/>
    <n v="-7.2398512884832164E-2"/>
    <n v="4"/>
    <m/>
    <s v="Halsi"/>
    <m/>
    <n v="0"/>
  </r>
  <r>
    <s v="Munger"/>
    <s v="03-09 Apr"/>
    <n v="1009"/>
    <s v="Halsi"/>
    <x v="315"/>
    <s v="BISANPUR"/>
    <s v="vlc"/>
    <s v="Indirect"/>
    <n v="589.29999999999995"/>
    <n v="23083.38"/>
    <n v="0"/>
    <n v="0"/>
    <n v="0"/>
    <n v="0"/>
    <n v="0"/>
    <n v="0"/>
    <n v="23083.38"/>
    <n v="0"/>
    <n v="0"/>
    <n v="0"/>
    <n v="0"/>
    <n v="0"/>
    <n v="0"/>
    <n v="0"/>
    <n v="0"/>
    <n v="23083.38"/>
    <n v="0"/>
    <n v="0"/>
    <n v="86.724254742915349"/>
    <n v="84.185714285714283"/>
    <n v="0"/>
    <n v="0"/>
    <m/>
    <s v="Halsi"/>
    <m/>
    <n v="0"/>
  </r>
  <r>
    <s v="Munger"/>
    <s v="03-09 Apr"/>
    <n v="1009"/>
    <s v="Halsi"/>
    <x v="316"/>
    <s v="BEHRAMA"/>
    <s v="vlc"/>
    <s v="Indirect"/>
    <n v="331.1"/>
    <n v="11697.49"/>
    <n v="0"/>
    <n v="0"/>
    <n v="0"/>
    <n v="0"/>
    <n v="0"/>
    <n v="0"/>
    <n v="11697.49"/>
    <n v="0"/>
    <n v="0"/>
    <n v="0"/>
    <n v="0"/>
    <n v="0"/>
    <n v="0"/>
    <n v="0"/>
    <n v="0"/>
    <n v="11697.49"/>
    <n v="0"/>
    <n v="0"/>
    <n v="260.6586566596194"/>
    <n v="47.300000000000004"/>
    <n v="0"/>
    <n v="0"/>
    <m/>
    <s v="Halsi"/>
    <m/>
    <n v="0"/>
  </r>
  <r>
    <s v="Munger"/>
    <s v="03-09 Apr"/>
    <n v="1009"/>
    <s v="Halsi"/>
    <x v="317"/>
    <s v="Gomukh ID Mathurapur"/>
    <s v="vlc"/>
    <s v="Indirect"/>
    <n v="731.80000000000007"/>
    <n v="28703.54"/>
    <n v="0"/>
    <n v="0"/>
    <n v="0"/>
    <n v="0"/>
    <n v="0"/>
    <n v="0"/>
    <n v="28703.54"/>
    <n v="0"/>
    <n v="0"/>
    <n v="0"/>
    <n v="0"/>
    <n v="0"/>
    <n v="0"/>
    <n v="0"/>
    <n v="0"/>
    <n v="28703.54"/>
    <n v="0"/>
    <n v="0"/>
    <n v="0"/>
    <n v="0"/>
    <n v="0"/>
    <n v="0"/>
    <m/>
    <s v="Halsi"/>
    <m/>
    <n v="0"/>
  </r>
  <r>
    <s v="Munger"/>
    <s v="03-09 Apr"/>
    <n v="1009"/>
    <s v="Halsi"/>
    <x v="318"/>
    <s v="Gomukh ID Kurha Dih"/>
    <s v="vlc"/>
    <s v="Indirect"/>
    <n v="139.9"/>
    <n v="5082.37"/>
    <n v="0"/>
    <n v="0"/>
    <n v="0"/>
    <n v="0"/>
    <n v="0"/>
    <n v="0"/>
    <n v="5082.37"/>
    <n v="0"/>
    <n v="0"/>
    <n v="0"/>
    <n v="0"/>
    <n v="0"/>
    <n v="0"/>
    <n v="0"/>
    <n v="0"/>
    <n v="5082.37"/>
    <n v="0"/>
    <n v="0"/>
    <n v="406.95288591851312"/>
    <n v="19.985714285714288"/>
    <n v="0"/>
    <n v="0"/>
    <m/>
    <s v="Halsi"/>
    <m/>
    <n v="0"/>
  </r>
  <r>
    <s v="Munger"/>
    <s v="03-09 Apr"/>
    <n v="1009"/>
    <s v="Halsi"/>
    <x v="319"/>
    <s v="RAMNAGAR"/>
    <s v="MPG"/>
    <s v="Direct"/>
    <n v="744.9"/>
    <n v="31104.16"/>
    <n v="757.19"/>
    <n v="31539.579260977513"/>
    <n v="6.61"/>
    <n v="259.14576916800007"/>
    <n v="763.80000000000007"/>
    <n v="31798.725030145513"/>
    <n v="31104.16"/>
    <n v="0"/>
    <n v="259.14576916800007"/>
    <n v="694.56503014551345"/>
    <n v="0"/>
    <n v="0"/>
    <n v="0"/>
    <n v="30845"/>
    <n v="0"/>
    <n v="0"/>
    <n v="0"/>
    <n v="0"/>
    <n v="0"/>
    <n v="0"/>
    <n v="-2.2330293766027229E-2"/>
    <n v="22"/>
    <m/>
    <s v="Halsi"/>
    <m/>
    <n v="0"/>
  </r>
  <r>
    <s v="Munger"/>
    <s v="03-09 Apr"/>
    <n v="1009"/>
    <s v="Halsi"/>
    <x v="320"/>
    <s v="SANDH MAAF 2"/>
    <s v="MPG"/>
    <s v="Direct"/>
    <n v="1194.8"/>
    <n v="56956.94"/>
    <n v="1200.06"/>
    <n v="60764.855167856724"/>
    <n v="6.9399999999999995"/>
    <n v="349.27071696534"/>
    <n v="1207"/>
    <n v="61114.12588482206"/>
    <n v="56956.94"/>
    <n v="0"/>
    <n v="349.27071696534"/>
    <n v="4157.1858848220581"/>
    <n v="0"/>
    <n v="0"/>
    <n v="0"/>
    <n v="56608"/>
    <n v="0"/>
    <n v="0"/>
    <n v="0"/>
    <n v="0"/>
    <n v="0"/>
    <n v="0"/>
    <n v="-7.2988223819995562E-2"/>
    <n v="12"/>
    <m/>
    <s v="Halsi"/>
    <m/>
    <n v="0"/>
  </r>
  <r>
    <s v="Munger"/>
    <s v="03-09 Apr"/>
    <n v="1009"/>
    <s v="Halsi"/>
    <x v="321"/>
    <s v="BHATTA                                                                                              "/>
    <s v="MPG"/>
    <s v="Direct"/>
    <n v="1298.5999999999999"/>
    <n v="52869.160000000018"/>
    <n v="1307.3500000000001"/>
    <n v="55456.1721163775"/>
    <n v="3.83"/>
    <n v="155.18042186390002"/>
    <n v="1311.18"/>
    <n v="55611.352538241401"/>
    <n v="52869.160000000018"/>
    <n v="0"/>
    <n v="155.18042186390002"/>
    <n v="2742.1925382413829"/>
    <n v="0"/>
    <n v="0"/>
    <n v="0"/>
    <n v="52714"/>
    <n v="0"/>
    <n v="0"/>
    <n v="0"/>
    <n v="0"/>
    <n v="0"/>
    <n v="0"/>
    <n v="-5.186752613889424E-2"/>
    <n v="5"/>
    <m/>
    <s v="Halsi"/>
    <m/>
    <n v="0"/>
  </r>
  <r>
    <s v="Munger"/>
    <s v="03-09 Apr"/>
    <n v="1009"/>
    <s v="Halsi"/>
    <x v="322"/>
    <s v="TAAL-SHAHARSHA                                                                                      "/>
    <s v="MPG"/>
    <s v="Direct"/>
    <n v="78.7"/>
    <n v="2893.3700000000003"/>
    <n v="82.699999999999989"/>
    <n v="3060.1371028140002"/>
    <n v="0"/>
    <n v="0"/>
    <n v="82.699999999999989"/>
    <n v="3060.1371028140002"/>
    <n v="2893.3700000000003"/>
    <n v="0"/>
    <n v="0"/>
    <n v="166.76710281399983"/>
    <n v="0"/>
    <n v="0"/>
    <n v="0"/>
    <n v="2893"/>
    <n v="0"/>
    <n v="0"/>
    <n v="0"/>
    <n v="0"/>
    <n v="456.83628487928843"/>
    <n v="11.242857142857144"/>
    <n v="-5.7637669158800919E-2"/>
    <n v="1"/>
    <m/>
    <s v="Halsi"/>
    <m/>
    <n v="0"/>
  </r>
  <r>
    <s v="Munger"/>
    <s v="03-09 Apr"/>
    <n v="1009"/>
    <s v="Halsi"/>
    <x v="323"/>
    <s v="Dhira"/>
    <s v="MPG"/>
    <s v="Direct"/>
    <n v="429.99999999999994"/>
    <n v="19560.380000000005"/>
    <n v="425.17"/>
    <n v="19548.754446910949"/>
    <n v="4.910000000000001"/>
    <n v="207.32070744000004"/>
    <n v="430.08000000000004"/>
    <n v="19756.07515435095"/>
    <n v="19560.380000000005"/>
    <n v="0"/>
    <n v="207.32070744000004"/>
    <n v="195.69515435094581"/>
    <n v="0"/>
    <n v="0"/>
    <n v="0"/>
    <n v="19353"/>
    <n v="0"/>
    <n v="0"/>
    <n v="0"/>
    <n v="0"/>
    <n v="245.64198139534901"/>
    <n v="61.428571428571423"/>
    <n v="-1.0004670377106466E-2"/>
    <n v="6"/>
    <m/>
    <s v="Halsi"/>
    <m/>
    <n v="0"/>
  </r>
  <r>
    <s v="Munger"/>
    <s v="03-09 Apr"/>
    <n v="1009"/>
    <s v="Halsi"/>
    <x v="324"/>
    <s v="BARHARA"/>
    <s v="MPG"/>
    <s v="Direct"/>
    <n v="255.20000000000002"/>
    <n v="9188.0999999999985"/>
    <n v="325.33000000000004"/>
    <n v="13130.452873444079"/>
    <n v="0"/>
    <n v="0"/>
    <n v="325.33000000000004"/>
    <n v="13130.452873444079"/>
    <n v="9188.0999999999985"/>
    <n v="0"/>
    <n v="0"/>
    <n v="3942.3528734440806"/>
    <n v="0"/>
    <n v="0"/>
    <n v="0"/>
    <n v="9188"/>
    <n v="0"/>
    <n v="0"/>
    <n v="0"/>
    <s v="Release1"/>
    <n v="320.2873730407523"/>
    <n v="36.457142857142863"/>
    <n v="-0.42907161148051082"/>
    <n v="2"/>
    <m/>
    <s v="Halsi"/>
    <m/>
    <n v="0"/>
  </r>
  <r>
    <s v="Munger"/>
    <s v="03-09 Apr"/>
    <n v="1009"/>
    <s v="Halsi"/>
    <x v="325"/>
    <s v="AZADNAGAR(VLC)"/>
    <s v="vlc"/>
    <s v="Indirect"/>
    <n v="156.70000000000002"/>
    <n v="5031.34"/>
    <n v="0"/>
    <n v="0"/>
    <n v="0"/>
    <n v="0"/>
    <n v="0"/>
    <n v="0"/>
    <n v="5031.34"/>
    <n v="0"/>
    <n v="0"/>
    <n v="0"/>
    <n v="0"/>
    <n v="0"/>
    <n v="0"/>
    <n v="0"/>
    <n v="0"/>
    <n v="5031.34"/>
    <n v="0"/>
    <n v="0"/>
    <n v="348.88666522016587"/>
    <n v="22.38571428571429"/>
    <n v="0"/>
    <n v="0"/>
    <m/>
    <s v="Halsi"/>
    <m/>
    <n v="0"/>
  </r>
  <r>
    <s v="Munger"/>
    <s v="03-09 Apr"/>
    <n v="1009"/>
    <s v="Halsi"/>
    <x v="326"/>
    <s v="REWAI"/>
    <s v="MPG"/>
    <s v="Direct"/>
    <n v="366.2"/>
    <n v="14360.92"/>
    <n v="370.99999999999994"/>
    <n v="14793.971589465047"/>
    <n v="1.8700000000000003"/>
    <n v="75.135384601200002"/>
    <n v="372.86999999999995"/>
    <n v="14869.106974066248"/>
    <n v="14360.92"/>
    <n v="0"/>
    <n v="75.135384601200002"/>
    <n v="508.18697406624779"/>
    <n v="0"/>
    <n v="0"/>
    <n v="0"/>
    <n v="14286"/>
    <n v="0"/>
    <n v="0"/>
    <n v="0"/>
    <n v="0"/>
    <n v="261.80639519388313"/>
    <n v="52.31428571428571"/>
    <n v="-3.538679792563762E-2"/>
    <n v="6"/>
    <m/>
    <s v="Halsi"/>
    <m/>
    <n v="0"/>
  </r>
  <r>
    <s v="Munger"/>
    <s v="03-09 Apr"/>
    <n v="1009"/>
    <s v="Halsi"/>
    <x v="327"/>
    <s v="BAKHIYA"/>
    <s v="MPG"/>
    <s v="Direct"/>
    <n v="175.39999999999998"/>
    <n v="7527.33"/>
    <n v="174.61"/>
    <n v="7393.0471635597705"/>
    <n v="1.83"/>
    <n v="77.918839440000013"/>
    <n v="176.44000000000003"/>
    <n v="7470.9660029997704"/>
    <n v="7470.9660029997704"/>
    <n v="0"/>
    <n v="77.918839440000013"/>
    <n v="0"/>
    <n v="0"/>
    <n v="500"/>
    <n v="0"/>
    <n v="6893"/>
    <n v="0"/>
    <n v="0"/>
    <n v="56"/>
    <s v="Release1"/>
    <n v="450.26651288483475"/>
    <n v="25.057142857142853"/>
    <n v="7.4879136427165507E-3"/>
    <n v="6"/>
    <m/>
    <s v="Halsi"/>
    <m/>
    <n v="500"/>
  </r>
  <r>
    <s v="Munger"/>
    <s v="03-09 Apr"/>
    <n v="1009"/>
    <s v="Halsi"/>
    <x v="328"/>
    <s v="MANJOS"/>
    <s v="MPG"/>
    <s v="Direct"/>
    <n v="95.3"/>
    <n v="3680.99"/>
    <n v="186.20000000000002"/>
    <n v="7228.2997947600015"/>
    <n v="0"/>
    <n v="0"/>
    <n v="186.20000000000002"/>
    <n v="7228.2997947600015"/>
    <n v="3680.99"/>
    <n v="0"/>
    <n v="0"/>
    <n v="3547.3097947600018"/>
    <n v="0"/>
    <n v="500"/>
    <n v="0"/>
    <n v="3181"/>
    <n v="0"/>
    <n v="0"/>
    <n v="0"/>
    <n v="0"/>
    <n v="467.13423987408186"/>
    <n v="13.614285714285714"/>
    <n v="-0.96368362716551847"/>
    <n v="1"/>
    <m/>
    <s v="Halsi"/>
    <m/>
    <n v="500"/>
  </r>
  <r>
    <s v="Munger"/>
    <s v="03-09 Apr"/>
    <n v="1009"/>
    <s v="Halsi"/>
    <x v="329"/>
    <s v="RATA"/>
    <s v="MPG"/>
    <s v="Direct"/>
    <n v="510.4"/>
    <n v="20704.46"/>
    <n v="507.29999999999995"/>
    <n v="19710.900376873204"/>
    <n v="0"/>
    <n v="0"/>
    <n v="507.29999999999995"/>
    <n v="19710.900376873204"/>
    <n v="19710.900376873204"/>
    <n v="0"/>
    <n v="0"/>
    <n v="0"/>
    <n v="0"/>
    <n v="0"/>
    <n v="0"/>
    <n v="19712"/>
    <n v="0"/>
    <n v="0"/>
    <n v="992"/>
    <n v="0"/>
    <n v="153.82310407523514"/>
    <n v="72.914285714285711"/>
    <n v="4.798771004541029E-2"/>
    <n v="4"/>
    <m/>
    <s v="Halsi"/>
    <m/>
    <n v="0"/>
  </r>
  <r>
    <s v="Munger"/>
    <s v="03-09 Apr"/>
    <n v="1009"/>
    <s v="Halsi"/>
    <x v="330"/>
    <s v="BARUI"/>
    <s v="MPG"/>
    <s v="Direct"/>
    <n v="353.40000000000003"/>
    <n v="14902.78"/>
    <n v="409.89000000000004"/>
    <n v="17752.806589584736"/>
    <n v="6.7499999999999991"/>
    <n v="257.22834471180005"/>
    <n v="416.64000000000004"/>
    <n v="18010.034934296535"/>
    <n v="14902.78"/>
    <n v="0"/>
    <n v="257.22834471180005"/>
    <n v="3107.254934296534"/>
    <n v="0"/>
    <n v="0"/>
    <n v="0"/>
    <n v="14645"/>
    <n v="0"/>
    <n v="0"/>
    <n v="1"/>
    <n v="0"/>
    <n v="292.32051771363894"/>
    <n v="50.485714285714288"/>
    <n v="-0.20850169795813492"/>
    <n v="16"/>
    <m/>
    <s v="Halsi"/>
    <m/>
    <n v="0"/>
  </r>
  <r>
    <s v="Munger"/>
    <s v="03-09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785.09999999999991"/>
    <n v="36610.189999999995"/>
    <n v="777.65"/>
    <n v="38735.143441085667"/>
    <n v="5.8000000000000007"/>
    <n v="288.60474493275007"/>
    <n v="783.44999999999993"/>
    <n v="39023.74818601842"/>
    <n v="36610.189999999995"/>
    <n v="0"/>
    <n v="288.60474493275007"/>
    <n v="2413.5581860184247"/>
    <n v="0"/>
    <n v="0"/>
    <n v="0"/>
    <n v="36321"/>
    <n v="0"/>
    <n v="0"/>
    <n v="1"/>
    <n v="0"/>
    <n v="0"/>
    <n v="0"/>
    <n v="-6.59258579651847E-2"/>
    <n v="11"/>
    <m/>
    <s v="Halsi"/>
    <m/>
    <n v="0"/>
  </r>
  <r>
    <s v="Munger"/>
    <s v="03-09 Apr"/>
    <n v="1009"/>
    <s v="Halsi"/>
    <x v="332"/>
    <s v="LACHHUAR"/>
    <s v="MPG"/>
    <s v="Direct"/>
    <n v="378.80000000000007"/>
    <n v="14216.71"/>
    <n v="395.35"/>
    <n v="14784.875222304579"/>
    <n v="1.94"/>
    <n v="73.596621483000007"/>
    <n v="397.29"/>
    <n v="14858.47184378758"/>
    <n v="14216.71"/>
    <n v="0"/>
    <n v="73.596621483000007"/>
    <n v="641.7618437875808"/>
    <n v="0"/>
    <n v="0"/>
    <n v="0"/>
    <n v="14143"/>
    <n v="0"/>
    <n v="0"/>
    <n v="0"/>
    <n v="0"/>
    <n v="241.09858775079186"/>
    <n v="54.114285714285721"/>
    <n v="-4.5141375450971487E-2"/>
    <n v="5"/>
    <m/>
    <s v="Halsi"/>
    <m/>
    <n v="0"/>
  </r>
  <r>
    <s v="Munger"/>
    <s v="03-09 Apr"/>
    <n v="1009"/>
    <s v="Halsi"/>
    <x v="333"/>
    <s v="RAMDIH Ajit Kumar"/>
    <s v="vlc"/>
    <s v="Indirect"/>
    <n v="276.7"/>
    <n v="11187.880000000001"/>
    <n v="0"/>
    <n v="0"/>
    <n v="0"/>
    <n v="0"/>
    <n v="0"/>
    <n v="0"/>
    <n v="11187.880000000001"/>
    <n v="0"/>
    <n v="0"/>
    <n v="0"/>
    <n v="0"/>
    <n v="0"/>
    <n v="0"/>
    <n v="0"/>
    <n v="0"/>
    <n v="11187.880000000001"/>
    <n v="0"/>
    <n v="0"/>
    <n v="342.30788608601381"/>
    <n v="39.528571428571425"/>
    <n v="0"/>
    <n v="0"/>
    <m/>
    <s v="Halsi"/>
    <m/>
    <n v="0"/>
  </r>
  <r>
    <s v="Munger"/>
    <s v="03-09 Apr"/>
    <n v="1009"/>
    <s v="Halsi"/>
    <x v="334"/>
    <s v="NARAYANPUR"/>
    <s v="MPG"/>
    <s v="Direct"/>
    <n v="679.40000000000009"/>
    <n v="26554.530000000002"/>
    <n v="748.8"/>
    <n v="29482.808234220003"/>
    <n v="1.74"/>
    <n v="71.892354757500001"/>
    <n v="750.54"/>
    <n v="29554.700588977503"/>
    <n v="26554.530000000002"/>
    <n v="0"/>
    <n v="71.892354757500001"/>
    <n v="3000.1705889775003"/>
    <n v="0"/>
    <n v="0"/>
    <n v="0"/>
    <n v="26483"/>
    <n v="0"/>
    <n v="0"/>
    <n v="0"/>
    <n v="0"/>
    <n v="16.103129761554275"/>
    <n v="97.057142857142864"/>
    <n v="-0.11298149841015827"/>
    <n v="4"/>
    <m/>
    <s v="Halsi"/>
    <m/>
    <n v="0"/>
  </r>
  <r>
    <s v="Munger"/>
    <s v="03-09 Apr"/>
    <n v="1009"/>
    <s v="Halsi"/>
    <x v="335"/>
    <s v="NAWKADIH"/>
    <s v="MPG"/>
    <s v="Direct"/>
    <n v="597"/>
    <n v="25481.509999999991"/>
    <n v="597.9799999999999"/>
    <n v="26663.070887888214"/>
    <n v="0"/>
    <n v="0"/>
    <n v="597.9799999999999"/>
    <n v="26663.070887888214"/>
    <n v="25481.509999999991"/>
    <n v="0"/>
    <n v="0"/>
    <n v="1181.5608878882231"/>
    <n v="0"/>
    <n v="0"/>
    <n v="0"/>
    <n v="25482"/>
    <n v="0"/>
    <n v="0"/>
    <n v="0"/>
    <n v="0"/>
    <n v="87.926148408710148"/>
    <n v="85.285714285714292"/>
    <n v="-4.6369343413644779E-2"/>
    <n v="2"/>
    <m/>
    <s v="Halsi"/>
    <m/>
    <n v="0"/>
  </r>
  <r>
    <s v="Munger"/>
    <s v="03-09 Apr"/>
    <n v="1009"/>
    <s v="Halsi"/>
    <x v="336"/>
    <s v="CHOTAHA"/>
    <s v="MPG"/>
    <s v="Direct"/>
    <n v="851.40000000000009"/>
    <n v="33331.919999999998"/>
    <n v="1324.04"/>
    <n v="70996.258377816834"/>
    <n v="0"/>
    <n v="0"/>
    <n v="1324.04"/>
    <n v="70996.258377816834"/>
    <n v="33331.919999999998"/>
    <n v="0"/>
    <n v="0"/>
    <n v="37664.338377816835"/>
    <n v="0"/>
    <n v="0"/>
    <n v="0"/>
    <n v="33332"/>
    <n v="0"/>
    <n v="0"/>
    <n v="0"/>
    <n v="0"/>
    <n v="0"/>
    <n v="0"/>
    <n v="-1.1299780624043512"/>
    <n v="1"/>
    <m/>
    <s v="Halsi"/>
    <m/>
    <n v="0"/>
  </r>
  <r>
    <s v="Munger"/>
    <s v="03-09 Apr"/>
    <n v="1009"/>
    <s v="Halsi"/>
    <x v="337"/>
    <s v="KHARAGWADA "/>
    <s v="MPG"/>
    <s v="Direct"/>
    <n v="244.6"/>
    <n v="9431.7799999999988"/>
    <n v="296.60000000000002"/>
    <n v="11609.75147112"/>
    <n v="0"/>
    <n v="0"/>
    <n v="296.60000000000002"/>
    <n v="11609.75147112"/>
    <n v="9431.7799999999988"/>
    <n v="0"/>
    <n v="0"/>
    <n v="2177.9714711200013"/>
    <n v="0"/>
    <n v="500"/>
    <n v="0"/>
    <n v="8932"/>
    <n v="0"/>
    <n v="0"/>
    <n v="0"/>
    <n v="0"/>
    <n v="351.2046289452166"/>
    <n v="34.942857142857143"/>
    <n v="-0.23091839198115324"/>
    <n v="1"/>
    <m/>
    <s v="Halsi"/>
    <m/>
    <n v="500"/>
  </r>
  <r>
    <s v="Munger"/>
    <s v="03-09 Apr"/>
    <n v="1009"/>
    <s v="Halsi"/>
    <x v="338"/>
    <s v="UFFAPUR"/>
    <s v="MPG"/>
    <s v="Direct"/>
    <n v="197.10000000000002"/>
    <n v="7796.32"/>
    <n v="261.10000000000002"/>
    <n v="10436.873828040003"/>
    <n v="0"/>
    <n v="0"/>
    <n v="261.10000000000002"/>
    <n v="10436.873828040003"/>
    <n v="7796.32"/>
    <n v="0"/>
    <n v="0"/>
    <n v="2640.5538280400033"/>
    <n v="0"/>
    <n v="500"/>
    <n v="0"/>
    <n v="7296"/>
    <n v="0"/>
    <n v="0"/>
    <n v="0"/>
    <n v="0"/>
    <n v="397.84569538305419"/>
    <n v="28.157142857142862"/>
    <n v="-0.33869233536335136"/>
    <n v="1"/>
    <m/>
    <s v="Halsi"/>
    <m/>
    <n v="500"/>
  </r>
  <r>
    <s v="Munger"/>
    <s v="03-09 Apr"/>
    <n v="1009"/>
    <s v="Halsi"/>
    <x v="339"/>
    <s v="BIHRAURA"/>
    <s v="MPG"/>
    <s v="Direct"/>
    <n v="130"/>
    <n v="5932.21"/>
    <n v="163.69999999999999"/>
    <n v="7329.5390257650006"/>
    <n v="0"/>
    <n v="0"/>
    <n v="163.69999999999999"/>
    <n v="7329.5390257650006"/>
    <n v="5932.21"/>
    <n v="0"/>
    <n v="0"/>
    <n v="1397.3290257650006"/>
    <n v="0"/>
    <n v="500"/>
    <n v="0"/>
    <n v="5432"/>
    <n v="0"/>
    <n v="0"/>
    <n v="0"/>
    <n v="0"/>
    <n v="520.20918461538463"/>
    <n v="18.571428571428573"/>
    <n v="-0.23554948758809963"/>
    <n v="1"/>
    <m/>
    <s v="Halsi"/>
    <m/>
    <n v="500"/>
  </r>
  <r>
    <s v="Munger"/>
    <s v="03-09 Apr"/>
    <n v="1009"/>
    <s v="Halsi"/>
    <x v="340"/>
    <s v="SHIJHORI"/>
    <s v="MPG"/>
    <s v="Direct"/>
    <n v="417.5"/>
    <n v="16730.289999999997"/>
    <n v="418.12"/>
    <n v="15993.458447016603"/>
    <n v="0"/>
    <n v="0"/>
    <n v="418.12"/>
    <n v="15993.458447016603"/>
    <n v="15993.458447016603"/>
    <n v="0"/>
    <n v="0"/>
    <n v="0"/>
    <n v="0"/>
    <n v="0"/>
    <n v="0"/>
    <n v="15993"/>
    <n v="0"/>
    <n v="0"/>
    <n v="737"/>
    <n v="0"/>
    <n v="226.4099125748503"/>
    <n v="59.642857142857146"/>
    <n v="4.4041768133331494E-2"/>
    <n v="1"/>
    <m/>
    <s v="Halsi"/>
    <m/>
    <n v="0"/>
  </r>
  <r>
    <s v="Munger"/>
    <s v="03-09 Apr"/>
    <n v="1009"/>
    <s v="Halsi"/>
    <x v="341"/>
    <s v="RAM PRAVESH YADAV"/>
    <s v="MPG"/>
    <s v="Direct"/>
    <n v="485.19999999999993"/>
    <n v="18762.289999999997"/>
    <n v="521.40000000000009"/>
    <n v="19258.405964916758"/>
    <n v="0"/>
    <n v="0"/>
    <n v="521.40000000000009"/>
    <n v="19258.405964916758"/>
    <n v="18762.289999999997"/>
    <n v="0"/>
    <n v="0"/>
    <n v="496.11596491676028"/>
    <n v="0"/>
    <n v="0"/>
    <n v="0"/>
    <n v="18762"/>
    <n v="0"/>
    <n v="0"/>
    <n v="0"/>
    <n v="0"/>
    <n v="166.12283149216827"/>
    <n v="69.314285714285703"/>
    <n v="-2.6442186157273999E-2"/>
    <n v="2"/>
    <m/>
    <s v="Halsi"/>
    <m/>
    <n v="0"/>
  </r>
  <r>
    <s v="Munger"/>
    <s v="03-09 Apr"/>
    <n v="1009"/>
    <s v="Halsi"/>
    <x v="342"/>
    <s v="KRAUTA"/>
    <s v="MPG"/>
    <s v="Direct"/>
    <n v="170.4"/>
    <n v="7211.3600000000006"/>
    <n v="171.12999999999997"/>
    <n v="7269.3942649020009"/>
    <n v="0"/>
    <n v="0"/>
    <n v="171.12999999999997"/>
    <n v="7269.3942649020009"/>
    <n v="7211.3600000000006"/>
    <n v="0"/>
    <n v="0"/>
    <n v="58.034264902000359"/>
    <n v="0"/>
    <n v="0"/>
    <n v="0"/>
    <n v="7211"/>
    <n v="0"/>
    <n v="0"/>
    <n v="0"/>
    <n v="0"/>
    <n v="448.25542910798129"/>
    <n v="24.342857142857145"/>
    <n v="-8.0476172181114733E-3"/>
    <n v="1"/>
    <m/>
    <s v="Halsi"/>
    <m/>
    <n v="0"/>
  </r>
  <r>
    <s v="Munger"/>
    <s v="03-09 Apr"/>
    <n v="1009"/>
    <s v="Halsi"/>
    <x v="343"/>
    <s v="BOUDHNAGAR"/>
    <s v="MPG"/>
    <s v="Direct"/>
    <n v="311.29999999999995"/>
    <n v="10920.800000000003"/>
    <n v="410.70000000000005"/>
    <n v="14947.260525252001"/>
    <n v="0"/>
    <n v="0"/>
    <n v="410.70000000000005"/>
    <n v="14947.260525252001"/>
    <n v="10920.800000000003"/>
    <n v="0"/>
    <n v="0"/>
    <n v="4026.4605252519978"/>
    <n v="0"/>
    <n v="0"/>
    <n v="0"/>
    <n v="10921"/>
    <n v="0"/>
    <n v="0"/>
    <n v="0"/>
    <n v="0"/>
    <n v="272.72180918727929"/>
    <n v="44.471428571428568"/>
    <n v="-0.36869648059226401"/>
    <n v="1"/>
    <m/>
    <s v="Halsi"/>
    <m/>
    <n v="0"/>
  </r>
  <r>
    <s v="Munger"/>
    <s v="03-09 Apr"/>
    <n v="1009"/>
    <s v="Halsi"/>
    <x v="344"/>
    <s v="MOHADDINGAR"/>
    <s v="MPG"/>
    <s v="Direct"/>
    <n v="634.20000000000005"/>
    <n v="24210.54"/>
    <n v="641.63999999999987"/>
    <n v="21990.928236045445"/>
    <n v="0"/>
    <n v="0"/>
    <n v="641.63999999999987"/>
    <n v="21990.928236045445"/>
    <n v="21990.928236045445"/>
    <n v="0"/>
    <n v="0"/>
    <n v="0"/>
    <n v="0"/>
    <n v="0"/>
    <n v="0"/>
    <n v="21991"/>
    <n v="0"/>
    <n v="0"/>
    <n v="2220"/>
    <n v="0"/>
    <n v="50.238206622516508"/>
    <n v="90.600000000000009"/>
    <n v="9.1679564518369089E-2"/>
    <n v="3"/>
    <m/>
    <s v="Halsi"/>
    <m/>
    <n v="0"/>
  </r>
  <r>
    <s v="Munger"/>
    <s v="03-09 Apr"/>
    <n v="1009"/>
    <s v="Halsi"/>
    <x v="345"/>
    <s v="PACHAUTA"/>
    <s v="MPG"/>
    <s v="Direct"/>
    <n v="701.49999999999989"/>
    <n v="27082.53"/>
    <n v="732.31"/>
    <n v="29552.082600348003"/>
    <n v="0"/>
    <n v="0"/>
    <n v="732.31"/>
    <n v="29552.082600348003"/>
    <n v="27082.53"/>
    <n v="0"/>
    <n v="0"/>
    <n v="2469.5526003480045"/>
    <n v="0"/>
    <n v="0"/>
    <n v="0"/>
    <n v="27083"/>
    <n v="0"/>
    <n v="0"/>
    <n v="0"/>
    <n v="0"/>
    <n v="0"/>
    <n v="0"/>
    <n v="-9.1186185350777965E-2"/>
    <n v="3"/>
    <m/>
    <s v="Halsi"/>
    <m/>
    <n v="0"/>
  </r>
  <r>
    <s v="Munger"/>
    <s v="03-09 Apr"/>
    <n v="1009"/>
    <s v="Halsi"/>
    <x v="346"/>
    <s v="Gomukh Champa"/>
    <s v="vlc"/>
    <s v="Indirect"/>
    <n v="16645"/>
    <n v="646273.75"/>
    <n v="0"/>
    <n v="0"/>
    <n v="0"/>
    <n v="0"/>
    <n v="0"/>
    <n v="0"/>
    <n v="646273.75"/>
    <n v="0"/>
    <n v="0"/>
    <n v="0"/>
    <n v="0"/>
    <n v="0"/>
    <n v="0"/>
    <n v="0"/>
    <n v="0"/>
    <n v="646273.75"/>
    <n v="0"/>
    <n v="0"/>
    <n v="0"/>
    <n v="0"/>
    <n v="0"/>
    <n v="0"/>
    <m/>
    <s v="Halsi"/>
    <m/>
    <n v="0"/>
  </r>
  <r>
    <s v="Munger"/>
    <s v="03-09 Apr"/>
    <n v="1009"/>
    <s v="Halsi"/>
    <x v="347"/>
    <s v="GOMUKH DAKRA"/>
    <s v="vlc"/>
    <s v="Indirect"/>
    <n v="15525"/>
    <n v="599780.85"/>
    <n v="0"/>
    <n v="0"/>
    <n v="0"/>
    <n v="0"/>
    <n v="0"/>
    <n v="0"/>
    <n v="599780.85"/>
    <n v="0"/>
    <n v="0"/>
    <n v="0"/>
    <n v="0"/>
    <n v="0"/>
    <n v="0"/>
    <n v="0"/>
    <n v="0"/>
    <n v="599780.85"/>
    <n v="0"/>
    <n v="0"/>
    <n v="0"/>
    <n v="0"/>
    <n v="0"/>
    <n v="0"/>
    <m/>
    <s v="Halsi"/>
    <m/>
    <n v="0"/>
  </r>
  <r>
    <s v="Munger"/>
    <s v="03-09 Apr"/>
    <n v="1009"/>
    <s v="Halsi"/>
    <x v="348"/>
    <s v="TIYAY"/>
    <s v="MPG"/>
    <s v="Direct"/>
    <n v="448.09999999999997"/>
    <n v="15952.939999999999"/>
    <n v="463.90000000000003"/>
    <n v="17193.919398480004"/>
    <n v="0"/>
    <n v="0"/>
    <n v="463.90000000000003"/>
    <n v="17193.919398480004"/>
    <n v="15952.939999999999"/>
    <n v="0"/>
    <n v="0"/>
    <n v="1240.9793984800053"/>
    <n v="0"/>
    <n v="0"/>
    <n v="0"/>
    <n v="15953"/>
    <n v="0"/>
    <n v="0"/>
    <n v="0"/>
    <n v="0"/>
    <n v="179.359320955144"/>
    <n v="64.014285714285705"/>
    <n v="-7.7790012278614817E-2"/>
    <n v="1"/>
    <m/>
    <s v="Halsi"/>
    <m/>
    <n v="0"/>
  </r>
  <r>
    <s v="Munger"/>
    <s v="03-09 Apr"/>
    <n v="1010"/>
    <s v="Parbatta"/>
    <x v="349"/>
    <s v="Vishan Pur"/>
    <s v="MPG"/>
    <s v="Direct"/>
    <n v="726.9"/>
    <n v="28550.430000000004"/>
    <n v="768.39"/>
    <n v="30463.060306536001"/>
    <n v="4.04"/>
    <n v="158.20643995200004"/>
    <n v="772.43"/>
    <n v="30621.266746488"/>
    <n v="28550.430000000004"/>
    <n v="0"/>
    <n v="158.20643995200004"/>
    <n v="2070.8367464879957"/>
    <n v="0"/>
    <n v="0"/>
    <n v="0"/>
    <n v="28392"/>
    <n v="0"/>
    <n v="0"/>
    <n v="0"/>
    <s v="Release1"/>
    <n v="0"/>
    <n v="0"/>
    <n v="-7.2532593957008548E-2"/>
    <n v="10"/>
    <m/>
    <s v="Parbatta"/>
    <m/>
    <n v="0"/>
  </r>
  <r>
    <s v="Munger"/>
    <s v="03-09 Apr"/>
    <n v="1010"/>
    <s v="Parbatta"/>
    <x v="350"/>
    <s v="Gomukh Madhawpur"/>
    <s v="MPG"/>
    <s v="Direct"/>
    <n v="2085.2999999999997"/>
    <n v="82366.170000000027"/>
    <n v="2177"/>
    <n v="96672.977745950004"/>
    <n v="7"/>
    <n v="326.58848935699996"/>
    <n v="2184"/>
    <n v="96999.566235307007"/>
    <n v="82366.170000000027"/>
    <n v="0"/>
    <n v="326.58848935699996"/>
    <n v="14633.39623530698"/>
    <n v="0"/>
    <n v="0"/>
    <n v="0"/>
    <n v="82039"/>
    <n v="0"/>
    <n v="0"/>
    <n v="1"/>
    <n v="0"/>
    <n v="0"/>
    <n v="0"/>
    <n v="-0.17766270102527501"/>
    <n v="5"/>
    <m/>
    <s v="Parbatta"/>
    <m/>
    <n v="0"/>
  </r>
  <r>
    <s v="Munger"/>
    <s v="03-09 Apr"/>
    <n v="1010"/>
    <s v="Parbatta"/>
    <x v="351"/>
    <s v="Gomukh Muradpur"/>
    <s v="vlc"/>
    <s v="Indirect"/>
    <n v="64.300000000000011"/>
    <n v="1933.04"/>
    <n v="0"/>
    <n v="0"/>
    <n v="0"/>
    <n v="0"/>
    <n v="0"/>
    <n v="0"/>
    <n v="1933.04"/>
    <n v="0"/>
    <n v="0"/>
    <n v="0"/>
    <n v="0"/>
    <n v="0"/>
    <n v="0"/>
    <n v="0"/>
    <n v="0"/>
    <n v="1933.04"/>
    <n v="0"/>
    <n v="0"/>
    <n v="382.21882674961114"/>
    <n v="9.1857142857142868"/>
    <n v="0"/>
    <n v="0"/>
    <m/>
    <s v="Parbatta"/>
    <m/>
    <n v="0"/>
  </r>
  <r>
    <s v="Munger"/>
    <s v="03-09 Apr"/>
    <n v="1010"/>
    <s v="Parbatta"/>
    <x v="352"/>
    <s v="Gomukh Kanhaiyachak Pachhim"/>
    <s v="MPG"/>
    <s v="Direct"/>
    <n v="1595.3999999999996"/>
    <n v="66652.140000000014"/>
    <n v="1279.28"/>
    <n v="58596.726268263963"/>
    <n v="0"/>
    <n v="0"/>
    <n v="1279.28"/>
    <n v="58596.726268263963"/>
    <n v="58596.726268263963"/>
    <n v="0"/>
    <n v="0"/>
    <n v="0"/>
    <n v="0"/>
    <n v="0"/>
    <n v="0"/>
    <n v="58596"/>
    <n v="0"/>
    <n v="0"/>
    <n v="8056"/>
    <n v="0"/>
    <n v="0"/>
    <n v="0"/>
    <n v="0.12085754083418851"/>
    <n v="6"/>
    <m/>
    <s v="Parbatta"/>
    <m/>
    <n v="0"/>
  </r>
  <r>
    <s v="Munger"/>
    <s v="03-09 Apr"/>
    <n v="1010"/>
    <s v="Parbatta"/>
    <x v="353"/>
    <s v="Gomukh Srirampur Thuthi"/>
    <s v="MPG"/>
    <s v="Direct"/>
    <n v="426.69999999999993"/>
    <n v="18427.169999999998"/>
    <n v="424.89"/>
    <n v="17834.041235594003"/>
    <n v="0"/>
    <n v="0"/>
    <n v="424.89"/>
    <n v="17834.041235594003"/>
    <n v="17834.041235594003"/>
    <n v="0"/>
    <n v="0"/>
    <n v="0"/>
    <n v="0"/>
    <n v="500"/>
    <n v="0"/>
    <n v="17334"/>
    <n v="0"/>
    <n v="0"/>
    <n v="593"/>
    <s v="Release1"/>
    <n v="236.05088169674252"/>
    <n v="60.957142857142848"/>
    <n v="3.2187729554022444E-2"/>
    <n v="3"/>
    <m/>
    <s v="Parbatta"/>
    <m/>
    <n v="500"/>
  </r>
  <r>
    <s v="Munger"/>
    <s v="03-09 Apr"/>
    <n v="1010"/>
    <s v="Parbatta"/>
    <x v="354"/>
    <s v="Gomukh Dumariya Bujurg"/>
    <s v="MPG"/>
    <s v="Direct"/>
    <n v="264.59999999999997"/>
    <n v="12488.03"/>
    <n v="264.60000000000002"/>
    <n v="16447.888447200003"/>
    <n v="0"/>
    <n v="0"/>
    <n v="264.60000000000002"/>
    <n v="16447.888447200003"/>
    <n v="12488.03"/>
    <n v="0"/>
    <n v="0"/>
    <n v="3959.858447200002"/>
    <n v="0"/>
    <n v="0"/>
    <n v="0"/>
    <n v="12488"/>
    <n v="0"/>
    <n v="0"/>
    <n v="0"/>
    <n v="0"/>
    <n v="410.9817280423282"/>
    <n v="37.799999999999997"/>
    <n v="-0.31709232338487348"/>
    <n v="1"/>
    <m/>
    <s v="Parbatta"/>
    <m/>
    <n v="0"/>
  </r>
  <r>
    <s v="Munger"/>
    <s v="03-09 Apr"/>
    <n v="1010"/>
    <s v="Parbatta"/>
    <x v="355"/>
    <s v="Gomukh Dumariya Bujurg Madhay"/>
    <s v="MPG"/>
    <s v="Direct"/>
    <n v="153.4"/>
    <n v="6005.2699999999995"/>
    <n v="151.69999999999999"/>
    <n v="6708.3442074000004"/>
    <n v="0"/>
    <n v="0"/>
    <n v="151.69999999999999"/>
    <n v="6708.3442074000004"/>
    <n v="6005.2699999999995"/>
    <n v="0"/>
    <n v="0"/>
    <n v="703.07420740000089"/>
    <n v="0"/>
    <n v="0"/>
    <n v="0"/>
    <n v="6005"/>
    <n v="0"/>
    <n v="0"/>
    <n v="0"/>
    <s v="Release1"/>
    <n v="427.96357001303784"/>
    <n v="21.914285714285715"/>
    <n v="-0.11707620263535211"/>
    <n v="1"/>
    <m/>
    <s v="Parbatta"/>
    <m/>
    <n v="0"/>
  </r>
  <r>
    <s v="Munger"/>
    <s v="03-09 Apr"/>
    <n v="1010"/>
    <s v="Parbatta"/>
    <x v="356"/>
    <s v="Gomukh Bandahera                                                                                    "/>
    <s v="MPG"/>
    <s v="Direct"/>
    <n v="846.4"/>
    <n v="34724.819999999992"/>
    <n v="844.90000000000009"/>
    <n v="34722.120292200008"/>
    <n v="1.4000000000000001"/>
    <n v="57.936368160000008"/>
    <n v="846.30000000000007"/>
    <n v="34780.056660360009"/>
    <n v="34724.819999999992"/>
    <n v="0"/>
    <n v="57.936368160000008"/>
    <n v="55.236660360016685"/>
    <n v="0"/>
    <n v="0"/>
    <n v="0"/>
    <n v="34667"/>
    <n v="0"/>
    <n v="0"/>
    <n v="0"/>
    <n v="0"/>
    <n v="0"/>
    <n v="0"/>
    <n v="-1.590696808796034E-3"/>
    <n v="4"/>
    <m/>
    <s v="Parbatta"/>
    <m/>
    <n v="0"/>
  </r>
  <r>
    <s v="Munger"/>
    <s v="03-09 Apr"/>
    <n v="1010"/>
    <s v="Parbatta"/>
    <x v="357"/>
    <s v="Gomukh Badi Lagar-1 Kiran"/>
    <s v="vlc"/>
    <s v="Indirect"/>
    <n v="1156.0999999999999"/>
    <n v="43750.69"/>
    <n v="0"/>
    <n v="0"/>
    <n v="0"/>
    <n v="0"/>
    <n v="0"/>
    <n v="0"/>
    <n v="43750.69"/>
    <n v="0"/>
    <n v="0"/>
    <n v="0"/>
    <n v="0"/>
    <n v="0"/>
    <n v="0"/>
    <n v="0"/>
    <n v="0"/>
    <n v="43750.69"/>
    <n v="0"/>
    <n v="0"/>
    <n v="0"/>
    <n v="0"/>
    <n v="0"/>
    <n v="0"/>
    <m/>
    <s v="Parbatta"/>
    <m/>
    <n v="0"/>
  </r>
  <r>
    <s v="Munger"/>
    <s v="03-09 Apr"/>
    <n v="1007"/>
    <s v="Araria"/>
    <x v="358"/>
    <s v="Gomukh Basudevpur"/>
    <s v="vlc"/>
    <s v="Indirect"/>
    <n v="137.9"/>
    <n v="4766.5599999999995"/>
    <n v="0"/>
    <n v="0"/>
    <n v="0"/>
    <n v="0"/>
    <n v="0"/>
    <n v="0"/>
    <n v="4766.5599999999995"/>
    <n v="0"/>
    <n v="0"/>
    <n v="0"/>
    <n v="0"/>
    <n v="0"/>
    <n v="0"/>
    <n v="0"/>
    <n v="0"/>
    <n v="4766.5599999999995"/>
    <n v="0"/>
    <n v="0"/>
    <n v="388.58352081218271"/>
    <n v="19.7"/>
    <n v="0"/>
    <n v="0"/>
    <m/>
    <s v="Araria"/>
    <m/>
    <n v="0"/>
  </r>
  <r>
    <s v="Munger"/>
    <s v="03-09 Apr"/>
    <n v="1007"/>
    <s v="Araria"/>
    <x v="359"/>
    <s v="Gomukh Fudkichak"/>
    <s v="MPG"/>
    <s v="Direct"/>
    <n v="165.39999999999998"/>
    <n v="7331.76"/>
    <n v="165.4"/>
    <n v="8353.7274846479995"/>
    <n v="0"/>
    <n v="0"/>
    <n v="165.4"/>
    <n v="8353.7274846479995"/>
    <n v="7331.76"/>
    <n v="0"/>
    <n v="0"/>
    <n v="1021.9674846479993"/>
    <n v="0"/>
    <n v="500"/>
    <n v="0"/>
    <n v="6832"/>
    <n v="0"/>
    <n v="0"/>
    <n v="0"/>
    <s v="Release1"/>
    <n v="473.94908053204358"/>
    <n v="23.628571428571426"/>
    <n v="-0.13938910775148114"/>
    <n v="1"/>
    <m/>
    <s v="Araria"/>
    <m/>
    <n v="500"/>
  </r>
  <r>
    <s v="Munger"/>
    <s v="03-09 Apr"/>
    <n v="1007"/>
    <s v="Araria"/>
    <x v="360"/>
    <s v="Gomukh Tehay"/>
    <s v="MPG"/>
    <s v="Direct"/>
    <n v="167.70000000000002"/>
    <n v="8081.03"/>
    <n v="329.8"/>
    <n v="14112.609782560201"/>
    <n v="0.02"/>
    <n v="1.0039145646100003"/>
    <n v="329.82"/>
    <n v="14113.613697124811"/>
    <n v="8081.03"/>
    <n v="0"/>
    <n v="1.0039145646100003"/>
    <n v="6032.5836971248109"/>
    <n v="0"/>
    <n v="0"/>
    <n v="0"/>
    <n v="8080"/>
    <n v="0"/>
    <n v="0"/>
    <n v="0"/>
    <n v="0"/>
    <n v="513.00325211687527"/>
    <n v="23.957142857142859"/>
    <n v="-0.74651173144077065"/>
    <n v="3"/>
    <m/>
    <s v="Araria"/>
    <m/>
    <n v="0"/>
  </r>
  <r>
    <s v="Munger"/>
    <s v="03-09 Apr"/>
    <n v="1007"/>
    <s v="Araria"/>
    <x v="361"/>
    <s v="Gomukh Buddhnagar"/>
    <s v="vlc"/>
    <s v="Indirect"/>
    <n v="583.90000000000009"/>
    <n v="21703.75"/>
    <n v="0"/>
    <n v="0"/>
    <n v="0"/>
    <n v="0"/>
    <n v="0"/>
    <n v="0"/>
    <n v="21703.75"/>
    <n v="0"/>
    <n v="0"/>
    <n v="0"/>
    <n v="0"/>
    <n v="0"/>
    <n v="0"/>
    <n v="0"/>
    <n v="0"/>
    <n v="21703.75"/>
    <n v="0"/>
    <n v="0"/>
    <n v="86.309483644459604"/>
    <n v="83.414285714285725"/>
    <n v="0"/>
    <n v="0"/>
    <m/>
    <s v="Araria"/>
    <m/>
    <n v="0"/>
  </r>
  <r>
    <s v="Munger"/>
    <s v="03-09 Apr"/>
    <n v="1010"/>
    <s v="Parbatta"/>
    <x v="362"/>
    <s v="Gomukh Krochaka Dudhela"/>
    <s v="MPG"/>
    <s v="Direct"/>
    <n v="1202.5999999999999"/>
    <n v="45435.26"/>
    <n v="1320.75"/>
    <n v="49447.610296920007"/>
    <n v="4.6599999999999993"/>
    <n v="175.82124859200005"/>
    <n v="1325.41"/>
    <n v="49623.431545512009"/>
    <n v="45435.26"/>
    <n v="0"/>
    <n v="175.82124859200005"/>
    <n v="4188.1715455120066"/>
    <n v="0"/>
    <n v="0"/>
    <n v="0"/>
    <n v="45259"/>
    <n v="0"/>
    <n v="0"/>
    <n v="0"/>
    <n v="0"/>
    <n v="0"/>
    <n v="0"/>
    <n v="-9.217888365802257E-2"/>
    <n v="4"/>
    <m/>
    <s v="Parbatta"/>
    <m/>
    <n v="0"/>
  </r>
  <r>
    <s v="Munger"/>
    <s v="03-09 Apr"/>
    <n v="1007"/>
    <s v="Araria"/>
    <x v="363"/>
    <s v="Gomukh Govind Pur"/>
    <s v="MPG"/>
    <s v="Direct"/>
    <n v="761.3"/>
    <n v="27191.430000000008"/>
    <n v="1645.7000000000005"/>
    <n v="72539.661835595994"/>
    <n v="1.4000000000000001"/>
    <n v="53.963133840000026"/>
    <n v="1647.1000000000006"/>
    <n v="72593.624969436001"/>
    <n v="27191.430000000008"/>
    <n v="0"/>
    <n v="53.963133840000026"/>
    <n v="45402.194969435994"/>
    <n v="0"/>
    <n v="0"/>
    <n v="0"/>
    <n v="27137"/>
    <n v="0"/>
    <n v="0"/>
    <n v="0"/>
    <n v="0"/>
    <n v="0"/>
    <n v="0"/>
    <n v="-1.669724430434"/>
    <n v="3"/>
    <m/>
    <s v="Araria"/>
    <m/>
    <n v="0"/>
  </r>
  <r>
    <s v="Munger"/>
    <s v="03-09 Apr"/>
    <n v="1007"/>
    <s v="Araria"/>
    <x v="364"/>
    <s v="Gomukh Sondiha"/>
    <s v="MPG"/>
    <s v="Direct"/>
    <n v="1309.0999999999999"/>
    <n v="51383.029999999992"/>
    <n v="1444"/>
    <n v="57501.397256478012"/>
    <n v="0"/>
    <n v="0"/>
    <n v="1444"/>
    <n v="57501.397256478012"/>
    <n v="51383.029999999992"/>
    <n v="0"/>
    <n v="0"/>
    <n v="6118.3672564780209"/>
    <n v="0"/>
    <n v="0"/>
    <n v="0"/>
    <n v="51383"/>
    <n v="0"/>
    <n v="0"/>
    <n v="0"/>
    <n v="0"/>
    <n v="0"/>
    <n v="0"/>
    <n v="-0.1190736952740627"/>
    <n v="2"/>
    <m/>
    <s v="Araria"/>
    <m/>
    <n v="0"/>
  </r>
  <r>
    <s v="Munger"/>
    <s v="03-09 Apr"/>
    <n v="1007"/>
    <s v="Araria"/>
    <x v="365"/>
    <s v="Gomukh Thebhay B"/>
    <s v="MPG"/>
    <s v="Direct"/>
    <n v="328.5"/>
    <n v="14196.65"/>
    <n v="465.20999999999992"/>
    <n v="18678.416553759605"/>
    <n v="3.4499999999999997"/>
    <n v="137.23715311020001"/>
    <n v="468.65999999999991"/>
    <n v="18815.653706869805"/>
    <n v="14196.65"/>
    <n v="0"/>
    <n v="137.23715311020001"/>
    <n v="4619.0037068698057"/>
    <n v="0"/>
    <n v="0"/>
    <n v="0"/>
    <n v="14059"/>
    <n v="0"/>
    <n v="0"/>
    <n v="0"/>
    <n v="0"/>
    <n v="321.09926788432267"/>
    <n v="46.928571428571431"/>
    <n v="-0.3253587083480825"/>
    <n v="8"/>
    <m/>
    <s v="Araria"/>
    <m/>
    <n v="0"/>
  </r>
  <r>
    <s v="Munger"/>
    <s v="03-09 Apr"/>
    <n v="1010"/>
    <s v="Parbatta"/>
    <x v="966"/>
    <s v="Gomukh Rahempur"/>
    <s v="vlc"/>
    <s v="Indirect"/>
    <n v="122.5"/>
    <n v="5369.18"/>
    <n v="0"/>
    <n v="0"/>
    <n v="0"/>
    <n v="0"/>
    <n v="0"/>
    <n v="0"/>
    <n v="5369.18"/>
    <n v="0"/>
    <n v="0"/>
    <n v="0"/>
    <n v="0"/>
    <n v="0"/>
    <n v="0"/>
    <n v="0"/>
    <n v="0"/>
    <n v="5369.18"/>
    <n v="0"/>
    <n v="0"/>
    <n v="506.23697142857145"/>
    <n v="17.5"/>
    <n v="0"/>
    <n v="0"/>
    <m/>
    <s v="Parbatta"/>
    <m/>
    <n v="0"/>
  </r>
  <r>
    <s v="Munger"/>
    <s v="03-09 Apr"/>
    <n v="1007"/>
    <s v="Araria"/>
    <x v="366"/>
    <s v="Gomukh Baisa"/>
    <s v="MPG"/>
    <s v="Direct"/>
    <n v="389.59999999999997"/>
    <n v="13617.329999999998"/>
    <n v="330.5"/>
    <n v="11877.683161628"/>
    <n v="0.5"/>
    <n v="18.4735002"/>
    <n v="331"/>
    <n v="11896.156661827999"/>
    <n v="11896.156661827999"/>
    <n v="0"/>
    <n v="18.4735002"/>
    <n v="0"/>
    <n v="0"/>
    <n v="0"/>
    <n v="0"/>
    <n v="11878"/>
    <n v="0"/>
    <n v="0"/>
    <n v="1721"/>
    <n v="0"/>
    <n v="216.98250677618074"/>
    <n v="55.657142857142851"/>
    <n v="0.12639580139219647"/>
    <n v="6"/>
    <m/>
    <s v="Araria"/>
    <m/>
    <n v="0"/>
  </r>
  <r>
    <s v="Munger"/>
    <s v="03-09 Apr"/>
    <n v="1010"/>
    <s v="Parbatta"/>
    <x v="367"/>
    <s v="Gomukh Bhorkanth Purbi"/>
    <s v="MPG"/>
    <s v="Direct"/>
    <n v="70.599999999999994"/>
    <n v="2529.1800000000003"/>
    <n v="70.599999999999994"/>
    <n v="2609.4505535999997"/>
    <n v="0"/>
    <n v="0"/>
    <n v="70.599999999999994"/>
    <n v="2609.4505535999997"/>
    <n v="2529.1800000000003"/>
    <n v="0"/>
    <n v="0"/>
    <n v="80.270553599999403"/>
    <n v="0"/>
    <n v="0"/>
    <n v="0"/>
    <n v="2529"/>
    <n v="0"/>
    <n v="0"/>
    <n v="0"/>
    <n v="0"/>
    <n v="450.95351048158648"/>
    <n v="10.085714285714285"/>
    <n v="-3.1737778094085588E-2"/>
    <n v="1"/>
    <m/>
    <s v="Parbatta"/>
    <m/>
    <n v="0"/>
  </r>
  <r>
    <s v="Munger"/>
    <s v="03-09 Apr"/>
    <n v="1010"/>
    <s v="Parbatta"/>
    <x v="368"/>
    <s v="Gomukh Khutha VLC"/>
    <s v="vlc"/>
    <s v="Indirect"/>
    <n v="8517.3999999999978"/>
    <n v="337539.58999999997"/>
    <n v="0"/>
    <n v="0"/>
    <n v="0"/>
    <n v="0"/>
    <n v="0"/>
    <n v="0"/>
    <n v="337539.58999999997"/>
    <n v="0"/>
    <n v="0"/>
    <n v="0"/>
    <n v="0"/>
    <n v="0"/>
    <n v="0"/>
    <n v="0"/>
    <n v="0"/>
    <n v="337539.58999999997"/>
    <n v="0"/>
    <n v="0"/>
    <n v="0"/>
    <n v="0"/>
    <n v="0"/>
    <n v="0"/>
    <m/>
    <s v="Parbatta"/>
    <m/>
    <n v="0"/>
  </r>
  <r>
    <s v="Munger"/>
    <s v="03-09 Apr"/>
    <n v="1010"/>
    <s v="Parbatta"/>
    <x v="369"/>
    <s v="Gomukh Kabela Vlc"/>
    <s v="vlc"/>
    <s v="Indirect"/>
    <n v="1412.9999999999995"/>
    <n v="53997.02"/>
    <n v="0"/>
    <n v="0"/>
    <n v="0"/>
    <n v="0"/>
    <n v="0"/>
    <n v="0"/>
    <n v="53997.02"/>
    <n v="0"/>
    <n v="0"/>
    <n v="0"/>
    <n v="0"/>
    <n v="0"/>
    <n v="0"/>
    <n v="0"/>
    <n v="0"/>
    <n v="53997.02"/>
    <n v="0"/>
    <n v="0"/>
    <n v="0"/>
    <n v="0"/>
    <n v="0"/>
    <n v="0"/>
    <m/>
    <s v="Parbatta"/>
    <m/>
    <n v="0"/>
  </r>
  <r>
    <s v="Munger"/>
    <s v="03-09 Apr"/>
    <n v="1010"/>
    <s v="Parbatta"/>
    <x v="370"/>
    <s v="Gomukh Lagar Wad-13 Vlc"/>
    <s v="vlc"/>
    <s v="Indirect"/>
    <n v="1216"/>
    <n v="56449.96"/>
    <n v="0"/>
    <n v="0"/>
    <n v="0"/>
    <n v="0"/>
    <n v="0"/>
    <n v="0"/>
    <n v="56449.96"/>
    <n v="0"/>
    <n v="0"/>
    <n v="0"/>
    <n v="0"/>
    <n v="0"/>
    <n v="0"/>
    <n v="0"/>
    <n v="0"/>
    <n v="56449.96"/>
    <n v="0"/>
    <n v="0"/>
    <n v="0"/>
    <n v="0"/>
    <n v="0"/>
    <n v="0"/>
    <m/>
    <s v="Parbatta"/>
    <m/>
    <n v="0"/>
  </r>
  <r>
    <s v="Munger"/>
    <s v="03-09 Apr"/>
    <n v="1010"/>
    <s v="Parbatta"/>
    <x v="371"/>
    <s v="Gomukh Manish Vlc"/>
    <s v="vlc"/>
    <s v="Indirect"/>
    <n v="2457.7000000000003"/>
    <n v="118716.06999999999"/>
    <n v="0"/>
    <n v="0"/>
    <n v="0"/>
    <n v="0"/>
    <n v="0"/>
    <n v="0"/>
    <n v="118716.06999999999"/>
    <n v="0"/>
    <n v="0"/>
    <n v="0"/>
    <n v="0"/>
    <n v="0"/>
    <n v="0"/>
    <n v="0"/>
    <n v="0"/>
    <n v="118716.06999999999"/>
    <n v="0"/>
    <n v="0"/>
    <n v="0"/>
    <n v="0"/>
    <n v="0"/>
    <n v="0"/>
    <m/>
    <s v="Parbatta"/>
    <m/>
    <n v="0"/>
  </r>
  <r>
    <s v="Munger"/>
    <s v="03-09 Apr"/>
    <n v="1055"/>
    <s v="Matihani"/>
    <x v="372"/>
    <s v="Gomukh Mahendrapur"/>
    <s v="MPG"/>
    <s v="Direct"/>
    <n v="1848.6000000000001"/>
    <n v="73838"/>
    <n v="1837.7000000000003"/>
    <n v="74086.955203724399"/>
    <n v="42"/>
    <n v="1709.9751240000001"/>
    <n v="1879.7000000000003"/>
    <n v="75796.930327724403"/>
    <n v="73838"/>
    <n v="0"/>
    <n v="1709.9751240000001"/>
    <n v="1958.9303277244035"/>
    <n v="0"/>
    <n v="0"/>
    <n v="0"/>
    <n v="72128"/>
    <n v="0"/>
    <n v="0"/>
    <n v="0"/>
    <n v="0"/>
    <n v="0"/>
    <n v="0"/>
    <n v="-2.6530110887678478E-2"/>
    <n v="12"/>
    <m/>
    <s v="Matihani"/>
    <m/>
    <n v="0"/>
  </r>
  <r>
    <s v="Munger"/>
    <s v="03-09 Apr"/>
    <n v="1055"/>
    <s v="Matihani"/>
    <x v="373"/>
    <s v="Gomukh Balahpur"/>
    <s v="MPG"/>
    <s v="Direct"/>
    <n v="221.79999999999995"/>
    <n v="8156.35"/>
    <n v="228.3"/>
    <n v="8480.7960217200016"/>
    <n v="0"/>
    <n v="0"/>
    <n v="228.3"/>
    <n v="8480.7960217200016"/>
    <n v="8156.35"/>
    <n v="0"/>
    <n v="0"/>
    <n v="324.44602172000123"/>
    <n v="0"/>
    <n v="500"/>
    <n v="0"/>
    <n v="7656"/>
    <n v="0"/>
    <n v="0"/>
    <n v="0"/>
    <n v="0"/>
    <n v="351.70122362488735"/>
    <n v="31.68571428571428"/>
    <n v="-3.97783348826376E-2"/>
    <n v="2"/>
    <m/>
    <s v="Matihani"/>
    <m/>
    <n v="500"/>
  </r>
  <r>
    <s v="Munger"/>
    <s v="03-09 Apr"/>
    <n v="1011"/>
    <s v="Sahibpur Kamal"/>
    <x v="374"/>
    <s v="Gomukh Danauli"/>
    <s v="MPG"/>
    <s v="Direct"/>
    <n v="713.1"/>
    <n v="26750.809999999994"/>
    <n v="713.1"/>
    <n v="26737.151360039999"/>
    <n v="1.4000000000000001"/>
    <n v="52.511124600000002"/>
    <n v="714.5"/>
    <n v="26789.662484640001"/>
    <n v="26750.809999999994"/>
    <n v="0"/>
    <n v="52.511124600000002"/>
    <n v="38.852484640006878"/>
    <n v="0"/>
    <n v="0"/>
    <n v="0"/>
    <n v="26698"/>
    <n v="0"/>
    <n v="0"/>
    <n v="0"/>
    <n v="0"/>
    <n v="0"/>
    <n v="0"/>
    <n v="-1.4523853535652522E-3"/>
    <n v="3"/>
    <m/>
    <s v="Sahibpur Kamal"/>
    <m/>
    <n v="0"/>
  </r>
  <r>
    <s v="Munger"/>
    <s v="03-09 Apr"/>
    <n v="1055"/>
    <s v="Matihani"/>
    <x v="375"/>
    <s v="NAYAGAW"/>
    <s v="MPG"/>
    <s v="Direct"/>
    <n v="4300.8000000000011"/>
    <n v="178272.50999999995"/>
    <n v="4266.3"/>
    <n v="175761.42481973322"/>
    <n v="25.5"/>
    <n v="1854.0608327507898"/>
    <n v="4291.8"/>
    <n v="177615.485652484"/>
    <n v="177615.485652484"/>
    <n v="0"/>
    <n v="1854.0608327507898"/>
    <n v="0"/>
    <n v="0"/>
    <n v="0"/>
    <n v="0"/>
    <n v="175762"/>
    <n v="0"/>
    <n v="0"/>
    <n v="656"/>
    <n v="0"/>
    <n v="0"/>
    <n v="0"/>
    <n v="3.6855056762029746E-3"/>
    <n v="37"/>
    <m/>
    <s v="Matihani"/>
    <m/>
    <n v="0"/>
  </r>
  <r>
    <s v="Munger"/>
    <s v="03-09 Apr"/>
    <n v="1011"/>
    <s v="Sahibpur Kamal"/>
    <x v="376"/>
    <s v="Dandari"/>
    <s v="MPG"/>
    <s v="Direct"/>
    <n v="1178.5999999999997"/>
    <n v="43305.610000000008"/>
    <n v="1176"/>
    <n v="43339.591218132002"/>
    <n v="2.8000000000000003"/>
    <n v="104.56014690000001"/>
    <n v="1178.8"/>
    <n v="43444.151365032005"/>
    <n v="43305.610000000008"/>
    <n v="0"/>
    <n v="104.56014690000001"/>
    <n v="138.54136503199697"/>
    <n v="0"/>
    <n v="0"/>
    <n v="0"/>
    <n v="43201"/>
    <n v="0"/>
    <n v="0"/>
    <n v="0"/>
    <n v="0"/>
    <n v="0"/>
    <n v="0"/>
    <n v="-3.1991551448414409E-3"/>
    <n v="5"/>
    <m/>
    <s v="Sahibpur Kamal"/>
    <m/>
    <n v="0"/>
  </r>
  <r>
    <s v="Munger"/>
    <s v="03-09 Apr"/>
    <n v="1011"/>
    <s v="Sahibpur Kamal"/>
    <x v="377"/>
    <s v="Rahimpur Pachkhutti"/>
    <s v="MPG"/>
    <s v="Direct"/>
    <n v="10322.299999999997"/>
    <n v="402956.85"/>
    <n v="10320"/>
    <n v="404596.72281599999"/>
    <n v="0"/>
    <n v="0"/>
    <n v="10320"/>
    <n v="404596.72281599999"/>
    <n v="402956.85"/>
    <n v="0"/>
    <n v="0"/>
    <n v="1639.8728160000173"/>
    <n v="200000"/>
    <n v="0"/>
    <n v="0"/>
    <n v="202957"/>
    <n v="0"/>
    <n v="0"/>
    <n v="0"/>
    <n v="0"/>
    <n v="0"/>
    <n v="0"/>
    <n v="-4.0695990550849732E-3"/>
    <n v="1"/>
    <m/>
    <s v="Sahibpur Kamal"/>
    <m/>
    <n v="0"/>
  </r>
  <r>
    <s v="Munger"/>
    <s v="03-09 Apr"/>
    <n v="1011"/>
    <s v="Sahibpur Kamal"/>
    <x v="378"/>
    <s v="Gomukh Mohanpur                                                                                     "/>
    <s v="MPG"/>
    <s v="Direct"/>
    <n v="1331.1000000000001"/>
    <n v="50334.679999999993"/>
    <n v="1347"/>
    <n v="51285.044725200001"/>
    <n v="2.1"/>
    <n v="79.875477000000004"/>
    <n v="1349.1"/>
    <n v="51364.920202200003"/>
    <n v="50334.679999999993"/>
    <n v="0"/>
    <n v="79.875477000000004"/>
    <n v="1030.2402022000097"/>
    <n v="0"/>
    <n v="0"/>
    <n v="0"/>
    <n v="50255"/>
    <n v="0"/>
    <n v="0"/>
    <n v="0"/>
    <n v="0"/>
    <n v="0"/>
    <n v="0"/>
    <n v="-2.0467800772747732E-2"/>
    <n v="7"/>
    <m/>
    <m/>
    <m/>
    <n v="0"/>
  </r>
  <r>
    <s v="Munger"/>
    <s v="03-09 Apr"/>
    <n v="1011"/>
    <s v="Sahibpur Kamal"/>
    <x v="379"/>
    <s v="Gomukh Raghunathpur"/>
    <s v="MPG"/>
    <s v="Direct"/>
    <n v="1267.5"/>
    <n v="60751.789999999994"/>
    <n v="1279.7"/>
    <n v="59649.134234744924"/>
    <n v="21.599999999999998"/>
    <n v="1019.4995004372001"/>
    <n v="1301.3"/>
    <n v="60668.633735182128"/>
    <n v="60668.633735182128"/>
    <n v="0"/>
    <n v="1019.4995004372001"/>
    <n v="0"/>
    <n v="0"/>
    <n v="0"/>
    <n v="0"/>
    <n v="59646"/>
    <n v="0"/>
    <n v="0"/>
    <n v="86"/>
    <n v="0"/>
    <n v="0"/>
    <n v="0"/>
    <n v="1.3687870730700452E-3"/>
    <n v="37"/>
    <m/>
    <s v="Sahibpur Kamal"/>
    <m/>
    <n v="0"/>
  </r>
  <r>
    <s v="Munger"/>
    <s v="03-09 Apr"/>
    <n v="1055"/>
    <s v="Matihani"/>
    <x v="380"/>
    <s v="Gomukh Chhitraur"/>
    <s v="MPG"/>
    <s v="Direct"/>
    <n v="1109.6000000000001"/>
    <n v="45702.16"/>
    <n v="1100.23"/>
    <n v="47526.16214629692"/>
    <n v="0"/>
    <n v="0"/>
    <n v="1100.23"/>
    <n v="47526.16214629692"/>
    <n v="45702.16"/>
    <n v="0"/>
    <n v="0"/>
    <n v="1824.0021462969162"/>
    <n v="0"/>
    <n v="0"/>
    <n v="0"/>
    <n v="45702"/>
    <n v="0"/>
    <n v="0"/>
    <n v="0"/>
    <n v="0"/>
    <n v="0"/>
    <n v="0"/>
    <n v="-3.9910633245713464E-2"/>
    <n v="9"/>
    <m/>
    <s v="Matihani"/>
    <m/>
    <n v="0"/>
  </r>
  <r>
    <s v="Munger"/>
    <s v="03-09 Apr"/>
    <n v="1055"/>
    <s v="Matihani"/>
    <x v="381"/>
    <s v="Gomukh Khorampur Chakaur"/>
    <s v="MPG"/>
    <s v="Direct"/>
    <n v="787.4"/>
    <n v="31892.87"/>
    <n v="784.59999999999991"/>
    <n v="32224.218721199995"/>
    <n v="3.5"/>
    <n v="143.883927"/>
    <n v="788.09999999999991"/>
    <n v="32368.102648199994"/>
    <n v="31892.87"/>
    <n v="0"/>
    <n v="143.883927"/>
    <n v="475.23264819999531"/>
    <n v="0"/>
    <n v="0"/>
    <n v="0"/>
    <n v="31749"/>
    <n v="0"/>
    <n v="0"/>
    <n v="0"/>
    <n v="0"/>
    <n v="0"/>
    <n v="0"/>
    <n v="-1.4900905694595542E-2"/>
    <n v="6"/>
    <m/>
    <s v="Matihani"/>
    <m/>
    <n v="0"/>
  </r>
  <r>
    <s v="Munger"/>
    <s v="03-09 Apr"/>
    <n v="1011"/>
    <s v="Sahibpur Kamal"/>
    <x v="382"/>
    <s v="Goumukh Samastipur"/>
    <s v="MPG"/>
    <s v="Direct"/>
    <n v="1035.0999999999999"/>
    <n v="42736.84"/>
    <n v="1041.6599999999999"/>
    <n v="42730.042887865799"/>
    <n v="0"/>
    <n v="0"/>
    <n v="1041.6599999999999"/>
    <n v="42730.042887865799"/>
    <n v="42730.042887865799"/>
    <n v="0"/>
    <n v="0"/>
    <n v="0"/>
    <n v="0"/>
    <n v="0"/>
    <n v="0"/>
    <n v="42731"/>
    <n v="0"/>
    <n v="0"/>
    <n v="6"/>
    <n v="0"/>
    <n v="0"/>
    <n v="0"/>
    <n v="1.5904573511279637E-4"/>
    <n v="19"/>
    <m/>
    <s v="Sahibpur Kamal"/>
    <m/>
    <n v="0"/>
  </r>
  <r>
    <s v="Munger"/>
    <s v="03-09 Apr"/>
    <n v="1011"/>
    <s v="Sahibpur Kamal"/>
    <x v="383"/>
    <s v="GOMUKH Mathar"/>
    <s v="MPG"/>
    <s v="Direct"/>
    <n v="135.70000000000002"/>
    <n v="5452.23"/>
    <n v="133.77000000000001"/>
    <n v="5148.8919346228013"/>
    <n v="2.7500000000000004"/>
    <n v="101.63362648635901"/>
    <n v="136.52000000000001"/>
    <n v="5250.5255611091607"/>
    <n v="5250.5255611091607"/>
    <n v="0"/>
    <n v="101.63362648635901"/>
    <n v="0"/>
    <n v="0"/>
    <n v="0"/>
    <n v="0"/>
    <n v="5149"/>
    <n v="0"/>
    <n v="0"/>
    <n v="202"/>
    <n v="0"/>
    <n v="453.45517892409714"/>
    <n v="19.38571428571429"/>
    <n v="3.699485144442529E-2"/>
    <n v="6"/>
    <m/>
    <s v="Sahibpur Kamal"/>
    <m/>
    <n v="0"/>
  </r>
  <r>
    <s v="Munger"/>
    <s v="03-09 Apr"/>
    <n v="1011"/>
    <s v="Sahibpur Kamal"/>
    <x v="384"/>
    <s v="Gomukh Kumar Chakki"/>
    <s v="MPG"/>
    <s v="Direct"/>
    <n v="337.2"/>
    <n v="12730.91"/>
    <n v="336.20000000000005"/>
    <n v="12921.999286680002"/>
    <n v="1.2"/>
    <n v="46.650102840000002"/>
    <n v="337.40000000000003"/>
    <n v="12968.649389520002"/>
    <n v="12730.91"/>
    <n v="0"/>
    <n v="46.650102840000002"/>
    <n v="237.73938952000208"/>
    <n v="0"/>
    <n v="0"/>
    <n v="0"/>
    <n v="12684"/>
    <n v="0"/>
    <n v="0"/>
    <n v="0"/>
    <n v="0"/>
    <n v="273.94864460260976"/>
    <n v="48.171428571428571"/>
    <n v="-1.8674186646516398E-2"/>
    <n v="3"/>
    <m/>
    <s v="Sahibpur Kamal"/>
    <m/>
    <n v="0"/>
  </r>
  <r>
    <s v="Munger"/>
    <s v="03-09 Apr"/>
    <n v="1055"/>
    <s v="Matihani"/>
    <x v="385"/>
    <s v="Gomukh Sonapur"/>
    <s v="vlc"/>
    <s v="Indirect"/>
    <n v="526.5"/>
    <n v="21580.239999999998"/>
    <n v="0"/>
    <n v="0"/>
    <n v="0"/>
    <n v="0"/>
    <n v="0"/>
    <n v="0"/>
    <n v="21580.239999999998"/>
    <n v="0"/>
    <n v="0"/>
    <n v="0"/>
    <n v="0"/>
    <n v="0"/>
    <n v="0"/>
    <n v="0"/>
    <n v="0"/>
    <n v="21580.239999999998"/>
    <n v="0"/>
    <n v="0"/>
    <n v="142.22874226020897"/>
    <n v="75.214285714285708"/>
    <n v="0"/>
    <n v="0"/>
    <m/>
    <s v="Matihani"/>
    <m/>
    <n v="0"/>
  </r>
  <r>
    <s v="Munger"/>
    <s v="03-09 Apr"/>
    <n v="1011"/>
    <s v="Sahibpur Kamal"/>
    <x v="386"/>
    <s v="Gomukh Barkhandi 2"/>
    <s v="MPG"/>
    <s v="Indirect"/>
    <n v="1009.0000000000001"/>
    <n v="38768.339999999997"/>
    <n v="0"/>
    <n v="0"/>
    <n v="0"/>
    <n v="0"/>
    <n v="0"/>
    <n v="0"/>
    <n v="38768.339999999997"/>
    <n v="0"/>
    <n v="0"/>
    <n v="0"/>
    <n v="0"/>
    <n v="0"/>
    <n v="0"/>
    <n v="0"/>
    <n v="0"/>
    <n v="38768.339999999997"/>
    <n v="0"/>
    <n v="0"/>
    <n v="0"/>
    <n v="0"/>
    <n v="0"/>
    <n v="0"/>
    <m/>
    <s v="Sahibpur Kamal"/>
    <m/>
    <n v="0"/>
  </r>
  <r>
    <s v="Munger"/>
    <s v="03-09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970.7"/>
    <n v="37416.050000000003"/>
    <n v="977.2"/>
    <n v="37808.222518440001"/>
    <n v="3.8"/>
    <n v="146.35259496000003"/>
    <n v="981"/>
    <n v="37954.575113400002"/>
    <n v="37416.050000000003"/>
    <n v="0"/>
    <n v="146.35259496000003"/>
    <n v="538.5251133999991"/>
    <n v="0"/>
    <n v="0"/>
    <n v="0"/>
    <n v="37270"/>
    <n v="0"/>
    <n v="0"/>
    <n v="0"/>
    <n v="0"/>
    <n v="0"/>
    <n v="0"/>
    <n v="-1.4392890575033951E-2"/>
    <n v="5"/>
    <m/>
    <s v="Sahibpur Kamal"/>
    <m/>
    <n v="0"/>
  </r>
  <r>
    <s v="Munger"/>
    <s v="03-09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931.49999999999989"/>
    <n v="40646.660000000003"/>
    <n v="931.5"/>
    <n v="40647.395792424606"/>
    <n v="0"/>
    <n v="0"/>
    <n v="931.5"/>
    <n v="40647.395792424606"/>
    <n v="40646.660000000003"/>
    <n v="0"/>
    <n v="0"/>
    <n v="0.73579242460255045"/>
    <n v="0"/>
    <n v="0"/>
    <n v="0"/>
    <n v="40647"/>
    <n v="0"/>
    <n v="0"/>
    <n v="0"/>
    <n v="0"/>
    <n v="0"/>
    <n v="0"/>
    <n v="-1.8102162012882494E-5"/>
    <n v="1"/>
    <m/>
    <s v="Sahibpur Kamal"/>
    <m/>
    <n v="0"/>
  </r>
  <r>
    <s v="Munger"/>
    <s v="03-09 Apr"/>
    <n v="1011"/>
    <s v="Sahibpur Kamal"/>
    <x v="389"/>
    <s v="GOMUKH KATAHRI"/>
    <s v="MPG"/>
    <s v="Direct"/>
    <n v="182.39999999999995"/>
    <n v="8480.83"/>
    <n v="179.5"/>
    <n v="8326.8186233519991"/>
    <n v="2.6000000000000005"/>
    <n v="130.194269451"/>
    <n v="182.1"/>
    <n v="8457.012892802999"/>
    <n v="8457.012892802999"/>
    <n v="0"/>
    <n v="130.194269451"/>
    <n v="0"/>
    <n v="0"/>
    <n v="0"/>
    <n v="0"/>
    <n v="8326"/>
    <n v="0"/>
    <n v="0"/>
    <n v="25"/>
    <s v="Release3"/>
    <n v="481.32429912280713"/>
    <n v="26.05714285714285"/>
    <n v="2.8083462582083299E-3"/>
    <n v="3"/>
    <m/>
    <s v="Sahibpur Kamal"/>
    <m/>
    <n v="0"/>
  </r>
  <r>
    <s v="Munger"/>
    <s v="03-09 Apr"/>
    <n v="1011"/>
    <s v="Sahibpur Kamal"/>
    <x v="390"/>
    <s v="GOMUKH Mathar Ward 10"/>
    <s v="MPG"/>
    <s v="Direct"/>
    <n v="1096.3000000000002"/>
    <n v="48135.35"/>
    <n v="841.5"/>
    <n v="37842.684302334805"/>
    <n v="266"/>
    <n v="11335.3033598"/>
    <n v="1107.5"/>
    <n v="49177.987662134808"/>
    <n v="48135.35"/>
    <n v="0"/>
    <n v="74.714151600000008"/>
    <n v="1042.6376621348099"/>
    <n v="0"/>
    <n v="0"/>
    <n v="0"/>
    <n v="36799"/>
    <n v="11261"/>
    <n v="0"/>
    <n v="1"/>
    <n v="0"/>
    <n v="0"/>
    <n v="0"/>
    <n v="-2.1660539751654658E-2"/>
    <n v="6"/>
    <m/>
    <s v="Sahibpur Kamal"/>
    <m/>
    <n v="0"/>
  </r>
  <r>
    <s v="Munger"/>
    <s v="03-09 Apr"/>
    <n v="1011"/>
    <s v="Sahibpur Kamal"/>
    <x v="391"/>
    <s v="GOMUKH Tartor 2"/>
    <s v="MPG"/>
    <s v="Direct"/>
    <n v="297"/>
    <n v="13662.83"/>
    <n v="309.7"/>
    <n v="15204.348772781001"/>
    <n v="0"/>
    <n v="0"/>
    <n v="309.7"/>
    <n v="15204.348772781001"/>
    <n v="13662.83"/>
    <n v="0"/>
    <n v="0"/>
    <n v="1541.5187727810007"/>
    <n v="0"/>
    <n v="0"/>
    <n v="0"/>
    <n v="13663"/>
    <n v="0"/>
    <n v="0"/>
    <n v="0"/>
    <s v="Release3"/>
    <n v="370.78252457912458"/>
    <n v="42.428571428571431"/>
    <n v="-0.11282573030484905"/>
    <n v="1"/>
    <m/>
    <s v="Sahibpur Kamal"/>
    <m/>
    <n v="0"/>
  </r>
  <r>
    <s v="Munger"/>
    <s v="03-09 Apr"/>
    <n v="1011"/>
    <s v="Sahibpur Kamal"/>
    <x v="392"/>
    <s v="Gomukh Chaidha"/>
    <s v="MPG"/>
    <s v="Direct"/>
    <n v="960.60000000000014"/>
    <n v="36918.86"/>
    <n v="996.31999999999994"/>
    <n v="38924.964510374644"/>
    <n v="1.94"/>
    <n v="81.464657471999999"/>
    <n v="998.26"/>
    <n v="39006.429167846647"/>
    <n v="36918.86"/>
    <n v="0"/>
    <n v="81.464657471999999"/>
    <n v="2087.5691678466465"/>
    <n v="0"/>
    <n v="0"/>
    <n v="0"/>
    <n v="36837"/>
    <n v="0"/>
    <n v="0"/>
    <n v="0"/>
    <s v="Release3"/>
    <n v="0"/>
    <n v="0"/>
    <n v="-5.6544789515349241E-2"/>
    <n v="16"/>
    <m/>
    <s v="Sahibpur Kamal"/>
    <m/>
    <n v="0"/>
  </r>
  <r>
    <s v="Munger"/>
    <s v="03-09 Apr"/>
    <n v="1011"/>
    <s v="Sahibpur Kamal"/>
    <x v="393"/>
    <s v="Gomukh Bakiya"/>
    <s v="MPG"/>
    <s v="Direct"/>
    <n v="924.8"/>
    <n v="36578.149999999994"/>
    <n v="899.67999999999984"/>
    <n v="35778.927604779477"/>
    <n v="6.46"/>
    <n v="252.99040773600001"/>
    <n v="906.13999999999987"/>
    <n v="36031.918012515474"/>
    <n v="36031.918012515474"/>
    <n v="0"/>
    <n v="252.99040773600001"/>
    <n v="0"/>
    <n v="0"/>
    <n v="0"/>
    <n v="0"/>
    <n v="35777"/>
    <n v="0"/>
    <n v="0"/>
    <n v="548"/>
    <n v="0"/>
    <n v="0"/>
    <n v="0"/>
    <n v="1.4933286333084638E-2"/>
    <n v="16"/>
    <m/>
    <s v="Sahibpur Kamal"/>
    <m/>
    <n v="0"/>
  </r>
  <r>
    <s v="Munger"/>
    <s v="03-09 Apr"/>
    <n v="1011"/>
    <s v="Sahibpur Kamal"/>
    <x v="394"/>
    <s v="Gomukh Sadpur"/>
    <s v="MPG"/>
    <s v="Direct"/>
    <n v="18"/>
    <n v="637.20000000000005"/>
    <n v="22.9"/>
    <n v="891.75108924000006"/>
    <n v="0"/>
    <n v="0"/>
    <n v="22.9"/>
    <n v="891.75108924000006"/>
    <n v="637.20000000000005"/>
    <n v="0"/>
    <n v="0"/>
    <n v="254.55108924000001"/>
    <n v="0"/>
    <n v="500"/>
    <n v="0"/>
    <n v="137"/>
    <n v="0"/>
    <n v="0"/>
    <n v="0"/>
    <n v="0"/>
    <n v="482.85600000000005"/>
    <n v="2.5714285714285716"/>
    <n v="-0.39948381864406779"/>
    <n v="1"/>
    <m/>
    <s v="Sahibpur Kamal"/>
    <m/>
    <n v="500"/>
  </r>
  <r>
    <s v="Munger"/>
    <s v="03-09 Apr"/>
    <n v="1011"/>
    <s v="Sahibpur Kamal"/>
    <x v="395"/>
    <s v="GOMUKH Nista Tol"/>
    <s v="MPG"/>
    <s v="Direct"/>
    <n v="308.7"/>
    <n v="14420.68"/>
    <n v="346.27"/>
    <n v="16510.769164680725"/>
    <n v="0"/>
    <n v="0"/>
    <n v="346.27"/>
    <n v="16510.769164680725"/>
    <n v="14420.68"/>
    <n v="0"/>
    <n v="0"/>
    <n v="2090.0891646807249"/>
    <n v="0"/>
    <n v="500"/>
    <n v="0"/>
    <n v="13921"/>
    <n v="0"/>
    <n v="0"/>
    <n v="0"/>
    <s v="Release3"/>
    <n v="365.58549297052161"/>
    <n v="44.1"/>
    <n v="-0.14493693533735752"/>
    <n v="2"/>
    <m/>
    <s v="Sahibpur Kamal"/>
    <m/>
    <n v="500"/>
  </r>
  <r>
    <s v="Munger"/>
    <s v="03-09 Apr"/>
    <n v="1011"/>
    <s v="Sahibpur Kamal"/>
    <x v="396"/>
    <s v="GOMUKH SRINAGAR"/>
    <s v="MPG"/>
    <s v="Direct"/>
    <n v="1893.6999999999998"/>
    <n v="78598.16"/>
    <n v="1822.32"/>
    <n v="80227.178806311873"/>
    <n v="109.99999999999999"/>
    <n v="4304.4244192462802"/>
    <n v="1932.32"/>
    <n v="84531.603225558152"/>
    <n v="78598.16"/>
    <n v="0"/>
    <n v="136.62912216108003"/>
    <n v="5933.4432255581487"/>
    <n v="0"/>
    <n v="0"/>
    <n v="0"/>
    <n v="74293"/>
    <n v="4168"/>
    <n v="0"/>
    <n v="1"/>
    <n v="0"/>
    <n v="0"/>
    <n v="0"/>
    <n v="-7.5490866778028243E-2"/>
    <n v="7"/>
    <m/>
    <s v="Sahibpur Kamal"/>
    <m/>
    <n v="0"/>
  </r>
  <r>
    <s v="Munger"/>
    <s v="03-09 Apr"/>
    <n v="1011"/>
    <s v="Sahibpur Kamal"/>
    <x v="397"/>
    <s v="GOMUKH THATHA"/>
    <s v="MPG"/>
    <s v="Direct"/>
    <n v="488.19999999999993"/>
    <n v="15527.44"/>
    <n v="544.1"/>
    <n v="18832.328065188005"/>
    <n v="0"/>
    <n v="0"/>
    <n v="544.1"/>
    <n v="18832.328065188005"/>
    <n v="15527.44"/>
    <n v="0"/>
    <n v="0"/>
    <n v="3304.8880651880045"/>
    <n v="0"/>
    <n v="500"/>
    <n v="0"/>
    <n v="15027"/>
    <n v="0"/>
    <n v="0"/>
    <n v="0"/>
    <n v="0"/>
    <n v="134.72805374846382"/>
    <n v="69.742857142857133"/>
    <n v="-0.21284178623057015"/>
    <n v="1"/>
    <m/>
    <s v="Sahibpur Kamal"/>
    <m/>
    <n v="500"/>
  </r>
  <r>
    <s v="Munger"/>
    <s v="03-09 Apr"/>
    <n v="1011"/>
    <s v="Sahibpur Kamal"/>
    <x v="398"/>
    <s v="GOMUKH SANHA NAYATOLA"/>
    <s v="MPG"/>
    <s v="Direct"/>
    <n v="291.3"/>
    <n v="11280.89"/>
    <n v="420.09999999999997"/>
    <n v="16130.84553828"/>
    <n v="0"/>
    <n v="0"/>
    <n v="420.09999999999997"/>
    <n v="16130.84553828"/>
    <n v="11280.89"/>
    <n v="0"/>
    <n v="0"/>
    <n v="4849.9555382800008"/>
    <n v="0"/>
    <n v="0"/>
    <n v="0"/>
    <n v="11281"/>
    <n v="0"/>
    <n v="0"/>
    <n v="0"/>
    <n v="0"/>
    <n v="316.54649797459655"/>
    <n v="41.614285714285714"/>
    <n v="-0.42992667584561156"/>
    <n v="1"/>
    <m/>
    <s v="Sahibpur Kamal"/>
    <m/>
    <n v="0"/>
  </r>
  <r>
    <s v="Munger"/>
    <s v="03-09 Apr"/>
    <n v="1011"/>
    <s v="Sahibpur Kamal"/>
    <x v="399"/>
    <s v="Gomukh Durgapur"/>
    <s v="MPG"/>
    <s v="Direct"/>
    <n v="786.1"/>
    <n v="32319.880000000005"/>
    <n v="867.89999999999986"/>
    <n v="36025.654370846009"/>
    <n v="2.6"/>
    <n v="108.62325756000001"/>
    <n v="870.49999999999989"/>
    <n v="36134.277628406009"/>
    <n v="32319.880000000005"/>
    <n v="0"/>
    <n v="108.62325756000001"/>
    <n v="3814.3976284060045"/>
    <n v="0"/>
    <n v="0"/>
    <n v="0"/>
    <n v="32211"/>
    <n v="0"/>
    <n v="0"/>
    <n v="0"/>
    <n v="0"/>
    <n v="0"/>
    <n v="0"/>
    <n v="-0.11802016679535951"/>
    <n v="3"/>
    <m/>
    <s v="Sahibpur Kamal"/>
    <m/>
    <n v="0"/>
  </r>
  <r>
    <s v="Munger"/>
    <s v="03-09 Apr"/>
    <n v="1055"/>
    <s v="Matihani"/>
    <x v="400"/>
    <s v="Gomukh Singhpur Balahpur"/>
    <s v="vlc"/>
    <s v="Indirect"/>
    <n v="2797.4"/>
    <n v="106982.84000000001"/>
    <n v="0"/>
    <n v="0"/>
    <n v="0"/>
    <n v="0"/>
    <n v="0"/>
    <n v="0"/>
    <n v="106982.84000000001"/>
    <n v="0"/>
    <n v="0"/>
    <n v="0"/>
    <n v="0"/>
    <n v="0"/>
    <n v="0"/>
    <n v="0"/>
    <n v="0"/>
    <n v="106982.84000000001"/>
    <n v="0"/>
    <n v="0"/>
    <n v="0"/>
    <n v="0"/>
    <n v="0"/>
    <n v="0"/>
    <m/>
    <s v="Matihani"/>
    <m/>
    <n v="0"/>
  </r>
  <r>
    <s v="Munger"/>
    <s v="03-09 Apr"/>
    <n v="1054"/>
    <s v="Alauli "/>
    <x v="401"/>
    <s v="Gomukh Koniya"/>
    <s v="MPG"/>
    <s v="Direct"/>
    <n v="448.90000000000003"/>
    <n v="15719.410000000002"/>
    <n v="501"/>
    <n v="18998.239708800003"/>
    <n v="13"/>
    <n v="489.8658203999999"/>
    <n v="514"/>
    <n v="19488.105529200002"/>
    <n v="15719.410000000002"/>
    <n v="0"/>
    <n v="489.8658203999999"/>
    <n v="3768.6955292000002"/>
    <n v="0"/>
    <n v="0"/>
    <n v="0"/>
    <n v="15229"/>
    <n v="0"/>
    <n v="0"/>
    <n v="1"/>
    <n v="0"/>
    <n v="175.8584919135665"/>
    <n v="64.128571428571433"/>
    <n v="-0.23974789952040185"/>
    <n v="2"/>
    <m/>
    <s v="Alauli "/>
    <m/>
    <n v="0"/>
  </r>
  <r>
    <s v="Munger"/>
    <s v="03-09 Apr"/>
    <n v="1011"/>
    <s v="Sahibpur Kamal"/>
    <x v="402"/>
    <s v="GOMUKH ROHUA"/>
    <s v="MPG"/>
    <s v="Direct"/>
    <n v="445.00000000000006"/>
    <n v="16582.280000000002"/>
    <n v="440.52"/>
    <n v="16363.930778171703"/>
    <n v="5.63"/>
    <n v="212.47874366400001"/>
    <n v="446.15"/>
    <n v="16576.409521835703"/>
    <n v="16576.409521835703"/>
    <n v="0"/>
    <n v="212.47874366400001"/>
    <n v="0"/>
    <n v="0"/>
    <n v="0"/>
    <n v="0"/>
    <n v="16363"/>
    <n v="0"/>
    <n v="0"/>
    <n v="7"/>
    <n v="0"/>
    <n v="190.04410786516857"/>
    <n v="63.571428571428577"/>
    <n v="3.5402116984510748E-4"/>
    <n v="12"/>
    <m/>
    <s v="Sahibpur Kamal"/>
    <m/>
    <n v="0"/>
  </r>
  <r>
    <s v="Munger"/>
    <s v="03-09 Apr"/>
    <n v="1011"/>
    <s v="Sahibpur Kamal"/>
    <x v="403"/>
    <s v="GOMUKH LAXMIPUR"/>
    <s v="MPG"/>
    <s v="Direct"/>
    <n v="459.49999999999994"/>
    <n v="19887.750000000004"/>
    <n v="452.0200000000001"/>
    <n v="20139.79898976265"/>
    <n v="4.0199999999999996"/>
    <n v="174.30391044000004"/>
    <n v="456.04000000000008"/>
    <n v="20314.102900202652"/>
    <n v="19887.750000000004"/>
    <n v="0"/>
    <n v="174.30391044000004"/>
    <n v="426.35290020264802"/>
    <n v="0"/>
    <n v="0"/>
    <n v="0"/>
    <n v="19713"/>
    <n v="0"/>
    <n v="0"/>
    <n v="0"/>
    <n v="0"/>
    <n v="208.18297606093591"/>
    <n v="65.642857142857139"/>
    <n v="-2.1437965592017594E-2"/>
    <n v="12"/>
    <m/>
    <s v="Sahibpur Kamal"/>
    <m/>
    <n v="0"/>
  </r>
  <r>
    <s v="Munger"/>
    <s v="03-09 Apr"/>
    <n v="1054"/>
    <s v="Alauli "/>
    <x v="404"/>
    <s v="GOMUKH BACHOTA"/>
    <s v="MPG"/>
    <s v="Direct"/>
    <n v="163.9"/>
    <n v="6996.67"/>
    <n v="164.98"/>
    <n v="6657.3763048188011"/>
    <n v="0.90999999999999992"/>
    <n v="35.866857496800002"/>
    <n v="165.89"/>
    <n v="6693.2431623156008"/>
    <n v="6693.2431623156008"/>
    <n v="0"/>
    <n v="35.866857496800002"/>
    <n v="0"/>
    <n v="0"/>
    <n v="500"/>
    <n v="0"/>
    <n v="6158"/>
    <n v="0"/>
    <n v="0"/>
    <n v="303"/>
    <n v="0"/>
    <n v="457.70772263575356"/>
    <n v="23.414285714285715"/>
    <n v="4.3367321552166854E-2"/>
    <n v="4"/>
    <m/>
    <s v="Alauli "/>
    <m/>
    <n v="500"/>
  </r>
  <r>
    <s v="Munger"/>
    <s v="03-09 Apr"/>
    <n v="1054"/>
    <s v="Alauli "/>
    <x v="405"/>
    <s v="GOMUKH CHATAR"/>
    <s v="MPG"/>
    <s v="Direct"/>
    <n v="161.5"/>
    <n v="6433.59"/>
    <n v="162.1"/>
    <n v="6482.0273284800005"/>
    <n v="0"/>
    <n v="0"/>
    <n v="162.1"/>
    <n v="6482.0273284800005"/>
    <n v="6433.59"/>
    <n v="0"/>
    <n v="0"/>
    <n v="48.43732848000036"/>
    <n v="0"/>
    <n v="500"/>
    <n v="0"/>
    <n v="5934"/>
    <n v="0"/>
    <n v="0"/>
    <n v="0"/>
    <n v="0"/>
    <n v="429.03878823529413"/>
    <n v="23.071428571428573"/>
    <n v="-7.5288180440470035E-3"/>
    <n v="1"/>
    <m/>
    <s v="Alauli "/>
    <m/>
    <n v="500"/>
  </r>
  <r>
    <s v="Munger"/>
    <s v="03-09 Apr"/>
    <n v="1054"/>
    <s v="Alauli "/>
    <x v="406"/>
    <s v="GOMUKH BATHNAMA"/>
    <s v="MPG"/>
    <s v="Direct"/>
    <n v="3955.8999999999996"/>
    <n v="171879.22999999998"/>
    <n v="4219.6800000000012"/>
    <n v="175723.30659403326"/>
    <n v="8.2799999999999994"/>
    <n v="324.99566114400011"/>
    <n v="4227.9600000000009"/>
    <n v="176048.30225517726"/>
    <n v="171879.22999999998"/>
    <n v="0"/>
    <n v="324.99566114400011"/>
    <n v="4169.0722551772778"/>
    <n v="0"/>
    <n v="0"/>
    <n v="0"/>
    <n v="171554"/>
    <n v="0"/>
    <n v="0"/>
    <n v="0"/>
    <n v="0"/>
    <n v="0"/>
    <n v="0"/>
    <n v="-2.4255823435893203E-2"/>
    <n v="17"/>
    <m/>
    <s v="Alauli "/>
    <m/>
    <n v="0"/>
  </r>
  <r>
    <s v="Munger"/>
    <s v="03-09 Apr"/>
    <n v="1054"/>
    <s v="Alauli "/>
    <x v="407"/>
    <s v="GOMUKH TILAK NAGAR"/>
    <s v="MPG"/>
    <s v="Direct"/>
    <n v="283.20000000000005"/>
    <n v="11843.949999999999"/>
    <n v="279.63"/>
    <n v="11605.307000995812"/>
    <n v="5.51"/>
    <n v="229.72916315676005"/>
    <n v="285.14"/>
    <n v="11835.036164152572"/>
    <n v="11835.036164152572"/>
    <n v="0"/>
    <n v="229.72916315676005"/>
    <n v="0"/>
    <n v="0"/>
    <n v="0"/>
    <n v="0"/>
    <n v="11605"/>
    <n v="0"/>
    <n v="0"/>
    <n v="9"/>
    <n v="0"/>
    <n v="348.62700282485866"/>
    <n v="40.457142857142863"/>
    <n v="7.5260667660928375E-4"/>
    <n v="11"/>
    <m/>
    <s v="Alauli "/>
    <m/>
    <n v="0"/>
  </r>
  <r>
    <s v="Munger"/>
    <s v="03-09 Apr"/>
    <n v="1011"/>
    <s v="Sahibpur Kamal"/>
    <x v="408"/>
    <s v="Gomukh Thatha Purvi"/>
    <s v="MPG"/>
    <s v="Direct"/>
    <n v="553.1"/>
    <n v="20506.899999999998"/>
    <n v="603.72"/>
    <n v="23465.248135977239"/>
    <n v="0"/>
    <n v="0"/>
    <n v="603.72"/>
    <n v="23465.248135977239"/>
    <n v="20506.899999999998"/>
    <n v="0"/>
    <n v="0"/>
    <n v="2958.3481359772413"/>
    <n v="0"/>
    <n v="0"/>
    <n v="0"/>
    <n v="20507"/>
    <n v="0"/>
    <n v="0"/>
    <n v="0"/>
    <n v="0"/>
    <n v="108.93016127282587"/>
    <n v="79.01428571428572"/>
    <n v="-0.14426110899147318"/>
    <n v="14"/>
    <m/>
    <s v="Sahibpur Kamal"/>
    <m/>
    <n v="0"/>
  </r>
  <r>
    <s v="Munger"/>
    <s v="03-09 Apr"/>
    <n v="1011"/>
    <s v="Sahibpur Kamal"/>
    <x v="409"/>
    <s v="Gomukh Rahimpur Dakshin"/>
    <s v="MPG"/>
    <s v="Direct"/>
    <n v="7062.2"/>
    <n v="283125.13"/>
    <n v="3170.5399999999995"/>
    <n v="136096.51641897659"/>
    <n v="3961.1000000000004"/>
    <n v="155272.7434033"/>
    <n v="7131.6399999999994"/>
    <n v="291369.2598222766"/>
    <n v="283125.13"/>
    <n v="0"/>
    <n v="293.82602846499998"/>
    <n v="8244.1298222765909"/>
    <n v="0"/>
    <n v="0"/>
    <n v="0"/>
    <n v="127852"/>
    <n v="154979"/>
    <n v="0"/>
    <n v="0"/>
    <n v="0"/>
    <n v="0"/>
    <n v="0"/>
    <n v="-2.9118325958125267E-2"/>
    <n v="9"/>
    <m/>
    <s v="Sahibpur Kamal"/>
    <m/>
    <n v="0"/>
  </r>
  <r>
    <s v="Munger"/>
    <s v="03-09 Apr"/>
    <n v="1054"/>
    <s v="Alauli "/>
    <x v="410"/>
    <s v="GOMUKH MORKAHI"/>
    <s v="MPG"/>
    <s v="Direct"/>
    <n v="308.7"/>
    <n v="12403.429999999998"/>
    <n v="293.59999999999991"/>
    <n v="11831.524119360001"/>
    <n v="1.3800000000000001"/>
    <n v="55.01782321200001"/>
    <n v="294.9799999999999"/>
    <n v="11886.541942572001"/>
    <n v="11886.541942572001"/>
    <n v="0"/>
    <n v="55.01782321200001"/>
    <n v="0"/>
    <n v="0"/>
    <n v="0"/>
    <n v="0"/>
    <n v="11832"/>
    <n v="0"/>
    <n v="0"/>
    <n v="516"/>
    <n v="0"/>
    <n v="314.44523219954647"/>
    <n v="44.1"/>
    <n v="4.1672993472611809E-2"/>
    <n v="2"/>
    <m/>
    <s v="Alauli "/>
    <m/>
    <n v="0"/>
  </r>
  <r>
    <s v="Munger"/>
    <s v="03-09 Apr"/>
    <n v="1055"/>
    <s v="Matihani"/>
    <x v="411"/>
    <s v="GOMUKH HANSPUR"/>
    <s v="MPG"/>
    <s v="Direct"/>
    <n v="235.39999999999998"/>
    <n v="10628.369999999999"/>
    <n v="234.97000000000003"/>
    <n v="11556.041374950499"/>
    <n v="2.2399999999999998"/>
    <n v="133.04730847190001"/>
    <n v="237.21000000000004"/>
    <n v="11689.088683422398"/>
    <n v="10628.369999999999"/>
    <n v="0"/>
    <n v="133.04730847190001"/>
    <n v="1060.7186834223994"/>
    <n v="0"/>
    <n v="500"/>
    <n v="0"/>
    <n v="9995"/>
    <n v="0"/>
    <n v="0"/>
    <n v="0"/>
    <n v="0"/>
    <n v="419.53616839422256"/>
    <n v="33.628571428571426"/>
    <n v="-9.9800692243721234E-2"/>
    <n v="4"/>
    <m/>
    <s v="Matihani"/>
    <m/>
    <n v="500"/>
  </r>
  <r>
    <s v="Munger"/>
    <s v="03-09 Apr"/>
    <n v="1055"/>
    <s v="Matihani"/>
    <x v="412"/>
    <s v="GOMUKH NAYAGAON 2"/>
    <s v="MPG"/>
    <s v="Direct"/>
    <n v="270.59999999999997"/>
    <n v="14017.890000000001"/>
    <n v="267.2"/>
    <n v="14146.296034539402"/>
    <n v="4.82"/>
    <n v="268.50423210776006"/>
    <n v="272.02"/>
    <n v="14414.800266647162"/>
    <n v="14017.890000000001"/>
    <n v="0"/>
    <n v="268.50423210776006"/>
    <n v="396.91026664716082"/>
    <n v="0"/>
    <n v="0"/>
    <n v="0"/>
    <n v="13749"/>
    <n v="0"/>
    <n v="0"/>
    <n v="0"/>
    <n v="0"/>
    <n v="444.88410687361431"/>
    <n v="38.657142857142851"/>
    <n v="-2.8314551380212057E-2"/>
    <n v="6"/>
    <m/>
    <s v="Matihani"/>
    <m/>
    <n v="0"/>
  </r>
  <r>
    <s v="Munger"/>
    <s v="03-09 Apr"/>
    <n v="1054"/>
    <s v="Alauli "/>
    <x v="414"/>
    <s v="GOMUKH LABHGAON"/>
    <s v="MPG"/>
    <s v="Direct"/>
    <n v="559.5"/>
    <n v="19242.489999999998"/>
    <n v="577.12"/>
    <n v="19250.501014859401"/>
    <n v="0"/>
    <n v="0"/>
    <n v="577.12"/>
    <n v="19250.501014859401"/>
    <n v="19242.489999999998"/>
    <n v="0"/>
    <n v="0"/>
    <n v="8.0110148594030761"/>
    <n v="0"/>
    <n v="0"/>
    <n v="0"/>
    <n v="19242"/>
    <n v="0"/>
    <n v="0"/>
    <n v="0"/>
    <n v="0"/>
    <n v="96.642353708668438"/>
    <n v="79.928571428571431"/>
    <n v="-4.1631903456377405E-4"/>
    <n v="2"/>
    <m/>
    <s v="Alauli "/>
    <m/>
    <n v="0"/>
  </r>
  <r>
    <s v="Munger"/>
    <s v="03-09 Apr"/>
    <n v="1054"/>
    <s v="Alauli "/>
    <x v="415"/>
    <s v="GOMUKH CHANDPURA"/>
    <s v="MPG"/>
    <s v="Direct"/>
    <n v="582.29999999999995"/>
    <n v="21399.32"/>
    <n v="583.29999999999995"/>
    <n v="21666.322798758003"/>
    <n v="0"/>
    <n v="0"/>
    <n v="583.29999999999995"/>
    <n v="21666.322798758003"/>
    <n v="21399.32"/>
    <n v="0"/>
    <n v="0"/>
    <n v="267.00279875800334"/>
    <n v="0"/>
    <n v="0"/>
    <n v="0"/>
    <n v="21399"/>
    <n v="0"/>
    <n v="0"/>
    <n v="0"/>
    <n v="0"/>
    <n v="86.508671269105292"/>
    <n v="83.185714285714283"/>
    <n v="-1.2477162767695579E-2"/>
    <n v="5"/>
    <m/>
    <s v="Alauli "/>
    <m/>
    <n v="0"/>
  </r>
  <r>
    <s v="Munger"/>
    <s v="03-09 Apr"/>
    <n v="1054"/>
    <s v="Alauli "/>
    <x v="416"/>
    <s v="GOMUKH BADIL TOL"/>
    <s v="MPG"/>
    <s v="Direct"/>
    <n v="736.50000000000011"/>
    <n v="29306.63"/>
    <n v="689.96999999999991"/>
    <n v="29031.501656401269"/>
    <n v="34.72"/>
    <n v="1392.1064962161001"/>
    <n v="724.68999999999994"/>
    <n v="30423.608152617369"/>
    <n v="29306.63"/>
    <n v="0"/>
    <n v="965.42516113170018"/>
    <n v="1116.9781526173683"/>
    <n v="0"/>
    <n v="0"/>
    <n v="0"/>
    <n v="27915"/>
    <n v="426"/>
    <n v="0"/>
    <n v="0"/>
    <n v="0"/>
    <n v="0"/>
    <n v="0"/>
    <n v="-3.8113496932856775E-2"/>
    <n v="10"/>
    <m/>
    <s v="Alauli "/>
    <m/>
    <n v="0"/>
  </r>
  <r>
    <s v="Munger"/>
    <s v="03-09 Apr"/>
    <n v="1054"/>
    <s v="Alauli "/>
    <x v="417"/>
    <s v="GOMUKH TRIBHUVAN TOLA"/>
    <s v="MPG"/>
    <s v="Direct"/>
    <n v="318.10000000000002"/>
    <n v="11633.099999999999"/>
    <n v="320.55999999999995"/>
    <n v="12216.398465314331"/>
    <n v="0"/>
    <n v="0"/>
    <n v="320.55999999999995"/>
    <n v="12216.398465314331"/>
    <n v="11633.099999999999"/>
    <n v="0"/>
    <n v="0"/>
    <n v="583.29846531433213"/>
    <n v="0"/>
    <n v="0"/>
    <n v="0"/>
    <n v="11633"/>
    <n v="0"/>
    <n v="0"/>
    <n v="0"/>
    <n v="0"/>
    <n v="279.32605407104677"/>
    <n v="45.442857142857143"/>
    <n v="-5.0141274923651669E-2"/>
    <n v="13"/>
    <m/>
    <s v="Alauli "/>
    <m/>
    <n v="0"/>
  </r>
  <r>
    <s v="Munger"/>
    <s v="03-09 Apr"/>
    <n v="1054"/>
    <s v="Alauli "/>
    <x v="418"/>
    <s v="GOMUKH SANTOSHPUL"/>
    <s v="MPG"/>
    <s v="Direct"/>
    <n v="1192.4000000000001"/>
    <n v="51271.929999999993"/>
    <n v="30.400000000000002"/>
    <n v="1318.9662771912003"/>
    <n v="1162"/>
    <n v="50169.752448512401"/>
    <n v="1192.4000000000001"/>
    <n v="51488.718725703598"/>
    <n v="51271.929999999993"/>
    <n v="0"/>
    <n v="0"/>
    <n v="216.78872570360545"/>
    <n v="0"/>
    <n v="0"/>
    <n v="0"/>
    <n v="1102"/>
    <n v="50170"/>
    <n v="0"/>
    <n v="0"/>
    <n v="0"/>
    <n v="0"/>
    <n v="0"/>
    <n v="-4.2282146528052579E-3"/>
    <n v="6"/>
    <m/>
    <s v="Alauli "/>
    <m/>
    <n v="0"/>
  </r>
  <r>
    <s v="Munger"/>
    <s v="03-09 Apr"/>
    <n v="1054"/>
    <s v="Alauli "/>
    <x v="419"/>
    <s v="GOMUKH AHUNA"/>
    <s v="MPG"/>
    <s v="Direct"/>
    <n v="381.90000000000003"/>
    <n v="13887.840000000002"/>
    <n v="391.51"/>
    <n v="13887.209358316803"/>
    <n v="0"/>
    <n v="0"/>
    <n v="391.51"/>
    <n v="13887.209358316803"/>
    <n v="13887.209358316803"/>
    <n v="0"/>
    <n v="0"/>
    <n v="0"/>
    <n v="0"/>
    <n v="500"/>
    <n v="0"/>
    <n v="13387"/>
    <n v="0"/>
    <n v="0"/>
    <n v="1"/>
    <n v="0"/>
    <n v="231.35490463472109"/>
    <n v="54.557142857142864"/>
    <n v="4.5409630525656133E-5"/>
    <n v="1"/>
    <m/>
    <s v="Alauli "/>
    <m/>
    <n v="500"/>
  </r>
  <r>
    <s v="Munger"/>
    <s v="03-09 Apr"/>
    <n v="1055"/>
    <s v="Matihani"/>
    <x v="420"/>
    <s v="GOMUKH SHADIPUR"/>
    <s v="MPG"/>
    <s v="Direct"/>
    <n v="986.99999999999989"/>
    <n v="40262.29"/>
    <n v="986.55000000000018"/>
    <n v="39507.537107065909"/>
    <n v="14.780000000000001"/>
    <n v="633.04491578128011"/>
    <n v="1001.3300000000002"/>
    <n v="40140.582022847193"/>
    <n v="40140.582022847193"/>
    <n v="0"/>
    <n v="633.04491578128011"/>
    <n v="0"/>
    <n v="0"/>
    <n v="0"/>
    <n v="0"/>
    <n v="39506"/>
    <n v="0"/>
    <n v="0"/>
    <n v="123"/>
    <n v="0"/>
    <n v="0"/>
    <n v="0"/>
    <n v="3.0228776642562522E-3"/>
    <n v="12"/>
    <m/>
    <s v="Matihani"/>
    <m/>
    <n v="0"/>
  </r>
  <r>
    <s v="Munger"/>
    <s v="03-09 Apr"/>
    <n v="1055"/>
    <s v="Matihani"/>
    <x v="421"/>
    <s v="GOMUKH ASHRAPHA DIYARA"/>
    <s v="MPG"/>
    <s v="Direct"/>
    <n v="733.59999999999991"/>
    <n v="29253.360000000001"/>
    <n v="725.3399999999998"/>
    <n v="28788.241242880638"/>
    <n v="8.07"/>
    <n v="319.69877672699999"/>
    <n v="733.40999999999985"/>
    <n v="29107.940019607639"/>
    <n v="29107.940019607639"/>
    <n v="0"/>
    <n v="319.69877672699999"/>
    <n v="0"/>
    <n v="0"/>
    <n v="0"/>
    <n v="0"/>
    <n v="28788"/>
    <n v="0"/>
    <n v="0"/>
    <n v="146"/>
    <n v="0"/>
    <n v="0"/>
    <n v="0"/>
    <n v="4.9710522275855503E-3"/>
    <n v="12"/>
    <m/>
    <s v="Matihani"/>
    <m/>
    <n v="0"/>
  </r>
  <r>
    <s v="Munger"/>
    <s v="03-09 Apr"/>
    <n v="1055"/>
    <s v="Matihani"/>
    <x v="422"/>
    <s v="GOMUKH MANIAPPA"/>
    <s v="MPG"/>
    <s v="Direct"/>
    <n v="1844.2"/>
    <n v="70846.759999999995"/>
    <n v="1837.73"/>
    <n v="70459.176825430375"/>
    <n v="4.74"/>
    <n v="172.51463176200002"/>
    <n v="1842.47"/>
    <n v="70631.69145719237"/>
    <n v="70631.69145719237"/>
    <n v="0"/>
    <n v="172.51463176200002"/>
    <n v="0"/>
    <n v="0"/>
    <n v="0"/>
    <n v="0"/>
    <n v="70460"/>
    <n v="0"/>
    <n v="0"/>
    <n v="214"/>
    <n v="0"/>
    <n v="0"/>
    <n v="0"/>
    <n v="3.035686357535968E-3"/>
    <n v="12"/>
    <m/>
    <s v="Matihani"/>
    <m/>
    <n v="0"/>
  </r>
  <r>
    <s v="Munger"/>
    <s v="03-09 Apr"/>
    <n v="1054"/>
    <s v="Alauli "/>
    <x v="423"/>
    <s v="GOMUKH D SANJHAUTI"/>
    <s v="MPG"/>
    <s v="Direct"/>
    <n v="879.30000000000007"/>
    <n v="32063.25"/>
    <n v="1045"/>
    <n v="41380.523514"/>
    <n v="0"/>
    <n v="0"/>
    <n v="1045"/>
    <n v="41380.523514"/>
    <n v="32063.25"/>
    <n v="0"/>
    <n v="0"/>
    <n v="9317.2735140000004"/>
    <n v="0"/>
    <n v="0"/>
    <n v="0"/>
    <n v="32063"/>
    <n v="0"/>
    <n v="0"/>
    <n v="0"/>
    <n v="0"/>
    <n v="0"/>
    <n v="0"/>
    <n v="-0.29059042717129424"/>
    <n v="3"/>
    <m/>
    <s v="Alauli "/>
    <m/>
    <n v="0"/>
  </r>
  <r>
    <s v="Munger"/>
    <s v="03-09 Apr"/>
    <n v="1054"/>
    <s v="Alauli "/>
    <x v="424"/>
    <s v="GOMUKH DHUSMURI BISHANPUR"/>
    <s v="MPG"/>
    <s v="Direct"/>
    <n v="137.19999999999999"/>
    <n v="5491.22"/>
    <n v="142.61000000000001"/>
    <n v="6710.3223669288591"/>
    <n v="0"/>
    <n v="0"/>
    <n v="142.61000000000001"/>
    <n v="6710.3223669288591"/>
    <n v="5491.22"/>
    <n v="0"/>
    <n v="0"/>
    <n v="1219.1023669288588"/>
    <n v="0"/>
    <n v="0"/>
    <n v="0"/>
    <n v="5491"/>
    <n v="0"/>
    <n v="0"/>
    <n v="0"/>
    <n v="0"/>
    <n v="450.50417142857151"/>
    <n v="19.599999999999998"/>
    <n v="-0.22200938351201716"/>
    <n v="1"/>
    <m/>
    <s v="Alauli "/>
    <m/>
    <n v="0"/>
  </r>
  <r>
    <s v="Munger"/>
    <s v="03-09 Apr"/>
    <n v="1054"/>
    <s v="Alauli "/>
    <x v="425"/>
    <s v="GOMUKH ANANDPUR PARAS"/>
    <s v="MPG"/>
    <s v="Direct"/>
    <n v="2322.2000000000003"/>
    <n v="91615.37"/>
    <n v="2359"/>
    <n v="93879.047734560008"/>
    <n v="0"/>
    <n v="0"/>
    <n v="2359"/>
    <n v="93879.047734560008"/>
    <n v="91615.37"/>
    <n v="0"/>
    <n v="0"/>
    <n v="2263.6777345600131"/>
    <n v="0"/>
    <n v="0"/>
    <n v="0"/>
    <n v="91615"/>
    <n v="0"/>
    <n v="0"/>
    <n v="0"/>
    <n v="0"/>
    <n v="0"/>
    <n v="0"/>
    <n v="-2.4708493067920952E-2"/>
    <n v="2"/>
    <m/>
    <s v="Alauli "/>
    <m/>
    <n v="0"/>
  </r>
  <r>
    <s v="Munger"/>
    <s v="03-09 Apr"/>
    <n v="1054"/>
    <s v="Alauli "/>
    <x v="426"/>
    <s v="Gomukh Bishanpur"/>
    <s v="MPG"/>
    <s v="Direct"/>
    <n v="256.40000000000003"/>
    <n v="9978.2400000000016"/>
    <n v="254.66000000000003"/>
    <n v="10669.44466639639"/>
    <n v="0"/>
    <n v="0"/>
    <n v="254.66000000000003"/>
    <n v="10669.44466639639"/>
    <n v="9978.2400000000016"/>
    <n v="0"/>
    <n v="0"/>
    <n v="691.20466639638835"/>
    <n v="0"/>
    <n v="500"/>
    <n v="0"/>
    <n v="9478"/>
    <n v="0"/>
    <n v="0"/>
    <n v="0"/>
    <n v="0"/>
    <n v="345.26889734789393"/>
    <n v="36.628571428571433"/>
    <n v="-6.9271200772519831E-2"/>
    <n v="2"/>
    <m/>
    <s v="Alauli "/>
    <m/>
    <n v="500"/>
  </r>
  <r>
    <s v="Munger"/>
    <s v="03-09 Apr"/>
    <n v="1054"/>
    <s v="Alauli "/>
    <x v="427"/>
    <s v="GOMUKH BISHANPUR 2"/>
    <s v="MPG"/>
    <s v="Direct"/>
    <n v="500.7"/>
    <n v="20282.929999999997"/>
    <n v="498.40999999999985"/>
    <n v="20417.520307247723"/>
    <n v="5.16"/>
    <n v="216.36658882080005"/>
    <n v="503.56999999999988"/>
    <n v="20633.886896068525"/>
    <n v="20282.929999999997"/>
    <n v="0"/>
    <n v="216.36658882080005"/>
    <n v="350.95689606852829"/>
    <n v="0"/>
    <n v="0"/>
    <n v="0"/>
    <n v="20067"/>
    <n v="0"/>
    <n v="0"/>
    <n v="0"/>
    <n v="0"/>
    <n v="161.46946071499897"/>
    <n v="71.528571428571425"/>
    <n v="-1.7303066966583642E-2"/>
    <n v="11"/>
    <m/>
    <s v="Alauli "/>
    <m/>
    <n v="0"/>
  </r>
  <r>
    <s v="Munger"/>
    <s v="03-09 Apr"/>
    <n v="1055"/>
    <s v="Matihani"/>
    <x v="428"/>
    <s v="DAYA DEVI"/>
    <s v="vlc"/>
    <s v="Indirect"/>
    <n v="99.399999999999991"/>
    <n v="3853.19"/>
    <n v="0"/>
    <n v="0"/>
    <n v="0"/>
    <n v="0"/>
    <n v="0"/>
    <n v="0"/>
    <n v="3853.19"/>
    <n v="0"/>
    <n v="0"/>
    <n v="0"/>
    <n v="0"/>
    <n v="0"/>
    <n v="0"/>
    <n v="0"/>
    <n v="0"/>
    <n v="3853.19"/>
    <n v="0"/>
    <n v="0"/>
    <n v="465.63901690140847"/>
    <n v="14.2"/>
    <n v="0"/>
    <n v="0"/>
    <m/>
    <s v="Matihani"/>
    <m/>
    <n v="0"/>
  </r>
  <r>
    <s v="Munger"/>
    <s v="03-09 Apr"/>
    <n v="1054"/>
    <s v="Alauli "/>
    <x v="429"/>
    <s v="GOMUKH GHAMARIYA"/>
    <s v="MPG"/>
    <s v="Direct"/>
    <n v="262"/>
    <n v="10867.479999999998"/>
    <n v="258.48"/>
    <n v="11133.166543050022"/>
    <n v="4.05"/>
    <n v="192.94861500680003"/>
    <n v="262.53000000000003"/>
    <n v="11326.115158056822"/>
    <n v="10867.479999999998"/>
    <n v="0"/>
    <n v="192.94861500680003"/>
    <n v="458.63515805682437"/>
    <n v="0"/>
    <n v="0"/>
    <n v="0"/>
    <n v="10674"/>
    <n v="0"/>
    <n v="0"/>
    <n v="1"/>
    <s v="Release1"/>
    <n v="363.35543816793887"/>
    <n v="37.428571428571431"/>
    <n v="-4.2202530674712489E-2"/>
    <n v="6"/>
    <m/>
    <s v="Alauli "/>
    <m/>
    <n v="0"/>
  </r>
  <r>
    <s v="Munger"/>
    <s v="03-09 Apr"/>
    <n v="1054"/>
    <s v="Alauli "/>
    <x v="430"/>
    <s v="GOMUKH MEGHAUMA"/>
    <s v="MPG"/>
    <s v="Direct"/>
    <n v="999.2"/>
    <n v="40904.930000000008"/>
    <n v="983.68999999999983"/>
    <n v="40984.463774278855"/>
    <n v="12.73"/>
    <n v="567.92119728695013"/>
    <n v="996.41999999999985"/>
    <n v="41552.384971565807"/>
    <n v="40904.930000000008"/>
    <n v="0"/>
    <n v="567.92119728695013"/>
    <n v="647.4549715657995"/>
    <n v="0"/>
    <n v="0"/>
    <n v="0"/>
    <n v="40337"/>
    <n v="0"/>
    <n v="0"/>
    <n v="0"/>
    <n v="0"/>
    <n v="0"/>
    <n v="0"/>
    <n v="-1.5828286995376827E-2"/>
    <n v="23"/>
    <m/>
    <s v="Alauli "/>
    <m/>
    <n v="0"/>
  </r>
  <r>
    <s v="Munger"/>
    <s v="03-09 Apr"/>
    <n v="1054"/>
    <s v="Alauli "/>
    <x v="431"/>
    <s v="GOMUKH BEHORBA"/>
    <s v="MPG"/>
    <s v="Direct"/>
    <n v="1199.3000000000002"/>
    <n v="44244.810000000005"/>
    <n v="1614.19"/>
    <n v="65335.817162384992"/>
    <n v="0"/>
    <n v="0"/>
    <n v="1614.19"/>
    <n v="65335.817162384992"/>
    <n v="44244.810000000005"/>
    <n v="0"/>
    <n v="0"/>
    <n v="21091.007162384987"/>
    <n v="0"/>
    <n v="0"/>
    <n v="0"/>
    <n v="44245"/>
    <n v="0"/>
    <n v="0"/>
    <n v="0"/>
    <n v="0"/>
    <n v="0"/>
    <n v="0"/>
    <n v="-0.47668884016871099"/>
    <n v="6"/>
    <m/>
    <s v="Alauli "/>
    <m/>
    <n v="0"/>
  </r>
  <r>
    <s v="Munger"/>
    <s v="03-09 Apr"/>
    <n v="1055"/>
    <s v="Matihani"/>
    <x v="432"/>
    <s v="GOMUKH SONAPUR BHARAT"/>
    <s v="MPG"/>
    <s v="Direct"/>
    <n v="80.099999999999994"/>
    <n v="3301.8999999999996"/>
    <n v="108.54"/>
    <n v="4547.5244218799999"/>
    <n v="0"/>
    <n v="0"/>
    <n v="108.54"/>
    <n v="4547.5244218799999"/>
    <n v="3301.8999999999996"/>
    <n v="0"/>
    <n v="0"/>
    <n v="1245.6244218800002"/>
    <n v="0"/>
    <n v="0"/>
    <n v="0"/>
    <n v="3302"/>
    <n v="0"/>
    <n v="0"/>
    <n v="0"/>
    <n v="0"/>
    <n v="511.07311111111125"/>
    <n v="11.442857142857141"/>
    <n v="-0.37724474450467921"/>
    <n v="2"/>
    <m/>
    <s v="Matihani"/>
    <m/>
    <n v="0"/>
  </r>
  <r>
    <s v="Munger"/>
    <s v="03-09 Apr"/>
    <n v="1011"/>
    <s v="Sahibpur Kamal"/>
    <x v="433"/>
    <s v="GOMUKH SAIDPUR SAMASTIPUR"/>
    <s v="MPG"/>
    <s v="Direct"/>
    <n v="4991.6000000000013"/>
    <n v="196716.25999999998"/>
    <n v="5017.5"/>
    <n v="198608.22285545885"/>
    <n v="0"/>
    <n v="0"/>
    <n v="5017.5"/>
    <n v="198608.22285545885"/>
    <n v="196716.25999999998"/>
    <n v="0"/>
    <n v="0"/>
    <n v="1891.9628554588708"/>
    <n v="0"/>
    <n v="0"/>
    <n v="0"/>
    <n v="196716"/>
    <n v="0"/>
    <n v="0"/>
    <n v="0"/>
    <n v="0"/>
    <n v="0"/>
    <n v="0"/>
    <n v="-9.6177248157263209E-3"/>
    <n v="5"/>
    <m/>
    <s v="Sahibpur Kamal"/>
    <m/>
    <n v="0"/>
  </r>
  <r>
    <s v="Munger"/>
    <s v="03-09 Apr"/>
    <n v="1054"/>
    <s v="Alauli "/>
    <x v="434"/>
    <s v="GOMUKH SAHARBANNI"/>
    <s v="MPG"/>
    <s v="Direct"/>
    <n v="129.69999999999999"/>
    <n v="4953.93"/>
    <n v="260"/>
    <n v="10717.371720000001"/>
    <n v="0"/>
    <n v="0"/>
    <n v="260"/>
    <n v="10717.371720000001"/>
    <n v="4953.93"/>
    <n v="0"/>
    <n v="0"/>
    <n v="5763.4417200000007"/>
    <n v="0"/>
    <n v="0"/>
    <n v="0"/>
    <n v="4954"/>
    <n v="0"/>
    <n v="0"/>
    <n v="0"/>
    <n v="0"/>
    <n v="435.65555574402475"/>
    <n v="18.528571428571428"/>
    <n v="-1.1634079851754062"/>
    <n v="1"/>
    <m/>
    <s v="Alauli "/>
    <m/>
    <n v="0"/>
  </r>
  <r>
    <s v="Munger"/>
    <s v="03-09 Apr"/>
    <n v="1054"/>
    <s v="Alauli "/>
    <x v="435"/>
    <s v="GOMUKH PHULTAURA"/>
    <s v="MPG"/>
    <s v="Direct"/>
    <n v="385.2"/>
    <n v="14722.439999999999"/>
    <n v="98.929999999999993"/>
    <n v="4577.7527203777008"/>
    <n v="287.64000000000004"/>
    <n v="12267.227047183502"/>
    <n v="386.57000000000005"/>
    <n v="16844.979767561203"/>
    <n v="14722.439999999999"/>
    <n v="0"/>
    <n v="0"/>
    <n v="2122.5397675612039"/>
    <n v="0"/>
    <n v="0"/>
    <n v="0"/>
    <n v="2455"/>
    <n v="12267"/>
    <n v="0"/>
    <n v="0"/>
    <n v="0"/>
    <n v="240.6346890965732"/>
    <n v="55.028571428571425"/>
    <n v="-0.14417037988004733"/>
    <n v="4"/>
    <m/>
    <s v="Alauli "/>
    <m/>
    <n v="0"/>
  </r>
  <r>
    <s v="Munger"/>
    <s v="03-09 Apr"/>
    <n v="1011"/>
    <s v="Sahibpur Kamal"/>
    <x v="436"/>
    <s v="Jangli Tol Vlc "/>
    <s v="vlc"/>
    <s v="Indirect"/>
    <n v="1718.2"/>
    <n v="69050.570000000007"/>
    <n v="0"/>
    <n v="0"/>
    <n v="0"/>
    <n v="0"/>
    <n v="0"/>
    <n v="0"/>
    <n v="69050.570000000007"/>
    <n v="0"/>
    <n v="0"/>
    <n v="0"/>
    <n v="0"/>
    <n v="0"/>
    <n v="0"/>
    <n v="0"/>
    <n v="0"/>
    <n v="69050.570000000007"/>
    <n v="0"/>
    <n v="0"/>
    <n v="0"/>
    <n v="0"/>
    <n v="0"/>
    <n v="0"/>
    <m/>
    <s v="Sahibpur Kamal"/>
    <m/>
    <n v="0"/>
  </r>
  <r>
    <s v="Munger"/>
    <s v="03-09 Apr"/>
    <n v="1055"/>
    <s v="Matihani"/>
    <x v="437"/>
    <s v="DILKHUSH KUMAR "/>
    <s v="vlc"/>
    <s v="Indirect"/>
    <n v="355.4"/>
    <n v="13060.490000000002"/>
    <n v="0"/>
    <n v="0"/>
    <n v="0"/>
    <n v="0"/>
    <n v="0"/>
    <n v="0"/>
    <n v="13060.490000000002"/>
    <n v="0"/>
    <n v="0"/>
    <n v="0"/>
    <n v="0"/>
    <n v="0"/>
    <n v="0"/>
    <n v="0"/>
    <n v="0"/>
    <n v="13060.490000000002"/>
    <n v="0"/>
    <n v="0"/>
    <n v="253.27207957231295"/>
    <n v="50.771428571428565"/>
    <n v="0"/>
    <n v="0"/>
    <m/>
    <s v="Matihani"/>
    <m/>
    <n v="0"/>
  </r>
  <r>
    <s v="Munger"/>
    <s v="03-09 Apr"/>
    <n v="1011"/>
    <s v="Sahibpur Kamal"/>
    <x v="438"/>
    <s v="GOMUKH CHOWKI 2"/>
    <s v="MPG"/>
    <s v="Direct"/>
    <n v="5865.9"/>
    <n v="231496.14000000004"/>
    <n v="5168.68"/>
    <n v="203720.88258214807"/>
    <n v="702.5"/>
    <n v="28628.090479639359"/>
    <n v="5871.18"/>
    <n v="232348.97306178743"/>
    <n v="231496.14000000004"/>
    <n v="0"/>
    <n v="0"/>
    <n v="852.83306178738712"/>
    <n v="0"/>
    <n v="0"/>
    <n v="0"/>
    <n v="202868"/>
    <n v="28628"/>
    <n v="0"/>
    <n v="0"/>
    <n v="0"/>
    <n v="0"/>
    <n v="0"/>
    <n v="-3.6840055380076187E-3"/>
    <n v="27"/>
    <m/>
    <s v="Sahibpur Kamal"/>
    <m/>
    <n v="0"/>
  </r>
  <r>
    <s v="Munger"/>
    <s v="03-09 Apr"/>
    <n v="1011"/>
    <s v="Sahibpur Kamal"/>
    <x v="439"/>
    <s v="GOMUKH MOHABA"/>
    <s v="MPG"/>
    <s v="Direct"/>
    <n v="1542.4"/>
    <n v="57598.52"/>
    <n v="1475.42"/>
    <n v="54962.864121132006"/>
    <n v="67.8"/>
    <n v="2530.8844121880002"/>
    <n v="1543.22"/>
    <n v="57493.748533320009"/>
    <n v="57493.748533320009"/>
    <n v="0"/>
    <n v="162.94290843600004"/>
    <n v="0"/>
    <n v="0"/>
    <n v="0"/>
    <n v="0"/>
    <n v="54964"/>
    <n v="2368"/>
    <n v="0"/>
    <n v="104"/>
    <n v="0"/>
    <n v="0"/>
    <n v="0"/>
    <n v="1.8189958123921849E-3"/>
    <n v="5"/>
    <m/>
    <s v="Sahibpur Kamal"/>
    <m/>
    <n v="0"/>
  </r>
  <r>
    <s v="Munger"/>
    <s v="03-09 Apr"/>
    <n v="1011"/>
    <s v="Sahibpur Kamal"/>
    <x v="440"/>
    <s v="SANHA VLC"/>
    <s v="vlc"/>
    <s v="Indirect"/>
    <n v="962.40000000000009"/>
    <n v="34130.61"/>
    <n v="0"/>
    <n v="0"/>
    <n v="0"/>
    <n v="0"/>
    <n v="0"/>
    <n v="0"/>
    <n v="34130.61"/>
    <n v="0"/>
    <n v="0"/>
    <n v="0"/>
    <n v="0"/>
    <n v="0"/>
    <n v="0"/>
    <n v="0"/>
    <n v="0"/>
    <n v="34130.61"/>
    <n v="0"/>
    <n v="0"/>
    <n v="0"/>
    <n v="0"/>
    <n v="0"/>
    <n v="0"/>
    <m/>
    <s v="Sahibpur Kamal"/>
    <m/>
    <n v="0"/>
  </r>
  <r>
    <s v="Munger"/>
    <s v="03-09 Apr"/>
    <n v="1011"/>
    <s v="Sahibpur Kamal"/>
    <x v="441"/>
    <s v="MOHANPUR VLC"/>
    <s v="vlc"/>
    <s v="Indirect"/>
    <n v="812.80000000000007"/>
    <n v="28926.870000000003"/>
    <n v="0"/>
    <n v="0"/>
    <n v="0"/>
    <n v="0"/>
    <n v="0"/>
    <n v="0"/>
    <n v="28926.870000000003"/>
    <n v="0"/>
    <n v="0"/>
    <n v="0"/>
    <n v="0"/>
    <n v="0"/>
    <n v="0"/>
    <n v="0"/>
    <n v="0"/>
    <n v="28926.870000000003"/>
    <n v="0"/>
    <n v="0"/>
    <n v="0"/>
    <n v="0"/>
    <n v="0"/>
    <n v="0"/>
    <m/>
    <s v="Sahibpur Kamal"/>
    <m/>
    <n v="0"/>
  </r>
  <r>
    <s v="Munger"/>
    <s v="03-09 Apr"/>
    <n v="1011"/>
    <s v="Sahibpur Kamal"/>
    <x v="442"/>
    <s v="GOMUKH JANGLITOL"/>
    <s v="MPG"/>
    <s v="Direct"/>
    <n v="284"/>
    <n v="11985.470000000001"/>
    <n v="275"/>
    <n v="11616.308550000002"/>
    <n v="0"/>
    <n v="0"/>
    <n v="275"/>
    <n v="11616.308550000002"/>
    <n v="11616.308550000002"/>
    <n v="0"/>
    <n v="0"/>
    <n v="0"/>
    <n v="0"/>
    <n v="500"/>
    <n v="0"/>
    <n v="11116"/>
    <n v="0"/>
    <n v="0"/>
    <n v="369"/>
    <s v="Release3"/>
    <n v="351.12362816901413"/>
    <n v="40.571428571428569"/>
    <n v="3.0800748739932566E-2"/>
    <n v="3"/>
    <m/>
    <s v="Sahibpur Kamal"/>
    <m/>
    <n v="500"/>
  </r>
  <r>
    <s v="Munger"/>
    <s v="03-09 Apr"/>
    <n v="1011"/>
    <s v="Sahibpur Kamal"/>
    <x v="443"/>
    <s v="Hiratol VLC"/>
    <s v="vlc"/>
    <s v="Indirect"/>
    <n v="274.5"/>
    <n v="9785.4800000000014"/>
    <n v="0"/>
    <n v="0"/>
    <n v="0"/>
    <n v="0"/>
    <n v="0"/>
    <n v="0"/>
    <n v="9785.4800000000014"/>
    <n v="0"/>
    <n v="0"/>
    <n v="0"/>
    <n v="0"/>
    <n v="0"/>
    <n v="0"/>
    <n v="0"/>
    <n v="0"/>
    <n v="9785.4800000000014"/>
    <n v="0"/>
    <n v="0"/>
    <n v="303.36770418943541"/>
    <n v="39.214285714285715"/>
    <n v="0"/>
    <n v="0"/>
    <m/>
    <s v="Sahibpur Kamal"/>
    <m/>
    <n v="0"/>
  </r>
  <r>
    <s v="Munger"/>
    <s v="03-09 Apr"/>
    <n v="1011"/>
    <s v="Sahibpur Kamal"/>
    <x v="444"/>
    <s v="Gomukh Raghunathpur 2 "/>
    <s v="MPG"/>
    <s v="Direct"/>
    <n v="50.300000000000004"/>
    <n v="2271.8399999999997"/>
    <n v="49.400000000000006"/>
    <n v="2283.5088734512801"/>
    <n v="0"/>
    <n v="0"/>
    <n v="49.400000000000006"/>
    <n v="2283.5088734512801"/>
    <n v="2271.8399999999997"/>
    <n v="0"/>
    <n v="0"/>
    <n v="11.668873451280433"/>
    <n v="0"/>
    <n v="0"/>
    <n v="0"/>
    <n v="2272"/>
    <n v="0"/>
    <n v="0"/>
    <n v="0"/>
    <n v="0"/>
    <n v="586.8844723658051"/>
    <n v="7.1857142857142859"/>
    <n v="-5.1363095338053891E-3"/>
    <n v="1"/>
    <m/>
    <s v="Sahibpur Kamal"/>
    <m/>
    <n v="0"/>
  </r>
  <r>
    <s v="Munger"/>
    <s v="03-09 Apr"/>
    <n v="1011"/>
    <s v="Sahibpur Kamal"/>
    <x v="445"/>
    <s v="GOMUKH BARBIGHI"/>
    <s v="MPG"/>
    <s v="Direct"/>
    <n v="1658.7999999999997"/>
    <n v="62353.5"/>
    <n v="1653.1999999999998"/>
    <n v="63965.652121799998"/>
    <n v="8.1999999999999993"/>
    <n v="319.39627104000004"/>
    <n v="1661.3999999999999"/>
    <n v="64285.048392839999"/>
    <n v="62353.5"/>
    <n v="0"/>
    <n v="319.39627104000004"/>
    <n v="1931.548392839999"/>
    <n v="0"/>
    <n v="0"/>
    <n v="0"/>
    <n v="62034"/>
    <n v="0"/>
    <n v="0"/>
    <n v="0"/>
    <n v="0"/>
    <n v="0"/>
    <n v="0"/>
    <n v="-3.0977385276528165E-2"/>
    <n v="3"/>
    <m/>
    <s v="Sahibpur Kamal"/>
    <m/>
    <n v="0"/>
  </r>
  <r>
    <s v="Munger"/>
    <s v="03-09 Apr"/>
    <n v="1011"/>
    <s v="Sahibpur Kamal"/>
    <x v="446"/>
    <s v="Tetri"/>
    <s v="MPG"/>
    <s v="Direct"/>
    <n v="150.4"/>
    <n v="7424.89"/>
    <n v="146.5"/>
    <n v="7440.2662117763002"/>
    <n v="0"/>
    <n v="0"/>
    <n v="146.5"/>
    <n v="7440.2662117763002"/>
    <n v="7424.89"/>
    <n v="0"/>
    <n v="0"/>
    <n v="15.376211776299897"/>
    <n v="0"/>
    <n v="0"/>
    <n v="0"/>
    <n v="7425"/>
    <n v="0"/>
    <n v="0"/>
    <n v="0"/>
    <s v="Release3"/>
    <n v="542.64887553191488"/>
    <n v="21.485714285714288"/>
    <n v="-2.0709009529164602E-3"/>
    <n v="1"/>
    <m/>
    <s v="Sahibpur Kamal"/>
    <m/>
    <n v="0"/>
  </r>
  <r>
    <s v="Munger"/>
    <s v="03-09 Apr"/>
    <n v="1011"/>
    <s v="Sahibpur Kamal"/>
    <x v="447"/>
    <s v="Dandari-2"/>
    <s v="MPG"/>
    <s v="Direct"/>
    <n v="325.5"/>
    <n v="11982.22"/>
    <n v="324.59999999999997"/>
    <n v="11907.189569880002"/>
    <n v="0"/>
    <n v="0"/>
    <n v="324.59999999999997"/>
    <n v="11907.189569880002"/>
    <n v="11907.189569880002"/>
    <n v="0"/>
    <n v="0"/>
    <n v="0"/>
    <n v="0"/>
    <n v="0"/>
    <n v="0"/>
    <n v="11907"/>
    <n v="0"/>
    <n v="0"/>
    <n v="75"/>
    <n v="0"/>
    <n v="275.71990107526881"/>
    <n v="46.5"/>
    <n v="6.2618137640602176E-3"/>
    <n v="1"/>
    <m/>
    <s v="Sahibpur Kamal"/>
    <m/>
    <n v="0"/>
  </r>
  <r>
    <s v="Munger"/>
    <s v="03-09 Apr"/>
    <n v="1011"/>
    <s v="Sahibpur Kamal"/>
    <x v="448"/>
    <s v="Barkhanditol"/>
    <s v="vlc"/>
    <s v="Indirect"/>
    <n v="349.1"/>
    <n v="14176.94"/>
    <n v="0"/>
    <n v="0"/>
    <n v="0"/>
    <n v="0"/>
    <n v="0"/>
    <n v="0"/>
    <n v="14176.94"/>
    <n v="0"/>
    <n v="0"/>
    <n v="0"/>
    <n v="0"/>
    <n v="0"/>
    <n v="0"/>
    <n v="0"/>
    <n v="0"/>
    <n v="14176.94"/>
    <n v="0"/>
    <n v="0"/>
    <n v="285.00075886565452"/>
    <n v="49.871428571428574"/>
    <n v="0"/>
    <n v="0"/>
    <m/>
    <s v="Sahibpur Kamal"/>
    <m/>
    <n v="0"/>
  </r>
  <r>
    <s v="Munger"/>
    <s v="03-09 Apr"/>
    <n v="1011"/>
    <s v="Sahibpur Kamal"/>
    <x v="449"/>
    <s v="Chauki-VLC"/>
    <s v="vlc"/>
    <s v="Indirect"/>
    <n v="606.80000000000007"/>
    <n v="22316.44"/>
    <n v="0"/>
    <n v="0"/>
    <n v="0"/>
    <n v="0"/>
    <n v="0"/>
    <n v="0"/>
    <n v="22316.44"/>
    <n v="0"/>
    <n v="0"/>
    <n v="0"/>
    <n v="0"/>
    <n v="0"/>
    <n v="0"/>
    <n v="0"/>
    <n v="0"/>
    <n v="22316.44"/>
    <n v="0"/>
    <n v="0"/>
    <n v="68.552808437705934"/>
    <n v="86.685714285714297"/>
    <n v="0"/>
    <n v="0"/>
    <m/>
    <s v="Sahibpur Kamal"/>
    <m/>
    <n v="0"/>
  </r>
  <r>
    <s v="Munger"/>
    <s v="03-09 Apr"/>
    <n v="1011"/>
    <s v="Sahibpur Kamal"/>
    <x v="450"/>
    <s v="Hardia"/>
    <s v="MPG"/>
    <s v="Direct"/>
    <n v="576.20000000000005"/>
    <n v="24937.41"/>
    <n v="576.41999999999985"/>
    <n v="25179.830067929084"/>
    <n v="2.72"/>
    <n v="111.50609184000001"/>
    <n v="579.13999999999987"/>
    <n v="25291.336159769085"/>
    <n v="24937.41"/>
    <n v="0"/>
    <n v="111.50609184000001"/>
    <n v="353.92615976908564"/>
    <n v="0"/>
    <n v="0"/>
    <n v="0"/>
    <n v="24825"/>
    <n v="0"/>
    <n v="0"/>
    <n v="1"/>
    <n v="0"/>
    <n v="107.15901971537659"/>
    <n v="82.314285714285717"/>
    <n v="-1.4192578931376019E-2"/>
    <n v="3"/>
    <m/>
    <s v="Sahibpur Kamal"/>
    <m/>
    <n v="0"/>
  </r>
  <r>
    <s v="Munger"/>
    <s v="03-09 Apr"/>
    <n v="1011"/>
    <s v="Sahibpur Kamal"/>
    <x v="451"/>
    <s v="Pachveer"/>
    <s v="vlc"/>
    <s v="Indirect"/>
    <n v="9071.1000000000022"/>
    <n v="338621.1"/>
    <n v="0"/>
    <n v="0"/>
    <n v="0"/>
    <n v="0"/>
    <n v="0"/>
    <n v="0"/>
    <n v="338621.1"/>
    <n v="0"/>
    <n v="0"/>
    <n v="0"/>
    <n v="0"/>
    <n v="0"/>
    <n v="0"/>
    <n v="0"/>
    <n v="0"/>
    <n v="338621.1"/>
    <n v="0"/>
    <n v="0"/>
    <n v="0"/>
    <n v="0"/>
    <n v="0"/>
    <n v="0"/>
    <m/>
    <s v="Sahibpur Kamal"/>
    <m/>
    <n v="0"/>
  </r>
  <r>
    <s v="Munger"/>
    <s v="03-09 Apr"/>
    <n v="1011"/>
    <s v="Sahibpur Kamal"/>
    <x v="452"/>
    <s v="Barkhaditol-3"/>
    <s v="vlc"/>
    <s v="Indirect"/>
    <n v="1024.3"/>
    <n v="44631.520000000011"/>
    <n v="0"/>
    <n v="0"/>
    <n v="0"/>
    <n v="0"/>
    <n v="0"/>
    <n v="0"/>
    <n v="44631.520000000011"/>
    <n v="0"/>
    <n v="0"/>
    <n v="0"/>
    <n v="0"/>
    <n v="0"/>
    <n v="0"/>
    <n v="0"/>
    <n v="0"/>
    <n v="44631.520000000011"/>
    <n v="0"/>
    <n v="0"/>
    <n v="0"/>
    <n v="0"/>
    <n v="0"/>
    <n v="0"/>
    <m/>
    <s v="Sahibpur Kamal"/>
    <m/>
    <n v="0"/>
  </r>
  <r>
    <s v="Munger"/>
    <s v="03-09 Apr"/>
    <n v="1011"/>
    <s v="Sahibpur Kamal"/>
    <x v="453"/>
    <s v="Gomukh Mirjapur Bari"/>
    <s v="MPG"/>
    <s v="Direct"/>
    <n v="63.099999999999994"/>
    <n v="2322.4"/>
    <n v="63.3"/>
    <n v="2329.9606558800001"/>
    <n v="0"/>
    <n v="0"/>
    <n v="63.3"/>
    <n v="2329.9606558800001"/>
    <n v="2322.4"/>
    <n v="0"/>
    <n v="0"/>
    <n v="7.560655880000013"/>
    <n v="0"/>
    <n v="0"/>
    <n v="0"/>
    <n v="2322"/>
    <n v="0"/>
    <n v="0"/>
    <n v="0"/>
    <n v="0"/>
    <n v="468.82299841521404"/>
    <n v="9.0142857142857142"/>
    <n v="-3.2555356011023133E-3"/>
    <n v="1"/>
    <m/>
    <s v="Sahibpur Kamal"/>
    <m/>
    <n v="0"/>
  </r>
  <r>
    <s v="Munger"/>
    <s v="03-09 Apr"/>
    <n v="1011"/>
    <s v="Sahibpur Kamal"/>
    <x v="454"/>
    <s v="Mathar-3"/>
    <s v="vlc"/>
    <s v="Indirect"/>
    <n v="3884.2999999999997"/>
    <n v="165149.09000000003"/>
    <n v="0"/>
    <n v="0"/>
    <n v="0"/>
    <n v="0"/>
    <n v="0"/>
    <n v="0"/>
    <n v="165149.09000000003"/>
    <n v="0"/>
    <n v="0"/>
    <n v="0"/>
    <n v="0"/>
    <n v="0"/>
    <n v="0"/>
    <n v="0"/>
    <n v="0"/>
    <n v="165149.09000000003"/>
    <n v="0"/>
    <n v="0"/>
    <n v="0"/>
    <n v="0"/>
    <n v="0"/>
    <n v="0"/>
    <m/>
    <s v="Sahibpur Kamal"/>
    <m/>
    <n v="0"/>
  </r>
  <r>
    <s v="Munger"/>
    <s v="03-09 Apr"/>
    <n v="1011"/>
    <s v="Sahibpur Kamal"/>
    <x v="455"/>
    <s v="Ahoghat"/>
    <s v="vlc"/>
    <s v="Indirect"/>
    <n v="337.19999999999993"/>
    <n v="13333.300000000001"/>
    <n v="0"/>
    <n v="0"/>
    <n v="0"/>
    <n v="0"/>
    <n v="0"/>
    <n v="0"/>
    <n v="13333.300000000001"/>
    <n v="0"/>
    <n v="0"/>
    <n v="0"/>
    <n v="0"/>
    <n v="0"/>
    <n v="0"/>
    <n v="0"/>
    <n v="0"/>
    <n v="13333.300000000001"/>
    <n v="0"/>
    <n v="0"/>
    <n v="286.91110557532636"/>
    <n v="48.171428571428564"/>
    <n v="0"/>
    <n v="0"/>
    <m/>
    <s v="Sahibpur Kamal"/>
    <m/>
    <n v="0"/>
  </r>
  <r>
    <s v="Munger"/>
    <s v="03-09 Apr"/>
    <n v="1011"/>
    <s v="Sahibpur Kamal"/>
    <x v="456"/>
    <s v="Mathar-4"/>
    <s v="vlc"/>
    <s v="Indirect"/>
    <n v="372.59999999999997"/>
    <n v="13668.51"/>
    <n v="0"/>
    <n v="0"/>
    <n v="0"/>
    <n v="0"/>
    <n v="0"/>
    <n v="0"/>
    <n v="13668.51"/>
    <n v="0"/>
    <n v="0"/>
    <n v="0"/>
    <n v="0"/>
    <n v="0"/>
    <n v="0"/>
    <n v="0"/>
    <n v="0"/>
    <n v="13668.51"/>
    <n v="0"/>
    <n v="0"/>
    <n v="240.20773880837365"/>
    <n v="53.228571428571421"/>
    <n v="0"/>
    <n v="0"/>
    <m/>
    <s v="Sahibpur Kamal"/>
    <m/>
    <n v="0"/>
  </r>
  <r>
    <s v="Munger"/>
    <s v="03-09 Apr"/>
    <n v="1011"/>
    <s v="Sahibpur Kamal"/>
    <x v="967"/>
    <s v="Farid Nagar"/>
    <s v="MPG"/>
    <s v="Indirect"/>
    <n v="4.8"/>
    <n v="130.14999999999998"/>
    <n v="0"/>
    <n v="0"/>
    <n v="0"/>
    <n v="0"/>
    <n v="0"/>
    <n v="0"/>
    <n v="130.14999999999998"/>
    <n v="0"/>
    <n v="0"/>
    <n v="0"/>
    <n v="0"/>
    <n v="0"/>
    <n v="0"/>
    <n v="0"/>
    <n v="0"/>
    <n v="130.14999999999998"/>
    <n v="0"/>
    <n v="0"/>
    <n v="377.00116666666662"/>
    <n v="0.68571428571428572"/>
    <n v="0"/>
    <n v="0"/>
    <m/>
    <s v="Sahibpur Kamal"/>
    <m/>
    <n v="0"/>
  </r>
  <r>
    <s v="Munger"/>
    <s v="03-09 Apr"/>
    <n v="1011"/>
    <s v="Sahibpur Kamal"/>
    <x v="968"/>
    <s v="Sadpur-2"/>
    <s v="MPG"/>
    <s v="Indirect"/>
    <n v="5.5"/>
    <n v="152.38"/>
    <n v="0"/>
    <n v="0"/>
    <n v="0"/>
    <n v="0"/>
    <n v="0"/>
    <n v="0"/>
    <n v="152.38"/>
    <n v="0"/>
    <n v="0"/>
    <n v="0"/>
    <n v="0"/>
    <n v="0"/>
    <n v="0"/>
    <n v="0"/>
    <n v="0"/>
    <n v="152.38"/>
    <n v="0"/>
    <n v="0"/>
    <n v="384.82876363636359"/>
    <n v="0.7857142857142857"/>
    <n v="0"/>
    <n v="0"/>
    <m/>
    <s v="Sahibpur Kamal"/>
    <m/>
    <n v="0"/>
  </r>
  <r>
    <s v="Munger"/>
    <s v="03-09 Apr"/>
    <n v="1011"/>
    <s v="Sahibpur Kamal"/>
    <x v="969"/>
    <s v="Phulmalik"/>
    <s v="vlc"/>
    <s v="Indirect"/>
    <n v="266.39999999999998"/>
    <n v="10988.08"/>
    <n v="0"/>
    <n v="0"/>
    <n v="0"/>
    <n v="0"/>
    <n v="0"/>
    <n v="0"/>
    <n v="10988.08"/>
    <n v="0"/>
    <n v="0"/>
    <n v="0"/>
    <n v="0"/>
    <n v="0"/>
    <n v="0"/>
    <n v="0"/>
    <n v="0"/>
    <n v="10988.08"/>
    <n v="0"/>
    <n v="0"/>
    <n v="357.69005165165169"/>
    <n v="38.057142857142857"/>
    <n v="0"/>
    <n v="0"/>
    <m/>
    <s v="Sahibpur Kamal"/>
    <m/>
    <n v="0"/>
  </r>
  <r>
    <s v="Munger"/>
    <s v="03-09 Apr"/>
    <n v="1012"/>
    <s v="DalsinghSarai"/>
    <x v="457"/>
    <s v="GOMUKH SUBHANPUR"/>
    <s v="vlc"/>
    <s v="Indirect"/>
    <n v="92.28"/>
    <n v="4170.0600000000004"/>
    <n v="0"/>
    <n v="0"/>
    <n v="0"/>
    <n v="0"/>
    <n v="0"/>
    <n v="0"/>
    <n v="4170.0600000000004"/>
    <n v="0"/>
    <n v="0"/>
    <n v="0"/>
    <n v="0"/>
    <n v="0"/>
    <n v="0"/>
    <n v="0"/>
    <n v="0"/>
    <n v="4170.0600000000004"/>
    <n v="0"/>
    <n v="0"/>
    <n v="549.24769466840064"/>
    <n v="13.182857142857143"/>
    <n v="0"/>
    <n v="0"/>
    <m/>
    <s v="DalsinghSarai"/>
    <m/>
    <n v="0"/>
  </r>
  <r>
    <s v="Munger"/>
    <s v="03-09 Apr"/>
    <n v="1012"/>
    <s v="DalsinghSarai"/>
    <x v="458"/>
    <s v="GOMUKH  BHAJANGAMA"/>
    <s v="vlc"/>
    <s v="Indirect"/>
    <n v="494.46999999999997"/>
    <n v="18962.84"/>
    <n v="0"/>
    <n v="0"/>
    <n v="0"/>
    <n v="0"/>
    <n v="0"/>
    <n v="0"/>
    <n v="18962.84"/>
    <n v="0"/>
    <n v="0"/>
    <n v="0"/>
    <n v="0"/>
    <n v="0"/>
    <n v="0"/>
    <n v="0"/>
    <n v="0"/>
    <n v="18962.84"/>
    <n v="0"/>
    <n v="0"/>
    <n v="157.64080753938563"/>
    <n v="70.638571428571424"/>
    <n v="0"/>
    <n v="0"/>
    <m/>
    <s v="DalsinghSarai"/>
    <m/>
    <n v="0"/>
  </r>
  <r>
    <s v="Munger"/>
    <s v="03-09 Apr"/>
    <n v="1012"/>
    <s v="DalsinghSarai"/>
    <x v="459"/>
    <s v="Gomukh Chora Tabhka"/>
    <s v="vlc"/>
    <s v="Indirect"/>
    <n v="39.900000000000006"/>
    <n v="1097.6500000000001"/>
    <n v="0"/>
    <n v="0"/>
    <n v="0"/>
    <n v="0"/>
    <n v="0"/>
    <n v="0"/>
    <n v="1097.6500000000001"/>
    <n v="0"/>
    <n v="0"/>
    <n v="0"/>
    <n v="0"/>
    <n v="0"/>
    <n v="0"/>
    <n v="0"/>
    <n v="0"/>
    <n v="0"/>
    <n v="1098"/>
    <s v="Yes"/>
    <n v="363.18735087719301"/>
    <n v="5.7000000000000011"/>
    <n v="0"/>
    <n v="0"/>
    <m/>
    <s v="DalsinghSarai"/>
    <m/>
    <n v="0"/>
  </r>
  <r>
    <s v="Munger"/>
    <s v="03-09 Apr"/>
    <n v="1012"/>
    <s v="DalsinghSarai"/>
    <x v="460"/>
    <s v="Gomukh Basadhiya Kurni"/>
    <s v="MPG"/>
    <s v="Direct"/>
    <n v="347.03999999999996"/>
    <n v="13326.830000000002"/>
    <n v="370.31"/>
    <n v="13486.293877676402"/>
    <n v="0"/>
    <n v="0"/>
    <n v="370.31"/>
    <n v="13486.293877676402"/>
    <n v="13326.830000000002"/>
    <n v="0"/>
    <n v="0"/>
    <n v="159.46387767640044"/>
    <n v="0"/>
    <n v="0"/>
    <n v="0"/>
    <n v="13327"/>
    <n v="0"/>
    <n v="0"/>
    <n v="0"/>
    <n v="0"/>
    <n v="271.08332853849708"/>
    <n v="49.577142857142853"/>
    <n v="-1.1965627060328707E-2"/>
    <n v="4"/>
    <m/>
    <s v="DalsinghSarai"/>
    <m/>
    <n v="0"/>
  </r>
  <r>
    <s v="Munger"/>
    <s v="03-09 Apr"/>
    <n v="1012"/>
    <s v="DalsinghSarai"/>
    <x v="461"/>
    <s v="KHAJURI"/>
    <s v="MPG"/>
    <s v="Direct"/>
    <n v="425.07"/>
    <n v="15959.7"/>
    <n v="289.40000000000003"/>
    <n v="10753.892794877953"/>
    <n v="148.60000000000002"/>
    <n v="5427.850971895441"/>
    <n v="438.00000000000006"/>
    <n v="16181.743766773394"/>
    <n v="15959.7"/>
    <n v="0"/>
    <n v="196.66188313200001"/>
    <n v="222.04376677339314"/>
    <n v="0"/>
    <n v="0"/>
    <n v="0"/>
    <n v="10532"/>
    <n v="5231"/>
    <n v="0"/>
    <n v="0"/>
    <n v="0"/>
    <n v="206.45071734067332"/>
    <n v="60.724285714285713"/>
    <n v="-1.3912778233512731E-2"/>
    <n v="13"/>
    <m/>
    <s v="DalsinghSarai"/>
    <m/>
    <n v="0"/>
  </r>
  <r>
    <s v="Munger"/>
    <s v="03-09 Apr"/>
    <n v="1012"/>
    <s v="DalsinghSarai"/>
    <x v="462"/>
    <s v="ARMAULI-2"/>
    <s v="MPG"/>
    <s v="Direct"/>
    <n v="1464.1399999999999"/>
    <n v="58501.64"/>
    <n v="1474.43"/>
    <n v="57970.827550730603"/>
    <n v="18.03"/>
    <n v="708.46925252400001"/>
    <n v="1492.46"/>
    <n v="58679.296803254605"/>
    <n v="58501.64"/>
    <n v="0"/>
    <n v="708.46925252400001"/>
    <n v="177.65680325460562"/>
    <n v="0"/>
    <n v="0"/>
    <n v="0"/>
    <n v="57793"/>
    <n v="0"/>
    <n v="0"/>
    <n v="0"/>
    <n v="0"/>
    <n v="0"/>
    <n v="0"/>
    <n v="-3.0367832979486665E-3"/>
    <n v="37"/>
    <m/>
    <s v="DalsinghSarai"/>
    <m/>
    <n v="0"/>
  </r>
  <r>
    <s v="Munger"/>
    <s v="03-09 Apr"/>
    <n v="1012"/>
    <s v="DalsinghSarai"/>
    <x v="463"/>
    <s v="MUSAPUR - 2"/>
    <s v="vlc"/>
    <s v="Indirect"/>
    <n v="98.27"/>
    <n v="3526.07"/>
    <n v="0"/>
    <n v="0"/>
    <n v="0"/>
    <n v="0"/>
    <n v="0"/>
    <n v="0"/>
    <n v="3526.07"/>
    <n v="0"/>
    <n v="0"/>
    <n v="0"/>
    <n v="0"/>
    <n v="0"/>
    <n v="0"/>
    <n v="0"/>
    <n v="0"/>
    <n v="3526.07"/>
    <n v="0"/>
    <n v="0"/>
    <n v="431.81888696448567"/>
    <n v="14.038571428571428"/>
    <n v="0"/>
    <n v="0"/>
    <m/>
    <s v="DalsinghSarai"/>
    <m/>
    <n v="0"/>
  </r>
  <r>
    <s v="Munger"/>
    <s v="03-09 Apr"/>
    <n v="1012"/>
    <s v="DalsinghSarai"/>
    <x v="464"/>
    <s v="Janganath Pur"/>
    <s v="vlc"/>
    <s v="Indirect"/>
    <n v="2242.58"/>
    <n v="97066.93"/>
    <n v="0"/>
    <n v="0"/>
    <n v="0"/>
    <n v="0"/>
    <n v="0"/>
    <n v="0"/>
    <n v="97066.93"/>
    <n v="0"/>
    <n v="0"/>
    <n v="0"/>
    <n v="0"/>
    <n v="0"/>
    <n v="0"/>
    <n v="0"/>
    <n v="0"/>
    <n v="97066.93"/>
    <n v="0"/>
    <n v="0"/>
    <n v="0"/>
    <n v="0"/>
    <n v="0"/>
    <n v="0"/>
    <m/>
    <s v="DalsinghSarai"/>
    <m/>
    <n v="0"/>
  </r>
  <r>
    <s v="Munger"/>
    <s v="03-09 Apr"/>
    <n v="1012"/>
    <s v="DalsinghSarai"/>
    <x v="465"/>
    <s v="Nagargama"/>
    <s v="vlc"/>
    <s v="Indirect"/>
    <n v="667.99000000000012"/>
    <n v="26949.51"/>
    <n v="0"/>
    <n v="0"/>
    <n v="0"/>
    <n v="0"/>
    <n v="0"/>
    <n v="0"/>
    <n v="26949.51"/>
    <n v="0"/>
    <n v="0"/>
    <n v="0"/>
    <n v="0"/>
    <n v="0"/>
    <n v="0"/>
    <n v="0"/>
    <n v="0"/>
    <n v="26949.51"/>
    <n v="0"/>
    <n v="0"/>
    <n v="25.828345187802142"/>
    <n v="95.427142857142869"/>
    <n v="0"/>
    <n v="0"/>
    <m/>
    <s v="DalsinghSarai"/>
    <m/>
    <n v="0"/>
  </r>
  <r>
    <s v="Munger"/>
    <s v="03-09 Apr"/>
    <n v="1012"/>
    <s v="DalsinghSarai"/>
    <x v="466"/>
    <s v="Sato Ghachchhi"/>
    <s v="MPG"/>
    <s v="Direct"/>
    <n v="775.66"/>
    <n v="34467.629999999997"/>
    <n v="760.3"/>
    <n v="34860.234624135119"/>
    <n v="15.500000000000002"/>
    <n v="686.58340018490003"/>
    <n v="775.8"/>
    <n v="35546.818024320019"/>
    <n v="34467.629999999997"/>
    <n v="0"/>
    <n v="686.58340018490003"/>
    <n v="1079.1880243200212"/>
    <n v="0"/>
    <n v="0"/>
    <n v="0"/>
    <n v="33781"/>
    <n v="0"/>
    <n v="0"/>
    <n v="0"/>
    <n v="0"/>
    <n v="0"/>
    <n v="0"/>
    <n v="-3.1310189424686913E-2"/>
    <n v="24"/>
    <m/>
    <s v="DalsinghSarai"/>
    <m/>
    <n v="0"/>
  </r>
  <r>
    <s v="Munger"/>
    <s v="03-09 Apr"/>
    <n v="1012"/>
    <s v="DalsinghSarai"/>
    <x v="467"/>
    <s v="Bhatgama"/>
    <s v="vlc"/>
    <s v="Indirect"/>
    <n v="466.71000000000009"/>
    <n v="14595.889999999998"/>
    <n v="0"/>
    <n v="0"/>
    <n v="0"/>
    <n v="0"/>
    <n v="0"/>
    <n v="0"/>
    <n v="14595.889999999998"/>
    <n v="0"/>
    <n v="0"/>
    <n v="0"/>
    <n v="0"/>
    <n v="0"/>
    <n v="0"/>
    <n v="0"/>
    <n v="0"/>
    <n v="14595.889999999998"/>
    <n v="0"/>
    <n v="0"/>
    <n v="145.91824379593314"/>
    <n v="66.672857142857154"/>
    <n v="0"/>
    <n v="0"/>
    <m/>
    <s v="DalsinghSarai"/>
    <m/>
    <n v="0"/>
  </r>
  <r>
    <s v="Munger"/>
    <s v="03-09 Apr"/>
    <n v="1012"/>
    <s v="DalsinghSarai"/>
    <x v="468"/>
    <s v="Borna Rasalpur"/>
    <s v="MPG"/>
    <s v="Direct"/>
    <n v="1136.08"/>
    <n v="46591.719999999994"/>
    <n v="336.20000000000005"/>
    <n v="14964.616396503998"/>
    <n v="756.2"/>
    <n v="31395.596347414245"/>
    <n v="1092.4000000000001"/>
    <n v="46360.212743918244"/>
    <n v="46360.212743918244"/>
    <n v="0"/>
    <n v="0"/>
    <n v="0"/>
    <n v="0"/>
    <n v="0"/>
    <n v="0"/>
    <n v="14964"/>
    <n v="31395"/>
    <n v="0"/>
    <n v="233"/>
    <n v="0"/>
    <n v="0"/>
    <n v="0"/>
    <n v="4.9688497458722242E-3"/>
    <n v="13"/>
    <m/>
    <s v="DalsinghSarai"/>
    <m/>
    <n v="0"/>
  </r>
  <r>
    <s v="Munger"/>
    <s v="03-09 Apr"/>
    <n v="1012"/>
    <s v="DalsinghSarai"/>
    <x v="469"/>
    <s v="Rasalpur"/>
    <s v="MPG"/>
    <s v="Direct"/>
    <n v="1184.81"/>
    <n v="45117.520000000004"/>
    <n v="1308.0700000000002"/>
    <n v="48606.576768494117"/>
    <n v="168.69"/>
    <n v="6501.1910407600562"/>
    <n v="1476.7600000000002"/>
    <n v="55107.767809254176"/>
    <n v="45117.520000000004"/>
    <n v="0"/>
    <n v="0"/>
    <n v="9990.2478092541714"/>
    <n v="0"/>
    <n v="0"/>
    <n v="0"/>
    <n v="38617"/>
    <n v="6501"/>
    <n v="0"/>
    <n v="0"/>
    <n v="0"/>
    <n v="0"/>
    <n v="0"/>
    <n v="-0.22142723734048703"/>
    <n v="17"/>
    <m/>
    <s v="DalsinghSarai"/>
    <m/>
    <n v="0"/>
  </r>
  <r>
    <s v="Munger"/>
    <s v="03-09 Apr"/>
    <n v="1012"/>
    <s v="DalsinghSarai"/>
    <x v="470"/>
    <s v="Narahan"/>
    <s v="MPG"/>
    <s v="Direct"/>
    <n v="308.23"/>
    <n v="12237.740000000002"/>
    <n v="296.79999999999995"/>
    <n v="11306.523953082602"/>
    <n v="7.78"/>
    <n v="287.92462808339997"/>
    <n v="304.57999999999993"/>
    <n v="11594.448581166002"/>
    <n v="11594.448581166002"/>
    <n v="0"/>
    <n v="192.33550715939998"/>
    <n v="0"/>
    <n v="0"/>
    <n v="500"/>
    <n v="0"/>
    <n v="10807"/>
    <n v="96"/>
    <n v="0"/>
    <n v="642"/>
    <n v="0"/>
    <n v="311.09102941310061"/>
    <n v="44.032857142857146"/>
    <n v="5.2566194316434244E-2"/>
    <n v="6"/>
    <m/>
    <s v="DalsinghSarai"/>
    <m/>
    <n v="500"/>
  </r>
  <r>
    <s v="Munger"/>
    <s v="03-09 Apr"/>
    <n v="1012"/>
    <s v="DalsinghSarai"/>
    <x v="471"/>
    <s v="Gomukh Dumduma"/>
    <s v="MPG"/>
    <s v="Direct"/>
    <n v="632.68999999999983"/>
    <n v="23775.11"/>
    <n v="627.4"/>
    <n v="23782.89283524"/>
    <n v="0"/>
    <n v="0"/>
    <n v="627.4"/>
    <n v="23782.89283524"/>
    <n v="23775.11"/>
    <n v="0"/>
    <n v="0"/>
    <n v="7.7828352399992582"/>
    <n v="0"/>
    <n v="0"/>
    <n v="0"/>
    <n v="23775"/>
    <n v="0"/>
    <n v="0"/>
    <n v="0"/>
    <n v="0"/>
    <n v="50.587259292860757"/>
    <n v="90.384285714285696"/>
    <n v="-3.273522284439171E-4"/>
    <n v="3"/>
    <m/>
    <s v="DalsinghSarai"/>
    <m/>
    <n v="0"/>
  </r>
  <r>
    <s v="Munger"/>
    <s v="03-09 Apr"/>
    <n v="1012"/>
    <s v="DalsinghSarai"/>
    <x v="472"/>
    <s v="SUPOL"/>
    <s v="MPG"/>
    <s v="Direct"/>
    <n v="340.23"/>
    <n v="13079.130000000001"/>
    <n v="385"/>
    <n v="15936.790913999997"/>
    <n v="0"/>
    <n v="0"/>
    <n v="385"/>
    <n v="15936.790913999997"/>
    <n v="13079.130000000001"/>
    <n v="0"/>
    <n v="0"/>
    <n v="2857.6609139999964"/>
    <n v="0"/>
    <n v="0"/>
    <n v="0"/>
    <n v="13079"/>
    <n v="0"/>
    <n v="0"/>
    <n v="0"/>
    <n v="0"/>
    <n v="276.6057431796138"/>
    <n v="48.604285714285716"/>
    <n v="-0.21849013764676981"/>
    <n v="2"/>
    <m/>
    <s v="DalsinghSarai"/>
    <m/>
    <n v="0"/>
  </r>
  <r>
    <s v="Munger"/>
    <s v="03-09 Apr"/>
    <n v="1012"/>
    <s v="DalsinghSarai"/>
    <x v="473"/>
    <s v="BHUSARAI"/>
    <s v="MPG"/>
    <s v="Direct"/>
    <n v="295.66000000000003"/>
    <n v="11309.53"/>
    <n v="212.38"/>
    <n v="7732.0683590040016"/>
    <n v="85.65"/>
    <n v="3107.4313141080002"/>
    <n v="298.02999999999997"/>
    <n v="10839.499673112001"/>
    <n v="10839.499673112001"/>
    <n v="0"/>
    <n v="96.03552063600003"/>
    <n v="0"/>
    <n v="0"/>
    <n v="0"/>
    <n v="0"/>
    <n v="7732"/>
    <n v="3011"/>
    <n v="0"/>
    <n v="470"/>
    <n v="0"/>
    <n v="309.33473315294594"/>
    <n v="42.237142857142864"/>
    <n v="4.156055352326752E-2"/>
    <n v="6"/>
    <m/>
    <s v="DalsinghSarai"/>
    <m/>
    <n v="0"/>
  </r>
  <r>
    <s v="Munger"/>
    <s v="03-09 Apr"/>
    <n v="1012"/>
    <s v="DalsinghSarai"/>
    <x v="474"/>
    <s v="Gomukha Jounapur"/>
    <s v="vlc"/>
    <s v="Indirect"/>
    <n v="286.95"/>
    <n v="11586.080000000002"/>
    <n v="0"/>
    <n v="0"/>
    <n v="0"/>
    <n v="0"/>
    <n v="0"/>
    <n v="0"/>
    <n v="11586.080000000002"/>
    <n v="0"/>
    <n v="0"/>
    <n v="0"/>
    <n v="0"/>
    <n v="0"/>
    <n v="0"/>
    <n v="0"/>
    <n v="0"/>
    <n v="11586.080000000002"/>
    <n v="0"/>
    <n v="0"/>
    <n v="333.55151378288912"/>
    <n v="40.99285714285714"/>
    <n v="0"/>
    <n v="0"/>
    <m/>
    <s v="DalsinghSarai"/>
    <m/>
    <n v="0"/>
  </r>
  <r>
    <s v="Munger"/>
    <s v="03-09 Apr"/>
    <n v="1012"/>
    <s v="DalsinghSarai"/>
    <x v="475"/>
    <s v="Patailliya"/>
    <s v="vlc"/>
    <s v="Indirect"/>
    <n v="341.57999999999993"/>
    <n v="12868.769999999999"/>
    <n v="0"/>
    <n v="0"/>
    <n v="0"/>
    <n v="0"/>
    <n v="0"/>
    <n v="0"/>
    <n v="12868.769999999999"/>
    <n v="0"/>
    <n v="0"/>
    <n v="0"/>
    <n v="0"/>
    <n v="0"/>
    <n v="0"/>
    <n v="0"/>
    <n v="0"/>
    <n v="12868.769999999999"/>
    <n v="0"/>
    <n v="0"/>
    <n v="270.06408708940813"/>
    <n v="48.797142857142845"/>
    <n v="0"/>
    <n v="0"/>
    <m/>
    <s v="DalsinghSarai"/>
    <m/>
    <n v="0"/>
  </r>
  <r>
    <s v="Munger"/>
    <s v="03-09 Apr"/>
    <n v="1012"/>
    <s v="DalsinghSarai"/>
    <x v="476"/>
    <s v="Badiya"/>
    <s v="vlc"/>
    <s v="Indirect"/>
    <n v="355.86999999999989"/>
    <n v="12962.51"/>
    <n v="0"/>
    <n v="0"/>
    <n v="0"/>
    <n v="0"/>
    <n v="0"/>
    <n v="0"/>
    <n v="12962.51"/>
    <n v="0"/>
    <n v="0"/>
    <n v="0"/>
    <n v="0"/>
    <n v="0"/>
    <n v="0"/>
    <n v="0"/>
    <n v="0"/>
    <n v="12962.51"/>
    <n v="0"/>
    <n v="0"/>
    <n v="250.69764612358463"/>
    <n v="50.838571428571413"/>
    <n v="0"/>
    <n v="0"/>
    <m/>
    <s v="DalsinghSarai"/>
    <m/>
    <n v="0"/>
  </r>
  <r>
    <s v="Munger"/>
    <s v="03-09 Apr"/>
    <n v="1012"/>
    <s v="DalsinghSarai"/>
    <x v="477"/>
    <s v="Gomukh Tabhka"/>
    <s v="MPG"/>
    <s v="Direct"/>
    <n v="2831.66"/>
    <n v="110446.5"/>
    <n v="1674.05"/>
    <n v="71271.836782879691"/>
    <n v="1302.8900000000001"/>
    <n v="50209.794249007085"/>
    <n v="2976.94"/>
    <n v="121481.63103188678"/>
    <n v="110446.5"/>
    <n v="0"/>
    <n v="736.01568849600005"/>
    <n v="11035.131031886776"/>
    <n v="0"/>
    <n v="0"/>
    <n v="0"/>
    <n v="61292"/>
    <n v="48418"/>
    <n v="0"/>
    <n v="0"/>
    <s v="Release1"/>
    <n v="0"/>
    <n v="0"/>
    <n v="-9.9913813764010415E-2"/>
    <n v="29"/>
    <m/>
    <s v="DalsinghSarai"/>
    <m/>
    <n v="0"/>
  </r>
  <r>
    <s v="Munger"/>
    <s v="03-09 Apr"/>
    <n v="1012"/>
    <s v="DalsinghSarai"/>
    <x v="478"/>
    <s v="Ghato"/>
    <s v="vlc"/>
    <s v="Indirect"/>
    <n v="62.870000000000005"/>
    <n v="1958.95"/>
    <n v="0"/>
    <n v="0"/>
    <n v="0"/>
    <n v="0"/>
    <n v="0"/>
    <n v="0"/>
    <n v="1958.95"/>
    <n v="0"/>
    <n v="0"/>
    <n v="0"/>
    <n v="0"/>
    <n v="0"/>
    <n v="0"/>
    <n v="0"/>
    <n v="0"/>
    <n v="1958.95"/>
    <n v="0"/>
    <n v="0"/>
    <n v="397.04336360744389"/>
    <n v="8.9814285714285713"/>
    <n v="0"/>
    <n v="0"/>
    <m/>
    <s v="DalsinghSarai"/>
    <m/>
    <n v="0"/>
  </r>
  <r>
    <s v="Munger"/>
    <s v="03-09 Apr"/>
    <n v="1012"/>
    <s v="DalsinghSarai"/>
    <x v="970"/>
    <s v="MAHISARI"/>
    <s v="MPG"/>
    <s v="Indirect"/>
    <n v="7.33"/>
    <n v="277.58000000000004"/>
    <n v="0"/>
    <n v="0"/>
    <n v="0"/>
    <n v="0"/>
    <n v="0"/>
    <n v="0"/>
    <n v="277.58000000000004"/>
    <n v="0"/>
    <n v="0"/>
    <n v="0"/>
    <n v="0"/>
    <n v="0"/>
    <n v="0"/>
    <n v="0"/>
    <n v="0"/>
    <n v="277.58000000000004"/>
    <n v="0"/>
    <n v="0"/>
    <n v="524.6148392905867"/>
    <n v="1.0471428571428572"/>
    <n v="0"/>
    <n v="0"/>
    <m/>
    <s v="DalsinghSarai"/>
    <m/>
    <n v="0"/>
  </r>
  <r>
    <s v="Munger"/>
    <s v="03-09 Apr"/>
    <n v="1012"/>
    <s v="DalsinghSarai"/>
    <x v="479"/>
    <s v="RAMNATHPUR                                                                                          "/>
    <s v="MPG"/>
    <s v="Direct"/>
    <n v="901.84"/>
    <n v="35354.450000000004"/>
    <n v="700.46"/>
    <n v="27194.96435889824"/>
    <n v="237.50000000000003"/>
    <n v="9419.5392959448018"/>
    <n v="937.96"/>
    <n v="36614.503654843043"/>
    <n v="35354.450000000004"/>
    <n v="0"/>
    <n v="363.57913239120012"/>
    <n v="1260.0536548430391"/>
    <n v="0"/>
    <n v="0"/>
    <n v="0"/>
    <n v="25934"/>
    <n v="9056"/>
    <n v="0"/>
    <n v="1"/>
    <n v="0"/>
    <n v="0"/>
    <n v="0"/>
    <n v="-3.5640595592437131E-2"/>
    <n v="19"/>
    <m/>
    <s v="DalsinghSarai"/>
    <m/>
    <n v="0"/>
  </r>
  <r>
    <s v="Munger"/>
    <s v="03-09 Apr"/>
    <n v="1012"/>
    <s v="DalsinghSarai"/>
    <x v="480"/>
    <s v="KEWAS JAGIR"/>
    <s v="MPG"/>
    <s v="Direct"/>
    <n v="227.99000000000004"/>
    <n v="9820.590000000002"/>
    <n v="213.60000000000005"/>
    <n v="9245.4326664234904"/>
    <n v="13.31"/>
    <n v="504.10779566400004"/>
    <n v="226.91000000000005"/>
    <n v="9749.5404620874906"/>
    <n v="9749.5404620874906"/>
    <n v="0"/>
    <n v="0"/>
    <n v="0"/>
    <n v="0"/>
    <n v="500"/>
    <n v="0"/>
    <n v="8939"/>
    <n v="310"/>
    <n v="0"/>
    <n v="72"/>
    <s v="Release1"/>
    <n v="406.63333355848943"/>
    <n v="32.570000000000007"/>
    <n v="7.2347524855951991E-3"/>
    <n v="7"/>
    <m/>
    <s v="DalsinghSarai"/>
    <m/>
    <n v="500"/>
  </r>
  <r>
    <s v="Munger"/>
    <s v="03-09 Apr"/>
    <n v="1012"/>
    <s v="DalsinghSarai"/>
    <x v="481"/>
    <s v="DESUA"/>
    <s v="MPG"/>
    <s v="Direct"/>
    <n v="384.77000000000004"/>
    <n v="13756.46"/>
    <n v="391.4"/>
    <n v="14413.774040622002"/>
    <n v="4.4000000000000004"/>
    <n v="160.94166343200001"/>
    <n v="395.79999999999995"/>
    <n v="14574.715704054002"/>
    <n v="13756.46"/>
    <n v="0"/>
    <n v="64.842917832000012"/>
    <n v="818.25570405400322"/>
    <n v="0"/>
    <n v="0"/>
    <n v="0"/>
    <n v="13595"/>
    <n v="96"/>
    <n v="0"/>
    <n v="1"/>
    <n v="0"/>
    <n v="225.40472936039703"/>
    <n v="54.967142857142861"/>
    <n v="-5.9481560230902668E-2"/>
    <n v="5"/>
    <m/>
    <s v="DalsinghSarai"/>
    <m/>
    <n v="0"/>
  </r>
  <r>
    <s v="Munger"/>
    <s v="03-09 Apr"/>
    <n v="1012"/>
    <s v="DalsinghSarai"/>
    <x v="482"/>
    <s v="Matior"/>
    <s v="MPG"/>
    <s v="Direct"/>
    <n v="118.92"/>
    <n v="4449.53"/>
    <n v="118.87"/>
    <n v="4446.2791662498012"/>
    <n v="0"/>
    <n v="0"/>
    <n v="118.87"/>
    <n v="4446.2791662498012"/>
    <n v="4446.2791662498012"/>
    <n v="0"/>
    <n v="0"/>
    <n v="0"/>
    <n v="0"/>
    <n v="500"/>
    <n v="0"/>
    <n v="3946"/>
    <n v="0"/>
    <n v="0"/>
    <n v="4"/>
    <n v="0"/>
    <n v="434.83566976118396"/>
    <n v="16.988571428571429"/>
    <n v="7.3060160291055025E-4"/>
    <n v="1"/>
    <m/>
    <s v="DalsinghSarai"/>
    <m/>
    <n v="500"/>
  </r>
  <r>
    <s v="Munger"/>
    <s v="03-09 Apr"/>
    <n v="1012"/>
    <s v="DalsinghSarai"/>
    <x v="483"/>
    <s v="TELGAMA"/>
    <s v="vlc"/>
    <s v="Indirect"/>
    <n v="483.14"/>
    <n v="20184.859999999997"/>
    <n v="0"/>
    <n v="0"/>
    <n v="0"/>
    <n v="0"/>
    <n v="0"/>
    <n v="0"/>
    <n v="20184.859999999997"/>
    <n v="0"/>
    <n v="0"/>
    <n v="0"/>
    <n v="0"/>
    <n v="0"/>
    <n v="0"/>
    <n v="0"/>
    <n v="0"/>
    <n v="20184.859999999997"/>
    <n v="0"/>
    <n v="0"/>
    <n v="181.20166989278471"/>
    <n v="69.02"/>
    <n v="0"/>
    <n v="0"/>
    <m/>
    <s v="DalsinghSarai"/>
    <m/>
    <n v="0"/>
  </r>
  <r>
    <s v="Munger"/>
    <s v="03-09 Apr"/>
    <n v="1012"/>
    <s v="DalsinghSarai"/>
    <x v="484"/>
    <s v="GOMUKH TATARPUR"/>
    <s v="MPG"/>
    <s v="Direct"/>
    <n v="197.35999999999996"/>
    <n v="9404.5300000000007"/>
    <n v="197.35999999999999"/>
    <n v="9404.6369756864915"/>
    <n v="0"/>
    <n v="0"/>
    <n v="197.35999999999999"/>
    <n v="9404.6369756864915"/>
    <n v="9404.5300000000007"/>
    <n v="0"/>
    <n v="0"/>
    <n v="0.10697568649084133"/>
    <n v="0"/>
    <n v="500"/>
    <n v="0"/>
    <n v="8905"/>
    <n v="0"/>
    <n v="0"/>
    <n v="0"/>
    <n v="0"/>
    <n v="479.03252525334432"/>
    <n v="28.194285714285709"/>
    <n v="-1.13749104411216E-5"/>
    <n v="1"/>
    <m/>
    <s v="DalsinghSarai"/>
    <m/>
    <n v="500"/>
  </r>
  <r>
    <s v="Munger"/>
    <s v="03-09 Apr"/>
    <n v="1012"/>
    <s v="DalsinghSarai"/>
    <x v="485"/>
    <s v="Gomukh Ghataho"/>
    <s v="MPG"/>
    <s v="Direct"/>
    <n v="1974.8399999999997"/>
    <n v="74565.64"/>
    <n v="1494"/>
    <n v="55907.313312849423"/>
    <n v="479.7"/>
    <n v="18634.000484096101"/>
    <n v="1973.7"/>
    <n v="74541.313796945527"/>
    <n v="74541.313796945527"/>
    <n v="0"/>
    <n v="594.56063779200008"/>
    <n v="0"/>
    <n v="0"/>
    <n v="0"/>
    <n v="0"/>
    <n v="55910"/>
    <n v="18042"/>
    <n v="0"/>
    <n v="19"/>
    <n v="0"/>
    <n v="0"/>
    <n v="0"/>
    <n v="3.2623877505070684E-4"/>
    <n v="33"/>
    <m/>
    <s v="DalsinghSarai"/>
    <m/>
    <n v="0"/>
  </r>
  <r>
    <s v="Munger"/>
    <s v="03-09 Apr"/>
    <n v="1012"/>
    <s v="DalsinghSarai"/>
    <x v="486"/>
    <s v="Madhepur - Bishwanath"/>
    <s v="vlc"/>
    <s v="Indirect"/>
    <n v="22.7"/>
    <n v="838.61999999999989"/>
    <n v="0"/>
    <n v="0"/>
    <n v="0"/>
    <n v="0"/>
    <n v="0"/>
    <n v="0"/>
    <n v="838.61999999999989"/>
    <n v="0"/>
    <n v="0"/>
    <n v="0"/>
    <n v="0"/>
    <n v="0"/>
    <n v="0"/>
    <n v="0"/>
    <n v="0"/>
    <n v="838.61999999999989"/>
    <n v="0"/>
    <n v="0"/>
    <n v="500.43817268722461"/>
    <n v="3.2428571428571429"/>
    <n v="0"/>
    <n v="0"/>
    <m/>
    <s v="DalsinghSarai"/>
    <m/>
    <n v="0"/>
  </r>
  <r>
    <s v="Munger"/>
    <s v="03-09 Apr"/>
    <n v="1012"/>
    <s v="DalsinghSarai"/>
    <x v="487"/>
    <s v="Kacha - Amarjeet"/>
    <s v="vlc"/>
    <s v="Indirect"/>
    <n v="572.55999999999995"/>
    <n v="26119.789999999997"/>
    <n v="0"/>
    <n v="0"/>
    <n v="0"/>
    <n v="0"/>
    <n v="0"/>
    <n v="0"/>
    <n v="26119.789999999997"/>
    <n v="0"/>
    <n v="0"/>
    <n v="0"/>
    <n v="0"/>
    <n v="0"/>
    <n v="0"/>
    <n v="0"/>
    <n v="0"/>
    <n v="26119.789999999997"/>
    <n v="0"/>
    <n v="0"/>
    <n v="116.27448783009646"/>
    <n v="81.794285714285706"/>
    <n v="0"/>
    <n v="0"/>
    <m/>
    <s v="DalsinghSarai"/>
    <m/>
    <n v="0"/>
  </r>
  <r>
    <s v="Munger"/>
    <s v="03-09 Apr"/>
    <n v="1012"/>
    <s v="DalsinghSarai"/>
    <x v="971"/>
    <s v="Simri - Suman"/>
    <s v="vlc"/>
    <s v="Indirect"/>
    <n v="1084"/>
    <n v="53602.76"/>
    <n v="0"/>
    <n v="0"/>
    <n v="0"/>
    <n v="0"/>
    <n v="0"/>
    <n v="0"/>
    <n v="53602.76"/>
    <n v="0"/>
    <n v="0"/>
    <n v="0"/>
    <n v="0"/>
    <n v="0"/>
    <n v="0"/>
    <n v="0"/>
    <n v="0"/>
    <n v="53602.76"/>
    <n v="0"/>
    <n v="0"/>
    <n v="0"/>
    <n v="0"/>
    <n v="0"/>
    <n v="0"/>
    <m/>
    <s v="DalsinghSarai"/>
    <m/>
    <n v="0"/>
  </r>
  <r>
    <s v="Munger"/>
    <s v="03-09 Apr"/>
    <n v="1012"/>
    <s v="DalsinghSarai"/>
    <x v="488"/>
    <s v="Narenpur"/>
    <s v="MPG"/>
    <s v="Direct"/>
    <n v="476.53000000000003"/>
    <n v="20336.300000000003"/>
    <n v="83.360000000000014"/>
    <n v="3561.9325533953051"/>
    <n v="389.13999999999993"/>
    <n v="16774.193724453016"/>
    <n v="472.49999999999994"/>
    <n v="20336.126277848321"/>
    <n v="20336.126277848321"/>
    <n v="0"/>
    <n v="0"/>
    <n v="0"/>
    <n v="0"/>
    <n v="0"/>
    <n v="0"/>
    <n v="3561"/>
    <n v="16774"/>
    <n v="0"/>
    <n v="1"/>
    <n v="0"/>
    <n v="190.73523014290811"/>
    <n v="68.075714285714284"/>
    <n v="8.5424660179792555E-6"/>
    <n v="14"/>
    <m/>
    <s v="DalsinghSarai"/>
    <m/>
    <n v="0"/>
  </r>
  <r>
    <s v="Munger"/>
    <s v="03-09 Apr"/>
    <n v="1012"/>
    <s v="DalsinghSarai"/>
    <x v="489"/>
    <s v="Mordiba"/>
    <s v="MPG"/>
    <s v="Direct"/>
    <n v="2313.87"/>
    <n v="90453.290000000008"/>
    <n v="1360.0300000000002"/>
    <n v="53009.137354315062"/>
    <n v="964.15"/>
    <n v="36150.244416272501"/>
    <n v="2324.1800000000003"/>
    <n v="89159.381770587555"/>
    <n v="89159.381770587555"/>
    <n v="0"/>
    <n v="75.566737224000008"/>
    <n v="0"/>
    <n v="0"/>
    <n v="0"/>
    <n v="0"/>
    <n v="53009"/>
    <n v="36075"/>
    <n v="0"/>
    <n v="1294"/>
    <n v="0"/>
    <n v="0"/>
    <n v="0"/>
    <n v="1.4304711629753353E-2"/>
    <n v="11"/>
    <m/>
    <s v="DalsinghSarai"/>
    <m/>
    <n v="0"/>
  </r>
  <r>
    <s v="Munger"/>
    <s v="03-09 Apr"/>
    <n v="1012"/>
    <s v="DalsinghSarai"/>
    <x v="490"/>
    <s v="Jagdispur"/>
    <s v="MPG"/>
    <s v="Direct"/>
    <n v="310.83999999999997"/>
    <n v="12489.3"/>
    <n v="317.89"/>
    <n v="12174.52884700335"/>
    <n v="0"/>
    <n v="0"/>
    <n v="317.89"/>
    <n v="12174.52884700335"/>
    <n v="12174.52884700335"/>
    <n v="0"/>
    <n v="0"/>
    <n v="0"/>
    <n v="600"/>
    <n v="0"/>
    <n v="0"/>
    <n v="11574"/>
    <n v="0"/>
    <n v="0"/>
    <n v="315"/>
    <s v="Release2"/>
    <n v="312.7226861407799"/>
    <n v="44.405714285714282"/>
    <n v="2.5203266235629629E-2"/>
    <n v="12"/>
    <m/>
    <s v="DalsinghSarai"/>
    <m/>
    <n v="0"/>
  </r>
  <r>
    <s v="Munger"/>
    <s v="03-09 Apr"/>
    <n v="1012"/>
    <s v="DalsinghSarai"/>
    <x v="972"/>
    <s v="Chaklal Sahi_Vikrant"/>
    <s v="vlc"/>
    <s v="Indirect"/>
    <n v="1390"/>
    <n v="51268.7"/>
    <n v="0"/>
    <n v="0"/>
    <n v="0"/>
    <n v="0"/>
    <n v="0"/>
    <n v="0"/>
    <n v="51268.7"/>
    <n v="0"/>
    <n v="0"/>
    <n v="0"/>
    <n v="0"/>
    <n v="0"/>
    <n v="0"/>
    <n v="0"/>
    <n v="0"/>
    <n v="51268.7"/>
    <n v="0"/>
    <n v="0"/>
    <n v="0"/>
    <n v="0"/>
    <n v="0"/>
    <n v="0"/>
    <m/>
    <s v="DalsinghSarai"/>
    <m/>
    <n v="0"/>
  </r>
  <r>
    <s v="Munger"/>
    <s v="03-09 Apr"/>
    <n v="1012"/>
    <s v="DalsinghSarai"/>
    <x v="491"/>
    <s v="Piparpaati"/>
    <s v="vlc"/>
    <s v="Indirect"/>
    <n v="117.77"/>
    <n v="4547.18"/>
    <n v="0"/>
    <n v="0"/>
    <n v="0"/>
    <n v="0"/>
    <n v="0"/>
    <n v="0"/>
    <n v="4547.18"/>
    <n v="0"/>
    <n v="0"/>
    <n v="0"/>
    <n v="0"/>
    <n v="0"/>
    <n v="0"/>
    <n v="0"/>
    <n v="0"/>
    <n v="4547.18"/>
    <n v="0"/>
    <n v="0"/>
    <n v="449.60594572471774"/>
    <n v="16.824285714285715"/>
    <n v="0"/>
    <n v="0"/>
    <m/>
    <s v="DalsinghSarai"/>
    <m/>
    <n v="0"/>
  </r>
  <r>
    <s v="Munger"/>
    <s v="03-09 Apr"/>
    <n v="1012"/>
    <s v="DalsinghSarai"/>
    <x v="973"/>
    <s v="Sarhad-Subodh"/>
    <s v="vlc"/>
    <s v="Indirect"/>
    <n v="6.8500000000000005"/>
    <n v="256.44"/>
    <n v="0"/>
    <n v="0"/>
    <n v="0"/>
    <n v="0"/>
    <n v="0"/>
    <n v="0"/>
    <n v="256.44"/>
    <n v="0"/>
    <n v="0"/>
    <n v="0"/>
    <n v="0"/>
    <n v="0"/>
    <n v="0"/>
    <n v="0"/>
    <n v="0"/>
    <n v="256.44"/>
    <n v="0"/>
    <n v="0"/>
    <n v="518.9821489051094"/>
    <n v="0.97857142857142865"/>
    <n v="0"/>
    <n v="0"/>
    <m/>
    <s v="DalsinghSarai"/>
    <m/>
    <n v="0"/>
  </r>
  <r>
    <s v="Munger"/>
    <s v="03-09 Apr"/>
    <n v="1012"/>
    <s v="DalsinghSarai"/>
    <x v="974"/>
    <s v="Boriya"/>
    <s v="vlc"/>
    <s v="Indirect"/>
    <n v="7.32"/>
    <n v="276.7"/>
    <n v="0"/>
    <n v="0"/>
    <n v="0"/>
    <n v="0"/>
    <n v="0"/>
    <n v="0"/>
    <n v="276.7"/>
    <n v="0"/>
    <n v="0"/>
    <n v="0"/>
    <n v="0"/>
    <n v="0"/>
    <n v="0"/>
    <n v="0"/>
    <n v="0"/>
    <n v="276.7"/>
    <n v="0"/>
    <n v="0"/>
    <n v="523.6736502732241"/>
    <n v="1.0457142857142858"/>
    <n v="0"/>
    <n v="0"/>
    <m/>
    <s v="DalsinghSarai"/>
    <m/>
    <n v="0"/>
  </r>
  <r>
    <s v="Munger"/>
    <s v="03-09 Apr"/>
    <n v="1012"/>
    <s v="DalsinghSarai"/>
    <x v="492"/>
    <s v="Suratpur"/>
    <s v="MPG"/>
    <s v="Direct"/>
    <n v="771.49999999999989"/>
    <n v="30658.91"/>
    <n v="98.36"/>
    <n v="3979.8417677985008"/>
    <n v="786.08999999999992"/>
    <n v="31618.931135147614"/>
    <n v="884.44999999999993"/>
    <n v="35598.772902946112"/>
    <n v="30658.91"/>
    <n v="0"/>
    <n v="132.35116304520002"/>
    <n v="4939.8629029461117"/>
    <n v="0"/>
    <n v="0"/>
    <n v="0"/>
    <n v="0"/>
    <n v="30527"/>
    <n v="0"/>
    <n v="0"/>
    <s v="Release1"/>
    <n v="0"/>
    <n v="0"/>
    <n v="-0.16112323963722494"/>
    <n v="14"/>
    <m/>
    <s v="DalsinghSarai"/>
    <m/>
    <n v="0"/>
  </r>
  <r>
    <s v="Munger"/>
    <s v="03-09 Apr"/>
    <n v="1012"/>
    <s v="DalsinghSarai"/>
    <x v="975"/>
    <s v="Rupasbaj"/>
    <s v="vlc"/>
    <s v="Indirect"/>
    <n v="5.83"/>
    <n v="211.85"/>
    <n v="0"/>
    <n v="0"/>
    <n v="0"/>
    <n v="0"/>
    <n v="0"/>
    <n v="0"/>
    <n v="211.85"/>
    <n v="0"/>
    <n v="0"/>
    <n v="0"/>
    <n v="0"/>
    <n v="0"/>
    <n v="0"/>
    <n v="0"/>
    <n v="0"/>
    <n v="211.85"/>
    <n v="0"/>
    <n v="0"/>
    <n v="504.4937032590052"/>
    <n v="0.83285714285714285"/>
    <n v="0"/>
    <n v="0"/>
    <m/>
    <s v="DalsinghSarai"/>
    <m/>
    <n v="0"/>
  </r>
  <r>
    <s v="Munger"/>
    <s v="03-09 Apr"/>
    <n v="1012"/>
    <s v="DalsinghSarai"/>
    <x v="493"/>
    <s v="Manika Tol"/>
    <s v="MPG"/>
    <s v="Direct"/>
    <n v="21.35"/>
    <n v="696.58"/>
    <n v="21.35"/>
    <n v="697.80538718280002"/>
    <n v="0"/>
    <n v="0"/>
    <n v="21.35"/>
    <n v="697.80538718280002"/>
    <n v="696.58"/>
    <n v="0"/>
    <n v="0"/>
    <n v="1.2253871827999774"/>
    <n v="0"/>
    <n v="500"/>
    <n v="0"/>
    <n v="197"/>
    <n v="0"/>
    <n v="0"/>
    <n v="0"/>
    <n v="0"/>
    <n v="442.84217049180324"/>
    <n v="3.0500000000000003"/>
    <n v="-1.7591478118808713E-3"/>
    <n v="1"/>
    <m/>
    <s v="DalsinghSarai"/>
    <m/>
    <n v="500"/>
  </r>
  <r>
    <s v="Munger"/>
    <s v="03-09 Apr"/>
    <n v="1012"/>
    <s v="DalsinghSarai"/>
    <x v="494"/>
    <s v="Beri"/>
    <s v="MPG"/>
    <s v="Direct"/>
    <n v="590.70000000000005"/>
    <n v="20832.62"/>
    <n v="590.70000000000005"/>
    <n v="20832.941695915801"/>
    <n v="0"/>
    <n v="0"/>
    <n v="590.70000000000005"/>
    <n v="20832.941695915801"/>
    <n v="20832.62"/>
    <n v="0"/>
    <n v="0"/>
    <n v="0.32169591580168344"/>
    <n v="9000"/>
    <n v="0"/>
    <n v="0"/>
    <n v="11833"/>
    <n v="0"/>
    <n v="0"/>
    <n v="0"/>
    <s v="Release2"/>
    <n v="77.095153749788381"/>
    <n v="84.385714285714286"/>
    <n v="-1.544193269025612E-5"/>
    <n v="1"/>
    <m/>
    <s v="DalsinghSarai"/>
    <m/>
    <n v="0"/>
  </r>
  <r>
    <s v="Munger"/>
    <s v="03-09 Apr"/>
    <n v="1012"/>
    <s v="DalsinghSarai"/>
    <x v="495"/>
    <s v="Mahmmadipur"/>
    <s v="MPG"/>
    <s v="Direct"/>
    <n v="1550.6200000000001"/>
    <n v="76874.109999999986"/>
    <n v="585.87"/>
    <n v="28668.32528148745"/>
    <n v="949.49000000000024"/>
    <n v="48213.196966442418"/>
    <n v="1535.3600000000001"/>
    <n v="76881.522247929868"/>
    <n v="76874.109999999986"/>
    <n v="0"/>
    <n v="0"/>
    <n v="7.4122479298821418"/>
    <n v="0"/>
    <n v="0"/>
    <n v="0"/>
    <n v="28661"/>
    <n v="48213"/>
    <n v="0"/>
    <n v="0"/>
    <n v="0"/>
    <n v="0"/>
    <n v="0"/>
    <n v="-9.6420601550797051E-5"/>
    <n v="27"/>
    <m/>
    <s v="DalsinghSarai"/>
    <m/>
    <n v="0"/>
  </r>
  <r>
    <s v="Munger"/>
    <s v="03-09 Apr"/>
    <n v="1012"/>
    <s v="DalsinghSarai"/>
    <x v="496"/>
    <s v="Simri-Rupesh"/>
    <s v="vlc"/>
    <s v="Indirect"/>
    <n v="1093.7000000000003"/>
    <n v="40611.000000000007"/>
    <n v="0"/>
    <n v="0"/>
    <n v="0"/>
    <n v="0"/>
    <n v="0"/>
    <n v="0"/>
    <n v="40611.000000000007"/>
    <n v="0"/>
    <n v="0"/>
    <n v="0"/>
    <n v="0"/>
    <n v="0"/>
    <n v="0"/>
    <n v="0"/>
    <n v="0"/>
    <n v="40611.000000000007"/>
    <n v="0"/>
    <n v="0"/>
    <n v="0"/>
    <n v="0"/>
    <n v="0"/>
    <n v="0"/>
    <m/>
    <s v="DalsinghSarai"/>
    <m/>
    <n v="0"/>
  </r>
  <r>
    <s v="Munger"/>
    <s v="03-09 Apr"/>
    <n v="1012"/>
    <s v="DalsinghSarai"/>
    <x v="976"/>
    <s v="Kursaha East"/>
    <s v="MPG"/>
    <s v="Direct"/>
    <n v="7.5100000000000007"/>
    <n v="272.62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502.76064926764309"/>
    <n v="1.072857142857143"/>
    <n v="1"/>
    <n v="0"/>
    <m/>
    <s v="DalsinghSarai"/>
    <m/>
    <n v="0"/>
  </r>
  <r>
    <s v="Munger"/>
    <s v="03-09 Apr"/>
    <n v="1062"/>
    <s v="Singhia BMC"/>
    <x v="497"/>
    <s v="Mithilanchal Dairy Products"/>
    <s v="vlc"/>
    <s v="Indirect"/>
    <n v="3845"/>
    <n v="144207.65"/>
    <n v="0"/>
    <n v="0"/>
    <n v="0"/>
    <n v="0"/>
    <n v="0"/>
    <n v="0"/>
    <n v="144207.65"/>
    <n v="0"/>
    <n v="0"/>
    <n v="0"/>
    <n v="0"/>
    <n v="0"/>
    <n v="0"/>
    <n v="0"/>
    <n v="0"/>
    <n v="144207.65"/>
    <n v="0"/>
    <n v="0"/>
    <n v="0"/>
    <n v="0"/>
    <n v="0"/>
    <n v="0"/>
    <m/>
    <s v="Singhia BMC"/>
    <m/>
    <n v="0"/>
  </r>
  <r>
    <s v="Munger"/>
    <s v="03-09 Apr"/>
    <n v="1012"/>
    <s v="DalsinghSarai"/>
    <x v="498"/>
    <s v="Gomukh Jhaura Tabhka"/>
    <s v="MPG"/>
    <s v="Direct"/>
    <n v="424.82000000000005"/>
    <n v="16292.509999999997"/>
    <n v="429.6"/>
    <n v="16349.446416798002"/>
    <n v="1.4000000000000001"/>
    <n v="53.889150744000005"/>
    <n v="431"/>
    <n v="16403.335567542003"/>
    <n v="16292.509999999997"/>
    <n v="0"/>
    <n v="53.889150744000005"/>
    <n v="110.82556754200596"/>
    <n v="0"/>
    <n v="0"/>
    <n v="0"/>
    <n v="16239"/>
    <n v="0"/>
    <n v="0"/>
    <n v="0"/>
    <n v="0"/>
    <n v="211.07164925380152"/>
    <n v="60.688571428571436"/>
    <n v="-6.8022402651283309E-3"/>
    <n v="2"/>
    <m/>
    <s v="DalsinghSarai"/>
    <m/>
    <n v="0"/>
  </r>
  <r>
    <s v="Munger"/>
    <s v="03-09 Apr"/>
    <n v="1012"/>
    <s v="DalsinghSarai"/>
    <x v="499"/>
    <s v="Gomukh Mohanpur"/>
    <s v="MPG"/>
    <s v="Direct"/>
    <n v="444.09000000000003"/>
    <n v="18103.910000000003"/>
    <n v="148.26999999999998"/>
    <n v="6810.1840703990847"/>
    <n v="294.95"/>
    <n v="10848.950550575235"/>
    <n v="443.21999999999997"/>
    <n v="17659.134620974321"/>
    <n v="17659.134620974321"/>
    <n v="0"/>
    <n v="379.13390182800003"/>
    <n v="0"/>
    <n v="0"/>
    <n v="0"/>
    <n v="0"/>
    <n v="6810"/>
    <n v="10470"/>
    <n v="0"/>
    <n v="445"/>
    <n v="0"/>
    <n v="208.65012083586663"/>
    <n v="63.441428571428574"/>
    <n v="2.4567918147277733E-2"/>
    <n v="12"/>
    <m/>
    <s v="DalsinghSarai"/>
    <m/>
    <n v="0"/>
  </r>
  <r>
    <s v="Munger"/>
    <s v="03-09 Apr"/>
    <n v="1012"/>
    <s v="DalsinghSarai"/>
    <x v="977"/>
    <s v="Gomukh Bingama"/>
    <s v="vlc"/>
    <s v="Indirect"/>
    <n v="8.629999999999999"/>
    <n v="319.14999999999998"/>
    <n v="0"/>
    <n v="0"/>
    <n v="0"/>
    <n v="0"/>
    <n v="0"/>
    <n v="0"/>
    <n v="319.14999999999998"/>
    <n v="0"/>
    <n v="0"/>
    <n v="0"/>
    <n v="0"/>
    <n v="0"/>
    <n v="0"/>
    <n v="0"/>
    <n v="0"/>
    <n v="319.14999999999998"/>
    <n v="0"/>
    <n v="0"/>
    <n v="511.35744032444967"/>
    <n v="1.2328571428571427"/>
    <n v="0"/>
    <n v="0"/>
    <m/>
    <s v="DalsinghSarai"/>
    <m/>
    <n v="0"/>
  </r>
  <r>
    <s v="Munger"/>
    <s v="03-09 Apr"/>
    <n v="1012"/>
    <s v="DalsinghSarai"/>
    <x v="500"/>
    <s v="Gomukh Bochaha"/>
    <s v="MPG"/>
    <s v="Direct"/>
    <n v="1007.2000000000002"/>
    <n v="45958.35"/>
    <n v="107.71000000000001"/>
    <n v="5335.2362086562207"/>
    <n v="906.62999999999988"/>
    <n v="40621.023508915336"/>
    <n v="1014.3399999999999"/>
    <n v="45956.259717571556"/>
    <n v="45956.259717571556"/>
    <n v="0"/>
    <n v="0"/>
    <n v="0"/>
    <n v="0"/>
    <n v="0"/>
    <n v="0"/>
    <n v="5335"/>
    <n v="40621"/>
    <n v="0"/>
    <n v="2"/>
    <n v="0"/>
    <n v="0"/>
    <n v="0"/>
    <n v="4.5482103435875122E-5"/>
    <n v="25"/>
    <m/>
    <s v="DalsinghSarai"/>
    <m/>
    <n v="0"/>
  </r>
  <r>
    <s v="Munger"/>
    <s v="03-09 Apr"/>
    <n v="1012"/>
    <s v="DalsinghSarai"/>
    <x v="501"/>
    <s v="Gomukh Terganj"/>
    <s v="MPG"/>
    <s v="Direct"/>
    <n v="206.82"/>
    <n v="8079.1799999999985"/>
    <n v="127"/>
    <n v="5252.1584939999993"/>
    <n v="94"/>
    <n v="3894.6333887999999"/>
    <n v="221"/>
    <n v="9146.7918828000002"/>
    <n v="8079.1799999999985"/>
    <n v="0"/>
    <n v="0"/>
    <n v="1067.6118828000017"/>
    <n v="0"/>
    <n v="500"/>
    <n v="0"/>
    <n v="3684"/>
    <n v="3895"/>
    <n v="0"/>
    <n v="0"/>
    <n v="0"/>
    <n v="385.30993060632426"/>
    <n v="29.545714285714286"/>
    <n v="-0.13214359412712701"/>
    <n v="3"/>
    <m/>
    <s v="DalsinghSarai"/>
    <m/>
    <n v="500"/>
  </r>
  <r>
    <s v="Munger"/>
    <s v="03-09 Apr"/>
    <n v="1012"/>
    <s v="DalsinghSarai"/>
    <x v="502"/>
    <s v="Gomukh Chapra"/>
    <s v="vlc"/>
    <s v="Indirect"/>
    <n v="948.46"/>
    <n v="34420.049999999996"/>
    <n v="0"/>
    <n v="0"/>
    <n v="0"/>
    <n v="0"/>
    <n v="0"/>
    <n v="0"/>
    <n v="34420.049999999996"/>
    <n v="0"/>
    <n v="0"/>
    <n v="0"/>
    <n v="10688"/>
    <n v="0"/>
    <n v="0"/>
    <n v="0"/>
    <n v="0"/>
    <n v="23732.049999999996"/>
    <n v="0"/>
    <n v="0"/>
    <n v="0"/>
    <n v="0"/>
    <n v="0"/>
    <n v="0"/>
    <m/>
    <s v="DalsinghSarai"/>
    <m/>
    <n v="0"/>
  </r>
  <r>
    <s v="Munger"/>
    <s v="03-09 Apr"/>
    <n v="1012"/>
    <s v="DalsinghSarai"/>
    <x v="503"/>
    <s v="GOMUKH Chiranjipur"/>
    <s v="vlc"/>
    <s v="Indirect"/>
    <n v="11296"/>
    <n v="438548.36999999994"/>
    <n v="0"/>
    <n v="0"/>
    <n v="0"/>
    <n v="0"/>
    <n v="0"/>
    <n v="0"/>
    <n v="438548.36999999994"/>
    <n v="0"/>
    <n v="0"/>
    <n v="0"/>
    <n v="0"/>
    <n v="0"/>
    <n v="0"/>
    <n v="0"/>
    <n v="0"/>
    <n v="438548.36999999994"/>
    <n v="0"/>
    <n v="0"/>
    <n v="0"/>
    <n v="0"/>
    <n v="0"/>
    <n v="0"/>
    <m/>
    <s v="DalsinghSarai"/>
    <m/>
    <n v="0"/>
  </r>
  <r>
    <s v="Munger"/>
    <s v="03-09 Apr"/>
    <n v="1012"/>
    <s v="DalsinghSarai"/>
    <x v="504"/>
    <s v="Gomukh Sahu Tol"/>
    <s v="vlc"/>
    <s v="Indirect"/>
    <n v="1417"/>
    <n v="56712.58"/>
    <n v="0"/>
    <n v="0"/>
    <n v="0"/>
    <n v="0"/>
    <n v="0"/>
    <n v="0"/>
    <n v="56712.58"/>
    <n v="0"/>
    <n v="0"/>
    <n v="0"/>
    <n v="0"/>
    <n v="0"/>
    <n v="0"/>
    <n v="0"/>
    <n v="0"/>
    <n v="56712.58"/>
    <n v="0"/>
    <n v="0"/>
    <n v="0"/>
    <n v="0"/>
    <n v="0"/>
    <n v="0"/>
    <m/>
    <s v="DalsinghSarai"/>
    <m/>
    <n v="0"/>
  </r>
  <r>
    <s v="Munger"/>
    <s v="03-09 Apr"/>
    <n v="1012"/>
    <s v="DalsinghSarai"/>
    <x v="505"/>
    <s v="Gomukh Mordiwa East"/>
    <s v="MPG"/>
    <s v="Direct"/>
    <n v="1130.3999999999999"/>
    <n v="43296.270000000004"/>
    <n v="412.41999999999996"/>
    <n v="16535.960357736603"/>
    <n v="730.9"/>
    <n v="29410.788037435203"/>
    <n v="1143.32"/>
    <n v="45946.748395171802"/>
    <n v="43296.270000000004"/>
    <n v="0"/>
    <n v="0"/>
    <n v="2650.4783951717982"/>
    <n v="0"/>
    <n v="0"/>
    <n v="0"/>
    <n v="13886"/>
    <n v="29410"/>
    <n v="0"/>
    <n v="0"/>
    <n v="0"/>
    <n v="0"/>
    <n v="0"/>
    <n v="-6.1217245623509782E-2"/>
    <n v="7"/>
    <m/>
    <s v="DalsinghSarai"/>
    <m/>
    <n v="0"/>
  </r>
  <r>
    <s v="Munger"/>
    <s v="03-09 Apr"/>
    <n v="1012"/>
    <s v="DalsinghSarai"/>
    <x v="978"/>
    <s v="GOMUKH HANUMAN NAGAR"/>
    <s v="MPG"/>
    <s v="Direct"/>
    <n v="7.86"/>
    <n v="294.27"/>
    <n v="0"/>
    <n v="0"/>
    <n v="0"/>
    <n v="0"/>
    <n v="0"/>
    <n v="0"/>
    <n v="0"/>
    <n v="0"/>
    <n v="0"/>
    <n v="0"/>
    <n v="0"/>
    <n v="0"/>
    <n v="0"/>
    <n v="0"/>
    <n v="0"/>
    <n v="0"/>
    <n v="294"/>
    <s v="Yes"/>
    <n v="518.25963816793887"/>
    <n v="1.122857142857143"/>
    <n v="1"/>
    <n v="0"/>
    <m/>
    <s v="DalsinghSarai"/>
    <m/>
    <n v="0"/>
  </r>
  <r>
    <s v="Munger"/>
    <s v="03-09 Apr"/>
    <n v="1012"/>
    <s v="DalsinghSarai"/>
    <x v="979"/>
    <s v="Gomukh Belamegh"/>
    <s v="vlc"/>
    <s v="Indirect"/>
    <n v="320"/>
    <n v="11574.4"/>
    <n v="0"/>
    <n v="0"/>
    <n v="0"/>
    <n v="0"/>
    <n v="0"/>
    <n v="0"/>
    <n v="11574.4"/>
    <n v="0"/>
    <n v="0"/>
    <n v="0"/>
    <n v="0"/>
    <n v="0"/>
    <n v="0"/>
    <n v="0"/>
    <n v="0"/>
    <n v="11574.4"/>
    <n v="0"/>
    <n v="0"/>
    <n v="274.892"/>
    <n v="45.714285714285715"/>
    <n v="0"/>
    <n v="0"/>
    <m/>
    <s v="DalsinghSarai"/>
    <m/>
    <n v="0"/>
  </r>
  <r>
    <s v="Munger"/>
    <s v="03-09 Apr"/>
    <n v="1012"/>
    <s v="DalsinghSarai"/>
    <x v="506"/>
    <s v="Gomukh Ramaiya"/>
    <s v="MPG"/>
    <s v="Direct"/>
    <n v="956.55000000000018"/>
    <n v="38606.33"/>
    <n v="956.55000000000018"/>
    <n v="38604.927367908007"/>
    <n v="0"/>
    <n v="0"/>
    <n v="956.55000000000018"/>
    <n v="38604.927367908007"/>
    <n v="38604.927367908007"/>
    <n v="0"/>
    <n v="0"/>
    <n v="0"/>
    <n v="0"/>
    <n v="0"/>
    <n v="0"/>
    <n v="38605"/>
    <n v="0"/>
    <n v="0"/>
    <n v="1"/>
    <n v="0"/>
    <n v="0"/>
    <n v="0"/>
    <n v="3.633166094769294E-5"/>
    <n v="1"/>
    <m/>
    <s v="DalsinghSarai"/>
    <m/>
    <n v="0"/>
  </r>
  <r>
    <s v="Munger"/>
    <s v="03-09 Apr"/>
    <n v="1012"/>
    <s v="DalsinghSarai"/>
    <x v="507"/>
    <s v="GOMUKH MANIKA EAST"/>
    <s v="MPG"/>
    <s v="Direct"/>
    <n v="903.48000000000013"/>
    <n v="35196.53"/>
    <n v="656.89"/>
    <n v="26543.985306606708"/>
    <n v="207"/>
    <n v="8649.2600017581008"/>
    <n v="863.89"/>
    <n v="35193.245308364807"/>
    <n v="35193.245308364807"/>
    <n v="0"/>
    <n v="0"/>
    <n v="0"/>
    <n v="0"/>
    <n v="0"/>
    <n v="0"/>
    <n v="26543"/>
    <n v="8649"/>
    <n v="0"/>
    <n v="5"/>
    <n v="0"/>
    <n v="0"/>
    <n v="0"/>
    <n v="9.3324303139879074E-5"/>
    <n v="12"/>
    <m/>
    <s v="DalsinghSarai"/>
    <m/>
    <n v="0"/>
  </r>
  <r>
    <s v="Munger"/>
    <s v="03-09 Apr"/>
    <n v="1012"/>
    <s v="DalsinghSarai"/>
    <x v="508"/>
    <s v="IMADPUR"/>
    <s v="vlc"/>
    <s v="Indirect"/>
    <n v="1093.03"/>
    <n v="38924.81"/>
    <n v="0"/>
    <n v="0"/>
    <n v="0"/>
    <n v="0"/>
    <n v="0"/>
    <n v="0"/>
    <n v="38924.81"/>
    <n v="0"/>
    <n v="0"/>
    <n v="0"/>
    <n v="0"/>
    <n v="0"/>
    <n v="0"/>
    <n v="0"/>
    <n v="0"/>
    <n v="38924.81"/>
    <n v="0"/>
    <n v="0"/>
    <n v="0"/>
    <n v="0"/>
    <n v="0"/>
    <n v="0"/>
    <m/>
    <s v="DalsinghSarai"/>
    <m/>
    <n v="0"/>
  </r>
  <r>
    <s v="Munger"/>
    <s v="03-09 Apr"/>
    <n v="1012"/>
    <s v="DalsinghSarai"/>
    <x v="509"/>
    <s v="Gomukh MANIYAR EAST"/>
    <s v="vlc"/>
    <s v="Indirect"/>
    <n v="605.27"/>
    <n v="25982.260000000002"/>
    <n v="0"/>
    <n v="0"/>
    <n v="0"/>
    <n v="0"/>
    <n v="0"/>
    <n v="0"/>
    <n v="25982.260000000002"/>
    <n v="0"/>
    <n v="0"/>
    <n v="0"/>
    <n v="0"/>
    <n v="0"/>
    <n v="0"/>
    <n v="0"/>
    <n v="0"/>
    <n v="25982.260000000002"/>
    <n v="0"/>
    <n v="0"/>
    <n v="81.328976813653398"/>
    <n v="86.467142857142861"/>
    <n v="0"/>
    <n v="0"/>
    <m/>
    <s v="DalsinghSarai"/>
    <m/>
    <n v="0"/>
  </r>
  <r>
    <s v="Munger"/>
    <s v="03-09 Apr"/>
    <n v="1012"/>
    <s v="DalsinghSarai"/>
    <x v="510"/>
    <s v="GOMUKH Kisanpur Tabhka"/>
    <s v="MPG"/>
    <s v="Direct"/>
    <n v="1266.1699999999998"/>
    <n v="52909.439999999995"/>
    <n v="276.19"/>
    <n v="11602.517538633081"/>
    <n v="989.98"/>
    <n v="43080.128504962995"/>
    <n v="1266.17"/>
    <n v="54682.646043596076"/>
    <n v="52909.439999999995"/>
    <n v="0"/>
    <n v="0"/>
    <n v="1773.2060435960811"/>
    <n v="0"/>
    <n v="0"/>
    <n v="0"/>
    <n v="9829"/>
    <n v="43080"/>
    <n v="0"/>
    <n v="0"/>
    <n v="0"/>
    <n v="0"/>
    <n v="0"/>
    <n v="-3.351398244993864E-2"/>
    <n v="11"/>
    <m/>
    <s v="DalsinghSarai"/>
    <m/>
    <n v="0"/>
  </r>
  <r>
    <s v="Munger"/>
    <s v="03-09 Apr"/>
    <n v="1012"/>
    <s v="DalsinghSarai"/>
    <x v="511"/>
    <s v="GOMUKH BIBHUTIPUR"/>
    <s v="MPG"/>
    <s v="Direct"/>
    <n v="65.709999999999994"/>
    <n v="2571.1"/>
    <n v="65.12"/>
    <n v="2586.5955300240003"/>
    <n v="0.5"/>
    <n v="19.140541200000001"/>
    <n v="65.62"/>
    <n v="2605.7360712240002"/>
    <n v="2571.1"/>
    <n v="0"/>
    <n v="19.140541200000001"/>
    <n v="34.636071224000261"/>
    <n v="0"/>
    <n v="0"/>
    <n v="0"/>
    <n v="2552"/>
    <n v="0"/>
    <n v="0"/>
    <n v="0"/>
    <n v="0"/>
    <n v="496.36981250951146"/>
    <n v="9.387142857142857"/>
    <n v="-1.3471304587141792E-2"/>
    <n v="3"/>
    <m/>
    <s v="DalsinghSarai"/>
    <m/>
    <n v="0"/>
  </r>
  <r>
    <s v="Munger"/>
    <s v="03-09 Apr"/>
    <n v="1012"/>
    <s v="DalsinghSarai"/>
    <x v="512"/>
    <s v="GOMUKH PATHAKTOL"/>
    <s v="MPG"/>
    <s v="Direct"/>
    <n v="224.32000000000002"/>
    <n v="9136.880000000001"/>
    <n v="160.99999999999997"/>
    <n v="6542.8122394800012"/>
    <n v="63.400000000000006"/>
    <n v="2595.6105425547007"/>
    <n v="224.39999999999998"/>
    <n v="9138.4227820347023"/>
    <n v="9136.880000000001"/>
    <n v="0"/>
    <n v="0"/>
    <n v="1.5427820347013039"/>
    <n v="0"/>
    <n v="0"/>
    <n v="0"/>
    <n v="6541"/>
    <n v="2596"/>
    <n v="0"/>
    <n v="0"/>
    <n v="0"/>
    <n v="387.50277089871611"/>
    <n v="32.04571428571429"/>
    <n v="-1.6885217215300012E-4"/>
    <n v="6"/>
    <m/>
    <s v="DalsinghSarai"/>
    <m/>
    <n v="0"/>
  </r>
  <r>
    <s v="Munger"/>
    <s v="03-09 Apr"/>
    <n v="1012"/>
    <s v="DalsinghSarai"/>
    <x v="513"/>
    <s v="Gomukh Musapur West"/>
    <s v="vlc"/>
    <s v="Indirect"/>
    <n v="1162.8599999999999"/>
    <n v="43435"/>
    <n v="0"/>
    <n v="0"/>
    <n v="0"/>
    <n v="0"/>
    <n v="0"/>
    <n v="0"/>
    <n v="43435"/>
    <n v="0"/>
    <n v="0"/>
    <n v="0"/>
    <n v="0"/>
    <n v="0"/>
    <n v="0"/>
    <n v="0"/>
    <n v="0"/>
    <n v="43435"/>
    <n v="0"/>
    <n v="0"/>
    <n v="0"/>
    <n v="0"/>
    <n v="0"/>
    <n v="0"/>
    <m/>
    <s v="DalsinghSarai"/>
    <m/>
    <n v="0"/>
  </r>
  <r>
    <s v="Munger"/>
    <s v="03-09 Apr"/>
    <n v="1012"/>
    <s v="DalsinghSarai"/>
    <x v="514"/>
    <s v="GOMUKH DADHIYA RAMKRISHANPUR"/>
    <s v="MPG"/>
    <s v="Direct"/>
    <n v="1934.5699999999997"/>
    <n v="79654.659999999989"/>
    <n v="575.10000000000014"/>
    <n v="20512.703148846005"/>
    <n v="1386.3000000000002"/>
    <n v="59139.015394867129"/>
    <n v="1961.4000000000003"/>
    <n v="79651.718543713127"/>
    <n v="79651.718543713127"/>
    <n v="0"/>
    <n v="1694.9210428144002"/>
    <n v="0"/>
    <n v="0"/>
    <n v="0"/>
    <n v="0"/>
    <n v="20513"/>
    <n v="57443"/>
    <n v="0"/>
    <n v="4"/>
    <n v="0"/>
    <n v="0"/>
    <n v="0"/>
    <n v="3.6927610849916081E-5"/>
    <n v="29"/>
    <m/>
    <s v="DalsinghSarai"/>
    <m/>
    <n v="0"/>
  </r>
  <r>
    <s v="Munger"/>
    <s v="03-09 Apr"/>
    <n v="1012"/>
    <s v="DalsinghSarai"/>
    <x v="980"/>
    <s v="GOMUKH Saatha"/>
    <s v="vlc"/>
    <s v="Indirect"/>
    <n v="7.48"/>
    <n v="274.41999999999996"/>
    <n v="0"/>
    <n v="0"/>
    <n v="0"/>
    <n v="0"/>
    <n v="0"/>
    <n v="0"/>
    <n v="274.41999999999996"/>
    <n v="0"/>
    <n v="0"/>
    <n v="0"/>
    <n v="0"/>
    <n v="0"/>
    <n v="0"/>
    <n v="0"/>
    <n v="0"/>
    <n v="274.41999999999996"/>
    <n v="0"/>
    <n v="0"/>
    <n v="508.13192085561491"/>
    <n v="1.0685714285714287"/>
    <n v="0"/>
    <n v="0"/>
    <m/>
    <s v="DalsinghSarai"/>
    <m/>
    <n v="0"/>
  </r>
  <r>
    <s v="Munger"/>
    <s v="03-09 Apr"/>
    <n v="1012"/>
    <s v="DalsinghSarai"/>
    <x v="981"/>
    <s v="Gomukh Bingama West"/>
    <s v="vlc"/>
    <s v="Indirect"/>
    <n v="1.32"/>
    <n v="52.1"/>
    <n v="0"/>
    <n v="0"/>
    <n v="0"/>
    <n v="0"/>
    <n v="0"/>
    <n v="0"/>
    <n v="52.1"/>
    <n v="0"/>
    <n v="0"/>
    <n v="0"/>
    <n v="0"/>
    <n v="0"/>
    <n v="0"/>
    <n v="0"/>
    <n v="0"/>
    <n v="52.1"/>
    <n v="0"/>
    <n v="0"/>
    <n v="551.53375757575759"/>
    <n v="0.18857142857142858"/>
    <n v="0"/>
    <n v="0"/>
    <m/>
    <s v="DalsinghSarai"/>
    <m/>
    <n v="0"/>
  </r>
  <r>
    <s v="Munger"/>
    <s v="03-09 Apr"/>
    <n v="1012"/>
    <s v="DalsinghSarai"/>
    <x v="982"/>
    <s v="Gomukh Simri Ward 4"/>
    <s v="vlc"/>
    <s v="Indirect"/>
    <n v="6670"/>
    <n v="236832.30000000002"/>
    <n v="0"/>
    <n v="0"/>
    <n v="0"/>
    <n v="0"/>
    <n v="0"/>
    <n v="0"/>
    <n v="236832.30000000002"/>
    <n v="0"/>
    <n v="0"/>
    <n v="0"/>
    <n v="0"/>
    <n v="0"/>
    <n v="0"/>
    <n v="0"/>
    <n v="0"/>
    <n v="236832.30000000002"/>
    <n v="0"/>
    <n v="0"/>
    <n v="0"/>
    <n v="0"/>
    <n v="0"/>
    <n v="0"/>
    <m/>
    <s v="DalsinghSarai"/>
    <m/>
    <n v="0"/>
  </r>
  <r>
    <s v="Munger"/>
    <s v="03-09 Apr"/>
    <n v="1012"/>
    <s v="DalsinghSarai"/>
    <x v="515"/>
    <s v="GOMUKH BALTHARA"/>
    <s v="MPG"/>
    <s v="Direct"/>
    <n v="258.68999999999994"/>
    <n v="10470.66"/>
    <n v="102.25999999999999"/>
    <n v="4260.9584763953999"/>
    <n v="145.99"/>
    <n v="6208.9546703569604"/>
    <n v="248.25"/>
    <n v="10469.91314675236"/>
    <n v="10469.91314675236"/>
    <n v="0"/>
    <n v="0"/>
    <n v="0"/>
    <n v="0"/>
    <n v="0"/>
    <n v="0"/>
    <n v="4261"/>
    <n v="6209"/>
    <n v="0"/>
    <n v="1"/>
    <n v="0"/>
    <n v="357.24666315667417"/>
    <n v="36.955714285714279"/>
    <n v="7.1328192075723225E-5"/>
    <n v="7"/>
    <m/>
    <s v="DalsinghSarai"/>
    <m/>
    <n v="0"/>
  </r>
  <r>
    <s v="Munger"/>
    <s v="03-09 Apr"/>
    <n v="1012"/>
    <s v="DalsinghSarai"/>
    <x v="516"/>
    <s v="GOMUKH BHASINGPUR"/>
    <s v="MPG"/>
    <s v="Direct"/>
    <n v="1274.25"/>
    <n v="51982.69"/>
    <n v="489.52"/>
    <n v="21917.760545771525"/>
    <n v="737.35"/>
    <n v="30278.116007989251"/>
    <n v="1226.8699999999999"/>
    <n v="52195.876553760776"/>
    <n v="51982.69"/>
    <n v="0"/>
    <n v="0"/>
    <n v="213.18655376077368"/>
    <n v="0"/>
    <n v="0"/>
    <n v="0"/>
    <n v="21706"/>
    <n v="30277"/>
    <n v="0"/>
    <n v="0"/>
    <n v="0"/>
    <n v="0"/>
    <n v="0"/>
    <n v="-4.101106613774194E-3"/>
    <n v="12"/>
    <m/>
    <s v="DalsinghSarai"/>
    <m/>
    <n v="0"/>
  </r>
  <r>
    <s v="Munger"/>
    <s v="03-09 Apr"/>
    <n v="1012"/>
    <s v="DalsinghSarai"/>
    <x v="517"/>
    <s v="GOMUKH Chakhale Dad"/>
    <s v="MPG"/>
    <s v="Direct"/>
    <n v="798.7"/>
    <n v="30412.240000000002"/>
    <n v="716.35"/>
    <n v="26760.456531212159"/>
    <n v="106.03"/>
    <n v="3651.07836977652"/>
    <n v="822.38"/>
    <n v="30411.534900988678"/>
    <n v="30411.534900988678"/>
    <n v="0"/>
    <n v="132.55594502040003"/>
    <n v="0"/>
    <n v="0"/>
    <n v="0"/>
    <n v="0"/>
    <n v="26760"/>
    <n v="3519"/>
    <n v="0"/>
    <n v="1"/>
    <n v="0"/>
    <n v="0"/>
    <n v="0"/>
    <n v="2.3184711528118597E-5"/>
    <n v="15"/>
    <m/>
    <s v="DalsinghSarai"/>
    <m/>
    <n v="0"/>
  </r>
  <r>
    <s v="Munger"/>
    <s v="03-09 Apr"/>
    <n v="1013"/>
    <s v="Musrigharari"/>
    <x v="518"/>
    <s v="GOMUKH BANGHARH KISHANPUR"/>
    <s v="MPG"/>
    <s v="Direct"/>
    <n v="669.29999999999984"/>
    <n v="23355.59"/>
    <n v="107.89999999999998"/>
    <n v="3824.4201803710007"/>
    <n v="564.09999999999991"/>
    <n v="19747.304318412003"/>
    <n v="671.99999999999989"/>
    <n v="23571.724498783005"/>
    <n v="23355.59"/>
    <n v="0"/>
    <n v="177.01978219200004"/>
    <n v="216.13449878300526"/>
    <n v="0"/>
    <n v="0"/>
    <n v="0"/>
    <n v="3608"/>
    <n v="19570"/>
    <n v="0"/>
    <n v="1"/>
    <n v="0"/>
    <n v="21.425866218437324"/>
    <n v="95.614285714285685"/>
    <n v="-9.2540800203722209E-3"/>
    <n v="13"/>
    <m/>
    <s v="Musrigharari"/>
    <m/>
    <n v="0"/>
  </r>
  <r>
    <s v="Munger"/>
    <s v="03-09 Apr"/>
    <n v="1013"/>
    <s v="Musrigharari"/>
    <x v="519"/>
    <s v="Gomukh Serpur Narsari"/>
    <s v="vlc"/>
    <s v="Indirect"/>
    <n v="70.400000000000006"/>
    <n v="2571.6899999999996"/>
    <n v="0"/>
    <n v="0"/>
    <n v="0"/>
    <n v="0"/>
    <n v="0"/>
    <n v="0"/>
    <n v="2571.6899999999996"/>
    <n v="0"/>
    <n v="0"/>
    <n v="0"/>
    <n v="0"/>
    <n v="0"/>
    <n v="0"/>
    <n v="0"/>
    <n v="0"/>
    <n v="2571.6899999999996"/>
    <n v="0"/>
    <n v="0"/>
    <n v="459.9818249999999"/>
    <n v="10.057142857142859"/>
    <n v="0"/>
    <n v="0"/>
    <m/>
    <s v="Musrigharari"/>
    <m/>
    <n v="0"/>
  </r>
  <r>
    <s v="Munger"/>
    <s v="03-09 Apr"/>
    <n v="1013"/>
    <s v="Musrigharari"/>
    <x v="520"/>
    <s v="PARORIYA"/>
    <s v="MPG"/>
    <s v="Direct"/>
    <n v="117.3"/>
    <n v="3673.5400000000004"/>
    <n v="125"/>
    <n v="3958.4536566300003"/>
    <n v="0.4"/>
    <n v="14.018796000000002"/>
    <n v="125.4"/>
    <n v="3972.4724526300001"/>
    <n v="3673.5400000000004"/>
    <n v="0"/>
    <n v="14.018796000000002"/>
    <n v="298.93245262999972"/>
    <n v="0"/>
    <n v="0"/>
    <n v="0"/>
    <n v="3660"/>
    <n v="0"/>
    <n v="0"/>
    <n v="0"/>
    <n v="0"/>
    <n v="364.97387178175626"/>
    <n v="16.757142857142856"/>
    <n v="-8.1374492350702501E-2"/>
    <n v="3"/>
    <m/>
    <s v="Musrigharari"/>
    <m/>
    <n v="0"/>
  </r>
  <r>
    <s v="Munger"/>
    <s v="03-09 Apr"/>
    <n v="1013"/>
    <s v="Musrigharari"/>
    <x v="521"/>
    <s v="JHAKHRA"/>
    <s v="vlc"/>
    <s v="Indirect"/>
    <n v="42.300000000000004"/>
    <n v="1308.1399999999999"/>
    <n v="0"/>
    <n v="0"/>
    <n v="0"/>
    <n v="0"/>
    <n v="0"/>
    <n v="0"/>
    <n v="1308.1399999999999"/>
    <n v="0"/>
    <n v="0"/>
    <n v="0"/>
    <n v="0"/>
    <n v="0"/>
    <n v="0"/>
    <n v="0"/>
    <n v="0"/>
    <n v="1308.1399999999999"/>
    <n v="0"/>
    <n v="0"/>
    <n v="406.79133711583921"/>
    <n v="6.0428571428571436"/>
    <n v="0"/>
    <n v="0"/>
    <m/>
    <s v="Musrigharari"/>
    <m/>
    <n v="0"/>
  </r>
  <r>
    <s v="Munger"/>
    <s v="03-09 Apr"/>
    <n v="1013"/>
    <s v="Musrigharari"/>
    <x v="522"/>
    <s v="GOMUKH ANDAHA"/>
    <s v="MPG"/>
    <s v="Direct"/>
    <n v="604.79999999999995"/>
    <n v="21053.53"/>
    <n v="597.2600000000001"/>
    <n v="21463.903214465699"/>
    <n v="0"/>
    <n v="0"/>
    <n v="597.2600000000001"/>
    <n v="21463.903214465699"/>
    <n v="21053.53"/>
    <n v="0"/>
    <n v="0"/>
    <n v="410.37321446570058"/>
    <n v="0"/>
    <n v="0"/>
    <n v="0"/>
    <n v="21054"/>
    <n v="0"/>
    <n v="0"/>
    <n v="0"/>
    <n v="0"/>
    <n v="66.279631481481516"/>
    <n v="86.399999999999991"/>
    <n v="-1.9491895870464508E-2"/>
    <n v="10"/>
    <m/>
    <s v="Musrigharari"/>
    <m/>
    <n v="0"/>
  </r>
  <r>
    <s v="Munger"/>
    <s v="03-09 Apr"/>
    <n v="1013"/>
    <s v="Musrigharari"/>
    <x v="523"/>
    <s v="Gomukha Rohua"/>
    <s v="MPG"/>
    <s v="Direct"/>
    <n v="815.6"/>
    <n v="31256.309999999998"/>
    <n v="791"/>
    <n v="32322.395750642911"/>
    <n v="26.310000000000002"/>
    <n v="1032.5227703707001"/>
    <n v="817.31"/>
    <n v="33354.918521013613"/>
    <n v="31256.309999999998"/>
    <n v="0"/>
    <n v="268.1785708507"/>
    <n v="2098.6085210136152"/>
    <n v="0"/>
    <n v="0"/>
    <n v="0"/>
    <n v="30224"/>
    <n v="764"/>
    <n v="0"/>
    <n v="0"/>
    <n v="0"/>
    <n v="0"/>
    <n v="0"/>
    <n v="-6.7141915376882799E-2"/>
    <n v="10"/>
    <m/>
    <s v="Musrigharari"/>
    <m/>
    <n v="0"/>
  </r>
  <r>
    <s v="Munger"/>
    <s v="03-09 Apr"/>
    <n v="1013"/>
    <s v="Musrigharari"/>
    <x v="524"/>
    <s v="Gomukha Arniya Ganj"/>
    <s v="MPG"/>
    <s v="Direct"/>
    <n v="3559.9999999999991"/>
    <n v="129412.06999999999"/>
    <n v="2109.6"/>
    <n v="77716.003442022018"/>
    <n v="1627.0000000000002"/>
    <n v="59970.536250451383"/>
    <n v="3736.6000000000004"/>
    <n v="137686.53969247339"/>
    <n v="129412.06999999999"/>
    <n v="0"/>
    <n v="1293.45210324"/>
    <n v="8274.4696924734017"/>
    <n v="0"/>
    <n v="0"/>
    <n v="0"/>
    <n v="69441"/>
    <n v="58677"/>
    <n v="0"/>
    <n v="1"/>
    <s v="Release2"/>
    <n v="0"/>
    <n v="0"/>
    <n v="-6.3938933149538538E-2"/>
    <n v="56"/>
    <m/>
    <s v="Musrigharari"/>
    <m/>
    <n v="0"/>
  </r>
  <r>
    <s v="Munger"/>
    <s v="03-09 Apr"/>
    <n v="1013"/>
    <s v="Musrigharari"/>
    <x v="525"/>
    <s v="Gomukha Vishanupatti II"/>
    <s v="vlc"/>
    <s v="Indirect"/>
    <n v="565.5"/>
    <n v="22149.64"/>
    <n v="0"/>
    <n v="0"/>
    <n v="0"/>
    <n v="0"/>
    <n v="0"/>
    <n v="0"/>
    <n v="22149.64"/>
    <n v="0"/>
    <n v="0"/>
    <n v="0"/>
    <n v="0"/>
    <n v="0"/>
    <n v="0"/>
    <n v="0"/>
    <n v="0"/>
    <n v="22149.64"/>
    <n v="0"/>
    <n v="0"/>
    <n v="105.36256693191861"/>
    <n v="80.785714285714292"/>
    <n v="0"/>
    <n v="0"/>
    <m/>
    <s v="Musrigharari"/>
    <m/>
    <n v="0"/>
  </r>
  <r>
    <s v="Munger"/>
    <s v="03-09 Apr"/>
    <n v="1013"/>
    <s v="Musrigharari"/>
    <x v="526"/>
    <s v="Gomukh Khesarhiya"/>
    <s v="vlc"/>
    <s v="Indirect"/>
    <n v="49.300000000000004"/>
    <n v="1585.57"/>
    <n v="0"/>
    <n v="0"/>
    <n v="0"/>
    <n v="0"/>
    <n v="0"/>
    <n v="0"/>
    <n v="1585.57"/>
    <n v="0"/>
    <n v="0"/>
    <n v="0"/>
    <n v="0"/>
    <n v="0"/>
    <n v="0"/>
    <n v="0"/>
    <n v="0"/>
    <n v="1585.57"/>
    <n v="0"/>
    <n v="0"/>
    <n v="418.55188600405671"/>
    <n v="7.0428571428571436"/>
    <n v="0"/>
    <n v="0"/>
    <m/>
    <s v="Musrigharari"/>
    <m/>
    <n v="0"/>
  </r>
  <r>
    <s v="Munger"/>
    <s v="03-09 Apr"/>
    <n v="1013"/>
    <s v="Musrigharari"/>
    <x v="527"/>
    <s v="Harsingpur"/>
    <s v="vlc"/>
    <s v="Indirect"/>
    <n v="284.49999999999994"/>
    <n v="8793.2900000000009"/>
    <n v="0"/>
    <n v="0"/>
    <n v="0"/>
    <n v="0"/>
    <n v="0"/>
    <n v="0"/>
    <n v="8793.2900000000009"/>
    <n v="0"/>
    <n v="0"/>
    <n v="0"/>
    <n v="0"/>
    <n v="0"/>
    <n v="0"/>
    <n v="0"/>
    <n v="0"/>
    <n v="8793.2900000000009"/>
    <n v="0"/>
    <n v="0"/>
    <n v="256.84442847100189"/>
    <n v="40.642857142857132"/>
    <n v="0"/>
    <n v="0"/>
    <m/>
    <s v="Musrigharari"/>
    <m/>
    <n v="0"/>
  </r>
  <r>
    <s v="Munger"/>
    <s v="03-09 Apr"/>
    <n v="1013"/>
    <s v="Musrigharari"/>
    <x v="528"/>
    <s v="Gomukh ID Mahathi"/>
    <s v="vlc"/>
    <s v="Indirect"/>
    <n v="535.1"/>
    <n v="19771.23"/>
    <n v="0"/>
    <n v="0"/>
    <n v="0"/>
    <n v="0"/>
    <n v="0"/>
    <n v="0"/>
    <n v="19771.23"/>
    <n v="0"/>
    <n v="0"/>
    <n v="0"/>
    <n v="0"/>
    <n v="0"/>
    <n v="0"/>
    <n v="0"/>
    <n v="0"/>
    <n v="19771.23"/>
    <n v="0"/>
    <n v="0"/>
    <n v="121.85669321622123"/>
    <n v="76.44285714285715"/>
    <n v="0"/>
    <n v="0"/>
    <m/>
    <s v="Musrigharari"/>
    <m/>
    <n v="0"/>
  </r>
  <r>
    <s v="Munger"/>
    <s v="03-09 Apr"/>
    <n v="1013"/>
    <s v="Musrigharari"/>
    <x v="529"/>
    <s v="MURTUJAPUR"/>
    <s v="vlc"/>
    <s v="Indirect"/>
    <n v="536.39999999999986"/>
    <n v="21926.929999999997"/>
    <n v="0"/>
    <n v="0"/>
    <n v="0"/>
    <n v="0"/>
    <n v="0"/>
    <n v="0"/>
    <n v="21926.929999999997"/>
    <n v="0"/>
    <n v="0"/>
    <n v="0"/>
    <n v="0"/>
    <n v="0"/>
    <n v="0"/>
    <n v="0"/>
    <n v="0"/>
    <n v="21926.929999999997"/>
    <n v="0"/>
    <n v="0"/>
    <n v="133.75263788217762"/>
    <n v="76.628571428571405"/>
    <n v="0"/>
    <n v="0"/>
    <m/>
    <s v="Musrigharari"/>
    <m/>
    <n v="0"/>
  </r>
  <r>
    <s v="Munger"/>
    <s v="03-09 Apr"/>
    <n v="1013"/>
    <s v="Musrigharari"/>
    <x v="530"/>
    <s v="Rasalpur"/>
    <s v="MPG"/>
    <s v="Direct"/>
    <n v="223.8"/>
    <n v="9000.2800000000007"/>
    <n v="88.36"/>
    <n v="3904.8787991570998"/>
    <n v="135.5"/>
    <n v="5363.7566003933998"/>
    <n v="223.86"/>
    <n v="9268.6353995504996"/>
    <n v="9000.2800000000007"/>
    <n v="0"/>
    <n v="75.223937441400011"/>
    <n v="268.35539955049899"/>
    <n v="0"/>
    <n v="0"/>
    <n v="0"/>
    <n v="3636"/>
    <n v="5289"/>
    <n v="0"/>
    <n v="0"/>
    <n v="0"/>
    <n v="383.01459660411086"/>
    <n v="31.971428571428572"/>
    <n v="-2.9816338997286636E-2"/>
    <n v="7"/>
    <m/>
    <s v="Musrigharari"/>
    <m/>
    <n v="0"/>
  </r>
  <r>
    <s v="Munger"/>
    <s v="03-09 Apr"/>
    <n v="1013"/>
    <s v="Musrigharari"/>
    <x v="531"/>
    <s v="Chhuchhipur                                                                                         "/>
    <s v="MPG"/>
    <s v="Direct"/>
    <n v="184.59999999999997"/>
    <n v="5926.7400000000007"/>
    <n v="164"/>
    <n v="6061.6131839999998"/>
    <n v="45"/>
    <n v="1663.2475199999999"/>
    <n v="209"/>
    <n v="7724.8607039999997"/>
    <n v="5926.7400000000007"/>
    <n v="0"/>
    <n v="0"/>
    <n v="1798.120703999999"/>
    <n v="0"/>
    <n v="0"/>
    <n v="0"/>
    <n v="4263"/>
    <n v="1664"/>
    <n v="0"/>
    <n v="0"/>
    <n v="0"/>
    <n v="330.94710682556894"/>
    <n v="26.371428571428567"/>
    <n v="-0.30339119043521379"/>
    <n v="3"/>
    <m/>
    <s v="Musrigharari"/>
    <m/>
    <n v="0"/>
  </r>
  <r>
    <s v="Munger"/>
    <s v="03-09 Apr"/>
    <n v="1013"/>
    <s v="Musrigharari"/>
    <x v="532"/>
    <s v="Gomukh ID Sararanjan"/>
    <s v="vlc"/>
    <s v="Indirect"/>
    <n v="215.9"/>
    <n v="8198.11"/>
    <n v="0"/>
    <n v="0"/>
    <n v="0"/>
    <n v="0"/>
    <n v="0"/>
    <n v="0"/>
    <n v="8198.11"/>
    <n v="0"/>
    <n v="0"/>
    <n v="0"/>
    <n v="0"/>
    <n v="0"/>
    <n v="0"/>
    <n v="0"/>
    <n v="0"/>
    <n v="8198.11"/>
    <n v="0"/>
    <n v="0"/>
    <n v="367.64289495136643"/>
    <n v="30.842857142857145"/>
    <n v="0"/>
    <n v="0"/>
    <m/>
    <s v="Musrigharari"/>
    <m/>
    <n v="0"/>
  </r>
  <r>
    <s v="Munger"/>
    <s v="03-09 Apr"/>
    <n v="1013"/>
    <s v="Musrigharari"/>
    <x v="533"/>
    <s v="Gomukh Soharthi Purvi Tola                                                                          "/>
    <s v="MPG"/>
    <s v="Direct"/>
    <n v="101.60000000000001"/>
    <n v="4028.2200000000007"/>
    <n v="129"/>
    <n v="6418.1568919200017"/>
    <n v="0"/>
    <n v="0"/>
    <n v="129"/>
    <n v="6418.1568919200017"/>
    <n v="4028.2200000000007"/>
    <n v="0"/>
    <n v="0"/>
    <n v="2389.936891920001"/>
    <n v="0"/>
    <n v="500"/>
    <n v="0"/>
    <n v="3528"/>
    <n v="0"/>
    <n v="0"/>
    <n v="0"/>
    <n v="0"/>
    <n v="474.50528503937005"/>
    <n v="14.514285714285716"/>
    <n v="-0.59329850204805112"/>
    <n v="1"/>
    <m/>
    <s v="Musrigharari"/>
    <m/>
    <n v="500"/>
  </r>
  <r>
    <s v="Munger"/>
    <s v="03-09 Apr"/>
    <n v="1013"/>
    <s v="Musrigharari"/>
    <x v="983"/>
    <s v="Sihama"/>
    <s v="vlc"/>
    <s v="Indirect"/>
    <n v="0.8"/>
    <n v="26.61"/>
    <n v="0"/>
    <n v="0"/>
    <n v="0"/>
    <n v="0"/>
    <n v="0"/>
    <n v="0"/>
    <n v="26.61"/>
    <n v="0"/>
    <n v="0"/>
    <n v="0"/>
    <n v="0"/>
    <n v="0"/>
    <n v="0"/>
    <n v="0"/>
    <n v="0"/>
    <n v="26.61"/>
    <n v="0"/>
    <n v="0"/>
    <n v="465.14280000000002"/>
    <n v="0.1142857142857143"/>
    <n v="0"/>
    <n v="0"/>
    <m/>
    <s v="Musrigharari"/>
    <m/>
    <n v="0"/>
  </r>
  <r>
    <s v="Munger"/>
    <s v="03-09 Apr"/>
    <n v="1013"/>
    <s v="Musrigharari"/>
    <x v="534"/>
    <s v="Birnama"/>
    <s v="vlc"/>
    <s v="Indirect"/>
    <n v="1279"/>
    <n v="33994.29"/>
    <n v="0"/>
    <n v="0"/>
    <n v="0"/>
    <n v="0"/>
    <n v="0"/>
    <n v="0"/>
    <n v="33994.29"/>
    <n v="0"/>
    <n v="0"/>
    <n v="0"/>
    <n v="0"/>
    <n v="0"/>
    <n v="0"/>
    <n v="0"/>
    <n v="0"/>
    <n v="33994.29"/>
    <n v="0"/>
    <n v="0"/>
    <n v="0"/>
    <n v="0"/>
    <n v="0"/>
    <n v="0"/>
    <m/>
    <s v="Musrigharari"/>
    <m/>
    <n v="0"/>
  </r>
  <r>
    <s v="Munger"/>
    <s v="03-09 Apr"/>
    <n v="1013"/>
    <s v="Musrigharari"/>
    <x v="535"/>
    <s v="Maraie - Rubi"/>
    <s v="vlc"/>
    <s v="Indirect"/>
    <n v="31.700000000000003"/>
    <n v="1111.01"/>
    <n v="0"/>
    <n v="0"/>
    <n v="0"/>
    <n v="0"/>
    <n v="0"/>
    <n v="0"/>
    <n v="1111.01"/>
    <n v="0"/>
    <n v="0"/>
    <n v="0"/>
    <n v="0"/>
    <n v="0"/>
    <n v="0"/>
    <n v="0"/>
    <n v="0"/>
    <n v="1111.01"/>
    <n v="0"/>
    <n v="0"/>
    <n v="468.44667697160884"/>
    <n v="4.5285714285714294"/>
    <n v="0"/>
    <n v="0"/>
    <m/>
    <s v="Musrigharari"/>
    <m/>
    <n v="0"/>
  </r>
  <r>
    <s v="Munger"/>
    <s v="03-09 Apr"/>
    <n v="1013"/>
    <s v="Musrigharari"/>
    <x v="536"/>
    <s v="Arniya East Tola - Seema"/>
    <s v="vlc"/>
    <s v="Indirect"/>
    <n v="54.199999999999996"/>
    <n v="1963.63"/>
    <n v="0"/>
    <n v="0"/>
    <n v="0"/>
    <n v="0"/>
    <n v="0"/>
    <n v="0"/>
    <n v="1963.63"/>
    <n v="0"/>
    <n v="0"/>
    <n v="0"/>
    <n v="0"/>
    <n v="0"/>
    <n v="0"/>
    <n v="0"/>
    <n v="0"/>
    <n v="1963.63"/>
    <n v="0"/>
    <n v="0"/>
    <n v="467.93810110701111"/>
    <n v="7.742857142857142"/>
    <n v="0"/>
    <n v="0"/>
    <m/>
    <s v="Musrigharari"/>
    <m/>
    <n v="0"/>
  </r>
  <r>
    <s v="Munger"/>
    <s v="03-09 Apr"/>
    <n v="1013"/>
    <s v="Musrigharari"/>
    <x v="537"/>
    <s v="Lakshmipur Western Tol - Rajeev"/>
    <s v="MPG"/>
    <s v="Indirect"/>
    <n v="3186.1"/>
    <n v="131993.03"/>
    <n v="0"/>
    <n v="0"/>
    <n v="0"/>
    <n v="0"/>
    <n v="0"/>
    <n v="0"/>
    <n v="131993.03"/>
    <n v="0"/>
    <n v="0"/>
    <n v="0"/>
    <n v="0"/>
    <n v="0"/>
    <n v="0"/>
    <n v="0"/>
    <n v="0"/>
    <n v="131993.03"/>
    <n v="0"/>
    <n v="0"/>
    <n v="0"/>
    <n v="0"/>
    <n v="0"/>
    <n v="0"/>
    <m/>
    <s v="Musrigharari"/>
    <m/>
    <n v="0"/>
  </r>
  <r>
    <s v="Munger"/>
    <s v="03-09 Apr"/>
    <n v="1013"/>
    <s v="Musrigharari"/>
    <x v="538"/>
    <s v="Jahangipur Salkhanni"/>
    <s v="MPG"/>
    <s v="Direct"/>
    <n v="440.90000000000003"/>
    <n v="18737.459999999995"/>
    <n v="723.62000000000012"/>
    <n v="30172.191733886801"/>
    <n v="121.57999999999998"/>
    <n v="6063.512526996411"/>
    <n v="845.2"/>
    <n v="36235.704260883213"/>
    <n v="18737.459999999995"/>
    <n v="0"/>
    <n v="0"/>
    <n v="17498.244260883217"/>
    <n v="0"/>
    <n v="0"/>
    <n v="0"/>
    <n v="12673"/>
    <n v="6064"/>
    <n v="0"/>
    <n v="0"/>
    <n v="0"/>
    <n v="220.22571494669981"/>
    <n v="62.985714285714288"/>
    <n v="-0.9338642623324197"/>
    <n v="14"/>
    <m/>
    <s v="Musrigharari"/>
    <m/>
    <n v="0"/>
  </r>
  <r>
    <s v="Munger"/>
    <s v="03-09 Apr"/>
    <n v="1013"/>
    <s v="Musrigharari"/>
    <x v="539"/>
    <s v="Sekhpura"/>
    <s v="MPG"/>
    <s v="Direct"/>
    <n v="227.70000000000002"/>
    <n v="8246.17"/>
    <n v="228.16000000000003"/>
    <n v="8342.0629216056022"/>
    <n v="2.9200000000000004"/>
    <n v="104.80715704800002"/>
    <n v="231.08"/>
    <n v="8446.8700786536028"/>
    <n v="8246.17"/>
    <n v="0"/>
    <n v="104.80715704800002"/>
    <n v="200.70007865360276"/>
    <n v="0"/>
    <n v="0"/>
    <n v="0"/>
    <n v="8141"/>
    <n v="0"/>
    <n v="0"/>
    <n v="0"/>
    <n v="0"/>
    <n v="342.08749152393494"/>
    <n v="32.528571428571432"/>
    <n v="-2.433858126301092E-2"/>
    <n v="6"/>
    <m/>
    <s v="Musrigharari"/>
    <m/>
    <n v="0"/>
  </r>
  <r>
    <s v="Munger"/>
    <s v="03-09 Apr"/>
    <n v="1013"/>
    <s v="Musrigharari"/>
    <x v="540"/>
    <s v="Songar"/>
    <s v="MPG"/>
    <s v="Direct"/>
    <n v="1425.8"/>
    <n v="49539.350000000006"/>
    <n v="817.57"/>
    <n v="30187.91520415905"/>
    <n v="613.94000000000005"/>
    <n v="20328.0457984362"/>
    <n v="1431.5100000000002"/>
    <n v="50515.96100259525"/>
    <n v="49539.350000000006"/>
    <n v="0"/>
    <n v="545.54019913799993"/>
    <n v="976.61100259524392"/>
    <n v="0"/>
    <n v="0"/>
    <n v="0"/>
    <n v="29210"/>
    <n v="19783"/>
    <n v="0"/>
    <n v="1"/>
    <n v="0"/>
    <n v="0"/>
    <n v="0"/>
    <n v="-1.9713843693856373E-2"/>
    <n v="31"/>
    <m/>
    <s v="Musrigharari"/>
    <m/>
    <n v="0"/>
  </r>
  <r>
    <s v="Munger"/>
    <s v="03-09 Apr"/>
    <n v="1013"/>
    <s v="Musrigharari"/>
    <x v="541"/>
    <s v="Rampur Maheshpur"/>
    <s v="MPG"/>
    <s v="Direct"/>
    <n v="716.9"/>
    <n v="27545.13"/>
    <n v="415.54000000000008"/>
    <n v="17502.113754700709"/>
    <n v="303"/>
    <n v="10795.976125466403"/>
    <n v="718.54000000000008"/>
    <n v="28298.089880167114"/>
    <n v="27545.13"/>
    <n v="0"/>
    <n v="35.451696891600001"/>
    <n v="752.95988016711271"/>
    <n v="0"/>
    <n v="0"/>
    <n v="0"/>
    <n v="16750"/>
    <n v="10760"/>
    <n v="0"/>
    <n v="0"/>
    <n v="0"/>
    <n v="0"/>
    <n v="0"/>
    <n v="-2.7335499239506681E-2"/>
    <n v="15"/>
    <m/>
    <s v="Musrigharari"/>
    <m/>
    <n v="0"/>
  </r>
  <r>
    <s v="Munger"/>
    <s v="03-09 Apr"/>
    <n v="1013"/>
    <s v="Musrigharari"/>
    <x v="542"/>
    <s v="Godhiyari"/>
    <s v="vlc"/>
    <s v="Indirect"/>
    <n v="334.2"/>
    <n v="9708.0300000000007"/>
    <n v="0"/>
    <n v="0"/>
    <n v="0"/>
    <n v="0"/>
    <n v="0"/>
    <n v="0"/>
    <n v="9708.0300000000007"/>
    <n v="0"/>
    <n v="0"/>
    <n v="0"/>
    <n v="0"/>
    <n v="0"/>
    <n v="0"/>
    <n v="0"/>
    <n v="0"/>
    <n v="9708.0300000000007"/>
    <n v="0"/>
    <n v="0"/>
    <n v="212.51929228007185"/>
    <n v="47.74285714285714"/>
    <n v="0"/>
    <n v="0"/>
    <m/>
    <s v="Musrigharari"/>
    <m/>
    <n v="0"/>
  </r>
  <r>
    <s v="Munger"/>
    <s v="03-09 Apr"/>
    <n v="1013"/>
    <s v="Musrigharari"/>
    <x v="984"/>
    <s v="Rampur-Pappu"/>
    <s v="vlc"/>
    <s v="Indirect"/>
    <n v="0.9"/>
    <n v="30.65"/>
    <n v="0"/>
    <n v="0"/>
    <n v="0"/>
    <n v="0"/>
    <n v="0"/>
    <n v="0"/>
    <n v="30.65"/>
    <n v="0"/>
    <n v="0"/>
    <n v="0"/>
    <n v="0"/>
    <n v="0"/>
    <n v="0"/>
    <n v="0"/>
    <n v="0"/>
    <n v="30.65"/>
    <n v="0"/>
    <n v="0"/>
    <n v="476.16477777777766"/>
    <n v="0.12857142857142859"/>
    <n v="0"/>
    <n v="0"/>
    <m/>
    <s v="Musrigharari"/>
    <m/>
    <n v="0"/>
  </r>
  <r>
    <s v="Munger"/>
    <s v="03-09 Apr"/>
    <n v="1013"/>
    <s v="Musrigharari"/>
    <x v="543"/>
    <s v="Jhakhra-Rambilash"/>
    <s v="vlc"/>
    <s v="Indirect"/>
    <n v="419.59999999999997"/>
    <n v="15292.44"/>
    <n v="0"/>
    <n v="0"/>
    <n v="0"/>
    <n v="0"/>
    <n v="0"/>
    <n v="0"/>
    <n v="15292.44"/>
    <n v="0"/>
    <n v="0"/>
    <n v="0"/>
    <n v="0"/>
    <n v="0"/>
    <n v="0"/>
    <n v="0"/>
    <n v="0"/>
    <n v="15292.44"/>
    <n v="0"/>
    <n v="0"/>
    <n v="204.38513708293621"/>
    <n v="59.942857142857136"/>
    <n v="0"/>
    <n v="0"/>
    <m/>
    <s v="Musrigharari"/>
    <m/>
    <n v="0"/>
  </r>
  <r>
    <s v="Munger"/>
    <s v="03-09 Apr"/>
    <n v="1013"/>
    <s v="Musrigharari"/>
    <x v="544"/>
    <s v="Chaksikandar East"/>
    <s v="MPG"/>
    <s v="Direct"/>
    <n v="221.99999999999997"/>
    <n v="7345.34"/>
    <n v="151.70000000000002"/>
    <n v="5062.7347903439995"/>
    <n v="69.999999999999986"/>
    <n v="2385.0815149260002"/>
    <n v="221.7"/>
    <n v="7447.8163052700002"/>
    <n v="7345.34"/>
    <n v="0"/>
    <n v="43.957267200000004"/>
    <n v="102.47630527000001"/>
    <n v="0"/>
    <n v="0"/>
    <n v="0"/>
    <n v="4960"/>
    <n v="2341"/>
    <n v="0"/>
    <n v="0"/>
    <n v="0"/>
    <n v="316.31283963963978"/>
    <n v="31.714285714285712"/>
    <n v="-1.3951199708931106E-2"/>
    <n v="3"/>
    <m/>
    <s v="Musrigharari"/>
    <m/>
    <n v="0"/>
  </r>
  <r>
    <s v="Munger"/>
    <s v="03-09 Apr"/>
    <n v="1013"/>
    <s v="Musrigharari"/>
    <x v="545"/>
    <s v="Dagarua"/>
    <s v="MPG"/>
    <s v="Direct"/>
    <n v="102.4"/>
    <n v="3401.89"/>
    <n v="79.14"/>
    <n v="2645.9637203340003"/>
    <n v="25.3"/>
    <n v="844.24786795800003"/>
    <n v="104.44"/>
    <n v="3490.2115882920002"/>
    <n v="3401.89"/>
    <n v="0"/>
    <n v="8.6634149580000006"/>
    <n v="88.321588292000342"/>
    <n v="0"/>
    <n v="0"/>
    <n v="0"/>
    <n v="2557"/>
    <n v="836"/>
    <n v="0"/>
    <n v="0"/>
    <n v="0"/>
    <n v="397.06434843749986"/>
    <n v="14.62857142857143"/>
    <n v="-2.5962505634221079E-2"/>
    <n v="4"/>
    <m/>
    <s v="Musrigharari"/>
    <m/>
    <n v="0"/>
  </r>
  <r>
    <s v="Munger"/>
    <s v="03-09 Apr"/>
    <n v="1013"/>
    <s v="Musrigharari"/>
    <x v="546"/>
    <s v="Chakmilki"/>
    <s v="MPG"/>
    <s v="Direct"/>
    <n v="332.29999999999995"/>
    <n v="12463.55"/>
    <n v="153.05000000000001"/>
    <n v="5893.6882010282607"/>
    <n v="203.96000000000004"/>
    <n v="7191.9368397536473"/>
    <n v="357.01000000000005"/>
    <n v="13085.625040781908"/>
    <n v="12463.55"/>
    <n v="0"/>
    <n v="201.46744857600001"/>
    <n v="622.07504078190868"/>
    <n v="0"/>
    <n v="0"/>
    <n v="0"/>
    <n v="5272"/>
    <n v="6990"/>
    <n v="0"/>
    <n v="0"/>
    <n v="0"/>
    <n v="275.82590039121283"/>
    <n v="47.471428571428568"/>
    <n v="-4.991154532873128E-2"/>
    <n v="12"/>
    <m/>
    <s v="Musrigharari"/>
    <m/>
    <n v="0"/>
  </r>
  <r>
    <s v="Munger"/>
    <s v="03-09 Apr"/>
    <n v="1013"/>
    <s v="Musrigharari"/>
    <x v="547"/>
    <s v="Gomukh Akaha"/>
    <s v="MPG"/>
    <s v="Direct"/>
    <n v="172.90000000000003"/>
    <n v="5765.5599999999995"/>
    <n v="162.57"/>
    <n v="5673.5262469380004"/>
    <n v="11.2"/>
    <n v="461.09592670680001"/>
    <n v="173.76999999999998"/>
    <n v="6134.6221736448006"/>
    <n v="5765.5599999999995"/>
    <n v="0"/>
    <n v="37.115191990800007"/>
    <n v="369.06217364480108"/>
    <n v="0"/>
    <n v="0"/>
    <n v="0"/>
    <n v="5304"/>
    <n v="424"/>
    <n v="0"/>
    <n v="0"/>
    <n v="0"/>
    <n v="351.535763562753"/>
    <n v="24.700000000000006"/>
    <n v="-6.4011505152110307E-2"/>
    <n v="6"/>
    <m/>
    <s v="Musrigharari"/>
    <m/>
    <n v="0"/>
  </r>
  <r>
    <s v="Munger"/>
    <s v="03-09 Apr"/>
    <n v="1013"/>
    <s v="Musrigharari"/>
    <x v="548"/>
    <s v="Nauachak-Pankaj"/>
    <s v="vlc"/>
    <s v="Indirect"/>
    <n v="103.79999999999998"/>
    <n v="3466.56"/>
    <n v="0"/>
    <n v="0"/>
    <n v="0"/>
    <n v="0"/>
    <n v="0"/>
    <n v="0"/>
    <n v="3466.56"/>
    <n v="0"/>
    <n v="0"/>
    <n v="0"/>
    <n v="0"/>
    <n v="0"/>
    <n v="0"/>
    <n v="0"/>
    <n v="0"/>
    <n v="3466.56"/>
    <n v="0"/>
    <n v="0"/>
    <n v="398.22024508670535"/>
    <n v="14.828571428571426"/>
    <n v="0"/>
    <n v="0"/>
    <m/>
    <s v="Musrigharari"/>
    <m/>
    <n v="0"/>
  </r>
  <r>
    <s v="Munger"/>
    <s v="03-09 Apr"/>
    <n v="1013"/>
    <s v="Musrigharari"/>
    <x v="549"/>
    <s v="Jitwarpur-Manisha"/>
    <s v="vlc"/>
    <s v="Indirect"/>
    <n v="98.4"/>
    <n v="3327.0499999999997"/>
    <n v="0"/>
    <n v="0"/>
    <n v="0"/>
    <n v="0"/>
    <n v="0"/>
    <n v="0"/>
    <n v="3327.0499999999997"/>
    <n v="0"/>
    <n v="0"/>
    <n v="0"/>
    <n v="0"/>
    <n v="0"/>
    <n v="0"/>
    <n v="0"/>
    <n v="0"/>
    <n v="3327.0499999999997"/>
    <n v="0"/>
    <n v="0"/>
    <n v="406.81977235772342"/>
    <n v="14.057142857142859"/>
    <n v="0"/>
    <n v="0"/>
    <m/>
    <s v="Musrigharari"/>
    <m/>
    <n v="0"/>
  </r>
  <r>
    <s v="Munger"/>
    <s v="03-09 Apr"/>
    <n v="1013"/>
    <s v="Musrigharari"/>
    <x v="550"/>
    <s v="Gomukh Sirdulpur 2"/>
    <s v="vlc"/>
    <s v="Indirect"/>
    <n v="1368.2"/>
    <n v="43764.239999999991"/>
    <n v="0"/>
    <n v="0"/>
    <n v="0"/>
    <n v="0"/>
    <n v="0"/>
    <n v="0"/>
    <n v="43764.239999999991"/>
    <n v="0"/>
    <n v="0"/>
    <n v="0"/>
    <n v="0"/>
    <n v="0"/>
    <n v="0"/>
    <n v="0"/>
    <n v="0"/>
    <n v="43764.239999999991"/>
    <n v="0"/>
    <n v="0"/>
    <n v="0"/>
    <n v="0"/>
    <n v="0"/>
    <n v="0"/>
    <m/>
    <s v="Musrigharari"/>
    <m/>
    <n v="0"/>
  </r>
  <r>
    <s v="Munger"/>
    <s v="03-09 Apr"/>
    <n v="1013"/>
    <s v="Musrigharari"/>
    <x v="551"/>
    <s v="Gomukh Repura"/>
    <s v="MPG"/>
    <s v="Direct"/>
    <n v="296.19999999999993"/>
    <n v="10972.019999999999"/>
    <n v="281.60000000000002"/>
    <n v="10266.640322796002"/>
    <n v="0"/>
    <n v="0"/>
    <n v="281.60000000000002"/>
    <n v="10266.640322796002"/>
    <n v="10266.640322796002"/>
    <n v="0"/>
    <n v="0"/>
    <n v="0"/>
    <n v="0"/>
    <n v="0"/>
    <n v="0"/>
    <n v="10267"/>
    <n v="0"/>
    <n v="0"/>
    <n v="705"/>
    <n v="0"/>
    <n v="299.15608885887923"/>
    <n v="42.314285714285703"/>
    <n v="6.4288952918787695E-2"/>
    <n v="1"/>
    <m/>
    <s v="Musrigharari"/>
    <m/>
    <n v="0"/>
  </r>
  <r>
    <s v="Munger"/>
    <s v="03-09 Apr"/>
    <n v="1013"/>
    <s v="Musrigharari"/>
    <x v="985"/>
    <s v="Gomukh Morwa Mohanpur"/>
    <s v="vlc"/>
    <s v="Indirect"/>
    <n v="2.9"/>
    <n v="97.11"/>
    <n v="0"/>
    <n v="0"/>
    <n v="0"/>
    <n v="0"/>
    <n v="0"/>
    <n v="0"/>
    <n v="97.11"/>
    <n v="0"/>
    <n v="0"/>
    <n v="0"/>
    <n v="0"/>
    <n v="0"/>
    <n v="0"/>
    <n v="0"/>
    <n v="0"/>
    <n v="97.11"/>
    <n v="0"/>
    <n v="0"/>
    <n v="466.86469655172419"/>
    <n v="0.41428571428571426"/>
    <n v="0"/>
    <n v="0"/>
    <m/>
    <s v="Musrigharari"/>
    <m/>
    <n v="0"/>
  </r>
  <r>
    <s v="Munger"/>
    <s v="03-09 Apr"/>
    <n v="1013"/>
    <s v="Musrigharari"/>
    <x v="986"/>
    <s v="Gomukh Patepur"/>
    <s v="vlc"/>
    <s v="Indirect"/>
    <n v="1902"/>
    <n v="62958.759999999995"/>
    <n v="0"/>
    <n v="0"/>
    <n v="0"/>
    <n v="0"/>
    <n v="0"/>
    <n v="0"/>
    <n v="62958.759999999995"/>
    <n v="0"/>
    <n v="0"/>
    <n v="0"/>
    <n v="0"/>
    <n v="0"/>
    <n v="0"/>
    <n v="0"/>
    <n v="0"/>
    <n v="62958.759999999995"/>
    <n v="0"/>
    <n v="0"/>
    <n v="0"/>
    <n v="0"/>
    <n v="0"/>
    <n v="0"/>
    <m/>
    <s v="Musrigharari"/>
    <m/>
    <n v="0"/>
  </r>
  <r>
    <s v="Munger"/>
    <s v="03-09 Apr"/>
    <n v="1013"/>
    <s v="Musrigharari"/>
    <x v="552"/>
    <s v="Gomukh Nipur"/>
    <s v="MPG"/>
    <s v="Direct"/>
    <n v="254.6"/>
    <n v="9783.8599999999988"/>
    <n v="238.88"/>
    <n v="9561.4982505800635"/>
    <n v="4.6199999999999992"/>
    <n v="185.33827461600004"/>
    <n v="243.5"/>
    <n v="9746.836525196064"/>
    <n v="9746.836525196064"/>
    <n v="0"/>
    <n v="185.33827461600004"/>
    <n v="0"/>
    <n v="0"/>
    <n v="0"/>
    <n v="0"/>
    <n v="9561"/>
    <n v="0"/>
    <n v="0"/>
    <n v="38"/>
    <n v="0"/>
    <n v="342.31981492537307"/>
    <n v="36.371428571428574"/>
    <n v="3.7841378355715164E-3"/>
    <n v="10"/>
    <m/>
    <s v="Musrigharari"/>
    <m/>
    <n v="0"/>
  </r>
  <r>
    <s v="Munger"/>
    <s v="03-09 Apr"/>
    <n v="1013"/>
    <s v="Musrigharari"/>
    <x v="553"/>
    <s v="Gomukh Sherpur Narsari East"/>
    <s v="MPG"/>
    <s v="Direct"/>
    <n v="427.60000000000008"/>
    <n v="15262.970000000001"/>
    <n v="296.75"/>
    <n v="10894.5412626996"/>
    <n v="135.23999999999998"/>
    <n v="4970.9041590186007"/>
    <n v="431.99"/>
    <n v="15865.445421718201"/>
    <n v="15262.970000000001"/>
    <n v="0"/>
    <n v="275.62932738000001"/>
    <n v="602.47542171819987"/>
    <n v="0"/>
    <n v="0"/>
    <n v="0"/>
    <n v="10292"/>
    <n v="4695"/>
    <n v="0"/>
    <n v="0"/>
    <n v="0"/>
    <n v="194.46365893358274"/>
    <n v="61.085714285714296"/>
    <n v="-3.9473013556221355E-2"/>
    <n v="6"/>
    <m/>
    <s v="Musrigharari"/>
    <m/>
    <n v="0"/>
  </r>
  <r>
    <s v="Munger"/>
    <s v="03-09 Apr"/>
    <n v="1013"/>
    <s v="Musrigharari"/>
    <x v="554"/>
    <s v="Gomukh Nauachak East"/>
    <s v="MPG"/>
    <s v="Direct"/>
    <n v="55.2"/>
    <n v="2559.39"/>
    <n v="57.29"/>
    <n v="2631.0191849431008"/>
    <n v="0.9"/>
    <n v="31.057879247999999"/>
    <n v="58.19"/>
    <n v="2662.0770641911008"/>
    <n v="2559.39"/>
    <n v="0"/>
    <n v="31.057879247999999"/>
    <n v="102.68706419110094"/>
    <n v="0"/>
    <n v="500"/>
    <n v="0"/>
    <n v="2028"/>
    <n v="0"/>
    <n v="0"/>
    <n v="0"/>
    <n v="0"/>
    <n v="597.93285217391303"/>
    <n v="7.8857142857142861"/>
    <n v="-4.0121694697213377E-2"/>
    <n v="4"/>
    <m/>
    <s v="Musrigharari"/>
    <m/>
    <n v="500"/>
  </r>
  <r>
    <s v="Munger"/>
    <s v="03-09 Apr"/>
    <n v="1013"/>
    <s v="Musrigharari"/>
    <x v="555"/>
    <s v="Gomukh Karhatti"/>
    <s v="MPG"/>
    <s v="Direct"/>
    <n v="320.70000000000005"/>
    <n v="12837.84"/>
    <n v="363"/>
    <n v="13550.185835999997"/>
    <n v="0"/>
    <n v="0"/>
    <n v="363"/>
    <n v="13550.185835999997"/>
    <n v="12837.84"/>
    <n v="0"/>
    <n v="0"/>
    <n v="712.34583599999678"/>
    <n v="0"/>
    <n v="0"/>
    <n v="0"/>
    <n v="12838"/>
    <n v="0"/>
    <n v="0"/>
    <n v="0"/>
    <n v="0"/>
    <n v="303.6727603367633"/>
    <n v="45.814285714285724"/>
    <n v="-5.5487982090444872E-2"/>
    <n v="1"/>
    <m/>
    <s v="Musrigharari"/>
    <m/>
    <n v="0"/>
  </r>
  <r>
    <s v="Munger"/>
    <s v="03-09 Apr"/>
    <n v="1013"/>
    <s v="Musrigharari"/>
    <x v="556"/>
    <s v="Gomukh Gaopur Bhagwatpur"/>
    <s v="MPG"/>
    <s v="Direct"/>
    <n v="1260.0999999999999"/>
    <n v="47338.46"/>
    <n v="1269.96"/>
    <n v="47739.231022665605"/>
    <n v="0.24"/>
    <n v="8.4904934399999998"/>
    <n v="1270.2"/>
    <n v="47747.721516105601"/>
    <n v="47338.46"/>
    <n v="0"/>
    <n v="8.4904934399999998"/>
    <n v="409.26151610560191"/>
    <n v="0"/>
    <n v="0"/>
    <n v="0"/>
    <n v="47330"/>
    <n v="0"/>
    <n v="0"/>
    <n v="0"/>
    <n v="0"/>
    <n v="0"/>
    <n v="0"/>
    <n v="-8.6454336728656132E-3"/>
    <n v="5"/>
    <m/>
    <s v="Musrigharari"/>
    <m/>
    <n v="0"/>
  </r>
  <r>
    <s v="Munger"/>
    <s v="03-09 Apr"/>
    <n v="1013"/>
    <s v="Musrigharari"/>
    <x v="557"/>
    <s v="Gomukh Rajwara"/>
    <s v="MPG"/>
    <s v="Direct"/>
    <n v="122.89999999999999"/>
    <n v="5027.3599999999997"/>
    <n v="129.18"/>
    <n v="6027.3930102149407"/>
    <n v="0.60000000000000009"/>
    <n v="23.364633600000005"/>
    <n v="129.78"/>
    <n v="6050.7576438149408"/>
    <n v="5027.3599999999997"/>
    <n v="0"/>
    <n v="23.364633600000005"/>
    <n v="1023.3976438149411"/>
    <n v="0"/>
    <n v="500"/>
    <n v="0"/>
    <n v="4504"/>
    <n v="0"/>
    <n v="0"/>
    <n v="0"/>
    <n v="0"/>
    <n v="472.13823531326284"/>
    <n v="17.557142857142857"/>
    <n v="-0.20356561770291787"/>
    <n v="2"/>
    <m/>
    <s v="Musrigharari"/>
    <m/>
    <n v="500"/>
  </r>
  <r>
    <s v="Munger"/>
    <s v="03-09 Apr"/>
    <n v="1061"/>
    <s v="Mahua BMC"/>
    <x v="558"/>
    <s v="Gomukh Karhatiya Bujurg"/>
    <s v="vlc"/>
    <s v="Indirect"/>
    <n v="149.30000000000001"/>
    <n v="6725.68"/>
    <n v="0"/>
    <n v="0"/>
    <n v="0"/>
    <n v="0"/>
    <n v="0"/>
    <n v="0"/>
    <n v="6725.68"/>
    <n v="0"/>
    <n v="0"/>
    <n v="0"/>
    <n v="0"/>
    <n v="0"/>
    <n v="0"/>
    <n v="0"/>
    <n v="0"/>
    <n v="6725.68"/>
    <n v="0"/>
    <n v="0"/>
    <n v="496.15967528466172"/>
    <n v="21.328571428571429"/>
    <n v="0"/>
    <n v="0"/>
    <m/>
    <s v="Mahua BMC"/>
    <m/>
    <n v="0"/>
  </r>
  <r>
    <s v="Munger"/>
    <s v="03-09 Apr"/>
    <n v="1013"/>
    <s v="Musrigharari"/>
    <x v="987"/>
    <s v="NAUACHAUK W-04"/>
    <s v="vlc"/>
    <s v="Indirect"/>
    <n v="1.7"/>
    <n v="58.29"/>
    <n v="0"/>
    <n v="0"/>
    <n v="0"/>
    <n v="0"/>
    <n v="0"/>
    <n v="0"/>
    <n v="58.29"/>
    <n v="0"/>
    <n v="0"/>
    <n v="0"/>
    <n v="0"/>
    <n v="0"/>
    <n v="0"/>
    <n v="0"/>
    <n v="0"/>
    <n v="58.29"/>
    <n v="0"/>
    <n v="0"/>
    <n v="478.86949411764704"/>
    <n v="0.24285714285714285"/>
    <n v="0"/>
    <n v="0"/>
    <m/>
    <s v="Musrigharari"/>
    <m/>
    <n v="0"/>
  </r>
  <r>
    <s v="Munger"/>
    <s v="03-09 Apr"/>
    <n v="1013"/>
    <s v="Musrigharari"/>
    <x v="988"/>
    <s v="Gomukh Davaichh"/>
    <s v="vlc"/>
    <s v="Indirect"/>
    <n v="2.2999999999999998"/>
    <n v="76.92"/>
    <n v="0"/>
    <n v="0"/>
    <n v="0"/>
    <n v="0"/>
    <n v="0"/>
    <n v="0"/>
    <n v="76.92"/>
    <n v="0"/>
    <n v="0"/>
    <n v="0"/>
    <n v="0"/>
    <n v="0"/>
    <n v="0"/>
    <n v="0"/>
    <n v="0"/>
    <n v="76.92"/>
    <n v="0"/>
    <n v="0"/>
    <n v="466.67029565217399"/>
    <n v="0.32857142857142857"/>
    <n v="0"/>
    <n v="0"/>
    <m/>
    <s v="Musrigharari"/>
    <m/>
    <n v="0"/>
  </r>
  <r>
    <s v="Munger"/>
    <s v="03-09 Apr"/>
    <n v="1013"/>
    <s v="Musrigharari"/>
    <x v="989"/>
    <s v="Gomukh Akhtiyarpur"/>
    <s v="vlc"/>
    <s v="Indirect"/>
    <n v="3.5999999999999996"/>
    <n v="124.33"/>
    <n v="0"/>
    <n v="0"/>
    <n v="0"/>
    <n v="0"/>
    <n v="0"/>
    <n v="0"/>
    <n v="124.33"/>
    <n v="0"/>
    <n v="0"/>
    <n v="0"/>
    <n v="0"/>
    <n v="0"/>
    <n v="0"/>
    <n v="0"/>
    <n v="0"/>
    <n v="124.33"/>
    <n v="0"/>
    <n v="0"/>
    <n v="481.01895555555552"/>
    <n v="0.51428571428571423"/>
    <n v="0"/>
    <n v="0"/>
    <m/>
    <s v="Musrigharari"/>
    <m/>
    <n v="0"/>
  </r>
  <r>
    <s v="Munger"/>
    <s v="03-09 Apr"/>
    <n v="1013"/>
    <s v="Musrigharari"/>
    <x v="559"/>
    <s v="Gomukh Morwa Mohanpur"/>
    <s v="vlc"/>
    <s v="Indirect"/>
    <n v="645.09999999999991"/>
    <n v="21411.110000000004"/>
    <n v="0"/>
    <n v="0"/>
    <n v="0"/>
    <n v="0"/>
    <n v="0"/>
    <n v="0"/>
    <n v="21411.110000000004"/>
    <n v="0"/>
    <n v="0"/>
    <n v="0"/>
    <n v="0"/>
    <n v="0"/>
    <n v="0"/>
    <n v="0"/>
    <n v="0"/>
    <n v="21411.110000000004"/>
    <n v="0"/>
    <n v="0"/>
    <n v="36.443030196868776"/>
    <n v="92.157142857142844"/>
    <n v="0"/>
    <n v="0"/>
    <m/>
    <s v="Musrigharari"/>
    <m/>
    <n v="0"/>
  </r>
  <r>
    <s v="Munger"/>
    <s v="03-09 Apr"/>
    <n v="1013"/>
    <s v="Musrigharari"/>
    <x v="990"/>
    <s v="Gomukh Baaghi"/>
    <s v="vlc"/>
    <s v="Indirect"/>
    <n v="3.3000000000000003"/>
    <n v="112.9"/>
    <n v="0"/>
    <n v="0"/>
    <n v="0"/>
    <n v="0"/>
    <n v="0"/>
    <n v="0"/>
    <n v="112.9"/>
    <n v="0"/>
    <n v="0"/>
    <n v="0"/>
    <n v="0"/>
    <n v="0"/>
    <n v="0"/>
    <n v="0"/>
    <n v="0"/>
    <n v="112.9"/>
    <n v="0"/>
    <n v="0"/>
    <n v="476.71169696969696"/>
    <n v="0.47142857142857147"/>
    <n v="0"/>
    <n v="0"/>
    <m/>
    <s v="Musrigharari"/>
    <m/>
    <n v="0"/>
  </r>
  <r>
    <s v="Munger"/>
    <s v="03-09 Apr"/>
    <n v="1013"/>
    <s v="Musrigharari"/>
    <x v="560"/>
    <s v="Gomukh Gangapur East"/>
    <s v="vlc"/>
    <s v="Indirect"/>
    <n v="2406.4"/>
    <n v="77106.149999999994"/>
    <n v="0"/>
    <n v="0"/>
    <n v="0"/>
    <n v="0"/>
    <n v="0"/>
    <n v="0"/>
    <n v="77106.149999999994"/>
    <n v="0"/>
    <n v="0"/>
    <n v="0"/>
    <n v="0"/>
    <n v="0"/>
    <n v="0"/>
    <n v="0"/>
    <n v="0"/>
    <n v="77106.149999999994"/>
    <n v="0"/>
    <n v="0"/>
    <n v="0"/>
    <n v="0"/>
    <n v="0"/>
    <n v="0"/>
    <m/>
    <s v="Musrigharari"/>
    <m/>
    <n v="0"/>
  </r>
  <r>
    <s v="Munger"/>
    <s v="03-09 Apr"/>
    <n v="1013"/>
    <s v="Musrigharari"/>
    <x v="991"/>
    <s v="Gomukh Suapakar"/>
    <s v="vlc"/>
    <s v="Indirect"/>
    <n v="3.9"/>
    <n v="132.70000000000002"/>
    <n v="0"/>
    <n v="0"/>
    <n v="0"/>
    <n v="0"/>
    <n v="0"/>
    <n v="0"/>
    <n v="132.70000000000002"/>
    <n v="0"/>
    <n v="0"/>
    <n v="0"/>
    <n v="0"/>
    <n v="0"/>
    <n v="0"/>
    <n v="0"/>
    <n v="0"/>
    <n v="132.70000000000002"/>
    <n v="0"/>
    <n v="0"/>
    <n v="473.70497435897437"/>
    <n v="0.55714285714285716"/>
    <n v="0"/>
    <n v="0"/>
    <m/>
    <s v="Musrigharari"/>
    <m/>
    <n v="0"/>
  </r>
  <r>
    <s v="Munger"/>
    <s v="03-09 Apr"/>
    <n v="1013"/>
    <s v="Musrigharari"/>
    <x v="561"/>
    <s v="GOMUKH Laguniya"/>
    <s v="vlc"/>
    <s v="Indirect"/>
    <n v="31.7"/>
    <n v="1477.22"/>
    <n v="0"/>
    <n v="0"/>
    <n v="0"/>
    <n v="0"/>
    <n v="0"/>
    <n v="0"/>
    <n v="1477.22"/>
    <n v="0"/>
    <n v="0"/>
    <n v="0"/>
    <n v="0"/>
    <n v="0"/>
    <n v="0"/>
    <n v="0"/>
    <n v="0"/>
    <n v="1477.22"/>
    <n v="0"/>
    <n v="0"/>
    <n v="622.85560000000009"/>
    <n v="4.5285714285714285"/>
    <n v="0"/>
    <n v="0"/>
    <m/>
    <s v="Musrigharari"/>
    <m/>
    <n v="0"/>
  </r>
  <r>
    <s v="Munger"/>
    <s v="03-09 Apr"/>
    <n v="1013"/>
    <s v="Musrigharari"/>
    <x v="562"/>
    <s v="GOMUKH MAHINDWARA"/>
    <s v="vlc"/>
    <s v="Indirect"/>
    <n v="276.5"/>
    <n v="10566.41"/>
    <n v="0"/>
    <n v="0"/>
    <n v="0"/>
    <n v="0"/>
    <n v="0"/>
    <n v="0"/>
    <n v="10566.41"/>
    <n v="0"/>
    <n v="0"/>
    <n v="0"/>
    <n v="0"/>
    <n v="0"/>
    <n v="0"/>
    <n v="0"/>
    <n v="0"/>
    <n v="10566.41"/>
    <n v="0"/>
    <n v="0"/>
    <n v="323.67990126582282"/>
    <n v="39.5"/>
    <n v="0"/>
    <n v="0"/>
    <m/>
    <s v="Musrigharari"/>
    <m/>
    <n v="0"/>
  </r>
  <r>
    <s v="Munger"/>
    <s v="03-09 Apr"/>
    <n v="1013"/>
    <s v="Musrigharari"/>
    <x v="563"/>
    <s v="GOMUKH MISHRAULIA"/>
    <s v="MPG"/>
    <s v="Direct"/>
    <n v="602.10000000000014"/>
    <n v="25970.059999999994"/>
    <n v="623.40000000000009"/>
    <n v="28141.684362313004"/>
    <n v="2.7"/>
    <n v="135.63946436040001"/>
    <n v="626.10000000000014"/>
    <n v="28277.323826673404"/>
    <n v="25970.059999999994"/>
    <n v="0"/>
    <n v="135.63946436040001"/>
    <n v="2307.2638266734102"/>
    <n v="0"/>
    <n v="0"/>
    <n v="0"/>
    <n v="25834"/>
    <n v="0"/>
    <n v="0"/>
    <n v="0"/>
    <n v="0"/>
    <n v="84.453375651884912"/>
    <n v="86.014285714285734"/>
    <n v="-8.8843222798615437E-2"/>
    <n v="3"/>
    <m/>
    <s v="Musrigharari"/>
    <m/>
    <n v="0"/>
  </r>
  <r>
    <s v="Munger"/>
    <s v="03-09 Apr"/>
    <n v="1013"/>
    <s v="Musrigharari"/>
    <x v="564"/>
    <s v="GOMUKH CHAKIRDI"/>
    <s v="MPG"/>
    <s v="Direct"/>
    <n v="227.79999999999998"/>
    <n v="8800.1400000000012"/>
    <n v="219.55"/>
    <n v="8621.7949891269"/>
    <n v="2.12"/>
    <n v="84.529846368000008"/>
    <n v="221.67000000000002"/>
    <n v="8706.3248354948992"/>
    <n v="8706.3248354948992"/>
    <n v="0"/>
    <n v="84.529846368000008"/>
    <n v="0"/>
    <n v="0"/>
    <n v="0"/>
    <n v="0"/>
    <n v="8621"/>
    <n v="0"/>
    <n v="0"/>
    <n v="95"/>
    <n v="0"/>
    <n v="364.83108937664628"/>
    <n v="32.542857142857137"/>
    <n v="1.0660644547143803E-2"/>
    <n v="7"/>
    <m/>
    <s v="Musrigharari"/>
    <m/>
    <n v="0"/>
  </r>
  <r>
    <s v="Munger"/>
    <s v="03-09 Apr"/>
    <n v="1013"/>
    <s v="Musrigharari"/>
    <x v="565"/>
    <s v="GOMUKH Bhagwatpur East"/>
    <s v="MPG"/>
    <s v="Direct"/>
    <n v="392.8"/>
    <n v="12936.410000000002"/>
    <n v="401.40000000000003"/>
    <n v="13798.537242336002"/>
    <n v="0"/>
    <n v="0"/>
    <n v="401.40000000000003"/>
    <n v="13798.537242336002"/>
    <n v="12936.410000000002"/>
    <n v="0"/>
    <n v="0"/>
    <n v="862.12724233600056"/>
    <n v="0"/>
    <n v="0"/>
    <n v="0"/>
    <n v="12936"/>
    <n v="0"/>
    <n v="0"/>
    <n v="0"/>
    <n v="0"/>
    <n v="202.34547617107944"/>
    <n v="56.114285714285714"/>
    <n v="-6.664346927285085E-2"/>
    <n v="1"/>
    <m/>
    <s v="Musrigharari"/>
    <m/>
    <n v="0"/>
  </r>
  <r>
    <s v="Munger"/>
    <s v="03-09 Apr"/>
    <n v="1013"/>
    <s v="Musrigharari"/>
    <x v="566"/>
    <s v="Gomukh Rupauli Buzurg"/>
    <s v="vlc"/>
    <s v="Indirect"/>
    <n v="14746"/>
    <n v="532483.67000000004"/>
    <n v="0"/>
    <n v="0"/>
    <n v="0"/>
    <n v="0"/>
    <n v="0"/>
    <n v="0"/>
    <n v="532483.67000000004"/>
    <n v="0"/>
    <n v="0"/>
    <n v="0"/>
    <n v="0"/>
    <n v="0"/>
    <n v="0"/>
    <n v="0"/>
    <n v="0"/>
    <n v="532483.67000000004"/>
    <n v="0"/>
    <n v="0"/>
    <n v="0"/>
    <n v="0"/>
    <n v="0"/>
    <n v="0"/>
    <m/>
    <s v="Musrigharari"/>
    <m/>
    <n v="0"/>
  </r>
  <r>
    <s v="Munger"/>
    <s v="03-09 Apr"/>
    <n v="1013"/>
    <s v="Musrigharari"/>
    <x v="992"/>
    <s v="GOMUKH BAKHRI"/>
    <s v="vlc"/>
    <s v="Indirect"/>
    <n v="20"/>
    <n v="739.2"/>
    <n v="0"/>
    <n v="0"/>
    <n v="0"/>
    <n v="0"/>
    <n v="0"/>
    <n v="0"/>
    <n v="739.2"/>
    <n v="0"/>
    <n v="0"/>
    <n v="0"/>
    <n v="0"/>
    <n v="0"/>
    <n v="0"/>
    <n v="0"/>
    <n v="0"/>
    <n v="739.2"/>
    <n v="0"/>
    <n v="0"/>
    <n v="502.65600000000001"/>
    <n v="2.8571428571428572"/>
    <n v="0"/>
    <n v="0"/>
    <m/>
    <s v="Musrigharari"/>
    <m/>
    <n v="0"/>
  </r>
  <r>
    <s v="Munger"/>
    <s v="03-09 Apr"/>
    <n v="1014"/>
    <s v="Dumraon"/>
    <x v="567"/>
    <s v="Dumri Purvi Tola"/>
    <s v="MPG"/>
    <s v="Direct"/>
    <n v="908.3"/>
    <n v="33795.489999999991"/>
    <n v="893.9"/>
    <n v="33701.196747793205"/>
    <n v="0"/>
    <n v="0"/>
    <n v="893.9"/>
    <n v="33701.196747793205"/>
    <n v="33701.196747793205"/>
    <n v="0"/>
    <n v="0"/>
    <n v="0"/>
    <n v="0"/>
    <n v="0"/>
    <n v="0"/>
    <n v="33700"/>
    <n v="0"/>
    <n v="0"/>
    <n v="95"/>
    <n v="0"/>
    <n v="0"/>
    <n v="0"/>
    <n v="2.7901134798396432E-3"/>
    <n v="7"/>
    <m/>
    <s v="Dumraon"/>
    <m/>
    <n v="0"/>
  </r>
  <r>
    <s v="Munger"/>
    <s v="03-09 Apr"/>
    <n v="1014"/>
    <s v="Dumraon"/>
    <x v="568"/>
    <s v="Simri"/>
    <s v="MPG"/>
    <s v="Direct"/>
    <n v="893.40000000000009"/>
    <n v="33170.67"/>
    <n v="915.1600000000002"/>
    <n v="33901.641684774004"/>
    <n v="0"/>
    <n v="0"/>
    <n v="915.1600000000002"/>
    <n v="33901.641684774004"/>
    <n v="33170.67"/>
    <n v="0"/>
    <n v="0"/>
    <n v="730.97168477400555"/>
    <n v="0"/>
    <n v="0"/>
    <n v="0"/>
    <n v="33170"/>
    <n v="0"/>
    <n v="0"/>
    <n v="1"/>
    <n v="0"/>
    <n v="0"/>
    <n v="0"/>
    <n v="-2.2036687373936239E-2"/>
    <n v="15"/>
    <m/>
    <s v="Dumraon"/>
    <m/>
    <n v="0"/>
  </r>
  <r>
    <s v="Munger"/>
    <s v="03-09 Apr"/>
    <n v="1014"/>
    <s v="Dumraon"/>
    <x v="569"/>
    <s v="Sahiyar"/>
    <s v="MPG"/>
    <s v="Direct"/>
    <n v="1483.9"/>
    <n v="58991.260000000009"/>
    <n v="1545.3"/>
    <n v="63158.793869921159"/>
    <n v="32.799999999999997"/>
    <n v="1254.8670314400001"/>
    <n v="1578.1"/>
    <n v="64413.66090136116"/>
    <n v="58991.260000000009"/>
    <n v="0"/>
    <n v="1254.8670314400001"/>
    <n v="5422.4009013611503"/>
    <n v="0"/>
    <n v="0"/>
    <n v="0"/>
    <n v="57736"/>
    <n v="0"/>
    <n v="0"/>
    <n v="0"/>
    <n v="0"/>
    <n v="0"/>
    <n v="0"/>
    <n v="-9.1918716456660693E-2"/>
    <n v="33"/>
    <m/>
    <s v="Dumraon"/>
    <m/>
    <n v="0"/>
  </r>
  <r>
    <s v="Munger"/>
    <s v="03-09 Apr"/>
    <n v="1014"/>
    <s v="Dumraon"/>
    <x v="570"/>
    <s v="ENGLISH DUBAULI"/>
    <s v="MPG"/>
    <s v="Direct"/>
    <n v="959.30000000000007"/>
    <n v="34247.910000000003"/>
    <n v="988.74"/>
    <n v="38049.124571302658"/>
    <n v="28.990000000000002"/>
    <n v="1574.34829501988"/>
    <n v="1017.73"/>
    <n v="39623.47286632254"/>
    <n v="34247.910000000003"/>
    <n v="0"/>
    <n v="1574.34829501988"/>
    <n v="5375.5628663225361"/>
    <n v="6250"/>
    <n v="0"/>
    <n v="0"/>
    <n v="26424"/>
    <n v="0"/>
    <n v="0"/>
    <n v="0"/>
    <s v="Release1"/>
    <n v="0"/>
    <n v="0"/>
    <n v="-0.15696031863908003"/>
    <n v="14"/>
    <m/>
    <s v="Dumraon"/>
    <m/>
    <n v="0"/>
  </r>
  <r>
    <s v="Munger"/>
    <s v="03-09 Apr"/>
    <n v="1014"/>
    <s v="Dumraon"/>
    <x v="571"/>
    <s v="Ramo Bariya"/>
    <s v="MPG"/>
    <s v="Direct"/>
    <n v="1292.3000000000002"/>
    <n v="48733.68"/>
    <n v="1303.8700000000001"/>
    <n v="48226.273174978029"/>
    <n v="10.98"/>
    <n v="473.21517394800009"/>
    <n v="1314.8500000000001"/>
    <n v="48699.488348926032"/>
    <n v="48699.488348926032"/>
    <n v="0"/>
    <n v="473.21517394800009"/>
    <n v="0"/>
    <n v="0"/>
    <n v="0"/>
    <n v="0"/>
    <n v="48227"/>
    <n v="0"/>
    <n v="0"/>
    <n v="33"/>
    <n v="0"/>
    <n v="0"/>
    <n v="0"/>
    <n v="7.0160207630469082E-4"/>
    <n v="18"/>
    <m/>
    <s v="Dumraon"/>
    <m/>
    <n v="0"/>
  </r>
  <r>
    <s v="Munger"/>
    <s v="03-09 Apr"/>
    <n v="1014"/>
    <s v="Dumraon"/>
    <x v="572"/>
    <s v="HITAN PARARI"/>
    <s v="MPG"/>
    <s v="Direct"/>
    <n v="1616.8000000000002"/>
    <n v="63823.760000000017"/>
    <n v="1657.5900000000004"/>
    <n v="69445.343204644203"/>
    <n v="0"/>
    <n v="0"/>
    <n v="1657.5900000000004"/>
    <n v="69445.343204644203"/>
    <n v="63823.760000000017"/>
    <n v="0"/>
    <n v="0"/>
    <n v="5621.5832046441865"/>
    <n v="0"/>
    <n v="0"/>
    <n v="0"/>
    <n v="63824"/>
    <n v="0"/>
    <n v="0"/>
    <n v="0"/>
    <n v="0"/>
    <n v="0"/>
    <n v="0"/>
    <n v="-8.8079787286806432E-2"/>
    <n v="9"/>
    <m/>
    <s v="Dumraon"/>
    <m/>
    <n v="0"/>
  </r>
  <r>
    <s v="Munger"/>
    <s v="03-09 Apr"/>
    <n v="1014"/>
    <s v="Dumraon"/>
    <x v="573"/>
    <s v="Gangauli"/>
    <s v="MPG"/>
    <s v="Direct"/>
    <n v="1438.3"/>
    <n v="61000.099999999991"/>
    <n v="1477.3000000000002"/>
    <n v="60601.722166674772"/>
    <n v="7.7"/>
    <n v="279.00851378400006"/>
    <n v="1485.0000000000002"/>
    <n v="60880.730680458772"/>
    <n v="60880.730680458772"/>
    <n v="0"/>
    <n v="279.00851378400006"/>
    <n v="0"/>
    <n v="0"/>
    <n v="0"/>
    <n v="0"/>
    <n v="60603"/>
    <n v="0"/>
    <n v="0"/>
    <n v="118"/>
    <n v="0"/>
    <n v="0"/>
    <n v="0"/>
    <n v="1.9568708828546144E-3"/>
    <n v="21"/>
    <m/>
    <s v="Dumraon"/>
    <m/>
    <n v="0"/>
  </r>
  <r>
    <s v="Munger"/>
    <s v="03-09 Apr"/>
    <n v="1014"/>
    <s v="Dumraon"/>
    <x v="574"/>
    <s v="MATHURA DERA"/>
    <s v="MPG"/>
    <s v="Direct"/>
    <n v="796.4"/>
    <n v="30336.599999999995"/>
    <n v="781"/>
    <n v="29244.998581244203"/>
    <n v="4"/>
    <n v="138.86848800000001"/>
    <n v="785"/>
    <n v="29383.867069244203"/>
    <n v="29383.867069244203"/>
    <n v="0"/>
    <n v="138.86848800000001"/>
    <n v="0"/>
    <n v="0"/>
    <n v="0"/>
    <n v="0"/>
    <n v="29245"/>
    <n v="0"/>
    <n v="0"/>
    <n v="953"/>
    <n v="0"/>
    <n v="0"/>
    <n v="0"/>
    <n v="3.1405395817454565E-2"/>
    <n v="4"/>
    <m/>
    <s v="Dumraon"/>
    <m/>
    <n v="0"/>
  </r>
  <r>
    <s v="Munger"/>
    <s v="03-09 Apr"/>
    <n v="1014"/>
    <s v="Dumraon"/>
    <x v="575"/>
    <s v="NANDAN"/>
    <s v="MPG"/>
    <s v="Direct"/>
    <n v="381.89999999999992"/>
    <n v="20501.180000000004"/>
    <n v="391"/>
    <n v="20444.090897808004"/>
    <n v="0"/>
    <n v="0"/>
    <n v="391"/>
    <n v="20444.090897808004"/>
    <n v="20444.090897808004"/>
    <n v="0"/>
    <n v="0"/>
    <n v="0"/>
    <n v="0"/>
    <n v="0"/>
    <n v="0"/>
    <n v="20444"/>
    <n v="0"/>
    <n v="0"/>
    <n v="57"/>
    <n v="0"/>
    <n v="341.52528714323142"/>
    <n v="54.557142857142843"/>
    <n v="2.7846739647181132E-3"/>
    <n v="1"/>
    <m/>
    <s v="Dumraon"/>
    <m/>
    <n v="0"/>
  </r>
  <r>
    <s v="Munger"/>
    <s v="03-09 Apr"/>
    <n v="1014"/>
    <s v="Dumraon"/>
    <x v="576"/>
    <s v="RAJAPUR"/>
    <s v="MPG"/>
    <s v="Direct"/>
    <n v="163.4"/>
    <n v="5582.3599999999988"/>
    <n v="186.90000000000003"/>
    <n v="7161.3919753200016"/>
    <n v="0"/>
    <n v="0"/>
    <n v="186.90000000000003"/>
    <n v="7161.3919753200016"/>
    <n v="5582.3599999999988"/>
    <n v="0"/>
    <n v="0"/>
    <n v="1579.0319753200029"/>
    <n v="0"/>
    <n v="0"/>
    <n v="0"/>
    <n v="5582"/>
    <n v="0"/>
    <n v="0"/>
    <n v="0"/>
    <n v="0"/>
    <n v="366.64557845777227"/>
    <n v="23.342857142857145"/>
    <n v="-0.28286100776732481"/>
    <n v="3"/>
    <m/>
    <s v="Dumraon"/>
    <m/>
    <n v="0"/>
  </r>
  <r>
    <s v="Munger"/>
    <s v="03-09 Apr"/>
    <n v="1014"/>
    <s v="Dumraon"/>
    <x v="577"/>
    <s v="HEMDAPUR"/>
    <s v="MPG"/>
    <s v="Direct"/>
    <n v="683.09999999999991"/>
    <n v="23463.95"/>
    <n v="673.93"/>
    <n v="24864.992160228001"/>
    <n v="0"/>
    <n v="0"/>
    <n v="673.93"/>
    <n v="24864.992160228001"/>
    <n v="23463.95"/>
    <n v="0"/>
    <n v="0"/>
    <n v="1401.0421602280003"/>
    <n v="0"/>
    <n v="0"/>
    <n v="0"/>
    <n v="23464"/>
    <n v="0"/>
    <n v="0"/>
    <n v="0"/>
    <n v="0"/>
    <n v="11.610035280339682"/>
    <n v="97.585714285714275"/>
    <n v="-5.9710413644250018E-2"/>
    <n v="3"/>
    <m/>
    <s v="Dumraon"/>
    <m/>
    <n v="0"/>
  </r>
  <r>
    <s v="Munger"/>
    <s v="03-09 Apr"/>
    <n v="1014"/>
    <s v="Dumraon"/>
    <x v="578"/>
    <s v="Chaugain"/>
    <s v="MPG"/>
    <s v="Direct"/>
    <n v="179.20000000000002"/>
    <n v="6456.57"/>
    <n v="178"/>
    <n v="6438.0919680000006"/>
    <n v="0"/>
    <n v="0"/>
    <n v="178"/>
    <n v="6438.0919680000006"/>
    <n v="6438.0919680000006"/>
    <n v="0"/>
    <n v="0"/>
    <n v="0"/>
    <n v="0"/>
    <n v="500"/>
    <n v="0"/>
    <n v="5938"/>
    <n v="0"/>
    <n v="0"/>
    <n v="19"/>
    <n v="0"/>
    <n v="375.28813124999999"/>
    <n v="25.6"/>
    <n v="2.861896022191206E-3"/>
    <n v="1"/>
    <m/>
    <s v="Dumraon"/>
    <m/>
    <n v="500"/>
  </r>
  <r>
    <s v="Munger"/>
    <s v="03-09 Apr"/>
    <n v="1014"/>
    <s v="Dumraon"/>
    <x v="579"/>
    <s v="Akalupur"/>
    <s v="MPG"/>
    <s v="Direct"/>
    <n v="329.5"/>
    <n v="10998.149999999998"/>
    <n v="329"/>
    <n v="10857.347424000001"/>
    <n v="0"/>
    <n v="0"/>
    <n v="329"/>
    <n v="10857.347424000001"/>
    <n v="10857.347424000001"/>
    <n v="0"/>
    <n v="0"/>
    <n v="0"/>
    <n v="0"/>
    <n v="500"/>
    <n v="0"/>
    <n v="10357"/>
    <n v="0"/>
    <n v="0"/>
    <n v="141"/>
    <n v="0"/>
    <n v="247.33320637329282"/>
    <n v="47.071428571428569"/>
    <n v="1.2802387310592821E-2"/>
    <n v="1"/>
    <m/>
    <s v="Dumraon"/>
    <m/>
    <n v="500"/>
  </r>
  <r>
    <s v="Munger"/>
    <s v="03-09 Apr"/>
    <n v="1014"/>
    <s v="Dumraon"/>
    <x v="580"/>
    <s v="Chhotka Sihanpura"/>
    <s v="MPG"/>
    <s v="Direct"/>
    <n v="693"/>
    <n v="22854.12"/>
    <n v="595.5"/>
    <n v="22675.997307350925"/>
    <n v="50.8"/>
    <n v="1869.5403101760003"/>
    <n v="646.29999999999995"/>
    <n v="24545.537617526927"/>
    <n v="22854.12"/>
    <n v="0"/>
    <n v="509.25870045600004"/>
    <n v="1691.4176175269276"/>
    <n v="0"/>
    <n v="0"/>
    <n v="0"/>
    <n v="20985"/>
    <n v="1360"/>
    <n v="0"/>
    <n v="0"/>
    <n v="0"/>
    <n v="4.6169939393939385"/>
    <n v="99"/>
    <n v="-7.4009308497851922E-2"/>
    <n v="5"/>
    <m/>
    <s v="Dumraon"/>
    <m/>
    <n v="0"/>
  </r>
  <r>
    <s v="Munger"/>
    <s v="03-09 Apr"/>
    <n v="1014"/>
    <s v="Dumraon"/>
    <x v="581"/>
    <s v="Dharauli"/>
    <s v="MPG"/>
    <s v="Direct"/>
    <n v="328.9"/>
    <n v="13032.269999999999"/>
    <n v="329.29999999999995"/>
    <n v="12372.938089528017"/>
    <n v="10.700000000000003"/>
    <n v="388.7248899600001"/>
    <n v="339.99999999999994"/>
    <n v="12761.662979488017"/>
    <n v="12761.662979488017"/>
    <n v="0"/>
    <n v="388.7248899600001"/>
    <n v="0"/>
    <n v="0"/>
    <n v="0"/>
    <n v="0"/>
    <n v="12373"/>
    <n v="0"/>
    <n v="0"/>
    <n v="271"/>
    <n v="0"/>
    <n v="294.08789279416243"/>
    <n v="46.98571428571428"/>
    <n v="2.0764381071906993E-2"/>
    <n v="15"/>
    <m/>
    <s v="Dumraon"/>
    <m/>
    <n v="0"/>
  </r>
  <r>
    <s v="Munger"/>
    <s v="03-09 Apr"/>
    <n v="1014"/>
    <s v="Dumraon"/>
    <x v="582"/>
    <s v="Ramopatti"/>
    <s v="MPG"/>
    <s v="Direct"/>
    <n v="306.79999999999995"/>
    <n v="12166.210000000001"/>
    <n v="306"/>
    <n v="12158.327253600002"/>
    <n v="0"/>
    <n v="0"/>
    <n v="306"/>
    <n v="12158.327253600002"/>
    <n v="12158.327253600002"/>
    <n v="0"/>
    <n v="0"/>
    <n v="0"/>
    <n v="0"/>
    <n v="0"/>
    <n v="0"/>
    <n v="12158"/>
    <n v="0"/>
    <n v="0"/>
    <n v="8"/>
    <n v="0"/>
    <n v="311.84835541069111"/>
    <n v="43.828571428571422"/>
    <n v="6.4792128362067749E-4"/>
    <n v="1"/>
    <m/>
    <s v="Dumraon"/>
    <m/>
    <n v="0"/>
  </r>
  <r>
    <s v="Munger"/>
    <s v="03-09 Apr"/>
    <n v="1014"/>
    <s v="Dumraon"/>
    <x v="583"/>
    <s v="Kaithi"/>
    <s v="MPG"/>
    <s v="Direct"/>
    <n v="151.20000000000002"/>
    <n v="5106.38"/>
    <n v="151"/>
    <n v="5102.7514560000009"/>
    <n v="0"/>
    <n v="0"/>
    <n v="151"/>
    <n v="5102.7514560000009"/>
    <n v="5102.7514560000009"/>
    <n v="0"/>
    <n v="0"/>
    <n v="0"/>
    <n v="0"/>
    <n v="500"/>
    <n v="0"/>
    <n v="4603"/>
    <n v="0"/>
    <n v="0"/>
    <n v="3"/>
    <n v="0"/>
    <n v="370.68536296296298"/>
    <n v="21.6"/>
    <n v="7.1059028117751474E-4"/>
    <n v="1"/>
    <m/>
    <s v="Dumraon"/>
    <m/>
    <n v="500"/>
  </r>
  <r>
    <s v="Munger"/>
    <s v="03-09 Apr"/>
    <n v="1014"/>
    <s v="Dumraon"/>
    <x v="584"/>
    <s v="Rangi Dera"/>
    <s v="MPG"/>
    <s v="Direct"/>
    <n v="328.6"/>
    <n v="12307.160000000002"/>
    <n v="328"/>
    <n v="12209.822697600002"/>
    <n v="0"/>
    <n v="0"/>
    <n v="328"/>
    <n v="12209.822697600002"/>
    <n v="12209.822697600002"/>
    <n v="0"/>
    <n v="0"/>
    <n v="0"/>
    <n v="0"/>
    <n v="0"/>
    <n v="0"/>
    <n v="12210"/>
    <n v="0"/>
    <n v="0"/>
    <n v="97"/>
    <n v="0"/>
    <n v="278.20323944004872"/>
    <n v="46.942857142857143"/>
    <n v="7.9089978841584332E-3"/>
    <n v="1"/>
    <m/>
    <s v="Dumraon"/>
    <m/>
    <n v="0"/>
  </r>
  <r>
    <s v="Munger"/>
    <s v="03-09 Apr"/>
    <n v="1014"/>
    <s v="Dumraon"/>
    <x v="585"/>
    <s v="Dubki"/>
    <s v="MPG"/>
    <s v="Direct"/>
    <n v="253.2"/>
    <n v="11472.49"/>
    <n v="260"/>
    <n v="14276.632221329402"/>
    <n v="1.22"/>
    <n v="66.658978894566005"/>
    <n v="261.22000000000003"/>
    <n v="14343.291200223968"/>
    <n v="11472.49"/>
    <n v="0"/>
    <n v="66.658978894566005"/>
    <n v="2870.8012002239684"/>
    <n v="0"/>
    <n v="500"/>
    <n v="0"/>
    <n v="10905"/>
    <n v="0"/>
    <n v="0"/>
    <n v="1"/>
    <n v="0"/>
    <n v="404.89008941548184"/>
    <n v="36.171428571428571"/>
    <n v="-0.25023348900055425"/>
    <n v="3"/>
    <m/>
    <s v="Dumraon"/>
    <m/>
    <n v="500"/>
  </r>
  <r>
    <s v="Munger"/>
    <s v="03-09 Apr"/>
    <n v="1014"/>
    <s v="Dumraon"/>
    <x v="586"/>
    <s v="Sonvarsa"/>
    <s v="MPG"/>
    <s v="Direct"/>
    <n v="487.89999999999992"/>
    <n v="17850.3"/>
    <n v="483.93999999999994"/>
    <n v="17972.484730400472"/>
    <n v="1.44"/>
    <n v="55.609855893240002"/>
    <n v="485.37999999999994"/>
    <n v="18028.094586293711"/>
    <n v="17850.3"/>
    <n v="0"/>
    <n v="55.609855893240002"/>
    <n v="177.7945862937122"/>
    <n v="0"/>
    <n v="500"/>
    <n v="0"/>
    <n v="17294"/>
    <n v="0"/>
    <n v="0"/>
    <n v="1"/>
    <n v="0"/>
    <n v="155.19773027259691"/>
    <n v="69.699999999999989"/>
    <n v="-9.9603136246288419E-3"/>
    <n v="4"/>
    <m/>
    <s v="Dumraon"/>
    <m/>
    <n v="500"/>
  </r>
  <r>
    <s v="Munger"/>
    <s v="03-09 Apr"/>
    <n v="1014"/>
    <s v="Dumraon"/>
    <x v="587"/>
    <s v="Soan"/>
    <s v="MPG"/>
    <s v="Direct"/>
    <n v="681"/>
    <n v="27089.43"/>
    <n v="687.25"/>
    <n v="26974.225020838134"/>
    <n v="5.48"/>
    <n v="235.22472247797549"/>
    <n v="692.73"/>
    <n v="27209.449743316109"/>
    <n v="27089.43"/>
    <n v="0"/>
    <n v="235.22472247797549"/>
    <n v="120.01974331610836"/>
    <n v="0"/>
    <n v="0"/>
    <n v="0"/>
    <n v="26854"/>
    <n v="0"/>
    <n v="0"/>
    <n v="0"/>
    <n v="0"/>
    <n v="15.115981497797323"/>
    <n v="97.285714285714292"/>
    <n v="-4.4305008749208957E-3"/>
    <n v="9"/>
    <m/>
    <s v="Dumraon"/>
    <m/>
    <n v="0"/>
  </r>
  <r>
    <s v="Munger"/>
    <s v="03-09 Apr"/>
    <n v="1014"/>
    <s v="Dumraon"/>
    <x v="588"/>
    <s v="PURANA BHOJPUR                                                                                      "/>
    <s v="MPG"/>
    <s v="Direct"/>
    <n v="290.89999999999998"/>
    <n v="11023.7"/>
    <n v="288"/>
    <n v="10986.928128"/>
    <n v="0"/>
    <n v="0"/>
    <n v="288"/>
    <n v="10986.928128"/>
    <n v="10986.928128"/>
    <n v="0"/>
    <n v="0"/>
    <n v="0"/>
    <n v="0"/>
    <n v="0"/>
    <n v="0"/>
    <n v="10987"/>
    <n v="0"/>
    <n v="0"/>
    <n v="37"/>
    <n v="0"/>
    <n v="310.05814162942602"/>
    <n v="41.557142857142857"/>
    <n v="3.3357105146186094E-3"/>
    <n v="1"/>
    <m/>
    <s v="Dumraon"/>
    <m/>
    <n v="0"/>
  </r>
  <r>
    <s v="Munger"/>
    <s v="03-09 Apr"/>
    <n v="1014"/>
    <s v="Dumraon"/>
    <x v="589"/>
    <s v="Gomukh Kant"/>
    <s v="MPG"/>
    <s v="Direct"/>
    <n v="160.6"/>
    <n v="7462.33"/>
    <n v="178.29999999999998"/>
    <n v="8745.1182406562657"/>
    <n v="1.0999999999999999"/>
    <n v="48.334078275590002"/>
    <n v="179.39999999999998"/>
    <n v="8793.4523189318552"/>
    <n v="7462.33"/>
    <n v="0"/>
    <n v="48.334078275590002"/>
    <n v="1331.1223189318553"/>
    <n v="0"/>
    <n v="0"/>
    <n v="0"/>
    <n v="7414"/>
    <n v="0"/>
    <n v="0"/>
    <n v="0"/>
    <n v="0"/>
    <n v="501.26784582814452"/>
    <n v="22.942857142857143"/>
    <n v="-0.1783789136813643"/>
    <n v="5"/>
    <m/>
    <s v="Dumraon"/>
    <m/>
    <n v="0"/>
  </r>
  <r>
    <s v="Munger"/>
    <s v="03-09 Apr"/>
    <n v="1014"/>
    <s v="Dumraon"/>
    <x v="590"/>
    <s v="Gomukh Naat"/>
    <s v="MPG"/>
    <s v="Direct"/>
    <n v="287.2"/>
    <n v="11124.18"/>
    <n v="286.26"/>
    <n v="11384.916684767999"/>
    <n v="0"/>
    <n v="0"/>
    <n v="286.26"/>
    <n v="11384.916684767999"/>
    <n v="11124.18"/>
    <n v="0"/>
    <n v="0"/>
    <n v="260.73668476799867"/>
    <n v="0"/>
    <n v="0"/>
    <n v="0"/>
    <n v="11124"/>
    <n v="0"/>
    <n v="0"/>
    <n v="0"/>
    <n v="0"/>
    <n v="319.78144178272987"/>
    <n v="41.028571428571425"/>
    <n v="-2.3438732991375423E-2"/>
    <n v="3"/>
    <m/>
    <s v="Dumraon"/>
    <m/>
    <n v="0"/>
  </r>
  <r>
    <s v="Munger"/>
    <s v="03-09 Apr"/>
    <n v="1014"/>
    <s v="Dumraon"/>
    <x v="591"/>
    <s v="Gomukh Raghunathpur"/>
    <s v="MPG"/>
    <s v="Direct"/>
    <n v="508.9"/>
    <n v="19046.920000000002"/>
    <n v="520.6"/>
    <n v="18708.312783599999"/>
    <n v="7"/>
    <n v="247.11172200000004"/>
    <n v="527.6"/>
    <n v="18955.4245056"/>
    <n v="18955.4245056"/>
    <n v="0"/>
    <n v="247.11172200000004"/>
    <n v="0"/>
    <n v="0"/>
    <n v="0"/>
    <n v="0"/>
    <n v="18709"/>
    <n v="0"/>
    <n v="0"/>
    <n v="91"/>
    <n v="0"/>
    <n v="143.04839504814305"/>
    <n v="72.7"/>
    <n v="4.8036897514139769E-3"/>
    <n v="3"/>
    <m/>
    <s v="Dumraon"/>
    <m/>
    <n v="0"/>
  </r>
  <r>
    <s v="Munger"/>
    <s v="03-09 Apr"/>
    <n v="1014"/>
    <s v="Dumraon"/>
    <x v="592"/>
    <s v="Gomukh Tilakraika Hata 1 - Manoj"/>
    <s v="vlc"/>
    <s v="Indirect"/>
    <n v="1420.7000000000003"/>
    <n v="46649.89"/>
    <n v="0"/>
    <n v="0"/>
    <n v="0"/>
    <n v="0"/>
    <n v="0"/>
    <n v="0"/>
    <n v="46649.89"/>
    <n v="0"/>
    <n v="0"/>
    <n v="0"/>
    <n v="0"/>
    <n v="0"/>
    <n v="0"/>
    <n v="0"/>
    <n v="0"/>
    <n v="46649.89"/>
    <n v="0"/>
    <n v="0"/>
    <n v="0"/>
    <n v="0"/>
    <n v="0"/>
    <n v="0"/>
    <m/>
    <s v="Dumraon"/>
    <m/>
    <n v="0"/>
  </r>
  <r>
    <s v="Munger"/>
    <s v="03-09 Apr"/>
    <n v="1014"/>
    <s v="Dumraon"/>
    <x v="593"/>
    <s v="Gomukh Murar"/>
    <s v="MPG"/>
    <s v="Direct"/>
    <n v="767"/>
    <n v="30789.929999999997"/>
    <n v="391.80000000000007"/>
    <n v="15100.435554555601"/>
    <n v="421.3"/>
    <n v="18631.679258355638"/>
    <n v="813.10000000000014"/>
    <n v="33732.114812911241"/>
    <n v="30789.929999999997"/>
    <n v="0"/>
    <n v="253.48548256740003"/>
    <n v="2942.1848129112441"/>
    <n v="0"/>
    <n v="0"/>
    <n v="0"/>
    <n v="12157"/>
    <n v="18379"/>
    <n v="0"/>
    <n v="0"/>
    <n v="0"/>
    <n v="0"/>
    <n v="0"/>
    <n v="-9.5556723023119711E-2"/>
    <n v="20"/>
    <m/>
    <s v="Dumraon"/>
    <m/>
    <n v="0"/>
  </r>
  <r>
    <s v="Munger"/>
    <s v="03-09 Apr"/>
    <n v="1014"/>
    <s v="Dumraon"/>
    <x v="594"/>
    <s v="Gomukh Churamanpur                                                                                  "/>
    <s v="MPG"/>
    <s v="Direct"/>
    <n v="363.7"/>
    <n v="13657.699999999999"/>
    <n v="352.52"/>
    <n v="13628.65015988949"/>
    <n v="0"/>
    <n v="0"/>
    <n v="352.52"/>
    <n v="13628.65015988949"/>
    <n v="13628.65015988949"/>
    <n v="0"/>
    <n v="0"/>
    <n v="0"/>
    <n v="0"/>
    <n v="0"/>
    <n v="0"/>
    <n v="13629"/>
    <n v="0"/>
    <n v="0"/>
    <n v="29"/>
    <n v="0"/>
    <n v="252.5754473467143"/>
    <n v="51.957142857142856"/>
    <n v="2.1269935721613992E-3"/>
    <n v="9"/>
    <m/>
    <s v="Dumraon"/>
    <m/>
    <n v="0"/>
  </r>
  <r>
    <s v="Munger"/>
    <s v="03-09 Apr"/>
    <n v="1014"/>
    <s v="Dumraon"/>
    <x v="595"/>
    <s v="Gomukh Ekauni Karuwaj"/>
    <s v="MPG"/>
    <s v="Direct"/>
    <n v="49.699999999999996"/>
    <n v="1804.6200000000003"/>
    <n v="50"/>
    <n v="1749.0528000000002"/>
    <n v="0"/>
    <n v="0"/>
    <n v="50"/>
    <n v="1749.0528000000002"/>
    <n v="1749.0528000000002"/>
    <n v="0"/>
    <n v="0"/>
    <n v="0"/>
    <n v="0"/>
    <n v="500"/>
    <n v="0"/>
    <n v="1249"/>
    <n v="0"/>
    <n v="0"/>
    <n v="56"/>
    <n v="0"/>
    <n v="472.25126197183118"/>
    <n v="7.1"/>
    <n v="3.0791634804003154E-2"/>
    <n v="1"/>
    <m/>
    <s v="Dumraon"/>
    <m/>
    <n v="500"/>
  </r>
  <r>
    <s v="Munger"/>
    <s v="03-09 Apr"/>
    <n v="1014"/>
    <s v="Dumraon"/>
    <x v="596"/>
    <s v="Kulharia Agriculture Producer Company Limited"/>
    <s v="MPG"/>
    <s v="Direct"/>
    <n v="1656.6000000000001"/>
    <n v="69409.169999999984"/>
    <n v="1639.6"/>
    <n v="68711.326668273163"/>
    <n v="16.09"/>
    <n v="651.51274557599993"/>
    <n v="1655.6899999999998"/>
    <n v="69362.839413849157"/>
    <n v="69362.839413849157"/>
    <n v="0"/>
    <n v="651.51274557599993"/>
    <n v="0"/>
    <n v="0"/>
    <n v="0"/>
    <n v="0"/>
    <n v="68711"/>
    <n v="0"/>
    <n v="0"/>
    <n v="47"/>
    <n v="0"/>
    <n v="0"/>
    <n v="0"/>
    <n v="6.6749949827705785E-4"/>
    <n v="6"/>
    <m/>
    <s v="Dumraon"/>
    <m/>
    <n v="0"/>
  </r>
  <r>
    <s v="Munger"/>
    <s v="03-09 Apr"/>
    <n v="1014"/>
    <s v="Dumraon"/>
    <x v="597"/>
    <s v="Gomukh Dhakaich"/>
    <s v="MPG"/>
    <s v="Direct"/>
    <n v="418.1"/>
    <n v="14696.359999999999"/>
    <n v="431.71000000000004"/>
    <n v="15104.034269517602"/>
    <n v="0"/>
    <n v="0"/>
    <n v="431.71000000000004"/>
    <n v="15104.034269517602"/>
    <n v="14696.359999999999"/>
    <n v="0"/>
    <n v="0"/>
    <n v="407.67426951760353"/>
    <n v="0"/>
    <n v="500"/>
    <n v="0"/>
    <n v="14196"/>
    <n v="0"/>
    <n v="0"/>
    <n v="0"/>
    <n v="0"/>
    <n v="198.1776552977756"/>
    <n v="59.728571428571435"/>
    <n v="-2.773981241052911E-2"/>
    <n v="7"/>
    <m/>
    <s v="Dumraon"/>
    <m/>
    <n v="500"/>
  </r>
  <r>
    <s v="Munger"/>
    <s v="03-09 Apr"/>
    <n v="1060"/>
    <s v="Behiya BMC"/>
    <x v="598"/>
    <s v="Gomukh Chhapra"/>
    <s v="MPG"/>
    <s v="Direct"/>
    <n v="1164.6999999999998"/>
    <n v="50933.920000000006"/>
    <n v="1166.0899999999999"/>
    <n v="52391.534166959864"/>
    <n v="25.119999999999997"/>
    <n v="1113.2620198920001"/>
    <n v="1191.2099999999998"/>
    <n v="53504.796186851861"/>
    <n v="50933.920000000006"/>
    <n v="0"/>
    <n v="1113.2620198920001"/>
    <n v="2570.8761868518559"/>
    <n v="0"/>
    <n v="0"/>
    <n v="0"/>
    <n v="0"/>
    <n v="0"/>
    <n v="0"/>
    <n v="49821"/>
    <s v="Yes"/>
    <n v="0"/>
    <n v="0"/>
    <n v="-5.0474736420284473E-2"/>
    <n v="53"/>
    <m/>
    <s v="Behiya BMC"/>
    <m/>
    <n v="0"/>
  </r>
  <r>
    <s v="Munger"/>
    <s v="03-09 Apr"/>
    <n v="1014"/>
    <s v="Dumraon"/>
    <x v="599"/>
    <s v="Gomukh Kajipura Chandan"/>
    <s v="vlc"/>
    <s v="Indirect"/>
    <n v="294.10000000000002"/>
    <n v="11472.84"/>
    <n v="0"/>
    <n v="0"/>
    <n v="0"/>
    <n v="0"/>
    <n v="0"/>
    <n v="0"/>
    <n v="11472.84"/>
    <n v="0"/>
    <n v="0"/>
    <n v="0"/>
    <n v="0"/>
    <n v="0"/>
    <n v="0"/>
    <n v="0"/>
    <n v="0"/>
    <n v="11472.84"/>
    <n v="0"/>
    <n v="0"/>
    <n v="316.68315239714377"/>
    <n v="42.01428571428572"/>
    <n v="0"/>
    <n v="0"/>
    <m/>
    <s v="Dumraon"/>
    <m/>
    <n v="0"/>
  </r>
  <r>
    <s v="Munger"/>
    <s v="03-09 Apr"/>
    <n v="1014"/>
    <s v="Dumraon"/>
    <x v="600"/>
    <s v="Gomukh Banswar"/>
    <s v="MPG"/>
    <s v="Direct"/>
    <n v="126.4"/>
    <n v="7221.4899999999989"/>
    <n v="145.19999999999999"/>
    <n v="7072.4124805477695"/>
    <n v="0"/>
    <n v="0"/>
    <n v="145.19999999999999"/>
    <n v="7072.4124805477695"/>
    <n v="7072.4124805477695"/>
    <n v="0"/>
    <n v="0"/>
    <n v="0"/>
    <n v="0"/>
    <n v="0"/>
    <n v="0"/>
    <n v="7073"/>
    <n v="0"/>
    <n v="0"/>
    <n v="148"/>
    <n v="0"/>
    <n v="655.41877594936693"/>
    <n v="18.057142857142857"/>
    <n v="2.0643595636389355E-2"/>
    <n v="7"/>
    <m/>
    <s v="Dumraon"/>
    <m/>
    <n v="0"/>
  </r>
  <r>
    <s v="Munger"/>
    <s v="03-09 Apr"/>
    <n v="1014"/>
    <s v="Dumraon"/>
    <x v="601"/>
    <s v="Gomukh Sikraul Lakh"/>
    <s v="MPG"/>
    <s v="Direct"/>
    <n v="494.59999999999997"/>
    <n v="19557.880000000005"/>
    <n v="475.89"/>
    <n v="19302.944602788004"/>
    <n v="5.89"/>
    <n v="243.25564392690004"/>
    <n v="481.78"/>
    <n v="19546.200246714903"/>
    <n v="19546.200246714903"/>
    <n v="0"/>
    <n v="243.25564392690004"/>
    <n v="0"/>
    <n v="0"/>
    <n v="500"/>
    <n v="0"/>
    <n v="18803"/>
    <n v="0"/>
    <n v="0"/>
    <n v="12"/>
    <n v="0"/>
    <n v="162.44191475940158"/>
    <n v="70.657142857142858"/>
    <n v="5.9718912709871754E-4"/>
    <n v="3"/>
    <m/>
    <s v="Dumraon"/>
    <m/>
    <n v="500"/>
  </r>
  <r>
    <s v="Munger"/>
    <s v="03-09 Apr"/>
    <n v="1014"/>
    <s v="Dumraon"/>
    <x v="602"/>
    <s v="Gomukh Dafadihari"/>
    <s v="MPG"/>
    <s v="Direct"/>
    <n v="201.70000000000002"/>
    <n v="7418.97"/>
    <n v="206.54"/>
    <n v="7547.902681539359"/>
    <n v="3.4499999999999997"/>
    <n v="145.34678653930001"/>
    <n v="209.98999999999998"/>
    <n v="7693.2494680786594"/>
    <n v="7418.97"/>
    <n v="0"/>
    <n v="145.34678653930001"/>
    <n v="274.27946807865919"/>
    <n v="0"/>
    <n v="0"/>
    <n v="0"/>
    <n v="7274"/>
    <n v="0"/>
    <n v="0"/>
    <n v="0"/>
    <s v="Release1"/>
    <n v="366.57141804660381"/>
    <n v="28.814285714285717"/>
    <n v="-3.6970019838152623E-2"/>
    <n v="8"/>
    <m/>
    <s v="Dumraon"/>
    <m/>
    <n v="0"/>
  </r>
  <r>
    <s v="Munger"/>
    <s v="03-09 Apr"/>
    <n v="1014"/>
    <s v="Dumraon"/>
    <x v="603"/>
    <s v="Gomukh Paharpur"/>
    <s v="MPG"/>
    <s v="Direct"/>
    <n v="157.80000000000004"/>
    <n v="5970.2099999999991"/>
    <n v="160"/>
    <n v="5913.7689599999994"/>
    <n v="0"/>
    <n v="0"/>
    <n v="160"/>
    <n v="5913.7689599999994"/>
    <n v="5913.7689599999994"/>
    <n v="0"/>
    <n v="0"/>
    <n v="0"/>
    <n v="0"/>
    <n v="0"/>
    <n v="0"/>
    <n v="5914"/>
    <n v="0"/>
    <n v="0"/>
    <n v="56"/>
    <n v="0"/>
    <n v="410.27222585551317"/>
    <n v="22.542857142857148"/>
    <n v="9.4537780078087219E-3"/>
    <n v="1"/>
    <m/>
    <s v="Dumraon"/>
    <m/>
    <n v="0"/>
  </r>
  <r>
    <s v="Munger"/>
    <s v="03-09 Apr"/>
    <n v="1014"/>
    <s v="Dumraon"/>
    <x v="604"/>
    <s v="Gomukh Basaon Kalan"/>
    <s v="MPG"/>
    <s v="Direct"/>
    <n v="285.29999999999995"/>
    <n v="10589.27"/>
    <n v="302"/>
    <n v="11949.651141120001"/>
    <n v="0"/>
    <n v="0"/>
    <n v="302"/>
    <n v="11949.651141120001"/>
    <n v="10589.27"/>
    <n v="0"/>
    <n v="0"/>
    <n v="1360.3811411200004"/>
    <n v="0"/>
    <n v="0"/>
    <n v="0"/>
    <n v="10589"/>
    <n v="0"/>
    <n v="0"/>
    <n v="0"/>
    <n v="0"/>
    <n v="307.84229015071861"/>
    <n v="40.757142857142853"/>
    <n v="-0.12846788693838199"/>
    <n v="1"/>
    <m/>
    <s v="Dumraon"/>
    <m/>
    <n v="0"/>
  </r>
  <r>
    <s v="Munger"/>
    <s v="03-09 Apr"/>
    <n v="1014"/>
    <s v="Dumraon"/>
    <x v="605"/>
    <s v="Gomukh Mangolpur"/>
    <s v="MPG"/>
    <s v="Direct"/>
    <n v="338.2"/>
    <n v="11830.560000000001"/>
    <n v="333.8"/>
    <n v="11565.774487969302"/>
    <n v="5.2"/>
    <n v="179.03720736"/>
    <n v="339"/>
    <n v="11744.811695329301"/>
    <n v="11744.811695329301"/>
    <n v="0"/>
    <n v="179.03720736"/>
    <n v="0"/>
    <n v="0"/>
    <n v="0"/>
    <n v="0"/>
    <n v="11566"/>
    <n v="0"/>
    <n v="0"/>
    <n v="86"/>
    <n v="0"/>
    <n v="253.1222121821408"/>
    <n v="48.31428571428571"/>
    <n v="7.2480343002106597E-3"/>
    <n v="10"/>
    <m/>
    <s v="Dumraon"/>
    <m/>
    <n v="0"/>
  </r>
  <r>
    <s v="Munger"/>
    <s v="03-09 Apr"/>
    <n v="1014"/>
    <s v="Dumraon"/>
    <x v="606"/>
    <s v="Gomukh Dhanipur"/>
    <s v="MPG"/>
    <s v="Direct"/>
    <n v="431.49999999999989"/>
    <n v="16762.649999999998"/>
    <n v="436.43"/>
    <n v="16874.189941466764"/>
    <n v="0"/>
    <n v="0"/>
    <n v="436.43"/>
    <n v="16874.189941466764"/>
    <n v="16762.649999999998"/>
    <n v="0"/>
    <n v="0"/>
    <n v="111.53994146676632"/>
    <n v="0"/>
    <n v="0"/>
    <n v="0"/>
    <n v="16763"/>
    <n v="0"/>
    <n v="0"/>
    <n v="0"/>
    <n v="0"/>
    <n v="208.61049942062587"/>
    <n v="61.642857142857125"/>
    <n v="-6.6540756662440805E-3"/>
    <n v="3"/>
    <m/>
    <s v="Dumraon"/>
    <m/>
    <n v="0"/>
  </r>
  <r>
    <s v="Munger"/>
    <s v="03-09 Apr"/>
    <n v="1014"/>
    <s v="Dumraon"/>
    <x v="607"/>
    <s v="Gomukh Rakshanagar_tola"/>
    <s v="MPG"/>
    <s v="Direct"/>
    <n v="601.70000000000005"/>
    <n v="26825.14"/>
    <n v="600.90000000000009"/>
    <n v="26783.944549960703"/>
    <n v="0"/>
    <n v="0"/>
    <n v="600.90000000000009"/>
    <n v="26783.944549960703"/>
    <n v="26783.944549960703"/>
    <n v="0"/>
    <n v="0"/>
    <n v="0"/>
    <n v="0"/>
    <n v="0"/>
    <n v="0"/>
    <n v="26784"/>
    <n v="0"/>
    <n v="0"/>
    <n v="41"/>
    <n v="0"/>
    <n v="87.648704071796487"/>
    <n v="85.95714285714287"/>
    <n v="1.5357030770127092E-3"/>
    <n v="4"/>
    <m/>
    <s v="Dumraon"/>
    <m/>
    <n v="0"/>
  </r>
  <r>
    <s v="Munger"/>
    <s v="03-09 Apr"/>
    <n v="1014"/>
    <s v="Dumraon"/>
    <x v="608"/>
    <s v="Gomukh Nadaon"/>
    <s v="MPG"/>
    <s v="Direct"/>
    <n v="56.3"/>
    <n v="1916.6599999999999"/>
    <n v="46"/>
    <n v="1824.2912160000001"/>
    <n v="1.6"/>
    <n v="66.160195200000004"/>
    <n v="47.6"/>
    <n v="1890.4514112000002"/>
    <n v="1890.4514112000002"/>
    <n v="0"/>
    <n v="66.160195200000004"/>
    <n v="0"/>
    <n v="0"/>
    <n v="500"/>
    <n v="0"/>
    <n v="1324"/>
    <n v="0"/>
    <n v="0"/>
    <n v="26"/>
    <n v="0"/>
    <n v="438.27852291296631"/>
    <n v="8.0428571428571427"/>
    <n v="1.3674093892500334E-2"/>
    <n v="2"/>
    <m/>
    <s v="Dumraon"/>
    <m/>
    <n v="500"/>
  </r>
  <r>
    <s v="Munger"/>
    <s v="03-09 Apr"/>
    <n v="1014"/>
    <s v="Dumraon"/>
    <x v="609"/>
    <s v="Gomukh Bimhnath Girdhar Baraw"/>
    <s v="vlc"/>
    <s v="Indirect"/>
    <n v="631.59999999999991"/>
    <n v="26239.4"/>
    <n v="0"/>
    <n v="0"/>
    <n v="0"/>
    <n v="0"/>
    <n v="0"/>
    <n v="0"/>
    <n v="26239.4"/>
    <n v="0"/>
    <n v="0"/>
    <n v="0"/>
    <n v="0"/>
    <n v="0"/>
    <n v="0"/>
    <n v="0"/>
    <n v="0"/>
    <n v="26239.4"/>
    <n v="0"/>
    <n v="0"/>
    <n v="56.83264597846749"/>
    <n v="90.228571428571414"/>
    <n v="0"/>
    <n v="0"/>
    <m/>
    <s v="Dumraon"/>
    <m/>
    <n v="0"/>
  </r>
  <r>
    <s v="Munger"/>
    <s v="03-09 Apr"/>
    <n v="1014"/>
    <s v="Dumraon"/>
    <x v="610"/>
    <s v="Gomukh Mathuradera Upendra "/>
    <s v="vlc"/>
    <s v="Indirect"/>
    <n v="752.4"/>
    <n v="26252.660000000003"/>
    <n v="0"/>
    <n v="0"/>
    <n v="0"/>
    <n v="0"/>
    <n v="0"/>
    <n v="0"/>
    <n v="26252.660000000003"/>
    <n v="0"/>
    <n v="0"/>
    <n v="0"/>
    <n v="0"/>
    <n v="0"/>
    <n v="0"/>
    <n v="0"/>
    <n v="0"/>
    <n v="26252.660000000003"/>
    <n v="0"/>
    <n v="0"/>
    <n v="0"/>
    <n v="0"/>
    <n v="0"/>
    <n v="0"/>
    <m/>
    <s v="Dumraon"/>
    <m/>
    <n v="0"/>
  </r>
  <r>
    <s v="Munger"/>
    <s v="03-09 Apr"/>
    <n v="1014"/>
    <s v="Dumraon"/>
    <x v="611"/>
    <s v="Gomukh Badkagaon Yamunatola"/>
    <s v="MPG"/>
    <s v="Direct"/>
    <n v="173"/>
    <n v="7222.4100000000008"/>
    <n v="173"/>
    <n v="7216.3655388000006"/>
    <n v="0"/>
    <n v="0"/>
    <n v="173"/>
    <n v="7216.3655388000006"/>
    <n v="7216.3655388000006"/>
    <n v="0"/>
    <n v="0"/>
    <n v="0"/>
    <n v="0"/>
    <n v="500"/>
    <n v="0"/>
    <n v="6716"/>
    <n v="0"/>
    <n v="0"/>
    <n v="6"/>
    <n v="0"/>
    <n v="440.02428554913297"/>
    <n v="24.714285714285715"/>
    <n v="8.3690363742851953E-4"/>
    <n v="1"/>
    <m/>
    <s v="Dumraon"/>
    <m/>
    <n v="500"/>
  </r>
  <r>
    <s v="Munger"/>
    <s v="03-09 Apr"/>
    <n v="1060"/>
    <s v="Behiya BMC"/>
    <x v="612"/>
    <s v="Gomukh Bramhpur"/>
    <s v="MPG"/>
    <s v="Direct"/>
    <n v="178.39999999999998"/>
    <n v="6068.77"/>
    <n v="179.8"/>
    <n v="6736.9245237756013"/>
    <n v="0"/>
    <n v="0"/>
    <n v="179.8"/>
    <n v="6736.9245237756013"/>
    <n v="6068.77"/>
    <n v="0"/>
    <n v="0"/>
    <n v="668.15452377560086"/>
    <n v="0"/>
    <n v="500"/>
    <n v="0"/>
    <n v="5569"/>
    <n v="0"/>
    <n v="0"/>
    <n v="0"/>
    <n v="0"/>
    <n v="354.87336681614352"/>
    <n v="25.485714285714284"/>
    <n v="-0.11009719000318036"/>
    <n v="2"/>
    <m/>
    <s v="Behiya BMC"/>
    <m/>
    <n v="500"/>
  </r>
  <r>
    <s v="Munger"/>
    <s v="03-09 Apr"/>
    <n v="1014"/>
    <s v="Dumraon"/>
    <x v="613"/>
    <s v="Gomukh Mashariya"/>
    <s v="MPG"/>
    <s v="Direct"/>
    <n v="572.1"/>
    <n v="21217.309999999998"/>
    <n v="434.71000000000004"/>
    <n v="15945.485655452554"/>
    <n v="174.04"/>
    <n v="6650.0122795565858"/>
    <n v="608.75"/>
    <n v="22595.497935009138"/>
    <n v="21217.309999999998"/>
    <n v="0"/>
    <n v="1782.1432567265852"/>
    <n v="1378.1879350091403"/>
    <n v="0"/>
    <n v="0"/>
    <n v="0"/>
    <n v="14567"/>
    <n v="4868"/>
    <n v="0"/>
    <n v="0"/>
    <n v="0"/>
    <n v="94.867818528229336"/>
    <n v="81.728571428571428"/>
    <n v="-6.49558278127218E-2"/>
    <n v="5"/>
    <m/>
    <s v="Dumraon"/>
    <m/>
    <n v="0"/>
  </r>
  <r>
    <s v="Munger"/>
    <s v="03-09 Apr"/>
    <n v="1014"/>
    <s v="Dumraon"/>
    <x v="614"/>
    <s v="Gomukh Basawkala Sudhir Kumar"/>
    <s v="vlc"/>
    <s v="Indirect"/>
    <n v="22.900000000000002"/>
    <n v="866.61"/>
    <n v="0"/>
    <n v="0"/>
    <n v="0"/>
    <n v="0"/>
    <n v="0"/>
    <n v="0"/>
    <n v="866.61"/>
    <n v="0"/>
    <n v="0"/>
    <n v="0"/>
    <n v="0"/>
    <n v="0"/>
    <n v="0"/>
    <n v="0"/>
    <n v="0"/>
    <n v="866.61"/>
    <n v="0"/>
    <n v="0"/>
    <n v="512.47304017467252"/>
    <n v="3.2714285714285718"/>
    <n v="0"/>
    <n v="0"/>
    <m/>
    <s v="Dumraon"/>
    <m/>
    <n v="0"/>
  </r>
  <r>
    <s v="Munger"/>
    <s v="03-09 Apr"/>
    <n v="1060"/>
    <s v="Behiya BMC"/>
    <x v="615"/>
    <s v="Gomukh KritSagar"/>
    <s v="MPG"/>
    <s v="Direct"/>
    <n v="315.40000000000003"/>
    <n v="12908.29"/>
    <n v="302"/>
    <n v="12876.410844000002"/>
    <n v="0"/>
    <n v="0"/>
    <n v="302"/>
    <n v="12876.410844000002"/>
    <n v="12876.410844000002"/>
    <n v="0"/>
    <n v="0"/>
    <n v="0"/>
    <n v="0"/>
    <n v="500"/>
    <n v="0"/>
    <n v="12376"/>
    <n v="0"/>
    <n v="0"/>
    <n v="32"/>
    <n v="0"/>
    <n v="314.80839150285351"/>
    <n v="45.057142857142864"/>
    <n v="2.4696653081081269E-3"/>
    <n v="1"/>
    <m/>
    <s v="Behiya BMC"/>
    <m/>
    <n v="500"/>
  </r>
  <r>
    <s v="Munger"/>
    <s v="03-09 Apr"/>
    <n v="1014"/>
    <s v="Dumraon"/>
    <x v="616"/>
    <s v="Gomukh Navdera Jaipraksh"/>
    <s v="vlc"/>
    <s v="Indirect"/>
    <n v="1566.3000000000002"/>
    <n v="66709.99000000002"/>
    <n v="0"/>
    <n v="0"/>
    <n v="0"/>
    <n v="0"/>
    <n v="0"/>
    <n v="0"/>
    <n v="66709.99000000002"/>
    <n v="0"/>
    <n v="0"/>
    <n v="0"/>
    <n v="0"/>
    <n v="0"/>
    <n v="0"/>
    <n v="0"/>
    <n v="0"/>
    <n v="66709.99000000002"/>
    <n v="0"/>
    <n v="0"/>
    <n v="0"/>
    <n v="0"/>
    <n v="0"/>
    <n v="0"/>
    <m/>
    <s v="Dumraon"/>
    <m/>
    <n v="0"/>
  </r>
  <r>
    <s v="Munger"/>
    <s v="03-09 Apr"/>
    <n v="1014"/>
    <s v="Dumraon"/>
    <x v="617"/>
    <s v="Gomukh Ataon"/>
    <s v="MPG"/>
    <s v="Direct"/>
    <n v="872.1"/>
    <n v="37068.959999999999"/>
    <n v="884.31999999999994"/>
    <n v="37907.646075796802"/>
    <n v="0"/>
    <n v="0"/>
    <n v="884.31999999999994"/>
    <n v="37907.646075796802"/>
    <n v="37068.959999999999"/>
    <n v="0"/>
    <n v="0"/>
    <n v="838.68607579680247"/>
    <n v="0"/>
    <n v="0"/>
    <n v="0"/>
    <n v="37069"/>
    <n v="0"/>
    <n v="0"/>
    <n v="0"/>
    <n v="0"/>
    <n v="0"/>
    <n v="0"/>
    <n v="-2.2625023086614852E-2"/>
    <n v="2"/>
    <m/>
    <s v="Dumraon"/>
    <m/>
    <n v="0"/>
  </r>
  <r>
    <s v="Munger"/>
    <s v="03-09 Apr"/>
    <n v="1014"/>
    <s v="Dumraon"/>
    <x v="618"/>
    <s v="Gumukh Gayghat"/>
    <s v="MPG"/>
    <s v="Direct"/>
    <n v="769.00000000000011"/>
    <n v="28859.599999999999"/>
    <n v="374.28000000000003"/>
    <n v="16511.11697281709"/>
    <n v="395.23"/>
    <n v="17787.807975760239"/>
    <n v="769.51"/>
    <n v="34298.924948577333"/>
    <n v="28859.599999999999"/>
    <n v="0"/>
    <n v="477.77767416720008"/>
    <n v="5439.324948577334"/>
    <n v="0"/>
    <n v="0"/>
    <n v="0"/>
    <n v="11072"/>
    <n v="17310"/>
    <n v="0"/>
    <n v="0"/>
    <n v="0"/>
    <n v="0"/>
    <n v="0"/>
    <n v="-0.1884754102128004"/>
    <n v="5"/>
    <m/>
    <s v="Dumraon"/>
    <m/>
    <n v="0"/>
  </r>
  <r>
    <s v="Munger"/>
    <s v="03-09 Apr"/>
    <n v="1014"/>
    <s v="Dumraon"/>
    <x v="619"/>
    <s v="Gomukh Shivpur"/>
    <s v="MPG"/>
    <s v="Direct"/>
    <n v="167.29999999999998"/>
    <n v="5881.77"/>
    <n v="164.57999999999998"/>
    <n v="5840.1830133802723"/>
    <n v="0"/>
    <n v="0"/>
    <n v="164.57999999999998"/>
    <n v="5840.1830133802723"/>
    <n v="5840.1830133802723"/>
    <n v="0"/>
    <n v="0"/>
    <n v="0"/>
    <n v="0"/>
    <n v="500"/>
    <n v="0"/>
    <n v="5340"/>
    <n v="0"/>
    <n v="0"/>
    <n v="42"/>
    <n v="0"/>
    <n v="374.56292635983266"/>
    <n v="23.9"/>
    <n v="7.0704884107552863E-3"/>
    <n v="2"/>
    <m/>
    <s v="Dumraon"/>
    <m/>
    <n v="500"/>
  </r>
  <r>
    <s v="Munger"/>
    <s v="03-09 Apr"/>
    <n v="1014"/>
    <s v="Dumraon"/>
    <x v="620"/>
    <s v="Gomukh Chakki Janardan Yadav"/>
    <s v="vlc"/>
    <s v="Indirect"/>
    <n v="279.3"/>
    <n v="11521.52"/>
    <n v="0"/>
    <n v="0"/>
    <n v="0"/>
    <n v="0"/>
    <n v="0"/>
    <n v="0"/>
    <n v="11521.52"/>
    <n v="0"/>
    <n v="0"/>
    <n v="0"/>
    <n v="0"/>
    <n v="0"/>
    <n v="0"/>
    <n v="0"/>
    <n v="0"/>
    <n v="11521.52"/>
    <n v="0"/>
    <n v="0"/>
    <n v="347.08939949874684"/>
    <n v="39.9"/>
    <n v="0"/>
    <n v="0"/>
    <m/>
    <s v="Dumraon"/>
    <m/>
    <n v="0"/>
  </r>
  <r>
    <s v="Munger"/>
    <s v="03-09 Apr"/>
    <n v="1060"/>
    <s v="Behiya BMC"/>
    <x v="621"/>
    <s v="Gomukh Rajpur"/>
    <s v="MPG"/>
    <s v="Direct"/>
    <n v="1171.6999999999998"/>
    <n v="46154.19"/>
    <n v="1178.68"/>
    <n v="44486.871809657285"/>
    <n v="15.549999999999997"/>
    <n v="611.82892623599992"/>
    <n v="1194.23"/>
    <n v="45098.700735893282"/>
    <n v="45098.700735893282"/>
    <n v="0"/>
    <n v="611.82892623599992"/>
    <n v="0"/>
    <n v="0"/>
    <n v="0"/>
    <n v="0"/>
    <n v="44488"/>
    <n v="0"/>
    <n v="0"/>
    <n v="1054"/>
    <s v="Release1"/>
    <n v="0"/>
    <n v="0"/>
    <n v="2.2868763683356157E-2"/>
    <n v="33"/>
    <m/>
    <s v="Behiya BMC"/>
    <m/>
    <n v="0"/>
  </r>
  <r>
    <s v="Munger"/>
    <s v="03-09 Apr"/>
    <n v="1014"/>
    <s v="Dumraon"/>
    <x v="622"/>
    <s v="Gomukh Gangauli Dubha"/>
    <s v="MPG"/>
    <s v="Direct"/>
    <n v="290.2"/>
    <n v="10632.320000000002"/>
    <n v="295.20000000000005"/>
    <n v="10532.60400852"/>
    <n v="2.8000000000000003"/>
    <n v="100.70588880000003"/>
    <n v="298.00000000000006"/>
    <n v="10633.309897319999"/>
    <n v="10632.320000000002"/>
    <n v="0"/>
    <n v="100.70588880000003"/>
    <n v="0.9898973199979082"/>
    <n v="0"/>
    <n v="0"/>
    <n v="0"/>
    <n v="10531"/>
    <n v="0"/>
    <n v="0"/>
    <n v="1"/>
    <n v="0"/>
    <n v="300.28426850447977"/>
    <n v="41.457142857142856"/>
    <n v="-9.310266432894307E-5"/>
    <n v="5"/>
    <m/>
    <s v="Dumraon"/>
    <m/>
    <n v="0"/>
  </r>
  <r>
    <s v="Munger"/>
    <s v="03-09 Apr"/>
    <n v="1060"/>
    <s v="Behiya BMC"/>
    <x v="623"/>
    <s v="Tiyar A2 Milk Producer Company Limited"/>
    <s v="vlc"/>
    <s v="Indirect"/>
    <n v="1908.8999999999999"/>
    <n v="82653.73000000001"/>
    <n v="0"/>
    <n v="0"/>
    <n v="0"/>
    <n v="0"/>
    <n v="0"/>
    <n v="0"/>
    <n v="82653.73000000001"/>
    <n v="0"/>
    <n v="0"/>
    <n v="0"/>
    <n v="0"/>
    <n v="0"/>
    <n v="0"/>
    <n v="0"/>
    <n v="0"/>
    <n v="82653.73000000001"/>
    <n v="0"/>
    <n v="0"/>
    <n v="0"/>
    <n v="0"/>
    <n v="0"/>
    <n v="0"/>
    <m/>
    <s v="Behiya BMC"/>
    <m/>
    <n v="0"/>
  </r>
  <r>
    <s v="Munger"/>
    <s v="03-09 Apr"/>
    <n v="1060"/>
    <s v="Behiya BMC"/>
    <x v="624"/>
    <s v="Gomukh Uttardahan"/>
    <s v="MPG"/>
    <s v="Direct"/>
    <n v="268.5"/>
    <n v="11977.629999999997"/>
    <n v="274.56000000000006"/>
    <n v="12962.071316052714"/>
    <n v="0"/>
    <n v="0"/>
    <n v="274.56000000000006"/>
    <n v="12962.071316052714"/>
    <n v="11977.629999999997"/>
    <n v="0"/>
    <n v="0"/>
    <n v="984.4413160527165"/>
    <n v="0"/>
    <n v="0"/>
    <n v="0"/>
    <n v="11978"/>
    <n v="0"/>
    <n v="0"/>
    <n v="0"/>
    <s v="Release1"/>
    <n v="384.97931806331462"/>
    <n v="38.357142857142854"/>
    <n v="-8.2189992181484706E-2"/>
    <n v="14"/>
    <m/>
    <s v="Behiya BMC"/>
    <m/>
    <n v="0"/>
  </r>
  <r>
    <s v="Munger"/>
    <s v="03-09 Apr"/>
    <n v="1014"/>
    <s v="Dumraon"/>
    <x v="625"/>
    <s v="Gomukh Jagdishpur"/>
    <s v="MPG"/>
    <s v="Direct"/>
    <n v="2054.9"/>
    <n v="65436.780000000006"/>
    <n v="2056"/>
    <n v="65407.643136000006"/>
    <n v="0"/>
    <n v="0"/>
    <n v="2056"/>
    <n v="65407.643136000006"/>
    <n v="65407.643136000006"/>
    <n v="0"/>
    <n v="0"/>
    <n v="0"/>
    <n v="0"/>
    <n v="0"/>
    <n v="0"/>
    <n v="65408"/>
    <n v="0"/>
    <n v="0"/>
    <n v="29"/>
    <n v="0"/>
    <n v="0"/>
    <n v="0"/>
    <n v="4.452673863231054E-4"/>
    <n v="1"/>
    <m/>
    <s v="Dumraon"/>
    <m/>
    <n v="0"/>
  </r>
  <r>
    <s v="Munger"/>
    <s v="03-09 Apr"/>
    <n v="1014"/>
    <s v="Dumraon"/>
    <x v="626"/>
    <s v="Gaya Jee Pathak"/>
    <s v="vlc"/>
    <s v="Indirect"/>
    <n v="932.7"/>
    <n v="32001.73"/>
    <n v="0"/>
    <n v="0"/>
    <n v="0"/>
    <n v="0"/>
    <n v="0"/>
    <n v="0"/>
    <n v="32001.73"/>
    <n v="0"/>
    <n v="0"/>
    <n v="0"/>
    <n v="0"/>
    <n v="0"/>
    <n v="0"/>
    <n v="0"/>
    <n v="0"/>
    <n v="32001.73"/>
    <n v="0"/>
    <n v="0"/>
    <n v="0"/>
    <n v="0"/>
    <n v="0"/>
    <n v="0"/>
    <m/>
    <s v="Dumraon"/>
    <m/>
    <n v="0"/>
  </r>
  <r>
    <s v="Munger"/>
    <s v="03-09 Apr"/>
    <n v="1014"/>
    <s v="Dumraon"/>
    <x v="627"/>
    <s v="Gumukh Orap Khurd"/>
    <s v="MPG"/>
    <s v="Direct"/>
    <n v="565.20000000000005"/>
    <n v="21169.979999999996"/>
    <n v="568"/>
    <n v="21143.839305600006"/>
    <n v="0"/>
    <n v="0"/>
    <n v="568"/>
    <n v="21143.839305600006"/>
    <n v="21143.839305600006"/>
    <n v="0"/>
    <n v="0"/>
    <n v="0"/>
    <n v="0"/>
    <n v="0"/>
    <n v="0"/>
    <n v="21144"/>
    <n v="0"/>
    <n v="0"/>
    <n v="26"/>
    <n v="0"/>
    <n v="100.98065477707"/>
    <n v="80.742857142857147"/>
    <n v="1.2348001462443531E-3"/>
    <n v="1"/>
    <m/>
    <s v="Dumraon"/>
    <m/>
    <n v="0"/>
  </r>
  <r>
    <s v="Munger"/>
    <s v="03-09 Apr"/>
    <n v="1014"/>
    <s v="Dumraon"/>
    <x v="628"/>
    <s v="Gomukh Daunpura Manendra"/>
    <s v="vlc"/>
    <s v="Indirect"/>
    <n v="290.29999999999995"/>
    <n v="10643.449999999999"/>
    <n v="0"/>
    <n v="0"/>
    <n v="0"/>
    <n v="0"/>
    <n v="0"/>
    <n v="0"/>
    <n v="10643.449999999999"/>
    <n v="0"/>
    <n v="0"/>
    <n v="0"/>
    <n v="0"/>
    <n v="0"/>
    <n v="0"/>
    <n v="0"/>
    <n v="0"/>
    <n v="10643.449999999999"/>
    <n v="0"/>
    <n v="0"/>
    <n v="300.42173372373412"/>
    <n v="41.471428571428568"/>
    <n v="0"/>
    <n v="0"/>
    <m/>
    <s v="Dumraon"/>
    <m/>
    <n v="0"/>
  </r>
  <r>
    <s v="Munger"/>
    <s v="03-09 Apr"/>
    <n v="1014"/>
    <s v="Dumraon"/>
    <x v="629"/>
    <s v="Gumukh Mathiyapur"/>
    <s v="MPG"/>
    <s v="Direct"/>
    <n v="328.8"/>
    <n v="13461.760000000002"/>
    <n v="309.35000000000002"/>
    <n v="13444.566343846542"/>
    <n v="0"/>
    <n v="0"/>
    <n v="309.35000000000002"/>
    <n v="13444.566343846542"/>
    <n v="13444.566343846542"/>
    <n v="0"/>
    <n v="0"/>
    <n v="0"/>
    <n v="0"/>
    <n v="0"/>
    <n v="0"/>
    <n v="13445"/>
    <n v="0"/>
    <n v="0"/>
    <n v="17"/>
    <n v="0"/>
    <n v="303.95409440389295"/>
    <n v="46.971428571428575"/>
    <n v="1.2772220091177024E-3"/>
    <n v="1"/>
    <m/>
    <s v="Dumraon"/>
    <m/>
    <n v="0"/>
  </r>
  <r>
    <s v="Munger"/>
    <s v="03-09 Apr"/>
    <n v="1014"/>
    <s v="Dumraon"/>
    <x v="630"/>
    <s v="Gomukh Raghunathpur Dasrath"/>
    <s v="vlc"/>
    <s v="Indirect"/>
    <n v="1293.2"/>
    <n v="51143.42"/>
    <n v="0"/>
    <n v="0"/>
    <n v="0"/>
    <n v="0"/>
    <n v="0"/>
    <n v="0"/>
    <n v="51143.42"/>
    <n v="0"/>
    <n v="0"/>
    <n v="0"/>
    <n v="0"/>
    <n v="0"/>
    <n v="0"/>
    <n v="0"/>
    <n v="0"/>
    <n v="51143.42"/>
    <n v="0"/>
    <n v="0"/>
    <n v="0"/>
    <n v="0"/>
    <n v="0"/>
    <n v="0"/>
    <m/>
    <s v="Dumraon"/>
    <m/>
    <n v="0"/>
  </r>
  <r>
    <s v="Munger"/>
    <s v="03-09 Apr"/>
    <n v="1014"/>
    <s v="Dumraon"/>
    <x v="631"/>
    <s v="Gomukh Lakshman Dera Raja"/>
    <s v="vlc"/>
    <s v="Indirect"/>
    <n v="549.20000000000005"/>
    <n v="19102.439999999999"/>
    <n v="0"/>
    <n v="0"/>
    <n v="0"/>
    <n v="0"/>
    <n v="0"/>
    <n v="0"/>
    <n v="19102.439999999999"/>
    <n v="0"/>
    <n v="0"/>
    <n v="0"/>
    <n v="0"/>
    <n v="0"/>
    <n v="0"/>
    <n v="0"/>
    <n v="0"/>
    <n v="19102.439999999999"/>
    <n v="0"/>
    <n v="0"/>
    <n v="104.90342141296422"/>
    <n v="78.45714285714287"/>
    <n v="0"/>
    <n v="0"/>
    <m/>
    <s v="Dumraon"/>
    <m/>
    <n v="0"/>
  </r>
  <r>
    <s v="Munger"/>
    <s v="03-09 Apr"/>
    <n v="1014"/>
    <s v="Dumraon"/>
    <x v="632"/>
    <s v="Sohan Narayan Farmer Dairy Producer Company Ltd"/>
    <s v="vlc"/>
    <s v="Indirect"/>
    <n v="4914.2999999999993"/>
    <n v="175774.55000000002"/>
    <n v="0"/>
    <n v="0"/>
    <n v="0"/>
    <n v="0"/>
    <n v="0"/>
    <n v="0"/>
    <n v="175774.55000000002"/>
    <n v="0"/>
    <n v="0"/>
    <n v="0"/>
    <n v="0"/>
    <n v="0"/>
    <n v="0"/>
    <n v="0"/>
    <n v="0"/>
    <n v="175774.55000000002"/>
    <n v="0"/>
    <n v="0"/>
    <n v="0"/>
    <n v="0"/>
    <n v="0"/>
    <n v="0"/>
    <m/>
    <s v="Dumraon"/>
    <m/>
    <n v="0"/>
  </r>
  <r>
    <s v="Munger"/>
    <s v="03-09 Apr"/>
    <n v="1014"/>
    <s v="Dumraon"/>
    <x v="633"/>
    <s v="Gumukh Niyajipur Nakchhedi Pathak Dera"/>
    <s v="MPG"/>
    <s v="Direct"/>
    <n v="295.09999999999997"/>
    <n v="12935.55"/>
    <n v="291.8"/>
    <n v="13824.573786640502"/>
    <n v="0"/>
    <n v="0"/>
    <n v="291.8"/>
    <n v="13824.573786640502"/>
    <n v="12935.55"/>
    <n v="0"/>
    <n v="0"/>
    <n v="889.02378664050229"/>
    <n v="0"/>
    <n v="0"/>
    <n v="0"/>
    <n v="12936"/>
    <n v="0"/>
    <n v="0"/>
    <n v="0"/>
    <n v="0"/>
    <n v="354.97148051507975"/>
    <n v="42.157142857142851"/>
    <n v="-6.8727173304614211E-2"/>
    <n v="1"/>
    <m/>
    <s v="Dumraon"/>
    <m/>
    <n v="0"/>
  </r>
  <r>
    <s v="Munger"/>
    <s v="03-09 Apr"/>
    <n v="1014"/>
    <s v="Dumraon"/>
    <x v="634"/>
    <s v="Gumukh Basawkala Dahpura Tola"/>
    <s v="MPG"/>
    <s v="Direct"/>
    <n v="626.80000000000007"/>
    <n v="26608.2"/>
    <n v="626.98000000000013"/>
    <n v="26571.512012009607"/>
    <n v="0"/>
    <n v="0"/>
    <n v="626.98000000000013"/>
    <n v="26571.512012009607"/>
    <n v="26571.512012009607"/>
    <n v="0"/>
    <n v="0"/>
    <n v="0"/>
    <n v="0"/>
    <n v="0"/>
    <n v="0"/>
    <n v="26572"/>
    <n v="0"/>
    <n v="0"/>
    <n v="36"/>
    <n v="0"/>
    <n v="62.148061263560841"/>
    <n v="89.542857142857159"/>
    <n v="1.3788226182302296E-3"/>
    <n v="1"/>
    <m/>
    <s v="Dumraon"/>
    <m/>
    <n v="0"/>
  </r>
  <r>
    <s v="Munger"/>
    <s v="03-09 Apr"/>
    <n v="1002"/>
    <s v="Laldiyara"/>
    <x v="635"/>
    <s v="Gaachhi Tola"/>
    <s v="vlc"/>
    <s v="Indirect"/>
    <n v="964.59999999999991"/>
    <n v="39838.020000000004"/>
    <n v="0"/>
    <n v="0"/>
    <n v="0"/>
    <n v="0"/>
    <n v="0"/>
    <n v="0"/>
    <n v="39838.020000000004"/>
    <n v="0"/>
    <n v="0"/>
    <n v="0"/>
    <n v="0"/>
    <n v="0"/>
    <n v="0"/>
    <n v="0"/>
    <n v="0"/>
    <n v="39838.020000000004"/>
    <n v="0"/>
    <n v="0"/>
    <n v="0"/>
    <n v="0"/>
    <n v="0"/>
    <n v="0"/>
    <m/>
    <s v="Laldiyara"/>
    <m/>
    <n v="0"/>
  </r>
  <r>
    <s v="Munger"/>
    <s v="03-09 Apr"/>
    <n v="1003"/>
    <s v="Asarganj"/>
    <x v="636"/>
    <s v="VISHWASHPUR"/>
    <s v="RMC"/>
    <s v="Direct"/>
    <n v="745"/>
    <n v="24585"/>
    <n v="737.7"/>
    <n v="25566.357550536002"/>
    <n v="6.6999999999999984"/>
    <n v="230.18872139999999"/>
    <n v="744.40000000000009"/>
    <n v="25796.546271936004"/>
    <n v="24585"/>
    <n v="0"/>
    <n v="230.18872139999999"/>
    <n v="1211.5462719360039"/>
    <n v="0"/>
    <n v="0"/>
    <n v="0"/>
    <n v="24355"/>
    <n v="0"/>
    <n v="0"/>
    <n v="0"/>
    <n v="0"/>
    <n v="0"/>
    <n v="0"/>
    <n v="-4.9279897170469961E-2"/>
    <n v="14"/>
    <m/>
    <s v="Asarganj"/>
    <m/>
    <n v="0"/>
  </r>
  <r>
    <s v="Munger"/>
    <s v="03-09 Apr"/>
    <n v="1003"/>
    <s v="Asarganj"/>
    <x v="637"/>
    <s v="KHARIYA"/>
    <s v="MPG"/>
    <s v="Direct"/>
    <n v="24.65"/>
    <n v="1051.7"/>
    <n v="21.4"/>
    <n v="1077.8713168594002"/>
    <n v="0.6"/>
    <n v="26.137573473000003"/>
    <n v="22"/>
    <n v="1104.0088903324001"/>
    <n v="1051.7"/>
    <n v="0"/>
    <n v="26.137573473000003"/>
    <n v="52.308890332400097"/>
    <n v="0"/>
    <n v="0"/>
    <n v="0"/>
    <n v="1026"/>
    <n v="0"/>
    <n v="0"/>
    <n v="0"/>
    <s v="Release1"/>
    <n v="576.28040162271816"/>
    <n v="3.5214285714285714"/>
    <n v="-4.9737463470951884E-2"/>
    <n v="2"/>
    <m/>
    <s v="Asarganj"/>
    <m/>
    <n v="0"/>
  </r>
  <r>
    <s v="Munger"/>
    <s v="03-09 Apr"/>
    <n v="1003"/>
    <s v="Asarganj"/>
    <x v="638"/>
    <s v="KUMARPUIR KATHARA"/>
    <s v="RMC"/>
    <s v="Direct"/>
    <n v="1438"/>
    <n v="53335.42"/>
    <n v="1480.1999999999998"/>
    <n v="52435.522714070277"/>
    <n v="19"/>
    <n v="877.48796448519988"/>
    <n v="1499.1999999999998"/>
    <n v="53313.010678555474"/>
    <n v="53313.010678555474"/>
    <n v="0"/>
    <n v="877.48796448519988"/>
    <n v="0"/>
    <n v="0"/>
    <n v="0"/>
    <n v="0"/>
    <n v="52438"/>
    <n v="0"/>
    <n v="0"/>
    <n v="20"/>
    <n v="0"/>
    <n v="0"/>
    <n v="0"/>
    <n v="4.2015833838983201E-4"/>
    <n v="56"/>
    <m/>
    <s v="Asarganj"/>
    <m/>
    <n v="0"/>
  </r>
  <r>
    <s v="Munger"/>
    <s v="03-09 Apr"/>
    <n v="1003"/>
    <s v="Asarganj"/>
    <x v="639"/>
    <s v="KUDHIYA MPG"/>
    <s v="RMC"/>
    <s v="Direct"/>
    <n v="2115.75"/>
    <n v="75667.87"/>
    <n v="2106.1999999999998"/>
    <n v="75945.024428539007"/>
    <n v="9"/>
    <n v="307.70150400000006"/>
    <n v="2115.1999999999998"/>
    <n v="76252.725932539004"/>
    <n v="75667.87"/>
    <n v="0"/>
    <n v="307.70150400000006"/>
    <n v="584.85593253900879"/>
    <n v="0"/>
    <n v="0"/>
    <n v="0"/>
    <n v="75360"/>
    <n v="0"/>
    <n v="0"/>
    <n v="0"/>
    <n v="0"/>
    <n v="0"/>
    <n v="0"/>
    <n v="-7.7292506388644058E-3"/>
    <n v="21"/>
    <m/>
    <s v="Asarganj"/>
    <m/>
    <n v="0"/>
  </r>
  <r>
    <s v="Munger"/>
    <s v="03-09 Apr"/>
    <n v="1003"/>
    <s v="Asarganj"/>
    <x v="640"/>
    <s v="SHAHJADPUR MPG"/>
    <s v="RMC"/>
    <s v="Direct"/>
    <n v="1498"/>
    <n v="49841.19"/>
    <n v="1412.3"/>
    <n v="60355.518792589268"/>
    <n v="6.6"/>
    <n v="296.43992531999999"/>
    <n v="1418.8999999999999"/>
    <n v="60651.95871790927"/>
    <n v="49841.19"/>
    <n v="0"/>
    <n v="296.43992531999999"/>
    <n v="10810.768717909268"/>
    <n v="0"/>
    <n v="0"/>
    <n v="0"/>
    <n v="49545"/>
    <n v="0"/>
    <n v="0"/>
    <n v="0"/>
    <s v="Release1"/>
    <n v="0"/>
    <n v="0"/>
    <n v="-0.21690430581431278"/>
    <n v="16"/>
    <m/>
    <s v="Asarganj"/>
    <m/>
    <n v="0"/>
  </r>
  <r>
    <s v="Munger"/>
    <s v="03-09 Apr"/>
    <n v="1006"/>
    <s v="Sonvarsha"/>
    <x v="641"/>
    <s v="FARDA - 3"/>
    <s v="RMC"/>
    <s v="Direct"/>
    <n v="2995.3999999999996"/>
    <n v="102705.63"/>
    <n v="340.4"/>
    <n v="11790.952592759999"/>
    <n v="2942.9999999999995"/>
    <n v="103317.40748340002"/>
    <n v="3283.3999999999996"/>
    <n v="115108.36007616002"/>
    <n v="102705.63"/>
    <n v="0"/>
    <n v="263.81037276000001"/>
    <n v="12402.73007616002"/>
    <n v="0"/>
    <n v="0"/>
    <n v="0"/>
    <n v="394"/>
    <n v="102048"/>
    <n v="0"/>
    <n v="0"/>
    <s v="Release1"/>
    <n v="0"/>
    <n v="0"/>
    <n v="-0.12075998244847939"/>
    <n v="13"/>
    <m/>
    <s v="Sonvarsha"/>
    <m/>
    <n v="0"/>
  </r>
  <r>
    <s v="Munger"/>
    <s v="03-09 Apr"/>
    <n v="1006"/>
    <s v="Sonvarsha"/>
    <x v="642"/>
    <s v="CHANDANPURA"/>
    <s v="vlc"/>
    <s v="Indirect"/>
    <n v="835.80000000000007"/>
    <n v="46906.18"/>
    <n v="0"/>
    <n v="0"/>
    <n v="0"/>
    <n v="0"/>
    <n v="0"/>
    <n v="0"/>
    <n v="46906.18"/>
    <n v="0"/>
    <n v="0"/>
    <n v="0"/>
    <n v="0"/>
    <n v="0"/>
    <n v="0"/>
    <n v="0"/>
    <n v="0"/>
    <n v="46906.18"/>
    <n v="0"/>
    <n v="0"/>
    <n v="0"/>
    <n v="0"/>
    <n v="0"/>
    <n v="0"/>
    <m/>
    <s v="Sonvarsha"/>
    <m/>
    <n v="0"/>
  </r>
  <r>
    <s v="Munger"/>
    <s v="03-09 Apr"/>
    <n v="1006"/>
    <s v="Sonvarsha"/>
    <x v="643"/>
    <s v="MANIKPUR"/>
    <s v="RMC"/>
    <s v="Direct"/>
    <n v="1027.1999999999998"/>
    <n v="41515.399999999994"/>
    <n v="0"/>
    <n v="0"/>
    <n v="1036.9000000000001"/>
    <n v="41966.906750999988"/>
    <n v="1036.9000000000001"/>
    <n v="41966.906750999988"/>
    <n v="41515.399999999994"/>
    <n v="0"/>
    <n v="239.09820660000005"/>
    <n v="451.50675099999353"/>
    <n v="0"/>
    <n v="0"/>
    <n v="0"/>
    <n v="0"/>
    <n v="41276"/>
    <n v="0"/>
    <n v="0"/>
    <s v="Release1"/>
    <n v="0"/>
    <n v="0"/>
    <n v="-1.0875644965482534E-2"/>
    <n v="18"/>
    <m/>
    <s v="Sonvarsha"/>
    <m/>
    <n v="0"/>
  </r>
  <r>
    <s v="Munger"/>
    <s v="03-09 Apr"/>
    <n v="1006"/>
    <s v="Sonvarsha"/>
    <x v="644"/>
    <s v="JAKARPURA"/>
    <s v="vlc"/>
    <s v="Indirect"/>
    <n v="3004.9"/>
    <n v="111202.85000000002"/>
    <n v="0"/>
    <n v="0"/>
    <n v="0"/>
    <n v="0"/>
    <n v="0"/>
    <n v="0"/>
    <n v="111202.85000000002"/>
    <n v="0"/>
    <n v="0"/>
    <n v="0"/>
    <n v="0"/>
    <n v="0"/>
    <n v="0"/>
    <n v="0"/>
    <n v="0"/>
    <n v="111202.85000000002"/>
    <n v="0"/>
    <n v="0"/>
    <n v="0"/>
    <n v="0"/>
    <n v="0"/>
    <n v="0"/>
    <m/>
    <s v="Sonvarsha"/>
    <m/>
    <n v="0"/>
  </r>
  <r>
    <s v="Munger"/>
    <s v="03-09 Apr"/>
    <n v="1006"/>
    <s v="Sonvarsha"/>
    <x v="645"/>
    <s v="KISHANPUR"/>
    <s v="vlc"/>
    <s v="Indirect"/>
    <n v="2854"/>
    <n v="89243.69"/>
    <n v="0"/>
    <n v="0"/>
    <n v="0"/>
    <n v="0"/>
    <n v="0"/>
    <n v="0"/>
    <n v="89243.69"/>
    <n v="0"/>
    <n v="0"/>
    <n v="0"/>
    <n v="6500"/>
    <n v="0"/>
    <n v="0"/>
    <n v="0"/>
    <n v="0"/>
    <n v="82743.69"/>
    <n v="0"/>
    <n v="0"/>
    <n v="0"/>
    <n v="0"/>
    <n v="0"/>
    <n v="0"/>
    <m/>
    <s v="Sonvarsha"/>
    <m/>
    <n v="0"/>
  </r>
  <r>
    <s v="Munger"/>
    <s v="03-09 Apr"/>
    <n v="1006"/>
    <s v="Sonvarsha"/>
    <x v="646"/>
    <s v="NANDPUR"/>
    <s v="vlc"/>
    <s v="Indirect"/>
    <n v="1536.5000000000002"/>
    <n v="59369.27"/>
    <n v="0"/>
    <n v="0"/>
    <n v="0"/>
    <n v="0"/>
    <n v="0"/>
    <n v="0"/>
    <n v="59369.27"/>
    <n v="0"/>
    <n v="0"/>
    <n v="0"/>
    <n v="0"/>
    <n v="0"/>
    <n v="0"/>
    <n v="0"/>
    <n v="0"/>
    <n v="59369.27"/>
    <n v="0"/>
    <n v="0"/>
    <n v="0"/>
    <n v="0"/>
    <n v="0"/>
    <n v="0"/>
    <m/>
    <s v="Sonvarsha"/>
    <m/>
    <n v="0"/>
  </r>
  <r>
    <s v="Munger"/>
    <s v="03-09 Apr"/>
    <n v="1006"/>
    <s v="Sonvarsha"/>
    <x v="647"/>
    <s v="NOWAGADHI"/>
    <s v="RMC"/>
    <s v="Direct"/>
    <n v="2028.5"/>
    <n v="75001.850000000006"/>
    <n v="2051.8000000000002"/>
    <n v="74694.441498534012"/>
    <n v="19.100000000000001"/>
    <n v="805.9077140400002"/>
    <n v="2070.9"/>
    <n v="75500.349212574016"/>
    <n v="75001.850000000006"/>
    <n v="0"/>
    <n v="805.9077140400002"/>
    <n v="498.49921257401002"/>
    <n v="0"/>
    <n v="0"/>
    <n v="0"/>
    <n v="74196"/>
    <n v="0"/>
    <n v="0"/>
    <n v="0"/>
    <n v="0"/>
    <n v="0"/>
    <n v="0"/>
    <n v="-6.6464922208453519E-3"/>
    <n v="19"/>
    <m/>
    <s v="Sonvarsha"/>
    <m/>
    <n v="0"/>
  </r>
  <r>
    <s v="Munger"/>
    <s v="03-09 Apr"/>
    <n v="1036"/>
    <s v="MAHADAT PUR 2"/>
    <x v="648"/>
    <s v="MAHADAT PUR 2"/>
    <s v="RMC"/>
    <s v="Direct"/>
    <n v="2424.5"/>
    <n v="92154.2"/>
    <n v="2375.1000000000004"/>
    <n v="90338.860256238026"/>
    <n v="49.4"/>
    <n v="1853.2673755200001"/>
    <n v="2424.5000000000005"/>
    <n v="92192.12763175802"/>
    <n v="92154.2"/>
    <n v="0"/>
    <n v="1853.2673755200001"/>
    <n v="37.927631758022471"/>
    <n v="0"/>
    <n v="0"/>
    <n v="0"/>
    <n v="90301"/>
    <n v="0"/>
    <n v="0"/>
    <n v="0"/>
    <n v="0"/>
    <n v="0"/>
    <n v="0"/>
    <n v="-4.1156704477953772E-4"/>
    <n v="10"/>
    <m/>
    <s v="MAHADAT PUR 2"/>
    <m/>
    <n v="0"/>
  </r>
  <r>
    <s v="Munger"/>
    <s v="03-09 Apr"/>
    <n v="1007"/>
    <s v="Araria"/>
    <x v="993"/>
    <s v="KATHELA TOLA TELDHI"/>
    <s v="RMC"/>
    <s v="Direct"/>
    <n v="548"/>
    <n v="16176.96"/>
    <n v="548"/>
    <n v="16174.769402880003"/>
    <n v="0"/>
    <n v="0"/>
    <n v="548"/>
    <n v="16174.769402880003"/>
    <n v="16174.769402880003"/>
    <n v="0"/>
    <n v="0"/>
    <n v="0"/>
    <n v="0"/>
    <n v="0"/>
    <n v="0"/>
    <n v="16175"/>
    <n v="0"/>
    <n v="0"/>
    <n v="2"/>
    <n v="0"/>
    <n v="89.740799999999965"/>
    <n v="78.285714285714292"/>
    <n v="1.3541463414608185E-4"/>
    <n v="3"/>
    <m/>
    <s v="Araria"/>
    <m/>
    <n v="0"/>
  </r>
  <r>
    <s v="Munger"/>
    <s v="03-09 Apr"/>
    <n v="1007"/>
    <s v="Araria"/>
    <x v="994"/>
    <s v="SONBARSHA 1"/>
    <s v="RMC"/>
    <s v="Direct"/>
    <n v="865"/>
    <n v="29920.35"/>
    <n v="859"/>
    <n v="30388.891103999998"/>
    <n v="4"/>
    <n v="141.50822400000001"/>
    <n v="863"/>
    <n v="30530.399328"/>
    <n v="29920.35"/>
    <n v="0"/>
    <n v="141.50822400000001"/>
    <n v="610.04932800000097"/>
    <n v="0"/>
    <n v="0"/>
    <n v="0"/>
    <n v="29778"/>
    <n v="0"/>
    <n v="0"/>
    <n v="1"/>
    <n v="0"/>
    <n v="0"/>
    <n v="0"/>
    <n v="-2.0389110688879008E-2"/>
    <n v="8"/>
    <m/>
    <s v="Araria"/>
    <m/>
    <n v="0"/>
  </r>
  <r>
    <s v="Munger"/>
    <s v="03-09 Apr"/>
    <n v="1007"/>
    <s v="Araria"/>
    <x v="995"/>
    <s v="GANOUL"/>
    <s v="RMC"/>
    <s v="Indirect"/>
    <n v="315"/>
    <n v="11018.7"/>
    <n v="265"/>
    <n v="9269.97984"/>
    <n v="0"/>
    <n v="0"/>
    <n v="265"/>
    <n v="9269.97984"/>
    <n v="11018.7"/>
    <n v="0"/>
    <n v="13.992422400000002"/>
    <n v="0"/>
    <n v="0"/>
    <n v="0"/>
    <n v="0"/>
    <n v="0"/>
    <n v="0"/>
    <n v="11004.7075776"/>
    <n v="0"/>
    <n v="0"/>
    <n v="269.346"/>
    <n v="45"/>
    <n v="0"/>
    <n v="5"/>
    <m/>
    <s v="Araria"/>
    <m/>
    <n v="0"/>
  </r>
  <r>
    <s v="Munger"/>
    <s v="03-09 Apr"/>
    <n v="1007"/>
    <s v="Araria"/>
    <x v="996"/>
    <s v="Gauripur"/>
    <s v="RMC"/>
    <s v="Direct"/>
    <n v="1369"/>
    <n v="48608.100000000006"/>
    <n v="1364"/>
    <n v="48434.088384000002"/>
    <n v="5"/>
    <n v="177.28128000000004"/>
    <n v="1369"/>
    <n v="48611.369664000005"/>
    <n v="48608.100000000006"/>
    <n v="0"/>
    <n v="177.28128000000004"/>
    <n v="3.2696639999994659"/>
    <n v="0"/>
    <n v="0"/>
    <n v="0"/>
    <n v="48431"/>
    <n v="0"/>
    <n v="0"/>
    <n v="0"/>
    <n v="0"/>
    <n v="0"/>
    <n v="0"/>
    <n v="-6.7265826066015031E-5"/>
    <n v="8"/>
    <m/>
    <s v="Araria"/>
    <m/>
    <n v="0"/>
  </r>
  <r>
    <s v="Munger"/>
    <s v="03-09 Apr"/>
    <n v="1007"/>
    <s v="Araria"/>
    <x v="997"/>
    <s v="Bhramarpur"/>
    <s v="RMC"/>
    <s v="Direct"/>
    <n v="2362"/>
    <n v="79811.98000000001"/>
    <n v="800"/>
    <n v="27034.444800000005"/>
    <n v="1481"/>
    <n v="50047.515936000003"/>
    <n v="2281"/>
    <n v="77081.960736000008"/>
    <n v="77081.960736000008"/>
    <n v="0"/>
    <n v="135.17222400000003"/>
    <n v="0"/>
    <n v="0"/>
    <n v="0"/>
    <n v="0"/>
    <n v="27034"/>
    <n v="49912"/>
    <n v="0"/>
    <n v="2731"/>
    <n v="0"/>
    <n v="0"/>
    <n v="0"/>
    <n v="3.4205632587989948E-2"/>
    <n v="8"/>
    <m/>
    <s v="Araria"/>
    <m/>
    <n v="0"/>
  </r>
  <r>
    <s v="Munger"/>
    <s v="03-09 Apr"/>
    <n v="1011"/>
    <s v="Sahibpur Kamal"/>
    <x v="649"/>
    <s v="Gomukh Bariyarpur"/>
    <s v="RMC"/>
    <s v="Direct"/>
    <n v="378.5"/>
    <n v="13116.619999999999"/>
    <n v="376"/>
    <n v="13152.877056000001"/>
    <n v="0"/>
    <n v="0"/>
    <n v="376"/>
    <n v="13152.877056000001"/>
    <n v="13116.619999999999"/>
    <n v="0"/>
    <n v="0"/>
    <n v="36.257056000002194"/>
    <n v="0"/>
    <n v="0"/>
    <n v="0"/>
    <n v="13117"/>
    <n v="0"/>
    <n v="0"/>
    <n v="0"/>
    <n v="0"/>
    <n v="222.82659603698812"/>
    <n v="54.071428571428569"/>
    <n v="-2.7642072424147531E-3"/>
    <n v="1"/>
    <m/>
    <s v="Sahibpur Kamal"/>
    <m/>
    <n v="0"/>
  </r>
  <r>
    <s v="Munger"/>
    <s v="03-09 Apr"/>
    <n v="1011"/>
    <s v="Sahibpur Kamal"/>
    <x v="650"/>
    <s v="Gomukh Sadananpur"/>
    <s v="MPG"/>
    <s v="Direct"/>
    <n v="121.79999999999998"/>
    <n v="4034.7199999999993"/>
    <n v="142.5"/>
    <n v="4929.8498449200006"/>
    <n v="0"/>
    <n v="0"/>
    <n v="142.5"/>
    <n v="4929.8498449200006"/>
    <n v="4034.7199999999993"/>
    <n v="0"/>
    <n v="0"/>
    <n v="895.12984492000123"/>
    <n v="0"/>
    <n v="0"/>
    <n v="0"/>
    <n v="4035"/>
    <n v="0"/>
    <n v="0"/>
    <n v="0"/>
    <s v="Release3"/>
    <n v="383.06651954022982"/>
    <n v="17.399999999999999"/>
    <n v="-0.22185674468612479"/>
    <n v="1"/>
    <m/>
    <s v="Sahibpur Kamal"/>
    <m/>
    <n v="0"/>
  </r>
  <r>
    <s v="Munger"/>
    <s v="03-09 Apr"/>
    <n v="1003"/>
    <s v="Asarganj"/>
    <x v="651"/>
    <s v="TILAKPUR  2"/>
    <s v="RMC"/>
    <s v="Direct"/>
    <n v="252.94999999999996"/>
    <n v="9021.9900000000016"/>
    <n v="247.6"/>
    <n v="8994.0609630922499"/>
    <n v="3.6999999999999997"/>
    <n v="120.83996449800003"/>
    <n v="251.29999999999998"/>
    <n v="9114.9009275902499"/>
    <n v="9021.9900000000016"/>
    <n v="0"/>
    <n v="120.83996449800003"/>
    <n v="92.91092759024832"/>
    <n v="0"/>
    <n v="0"/>
    <n v="0"/>
    <n v="8901"/>
    <n v="0"/>
    <n v="0"/>
    <n v="0"/>
    <n v="0"/>
    <n v="318.8994370033605"/>
    <n v="36.135714285714279"/>
    <n v="-1.0298274282087246E-2"/>
    <n v="8"/>
    <m/>
    <s v="Asarganj"/>
    <m/>
    <n v="0"/>
  </r>
  <r>
    <s v="Munger"/>
    <s v="03-09 Apr"/>
    <n v="1003"/>
    <s v="Asarganj"/>
    <x v="652"/>
    <s v="TILAKPUR"/>
    <s v="MPG"/>
    <s v="Direct"/>
    <n v="699.44999999999993"/>
    <n v="23536.03"/>
    <n v="690.9"/>
    <n v="23398.757980686005"/>
    <n v="1.7000000000000004"/>
    <n v="57.794028732000015"/>
    <n v="692.6"/>
    <n v="23456.552009418006"/>
    <n v="23456.552009418006"/>
    <n v="0"/>
    <n v="57.794028732000015"/>
    <n v="0"/>
    <n v="0"/>
    <n v="0"/>
    <n v="0"/>
    <n v="23399"/>
    <n v="0"/>
    <n v="0"/>
    <n v="79"/>
    <n v="0"/>
    <n v="0.37014272642794394"/>
    <n v="99.921428571428564"/>
    <n v="3.3768647720959035E-3"/>
    <n v="4"/>
    <m/>
    <s v="Asarganj"/>
    <m/>
    <n v="0"/>
  </r>
  <r>
    <s v="Munger"/>
    <s v="03-09 Apr"/>
    <n v="1036"/>
    <s v="MAHADAT PUR 2"/>
    <x v="653"/>
    <s v="Prasharpur Kadwa Gomukh"/>
    <s v="MPG"/>
    <s v="Direct"/>
    <n v="479.40000000000009"/>
    <n v="17078.62"/>
    <n v="482.15"/>
    <n v="17315.777358792002"/>
    <n v="3.9999999999999996"/>
    <n v="144.70390776600001"/>
    <n v="486.15"/>
    <n v="17460.481266558003"/>
    <n v="17078.62"/>
    <n v="0"/>
    <n v="144.70390776600001"/>
    <n v="381.86126655800399"/>
    <n v="0"/>
    <n v="0"/>
    <n v="0"/>
    <n v="16933"/>
    <n v="0"/>
    <n v="0"/>
    <n v="1"/>
    <n v="0"/>
    <n v="157.17745398414675"/>
    <n v="68.485714285714295"/>
    <n v="-2.2359023536913637E-2"/>
    <n v="3"/>
    <m/>
    <s v="MAHADAT PUR 2"/>
    <m/>
    <n v="0"/>
  </r>
  <r>
    <s v="Munger"/>
    <s v="03-09 Apr"/>
    <n v="1036"/>
    <s v="MAHADAT PUR 2"/>
    <x v="654"/>
    <s v="Borwa Tola Gomukh"/>
    <s v="vlc"/>
    <s v="Indirect"/>
    <n v="368.50000000000006"/>
    <n v="12682.56"/>
    <n v="867.90000000000009"/>
    <n v="30671.606921670005"/>
    <n v="0"/>
    <n v="0"/>
    <n v="867.90000000000009"/>
    <n v="30671.606921670005"/>
    <n v="12682.56"/>
    <n v="0"/>
    <n v="0"/>
    <n v="17989.046921670008"/>
    <n v="0"/>
    <n v="0"/>
    <n v="0"/>
    <n v="0"/>
    <n v="0"/>
    <n v="12682.56"/>
    <n v="0"/>
    <n v="0"/>
    <n v="228.1828298507462"/>
    <n v="52.642857142857153"/>
    <n v="0"/>
    <n v="1"/>
    <m/>
    <s v="MAHADAT PUR 2"/>
    <m/>
    <n v="0"/>
  </r>
  <r>
    <s v="Munger"/>
    <s v="03-09 Apr"/>
    <n v="1007"/>
    <s v="Araria"/>
    <x v="998"/>
    <s v="Sheela Devi"/>
    <s v="vlc"/>
    <s v="Indirect"/>
    <n v="320"/>
    <n v="9958.34"/>
    <n v="0"/>
    <n v="0"/>
    <n v="0"/>
    <n v="0"/>
    <n v="0"/>
    <n v="0"/>
    <n v="9958.34"/>
    <n v="0"/>
    <n v="0"/>
    <n v="0"/>
    <n v="0"/>
    <n v="0"/>
    <n v="0"/>
    <n v="0"/>
    <n v="0"/>
    <n v="9958.34"/>
    <n v="0"/>
    <n v="0"/>
    <n v="236.51057500000002"/>
    <n v="45.714285714285715"/>
    <n v="0"/>
    <n v="0"/>
    <m/>
    <s v="Araria"/>
    <m/>
    <n v="0"/>
  </r>
  <r>
    <s v="Munger"/>
    <s v="03-09 Apr"/>
    <n v="1036"/>
    <s v="MAHADAT PUR 2"/>
    <x v="655"/>
    <s v="Gomukh Vijay Lalganj"/>
    <s v="MPG"/>
    <s v="Direct"/>
    <n v="255.5"/>
    <n v="9812.2599999999984"/>
    <n v="257.10000000000002"/>
    <n v="10033.835518080001"/>
    <n v="1.4000000000000001"/>
    <n v="54.781515360000007"/>
    <n v="258.5"/>
    <n v="10088.617033440001"/>
    <n v="9812.2599999999984"/>
    <n v="0"/>
    <n v="54.781515360000007"/>
    <n v="276.35703344000285"/>
    <n v="0"/>
    <n v="500"/>
    <n v="0"/>
    <n v="9257"/>
    <n v="0"/>
    <n v="0"/>
    <n v="0"/>
    <n v="0"/>
    <n v="341.41288219178074"/>
    <n v="36.5"/>
    <n v="-2.816446297183349E-2"/>
    <n v="5"/>
    <m/>
    <s v="MAHADAT PUR 2"/>
    <m/>
    <n v="500"/>
  </r>
  <r>
    <s v="Munger"/>
    <s v="03-09 Apr"/>
    <n v="1036"/>
    <s v="MAHADAT PUR 2"/>
    <x v="656"/>
    <s v="Gomukh Sarswati Nagar Nakdahri"/>
    <s v="MPG"/>
    <s v="Direct"/>
    <n v="612.69999999999993"/>
    <n v="23057.499999999996"/>
    <n v="373.58"/>
    <n v="14528.030129949599"/>
    <n v="257.06"/>
    <n v="10320.718567999638"/>
    <n v="630.64"/>
    <n v="24848.748697949239"/>
    <n v="23057.499999999996"/>
    <n v="0"/>
    <n v="156.30291349200002"/>
    <n v="1791.2486979492423"/>
    <n v="0"/>
    <n v="0"/>
    <n v="0"/>
    <n v="12737"/>
    <n v="10164"/>
    <n v="0"/>
    <n v="0"/>
    <n v="0"/>
    <n v="65.706536641096804"/>
    <n v="87.528571428571425"/>
    <n v="-7.7686162764794217E-2"/>
    <n v="9"/>
    <m/>
    <s v="MAHADAT PUR 2"/>
    <m/>
    <n v="0"/>
  </r>
  <r>
    <s v="Munger"/>
    <s v="03-09 Apr"/>
    <n v="1036"/>
    <s v="MAHADAT PUR 2"/>
    <x v="657"/>
    <s v="Gomukh Krishna Dairy Tulsipur"/>
    <s v="MPG"/>
    <s v="Direct"/>
    <n v="488.8"/>
    <n v="18059.43"/>
    <n v="498.55999999999995"/>
    <n v="20269.736081078401"/>
    <n v="0"/>
    <n v="0"/>
    <n v="498.55999999999995"/>
    <n v="20269.736081078401"/>
    <n v="18059.43"/>
    <n v="0"/>
    <n v="0"/>
    <n v="2210.3060810784009"/>
    <n v="0"/>
    <n v="0"/>
    <n v="0"/>
    <n v="18059"/>
    <n v="0"/>
    <n v="0"/>
    <n v="0"/>
    <n v="0"/>
    <n v="156.061850081833"/>
    <n v="69.828571428571436"/>
    <n v="-0.1223906890238729"/>
    <n v="10"/>
    <m/>
    <s v="MAHADAT PUR 2"/>
    <m/>
    <n v="0"/>
  </r>
  <r>
    <s v="Munger"/>
    <s v="03-09 Apr"/>
    <n v="1036"/>
    <s v="MAHADAT PUR 2"/>
    <x v="658"/>
    <s v="Gomukh Lauwalagam"/>
    <s v="MPG"/>
    <s v="Direct"/>
    <n v="122.10000000000001"/>
    <n v="4128.45"/>
    <n v="127.1"/>
    <n v="4311.0766957500009"/>
    <n v="0"/>
    <n v="0"/>
    <n v="127.1"/>
    <n v="4311.0766957500009"/>
    <n v="4128.45"/>
    <n v="0"/>
    <n v="0"/>
    <n v="182.62669575000109"/>
    <n v="0"/>
    <n v="500"/>
    <n v="0"/>
    <n v="3628"/>
    <n v="0"/>
    <n v="0"/>
    <n v="0"/>
    <n v="0"/>
    <n v="390.79955036855034"/>
    <n v="17.442857142857143"/>
    <n v="-4.4236140864004916E-2"/>
    <n v="1"/>
    <m/>
    <s v="MAHADAT PUR 2"/>
    <m/>
    <n v="500"/>
  </r>
  <r>
    <s v="Munger"/>
    <s v="03-09 Apr"/>
    <n v="1036"/>
    <s v="MAHADAT PUR 2"/>
    <x v="659"/>
    <s v="Dhobina Basa"/>
    <s v="MPG"/>
    <s v="Direct"/>
    <n v="368.3"/>
    <n v="13611.119999999999"/>
    <n v="224"/>
    <n v="9112.2999699600005"/>
    <n v="226.15"/>
    <n v="9174.6477880200036"/>
    <n v="450.15"/>
    <n v="18286.947757980004"/>
    <n v="13611.119999999999"/>
    <n v="0"/>
    <n v="55.17754704"/>
    <n v="4675.8277579800051"/>
    <n v="0"/>
    <n v="500"/>
    <n v="0"/>
    <n v="3937"/>
    <n v="9119"/>
    <n v="0"/>
    <n v="0"/>
    <n v="0"/>
    <n v="245.17016041270699"/>
    <n v="52.614285714285714"/>
    <n v="-0.34352997828099419"/>
    <n v="3"/>
    <m/>
    <s v="MAHADAT PUR 2"/>
    <m/>
    <n v="500"/>
  </r>
  <r>
    <s v="Munger"/>
    <s v="03-09 Apr"/>
    <n v="1036"/>
    <s v="MAHADAT PUR 2"/>
    <x v="660"/>
    <s v="Gomukh Shreepur Madhay"/>
    <s v="MPG"/>
    <s v="Direct"/>
    <n v="1441.8000000000002"/>
    <n v="55062.650000000009"/>
    <n v="1408.6399999999999"/>
    <n v="54820.497440970801"/>
    <n v="33.94"/>
    <n v="1354.0154990996002"/>
    <n v="1442.58"/>
    <n v="56174.512940070403"/>
    <n v="55062.650000000009"/>
    <n v="0"/>
    <n v="1354.0154990996002"/>
    <n v="1111.862940070394"/>
    <n v="0"/>
    <n v="0"/>
    <n v="0"/>
    <n v="53709"/>
    <n v="0"/>
    <n v="0"/>
    <n v="0"/>
    <n v="0"/>
    <n v="0"/>
    <n v="0"/>
    <n v="-2.0192688511548096E-2"/>
    <n v="5"/>
    <m/>
    <s v="MAHADAT PUR 2"/>
    <m/>
    <n v="0"/>
  </r>
  <r>
    <s v="Munger"/>
    <s v="03-09 Apr"/>
    <n v="1036"/>
    <s v="MAHADAT PUR 2"/>
    <x v="661"/>
    <s v="Gomukh Dhoriya Dadpur -VLC"/>
    <s v="vlc"/>
    <s v="Indirect"/>
    <n v="493.30000000000007"/>
    <n v="17440.150000000001"/>
    <n v="0"/>
    <n v="0"/>
    <n v="0"/>
    <n v="0"/>
    <n v="0"/>
    <n v="0"/>
    <n v="17440.150000000001"/>
    <n v="0"/>
    <n v="0"/>
    <n v="0"/>
    <n v="0"/>
    <n v="0"/>
    <n v="0"/>
    <n v="0"/>
    <n v="0"/>
    <n v="17440.150000000001"/>
    <n v="0"/>
    <n v="0"/>
    <n v="146.15361869045205"/>
    <n v="70.471428571428575"/>
    <n v="0"/>
    <n v="0"/>
    <m/>
    <s v="MAHADAT PUR 2"/>
    <m/>
    <n v="0"/>
  </r>
  <r>
    <s v="Munger"/>
    <s v="03-09 Apr"/>
    <n v="1036"/>
    <s v="MAHADAT PUR 2"/>
    <x v="662"/>
    <s v="Gomukh Mohanpur  VLC"/>
    <s v="vlc"/>
    <s v="Indirect"/>
    <n v="451.6"/>
    <n v="16290.07"/>
    <n v="0"/>
    <n v="0"/>
    <n v="0"/>
    <n v="0"/>
    <n v="0"/>
    <n v="0"/>
    <n v="16290.07"/>
    <n v="0"/>
    <n v="0"/>
    <n v="0"/>
    <n v="0"/>
    <n v="0"/>
    <n v="0"/>
    <n v="0"/>
    <n v="0"/>
    <n v="16290.07"/>
    <n v="0"/>
    <n v="0"/>
    <n v="179.20519875996456"/>
    <n v="64.51428571428572"/>
    <n v="0"/>
    <n v="0"/>
    <m/>
    <s v="MAHADAT PUR 2"/>
    <m/>
    <n v="0"/>
  </r>
  <r>
    <s v="Munger"/>
    <s v="03-09 Apr"/>
    <n v="1036"/>
    <s v="MAHADAT PUR 2"/>
    <x v="663"/>
    <s v="Gomukh Abhirampur VLC"/>
    <s v="vlc"/>
    <s v="Indirect"/>
    <n v="150.30000000000001"/>
    <n v="5856.89"/>
    <n v="0"/>
    <n v="0"/>
    <n v="0"/>
    <n v="0"/>
    <n v="0"/>
    <n v="0"/>
    <n v="5856.89"/>
    <n v="0"/>
    <n v="0"/>
    <n v="0"/>
    <n v="0"/>
    <n v="0"/>
    <n v="0"/>
    <n v="0"/>
    <n v="0"/>
    <n v="5856.89"/>
    <n v="0"/>
    <n v="0"/>
    <n v="428.41416274118421"/>
    <n v="21.471428571428572"/>
    <n v="0"/>
    <n v="0"/>
    <m/>
    <s v="MAHADAT PUR 2"/>
    <m/>
    <n v="0"/>
  </r>
  <r>
    <s v="Munger"/>
    <s v="03-09 Apr"/>
    <n v="1036"/>
    <s v="MAHADAT PUR 2"/>
    <x v="664"/>
    <s v="Gomukh Pachgachhia Vlc"/>
    <s v="vlc"/>
    <s v="Indirect"/>
    <n v="194.9"/>
    <n v="6925.25"/>
    <n v="0"/>
    <n v="0"/>
    <n v="0"/>
    <n v="0"/>
    <n v="0"/>
    <n v="0"/>
    <n v="6925.25"/>
    <n v="0"/>
    <n v="0"/>
    <n v="0"/>
    <n v="0"/>
    <n v="0"/>
    <n v="0"/>
    <n v="0"/>
    <n v="0"/>
    <n v="6925.25"/>
    <n v="0"/>
    <n v="0"/>
    <n v="358.94753976398158"/>
    <n v="27.842857142857145"/>
    <n v="0"/>
    <n v="0"/>
    <m/>
    <s v="MAHADAT PUR 2"/>
    <m/>
    <n v="0"/>
  </r>
  <r>
    <s v="Munger"/>
    <s v="03-09 Apr"/>
    <n v="1003"/>
    <s v="Asarganj"/>
    <x v="665"/>
    <s v="KUNTHA M"/>
    <s v="RMC"/>
    <s v="Direct"/>
    <n v="1380"/>
    <n v="46174"/>
    <n v="1367.0000000000002"/>
    <n v="50241.796525800004"/>
    <n v="11.299999999999999"/>
    <n v="451.67592096000016"/>
    <n v="1378.3000000000002"/>
    <n v="50693.472446760003"/>
    <n v="46174"/>
    <n v="0"/>
    <n v="451.67592096000016"/>
    <n v="4519.4724467600026"/>
    <n v="14500"/>
    <n v="0"/>
    <n v="0"/>
    <n v="31222"/>
    <n v="0"/>
    <n v="0"/>
    <n v="0"/>
    <s v="Release1"/>
    <n v="0"/>
    <n v="0"/>
    <n v="-9.7879162445532172E-2"/>
    <n v="11"/>
    <m/>
    <s v="Asarganj"/>
    <m/>
    <n v="0"/>
  </r>
  <r>
    <s v="Munger"/>
    <s v="03-09 Apr"/>
    <n v="1014"/>
    <s v="Dumraon"/>
    <x v="666"/>
    <s v="ARAK"/>
    <s v="MPG"/>
    <s v="Direct"/>
    <n v="2079.1"/>
    <n v="77248.919999999984"/>
    <n v="2073.9"/>
    <n v="77635.182549717778"/>
    <n v="13.400000000000002"/>
    <n v="674.4389551183001"/>
    <n v="2087.3000000000002"/>
    <n v="78309.621504836075"/>
    <n v="77248.919999999984"/>
    <n v="0"/>
    <n v="674.4389551183001"/>
    <n v="1060.7015048360918"/>
    <n v="0"/>
    <n v="0"/>
    <n v="0"/>
    <n v="76574"/>
    <n v="0"/>
    <n v="0"/>
    <n v="0"/>
    <n v="0"/>
    <n v="0"/>
    <n v="0"/>
    <n v="-1.3730955783408907E-2"/>
    <n v="43"/>
    <m/>
    <s v="Dumraon"/>
    <m/>
    <n v="0"/>
  </r>
  <r>
    <s v="Munger"/>
    <s v="03-09 Apr"/>
    <n v="1014"/>
    <s v="Dumraon"/>
    <x v="667"/>
    <s v="Diyaman"/>
    <s v="MPG"/>
    <s v="Direct"/>
    <n v="1670.5000000000002"/>
    <n v="65570.38"/>
    <n v="1654.88"/>
    <n v="65696.018015857437"/>
    <n v="6.0500000000000016"/>
    <n v="243.02131959600007"/>
    <n v="1660.93"/>
    <n v="65939.039335453432"/>
    <n v="65570.38"/>
    <n v="0"/>
    <n v="243.02131959600007"/>
    <n v="368.65933545342705"/>
    <n v="0"/>
    <n v="0"/>
    <n v="0"/>
    <n v="65327"/>
    <n v="0"/>
    <n v="0"/>
    <n v="0"/>
    <s v="Release1"/>
    <n v="0"/>
    <n v="0"/>
    <n v="-5.6223455690424095E-3"/>
    <n v="8"/>
    <m/>
    <s v="Dumraon"/>
    <m/>
    <n v="0"/>
  </r>
  <r>
    <s v="Munger"/>
    <s v="03-09 Apr"/>
    <n v="1014"/>
    <s v="Dumraon"/>
    <x v="668"/>
    <s v="HENHA"/>
    <s v="MPG"/>
    <s v="Direct"/>
    <n v="2462.7999999999997"/>
    <n v="90913.909999999989"/>
    <n v="2469.1999999999998"/>
    <n v="102657.33943264799"/>
    <n v="26.2"/>
    <n v="1424.6029682802"/>
    <n v="2495.3999999999996"/>
    <n v="104081.94240092819"/>
    <n v="90913.909999999989"/>
    <n v="0"/>
    <n v="1424.6029682802"/>
    <n v="13168.032400928205"/>
    <n v="0"/>
    <n v="0"/>
    <n v="0"/>
    <n v="89489"/>
    <n v="0"/>
    <n v="0"/>
    <n v="0"/>
    <n v="0"/>
    <n v="0"/>
    <n v="0"/>
    <n v="-0.14484067840584797"/>
    <n v="6"/>
    <m/>
    <s v="Dumraon"/>
    <m/>
    <n v="0"/>
  </r>
  <r>
    <s v="Munger"/>
    <s v="03-09 Apr"/>
    <n v="1012"/>
    <s v="DalsinghSarai"/>
    <x v="669"/>
    <s v="Suddh Dairy"/>
    <s v="vlc"/>
    <s v="Indirect"/>
    <n v="24715"/>
    <n v="928348.62999999989"/>
    <n v="0"/>
    <n v="0"/>
    <n v="0"/>
    <n v="0"/>
    <n v="0"/>
    <n v="0"/>
    <n v="928348.62999999989"/>
    <n v="0"/>
    <n v="0"/>
    <n v="0"/>
    <n v="0"/>
    <n v="0"/>
    <n v="0"/>
    <n v="0"/>
    <n v="0"/>
    <n v="928348.62999999989"/>
    <n v="0"/>
    <n v="0"/>
    <n v="0"/>
    <n v="0"/>
    <n v="0"/>
    <n v="0"/>
    <m/>
    <s v="DalsinghSarai"/>
    <m/>
    <n v="0"/>
  </r>
  <r>
    <s v="Munger"/>
    <s v="03-09 Apr"/>
    <n v="1053"/>
    <s v="Kalyanpur"/>
    <x v="999"/>
    <s v="Anik Kumar"/>
    <s v="vlc"/>
    <s v="Indirect"/>
    <n v="8197"/>
    <n v="331567.05000000005"/>
    <n v="0"/>
    <n v="0"/>
    <n v="0"/>
    <n v="0"/>
    <n v="0"/>
    <n v="0"/>
    <n v="331567.05000000005"/>
    <n v="0"/>
    <n v="0"/>
    <n v="0"/>
    <n v="0"/>
    <n v="0"/>
    <n v="0"/>
    <n v="0"/>
    <n v="0"/>
    <n v="331567.05000000005"/>
    <n v="0"/>
    <n v="0"/>
    <n v="0"/>
    <n v="0"/>
    <n v="0"/>
    <n v="0"/>
    <m/>
    <s v="Kalyanpur"/>
    <m/>
    <n v="0"/>
  </r>
  <r>
    <s v="Munger"/>
    <s v="03-09 Apr"/>
    <n v="1053"/>
    <s v="Kalyanpur"/>
    <x v="670"/>
    <s v="Gomukh CHANDAULI"/>
    <s v="MPG"/>
    <s v="Direct"/>
    <n v="1433.1999999999998"/>
    <n v="59660.34"/>
    <n v="1465.67"/>
    <n v="62759.880599638585"/>
    <n v="10.46"/>
    <n v="433.01719208880007"/>
    <n v="1476.13"/>
    <n v="63192.897791727388"/>
    <n v="59660.34"/>
    <n v="0"/>
    <n v="433.01719208880007"/>
    <n v="3532.5577917273913"/>
    <n v="0"/>
    <n v="0"/>
    <n v="0"/>
    <n v="59227"/>
    <n v="0"/>
    <n v="0"/>
    <n v="0"/>
    <n v="0"/>
    <n v="0"/>
    <n v="0"/>
    <n v="-5.9211157558394595E-2"/>
    <n v="26"/>
    <m/>
    <s v="Kalyanpur"/>
    <m/>
    <n v="0"/>
  </r>
  <r>
    <s v="Munger"/>
    <s v="03-09 Apr"/>
    <n v="1053"/>
    <s v="Kalyanpur"/>
    <x v="671"/>
    <s v="GOMUKH HATHA"/>
    <s v="MPG"/>
    <s v="Direct"/>
    <n v="1229"/>
    <n v="52077.779999999992"/>
    <n v="1235.8300000000002"/>
    <n v="51651.987800964031"/>
    <n v="19.02"/>
    <n v="811.56137911200005"/>
    <n v="1254.8500000000001"/>
    <n v="52463.549180076028"/>
    <n v="52077.779999999992"/>
    <n v="0"/>
    <n v="811.56137911200005"/>
    <n v="385.76918007603672"/>
    <n v="0"/>
    <n v="0"/>
    <n v="0"/>
    <n v="51265"/>
    <n v="0"/>
    <n v="0"/>
    <n v="1"/>
    <n v="0"/>
    <n v="0"/>
    <n v="0"/>
    <n v="-7.4075580809327274E-3"/>
    <n v="37"/>
    <m/>
    <s v="Kalyanpur"/>
    <m/>
    <n v="0"/>
  </r>
  <r>
    <s v="Munger"/>
    <s v="03-09 Apr"/>
    <n v="1053"/>
    <s v="Kalyanpur"/>
    <x v="672"/>
    <s v="GOMUKH VADEYA"/>
    <s v="MPG"/>
    <s v="Direct"/>
    <n v="966.79999999999984"/>
    <n v="41452.490000000005"/>
    <n v="972.44000000000017"/>
    <n v="41355.382810088522"/>
    <n v="12.659999999999998"/>
    <n v="630.02008913528005"/>
    <n v="985.10000000000014"/>
    <n v="41985.402899223802"/>
    <n v="41452.490000000005"/>
    <n v="0"/>
    <n v="630.02008913528005"/>
    <n v="532.91289922379656"/>
    <n v="0"/>
    <n v="0"/>
    <n v="0"/>
    <n v="40822"/>
    <n v="0"/>
    <n v="0"/>
    <n v="0"/>
    <n v="0"/>
    <n v="0"/>
    <n v="0"/>
    <n v="-1.2855992468095318E-2"/>
    <n v="29"/>
    <m/>
    <s v="Kalyanpur"/>
    <m/>
    <n v="0"/>
  </r>
  <r>
    <s v="Munger"/>
    <s v="03-09 Apr"/>
    <n v="1053"/>
    <s v="Kalyanpur"/>
    <x v="673"/>
    <s v="GOMUKH CHANDPURA"/>
    <s v="MPG"/>
    <s v="Direct"/>
    <n v="550.80000000000007"/>
    <n v="23808.77"/>
    <n v="539.41000000000008"/>
    <n v="23733.801071317441"/>
    <n v="10.319999999999999"/>
    <n v="442.97649083159996"/>
    <n v="549.73000000000013"/>
    <n v="24176.77756214904"/>
    <n v="23808.77"/>
    <n v="0"/>
    <n v="442.97649083159996"/>
    <n v="368.00756214903959"/>
    <n v="0"/>
    <n v="0"/>
    <n v="0"/>
    <n v="23366"/>
    <n v="0"/>
    <n v="0"/>
    <n v="0"/>
    <n v="0"/>
    <n v="128.98578373275228"/>
    <n v="78.685714285714297"/>
    <n v="-1.545680697276842E-2"/>
    <n v="22"/>
    <m/>
    <s v="Kalyanpur"/>
    <m/>
    <n v="0"/>
  </r>
  <r>
    <s v="Munger"/>
    <s v="03-09 Apr"/>
    <n v="1053"/>
    <s v="Kalyanpur"/>
    <x v="674"/>
    <s v="GOMUKH BARGAMA"/>
    <s v="MPG"/>
    <s v="Direct"/>
    <n v="987.34999999999991"/>
    <n v="40640.12000000001"/>
    <n v="984.88000000000011"/>
    <n v="40129.460846548915"/>
    <n v="21.680000000000003"/>
    <n v="1013.0709686403002"/>
    <n v="1006.5600000000001"/>
    <n v="41142.531815189213"/>
    <n v="40640.12000000001"/>
    <n v="0"/>
    <n v="1013.0709686403002"/>
    <n v="502.41181518920348"/>
    <n v="0"/>
    <n v="0"/>
    <n v="0"/>
    <n v="39627"/>
    <n v="0"/>
    <n v="0"/>
    <n v="0"/>
    <n v="0"/>
    <n v="0"/>
    <n v="0"/>
    <n v="-1.2362458949166572E-2"/>
    <n v="62"/>
    <m/>
    <s v="Kalyanpur"/>
    <m/>
    <n v="0"/>
  </r>
  <r>
    <s v="Munger"/>
    <s v="03-09 Apr"/>
    <n v="1053"/>
    <s v="Kalyanpur"/>
    <x v="675"/>
    <s v="Gomukh Gograha Tola"/>
    <s v="MPG"/>
    <s v="Direct"/>
    <n v="607.85"/>
    <n v="26070.76"/>
    <n v="606.36999999999989"/>
    <n v="26440.634857923975"/>
    <n v="5.4499999999999993"/>
    <n v="232.57319905413004"/>
    <n v="611.81999999999994"/>
    <n v="26673.208056978106"/>
    <n v="26070.76"/>
    <n v="0"/>
    <n v="232.57319905413004"/>
    <n v="602.44805697810807"/>
    <n v="0"/>
    <n v="0"/>
    <n v="0"/>
    <n v="25838"/>
    <n v="0"/>
    <n v="0"/>
    <n v="0"/>
    <n v="0"/>
    <n v="79.046492851854879"/>
    <n v="86.835714285714289"/>
    <n v="-2.3108189288617138E-2"/>
    <n v="17"/>
    <m/>
    <s v="Kalyanpur"/>
    <m/>
    <n v="0"/>
  </r>
  <r>
    <s v="Munger"/>
    <s v="03-09 Apr"/>
    <n v="1053"/>
    <s v="Kalyanpur"/>
    <x v="676"/>
    <s v="Gomukh Patsara"/>
    <s v="MPG"/>
    <s v="Direct"/>
    <n v="377.74999999999994"/>
    <n v="17128.880000000005"/>
    <n v="376.79"/>
    <n v="17185.664261791859"/>
    <n v="3.8999999999999995"/>
    <n v="158.845578507"/>
    <n v="380.69"/>
    <n v="17344.509840298859"/>
    <n v="17128.880000000005"/>
    <n v="0"/>
    <n v="158.845578507"/>
    <n v="215.62984029885411"/>
    <n v="0"/>
    <n v="0"/>
    <n v="0"/>
    <n v="16969"/>
    <n v="0"/>
    <n v="0"/>
    <n v="1"/>
    <n v="0"/>
    <n v="292.24521932495054"/>
    <n v="53.964285714285708"/>
    <n v="-1.2588671314111259E-2"/>
    <n v="8"/>
    <m/>
    <s v="Kalyanpur"/>
    <m/>
    <n v="0"/>
  </r>
  <r>
    <s v="Munger"/>
    <s v="03-09 Apr"/>
    <n v="1053"/>
    <s v="Kalyanpur"/>
    <x v="677"/>
    <s v="Gomukh Singhiya"/>
    <s v="vlc"/>
    <s v="Indirect"/>
    <n v="6459"/>
    <n v="251234.76"/>
    <n v="0"/>
    <n v="0"/>
    <n v="0"/>
    <n v="0"/>
    <n v="0"/>
    <n v="0"/>
    <n v="251234.76"/>
    <n v="0"/>
    <n v="0"/>
    <n v="0"/>
    <n v="0"/>
    <n v="0"/>
    <n v="0"/>
    <n v="0"/>
    <n v="0"/>
    <n v="251234.76"/>
    <n v="0"/>
    <n v="0"/>
    <n v="0"/>
    <n v="0"/>
    <n v="0"/>
    <n v="0"/>
    <m/>
    <s v="Kalyanpur"/>
    <m/>
    <n v="0"/>
  </r>
  <r>
    <s v="Munger"/>
    <s v="03-09 Apr"/>
    <n v="1053"/>
    <s v="Kalyanpur"/>
    <x v="678"/>
    <s v="Gomukh BALHA "/>
    <s v="vlc"/>
    <s v="Indirect"/>
    <n v="3330.7000000000003"/>
    <n v="131896.53000000003"/>
    <n v="0"/>
    <n v="0"/>
    <n v="0"/>
    <n v="0"/>
    <n v="0"/>
    <n v="0"/>
    <n v="131896.53000000003"/>
    <n v="0"/>
    <n v="0"/>
    <n v="0"/>
    <n v="0"/>
    <n v="0"/>
    <n v="0"/>
    <n v="0"/>
    <n v="0"/>
    <n v="131896.53000000003"/>
    <n v="0"/>
    <n v="0"/>
    <n v="0"/>
    <n v="0"/>
    <n v="0"/>
    <n v="0"/>
    <m/>
    <s v="Kalyanpur"/>
    <m/>
    <n v="0"/>
  </r>
  <r>
    <s v="Munger"/>
    <s v="03-09 Apr"/>
    <n v="1053"/>
    <s v="Kalyanpur"/>
    <x v="1000"/>
    <s v="Gomukh SOMNAHA"/>
    <s v="vlc"/>
    <s v="Indirect"/>
    <n v="5.0999999999999996"/>
    <n v="194.19000000000003"/>
    <n v="0"/>
    <n v="0"/>
    <n v="0"/>
    <n v="0"/>
    <n v="0"/>
    <n v="0"/>
    <n v="194.19000000000003"/>
    <n v="0"/>
    <n v="0"/>
    <n v="0"/>
    <n v="0"/>
    <n v="0"/>
    <n v="0"/>
    <n v="0"/>
    <n v="0"/>
    <n v="194.19000000000003"/>
    <n v="0"/>
    <n v="0"/>
    <n v="529.18678823529422"/>
    <n v="0.72857142857142854"/>
    <n v="0"/>
    <n v="0"/>
    <m/>
    <s v="Kalyanpur"/>
    <m/>
    <n v="0"/>
  </r>
  <r>
    <s v="Munger"/>
    <s v="03-09 Apr"/>
    <n v="1053"/>
    <s v="Kalyanpur"/>
    <x v="1001"/>
    <s v="Gomukh GORAI East"/>
    <s v="vlc"/>
    <s v="Indirect"/>
    <n v="3.2"/>
    <n v="122.94"/>
    <n v="0"/>
    <n v="0"/>
    <n v="0"/>
    <n v="0"/>
    <n v="0"/>
    <n v="0"/>
    <n v="122.94"/>
    <n v="0"/>
    <n v="0"/>
    <n v="0"/>
    <n v="0"/>
    <n v="0"/>
    <n v="0"/>
    <n v="0"/>
    <n v="0"/>
    <n v="122.94"/>
    <n v="0"/>
    <n v="0"/>
    <n v="535.40369999999984"/>
    <n v="0.45714285714285718"/>
    <n v="0"/>
    <n v="0"/>
    <m/>
    <s v="Kalyanpur"/>
    <m/>
    <n v="0"/>
  </r>
  <r>
    <s v="Munger"/>
    <s v="03-09 Apr"/>
    <n v="1053"/>
    <s v="Kalyanpur"/>
    <x v="679"/>
    <s v="Gomukh Kalyanpur 2"/>
    <s v="vlc"/>
    <s v="Indirect"/>
    <n v="217.85"/>
    <n v="10161.07"/>
    <n v="0"/>
    <n v="0"/>
    <n v="0"/>
    <n v="0"/>
    <n v="0"/>
    <n v="0"/>
    <n v="10161.07"/>
    <n v="0"/>
    <n v="0"/>
    <n v="0"/>
    <n v="0"/>
    <n v="0"/>
    <n v="0"/>
    <n v="0"/>
    <n v="0"/>
    <n v="10161.07"/>
    <n v="0"/>
    <n v="0"/>
    <n v="449.77368836355288"/>
    <n v="31.12142857142857"/>
    <n v="0"/>
    <n v="0"/>
    <m/>
    <s v="Kalyanpur"/>
    <m/>
    <n v="0"/>
  </r>
  <r>
    <s v="Munger"/>
    <s v="03-09 Apr"/>
    <n v="1053"/>
    <s v="Kalyanpur"/>
    <x v="680"/>
    <s v="Gomukh Namapur 2"/>
    <s v="vlc"/>
    <s v="Indirect"/>
    <n v="2142.1"/>
    <n v="79762.530000000013"/>
    <n v="0"/>
    <n v="0"/>
    <n v="0"/>
    <n v="0"/>
    <n v="0"/>
    <n v="0"/>
    <n v="79762.530000000013"/>
    <n v="0"/>
    <n v="0"/>
    <n v="0"/>
    <n v="0"/>
    <n v="0"/>
    <n v="0"/>
    <n v="0"/>
    <n v="0"/>
    <n v="79762.530000000013"/>
    <n v="0"/>
    <n v="0"/>
    <n v="0"/>
    <n v="0"/>
    <n v="0"/>
    <n v="0"/>
    <m/>
    <s v="Kalyanpur"/>
    <m/>
    <n v="0"/>
  </r>
  <r>
    <s v="Munger"/>
    <s v="03-09 Apr"/>
    <n v="1053"/>
    <s v="Kalyanpur"/>
    <x v="681"/>
    <s v="Gomukh Madhopur"/>
    <s v="vlc"/>
    <s v="Indirect"/>
    <n v="519.44999999999993"/>
    <n v="21988.18"/>
    <n v="0"/>
    <n v="0"/>
    <n v="0"/>
    <n v="0"/>
    <n v="0"/>
    <n v="0"/>
    <n v="21988.18"/>
    <n v="0"/>
    <n v="0"/>
    <n v="0"/>
    <n v="0"/>
    <n v="0"/>
    <n v="0"/>
    <n v="0"/>
    <n v="0"/>
    <n v="21988.18"/>
    <n v="0"/>
    <n v="0"/>
    <n v="152.85266720569848"/>
    <n v="74.207142857142841"/>
    <n v="0"/>
    <n v="0"/>
    <m/>
    <s v="Kalyanpur"/>
    <m/>
    <n v="0"/>
  </r>
  <r>
    <s v="Munger"/>
    <s v="03-09 Apr"/>
    <n v="1053"/>
    <s v="Kalyanpur"/>
    <x v="682"/>
    <s v="Gomukh Kalyanpur East"/>
    <s v="vlc"/>
    <s v="Indirect"/>
    <n v="687.9"/>
    <n v="24192.119999999995"/>
    <n v="0"/>
    <n v="0"/>
    <n v="0"/>
    <n v="0"/>
    <n v="0"/>
    <n v="0"/>
    <n v="24192.119999999995"/>
    <n v="0"/>
    <n v="0"/>
    <n v="0"/>
    <n v="0"/>
    <n v="0"/>
    <n v="0"/>
    <n v="0"/>
    <n v="0"/>
    <n v="24192.119999999995"/>
    <n v="0"/>
    <n v="0"/>
    <n v="8.5106745747928425"/>
    <n v="98.271428571428572"/>
    <n v="0"/>
    <n v="0"/>
    <m/>
    <s v="Kalyanpur"/>
    <m/>
    <n v="0"/>
  </r>
  <r>
    <s v="Munger"/>
    <s v="03-09 Apr"/>
    <n v="1053"/>
    <s v="Kalyanpur"/>
    <x v="683"/>
    <s v="Gomukh Bazidpur"/>
    <s v="vlc"/>
    <s v="Indirect"/>
    <n v="2026.5000000000002"/>
    <n v="84137.01"/>
    <n v="0"/>
    <n v="0"/>
    <n v="0"/>
    <n v="0"/>
    <n v="0"/>
    <n v="0"/>
    <n v="84137.01"/>
    <n v="0"/>
    <n v="0"/>
    <n v="0"/>
    <n v="0"/>
    <n v="0"/>
    <n v="0"/>
    <n v="0"/>
    <n v="0"/>
    <n v="84137.01"/>
    <n v="0"/>
    <n v="0"/>
    <n v="0"/>
    <n v="0"/>
    <n v="0"/>
    <n v="0"/>
    <m/>
    <s v="Kalyanpur"/>
    <m/>
    <n v="0"/>
  </r>
  <r>
    <s v="Munger"/>
    <s v="03-09 Apr"/>
    <n v="1053"/>
    <s v="Kalyanpur"/>
    <x v="684"/>
    <s v="Gomukh Belsandi"/>
    <s v="vlc"/>
    <s v="Indirect"/>
    <n v="832.15"/>
    <n v="34672.94"/>
    <n v="0"/>
    <n v="0"/>
    <n v="0"/>
    <n v="0"/>
    <n v="0"/>
    <n v="0"/>
    <n v="34672.94"/>
    <n v="0"/>
    <n v="0"/>
    <n v="0"/>
    <n v="0"/>
    <n v="0"/>
    <n v="0"/>
    <n v="0"/>
    <n v="0"/>
    <n v="34672.94"/>
    <n v="0"/>
    <n v="0"/>
    <n v="0"/>
    <n v="0"/>
    <n v="0"/>
    <n v="0"/>
    <m/>
    <s v="Kalyanpur"/>
    <m/>
    <n v="0"/>
  </r>
  <r>
    <s v="Munger"/>
    <s v="03-09 Apr"/>
    <n v="1053"/>
    <s v="Kalyanpur"/>
    <x v="685"/>
    <s v="Gomukh Namapur Ward 8"/>
    <s v="vlc"/>
    <s v="Indirect"/>
    <n v="1484.45"/>
    <n v="60678.240000000005"/>
    <n v="0"/>
    <n v="0"/>
    <n v="0"/>
    <n v="0"/>
    <n v="0"/>
    <n v="0"/>
    <n v="60678.240000000005"/>
    <n v="0"/>
    <n v="0"/>
    <n v="0"/>
    <n v="0"/>
    <n v="0"/>
    <n v="0"/>
    <n v="0"/>
    <n v="0"/>
    <n v="60678.240000000005"/>
    <n v="0"/>
    <n v="0"/>
    <n v="0"/>
    <n v="0"/>
    <n v="0"/>
    <n v="0"/>
    <m/>
    <s v="Kalyanpur"/>
    <m/>
    <n v="0"/>
  </r>
  <r>
    <s v="Munger"/>
    <s v="03-09 Apr"/>
    <n v="1053"/>
    <s v="Kalyanpur"/>
    <x v="1002"/>
    <s v="Gomukh Gorai Ward 4"/>
    <s v="vlc"/>
    <s v="Indirect"/>
    <n v="3.5"/>
    <n v="138.97"/>
    <n v="0"/>
    <n v="0"/>
    <n v="0"/>
    <n v="0"/>
    <n v="0"/>
    <n v="0"/>
    <n v="138.97"/>
    <n v="0"/>
    <n v="0"/>
    <n v="0"/>
    <n v="0"/>
    <n v="0"/>
    <n v="0"/>
    <n v="0"/>
    <n v="0"/>
    <n v="138.97"/>
    <n v="0"/>
    <n v="0"/>
    <n v="553.10059999999999"/>
    <n v="0.5"/>
    <n v="0"/>
    <n v="0"/>
    <m/>
    <s v="Kalyanpur"/>
    <m/>
    <n v="0"/>
  </r>
  <r>
    <s v="Munger"/>
    <s v="03-09 Apr"/>
    <n v="1053"/>
    <s v="Kalyanpur"/>
    <x v="686"/>
    <s v="Belsandi"/>
    <s v="vlc"/>
    <s v="Indirect"/>
    <n v="1719.4"/>
    <n v="64549.75"/>
    <n v="0"/>
    <n v="0"/>
    <n v="0"/>
    <n v="0"/>
    <n v="0"/>
    <n v="0"/>
    <n v="64549.75"/>
    <n v="0"/>
    <n v="0"/>
    <n v="0"/>
    <n v="0"/>
    <n v="0"/>
    <n v="0"/>
    <n v="0"/>
    <n v="0"/>
    <n v="64549.75"/>
    <n v="0"/>
    <n v="0"/>
    <n v="0"/>
    <n v="0"/>
    <n v="0"/>
    <n v="0"/>
    <m/>
    <s v="Kalyanpur"/>
    <m/>
    <n v="0"/>
  </r>
  <r>
    <s v="Munger"/>
    <s v="03-09 Apr"/>
    <n v="1053"/>
    <s v="Kalyanpur"/>
    <x v="1003"/>
    <s v="Barhetta"/>
    <s v="vlc"/>
    <s v="Indirect"/>
    <n v="3.35"/>
    <n v="129.51999999999998"/>
    <n v="0"/>
    <n v="0"/>
    <n v="0"/>
    <n v="0"/>
    <n v="0"/>
    <n v="0"/>
    <n v="129.51999999999998"/>
    <n v="0"/>
    <n v="0"/>
    <n v="0"/>
    <n v="0"/>
    <n v="0"/>
    <n v="0"/>
    <n v="0"/>
    <n v="0"/>
    <n v="129.51999999999998"/>
    <n v="0"/>
    <n v="0"/>
    <n v="538.68721194029843"/>
    <n v="0.47857142857142859"/>
    <n v="0"/>
    <n v="0"/>
    <m/>
    <s v="Kalyanpur"/>
    <m/>
    <n v="0"/>
  </r>
  <r>
    <s v="Munger"/>
    <s v="03-09 Apr"/>
    <n v="1053"/>
    <s v="Kalyanpur"/>
    <x v="687"/>
    <s v="Gomukh Kolwara"/>
    <s v="MPG"/>
    <s v="Direct"/>
    <n v="91.949999999999989"/>
    <n v="3826.1099999999997"/>
    <n v="84.030000000000015"/>
    <n v="3825.2405276291029"/>
    <n v="0"/>
    <n v="0"/>
    <n v="84.030000000000015"/>
    <n v="3825.2405276291029"/>
    <n v="3825.2405276291029"/>
    <n v="0"/>
    <n v="0"/>
    <n v="0"/>
    <n v="0"/>
    <n v="500"/>
    <n v="0"/>
    <n v="3326"/>
    <n v="0"/>
    <n v="0"/>
    <n v="0"/>
    <s v="Release1"/>
    <n v="506.02853409461659"/>
    <n v="13.135714285714284"/>
    <n v="2.2724709192804217E-4"/>
    <n v="7"/>
    <m/>
    <s v="Kalyanpur"/>
    <m/>
    <n v="500"/>
  </r>
  <r>
    <s v="Munger"/>
    <s v="03-09 Apr"/>
    <n v="1053"/>
    <s v="Kalyanpur"/>
    <x v="688"/>
    <s v="Gomukh Belsandi East"/>
    <s v="vlc"/>
    <s v="Indirect"/>
    <n v="1430.4"/>
    <n v="60801.53"/>
    <n v="0"/>
    <n v="0"/>
    <n v="0"/>
    <n v="0"/>
    <n v="0"/>
    <n v="0"/>
    <n v="60801.53"/>
    <n v="0"/>
    <n v="0"/>
    <n v="0"/>
    <n v="0"/>
    <n v="0"/>
    <n v="0"/>
    <n v="0"/>
    <n v="0"/>
    <n v="60801.53"/>
    <n v="0"/>
    <n v="0"/>
    <n v="0"/>
    <n v="0"/>
    <n v="0"/>
    <n v="0"/>
    <m/>
    <s v="Kalyanpur"/>
    <m/>
    <n v="0"/>
  </r>
  <r>
    <s v="Munger"/>
    <s v="03-09 Apr"/>
    <n v="1053"/>
    <s v="Kalyanpur"/>
    <x v="689"/>
    <s v="Gomukh Belsandi West Tola"/>
    <s v="vlc"/>
    <s v="Indirect"/>
    <n v="352.95"/>
    <n v="13482.43"/>
    <n v="0"/>
    <n v="0"/>
    <n v="0"/>
    <n v="0"/>
    <n v="0"/>
    <n v="0"/>
    <n v="13482.43"/>
    <n v="0"/>
    <n v="0"/>
    <n v="0"/>
    <n v="0"/>
    <n v="0"/>
    <n v="0"/>
    <n v="0"/>
    <n v="0"/>
    <n v="13482.43"/>
    <n v="0"/>
    <n v="0"/>
    <n v="265.14108692449361"/>
    <n v="50.421428571428571"/>
    <n v="0"/>
    <n v="0"/>
    <m/>
    <s v="Kalyanpur"/>
    <m/>
    <n v="0"/>
  </r>
  <r>
    <s v="Munger"/>
    <s v="03-09 Apr"/>
    <n v="1053"/>
    <s v="Kalyanpur"/>
    <x v="690"/>
    <s v="Gomukh Gopalpur"/>
    <s v="vlc"/>
    <s v="Indirect"/>
    <n v="2165.9999999999995"/>
    <n v="87628.49"/>
    <n v="0"/>
    <n v="0"/>
    <n v="0"/>
    <n v="0"/>
    <n v="0"/>
    <n v="0"/>
    <n v="87628.49"/>
    <n v="0"/>
    <n v="0"/>
    <n v="0"/>
    <n v="0"/>
    <n v="0"/>
    <n v="0"/>
    <n v="0"/>
    <n v="0"/>
    <n v="87628.49"/>
    <n v="0"/>
    <n v="0"/>
    <n v="0"/>
    <n v="0"/>
    <n v="0"/>
    <n v="0"/>
    <m/>
    <s v="Kalyanpur"/>
    <m/>
    <n v="0"/>
  </r>
  <r>
    <s v="Munger"/>
    <s v="03-09 Apr"/>
    <n v="1053"/>
    <s v="Kalyanpur"/>
    <x v="691"/>
    <s v="Gomukh Bharav"/>
    <s v="MPG"/>
    <s v="Direct"/>
    <n v="489.84999999999997"/>
    <n v="26332.04"/>
    <n v="492.45999999999992"/>
    <n v="26265.551689454896"/>
    <n v="9.7800000000000011"/>
    <n v="491.93558188600002"/>
    <n v="502.2399999999999"/>
    <n v="26757.487271340895"/>
    <n v="26332.04"/>
    <n v="0"/>
    <n v="491.93558188600002"/>
    <n v="425.44727134089408"/>
    <n v="0"/>
    <n v="0"/>
    <n v="0"/>
    <n v="25840"/>
    <n v="0"/>
    <n v="0"/>
    <n v="0"/>
    <s v="Release1"/>
    <n v="225.93357991221805"/>
    <n v="69.978571428571428"/>
    <n v="-1.6157019028563455E-2"/>
    <n v="26"/>
    <m/>
    <s v="Kalyanpur"/>
    <m/>
    <n v="0"/>
  </r>
  <r>
    <s v="Munger"/>
    <s v="03-09 Apr"/>
    <n v="1053"/>
    <s v="Kalyanpur"/>
    <x v="692"/>
    <s v="Gomukh Harpur"/>
    <s v="MPG"/>
    <s v="Direct"/>
    <n v="1037.7500000000002"/>
    <n v="42272.30000000001"/>
    <n v="1031.3800000000001"/>
    <n v="42123.050347477532"/>
    <n v="13.309999999999999"/>
    <n v="545.71456764000004"/>
    <n v="1044.69"/>
    <n v="42668.764915117536"/>
    <n v="42272.30000000001"/>
    <n v="0"/>
    <n v="545.71456764000004"/>
    <n v="396.46491511752538"/>
    <n v="0"/>
    <n v="0"/>
    <n v="0"/>
    <n v="41726"/>
    <n v="0"/>
    <n v="0"/>
    <n v="1"/>
    <n v="0"/>
    <n v="0"/>
    <n v="0"/>
    <n v="-9.3788347243354466E-3"/>
    <n v="27"/>
    <m/>
    <s v="Kalyanpur"/>
    <m/>
    <n v="0"/>
  </r>
  <r>
    <s v="Munger"/>
    <s v="03-09 Apr"/>
    <n v="1053"/>
    <s v="Kalyanpur"/>
    <x v="693"/>
    <s v="Gomukh Fulhatta"/>
    <s v="MPG"/>
    <s v="Direct"/>
    <n v="1024.0999999999999"/>
    <n v="50823.389999999992"/>
    <n v="1037.8599999999997"/>
    <n v="51038.50878557664"/>
    <n v="0"/>
    <n v="0"/>
    <n v="1037.8599999999997"/>
    <n v="51038.50878557664"/>
    <n v="50823.389999999992"/>
    <n v="0"/>
    <n v="0"/>
    <n v="215.1187855766475"/>
    <n v="0"/>
    <n v="0"/>
    <n v="0"/>
    <n v="50823"/>
    <n v="0"/>
    <n v="0"/>
    <n v="0"/>
    <n v="0"/>
    <n v="0"/>
    <n v="0"/>
    <n v="-4.2326729007381748E-3"/>
    <n v="41"/>
    <m/>
    <s v="Kalyanpur"/>
    <m/>
    <n v="0"/>
  </r>
  <r>
    <s v="Munger"/>
    <s v="03-09 Apr"/>
    <n v="1053"/>
    <s v="Kalyanpur"/>
    <x v="694"/>
    <s v="Gomukh Birauli Khurd"/>
    <s v="MPG"/>
    <s v="Direct"/>
    <n v="972.65000000000009"/>
    <n v="39444.749999999985"/>
    <n v="956.43"/>
    <n v="39246.872116566054"/>
    <n v="18.599999999999998"/>
    <n v="789.76365375600017"/>
    <n v="975.03"/>
    <n v="40036.635770322056"/>
    <n v="39444.749999999985"/>
    <n v="0"/>
    <n v="789.76365375600017"/>
    <n v="591.88577032207104"/>
    <n v="0"/>
    <n v="0"/>
    <n v="0"/>
    <n v="38654"/>
    <n v="0"/>
    <n v="0"/>
    <n v="1"/>
    <n v="0"/>
    <n v="0"/>
    <n v="0"/>
    <n v="-1.500543850124722E-2"/>
    <n v="27"/>
    <m/>
    <s v="Kalyanpur"/>
    <m/>
    <n v="0"/>
  </r>
  <r>
    <s v="Munger"/>
    <s v="03-09 Apr"/>
    <n v="1053"/>
    <s v="Kalyanpur"/>
    <x v="695"/>
    <s v="Gomukh Bedauliya"/>
    <s v="vlc"/>
    <s v="Indirect"/>
    <n v="761.19999999999993"/>
    <n v="30223.38"/>
    <n v="0"/>
    <n v="0"/>
    <n v="0"/>
    <n v="0"/>
    <n v="0"/>
    <n v="0"/>
    <n v="30223.38"/>
    <n v="0"/>
    <n v="0"/>
    <n v="0"/>
    <n v="0"/>
    <n v="0"/>
    <n v="0"/>
    <n v="0"/>
    <n v="0"/>
    <n v="30223.38"/>
    <n v="0"/>
    <n v="0"/>
    <n v="0"/>
    <n v="0"/>
    <n v="0"/>
    <n v="0"/>
    <m/>
    <s v="Kalyanpur"/>
    <m/>
    <n v="0"/>
  </r>
  <r>
    <s v="Munger"/>
    <s v="03-09 Apr"/>
    <n v="1053"/>
    <s v="Kalyanpur"/>
    <x v="696"/>
    <s v="Gomukh Khanua"/>
    <s v="MPG"/>
    <s v="Direct"/>
    <n v="649.95000000000016"/>
    <n v="29050.459999999995"/>
    <n v="638.79999999999984"/>
    <n v="28368.750131398217"/>
    <n v="10.35"/>
    <n v="452.87073572399999"/>
    <n v="649.14999999999986"/>
    <n v="28821.620867122216"/>
    <n v="28821.620867122216"/>
    <n v="0"/>
    <n v="452.87073572399999"/>
    <n v="0"/>
    <n v="0"/>
    <n v="0"/>
    <n v="0"/>
    <n v="28368"/>
    <n v="0"/>
    <n v="0"/>
    <n v="230"/>
    <n v="0"/>
    <n v="44.741150026924991"/>
    <n v="92.850000000000023"/>
    <n v="7.8772980833274175E-3"/>
    <n v="23"/>
    <m/>
    <s v="Kalyanpur"/>
    <m/>
    <n v="0"/>
  </r>
  <r>
    <s v="Munger"/>
    <s v="03-09 Apr"/>
    <n v="1053"/>
    <s v="Kalyanpur"/>
    <x v="697"/>
    <s v="Gomukh Hiralalpur"/>
    <s v="vlc"/>
    <s v="Indirect"/>
    <n v="848.19999999999993"/>
    <n v="35981.919999999998"/>
    <n v="0"/>
    <n v="0"/>
    <n v="0"/>
    <n v="0"/>
    <n v="0"/>
    <n v="0"/>
    <n v="35981.919999999998"/>
    <n v="0"/>
    <n v="0"/>
    <n v="0"/>
    <n v="0"/>
    <n v="0"/>
    <n v="0"/>
    <n v="0"/>
    <n v="0"/>
    <n v="35981.919999999998"/>
    <n v="0"/>
    <n v="0"/>
    <n v="0"/>
    <n v="0"/>
    <n v="0"/>
    <n v="0"/>
    <m/>
    <s v="Kalyanpur"/>
    <m/>
    <n v="0"/>
  </r>
  <r>
    <s v="Munger"/>
    <s v="03-09 Apr"/>
    <n v="1053"/>
    <s v="Kalyanpur"/>
    <x v="1004"/>
    <s v="Gomukh Malipur"/>
    <s v="vlc"/>
    <s v="Indirect"/>
    <n v="2.6"/>
    <n v="100.63"/>
    <n v="0"/>
    <n v="0"/>
    <n v="0"/>
    <n v="0"/>
    <n v="0"/>
    <n v="0"/>
    <n v="100.63"/>
    <n v="0"/>
    <n v="0"/>
    <n v="0"/>
    <n v="0"/>
    <n v="0"/>
    <n v="0"/>
    <n v="0"/>
    <n v="0"/>
    <n v="100.63"/>
    <n v="0"/>
    <n v="0"/>
    <n v="539.84124615384621"/>
    <n v="0.37142857142857144"/>
    <n v="0"/>
    <n v="0"/>
    <m/>
    <s v="Kalyanpur"/>
    <m/>
    <n v="0"/>
  </r>
  <r>
    <s v="Munger"/>
    <s v="03-09 Apr"/>
    <n v="1053"/>
    <s v="Kalyanpur"/>
    <x v="698"/>
    <s v="Gomukh Punas"/>
    <s v="MPG"/>
    <s v="Direct"/>
    <n v="1126.1499999999999"/>
    <n v="49426.929999999986"/>
    <n v="1110.1999999999998"/>
    <n v="48879.068779614165"/>
    <n v="12.659999999999998"/>
    <n v="539.38080820800008"/>
    <n v="1122.8599999999999"/>
    <n v="49418.449587822164"/>
    <n v="49418.449587822164"/>
    <n v="0"/>
    <n v="539.38080820800008"/>
    <n v="0"/>
    <n v="0"/>
    <n v="0"/>
    <n v="0"/>
    <n v="48877"/>
    <n v="0"/>
    <n v="0"/>
    <n v="11"/>
    <n v="0"/>
    <n v="0"/>
    <n v="0"/>
    <n v="1.7157473016878787E-4"/>
    <n v="27"/>
    <m/>
    <s v="Kalyanpur"/>
    <m/>
    <n v="0"/>
  </r>
  <r>
    <s v="Munger"/>
    <s v="03-09 Apr"/>
    <n v="1053"/>
    <s v="Kalyanpur"/>
    <x v="699"/>
    <s v="Gomukh Loharkha"/>
    <s v="MPG"/>
    <s v="Direct"/>
    <n v="615.94999999999993"/>
    <n v="29302.880000000001"/>
    <n v="622.96000000000015"/>
    <n v="29219.040721665486"/>
    <n v="6.37"/>
    <n v="284.10072281088003"/>
    <n v="629.33000000000015"/>
    <n v="29503.141444476365"/>
    <n v="29302.880000000001"/>
    <n v="0"/>
    <n v="284.10072281088003"/>
    <n v="200.26144447636398"/>
    <n v="0"/>
    <n v="0"/>
    <n v="0"/>
    <n v="29019"/>
    <n v="0"/>
    <n v="0"/>
    <n v="0"/>
    <n v="0"/>
    <n v="79.97100621803726"/>
    <n v="87.992857142857133"/>
    <n v="-6.8341898296810409E-3"/>
    <n v="32"/>
    <m/>
    <s v="Kalyanpur"/>
    <m/>
    <n v="0"/>
  </r>
  <r>
    <s v="Munger"/>
    <s v="03-09 Apr"/>
    <n v="1053"/>
    <s v="Kalyanpur"/>
    <x v="700"/>
    <s v="Gomukh Dighra"/>
    <s v="MPG"/>
    <s v="Direct"/>
    <n v="463.7"/>
    <n v="15883.78"/>
    <n v="417.90000000000009"/>
    <n v="15666.124251189602"/>
    <n v="4.67"/>
    <n v="196.86827187720002"/>
    <n v="422.57000000000011"/>
    <n v="15862.992523066801"/>
    <n v="15862.992523066801"/>
    <n v="0"/>
    <n v="196.86827187720002"/>
    <n v="0"/>
    <n v="0"/>
    <n v="0"/>
    <n v="0"/>
    <n v="15666"/>
    <n v="0"/>
    <n v="0"/>
    <n v="21"/>
    <n v="0"/>
    <n v="161.88644442527493"/>
    <n v="66.242857142857147"/>
    <n v="1.3087235490040333E-3"/>
    <n v="7"/>
    <m/>
    <s v="Kalyanpur"/>
    <m/>
    <n v="0"/>
  </r>
  <r>
    <s v="Munger"/>
    <s v="03-09 Apr"/>
    <n v="1053"/>
    <s v="Kalyanpur"/>
    <x v="701"/>
    <s v="Basuwari"/>
    <s v="MPG"/>
    <s v="Direct"/>
    <n v="297.34999999999997"/>
    <n v="11577.54"/>
    <n v="296.38"/>
    <n v="11535.214110410681"/>
    <n v="6.0100000000000007"/>
    <n v="250.55935234079601"/>
    <n v="302.39"/>
    <n v="11785.773462751476"/>
    <n v="11577.54"/>
    <n v="0"/>
    <n v="250.55935234079601"/>
    <n v="208.2334627514756"/>
    <n v="0"/>
    <n v="0"/>
    <n v="0"/>
    <n v="11326"/>
    <n v="0"/>
    <n v="0"/>
    <n v="1"/>
    <n v="0"/>
    <n v="313.54945222801422"/>
    <n v="42.478571428571421"/>
    <n v="-1.7985985170552256E-2"/>
    <n v="12"/>
    <m/>
    <s v="Kalyanpur"/>
    <m/>
    <n v="0"/>
  </r>
  <r>
    <s v="Munger"/>
    <s v="03-09 Apr"/>
    <n v="1053"/>
    <s v="Kalyanpur"/>
    <x v="702"/>
    <s v="Belsandi 3"/>
    <s v="vlc"/>
    <s v="Indirect"/>
    <n v="2622.0099999999998"/>
    <n v="98074.760000000009"/>
    <n v="0"/>
    <n v="0"/>
    <n v="0"/>
    <n v="0"/>
    <n v="0"/>
    <n v="0"/>
    <n v="98074.760000000009"/>
    <n v="0"/>
    <n v="0"/>
    <n v="0"/>
    <n v="0"/>
    <n v="0"/>
    <n v="0"/>
    <n v="0"/>
    <n v="0"/>
    <n v="98074.760000000009"/>
    <n v="0"/>
    <n v="0"/>
    <n v="0"/>
    <n v="0"/>
    <n v="0"/>
    <n v="0"/>
    <m/>
    <s v="Kalyanpur"/>
    <m/>
    <n v="0"/>
  </r>
  <r>
    <s v="Munger"/>
    <s v="03-09 Apr"/>
    <n v="1053"/>
    <s v="Kalyanpur"/>
    <x v="1005"/>
    <s v="Gomukh Bhagwanpur"/>
    <s v="vlc"/>
    <s v="Indirect"/>
    <n v="479.2"/>
    <n v="23224.71"/>
    <n v="0"/>
    <n v="0"/>
    <n v="0"/>
    <n v="0"/>
    <n v="0"/>
    <n v="0"/>
    <n v="23224.71"/>
    <n v="0"/>
    <n v="0"/>
    <n v="0"/>
    <n v="0"/>
    <n v="0"/>
    <n v="0"/>
    <n v="0"/>
    <n v="0"/>
    <n v="23224.71"/>
    <n v="0"/>
    <n v="0"/>
    <n v="214.02403873121872"/>
    <n v="68.457142857142856"/>
    <n v="0"/>
    <n v="0"/>
    <m/>
    <s v="Kalyanpur"/>
    <m/>
    <n v="0"/>
  </r>
  <r>
    <s v="Munger"/>
    <s v="03-09 Apr"/>
    <n v="1053"/>
    <s v="Kalyanpur"/>
    <x v="1006"/>
    <s v="GOMUKH JHAHURI"/>
    <s v="vlc"/>
    <s v="Indirect"/>
    <n v="1.1499999999999999"/>
    <n v="38.270000000000003"/>
    <n v="0"/>
    <n v="0"/>
    <n v="0"/>
    <n v="0"/>
    <n v="0"/>
    <n v="0"/>
    <n v="38.270000000000003"/>
    <n v="0"/>
    <n v="0"/>
    <n v="0"/>
    <n v="0"/>
    <n v="0"/>
    <n v="0"/>
    <n v="0"/>
    <n v="0"/>
    <n v="38.270000000000003"/>
    <n v="0"/>
    <n v="0"/>
    <n v="465.13025217391311"/>
    <n v="0.16428571428571428"/>
    <n v="0"/>
    <n v="0"/>
    <m/>
    <s v="Kalyanpur"/>
    <m/>
    <n v="0"/>
  </r>
  <r>
    <s v="Munger"/>
    <s v="03-09 Apr"/>
    <n v="1053"/>
    <s v="Kalyanpur"/>
    <x v="1007"/>
    <s v="Gomukh Balaha East"/>
    <s v="vlc"/>
    <s v="Indirect"/>
    <n v="2.1"/>
    <n v="83.43"/>
    <n v="0"/>
    <n v="0"/>
    <n v="0"/>
    <n v="0"/>
    <n v="0"/>
    <n v="0"/>
    <n v="83.43"/>
    <n v="0"/>
    <n v="0"/>
    <n v="0"/>
    <n v="0"/>
    <n v="0"/>
    <n v="0"/>
    <n v="0"/>
    <n v="0"/>
    <n v="83.43"/>
    <n v="0"/>
    <n v="0"/>
    <n v="554.53139999999996"/>
    <n v="0.3"/>
    <n v="0"/>
    <n v="0"/>
    <m/>
    <s v="Kalyanpur"/>
    <m/>
    <n v="0"/>
  </r>
  <r>
    <s v="Munger"/>
    <s v="03-09 Apr"/>
    <n v="1053"/>
    <s v="Kalyanpur"/>
    <x v="703"/>
    <s v="Gomukh PARAN"/>
    <s v="vlc"/>
    <s v="Indirect"/>
    <n v="594.69999999999993"/>
    <n v="21216.77"/>
    <n v="0"/>
    <n v="0"/>
    <n v="0"/>
    <n v="0"/>
    <n v="0"/>
    <n v="0"/>
    <n v="21216.77"/>
    <n v="0"/>
    <n v="0"/>
    <n v="0"/>
    <n v="0"/>
    <n v="0"/>
    <n v="0"/>
    <n v="0"/>
    <n v="0"/>
    <n v="21216.77"/>
    <n v="0"/>
    <n v="0"/>
    <n v="75.134551235917357"/>
    <n v="84.957142857142841"/>
    <n v="0"/>
    <n v="0"/>
    <m/>
    <s v="Kalyanpur"/>
    <m/>
    <n v="0"/>
  </r>
  <r>
    <s v="Munger"/>
    <s v="03-09 Apr"/>
    <n v="1053"/>
    <s v="Kalyanpur"/>
    <x v="704"/>
    <s v="GOMUKH HARPUR W-13"/>
    <s v="MPG"/>
    <s v="Direct"/>
    <n v="1715.8999999999999"/>
    <n v="68005.219999999987"/>
    <n v="1696.7200000000005"/>
    <n v="67215.351988697803"/>
    <n v="23.349999999999998"/>
    <n v="917.34763032000023"/>
    <n v="1720.0700000000004"/>
    <n v="68132.699619017803"/>
    <n v="68005.219999999987"/>
    <n v="0"/>
    <n v="917.34763032000023"/>
    <n v="127.47961901781673"/>
    <n v="0"/>
    <n v="0"/>
    <n v="0"/>
    <n v="67087"/>
    <n v="0"/>
    <n v="0"/>
    <n v="1"/>
    <n v="0"/>
    <n v="0"/>
    <n v="0"/>
    <n v="-1.8745563799046126E-3"/>
    <n v="53"/>
    <m/>
    <s v="Kalyanpur"/>
    <m/>
    <n v="0"/>
  </r>
  <r>
    <s v="Munger"/>
    <s v="03-09 Apr"/>
    <n v="1053"/>
    <s v="Kalyanpur"/>
    <x v="1008"/>
    <s v="GOMUKH MADHURAPUR"/>
    <s v="vlc"/>
    <s v="Indirect"/>
    <n v="1.4"/>
    <n v="48.79"/>
    <n v="0"/>
    <n v="0"/>
    <n v="0"/>
    <n v="0"/>
    <n v="0"/>
    <n v="0"/>
    <n v="48.79"/>
    <n v="0"/>
    <n v="0"/>
    <n v="0"/>
    <n v="0"/>
    <n v="0"/>
    <n v="0"/>
    <n v="0"/>
    <n v="0"/>
    <n v="48.79"/>
    <n v="0"/>
    <n v="0"/>
    <n v="486.92420000000004"/>
    <n v="0.19999999999999998"/>
    <n v="0"/>
    <n v="0"/>
    <m/>
    <s v="Kalyanpur"/>
    <m/>
    <n v="0"/>
  </r>
  <r>
    <s v="Munger"/>
    <s v="03-09 Apr"/>
    <n v="1053"/>
    <s v="Kalyanpur"/>
    <x v="705"/>
    <s v="GOMUKH MILKI"/>
    <s v="vlc"/>
    <s v="Indirect"/>
    <n v="86.40000000000002"/>
    <n v="2879.42"/>
    <n v="0"/>
    <n v="0"/>
    <n v="0"/>
    <n v="0"/>
    <n v="0"/>
    <n v="0"/>
    <n v="2879.42"/>
    <n v="0"/>
    <n v="0"/>
    <n v="0"/>
    <n v="0"/>
    <n v="0"/>
    <n v="0"/>
    <n v="0"/>
    <n v="0"/>
    <n v="2879.42"/>
    <n v="0"/>
    <n v="0"/>
    <n v="408.98428518518517"/>
    <n v="12.342857142857145"/>
    <n v="0"/>
    <n v="0"/>
    <m/>
    <s v="Kalyanpur"/>
    <m/>
    <n v="0"/>
  </r>
  <r>
    <s v="Munger"/>
    <s v="03-09 Apr"/>
    <n v="1053"/>
    <s v="Kalyanpur"/>
    <x v="706"/>
    <s v="Gomukh Ratwara"/>
    <s v="MPG"/>
    <s v="Direct"/>
    <n v="210.1"/>
    <n v="7676.19"/>
    <n v="217.99"/>
    <n v="7673.1985497459609"/>
    <n v="0"/>
    <n v="0"/>
    <n v="217.99"/>
    <n v="7673.1985497459609"/>
    <n v="7673.1985497459609"/>
    <n v="0"/>
    <n v="0"/>
    <n v="0"/>
    <n v="0"/>
    <n v="500"/>
    <n v="0"/>
    <n v="7173"/>
    <n v="0"/>
    <n v="0"/>
    <n v="3"/>
    <s v="Release1"/>
    <n v="357.97862741551648"/>
    <n v="30.014285714285712"/>
    <n v="3.8970508208351827E-4"/>
    <n v="11"/>
    <m/>
    <s v="Kalyanpur"/>
    <m/>
    <n v="500"/>
  </r>
  <r>
    <s v="Munger"/>
    <s v="03-09 Apr"/>
    <n v="1053"/>
    <s v="Kalyanpur"/>
    <x v="707"/>
    <s v="Gomukh Fulhara"/>
    <s v="vlc"/>
    <s v="Indirect"/>
    <n v="1816.7000000000003"/>
    <n v="89327.750000000015"/>
    <n v="0"/>
    <n v="0"/>
    <n v="0"/>
    <n v="0"/>
    <n v="0"/>
    <n v="0"/>
    <n v="89327.750000000015"/>
    <n v="0"/>
    <n v="0"/>
    <n v="0"/>
    <n v="0"/>
    <n v="0"/>
    <n v="0"/>
    <n v="0"/>
    <n v="0"/>
    <n v="89327.750000000015"/>
    <n v="0"/>
    <n v="0"/>
    <n v="0"/>
    <n v="0"/>
    <n v="0"/>
    <n v="0"/>
    <m/>
    <s v="Kalyanpur"/>
    <m/>
    <n v="0"/>
  </r>
  <r>
    <s v="Munger"/>
    <s v="03-09 Apr"/>
    <n v="1053"/>
    <s v="Kalyanpur"/>
    <x v="708"/>
    <s v="Gomukh Ranitola"/>
    <s v="vlc"/>
    <s v="Indirect"/>
    <n v="550.54999999999995"/>
    <n v="23725.450000000004"/>
    <n v="0"/>
    <n v="0"/>
    <n v="0"/>
    <n v="0"/>
    <n v="0"/>
    <n v="0"/>
    <n v="23725.450000000004"/>
    <n v="0"/>
    <n v="0"/>
    <n v="0"/>
    <n v="0"/>
    <n v="0"/>
    <n v="0"/>
    <n v="0"/>
    <n v="0"/>
    <n v="23725.450000000004"/>
    <n v="0"/>
    <n v="0"/>
    <n v="128.80822822631922"/>
    <n v="78.649999999999991"/>
    <n v="0"/>
    <n v="0"/>
    <m/>
    <s v="Kalyanpur"/>
    <m/>
    <n v="0"/>
  </r>
  <r>
    <s v="Munger"/>
    <s v="03-09 Apr"/>
    <n v="1053"/>
    <s v="Kalyanpur"/>
    <x v="709"/>
    <s v="Gomukh Malinagar East"/>
    <s v="MPG"/>
    <s v="Direct"/>
    <n v="932.75"/>
    <n v="38070.370000000003"/>
    <n v="931.51"/>
    <n v="38189.887613786363"/>
    <n v="7.09"/>
    <n v="279.71330112000004"/>
    <n v="938.6"/>
    <n v="38469.600914906361"/>
    <n v="38070.370000000003"/>
    <n v="0"/>
    <n v="279.71330112000004"/>
    <n v="399.23091490635852"/>
    <n v="0"/>
    <n v="0"/>
    <n v="0"/>
    <n v="37790"/>
    <n v="0"/>
    <n v="0"/>
    <n v="1"/>
    <n v="0"/>
    <n v="0"/>
    <n v="0"/>
    <n v="-1.0486657074947222E-2"/>
    <n v="10"/>
    <m/>
    <s v="Kalyanpur"/>
    <m/>
    <n v="0"/>
  </r>
  <r>
    <s v="Munger"/>
    <s v="03-09 Apr"/>
    <n v="1053"/>
    <s v="Kalyanpur"/>
    <x v="710"/>
    <s v="GOMUKH Singhiya Ward 11"/>
    <s v="vlc"/>
    <s v="Indirect"/>
    <n v="189.3"/>
    <n v="8606.99"/>
    <n v="0"/>
    <n v="0"/>
    <n v="0"/>
    <n v="0"/>
    <n v="0"/>
    <n v="0"/>
    <n v="8606.99"/>
    <n v="0"/>
    <n v="0"/>
    <n v="0"/>
    <n v="0"/>
    <n v="0"/>
    <n v="0"/>
    <n v="0"/>
    <n v="0"/>
    <n v="8606.99"/>
    <n v="0"/>
    <n v="0"/>
    <n v="464.40462683571047"/>
    <n v="27.042857142857144"/>
    <n v="0"/>
    <n v="0"/>
    <m/>
    <s v="Kalyanpur"/>
    <m/>
    <n v="0"/>
  </r>
  <r>
    <s v="Munger"/>
    <s v="03-09 Apr"/>
    <n v="1053"/>
    <s v="Kalyanpur"/>
    <x v="711"/>
    <s v="GOMUKH MANIYARPUR"/>
    <s v="MPG"/>
    <s v="Direct"/>
    <n v="1205.1500000000001"/>
    <n v="48577.649999999994"/>
    <n v="1189.5099999999998"/>
    <n v="48578.11556038355"/>
    <n v="18.430000000000003"/>
    <n v="759.45881167200014"/>
    <n v="1207.9399999999998"/>
    <n v="49337.574372055547"/>
    <n v="48577.649999999994"/>
    <n v="0"/>
    <n v="759.45881167200014"/>
    <n v="759.92437205555325"/>
    <n v="0"/>
    <n v="0"/>
    <n v="0"/>
    <n v="47818"/>
    <n v="0"/>
    <n v="0"/>
    <n v="0"/>
    <n v="0"/>
    <n v="0"/>
    <n v="0"/>
    <n v="-1.56434980295579E-2"/>
    <n v="39"/>
    <m/>
    <s v="Kalyanpur"/>
    <m/>
    <n v="0"/>
  </r>
  <r>
    <s v="Munger"/>
    <s v="03-09 Apr"/>
    <n v="1053"/>
    <s v="Kalyanpur"/>
    <x v="712"/>
    <s v="GOMUKH DIGHRA W-6"/>
    <s v="MPG"/>
    <s v="Direct"/>
    <n v="1544.1500000000003"/>
    <n v="58011.159999999989"/>
    <n v="1516.1200000000001"/>
    <n v="59640.461905316391"/>
    <n v="12.03"/>
    <n v="501.03104739516004"/>
    <n v="1528.15"/>
    <n v="60141.492952711553"/>
    <n v="58011.159999999989"/>
    <n v="0"/>
    <n v="501.03104739516004"/>
    <n v="2130.3329527115638"/>
    <n v="0"/>
    <n v="0"/>
    <n v="0"/>
    <n v="57510"/>
    <n v="0"/>
    <n v="0"/>
    <n v="0"/>
    <n v="0"/>
    <n v="0"/>
    <n v="0"/>
    <n v="-3.6722812519376688E-2"/>
    <n v="10"/>
    <m/>
    <s v="Kalyanpur"/>
    <m/>
    <n v="0"/>
  </r>
  <r>
    <s v="Munger"/>
    <s v="03-09 Apr"/>
    <n v="1053"/>
    <s v="Kalyanpur"/>
    <x v="713"/>
    <s v="GOMUKH BANDRA W-6"/>
    <s v="MPG"/>
    <s v="Direct"/>
    <n v="442.39999999999992"/>
    <n v="19792.870000000003"/>
    <n v="448.09000000000009"/>
    <n v="19653.193884434244"/>
    <n v="7.04"/>
    <n v="292.71646285200006"/>
    <n v="455.13000000000011"/>
    <n v="19945.910347286244"/>
    <n v="19792.870000000003"/>
    <n v="0"/>
    <n v="292.71646285200006"/>
    <n v="153.04034728624174"/>
    <n v="0"/>
    <n v="0"/>
    <n v="0"/>
    <n v="19500"/>
    <n v="0"/>
    <n v="0"/>
    <n v="0"/>
    <n v="0"/>
    <n v="230.4992455696204"/>
    <n v="63.199999999999989"/>
    <n v="-7.7320948041512787E-3"/>
    <n v="23"/>
    <m/>
    <s v="Kalyanpur"/>
    <m/>
    <n v="0"/>
  </r>
  <r>
    <s v="Munger"/>
    <s v="03-09 Apr"/>
    <n v="1053"/>
    <s v="Kalyanpur"/>
    <x v="714"/>
    <s v="BELSANDI RAJO"/>
    <s v="vlc"/>
    <s v="Indirect"/>
    <n v="411.6"/>
    <n v="15724.679999999998"/>
    <n v="0"/>
    <n v="0"/>
    <n v="0"/>
    <n v="0"/>
    <n v="0"/>
    <n v="0"/>
    <n v="15724.679999999998"/>
    <n v="0"/>
    <n v="0"/>
    <n v="0"/>
    <n v="0"/>
    <n v="0"/>
    <n v="0"/>
    <n v="0"/>
    <n v="0"/>
    <n v="15724.679999999998"/>
    <n v="0"/>
    <n v="0"/>
    <n v="220.35946122448976"/>
    <n v="58.800000000000004"/>
    <n v="0"/>
    <n v="0"/>
    <m/>
    <s v="Kalyanpur"/>
    <m/>
    <n v="0"/>
  </r>
  <r>
    <s v="Munger"/>
    <s v="03-09 Apr"/>
    <n v="1053"/>
    <s v="Kalyanpur"/>
    <x v="715"/>
    <s v="BELSANDI W-9"/>
    <s v="vlc"/>
    <s v="Indirect"/>
    <n v="583.94999999999993"/>
    <n v="25962.58"/>
    <n v="0"/>
    <n v="0"/>
    <n v="0"/>
    <n v="0"/>
    <n v="0"/>
    <n v="0"/>
    <n v="25962.58"/>
    <n v="0"/>
    <n v="0"/>
    <n v="0"/>
    <n v="0"/>
    <n v="0"/>
    <n v="0"/>
    <n v="0"/>
    <n v="0"/>
    <n v="25962.58"/>
    <n v="0"/>
    <n v="0"/>
    <n v="103.19230786882444"/>
    <n v="83.421428571428564"/>
    <n v="0"/>
    <n v="0"/>
    <m/>
    <s v="Kalyanpur"/>
    <m/>
    <n v="0"/>
  </r>
  <r>
    <s v="Munger"/>
    <s v="03-09 Apr"/>
    <n v="1053"/>
    <s v="Kalyanpur"/>
    <x v="716"/>
    <s v="GOMUKH PARAN 2"/>
    <s v="MPG"/>
    <s v="Direct"/>
    <n v="185.34999999999997"/>
    <n v="8795.08"/>
    <n v="188.1"/>
    <n v="8603.0455506253402"/>
    <n v="4.9499999999999993"/>
    <n v="232.49399443847801"/>
    <n v="193.04999999999998"/>
    <n v="8835.5395450638189"/>
    <n v="8795.08"/>
    <n v="0"/>
    <n v="232.49399443847801"/>
    <n v="40.45954506381895"/>
    <n v="0"/>
    <n v="0"/>
    <n v="0"/>
    <n v="8563"/>
    <n v="0"/>
    <n v="0"/>
    <n v="0"/>
    <n v="0"/>
    <n v="488.41520604262217"/>
    <n v="26.478571428571424"/>
    <n v="-4.6002475320086854E-3"/>
    <n v="14"/>
    <m/>
    <s v="Kalyanpur"/>
    <m/>
    <n v="0"/>
  </r>
  <r>
    <s v="Munger"/>
    <s v="03-09 Apr"/>
    <n v="1053"/>
    <s v="Kalyanpur"/>
    <x v="717"/>
    <s v="GOMUKH KHARAGPUR"/>
    <s v="MPG"/>
    <s v="Direct"/>
    <n v="305.29999999999995"/>
    <n v="15640.219999999998"/>
    <n v="310.00999999999993"/>
    <n v="15727.635432172945"/>
    <n v="0"/>
    <n v="0"/>
    <n v="310.00999999999993"/>
    <n v="15727.635432172945"/>
    <n v="15640.219999999998"/>
    <n v="0"/>
    <n v="0"/>
    <n v="87.415432172947476"/>
    <n v="0"/>
    <n v="0"/>
    <n v="0"/>
    <n v="15640"/>
    <n v="0"/>
    <n v="0"/>
    <n v="0"/>
    <n v="0"/>
    <n v="404.40188889616775"/>
    <n v="43.614285714285707"/>
    <n v="-5.5891433862789329E-3"/>
    <n v="9"/>
    <m/>
    <s v="Kalyanpur"/>
    <m/>
    <n v="0"/>
  </r>
  <r>
    <s v="Munger"/>
    <s v="03-09 Apr"/>
    <n v="1053"/>
    <s v="Kalyanpur"/>
    <x v="718"/>
    <s v="KAMARGAMA"/>
    <s v="vlc"/>
    <s v="Indirect"/>
    <n v="531.4"/>
    <n v="30559.51"/>
    <n v="0"/>
    <n v="0"/>
    <n v="0"/>
    <n v="0"/>
    <n v="0"/>
    <n v="0"/>
    <n v="30559.51"/>
    <n v="0"/>
    <n v="0"/>
    <n v="0"/>
    <n v="0"/>
    <n v="0"/>
    <n v="0"/>
    <n v="0"/>
    <n v="0"/>
    <n v="30559.51"/>
    <n v="0"/>
    <n v="0"/>
    <n v="193.91544546480998"/>
    <n v="75.914285714285711"/>
    <n v="0"/>
    <n v="0"/>
    <m/>
    <s v="Kalyanpur"/>
    <m/>
    <n v="0"/>
  </r>
  <r>
    <s v="Munger"/>
    <s v="03-09 Apr"/>
    <n v="1053"/>
    <s v="Kalyanpur"/>
    <x v="719"/>
    <s v="BELSANDI DIH"/>
    <s v="vlc"/>
    <s v="Indirect"/>
    <n v="155.9"/>
    <n v="6612.4500000000007"/>
    <n v="0"/>
    <n v="0"/>
    <n v="0"/>
    <n v="0"/>
    <n v="0"/>
    <n v="0"/>
    <n v="6612.4500000000007"/>
    <n v="0"/>
    <n v="0"/>
    <n v="0"/>
    <n v="0"/>
    <n v="0"/>
    <n v="0"/>
    <n v="0"/>
    <n v="0"/>
    <n v="6612.4500000000007"/>
    <n v="0"/>
    <n v="0"/>
    <n v="461.55664464400269"/>
    <n v="22.271428571428572"/>
    <n v="0"/>
    <n v="0"/>
    <m/>
    <s v="Kalyanpur"/>
    <m/>
    <n v="0"/>
  </r>
  <r>
    <s v="Munger"/>
    <s v="03-09 Apr"/>
    <n v="1053"/>
    <s v="Kalyanpur"/>
    <x v="720"/>
    <s v="GOMUKH BALAHA W-9"/>
    <s v="MPG"/>
    <s v="Direct"/>
    <n v="968.9"/>
    <n v="37915.11"/>
    <n v="947.77999999999986"/>
    <n v="38463.797528435156"/>
    <n v="12.830000000000004"/>
    <n v="514.56620754000005"/>
    <n v="960.6099999999999"/>
    <n v="38978.363735975159"/>
    <n v="37915.11"/>
    <n v="0"/>
    <n v="514.56620754000005"/>
    <n v="1063.2537359751586"/>
    <n v="0"/>
    <n v="0"/>
    <n v="0"/>
    <n v="37400"/>
    <n v="0"/>
    <n v="0"/>
    <n v="1"/>
    <n v="0"/>
    <n v="0"/>
    <n v="0"/>
    <n v="-2.8043008077126997E-2"/>
    <n v="24"/>
    <m/>
    <s v="Kalyanpur"/>
    <m/>
    <n v="0"/>
  </r>
  <r>
    <s v="Munger"/>
    <s v="03-09 Apr"/>
    <n v="1053"/>
    <s v="Kalyanpur"/>
    <x v="721"/>
    <s v="Gomukh NAMAPUR East"/>
    <s v="vlc"/>
    <s v="Indirect"/>
    <n v="263.14999999999998"/>
    <n v="10389.200000000001"/>
    <n v="0"/>
    <n v="0"/>
    <n v="0"/>
    <n v="0"/>
    <n v="0"/>
    <n v="0"/>
    <n v="10389.200000000001"/>
    <n v="0"/>
    <n v="0"/>
    <n v="0"/>
    <n v="0"/>
    <n v="0"/>
    <n v="0"/>
    <n v="0"/>
    <n v="0"/>
    <n v="10389.200000000001"/>
    <n v="0"/>
    <n v="0"/>
    <n v="344.93802166064989"/>
    <n v="37.592857142857142"/>
    <n v="0"/>
    <n v="0"/>
    <m/>
    <s v="Kalyanpur"/>
    <m/>
    <n v="0"/>
  </r>
  <r>
    <s v="Munger"/>
    <s v="03-09 Apr"/>
    <n v="1053"/>
    <s v="Kalyanpur"/>
    <x v="722"/>
    <s v="GOMUKH Madanpur W-3"/>
    <s v="MPG"/>
    <s v="Direct"/>
    <n v="1787.8"/>
    <n v="87311.73000000001"/>
    <n v="1792.11"/>
    <n v="85918.191883248524"/>
    <n v="35.74"/>
    <n v="1510.81015268799"/>
    <n v="1827.85"/>
    <n v="87429.002035936515"/>
    <n v="87311.73000000001"/>
    <n v="0"/>
    <n v="1510.81015268799"/>
    <n v="117.27203593650484"/>
    <n v="0"/>
    <n v="0"/>
    <n v="0"/>
    <n v="85801"/>
    <n v="0"/>
    <n v="0"/>
    <n v="0"/>
    <n v="0"/>
    <n v="0"/>
    <n v="0"/>
    <n v="-1.3431418199651389E-3"/>
    <n v="56"/>
    <m/>
    <s v="Kalyanpur"/>
    <m/>
    <n v="0"/>
  </r>
  <r>
    <s v="Munger"/>
    <s v="03-09 Apr"/>
    <n v="1053"/>
    <s v="Kalyanpur"/>
    <x v="723"/>
    <s v="Gomukh Namapur East (08)"/>
    <s v="vlc"/>
    <s v="Indirect"/>
    <n v="730.30000000000007"/>
    <n v="26949.510000000002"/>
    <n v="0"/>
    <n v="0"/>
    <n v="0"/>
    <n v="0"/>
    <n v="0"/>
    <n v="0"/>
    <n v="26949.510000000002"/>
    <n v="0"/>
    <n v="0"/>
    <n v="0"/>
    <n v="0"/>
    <n v="0"/>
    <n v="0"/>
    <n v="0"/>
    <n v="0"/>
    <n v="26949.510000000002"/>
    <n v="0"/>
    <n v="0"/>
    <n v="0"/>
    <n v="0"/>
    <n v="0"/>
    <n v="0"/>
    <m/>
    <s v="Kalyanpur"/>
    <m/>
    <n v="0"/>
  </r>
  <r>
    <s v="Munger"/>
    <s v="03-09 Apr"/>
    <n v="1053"/>
    <s v="Kalyanpur"/>
    <x v="724"/>
    <s v="GOMUKH Kalaunjar"/>
    <s v="MPG"/>
    <s v="Direct"/>
    <n v="580.39999999999986"/>
    <n v="27314.31"/>
    <n v="577.66000000000008"/>
    <n v="26667.165820874634"/>
    <n v="11.75"/>
    <n v="549.31328935890008"/>
    <n v="589.41000000000008"/>
    <n v="27216.479110233533"/>
    <n v="27216.479110233533"/>
    <n v="0"/>
    <n v="549.31328935890008"/>
    <n v="0"/>
    <n v="0"/>
    <n v="0"/>
    <n v="0"/>
    <n v="26668"/>
    <n v="0"/>
    <n v="0"/>
    <n v="97"/>
    <n v="0"/>
    <n v="112.57034720882164"/>
    <n v="82.914285714285697"/>
    <n v="3.5816716500057409E-3"/>
    <n v="13"/>
    <m/>
    <s v="Kalyanpur"/>
    <m/>
    <n v="0"/>
  </r>
  <r>
    <s v="Munger"/>
    <s v="03-09 Apr"/>
    <n v="1053"/>
    <s v="Kalyanpur"/>
    <x v="725"/>
    <s v="Jitwariya W-11"/>
    <s v="vlc"/>
    <s v="Indirect"/>
    <n v="106.2"/>
    <n v="4462.34"/>
    <n v="0"/>
    <n v="0"/>
    <n v="0"/>
    <n v="0"/>
    <n v="0"/>
    <n v="0"/>
    <n v="4462.34"/>
    <n v="0"/>
    <n v="0"/>
    <n v="0"/>
    <n v="0"/>
    <n v="0"/>
    <n v="0"/>
    <n v="0"/>
    <n v="0"/>
    <n v="4462.34"/>
    <n v="0"/>
    <n v="0"/>
    <n v="499.00894387947267"/>
    <n v="15.171428571428573"/>
    <n v="0"/>
    <n v="0"/>
    <m/>
    <s v="Kalyanpur"/>
    <m/>
    <n v="0"/>
  </r>
  <r>
    <s v="Munger"/>
    <s v="03-09 Apr"/>
    <n v="1053"/>
    <s v="Kalyanpur"/>
    <x v="726"/>
    <s v="Pastara Lakshman"/>
    <s v="vlc"/>
    <s v="Indirect"/>
    <n v="246.65"/>
    <n v="8933.59"/>
    <n v="0"/>
    <n v="0"/>
    <n v="0"/>
    <n v="0"/>
    <n v="0"/>
    <n v="0"/>
    <n v="8933.59"/>
    <n v="0"/>
    <n v="0"/>
    <n v="0"/>
    <n v="0"/>
    <n v="0"/>
    <n v="0"/>
    <n v="0"/>
    <n v="0"/>
    <n v="8933.59"/>
    <n v="0"/>
    <n v="0"/>
    <n v="328.40405647678892"/>
    <n v="35.235714285714288"/>
    <n v="0"/>
    <n v="0"/>
    <m/>
    <s v="Kalyanpur"/>
    <m/>
    <n v="0"/>
  </r>
  <r>
    <s v="Munger"/>
    <s v="03-09 Apr"/>
    <n v="1053"/>
    <s v="Kalyanpur"/>
    <x v="727"/>
    <s v="GOMUKH DADHIYA-2"/>
    <s v="MPG"/>
    <s v="Direct"/>
    <n v="1377.6"/>
    <n v="62718.669999999984"/>
    <n v="1372.67"/>
    <n v="62589.309785358186"/>
    <n v="17.729999999999997"/>
    <n v="803.68860645000007"/>
    <n v="1390.4"/>
    <n v="63392.998391808185"/>
    <n v="62718.669999999984"/>
    <n v="0"/>
    <n v="803.68860645000007"/>
    <n v="674.32839180820156"/>
    <n v="0"/>
    <n v="0"/>
    <n v="0"/>
    <n v="61914"/>
    <n v="0"/>
    <n v="0"/>
    <n v="1"/>
    <n v="0"/>
    <n v="0"/>
    <n v="0"/>
    <n v="-1.0751637300475309E-2"/>
    <n v="37"/>
    <m/>
    <s v="Kalyanpur"/>
    <m/>
    <n v="0"/>
  </r>
  <r>
    <s v="Munger"/>
    <s v="03-09 Apr"/>
    <n v="1053"/>
    <s v="Kalyanpur"/>
    <x v="728"/>
    <s v="GOMUKH PREMNAGAR"/>
    <s v="MPG"/>
    <s v="Direct"/>
    <n v="1240.25"/>
    <n v="48897.289999999994"/>
    <n v="1209.9699999999998"/>
    <n v="48836.660821962614"/>
    <n v="1.51"/>
    <n v="58.271742144000001"/>
    <n v="1211.4799999999998"/>
    <n v="48894.932564106617"/>
    <n v="48894.932564106617"/>
    <n v="0"/>
    <n v="58.271742144000001"/>
    <n v="0"/>
    <n v="0"/>
    <n v="0"/>
    <n v="0"/>
    <n v="48839"/>
    <n v="0"/>
    <n v="0"/>
    <n v="0"/>
    <n v="0"/>
    <n v="0"/>
    <n v="0"/>
    <n v="4.8211994844224141E-5"/>
    <n v="26"/>
    <m/>
    <s v="Kalyanpur"/>
    <m/>
    <n v="0"/>
  </r>
  <r>
    <s v="Munger"/>
    <s v="03-09 Apr"/>
    <n v="1053"/>
    <s v="Kalyanpur"/>
    <x v="729"/>
    <s v="GOMUKH JITWARIYA W-6"/>
    <s v="MPG"/>
    <s v="Direct"/>
    <n v="1717.5"/>
    <n v="69990.710000000006"/>
    <n v="1709.9700000000005"/>
    <n v="69374.318693098059"/>
    <n v="17.259999999999998"/>
    <n v="716.26176745200019"/>
    <n v="1727.2300000000005"/>
    <n v="70090.58046055006"/>
    <n v="69990.710000000006"/>
    <n v="0"/>
    <n v="716.26176745200019"/>
    <n v="99.870460550053394"/>
    <n v="0"/>
    <n v="0"/>
    <n v="0"/>
    <n v="69274"/>
    <n v="0"/>
    <n v="0"/>
    <n v="0"/>
    <n v="0"/>
    <n v="0"/>
    <n v="0"/>
    <n v="-1.4269102363735613E-3"/>
    <n v="37"/>
    <m/>
    <s v="Kalyanpur"/>
    <m/>
    <n v="0"/>
  </r>
  <r>
    <s v="Munger"/>
    <s v="03-09 Apr"/>
    <n v="1053"/>
    <s v="Kalyanpur"/>
    <x v="730"/>
    <s v="GOMUKH SUSTA"/>
    <s v="MPG"/>
    <s v="Direct"/>
    <n v="1073.2"/>
    <n v="44798.020000000004"/>
    <n v="1071.5000000000002"/>
    <n v="43941.439458083791"/>
    <n v="11.96"/>
    <n v="828.99061744500023"/>
    <n v="1083.4600000000003"/>
    <n v="44770.430075528791"/>
    <n v="44770.430075528791"/>
    <n v="0"/>
    <n v="828.99061744500023"/>
    <n v="0"/>
    <n v="0"/>
    <n v="0"/>
    <n v="0"/>
    <n v="43941"/>
    <n v="0"/>
    <n v="0"/>
    <n v="28"/>
    <n v="0"/>
    <n v="0"/>
    <n v="0"/>
    <n v="6.1587374779538742E-4"/>
    <n v="33"/>
    <m/>
    <s v="Kalyanpur"/>
    <m/>
    <n v="0"/>
  </r>
  <r>
    <s v="Munger"/>
    <s v="03-09 Apr"/>
    <n v="1053"/>
    <s v="Kalyanpur"/>
    <x v="731"/>
    <s v="KHANPUR SOBHA"/>
    <s v="vlc"/>
    <s v="Indirect"/>
    <n v="169.05"/>
    <n v="5980.99"/>
    <n v="0"/>
    <n v="0"/>
    <n v="0"/>
    <n v="0"/>
    <n v="0"/>
    <n v="0"/>
    <n v="5980.99"/>
    <n v="0"/>
    <n v="0"/>
    <n v="0"/>
    <n v="0"/>
    <n v="0"/>
    <n v="0"/>
    <n v="0"/>
    <n v="0"/>
    <n v="5980.99"/>
    <n v="0"/>
    <n v="0"/>
    <n v="375.70028281573491"/>
    <n v="24.150000000000002"/>
    <n v="0"/>
    <n v="0"/>
    <m/>
    <s v="Kalyanpur"/>
    <m/>
    <n v="0"/>
  </r>
  <r>
    <s v="Munger"/>
    <s v="03-09 Apr"/>
    <n v="1012"/>
    <s v="DalsinghSarai"/>
    <x v="732"/>
    <s v="BHATGAMA W-5"/>
    <s v="vlc"/>
    <s v="Indirect"/>
    <n v="345.2"/>
    <n v="12477.54"/>
    <n v="0"/>
    <n v="0"/>
    <n v="0"/>
    <n v="0"/>
    <n v="0"/>
    <n v="0"/>
    <n v="12477.54"/>
    <n v="0"/>
    <n v="0"/>
    <n v="0"/>
    <n v="0"/>
    <n v="0"/>
    <n v="0"/>
    <n v="0"/>
    <n v="0"/>
    <n v="12477.54"/>
    <n v="0"/>
    <n v="0"/>
    <n v="256.4907990730012"/>
    <n v="49.31428571428571"/>
    <n v="0"/>
    <n v="0"/>
    <m/>
    <s v="DalsinghSarai"/>
    <m/>
    <n v="0"/>
  </r>
  <r>
    <s v="Munger"/>
    <s v="03-09 Apr"/>
    <n v="1053"/>
    <s v="Kalyanpur"/>
    <x v="733"/>
    <s v="GOMUKH TOKE"/>
    <s v="MPG"/>
    <s v="Direct"/>
    <n v="481.2"/>
    <n v="23070.369999999995"/>
    <n v="476.40000000000003"/>
    <n v="24280.676379355733"/>
    <n v="8.6"/>
    <n v="442.32252301522004"/>
    <n v="485.00000000000006"/>
    <n v="24722.998902370953"/>
    <n v="23070.369999999995"/>
    <n v="0"/>
    <n v="442.32252301522004"/>
    <n v="1652.6289023709578"/>
    <n v="0"/>
    <n v="0"/>
    <n v="0"/>
    <n v="22628"/>
    <n v="0"/>
    <n v="0"/>
    <n v="0"/>
    <n v="0"/>
    <n v="209.80037223607641"/>
    <n v="68.742857142857147"/>
    <n v="-7.1634260845012815E-2"/>
    <n v="18"/>
    <m/>
    <s v="Kalyanpur"/>
    <m/>
    <n v="0"/>
  </r>
  <r>
    <s v="Munger"/>
    <s v="03-09 Apr"/>
    <n v="1053"/>
    <s v="Kalyanpur"/>
    <x v="734"/>
    <s v="GOMUKH SHIVNAGAR"/>
    <s v="MPG"/>
    <s v="Direct"/>
    <n v="999.39999999999986"/>
    <n v="39054.559999999998"/>
    <n v="697.00000000000011"/>
    <n v="27603.414344037723"/>
    <n v="285.2"/>
    <n v="11448.521030294341"/>
    <n v="982.2"/>
    <n v="39051.935374332068"/>
    <n v="39051.935374332068"/>
    <n v="0"/>
    <n v="482.24961575999998"/>
    <n v="0"/>
    <n v="0"/>
    <n v="0"/>
    <n v="0"/>
    <n v="27602"/>
    <n v="10967"/>
    <n v="0"/>
    <n v="3"/>
    <n v="0"/>
    <n v="0"/>
    <n v="0"/>
    <n v="6.720407726856095E-5"/>
    <n v="18"/>
    <m/>
    <s v="Kalyanpur"/>
    <m/>
    <n v="0"/>
  </r>
  <r>
    <s v="Munger"/>
    <s v="03-09 Apr"/>
    <n v="1053"/>
    <s v="Kalyanpur"/>
    <x v="735"/>
    <s v="GOMUKH BAKHITIYARPUR"/>
    <s v="MPG"/>
    <s v="Direct"/>
    <n v="1147.8499999999999"/>
    <n v="49488.220000000016"/>
    <n v="1134"/>
    <n v="49092.862029311174"/>
    <n v="18.600000000000001"/>
    <n v="771.67938672000025"/>
    <n v="1152.5999999999999"/>
    <n v="49864.541416031178"/>
    <n v="49488.220000000016"/>
    <n v="0"/>
    <n v="771.67938672000025"/>
    <n v="376.32141603116179"/>
    <n v="859"/>
    <n v="0"/>
    <n v="0"/>
    <n v="47857"/>
    <n v="0"/>
    <n v="0"/>
    <n v="1"/>
    <s v="Release2"/>
    <n v="0"/>
    <n v="0"/>
    <n v="-7.6042625099702853E-3"/>
    <n v="37"/>
    <m/>
    <s v="Kalyanpur"/>
    <m/>
    <n v="0"/>
  </r>
  <r>
    <s v="Munger"/>
    <s v="03-09 Apr"/>
    <n v="1053"/>
    <s v="Kalyanpur"/>
    <x v="1009"/>
    <s v="Gomukh Bhagwanpur East "/>
    <s v="vlc"/>
    <s v="Indirect"/>
    <n v="4.1500000000000004"/>
    <n v="158.24"/>
    <n v="0"/>
    <n v="0"/>
    <n v="0"/>
    <n v="0"/>
    <n v="0"/>
    <n v="0"/>
    <n v="158.24"/>
    <n v="0"/>
    <n v="0"/>
    <n v="0"/>
    <n v="0"/>
    <n v="0"/>
    <n v="0"/>
    <n v="0"/>
    <n v="0"/>
    <n v="158.24"/>
    <n v="0"/>
    <n v="0"/>
    <n v="530.65688674698799"/>
    <n v="0.59285714285714286"/>
    <n v="0"/>
    <n v="0"/>
    <m/>
    <s v="Kalyanpur"/>
    <m/>
    <n v="0"/>
  </r>
  <r>
    <s v="Munger"/>
    <s v="03-09 Apr"/>
    <n v="1053"/>
    <s v="Kalyanpur"/>
    <x v="736"/>
    <s v="GOMUKH BHARJA"/>
    <s v="MPG"/>
    <s v="Direct"/>
    <n v="1000.3000000000001"/>
    <n v="46563.369999999995"/>
    <n v="1052.8700000000003"/>
    <n v="45433.834596972629"/>
    <n v="22.2"/>
    <n v="1088.5997269254001"/>
    <n v="1075.0700000000004"/>
    <n v="46522.434323898029"/>
    <n v="46522.434323898029"/>
    <n v="0"/>
    <n v="1088.5997269254001"/>
    <n v="0"/>
    <n v="0"/>
    <n v="0"/>
    <n v="0"/>
    <n v="45434"/>
    <n v="0"/>
    <n v="0"/>
    <n v="41"/>
    <n v="0"/>
    <n v="0"/>
    <n v="0"/>
    <n v="8.7913903357867437E-4"/>
    <n v="4"/>
    <m/>
    <s v="Kalyanpur"/>
    <m/>
    <n v="0"/>
  </r>
  <r>
    <s v="Munger"/>
    <s v="03-09 Apr"/>
    <n v="1053"/>
    <s v="Kalyanpur"/>
    <x v="737"/>
    <s v="GOMUKH NAWABGANJ"/>
    <s v="MPG"/>
    <s v="Direct"/>
    <n v="561.04999999999995"/>
    <n v="24044.219999999994"/>
    <n v="552"/>
    <n v="23522.522361750001"/>
    <n v="7.8000000000000007"/>
    <n v="326.56207853350003"/>
    <n v="559.79999999999995"/>
    <n v="23849.084440283503"/>
    <n v="23849.084440283503"/>
    <n v="0"/>
    <n v="326.56207853350003"/>
    <n v="0"/>
    <n v="0"/>
    <n v="0"/>
    <n v="0"/>
    <n v="23523"/>
    <n v="0"/>
    <n v="0"/>
    <n v="195"/>
    <n v="0"/>
    <n v="119.09613649407362"/>
    <n v="80.149999999999991"/>
    <n v="8.1156951532006926E-3"/>
    <n v="18"/>
    <m/>
    <s v="Kalyanpur"/>
    <m/>
    <n v="0"/>
  </r>
  <r>
    <s v="Munger"/>
    <s v="03-09 Apr"/>
    <n v="1053"/>
    <s v="Kalyanpur"/>
    <x v="738"/>
    <s v="Gomukh Somnaha Naya Tola"/>
    <s v="MPG"/>
    <s v="Direct"/>
    <n v="98.25"/>
    <n v="3468.63"/>
    <n v="51.9"/>
    <n v="3468.0956927760003"/>
    <n v="0"/>
    <n v="0"/>
    <n v="51.9"/>
    <n v="3468.0956927760003"/>
    <n v="3468.0956927760003"/>
    <n v="0"/>
    <n v="0"/>
    <n v="0"/>
    <n v="0"/>
    <n v="0"/>
    <n v="0"/>
    <n v="3468"/>
    <n v="0"/>
    <n v="0"/>
    <n v="1"/>
    <n v="0"/>
    <n v="424.88510992366412"/>
    <n v="14.035714285714286"/>
    <n v="1.5403984397292409E-4"/>
    <n v="1"/>
    <m/>
    <s v="Kalyanpur"/>
    <m/>
    <n v="0"/>
  </r>
  <r>
    <s v="Munger"/>
    <s v="03-09 Apr"/>
    <n v="1053"/>
    <s v="Kalyanpur"/>
    <x v="739"/>
    <s v="GOMUKH CHAKKI"/>
    <s v="MPG"/>
    <s v="Direct"/>
    <n v="374.40000000000003"/>
    <n v="16046.269999999999"/>
    <n v="366.69999999999993"/>
    <n v="16184.23881514473"/>
    <n v="4.2"/>
    <n v="197.51136335080005"/>
    <n v="370.89999999999992"/>
    <n v="16381.750178495531"/>
    <n v="16046.269999999999"/>
    <n v="0"/>
    <n v="197.51136335080005"/>
    <n v="335.48017849553253"/>
    <n v="0"/>
    <n v="0"/>
    <n v="0"/>
    <n v="15848"/>
    <n v="0"/>
    <n v="0"/>
    <n v="1"/>
    <n v="0"/>
    <n v="279.09537991452981"/>
    <n v="53.485714285714288"/>
    <n v="-2.0907050579077414E-2"/>
    <n v="17"/>
    <m/>
    <s v="Kalyanpur"/>
    <m/>
    <n v="0"/>
  </r>
  <r>
    <s v="Munger"/>
    <s v="03-09 Apr"/>
    <n v="1053"/>
    <s v="Kalyanpur"/>
    <x v="740"/>
    <s v="GOMUKH LAKSHMAN NAGAR"/>
    <s v="MPG"/>
    <s v="Direct"/>
    <n v="447.4"/>
    <n v="20617.599999999999"/>
    <n v="461.5"/>
    <n v="21322.380697886187"/>
    <n v="5.7999999999999989"/>
    <n v="254.24517526468003"/>
    <n v="467.3"/>
    <n v="21576.625873150868"/>
    <n v="20617.599999999999"/>
    <n v="0"/>
    <n v="254.24517526468003"/>
    <n v="959.0258731508693"/>
    <n v="1362"/>
    <n v="0"/>
    <n v="0"/>
    <n v="19001"/>
    <n v="0"/>
    <n v="0"/>
    <n v="0"/>
    <s v="Release2"/>
    <n v="232.81205900759949"/>
    <n v="63.914285714285711"/>
    <n v="-4.6514913139786854E-2"/>
    <n v="14"/>
    <m/>
    <s v="Kalyanpur"/>
    <m/>
    <n v="0"/>
  </r>
  <r>
    <s v="Munger"/>
    <s v="03-09 Apr"/>
    <n v="1053"/>
    <s v="Kalyanpur"/>
    <x v="741"/>
    <s v="GOMUKH KOTHIYA"/>
    <s v="MPG"/>
    <s v="Direct"/>
    <n v="122.55"/>
    <n v="4850.6399999999994"/>
    <n v="121.80000000000001"/>
    <n v="4386.6379201136751"/>
    <n v="0.7"/>
    <n v="26.745213726000006"/>
    <n v="122.50000000000001"/>
    <n v="4413.3831338396749"/>
    <n v="4413.3831338396749"/>
    <n v="0"/>
    <n v="26.745213726000006"/>
    <n v="0"/>
    <n v="0"/>
    <n v="0"/>
    <n v="0"/>
    <n v="4387"/>
    <n v="0"/>
    <n v="0"/>
    <n v="437"/>
    <n v="0"/>
    <n v="457.11988053855566"/>
    <n v="17.507142857142856"/>
    <n v="9.014415956663957E-2"/>
    <n v="4"/>
    <m/>
    <s v="Kalyanpur"/>
    <m/>
    <n v="0"/>
  </r>
  <r>
    <s v="Munger"/>
    <s v="03-09 Apr"/>
    <n v="1053"/>
    <s v="Kalyanpur"/>
    <x v="742"/>
    <s v="GOMUKH JHAHURI"/>
    <s v="MPG"/>
    <s v="Direct"/>
    <n v="2123.4999999999995"/>
    <n v="95355.03"/>
    <n v="2097.6999999999998"/>
    <n v="94570.059638805178"/>
    <n v="23.400000000000002"/>
    <n v="1020.3094131120001"/>
    <n v="2121.1"/>
    <n v="95590.36905191718"/>
    <n v="95355.03"/>
    <n v="0"/>
    <n v="1020.3094131120001"/>
    <n v="235.33905191718077"/>
    <n v="1290"/>
    <n v="0"/>
    <n v="0"/>
    <n v="93045"/>
    <n v="0"/>
    <n v="0"/>
    <n v="0"/>
    <s v="Release2"/>
    <n v="0"/>
    <n v="0"/>
    <n v="-2.4680297611691881E-3"/>
    <n v="31"/>
    <m/>
    <s v="Kalyanpur"/>
    <m/>
    <n v="0"/>
  </r>
  <r>
    <s v="Munger"/>
    <s v="03-09 Apr"/>
    <n v="1053"/>
    <s v="Kalyanpur"/>
    <x v="743"/>
    <s v="Belsandi Dihtola"/>
    <s v="vlc"/>
    <s v="Indirect"/>
    <n v="567.29999999999995"/>
    <n v="20585.62"/>
    <n v="0"/>
    <n v="0"/>
    <n v="0"/>
    <n v="0"/>
    <n v="0"/>
    <n v="0"/>
    <n v="20585.62"/>
    <n v="0"/>
    <n v="0"/>
    <n v="0"/>
    <n v="0"/>
    <n v="0"/>
    <n v="0"/>
    <n v="0"/>
    <n v="0"/>
    <n v="20585.62"/>
    <n v="0"/>
    <n v="0"/>
    <n v="96.305720923673633"/>
    <n v="81.04285714285713"/>
    <n v="0"/>
    <n v="0"/>
    <m/>
    <s v="Kalyanpur"/>
    <m/>
    <n v="0"/>
  </r>
  <r>
    <s v="Munger"/>
    <s v="03-09 Apr"/>
    <n v="1053"/>
    <s v="Kalyanpur"/>
    <x v="744"/>
    <s v="GOMUKH Gopalpur Ward 1"/>
    <s v="MPG"/>
    <s v="Direct"/>
    <n v="285.79999999999995"/>
    <n v="11734.79"/>
    <n v="283.01"/>
    <n v="11326.867145924602"/>
    <n v="4.1899999999999995"/>
    <n v="168.38907505200004"/>
    <n v="287.2"/>
    <n v="11495.256220976602"/>
    <n v="11495.256220976602"/>
    <n v="0"/>
    <n v="168.38907505200004"/>
    <n v="0"/>
    <n v="4500"/>
    <n v="0"/>
    <n v="0"/>
    <n v="6827"/>
    <n v="0"/>
    <n v="0"/>
    <n v="239"/>
    <s v="Release2"/>
    <n v="340.13646032190348"/>
    <n v="40.828571428571422"/>
    <n v="2.041227657447631E-2"/>
    <n v="6"/>
    <m/>
    <s v="Kalyanpur"/>
    <m/>
    <n v="0"/>
  </r>
  <r>
    <s v="Munger"/>
    <s v="03-09 Apr"/>
    <n v="1053"/>
    <s v="Kalyanpur"/>
    <x v="745"/>
    <s v="GOMUKH Keotsa"/>
    <s v="MPG"/>
    <s v="Direct"/>
    <n v="360.1"/>
    <n v="13904.490000000002"/>
    <n v="364.07000000000005"/>
    <n v="13851.559262700481"/>
    <n v="2.94"/>
    <n v="112.56044849280001"/>
    <n v="367.01000000000005"/>
    <n v="13964.119711193282"/>
    <n v="13904.490000000002"/>
    <n v="0"/>
    <n v="112.56044849280001"/>
    <n v="59.629711193279945"/>
    <n v="0"/>
    <n v="0"/>
    <n v="0"/>
    <n v="13791"/>
    <n v="0"/>
    <n v="0"/>
    <n v="1"/>
    <n v="0"/>
    <n v="262.49020555401279"/>
    <n v="51.442857142857143"/>
    <n v="-4.2885219949296907E-3"/>
    <n v="7"/>
    <m/>
    <s v="Kalyanpur"/>
    <m/>
    <n v="0"/>
  </r>
  <r>
    <s v="Munger"/>
    <s v="03-09 Apr"/>
    <n v="1053"/>
    <s v="Kalyanpur"/>
    <x v="1010"/>
    <s v="Gomukh NAMAPUR East"/>
    <s v="vlc"/>
    <s v="Indirect"/>
    <n v="292.7"/>
    <n v="12738.439999999999"/>
    <n v="0"/>
    <n v="0"/>
    <n v="0"/>
    <n v="0"/>
    <n v="0"/>
    <n v="0"/>
    <n v="12738.439999999999"/>
    <n v="0"/>
    <n v="0"/>
    <n v="0"/>
    <n v="0"/>
    <n v="0"/>
    <n v="0"/>
    <n v="0"/>
    <n v="0"/>
    <n v="12738.439999999999"/>
    <n v="0"/>
    <n v="0"/>
    <n v="354.51770495387768"/>
    <n v="41.81428571428571"/>
    <n v="0"/>
    <n v="0"/>
    <m/>
    <s v="Kalyanpur"/>
    <m/>
    <n v="0"/>
  </r>
  <r>
    <s v="Munger"/>
    <s v="03-09 Apr"/>
    <n v="1053"/>
    <s v="Kalyanpur"/>
    <x v="746"/>
    <s v="GOMUKH Waini"/>
    <s v="MPG"/>
    <s v="Direct"/>
    <n v="243.99999999999997"/>
    <n v="9583.3100000000013"/>
    <n v="244.32999999999998"/>
    <n v="9127.7986259043046"/>
    <n v="5.35"/>
    <n v="194.22710857440001"/>
    <n v="249.67999999999998"/>
    <n v="9322.0257344787042"/>
    <n v="9322.0257344787042"/>
    <n v="0"/>
    <n v="194.22710857440001"/>
    <n v="0"/>
    <n v="0"/>
    <n v="0"/>
    <n v="0"/>
    <n v="9128"/>
    <n v="0"/>
    <n v="0"/>
    <n v="261"/>
    <n v="0"/>
    <n v="358.19584918032803"/>
    <n v="34.857142857142854"/>
    <n v="2.7264511481032868E-2"/>
    <n v="3"/>
    <m/>
    <s v="Kalyanpur"/>
    <m/>
    <n v="0"/>
  </r>
  <r>
    <s v="Munger"/>
    <s v="03-09 Apr"/>
    <n v="1053"/>
    <s v="Kalyanpur"/>
    <x v="747"/>
    <s v="GOMUKH SAKARI"/>
    <s v="MPG"/>
    <s v="Direct"/>
    <n v="1190.8999999999999"/>
    <n v="52511.19"/>
    <n v="1186.3999999999999"/>
    <n v="52258.741340175322"/>
    <n v="5.63"/>
    <n v="250.26764439849998"/>
    <n v="1192.03"/>
    <n v="52509.008984573818"/>
    <n v="52509.008984573818"/>
    <n v="0"/>
    <n v="250.26764439849998"/>
    <n v="0"/>
    <n v="0"/>
    <n v="0"/>
    <n v="0"/>
    <n v="52258"/>
    <n v="0"/>
    <n v="0"/>
    <n v="3"/>
    <n v="0"/>
    <n v="0"/>
    <n v="0"/>
    <n v="4.153429823593554E-5"/>
    <n v="9"/>
    <m/>
    <s v="Kalyanpur"/>
    <m/>
    <n v="0"/>
  </r>
  <r>
    <s v="Munger"/>
    <s v="03-09 Apr"/>
    <n v="1053"/>
    <s v="Kalyanpur"/>
    <x v="748"/>
    <s v="GOMUKH DHOBGAMA"/>
    <s v="MPG"/>
    <s v="Direct"/>
    <n v="1149.5"/>
    <n v="41417.910000000011"/>
    <n v="1129.17"/>
    <n v="41321.639601779403"/>
    <n v="20.830000000000002"/>
    <n v="779.11382314260004"/>
    <n v="1150"/>
    <n v="42100.753424922004"/>
    <n v="41417.910000000011"/>
    <n v="0"/>
    <n v="779.11382314260004"/>
    <n v="682.84342492199357"/>
    <n v="0"/>
    <n v="0"/>
    <n v="0"/>
    <n v="40638"/>
    <n v="0"/>
    <n v="0"/>
    <n v="1"/>
    <n v="0"/>
    <n v="0"/>
    <n v="0"/>
    <n v="-1.6486670257431953E-2"/>
    <n v="18"/>
    <m/>
    <s v="Kalyanpur"/>
    <m/>
    <n v="0"/>
  </r>
  <r>
    <s v="Munger"/>
    <s v="03-09 Apr"/>
    <n v="1053"/>
    <s v="Kalyanpur"/>
    <x v="1011"/>
    <s v="GOMUKH BHUSKOUL"/>
    <s v="MPG"/>
    <s v="Direct"/>
    <n v="2.8499999999999996"/>
    <n v="112.97999999999999"/>
    <n v="0"/>
    <n v="0"/>
    <n v="0"/>
    <n v="0"/>
    <n v="0"/>
    <n v="0"/>
    <n v="0"/>
    <n v="0"/>
    <n v="0"/>
    <n v="0"/>
    <n v="0"/>
    <n v="0"/>
    <n v="0"/>
    <n v="0"/>
    <n v="0"/>
    <n v="0"/>
    <n v="113"/>
    <n v="0"/>
    <n v="552.72987368421047"/>
    <n v="0.40714285714285708"/>
    <n v="1"/>
    <n v="0"/>
    <m/>
    <s v="Kalyanpur"/>
    <m/>
    <n v="0"/>
  </r>
  <r>
    <s v="Munger"/>
    <s v="03-09 Apr"/>
    <n v="1053"/>
    <s v="Kalyanpur"/>
    <x v="749"/>
    <s v="GOMUKH BIRSINGHPUR"/>
    <s v="MPG"/>
    <s v="Direct"/>
    <n v="295.15000000000003"/>
    <n v="11324.87"/>
    <n v="295.15000000000003"/>
    <n v="11149.597884070799"/>
    <n v="0"/>
    <n v="0"/>
    <n v="295.15000000000003"/>
    <n v="11149.597884070799"/>
    <n v="11149.597884070799"/>
    <n v="0"/>
    <n v="0"/>
    <n v="0"/>
    <n v="0"/>
    <n v="0"/>
    <n v="0"/>
    <n v="11149"/>
    <n v="0"/>
    <n v="0"/>
    <n v="176"/>
    <n v="0"/>
    <n v="310.6809161104523"/>
    <n v="42.164285714285718"/>
    <n v="1.5476744185955457E-2"/>
    <n v="2"/>
    <m/>
    <s v="Kalyanpur"/>
    <m/>
    <n v="0"/>
  </r>
  <r>
    <s v="Munger"/>
    <s v="03-09 Apr"/>
    <n v="1054"/>
    <s v="Alauli "/>
    <x v="750"/>
    <s v="GOMUKH ANANDPUR PARAS 2"/>
    <s v="MPG"/>
    <s v="Direct"/>
    <n v="2964.5"/>
    <n v="123613.28"/>
    <n v="2964.7"/>
    <n v="123618.18829932001"/>
    <n v="0"/>
    <n v="0"/>
    <n v="2964.7"/>
    <n v="123618.18829932001"/>
    <n v="123613.28"/>
    <n v="0"/>
    <n v="0"/>
    <n v="4.9082993200136116"/>
    <n v="0"/>
    <n v="0"/>
    <n v="0"/>
    <n v="123613"/>
    <n v="0"/>
    <n v="0"/>
    <n v="0"/>
    <n v="0"/>
    <n v="0"/>
    <n v="0"/>
    <n v="-3.9706893304777706E-5"/>
    <n v="1"/>
    <m/>
    <s v="Alauli "/>
    <m/>
    <n v="0"/>
  </r>
  <r>
    <s v="Munger"/>
    <s v="03-09 Apr"/>
    <n v="1054"/>
    <s v="Alauli "/>
    <x v="751"/>
    <s v="GOMUKH GADBANNI"/>
    <s v="MPG"/>
    <s v="Direct"/>
    <n v="359.6"/>
    <n v="15061.170000000002"/>
    <n v="357.89"/>
    <n v="14567.183203877017"/>
    <n v="0"/>
    <n v="0"/>
    <n v="357.89"/>
    <n v="14567.183203877017"/>
    <n v="14567.183203877017"/>
    <n v="0"/>
    <n v="0"/>
    <n v="0"/>
    <n v="0"/>
    <n v="0"/>
    <n v="0"/>
    <n v="14566"/>
    <n v="0"/>
    <n v="0"/>
    <n v="495"/>
    <n v="0"/>
    <n v="285.14028186874305"/>
    <n v="51.371428571428574"/>
    <n v="3.279869997636204E-2"/>
    <n v="12"/>
    <m/>
    <s v="Alauli "/>
    <m/>
    <n v="0"/>
  </r>
  <r>
    <s v="Munger"/>
    <s v="03-09 Apr"/>
    <n v="1054"/>
    <s v="Alauli "/>
    <x v="752"/>
    <s v="GOMUKH PARRI"/>
    <s v="MPG"/>
    <s v="Direct"/>
    <n v="241.4"/>
    <n v="11455.550000000001"/>
    <n v="279.64"/>
    <n v="14223.463833827464"/>
    <n v="0"/>
    <n v="0"/>
    <n v="279.64"/>
    <n v="14223.463833827464"/>
    <n v="11455.550000000001"/>
    <n v="0"/>
    <n v="0"/>
    <n v="2767.9138338274624"/>
    <n v="0"/>
    <n v="500"/>
    <n v="0"/>
    <n v="10956"/>
    <n v="0"/>
    <n v="0"/>
    <n v="0"/>
    <s v="Release2"/>
    <n v="435.25395443247714"/>
    <n v="34.485714285714288"/>
    <n v="-0.2416220813341535"/>
    <n v="11"/>
    <m/>
    <s v="Alauli "/>
    <m/>
    <n v="500"/>
  </r>
  <r>
    <s v="Munger"/>
    <s v="03-09 Apr"/>
    <n v="1054"/>
    <s v="Alauli "/>
    <x v="753"/>
    <s v="GOMUKH BHIKHARI GHAT"/>
    <s v="MPG"/>
    <s v="Direct"/>
    <n v="1550.1000000000001"/>
    <n v="65081.39"/>
    <n v="1580.4700000000003"/>
    <n v="71653.153819084837"/>
    <n v="0"/>
    <n v="0"/>
    <n v="1580.4700000000003"/>
    <n v="71653.153819084837"/>
    <n v="65081.39"/>
    <n v="0"/>
    <n v="0"/>
    <n v="6571.7638190848375"/>
    <n v="0"/>
    <n v="0"/>
    <n v="0"/>
    <n v="65081"/>
    <n v="0"/>
    <n v="0"/>
    <n v="0"/>
    <s v="Release2"/>
    <n v="0"/>
    <n v="0"/>
    <n v="-0.10097761924084346"/>
    <n v="39"/>
    <m/>
    <s v="Alauli "/>
    <m/>
    <n v="0"/>
  </r>
  <r>
    <s v="Munger"/>
    <s v="03-09 Apr"/>
    <n v="1054"/>
    <s v="Alauli "/>
    <x v="754"/>
    <s v="Vikash Kumar"/>
    <s v="vlc"/>
    <s v="Indirect"/>
    <n v="2113.9"/>
    <n v="88876.39"/>
    <n v="0"/>
    <n v="0"/>
    <n v="0"/>
    <n v="0"/>
    <n v="0"/>
    <n v="0"/>
    <n v="88876.39"/>
    <n v="0"/>
    <n v="0"/>
    <n v="0"/>
    <n v="0"/>
    <n v="0"/>
    <n v="0"/>
    <n v="0"/>
    <n v="0"/>
    <n v="88876.39"/>
    <n v="0"/>
    <n v="0"/>
    <n v="0"/>
    <n v="0"/>
    <n v="0"/>
    <n v="0"/>
    <m/>
    <s v="Alauli "/>
    <m/>
    <n v="0"/>
  </r>
  <r>
    <s v="Munger"/>
    <s v="03-09 Apr"/>
    <n v="1054"/>
    <s v="Alauli "/>
    <x v="755"/>
    <s v="Rajkishore Yadav"/>
    <s v="vlc"/>
    <s v="Indirect"/>
    <n v="275.10000000000002"/>
    <n v="9733.2400000000016"/>
    <n v="0"/>
    <n v="0"/>
    <n v="0"/>
    <n v="0"/>
    <n v="0"/>
    <n v="0"/>
    <n v="9733.2400000000016"/>
    <n v="0"/>
    <n v="0"/>
    <n v="0"/>
    <n v="0"/>
    <n v="0"/>
    <n v="0"/>
    <n v="0"/>
    <n v="0"/>
    <n v="9733.2400000000016"/>
    <n v="0"/>
    <n v="0"/>
    <n v="300.6654798982189"/>
    <n v="39.300000000000004"/>
    <n v="0"/>
    <n v="0"/>
    <m/>
    <s v="Alauli "/>
    <m/>
    <n v="0"/>
  </r>
  <r>
    <s v="Munger"/>
    <s v="03-09 Apr"/>
    <n v="1054"/>
    <s v="Alauli "/>
    <x v="756"/>
    <s v="BHADAS VLC"/>
    <s v="vlc"/>
    <s v="Indirect"/>
    <n v="58.300000000000004"/>
    <n v="2371.64"/>
    <n v="0"/>
    <n v="0"/>
    <n v="0"/>
    <n v="0"/>
    <n v="0"/>
    <n v="0"/>
    <n v="2371.64"/>
    <n v="0"/>
    <n v="0"/>
    <n v="0"/>
    <n v="0"/>
    <n v="0"/>
    <n v="0"/>
    <n v="0"/>
    <n v="0"/>
    <n v="2371.64"/>
    <n v="0"/>
    <n v="0"/>
    <n v="522.08623945111492"/>
    <n v="8.3285714285714292"/>
    <n v="0"/>
    <n v="0"/>
    <m/>
    <s v="Alauli "/>
    <m/>
    <n v="0"/>
  </r>
  <r>
    <s v="Munger"/>
    <s v="03-09 Apr"/>
    <n v="1054"/>
    <s v="Alauli "/>
    <x v="757"/>
    <s v="SUNIL KUMAR VLC"/>
    <s v="vlc"/>
    <s v="Indirect"/>
    <n v="587.29999999999995"/>
    <n v="22437.649999999998"/>
    <n v="0"/>
    <n v="0"/>
    <n v="0"/>
    <n v="0"/>
    <n v="0"/>
    <n v="0"/>
    <n v="22437.649999999998"/>
    <n v="0"/>
    <n v="0"/>
    <n v="0"/>
    <n v="0"/>
    <n v="0"/>
    <n v="0"/>
    <n v="0"/>
    <n v="0"/>
    <n v="22437.649999999998"/>
    <n v="0"/>
    <n v="0"/>
    <n v="86.113507747318295"/>
    <n v="83.899999999999991"/>
    <n v="0"/>
    <n v="0"/>
    <m/>
    <s v="Alauli "/>
    <m/>
    <n v="0"/>
  </r>
  <r>
    <s v="Munger"/>
    <s v="03-09 Apr"/>
    <n v="1054"/>
    <s v="Alauli "/>
    <x v="758"/>
    <s v="GOMUKH BENHER"/>
    <s v="MPG"/>
    <s v="Direct"/>
    <n v="488.59999999999997"/>
    <n v="24433.800000000003"/>
    <n v="484.48000000000008"/>
    <n v="23963.911133124828"/>
    <n v="1.3500000000000003"/>
    <n v="71.855039798264002"/>
    <n v="485.8300000000001"/>
    <n v="24035.766172923093"/>
    <n v="24035.766172923093"/>
    <n v="0"/>
    <n v="71.855039798264002"/>
    <n v="0"/>
    <n v="0"/>
    <n v="0"/>
    <n v="0"/>
    <n v="23964"/>
    <n v="0"/>
    <n v="0"/>
    <n v="398"/>
    <n v="0"/>
    <n v="211.43288252149003"/>
    <n v="69.8"/>
    <n v="1.6290295700092074E-2"/>
    <n v="9"/>
    <m/>
    <s v="Alauli "/>
    <m/>
    <n v="0"/>
  </r>
  <r>
    <s v="Munger"/>
    <s v="03-09 Apr"/>
    <n v="1054"/>
    <s v="Alauli "/>
    <x v="759"/>
    <s v="GOMUKH LADORA"/>
    <s v="MPG"/>
    <s v="Direct"/>
    <n v="514.5"/>
    <n v="19632.259999999998"/>
    <n v="551.95000000000005"/>
    <n v="26903.199026748305"/>
    <n v="0"/>
    <n v="0"/>
    <n v="551.95000000000005"/>
    <n v="26903.199026748305"/>
    <n v="19632.259999999998"/>
    <n v="0"/>
    <n v="0"/>
    <n v="7270.9390267483068"/>
    <n v="0"/>
    <n v="0"/>
    <n v="0"/>
    <n v="19632"/>
    <n v="0"/>
    <n v="0"/>
    <n v="0"/>
    <n v="0"/>
    <n v="141.56595646258504"/>
    <n v="73.5"/>
    <n v="-0.37035669997994664"/>
    <n v="3"/>
    <m/>
    <s v="Alauli "/>
    <m/>
    <n v="0"/>
  </r>
  <r>
    <s v="Munger"/>
    <s v="03-09 Apr"/>
    <n v="1054"/>
    <s v="Alauli "/>
    <x v="760"/>
    <s v="GOMUKH SAHSI"/>
    <s v="MPG"/>
    <s v="Direct"/>
    <n v="165.50000000000003"/>
    <n v="7249.4099999999989"/>
    <n v="173.09"/>
    <n v="7577.8653887629416"/>
    <n v="0"/>
    <n v="0"/>
    <n v="173.09"/>
    <n v="7577.8653887629416"/>
    <n v="7249.4099999999989"/>
    <n v="0"/>
    <n v="0"/>
    <n v="328.45538876294268"/>
    <n v="0"/>
    <n v="500"/>
    <n v="0"/>
    <n v="6749"/>
    <n v="0"/>
    <n v="0"/>
    <n v="0"/>
    <n v="0"/>
    <n v="468.25494199395757"/>
    <n v="23.642857142857146"/>
    <n v="-4.5307878677429296E-2"/>
    <n v="7"/>
    <m/>
    <s v="Alauli "/>
    <m/>
    <n v="500"/>
  </r>
  <r>
    <s v="Munger"/>
    <s v="03-09 Apr"/>
    <n v="1054"/>
    <s v="Alauli "/>
    <x v="761"/>
    <s v="Gomukh Chikni"/>
    <s v="MPG"/>
    <s v="Direct"/>
    <n v="173.7"/>
    <n v="6495.6900000000005"/>
    <n v="171.67000000000002"/>
    <n v="6585.8133431957767"/>
    <n v="0"/>
    <n v="0"/>
    <n v="171.67000000000002"/>
    <n v="6585.8133431957767"/>
    <n v="6495.6900000000005"/>
    <n v="0"/>
    <n v="0"/>
    <n v="90.123343195776215"/>
    <n v="0"/>
    <n v="500"/>
    <n v="0"/>
    <n v="5996"/>
    <n v="0"/>
    <n v="0"/>
    <n v="0"/>
    <s v="Release2"/>
    <n v="393.63058687392061"/>
    <n v="24.814285714285713"/>
    <n v="-1.3874329470121913E-2"/>
    <n v="1"/>
    <m/>
    <s v="Alauli "/>
    <m/>
    <n v="500"/>
  </r>
  <r>
    <s v="Munger"/>
    <s v="03-09 Apr"/>
    <n v="1054"/>
    <s v="Alauli "/>
    <x v="762"/>
    <s v="GOMUKH BUDWA"/>
    <s v="MPG"/>
    <s v="Direct"/>
    <n v="130.80000000000001"/>
    <n v="4765.6100000000006"/>
    <n v="124.19999999999999"/>
    <n v="4522.0978789955843"/>
    <n v="0"/>
    <n v="0"/>
    <n v="124.19999999999999"/>
    <n v="4522.0978789955843"/>
    <n v="4522.0978789955843"/>
    <n v="0"/>
    <n v="0"/>
    <n v="0"/>
    <n v="0"/>
    <n v="500"/>
    <n v="0"/>
    <n v="4022"/>
    <n v="0"/>
    <n v="0"/>
    <n v="244"/>
    <s v="Release2"/>
    <n v="414.76838103975541"/>
    <n v="18.685714285714287"/>
    <n v="5.1097786223466932E-2"/>
    <n v="7"/>
    <m/>
    <s v="Alauli "/>
    <m/>
    <n v="500"/>
  </r>
  <r>
    <s v="Munger"/>
    <s v="03-09 Apr"/>
    <n v="1054"/>
    <s v="Alauli "/>
    <x v="763"/>
    <s v="GOMUKH GANGIYA"/>
    <s v="MPG"/>
    <s v="Indirect"/>
    <n v="689.9"/>
    <n v="24002.469999999998"/>
    <n v="0"/>
    <n v="0"/>
    <n v="0"/>
    <n v="0"/>
    <n v="0"/>
    <n v="0"/>
    <n v="24002.469999999998"/>
    <n v="0"/>
    <n v="0"/>
    <n v="0"/>
    <n v="0"/>
    <n v="0"/>
    <n v="0"/>
    <n v="0"/>
    <n v="0"/>
    <n v="24002.469999999998"/>
    <n v="0"/>
    <n v="0"/>
    <n v="7.0278285838527674"/>
    <n v="98.55714285714285"/>
    <n v="0"/>
    <n v="1"/>
    <m/>
    <s v="Alauli "/>
    <m/>
    <n v="0"/>
  </r>
  <r>
    <s v="Munger"/>
    <s v="03-09 Apr"/>
    <n v="1054"/>
    <s v="Alauli "/>
    <x v="764"/>
    <s v="GOMUKH AMBA ICHARUA"/>
    <s v="MPG"/>
    <s v="Direct"/>
    <n v="659.6"/>
    <n v="26253.919999999998"/>
    <n v="265.42"/>
    <n v="10781.300960773202"/>
    <n v="463.90000000000003"/>
    <n v="19175.306087520003"/>
    <n v="729.32"/>
    <n v="29956.607048293205"/>
    <n v="26253.919999999998"/>
    <n v="0"/>
    <n v="0"/>
    <n v="3702.6870482932063"/>
    <n v="0"/>
    <n v="0"/>
    <n v="0"/>
    <n v="7079"/>
    <n v="19175"/>
    <n v="0"/>
    <n v="0"/>
    <n v="0"/>
    <n v="32.160653972104306"/>
    <n v="94.228571428571428"/>
    <n v="-0.14103368366678981"/>
    <n v="3"/>
    <m/>
    <s v="Alauli "/>
    <m/>
    <n v="0"/>
  </r>
  <r>
    <s v="Munger"/>
    <s v="03-09 Apr"/>
    <n v="1054"/>
    <s v="Alauli "/>
    <x v="1012"/>
    <s v="RAJAURA VLC"/>
    <s v="vlc"/>
    <s v="Indirect"/>
    <n v="478.00000000000006"/>
    <n v="18008.32"/>
    <n v="0"/>
    <n v="0"/>
    <n v="0"/>
    <n v="0"/>
    <n v="0"/>
    <n v="0"/>
    <n v="18008.32"/>
    <n v="0"/>
    <n v="0"/>
    <n v="0"/>
    <n v="0"/>
    <n v="0"/>
    <n v="0"/>
    <n v="0"/>
    <n v="0"/>
    <n v="18008.32"/>
    <n v="0"/>
    <n v="0"/>
    <n v="167.27393472803342"/>
    <n v="68.285714285714292"/>
    <n v="0"/>
    <n v="0"/>
    <m/>
    <s v="Alauli "/>
    <m/>
    <n v="0"/>
  </r>
  <r>
    <s v="Munger"/>
    <s v="03-09 Apr"/>
    <n v="1054"/>
    <s v="Alauli "/>
    <x v="765"/>
    <s v="MEGHAUNA VLC"/>
    <s v="vlc"/>
    <s v="Indirect"/>
    <n v="1421.3"/>
    <n v="58188.020000000004"/>
    <n v="0"/>
    <n v="0"/>
    <n v="0"/>
    <n v="0"/>
    <n v="0"/>
    <n v="0"/>
    <n v="58188.020000000004"/>
    <n v="0"/>
    <n v="0"/>
    <n v="0"/>
    <n v="0"/>
    <n v="0"/>
    <n v="0"/>
    <n v="0"/>
    <n v="0"/>
    <n v="58188.020000000004"/>
    <n v="0"/>
    <n v="0"/>
    <n v="0"/>
    <n v="0"/>
    <n v="0"/>
    <n v="0"/>
    <m/>
    <s v="Alauli "/>
    <m/>
    <n v="0"/>
  </r>
  <r>
    <s v="Munger"/>
    <s v="03-09 Apr"/>
    <n v="1054"/>
    <s v="Alauli "/>
    <x v="766"/>
    <s v="HATHWAN VLC"/>
    <s v="vlc"/>
    <s v="Indirect"/>
    <n v="34.5"/>
    <n v="1714.21"/>
    <n v="0"/>
    <n v="0"/>
    <n v="0"/>
    <n v="0"/>
    <n v="0"/>
    <n v="0"/>
    <n v="1714.21"/>
    <n v="0"/>
    <n v="0"/>
    <n v="0"/>
    <n v="0"/>
    <n v="0"/>
    <n v="0"/>
    <n v="0"/>
    <n v="0"/>
    <n v="1714.21"/>
    <n v="0"/>
    <n v="0"/>
    <n v="661.3372492753623"/>
    <n v="4.9285714285714288"/>
    <n v="0"/>
    <n v="0"/>
    <m/>
    <s v="Alauli "/>
    <m/>
    <n v="0"/>
  </r>
  <r>
    <s v="Munger"/>
    <s v="03-09 Apr"/>
    <n v="1054"/>
    <s v="Alauli "/>
    <x v="767"/>
    <s v="GOMUKH JWALAPUR"/>
    <s v="MPG"/>
    <s v="Direct"/>
    <n v="208.9"/>
    <n v="7804.46"/>
    <n v="353"/>
    <n v="14631.540066000001"/>
    <n v="0"/>
    <n v="0"/>
    <n v="353"/>
    <n v="14631.540066000001"/>
    <n v="7804.46"/>
    <n v="0"/>
    <n v="0"/>
    <n v="6827.0800660000014"/>
    <n v="0"/>
    <n v="0"/>
    <n v="0"/>
    <n v="7804"/>
    <n v="0"/>
    <n v="0"/>
    <n v="0"/>
    <n v="0"/>
    <n v="366.94785122067975"/>
    <n v="29.842857142857145"/>
    <n v="-0.874766488136271"/>
    <n v="1"/>
    <m/>
    <s v="Alauli "/>
    <m/>
    <n v="0"/>
  </r>
  <r>
    <s v="Munger"/>
    <s v="03-09 Apr"/>
    <n v="1054"/>
    <s v="Alauli "/>
    <x v="768"/>
    <s v="GOMUKH MATHURAPUR"/>
    <s v="MPG"/>
    <s v="Direct"/>
    <n v="328"/>
    <n v="12596.979999999998"/>
    <n v="328"/>
    <n v="14374.640016000003"/>
    <n v="0"/>
    <n v="0"/>
    <n v="328"/>
    <n v="14374.640016000003"/>
    <n v="12596.979999999998"/>
    <n v="0"/>
    <n v="0"/>
    <n v="1777.6600160000053"/>
    <n v="0"/>
    <n v="0"/>
    <n v="0"/>
    <n v="12597"/>
    <n v="0"/>
    <n v="0"/>
    <n v="0"/>
    <n v="0"/>
    <n v="285.73637560975607"/>
    <n v="46.857142857142854"/>
    <n v="-0.14111795176304207"/>
    <n v="1"/>
    <m/>
    <s v="Alauli "/>
    <m/>
    <n v="0"/>
  </r>
  <r>
    <s v="Munger"/>
    <s v="03-09 Apr"/>
    <n v="1054"/>
    <s v="Alauli "/>
    <x v="1013"/>
    <s v="GOMUKH ID ALAULI"/>
    <s v="vlc"/>
    <s v="Indirect"/>
    <n v="219.8"/>
    <n v="8949.74"/>
    <n v="0"/>
    <n v="0"/>
    <n v="0"/>
    <n v="0"/>
    <n v="0"/>
    <n v="0"/>
    <n v="8949.74"/>
    <n v="0"/>
    <n v="0"/>
    <n v="0"/>
    <n v="0"/>
    <n v="0"/>
    <n v="0"/>
    <n v="0"/>
    <n v="0"/>
    <n v="8949.74"/>
    <n v="0"/>
    <n v="0"/>
    <n v="391.05233375796178"/>
    <n v="31.400000000000002"/>
    <n v="0"/>
    <n v="0"/>
    <m/>
    <s v="Alauli "/>
    <m/>
    <n v="0"/>
  </r>
  <r>
    <s v="Munger"/>
    <s v="03-09 Apr"/>
    <n v="1054"/>
    <s v="Alauli "/>
    <x v="769"/>
    <s v="VLC Dhushmuri Bishanpur"/>
    <s v="vlc"/>
    <s v="Indirect"/>
    <n v="805.6"/>
    <n v="27047.280000000002"/>
    <n v="0"/>
    <n v="0"/>
    <n v="0"/>
    <n v="0"/>
    <n v="0"/>
    <n v="0"/>
    <n v="27047.280000000002"/>
    <n v="0"/>
    <n v="0"/>
    <n v="0"/>
    <n v="0"/>
    <n v="0"/>
    <n v="0"/>
    <n v="0"/>
    <n v="0"/>
    <n v="27047.280000000002"/>
    <n v="0"/>
    <n v="0"/>
    <n v="0"/>
    <n v="0"/>
    <n v="0"/>
    <n v="0"/>
    <m/>
    <s v="Alauli "/>
    <m/>
    <n v="0"/>
  </r>
  <r>
    <s v="Munger"/>
    <s v="03-09 Apr"/>
    <n v="1054"/>
    <s v="Alauli "/>
    <x v="770"/>
    <s v="VLC Govindpur"/>
    <s v="vlc"/>
    <s v="Indirect"/>
    <n v="942.09999999999991"/>
    <n v="34885.25"/>
    <n v="0"/>
    <n v="0"/>
    <n v="0"/>
    <n v="0"/>
    <n v="0"/>
    <n v="0"/>
    <n v="34885.25"/>
    <n v="0"/>
    <n v="0"/>
    <n v="0"/>
    <n v="0"/>
    <n v="0"/>
    <n v="0"/>
    <n v="0"/>
    <n v="0"/>
    <n v="34885.25"/>
    <n v="0"/>
    <n v="0"/>
    <n v="0"/>
    <n v="0"/>
    <n v="0"/>
    <n v="0"/>
    <m/>
    <s v="Alauli "/>
    <m/>
    <n v="0"/>
  </r>
  <r>
    <s v="Munger"/>
    <s v="03-09 Apr"/>
    <n v="1054"/>
    <s v="Alauli "/>
    <x v="771"/>
    <s v="Gomukh Darhi Mor"/>
    <s v="MPG"/>
    <s v="Indirect"/>
    <n v="252.5"/>
    <n v="8939.61"/>
    <n v="0"/>
    <n v="0"/>
    <n v="0"/>
    <n v="0"/>
    <n v="0"/>
    <n v="0"/>
    <n v="8939.61"/>
    <n v="0"/>
    <n v="0"/>
    <n v="0"/>
    <n v="0"/>
    <n v="0"/>
    <n v="0"/>
    <n v="0"/>
    <n v="0"/>
    <n v="8939.61"/>
    <n v="0"/>
    <n v="0"/>
    <n v="316.86934455445544"/>
    <n v="36.071428571428569"/>
    <n v="0"/>
    <n v="0"/>
    <m/>
    <s v="Alauli "/>
    <m/>
    <n v="0"/>
  </r>
  <r>
    <s v="Munger"/>
    <s v="03-09 Apr"/>
    <n v="1054"/>
    <s v="Alauli "/>
    <x v="772"/>
    <s v="Gomukh Balaur"/>
    <s v="MPG"/>
    <s v="Direct"/>
    <n v="1107.9000000000003"/>
    <n v="55366.64"/>
    <n v="1288.7299999999998"/>
    <n v="62767.530233236059"/>
    <n v="0"/>
    <n v="0"/>
    <n v="1288.7299999999998"/>
    <n v="62767.530233236059"/>
    <n v="55366.64"/>
    <n v="0"/>
    <n v="0"/>
    <n v="7400.8902332360594"/>
    <n v="0"/>
    <n v="0"/>
    <n v="0"/>
    <n v="55367"/>
    <n v="0"/>
    <n v="0"/>
    <n v="0"/>
    <n v="0"/>
    <n v="0"/>
    <n v="0"/>
    <n v="-0.13367056829231572"/>
    <n v="1"/>
    <m/>
    <s v="Alauli "/>
    <m/>
    <n v="0"/>
  </r>
  <r>
    <s v="Munger"/>
    <s v="03-09 Apr"/>
    <n v="1054"/>
    <s v="Alauli "/>
    <x v="773"/>
    <s v="Gomukh Hathwan - 2"/>
    <s v="MPG"/>
    <s v="Direct"/>
    <n v="384"/>
    <n v="13884.219999999998"/>
    <n v="380"/>
    <n v="15916.986360000003"/>
    <n v="0"/>
    <n v="0"/>
    <n v="380"/>
    <n v="15916.986360000003"/>
    <n v="13884.219999999998"/>
    <n v="0"/>
    <n v="0"/>
    <n v="2032.7663600000051"/>
    <n v="0"/>
    <n v="0"/>
    <n v="0"/>
    <n v="13884"/>
    <n v="0"/>
    <n v="0"/>
    <n v="0"/>
    <n v="0"/>
    <n v="228.51112083333331"/>
    <n v="54.857142857142854"/>
    <n v="-0.14640839456591767"/>
    <n v="1"/>
    <m/>
    <s v="Alauli "/>
    <m/>
    <n v="0"/>
  </r>
  <r>
    <s v="Munger"/>
    <s v="03-09 Apr"/>
    <n v="1054"/>
    <s v="Alauli "/>
    <x v="774"/>
    <s v="VLC Sunil Khas"/>
    <s v="vlc"/>
    <s v="Indirect"/>
    <n v="438.8"/>
    <n v="17981.53"/>
    <n v="0"/>
    <n v="0"/>
    <n v="0"/>
    <n v="0"/>
    <n v="0"/>
    <n v="0"/>
    <n v="17981.53"/>
    <n v="0"/>
    <n v="0"/>
    <n v="0"/>
    <n v="0"/>
    <n v="0"/>
    <n v="0"/>
    <n v="0"/>
    <n v="0"/>
    <n v="17981.53"/>
    <n v="0"/>
    <n v="0"/>
    <n v="214.07363883318135"/>
    <n v="62.68571428571429"/>
    <n v="0"/>
    <n v="0"/>
    <m/>
    <s v="Alauli "/>
    <m/>
    <n v="0"/>
  </r>
  <r>
    <s v="Munger"/>
    <s v="03-09 Apr"/>
    <n v="1054"/>
    <s v="Alauli "/>
    <x v="775"/>
    <s v="Gomukh Hathwan "/>
    <s v="MPG"/>
    <s v="Direct"/>
    <n v="536.70000000000005"/>
    <n v="24103.149999999998"/>
    <n v="1180.78"/>
    <n v="55100.765025878951"/>
    <n v="0"/>
    <n v="0"/>
    <n v="1180.78"/>
    <n v="55100.765025878951"/>
    <n v="24103.149999999998"/>
    <n v="0"/>
    <n v="0"/>
    <n v="30997.615025878953"/>
    <n v="0"/>
    <n v="0"/>
    <n v="0"/>
    <n v="24103"/>
    <n v="0"/>
    <n v="0"/>
    <n v="0"/>
    <n v="0"/>
    <n v="146.67577398919315"/>
    <n v="76.671428571428578"/>
    <n v="-1.2860399999949781"/>
    <n v="1"/>
    <m/>
    <s v="Alauli "/>
    <m/>
    <n v="0"/>
  </r>
  <r>
    <s v="Munger"/>
    <s v="03-09 Apr"/>
    <n v="1054"/>
    <s v="Alauli "/>
    <x v="776"/>
    <s v="Gomukh Rahul VLC"/>
    <s v="vlc"/>
    <s v="Indirect"/>
    <n v="1427.3999999999999"/>
    <n v="61232.01"/>
    <n v="0"/>
    <n v="0"/>
    <n v="0"/>
    <n v="0"/>
    <n v="0"/>
    <n v="0"/>
    <n v="61232.01"/>
    <n v="0"/>
    <n v="0"/>
    <n v="0"/>
    <n v="0"/>
    <n v="0"/>
    <n v="0"/>
    <n v="0"/>
    <n v="0"/>
    <n v="61232.01"/>
    <n v="0"/>
    <n v="0"/>
    <n v="0"/>
    <n v="0"/>
    <n v="0"/>
    <n v="0"/>
    <m/>
    <s v="Alauli "/>
    <m/>
    <n v="0"/>
  </r>
  <r>
    <s v="Munger"/>
    <s v="03-09 Apr"/>
    <n v="1054"/>
    <s v="Alauli "/>
    <x v="777"/>
    <s v="Gomukh Sachin VLC"/>
    <s v="vlc"/>
    <s v="Indirect"/>
    <n v="1173.0999999999999"/>
    <n v="43131.469999999994"/>
    <n v="0"/>
    <n v="0"/>
    <n v="0"/>
    <n v="0"/>
    <n v="0"/>
    <n v="0"/>
    <n v="43131.469999999994"/>
    <n v="0"/>
    <n v="0"/>
    <n v="0"/>
    <n v="0"/>
    <n v="0"/>
    <n v="0"/>
    <n v="0"/>
    <n v="0"/>
    <n v="43131.469999999994"/>
    <n v="0"/>
    <n v="0"/>
    <n v="0"/>
    <n v="0"/>
    <n v="0"/>
    <n v="0"/>
    <m/>
    <s v="Alauli "/>
    <m/>
    <n v="0"/>
  </r>
  <r>
    <s v="Munger"/>
    <s v="03-09 Apr"/>
    <n v="1055"/>
    <s v="Matihani"/>
    <x v="778"/>
    <s v="Balahpur-Anil Yadav"/>
    <s v="vlc"/>
    <s v="Indirect"/>
    <n v="18265.3"/>
    <n v="645707.5"/>
    <n v="0"/>
    <n v="0"/>
    <n v="0"/>
    <n v="0"/>
    <n v="0"/>
    <n v="0"/>
    <n v="645707.5"/>
    <n v="0"/>
    <n v="0"/>
    <n v="0"/>
    <n v="0"/>
    <n v="0"/>
    <n v="0"/>
    <n v="0"/>
    <n v="0"/>
    <n v="645707.5"/>
    <n v="0"/>
    <n v="0"/>
    <n v="0"/>
    <n v="0"/>
    <n v="0"/>
    <n v="0"/>
    <m/>
    <s v="Matihani"/>
    <m/>
    <n v="0"/>
  </r>
  <r>
    <s v="Munger"/>
    <s v="03-09 Apr"/>
    <n v="1055"/>
    <s v="Matihani"/>
    <x v="779"/>
    <s v="Bagdobh"/>
    <s v="vlc"/>
    <s v="Indirect"/>
    <n v="231.2"/>
    <n v="7901.5800000000008"/>
    <n v="0"/>
    <n v="0"/>
    <n v="0"/>
    <n v="0"/>
    <n v="0"/>
    <n v="0"/>
    <n v="7901.5800000000008"/>
    <n v="0"/>
    <n v="0"/>
    <n v="0"/>
    <n v="0"/>
    <n v="0"/>
    <n v="0"/>
    <n v="0"/>
    <n v="0"/>
    <n v="7901.5800000000008"/>
    <n v="0"/>
    <n v="0"/>
    <n v="320.4377771626298"/>
    <n v="33.028571428571425"/>
    <n v="0"/>
    <n v="0"/>
    <m/>
    <s v="Matihani"/>
    <m/>
    <n v="0"/>
  </r>
  <r>
    <s v="Munger"/>
    <s v="03-09 Apr"/>
    <n v="1055"/>
    <s v="Matihani"/>
    <x v="780"/>
    <s v="Gomukh Matihani"/>
    <s v="MPG"/>
    <s v="Direct"/>
    <n v="90.399999999999991"/>
    <n v="3451.7400000000002"/>
    <n v="92.949999999999989"/>
    <n v="3552.0419068199999"/>
    <n v="0"/>
    <n v="0"/>
    <n v="92.949999999999989"/>
    <n v="3552.0419068199999"/>
    <n v="3451.7400000000002"/>
    <n v="0"/>
    <n v="0"/>
    <n v="100.30190681999966"/>
    <n v="0"/>
    <n v="0"/>
    <n v="0"/>
    <n v="3452"/>
    <n v="0"/>
    <n v="0"/>
    <n v="0"/>
    <n v="0"/>
    <n v="465.52670442477887"/>
    <n v="12.914285714285713"/>
    <n v="-2.9058360948391145E-2"/>
    <n v="2"/>
    <m/>
    <s v="Matihani"/>
    <m/>
    <n v="0"/>
  </r>
  <r>
    <s v="Munger"/>
    <s v="03-09 Apr"/>
    <n v="1055"/>
    <s v="Matihani"/>
    <x v="781"/>
    <s v="Jalalpur"/>
    <s v="vlc"/>
    <s v="Indirect"/>
    <n v="2842.8"/>
    <n v="102738.13000000003"/>
    <n v="0"/>
    <n v="0"/>
    <n v="0"/>
    <n v="0"/>
    <n v="0"/>
    <n v="0"/>
    <n v="102738.13000000003"/>
    <n v="0"/>
    <n v="0"/>
    <n v="0"/>
    <n v="0"/>
    <n v="0"/>
    <n v="0"/>
    <n v="0"/>
    <n v="0"/>
    <n v="102738.13000000003"/>
    <n v="0"/>
    <n v="0"/>
    <n v="0"/>
    <n v="0"/>
    <n v="0"/>
    <n v="0"/>
    <m/>
    <s v="Matihani"/>
    <m/>
    <n v="0"/>
  </r>
  <r>
    <s v="Munger"/>
    <s v="03-09 Apr"/>
    <n v="1055"/>
    <s v="Matihani"/>
    <x v="782"/>
    <s v="Saidpur"/>
    <s v="vlc"/>
    <s v="Indirect"/>
    <n v="667.5"/>
    <n v="22886.91"/>
    <n v="0"/>
    <n v="0"/>
    <n v="0"/>
    <n v="0"/>
    <n v="0"/>
    <n v="0"/>
    <n v="22886.91"/>
    <n v="0"/>
    <n v="0"/>
    <n v="0"/>
    <n v="0"/>
    <n v="0"/>
    <n v="0"/>
    <n v="0"/>
    <n v="0"/>
    <n v="22886.91"/>
    <n v="0"/>
    <n v="0"/>
    <n v="22.286878651685374"/>
    <n v="95.357142857142861"/>
    <n v="0"/>
    <n v="0"/>
    <m/>
    <s v="Matihani"/>
    <m/>
    <n v="0"/>
  </r>
  <r>
    <s v="Munger"/>
    <s v="03-09 Apr"/>
    <n v="1056"/>
    <s v="Chautham"/>
    <x v="783"/>
    <s v="Gomukh Chautham(Mithun Kumar VLC)"/>
    <s v="vlc"/>
    <s v="Indirect"/>
    <n v="2510.2199999999998"/>
    <n v="96500.510000000024"/>
    <n v="0"/>
    <n v="0"/>
    <n v="0"/>
    <n v="0"/>
    <n v="0"/>
    <n v="0"/>
    <n v="96500.510000000024"/>
    <n v="0"/>
    <n v="0"/>
    <n v="0"/>
    <n v="0"/>
    <n v="0"/>
    <n v="0"/>
    <n v="0"/>
    <n v="0"/>
    <n v="96500.510000000024"/>
    <n v="0"/>
    <n v="0"/>
    <n v="0"/>
    <n v="0"/>
    <n v="0"/>
    <n v="0"/>
    <m/>
    <s v="Chautham"/>
    <m/>
    <n v="0"/>
  </r>
  <r>
    <s v="Munger"/>
    <s v="03-09 Apr"/>
    <n v="1056"/>
    <s v="Chautham"/>
    <x v="784"/>
    <s v="Gomukh Pansalwa"/>
    <s v="vlc"/>
    <s v="Indirect"/>
    <n v="670.16"/>
    <n v="24423.139999999996"/>
    <n v="0"/>
    <n v="0"/>
    <n v="0"/>
    <n v="0"/>
    <n v="0"/>
    <n v="0"/>
    <n v="24423.139999999996"/>
    <n v="0"/>
    <n v="0"/>
    <n v="0"/>
    <n v="0"/>
    <n v="0"/>
    <n v="0"/>
    <n v="0"/>
    <n v="0"/>
    <n v="24423.139999999996"/>
    <n v="0"/>
    <n v="0"/>
    <n v="21.749626883132386"/>
    <n v="95.737142857142857"/>
    <n v="0"/>
    <n v="0"/>
    <m/>
    <s v="Chautham"/>
    <m/>
    <n v="0"/>
  </r>
  <r>
    <s v="Munger"/>
    <s v="03-09 Apr"/>
    <n v="1056"/>
    <s v="Chautham"/>
    <x v="785"/>
    <s v="Gomukh Nawada"/>
    <s v="MPG"/>
    <s v="Direct"/>
    <n v="860.17999999999984"/>
    <n v="30287.86"/>
    <n v="860.18000000000006"/>
    <n v="30322.439204191203"/>
    <n v="0"/>
    <n v="0"/>
    <n v="860.18000000000006"/>
    <n v="30322.439204191203"/>
    <n v="30287.86"/>
    <n v="0"/>
    <n v="0"/>
    <n v="34.579204191202734"/>
    <n v="0"/>
    <n v="0"/>
    <n v="0"/>
    <n v="30288"/>
    <n v="0"/>
    <n v="0"/>
    <n v="0"/>
    <n v="0"/>
    <n v="0"/>
    <n v="0"/>
    <n v="-1.1416852887989688E-3"/>
    <n v="1"/>
    <m/>
    <s v="Chautham"/>
    <m/>
    <n v="0"/>
  </r>
  <r>
    <s v="Munger"/>
    <s v="03-09 Apr"/>
    <n v="1056"/>
    <s v="Chautham"/>
    <x v="786"/>
    <s v="Gomukh Yadav Tol Kanauli"/>
    <s v="MPG"/>
    <s v="Direct"/>
    <n v="1900.56"/>
    <n v="77877.679999999993"/>
    <n v="33.67"/>
    <n v="1383.0541681680002"/>
    <n v="1867"/>
    <n v="76254.463137599989"/>
    <n v="1900.67"/>
    <n v="77637.517305767993"/>
    <n v="77637.517305767993"/>
    <n v="0"/>
    <n v="0"/>
    <n v="0"/>
    <n v="0"/>
    <n v="0"/>
    <n v="0"/>
    <n v="1383"/>
    <n v="76255"/>
    <n v="0"/>
    <n v="240"/>
    <n v="0"/>
    <n v="0"/>
    <n v="0"/>
    <n v="3.0838450019569142E-3"/>
    <n v="3"/>
    <m/>
    <s v="Chautham"/>
    <m/>
    <n v="0"/>
  </r>
  <r>
    <s v="Munger"/>
    <s v="03-09 Apr"/>
    <n v="1056"/>
    <s v="Chautham"/>
    <x v="787"/>
    <s v="Gomukh Baltara"/>
    <s v="MPG"/>
    <s v="Direct"/>
    <n v="18.519999999999996"/>
    <n v="1095.78"/>
    <n v="0"/>
    <n v="0"/>
    <n v="19.920000000000002"/>
    <n v="1341.8250292546002"/>
    <n v="19.920000000000002"/>
    <n v="1341.8250292546002"/>
    <n v="1095.78"/>
    <n v="0"/>
    <n v="0"/>
    <n v="246.04502925460019"/>
    <n v="0"/>
    <n v="500"/>
    <n v="0"/>
    <n v="0"/>
    <n v="596"/>
    <n v="0"/>
    <n v="0"/>
    <s v="Release1"/>
    <n v="806.42781252699808"/>
    <n v="2.645714285714285"/>
    <n v="-0.22453871147000329"/>
    <n v="2"/>
    <m/>
    <s v="Chautham"/>
    <m/>
    <n v="500"/>
  </r>
  <r>
    <s v="Munger"/>
    <s v="03-09 Apr"/>
    <n v="1056"/>
    <s v="Chautham"/>
    <x v="788"/>
    <s v="Gomukh Hardia"/>
    <s v="MPG"/>
    <s v="Direct"/>
    <n v="163.86"/>
    <n v="7382.5700000000006"/>
    <n v="219.08999999999997"/>
    <n v="9929.6252427116415"/>
    <n v="0"/>
    <n v="0"/>
    <n v="219.08999999999997"/>
    <n v="9929.6252427116415"/>
    <n v="7382.5700000000006"/>
    <n v="0"/>
    <n v="0"/>
    <n v="2547.0552427116409"/>
    <n v="0"/>
    <n v="500"/>
    <n v="0"/>
    <n v="6883"/>
    <n v="0"/>
    <n v="0"/>
    <n v="0"/>
    <n v="0"/>
    <n v="483.10644206029536"/>
    <n v="23.408571428571431"/>
    <n v="-0.34500929116982848"/>
    <n v="1"/>
    <m/>
    <s v="Chautham"/>
    <m/>
    <n v="500"/>
  </r>
  <r>
    <s v="Munger"/>
    <s v="03-09 Apr"/>
    <n v="1056"/>
    <s v="Chautham"/>
    <x v="789"/>
    <s v="Gomukh Ashatol Paharpur"/>
    <s v="MPG"/>
    <s v="Direct"/>
    <n v="1628.8000000000002"/>
    <n v="61725.71"/>
    <n v="1631.7299999999998"/>
    <n v="65519.846697037254"/>
    <n v="0"/>
    <n v="0"/>
    <n v="1631.7299999999998"/>
    <n v="65519.846697037254"/>
    <n v="61725.71"/>
    <n v="0"/>
    <n v="0"/>
    <n v="3794.1366970372546"/>
    <n v="0"/>
    <n v="0"/>
    <n v="0"/>
    <n v="61726"/>
    <n v="0"/>
    <n v="0"/>
    <n v="0"/>
    <n v="0"/>
    <n v="0"/>
    <n v="0"/>
    <n v="-6.1467688213505435E-2"/>
    <n v="11"/>
    <m/>
    <s v="Chautham"/>
    <m/>
    <n v="0"/>
  </r>
  <r>
    <s v="Munger"/>
    <s v="03-09 Apr"/>
    <n v="1056"/>
    <s v="Chautham"/>
    <x v="790"/>
    <s v="Gomukh Kharawa"/>
    <s v="MPG"/>
    <s v="Direct"/>
    <n v="732.99999999999989"/>
    <n v="27800.100000000002"/>
    <n v="734.74999999999977"/>
    <n v="28672.956446666398"/>
    <n v="0"/>
    <n v="0"/>
    <n v="734.74999999999977"/>
    <n v="28672.956446666398"/>
    <n v="27800.100000000002"/>
    <n v="0"/>
    <n v="0"/>
    <n v="872.85644666639564"/>
    <n v="0"/>
    <n v="0"/>
    <n v="0"/>
    <n v="27800"/>
    <n v="0"/>
    <n v="0"/>
    <n v="0"/>
    <n v="0"/>
    <n v="0"/>
    <n v="0"/>
    <n v="-3.1397600967852476E-2"/>
    <n v="1"/>
    <m/>
    <s v="Chautham"/>
    <m/>
    <n v="0"/>
  </r>
  <r>
    <s v="Munger"/>
    <s v="03-09 Apr"/>
    <n v="1056"/>
    <s v="Chautham"/>
    <x v="791"/>
    <s v="Gomukh Patel Nagar"/>
    <s v="vlc"/>
    <s v="Indirect"/>
    <n v="1029.3"/>
    <n v="36919.839999999997"/>
    <n v="0"/>
    <n v="0"/>
    <n v="0"/>
    <n v="0"/>
    <n v="0"/>
    <n v="0"/>
    <n v="36919.839999999997"/>
    <n v="0"/>
    <n v="0"/>
    <n v="0"/>
    <n v="0"/>
    <n v="0"/>
    <n v="0"/>
    <n v="0"/>
    <n v="0"/>
    <n v="36919.839999999997"/>
    <n v="0"/>
    <n v="0"/>
    <n v="0"/>
    <n v="0"/>
    <n v="0"/>
    <n v="0"/>
    <m/>
    <s v="Chautham"/>
    <m/>
    <n v="0"/>
  </r>
  <r>
    <s v="Munger"/>
    <s v="03-09 Apr"/>
    <n v="1056"/>
    <s v="Chautham"/>
    <x v="792"/>
    <s v="Gomukh Pachout"/>
    <s v="MPG"/>
    <s v="Direct"/>
    <n v="1241.72"/>
    <n v="45440.819999999992"/>
    <n v="1241.69"/>
    <n v="47291.917189968008"/>
    <n v="0"/>
    <n v="0"/>
    <n v="1241.69"/>
    <n v="47291.917189968008"/>
    <n v="45440.819999999992"/>
    <n v="0"/>
    <n v="0"/>
    <n v="1851.0971899680153"/>
    <n v="0"/>
    <n v="0"/>
    <n v="0"/>
    <n v="45441"/>
    <n v="0"/>
    <n v="0"/>
    <n v="0"/>
    <n v="0"/>
    <n v="0"/>
    <n v="0"/>
    <n v="-4.0736438954403015E-2"/>
    <n v="1"/>
    <m/>
    <s v="Chautham"/>
    <m/>
    <n v="0"/>
  </r>
  <r>
    <s v="Munger"/>
    <s v="03-09 Apr"/>
    <n v="1056"/>
    <s v="Chautham"/>
    <x v="793"/>
    <s v="Gomukh Telihar"/>
    <s v="MPG"/>
    <s v="Direct"/>
    <n v="1400.9600000000003"/>
    <n v="54614.820000000007"/>
    <n v="1400.96"/>
    <n v="56126.488891106448"/>
    <n v="0"/>
    <n v="0"/>
    <n v="1400.96"/>
    <n v="56126.488891106448"/>
    <n v="54614.820000000007"/>
    <n v="0"/>
    <n v="0"/>
    <n v="1511.6688911064412"/>
    <n v="0"/>
    <n v="0"/>
    <n v="0"/>
    <n v="54615"/>
    <n v="0"/>
    <n v="0"/>
    <n v="0"/>
    <s v="Release1"/>
    <n v="0"/>
    <n v="0"/>
    <n v="-2.767873062854443E-2"/>
    <n v="23"/>
    <m/>
    <s v="Chautham"/>
    <m/>
    <n v="0"/>
  </r>
  <r>
    <s v="Munger"/>
    <s v="03-09 Apr"/>
    <n v="1056"/>
    <s v="Chautham"/>
    <x v="794"/>
    <s v="Gomukh Pansalba Ward No 05"/>
    <s v="MPG"/>
    <s v="Indirect"/>
    <n v="1748.02"/>
    <n v="62244.029999999992"/>
    <n v="0"/>
    <n v="0"/>
    <n v="0"/>
    <n v="0"/>
    <n v="0"/>
    <n v="0"/>
    <n v="62244.029999999992"/>
    <n v="0"/>
    <n v="0"/>
    <n v="0"/>
    <n v="0"/>
    <n v="0"/>
    <n v="0"/>
    <n v="0"/>
    <n v="0"/>
    <n v="62244.029999999992"/>
    <n v="0"/>
    <n v="0"/>
    <n v="0"/>
    <n v="0"/>
    <n v="0"/>
    <n v="0"/>
    <m/>
    <s v="Chautham"/>
    <m/>
    <n v="0"/>
  </r>
  <r>
    <s v="Munger"/>
    <s v="03-09 Apr"/>
    <n v="1056"/>
    <s v="Chautham"/>
    <x v="795"/>
    <s v="Gomukh Paharpur Jilebya "/>
    <s v="MPG"/>
    <s v="Direct"/>
    <n v="2230.2199999999998"/>
    <n v="95521.22"/>
    <n v="2271.54"/>
    <n v="97097.815901196023"/>
    <n v="0"/>
    <n v="0"/>
    <n v="2271.54"/>
    <n v="97097.815901196023"/>
    <n v="95521.22"/>
    <n v="0"/>
    <n v="0"/>
    <n v="1576.5959011960222"/>
    <n v="0"/>
    <n v="0"/>
    <n v="0"/>
    <n v="95521"/>
    <n v="0"/>
    <n v="0"/>
    <n v="0"/>
    <n v="0"/>
    <n v="0"/>
    <n v="0"/>
    <n v="-1.6505190168174384E-2"/>
    <n v="1"/>
    <m/>
    <s v="Chautham"/>
    <m/>
    <n v="0"/>
  </r>
  <r>
    <s v="Munger"/>
    <s v="03-09 Apr"/>
    <n v="1056"/>
    <s v="Chautham"/>
    <x v="796"/>
    <s v="Gomukh Debka Vlc"/>
    <s v="vlc"/>
    <s v="Indirect"/>
    <n v="108.97999999999999"/>
    <n v="4586.17"/>
    <n v="0"/>
    <n v="0"/>
    <n v="0"/>
    <n v="0"/>
    <n v="0"/>
    <n v="0"/>
    <n v="4586.17"/>
    <n v="0"/>
    <n v="0"/>
    <n v="0"/>
    <n v="0"/>
    <n v="0"/>
    <n v="0"/>
    <n v="0"/>
    <n v="0"/>
    <n v="4586.17"/>
    <n v="0"/>
    <n v="0"/>
    <n v="497.43406008441917"/>
    <n v="15.568571428571428"/>
    <n v="0"/>
    <n v="0"/>
    <m/>
    <s v="Chautham"/>
    <m/>
    <n v="0"/>
  </r>
  <r>
    <s v="Munger"/>
    <s v="03-09 Apr"/>
    <n v="1056"/>
    <s v="Chautham"/>
    <x v="797"/>
    <s v="Gomukh Azad Nagar"/>
    <s v="MPG"/>
    <s v="Direct"/>
    <n v="1057.3599999999999"/>
    <n v="39781.21"/>
    <n v="1073.78"/>
    <n v="41412.180577649306"/>
    <n v="0"/>
    <n v="0"/>
    <n v="1073.78"/>
    <n v="41412.180577649306"/>
    <n v="39781.21"/>
    <n v="0"/>
    <n v="0"/>
    <n v="1630.9705776493065"/>
    <n v="0"/>
    <n v="0"/>
    <n v="0"/>
    <n v="39781"/>
    <n v="0"/>
    <n v="0"/>
    <n v="0"/>
    <n v="0"/>
    <n v="0"/>
    <n v="0"/>
    <n v="-4.0998516074531331E-2"/>
    <n v="16"/>
    <m/>
    <s v="Chautham"/>
    <m/>
    <n v="0"/>
  </r>
  <r>
    <s v="Munger"/>
    <s v="03-09 Apr"/>
    <n v="1056"/>
    <s v="Chautham"/>
    <x v="798"/>
    <s v="Gomukh Purani Hrdia"/>
    <s v="MPG"/>
    <s v="Direct"/>
    <n v="524.76"/>
    <n v="20658.27"/>
    <n v="524.84"/>
    <n v="20661.306906992399"/>
    <n v="0"/>
    <n v="0"/>
    <n v="524.84"/>
    <n v="20661.306906992399"/>
    <n v="20658.27"/>
    <n v="0"/>
    <n v="0"/>
    <n v="3.0369069923981442"/>
    <n v="0"/>
    <n v="0"/>
    <n v="0"/>
    <n v="20658"/>
    <n v="0"/>
    <n v="0"/>
    <n v="0"/>
    <n v="0"/>
    <n v="137.97374932540592"/>
    <n v="74.965714285714284"/>
    <n v="-1.4700683999183592E-4"/>
    <n v="1"/>
    <m/>
    <s v="Chautham"/>
    <m/>
    <n v="0"/>
  </r>
  <r>
    <s v="Munger"/>
    <s v="03-09 Apr"/>
    <n v="1056"/>
    <s v="Chautham"/>
    <x v="799"/>
    <s v="Gomukh Uttari Hardia"/>
    <s v="MPG"/>
    <s v="Direct"/>
    <n v="311.88"/>
    <n v="12017.259999999998"/>
    <n v="311.84000000000003"/>
    <n v="12219.554384397001"/>
    <n v="0"/>
    <n v="0"/>
    <n v="311.84000000000003"/>
    <n v="12219.554384397001"/>
    <n v="12017.259999999998"/>
    <n v="0"/>
    <n v="0"/>
    <n v="202.29438439700243"/>
    <n v="0"/>
    <n v="0"/>
    <n v="0"/>
    <n v="12017"/>
    <n v="0"/>
    <n v="0"/>
    <n v="0"/>
    <n v="0"/>
    <n v="299.09830391176087"/>
    <n v="44.554285714285712"/>
    <n v="-1.6833652962239518E-2"/>
    <n v="1"/>
    <m/>
    <s v="Chautham"/>
    <m/>
    <n v="0"/>
  </r>
  <r>
    <s v="Munger"/>
    <s v="03-09 Apr"/>
    <n v="1056"/>
    <s v="Chautham"/>
    <x v="800"/>
    <s v="Gomukh Murli"/>
    <s v="MPG"/>
    <s v="Direct"/>
    <n v="145.91999999999999"/>
    <n v="6046.79"/>
    <n v="145.91999999999999"/>
    <n v="5919.8606280302138"/>
    <n v="0"/>
    <n v="0"/>
    <n v="145.91999999999999"/>
    <n v="5919.8606280302138"/>
    <n v="5919.8606280302138"/>
    <n v="0"/>
    <n v="0"/>
    <n v="0"/>
    <n v="0"/>
    <n v="0"/>
    <n v="0"/>
    <n v="5920"/>
    <n v="0"/>
    <n v="0"/>
    <n v="127"/>
    <n v="0"/>
    <n v="459.21126688596502"/>
    <n v="20.845714285714283"/>
    <n v="2.0991198961727825E-2"/>
    <n v="1"/>
    <m/>
    <s v="Chautham"/>
    <m/>
    <n v="0"/>
  </r>
  <r>
    <s v="Munger"/>
    <s v="03-09 Apr"/>
    <n v="1056"/>
    <s v="Chautham"/>
    <x v="801"/>
    <s v="Gomukh Nirpur Keshv Nagar"/>
    <s v="MPG"/>
    <s v="Direct"/>
    <n v="559.90000000000009"/>
    <n v="19080.52"/>
    <n v="593.46999999999991"/>
    <n v="21208.296278030404"/>
    <n v="0"/>
    <n v="0"/>
    <n v="593.46999999999991"/>
    <n v="21208.296278030404"/>
    <n v="19080.52"/>
    <n v="0"/>
    <n v="0"/>
    <n v="2127.7762780304038"/>
    <n v="0"/>
    <n v="0"/>
    <n v="0"/>
    <n v="19081"/>
    <n v="0"/>
    <n v="0"/>
    <n v="0"/>
    <n v="0"/>
    <n v="95.487796106447519"/>
    <n v="79.985714285714295"/>
    <n v="-0.11151563364260532"/>
    <n v="1"/>
    <m/>
    <s v="Chautham"/>
    <m/>
    <n v="0"/>
  </r>
  <r>
    <s v="Munger"/>
    <s v="03-09 Apr"/>
    <n v="1056"/>
    <s v="Chautham"/>
    <x v="802"/>
    <s v="Gomukh Pansalwa Wad-10 Vlc"/>
    <s v="vlc"/>
    <s v="Indirect"/>
    <n v="502.52000000000004"/>
    <n v="15653.520000000002"/>
    <n v="0"/>
    <n v="0"/>
    <n v="0"/>
    <n v="0"/>
    <n v="0"/>
    <n v="0"/>
    <n v="15653.520000000002"/>
    <n v="0"/>
    <n v="0"/>
    <n v="0"/>
    <n v="0"/>
    <n v="0"/>
    <n v="0"/>
    <n v="0"/>
    <n v="0"/>
    <n v="15653.520000000002"/>
    <n v="0"/>
    <n v="0"/>
    <n v="123.03021291092891"/>
    <n v="71.78857142857143"/>
    <n v="0"/>
    <n v="0"/>
    <m/>
    <s v="Chautham"/>
    <m/>
    <n v="0"/>
  </r>
  <r>
    <s v="Munger"/>
    <s v="03-09 Apr"/>
    <n v="1056"/>
    <s v="Chautham"/>
    <x v="1014"/>
    <s v="Gomukh Thuthi Vlc"/>
    <s v="vlc"/>
    <s v="Direct"/>
    <n v="7.52"/>
    <n v="231.62"/>
    <n v="7.5"/>
    <n v="232.85533590000003"/>
    <n v="0"/>
    <n v="0"/>
    <n v="7.5"/>
    <n v="232.85533590000003"/>
    <n v="231.62"/>
    <n v="0"/>
    <n v="0"/>
    <n v="1.2353359000000239"/>
    <n v="0"/>
    <n v="0"/>
    <n v="0"/>
    <n v="232"/>
    <n v="0"/>
    <n v="0"/>
    <n v="0"/>
    <n v="0"/>
    <n v="426.57504680851071"/>
    <n v="1.0742857142857143"/>
    <n v="-5.3334595458078915E-3"/>
    <n v="1"/>
    <m/>
    <s v="Chautham"/>
    <m/>
    <n v="0"/>
  </r>
  <r>
    <s v="Munger"/>
    <s v="03-09 Apr"/>
    <n v="1056"/>
    <s v="Chautham"/>
    <x v="803"/>
    <s v="Gomukh Nawadai Vlc"/>
    <s v="vlc"/>
    <s v="Indirect"/>
    <n v="228.42"/>
    <n v="8045.7000000000007"/>
    <n v="0"/>
    <n v="0"/>
    <n v="0"/>
    <n v="0"/>
    <n v="0"/>
    <n v="0"/>
    <n v="8045.7000000000007"/>
    <n v="0"/>
    <n v="0"/>
    <n v="0"/>
    <n v="0"/>
    <n v="0"/>
    <n v="0"/>
    <n v="0"/>
    <n v="0"/>
    <n v="8045.7000000000007"/>
    <n v="0"/>
    <n v="0"/>
    <n v="332.21182085631739"/>
    <n v="32.631428571428572"/>
    <n v="0"/>
    <n v="0"/>
    <m/>
    <s v="Chautham"/>
    <m/>
    <n v="0"/>
  </r>
  <r>
    <s v="Munger"/>
    <s v="03-09 Apr"/>
    <n v="1056"/>
    <s v="Chautham"/>
    <x v="1015"/>
    <s v="Gomukh Kharra Basa"/>
    <s v="MPG"/>
    <s v="Direct"/>
    <n v="94.660000000000011"/>
    <n v="3460.3299999999995"/>
    <n v="154.71"/>
    <n v="5655.8674404540006"/>
    <n v="0"/>
    <n v="0"/>
    <n v="154.71"/>
    <n v="5655.8674404540006"/>
    <n v="3460.3299999999995"/>
    <n v="0"/>
    <n v="0"/>
    <n v="2195.5374404540012"/>
    <n v="0"/>
    <n v="0"/>
    <n v="0"/>
    <n v="3460"/>
    <n v="0"/>
    <n v="0"/>
    <n v="0"/>
    <n v="0"/>
    <n v="442.56838415381344"/>
    <n v="13.522857142857145"/>
    <n v="-0.63448787845494548"/>
    <n v="1"/>
    <m/>
    <s v="Chautham"/>
    <m/>
    <n v="0"/>
  </r>
  <r>
    <s v="Munger"/>
    <s v="03-09 Apr"/>
    <n v="1056"/>
    <s v="Chautham"/>
    <x v="1016"/>
    <s v="Gomukh Bangalia"/>
    <s v="MPG"/>
    <s v="Direct"/>
    <n v="18"/>
    <n v="734.06"/>
    <n v="18.3"/>
    <n v="746.3617326000001"/>
    <n v="0"/>
    <n v="0"/>
    <n v="18.3"/>
    <n v="746.3617326000001"/>
    <n v="734.06"/>
    <n v="0"/>
    <n v="0"/>
    <n v="12.30173260000015"/>
    <n v="0"/>
    <n v="0"/>
    <n v="0"/>
    <n v="734"/>
    <n v="0"/>
    <n v="0"/>
    <n v="0"/>
    <n v="0"/>
    <n v="556.25435555555555"/>
    <n v="2.5714285714285716"/>
    <n v="-1.6758483775168448E-2"/>
    <n v="1"/>
    <m/>
    <s v="Chautham"/>
    <m/>
    <n v="0"/>
  </r>
  <r>
    <s v="Munger"/>
    <s v="03-09 Apr"/>
    <n v="1056"/>
    <s v="Chautham"/>
    <x v="1017"/>
    <s v="Gomukh Soharba Purvi"/>
    <s v="MPG"/>
    <s v="Direct"/>
    <n v="9.3000000000000007"/>
    <n v="315.06"/>
    <n v="20.28"/>
    <n v="692.11093249980001"/>
    <n v="0"/>
    <n v="0"/>
    <n v="20.28"/>
    <n v="692.11093249980001"/>
    <n v="315.06"/>
    <n v="0"/>
    <n v="0"/>
    <n v="377.05093249980001"/>
    <n v="0"/>
    <n v="0"/>
    <n v="0"/>
    <n v="315"/>
    <n v="0"/>
    <n v="0"/>
    <n v="0"/>
    <n v="0"/>
    <n v="467.98267096774197"/>
    <n v="1.3285714285714287"/>
    <n v="-1.1967591331803467"/>
    <n v="1"/>
    <m/>
    <s v="Chautham"/>
    <m/>
    <n v="0"/>
  </r>
  <r>
    <s v="Munger"/>
    <s v="03-09 Apr"/>
    <n v="1057"/>
    <s v="Warisnagar"/>
    <x v="804"/>
    <s v="Karian"/>
    <s v="MPG"/>
    <s v="Direct"/>
    <n v="100.29999999999998"/>
    <n v="4285.16"/>
    <n v="100.30000000000001"/>
    <n v="4290.8773077008"/>
    <n v="0"/>
    <n v="0"/>
    <n v="100.30000000000001"/>
    <n v="4290.8773077008"/>
    <n v="4285.16"/>
    <n v="0"/>
    <n v="0"/>
    <n v="5.7173077008001201"/>
    <n v="0"/>
    <n v="0"/>
    <n v="0"/>
    <n v="4285"/>
    <n v="0"/>
    <n v="0"/>
    <n v="0"/>
    <n v="0"/>
    <n v="512.42481595214372"/>
    <n v="14.328571428571426"/>
    <n v="-1.334211021478806E-3"/>
    <n v="1"/>
    <m/>
    <s v="Warisnagar"/>
    <m/>
    <n v="0"/>
  </r>
  <r>
    <s v="Munger"/>
    <s v="03-09 Apr"/>
    <n v="1057"/>
    <s v="Warisnagar"/>
    <x v="805"/>
    <s v="Teghara"/>
    <s v="MPG"/>
    <s v="Direct"/>
    <n v="191.10000000000002"/>
    <n v="7559.9900000000016"/>
    <n v="191.09999999999997"/>
    <n v="7559.9805916800005"/>
    <n v="0"/>
    <n v="0"/>
    <n v="191.09999999999997"/>
    <n v="7559.9805916800005"/>
    <n v="7559.9805916800005"/>
    <n v="0"/>
    <n v="0"/>
    <n v="0"/>
    <n v="0"/>
    <n v="0"/>
    <n v="0"/>
    <n v="7560"/>
    <n v="0"/>
    <n v="0"/>
    <n v="0"/>
    <n v="0"/>
    <n v="402.6456212454213"/>
    <n v="27.300000000000004"/>
    <n v="1.2444884187753276E-6"/>
    <n v="1"/>
    <m/>
    <s v="Warisnagar"/>
    <m/>
    <n v="0"/>
  </r>
  <r>
    <s v="Munger"/>
    <s v="03-09 Apr"/>
    <n v="1057"/>
    <s v="Warisnagar"/>
    <x v="806"/>
    <s v="Basantpur"/>
    <s v="MPG"/>
    <s v="Direct"/>
    <n v="3270.5100000000007"/>
    <n v="134534.24"/>
    <n v="2019.7"/>
    <n v="86036.061252754414"/>
    <n v="1250.8"/>
    <n v="48505.556766364505"/>
    <n v="3270.5"/>
    <n v="134541.61801911891"/>
    <n v="134534.24"/>
    <n v="0"/>
    <n v="0"/>
    <n v="7.3780191189143807"/>
    <n v="0"/>
    <n v="0"/>
    <n v="0"/>
    <n v="86028"/>
    <n v="48506"/>
    <n v="0"/>
    <n v="0"/>
    <n v="0"/>
    <n v="0"/>
    <n v="0"/>
    <n v="-5.4841199674628413E-5"/>
    <n v="2"/>
    <m/>
    <s v="Warisnagar"/>
    <m/>
    <n v="0"/>
  </r>
  <r>
    <s v="Munger"/>
    <s v="03-09 Apr"/>
    <n v="1057"/>
    <s v="Warisnagar"/>
    <x v="807"/>
    <s v="Chakoti"/>
    <s v="MPG"/>
    <s v="Direct"/>
    <n v="1636.3"/>
    <n v="60559.310000000005"/>
    <n v="131.1"/>
    <n v="4900.4898244322512"/>
    <n v="1505.3"/>
    <n v="55626.0028774522"/>
    <n v="1636.3999999999999"/>
    <n v="60526.492701884454"/>
    <n v="60526.492701884454"/>
    <n v="0"/>
    <n v="937.10904884400009"/>
    <n v="0"/>
    <n v="0"/>
    <n v="0"/>
    <n v="0"/>
    <n v="4900"/>
    <n v="54689"/>
    <n v="0"/>
    <n v="33"/>
    <n v="0"/>
    <n v="0"/>
    <n v="0"/>
    <n v="5.4190343508787062E-4"/>
    <n v="16"/>
    <m/>
    <s v="Warisnagar"/>
    <m/>
    <n v="0"/>
  </r>
  <r>
    <s v="Munger"/>
    <s v="03-09 Apr"/>
    <n v="1057"/>
    <s v="Warisnagar"/>
    <x v="808"/>
    <s v="Nathudawar"/>
    <s v="MPG"/>
    <s v="Direct"/>
    <n v="777.70000000000027"/>
    <n v="28916.87"/>
    <n v="776"/>
    <n v="28687.455675648001"/>
    <n v="1.8"/>
    <n v="131.1562279206"/>
    <n v="777.8"/>
    <n v="28818.611903568602"/>
    <n v="28818.611903568602"/>
    <n v="0"/>
    <n v="0"/>
    <n v="0"/>
    <n v="0"/>
    <n v="0"/>
    <n v="0"/>
    <n v="28687"/>
    <n v="131"/>
    <n v="0"/>
    <n v="99"/>
    <n v="0"/>
    <n v="0"/>
    <n v="0"/>
    <n v="3.3979506229891601E-3"/>
    <n v="2"/>
    <m/>
    <s v="Warisnagar"/>
    <m/>
    <n v="0"/>
  </r>
  <r>
    <s v="Munger"/>
    <s v="03-09 Apr"/>
    <n v="1057"/>
    <s v="Warisnagar"/>
    <x v="809"/>
    <s v="Purnahi"/>
    <s v="vlc"/>
    <s v="Indirect"/>
    <n v="1123.3000000000002"/>
    <n v="39345.520000000004"/>
    <n v="0"/>
    <n v="0"/>
    <n v="0"/>
    <n v="0"/>
    <n v="0"/>
    <n v="0"/>
    <n v="39345.520000000004"/>
    <n v="0"/>
    <n v="0"/>
    <n v="0"/>
    <n v="0"/>
    <n v="0"/>
    <n v="0"/>
    <n v="0"/>
    <n v="0"/>
    <n v="39345.520000000004"/>
    <n v="0"/>
    <n v="0"/>
    <n v="0"/>
    <n v="0"/>
    <n v="0"/>
    <n v="0"/>
    <m/>
    <s v="Warisnagar"/>
    <m/>
    <n v="0"/>
  </r>
  <r>
    <s v="Munger"/>
    <s v="03-09 Apr"/>
    <n v="1057"/>
    <s v="Warisnagar"/>
    <x v="810"/>
    <s v="Baghopur "/>
    <s v="vlc"/>
    <s v="Indirect"/>
    <n v="732.1"/>
    <n v="28237.590000000004"/>
    <n v="0"/>
    <n v="0"/>
    <n v="0"/>
    <n v="0"/>
    <n v="0"/>
    <n v="0"/>
    <n v="28237.590000000004"/>
    <n v="0"/>
    <n v="0"/>
    <n v="0"/>
    <n v="0"/>
    <n v="0"/>
    <n v="0"/>
    <n v="0"/>
    <n v="0"/>
    <n v="28237.590000000004"/>
    <n v="0"/>
    <n v="0"/>
    <n v="0"/>
    <n v="0"/>
    <n v="0"/>
    <n v="0"/>
    <m/>
    <s v="Warisnagar"/>
    <m/>
    <n v="0"/>
  </r>
  <r>
    <s v="Munger"/>
    <s v="03-09 Apr"/>
    <n v="1057"/>
    <s v="Warisnagar"/>
    <x v="811"/>
    <s v="Sadipur Bathnaha"/>
    <s v="vlc"/>
    <s v="Indirect"/>
    <n v="599.40000000000009"/>
    <n v="23916.49"/>
    <n v="0"/>
    <n v="0"/>
    <n v="0"/>
    <n v="0"/>
    <n v="0"/>
    <n v="0"/>
    <n v="23916.49"/>
    <n v="0"/>
    <n v="0"/>
    <n v="0"/>
    <n v="0"/>
    <n v="0"/>
    <n v="0"/>
    <n v="0"/>
    <n v="0"/>
    <n v="23916.49"/>
    <n v="0"/>
    <n v="0"/>
    <n v="80.280243376709933"/>
    <n v="85.628571428571448"/>
    <n v="0"/>
    <n v="0"/>
    <m/>
    <s v="Warisnagar"/>
    <m/>
    <n v="0"/>
  </r>
  <r>
    <s v="Munger"/>
    <s v="03-09 Apr"/>
    <n v="1057"/>
    <s v="Warisnagar"/>
    <x v="812"/>
    <s v="PARORIYA"/>
    <s v="vlc"/>
    <s v="Indirect"/>
    <n v="1473.5"/>
    <n v="51054.6"/>
    <n v="0"/>
    <n v="0"/>
    <n v="0"/>
    <n v="0"/>
    <n v="0"/>
    <n v="0"/>
    <n v="51054.6"/>
    <n v="0"/>
    <n v="0"/>
    <n v="0"/>
    <n v="0"/>
    <n v="0"/>
    <n v="0"/>
    <n v="0"/>
    <n v="0"/>
    <n v="51054.6"/>
    <n v="0"/>
    <n v="0"/>
    <n v="0"/>
    <n v="0"/>
    <n v="0"/>
    <n v="0"/>
    <m/>
    <s v="Warisnagar"/>
    <m/>
    <n v="0"/>
  </r>
  <r>
    <s v="Munger"/>
    <s v="03-09 Apr"/>
    <n v="1057"/>
    <s v="Warisnagar"/>
    <x v="813"/>
    <s v="Dewanpur"/>
    <s v="MPG"/>
    <s v="Direct"/>
    <n v="141.29999999999998"/>
    <n v="6211.9100000000008"/>
    <n v="102.50000000000003"/>
    <n v="4621.9518176763004"/>
    <n v="35.799999999999997"/>
    <n v="1720.3710789948852"/>
    <n v="138.30000000000001"/>
    <n v="6342.3228966711858"/>
    <n v="6211.9100000000008"/>
    <n v="0"/>
    <n v="26.812446535550002"/>
    <n v="130.41289667118508"/>
    <n v="0"/>
    <n v="0"/>
    <n v="0"/>
    <n v="4491"/>
    <n v="1694"/>
    <n v="0"/>
    <n v="0"/>
    <n v="0"/>
    <n v="491.23766694975245"/>
    <n v="20.185714285714283"/>
    <n v="-2.0994009358021135E-2"/>
    <n v="11"/>
    <m/>
    <s v="Warisnagar"/>
    <m/>
    <n v="0"/>
  </r>
  <r>
    <s v="Munger"/>
    <s v="03-09 Apr"/>
    <n v="1057"/>
    <s v="Warisnagar"/>
    <x v="814"/>
    <s v="Gohi"/>
    <s v="MPG"/>
    <s v="Direct"/>
    <n v="433.40000000000003"/>
    <n v="17036.419999999998"/>
    <n v="28.7"/>
    <n v="1069.6963585770002"/>
    <n v="402.7"/>
    <n v="15778.678109563902"/>
    <n v="431.4"/>
    <n v="16848.374468140901"/>
    <n v="16848.374468140901"/>
    <n v="0"/>
    <n v="315.43480222800002"/>
    <n v="0"/>
    <n v="0"/>
    <n v="0"/>
    <n v="0"/>
    <n v="1070"/>
    <n v="15462"/>
    <n v="0"/>
    <n v="189"/>
    <n v="0"/>
    <n v="209.59435034610053"/>
    <n v="61.914285714285718"/>
    <n v="1.1037854893169901E-2"/>
    <n v="13"/>
    <m/>
    <s v="Warisnagar"/>
    <m/>
    <n v="0"/>
  </r>
  <r>
    <s v="Munger"/>
    <s v="03-09 Apr"/>
    <n v="1057"/>
    <s v="Warisnagar"/>
    <x v="815"/>
    <s v="Matua"/>
    <s v="MPG"/>
    <s v="Direct"/>
    <n v="747"/>
    <n v="31628.320000000003"/>
    <n v="268.7"/>
    <n v="11762.45960420645"/>
    <n v="487.29999999999995"/>
    <n v="19680.472707885285"/>
    <n v="756"/>
    <n v="31442.932312091732"/>
    <n v="31442.932312091732"/>
    <n v="0"/>
    <n v="106.46268557680003"/>
    <n v="0"/>
    <n v="0"/>
    <n v="0"/>
    <n v="0"/>
    <n v="11762"/>
    <n v="19574"/>
    <n v="0"/>
    <n v="186"/>
    <n v="0"/>
    <n v="0"/>
    <n v="0"/>
    <n v="5.8614459417468548E-3"/>
    <n v="7"/>
    <m/>
    <s v="Warisnagar"/>
    <m/>
    <n v="0"/>
  </r>
  <r>
    <s v="Munger"/>
    <s v="03-09 Apr"/>
    <n v="1057"/>
    <s v="Warisnagar"/>
    <x v="816"/>
    <s v="Ratni Chouk"/>
    <s v="MPG"/>
    <s v="Direct"/>
    <n v="398.9"/>
    <n v="23337.870000000003"/>
    <n v="398.7"/>
    <n v="23326.932001224402"/>
    <n v="0"/>
    <n v="0"/>
    <n v="398.7"/>
    <n v="23326.932001224402"/>
    <n v="23326.932001224402"/>
    <n v="0"/>
    <n v="0"/>
    <n v="0"/>
    <n v="0"/>
    <n v="0"/>
    <n v="0"/>
    <n v="23327"/>
    <n v="0"/>
    <n v="0"/>
    <n v="11"/>
    <n v="0"/>
    <n v="352.32051426422674"/>
    <n v="56.98571428571428"/>
    <n v="4.6868025126543827E-4"/>
    <n v="1"/>
    <m/>
    <s v="Warisnagar"/>
    <m/>
    <n v="0"/>
  </r>
  <r>
    <s v="Munger"/>
    <s v="03-09 Apr"/>
    <n v="1057"/>
    <s v="Warisnagar"/>
    <x v="817"/>
    <s v="Balahi 2"/>
    <s v="MPG"/>
    <s v="Direct"/>
    <n v="593"/>
    <n v="21374.01"/>
    <n v="496.30000000000007"/>
    <n v="17864.657175173761"/>
    <n v="98.3"/>
    <n v="3930.9759454552"/>
    <n v="594.6"/>
    <n v="21795.633120628961"/>
    <n v="21374.01"/>
    <n v="0"/>
    <n v="104.11912605600001"/>
    <n v="421.62312062896308"/>
    <n v="0"/>
    <n v="0"/>
    <n v="0"/>
    <n v="17443"/>
    <n v="3827"/>
    <n v="0"/>
    <n v="0"/>
    <n v="0"/>
    <n v="77.133864080944392"/>
    <n v="84.714285714285708"/>
    <n v="-1.9725971899000848E-2"/>
    <n v="13"/>
    <m/>
    <s v="Warisnagar"/>
    <m/>
    <n v="0"/>
  </r>
  <r>
    <s v="Munger"/>
    <s v="03-09 Apr"/>
    <n v="1057"/>
    <s v="Warisnagar"/>
    <x v="818"/>
    <s v="Chandauli"/>
    <s v="vlc"/>
    <s v="Indirect"/>
    <n v="510.5"/>
    <n v="22345.67"/>
    <n v="0"/>
    <n v="0"/>
    <n v="0"/>
    <n v="0"/>
    <n v="0"/>
    <n v="0"/>
    <n v="22345.67"/>
    <n v="0"/>
    <n v="0"/>
    <n v="0"/>
    <n v="0"/>
    <n v="0"/>
    <n v="0"/>
    <n v="0"/>
    <n v="0"/>
    <n v="22345.67"/>
    <n v="0"/>
    <n v="0"/>
    <n v="165.8963551420176"/>
    <n v="72.928571428571431"/>
    <n v="0"/>
    <n v="0"/>
    <m/>
    <s v="Warisnagar"/>
    <m/>
    <n v="0"/>
  </r>
  <r>
    <s v="Munger"/>
    <s v="03-09 Apr"/>
    <n v="1057"/>
    <s v="Warisnagar"/>
    <x v="819"/>
    <s v="Gulabi Choak"/>
    <s v="vlc"/>
    <s v="Indirect"/>
    <n v="981.70000000000016"/>
    <n v="35374.450000000004"/>
    <n v="0"/>
    <n v="0"/>
    <n v="0"/>
    <n v="0"/>
    <n v="0"/>
    <n v="0"/>
    <n v="35374.450000000004"/>
    <n v="0"/>
    <n v="0"/>
    <n v="0"/>
    <n v="0"/>
    <n v="0"/>
    <n v="0"/>
    <n v="0"/>
    <n v="0"/>
    <n v="35374.450000000004"/>
    <n v="0"/>
    <n v="0"/>
    <n v="0"/>
    <n v="0"/>
    <n v="0"/>
    <n v="0"/>
    <m/>
    <s v="Warisnagar"/>
    <m/>
    <n v="0"/>
  </r>
  <r>
    <s v="Munger"/>
    <s v="03-09 Apr"/>
    <n v="1057"/>
    <s v="Warisnagar"/>
    <x v="820"/>
    <s v="Satmalpur"/>
    <s v="vlc"/>
    <s v="Indirect"/>
    <n v="1688.4"/>
    <n v="64697.66"/>
    <n v="0"/>
    <n v="0"/>
    <n v="0"/>
    <n v="0"/>
    <n v="0"/>
    <n v="0"/>
    <n v="64697.66"/>
    <n v="0"/>
    <n v="0"/>
    <n v="0"/>
    <n v="0"/>
    <n v="0"/>
    <n v="0"/>
    <n v="0"/>
    <n v="0"/>
    <n v="64697.66"/>
    <n v="0"/>
    <n v="0"/>
    <n v="0"/>
    <n v="0"/>
    <n v="0"/>
    <n v="0"/>
    <m/>
    <s v="Warisnagar"/>
    <m/>
    <n v="0"/>
  </r>
  <r>
    <s v="Munger"/>
    <s v="03-09 Apr"/>
    <n v="1057"/>
    <s v="Warisnagar"/>
    <x v="821"/>
    <s v="Chhatnesar"/>
    <s v="vlc"/>
    <s v="Indirect"/>
    <n v="352.6"/>
    <n v="12826.670000000002"/>
    <n v="0"/>
    <n v="0"/>
    <n v="0"/>
    <n v="0"/>
    <n v="0"/>
    <n v="0"/>
    <n v="12826.670000000002"/>
    <n v="0"/>
    <n v="0"/>
    <n v="0"/>
    <n v="0"/>
    <n v="0"/>
    <n v="0"/>
    <n v="0"/>
    <n v="0"/>
    <n v="12826.670000000002"/>
    <n v="0"/>
    <n v="0"/>
    <n v="252.75015076574022"/>
    <n v="50.371428571428574"/>
    <n v="0"/>
    <n v="0"/>
    <m/>
    <s v="Warisnagar"/>
    <m/>
    <n v="0"/>
  </r>
  <r>
    <s v="Munger"/>
    <s v="03-09 Apr"/>
    <n v="1057"/>
    <s v="Warisnagar"/>
    <x v="822"/>
    <s v="Chhatnesar 2"/>
    <s v="MPG"/>
    <s v="Direct"/>
    <n v="373.7"/>
    <n v="13764.16"/>
    <n v="292.29999999999995"/>
    <n v="10811.074536537002"/>
    <n v="81.900000000000006"/>
    <n v="3008.5950515520003"/>
    <n v="374.19999999999993"/>
    <n v="13819.669588089002"/>
    <n v="13764.16"/>
    <n v="0"/>
    <n v="0"/>
    <n v="55.509588089002136"/>
    <n v="0"/>
    <n v="0"/>
    <n v="0"/>
    <n v="10756"/>
    <n v="3008"/>
    <n v="0"/>
    <n v="0"/>
    <n v="0"/>
    <n v="240.36635846936045"/>
    <n v="53.385714285714286"/>
    <n v="-4.032907790159526E-3"/>
    <n v="3"/>
    <m/>
    <s v="Warisnagar"/>
    <m/>
    <n v="0"/>
  </r>
  <r>
    <s v="Munger"/>
    <s v="03-09 Apr"/>
    <n v="1057"/>
    <s v="Warisnagar"/>
    <x v="823"/>
    <s v="Hajpurwa"/>
    <s v="MPG"/>
    <s v="Direct"/>
    <n v="338.3"/>
    <n v="13033.66"/>
    <n v="336.29999999999995"/>
    <n v="12969.326346510004"/>
    <n v="2"/>
    <n v="58.926756240000003"/>
    <n v="338.29999999999995"/>
    <n v="13028.253102750004"/>
    <n v="13028.253102750004"/>
    <n v="0"/>
    <n v="0"/>
    <n v="0"/>
    <n v="0"/>
    <n v="0"/>
    <n v="0"/>
    <n v="12969"/>
    <n v="59"/>
    <n v="0"/>
    <n v="6"/>
    <n v="0"/>
    <n v="278.70380266036062"/>
    <n v="48.328571428571429"/>
    <n v="4.1484105385558481E-4"/>
    <n v="2"/>
    <m/>
    <s v="Warisnagar"/>
    <m/>
    <n v="0"/>
  </r>
  <r>
    <s v="Munger"/>
    <s v="03-09 Apr"/>
    <n v="1057"/>
    <s v="Warisnagar"/>
    <x v="824"/>
    <s v="Shekhopur"/>
    <s v="MPG"/>
    <s v="Direct"/>
    <n v="414.9"/>
    <n v="14377.009999999998"/>
    <n v="409.5"/>
    <n v="14229.571419360002"/>
    <n v="0"/>
    <n v="0"/>
    <n v="409.5"/>
    <n v="14229.571419360002"/>
    <n v="14229.571419360002"/>
    <n v="0"/>
    <n v="0"/>
    <n v="0"/>
    <n v="0"/>
    <n v="0"/>
    <n v="0"/>
    <n v="14230"/>
    <n v="0"/>
    <n v="0"/>
    <n v="147"/>
    <n v="0"/>
    <n v="197.58426372619911"/>
    <n v="59.271428571428565"/>
    <n v="1.0255162974776875E-2"/>
    <n v="1"/>
    <m/>
    <s v="Warisnagar"/>
    <m/>
    <n v="0"/>
  </r>
  <r>
    <s v="Munger"/>
    <s v="03-09 Apr"/>
    <n v="1057"/>
    <s v="Warisnagar"/>
    <x v="825"/>
    <s v="Dharampur"/>
    <s v="MPG"/>
    <s v="Direct"/>
    <n v="184.8"/>
    <n v="7461.2000000000007"/>
    <n v="185.19999999999993"/>
    <n v="7406.8699680819991"/>
    <n v="1.2"/>
    <n v="48.260527920000008"/>
    <n v="186.39999999999992"/>
    <n v="7455.1304960019988"/>
    <n v="7455.1304960019988"/>
    <n v="0"/>
    <n v="48.260527920000008"/>
    <n v="0"/>
    <n v="0"/>
    <n v="0"/>
    <n v="0"/>
    <n v="7407"/>
    <n v="0"/>
    <n v="0"/>
    <n v="6"/>
    <n v="0"/>
    <n v="416.01842424242415"/>
    <n v="26.400000000000002"/>
    <n v="8.1347558006780295E-4"/>
    <n v="2"/>
    <m/>
    <s v="Warisnagar"/>
    <m/>
    <n v="0"/>
  </r>
  <r>
    <s v="Munger"/>
    <s v="03-09 Apr"/>
    <n v="1057"/>
    <s v="Warisnagar"/>
    <x v="826"/>
    <s v="Chatnesar Pachiam"/>
    <s v="vlc"/>
    <s v="Indirect"/>
    <n v="316.89999999999998"/>
    <n v="13093.25"/>
    <n v="0"/>
    <n v="0"/>
    <n v="0"/>
    <n v="0"/>
    <n v="0"/>
    <n v="0"/>
    <n v="13093.25"/>
    <n v="0"/>
    <n v="0"/>
    <n v="0"/>
    <n v="0"/>
    <n v="0"/>
    <n v="0"/>
    <n v="0"/>
    <n v="0"/>
    <n v="13093.25"/>
    <n v="0"/>
    <n v="0"/>
    <n v="316.56825970337655"/>
    <n v="45.271428571428565"/>
    <n v="0"/>
    <n v="0"/>
    <m/>
    <s v="Warisnagar"/>
    <m/>
    <n v="0"/>
  </r>
  <r>
    <s v="Munger"/>
    <s v="03-09 Apr"/>
    <n v="1057"/>
    <s v="Warisnagar"/>
    <x v="827"/>
    <s v="Hajpurwa Pachim"/>
    <s v="MPG"/>
    <s v="Direct"/>
    <n v="247.29999999999998"/>
    <n v="10329.14"/>
    <n v="247.70000000000002"/>
    <n v="10371.825097250643"/>
    <n v="0"/>
    <n v="0"/>
    <n v="247.70000000000002"/>
    <n v="10371.825097250643"/>
    <n v="10329.14"/>
    <n v="0"/>
    <n v="0"/>
    <n v="42.685097250643594"/>
    <n v="0"/>
    <n v="0"/>
    <n v="0"/>
    <n v="10329"/>
    <n v="0"/>
    <n v="0"/>
    <n v="0"/>
    <n v="0"/>
    <n v="378.16430877476751"/>
    <n v="35.328571428571429"/>
    <n v="-4.1324928552274051E-3"/>
    <n v="1"/>
    <m/>
    <s v="Warisnagar"/>
    <m/>
    <n v="0"/>
  </r>
  <r>
    <s v="Munger"/>
    <s v="03-09 Apr"/>
    <n v="1057"/>
    <s v="Warisnagar"/>
    <x v="828"/>
    <s v="Almasnagar"/>
    <s v="vlc"/>
    <s v="Indirect"/>
    <n v="349.3"/>
    <n v="12451.57"/>
    <n v="0"/>
    <n v="0"/>
    <n v="0"/>
    <n v="0"/>
    <n v="0"/>
    <n v="0"/>
    <n v="12451.57"/>
    <n v="0"/>
    <n v="0"/>
    <n v="0"/>
    <n v="0"/>
    <n v="0"/>
    <n v="0"/>
    <n v="0"/>
    <n v="0"/>
    <n v="12451.57"/>
    <n v="0"/>
    <n v="0"/>
    <n v="250.02952184368738"/>
    <n v="49.9"/>
    <n v="0"/>
    <n v="0"/>
    <m/>
    <s v="Warisnagar"/>
    <m/>
    <n v="0"/>
  </r>
  <r>
    <s v="Munger"/>
    <s v="03-09 Apr"/>
    <n v="1057"/>
    <s v="Warisnagar"/>
    <x v="829"/>
    <s v="Kadarchak"/>
    <s v="vlc"/>
    <s v="Indirect"/>
    <n v="130.30000000000001"/>
    <n v="4601.59"/>
    <n v="0"/>
    <n v="0"/>
    <n v="0"/>
    <n v="0"/>
    <n v="0"/>
    <n v="0"/>
    <n v="4601.59"/>
    <n v="0"/>
    <n v="0"/>
    <n v="0"/>
    <n v="0"/>
    <n v="0"/>
    <n v="0"/>
    <n v="0"/>
    <n v="0"/>
    <n v="4601.59"/>
    <n v="0"/>
    <n v="0"/>
    <n v="402.38308871834226"/>
    <n v="18.614285714285717"/>
    <n v="0"/>
    <n v="0"/>
    <m/>
    <s v="Warisnagar"/>
    <m/>
    <n v="0"/>
  </r>
  <r>
    <s v="Munger"/>
    <s v="03-09 Apr"/>
    <n v="1057"/>
    <s v="Warisnagar"/>
    <x v="1018"/>
    <s v="Rahua"/>
    <s v="MPG"/>
    <s v="Indirect"/>
    <n v="0.11999999999999998"/>
    <n v="4.6500000000000004"/>
    <n v="0"/>
    <n v="0"/>
    <n v="0"/>
    <n v="0"/>
    <n v="0"/>
    <n v="0"/>
    <n v="4.6500000000000004"/>
    <n v="0"/>
    <n v="0"/>
    <n v="0"/>
    <n v="0"/>
    <n v="0"/>
    <n v="0"/>
    <n v="0"/>
    <n v="0"/>
    <n v="4.6500000000000004"/>
    <n v="0"/>
    <n v="0"/>
    <n v="542.40700000000015"/>
    <n v="1.714285714285714E-2"/>
    <n v="0"/>
    <n v="0"/>
    <m/>
    <s v="Warisnagar"/>
    <m/>
    <n v="0"/>
  </r>
  <r>
    <s v="Munger"/>
    <s v="03-09 Apr"/>
    <n v="1057"/>
    <s v="Warisnagar"/>
    <x v="830"/>
    <s v="Dagrua"/>
    <s v="MPG"/>
    <s v="Direct"/>
    <n v="142"/>
    <n v="5967.63"/>
    <n v="141.6"/>
    <n v="5954.850194040002"/>
    <n v="0"/>
    <n v="0"/>
    <n v="141.6"/>
    <n v="5954.850194040002"/>
    <n v="5954.850194040002"/>
    <n v="0"/>
    <n v="0"/>
    <n v="0"/>
    <n v="0"/>
    <n v="0"/>
    <n v="0"/>
    <n v="5955"/>
    <n v="0"/>
    <n v="0"/>
    <n v="13"/>
    <n v="0"/>
    <n v="469.00528732394366"/>
    <n v="20.285714285714285"/>
    <n v="2.1415211666940071E-3"/>
    <n v="1"/>
    <m/>
    <s v="Warisnagar"/>
    <m/>
    <n v="0"/>
  </r>
  <r>
    <s v="Munger"/>
    <s v="03-09 Apr"/>
    <n v="1057"/>
    <s v="Warisnagar"/>
    <x v="831"/>
    <s v="Buzurgdoar"/>
    <s v="MPG"/>
    <s v="Direct"/>
    <n v="893.41"/>
    <n v="34386.53"/>
    <n v="892.49999999999989"/>
    <n v="34359.853845268117"/>
    <n v="0"/>
    <n v="0"/>
    <n v="892.49999999999989"/>
    <n v="34359.853845268117"/>
    <n v="34359.853845268117"/>
    <n v="0"/>
    <n v="0"/>
    <n v="0"/>
    <n v="0"/>
    <n v="0"/>
    <n v="0"/>
    <n v="34360"/>
    <n v="0"/>
    <n v="0"/>
    <n v="27"/>
    <n v="0"/>
    <n v="0"/>
    <n v="0"/>
    <n v="7.7577338370233867E-4"/>
    <n v="13"/>
    <m/>
    <s v="Warisnagar"/>
    <m/>
    <n v="0"/>
  </r>
  <r>
    <s v="Munger"/>
    <s v="03-09 Apr"/>
    <n v="1057"/>
    <s v="Warisnagar"/>
    <x v="832"/>
    <s v="Patpara"/>
    <s v="vlc"/>
    <s v="Indirect"/>
    <n v="568.20000000000005"/>
    <n v="19865.999999999996"/>
    <n v="0"/>
    <n v="0"/>
    <n v="0"/>
    <n v="0"/>
    <n v="0"/>
    <n v="0"/>
    <n v="19865.999999999996"/>
    <n v="0"/>
    <n v="0"/>
    <n v="0"/>
    <n v="0"/>
    <n v="0"/>
    <n v="0"/>
    <n v="0"/>
    <n v="0"/>
    <n v="19865.999999999996"/>
    <n v="0"/>
    <n v="0"/>
    <n v="92.162576557550111"/>
    <n v="81.171428571428578"/>
    <n v="0"/>
    <n v="0"/>
    <m/>
    <s v="Warisnagar"/>
    <m/>
    <n v="0"/>
  </r>
  <r>
    <s v="Munger"/>
    <s v="03-09 Apr"/>
    <n v="1057"/>
    <s v="Warisnagar"/>
    <x v="833"/>
    <s v="Kamopur"/>
    <s v="MPG"/>
    <s v="Direct"/>
    <n v="421.5"/>
    <n v="16350.259999999998"/>
    <n v="305"/>
    <n v="11073.840632501402"/>
    <n v="116.5"/>
    <n v="5275.6669827878004"/>
    <n v="421.5"/>
    <n v="16349.507615289203"/>
    <n v="16349.507615289203"/>
    <n v="0"/>
    <n v="0"/>
    <n v="0"/>
    <n v="0"/>
    <n v="0"/>
    <n v="0"/>
    <n v="11074"/>
    <n v="5276"/>
    <n v="0"/>
    <n v="0"/>
    <n v="0"/>
    <n v="216.06393404507708"/>
    <n v="60.214285714285715"/>
    <n v="4.6016681740535824E-5"/>
    <n v="11"/>
    <m/>
    <s v="Warisnagar"/>
    <m/>
    <n v="0"/>
  </r>
  <r>
    <s v="Munger"/>
    <s v="03-09 Apr"/>
    <n v="1057"/>
    <s v="Warisnagar"/>
    <x v="834"/>
    <s v="Kussaiya"/>
    <s v="MPG"/>
    <s v="Direct"/>
    <n v="194.6"/>
    <n v="9156.81"/>
    <n v="194"/>
    <n v="9894.7022582216014"/>
    <n v="0"/>
    <n v="0"/>
    <n v="194"/>
    <n v="9894.7022582216014"/>
    <n v="9156.81"/>
    <n v="0"/>
    <n v="0"/>
    <n v="737.89225822160188"/>
    <n v="0"/>
    <n v="0"/>
    <n v="0"/>
    <n v="9157"/>
    <n v="0"/>
    <n v="0"/>
    <n v="0"/>
    <n v="0"/>
    <n v="475.62710935251795"/>
    <n v="27.8"/>
    <n v="-8.0583987024040238E-2"/>
    <n v="1"/>
    <m/>
    <s v="Warisnagar"/>
    <m/>
    <n v="0"/>
  </r>
  <r>
    <s v="Munger"/>
    <s v="03-09 Apr"/>
    <n v="1057"/>
    <s v="Warisnagar"/>
    <x v="835"/>
    <s v="Kanu Bisanpur"/>
    <s v="vlc"/>
    <s v="Indirect"/>
    <n v="114.2"/>
    <n v="4511.59"/>
    <n v="0"/>
    <n v="0"/>
    <n v="0"/>
    <n v="0"/>
    <n v="0"/>
    <n v="0"/>
    <n v="4511.59"/>
    <n v="0"/>
    <n v="0"/>
    <n v="0"/>
    <n v="0"/>
    <n v="0"/>
    <n v="0"/>
    <n v="0"/>
    <n v="0"/>
    <n v="4511.59"/>
    <n v="0"/>
    <n v="0"/>
    <n v="462.85278844133092"/>
    <n v="16.314285714285713"/>
    <n v="0"/>
    <n v="0"/>
    <m/>
    <s v="Warisnagar"/>
    <m/>
    <n v="0"/>
  </r>
  <r>
    <s v="Munger"/>
    <s v="03-09 Apr"/>
    <n v="1057"/>
    <s v="Warisnagar"/>
    <x v="836"/>
    <s v="SINGHIA KHURD"/>
    <s v="vlc"/>
    <s v="Indirect"/>
    <n v="816"/>
    <n v="31024.32"/>
    <n v="0"/>
    <n v="0"/>
    <n v="0"/>
    <n v="0"/>
    <n v="0"/>
    <n v="0"/>
    <n v="31024.32"/>
    <n v="0"/>
    <n v="0"/>
    <n v="0"/>
    <n v="0"/>
    <n v="0"/>
    <n v="0"/>
    <n v="0"/>
    <n v="0"/>
    <n v="0"/>
    <n v="31024"/>
    <s v="Yes"/>
    <n v="0"/>
    <n v="0"/>
    <n v="0"/>
    <n v="0"/>
    <m/>
    <s v="Warisnagar"/>
    <m/>
    <n v="0"/>
  </r>
  <r>
    <s v="Munger"/>
    <s v="03-09 Apr"/>
    <n v="1057"/>
    <s v="Warisnagar"/>
    <x v="837"/>
    <s v="Raini 2"/>
    <s v="MPG"/>
    <s v="Direct"/>
    <n v="196.4"/>
    <n v="7858.4599999999982"/>
    <n v="197.1"/>
    <n v="7911.0421524690009"/>
    <n v="0"/>
    <n v="0"/>
    <n v="197.1"/>
    <n v="7911.0421524690009"/>
    <n v="7858.4599999999982"/>
    <n v="0"/>
    <n v="0"/>
    <n v="52.582152469002722"/>
    <n v="0"/>
    <n v="0"/>
    <n v="0"/>
    <n v="7858"/>
    <n v="0"/>
    <n v="0"/>
    <n v="0"/>
    <n v="0"/>
    <n v="403.00615641547853"/>
    <n v="28.057142857142857"/>
    <n v="-6.6911522701652406E-3"/>
    <n v="1"/>
    <m/>
    <s v="Warisnagar"/>
    <m/>
    <n v="0"/>
  </r>
  <r>
    <s v="Munger"/>
    <s v="03-09 Apr"/>
    <n v="1057"/>
    <s v="Warisnagar"/>
    <x v="838"/>
    <s v="Hasauli"/>
    <s v="vlc"/>
    <s v="Indirect"/>
    <n v="201.69999999999996"/>
    <n v="7609.6400000000012"/>
    <n v="0"/>
    <n v="0"/>
    <n v="0"/>
    <n v="0"/>
    <n v="0"/>
    <n v="0"/>
    <n v="7609.6400000000012"/>
    <n v="0"/>
    <n v="0"/>
    <n v="0"/>
    <n v="0"/>
    <n v="0"/>
    <n v="0"/>
    <n v="0"/>
    <n v="0"/>
    <n v="7609.6400000000012"/>
    <n v="0"/>
    <n v="0"/>
    <n v="375.99242558254849"/>
    <n v="28.81428571428571"/>
    <n v="0"/>
    <n v="0"/>
    <m/>
    <s v="Warisnagar"/>
    <m/>
    <n v="0"/>
  </r>
  <r>
    <s v="Munger"/>
    <s v="03-09 Apr"/>
    <n v="1057"/>
    <s v="Warisnagar"/>
    <x v="839"/>
    <s v="Kusiya 2"/>
    <s v="vlc"/>
    <s v="Indirect"/>
    <n v="396.80000000000007"/>
    <n v="14480.279999999999"/>
    <n v="0"/>
    <n v="0"/>
    <n v="0"/>
    <n v="0"/>
    <n v="0"/>
    <n v="0"/>
    <n v="14480.279999999999"/>
    <n v="0"/>
    <n v="0"/>
    <n v="0"/>
    <n v="0"/>
    <n v="0"/>
    <n v="0"/>
    <n v="0"/>
    <n v="0"/>
    <n v="14480.279999999999"/>
    <n v="0"/>
    <n v="0"/>
    <n v="221.2913758064515"/>
    <n v="56.685714285714297"/>
    <n v="0"/>
    <n v="0"/>
    <m/>
    <s v="Warisnagar"/>
    <m/>
    <n v="0"/>
  </r>
  <r>
    <s v="Munger"/>
    <s v="03-09 Apr"/>
    <n v="1058"/>
    <s v="Hasanpur"/>
    <x v="840"/>
    <s v="Mahuli"/>
    <s v="MPG"/>
    <s v="Direct"/>
    <n v="251.70000000000002"/>
    <n v="10676.96"/>
    <n v="241.69999999999993"/>
    <n v="10275.705320008801"/>
    <n v="11.099999999999998"/>
    <n v="462.98928060000009"/>
    <n v="252.79999999999993"/>
    <n v="10738.694600608802"/>
    <n v="10676.96"/>
    <n v="0"/>
    <n v="462.98928060000009"/>
    <n v="61.734600608802793"/>
    <n v="0"/>
    <n v="0"/>
    <n v="0"/>
    <n v="10214"/>
    <n v="0"/>
    <n v="0"/>
    <n v="0"/>
    <n v="0"/>
    <n v="380.33223424711952"/>
    <n v="35.957142857142863"/>
    <n v="-5.7820391393058326E-3"/>
    <n v="11"/>
    <m/>
    <s v="Hasanpur"/>
    <m/>
    <n v="0"/>
  </r>
  <r>
    <s v="Munger"/>
    <s v="03-09 Apr"/>
    <n v="1058"/>
    <s v="Hasanpur"/>
    <x v="841"/>
    <s v="Sakhwa Ghat"/>
    <s v="MPG"/>
    <s v="Direct"/>
    <n v="341.59999999999997"/>
    <n v="13146.78"/>
    <n v="357.4"/>
    <n v="14591.460043377005"/>
    <n v="3.1"/>
    <n v="115.93361181600002"/>
    <n v="360.5"/>
    <n v="14707.393655193006"/>
    <n v="13146.78"/>
    <n v="0"/>
    <n v="115.93361181600002"/>
    <n v="1560.6136551930049"/>
    <n v="1300"/>
    <n v="0"/>
    <n v="0"/>
    <n v="11731"/>
    <n v="0"/>
    <n v="0"/>
    <n v="0"/>
    <s v="Release4"/>
    <n v="275.86685901639351"/>
    <n v="48.8"/>
    <n v="-0.11870691189728624"/>
    <n v="6"/>
    <m/>
    <s v="Hasanpur"/>
    <m/>
    <n v="0"/>
  </r>
  <r>
    <s v="Munger"/>
    <s v="03-09 Apr"/>
    <n v="1058"/>
    <s v="Hasanpur"/>
    <x v="842"/>
    <s v="Patiya"/>
    <s v="MPG"/>
    <s v="Direct"/>
    <n v="219.8"/>
    <n v="8760.7800000000007"/>
    <n v="204.60000000000005"/>
    <n v="8154.3573709680004"/>
    <n v="1.9000000000000001"/>
    <n v="72.596643636000024"/>
    <n v="206.50000000000006"/>
    <n v="8226.9540146039999"/>
    <n v="8226.9540146039999"/>
    <n v="0"/>
    <n v="72.596643636000024"/>
    <n v="0"/>
    <n v="0"/>
    <n v="0"/>
    <n v="0"/>
    <n v="8155"/>
    <n v="0"/>
    <n v="0"/>
    <n v="533"/>
    <n v="0"/>
    <n v="382.79586496815284"/>
    <n v="31.400000000000002"/>
    <n v="6.0933613833014953E-2"/>
    <n v="3"/>
    <m/>
    <s v="Hasanpur"/>
    <m/>
    <n v="0"/>
  </r>
  <r>
    <s v="Munger"/>
    <s v="03-09 Apr"/>
    <n v="1058"/>
    <s v="Hasanpur"/>
    <x v="843"/>
    <s v="Kasiya"/>
    <s v="MPG"/>
    <s v="Direct"/>
    <n v="529.9"/>
    <n v="20431.88"/>
    <n v="508.9"/>
    <n v="20931.956065168306"/>
    <n v="2.4"/>
    <n v="99.021037104000015"/>
    <n v="511.29999999999995"/>
    <n v="21030.977102272307"/>
    <n v="20431.88"/>
    <n v="0"/>
    <n v="99.021037104000015"/>
    <n v="599.09710227230607"/>
    <n v="0"/>
    <n v="0"/>
    <n v="0"/>
    <n v="20333"/>
    <n v="0"/>
    <n v="0"/>
    <n v="0"/>
    <s v="Release1"/>
    <n v="131.17428903566707"/>
    <n v="75.7"/>
    <n v="-2.932168269744664E-2"/>
    <n v="13"/>
    <m/>
    <s v="Hasanpur"/>
    <m/>
    <n v="0"/>
  </r>
  <r>
    <s v="Munger"/>
    <s v="03-09 Apr"/>
    <n v="1058"/>
    <s v="Hasanpur"/>
    <x v="844"/>
    <s v="Belshandi"/>
    <s v="MPG"/>
    <s v="Direct"/>
    <n v="215.9"/>
    <n v="8683.8200000000015"/>
    <n v="215.10000000000005"/>
    <n v="9338.9777507796243"/>
    <n v="7.1999999999999993"/>
    <n v="514.64089451719997"/>
    <n v="222.30000000000004"/>
    <n v="9853.618645296825"/>
    <n v="8683.8200000000015"/>
    <n v="0"/>
    <n v="514.64089451719997"/>
    <n v="1169.7986452968235"/>
    <n v="0"/>
    <n v="0"/>
    <n v="0"/>
    <n v="8169"/>
    <n v="0"/>
    <n v="0"/>
    <n v="0"/>
    <n v="0"/>
    <n v="389.42448003705425"/>
    <n v="30.842857142857145"/>
    <n v="-0.13471014430248707"/>
    <n v="7"/>
    <m/>
    <s v="Hasanpur"/>
    <m/>
    <n v="0"/>
  </r>
  <r>
    <s v="Munger"/>
    <s v="03-09 Apr"/>
    <n v="1058"/>
    <s v="Hasanpur"/>
    <x v="845"/>
    <s v="Belshandi-2"/>
    <s v="MPG"/>
    <s v="Direct"/>
    <n v="292.89999999999998"/>
    <n v="12492.84"/>
    <n v="305.40000000000003"/>
    <n v="13290.245312501722"/>
    <n v="0"/>
    <n v="0"/>
    <n v="305.40000000000003"/>
    <n v="13290.245312501722"/>
    <n v="12492.84"/>
    <n v="0"/>
    <n v="0"/>
    <n v="797.40531250172171"/>
    <n v="0"/>
    <n v="0"/>
    <n v="0"/>
    <n v="12493"/>
    <n v="0"/>
    <n v="0"/>
    <n v="0"/>
    <s v="Release1"/>
    <n v="347.27450761352003"/>
    <n v="41.842857142857142"/>
    <n v="-6.3828986243457994E-2"/>
    <n v="16"/>
    <m/>
    <s v="Hasanpur"/>
    <m/>
    <n v="0"/>
  </r>
  <r>
    <s v="Munger"/>
    <s v="03-09 Apr"/>
    <n v="1058"/>
    <s v="Hasanpur"/>
    <x v="846"/>
    <s v="Godah"/>
    <s v="MPG"/>
    <s v="Direct"/>
    <n v="331.6"/>
    <n v="12119.459999999997"/>
    <n v="353.1"/>
    <n v="13636.5883706736"/>
    <n v="0"/>
    <n v="0"/>
    <n v="353.1"/>
    <n v="13636.5883706736"/>
    <n v="12119.459999999997"/>
    <n v="0"/>
    <n v="0"/>
    <n v="1517.1283706736031"/>
    <n v="0"/>
    <n v="0"/>
    <n v="0"/>
    <n v="12119"/>
    <n v="0"/>
    <n v="0"/>
    <n v="0"/>
    <n v="0"/>
    <n v="269.28884583835941"/>
    <n v="47.371428571428574"/>
    <n v="-0.12518118552093932"/>
    <n v="4"/>
    <m/>
    <s v="Hasanpur"/>
    <m/>
    <n v="0"/>
  </r>
  <r>
    <s v="Munger"/>
    <s v="03-09 Apr"/>
    <n v="1058"/>
    <s v="Hasanpur"/>
    <x v="847"/>
    <s v="Ballahpur"/>
    <s v="MPG"/>
    <s v="Direct"/>
    <n v="160.70000000000002"/>
    <n v="5851.64"/>
    <n v="161.92999999999998"/>
    <n v="6119.6446362519"/>
    <n v="0"/>
    <n v="0"/>
    <n v="161.92999999999998"/>
    <n v="6119.6446362519"/>
    <n v="5851.64"/>
    <n v="0"/>
    <n v="0"/>
    <n v="268.00463625189968"/>
    <n v="0"/>
    <n v="0"/>
    <n v="0"/>
    <n v="5852"/>
    <n v="0"/>
    <n v="0"/>
    <n v="0"/>
    <n v="0"/>
    <n v="392.75537672682009"/>
    <n v="22.957142857142859"/>
    <n v="-4.5799918698330666E-2"/>
    <n v="4"/>
    <m/>
    <s v="Hasanpur"/>
    <m/>
    <n v="0"/>
  </r>
  <r>
    <s v="Munger"/>
    <s v="03-09 Apr"/>
    <n v="1058"/>
    <s v="Hasanpur"/>
    <x v="848"/>
    <s v="Birpur"/>
    <s v="MPG"/>
    <s v="Direct"/>
    <n v="665.50000000000011"/>
    <n v="21177.280000000002"/>
    <n v="667.15"/>
    <n v="25349.134075075806"/>
    <n v="0"/>
    <n v="0"/>
    <n v="667.15"/>
    <n v="25349.134075075806"/>
    <n v="21177.280000000002"/>
    <n v="0"/>
    <n v="0"/>
    <n v="4171.8540750758038"/>
    <n v="0"/>
    <n v="0"/>
    <n v="0"/>
    <n v="21177"/>
    <n v="0"/>
    <n v="0"/>
    <n v="0"/>
    <n v="0"/>
    <n v="21.956909391434955"/>
    <n v="95.071428571428584"/>
    <n v="-0.1969966905606293"/>
    <n v="8"/>
    <m/>
    <s v="Hasanpur"/>
    <m/>
    <n v="0"/>
  </r>
  <r>
    <s v="Munger"/>
    <s v="03-09 Apr"/>
    <n v="1058"/>
    <s v="Hasanpur"/>
    <x v="849"/>
    <s v="Ahilwar"/>
    <s v="MPG"/>
    <s v="Direct"/>
    <n v="976.1"/>
    <n v="37170.28"/>
    <n v="958"/>
    <n v="36777.91421620801"/>
    <n v="3"/>
    <n v="123.55532640000003"/>
    <n v="961"/>
    <n v="36901.469542608007"/>
    <n v="36901.469542608007"/>
    <n v="0"/>
    <n v="123.55532640000003"/>
    <n v="0"/>
    <n v="0"/>
    <n v="0"/>
    <n v="0"/>
    <n v="36778"/>
    <n v="0"/>
    <n v="0"/>
    <n v="269"/>
    <n v="0"/>
    <n v="0"/>
    <n v="0"/>
    <n v="7.2318652803258898E-3"/>
    <n v="4"/>
    <m/>
    <s v="Hasanpur"/>
    <m/>
    <n v="0"/>
  </r>
  <r>
    <s v="Munger"/>
    <s v="03-09 Apr"/>
    <n v="1058"/>
    <s v="Hasanpur"/>
    <x v="850"/>
    <s v="Paridah"/>
    <s v="MPG"/>
    <s v="Direct"/>
    <n v="292"/>
    <n v="12301.359999999999"/>
    <n v="296.55999999999995"/>
    <n v="12803.478939514753"/>
    <n v="0"/>
    <n v="0"/>
    <n v="296.55999999999995"/>
    <n v="12803.478939514753"/>
    <n v="12301.359999999999"/>
    <n v="0"/>
    <n v="0"/>
    <n v="502.11893951475395"/>
    <n v="0"/>
    <n v="0"/>
    <n v="0"/>
    <n v="12301"/>
    <n v="0"/>
    <n v="0"/>
    <n v="0"/>
    <s v="Release1"/>
    <n v="343.76403287671229"/>
    <n v="41.714285714285715"/>
    <n v="-4.081816478135377E-2"/>
    <n v="16"/>
    <m/>
    <s v="Hasanpur"/>
    <m/>
    <n v="0"/>
  </r>
  <r>
    <s v="Munger"/>
    <s v="03-09 Apr"/>
    <n v="1058"/>
    <s v="Hasanpur"/>
    <x v="851"/>
    <s v="Pansalla"/>
    <s v="MPG"/>
    <s v="Direct"/>
    <n v="320.8"/>
    <n v="11600.45"/>
    <n v="317.3"/>
    <n v="11400.810507702001"/>
    <n v="0"/>
    <n v="0"/>
    <n v="317.3"/>
    <n v="11400.810507702001"/>
    <n v="11400.810507702001"/>
    <n v="0"/>
    <n v="0"/>
    <n v="0"/>
    <n v="0"/>
    <n v="0"/>
    <n v="0"/>
    <n v="11401"/>
    <n v="0"/>
    <n v="0"/>
    <n v="199"/>
    <n v="0"/>
    <n v="274.24505236907731"/>
    <n v="45.828571428571429"/>
    <n v="1.7209633445081855E-2"/>
    <n v="1"/>
    <m/>
    <s v="Hasanpur"/>
    <m/>
    <n v="0"/>
  </r>
  <r>
    <s v="Munger"/>
    <s v="03-09 Apr"/>
    <n v="1058"/>
    <s v="Hasanpur"/>
    <x v="1019"/>
    <s v="MOKKARI"/>
    <s v="vlc"/>
    <s v="Indirect"/>
    <n v="231.3"/>
    <n v="9482.23"/>
    <n v="0"/>
    <n v="0"/>
    <n v="0"/>
    <n v="0"/>
    <n v="0"/>
    <n v="0"/>
    <n v="9482.23"/>
    <n v="0"/>
    <n v="0"/>
    <n v="0"/>
    <n v="0"/>
    <n v="0"/>
    <n v="0"/>
    <n v="0"/>
    <n v="0"/>
    <n v="9482.23"/>
    <n v="0"/>
    <n v="0"/>
    <n v="384.2906356247297"/>
    <n v="33.042857142857144"/>
    <n v="0"/>
    <n v="0"/>
    <m/>
    <s v="Hasanpur"/>
    <m/>
    <n v="0"/>
  </r>
  <r>
    <s v="Munger"/>
    <s v="03-09 Apr"/>
    <n v="1058"/>
    <s v="Hasanpur"/>
    <x v="852"/>
    <s v="KOLAWARI"/>
    <s v="MPG"/>
    <s v="Direct"/>
    <n v="288.8"/>
    <n v="13307.710000000001"/>
    <n v="281.39999999999998"/>
    <n v="12858.808082386782"/>
    <n v="0"/>
    <n v="0"/>
    <n v="281.39999999999998"/>
    <n v="12858.808082386782"/>
    <n v="12858.808082386782"/>
    <n v="0"/>
    <n v="0"/>
    <n v="0"/>
    <n v="0"/>
    <n v="0"/>
    <n v="0"/>
    <n v="12859"/>
    <n v="0"/>
    <n v="0"/>
    <n v="449"/>
    <n v="0"/>
    <n v="378.95639556786699"/>
    <n v="41.25714285714286"/>
    <n v="3.3732469193664329E-2"/>
    <n v="1"/>
    <m/>
    <s v="Hasanpur"/>
    <m/>
    <n v="0"/>
  </r>
  <r>
    <s v="Munger"/>
    <s v="03-09 Apr"/>
    <n v="1058"/>
    <s v="Hasanpur"/>
    <x v="853"/>
    <s v="MALDAH"/>
    <s v="vlc"/>
    <s v="Indirect"/>
    <n v="583.80000000000007"/>
    <n v="23917.68"/>
    <n v="0"/>
    <n v="0"/>
    <n v="0"/>
    <n v="0"/>
    <n v="0"/>
    <n v="0"/>
    <n v="23917.68"/>
    <n v="0"/>
    <n v="0"/>
    <n v="0"/>
    <n v="0"/>
    <n v="0"/>
    <n v="0"/>
    <n v="0"/>
    <n v="0"/>
    <n v="23917.68"/>
    <n v="0"/>
    <n v="0"/>
    <n v="95.211867625899245"/>
    <n v="83.4"/>
    <n v="0"/>
    <n v="0"/>
    <m/>
    <s v="Hasanpur"/>
    <m/>
    <n v="0"/>
  </r>
  <r>
    <s v="Munger"/>
    <s v="03-09 Apr"/>
    <n v="1058"/>
    <s v="Hasanpur"/>
    <x v="854"/>
    <s v="MARTHUA"/>
    <s v="MPG"/>
    <s v="Direct"/>
    <n v="140.99999999999997"/>
    <n v="6925.8899999999994"/>
    <n v="144.12"/>
    <n v="7087.2820056538003"/>
    <n v="0"/>
    <n v="0"/>
    <n v="144.12"/>
    <n v="7087.2820056538003"/>
    <n v="6925.8899999999994"/>
    <n v="0"/>
    <n v="0"/>
    <n v="161.39200565380088"/>
    <n v="0"/>
    <n v="0"/>
    <n v="0"/>
    <n v="6926"/>
    <n v="0"/>
    <n v="0"/>
    <n v="0"/>
    <n v="0"/>
    <n v="549.15922127659587"/>
    <n v="20.142857142857139"/>
    <n v="-2.3302709926637716E-2"/>
    <n v="5"/>
    <m/>
    <s v="Hasanpur"/>
    <m/>
    <n v="0"/>
  </r>
  <r>
    <s v="Munger"/>
    <s v="03-09 Apr"/>
    <n v="1058"/>
    <s v="Hasanpur"/>
    <x v="855"/>
    <s v="KOKANI"/>
    <s v="MPG"/>
    <s v="Direct"/>
    <n v="178.3"/>
    <n v="7009.31"/>
    <n v="198.20999999999995"/>
    <n v="7997.3010873555304"/>
    <n v="0"/>
    <n v="0"/>
    <n v="198.20999999999995"/>
    <n v="7997.3010873555304"/>
    <n v="7009.31"/>
    <n v="0"/>
    <n v="0"/>
    <n v="987.99108735553"/>
    <n v="0"/>
    <n v="0"/>
    <n v="0"/>
    <n v="7009"/>
    <n v="0"/>
    <n v="0"/>
    <n v="0"/>
    <n v="0"/>
    <n v="410.18026102075152"/>
    <n v="25.471428571428572"/>
    <n v="-0.14095411493506921"/>
    <n v="3"/>
    <m/>
    <s v="Hasanpur"/>
    <m/>
    <n v="0"/>
  </r>
  <r>
    <s v="Munger"/>
    <s v="03-09 Apr"/>
    <n v="1058"/>
    <s v="Hasanpur"/>
    <x v="856"/>
    <s v="DURGAPUR "/>
    <s v="MPG"/>
    <s v="Direct"/>
    <n v="293.2"/>
    <n v="11326.58"/>
    <n v="287.00000000000006"/>
    <n v="11663.277222995461"/>
    <n v="0"/>
    <n v="0"/>
    <n v="287.00000000000006"/>
    <n v="11663.277222995461"/>
    <n v="11326.58"/>
    <n v="0"/>
    <n v="0"/>
    <n v="336.69722299546083"/>
    <n v="0"/>
    <n v="0"/>
    <n v="0"/>
    <n v="11327"/>
    <n v="0"/>
    <n v="0"/>
    <n v="0"/>
    <n v="0"/>
    <n v="314.30100572987726"/>
    <n v="41.885714285714286"/>
    <n v="-2.9726291872344594E-2"/>
    <n v="7"/>
    <m/>
    <s v="Hasanpur"/>
    <m/>
    <n v="0"/>
  </r>
  <r>
    <s v="Munger"/>
    <s v="03-09 Apr"/>
    <n v="1058"/>
    <s v="Hasanpur"/>
    <x v="857"/>
    <s v="Chandauli"/>
    <s v="MPG"/>
    <s v="Direct"/>
    <n v="169.29999999999998"/>
    <n v="8458.4399999999987"/>
    <n v="167.5"/>
    <n v="8599.810374568"/>
    <n v="0"/>
    <n v="0"/>
    <n v="167.5"/>
    <n v="8599.810374568"/>
    <n v="8458.4399999999987"/>
    <n v="0"/>
    <n v="0"/>
    <n v="141.37037456800135"/>
    <n v="0"/>
    <n v="0"/>
    <n v="0"/>
    <n v="8458"/>
    <n v="0"/>
    <n v="0"/>
    <n v="0"/>
    <n v="0"/>
    <n v="530.28873101004137"/>
    <n v="24.185714285714283"/>
    <n v="-1.6713528093596618E-2"/>
    <n v="1"/>
    <m/>
    <s v="Hasanpur"/>
    <m/>
    <n v="0"/>
  </r>
  <r>
    <s v="Munger"/>
    <s v="03-09 Apr"/>
    <n v="1058"/>
    <s v="Hasanpur"/>
    <x v="858"/>
    <s v="Yogidih VLC"/>
    <s v="vlc"/>
    <s v="Indirect"/>
    <n v="221.2"/>
    <n v="8215.16"/>
    <n v="0"/>
    <n v="0"/>
    <n v="0"/>
    <n v="0"/>
    <n v="0"/>
    <n v="0"/>
    <n v="8215.16"/>
    <n v="0"/>
    <n v="0"/>
    <n v="0"/>
    <n v="0"/>
    <n v="0"/>
    <n v="0"/>
    <n v="0"/>
    <n v="0"/>
    <n v="8215.16"/>
    <n v="0"/>
    <n v="0"/>
    <n v="355.64363544303802"/>
    <n v="31.599999999999998"/>
    <n v="0"/>
    <n v="0"/>
    <m/>
    <s v="Hasanpur"/>
    <m/>
    <n v="0"/>
  </r>
  <r>
    <s v="Munger"/>
    <s v="03-09 Apr"/>
    <n v="1058"/>
    <s v="Hasanpur"/>
    <x v="859"/>
    <s v="Shankar Dairy"/>
    <s v="vlc"/>
    <s v="Indirect"/>
    <n v="229.49999999999997"/>
    <n v="6801.24"/>
    <n v="0"/>
    <n v="0"/>
    <n v="0"/>
    <n v="0"/>
    <n v="0"/>
    <n v="0"/>
    <n v="6801.24"/>
    <n v="0"/>
    <n v="0"/>
    <n v="0"/>
    <n v="0"/>
    <n v="0"/>
    <n v="0"/>
    <n v="0"/>
    <n v="0"/>
    <n v="6801.24"/>
    <n v="0"/>
    <n v="0"/>
    <n v="278.86565751633992"/>
    <n v="32.785714285714285"/>
    <n v="0"/>
    <n v="0"/>
    <m/>
    <s v="Hasanpur"/>
    <m/>
    <n v="0"/>
  </r>
  <r>
    <s v="Munger"/>
    <s v="03-09 Apr"/>
    <n v="1058"/>
    <s v="Hasanpur"/>
    <x v="860"/>
    <s v="Harerampur Vlc"/>
    <s v="vlc"/>
    <s v="Indirect"/>
    <n v="164"/>
    <n v="5943.26"/>
    <n v="0"/>
    <n v="0"/>
    <n v="0"/>
    <n v="0"/>
    <n v="0"/>
    <n v="0"/>
    <n v="5943.26"/>
    <n v="0"/>
    <n v="0"/>
    <n v="0"/>
    <n v="0"/>
    <n v="0"/>
    <n v="0"/>
    <n v="0"/>
    <n v="0"/>
    <n v="5943.26"/>
    <n v="0"/>
    <n v="0"/>
    <n v="388.48626341463415"/>
    <n v="23.428571428571427"/>
    <n v="0"/>
    <n v="0"/>
    <m/>
    <s v="Hasanpur"/>
    <m/>
    <n v="0"/>
  </r>
  <r>
    <s v="Munger"/>
    <s v="03-09 Apr"/>
    <n v="1058"/>
    <s v="Hasanpur"/>
    <x v="861"/>
    <s v="SOUNT VLC"/>
    <s v="vlc"/>
    <s v="Indirect"/>
    <n v="152.6"/>
    <n v="5307.1"/>
    <n v="0"/>
    <n v="0"/>
    <n v="0"/>
    <n v="0"/>
    <n v="0"/>
    <n v="0"/>
    <n v="5307.1"/>
    <n v="0"/>
    <n v="0"/>
    <n v="0"/>
    <n v="0"/>
    <n v="0"/>
    <n v="0"/>
    <n v="0"/>
    <n v="0"/>
    <n v="5307.1"/>
    <n v="0"/>
    <n v="0"/>
    <n v="380.74790825688075"/>
    <n v="21.8"/>
    <n v="0"/>
    <n v="0"/>
    <m/>
    <s v="Hasanpur"/>
    <m/>
    <n v="0"/>
  </r>
  <r>
    <s v="Munger"/>
    <s v="03-09 Apr"/>
    <n v="1059"/>
    <s v="Gopalpur Bmc"/>
    <x v="862"/>
    <s v="MISHRBIGHA"/>
    <s v="MPG"/>
    <s v="Direct"/>
    <n v="705.30000000000007"/>
    <n v="38344.21"/>
    <n v="716.28"/>
    <n v="41329.242844045104"/>
    <n v="1.7200000000000002"/>
    <n v="68.47420892400001"/>
    <n v="718"/>
    <n v="41397.717052969107"/>
    <n v="38344.21"/>
    <n v="0"/>
    <n v="68.47420892400001"/>
    <n v="3053.5070529691075"/>
    <n v="0"/>
    <n v="0"/>
    <n v="0"/>
    <n v="38276"/>
    <n v="0"/>
    <n v="0"/>
    <n v="0"/>
    <n v="0"/>
    <n v="0"/>
    <n v="0"/>
    <n v="-7.9634110416386406E-2"/>
    <n v="7"/>
    <m/>
    <s v="Gopalpur Bmc"/>
    <m/>
    <n v="0"/>
  </r>
  <r>
    <s v="Munger"/>
    <s v="03-09 Apr"/>
    <n v="1059"/>
    <s v="Gopalpur Bmc"/>
    <x v="863"/>
    <s v="DIGHOI"/>
    <s v="MPG"/>
    <s v="Direct"/>
    <n v="122.5"/>
    <n v="7359.7599999999993"/>
    <n v="126.63"/>
    <n v="7605.9101586959405"/>
    <n v="0"/>
    <n v="0"/>
    <n v="126.63"/>
    <n v="7605.9101586959405"/>
    <n v="7359.7599999999993"/>
    <n v="0"/>
    <n v="0"/>
    <n v="246.15015869594117"/>
    <n v="0"/>
    <n v="0"/>
    <n v="0"/>
    <n v="7360"/>
    <n v="0"/>
    <n v="0"/>
    <n v="0"/>
    <n v="0"/>
    <n v="693.92022857142842"/>
    <n v="17.5"/>
    <n v="-3.3445405651263249E-2"/>
    <n v="1"/>
    <m/>
    <s v="Gopalpur Bmc"/>
    <m/>
    <n v="0"/>
  </r>
  <r>
    <s v="Munger"/>
    <s v="03-09 Apr"/>
    <n v="1059"/>
    <s v="Gopalpur Bmc"/>
    <x v="864"/>
    <s v="PRATAPUR"/>
    <s v="MPG"/>
    <s v="Direct"/>
    <n v="1239.2"/>
    <n v="44898.589999999989"/>
    <n v="1217.98"/>
    <n v="49755.262049097459"/>
    <n v="0"/>
    <n v="0"/>
    <n v="1217.98"/>
    <n v="49755.262049097459"/>
    <n v="44898.589999999989"/>
    <n v="0"/>
    <n v="0"/>
    <n v="4856.6720490974694"/>
    <n v="0"/>
    <n v="0"/>
    <n v="0"/>
    <n v="44899"/>
    <n v="0"/>
    <n v="0"/>
    <n v="0"/>
    <n v="0"/>
    <n v="0"/>
    <n v="0"/>
    <n v="-0.10816981221676383"/>
    <n v="1"/>
    <m/>
    <s v="Gopalpur Bmc"/>
    <m/>
    <n v="0"/>
  </r>
  <r>
    <s v="Munger"/>
    <s v="03-09 Apr"/>
    <n v="1059"/>
    <s v="Gopalpur Bmc"/>
    <x v="865"/>
    <s v="GOPALPUR"/>
    <s v="MPG"/>
    <s v="Direct"/>
    <n v="545.39999999999986"/>
    <n v="22708.66"/>
    <n v="530.09999999999991"/>
    <n v="22227.128770319301"/>
    <n v="0"/>
    <n v="0"/>
    <n v="530.09999999999991"/>
    <n v="22227.128770319301"/>
    <n v="22227.128770319301"/>
    <n v="0"/>
    <n v="0"/>
    <n v="0"/>
    <n v="0"/>
    <n v="0"/>
    <n v="0"/>
    <n v="22228"/>
    <n v="0"/>
    <n v="0"/>
    <n v="481"/>
    <n v="0"/>
    <n v="128.74069805647244"/>
    <n v="77.914285714285697"/>
    <n v="2.120473993977182E-2"/>
    <n v="9"/>
    <m/>
    <s v="Gopalpur Bmc"/>
    <m/>
    <n v="0"/>
  </r>
  <r>
    <s v="Munger"/>
    <s v="03-09 Apr"/>
    <n v="1059"/>
    <s v="Gopalpur Bmc"/>
    <x v="866"/>
    <s v="LAXMIPUR"/>
    <s v="MPG"/>
    <s v="Direct"/>
    <n v="37.200000000000003"/>
    <n v="1428.3500000000001"/>
    <n v="39.65"/>
    <n v="1556.8575184800002"/>
    <n v="0"/>
    <n v="0"/>
    <n v="39.65"/>
    <n v="1556.8575184800002"/>
    <n v="1428.3500000000001"/>
    <n v="0"/>
    <n v="0"/>
    <n v="128.50751848000004"/>
    <n v="0"/>
    <n v="0"/>
    <n v="0"/>
    <n v="1428"/>
    <n v="0"/>
    <n v="0"/>
    <n v="0"/>
    <n v="0"/>
    <n v="508.98407526881721"/>
    <n v="5.3142857142857149"/>
    <n v="-8.9969208163265327E-2"/>
    <n v="1"/>
    <m/>
    <s v="Gopalpur Bmc"/>
    <m/>
    <n v="0"/>
  </r>
  <r>
    <s v="Munger"/>
    <s v="03-09 Apr"/>
    <n v="1059"/>
    <s v="Gopalpur Bmc"/>
    <x v="867"/>
    <s v="NARMDA"/>
    <s v="MPG"/>
    <s v="Direct"/>
    <n v="335.19999999999993"/>
    <n v="14766.709999999997"/>
    <n v="357.2"/>
    <n v="15826.180129364"/>
    <n v="0"/>
    <n v="0"/>
    <n v="357.2"/>
    <n v="15826.180129364"/>
    <n v="14766.709999999997"/>
    <n v="0"/>
    <n v="0"/>
    <n v="1059.4701293640028"/>
    <n v="0"/>
    <n v="0"/>
    <n v="0"/>
    <n v="14767"/>
    <n v="0"/>
    <n v="0"/>
    <n v="0"/>
    <n v="0"/>
    <n v="321.41383102625304"/>
    <n v="47.885714285714279"/>
    <n v="-7.1747202278909988E-2"/>
    <n v="1"/>
    <m/>
    <s v="Gopalpur Bmc"/>
    <m/>
    <n v="0"/>
  </r>
  <r>
    <s v="Munger"/>
    <s v="03-09 Apr"/>
    <n v="1059"/>
    <s v="Gopalpur Bmc"/>
    <x v="868"/>
    <s v="LAKHANPUR"/>
    <s v="MPG"/>
    <s v="Direct"/>
    <n v="170.40000000000003"/>
    <n v="6263.74"/>
    <n v="174.70000000000005"/>
    <n v="6300.1943092440006"/>
    <n v="0"/>
    <n v="0"/>
    <n v="174.70000000000005"/>
    <n v="6300.1943092440006"/>
    <n v="6263.74"/>
    <n v="0"/>
    <n v="0"/>
    <n v="36.454309244000797"/>
    <n v="0"/>
    <n v="0"/>
    <n v="0"/>
    <n v="6264"/>
    <n v="0"/>
    <n v="0"/>
    <n v="0"/>
    <n v="0"/>
    <n v="389.35172582159606"/>
    <n v="24.342857142857149"/>
    <n v="-5.8198950218241495E-3"/>
    <n v="1"/>
    <m/>
    <s v="Gopalpur Bmc"/>
    <m/>
    <n v="0"/>
  </r>
  <r>
    <s v="Munger"/>
    <s v="03-09 Apr"/>
    <n v="1059"/>
    <s v="Gopalpur Bmc"/>
    <x v="869"/>
    <s v="AMRATH"/>
    <s v="MPG"/>
    <s v="Direct"/>
    <n v="849.69999999999982"/>
    <n v="42138.68"/>
    <n v="909.3"/>
    <n v="45001.972919836102"/>
    <n v="0"/>
    <n v="0"/>
    <n v="909.3"/>
    <n v="45001.972919836102"/>
    <n v="42138.68"/>
    <n v="0"/>
    <n v="0"/>
    <n v="2863.2929198361016"/>
    <n v="0"/>
    <n v="0"/>
    <n v="0"/>
    <n v="42139"/>
    <n v="0"/>
    <n v="0"/>
    <n v="0"/>
    <n v="0"/>
    <n v="0"/>
    <n v="0"/>
    <n v="-6.7949278900907711E-2"/>
    <n v="2"/>
    <m/>
    <s v="Gopalpur Bmc"/>
    <m/>
    <n v="0"/>
  </r>
  <r>
    <s v="Munger"/>
    <s v="03-09 Apr"/>
    <n v="1059"/>
    <s v="Gopalpur Bmc"/>
    <x v="870"/>
    <s v="PUTERIA"/>
    <s v="MPG"/>
    <s v="Direct"/>
    <n v="697.3"/>
    <n v="27515.11"/>
    <n v="674.31999999999994"/>
    <n v="27073.946473483946"/>
    <n v="0"/>
    <n v="0"/>
    <n v="674.31999999999994"/>
    <n v="27073.946473483946"/>
    <n v="27073.946473483946"/>
    <n v="0"/>
    <n v="0"/>
    <n v="0"/>
    <n v="0"/>
    <n v="0"/>
    <n v="0"/>
    <n v="27074"/>
    <n v="0"/>
    <n v="0"/>
    <n v="441"/>
    <n v="0"/>
    <n v="2.1308130503370166"/>
    <n v="99.614285714285714"/>
    <n v="1.6033500375468419E-2"/>
    <n v="6"/>
    <m/>
    <s v="Gopalpur Bmc"/>
    <m/>
    <n v="0"/>
  </r>
  <r>
    <s v="Munger"/>
    <s v="03-09 Apr"/>
    <n v="1059"/>
    <s v="Gopalpur Bmc"/>
    <x v="871"/>
    <s v="LAKHAPUR"/>
    <s v="MPG"/>
    <s v="Direct"/>
    <n v="527.5"/>
    <n v="20776.830000000005"/>
    <n v="527.5"/>
    <n v="20776.385440143004"/>
    <n v="0"/>
    <n v="0"/>
    <n v="527.5"/>
    <n v="20776.385440143004"/>
    <n v="20776.385440143004"/>
    <n v="0"/>
    <n v="0"/>
    <n v="0"/>
    <n v="0"/>
    <n v="0"/>
    <n v="0"/>
    <n v="20776"/>
    <n v="0"/>
    <n v="0"/>
    <n v="1"/>
    <n v="0"/>
    <n v="135.88637630331755"/>
    <n v="75.357142857142861"/>
    <n v="2.1396904965862321E-5"/>
    <n v="1"/>
    <m/>
    <s v="Gopalpur Bmc"/>
    <m/>
    <n v="0"/>
  </r>
  <r>
    <s v="Munger"/>
    <s v="03-09 Apr"/>
    <n v="1059"/>
    <s v="Gopalpur Bmc"/>
    <x v="872"/>
    <s v="BARIYARPUR"/>
    <s v="MPG"/>
    <s v="Direct"/>
    <n v="94.7"/>
    <n v="3503.2200000000007"/>
    <n v="95.8"/>
    <n v="3685.5035692199999"/>
    <n v="0"/>
    <n v="0"/>
    <n v="95.8"/>
    <n v="3685.5035692199999"/>
    <n v="3503.2200000000007"/>
    <n v="0"/>
    <n v="0"/>
    <n v="182.28356921999921"/>
    <n v="0"/>
    <n v="0"/>
    <n v="0"/>
    <n v="3503"/>
    <n v="0"/>
    <n v="0"/>
    <n v="0"/>
    <n v="0"/>
    <n v="447.83507201689559"/>
    <n v="13.528571428571428"/>
    <n v="-5.2033149279805201E-2"/>
    <n v="1"/>
    <m/>
    <s v="Gopalpur Bmc"/>
    <m/>
    <n v="0"/>
  </r>
  <r>
    <s v="Munger"/>
    <s v="03-09 Apr"/>
    <n v="1059"/>
    <s v="Gopalpur Bmc"/>
    <x v="873"/>
    <s v="BAGWANA"/>
    <s v="MPG"/>
    <s v="Direct"/>
    <n v="243.1"/>
    <n v="10585.11"/>
    <n v="267.94"/>
    <n v="11530.034186769928"/>
    <n v="0"/>
    <n v="0"/>
    <n v="267.94"/>
    <n v="11530.034186769928"/>
    <n v="10585.11"/>
    <n v="0"/>
    <n v="0"/>
    <n v="944.92418676992747"/>
    <n v="0"/>
    <n v="0"/>
    <n v="0"/>
    <n v="10585"/>
    <n v="0"/>
    <n v="0"/>
    <n v="0"/>
    <n v="0"/>
    <n v="397.88866795557385"/>
    <n v="34.728571428571428"/>
    <n v="-8.9269189150601877E-2"/>
    <n v="1"/>
    <m/>
    <s v="Gopalpur Bmc"/>
    <m/>
    <n v="0"/>
  </r>
  <r>
    <s v="Munger"/>
    <s v="03-09 Apr"/>
    <n v="1059"/>
    <s v="Gopalpur Bmc"/>
    <x v="874"/>
    <s v="REWATA"/>
    <s v="MPG"/>
    <s v="Direct"/>
    <n v="32.700000000000003"/>
    <n v="1601.1599999999999"/>
    <n v="36.5"/>
    <n v="1725.0862302052001"/>
    <n v="0"/>
    <n v="0"/>
    <n v="36.5"/>
    <n v="1725.0862302052001"/>
    <n v="1601.1599999999999"/>
    <n v="0"/>
    <n v="0"/>
    <n v="123.92623020520023"/>
    <n v="0"/>
    <n v="0"/>
    <n v="0"/>
    <n v="1601"/>
    <n v="0"/>
    <n v="0"/>
    <n v="0"/>
    <n v="0"/>
    <n v="653.48872660550444"/>
    <n v="4.6714285714285717"/>
    <n v="-7.7397780487396789E-2"/>
    <n v="1"/>
    <m/>
    <s v="Gopalpur Bmc"/>
    <m/>
    <n v="0"/>
  </r>
  <r>
    <s v="Munger"/>
    <s v="03-09 Apr"/>
    <n v="1060"/>
    <s v="Behiya BMC"/>
    <x v="875"/>
    <s v="Gomukh Karisath"/>
    <s v="MPG"/>
    <s v="Direct"/>
    <n v="793.59999999999991"/>
    <n v="25585.38"/>
    <n v="677.31"/>
    <n v="26974.443460459232"/>
    <n v="0"/>
    <n v="0"/>
    <n v="677.31"/>
    <n v="26974.443460459232"/>
    <n v="25585.38"/>
    <n v="0"/>
    <n v="0"/>
    <n v="1389.0634604592306"/>
    <n v="0"/>
    <n v="0"/>
    <n v="0"/>
    <n v="25585"/>
    <n v="0"/>
    <n v="0"/>
    <n v="0"/>
    <n v="0"/>
    <n v="0"/>
    <n v="0"/>
    <n v="-5.4291296844495976E-2"/>
    <n v="3"/>
    <m/>
    <s v="Behiya BMC"/>
    <m/>
    <n v="0"/>
  </r>
  <r>
    <s v="Munger"/>
    <s v="03-09 Apr"/>
    <n v="1060"/>
    <s v="Behiya BMC"/>
    <x v="876"/>
    <s v="Gomukh Ama"/>
    <s v="MPG"/>
    <s v="Direct"/>
    <n v="1390.6"/>
    <n v="51722.13"/>
    <n v="1238.73"/>
    <n v="53155.717418846201"/>
    <n v="0"/>
    <n v="0"/>
    <n v="1238.73"/>
    <n v="53155.717418846201"/>
    <n v="51722.13"/>
    <n v="0"/>
    <n v="0"/>
    <n v="1433.5874188462039"/>
    <n v="0"/>
    <n v="0"/>
    <n v="0"/>
    <n v="51722"/>
    <n v="0"/>
    <n v="0"/>
    <n v="0"/>
    <n v="0"/>
    <n v="0"/>
    <n v="0"/>
    <n v="-2.7717099408825663E-2"/>
    <n v="1"/>
    <m/>
    <s v="Behiya BMC"/>
    <m/>
    <n v="0"/>
  </r>
  <r>
    <s v="Munger"/>
    <s v="03-09 Apr"/>
    <n v="1060"/>
    <s v="Behiya BMC"/>
    <x v="877"/>
    <s v="Gomukh Pawat"/>
    <s v="MPG"/>
    <s v="Direct"/>
    <n v="767.5999999999998"/>
    <n v="24933.200000000001"/>
    <n v="812.6999999999997"/>
    <n v="34660.276885258041"/>
    <n v="0"/>
    <n v="0"/>
    <n v="812.6999999999997"/>
    <n v="34660.276885258041"/>
    <n v="24933.200000000001"/>
    <n v="0"/>
    <n v="0"/>
    <n v="9727.0768852580404"/>
    <n v="0"/>
    <n v="0"/>
    <n v="0"/>
    <n v="24933"/>
    <n v="0"/>
    <n v="0"/>
    <n v="0"/>
    <s v="Release1"/>
    <n v="0"/>
    <n v="0"/>
    <n v="-0.39012549072152952"/>
    <n v="2"/>
    <m/>
    <s v="Behiya BMC"/>
    <m/>
    <n v="0"/>
  </r>
  <r>
    <s v="Munger"/>
    <s v="03-09 Apr"/>
    <n v="1060"/>
    <s v="Behiya BMC"/>
    <x v="878"/>
    <s v="Gomukh Barja"/>
    <s v="MPG"/>
    <s v="Direct"/>
    <n v="199.4"/>
    <n v="7023.5999999999985"/>
    <n v="229.46"/>
    <n v="9685.8964998887877"/>
    <n v="4.41"/>
    <n v="180.96128198322501"/>
    <n v="233.87"/>
    <n v="9866.8577818720132"/>
    <n v="7023.5999999999985"/>
    <n v="0"/>
    <n v="180.96128198322501"/>
    <n v="2843.2577818720147"/>
    <n v="0"/>
    <n v="0"/>
    <n v="0"/>
    <n v="6843"/>
    <n v="0"/>
    <n v="0"/>
    <n v="0"/>
    <n v="0"/>
    <n v="352.65939418254749"/>
    <n v="28.485714285714288"/>
    <n v="-0.40481487867646437"/>
    <n v="2"/>
    <m/>
    <s v="Behiya BMC"/>
    <m/>
    <n v="0"/>
  </r>
  <r>
    <s v="Munger"/>
    <s v="03-09 Apr"/>
    <n v="1060"/>
    <s v="Behiya BMC"/>
    <x v="879"/>
    <s v="Gomukh Charghat"/>
    <s v="MPG"/>
    <s v="Direct"/>
    <n v="675.69999999999993"/>
    <n v="24829.99"/>
    <n v="699.12"/>
    <n v="28166.839194042841"/>
    <n v="3.4400000000000004"/>
    <n v="141.99751051200002"/>
    <n v="702.56000000000006"/>
    <n v="28308.83670455484"/>
    <n v="24829.99"/>
    <n v="0"/>
    <n v="141.99751051200002"/>
    <n v="3478.8467045548387"/>
    <n v="0"/>
    <n v="0"/>
    <n v="0"/>
    <n v="24688"/>
    <n v="0"/>
    <n v="0"/>
    <n v="0"/>
    <s v="Release4"/>
    <n v="17.859072280597921"/>
    <n v="96.528571428571425"/>
    <n v="-0.14010664944105247"/>
    <n v="4"/>
    <m/>
    <s v="Behiya BMC"/>
    <m/>
    <n v="0"/>
  </r>
  <r>
    <s v="Munger"/>
    <s v="03-09 Apr"/>
    <n v="1060"/>
    <s v="Behiya BMC"/>
    <x v="880"/>
    <s v="Gomukh Navadih"/>
    <s v="MPG"/>
    <s v="Indirect"/>
    <n v="47.800000000000004"/>
    <n v="2012.4"/>
    <n v="0"/>
    <n v="0"/>
    <n v="0"/>
    <n v="0"/>
    <n v="0"/>
    <n v="0"/>
    <n v="2012.4"/>
    <n v="0"/>
    <n v="1990.6183440000002"/>
    <n v="0"/>
    <n v="0"/>
    <n v="0"/>
    <n v="0"/>
    <n v="0"/>
    <n v="0"/>
    <n v="21.781655999999884"/>
    <n v="0"/>
    <n v="0"/>
    <n v="549.15785774058588"/>
    <n v="6.8285714285714292"/>
    <n v="0"/>
    <n v="1"/>
    <m/>
    <s v="Behiya BMC"/>
    <m/>
    <n v="0"/>
  </r>
  <r>
    <s v="Munger"/>
    <s v="03-09 Apr"/>
    <n v="1060"/>
    <s v="Behiya BMC"/>
    <x v="881"/>
    <s v="Gomukh Ramdihra"/>
    <s v="MPG"/>
    <s v="Direct"/>
    <n v="178.50000000000003"/>
    <n v="5487.1"/>
    <n v="184.9"/>
    <n v="6077.146586385601"/>
    <n v="0"/>
    <n v="0"/>
    <n v="184.9"/>
    <n v="6077.146586385601"/>
    <n v="5487.1"/>
    <n v="0"/>
    <n v="0"/>
    <n v="590.04658638560068"/>
    <n v="0"/>
    <n v="0"/>
    <n v="0"/>
    <n v="5487"/>
    <n v="0"/>
    <n v="0"/>
    <n v="0"/>
    <n v="0"/>
    <n v="320.61878431372543"/>
    <n v="25.500000000000004"/>
    <n v="-0.1075334122552169"/>
    <n v="1"/>
    <m/>
    <s v="Behiya BMC"/>
    <m/>
    <n v="0"/>
  </r>
  <r>
    <s v="Munger"/>
    <s v="03-09 Apr"/>
    <n v="1060"/>
    <s v="Behiya BMC"/>
    <x v="882"/>
    <s v="Gomukh Bara"/>
    <s v="MPG"/>
    <s v="Direct"/>
    <n v="645.29999999999995"/>
    <n v="23077.73"/>
    <n v="793.49000000000012"/>
    <n v="34414.634624390383"/>
    <n v="0"/>
    <n v="0"/>
    <n v="793.49000000000012"/>
    <n v="34414.634624390383"/>
    <n v="23077.73"/>
    <n v="0"/>
    <n v="0"/>
    <n v="11336.904624390383"/>
    <n v="0"/>
    <n v="0"/>
    <n v="0"/>
    <n v="23078"/>
    <n v="0"/>
    <n v="0"/>
    <n v="0"/>
    <n v="0"/>
    <n v="39.124494994576189"/>
    <n v="92.185714285714283"/>
    <n v="-0.49124868972773245"/>
    <n v="7"/>
    <m/>
    <s v="Behiya BMC"/>
    <m/>
    <n v="0"/>
  </r>
  <r>
    <s v="Munger"/>
    <s v="03-09 Apr"/>
    <n v="1060"/>
    <s v="Behiya BMC"/>
    <x v="883"/>
    <s v="Gumukh Salempur"/>
    <s v="MPG"/>
    <s v="Direct"/>
    <n v="400.50000000000006"/>
    <n v="13292.1"/>
    <n v="436.93999999999994"/>
    <n v="18483.469555092302"/>
    <n v="7.31"/>
    <n v="277.48278439200004"/>
    <n v="444.24999999999994"/>
    <n v="18760.952339484302"/>
    <n v="13292.1"/>
    <n v="0"/>
    <n v="277.48278439200004"/>
    <n v="5468.8523394843014"/>
    <n v="0"/>
    <n v="0"/>
    <n v="0"/>
    <n v="13015"/>
    <n v="0"/>
    <n v="0"/>
    <n v="0"/>
    <n v="0"/>
    <n v="198.80069662921343"/>
    <n v="57.214285714285722"/>
    <n v="-0.41143629219493544"/>
    <n v="2"/>
    <m/>
    <s v="Behiya BMC"/>
    <m/>
    <n v="0"/>
  </r>
  <r>
    <s v="Munger"/>
    <s v="03-09 Apr"/>
    <n v="1060"/>
    <s v="Behiya BMC"/>
    <x v="884"/>
    <s v="Gumukh Khajuriya"/>
    <s v="MPG"/>
    <s v="Direct"/>
    <n v="744.69999999999993"/>
    <n v="22472.83"/>
    <n v="747.61"/>
    <n v="22550.583798705597"/>
    <n v="0"/>
    <n v="0"/>
    <n v="747.61"/>
    <n v="22550.583798705597"/>
    <n v="22472.83"/>
    <n v="0"/>
    <n v="0"/>
    <n v="77.753798705594818"/>
    <n v="0"/>
    <n v="0"/>
    <n v="0"/>
    <n v="22473"/>
    <n v="0"/>
    <n v="0"/>
    <n v="0"/>
    <n v="0"/>
    <n v="0"/>
    <n v="0"/>
    <n v="-3.4599024112937629E-3"/>
    <n v="5"/>
    <m/>
    <s v="Behiya BMC"/>
    <m/>
    <n v="0"/>
  </r>
  <r>
    <s v="Munger"/>
    <s v="03-09 Apr"/>
    <n v="1060"/>
    <s v="Behiya BMC"/>
    <x v="885"/>
    <s v="Gomukh Chhotaki Hardiya"/>
    <s v="MPG"/>
    <s v="Direct"/>
    <n v="316.00000000000006"/>
    <n v="14116.87"/>
    <n v="337.51000000000005"/>
    <n v="18823.892896599184"/>
    <n v="4.1999999999999993"/>
    <n v="237.49079200002004"/>
    <n v="341.71000000000004"/>
    <n v="19061.383688599202"/>
    <n v="14116.87"/>
    <n v="0"/>
    <n v="237.49079200002004"/>
    <n v="4944.5136885992015"/>
    <n v="0"/>
    <n v="0"/>
    <n v="0"/>
    <n v="13879"/>
    <n v="0"/>
    <n v="0"/>
    <n v="0"/>
    <n v="0"/>
    <n v="343.09354936708854"/>
    <n v="45.142857142857153"/>
    <n v="-0.35025566493133403"/>
    <n v="2"/>
    <m/>
    <s v="Behiya BMC"/>
    <m/>
    <n v="0"/>
  </r>
  <r>
    <s v="Munger"/>
    <s v="03-09 Apr"/>
    <n v="1061"/>
    <s v="Mahua BMC"/>
    <x v="886"/>
    <s v="GOMUKH BHATOLIYA"/>
    <s v="MPG"/>
    <s v="Direct"/>
    <n v="783.3"/>
    <n v="34406.540000000008"/>
    <n v="768.09999999999991"/>
    <n v="33062.794275663298"/>
    <n v="0.5"/>
    <n v="21.793772879999999"/>
    <n v="768.59999999999991"/>
    <n v="33084.588048543301"/>
    <n v="33084.588048543301"/>
    <n v="0"/>
    <n v="21.793772879999999"/>
    <n v="0"/>
    <n v="0"/>
    <n v="0"/>
    <n v="0"/>
    <n v="33063"/>
    <n v="0"/>
    <n v="0"/>
    <n v="1322"/>
    <n v="0"/>
    <n v="0"/>
    <n v="0"/>
    <n v="3.842153123960465E-2"/>
    <n v="8"/>
    <m/>
    <s v="Mahua BMC"/>
    <m/>
    <n v="0"/>
  </r>
  <r>
    <s v="Munger"/>
    <s v="03-09 Apr"/>
    <n v="1061"/>
    <s v="Mahua BMC"/>
    <x v="887"/>
    <s v="GOMUKH CHEHRAKALA"/>
    <s v="MPG"/>
    <s v="Direct"/>
    <n v="402.49999999999994"/>
    <n v="19057.559999999998"/>
    <n v="401.8"/>
    <n v="19063.165385380002"/>
    <n v="2.2000000000000002"/>
    <n v="110.30522933440001"/>
    <n v="404"/>
    <n v="19173.470614714402"/>
    <n v="19057.559999999998"/>
    <n v="0"/>
    <n v="110.30522933440001"/>
    <n v="115.9106147144048"/>
    <n v="0"/>
    <n v="0"/>
    <n v="0"/>
    <n v="18947"/>
    <n v="0"/>
    <n v="0"/>
    <n v="0"/>
    <n v="0"/>
    <n v="281.72045217391309"/>
    <n v="57.499999999999993"/>
    <n v="-6.0821330072897486E-3"/>
    <n v="12"/>
    <m/>
    <s v="Mahua BMC"/>
    <m/>
    <n v="0"/>
  </r>
  <r>
    <s v="Munger"/>
    <s v="03-09 Apr"/>
    <n v="1061"/>
    <s v="Mahua BMC"/>
    <x v="888"/>
    <s v="GOMUKH KHAJECHAND"/>
    <s v="MPG"/>
    <s v="Direct"/>
    <n v="474.4"/>
    <n v="19110.649999999998"/>
    <n v="474.8"/>
    <n v="18272.760266376001"/>
    <n v="0"/>
    <n v="0"/>
    <n v="474.8"/>
    <n v="18272.760266376001"/>
    <n v="18272.760266376001"/>
    <n v="0"/>
    <n v="0"/>
    <n v="0"/>
    <n v="0"/>
    <n v="0"/>
    <n v="0"/>
    <n v="18273"/>
    <n v="0"/>
    <n v="0"/>
    <n v="838"/>
    <n v="0"/>
    <n v="181.76065092748735"/>
    <n v="67.771428571428572"/>
    <n v="4.3844125324046912E-2"/>
    <n v="3"/>
    <m/>
    <s v="Mahua BMC"/>
    <m/>
    <n v="0"/>
  </r>
  <r>
    <s v="Munger"/>
    <s v="03-09 Apr"/>
    <n v="1061"/>
    <s v="Mahua BMC"/>
    <x v="889"/>
    <s v="GOMUKH SALEMPUR"/>
    <s v="MPG"/>
    <s v="Direct"/>
    <n v="177.20000000000002"/>
    <n v="7314.4700000000012"/>
    <n v="174.29999999999998"/>
    <n v="6919.1139429090999"/>
    <n v="2.8000000000000003"/>
    <n v="111.54302280000002"/>
    <n v="177.1"/>
    <n v="7030.6569657091004"/>
    <n v="7030.6569657091004"/>
    <n v="0"/>
    <n v="111.54302280000002"/>
    <n v="0"/>
    <n v="0"/>
    <n v="0"/>
    <n v="0"/>
    <n v="6919"/>
    <n v="0"/>
    <n v="0"/>
    <n v="284"/>
    <n v="0"/>
    <n v="431.60326365688491"/>
    <n v="25.314285714285717"/>
    <n v="3.8801585663882782E-2"/>
    <n v="4"/>
    <m/>
    <s v="Mahua BMC"/>
    <m/>
    <n v="0"/>
  </r>
  <r>
    <s v="Munger"/>
    <s v="03-09 Apr"/>
    <n v="1061"/>
    <s v="Mahua BMC"/>
    <x v="890"/>
    <s v="Gomukh Paharpur"/>
    <s v="MPG"/>
    <s v="Direct"/>
    <n v="256.29999999999995"/>
    <n v="9893.0399999999991"/>
    <n v="247.4"/>
    <n v="10061.133587834402"/>
    <n v="0"/>
    <n v="0"/>
    <n v="247.4"/>
    <n v="10061.133587834402"/>
    <n v="9893.0399999999991"/>
    <n v="0"/>
    <n v="0"/>
    <n v="168.09358783440257"/>
    <n v="0"/>
    <n v="0"/>
    <n v="0"/>
    <n v="9893"/>
    <n v="0"/>
    <n v="0"/>
    <n v="0"/>
    <n v="0"/>
    <n v="342.53155271166611"/>
    <n v="36.614285714285707"/>
    <n v="-1.6991095541350545E-2"/>
    <n v="4"/>
    <m/>
    <s v="Mahua BMC"/>
    <m/>
    <n v="0"/>
  </r>
  <r>
    <s v="Munger"/>
    <s v="03-09 Apr"/>
    <n v="1061"/>
    <s v="Mahua BMC"/>
    <x v="891"/>
    <s v="GOMUKH PREMRAJ"/>
    <s v="MPG"/>
    <s v="Direct"/>
    <n v="457.9"/>
    <n v="20990.18"/>
    <n v="462.8"/>
    <n v="21541.705001963452"/>
    <n v="4.3"/>
    <n v="191.048418"/>
    <n v="467.1"/>
    <n v="21732.75341996345"/>
    <n v="20990.18"/>
    <n v="0"/>
    <n v="191.048418"/>
    <n v="742.57341996344985"/>
    <n v="0"/>
    <n v="0"/>
    <n v="0"/>
    <n v="20799"/>
    <n v="0"/>
    <n v="0"/>
    <n v="0"/>
    <n v="0"/>
    <n v="221.95774527189349"/>
    <n v="65.414285714285711"/>
    <n v="-3.5377182090074968E-2"/>
    <n v="11"/>
    <m/>
    <s v="Mahua BMC"/>
    <m/>
    <n v="0"/>
  </r>
  <r>
    <s v="Munger"/>
    <s v="03-09 Apr"/>
    <n v="1061"/>
    <s v="Mahua BMC"/>
    <x v="892"/>
    <s v="GOMUKH MAGURAHI"/>
    <s v="MPG"/>
    <s v="Direct"/>
    <n v="333.09999999999997"/>
    <n v="15964.079999999998"/>
    <n v="315.70000000000005"/>
    <n v="15039.238435233881"/>
    <n v="6.7"/>
    <n v="311.87903943240997"/>
    <n v="322.40000000000003"/>
    <n v="15351.117474666291"/>
    <n v="15351.117474666291"/>
    <n v="0"/>
    <n v="311.87903943240997"/>
    <n v="0"/>
    <n v="0"/>
    <n v="0"/>
    <n v="0"/>
    <n v="15039"/>
    <n v="0"/>
    <n v="0"/>
    <n v="613"/>
    <n v="0"/>
    <n v="351.67943272290609"/>
    <n v="47.585714285714282"/>
    <n v="3.8396357656295087E-2"/>
    <n v="16"/>
    <m/>
    <s v="Mahua BMC"/>
    <m/>
    <n v="0"/>
  </r>
  <r>
    <s v="Munger"/>
    <s v="03-09 Apr"/>
    <n v="1061"/>
    <s v="Mahua BMC"/>
    <x v="893"/>
    <s v="GOMUKH GANGATI"/>
    <s v="MPG"/>
    <s v="Direct"/>
    <n v="542.30000000000018"/>
    <n v="22185.75"/>
    <n v="559.70000000000005"/>
    <n v="22678.92604505155"/>
    <n v="0"/>
    <n v="0"/>
    <n v="559.70000000000005"/>
    <n v="22678.92604505155"/>
    <n v="22185.75"/>
    <n v="0"/>
    <n v="0"/>
    <n v="493.17604505155032"/>
    <n v="0"/>
    <n v="0"/>
    <n v="0"/>
    <n v="22186"/>
    <n v="0"/>
    <n v="0"/>
    <n v="0"/>
    <n v="0"/>
    <n v="129.03163470403811"/>
    <n v="77.471428571428604"/>
    <n v="-2.2229406039982885E-2"/>
    <n v="2"/>
    <m/>
    <s v="Mahua BMC"/>
    <m/>
    <n v="0"/>
  </r>
  <r>
    <s v="Munger"/>
    <s v="03-09 Apr"/>
    <n v="1061"/>
    <s v="Mahua BMC"/>
    <x v="894"/>
    <s v="GOMUKH Khanpatti"/>
    <s v="MPG"/>
    <s v="Direct"/>
    <n v="646.29999999999995"/>
    <n v="28598.909999999993"/>
    <n v="663.5"/>
    <n v="28183.435935268411"/>
    <n v="9.2000000000000011"/>
    <n v="389.77963596000001"/>
    <n v="672.7"/>
    <n v="28573.215571228411"/>
    <n v="28573.215571228411"/>
    <n v="0"/>
    <n v="389.77963596000001"/>
    <n v="0"/>
    <n v="0"/>
    <n v="0"/>
    <n v="0"/>
    <n v="28182"/>
    <n v="0"/>
    <n v="0"/>
    <n v="27"/>
    <n v="0"/>
    <n v="47.524724338542505"/>
    <n v="92.328571428571422"/>
    <n v="8.9844084168177909E-4"/>
    <n v="33"/>
    <m/>
    <s v="Mahua BMC"/>
    <m/>
    <n v="0"/>
  </r>
  <r>
    <s v="Munger"/>
    <s v="03-09 Apr"/>
    <n v="1061"/>
    <s v="Mahua BMC"/>
    <x v="895"/>
    <s v="GOMUKH Bhagwatpur"/>
    <s v="MPG"/>
    <s v="Direct"/>
    <n v="417.90000000000003"/>
    <n v="18098.96"/>
    <n v="419.10000000000008"/>
    <n v="18133.425031257706"/>
    <n v="0.3"/>
    <n v="12.038728680000002"/>
    <n v="419.40000000000009"/>
    <n v="18145.463759937706"/>
    <n v="18098.96"/>
    <n v="0"/>
    <n v="12.038728680000002"/>
    <n v="46.503759937706491"/>
    <n v="0"/>
    <n v="0"/>
    <n v="0"/>
    <n v="18087"/>
    <n v="0"/>
    <n v="0"/>
    <n v="0"/>
    <n v="0"/>
    <n v="244.35111825795639"/>
    <n v="59.7"/>
    <n v="-2.569416139806182E-3"/>
    <n v="15"/>
    <m/>
    <s v="Mahua BMC"/>
    <m/>
    <n v="0"/>
  </r>
  <r>
    <s v="Munger"/>
    <s v="03-09 Apr"/>
    <n v="1061"/>
    <s v="Mahua BMC"/>
    <x v="896"/>
    <s v="GOMUKH JIRWARA"/>
    <s v="vlc"/>
    <s v="Indirect"/>
    <n v="332.3"/>
    <n v="13408.73"/>
    <n v="0"/>
    <n v="0"/>
    <n v="0"/>
    <n v="0"/>
    <n v="0"/>
    <n v="0"/>
    <n v="13408.73"/>
    <n v="0"/>
    <n v="0"/>
    <n v="0"/>
    <n v="0"/>
    <n v="0"/>
    <n v="0"/>
    <n v="0"/>
    <n v="0"/>
    <n v="13408.73"/>
    <n v="0"/>
    <n v="0"/>
    <n v="296.74330550707191"/>
    <n v="47.471428571428575"/>
    <n v="0"/>
    <n v="0"/>
    <m/>
    <s v="Mahua BMC"/>
    <m/>
    <n v="0"/>
  </r>
  <r>
    <s v="Munger"/>
    <s v="03-09 Apr"/>
    <n v="1061"/>
    <s v="Mahua BMC"/>
    <x v="897"/>
    <s v="GOMUKH Karhatiya"/>
    <s v="vlc"/>
    <s v="Indirect"/>
    <n v="416.90000000000003"/>
    <n v="16531.170000000002"/>
    <n v="0"/>
    <n v="0"/>
    <n v="0"/>
    <n v="0"/>
    <n v="0"/>
    <n v="0"/>
    <n v="16531.170000000002"/>
    <n v="0"/>
    <n v="0"/>
    <n v="0"/>
    <n v="0"/>
    <n v="0"/>
    <n v="0"/>
    <n v="0"/>
    <n v="0"/>
    <n v="16531.170000000002"/>
    <n v="0"/>
    <n v="0"/>
    <n v="224.51303559606617"/>
    <n v="59.557142857142864"/>
    <n v="0"/>
    <n v="0"/>
    <m/>
    <s v="Mahua BMC"/>
    <m/>
    <n v="0"/>
  </r>
  <r>
    <s v="Munger"/>
    <s v="03-09 Apr"/>
    <n v="1061"/>
    <s v="Mahua BMC"/>
    <x v="898"/>
    <s v="GOMUKH JHIKTAHI"/>
    <s v="vlc"/>
    <s v="Indirect"/>
    <n v="18.100000000000001"/>
    <n v="678.88"/>
    <n v="0"/>
    <n v="0"/>
    <n v="0"/>
    <n v="0"/>
    <n v="0"/>
    <n v="0"/>
    <n v="678.88"/>
    <n v="0"/>
    <n v="0"/>
    <n v="0"/>
    <n v="0"/>
    <n v="0"/>
    <n v="0"/>
    <n v="0"/>
    <n v="0"/>
    <n v="678.88"/>
    <n v="0"/>
    <n v="0"/>
    <n v="511.52295248618782"/>
    <n v="2.5857142857142859"/>
    <n v="0"/>
    <n v="0"/>
    <m/>
    <s v="Mahua BMC"/>
    <m/>
    <n v="0"/>
  </r>
  <r>
    <s v="Munger"/>
    <s v="03-09 Apr"/>
    <n v="1061"/>
    <s v="Mahua BMC"/>
    <x v="899"/>
    <s v="Gomukh Karhatiya Bujurg"/>
    <s v="vlc"/>
    <s v="Indirect"/>
    <n v="430.8"/>
    <n v="15420.360000000002"/>
    <n v="0"/>
    <n v="0"/>
    <n v="0"/>
    <n v="0"/>
    <n v="0"/>
    <n v="0"/>
    <n v="15420.360000000002"/>
    <n v="0"/>
    <n v="0"/>
    <n v="0"/>
    <n v="0"/>
    <n v="0"/>
    <n v="0"/>
    <n v="0"/>
    <n v="0"/>
    <n v="15420.360000000002"/>
    <n v="0"/>
    <n v="0"/>
    <n v="192.71870529247914"/>
    <n v="61.542857142857144"/>
    <n v="0"/>
    <n v="0"/>
    <m/>
    <s v="Mahua BMC"/>
    <m/>
    <n v="0"/>
  </r>
  <r>
    <s v="Munger"/>
    <s v="03-09 Apr"/>
    <n v="1061"/>
    <s v="Mahua BMC"/>
    <x v="900"/>
    <s v="GOMUKH Bheraukhara"/>
    <s v="MPG"/>
    <s v="Direct"/>
    <n v="78.2"/>
    <n v="3443.35"/>
    <n v="80.599999999999994"/>
    <n v="3542.9447968260401"/>
    <n v="0"/>
    <n v="0"/>
    <n v="80.599999999999994"/>
    <n v="3542.9447968260401"/>
    <n v="3443.35"/>
    <n v="0"/>
    <n v="0"/>
    <n v="99.594796826040238"/>
    <n v="0"/>
    <n v="0"/>
    <n v="0"/>
    <n v="3443"/>
    <n v="0"/>
    <n v="0"/>
    <n v="0"/>
    <n v="0"/>
    <n v="547.58952173913042"/>
    <n v="11.171428571428573"/>
    <n v="-2.8923808740337242E-2"/>
    <n v="5"/>
    <m/>
    <s v="Mahua BMC"/>
    <m/>
    <n v="0"/>
  </r>
  <r>
    <s v="Munger"/>
    <s v="03-09 Apr"/>
    <n v="1061"/>
    <s v="Mahua BMC"/>
    <x v="901"/>
    <s v="GOMUKH SUPOLTARIYA"/>
    <s v="MPG"/>
    <s v="Direct"/>
    <n v="395.5"/>
    <n v="18029.86"/>
    <n v="424.69999999999993"/>
    <n v="18591.773007365598"/>
    <n v="0"/>
    <n v="0"/>
    <n v="424.69999999999993"/>
    <n v="18591.773007365598"/>
    <n v="18029.86"/>
    <n v="0"/>
    <n v="0"/>
    <n v="561.91300736559788"/>
    <n v="0"/>
    <n v="0"/>
    <n v="0"/>
    <n v="18030"/>
    <n v="0"/>
    <n v="0"/>
    <n v="0"/>
    <n v="0"/>
    <n v="277.62793274336286"/>
    <n v="56.5"/>
    <n v="-3.1165688883086049E-2"/>
    <n v="7"/>
    <m/>
    <s v="Mahua BMC"/>
    <m/>
    <n v="0"/>
  </r>
  <r>
    <s v="Munger"/>
    <s v="03-09 Apr"/>
    <n v="1061"/>
    <s v="Mahua BMC"/>
    <x v="902"/>
    <s v="GOMUKH Shravanapatti"/>
    <s v="MPG"/>
    <s v="Direct"/>
    <n v="110.2"/>
    <n v="5733.5800000000017"/>
    <n v="129.59999999999997"/>
    <n v="6625.7667717672002"/>
    <n v="0"/>
    <n v="0"/>
    <n v="129.59999999999997"/>
    <n v="6625.7667717672002"/>
    <n v="5733.5800000000017"/>
    <n v="0"/>
    <n v="0"/>
    <n v="892.18677176719848"/>
    <n v="0"/>
    <n v="0"/>
    <n v="0"/>
    <n v="5734"/>
    <n v="0"/>
    <n v="0"/>
    <n v="0"/>
    <n v="0"/>
    <n v="613.73239274047205"/>
    <n v="15.742857142857144"/>
    <n v="-0.15560727708817149"/>
    <n v="3"/>
    <m/>
    <s v="Mahua BMC"/>
    <m/>
    <n v="0"/>
  </r>
  <r>
    <s v="Munger"/>
    <s v="03-09 Apr"/>
    <n v="1061"/>
    <s v="Mahua BMC"/>
    <x v="903"/>
    <s v="GOMUKH Jilwara"/>
    <s v="MPG"/>
    <s v="Direct"/>
    <n v="267.79999999999995"/>
    <n v="11848.08"/>
    <n v="264.99999999999994"/>
    <n v="12039.0442017267"/>
    <n v="0"/>
    <n v="0"/>
    <n v="264.99999999999994"/>
    <n v="12039.0442017267"/>
    <n v="11848.08"/>
    <n v="0"/>
    <n v="0"/>
    <n v="190.96420172669968"/>
    <n v="0"/>
    <n v="0"/>
    <n v="0"/>
    <n v="11848"/>
    <n v="0"/>
    <n v="0"/>
    <n v="0"/>
    <n v="0"/>
    <n v="382.4301849141151"/>
    <n v="38.257142857142853"/>
    <n v="-1.6117733989532455E-2"/>
    <n v="12"/>
    <m/>
    <s v="Mahua BMC"/>
    <m/>
    <n v="0"/>
  </r>
  <r>
    <s v="Munger"/>
    <s v="03-09 Apr"/>
    <n v="1061"/>
    <s v="Mahua BMC"/>
    <x v="904"/>
    <s v="GOMUKH KHANPATTI EAST"/>
    <s v="vlc"/>
    <s v="Indirect"/>
    <n v="66.2"/>
    <n v="3259.58"/>
    <n v="0"/>
    <n v="0"/>
    <n v="0"/>
    <n v="0"/>
    <n v="0"/>
    <n v="0"/>
    <n v="3259.58"/>
    <n v="0"/>
    <n v="0"/>
    <n v="0"/>
    <n v="0"/>
    <n v="0"/>
    <n v="0"/>
    <n v="0"/>
    <n v="0"/>
    <n v="3259.58"/>
    <n v="0"/>
    <n v="0"/>
    <n v="624.14556012084574"/>
    <n v="9.4571428571428573"/>
    <n v="0"/>
    <n v="0"/>
    <m/>
    <s v="Mahua BMC"/>
    <m/>
    <n v="0"/>
  </r>
  <r>
    <s v="Munger"/>
    <s v="03-09 Apr"/>
    <n v="1061"/>
    <s v="Mahua BMC"/>
    <x v="905"/>
    <s v="GOMUKH ABBUCHAK"/>
    <s v="MPG"/>
    <s v="Direct"/>
    <n v="200.3"/>
    <n v="7864.1100000000006"/>
    <n v="200.7"/>
    <n v="8134.81305874385"/>
    <n v="0"/>
    <n v="0"/>
    <n v="200.7"/>
    <n v="8134.81305874385"/>
    <n v="7864.1100000000006"/>
    <n v="0"/>
    <n v="0"/>
    <n v="270.7030587438494"/>
    <n v="0"/>
    <n v="0"/>
    <n v="0"/>
    <n v="7864"/>
    <n v="0"/>
    <n v="0"/>
    <n v="0"/>
    <n v="0"/>
    <n v="392.38100519221166"/>
    <n v="28.614285714285717"/>
    <n v="-3.4422593115285692E-2"/>
    <n v="10"/>
    <m/>
    <s v="Mahua BMC"/>
    <m/>
    <n v="0"/>
  </r>
  <r>
    <s v="Munger"/>
    <s v="03-09 Apr"/>
    <n v="1061"/>
    <s v="Mahua BMC"/>
    <x v="906"/>
    <s v="Gomukh Husena"/>
    <s v="vlc"/>
    <s v="Indirect"/>
    <n v="78.8"/>
    <n v="3315.5299999999997"/>
    <n v="0"/>
    <n v="0"/>
    <n v="0"/>
    <n v="0"/>
    <n v="0"/>
    <n v="0"/>
    <n v="3315.5299999999997"/>
    <n v="0"/>
    <n v="0"/>
    <n v="0"/>
    <n v="0"/>
    <n v="0"/>
    <n v="0"/>
    <n v="0"/>
    <n v="0"/>
    <n v="3315.5299999999997"/>
    <n v="0"/>
    <n v="0"/>
    <n v="522.74295329949246"/>
    <n v="11.257142857142856"/>
    <n v="0"/>
    <n v="0"/>
    <m/>
    <s v="Mahua BMC"/>
    <m/>
    <n v="0"/>
  </r>
  <r>
    <s v="Munger"/>
    <s v="03-09 Apr"/>
    <n v="1061"/>
    <s v="Mahua BMC"/>
    <x v="907"/>
    <s v="GOMUKH KAILA JALALPUR"/>
    <s v="MPG"/>
    <s v="Direct"/>
    <n v="203.5"/>
    <n v="7584.91"/>
    <n v="200.39999999999998"/>
    <n v="7105.8207871973"/>
    <n v="0"/>
    <n v="0"/>
    <n v="200.39999999999998"/>
    <n v="7105.8207871973"/>
    <n v="7105.8207871973"/>
    <n v="0"/>
    <n v="0"/>
    <n v="0"/>
    <n v="0"/>
    <n v="0"/>
    <n v="0"/>
    <n v="7106"/>
    <n v="0"/>
    <n v="0"/>
    <n v="479"/>
    <n v="0"/>
    <n v="370.11379017199022"/>
    <n v="29.071428571428573"/>
    <n v="6.3163467042153421E-2"/>
    <n v="6"/>
    <m/>
    <s v="Mahua BMC"/>
    <m/>
    <n v="0"/>
  </r>
  <r>
    <s v="Munger"/>
    <s v="03-09 Apr"/>
    <n v="1061"/>
    <s v="Mahua BMC"/>
    <x v="908"/>
    <s v="Gomukh Dumari"/>
    <s v="vlc"/>
    <s v="Indirect"/>
    <n v="80"/>
    <n v="2656.35"/>
    <n v="0"/>
    <n v="0"/>
    <n v="0"/>
    <n v="0"/>
    <n v="0"/>
    <n v="0"/>
    <n v="2656.35"/>
    <n v="0"/>
    <n v="0"/>
    <n v="0"/>
    <n v="0"/>
    <n v="0"/>
    <n v="0"/>
    <n v="0"/>
    <n v="0"/>
    <n v="2656.35"/>
    <n v="0"/>
    <n v="0"/>
    <n v="411.73424999999997"/>
    <n v="11.428571428571429"/>
    <n v="0"/>
    <n v="0"/>
    <m/>
    <s v="Mahua BMC"/>
    <m/>
    <n v="0"/>
  </r>
  <r>
    <s v="Munger"/>
    <s v="03-09 Apr"/>
    <n v="1061"/>
    <s v="Mahua BMC"/>
    <x v="1020"/>
    <s v="Gomukh Jhitkahi East"/>
    <s v="MPG"/>
    <s v="Direct"/>
    <n v="25.4"/>
    <n v="1133.32"/>
    <n v="25.700000000000003"/>
    <n v="1210.6686414727001"/>
    <n v="0"/>
    <n v="0"/>
    <n v="25.700000000000003"/>
    <n v="1210.6686414727001"/>
    <n v="1133.32"/>
    <n v="0"/>
    <n v="0"/>
    <n v="77.348641472700137"/>
    <n v="0"/>
    <n v="0"/>
    <n v="0"/>
    <n v="1133"/>
    <n v="0"/>
    <n v="0"/>
    <n v="0"/>
    <n v="0"/>
    <n v="601.99816692913384"/>
    <n v="3.6285714285714286"/>
    <n v="-6.8249604235961728E-2"/>
    <n v="5"/>
    <m/>
    <s v="Mahua BMC"/>
    <m/>
    <n v="0"/>
  </r>
  <r>
    <s v="Munger"/>
    <s v="03-09 Apr"/>
    <n v="1061"/>
    <s v="Mahua BMC"/>
    <x v="909"/>
    <s v="GOMUKH UPHRAUL"/>
    <s v="vlc"/>
    <s v="Indirect"/>
    <n v="2438.3000000000002"/>
    <n v="88240.89"/>
    <n v="0"/>
    <n v="0"/>
    <n v="0"/>
    <n v="0"/>
    <n v="0"/>
    <n v="0"/>
    <n v="88240.89"/>
    <n v="0"/>
    <n v="0"/>
    <n v="0"/>
    <n v="0"/>
    <n v="0"/>
    <n v="0"/>
    <n v="0"/>
    <n v="0"/>
    <n v="88240.89"/>
    <n v="0"/>
    <n v="0"/>
    <n v="0"/>
    <n v="0"/>
    <n v="0"/>
    <n v="0"/>
    <m/>
    <s v="Mahua BMC"/>
    <m/>
    <n v="0"/>
  </r>
  <r>
    <s v="Munger"/>
    <s v="03-09 Apr"/>
    <n v="1061"/>
    <s v="Mahua BMC"/>
    <x v="910"/>
    <s v="GOMUKH SHERPUR"/>
    <s v="vlc"/>
    <s v="Indirect"/>
    <n v="211.10000000000002"/>
    <n v="7703.1100000000006"/>
    <n v="0"/>
    <n v="0"/>
    <n v="0"/>
    <n v="0"/>
    <n v="0"/>
    <n v="0"/>
    <n v="7703.1100000000006"/>
    <n v="0"/>
    <n v="0"/>
    <n v="0"/>
    <n v="0"/>
    <n v="0"/>
    <n v="0"/>
    <n v="0"/>
    <n v="0"/>
    <n v="7703.1100000000006"/>
    <n v="0"/>
    <n v="0"/>
    <n v="356.80250866887729"/>
    <n v="30.157142857142862"/>
    <n v="0"/>
    <n v="0"/>
    <m/>
    <s v="Mahua BMC"/>
    <m/>
    <n v="0"/>
  </r>
  <r>
    <s v="Munger"/>
    <s v="03-09 Apr"/>
    <n v="1061"/>
    <s v="Mahua BMC"/>
    <x v="911"/>
    <s v="GOMUKH SHAPUR CHAKUMAR"/>
    <s v="vlc"/>
    <s v="Indirect"/>
    <n v="249.4"/>
    <n v="9625.32"/>
    <n v="0"/>
    <n v="0"/>
    <n v="0"/>
    <n v="0"/>
    <n v="0"/>
    <n v="0"/>
    <n v="9625.32"/>
    <n v="0"/>
    <n v="0"/>
    <n v="0"/>
    <n v="0"/>
    <n v="0"/>
    <n v="0"/>
    <n v="0"/>
    <n v="0"/>
    <n v="9625.32"/>
    <n v="0"/>
    <n v="0"/>
    <n v="347.80827522052925"/>
    <n v="35.628571428571426"/>
    <n v="0"/>
    <n v="0"/>
    <m/>
    <s v="Mahua BMC"/>
    <m/>
    <n v="0"/>
  </r>
  <r>
    <s v="Munger"/>
    <s v="03-09 Apr"/>
    <n v="1061"/>
    <s v="Mahua BMC"/>
    <x v="912"/>
    <s v="GOMUKH PANSALA"/>
    <s v="vlc"/>
    <s v="Indirect"/>
    <n v="80.400000000000006"/>
    <n v="3081.48"/>
    <n v="0"/>
    <n v="0"/>
    <n v="0"/>
    <n v="0"/>
    <n v="0"/>
    <n v="0"/>
    <n v="3081.48"/>
    <n v="0"/>
    <n v="0"/>
    <n v="0"/>
    <n v="0"/>
    <n v="0"/>
    <n v="0"/>
    <n v="0"/>
    <n v="0"/>
    <n v="3081.48"/>
    <n v="0"/>
    <n v="0"/>
    <n v="474.94651940298507"/>
    <n v="11.485714285714286"/>
    <n v="0"/>
    <n v="0"/>
    <m/>
    <s v="Mahua BMC"/>
    <m/>
    <n v="0"/>
  </r>
  <r>
    <s v="Munger"/>
    <s v="03-09 Apr"/>
    <n v="1061"/>
    <s v="Mahua BMC"/>
    <x v="913"/>
    <s v="GOMUKH KUSIYARI"/>
    <s v="vlc"/>
    <s v="Indirect"/>
    <n v="887.09999999999991"/>
    <n v="33324.840000000004"/>
    <n v="0"/>
    <n v="0"/>
    <n v="0"/>
    <n v="0"/>
    <n v="0"/>
    <n v="0"/>
    <n v="33324.840000000004"/>
    <n v="0"/>
    <n v="0"/>
    <n v="0"/>
    <n v="0"/>
    <n v="0"/>
    <n v="0"/>
    <n v="0"/>
    <n v="0"/>
    <n v="33324.840000000004"/>
    <n v="0"/>
    <n v="0"/>
    <n v="0"/>
    <n v="0"/>
    <n v="0"/>
    <n v="0"/>
    <m/>
    <s v="Mahua BMC"/>
    <m/>
    <n v="0"/>
  </r>
  <r>
    <s v="Munger"/>
    <s v="03-09 Apr"/>
    <n v="1061"/>
    <s v="Mahua BMC"/>
    <x v="914"/>
    <s v="GOMUKH PACHAI"/>
    <s v="vlc"/>
    <s v="Indirect"/>
    <n v="542.1"/>
    <n v="19981.41"/>
    <n v="0"/>
    <n v="0"/>
    <n v="0"/>
    <n v="0"/>
    <n v="0"/>
    <n v="0"/>
    <n v="19981.41"/>
    <n v="0"/>
    <n v="0"/>
    <n v="0"/>
    <n v="0"/>
    <n v="0"/>
    <n v="0"/>
    <n v="0"/>
    <n v="0"/>
    <n v="19981.41"/>
    <n v="0"/>
    <n v="0"/>
    <n v="116.4015731045932"/>
    <n v="77.44285714285715"/>
    <n v="0"/>
    <n v="0"/>
    <m/>
    <s v="Mahua BMC"/>
    <m/>
    <n v="0"/>
  </r>
  <r>
    <s v="Munger"/>
    <s v="03-09 Apr"/>
    <n v="1061"/>
    <s v="Mahua BMC"/>
    <x v="915"/>
    <s v="GOMUKH GARAHI"/>
    <s v="vlc"/>
    <s v="Indirect"/>
    <n v="564.70000000000005"/>
    <n v="18034.96"/>
    <n v="0"/>
    <n v="0"/>
    <n v="0"/>
    <n v="0"/>
    <n v="0"/>
    <n v="0"/>
    <n v="18034.96"/>
    <n v="0"/>
    <n v="0"/>
    <n v="0"/>
    <n v="0"/>
    <n v="0"/>
    <n v="0"/>
    <n v="0"/>
    <n v="0"/>
    <n v="18034.96"/>
    <n v="0"/>
    <n v="0"/>
    <n v="86.422174180981017"/>
    <n v="80.671428571428578"/>
    <n v="0"/>
    <n v="0"/>
    <m/>
    <s v="Mahua BMC"/>
    <m/>
    <n v="0"/>
  </r>
  <r>
    <s v="Munger"/>
    <s v="03-09 Apr"/>
    <n v="1061"/>
    <s v="Mahua BMC"/>
    <x v="916"/>
    <s v="GOMUKH BAIKUNTHPUR"/>
    <s v="vlc"/>
    <s v="Indirect"/>
    <n v="216.30000000000004"/>
    <n v="8248.090000000002"/>
    <n v="0"/>
    <n v="0"/>
    <n v="0"/>
    <n v="0"/>
    <n v="0"/>
    <n v="0"/>
    <n v="8248.090000000002"/>
    <n v="0"/>
    <n v="0"/>
    <n v="0"/>
    <n v="0"/>
    <n v="0"/>
    <n v="0"/>
    <n v="0"/>
    <n v="0"/>
    <n v="8248.090000000002"/>
    <n v="0"/>
    <n v="0"/>
    <n v="368.89515792880258"/>
    <n v="30.900000000000006"/>
    <n v="0"/>
    <n v="0"/>
    <m/>
    <s v="Mahua BMC"/>
    <m/>
    <n v="0"/>
  </r>
  <r>
    <s v="Munger"/>
    <s v="03-09 Apr"/>
    <n v="1061"/>
    <s v="Mahua BMC"/>
    <x v="917"/>
    <s v="GOMUKH BAHASHI"/>
    <s v="vlc"/>
    <s v="Indirect"/>
    <n v="2483.6"/>
    <n v="93419.349999999991"/>
    <n v="0"/>
    <n v="0"/>
    <n v="0"/>
    <n v="0"/>
    <n v="0"/>
    <n v="0"/>
    <n v="93419.349999999991"/>
    <n v="0"/>
    <n v="0"/>
    <n v="0"/>
    <n v="0"/>
    <n v="0"/>
    <n v="0"/>
    <n v="0"/>
    <n v="0"/>
    <n v="93419.349999999991"/>
    <n v="0"/>
    <n v="0"/>
    <n v="0"/>
    <n v="0"/>
    <n v="0"/>
    <n v="0"/>
    <m/>
    <s v="Mahua BMC"/>
    <m/>
    <n v="0"/>
  </r>
  <r>
    <s v="Munger"/>
    <s v="03-09 Apr"/>
    <n v="1061"/>
    <s v="Mahua BMC"/>
    <x v="918"/>
    <s v="GOMUKH BAKHRI"/>
    <s v="vlc"/>
    <s v="Indirect"/>
    <n v="2210.6"/>
    <n v="85560.750000000015"/>
    <n v="0"/>
    <n v="0"/>
    <n v="0"/>
    <n v="0"/>
    <n v="0"/>
    <n v="0"/>
    <n v="85560.750000000015"/>
    <n v="0"/>
    <n v="0"/>
    <n v="0"/>
    <n v="0"/>
    <n v="0"/>
    <n v="0"/>
    <n v="0"/>
    <n v="0"/>
    <n v="85560.750000000015"/>
    <n v="0"/>
    <n v="0"/>
    <n v="0"/>
    <n v="0"/>
    <n v="0"/>
    <n v="0"/>
    <m/>
    <s v="Mahua BMC"/>
    <m/>
    <n v="0"/>
  </r>
  <r>
    <s v="Munger"/>
    <s v="03-09 Apr"/>
    <n v="1061"/>
    <s v="Mahua BMC"/>
    <x v="919"/>
    <s v="GOMUKH BAJITPUR"/>
    <s v="vlc"/>
    <s v="Indirect"/>
    <n v="205.49999999999997"/>
    <n v="7322.3700000000008"/>
    <n v="0"/>
    <n v="0"/>
    <n v="0"/>
    <n v="0"/>
    <n v="0"/>
    <n v="0"/>
    <n v="7322.3700000000008"/>
    <n v="0"/>
    <n v="0"/>
    <n v="0"/>
    <n v="0"/>
    <n v="0"/>
    <n v="0"/>
    <n v="0"/>
    <n v="0"/>
    <n v="7322.3700000000008"/>
    <n v="0"/>
    <n v="0"/>
    <n v="352.40019124087604"/>
    <n v="29.357142857142854"/>
    <n v="0"/>
    <n v="0"/>
    <m/>
    <s v="Mahua BMC"/>
    <m/>
    <n v="0"/>
  </r>
  <r>
    <s v="Munger"/>
    <s v="03-09 Apr"/>
    <n v="1061"/>
    <s v="Mahua BMC"/>
    <x v="920"/>
    <s v="GOMUKH PANAPUR"/>
    <s v="vlc"/>
    <s v="Indirect"/>
    <n v="1139.3"/>
    <n v="40089"/>
    <n v="0"/>
    <n v="0"/>
    <n v="0"/>
    <n v="0"/>
    <n v="0"/>
    <n v="0"/>
    <n v="40089"/>
    <n v="0"/>
    <n v="0"/>
    <n v="0"/>
    <n v="0"/>
    <n v="0"/>
    <n v="0"/>
    <n v="0"/>
    <n v="0"/>
    <n v="40089"/>
    <n v="0"/>
    <n v="0"/>
    <n v="0"/>
    <n v="0"/>
    <n v="0"/>
    <n v="0"/>
    <m/>
    <s v="Mahua BMC"/>
    <m/>
    <n v="0"/>
  </r>
  <r>
    <s v="Munger"/>
    <s v="03-09 Apr"/>
    <n v="1061"/>
    <s v="Mahua BMC"/>
    <x v="921"/>
    <s v="GOMUKH BISANPUR SAID"/>
    <s v="vlc"/>
    <s v="Indirect"/>
    <n v="540.70000000000005"/>
    <n v="21052.510000000002"/>
    <n v="0"/>
    <n v="0"/>
    <n v="0"/>
    <n v="0"/>
    <n v="0"/>
    <n v="0"/>
    <n v="21052.510000000002"/>
    <n v="0"/>
    <n v="0"/>
    <n v="0"/>
    <n v="0"/>
    <n v="0"/>
    <n v="0"/>
    <n v="0"/>
    <n v="0"/>
    <n v="21052.510000000002"/>
    <n v="0"/>
    <n v="0"/>
    <n v="124.04900473460326"/>
    <n v="77.242857142857147"/>
    <n v="0"/>
    <n v="0"/>
    <m/>
    <s v="Mahua BMC"/>
    <m/>
    <n v="0"/>
  </r>
  <r>
    <s v="Munger"/>
    <s v="03-09 Apr"/>
    <n v="1061"/>
    <s v="Mahua BMC"/>
    <x v="1021"/>
    <s v="GOMUKH BABA CHAUK"/>
    <s v="vlc"/>
    <s v="Indirect"/>
    <n v="557.80000000000007"/>
    <n v="21271.75"/>
    <n v="0"/>
    <n v="0"/>
    <n v="0"/>
    <n v="0"/>
    <n v="0"/>
    <n v="0"/>
    <n v="21271.75"/>
    <n v="0"/>
    <n v="0"/>
    <n v="0"/>
    <n v="0"/>
    <n v="0"/>
    <n v="0"/>
    <n v="0"/>
    <n v="0"/>
    <n v="21271.75"/>
    <n v="0"/>
    <n v="0"/>
    <n v="108.45617963427745"/>
    <n v="79.685714285714297"/>
    <n v="0"/>
    <n v="0"/>
    <m/>
    <s v="Mahua BMC"/>
    <m/>
    <n v="0"/>
  </r>
  <r>
    <s v="Munger"/>
    <s v="03-09 Apr"/>
    <n v="1061"/>
    <s v="Mahua BMC"/>
    <x v="1022"/>
    <s v="GOMUKH KHARIKA"/>
    <s v="vlc"/>
    <s v="Indirect"/>
    <n v="723.49999999999989"/>
    <n v="26370.86"/>
    <n v="0"/>
    <n v="0"/>
    <n v="0"/>
    <n v="0"/>
    <n v="0"/>
    <n v="0"/>
    <n v="26370.86"/>
    <n v="0"/>
    <n v="0"/>
    <n v="0"/>
    <n v="0"/>
    <n v="0"/>
    <n v="0"/>
    <n v="0"/>
    <n v="0"/>
    <n v="26370.86"/>
    <n v="0"/>
    <n v="0"/>
    <n v="0"/>
    <n v="0"/>
    <n v="0"/>
    <n v="0"/>
    <m/>
    <s v="Mahua BMC"/>
    <m/>
    <n v="0"/>
  </r>
  <r>
    <s v="Munger"/>
    <s v="03-09 Apr"/>
    <n v="1061"/>
    <s v="Mahua BMC"/>
    <x v="1023"/>
    <s v="GOMUKH KALYANPUR"/>
    <s v="vlc"/>
    <s v="Indirect"/>
    <n v="558.4"/>
    <n v="20967.469999999998"/>
    <n v="0"/>
    <n v="0"/>
    <n v="0"/>
    <n v="0"/>
    <n v="0"/>
    <n v="0"/>
    <n v="20967.469999999998"/>
    <n v="0"/>
    <n v="0"/>
    <n v="0"/>
    <n v="0"/>
    <n v="0"/>
    <n v="0"/>
    <n v="0"/>
    <n v="0"/>
    <n v="20967.469999999998"/>
    <n v="0"/>
    <n v="0"/>
    <n v="106.33931776504298"/>
    <n v="79.771428571428572"/>
    <n v="0"/>
    <n v="0"/>
    <m/>
    <s v="Mahua BMC"/>
    <m/>
    <n v="0"/>
  </r>
  <r>
    <s v="Munger"/>
    <s v="03-09 Apr"/>
    <n v="1061"/>
    <s v="Mahua BMC"/>
    <x v="1024"/>
    <s v="GOMUKH GOVINDPUR"/>
    <s v="vlc"/>
    <s v="Indirect"/>
    <n v="211.5"/>
    <n v="8972.68"/>
    <n v="0"/>
    <n v="0"/>
    <n v="0"/>
    <n v="0"/>
    <n v="0"/>
    <n v="0"/>
    <n v="8972.68"/>
    <n v="0"/>
    <n v="0"/>
    <n v="0"/>
    <n v="0"/>
    <n v="0"/>
    <n v="0"/>
    <n v="0"/>
    <n v="0"/>
    <n v="8972.68"/>
    <n v="0"/>
    <n v="0"/>
    <n v="414.48266477541375"/>
    <n v="30.214285714285715"/>
    <n v="0"/>
    <n v="0"/>
    <m/>
    <s v="Mahua BMC"/>
    <m/>
    <n v="0"/>
  </r>
  <r>
    <s v="Munger"/>
    <s v="03-09 Apr"/>
    <n v="1061"/>
    <s v="Mahua BMC"/>
    <x v="1025"/>
    <s v="GOMUKH SARMASTPUR"/>
    <s v="vlc"/>
    <s v="Indirect"/>
    <n v="170.2"/>
    <n v="5678.6100000000006"/>
    <n v="0"/>
    <n v="0"/>
    <n v="0"/>
    <n v="0"/>
    <n v="0"/>
    <n v="0"/>
    <n v="5678.6100000000006"/>
    <n v="0"/>
    <n v="0"/>
    <n v="0"/>
    <n v="0"/>
    <n v="0"/>
    <n v="0"/>
    <n v="0"/>
    <n v="0"/>
    <n v="5678.6100000000006"/>
    <n v="0"/>
    <n v="0"/>
    <n v="353.52850505287904"/>
    <n v="24.314285714285713"/>
    <n v="0"/>
    <n v="0"/>
    <m/>
    <s v="Mahua BMC"/>
    <m/>
    <n v="0"/>
  </r>
  <r>
    <s v="Munger"/>
    <s v="03-09 Apr"/>
    <n v="1061"/>
    <s v="Mahua BMC"/>
    <x v="1026"/>
    <s v="GOMUKH BALUAR"/>
    <s v="vlc"/>
    <s v="Indirect"/>
    <n v="619.29999999999995"/>
    <n v="21849.9"/>
    <n v="0"/>
    <n v="0"/>
    <n v="0"/>
    <n v="0"/>
    <n v="0"/>
    <n v="0"/>
    <n v="21849.9"/>
    <n v="0"/>
    <n v="0"/>
    <n v="0"/>
    <n v="0"/>
    <n v="0"/>
    <n v="0"/>
    <n v="0"/>
    <n v="0"/>
    <n v="21849.9"/>
    <n v="0"/>
    <n v="0"/>
    <n v="56.944515743581526"/>
    <n v="88.471428571428561"/>
    <n v="0"/>
    <n v="0"/>
    <m/>
    <s v="Mahua BMC"/>
    <m/>
    <n v="0"/>
  </r>
  <r>
    <s v="Munger"/>
    <s v="03-09 Apr"/>
    <n v="1057"/>
    <s v="Warisnagar"/>
    <x v="922"/>
    <s v="Madhuvan"/>
    <s v="MPG"/>
    <s v="Direct"/>
    <n v="0.03"/>
    <n v="1.0899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508.64486666666664"/>
    <n v="4.2857142857142859E-3"/>
    <n v="1"/>
    <n v="0"/>
    <m/>
    <s v="Warisnagar"/>
    <m/>
    <n v="0"/>
  </r>
  <r>
    <s v="Munger"/>
    <s v="03-09 Apr"/>
    <n v="1057"/>
    <s v="Warisnagar"/>
    <x v="923"/>
    <s v="Karua"/>
    <s v="MPG"/>
    <s v="Direct"/>
    <n v="70.900000000000006"/>
    <n v="2967.2499999999995"/>
    <n v="70.900000000000006"/>
    <n v="2953.5944324921602"/>
    <n v="0"/>
    <n v="0"/>
    <n v="70.900000000000006"/>
    <n v="2953.5944324921602"/>
    <n v="2953.5944324921602"/>
    <n v="0"/>
    <n v="0"/>
    <n v="0"/>
    <n v="0"/>
    <n v="0"/>
    <n v="0"/>
    <n v="2954"/>
    <n v="0"/>
    <n v="0"/>
    <n v="13"/>
    <n v="0"/>
    <n v="526.57178420310277"/>
    <n v="10.12857142857143"/>
    <n v="4.6020953771469721E-3"/>
    <n v="1"/>
    <m/>
    <s v="Warisnagar"/>
    <m/>
    <n v="0"/>
  </r>
  <r>
    <s v="Munger"/>
    <s v="03-09 Apr"/>
    <n v="1057"/>
    <s v="Warisnagar"/>
    <x v="924"/>
    <s v="Erout"/>
    <s v="MPG"/>
    <s v="Direct"/>
    <n v="92.699999999999989"/>
    <n v="4777.29"/>
    <n v="93.199999999999989"/>
    <n v="4814.8191430605202"/>
    <n v="0"/>
    <n v="0"/>
    <n v="93.199999999999989"/>
    <n v="4814.8191430605202"/>
    <n v="4777.29"/>
    <n v="0"/>
    <n v="0"/>
    <n v="37.529143060520255"/>
    <n v="0"/>
    <n v="0"/>
    <n v="0"/>
    <n v="4777"/>
    <n v="0"/>
    <n v="0"/>
    <n v="0"/>
    <n v="0"/>
    <n v="625.94352038834961"/>
    <n v="13.242857142857142"/>
    <n v="-7.8557389357816372E-3"/>
    <n v="1"/>
    <m/>
    <s v="Warisnagar"/>
    <m/>
    <n v="0"/>
  </r>
  <r>
    <s v="Munger"/>
    <s v="03-09 Apr"/>
    <n v="1057"/>
    <s v="Warisnagar"/>
    <x v="925"/>
    <s v="Murli"/>
    <s v="MPG"/>
    <s v="Direct"/>
    <n v="146.9"/>
    <n v="7190.53"/>
    <n v="141.47999999999999"/>
    <n v="7388.793603518302"/>
    <n v="0"/>
    <n v="0"/>
    <n v="141.47999999999999"/>
    <n v="7388.793603518302"/>
    <n v="7190.53"/>
    <n v="0"/>
    <n v="0"/>
    <n v="198.26360351830226"/>
    <n v="0"/>
    <n v="0"/>
    <n v="0"/>
    <n v="7191"/>
    <n v="0"/>
    <n v="0"/>
    <n v="0"/>
    <n v="0"/>
    <n v="541.46795684138863"/>
    <n v="20.985714285714288"/>
    <n v="-2.7572877592931574E-2"/>
    <n v="1"/>
    <m/>
    <s v="Warisnagar"/>
    <m/>
    <n v="0"/>
  </r>
  <r>
    <s v="Munger"/>
    <s v="03-09 Apr"/>
    <n v="1057"/>
    <s v="Warisnagar"/>
    <x v="926"/>
    <s v="Mahespur"/>
    <s v="MPG"/>
    <s v="Direct"/>
    <n v="136.50000000000003"/>
    <n v="5952.3700000000008"/>
    <n v="137"/>
    <n v="5958.8758999965103"/>
    <n v="0"/>
    <n v="0"/>
    <n v="137"/>
    <n v="5958.8758999965103"/>
    <n v="5952.3700000000008"/>
    <n v="0"/>
    <n v="0"/>
    <n v="6.5058999965094699"/>
    <n v="0"/>
    <n v="0"/>
    <n v="0"/>
    <n v="5952"/>
    <n v="0"/>
    <n v="0"/>
    <n v="0"/>
    <n v="0"/>
    <n v="491.45208717948714"/>
    <n v="19.500000000000004"/>
    <n v="-1.0929932105210982E-3"/>
    <n v="1"/>
    <m/>
    <s v="Warisnagar"/>
    <m/>
    <n v="0"/>
  </r>
  <r>
    <s v="Munger"/>
    <s v="03-09 Apr"/>
    <n v="1057"/>
    <s v="Warisnagar"/>
    <x v="927"/>
    <s v="Raj Nagar"/>
    <s v="MPG"/>
    <s v="Direct"/>
    <n v="233.49999999999997"/>
    <n v="9202.76"/>
    <n v="233.5"/>
    <n v="9201.930578280002"/>
    <n v="0"/>
    <n v="0"/>
    <n v="233.5"/>
    <n v="9201.930578280002"/>
    <n v="9201.930578280002"/>
    <n v="0"/>
    <n v="0"/>
    <n v="0"/>
    <n v="0"/>
    <n v="0"/>
    <n v="0"/>
    <n v="9202"/>
    <n v="0"/>
    <n v="0"/>
    <n v="1"/>
    <n v="0"/>
    <n v="367.71627751606002"/>
    <n v="33.357142857142854"/>
    <n v="9.0127496533453933E-5"/>
    <n v="1"/>
    <m/>
    <s v="Warisnagar"/>
    <m/>
    <n v="0"/>
  </r>
  <r>
    <s v="Munger"/>
    <s v="03-09 Apr"/>
    <n v="1057"/>
    <s v="Warisnagar"/>
    <x v="928"/>
    <s v="Nauapokhar"/>
    <s v="MPG"/>
    <s v="Direct"/>
    <n v="123.9"/>
    <n v="5973.9300000000012"/>
    <n v="127.6"/>
    <n v="6096.6120386849998"/>
    <n v="0"/>
    <n v="0"/>
    <n v="127.6"/>
    <n v="6096.6120386849998"/>
    <n v="5973.9300000000012"/>
    <n v="0"/>
    <n v="0"/>
    <n v="122.68203868499859"/>
    <n v="0"/>
    <n v="0"/>
    <n v="0"/>
    <n v="5974"/>
    <n v="0"/>
    <n v="0"/>
    <n v="0"/>
    <n v="0"/>
    <n v="555.541738983051"/>
    <n v="17.7"/>
    <n v="-2.0536236394634446E-2"/>
    <n v="1"/>
    <m/>
    <s v="Warisnagar"/>
    <m/>
    <n v="0"/>
  </r>
  <r>
    <s v="Munger"/>
    <s v="03-09 Apr"/>
    <n v="1057"/>
    <s v="Warisnagar"/>
    <x v="929"/>
    <s v="Erout 2"/>
    <s v="vlc"/>
    <s v="Indirect"/>
    <n v="457.6"/>
    <n v="18271.63"/>
    <n v="0"/>
    <n v="0"/>
    <n v="0"/>
    <n v="0"/>
    <n v="0"/>
    <n v="0"/>
    <n v="18271.63"/>
    <n v="0"/>
    <n v="0"/>
    <n v="0"/>
    <n v="0"/>
    <n v="0"/>
    <n v="0"/>
    <n v="0"/>
    <n v="0"/>
    <n v="18271.63"/>
    <n v="0"/>
    <n v="0"/>
    <n v="193.57705909090902"/>
    <n v="65.371428571428581"/>
    <n v="0"/>
    <n v="0"/>
    <m/>
    <s v="Warisnagar"/>
    <m/>
    <n v="0"/>
  </r>
  <r>
    <s v="Munger"/>
    <s v="03-09 Apr"/>
    <n v="1057"/>
    <s v="Warisnagar"/>
    <x v="930"/>
    <s v="Parsuram"/>
    <s v="vlc"/>
    <s v="Indirect"/>
    <n v="154.20000000000002"/>
    <n v="4957.1100000000006"/>
    <n v="0"/>
    <n v="0"/>
    <n v="0"/>
    <n v="0"/>
    <n v="0"/>
    <n v="0"/>
    <n v="4957.1100000000006"/>
    <n v="0"/>
    <n v="0"/>
    <n v="0"/>
    <n v="0"/>
    <n v="0"/>
    <n v="0"/>
    <n v="0"/>
    <n v="0"/>
    <n v="4957.1100000000006"/>
    <n v="0"/>
    <n v="0"/>
    <n v="350.91966770428013"/>
    <n v="22.028571428571432"/>
    <n v="0"/>
    <n v="0"/>
    <m/>
    <s v="Warisnagar"/>
    <m/>
    <n v="0"/>
  </r>
  <r>
    <s v="Munger"/>
    <s v="03-09 Apr"/>
    <n v="1057"/>
    <s v="Warisnagar"/>
    <x v="931"/>
    <s v="Gudarghat"/>
    <s v="vlc"/>
    <s v="Indirect"/>
    <n v="306.5"/>
    <n v="12302.409999999996"/>
    <n v="0"/>
    <n v="0"/>
    <n v="0"/>
    <n v="0"/>
    <n v="0"/>
    <n v="0"/>
    <n v="12302.409999999996"/>
    <n v="0"/>
    <n v="0"/>
    <n v="0"/>
    <n v="0"/>
    <n v="0"/>
    <n v="0"/>
    <n v="0"/>
    <n v="0"/>
    <n v="12302.409999999996"/>
    <n v="0"/>
    <n v="0"/>
    <n v="315.88896150081553"/>
    <n v="43.785714285714285"/>
    <n v="0"/>
    <n v="0"/>
    <m/>
    <s v="Warisnagar"/>
    <m/>
    <n v="0"/>
  </r>
  <r>
    <s v="Munger"/>
    <s v="03-09 Apr"/>
    <n v="1057"/>
    <s v="Warisnagar"/>
    <x v="1027"/>
    <s v="Siripur Gohar"/>
    <s v="MPG"/>
    <s v="Direct"/>
    <n v="687.9"/>
    <n v="24306.719999999998"/>
    <n v="688.8"/>
    <n v="24310.357888492803"/>
    <n v="0"/>
    <n v="0"/>
    <n v="688.8"/>
    <n v="24310.357888492803"/>
    <n v="24306.719999999998"/>
    <n v="0"/>
    <n v="0"/>
    <n v="3.6378884928053594"/>
    <n v="0"/>
    <n v="0"/>
    <n v="0"/>
    <n v="24307"/>
    <n v="0"/>
    <n v="0"/>
    <n v="0"/>
    <n v="0"/>
    <n v="8.5509903183602223"/>
    <n v="98.271428571428572"/>
    <n v="-1.4966595627897798E-4"/>
    <n v="1"/>
    <m/>
    <s v="Warisnagar"/>
    <m/>
    <n v="0"/>
  </r>
  <r>
    <s v="Munger"/>
    <s v="03-09 Apr"/>
    <n v="1057"/>
    <s v="Warisnagar"/>
    <x v="1028"/>
    <s v="Sedukha"/>
    <s v="MPG"/>
    <s v="Direct"/>
    <n v="118.41000000000001"/>
    <n v="4602.3500000000004"/>
    <n v="118.39999999999999"/>
    <n v="4602.2028030000001"/>
    <n v="0"/>
    <n v="0"/>
    <n v="118.39999999999999"/>
    <n v="4602.2028030000001"/>
    <n v="4602.2028030000001"/>
    <n v="0"/>
    <n v="0"/>
    <n v="0"/>
    <n v="0"/>
    <n v="0"/>
    <n v="0"/>
    <n v="4602"/>
    <n v="0"/>
    <n v="0"/>
    <n v="0"/>
    <n v="0"/>
    <n v="452.1038318554177"/>
    <n v="16.915714285714287"/>
    <n v="3.1983008680398694E-5"/>
    <n v="1"/>
    <m/>
    <s v="Warisnagar"/>
    <m/>
    <n v="0"/>
  </r>
  <r>
    <s v="Munger"/>
    <s v="03-09 Apr"/>
    <n v="1057"/>
    <s v="Warisnagar"/>
    <x v="933"/>
    <s v="Madhuban 2"/>
    <s v="vlc"/>
    <s v="Indirect"/>
    <n v="280.90000000000003"/>
    <n v="9721.43"/>
    <n v="0"/>
    <n v="0"/>
    <n v="0"/>
    <n v="0"/>
    <n v="0"/>
    <n v="0"/>
    <n v="9721.43"/>
    <n v="0"/>
    <n v="0"/>
    <n v="0"/>
    <n v="0"/>
    <n v="0"/>
    <n v="0"/>
    <n v="0"/>
    <n v="0"/>
    <n v="9721.43"/>
    <n v="0"/>
    <n v="0"/>
    <n v="290.08553314346739"/>
    <n v="40.128571428571433"/>
    <n v="0"/>
    <n v="0"/>
    <m/>
    <s v="Warisnagar"/>
    <m/>
    <n v="0"/>
  </r>
  <r>
    <s v="Munger"/>
    <s v="03-09 Apr"/>
    <n v="1057"/>
    <s v="Warisnagar"/>
    <x v="934"/>
    <s v="Yadav Jee"/>
    <s v="vlc"/>
    <s v="Indirect"/>
    <n v="153.4"/>
    <n v="5125.2299999999996"/>
    <n v="0"/>
    <n v="0"/>
    <n v="0"/>
    <n v="0"/>
    <n v="0"/>
    <n v="0"/>
    <n v="5125.2299999999996"/>
    <n v="0"/>
    <n v="0"/>
    <n v="0"/>
    <n v="0"/>
    <n v="0"/>
    <n v="0"/>
    <n v="0"/>
    <n v="0"/>
    <n v="5125.2299999999996"/>
    <n v="0"/>
    <n v="0"/>
    <n v="365.24781199478485"/>
    <n v="21.914285714285715"/>
    <n v="0"/>
    <n v="0"/>
    <m/>
    <s v="Warisnagar"/>
    <m/>
    <n v="0"/>
  </r>
  <r>
    <s v="Munger"/>
    <s v="03-09 Apr"/>
    <n v="1057"/>
    <s v="Warisnagar"/>
    <x v="935"/>
    <s v="Durgaashtan "/>
    <s v="vlc"/>
    <s v="Indirect"/>
    <n v="233.5"/>
    <n v="8247.07"/>
    <n v="0"/>
    <n v="0"/>
    <n v="0"/>
    <n v="0"/>
    <n v="0"/>
    <n v="0"/>
    <n v="8247.07"/>
    <n v="0"/>
    <n v="0"/>
    <n v="0"/>
    <n v="0"/>
    <n v="0"/>
    <n v="0"/>
    <n v="0"/>
    <n v="0"/>
    <n v="8247.07"/>
    <n v="0"/>
    <n v="0"/>
    <n v="329.52960642398284"/>
    <n v="33.357142857142854"/>
    <n v="0"/>
    <n v="0"/>
    <m/>
    <s v="Warisnagar"/>
    <m/>
    <n v="0"/>
  </r>
  <r>
    <s v="Munger"/>
    <s v="03-09 Apr"/>
    <n v="1057"/>
    <s v="Warisnagar"/>
    <x v="936"/>
    <s v="Purandahi"/>
    <s v="vlc"/>
    <s v="Indirect"/>
    <n v="94.800000000000011"/>
    <n v="3093.01"/>
    <n v="0"/>
    <n v="0"/>
    <n v="0"/>
    <n v="0"/>
    <n v="0"/>
    <n v="0"/>
    <n v="3093.01"/>
    <n v="0"/>
    <n v="0"/>
    <n v="0"/>
    <n v="0"/>
    <n v="0"/>
    <n v="0"/>
    <n v="0"/>
    <n v="0"/>
    <n v="3093.01"/>
    <n v="0"/>
    <n v="0"/>
    <n v="394.91342869198314"/>
    <n v="13.542857142857144"/>
    <n v="0"/>
    <n v="0"/>
    <m/>
    <s v="Warisnagar"/>
    <m/>
    <n v="0"/>
  </r>
  <r>
    <s v="Munger"/>
    <s v="03-09 Apr"/>
    <n v="1062"/>
    <s v="Singhia BMC"/>
    <x v="937"/>
    <s v="DUMRA "/>
    <s v="MPG"/>
    <s v="Direct"/>
    <n v="396.1699999999999"/>
    <n v="14796.459999999995"/>
    <n v="391.10000000000008"/>
    <n v="14321.369359395903"/>
    <n v="7.8999999999999986"/>
    <n v="288.86404536000003"/>
    <n v="399.00000000000006"/>
    <n v="14610.233404755903"/>
    <n v="14610.233404755903"/>
    <n v="0"/>
    <n v="288.86404536000003"/>
    <n v="0"/>
    <n v="0"/>
    <n v="0"/>
    <n v="0"/>
    <n v="14321"/>
    <n v="0"/>
    <n v="0"/>
    <n v="187"/>
    <n v="0"/>
    <n v="226.95350187040924"/>
    <n v="56.595714285714273"/>
    <n v="1.258588846549054E-2"/>
    <n v="4"/>
    <m/>
    <s v="Singhia BMC"/>
    <m/>
    <n v="0"/>
  </r>
  <r>
    <s v="Munger"/>
    <s v="03-09 Apr"/>
    <n v="1062"/>
    <s v="Singhia BMC"/>
    <x v="938"/>
    <s v="BALHA"/>
    <s v="MPG"/>
    <s v="Direct"/>
    <n v="492.72"/>
    <n v="19527.54"/>
    <n v="556.25"/>
    <n v="22023.1942586328"/>
    <n v="1"/>
    <n v="39.898120680000012"/>
    <n v="557.25"/>
    <n v="22063.092379312802"/>
    <n v="19527.54"/>
    <n v="0"/>
    <n v="39.898120680000012"/>
    <n v="2535.5523793128013"/>
    <n v="0"/>
    <n v="0"/>
    <n v="0"/>
    <n v="19488"/>
    <n v="0"/>
    <n v="0"/>
    <n v="0"/>
    <n v="0"/>
    <n v="164.29893209936674"/>
    <n v="70.388571428571439"/>
    <n v="-0.12984494612802233"/>
    <n v="9"/>
    <m/>
    <s v="Singhia BMC"/>
    <m/>
    <n v="0"/>
  </r>
  <r>
    <s v="Munger"/>
    <s v="03-09 Apr"/>
    <n v="1062"/>
    <s v="Singhia BMC"/>
    <x v="939"/>
    <s v="BHARIHAR"/>
    <s v="MPG"/>
    <s v="Direct"/>
    <n v="121.66999999999999"/>
    <n v="5079.29"/>
    <n v="108.75"/>
    <n v="4494.1240005750014"/>
    <n v="0.75000000000000011"/>
    <n v="30.915900873000002"/>
    <n v="109.5"/>
    <n v="4525.0399014480017"/>
    <n v="4525.0399014480017"/>
    <n v="0"/>
    <n v="30.915900873000002"/>
    <n v="0"/>
    <n v="0"/>
    <n v="0"/>
    <n v="0"/>
    <n v="4494"/>
    <n v="0"/>
    <n v="0"/>
    <n v="554"/>
    <n v="0"/>
    <n v="482.86443424015789"/>
    <n v="17.381428571428568"/>
    <n v="0.10911960107652807"/>
    <n v="2"/>
    <m/>
    <s v="Singhia BMC"/>
    <m/>
    <n v="0"/>
  </r>
  <r>
    <s v="Munger"/>
    <s v="03-09 Apr"/>
    <n v="1062"/>
    <s v="Singhia BMC"/>
    <x v="940"/>
    <s v="BARA"/>
    <s v="MPG"/>
    <s v="Direct"/>
    <n v="223.60999999999999"/>
    <n v="9329.6"/>
    <n v="227.75"/>
    <n v="9419.7952034999998"/>
    <n v="0.70000000000000007"/>
    <n v="29.212385399999999"/>
    <n v="228.45"/>
    <n v="9449.0075889"/>
    <n v="9329.6"/>
    <n v="0"/>
    <n v="29.212385399999999"/>
    <n v="119.40758889999961"/>
    <n v="0"/>
    <n v="0"/>
    <n v="0"/>
    <n v="9300"/>
    <n v="0"/>
    <n v="0"/>
    <n v="0"/>
    <n v="0"/>
    <n v="397.5249894011896"/>
    <n v="31.944285714285712"/>
    <n v="-1.2798789755187747E-2"/>
    <n v="2"/>
    <m/>
    <s v="Singhia BMC"/>
    <m/>
    <n v="0"/>
  </r>
  <r>
    <s v="Munger"/>
    <s v="03-09 Apr"/>
    <n v="1062"/>
    <s v="Singhia BMC"/>
    <x v="941"/>
    <s v="KABILASHI"/>
    <s v="MPG"/>
    <s v="Direct"/>
    <n v="122.22"/>
    <n v="5752.3899999999994"/>
    <n v="66.8"/>
    <n v="3281.4268562070802"/>
    <n v="22.9"/>
    <n v="1127.4159928682002"/>
    <n v="89.699999999999989"/>
    <n v="4408.8428490752804"/>
    <n v="4408.8428490752804"/>
    <n v="0"/>
    <n v="139.66098435620003"/>
    <n v="0"/>
    <n v="0"/>
    <n v="0"/>
    <n v="0"/>
    <n v="3281"/>
    <n v="988"/>
    <n v="0"/>
    <n v="1344"/>
    <n v="0"/>
    <n v="543.87430767468493"/>
    <n v="17.46"/>
    <n v="0.23356329298338938"/>
    <n v="9"/>
    <m/>
    <s v="Singhia BMC"/>
    <m/>
    <n v="0"/>
  </r>
  <r>
    <s v="Munger"/>
    <s v="03-09 Apr"/>
    <n v="1062"/>
    <s v="Singhia BMC"/>
    <x v="942"/>
    <s v="SULTANPUR"/>
    <s v="vlc"/>
    <s v="Indirect"/>
    <n v="249.8"/>
    <n v="10480.25"/>
    <n v="0"/>
    <n v="0"/>
    <n v="0"/>
    <n v="0"/>
    <n v="0"/>
    <n v="0"/>
    <n v="10480.25"/>
    <n v="0"/>
    <n v="0"/>
    <n v="0"/>
    <n v="0"/>
    <n v="0"/>
    <n v="0"/>
    <n v="0"/>
    <n v="0"/>
    <n v="10480.25"/>
    <n v="0"/>
    <n v="0"/>
    <n v="377.75889111289035"/>
    <n v="35.68571428571429"/>
    <n v="0"/>
    <n v="0"/>
    <m/>
    <s v="Singhia BMC"/>
    <m/>
    <n v="0"/>
  </r>
  <r>
    <s v="Munger"/>
    <s v="03-09 Apr"/>
    <n v="1062"/>
    <s v="Singhia BMC"/>
    <x v="943"/>
    <s v="SUKUMARPUR"/>
    <s v="MPG"/>
    <s v="Indirect"/>
    <n v="170.59999999999997"/>
    <n v="7075.88"/>
    <n v="0"/>
    <n v="0"/>
    <n v="0"/>
    <n v="0"/>
    <n v="0"/>
    <n v="0"/>
    <n v="7075.88"/>
    <n v="0"/>
    <n v="0"/>
    <n v="0"/>
    <n v="0"/>
    <n v="0"/>
    <n v="0"/>
    <n v="0"/>
    <n v="0"/>
    <n v="7075.88"/>
    <n v="0"/>
    <n v="0"/>
    <n v="439.15250550996501"/>
    <n v="24.371428571428567"/>
    <n v="0"/>
    <n v="0"/>
    <m/>
    <s v="Singhia BMC"/>
    <m/>
    <n v="0"/>
  </r>
  <r>
    <s v="Munger"/>
    <s v="03-09 Apr"/>
    <n v="1062"/>
    <s v="Singhia BMC"/>
    <x v="944"/>
    <s v="SISAUNA VLC"/>
    <s v="vlc"/>
    <s v="Indirect"/>
    <n v="169.8"/>
    <n v="7244.12"/>
    <n v="0"/>
    <n v="0"/>
    <n v="0"/>
    <n v="0"/>
    <n v="0"/>
    <n v="0"/>
    <n v="7244.12"/>
    <n v="0"/>
    <n v="0"/>
    <n v="0"/>
    <n v="0"/>
    <n v="0"/>
    <n v="0"/>
    <n v="0"/>
    <n v="0"/>
    <n v="7244.12"/>
    <n v="0"/>
    <n v="0"/>
    <n v="452.39486737338035"/>
    <n v="24.25714285714286"/>
    <n v="0"/>
    <n v="0"/>
    <m/>
    <s v="Singhia BMC"/>
    <m/>
    <n v="0"/>
  </r>
  <r>
    <s v="Munger"/>
    <s v="03-09 Apr"/>
    <n v="1062"/>
    <s v="Singhia BMC"/>
    <x v="945"/>
    <s v="Aditya Bishwas "/>
    <s v="vlc"/>
    <s v="Indirect"/>
    <n v="413.5"/>
    <n v="17370.68"/>
    <n v="0"/>
    <n v="0"/>
    <n v="0"/>
    <n v="0"/>
    <n v="0"/>
    <n v="0"/>
    <n v="17370.68"/>
    <n v="0"/>
    <n v="0"/>
    <n v="0"/>
    <n v="0"/>
    <n v="0"/>
    <n v="0"/>
    <n v="0"/>
    <n v="0"/>
    <n v="17370.68"/>
    <n v="0"/>
    <n v="0"/>
    <n v="240.71099492140269"/>
    <n v="59.071428571428569"/>
    <n v="0"/>
    <n v="0"/>
    <m/>
    <s v="Singhia BMC"/>
    <m/>
    <n v="0"/>
  </r>
  <r>
    <s v="Munger"/>
    <s v="03-09 Apr"/>
    <n v="1065"/>
    <s v="Bachhwara BMC"/>
    <x v="946"/>
    <s v="Gomukh Vijaiya"/>
    <s v="MPG"/>
    <s v="Direct"/>
    <n v="154.50000000000003"/>
    <n v="6936.1100000000006"/>
    <n v="108.9"/>
    <n v="5591.1266132110004"/>
    <n v="0"/>
    <n v="0"/>
    <n v="108.9"/>
    <n v="5591.1266132110004"/>
    <n v="5591.1266132110004"/>
    <n v="0"/>
    <n v="0"/>
    <n v="0"/>
    <n v="0"/>
    <n v="0"/>
    <n v="0"/>
    <n v="5591"/>
    <n v="0"/>
    <n v="0"/>
    <n v="1345"/>
    <n v="0"/>
    <n v="489.7926220064723"/>
    <n v="22.071428571428577"/>
    <n v="0.19391033112061373"/>
    <n v="2"/>
    <m/>
    <s v="Bachhwara BMC"/>
    <m/>
    <n v="0"/>
  </r>
  <r>
    <s v="Munger"/>
    <s v="03-09 Apr"/>
    <n v="1065"/>
    <s v="Bachhwara BMC"/>
    <x v="947"/>
    <s v="Gomukh Gangauli"/>
    <s v="MPG"/>
    <s v="Direct"/>
    <n v="884.2"/>
    <n v="36185.82"/>
    <n v="894.49999999999989"/>
    <n v="37208.032297709404"/>
    <n v="0"/>
    <n v="0"/>
    <n v="894.49999999999989"/>
    <n v="37208.032297709404"/>
    <n v="36185.82"/>
    <n v="0"/>
    <n v="0"/>
    <n v="1022.2122977094041"/>
    <n v="0"/>
    <n v="0"/>
    <n v="0"/>
    <n v="36186"/>
    <n v="0"/>
    <n v="0"/>
    <n v="0"/>
    <n v="0"/>
    <n v="0"/>
    <n v="0"/>
    <n v="-2.8248974258684868E-2"/>
    <n v="16"/>
    <m/>
    <s v="Bachhwara BMC"/>
    <m/>
    <n v="0"/>
  </r>
  <r>
    <s v="Munger"/>
    <s v="03-09 Apr"/>
    <n v="1065"/>
    <s v="Bachhwara BMC"/>
    <x v="948"/>
    <s v="Gomukh KARRAKH"/>
    <s v="MPG"/>
    <s v="Direct"/>
    <n v="239.29999999999998"/>
    <n v="9745.27"/>
    <n v="188.39999999999995"/>
    <n v="7377.9859776382991"/>
    <n v="0"/>
    <n v="0"/>
    <n v="188.39999999999995"/>
    <n v="7377.9859776382991"/>
    <n v="7377.9859776382991"/>
    <n v="0"/>
    <n v="0"/>
    <n v="0"/>
    <n v="0"/>
    <n v="0"/>
    <n v="0"/>
    <n v="7378"/>
    <n v="0"/>
    <n v="0"/>
    <n v="2367"/>
    <n v="0"/>
    <n v="375.23158286669462"/>
    <n v="34.185714285714283"/>
    <n v="0.24291620677125428"/>
    <n v="4"/>
    <m/>
    <s v="Bachhwara BMC"/>
    <m/>
    <n v="0"/>
  </r>
  <r>
    <s v="Munger"/>
    <s v="03-09 Apr"/>
    <n v="1065"/>
    <s v="Bachhwara BMC"/>
    <x v="949"/>
    <s v="MANDA"/>
    <s v="vlc"/>
    <s v="Indirect"/>
    <n v="91.300000000000011"/>
    <n v="3954.2399999999993"/>
    <n v="0"/>
    <n v="0"/>
    <n v="0"/>
    <n v="0"/>
    <n v="0"/>
    <n v="0"/>
    <n v="3954.2399999999993"/>
    <n v="0"/>
    <n v="0"/>
    <n v="0"/>
    <n v="0"/>
    <n v="0"/>
    <n v="0"/>
    <n v="0"/>
    <n v="0"/>
    <n v="3954.2399999999993"/>
    <n v="0"/>
    <n v="0"/>
    <n v="527.26087360350493"/>
    <n v="13.042857142857144"/>
    <n v="0"/>
    <n v="0"/>
    <m/>
    <s v="Bachhwara BMC"/>
    <m/>
    <n v="0"/>
  </r>
  <r>
    <s v="Munger"/>
    <s v="03-09 Apr"/>
    <n v="1065"/>
    <s v="Bachhwara BMC"/>
    <x v="950"/>
    <s v="KASHTOLI"/>
    <s v="vlc"/>
    <s v="Indirect"/>
    <n v="321.50000000000006"/>
    <n v="11683.879999999997"/>
    <n v="0"/>
    <n v="0"/>
    <n v="0"/>
    <n v="0"/>
    <n v="0"/>
    <n v="0"/>
    <n v="11683.879999999997"/>
    <n v="0"/>
    <n v="0"/>
    <n v="0"/>
    <n v="0"/>
    <n v="0"/>
    <n v="0"/>
    <n v="0"/>
    <n v="0"/>
    <n v="11683.879999999997"/>
    <n v="0"/>
    <n v="0"/>
    <n v="275.10722115085525"/>
    <n v="45.928571428571438"/>
    <n v="0"/>
    <n v="0"/>
    <m/>
    <s v="Bachhwara BMC"/>
    <m/>
    <n v="0"/>
  </r>
  <r>
    <s v="Munger"/>
    <s v="03-09 Apr"/>
    <n v="1065"/>
    <s v="Bachhwara BMC"/>
    <x v="951"/>
    <s v="Sakh Mohan"/>
    <s v="vlc"/>
    <s v="Indirect"/>
    <n v="140.4"/>
    <n v="4452.0200000000004"/>
    <n v="0"/>
    <n v="0"/>
    <n v="0"/>
    <n v="0"/>
    <n v="0"/>
    <n v="0"/>
    <n v="4452.0200000000004"/>
    <n v="0"/>
    <n v="0"/>
    <n v="0"/>
    <n v="0"/>
    <n v="0"/>
    <n v="0"/>
    <n v="0"/>
    <n v="0"/>
    <n v="4452.0200000000004"/>
    <n v="0"/>
    <n v="0"/>
    <n v="354.89321823361826"/>
    <n v="20.057142857142857"/>
    <n v="0"/>
    <n v="0"/>
    <m/>
    <s v="Bachhwara BMC"/>
    <m/>
    <n v="0"/>
  </r>
  <r>
    <s v="Munger"/>
    <s v="03-09 Apr"/>
    <n v="1065"/>
    <s v="Bachhwara BMC"/>
    <x v="1029"/>
    <s v="Fateha"/>
    <s v="vlc"/>
    <s v="Indirect"/>
    <n v="239.3"/>
    <n v="8308.5"/>
    <n v="0"/>
    <n v="0"/>
    <n v="0"/>
    <n v="0"/>
    <n v="0"/>
    <n v="0"/>
    <n v="8308.5"/>
    <n v="0"/>
    <n v="0"/>
    <n v="0"/>
    <n v="0"/>
    <n v="0"/>
    <n v="0"/>
    <n v="0"/>
    <n v="0"/>
    <n v="8308.5"/>
    <n v="0"/>
    <n v="0"/>
    <n v="319.91023401587967"/>
    <n v="34.18571428571429"/>
    <n v="0"/>
    <n v="0"/>
    <m/>
    <s v="Bachhwara BMC"/>
    <m/>
    <n v="0"/>
  </r>
  <r>
    <s v="Munger"/>
    <s v="10-16 Apr"/>
    <n v="1001"/>
    <s v="Majhaul"/>
    <x v="0"/>
    <s v="Gomukh Kumbhi"/>
    <s v="MPG"/>
    <s v="Direct"/>
    <n v="505.59999999999997"/>
    <n v="19150.870000000003"/>
    <n v="498.87"/>
    <n v="18766.421882856423"/>
    <n v="4.1700000000000008"/>
    <n v="153.508738284"/>
    <n v="503.04"/>
    <n v="18919.930621140422"/>
    <n v="18919.930621140422"/>
    <n v="0"/>
    <n v="153.508738284"/>
    <n v="0"/>
    <n v="5334"/>
    <n v="0"/>
    <n v="0"/>
    <n v="13431"/>
    <n v="0"/>
    <n v="0"/>
    <n v="232"/>
    <s v="Release3"/>
    <n v="147.26776613924054"/>
    <n v="72.228571428571428"/>
    <n v="1.2058949742731308E-2"/>
    <n v="18"/>
    <m/>
    <s v="Majhaul"/>
    <m/>
    <n v="0"/>
  </r>
  <r>
    <s v="Munger"/>
    <s v="10-16 Apr"/>
    <n v="1008"/>
    <s v="Teghra"/>
    <x v="1"/>
    <s v="Gomukh Amba"/>
    <s v="MPG"/>
    <s v="Direct"/>
    <n v="53.4"/>
    <n v="1847.1299999999999"/>
    <n v="53.3"/>
    <n v="1858.1547621780001"/>
    <n v="0"/>
    <n v="0"/>
    <n v="53.3"/>
    <n v="1858.1547621780001"/>
    <n v="1847.1299999999999"/>
    <n v="0"/>
    <n v="0"/>
    <n v="11.024762178000174"/>
    <n v="0"/>
    <n v="500"/>
    <n v="0"/>
    <n v="1347"/>
    <n v="0"/>
    <n v="0"/>
    <n v="0"/>
    <n v="0"/>
    <n v="447.32369213483145"/>
    <n v="7.6285714285714281"/>
    <n v="-5.9685902876355076E-3"/>
    <n v="1"/>
    <m/>
    <s v="Teghra"/>
    <m/>
    <n v="500"/>
  </r>
  <r>
    <s v="Munger"/>
    <s v="10-16 Apr"/>
    <n v="1001"/>
    <s v="Majhaul"/>
    <x v="2"/>
    <s v="Gomukh Jagdar                                                                                       "/>
    <s v="MPG"/>
    <s v="Direct"/>
    <n v="991.7"/>
    <n v="39326.94"/>
    <n v="984.77"/>
    <n v="39968.602412485518"/>
    <n v="11.21"/>
    <n v="435.48041908800002"/>
    <n v="995.98"/>
    <n v="40404.08283157352"/>
    <n v="39326.94"/>
    <n v="0"/>
    <n v="435.48041908800002"/>
    <n v="1077.1428315735175"/>
    <n v="0"/>
    <n v="0"/>
    <n v="0"/>
    <n v="38891"/>
    <n v="0"/>
    <n v="0"/>
    <n v="0"/>
    <s v="Release1"/>
    <n v="0"/>
    <n v="0"/>
    <n v="-2.7389439187831991E-2"/>
    <n v="11"/>
    <m/>
    <s v="Majhaul"/>
    <m/>
    <n v="0"/>
  </r>
  <r>
    <s v="Munger"/>
    <s v="10-16 Apr"/>
    <n v="1058"/>
    <s v="Hasanpur"/>
    <x v="3"/>
    <s v="Gomukh Goriyari"/>
    <s v="MPG"/>
    <s v="Direct"/>
    <n v="1053.1999999999998"/>
    <n v="39626.150000000009"/>
    <n v="840"/>
    <n v="31523.294919600001"/>
    <n v="281.60000000000002"/>
    <n v="10527.237406620001"/>
    <n v="1121.5999999999999"/>
    <n v="42050.532326220004"/>
    <n v="39626.150000000009"/>
    <n v="0"/>
    <n v="188.76547800000003"/>
    <n v="2424.3823262199949"/>
    <n v="0"/>
    <n v="0"/>
    <n v="0"/>
    <n v="29098"/>
    <n v="10339"/>
    <n v="0"/>
    <n v="0"/>
    <s v="Release2"/>
    <n v="0"/>
    <n v="0"/>
    <n v="-6.1181374577646185E-2"/>
    <n v="7"/>
    <m/>
    <s v="Hasanpur"/>
    <m/>
    <n v="0"/>
  </r>
  <r>
    <s v="Munger"/>
    <s v="10-16 Apr"/>
    <n v="1058"/>
    <s v="Hasanpur"/>
    <x v="4"/>
    <s v="Gomukh Kanausi"/>
    <s v="MPG"/>
    <s v="Direct"/>
    <n v="453.1"/>
    <n v="17816.900000000001"/>
    <n v="260.2"/>
    <n v="10332.879171119999"/>
    <n v="193.59999999999997"/>
    <n v="7572.6440262000015"/>
    <n v="453.79999999999995"/>
    <n v="17905.523197319999"/>
    <n v="17816.900000000001"/>
    <n v="0"/>
    <n v="156.89980152000004"/>
    <n v="88.623197319997416"/>
    <n v="0"/>
    <n v="0"/>
    <n v="0"/>
    <n v="10244"/>
    <n v="7416"/>
    <n v="0"/>
    <n v="0"/>
    <n v="0"/>
    <n v="194.17314544250721"/>
    <n v="64.728571428571428"/>
    <n v="-4.9741087012890803E-3"/>
    <n v="4"/>
    <m/>
    <s v="Hasanpur"/>
    <m/>
    <n v="0"/>
  </r>
  <r>
    <s v="Munger"/>
    <s v="10-16 Apr"/>
    <n v="1001"/>
    <s v="Majhaul"/>
    <x v="952"/>
    <s v="Mohanpur - Chandan"/>
    <s v="vlc"/>
    <s v="Indirect"/>
    <n v="118.1"/>
    <n v="4291.84"/>
    <n v="0"/>
    <n v="0"/>
    <n v="0"/>
    <n v="0"/>
    <n v="0"/>
    <n v="0"/>
    <n v="4291.84"/>
    <n v="0"/>
    <n v="0"/>
    <n v="0"/>
    <n v="0"/>
    <n v="0"/>
    <n v="0"/>
    <n v="0"/>
    <n v="0"/>
    <n v="4291.84"/>
    <n v="0"/>
    <n v="0"/>
    <n v="422.93339475021173"/>
    <n v="16.87142857142857"/>
    <n v="0"/>
    <n v="0"/>
    <m/>
    <s v="Majhaul"/>
    <m/>
    <n v="0"/>
  </r>
  <r>
    <s v="Munger"/>
    <s v="10-16 Apr"/>
    <n v="1001"/>
    <s v="Majhaul"/>
    <x v="5"/>
    <s v="Birpur-2 - Pankaj"/>
    <s v="vlc"/>
    <s v="Indirect"/>
    <n v="3343.2"/>
    <n v="114037.22"/>
    <n v="0"/>
    <n v="0"/>
    <n v="0"/>
    <n v="0"/>
    <n v="0"/>
    <n v="0"/>
    <n v="114037.22"/>
    <n v="0"/>
    <n v="0"/>
    <n v="0"/>
    <n v="0"/>
    <n v="0"/>
    <n v="0"/>
    <n v="0"/>
    <n v="0"/>
    <n v="114037.22"/>
    <n v="0"/>
    <n v="0"/>
    <n v="0"/>
    <n v="0"/>
    <n v="0"/>
    <n v="0"/>
    <m/>
    <s v="Majhaul"/>
    <m/>
    <n v="0"/>
  </r>
  <r>
    <s v="Munger"/>
    <s v="10-16 Apr"/>
    <n v="1058"/>
    <s v="Hasanpur"/>
    <x v="6"/>
    <s v="Ekamba - Ashutosh"/>
    <s v="vlc"/>
    <s v="Indirect"/>
    <n v="730.2"/>
    <n v="29272.269999999997"/>
    <n v="0"/>
    <n v="0"/>
    <n v="0"/>
    <n v="0"/>
    <n v="0"/>
    <n v="0"/>
    <n v="29272.269999999997"/>
    <n v="0"/>
    <n v="0"/>
    <n v="0"/>
    <n v="0"/>
    <n v="0"/>
    <n v="0"/>
    <n v="0"/>
    <n v="0"/>
    <n v="29272.269999999997"/>
    <n v="0"/>
    <n v="0"/>
    <n v="0"/>
    <n v="0"/>
    <n v="0"/>
    <n v="0"/>
    <m/>
    <s v="Hasanpur"/>
    <m/>
    <n v="0"/>
  </r>
  <r>
    <s v="Munger"/>
    <s v="10-16 Apr"/>
    <n v="1058"/>
    <s v="Hasanpur"/>
    <x v="7"/>
    <s v="Gomukh Dunahi"/>
    <s v="MPG"/>
    <s v="Direct"/>
    <n v="982.80000000000018"/>
    <n v="38508.789999999994"/>
    <n v="474.2"/>
    <n v="18584.03739456"/>
    <n v="517.99999999999989"/>
    <n v="20131.244317800003"/>
    <n v="992.19999999999982"/>
    <n v="38715.281712360003"/>
    <n v="38508.789999999994"/>
    <n v="0"/>
    <n v="223.46912016000005"/>
    <n v="206.49171236000984"/>
    <n v="0"/>
    <n v="0"/>
    <n v="0"/>
    <n v="18377"/>
    <n v="19908"/>
    <n v="0"/>
    <n v="0"/>
    <n v="0"/>
    <n v="0"/>
    <n v="0"/>
    <n v="-5.3621968480445604E-3"/>
    <n v="9"/>
    <m/>
    <s v="Hasanpur"/>
    <m/>
    <n v="0"/>
  </r>
  <r>
    <s v="Munger"/>
    <s v="10-16 Apr"/>
    <n v="1001"/>
    <s v="Majhaul"/>
    <x v="8"/>
    <s v="GOMUKH BIRPUR PASCHIM                                                                               "/>
    <s v="MPG"/>
    <s v="Direct"/>
    <n v="108.59999999999998"/>
    <n v="4428.4800000000005"/>
    <n v="109.2"/>
    <n v="4284.2854375200013"/>
    <n v="0"/>
    <n v="0"/>
    <n v="109.2"/>
    <n v="4284.2854375200013"/>
    <n v="4284.2854375200013"/>
    <n v="0"/>
    <n v="0"/>
    <n v="0"/>
    <n v="0"/>
    <n v="0"/>
    <n v="0"/>
    <n v="4284"/>
    <n v="0"/>
    <n v="0"/>
    <n v="144"/>
    <n v="0"/>
    <n v="482.32100773480687"/>
    <n v="15.514285714285711"/>
    <n v="3.2560734717103641E-2"/>
    <n v="2"/>
    <m/>
    <s v="Majhaul"/>
    <m/>
    <n v="0"/>
  </r>
  <r>
    <s v="Munger"/>
    <s v="10-16 Apr"/>
    <n v="1058"/>
    <s v="Hasanpur"/>
    <x v="9"/>
    <s v="Gomukh Harigiridham                                                                                 "/>
    <s v="MPG"/>
    <s v="Direct"/>
    <n v="851.7"/>
    <n v="29310.83"/>
    <n v="60"/>
    <n v="2062.4287463999999"/>
    <n v="781.5"/>
    <n v="26917.084855980003"/>
    <n v="841.5"/>
    <n v="28979.513602380004"/>
    <n v="28979.513602380004"/>
    <n v="0"/>
    <n v="141.50822400000001"/>
    <n v="0"/>
    <n v="0"/>
    <n v="0"/>
    <n v="0"/>
    <n v="2062"/>
    <n v="26773"/>
    <n v="0"/>
    <n v="334"/>
    <n v="0"/>
    <n v="0"/>
    <n v="0"/>
    <n v="1.130354881182135E-2"/>
    <n v="19"/>
    <m/>
    <s v="Hasanpur"/>
    <m/>
    <n v="0"/>
  </r>
  <r>
    <s v="Munger"/>
    <s v="10-16 Apr"/>
    <n v="1001"/>
    <s v="Majhaul"/>
    <x v="10"/>
    <s v="Manish Dairy                                                                                        "/>
    <s v="vlc"/>
    <s v="Indirect"/>
    <n v="12899"/>
    <n v="463886.91999999993"/>
    <n v="0"/>
    <n v="0"/>
    <n v="0"/>
    <n v="0"/>
    <n v="0"/>
    <n v="0"/>
    <n v="463886.91999999993"/>
    <n v="0"/>
    <n v="0"/>
    <n v="0"/>
    <n v="0"/>
    <n v="0"/>
    <n v="0"/>
    <n v="0"/>
    <n v="0"/>
    <n v="463886.91999999993"/>
    <n v="0"/>
    <n v="0"/>
    <n v="0"/>
    <n v="0"/>
    <n v="0"/>
    <n v="0"/>
    <m/>
    <s v="Majhaul"/>
    <m/>
    <n v="0"/>
  </r>
  <r>
    <s v="Munger"/>
    <s v="10-16 Apr"/>
    <n v="1001"/>
    <s v="Majhaul"/>
    <x v="11"/>
    <s v="Gomukh Bhith-02"/>
    <s v="MPG"/>
    <s v="Direct"/>
    <n v="772.5"/>
    <n v="34891.03"/>
    <n v="156"/>
    <n v="7396.0837796979604"/>
    <n v="678.63"/>
    <n v="31801.861257322726"/>
    <n v="834.63"/>
    <n v="39197.945037020683"/>
    <n v="34891.03"/>
    <n v="0"/>
    <n v="0"/>
    <n v="4306.9150370206844"/>
    <n v="0"/>
    <n v="0"/>
    <n v="0"/>
    <n v="3090"/>
    <n v="31801"/>
    <n v="0"/>
    <n v="0"/>
    <n v="0"/>
    <n v="0"/>
    <n v="0"/>
    <n v="-0.12343903395860439"/>
    <n v="8"/>
    <m/>
    <s v="Majhaul"/>
    <m/>
    <n v="0"/>
  </r>
  <r>
    <s v="Munger"/>
    <s v="10-16 Apr"/>
    <n v="1058"/>
    <s v="Hasanpur"/>
    <x v="1030"/>
    <s v="Gomukh Paguraha"/>
    <s v="MPG"/>
    <s v="Direct"/>
    <n v="250.39999999999998"/>
    <n v="10401.94"/>
    <n v="0"/>
    <n v="0"/>
    <n v="0"/>
    <n v="0"/>
    <n v="0"/>
    <n v="0"/>
    <n v="0"/>
    <n v="0"/>
    <n v="0"/>
    <n v="0"/>
    <n v="0"/>
    <n v="0"/>
    <n v="0"/>
    <n v="0"/>
    <n v="0"/>
    <n v="0"/>
    <n v="10402"/>
    <n v="0"/>
    <n v="373.53931501597452"/>
    <n v="35.771428571428565"/>
    <n v="1"/>
    <n v="0"/>
    <m/>
    <s v="Hasanpur"/>
    <m/>
    <n v="0"/>
  </r>
  <r>
    <s v="Munger"/>
    <s v="10-16 Apr"/>
    <n v="1001"/>
    <s v="Majhaul"/>
    <x v="12"/>
    <s v="Gomukh Sharmatola Sahuri"/>
    <s v="MPG"/>
    <s v="Direct"/>
    <n v="1120.3"/>
    <n v="41537.24"/>
    <n v="1090.74"/>
    <n v="41116.559156852803"/>
    <n v="36.22"/>
    <n v="1473.0594143760002"/>
    <n v="1126.96"/>
    <n v="42589.618571228806"/>
    <n v="41537.24"/>
    <n v="0"/>
    <n v="0"/>
    <n v="1052.3785712288081"/>
    <n v="0"/>
    <n v="0"/>
    <n v="0"/>
    <n v="40064"/>
    <n v="1473"/>
    <n v="0"/>
    <n v="0"/>
    <s v="Release1"/>
    <n v="0"/>
    <n v="0"/>
    <n v="-2.5335784737474328E-2"/>
    <n v="11"/>
    <m/>
    <s v="Majhaul"/>
    <m/>
    <n v="0"/>
  </r>
  <r>
    <s v="Munger"/>
    <s v="10-16 Apr"/>
    <n v="1001"/>
    <s v="Majhaul"/>
    <x v="13"/>
    <s v="Sangat- Sanjeev Kumar"/>
    <s v="vlc"/>
    <s v="Indirect"/>
    <n v="331.1"/>
    <n v="12067.07"/>
    <n v="0"/>
    <n v="0"/>
    <n v="0"/>
    <n v="0"/>
    <n v="0"/>
    <n v="0"/>
    <n v="12067.07"/>
    <n v="0"/>
    <n v="0"/>
    <n v="0"/>
    <n v="0"/>
    <n v="0"/>
    <n v="0"/>
    <n v="0"/>
    <n v="0"/>
    <n v="12067.07"/>
    <n v="0"/>
    <n v="0"/>
    <n v="268.89411797040168"/>
    <n v="47.300000000000004"/>
    <n v="0"/>
    <n v="0"/>
    <m/>
    <s v="Majhaul"/>
    <m/>
    <n v="0"/>
  </r>
  <r>
    <s v="Munger"/>
    <s v="10-16 Apr"/>
    <n v="1058"/>
    <s v="Hasanpur"/>
    <x v="14"/>
    <s v="Gomukh Garhi Bisanpur"/>
    <s v="MPG"/>
    <s v="Direct"/>
    <n v="141.6"/>
    <n v="6561.5499999999993"/>
    <n v="141.07"/>
    <n v="6540.1048175055694"/>
    <n v="2.69"/>
    <n v="121.90875683531303"/>
    <n v="143.76"/>
    <n v="6662.0135743408828"/>
    <n v="6561.5499999999993"/>
    <n v="0"/>
    <n v="121.90875683531303"/>
    <n v="100.4635743408835"/>
    <n v="0"/>
    <n v="0"/>
    <n v="0"/>
    <n v="6440"/>
    <n v="0"/>
    <n v="0"/>
    <n v="0"/>
    <s v="Release1"/>
    <n v="517.50981920903951"/>
    <n v="20.228571428571428"/>
    <n v="-1.5310951580172903E-2"/>
    <n v="8"/>
    <m/>
    <s v="Hasanpur"/>
    <m/>
    <n v="0"/>
  </r>
  <r>
    <s v="Munger"/>
    <s v="10-16 Apr"/>
    <n v="1058"/>
    <s v="Hasanpur"/>
    <x v="15"/>
    <s v="Bagaraha-Gopal Yadav"/>
    <s v="vlc"/>
    <s v="Indirect"/>
    <n v="66.600000000000009"/>
    <n v="2174.0699999999997"/>
    <n v="0"/>
    <n v="0"/>
    <n v="0"/>
    <n v="0"/>
    <n v="0"/>
    <n v="0"/>
    <n v="2174.0699999999997"/>
    <n v="0"/>
    <n v="0"/>
    <n v="0"/>
    <n v="0"/>
    <n v="0"/>
    <n v="0"/>
    <n v="0"/>
    <n v="0"/>
    <n v="2174.0699999999997"/>
    <n v="0"/>
    <n v="0"/>
    <n v="413.53031171171153"/>
    <n v="9.514285714285716"/>
    <n v="0"/>
    <n v="0"/>
    <m/>
    <s v="Hasanpur"/>
    <m/>
    <n v="0"/>
  </r>
  <r>
    <s v="Munger"/>
    <s v="10-16 Apr"/>
    <n v="1058"/>
    <s v="Hasanpur"/>
    <x v="16"/>
    <s v="Gomukh Barkurwa"/>
    <s v="MPG"/>
    <s v="Direct"/>
    <n v="398.5"/>
    <n v="15736.2"/>
    <n v="196.23999999999998"/>
    <n v="7495.5025808784003"/>
    <n v="192.84"/>
    <n v="8354.1961602704378"/>
    <n v="389.08"/>
    <n v="15849.698741148837"/>
    <n v="15736.2"/>
    <n v="0"/>
    <n v="355.72072298400013"/>
    <n v="113.49874114883642"/>
    <n v="0"/>
    <n v="0"/>
    <n v="0"/>
    <n v="7382"/>
    <n v="7998"/>
    <n v="0"/>
    <n v="0"/>
    <n v="0"/>
    <n v="238.11615056461736"/>
    <n v="56.928571428571431"/>
    <n v="-7.2125888809773907E-3"/>
    <n v="18"/>
    <m/>
    <s v="Hasanpur"/>
    <m/>
    <n v="0"/>
  </r>
  <r>
    <s v="Munger"/>
    <s v="10-16 Apr"/>
    <n v="1001"/>
    <s v="Majhaul"/>
    <x v="17"/>
    <s v="Kamla- Amarjeet"/>
    <s v="vlc"/>
    <s v="Indirect"/>
    <n v="1038.3"/>
    <n v="29575.080000000005"/>
    <n v="0"/>
    <n v="0"/>
    <n v="0"/>
    <n v="0"/>
    <n v="0"/>
    <n v="0"/>
    <n v="29575.080000000005"/>
    <n v="0"/>
    <n v="0"/>
    <n v="0"/>
    <n v="0"/>
    <n v="0"/>
    <n v="0"/>
    <n v="0"/>
    <n v="0"/>
    <n v="29575.080000000005"/>
    <n v="0"/>
    <n v="0"/>
    <n v="0"/>
    <n v="0"/>
    <n v="0"/>
    <n v="0"/>
    <m/>
    <s v="Majhaul"/>
    <m/>
    <n v="0"/>
  </r>
  <r>
    <s v="Munger"/>
    <s v="10-16 Apr"/>
    <n v="1058"/>
    <s v="Hasanpur"/>
    <x v="18"/>
    <s v="Gomukh Goha-02"/>
    <s v="MPG"/>
    <s v="Direct"/>
    <n v="469.5"/>
    <n v="19108.199999999997"/>
    <n v="471"/>
    <n v="19012.432499337599"/>
    <n v="4.2"/>
    <n v="158.56283520000002"/>
    <n v="475.2"/>
    <n v="19170.995334537598"/>
    <n v="19108.199999999997"/>
    <n v="0"/>
    <n v="158.56283520000002"/>
    <n v="62.795334537600866"/>
    <n v="0"/>
    <n v="500"/>
    <n v="0"/>
    <n v="18450"/>
    <n v="0"/>
    <n v="0"/>
    <n v="0"/>
    <n v="0"/>
    <n v="187.62258146964854"/>
    <n v="67.071428571428569"/>
    <n v="-3.2863029766069477E-3"/>
    <n v="3"/>
    <m/>
    <s v="Hasanpur"/>
    <m/>
    <n v="500"/>
  </r>
  <r>
    <s v="Munger"/>
    <s v="10-16 Apr"/>
    <n v="1001"/>
    <s v="Majhaul"/>
    <x v="19"/>
    <s v="Gomukh Cheria Bariarpur"/>
    <s v="MPG"/>
    <s v="Direct"/>
    <n v="1181"/>
    <n v="44497.52"/>
    <n v="1145.0600000000002"/>
    <n v="44250.616973841054"/>
    <n v="2.6300000000000008"/>
    <n v="101.52804024000001"/>
    <n v="1147.6900000000003"/>
    <n v="44352.145014081056"/>
    <n v="44352.145014081056"/>
    <n v="0"/>
    <n v="101.52804024000001"/>
    <n v="0"/>
    <n v="0"/>
    <n v="0"/>
    <n v="0"/>
    <n v="44252"/>
    <n v="0"/>
    <n v="0"/>
    <n v="144"/>
    <n v="0"/>
    <n v="0"/>
    <n v="0"/>
    <n v="3.2670356891561845E-3"/>
    <n v="12"/>
    <m/>
    <s v="Majhaul"/>
    <m/>
    <n v="0"/>
  </r>
  <r>
    <s v="Munger"/>
    <s v="10-16 Apr"/>
    <n v="1058"/>
    <s v="Hasanpur"/>
    <x v="20"/>
    <s v="Gomukh Rahul Nagar"/>
    <s v="MPG"/>
    <s v="Direct"/>
    <n v="420.29999999999995"/>
    <n v="17214.72"/>
    <n v="416.82000000000005"/>
    <n v="18973.04236780588"/>
    <n v="10.680000000000001"/>
    <n v="520.16884859254003"/>
    <n v="427.50000000000006"/>
    <n v="19493.21121639842"/>
    <n v="17214.72"/>
    <n v="0"/>
    <n v="415.22251839700004"/>
    <n v="2278.4912163984191"/>
    <n v="0"/>
    <n v="0"/>
    <n v="0"/>
    <n v="16694"/>
    <n v="105"/>
    <n v="0"/>
    <n v="0"/>
    <n v="0"/>
    <n v="229.12001827266246"/>
    <n v="60.042857142857137"/>
    <n v="-0.13235714646525873"/>
    <n v="8"/>
    <m/>
    <s v="Hasanpur"/>
    <m/>
    <n v="0"/>
  </r>
  <r>
    <s v="Munger"/>
    <s v="10-16 Apr"/>
    <n v="1058"/>
    <s v="Hasanpur"/>
    <x v="21"/>
    <s v="Gomukh Bagraha-01"/>
    <s v="MPG"/>
    <s v="Direct"/>
    <n v="207"/>
    <n v="8050.91"/>
    <n v="73.900000000000006"/>
    <n v="2823.5724659999996"/>
    <n v="0"/>
    <n v="0"/>
    <n v="73.900000000000006"/>
    <n v="2823.5724659999996"/>
    <n v="2823.5724659999996"/>
    <n v="0"/>
    <n v="0"/>
    <n v="0"/>
    <n v="0"/>
    <n v="500"/>
    <n v="0"/>
    <n v="2324"/>
    <n v="0"/>
    <n v="0"/>
    <n v="5227"/>
    <n v="0"/>
    <n v="383.48779033816419"/>
    <n v="29.571428571428573"/>
    <n v="0.64928530240680871"/>
    <n v="1"/>
    <m/>
    <s v="Hasanpur"/>
    <m/>
    <n v="500"/>
  </r>
  <r>
    <s v="Munger"/>
    <s v="10-16 Apr"/>
    <n v="1058"/>
    <s v="Hasanpur"/>
    <x v="22"/>
    <s v="Gomukh Shobhaipura"/>
    <s v="MPG"/>
    <s v="Direct"/>
    <n v="106.80000000000003"/>
    <n v="3995.04"/>
    <n v="106.80000000000003"/>
    <n v="4140.8724049776001"/>
    <n v="0"/>
    <n v="0"/>
    <n v="106.80000000000003"/>
    <n v="4140.8724049776001"/>
    <n v="3995.04"/>
    <n v="0"/>
    <n v="0"/>
    <n v="145.83240497760016"/>
    <n v="0"/>
    <n v="0"/>
    <n v="0"/>
    <n v="3995"/>
    <n v="0"/>
    <n v="0"/>
    <n v="0"/>
    <n v="0"/>
    <n v="443.79358202247175"/>
    <n v="15.257142857142862"/>
    <n v="-3.6503365417517766E-2"/>
    <n v="1"/>
    <m/>
    <s v="Hasanpur"/>
    <m/>
    <n v="0"/>
  </r>
  <r>
    <s v="Munger"/>
    <s v="10-16 Apr"/>
    <n v="1001"/>
    <s v="Majhaul"/>
    <x v="23"/>
    <s v="Gomukh Pirauna"/>
    <s v="MPG"/>
    <s v="Direct"/>
    <n v="184.60000000000002"/>
    <n v="6652.6600000000008"/>
    <n v="189.13"/>
    <n v="7146.8353359568428"/>
    <n v="1.5899999999999999"/>
    <n v="59.380619760000009"/>
    <n v="190.72"/>
    <n v="7206.2159557168425"/>
    <n v="6652.6600000000008"/>
    <n v="0"/>
    <n v="59.380619760000009"/>
    <n v="553.55595571684171"/>
    <n v="0"/>
    <n v="0"/>
    <n v="0"/>
    <n v="6593"/>
    <n v="0"/>
    <n v="0"/>
    <n v="0"/>
    <s v="Release1"/>
    <n v="371.48222795232942"/>
    <n v="26.371428571428574"/>
    <n v="-8.3208213814751034E-2"/>
    <n v="2"/>
    <m/>
    <s v="Majhaul"/>
    <m/>
    <n v="0"/>
  </r>
  <r>
    <s v="Munger"/>
    <s v="10-16 Apr"/>
    <n v="1001"/>
    <s v="Majhaul"/>
    <x v="24"/>
    <s v="Parra- Nagendra Kumar"/>
    <s v="vlc"/>
    <s v="Indirect"/>
    <n v="284.49999999999994"/>
    <n v="9886.8399999999983"/>
    <n v="0"/>
    <n v="0"/>
    <n v="0"/>
    <n v="0"/>
    <n v="0"/>
    <n v="0"/>
    <n v="9886.8399999999983"/>
    <n v="0"/>
    <n v="0"/>
    <n v="0"/>
    <n v="0"/>
    <n v="0"/>
    <n v="0"/>
    <n v="0"/>
    <n v="0"/>
    <n v="9886.8399999999983"/>
    <n v="0"/>
    <n v="0"/>
    <n v="288.78608224956071"/>
    <n v="40.642857142857132"/>
    <n v="0"/>
    <n v="0"/>
    <m/>
    <s v="Majhaul"/>
    <m/>
    <n v="0"/>
  </r>
  <r>
    <s v="Munger"/>
    <s v="10-16 Apr"/>
    <n v="1001"/>
    <s v="Majhaul"/>
    <x v="25"/>
    <s v="Gomukh Basahi"/>
    <s v="MPG"/>
    <s v="Direct"/>
    <n v="513.59999999999991"/>
    <n v="21519.129999999997"/>
    <n v="506.12999999999994"/>
    <n v="21400.122073195183"/>
    <n v="3.5700000000000003"/>
    <n v="146.11606614000002"/>
    <n v="509.69999999999993"/>
    <n v="21546.238139335182"/>
    <n v="21519.129999999997"/>
    <n v="0"/>
    <n v="146.11606614000002"/>
    <n v="27.108139335185115"/>
    <n v="0"/>
    <n v="0"/>
    <n v="0"/>
    <n v="21373"/>
    <n v="0"/>
    <n v="0"/>
    <n v="0"/>
    <n v="0"/>
    <n v="156.19804641744562"/>
    <n v="73.371428571428552"/>
    <n v="-1.2597228296490201E-3"/>
    <n v="22"/>
    <m/>
    <s v="Majhaul"/>
    <m/>
    <n v="0"/>
  </r>
  <r>
    <s v="Munger"/>
    <s v="10-16 Apr"/>
    <n v="1001"/>
    <s v="Majhaul"/>
    <x v="26"/>
    <s v="Mohanpur- Mukesh Kumar"/>
    <s v="vlc"/>
    <s v="Indirect"/>
    <n v="1363.6"/>
    <n v="51847.819999999992"/>
    <n v="0"/>
    <n v="0"/>
    <n v="0"/>
    <n v="0"/>
    <n v="0"/>
    <n v="0"/>
    <n v="51847.819999999992"/>
    <n v="0"/>
    <n v="0"/>
    <n v="0"/>
    <n v="0"/>
    <n v="0"/>
    <n v="0"/>
    <n v="0"/>
    <n v="0"/>
    <n v="51847.819999999992"/>
    <n v="0"/>
    <n v="0"/>
    <n v="0"/>
    <n v="0"/>
    <n v="0"/>
    <n v="0"/>
    <m/>
    <s v="Majhaul"/>
    <m/>
    <n v="0"/>
  </r>
  <r>
    <s v="Munger"/>
    <s v="10-16 Apr"/>
    <n v="1001"/>
    <s v="Majhaul"/>
    <x v="27"/>
    <s v="Gomukh Sawantpur"/>
    <s v="MPG"/>
    <s v="Direct"/>
    <n v="1166"/>
    <n v="44862.369999999995"/>
    <n v="1176.0700000000002"/>
    <n v="44786.117314702409"/>
    <n v="6.7199999999999989"/>
    <n v="249.38540482680003"/>
    <n v="1182.7900000000002"/>
    <n v="45035.502719529206"/>
    <n v="44862.369999999995"/>
    <n v="0"/>
    <n v="249.38540482680003"/>
    <n v="173.13271952921059"/>
    <n v="0"/>
    <n v="0"/>
    <n v="0"/>
    <n v="44613"/>
    <n v="0"/>
    <n v="0"/>
    <n v="0"/>
    <n v="0"/>
    <n v="0"/>
    <n v="0"/>
    <n v="-3.8591969066549673E-3"/>
    <n v="12"/>
    <m/>
    <s v="Majhaul"/>
    <m/>
    <n v="0"/>
  </r>
  <r>
    <s v="Munger"/>
    <s v="10-16 Apr"/>
    <n v="1001"/>
    <s v="Majhaul"/>
    <x v="28"/>
    <s v="Maida- Ram Kumar"/>
    <s v="vlc"/>
    <s v="Indirect"/>
    <n v="475.5"/>
    <n v="19637.650000000001"/>
    <n v="0"/>
    <n v="0"/>
    <n v="0"/>
    <n v="0"/>
    <n v="0"/>
    <n v="0"/>
    <n v="19637.650000000001"/>
    <n v="0"/>
    <n v="0"/>
    <n v="0"/>
    <n v="0"/>
    <n v="0"/>
    <n v="0"/>
    <n v="0"/>
    <n v="0"/>
    <n v="19637.650000000001"/>
    <n v="0"/>
    <n v="0"/>
    <n v="185.43227865404839"/>
    <n v="67.928571428571431"/>
    <n v="0"/>
    <n v="0"/>
    <m/>
    <s v="Majhaul"/>
    <m/>
    <n v="0"/>
  </r>
  <r>
    <s v="Munger"/>
    <s v="10-16 Apr"/>
    <n v="1001"/>
    <s v="Majhaul"/>
    <x v="29"/>
    <s v="Gomukh Aure Bikrampur"/>
    <s v="MPG"/>
    <s v="Direct"/>
    <n v="1263.0999999999999"/>
    <n v="52072.850000000006"/>
    <n v="1262.0500000000002"/>
    <n v="52927.645935783607"/>
    <n v="0"/>
    <n v="0"/>
    <n v="1262.0500000000002"/>
    <n v="52927.645935783607"/>
    <n v="52072.850000000006"/>
    <n v="0"/>
    <n v="0"/>
    <n v="854.79593578360073"/>
    <n v="0"/>
    <n v="0"/>
    <n v="0"/>
    <n v="52073"/>
    <n v="0"/>
    <n v="0"/>
    <n v="0"/>
    <n v="0"/>
    <n v="0"/>
    <n v="0"/>
    <n v="-1.6415386055950474E-2"/>
    <n v="5"/>
    <m/>
    <s v="Majhaul"/>
    <m/>
    <n v="0"/>
  </r>
  <r>
    <s v="Munger"/>
    <s v="10-16 Apr"/>
    <n v="1001"/>
    <s v="Majhaul"/>
    <x v="30"/>
    <s v="Manjhaul- Gulshan Kumar"/>
    <s v="vlc"/>
    <s v="Indirect"/>
    <n v="817.40000000000009"/>
    <n v="31096.369999999995"/>
    <n v="0"/>
    <n v="0"/>
    <n v="0"/>
    <n v="0"/>
    <n v="0"/>
    <n v="0"/>
    <n v="31096.369999999995"/>
    <n v="0"/>
    <n v="0"/>
    <n v="0"/>
    <n v="0"/>
    <n v="0"/>
    <n v="0"/>
    <n v="0"/>
    <n v="0"/>
    <n v="31096.369999999995"/>
    <n v="0"/>
    <n v="0"/>
    <n v="0"/>
    <n v="0"/>
    <n v="0"/>
    <n v="0"/>
    <m/>
    <s v="Majhaul"/>
    <m/>
    <n v="0"/>
  </r>
  <r>
    <s v="Munger"/>
    <s v="10-16 Apr"/>
    <n v="1001"/>
    <s v="Majhaul"/>
    <x v="31"/>
    <s v="Khaira Manjhaul"/>
    <s v="vlc"/>
    <s v="Indirect"/>
    <n v="842.9"/>
    <n v="31229.11"/>
    <n v="0"/>
    <n v="0"/>
    <n v="0"/>
    <n v="0"/>
    <n v="0"/>
    <n v="0"/>
    <n v="31229.11"/>
    <n v="0"/>
    <n v="0"/>
    <n v="0"/>
    <n v="0"/>
    <n v="0"/>
    <n v="0"/>
    <n v="0"/>
    <n v="0"/>
    <n v="31229.11"/>
    <n v="0"/>
    <n v="0"/>
    <n v="0"/>
    <n v="0"/>
    <n v="0"/>
    <n v="0"/>
    <m/>
    <s v="Majhaul"/>
    <m/>
    <n v="0"/>
  </r>
  <r>
    <s v="Munger"/>
    <s v="10-16 Apr"/>
    <n v="1001"/>
    <s v="Majhaul"/>
    <x v="32"/>
    <s v="Mehda Shahpur"/>
    <s v="vlc"/>
    <s v="Indirect"/>
    <n v="641.29999999999995"/>
    <n v="25260.610000000004"/>
    <n v="0"/>
    <n v="0"/>
    <n v="0"/>
    <n v="0"/>
    <n v="0"/>
    <n v="0"/>
    <n v="25260.610000000004"/>
    <n v="0"/>
    <n v="0"/>
    <n v="0"/>
    <n v="0"/>
    <n v="0"/>
    <n v="0"/>
    <n v="0"/>
    <n v="0"/>
    <n v="25260.610000000004"/>
    <n v="0"/>
    <n v="0"/>
    <n v="46.243499360673653"/>
    <n v="91.614285714285714"/>
    <n v="0"/>
    <n v="0"/>
    <m/>
    <s v="Majhaul"/>
    <m/>
    <n v="0"/>
  </r>
  <r>
    <s v="Munger"/>
    <s v="10-16 Apr"/>
    <n v="1058"/>
    <s v="Hasanpur"/>
    <x v="33"/>
    <s v="Gomukh Shobhaipura 02"/>
    <s v="MPG"/>
    <s v="Direct"/>
    <n v="206.79999999999998"/>
    <n v="9208.9699999999993"/>
    <n v="229.27999999999997"/>
    <n v="10809.212481410606"/>
    <n v="7.8"/>
    <n v="347.22473071332007"/>
    <n v="237.07999999999998"/>
    <n v="11156.437212123927"/>
    <n v="9208.9699999999993"/>
    <n v="0"/>
    <n v="347.22473071332007"/>
    <n v="1947.4672121239273"/>
    <n v="0"/>
    <n v="0"/>
    <n v="0"/>
    <n v="8862"/>
    <n v="0"/>
    <n v="0"/>
    <n v="0"/>
    <s v="Release1"/>
    <n v="439.25183791102518"/>
    <n v="29.542857142857141"/>
    <n v="-0.21147503055433209"/>
    <n v="11"/>
    <m/>
    <s v="Hasanpur"/>
    <m/>
    <n v="0"/>
  </r>
  <r>
    <s v="Munger"/>
    <s v="10-16 Apr"/>
    <n v="1001"/>
    <s v="Majhaul"/>
    <x v="34"/>
    <s v="Shri Bhairav Laxmipur"/>
    <s v="MPG"/>
    <s v="Direct"/>
    <n v="421.59999999999997"/>
    <n v="17303.939999999999"/>
    <n v="406.92"/>
    <n v="16303.93058487525"/>
    <n v="0"/>
    <n v="0"/>
    <n v="406.92"/>
    <n v="16303.93058487525"/>
    <n v="16303.93058487525"/>
    <n v="0"/>
    <n v="0"/>
    <n v="0"/>
    <n v="0"/>
    <n v="0"/>
    <n v="0"/>
    <n v="16302"/>
    <n v="0"/>
    <n v="0"/>
    <n v="1002"/>
    <n v="0"/>
    <n v="228.53021328273249"/>
    <n v="60.228571428571421"/>
    <n v="5.7790850819220863E-2"/>
    <n v="10"/>
    <m/>
    <s v="Majhaul"/>
    <m/>
    <n v="0"/>
  </r>
  <r>
    <s v="Munger"/>
    <s v="10-16 Apr"/>
    <n v="1001"/>
    <s v="Majhaul"/>
    <x v="35"/>
    <s v="Goapalpur"/>
    <s v="MPG"/>
    <s v="Direct"/>
    <n v="201.6"/>
    <n v="7253.9"/>
    <n v="215.06"/>
    <n v="8033.9768470764011"/>
    <n v="0"/>
    <n v="0"/>
    <n v="215.06"/>
    <n v="8033.9768470764011"/>
    <n v="7253.9"/>
    <n v="0"/>
    <n v="0"/>
    <n v="780.07684707640146"/>
    <n v="0"/>
    <n v="0"/>
    <n v="0"/>
    <n v="7254"/>
    <n v="0"/>
    <n v="0"/>
    <n v="0"/>
    <s v="Release1"/>
    <n v="358.66505555555551"/>
    <n v="28.8"/>
    <n v="-0.10753895795039931"/>
    <n v="11"/>
    <m/>
    <s v="Majhaul"/>
    <m/>
    <n v="0"/>
  </r>
  <r>
    <s v="Munger"/>
    <s v="10-16 Apr"/>
    <n v="1001"/>
    <s v="Majhaul"/>
    <x v="36"/>
    <s v="Gomukh Akaha"/>
    <s v="MPG"/>
    <s v="Direct"/>
    <n v="106.49999999999997"/>
    <n v="3662.2999999999997"/>
    <n v="112.2"/>
    <n v="4147.5101263200013"/>
    <n v="0"/>
    <n v="0"/>
    <n v="112.2"/>
    <n v="4147.5101263200013"/>
    <n v="3662.2999999999997"/>
    <n v="0"/>
    <n v="0"/>
    <n v="485.21012632000156"/>
    <n v="0"/>
    <n v="0"/>
    <n v="0"/>
    <n v="3662"/>
    <n v="0"/>
    <n v="0"/>
    <n v="0"/>
    <s v="Release1"/>
    <n v="408.1831079812207"/>
    <n v="15.21428571428571"/>
    <n v="-0.13248781539469776"/>
    <n v="2"/>
    <m/>
    <s v="Majhaul"/>
    <m/>
    <n v="0"/>
  </r>
  <r>
    <s v="Munger"/>
    <s v="10-16 Apr"/>
    <n v="1001"/>
    <s v="Majhaul"/>
    <x v="37"/>
    <s v="Gomukh Rajakpur"/>
    <s v="MPG"/>
    <s v="Direct"/>
    <n v="51.4"/>
    <n v="1623.94"/>
    <n v="45.769999999999996"/>
    <n v="1648.6252387665006"/>
    <n v="0"/>
    <n v="0"/>
    <n v="45.769999999999996"/>
    <n v="1648.6252387665006"/>
    <n v="1623.94"/>
    <n v="0"/>
    <n v="0"/>
    <n v="24.685238766500561"/>
    <n v="0"/>
    <n v="0"/>
    <n v="0"/>
    <n v="1624"/>
    <n v="0"/>
    <n v="0"/>
    <n v="0"/>
    <s v="Release1"/>
    <n v="409.83948793774329"/>
    <n v="7.3428571428571425"/>
    <n v="-1.5200831783502199E-2"/>
    <n v="2"/>
    <m/>
    <s v="Majhaul"/>
    <m/>
    <n v="0"/>
  </r>
  <r>
    <s v="Munger"/>
    <s v="10-16 Apr"/>
    <n v="1001"/>
    <s v="Majhaul"/>
    <x v="38"/>
    <s v="Gomukh Mohanpur"/>
    <s v="MPG"/>
    <s v="Direct"/>
    <n v="282.39999999999998"/>
    <n v="11166.960000000001"/>
    <n v="266.48999999999995"/>
    <n v="11405.186204945054"/>
    <n v="5.0600000000000005"/>
    <n v="189.01760248800002"/>
    <n v="271.54999999999995"/>
    <n v="11594.203807433054"/>
    <n v="11166.960000000001"/>
    <n v="0"/>
    <n v="189.01760248800002"/>
    <n v="427.24380743305301"/>
    <n v="0"/>
    <n v="0"/>
    <n v="0"/>
    <n v="10978"/>
    <n v="0"/>
    <n v="0"/>
    <n v="0"/>
    <n v="0"/>
    <n v="330.26363286118993"/>
    <n v="40.342857142857142"/>
    <n v="-3.8259634442413419E-2"/>
    <n v="13"/>
    <m/>
    <s v="Majhaul"/>
    <m/>
    <n v="0"/>
  </r>
  <r>
    <s v="Munger"/>
    <s v="10-16 Apr"/>
    <n v="1001"/>
    <s v="Majhaul"/>
    <x v="39"/>
    <s v="Gomukh Chakka"/>
    <s v="MPG"/>
    <s v="Direct"/>
    <n v="95.399999999999991"/>
    <n v="3673.2299999999991"/>
    <n v="93.13"/>
    <n v="3672.9769457839202"/>
    <n v="0"/>
    <n v="0"/>
    <n v="93.13"/>
    <n v="3672.9769457839202"/>
    <n v="3672.9769457839202"/>
    <n v="0"/>
    <n v="0"/>
    <n v="0"/>
    <n v="0"/>
    <n v="0"/>
    <n v="0"/>
    <n v="3673"/>
    <n v="0"/>
    <n v="0"/>
    <n v="0"/>
    <n v="0"/>
    <n v="465.58382767295592"/>
    <n v="13.628571428571428"/>
    <n v="6.889147047119518E-5"/>
    <n v="2"/>
    <m/>
    <s v="Majhaul"/>
    <m/>
    <n v="0"/>
  </r>
  <r>
    <s v="Munger"/>
    <s v="10-16 Apr"/>
    <n v="1001"/>
    <s v="Majhaul"/>
    <x v="1031"/>
    <s v="Gamharia"/>
    <s v="vlc"/>
    <s v="Indirect"/>
    <n v="260.10000000000002"/>
    <n v="9816.85"/>
    <n v="0"/>
    <n v="0"/>
    <n v="0"/>
    <n v="0"/>
    <n v="0"/>
    <n v="0"/>
    <n v="9816.85"/>
    <n v="0"/>
    <n v="0"/>
    <n v="0"/>
    <n v="0"/>
    <n v="0"/>
    <n v="0"/>
    <n v="0"/>
    <n v="0"/>
    <n v="9816.85"/>
    <n v="0"/>
    <n v="0"/>
    <n v="332.05938600538258"/>
    <n v="37.157142857142858"/>
    <n v="0"/>
    <n v="0"/>
    <m/>
    <s v="Majhaul"/>
    <m/>
    <n v="0"/>
  </r>
  <r>
    <s v="Munger"/>
    <s v="10-16 Apr"/>
    <n v="1001"/>
    <s v="Majhaul"/>
    <x v="40"/>
    <s v="Gomukh Meghaul-02"/>
    <s v="MPG"/>
    <s v="Direct"/>
    <n v="175.2"/>
    <n v="6291.27"/>
    <n v="174.18"/>
    <n v="6016.4842526910006"/>
    <n v="0"/>
    <n v="0"/>
    <n v="174.18"/>
    <n v="6016.4842526910006"/>
    <n v="6016.4842526910006"/>
    <n v="0"/>
    <n v="0"/>
    <n v="0"/>
    <n v="0"/>
    <n v="0"/>
    <n v="0"/>
    <n v="6016"/>
    <n v="0"/>
    <n v="0"/>
    <n v="275"/>
    <n v="0"/>
    <n v="376.9016547945206"/>
    <n v="25.028571428571428"/>
    <n v="4.3677309558960244E-2"/>
    <n v="4"/>
    <m/>
    <s v="Majhaul"/>
    <m/>
    <n v="0"/>
  </r>
  <r>
    <s v="Munger"/>
    <s v="10-16 Apr"/>
    <n v="1001"/>
    <s v="Majhaul"/>
    <x v="953"/>
    <s v="Gomukh Meida"/>
    <s v="MPG"/>
    <s v="Direct"/>
    <n v="247.99999999999997"/>
    <n v="8965.65"/>
    <n v="248.1"/>
    <n v="9383.1351728400005"/>
    <n v="0"/>
    <n v="0"/>
    <n v="248.1"/>
    <n v="9383.1351728400005"/>
    <n v="8965.65"/>
    <n v="0"/>
    <n v="0"/>
    <n v="417.48517284000081"/>
    <n v="0"/>
    <n v="0"/>
    <n v="0"/>
    <n v="8966"/>
    <n v="0"/>
    <n v="0"/>
    <n v="0"/>
    <n v="0"/>
    <n v="326.81240322580658"/>
    <n v="35.428571428571423"/>
    <n v="-4.6564964374027629E-2"/>
    <n v="1"/>
    <m/>
    <s v="Majhaul"/>
    <m/>
    <n v="0"/>
  </r>
  <r>
    <s v="Munger"/>
    <s v="10-16 Apr"/>
    <n v="1002"/>
    <s v="Laldiyara"/>
    <x v="41"/>
    <s v="PIPARIYA DIH -2"/>
    <s v="MPG"/>
    <s v="Direct"/>
    <n v="2921.1999999999994"/>
    <n v="130728.20000000003"/>
    <n v="1437.0000000000002"/>
    <n v="60306.956762746006"/>
    <n v="1502.1"/>
    <n v="72305.805440349999"/>
    <n v="2939.1000000000004"/>
    <n v="132612.762203096"/>
    <n v="130728.20000000003"/>
    <n v="0"/>
    <n v="1283.3320785100002"/>
    <n v="1884.5622030959785"/>
    <n v="0"/>
    <n v="0"/>
    <n v="0"/>
    <n v="58423"/>
    <n v="71022"/>
    <n v="0"/>
    <n v="0"/>
    <n v="0"/>
    <n v="0"/>
    <n v="0"/>
    <n v="-1.4415881218405655E-2"/>
    <n v="11"/>
    <m/>
    <s v="Laldiyara"/>
    <m/>
    <n v="0"/>
  </r>
  <r>
    <s v="Munger"/>
    <s v="10-16 Apr"/>
    <n v="1002"/>
    <s v="Laldiyara"/>
    <x v="42"/>
    <s v="LAL DIYARA -1"/>
    <s v="MPG"/>
    <s v="Direct"/>
    <n v="538.5"/>
    <n v="20312.339999999997"/>
    <n v="538.40000000000009"/>
    <n v="20322.70958916"/>
    <n v="0"/>
    <n v="0"/>
    <n v="538.40000000000009"/>
    <n v="20322.70958916"/>
    <n v="20312.339999999997"/>
    <n v="0"/>
    <n v="0"/>
    <n v="10.36958916000367"/>
    <n v="0"/>
    <n v="0"/>
    <n v="0"/>
    <n v="20312"/>
    <n v="0"/>
    <n v="0"/>
    <n v="0"/>
    <n v="0"/>
    <n v="121.83631977715875"/>
    <n v="76.928571428571431"/>
    <n v="-5.1050687217738932E-4"/>
    <n v="2"/>
    <m/>
    <s v="Laldiyara"/>
    <m/>
    <n v="0"/>
  </r>
  <r>
    <s v="Munger"/>
    <s v="10-16 Apr"/>
    <n v="1002"/>
    <s v="Laldiyara"/>
    <x v="43"/>
    <s v="GANGA KINARE KHUTHA"/>
    <s v="vlc"/>
    <s v="Indirect"/>
    <n v="162.9"/>
    <n v="6434.93"/>
    <n v="0"/>
    <n v="0"/>
    <n v="0"/>
    <n v="0"/>
    <n v="0"/>
    <n v="0"/>
    <n v="6434.93"/>
    <n v="0"/>
    <n v="0"/>
    <n v="0"/>
    <n v="0"/>
    <n v="0"/>
    <n v="0"/>
    <n v="0"/>
    <n v="0"/>
    <n v="6434.93"/>
    <n v="0"/>
    <n v="0"/>
    <n v="424.33405807243713"/>
    <n v="23.271428571428572"/>
    <n v="0"/>
    <n v="0"/>
    <m/>
    <s v="Laldiyara"/>
    <m/>
    <n v="0"/>
  </r>
  <r>
    <s v="Munger"/>
    <s v="10-16 Apr"/>
    <n v="1002"/>
    <s v="Laldiyara"/>
    <x v="44"/>
    <s v="Gomukh ID Khutaha Ganga"/>
    <s v="vlc"/>
    <s v="Indirect"/>
    <n v="220.9"/>
    <n v="8299.5199999999986"/>
    <n v="0"/>
    <n v="0"/>
    <n v="0"/>
    <n v="0"/>
    <n v="0"/>
    <n v="0"/>
    <n v="8299.5199999999986"/>
    <n v="0"/>
    <n v="0"/>
    <n v="0"/>
    <n v="0"/>
    <n v="0"/>
    <n v="0"/>
    <n v="0"/>
    <n v="0"/>
    <n v="8299.5199999999986"/>
    <n v="0"/>
    <n v="0"/>
    <n v="360.00905676776813"/>
    <n v="31.557142857142857"/>
    <n v="0"/>
    <n v="0"/>
    <m/>
    <s v="Laldiyara"/>
    <m/>
    <n v="0"/>
  </r>
  <r>
    <s v="Munger"/>
    <s v="10-16 Apr"/>
    <n v="1002"/>
    <s v="Laldiyara"/>
    <x v="45"/>
    <s v="Gomukh ID Khutaha Dhih"/>
    <s v="vlc"/>
    <s v="Indirect"/>
    <n v="2040.4000000000003"/>
    <n v="83851.299999999988"/>
    <n v="0"/>
    <n v="0"/>
    <n v="0"/>
    <n v="0"/>
    <n v="0"/>
    <n v="0"/>
    <n v="83851.299999999988"/>
    <n v="0"/>
    <n v="0"/>
    <n v="0"/>
    <n v="0"/>
    <n v="0"/>
    <n v="0"/>
    <n v="0"/>
    <n v="0"/>
    <n v="83851.299999999988"/>
    <n v="0"/>
    <n v="0"/>
    <n v="0"/>
    <n v="0"/>
    <n v="0"/>
    <n v="0"/>
    <m/>
    <s v="Laldiyara"/>
    <m/>
    <n v="0"/>
  </r>
  <r>
    <s v="Munger"/>
    <s v="10-16 Apr"/>
    <n v="1002"/>
    <s v="Laldiyara"/>
    <x v="46"/>
    <s v="GOMUKH RAHATPUR"/>
    <s v="MPG"/>
    <s v="Direct"/>
    <n v="471.30000000000007"/>
    <n v="17613.39"/>
    <n v="503.4"/>
    <n v="19175.574345840003"/>
    <n v="1.2"/>
    <n v="44.353267199999998"/>
    <n v="504.59999999999997"/>
    <n v="19219.927613040003"/>
    <n v="17613.39"/>
    <n v="0"/>
    <n v="44.353267199999998"/>
    <n v="1606.5376130400036"/>
    <n v="0"/>
    <n v="0"/>
    <n v="0"/>
    <n v="17569"/>
    <n v="0"/>
    <n v="0"/>
    <n v="0"/>
    <n v="0"/>
    <n v="170.93920190961165"/>
    <n v="67.328571428571436"/>
    <n v="-9.1211153164723183E-2"/>
    <n v="4"/>
    <m/>
    <s v="Laldiyara"/>
    <m/>
    <n v="0"/>
  </r>
  <r>
    <s v="Munger"/>
    <s v="10-16 Apr"/>
    <n v="1002"/>
    <s v="Laldiyara"/>
    <x v="954"/>
    <s v="KANHAIYA YADAV"/>
    <s v="vlc"/>
    <s v="Indirect"/>
    <n v="282.5"/>
    <n v="11897.85"/>
    <n v="0"/>
    <n v="0"/>
    <n v="0"/>
    <n v="0"/>
    <n v="0"/>
    <n v="0"/>
    <n v="11897.85"/>
    <n v="0"/>
    <n v="0"/>
    <n v="0"/>
    <n v="0"/>
    <n v="0"/>
    <n v="0"/>
    <n v="0"/>
    <n v="0"/>
    <n v="11897.85"/>
    <n v="0"/>
    <n v="0"/>
    <n v="351.67096460176987"/>
    <n v="40.357142857142854"/>
    <n v="0"/>
    <n v="0"/>
    <m/>
    <s v="Laldiyara"/>
    <m/>
    <n v="0"/>
  </r>
  <r>
    <s v="Munger"/>
    <s v="10-16 Apr"/>
    <n v="1002"/>
    <s v="Laldiyara"/>
    <x v="47"/>
    <s v="Vikash Kumar"/>
    <s v="vlc"/>
    <s v="Indirect"/>
    <n v="194.2"/>
    <n v="9240.68"/>
    <n v="0"/>
    <n v="0"/>
    <n v="0"/>
    <n v="0"/>
    <n v="0"/>
    <n v="0"/>
    <n v="9240.68"/>
    <n v="0"/>
    <n v="0"/>
    <n v="0"/>
    <n v="0"/>
    <n v="0"/>
    <n v="0"/>
    <n v="0"/>
    <n v="0"/>
    <n v="9240.68"/>
    <n v="0"/>
    <n v="0"/>
    <n v="481.35282636457276"/>
    <n v="27.74285714285714"/>
    <n v="0"/>
    <n v="0"/>
    <m/>
    <s v="Laldiyara"/>
    <m/>
    <n v="0"/>
  </r>
  <r>
    <s v="Munger"/>
    <s v="10-16 Apr"/>
    <n v="1002"/>
    <s v="Laldiyara"/>
    <x v="49"/>
    <s v="GOMUKH  LALDIYARA TIRASHI                                                                           "/>
    <s v="vlc"/>
    <s v="Indirect"/>
    <n v="13595.1"/>
    <n v="478770.71"/>
    <n v="0"/>
    <n v="0"/>
    <n v="0"/>
    <n v="0"/>
    <n v="0"/>
    <n v="0"/>
    <n v="478770.71"/>
    <n v="0"/>
    <n v="0"/>
    <n v="0"/>
    <n v="0"/>
    <n v="0"/>
    <n v="0"/>
    <n v="0"/>
    <n v="0"/>
    <n v="478770.71"/>
    <n v="0"/>
    <n v="0"/>
    <n v="0"/>
    <n v="0"/>
    <n v="0"/>
    <n v="0"/>
    <m/>
    <s v="Laldiyara"/>
    <m/>
    <n v="0"/>
  </r>
  <r>
    <s v="Munger"/>
    <s v="10-16 Apr"/>
    <n v="1002"/>
    <s v="Laldiyara"/>
    <x v="50"/>
    <s v="GOMUKH  LALDIYARA PURBI"/>
    <s v="vlc"/>
    <s v="Indirect"/>
    <n v="14612.899999999998"/>
    <n v="515016.54000000004"/>
    <n v="0"/>
    <n v="0"/>
    <n v="0"/>
    <n v="0"/>
    <n v="0"/>
    <n v="0"/>
    <n v="515016.54000000004"/>
    <n v="0"/>
    <n v="0"/>
    <n v="0"/>
    <n v="0"/>
    <n v="0"/>
    <n v="0"/>
    <n v="0"/>
    <n v="0"/>
    <n v="515016.54000000004"/>
    <n v="0"/>
    <n v="0"/>
    <n v="0"/>
    <n v="0"/>
    <n v="0"/>
    <n v="0"/>
    <m/>
    <s v="Laldiyara"/>
    <m/>
    <n v="0"/>
  </r>
  <r>
    <s v="Munger"/>
    <s v="10-16 Apr"/>
    <n v="1002"/>
    <s v="Laldiyara"/>
    <x v="51"/>
    <s v="GOMUKH RAMCHANDARPUR II"/>
    <s v="MPG"/>
    <s v="Direct"/>
    <n v="5283.9000000000005"/>
    <n v="220884.29"/>
    <n v="5937.5999999999985"/>
    <n v="222156.50586370006"/>
    <n v="40.799999999999997"/>
    <n v="1775.8675677600004"/>
    <n v="5978.3999999999987"/>
    <n v="223932.37343146006"/>
    <n v="220884.29"/>
    <n v="0"/>
    <n v="1775.8675677600004"/>
    <n v="3048.0834314600506"/>
    <n v="0"/>
    <n v="0"/>
    <n v="0"/>
    <n v="219108"/>
    <n v="0"/>
    <n v="0"/>
    <n v="0"/>
    <n v="0"/>
    <n v="0"/>
    <n v="0"/>
    <n v="-1.3799457767956474E-2"/>
    <n v="68"/>
    <m/>
    <s v="Laldiyara"/>
    <m/>
    <n v="0"/>
  </r>
  <r>
    <s v="Munger"/>
    <s v="10-16 Apr"/>
    <n v="1002"/>
    <s v="Laldiyara"/>
    <x v="52"/>
    <s v="WAKIL YADAV VLC"/>
    <s v="vlc"/>
    <s v="Indirect"/>
    <n v="335.4"/>
    <n v="16453.810000000001"/>
    <n v="0"/>
    <n v="0"/>
    <n v="0"/>
    <n v="0"/>
    <n v="0"/>
    <n v="0"/>
    <n v="16453.810000000001"/>
    <n v="0"/>
    <n v="0"/>
    <n v="0"/>
    <n v="0"/>
    <n v="0"/>
    <n v="0"/>
    <n v="0"/>
    <n v="0"/>
    <n v="16453.810000000001"/>
    <n v="0"/>
    <n v="0"/>
    <n v="357.72564853905794"/>
    <n v="47.914285714285711"/>
    <n v="0"/>
    <n v="0"/>
    <m/>
    <s v="Laldiyara"/>
    <m/>
    <n v="0"/>
  </r>
  <r>
    <s v="Munger"/>
    <s v="10-16 Apr"/>
    <n v="1002"/>
    <s v="Laldiyara"/>
    <x v="53"/>
    <s v="MUKTAR YADAV"/>
    <s v="vlc"/>
    <s v="Indirect"/>
    <n v="78.7"/>
    <n v="2956.12"/>
    <n v="0"/>
    <n v="0"/>
    <n v="0"/>
    <n v="0"/>
    <n v="0"/>
    <n v="0"/>
    <n v="2956.12"/>
    <n v="0"/>
    <n v="0"/>
    <n v="0"/>
    <n v="0"/>
    <n v="0"/>
    <n v="0"/>
    <n v="0"/>
    <n v="0"/>
    <n v="2956.12"/>
    <n v="0"/>
    <n v="0"/>
    <n v="466.74392782719178"/>
    <n v="11.242857142857144"/>
    <n v="0"/>
    <n v="0"/>
    <m/>
    <s v="Laldiyara"/>
    <m/>
    <n v="0"/>
  </r>
  <r>
    <s v="Munger"/>
    <s v="10-16 Apr"/>
    <n v="1002"/>
    <s v="Laldiyara"/>
    <x v="54"/>
    <s v="MOHANPUR"/>
    <s v="MPG"/>
    <s v="Direct"/>
    <n v="4834.7"/>
    <n v="210968.09"/>
    <n v="4256.9999999999991"/>
    <n v="184270.77069726528"/>
    <n v="675.4"/>
    <n v="27756.180809890211"/>
    <n v="4932.3999999999987"/>
    <n v="212026.95150715549"/>
    <n v="210968.09"/>
    <n v="0"/>
    <n v="1354.4999384400001"/>
    <n v="1058.8615071554959"/>
    <n v="0"/>
    <n v="0"/>
    <n v="0"/>
    <n v="183212"/>
    <n v="26402"/>
    <n v="0"/>
    <n v="0"/>
    <n v="0"/>
    <n v="0"/>
    <n v="0"/>
    <n v="-5.0190600254071405E-3"/>
    <n v="33"/>
    <m/>
    <s v="Laldiyara"/>
    <m/>
    <n v="0"/>
  </r>
  <r>
    <s v="Munger"/>
    <s v="10-16 Apr"/>
    <n v="1002"/>
    <s v="Laldiyara"/>
    <x v="55"/>
    <s v="Juwas"/>
    <s v="MPG"/>
    <s v="Direct"/>
    <n v="857.70000000000027"/>
    <n v="32589.85"/>
    <n v="844.8"/>
    <n v="31510.358631576004"/>
    <n v="8.0500000000000007"/>
    <n v="295.37843148000007"/>
    <n v="852.84999999999991"/>
    <n v="31805.737063056004"/>
    <n v="31805.737063056004"/>
    <n v="0"/>
    <n v="295.37843148000007"/>
    <n v="0"/>
    <n v="0"/>
    <n v="0"/>
    <n v="0"/>
    <n v="31511"/>
    <n v="0"/>
    <n v="0"/>
    <n v="783"/>
    <n v="0"/>
    <n v="0"/>
    <n v="0"/>
    <n v="2.4060035162604156E-2"/>
    <n v="26"/>
    <m/>
    <s v="Laldiyara"/>
    <m/>
    <n v="0"/>
  </r>
  <r>
    <s v="Munger"/>
    <s v="10-16 Apr"/>
    <n v="1002"/>
    <s v="Laldiyara"/>
    <x v="56"/>
    <s v="Morwariya"/>
    <s v="MPG"/>
    <s v="Direct"/>
    <n v="3875.1999999999989"/>
    <n v="160477.97999999995"/>
    <n v="3808.1099999999992"/>
    <n v="159927.39347502697"/>
    <n v="0"/>
    <n v="0"/>
    <n v="3808.1099999999992"/>
    <n v="159927.39347502697"/>
    <n v="159927.39347502697"/>
    <n v="0"/>
    <n v="0"/>
    <n v="0"/>
    <n v="0"/>
    <n v="0"/>
    <n v="0"/>
    <n v="159931"/>
    <n v="0"/>
    <n v="0"/>
    <n v="547"/>
    <s v="Release1"/>
    <n v="0"/>
    <n v="0"/>
    <n v="3.4309163473579575E-3"/>
    <n v="78"/>
    <m/>
    <s v="Laldiyara"/>
    <m/>
    <n v="0"/>
  </r>
  <r>
    <s v="Munger"/>
    <s v="10-16 Apr"/>
    <n v="1002"/>
    <s v="Laldiyara"/>
    <x v="57"/>
    <s v="Dumri 2"/>
    <s v="MPG"/>
    <s v="Direct"/>
    <n v="1183.5999999999999"/>
    <n v="45459.05999999999"/>
    <n v="1196.26"/>
    <n v="46374.787625611607"/>
    <n v="10.93"/>
    <n v="427.20108235200001"/>
    <n v="1207.19"/>
    <n v="46801.98870796361"/>
    <n v="45459.05999999999"/>
    <n v="0"/>
    <n v="427.20108235200001"/>
    <n v="1342.9287079636197"/>
    <n v="0"/>
    <n v="0"/>
    <n v="0"/>
    <n v="45032"/>
    <n v="0"/>
    <n v="0"/>
    <n v="0"/>
    <n v="0"/>
    <n v="0"/>
    <n v="0"/>
    <n v="-2.9541497513666581E-2"/>
    <n v="16"/>
    <m/>
    <s v="Laldiyara"/>
    <m/>
    <n v="0"/>
  </r>
  <r>
    <s v="Munger"/>
    <s v="10-16 Apr"/>
    <n v="1002"/>
    <s v="Laldiyara"/>
    <x v="58"/>
    <s v="Gomukh Jhakhaur"/>
    <s v="MPG"/>
    <s v="Direct"/>
    <n v="767.30000000000007"/>
    <n v="30640.16"/>
    <n v="763.58999999999992"/>
    <n v="30597.574579562392"/>
    <n v="2.25"/>
    <n v="81.332173593000007"/>
    <n v="765.83999999999992"/>
    <n v="30678.906753155392"/>
    <n v="30640.16"/>
    <n v="0"/>
    <n v="81.332173593000007"/>
    <n v="38.746753155392071"/>
    <n v="0"/>
    <n v="0"/>
    <n v="0"/>
    <n v="30559"/>
    <n v="0"/>
    <n v="0"/>
    <n v="0"/>
    <n v="0"/>
    <n v="0"/>
    <n v="0"/>
    <n v="-1.2645741130396209E-3"/>
    <n v="5"/>
    <m/>
    <s v="Laldiyara"/>
    <m/>
    <n v="0"/>
  </r>
  <r>
    <s v="Munger"/>
    <s v="10-16 Apr"/>
    <n v="1002"/>
    <s v="Laldiyara"/>
    <x v="59"/>
    <s v="Gomukh Repura"/>
    <s v="MPG"/>
    <s v="Direct"/>
    <n v="287.8"/>
    <n v="11182.630000000001"/>
    <n v="287.8"/>
    <n v="11182.289809680002"/>
    <n v="0"/>
    <n v="0"/>
    <n v="287.8"/>
    <n v="11182.289809680002"/>
    <n v="11182.289809680002"/>
    <n v="0"/>
    <n v="0"/>
    <n v="0"/>
    <n v="0"/>
    <n v="0"/>
    <n v="0"/>
    <n v="11182"/>
    <n v="0"/>
    <n v="0"/>
    <n v="1"/>
    <n v="0"/>
    <n v="320.32523182765811"/>
    <n v="41.114285714285714"/>
    <n v="3.0421315915776299E-5"/>
    <n v="1"/>
    <m/>
    <s v="Laldiyara"/>
    <m/>
    <n v="0"/>
  </r>
  <r>
    <s v="Munger"/>
    <s v="10-16 Apr"/>
    <n v="1002"/>
    <s v="Laldiyara"/>
    <x v="60"/>
    <s v="Gomukh Virupur"/>
    <s v="MPG"/>
    <s v="Direct"/>
    <n v="301.60000000000002"/>
    <n v="12093.51"/>
    <n v="309.59999999999997"/>
    <n v="12266.428460814002"/>
    <n v="2.59"/>
    <n v="100.478581632"/>
    <n v="312.18999999999994"/>
    <n v="12366.907042446002"/>
    <n v="12093.51"/>
    <n v="0"/>
    <n v="100.478581632"/>
    <n v="273.39704244600216"/>
    <n v="0"/>
    <n v="0"/>
    <n v="0"/>
    <n v="11993"/>
    <n v="0"/>
    <n v="0"/>
    <n v="0"/>
    <s v="Release1"/>
    <n v="319.49962758620688"/>
    <n v="43.085714285714289"/>
    <n v="-2.2606922427484012E-2"/>
    <n v="7"/>
    <m/>
    <s v="Laldiyara"/>
    <m/>
    <n v="0"/>
  </r>
  <r>
    <s v="Munger"/>
    <s v="10-16 Apr"/>
    <n v="1002"/>
    <s v="Laldiyara"/>
    <x v="61"/>
    <s v="Gomukh Diyarapipariya                                                                               "/>
    <s v="MPG"/>
    <s v="Direct"/>
    <n v="1177.6999999999998"/>
    <n v="50048.53"/>
    <n v="1167.48"/>
    <n v="49548.145664313743"/>
    <n v="12.690000000000001"/>
    <n v="551.00436698412"/>
    <n v="1180.17"/>
    <n v="50099.150031297861"/>
    <n v="50048.53"/>
    <n v="0"/>
    <n v="551.00436698412"/>
    <n v="50.620031297861715"/>
    <n v="0"/>
    <n v="0"/>
    <n v="0"/>
    <n v="49498"/>
    <n v="0"/>
    <n v="0"/>
    <n v="0"/>
    <n v="0"/>
    <n v="0"/>
    <n v="0"/>
    <n v="-1.0114189427314192E-3"/>
    <n v="19"/>
    <m/>
    <s v="Laldiyara"/>
    <m/>
    <n v="0"/>
  </r>
  <r>
    <s v="Munger"/>
    <s v="10-16 Apr"/>
    <n v="1002"/>
    <s v="Laldiyara"/>
    <x v="62"/>
    <s v="TAJPUR"/>
    <s v="MPG"/>
    <s v="Direct"/>
    <n v="1046.0999999999999"/>
    <n v="44321.590000000004"/>
    <n v="1029.1000000000001"/>
    <n v="41927.594908914973"/>
    <n v="12.77"/>
    <n v="496.86612624000003"/>
    <n v="1041.8700000000001"/>
    <n v="42424.461035154971"/>
    <n v="42424.461035154971"/>
    <n v="0"/>
    <n v="496.86612624000003"/>
    <n v="0"/>
    <n v="0"/>
    <n v="0"/>
    <n v="0"/>
    <n v="41927"/>
    <n v="0"/>
    <n v="0"/>
    <n v="1898"/>
    <n v="0"/>
    <n v="0"/>
    <n v="0"/>
    <n v="4.2803720824208531E-2"/>
    <n v="27"/>
    <m/>
    <s v="Laldiyara"/>
    <m/>
    <n v="0"/>
  </r>
  <r>
    <s v="Munger"/>
    <s v="10-16 Apr"/>
    <n v="1002"/>
    <s v="Laldiyara"/>
    <x v="63"/>
    <s v="PATHUA"/>
    <s v="MPG"/>
    <s v="Direct"/>
    <n v="1154.6000000000001"/>
    <n v="51098.81"/>
    <n v="1051.4000000000001"/>
    <n v="47245.856779209003"/>
    <n v="86.199999999999989"/>
    <n v="3578.1795728196003"/>
    <n v="1137.6000000000001"/>
    <n v="50824.036352028605"/>
    <n v="50824.036352028605"/>
    <n v="0"/>
    <n v="637.16198233800003"/>
    <n v="0"/>
    <n v="0"/>
    <n v="0"/>
    <n v="0"/>
    <n v="47246"/>
    <n v="2941"/>
    <n v="0"/>
    <n v="275"/>
    <n v="0"/>
    <n v="0"/>
    <n v="0"/>
    <n v="5.3773003318745207E-3"/>
    <n v="7"/>
    <m/>
    <s v="Laldiyara"/>
    <m/>
    <n v="0"/>
  </r>
  <r>
    <s v="Munger"/>
    <s v="10-16 Apr"/>
    <n v="1002"/>
    <s v="Laldiyara"/>
    <x v="64"/>
    <s v="LODIYA"/>
    <s v="MPG"/>
    <s v="Direct"/>
    <n v="237.9"/>
    <n v="10101.439999999999"/>
    <n v="235.68999999999994"/>
    <n v="10028.755195466581"/>
    <n v="3.65"/>
    <n v="153.98606282400002"/>
    <n v="239.33999999999995"/>
    <n v="10182.741258290582"/>
    <n v="10101.439999999999"/>
    <n v="0"/>
    <n v="153.98606282400002"/>
    <n v="81.301258290583064"/>
    <n v="0"/>
    <n v="500"/>
    <n v="0"/>
    <n v="9447"/>
    <n v="0"/>
    <n v="0"/>
    <n v="0"/>
    <n v="0"/>
    <n v="392.42332274064722"/>
    <n v="33.985714285714288"/>
    <n v="-8.0484820273726398E-3"/>
    <n v="7"/>
    <m/>
    <s v="Laldiyara"/>
    <m/>
    <n v="500"/>
  </r>
  <r>
    <s v="Munger"/>
    <s v="10-16 Apr"/>
    <n v="1002"/>
    <s v="Laldiyara"/>
    <x v="65"/>
    <s v="ADARSH LAXMIPUR-3"/>
    <s v="MPG"/>
    <s v="Direct"/>
    <n v="242.50000000000003"/>
    <n v="10633.630000000003"/>
    <n v="243.53"/>
    <n v="10853.987457220905"/>
    <n v="1.0699999999999998"/>
    <n v="41.20495909200001"/>
    <n v="244.6"/>
    <n v="10895.192416312904"/>
    <n v="10633.630000000003"/>
    <n v="0"/>
    <n v="41.20495909200001"/>
    <n v="261.56241631290141"/>
    <n v="0"/>
    <n v="500"/>
    <n v="0"/>
    <n v="10092"/>
    <n v="0"/>
    <n v="0"/>
    <n v="0"/>
    <n v="0"/>
    <n v="401.22768865979384"/>
    <n v="34.642857142857146"/>
    <n v="-2.4597660094709081E-2"/>
    <n v="6"/>
    <m/>
    <s v="Laldiyara"/>
    <m/>
    <n v="500"/>
  </r>
  <r>
    <s v="Munger"/>
    <s v="10-16 Apr"/>
    <n v="1002"/>
    <s v="Laldiyara"/>
    <x v="66"/>
    <s v="BHANPUR"/>
    <s v="MPG"/>
    <s v="Direct"/>
    <n v="416.29999999999995"/>
    <n v="15388.659999999998"/>
    <n v="416.2"/>
    <n v="15384.763563840002"/>
    <n v="0"/>
    <n v="0"/>
    <n v="416.2"/>
    <n v="15384.763563840002"/>
    <n v="15384.763563840002"/>
    <n v="0"/>
    <n v="0"/>
    <n v="0"/>
    <n v="0"/>
    <n v="500"/>
    <n v="0"/>
    <n v="14885"/>
    <n v="0"/>
    <n v="0"/>
    <n v="4"/>
    <n v="0"/>
    <n v="209.74118866202261"/>
    <n v="59.471428571428568"/>
    <n v="2.5320178365079052E-4"/>
    <n v="1"/>
    <m/>
    <s v="Laldiyara"/>
    <m/>
    <n v="500"/>
  </r>
  <r>
    <s v="Munger"/>
    <s v="10-16 Apr"/>
    <n v="1002"/>
    <s v="Laldiyara"/>
    <x v="67"/>
    <s v="Karari Pipariya 2"/>
    <s v="MPG"/>
    <s v="Direct"/>
    <n v="1227.0999999999999"/>
    <n v="52196.579999999994"/>
    <n v="1225.77"/>
    <n v="52308.185963182237"/>
    <n v="9.99"/>
    <n v="421.87030304364004"/>
    <n v="1235.76"/>
    <n v="52730.056266225874"/>
    <n v="52196.579999999994"/>
    <n v="0"/>
    <n v="421.87030304364004"/>
    <n v="533.47626622587995"/>
    <n v="0"/>
    <n v="0"/>
    <n v="0"/>
    <n v="51775"/>
    <n v="0"/>
    <n v="0"/>
    <n v="0"/>
    <n v="0"/>
    <n v="0"/>
    <n v="0"/>
    <n v="-1.0220521463779428E-2"/>
    <n v="9"/>
    <m/>
    <s v="Laldiyara"/>
    <m/>
    <n v="0"/>
  </r>
  <r>
    <s v="Munger"/>
    <s v="10-16 Apr"/>
    <n v="1002"/>
    <s v="Laldiyara"/>
    <x v="68"/>
    <s v="DIYARA PIPARIYA-THANA                                                                               "/>
    <s v="MPG"/>
    <s v="Direct"/>
    <n v="1193.1999999999998"/>
    <n v="52785.369999999995"/>
    <n v="1188.1100000000001"/>
    <n v="51422.269319068771"/>
    <n v="7.57"/>
    <n v="324.3328648280401"/>
    <n v="1195.68"/>
    <n v="51746.602183896808"/>
    <n v="51746.602183896808"/>
    <n v="0"/>
    <n v="324.3328648280401"/>
    <n v="0"/>
    <n v="0"/>
    <n v="0"/>
    <n v="0"/>
    <n v="51422"/>
    <n v="0"/>
    <n v="0"/>
    <n v="1039"/>
    <n v="0"/>
    <n v="0"/>
    <n v="0"/>
    <n v="1.9679085627384772E-2"/>
    <n v="23"/>
    <m/>
    <s v="Laldiyara"/>
    <m/>
    <n v="0"/>
  </r>
  <r>
    <s v="Munger"/>
    <s v="10-16 Apr"/>
    <n v="1002"/>
    <s v="Laldiyara"/>
    <x v="69"/>
    <s v="SRI RAM SINGH(VLC)"/>
    <s v="vlc"/>
    <s v="Indirect"/>
    <n v="3451.7"/>
    <n v="137470.25"/>
    <n v="0"/>
    <n v="0"/>
    <n v="0"/>
    <n v="0"/>
    <n v="0"/>
    <n v="0"/>
    <n v="137470.25"/>
    <n v="0"/>
    <n v="0"/>
    <n v="0"/>
    <n v="0"/>
    <n v="0"/>
    <n v="0"/>
    <n v="0"/>
    <n v="0"/>
    <n v="137470.25"/>
    <n v="0"/>
    <n v="0"/>
    <n v="0"/>
    <n v="0"/>
    <n v="0"/>
    <n v="0"/>
    <m/>
    <s v="Laldiyara"/>
    <m/>
    <n v="0"/>
  </r>
  <r>
    <s v="Munger"/>
    <s v="10-16 Apr"/>
    <n v="1002"/>
    <s v="Laldiyara"/>
    <x v="70"/>
    <s v="GADHTOLA"/>
    <s v="MPG"/>
    <s v="Direct"/>
    <n v="862.00000000000023"/>
    <n v="32079.239999999998"/>
    <n v="857.2299999999999"/>
    <n v="32030.703056027949"/>
    <n v="3.19"/>
    <n v="114.13263335760003"/>
    <n v="860.42"/>
    <n v="32144.835689385549"/>
    <n v="32079.239999999998"/>
    <n v="0"/>
    <n v="114.13263335760003"/>
    <n v="65.595689385550941"/>
    <n v="0"/>
    <n v="0"/>
    <n v="0"/>
    <n v="31965"/>
    <n v="0"/>
    <n v="0"/>
    <n v="0"/>
    <n v="0"/>
    <n v="0"/>
    <n v="0"/>
    <n v="-2.0448018527106922E-3"/>
    <n v="8"/>
    <m/>
    <s v="Laldiyara"/>
    <m/>
    <n v="0"/>
  </r>
  <r>
    <s v="Munger"/>
    <s v="10-16 Apr"/>
    <n v="1002"/>
    <s v="Laldiyara"/>
    <x v="71"/>
    <s v="Golapaar - Ramnandan"/>
    <s v="vlc"/>
    <s v="Indirect"/>
    <n v="1001.2000000000002"/>
    <n v="37778.99"/>
    <n v="0"/>
    <n v="0"/>
    <n v="0"/>
    <n v="0"/>
    <n v="0"/>
    <n v="0"/>
    <n v="37778.99"/>
    <n v="0"/>
    <n v="0"/>
    <n v="0"/>
    <n v="0"/>
    <n v="0"/>
    <n v="0"/>
    <n v="0"/>
    <n v="0"/>
    <n v="37778.99"/>
    <n v="0"/>
    <n v="0"/>
    <n v="0"/>
    <n v="0"/>
    <n v="0"/>
    <n v="0"/>
    <m/>
    <s v="Laldiyara"/>
    <m/>
    <n v="0"/>
  </r>
  <r>
    <s v="Munger"/>
    <s v="10-16 Apr"/>
    <n v="1002"/>
    <s v="Laldiyara"/>
    <x v="72"/>
    <s v="Diyara-Pipariya-Utri - Chandan"/>
    <s v="vlc"/>
    <s v="Indirect"/>
    <n v="1175.5"/>
    <n v="47567.3"/>
    <n v="0"/>
    <n v="0"/>
    <n v="0"/>
    <n v="0"/>
    <n v="0"/>
    <n v="0"/>
    <n v="47567.3"/>
    <n v="0"/>
    <n v="0"/>
    <n v="0"/>
    <n v="0"/>
    <n v="0"/>
    <n v="0"/>
    <n v="0"/>
    <n v="0"/>
    <n v="47567.3"/>
    <n v="0"/>
    <n v="0"/>
    <n v="0"/>
    <n v="0"/>
    <n v="0"/>
    <n v="0"/>
    <m/>
    <s v="Laldiyara"/>
    <m/>
    <n v="0"/>
  </r>
  <r>
    <s v="Munger"/>
    <s v="10-16 Apr"/>
    <n v="1002"/>
    <s v="Laldiyara"/>
    <x v="73"/>
    <s v="KANHARPUR-2"/>
    <s v="MPG"/>
    <s v="Direct"/>
    <n v="2398.1999999999998"/>
    <n v="108000.79000000001"/>
    <n v="2234.5899999999997"/>
    <n v="101151.67416974911"/>
    <n v="159.91"/>
    <n v="6950.4693908846302"/>
    <n v="2394.4999999999995"/>
    <n v="108102.14356063373"/>
    <n v="108000.79000000001"/>
    <n v="0"/>
    <n v="1667.7892954886299"/>
    <n v="101.35356063372456"/>
    <n v="0"/>
    <n v="0"/>
    <n v="0"/>
    <n v="101051"/>
    <n v="5282"/>
    <n v="0"/>
    <n v="0"/>
    <n v="0"/>
    <n v="0"/>
    <n v="0"/>
    <n v="-9.3845203015389565E-4"/>
    <n v="14"/>
    <m/>
    <s v="Laldiyara"/>
    <m/>
    <n v="0"/>
  </r>
  <r>
    <s v="Munger"/>
    <s v="10-16 Apr"/>
    <n v="1002"/>
    <s v="Laldiyara"/>
    <x v="74"/>
    <s v="BASAUNA"/>
    <s v="MPG"/>
    <s v="Direct"/>
    <n v="1371.7"/>
    <n v="54913.499999999993"/>
    <n v="400.15999999999997"/>
    <n v="17443.098910316054"/>
    <n v="983.51"/>
    <n v="37816.336234156588"/>
    <n v="1383.67"/>
    <n v="55259.435144472642"/>
    <n v="54913.499999999993"/>
    <n v="0"/>
    <n v="265.19517961200006"/>
    <n v="345.93514447264897"/>
    <n v="0"/>
    <n v="0"/>
    <n v="0"/>
    <n v="17097"/>
    <n v="37551"/>
    <n v="0"/>
    <n v="0"/>
    <n v="0"/>
    <n v="0"/>
    <n v="0"/>
    <n v="-6.2996375112249082E-3"/>
    <n v="10"/>
    <m/>
    <s v="Laldiyara"/>
    <m/>
    <n v="0"/>
  </r>
  <r>
    <s v="Munger"/>
    <s v="10-16 Apr"/>
    <n v="1002"/>
    <s v="Laldiyara"/>
    <x v="75"/>
    <s v="GANGA-SARAI"/>
    <s v="MPG"/>
    <s v="Direct"/>
    <n v="1178.3999999999999"/>
    <n v="47519.479999999996"/>
    <n v="1156.3799999999999"/>
    <n v="46075.994608983354"/>
    <n v="10.939999999999998"/>
    <n v="403.59386469600003"/>
    <n v="1167.32"/>
    <n v="46479.588473679352"/>
    <n v="46479.588473679352"/>
    <n v="0"/>
    <n v="403.59386469600003"/>
    <n v="0"/>
    <n v="0"/>
    <n v="0"/>
    <n v="0"/>
    <n v="46078"/>
    <n v="0"/>
    <n v="0"/>
    <n v="1038"/>
    <n v="0"/>
    <n v="0"/>
    <n v="0"/>
    <n v="2.1883478655924764E-2"/>
    <n v="7"/>
    <m/>
    <s v="Laldiyara"/>
    <m/>
    <n v="0"/>
  </r>
  <r>
    <s v="Munger"/>
    <s v="10-16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314.8"/>
    <n v="12400.210000000001"/>
    <n v="322.81"/>
    <n v="12869.603662732621"/>
    <n v="3.52"/>
    <n v="133.51020443640002"/>
    <n v="326.33"/>
    <n v="13003.113867169021"/>
    <n v="12400.210000000001"/>
    <n v="0"/>
    <n v="133.51020443640002"/>
    <n v="602.90386716901958"/>
    <n v="0"/>
    <n v="500"/>
    <n v="0"/>
    <n v="11767"/>
    <n v="0"/>
    <n v="0"/>
    <n v="0"/>
    <n v="0"/>
    <n v="303.46638449809404"/>
    <n v="44.971428571428575"/>
    <n v="-4.8620456199453037E-2"/>
    <n v="14"/>
    <m/>
    <s v="Laldiyara"/>
    <m/>
    <n v="500"/>
  </r>
  <r>
    <s v="Munger"/>
    <s v="10-16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893.40000000000009"/>
    <n v="40439.369999999988"/>
    <n v="523.24999999999989"/>
    <n v="25110.914682860079"/>
    <n v="375.39"/>
    <n v="17087.648768585103"/>
    <n v="898.63999999999987"/>
    <n v="42198.563451445181"/>
    <n v="40439.369999999988"/>
    <n v="0"/>
    <n v="240.27923145600002"/>
    <n v="1759.1934514451932"/>
    <n v="0"/>
    <n v="0"/>
    <n v="0"/>
    <n v="23351"/>
    <n v="16848"/>
    <n v="0"/>
    <n v="0"/>
    <n v="0"/>
    <n v="0"/>
    <n v="0"/>
    <n v="-4.3501999448685616E-2"/>
    <n v="9"/>
    <m/>
    <s v="Laldiyara"/>
    <m/>
    <n v="0"/>
  </r>
  <r>
    <s v="Munger"/>
    <s v="10-16 Apr"/>
    <n v="1002"/>
    <s v="Laldiyara"/>
    <x v="78"/>
    <s v="Gomukh Hasanpur"/>
    <s v="vlc"/>
    <s v="Indirect"/>
    <n v="264.5"/>
    <n v="11808.939999999999"/>
    <n v="0"/>
    <n v="0"/>
    <n v="0"/>
    <n v="0"/>
    <n v="0"/>
    <n v="0"/>
    <n v="11808.939999999999"/>
    <n v="0"/>
    <n v="0"/>
    <n v="0"/>
    <n v="0"/>
    <n v="0"/>
    <n v="0"/>
    <n v="0"/>
    <n v="0"/>
    <n v="11808.939999999999"/>
    <n v="0"/>
    <n v="0"/>
    <n v="388.86906389413986"/>
    <n v="37.785714285714285"/>
    <n v="0"/>
    <n v="0"/>
    <m/>
    <s v="Laldiyara"/>
    <m/>
    <n v="0"/>
  </r>
  <r>
    <s v="Munger"/>
    <s v="10-16 Apr"/>
    <n v="1002"/>
    <s v="Laldiyara"/>
    <x v="79"/>
    <s v="SABIKPUR"/>
    <s v="MPG"/>
    <s v="Direct"/>
    <n v="619.09999999999991"/>
    <n v="26482.42"/>
    <n v="698.97"/>
    <n v="31349.319324621873"/>
    <n v="0"/>
    <n v="0"/>
    <n v="698.97"/>
    <n v="31349.319324621873"/>
    <n v="26482.42"/>
    <n v="0"/>
    <n v="0"/>
    <n v="4866.8993246218743"/>
    <n v="0"/>
    <n v="0"/>
    <n v="0"/>
    <n v="26482"/>
    <n v="0"/>
    <n v="0"/>
    <n v="0"/>
    <n v="0"/>
    <n v="69.211041124212613"/>
    <n v="88.442857142857136"/>
    <n v="-0.18377849624852541"/>
    <n v="22"/>
    <m/>
    <s v="Laldiyara"/>
    <m/>
    <n v="0"/>
  </r>
  <r>
    <s v="Munger"/>
    <s v="10-16 Apr"/>
    <n v="1002"/>
    <s v="Laldiyara"/>
    <x v="80"/>
    <s v="CHETAN-TOLA-KHUTHA"/>
    <s v="MPG"/>
    <s v="Direct"/>
    <n v="193.1"/>
    <n v="7263.1200000000008"/>
    <n v="207.10000000000002"/>
    <n v="7798.3487960400016"/>
    <n v="0"/>
    <n v="0"/>
    <n v="207.10000000000002"/>
    <n v="7798.3487960400016"/>
    <n v="7263.1200000000008"/>
    <n v="0"/>
    <n v="0"/>
    <n v="535.22879604000082"/>
    <n v="0"/>
    <n v="0"/>
    <n v="0"/>
    <n v="0"/>
    <n v="0"/>
    <n v="0"/>
    <n v="7263"/>
    <s v="Yes"/>
    <n v="381.32320331434494"/>
    <n v="27.585714285714285"/>
    <n v="-7.3691305670290558E-2"/>
    <n v="1"/>
    <m/>
    <s v="Laldiyara"/>
    <m/>
    <n v="0"/>
  </r>
  <r>
    <s v="Munger"/>
    <s v="10-16 Apr"/>
    <n v="1002"/>
    <s v="Laldiyara"/>
    <x v="81"/>
    <s v="LAXMIPUR"/>
    <s v="MPG"/>
    <s v="Direct"/>
    <n v="908.19999999999993"/>
    <n v="36883.069999999992"/>
    <n v="894.8"/>
    <n v="41111.488684574804"/>
    <n v="0"/>
    <n v="0"/>
    <n v="894.8"/>
    <n v="41111.488684574804"/>
    <n v="36883.069999999992"/>
    <n v="0"/>
    <n v="0"/>
    <n v="4228.4186845748118"/>
    <n v="0"/>
    <n v="0"/>
    <n v="0"/>
    <n v="36883"/>
    <n v="0"/>
    <n v="0"/>
    <n v="0"/>
    <s v="Release3"/>
    <n v="0"/>
    <n v="0"/>
    <n v="-0.1146438917523626"/>
    <n v="15"/>
    <m/>
    <s v="Laldiyara"/>
    <m/>
    <n v="0"/>
  </r>
  <r>
    <s v="Munger"/>
    <s v="10-16 Apr"/>
    <n v="1002"/>
    <s v="Laldiyara"/>
    <x v="82"/>
    <s v="REHUA RK"/>
    <s v="vlc"/>
    <s v="Indirect"/>
    <n v="683.49999999999977"/>
    <n v="29321.579999999994"/>
    <n v="0"/>
    <n v="0"/>
    <n v="0"/>
    <n v="0"/>
    <n v="0"/>
    <n v="0"/>
    <n v="29321.579999999994"/>
    <n v="0"/>
    <n v="0"/>
    <n v="0"/>
    <n v="0"/>
    <n v="0"/>
    <n v="0"/>
    <n v="0"/>
    <n v="0"/>
    <n v="29321.579999999994"/>
    <n v="0"/>
    <n v="0"/>
    <n v="14.156724798829751"/>
    <n v="97.64285714285711"/>
    <n v="0"/>
    <n v="0"/>
    <m/>
    <s v="Laldiyara"/>
    <m/>
    <n v="0"/>
  </r>
  <r>
    <s v="Munger"/>
    <s v="10-16 Apr"/>
    <n v="1002"/>
    <s v="Laldiyara"/>
    <x v="83"/>
    <s v="RAMNAGAR"/>
    <s v="MPG"/>
    <s v="Direct"/>
    <n v="357.99999999999994"/>
    <n v="15007.150000000001"/>
    <n v="354.08999999999992"/>
    <n v="14811.391240484791"/>
    <n v="0"/>
    <n v="0"/>
    <n v="354.08999999999992"/>
    <n v="14811.391240484791"/>
    <n v="14811.391240484791"/>
    <n v="0"/>
    <n v="0"/>
    <n v="0"/>
    <n v="5896"/>
    <n v="0"/>
    <n v="0"/>
    <n v="8915"/>
    <n v="0"/>
    <n v="0"/>
    <n v="196"/>
    <s v="Release1"/>
    <n v="286.72878770949734"/>
    <n v="51.142857142857132"/>
    <n v="1.3044366153147722E-2"/>
    <n v="11"/>
    <m/>
    <s v="Laldiyara"/>
    <m/>
    <n v="0"/>
  </r>
  <r>
    <s v="Munger"/>
    <s v="10-16 Apr"/>
    <n v="1002"/>
    <s v="Laldiyara"/>
    <x v="84"/>
    <s v="PACHAM"/>
    <s v="MPG"/>
    <s v="Direct"/>
    <n v="63.4"/>
    <n v="2871.2999999999997"/>
    <n v="63.100000000000009"/>
    <n v="2894.4291756552757"/>
    <n v="0"/>
    <n v="0"/>
    <n v="63.100000000000009"/>
    <n v="2894.4291756552757"/>
    <n v="2871.2999999999997"/>
    <n v="0"/>
    <n v="0"/>
    <n v="23.129175655275958"/>
    <n v="0"/>
    <n v="500"/>
    <n v="0"/>
    <n v="2371"/>
    <n v="0"/>
    <n v="0"/>
    <n v="0"/>
    <n v="0"/>
    <n v="576.61500946372234"/>
    <n v="9.0571428571428569"/>
    <n v="-8.0552974803315431E-3"/>
    <n v="7"/>
    <m/>
    <s v="Laldiyara"/>
    <m/>
    <n v="500"/>
  </r>
  <r>
    <s v="Munger"/>
    <s v="10-16 Apr"/>
    <n v="1002"/>
    <s v="Laldiyara"/>
    <x v="85"/>
    <s v="BANSIPUR"/>
    <s v="MPG"/>
    <s v="Direct"/>
    <n v="89.899999999999991"/>
    <n v="4142.1099999999997"/>
    <n v="89.8"/>
    <n v="4116.4238964001006"/>
    <n v="0"/>
    <n v="0"/>
    <n v="89.8"/>
    <n v="4116.4238964001006"/>
    <n v="4116.4238964001006"/>
    <n v="0"/>
    <n v="0"/>
    <n v="0"/>
    <n v="0"/>
    <n v="0"/>
    <n v="0"/>
    <n v="4116"/>
    <n v="0"/>
    <n v="0"/>
    <n v="26"/>
    <n v="0"/>
    <n v="562.20273882091226"/>
    <n v="12.842857142857142"/>
    <n v="6.2012123289577224E-3"/>
    <n v="1"/>
    <m/>
    <s v="Laldiyara"/>
    <m/>
    <n v="0"/>
  </r>
  <r>
    <s v="Munger"/>
    <s v="10-16 Apr"/>
    <n v="1002"/>
    <s v="Laldiyara"/>
    <x v="86"/>
    <s v="GODIH"/>
    <s v="MPG"/>
    <s v="Direct"/>
    <n v="331.8"/>
    <n v="13651.33"/>
    <n v="328.14"/>
    <n v="15513.894328861217"/>
    <n v="0"/>
    <n v="0"/>
    <n v="328.14"/>
    <n v="15513.894328861217"/>
    <n v="13651.33"/>
    <n v="0"/>
    <n v="0"/>
    <n v="1862.5643288612173"/>
    <n v="0"/>
    <n v="0"/>
    <n v="0"/>
    <n v="13651"/>
    <n v="0"/>
    <n v="0"/>
    <n v="0"/>
    <n v="0"/>
    <n v="302.97888523206751"/>
    <n v="47.4"/>
    <n v="-0.13643830519526062"/>
    <n v="3"/>
    <m/>
    <s v="Laldiyara"/>
    <m/>
    <n v="0"/>
  </r>
  <r>
    <s v="Munger"/>
    <s v="10-16 Apr"/>
    <n v="1002"/>
    <s v="Laldiyara"/>
    <x v="87"/>
    <s v="SINGARPUR"/>
    <s v="MPG"/>
    <s v="Direct"/>
    <n v="270.5"/>
    <n v="15254.67"/>
    <n v="284.94999999999993"/>
    <n v="16340.804254785966"/>
    <n v="0"/>
    <n v="0"/>
    <n v="284.94999999999993"/>
    <n v="16340.804254785966"/>
    <n v="15254.67"/>
    <n v="0"/>
    <n v="0"/>
    <n v="1086.1342547859658"/>
    <n v="0"/>
    <n v="0"/>
    <n v="0"/>
    <n v="15255"/>
    <n v="0"/>
    <n v="0"/>
    <n v="0"/>
    <n v="0"/>
    <n v="484.42741330868762"/>
    <n v="38.642857142857146"/>
    <n v="-7.1200114770490985E-2"/>
    <n v="3"/>
    <m/>
    <s v="Laldiyara"/>
    <m/>
    <n v="0"/>
  </r>
  <r>
    <s v="Munger"/>
    <s v="10-16 Apr"/>
    <n v="1002"/>
    <s v="Laldiyara"/>
    <x v="88"/>
    <s v="ADARSH PULPAR"/>
    <s v="MPG"/>
    <s v="Direct"/>
    <n v="27.6"/>
    <n v="1074.79"/>
    <n v="35.400000000000006"/>
    <n v="1360.3511235600001"/>
    <n v="0"/>
    <n v="0"/>
    <n v="35.400000000000006"/>
    <n v="1360.3511235600001"/>
    <n v="1074.79"/>
    <n v="0"/>
    <n v="0"/>
    <n v="285.56112356000017"/>
    <n v="0"/>
    <n v="500"/>
    <n v="0"/>
    <n v="575"/>
    <n v="0"/>
    <n v="0"/>
    <n v="0"/>
    <n v="0"/>
    <n v="523.68753333333325"/>
    <n v="3.9428571428571431"/>
    <n v="-0.26569015673759544"/>
    <n v="1"/>
    <m/>
    <s v="Laldiyara"/>
    <m/>
    <n v="500"/>
  </r>
  <r>
    <s v="Munger"/>
    <s v="10-16 Apr"/>
    <n v="1002"/>
    <s v="Laldiyara"/>
    <x v="89"/>
    <s v="G WOLIPUR"/>
    <s v="vlc"/>
    <s v="Indirect"/>
    <n v="2597"/>
    <n v="104375.66999999998"/>
    <n v="0"/>
    <n v="0"/>
    <n v="0"/>
    <n v="0"/>
    <n v="0"/>
    <n v="0"/>
    <n v="104375.66999999998"/>
    <n v="0"/>
    <n v="0"/>
    <n v="0"/>
    <n v="0"/>
    <n v="0"/>
    <n v="0"/>
    <n v="0"/>
    <n v="0"/>
    <n v="104375.66999999998"/>
    <n v="0"/>
    <n v="0"/>
    <n v="0"/>
    <n v="0"/>
    <n v="0"/>
    <n v="0"/>
    <m/>
    <s v="Laldiyara"/>
    <m/>
    <n v="0"/>
  </r>
  <r>
    <s v="Munger"/>
    <s v="10-16 Apr"/>
    <n v="1002"/>
    <s v="Laldiyara"/>
    <x v="90"/>
    <s v="REHUA 3"/>
    <s v="vlc"/>
    <s v="Indirect"/>
    <n v="1561.4"/>
    <n v="67765.62"/>
    <n v="0"/>
    <n v="0"/>
    <n v="0"/>
    <n v="0"/>
    <n v="0"/>
    <n v="0"/>
    <n v="67765.62"/>
    <n v="0"/>
    <n v="0"/>
    <n v="0"/>
    <n v="0"/>
    <n v="0"/>
    <n v="0"/>
    <n v="0"/>
    <n v="0"/>
    <n v="67765.62"/>
    <n v="0"/>
    <n v="0"/>
    <n v="0"/>
    <n v="0"/>
    <n v="0"/>
    <n v="0"/>
    <m/>
    <s v="Laldiyara"/>
    <m/>
    <n v="0"/>
  </r>
  <r>
    <s v="Munger"/>
    <s v="10-16 Apr"/>
    <n v="1002"/>
    <s v="Laldiyara"/>
    <x v="91"/>
    <s v="BICHWAY"/>
    <s v="MPG"/>
    <s v="Direct"/>
    <n v="213.1"/>
    <n v="8337.0399999999991"/>
    <n v="213.09999999999997"/>
    <n v="8337.0281068800014"/>
    <n v="0"/>
    <n v="0"/>
    <n v="213.09999999999997"/>
    <n v="8337.0281068800014"/>
    <n v="8337.0281068800014"/>
    <n v="0"/>
    <n v="0"/>
    <n v="0"/>
    <n v="0"/>
    <n v="0"/>
    <n v="0"/>
    <n v="8337"/>
    <n v="0"/>
    <n v="0"/>
    <n v="0"/>
    <n v="0"/>
    <n v="380.97651581417171"/>
    <n v="30.442857142857143"/>
    <n v="1.4265398747869938E-6"/>
    <n v="1"/>
    <m/>
    <s v="Laldiyara"/>
    <m/>
    <n v="0"/>
  </r>
  <r>
    <s v="Munger"/>
    <s v="10-16 Apr"/>
    <n v="1002"/>
    <s v="Laldiyara"/>
    <x v="92"/>
    <s v="MANOHARPUR"/>
    <s v="MPG"/>
    <s v="Direct"/>
    <n v="606.10000000000014"/>
    <n v="22983.389999999996"/>
    <n v="329.02000000000004"/>
    <n v="12762.318532592924"/>
    <n v="273.90000000000003"/>
    <n v="10885.548176382661"/>
    <n v="602.92000000000007"/>
    <n v="23647.866708975584"/>
    <n v="22983.389999999996"/>
    <n v="0"/>
    <n v="0"/>
    <n v="664.47670897558783"/>
    <n v="0"/>
    <n v="0"/>
    <n v="0"/>
    <n v="12099"/>
    <n v="10884"/>
    <n v="0"/>
    <n v="0"/>
    <n v="0"/>
    <n v="71.214001682890498"/>
    <n v="86.585714285714303"/>
    <n v="-2.8911170587784828E-2"/>
    <n v="22"/>
    <m/>
    <s v="Laldiyara"/>
    <m/>
    <n v="0"/>
  </r>
  <r>
    <s v="Munger"/>
    <s v="10-16 Apr"/>
    <n v="1003"/>
    <s v="Asarganj"/>
    <x v="93"/>
    <s v="MOHANPUR"/>
    <s v="vlc"/>
    <s v="Indirect"/>
    <n v="552.59999999999991"/>
    <n v="20809.96"/>
    <n v="0"/>
    <n v="0"/>
    <n v="0"/>
    <n v="0"/>
    <n v="0"/>
    <n v="0"/>
    <n v="20809.96"/>
    <n v="0"/>
    <n v="0"/>
    <n v="0"/>
    <n v="0"/>
    <n v="0"/>
    <n v="0"/>
    <n v="0"/>
    <n v="0"/>
    <n v="20809.96"/>
    <n v="0"/>
    <n v="0"/>
    <n v="111.01657994933048"/>
    <n v="78.942857142857136"/>
    <n v="0"/>
    <n v="0"/>
    <m/>
    <s v="Asarganj"/>
    <m/>
    <n v="0"/>
  </r>
  <r>
    <s v="Munger"/>
    <s v="10-16 Apr"/>
    <n v="1003"/>
    <s v="Asarganj"/>
    <x v="94"/>
    <s v="CHATMADIH"/>
    <s v="MPG"/>
    <s v="Direct"/>
    <n v="1752.8000000000002"/>
    <n v="73191.760000000009"/>
    <n v="1746.8"/>
    <n v="72958.739114511583"/>
    <n v="19.2"/>
    <n v="1113.1781980617002"/>
    <n v="1766"/>
    <n v="74071.917312573278"/>
    <n v="73191.760000000009"/>
    <n v="0"/>
    <n v="1113.1781980617002"/>
    <n v="880.15731257326843"/>
    <n v="0"/>
    <n v="0"/>
    <n v="0"/>
    <n v="72079"/>
    <n v="0"/>
    <n v="0"/>
    <n v="0"/>
    <s v="Release1"/>
    <n v="0"/>
    <n v="0"/>
    <n v="-1.2025360676847617E-2"/>
    <n v="59"/>
    <m/>
    <s v="Asarganj"/>
    <m/>
    <n v="0"/>
  </r>
  <r>
    <s v="Munger"/>
    <s v="10-16 Apr"/>
    <n v="1003"/>
    <s v="Asarganj"/>
    <x v="95"/>
    <s v="SIYADIH"/>
    <s v="vlc"/>
    <s v="Indirect"/>
    <n v="651.04999999999995"/>
    <n v="19124.850000000002"/>
    <n v="0"/>
    <n v="0"/>
    <n v="0"/>
    <n v="0"/>
    <n v="0"/>
    <n v="0"/>
    <n v="19124.850000000002"/>
    <n v="0"/>
    <n v="0"/>
    <n v="0"/>
    <n v="0"/>
    <n v="0"/>
    <n v="0"/>
    <n v="0"/>
    <n v="0"/>
    <n v="19124.850000000002"/>
    <n v="0"/>
    <n v="0"/>
    <n v="28.758510329467811"/>
    <n v="93.007142857142853"/>
    <n v="0"/>
    <n v="0"/>
    <m/>
    <s v="Asarganj"/>
    <m/>
    <n v="0"/>
  </r>
  <r>
    <s v="Munger"/>
    <s v="10-16 Apr"/>
    <n v="1003"/>
    <s v="Asarganj"/>
    <x v="97"/>
    <s v="Gomukh ID Laldiyara"/>
    <s v="vlc"/>
    <s v="Indirect"/>
    <n v="5875"/>
    <n v="221474.51"/>
    <n v="0"/>
    <n v="0"/>
    <n v="0"/>
    <n v="0"/>
    <n v="0"/>
    <n v="0"/>
    <n v="221474.51"/>
    <n v="0"/>
    <n v="0"/>
    <n v="0"/>
    <n v="0"/>
    <n v="0"/>
    <n v="0"/>
    <n v="0"/>
    <n v="0"/>
    <n v="221474.51"/>
    <n v="0"/>
    <n v="0"/>
    <n v="0"/>
    <n v="0"/>
    <n v="0"/>
    <n v="0"/>
    <m/>
    <s v="Asarganj"/>
    <m/>
    <n v="0"/>
  </r>
  <r>
    <s v="Munger"/>
    <s v="10-16 Apr"/>
    <n v="1003"/>
    <s v="Asarganj"/>
    <x v="98"/>
    <s v="KATHNI"/>
    <s v="MPG"/>
    <s v="Direct"/>
    <n v="430.54999999999995"/>
    <n v="15441.39"/>
    <n v="595"/>
    <n v="27149.793787391998"/>
    <n v="0"/>
    <n v="0"/>
    <n v="595"/>
    <n v="27149.793787391998"/>
    <n v="15441.39"/>
    <n v="0"/>
    <n v="0"/>
    <n v="11708.403787391999"/>
    <n v="0"/>
    <n v="500"/>
    <n v="0"/>
    <n v="14941"/>
    <n v="0"/>
    <n v="0"/>
    <n v="0"/>
    <n v="0"/>
    <n v="193.27290839623743"/>
    <n v="61.507142857142853"/>
    <n v="-0.75824804550574776"/>
    <n v="3"/>
    <m/>
    <s v="Asarganj"/>
    <m/>
    <n v="500"/>
  </r>
  <r>
    <s v="Munger"/>
    <s v="10-16 Apr"/>
    <n v="1003"/>
    <s v="Asarganj"/>
    <x v="99"/>
    <s v="DEVDHA GOMUKH MPG"/>
    <s v="MPG"/>
    <s v="Direct"/>
    <n v="1120.55"/>
    <n v="42407.92"/>
    <n v="795.2"/>
    <n v="30093.564508920012"/>
    <n v="324.8"/>
    <n v="12288.388930488003"/>
    <n v="1120"/>
    <n v="42381.953439408011"/>
    <n v="42381.953439408011"/>
    <n v="0"/>
    <n v="257.27276836800002"/>
    <n v="0"/>
    <n v="0"/>
    <n v="0"/>
    <n v="0"/>
    <n v="30094"/>
    <n v="12032"/>
    <n v="0"/>
    <n v="25"/>
    <n v="0"/>
    <n v="0"/>
    <n v="0"/>
    <n v="6.1230450802555797E-4"/>
    <n v="12"/>
    <m/>
    <s v="Asarganj"/>
    <m/>
    <n v="0"/>
  </r>
  <r>
    <s v="Munger"/>
    <s v="10-16 Apr"/>
    <n v="1003"/>
    <s v="Asarganj"/>
    <x v="100"/>
    <s v="KASBA(MANGOAN)"/>
    <s v="vlc"/>
    <s v="Indirect"/>
    <n v="436.85"/>
    <n v="15352.83"/>
    <n v="0"/>
    <n v="0"/>
    <n v="0"/>
    <n v="0"/>
    <n v="0"/>
    <n v="0"/>
    <n v="15352.83"/>
    <n v="0"/>
    <n v="0"/>
    <n v="0"/>
    <n v="0"/>
    <n v="0"/>
    <n v="0"/>
    <n v="0"/>
    <n v="0"/>
    <n v="15352.83"/>
    <n v="0"/>
    <n v="0"/>
    <n v="184.96496346572047"/>
    <n v="62.407142857142858"/>
    <n v="0"/>
    <n v="0"/>
    <m/>
    <s v="Asarganj"/>
    <m/>
    <n v="0"/>
  </r>
  <r>
    <s v="Munger"/>
    <s v="10-16 Apr"/>
    <n v="1003"/>
    <s v="Asarganj"/>
    <x v="101"/>
    <s v="LOHRA"/>
    <s v="MPG"/>
    <s v="Direct"/>
    <n v="415.05"/>
    <n v="20155.030000000002"/>
    <n v="408.86"/>
    <n v="21223.342190050404"/>
    <n v="15.319999999999999"/>
    <n v="778.20713286659998"/>
    <n v="424.18"/>
    <n v="22001.549322917002"/>
    <n v="20155.030000000002"/>
    <n v="0"/>
    <n v="778.20713286659998"/>
    <n v="1846.519322917"/>
    <n v="0"/>
    <n v="0"/>
    <n v="0"/>
    <n v="19377"/>
    <n v="0"/>
    <n v="0"/>
    <n v="0"/>
    <s v="Release1"/>
    <n v="276.74621363691125"/>
    <n v="59.292857142857144"/>
    <n v="-9.1615806223905388E-2"/>
    <n v="10"/>
    <m/>
    <s v="Asarganj"/>
    <m/>
    <n v="0"/>
  </r>
  <r>
    <s v="Munger"/>
    <s v="10-16 Apr"/>
    <n v="1003"/>
    <s v="Asarganj"/>
    <x v="102"/>
    <s v="KAMATPUR"/>
    <s v="MPG"/>
    <s v="Direct"/>
    <n v="595.85"/>
    <n v="20853.780000000002"/>
    <n v="599.26"/>
    <n v="20838.402754737152"/>
    <n v="10.260000000000002"/>
    <n v="369.14124291659999"/>
    <n v="609.52"/>
    <n v="21207.543997653753"/>
    <n v="20853.780000000002"/>
    <n v="0"/>
    <n v="369.14124291659999"/>
    <n v="353.76399765375027"/>
    <n v="0"/>
    <n v="0"/>
    <n v="0"/>
    <n v="20485"/>
    <n v="0"/>
    <n v="0"/>
    <n v="0"/>
    <n v="0"/>
    <n v="72.901609029118035"/>
    <n v="85.121428571428581"/>
    <n v="-1.6964022716924713E-2"/>
    <n v="5"/>
    <m/>
    <s v="Asarganj"/>
    <m/>
    <n v="0"/>
  </r>
  <r>
    <s v="Munger"/>
    <s v="10-16 Apr"/>
    <n v="1003"/>
    <s v="Asarganj"/>
    <x v="103"/>
    <s v="GIRDHARA"/>
    <s v="MPG"/>
    <s v="Direct"/>
    <n v="952"/>
    <n v="37710.659999999989"/>
    <n v="136.12"/>
    <n v="6810.4197859019305"/>
    <n v="811.73"/>
    <n v="32351.76834546512"/>
    <n v="947.85"/>
    <n v="39162.188131367053"/>
    <n v="37710.659999999989"/>
    <n v="0"/>
    <n v="328.29455340000004"/>
    <n v="1451.5281313670639"/>
    <n v="0"/>
    <n v="0"/>
    <n v="0"/>
    <n v="5359"/>
    <n v="32023"/>
    <n v="0"/>
    <n v="0"/>
    <n v="0"/>
    <n v="0"/>
    <n v="0"/>
    <n v="-3.8491188734619451E-2"/>
    <n v="13"/>
    <m/>
    <s v="Asarganj"/>
    <m/>
    <n v="0"/>
  </r>
  <r>
    <s v="Munger"/>
    <s v="10-16 Apr"/>
    <n v="1003"/>
    <s v="Asarganj"/>
    <x v="104"/>
    <s v="RATNI"/>
    <s v="MPG"/>
    <s v="Direct"/>
    <n v="1061.8999999999999"/>
    <n v="52204.100000000006"/>
    <n v="1056.2399999999998"/>
    <n v="52100.888738646041"/>
    <n v="16.459999999999997"/>
    <n v="871.0963865304999"/>
    <n v="1072.6999999999998"/>
    <n v="52971.985125176543"/>
    <n v="52204.100000000006"/>
    <n v="0"/>
    <n v="871.0963865304999"/>
    <n v="767.88512517653726"/>
    <n v="0"/>
    <n v="0"/>
    <n v="0"/>
    <n v="51333"/>
    <n v="0"/>
    <n v="0"/>
    <n v="0"/>
    <n v="0"/>
    <n v="0"/>
    <n v="0"/>
    <n v="-1.4709287683851215E-2"/>
    <n v="36"/>
    <m/>
    <s v="Asarganj"/>
    <m/>
    <n v="0"/>
  </r>
  <r>
    <s v="Munger"/>
    <s v="10-16 Apr"/>
    <n v="1003"/>
    <s v="Asarganj"/>
    <x v="105"/>
    <s v="DHAPARI"/>
    <s v="MPG"/>
    <s v="Direct"/>
    <n v="855.85"/>
    <n v="35116.300000000003"/>
    <n v="835.12999999999988"/>
    <n v="34691.311501064403"/>
    <n v="26.71"/>
    <n v="1092.0997604592003"/>
    <n v="861.83999999999992"/>
    <n v="35783.411261523601"/>
    <n v="35116.300000000003"/>
    <n v="0"/>
    <n v="1092.0997604592003"/>
    <n v="667.11126152359793"/>
    <n v="0"/>
    <n v="0"/>
    <n v="0"/>
    <n v="34024"/>
    <n v="0"/>
    <n v="0"/>
    <n v="0"/>
    <n v="0"/>
    <n v="0"/>
    <n v="0"/>
    <n v="-1.8997196786779868E-2"/>
    <n v="22"/>
    <m/>
    <s v="Asarganj"/>
    <m/>
    <n v="0"/>
  </r>
  <r>
    <s v="Munger"/>
    <s v="10-16 Apr"/>
    <n v="1003"/>
    <s v="Asarganj"/>
    <x v="106"/>
    <s v="KHARUI"/>
    <s v="MPG"/>
    <s v="Direct"/>
    <n v="619.1"/>
    <n v="26520.09"/>
    <n v="595.24"/>
    <n v="26412.243910658843"/>
    <n v="24.63"/>
    <n v="1291.9012824870301"/>
    <n v="619.87"/>
    <n v="27704.145193145872"/>
    <n v="26520.09"/>
    <n v="0"/>
    <n v="1291.9012824870301"/>
    <n v="1184.0551931458722"/>
    <n v="0"/>
    <n v="0"/>
    <n v="0"/>
    <n v="25228"/>
    <n v="0"/>
    <n v="0"/>
    <n v="0"/>
    <n v="0"/>
    <n v="69.309490583104463"/>
    <n v="88.44285714285715"/>
    <n v="-4.4647480198818035E-2"/>
    <n v="11"/>
    <m/>
    <s v="Asarganj"/>
    <m/>
    <n v="0"/>
  </r>
  <r>
    <s v="Munger"/>
    <s v="10-16 Apr"/>
    <n v="1003"/>
    <s v="Asarganj"/>
    <x v="107"/>
    <s v="KHAIRA"/>
    <s v="MPG"/>
    <s v="Direct"/>
    <n v="927.0999999999998"/>
    <n v="36123.839999999997"/>
    <n v="932.18999999999994"/>
    <n v="38997.929660484995"/>
    <n v="27.87"/>
    <n v="1173.6117225360003"/>
    <n v="960.06"/>
    <n v="40171.541383020995"/>
    <n v="36123.839999999997"/>
    <n v="0"/>
    <n v="1173.6117225360003"/>
    <n v="4047.701383020998"/>
    <n v="0"/>
    <n v="0"/>
    <n v="0"/>
    <n v="34950"/>
    <n v="0"/>
    <n v="0"/>
    <n v="0"/>
    <n v="0"/>
    <n v="0"/>
    <n v="0"/>
    <n v="-0.11205069513708948"/>
    <n v="15"/>
    <m/>
    <s v="Asarganj"/>
    <m/>
    <n v="0"/>
  </r>
  <r>
    <s v="Munger"/>
    <s v="10-16 Apr"/>
    <n v="1003"/>
    <s v="Asarganj"/>
    <x v="108"/>
    <s v="SISUA"/>
    <s v="MPG"/>
    <s v="Direct"/>
    <n v="1939.4999999999995"/>
    <n v="76097.27"/>
    <n v="1779"/>
    <n v="71744.268026765669"/>
    <n v="169.26"/>
    <n v="6396.9918029816308"/>
    <n v="1948.26"/>
    <n v="78141.259829747301"/>
    <n v="76097.27"/>
    <n v="0"/>
    <n v="738.08136921463017"/>
    <n v="2043.9898297472973"/>
    <n v="0"/>
    <n v="0"/>
    <n v="0"/>
    <n v="69701"/>
    <n v="5658"/>
    <n v="0"/>
    <n v="0"/>
    <n v="0"/>
    <n v="0"/>
    <n v="0"/>
    <n v="-2.6860225468631097E-2"/>
    <n v="28"/>
    <m/>
    <s v="Asarganj"/>
    <m/>
    <n v="0"/>
  </r>
  <r>
    <s v="Munger"/>
    <s v="10-16 Apr"/>
    <n v="1003"/>
    <s v="Asarganj"/>
    <x v="109"/>
    <s v="BISAI"/>
    <s v="MPG"/>
    <s v="Direct"/>
    <n v="288.10000000000002"/>
    <n v="11699.84"/>
    <n v="307.39000000000004"/>
    <n v="12936.187763325301"/>
    <n v="10.14"/>
    <n v="430.94788664400005"/>
    <n v="317.53000000000003"/>
    <n v="13367.135649969301"/>
    <n v="11699.84"/>
    <n v="0"/>
    <n v="430.94788664400005"/>
    <n v="1667.2956499693009"/>
    <n v="0"/>
    <n v="0"/>
    <n v="0"/>
    <n v="11269"/>
    <n v="0"/>
    <n v="0"/>
    <n v="0"/>
    <s v="Release1"/>
    <n v="334.54801082957306"/>
    <n v="41.157142857142858"/>
    <n v="-0.14250585050473347"/>
    <n v="8"/>
    <m/>
    <s v="Asarganj"/>
    <m/>
    <n v="0"/>
  </r>
  <r>
    <s v="Munger"/>
    <s v="10-16 Apr"/>
    <n v="1003"/>
    <s v="Asarganj"/>
    <x v="110"/>
    <s v="SAJUA-1"/>
    <s v="MPG"/>
    <s v="Direct"/>
    <n v="556.6"/>
    <n v="21163.180000000004"/>
    <n v="548.5200000000001"/>
    <n v="20906.048013503401"/>
    <n v="10.73"/>
    <n v="390.61270591199997"/>
    <n v="559.25000000000011"/>
    <n v="21296.660719415402"/>
    <n v="21163.180000000004"/>
    <n v="0"/>
    <n v="390.61270591199997"/>
    <n v="133.4807194153982"/>
    <n v="0"/>
    <n v="0"/>
    <n v="0"/>
    <n v="20773"/>
    <n v="0"/>
    <n v="0"/>
    <n v="0"/>
    <n v="0"/>
    <n v="109.04779058569889"/>
    <n v="79.51428571428572"/>
    <n v="-6.307214672624727E-3"/>
    <n v="6"/>
    <m/>
    <s v="Asarganj"/>
    <m/>
    <n v="0"/>
  </r>
  <r>
    <s v="Munger"/>
    <s v="10-16 Apr"/>
    <n v="1003"/>
    <s v="Asarganj"/>
    <x v="111"/>
    <s v="SAJUA-2"/>
    <s v="MPG"/>
    <s v="Direct"/>
    <n v="982.04999999999984"/>
    <n v="36545.78"/>
    <n v="992.2399999999999"/>
    <n v="38667.285969251439"/>
    <n v="0"/>
    <n v="0"/>
    <n v="992.2399999999999"/>
    <n v="38667.285969251439"/>
    <n v="36545.78"/>
    <n v="0"/>
    <n v="0"/>
    <n v="2121.5059692514405"/>
    <n v="0"/>
    <n v="0"/>
    <n v="0"/>
    <n v="36546"/>
    <n v="0"/>
    <n v="0"/>
    <n v="0"/>
    <n v="0"/>
    <n v="0"/>
    <n v="0"/>
    <n v="-5.8050641394203122E-2"/>
    <n v="35"/>
    <m/>
    <s v="Asarganj"/>
    <m/>
    <n v="0"/>
  </r>
  <r>
    <s v="Munger"/>
    <s v="10-16 Apr"/>
    <n v="1003"/>
    <s v="Asarganj"/>
    <x v="112"/>
    <s v="CHORGAUN"/>
    <s v="MPG"/>
    <s v="Direct"/>
    <n v="771.20000000000016"/>
    <n v="28689.499999999996"/>
    <n v="736.5"/>
    <n v="26962.408662931808"/>
    <n v="20.900000000000002"/>
    <n v="764.79169139999999"/>
    <n v="757.4"/>
    <n v="27727.20035433181"/>
    <n v="27727.20035433181"/>
    <n v="0"/>
    <n v="764.79169139999999"/>
    <n v="0"/>
    <n v="0"/>
    <n v="0"/>
    <n v="0"/>
    <n v="26959"/>
    <n v="0"/>
    <n v="0"/>
    <n v="966"/>
    <s v="Release2"/>
    <n v="0"/>
    <n v="0"/>
    <n v="3.3541875796656857E-2"/>
    <n v="38"/>
    <m/>
    <s v="Asarganj"/>
    <m/>
    <n v="0"/>
  </r>
  <r>
    <s v="Munger"/>
    <s v="10-16 Apr"/>
    <n v="1003"/>
    <s v="Asarganj"/>
    <x v="113"/>
    <s v="PADARATHPUR"/>
    <s v="MPG"/>
    <s v="Direct"/>
    <n v="1065.95"/>
    <n v="41422.709999999992"/>
    <n v="1039.7999999999997"/>
    <n v="41201.619909180532"/>
    <n v="17"/>
    <n v="678.0894278400001"/>
    <n v="1056.7999999999997"/>
    <n v="41879.709337020533"/>
    <n v="41422.709999999992"/>
    <n v="0"/>
    <n v="678.0894278400001"/>
    <n v="456.99933702054113"/>
    <n v="0"/>
    <n v="0"/>
    <n v="0"/>
    <n v="40745"/>
    <n v="0"/>
    <n v="0"/>
    <n v="0"/>
    <s v="Release3"/>
    <n v="0"/>
    <n v="0"/>
    <n v="-1.1032579399574321E-2"/>
    <n v="38"/>
    <m/>
    <s v="Asarganj"/>
    <m/>
    <n v="0"/>
  </r>
  <r>
    <s v="Munger"/>
    <s v="10-16 Apr"/>
    <n v="1003"/>
    <s v="Asarganj"/>
    <x v="114"/>
    <s v="BADARKHA"/>
    <s v="MPG"/>
    <s v="Direct"/>
    <n v="720.45"/>
    <n v="26228.219999999998"/>
    <n v="712"/>
    <n v="27341.725551614276"/>
    <n v="0"/>
    <n v="0"/>
    <n v="712"/>
    <n v="27341.725551614276"/>
    <n v="26228.219999999998"/>
    <n v="0"/>
    <n v="0"/>
    <n v="1113.5055516142784"/>
    <n v="0"/>
    <n v="0"/>
    <n v="0"/>
    <n v="26228"/>
    <n v="0"/>
    <n v="0"/>
    <n v="0"/>
    <s v="Release1"/>
    <n v="0"/>
    <n v="0"/>
    <n v="-4.2454484201149695E-2"/>
    <n v="22"/>
    <m/>
    <s v="Asarganj"/>
    <m/>
    <n v="0"/>
  </r>
  <r>
    <s v="Munger"/>
    <s v="10-16 Apr"/>
    <n v="1003"/>
    <s v="Asarganj"/>
    <x v="115"/>
    <s v="MAHDMADPUR                                                                                          "/>
    <s v="MPG"/>
    <s v="Direct"/>
    <n v="1429.1499999999999"/>
    <n v="54752.57"/>
    <n v="1429.1999999999998"/>
    <n v="53908.595561854854"/>
    <n v="10.4"/>
    <n v="380.29621905000005"/>
    <n v="1439.6"/>
    <n v="54288.891780904851"/>
    <n v="54288.891780904851"/>
    <n v="0"/>
    <n v="380.29621905000005"/>
    <n v="0"/>
    <n v="7250"/>
    <n v="0"/>
    <n v="0"/>
    <n v="46658"/>
    <n v="0"/>
    <n v="0"/>
    <n v="464"/>
    <s v="Release2"/>
    <n v="0"/>
    <n v="0"/>
    <n v="8.4686110459317055E-3"/>
    <n v="18"/>
    <m/>
    <s v="Asarganj"/>
    <m/>
    <n v="0"/>
  </r>
  <r>
    <s v="Munger"/>
    <s v="10-16 Apr"/>
    <n v="1003"/>
    <s v="Asarganj"/>
    <x v="116"/>
    <s v="MUSKIPUR                                                                                            "/>
    <s v="MPG"/>
    <s v="Direct"/>
    <n v="1302.3999999999999"/>
    <n v="52483.30000000001"/>
    <n v="1337.8400000000004"/>
    <n v="53486.387220176162"/>
    <n v="0"/>
    <n v="0"/>
    <n v="1337.8400000000004"/>
    <n v="53486.387220176162"/>
    <n v="52483.30000000001"/>
    <n v="0"/>
    <n v="0"/>
    <n v="1003.0872201761522"/>
    <n v="0"/>
    <n v="0"/>
    <n v="0"/>
    <n v="52483"/>
    <n v="0"/>
    <n v="0"/>
    <n v="0"/>
    <n v="0"/>
    <n v="0"/>
    <n v="0"/>
    <n v="-1.9112502837591232E-2"/>
    <n v="35"/>
    <m/>
    <s v="Asarganj"/>
    <m/>
    <n v="0"/>
  </r>
  <r>
    <s v="Munger"/>
    <s v="10-16 Apr"/>
    <n v="1003"/>
    <s v="Asarganj"/>
    <x v="117"/>
    <s v="NAYAGAUN                                                                                            "/>
    <s v="MPG"/>
    <s v="Direct"/>
    <n v="372.75"/>
    <n v="15671.97"/>
    <n v="370.03999999999996"/>
    <n v="15598.733400741683"/>
    <n v="2.4300000000000002"/>
    <n v="102.96402969600003"/>
    <n v="372.46999999999997"/>
    <n v="15701.697430437684"/>
    <n v="15671.97"/>
    <n v="0"/>
    <n v="102.96402969600003"/>
    <n v="29.727430437684234"/>
    <n v="0"/>
    <n v="0"/>
    <n v="0"/>
    <n v="15569"/>
    <n v="0"/>
    <n v="0"/>
    <n v="0"/>
    <n v="0"/>
    <n v="275.17919154929575"/>
    <n v="53.25"/>
    <n v="-1.8968534547784506E-3"/>
    <n v="6"/>
    <m/>
    <s v="Asarganj"/>
    <m/>
    <n v="0"/>
  </r>
  <r>
    <s v="Munger"/>
    <s v="10-16 Apr"/>
    <n v="1003"/>
    <s v="Asarganj"/>
    <x v="118"/>
    <s v="LAUNA                                                                                               "/>
    <s v="MPG"/>
    <s v="Direct"/>
    <n v="1309.55"/>
    <n v="47010.670000000006"/>
    <n v="1274.5"/>
    <n v="48288.401878087891"/>
    <n v="29.829999999999995"/>
    <n v="1157.6179222212002"/>
    <n v="1304.33"/>
    <n v="49446.019800309092"/>
    <n v="47010.670000000006"/>
    <n v="0"/>
    <n v="1157.6179222212002"/>
    <n v="2435.3498003090863"/>
    <n v="0"/>
    <n v="0"/>
    <n v="0"/>
    <n v="45853"/>
    <n v="0"/>
    <n v="0"/>
    <n v="0"/>
    <n v="0"/>
    <n v="0"/>
    <n v="0"/>
    <n v="-5.180419254414128E-2"/>
    <n v="17"/>
    <m/>
    <s v="Asarganj"/>
    <m/>
    <n v="0"/>
  </r>
  <r>
    <s v="Munger"/>
    <s v="10-16 Apr"/>
    <n v="1003"/>
    <s v="Asarganj"/>
    <x v="119"/>
    <s v="DULHAR"/>
    <s v="MPG"/>
    <s v="Direct"/>
    <n v="540.95000000000005"/>
    <n v="22341.260000000006"/>
    <n v="556.34"/>
    <n v="24351.440207842414"/>
    <n v="0"/>
    <n v="0"/>
    <n v="556.34"/>
    <n v="24351.440207842414"/>
    <n v="22341.260000000006"/>
    <n v="0"/>
    <n v="0"/>
    <n v="2010.180207842408"/>
    <n v="0"/>
    <n v="0"/>
    <n v="0"/>
    <n v="22341"/>
    <n v="0"/>
    <n v="0"/>
    <n v="0"/>
    <s v="Release1"/>
    <n v="131.37544700988997"/>
    <n v="77.278571428571439"/>
    <n v="-8.9976134194866692E-2"/>
    <n v="16"/>
    <m/>
    <s v="Asarganj"/>
    <m/>
    <n v="0"/>
  </r>
  <r>
    <s v="Munger"/>
    <s v="10-16 Apr"/>
    <n v="1003"/>
    <s v="Asarganj"/>
    <x v="120"/>
    <s v="Ghorpithiya - Vikas"/>
    <s v="vlc"/>
    <s v="Indirect"/>
    <n v="373.3"/>
    <n v="16022.58"/>
    <n v="0"/>
    <n v="0"/>
    <n v="0"/>
    <n v="0"/>
    <n v="0"/>
    <n v="0"/>
    <n v="16022.58"/>
    <n v="0"/>
    <n v="0"/>
    <n v="0"/>
    <n v="0"/>
    <n v="0"/>
    <n v="0"/>
    <n v="0"/>
    <n v="0"/>
    <n v="16022.58"/>
    <n v="0"/>
    <n v="0"/>
    <n v="280.44880182159119"/>
    <n v="53.328571428571429"/>
    <n v="0"/>
    <n v="0"/>
    <m/>
    <s v="Asarganj"/>
    <m/>
    <n v="0"/>
  </r>
  <r>
    <s v="Munger"/>
    <s v="10-16 Apr"/>
    <n v="1003"/>
    <s v="Asarganj"/>
    <x v="121"/>
    <s v="Akbarnagar - Rakhi"/>
    <s v="vlc"/>
    <s v="Indirect"/>
    <n v="1120.3499999999999"/>
    <n v="42423.249999999993"/>
    <n v="0"/>
    <n v="0"/>
    <n v="0"/>
    <n v="0"/>
    <n v="0"/>
    <n v="0"/>
    <n v="42423.249999999993"/>
    <n v="0"/>
    <n v="0"/>
    <n v="0"/>
    <n v="0"/>
    <n v="0"/>
    <n v="0"/>
    <n v="0"/>
    <n v="0"/>
    <n v="42423.249999999993"/>
    <n v="0"/>
    <n v="0"/>
    <n v="0"/>
    <n v="0"/>
    <n v="0"/>
    <n v="0"/>
    <m/>
    <s v="Asarganj"/>
    <m/>
    <n v="0"/>
  </r>
  <r>
    <s v="Munger"/>
    <s v="10-16 Apr"/>
    <n v="1003"/>
    <s v="Asarganj"/>
    <x v="956"/>
    <s v="Maheshi - Chamcham"/>
    <s v="vlc"/>
    <s v="Indirect"/>
    <n v="600"/>
    <n v="22163"/>
    <n v="0"/>
    <n v="0"/>
    <n v="0"/>
    <n v="0"/>
    <n v="0"/>
    <n v="0"/>
    <n v="22163"/>
    <n v="0"/>
    <n v="0"/>
    <n v="0"/>
    <n v="0"/>
    <n v="0"/>
    <n v="0"/>
    <n v="0"/>
    <n v="0"/>
    <n v="22163"/>
    <n v="0"/>
    <n v="0"/>
    <n v="73.876666666666694"/>
    <n v="85.714285714285708"/>
    <n v="0"/>
    <n v="0"/>
    <m/>
    <s v="Asarganj"/>
    <m/>
    <n v="0"/>
  </r>
  <r>
    <s v="Munger"/>
    <s v="10-16 Apr"/>
    <n v="1003"/>
    <s v="Asarganj"/>
    <x v="957"/>
    <s v="Ghorpithiya - Dheeraj"/>
    <s v="vlc"/>
    <s v="Indirect"/>
    <n v="4957"/>
    <n v="183705.44"/>
    <n v="0"/>
    <n v="0"/>
    <n v="0"/>
    <n v="0"/>
    <n v="0"/>
    <n v="0"/>
    <n v="183705.44"/>
    <n v="0"/>
    <n v="0"/>
    <n v="0"/>
    <n v="0"/>
    <n v="0"/>
    <n v="0"/>
    <n v="0"/>
    <n v="0"/>
    <n v="183705.44"/>
    <n v="0"/>
    <n v="0"/>
    <n v="0"/>
    <n v="0"/>
    <n v="0"/>
    <n v="0"/>
    <m/>
    <s v="Asarganj"/>
    <m/>
    <n v="0"/>
  </r>
  <r>
    <s v="Munger"/>
    <s v="10-16 Apr"/>
    <n v="1003"/>
    <s v="Asarganj"/>
    <x v="958"/>
    <s v="Asarganj Chhotki Tola - Akash"/>
    <s v="vlc"/>
    <s v="Indirect"/>
    <n v="4964"/>
    <n v="183951.22000000003"/>
    <n v="0"/>
    <n v="0"/>
    <n v="0"/>
    <n v="0"/>
    <n v="0"/>
    <n v="0"/>
    <n v="183951.22000000003"/>
    <n v="0"/>
    <n v="0"/>
    <n v="0"/>
    <n v="0"/>
    <n v="0"/>
    <n v="0"/>
    <n v="0"/>
    <n v="0"/>
    <n v="183951.22000000003"/>
    <n v="0"/>
    <n v="0"/>
    <n v="0"/>
    <n v="0"/>
    <n v="0"/>
    <n v="0"/>
    <m/>
    <s v="Asarganj"/>
    <m/>
    <n v="0"/>
  </r>
  <r>
    <s v="Munger"/>
    <s v="10-16 Apr"/>
    <n v="1003"/>
    <s v="Asarganj"/>
    <x v="959"/>
    <s v="Manikpur - Golu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  <n v="0"/>
    <n v="100"/>
    <n v="0"/>
    <n v="0"/>
    <m/>
    <s v="Asarganj"/>
    <m/>
    <n v="0"/>
  </r>
  <r>
    <s v="Munger"/>
    <s v="10-16 Apr"/>
    <n v="1003"/>
    <s v="Asarganj"/>
    <x v="960"/>
    <s v="Rangaon - Jayram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  <n v="0"/>
    <n v="100"/>
    <n v="0"/>
    <n v="0"/>
    <m/>
    <s v="Asarganj"/>
    <m/>
    <n v="0"/>
  </r>
  <r>
    <s v="Munger"/>
    <s v="10-16 Apr"/>
    <n v="1003"/>
    <s v="Asarganj"/>
    <x v="961"/>
    <s v="Karso - Aparajita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  <n v="148.36799999999999"/>
    <n v="71.428571428571431"/>
    <n v="0"/>
    <n v="0"/>
    <m/>
    <s v="Asarganj"/>
    <m/>
    <n v="0"/>
  </r>
  <r>
    <s v="Munger"/>
    <s v="10-16 Apr"/>
    <n v="1003"/>
    <s v="Asarganj"/>
    <x v="962"/>
    <s v="Unchagaon - Niraj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  <n v="148.36799999999999"/>
    <n v="71.428571428571431"/>
    <n v="0"/>
    <n v="0"/>
    <m/>
    <s v="Asarganj"/>
    <m/>
    <n v="0"/>
  </r>
  <r>
    <s v="Munger"/>
    <s v="10-16 Apr"/>
    <n v="1003"/>
    <s v="Asarganj"/>
    <x v="122"/>
    <s v="SRIRAMPUR"/>
    <s v="MPG"/>
    <s v="Direct"/>
    <n v="667.55000000000007"/>
    <n v="22085.18"/>
    <n v="682.2"/>
    <n v="23198.558803200001"/>
    <n v="0"/>
    <n v="0"/>
    <n v="682.2"/>
    <n v="23198.558803200001"/>
    <n v="22085.18"/>
    <n v="0"/>
    <n v="0"/>
    <n v="1113.3788032000011"/>
    <n v="0"/>
    <n v="0"/>
    <n v="0"/>
    <n v="22085"/>
    <n v="0"/>
    <n v="0"/>
    <n v="0"/>
    <s v="Release1"/>
    <n v="21.471473028237519"/>
    <n v="95.364285714285728"/>
    <n v="-5.041293768943704E-2"/>
    <n v="3"/>
    <m/>
    <s v="Asarganj"/>
    <m/>
    <n v="0"/>
  </r>
  <r>
    <s v="Munger"/>
    <s v="10-16 Apr"/>
    <n v="1003"/>
    <s v="Asarganj"/>
    <x v="123"/>
    <s v="PAIN"/>
    <s v="MPG"/>
    <s v="Direct"/>
    <n v="1077.3499999999999"/>
    <n v="38237.170000000006"/>
    <n v="1088.2300000000002"/>
    <n v="39387.017446959602"/>
    <n v="3.21"/>
    <n v="116.75771660520002"/>
    <n v="1091.4400000000003"/>
    <n v="39503.775163564802"/>
    <n v="38237.170000000006"/>
    <n v="0"/>
    <n v="116.75771660520002"/>
    <n v="1266.6051635647964"/>
    <n v="0"/>
    <n v="0"/>
    <n v="0"/>
    <n v="38120"/>
    <n v="0"/>
    <n v="0"/>
    <n v="0"/>
    <n v="0"/>
    <n v="0"/>
    <n v="0"/>
    <n v="-3.3124971423481295E-2"/>
    <n v="12"/>
    <m/>
    <s v="Asarganj"/>
    <m/>
    <n v="0"/>
  </r>
  <r>
    <s v="Munger"/>
    <s v="10-16 Apr"/>
    <n v="1003"/>
    <s v="Asarganj"/>
    <x v="124"/>
    <s v="MOTICHAK"/>
    <s v="MPG"/>
    <s v="Direct"/>
    <n v="2048.65"/>
    <n v="73922.139999999985"/>
    <n v="2068.9999999999995"/>
    <n v="78357.524705065327"/>
    <n v="69.239999999999995"/>
    <n v="2612.9657816064005"/>
    <n v="2138.2399999999993"/>
    <n v="80970.490486671726"/>
    <n v="73922.139999999985"/>
    <n v="0"/>
    <n v="2612.9657816064005"/>
    <n v="7048.3504866717412"/>
    <n v="0"/>
    <n v="0"/>
    <n v="0"/>
    <n v="71309"/>
    <n v="0"/>
    <n v="0"/>
    <n v="0"/>
    <s v="Release1"/>
    <n v="0"/>
    <n v="0"/>
    <n v="-9.5348301424603543E-2"/>
    <n v="7"/>
    <m/>
    <s v="Asarganj"/>
    <m/>
    <n v="0"/>
  </r>
  <r>
    <s v="Munger"/>
    <s v="10-16 Apr"/>
    <n v="1003"/>
    <s v="Asarganj"/>
    <x v="125"/>
    <s v="MIRATTHI"/>
    <s v="MPG"/>
    <s v="Direct"/>
    <n v="290.09999999999997"/>
    <n v="11385.390000000001"/>
    <n v="286.60000000000002"/>
    <n v="11364.408628926003"/>
    <n v="2.35"/>
    <n v="94.23743472000001"/>
    <n v="288.95000000000005"/>
    <n v="11458.646063646003"/>
    <n v="11385.390000000001"/>
    <n v="0"/>
    <n v="94.23743472000001"/>
    <n v="73.256063646002076"/>
    <n v="0"/>
    <n v="0"/>
    <n v="0"/>
    <n v="11291"/>
    <n v="0"/>
    <n v="0"/>
    <n v="0"/>
    <n v="0"/>
    <n v="321.74225170630825"/>
    <n v="41.442857142857136"/>
    <n v="-6.434216451610535E-3"/>
    <n v="8"/>
    <m/>
    <s v="Asarganj"/>
    <m/>
    <n v="0"/>
  </r>
  <r>
    <s v="Munger"/>
    <s v="10-16 Apr"/>
    <n v="1003"/>
    <s v="Asarganj"/>
    <x v="126"/>
    <s v="DAULATPUR"/>
    <s v="MPG"/>
    <s v="Direct"/>
    <n v="333.15"/>
    <n v="13165.100000000002"/>
    <n v="329.63"/>
    <n v="13950.168228606162"/>
    <n v="3.04"/>
    <n v="126.541230156"/>
    <n v="332.67"/>
    <n v="14076.709458762163"/>
    <n v="13165.100000000002"/>
    <n v="0"/>
    <n v="126.541230156"/>
    <n v="911.60945876216101"/>
    <n v="0"/>
    <n v="500"/>
    <n v="0"/>
    <n v="12539"/>
    <n v="0"/>
    <n v="0"/>
    <n v="0"/>
    <n v="0"/>
    <n v="289.93648116464067"/>
    <n v="47.592857142857142"/>
    <n v="-6.9244400632138062E-2"/>
    <n v="5"/>
    <m/>
    <s v="Asarganj"/>
    <m/>
    <n v="500"/>
  </r>
  <r>
    <s v="Munger"/>
    <s v="10-16 Apr"/>
    <n v="1003"/>
    <s v="Asarganj"/>
    <x v="127"/>
    <s v="MOHADDIPUR"/>
    <s v="MPG"/>
    <s v="Direct"/>
    <n v="165.9"/>
    <n v="6018.0899999999992"/>
    <n v="1015"/>
    <n v="48347.402934332007"/>
    <n v="0"/>
    <n v="0"/>
    <n v="1015"/>
    <n v="48347.402934332007"/>
    <n v="6018.0899999999992"/>
    <n v="0"/>
    <n v="0"/>
    <n v="42329.312934332011"/>
    <n v="0"/>
    <n v="500"/>
    <n v="0"/>
    <n v="5518"/>
    <n v="0"/>
    <n v="0"/>
    <n v="0"/>
    <s v="Release1"/>
    <n v="387.49389620253163"/>
    <n v="23.7"/>
    <n v="-7.0336789470300403"/>
    <n v="2"/>
    <m/>
    <s v="Asarganj"/>
    <m/>
    <n v="500"/>
  </r>
  <r>
    <s v="Munger"/>
    <s v="10-16 Apr"/>
    <n v="1003"/>
    <s v="Asarganj"/>
    <x v="128"/>
    <s v="JHAJHA"/>
    <s v="MPG"/>
    <s v="Direct"/>
    <n v="553.65"/>
    <n v="23296.2"/>
    <n v="545.38"/>
    <n v="23635.721500147603"/>
    <n v="8.73"/>
    <n v="286.40746375560002"/>
    <n v="554.11"/>
    <n v="23922.128963903204"/>
    <n v="23296.2"/>
    <n v="0"/>
    <n v="286.40746375560002"/>
    <n v="625.92896390320311"/>
    <n v="0"/>
    <n v="0"/>
    <n v="0"/>
    <n v="23010"/>
    <n v="0"/>
    <n v="0"/>
    <n v="0"/>
    <n v="0"/>
    <n v="123.16080086697376"/>
    <n v="79.092857142857142"/>
    <n v="-2.6868285982400694E-2"/>
    <n v="11"/>
    <m/>
    <s v="Asarganj"/>
    <m/>
    <n v="0"/>
  </r>
  <r>
    <s v="Munger"/>
    <s v="10-16 Apr"/>
    <n v="1003"/>
    <s v="Asarganj"/>
    <x v="129"/>
    <s v="KAMARDUH"/>
    <s v="MPG"/>
    <s v="Direct"/>
    <n v="823.3"/>
    <n v="33647.78"/>
    <n v="823.10000000000014"/>
    <n v="33727.654287360005"/>
    <n v="6"/>
    <n v="244.99866600000001"/>
    <n v="829.10000000000014"/>
    <n v="33972.652953360004"/>
    <n v="33647.78"/>
    <n v="0"/>
    <n v="244.99866600000001"/>
    <n v="324.87295336000534"/>
    <n v="0"/>
    <n v="0"/>
    <n v="0"/>
    <n v="33403"/>
    <n v="0"/>
    <n v="0"/>
    <n v="0"/>
    <n v="0"/>
    <n v="0"/>
    <n v="0"/>
    <n v="-9.6551081040117757E-3"/>
    <n v="2"/>
    <m/>
    <s v="Asarganj"/>
    <m/>
    <n v="0"/>
  </r>
  <r>
    <s v="Munger"/>
    <s v="10-16 Apr"/>
    <n v="1003"/>
    <s v="Asarganj"/>
    <x v="130"/>
    <s v="BARSABAD"/>
    <s v="MPG"/>
    <s v="Direct"/>
    <n v="675.09999999999991"/>
    <n v="23025.16"/>
    <n v="671.8"/>
    <n v="24805.195281187211"/>
    <n v="26.69"/>
    <n v="1043.4118440239999"/>
    <n v="698.49"/>
    <n v="25848.607125211209"/>
    <n v="23025.16"/>
    <n v="0"/>
    <n v="1043.4118440239999"/>
    <n v="2823.4471252112089"/>
    <n v="0"/>
    <n v="0"/>
    <n v="0"/>
    <n v="21982"/>
    <n v="0"/>
    <n v="0"/>
    <n v="0"/>
    <n v="0"/>
    <n v="16.98493509109765"/>
    <n v="96.442857142857136"/>
    <n v="-0.12262443019771455"/>
    <n v="9"/>
    <m/>
    <s v="Asarganj"/>
    <m/>
    <n v="0"/>
  </r>
  <r>
    <s v="Munger"/>
    <s v="10-16 Apr"/>
    <n v="1003"/>
    <s v="Asarganj"/>
    <x v="131"/>
    <s v="GONAI"/>
    <s v="MPG"/>
    <s v="Direct"/>
    <n v="823.94999999999993"/>
    <n v="32159.73"/>
    <n v="786.28"/>
    <n v="30056.495411845124"/>
    <n v="3.5999999999999996"/>
    <n v="139.80081052080001"/>
    <n v="789.88"/>
    <n v="30196.296222365923"/>
    <n v="30196.296222365923"/>
    <n v="0"/>
    <n v="139.80081052080001"/>
    <n v="0"/>
    <n v="0"/>
    <n v="0"/>
    <n v="0"/>
    <n v="30056"/>
    <n v="0"/>
    <n v="0"/>
    <n v="1964"/>
    <n v="0"/>
    <n v="0"/>
    <n v="0"/>
    <n v="6.1052557892559305E-2"/>
    <n v="7"/>
    <m/>
    <s v="Asarganj"/>
    <m/>
    <n v="0"/>
  </r>
  <r>
    <s v="Munger"/>
    <s v="10-16 Apr"/>
    <n v="1003"/>
    <s v="Asarganj"/>
    <x v="132"/>
    <s v="SHIKARITOLA"/>
    <s v="MPG"/>
    <s v="Direct"/>
    <n v="928.50000000000011"/>
    <n v="36991.549999999996"/>
    <n v="965.09999999999991"/>
    <n v="42481.643707720614"/>
    <n v="0"/>
    <n v="0"/>
    <n v="965.09999999999991"/>
    <n v="42481.643707720614"/>
    <n v="36991.549999999996"/>
    <n v="0"/>
    <n v="0"/>
    <n v="5490.0937077206181"/>
    <n v="36250"/>
    <n v="0"/>
    <n v="0"/>
    <n v="742"/>
    <n v="0"/>
    <n v="0"/>
    <n v="0"/>
    <s v="Release2"/>
    <n v="0"/>
    <n v="0"/>
    <n v="-0.14841480575214119"/>
    <n v="3"/>
    <m/>
    <s v="Asarganj"/>
    <m/>
    <n v="0"/>
  </r>
  <r>
    <s v="Munger"/>
    <s v="10-16 Apr"/>
    <n v="1003"/>
    <s v="Asarganj"/>
    <x v="133"/>
    <s v="BAIKUNTHPUR"/>
    <s v="MPG"/>
    <s v="Direct"/>
    <n v="211.5"/>
    <n v="7488.7900000000009"/>
    <n v="233.12"/>
    <n v="7552.6281143081997"/>
    <n v="3.7699999999999996"/>
    <n v="122.0258206134"/>
    <n v="236.89000000000001"/>
    <n v="7674.6539349216"/>
    <n v="7488.7900000000009"/>
    <n v="0"/>
    <n v="122.0258206134"/>
    <n v="185.86393492159914"/>
    <n v="0"/>
    <n v="500"/>
    <n v="0"/>
    <n v="6867"/>
    <n v="0"/>
    <n v="0"/>
    <n v="0"/>
    <n v="0"/>
    <n v="345.93606761229319"/>
    <n v="30.214285714285715"/>
    <n v="-2.4818954052870906E-2"/>
    <n v="4"/>
    <m/>
    <s v="Asarganj"/>
    <m/>
    <n v="500"/>
  </r>
  <r>
    <s v="Munger"/>
    <s v="10-16 Apr"/>
    <n v="1003"/>
    <s v="Asarganj"/>
    <x v="134"/>
    <s v="KAITHA"/>
    <s v="MPG"/>
    <s v="Direct"/>
    <n v="1953.3500000000001"/>
    <n v="72745.66"/>
    <n v="1076.74"/>
    <n v="44760.350738131165"/>
    <n v="907.20999999999992"/>
    <n v="36998.871098799616"/>
    <n v="1983.9499999999998"/>
    <n v="81759.221836930781"/>
    <n v="72745.66"/>
    <n v="0"/>
    <n v="724.43905815318408"/>
    <n v="9013.5618369307776"/>
    <n v="0"/>
    <n v="0"/>
    <n v="0"/>
    <n v="35744"/>
    <n v="36277"/>
    <n v="0"/>
    <n v="0"/>
    <n v="0"/>
    <n v="0"/>
    <n v="0"/>
    <n v="-0.12390514893851781"/>
    <n v="21"/>
    <m/>
    <s v="Asarganj"/>
    <m/>
    <n v="0"/>
  </r>
  <r>
    <s v="Munger"/>
    <s v="10-16 Apr"/>
    <n v="1003"/>
    <s v="Asarganj"/>
    <x v="135"/>
    <s v="DORAI"/>
    <s v="MPG"/>
    <s v="Direct"/>
    <n v="830.15000000000009"/>
    <n v="30851.73"/>
    <n v="828.78000000000009"/>
    <n v="32824.923244015328"/>
    <n v="26.06"/>
    <n v="1023.3839247390001"/>
    <n v="854.84"/>
    <n v="33848.307168754327"/>
    <n v="30851.73"/>
    <n v="0"/>
    <n v="1023.3839247390001"/>
    <n v="2996.5771687543274"/>
    <n v="0"/>
    <n v="0"/>
    <n v="0"/>
    <n v="29828"/>
    <n v="0"/>
    <n v="0"/>
    <n v="0"/>
    <n v="0"/>
    <n v="0"/>
    <n v="0"/>
    <n v="-9.7128335064332771E-2"/>
    <n v="4"/>
    <m/>
    <s v="Asarganj"/>
    <m/>
    <n v="0"/>
  </r>
  <r>
    <s v="Munger"/>
    <s v="10-16 Apr"/>
    <n v="1003"/>
    <s v="Asarganj"/>
    <x v="136"/>
    <s v="RAGHUNATHPUR"/>
    <s v="vlc"/>
    <s v="Indirect"/>
    <n v="564.29999999999995"/>
    <n v="19629.580000000002"/>
    <n v="0"/>
    <n v="0"/>
    <n v="0"/>
    <n v="0"/>
    <n v="0"/>
    <n v="0"/>
    <n v="19629.580000000002"/>
    <n v="0"/>
    <n v="0"/>
    <n v="0"/>
    <n v="0"/>
    <n v="0"/>
    <n v="0"/>
    <n v="0"/>
    <n v="0"/>
    <n v="19629.580000000002"/>
    <n v="0"/>
    <n v="0"/>
    <n v="94.408435442140714"/>
    <n v="80.614285714285714"/>
    <n v="0"/>
    <n v="0"/>
    <m/>
    <s v="Asarganj"/>
    <m/>
    <n v="0"/>
  </r>
  <r>
    <s v="Munger"/>
    <s v="10-16 Apr"/>
    <n v="1003"/>
    <s v="Asarganj"/>
    <x v="137"/>
    <s v="BANGAMA"/>
    <s v="MPG"/>
    <s v="Direct"/>
    <n v="676.25000000000011"/>
    <n v="26799.100000000002"/>
    <n v="675"/>
    <n v="27382.045165200005"/>
    <n v="14"/>
    <n v="546.62766840000018"/>
    <n v="689"/>
    <n v="27928.672833600005"/>
    <n v="26799.100000000002"/>
    <n v="0"/>
    <n v="546.62766840000018"/>
    <n v="1129.5728336000029"/>
    <n v="0"/>
    <n v="0"/>
    <n v="0"/>
    <n v="26252"/>
    <n v="0"/>
    <n v="0"/>
    <n v="0"/>
    <n v="0"/>
    <n v="18.823767097966623"/>
    <n v="96.607142857142875"/>
    <n v="-4.2149655533208312E-2"/>
    <n v="6"/>
    <m/>
    <s v="Asarganj"/>
    <m/>
    <n v="0"/>
  </r>
  <r>
    <s v="Munger"/>
    <s v="10-16 Apr"/>
    <n v="1003"/>
    <s v="Asarganj"/>
    <x v="138"/>
    <s v="KORIYA"/>
    <s v="MPG"/>
    <s v="Direct"/>
    <n v="133.35"/>
    <n v="5653.28"/>
    <n v="140.68"/>
    <n v="6455.9004472676243"/>
    <n v="0"/>
    <n v="0"/>
    <n v="140.68"/>
    <n v="6455.9004472676243"/>
    <n v="5653.28"/>
    <n v="0"/>
    <n v="0"/>
    <n v="802.62044726762451"/>
    <n v="0"/>
    <n v="500"/>
    <n v="0"/>
    <n v="5153"/>
    <n v="0"/>
    <n v="0"/>
    <n v="0"/>
    <s v="Release1"/>
    <n v="480.45460997375324"/>
    <n v="19.05"/>
    <n v="-0.1419742958543756"/>
    <n v="7"/>
    <m/>
    <s v="Asarganj"/>
    <m/>
    <n v="500"/>
  </r>
  <r>
    <s v="Munger"/>
    <s v="10-16 Apr"/>
    <n v="1003"/>
    <s v="Asarganj"/>
    <x v="139"/>
    <s v="HARLACHAK"/>
    <s v="MPG"/>
    <s v="Direct"/>
    <n v="996.45"/>
    <n v="37644.339999999997"/>
    <n v="984.24000000000035"/>
    <n v="37137.097804623343"/>
    <n v="8.3600000000000012"/>
    <n v="320.32311854400007"/>
    <n v="992.60000000000036"/>
    <n v="37457.420923167345"/>
    <n v="37457.420923167345"/>
    <n v="0"/>
    <n v="320.32311854400007"/>
    <n v="0"/>
    <n v="0"/>
    <n v="0"/>
    <n v="0"/>
    <n v="37136"/>
    <n v="0"/>
    <n v="0"/>
    <n v="188"/>
    <n v="0"/>
    <n v="0"/>
    <n v="0"/>
    <n v="4.9653965731010731E-3"/>
    <n v="26"/>
    <m/>
    <s v="Asarganj"/>
    <m/>
    <n v="0"/>
  </r>
  <r>
    <s v="Munger"/>
    <s v="10-16 Apr"/>
    <n v="1003"/>
    <s v="Asarganj"/>
    <x v="140"/>
    <s v="Jangle Jhakra"/>
    <s v="MPG"/>
    <s v="Direct"/>
    <n v="1648.6500000000003"/>
    <n v="63787.51"/>
    <n v="1703.87"/>
    <n v="67796.995451823823"/>
    <n v="0"/>
    <n v="0"/>
    <n v="1703.87"/>
    <n v="67796.995451823823"/>
    <n v="63787.51"/>
    <n v="0"/>
    <n v="0"/>
    <n v="4009.4854518238208"/>
    <n v="0"/>
    <n v="0"/>
    <n v="0"/>
    <n v="63788"/>
    <n v="0"/>
    <n v="0"/>
    <n v="0"/>
    <n v="0"/>
    <n v="0"/>
    <n v="0"/>
    <n v="-6.2856904930507884E-2"/>
    <n v="4"/>
    <m/>
    <s v="Asarganj"/>
    <m/>
    <n v="0"/>
  </r>
  <r>
    <s v="Munger"/>
    <s v="10-16 Apr"/>
    <n v="1003"/>
    <s v="Asarganj"/>
    <x v="141"/>
    <s v="KATAHRA"/>
    <s v="MPG"/>
    <s v="Direct"/>
    <n v="292.40000000000003"/>
    <n v="10964.28"/>
    <n v="305.08999999999997"/>
    <n v="12493.197088384382"/>
    <n v="0"/>
    <n v="0"/>
    <n v="305.08999999999997"/>
    <n v="12493.197088384382"/>
    <n v="10964.28"/>
    <n v="0"/>
    <n v="0"/>
    <n v="1528.9170883843817"/>
    <n v="0"/>
    <n v="500"/>
    <n v="0"/>
    <n v="10464"/>
    <n v="0"/>
    <n v="0"/>
    <n v="0"/>
    <s v="Release3"/>
    <n v="305.67992667578653"/>
    <n v="41.771428571428579"/>
    <n v="-0.13944527943324883"/>
    <n v="4"/>
    <m/>
    <s v="Asarganj"/>
    <m/>
    <n v="500"/>
  </r>
  <r>
    <s v="Munger"/>
    <s v="10-16 Apr"/>
    <n v="1003"/>
    <s v="Asarganj"/>
    <x v="142"/>
    <s v="KARHARIA V"/>
    <s v="vlc"/>
    <s v="Indirect"/>
    <n v="254.30000000000004"/>
    <n v="8956.98"/>
    <n v="0"/>
    <n v="0"/>
    <n v="0"/>
    <n v="0"/>
    <n v="0"/>
    <n v="0"/>
    <n v="8956.98"/>
    <n v="0"/>
    <n v="0"/>
    <n v="0"/>
    <n v="0"/>
    <n v="0"/>
    <n v="0"/>
    <n v="0"/>
    <n v="0"/>
    <n v="8956.98"/>
    <n v="0"/>
    <n v="0"/>
    <n v="313.96979834840727"/>
    <n v="36.328571428571436"/>
    <n v="0"/>
    <n v="0"/>
    <m/>
    <s v="Asarganj"/>
    <m/>
    <n v="0"/>
  </r>
  <r>
    <s v="Munger"/>
    <s v="10-16 Apr"/>
    <n v="1003"/>
    <s v="Asarganj"/>
    <x v="143"/>
    <s v="BALADEV ITAHARI"/>
    <s v="MPG"/>
    <s v="Direct"/>
    <n v="307.75"/>
    <n v="9870.659999999998"/>
    <n v="321.90000000000003"/>
    <n v="11010.201677997122"/>
    <n v="0"/>
    <n v="0"/>
    <n v="321.90000000000003"/>
    <n v="11010.201677997122"/>
    <n v="9870.659999999998"/>
    <n v="0"/>
    <n v="0"/>
    <n v="1139.5416779971238"/>
    <n v="0"/>
    <n v="0"/>
    <n v="0"/>
    <n v="9871"/>
    <n v="0"/>
    <n v="0"/>
    <n v="0"/>
    <n v="0"/>
    <n v="251.61763671811534"/>
    <n v="43.964285714285715"/>
    <n v="-0.11544736400576294"/>
    <n v="5"/>
    <m/>
    <s v="Asarganj"/>
    <m/>
    <n v="0"/>
  </r>
  <r>
    <s v="Munger"/>
    <s v="10-16 Apr"/>
    <n v="1003"/>
    <s v="Asarganj"/>
    <x v="144"/>
    <s v="GOMUKH KODAND"/>
    <s v="vlc"/>
    <s v="Indirect"/>
    <n v="654.95000000000005"/>
    <n v="22810.55"/>
    <n v="0"/>
    <n v="0"/>
    <n v="0"/>
    <n v="0"/>
    <n v="0"/>
    <n v="0"/>
    <n v="22810.55"/>
    <n v="0"/>
    <n v="0"/>
    <n v="0"/>
    <n v="0"/>
    <n v="0"/>
    <n v="0"/>
    <n v="0"/>
    <n v="0"/>
    <n v="22810.55"/>
    <n v="0"/>
    <n v="0"/>
    <n v="31.379961142071902"/>
    <n v="93.564285714285717"/>
    <n v="0"/>
    <n v="0"/>
    <m/>
    <s v="Asarganj"/>
    <m/>
    <n v="0"/>
  </r>
  <r>
    <s v="Munger"/>
    <s v="10-16 Apr"/>
    <n v="1003"/>
    <s v="Asarganj"/>
    <x v="145"/>
    <s v="PAHALANPUR"/>
    <s v="MPG"/>
    <s v="Direct"/>
    <n v="842.55"/>
    <n v="32527.68"/>
    <n v="836.68999999999994"/>
    <n v="31507.051010659448"/>
    <n v="0"/>
    <n v="0"/>
    <n v="836.68999999999994"/>
    <n v="31507.051010659448"/>
    <n v="31507.051010659448"/>
    <n v="0"/>
    <n v="0"/>
    <n v="0"/>
    <n v="0"/>
    <n v="0"/>
    <n v="0"/>
    <n v="31506"/>
    <n v="0"/>
    <n v="0"/>
    <n v="1022"/>
    <n v="0"/>
    <n v="0"/>
    <n v="0"/>
    <n v="3.1377245144460102E-2"/>
    <n v="29"/>
    <m/>
    <s v="Asarganj"/>
    <m/>
    <n v="0"/>
  </r>
  <r>
    <s v="Munger"/>
    <s v="10-16 Apr"/>
    <n v="1003"/>
    <s v="Asarganj"/>
    <x v="146"/>
    <s v="TETARIYA"/>
    <s v="vlc"/>
    <s v="Indirect"/>
    <n v="209.15000000000003"/>
    <n v="7482.9800000000005"/>
    <n v="0"/>
    <n v="0"/>
    <n v="0"/>
    <n v="0"/>
    <n v="0"/>
    <n v="0"/>
    <n v="7482.9800000000005"/>
    <n v="0"/>
    <n v="0"/>
    <n v="0"/>
    <n v="0"/>
    <n v="0"/>
    <n v="0"/>
    <n v="0"/>
    <n v="0"/>
    <n v="7482.9800000000005"/>
    <n v="0"/>
    <n v="0"/>
    <n v="351.23315639493188"/>
    <n v="29.878571428571433"/>
    <n v="0"/>
    <n v="0"/>
    <m/>
    <s v="Asarganj"/>
    <m/>
    <n v="0"/>
  </r>
  <r>
    <s v="Munger"/>
    <s v="10-16 Apr"/>
    <n v="1003"/>
    <s v="Asarganj"/>
    <x v="147"/>
    <s v="RAMBRAN YADAV"/>
    <s v="MPG"/>
    <s v="Direct"/>
    <n v="235.65"/>
    <n v="8594.74"/>
    <n v="280.57000000000005"/>
    <n v="10235.217824766001"/>
    <n v="0"/>
    <n v="0"/>
    <n v="280.57000000000005"/>
    <n v="10235.217824766001"/>
    <n v="8594.74"/>
    <n v="0"/>
    <n v="0"/>
    <n v="1640.4778247660015"/>
    <n v="0"/>
    <n v="0"/>
    <n v="0"/>
    <n v="8595"/>
    <n v="0"/>
    <n v="0"/>
    <n v="0"/>
    <n v="0"/>
    <n v="338.71992522809245"/>
    <n v="33.664285714285718"/>
    <n v="-0.19086997684234794"/>
    <n v="1"/>
    <m/>
    <s v="Asarganj"/>
    <m/>
    <n v="0"/>
  </r>
  <r>
    <s v="Munger"/>
    <s v="10-16 Apr"/>
    <n v="1003"/>
    <s v="Asarganj"/>
    <x v="148"/>
    <s v="Gomukh Beldra"/>
    <s v="MPG"/>
    <s v="Indirect"/>
    <n v="182.35"/>
    <n v="5975.5199999999995"/>
    <n v="0"/>
    <n v="0"/>
    <n v="0"/>
    <n v="0"/>
    <n v="0"/>
    <n v="0"/>
    <n v="5975.5199999999995"/>
    <n v="0"/>
    <n v="0"/>
    <n v="0"/>
    <n v="0"/>
    <n v="0"/>
    <n v="0"/>
    <n v="0"/>
    <n v="0"/>
    <n v="5975.5199999999995"/>
    <n v="0"/>
    <n v="0"/>
    <n v="339.26272859884835"/>
    <n v="26.05"/>
    <n v="0"/>
    <n v="0"/>
    <m/>
    <s v="Asarganj"/>
    <m/>
    <n v="0"/>
  </r>
  <r>
    <s v="Munger"/>
    <s v="10-16 Apr"/>
    <n v="1003"/>
    <s v="Asarganj"/>
    <x v="149"/>
    <s v="Gomukh Chandanpura"/>
    <s v="MPG"/>
    <s v="Indirect"/>
    <n v="347.00000000000006"/>
    <n v="12328.289999999999"/>
    <n v="0"/>
    <n v="0"/>
    <n v="0"/>
    <n v="0"/>
    <n v="0"/>
    <n v="0"/>
    <n v="12328.289999999999"/>
    <n v="0"/>
    <n v="0"/>
    <n v="0"/>
    <n v="0"/>
    <n v="0"/>
    <n v="0"/>
    <n v="0"/>
    <n v="0"/>
    <n v="12328.289999999999"/>
    <n v="0"/>
    <n v="0"/>
    <n v="250.829185590778"/>
    <n v="49.571428571428577"/>
    <n v="0"/>
    <n v="0"/>
    <m/>
    <s v="Asarganj"/>
    <m/>
    <n v="0"/>
  </r>
  <r>
    <s v="Munger"/>
    <s v="10-16 Apr"/>
    <n v="1006"/>
    <s v="Sonvarsha"/>
    <x v="151"/>
    <s v="MANO"/>
    <s v="vlc"/>
    <s v="Indirect"/>
    <n v="1291.8"/>
    <n v="50016.779999999992"/>
    <n v="0"/>
    <n v="0"/>
    <n v="0"/>
    <n v="0"/>
    <n v="0"/>
    <n v="0"/>
    <n v="50016.779999999992"/>
    <n v="0"/>
    <n v="0"/>
    <n v="0"/>
    <n v="0"/>
    <n v="0"/>
    <n v="0"/>
    <n v="0"/>
    <n v="0"/>
    <n v="50016.779999999992"/>
    <n v="0"/>
    <n v="0"/>
    <n v="0"/>
    <n v="0"/>
    <n v="0"/>
    <n v="0"/>
    <m/>
    <s v="Sonvarsha"/>
    <m/>
    <n v="0"/>
  </r>
  <r>
    <s v="Munger"/>
    <s v="10-16 Apr"/>
    <n v="1006"/>
    <s v="Sonvarsha"/>
    <x v="152"/>
    <s v="PURANI SALEMPUR"/>
    <s v="vlc"/>
    <s v="Indirect"/>
    <n v="1178.1000000000001"/>
    <n v="46443.87"/>
    <n v="0"/>
    <n v="0"/>
    <n v="0"/>
    <n v="0"/>
    <n v="0"/>
    <n v="0"/>
    <n v="46443.87"/>
    <n v="0"/>
    <n v="0"/>
    <n v="0"/>
    <n v="0"/>
    <n v="0"/>
    <n v="0"/>
    <n v="0"/>
    <n v="0"/>
    <n v="46443.87"/>
    <n v="0"/>
    <n v="0"/>
    <n v="0"/>
    <n v="0"/>
    <n v="0"/>
    <n v="0"/>
    <m/>
    <s v="Sonvarsha"/>
    <m/>
    <n v="0"/>
  </r>
  <r>
    <s v="Munger"/>
    <s v="10-16 Apr"/>
    <n v="1006"/>
    <s v="Sonvarsha"/>
    <x v="153"/>
    <s v="DHANDHHA"/>
    <s v="vlc"/>
    <s v="Indirect"/>
    <n v="2373.1"/>
    <n v="95494.81"/>
    <n v="0"/>
    <n v="0"/>
    <n v="0"/>
    <n v="0"/>
    <n v="0"/>
    <n v="0"/>
    <n v="95494.81"/>
    <n v="0"/>
    <n v="0"/>
    <n v="0"/>
    <n v="0"/>
    <n v="0"/>
    <n v="0"/>
    <n v="0"/>
    <n v="0"/>
    <n v="95494.81"/>
    <n v="0"/>
    <n v="0"/>
    <n v="0"/>
    <n v="0"/>
    <n v="0"/>
    <n v="0"/>
    <m/>
    <s v="Sonvarsha"/>
    <m/>
    <n v="0"/>
  </r>
  <r>
    <s v="Munger"/>
    <s v="10-16 Apr"/>
    <n v="1006"/>
    <s v="Sonvarsha"/>
    <x v="154"/>
    <s v="CHALISH"/>
    <s v="vlc"/>
    <s v="Indirect"/>
    <n v="967.4"/>
    <n v="39139.999999999993"/>
    <n v="0"/>
    <n v="0"/>
    <n v="0"/>
    <n v="0"/>
    <n v="0"/>
    <n v="0"/>
    <n v="39139.999999999993"/>
    <n v="0"/>
    <n v="0"/>
    <n v="0"/>
    <n v="0"/>
    <n v="0"/>
    <n v="0"/>
    <n v="0"/>
    <n v="0"/>
    <n v="39139.999999999993"/>
    <n v="0"/>
    <n v="0"/>
    <n v="0"/>
    <n v="0"/>
    <n v="0"/>
    <n v="0"/>
    <m/>
    <s v="Sonvarsha"/>
    <m/>
    <n v="0"/>
  </r>
  <r>
    <s v="Munger"/>
    <s v="10-16 Apr"/>
    <n v="1006"/>
    <s v="Sonvarsha"/>
    <x v="155"/>
    <s v="MAA BHAGWATI"/>
    <s v="vlc"/>
    <s v="Indirect"/>
    <n v="1191.0999999999999"/>
    <n v="43978.93"/>
    <n v="0"/>
    <n v="0"/>
    <n v="0"/>
    <n v="0"/>
    <n v="0"/>
    <n v="0"/>
    <n v="43978.93"/>
    <n v="0"/>
    <n v="0"/>
    <n v="0"/>
    <n v="0"/>
    <n v="0"/>
    <n v="0"/>
    <n v="0"/>
    <n v="0"/>
    <n v="43978.93"/>
    <n v="0"/>
    <n v="0"/>
    <n v="0"/>
    <n v="0"/>
    <n v="0"/>
    <n v="0"/>
    <m/>
    <s v="Sonvarsha"/>
    <m/>
    <n v="0"/>
  </r>
  <r>
    <s v="Munger"/>
    <s v="10-16 Apr"/>
    <n v="1006"/>
    <s v="Sonvarsha"/>
    <x v="156"/>
    <s v="MAIDINICHOKI"/>
    <s v="vlc"/>
    <s v="Indirect"/>
    <n v="622.90000000000009"/>
    <n v="22749.770000000004"/>
    <n v="0"/>
    <n v="0"/>
    <n v="0"/>
    <n v="0"/>
    <n v="0"/>
    <n v="0"/>
    <n v="22749.770000000004"/>
    <n v="0"/>
    <n v="0"/>
    <n v="0"/>
    <n v="0"/>
    <n v="0"/>
    <n v="0"/>
    <n v="0"/>
    <n v="0"/>
    <n v="22749.770000000004"/>
    <n v="0"/>
    <n v="0"/>
    <n v="56.317459206935254"/>
    <n v="88.985714285714295"/>
    <n v="0"/>
    <n v="0"/>
    <m/>
    <s v="Sonvarsha"/>
    <m/>
    <n v="0"/>
  </r>
  <r>
    <s v="Munger"/>
    <s v="10-16 Apr"/>
    <n v="1006"/>
    <s v="Sonvarsha"/>
    <x v="157"/>
    <s v="GOMUKH JAJWARA"/>
    <s v="vlc"/>
    <s v="Indirect"/>
    <n v="1915.1000000000004"/>
    <n v="77521.51999999999"/>
    <n v="0"/>
    <n v="0"/>
    <n v="0"/>
    <n v="0"/>
    <n v="0"/>
    <n v="0"/>
    <n v="77521.51999999999"/>
    <n v="0"/>
    <n v="0"/>
    <n v="0"/>
    <n v="28750"/>
    <n v="0"/>
    <n v="0"/>
    <n v="0"/>
    <n v="0"/>
    <n v="48771.51999999999"/>
    <n v="0"/>
    <s v="Release1"/>
    <n v="0"/>
    <n v="0"/>
    <n v="0"/>
    <n v="0"/>
    <m/>
    <s v="Sonvarsha"/>
    <m/>
    <n v="0"/>
  </r>
  <r>
    <s v="Munger"/>
    <s v="10-16 Apr"/>
    <n v="1006"/>
    <s v="Sonvarsha"/>
    <x v="158"/>
    <s v="Gomukh ID Sonvarsha"/>
    <s v="vlc"/>
    <s v="Indirect"/>
    <n v="2145.9000000000005"/>
    <n v="85800.430000000008"/>
    <n v="0"/>
    <n v="0"/>
    <n v="0"/>
    <n v="0"/>
    <n v="0"/>
    <n v="0"/>
    <n v="85800.430000000008"/>
    <n v="0"/>
    <n v="0"/>
    <n v="0"/>
    <n v="1300"/>
    <n v="0"/>
    <n v="0"/>
    <n v="0"/>
    <n v="0"/>
    <n v="84500.430000000008"/>
    <n v="0"/>
    <n v="0"/>
    <n v="0"/>
    <n v="0"/>
    <n v="0"/>
    <n v="0"/>
    <m/>
    <s v="Sonvarsha"/>
    <m/>
    <n v="0"/>
  </r>
  <r>
    <s v="Munger"/>
    <s v="10-16 Apr"/>
    <n v="1059"/>
    <s v="Gopalpur Bmc"/>
    <x v="159"/>
    <s v="BALHAPUR"/>
    <s v="MPG"/>
    <s v="Direct"/>
    <n v="493.29999999999995"/>
    <n v="23554.230000000003"/>
    <n v="486.93000000000006"/>
    <n v="23012.693082419166"/>
    <n v="10.450000000000001"/>
    <n v="454.01411324424004"/>
    <n v="497.38000000000005"/>
    <n v="23466.707195663406"/>
    <n v="23466.707195663406"/>
    <n v="0"/>
    <n v="454.01411324424004"/>
    <n v="0"/>
    <n v="0"/>
    <n v="0"/>
    <n v="0"/>
    <n v="23013"/>
    <n v="0"/>
    <n v="0"/>
    <n v="87"/>
    <n v="0"/>
    <n v="197.3914186499089"/>
    <n v="70.471428571428561"/>
    <n v="3.7157998515169838E-3"/>
    <n v="22"/>
    <m/>
    <s v="Gopalpur Bmc"/>
    <m/>
    <n v="0"/>
  </r>
  <r>
    <s v="Munger"/>
    <s v="10-16 Apr"/>
    <n v="1006"/>
    <s v="Sonvarsha"/>
    <x v="161"/>
    <s v="Gomukh ID Husaina"/>
    <s v="vlc"/>
    <s v="Indirect"/>
    <n v="556.50000000000011"/>
    <n v="20917.23"/>
    <n v="0"/>
    <n v="0"/>
    <n v="0"/>
    <n v="0"/>
    <n v="0"/>
    <n v="0"/>
    <n v="20917.23"/>
    <n v="0"/>
    <n v="0"/>
    <n v="0"/>
    <n v="0"/>
    <n v="0"/>
    <n v="0"/>
    <n v="0"/>
    <n v="0"/>
    <n v="20917.23"/>
    <n v="0"/>
    <n v="0"/>
    <n v="107.87502264150933"/>
    <n v="79.500000000000014"/>
    <n v="0"/>
    <n v="0"/>
    <m/>
    <s v="Sonvarsha"/>
    <m/>
    <n v="0"/>
  </r>
  <r>
    <s v="Munger"/>
    <s v="10-16 Apr"/>
    <n v="1006"/>
    <s v="Sonvarsha"/>
    <x v="162"/>
    <s v="Gomukh ID Prarotol"/>
    <s v="vlc"/>
    <s v="Indirect"/>
    <n v="28"/>
    <n v="1202.08"/>
    <n v="0"/>
    <n v="0"/>
    <n v="0"/>
    <n v="0"/>
    <n v="0"/>
    <n v="0"/>
    <n v="1202.08"/>
    <n v="0"/>
    <n v="0"/>
    <n v="0"/>
    <n v="0"/>
    <n v="0"/>
    <n v="0"/>
    <n v="0"/>
    <n v="0"/>
    <n v="1202.08"/>
    <n v="0"/>
    <n v="0"/>
    <n v="576.99839999999995"/>
    <n v="4"/>
    <n v="0"/>
    <n v="0"/>
    <m/>
    <s v="Sonvarsha"/>
    <m/>
    <n v="0"/>
  </r>
  <r>
    <s v="Munger"/>
    <s v="10-16 Apr"/>
    <n v="1006"/>
    <s v="Sonvarsha"/>
    <x v="163"/>
    <s v="MAA SARDE"/>
    <s v="vlc"/>
    <s v="Indirect"/>
    <n v="1717.1000000000001"/>
    <n v="64430.37"/>
    <n v="0"/>
    <n v="0"/>
    <n v="0"/>
    <n v="0"/>
    <n v="0"/>
    <n v="0"/>
    <n v="64430.37"/>
    <n v="0"/>
    <n v="0"/>
    <n v="0"/>
    <n v="0"/>
    <n v="0"/>
    <n v="0"/>
    <n v="0"/>
    <n v="0"/>
    <n v="64430.37"/>
    <n v="0"/>
    <n v="0"/>
    <n v="0"/>
    <n v="0"/>
    <n v="0"/>
    <n v="0"/>
    <m/>
    <s v="Sonvarsha"/>
    <m/>
    <n v="0"/>
  </r>
  <r>
    <s v="Munger"/>
    <s v="10-16 Apr"/>
    <n v="1006"/>
    <s v="Sonvarsha"/>
    <x v="164"/>
    <s v="PURANI DIH"/>
    <s v="vlc"/>
    <s v="Indirect"/>
    <n v="1277.6999999999998"/>
    <n v="56417.570000000007"/>
    <n v="0"/>
    <n v="0"/>
    <n v="0"/>
    <n v="0"/>
    <n v="0"/>
    <n v="0"/>
    <n v="56417.570000000007"/>
    <n v="0"/>
    <n v="0"/>
    <n v="0"/>
    <n v="7800"/>
    <n v="0"/>
    <n v="0"/>
    <n v="0"/>
    <n v="0"/>
    <n v="48617.570000000007"/>
    <n v="0"/>
    <s v="Release1"/>
    <n v="0"/>
    <n v="0"/>
    <n v="0"/>
    <n v="0"/>
    <m/>
    <s v="Sonvarsha"/>
    <m/>
    <n v="0"/>
  </r>
  <r>
    <s v="Munger"/>
    <s v="10-16 Apr"/>
    <n v="1006"/>
    <s v="Sonvarsha"/>
    <x v="165"/>
    <s v="Farda Ravi Tola"/>
    <s v="MPG"/>
    <s v="Direct"/>
    <n v="2511.1000000000004"/>
    <n v="93554.37000000001"/>
    <n v="2332.8999999999996"/>
    <n v="87707.052865079997"/>
    <n v="214.6"/>
    <n v="8219.1004513200023"/>
    <n v="2547.4999999999995"/>
    <n v="95926.153316399999"/>
    <n v="93554.37000000001"/>
    <n v="0"/>
    <n v="534.48372648000009"/>
    <n v="2371.7833163999894"/>
    <n v="0"/>
    <n v="0"/>
    <n v="0"/>
    <n v="85336"/>
    <n v="7684"/>
    <n v="0"/>
    <n v="0"/>
    <n v="0"/>
    <n v="0"/>
    <n v="0"/>
    <n v="-2.5351924409303266E-2"/>
    <n v="7"/>
    <m/>
    <s v="Sonvarsha"/>
    <m/>
    <n v="0"/>
  </r>
  <r>
    <s v="Munger"/>
    <s v="10-16 Apr"/>
    <n v="1006"/>
    <s v="Sonvarsha"/>
    <x v="166"/>
    <s v="Gomukh Puranidih 2"/>
    <s v="vlc"/>
    <s v="Indirect"/>
    <n v="122.50000000000001"/>
    <n v="5595.8899999999994"/>
    <n v="0"/>
    <n v="0"/>
    <n v="0"/>
    <n v="0"/>
    <n v="0"/>
    <n v="0"/>
    <n v="5595.8899999999994"/>
    <n v="0"/>
    <n v="0"/>
    <n v="0"/>
    <n v="0"/>
    <n v="0"/>
    <n v="0"/>
    <n v="0"/>
    <n v="0"/>
    <n v="5595.8899999999994"/>
    <n v="0"/>
    <n v="0"/>
    <n v="527.61248571428564"/>
    <n v="17.500000000000004"/>
    <n v="0"/>
    <n v="0"/>
    <m/>
    <s v="Sonvarsha"/>
    <m/>
    <n v="0"/>
  </r>
  <r>
    <s v="Munger"/>
    <s v="10-16 Apr"/>
    <n v="1006"/>
    <s v="Sonvarsha"/>
    <x v="167"/>
    <s v="Gomukh Arma"/>
    <s v="MPG"/>
    <s v="Direct"/>
    <n v="501.10000000000008"/>
    <n v="24004.389999999996"/>
    <n v="502.85"/>
    <n v="23705.482338531539"/>
    <n v="2.1999999999999997"/>
    <n v="102.93265390617999"/>
    <n v="505.05"/>
    <n v="23808.41499243772"/>
    <n v="23808.41499243772"/>
    <n v="0"/>
    <n v="102.93265390617999"/>
    <n v="0"/>
    <n v="0"/>
    <n v="0"/>
    <n v="0"/>
    <n v="23705"/>
    <n v="0"/>
    <n v="0"/>
    <n v="196"/>
    <n v="0"/>
    <n v="190.55969550987808"/>
    <n v="71.585714285714303"/>
    <n v="8.1641319592906155E-3"/>
    <n v="4"/>
    <m/>
    <s v="Sonvarsha"/>
    <m/>
    <n v="0"/>
  </r>
  <r>
    <s v="Munger"/>
    <s v="10-16 Apr"/>
    <n v="1059"/>
    <s v="Gopalpur Bmc"/>
    <x v="168"/>
    <s v="Singhchak"/>
    <s v="MPG"/>
    <s v="Direct"/>
    <n v="1210.7"/>
    <n v="53526.849999999991"/>
    <n v="1235.08"/>
    <n v="54389.819729552975"/>
    <n v="20.02"/>
    <n v="853.53715260000001"/>
    <n v="1255.0999999999999"/>
    <n v="55243.356882152977"/>
    <n v="53526.849999999991"/>
    <n v="0"/>
    <n v="853.53715260000001"/>
    <n v="1716.5068821529858"/>
    <n v="0"/>
    <n v="0"/>
    <n v="0"/>
    <n v="52673"/>
    <n v="0"/>
    <n v="0"/>
    <n v="0"/>
    <n v="0"/>
    <n v="0"/>
    <n v="0"/>
    <n v="-3.206814677405799E-2"/>
    <n v="64"/>
    <m/>
    <s v="Gopalpur Bmc"/>
    <m/>
    <n v="0"/>
  </r>
  <r>
    <s v="Munger"/>
    <s v="10-16 Apr"/>
    <n v="1006"/>
    <s v="Sonvarsha"/>
    <x v="169"/>
    <s v="MAHA-LAXMI"/>
    <s v="vlc"/>
    <s v="Indirect"/>
    <n v="951.29999999999984"/>
    <n v="36633.800000000003"/>
    <n v="0"/>
    <n v="0"/>
    <n v="0"/>
    <n v="0"/>
    <n v="0"/>
    <n v="0"/>
    <n v="36633.800000000003"/>
    <n v="0"/>
    <n v="0"/>
    <n v="0"/>
    <n v="0"/>
    <n v="0"/>
    <n v="0"/>
    <n v="0"/>
    <n v="0"/>
    <n v="36633.800000000003"/>
    <n v="0"/>
    <n v="0"/>
    <n v="0"/>
    <n v="0"/>
    <n v="0"/>
    <n v="0"/>
    <m/>
    <s v="Sonvarsha"/>
    <m/>
    <n v="0"/>
  </r>
  <r>
    <s v="Munger"/>
    <s v="10-16 Apr"/>
    <n v="1006"/>
    <s v="Sonvarsha"/>
    <x v="170"/>
    <s v="PAWAI"/>
    <s v="MPG"/>
    <s v="Direct"/>
    <n v="1161.1000000000004"/>
    <n v="54965.789999999994"/>
    <n v="1155.01"/>
    <n v="53854.982095110165"/>
    <n v="23.76"/>
    <n v="1291.0342358335702"/>
    <n v="1178.77"/>
    <n v="55146.016330943734"/>
    <n v="54965.789999999994"/>
    <n v="0"/>
    <n v="865.84911841757014"/>
    <n v="180.22633094374032"/>
    <n v="0"/>
    <n v="0"/>
    <n v="0"/>
    <n v="53675"/>
    <n v="425"/>
    <n v="0"/>
    <n v="0"/>
    <n v="0"/>
    <n v="0"/>
    <n v="0"/>
    <n v="-3.2788818453030576E-3"/>
    <n v="35"/>
    <m/>
    <s v="Sonvarsha"/>
    <m/>
    <n v="0"/>
  </r>
  <r>
    <s v="Munger"/>
    <s v="10-16 Apr"/>
    <n v="1006"/>
    <s v="Sonvarsha"/>
    <x v="171"/>
    <s v="LAKHOCHAK                                                                                           "/>
    <s v="MPG"/>
    <s v="Direct"/>
    <n v="342.19999999999993"/>
    <n v="14817.619999999999"/>
    <n v="364.96999999999997"/>
    <n v="16232.209893055922"/>
    <n v="0"/>
    <n v="0"/>
    <n v="364.96999999999997"/>
    <n v="16232.209893055922"/>
    <n v="14817.619999999999"/>
    <n v="0"/>
    <n v="0"/>
    <n v="1414.5898930559233"/>
    <n v="0"/>
    <n v="0"/>
    <n v="0"/>
    <n v="14818"/>
    <n v="0"/>
    <n v="0"/>
    <n v="0"/>
    <s v="Release3"/>
    <n v="309.86232822910591"/>
    <n v="48.885714285714279"/>
    <n v="-9.5466741153837353E-2"/>
    <n v="12"/>
    <m/>
    <s v="Sonvarsha"/>
    <m/>
    <n v="0"/>
  </r>
  <r>
    <s v="Munger"/>
    <s v="10-16 Apr"/>
    <n v="1059"/>
    <s v="Gopalpur Bmc"/>
    <x v="172"/>
    <s v="BATTA RAMPUR                                                                                        "/>
    <s v="MPG"/>
    <s v="Direct"/>
    <n v="2521.8999999999996"/>
    <n v="123372.18000000001"/>
    <n v="2549.1099999999997"/>
    <n v="126426.95058639257"/>
    <n v="20.589999999999996"/>
    <n v="1323.5703579965402"/>
    <n v="2569.6999999999998"/>
    <n v="127750.52094438911"/>
    <n v="123372.18000000001"/>
    <n v="0"/>
    <n v="1323.5703579965402"/>
    <n v="4378.3409443890996"/>
    <n v="0"/>
    <n v="0"/>
    <n v="0"/>
    <n v="122049"/>
    <n v="0"/>
    <n v="0"/>
    <n v="0"/>
    <n v="0"/>
    <n v="0"/>
    <n v="0"/>
    <n v="-3.5488883672065284E-2"/>
    <n v="43"/>
    <m/>
    <s v="Gopalpur Bmc"/>
    <m/>
    <n v="0"/>
  </r>
  <r>
    <s v="Munger"/>
    <s v="10-16 Apr"/>
    <n v="1059"/>
    <s v="Gopalpur Bmc"/>
    <x v="173"/>
    <s v="DARISHIR"/>
    <s v="MPG"/>
    <s v="Direct"/>
    <n v="147.1"/>
    <n v="5371.68"/>
    <n v="145.07999999999998"/>
    <n v="5313.6525837383997"/>
    <n v="0.24"/>
    <n v="8.9340166080000021"/>
    <n v="145.32"/>
    <n v="5322.5866003463998"/>
    <n v="5322.5866003463998"/>
    <n v="0"/>
    <n v="8.9340166080000021"/>
    <n v="0"/>
    <n v="0"/>
    <n v="0"/>
    <n v="0"/>
    <n v="0"/>
    <n v="0"/>
    <n v="0"/>
    <n v="5363"/>
    <s v="Yes"/>
    <n v="403.80718857919788"/>
    <n v="21.014285714285712"/>
    <n v="9.1393008618533677E-3"/>
    <n v="9"/>
    <m/>
    <s v="Gopalpur Bmc"/>
    <m/>
    <n v="0"/>
  </r>
  <r>
    <s v="Munger"/>
    <s v="10-16 Apr"/>
    <n v="1006"/>
    <s v="Sonvarsha"/>
    <x v="174"/>
    <s v="NIRAJ KUMAR"/>
    <s v="vlc"/>
    <s v="Indirect"/>
    <n v="913.59999999999991"/>
    <n v="46730.159999999996"/>
    <n v="0"/>
    <n v="0"/>
    <n v="0"/>
    <n v="0"/>
    <n v="0"/>
    <n v="0"/>
    <n v="46730.159999999996"/>
    <n v="0"/>
    <n v="0"/>
    <n v="0"/>
    <n v="0"/>
    <n v="0"/>
    <n v="0"/>
    <n v="0"/>
    <n v="0"/>
    <n v="46730.159999999996"/>
    <n v="0"/>
    <n v="0"/>
    <n v="0"/>
    <n v="0"/>
    <n v="0"/>
    <n v="0"/>
    <m/>
    <s v="Sonvarsha"/>
    <m/>
    <n v="0"/>
  </r>
  <r>
    <s v="Munger"/>
    <s v="10-16 Apr"/>
    <n v="1006"/>
    <s v="Sonvarsha"/>
    <x v="963"/>
    <s v="RANDHIR KUMAR(VLC)"/>
    <s v="vlc"/>
    <s v="Indirect"/>
    <n v="45.3"/>
    <n v="1736.97"/>
    <n v="0"/>
    <n v="0"/>
    <n v="0"/>
    <n v="0"/>
    <n v="0"/>
    <n v="0"/>
    <n v="1736.97"/>
    <n v="0"/>
    <n v="0"/>
    <n v="0"/>
    <n v="0"/>
    <n v="0"/>
    <n v="0"/>
    <n v="0"/>
    <n v="0"/>
    <n v="1736.97"/>
    <n v="0"/>
    <n v="0"/>
    <n v="502.0725205298013"/>
    <n v="6.4714285714285706"/>
    <n v="0"/>
    <n v="0"/>
    <m/>
    <s v="Sonvarsha"/>
    <m/>
    <n v="0"/>
  </r>
  <r>
    <s v="Munger"/>
    <s v="10-16 Apr"/>
    <n v="1006"/>
    <s v="Sonvarsha"/>
    <x v="175"/>
    <s v="Abgil Rampur - Rohit"/>
    <s v="vlc"/>
    <s v="Indirect"/>
    <n v="120.80000000000001"/>
    <n v="4637.6000000000004"/>
    <n v="0"/>
    <n v="0"/>
    <n v="0"/>
    <n v="0"/>
    <n v="0"/>
    <n v="0"/>
    <n v="4637.6000000000004"/>
    <n v="0"/>
    <n v="0"/>
    <n v="0"/>
    <n v="0"/>
    <n v="0"/>
    <n v="0"/>
    <n v="0"/>
    <n v="0"/>
    <n v="4637.6000000000004"/>
    <n v="0"/>
    <n v="0"/>
    <n v="444.71819867549664"/>
    <n v="17.25714285714286"/>
    <n v="0"/>
    <n v="0"/>
    <m/>
    <s v="Sonvarsha"/>
    <m/>
    <n v="0"/>
  </r>
  <r>
    <s v="Munger"/>
    <s v="10-16 Apr"/>
    <n v="1059"/>
    <s v="Gopalpur Bmc"/>
    <x v="176"/>
    <s v="MALIYA"/>
    <s v="MPG"/>
    <s v="Direct"/>
    <n v="639.19999999999993"/>
    <n v="26951.590000000007"/>
    <n v="644.36999999999989"/>
    <n v="29425.125525422674"/>
    <n v="8.4"/>
    <n v="391.96266626509998"/>
    <n v="652.76999999999987"/>
    <n v="29817.088191687773"/>
    <n v="26951.590000000007"/>
    <n v="0"/>
    <n v="391.96266626509998"/>
    <n v="2865.4981916877659"/>
    <n v="0"/>
    <n v="0"/>
    <n v="0"/>
    <n v="26560"/>
    <n v="0"/>
    <n v="0"/>
    <n v="0"/>
    <n v="0"/>
    <n v="51.272111138923741"/>
    <n v="91.314285714285703"/>
    <n v="-0.10632019081945686"/>
    <n v="24"/>
    <m/>
    <s v="Gopalpur Bmc"/>
    <m/>
    <n v="0"/>
  </r>
  <r>
    <s v="Munger"/>
    <s v="10-16 Apr"/>
    <n v="1059"/>
    <s v="Gopalpur Bmc"/>
    <x v="177"/>
    <s v="MAHULIYA"/>
    <s v="MPG"/>
    <s v="Direct"/>
    <n v="528"/>
    <n v="23509.72"/>
    <n v="514"/>
    <n v="23131.71092381547"/>
    <n v="8.6700000000000017"/>
    <n v="367.40123127824995"/>
    <n v="522.66999999999996"/>
    <n v="23499.112155093721"/>
    <n v="23499.112155093721"/>
    <n v="0"/>
    <n v="367.40123127824995"/>
    <n v="0"/>
    <n v="0"/>
    <n v="0"/>
    <n v="0"/>
    <n v="23130"/>
    <n v="0"/>
    <n v="0"/>
    <n v="12"/>
    <n v="0"/>
    <n v="153.16938787878789"/>
    <n v="75.428571428571431"/>
    <n v="4.5121102702544566E-4"/>
    <n v="16"/>
    <m/>
    <s v="Gopalpur Bmc"/>
    <m/>
    <n v="0"/>
  </r>
  <r>
    <s v="Munger"/>
    <s v="10-16 Apr"/>
    <n v="1006"/>
    <s v="Sonvarsha"/>
    <x v="178"/>
    <s v="ABGIL RAMPUR"/>
    <s v="vlc"/>
    <s v="Indirect"/>
    <n v="622.9"/>
    <n v="25690.499999999996"/>
    <n v="0"/>
    <n v="0"/>
    <n v="0"/>
    <n v="0"/>
    <n v="0"/>
    <n v="0"/>
    <n v="25690.499999999996"/>
    <n v="0"/>
    <n v="0"/>
    <n v="0"/>
    <n v="0"/>
    <n v="0"/>
    <n v="0"/>
    <n v="0"/>
    <n v="0"/>
    <n v="25690.499999999996"/>
    <n v="0"/>
    <n v="0"/>
    <n v="63.59728848932415"/>
    <n v="88.98571428571428"/>
    <n v="0"/>
    <n v="0"/>
    <m/>
    <s v="Sonvarsha"/>
    <m/>
    <n v="0"/>
  </r>
  <r>
    <s v="Munger"/>
    <s v="10-16 Apr"/>
    <n v="1006"/>
    <s v="Sonvarsha"/>
    <x v="179"/>
    <s v="ABGIL"/>
    <s v="vlc"/>
    <s v="Indirect"/>
    <n v="519.5"/>
    <n v="17990.829999999998"/>
    <n v="0"/>
    <n v="0"/>
    <n v="0"/>
    <n v="0"/>
    <n v="0"/>
    <n v="0"/>
    <n v="17990.829999999998"/>
    <n v="0"/>
    <n v="0"/>
    <n v="0"/>
    <n v="0"/>
    <n v="0"/>
    <n v="0"/>
    <n v="0"/>
    <n v="0"/>
    <n v="17990.829999999998"/>
    <n v="0"/>
    <n v="0"/>
    <n v="125.01808719923007"/>
    <n v="74.214285714285708"/>
    <n v="0"/>
    <n v="0"/>
    <m/>
    <s v="Sonvarsha"/>
    <m/>
    <n v="0"/>
  </r>
  <r>
    <s v="Munger"/>
    <s v="10-16 Apr"/>
    <n v="1006"/>
    <s v="Sonvarsha"/>
    <x v="180"/>
    <s v="RUPESH KUMAR"/>
    <s v="vlc"/>
    <s v="Indirect"/>
    <n v="65.400000000000006"/>
    <n v="2230"/>
    <n v="0"/>
    <n v="0"/>
    <n v="0"/>
    <n v="0"/>
    <n v="0"/>
    <n v="0"/>
    <n v="2230"/>
    <n v="0"/>
    <n v="0"/>
    <n v="0"/>
    <n v="0"/>
    <n v="0"/>
    <n v="0"/>
    <n v="0"/>
    <n v="0"/>
    <n v="2230"/>
    <n v="0"/>
    <n v="0"/>
    <n v="432.77003058103975"/>
    <n v="9.3428571428571434"/>
    <n v="0"/>
    <n v="0"/>
    <m/>
    <s v="Sonvarsha"/>
    <m/>
    <n v="0"/>
  </r>
  <r>
    <s v="Munger"/>
    <s v="10-16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44.1"/>
    <n v="28887.759999999998"/>
    <n v="323.61000000000007"/>
    <n v="12408.185186733601"/>
    <n v="480.28"/>
    <n v="18882.184213708202"/>
    <n v="803.8900000000001"/>
    <n v="31290.369400441803"/>
    <n v="28887.759999999998"/>
    <n v="0"/>
    <n v="278.51438508300004"/>
    <n v="2402.6094004418046"/>
    <n v="0"/>
    <n v="0"/>
    <n v="0"/>
    <n v="10447"/>
    <n v="18162"/>
    <n v="0"/>
    <n v="0"/>
    <s v="Release2"/>
    <n v="0"/>
    <n v="0"/>
    <n v="-8.3170498524004793E-2"/>
    <n v="6"/>
    <m/>
    <s v="Sonvarsha"/>
    <m/>
    <n v="0"/>
  </r>
  <r>
    <s v="Munger"/>
    <s v="10-16 Apr"/>
    <n v="1006"/>
    <s v="Sonvarsha"/>
    <x v="182"/>
    <s v="Manish Kumar                                                                                        "/>
    <s v="vlc"/>
    <s v="Indirect"/>
    <n v="315.29999999999995"/>
    <n v="11066.919999999996"/>
    <n v="0"/>
    <n v="0"/>
    <n v="0"/>
    <n v="0"/>
    <n v="0"/>
    <n v="0"/>
    <n v="11066.919999999996"/>
    <n v="0"/>
    <n v="0"/>
    <n v="0"/>
    <n v="0"/>
    <n v="0"/>
    <n v="0"/>
    <n v="0"/>
    <n v="0"/>
    <n v="11066.919999999996"/>
    <n v="0"/>
    <n v="0"/>
    <n v="270.05671576276563"/>
    <n v="45.042857142857137"/>
    <n v="0"/>
    <n v="0"/>
    <m/>
    <s v="Sonvarsha"/>
    <m/>
    <n v="0"/>
  </r>
  <r>
    <s v="Munger"/>
    <s v="10-16 Apr"/>
    <n v="1006"/>
    <s v="Sonvarsha"/>
    <x v="183"/>
    <s v="AKHA-KURHA"/>
    <s v="vlc"/>
    <s v="Indirect"/>
    <n v="321.20000000000005"/>
    <n v="13405.859999999999"/>
    <n v="0"/>
    <n v="0"/>
    <n v="0"/>
    <n v="0"/>
    <n v="0"/>
    <n v="0"/>
    <n v="13405.859999999999"/>
    <n v="0"/>
    <n v="0"/>
    <n v="0"/>
    <n v="0"/>
    <n v="0"/>
    <n v="0"/>
    <n v="0"/>
    <n v="0"/>
    <n v="13405.859999999999"/>
    <n v="0"/>
    <n v="0"/>
    <n v="316.19799302615183"/>
    <n v="45.885714285714293"/>
    <n v="0"/>
    <n v="0"/>
    <m/>
    <s v="Sonvarsha"/>
    <m/>
    <n v="0"/>
  </r>
  <r>
    <s v="Munger"/>
    <s v="10-16 Apr"/>
    <n v="1059"/>
    <s v="Gopalpur Bmc"/>
    <x v="184"/>
    <s v="BHANDAR"/>
    <s v="MPG"/>
    <s v="Direct"/>
    <n v="246.39999999999998"/>
    <n v="11324.2"/>
    <n v="246.40000000000003"/>
    <n v="11324.173539229203"/>
    <n v="0"/>
    <n v="0"/>
    <n v="246.40000000000003"/>
    <n v="11324.173539229203"/>
    <n v="11324.173539229203"/>
    <n v="0"/>
    <n v="0"/>
    <n v="0"/>
    <n v="0"/>
    <n v="0"/>
    <n v="0"/>
    <n v="11324"/>
    <n v="0"/>
    <n v="0"/>
    <n v="0"/>
    <n v="0"/>
    <n v="416.93645454545469"/>
    <n v="35.199999999999996"/>
    <n v="2.3366569645283577E-6"/>
    <n v="1"/>
    <m/>
    <s v="Gopalpur Bmc"/>
    <m/>
    <n v="0"/>
  </r>
  <r>
    <s v="Munger"/>
    <s v="10-16 Apr"/>
    <n v="1059"/>
    <s v="Gopalpur Bmc"/>
    <x v="185"/>
    <s v="BASMATIYA"/>
    <s v="MPG"/>
    <s v="Direct"/>
    <n v="394.2"/>
    <n v="15561.140000000003"/>
    <n v="383.55999999999995"/>
    <n v="16843.752819577563"/>
    <n v="5.09"/>
    <n v="206.20906685280005"/>
    <n v="388.64999999999992"/>
    <n v="17049.961886430363"/>
    <n v="15561.140000000003"/>
    <n v="0"/>
    <n v="206.20906685280005"/>
    <n v="1488.8218864303599"/>
    <n v="59"/>
    <n v="0"/>
    <n v="0"/>
    <n v="15296"/>
    <n v="0"/>
    <n v="0"/>
    <n v="0"/>
    <s v="Release3"/>
    <n v="241.43057392186714"/>
    <n v="56.31428571428571"/>
    <n v="-9.567563086190084E-2"/>
    <n v="11"/>
    <m/>
    <s v="Gopalpur Bmc"/>
    <m/>
    <n v="0"/>
  </r>
  <r>
    <s v="Munger"/>
    <s v="10-16 Apr"/>
    <n v="1006"/>
    <s v="Sonvarsha"/>
    <x v="186"/>
    <s v="TILATHI"/>
    <s v="MPG"/>
    <s v="Direct"/>
    <n v="1370.3999999999999"/>
    <n v="58120.709999999992"/>
    <n v="1375.07"/>
    <n v="57574.973644497717"/>
    <n v="33.29"/>
    <n v="1374.4578783209702"/>
    <n v="1408.36"/>
    <n v="58949.43152281869"/>
    <n v="58120.709999999992"/>
    <n v="0"/>
    <n v="739.15819480800008"/>
    <n v="828.72152281869785"/>
    <n v="0"/>
    <n v="0"/>
    <n v="0"/>
    <n v="56747"/>
    <n v="635"/>
    <n v="0"/>
    <n v="0"/>
    <s v="Release1"/>
    <n v="0"/>
    <n v="0"/>
    <n v="-1.425862696478928E-2"/>
    <n v="35"/>
    <m/>
    <s v="Sonvarsha"/>
    <m/>
    <n v="0"/>
  </r>
  <r>
    <s v="Munger"/>
    <s v="10-16 Apr"/>
    <n v="1006"/>
    <s v="Sonvarsha"/>
    <x v="187"/>
    <s v="GOMUKH WESTOL"/>
    <s v="vlc"/>
    <s v="Indirect"/>
    <n v="2535.9"/>
    <n v="98986.16"/>
    <n v="0"/>
    <n v="0"/>
    <n v="0"/>
    <n v="0"/>
    <n v="0"/>
    <n v="0"/>
    <n v="98986.16"/>
    <n v="0"/>
    <n v="0"/>
    <n v="0"/>
    <n v="0"/>
    <n v="0"/>
    <n v="0"/>
    <n v="0"/>
    <n v="0"/>
    <n v="98986.16"/>
    <n v="0"/>
    <n v="0"/>
    <n v="0"/>
    <n v="0"/>
    <n v="0"/>
    <n v="0"/>
    <m/>
    <s v="Sonvarsha"/>
    <m/>
    <n v="0"/>
  </r>
  <r>
    <s v="Munger"/>
    <s v="10-16 Apr"/>
    <n v="1006"/>
    <s v="Sonvarsha"/>
    <x v="1032"/>
    <s v="GOMUKH  SALHA"/>
    <s v="vlc"/>
    <s v="Indirect"/>
    <n v="1185.3000000000002"/>
    <n v="44919.41"/>
    <n v="0"/>
    <n v="0"/>
    <n v="0"/>
    <n v="0"/>
    <n v="0"/>
    <n v="0"/>
    <n v="44919.41"/>
    <n v="0"/>
    <n v="0"/>
    <n v="0"/>
    <n v="0"/>
    <n v="0"/>
    <n v="0"/>
    <n v="0"/>
    <n v="0"/>
    <n v="44919.41"/>
    <n v="0"/>
    <n v="0"/>
    <n v="0"/>
    <n v="0"/>
    <n v="0"/>
    <n v="0"/>
    <m/>
    <s v="Sonvarsha"/>
    <m/>
    <n v="0"/>
  </r>
  <r>
    <s v="Munger"/>
    <s v="10-16 Apr"/>
    <n v="1059"/>
    <s v="Gopalpur Bmc"/>
    <x v="188"/>
    <s v="SANGRAMPUR"/>
    <s v="MPG"/>
    <s v="Direct"/>
    <n v="483.09999999999985"/>
    <n v="21690.1"/>
    <n v="484.5"/>
    <n v="21689.400936809103"/>
    <n v="0"/>
    <n v="0"/>
    <n v="484.5"/>
    <n v="21689.400936809103"/>
    <n v="21689.400936809103"/>
    <n v="0"/>
    <n v="0"/>
    <n v="0"/>
    <n v="0"/>
    <n v="0"/>
    <n v="0"/>
    <n v="21689"/>
    <n v="0"/>
    <n v="0"/>
    <n v="1"/>
    <n v="0"/>
    <n v="194.76641233699047"/>
    <n v="69.014285714285691"/>
    <n v="3.2229597415211816E-5"/>
    <n v="3"/>
    <m/>
    <s v="Gopalpur Bmc"/>
    <m/>
    <n v="0"/>
  </r>
  <r>
    <s v="Munger"/>
    <s v="10-16 Apr"/>
    <n v="1006"/>
    <s v="Sonvarsha"/>
    <x v="189"/>
    <s v="GOMUKH CHASMASKAN"/>
    <s v="vlc"/>
    <s v="Indirect"/>
    <n v="1961.8"/>
    <n v="72366.040000000008"/>
    <n v="0"/>
    <n v="0"/>
    <n v="0"/>
    <n v="0"/>
    <n v="0"/>
    <n v="0"/>
    <n v="72366.040000000008"/>
    <n v="0"/>
    <n v="0"/>
    <n v="0"/>
    <n v="0"/>
    <n v="0"/>
    <n v="0"/>
    <n v="0"/>
    <n v="0"/>
    <n v="72366.040000000008"/>
    <n v="0"/>
    <n v="0"/>
    <n v="0"/>
    <n v="0"/>
    <n v="0"/>
    <n v="0"/>
    <m/>
    <s v="Sonvarsha"/>
    <m/>
    <n v="0"/>
  </r>
  <r>
    <s v="Munger"/>
    <s v="10-16 Apr"/>
    <n v="1006"/>
    <s v="Sonvarsha"/>
    <x v="190"/>
    <s v="GOMUKH KAJITOLA"/>
    <s v="vlc"/>
    <s v="Indirect"/>
    <n v="885.4"/>
    <n v="34507.810000000005"/>
    <n v="0"/>
    <n v="0"/>
    <n v="0"/>
    <n v="0"/>
    <n v="0"/>
    <n v="0"/>
    <n v="34507.810000000005"/>
    <n v="0"/>
    <n v="0"/>
    <n v="0"/>
    <n v="0"/>
    <n v="0"/>
    <n v="0"/>
    <n v="0"/>
    <n v="0"/>
    <n v="34507.810000000005"/>
    <n v="0"/>
    <n v="0"/>
    <n v="0"/>
    <n v="0"/>
    <n v="0"/>
    <n v="0"/>
    <m/>
    <s v="Sonvarsha"/>
    <m/>
    <n v="0"/>
  </r>
  <r>
    <s v="Munger"/>
    <s v="10-16 Apr"/>
    <n v="1006"/>
    <s v="Sonvarsha"/>
    <x v="191"/>
    <s v="RAMDEV TOLA"/>
    <s v="MPG"/>
    <s v="Direct"/>
    <n v="1777.1000000000001"/>
    <n v="78570.87"/>
    <n v="1187.2500000000002"/>
    <n v="57342.336310196901"/>
    <n v="591.72"/>
    <n v="22842.403269840004"/>
    <n v="1778.9700000000003"/>
    <n v="80184.739580036898"/>
    <n v="78570.87"/>
    <n v="0"/>
    <n v="433.64121174000002"/>
    <n v="1613.8695800369023"/>
    <n v="0"/>
    <n v="0"/>
    <n v="0"/>
    <n v="55728"/>
    <n v="22409"/>
    <n v="0"/>
    <n v="0"/>
    <n v="0"/>
    <n v="0"/>
    <n v="0"/>
    <n v="-2.0540304314269429E-2"/>
    <n v="17"/>
    <m/>
    <s v="Sonvarsha"/>
    <m/>
    <n v="0"/>
  </r>
  <r>
    <s v="Munger"/>
    <s v="10-16 Apr"/>
    <n v="1006"/>
    <s v="Sonvarsha"/>
    <x v="192"/>
    <s v="GOMUKH KATEHAR"/>
    <s v="vlc"/>
    <s v="Indirect"/>
    <n v="987.7"/>
    <n v="38350.300000000003"/>
    <n v="0"/>
    <n v="0"/>
    <n v="0"/>
    <n v="0"/>
    <n v="0"/>
    <n v="0"/>
    <n v="38350.300000000003"/>
    <n v="0"/>
    <n v="0"/>
    <n v="0"/>
    <n v="0"/>
    <n v="0"/>
    <n v="0"/>
    <n v="0"/>
    <n v="0"/>
    <n v="38350.300000000003"/>
    <n v="0"/>
    <n v="0"/>
    <n v="0"/>
    <n v="0"/>
    <n v="0"/>
    <n v="0"/>
    <m/>
    <s v="Sonvarsha"/>
    <m/>
    <n v="0"/>
  </r>
  <r>
    <s v="Munger"/>
    <s v="10-16 Apr"/>
    <n v="1006"/>
    <s v="Sonvarsha"/>
    <x v="193"/>
    <s v="PIPARPATI"/>
    <s v="MPG"/>
    <s v="Direct"/>
    <n v="776.99999999999989"/>
    <n v="36565.01"/>
    <n v="768.75"/>
    <n v="38181.623354250398"/>
    <n v="7.96"/>
    <n v="320.103406656"/>
    <n v="776.71"/>
    <n v="38501.7267609064"/>
    <n v="36565.01"/>
    <n v="0"/>
    <n v="320.103406656"/>
    <n v="1936.7167609063981"/>
    <n v="0"/>
    <n v="0"/>
    <n v="0"/>
    <n v="36245"/>
    <n v="0"/>
    <n v="0"/>
    <n v="0"/>
    <n v="0"/>
    <n v="0"/>
    <n v="0"/>
    <n v="-5.2966394947147506E-2"/>
    <n v="12"/>
    <m/>
    <s v="Sonvarsha"/>
    <m/>
    <n v="0"/>
  </r>
  <r>
    <s v="Munger"/>
    <s v="10-16 Apr"/>
    <n v="1006"/>
    <s v="Sonvarsha"/>
    <x v="194"/>
    <s v="GOMUKH JAGMAGLA"/>
    <s v="vlc"/>
    <s v="Indirect"/>
    <n v="557.40000000000009"/>
    <n v="23020.68"/>
    <n v="0"/>
    <n v="0"/>
    <n v="0"/>
    <n v="0"/>
    <n v="0"/>
    <n v="0"/>
    <n v="23020.68"/>
    <n v="0"/>
    <n v="0"/>
    <n v="0"/>
    <n v="0"/>
    <n v="0"/>
    <n v="0"/>
    <n v="0"/>
    <n v="0"/>
    <n v="23020.68"/>
    <n v="0"/>
    <n v="0"/>
    <n v="117.78790699677059"/>
    <n v="79.628571428571448"/>
    <n v="0"/>
    <n v="0"/>
    <m/>
    <s v="Sonvarsha"/>
    <m/>
    <n v="0"/>
  </r>
  <r>
    <s v="Munger"/>
    <s v="10-16 Apr"/>
    <n v="1006"/>
    <s v="Sonvarsha"/>
    <x v="195"/>
    <s v="PACHRUKHI"/>
    <s v="MPG"/>
    <s v="Direct"/>
    <n v="17.2"/>
    <n v="667.34"/>
    <n v="17.2"/>
    <n v="681.78791419200002"/>
    <n v="0"/>
    <n v="0"/>
    <n v="17.2"/>
    <n v="681.78791419200002"/>
    <n v="667.34"/>
    <n v="0"/>
    <n v="0"/>
    <n v="14.447914191999985"/>
    <n v="0"/>
    <n v="0"/>
    <n v="0"/>
    <n v="667"/>
    <n v="0"/>
    <n v="0"/>
    <n v="0"/>
    <n v="0"/>
    <n v="529.83692093023251"/>
    <n v="2.4571428571428569"/>
    <n v="-2.1650004783168975E-2"/>
    <n v="1"/>
    <m/>
    <s v="Sonvarsha"/>
    <m/>
    <n v="0"/>
  </r>
  <r>
    <s v="Munger"/>
    <s v="10-16 Apr"/>
    <n v="1006"/>
    <s v="Sonvarsha"/>
    <x v="196"/>
    <s v="ORABAGICHA"/>
    <s v="MPG"/>
    <s v="Direct"/>
    <n v="9.9"/>
    <n v="685.39"/>
    <n v="10.14"/>
    <n v="727.84368208639"/>
    <n v="0.23"/>
    <n v="15.594827887800001"/>
    <n v="10.370000000000001"/>
    <n v="743.43850997418997"/>
    <n v="685.39"/>
    <n v="0"/>
    <n v="15.594827887800001"/>
    <n v="58.048509974189983"/>
    <n v="0"/>
    <n v="0"/>
    <n v="0"/>
    <n v="670"/>
    <n v="0"/>
    <n v="0"/>
    <n v="0"/>
    <s v="Release2"/>
    <n v="955.5305838383839"/>
    <n v="1.4142857142857144"/>
    <n v="-8.469413031148687E-2"/>
    <n v="3"/>
    <m/>
    <s v="Sonvarsha"/>
    <m/>
    <n v="0"/>
  </r>
  <r>
    <s v="Munger"/>
    <s v="10-16 Apr"/>
    <n v="1006"/>
    <s v="Sonvarsha"/>
    <x v="197"/>
    <s v="KHAJURIYA"/>
    <s v="MPG"/>
    <s v="Direct"/>
    <n v="690.09999999999991"/>
    <n v="29487.71"/>
    <n v="813.75"/>
    <n v="42432.532541651315"/>
    <n v="0"/>
    <n v="0"/>
    <n v="813.75"/>
    <n v="42432.532541651315"/>
    <n v="29487.71"/>
    <n v="0"/>
    <n v="0"/>
    <n v="12944.822541651316"/>
    <n v="0"/>
    <n v="0"/>
    <n v="0"/>
    <n v="29488"/>
    <n v="0"/>
    <n v="0"/>
    <n v="0"/>
    <s v="Release3"/>
    <n v="8.4604645413708823"/>
    <n v="98.585714285714275"/>
    <n v="-0.43899043166293061"/>
    <n v="5"/>
    <m/>
    <s v="Sonvarsha"/>
    <m/>
    <n v="0"/>
  </r>
  <r>
    <s v="Munger"/>
    <s v="10-16 Apr"/>
    <n v="1006"/>
    <s v="Sonvarsha"/>
    <x v="198"/>
    <s v="NAYA SALEMPUR"/>
    <s v="vlc"/>
    <s v="Indirect"/>
    <n v="745.40000000000009"/>
    <n v="28541.449999999997"/>
    <n v="0"/>
    <n v="0"/>
    <n v="0"/>
    <n v="0"/>
    <n v="0"/>
    <n v="0"/>
    <n v="28541.449999999997"/>
    <n v="0"/>
    <n v="0"/>
    <n v="0"/>
    <n v="0"/>
    <n v="0"/>
    <n v="0"/>
    <n v="0"/>
    <n v="0"/>
    <n v="28541.449999999997"/>
    <n v="0"/>
    <n v="0"/>
    <n v="0"/>
    <n v="0"/>
    <n v="0"/>
    <n v="0"/>
    <m/>
    <s v="Sonvarsha"/>
    <m/>
    <n v="0"/>
  </r>
  <r>
    <s v="Munger"/>
    <s v="10-16 Apr"/>
    <n v="1006"/>
    <s v="Sonvarsha"/>
    <x v="199"/>
    <s v="MANO 2"/>
    <s v="MPG"/>
    <s v="Direct"/>
    <n v="382.3"/>
    <n v="15558.080000000002"/>
    <n v="382.3"/>
    <n v="15558.14588724"/>
    <n v="0"/>
    <n v="0"/>
    <n v="382.3"/>
    <n v="15558.14588724"/>
    <n v="15558.080000000002"/>
    <n v="0"/>
    <n v="0"/>
    <n v="6.5887239998119185E-2"/>
    <n v="0"/>
    <n v="0"/>
    <n v="0"/>
    <n v="15558"/>
    <n v="0"/>
    <n v="0"/>
    <n v="0"/>
    <n v="0"/>
    <n v="258.58237070363589"/>
    <n v="54.614285714285714"/>
    <n v="-4.2349210184109589E-6"/>
    <n v="1"/>
    <m/>
    <s v="Sonvarsha"/>
    <m/>
    <n v="0"/>
  </r>
  <r>
    <s v="Munger"/>
    <s v="10-16 Apr"/>
    <n v="1006"/>
    <s v="Sonvarsha"/>
    <x v="200"/>
    <s v="Champanagar"/>
    <s v="MPG"/>
    <s v="Direct"/>
    <n v="118.9"/>
    <n v="6536.6299999999992"/>
    <n v="120.94"/>
    <n v="6821.4211247825997"/>
    <n v="0"/>
    <n v="0"/>
    <n v="120.94"/>
    <n v="6821.4211247825997"/>
    <n v="6536.6299999999992"/>
    <n v="0"/>
    <n v="0"/>
    <n v="284.79112478260049"/>
    <n v="0"/>
    <n v="0"/>
    <n v="0"/>
    <n v="6537"/>
    <n v="0"/>
    <n v="0"/>
    <n v="0"/>
    <n v="0"/>
    <n v="638.929468965517"/>
    <n v="16.985714285714288"/>
    <n v="-4.3568493976651655E-2"/>
    <n v="1"/>
    <m/>
    <s v="Sonvarsha"/>
    <m/>
    <n v="0"/>
  </r>
  <r>
    <s v="Munger"/>
    <s v="10-16 Apr"/>
    <n v="1006"/>
    <s v="Sonvarsha"/>
    <x v="201"/>
    <s v="LOSDHANI"/>
    <s v="MPG"/>
    <s v="Direct"/>
    <n v="184.70000000000005"/>
    <n v="7047.72"/>
    <n v="181.2"/>
    <n v="6912.7354612800018"/>
    <n v="4.1999999999999993"/>
    <n v="160.38459360000002"/>
    <n v="185.39999999999998"/>
    <n v="7073.1200548800016"/>
    <n v="7047.72"/>
    <n v="0"/>
    <n v="160.38459360000002"/>
    <n v="25.400054880001335"/>
    <n v="0"/>
    <n v="500"/>
    <n v="0"/>
    <n v="6387"/>
    <n v="0"/>
    <n v="0"/>
    <n v="0"/>
    <n v="0"/>
    <n v="393.25285500812117"/>
    <n v="26.385714285714293"/>
    <n v="-3.6040102160700672E-3"/>
    <n v="2"/>
    <m/>
    <s v="Sonvarsha"/>
    <m/>
    <n v="500"/>
  </r>
  <r>
    <s v="Munger"/>
    <s v="10-16 Apr"/>
    <n v="1006"/>
    <s v="Sonvarsha"/>
    <x v="202"/>
    <s v="GOMUKH MAHGAMA"/>
    <s v="vlc"/>
    <s v="Indirect"/>
    <n v="173.7"/>
    <n v="9107.59"/>
    <n v="0"/>
    <n v="0"/>
    <n v="0"/>
    <n v="0"/>
    <n v="0"/>
    <n v="0"/>
    <n v="9107.59"/>
    <n v="0"/>
    <n v="0"/>
    <n v="0"/>
    <n v="0"/>
    <n v="0"/>
    <n v="0"/>
    <n v="0"/>
    <n v="0"/>
    <n v="9107.59"/>
    <n v="0"/>
    <n v="0"/>
    <n v="551.90841876799072"/>
    <n v="24.814285714285713"/>
    <n v="0"/>
    <n v="0"/>
    <m/>
    <s v="Sonvarsha"/>
    <m/>
    <n v="0"/>
  </r>
  <r>
    <s v="Munger"/>
    <s v="10-16 Apr"/>
    <n v="1006"/>
    <s v="Sonvarsha"/>
    <x v="203"/>
    <s v="GOMUKH BAGALWA"/>
    <s v="MPG"/>
    <s v="Direct"/>
    <n v="393.3"/>
    <n v="21416.069999999996"/>
    <n v="0"/>
    <n v="0"/>
    <n v="0"/>
    <n v="0"/>
    <n v="0"/>
    <n v="0"/>
    <n v="0"/>
    <n v="0"/>
    <n v="0"/>
    <n v="0"/>
    <n v="0"/>
    <n v="0"/>
    <n v="0"/>
    <n v="0"/>
    <n v="0"/>
    <n v="0"/>
    <n v="21416"/>
    <n v="0"/>
    <n v="334.0101026697177"/>
    <n v="56.18571428571429"/>
    <n v="1"/>
    <n v="0"/>
    <m/>
    <s v="Sonvarsha"/>
    <m/>
    <n v="0"/>
  </r>
  <r>
    <s v="Munger"/>
    <s v="10-16 Apr"/>
    <n v="1006"/>
    <s v="Sonvarsha"/>
    <x v="204"/>
    <s v="GOMUKH LARYATAL"/>
    <s v="vlc"/>
    <s v="Indirect"/>
    <n v="372.59999999999997"/>
    <n v="19029.029999999995"/>
    <n v="0"/>
    <n v="0"/>
    <n v="0"/>
    <n v="0"/>
    <n v="0"/>
    <n v="0"/>
    <n v="19029.029999999995"/>
    <n v="0"/>
    <n v="0"/>
    <n v="0"/>
    <n v="0"/>
    <n v="0"/>
    <n v="0"/>
    <n v="0"/>
    <n v="0"/>
    <n v="19029.029999999995"/>
    <n v="0"/>
    <n v="0"/>
    <n v="334.41247568438007"/>
    <n v="53.228571428571421"/>
    <n v="0"/>
    <n v="0"/>
    <m/>
    <s v="Sonvarsha"/>
    <m/>
    <n v="0"/>
  </r>
  <r>
    <s v="Munger"/>
    <s v="10-16 Apr"/>
    <n v="1006"/>
    <s v="Sonvarsha"/>
    <x v="205"/>
    <s v="CHANDANPURA"/>
    <s v="MPG"/>
    <s v="Direct"/>
    <n v="141.69999999999999"/>
    <n v="5096.72"/>
    <n v="142.30000000000001"/>
    <n v="5117.6137914000019"/>
    <n v="0"/>
    <n v="0"/>
    <n v="142.30000000000001"/>
    <n v="5117.6137914000019"/>
    <n v="5096.72"/>
    <n v="0"/>
    <n v="0"/>
    <n v="20.893791400001646"/>
    <n v="0"/>
    <n v="0"/>
    <n v="0"/>
    <n v="5097"/>
    <n v="0"/>
    <n v="0"/>
    <n v="0"/>
    <n v="0"/>
    <n v="401.62297473535648"/>
    <n v="20.24285714285714"/>
    <n v="-4.0994583575322254E-3"/>
    <n v="1"/>
    <m/>
    <s v="Sonvarsha"/>
    <m/>
    <n v="0"/>
  </r>
  <r>
    <s v="Munger"/>
    <s v="10-16 Apr"/>
    <n v="1006"/>
    <s v="Sonvarsha"/>
    <x v="206"/>
    <s v="GOMUKH BHITAKITA"/>
    <s v="vlc"/>
    <s v="Indirect"/>
    <n v="245.2"/>
    <n v="9514.98"/>
    <n v="0"/>
    <n v="0"/>
    <n v="0"/>
    <n v="0"/>
    <n v="0"/>
    <n v="0"/>
    <n v="9514.98"/>
    <n v="0"/>
    <n v="0"/>
    <n v="0"/>
    <n v="0"/>
    <n v="0"/>
    <n v="0"/>
    <n v="0"/>
    <n v="0"/>
    <n v="9514.98"/>
    <n v="0"/>
    <n v="0"/>
    <n v="352.97005742251224"/>
    <n v="35.028571428571425"/>
    <n v="0"/>
    <n v="0"/>
    <m/>
    <s v="Sonvarsha"/>
    <m/>
    <n v="0"/>
  </r>
  <r>
    <s v="Munger"/>
    <s v="10-16 Apr"/>
    <n v="1006"/>
    <s v="Sonvarsha"/>
    <x v="207"/>
    <s v="SINGHOL"/>
    <s v="MPG"/>
    <s v="Direct"/>
    <n v="176.2"/>
    <n v="7289.1399999999985"/>
    <n v="22.75"/>
    <n v="895.11488550000001"/>
    <n v="0"/>
    <n v="0"/>
    <n v="22.75"/>
    <n v="895.11488550000001"/>
    <n v="895.11488550000001"/>
    <n v="0"/>
    <n v="0"/>
    <n v="0"/>
    <n v="0"/>
    <n v="0"/>
    <n v="0"/>
    <n v="895"/>
    <n v="0"/>
    <n v="0"/>
    <n v="6394"/>
    <n v="0"/>
    <n v="433.37701838819515"/>
    <n v="25.171428571428571"/>
    <n v="0.87719883477337512"/>
    <n v="1"/>
    <m/>
    <s v="Sonvarsha"/>
    <m/>
    <n v="0"/>
  </r>
  <r>
    <s v="Munger"/>
    <s v="10-16 Apr"/>
    <n v="1006"/>
    <s v="Sonvarsha"/>
    <x v="208"/>
    <s v="GOMUKH OJONTOLA"/>
    <s v="vlc"/>
    <s v="Indirect"/>
    <n v="113.99999999999997"/>
    <n v="5146.3099999999995"/>
    <n v="0"/>
    <n v="0"/>
    <n v="0"/>
    <n v="0"/>
    <n v="0"/>
    <n v="0"/>
    <n v="5146.3099999999995"/>
    <n v="0"/>
    <n v="0"/>
    <n v="0"/>
    <n v="0"/>
    <n v="0"/>
    <n v="0"/>
    <n v="0"/>
    <n v="0"/>
    <n v="5146.3099999999995"/>
    <n v="0"/>
    <n v="0"/>
    <n v="529.07678245614045"/>
    <n v="16.285714285714281"/>
    <n v="0"/>
    <n v="0"/>
    <m/>
    <s v="Sonvarsha"/>
    <m/>
    <n v="0"/>
  </r>
  <r>
    <s v="Munger"/>
    <s v="10-16 Apr"/>
    <n v="1006"/>
    <s v="Sonvarsha"/>
    <x v="209"/>
    <s v="KHUDDIBAN SHIVNAGAR"/>
    <s v="MPG"/>
    <s v="Direct"/>
    <n v="692.6"/>
    <n v="24033.769999999997"/>
    <n v="662.6"/>
    <n v="23212.107906966001"/>
    <n v="31.2"/>
    <n v="1143.5946261300001"/>
    <n v="693.80000000000007"/>
    <n v="24355.702533096002"/>
    <n v="24033.769999999997"/>
    <n v="0"/>
    <n v="0"/>
    <n v="321.9325330960055"/>
    <n v="0"/>
    <n v="0"/>
    <n v="0"/>
    <n v="22890"/>
    <n v="1144"/>
    <n v="0"/>
    <n v="0"/>
    <n v="0"/>
    <n v="5.1357175281547427"/>
    <n v="98.94285714285715"/>
    <n v="-1.3395007653647577E-2"/>
    <n v="3"/>
    <m/>
    <s v="Sonvarsha"/>
    <m/>
    <n v="0"/>
  </r>
  <r>
    <s v="Munger"/>
    <s v="10-16 Apr"/>
    <n v="1006"/>
    <s v="Sonvarsha"/>
    <x v="1033"/>
    <s v="GOMUKH JHAPANI"/>
    <s v="vlc"/>
    <s v="Indirect"/>
    <n v="1571.6000000000001"/>
    <n v="63042.87000000001"/>
    <n v="0"/>
    <n v="0"/>
    <n v="0"/>
    <n v="0"/>
    <n v="0"/>
    <n v="0"/>
    <n v="63042.87000000001"/>
    <n v="0"/>
    <n v="0"/>
    <n v="0"/>
    <n v="0"/>
    <n v="0"/>
    <n v="0"/>
    <n v="0"/>
    <n v="0"/>
    <n v="63042.87000000001"/>
    <n v="0"/>
    <n v="0"/>
    <n v="0"/>
    <n v="0"/>
    <n v="0"/>
    <n v="0"/>
    <m/>
    <s v="Sonvarsha"/>
    <m/>
    <n v="0"/>
  </r>
  <r>
    <s v="Munger"/>
    <s v="10-16 Apr"/>
    <n v="1006"/>
    <s v="Sonvarsha"/>
    <x v="210"/>
    <s v="BARIYARPUR"/>
    <s v="MPG"/>
    <s v="Direct"/>
    <n v="395.00000000000011"/>
    <n v="16196.160000000002"/>
    <n v="391.09999999999997"/>
    <n v="16036.3928142"/>
    <n v="4.5999999999999996"/>
    <n v="186.41555064000005"/>
    <n v="395.7"/>
    <n v="16222.808364840001"/>
    <n v="16196.160000000002"/>
    <n v="0"/>
    <n v="186.41555064000005"/>
    <n v="26.648364839998976"/>
    <n v="0"/>
    <n v="0"/>
    <n v="0"/>
    <n v="16010"/>
    <n v="0"/>
    <n v="0"/>
    <n v="0"/>
    <n v="0"/>
    <n v="250.1179139240505"/>
    <n v="56.428571428571445"/>
    <n v="-1.6453508016714439E-3"/>
    <n v="2"/>
    <m/>
    <s v="Sonvarsha"/>
    <m/>
    <n v="0"/>
  </r>
  <r>
    <s v="Munger"/>
    <s v="10-16 Apr"/>
    <n v="1006"/>
    <s v="Sonvarsha"/>
    <x v="211"/>
    <s v="MASUDAN"/>
    <s v="MPG"/>
    <s v="Direct"/>
    <n v="313"/>
    <n v="12549.69"/>
    <n v="313.5"/>
    <n v="12376.578935160001"/>
    <n v="0"/>
    <n v="0"/>
    <n v="313.5"/>
    <n v="12376.578935160001"/>
    <n v="12376.578935160001"/>
    <n v="0"/>
    <n v="0"/>
    <n v="0"/>
    <n v="0"/>
    <n v="0"/>
    <n v="0"/>
    <n v="12377"/>
    <n v="0"/>
    <n v="0"/>
    <n v="173"/>
    <n v="0"/>
    <n v="310.33418722044729"/>
    <n v="44.714285714285715"/>
    <n v="1.3794051075365129E-2"/>
    <n v="3"/>
    <m/>
    <s v="Sonvarsha"/>
    <m/>
    <n v="0"/>
  </r>
  <r>
    <s v="Munger"/>
    <s v="10-16 Apr"/>
    <n v="1006"/>
    <s v="Sonvarsha"/>
    <x v="964"/>
    <s v="GOMUKH LOKDHANI"/>
    <s v="vlc"/>
    <s v="Indirect"/>
    <n v="381.40000000000003"/>
    <n v="16256.31"/>
    <n v="0"/>
    <n v="0"/>
    <n v="0"/>
    <n v="0"/>
    <n v="0"/>
    <n v="0"/>
    <n v="16256.31"/>
    <n v="0"/>
    <n v="0"/>
    <n v="0"/>
    <n v="0"/>
    <n v="0"/>
    <n v="0"/>
    <n v="0"/>
    <n v="0"/>
    <n v="16256.31"/>
    <n v="0"/>
    <n v="0"/>
    <n v="271.59204855794439"/>
    <n v="54.485714285714288"/>
    <n v="0"/>
    <n v="0"/>
    <m/>
    <s v="Sonvarsha"/>
    <m/>
    <n v="0"/>
  </r>
  <r>
    <s v="Munger"/>
    <s v="10-16 Apr"/>
    <n v="1006"/>
    <s v="Sonvarsha"/>
    <x v="1034"/>
    <s v="GOMUKH BOHLA"/>
    <s v="vlc"/>
    <s v="Indirect"/>
    <n v="684.6"/>
    <n v="24556.42"/>
    <n v="0"/>
    <n v="0"/>
    <n v="0"/>
    <n v="0"/>
    <n v="0"/>
    <n v="0"/>
    <n v="24556.42"/>
    <n v="0"/>
    <n v="0"/>
    <n v="0"/>
    <n v="0"/>
    <n v="0"/>
    <n v="0"/>
    <n v="0"/>
    <n v="0"/>
    <n v="24556.42"/>
    <n v="0"/>
    <n v="0"/>
    <n v="11.04787811860942"/>
    <n v="97.8"/>
    <n v="0"/>
    <n v="0"/>
    <m/>
    <s v="Sonvarsha"/>
    <m/>
    <n v="0"/>
  </r>
  <r>
    <s v="Munger"/>
    <s v="10-16 Apr"/>
    <n v="1007"/>
    <s v="Araria"/>
    <x v="212"/>
    <s v="Gomukh ID Araria"/>
    <s v="vlc"/>
    <s v="Indirect"/>
    <n v="4059"/>
    <n v="148817.24"/>
    <n v="0"/>
    <n v="0"/>
    <n v="0"/>
    <n v="0"/>
    <n v="0"/>
    <n v="0"/>
    <n v="148817.24"/>
    <n v="0"/>
    <n v="0"/>
    <n v="0"/>
    <n v="0"/>
    <n v="0"/>
    <n v="0"/>
    <n v="0"/>
    <n v="0"/>
    <n v="148817.24"/>
    <n v="0"/>
    <n v="0"/>
    <n v="0"/>
    <n v="0"/>
    <n v="0"/>
    <n v="0"/>
    <m/>
    <s v="Araria"/>
    <m/>
    <n v="0"/>
  </r>
  <r>
    <s v="Munger"/>
    <s v="10-16 Apr"/>
    <n v="1007"/>
    <s v="Araria"/>
    <x v="213"/>
    <s v="Gomukh ID Chaidha"/>
    <s v="vlc"/>
    <s v="Indirect"/>
    <n v="1210.3000000000002"/>
    <n v="41871.910000000003"/>
    <n v="0"/>
    <n v="0"/>
    <n v="0"/>
    <n v="0"/>
    <n v="0"/>
    <n v="0"/>
    <n v="41871.910000000003"/>
    <n v="0"/>
    <n v="0"/>
    <n v="0"/>
    <n v="0"/>
    <n v="0"/>
    <n v="0"/>
    <n v="0"/>
    <n v="0"/>
    <n v="41871.910000000003"/>
    <n v="0"/>
    <n v="0"/>
    <n v="0"/>
    <n v="0"/>
    <n v="0"/>
    <n v="0"/>
    <m/>
    <s v="Araria"/>
    <m/>
    <n v="0"/>
  </r>
  <r>
    <s v="Munger"/>
    <s v="10-16 Apr"/>
    <n v="1056"/>
    <s v="Chautham"/>
    <x v="214"/>
    <s v="Gomukh ID Pakrail"/>
    <s v="vlc"/>
    <s v="Indirect"/>
    <n v="192.82"/>
    <n v="6607.79"/>
    <n v="0"/>
    <n v="0"/>
    <n v="0"/>
    <n v="0"/>
    <n v="0"/>
    <n v="0"/>
    <n v="6607.79"/>
    <n v="0"/>
    <n v="0"/>
    <n v="0"/>
    <n v="0"/>
    <n v="0"/>
    <n v="0"/>
    <n v="0"/>
    <n v="0"/>
    <n v="6607.79"/>
    <n v="0"/>
    <n v="0"/>
    <n v="347.61320736438131"/>
    <n v="27.545714285714286"/>
    <n v="0"/>
    <n v="0"/>
    <m/>
    <s v="Chautham"/>
    <m/>
    <n v="0"/>
  </r>
  <r>
    <s v="Munger"/>
    <s v="10-16 Apr"/>
    <n v="1056"/>
    <s v="Chautham"/>
    <x v="215"/>
    <s v="Gomukh ID Pipra"/>
    <s v="vlc"/>
    <s v="Indirect"/>
    <n v="1006.2599999999998"/>
    <n v="35229.089999999997"/>
    <n v="0"/>
    <n v="0"/>
    <n v="0"/>
    <n v="0"/>
    <n v="0"/>
    <n v="0"/>
    <n v="35229.089999999997"/>
    <n v="18000"/>
    <n v="0"/>
    <n v="0"/>
    <n v="0"/>
    <n v="0"/>
    <n v="0"/>
    <n v="0"/>
    <n v="0"/>
    <n v="17229.089999999997"/>
    <n v="0"/>
    <n v="0"/>
    <n v="0"/>
    <n v="0"/>
    <n v="0"/>
    <n v="0"/>
    <m/>
    <s v="Chautham"/>
    <m/>
    <n v="0"/>
  </r>
  <r>
    <s v="Munger"/>
    <s v="10-16 Apr"/>
    <n v="1007"/>
    <s v="Araria"/>
    <x v="216"/>
    <s v="Gomukh Fatepur                                                                                      "/>
    <s v="MPG"/>
    <s v="Direct"/>
    <n v="280.39999999999998"/>
    <n v="10219.42"/>
    <n v="533.35"/>
    <n v="23505.815738801994"/>
    <n v="32.17"/>
    <n v="1191.7149208272001"/>
    <n v="565.52"/>
    <n v="24697.530659629192"/>
    <n v="10219.42"/>
    <n v="0"/>
    <n v="124.00856154720003"/>
    <n v="14478.110659629192"/>
    <n v="0"/>
    <n v="500"/>
    <n v="0"/>
    <n v="8528"/>
    <n v="1067"/>
    <n v="0"/>
    <n v="0"/>
    <n v="0"/>
    <n v="305.85368273894443"/>
    <n v="40.057142857142857"/>
    <n v="-1.4167252798719685"/>
    <n v="10"/>
    <m/>
    <s v="Araria"/>
    <m/>
    <n v="500"/>
  </r>
  <r>
    <s v="Munger"/>
    <s v="10-16 Apr"/>
    <n v="1007"/>
    <s v="Araria"/>
    <x v="217"/>
    <s v="Gomukh Gauchhari"/>
    <s v="MPG"/>
    <s v="Direct"/>
    <n v="148.70000000000002"/>
    <n v="5686.4699999999993"/>
    <n v="294.25"/>
    <n v="11693.127299040001"/>
    <n v="6.3999999999999995"/>
    <n v="258.15920130000001"/>
    <n v="300.64999999999998"/>
    <n v="11951.286500340002"/>
    <n v="5686.4699999999993"/>
    <n v="0"/>
    <n v="258.15920130000001"/>
    <n v="6264.8165003400027"/>
    <n v="0"/>
    <n v="500"/>
    <n v="0"/>
    <n v="4928"/>
    <n v="0"/>
    <n v="0"/>
    <n v="0"/>
    <s v="Release1"/>
    <n v="421.64773517148609"/>
    <n v="21.242857142857144"/>
    <n v="-1.1017057155564003"/>
    <n v="5"/>
    <m/>
    <s v="Araria"/>
    <m/>
    <n v="500"/>
  </r>
  <r>
    <s v="Munger"/>
    <s v="10-16 Apr"/>
    <n v="1007"/>
    <s v="Araria"/>
    <x v="218"/>
    <s v="Gomukh Arariya Karjaniya"/>
    <s v="vlc"/>
    <s v="Indirect"/>
    <n v="12427.699999999997"/>
    <n v="456529.11000000004"/>
    <n v="0"/>
    <n v="0"/>
    <n v="0"/>
    <n v="0"/>
    <n v="0"/>
    <n v="0"/>
    <n v="456529.11000000004"/>
    <n v="0"/>
    <n v="0"/>
    <n v="0"/>
    <n v="0"/>
    <n v="0"/>
    <n v="0"/>
    <n v="0"/>
    <n v="0"/>
    <n v="456529.11000000004"/>
    <n v="0"/>
    <n v="0"/>
    <n v="0"/>
    <n v="0"/>
    <n v="0"/>
    <n v="0"/>
    <m/>
    <s v="Araria"/>
    <m/>
    <n v="0"/>
  </r>
  <r>
    <s v="Munger"/>
    <s v="10-16 Apr"/>
    <n v="1007"/>
    <s v="Araria"/>
    <x v="219"/>
    <s v="Gomukh Balha"/>
    <s v="vlc"/>
    <s v="Indirect"/>
    <n v="11840.7"/>
    <n v="434728.13"/>
    <n v="0"/>
    <n v="0"/>
    <n v="0"/>
    <n v="0"/>
    <n v="0"/>
    <n v="0"/>
    <n v="434728.13"/>
    <n v="0"/>
    <n v="0"/>
    <n v="0"/>
    <n v="0"/>
    <n v="0"/>
    <n v="0"/>
    <n v="0"/>
    <n v="0"/>
    <n v="434728.13"/>
    <n v="0"/>
    <n v="0"/>
    <n v="0"/>
    <n v="0"/>
    <n v="0"/>
    <n v="0"/>
    <m/>
    <s v="Araria"/>
    <m/>
    <n v="0"/>
  </r>
  <r>
    <s v="Munger"/>
    <s v="10-16 Apr"/>
    <n v="1007"/>
    <s v="Araria"/>
    <x v="220"/>
    <s v="Haripur - Sanjay"/>
    <s v="vlc"/>
    <s v="Indirect"/>
    <n v="1072.8"/>
    <n v="37561.350000000006"/>
    <n v="0"/>
    <n v="0"/>
    <n v="0"/>
    <n v="0"/>
    <n v="0"/>
    <n v="0"/>
    <n v="37561.350000000006"/>
    <n v="0"/>
    <n v="0"/>
    <n v="0"/>
    <n v="0"/>
    <n v="0"/>
    <n v="0"/>
    <n v="0"/>
    <n v="0"/>
    <n v="37561.350000000006"/>
    <n v="0"/>
    <n v="0"/>
    <n v="0"/>
    <n v="0"/>
    <n v="0"/>
    <n v="0"/>
    <m/>
    <s v="Araria"/>
    <m/>
    <n v="0"/>
  </r>
  <r>
    <s v="Munger"/>
    <s v="10-16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541.29999999999995"/>
    <n v="28298.23"/>
    <n v="533.20000000000005"/>
    <n v="25919.988963101001"/>
    <n v="0"/>
    <n v="0"/>
    <n v="533.20000000000005"/>
    <n v="25919.988963101001"/>
    <n v="25919.988963101001"/>
    <n v="0"/>
    <n v="0"/>
    <n v="0"/>
    <n v="0"/>
    <n v="0"/>
    <n v="0"/>
    <n v="25920"/>
    <n v="0"/>
    <n v="0"/>
    <n v="2378"/>
    <n v="0"/>
    <n v="165.93124334010722"/>
    <n v="77.328571428571422"/>
    <n v="8.4042042095883687E-2"/>
    <n v="2"/>
    <m/>
    <s v="Parbatta"/>
    <m/>
    <n v="0"/>
  </r>
  <r>
    <s v="Munger"/>
    <s v="10-16 Apr"/>
    <n v="1056"/>
    <s v="Chautham"/>
    <x v="223"/>
    <s v="Gomukh Malpa Uttari                                                                                 "/>
    <s v="vlc"/>
    <s v="Indirect"/>
    <n v="283.12"/>
    <n v="9971.24"/>
    <n v="0"/>
    <n v="0"/>
    <n v="0"/>
    <n v="0"/>
    <n v="0"/>
    <n v="0"/>
    <n v="9971.24"/>
    <n v="0"/>
    <n v="0"/>
    <n v="0"/>
    <n v="0"/>
    <n v="0"/>
    <n v="0"/>
    <n v="0"/>
    <n v="0"/>
    <n v="9971.24"/>
    <n v="0"/>
    <n v="0"/>
    <n v="293.64301576716582"/>
    <n v="40.445714285714288"/>
    <n v="0"/>
    <n v="0"/>
    <m/>
    <s v="Chautham"/>
    <m/>
    <n v="0"/>
  </r>
  <r>
    <s v="Munger"/>
    <s v="10-16 Apr"/>
    <n v="1007"/>
    <s v="Araria"/>
    <x v="224"/>
    <s v="Gomukh Sapha"/>
    <s v="MPG"/>
    <s v="Direct"/>
    <n v="146.80000000000001"/>
    <n v="6313.79"/>
    <n v="146"/>
    <n v="7373.9069695200005"/>
    <n v="0"/>
    <n v="0"/>
    <n v="146"/>
    <n v="7373.9069695200005"/>
    <n v="6313.79"/>
    <n v="0"/>
    <n v="0"/>
    <n v="1060.1169695200006"/>
    <n v="0"/>
    <n v="0"/>
    <n v="0"/>
    <n v="6314"/>
    <n v="0"/>
    <n v="0"/>
    <n v="0"/>
    <n v="0"/>
    <n v="475.85676130790182"/>
    <n v="20.971428571428572"/>
    <n v="-0.16790500943490369"/>
    <n v="1"/>
    <m/>
    <s v="Araria"/>
    <m/>
    <n v="0"/>
  </r>
  <r>
    <s v="Munger"/>
    <s v="10-16 Apr"/>
    <n v="1007"/>
    <s v="Araria"/>
    <x v="225"/>
    <s v="Araria"/>
    <s v="vlc"/>
    <s v="Indirect"/>
    <n v="17397.100000000002"/>
    <n v="642640.40999999992"/>
    <n v="0"/>
    <n v="0"/>
    <n v="0"/>
    <n v="0"/>
    <n v="0"/>
    <n v="0"/>
    <n v="642640.40999999992"/>
    <n v="0"/>
    <n v="0"/>
    <n v="0"/>
    <n v="0"/>
    <n v="0"/>
    <n v="0"/>
    <n v="0"/>
    <n v="0"/>
    <n v="642640.40999999992"/>
    <n v="0"/>
    <n v="0"/>
    <n v="0"/>
    <n v="0"/>
    <n v="0"/>
    <n v="0"/>
    <m/>
    <s v="Araria"/>
    <m/>
    <n v="0"/>
  </r>
  <r>
    <s v="Munger"/>
    <s v="10-16 Apr"/>
    <n v="1007"/>
    <s v="Araria"/>
    <x v="226"/>
    <s v="Gomukh Gauchhari"/>
    <s v="MPG"/>
    <s v="Direct"/>
    <n v="999.69999999999993"/>
    <n v="37502.81"/>
    <n v="1200"/>
    <n v="46993.316040000005"/>
    <n v="0"/>
    <n v="0"/>
    <n v="1200"/>
    <n v="46993.316040000005"/>
    <n v="37502.81"/>
    <n v="0"/>
    <n v="0"/>
    <n v="9490.5060400000075"/>
    <n v="0"/>
    <n v="0"/>
    <n v="0"/>
    <n v="37503"/>
    <n v="0"/>
    <n v="0"/>
    <n v="0"/>
    <n v="0"/>
    <n v="0"/>
    <n v="0"/>
    <n v="-0.25306119834753737"/>
    <n v="2"/>
    <m/>
    <s v="Araria"/>
    <m/>
    <n v="0"/>
  </r>
  <r>
    <s v="Munger"/>
    <s v="10-16 Apr"/>
    <n v="1056"/>
    <s v="Chautham"/>
    <x v="227"/>
    <s v="Telouch"/>
    <s v="MPG"/>
    <s v="Direct"/>
    <n v="2537.02"/>
    <n v="95413.23"/>
    <n v="2610.9700000000003"/>
    <n v="101380.83869350802"/>
    <n v="32.1"/>
    <n v="1183.0844519999998"/>
    <n v="2643.07"/>
    <n v="102563.92314550802"/>
    <n v="95413.23"/>
    <n v="0"/>
    <n v="1183.0844519999998"/>
    <n v="7150.6931455080194"/>
    <n v="0"/>
    <n v="0"/>
    <n v="0"/>
    <n v="94230"/>
    <n v="0"/>
    <n v="0"/>
    <n v="0"/>
    <n v="0"/>
    <n v="0"/>
    <n v="0"/>
    <n v="-7.4944461533353601E-2"/>
    <n v="7"/>
    <m/>
    <s v="Chautham"/>
    <m/>
    <n v="0"/>
  </r>
  <r>
    <s v="Munger"/>
    <s v="10-16 Apr"/>
    <n v="1010"/>
    <s v="Parbatta"/>
    <x v="228"/>
    <s v="Gomukh Salarpur East"/>
    <s v="MPG"/>
    <s v="Direct"/>
    <n v="110.10000000000001"/>
    <n v="3834.98"/>
    <n v="110.8"/>
    <n v="5596.0883028959997"/>
    <n v="0"/>
    <n v="0"/>
    <n v="110.8"/>
    <n v="5596.0883028959997"/>
    <n v="3834.98"/>
    <n v="0"/>
    <n v="0"/>
    <n v="1761.1083028959997"/>
    <n v="0"/>
    <n v="0"/>
    <n v="0"/>
    <n v="3835"/>
    <n v="0"/>
    <n v="0"/>
    <n v="0"/>
    <n v="0"/>
    <n v="410.94544995458676"/>
    <n v="15.72857142857143"/>
    <n v="-0.45922229135380099"/>
    <n v="1"/>
    <m/>
    <s v="Parbatta"/>
    <m/>
    <n v="0"/>
  </r>
  <r>
    <s v="Munger"/>
    <s v="10-16 Apr"/>
    <n v="1007"/>
    <s v="Araria"/>
    <x v="229"/>
    <s v="Gomukh Jhangara B"/>
    <s v="MPG"/>
    <s v="Direct"/>
    <n v="1349.8999999999996"/>
    <n v="51502.65"/>
    <n v="1381.5500000000002"/>
    <n v="56028.327735632149"/>
    <n v="0"/>
    <n v="0"/>
    <n v="1381.5500000000002"/>
    <n v="56028.327735632149"/>
    <n v="51502.65"/>
    <n v="0"/>
    <n v="0"/>
    <n v="4525.6777356321472"/>
    <n v="0"/>
    <n v="0"/>
    <n v="0"/>
    <n v="51503"/>
    <n v="0"/>
    <n v="0"/>
    <n v="0"/>
    <n v="0"/>
    <n v="0"/>
    <n v="0"/>
    <n v="-8.7872715979316549E-2"/>
    <n v="7"/>
    <m/>
    <s v="Araria"/>
    <m/>
    <n v="0"/>
  </r>
  <r>
    <s v="Munger"/>
    <s v="10-16 Apr"/>
    <n v="1056"/>
    <s v="Chautham"/>
    <x v="230"/>
    <s v="Gomukh Saraiya"/>
    <s v="vlc"/>
    <s v="Direct"/>
    <n v="284.61999999999995"/>
    <n v="10306.24"/>
    <n v="557.25"/>
    <n v="30822.709830300002"/>
    <n v="0"/>
    <n v="0"/>
    <n v="557.25"/>
    <n v="30822.709830300002"/>
    <n v="10306.24"/>
    <n v="0"/>
    <n v="0"/>
    <n v="20516.469830300004"/>
    <n v="0"/>
    <n v="0"/>
    <n v="0"/>
    <n v="10306"/>
    <n v="0"/>
    <n v="0"/>
    <n v="0"/>
    <s v="Release1"/>
    <n v="300.82256842105272"/>
    <n v="40.659999999999989"/>
    <n v="-1.9906842680065673"/>
    <n v="2"/>
    <m/>
    <s v="Chautham"/>
    <m/>
    <n v="0"/>
  </r>
  <r>
    <s v="Munger"/>
    <s v="10-16 Apr"/>
    <n v="1056"/>
    <s v="Chautham"/>
    <x v="231"/>
    <s v=" Gomukh Nauranga"/>
    <s v="vlc"/>
    <s v="Indirect"/>
    <n v="649.4799999999999"/>
    <n v="28106.1"/>
    <n v="0"/>
    <n v="0"/>
    <n v="0"/>
    <n v="0"/>
    <n v="0"/>
    <n v="0"/>
    <n v="28106.1"/>
    <n v="0"/>
    <n v="0"/>
    <n v="0"/>
    <n v="0"/>
    <n v="0"/>
    <n v="0"/>
    <n v="0"/>
    <n v="0"/>
    <n v="28106.1"/>
    <n v="0"/>
    <n v="0"/>
    <n v="43.724831311202919"/>
    <n v="92.782857142857125"/>
    <n v="0"/>
    <n v="0"/>
    <m/>
    <s v="Chautham"/>
    <m/>
    <n v="0"/>
  </r>
  <r>
    <s v="Munger"/>
    <s v="10-16 Apr"/>
    <n v="1056"/>
    <s v="Chautham"/>
    <x v="232"/>
    <s v="Gomukh Malpa Dhutauli VLC"/>
    <s v="vlc"/>
    <s v="Indirect"/>
    <n v="222.19999999999996"/>
    <n v="7753.0000000000009"/>
    <n v="0"/>
    <n v="0"/>
    <n v="0"/>
    <n v="0"/>
    <n v="0"/>
    <n v="0"/>
    <n v="7753.0000000000009"/>
    <n v="0"/>
    <n v="0"/>
    <n v="0"/>
    <n v="0"/>
    <n v="0"/>
    <n v="0"/>
    <n v="0"/>
    <n v="0"/>
    <n v="7753.0000000000009"/>
    <n v="0"/>
    <n v="0"/>
    <n v="333.42784878487868"/>
    <n v="31.742857142857137"/>
    <n v="0"/>
    <n v="0"/>
    <m/>
    <s v="Chautham"/>
    <m/>
    <n v="0"/>
  </r>
  <r>
    <s v="Munger"/>
    <s v="10-16 Apr"/>
    <n v="1056"/>
    <s v="Chautham"/>
    <x v="233"/>
    <s v="Gomukh Pakrail Vijay Nagar VLC"/>
    <s v="vlc"/>
    <s v="Indirect"/>
    <n v="1686.6799999999996"/>
    <n v="62389.72"/>
    <n v="0"/>
    <n v="0"/>
    <n v="0"/>
    <n v="0"/>
    <n v="0"/>
    <n v="0"/>
    <n v="62389.72"/>
    <n v="0"/>
    <n v="0"/>
    <n v="0"/>
    <n v="0"/>
    <n v="0"/>
    <n v="0"/>
    <n v="0"/>
    <n v="0"/>
    <n v="62389.72"/>
    <n v="0"/>
    <n v="0"/>
    <n v="0"/>
    <n v="0"/>
    <n v="0"/>
    <n v="0"/>
    <m/>
    <s v="Chautham"/>
    <m/>
    <n v="0"/>
  </r>
  <r>
    <s v="Munger"/>
    <s v="10-16 Apr"/>
    <n v="1056"/>
    <s v="Chautham"/>
    <x v="234"/>
    <s v="Gomukh Pakrail Shirnia VLC"/>
    <s v="vlc"/>
    <s v="Indirect"/>
    <n v="103.04"/>
    <n v="4006.08"/>
    <n v="0"/>
    <n v="0"/>
    <n v="0"/>
    <n v="0"/>
    <n v="0"/>
    <n v="0"/>
    <n v="4006.08"/>
    <n v="0"/>
    <n v="0"/>
    <n v="0"/>
    <n v="0"/>
    <n v="0"/>
    <n v="0"/>
    <n v="0"/>
    <n v="0"/>
    <n v="4006.08"/>
    <n v="0"/>
    <n v="0"/>
    <n v="464.18274782608694"/>
    <n v="14.72"/>
    <n v="0"/>
    <n v="0"/>
    <m/>
    <s v="Chautham"/>
    <m/>
    <n v="0"/>
  </r>
  <r>
    <s v="Munger"/>
    <s v="10-16 Apr"/>
    <n v="1007"/>
    <s v="Araria"/>
    <x v="235"/>
    <s v="Gomukh Godhiyasi Nayagow VLC"/>
    <s v="vlc"/>
    <s v="Indirect"/>
    <n v="258.60000000000002"/>
    <n v="8732.83"/>
    <n v="0"/>
    <n v="0"/>
    <n v="0"/>
    <n v="0"/>
    <n v="0"/>
    <n v="0"/>
    <n v="8732.83"/>
    <n v="0"/>
    <n v="0"/>
    <n v="0"/>
    <n v="0"/>
    <n v="0"/>
    <n v="0"/>
    <n v="0"/>
    <n v="0"/>
    <n v="8732.83"/>
    <n v="0"/>
    <n v="0"/>
    <n v="298.11841933488012"/>
    <n v="36.942857142857143"/>
    <n v="0"/>
    <n v="0"/>
    <m/>
    <s v="Araria"/>
    <m/>
    <n v="0"/>
  </r>
  <r>
    <s v="Munger"/>
    <s v="10-16 Apr"/>
    <n v="1010"/>
    <s v="Parbatta"/>
    <x v="236"/>
    <s v="Gomukh Bandehra Purbi"/>
    <s v="MPG"/>
    <s v="Direct"/>
    <n v="907.4"/>
    <n v="34683.869999999995"/>
    <n v="907.4"/>
    <n v="42304.045574700001"/>
    <n v="0"/>
    <n v="0"/>
    <n v="907.4"/>
    <n v="42304.045574700001"/>
    <n v="34683.869999999995"/>
    <n v="0"/>
    <n v="0"/>
    <n v="7620.1755747000061"/>
    <n v="0"/>
    <n v="0"/>
    <n v="0"/>
    <n v="34684"/>
    <n v="0"/>
    <n v="0"/>
    <n v="0"/>
    <n v="0"/>
    <n v="0"/>
    <n v="0"/>
    <n v="-0.21970372898699042"/>
    <n v="1"/>
    <m/>
    <s v="Parbatta"/>
    <m/>
    <n v="0"/>
  </r>
  <r>
    <s v="Munger"/>
    <s v="10-16 Apr"/>
    <n v="1056"/>
    <s v="Chautham"/>
    <x v="237"/>
    <s v="Gomukh Tila Tol"/>
    <s v="MPG"/>
    <s v="Direct"/>
    <n v="1485.7399999999998"/>
    <n v="56446.69"/>
    <n v="1383.8999999999999"/>
    <n v="51561.403810488002"/>
    <n v="293.95999999999998"/>
    <n v="10987.079424552001"/>
    <n v="1677.86"/>
    <n v="62548.483235040003"/>
    <n v="56446.69"/>
    <n v="0"/>
    <n v="10987.079424552001"/>
    <n v="6101.7932350400006"/>
    <n v="0"/>
    <n v="0"/>
    <n v="0"/>
    <n v="45460"/>
    <n v="0"/>
    <n v="0"/>
    <n v="0"/>
    <n v="0"/>
    <n v="0"/>
    <n v="0"/>
    <n v="-0.10809833552755707"/>
    <n v="2"/>
    <m/>
    <s v="Chautham"/>
    <m/>
    <n v="0"/>
  </r>
  <r>
    <s v="Munger"/>
    <s v="10-16 Apr"/>
    <n v="1007"/>
    <s v="Araria"/>
    <x v="238"/>
    <s v="Gomukh Dina Chakla Vlc"/>
    <s v="vlc"/>
    <s v="Indirect"/>
    <n v="482.29999999999995"/>
    <n v="17323.61"/>
    <n v="0"/>
    <n v="0"/>
    <n v="0"/>
    <n v="0"/>
    <n v="0"/>
    <n v="0"/>
    <n v="17323.61"/>
    <n v="0"/>
    <n v="0"/>
    <n v="0"/>
    <n v="0"/>
    <n v="0"/>
    <n v="0"/>
    <n v="0"/>
    <n v="0"/>
    <n v="17323.61"/>
    <n v="0"/>
    <n v="0"/>
    <n v="156.39020928882442"/>
    <n v="68.899999999999991"/>
    <n v="0"/>
    <n v="0"/>
    <m/>
    <s v="Araria"/>
    <m/>
    <n v="0"/>
  </r>
  <r>
    <s v="Munger"/>
    <s v="10-16 Apr"/>
    <n v="1007"/>
    <s v="Araria"/>
    <x v="239"/>
    <s v="Gomukh Gogri VLC"/>
    <s v="vlc"/>
    <s v="Indirect"/>
    <n v="330.1"/>
    <n v="10778.410000000002"/>
    <n v="0"/>
    <n v="0"/>
    <n v="0"/>
    <n v="0"/>
    <n v="0"/>
    <n v="0"/>
    <n v="10778.410000000002"/>
    <n v="0"/>
    <n v="0"/>
    <n v="0"/>
    <n v="0"/>
    <n v="0"/>
    <n v="0"/>
    <n v="0"/>
    <n v="0"/>
    <n v="10778.410000000002"/>
    <n v="0"/>
    <n v="0"/>
    <n v="241.55915534686457"/>
    <n v="47.157142857142858"/>
    <n v="0"/>
    <n v="0"/>
    <m/>
    <s v="Araria"/>
    <m/>
    <n v="0"/>
  </r>
  <r>
    <s v="Munger"/>
    <s v="10-16 Apr"/>
    <n v="1007"/>
    <s v="Araria"/>
    <x v="240"/>
    <s v="Gomukh Sondiha Jay Prakash VLC"/>
    <s v="vlc"/>
    <s v="Indirect"/>
    <n v="310.5"/>
    <n v="11059.78"/>
    <n v="0"/>
    <n v="0"/>
    <n v="0"/>
    <n v="0"/>
    <n v="0"/>
    <n v="0"/>
    <n v="11059.78"/>
    <n v="0"/>
    <n v="0"/>
    <n v="0"/>
    <n v="0"/>
    <n v="0"/>
    <n v="0"/>
    <n v="0"/>
    <n v="0"/>
    <n v="11059.78"/>
    <n v="0"/>
    <n v="0"/>
    <n v="277.47402962962963"/>
    <n v="44.357142857142854"/>
    <n v="0"/>
    <n v="0"/>
    <m/>
    <s v="Araria"/>
    <m/>
    <n v="0"/>
  </r>
  <r>
    <s v="Munger"/>
    <s v="10-16 Apr"/>
    <n v="1007"/>
    <s v="Araria"/>
    <x v="241"/>
    <s v="Gomukh Bari Chak Gogri"/>
    <s v="MPG"/>
    <s v="Direct"/>
    <n v="215.09999999999997"/>
    <n v="7410.0999999999995"/>
    <n v="216.73"/>
    <n v="10925.560693985441"/>
    <n v="0"/>
    <n v="0"/>
    <n v="216.73"/>
    <n v="10925.560693985441"/>
    <n v="7410.0999999999995"/>
    <n v="0"/>
    <n v="0"/>
    <n v="3515.4606939854411"/>
    <n v="0"/>
    <n v="0"/>
    <n v="0"/>
    <n v="7410"/>
    <n v="0"/>
    <n v="0"/>
    <n v="0"/>
    <n v="0"/>
    <n v="334.09181682938174"/>
    <n v="30.728571428571424"/>
    <n v="-0.47441474392861654"/>
    <n v="1"/>
    <m/>
    <s v="Araria"/>
    <m/>
    <n v="0"/>
  </r>
  <r>
    <s v="Munger"/>
    <s v="10-16 Apr"/>
    <n v="1007"/>
    <s v="Araria"/>
    <x v="242"/>
    <s v="Gomukh Khatha"/>
    <s v="MPG"/>
    <s v="Direct"/>
    <n v="1015.5"/>
    <n v="35497.68"/>
    <n v="1027"/>
    <n v="51869.879847240001"/>
    <n v="0"/>
    <n v="0"/>
    <n v="1027"/>
    <n v="51869.879847240001"/>
    <n v="35497.68"/>
    <n v="0"/>
    <n v="0"/>
    <n v="16372.199847240001"/>
    <n v="0"/>
    <n v="0"/>
    <n v="0"/>
    <n v="35498"/>
    <n v="0"/>
    <n v="0"/>
    <n v="0"/>
    <n v="0"/>
    <n v="0"/>
    <n v="0"/>
    <n v="-0.46121886971880982"/>
    <n v="1"/>
    <m/>
    <s v="Araria"/>
    <m/>
    <n v="0"/>
  </r>
  <r>
    <s v="Munger"/>
    <s v="10-16 Apr"/>
    <n v="1055"/>
    <s v="Matihani"/>
    <x v="243"/>
    <s v="Chak Punervas"/>
    <s v="vlc"/>
    <s v="Indirect"/>
    <n v="603.4"/>
    <n v="22270.400000000001"/>
    <n v="0"/>
    <n v="0"/>
    <n v="0"/>
    <n v="0"/>
    <n v="0"/>
    <n v="0"/>
    <n v="22270.400000000001"/>
    <n v="0"/>
    <n v="0"/>
    <n v="0"/>
    <n v="0"/>
    <n v="0"/>
    <n v="0"/>
    <n v="0"/>
    <n v="0"/>
    <n v="22270.400000000001"/>
    <n v="0"/>
    <n v="0"/>
    <n v="71.306617169373553"/>
    <n v="86.2"/>
    <n v="0"/>
    <n v="0"/>
    <m/>
    <s v="Matihani"/>
    <m/>
    <n v="0"/>
  </r>
  <r>
    <s v="Munger"/>
    <s v="10-16 Apr"/>
    <n v="1008"/>
    <s v="Teghra"/>
    <x v="244"/>
    <s v="Labherchak"/>
    <s v="vlc"/>
    <s v="Indirect"/>
    <n v="293.7"/>
    <n v="10834.08"/>
    <n v="0"/>
    <n v="0"/>
    <n v="0"/>
    <n v="0"/>
    <n v="0"/>
    <n v="0"/>
    <n v="10834.08"/>
    <n v="0"/>
    <n v="0"/>
    <n v="0"/>
    <n v="5060"/>
    <n v="0"/>
    <n v="0"/>
    <n v="0"/>
    <n v="0"/>
    <n v="5774.08"/>
    <n v="0"/>
    <s v="Release1"/>
    <n v="299.75394647599597"/>
    <n v="41.957142857142856"/>
    <n v="0"/>
    <n v="0"/>
    <m/>
    <s v="Teghra"/>
    <m/>
    <n v="0"/>
  </r>
  <r>
    <s v="Munger"/>
    <s v="10-16 Apr"/>
    <n v="1008"/>
    <s v="Teghra"/>
    <x v="245"/>
    <s v="Paspura"/>
    <s v="vlc"/>
    <s v="Indirect"/>
    <n v="467.65"/>
    <n v="15827.800000000003"/>
    <n v="0"/>
    <n v="0"/>
    <n v="0"/>
    <n v="0"/>
    <n v="0"/>
    <n v="0"/>
    <n v="15827.800000000003"/>
    <n v="0"/>
    <n v="0"/>
    <n v="0"/>
    <n v="0"/>
    <n v="0"/>
    <n v="0"/>
    <n v="0"/>
    <n v="0"/>
    <n v="15827.800000000003"/>
    <n v="0"/>
    <n v="0"/>
    <n v="157.27956078263665"/>
    <n v="66.80714285714285"/>
    <n v="0"/>
    <n v="0"/>
    <m/>
    <s v="Teghra"/>
    <m/>
    <n v="0"/>
  </r>
  <r>
    <s v="Munger"/>
    <s v="10-16 Apr"/>
    <n v="1008"/>
    <s v="Teghra"/>
    <x v="246"/>
    <s v="Gomukh Godhna"/>
    <s v="vlc"/>
    <s v="Indirect"/>
    <n v="135.1"/>
    <n v="4758.9299999999994"/>
    <n v="0"/>
    <n v="0"/>
    <n v="0"/>
    <n v="0"/>
    <n v="0"/>
    <n v="0"/>
    <n v="4758.9299999999994"/>
    <n v="0"/>
    <n v="0"/>
    <n v="0"/>
    <n v="1300"/>
    <n v="0"/>
    <n v="0"/>
    <n v="0"/>
    <n v="0"/>
    <n v="3458.9299999999994"/>
    <n v="0"/>
    <n v="0"/>
    <n v="397.97476787564767"/>
    <n v="19.3"/>
    <n v="0"/>
    <n v="0"/>
    <m/>
    <s v="Teghra"/>
    <m/>
    <n v="0"/>
  </r>
  <r>
    <s v="Munger"/>
    <s v="10-16 Apr"/>
    <n v="1008"/>
    <s v="Teghra"/>
    <x v="247"/>
    <s v="Gomukh Sihma 2"/>
    <s v="vlc"/>
    <s v="Indirect"/>
    <n v="253.15"/>
    <n v="8765.01"/>
    <n v="0"/>
    <n v="0"/>
    <n v="0"/>
    <n v="0"/>
    <n v="0"/>
    <n v="0"/>
    <n v="8765.01"/>
    <n v="0"/>
    <n v="0"/>
    <n v="0"/>
    <n v="0"/>
    <n v="0"/>
    <n v="0"/>
    <n v="0"/>
    <n v="0"/>
    <n v="8765.01"/>
    <n v="0"/>
    <n v="0"/>
    <n v="309.43272514319574"/>
    <n v="36.164285714285718"/>
    <n v="0"/>
    <n v="0"/>
    <m/>
    <s v="Teghra"/>
    <m/>
    <n v="0"/>
  </r>
  <r>
    <s v="Munger"/>
    <s v="10-16 Apr"/>
    <n v="1008"/>
    <s v="Teghra"/>
    <x v="248"/>
    <s v="Gomukh ID Marsaito"/>
    <s v="vlc"/>
    <s v="Indirect"/>
    <n v="721.05000000000018"/>
    <n v="25945.87"/>
    <n v="0"/>
    <n v="0"/>
    <n v="0"/>
    <n v="0"/>
    <n v="0"/>
    <n v="0"/>
    <n v="25945.87"/>
    <n v="0"/>
    <n v="0"/>
    <n v="0"/>
    <n v="0"/>
    <n v="0"/>
    <n v="0"/>
    <n v="0"/>
    <n v="0"/>
    <n v="25945.87"/>
    <n v="0"/>
    <n v="0"/>
    <n v="0"/>
    <n v="0"/>
    <n v="0"/>
    <n v="0"/>
    <m/>
    <s v="Teghra"/>
    <m/>
    <n v="0"/>
  </r>
  <r>
    <s v="Munger"/>
    <s v="10-16 Apr"/>
    <n v="1008"/>
    <s v="Teghra"/>
    <x v="249"/>
    <s v="Gomukh ID Akashpur-2"/>
    <s v="vlc"/>
    <s v="Indirect"/>
    <n v="1826.9499999999998"/>
    <n v="67995.650000000009"/>
    <n v="0"/>
    <n v="0"/>
    <n v="0"/>
    <n v="0"/>
    <n v="0"/>
    <n v="0"/>
    <n v="67995.650000000009"/>
    <n v="0"/>
    <n v="0"/>
    <n v="0"/>
    <n v="0"/>
    <n v="0"/>
    <n v="0"/>
    <n v="0"/>
    <n v="0"/>
    <n v="67995.650000000009"/>
    <n v="0"/>
    <n v="0"/>
    <n v="0"/>
    <n v="0"/>
    <n v="0"/>
    <n v="0"/>
    <m/>
    <s v="Teghra"/>
    <m/>
    <n v="0"/>
  </r>
  <r>
    <s v="Munger"/>
    <s v="10-16 Apr"/>
    <n v="1008"/>
    <s v="Teghra"/>
    <x v="250"/>
    <s v="Gomukh ID Akashpur"/>
    <s v="vlc"/>
    <s v="Indirect"/>
    <n v="704.65"/>
    <n v="27399.549999999996"/>
    <n v="0"/>
    <n v="0"/>
    <n v="0"/>
    <n v="0"/>
    <n v="0"/>
    <n v="0"/>
    <n v="27399.549999999996"/>
    <n v="0"/>
    <n v="0"/>
    <n v="0"/>
    <n v="0"/>
    <n v="0"/>
    <n v="0"/>
    <n v="0"/>
    <n v="0"/>
    <n v="27399.549999999996"/>
    <n v="0"/>
    <n v="0"/>
    <n v="0"/>
    <n v="0"/>
    <n v="0"/>
    <n v="0"/>
    <m/>
    <s v="Teghra"/>
    <m/>
    <n v="0"/>
  </r>
  <r>
    <s v="Munger"/>
    <s v="10-16 Apr"/>
    <n v="1008"/>
    <s v="Teghra"/>
    <x v="251"/>
    <s v="Gomukh ID Rachiyahi"/>
    <s v="vlc"/>
    <s v="Indirect"/>
    <n v="106.10000000000002"/>
    <n v="4001.1500000000005"/>
    <n v="0"/>
    <n v="0"/>
    <n v="0"/>
    <n v="0"/>
    <n v="0"/>
    <n v="0"/>
    <n v="4001.1500000000005"/>
    <n v="0"/>
    <n v="0"/>
    <n v="0"/>
    <n v="0"/>
    <n v="0"/>
    <n v="0"/>
    <n v="0"/>
    <n v="0"/>
    <n v="4001.1500000000005"/>
    <n v="0"/>
    <n v="0"/>
    <n v="447.93270216776625"/>
    <n v="15.15714285714286"/>
    <n v="0"/>
    <n v="0"/>
    <m/>
    <s v="Teghra"/>
    <m/>
    <n v="0"/>
  </r>
  <r>
    <s v="Munger"/>
    <s v="10-16 Apr"/>
    <n v="1008"/>
    <s v="Teghra"/>
    <x v="252"/>
    <s v="GomukhBariyahi Chanan"/>
    <s v="MPG"/>
    <s v="Direct"/>
    <n v="2810.3999999999996"/>
    <n v="99840.31"/>
    <n v="2809.9"/>
    <n v="100388.60772869558"/>
    <n v="3.4"/>
    <n v="116.94499819200001"/>
    <n v="2813.3"/>
    <n v="100505.55272688759"/>
    <n v="99840.31"/>
    <n v="0"/>
    <n v="116.94499819200001"/>
    <n v="665.24272688759083"/>
    <n v="0"/>
    <n v="0"/>
    <n v="0"/>
    <n v="99723"/>
    <n v="0"/>
    <n v="0"/>
    <n v="0"/>
    <n v="0"/>
    <n v="0"/>
    <n v="0"/>
    <n v="-6.6630675214008339E-3"/>
    <n v="10"/>
    <m/>
    <s v="Teghra"/>
    <m/>
    <n v="0"/>
  </r>
  <r>
    <s v="Munger"/>
    <s v="10-16 Apr"/>
    <n v="1008"/>
    <s v="Teghra"/>
    <x v="253"/>
    <s v="GomukhGehuni"/>
    <s v="MPG"/>
    <s v="Direct"/>
    <n v="118.5"/>
    <n v="4390.8100000000004"/>
    <n v="225"/>
    <n v="8477.9452954560002"/>
    <n v="1.6"/>
    <n v="57.566862540000002"/>
    <n v="226.6"/>
    <n v="8535.5121579959996"/>
    <n v="4390.8100000000004"/>
    <n v="0"/>
    <n v="57.566862540000002"/>
    <n v="4144.7021579959992"/>
    <n v="0"/>
    <n v="500"/>
    <n v="0"/>
    <n v="3833"/>
    <n v="0"/>
    <n v="0"/>
    <n v="0"/>
    <n v="0"/>
    <n v="430.92928523206751"/>
    <n v="16.928571428571427"/>
    <n v="-0.9439493300771381"/>
    <n v="5"/>
    <m/>
    <s v="Teghra"/>
    <m/>
    <n v="500"/>
  </r>
  <r>
    <s v="Munger"/>
    <s v="10-16 Apr"/>
    <n v="1008"/>
    <s v="Teghra"/>
    <x v="254"/>
    <s v="Gomukh Bakhatpur"/>
    <s v="MPG"/>
    <s v="Direct"/>
    <n v="222.2"/>
    <n v="9416.18"/>
    <n v="215.59999999999997"/>
    <n v="9132.2198761464824"/>
    <n v="3.9899999999999998"/>
    <n v="165.58119428400002"/>
    <n v="219.58999999999997"/>
    <n v="9297.8010704304816"/>
    <n v="9297.8010704304816"/>
    <n v="0"/>
    <n v="165.58119428400002"/>
    <n v="0"/>
    <n v="0"/>
    <n v="0"/>
    <n v="0"/>
    <n v="9132"/>
    <n v="0"/>
    <n v="0"/>
    <n v="119"/>
    <n v="0"/>
    <n v="404.95506786678681"/>
    <n v="31.74285714285714"/>
    <n v="1.2571863491301008E-2"/>
    <n v="6"/>
    <m/>
    <s v="Teghra"/>
    <m/>
    <n v="0"/>
  </r>
  <r>
    <s v="Munger"/>
    <s v="10-16 Apr"/>
    <n v="1008"/>
    <s v="Teghra"/>
    <x v="255"/>
    <s v="Ananaya Dairy"/>
    <s v="vlc"/>
    <s v="Indirect"/>
    <n v="1185"/>
    <n v="47080.05"/>
    <n v="0"/>
    <n v="0"/>
    <n v="0"/>
    <n v="0"/>
    <n v="0"/>
    <n v="0"/>
    <n v="47080.05"/>
    <n v="0"/>
    <n v="0"/>
    <n v="0"/>
    <n v="0"/>
    <n v="0"/>
    <n v="0"/>
    <n v="0"/>
    <n v="0"/>
    <n v="47080.05"/>
    <n v="0"/>
    <n v="0"/>
    <n v="0"/>
    <n v="0"/>
    <n v="0"/>
    <n v="0"/>
    <m/>
    <s v="Teghra"/>
    <m/>
    <n v="0"/>
  </r>
  <r>
    <s v="Munger"/>
    <s v="10-16 Apr"/>
    <n v="1008"/>
    <s v="Teghra"/>
    <x v="256"/>
    <s v="Gomukh Bishanpur"/>
    <s v="MPG"/>
    <s v="Direct"/>
    <n v="777.90000000000009"/>
    <n v="28127.019999999997"/>
    <n v="796.00999999999988"/>
    <n v="30024.774410679376"/>
    <n v="14.389999999999999"/>
    <n v="555.29104078800003"/>
    <n v="810.39999999999986"/>
    <n v="30580.065451467377"/>
    <n v="28127.019999999997"/>
    <n v="0"/>
    <n v="555.29104078800003"/>
    <n v="2453.0454514673802"/>
    <n v="0"/>
    <n v="0"/>
    <n v="0"/>
    <n v="27572"/>
    <n v="0"/>
    <n v="0"/>
    <n v="0"/>
    <s v="Release1"/>
    <n v="0"/>
    <n v="0"/>
    <n v="-8.7213129989148527E-2"/>
    <n v="27"/>
    <m/>
    <s v="Teghra"/>
    <m/>
    <n v="0"/>
  </r>
  <r>
    <s v="Munger"/>
    <s v="10-16 Apr"/>
    <n v="1008"/>
    <s v="Teghra"/>
    <x v="257"/>
    <s v="GOMUKH BEGAMSARAI"/>
    <s v="MPG"/>
    <s v="Direct"/>
    <n v="338.40000000000003"/>
    <n v="14115.429999999998"/>
    <n v="485.01000000000005"/>
    <n v="20379.965542503302"/>
    <n v="109.69999999999999"/>
    <n v="4602.7349272195006"/>
    <n v="594.71"/>
    <n v="24982.700469722804"/>
    <n v="14115.429999999998"/>
    <n v="0"/>
    <n v="75.922985131000019"/>
    <n v="10867.270469722806"/>
    <n v="0"/>
    <n v="0"/>
    <n v="0"/>
    <n v="9513"/>
    <n v="4527"/>
    <n v="0"/>
    <n v="0"/>
    <n v="0"/>
    <n v="301.6630903073285"/>
    <n v="48.342857142857149"/>
    <n v="-0.76988589576958033"/>
    <n v="5"/>
    <m/>
    <s v="Teghra"/>
    <m/>
    <n v="0"/>
  </r>
  <r>
    <s v="Munger"/>
    <s v="10-16 Apr"/>
    <n v="1008"/>
    <s v="Teghra"/>
    <x v="258"/>
    <s v="Hasanpur - Abhijeet"/>
    <s v="vlc"/>
    <s v="Indirect"/>
    <n v="118.1"/>
    <n v="4304.74"/>
    <n v="0"/>
    <n v="0"/>
    <n v="0"/>
    <n v="0"/>
    <n v="0"/>
    <n v="0"/>
    <n v="4304.74"/>
    <n v="0"/>
    <n v="0"/>
    <n v="0"/>
    <n v="0"/>
    <n v="0"/>
    <n v="0"/>
    <n v="0"/>
    <n v="0"/>
    <n v="4304.74"/>
    <n v="0"/>
    <n v="0"/>
    <n v="424.20460728196457"/>
    <n v="16.87142857142857"/>
    <n v="0"/>
    <n v="0"/>
    <m/>
    <s v="Teghra"/>
    <m/>
    <n v="0"/>
  </r>
  <r>
    <s v="Munger"/>
    <s v="10-16 Apr"/>
    <n v="1008"/>
    <s v="Teghra"/>
    <x v="259"/>
    <s v="Adharpur - Manish"/>
    <s v="vlc"/>
    <s v="Indirect"/>
    <n v="975.95"/>
    <n v="37101.300000000003"/>
    <n v="0"/>
    <n v="0"/>
    <n v="0"/>
    <n v="0"/>
    <n v="0"/>
    <n v="0"/>
    <n v="37101.300000000003"/>
    <n v="0"/>
    <n v="0"/>
    <n v="0"/>
    <n v="0"/>
    <n v="0"/>
    <n v="0"/>
    <n v="0"/>
    <n v="0"/>
    <n v="37101.300000000003"/>
    <n v="0"/>
    <n v="0"/>
    <n v="0"/>
    <n v="0"/>
    <n v="0"/>
    <n v="0"/>
    <m/>
    <s v="Teghra"/>
    <m/>
    <n v="0"/>
  </r>
  <r>
    <s v="Munger"/>
    <s v="10-16 Apr"/>
    <n v="1008"/>
    <s v="Teghra"/>
    <x v="260"/>
    <s v="Rani - Surender"/>
    <s v="vlc"/>
    <s v="Indirect"/>
    <n v="100.6"/>
    <n v="4347.26"/>
    <n v="0"/>
    <n v="0"/>
    <n v="0"/>
    <n v="0"/>
    <n v="0"/>
    <n v="0"/>
    <n v="4347.26"/>
    <n v="0"/>
    <n v="0"/>
    <n v="0"/>
    <n v="0"/>
    <n v="0"/>
    <n v="0"/>
    <n v="0"/>
    <n v="0"/>
    <n v="4347.26"/>
    <n v="0"/>
    <n v="0"/>
    <n v="518.04128111332022"/>
    <n v="14.37142857142857"/>
    <n v="0"/>
    <n v="0"/>
    <m/>
    <s v="Teghra"/>
    <m/>
    <n v="0"/>
  </r>
  <r>
    <s v="Munger"/>
    <s v="10-16 Apr"/>
    <n v="1008"/>
    <s v="Teghra"/>
    <x v="261"/>
    <s v="Gangaprasad - Prashant"/>
    <s v="vlc"/>
    <s v="Indirect"/>
    <n v="1462.4"/>
    <n v="51804.689999999995"/>
    <n v="0"/>
    <n v="0"/>
    <n v="0"/>
    <n v="0"/>
    <n v="0"/>
    <n v="0"/>
    <n v="51804.689999999995"/>
    <n v="0"/>
    <n v="0"/>
    <n v="0"/>
    <n v="0"/>
    <n v="0"/>
    <n v="0"/>
    <n v="0"/>
    <n v="0"/>
    <n v="51804.689999999995"/>
    <n v="0"/>
    <n v="0"/>
    <n v="0"/>
    <n v="0"/>
    <n v="0"/>
    <n v="0"/>
    <m/>
    <s v="Teghra"/>
    <m/>
    <n v="0"/>
  </r>
  <r>
    <s v="Munger"/>
    <s v="10-16 Apr"/>
    <n v="1008"/>
    <s v="Teghra"/>
    <x v="262"/>
    <s v="GOMUKH RANI 3"/>
    <s v="MPG"/>
    <s v="Direct"/>
    <n v="230.99999999999997"/>
    <n v="10751.239999999998"/>
    <n v="227.34000000000003"/>
    <n v="10577.819470736011"/>
    <n v="1.9100000000000001"/>
    <n v="89.144192832300007"/>
    <n v="229.25000000000003"/>
    <n v="10666.963663568311"/>
    <n v="10666.963663568311"/>
    <n v="0"/>
    <n v="89.144192832300007"/>
    <n v="0"/>
    <n v="1860"/>
    <n v="0"/>
    <n v="0"/>
    <n v="8718"/>
    <n v="0"/>
    <n v="0"/>
    <n v="84"/>
    <n v="0"/>
    <n v="436.56550303030303"/>
    <n v="32.999999999999993"/>
    <n v="7.8387550116718659E-3"/>
    <n v="5"/>
    <m/>
    <s v="Teghra"/>
    <m/>
    <n v="0"/>
  </r>
  <r>
    <s v="Munger"/>
    <s v="10-16 Apr"/>
    <n v="1008"/>
    <s v="Teghra"/>
    <x v="263"/>
    <s v="GOMUKH NONPUR"/>
    <s v="MPG"/>
    <s v="Direct"/>
    <n v="750.25"/>
    <n v="26920.129999999997"/>
    <n v="744.09999999999991"/>
    <n v="30220.629063768003"/>
    <n v="1.9599999999999997"/>
    <n v="79.474104072000003"/>
    <n v="746.06"/>
    <n v="30300.103167840003"/>
    <n v="26920.129999999997"/>
    <n v="0"/>
    <n v="79.474104072000003"/>
    <n v="3379.9731678400058"/>
    <n v="0"/>
    <n v="0"/>
    <n v="0"/>
    <n v="26841"/>
    <n v="0"/>
    <n v="0"/>
    <n v="0"/>
    <n v="0"/>
    <n v="0"/>
    <n v="0"/>
    <n v="-0.125555603477398"/>
    <n v="5"/>
    <m/>
    <s v="Teghra"/>
    <m/>
    <n v="0"/>
  </r>
  <r>
    <s v="Munger"/>
    <s v="10-16 Apr"/>
    <n v="1008"/>
    <s v="Teghra"/>
    <x v="264"/>
    <s v="GOMUKH FATEHA"/>
    <s v="MPG"/>
    <s v="Direct"/>
    <n v="535.4"/>
    <n v="18477.82"/>
    <n v="613.17999999999995"/>
    <n v="21798.806192853066"/>
    <n v="0"/>
    <n v="0"/>
    <n v="613.17999999999995"/>
    <n v="21798.806192853066"/>
    <n v="18477.82"/>
    <n v="0"/>
    <n v="0"/>
    <n v="3320.9861928530663"/>
    <n v="0"/>
    <n v="0"/>
    <n v="0"/>
    <n v="18478"/>
    <n v="0"/>
    <n v="0"/>
    <n v="0"/>
    <n v="0"/>
    <n v="113.61408935375422"/>
    <n v="76.48571428571428"/>
    <n v="-0.1797282467765714"/>
    <n v="4"/>
    <m/>
    <s v="Teghra"/>
    <m/>
    <n v="0"/>
  </r>
  <r>
    <s v="Munger"/>
    <s v="10-16 Apr"/>
    <n v="1008"/>
    <s v="Teghra"/>
    <x v="265"/>
    <s v="Bablu Singh"/>
    <s v="vlc"/>
    <s v="Indirect"/>
    <n v="711.09999999999991"/>
    <n v="25683.129999999997"/>
    <n v="0"/>
    <n v="0"/>
    <n v="0"/>
    <n v="0"/>
    <n v="0"/>
    <n v="0"/>
    <n v="25683.129999999997"/>
    <n v="0"/>
    <n v="0"/>
    <n v="0"/>
    <n v="0"/>
    <n v="0"/>
    <n v="0"/>
    <n v="0"/>
    <n v="0"/>
    <n v="25683.129999999997"/>
    <n v="0"/>
    <n v="0"/>
    <n v="0"/>
    <n v="0"/>
    <n v="0"/>
    <n v="0"/>
    <m/>
    <s v="Teghra"/>
    <m/>
    <n v="0"/>
  </r>
  <r>
    <s v="Munger"/>
    <s v="10-16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1011.1"/>
    <n v="38079.119999999995"/>
    <n v="506.7299999999999"/>
    <n v="20111.220917172002"/>
    <n v="503.46"/>
    <n v="19962.236852316004"/>
    <n v="1010.1899999999998"/>
    <n v="40073.457769488006"/>
    <n v="38079.119999999995"/>
    <n v="0"/>
    <n v="0"/>
    <n v="1994.337769488011"/>
    <n v="0"/>
    <n v="0"/>
    <n v="0"/>
    <n v="18117"/>
    <n v="19962"/>
    <n v="0"/>
    <n v="0"/>
    <n v="0"/>
    <n v="0"/>
    <n v="0"/>
    <n v="-5.2373525687778796E-2"/>
    <n v="9"/>
    <m/>
    <s v="Teghra"/>
    <m/>
    <n v="0"/>
  </r>
  <r>
    <s v="Munger"/>
    <s v="10-16 Apr"/>
    <n v="1008"/>
    <s v="Teghra"/>
    <x v="267"/>
    <s v="GOMUKH ROOPNAGAR"/>
    <s v="MPG"/>
    <s v="Direct"/>
    <n v="287.55"/>
    <n v="9760.0499999999993"/>
    <n v="287.20000000000005"/>
    <n v="9748.4656102020017"/>
    <n v="0"/>
    <n v="0"/>
    <n v="287.20000000000005"/>
    <n v="9748.4656102020017"/>
    <n v="9748.4656102020017"/>
    <n v="0"/>
    <n v="0"/>
    <n v="0"/>
    <n v="0"/>
    <n v="0"/>
    <n v="0"/>
    <n v="9748"/>
    <n v="0"/>
    <n v="0"/>
    <n v="12"/>
    <n v="0"/>
    <n v="279.98835837245696"/>
    <n v="41.078571428571429"/>
    <n v="1.1869191036928679E-3"/>
    <n v="1"/>
    <m/>
    <s v="Teghra"/>
    <m/>
    <n v="0"/>
  </r>
  <r>
    <s v="Munger"/>
    <s v="10-16 Apr"/>
    <n v="1008"/>
    <s v="Teghra"/>
    <x v="268"/>
    <s v="GOMUKH SIBUTOL 2"/>
    <s v="MPG"/>
    <s v="Direct"/>
    <n v="257.14999999999998"/>
    <n v="10092.91"/>
    <n v="256"/>
    <n v="10002.709094400001"/>
    <n v="0"/>
    <n v="0"/>
    <n v="256"/>
    <n v="10002.709094400001"/>
    <n v="10002.709094400001"/>
    <n v="0"/>
    <n v="0"/>
    <n v="0"/>
    <n v="0"/>
    <n v="500"/>
    <n v="0"/>
    <n v="9503"/>
    <n v="0"/>
    <n v="0"/>
    <n v="90"/>
    <n v="0"/>
    <n v="347.62941423293802"/>
    <n v="36.73571428571428"/>
    <n v="8.9370563692729652E-3"/>
    <n v="1"/>
    <m/>
    <s v="Teghra"/>
    <m/>
    <n v="500"/>
  </r>
  <r>
    <s v="Munger"/>
    <s v="10-16 Apr"/>
    <n v="1008"/>
    <s v="Teghra"/>
    <x v="269"/>
    <s v="GOMUKH HADIPUR"/>
    <s v="MPG"/>
    <s v="Direct"/>
    <n v="78.55"/>
    <n v="3003.32"/>
    <n v="78.81"/>
    <n v="3314.9474435550001"/>
    <n v="0.32"/>
    <n v="13.567766536500004"/>
    <n v="79.13"/>
    <n v="3328.5152100915002"/>
    <n v="3003.32"/>
    <n v="0"/>
    <n v="13.567766536500004"/>
    <n v="325.19521009150003"/>
    <n v="0"/>
    <n v="500"/>
    <n v="0"/>
    <n v="2490"/>
    <n v="0"/>
    <n v="0"/>
    <n v="0"/>
    <n v="0"/>
    <n v="475.21660445576072"/>
    <n v="11.221428571428572"/>
    <n v="-0.10827857507408468"/>
    <n v="2"/>
    <m/>
    <s v="Teghra"/>
    <m/>
    <n v="500"/>
  </r>
  <r>
    <s v="Munger"/>
    <s v="10-16 Apr"/>
    <n v="1008"/>
    <s v="Teghra"/>
    <x v="270"/>
    <s v="Gomukh Harichak"/>
    <s v="MPG"/>
    <s v="Direct"/>
    <n v="112.49999999999999"/>
    <n v="4061.48"/>
    <n v="211.5"/>
    <n v="7733.509344000001"/>
    <n v="0"/>
    <n v="0"/>
    <n v="211.5"/>
    <n v="7733.509344000001"/>
    <n v="4061.48"/>
    <n v="0"/>
    <n v="0"/>
    <n v="3672.0293440000009"/>
    <n v="0"/>
    <n v="0"/>
    <n v="0"/>
    <n v="4061"/>
    <n v="0"/>
    <n v="0"/>
    <n v="0"/>
    <s v="Release1"/>
    <n v="424.19902222222237"/>
    <n v="16.071428571428569"/>
    <n v="-0.90411114766045897"/>
    <n v="1"/>
    <m/>
    <s v="Teghra"/>
    <m/>
    <n v="0"/>
  </r>
  <r>
    <s v="Munger"/>
    <s v="10-16 Apr"/>
    <n v="1008"/>
    <s v="Teghra"/>
    <x v="271"/>
    <s v="GOMUKH CHIRANJIVIPUR"/>
    <s v="MPG"/>
    <s v="Direct"/>
    <n v="50.749999999999993"/>
    <n v="1591.39"/>
    <n v="56.800000000000004"/>
    <n v="1835.0129371860003"/>
    <n v="4"/>
    <n v="125.47629963000001"/>
    <n v="60.800000000000004"/>
    <n v="1960.4892368160004"/>
    <n v="1591.39"/>
    <n v="0"/>
    <n v="125.47629963000001"/>
    <n v="369.09923681600026"/>
    <n v="0"/>
    <n v="500"/>
    <n v="0"/>
    <n v="966"/>
    <n v="0"/>
    <n v="0"/>
    <n v="0"/>
    <n v="0"/>
    <n v="407.1763379310346"/>
    <n v="7.2499999999999991"/>
    <n v="-0.23193512389546261"/>
    <n v="2"/>
    <m/>
    <s v="Teghra"/>
    <m/>
    <n v="500"/>
  </r>
  <r>
    <s v="Munger"/>
    <s v="10-16 Apr"/>
    <n v="1008"/>
    <s v="Teghra"/>
    <x v="272"/>
    <s v="RAJ BHARDWAJ"/>
    <s v="vlc"/>
    <s v="Indirect"/>
    <n v="124.15"/>
    <n v="4333.91"/>
    <n v="0"/>
    <n v="0"/>
    <n v="0"/>
    <n v="0"/>
    <n v="0"/>
    <n v="0"/>
    <n v="4333.91"/>
    <n v="0"/>
    <n v="0"/>
    <n v="0"/>
    <n v="0"/>
    <n v="0"/>
    <n v="0"/>
    <n v="0"/>
    <n v="0"/>
    <n v="4333.91"/>
    <n v="0"/>
    <n v="0"/>
    <n v="402.04302432541272"/>
    <n v="17.735714285714288"/>
    <n v="0"/>
    <n v="0"/>
    <m/>
    <s v="Teghra"/>
    <m/>
    <n v="0"/>
  </r>
  <r>
    <s v="Munger"/>
    <s v="10-16 Apr"/>
    <n v="1008"/>
    <s v="Teghra"/>
    <x v="273"/>
    <s v="Gomukh Amarpur"/>
    <s v="MPG"/>
    <s v="Direct"/>
    <n v="888.34999999999991"/>
    <n v="33197.240000000005"/>
    <n v="893.6099999999999"/>
    <n v="32839.476254383197"/>
    <n v="2.5700000000000003"/>
    <n v="99.720329385600024"/>
    <n v="896.18"/>
    <n v="32939.196583768797"/>
    <n v="32939.196583768797"/>
    <n v="0"/>
    <n v="99.720329385600024"/>
    <n v="0"/>
    <n v="0"/>
    <n v="0"/>
    <n v="0"/>
    <n v="32838"/>
    <n v="0"/>
    <n v="0"/>
    <n v="260"/>
    <n v="0"/>
    <n v="0"/>
    <n v="0"/>
    <n v="7.7730382474931201E-3"/>
    <n v="6"/>
    <m/>
    <s v="Teghra"/>
    <m/>
    <n v="0"/>
  </r>
  <r>
    <s v="Munger"/>
    <s v="10-16 Apr"/>
    <n v="1008"/>
    <s v="Teghra"/>
    <x v="274"/>
    <s v="Prashant Kumar"/>
    <s v="vlc"/>
    <s v="Indirect"/>
    <n v="1285.3"/>
    <n v="47592.020000000004"/>
    <n v="0"/>
    <n v="0"/>
    <n v="0"/>
    <n v="0"/>
    <n v="0"/>
    <n v="0"/>
    <n v="47592.020000000004"/>
    <n v="0"/>
    <n v="0"/>
    <n v="0"/>
    <n v="0"/>
    <n v="0"/>
    <n v="0"/>
    <n v="0"/>
    <n v="0"/>
    <n v="47592.020000000004"/>
    <n v="0"/>
    <n v="0"/>
    <n v="0"/>
    <n v="0"/>
    <n v="0"/>
    <n v="0"/>
    <m/>
    <s v="Teghra"/>
    <m/>
    <n v="0"/>
  </r>
  <r>
    <s v="Munger"/>
    <s v="10-16 Apr"/>
    <n v="1008"/>
    <s v="Teghra"/>
    <x v="275"/>
    <s v="Gomukh Barauni 3"/>
    <s v="MPG"/>
    <s v="Direct"/>
    <n v="104.45"/>
    <n v="3939.0899999999997"/>
    <n v="104"/>
    <n v="3926.3219424000008"/>
    <n v="0"/>
    <n v="0"/>
    <n v="104"/>
    <n v="3926.3219424000008"/>
    <n v="3926.3219424000008"/>
    <n v="0"/>
    <n v="0"/>
    <n v="0"/>
    <n v="0"/>
    <n v="500"/>
    <n v="0"/>
    <n v="3426"/>
    <n v="0"/>
    <n v="0"/>
    <n v="13"/>
    <n v="0"/>
    <n v="449.19579693633307"/>
    <n v="14.921428571428573"/>
    <n v="3.2413723981932082E-3"/>
    <n v="1"/>
    <m/>
    <s v="Teghra"/>
    <m/>
    <n v="500"/>
  </r>
  <r>
    <s v="Munger"/>
    <s v="10-16 Apr"/>
    <n v="1008"/>
    <s v="Teghra"/>
    <x v="276"/>
    <s v="CHANDAN YADAV"/>
    <s v="vlc"/>
    <s v="Indirect"/>
    <n v="330.29999999999995"/>
    <n v="11436.47"/>
    <n v="0"/>
    <n v="0"/>
    <n v="0"/>
    <n v="0"/>
    <n v="0"/>
    <n v="0"/>
    <n v="11436.47"/>
    <n v="0"/>
    <n v="0"/>
    <n v="0"/>
    <n v="0"/>
    <n v="0"/>
    <n v="0"/>
    <n v="0"/>
    <n v="0"/>
    <n v="11436.47"/>
    <n v="0"/>
    <n v="0"/>
    <n v="256.01350039358169"/>
    <n v="47.185714285714276"/>
    <n v="0"/>
    <n v="0"/>
    <m/>
    <s v="Teghra"/>
    <m/>
    <n v="0"/>
  </r>
  <r>
    <s v="Munger"/>
    <s v="10-16 Apr"/>
    <n v="1008"/>
    <s v="Teghra"/>
    <x v="277"/>
    <s v="DINESH YADAV"/>
    <s v="vlc"/>
    <s v="Indirect"/>
    <n v="541.5"/>
    <n v="20148.949999999997"/>
    <n v="0"/>
    <n v="0"/>
    <n v="0"/>
    <n v="0"/>
    <n v="0"/>
    <n v="0"/>
    <n v="20148.949999999997"/>
    <n v="0"/>
    <n v="0"/>
    <n v="0"/>
    <n v="0"/>
    <n v="0"/>
    <n v="0"/>
    <n v="0"/>
    <n v="0"/>
    <n v="20148.949999999997"/>
    <n v="0"/>
    <n v="0"/>
    <n v="117.95414866112648"/>
    <n v="77.357142857142861"/>
    <n v="0"/>
    <n v="0"/>
    <m/>
    <s v="Teghra"/>
    <m/>
    <n v="0"/>
  </r>
  <r>
    <s v="Munger"/>
    <s v="10-16 Apr"/>
    <n v="1008"/>
    <s v="Teghra"/>
    <x v="278"/>
    <s v="ANITA DEVI"/>
    <s v="vlc"/>
    <s v="Indirect"/>
    <n v="71.800000000000011"/>
    <n v="2842.21"/>
    <n v="0"/>
    <n v="0"/>
    <n v="0"/>
    <n v="0"/>
    <n v="0"/>
    <n v="0"/>
    <n v="2842.21"/>
    <n v="0"/>
    <n v="0"/>
    <n v="0"/>
    <n v="0"/>
    <n v="0"/>
    <n v="0"/>
    <n v="0"/>
    <n v="0"/>
    <n v="2842.21"/>
    <n v="0"/>
    <n v="0"/>
    <n v="497.34716490250702"/>
    <n v="10.257142857142858"/>
    <n v="0"/>
    <n v="0"/>
    <m/>
    <s v="Teghra"/>
    <m/>
    <n v="0"/>
  </r>
  <r>
    <s v="Munger"/>
    <s v="10-16 Apr"/>
    <n v="1008"/>
    <s v="Teghra"/>
    <x v="279"/>
    <s v="GOMUKH FATEHA SALEMPUR"/>
    <s v="MPG"/>
    <s v="Direct"/>
    <n v="204.84999999999997"/>
    <n v="7278.5999999999995"/>
    <n v="224.8"/>
    <n v="8000.2927263600013"/>
    <n v="6.5"/>
    <n v="230.94118079999998"/>
    <n v="231.3"/>
    <n v="8231.2339071600018"/>
    <n v="7278.5999999999995"/>
    <n v="0"/>
    <n v="230.94118079999998"/>
    <n v="952.63390716000231"/>
    <n v="0"/>
    <n v="0"/>
    <n v="0"/>
    <n v="7048"/>
    <n v="0"/>
    <n v="0"/>
    <n v="0"/>
    <n v="0"/>
    <n v="351.86710178179163"/>
    <n v="29.264285714285709"/>
    <n v="-0.13088147544308004"/>
    <n v="2"/>
    <m/>
    <s v="Teghra"/>
    <m/>
    <n v="0"/>
  </r>
  <r>
    <s v="Munger"/>
    <s v="10-16 Apr"/>
    <n v="1008"/>
    <s v="Teghra"/>
    <x v="280"/>
    <s v="GOMUKH GEHUNI 2"/>
    <s v="MPG"/>
    <s v="Direct"/>
    <n v="467.89999999999992"/>
    <n v="17673.010000000002"/>
    <n v="464.05000000000007"/>
    <n v="17881.487423201161"/>
    <n v="27.080000000000002"/>
    <n v="1147.9849934097601"/>
    <n v="491.13000000000005"/>
    <n v="19029.472416610923"/>
    <n v="17673.010000000002"/>
    <n v="0"/>
    <n v="1147.9849934097601"/>
    <n v="1356.4624166109206"/>
    <n v="0"/>
    <n v="500"/>
    <n v="0"/>
    <n v="16025"/>
    <n v="0"/>
    <n v="0"/>
    <n v="0"/>
    <n v="0"/>
    <n v="175.33257623423822"/>
    <n v="66.842857142857127"/>
    <n v="-7.6753332715305461E-2"/>
    <n v="3"/>
    <m/>
    <s v="Teghra"/>
    <m/>
    <n v="500"/>
  </r>
  <r>
    <s v="Munger"/>
    <s v="10-16 Apr"/>
    <n v="1008"/>
    <s v="Teghra"/>
    <x v="281"/>
    <s v="GOMUKH MALHIPUR"/>
    <s v="MPG"/>
    <s v="Direct"/>
    <n v="1518.7"/>
    <n v="55927.53"/>
    <n v="1542.67"/>
    <n v="56445.866920693814"/>
    <n v="3"/>
    <n v="109.01539063800001"/>
    <n v="1545.67"/>
    <n v="56554.882311331814"/>
    <n v="55927.53"/>
    <n v="0"/>
    <n v="109.01539063800001"/>
    <n v="627.35231133181514"/>
    <n v="0"/>
    <n v="0"/>
    <n v="0"/>
    <n v="55819"/>
    <n v="0"/>
    <n v="0"/>
    <n v="0"/>
    <s v="Release1"/>
    <n v="0"/>
    <n v="0"/>
    <n v="-1.1217236150636639E-2"/>
    <n v="8"/>
    <m/>
    <s v="Teghra"/>
    <m/>
    <n v="0"/>
  </r>
  <r>
    <s v="Munger"/>
    <s v="10-16 Apr"/>
    <n v="1008"/>
    <s v="Teghra"/>
    <x v="282"/>
    <s v="Bihat - Sonu Kumar"/>
    <s v="vlc"/>
    <s v="Indirect"/>
    <n v="614.29999999999995"/>
    <n v="20220.260000000002"/>
    <n v="0"/>
    <n v="0"/>
    <n v="0"/>
    <n v="0"/>
    <n v="0"/>
    <n v="0"/>
    <n v="20220.260000000002"/>
    <n v="0"/>
    <n v="0"/>
    <n v="0"/>
    <n v="0"/>
    <n v="0"/>
    <n v="0"/>
    <n v="0"/>
    <n v="0"/>
    <n v="20220.260000000002"/>
    <n v="0"/>
    <n v="0"/>
    <n v="56.417915741494419"/>
    <n v="87.757142857142853"/>
    <n v="0"/>
    <n v="0"/>
    <m/>
    <s v="Teghra"/>
    <m/>
    <n v="0"/>
  </r>
  <r>
    <s v="Munger"/>
    <s v="10-16 Apr"/>
    <n v="1008"/>
    <s v="Teghra"/>
    <x v="283"/>
    <s v="Rasalpur - Durgesh Kumar"/>
    <s v="vlc"/>
    <s v="Indirect"/>
    <n v="238.70000000000005"/>
    <n v="8000.93"/>
    <n v="0"/>
    <n v="0"/>
    <n v="0"/>
    <n v="0"/>
    <n v="0"/>
    <n v="0"/>
    <n v="8000.93"/>
    <n v="0"/>
    <n v="0"/>
    <n v="0"/>
    <n v="0"/>
    <n v="0"/>
    <n v="0"/>
    <n v="0"/>
    <n v="0"/>
    <n v="8000.93"/>
    <n v="0"/>
    <n v="0"/>
    <n v="309.24415659824041"/>
    <n v="34.100000000000009"/>
    <n v="0"/>
    <n v="0"/>
    <m/>
    <s v="Teghra"/>
    <m/>
    <n v="0"/>
  </r>
  <r>
    <s v="Munger"/>
    <s v="10-16 Apr"/>
    <n v="1008"/>
    <s v="Teghra"/>
    <x v="284"/>
    <s v="Barauni Bariyarpur"/>
    <s v="MPG"/>
    <s v="Direct"/>
    <n v="734.44999999999993"/>
    <n v="26103.82"/>
    <n v="734"/>
    <n v="26160.573859200005"/>
    <n v="0"/>
    <n v="0"/>
    <n v="734"/>
    <n v="26160.573859200005"/>
    <n v="26103.82"/>
    <n v="0"/>
    <n v="0"/>
    <n v="56.753859200005536"/>
    <n v="0"/>
    <n v="0"/>
    <n v="0"/>
    <n v="26104"/>
    <n v="0"/>
    <n v="0"/>
    <n v="0"/>
    <n v="0"/>
    <n v="0"/>
    <n v="0"/>
    <n v="-2.1741591537179439E-3"/>
    <n v="1"/>
    <m/>
    <s v="Teghra"/>
    <m/>
    <n v="0"/>
  </r>
  <r>
    <s v="Munger"/>
    <s v="10-16 Apr"/>
    <n v="1008"/>
    <s v="Teghra"/>
    <x v="285"/>
    <s v="Jaynagar"/>
    <s v="MPG"/>
    <s v="Direct"/>
    <n v="140.94999999999999"/>
    <n v="5215.6499999999996"/>
    <n v="140"/>
    <n v="5229.9878399999998"/>
    <n v="0"/>
    <n v="0"/>
    <n v="140"/>
    <n v="5229.9878399999998"/>
    <n v="5215.6499999999996"/>
    <n v="0"/>
    <n v="0"/>
    <n v="14.337840000000142"/>
    <n v="0"/>
    <n v="500"/>
    <n v="0"/>
    <n v="4716"/>
    <n v="0"/>
    <n v="0"/>
    <n v="0"/>
    <s v="Release1"/>
    <n v="413.73666300106419"/>
    <n v="20.135714285714283"/>
    <n v="-2.7490034799114477E-3"/>
    <n v="1"/>
    <m/>
    <s v="Teghra"/>
    <m/>
    <n v="500"/>
  </r>
  <r>
    <s v="Munger"/>
    <s v="10-16 Apr"/>
    <n v="1008"/>
    <s v="Teghra"/>
    <x v="286"/>
    <s v="Fateha - Anil Yadav"/>
    <s v="vlc"/>
    <s v="Indirect"/>
    <n v="751.69999999999993"/>
    <n v="25804.44"/>
    <n v="0"/>
    <n v="0"/>
    <n v="0"/>
    <n v="0"/>
    <n v="0"/>
    <n v="0"/>
    <n v="25804.44"/>
    <n v="0"/>
    <n v="0"/>
    <n v="0"/>
    <n v="0"/>
    <n v="0"/>
    <n v="0"/>
    <n v="0"/>
    <n v="0"/>
    <n v="25804.44"/>
    <n v="0"/>
    <n v="0"/>
    <n v="0"/>
    <n v="0"/>
    <n v="0"/>
    <n v="0"/>
    <m/>
    <s v="Teghra"/>
    <m/>
    <n v="0"/>
  </r>
  <r>
    <s v="Munger"/>
    <s v="10-16 Apr"/>
    <n v="1008"/>
    <s v="Teghra"/>
    <x v="287"/>
    <s v="Bihat - Chakballi"/>
    <s v="MPG"/>
    <s v="Direct"/>
    <n v="3390.9500000000003"/>
    <n v="111711.38"/>
    <n v="3389"/>
    <n v="114524.66678400003"/>
    <n v="0"/>
    <n v="0"/>
    <n v="3389"/>
    <n v="114524.66678400003"/>
    <n v="111711.38"/>
    <n v="0"/>
    <n v="0"/>
    <n v="2813.2867840000254"/>
    <n v="0"/>
    <n v="0"/>
    <n v="0"/>
    <n v="111711"/>
    <n v="0"/>
    <n v="0"/>
    <n v="0"/>
    <n v="0"/>
    <n v="0"/>
    <n v="0"/>
    <n v="-2.5183529054963114E-2"/>
    <n v="2"/>
    <m/>
    <s v="Teghra"/>
    <m/>
    <n v="0"/>
  </r>
  <r>
    <s v="Munger"/>
    <s v="10-16 Apr"/>
    <n v="1008"/>
    <s v="Teghra"/>
    <x v="288"/>
    <s v="Sibutol- Naya Tola"/>
    <s v="MPG"/>
    <s v="Direct"/>
    <n v="64.3"/>
    <n v="2157.79"/>
    <n v="107.96"/>
    <n v="4166.878167936"/>
    <n v="0"/>
    <n v="0"/>
    <n v="107.96"/>
    <n v="4166.878167936"/>
    <n v="2157.79"/>
    <n v="0"/>
    <n v="0"/>
    <n v="2009.088167936"/>
    <n v="0"/>
    <n v="0"/>
    <n v="0"/>
    <n v="2158"/>
    <n v="0"/>
    <n v="0"/>
    <n v="0"/>
    <n v="0"/>
    <n v="426.6585079315708"/>
    <n v="9.1857142857142851"/>
    <n v="-0.93108605004935607"/>
    <n v="2"/>
    <m/>
    <s v="Teghra"/>
    <m/>
    <n v="0"/>
  </r>
  <r>
    <s v="Munger"/>
    <s v="10-16 Apr"/>
    <n v="1008"/>
    <s v="Teghra"/>
    <x v="289"/>
    <s v="Rasalpur"/>
    <s v="vlc"/>
    <s v="Indirect"/>
    <n v="952.3"/>
    <n v="32670.639999999992"/>
    <n v="0"/>
    <n v="0"/>
    <n v="0"/>
    <n v="0"/>
    <n v="0"/>
    <n v="0"/>
    <n v="32670.639999999992"/>
    <n v="0"/>
    <n v="0"/>
    <n v="0"/>
    <n v="0"/>
    <n v="0"/>
    <n v="0"/>
    <n v="0"/>
    <n v="0"/>
    <n v="32670.639999999992"/>
    <n v="0"/>
    <n v="0"/>
    <n v="0"/>
    <n v="0"/>
    <n v="0"/>
    <n v="0"/>
    <m/>
    <s v="Teghra"/>
    <m/>
    <n v="0"/>
  </r>
  <r>
    <s v="Munger"/>
    <s v="10-16 Apr"/>
    <n v="1008"/>
    <s v="Teghra"/>
    <x v="290"/>
    <s v="Rudauli"/>
    <s v="vlc"/>
    <s v="Indirect"/>
    <n v="128.54999999999998"/>
    <n v="4830.829999999999"/>
    <n v="0"/>
    <n v="0"/>
    <n v="0"/>
    <n v="0"/>
    <n v="0"/>
    <n v="0"/>
    <n v="4830.829999999999"/>
    <n v="0"/>
    <n v="0"/>
    <n v="0"/>
    <n v="0"/>
    <n v="0"/>
    <n v="0"/>
    <n v="0"/>
    <n v="0"/>
    <n v="4830.829999999999"/>
    <n v="0"/>
    <n v="0"/>
    <n v="429.49479634383511"/>
    <n v="18.36428571428571"/>
    <n v="0"/>
    <n v="0"/>
    <m/>
    <s v="Teghra"/>
    <m/>
    <n v="0"/>
  </r>
  <r>
    <s v="Munger"/>
    <s v="10-16 Apr"/>
    <n v="1065"/>
    <s v="Bachhwara BMC"/>
    <x v="291"/>
    <s v="Samsa"/>
    <s v="vlc"/>
    <s v="Indirect"/>
    <n v="1013.3"/>
    <n v="40320.259999999995"/>
    <n v="0"/>
    <n v="0"/>
    <n v="0"/>
    <n v="0"/>
    <n v="0"/>
    <n v="0"/>
    <n v="40320.259999999995"/>
    <n v="0"/>
    <n v="0"/>
    <n v="0"/>
    <n v="0"/>
    <n v="0"/>
    <n v="0"/>
    <n v="0"/>
    <n v="0"/>
    <n v="40320.259999999995"/>
    <n v="0"/>
    <n v="0"/>
    <n v="0"/>
    <n v="0"/>
    <n v="0"/>
    <n v="0"/>
    <m/>
    <s v="Bachhwara BMC"/>
    <m/>
    <n v="0"/>
  </r>
  <r>
    <s v="Munger"/>
    <s v="10-16 Apr"/>
    <n v="1008"/>
    <s v="Teghra"/>
    <x v="292"/>
    <s v="Dahiya"/>
    <s v="vlc"/>
    <s v="Indirect"/>
    <n v="536.29999999999995"/>
    <n v="20392.41"/>
    <n v="0"/>
    <n v="0"/>
    <n v="0"/>
    <n v="0"/>
    <n v="0"/>
    <n v="0"/>
    <n v="20392.41"/>
    <n v="0"/>
    <n v="0"/>
    <n v="0"/>
    <n v="0"/>
    <n v="0"/>
    <n v="0"/>
    <n v="0"/>
    <n v="0"/>
    <n v="20392.41"/>
    <n v="0"/>
    <n v="0"/>
    <n v="124.49142334514265"/>
    <n v="76.614285714285714"/>
    <n v="0"/>
    <n v="0"/>
    <m/>
    <s v="Teghra"/>
    <m/>
    <n v="0"/>
  </r>
  <r>
    <s v="Munger"/>
    <s v="10-16 Apr"/>
    <n v="1008"/>
    <s v="Teghra"/>
    <x v="293"/>
    <s v="Gaura"/>
    <s v="MPG"/>
    <s v="Direct"/>
    <n v="787.79999999999984"/>
    <n v="27817.250000000004"/>
    <n v="786"/>
    <n v="28117.622016000005"/>
    <n v="0"/>
    <n v="0"/>
    <n v="786"/>
    <n v="28117.622016000005"/>
    <n v="27817.250000000004"/>
    <n v="0"/>
    <n v="0"/>
    <n v="300.37201600000117"/>
    <n v="0"/>
    <n v="0"/>
    <n v="0"/>
    <n v="27817"/>
    <n v="0"/>
    <n v="0"/>
    <n v="0"/>
    <n v="0"/>
    <n v="0"/>
    <n v="0"/>
    <n v="-1.0798048549011894E-2"/>
    <n v="1"/>
    <m/>
    <s v="Teghra"/>
    <m/>
    <n v="0"/>
  </r>
  <r>
    <s v="Munger"/>
    <s v="10-16 Apr"/>
    <n v="1008"/>
    <s v="Teghra"/>
    <x v="965"/>
    <s v="Nipania-VLC"/>
    <s v="vlc"/>
    <s v="Indirect"/>
    <n v="195.70000000000002"/>
    <n v="6730.2199999999993"/>
    <n v="0"/>
    <n v="0"/>
    <n v="0"/>
    <n v="0"/>
    <n v="0"/>
    <n v="0"/>
    <n v="6730.2199999999993"/>
    <n v="0"/>
    <n v="0"/>
    <n v="0"/>
    <n v="0"/>
    <n v="0"/>
    <n v="0"/>
    <n v="0"/>
    <n v="0"/>
    <n v="6730.2199999999993"/>
    <n v="0"/>
    <n v="0"/>
    <n v="346.86253919264169"/>
    <n v="27.957142857142859"/>
    <n v="0"/>
    <n v="0"/>
    <m/>
    <s v="Teghra"/>
    <m/>
    <n v="0"/>
  </r>
  <r>
    <s v="Munger"/>
    <s v="10-16 Apr"/>
    <n v="1008"/>
    <s v="Teghra"/>
    <x v="294"/>
    <s v="Mukhtiyarpur"/>
    <s v="MPG"/>
    <s v="Direct"/>
    <n v="888.9"/>
    <n v="31641.040000000001"/>
    <n v="981.08999999999992"/>
    <n v="39343.206827628004"/>
    <n v="0"/>
    <n v="0"/>
    <n v="981.08999999999992"/>
    <n v="39343.206827628004"/>
    <n v="31641.040000000001"/>
    <n v="0"/>
    <n v="0"/>
    <n v="7702.1668276280034"/>
    <n v="6500"/>
    <n v="0"/>
    <n v="0"/>
    <n v="25141"/>
    <n v="0"/>
    <n v="0"/>
    <n v="0"/>
    <n v="0"/>
    <n v="0"/>
    <n v="0"/>
    <n v="-0.24342331439257381"/>
    <n v="3"/>
    <m/>
    <s v="Teghra"/>
    <m/>
    <n v="0"/>
  </r>
  <r>
    <s v="Munger"/>
    <s v="10-16 Apr"/>
    <n v="1008"/>
    <s v="Teghra"/>
    <x v="295"/>
    <s v="Gomukh Rudauli-02"/>
    <s v="MPG"/>
    <s v="Direct"/>
    <n v="599.65"/>
    <n v="22195.98"/>
    <n v="518"/>
    <n v="18586.87933492244"/>
    <n v="83.399999999999991"/>
    <n v="3046.0980446820004"/>
    <n v="601.4"/>
    <n v="21632.977379604439"/>
    <n v="21632.977379604439"/>
    <n v="0"/>
    <n v="0"/>
    <n v="0"/>
    <n v="0"/>
    <n v="0"/>
    <n v="0"/>
    <n v="18588"/>
    <n v="3046"/>
    <n v="0"/>
    <n v="562"/>
    <n v="0"/>
    <n v="74.288888284832836"/>
    <n v="85.664285714285711"/>
    <n v="2.5365071530770906E-2"/>
    <n v="9"/>
    <m/>
    <s v="Teghra"/>
    <m/>
    <n v="0"/>
  </r>
  <r>
    <s v="Munger"/>
    <s v="10-16 Apr"/>
    <n v="1008"/>
    <s v="Teghra"/>
    <x v="296"/>
    <s v="Gomukh Jhamatia"/>
    <s v="MPG"/>
    <s v="Direct"/>
    <n v="493.65"/>
    <n v="18931.3"/>
    <n v="492"/>
    <n v="18834.292540800001"/>
    <n v="0"/>
    <n v="0"/>
    <n v="492"/>
    <n v="18834.292540800001"/>
    <n v="18834.292540800001"/>
    <n v="0"/>
    <n v="0"/>
    <n v="0"/>
    <n v="0"/>
    <n v="0"/>
    <n v="0"/>
    <n v="18834"/>
    <n v="0"/>
    <n v="0"/>
    <n v="97"/>
    <n v="0"/>
    <n v="158.26896606907729"/>
    <n v="70.521428571428572"/>
    <n v="5.1241837169131686E-3"/>
    <n v="1"/>
    <m/>
    <s v="Teghra"/>
    <m/>
    <n v="0"/>
  </r>
  <r>
    <s v="Munger"/>
    <s v="10-16 Apr"/>
    <n v="1008"/>
    <s v="Teghra"/>
    <x v="297"/>
    <s v="Gomukh Puranatol Raichiahi"/>
    <s v="MPG"/>
    <s v="Direct"/>
    <n v="742.69999999999993"/>
    <n v="28154.399999999998"/>
    <n v="741"/>
    <n v="27975.043839600006"/>
    <n v="0"/>
    <n v="0"/>
    <n v="741"/>
    <n v="27975.043839600006"/>
    <n v="27975.043839600006"/>
    <n v="0"/>
    <n v="0"/>
    <n v="0"/>
    <n v="0"/>
    <n v="0"/>
    <n v="0"/>
    <n v="27975"/>
    <n v="0"/>
    <n v="0"/>
    <n v="179"/>
    <n v="0"/>
    <n v="0"/>
    <n v="0"/>
    <n v="6.3704486829764271E-3"/>
    <n v="1"/>
    <m/>
    <s v="Teghra"/>
    <m/>
    <n v="0"/>
  </r>
  <r>
    <s v="Munger"/>
    <s v="10-16 Apr"/>
    <n v="1008"/>
    <s v="Teghra"/>
    <x v="298"/>
    <s v="Bihat-Gududaspur"/>
    <s v="MPG"/>
    <s v="Direct"/>
    <n v="264.09999999999997"/>
    <n v="10293.260000000002"/>
    <n v="263"/>
    <n v="10241.508142800001"/>
    <n v="0"/>
    <n v="0"/>
    <n v="263"/>
    <n v="10241.508142800001"/>
    <n v="10241.508142800001"/>
    <n v="0"/>
    <n v="0"/>
    <n v="0"/>
    <n v="0"/>
    <n v="0"/>
    <n v="0"/>
    <n v="10242"/>
    <n v="0"/>
    <n v="0"/>
    <n v="51"/>
    <n v="0"/>
    <n v="339.78281211662261"/>
    <n v="37.728571428571421"/>
    <n v="5.027742153603504E-3"/>
    <n v="1"/>
    <m/>
    <s v="Teghra"/>
    <m/>
    <n v="0"/>
  </r>
  <r>
    <s v="Munger"/>
    <s v="10-16 Apr"/>
    <n v="1008"/>
    <s v="Teghra"/>
    <x v="299"/>
    <s v="Labharchak-2"/>
    <s v="MPG"/>
    <s v="Direct"/>
    <n v="282.25"/>
    <n v="10487.55"/>
    <n v="281"/>
    <n v="10571.5204452"/>
    <n v="0"/>
    <n v="0"/>
    <n v="281"/>
    <n v="10571.5204452"/>
    <n v="10487.55"/>
    <n v="0"/>
    <n v="0"/>
    <n v="83.97044520000054"/>
    <n v="0"/>
    <n v="0"/>
    <n v="0"/>
    <n v="10488"/>
    <n v="0"/>
    <n v="0"/>
    <n v="0"/>
    <n v="0"/>
    <n v="310.44634278122231"/>
    <n v="40.321428571428569"/>
    <n v="-8.0066788906847219E-3"/>
    <n v="1"/>
    <m/>
    <s v="Teghra"/>
    <m/>
    <n v="0"/>
  </r>
  <r>
    <s v="Munger"/>
    <s v="10-16 Apr"/>
    <n v="1009"/>
    <s v="Halsi"/>
    <x v="300"/>
    <s v="POHE"/>
    <s v="vlc"/>
    <s v="Indirect"/>
    <n v="262.8"/>
    <n v="11087.710000000001"/>
    <n v="0"/>
    <n v="0"/>
    <n v="0"/>
    <n v="0"/>
    <n v="0"/>
    <n v="0"/>
    <n v="11087.710000000001"/>
    <n v="0"/>
    <n v="0"/>
    <n v="0"/>
    <n v="0"/>
    <n v="0"/>
    <n v="0"/>
    <n v="0"/>
    <n v="0"/>
    <n v="11087.710000000001"/>
    <n v="0"/>
    <n v="0"/>
    <n v="368.91528249619483"/>
    <n v="37.542857142857144"/>
    <n v="0"/>
    <n v="0"/>
    <m/>
    <s v="Halsi"/>
    <m/>
    <n v="0"/>
  </r>
  <r>
    <s v="Munger"/>
    <s v="10-16 Apr"/>
    <n v="1009"/>
    <s v="Halsi"/>
    <x v="301"/>
    <s v="AURO"/>
    <s v="MPG"/>
    <s v="Direct"/>
    <n v="1884.6000000000001"/>
    <n v="79787.460000000021"/>
    <n v="1376.3799999999999"/>
    <n v="59982.681245194661"/>
    <n v="509.40000000000003"/>
    <n v="21289.955996126831"/>
    <n v="1885.78"/>
    <n v="81272.637241321499"/>
    <n v="79787.460000000021"/>
    <n v="0"/>
    <n v="470.590462188"/>
    <n v="1485.1772413214785"/>
    <n v="0"/>
    <n v="0"/>
    <n v="0"/>
    <n v="58499"/>
    <n v="20818"/>
    <n v="0"/>
    <n v="0"/>
    <n v="0"/>
    <n v="0"/>
    <n v="0"/>
    <n v="-1.8614168709236743E-2"/>
    <n v="14"/>
    <m/>
    <s v="Halsi"/>
    <m/>
    <n v="0"/>
  </r>
  <r>
    <s v="Munger"/>
    <s v="10-16 Apr"/>
    <n v="1009"/>
    <s v="Halsi"/>
    <x v="302"/>
    <s v="PARSHAMA"/>
    <s v="MPG"/>
    <s v="Direct"/>
    <n v="164.5"/>
    <n v="6105.84"/>
    <n v="164"/>
    <n v="6354.0539354305001"/>
    <n v="0.7"/>
    <n v="26.123553720000004"/>
    <n v="164.7"/>
    <n v="6380.1774891505002"/>
    <n v="6105.84"/>
    <n v="0"/>
    <n v="26.123553720000004"/>
    <n v="274.33748915050001"/>
    <n v="0"/>
    <n v="0"/>
    <n v="0"/>
    <n v="6080"/>
    <n v="0"/>
    <n v="0"/>
    <n v="0"/>
    <n v="0"/>
    <n v="397.52915744680854"/>
    <n v="23.5"/>
    <n v="-4.493034359735925E-2"/>
    <n v="4"/>
    <m/>
    <s v="Halsi"/>
    <m/>
    <n v="0"/>
  </r>
  <r>
    <s v="Munger"/>
    <s v="10-16 Apr"/>
    <n v="1009"/>
    <s v="Halsi"/>
    <x v="303"/>
    <s v="PRATAPUR 2"/>
    <s v="vlc"/>
    <s v="Indirect"/>
    <n v="156.1"/>
    <n v="7050.8499999999995"/>
    <n v="0"/>
    <n v="0"/>
    <n v="0"/>
    <n v="0"/>
    <n v="0"/>
    <n v="0"/>
    <n v="7050.8499999999995"/>
    <n v="0"/>
    <n v="0"/>
    <n v="0"/>
    <n v="0"/>
    <n v="0"/>
    <n v="0"/>
    <n v="0"/>
    <n v="0"/>
    <n v="7050.8499999999995"/>
    <n v="0"/>
    <n v="0"/>
    <n v="491.34622869955149"/>
    <n v="22.3"/>
    <n v="0"/>
    <n v="0"/>
    <m/>
    <s v="Halsi"/>
    <m/>
    <n v="0"/>
  </r>
  <r>
    <s v="Munger"/>
    <s v="10-16 Apr"/>
    <n v="1009"/>
    <s v="Halsi"/>
    <x v="304"/>
    <s v="BALLOPUR"/>
    <s v="MPG"/>
    <s v="Direct"/>
    <n v="1289.8999999999999"/>
    <n v="50114.14"/>
    <n v="1248"/>
    <n v="50076.522549355301"/>
    <n v="0"/>
    <n v="0"/>
    <n v="1248"/>
    <n v="50076.522549355301"/>
    <n v="50076.522549355301"/>
    <n v="0"/>
    <n v="0"/>
    <n v="0"/>
    <n v="0"/>
    <n v="0"/>
    <n v="0"/>
    <n v="50078"/>
    <n v="0"/>
    <n v="0"/>
    <n v="36"/>
    <n v="0"/>
    <n v="0"/>
    <n v="0"/>
    <n v="7.5063546226072507E-4"/>
    <n v="9"/>
    <m/>
    <s v="Halsi"/>
    <m/>
    <n v="0"/>
  </r>
  <r>
    <s v="Munger"/>
    <s v="10-16 Apr"/>
    <n v="1009"/>
    <s v="Halsi"/>
    <x v="305"/>
    <s v="KHAIRMA"/>
    <s v="MPG"/>
    <s v="Direct"/>
    <n v="444.1"/>
    <n v="15027.66"/>
    <n v="455.79999999999995"/>
    <n v="16378.663130280003"/>
    <n v="0"/>
    <n v="0"/>
    <n v="455.79999999999995"/>
    <n v="16378.663130280003"/>
    <n v="15027.66"/>
    <n v="0"/>
    <n v="0"/>
    <n v="1351.0031302800035"/>
    <n v="0"/>
    <n v="0"/>
    <n v="0"/>
    <n v="15028"/>
    <n v="0"/>
    <n v="0"/>
    <n v="0"/>
    <n v="0"/>
    <n v="173.18523728889886"/>
    <n v="63.442857142857143"/>
    <n v="-8.9901097727790188E-2"/>
    <n v="1"/>
    <m/>
    <s v="Halsi"/>
    <m/>
    <n v="0"/>
  </r>
  <r>
    <s v="Munger"/>
    <s v="10-16 Apr"/>
    <n v="1009"/>
    <s v="Halsi"/>
    <x v="306"/>
    <s v="MAHASONI"/>
    <s v="MPG"/>
    <s v="Direct"/>
    <n v="864.4"/>
    <n v="32787.47"/>
    <n v="876.4"/>
    <n v="32813.373339603051"/>
    <n v="8.4"/>
    <n v="314.3774474280001"/>
    <n v="884.8"/>
    <n v="33127.750787031051"/>
    <n v="32787.47"/>
    <n v="0"/>
    <n v="314.3774474280001"/>
    <n v="340.28078703104984"/>
    <n v="0"/>
    <n v="0"/>
    <n v="0"/>
    <n v="32473"/>
    <n v="0"/>
    <n v="0"/>
    <n v="0"/>
    <n v="0"/>
    <n v="0"/>
    <n v="0"/>
    <n v="-1.037837890605923E-2"/>
    <n v="27"/>
    <m/>
    <s v="Halsi"/>
    <m/>
    <n v="0"/>
  </r>
  <r>
    <s v="Munger"/>
    <s v="10-16 Apr"/>
    <n v="1009"/>
    <s v="Halsi"/>
    <x v="307"/>
    <s v="SONDHI"/>
    <s v="MPG"/>
    <s v="Direct"/>
    <n v="498.59999999999997"/>
    <n v="21473.409999999993"/>
    <n v="492.79999999999995"/>
    <n v="20665.952068813305"/>
    <n v="5.0999999999999996"/>
    <n v="214.96758624000003"/>
    <n v="497.9"/>
    <n v="20880.919655053305"/>
    <n v="20880.919655053305"/>
    <n v="0"/>
    <n v="214.96758624000003"/>
    <n v="0"/>
    <n v="0"/>
    <n v="0"/>
    <n v="0"/>
    <n v="20667"/>
    <n v="0"/>
    <n v="0"/>
    <n v="591"/>
    <n v="0"/>
    <n v="173.47552242278377"/>
    <n v="71.228571428571428"/>
    <n v="2.7591814478775734E-2"/>
    <n v="11"/>
    <m/>
    <s v="Halsi"/>
    <m/>
    <n v="0"/>
  </r>
  <r>
    <s v="Munger"/>
    <s v="10-16 Apr"/>
    <n v="1009"/>
    <s v="Halsi"/>
    <x v="308"/>
    <s v="BELDARAYA"/>
    <s v="vlc"/>
    <s v="Indirect"/>
    <n v="600"/>
    <n v="22130.5"/>
    <n v="0"/>
    <n v="0"/>
    <n v="0"/>
    <n v="0"/>
    <n v="0"/>
    <n v="0"/>
    <n v="22130.5"/>
    <n v="0"/>
    <n v="0"/>
    <n v="0"/>
    <n v="0"/>
    <n v="0"/>
    <n v="0"/>
    <n v="0"/>
    <n v="0"/>
    <n v="22130.5"/>
    <n v="0"/>
    <n v="0"/>
    <n v="73.768333333333374"/>
    <n v="85.714285714285708"/>
    <n v="0"/>
    <n v="0"/>
    <m/>
    <s v="Halsi"/>
    <m/>
    <n v="0"/>
  </r>
  <r>
    <s v="Munger"/>
    <s v="10-16 Apr"/>
    <n v="1009"/>
    <s v="Halsi"/>
    <x v="309"/>
    <s v="Gomukh ID Aure-2"/>
    <s v="vlc"/>
    <s v="Indirect"/>
    <n v="1000"/>
    <n v="36901.5"/>
    <n v="0"/>
    <n v="0"/>
    <n v="0"/>
    <n v="0"/>
    <n v="0"/>
    <n v="0"/>
    <n v="36901.5"/>
    <n v="0"/>
    <n v="0"/>
    <n v="0"/>
    <n v="0"/>
    <n v="0"/>
    <n v="0"/>
    <n v="0"/>
    <n v="0"/>
    <n v="36901.5"/>
    <n v="0"/>
    <n v="0"/>
    <n v="0"/>
    <n v="0"/>
    <n v="0"/>
    <n v="0"/>
    <m/>
    <s v="Halsi"/>
    <m/>
    <n v="0"/>
  </r>
  <r>
    <s v="Munger"/>
    <s v="10-16 Apr"/>
    <n v="1009"/>
    <s v="Halsi"/>
    <x v="310"/>
    <s v="Gomukh Karma"/>
    <s v="vlc"/>
    <s v="Indirect"/>
    <n v="802.9"/>
    <n v="31736.089999999997"/>
    <n v="0"/>
    <n v="0"/>
    <n v="0"/>
    <n v="0"/>
    <n v="0"/>
    <n v="0"/>
    <n v="31736.089999999997"/>
    <n v="0"/>
    <n v="0"/>
    <n v="0"/>
    <n v="0"/>
    <n v="0"/>
    <n v="0"/>
    <n v="0"/>
    <n v="0"/>
    <n v="31736.089999999997"/>
    <n v="0"/>
    <n v="0"/>
    <n v="0"/>
    <n v="0"/>
    <n v="0"/>
    <n v="0"/>
    <m/>
    <s v="Halsi"/>
    <m/>
    <n v="0"/>
  </r>
  <r>
    <s v="Munger"/>
    <s v="10-16 Apr"/>
    <n v="1009"/>
    <s v="Halsi"/>
    <x v="311"/>
    <s v="GOMUKH UKSI"/>
    <s v="vlc"/>
    <s v="Indirect"/>
    <n v="435.40000000000003"/>
    <n v="17416.13"/>
    <n v="0"/>
    <n v="0"/>
    <n v="0"/>
    <n v="0"/>
    <n v="0"/>
    <n v="0"/>
    <n v="17416.13"/>
    <n v="0"/>
    <n v="0"/>
    <n v="0"/>
    <n v="0"/>
    <n v="0"/>
    <n v="0"/>
    <n v="0"/>
    <n v="0"/>
    <n v="17416.13"/>
    <n v="0"/>
    <n v="0"/>
    <n v="211.68158006430866"/>
    <n v="62.2"/>
    <n v="0"/>
    <n v="0"/>
    <m/>
    <s v="Halsi"/>
    <m/>
    <n v="0"/>
  </r>
  <r>
    <s v="Munger"/>
    <s v="10-16 Apr"/>
    <n v="1009"/>
    <s v="Halsi"/>
    <x v="312"/>
    <s v="Gomukh ID Halsi"/>
    <s v="vlc"/>
    <s v="Indirect"/>
    <n v="3944.3999999999996"/>
    <n v="134997.16"/>
    <n v="0"/>
    <n v="0"/>
    <n v="0"/>
    <n v="0"/>
    <n v="0"/>
    <n v="0"/>
    <n v="134997.16"/>
    <n v="0"/>
    <n v="0"/>
    <n v="0"/>
    <n v="0"/>
    <n v="0"/>
    <n v="0"/>
    <n v="0"/>
    <n v="0"/>
    <n v="134997.16"/>
    <n v="0"/>
    <n v="0"/>
    <n v="0"/>
    <n v="0"/>
    <n v="0"/>
    <n v="0"/>
    <m/>
    <s v="Halsi"/>
    <m/>
    <n v="0"/>
  </r>
  <r>
    <s v="Munger"/>
    <s v="10-16 Apr"/>
    <n v="1009"/>
    <s v="Halsi"/>
    <x v="313"/>
    <s v="Gomukh ID Lalpur"/>
    <s v="vlc"/>
    <s v="Indirect"/>
    <n v="334.5"/>
    <n v="12291.16"/>
    <n v="0"/>
    <n v="0"/>
    <n v="0"/>
    <n v="0"/>
    <n v="0"/>
    <n v="0"/>
    <n v="12291.16"/>
    <n v="0"/>
    <n v="0"/>
    <n v="0"/>
    <n v="0"/>
    <n v="0"/>
    <n v="0"/>
    <n v="0"/>
    <n v="0"/>
    <n v="12291.16"/>
    <n v="0"/>
    <n v="0"/>
    <n v="268.60502122570995"/>
    <n v="47.785714285714285"/>
    <n v="0"/>
    <n v="0"/>
    <m/>
    <s v="Halsi"/>
    <m/>
    <n v="0"/>
  </r>
  <r>
    <s v="Munger"/>
    <s v="10-16 Apr"/>
    <n v="1009"/>
    <s v="Halsi"/>
    <x v="314"/>
    <s v="KHURIYARI"/>
    <s v="MPG"/>
    <s v="Direct"/>
    <n v="695.8"/>
    <n v="26793.5"/>
    <n v="866.1"/>
    <n v="29793.785049666003"/>
    <n v="1.9999999999999998"/>
    <n v="70.60363635600001"/>
    <n v="868.1"/>
    <n v="29864.388686022005"/>
    <n v="26793.5"/>
    <n v="0"/>
    <n v="70.60363635600001"/>
    <n v="3070.8886860220045"/>
    <n v="0"/>
    <n v="0"/>
    <n v="0"/>
    <n v="26723"/>
    <n v="0"/>
    <n v="0"/>
    <n v="0"/>
    <n v="0"/>
    <n v="3.2346277665996439"/>
    <n v="99.399999999999991"/>
    <n v="-0.1146131967089781"/>
    <n v="4"/>
    <m/>
    <s v="Halsi"/>
    <m/>
    <n v="0"/>
  </r>
  <r>
    <s v="Munger"/>
    <s v="10-16 Apr"/>
    <n v="1009"/>
    <s v="Halsi"/>
    <x v="315"/>
    <s v="BISANPUR"/>
    <s v="vlc"/>
    <s v="Indirect"/>
    <n v="554.6"/>
    <n v="21368.639999999999"/>
    <n v="0"/>
    <n v="0"/>
    <n v="0"/>
    <n v="0"/>
    <n v="0"/>
    <n v="0"/>
    <n v="21368.639999999999"/>
    <n v="0"/>
    <n v="0"/>
    <n v="0"/>
    <n v="0"/>
    <n v="0"/>
    <n v="0"/>
    <n v="0"/>
    <n v="0"/>
    <n v="21368.639999999999"/>
    <n v="0"/>
    <n v="0"/>
    <n v="112.04472614496936"/>
    <n v="79.228571428571428"/>
    <n v="0"/>
    <n v="0"/>
    <m/>
    <s v="Halsi"/>
    <m/>
    <n v="0"/>
  </r>
  <r>
    <s v="Munger"/>
    <s v="10-16 Apr"/>
    <n v="1009"/>
    <s v="Halsi"/>
    <x v="316"/>
    <s v="BEHRAMA"/>
    <s v="vlc"/>
    <s v="Indirect"/>
    <n v="398.4"/>
    <n v="13395.419999999998"/>
    <n v="0"/>
    <n v="0"/>
    <n v="0"/>
    <n v="0"/>
    <n v="0"/>
    <n v="0"/>
    <n v="13395.419999999998"/>
    <n v="0"/>
    <n v="0"/>
    <n v="0"/>
    <n v="0"/>
    <n v="0"/>
    <n v="0"/>
    <n v="0"/>
    <n v="0"/>
    <n v="13395.419999999998"/>
    <n v="0"/>
    <n v="0"/>
    <n v="202.81419036144575"/>
    <n v="56.914285714285711"/>
    <n v="0"/>
    <n v="0"/>
    <m/>
    <s v="Halsi"/>
    <m/>
    <n v="0"/>
  </r>
  <r>
    <s v="Munger"/>
    <s v="10-16 Apr"/>
    <n v="1009"/>
    <s v="Halsi"/>
    <x v="317"/>
    <s v="Gomukh ID Mathurapur"/>
    <s v="vlc"/>
    <s v="Indirect"/>
    <n v="895.49999999999989"/>
    <n v="34276.649999999994"/>
    <n v="0"/>
    <n v="0"/>
    <n v="0"/>
    <n v="0"/>
    <n v="0"/>
    <n v="0"/>
    <n v="34276.649999999994"/>
    <n v="0"/>
    <n v="0"/>
    <n v="0"/>
    <n v="0"/>
    <n v="0"/>
    <n v="0"/>
    <n v="0"/>
    <n v="0"/>
    <n v="34276.649999999994"/>
    <n v="0"/>
    <n v="0"/>
    <n v="0"/>
    <n v="0"/>
    <n v="0"/>
    <n v="0"/>
    <m/>
    <s v="Halsi"/>
    <m/>
    <n v="0"/>
  </r>
  <r>
    <s v="Munger"/>
    <s v="10-16 Apr"/>
    <n v="1009"/>
    <s v="Halsi"/>
    <x v="318"/>
    <s v="Gomukh ID Kurha Dih"/>
    <s v="vlc"/>
    <s v="Indirect"/>
    <n v="148.4"/>
    <n v="5433.1100000000006"/>
    <n v="0"/>
    <n v="0"/>
    <n v="0"/>
    <n v="0"/>
    <n v="0"/>
    <n v="0"/>
    <n v="5433.1100000000006"/>
    <n v="0"/>
    <n v="0"/>
    <n v="0"/>
    <n v="0"/>
    <n v="0"/>
    <n v="0"/>
    <n v="0"/>
    <n v="0"/>
    <n v="5433.1100000000006"/>
    <n v="0"/>
    <n v="0"/>
    <n v="403.89534716981137"/>
    <n v="21.2"/>
    <n v="0"/>
    <n v="0"/>
    <m/>
    <s v="Halsi"/>
    <m/>
    <n v="0"/>
  </r>
  <r>
    <s v="Munger"/>
    <s v="10-16 Apr"/>
    <n v="1009"/>
    <s v="Halsi"/>
    <x v="319"/>
    <s v="RAMNAGAR"/>
    <s v="MPG"/>
    <s v="Direct"/>
    <n v="699.30000000000007"/>
    <n v="28796.579999999998"/>
    <n v="699.71999999999991"/>
    <n v="28765.217844483188"/>
    <n v="12.04"/>
    <n v="486.33255316799995"/>
    <n v="711.75999999999988"/>
    <n v="29251.550397651186"/>
    <n v="28796.579999999998"/>
    <n v="0"/>
    <n v="486.33255316799995"/>
    <n v="454.97039765118825"/>
    <n v="0"/>
    <n v="0"/>
    <n v="0"/>
    <n v="28310"/>
    <n v="0"/>
    <n v="0"/>
    <n v="0"/>
    <n v="0"/>
    <n v="0.57650810810807529"/>
    <n v="99.9"/>
    <n v="-1.5799459437585584E-2"/>
    <n v="22"/>
    <m/>
    <s v="Halsi"/>
    <m/>
    <n v="0"/>
  </r>
  <r>
    <s v="Munger"/>
    <s v="10-16 Apr"/>
    <n v="1009"/>
    <s v="Halsi"/>
    <x v="320"/>
    <s v="SANDH MAAF 2"/>
    <s v="MPG"/>
    <s v="Direct"/>
    <n v="1164.3"/>
    <n v="54940.789999999986"/>
    <n v="1155.19"/>
    <n v="57089.12853002573"/>
    <n v="7.07"/>
    <n v="352.16617908513012"/>
    <n v="1162.26"/>
    <n v="57441.294709110858"/>
    <n v="54940.789999999986"/>
    <n v="0"/>
    <n v="352.16617908513012"/>
    <n v="2500.5047091108718"/>
    <n v="0"/>
    <n v="0"/>
    <n v="0"/>
    <n v="54589"/>
    <n v="0"/>
    <n v="0"/>
    <n v="0"/>
    <n v="0"/>
    <n v="0"/>
    <n v="0"/>
    <n v="-4.551271849405282E-2"/>
    <n v="11"/>
    <m/>
    <s v="Halsi"/>
    <m/>
    <n v="0"/>
  </r>
  <r>
    <s v="Munger"/>
    <s v="10-16 Apr"/>
    <n v="1009"/>
    <s v="Halsi"/>
    <x v="321"/>
    <s v="BHATTA                                                                                              "/>
    <s v="MPG"/>
    <s v="Direct"/>
    <n v="840.49999999999989"/>
    <n v="33162.14"/>
    <n v="873.49"/>
    <n v="35438.0028494336"/>
    <n v="5.23"/>
    <n v="207.10835347380004"/>
    <n v="878.72"/>
    <n v="35645.111202907399"/>
    <n v="33162.14"/>
    <n v="0"/>
    <n v="207.10835347380004"/>
    <n v="2482.9712029073999"/>
    <n v="0"/>
    <n v="0"/>
    <n v="0"/>
    <n v="32955"/>
    <n v="0"/>
    <n v="0"/>
    <n v="0"/>
    <n v="0"/>
    <n v="0"/>
    <n v="0"/>
    <n v="-7.4873672293386373E-2"/>
    <n v="5"/>
    <m/>
    <s v="Halsi"/>
    <m/>
    <n v="0"/>
  </r>
  <r>
    <s v="Munger"/>
    <s v="10-16 Apr"/>
    <n v="1009"/>
    <s v="Halsi"/>
    <x v="322"/>
    <s v="TAAL-SHAHARSHA                                                                                      "/>
    <s v="MPG"/>
    <s v="Direct"/>
    <n v="81"/>
    <n v="2929.67"/>
    <n v="310"/>
    <n v="13649.156532000001"/>
    <n v="0"/>
    <n v="0"/>
    <n v="310"/>
    <n v="13649.156532000001"/>
    <n v="2929.67"/>
    <n v="0"/>
    <n v="0"/>
    <n v="10719.486532000001"/>
    <n v="0"/>
    <n v="0"/>
    <n v="0"/>
    <n v="2930"/>
    <n v="0"/>
    <n v="0"/>
    <n v="0"/>
    <n v="0"/>
    <n v="447.76931604938278"/>
    <n v="11.571428571428571"/>
    <n v="-3.658939925657156"/>
    <n v="1"/>
    <m/>
    <s v="Halsi"/>
    <m/>
    <n v="0"/>
  </r>
  <r>
    <s v="Munger"/>
    <s v="10-16 Apr"/>
    <n v="1009"/>
    <s v="Halsi"/>
    <x v="323"/>
    <s v="Dhira"/>
    <s v="MPG"/>
    <s v="Direct"/>
    <n v="406.4"/>
    <n v="18194.669999999998"/>
    <n v="428.90999999999997"/>
    <n v="19223.514452437805"/>
    <n v="5.0699999999999994"/>
    <n v="209.59523996400003"/>
    <n v="433.97999999999996"/>
    <n v="19433.109692401806"/>
    <n v="18194.669999999998"/>
    <n v="0"/>
    <n v="209.59523996400003"/>
    <n v="1238.4396924018074"/>
    <n v="0"/>
    <n v="0"/>
    <n v="0"/>
    <n v="17985"/>
    <n v="0"/>
    <n v="0"/>
    <n v="0"/>
    <s v="Release1"/>
    <n v="262.8914917322835"/>
    <n v="58.057142857142857"/>
    <n v="-6.8066070580109869E-2"/>
    <n v="6"/>
    <m/>
    <s v="Halsi"/>
    <m/>
    <n v="0"/>
  </r>
  <r>
    <s v="Munger"/>
    <s v="10-16 Apr"/>
    <n v="1009"/>
    <s v="Halsi"/>
    <x v="324"/>
    <s v="BARHARA"/>
    <s v="MPG"/>
    <s v="Direct"/>
    <n v="180.29999999999998"/>
    <n v="6276.92"/>
    <n v="215"/>
    <n v="7789.8282279840005"/>
    <n v="0"/>
    <n v="0"/>
    <n v="215"/>
    <n v="7789.8282279840005"/>
    <n v="6276.92"/>
    <n v="0"/>
    <n v="0"/>
    <n v="1512.9082279840004"/>
    <n v="0"/>
    <n v="0"/>
    <n v="0"/>
    <n v="0"/>
    <n v="0"/>
    <n v="0"/>
    <n v="6277"/>
    <s v="Yes"/>
    <n v="361.85416794231844"/>
    <n v="25.757142857142856"/>
    <n v="-0.24102716427547274"/>
    <n v="2"/>
    <m/>
    <s v="Halsi"/>
    <m/>
    <n v="0"/>
  </r>
  <r>
    <s v="Munger"/>
    <s v="10-16 Apr"/>
    <n v="1009"/>
    <s v="Halsi"/>
    <x v="325"/>
    <s v="AZADNAGAR(VLC)"/>
    <s v="vlc"/>
    <s v="Indirect"/>
    <n v="141.4"/>
    <n v="4145.3"/>
    <n v="0"/>
    <n v="0"/>
    <n v="0"/>
    <n v="0"/>
    <n v="0"/>
    <n v="0"/>
    <n v="4145.3"/>
    <n v="0"/>
    <n v="0"/>
    <n v="0"/>
    <n v="0"/>
    <n v="0"/>
    <n v="0"/>
    <n v="0"/>
    <n v="0"/>
    <n v="4145.3"/>
    <n v="0"/>
    <n v="0"/>
    <n v="327.51974257425746"/>
    <n v="20.2"/>
    <n v="0"/>
    <n v="0"/>
    <m/>
    <s v="Halsi"/>
    <m/>
    <n v="0"/>
  </r>
  <r>
    <s v="Munger"/>
    <s v="10-16 Apr"/>
    <n v="1009"/>
    <s v="Halsi"/>
    <x v="326"/>
    <s v="REWAI"/>
    <s v="MPG"/>
    <s v="Direct"/>
    <n v="441.2000000000001"/>
    <n v="17169.12"/>
    <n v="450.49"/>
    <n v="18224.047409438099"/>
    <n v="1.1099999999999999"/>
    <n v="45.792815230800009"/>
    <n v="451.6"/>
    <n v="18269.8402246689"/>
    <n v="17169.12"/>
    <n v="0"/>
    <n v="45.792815230800009"/>
    <n v="1100.7202246689012"/>
    <n v="0"/>
    <n v="0"/>
    <n v="0"/>
    <n v="17123"/>
    <n v="0"/>
    <n v="0"/>
    <n v="0"/>
    <n v="0"/>
    <n v="201.4219517679056"/>
    <n v="63.028571428571446"/>
    <n v="-6.4110462543735577E-2"/>
    <n v="6"/>
    <m/>
    <s v="Halsi"/>
    <m/>
    <n v="0"/>
  </r>
  <r>
    <s v="Munger"/>
    <s v="10-16 Apr"/>
    <n v="1009"/>
    <s v="Halsi"/>
    <x v="327"/>
    <s v="BAKHIYA"/>
    <s v="MPG"/>
    <s v="Direct"/>
    <n v="146.80000000000001"/>
    <n v="6424.4900000000007"/>
    <n v="155.61000000000001"/>
    <n v="6370.7303146187405"/>
    <n v="0.53"/>
    <n v="19.621047600000001"/>
    <n v="156.14000000000001"/>
    <n v="6390.3513622187402"/>
    <n v="6390.3513622187402"/>
    <n v="0"/>
    <n v="19.621047600000001"/>
    <n v="0"/>
    <n v="1013"/>
    <n v="500"/>
    <n v="0"/>
    <n v="4858"/>
    <n v="0"/>
    <n v="0"/>
    <n v="34"/>
    <s v="Release3"/>
    <n v="484.19998201634866"/>
    <n v="20.971428571428572"/>
    <n v="5.3138284566184258E-3"/>
    <n v="5"/>
    <m/>
    <s v="Halsi"/>
    <m/>
    <n v="500"/>
  </r>
  <r>
    <s v="Munger"/>
    <s v="10-16 Apr"/>
    <n v="1009"/>
    <s v="Halsi"/>
    <x v="328"/>
    <s v="MANJOS"/>
    <s v="MPG"/>
    <s v="Direct"/>
    <n v="79.7"/>
    <n v="3188.8699999999994"/>
    <n v="79.699999999999989"/>
    <n v="3197.7836062200004"/>
    <n v="0"/>
    <n v="0"/>
    <n v="79.699999999999989"/>
    <n v="3197.7836062200004"/>
    <n v="3188.8699999999994"/>
    <n v="0"/>
    <n v="0"/>
    <n v="8.9136062200009292"/>
    <n v="0"/>
    <n v="500"/>
    <n v="0"/>
    <n v="2689"/>
    <n v="0"/>
    <n v="0"/>
    <n v="0"/>
    <n v="0"/>
    <n v="496.37542308657453"/>
    <n v="11.385714285714286"/>
    <n v="-2.7952240825122789E-3"/>
    <n v="1"/>
    <m/>
    <s v="Halsi"/>
    <m/>
    <n v="500"/>
  </r>
  <r>
    <s v="Munger"/>
    <s v="10-16 Apr"/>
    <n v="1009"/>
    <s v="Halsi"/>
    <x v="329"/>
    <s v="RATA"/>
    <s v="MPG"/>
    <s v="Direct"/>
    <n v="425.4"/>
    <n v="17433.82"/>
    <n v="427.43"/>
    <n v="16670.758264516509"/>
    <n v="0"/>
    <n v="0"/>
    <n v="427.43"/>
    <n v="16670.758264516509"/>
    <n v="16670.758264516509"/>
    <n v="0"/>
    <n v="0"/>
    <n v="0"/>
    <n v="0"/>
    <n v="0"/>
    <n v="0"/>
    <n v="16671"/>
    <n v="0"/>
    <n v="0"/>
    <n v="763"/>
    <n v="0"/>
    <n v="225.074140667607"/>
    <n v="60.771428571428565"/>
    <n v="4.37690497827493E-2"/>
    <n v="6"/>
    <m/>
    <s v="Halsi"/>
    <m/>
    <n v="0"/>
  </r>
  <r>
    <s v="Munger"/>
    <s v="10-16 Apr"/>
    <n v="1009"/>
    <s v="Halsi"/>
    <x v="330"/>
    <s v="BARUI"/>
    <s v="MPG"/>
    <s v="Direct"/>
    <n v="364.2"/>
    <n v="15003.139999999998"/>
    <n v="364.27"/>
    <n v="14848.202710859743"/>
    <n v="7.6599999999999993"/>
    <n v="297.02561684400001"/>
    <n v="371.93"/>
    <n v="15145.228327703742"/>
    <n v="15003.139999999998"/>
    <n v="0"/>
    <n v="297.02561684400001"/>
    <n v="142.08832770374465"/>
    <n v="0"/>
    <n v="0"/>
    <n v="0"/>
    <n v="14706"/>
    <n v="0"/>
    <n v="0"/>
    <n v="0"/>
    <s v="Release2"/>
    <n v="276.66416320702911"/>
    <n v="52.028571428571425"/>
    <n v="-9.4705726737032824E-3"/>
    <n v="15"/>
    <m/>
    <s v="Halsi"/>
    <m/>
    <n v="0"/>
  </r>
  <r>
    <s v="Munger"/>
    <s v="10-16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751.49999999999989"/>
    <n v="35021.649999999994"/>
    <n v="750.86000000000013"/>
    <n v="37263.588969966484"/>
    <n v="5.7100000000000009"/>
    <n v="288.18822039051003"/>
    <n v="756.57000000000016"/>
    <n v="37551.777190356996"/>
    <n v="35021.649999999994"/>
    <n v="0"/>
    <n v="288.18822039051003"/>
    <n v="2530.1271903570014"/>
    <n v="0"/>
    <n v="0"/>
    <n v="0"/>
    <n v="34733"/>
    <n v="0"/>
    <n v="0"/>
    <n v="0"/>
    <n v="0"/>
    <n v="0"/>
    <n v="0"/>
    <n v="-7.224465981348685E-2"/>
    <n v="11"/>
    <m/>
    <s v="Halsi"/>
    <m/>
    <n v="0"/>
  </r>
  <r>
    <s v="Munger"/>
    <s v="10-16 Apr"/>
    <n v="1009"/>
    <s v="Halsi"/>
    <x v="332"/>
    <s v="LACHHUAR"/>
    <s v="MPG"/>
    <s v="Direct"/>
    <n v="440.4"/>
    <n v="16226.100000000002"/>
    <n v="453.37"/>
    <n v="16493.505475012291"/>
    <n v="2.8400000000000003"/>
    <n v="104.9738413365"/>
    <n v="456.21"/>
    <n v="16598.479316348792"/>
    <n v="16226.100000000002"/>
    <n v="0"/>
    <n v="104.9738413365"/>
    <n v="372.37931634878987"/>
    <n v="0"/>
    <n v="0"/>
    <n v="0"/>
    <n v="16121"/>
    <n v="0"/>
    <n v="0"/>
    <n v="0"/>
    <n v="0"/>
    <n v="191.294076294278"/>
    <n v="62.914285714285711"/>
    <n v="-2.2949403513400621E-2"/>
    <n v="5"/>
    <m/>
    <s v="Halsi"/>
    <m/>
    <n v="0"/>
  </r>
  <r>
    <s v="Munger"/>
    <s v="10-16 Apr"/>
    <n v="1009"/>
    <s v="Halsi"/>
    <x v="333"/>
    <s v="RAMDIH Ajit Kumar"/>
    <s v="vlc"/>
    <s v="Indirect"/>
    <n v="395.5"/>
    <n v="15191"/>
    <n v="0"/>
    <n v="0"/>
    <n v="0"/>
    <n v="0"/>
    <n v="0"/>
    <n v="0"/>
    <n v="15191"/>
    <n v="0"/>
    <n v="0"/>
    <n v="0"/>
    <n v="0"/>
    <n v="0"/>
    <n v="0"/>
    <n v="0"/>
    <n v="0"/>
    <n v="15191"/>
    <n v="0"/>
    <n v="0"/>
    <n v="233.91451327433629"/>
    <n v="56.5"/>
    <n v="0"/>
    <n v="0"/>
    <m/>
    <s v="Halsi"/>
    <m/>
    <n v="0"/>
  </r>
  <r>
    <s v="Munger"/>
    <s v="10-16 Apr"/>
    <n v="1009"/>
    <s v="Halsi"/>
    <x v="334"/>
    <s v="NARAYANPUR"/>
    <s v="MPG"/>
    <s v="Direct"/>
    <n v="680.7"/>
    <n v="26318.969999999998"/>
    <n v="806.64999999999986"/>
    <n v="32375.518096733202"/>
    <n v="1.8899999999999997"/>
    <n v="77.470742702700008"/>
    <n v="808.53999999999985"/>
    <n v="32452.9888394359"/>
    <n v="26318.969999999998"/>
    <n v="0"/>
    <n v="77.470742702700008"/>
    <n v="6134.0188394359029"/>
    <n v="0"/>
    <n v="0"/>
    <n v="0"/>
    <n v="26241"/>
    <n v="0"/>
    <n v="0"/>
    <n v="0"/>
    <n v="0"/>
    <n v="14.92452243278975"/>
    <n v="97.242857142857147"/>
    <n v="-0.23306454771732721"/>
    <n v="4"/>
    <m/>
    <s v="Halsi"/>
    <m/>
    <n v="0"/>
  </r>
  <r>
    <s v="Munger"/>
    <s v="10-16 Apr"/>
    <n v="1009"/>
    <s v="Halsi"/>
    <x v="335"/>
    <s v="NAWKADIH"/>
    <s v="MPG"/>
    <s v="Direct"/>
    <n v="630.79999999999995"/>
    <n v="27181.81"/>
    <n v="661.92"/>
    <n v="30052.356318901613"/>
    <n v="0"/>
    <n v="0"/>
    <n v="661.92"/>
    <n v="30052.356318901613"/>
    <n v="27181.81"/>
    <n v="0"/>
    <n v="0"/>
    <n v="2870.5463189016118"/>
    <n v="0"/>
    <n v="0"/>
    <n v="0"/>
    <n v="27182"/>
    <n v="0"/>
    <n v="0"/>
    <n v="0"/>
    <n v="0"/>
    <n v="59.637959797083077"/>
    <n v="90.114285714285714"/>
    <n v="-0.10560541475720754"/>
    <n v="3"/>
    <m/>
    <s v="Halsi"/>
    <m/>
    <n v="0"/>
  </r>
  <r>
    <s v="Munger"/>
    <s v="10-16 Apr"/>
    <n v="1009"/>
    <s v="Halsi"/>
    <x v="336"/>
    <s v="CHOTAHA"/>
    <s v="MPG"/>
    <s v="Direct"/>
    <n v="853.5"/>
    <n v="32852.93"/>
    <n v="1133.7300000000002"/>
    <n v="48481.359208729002"/>
    <n v="0"/>
    <n v="0"/>
    <n v="1133.7300000000002"/>
    <n v="48481.359208729002"/>
    <n v="32852.93"/>
    <n v="0"/>
    <n v="0"/>
    <n v="15628.429208729001"/>
    <n v="0"/>
    <n v="0"/>
    <n v="0"/>
    <n v="32853"/>
    <n v="0"/>
    <n v="0"/>
    <n v="0"/>
    <n v="0"/>
    <n v="0"/>
    <n v="0"/>
    <n v="-0.47570883962949428"/>
    <n v="1"/>
    <m/>
    <s v="Halsi"/>
    <m/>
    <n v="0"/>
  </r>
  <r>
    <s v="Munger"/>
    <s v="10-16 Apr"/>
    <n v="1009"/>
    <s v="Halsi"/>
    <x v="337"/>
    <s v="KHARAGWADA "/>
    <s v="MPG"/>
    <s v="Direct"/>
    <n v="191.29999999999998"/>
    <n v="7470.9"/>
    <n v="203.9"/>
    <n v="8052.7789170180013"/>
    <n v="0"/>
    <n v="0"/>
    <n v="203.9"/>
    <n v="8052.7789170180013"/>
    <n v="7470.9"/>
    <n v="0"/>
    <n v="0"/>
    <n v="581.87891701800163"/>
    <n v="0"/>
    <n v="500"/>
    <n v="0"/>
    <n v="6971"/>
    <n v="0"/>
    <n v="0"/>
    <n v="0"/>
    <n v="0"/>
    <n v="397.32847151071627"/>
    <n v="27.328571428571426"/>
    <n v="-7.7886053489941195E-2"/>
    <n v="1"/>
    <m/>
    <s v="Halsi"/>
    <m/>
    <n v="500"/>
  </r>
  <r>
    <s v="Munger"/>
    <s v="10-16 Apr"/>
    <n v="1009"/>
    <s v="Halsi"/>
    <x v="338"/>
    <s v="UFFAPUR"/>
    <s v="MPG"/>
    <s v="Direct"/>
    <n v="177.6"/>
    <n v="7515.0699999999988"/>
    <n v="239.2"/>
    <n v="9953.6738281200014"/>
    <n v="0"/>
    <n v="0"/>
    <n v="239.2"/>
    <n v="9953.6738281200014"/>
    <n v="7515.0699999999988"/>
    <n v="0"/>
    <n v="0"/>
    <n v="2438.6038281200026"/>
    <n v="0"/>
    <n v="500"/>
    <n v="0"/>
    <n v="7015"/>
    <n v="0"/>
    <n v="0"/>
    <n v="0"/>
    <n v="0"/>
    <n v="442.10276666666675"/>
    <n v="25.37142857142857"/>
    <n v="-0.32449515814490126"/>
    <n v="1"/>
    <m/>
    <s v="Halsi"/>
    <m/>
    <n v="500"/>
  </r>
  <r>
    <s v="Munger"/>
    <s v="10-16 Apr"/>
    <n v="1009"/>
    <s v="Halsi"/>
    <x v="339"/>
    <s v="BIHRAURA"/>
    <s v="MPG"/>
    <s v="Direct"/>
    <n v="120.6"/>
    <n v="5489.94"/>
    <n v="129.5"/>
    <n v="5750.1671792400002"/>
    <n v="0"/>
    <n v="0"/>
    <n v="129.5"/>
    <n v="5750.1671792400002"/>
    <n v="5489.94"/>
    <n v="0"/>
    <n v="0"/>
    <n v="260.22717924000062"/>
    <n v="0"/>
    <n v="500"/>
    <n v="0"/>
    <n v="4990"/>
    <n v="0"/>
    <n v="0"/>
    <n v="0"/>
    <n v="0"/>
    <n v="527.50766766169158"/>
    <n v="17.228571428571428"/>
    <n v="-4.7400732838610377E-2"/>
    <n v="1"/>
    <m/>
    <s v="Halsi"/>
    <m/>
    <n v="500"/>
  </r>
  <r>
    <s v="Munger"/>
    <s v="10-16 Apr"/>
    <n v="1009"/>
    <s v="Halsi"/>
    <x v="340"/>
    <s v="SHIJHORI"/>
    <s v="MPG"/>
    <s v="Direct"/>
    <n v="455.1"/>
    <n v="17990.059999999998"/>
    <n v="454.83"/>
    <n v="17218.391055000302"/>
    <n v="0"/>
    <n v="0"/>
    <n v="454.83"/>
    <n v="17218.391055000302"/>
    <n v="17218.391055000302"/>
    <n v="0"/>
    <n v="0"/>
    <n v="0"/>
    <n v="0"/>
    <n v="0"/>
    <n v="0"/>
    <n v="17218"/>
    <n v="0"/>
    <n v="0"/>
    <n v="772"/>
    <n v="0"/>
    <n v="193.61747721379911"/>
    <n v="65.01428571428572"/>
    <n v="4.289418406607292E-2"/>
    <n v="1"/>
    <m/>
    <s v="Halsi"/>
    <m/>
    <n v="0"/>
  </r>
  <r>
    <s v="Munger"/>
    <s v="10-16 Apr"/>
    <n v="1009"/>
    <s v="Halsi"/>
    <x v="341"/>
    <s v="RAM PRAVESH YADAV"/>
    <s v="MPG"/>
    <s v="Direct"/>
    <n v="471.5"/>
    <n v="17941.39"/>
    <n v="479.80999999999995"/>
    <n v="19230.494576781904"/>
    <n v="0"/>
    <n v="0"/>
    <n v="479.80999999999995"/>
    <n v="19230.494576781904"/>
    <n v="17941.39"/>
    <n v="0"/>
    <n v="0"/>
    <n v="1289.1045767819051"/>
    <n v="0"/>
    <n v="0"/>
    <n v="0"/>
    <n v="17941"/>
    <n v="0"/>
    <n v="0"/>
    <n v="0"/>
    <n v="0"/>
    <n v="173.89639936373274"/>
    <n v="67.357142857142861"/>
    <n v="-7.1850875365950195E-2"/>
    <n v="2"/>
    <m/>
    <s v="Halsi"/>
    <m/>
    <n v="0"/>
  </r>
  <r>
    <s v="Munger"/>
    <s v="10-16 Apr"/>
    <n v="1009"/>
    <s v="Halsi"/>
    <x v="342"/>
    <s v="KRAUTA"/>
    <s v="MPG"/>
    <s v="Direct"/>
    <n v="87.1"/>
    <n v="3761.44"/>
    <n v="161.5"/>
    <n v="7149.3694272000012"/>
    <n v="0"/>
    <n v="0"/>
    <n v="161.5"/>
    <n v="7149.3694272000012"/>
    <n v="3761.44"/>
    <n v="0"/>
    <n v="0"/>
    <n v="3387.9294272000011"/>
    <n v="0"/>
    <n v="0"/>
    <n v="0"/>
    <n v="3761"/>
    <n v="0"/>
    <n v="0"/>
    <n v="0"/>
    <n v="0"/>
    <n v="529.36545947187165"/>
    <n v="12.442857142857141"/>
    <n v="-0.90070011144668027"/>
    <n v="1"/>
    <m/>
    <s v="Halsi"/>
    <m/>
    <n v="0"/>
  </r>
  <r>
    <s v="Munger"/>
    <s v="10-16 Apr"/>
    <n v="1009"/>
    <s v="Halsi"/>
    <x v="343"/>
    <s v="BOUDHNAGAR"/>
    <s v="MPG"/>
    <s v="Direct"/>
    <n v="345.80000000000007"/>
    <n v="12401.02"/>
    <n v="377.69999999999993"/>
    <n v="13839.387132780001"/>
    <n v="0"/>
    <n v="0"/>
    <n v="377.69999999999993"/>
    <n v="13839.387132780001"/>
    <n v="12401.02"/>
    <n v="0"/>
    <n v="0"/>
    <n v="1438.3671327800002"/>
    <n v="0"/>
    <n v="0"/>
    <n v="0"/>
    <n v="12401"/>
    <n v="0"/>
    <n v="0"/>
    <n v="0"/>
    <n v="0"/>
    <n v="254.04518704453432"/>
    <n v="49.400000000000013"/>
    <n v="-0.11598780848510849"/>
    <n v="1"/>
    <m/>
    <s v="Halsi"/>
    <m/>
    <n v="0"/>
  </r>
  <r>
    <s v="Munger"/>
    <s v="10-16 Apr"/>
    <n v="1009"/>
    <s v="Halsi"/>
    <x v="344"/>
    <s v="MOHADDINGAR"/>
    <s v="MPG"/>
    <s v="Direct"/>
    <n v="666.2"/>
    <n v="26060.1"/>
    <n v="680.75"/>
    <n v="25069.090725811679"/>
    <n v="0"/>
    <n v="0"/>
    <n v="680.75"/>
    <n v="25069.090725811679"/>
    <n v="25069.090725811679"/>
    <n v="0"/>
    <n v="0"/>
    <n v="0"/>
    <n v="0"/>
    <n v="0"/>
    <n v="0"/>
    <n v="25069"/>
    <n v="0"/>
    <n v="0"/>
    <n v="991"/>
    <n v="0"/>
    <n v="26.443451816271349"/>
    <n v="95.171428571428578"/>
    <n v="3.802783850362508E-2"/>
    <n v="3"/>
    <m/>
    <s v="Halsi"/>
    <m/>
    <n v="0"/>
  </r>
  <r>
    <s v="Munger"/>
    <s v="10-16 Apr"/>
    <n v="1009"/>
    <s v="Halsi"/>
    <x v="345"/>
    <s v="PACHAUTA"/>
    <s v="MPG"/>
    <s v="Direct"/>
    <n v="639.9"/>
    <n v="24738.83"/>
    <n v="710.11000000000013"/>
    <n v="29493.91950699595"/>
    <n v="0"/>
    <n v="0"/>
    <n v="710.11000000000013"/>
    <n v="29493.91950699595"/>
    <n v="24738.83"/>
    <n v="0"/>
    <n v="0"/>
    <n v="4755.0895069959479"/>
    <n v="0"/>
    <n v="0"/>
    <n v="0"/>
    <n v="24739"/>
    <n v="0"/>
    <n v="0"/>
    <n v="0"/>
    <n v="0"/>
    <n v="46.469876011876877"/>
    <n v="91.414285714285711"/>
    <n v="-0.19221157617381046"/>
    <n v="4"/>
    <m/>
    <s v="Halsi"/>
    <m/>
    <n v="0"/>
  </r>
  <r>
    <s v="Munger"/>
    <s v="10-16 Apr"/>
    <n v="1009"/>
    <s v="Halsi"/>
    <x v="346"/>
    <s v="Gomukh Champa"/>
    <s v="vlc"/>
    <s v="Indirect"/>
    <n v="10990"/>
    <n v="422756.1"/>
    <n v="0"/>
    <n v="0"/>
    <n v="0"/>
    <n v="0"/>
    <n v="0"/>
    <n v="0"/>
    <n v="422756.1"/>
    <n v="0"/>
    <n v="0"/>
    <n v="0"/>
    <n v="0"/>
    <n v="0"/>
    <n v="0"/>
    <n v="0"/>
    <n v="0"/>
    <n v="422756.1"/>
    <n v="0"/>
    <n v="0"/>
    <n v="0"/>
    <n v="0"/>
    <n v="0"/>
    <n v="0"/>
    <m/>
    <s v="Halsi"/>
    <m/>
    <n v="0"/>
  </r>
  <r>
    <s v="Munger"/>
    <s v="10-16 Apr"/>
    <n v="1009"/>
    <s v="Halsi"/>
    <x v="347"/>
    <s v="GOMUKH DAKRA"/>
    <s v="vlc"/>
    <s v="Indirect"/>
    <n v="14010"/>
    <n v="539012.5"/>
    <n v="0"/>
    <n v="0"/>
    <n v="0"/>
    <n v="0"/>
    <n v="0"/>
    <n v="0"/>
    <n v="539012.5"/>
    <n v="0"/>
    <n v="0"/>
    <n v="0"/>
    <n v="0"/>
    <n v="0"/>
    <n v="0"/>
    <n v="0"/>
    <n v="0"/>
    <n v="539012.5"/>
    <n v="0"/>
    <n v="0"/>
    <n v="0"/>
    <n v="0"/>
    <n v="0"/>
    <n v="0"/>
    <m/>
    <s v="Halsi"/>
    <m/>
    <n v="0"/>
  </r>
  <r>
    <s v="Munger"/>
    <s v="10-16 Apr"/>
    <n v="1009"/>
    <s v="Halsi"/>
    <x v="348"/>
    <s v="TIYAY"/>
    <s v="MPG"/>
    <s v="Direct"/>
    <n v="393.5"/>
    <n v="13777.029999999999"/>
    <n v="418.3"/>
    <n v="15495.275810520003"/>
    <n v="0"/>
    <n v="0"/>
    <n v="418.3"/>
    <n v="15495.275810520003"/>
    <n v="13777.029999999999"/>
    <n v="0"/>
    <n v="0"/>
    <n v="1718.2458105200039"/>
    <n v="0"/>
    <n v="0"/>
    <n v="0"/>
    <n v="13777"/>
    <n v="0"/>
    <n v="0"/>
    <n v="0"/>
    <n v="0"/>
    <n v="214.62056899618804"/>
    <n v="56.214285714285715"/>
    <n v="-0.12471815845069685"/>
    <n v="1"/>
    <m/>
    <s v="Halsi"/>
    <m/>
    <n v="0"/>
  </r>
  <r>
    <s v="Munger"/>
    <s v="10-16 Apr"/>
    <n v="1009"/>
    <s v="Halsi"/>
    <x v="1035"/>
    <s v="BILLO 2"/>
    <s v="MPG"/>
    <s v="Direct"/>
    <n v="45.4"/>
    <n v="1617.8899999999999"/>
    <n v="46.2"/>
    <n v="1655.7253970400002"/>
    <n v="0"/>
    <n v="0"/>
    <n v="46.2"/>
    <n v="1655.7253970400002"/>
    <n v="1617.8899999999999"/>
    <n v="0"/>
    <n v="0"/>
    <n v="37.835397040000316"/>
    <n v="0"/>
    <n v="0"/>
    <n v="0"/>
    <n v="1618"/>
    <n v="0"/>
    <n v="0"/>
    <n v="0"/>
    <n v="0"/>
    <n v="466.55101057268723"/>
    <n v="6.4857142857142858"/>
    <n v="-2.3385642435518064E-2"/>
    <n v="1"/>
    <m/>
    <s v="Halsi"/>
    <m/>
    <n v="0"/>
  </r>
  <r>
    <s v="Munger"/>
    <s v="10-16 Apr"/>
    <n v="1009"/>
    <s v="Halsi"/>
    <x v="1036"/>
    <s v="SAWAN KHAIRMA"/>
    <s v="vlc"/>
    <s v="Indirect"/>
    <n v="96.800000000000011"/>
    <n v="3971.9300000000003"/>
    <n v="0"/>
    <n v="0"/>
    <n v="0"/>
    <n v="0"/>
    <n v="0"/>
    <n v="0"/>
    <n v="3971.9300000000003"/>
    <n v="0"/>
    <n v="0"/>
    <n v="0"/>
    <n v="0"/>
    <n v="0"/>
    <n v="0"/>
    <n v="0"/>
    <n v="0"/>
    <n v="3971.9300000000003"/>
    <n v="0"/>
    <n v="0"/>
    <n v="495.01408595041318"/>
    <n v="13.828571428571431"/>
    <n v="0"/>
    <n v="0"/>
    <m/>
    <s v="Halsi"/>
    <m/>
    <n v="0"/>
  </r>
  <r>
    <s v="Munger"/>
    <s v="10-16 Apr"/>
    <n v="1010"/>
    <s v="Parbatta"/>
    <x v="349"/>
    <s v="Vishan Pur"/>
    <s v="MPG"/>
    <s v="Direct"/>
    <n v="753.3"/>
    <n v="29061.48"/>
    <n v="655.59999999999991"/>
    <n v="26094.631198679999"/>
    <n v="6"/>
    <n v="236.28662640000005"/>
    <n v="661.59999999999991"/>
    <n v="26330.91782508"/>
    <n v="26330.91782508"/>
    <n v="0"/>
    <n v="236.28662640000005"/>
    <n v="0"/>
    <n v="0"/>
    <n v="0"/>
    <n v="0"/>
    <n v="26096"/>
    <n v="0"/>
    <n v="0"/>
    <n v="2729"/>
    <n v="0"/>
    <n v="0"/>
    <n v="0"/>
    <n v="9.3958125151231114E-2"/>
    <n v="9"/>
    <m/>
    <s v="Parbatta"/>
    <m/>
    <n v="0"/>
  </r>
  <r>
    <s v="Munger"/>
    <s v="10-16 Apr"/>
    <n v="1010"/>
    <s v="Parbatta"/>
    <x v="350"/>
    <s v="Gomukh Madhawpur"/>
    <s v="MPG"/>
    <s v="Direct"/>
    <n v="1958.6999999999998"/>
    <n v="76273.51999999999"/>
    <n v="1959.8"/>
    <n v="84481.779156680408"/>
    <n v="6.7"/>
    <n v="309.28376951999996"/>
    <n v="1966.5"/>
    <n v="84791.062926200408"/>
    <n v="76273.51999999999"/>
    <n v="0"/>
    <n v="309.28376951999996"/>
    <n v="8517.5429262004182"/>
    <n v="13000"/>
    <n v="0"/>
    <n v="0"/>
    <n v="62964"/>
    <n v="0"/>
    <n v="0"/>
    <n v="0"/>
    <s v="Release1"/>
    <n v="0"/>
    <n v="0"/>
    <n v="-0.11167103506171498"/>
    <n v="5"/>
    <m/>
    <s v="Parbatta"/>
    <m/>
    <n v="0"/>
  </r>
  <r>
    <s v="Munger"/>
    <s v="10-16 Apr"/>
    <n v="1010"/>
    <s v="Parbatta"/>
    <x v="351"/>
    <s v="Gomukh Muradpur"/>
    <s v="vlc"/>
    <s v="Indirect"/>
    <n v="31.299999999999997"/>
    <n v="1000.76"/>
    <n v="0"/>
    <n v="0"/>
    <n v="0"/>
    <n v="0"/>
    <n v="0"/>
    <n v="0"/>
    <n v="1000.76"/>
    <n v="0"/>
    <n v="0"/>
    <n v="0"/>
    <n v="0"/>
    <n v="0"/>
    <n v="0"/>
    <n v="0"/>
    <n v="0"/>
    <n v="1000.76"/>
    <n v="0"/>
    <n v="0"/>
    <n v="427.60908115015968"/>
    <n v="4.4714285714285706"/>
    <n v="0"/>
    <n v="0"/>
    <m/>
    <s v="Parbatta"/>
    <m/>
    <n v="0"/>
  </r>
  <r>
    <s v="Munger"/>
    <s v="10-16 Apr"/>
    <n v="1010"/>
    <s v="Parbatta"/>
    <x v="352"/>
    <s v="Gomukh Kanhaiyachak Pachhim"/>
    <s v="MPG"/>
    <s v="Direct"/>
    <n v="1400.8000000000002"/>
    <n v="58649.39"/>
    <n v="1400.8500000000001"/>
    <n v="63649.783599637936"/>
    <n v="0"/>
    <n v="0"/>
    <n v="1400.8500000000001"/>
    <n v="63649.783599637936"/>
    <n v="58649.39"/>
    <n v="0"/>
    <n v="0"/>
    <n v="5000.3935996379369"/>
    <n v="0"/>
    <n v="0"/>
    <n v="0"/>
    <n v="58649"/>
    <n v="0"/>
    <n v="0"/>
    <n v="0"/>
    <n v="0"/>
    <n v="0"/>
    <n v="0"/>
    <n v="-8.5259089645057462E-2"/>
    <n v="5"/>
    <m/>
    <s v="Parbatta"/>
    <m/>
    <n v="0"/>
  </r>
  <r>
    <s v="Munger"/>
    <s v="10-16 Apr"/>
    <n v="1010"/>
    <s v="Parbatta"/>
    <x v="353"/>
    <s v="Gomukh Srirampur Thuthi"/>
    <s v="MPG"/>
    <s v="Direct"/>
    <n v="405.60000000000008"/>
    <n v="17207.45"/>
    <n v="421.45"/>
    <n v="17516.230300388965"/>
    <n v="0"/>
    <n v="0"/>
    <n v="421.45"/>
    <n v="17516.230300388965"/>
    <n v="17207.45"/>
    <n v="0"/>
    <n v="0"/>
    <n v="308.78030038896395"/>
    <n v="0"/>
    <n v="500"/>
    <n v="0"/>
    <n v="16707"/>
    <n v="0"/>
    <n v="0"/>
    <n v="0"/>
    <s v="Release1"/>
    <n v="249.79651282051273"/>
    <n v="57.942857142857157"/>
    <n v="-1.7944570542931342E-2"/>
    <n v="4"/>
    <m/>
    <s v="Parbatta"/>
    <m/>
    <n v="500"/>
  </r>
  <r>
    <s v="Munger"/>
    <s v="10-16 Apr"/>
    <n v="1010"/>
    <s v="Parbatta"/>
    <x v="354"/>
    <s v="Gomukh Dumariya Bujurg"/>
    <s v="MPG"/>
    <s v="Direct"/>
    <n v="216.89999999999998"/>
    <n v="9203.5500000000011"/>
    <n v="216.9"/>
    <n v="12640.225992669"/>
    <n v="0"/>
    <n v="0"/>
    <n v="216.9"/>
    <n v="12640.225992669"/>
    <n v="9203.5500000000011"/>
    <n v="0"/>
    <n v="0"/>
    <n v="3436.6759926689992"/>
    <n v="0"/>
    <n v="0"/>
    <n v="0"/>
    <n v="9204"/>
    <n v="0"/>
    <n v="0"/>
    <n v="0"/>
    <n v="0"/>
    <n v="409.98017565698495"/>
    <n v="30.985714285714284"/>
    <n v="-0.37340765168538215"/>
    <n v="1"/>
    <m/>
    <s v="Parbatta"/>
    <m/>
    <n v="0"/>
  </r>
  <r>
    <s v="Munger"/>
    <s v="10-16 Apr"/>
    <n v="1010"/>
    <s v="Parbatta"/>
    <x v="355"/>
    <s v="Gomukh Dumariya Bujurg Madhay"/>
    <s v="MPG"/>
    <s v="Direct"/>
    <n v="190.2"/>
    <n v="7785.6600000000008"/>
    <n v="213.1"/>
    <n v="8723.7786002400007"/>
    <n v="0"/>
    <n v="0"/>
    <n v="213.1"/>
    <n v="8723.7786002400007"/>
    <n v="7785.6600000000008"/>
    <n v="0"/>
    <n v="0"/>
    <n v="938.11860023999998"/>
    <n v="0"/>
    <n v="0"/>
    <n v="0"/>
    <n v="7786"/>
    <n v="0"/>
    <n v="0"/>
    <n v="0"/>
    <s v="Release2"/>
    <n v="417.36377160883285"/>
    <n v="27.171428571428571"/>
    <n v="-0.12049313741416912"/>
    <n v="1"/>
    <m/>
    <s v="Parbatta"/>
    <m/>
    <n v="0"/>
  </r>
  <r>
    <s v="Munger"/>
    <s v="10-16 Apr"/>
    <n v="1010"/>
    <s v="Parbatta"/>
    <x v="356"/>
    <s v="Gomukh Bandahera                                                                                    "/>
    <s v="MPG"/>
    <s v="Direct"/>
    <n v="811.4"/>
    <n v="33618.61"/>
    <n v="1188.5"/>
    <n v="58326.063054720005"/>
    <n v="0.30000000000000004"/>
    <n v="12.487535280000001"/>
    <n v="1188.8"/>
    <n v="58338.550590000006"/>
    <n v="33618.61"/>
    <n v="0"/>
    <n v="12.487535280000001"/>
    <n v="24719.940590000006"/>
    <n v="0"/>
    <n v="0"/>
    <n v="0"/>
    <n v="33606"/>
    <n v="0"/>
    <n v="0"/>
    <n v="0"/>
    <n v="0"/>
    <n v="0"/>
    <n v="0"/>
    <n v="-0.73530525473837272"/>
    <n v="4"/>
    <m/>
    <s v="Parbatta"/>
    <m/>
    <n v="0"/>
  </r>
  <r>
    <s v="Munger"/>
    <s v="10-16 Apr"/>
    <n v="1010"/>
    <s v="Parbatta"/>
    <x v="357"/>
    <s v="Gomukh Badi Lagar-1 Kiran"/>
    <s v="vlc"/>
    <s v="Indirect"/>
    <n v="1174.5999999999997"/>
    <n v="46343.199999999997"/>
    <n v="0"/>
    <n v="0"/>
    <n v="0"/>
    <n v="0"/>
    <n v="0"/>
    <n v="0"/>
    <n v="46343.199999999997"/>
    <n v="0"/>
    <n v="0"/>
    <n v="0"/>
    <n v="0"/>
    <n v="0"/>
    <n v="0"/>
    <n v="0"/>
    <n v="0"/>
    <n v="46343.199999999997"/>
    <n v="0"/>
    <n v="0"/>
    <n v="0"/>
    <n v="0"/>
    <n v="0"/>
    <n v="0"/>
    <m/>
    <s v="Parbatta"/>
    <m/>
    <n v="0"/>
  </r>
  <r>
    <s v="Munger"/>
    <s v="10-16 Apr"/>
    <n v="1007"/>
    <s v="Araria"/>
    <x v="358"/>
    <s v="Gomukh Basudevpur"/>
    <s v="vlc"/>
    <s v="Indirect"/>
    <n v="136.39999999999998"/>
    <n v="4746.2000000000007"/>
    <n v="0"/>
    <n v="0"/>
    <n v="0"/>
    <n v="0"/>
    <n v="0"/>
    <n v="0"/>
    <n v="4746.2000000000007"/>
    <n v="0"/>
    <n v="0"/>
    <n v="0"/>
    <n v="0"/>
    <n v="0"/>
    <n v="0"/>
    <n v="0"/>
    <n v="0"/>
    <n v="4746.2000000000007"/>
    <n v="0"/>
    <n v="0"/>
    <n v="392.22262756598246"/>
    <n v="19.485714285714284"/>
    <n v="0"/>
    <n v="0"/>
    <m/>
    <s v="Araria"/>
    <m/>
    <n v="0"/>
  </r>
  <r>
    <s v="Munger"/>
    <s v="10-16 Apr"/>
    <n v="1007"/>
    <s v="Araria"/>
    <x v="359"/>
    <s v="Gomukh Fudkichak"/>
    <s v="MPG"/>
    <s v="Direct"/>
    <n v="340.20000000000005"/>
    <n v="14536.210000000001"/>
    <n v="340"/>
    <n v="18492.822747600003"/>
    <n v="0"/>
    <n v="0"/>
    <n v="340"/>
    <n v="18492.822747600003"/>
    <n v="14536.210000000001"/>
    <n v="0"/>
    <n v="0"/>
    <n v="3956.612747600002"/>
    <n v="0"/>
    <n v="500"/>
    <n v="0"/>
    <n v="14036"/>
    <n v="0"/>
    <n v="0"/>
    <n v="0"/>
    <n v="0"/>
    <n v="307.47374238683125"/>
    <n v="48.600000000000009"/>
    <n v="-0.27219012023078931"/>
    <n v="1"/>
    <m/>
    <s v="Araria"/>
    <m/>
    <n v="500"/>
  </r>
  <r>
    <s v="Munger"/>
    <s v="10-16 Apr"/>
    <n v="1007"/>
    <s v="Araria"/>
    <x v="360"/>
    <s v="Gomukh Tehay"/>
    <s v="MPG"/>
    <s v="Direct"/>
    <n v="162.69999999999999"/>
    <n v="7346.3300000000008"/>
    <n v="164"/>
    <n v="7430.0020292982017"/>
    <n v="0"/>
    <n v="0"/>
    <n v="164"/>
    <n v="7430.0020292982017"/>
    <n v="7346.3300000000008"/>
    <n v="0"/>
    <n v="0"/>
    <n v="83.672029298200869"/>
    <n v="0"/>
    <n v="0"/>
    <n v="0"/>
    <n v="7346"/>
    <n v="0"/>
    <n v="0"/>
    <n v="0"/>
    <n v="0"/>
    <n v="485.20997037492339"/>
    <n v="23.24285714285714"/>
    <n v="-1.1389636634646261E-2"/>
    <n v="2"/>
    <m/>
    <s v="Araria"/>
    <m/>
    <n v="0"/>
  </r>
  <r>
    <s v="Munger"/>
    <s v="10-16 Apr"/>
    <n v="1007"/>
    <s v="Araria"/>
    <x v="361"/>
    <s v="Gomukh Buddhnagar"/>
    <s v="vlc"/>
    <s v="Indirect"/>
    <n v="747.9000000000002"/>
    <n v="26735.920000000002"/>
    <n v="0"/>
    <n v="0"/>
    <n v="0"/>
    <n v="0"/>
    <n v="0"/>
    <n v="0"/>
    <n v="26735.920000000002"/>
    <n v="0"/>
    <n v="0"/>
    <n v="0"/>
    <n v="0"/>
    <n v="0"/>
    <n v="0"/>
    <n v="0"/>
    <n v="0"/>
    <n v="26735.920000000002"/>
    <n v="0"/>
    <n v="0"/>
    <n v="0"/>
    <n v="0"/>
    <n v="0"/>
    <n v="0"/>
    <m/>
    <s v="Araria"/>
    <m/>
    <n v="0"/>
  </r>
  <r>
    <s v="Munger"/>
    <s v="10-16 Apr"/>
    <n v="1010"/>
    <s v="Parbatta"/>
    <x v="362"/>
    <s v="Gomukh Krochaka Dudhela"/>
    <s v="MPG"/>
    <s v="Direct"/>
    <n v="1228.5999999999999"/>
    <n v="45749.54"/>
    <n v="1308.2900000000002"/>
    <n v="48492.531953316007"/>
    <n v="5.799999999999998"/>
    <n v="222.80135130000005"/>
    <n v="1314.0900000000001"/>
    <n v="48715.333304616004"/>
    <n v="45749.54"/>
    <n v="0"/>
    <n v="222.80135130000005"/>
    <n v="2965.7933046160033"/>
    <n v="0"/>
    <n v="0"/>
    <n v="0"/>
    <n v="45527"/>
    <n v="0"/>
    <n v="0"/>
    <n v="0"/>
    <n v="0"/>
    <n v="0"/>
    <n v="0"/>
    <n v="-6.4826734970799771E-2"/>
    <n v="4"/>
    <m/>
    <s v="Parbatta"/>
    <m/>
    <n v="0"/>
  </r>
  <r>
    <s v="Munger"/>
    <s v="10-16 Apr"/>
    <n v="1007"/>
    <s v="Araria"/>
    <x v="363"/>
    <s v="Gomukh Govind Pur"/>
    <s v="MPG"/>
    <s v="Direct"/>
    <n v="438.49999999999994"/>
    <n v="15313.199999999997"/>
    <n v="430.59999999999997"/>
    <n v="20425.07545176"/>
    <n v="0.2"/>
    <n v="7.7090191200000024"/>
    <n v="430.79999999999995"/>
    <n v="20432.78447088"/>
    <n v="15313.199999999997"/>
    <n v="0"/>
    <n v="7.7090191200000024"/>
    <n v="5119.5844708800032"/>
    <n v="0"/>
    <n v="0"/>
    <n v="0"/>
    <n v="15305"/>
    <n v="0"/>
    <n v="0"/>
    <n v="0"/>
    <n v="0"/>
    <n v="182.64090307867733"/>
    <n v="62.642857142857132"/>
    <n v="-0.3343249269179534"/>
    <n v="3"/>
    <m/>
    <s v="Araria"/>
    <m/>
    <n v="0"/>
  </r>
  <r>
    <s v="Munger"/>
    <s v="10-16 Apr"/>
    <n v="1007"/>
    <s v="Araria"/>
    <x v="364"/>
    <s v="Gomukh Sondiha"/>
    <s v="MPG"/>
    <s v="Direct"/>
    <n v="1136.8"/>
    <n v="42813.47"/>
    <n v="1210"/>
    <n v="47164.800606682002"/>
    <n v="0"/>
    <n v="0"/>
    <n v="1210"/>
    <n v="47164.800606682002"/>
    <n v="42813.47"/>
    <n v="0"/>
    <n v="0"/>
    <n v="4351.3306066820005"/>
    <n v="0"/>
    <n v="0"/>
    <n v="0"/>
    <n v="42813"/>
    <n v="0"/>
    <n v="0"/>
    <n v="0"/>
    <n v="0"/>
    <n v="0"/>
    <n v="0"/>
    <n v="-0.10163461655133303"/>
    <n v="2"/>
    <m/>
    <s v="Araria"/>
    <m/>
    <n v="0"/>
  </r>
  <r>
    <s v="Munger"/>
    <s v="10-16 Apr"/>
    <n v="1007"/>
    <s v="Araria"/>
    <x v="365"/>
    <s v="Gomukh Thebhay B"/>
    <s v="MPG"/>
    <s v="Direct"/>
    <n v="296.7"/>
    <n v="12414.579999999998"/>
    <n v="571.64"/>
    <n v="23148.759820487408"/>
    <n v="9.0599999999999987"/>
    <n v="339.56919216"/>
    <n v="580.69999999999993"/>
    <n v="23488.329012647409"/>
    <n v="12414.579999999998"/>
    <n v="0"/>
    <n v="339.56919216"/>
    <n v="11073.749012647411"/>
    <n v="0"/>
    <n v="0"/>
    <n v="0"/>
    <n v="12075"/>
    <n v="0"/>
    <n v="0"/>
    <n v="0"/>
    <n v="0"/>
    <n v="337.4991650825749"/>
    <n v="42.385714285714286"/>
    <n v="-0.89199546119541806"/>
    <n v="8"/>
    <m/>
    <s v="Araria"/>
    <m/>
    <n v="0"/>
  </r>
  <r>
    <s v="Munger"/>
    <s v="10-16 Apr"/>
    <n v="1010"/>
    <s v="Parbatta"/>
    <x v="966"/>
    <s v="Gomukh Rahempur"/>
    <s v="vlc"/>
    <s v="Indirect"/>
    <n v="100.8"/>
    <n v="4683.08"/>
    <n v="0"/>
    <n v="0"/>
    <n v="0"/>
    <n v="0"/>
    <n v="0"/>
    <n v="0"/>
    <n v="4683.08"/>
    <n v="0"/>
    <n v="0"/>
    <n v="0"/>
    <n v="0"/>
    <n v="0"/>
    <n v="0"/>
    <n v="0"/>
    <n v="0"/>
    <n v="4683.08"/>
    <n v="0"/>
    <n v="0"/>
    <n v="556.76617777777767"/>
    <n v="14.4"/>
    <n v="0"/>
    <n v="0"/>
    <m/>
    <s v="Parbatta"/>
    <m/>
    <n v="0"/>
  </r>
  <r>
    <s v="Munger"/>
    <s v="10-16 Apr"/>
    <n v="1007"/>
    <s v="Araria"/>
    <x v="366"/>
    <s v="Gomukh Baisa"/>
    <s v="MPG"/>
    <s v="Direct"/>
    <n v="285.10000000000002"/>
    <n v="9566.4000000000015"/>
    <n v="383.8"/>
    <n v="14927.718928320002"/>
    <n v="0.30000000000000004"/>
    <n v="10.771516800000001"/>
    <n v="384.1"/>
    <n v="14938.490445120002"/>
    <n v="9566.4000000000015"/>
    <n v="0"/>
    <n v="10.771516800000001"/>
    <n v="5372.0904451200004"/>
    <n v="0"/>
    <n v="0"/>
    <n v="0"/>
    <n v="9556"/>
    <n v="0"/>
    <n v="0"/>
    <n v="0"/>
    <n v="0"/>
    <n v="278.43559172220273"/>
    <n v="40.728571428571435"/>
    <n v="-0.56155820842950321"/>
    <n v="6"/>
    <m/>
    <s v="Araria"/>
    <m/>
    <n v="0"/>
  </r>
  <r>
    <s v="Munger"/>
    <s v="10-16 Apr"/>
    <n v="1010"/>
    <s v="Parbatta"/>
    <x v="367"/>
    <s v="Gomukh Bhorkanth Purbi"/>
    <s v="MPG"/>
    <s v="Direct"/>
    <n v="75.099999999999994"/>
    <n v="2667.3899999999994"/>
    <n v="80"/>
    <n v="3104.7287040000001"/>
    <n v="0"/>
    <n v="0"/>
    <n v="80"/>
    <n v="3104.7287040000001"/>
    <n v="2667.3899999999994"/>
    <n v="0"/>
    <n v="0"/>
    <n v="437.33870400000069"/>
    <n v="0"/>
    <n v="0"/>
    <n v="0"/>
    <n v="2667"/>
    <n v="0"/>
    <n v="0"/>
    <n v="0"/>
    <n v="0"/>
    <n v="443.90200026631146"/>
    <n v="10.728571428571428"/>
    <n v="-0.16395754051713501"/>
    <n v="1"/>
    <m/>
    <s v="Parbatta"/>
    <m/>
    <n v="0"/>
  </r>
  <r>
    <s v="Munger"/>
    <s v="10-16 Apr"/>
    <n v="1010"/>
    <s v="Parbatta"/>
    <x v="368"/>
    <s v="Gomukh Khutha VLC"/>
    <s v="vlc"/>
    <s v="Indirect"/>
    <n v="10112.799999999999"/>
    <n v="406424.49"/>
    <n v="0"/>
    <n v="0"/>
    <n v="0"/>
    <n v="0"/>
    <n v="0"/>
    <n v="0"/>
    <n v="406424.49"/>
    <n v="0"/>
    <n v="0"/>
    <n v="0"/>
    <n v="0"/>
    <n v="0"/>
    <n v="0"/>
    <n v="0"/>
    <n v="0"/>
    <n v="406424.49"/>
    <n v="0"/>
    <n v="0"/>
    <n v="0"/>
    <n v="0"/>
    <n v="0"/>
    <n v="0"/>
    <m/>
    <s v="Parbatta"/>
    <m/>
    <n v="0"/>
  </r>
  <r>
    <s v="Munger"/>
    <s v="10-16 Apr"/>
    <n v="1010"/>
    <s v="Parbatta"/>
    <x v="369"/>
    <s v="Gomukh Kabela Vlc"/>
    <s v="vlc"/>
    <s v="Indirect"/>
    <n v="1268.5999999999999"/>
    <n v="48623.42"/>
    <n v="0"/>
    <n v="0"/>
    <n v="0"/>
    <n v="0"/>
    <n v="0"/>
    <n v="0"/>
    <n v="48623.42"/>
    <n v="0"/>
    <n v="0"/>
    <n v="0"/>
    <n v="0"/>
    <n v="0"/>
    <n v="0"/>
    <n v="0"/>
    <n v="0"/>
    <n v="48623.42"/>
    <n v="0"/>
    <n v="0"/>
    <n v="0"/>
    <n v="0"/>
    <n v="0"/>
    <n v="0"/>
    <m/>
    <s v="Parbatta"/>
    <m/>
    <n v="0"/>
  </r>
  <r>
    <s v="Munger"/>
    <s v="10-16 Apr"/>
    <n v="1010"/>
    <s v="Parbatta"/>
    <x v="370"/>
    <s v="Gomukh Lagar Wad-13 Vlc"/>
    <s v="vlc"/>
    <s v="Indirect"/>
    <n v="804.69999999999993"/>
    <n v="37236.01"/>
    <n v="0"/>
    <n v="0"/>
    <n v="0"/>
    <n v="0"/>
    <n v="0"/>
    <n v="0"/>
    <n v="37236.01"/>
    <n v="0"/>
    <n v="0"/>
    <n v="0"/>
    <n v="0"/>
    <n v="0"/>
    <n v="0"/>
    <n v="0"/>
    <n v="0"/>
    <n v="37236.01"/>
    <n v="0"/>
    <n v="0"/>
    <n v="0"/>
    <n v="0"/>
    <n v="0"/>
    <n v="0"/>
    <m/>
    <s v="Parbatta"/>
    <m/>
    <n v="0"/>
  </r>
  <r>
    <s v="Munger"/>
    <s v="10-16 Apr"/>
    <n v="1010"/>
    <s v="Parbatta"/>
    <x v="371"/>
    <s v="Gomukh Manish Vlc"/>
    <s v="vlc"/>
    <s v="Indirect"/>
    <n v="2545.4999999999995"/>
    <n v="120544.11999999998"/>
    <n v="0"/>
    <n v="0"/>
    <n v="0"/>
    <n v="0"/>
    <n v="0"/>
    <n v="0"/>
    <n v="120544.11999999998"/>
    <n v="0"/>
    <n v="0"/>
    <n v="0"/>
    <n v="0"/>
    <n v="0"/>
    <n v="0"/>
    <n v="0"/>
    <n v="0"/>
    <n v="120544.11999999998"/>
    <n v="0"/>
    <n v="0"/>
    <n v="0"/>
    <n v="0"/>
    <n v="0"/>
    <n v="0"/>
    <m/>
    <s v="Parbatta"/>
    <m/>
    <n v="0"/>
  </r>
  <r>
    <s v="Munger"/>
    <s v="10-16 Apr"/>
    <n v="1055"/>
    <s v="Matihani"/>
    <x v="372"/>
    <s v="Gomukh Mahendrapur"/>
    <s v="MPG"/>
    <s v="Direct"/>
    <n v="1881.4"/>
    <n v="75391.740000000005"/>
    <n v="1912.9999999999995"/>
    <n v="78293.586755430006"/>
    <n v="42"/>
    <n v="1738.4871240000004"/>
    <n v="1954.9999999999995"/>
    <n v="80032.073879430012"/>
    <n v="75391.740000000005"/>
    <n v="0"/>
    <n v="1738.4871240000004"/>
    <n v="4640.3338794300071"/>
    <n v="0"/>
    <n v="0"/>
    <n v="0"/>
    <n v="73653"/>
    <n v="0"/>
    <n v="0"/>
    <n v="0"/>
    <n v="0"/>
    <n v="0"/>
    <n v="0"/>
    <n v="-6.1549632352695491E-2"/>
    <n v="12"/>
    <m/>
    <s v="Matihani"/>
    <m/>
    <n v="0"/>
  </r>
  <r>
    <s v="Munger"/>
    <s v="10-16 Apr"/>
    <n v="1055"/>
    <s v="Matihani"/>
    <x v="373"/>
    <s v="Gomukh Balahpur"/>
    <s v="MPG"/>
    <s v="Direct"/>
    <n v="221.29999999999995"/>
    <n v="7933.45"/>
    <n v="222.29999999999998"/>
    <n v="8264.4311059200008"/>
    <n v="0"/>
    <n v="0"/>
    <n v="222.29999999999998"/>
    <n v="8264.4311059200008"/>
    <n v="7933.45"/>
    <n v="0"/>
    <n v="0"/>
    <n v="330.98110592000103"/>
    <n v="0"/>
    <n v="500"/>
    <n v="0"/>
    <n v="7433"/>
    <n v="0"/>
    <n v="0"/>
    <n v="0"/>
    <n v="0"/>
    <n v="343.22119430637161"/>
    <n v="31.614285714285707"/>
    <n v="-4.1719693943996751E-2"/>
    <n v="2"/>
    <m/>
    <s v="Matihani"/>
    <m/>
    <n v="500"/>
  </r>
  <r>
    <s v="Munger"/>
    <s v="10-16 Apr"/>
    <n v="1011"/>
    <s v="Sahibpur Kamal"/>
    <x v="374"/>
    <s v="Gomukh Danauli"/>
    <s v="MPG"/>
    <s v="Direct"/>
    <n v="546.1"/>
    <n v="20797.190000000002"/>
    <n v="550.1"/>
    <n v="20956.261134600005"/>
    <n v="1.4000000000000001"/>
    <n v="53.237131200000015"/>
    <n v="551.5"/>
    <n v="21009.498265800004"/>
    <n v="20797.190000000002"/>
    <n v="0"/>
    <n v="53.237131200000015"/>
    <n v="212.30826580000212"/>
    <n v="0"/>
    <n v="0"/>
    <n v="0"/>
    <n v="20744"/>
    <n v="0"/>
    <n v="0"/>
    <n v="0"/>
    <n v="0"/>
    <n v="117.21983303424281"/>
    <n v="78.01428571428572"/>
    <n v="-1.0208507293533505E-2"/>
    <n v="3"/>
    <m/>
    <s v="Sahibpur Kamal"/>
    <m/>
    <n v="0"/>
  </r>
  <r>
    <s v="Munger"/>
    <s v="10-16 Apr"/>
    <n v="1055"/>
    <s v="Matihani"/>
    <x v="375"/>
    <s v="NAYAGAW"/>
    <s v="MPG"/>
    <s v="Direct"/>
    <n v="4476.7999999999993"/>
    <n v="185423.82000000004"/>
    <n v="4447.1200000000008"/>
    <n v="183595.73711075715"/>
    <n v="30.32"/>
    <n v="2148.5463624984204"/>
    <n v="4477.4400000000005"/>
    <n v="185744.28347325558"/>
    <n v="185423.82000000004"/>
    <n v="0"/>
    <n v="2148.5463624984204"/>
    <n v="320.46347325554234"/>
    <n v="0"/>
    <n v="0"/>
    <n v="0"/>
    <n v="183275"/>
    <n v="0"/>
    <n v="0"/>
    <n v="0"/>
    <n v="0"/>
    <n v="0"/>
    <n v="0"/>
    <n v="-1.7282756511840943E-3"/>
    <n v="36"/>
    <m/>
    <s v="Matihani"/>
    <m/>
    <n v="0"/>
  </r>
  <r>
    <s v="Munger"/>
    <s v="10-16 Apr"/>
    <n v="1011"/>
    <s v="Sahibpur Kamal"/>
    <x v="376"/>
    <s v="Dandari"/>
    <s v="MPG"/>
    <s v="Direct"/>
    <n v="1015.6999999999999"/>
    <n v="36553.5"/>
    <n v="1013"/>
    <n v="36454.757321466008"/>
    <n v="2.7"/>
    <n v="98.392949028000004"/>
    <n v="1015.7"/>
    <n v="36553.150270494007"/>
    <n v="36553.150270494007"/>
    <n v="0"/>
    <n v="98.392949028000004"/>
    <n v="0"/>
    <n v="0"/>
    <n v="0"/>
    <n v="0"/>
    <n v="36454"/>
    <n v="0"/>
    <n v="0"/>
    <n v="1"/>
    <n v="0"/>
    <n v="0"/>
    <n v="0"/>
    <n v="9.5676065491214099E-6"/>
    <n v="5"/>
    <m/>
    <s v="Sahibpur Kamal"/>
    <m/>
    <n v="0"/>
  </r>
  <r>
    <s v="Munger"/>
    <s v="10-16 Apr"/>
    <n v="1011"/>
    <s v="Sahibpur Kamal"/>
    <x v="377"/>
    <s v="Rahimpur Pachkhutti"/>
    <s v="vlc"/>
    <s v="Indirect"/>
    <n v="9407.7000000000007"/>
    <n v="362645.84"/>
    <n v="0"/>
    <n v="0"/>
    <n v="0"/>
    <n v="0"/>
    <n v="0"/>
    <n v="0"/>
    <n v="362645.84"/>
    <n v="0"/>
    <n v="0"/>
    <n v="0"/>
    <n v="130847"/>
    <n v="0"/>
    <n v="0"/>
    <n v="0"/>
    <n v="0"/>
    <n v="231798.84000000003"/>
    <n v="0"/>
    <n v="0"/>
    <n v="0"/>
    <n v="0"/>
    <n v="0"/>
    <n v="0"/>
    <m/>
    <s v="Sahibpur Kamal"/>
    <m/>
    <n v="0"/>
  </r>
  <r>
    <s v="Munger"/>
    <s v="10-16 Apr"/>
    <n v="1011"/>
    <s v="Sahibpur Kamal"/>
    <x v="378"/>
    <s v="Gomukh Mohanpur                                                                                     "/>
    <s v="MPG"/>
    <s v="Direct"/>
    <n v="1129.6000000000001"/>
    <n v="41842.519999999997"/>
    <n v="1134"/>
    <n v="42213.620790000001"/>
    <n v="1.9000000000000001"/>
    <n v="70.226006400000003"/>
    <n v="1135.9000000000001"/>
    <n v="42283.846796400001"/>
    <n v="41842.519999999997"/>
    <n v="0"/>
    <n v="70.226006400000003"/>
    <n v="441.32679640000424"/>
    <n v="0"/>
    <n v="0"/>
    <n v="0"/>
    <n v="41772"/>
    <n v="0"/>
    <n v="0"/>
    <n v="0"/>
    <n v="0"/>
    <n v="0"/>
    <n v="0"/>
    <n v="-1.0547328325349532E-2"/>
    <n v="7"/>
    <m/>
    <s v="Sahibpur Kamal"/>
    <m/>
    <n v="0"/>
  </r>
  <r>
    <s v="Munger"/>
    <s v="10-16 Apr"/>
    <n v="1011"/>
    <s v="Sahibpur Kamal"/>
    <x v="379"/>
    <s v="Gomukh Raghunathpur"/>
    <s v="MPG"/>
    <s v="Direct"/>
    <n v="1213.1000000000001"/>
    <n v="57629.709999999992"/>
    <n v="1233.5"/>
    <n v="56720.736391211838"/>
    <n v="20.599999999999998"/>
    <n v="927.90170587350008"/>
    <n v="1254.0999999999999"/>
    <n v="57648.638097085335"/>
    <n v="57629.709999999992"/>
    <n v="0"/>
    <n v="927.90170587350008"/>
    <n v="18.928097085343325"/>
    <n v="0"/>
    <n v="0"/>
    <n v="0"/>
    <n v="56702"/>
    <n v="0"/>
    <n v="0"/>
    <n v="0"/>
    <n v="0"/>
    <n v="0"/>
    <n v="0"/>
    <n v="-3.2844338597822766E-4"/>
    <n v="36"/>
    <m/>
    <s v="Sahibpur Kamal"/>
    <m/>
    <n v="0"/>
  </r>
  <r>
    <s v="Munger"/>
    <s v="10-16 Apr"/>
    <n v="1055"/>
    <s v="Matihani"/>
    <x v="380"/>
    <s v="Gomukh Chhitraur"/>
    <s v="MPG"/>
    <s v="Direct"/>
    <n v="1082.3"/>
    <n v="44834.47"/>
    <n v="1082.6399999999999"/>
    <n v="46871.823556156989"/>
    <n v="0"/>
    <n v="0"/>
    <n v="1082.6399999999999"/>
    <n v="46871.823556156989"/>
    <n v="44834.47"/>
    <n v="0"/>
    <n v="0"/>
    <n v="2037.3535561569879"/>
    <n v="0"/>
    <n v="0"/>
    <n v="0"/>
    <n v="44834"/>
    <n v="0"/>
    <n v="0"/>
    <n v="0"/>
    <n v="0"/>
    <n v="0"/>
    <n v="0"/>
    <n v="-4.5441678158724477E-2"/>
    <n v="9"/>
    <m/>
    <s v="Matihani"/>
    <m/>
    <n v="0"/>
  </r>
  <r>
    <s v="Munger"/>
    <s v="10-16 Apr"/>
    <n v="1055"/>
    <s v="Matihani"/>
    <x v="381"/>
    <s v="Gomukh Khorampur Chakaur"/>
    <s v="MPG"/>
    <s v="Direct"/>
    <n v="738.4"/>
    <n v="30134.84"/>
    <n v="735.4"/>
    <n v="30228.085918800003"/>
    <n v="3.5"/>
    <n v="143.98292700000002"/>
    <n v="738.9"/>
    <n v="30372.068845800004"/>
    <n v="30134.84"/>
    <n v="0"/>
    <n v="143.98292700000002"/>
    <n v="237.22884580000391"/>
    <n v="0"/>
    <n v="0"/>
    <n v="0"/>
    <n v="29991"/>
    <n v="0"/>
    <n v="0"/>
    <n v="0"/>
    <n v="0"/>
    <n v="0"/>
    <n v="0"/>
    <n v="-7.8722450757994378E-3"/>
    <n v="6"/>
    <m/>
    <s v="Matihani"/>
    <m/>
    <n v="0"/>
  </r>
  <r>
    <s v="Munger"/>
    <s v="10-16 Apr"/>
    <n v="1011"/>
    <s v="Sahibpur Kamal"/>
    <x v="382"/>
    <s v="Goumukh Samastipur"/>
    <s v="MPG"/>
    <s v="Direct"/>
    <n v="1106.1000000000001"/>
    <n v="43782.03"/>
    <n v="1149.04"/>
    <n v="46404.45739354012"/>
    <n v="0"/>
    <n v="0"/>
    <n v="1149.04"/>
    <n v="46404.45739354012"/>
    <n v="43782.03"/>
    <n v="0"/>
    <n v="0"/>
    <n v="2622.4273935401216"/>
    <n v="0"/>
    <n v="0"/>
    <n v="0"/>
    <n v="43782"/>
    <n v="0"/>
    <n v="0"/>
    <n v="0"/>
    <s v="Release1"/>
    <n v="0"/>
    <n v="0"/>
    <n v="-5.9897345864047914E-2"/>
    <n v="20"/>
    <m/>
    <s v="Sahibpur Kamal"/>
    <m/>
    <n v="0"/>
  </r>
  <r>
    <s v="Munger"/>
    <s v="10-16 Apr"/>
    <n v="1011"/>
    <s v="Sahibpur Kamal"/>
    <x v="383"/>
    <s v="GOMUKH Mathar"/>
    <s v="MPG"/>
    <s v="Direct"/>
    <n v="133.4"/>
    <n v="5350.6699999999992"/>
    <n v="127.94"/>
    <n v="5092.0741640268006"/>
    <n v="2.0700000000000003"/>
    <n v="83.306144592000024"/>
    <n v="130.01"/>
    <n v="5175.3803086188009"/>
    <n v="5175.3803086188009"/>
    <n v="0"/>
    <n v="83.306144592000024"/>
    <n v="0"/>
    <n v="0"/>
    <n v="0"/>
    <n v="0"/>
    <n v="5092"/>
    <n v="0"/>
    <n v="0"/>
    <n v="175"/>
    <n v="0"/>
    <n v="454.52618020989502"/>
    <n v="19.057142857142857"/>
    <n v="3.276032560056933E-2"/>
    <n v="5"/>
    <m/>
    <s v="Sahibpur Kamal"/>
    <m/>
    <n v="0"/>
  </r>
  <r>
    <s v="Munger"/>
    <s v="10-16 Apr"/>
    <n v="1011"/>
    <s v="Sahibpur Kamal"/>
    <x v="384"/>
    <s v="Gomukh Kumar Chakki"/>
    <s v="MPG"/>
    <s v="Direct"/>
    <n v="232.20000000000002"/>
    <n v="8477.68"/>
    <n v="231.3"/>
    <n v="8732.3645772"/>
    <n v="0.8"/>
    <n v="30.202456680000001"/>
    <n v="232.10000000000002"/>
    <n v="8762.5670338799991"/>
    <n v="8477.68"/>
    <n v="0"/>
    <n v="30.202456680000001"/>
    <n v="284.88703387999885"/>
    <n v="0"/>
    <n v="0"/>
    <n v="0"/>
    <n v="8447"/>
    <n v="0"/>
    <n v="0"/>
    <n v="0"/>
    <n v="0"/>
    <n v="341.58989698535743"/>
    <n v="33.171428571428571"/>
    <n v="-3.3604362736031422E-2"/>
    <n v="3"/>
    <m/>
    <s v="Sahibpur Kamal"/>
    <m/>
    <n v="0"/>
  </r>
  <r>
    <s v="Munger"/>
    <s v="10-16 Apr"/>
    <n v="1055"/>
    <s v="Matihani"/>
    <x v="385"/>
    <s v="Gomukh Sonapur"/>
    <s v="vlc"/>
    <s v="Indirect"/>
    <n v="448.90000000000003"/>
    <n v="17389.140000000003"/>
    <n v="0"/>
    <n v="0"/>
    <n v="0"/>
    <n v="0"/>
    <n v="0"/>
    <n v="0"/>
    <n v="17389.140000000003"/>
    <n v="0"/>
    <n v="0"/>
    <n v="0"/>
    <n v="0"/>
    <n v="0"/>
    <n v="0"/>
    <n v="0"/>
    <n v="0"/>
    <n v="17389.140000000003"/>
    <n v="0"/>
    <n v="0"/>
    <n v="194.53834056582758"/>
    <n v="64.128571428571433"/>
    <n v="0"/>
    <n v="0"/>
    <m/>
    <s v="Matihani"/>
    <m/>
    <n v="0"/>
  </r>
  <r>
    <s v="Munger"/>
    <s v="10-16 Apr"/>
    <n v="1011"/>
    <s v="Sahibpur Kamal"/>
    <x v="386"/>
    <s v="Gomukh Barkhandi 2"/>
    <s v="MPG"/>
    <s v="Indirect"/>
    <n v="726.49999999999989"/>
    <n v="27901.62"/>
    <n v="0"/>
    <n v="0"/>
    <n v="0"/>
    <n v="0"/>
    <n v="0"/>
    <n v="0"/>
    <n v="27901.62"/>
    <n v="0"/>
    <n v="0"/>
    <n v="0"/>
    <n v="0"/>
    <n v="0"/>
    <n v="0"/>
    <n v="0"/>
    <n v="0"/>
    <n v="27901.62"/>
    <n v="0"/>
    <n v="0"/>
    <n v="0"/>
    <n v="0"/>
    <n v="0"/>
    <n v="0"/>
    <m/>
    <s v="Sahibpur Kamal"/>
    <m/>
    <n v="0"/>
  </r>
  <r>
    <s v="Munger"/>
    <s v="10-16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845.39999999999986"/>
    <n v="32868.86"/>
    <n v="850.80000000000007"/>
    <n v="33096.284682120007"/>
    <n v="3.4999999999999991"/>
    <n v="136.04309136000001"/>
    <n v="854.30000000000007"/>
    <n v="33232.327773480007"/>
    <n v="32868.86"/>
    <n v="0"/>
    <n v="136.04309136000001"/>
    <n v="363.46777348000614"/>
    <n v="0"/>
    <n v="0"/>
    <n v="0"/>
    <n v="32733"/>
    <n v="0"/>
    <n v="0"/>
    <n v="0"/>
    <n v="0"/>
    <n v="0"/>
    <n v="0"/>
    <n v="-1.1058119249648639E-2"/>
    <n v="5"/>
    <m/>
    <s v="Sahibpur Kamal"/>
    <m/>
    <n v="0"/>
  </r>
  <r>
    <s v="Munger"/>
    <s v="10-16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936.4"/>
    <n v="40399.709999999992"/>
    <n v="896.10000000000014"/>
    <n v="38820.544295744003"/>
    <n v="0"/>
    <n v="0"/>
    <n v="896.10000000000014"/>
    <n v="38820.544295744003"/>
    <n v="38820.544295744003"/>
    <n v="0"/>
    <n v="0"/>
    <n v="0"/>
    <n v="0"/>
    <n v="0"/>
    <n v="0"/>
    <n v="38821"/>
    <n v="0"/>
    <n v="0"/>
    <n v="1579"/>
    <n v="0"/>
    <n v="0"/>
    <n v="0"/>
    <n v="3.9088540592395082E-2"/>
    <n v="1"/>
    <m/>
    <s v="Sahibpur Kamal"/>
    <m/>
    <n v="0"/>
  </r>
  <r>
    <s v="Munger"/>
    <s v="10-16 Apr"/>
    <n v="1011"/>
    <s v="Sahibpur Kamal"/>
    <x v="389"/>
    <s v="GOMUKH KATAHRI"/>
    <s v="MPG"/>
    <s v="Direct"/>
    <n v="109.8"/>
    <n v="5775.7699999999995"/>
    <n v="106.80000000000001"/>
    <n v="5571.19445079656"/>
    <n v="1.5"/>
    <n v="82.094151801200013"/>
    <n v="108.30000000000001"/>
    <n v="5653.2886025977596"/>
    <n v="5653.2886025977596"/>
    <n v="0"/>
    <n v="82.094151801200013"/>
    <n v="0"/>
    <n v="1572"/>
    <n v="0"/>
    <n v="0"/>
    <n v="3999"/>
    <n v="0"/>
    <n v="0"/>
    <n v="123"/>
    <n v="0"/>
    <n v="620.92157632058286"/>
    <n v="15.685714285714285"/>
    <n v="2.1206072506737624E-2"/>
    <n v="3"/>
    <m/>
    <s v="Sahibpur Kamal"/>
    <m/>
    <n v="0"/>
  </r>
  <r>
    <s v="Munger"/>
    <s v="10-16 Apr"/>
    <n v="1011"/>
    <s v="Sahibpur Kamal"/>
    <x v="390"/>
    <s v="GOMUKH Mathar Ward 10"/>
    <s v="MPG"/>
    <s v="Direct"/>
    <n v="991.90000000000009"/>
    <n v="42912.770000000011"/>
    <n v="780"/>
    <n v="33736.115160000001"/>
    <n v="227"/>
    <n v="9782.7746940000034"/>
    <n v="1007"/>
    <n v="43518.889854000008"/>
    <n v="42912.770000000011"/>
    <n v="0"/>
    <n v="76.562244000000007"/>
    <n v="606.11985399999685"/>
    <n v="0"/>
    <n v="0"/>
    <n v="0"/>
    <n v="33130"/>
    <n v="9706"/>
    <n v="0"/>
    <n v="0"/>
    <n v="0"/>
    <n v="0"/>
    <n v="0"/>
    <n v="-1.4124463510512062E-2"/>
    <n v="7"/>
    <m/>
    <s v="Sahibpur Kamal"/>
    <m/>
    <n v="0"/>
  </r>
  <r>
    <s v="Munger"/>
    <s v="10-16 Apr"/>
    <n v="1011"/>
    <s v="Sahibpur Kamal"/>
    <x v="391"/>
    <s v="GOMUKH Tartor 2"/>
    <s v="MPG"/>
    <s v="Direct"/>
    <n v="346.69999999999993"/>
    <n v="15500.15"/>
    <n v="353.2"/>
    <n v="17201.036669388002"/>
    <n v="0"/>
    <n v="0"/>
    <n v="353.2"/>
    <n v="17201.036669388002"/>
    <n v="15500.15"/>
    <n v="0"/>
    <n v="0"/>
    <n v="1700.8866693880027"/>
    <n v="0"/>
    <n v="0"/>
    <n v="0"/>
    <n v="15500"/>
    <n v="0"/>
    <n v="0"/>
    <n v="0"/>
    <s v="Release1"/>
    <n v="315.90441274877429"/>
    <n v="49.528571428571418"/>
    <n v="-0.1097335618937883"/>
    <n v="1"/>
    <m/>
    <s v="Sahibpur Kamal"/>
    <m/>
    <n v="0"/>
  </r>
  <r>
    <s v="Munger"/>
    <s v="10-16 Apr"/>
    <n v="1011"/>
    <s v="Sahibpur Kamal"/>
    <x v="392"/>
    <s v="Gomukh Chaidha"/>
    <s v="MPG"/>
    <s v="Direct"/>
    <n v="882.60000000000014"/>
    <n v="34171.53"/>
    <n v="890.63999999999987"/>
    <n v="35029.691175318607"/>
    <n v="5"/>
    <n v="188.25326625600002"/>
    <n v="895.63999999999987"/>
    <n v="35217.944441574604"/>
    <n v="34171.53"/>
    <n v="0"/>
    <n v="188.25326625600002"/>
    <n v="1046.414441574605"/>
    <n v="6500"/>
    <n v="0"/>
    <n v="0"/>
    <n v="27483"/>
    <n v="0"/>
    <n v="0"/>
    <n v="0"/>
    <s v="Release1"/>
    <n v="0"/>
    <n v="0"/>
    <n v="-3.0622405305662494E-2"/>
    <n v="17"/>
    <m/>
    <s v="Sahibpur Kamal"/>
    <m/>
    <n v="0"/>
  </r>
  <r>
    <s v="Munger"/>
    <s v="10-16 Apr"/>
    <n v="1011"/>
    <s v="Sahibpur Kamal"/>
    <x v="393"/>
    <s v="Gomukh Bakiya"/>
    <s v="MPG"/>
    <s v="Direct"/>
    <n v="925.39999999999986"/>
    <n v="36618.020000000004"/>
    <n v="922.32"/>
    <n v="36671.995142789689"/>
    <n v="5.9399999999999995"/>
    <n v="230.13543009600002"/>
    <n v="928.2600000000001"/>
    <n v="36902.13057288569"/>
    <n v="36618.020000000004"/>
    <n v="0"/>
    <n v="230.13543009600002"/>
    <n v="284.11057288568554"/>
    <n v="2700"/>
    <n v="0"/>
    <n v="0"/>
    <n v="33688"/>
    <n v="0"/>
    <n v="0"/>
    <n v="0"/>
    <s v="Release2"/>
    <n v="0"/>
    <n v="0"/>
    <n v="-7.7587639333225964E-3"/>
    <n v="15"/>
    <m/>
    <s v="Sahibpur Kamal"/>
    <m/>
    <n v="0"/>
  </r>
  <r>
    <s v="Munger"/>
    <s v="10-16 Apr"/>
    <n v="1011"/>
    <s v="Sahibpur Kamal"/>
    <x v="395"/>
    <s v="GOMUKH Nista Tol"/>
    <s v="MPG"/>
    <s v="Direct"/>
    <n v="166.59999999999997"/>
    <n v="7810.84"/>
    <n v="161.66"/>
    <n v="7615.1069178869002"/>
    <n v="0"/>
    <n v="0"/>
    <n v="161.66"/>
    <n v="7615.1069178869002"/>
    <n v="7615.1069178869002"/>
    <n v="0"/>
    <n v="0"/>
    <n v="0"/>
    <n v="0"/>
    <n v="0"/>
    <n v="0"/>
    <n v="7615"/>
    <n v="0"/>
    <n v="0"/>
    <n v="196"/>
    <n v="0"/>
    <n v="500.15630924369754"/>
    <n v="23.799999999999994"/>
    <n v="2.5059159080598241E-2"/>
    <n v="2"/>
    <m/>
    <s v="Sahibpur Kamal"/>
    <m/>
    <n v="0"/>
  </r>
  <r>
    <s v="Munger"/>
    <s v="10-16 Apr"/>
    <n v="1011"/>
    <s v="Sahibpur Kamal"/>
    <x v="396"/>
    <s v="GOMUKH SRINAGAR"/>
    <s v="MPG"/>
    <s v="Direct"/>
    <n v="1752"/>
    <n v="71503.040000000008"/>
    <n v="1714.3400000000001"/>
    <n v="74966.594745576804"/>
    <n v="87.999999999999986"/>
    <n v="3682.7107308534805"/>
    <n v="1802.3400000000001"/>
    <n v="78649.30547643028"/>
    <n v="71503.040000000008"/>
    <n v="0"/>
    <n v="150.80461723080003"/>
    <n v="7146.2654764302715"/>
    <n v="26250"/>
    <n v="0"/>
    <n v="0"/>
    <n v="41570"/>
    <n v="3532"/>
    <n v="0"/>
    <n v="0"/>
    <n v="0"/>
    <n v="0"/>
    <n v="0"/>
    <n v="-9.9943519554277285E-2"/>
    <n v="8"/>
    <m/>
    <s v="Sahibpur Kamal"/>
    <m/>
    <n v="0"/>
  </r>
  <r>
    <s v="Munger"/>
    <s v="10-16 Apr"/>
    <n v="1011"/>
    <s v="Sahibpur Kamal"/>
    <x v="397"/>
    <s v="GOMUKH THATHA"/>
    <s v="MPG"/>
    <s v="Direct"/>
    <n v="475.6"/>
    <n v="15440.29"/>
    <n v="928.5"/>
    <n v="30692.224852542004"/>
    <n v="0"/>
    <n v="0"/>
    <n v="928.5"/>
    <n v="30692.224852542004"/>
    <n v="15440.29"/>
    <n v="0"/>
    <n v="0"/>
    <n v="15251.934852542003"/>
    <n v="0"/>
    <n v="500"/>
    <n v="0"/>
    <n v="14940"/>
    <n v="0"/>
    <n v="0"/>
    <n v="0"/>
    <n v="0"/>
    <n v="145.70231606391926"/>
    <n v="67.94285714285715"/>
    <n v="-0.98780106154366287"/>
    <n v="1"/>
    <m/>
    <s v="Sahibpur Kamal"/>
    <m/>
    <n v="500"/>
  </r>
  <r>
    <s v="Munger"/>
    <s v="10-16 Apr"/>
    <n v="1011"/>
    <s v="Sahibpur Kamal"/>
    <x v="398"/>
    <s v="GOMUKH SANHA NAYATOLA"/>
    <s v="MPG"/>
    <s v="Direct"/>
    <n v="256.39999999999998"/>
    <n v="9610.369999999999"/>
    <n v="253.6"/>
    <n v="9484.9800130800013"/>
    <n v="0"/>
    <n v="0"/>
    <n v="253.6"/>
    <n v="9484.9800130800013"/>
    <n v="9484.9800130800013"/>
    <n v="0"/>
    <n v="0"/>
    <n v="0"/>
    <n v="0"/>
    <n v="0"/>
    <n v="0"/>
    <n v="9485"/>
    <n v="0"/>
    <n v="0"/>
    <n v="125"/>
    <n v="0"/>
    <n v="332.53979188767545"/>
    <n v="36.628571428571426"/>
    <n v="1.3047363100483924E-2"/>
    <n v="1"/>
    <m/>
    <s v="Sahibpur Kamal"/>
    <m/>
    <n v="0"/>
  </r>
  <r>
    <s v="Munger"/>
    <s v="10-16 Apr"/>
    <n v="1011"/>
    <s v="Sahibpur Kamal"/>
    <x v="399"/>
    <s v="Gomukh Durgapur"/>
    <s v="MPG"/>
    <s v="Direct"/>
    <n v="481.1"/>
    <n v="19622.990000000002"/>
    <n v="529"/>
    <n v="21714.831974088003"/>
    <n v="1.9999999999999998"/>
    <n v="82.475791200000003"/>
    <n v="531"/>
    <n v="21797.307765288002"/>
    <n v="19622.990000000002"/>
    <n v="0"/>
    <n v="82.475791200000003"/>
    <n v="2174.3177652880004"/>
    <n v="0"/>
    <n v="500"/>
    <n v="0"/>
    <n v="19041"/>
    <n v="0"/>
    <n v="0"/>
    <n v="0"/>
    <n v="0"/>
    <n v="178.56880112242777"/>
    <n v="68.728571428571428"/>
    <n v="-0.11080461057606411"/>
    <n v="3"/>
    <m/>
    <s v="Sahibpur Kamal"/>
    <m/>
    <n v="500"/>
  </r>
  <r>
    <s v="Munger"/>
    <s v="10-16 Apr"/>
    <n v="1054"/>
    <s v="Alauli "/>
    <x v="401"/>
    <s v="Gomukh Koniya"/>
    <s v="MPG"/>
    <s v="Direct"/>
    <n v="441.29999999999995"/>
    <n v="15657.34"/>
    <n v="578"/>
    <n v="22411.323237599998"/>
    <n v="12"/>
    <n v="465.04905479999996"/>
    <n v="590"/>
    <n v="22876.372292399999"/>
    <n v="15657.34"/>
    <n v="0"/>
    <n v="465.04905479999996"/>
    <n v="7219.0322923999993"/>
    <n v="0"/>
    <n v="0"/>
    <n v="0"/>
    <n v="15192"/>
    <n v="0"/>
    <n v="0"/>
    <n v="0"/>
    <n v="0"/>
    <n v="183.57370759120784"/>
    <n v="63.042857142857137"/>
    <n v="-0.4610637753539234"/>
    <n v="2"/>
    <m/>
    <s v="Alauli "/>
    <m/>
    <n v="0"/>
  </r>
  <r>
    <s v="Munger"/>
    <s v="10-16 Apr"/>
    <n v="1011"/>
    <s v="Sahibpur Kamal"/>
    <x v="402"/>
    <s v="GOMUKH ROHUA"/>
    <s v="MPG"/>
    <s v="Direct"/>
    <n v="465.70000000000005"/>
    <n v="17004.169999999998"/>
    <n v="464.84"/>
    <n v="16986.577831363804"/>
    <n v="7.0499999999999989"/>
    <n v="261.26885545200008"/>
    <n v="471.89"/>
    <n v="17247.846686815803"/>
    <n v="17004.169999999998"/>
    <n v="0"/>
    <n v="261.26885545200008"/>
    <n v="243.67668681580471"/>
    <n v="0"/>
    <n v="0"/>
    <n v="0"/>
    <n v="16743"/>
    <n v="0"/>
    <n v="0"/>
    <n v="0"/>
    <s v="Release1"/>
    <n v="171.10058110371472"/>
    <n v="66.528571428571439"/>
    <n v="-1.4330407589185756E-2"/>
    <n v="13"/>
    <m/>
    <s v="Sahibpur Kamal"/>
    <m/>
    <n v="0"/>
  </r>
  <r>
    <s v="Munger"/>
    <s v="10-16 Apr"/>
    <n v="1011"/>
    <s v="Sahibpur Kamal"/>
    <x v="403"/>
    <s v="GOMUKH LAXMIPUR"/>
    <s v="MPG"/>
    <s v="Direct"/>
    <n v="455.2"/>
    <n v="19571.359999999997"/>
    <n v="608.29999999999995"/>
    <n v="24835.983035373007"/>
    <n v="2"/>
    <n v="81.842112000000014"/>
    <n v="610.29999999999995"/>
    <n v="24917.825147373005"/>
    <n v="19571.359999999997"/>
    <n v="0"/>
    <n v="81.842112000000014"/>
    <n v="5346.4651473730082"/>
    <n v="0"/>
    <n v="0"/>
    <n v="0"/>
    <n v="19490"/>
    <n v="0"/>
    <n v="0"/>
    <n v="0"/>
    <s v="Release1"/>
    <n v="210.50390720562388"/>
    <n v="65.028571428571425"/>
    <n v="-0.27317800844565782"/>
    <n v="12"/>
    <m/>
    <s v="Sahibpur Kamal"/>
    <m/>
    <n v="0"/>
  </r>
  <r>
    <s v="Munger"/>
    <s v="10-16 Apr"/>
    <n v="1054"/>
    <s v="Alauli "/>
    <x v="404"/>
    <s v="GOMUKH BACHOTA"/>
    <s v="MPG"/>
    <s v="Direct"/>
    <n v="114.20000000000002"/>
    <n v="5000.9700000000012"/>
    <n v="119.43"/>
    <n v="4963.6000323360004"/>
    <n v="0.85"/>
    <n v="34.144834125600006"/>
    <n v="120.28"/>
    <n v="4997.7448664616004"/>
    <n v="4997.7448664616004"/>
    <n v="0"/>
    <n v="34.144834125600006"/>
    <n v="0"/>
    <n v="0"/>
    <n v="500"/>
    <n v="0"/>
    <n v="4464"/>
    <n v="0"/>
    <n v="0"/>
    <n v="3"/>
    <n v="0"/>
    <n v="513.05923397548167"/>
    <n v="16.314285714285717"/>
    <n v="6.4490159677038021E-4"/>
    <n v="3"/>
    <m/>
    <s v="Alauli "/>
    <m/>
    <n v="500"/>
  </r>
  <r>
    <s v="Munger"/>
    <s v="10-16 Apr"/>
    <n v="1054"/>
    <s v="Alauli "/>
    <x v="405"/>
    <s v="GOMUKH CHATAR"/>
    <s v="MPG"/>
    <s v="Direct"/>
    <n v="149.5"/>
    <n v="6038.17"/>
    <n v="153.19999999999996"/>
    <n v="6187.392474119999"/>
    <n v="0"/>
    <n v="0"/>
    <n v="153.19999999999996"/>
    <n v="6187.392474119999"/>
    <n v="6038.17"/>
    <n v="0"/>
    <n v="0"/>
    <n v="149.22247411999888"/>
    <n v="0"/>
    <n v="500"/>
    <n v="0"/>
    <n v="5538"/>
    <n v="0"/>
    <n v="0"/>
    <n v="0"/>
    <n v="0"/>
    <n v="444.68395785953174"/>
    <n v="21.357142857142858"/>
    <n v="-2.4713195242929378E-2"/>
    <n v="1"/>
    <m/>
    <s v="Alauli "/>
    <m/>
    <n v="500"/>
  </r>
  <r>
    <s v="Munger"/>
    <s v="10-16 Apr"/>
    <n v="1054"/>
    <s v="Alauli "/>
    <x v="406"/>
    <s v="GOMUKH BATHNAMA"/>
    <s v="MPG"/>
    <s v="Direct"/>
    <n v="3307.9999999999995"/>
    <n v="140311.84"/>
    <n v="3381.62"/>
    <n v="142458.8040410692"/>
    <n v="7.6599999999999993"/>
    <n v="331.32806384384003"/>
    <n v="3389.2799999999997"/>
    <n v="142790.13210491303"/>
    <n v="140311.84"/>
    <n v="0"/>
    <n v="331.32806384384003"/>
    <n v="2478.2921049130382"/>
    <n v="4098"/>
    <n v="0"/>
    <n v="0"/>
    <n v="135883"/>
    <n v="0"/>
    <n v="0"/>
    <n v="0"/>
    <n v="0"/>
    <n v="0"/>
    <n v="0"/>
    <n v="-1.7662743963111297E-2"/>
    <n v="16"/>
    <m/>
    <s v="Alauli "/>
    <m/>
    <n v="0"/>
  </r>
  <r>
    <s v="Munger"/>
    <s v="10-16 Apr"/>
    <n v="1054"/>
    <s v="Alauli "/>
    <x v="407"/>
    <s v="GOMUKH TILAK NAGAR"/>
    <s v="MPG"/>
    <s v="Direct"/>
    <n v="297.3"/>
    <n v="12457.010000000002"/>
    <n v="280.91999999999996"/>
    <n v="11825.951458743943"/>
    <n v="5.63"/>
    <n v="239.77283525363003"/>
    <n v="286.54999999999995"/>
    <n v="12065.724293997573"/>
    <n v="12065.724293997573"/>
    <n v="0"/>
    <n v="239.77283525363003"/>
    <n v="0"/>
    <n v="0"/>
    <n v="0"/>
    <n v="0"/>
    <n v="11827"/>
    <n v="0"/>
    <n v="0"/>
    <n v="390"/>
    <n v="0"/>
    <n v="337.46639266733945"/>
    <n v="42.471428571428575"/>
    <n v="3.14108847951819E-2"/>
    <n v="11"/>
    <m/>
    <s v="Alauli "/>
    <m/>
    <n v="0"/>
  </r>
  <r>
    <s v="Munger"/>
    <s v="10-16 Apr"/>
    <n v="1011"/>
    <s v="Sahibpur Kamal"/>
    <x v="408"/>
    <s v="Gomukh Thatha Purvi"/>
    <s v="MPG"/>
    <s v="Direct"/>
    <n v="607.20000000000005"/>
    <n v="22835.829999999998"/>
    <n v="613.77"/>
    <n v="23747.137183185358"/>
    <n v="0"/>
    <n v="0"/>
    <n v="613.77"/>
    <n v="23747.137183185358"/>
    <n v="22835.829999999998"/>
    <n v="0"/>
    <n v="0"/>
    <n v="911.30718318535946"/>
    <n v="0"/>
    <n v="0"/>
    <n v="0"/>
    <n v="22836"/>
    <n v="0"/>
    <n v="0"/>
    <n v="0"/>
    <n v="0"/>
    <n v="69.801219499341201"/>
    <n v="86.742857142857147"/>
    <n v="-3.9906899954385698E-2"/>
    <n v="15"/>
    <m/>
    <s v="Sahibpur Kamal"/>
    <m/>
    <n v="0"/>
  </r>
  <r>
    <s v="Munger"/>
    <s v="10-16 Apr"/>
    <n v="1011"/>
    <s v="Sahibpur Kamal"/>
    <x v="409"/>
    <s v="Gomukh Rahimpur Dakshin"/>
    <s v="MPG"/>
    <s v="Direct"/>
    <n v="6781.2"/>
    <n v="271532.78999999992"/>
    <n v="3523.5800000000004"/>
    <n v="148689.22560267436"/>
    <n v="3255.5"/>
    <n v="126865.63187100002"/>
    <n v="6779.08"/>
    <n v="275554.85747367435"/>
    <n v="271532.78999999992"/>
    <n v="0"/>
    <n v="214.58537099999998"/>
    <n v="4022.0674736744259"/>
    <n v="0"/>
    <n v="0"/>
    <n v="0"/>
    <n v="144667"/>
    <n v="126651"/>
    <n v="0"/>
    <n v="0"/>
    <n v="0"/>
    <n v="0"/>
    <n v="0"/>
    <n v="-1.4812455886725235E-2"/>
    <n v="9"/>
    <m/>
    <s v="Sahibpur Kamal"/>
    <m/>
    <n v="0"/>
  </r>
  <r>
    <s v="Munger"/>
    <s v="10-16 Apr"/>
    <n v="1054"/>
    <s v="Alauli "/>
    <x v="410"/>
    <s v="GOMUKH MORKAHI"/>
    <s v="MPG"/>
    <s v="Direct"/>
    <n v="289.10000000000002"/>
    <n v="11555.53"/>
    <n v="290.44000000000005"/>
    <n v="11813.864652216"/>
    <n v="1.29"/>
    <n v="52.298516556000003"/>
    <n v="291.73000000000008"/>
    <n v="11866.163168772"/>
    <n v="11555.53"/>
    <n v="0"/>
    <n v="52.298516556000003"/>
    <n v="310.63316877199941"/>
    <n v="0"/>
    <n v="0"/>
    <n v="0"/>
    <n v="11503"/>
    <n v="0"/>
    <n v="0"/>
    <n v="0"/>
    <s v="Release1"/>
    <n v="328.47923050847459"/>
    <n v="41.300000000000004"/>
    <n v="-2.6881775978427593E-2"/>
    <n v="2"/>
    <m/>
    <s v="Alauli "/>
    <m/>
    <n v="0"/>
  </r>
  <r>
    <s v="Munger"/>
    <s v="10-16 Apr"/>
    <n v="1055"/>
    <s v="Matihani"/>
    <x v="411"/>
    <s v="GOMUKH HANSPUR"/>
    <s v="MPG"/>
    <s v="Direct"/>
    <n v="219.2"/>
    <n v="9910.51"/>
    <n v="219.71"/>
    <n v="10606.016152664199"/>
    <n v="1.9899999999999998"/>
    <n v="127.49502880330003"/>
    <n v="221.70000000000002"/>
    <n v="10733.511181467498"/>
    <n v="9910.51"/>
    <n v="0"/>
    <n v="127.49502880330003"/>
    <n v="823.0011814674981"/>
    <n v="0"/>
    <n v="500"/>
    <n v="0"/>
    <n v="9283"/>
    <n v="0"/>
    <n v="0"/>
    <n v="0"/>
    <n v="0"/>
    <n v="434.7603291970803"/>
    <n v="31.314285714285713"/>
    <n v="-8.3043272391380277E-2"/>
    <n v="4"/>
    <m/>
    <s v="Matihani"/>
    <m/>
    <n v="500"/>
  </r>
  <r>
    <s v="Munger"/>
    <s v="10-16 Apr"/>
    <n v="1055"/>
    <s v="Matihani"/>
    <x v="412"/>
    <s v="GOMUKH NAYAGAON 2"/>
    <s v="MPG"/>
    <s v="Direct"/>
    <n v="250.79999999999998"/>
    <n v="12742.449999999995"/>
    <n v="248.86"/>
    <n v="12933.783235197001"/>
    <n v="4.9999999999999991"/>
    <n v="281.14591748188002"/>
    <n v="253.86"/>
    <n v="13214.92915267888"/>
    <n v="12742.449999999995"/>
    <n v="0"/>
    <n v="281.14591748188002"/>
    <n v="472.47915267888493"/>
    <n v="0"/>
    <n v="0"/>
    <n v="0"/>
    <n v="12461"/>
    <n v="0"/>
    <n v="0"/>
    <n v="0"/>
    <n v="0"/>
    <n v="456.45203668261553"/>
    <n v="35.828571428571429"/>
    <n v="-3.7079145115647708E-2"/>
    <n v="5"/>
    <m/>
    <s v="Matihani"/>
    <m/>
    <n v="0"/>
  </r>
  <r>
    <s v="Munger"/>
    <s v="10-16 Apr"/>
    <n v="1054"/>
    <s v="Alauli "/>
    <x v="414"/>
    <s v="GOMUKH LABHGAON"/>
    <s v="MPG"/>
    <s v="Direct"/>
    <n v="495.50000000000006"/>
    <n v="17438.46"/>
    <n v="503.35000000000014"/>
    <n v="17431.460069324403"/>
    <n v="0"/>
    <n v="0"/>
    <n v="503.35000000000014"/>
    <n v="17431.460069324403"/>
    <n v="17431.460069324403"/>
    <n v="0"/>
    <n v="0"/>
    <n v="0"/>
    <n v="0"/>
    <n v="0"/>
    <n v="0"/>
    <n v="17431"/>
    <n v="0"/>
    <n v="0"/>
    <n v="7"/>
    <n v="0"/>
    <n v="143.94208153380416"/>
    <n v="70.785714285714292"/>
    <n v="4.0140761716322775E-4"/>
    <n v="2"/>
    <m/>
    <s v="Alauli "/>
    <m/>
    <n v="0"/>
  </r>
  <r>
    <s v="Munger"/>
    <s v="10-16 Apr"/>
    <n v="1054"/>
    <s v="Alauli "/>
    <x v="415"/>
    <s v="GOMUKH CHANDPURA"/>
    <s v="MPG"/>
    <s v="Direct"/>
    <n v="562.70000000000005"/>
    <n v="20432.929999999997"/>
    <n v="564.6"/>
    <n v="20561.432984928"/>
    <n v="0"/>
    <n v="0"/>
    <n v="564.6"/>
    <n v="20561.432984928"/>
    <n v="20432.929999999997"/>
    <n v="0"/>
    <n v="0"/>
    <n v="128.50298492800357"/>
    <n v="0"/>
    <n v="0"/>
    <n v="0"/>
    <n v="20433"/>
    <n v="0"/>
    <n v="0"/>
    <n v="0"/>
    <n v="0"/>
    <n v="99.713569895148382"/>
    <n v="80.385714285714286"/>
    <n v="-6.2890141026276502E-3"/>
    <n v="5"/>
    <m/>
    <s v="Alauli "/>
    <m/>
    <n v="0"/>
  </r>
  <r>
    <s v="Munger"/>
    <s v="10-16 Apr"/>
    <n v="1054"/>
    <s v="Alauli "/>
    <x v="416"/>
    <s v="GOMUKH BADIL TOL"/>
    <s v="MPG"/>
    <s v="Direct"/>
    <n v="643.09999999999991"/>
    <n v="24930.560000000001"/>
    <n v="455.91000000000008"/>
    <n v="17976.680836991687"/>
    <n v="182.39000000000001"/>
    <n v="6947.3513800464498"/>
    <n v="638.30000000000007"/>
    <n v="24924.032217038137"/>
    <n v="24924.032217038137"/>
    <n v="0"/>
    <n v="618.67161720540014"/>
    <n v="0"/>
    <n v="0"/>
    <n v="0"/>
    <n v="0"/>
    <n v="17977"/>
    <n v="6329"/>
    <n v="0"/>
    <n v="6"/>
    <n v="0"/>
    <n v="44.115965293111607"/>
    <n v="91.871428571428552"/>
    <n v="2.6183860137375301E-4"/>
    <n v="13"/>
    <m/>
    <s v="Alauli "/>
    <m/>
    <n v="0"/>
  </r>
  <r>
    <s v="Munger"/>
    <s v="10-16 Apr"/>
    <n v="1054"/>
    <s v="Alauli "/>
    <x v="417"/>
    <s v="GOMUKH TRIBHUVAN TOLA"/>
    <s v="MPG"/>
    <s v="Direct"/>
    <n v="309"/>
    <n v="11341.79"/>
    <n v="312.27"/>
    <n v="11786.893138610261"/>
    <n v="0"/>
    <n v="0"/>
    <n v="312.27"/>
    <n v="11786.893138610261"/>
    <n v="11341.79"/>
    <n v="0"/>
    <n v="0"/>
    <n v="445.10313861026043"/>
    <n v="0"/>
    <n v="0"/>
    <n v="0"/>
    <n v="11342"/>
    <n v="0"/>
    <n v="0"/>
    <n v="0"/>
    <n v="0"/>
    <n v="287.03170809061493"/>
    <n v="44.142857142857146"/>
    <n v="-3.9244523008295902E-2"/>
    <n v="13"/>
    <m/>
    <s v="Alauli "/>
    <m/>
    <n v="0"/>
  </r>
  <r>
    <s v="Munger"/>
    <s v="10-16 Apr"/>
    <n v="1054"/>
    <s v="Alauli "/>
    <x v="418"/>
    <s v="GOMUKH SANTOSHPUL"/>
    <s v="MPG"/>
    <s v="Direct"/>
    <n v="1209.6000000000001"/>
    <n v="51659.090000000004"/>
    <n v="31.6"/>
    <n v="1346.4875952"/>
    <n v="1178"/>
    <n v="50321.414602799996"/>
    <n v="1209.5999999999999"/>
    <n v="51667.902197999996"/>
    <n v="51659.090000000004"/>
    <n v="0"/>
    <n v="0"/>
    <n v="8.8121979999923497"/>
    <n v="0"/>
    <n v="0"/>
    <n v="0"/>
    <n v="1338"/>
    <n v="50321"/>
    <n v="0"/>
    <n v="0"/>
    <n v="0"/>
    <n v="0"/>
    <n v="0"/>
    <n v="-1.7058368623977597E-4"/>
    <n v="6"/>
    <m/>
    <s v="Alauli "/>
    <m/>
    <n v="0"/>
  </r>
  <r>
    <s v="Munger"/>
    <s v="10-16 Apr"/>
    <n v="1054"/>
    <s v="Alauli "/>
    <x v="419"/>
    <s v="GOMUKH AHUNA"/>
    <s v="MPG"/>
    <s v="Direct"/>
    <n v="381.8"/>
    <n v="13584.57"/>
    <n v="383.44000000000005"/>
    <n v="13563.247059766802"/>
    <n v="0.4"/>
    <n v="12.952226232000001"/>
    <n v="383.84000000000003"/>
    <n v="13576.199285998802"/>
    <n v="13576.199285998802"/>
    <n v="0"/>
    <n v="12.952226232000001"/>
    <n v="0"/>
    <n v="0"/>
    <n v="500"/>
    <n v="0"/>
    <n v="13063"/>
    <n v="0"/>
    <n v="0"/>
    <n v="9"/>
    <n v="0"/>
    <n v="226.4332202200105"/>
    <n v="54.542857142857144"/>
    <n v="6.1619278351817428E-4"/>
    <n v="2"/>
    <m/>
    <s v="Alauli "/>
    <m/>
    <n v="500"/>
  </r>
  <r>
    <s v="Munger"/>
    <s v="10-16 Apr"/>
    <n v="1055"/>
    <s v="Matihani"/>
    <x v="420"/>
    <s v="GOMUKH SHADIPUR"/>
    <s v="MPG"/>
    <s v="Direct"/>
    <n v="980.8"/>
    <n v="39429.579999999994"/>
    <n v="987.96999999999991"/>
    <n v="39002.603989776399"/>
    <n v="22.289999999999992"/>
    <n v="844.45311733200015"/>
    <n v="1010.2599999999999"/>
    <n v="39847.057107108398"/>
    <n v="39429.579999999994"/>
    <n v="0"/>
    <n v="844.45311733200015"/>
    <n v="417.47710710840329"/>
    <n v="0"/>
    <n v="0"/>
    <n v="0"/>
    <n v="38585"/>
    <n v="0"/>
    <n v="0"/>
    <n v="0"/>
    <n v="0"/>
    <n v="0"/>
    <n v="0"/>
    <n v="-1.0587916663286887E-2"/>
    <n v="11"/>
    <m/>
    <s v="Matihani"/>
    <m/>
    <n v="0"/>
  </r>
  <r>
    <s v="Munger"/>
    <s v="10-16 Apr"/>
    <n v="1055"/>
    <s v="Matihani"/>
    <x v="421"/>
    <s v="GOMUKH ASHRAPHA DIYARA"/>
    <s v="MPG"/>
    <s v="Direct"/>
    <n v="726.50000000000011"/>
    <n v="29425.320000000007"/>
    <n v="718.8900000000001"/>
    <n v="29024.679452646949"/>
    <n v="8.34"/>
    <n v="355.73894727146995"/>
    <n v="727.23000000000013"/>
    <n v="29380.418399918421"/>
    <n v="29380.418399918421"/>
    <n v="0"/>
    <n v="355.73894727146995"/>
    <n v="0"/>
    <n v="0"/>
    <n v="0"/>
    <n v="0"/>
    <n v="29026"/>
    <n v="0"/>
    <n v="0"/>
    <n v="44"/>
    <n v="0"/>
    <n v="0"/>
    <n v="0"/>
    <n v="1.5259511224206348E-3"/>
    <n v="13"/>
    <m/>
    <s v="Matihani"/>
    <m/>
    <n v="0"/>
  </r>
  <r>
    <s v="Munger"/>
    <s v="10-16 Apr"/>
    <n v="1055"/>
    <s v="Matihani"/>
    <x v="422"/>
    <s v="GOMUKH MANIAPPA"/>
    <s v="MPG"/>
    <s v="Direct"/>
    <n v="1082"/>
    <n v="41509.550000000003"/>
    <n v="1074.71"/>
    <n v="40964.552709616801"/>
    <n v="3.76"/>
    <n v="135.37542981600001"/>
    <n v="1078.47"/>
    <n v="41099.928139432799"/>
    <n v="41099.928139432799"/>
    <n v="0"/>
    <n v="135.37542981600001"/>
    <n v="0"/>
    <n v="0"/>
    <n v="0"/>
    <n v="0"/>
    <n v="40964"/>
    <n v="0"/>
    <n v="0"/>
    <n v="410"/>
    <n v="0"/>
    <n v="0"/>
    <n v="0"/>
    <n v="9.8681354186495353E-3"/>
    <n v="10"/>
    <m/>
    <s v="Matihani"/>
    <m/>
    <n v="0"/>
  </r>
  <r>
    <s v="Munger"/>
    <s v="10-16 Apr"/>
    <n v="1054"/>
    <s v="Alauli "/>
    <x v="423"/>
    <s v="GOMUKH D SANJHAUTI"/>
    <s v="MPG"/>
    <s v="Direct"/>
    <n v="748.9"/>
    <n v="27366.560000000001"/>
    <n v="811"/>
    <n v="32338.663038000002"/>
    <n v="0"/>
    <n v="0"/>
    <n v="811"/>
    <n v="32338.663038000002"/>
    <n v="27366.560000000001"/>
    <n v="0"/>
    <n v="0"/>
    <n v="4972.1030380000011"/>
    <n v="0"/>
    <n v="0"/>
    <n v="0"/>
    <n v="27367"/>
    <n v="0"/>
    <n v="0"/>
    <n v="0"/>
    <n v="0"/>
    <n v="0"/>
    <n v="0"/>
    <n v="-0.18168535022304597"/>
    <n v="4"/>
    <m/>
    <s v="Alauli "/>
    <m/>
    <n v="0"/>
  </r>
  <r>
    <s v="Munger"/>
    <s v="10-16 Apr"/>
    <n v="1054"/>
    <s v="Alauli "/>
    <x v="424"/>
    <s v="GOMUKH DHUSMURI BISHANPUR"/>
    <s v="MPG"/>
    <s v="Direct"/>
    <n v="220.49999999999997"/>
    <n v="8846.6799999999985"/>
    <n v="334.40000000000003"/>
    <n v="14254.736129028001"/>
    <n v="0"/>
    <n v="0"/>
    <n v="334.40000000000003"/>
    <n v="14254.736129028001"/>
    <n v="8846.6799999999985"/>
    <n v="0"/>
    <n v="0"/>
    <n v="5408.056129028002"/>
    <n v="0"/>
    <n v="0"/>
    <n v="0"/>
    <n v="8847"/>
    <n v="0"/>
    <n v="0"/>
    <n v="0"/>
    <n v="0"/>
    <n v="384.76036825396829"/>
    <n v="31.499999999999996"/>
    <n v="-0.61130911585227488"/>
    <n v="1"/>
    <m/>
    <s v="Alauli "/>
    <m/>
    <n v="0"/>
  </r>
  <r>
    <s v="Munger"/>
    <s v="10-16 Apr"/>
    <n v="1054"/>
    <s v="Alauli "/>
    <x v="425"/>
    <s v="GOMUKH ANANDPUR PARAS"/>
    <s v="MPG"/>
    <s v="Direct"/>
    <n v="2243.7999999999997"/>
    <n v="85733.07"/>
    <n v="2243.8000000000002"/>
    <n v="85422.565082051995"/>
    <n v="0"/>
    <n v="0"/>
    <n v="2243.8000000000002"/>
    <n v="85422.565082051995"/>
    <n v="85422.565082051995"/>
    <n v="0"/>
    <n v="0"/>
    <n v="0"/>
    <n v="0"/>
    <n v="0"/>
    <n v="0"/>
    <n v="85423"/>
    <n v="0"/>
    <n v="0"/>
    <n v="310"/>
    <n v="0"/>
    <n v="0"/>
    <n v="0"/>
    <n v="3.6217636665526148E-3"/>
    <n v="1"/>
    <m/>
    <s v="Alauli "/>
    <m/>
    <n v="0"/>
  </r>
  <r>
    <s v="Munger"/>
    <s v="10-16 Apr"/>
    <n v="1054"/>
    <s v="Alauli "/>
    <x v="426"/>
    <s v="Gomukh Bishanpur"/>
    <s v="MPG"/>
    <s v="Direct"/>
    <n v="297.49999999999994"/>
    <n v="11434.730000000001"/>
    <n v="302.33"/>
    <n v="12487.640298555481"/>
    <n v="0"/>
    <n v="0"/>
    <n v="302.33"/>
    <n v="12487.640298555481"/>
    <n v="11434.730000000001"/>
    <n v="0"/>
    <n v="0"/>
    <n v="1052.91029855548"/>
    <n v="0"/>
    <n v="500"/>
    <n v="0"/>
    <n v="10935"/>
    <n v="0"/>
    <n v="0"/>
    <n v="0"/>
    <n v="0"/>
    <n v="309.41034117647075"/>
    <n v="42.499999999999993"/>
    <n v="-9.2080031496631742E-2"/>
    <n v="2"/>
    <m/>
    <s v="Alauli "/>
    <m/>
    <n v="500"/>
  </r>
  <r>
    <s v="Munger"/>
    <s v="10-16 Apr"/>
    <n v="1054"/>
    <s v="Alauli "/>
    <x v="427"/>
    <s v="GOMUKH BISHANPUR 2"/>
    <s v="MPG"/>
    <s v="Direct"/>
    <n v="485.90000000000003"/>
    <n v="19641.62"/>
    <n v="489.70000000000005"/>
    <n v="19834.741433544594"/>
    <n v="0"/>
    <n v="0"/>
    <n v="489.70000000000005"/>
    <n v="19834.741433544594"/>
    <n v="19641.62"/>
    <n v="0"/>
    <n v="0"/>
    <n v="193.12143354459477"/>
    <n v="0"/>
    <n v="0"/>
    <n v="0"/>
    <n v="19642"/>
    <n v="0"/>
    <n v="0"/>
    <n v="0"/>
    <n v="0"/>
    <n v="173.09202889483421"/>
    <n v="69.414285714285725"/>
    <n v="-9.8322558701672662E-3"/>
    <n v="9"/>
    <m/>
    <s v="Alauli "/>
    <m/>
    <n v="0"/>
  </r>
  <r>
    <s v="Munger"/>
    <s v="10-16 Apr"/>
    <n v="1055"/>
    <s v="Matihani"/>
    <x v="428"/>
    <s v="DAYA DEVI"/>
    <s v="vlc"/>
    <s v="Indirect"/>
    <n v="24.2"/>
    <n v="923.23"/>
    <n v="0"/>
    <n v="0"/>
    <n v="0"/>
    <n v="0"/>
    <n v="0"/>
    <n v="0"/>
    <n v="923.23"/>
    <n v="0"/>
    <n v="0"/>
    <n v="0"/>
    <n v="0"/>
    <n v="0"/>
    <n v="0"/>
    <n v="0"/>
    <n v="0"/>
    <n v="923.23"/>
    <n v="0"/>
    <n v="0"/>
    <n v="515.63539999999989"/>
    <n v="3.4571428571428569"/>
    <n v="0"/>
    <n v="0"/>
    <m/>
    <s v="Matihani"/>
    <m/>
    <n v="0"/>
  </r>
  <r>
    <s v="Munger"/>
    <s v="10-16 Apr"/>
    <n v="1054"/>
    <s v="Alauli "/>
    <x v="429"/>
    <s v="GOMUKH GHAMARIYA"/>
    <s v="MPG"/>
    <s v="Direct"/>
    <n v="269.89999999999998"/>
    <n v="11354.500000000002"/>
    <n v="264.63"/>
    <n v="11648.20354098158"/>
    <n v="3.8099999999999996"/>
    <n v="185.65911230286997"/>
    <n v="268.44"/>
    <n v="11833.86265328445"/>
    <n v="11354.500000000002"/>
    <n v="0"/>
    <n v="185.65911230286997"/>
    <n v="479.36265328444824"/>
    <n v="0"/>
    <n v="0"/>
    <n v="0"/>
    <n v="11169"/>
    <n v="0"/>
    <n v="0"/>
    <n v="0"/>
    <n v="0"/>
    <n v="361.87998888477227"/>
    <n v="38.557142857142857"/>
    <n v="-4.221785664577464E-2"/>
    <n v="6"/>
    <m/>
    <s v="Alauli "/>
    <m/>
    <n v="0"/>
  </r>
  <r>
    <s v="Munger"/>
    <s v="10-16 Apr"/>
    <n v="1054"/>
    <s v="Alauli "/>
    <x v="430"/>
    <s v="GOMUKH MEGHAUMA"/>
    <s v="MPG"/>
    <s v="Direct"/>
    <n v="1037.9000000000001"/>
    <n v="41757.550000000003"/>
    <n v="1025.48"/>
    <n v="42681.042806964091"/>
    <n v="13.239999999999998"/>
    <n v="592.49949184800016"/>
    <n v="1038.72"/>
    <n v="43273.542298812092"/>
    <n v="41757.550000000003"/>
    <n v="0"/>
    <n v="592.49949184800016"/>
    <n v="1515.9922988120888"/>
    <n v="0"/>
    <n v="0"/>
    <n v="0"/>
    <n v="41165"/>
    <n v="0"/>
    <n v="0"/>
    <n v="0"/>
    <n v="0"/>
    <n v="0"/>
    <n v="0"/>
    <n v="-3.6304627517947982E-2"/>
    <n v="23"/>
    <m/>
    <s v="Alauli "/>
    <m/>
    <n v="0"/>
  </r>
  <r>
    <s v="Munger"/>
    <s v="10-16 Apr"/>
    <n v="1054"/>
    <s v="Alauli "/>
    <x v="431"/>
    <s v="GOMUKH BEHORBA"/>
    <s v="MPG"/>
    <s v="Direct"/>
    <n v="1286.9999999999998"/>
    <n v="46942.939999999995"/>
    <n v="2015"/>
    <n v="92474.059395600023"/>
    <n v="0"/>
    <n v="0"/>
    <n v="2015"/>
    <n v="92474.059395600023"/>
    <n v="46942.939999999995"/>
    <n v="0"/>
    <n v="0"/>
    <n v="45531.119395600028"/>
    <n v="9100"/>
    <n v="0"/>
    <n v="0"/>
    <n v="37843"/>
    <n v="0"/>
    <n v="0"/>
    <n v="0"/>
    <n v="0"/>
    <n v="0"/>
    <n v="0"/>
    <n v="-0.96992475110421361"/>
    <n v="2"/>
    <m/>
    <s v="Alauli "/>
    <m/>
    <n v="0"/>
  </r>
  <r>
    <s v="Munger"/>
    <s v="10-16 Apr"/>
    <n v="1055"/>
    <s v="Matihani"/>
    <x v="432"/>
    <s v="GOMUKH SONAPUR BHARAT"/>
    <s v="MPG"/>
    <s v="Direct"/>
    <n v="40.299999999999997"/>
    <n v="1685.8000000000002"/>
    <n v="39.160000000000004"/>
    <n v="1675.824189336"/>
    <n v="0"/>
    <n v="0"/>
    <n v="39.160000000000004"/>
    <n v="1675.824189336"/>
    <n v="1675.824189336"/>
    <n v="0"/>
    <n v="0"/>
    <n v="0"/>
    <n v="0"/>
    <n v="0"/>
    <n v="0"/>
    <n v="1676"/>
    <n v="0"/>
    <n v="0"/>
    <n v="10"/>
    <n v="0"/>
    <n v="551.92171712158824"/>
    <n v="5.7571428571428571"/>
    <n v="5.9175528912090184E-3"/>
    <n v="2"/>
    <m/>
    <s v="Matihani"/>
    <m/>
    <n v="0"/>
  </r>
  <r>
    <s v="Munger"/>
    <s v="10-16 Apr"/>
    <n v="1011"/>
    <s v="Sahibpur Kamal"/>
    <x v="433"/>
    <s v="GOMUKH SAIDPUR SAMASTIPUR"/>
    <s v="MPG"/>
    <s v="Direct"/>
    <n v="3396.5000000000009"/>
    <n v="131566.58999999997"/>
    <n v="3615"/>
    <n v="139372.20217800007"/>
    <n v="0"/>
    <n v="0"/>
    <n v="3615"/>
    <n v="139372.20217800007"/>
    <n v="131566.58999999997"/>
    <n v="0"/>
    <n v="0"/>
    <n v="7805.6121780000976"/>
    <n v="0"/>
    <n v="0"/>
    <n v="0"/>
    <n v="131567"/>
    <n v="0"/>
    <n v="0"/>
    <n v="0"/>
    <n v="0"/>
    <n v="0"/>
    <n v="0"/>
    <n v="-5.9328224422325604E-2"/>
    <n v="3"/>
    <m/>
    <s v="Sahibpur Kamal"/>
    <m/>
    <n v="0"/>
  </r>
  <r>
    <s v="Munger"/>
    <s v="10-16 Apr"/>
    <n v="1054"/>
    <s v="Alauli "/>
    <x v="434"/>
    <s v="GOMUKH SAHARBANNI"/>
    <s v="MPG"/>
    <s v="Direct"/>
    <n v="183.6"/>
    <n v="7119.4499999999989"/>
    <n v="569.79000000000008"/>
    <n v="33005.438277506852"/>
    <n v="0"/>
    <n v="0"/>
    <n v="569.79000000000008"/>
    <n v="33005.438277506852"/>
    <n v="7119.4499999999989"/>
    <n v="0"/>
    <n v="0"/>
    <n v="25885.988277506855"/>
    <n v="5761"/>
    <n v="0"/>
    <n v="0"/>
    <n v="1358"/>
    <n v="0"/>
    <n v="0"/>
    <n v="0"/>
    <n v="0"/>
    <n v="400.48845098039209"/>
    <n v="26.228571428571428"/>
    <n v="-3.6359533780708984"/>
    <n v="3"/>
    <m/>
    <s v="Alauli "/>
    <m/>
    <n v="0"/>
  </r>
  <r>
    <s v="Munger"/>
    <s v="10-16 Apr"/>
    <n v="1054"/>
    <s v="Alauli "/>
    <x v="435"/>
    <s v="GOMUKH PHULTAURA"/>
    <s v="MPG"/>
    <s v="Direct"/>
    <n v="428.80000000000007"/>
    <n v="16498.150000000001"/>
    <n v="107.97"/>
    <n v="5524.8937832511001"/>
    <n v="329.59000000000003"/>
    <n v="13537.686229308301"/>
    <n v="437.56000000000006"/>
    <n v="19062.580012559403"/>
    <n v="16498.150000000001"/>
    <n v="0"/>
    <n v="0"/>
    <n v="2564.4300125594018"/>
    <n v="2600"/>
    <n v="0"/>
    <n v="0"/>
    <n v="360"/>
    <n v="13538"/>
    <n v="0"/>
    <n v="0"/>
    <n v="0"/>
    <n v="208.68928544776114"/>
    <n v="61.257142857142867"/>
    <n v="-0.15543742859407883"/>
    <n v="4"/>
    <m/>
    <s v="Alauli "/>
    <m/>
    <n v="0"/>
  </r>
  <r>
    <s v="Munger"/>
    <s v="10-16 Apr"/>
    <n v="1011"/>
    <s v="Sahibpur Kamal"/>
    <x v="436"/>
    <s v="Jangli Tol Vlc "/>
    <s v="vlc"/>
    <s v="Indirect"/>
    <n v="1043.6000000000001"/>
    <n v="38526.5"/>
    <n v="0"/>
    <n v="0"/>
    <n v="0"/>
    <n v="0"/>
    <n v="0"/>
    <n v="0"/>
    <n v="38526.5"/>
    <n v="0"/>
    <n v="0"/>
    <n v="0"/>
    <n v="0"/>
    <n v="0"/>
    <n v="0"/>
    <n v="0"/>
    <n v="0"/>
    <n v="38526.5"/>
    <n v="0"/>
    <n v="0"/>
    <n v="0"/>
    <n v="0"/>
    <n v="0"/>
    <n v="0"/>
    <m/>
    <s v="Sahibpur Kamal"/>
    <m/>
    <n v="0"/>
  </r>
  <r>
    <s v="Munger"/>
    <s v="10-16 Apr"/>
    <n v="1055"/>
    <s v="Matihani"/>
    <x v="437"/>
    <s v="DILKHUSH KUMAR "/>
    <s v="vlc"/>
    <s v="Indirect"/>
    <n v="61.4"/>
    <n v="2196.2800000000002"/>
    <n v="0"/>
    <n v="0"/>
    <n v="0"/>
    <n v="0"/>
    <n v="0"/>
    <n v="0"/>
    <n v="2196.2800000000002"/>
    <n v="0"/>
    <n v="0"/>
    <n v="0"/>
    <n v="0"/>
    <n v="0"/>
    <n v="0"/>
    <n v="0"/>
    <n v="0"/>
    <n v="2196.2800000000002"/>
    <n v="0"/>
    <n v="0"/>
    <n v="456.85485602605866"/>
    <n v="8.7714285714285705"/>
    <n v="0"/>
    <n v="0"/>
    <m/>
    <s v="Matihani"/>
    <m/>
    <n v="0"/>
  </r>
  <r>
    <s v="Munger"/>
    <s v="10-16 Apr"/>
    <n v="1011"/>
    <s v="Sahibpur Kamal"/>
    <x v="438"/>
    <s v="GOMUKH CHOWKI 2"/>
    <s v="MPG"/>
    <s v="Direct"/>
    <n v="5213"/>
    <n v="203748.67"/>
    <n v="4676.0000000000009"/>
    <n v="183078.16649039753"/>
    <n v="528.21999999999991"/>
    <n v="20628.900161195903"/>
    <n v="5204.2200000000012"/>
    <n v="203707.06665159343"/>
    <n v="203707.06665159343"/>
    <n v="0"/>
    <n v="0"/>
    <n v="0"/>
    <n v="0"/>
    <n v="0"/>
    <n v="0"/>
    <n v="183078"/>
    <n v="20629"/>
    <n v="0"/>
    <n v="42"/>
    <n v="0"/>
    <n v="0"/>
    <n v="0"/>
    <n v="2.041895459076356E-4"/>
    <n v="28"/>
    <m/>
    <s v="Sahibpur Kamal"/>
    <m/>
    <n v="0"/>
  </r>
  <r>
    <s v="Munger"/>
    <s v="10-16 Apr"/>
    <n v="1011"/>
    <s v="Sahibpur Kamal"/>
    <x v="439"/>
    <s v="GOMUKH MOHABA"/>
    <s v="MPG"/>
    <s v="Direct"/>
    <n v="1561.1999999999998"/>
    <n v="57727.34"/>
    <n v="1560"/>
    <n v="58071.169728000015"/>
    <n v="0"/>
    <n v="0"/>
    <n v="1560"/>
    <n v="58071.169728000015"/>
    <n v="57727.34"/>
    <n v="0"/>
    <n v="0"/>
    <n v="343.8297280000188"/>
    <n v="0"/>
    <n v="0"/>
    <n v="0"/>
    <n v="57727"/>
    <n v="0"/>
    <n v="0"/>
    <n v="0"/>
    <n v="0"/>
    <n v="0"/>
    <n v="0"/>
    <n v="-5.9560985834444967E-3"/>
    <n v="1"/>
    <m/>
    <s v="Sahibpur Kamal"/>
    <m/>
    <n v="0"/>
  </r>
  <r>
    <s v="Munger"/>
    <s v="10-16 Apr"/>
    <n v="1011"/>
    <s v="Sahibpur Kamal"/>
    <x v="440"/>
    <s v="SANHA VLC"/>
    <s v="vlc"/>
    <s v="Indirect"/>
    <n v="790.6"/>
    <n v="28071.9"/>
    <n v="0"/>
    <n v="0"/>
    <n v="0"/>
    <n v="0"/>
    <n v="0"/>
    <n v="0"/>
    <n v="28071.9"/>
    <n v="0"/>
    <n v="0"/>
    <n v="0"/>
    <n v="0"/>
    <n v="0"/>
    <n v="0"/>
    <n v="0"/>
    <n v="0"/>
    <n v="28071.9"/>
    <n v="0"/>
    <n v="0"/>
    <n v="0"/>
    <n v="0"/>
    <n v="0"/>
    <n v="0"/>
    <m/>
    <s v="Sahibpur Kamal"/>
    <m/>
    <n v="0"/>
  </r>
  <r>
    <s v="Munger"/>
    <s v="10-16 Apr"/>
    <n v="1011"/>
    <s v="Sahibpur Kamal"/>
    <x v="441"/>
    <s v="MOHANPUR VLC"/>
    <s v="vlc"/>
    <s v="Indirect"/>
    <n v="693.6"/>
    <n v="24520.74"/>
    <n v="0"/>
    <n v="0"/>
    <n v="0"/>
    <n v="0"/>
    <n v="0"/>
    <n v="0"/>
    <n v="24520.74"/>
    <n v="0"/>
    <n v="0"/>
    <n v="0"/>
    <n v="0"/>
    <n v="0"/>
    <n v="0"/>
    <n v="0"/>
    <n v="0"/>
    <n v="24520.74"/>
    <n v="0"/>
    <n v="0"/>
    <n v="4.5251653979238595"/>
    <n v="99.085714285714289"/>
    <n v="0"/>
    <n v="0"/>
    <m/>
    <s v="Sahibpur Kamal"/>
    <m/>
    <n v="0"/>
  </r>
  <r>
    <s v="Munger"/>
    <s v="10-16 Apr"/>
    <n v="1011"/>
    <s v="Sahibpur Kamal"/>
    <x v="442"/>
    <s v="GOMUKH JANGLITOL"/>
    <s v="MPG"/>
    <s v="Direct"/>
    <n v="235.60000000000002"/>
    <n v="9655.840000000002"/>
    <n v="335"/>
    <n v="13885.455870000002"/>
    <n v="0"/>
    <n v="0"/>
    <n v="335"/>
    <n v="13885.455870000002"/>
    <n v="9655.840000000002"/>
    <n v="0"/>
    <n v="0"/>
    <n v="4229.6158699999996"/>
    <n v="0"/>
    <n v="500"/>
    <n v="0"/>
    <n v="9156"/>
    <n v="0"/>
    <n v="0"/>
    <n v="0"/>
    <s v="Release1"/>
    <n v="380.65977045840413"/>
    <n v="33.657142857142858"/>
    <n v="-0.43803707082967391"/>
    <n v="3"/>
    <m/>
    <s v="Sahibpur Kamal"/>
    <m/>
    <n v="500"/>
  </r>
  <r>
    <s v="Munger"/>
    <s v="10-16 Apr"/>
    <n v="1011"/>
    <s v="Sahibpur Kamal"/>
    <x v="443"/>
    <s v="Hiratol VLC"/>
    <s v="vlc"/>
    <s v="Indirect"/>
    <n v="272.89999999999998"/>
    <n v="9860.739999999998"/>
    <n v="0"/>
    <n v="0"/>
    <n v="0"/>
    <n v="0"/>
    <n v="0"/>
    <n v="0"/>
    <n v="9860.739999999998"/>
    <n v="0"/>
    <n v="0"/>
    <n v="0"/>
    <n v="0"/>
    <n v="0"/>
    <n v="0"/>
    <n v="0"/>
    <n v="0"/>
    <n v="9860.739999999998"/>
    <n v="0"/>
    <n v="0"/>
    <n v="308.64947262733597"/>
    <n v="38.98571428571428"/>
    <n v="0"/>
    <n v="0"/>
    <m/>
    <s v="Sahibpur Kamal"/>
    <m/>
    <n v="0"/>
  </r>
  <r>
    <s v="Munger"/>
    <s v="10-16 Apr"/>
    <n v="1011"/>
    <s v="Sahibpur Kamal"/>
    <x v="444"/>
    <s v="Gomukh Raghunathpur 2 "/>
    <s v="MPG"/>
    <s v="Direct"/>
    <n v="55.8"/>
    <n v="2467.2999999999997"/>
    <n v="61.400000000000006"/>
    <n v="2717.0505243957"/>
    <n v="0"/>
    <n v="0"/>
    <n v="61.400000000000006"/>
    <n v="2717.0505243957"/>
    <n v="2467.2999999999997"/>
    <n v="0"/>
    <n v="0"/>
    <n v="249.75052439570027"/>
    <n v="0"/>
    <n v="0"/>
    <n v="0"/>
    <n v="2467"/>
    <n v="0"/>
    <n v="0"/>
    <n v="0"/>
    <n v="0"/>
    <n v="569.68984229390674"/>
    <n v="7.9714285714285706"/>
    <n v="-0.1012242225897541"/>
    <n v="1"/>
    <m/>
    <s v="Sahibpur Kamal"/>
    <m/>
    <n v="0"/>
  </r>
  <r>
    <s v="Munger"/>
    <s v="10-16 Apr"/>
    <n v="1011"/>
    <s v="Sahibpur Kamal"/>
    <x v="445"/>
    <s v="GOMUKH BARBIGHI"/>
    <s v="MPG"/>
    <s v="Direct"/>
    <n v="1533.7000000000003"/>
    <n v="57690.020000000004"/>
    <n v="1540.1000000000004"/>
    <n v="59802.253291440007"/>
    <n v="8.8000000000000025"/>
    <n v="341.96905512000001"/>
    <n v="1548.9000000000003"/>
    <n v="60144.222346560004"/>
    <n v="57690.020000000004"/>
    <n v="0"/>
    <n v="341.96905512000001"/>
    <n v="2454.2023465599996"/>
    <n v="0"/>
    <n v="0"/>
    <n v="0"/>
    <n v="57348"/>
    <n v="0"/>
    <n v="0"/>
    <n v="0"/>
    <n v="0"/>
    <n v="0"/>
    <n v="0"/>
    <n v="-4.2541194240528941E-2"/>
    <n v="3"/>
    <m/>
    <s v="Sahibpur Kamal"/>
    <m/>
    <n v="0"/>
  </r>
  <r>
    <s v="Munger"/>
    <s v="10-16 Apr"/>
    <n v="1011"/>
    <s v="Sahibpur Kamal"/>
    <x v="446"/>
    <s v="Tetri"/>
    <s v="MPG"/>
    <s v="Direct"/>
    <n v="83.100000000000009"/>
    <n v="4478.34"/>
    <n v="83"/>
    <n v="4444.9698240660009"/>
    <n v="0"/>
    <n v="0"/>
    <n v="83"/>
    <n v="4444.9698240660009"/>
    <n v="4444.9698240660009"/>
    <n v="0"/>
    <n v="0"/>
    <n v="0"/>
    <n v="0"/>
    <n v="0"/>
    <n v="0"/>
    <n v="4445"/>
    <n v="0"/>
    <n v="0"/>
    <n v="33"/>
    <n v="0"/>
    <n v="664.90684620938646"/>
    <n v="11.871428571428572"/>
    <n v="7.451461017698351E-3"/>
    <n v="1"/>
    <m/>
    <s v="Sahibpur Kamal"/>
    <m/>
    <n v="0"/>
  </r>
  <r>
    <s v="Munger"/>
    <s v="10-16 Apr"/>
    <n v="1011"/>
    <s v="Sahibpur Kamal"/>
    <x v="447"/>
    <s v="Dandari-2"/>
    <s v="MPG"/>
    <s v="Direct"/>
    <n v="314.8"/>
    <n v="11579.84"/>
    <n v="357.69999999999993"/>
    <n v="13142.464350839999"/>
    <n v="0"/>
    <n v="0"/>
    <n v="357.69999999999993"/>
    <n v="13142.464350839999"/>
    <n v="11579.84"/>
    <n v="0"/>
    <n v="0"/>
    <n v="1562.6243508399984"/>
    <n v="0"/>
    <n v="0"/>
    <n v="0"/>
    <n v="11580"/>
    <n v="0"/>
    <n v="0"/>
    <n v="0"/>
    <s v="Release1"/>
    <n v="283.38973113087673"/>
    <n v="44.971428571428575"/>
    <n v="-0.13494351829040802"/>
    <n v="1"/>
    <m/>
    <s v="Sahibpur Kamal"/>
    <m/>
    <n v="0"/>
  </r>
  <r>
    <s v="Munger"/>
    <s v="10-16 Apr"/>
    <n v="1011"/>
    <s v="Sahibpur Kamal"/>
    <x v="448"/>
    <s v="Barkhanditol"/>
    <s v="vlc"/>
    <s v="Indirect"/>
    <n v="475.3"/>
    <n v="20194.189999999999"/>
    <n v="0"/>
    <n v="0"/>
    <n v="0"/>
    <n v="0"/>
    <n v="0"/>
    <n v="0"/>
    <n v="20194.189999999999"/>
    <n v="0"/>
    <n v="0"/>
    <n v="0"/>
    <n v="0"/>
    <n v="0"/>
    <n v="0"/>
    <n v="0"/>
    <n v="0"/>
    <n v="20194.189999999999"/>
    <n v="0"/>
    <n v="0"/>
    <n v="190.93770220913103"/>
    <n v="67.900000000000006"/>
    <n v="0"/>
    <n v="0"/>
    <m/>
    <s v="Sahibpur Kamal"/>
    <m/>
    <n v="0"/>
  </r>
  <r>
    <s v="Munger"/>
    <s v="10-16 Apr"/>
    <n v="1011"/>
    <s v="Sahibpur Kamal"/>
    <x v="449"/>
    <s v="Chauki-VLC"/>
    <s v="vlc"/>
    <s v="Indirect"/>
    <n v="434.2"/>
    <n v="15742.75"/>
    <n v="0"/>
    <n v="0"/>
    <n v="0"/>
    <n v="0"/>
    <n v="0"/>
    <n v="0"/>
    <n v="15742.75"/>
    <n v="0"/>
    <n v="0"/>
    <n v="0"/>
    <n v="0"/>
    <n v="0"/>
    <n v="0"/>
    <n v="0"/>
    <n v="0"/>
    <n v="15742.75"/>
    <n v="0"/>
    <n v="0"/>
    <n v="192.74172961768775"/>
    <n v="62.028571428571425"/>
    <n v="0"/>
    <n v="0"/>
    <m/>
    <s v="Sahibpur Kamal"/>
    <m/>
    <n v="0"/>
  </r>
  <r>
    <s v="Munger"/>
    <s v="10-16 Apr"/>
    <n v="1011"/>
    <s v="Sahibpur Kamal"/>
    <x v="450"/>
    <s v="Hardia"/>
    <s v="MPG"/>
    <s v="Direct"/>
    <n v="573.4"/>
    <n v="24304.720000000005"/>
    <n v="557.6"/>
    <n v="23772.638789798006"/>
    <n v="12.080000000000002"/>
    <n v="519.41519388000006"/>
    <n v="569.68000000000006"/>
    <n v="24292.053983678004"/>
    <n v="24292.053983678004"/>
    <n v="0"/>
    <n v="519.41519388000006"/>
    <n v="0"/>
    <n v="0"/>
    <n v="0"/>
    <n v="0"/>
    <n v="23773"/>
    <n v="0"/>
    <n v="0"/>
    <n v="12"/>
    <n v="0"/>
    <n v="107.32394670387168"/>
    <n v="81.914285714285711"/>
    <n v="5.2113401520364588E-4"/>
    <n v="2"/>
    <m/>
    <s v="Sahibpur Kamal"/>
    <m/>
    <n v="0"/>
  </r>
  <r>
    <s v="Munger"/>
    <s v="10-16 Apr"/>
    <n v="1011"/>
    <s v="Sahibpur Kamal"/>
    <x v="451"/>
    <s v="Pachveer"/>
    <s v="vlc"/>
    <s v="Indirect"/>
    <n v="11368.499999999998"/>
    <n v="426568.41000000003"/>
    <n v="0"/>
    <n v="0"/>
    <n v="0"/>
    <n v="0"/>
    <n v="0"/>
    <n v="0"/>
    <n v="426568.41000000003"/>
    <n v="0"/>
    <n v="0"/>
    <n v="0"/>
    <n v="0"/>
    <n v="0"/>
    <n v="0"/>
    <n v="0"/>
    <n v="0"/>
    <n v="426568.41000000003"/>
    <n v="0"/>
    <n v="0"/>
    <n v="0"/>
    <n v="0"/>
    <n v="0"/>
    <n v="0"/>
    <m/>
    <s v="Sahibpur Kamal"/>
    <m/>
    <n v="0"/>
  </r>
  <r>
    <s v="Munger"/>
    <s v="10-16 Apr"/>
    <n v="1011"/>
    <s v="Sahibpur Kamal"/>
    <x v="452"/>
    <s v="Barkhaditol-3"/>
    <s v="vlc"/>
    <s v="Indirect"/>
    <n v="244.20000000000002"/>
    <n v="10510.62"/>
    <n v="0"/>
    <n v="0"/>
    <n v="0"/>
    <n v="0"/>
    <n v="0"/>
    <n v="0"/>
    <n v="10510.62"/>
    <n v="0"/>
    <n v="0"/>
    <n v="0"/>
    <n v="0"/>
    <n v="0"/>
    <n v="0"/>
    <n v="0"/>
    <n v="0"/>
    <n v="10510.62"/>
    <n v="0"/>
    <n v="0"/>
    <n v="392.36204717444713"/>
    <n v="34.885714285714286"/>
    <n v="0"/>
    <n v="0"/>
    <m/>
    <s v="Sahibpur Kamal"/>
    <m/>
    <n v="0"/>
  </r>
  <r>
    <s v="Munger"/>
    <s v="10-16 Apr"/>
    <n v="1011"/>
    <s v="Sahibpur Kamal"/>
    <x v="453"/>
    <s v="Gomukh Mirjapur Bari"/>
    <s v="MPG"/>
    <s v="Direct"/>
    <n v="86.800000000000011"/>
    <n v="3183.92"/>
    <n v="95.4"/>
    <n v="3497.5880676000002"/>
    <n v="0.5"/>
    <n v="19.536561000000003"/>
    <n v="95.9"/>
    <n v="3517.1246286000001"/>
    <n v="3183.92"/>
    <n v="0"/>
    <n v="19.536561000000003"/>
    <n v="333.20462859999998"/>
    <n v="0"/>
    <n v="0"/>
    <n v="0"/>
    <n v="3164"/>
    <n v="0"/>
    <n v="0"/>
    <n v="0"/>
    <n v="0"/>
    <n v="449.8570838709677"/>
    <n v="12.400000000000002"/>
    <n v="-0.10465232436744641"/>
    <n v="2"/>
    <m/>
    <s v="Sahibpur Kamal"/>
    <m/>
    <n v="0"/>
  </r>
  <r>
    <s v="Munger"/>
    <s v="10-16 Apr"/>
    <n v="1011"/>
    <s v="Sahibpur Kamal"/>
    <x v="454"/>
    <s v="Mathar-3"/>
    <s v="vlc"/>
    <s v="Indirect"/>
    <n v="2264.7999999999997"/>
    <n v="94065.889999999985"/>
    <n v="0"/>
    <n v="0"/>
    <n v="0"/>
    <n v="0"/>
    <n v="0"/>
    <n v="0"/>
    <n v="94065.889999999985"/>
    <n v="0"/>
    <n v="0"/>
    <n v="0"/>
    <n v="0"/>
    <n v="0"/>
    <n v="0"/>
    <n v="0"/>
    <n v="0"/>
    <n v="94065.889999999985"/>
    <n v="0"/>
    <n v="0"/>
    <n v="0"/>
    <n v="0"/>
    <n v="0"/>
    <n v="0"/>
    <m/>
    <s v="Sahibpur Kamal"/>
    <m/>
    <n v="0"/>
  </r>
  <r>
    <s v="Munger"/>
    <s v="10-16 Apr"/>
    <n v="1011"/>
    <s v="Sahibpur Kamal"/>
    <x v="455"/>
    <s v="Ahoghat"/>
    <s v="vlc"/>
    <s v="Indirect"/>
    <n v="251.79999999999998"/>
    <n v="9741.2400000000016"/>
    <n v="0"/>
    <n v="0"/>
    <n v="0"/>
    <n v="0"/>
    <n v="0"/>
    <n v="0"/>
    <n v="9741.2400000000016"/>
    <n v="0"/>
    <n v="0"/>
    <n v="0"/>
    <n v="0"/>
    <n v="0"/>
    <n v="0"/>
    <n v="0"/>
    <n v="0"/>
    <n v="9741.2400000000016"/>
    <n v="0"/>
    <n v="0"/>
    <n v="346.78504908657675"/>
    <n v="35.971428571428568"/>
    <n v="0"/>
    <n v="0"/>
    <m/>
    <s v="Sahibpur Kamal"/>
    <m/>
    <n v="0"/>
  </r>
  <r>
    <s v="Munger"/>
    <s v="10-16 Apr"/>
    <n v="1011"/>
    <s v="Sahibpur Kamal"/>
    <x v="456"/>
    <s v="Mathar-4"/>
    <s v="vlc"/>
    <s v="Indirect"/>
    <n v="372.90000000000003"/>
    <n v="13863.579999999998"/>
    <n v="0"/>
    <n v="0"/>
    <n v="0"/>
    <n v="0"/>
    <n v="0"/>
    <n v="0"/>
    <n v="13863.579999999998"/>
    <n v="0"/>
    <n v="0"/>
    <n v="0"/>
    <n v="0"/>
    <n v="0"/>
    <n v="0"/>
    <n v="0"/>
    <n v="0"/>
    <n v="13863.579999999998"/>
    <n v="0"/>
    <n v="0"/>
    <n v="243.21678830785726"/>
    <n v="53.271428571428579"/>
    <n v="0"/>
    <n v="0"/>
    <m/>
    <s v="Sahibpur Kamal"/>
    <m/>
    <n v="0"/>
  </r>
  <r>
    <s v="Munger"/>
    <s v="10-16 Apr"/>
    <n v="1011"/>
    <s v="Sahibpur Kamal"/>
    <x v="967"/>
    <s v="Farid Nagar"/>
    <s v="MPG"/>
    <s v="Direct"/>
    <n v="157"/>
    <n v="6138.9100000000008"/>
    <n v="155"/>
    <n v="6097.2498180000021"/>
    <n v="0"/>
    <n v="0"/>
    <n v="155"/>
    <n v="6097.2498180000021"/>
    <n v="6097.2498180000021"/>
    <n v="0"/>
    <n v="0"/>
    <n v="0"/>
    <n v="0"/>
    <n v="0"/>
    <n v="0"/>
    <n v="6097"/>
    <n v="0"/>
    <n v="0"/>
    <n v="42"/>
    <n v="0"/>
    <n v="424.64052611464979"/>
    <n v="22.428571428571427"/>
    <n v="6.7862506536174516E-3"/>
    <n v="1"/>
    <m/>
    <s v="Sahibpur Kamal"/>
    <m/>
    <n v="0"/>
  </r>
  <r>
    <s v="Munger"/>
    <s v="10-16 Apr"/>
    <n v="1011"/>
    <s v="Sahibpur Kamal"/>
    <x v="969"/>
    <s v="Phulmalik"/>
    <s v="vlc"/>
    <s v="Indirect"/>
    <n v="10.5"/>
    <n v="403.3"/>
    <n v="0"/>
    <n v="0"/>
    <n v="0"/>
    <n v="0"/>
    <n v="0"/>
    <n v="0"/>
    <n v="403.3"/>
    <n v="0"/>
    <n v="0"/>
    <n v="0"/>
    <n v="0"/>
    <n v="0"/>
    <n v="0"/>
    <n v="0"/>
    <n v="0"/>
    <n v="403.3"/>
    <n v="0"/>
    <n v="0"/>
    <n v="529.66733333333343"/>
    <n v="1.5"/>
    <n v="0"/>
    <n v="0"/>
    <m/>
    <s v="Sahibpur Kamal"/>
    <m/>
    <n v="0"/>
  </r>
  <r>
    <s v="Munger"/>
    <s v="10-16 Apr"/>
    <n v="1012"/>
    <s v="DalsinghSarai"/>
    <x v="457"/>
    <s v="GOMUKH SUBHANPUR"/>
    <s v="vlc"/>
    <s v="Indirect"/>
    <n v="63.11"/>
    <n v="2806.05"/>
    <n v="0"/>
    <n v="0"/>
    <n v="0"/>
    <n v="0"/>
    <n v="0"/>
    <n v="0"/>
    <n v="2806.05"/>
    <n v="0"/>
    <n v="0"/>
    <n v="0"/>
    <n v="0"/>
    <n v="0"/>
    <n v="0"/>
    <n v="0"/>
    <n v="0"/>
    <n v="2806.05"/>
    <n v="0"/>
    <n v="0"/>
    <n v="566.35879717952787"/>
    <n v="9.0157142857142851"/>
    <n v="0"/>
    <n v="0"/>
    <m/>
    <s v="DalsinghSarai"/>
    <m/>
    <n v="0"/>
  </r>
  <r>
    <s v="Munger"/>
    <s v="10-16 Apr"/>
    <n v="1012"/>
    <s v="DalsinghSarai"/>
    <x v="458"/>
    <s v="GOMUKH  BHAJANGAMA"/>
    <s v="vlc"/>
    <s v="Indirect"/>
    <n v="376.59"/>
    <n v="14163.46"/>
    <n v="38.200000000000003"/>
    <n v="1420.44885251455"/>
    <n v="0"/>
    <n v="0"/>
    <n v="38.200000000000003"/>
    <n v="1420.44885251455"/>
    <n v="14163.46"/>
    <n v="0"/>
    <n v="0"/>
    <n v="0"/>
    <n v="0"/>
    <n v="0"/>
    <n v="0"/>
    <n v="0"/>
    <n v="0"/>
    <n v="14163.46"/>
    <n v="0"/>
    <n v="0"/>
    <n v="243.26745790382117"/>
    <n v="53.798571428571428"/>
    <n v="0"/>
    <n v="16"/>
    <m/>
    <s v="DalsinghSarai"/>
    <m/>
    <n v="0"/>
  </r>
  <r>
    <s v="Munger"/>
    <s v="10-16 Apr"/>
    <n v="1012"/>
    <s v="DalsinghSarai"/>
    <x v="460"/>
    <s v="Gomukh Basadhiya Kurni"/>
    <s v="MPG"/>
    <s v="Direct"/>
    <n v="373.42999999999995"/>
    <n v="14761.829999999998"/>
    <n v="404.1"/>
    <n v="15032.958730990798"/>
    <n v="0"/>
    <n v="0"/>
    <n v="404.1"/>
    <n v="15032.958730990798"/>
    <n v="14761.829999999998"/>
    <n v="0"/>
    <n v="0"/>
    <n v="271.12873099080025"/>
    <n v="0"/>
    <n v="0"/>
    <n v="0"/>
    <n v="14762"/>
    <n v="0"/>
    <n v="0"/>
    <n v="0"/>
    <n v="0"/>
    <n v="258.18872737059155"/>
    <n v="53.347142857142849"/>
    <n v="-1.8366878021952582E-2"/>
    <n v="4"/>
    <m/>
    <s v="DalsinghSarai"/>
    <m/>
    <n v="0"/>
  </r>
  <r>
    <s v="Munger"/>
    <s v="10-16 Apr"/>
    <n v="1012"/>
    <s v="DalsinghSarai"/>
    <x v="461"/>
    <s v="KHAJURI"/>
    <s v="MPG"/>
    <s v="Direct"/>
    <n v="339.88999999999993"/>
    <n v="12630.73"/>
    <n v="206.29999999999998"/>
    <n v="7827.9401666269005"/>
    <n v="131.29999999999998"/>
    <n v="4802.0979298170014"/>
    <n v="337.59999999999997"/>
    <n v="12630.038096443903"/>
    <n v="12630.038096443903"/>
    <n v="0"/>
    <n v="218.73420973800003"/>
    <n v="0"/>
    <n v="0"/>
    <n v="0"/>
    <n v="0"/>
    <n v="7828"/>
    <n v="4583"/>
    <n v="0"/>
    <n v="1"/>
    <n v="0"/>
    <n v="267.64260085910161"/>
    <n v="48.555714285714274"/>
    <n v="5.477937982181585E-5"/>
    <n v="13"/>
    <m/>
    <s v="DalsinghSarai"/>
    <m/>
    <n v="0"/>
  </r>
  <r>
    <s v="Munger"/>
    <s v="10-16 Apr"/>
    <n v="1012"/>
    <s v="DalsinghSarai"/>
    <x v="462"/>
    <s v="ARMAULI-2"/>
    <s v="MPG"/>
    <s v="Direct"/>
    <n v="1347.61"/>
    <n v="54236.53"/>
    <n v="1348.25"/>
    <n v="53647.88591153219"/>
    <n v="16.11"/>
    <n v="641.37691530000018"/>
    <n v="1364.36"/>
    <n v="54289.262826832193"/>
    <n v="54236.53"/>
    <n v="0"/>
    <n v="641.37691530000018"/>
    <n v="52.732826832194405"/>
    <n v="12537"/>
    <n v="0"/>
    <n v="0"/>
    <n v="41058"/>
    <n v="0"/>
    <n v="0"/>
    <n v="0"/>
    <n v="0"/>
    <n v="0"/>
    <n v="0"/>
    <n v="-9.7227508530126105E-4"/>
    <n v="37"/>
    <m/>
    <s v="DalsinghSarai"/>
    <m/>
    <n v="0"/>
  </r>
  <r>
    <s v="Munger"/>
    <s v="10-16 Apr"/>
    <n v="1012"/>
    <s v="DalsinghSarai"/>
    <x v="463"/>
    <s v="MUSAPUR - 2"/>
    <s v="vlc"/>
    <s v="Indirect"/>
    <n v="95.360000000000014"/>
    <n v="3372.83"/>
    <n v="0"/>
    <n v="0"/>
    <n v="0"/>
    <n v="0"/>
    <n v="0"/>
    <n v="0"/>
    <n v="3372.83"/>
    <n v="0"/>
    <n v="0"/>
    <n v="0"/>
    <n v="0"/>
    <n v="0"/>
    <n v="0"/>
    <n v="0"/>
    <n v="0"/>
    <n v="3372.83"/>
    <n v="0"/>
    <n v="0"/>
    <n v="427.71558959731544"/>
    <n v="13.622857142857145"/>
    <n v="0"/>
    <n v="0"/>
    <m/>
    <s v="DalsinghSarai"/>
    <m/>
    <n v="0"/>
  </r>
  <r>
    <s v="Munger"/>
    <s v="10-16 Apr"/>
    <n v="1012"/>
    <s v="DalsinghSarai"/>
    <x v="464"/>
    <s v="Janganath Pur"/>
    <s v="vlc"/>
    <s v="Indirect"/>
    <n v="2095.9900000000002"/>
    <n v="91076.56"/>
    <n v="0"/>
    <n v="0"/>
    <n v="0"/>
    <n v="0"/>
    <n v="0"/>
    <n v="0"/>
    <n v="91076.56"/>
    <n v="0"/>
    <n v="0"/>
    <n v="0"/>
    <n v="0"/>
    <n v="0"/>
    <n v="0"/>
    <n v="0"/>
    <n v="0"/>
    <n v="91076.56"/>
    <n v="0"/>
    <n v="0"/>
    <n v="0"/>
    <n v="0"/>
    <n v="0"/>
    <n v="0"/>
    <m/>
    <s v="DalsinghSarai"/>
    <m/>
    <n v="0"/>
  </r>
  <r>
    <s v="Munger"/>
    <s v="10-16 Apr"/>
    <n v="1012"/>
    <s v="DalsinghSarai"/>
    <x v="465"/>
    <s v="Nagargama"/>
    <s v="vlc"/>
    <s v="Indirect"/>
    <n v="584.58999999999992"/>
    <n v="22707.230000000003"/>
    <n v="0"/>
    <n v="0"/>
    <n v="0"/>
    <n v="0"/>
    <n v="0"/>
    <n v="0"/>
    <n v="22707.230000000003"/>
    <n v="0"/>
    <n v="0"/>
    <n v="0"/>
    <n v="0"/>
    <n v="0"/>
    <n v="0"/>
    <n v="0"/>
    <n v="0"/>
    <n v="22707.230000000003"/>
    <n v="0"/>
    <n v="0"/>
    <n v="89.657415087497327"/>
    <n v="83.512857142857129"/>
    <n v="0"/>
    <n v="0"/>
    <m/>
    <s v="DalsinghSarai"/>
    <m/>
    <n v="0"/>
  </r>
  <r>
    <s v="Munger"/>
    <s v="10-16 Apr"/>
    <n v="1012"/>
    <s v="DalsinghSarai"/>
    <x v="466"/>
    <s v="Sato Ghachchhi"/>
    <s v="MPG"/>
    <s v="Direct"/>
    <n v="716.66000000000008"/>
    <n v="32028.270000000004"/>
    <n v="703.3"/>
    <n v="32169.018485581182"/>
    <n v="14.200000000000001"/>
    <n v="632.75160579060002"/>
    <n v="717.5"/>
    <n v="32801.770091371785"/>
    <n v="32028.270000000004"/>
    <n v="0"/>
    <n v="632.75160579060002"/>
    <n v="773.50009137178131"/>
    <n v="0"/>
    <n v="0"/>
    <n v="0"/>
    <n v="31396"/>
    <n v="0"/>
    <n v="0"/>
    <n v="0"/>
    <n v="0"/>
    <n v="0"/>
    <n v="0"/>
    <n v="-2.4150542360601469E-2"/>
    <n v="23"/>
    <m/>
    <s v="DalsinghSarai"/>
    <m/>
    <n v="0"/>
  </r>
  <r>
    <s v="Munger"/>
    <s v="10-16 Apr"/>
    <n v="1012"/>
    <s v="DalsinghSarai"/>
    <x v="467"/>
    <s v="Bhatgama"/>
    <s v="vlc"/>
    <s v="Indirect"/>
    <n v="423.24"/>
    <n v="13772.509999999998"/>
    <n v="0"/>
    <n v="0"/>
    <n v="0"/>
    <n v="0"/>
    <n v="0"/>
    <n v="0"/>
    <n v="13772.509999999998"/>
    <n v="0"/>
    <n v="0"/>
    <n v="0"/>
    <n v="0"/>
    <n v="0"/>
    <n v="0"/>
    <n v="0"/>
    <n v="0"/>
    <n v="13772.509999999998"/>
    <n v="0"/>
    <n v="0"/>
    <n v="180.11907511577351"/>
    <n v="60.462857142857146"/>
    <n v="0"/>
    <n v="0"/>
    <m/>
    <s v="DalsinghSarai"/>
    <m/>
    <n v="0"/>
  </r>
  <r>
    <s v="Munger"/>
    <s v="10-16 Apr"/>
    <n v="1012"/>
    <s v="DalsinghSarai"/>
    <x v="468"/>
    <s v="Borna Rasalpur"/>
    <s v="MPG"/>
    <s v="Direct"/>
    <n v="1130.2899999999997"/>
    <n v="46651.589999999989"/>
    <n v="466.94"/>
    <n v="20377.483274638002"/>
    <n v="636.99999999999989"/>
    <n v="26283.210663197002"/>
    <n v="1103.9399999999998"/>
    <n v="46660.693937835007"/>
    <n v="46651.589999999989"/>
    <n v="0"/>
    <n v="449.50528786800004"/>
    <n v="9.1039378350178595"/>
    <n v="0"/>
    <n v="0"/>
    <n v="0"/>
    <n v="20370"/>
    <n v="25832"/>
    <n v="0"/>
    <n v="0"/>
    <n v="0"/>
    <n v="0"/>
    <n v="0"/>
    <n v="-1.9514742873753845E-4"/>
    <n v="15"/>
    <m/>
    <s v="DalsinghSarai"/>
    <m/>
    <n v="0"/>
  </r>
  <r>
    <s v="Munger"/>
    <s v="10-16 Apr"/>
    <n v="1012"/>
    <s v="DalsinghSarai"/>
    <x v="469"/>
    <s v="Rasalpur"/>
    <s v="MPG"/>
    <s v="Direct"/>
    <n v="993.65"/>
    <n v="38296.870000000003"/>
    <n v="1052"/>
    <n v="37982.074498489768"/>
    <n v="174.59"/>
    <n v="6676.5334128432032"/>
    <n v="1226.5899999999999"/>
    <n v="44658.607911332969"/>
    <n v="38296.870000000003"/>
    <n v="0"/>
    <n v="0"/>
    <n v="6361.7379113329662"/>
    <n v="0"/>
    <n v="0"/>
    <n v="0"/>
    <n v="31620"/>
    <n v="6677"/>
    <n v="0"/>
    <n v="0"/>
    <n v="0"/>
    <n v="0"/>
    <n v="0"/>
    <n v="-0.1661163930977379"/>
    <n v="18"/>
    <m/>
    <s v="DalsinghSarai"/>
    <m/>
    <n v="0"/>
  </r>
  <r>
    <s v="Munger"/>
    <s v="10-16 Apr"/>
    <n v="1012"/>
    <s v="DalsinghSarai"/>
    <x v="470"/>
    <s v="Narahan"/>
    <s v="MPG"/>
    <s v="Direct"/>
    <n v="283.51000000000005"/>
    <n v="11082.179999999998"/>
    <n v="277.53000000000003"/>
    <n v="10029.793787292001"/>
    <n v="29.260000000000005"/>
    <n v="1045.4170987426401"/>
    <n v="306.79000000000002"/>
    <n v="11075.210886034642"/>
    <n v="11075.210886034642"/>
    <n v="0"/>
    <n v="989.89777202263997"/>
    <n v="0"/>
    <n v="0"/>
    <n v="500"/>
    <n v="0"/>
    <n v="9530"/>
    <n v="56"/>
    <n v="0"/>
    <n v="6"/>
    <n v="0"/>
    <n v="325.60524483792443"/>
    <n v="40.501428571428576"/>
    <n v="6.2885767650019075E-4"/>
    <n v="6"/>
    <m/>
    <s v="DalsinghSarai"/>
    <m/>
    <n v="500"/>
  </r>
  <r>
    <s v="Munger"/>
    <s v="10-16 Apr"/>
    <n v="1012"/>
    <s v="DalsinghSarai"/>
    <x v="471"/>
    <s v="Gomukh Dumduma"/>
    <s v="MPG"/>
    <s v="Direct"/>
    <n v="537.66"/>
    <n v="20965.3"/>
    <n v="539.91999999999996"/>
    <n v="21103.343514087399"/>
    <n v="0"/>
    <n v="0"/>
    <n v="539.91999999999996"/>
    <n v="21103.343514087399"/>
    <n v="20965.3"/>
    <n v="0"/>
    <n v="0"/>
    <n v="138.04351408739967"/>
    <n v="7500"/>
    <n v="0"/>
    <n v="0"/>
    <n v="13465"/>
    <n v="0"/>
    <n v="0"/>
    <n v="0"/>
    <n v="0"/>
    <n v="126.60442666369083"/>
    <n v="76.808571428571426"/>
    <n v="-6.5843805758753595E-3"/>
    <n v="3"/>
    <m/>
    <s v="DalsinghSarai"/>
    <m/>
    <n v="0"/>
  </r>
  <r>
    <s v="Munger"/>
    <s v="10-16 Apr"/>
    <n v="1012"/>
    <s v="DalsinghSarai"/>
    <x v="472"/>
    <s v="SUPOL"/>
    <s v="MPG"/>
    <s v="Direct"/>
    <n v="352.06"/>
    <n v="13615.350000000002"/>
    <n v="405"/>
    <n v="16775.01441"/>
    <n v="3"/>
    <n v="139.06041870599998"/>
    <n v="408"/>
    <n v="16914.074828706001"/>
    <n v="13615.350000000002"/>
    <n v="0"/>
    <n v="139.06041870599998"/>
    <n v="3298.7248287059992"/>
    <n v="0"/>
    <n v="0"/>
    <n v="0"/>
    <n v="13476"/>
    <n v="0"/>
    <n v="0"/>
    <n v="0"/>
    <n v="0"/>
    <n v="269.12031352610353"/>
    <n v="50.294285714285714"/>
    <n v="-0.24227984067291686"/>
    <n v="3"/>
    <m/>
    <s v="DalsinghSarai"/>
    <m/>
    <n v="0"/>
  </r>
  <r>
    <s v="Munger"/>
    <s v="10-16 Apr"/>
    <n v="1012"/>
    <s v="DalsinghSarai"/>
    <x v="473"/>
    <s v="BHUSARAI"/>
    <s v="MPG"/>
    <s v="Direct"/>
    <n v="262.47000000000003"/>
    <n v="10086.98"/>
    <n v="177.76"/>
    <n v="6633.7814026439992"/>
    <n v="86"/>
    <n v="3229.6770922680007"/>
    <n v="263.76"/>
    <n v="9863.4584949119999"/>
    <n v="9863.4584949119999"/>
    <n v="0"/>
    <n v="105.48294173999999"/>
    <n v="0"/>
    <n v="0"/>
    <n v="0"/>
    <n v="0"/>
    <n v="6634"/>
    <n v="3124"/>
    <n v="0"/>
    <n v="223"/>
    <n v="0"/>
    <n v="336.29415623880817"/>
    <n v="37.495714285714293"/>
    <n v="2.2159407978205536E-2"/>
    <n v="7"/>
    <m/>
    <s v="DalsinghSarai"/>
    <m/>
    <n v="0"/>
  </r>
  <r>
    <s v="Munger"/>
    <s v="10-16 Apr"/>
    <n v="1012"/>
    <s v="DalsinghSarai"/>
    <x v="474"/>
    <s v="Gomukha Jounapur"/>
    <s v="vlc"/>
    <s v="Indirect"/>
    <n v="244.17000000000002"/>
    <n v="10378.610000000002"/>
    <n v="0"/>
    <n v="0"/>
    <n v="0"/>
    <n v="0"/>
    <n v="0"/>
    <n v="0"/>
    <n v="10378.610000000002"/>
    <n v="0"/>
    <n v="0"/>
    <n v="0"/>
    <n v="0"/>
    <n v="0"/>
    <n v="0"/>
    <n v="0"/>
    <n v="0"/>
    <n v="10378.610000000002"/>
    <n v="0"/>
    <n v="0"/>
    <n v="387.50721188516206"/>
    <n v="34.881428571428572"/>
    <n v="0"/>
    <n v="0"/>
    <m/>
    <s v="DalsinghSarai"/>
    <m/>
    <n v="0"/>
  </r>
  <r>
    <s v="Munger"/>
    <s v="10-16 Apr"/>
    <n v="1012"/>
    <s v="DalsinghSarai"/>
    <x v="475"/>
    <s v="Patailliya"/>
    <s v="vlc"/>
    <s v="Indirect"/>
    <n v="242.95999999999995"/>
    <n v="8881.2100000000009"/>
    <n v="0"/>
    <n v="0"/>
    <n v="0"/>
    <n v="0"/>
    <n v="0"/>
    <n v="0"/>
    <n v="8881.2100000000009"/>
    <n v="0"/>
    <n v="0"/>
    <n v="0"/>
    <n v="0"/>
    <n v="0"/>
    <n v="0"/>
    <n v="0"/>
    <n v="0"/>
    <n v="8881.2100000000009"/>
    <n v="0"/>
    <n v="0"/>
    <n v="334.13469035232151"/>
    <n v="34.708571428571425"/>
    <n v="0"/>
    <n v="0"/>
    <m/>
    <s v="DalsinghSarai"/>
    <m/>
    <n v="0"/>
  </r>
  <r>
    <s v="Munger"/>
    <s v="10-16 Apr"/>
    <n v="1012"/>
    <s v="DalsinghSarai"/>
    <x v="476"/>
    <s v="Badiya"/>
    <s v="vlc"/>
    <s v="Indirect"/>
    <n v="307.11"/>
    <n v="10988.67"/>
    <n v="0"/>
    <n v="0"/>
    <n v="0"/>
    <n v="0"/>
    <n v="0"/>
    <n v="0"/>
    <n v="10988.67"/>
    <n v="0"/>
    <n v="0"/>
    <n v="0"/>
    <n v="0"/>
    <n v="0"/>
    <n v="0"/>
    <n v="0"/>
    <n v="0"/>
    <n v="10988.67"/>
    <n v="0"/>
    <n v="0"/>
    <n v="281.15909975578779"/>
    <n v="43.872857142857143"/>
    <n v="0"/>
    <n v="0"/>
    <m/>
    <s v="DalsinghSarai"/>
    <m/>
    <n v="0"/>
  </r>
  <r>
    <s v="Munger"/>
    <s v="10-16 Apr"/>
    <n v="1012"/>
    <s v="DalsinghSarai"/>
    <x v="477"/>
    <s v="Gomukh Tabhka"/>
    <s v="MPG"/>
    <s v="Direct"/>
    <n v="2472.83"/>
    <n v="98523.459999999992"/>
    <n v="1464.0700000000002"/>
    <n v="66963.757374573179"/>
    <n v="1109.4399999999998"/>
    <n v="42784.258337375162"/>
    <n v="2573.5100000000002"/>
    <n v="109748.01571194833"/>
    <n v="98523.459999999992"/>
    <n v="0"/>
    <n v="613.45768645200008"/>
    <n v="11224.555711948342"/>
    <n v="0"/>
    <n v="0"/>
    <n v="0"/>
    <n v="55738"/>
    <n v="42172"/>
    <n v="0"/>
    <n v="0"/>
    <n v="0"/>
    <n v="0"/>
    <n v="0"/>
    <n v="-0.11392774585817776"/>
    <n v="28"/>
    <m/>
    <s v="DalsinghSarai"/>
    <m/>
    <n v="0"/>
  </r>
  <r>
    <s v="Munger"/>
    <s v="10-16 Apr"/>
    <n v="1012"/>
    <s v="DalsinghSarai"/>
    <x v="478"/>
    <s v="Ghato"/>
    <s v="vlc"/>
    <s v="Indirect"/>
    <n v="8.3800000000000008"/>
    <n v="267.99"/>
    <n v="0"/>
    <n v="0"/>
    <n v="0"/>
    <n v="0"/>
    <n v="0"/>
    <n v="0"/>
    <n v="267.99"/>
    <n v="0"/>
    <n v="0"/>
    <n v="0"/>
    <n v="0"/>
    <n v="0"/>
    <n v="0"/>
    <n v="0"/>
    <n v="0"/>
    <n v="267.99"/>
    <n v="0"/>
    <n v="0"/>
    <n v="442.35619045346061"/>
    <n v="1.1971428571428573"/>
    <n v="0"/>
    <n v="0"/>
    <m/>
    <s v="DalsinghSarai"/>
    <m/>
    <n v="0"/>
  </r>
  <r>
    <s v="Munger"/>
    <s v="10-16 Apr"/>
    <n v="1012"/>
    <s v="DalsinghSarai"/>
    <x v="479"/>
    <s v="RAMNATHPUR                                                                                          "/>
    <s v="MPG"/>
    <s v="Direct"/>
    <n v="965.13"/>
    <n v="36575.520000000004"/>
    <n v="691.52"/>
    <n v="26272.863642374799"/>
    <n v="340.42"/>
    <n v="12594.638158344002"/>
    <n v="1031.94"/>
    <n v="38867.501800718805"/>
    <n v="36575.520000000004"/>
    <n v="0"/>
    <n v="350.23260888000004"/>
    <n v="2291.9818007188005"/>
    <n v="0"/>
    <n v="0"/>
    <n v="0"/>
    <n v="23980"/>
    <n v="12245"/>
    <n v="0"/>
    <n v="0"/>
    <n v="0"/>
    <n v="0"/>
    <n v="0"/>
    <n v="-6.2664366787370362E-2"/>
    <n v="19"/>
    <m/>
    <s v="DalsinghSarai"/>
    <m/>
    <n v="0"/>
  </r>
  <r>
    <s v="Munger"/>
    <s v="10-16 Apr"/>
    <n v="1012"/>
    <s v="DalsinghSarai"/>
    <x v="480"/>
    <s v="KEWAS JAGIR"/>
    <s v="MPG"/>
    <s v="Direct"/>
    <n v="214.44000000000003"/>
    <n v="9399.51"/>
    <n v="215.32"/>
    <n v="9225.9850759997953"/>
    <n v="8.07"/>
    <n v="298.06321295880002"/>
    <n v="223.39"/>
    <n v="9524.0482889585946"/>
    <n v="9399.51"/>
    <n v="0"/>
    <n v="0"/>
    <n v="124.53828895859442"/>
    <n v="0"/>
    <n v="325"/>
    <n v="0"/>
    <n v="0"/>
    <n v="0"/>
    <n v="0"/>
    <n v="9075"/>
    <s v="Yes"/>
    <n v="425.66928517067709"/>
    <n v="30.634285714285717"/>
    <n v="-1.3249444807079775E-2"/>
    <n v="7"/>
    <m/>
    <s v="DalsinghSarai"/>
    <m/>
    <n v="325"/>
  </r>
  <r>
    <s v="Munger"/>
    <s v="10-16 Apr"/>
    <n v="1012"/>
    <s v="DalsinghSarai"/>
    <x v="481"/>
    <s v="DESUA"/>
    <s v="MPG"/>
    <s v="Direct"/>
    <n v="402.27999999999992"/>
    <n v="14926.1"/>
    <n v="444.55999999999995"/>
    <n v="16498.078803419401"/>
    <n v="0.4"/>
    <n v="14.694651972000001"/>
    <n v="444.95999999999992"/>
    <n v="16512.773455391402"/>
    <n v="14926.1"/>
    <n v="0"/>
    <n v="14.694651972000001"/>
    <n v="1586.6734553914011"/>
    <n v="0"/>
    <n v="0"/>
    <n v="0"/>
    <n v="14911"/>
    <n v="0"/>
    <n v="0"/>
    <n v="0"/>
    <n v="0"/>
    <n v="220.93062006562607"/>
    <n v="57.468571428571416"/>
    <n v="-0.10630194460652154"/>
    <n v="4"/>
    <m/>
    <s v="DalsinghSarai"/>
    <m/>
    <n v="0"/>
  </r>
  <r>
    <s v="Munger"/>
    <s v="10-16 Apr"/>
    <n v="1012"/>
    <s v="DalsinghSarai"/>
    <x v="482"/>
    <s v="Matior"/>
    <s v="MPG"/>
    <s v="Direct"/>
    <n v="93.039999999999992"/>
    <n v="3460.12"/>
    <n v="93.02"/>
    <n v="3482.3231040510004"/>
    <n v="0"/>
    <n v="0"/>
    <n v="93.02"/>
    <n v="3482.3231040510004"/>
    <n v="3460.12"/>
    <n v="0"/>
    <n v="0"/>
    <n v="22.203104051000537"/>
    <n v="2700"/>
    <n v="500"/>
    <n v="0"/>
    <n v="260"/>
    <n v="0"/>
    <n v="0"/>
    <n v="0"/>
    <n v="0"/>
    <n v="451.45194221840075"/>
    <n v="13.29142857142857"/>
    <n v="-6.4168595456228503E-3"/>
    <n v="1"/>
    <m/>
    <s v="DalsinghSarai"/>
    <m/>
    <n v="500"/>
  </r>
  <r>
    <s v="Munger"/>
    <s v="10-16 Apr"/>
    <n v="1012"/>
    <s v="DalsinghSarai"/>
    <x v="483"/>
    <s v="TELGAMA"/>
    <s v="vlc"/>
    <s v="Indirect"/>
    <n v="413.57000000000011"/>
    <n v="18307.690000000002"/>
    <n v="0"/>
    <n v="0"/>
    <n v="0"/>
    <n v="0"/>
    <n v="0"/>
    <n v="0"/>
    <n v="18307.690000000002"/>
    <n v="0"/>
    <n v="0"/>
    <n v="0"/>
    <n v="1350"/>
    <n v="0"/>
    <n v="0"/>
    <n v="0"/>
    <n v="0"/>
    <n v="16957.690000000002"/>
    <n v="0"/>
    <n v="0"/>
    <n v="253.59052381458991"/>
    <n v="59.081428571428589"/>
    <n v="0"/>
    <n v="0"/>
    <m/>
    <s v="DalsinghSarai"/>
    <m/>
    <n v="0"/>
  </r>
  <r>
    <s v="Munger"/>
    <s v="10-16 Apr"/>
    <n v="1012"/>
    <s v="DalsinghSarai"/>
    <x v="484"/>
    <s v="GOMUKH TATARPUR"/>
    <s v="MPG"/>
    <s v="Direct"/>
    <n v="204.35"/>
    <n v="10158.220000000001"/>
    <n v="204.05"/>
    <n v="10193.807672271581"/>
    <n v="0"/>
    <n v="0"/>
    <n v="204.05"/>
    <n v="10193.807672271581"/>
    <n v="10158.220000000001"/>
    <n v="0"/>
    <n v="0"/>
    <n v="35.587672271580232"/>
    <n v="0"/>
    <n v="500"/>
    <n v="0"/>
    <n v="9658"/>
    <n v="0"/>
    <n v="0"/>
    <n v="0"/>
    <n v="0"/>
    <n v="492.77433256667484"/>
    <n v="29.192857142857143"/>
    <n v="-3.5033374224598627E-3"/>
    <n v="1"/>
    <m/>
    <s v="DalsinghSarai"/>
    <m/>
    <n v="500"/>
  </r>
  <r>
    <s v="Munger"/>
    <s v="10-16 Apr"/>
    <n v="1012"/>
    <s v="DalsinghSarai"/>
    <x v="485"/>
    <s v="Gomukh Ghataho"/>
    <s v="MPG"/>
    <s v="Direct"/>
    <n v="2113.23"/>
    <n v="78919.739999999991"/>
    <n v="1408.6000000000001"/>
    <n v="52747.607955524261"/>
    <n v="676.49999999999989"/>
    <n v="26165.205862312963"/>
    <n v="2085.1"/>
    <n v="78912.813817837217"/>
    <n v="78912.813817837217"/>
    <n v="0"/>
    <n v="699.53139649800005"/>
    <n v="0"/>
    <n v="0"/>
    <n v="0"/>
    <n v="0"/>
    <n v="52749"/>
    <n v="25465"/>
    <n v="0"/>
    <n v="6"/>
    <n v="0"/>
    <n v="0"/>
    <n v="0"/>
    <n v="8.7762354041882689E-5"/>
    <n v="33"/>
    <m/>
    <s v="DalsinghSarai"/>
    <m/>
    <n v="0"/>
  </r>
  <r>
    <s v="Munger"/>
    <s v="10-16 Apr"/>
    <n v="1012"/>
    <s v="DalsinghSarai"/>
    <x v="487"/>
    <s v="Kacha - Amarjeet"/>
    <s v="vlc"/>
    <s v="Indirect"/>
    <n v="556.56999999999994"/>
    <n v="25325.87"/>
    <n v="0"/>
    <n v="0"/>
    <n v="0"/>
    <n v="0"/>
    <n v="0"/>
    <n v="0"/>
    <n v="25325.87"/>
    <n v="0"/>
    <n v="0"/>
    <n v="0"/>
    <n v="9000"/>
    <n v="0"/>
    <n v="0"/>
    <n v="0"/>
    <n v="0"/>
    <n v="16325.869999999999"/>
    <n v="0"/>
    <n v="0"/>
    <n v="130.53127312287768"/>
    <n v="79.509999999999991"/>
    <n v="0"/>
    <n v="0"/>
    <m/>
    <s v="DalsinghSarai"/>
    <m/>
    <n v="0"/>
  </r>
  <r>
    <s v="Munger"/>
    <s v="10-16 Apr"/>
    <n v="1012"/>
    <s v="DalsinghSarai"/>
    <x v="488"/>
    <s v="Narenpur"/>
    <s v="MPG"/>
    <s v="Direct"/>
    <n v="379.41"/>
    <n v="16286.88"/>
    <n v="57.91"/>
    <n v="2671.8304346123377"/>
    <n v="307.36"/>
    <n v="13615.711005816016"/>
    <n v="365.27"/>
    <n v="16287.541440428355"/>
    <n v="16286.88"/>
    <n v="0"/>
    <n v="0"/>
    <n v="0.66144042835549044"/>
    <n v="0"/>
    <n v="0"/>
    <n v="0"/>
    <n v="2672"/>
    <n v="13615"/>
    <n v="0"/>
    <n v="0"/>
    <n v="0"/>
    <n v="275.23844174903138"/>
    <n v="54.201428571428572"/>
    <n v="-4.0611856190718572E-5"/>
    <n v="11"/>
    <m/>
    <s v="DalsinghSarai"/>
    <m/>
    <n v="0"/>
  </r>
  <r>
    <s v="Munger"/>
    <s v="10-16 Apr"/>
    <n v="1012"/>
    <s v="DalsinghSarai"/>
    <x v="489"/>
    <s v="Mordiba"/>
    <s v="MPG"/>
    <s v="Direct"/>
    <n v="2105.9699999999998"/>
    <n v="84123.179999999978"/>
    <n v="1167.0100000000002"/>
    <n v="44489.948797349411"/>
    <n v="1026.55"/>
    <n v="39630.698270615096"/>
    <n v="2193.5600000000004"/>
    <n v="84120.647067964514"/>
    <n v="84120.647067964514"/>
    <n v="0"/>
    <n v="3781.4491950840006"/>
    <n v="0"/>
    <n v="0"/>
    <n v="0"/>
    <n v="0"/>
    <n v="44490"/>
    <n v="35848"/>
    <n v="0"/>
    <n v="4"/>
    <n v="0"/>
    <n v="0"/>
    <n v="0"/>
    <n v="3.0109798933717325E-5"/>
    <n v="10"/>
    <m/>
    <s v="DalsinghSarai"/>
    <m/>
    <n v="0"/>
  </r>
  <r>
    <s v="Munger"/>
    <s v="10-16 Apr"/>
    <n v="1012"/>
    <s v="DalsinghSarai"/>
    <x v="490"/>
    <s v="Jagdispur"/>
    <s v="MPG"/>
    <s v="Direct"/>
    <n v="288.40000000000003"/>
    <n v="11468.77"/>
    <n v="298.44"/>
    <n v="11368.080067865381"/>
    <n v="0"/>
    <n v="0"/>
    <n v="298.44"/>
    <n v="11368.080067865381"/>
    <n v="11368.080067865381"/>
    <n v="0"/>
    <n v="0"/>
    <n v="0"/>
    <n v="1315"/>
    <n v="0"/>
    <n v="0"/>
    <n v="10054"/>
    <n v="0"/>
    <n v="0"/>
    <n v="100"/>
    <n v="0"/>
    <n v="327.36100776699021"/>
    <n v="41.2"/>
    <n v="8.7794883090879915E-3"/>
    <n v="11"/>
    <m/>
    <s v="DalsinghSarai"/>
    <m/>
    <n v="0"/>
  </r>
  <r>
    <s v="Munger"/>
    <s v="10-16 Apr"/>
    <n v="1012"/>
    <s v="DalsinghSarai"/>
    <x v="972"/>
    <s v="Chaklal Sahi_Vikrant"/>
    <s v="vlc"/>
    <s v="Indirect"/>
    <n v="1800"/>
    <n v="62412"/>
    <n v="0"/>
    <n v="0"/>
    <n v="0"/>
    <n v="0"/>
    <n v="0"/>
    <n v="0"/>
    <n v="62412"/>
    <n v="0"/>
    <n v="0"/>
    <n v="0"/>
    <n v="0"/>
    <n v="0"/>
    <n v="0"/>
    <n v="0"/>
    <n v="0"/>
    <n v="62412"/>
    <n v="0"/>
    <n v="0"/>
    <n v="0"/>
    <n v="0"/>
    <n v="0"/>
    <n v="0"/>
    <m/>
    <s v="DalsinghSarai"/>
    <m/>
    <n v="0"/>
  </r>
  <r>
    <s v="Munger"/>
    <s v="10-16 Apr"/>
    <n v="1012"/>
    <s v="DalsinghSarai"/>
    <x v="491"/>
    <s v="Piparpaati"/>
    <s v="vlc"/>
    <s v="Indirect"/>
    <n v="127.4"/>
    <n v="5006.7499999999991"/>
    <n v="0"/>
    <n v="0"/>
    <n v="0"/>
    <n v="0"/>
    <n v="0"/>
    <n v="0"/>
    <n v="5006.7499999999991"/>
    <n v="0"/>
    <n v="0"/>
    <n v="0"/>
    <n v="0"/>
    <n v="0"/>
    <n v="0"/>
    <n v="0"/>
    <n v="0"/>
    <n v="5006.7499999999991"/>
    <n v="0"/>
    <n v="0"/>
    <n v="450.05730769230757"/>
    <n v="18.2"/>
    <n v="0"/>
    <n v="0"/>
    <m/>
    <s v="DalsinghSarai"/>
    <m/>
    <n v="0"/>
  </r>
  <r>
    <s v="Munger"/>
    <s v="10-16 Apr"/>
    <n v="1012"/>
    <s v="DalsinghSarai"/>
    <x v="492"/>
    <s v="Suratpur"/>
    <s v="MPG"/>
    <s v="Direct"/>
    <n v="695.31999999999994"/>
    <n v="27291.29"/>
    <n v="106.46000000000001"/>
    <n v="4339.5192570916606"/>
    <n v="613.31999999999994"/>
    <n v="23850.755488244566"/>
    <n v="719.78"/>
    <n v="28190.274745336224"/>
    <n v="27291.29"/>
    <n v="0"/>
    <n v="0"/>
    <n v="898.98474533622357"/>
    <n v="0"/>
    <n v="0"/>
    <n v="0"/>
    <n v="3439"/>
    <n v="23852"/>
    <n v="0"/>
    <n v="0"/>
    <n v="0"/>
    <n v="3.6737973077144956"/>
    <n v="99.33142857142856"/>
    <n v="-3.2940353692926333E-2"/>
    <n v="14"/>
    <m/>
    <s v="DalsinghSarai"/>
    <m/>
    <n v="0"/>
  </r>
  <r>
    <s v="Munger"/>
    <s v="10-16 Apr"/>
    <n v="1012"/>
    <s v="DalsinghSarai"/>
    <x v="493"/>
    <s v="Manika Tol"/>
    <s v="MPG"/>
    <s v="Direct"/>
    <n v="25.7"/>
    <n v="948.84999999999991"/>
    <n v="25.7"/>
    <n v="937.92212377379997"/>
    <n v="0"/>
    <n v="0"/>
    <n v="25.7"/>
    <n v="937.92212377379997"/>
    <n v="937.92212377379997"/>
    <n v="0"/>
    <n v="0"/>
    <n v="0"/>
    <n v="0"/>
    <n v="500"/>
    <n v="0"/>
    <n v="438"/>
    <n v="0"/>
    <n v="0"/>
    <n v="11"/>
    <n v="0"/>
    <n v="497.90626848249019"/>
    <n v="3.6714285714285713"/>
    <n v="1.1516969200821988E-2"/>
    <n v="1"/>
    <m/>
    <s v="DalsinghSarai"/>
    <m/>
    <n v="500"/>
  </r>
  <r>
    <s v="Munger"/>
    <s v="10-16 Apr"/>
    <n v="1012"/>
    <s v="DalsinghSarai"/>
    <x v="494"/>
    <s v="Beri"/>
    <s v="MPG"/>
    <s v="Direct"/>
    <n v="435.15999999999997"/>
    <n v="16308.37"/>
    <n v="434.99999999999994"/>
    <n v="16302.141943706001"/>
    <n v="0"/>
    <n v="0"/>
    <n v="434.99999999999994"/>
    <n v="16302.141943706001"/>
    <n v="16302.141943706001"/>
    <n v="0"/>
    <n v="0"/>
    <n v="0"/>
    <n v="12500"/>
    <n v="0"/>
    <n v="0"/>
    <n v="3802"/>
    <n v="0"/>
    <n v="0"/>
    <n v="6"/>
    <n v="0"/>
    <n v="198.50669688390482"/>
    <n v="62.16571428571428"/>
    <n v="3.8189324218174738E-4"/>
    <n v="1"/>
    <m/>
    <s v="DalsinghSarai"/>
    <m/>
    <n v="0"/>
  </r>
  <r>
    <s v="Munger"/>
    <s v="10-16 Apr"/>
    <n v="1012"/>
    <s v="DalsinghSarai"/>
    <x v="495"/>
    <s v="Mahmmadipur"/>
    <s v="MPG"/>
    <s v="Direct"/>
    <n v="1476.4399999999998"/>
    <n v="70128.58"/>
    <n v="440.78000000000009"/>
    <n v="21830.134982209744"/>
    <n v="1017.3799999999999"/>
    <n v="51115.879057119913"/>
    <n v="1458.1599999999999"/>
    <n v="72946.014039329661"/>
    <n v="70128.58"/>
    <n v="0"/>
    <n v="0"/>
    <n v="2817.4340393296588"/>
    <n v="0"/>
    <n v="0"/>
    <n v="0"/>
    <n v="19014"/>
    <n v="51115"/>
    <n v="0"/>
    <n v="0"/>
    <n v="0"/>
    <n v="0"/>
    <n v="0"/>
    <n v="-4.0175261488677783E-2"/>
    <n v="27"/>
    <m/>
    <s v="DalsinghSarai"/>
    <m/>
    <n v="0"/>
  </r>
  <r>
    <s v="Munger"/>
    <s v="10-16 Apr"/>
    <n v="1012"/>
    <s v="DalsinghSarai"/>
    <x v="496"/>
    <s v="Simri-Rupesh"/>
    <s v="vlc"/>
    <s v="Indirect"/>
    <n v="1017.9800000000001"/>
    <n v="37397.120000000003"/>
    <n v="0"/>
    <n v="0"/>
    <n v="0"/>
    <n v="0"/>
    <n v="0"/>
    <n v="0"/>
    <n v="37397.120000000003"/>
    <n v="0"/>
    <n v="0"/>
    <n v="0"/>
    <n v="0"/>
    <n v="0"/>
    <n v="0"/>
    <n v="0"/>
    <n v="0"/>
    <n v="37397.120000000003"/>
    <n v="0"/>
    <n v="0"/>
    <n v="0"/>
    <n v="0"/>
    <n v="0"/>
    <n v="0"/>
    <m/>
    <s v="DalsinghSarai"/>
    <m/>
    <n v="0"/>
  </r>
  <r>
    <s v="Munger"/>
    <s v="10-16 Apr"/>
    <n v="1062"/>
    <s v="Singhia BMC"/>
    <x v="497"/>
    <s v="Mithilanchal Dairy Products"/>
    <s v="vlc"/>
    <s v="Indirect"/>
    <n v="2924.94"/>
    <n v="105017.39000000001"/>
    <n v="0"/>
    <n v="0"/>
    <n v="0"/>
    <n v="0"/>
    <n v="0"/>
    <n v="0"/>
    <n v="105017.39000000001"/>
    <n v="0"/>
    <n v="0"/>
    <n v="0"/>
    <n v="0"/>
    <n v="0"/>
    <n v="0"/>
    <n v="0"/>
    <n v="0"/>
    <n v="105017.39000000001"/>
    <n v="0"/>
    <n v="0"/>
    <n v="0"/>
    <n v="0"/>
    <n v="0"/>
    <n v="0"/>
    <m/>
    <s v="Singhia BMC"/>
    <m/>
    <n v="0"/>
  </r>
  <r>
    <s v="Munger"/>
    <s v="10-16 Apr"/>
    <n v="1012"/>
    <s v="DalsinghSarai"/>
    <x v="498"/>
    <s v="Gomukh Jhaura Tabhka"/>
    <s v="MPG"/>
    <s v="Direct"/>
    <n v="435.72"/>
    <n v="16382.55"/>
    <n v="441.1"/>
    <n v="16826.116182084003"/>
    <n v="1.2"/>
    <n v="45.926704692000008"/>
    <n v="442.3"/>
    <n v="16872.042886776002"/>
    <n v="16382.55"/>
    <n v="0"/>
    <n v="45.926704692000008"/>
    <n v="489.49288677600271"/>
    <n v="0"/>
    <n v="0"/>
    <n v="0"/>
    <n v="16337"/>
    <n v="0"/>
    <n v="0"/>
    <n v="0"/>
    <n v="0"/>
    <n v="198.73222776094735"/>
    <n v="62.245714285714293"/>
    <n v="-2.9878919141159511E-2"/>
    <n v="2"/>
    <m/>
    <s v="DalsinghSarai"/>
    <m/>
    <n v="0"/>
  </r>
  <r>
    <s v="Munger"/>
    <s v="10-16 Apr"/>
    <n v="1012"/>
    <s v="DalsinghSarai"/>
    <x v="499"/>
    <s v="Gomukh Mohanpur"/>
    <s v="MPG"/>
    <s v="Direct"/>
    <n v="442.06000000000006"/>
    <n v="18103.939999999999"/>
    <n v="142.54000000000002"/>
    <n v="6707.2102987756607"/>
    <n v="298.19"/>
    <n v="11176.537061934681"/>
    <n v="440.73"/>
    <n v="17883.747360710342"/>
    <n v="17883.747360710342"/>
    <n v="0"/>
    <n v="396.59861296440005"/>
    <n v="0"/>
    <n v="0"/>
    <n v="0"/>
    <n v="0"/>
    <n v="6708"/>
    <n v="10780"/>
    <n v="0"/>
    <n v="219"/>
    <n v="0"/>
    <n v="211.27133346604526"/>
    <n v="63.151428571428582"/>
    <n v="1.2162691617938232E-2"/>
    <n v="12"/>
    <m/>
    <s v="DalsinghSarai"/>
    <m/>
    <n v="0"/>
  </r>
  <r>
    <s v="Munger"/>
    <s v="10-16 Apr"/>
    <n v="1012"/>
    <s v="DalsinghSarai"/>
    <x v="500"/>
    <s v="Gomukh Bochaha"/>
    <s v="MPG"/>
    <s v="Direct"/>
    <n v="891.82"/>
    <n v="41005.419999999991"/>
    <n v="95.09"/>
    <n v="4712.2856575482001"/>
    <n v="817.3900000000001"/>
    <n v="36291.0504733548"/>
    <n v="912.48000000000013"/>
    <n v="41003.336130903001"/>
    <n v="41003.336130903001"/>
    <n v="0"/>
    <n v="0"/>
    <n v="0"/>
    <n v="20250"/>
    <n v="0"/>
    <n v="0"/>
    <n v="3204"/>
    <n v="17550"/>
    <n v="0"/>
    <n v="1"/>
    <n v="0"/>
    <n v="0"/>
    <n v="0"/>
    <n v="5.0819357465193238E-5"/>
    <n v="25"/>
    <m/>
    <s v="DalsinghSarai"/>
    <m/>
    <n v="0"/>
  </r>
  <r>
    <s v="Munger"/>
    <s v="10-16 Apr"/>
    <n v="1012"/>
    <s v="DalsinghSarai"/>
    <x v="501"/>
    <s v="Gomukh Terganj"/>
    <s v="MPG"/>
    <s v="Direct"/>
    <n v="133.25"/>
    <n v="5389.95"/>
    <n v="71"/>
    <n v="2942.8876619999996"/>
    <n v="99"/>
    <n v="4103.4630779999998"/>
    <n v="170"/>
    <n v="7046.3507399999999"/>
    <n v="5389.95"/>
    <n v="0"/>
    <n v="0"/>
    <n v="1656.40074"/>
    <n v="0"/>
    <n v="500"/>
    <n v="0"/>
    <n v="786"/>
    <n v="4104"/>
    <n v="0"/>
    <n v="0"/>
    <n v="0"/>
    <n v="458.49968667917449"/>
    <n v="19.035714285714285"/>
    <n v="-0.30731282108368352"/>
    <n v="3"/>
    <m/>
    <s v="DalsinghSarai"/>
    <m/>
    <n v="500"/>
  </r>
  <r>
    <s v="Munger"/>
    <s v="10-16 Apr"/>
    <n v="1012"/>
    <s v="DalsinghSarai"/>
    <x v="502"/>
    <s v="Gomukh Chapra"/>
    <s v="vlc"/>
    <s v="Indirect"/>
    <n v="1163.02"/>
    <n v="46334.29"/>
    <n v="0"/>
    <n v="0"/>
    <n v="0"/>
    <n v="0"/>
    <n v="0"/>
    <n v="0"/>
    <n v="46334.29"/>
    <n v="0"/>
    <n v="0"/>
    <n v="0"/>
    <n v="25000"/>
    <n v="0"/>
    <n v="0"/>
    <n v="0"/>
    <n v="0"/>
    <n v="21334.29"/>
    <n v="0"/>
    <n v="0"/>
    <n v="0"/>
    <n v="0"/>
    <n v="0"/>
    <n v="0"/>
    <m/>
    <s v="DalsinghSarai"/>
    <m/>
    <n v="0"/>
  </r>
  <r>
    <s v="Munger"/>
    <s v="10-16 Apr"/>
    <n v="1012"/>
    <s v="DalsinghSarai"/>
    <x v="503"/>
    <s v="GOMUKH Chiranjipur"/>
    <s v="vlc"/>
    <s v="Indirect"/>
    <n v="11257"/>
    <n v="435227.47000000003"/>
    <n v="0"/>
    <n v="0"/>
    <n v="0"/>
    <n v="0"/>
    <n v="0"/>
    <n v="0"/>
    <n v="435227.47000000003"/>
    <n v="0"/>
    <n v="0"/>
    <n v="0"/>
    <n v="0"/>
    <n v="0"/>
    <n v="0"/>
    <n v="0"/>
    <n v="0"/>
    <n v="435227.47000000003"/>
    <n v="0"/>
    <n v="0"/>
    <n v="0"/>
    <n v="0"/>
    <n v="0"/>
    <n v="0"/>
    <m/>
    <s v="DalsinghSarai"/>
    <m/>
    <n v="0"/>
  </r>
  <r>
    <s v="Munger"/>
    <s v="10-16 Apr"/>
    <n v="1012"/>
    <s v="DalsinghSarai"/>
    <x v="504"/>
    <s v="Gomukh Sahu Tol"/>
    <s v="vlc"/>
    <s v="Indirect"/>
    <n v="1608"/>
    <n v="60062.03"/>
    <n v="0"/>
    <n v="0"/>
    <n v="0"/>
    <n v="0"/>
    <n v="0"/>
    <n v="0"/>
    <n v="60062.03"/>
    <n v="0"/>
    <n v="0"/>
    <n v="0"/>
    <n v="0"/>
    <n v="0"/>
    <n v="0"/>
    <n v="0"/>
    <n v="0"/>
    <n v="60062.03"/>
    <n v="0"/>
    <n v="0"/>
    <n v="0"/>
    <n v="0"/>
    <n v="0"/>
    <n v="0"/>
    <m/>
    <s v="DalsinghSarai"/>
    <m/>
    <n v="0"/>
  </r>
  <r>
    <s v="Munger"/>
    <s v="10-16 Apr"/>
    <n v="1012"/>
    <s v="DalsinghSarai"/>
    <x v="505"/>
    <s v="Gomukh Mordiwa East"/>
    <s v="MPG"/>
    <s v="Direct"/>
    <n v="902.78"/>
    <n v="35171.440000000002"/>
    <n v="308.42999999999995"/>
    <n v="12353.2189953282"/>
    <n v="656.6400000000001"/>
    <n v="26145.786576175204"/>
    <n v="965.07"/>
    <n v="38499.005571503403"/>
    <n v="35171.440000000002"/>
    <n v="0"/>
    <n v="0"/>
    <n v="3327.5655715034009"/>
    <n v="0"/>
    <n v="0"/>
    <n v="0"/>
    <n v="9025"/>
    <n v="26146"/>
    <n v="0"/>
    <n v="0"/>
    <n v="0"/>
    <n v="0"/>
    <n v="0"/>
    <n v="-9.4609875839698362E-2"/>
    <n v="6"/>
    <m/>
    <s v="DalsinghSarai"/>
    <m/>
    <n v="0"/>
  </r>
  <r>
    <s v="Munger"/>
    <s v="10-16 Apr"/>
    <n v="1012"/>
    <s v="DalsinghSarai"/>
    <x v="979"/>
    <s v="Gomukh Belamegh"/>
    <s v="vlc"/>
    <s v="Indirect"/>
    <n v="560"/>
    <n v="18849.599999999999"/>
    <n v="0"/>
    <n v="0"/>
    <n v="0"/>
    <n v="0"/>
    <n v="0"/>
    <n v="0"/>
    <n v="18849.599999999999"/>
    <n v="0"/>
    <n v="0"/>
    <n v="0"/>
    <n v="0"/>
    <n v="0"/>
    <n v="0"/>
    <n v="0"/>
    <n v="0"/>
    <n v="18849.599999999999"/>
    <n v="0"/>
    <n v="0"/>
    <n v="94.24799999999999"/>
    <n v="80"/>
    <n v="0"/>
    <n v="0"/>
    <m/>
    <s v="DalsinghSarai"/>
    <m/>
    <n v="0"/>
  </r>
  <r>
    <s v="Munger"/>
    <s v="10-16 Apr"/>
    <n v="1012"/>
    <s v="DalsinghSarai"/>
    <x v="506"/>
    <s v="Gomukh Ramaiya"/>
    <s v="MPG"/>
    <s v="Direct"/>
    <n v="787.06000000000006"/>
    <n v="29958.16"/>
    <n v="786.97"/>
    <n v="29951.742604647599"/>
    <n v="0"/>
    <n v="0"/>
    <n v="786.97"/>
    <n v="29951.742604647599"/>
    <n v="29951.742604647599"/>
    <n v="0"/>
    <n v="0"/>
    <n v="0"/>
    <n v="0"/>
    <n v="0"/>
    <n v="0"/>
    <n v="29952"/>
    <n v="0"/>
    <n v="0"/>
    <n v="6"/>
    <n v="0"/>
    <n v="0"/>
    <n v="0"/>
    <n v="2.1421193265542643E-4"/>
    <n v="1"/>
    <m/>
    <s v="DalsinghSarai"/>
    <m/>
    <n v="0"/>
  </r>
  <r>
    <s v="Munger"/>
    <s v="10-16 Apr"/>
    <n v="1012"/>
    <s v="DalsinghSarai"/>
    <x v="507"/>
    <s v="GOMUKH MANIKA EAST"/>
    <s v="MPG"/>
    <s v="Direct"/>
    <n v="944.46"/>
    <n v="37182.78"/>
    <n v="928.15000000000009"/>
    <n v="36602.154066456002"/>
    <n v="13.2"/>
    <n v="578.69740368000009"/>
    <n v="941.35000000000014"/>
    <n v="37180.851470136004"/>
    <n v="37180.851470136004"/>
    <n v="0"/>
    <n v="0"/>
    <n v="0"/>
    <n v="0"/>
    <n v="0"/>
    <n v="0"/>
    <n v="36602"/>
    <n v="578"/>
    <n v="0"/>
    <n v="3"/>
    <n v="0"/>
    <n v="0"/>
    <n v="0"/>
    <n v="5.1866209680804093E-5"/>
    <n v="4"/>
    <m/>
    <s v="DalsinghSarai"/>
    <m/>
    <n v="0"/>
  </r>
  <r>
    <s v="Munger"/>
    <s v="10-16 Apr"/>
    <n v="1012"/>
    <s v="DalsinghSarai"/>
    <x v="508"/>
    <s v="IMADPUR"/>
    <s v="vlc"/>
    <s v="Indirect"/>
    <n v="1538.2400000000002"/>
    <n v="53867.37000000001"/>
    <n v="0"/>
    <n v="0"/>
    <n v="0"/>
    <n v="0"/>
    <n v="0"/>
    <n v="0"/>
    <n v="53867.37000000001"/>
    <n v="0"/>
    <n v="0"/>
    <n v="0"/>
    <n v="0"/>
    <n v="0"/>
    <n v="0"/>
    <n v="0"/>
    <n v="0"/>
    <n v="53867.37000000001"/>
    <n v="0"/>
    <n v="0"/>
    <n v="0"/>
    <n v="0"/>
    <n v="0"/>
    <n v="0"/>
    <m/>
    <s v="DalsinghSarai"/>
    <m/>
    <n v="0"/>
  </r>
  <r>
    <s v="Munger"/>
    <s v="10-16 Apr"/>
    <n v="1012"/>
    <s v="DalsinghSarai"/>
    <x v="509"/>
    <s v="Gomukh MANIYAR EAST"/>
    <s v="vlc"/>
    <s v="Indirect"/>
    <n v="556.42999999999984"/>
    <n v="22526.939999999995"/>
    <n v="0"/>
    <n v="0"/>
    <n v="0"/>
    <n v="0"/>
    <n v="0"/>
    <n v="0"/>
    <n v="22526.939999999995"/>
    <n v="0"/>
    <n v="0"/>
    <n v="0"/>
    <n v="0"/>
    <n v="0"/>
    <n v="0"/>
    <n v="0"/>
    <n v="0"/>
    <n v="22526.939999999995"/>
    <n v="0"/>
    <n v="0"/>
    <n v="116.24796563089708"/>
    <n v="79.489999999999981"/>
    <n v="0"/>
    <n v="0"/>
    <m/>
    <s v="DalsinghSarai"/>
    <m/>
    <n v="0"/>
  </r>
  <r>
    <s v="Munger"/>
    <s v="10-16 Apr"/>
    <n v="1012"/>
    <s v="DalsinghSarai"/>
    <x v="510"/>
    <s v="GOMUKH Kisanpur Tabhka"/>
    <s v="MPG"/>
    <s v="Direct"/>
    <n v="971.46000000000015"/>
    <n v="38840.99"/>
    <n v="156.88999999999999"/>
    <n v="6253.7399247435014"/>
    <n v="814.56999999999994"/>
    <n v="33923.434491908774"/>
    <n v="971.45999999999992"/>
    <n v="40177.174416652277"/>
    <n v="38840.99"/>
    <n v="0"/>
    <n v="0"/>
    <n v="1336.1844166522787"/>
    <n v="0"/>
    <n v="0"/>
    <n v="0"/>
    <n v="4918"/>
    <n v="33923"/>
    <n v="0"/>
    <n v="0"/>
    <n v="0"/>
    <n v="0"/>
    <n v="0"/>
    <n v="-3.4401399569173673E-2"/>
    <n v="11"/>
    <m/>
    <s v="DalsinghSarai"/>
    <m/>
    <n v="0"/>
  </r>
  <r>
    <s v="Munger"/>
    <s v="10-16 Apr"/>
    <n v="1012"/>
    <s v="DalsinghSarai"/>
    <x v="511"/>
    <s v="GOMUKH BIBHUTIPUR"/>
    <s v="MPG"/>
    <s v="Direct"/>
    <n v="62.1"/>
    <n v="2500.0700000000002"/>
    <n v="61.16"/>
    <n v="2430.7915032720002"/>
    <n v="1.7"/>
    <n v="67.770707400000006"/>
    <n v="62.86"/>
    <n v="2498.5622106720002"/>
    <n v="2498.5622106720002"/>
    <n v="0"/>
    <n v="67.770707400000006"/>
    <n v="0"/>
    <n v="0"/>
    <n v="0"/>
    <n v="0"/>
    <n v="2430"/>
    <n v="0"/>
    <n v="0"/>
    <n v="2"/>
    <n v="0"/>
    <n v="513.62146634460555"/>
    <n v="8.8714285714285719"/>
    <n v="6.0309884443233357E-4"/>
    <n v="3"/>
    <m/>
    <s v="DalsinghSarai"/>
    <m/>
    <n v="0"/>
  </r>
  <r>
    <s v="Munger"/>
    <s v="10-16 Apr"/>
    <n v="1012"/>
    <s v="DalsinghSarai"/>
    <x v="512"/>
    <s v="GOMUKH PATHAKTOL"/>
    <s v="MPG"/>
    <s v="Direct"/>
    <n v="212.98"/>
    <n v="8775.2800000000007"/>
    <n v="199.10000000000002"/>
    <n v="7927.9594530839995"/>
    <n v="38.9"/>
    <n v="1656.5248418400004"/>
    <n v="238.00000000000003"/>
    <n v="9584.4842949239992"/>
    <n v="8775.2800000000007"/>
    <n v="0"/>
    <n v="0"/>
    <n v="809.20429492399853"/>
    <n v="0"/>
    <n v="0"/>
    <n v="0"/>
    <n v="7119"/>
    <n v="1656"/>
    <n v="0"/>
    <n v="0"/>
    <n v="0"/>
    <n v="401.3275298713495"/>
    <n v="30.425714285714285"/>
    <n v="-9.2214071223254243E-2"/>
    <n v="6"/>
    <m/>
    <s v="DalsinghSarai"/>
    <m/>
    <n v="0"/>
  </r>
  <r>
    <s v="Munger"/>
    <s v="10-16 Apr"/>
    <n v="1012"/>
    <s v="DalsinghSarai"/>
    <x v="513"/>
    <s v="Gomukh Musapur West"/>
    <s v="vlc"/>
    <s v="Indirect"/>
    <n v="792.68"/>
    <n v="29092.039999999997"/>
    <n v="0"/>
    <n v="0"/>
    <n v="0"/>
    <n v="0"/>
    <n v="0"/>
    <n v="0"/>
    <n v="29092.039999999997"/>
    <n v="0"/>
    <n v="0"/>
    <n v="0"/>
    <n v="0"/>
    <n v="0"/>
    <n v="0"/>
    <n v="0"/>
    <n v="0"/>
    <n v="29092.039999999997"/>
    <n v="0"/>
    <n v="0"/>
    <n v="0"/>
    <n v="0"/>
    <n v="0"/>
    <n v="0"/>
    <m/>
    <s v="DalsinghSarai"/>
    <m/>
    <n v="0"/>
  </r>
  <r>
    <s v="Munger"/>
    <s v="10-16 Apr"/>
    <n v="1012"/>
    <s v="DalsinghSarai"/>
    <x v="514"/>
    <s v="GOMUKH DADHIYA RAMKRISHANPUR"/>
    <s v="MPG"/>
    <s v="Direct"/>
    <n v="1844.2100000000003"/>
    <n v="76436.00999999998"/>
    <n v="617.49999999999989"/>
    <n v="22129.934874868006"/>
    <n v="1261"/>
    <n v="54269.324298027917"/>
    <n v="1878.5"/>
    <n v="76399.259172895923"/>
    <n v="76399.259172895923"/>
    <n v="0"/>
    <n v="1897.8822140162001"/>
    <n v="0"/>
    <n v="0"/>
    <n v="0"/>
    <n v="0"/>
    <n v="22130"/>
    <n v="52371"/>
    <n v="0"/>
    <n v="37"/>
    <n v="0"/>
    <n v="0"/>
    <n v="0"/>
    <n v="4.8080514804549535E-4"/>
    <n v="28"/>
    <m/>
    <s v="DalsinghSarai"/>
    <m/>
    <n v="0"/>
  </r>
  <r>
    <s v="Munger"/>
    <s v="10-16 Apr"/>
    <n v="1012"/>
    <s v="DalsinghSarai"/>
    <x v="982"/>
    <s v="Gomukh Simri Ward 4"/>
    <s v="vlc"/>
    <s v="Indirect"/>
    <n v="1370"/>
    <n v="46292.3"/>
    <n v="0"/>
    <n v="0"/>
    <n v="0"/>
    <n v="0"/>
    <n v="0"/>
    <n v="0"/>
    <n v="46292.3"/>
    <n v="0"/>
    <n v="0"/>
    <n v="0"/>
    <n v="0"/>
    <n v="0"/>
    <n v="0"/>
    <n v="0"/>
    <n v="0"/>
    <n v="46292.3"/>
    <n v="0"/>
    <n v="0"/>
    <n v="0"/>
    <n v="0"/>
    <n v="0"/>
    <n v="0"/>
    <m/>
    <s v="DalsinghSarai"/>
    <m/>
    <n v="0"/>
  </r>
  <r>
    <s v="Munger"/>
    <s v="10-16 Apr"/>
    <n v="1012"/>
    <s v="DalsinghSarai"/>
    <x v="515"/>
    <s v="GOMUKH BALTHARA"/>
    <s v="MPG"/>
    <s v="Direct"/>
    <n v="272.00999999999993"/>
    <n v="11231.310000000001"/>
    <n v="67.489999999999995"/>
    <n v="3177.5220564921001"/>
    <n v="193.73000000000002"/>
    <n v="8047.1360994929"/>
    <n v="261.22000000000003"/>
    <n v="11224.658155985"/>
    <n v="11224.658155985"/>
    <n v="0"/>
    <n v="0"/>
    <n v="0"/>
    <n v="3178"/>
    <n v="0"/>
    <n v="0"/>
    <n v="0"/>
    <n v="8048"/>
    <n v="0"/>
    <n v="5"/>
    <n v="0"/>
    <n v="353.43468011470185"/>
    <n v="38.858571428571416"/>
    <n v="5.9225896311304626E-4"/>
    <n v="7"/>
    <m/>
    <s v="DalsinghSarai"/>
    <m/>
    <n v="0"/>
  </r>
  <r>
    <s v="Munger"/>
    <s v="10-16 Apr"/>
    <n v="1012"/>
    <s v="DalsinghSarai"/>
    <x v="516"/>
    <s v="GOMUKH BHASINGPUR"/>
    <s v="MPG"/>
    <s v="Direct"/>
    <n v="1208.27"/>
    <n v="50125.89"/>
    <n v="418.38"/>
    <n v="19233.318835057424"/>
    <n v="761.1"/>
    <n v="30885.987396696859"/>
    <n v="1179.48"/>
    <n v="50119.306231754279"/>
    <n v="50119.306231754279"/>
    <n v="0"/>
    <n v="0"/>
    <n v="0"/>
    <n v="0"/>
    <n v="0"/>
    <n v="0"/>
    <n v="19233"/>
    <n v="30885"/>
    <n v="0"/>
    <n v="8"/>
    <n v="0"/>
    <n v="0"/>
    <n v="0"/>
    <n v="1.313446653160756E-4"/>
    <n v="13"/>
    <m/>
    <s v="DalsinghSarai"/>
    <m/>
    <n v="0"/>
  </r>
  <r>
    <s v="Munger"/>
    <s v="10-16 Apr"/>
    <n v="1012"/>
    <s v="DalsinghSarai"/>
    <x v="517"/>
    <s v="GOMUKH Chakhale Dad"/>
    <s v="MPG"/>
    <s v="Direct"/>
    <n v="752.44"/>
    <n v="28459.089999999997"/>
    <n v="669.24"/>
    <n v="24508.435393956403"/>
    <n v="114.39999999999999"/>
    <n v="3949.3478637756007"/>
    <n v="783.64"/>
    <n v="28457.783257732004"/>
    <n v="28457.783257732004"/>
    <n v="0"/>
    <n v="81.618228667799997"/>
    <n v="0"/>
    <n v="2700"/>
    <n v="0"/>
    <n v="0"/>
    <n v="21808"/>
    <n v="3868"/>
    <n v="0"/>
    <n v="1"/>
    <n v="0"/>
    <n v="0"/>
    <n v="0"/>
    <n v="4.5916516234088184E-5"/>
    <n v="15"/>
    <m/>
    <s v="DalsinghSarai"/>
    <m/>
    <n v="0"/>
  </r>
  <r>
    <s v="Munger"/>
    <s v="10-16 Apr"/>
    <n v="1013"/>
    <s v="Musrigharari"/>
    <x v="518"/>
    <s v="GOMUKH BANGHARH KISHANPUR"/>
    <s v="MPG"/>
    <s v="Direct"/>
    <n v="642.40000000000009"/>
    <n v="22162.48"/>
    <n v="92.899999999999991"/>
    <n v="3402.6983804880001"/>
    <n v="545.1"/>
    <n v="19368.791176086001"/>
    <n v="638"/>
    <n v="22771.489556574001"/>
    <n v="22162.48"/>
    <n v="0"/>
    <n v="232.95493425599997"/>
    <n v="609.00955657400118"/>
    <n v="0"/>
    <n v="0"/>
    <n v="0"/>
    <n v="2793"/>
    <n v="19137"/>
    <n v="0"/>
    <n v="0"/>
    <n v="0"/>
    <n v="39.743426151930187"/>
    <n v="91.771428571428586"/>
    <n v="-2.747930541049563E-2"/>
    <n v="12"/>
    <m/>
    <s v="Musrigharari"/>
    <m/>
    <n v="0"/>
  </r>
  <r>
    <s v="Munger"/>
    <s v="10-16 Apr"/>
    <n v="1013"/>
    <s v="Musrigharari"/>
    <x v="519"/>
    <s v="Gomukh Serpur Narsari"/>
    <s v="vlc"/>
    <s v="Indirect"/>
    <n v="70.800000000000011"/>
    <n v="2542.91"/>
    <n v="0"/>
    <n v="0"/>
    <n v="0"/>
    <n v="0"/>
    <n v="0"/>
    <n v="0"/>
    <n v="2542.91"/>
    <n v="0"/>
    <n v="0"/>
    <n v="0"/>
    <n v="0"/>
    <n v="0"/>
    <n v="0"/>
    <n v="0"/>
    <n v="0"/>
    <n v="2542.91"/>
    <n v="0"/>
    <n v="0"/>
    <n v="451.97711073446328"/>
    <n v="10.114285714285716"/>
    <n v="0"/>
    <n v="0"/>
    <m/>
    <s v="Musrigharari"/>
    <m/>
    <n v="0"/>
  </r>
  <r>
    <s v="Munger"/>
    <s v="10-16 Apr"/>
    <n v="1013"/>
    <s v="Musrigharari"/>
    <x v="520"/>
    <s v="PARORIYA"/>
    <s v="MPG"/>
    <s v="Direct"/>
    <n v="79.2"/>
    <n v="2502.9199999999996"/>
    <n v="79.3"/>
    <n v="2518.7843284560004"/>
    <n v="0.2"/>
    <n v="6.2701848000000009"/>
    <n v="79.5"/>
    <n v="2525.0545132560005"/>
    <n v="2502.9199999999996"/>
    <n v="0"/>
    <n v="6.2701848000000009"/>
    <n v="22.134513256000901"/>
    <n v="0"/>
    <n v="0"/>
    <n v="0"/>
    <n v="2497"/>
    <n v="0"/>
    <n v="0"/>
    <n v="0"/>
    <n v="0"/>
    <n v="392.37695353535349"/>
    <n v="11.314285714285715"/>
    <n v="-8.8434761222895269E-3"/>
    <n v="2"/>
    <m/>
    <s v="Musrigharari"/>
    <m/>
    <n v="0"/>
  </r>
  <r>
    <s v="Munger"/>
    <s v="10-16 Apr"/>
    <n v="1013"/>
    <s v="Musrigharari"/>
    <x v="521"/>
    <s v="JHAKHRA"/>
    <s v="vlc"/>
    <s v="Indirect"/>
    <n v="45.5"/>
    <n v="1511.82"/>
    <n v="0"/>
    <n v="0"/>
    <n v="0"/>
    <n v="0"/>
    <n v="0"/>
    <n v="0"/>
    <n v="1511.82"/>
    <n v="0"/>
    <n v="0"/>
    <n v="0"/>
    <n v="1500"/>
    <n v="0"/>
    <n v="0"/>
    <n v="0"/>
    <n v="0"/>
    <n v="11.819999999999936"/>
    <n v="0"/>
    <n v="0"/>
    <n v="434.93898461538464"/>
    <n v="6.5"/>
    <n v="0"/>
    <n v="0"/>
    <m/>
    <s v="Musrigharari"/>
    <m/>
    <n v="0"/>
  </r>
  <r>
    <s v="Munger"/>
    <s v="10-16 Apr"/>
    <n v="1013"/>
    <s v="Musrigharari"/>
    <x v="522"/>
    <s v="GOMUKH ANDAHA"/>
    <s v="MPG"/>
    <s v="Direct"/>
    <n v="582.20000000000005"/>
    <n v="20113.59"/>
    <n v="560.76"/>
    <n v="20089.748382781101"/>
    <n v="0"/>
    <n v="0"/>
    <n v="560.76"/>
    <n v="20089.748382781101"/>
    <n v="20089.748382781101"/>
    <n v="0"/>
    <n v="0"/>
    <n v="0"/>
    <n v="0"/>
    <n v="0"/>
    <n v="0"/>
    <n v="20088"/>
    <n v="0"/>
    <n v="0"/>
    <n v="26"/>
    <n v="0"/>
    <n v="81.394053658536549"/>
    <n v="83.171428571428578"/>
    <n v="1.1853486731557641E-3"/>
    <n v="11"/>
    <m/>
    <s v="Musrigharari"/>
    <m/>
    <n v="0"/>
  </r>
  <r>
    <s v="Munger"/>
    <s v="10-16 Apr"/>
    <n v="1013"/>
    <s v="Musrigharari"/>
    <x v="523"/>
    <s v="Gomukha Rohua"/>
    <s v="MPG"/>
    <s v="Direct"/>
    <n v="685"/>
    <n v="27017.909999999996"/>
    <n v="678.43000000000006"/>
    <n v="28089.558003181945"/>
    <n v="41.28"/>
    <n v="1640.6049909456001"/>
    <n v="719.71"/>
    <n v="29730.162994127546"/>
    <n v="27017.909999999996"/>
    <n v="0"/>
    <n v="344.08134578160002"/>
    <n v="2712.2529941275498"/>
    <n v="0"/>
    <n v="0"/>
    <n v="0"/>
    <n v="25377"/>
    <n v="1297"/>
    <n v="0"/>
    <n v="0"/>
    <n v="0"/>
    <n v="11.83266131386859"/>
    <n v="97.857142857142861"/>
    <n v="-0.10038722440512794"/>
    <n v="12"/>
    <m/>
    <s v="Musrigharari"/>
    <m/>
    <n v="0"/>
  </r>
  <r>
    <s v="Munger"/>
    <s v="10-16 Apr"/>
    <n v="1013"/>
    <s v="Musrigharari"/>
    <x v="524"/>
    <s v="Gomukha Arniya Ganj"/>
    <s v="MPG"/>
    <s v="Direct"/>
    <n v="3056.3999999999996"/>
    <n v="112617.01"/>
    <n v="1690.3000000000002"/>
    <n v="63590.441534751008"/>
    <n v="1379.5999999999997"/>
    <n v="51415.765117681542"/>
    <n v="3069.8999999999996"/>
    <n v="115006.20665243255"/>
    <n v="112617.01"/>
    <n v="0"/>
    <n v="1241.0201667600002"/>
    <n v="2389.1966524325544"/>
    <n v="0"/>
    <n v="0"/>
    <n v="0"/>
    <n v="61199"/>
    <n v="50177"/>
    <n v="0"/>
    <n v="0"/>
    <n v="0"/>
    <n v="0"/>
    <n v="0"/>
    <n v="-2.1215237844021559E-2"/>
    <n v="56"/>
    <m/>
    <s v="Musrigharari"/>
    <m/>
    <n v="0"/>
  </r>
  <r>
    <s v="Munger"/>
    <s v="10-16 Apr"/>
    <n v="1013"/>
    <s v="Musrigharari"/>
    <x v="525"/>
    <s v="Gomukha Vishanupatti II"/>
    <s v="vlc"/>
    <s v="Indirect"/>
    <n v="505.29999999999995"/>
    <n v="19624.490000000002"/>
    <n v="0"/>
    <n v="0"/>
    <n v="0"/>
    <n v="0"/>
    <n v="0"/>
    <n v="0"/>
    <n v="19624.490000000002"/>
    <n v="0"/>
    <n v="0"/>
    <n v="0"/>
    <n v="2700"/>
    <n v="0"/>
    <n v="0"/>
    <n v="0"/>
    <n v="0"/>
    <n v="16924.490000000002"/>
    <n v="0"/>
    <n v="0"/>
    <n v="151.23246400158325"/>
    <n v="72.185714285714283"/>
    <n v="0"/>
    <n v="0"/>
    <m/>
    <s v="Musrigharari"/>
    <m/>
    <n v="0"/>
  </r>
  <r>
    <s v="Munger"/>
    <s v="10-16 Apr"/>
    <n v="1013"/>
    <s v="Musrigharari"/>
    <x v="526"/>
    <s v="Gomukh Khesarhiya"/>
    <s v="vlc"/>
    <s v="Indirect"/>
    <n v="158.30000000000001"/>
    <n v="7259.02"/>
    <n v="0"/>
    <n v="0"/>
    <n v="0"/>
    <n v="0"/>
    <n v="0"/>
    <n v="0"/>
    <n v="7259.02"/>
    <n v="0"/>
    <n v="0"/>
    <n v="0"/>
    <n v="0"/>
    <n v="0"/>
    <n v="0"/>
    <n v="0"/>
    <n v="0"/>
    <n v="7259.02"/>
    <n v="0"/>
    <n v="0"/>
    <n v="496.80494428300693"/>
    <n v="22.614285714285717"/>
    <n v="0"/>
    <n v="0"/>
    <m/>
    <s v="Musrigharari"/>
    <m/>
    <n v="0"/>
  </r>
  <r>
    <s v="Munger"/>
    <s v="10-16 Apr"/>
    <n v="1013"/>
    <s v="Musrigharari"/>
    <x v="527"/>
    <s v="Harsingpur"/>
    <s v="vlc"/>
    <s v="Indirect"/>
    <n v="137.1"/>
    <n v="4622.1400000000003"/>
    <n v="0"/>
    <n v="0"/>
    <n v="0"/>
    <n v="0"/>
    <n v="0"/>
    <n v="0"/>
    <n v="4622.1400000000003"/>
    <n v="0"/>
    <n v="0"/>
    <n v="0"/>
    <n v="1350"/>
    <n v="0"/>
    <n v="0"/>
    <n v="0"/>
    <n v="0"/>
    <n v="3272.1400000000003"/>
    <n v="0"/>
    <n v="0"/>
    <n v="379.54815550692928"/>
    <n v="19.585714285714285"/>
    <n v="0"/>
    <n v="0"/>
    <m/>
    <s v="Musrigharari"/>
    <m/>
    <n v="0"/>
  </r>
  <r>
    <s v="Munger"/>
    <s v="10-16 Apr"/>
    <n v="1013"/>
    <s v="Musrigharari"/>
    <x v="528"/>
    <s v="Gomukh ID Mahathi"/>
    <s v="vlc"/>
    <s v="Indirect"/>
    <n v="538.90000000000009"/>
    <n v="19644.480000000003"/>
    <n v="0"/>
    <n v="0"/>
    <n v="0"/>
    <n v="0"/>
    <n v="0"/>
    <n v="0"/>
    <n v="19644.480000000003"/>
    <n v="0"/>
    <n v="0"/>
    <n v="0"/>
    <n v="0"/>
    <n v="0"/>
    <n v="0"/>
    <n v="0"/>
    <n v="0"/>
    <n v="19644.480000000003"/>
    <n v="0"/>
    <n v="0"/>
    <n v="117.4513166821302"/>
    <n v="76.985714285714295"/>
    <n v="0"/>
    <n v="0"/>
    <m/>
    <s v="Musrigharari"/>
    <m/>
    <n v="0"/>
  </r>
  <r>
    <s v="Munger"/>
    <s v="10-16 Apr"/>
    <n v="1013"/>
    <s v="Musrigharari"/>
    <x v="529"/>
    <s v="MURTUJAPUR"/>
    <s v="vlc"/>
    <s v="Indirect"/>
    <n v="508.1"/>
    <n v="20809.880000000005"/>
    <n v="0"/>
    <n v="0"/>
    <n v="0"/>
    <n v="0"/>
    <n v="0"/>
    <n v="0"/>
    <n v="20809.880000000005"/>
    <n v="0"/>
    <n v="0"/>
    <n v="0"/>
    <n v="3000"/>
    <n v="0"/>
    <n v="0"/>
    <n v="0"/>
    <n v="0"/>
    <n v="17809.880000000005"/>
    <n v="0"/>
    <n v="0"/>
    <n v="157.19015831529228"/>
    <n v="72.585714285714289"/>
    <n v="0"/>
    <n v="0"/>
    <m/>
    <s v="Musrigharari"/>
    <m/>
    <n v="0"/>
  </r>
  <r>
    <s v="Munger"/>
    <s v="10-16 Apr"/>
    <n v="1013"/>
    <s v="Musrigharari"/>
    <x v="530"/>
    <s v="Rasalpur"/>
    <s v="MPG"/>
    <s v="Direct"/>
    <n v="218"/>
    <n v="9221.09"/>
    <n v="76.83"/>
    <n v="3474.9041592260005"/>
    <n v="140.33999999999997"/>
    <n v="5734.5724477200001"/>
    <n v="217.16999999999996"/>
    <n v="9209.4766069460002"/>
    <n v="9209.4766069460002"/>
    <n v="0"/>
    <n v="330.29899247999998"/>
    <n v="0"/>
    <n v="0"/>
    <n v="0"/>
    <n v="0"/>
    <n v="3475"/>
    <n v="5405"/>
    <n v="0"/>
    <n v="11"/>
    <n v="0"/>
    <n v="407.75829174311929"/>
    <n v="31.142857142857142"/>
    <n v="1.2594382067629716E-3"/>
    <n v="8"/>
    <m/>
    <s v="Musrigharari"/>
    <m/>
    <n v="0"/>
  </r>
  <r>
    <s v="Munger"/>
    <s v="10-16 Apr"/>
    <n v="1013"/>
    <s v="Musrigharari"/>
    <x v="531"/>
    <s v="Chhuchhipur                                                                                         "/>
    <s v="MPG"/>
    <s v="Direct"/>
    <n v="157.9"/>
    <n v="4732.3500000000004"/>
    <n v="137"/>
    <n v="4905.2567519999993"/>
    <n v="15"/>
    <n v="554.41584"/>
    <n v="152"/>
    <n v="5459.672591999999"/>
    <n v="4732.3500000000004"/>
    <n v="0"/>
    <n v="0"/>
    <n v="727.32259199999862"/>
    <n v="0"/>
    <n v="0"/>
    <n v="0"/>
    <n v="4178"/>
    <n v="554"/>
    <n v="0"/>
    <n v="0"/>
    <n v="0"/>
    <n v="324.94071374287523"/>
    <n v="22.557142857142857"/>
    <n v="-0.15369163143047293"/>
    <n v="2"/>
    <m/>
    <s v="Musrigharari"/>
    <m/>
    <n v="0"/>
  </r>
  <r>
    <s v="Munger"/>
    <s v="10-16 Apr"/>
    <n v="1013"/>
    <s v="Musrigharari"/>
    <x v="532"/>
    <s v="Gomukh ID Sararanjan"/>
    <s v="vlc"/>
    <s v="Indirect"/>
    <n v="218.6"/>
    <n v="8385.6899999999987"/>
    <n v="0"/>
    <n v="0"/>
    <n v="0"/>
    <n v="0"/>
    <n v="0"/>
    <n v="0"/>
    <n v="8385.6899999999987"/>
    <n v="0"/>
    <n v="0"/>
    <n v="0"/>
    <n v="3000"/>
    <n v="0"/>
    <n v="0"/>
    <n v="0"/>
    <n v="0"/>
    <n v="5385.6899999999987"/>
    <n v="0"/>
    <n v="0"/>
    <n v="369.33862451967059"/>
    <n v="31.228571428571428"/>
    <n v="0"/>
    <n v="0"/>
    <m/>
    <s v="Musrigharari"/>
    <m/>
    <n v="0"/>
  </r>
  <r>
    <s v="Munger"/>
    <s v="10-16 Apr"/>
    <n v="1013"/>
    <s v="Musrigharari"/>
    <x v="533"/>
    <s v="Gomukh Soharthi Purvi Tola                                                                          "/>
    <s v="MPG"/>
    <s v="Direct"/>
    <n v="61.999999999999993"/>
    <n v="2593.1"/>
    <n v="144"/>
    <n v="7227.9631078000002"/>
    <n v="0"/>
    <n v="0"/>
    <n v="144"/>
    <n v="7227.9631078000002"/>
    <n v="2593.1"/>
    <n v="0"/>
    <n v="0"/>
    <n v="4634.8631077999999"/>
    <n v="0"/>
    <n v="500"/>
    <n v="0"/>
    <n v="2093"/>
    <n v="0"/>
    <n v="0"/>
    <n v="0"/>
    <n v="0"/>
    <n v="533.67670967741947"/>
    <n v="8.8571428571428559"/>
    <n v="-1.7873830966025221"/>
    <n v="1"/>
    <m/>
    <s v="Musrigharari"/>
    <m/>
    <n v="500"/>
  </r>
  <r>
    <s v="Munger"/>
    <s v="10-16 Apr"/>
    <n v="1013"/>
    <s v="Musrigharari"/>
    <x v="534"/>
    <s v="Birnama"/>
    <s v="vlc"/>
    <s v="Indirect"/>
    <n v="1211.5999999999999"/>
    <n v="31469.42"/>
    <n v="0"/>
    <n v="0"/>
    <n v="0"/>
    <n v="0"/>
    <n v="0"/>
    <n v="0"/>
    <n v="31469.42"/>
    <n v="0"/>
    <n v="0"/>
    <n v="0"/>
    <n v="0"/>
    <n v="0"/>
    <n v="0"/>
    <n v="0"/>
    <n v="0"/>
    <n v="31469.42"/>
    <n v="0"/>
    <n v="0"/>
    <n v="0"/>
    <n v="0"/>
    <n v="0"/>
    <n v="0"/>
    <m/>
    <s v="Musrigharari"/>
    <m/>
    <n v="0"/>
  </r>
  <r>
    <s v="Munger"/>
    <s v="10-16 Apr"/>
    <n v="1013"/>
    <s v="Musrigharari"/>
    <x v="535"/>
    <s v="Maraie - Rubi"/>
    <s v="vlc"/>
    <s v="Indirect"/>
    <n v="110.89999999999999"/>
    <n v="3925.3400000000006"/>
    <n v="0"/>
    <n v="0"/>
    <n v="0"/>
    <n v="0"/>
    <n v="0"/>
    <n v="0"/>
    <n v="3925.3400000000006"/>
    <n v="0"/>
    <n v="0"/>
    <n v="0"/>
    <n v="0"/>
    <n v="0"/>
    <n v="0"/>
    <n v="0"/>
    <n v="0"/>
    <n v="3925.3400000000006"/>
    <n v="0"/>
    <n v="0"/>
    <n v="417.02755527502268"/>
    <n v="15.842857142857142"/>
    <n v="0"/>
    <n v="0"/>
    <m/>
    <s v="Musrigharari"/>
    <m/>
    <n v="0"/>
  </r>
  <r>
    <s v="Munger"/>
    <s v="10-16 Apr"/>
    <n v="1013"/>
    <s v="Musrigharari"/>
    <x v="536"/>
    <s v="Arniya East Tola - Seema"/>
    <s v="vlc"/>
    <s v="Indirect"/>
    <n v="34.400000000000006"/>
    <n v="1172.01"/>
    <n v="0"/>
    <n v="0"/>
    <n v="0"/>
    <n v="0"/>
    <n v="0"/>
    <n v="0"/>
    <n v="1172.01"/>
    <n v="0"/>
    <n v="0"/>
    <n v="0"/>
    <n v="0"/>
    <n v="0"/>
    <n v="0"/>
    <n v="0"/>
    <n v="0"/>
    <n v="1172.01"/>
    <n v="0"/>
    <n v="0"/>
    <n v="453.54061395348839"/>
    <n v="4.9142857142857155"/>
    <n v="0"/>
    <n v="0"/>
    <m/>
    <s v="Musrigharari"/>
    <m/>
    <n v="0"/>
  </r>
  <r>
    <s v="Munger"/>
    <s v="10-16 Apr"/>
    <n v="1013"/>
    <s v="Musrigharari"/>
    <x v="537"/>
    <s v="Lakshmipur Western Tol - Rajeev"/>
    <s v="MPG"/>
    <s v="Indirect"/>
    <n v="2675.5999999999995"/>
    <n v="111294.75999999998"/>
    <n v="0"/>
    <n v="0"/>
    <n v="0"/>
    <n v="0"/>
    <n v="0"/>
    <n v="0"/>
    <n v="111294.75999999998"/>
    <n v="0"/>
    <n v="0"/>
    <n v="0"/>
    <n v="3000"/>
    <n v="0"/>
    <n v="0"/>
    <n v="0"/>
    <n v="0"/>
    <n v="108294.75999999998"/>
    <n v="0"/>
    <n v="0"/>
    <n v="0"/>
    <n v="0"/>
    <n v="0"/>
    <n v="0"/>
    <m/>
    <s v="Musrigharari"/>
    <m/>
    <n v="0"/>
  </r>
  <r>
    <s v="Munger"/>
    <s v="10-16 Apr"/>
    <n v="1013"/>
    <s v="Musrigharari"/>
    <x v="538"/>
    <s v="Jahangipur Salkhanni"/>
    <s v="MPG"/>
    <s v="Direct"/>
    <n v="496.70000000000005"/>
    <n v="20870.899999999998"/>
    <n v="445.78999999999996"/>
    <n v="17773.67005893376"/>
    <n v="62.56"/>
    <n v="3132.9242075787693"/>
    <n v="508.34999999999997"/>
    <n v="20906.594266512529"/>
    <n v="20870.899999999998"/>
    <n v="0"/>
    <n v="0"/>
    <n v="35.694266512531613"/>
    <n v="2700"/>
    <n v="0"/>
    <n v="0"/>
    <n v="15038"/>
    <n v="3133"/>
    <n v="0"/>
    <n v="0"/>
    <n v="0"/>
    <n v="170.84976726394191"/>
    <n v="70.95714285714287"/>
    <n v="-1.7102408862354579E-3"/>
    <n v="10"/>
    <m/>
    <s v="Musrigharari"/>
    <m/>
    <n v="0"/>
  </r>
  <r>
    <s v="Munger"/>
    <s v="10-16 Apr"/>
    <n v="1013"/>
    <s v="Musrigharari"/>
    <x v="539"/>
    <s v="Sekhpura"/>
    <s v="MPG"/>
    <s v="Direct"/>
    <n v="188.9"/>
    <n v="6580.7"/>
    <n v="191.25"/>
    <n v="6772.765650354002"/>
    <n v="2.37"/>
    <n v="83.493789191999994"/>
    <n v="193.62"/>
    <n v="6856.2594395460019"/>
    <n v="6580.7"/>
    <n v="0"/>
    <n v="83.493789191999994"/>
    <n v="275.55943954600207"/>
    <n v="0"/>
    <n v="0"/>
    <n v="0"/>
    <n v="6497"/>
    <n v="0"/>
    <n v="0"/>
    <n v="0"/>
    <n v="0"/>
    <n v="356.10331074642664"/>
    <n v="26.985714285714288"/>
    <n v="-4.1873879609464357E-2"/>
    <n v="6"/>
    <m/>
    <s v="Musrigharari"/>
    <m/>
    <n v="0"/>
  </r>
  <r>
    <s v="Munger"/>
    <s v="10-16 Apr"/>
    <n v="1013"/>
    <s v="Musrigharari"/>
    <x v="540"/>
    <s v="Songar"/>
    <s v="MPG"/>
    <s v="Direct"/>
    <n v="1346.8"/>
    <n v="47618.58"/>
    <n v="758.45"/>
    <n v="28001.13007496106"/>
    <n v="585.81999999999994"/>
    <n v="19712.597656356003"/>
    <n v="1344.27"/>
    <n v="47713.727731317063"/>
    <n v="47618.58"/>
    <n v="0"/>
    <n v="548.69133767580001"/>
    <n v="95.147731317061698"/>
    <n v="0"/>
    <n v="0"/>
    <n v="0"/>
    <n v="27907"/>
    <n v="19163"/>
    <n v="0"/>
    <n v="0"/>
    <n v="0"/>
    <n v="0"/>
    <n v="0"/>
    <n v="-1.9981219792161316E-3"/>
    <n v="31"/>
    <m/>
    <s v="Musrigharari"/>
    <m/>
    <n v="0"/>
  </r>
  <r>
    <s v="Munger"/>
    <s v="10-16 Apr"/>
    <n v="1013"/>
    <s v="Musrigharari"/>
    <x v="541"/>
    <s v="Rampur Maheshpur"/>
    <s v="MPG"/>
    <s v="Direct"/>
    <n v="602.6"/>
    <n v="25147.770000000004"/>
    <n v="403.39"/>
    <n v="18186.460160963812"/>
    <n v="227.80999999999997"/>
    <n v="8568.8175328665329"/>
    <n v="631.19999999999993"/>
    <n v="26755.277693830343"/>
    <n v="25147.770000000004"/>
    <n v="0"/>
    <n v="41.195614680000006"/>
    <n v="1607.5076938303391"/>
    <n v="0"/>
    <n v="0"/>
    <n v="0"/>
    <n v="16578"/>
    <n v="8529"/>
    <n v="0"/>
    <n v="0"/>
    <n v="0"/>
    <n v="81.294151941586449"/>
    <n v="86.085714285714289"/>
    <n v="-6.3922474789229383E-2"/>
    <n v="13"/>
    <m/>
    <s v="Musrigharari"/>
    <m/>
    <n v="0"/>
  </r>
  <r>
    <s v="Munger"/>
    <s v="10-16 Apr"/>
    <n v="1013"/>
    <s v="Musrigharari"/>
    <x v="542"/>
    <s v="Godhiyari"/>
    <s v="vlc"/>
    <s v="Indirect"/>
    <n v="274.2"/>
    <n v="8922.6700000000019"/>
    <n v="0"/>
    <n v="0"/>
    <n v="0"/>
    <n v="0"/>
    <n v="0"/>
    <n v="0"/>
    <n v="8922.6700000000019"/>
    <n v="0"/>
    <n v="0"/>
    <n v="0"/>
    <n v="1350"/>
    <n v="0"/>
    <n v="0"/>
    <n v="0"/>
    <n v="0"/>
    <n v="7572.6700000000019"/>
    <n v="0"/>
    <n v="0"/>
    <n v="277.11691363967918"/>
    <n v="39.171428571428571"/>
    <n v="0"/>
    <n v="0"/>
    <m/>
    <s v="Musrigharari"/>
    <m/>
    <n v="0"/>
  </r>
  <r>
    <s v="Munger"/>
    <s v="10-16 Apr"/>
    <n v="1013"/>
    <s v="Musrigharari"/>
    <x v="543"/>
    <s v="Jhakhra-Rambilash"/>
    <s v="vlc"/>
    <s v="Indirect"/>
    <n v="417.30000000000007"/>
    <n v="15579.81"/>
    <n v="0"/>
    <n v="0"/>
    <n v="0"/>
    <n v="0"/>
    <n v="0"/>
    <n v="0"/>
    <n v="15579.81"/>
    <n v="0"/>
    <n v="0"/>
    <n v="0"/>
    <n v="0"/>
    <n v="0"/>
    <n v="0"/>
    <n v="0"/>
    <n v="0"/>
    <n v="15579.81"/>
    <n v="0"/>
    <n v="0"/>
    <n v="211.09093156002865"/>
    <n v="59.614285714285721"/>
    <n v="0"/>
    <n v="0"/>
    <m/>
    <s v="Musrigharari"/>
    <m/>
    <n v="0"/>
  </r>
  <r>
    <s v="Munger"/>
    <s v="10-16 Apr"/>
    <n v="1013"/>
    <s v="Musrigharari"/>
    <x v="544"/>
    <s v="Chaksikandar East"/>
    <s v="MPG"/>
    <s v="Direct"/>
    <n v="96.2"/>
    <n v="3241.6300000000006"/>
    <n v="88.500000000000014"/>
    <n v="2993.185575468"/>
    <n v="7.9"/>
    <n v="260.55073519200005"/>
    <n v="96.40000000000002"/>
    <n v="3253.7363106600001"/>
    <n v="3241.6300000000006"/>
    <n v="0"/>
    <n v="25.22591676"/>
    <n v="12.106310659999508"/>
    <n v="0"/>
    <n v="0"/>
    <n v="0"/>
    <n v="2981"/>
    <n v="235"/>
    <n v="0"/>
    <n v="0"/>
    <n v="0"/>
    <n v="406.92228565488574"/>
    <n v="13.742857142857144"/>
    <n v="-3.7346367907501801E-3"/>
    <n v="3"/>
    <m/>
    <s v="Musrigharari"/>
    <m/>
    <n v="0"/>
  </r>
  <r>
    <s v="Munger"/>
    <s v="10-16 Apr"/>
    <n v="1013"/>
    <s v="Musrigharari"/>
    <x v="546"/>
    <s v="Chakmilki"/>
    <s v="MPG"/>
    <s v="Direct"/>
    <n v="345.99999999999994"/>
    <n v="13071.269999999999"/>
    <n v="158.85999999999999"/>
    <n v="6105.9372066985497"/>
    <n v="191.31"/>
    <n v="6744.1114669746012"/>
    <n v="350.16999999999996"/>
    <n v="12850.048673673151"/>
    <n v="12850.048673673151"/>
    <n v="0"/>
    <n v="213.97006402860001"/>
    <n v="0"/>
    <n v="0"/>
    <n v="0"/>
    <n v="0"/>
    <n v="6106"/>
    <n v="6530"/>
    <n v="0"/>
    <n v="221"/>
    <n v="0"/>
    <n v="267.46991791907521"/>
    <n v="49.428571428571423"/>
    <n v="1.6924241204324272E-2"/>
    <n v="11"/>
    <m/>
    <s v="Musrigharari"/>
    <m/>
    <n v="0"/>
  </r>
  <r>
    <s v="Munger"/>
    <s v="10-16 Apr"/>
    <n v="1013"/>
    <s v="Musrigharari"/>
    <x v="547"/>
    <s v="Gomukh Akaha"/>
    <s v="MPG"/>
    <s v="Direct"/>
    <n v="164.89999999999998"/>
    <n v="5239.41"/>
    <n v="156.56"/>
    <n v="5448.3129052109998"/>
    <n v="11.24"/>
    <n v="472.3093277964"/>
    <n v="167.8"/>
    <n v="5920.6222330073997"/>
    <n v="5239.41"/>
    <n v="0"/>
    <n v="45.314734172400023"/>
    <n v="681.21223300739985"/>
    <n v="1500"/>
    <n v="0"/>
    <n v="0"/>
    <n v="3267"/>
    <n v="427"/>
    <n v="0"/>
    <n v="0"/>
    <n v="0"/>
    <n v="340.03739126743488"/>
    <n v="23.557142857142853"/>
    <n v="-0.13001697385915587"/>
    <n v="5"/>
    <m/>
    <s v="Musrigharari"/>
    <m/>
    <n v="0"/>
  </r>
  <r>
    <s v="Munger"/>
    <s v="10-16 Apr"/>
    <n v="1013"/>
    <s v="Musrigharari"/>
    <x v="548"/>
    <s v="Nauachak-Pankaj"/>
    <s v="vlc"/>
    <s v="Indirect"/>
    <n v="139.4"/>
    <n v="5092.7999999999993"/>
    <n v="0"/>
    <n v="0"/>
    <n v="0"/>
    <n v="0"/>
    <n v="0"/>
    <n v="0"/>
    <n v="5092.7999999999993"/>
    <n v="0"/>
    <n v="0"/>
    <n v="0"/>
    <n v="1500"/>
    <n v="0"/>
    <n v="0"/>
    <n v="0"/>
    <n v="0"/>
    <n v="3592.7999999999993"/>
    <n v="0"/>
    <n v="0"/>
    <n v="409.61602295552359"/>
    <n v="19.914285714285715"/>
    <n v="0"/>
    <n v="0"/>
    <m/>
    <s v="Musrigharari"/>
    <m/>
    <n v="0"/>
  </r>
  <r>
    <s v="Munger"/>
    <s v="10-16 Apr"/>
    <n v="1013"/>
    <s v="Musrigharari"/>
    <x v="549"/>
    <s v="Jitwarpur-Manisha"/>
    <s v="vlc"/>
    <s v="Indirect"/>
    <n v="214.90000000000003"/>
    <n v="7755.2400000000007"/>
    <n v="0"/>
    <n v="0"/>
    <n v="0"/>
    <n v="0"/>
    <n v="0"/>
    <n v="0"/>
    <n v="7755.2400000000007"/>
    <n v="0"/>
    <n v="0"/>
    <n v="0"/>
    <n v="0"/>
    <n v="0"/>
    <n v="0"/>
    <n v="0"/>
    <n v="0"/>
    <n v="7755.2400000000007"/>
    <n v="0"/>
    <n v="0"/>
    <n v="350.12256156351788"/>
    <n v="30.700000000000006"/>
    <n v="0"/>
    <n v="0"/>
    <m/>
    <s v="Musrigharari"/>
    <m/>
    <n v="0"/>
  </r>
  <r>
    <s v="Munger"/>
    <s v="10-16 Apr"/>
    <n v="1013"/>
    <s v="Musrigharari"/>
    <x v="550"/>
    <s v="Gomukh Sirdulpur 2"/>
    <s v="vlc"/>
    <s v="Indirect"/>
    <n v="1237.6000000000001"/>
    <n v="39807.810000000005"/>
    <n v="0"/>
    <n v="0"/>
    <n v="0"/>
    <n v="0"/>
    <n v="0"/>
    <n v="0"/>
    <n v="39807.810000000005"/>
    <n v="0"/>
    <n v="0"/>
    <n v="0"/>
    <n v="0"/>
    <n v="0"/>
    <n v="0"/>
    <n v="0"/>
    <n v="0"/>
    <n v="39807.810000000005"/>
    <n v="0"/>
    <n v="0"/>
    <n v="0"/>
    <n v="0"/>
    <n v="0"/>
    <n v="0"/>
    <m/>
    <s v="Musrigharari"/>
    <m/>
    <n v="0"/>
  </r>
  <r>
    <s v="Munger"/>
    <s v="10-16 Apr"/>
    <n v="1013"/>
    <s v="Musrigharari"/>
    <x v="551"/>
    <s v="Gomukh Repura"/>
    <s v="MPG"/>
    <s v="Direct"/>
    <n v="248"/>
    <n v="8871.65"/>
    <n v="267"/>
    <n v="9676.2282380280012"/>
    <n v="0"/>
    <n v="0"/>
    <n v="267"/>
    <n v="9676.2282380280012"/>
    <n v="8871.65"/>
    <n v="0"/>
    <n v="0"/>
    <n v="804.57823802800158"/>
    <n v="0"/>
    <n v="0"/>
    <n v="0"/>
    <n v="8872"/>
    <n v="0"/>
    <n v="0"/>
    <n v="0"/>
    <n v="0"/>
    <n v="323.38595161290323"/>
    <n v="35.428571428571431"/>
    <n v="-9.069093551120723E-2"/>
    <n v="1"/>
    <m/>
    <s v="Musrigharari"/>
    <m/>
    <n v="0"/>
  </r>
  <r>
    <s v="Munger"/>
    <s v="10-16 Apr"/>
    <n v="1013"/>
    <s v="Musrigharari"/>
    <x v="986"/>
    <s v="Gomukh Patepur"/>
    <s v="vlc"/>
    <s v="Indirect"/>
    <n v="722.6"/>
    <n v="23462.82"/>
    <n v="0"/>
    <n v="0"/>
    <n v="0"/>
    <n v="0"/>
    <n v="0"/>
    <n v="0"/>
    <n v="23462.82"/>
    <n v="0"/>
    <n v="0"/>
    <n v="0"/>
    <n v="0"/>
    <n v="0"/>
    <n v="0"/>
    <n v="0"/>
    <n v="0"/>
    <n v="23462.82"/>
    <n v="0"/>
    <n v="0"/>
    <n v="0"/>
    <n v="0"/>
    <n v="0"/>
    <n v="0"/>
    <m/>
    <s v="Musrigharari"/>
    <m/>
    <n v="0"/>
  </r>
  <r>
    <s v="Munger"/>
    <s v="10-16 Apr"/>
    <n v="1013"/>
    <s v="Musrigharari"/>
    <x v="552"/>
    <s v="Gomukh Nipur"/>
    <s v="MPG"/>
    <s v="Direct"/>
    <n v="250.1"/>
    <n v="9735.5300000000025"/>
    <n v="246.59000000000003"/>
    <n v="9820.2902834697015"/>
    <n v="4.68"/>
    <n v="190.97181389880004"/>
    <n v="251.27000000000004"/>
    <n v="10011.262097368501"/>
    <n v="9735.5300000000025"/>
    <n v="0"/>
    <n v="190.97181389880004"/>
    <n v="275.73209736849822"/>
    <n v="0"/>
    <n v="0"/>
    <n v="0"/>
    <n v="9545"/>
    <n v="0"/>
    <n v="0"/>
    <n v="0"/>
    <n v="0"/>
    <n v="350.26109132347068"/>
    <n v="35.728571428571428"/>
    <n v="-2.8322248235945875E-2"/>
    <n v="9"/>
    <m/>
    <s v="Musrigharari"/>
    <m/>
    <n v="0"/>
  </r>
  <r>
    <s v="Munger"/>
    <s v="10-16 Apr"/>
    <n v="1013"/>
    <s v="Musrigharari"/>
    <x v="553"/>
    <s v="Gomukh Sherpur Narsari East"/>
    <s v="MPG"/>
    <s v="Direct"/>
    <n v="388.20000000000005"/>
    <n v="14062.409999999998"/>
    <n v="266.16000000000003"/>
    <n v="9897.6940620828009"/>
    <n v="120.78"/>
    <n v="4122.3130054260009"/>
    <n v="386.94000000000005"/>
    <n v="14020.007067508803"/>
    <n v="14020.007067508803"/>
    <n v="0"/>
    <n v="29.798562024000002"/>
    <n v="0"/>
    <n v="0"/>
    <n v="0"/>
    <n v="0"/>
    <n v="9897"/>
    <n v="4092"/>
    <n v="0"/>
    <n v="44"/>
    <n v="0"/>
    <n v="225.89693137557953"/>
    <n v="55.457142857142863"/>
    <n v="3.0153389419875628E-3"/>
    <n v="6"/>
    <m/>
    <s v="Musrigharari"/>
    <m/>
    <n v="0"/>
  </r>
  <r>
    <s v="Munger"/>
    <s v="10-16 Apr"/>
    <n v="1013"/>
    <s v="Musrigharari"/>
    <x v="554"/>
    <s v="Gomukh Nauachak East"/>
    <s v="MPG"/>
    <s v="Direct"/>
    <n v="60.9"/>
    <n v="2690.18"/>
    <n v="60.4"/>
    <n v="2695.3015818276003"/>
    <n v="0.6"/>
    <n v="22.7706336"/>
    <n v="61"/>
    <n v="2718.0722154276004"/>
    <n v="2690.18"/>
    <n v="0"/>
    <n v="22.7706336"/>
    <n v="27.892215427600604"/>
    <n v="0"/>
    <n v="500"/>
    <n v="0"/>
    <n v="2167"/>
    <n v="0"/>
    <n v="0"/>
    <n v="0"/>
    <n v="0"/>
    <n v="564.62858390804604"/>
    <n v="8.6999999999999993"/>
    <n v="-1.0368159538618459E-2"/>
    <n v="2"/>
    <m/>
    <s v="Musrigharari"/>
    <m/>
    <n v="500"/>
  </r>
  <r>
    <s v="Munger"/>
    <s v="10-16 Apr"/>
    <n v="1013"/>
    <s v="Musrigharari"/>
    <x v="555"/>
    <s v="Gomukh Karhatti"/>
    <s v="MPG"/>
    <s v="Direct"/>
    <n v="159.5"/>
    <n v="5762.34"/>
    <n v="255"/>
    <n v="9446.1897420000005"/>
    <n v="0"/>
    <n v="0"/>
    <n v="255"/>
    <n v="9446.1897420000005"/>
    <n v="5762.34"/>
    <n v="0"/>
    <n v="0"/>
    <n v="3683.8497420000003"/>
    <n v="0"/>
    <n v="0"/>
    <n v="0"/>
    <n v="5762"/>
    <n v="0"/>
    <n v="0"/>
    <n v="0"/>
    <n v="0"/>
    <n v="390.53852915360505"/>
    <n v="22.785714285714285"/>
    <n v="-0.6392975322525225"/>
    <n v="1"/>
    <m/>
    <s v="Musrigharari"/>
    <m/>
    <n v="0"/>
  </r>
  <r>
    <s v="Munger"/>
    <s v="10-16 Apr"/>
    <n v="1013"/>
    <s v="Musrigharari"/>
    <x v="556"/>
    <s v="Gomukh Gaopur Bhagwatpur"/>
    <s v="MPG"/>
    <s v="Direct"/>
    <n v="1278.5"/>
    <n v="47924.369999999995"/>
    <n v="1288.8499999999999"/>
    <n v="48638.618549727085"/>
    <n v="0"/>
    <n v="0"/>
    <n v="1288.8499999999999"/>
    <n v="48638.618549727085"/>
    <n v="47924.369999999995"/>
    <n v="0"/>
    <n v="0"/>
    <n v="714.24854972708999"/>
    <n v="0"/>
    <n v="0"/>
    <n v="0"/>
    <n v="47924"/>
    <n v="0"/>
    <n v="0"/>
    <n v="0"/>
    <n v="0"/>
    <n v="0"/>
    <n v="0"/>
    <n v="-1.4903660699704347E-2"/>
    <n v="4"/>
    <m/>
    <s v="Musrigharari"/>
    <m/>
    <n v="0"/>
  </r>
  <r>
    <s v="Munger"/>
    <s v="10-16 Apr"/>
    <n v="1013"/>
    <s v="Musrigharari"/>
    <x v="557"/>
    <s v="Gomukh Rajwara"/>
    <s v="MPG"/>
    <s v="Direct"/>
    <n v="164.89999999999998"/>
    <n v="6665.3599999999988"/>
    <n v="164.2"/>
    <n v="6677.0443072080006"/>
    <n v="0.89999999999999991"/>
    <n v="34.941364919999998"/>
    <n v="165.1"/>
    <n v="6711.9856721280003"/>
    <n v="6665.3599999999988"/>
    <n v="0"/>
    <n v="34.941364919999998"/>
    <n v="46.625672128001497"/>
    <n v="0"/>
    <n v="500"/>
    <n v="0"/>
    <n v="6130"/>
    <n v="0"/>
    <n v="0"/>
    <n v="0"/>
    <n v="0"/>
    <n v="432.58145979381442"/>
    <n v="23.557142857142853"/>
    <n v="-6.9952218826892327E-3"/>
    <n v="2"/>
    <m/>
    <s v="Musrigharari"/>
    <m/>
    <n v="500"/>
  </r>
  <r>
    <s v="Munger"/>
    <s v="10-16 Apr"/>
    <n v="1061"/>
    <s v="Mahua BMC"/>
    <x v="558"/>
    <s v="Gomukh Karhatiya Bujurg"/>
    <s v="vlc"/>
    <s v="Indirect"/>
    <n v="150.39999999999998"/>
    <n v="6475.52"/>
    <n v="0"/>
    <n v="0"/>
    <n v="0"/>
    <n v="0"/>
    <n v="0"/>
    <n v="0"/>
    <n v="6475.52"/>
    <n v="0"/>
    <n v="0"/>
    <n v="0"/>
    <n v="0"/>
    <n v="0"/>
    <n v="0"/>
    <n v="0"/>
    <n v="0"/>
    <n v="6475.52"/>
    <n v="0"/>
    <n v="0"/>
    <n v="473.26406808510649"/>
    <n v="21.485714285714284"/>
    <n v="0"/>
    <n v="0"/>
    <m/>
    <s v="Mahua BMC"/>
    <m/>
    <n v="0"/>
  </r>
  <r>
    <s v="Munger"/>
    <s v="10-16 Apr"/>
    <n v="1013"/>
    <s v="Musrigharari"/>
    <x v="1037"/>
    <s v="GOMUKH NIKASPUR"/>
    <s v="vlc"/>
    <s v="Direct"/>
    <n v="24.7"/>
    <n v="797.56"/>
    <n v="24.7"/>
    <n v="868.26836982600003"/>
    <n v="0"/>
    <n v="0"/>
    <n v="24.7"/>
    <n v="868.26836982600003"/>
    <n v="797.56"/>
    <n v="0"/>
    <n v="0"/>
    <n v="70.70836982600008"/>
    <n v="0"/>
    <n v="500"/>
    <n v="0"/>
    <n v="298"/>
    <n v="0"/>
    <n v="0"/>
    <n v="0"/>
    <n v="0"/>
    <n v="436.10709959514173"/>
    <n v="3.5285714285714285"/>
    <n v="-8.8655862663624158E-2"/>
    <n v="1"/>
    <m/>
    <s v="Musrigharari"/>
    <m/>
    <n v="500"/>
  </r>
  <r>
    <s v="Munger"/>
    <s v="10-16 Apr"/>
    <n v="1013"/>
    <s v="Musrigharari"/>
    <x v="559"/>
    <s v="Gomukh Morwa Mohanpur"/>
    <s v="vlc"/>
    <s v="Indirect"/>
    <n v="552.30000000000007"/>
    <n v="20547.109999999997"/>
    <n v="0"/>
    <n v="0"/>
    <n v="0"/>
    <n v="0"/>
    <n v="0"/>
    <n v="0"/>
    <n v="20547.109999999997"/>
    <n v="0"/>
    <n v="0"/>
    <n v="0"/>
    <n v="0"/>
    <n v="0"/>
    <n v="0"/>
    <n v="0"/>
    <n v="0"/>
    <n v="20547.109999999997"/>
    <n v="0"/>
    <n v="0"/>
    <n v="109.89709024081111"/>
    <n v="78.900000000000006"/>
    <n v="0"/>
    <n v="0"/>
    <m/>
    <s v="Musrigharari"/>
    <m/>
    <n v="0"/>
  </r>
  <r>
    <s v="Munger"/>
    <s v="10-16 Apr"/>
    <n v="1013"/>
    <s v="Musrigharari"/>
    <x v="560"/>
    <s v="Gomukh Gangapur East"/>
    <s v="vlc"/>
    <s v="Indirect"/>
    <n v="2516.4"/>
    <n v="77927.86"/>
    <n v="0"/>
    <n v="0"/>
    <n v="0"/>
    <n v="0"/>
    <n v="0"/>
    <n v="0"/>
    <n v="77927.86"/>
    <n v="0"/>
    <n v="0"/>
    <n v="0"/>
    <n v="0"/>
    <n v="0"/>
    <n v="0"/>
    <n v="0"/>
    <n v="0"/>
    <n v="77927.86"/>
    <n v="0"/>
    <n v="0"/>
    <n v="0"/>
    <n v="0"/>
    <n v="0"/>
    <n v="0"/>
    <m/>
    <s v="Musrigharari"/>
    <m/>
    <n v="0"/>
  </r>
  <r>
    <s v="Munger"/>
    <s v="10-16 Apr"/>
    <n v="1013"/>
    <s v="Musrigharari"/>
    <x v="561"/>
    <s v="GOMUKH Laguniya"/>
    <s v="vlc"/>
    <s v="Indirect"/>
    <n v="38.299999999999997"/>
    <n v="1693.63"/>
    <n v="0"/>
    <n v="0"/>
    <n v="0"/>
    <n v="0"/>
    <n v="0"/>
    <n v="0"/>
    <n v="1693.63"/>
    <n v="0"/>
    <n v="0"/>
    <n v="0"/>
    <n v="0"/>
    <n v="0"/>
    <n v="0"/>
    <n v="0"/>
    <n v="0"/>
    <n v="1693.63"/>
    <n v="0"/>
    <n v="0"/>
    <n v="585.2088621409921"/>
    <n v="5.4714285714285706"/>
    <n v="0"/>
    <n v="0"/>
    <m/>
    <s v="Musrigharari"/>
    <m/>
    <n v="0"/>
  </r>
  <r>
    <s v="Munger"/>
    <s v="10-16 Apr"/>
    <n v="1013"/>
    <s v="Musrigharari"/>
    <x v="562"/>
    <s v="GOMUKH MAHINDWARA"/>
    <s v="vlc"/>
    <s v="Indirect"/>
    <n v="285.70000000000005"/>
    <n v="11034.58"/>
    <n v="0"/>
    <n v="0"/>
    <n v="0"/>
    <n v="0"/>
    <n v="0"/>
    <n v="0"/>
    <n v="11034.58"/>
    <n v="0"/>
    <n v="0"/>
    <n v="0"/>
    <n v="0"/>
    <n v="0"/>
    <n v="0"/>
    <n v="0"/>
    <n v="0"/>
    <n v="11034.58"/>
    <n v="0"/>
    <n v="0"/>
    <n v="320.02985607280357"/>
    <n v="40.814285714285724"/>
    <n v="0"/>
    <n v="0"/>
    <m/>
    <s v="Musrigharari"/>
    <m/>
    <n v="0"/>
  </r>
  <r>
    <s v="Munger"/>
    <s v="10-16 Apr"/>
    <n v="1013"/>
    <s v="Musrigharari"/>
    <x v="563"/>
    <s v="GOMUKH MISHRAULIA"/>
    <s v="MPG"/>
    <s v="Direct"/>
    <n v="614.10000000000014"/>
    <n v="26909.18"/>
    <n v="660"/>
    <n v="29262.369674996702"/>
    <n v="0"/>
    <n v="0"/>
    <n v="660"/>
    <n v="29262.369674996702"/>
    <n v="26909.18"/>
    <n v="0"/>
    <n v="0"/>
    <n v="2353.1896749967018"/>
    <n v="0"/>
    <n v="0"/>
    <n v="0"/>
    <n v="26909"/>
    <n v="0"/>
    <n v="0"/>
    <n v="0"/>
    <n v="0"/>
    <n v="75.280852043641005"/>
    <n v="87.728571428571442"/>
    <n v="-8.7449326772376629E-2"/>
    <n v="2"/>
    <m/>
    <s v="Musrigharari"/>
    <m/>
    <n v="0"/>
  </r>
  <r>
    <s v="Munger"/>
    <s v="10-16 Apr"/>
    <n v="1013"/>
    <s v="Musrigharari"/>
    <x v="564"/>
    <s v="GOMUKH CHAKIRDI"/>
    <s v="MPG"/>
    <s v="Direct"/>
    <n v="143.4"/>
    <n v="5182.5600000000004"/>
    <n v="138.82"/>
    <n v="5283.9994277790011"/>
    <n v="0.46"/>
    <n v="18.095063976000006"/>
    <n v="139.28"/>
    <n v="5302.0944917550014"/>
    <n v="5182.5600000000004"/>
    <n v="0"/>
    <n v="18.095063976000006"/>
    <n v="119.534491755001"/>
    <n v="1157"/>
    <n v="0"/>
    <n v="0"/>
    <n v="4007"/>
    <n v="0"/>
    <n v="0"/>
    <n v="0"/>
    <n v="0"/>
    <n v="402.31700083682"/>
    <n v="20.485714285714288"/>
    <n v="-2.3064757910183576E-2"/>
    <n v="7"/>
    <m/>
    <s v="Musrigharari"/>
    <m/>
    <n v="0"/>
  </r>
  <r>
    <s v="Munger"/>
    <s v="10-16 Apr"/>
    <n v="1013"/>
    <s v="Musrigharari"/>
    <x v="565"/>
    <s v="GOMUKH Bhagwatpur East"/>
    <s v="MPG"/>
    <s v="Direct"/>
    <n v="373.89999999999992"/>
    <n v="12740.130000000001"/>
    <n v="364.1"/>
    <n v="12457.785895632"/>
    <n v="0"/>
    <n v="0"/>
    <n v="364.1"/>
    <n v="12457.785895632"/>
    <n v="12457.785895632"/>
    <n v="0"/>
    <n v="0"/>
    <n v="0"/>
    <n v="0"/>
    <n v="0"/>
    <n v="0"/>
    <n v="12458"/>
    <n v="0"/>
    <n v="0"/>
    <n v="282"/>
    <n v="0"/>
    <n v="222.22821037710631"/>
    <n v="53.414285714285704"/>
    <n v="2.2161791470573795E-2"/>
    <n v="1"/>
    <m/>
    <s v="Musrigharari"/>
    <m/>
    <n v="0"/>
  </r>
  <r>
    <s v="Munger"/>
    <s v="10-16 Apr"/>
    <n v="1013"/>
    <s v="Musrigharari"/>
    <x v="566"/>
    <s v="Gomukh Rupauli Buzurg"/>
    <s v="vlc"/>
    <s v="Indirect"/>
    <n v="11019.3"/>
    <n v="386994.63999999996"/>
    <n v="0"/>
    <n v="0"/>
    <n v="0"/>
    <n v="0"/>
    <n v="0"/>
    <n v="0"/>
    <n v="386994.63999999996"/>
    <n v="0"/>
    <n v="0"/>
    <n v="0"/>
    <n v="0"/>
    <n v="0"/>
    <n v="0"/>
    <n v="0"/>
    <n v="0"/>
    <n v="386994.63999999996"/>
    <n v="0"/>
    <n v="0"/>
    <n v="0"/>
    <n v="0"/>
    <n v="0"/>
    <n v="0"/>
    <m/>
    <s v="Musrigharari"/>
    <m/>
    <n v="0"/>
  </r>
  <r>
    <s v="Munger"/>
    <s v="10-16 Apr"/>
    <n v="1014"/>
    <s v="Dumraon"/>
    <x v="567"/>
    <s v="Dumri Purvi Tola"/>
    <s v="MPG"/>
    <s v="Direct"/>
    <n v="1037.1000000000001"/>
    <n v="38245.380000000005"/>
    <n v="1028.2"/>
    <n v="38202.263655464216"/>
    <n v="0"/>
    <n v="0"/>
    <n v="1028.2"/>
    <n v="38202.263655464216"/>
    <n v="38202.263655464216"/>
    <n v="0"/>
    <n v="0"/>
    <n v="0"/>
    <n v="0"/>
    <n v="0"/>
    <n v="0"/>
    <n v="38201"/>
    <n v="0"/>
    <n v="0"/>
    <n v="44"/>
    <n v="0"/>
    <n v="0"/>
    <n v="0"/>
    <n v="1.1273608612540603E-3"/>
    <n v="8"/>
    <m/>
    <s v="Dumraon"/>
    <m/>
    <n v="0"/>
  </r>
  <r>
    <s v="Munger"/>
    <s v="10-16 Apr"/>
    <n v="1014"/>
    <s v="Dumraon"/>
    <x v="568"/>
    <s v="Simri"/>
    <s v="MPG"/>
    <s v="Direct"/>
    <n v="948.7"/>
    <n v="35536.42"/>
    <n v="948.22000000000014"/>
    <n v="35739.624095254359"/>
    <n v="0"/>
    <n v="0"/>
    <n v="948.22000000000014"/>
    <n v="35739.624095254359"/>
    <n v="35536.42"/>
    <n v="0"/>
    <n v="0"/>
    <n v="203.20409525436116"/>
    <n v="0"/>
    <n v="0"/>
    <n v="0"/>
    <n v="35536"/>
    <n v="0"/>
    <n v="0"/>
    <n v="0"/>
    <n v="0"/>
    <n v="0"/>
    <n v="0"/>
    <n v="-5.7181926388297178E-3"/>
    <n v="15"/>
    <m/>
    <s v="Dumraon"/>
    <m/>
    <n v="0"/>
  </r>
  <r>
    <s v="Munger"/>
    <s v="10-16 Apr"/>
    <n v="1014"/>
    <s v="Dumraon"/>
    <x v="569"/>
    <s v="Sahiyar"/>
    <s v="MPG"/>
    <s v="Direct"/>
    <n v="1340.2"/>
    <n v="52987.75"/>
    <n v="1274.7"/>
    <n v="52264.628421100359"/>
    <n v="34.5"/>
    <n v="1334.1348860400003"/>
    <n v="1309.2"/>
    <n v="53598.763307140362"/>
    <n v="52987.75"/>
    <n v="0"/>
    <n v="1334.1348860400003"/>
    <n v="611.01330714036158"/>
    <n v="0"/>
    <n v="0"/>
    <n v="0"/>
    <n v="51654"/>
    <n v="0"/>
    <n v="0"/>
    <n v="0"/>
    <n v="0"/>
    <n v="0"/>
    <n v="0"/>
    <n v="-1.1531218199307606E-2"/>
    <n v="33"/>
    <m/>
    <s v="Dumraon"/>
    <m/>
    <n v="0"/>
  </r>
  <r>
    <s v="Munger"/>
    <s v="10-16 Apr"/>
    <n v="1014"/>
    <s v="Dumraon"/>
    <x v="570"/>
    <s v="ENGLISH DUBAULI"/>
    <s v="MPG"/>
    <s v="Direct"/>
    <n v="988.6"/>
    <n v="35555.969999999994"/>
    <n v="995.45"/>
    <n v="38784.628579882447"/>
    <n v="25.610000000000003"/>
    <n v="1458.04147453767"/>
    <n v="1021.0600000000001"/>
    <n v="40242.670054420116"/>
    <n v="35555.969999999994"/>
    <n v="0"/>
    <n v="1458.04147453767"/>
    <n v="4686.7000544201219"/>
    <n v="6250"/>
    <n v="0"/>
    <n v="0"/>
    <n v="27848"/>
    <n v="0"/>
    <n v="0"/>
    <n v="0"/>
    <s v="Release1"/>
    <n v="0"/>
    <n v="0"/>
    <n v="-0.13181190259807629"/>
    <n v="13"/>
    <m/>
    <s v="Dumraon"/>
    <m/>
    <n v="0"/>
  </r>
  <r>
    <s v="Munger"/>
    <s v="10-16 Apr"/>
    <n v="1014"/>
    <s v="Dumraon"/>
    <x v="571"/>
    <s v="Ramo Bariya"/>
    <s v="MPG"/>
    <s v="Direct"/>
    <n v="1109.8999999999999"/>
    <n v="42201.280000000006"/>
    <n v="1134.7199999999998"/>
    <n v="41964.059907945535"/>
    <n v="8.27"/>
    <n v="359.88224263200004"/>
    <n v="1142.9899999999998"/>
    <n v="42323.942150577532"/>
    <n v="42201.280000000006"/>
    <n v="0"/>
    <n v="359.88224263200004"/>
    <n v="122.66215057752561"/>
    <n v="0"/>
    <n v="0"/>
    <n v="0"/>
    <n v="41841"/>
    <n v="0"/>
    <n v="0"/>
    <n v="0"/>
    <n v="0"/>
    <n v="0"/>
    <n v="0"/>
    <n v="-2.9065978704324986E-3"/>
    <n v="16"/>
    <m/>
    <s v="Dumraon"/>
    <m/>
    <n v="0"/>
  </r>
  <r>
    <s v="Munger"/>
    <s v="10-16 Apr"/>
    <n v="1014"/>
    <s v="Dumraon"/>
    <x v="572"/>
    <s v="HITAN PARARI"/>
    <s v="MPG"/>
    <s v="Direct"/>
    <n v="1374"/>
    <n v="55639.850000000006"/>
    <n v="1380.17"/>
    <n v="57647.806097129345"/>
    <n v="0"/>
    <n v="0"/>
    <n v="1380.17"/>
    <n v="57647.806097129345"/>
    <n v="55639.850000000006"/>
    <n v="0"/>
    <n v="0"/>
    <n v="2007.9560971293395"/>
    <n v="0"/>
    <n v="0"/>
    <n v="0"/>
    <n v="55640"/>
    <n v="0"/>
    <n v="0"/>
    <n v="0"/>
    <n v="0"/>
    <n v="0"/>
    <n v="0"/>
    <n v="-3.6088452738987239E-2"/>
    <n v="8"/>
    <m/>
    <s v="Dumraon"/>
    <m/>
    <n v="0"/>
  </r>
  <r>
    <s v="Munger"/>
    <s v="10-16 Apr"/>
    <n v="1014"/>
    <s v="Dumraon"/>
    <x v="573"/>
    <s v="Gangauli"/>
    <s v="MPG"/>
    <s v="Direct"/>
    <n v="1222.4000000000001"/>
    <n v="51847.500000000007"/>
    <n v="1207.2"/>
    <n v="52076.104709454914"/>
    <n v="6.8"/>
    <n v="244.57699728000006"/>
    <n v="1214"/>
    <n v="52320.681706734911"/>
    <n v="51847.500000000007"/>
    <n v="0"/>
    <n v="244.57699728000006"/>
    <n v="473.18170673490386"/>
    <n v="0"/>
    <n v="0"/>
    <n v="0"/>
    <n v="51603"/>
    <n v="0"/>
    <n v="0"/>
    <n v="0"/>
    <n v="0"/>
    <n v="0"/>
    <n v="0"/>
    <n v="-9.1264131681354707E-3"/>
    <n v="19"/>
    <m/>
    <s v="Dumraon"/>
    <m/>
    <n v="0"/>
  </r>
  <r>
    <s v="Munger"/>
    <s v="10-16 Apr"/>
    <n v="1014"/>
    <s v="Dumraon"/>
    <x v="574"/>
    <s v="MATHURA DERA"/>
    <s v="MPG"/>
    <s v="Direct"/>
    <n v="425.40000000000003"/>
    <n v="16396.400000000001"/>
    <n v="435.79999999999995"/>
    <n v="16310.930318690002"/>
    <n v="2"/>
    <n v="68.642244000000005"/>
    <n v="437.79999999999995"/>
    <n v="16379.572562690002"/>
    <n v="16379.572562690002"/>
    <n v="0"/>
    <n v="68.642244000000005"/>
    <n v="0"/>
    <n v="0"/>
    <n v="0"/>
    <n v="0"/>
    <n v="16312"/>
    <n v="0"/>
    <n v="0"/>
    <n v="16"/>
    <n v="0"/>
    <n v="211.68083874000939"/>
    <n v="60.771428571428579"/>
    <n v="1.0262885334585254E-3"/>
    <n v="5"/>
    <m/>
    <s v="Dumraon"/>
    <m/>
    <n v="0"/>
  </r>
  <r>
    <s v="Munger"/>
    <s v="10-16 Apr"/>
    <n v="1014"/>
    <s v="Dumraon"/>
    <x v="575"/>
    <s v="NANDAN"/>
    <s v="MPG"/>
    <s v="Direct"/>
    <n v="398.9"/>
    <n v="19639.649999999998"/>
    <n v="399"/>
    <n v="19628.481685512004"/>
    <n v="0"/>
    <n v="0"/>
    <n v="399"/>
    <n v="19628.481685512004"/>
    <n v="19628.481685512004"/>
    <n v="0"/>
    <n v="0"/>
    <n v="0"/>
    <n v="0"/>
    <n v="0"/>
    <n v="0"/>
    <n v="19628"/>
    <n v="0"/>
    <n v="0"/>
    <n v="12"/>
    <n v="0"/>
    <n v="296.49027901729761"/>
    <n v="56.98571428571428"/>
    <n v="5.6866158449837378E-4"/>
    <n v="1"/>
    <m/>
    <s v="Dumraon"/>
    <m/>
    <n v="0"/>
  </r>
  <r>
    <s v="Munger"/>
    <s v="10-16 Apr"/>
    <n v="1014"/>
    <s v="Dumraon"/>
    <x v="576"/>
    <s v="RAJAPUR"/>
    <s v="MPG"/>
    <s v="Direct"/>
    <n v="97.799999999999983"/>
    <n v="3344.7700000000004"/>
    <n v="103.90000000000002"/>
    <n v="3840.8411844000007"/>
    <n v="0"/>
    <n v="0"/>
    <n v="103.90000000000002"/>
    <n v="3840.8411844000007"/>
    <n v="3344.7700000000004"/>
    <n v="0"/>
    <n v="0"/>
    <n v="496.07118440000022"/>
    <n v="0"/>
    <n v="0"/>
    <n v="0"/>
    <n v="3345"/>
    <n v="0"/>
    <n v="0"/>
    <n v="0"/>
    <n v="0"/>
    <n v="411.90603149284266"/>
    <n v="13.97142857142857"/>
    <n v="-0.14831249514914333"/>
    <n v="2"/>
    <m/>
    <s v="Dumraon"/>
    <m/>
    <n v="0"/>
  </r>
  <r>
    <s v="Munger"/>
    <s v="10-16 Apr"/>
    <n v="1014"/>
    <s v="Dumraon"/>
    <x v="577"/>
    <s v="HEMDAPUR"/>
    <s v="MPG"/>
    <s v="Direct"/>
    <n v="681.5"/>
    <n v="24564.630000000005"/>
    <n v="703.7"/>
    <n v="25995.815417880003"/>
    <n v="0"/>
    <n v="0"/>
    <n v="703.7"/>
    <n v="25995.815417880003"/>
    <n v="24564.630000000005"/>
    <n v="0"/>
    <n v="0"/>
    <n v="1431.1854178799986"/>
    <n v="0"/>
    <n v="0"/>
    <n v="0"/>
    <n v="24565"/>
    <n v="0"/>
    <n v="0"/>
    <n v="0"/>
    <n v="0"/>
    <n v="13.336629640498879"/>
    <n v="97.357142857142861"/>
    <n v="-5.8262038462618744E-2"/>
    <n v="3"/>
    <m/>
    <s v="Dumraon"/>
    <m/>
    <n v="0"/>
  </r>
  <r>
    <s v="Munger"/>
    <s v="10-16 Apr"/>
    <n v="1014"/>
    <s v="Dumraon"/>
    <x v="578"/>
    <s v="Chaugain"/>
    <s v="MPG"/>
    <s v="Direct"/>
    <n v="108.80000000000001"/>
    <n v="3752.33"/>
    <n v="109"/>
    <n v="3726.6071040000011"/>
    <n v="0"/>
    <n v="0"/>
    <n v="109"/>
    <n v="3726.6071040000011"/>
    <n v="3726.6071040000011"/>
    <n v="0"/>
    <n v="0"/>
    <n v="0"/>
    <n v="0"/>
    <n v="500"/>
    <n v="0"/>
    <n v="3227"/>
    <n v="0"/>
    <n v="0"/>
    <n v="25"/>
    <n v="0"/>
    <n v="407.78998088235289"/>
    <n v="15.542857142857144"/>
    <n v="6.8551795817528988E-3"/>
    <n v="1"/>
    <m/>
    <s v="Dumraon"/>
    <m/>
    <n v="500"/>
  </r>
  <r>
    <s v="Munger"/>
    <s v="10-16 Apr"/>
    <n v="1014"/>
    <s v="Dumraon"/>
    <x v="579"/>
    <s v="Akalupur"/>
    <s v="MPG"/>
    <s v="Direct"/>
    <n v="306.89999999999998"/>
    <n v="10109.61"/>
    <n v="306"/>
    <n v="10098.323136000001"/>
    <n v="0"/>
    <n v="0"/>
    <n v="306"/>
    <n v="10098.323136000001"/>
    <n v="10098.323136000001"/>
    <n v="0"/>
    <n v="0"/>
    <n v="0"/>
    <n v="0"/>
    <n v="500"/>
    <n v="0"/>
    <n v="9598"/>
    <n v="0"/>
    <n v="0"/>
    <n v="12"/>
    <n v="0"/>
    <n v="258.98258005865108"/>
    <n v="43.842857142857142"/>
    <n v="1.1164490024837452E-3"/>
    <n v="1"/>
    <m/>
    <s v="Dumraon"/>
    <m/>
    <n v="500"/>
  </r>
  <r>
    <s v="Munger"/>
    <s v="10-16 Apr"/>
    <n v="1014"/>
    <s v="Dumraon"/>
    <x v="580"/>
    <s v="Chhotka Sihanpura"/>
    <s v="MPG"/>
    <s v="Direct"/>
    <n v="583"/>
    <n v="19604.919999999998"/>
    <n v="563.19999999999993"/>
    <n v="21582.233289060703"/>
    <n v="26.5"/>
    <n v="1019.444661576"/>
    <n v="589.69999999999993"/>
    <n v="22601.677950636702"/>
    <n v="19604.919999999998"/>
    <n v="0"/>
    <n v="266.82640617600003"/>
    <n v="2996.7579506367038"/>
    <n v="0"/>
    <n v="0"/>
    <n v="0"/>
    <n v="18585"/>
    <n v="753"/>
    <n v="0"/>
    <n v="0"/>
    <n v="0"/>
    <n v="78.688701200686069"/>
    <n v="83.285714285714292"/>
    <n v="-0.15285744347014443"/>
    <n v="5"/>
    <m/>
    <s v="Dumraon"/>
    <m/>
    <n v="0"/>
  </r>
  <r>
    <s v="Munger"/>
    <s v="10-16 Apr"/>
    <n v="1014"/>
    <s v="Dumraon"/>
    <x v="581"/>
    <s v="Dharauli"/>
    <s v="MPG"/>
    <s v="Direct"/>
    <n v="329.3"/>
    <n v="12826.189999999997"/>
    <n v="321.5"/>
    <n v="11955.07477011532"/>
    <n v="6.2"/>
    <n v="230.79518352000005"/>
    <n v="327.7"/>
    <n v="12185.86995363532"/>
    <n v="12185.86995363532"/>
    <n v="0"/>
    <n v="230.79518352000005"/>
    <n v="0"/>
    <n v="0"/>
    <n v="0"/>
    <n v="0"/>
    <n v="11955"/>
    <n v="0"/>
    <n v="0"/>
    <n v="640"/>
    <n v="0"/>
    <n v="288.77428685089575"/>
    <n v="47.042857142857144"/>
    <n v="4.9922856777006835E-2"/>
    <n v="15"/>
    <m/>
    <s v="Dumraon"/>
    <m/>
    <n v="0"/>
  </r>
  <r>
    <s v="Munger"/>
    <s v="10-16 Apr"/>
    <n v="1014"/>
    <s v="Dumraon"/>
    <x v="582"/>
    <s v="Ramopatti"/>
    <s v="MPG"/>
    <s v="Direct"/>
    <n v="135.79999999999998"/>
    <n v="5394.37"/>
    <n v="136"/>
    <n v="5367.795206400001"/>
    <n v="0"/>
    <n v="0"/>
    <n v="136"/>
    <n v="5367.795206400001"/>
    <n v="5367.795206400001"/>
    <n v="0"/>
    <n v="0"/>
    <n v="0"/>
    <n v="0"/>
    <n v="0"/>
    <n v="0"/>
    <n v="5368"/>
    <n v="0"/>
    <n v="0"/>
    <n v="26"/>
    <n v="0"/>
    <n v="448.23321855670105"/>
    <n v="19.399999999999999"/>
    <n v="4.9263942962753547E-3"/>
    <n v="1"/>
    <m/>
    <s v="Dumraon"/>
    <m/>
    <n v="0"/>
  </r>
  <r>
    <s v="Munger"/>
    <s v="10-16 Apr"/>
    <n v="1014"/>
    <s v="Dumraon"/>
    <x v="583"/>
    <s v="Kaithi"/>
    <s v="MPG"/>
    <s v="Direct"/>
    <n v="248.39999999999998"/>
    <n v="8834.8599999999969"/>
    <n v="238"/>
    <n v="8796.7313279999998"/>
    <n v="0"/>
    <n v="0"/>
    <n v="238"/>
    <n v="8796.7313279999998"/>
    <n v="8796.7313279999998"/>
    <n v="0"/>
    <n v="0"/>
    <n v="0"/>
    <n v="0"/>
    <n v="500"/>
    <n v="0"/>
    <n v="8296"/>
    <n v="0"/>
    <n v="0"/>
    <n v="39"/>
    <n v="0"/>
    <n v="321.24176940418675"/>
    <n v="35.48571428571428"/>
    <n v="4.3157075494118877E-3"/>
    <n v="2"/>
    <m/>
    <s v="Dumraon"/>
    <m/>
    <n v="500"/>
  </r>
  <r>
    <s v="Munger"/>
    <s v="10-16 Apr"/>
    <n v="1014"/>
    <s v="Dumraon"/>
    <x v="584"/>
    <s v="Rangi Dera"/>
    <s v="MPG"/>
    <s v="Direct"/>
    <n v="342.2"/>
    <n v="12793.640000000001"/>
    <n v="342"/>
    <n v="12776.113152"/>
    <n v="0"/>
    <n v="0"/>
    <n v="342"/>
    <n v="12776.113152"/>
    <n v="12776.113152"/>
    <n v="0"/>
    <n v="0"/>
    <n v="0"/>
    <n v="0"/>
    <n v="0"/>
    <n v="0"/>
    <n v="12776"/>
    <n v="0"/>
    <n v="0"/>
    <n v="18"/>
    <n v="0"/>
    <n v="267.53736949152545"/>
    <n v="48.885714285714286"/>
    <n v="1.3699657017081405E-3"/>
    <n v="1"/>
    <m/>
    <s v="Dumraon"/>
    <m/>
    <n v="0"/>
  </r>
  <r>
    <s v="Munger"/>
    <s v="10-16 Apr"/>
    <n v="1014"/>
    <s v="Dumraon"/>
    <x v="585"/>
    <s v="Dubki"/>
    <s v="MPG"/>
    <s v="Direct"/>
    <n v="184.9"/>
    <n v="8070.68"/>
    <n v="186.28999999999996"/>
    <n v="9439.6122893367519"/>
    <n v="0.54"/>
    <n v="27.288266994850005"/>
    <n v="186.82999999999996"/>
    <n v="9466.9005563316023"/>
    <n v="8070.68"/>
    <n v="0"/>
    <n v="27.288266994850005"/>
    <n v="1396.220556331602"/>
    <n v="0"/>
    <n v="500"/>
    <n v="0"/>
    <n v="7543"/>
    <n v="0"/>
    <n v="0"/>
    <n v="0"/>
    <n v="0"/>
    <n v="449.67087809626827"/>
    <n v="26.414285714285715"/>
    <n v="-0.1729991222959654"/>
    <n v="3"/>
    <m/>
    <s v="Dumraon"/>
    <m/>
    <n v="500"/>
  </r>
  <r>
    <s v="Munger"/>
    <s v="10-16 Apr"/>
    <n v="1014"/>
    <s v="Dumraon"/>
    <x v="586"/>
    <s v="Sonvarsa"/>
    <s v="MPG"/>
    <s v="Direct"/>
    <n v="234.50000000000003"/>
    <n v="9147.0499999999993"/>
    <n v="237.32000000000002"/>
    <n v="9186.5007976759625"/>
    <n v="1.8"/>
    <n v="77.898063366459013"/>
    <n v="239.12000000000003"/>
    <n v="9264.3988610424221"/>
    <n v="9147.0499999999993"/>
    <n v="0"/>
    <n v="77.898063366459013"/>
    <n v="117.34886104242287"/>
    <n v="2560"/>
    <n v="500"/>
    <n v="0"/>
    <n v="6009"/>
    <n v="0"/>
    <n v="0"/>
    <n v="0"/>
    <n v="0"/>
    <n v="363.15153731343281"/>
    <n v="33.500000000000007"/>
    <n v="-1.2829148309282543E-2"/>
    <n v="4"/>
    <m/>
    <s v="Dumraon"/>
    <m/>
    <n v="500"/>
  </r>
  <r>
    <s v="Munger"/>
    <s v="10-16 Apr"/>
    <n v="1014"/>
    <s v="Dumraon"/>
    <x v="587"/>
    <s v="Soan"/>
    <s v="MPG"/>
    <s v="Direct"/>
    <n v="589.00000000000011"/>
    <n v="23347.989999999998"/>
    <n v="593.35000000000014"/>
    <n v="23544.168823113116"/>
    <n v="5.5400000000000009"/>
    <n v="226.02420879730997"/>
    <n v="598.8900000000001"/>
    <n v="23770.193031910425"/>
    <n v="23347.989999999998"/>
    <n v="0"/>
    <n v="226.02420879730997"/>
    <n v="422.20303191042694"/>
    <n v="6351"/>
    <n v="0"/>
    <n v="0"/>
    <n v="16771"/>
    <n v="0"/>
    <n v="0"/>
    <n v="0"/>
    <n v="0"/>
    <n v="88.000913073005009"/>
    <n v="84.142857142857153"/>
    <n v="-1.8083056910270519E-2"/>
    <n v="9"/>
    <m/>
    <s v="Dumraon"/>
    <m/>
    <n v="0"/>
  </r>
  <r>
    <s v="Munger"/>
    <s v="10-16 Apr"/>
    <n v="1014"/>
    <s v="Dumraon"/>
    <x v="588"/>
    <s v="PURANA BHOJPUR                                                                                      "/>
    <s v="MPG"/>
    <s v="Direct"/>
    <n v="373.1"/>
    <n v="14285.93"/>
    <n v="378"/>
    <n v="14270.670136800003"/>
    <n v="0"/>
    <n v="0"/>
    <n v="378"/>
    <n v="14270.670136800003"/>
    <n v="14270.670136800003"/>
    <n v="0"/>
    <n v="0"/>
    <n v="0"/>
    <n v="3810"/>
    <n v="0"/>
    <n v="0"/>
    <n v="10461"/>
    <n v="0"/>
    <n v="0"/>
    <n v="15"/>
    <n v="0"/>
    <n v="250.33881088180112"/>
    <n v="53.300000000000004"/>
    <n v="1.0681742945679558E-3"/>
    <n v="1"/>
    <m/>
    <s v="Dumraon"/>
    <m/>
    <n v="0"/>
  </r>
  <r>
    <s v="Munger"/>
    <s v="10-16 Apr"/>
    <n v="1014"/>
    <s v="Dumraon"/>
    <x v="589"/>
    <s v="Gomukh Kant"/>
    <s v="MPG"/>
    <s v="Direct"/>
    <n v="232.7"/>
    <n v="10069.61"/>
    <n v="259.5"/>
    <n v="12800.741374304806"/>
    <n v="1.4"/>
    <n v="62.124525900294998"/>
    <n v="260.89999999999998"/>
    <n v="12862.865900205101"/>
    <n v="10069.61"/>
    <n v="0"/>
    <n v="62.124525900294998"/>
    <n v="2793.2559002051003"/>
    <n v="0"/>
    <n v="0"/>
    <n v="0"/>
    <n v="10007"/>
    <n v="0"/>
    <n v="0"/>
    <n v="0"/>
    <n v="0"/>
    <n v="404.4287712075635"/>
    <n v="33.24285714285714"/>
    <n v="-0.27739464589046647"/>
    <n v="5"/>
    <m/>
    <s v="Dumraon"/>
    <m/>
    <n v="0"/>
  </r>
  <r>
    <s v="Munger"/>
    <s v="10-16 Apr"/>
    <n v="1014"/>
    <s v="Dumraon"/>
    <x v="590"/>
    <s v="Gomukh Naat"/>
    <s v="MPG"/>
    <s v="Direct"/>
    <n v="299.3"/>
    <n v="11888.48"/>
    <n v="307.33999999999997"/>
    <n v="12349.731892212001"/>
    <n v="0"/>
    <n v="0"/>
    <n v="307.33999999999997"/>
    <n v="12349.731892212001"/>
    <n v="11888.48"/>
    <n v="0"/>
    <n v="0"/>
    <n v="461.25189221200162"/>
    <n v="0"/>
    <n v="0"/>
    <n v="0"/>
    <n v="11888"/>
    <n v="0"/>
    <n v="0"/>
    <n v="0"/>
    <n v="0"/>
    <n v="318.32368433010356"/>
    <n v="42.75714285714286"/>
    <n v="-3.8798222498755232E-2"/>
    <n v="3"/>
    <m/>
    <s v="Dumraon"/>
    <m/>
    <n v="0"/>
  </r>
  <r>
    <s v="Munger"/>
    <s v="10-16 Apr"/>
    <n v="1014"/>
    <s v="Dumraon"/>
    <x v="591"/>
    <s v="Gomukh Raghunathpur"/>
    <s v="MPG"/>
    <s v="Direct"/>
    <n v="522.6"/>
    <n v="19603.239999999998"/>
    <n v="532.50000000000011"/>
    <n v="19194.876906480004"/>
    <n v="7"/>
    <n v="249.68566260000003"/>
    <n v="539.50000000000011"/>
    <n v="19444.562569080004"/>
    <n v="19444.562569080004"/>
    <n v="0"/>
    <n v="249.68566260000003"/>
    <n v="0"/>
    <n v="0"/>
    <n v="0"/>
    <n v="0"/>
    <n v="19195"/>
    <n v="0"/>
    <n v="0"/>
    <n v="159"/>
    <n v="0"/>
    <n v="133.08896961347105"/>
    <n v="74.657142857142858"/>
    <n v="8.094449229820869E-3"/>
    <n v="3"/>
    <m/>
    <s v="Dumraon"/>
    <m/>
    <n v="0"/>
  </r>
  <r>
    <s v="Munger"/>
    <s v="10-16 Apr"/>
    <n v="1014"/>
    <s v="Dumraon"/>
    <x v="592"/>
    <s v="Gomukh Tilakraika Hata 1 - Manoj"/>
    <s v="vlc"/>
    <s v="Indirect"/>
    <n v="1294.0999999999999"/>
    <n v="45256.49"/>
    <n v="0"/>
    <n v="0"/>
    <n v="0"/>
    <n v="0"/>
    <n v="0"/>
    <n v="0"/>
    <n v="45256.49"/>
    <n v="0"/>
    <n v="0"/>
    <n v="0"/>
    <n v="0"/>
    <n v="0"/>
    <n v="0"/>
    <n v="0"/>
    <n v="0"/>
    <n v="45256.49"/>
    <n v="0"/>
    <n v="0"/>
    <n v="0"/>
    <n v="0"/>
    <n v="0"/>
    <n v="0"/>
    <m/>
    <s v="Dumraon"/>
    <m/>
    <n v="0"/>
  </r>
  <r>
    <s v="Munger"/>
    <s v="10-16 Apr"/>
    <n v="1014"/>
    <s v="Dumraon"/>
    <x v="593"/>
    <s v="Gomukh Murar"/>
    <s v="MPG"/>
    <s v="Direct"/>
    <n v="593.1"/>
    <n v="23934.200000000008"/>
    <n v="374.7"/>
    <n v="15171.098206053006"/>
    <n v="275.29999999999995"/>
    <n v="11810.172615795842"/>
    <n v="650"/>
    <n v="26981.270821848848"/>
    <n v="23934.200000000008"/>
    <n v="0"/>
    <n v="199.04637460800006"/>
    <n v="3047.0708218488398"/>
    <n v="0"/>
    <n v="500"/>
    <n v="0"/>
    <n v="11624"/>
    <n v="11611"/>
    <n v="0"/>
    <n v="0"/>
    <n v="0"/>
    <n v="86.277726521665869"/>
    <n v="84.728571428571428"/>
    <n v="-0.12731032672279996"/>
    <n v="15"/>
    <m/>
    <s v="Dumraon"/>
    <m/>
    <n v="500"/>
  </r>
  <r>
    <s v="Munger"/>
    <s v="10-16 Apr"/>
    <n v="1014"/>
    <s v="Dumraon"/>
    <x v="594"/>
    <s v="Gomukh Churamanpur                                                                                  "/>
    <s v="MPG"/>
    <s v="Direct"/>
    <n v="320.3"/>
    <n v="12162.960000000001"/>
    <n v="322.55999999999995"/>
    <n v="12421.657607818697"/>
    <n v="0"/>
    <n v="0"/>
    <n v="322.55999999999995"/>
    <n v="12421.657607818697"/>
    <n v="12162.960000000001"/>
    <n v="0"/>
    <n v="0"/>
    <n v="258.69760781869627"/>
    <n v="0"/>
    <n v="0"/>
    <n v="0"/>
    <n v="12163"/>
    <n v="0"/>
    <n v="0"/>
    <n v="0"/>
    <n v="0"/>
    <n v="288.37189584764286"/>
    <n v="45.75714285714286"/>
    <n v="-2.1269296932547362E-2"/>
    <n v="8"/>
    <m/>
    <s v="Dumraon"/>
    <m/>
    <n v="0"/>
  </r>
  <r>
    <s v="Munger"/>
    <s v="10-16 Apr"/>
    <n v="1014"/>
    <s v="Dumraon"/>
    <x v="595"/>
    <s v="Gomukh Ekauni Karuwaj"/>
    <s v="MPG"/>
    <s v="Direct"/>
    <n v="37.000000000000007"/>
    <n v="1380.12"/>
    <n v="37"/>
    <n v="1323.6045372000001"/>
    <n v="0"/>
    <n v="0"/>
    <n v="37"/>
    <n v="1323.6045372000001"/>
    <n v="1323.6045372000001"/>
    <n v="0"/>
    <n v="0"/>
    <n v="0"/>
    <n v="0"/>
    <n v="500"/>
    <n v="0"/>
    <n v="824"/>
    <n v="0"/>
    <n v="0"/>
    <n v="56"/>
    <n v="0"/>
    <n v="494.60516756756749"/>
    <n v="5.2857142857142865"/>
    <n v="4.0949673071906646E-2"/>
    <n v="1"/>
    <m/>
    <s v="Dumraon"/>
    <m/>
    <n v="500"/>
  </r>
  <r>
    <s v="Munger"/>
    <s v="10-16 Apr"/>
    <n v="1014"/>
    <s v="Dumraon"/>
    <x v="596"/>
    <s v="Kulharia Agriculture Producer Company Limited"/>
    <s v="MPG"/>
    <s v="Direct"/>
    <n v="1557.9999999999998"/>
    <n v="64327.609999999986"/>
    <n v="1542.16"/>
    <n v="63520.945426654078"/>
    <n v="15.62"/>
    <n v="625.84467145199994"/>
    <n v="1557.78"/>
    <n v="64146.790098106081"/>
    <n v="64146.790098106081"/>
    <n v="0"/>
    <n v="625.84467145199994"/>
    <n v="0"/>
    <n v="13490"/>
    <n v="0"/>
    <n v="0"/>
    <n v="50031"/>
    <n v="0"/>
    <n v="0"/>
    <n v="181"/>
    <n v="0"/>
    <n v="0"/>
    <n v="0"/>
    <n v="2.8109221202824875E-3"/>
    <n v="6"/>
    <m/>
    <s v="Dumraon"/>
    <m/>
    <n v="0"/>
  </r>
  <r>
    <s v="Munger"/>
    <s v="10-16 Apr"/>
    <n v="1014"/>
    <s v="Dumraon"/>
    <x v="597"/>
    <s v="Gomukh Dhakaich"/>
    <s v="MPG"/>
    <s v="Direct"/>
    <n v="478.7000000000001"/>
    <n v="16626.25"/>
    <n v="503.31999999999994"/>
    <n v="16751.444696236798"/>
    <n v="5.67"/>
    <n v="221.54460174000002"/>
    <n v="508.98999999999995"/>
    <n v="16972.989297976797"/>
    <n v="16626.25"/>
    <n v="0"/>
    <n v="221.54460174000002"/>
    <n v="346.73929797679739"/>
    <n v="0"/>
    <n v="500"/>
    <n v="0"/>
    <n v="15905"/>
    <n v="0"/>
    <n v="0"/>
    <n v="0"/>
    <n v="0"/>
    <n v="153.72421662836837"/>
    <n v="68.3857142857143"/>
    <n v="-2.0854931086492588E-2"/>
    <n v="9"/>
    <m/>
    <s v="Dumraon"/>
    <m/>
    <n v="500"/>
  </r>
  <r>
    <s v="Munger"/>
    <s v="10-16 Apr"/>
    <n v="1014"/>
    <s v="Dumraon"/>
    <x v="599"/>
    <s v="Gomukh Kajipura Chandan"/>
    <s v="vlc"/>
    <s v="Indirect"/>
    <n v="219.4"/>
    <n v="8390.3499999999985"/>
    <n v="0"/>
    <n v="0"/>
    <n v="0"/>
    <n v="0"/>
    <n v="0"/>
    <n v="0"/>
    <n v="8390.3499999999985"/>
    <n v="0"/>
    <n v="0"/>
    <n v="0"/>
    <n v="0"/>
    <n v="0"/>
    <n v="0"/>
    <n v="0"/>
    <n v="0"/>
    <n v="8390.3499999999985"/>
    <n v="0"/>
    <n v="0"/>
    <n v="367.58452233363715"/>
    <n v="31.342857142857145"/>
    <n v="0"/>
    <n v="0"/>
    <m/>
    <s v="Dumraon"/>
    <m/>
    <n v="0"/>
  </r>
  <r>
    <s v="Munger"/>
    <s v="10-16 Apr"/>
    <n v="1014"/>
    <s v="Dumraon"/>
    <x v="600"/>
    <s v="Gomukh Banswar"/>
    <s v="MPG"/>
    <s v="Direct"/>
    <n v="86.5"/>
    <n v="4737.8300000000008"/>
    <n v="133"/>
    <n v="6501.4650655291007"/>
    <n v="0"/>
    <n v="0"/>
    <n v="133"/>
    <n v="6501.4650655291007"/>
    <n v="4737.8300000000008"/>
    <n v="0"/>
    <n v="0"/>
    <n v="1763.6350655290998"/>
    <n v="0"/>
    <n v="0"/>
    <n v="0"/>
    <n v="4738"/>
    <n v="0"/>
    <n v="0"/>
    <n v="0"/>
    <s v="Release1"/>
    <n v="672.05981618497117"/>
    <n v="12.357142857142858"/>
    <n v="-0.37224532444792224"/>
    <n v="6"/>
    <m/>
    <s v="Dumraon"/>
    <m/>
    <n v="0"/>
  </r>
  <r>
    <s v="Munger"/>
    <s v="10-16 Apr"/>
    <n v="1014"/>
    <s v="Dumraon"/>
    <x v="601"/>
    <s v="Gomukh Sikraul Lakh"/>
    <s v="MPG"/>
    <s v="Direct"/>
    <n v="504.49999999999994"/>
    <n v="19707.309999999998"/>
    <n v="498.88"/>
    <n v="21225.681412848004"/>
    <n v="6.59"/>
    <n v="280.62491925600006"/>
    <n v="505.46999999999997"/>
    <n v="21506.306332104003"/>
    <n v="19707.309999999998"/>
    <n v="0"/>
    <n v="280.62491925600006"/>
    <n v="1798.996332104005"/>
    <n v="6400"/>
    <n v="500"/>
    <n v="0"/>
    <n v="12527"/>
    <n v="0"/>
    <n v="0"/>
    <n v="0"/>
    <n v="0"/>
    <n v="152.73653538156591"/>
    <n v="72.071428571428569"/>
    <n v="-9.1285737734069505E-2"/>
    <n v="3"/>
    <m/>
    <s v="Dumraon"/>
    <m/>
    <n v="500"/>
  </r>
  <r>
    <s v="Munger"/>
    <s v="10-16 Apr"/>
    <n v="1014"/>
    <s v="Dumraon"/>
    <x v="602"/>
    <s v="Gomukh Dafadihari"/>
    <s v="MPG"/>
    <s v="Direct"/>
    <n v="238.10000000000002"/>
    <n v="8814.7899999999991"/>
    <n v="233.4"/>
    <n v="8534.0622830449338"/>
    <n v="6.89"/>
    <n v="277.86307523199997"/>
    <n v="240.29"/>
    <n v="8811.9253582769343"/>
    <n v="8811.9253582769343"/>
    <n v="0"/>
    <n v="277.86307523199997"/>
    <n v="0"/>
    <n v="0"/>
    <n v="0"/>
    <n v="0"/>
    <n v="8536"/>
    <n v="0"/>
    <n v="0"/>
    <n v="1"/>
    <n v="0"/>
    <n v="342.00348601427964"/>
    <n v="34.01428571428572"/>
    <n v="3.2498127840422503E-4"/>
    <n v="10"/>
    <m/>
    <s v="Dumraon"/>
    <m/>
    <n v="0"/>
  </r>
  <r>
    <s v="Munger"/>
    <s v="10-16 Apr"/>
    <n v="1014"/>
    <s v="Dumraon"/>
    <x v="603"/>
    <s v="Gomukh Paharpur"/>
    <s v="MPG"/>
    <s v="Direct"/>
    <n v="143.80000000000001"/>
    <n v="5386.8099999999995"/>
    <n v="145"/>
    <n v="5359.3531199999998"/>
    <n v="0"/>
    <n v="0"/>
    <n v="145"/>
    <n v="5359.3531199999998"/>
    <n v="5359.3531199999998"/>
    <n v="0"/>
    <n v="0"/>
    <n v="0"/>
    <n v="3200"/>
    <n v="0"/>
    <n v="0"/>
    <n v="2159"/>
    <n v="0"/>
    <n v="0"/>
    <n v="28"/>
    <n v="0"/>
    <n v="416.70983616133515"/>
    <n v="20.542857142857144"/>
    <n v="5.0970574421595957E-3"/>
    <n v="1"/>
    <m/>
    <s v="Dumraon"/>
    <m/>
    <n v="0"/>
  </r>
  <r>
    <s v="Munger"/>
    <s v="10-16 Apr"/>
    <n v="1014"/>
    <s v="Dumraon"/>
    <x v="604"/>
    <s v="Gomukh Basaon Kalan"/>
    <s v="MPG"/>
    <s v="Direct"/>
    <n v="209.89999999999998"/>
    <n v="7553.62"/>
    <n v="218.3"/>
    <n v="8175.8981898000002"/>
    <n v="0"/>
    <n v="0"/>
    <n v="218.3"/>
    <n v="8175.8981898000002"/>
    <n v="7553.62"/>
    <n v="0"/>
    <n v="0"/>
    <n v="622.27818980000029"/>
    <n v="0"/>
    <n v="0"/>
    <n v="0"/>
    <n v="7554"/>
    <n v="0"/>
    <n v="0"/>
    <n v="0"/>
    <n v="0"/>
    <n v="352.74217837065277"/>
    <n v="29.985714285714284"/>
    <n v="-8.2381452839830477E-2"/>
    <n v="1"/>
    <m/>
    <s v="Dumraon"/>
    <m/>
    <n v="0"/>
  </r>
  <r>
    <s v="Munger"/>
    <s v="10-16 Apr"/>
    <n v="1014"/>
    <s v="Dumraon"/>
    <x v="605"/>
    <s v="Gomukh Mangolpur"/>
    <s v="MPG"/>
    <s v="Direct"/>
    <n v="305.70000000000005"/>
    <n v="10713.23"/>
    <n v="327.80000000000007"/>
    <n v="11428.8605970961"/>
    <n v="5.6"/>
    <n v="192.8316456"/>
    <n v="333.40000000000009"/>
    <n v="11621.692242696099"/>
    <n v="10713.23"/>
    <n v="0"/>
    <n v="192.8316456"/>
    <n v="908.46224269609957"/>
    <n v="0"/>
    <n v="0"/>
    <n v="0"/>
    <n v="10520"/>
    <n v="0"/>
    <n v="0"/>
    <n v="0"/>
    <s v="Release1"/>
    <n v="276.36418639188736"/>
    <n v="43.671428571428578"/>
    <n v="-8.4798164764137388E-2"/>
    <n v="10"/>
    <m/>
    <s v="Dumraon"/>
    <m/>
    <n v="0"/>
  </r>
  <r>
    <s v="Munger"/>
    <s v="10-16 Apr"/>
    <n v="1014"/>
    <s v="Dumraon"/>
    <x v="606"/>
    <s v="Gomukh Dhanipur"/>
    <s v="MPG"/>
    <s v="Direct"/>
    <n v="425.59999999999997"/>
    <n v="16995.599999999999"/>
    <n v="427.75"/>
    <n v="17426.480232808743"/>
    <n v="0"/>
    <n v="0"/>
    <n v="427.75"/>
    <n v="17426.480232808743"/>
    <n v="16995.599999999999"/>
    <n v="0"/>
    <n v="0"/>
    <n v="430.88023280874404"/>
    <n v="0"/>
    <n v="0"/>
    <n v="0"/>
    <n v="16996"/>
    <n v="0"/>
    <n v="0"/>
    <n v="0"/>
    <n v="0"/>
    <n v="219.15378947368424"/>
    <n v="60.8"/>
    <n v="-2.5352457860195819E-2"/>
    <n v="3"/>
    <m/>
    <s v="Dumraon"/>
    <m/>
    <n v="0"/>
  </r>
  <r>
    <s v="Munger"/>
    <s v="10-16 Apr"/>
    <n v="1014"/>
    <s v="Dumraon"/>
    <x v="607"/>
    <s v="Gomukh Rakshanagar_tola"/>
    <s v="MPG"/>
    <s v="Direct"/>
    <n v="834.39999999999986"/>
    <n v="34639.31"/>
    <n v="877.90000000000009"/>
    <n v="37174.924214746803"/>
    <n v="0"/>
    <n v="0"/>
    <n v="877.90000000000009"/>
    <n v="37174.924214746803"/>
    <n v="34639.31"/>
    <n v="0"/>
    <n v="0"/>
    <n v="2535.6142147468054"/>
    <n v="0"/>
    <n v="0"/>
    <n v="0"/>
    <n v="34639"/>
    <n v="0"/>
    <n v="0"/>
    <n v="0"/>
    <n v="0"/>
    <n v="0"/>
    <n v="0"/>
    <n v="-7.3200482767895939E-2"/>
    <n v="4"/>
    <m/>
    <s v="Dumraon"/>
    <m/>
    <n v="0"/>
  </r>
  <r>
    <s v="Munger"/>
    <s v="10-16 Apr"/>
    <n v="1014"/>
    <s v="Dumraon"/>
    <x v="608"/>
    <s v="Gomukh Nadaon"/>
    <s v="MPG"/>
    <s v="Direct"/>
    <n v="45.1"/>
    <n v="1528.1399999999999"/>
    <n v="50"/>
    <n v="2066.5160999999998"/>
    <n v="21.199999999999996"/>
    <n v="877.61258639999994"/>
    <n v="71.199999999999989"/>
    <n v="2944.1286863999999"/>
    <n v="1528.1399999999999"/>
    <n v="0"/>
    <n v="877.61258639999994"/>
    <n v="1415.9886864"/>
    <n v="0"/>
    <n v="35"/>
    <n v="0"/>
    <n v="616"/>
    <n v="0"/>
    <n v="0"/>
    <n v="0"/>
    <n v="0"/>
    <n v="443.80438403547669"/>
    <n v="6.4428571428571431"/>
    <n v="-0.92660926773724928"/>
    <n v="3"/>
    <m/>
    <s v="Dumraon"/>
    <m/>
    <n v="35"/>
  </r>
  <r>
    <s v="Munger"/>
    <s v="10-16 Apr"/>
    <n v="1014"/>
    <s v="Dumraon"/>
    <x v="609"/>
    <s v="Gomukh Bimhnath Girdhar Baraw"/>
    <s v="vlc"/>
    <s v="Indirect"/>
    <n v="637.90000000000009"/>
    <n v="26845.08"/>
    <n v="0"/>
    <n v="0"/>
    <n v="0"/>
    <n v="0"/>
    <n v="0"/>
    <n v="0"/>
    <n v="26845.08"/>
    <n v="0"/>
    <n v="0"/>
    <n v="0"/>
    <n v="0"/>
    <n v="0"/>
    <n v="0"/>
    <n v="0"/>
    <n v="0"/>
    <n v="26845.08"/>
    <n v="0"/>
    <n v="0"/>
    <n v="52.267736886659243"/>
    <n v="91.128571428571448"/>
    <n v="0"/>
    <n v="0"/>
    <m/>
    <s v="Dumraon"/>
    <m/>
    <n v="0"/>
  </r>
  <r>
    <s v="Munger"/>
    <s v="10-16 Apr"/>
    <n v="1014"/>
    <s v="Dumraon"/>
    <x v="610"/>
    <s v="Gomukh Mathuradera Upendra "/>
    <s v="vlc"/>
    <s v="Indirect"/>
    <n v="363.1"/>
    <n v="12877.25"/>
    <n v="0"/>
    <n v="0"/>
    <n v="0"/>
    <n v="0"/>
    <n v="0"/>
    <n v="0"/>
    <n v="12877.25"/>
    <n v="0"/>
    <n v="0"/>
    <n v="0"/>
    <n v="0"/>
    <n v="0"/>
    <n v="0"/>
    <n v="0"/>
    <n v="0"/>
    <n v="12877.25"/>
    <n v="0"/>
    <n v="0"/>
    <n v="238.96147204626823"/>
    <n v="51.871428571428574"/>
    <n v="0"/>
    <n v="0"/>
    <m/>
    <s v="Dumraon"/>
    <m/>
    <n v="0"/>
  </r>
  <r>
    <s v="Munger"/>
    <s v="10-16 Apr"/>
    <n v="1014"/>
    <s v="Dumraon"/>
    <x v="611"/>
    <s v="Gomukh Badkagaon Yamunatola"/>
    <s v="MPG"/>
    <s v="Direct"/>
    <n v="86.300000000000011"/>
    <n v="3467.31"/>
    <n v="89.2"/>
    <n v="3441.9703507200002"/>
    <n v="0.3"/>
    <n v="11.52393264"/>
    <n v="89.5"/>
    <n v="3453.4942833600003"/>
    <n v="3453.4942833600003"/>
    <n v="0"/>
    <n v="11.52393264"/>
    <n v="0"/>
    <n v="0"/>
    <n v="500"/>
    <n v="0"/>
    <n v="2942"/>
    <n v="0"/>
    <n v="0"/>
    <n v="14"/>
    <n v="0"/>
    <n v="493.13746164542283"/>
    <n v="12.328571428571431"/>
    <n v="3.9845634339011121E-3"/>
    <n v="2"/>
    <m/>
    <s v="Dumraon"/>
    <m/>
    <n v="500"/>
  </r>
  <r>
    <s v="Munger"/>
    <s v="10-16 Apr"/>
    <n v="1060"/>
    <s v="Behiya BMC"/>
    <x v="612"/>
    <s v="Gomukh Bramhpur"/>
    <s v="MPG"/>
    <s v="Direct"/>
    <n v="219.70000000000002"/>
    <n v="7993.670000000001"/>
    <n v="250.71"/>
    <n v="9239.7058827479996"/>
    <n v="0"/>
    <n v="0"/>
    <n v="250.71"/>
    <n v="9239.7058827479996"/>
    <n v="7993.670000000001"/>
    <n v="0"/>
    <n v="0"/>
    <n v="1246.0358827479986"/>
    <n v="0"/>
    <n v="500"/>
    <n v="0"/>
    <n v="7494"/>
    <n v="0"/>
    <n v="0"/>
    <n v="0"/>
    <n v="0"/>
    <n v="349.50930368684573"/>
    <n v="31.38571428571429"/>
    <n v="-0.15587782367147987"/>
    <n v="2"/>
    <m/>
    <s v="Behiya BMC"/>
    <m/>
    <n v="500"/>
  </r>
  <r>
    <s v="Munger"/>
    <s v="10-16 Apr"/>
    <n v="1014"/>
    <s v="Dumraon"/>
    <x v="613"/>
    <s v="Gomukh Mashariya"/>
    <s v="MPG"/>
    <s v="Direct"/>
    <n v="447.5"/>
    <n v="17663.600000000002"/>
    <n v="349.42"/>
    <n v="13359.945525661698"/>
    <n v="116.63"/>
    <n v="4504.941675140346"/>
    <n v="466.05"/>
    <n v="17864.887200802044"/>
    <n v="17663.600000000002"/>
    <n v="0"/>
    <n v="1356.639989072346"/>
    <n v="201.28720080204221"/>
    <n v="0"/>
    <n v="0"/>
    <n v="0"/>
    <n v="13159"/>
    <n v="3148"/>
    <n v="0"/>
    <n v="0"/>
    <n v="0"/>
    <n v="199.33224581005589"/>
    <n v="63.928571428571431"/>
    <n v="-1.1395593242716218E-2"/>
    <n v="5"/>
    <m/>
    <s v="Dumraon"/>
    <m/>
    <n v="0"/>
  </r>
  <r>
    <s v="Munger"/>
    <s v="10-16 Apr"/>
    <n v="1014"/>
    <s v="Dumraon"/>
    <x v="614"/>
    <s v="Gomukh Basawkala Sudhir Kumar"/>
    <s v="vlc"/>
    <s v="Indirect"/>
    <n v="21.3"/>
    <n v="799.01"/>
    <n v="0"/>
    <n v="0"/>
    <n v="0"/>
    <n v="0"/>
    <n v="0"/>
    <n v="0"/>
    <n v="799.01"/>
    <n v="0"/>
    <n v="0"/>
    <n v="0"/>
    <n v="0"/>
    <n v="0"/>
    <n v="0"/>
    <n v="0"/>
    <n v="0"/>
    <n v="799.01"/>
    <n v="0"/>
    <n v="0"/>
    <n v="509.19069201877932"/>
    <n v="3.0428571428571431"/>
    <n v="0"/>
    <n v="0"/>
    <m/>
    <s v="Dumraon"/>
    <m/>
    <n v="0"/>
  </r>
  <r>
    <s v="Munger"/>
    <s v="10-16 Apr"/>
    <n v="1060"/>
    <s v="Behiya BMC"/>
    <x v="615"/>
    <s v="Gomukh KritSagar"/>
    <s v="MPG"/>
    <s v="Direct"/>
    <n v="353.79999999999995"/>
    <n v="13994.59"/>
    <n v="372.44000000000005"/>
    <n v="16060.657379403152"/>
    <n v="0"/>
    <n v="0"/>
    <n v="372.44000000000005"/>
    <n v="16060.657379403152"/>
    <n v="13994.59"/>
    <n v="0"/>
    <n v="0"/>
    <n v="2066.0673794031518"/>
    <n v="0"/>
    <n v="500"/>
    <n v="0"/>
    <n v="13495"/>
    <n v="0"/>
    <n v="0"/>
    <n v="0"/>
    <n v="0"/>
    <n v="273.87942668174117"/>
    <n v="50.542857142857137"/>
    <n v="-0.14763329110771747"/>
    <n v="1"/>
    <m/>
    <s v="Behiya BMC"/>
    <m/>
    <n v="500"/>
  </r>
  <r>
    <s v="Munger"/>
    <s v="10-16 Apr"/>
    <n v="1014"/>
    <s v="Dumraon"/>
    <x v="616"/>
    <s v="Gomukh Navdera Jaipraksh"/>
    <s v="vlc"/>
    <s v="Indirect"/>
    <n v="889.40000000000009"/>
    <n v="36067.279999999999"/>
    <n v="0"/>
    <n v="0"/>
    <n v="0"/>
    <n v="0"/>
    <n v="0"/>
    <n v="0"/>
    <n v="36067.279999999999"/>
    <n v="0"/>
    <n v="0"/>
    <n v="0"/>
    <n v="0"/>
    <n v="0"/>
    <n v="0"/>
    <n v="0"/>
    <n v="0"/>
    <n v="36067.279999999999"/>
    <n v="0"/>
    <n v="0"/>
    <n v="0"/>
    <n v="0"/>
    <n v="0"/>
    <n v="0"/>
    <m/>
    <s v="Dumraon"/>
    <m/>
    <n v="0"/>
  </r>
  <r>
    <s v="Munger"/>
    <s v="10-16 Apr"/>
    <n v="1014"/>
    <s v="Dumraon"/>
    <x v="617"/>
    <s v="Gomukh Ataon"/>
    <s v="MPG"/>
    <s v="Direct"/>
    <n v="757.59999999999991"/>
    <n v="31648.009999999995"/>
    <n v="858.90000000000009"/>
    <n v="35649.749938349181"/>
    <n v="0"/>
    <n v="0"/>
    <n v="858.90000000000009"/>
    <n v="35649.749938349181"/>
    <n v="31648.009999999995"/>
    <n v="0"/>
    <n v="0"/>
    <n v="4001.7399383491866"/>
    <n v="0"/>
    <n v="0"/>
    <n v="0"/>
    <n v="31648"/>
    <n v="0"/>
    <n v="0"/>
    <n v="0"/>
    <n v="0"/>
    <n v="0"/>
    <n v="0"/>
    <n v="-0.12644523110139269"/>
    <n v="2"/>
    <m/>
    <s v="Dumraon"/>
    <m/>
    <n v="0"/>
  </r>
  <r>
    <s v="Munger"/>
    <s v="10-16 Apr"/>
    <n v="1014"/>
    <s v="Dumraon"/>
    <x v="618"/>
    <s v="Gumukh Gayghat"/>
    <s v="MPG"/>
    <s v="Direct"/>
    <n v="658.7"/>
    <n v="25306.309999999998"/>
    <n v="500.74"/>
    <n v="21341.697927212401"/>
    <n v="176.44"/>
    <n v="7519.3192138680006"/>
    <n v="677.18000000000006"/>
    <n v="28861.017141080403"/>
    <n v="25306.309999999998"/>
    <n v="0"/>
    <n v="260.11486393200005"/>
    <n v="3554.7071410804056"/>
    <n v="0"/>
    <n v="0"/>
    <n v="0"/>
    <n v="17787"/>
    <n v="7259"/>
    <n v="0"/>
    <n v="0"/>
    <n v="0"/>
    <n v="31.733736238044582"/>
    <n v="94.100000000000009"/>
    <n v="-0.1404672250154371"/>
    <n v="5"/>
    <m/>
    <s v="Dumraon"/>
    <m/>
    <n v="0"/>
  </r>
  <r>
    <s v="Munger"/>
    <s v="10-16 Apr"/>
    <n v="1014"/>
    <s v="Dumraon"/>
    <x v="619"/>
    <s v="Gomukh Shivpur"/>
    <s v="MPG"/>
    <s v="Direct"/>
    <n v="145.40000000000003"/>
    <n v="5166.25"/>
    <n v="138"/>
    <n v="5100.625728"/>
    <n v="0"/>
    <n v="0"/>
    <n v="138"/>
    <n v="5100.625728"/>
    <n v="5100.625728"/>
    <n v="0"/>
    <n v="0"/>
    <n v="0"/>
    <n v="0"/>
    <n v="500"/>
    <n v="0"/>
    <n v="4601"/>
    <n v="0"/>
    <n v="0"/>
    <n v="65"/>
    <n v="0"/>
    <n v="394.11310178817047"/>
    <n v="20.771428571428576"/>
    <n v="1.2702496394870557E-2"/>
    <n v="1"/>
    <m/>
    <s v="Dumraon"/>
    <m/>
    <n v="500"/>
  </r>
  <r>
    <s v="Munger"/>
    <s v="10-16 Apr"/>
    <n v="1014"/>
    <s v="Dumraon"/>
    <x v="620"/>
    <s v="Gomukh Chakki Janardan Yadav"/>
    <s v="vlc"/>
    <s v="Indirect"/>
    <n v="225.60000000000002"/>
    <n v="8009.0299999999988"/>
    <n v="0"/>
    <n v="0"/>
    <n v="0"/>
    <n v="0"/>
    <n v="0"/>
    <n v="0"/>
    <n v="8009.0299999999988"/>
    <n v="0"/>
    <n v="0"/>
    <n v="0"/>
    <n v="0"/>
    <n v="0"/>
    <n v="0"/>
    <n v="0"/>
    <n v="0"/>
    <n v="8009.0299999999988"/>
    <n v="0"/>
    <n v="0"/>
    <n v="336.83367304964531"/>
    <n v="32.228571428571435"/>
    <n v="0"/>
    <n v="0"/>
    <m/>
    <s v="Dumraon"/>
    <m/>
    <n v="0"/>
  </r>
  <r>
    <s v="Munger"/>
    <s v="10-16 Apr"/>
    <n v="1060"/>
    <s v="Behiya BMC"/>
    <x v="621"/>
    <s v="Gomukh Rajpur"/>
    <s v="MPG"/>
    <s v="Direct"/>
    <n v="1100.7"/>
    <n v="43003.43"/>
    <n v="1092.0299999999997"/>
    <n v="41902.282003349654"/>
    <n v="14.500000000000002"/>
    <n v="573.89374152000005"/>
    <n v="1106.5299999999997"/>
    <n v="42476.175744869652"/>
    <n v="42476.175744869652"/>
    <n v="0"/>
    <n v="573.89374152000005"/>
    <n v="0"/>
    <n v="0"/>
    <n v="0"/>
    <n v="0"/>
    <n v="41902"/>
    <n v="0"/>
    <n v="0"/>
    <n v="528"/>
    <n v="0"/>
    <n v="0"/>
    <n v="0"/>
    <n v="1.2260748854925028E-2"/>
    <n v="37"/>
    <m/>
    <s v="Behiya BMC"/>
    <m/>
    <n v="0"/>
  </r>
  <r>
    <s v="Munger"/>
    <s v="10-16 Apr"/>
    <n v="1014"/>
    <s v="Dumraon"/>
    <x v="622"/>
    <s v="Gomukh Gangauli Dubha"/>
    <s v="MPG"/>
    <s v="Direct"/>
    <n v="200.60000000000002"/>
    <n v="7553.5500000000011"/>
    <n v="203.2"/>
    <n v="7504.3058428800032"/>
    <n v="2.8"/>
    <n v="103.68910332000003"/>
    <n v="206"/>
    <n v="7607.9949462000031"/>
    <n v="7553.5500000000011"/>
    <n v="0"/>
    <n v="103.68910332000003"/>
    <n v="54.44494620000205"/>
    <n v="0"/>
    <n v="0"/>
    <n v="0"/>
    <n v="7450"/>
    <n v="0"/>
    <n v="0"/>
    <n v="0"/>
    <n v="0"/>
    <n v="376.09599900299099"/>
    <n v="28.657142857142862"/>
    <n v="-7.2078620251407668E-3"/>
    <n v="5"/>
    <m/>
    <s v="Dumraon"/>
    <m/>
    <n v="0"/>
  </r>
  <r>
    <s v="Munger"/>
    <s v="10-16 Apr"/>
    <n v="1060"/>
    <s v="Behiya BMC"/>
    <x v="623"/>
    <s v="Tiyar A2 Milk Producer Company Limited"/>
    <s v="vlc"/>
    <s v="Indirect"/>
    <n v="1782.8999999999996"/>
    <n v="73383.94"/>
    <n v="0"/>
    <n v="0"/>
    <n v="0"/>
    <n v="0"/>
    <n v="0"/>
    <n v="0"/>
    <n v="73383.94"/>
    <n v="0"/>
    <n v="0"/>
    <n v="0"/>
    <n v="0"/>
    <n v="0"/>
    <n v="0"/>
    <n v="0"/>
    <n v="0"/>
    <n v="73383.94"/>
    <n v="0"/>
    <n v="0"/>
    <n v="0"/>
    <n v="0"/>
    <n v="0"/>
    <n v="0"/>
    <m/>
    <s v="Behiya BMC"/>
    <m/>
    <n v="0"/>
  </r>
  <r>
    <s v="Munger"/>
    <s v="10-16 Apr"/>
    <n v="1060"/>
    <s v="Behiya BMC"/>
    <x v="624"/>
    <s v="Gomukh Uttardahan"/>
    <s v="MPG"/>
    <s v="Direct"/>
    <n v="225.40000000000006"/>
    <n v="10168.540000000001"/>
    <n v="222.76"/>
    <n v="10594.935610686887"/>
    <n v="0"/>
    <n v="0"/>
    <n v="222.76"/>
    <n v="10594.935610686887"/>
    <n v="10168.540000000001"/>
    <n v="0"/>
    <n v="0"/>
    <n v="426.39561068688636"/>
    <n v="0"/>
    <n v="0"/>
    <n v="0"/>
    <n v="10169"/>
    <n v="0"/>
    <n v="0"/>
    <n v="0"/>
    <s v="Release1"/>
    <n v="428.21553540372656"/>
    <n v="32.20000000000001"/>
    <n v="-4.1932825232224719E-2"/>
    <n v="14"/>
    <m/>
    <s v="Behiya BMC"/>
    <m/>
    <n v="0"/>
  </r>
  <r>
    <s v="Munger"/>
    <s v="10-16 Apr"/>
    <n v="1014"/>
    <s v="Dumraon"/>
    <x v="625"/>
    <s v="Gomukh Jagdishpur"/>
    <s v="MPG"/>
    <s v="Direct"/>
    <n v="1639.1999999999998"/>
    <n v="55080.320000000007"/>
    <n v="1648"/>
    <n v="55038.348288000008"/>
    <n v="0"/>
    <n v="0"/>
    <n v="1648"/>
    <n v="55038.348288000008"/>
    <n v="55038.348288000008"/>
    <n v="0"/>
    <n v="0"/>
    <n v="0"/>
    <n v="0"/>
    <n v="0"/>
    <n v="0"/>
    <n v="55038"/>
    <n v="0"/>
    <n v="0"/>
    <n v="42"/>
    <n v="0"/>
    <n v="0"/>
    <n v="0"/>
    <n v="7.6200922579968051E-4"/>
    <n v="1"/>
    <m/>
    <s v="Dumraon"/>
    <m/>
    <n v="0"/>
  </r>
  <r>
    <s v="Munger"/>
    <s v="10-16 Apr"/>
    <n v="1014"/>
    <s v="Dumraon"/>
    <x v="626"/>
    <s v="Gaya Jee Pathak"/>
    <s v="vlc"/>
    <s v="Indirect"/>
    <n v="864.9"/>
    <n v="30192.309999999998"/>
    <n v="0"/>
    <n v="0"/>
    <n v="0"/>
    <n v="0"/>
    <n v="0"/>
    <n v="0"/>
    <n v="30192.309999999998"/>
    <n v="0"/>
    <n v="0"/>
    <n v="0"/>
    <n v="0"/>
    <n v="0"/>
    <n v="0"/>
    <n v="0"/>
    <n v="0"/>
    <n v="30192.309999999998"/>
    <n v="0"/>
    <n v="0"/>
    <n v="0"/>
    <n v="0"/>
    <n v="0"/>
    <n v="0"/>
    <m/>
    <s v="Dumraon"/>
    <m/>
    <n v="0"/>
  </r>
  <r>
    <s v="Munger"/>
    <s v="10-16 Apr"/>
    <n v="1014"/>
    <s v="Dumraon"/>
    <x v="627"/>
    <s v="Gumukh Orap Khurd"/>
    <s v="MPG"/>
    <s v="Direct"/>
    <n v="412.90000000000003"/>
    <n v="15298.429999999998"/>
    <n v="413"/>
    <n v="15264.916127999999"/>
    <n v="0"/>
    <n v="0"/>
    <n v="413"/>
    <n v="15264.916127999999"/>
    <n v="15264.916127999999"/>
    <n v="0"/>
    <n v="0"/>
    <n v="0"/>
    <n v="0"/>
    <n v="0"/>
    <n v="0"/>
    <n v="15265"/>
    <n v="0"/>
    <n v="0"/>
    <n v="33"/>
    <n v="0"/>
    <n v="212.74784465972382"/>
    <n v="58.985714285714288"/>
    <n v="2.1906739449734083E-3"/>
    <n v="1"/>
    <m/>
    <s v="Dumraon"/>
    <m/>
    <n v="0"/>
  </r>
  <r>
    <s v="Munger"/>
    <s v="10-16 Apr"/>
    <n v="1014"/>
    <s v="Dumraon"/>
    <x v="628"/>
    <s v="Gomukh Daunpura Manendra"/>
    <s v="vlc"/>
    <s v="Indirect"/>
    <n v="402.7"/>
    <n v="14381.67"/>
    <n v="0"/>
    <n v="0"/>
    <n v="0"/>
    <n v="0"/>
    <n v="0"/>
    <n v="0"/>
    <n v="14381.67"/>
    <n v="0"/>
    <n v="0"/>
    <n v="0"/>
    <n v="0"/>
    <n v="0"/>
    <n v="0"/>
    <n v="0"/>
    <n v="0"/>
    <n v="14381.67"/>
    <n v="0"/>
    <n v="0"/>
    <n v="212.35016096349642"/>
    <n v="57.528571428571425"/>
    <n v="0"/>
    <n v="0"/>
    <m/>
    <s v="Dumraon"/>
    <m/>
    <n v="0"/>
  </r>
  <r>
    <s v="Munger"/>
    <s v="10-16 Apr"/>
    <n v="1014"/>
    <s v="Dumraon"/>
    <x v="629"/>
    <s v="Gumukh Mathiyapur"/>
    <s v="MPG"/>
    <s v="Direct"/>
    <n v="333.8"/>
    <n v="13193.679999999998"/>
    <n v="330.37"/>
    <n v="13161.294642672003"/>
    <n v="0"/>
    <n v="0"/>
    <n v="330.37"/>
    <n v="13161.294642672003"/>
    <n v="13161.294642672003"/>
    <n v="0"/>
    <n v="0"/>
    <n v="0"/>
    <n v="0"/>
    <n v="0"/>
    <n v="0"/>
    <n v="13161"/>
    <n v="0"/>
    <n v="0"/>
    <n v="33"/>
    <n v="0"/>
    <n v="289.4862562013181"/>
    <n v="47.68571428571429"/>
    <n v="2.4546113993969641E-3"/>
    <n v="1"/>
    <m/>
    <s v="Dumraon"/>
    <m/>
    <n v="0"/>
  </r>
  <r>
    <s v="Munger"/>
    <s v="10-16 Apr"/>
    <n v="1014"/>
    <s v="Dumraon"/>
    <x v="630"/>
    <s v="Gomukh Raghunathpur Dasrath"/>
    <s v="vlc"/>
    <s v="Indirect"/>
    <n v="987.6"/>
    <n v="39472.680000000008"/>
    <n v="0"/>
    <n v="0"/>
    <n v="0"/>
    <n v="0"/>
    <n v="0"/>
    <n v="0"/>
    <n v="39472.680000000008"/>
    <n v="0"/>
    <n v="0"/>
    <n v="0"/>
    <n v="0"/>
    <n v="0"/>
    <n v="0"/>
    <n v="0"/>
    <n v="0"/>
    <n v="39472.680000000008"/>
    <n v="0"/>
    <n v="0"/>
    <n v="0"/>
    <n v="0"/>
    <n v="0"/>
    <n v="0"/>
    <m/>
    <s v="Dumraon"/>
    <m/>
    <n v="0"/>
  </r>
  <r>
    <s v="Munger"/>
    <s v="10-16 Apr"/>
    <n v="1014"/>
    <s v="Dumraon"/>
    <x v="631"/>
    <s v="Gomukh Lakshman Dera Raja"/>
    <s v="vlc"/>
    <s v="Indirect"/>
    <n v="535.40000000000009"/>
    <n v="18064.560000000001"/>
    <n v="0"/>
    <n v="0"/>
    <n v="0"/>
    <n v="0"/>
    <n v="0"/>
    <n v="0"/>
    <n v="18064.560000000001"/>
    <n v="0"/>
    <n v="0"/>
    <n v="0"/>
    <n v="0"/>
    <n v="0"/>
    <n v="0"/>
    <n v="0"/>
    <n v="0"/>
    <n v="18064.560000000001"/>
    <n v="0"/>
    <n v="0"/>
    <n v="111.07308838251771"/>
    <n v="76.485714285714295"/>
    <n v="0"/>
    <n v="0"/>
    <m/>
    <s v="Dumraon"/>
    <m/>
    <n v="0"/>
  </r>
  <r>
    <s v="Munger"/>
    <s v="10-16 Apr"/>
    <n v="1014"/>
    <s v="Dumraon"/>
    <x v="632"/>
    <s v="Sohan Narayan Farmer Dairy Producer Company Ltd"/>
    <s v="vlc"/>
    <s v="Indirect"/>
    <n v="4297"/>
    <n v="154158.14000000001"/>
    <n v="0"/>
    <n v="0"/>
    <n v="0"/>
    <n v="0"/>
    <n v="0"/>
    <n v="0"/>
    <n v="154158.14000000001"/>
    <n v="0"/>
    <n v="0"/>
    <n v="0"/>
    <n v="0"/>
    <n v="0"/>
    <n v="0"/>
    <n v="0"/>
    <n v="0"/>
    <n v="154158.14000000001"/>
    <n v="0"/>
    <n v="0"/>
    <n v="0"/>
    <n v="0"/>
    <n v="0"/>
    <n v="0"/>
    <m/>
    <s v="Dumraon"/>
    <m/>
    <n v="0"/>
  </r>
  <r>
    <s v="Munger"/>
    <s v="10-16 Apr"/>
    <n v="1014"/>
    <s v="Dumraon"/>
    <x v="1038"/>
    <s v="Gomukh Arion Govind "/>
    <s v="vlc"/>
    <s v="Indirect"/>
    <n v="111.7"/>
    <n v="4706.3300000000008"/>
    <n v="0"/>
    <n v="0"/>
    <n v="0"/>
    <n v="0"/>
    <n v="0"/>
    <n v="0"/>
    <n v="4706.3300000000008"/>
    <n v="0"/>
    <n v="0"/>
    <n v="0"/>
    <n v="0"/>
    <n v="0"/>
    <n v="0"/>
    <n v="0"/>
    <n v="0"/>
    <n v="4706.3300000000008"/>
    <n v="0"/>
    <n v="0"/>
    <n v="495.74466230975827"/>
    <n v="15.957142857142857"/>
    <n v="0"/>
    <n v="0"/>
    <m/>
    <s v="Dumraon"/>
    <m/>
    <n v="0"/>
  </r>
  <r>
    <s v="Munger"/>
    <s v="10-16 Apr"/>
    <n v="1014"/>
    <s v="Dumraon"/>
    <x v="633"/>
    <s v="Gumukh Niyajipur Nakchhedi Pathak Dera"/>
    <s v="MPG"/>
    <s v="Direct"/>
    <n v="284.5"/>
    <n v="13545.859999999999"/>
    <n v="270.39999999999998"/>
    <n v="13890.489193949301"/>
    <n v="0"/>
    <n v="0"/>
    <n v="270.39999999999998"/>
    <n v="13890.489193949301"/>
    <n v="13545.859999999999"/>
    <n v="0"/>
    <n v="0"/>
    <n v="344.62919394930213"/>
    <n v="0"/>
    <n v="0"/>
    <n v="0"/>
    <n v="13546"/>
    <n v="0"/>
    <n v="0"/>
    <n v="0"/>
    <n v="0"/>
    <n v="395.66290544815462"/>
    <n v="40.642857142857146"/>
    <n v="-2.5441662172006958E-2"/>
    <n v="1"/>
    <m/>
    <s v="Dumraon"/>
    <m/>
    <n v="0"/>
  </r>
  <r>
    <s v="Munger"/>
    <s v="10-16 Apr"/>
    <n v="1014"/>
    <s v="Dumraon"/>
    <x v="634"/>
    <s v="Gumukh Basawkala Dahpura Tola"/>
    <s v="MPG"/>
    <s v="Direct"/>
    <n v="515.20000000000005"/>
    <n v="24427.410000000003"/>
    <n v="530.56000000000006"/>
    <n v="24364.408739546954"/>
    <n v="0"/>
    <n v="0"/>
    <n v="530.56000000000006"/>
    <n v="24364.408739546954"/>
    <n v="24364.408739546954"/>
    <n v="0"/>
    <n v="0"/>
    <n v="0"/>
    <n v="0"/>
    <n v="0"/>
    <n v="0"/>
    <n v="24364"/>
    <n v="0"/>
    <n v="0"/>
    <n v="63"/>
    <n v="0"/>
    <n v="175.24011521739129"/>
    <n v="73.600000000000009"/>
    <n v="2.5791215873090644E-3"/>
    <n v="1"/>
    <m/>
    <s v="Dumraon"/>
    <m/>
    <n v="0"/>
  </r>
  <r>
    <s v="Munger"/>
    <s v="10-16 Apr"/>
    <n v="1002"/>
    <s v="Laldiyara"/>
    <x v="635"/>
    <s v="Gaachhi Tola"/>
    <s v="vlc"/>
    <s v="Indirect"/>
    <n v="910.3"/>
    <n v="37615.5"/>
    <n v="0"/>
    <n v="0"/>
    <n v="0"/>
    <n v="0"/>
    <n v="0"/>
    <n v="0"/>
    <n v="37615.5"/>
    <n v="0"/>
    <n v="0"/>
    <n v="0"/>
    <n v="0"/>
    <n v="0"/>
    <n v="0"/>
    <n v="0"/>
    <n v="0"/>
    <n v="37615.5"/>
    <n v="0"/>
    <n v="0"/>
    <n v="0"/>
    <n v="0"/>
    <n v="0"/>
    <n v="0"/>
    <m/>
    <s v="Laldiyara"/>
    <m/>
    <n v="0"/>
  </r>
  <r>
    <s v="Munger"/>
    <s v="10-16 Apr"/>
    <n v="1003"/>
    <s v="Asarganj"/>
    <x v="636"/>
    <s v="VISHWASHPUR"/>
    <s v="RMC"/>
    <s v="Direct"/>
    <n v="596"/>
    <n v="19668"/>
    <n v="589.6"/>
    <n v="20254.753261512004"/>
    <n v="6.2999999999999989"/>
    <n v="212.39448515999996"/>
    <n v="595.9"/>
    <n v="20467.147746672003"/>
    <n v="19668"/>
    <n v="0"/>
    <n v="212.39448515999996"/>
    <n v="799.14774667200254"/>
    <n v="0"/>
    <n v="0"/>
    <n v="0"/>
    <n v="19456"/>
    <n v="0"/>
    <n v="0"/>
    <n v="0"/>
    <n v="0"/>
    <n v="68.640000000000015"/>
    <n v="85.142857142857139"/>
    <n v="-4.0631876483221606E-2"/>
    <n v="14"/>
    <m/>
    <s v="Asarganj"/>
    <m/>
    <n v="0"/>
  </r>
  <r>
    <s v="Munger"/>
    <s v="10-16 Apr"/>
    <n v="1003"/>
    <s v="Asarganj"/>
    <x v="638"/>
    <s v="KUMARPUIR KATHARA"/>
    <s v="RMC"/>
    <s v="Direct"/>
    <n v="1465"/>
    <n v="54418.03"/>
    <n v="1504.3"/>
    <n v="52998.826210173"/>
    <n v="19.8"/>
    <n v="944.81129211390021"/>
    <n v="1524.1"/>
    <n v="53943.637502286903"/>
    <n v="53943.637502286903"/>
    <n v="0"/>
    <n v="944.81129211390021"/>
    <n v="0"/>
    <n v="0"/>
    <n v="0"/>
    <n v="0"/>
    <n v="53000"/>
    <n v="0"/>
    <n v="0"/>
    <n v="473"/>
    <n v="0"/>
    <n v="0"/>
    <n v="0"/>
    <n v="8.7175610310240102E-3"/>
    <n v="56"/>
    <m/>
    <s v="Asarganj"/>
    <m/>
    <n v="0"/>
  </r>
  <r>
    <s v="Munger"/>
    <s v="10-16 Apr"/>
    <n v="1003"/>
    <s v="Asarganj"/>
    <x v="639"/>
    <s v="KUDHIYA MPG"/>
    <s v="RMC"/>
    <s v="Direct"/>
    <n v="710"/>
    <n v="25025.9"/>
    <n v="645.79999999999995"/>
    <n v="25239.556743334488"/>
    <n v="4"/>
    <n v="136.75622400000003"/>
    <n v="649.79999999999995"/>
    <n v="25376.312967334488"/>
    <n v="25025.9"/>
    <n v="0"/>
    <n v="136.75622400000003"/>
    <n v="350.41296733448689"/>
    <n v="0"/>
    <n v="0"/>
    <n v="0"/>
    <n v="24889"/>
    <n v="0"/>
    <n v="0"/>
    <n v="0"/>
    <n v="0"/>
    <n v="0"/>
    <n v="0"/>
    <n v="-1.4002012608317259E-2"/>
    <n v="16"/>
    <m/>
    <s v="Asarganj"/>
    <m/>
    <n v="0"/>
  </r>
  <r>
    <s v="Munger"/>
    <s v="10-16 Apr"/>
    <n v="1003"/>
    <s v="Asarganj"/>
    <x v="640"/>
    <s v="SHAHJADPUR MPG"/>
    <s v="RMC"/>
    <s v="Direct"/>
    <n v="1146"/>
    <n v="38723.339999999997"/>
    <n v="1148.8999999999999"/>
    <n v="48885.136420464652"/>
    <n v="5.7"/>
    <n v="260.09529731760006"/>
    <n v="1154.5999999999999"/>
    <n v="49145.231717782255"/>
    <n v="38723.339999999997"/>
    <n v="0"/>
    <n v="260.09529731760006"/>
    <n v="10421.891717782259"/>
    <n v="0"/>
    <n v="0"/>
    <n v="0"/>
    <n v="38463"/>
    <n v="0"/>
    <n v="0"/>
    <n v="0"/>
    <s v="Release1"/>
    <n v="0"/>
    <n v="0"/>
    <n v="-0.26913721073084756"/>
    <n v="14"/>
    <m/>
    <s v="Asarganj"/>
    <m/>
    <n v="0"/>
  </r>
  <r>
    <s v="Munger"/>
    <s v="10-16 Apr"/>
    <n v="1006"/>
    <s v="Sonvarsha"/>
    <x v="641"/>
    <s v="FARDA - 3"/>
    <s v="RMC"/>
    <s v="Direct"/>
    <n v="1892.8999999999996"/>
    <n v="66188.049999999988"/>
    <n v="558.59999999999991"/>
    <n v="19497.75477408"/>
    <n v="1420.4"/>
    <n v="50592.420901439997"/>
    <n v="1979"/>
    <n v="70090.175675520004"/>
    <n v="66188.049999999988"/>
    <n v="0"/>
    <n v="418.49236836"/>
    <n v="3902.1256755200156"/>
    <n v="0"/>
    <n v="0"/>
    <n v="0"/>
    <n v="15598"/>
    <n v="50172"/>
    <n v="0"/>
    <n v="0"/>
    <n v="0"/>
    <n v="0"/>
    <n v="0"/>
    <n v="-5.8955138813124371E-2"/>
    <n v="14"/>
    <m/>
    <s v="Sonvarsha"/>
    <m/>
    <n v="0"/>
  </r>
  <r>
    <s v="Munger"/>
    <s v="10-16 Apr"/>
    <n v="1006"/>
    <s v="Sonvarsha"/>
    <x v="642"/>
    <s v="CHANDANPURA"/>
    <s v="vlc"/>
    <s v="Indirect"/>
    <n v="599.5"/>
    <n v="34407.519999999997"/>
    <n v="0"/>
    <n v="0"/>
    <n v="0"/>
    <n v="0"/>
    <n v="0"/>
    <n v="0"/>
    <n v="34407.519999999997"/>
    <n v="0"/>
    <n v="0"/>
    <n v="0"/>
    <n v="0"/>
    <n v="0"/>
    <n v="0"/>
    <n v="0"/>
    <n v="0"/>
    <n v="34407.519999999997"/>
    <n v="0"/>
    <n v="0"/>
    <n v="115.36132643869894"/>
    <n v="85.642857142857139"/>
    <n v="0"/>
    <n v="0"/>
    <m/>
    <s v="Sonvarsha"/>
    <m/>
    <n v="0"/>
  </r>
  <r>
    <s v="Munger"/>
    <s v="10-16 Apr"/>
    <n v="1006"/>
    <s v="Sonvarsha"/>
    <x v="643"/>
    <s v="MANIKPUR"/>
    <s v="RMC"/>
    <s v="Direct"/>
    <n v="884"/>
    <n v="36045.339999999997"/>
    <n v="0"/>
    <n v="0"/>
    <n v="907.6"/>
    <n v="36954.152175600007"/>
    <n v="907.6"/>
    <n v="36954.152175600007"/>
    <n v="36045.339999999997"/>
    <n v="0"/>
    <n v="227.97027000000003"/>
    <n v="908.81217560001096"/>
    <n v="0"/>
    <n v="0"/>
    <n v="0"/>
    <n v="0"/>
    <n v="35817"/>
    <n v="0"/>
    <n v="0"/>
    <s v="Release2"/>
    <n v="0"/>
    <n v="0"/>
    <n v="-2.5213028247202302E-2"/>
    <n v="14"/>
    <m/>
    <s v="Sonvarsha"/>
    <m/>
    <n v="0"/>
  </r>
  <r>
    <s v="Munger"/>
    <s v="10-16 Apr"/>
    <n v="1006"/>
    <s v="Sonvarsha"/>
    <x v="644"/>
    <s v="JAKARPURA"/>
    <s v="vlc"/>
    <s v="Indirect"/>
    <n v="2768.3"/>
    <n v="102167.62999999998"/>
    <n v="0"/>
    <n v="0"/>
    <n v="0"/>
    <n v="0"/>
    <n v="0"/>
    <n v="0"/>
    <n v="102167.62999999998"/>
    <n v="0"/>
    <n v="0"/>
    <n v="0"/>
    <n v="6500"/>
    <n v="0"/>
    <n v="0"/>
    <n v="0"/>
    <n v="0"/>
    <n v="95667.629999999976"/>
    <n v="0"/>
    <s v="Release1"/>
    <n v="0"/>
    <n v="0"/>
    <n v="0"/>
    <n v="0"/>
    <m/>
    <s v="Sonvarsha"/>
    <m/>
    <n v="0"/>
  </r>
  <r>
    <s v="Munger"/>
    <s v="10-16 Apr"/>
    <n v="1006"/>
    <s v="Sonvarsha"/>
    <x v="645"/>
    <s v="KISHANPUR"/>
    <s v="vlc"/>
    <s v="Indirect"/>
    <n v="2364.4"/>
    <n v="75603.41"/>
    <n v="0"/>
    <n v="0"/>
    <n v="0"/>
    <n v="0"/>
    <n v="0"/>
    <n v="0"/>
    <n v="75603.41"/>
    <n v="0"/>
    <n v="0"/>
    <n v="0"/>
    <n v="0"/>
    <n v="0"/>
    <n v="0"/>
    <n v="0"/>
    <n v="0"/>
    <n v="75603.41"/>
    <n v="0"/>
    <n v="0"/>
    <n v="0"/>
    <n v="0"/>
    <n v="0"/>
    <n v="0"/>
    <m/>
    <s v="Sonvarsha"/>
    <m/>
    <n v="0"/>
  </r>
  <r>
    <s v="Munger"/>
    <s v="10-16 Apr"/>
    <n v="1006"/>
    <s v="Sonvarsha"/>
    <x v="646"/>
    <s v="NANDPUR"/>
    <s v="vlc"/>
    <s v="Indirect"/>
    <n v="1664.3000000000002"/>
    <n v="63722.31"/>
    <n v="0"/>
    <n v="0"/>
    <n v="0"/>
    <n v="0"/>
    <n v="0"/>
    <n v="0"/>
    <n v="63722.31"/>
    <n v="0"/>
    <n v="0"/>
    <n v="0"/>
    <n v="0"/>
    <n v="0"/>
    <n v="0"/>
    <n v="0"/>
    <n v="0"/>
    <n v="63722.31"/>
    <n v="0"/>
    <n v="0"/>
    <n v="0"/>
    <n v="0"/>
    <n v="0"/>
    <n v="0"/>
    <m/>
    <s v="Sonvarsha"/>
    <m/>
    <n v="0"/>
  </r>
  <r>
    <s v="Munger"/>
    <s v="10-16 Apr"/>
    <n v="1006"/>
    <s v="Sonvarsha"/>
    <x v="647"/>
    <s v="NOWAGADHI"/>
    <s v="RMC"/>
    <s v="Direct"/>
    <n v="2170"/>
    <n v="81675.899999999994"/>
    <n v="2224.7999999999997"/>
    <n v="81797.661888235962"/>
    <n v="17.399999999999999"/>
    <n v="756.84170628000015"/>
    <n v="2242.1999999999998"/>
    <n v="82554.503594515962"/>
    <n v="81675.899999999994"/>
    <n v="0"/>
    <n v="756.84170628000015"/>
    <n v="878.60359451596742"/>
    <n v="0"/>
    <n v="0"/>
    <n v="0"/>
    <n v="80919"/>
    <n v="0"/>
    <n v="0"/>
    <n v="0"/>
    <n v="0"/>
    <n v="0"/>
    <n v="0"/>
    <n v="-1.0757195139765433E-2"/>
    <n v="19"/>
    <m/>
    <s v="Sonvarsha"/>
    <m/>
    <n v="0"/>
  </r>
  <r>
    <s v="Munger"/>
    <s v="10-16 Apr"/>
    <n v="1036"/>
    <s v="MAHADAT PUR 2"/>
    <x v="648"/>
    <s v="MAHADAT PUR 2"/>
    <s v="RMC"/>
    <s v="Direct"/>
    <n v="2331.6"/>
    <n v="89121.839999999982"/>
    <n v="2294.3999999999996"/>
    <n v="87723.187203986425"/>
    <n v="37.200000000000003"/>
    <n v="1396.6401081600002"/>
    <n v="2331.5999999999995"/>
    <n v="89119.82731214643"/>
    <n v="89119.82731214643"/>
    <n v="0"/>
    <n v="1396.6401081600002"/>
    <n v="0"/>
    <n v="0"/>
    <n v="0"/>
    <n v="0"/>
    <n v="87722"/>
    <n v="0"/>
    <n v="0"/>
    <n v="3"/>
    <n v="0"/>
    <n v="0"/>
    <n v="0"/>
    <n v="2.2583553633453396E-5"/>
    <n v="10"/>
    <m/>
    <s v="MAHADAT PUR 2"/>
    <m/>
    <n v="0"/>
  </r>
  <r>
    <s v="Munger"/>
    <s v="10-16 Apr"/>
    <n v="1007"/>
    <s v="Araria"/>
    <x v="993"/>
    <s v="KATHELA TOLA TELDHI"/>
    <s v="RMC"/>
    <s v="Direct"/>
    <n v="431"/>
    <n v="14404.02"/>
    <n v="431"/>
    <n v="14405.475969720001"/>
    <n v="0"/>
    <n v="0"/>
    <n v="431"/>
    <n v="14405.475969720001"/>
    <n v="14404.02"/>
    <n v="0"/>
    <n v="0"/>
    <n v="1.455969720000212"/>
    <n v="0"/>
    <n v="0"/>
    <n v="0"/>
    <n v="14404"/>
    <n v="0"/>
    <n v="0"/>
    <n v="0"/>
    <n v="0"/>
    <n v="179.7996"/>
    <n v="61.571428571428569"/>
    <n v="-1.0108078994615475E-4"/>
    <n v="3"/>
    <m/>
    <s v="Araria"/>
    <m/>
    <n v="0"/>
  </r>
  <r>
    <s v="Munger"/>
    <s v="10-16 Apr"/>
    <n v="1007"/>
    <s v="Araria"/>
    <x v="994"/>
    <s v="SONBARSHA 1"/>
    <s v="RMC"/>
    <s v="Direct"/>
    <n v="1309"/>
    <n v="45633.020000000004"/>
    <n v="1305"/>
    <n v="45645.130080000003"/>
    <n v="5"/>
    <n v="176.09327999999999"/>
    <n v="1310"/>
    <n v="45821.223360000004"/>
    <n v="45633.020000000004"/>
    <n v="0"/>
    <n v="176.09327999999999"/>
    <n v="188.20335999999952"/>
    <n v="0"/>
    <n v="0"/>
    <n v="0"/>
    <n v="45457"/>
    <n v="0"/>
    <n v="0"/>
    <n v="0"/>
    <n v="0"/>
    <n v="0"/>
    <n v="0"/>
    <n v="-4.1242801813248277E-3"/>
    <n v="8"/>
    <m/>
    <s v="Araria"/>
    <m/>
    <n v="0"/>
  </r>
  <r>
    <s v="Munger"/>
    <s v="10-16 Apr"/>
    <n v="1007"/>
    <s v="Araria"/>
    <x v="995"/>
    <s v="GANOUL"/>
    <s v="RMC"/>
    <s v="Indirect"/>
    <n v="804"/>
    <n v="27960.5"/>
    <n v="705"/>
    <n v="24519.745800000004"/>
    <n v="0"/>
    <n v="0"/>
    <n v="705"/>
    <n v="24519.745800000004"/>
    <n v="27960.5"/>
    <n v="0"/>
    <n v="55.600094880000007"/>
    <n v="0"/>
    <n v="0"/>
    <n v="0"/>
    <n v="0"/>
    <n v="0"/>
    <n v="0"/>
    <n v="27904.899905120001"/>
    <n v="0"/>
    <n v="0"/>
    <n v="0"/>
    <n v="0"/>
    <n v="0"/>
    <n v="5"/>
    <m/>
    <s v="Araria"/>
    <m/>
    <n v="0"/>
  </r>
  <r>
    <s v="Munger"/>
    <s v="10-16 Apr"/>
    <n v="1007"/>
    <s v="Araria"/>
    <x v="996"/>
    <s v="Gauripur"/>
    <s v="RMC"/>
    <s v="Direct"/>
    <n v="2821"/>
    <n v="98415.140000000014"/>
    <n v="2811"/>
    <n v="98062.468416000018"/>
    <n v="10"/>
    <n v="348.62256000000002"/>
    <n v="2821"/>
    <n v="98411.090976000021"/>
    <n v="98411.090976000021"/>
    <n v="0"/>
    <n v="348.62256000000002"/>
    <n v="0"/>
    <n v="0"/>
    <n v="0"/>
    <n v="0"/>
    <n v="98061"/>
    <n v="0"/>
    <n v="0"/>
    <n v="6"/>
    <n v="0"/>
    <n v="0"/>
    <n v="0"/>
    <n v="4.1142287660136854E-5"/>
    <n v="8"/>
    <m/>
    <s v="Araria"/>
    <m/>
    <n v="0"/>
  </r>
  <r>
    <s v="Munger"/>
    <s v="10-16 Apr"/>
    <n v="1007"/>
    <s v="Araria"/>
    <x v="997"/>
    <s v="Bhramarpur"/>
    <s v="RMC"/>
    <s v="Direct"/>
    <n v="3229"/>
    <n v="110570.52999999998"/>
    <n v="1400"/>
    <n v="47904.282360000012"/>
    <n v="1829"/>
    <n v="62666.429324400015"/>
    <n v="3229"/>
    <n v="110570.71168440003"/>
    <n v="110570.52999999998"/>
    <n v="0"/>
    <n v="274.04047440000005"/>
    <n v="0.18168440004228614"/>
    <n v="0"/>
    <n v="0"/>
    <n v="0"/>
    <n v="47903"/>
    <n v="62393"/>
    <n v="0"/>
    <n v="0"/>
    <n v="0"/>
    <n v="0"/>
    <n v="0"/>
    <n v="-1.643153922137175E-6"/>
    <n v="7"/>
    <m/>
    <s v="Araria"/>
    <m/>
    <n v="0"/>
  </r>
  <r>
    <s v="Munger"/>
    <s v="10-16 Apr"/>
    <n v="1011"/>
    <s v="Sahibpur Kamal"/>
    <x v="649"/>
    <s v="Gomukh Bariyarpur"/>
    <s v="RMC"/>
    <s v="Direct"/>
    <n v="628.6"/>
    <n v="21926.2"/>
    <n v="225"/>
    <n v="8019.2405700000008"/>
    <n v="0"/>
    <n v="0"/>
    <n v="225"/>
    <n v="8019.2405700000008"/>
    <n v="8019.2405700000008"/>
    <n v="0"/>
    <n v="0"/>
    <n v="0"/>
    <n v="0"/>
    <n v="0"/>
    <n v="0"/>
    <n v="8019"/>
    <n v="0"/>
    <n v="0"/>
    <n v="13907"/>
    <n v="0"/>
    <n v="49.810075723830749"/>
    <n v="89.8"/>
    <n v="0.63426218086125263"/>
    <n v="1"/>
    <m/>
    <s v="Sahibpur Kamal"/>
    <m/>
    <n v="0"/>
  </r>
  <r>
    <s v="Munger"/>
    <s v="10-16 Apr"/>
    <n v="1011"/>
    <s v="Sahibpur Kamal"/>
    <x v="650"/>
    <s v="Gomukh Sadananpur"/>
    <s v="MPG"/>
    <s v="Direct"/>
    <n v="101.3"/>
    <n v="3585.2400000000002"/>
    <n v="100.00000000000001"/>
    <n v="3648.88987056"/>
    <n v="0"/>
    <n v="0"/>
    <n v="100.00000000000001"/>
    <n v="3648.88987056"/>
    <n v="3585.2400000000002"/>
    <n v="0"/>
    <n v="0"/>
    <n v="63.649870559999727"/>
    <n v="0"/>
    <n v="0"/>
    <n v="0"/>
    <n v="3585"/>
    <n v="0"/>
    <n v="0"/>
    <n v="0"/>
    <s v="Release1"/>
    <n v="423.78740138203358"/>
    <n v="14.471428571428572"/>
    <n v="-1.775330816347015E-2"/>
    <n v="1"/>
    <m/>
    <s v="Sahibpur Kamal"/>
    <m/>
    <n v="0"/>
  </r>
  <r>
    <s v="Munger"/>
    <s v="10-16 Apr"/>
    <n v="1003"/>
    <s v="Asarganj"/>
    <x v="651"/>
    <s v="TILAKPUR  2"/>
    <s v="RMC"/>
    <s v="Direct"/>
    <n v="225.7"/>
    <n v="7666.83"/>
    <n v="228"/>
    <n v="8176.9993668000006"/>
    <n v="0.8"/>
    <n v="26.652896226000003"/>
    <n v="228.8"/>
    <n v="8203.6522630260006"/>
    <n v="7666.83"/>
    <n v="0"/>
    <n v="26.652896226000003"/>
    <n v="536.82226302600066"/>
    <n v="0"/>
    <n v="0"/>
    <n v="0"/>
    <n v="7640"/>
    <n v="0"/>
    <n v="0"/>
    <n v="0"/>
    <n v="0"/>
    <n v="322.23105618077102"/>
    <n v="32.24285714285714"/>
    <n v="-7.0018803472360891E-2"/>
    <n v="7"/>
    <m/>
    <s v="Asarganj"/>
    <m/>
    <n v="0"/>
  </r>
  <r>
    <s v="Munger"/>
    <s v="10-16 Apr"/>
    <n v="1003"/>
    <s v="Asarganj"/>
    <x v="652"/>
    <s v="TILAKPUR"/>
    <s v="MPG"/>
    <s v="Direct"/>
    <n v="717.05"/>
    <n v="22923.81"/>
    <n v="652.59999999999991"/>
    <n v="21291.566191434005"/>
    <n v="1.3"/>
    <n v="43.92302666400002"/>
    <n v="653.89999999999986"/>
    <n v="21335.489218098006"/>
    <n v="21335.489218098006"/>
    <n v="0"/>
    <n v="43.92302666400002"/>
    <n v="0"/>
    <n v="0"/>
    <n v="0"/>
    <n v="0"/>
    <n v="21291"/>
    <n v="0"/>
    <n v="0"/>
    <n v="1589"/>
    <n v="0"/>
    <n v="0"/>
    <n v="0"/>
    <n v="6.9286945839369424E-2"/>
    <n v="4"/>
    <m/>
    <s v="Asarganj"/>
    <m/>
    <n v="0"/>
  </r>
  <r>
    <s v="Munger"/>
    <s v="10-16 Apr"/>
    <n v="1036"/>
    <s v="MAHADAT PUR 2"/>
    <x v="653"/>
    <s v="Prasharpur Kadwa Gomukh"/>
    <s v="MPG"/>
    <s v="Direct"/>
    <n v="418.59999999999997"/>
    <n v="14818.73"/>
    <n v="644.70000000000005"/>
    <n v="22917.504751019998"/>
    <n v="3.8999999999999995"/>
    <n v="139.05947187000001"/>
    <n v="648.6"/>
    <n v="23056.56422289"/>
    <n v="14818.73"/>
    <n v="0"/>
    <n v="139.05947187000001"/>
    <n v="8237.8342228900001"/>
    <n v="0"/>
    <n v="0"/>
    <n v="0"/>
    <n v="14680"/>
    <n v="0"/>
    <n v="0"/>
    <n v="0"/>
    <s v="Release3"/>
    <n v="199.23509899665555"/>
    <n v="59.8"/>
    <n v="-0.55590689774967228"/>
    <n v="3"/>
    <m/>
    <s v="MAHADAT PUR 2"/>
    <m/>
    <n v="0"/>
  </r>
  <r>
    <s v="Munger"/>
    <s v="10-16 Apr"/>
    <n v="1036"/>
    <s v="MAHADAT PUR 2"/>
    <x v="654"/>
    <s v="Borwa Tola Gomukh"/>
    <s v="vlc"/>
    <s v="Indirect"/>
    <n v="300.2"/>
    <n v="10569.970000000001"/>
    <n v="300.20000000000005"/>
    <n v="10630.128254130002"/>
    <n v="0"/>
    <n v="0"/>
    <n v="300.20000000000005"/>
    <n v="10630.128254130002"/>
    <n v="10569.970000000001"/>
    <n v="0"/>
    <n v="0"/>
    <n v="60.158254130001296"/>
    <n v="0"/>
    <n v="0"/>
    <n v="0"/>
    <n v="0"/>
    <n v="0"/>
    <n v="10569.970000000001"/>
    <n v="0"/>
    <n v="0"/>
    <n v="281.5372422385077"/>
    <n v="42.885714285714286"/>
    <n v="0"/>
    <n v="1"/>
    <m/>
    <s v="MAHADAT PUR 2"/>
    <m/>
    <n v="0"/>
  </r>
  <r>
    <s v="Munger"/>
    <s v="10-16 Apr"/>
    <n v="1007"/>
    <s v="Araria"/>
    <x v="998"/>
    <s v="Sheela Devi"/>
    <s v="vlc"/>
    <s v="Indirect"/>
    <n v="982"/>
    <n v="30088.67"/>
    <n v="0"/>
    <n v="0"/>
    <n v="0"/>
    <n v="0"/>
    <n v="0"/>
    <n v="0"/>
    <n v="30088.67"/>
    <n v="0"/>
    <n v="0"/>
    <n v="0"/>
    <n v="0"/>
    <n v="0"/>
    <n v="0"/>
    <n v="0"/>
    <n v="0"/>
    <n v="30088.67"/>
    <n v="0"/>
    <n v="0"/>
    <n v="0"/>
    <n v="0"/>
    <n v="0"/>
    <n v="0"/>
    <m/>
    <s v="Araria"/>
    <m/>
    <n v="0"/>
  </r>
  <r>
    <s v="Munger"/>
    <s v="10-16 Apr"/>
    <n v="1036"/>
    <s v="MAHADAT PUR 2"/>
    <x v="655"/>
    <s v="Gomukh Vijay Lalganj"/>
    <s v="MPG"/>
    <s v="Direct"/>
    <n v="281.7"/>
    <n v="11012.6"/>
    <n v="272.75"/>
    <n v="10629.742155120004"/>
    <n v="1.4000000000000001"/>
    <n v="55.190729880000013"/>
    <n v="274.14999999999998"/>
    <n v="10684.932885000004"/>
    <n v="10684.932885000004"/>
    <n v="0"/>
    <n v="55.190729880000013"/>
    <n v="0"/>
    <n v="0"/>
    <n v="216"/>
    <n v="0"/>
    <n v="10413"/>
    <n v="0"/>
    <n v="0"/>
    <n v="328"/>
    <n v="0"/>
    <n v="327.05506425275115"/>
    <n v="40.24285714285714"/>
    <n v="2.9753837876613745E-2"/>
    <n v="5"/>
    <m/>
    <s v="MAHADAT PUR 2"/>
    <m/>
    <n v="216"/>
  </r>
  <r>
    <s v="Munger"/>
    <s v="10-16 Apr"/>
    <n v="1036"/>
    <s v="MAHADAT PUR 2"/>
    <x v="656"/>
    <s v="Gomukh Sarswati Nagar Nakdahri"/>
    <s v="MPG"/>
    <s v="Direct"/>
    <n v="567.29999999999995"/>
    <n v="21622.370000000003"/>
    <n v="347.65000000000003"/>
    <n v="13594.447287800283"/>
    <n v="234.79"/>
    <n v="9111.4524923400004"/>
    <n v="582.44000000000005"/>
    <n v="22705.899780140284"/>
    <n v="21622.370000000003"/>
    <n v="0"/>
    <n v="160.40828073600002"/>
    <n v="1083.5297801402812"/>
    <n v="0"/>
    <n v="0"/>
    <n v="0"/>
    <n v="12511"/>
    <n v="8951"/>
    <n v="0"/>
    <n v="0"/>
    <n v="0"/>
    <n v="101.15594919795532"/>
    <n v="81.04285714285713"/>
    <n v="-5.0111517846576532E-2"/>
    <n v="9"/>
    <m/>
    <s v="MAHADAT PUR 2"/>
    <m/>
    <n v="0"/>
  </r>
  <r>
    <s v="Munger"/>
    <s v="10-16 Apr"/>
    <n v="1036"/>
    <s v="MAHADAT PUR 2"/>
    <x v="657"/>
    <s v="Gomukh Krishna Dairy Tulsipur"/>
    <s v="MPG"/>
    <s v="Direct"/>
    <n v="331.10000000000008"/>
    <n v="12203.38"/>
    <n v="338.42999999999995"/>
    <n v="13883.692452658783"/>
    <n v="0"/>
    <n v="0"/>
    <n v="338.42999999999995"/>
    <n v="13883.692452658783"/>
    <n v="12203.38"/>
    <n v="0"/>
    <n v="0"/>
    <n v="1680.3124526587835"/>
    <n v="0"/>
    <n v="0"/>
    <n v="0"/>
    <n v="12203"/>
    <n v="0"/>
    <n v="0"/>
    <n v="0"/>
    <n v="0"/>
    <n v="271.93155433403791"/>
    <n v="47.300000000000011"/>
    <n v="-0.13769238134506864"/>
    <n v="10"/>
    <m/>
    <s v="MAHADAT PUR 2"/>
    <m/>
    <n v="0"/>
  </r>
  <r>
    <s v="Munger"/>
    <s v="10-16 Apr"/>
    <n v="1036"/>
    <s v="MAHADAT PUR 2"/>
    <x v="658"/>
    <s v="Gomukh Lauwalagam"/>
    <s v="MPG"/>
    <s v="Direct"/>
    <n v="62"/>
    <n v="2047.96"/>
    <n v="62"/>
    <n v="2048.1095849940002"/>
    <n v="0"/>
    <n v="0"/>
    <n v="62"/>
    <n v="2048.1095849940002"/>
    <n v="2047.96"/>
    <n v="0"/>
    <n v="0"/>
    <n v="0.14958499400017899"/>
    <n v="0"/>
    <n v="500"/>
    <n v="0"/>
    <n v="1548"/>
    <n v="0"/>
    <n v="0"/>
    <n v="0"/>
    <n v="0"/>
    <n v="421.48338064516133"/>
    <n v="8.8571428571428577"/>
    <n v="-7.30409744331818E-5"/>
    <n v="1"/>
    <m/>
    <s v="MAHADAT PUR 2"/>
    <m/>
    <n v="500"/>
  </r>
  <r>
    <s v="Munger"/>
    <s v="10-16 Apr"/>
    <n v="1036"/>
    <s v="MAHADAT PUR 2"/>
    <x v="659"/>
    <s v="Dhobina Basa"/>
    <s v="MPG"/>
    <s v="Direct"/>
    <n v="333.09999999999997"/>
    <n v="12180.189999999999"/>
    <n v="263.39999999999998"/>
    <n v="10768.089166560003"/>
    <n v="263.33999999999997"/>
    <n v="10771.503371640001"/>
    <n v="526.74"/>
    <n v="21539.592538200006"/>
    <n v="12180.189999999999"/>
    <n v="0"/>
    <n v="54.979554960000002"/>
    <n v="9359.4025382000073"/>
    <n v="0"/>
    <n v="500"/>
    <n v="0"/>
    <n v="908"/>
    <n v="10717"/>
    <n v="0"/>
    <n v="0"/>
    <n v="0"/>
    <n v="268.32252842990096"/>
    <n v="47.585714285714282"/>
    <n v="-0.76841186699058128"/>
    <n v="3"/>
    <m/>
    <s v="MAHADAT PUR 2"/>
    <m/>
    <n v="500"/>
  </r>
  <r>
    <s v="Munger"/>
    <s v="10-16 Apr"/>
    <n v="1036"/>
    <s v="MAHADAT PUR 2"/>
    <x v="660"/>
    <s v="Gomukh Shreepur Madhay"/>
    <s v="MPG"/>
    <s v="Direct"/>
    <n v="1226.6999999999998"/>
    <n v="46798.539999999994"/>
    <n v="1118"/>
    <n v="43171.244633880007"/>
    <n v="42.699999999999996"/>
    <n v="1660.6531046160001"/>
    <n v="1160.7"/>
    <n v="44831.897738496009"/>
    <n v="44831.897738496009"/>
    <n v="0"/>
    <n v="1660.6531046160001"/>
    <n v="0"/>
    <n v="0"/>
    <n v="0"/>
    <n v="0"/>
    <n v="43172"/>
    <n v="0"/>
    <n v="0"/>
    <n v="1966"/>
    <n v="0"/>
    <n v="0"/>
    <n v="0"/>
    <n v="4.2023581537030535E-2"/>
    <n v="5"/>
    <m/>
    <s v="MAHADAT PUR 2"/>
    <m/>
    <n v="0"/>
  </r>
  <r>
    <s v="Munger"/>
    <s v="10-16 Apr"/>
    <n v="1036"/>
    <s v="MAHADAT PUR 2"/>
    <x v="661"/>
    <s v="Gomukh Dhoriya Dadpur -VLC"/>
    <s v="vlc"/>
    <s v="Indirect"/>
    <n v="265.10000000000002"/>
    <n v="9464.76"/>
    <n v="0"/>
    <n v="0"/>
    <n v="0"/>
    <n v="0"/>
    <n v="0"/>
    <n v="0"/>
    <n v="9464.76"/>
    <n v="0"/>
    <n v="0"/>
    <n v="0"/>
    <n v="0"/>
    <n v="0"/>
    <n v="0"/>
    <n v="0"/>
    <n v="0"/>
    <n v="9464.76"/>
    <n v="0"/>
    <n v="0"/>
    <n v="310.54123907959263"/>
    <n v="37.871428571428574"/>
    <n v="0"/>
    <n v="0"/>
    <m/>
    <s v="MAHADAT PUR 2"/>
    <m/>
    <n v="0"/>
  </r>
  <r>
    <s v="Munger"/>
    <s v="10-16 Apr"/>
    <n v="1036"/>
    <s v="MAHADAT PUR 2"/>
    <x v="662"/>
    <s v="Gomukh Mohanpur  VLC"/>
    <s v="vlc"/>
    <s v="Indirect"/>
    <n v="385.1"/>
    <n v="13766.130000000001"/>
    <n v="0"/>
    <n v="0"/>
    <n v="0"/>
    <n v="0"/>
    <n v="0"/>
    <n v="0"/>
    <n v="13766.130000000001"/>
    <n v="0"/>
    <n v="0"/>
    <n v="0"/>
    <n v="0"/>
    <n v="0"/>
    <n v="0"/>
    <n v="0"/>
    <n v="0"/>
    <n v="13766.130000000001"/>
    <n v="0"/>
    <n v="0"/>
    <n v="225.13395673850948"/>
    <n v="55.01428571428572"/>
    <n v="0"/>
    <n v="0"/>
    <m/>
    <s v="MAHADAT PUR 2"/>
    <m/>
    <n v="0"/>
  </r>
  <r>
    <s v="Munger"/>
    <s v="10-16 Apr"/>
    <n v="1036"/>
    <s v="MAHADAT PUR 2"/>
    <x v="663"/>
    <s v="Gomukh Abhirampur VLC"/>
    <s v="vlc"/>
    <s v="Indirect"/>
    <n v="156.10000000000002"/>
    <n v="6065.88"/>
    <n v="0"/>
    <n v="0"/>
    <n v="0"/>
    <n v="0"/>
    <n v="0"/>
    <n v="0"/>
    <n v="6065.88"/>
    <n v="0"/>
    <n v="0"/>
    <n v="0"/>
    <n v="0"/>
    <n v="0"/>
    <n v="0"/>
    <n v="0"/>
    <n v="0"/>
    <n v="6065.88"/>
    <n v="0"/>
    <n v="0"/>
    <n v="422.70751210762319"/>
    <n v="22.300000000000004"/>
    <n v="0"/>
    <n v="0"/>
    <m/>
    <s v="MAHADAT PUR 2"/>
    <m/>
    <n v="0"/>
  </r>
  <r>
    <s v="Munger"/>
    <s v="10-16 Apr"/>
    <n v="1036"/>
    <s v="MAHADAT PUR 2"/>
    <x v="664"/>
    <s v="Gomukh Pachgachhia Vlc"/>
    <s v="vlc"/>
    <s v="Indirect"/>
    <n v="220.20000000000005"/>
    <n v="7887.09"/>
    <n v="0"/>
    <n v="0"/>
    <n v="0"/>
    <n v="0"/>
    <n v="0"/>
    <n v="0"/>
    <n v="7887.09"/>
    <n v="0"/>
    <n v="0"/>
    <n v="0"/>
    <n v="0"/>
    <n v="0"/>
    <n v="0"/>
    <n v="0"/>
    <n v="0"/>
    <n v="7887.09"/>
    <n v="0"/>
    <n v="0"/>
    <n v="343.70806376021795"/>
    <n v="31.457142857142863"/>
    <n v="0"/>
    <n v="0"/>
    <m/>
    <s v="MAHADAT PUR 2"/>
    <m/>
    <n v="0"/>
  </r>
  <r>
    <s v="Munger"/>
    <s v="10-16 Apr"/>
    <n v="1003"/>
    <s v="Asarganj"/>
    <x v="665"/>
    <s v="KUNTHA M"/>
    <s v="RMC"/>
    <s v="Direct"/>
    <n v="880"/>
    <n v="29735.200000000001"/>
    <n v="874.70000000000016"/>
    <n v="31912.1372988"/>
    <n v="8"/>
    <n v="326.9724480000001"/>
    <n v="882.70000000000016"/>
    <n v="32239.109746800001"/>
    <n v="29735.200000000001"/>
    <n v="0"/>
    <n v="326.9724480000001"/>
    <n v="2503.9097468"/>
    <n v="0"/>
    <n v="0"/>
    <n v="0"/>
    <n v="29408"/>
    <n v="0"/>
    <n v="0"/>
    <n v="0"/>
    <s v="Release1"/>
    <n v="0"/>
    <n v="0"/>
    <n v="-8.420692468185853E-2"/>
    <n v="11"/>
    <m/>
    <s v="Asarganj"/>
    <m/>
    <n v="0"/>
  </r>
  <r>
    <s v="Munger"/>
    <s v="10-16 Apr"/>
    <n v="1014"/>
    <s v="Dumraon"/>
    <x v="666"/>
    <s v="ARAK"/>
    <s v="MPG"/>
    <s v="Direct"/>
    <n v="1987.0999999999997"/>
    <n v="73647.209999999992"/>
    <n v="1974.0999999999997"/>
    <n v="74273.284419633856"/>
    <n v="12.9"/>
    <n v="637.0291391192801"/>
    <n v="1986.9999999999998"/>
    <n v="74910.313558753129"/>
    <n v="73647.209999999992"/>
    <n v="0"/>
    <n v="637.0291391192801"/>
    <n v="1263.1035587531369"/>
    <n v="0"/>
    <n v="0"/>
    <n v="0"/>
    <n v="73010"/>
    <n v="0"/>
    <n v="0"/>
    <n v="0"/>
    <n v="0"/>
    <n v="0"/>
    <n v="0"/>
    <n v="-1.7150731965992153E-2"/>
    <n v="42"/>
    <m/>
    <s v="Dumraon"/>
    <m/>
    <n v="0"/>
  </r>
  <r>
    <s v="Munger"/>
    <s v="10-16 Apr"/>
    <n v="1014"/>
    <s v="Dumraon"/>
    <x v="667"/>
    <s v="Diyaman"/>
    <s v="MPG"/>
    <s v="Direct"/>
    <n v="1658.2"/>
    <n v="65903.78"/>
    <n v="1639.8500000000001"/>
    <n v="65780.26983450992"/>
    <n v="6.0400000000000009"/>
    <n v="249.49333411200001"/>
    <n v="1645.89"/>
    <n v="66029.763168621925"/>
    <n v="65903.78"/>
    <n v="0"/>
    <n v="249.49333411200001"/>
    <n v="125.98316862192587"/>
    <n v="0"/>
    <n v="0"/>
    <n v="0"/>
    <n v="65654"/>
    <n v="0"/>
    <n v="0"/>
    <n v="0"/>
    <n v="0"/>
    <n v="0"/>
    <n v="0"/>
    <n v="-1.9116228025452542E-3"/>
    <n v="10"/>
    <m/>
    <s v="Dumraon"/>
    <m/>
    <n v="0"/>
  </r>
  <r>
    <s v="Munger"/>
    <s v="10-16 Apr"/>
    <n v="1014"/>
    <s v="Dumraon"/>
    <x v="668"/>
    <s v="HENHA"/>
    <s v="MPG"/>
    <s v="Direct"/>
    <n v="2263.4000000000005"/>
    <n v="83601.440000000002"/>
    <n v="2410.1999999999998"/>
    <n v="100339.40736424003"/>
    <n v="26.8"/>
    <n v="1526.3026618454003"/>
    <n v="2437"/>
    <n v="101865.71002608543"/>
    <n v="83601.440000000002"/>
    <n v="0"/>
    <n v="1526.3026618454003"/>
    <n v="18264.270026085433"/>
    <n v="0"/>
    <n v="0"/>
    <n v="0"/>
    <n v="82075"/>
    <n v="0"/>
    <n v="0"/>
    <n v="0"/>
    <n v="0"/>
    <n v="0"/>
    <n v="0"/>
    <n v="-0.21846836640715078"/>
    <n v="7"/>
    <m/>
    <s v="Dumraon"/>
    <m/>
    <n v="0"/>
  </r>
  <r>
    <s v="Munger"/>
    <s v="10-16 Apr"/>
    <n v="1012"/>
    <s v="DalsinghSarai"/>
    <x v="669"/>
    <s v="Suddh Dairy"/>
    <s v="vlc"/>
    <s v="Indirect"/>
    <n v="22654"/>
    <n v="827402.48"/>
    <n v="0"/>
    <n v="0"/>
    <n v="0"/>
    <n v="0"/>
    <n v="0"/>
    <n v="0"/>
    <n v="827402.48"/>
    <n v="0"/>
    <n v="0"/>
    <n v="0"/>
    <n v="0"/>
    <n v="0"/>
    <n v="0"/>
    <n v="0"/>
    <n v="0"/>
    <n v="827402.48"/>
    <n v="0"/>
    <n v="0"/>
    <n v="0"/>
    <n v="0"/>
    <n v="0"/>
    <n v="0"/>
    <m/>
    <s v="DalsinghSarai"/>
    <m/>
    <n v="0"/>
  </r>
  <r>
    <s v="Munger"/>
    <s v="10-16 Apr"/>
    <n v="1053"/>
    <s v="Kalyanpur"/>
    <x v="999"/>
    <s v="Anik Kumar"/>
    <s v="vlc"/>
    <s v="Indirect"/>
    <n v="5668"/>
    <n v="229928.28000000003"/>
    <n v="0"/>
    <n v="0"/>
    <n v="0"/>
    <n v="0"/>
    <n v="0"/>
    <n v="0"/>
    <n v="229928.28000000003"/>
    <n v="0"/>
    <n v="0"/>
    <n v="0"/>
    <n v="0"/>
    <n v="0"/>
    <n v="0"/>
    <n v="0"/>
    <n v="0"/>
    <n v="229928.28000000003"/>
    <n v="0"/>
    <n v="0"/>
    <n v="0"/>
    <n v="0"/>
    <n v="0"/>
    <n v="0"/>
    <m/>
    <s v="Kalyanpur"/>
    <m/>
    <n v="0"/>
  </r>
  <r>
    <s v="Munger"/>
    <s v="10-16 Apr"/>
    <n v="1010"/>
    <s v="Parbatta"/>
    <x v="1039"/>
    <s v="Nand Kishor Kumar"/>
    <s v="vlc"/>
    <s v="Indirect"/>
    <n v="8404"/>
    <n v="278903.92000000004"/>
    <n v="0"/>
    <n v="0"/>
    <n v="0"/>
    <n v="0"/>
    <n v="0"/>
    <n v="0"/>
    <n v="278903.92000000004"/>
    <n v="0"/>
    <n v="0"/>
    <n v="0"/>
    <n v="0"/>
    <n v="0"/>
    <n v="0"/>
    <n v="0"/>
    <n v="0"/>
    <n v="278903.92000000004"/>
    <n v="0"/>
    <n v="0"/>
    <n v="0"/>
    <n v="0"/>
    <n v="0"/>
    <n v="0"/>
    <m/>
    <s v="Parbatta"/>
    <m/>
    <n v="0"/>
  </r>
  <r>
    <s v="Munger"/>
    <s v="10-16 Apr"/>
    <n v="1053"/>
    <s v="Kalyanpur"/>
    <x v="670"/>
    <s v="Gomukh CHANDAULI"/>
    <s v="MPG"/>
    <s v="Direct"/>
    <n v="1383.95"/>
    <n v="56348.340000000004"/>
    <n v="1373.72"/>
    <n v="56981.302134470519"/>
    <n v="12.950000000000001"/>
    <n v="536.76579805200004"/>
    <n v="1386.67"/>
    <n v="57518.067932522521"/>
    <n v="56348.340000000004"/>
    <n v="4347.5"/>
    <n v="536.76579805200004"/>
    <n v="1169.7279325225172"/>
    <n v="3738"/>
    <n v="0"/>
    <n v="0"/>
    <n v="47726"/>
    <n v="0"/>
    <n v="0"/>
    <n v="0"/>
    <n v="0"/>
    <n v="0"/>
    <n v="0"/>
    <n v="-2.075887120228417E-2"/>
    <n v="27"/>
    <m/>
    <s v="Kalyanpur"/>
    <m/>
    <n v="0"/>
  </r>
  <r>
    <s v="Munger"/>
    <s v="10-16 Apr"/>
    <n v="1053"/>
    <s v="Kalyanpur"/>
    <x v="671"/>
    <s v="GOMUKH HATHA"/>
    <s v="MPG"/>
    <s v="Direct"/>
    <n v="1176.5999999999999"/>
    <n v="49931.41"/>
    <n v="1165.6999999999998"/>
    <n v="49583.41959592943"/>
    <n v="17.919999999999998"/>
    <n v="771.22093910400008"/>
    <n v="1183.6199999999999"/>
    <n v="50354.640535033432"/>
    <n v="49931.41"/>
    <n v="0"/>
    <n v="771.22093910400008"/>
    <n v="423.23053503342817"/>
    <n v="8642"/>
    <n v="0"/>
    <n v="0"/>
    <n v="40518"/>
    <n v="0"/>
    <n v="0"/>
    <n v="0"/>
    <n v="0"/>
    <n v="0"/>
    <n v="0"/>
    <n v="-8.4762384045118724E-3"/>
    <n v="33"/>
    <m/>
    <s v="Kalyanpur"/>
    <m/>
    <n v="0"/>
  </r>
  <r>
    <s v="Munger"/>
    <s v="10-16 Apr"/>
    <n v="1053"/>
    <s v="Kalyanpur"/>
    <x v="672"/>
    <s v="GOMUKH VADEYA"/>
    <s v="MPG"/>
    <s v="Direct"/>
    <n v="650.50000000000011"/>
    <n v="28953.040000000001"/>
    <n v="639.19999999999993"/>
    <n v="28298.009617628966"/>
    <n v="13.000000000000002"/>
    <n v="648.88211169040005"/>
    <n v="652.19999999999993"/>
    <n v="28946.891729319366"/>
    <n v="28946.891729319366"/>
    <n v="1175"/>
    <n v="648.88211169040005"/>
    <n v="0"/>
    <n v="0"/>
    <n v="0"/>
    <n v="0"/>
    <n v="27125"/>
    <n v="0"/>
    <n v="0"/>
    <n v="4"/>
    <n v="0"/>
    <n v="44.063811837048313"/>
    <n v="92.928571428571445"/>
    <n v="2.12353199547771E-4"/>
    <n v="26"/>
    <m/>
    <s v="Kalyanpur"/>
    <m/>
    <n v="0"/>
  </r>
  <r>
    <s v="Munger"/>
    <s v="10-16 Apr"/>
    <n v="1053"/>
    <s v="Kalyanpur"/>
    <x v="673"/>
    <s v="GOMUKH CHANDPURA"/>
    <s v="MPG"/>
    <s v="Direct"/>
    <n v="479.3"/>
    <n v="21295.97"/>
    <n v="462.79000000000008"/>
    <n v="20929.017990745753"/>
    <n v="10.000000000000002"/>
    <n v="426.06292583717999"/>
    <n v="472.79000000000008"/>
    <n v="21355.080916582934"/>
    <n v="21295.97"/>
    <n v="0"/>
    <n v="426.06292583717999"/>
    <n v="59.110916582932987"/>
    <n v="2143"/>
    <n v="0"/>
    <n v="0"/>
    <n v="18727"/>
    <n v="0"/>
    <n v="0"/>
    <n v="0"/>
    <n v="0"/>
    <n v="196.12019941581471"/>
    <n v="68.471428571428575"/>
    <n v="-2.7756855678765973E-3"/>
    <n v="21"/>
    <m/>
    <s v="Kalyanpur"/>
    <m/>
    <n v="0"/>
  </r>
  <r>
    <s v="Munger"/>
    <s v="10-16 Apr"/>
    <n v="1053"/>
    <s v="Kalyanpur"/>
    <x v="674"/>
    <s v="GOMUKH BARGAMA"/>
    <s v="MPG"/>
    <s v="Direct"/>
    <n v="857.2"/>
    <n v="34149.199999999997"/>
    <n v="847.58999999999992"/>
    <n v="33395.368525818987"/>
    <n v="19.349999999999998"/>
    <n v="780.52340365329007"/>
    <n v="866.93999999999994"/>
    <n v="34175.89192947228"/>
    <n v="34149.199999999997"/>
    <n v="0"/>
    <n v="780.52340365329007"/>
    <n v="26.691929472282936"/>
    <n v="2935"/>
    <n v="0"/>
    <n v="0"/>
    <n v="30434"/>
    <n v="0"/>
    <n v="0"/>
    <n v="0"/>
    <n v="0"/>
    <n v="0"/>
    <n v="0"/>
    <n v="-7.816267869315515E-4"/>
    <n v="56"/>
    <m/>
    <s v="Kalyanpur"/>
    <m/>
    <n v="0"/>
  </r>
  <r>
    <s v="Munger"/>
    <s v="10-16 Apr"/>
    <n v="1053"/>
    <s v="Kalyanpur"/>
    <x v="675"/>
    <s v="Gomukh Gograha Tola"/>
    <s v="MPG"/>
    <s v="Direct"/>
    <n v="478.74999999999989"/>
    <n v="21135.68"/>
    <n v="485.52"/>
    <n v="21576.436272352326"/>
    <n v="3.29"/>
    <n v="136.63551686400001"/>
    <n v="488.81"/>
    <n v="21713.071789216327"/>
    <n v="21135.68"/>
    <n v="0"/>
    <n v="136.63551686400001"/>
    <n v="577.39178921632629"/>
    <n v="5351"/>
    <n v="0"/>
    <n v="0"/>
    <n v="15648"/>
    <n v="0"/>
    <n v="0"/>
    <n v="0"/>
    <n v="0"/>
    <n v="195.35328250652753"/>
    <n v="68.392857142857125"/>
    <n v="-2.7318344582068155E-2"/>
    <n v="16"/>
    <m/>
    <s v="Kalyanpur"/>
    <m/>
    <n v="0"/>
  </r>
  <r>
    <s v="Munger"/>
    <s v="10-16 Apr"/>
    <n v="1053"/>
    <s v="Kalyanpur"/>
    <x v="676"/>
    <s v="Gomukh Patsara"/>
    <s v="MPG"/>
    <s v="Direct"/>
    <n v="362.80000000000013"/>
    <n v="16784.939999999995"/>
    <n v="361.82"/>
    <n v="16623.216301179931"/>
    <n v="3.62"/>
    <n v="149.46601471581499"/>
    <n v="365.44"/>
    <n v="16772.682315895745"/>
    <n v="16772.682315895745"/>
    <n v="0"/>
    <n v="149.46601471581499"/>
    <n v="0"/>
    <n v="2700"/>
    <n v="0"/>
    <n v="0"/>
    <n v="13922"/>
    <n v="0"/>
    <n v="0"/>
    <n v="13"/>
    <n v="0"/>
    <n v="312.01112282249142"/>
    <n v="51.828571428571443"/>
    <n v="7.3027869651306934E-4"/>
    <n v="8"/>
    <m/>
    <s v="Kalyanpur"/>
    <m/>
    <n v="0"/>
  </r>
  <r>
    <s v="Munger"/>
    <s v="10-16 Apr"/>
    <n v="1053"/>
    <s v="Kalyanpur"/>
    <x v="677"/>
    <s v="Gomukh Singhiya"/>
    <s v="vlc"/>
    <s v="Indirect"/>
    <n v="5357"/>
    <n v="209745.56"/>
    <n v="0"/>
    <n v="0"/>
    <n v="0"/>
    <n v="0"/>
    <n v="0"/>
    <n v="0"/>
    <n v="209745.56"/>
    <n v="0"/>
    <n v="0"/>
    <n v="0"/>
    <n v="0"/>
    <n v="0"/>
    <n v="0"/>
    <n v="0"/>
    <n v="0"/>
    <n v="209745.56"/>
    <n v="0"/>
    <n v="0"/>
    <n v="0"/>
    <n v="0"/>
    <n v="0"/>
    <n v="0"/>
    <m/>
    <s v="Kalyanpur"/>
    <m/>
    <n v="0"/>
  </r>
  <r>
    <s v="Munger"/>
    <s v="10-16 Apr"/>
    <n v="1053"/>
    <s v="Kalyanpur"/>
    <x v="678"/>
    <s v="Gomukh BALHA "/>
    <s v="vlc"/>
    <s v="Indirect"/>
    <n v="2478.2999999999993"/>
    <n v="99369.829999999987"/>
    <n v="0"/>
    <n v="0"/>
    <n v="0"/>
    <n v="0"/>
    <n v="0"/>
    <n v="0"/>
    <n v="99369.829999999987"/>
    <n v="0"/>
    <n v="0"/>
    <n v="0"/>
    <n v="0"/>
    <n v="0"/>
    <n v="0"/>
    <n v="0"/>
    <n v="0"/>
    <n v="99369.829999999987"/>
    <n v="0"/>
    <n v="0"/>
    <n v="0"/>
    <n v="0"/>
    <n v="0"/>
    <n v="0"/>
    <m/>
    <s v="Kalyanpur"/>
    <m/>
    <n v="0"/>
  </r>
  <r>
    <s v="Munger"/>
    <s v="10-16 Apr"/>
    <n v="1053"/>
    <s v="Kalyanpur"/>
    <x v="679"/>
    <s v="Gomukh Kalyanpur 2"/>
    <s v="vlc"/>
    <s v="Indirect"/>
    <n v="210.54999999999998"/>
    <n v="9180.2000000000007"/>
    <n v="0"/>
    <n v="0"/>
    <n v="0"/>
    <n v="0"/>
    <n v="0"/>
    <n v="0"/>
    <n v="9180.2000000000007"/>
    <n v="0"/>
    <n v="0"/>
    <n v="0"/>
    <n v="0"/>
    <n v="0"/>
    <n v="0"/>
    <n v="0"/>
    <n v="0"/>
    <n v="9180.2000000000007"/>
    <n v="0"/>
    <n v="0"/>
    <n v="426.81062835431027"/>
    <n v="30.078571428571426"/>
    <n v="0"/>
    <n v="0"/>
    <m/>
    <s v="Kalyanpur"/>
    <m/>
    <n v="0"/>
  </r>
  <r>
    <s v="Munger"/>
    <s v="10-16 Apr"/>
    <n v="1053"/>
    <s v="Kalyanpur"/>
    <x v="680"/>
    <s v="Gomukh Namapur 2"/>
    <s v="vlc"/>
    <s v="Indirect"/>
    <n v="2160.9499999999998"/>
    <n v="79225.319999999992"/>
    <n v="0"/>
    <n v="0"/>
    <n v="0"/>
    <n v="0"/>
    <n v="0"/>
    <n v="0"/>
    <n v="79225.319999999992"/>
    <n v="0"/>
    <n v="0"/>
    <n v="0"/>
    <n v="0"/>
    <n v="0"/>
    <n v="0"/>
    <n v="0"/>
    <n v="0"/>
    <n v="79225.319999999992"/>
    <n v="0"/>
    <n v="0"/>
    <n v="0"/>
    <n v="0"/>
    <n v="0"/>
    <n v="0"/>
    <m/>
    <s v="Kalyanpur"/>
    <m/>
    <n v="0"/>
  </r>
  <r>
    <s v="Munger"/>
    <s v="10-16 Apr"/>
    <n v="1053"/>
    <s v="Kalyanpur"/>
    <x v="681"/>
    <s v="Gomukh Madhopur"/>
    <s v="vlc"/>
    <s v="Indirect"/>
    <n v="341.15000000000003"/>
    <n v="14327.190000000002"/>
    <n v="0"/>
    <n v="0"/>
    <n v="0"/>
    <n v="0"/>
    <n v="0"/>
    <n v="0"/>
    <n v="14327.190000000002"/>
    <n v="0"/>
    <n v="0"/>
    <n v="0"/>
    <n v="0"/>
    <n v="0"/>
    <n v="0"/>
    <n v="0"/>
    <n v="0"/>
    <n v="14327.190000000002"/>
    <n v="0"/>
    <n v="0"/>
    <n v="301.41064818994579"/>
    <n v="48.735714285714288"/>
    <n v="0"/>
    <n v="0"/>
    <m/>
    <s v="Kalyanpur"/>
    <m/>
    <n v="0"/>
  </r>
  <r>
    <s v="Munger"/>
    <s v="10-16 Apr"/>
    <n v="1053"/>
    <s v="Kalyanpur"/>
    <x v="682"/>
    <s v="Gomukh Kalyanpur East"/>
    <s v="vlc"/>
    <s v="Indirect"/>
    <n v="665.74999999999989"/>
    <n v="24477.77"/>
    <n v="0"/>
    <n v="0"/>
    <n v="0"/>
    <n v="0"/>
    <n v="0"/>
    <n v="0"/>
    <n v="24477.77"/>
    <n v="0"/>
    <n v="0"/>
    <n v="0"/>
    <n v="0"/>
    <n v="0"/>
    <n v="0"/>
    <n v="0"/>
    <n v="0"/>
    <n v="24477.77"/>
    <n v="0"/>
    <n v="0"/>
    <n v="25.185538790837459"/>
    <n v="95.107142857142847"/>
    <n v="0"/>
    <n v="0"/>
    <m/>
    <s v="Kalyanpur"/>
    <m/>
    <n v="0"/>
  </r>
  <r>
    <s v="Munger"/>
    <s v="10-16 Apr"/>
    <n v="1053"/>
    <s v="Kalyanpur"/>
    <x v="683"/>
    <s v="Gomukh Bazidpur"/>
    <s v="vlc"/>
    <s v="Indirect"/>
    <n v="1516.6"/>
    <n v="60666.99"/>
    <n v="0"/>
    <n v="0"/>
    <n v="0"/>
    <n v="0"/>
    <n v="0"/>
    <n v="0"/>
    <n v="60666.99"/>
    <n v="0"/>
    <n v="0"/>
    <n v="0"/>
    <n v="7500"/>
    <n v="0"/>
    <n v="0"/>
    <n v="0"/>
    <n v="0"/>
    <n v="53166.99"/>
    <n v="0"/>
    <s v="Release1"/>
    <n v="0"/>
    <n v="0"/>
    <n v="0"/>
    <n v="0"/>
    <m/>
    <s v="Kalyanpur"/>
    <m/>
    <n v="0"/>
  </r>
  <r>
    <s v="Munger"/>
    <s v="10-16 Apr"/>
    <n v="1053"/>
    <s v="Kalyanpur"/>
    <x v="684"/>
    <s v="Gomukh Belsandi"/>
    <s v="vlc"/>
    <s v="Indirect"/>
    <n v="572.70000000000005"/>
    <n v="22644.429999999997"/>
    <n v="0"/>
    <n v="0"/>
    <n v="0"/>
    <n v="0"/>
    <n v="0"/>
    <n v="0"/>
    <n v="22644.429999999997"/>
    <n v="0"/>
    <n v="0"/>
    <n v="0"/>
    <n v="2700"/>
    <n v="0"/>
    <n v="0"/>
    <n v="0"/>
    <n v="0"/>
    <n v="19944.429999999997"/>
    <n v="0"/>
    <n v="0"/>
    <n v="100.66827096210928"/>
    <n v="81.814285714285717"/>
    <n v="0"/>
    <n v="0"/>
    <m/>
    <s v="Kalyanpur"/>
    <m/>
    <n v="0"/>
  </r>
  <r>
    <s v="Munger"/>
    <s v="10-16 Apr"/>
    <n v="1053"/>
    <s v="Kalyanpur"/>
    <x v="685"/>
    <s v="Gomukh Namapur Ward 8"/>
    <s v="vlc"/>
    <s v="Indirect"/>
    <n v="1146.0500000000002"/>
    <n v="45407.229999999996"/>
    <n v="0"/>
    <n v="0"/>
    <n v="0"/>
    <n v="0"/>
    <n v="0"/>
    <n v="0"/>
    <n v="45407.229999999996"/>
    <n v="0"/>
    <n v="0"/>
    <n v="0"/>
    <n v="0"/>
    <n v="0"/>
    <n v="0"/>
    <n v="0"/>
    <n v="0"/>
    <n v="45407.229999999996"/>
    <n v="0"/>
    <n v="0"/>
    <n v="0"/>
    <n v="0"/>
    <n v="0"/>
    <n v="0"/>
    <m/>
    <s v="Kalyanpur"/>
    <m/>
    <n v="0"/>
  </r>
  <r>
    <s v="Munger"/>
    <s v="10-16 Apr"/>
    <n v="1053"/>
    <s v="Kalyanpur"/>
    <x v="686"/>
    <s v="Belsandi"/>
    <s v="vlc"/>
    <s v="Indirect"/>
    <n v="1460.3000000000002"/>
    <n v="53991.81"/>
    <n v="0"/>
    <n v="0"/>
    <n v="0"/>
    <n v="0"/>
    <n v="0"/>
    <n v="0"/>
    <n v="53991.81"/>
    <n v="0"/>
    <n v="0"/>
    <n v="0"/>
    <n v="0"/>
    <n v="0"/>
    <n v="0"/>
    <n v="0"/>
    <n v="0"/>
    <n v="53991.81"/>
    <n v="0"/>
    <n v="0"/>
    <n v="0"/>
    <n v="0"/>
    <n v="0"/>
    <n v="0"/>
    <m/>
    <s v="Kalyanpur"/>
    <m/>
    <n v="0"/>
  </r>
  <r>
    <s v="Munger"/>
    <s v="10-16 Apr"/>
    <n v="1053"/>
    <s v="Kalyanpur"/>
    <x v="687"/>
    <s v="Gomukh Kolwara"/>
    <s v="MPG"/>
    <s v="Direct"/>
    <n v="61.349999999999994"/>
    <n v="2511.96"/>
    <n v="57.09"/>
    <n v="2507.7619379978"/>
    <n v="0"/>
    <n v="0"/>
    <n v="57.09"/>
    <n v="2507.7619379978"/>
    <n v="2507.7619379978"/>
    <n v="0"/>
    <n v="0"/>
    <n v="0"/>
    <n v="0"/>
    <n v="230"/>
    <n v="0"/>
    <n v="2279"/>
    <n v="0"/>
    <n v="0"/>
    <n v="3"/>
    <n v="0"/>
    <n v="522.98720586797072"/>
    <n v="8.7642857142857142"/>
    <n v="1.6712296382904201E-3"/>
    <n v="7"/>
    <m/>
    <s v="Kalyanpur"/>
    <m/>
    <n v="230"/>
  </r>
  <r>
    <s v="Munger"/>
    <s v="10-16 Apr"/>
    <n v="1053"/>
    <s v="Kalyanpur"/>
    <x v="688"/>
    <s v="Gomukh Belsandi East"/>
    <s v="vlc"/>
    <s v="Indirect"/>
    <n v="1444.7499999999998"/>
    <n v="59387.14"/>
    <n v="0"/>
    <n v="0"/>
    <n v="0"/>
    <n v="0"/>
    <n v="0"/>
    <n v="0"/>
    <n v="59387.14"/>
    <n v="0"/>
    <n v="0"/>
    <n v="0"/>
    <n v="0"/>
    <n v="0"/>
    <n v="0"/>
    <n v="0"/>
    <n v="0"/>
    <n v="59387.14"/>
    <n v="0"/>
    <n v="0"/>
    <n v="0"/>
    <n v="0"/>
    <n v="0"/>
    <n v="0"/>
    <m/>
    <s v="Kalyanpur"/>
    <m/>
    <n v="0"/>
  </r>
  <r>
    <s v="Munger"/>
    <s v="10-16 Apr"/>
    <n v="1053"/>
    <s v="Kalyanpur"/>
    <x v="689"/>
    <s v="Gomukh Belsandi West Tola"/>
    <s v="vlc"/>
    <s v="Indirect"/>
    <n v="279.5"/>
    <n v="10828.910000000002"/>
    <n v="0"/>
    <n v="0"/>
    <n v="0"/>
    <n v="0"/>
    <n v="0"/>
    <n v="0"/>
    <n v="10828.910000000002"/>
    <n v="0"/>
    <n v="0"/>
    <n v="0"/>
    <n v="1350"/>
    <n v="0"/>
    <n v="0"/>
    <n v="0"/>
    <n v="0"/>
    <n v="9478.9100000000017"/>
    <n v="0"/>
    <n v="0"/>
    <n v="325.83589660107339"/>
    <n v="39.928571428571431"/>
    <n v="0"/>
    <n v="0"/>
    <m/>
    <s v="Kalyanpur"/>
    <m/>
    <n v="0"/>
  </r>
  <r>
    <s v="Munger"/>
    <s v="10-16 Apr"/>
    <n v="1053"/>
    <s v="Kalyanpur"/>
    <x v="690"/>
    <s v="Gomukh Gopalpur"/>
    <s v="vlc"/>
    <s v="Indirect"/>
    <n v="1844.8999999999999"/>
    <n v="73857.89"/>
    <n v="0"/>
    <n v="0"/>
    <n v="0"/>
    <n v="0"/>
    <n v="0"/>
    <n v="0"/>
    <n v="73857.89"/>
    <n v="0"/>
    <n v="0"/>
    <n v="0"/>
    <n v="2850"/>
    <n v="0"/>
    <n v="0"/>
    <n v="0"/>
    <n v="0"/>
    <n v="71007.89"/>
    <n v="0"/>
    <n v="0"/>
    <n v="0"/>
    <n v="0"/>
    <n v="0"/>
    <n v="0"/>
    <m/>
    <s v="Kalyanpur"/>
    <m/>
    <n v="0"/>
  </r>
  <r>
    <s v="Munger"/>
    <s v="10-16 Apr"/>
    <n v="1053"/>
    <s v="Kalyanpur"/>
    <x v="691"/>
    <s v="Gomukh Bharav"/>
    <s v="MPG"/>
    <s v="Direct"/>
    <n v="447.40000000000009"/>
    <n v="23573.870000000006"/>
    <n v="447.11999999999989"/>
    <n v="23565.807286297488"/>
    <n v="9.32"/>
    <n v="480.10541113453002"/>
    <n v="456.43999999999988"/>
    <n v="24045.912697432017"/>
    <n v="23573.870000000006"/>
    <n v="776"/>
    <n v="480.10541113453002"/>
    <n v="472.04269743201075"/>
    <n v="2574"/>
    <n v="0"/>
    <n v="0"/>
    <n v="19744"/>
    <n v="0"/>
    <n v="0"/>
    <n v="0"/>
    <n v="0"/>
    <n v="266.1939902548055"/>
    <n v="63.914285714285725"/>
    <n v="-2.00239798315682E-2"/>
    <n v="24"/>
    <m/>
    <s v="Kalyanpur"/>
    <m/>
    <n v="0"/>
  </r>
  <r>
    <s v="Munger"/>
    <s v="10-16 Apr"/>
    <n v="1053"/>
    <s v="Kalyanpur"/>
    <x v="692"/>
    <s v="Gomukh Harpur"/>
    <s v="MPG"/>
    <s v="Direct"/>
    <n v="968.59999999999991"/>
    <n v="39274.199999999997"/>
    <n v="959.44999999999993"/>
    <n v="38625.929958267581"/>
    <n v="13.280000000000001"/>
    <n v="534.21583327200005"/>
    <n v="972.7299999999999"/>
    <n v="39160.14579153958"/>
    <n v="39160.14579153958"/>
    <n v="0"/>
    <n v="534.21583327200005"/>
    <n v="0"/>
    <n v="0"/>
    <n v="0"/>
    <n v="0"/>
    <n v="38627"/>
    <n v="0"/>
    <n v="0"/>
    <n v="113"/>
    <n v="0"/>
    <n v="0"/>
    <n v="0"/>
    <n v="2.9040491839532495E-3"/>
    <n v="27"/>
    <m/>
    <s v="Kalyanpur"/>
    <m/>
    <n v="0"/>
  </r>
  <r>
    <s v="Munger"/>
    <s v="10-16 Apr"/>
    <n v="1053"/>
    <s v="Kalyanpur"/>
    <x v="693"/>
    <s v="Gomukh Fulhatta"/>
    <s v="MPG"/>
    <s v="Direct"/>
    <n v="887.35"/>
    <n v="44456.23"/>
    <n v="890.84"/>
    <n v="44268.554731105352"/>
    <n v="3.07"/>
    <n v="179.6994178002"/>
    <n v="893.91000000000008"/>
    <n v="44448.254148905551"/>
    <n v="44448.254148905551"/>
    <n v="0"/>
    <n v="179.6994178002"/>
    <n v="0"/>
    <n v="0"/>
    <n v="0"/>
    <n v="0"/>
    <n v="44266"/>
    <n v="0"/>
    <n v="0"/>
    <n v="11"/>
    <n v="0"/>
    <n v="0"/>
    <n v="0"/>
    <n v="1.7940907482375546E-4"/>
    <n v="39"/>
    <m/>
    <s v="Kalyanpur"/>
    <m/>
    <n v="0"/>
  </r>
  <r>
    <s v="Munger"/>
    <s v="10-16 Apr"/>
    <n v="1053"/>
    <s v="Kalyanpur"/>
    <x v="694"/>
    <s v="Gomukh Birauli Khurd"/>
    <s v="MPG"/>
    <s v="Direct"/>
    <n v="855.75"/>
    <n v="34643.94"/>
    <n v="839.41000000000008"/>
    <n v="34053.758471654699"/>
    <n v="16.569999999999997"/>
    <n v="687.76749914400011"/>
    <n v="855.98000000000013"/>
    <n v="34741.525970798699"/>
    <n v="34643.94"/>
    <n v="0"/>
    <n v="687.76749914400011"/>
    <n v="97.585970798696508"/>
    <n v="5598"/>
    <n v="0"/>
    <n v="0"/>
    <n v="28358"/>
    <n v="0"/>
    <n v="0"/>
    <n v="0"/>
    <n v="0"/>
    <n v="0"/>
    <n v="0"/>
    <n v="-2.8168265733832958E-3"/>
    <n v="26"/>
    <m/>
    <s v="Kalyanpur"/>
    <m/>
    <n v="0"/>
  </r>
  <r>
    <s v="Munger"/>
    <s v="10-16 Apr"/>
    <n v="1053"/>
    <s v="Kalyanpur"/>
    <x v="695"/>
    <s v="Gomukh Bedauliya"/>
    <s v="vlc"/>
    <s v="Indirect"/>
    <n v="459.45000000000005"/>
    <n v="17439.929999999997"/>
    <n v="0"/>
    <n v="0"/>
    <n v="0"/>
    <n v="0"/>
    <n v="0"/>
    <n v="0"/>
    <n v="17439.929999999997"/>
    <n v="0"/>
    <n v="0"/>
    <n v="0"/>
    <n v="15000"/>
    <n v="0"/>
    <n v="0"/>
    <n v="0"/>
    <n v="0"/>
    <n v="2439.9299999999967"/>
    <n v="0"/>
    <n v="0"/>
    <n v="182.61726679725754"/>
    <n v="65.635714285714286"/>
    <n v="0"/>
    <n v="0"/>
    <m/>
    <s v="Kalyanpur"/>
    <m/>
    <n v="0"/>
  </r>
  <r>
    <s v="Munger"/>
    <s v="10-16 Apr"/>
    <n v="1053"/>
    <s v="Kalyanpur"/>
    <x v="696"/>
    <s v="Gomukh Khanua"/>
    <s v="MPG"/>
    <s v="Direct"/>
    <n v="561.6500000000002"/>
    <n v="24238.369999999995"/>
    <n v="548.23"/>
    <n v="23998.426598494989"/>
    <n v="10.059999999999999"/>
    <n v="434.55001787999993"/>
    <n v="558.29"/>
    <n v="24432.976616374988"/>
    <n v="24238.369999999995"/>
    <n v="0"/>
    <n v="434.55001787999993"/>
    <n v="194.60661637499288"/>
    <n v="2655"/>
    <n v="0"/>
    <n v="0"/>
    <n v="21149"/>
    <n v="0"/>
    <n v="0"/>
    <n v="0"/>
    <n v="0"/>
    <n v="119.41167949790776"/>
    <n v="80.235714285714309"/>
    <n v="-8.0288656528880835E-3"/>
    <n v="25"/>
    <m/>
    <s v="Kalyanpur"/>
    <m/>
    <n v="0"/>
  </r>
  <r>
    <s v="Munger"/>
    <s v="10-16 Apr"/>
    <n v="1053"/>
    <s v="Kalyanpur"/>
    <x v="697"/>
    <s v="Gomukh Hiralalpur"/>
    <s v="vlc"/>
    <s v="Indirect"/>
    <n v="737.1"/>
    <n v="30459.45"/>
    <n v="0"/>
    <n v="0"/>
    <n v="0"/>
    <n v="0"/>
    <n v="0"/>
    <n v="0"/>
    <n v="30459.45"/>
    <n v="0"/>
    <n v="0"/>
    <n v="0"/>
    <n v="0"/>
    <n v="0"/>
    <n v="0"/>
    <n v="0"/>
    <n v="0"/>
    <n v="30459.45"/>
    <n v="0"/>
    <n v="0"/>
    <n v="0"/>
    <n v="0"/>
    <n v="0"/>
    <n v="0"/>
    <m/>
    <s v="Kalyanpur"/>
    <m/>
    <n v="0"/>
  </r>
  <r>
    <s v="Munger"/>
    <s v="10-16 Apr"/>
    <n v="1053"/>
    <s v="Kalyanpur"/>
    <x v="698"/>
    <s v="Gomukh Punas"/>
    <s v="MPG"/>
    <s v="Direct"/>
    <n v="1023.6"/>
    <n v="45357.669999999991"/>
    <n v="1013.6599999999999"/>
    <n v="44847.843279814762"/>
    <n v="12.95"/>
    <n v="556.46458084799997"/>
    <n v="1026.6099999999999"/>
    <n v="45404.307860662761"/>
    <n v="45357.669999999991"/>
    <n v="0"/>
    <n v="556.46458084799997"/>
    <n v="46.637860662769526"/>
    <n v="1729"/>
    <n v="0"/>
    <n v="0"/>
    <n v="43072"/>
    <n v="0"/>
    <n v="0"/>
    <n v="0"/>
    <n v="0"/>
    <n v="0"/>
    <n v="0"/>
    <n v="-1.0282243480048585E-3"/>
    <n v="26"/>
    <m/>
    <s v="Kalyanpur"/>
    <m/>
    <n v="0"/>
  </r>
  <r>
    <s v="Munger"/>
    <s v="10-16 Apr"/>
    <n v="1053"/>
    <s v="Kalyanpur"/>
    <x v="699"/>
    <s v="Gomukh Loharkha"/>
    <s v="MPG"/>
    <s v="Direct"/>
    <n v="533.34999999999991"/>
    <n v="24453.87"/>
    <n v="543.83000000000004"/>
    <n v="24370.011720329399"/>
    <n v="1.94"/>
    <n v="100.84597468411999"/>
    <n v="545.7700000000001"/>
    <n v="24470.857695013521"/>
    <n v="24453.87"/>
    <n v="0"/>
    <n v="100.84597468411999"/>
    <n v="16.98769501352217"/>
    <n v="0"/>
    <n v="0"/>
    <n v="0"/>
    <n v="24353"/>
    <n v="0"/>
    <n v="0"/>
    <n v="0"/>
    <n v="0"/>
    <n v="152.81662831161532"/>
    <n v="76.192857142857136"/>
    <n v="-6.9468329608042285E-4"/>
    <n v="27"/>
    <m/>
    <s v="Kalyanpur"/>
    <m/>
    <n v="0"/>
  </r>
  <r>
    <s v="Munger"/>
    <s v="10-16 Apr"/>
    <n v="1053"/>
    <s v="Kalyanpur"/>
    <x v="700"/>
    <s v="Gomukh Dighra"/>
    <s v="MPG"/>
    <s v="Direct"/>
    <n v="425.6"/>
    <n v="14740.390000000001"/>
    <n v="384.37"/>
    <n v="14606.216657854453"/>
    <n v="3.58"/>
    <n v="130.54929321059998"/>
    <n v="387.95"/>
    <n v="14736.765951065054"/>
    <n v="14736.765951065054"/>
    <n v="0"/>
    <n v="130.54929321059998"/>
    <n v="0"/>
    <n v="0"/>
    <n v="0"/>
    <n v="0"/>
    <n v="14606"/>
    <n v="0"/>
    <n v="0"/>
    <n v="4"/>
    <n v="0"/>
    <n v="190.07344999999998"/>
    <n v="60.800000000000004"/>
    <n v="2.4585841588638398E-4"/>
    <n v="7"/>
    <m/>
    <s v="Kalyanpur"/>
    <m/>
    <n v="0"/>
  </r>
  <r>
    <s v="Munger"/>
    <s v="10-16 Apr"/>
    <n v="1053"/>
    <s v="Kalyanpur"/>
    <x v="701"/>
    <s v="Basuwari"/>
    <s v="MPG"/>
    <s v="Direct"/>
    <n v="361.65"/>
    <n v="13857.029999999999"/>
    <n v="357.75"/>
    <n v="13712.248480300792"/>
    <n v="5.7799999999999994"/>
    <n v="247.13327810826604"/>
    <n v="363.53"/>
    <n v="13959.381758409058"/>
    <n v="13857.029999999999"/>
    <n v="0"/>
    <n v="247.13327810826604"/>
    <n v="102.35175840905868"/>
    <n v="1350"/>
    <n v="0"/>
    <n v="0"/>
    <n v="12260"/>
    <n v="0"/>
    <n v="0"/>
    <n v="0"/>
    <n v="0"/>
    <n v="259.28528137702199"/>
    <n v="51.664285714285711"/>
    <n v="-7.3862695259416114E-3"/>
    <n v="12"/>
    <m/>
    <s v="Kalyanpur"/>
    <m/>
    <n v="0"/>
  </r>
  <r>
    <s v="Munger"/>
    <s v="10-16 Apr"/>
    <n v="1053"/>
    <s v="Kalyanpur"/>
    <x v="702"/>
    <s v="Belsandi 3"/>
    <s v="vlc"/>
    <s v="Indirect"/>
    <n v="2362.5499999999997"/>
    <n v="86635.98000000001"/>
    <n v="0"/>
    <n v="0"/>
    <n v="0"/>
    <n v="0"/>
    <n v="0"/>
    <n v="0"/>
    <n v="86635.98000000001"/>
    <n v="0"/>
    <n v="0"/>
    <n v="0"/>
    <n v="0"/>
    <n v="0"/>
    <n v="0"/>
    <n v="0"/>
    <n v="0"/>
    <n v="86635.98000000001"/>
    <n v="0"/>
    <n v="0"/>
    <n v="0"/>
    <n v="0"/>
    <n v="0"/>
    <n v="0"/>
    <m/>
    <s v="Kalyanpur"/>
    <m/>
    <n v="0"/>
  </r>
  <r>
    <s v="Munger"/>
    <s v="10-16 Apr"/>
    <n v="1053"/>
    <s v="Kalyanpur"/>
    <x v="703"/>
    <s v="Gomukh PARAN"/>
    <s v="vlc"/>
    <s v="Indirect"/>
    <n v="456.6"/>
    <n v="16649.54"/>
    <n v="0"/>
    <n v="0"/>
    <n v="0"/>
    <n v="0"/>
    <n v="0"/>
    <n v="0"/>
    <n v="16649.54"/>
    <n v="0"/>
    <n v="0"/>
    <n v="0"/>
    <n v="5700"/>
    <n v="0"/>
    <n v="0"/>
    <n v="0"/>
    <n v="0"/>
    <n v="10949.54"/>
    <n v="0"/>
    <n v="0"/>
    <n v="177.50757932544897"/>
    <n v="65.228571428571428"/>
    <n v="0"/>
    <n v="0"/>
    <m/>
    <s v="Kalyanpur"/>
    <m/>
    <n v="0"/>
  </r>
  <r>
    <s v="Munger"/>
    <s v="10-16 Apr"/>
    <n v="1053"/>
    <s v="Kalyanpur"/>
    <x v="704"/>
    <s v="GOMUKH HARPUR W-13"/>
    <s v="MPG"/>
    <s v="Direct"/>
    <n v="1967"/>
    <n v="78058.649999999994"/>
    <n v="1935.5100000000002"/>
    <n v="77013.418537836202"/>
    <n v="29.02"/>
    <n v="1155.4923848310002"/>
    <n v="1964.5300000000002"/>
    <n v="78168.910922667201"/>
    <n v="78058.649999999994"/>
    <n v="0"/>
    <n v="1155.4923848310002"/>
    <n v="110.26092266720661"/>
    <n v="2420"/>
    <n v="0"/>
    <n v="0"/>
    <n v="74483"/>
    <n v="0"/>
    <n v="0"/>
    <n v="0"/>
    <n v="0"/>
    <n v="0"/>
    <n v="0"/>
    <n v="-1.4125394516457384E-3"/>
    <n v="54"/>
    <m/>
    <s v="Kalyanpur"/>
    <m/>
    <n v="0"/>
  </r>
  <r>
    <s v="Munger"/>
    <s v="10-16 Apr"/>
    <n v="1053"/>
    <s v="Kalyanpur"/>
    <x v="705"/>
    <s v="GOMUKH MILKI"/>
    <s v="vlc"/>
    <s v="Indirect"/>
    <n v="69.650000000000006"/>
    <n v="2270.88"/>
    <n v="0"/>
    <n v="0"/>
    <n v="0"/>
    <n v="0"/>
    <n v="0"/>
    <n v="0"/>
    <n v="2270.88"/>
    <n v="0"/>
    <n v="0"/>
    <n v="0"/>
    <n v="0"/>
    <n v="0"/>
    <n v="0"/>
    <n v="0"/>
    <n v="0"/>
    <n v="2270.88"/>
    <n v="0"/>
    <n v="0"/>
    <n v="411.04069145728647"/>
    <n v="9.9500000000000011"/>
    <n v="0"/>
    <n v="0"/>
    <m/>
    <s v="Kalyanpur"/>
    <m/>
    <n v="0"/>
  </r>
  <r>
    <s v="Munger"/>
    <s v="10-16 Apr"/>
    <n v="1053"/>
    <s v="Kalyanpur"/>
    <x v="706"/>
    <s v="Gomukh Ratwara"/>
    <s v="MPG"/>
    <s v="Direct"/>
    <n v="173.35000000000002"/>
    <n v="6305.2399999999989"/>
    <n v="176.93"/>
    <n v="6304.0829728932013"/>
    <n v="0"/>
    <n v="0"/>
    <n v="176.93"/>
    <n v="6304.0829728932013"/>
    <n v="6304.0829728932013"/>
    <n v="0"/>
    <n v="0"/>
    <n v="0"/>
    <n v="0"/>
    <n v="153"/>
    <n v="0"/>
    <n v="6151"/>
    <n v="0"/>
    <n v="0"/>
    <n v="1"/>
    <n v="0"/>
    <n v="383.11562111335434"/>
    <n v="24.764285714285716"/>
    <n v="1.8350246886678602E-4"/>
    <n v="11"/>
    <m/>
    <s v="Kalyanpur"/>
    <m/>
    <n v="153"/>
  </r>
  <r>
    <s v="Munger"/>
    <s v="10-16 Apr"/>
    <n v="1053"/>
    <s v="Kalyanpur"/>
    <x v="707"/>
    <s v="Gomukh Fulhara"/>
    <s v="vlc"/>
    <s v="Indirect"/>
    <n v="1490.2499999999998"/>
    <n v="73852.840000000011"/>
    <n v="0"/>
    <n v="0"/>
    <n v="0"/>
    <n v="0"/>
    <n v="0"/>
    <n v="0"/>
    <n v="73852.840000000011"/>
    <n v="0"/>
    <n v="0"/>
    <n v="0"/>
    <n v="8100"/>
    <n v="0"/>
    <n v="0"/>
    <n v="0"/>
    <n v="0"/>
    <n v="65752.840000000011"/>
    <n v="0"/>
    <n v="0"/>
    <n v="0"/>
    <n v="0"/>
    <n v="0"/>
    <n v="0"/>
    <m/>
    <s v="Kalyanpur"/>
    <m/>
    <n v="0"/>
  </r>
  <r>
    <s v="Munger"/>
    <s v="10-16 Apr"/>
    <n v="1053"/>
    <s v="Kalyanpur"/>
    <x v="708"/>
    <s v="Gomukh Ranitola"/>
    <s v="vlc"/>
    <s v="Indirect"/>
    <n v="525.29999999999995"/>
    <n v="21933.850000000002"/>
    <n v="0"/>
    <n v="0"/>
    <n v="0"/>
    <n v="0"/>
    <n v="0"/>
    <n v="0"/>
    <n v="21933.850000000002"/>
    <n v="0"/>
    <n v="0"/>
    <n v="0"/>
    <n v="0"/>
    <n v="0"/>
    <n v="0"/>
    <n v="0"/>
    <n v="0"/>
    <n v="21933.850000000002"/>
    <n v="0"/>
    <n v="0"/>
    <n v="145.89162745098051"/>
    <n v="75.04285714285713"/>
    <n v="0"/>
    <n v="0"/>
    <m/>
    <s v="Kalyanpur"/>
    <m/>
    <n v="0"/>
  </r>
  <r>
    <s v="Munger"/>
    <s v="10-16 Apr"/>
    <n v="1053"/>
    <s v="Kalyanpur"/>
    <x v="709"/>
    <s v="Gomukh Malinagar East"/>
    <s v="MPG"/>
    <s v="Direct"/>
    <n v="828.60000000000014"/>
    <n v="33606.280000000006"/>
    <n v="826.06000000000006"/>
    <n v="33603.795445095195"/>
    <n v="5.9000000000000012"/>
    <n v="241.639508646"/>
    <n v="831.96"/>
    <n v="33845.434953741198"/>
    <n v="33606.280000000006"/>
    <n v="0"/>
    <n v="241.639508646"/>
    <n v="239.154953741192"/>
    <n v="0"/>
    <n v="0"/>
    <n v="0"/>
    <n v="33365"/>
    <n v="0"/>
    <n v="0"/>
    <n v="0"/>
    <n v="0"/>
    <n v="0"/>
    <n v="0"/>
    <n v="-7.1163768718582347E-3"/>
    <n v="10"/>
    <m/>
    <s v="Kalyanpur"/>
    <m/>
    <n v="0"/>
  </r>
  <r>
    <s v="Munger"/>
    <s v="10-16 Apr"/>
    <n v="1053"/>
    <s v="Kalyanpur"/>
    <x v="710"/>
    <s v="GOMUKH Singhiya Ward 11"/>
    <s v="vlc"/>
    <s v="Indirect"/>
    <n v="132.55000000000001"/>
    <n v="6056.56"/>
    <n v="0"/>
    <n v="0"/>
    <n v="0"/>
    <n v="0"/>
    <n v="0"/>
    <n v="0"/>
    <n v="6056.56"/>
    <n v="0"/>
    <n v="0"/>
    <n v="0"/>
    <n v="4500"/>
    <n v="0"/>
    <n v="0"/>
    <n v="0"/>
    <n v="0"/>
    <n v="1556.5600000000004"/>
    <n v="0"/>
    <n v="0"/>
    <n v="518.56581999245577"/>
    <n v="18.935714285714287"/>
    <n v="0"/>
    <n v="0"/>
    <m/>
    <s v="Kalyanpur"/>
    <m/>
    <n v="0"/>
  </r>
  <r>
    <s v="Munger"/>
    <s v="10-16 Apr"/>
    <n v="1053"/>
    <s v="Kalyanpur"/>
    <x v="711"/>
    <s v="GOMUKH MANIYARPUR"/>
    <s v="MPG"/>
    <s v="Direct"/>
    <n v="1064.55"/>
    <n v="43876.04"/>
    <n v="1060.5699999999997"/>
    <n v="43158.178954387789"/>
    <n v="16.190000000000001"/>
    <n v="656.50939081200011"/>
    <n v="1076.7599999999998"/>
    <n v="43814.688345199793"/>
    <n v="43814.688345199793"/>
    <n v="0"/>
    <n v="656.50939081200011"/>
    <n v="0"/>
    <n v="3068"/>
    <n v="0"/>
    <n v="0"/>
    <n v="40088"/>
    <n v="0"/>
    <n v="0"/>
    <n v="64"/>
    <n v="0"/>
    <n v="0"/>
    <n v="0"/>
    <n v="1.3982951697602622E-3"/>
    <n v="38"/>
    <m/>
    <s v="Kalyanpur"/>
    <m/>
    <n v="0"/>
  </r>
  <r>
    <s v="Munger"/>
    <s v="10-16 Apr"/>
    <n v="1053"/>
    <s v="Kalyanpur"/>
    <x v="712"/>
    <s v="GOMUKH DIGHRA W-6"/>
    <s v="MPG"/>
    <s v="Direct"/>
    <n v="1458.3"/>
    <n v="54250.75"/>
    <n v="1450.8"/>
    <n v="56592.68885059368"/>
    <n v="10.32"/>
    <n v="446.44133338495999"/>
    <n v="1461.12"/>
    <n v="57039.130183978639"/>
    <n v="54250.75"/>
    <n v="0"/>
    <n v="446.44133338495999"/>
    <n v="2788.3801839786393"/>
    <n v="15000"/>
    <n v="0"/>
    <n v="0"/>
    <n v="38804"/>
    <n v="0"/>
    <n v="0"/>
    <n v="0"/>
    <n v="0"/>
    <n v="0"/>
    <n v="0"/>
    <n v="-5.1398002497267579E-2"/>
    <n v="10"/>
    <m/>
    <s v="Kalyanpur"/>
    <m/>
    <n v="0"/>
  </r>
  <r>
    <s v="Munger"/>
    <s v="10-16 Apr"/>
    <n v="1053"/>
    <s v="Kalyanpur"/>
    <x v="713"/>
    <s v="GOMUKH BANDRA W-6"/>
    <s v="MPG"/>
    <s v="Direct"/>
    <n v="472.35000000000014"/>
    <n v="20242.499999999996"/>
    <n v="487.66000000000014"/>
    <n v="20779.418522276923"/>
    <n v="7.8900000000000006"/>
    <n v="327.72136155300001"/>
    <n v="495.55000000000013"/>
    <n v="21107.139883829925"/>
    <n v="20242.499999999996"/>
    <n v="0"/>
    <n v="327.72136155300001"/>
    <n v="864.63988382992829"/>
    <n v="4622"/>
    <n v="0"/>
    <n v="0"/>
    <n v="15293"/>
    <n v="0"/>
    <n v="0"/>
    <n v="0"/>
    <n v="0"/>
    <n v="195.11824388694808"/>
    <n v="67.478571428571442"/>
    <n v="-4.2714085899959411E-2"/>
    <n v="21"/>
    <m/>
    <s v="Kalyanpur"/>
    <m/>
    <n v="0"/>
  </r>
  <r>
    <s v="Munger"/>
    <s v="10-16 Apr"/>
    <n v="1053"/>
    <s v="Kalyanpur"/>
    <x v="714"/>
    <s v="BELSANDI RAJO"/>
    <s v="vlc"/>
    <s v="Indirect"/>
    <n v="529.29999999999995"/>
    <n v="20098.88"/>
    <n v="0"/>
    <n v="0"/>
    <n v="0"/>
    <n v="0"/>
    <n v="0"/>
    <n v="0"/>
    <n v="20098.88"/>
    <n v="0"/>
    <n v="0"/>
    <n v="0"/>
    <n v="0"/>
    <n v="0"/>
    <n v="0"/>
    <n v="0"/>
    <n v="0"/>
    <n v="20098.88"/>
    <n v="0"/>
    <n v="0"/>
    <n v="129.63834558851312"/>
    <n v="75.614285714285714"/>
    <n v="0"/>
    <n v="0"/>
    <m/>
    <s v="Kalyanpur"/>
    <m/>
    <n v="0"/>
  </r>
  <r>
    <s v="Munger"/>
    <s v="10-16 Apr"/>
    <n v="1053"/>
    <s v="Kalyanpur"/>
    <x v="715"/>
    <s v="BELSANDI W-9"/>
    <s v="vlc"/>
    <s v="Indirect"/>
    <n v="273.7"/>
    <n v="12575.009999999998"/>
    <n v="0"/>
    <n v="0"/>
    <n v="0"/>
    <n v="0"/>
    <n v="0"/>
    <n v="0"/>
    <n v="12575.009999999998"/>
    <n v="0"/>
    <n v="0"/>
    <n v="0"/>
    <n v="4500"/>
    <n v="0"/>
    <n v="0"/>
    <n v="0"/>
    <n v="0"/>
    <n v="8075.0099999999984"/>
    <n v="0"/>
    <n v="0"/>
    <n v="391.72281790281329"/>
    <n v="39.1"/>
    <n v="0"/>
    <n v="0"/>
    <m/>
    <s v="Kalyanpur"/>
    <m/>
    <n v="0"/>
  </r>
  <r>
    <s v="Munger"/>
    <s v="10-16 Apr"/>
    <n v="1053"/>
    <s v="Kalyanpur"/>
    <x v="716"/>
    <s v="GOMUKH PARAN 2"/>
    <s v="MPG"/>
    <s v="Direct"/>
    <n v="198.00000000000003"/>
    <n v="9933.3700000000008"/>
    <n v="204.66000000000003"/>
    <n v="9588.2471984257518"/>
    <n v="5.0600000000000005"/>
    <n v="238.30748340957402"/>
    <n v="209.72000000000003"/>
    <n v="9826.554681835325"/>
    <n v="9826.554681835325"/>
    <n v="0"/>
    <n v="238.30748340957402"/>
    <n v="0"/>
    <n v="774"/>
    <n v="0"/>
    <n v="0"/>
    <n v="8815"/>
    <n v="0"/>
    <n v="0"/>
    <n v="106"/>
    <n v="0"/>
    <n v="503.69209494949484"/>
    <n v="28.285714285714288"/>
    <n v="1.0753180256516748E-2"/>
    <n v="14"/>
    <m/>
    <s v="Kalyanpur"/>
    <m/>
    <n v="0"/>
  </r>
  <r>
    <s v="Munger"/>
    <s v="10-16 Apr"/>
    <n v="1053"/>
    <s v="Kalyanpur"/>
    <x v="717"/>
    <s v="GOMUKH KHARAGPUR"/>
    <s v="MPG"/>
    <s v="Direct"/>
    <n v="194.05"/>
    <n v="10250.799999999999"/>
    <n v="196.99"/>
    <n v="10585.501468376731"/>
    <n v="0"/>
    <n v="0"/>
    <n v="196.99"/>
    <n v="10585.501468376731"/>
    <n v="10250.799999999999"/>
    <n v="0"/>
    <n v="0"/>
    <n v="334.70146837673201"/>
    <n v="0"/>
    <n v="0"/>
    <n v="0"/>
    <n v="10251"/>
    <n v="0"/>
    <n v="0"/>
    <n v="0"/>
    <n v="0"/>
    <n v="534.54184591600085"/>
    <n v="27.721428571428572"/>
    <n v="-3.2651253402342456E-2"/>
    <n v="10"/>
    <m/>
    <s v="Kalyanpur"/>
    <m/>
    <n v="0"/>
  </r>
  <r>
    <s v="Munger"/>
    <s v="10-16 Apr"/>
    <n v="1053"/>
    <s v="Kalyanpur"/>
    <x v="718"/>
    <s v="KAMARGAMA"/>
    <s v="vlc"/>
    <s v="Indirect"/>
    <n v="367.9"/>
    <n v="20850.649999999998"/>
    <n v="0"/>
    <n v="0"/>
    <n v="0"/>
    <n v="0"/>
    <n v="0"/>
    <n v="0"/>
    <n v="20850.649999999998"/>
    <n v="0"/>
    <n v="0"/>
    <n v="0"/>
    <n v="0"/>
    <n v="0"/>
    <n v="0"/>
    <n v="0"/>
    <n v="0"/>
    <n v="20850.649999999998"/>
    <n v="0"/>
    <n v="0"/>
    <n v="376.43386055993477"/>
    <n v="52.557142857142857"/>
    <n v="0"/>
    <n v="0"/>
    <m/>
    <s v="Kalyanpur"/>
    <m/>
    <n v="0"/>
  </r>
  <r>
    <s v="Munger"/>
    <s v="10-16 Apr"/>
    <n v="1053"/>
    <s v="Kalyanpur"/>
    <x v="719"/>
    <s v="BELSANDI DIH"/>
    <s v="vlc"/>
    <s v="Indirect"/>
    <n v="143.35"/>
    <n v="5954.36"/>
    <n v="0"/>
    <n v="0"/>
    <n v="0"/>
    <n v="0"/>
    <n v="0"/>
    <n v="0"/>
    <n v="5954.36"/>
    <n v="0"/>
    <n v="0"/>
    <n v="0"/>
    <n v="2700"/>
    <n v="0"/>
    <n v="0"/>
    <n v="0"/>
    <n v="0"/>
    <n v="3254.3599999999997"/>
    <n v="0"/>
    <n v="0"/>
    <n v="462.43383243808859"/>
    <n v="20.478571428571428"/>
    <n v="0"/>
    <n v="0"/>
    <m/>
    <s v="Kalyanpur"/>
    <m/>
    <n v="0"/>
  </r>
  <r>
    <s v="Munger"/>
    <s v="10-16 Apr"/>
    <n v="1053"/>
    <s v="Kalyanpur"/>
    <x v="720"/>
    <s v="GOMUKH BALAHA W-9"/>
    <s v="MPG"/>
    <s v="Direct"/>
    <n v="840.39999999999986"/>
    <n v="32921.29"/>
    <n v="812.87000000000012"/>
    <n v="32758.348975561588"/>
    <n v="14.459999999999997"/>
    <n v="582.11642412000003"/>
    <n v="827.33000000000015"/>
    <n v="33340.46539968159"/>
    <n v="32921.29"/>
    <n v="0"/>
    <n v="582.11642412000003"/>
    <n v="419.17539968158962"/>
    <n v="3676"/>
    <n v="0"/>
    <n v="0"/>
    <n v="28663"/>
    <n v="0"/>
    <n v="0"/>
    <n v="0"/>
    <n v="0"/>
    <n v="0"/>
    <n v="0"/>
    <n v="-1.2732654148169455E-2"/>
    <n v="25"/>
    <m/>
    <s v="Kalyanpur"/>
    <m/>
    <n v="0"/>
  </r>
  <r>
    <s v="Munger"/>
    <s v="10-16 Apr"/>
    <n v="1053"/>
    <s v="Kalyanpur"/>
    <x v="721"/>
    <s v="Gomukh Namapur East"/>
    <s v="vlc"/>
    <s v="Indirect"/>
    <n v="204.75"/>
    <n v="8310.91"/>
    <n v="0"/>
    <n v="0"/>
    <n v="0"/>
    <n v="0"/>
    <n v="0"/>
    <n v="0"/>
    <n v="8310.91"/>
    <n v="0"/>
    <n v="0"/>
    <n v="0"/>
    <n v="0"/>
    <n v="0"/>
    <n v="0"/>
    <n v="0"/>
    <n v="0"/>
    <n v="8310.91"/>
    <n v="0"/>
    <n v="0"/>
    <n v="402.04915042735041"/>
    <n v="29.25"/>
    <n v="0"/>
    <n v="0"/>
    <m/>
    <s v="Kalyanpur"/>
    <m/>
    <n v="0"/>
  </r>
  <r>
    <s v="Munger"/>
    <s v="10-16 Apr"/>
    <n v="1053"/>
    <s v="Kalyanpur"/>
    <x v="722"/>
    <s v="GOMUKH Madanpur W-3"/>
    <s v="MPG"/>
    <s v="Direct"/>
    <n v="1621.1499999999999"/>
    <n v="77781.909999999989"/>
    <n v="1635.8400000000006"/>
    <n v="76733.824096680604"/>
    <n v="23.22"/>
    <n v="1037.79134079298"/>
    <n v="1659.0600000000006"/>
    <n v="77771.615437473578"/>
    <n v="77771.615437473578"/>
    <n v="0"/>
    <n v="1037.79134079298"/>
    <n v="0"/>
    <n v="0"/>
    <n v="0"/>
    <n v="0"/>
    <n v="76733"/>
    <n v="0"/>
    <n v="0"/>
    <n v="11"/>
    <n v="0"/>
    <n v="0"/>
    <n v="0"/>
    <n v="1.3235162940085978E-4"/>
    <n v="54"/>
    <m/>
    <s v="Kalyanpur"/>
    <m/>
    <n v="0"/>
  </r>
  <r>
    <s v="Munger"/>
    <s v="10-16 Apr"/>
    <n v="1053"/>
    <s v="Kalyanpur"/>
    <x v="723"/>
    <s v="Gomukh Namapur East (08)"/>
    <s v="vlc"/>
    <s v="Indirect"/>
    <n v="610.35000000000014"/>
    <n v="22450.02"/>
    <n v="0"/>
    <n v="0"/>
    <n v="0"/>
    <n v="0"/>
    <n v="0"/>
    <n v="0"/>
    <n v="22450.02"/>
    <n v="0"/>
    <n v="0"/>
    <n v="0"/>
    <n v="0"/>
    <n v="0"/>
    <n v="0"/>
    <n v="0"/>
    <n v="0"/>
    <n v="22450.02"/>
    <n v="0"/>
    <n v="0"/>
    <n v="65.950497026296262"/>
    <n v="87.192857142857164"/>
    <n v="0"/>
    <n v="0"/>
    <m/>
    <s v="Kalyanpur"/>
    <m/>
    <n v="0"/>
  </r>
  <r>
    <s v="Munger"/>
    <s v="10-16 Apr"/>
    <n v="1053"/>
    <s v="Kalyanpur"/>
    <x v="724"/>
    <s v="GOMUKH Kalaunjar"/>
    <s v="MPG"/>
    <s v="Direct"/>
    <n v="525"/>
    <n v="23483.7"/>
    <n v="520.56000000000006"/>
    <n v="22911.483168561401"/>
    <n v="12.299999999999999"/>
    <n v="554.62858002990004"/>
    <n v="532.86"/>
    <n v="23466.111748591302"/>
    <n v="23466.111748591302"/>
    <n v="0"/>
    <n v="554.62858002990004"/>
    <n v="0"/>
    <n v="1350"/>
    <n v="0"/>
    <n v="0"/>
    <n v="21561"/>
    <n v="0"/>
    <n v="0"/>
    <n v="18"/>
    <n v="0"/>
    <n v="156.55800000000002"/>
    <n v="75"/>
    <n v="7.4895571859199585E-4"/>
    <n v="10"/>
    <m/>
    <s v="Kalyanpur"/>
    <m/>
    <n v="0"/>
  </r>
  <r>
    <s v="Munger"/>
    <s v="10-16 Apr"/>
    <n v="1053"/>
    <s v="Kalyanpur"/>
    <x v="725"/>
    <s v="Jitwariya W-11"/>
    <s v="vlc"/>
    <s v="Indirect"/>
    <n v="228.5"/>
    <n v="8959.15"/>
    <n v="0"/>
    <n v="0"/>
    <n v="0"/>
    <n v="0"/>
    <n v="0"/>
    <n v="0"/>
    <n v="8959.15"/>
    <n v="0"/>
    <n v="0"/>
    <n v="0"/>
    <n v="0"/>
    <n v="0"/>
    <n v="0"/>
    <n v="0"/>
    <n v="0"/>
    <n v="8959.15"/>
    <n v="0"/>
    <n v="0"/>
    <n v="369.73647483588621"/>
    <n v="32.642857142857146"/>
    <n v="0"/>
    <n v="0"/>
    <m/>
    <s v="Kalyanpur"/>
    <m/>
    <n v="0"/>
  </r>
  <r>
    <s v="Munger"/>
    <s v="10-16 Apr"/>
    <n v="1053"/>
    <s v="Kalyanpur"/>
    <x v="726"/>
    <s v="Pastara Lakshman"/>
    <s v="vlc"/>
    <s v="Indirect"/>
    <n v="228.54999999999998"/>
    <n v="8117.0499999999993"/>
    <n v="0"/>
    <n v="0"/>
    <n v="0"/>
    <n v="0"/>
    <n v="0"/>
    <n v="0"/>
    <n v="8117.0499999999993"/>
    <n v="0"/>
    <n v="0"/>
    <n v="0"/>
    <n v="0"/>
    <n v="0"/>
    <n v="0"/>
    <n v="0"/>
    <n v="0"/>
    <n v="8117.0499999999993"/>
    <n v="0"/>
    <n v="0"/>
    <n v="334.87492649310866"/>
    <n v="32.65"/>
    <n v="0"/>
    <n v="0"/>
    <m/>
    <s v="Kalyanpur"/>
    <m/>
    <n v="0"/>
  </r>
  <r>
    <s v="Munger"/>
    <s v="10-16 Apr"/>
    <n v="1053"/>
    <s v="Kalyanpur"/>
    <x v="727"/>
    <s v="GOMUKH DADHIYA-2"/>
    <s v="MPG"/>
    <s v="Direct"/>
    <n v="1243.6499999999999"/>
    <n v="56020.570000000007"/>
    <n v="1236.2300000000002"/>
    <n v="55069.009764405731"/>
    <n v="13.74"/>
    <n v="646.65219740258806"/>
    <n v="1249.9700000000003"/>
    <n v="55715.66196180832"/>
    <n v="55715.66196180832"/>
    <n v="0"/>
    <n v="646.65219740258806"/>
    <n v="0"/>
    <n v="7670"/>
    <n v="0"/>
    <n v="0"/>
    <n v="47400"/>
    <n v="0"/>
    <n v="0"/>
    <n v="304"/>
    <n v="0"/>
    <n v="0"/>
    <n v="0"/>
    <n v="5.4427871439309966E-3"/>
    <n v="35"/>
    <m/>
    <s v="Kalyanpur"/>
    <m/>
    <n v="0"/>
  </r>
  <r>
    <s v="Munger"/>
    <s v="10-16 Apr"/>
    <n v="1053"/>
    <s v="Kalyanpur"/>
    <x v="728"/>
    <s v="GOMUKH PREMNAGAR"/>
    <s v="MPG"/>
    <s v="Direct"/>
    <n v="1257.95"/>
    <n v="50144.580000000009"/>
    <n v="1242.3399999999999"/>
    <n v="49823.762411261618"/>
    <n v="15.04"/>
    <n v="573.47863329239999"/>
    <n v="1257.3799999999999"/>
    <n v="50397.241044554015"/>
    <n v="50144.580000000009"/>
    <n v="373.88499999999999"/>
    <n v="433.49735246400002"/>
    <n v="252.66104455400637"/>
    <n v="5378"/>
    <n v="0"/>
    <n v="0"/>
    <n v="43819"/>
    <n v="140"/>
    <n v="0"/>
    <n v="0"/>
    <n v="0"/>
    <n v="0"/>
    <n v="0"/>
    <n v="-5.0386511274799059E-3"/>
    <n v="30"/>
    <m/>
    <s v="Kalyanpur"/>
    <m/>
    <n v="0"/>
  </r>
  <r>
    <s v="Munger"/>
    <s v="10-16 Apr"/>
    <n v="1053"/>
    <s v="Kalyanpur"/>
    <x v="729"/>
    <s v="GOMUKH JITWARIYA W-6"/>
    <s v="MPG"/>
    <s v="Direct"/>
    <n v="1691.65"/>
    <n v="68330.2"/>
    <n v="1678.6800000000003"/>
    <n v="68428.670854585187"/>
    <n v="16.010000000000002"/>
    <n v="664.79361656399988"/>
    <n v="1694.6900000000003"/>
    <n v="69093.464471149186"/>
    <n v="68330.2"/>
    <n v="0"/>
    <n v="664.79361656399988"/>
    <n v="763.26447114918847"/>
    <n v="0"/>
    <n v="0"/>
    <n v="0"/>
    <n v="67665"/>
    <n v="0"/>
    <n v="0"/>
    <n v="0"/>
    <n v="0"/>
    <n v="0"/>
    <n v="0"/>
    <n v="-1.1170236164231753E-2"/>
    <n v="38"/>
    <m/>
    <s v="Kalyanpur"/>
    <m/>
    <n v="0"/>
  </r>
  <r>
    <s v="Munger"/>
    <s v="10-16 Apr"/>
    <n v="1053"/>
    <s v="Kalyanpur"/>
    <x v="730"/>
    <s v="GOMUKH SUSTA"/>
    <s v="MPG"/>
    <s v="Direct"/>
    <n v="912.10000000000025"/>
    <n v="38369.919999999998"/>
    <n v="913.95999999999981"/>
    <n v="38864.844613013171"/>
    <n v="0.87"/>
    <n v="33.649061688000003"/>
    <n v="914.82999999999981"/>
    <n v="38898.493674701167"/>
    <n v="38369.919999999998"/>
    <n v="1383"/>
    <n v="33.649061688000003"/>
    <n v="528.57367470116878"/>
    <n v="7913"/>
    <n v="0"/>
    <n v="0"/>
    <n v="29040"/>
    <n v="0"/>
    <n v="0"/>
    <n v="0"/>
    <n v="0"/>
    <n v="0"/>
    <n v="0"/>
    <n v="-1.3775730434183047E-2"/>
    <n v="29"/>
    <m/>
    <s v="Kalyanpur"/>
    <m/>
    <n v="0"/>
  </r>
  <r>
    <s v="Munger"/>
    <s v="10-16 Apr"/>
    <n v="1012"/>
    <s v="DalsinghSarai"/>
    <x v="732"/>
    <s v="BHATGAMA W-5"/>
    <s v="vlc"/>
    <s v="Indirect"/>
    <n v="224.57"/>
    <n v="7807.24"/>
    <n v="0"/>
    <n v="0"/>
    <n v="0"/>
    <n v="0"/>
    <n v="0"/>
    <n v="0"/>
    <n v="7807.24"/>
    <n v="0"/>
    <n v="0"/>
    <n v="0"/>
    <n v="0"/>
    <n v="0"/>
    <n v="0"/>
    <n v="0"/>
    <n v="0"/>
    <n v="7807.24"/>
    <n v="0"/>
    <n v="0"/>
    <n v="330.56918673019544"/>
    <n v="32.081428571428567"/>
    <n v="0"/>
    <n v="0"/>
    <m/>
    <s v="DalsinghSarai"/>
    <m/>
    <n v="0"/>
  </r>
  <r>
    <s v="Munger"/>
    <s v="10-16 Apr"/>
    <n v="1053"/>
    <s v="Kalyanpur"/>
    <x v="733"/>
    <s v="GOMUKH TOKE"/>
    <s v="MPG"/>
    <s v="Direct"/>
    <n v="323.15000000000003"/>
    <n v="16417.86"/>
    <n v="321.3"/>
    <n v="16844.800601911571"/>
    <n v="7.2"/>
    <n v="358.77345138224001"/>
    <n v="328.5"/>
    <n v="17203.574053293811"/>
    <n v="16417.86"/>
    <n v="0"/>
    <n v="358.77345138224001"/>
    <n v="785.71405329381014"/>
    <n v="0"/>
    <n v="0"/>
    <n v="0"/>
    <n v="16059"/>
    <n v="0"/>
    <n v="0"/>
    <n v="0"/>
    <n v="0"/>
    <n v="382.92251530249104"/>
    <n v="46.164285714285718"/>
    <n v="-4.7857275752979385E-2"/>
    <n v="16"/>
    <m/>
    <s v="Kalyanpur"/>
    <m/>
    <n v="0"/>
  </r>
  <r>
    <s v="Munger"/>
    <s v="10-16 Apr"/>
    <n v="1053"/>
    <s v="Kalyanpur"/>
    <x v="734"/>
    <s v="GOMUKH SHIVNAGAR"/>
    <s v="MPG"/>
    <s v="Direct"/>
    <n v="999.25"/>
    <n v="37961.079999999994"/>
    <n v="765.94000000000017"/>
    <n v="29086.353981917589"/>
    <n v="231.90000000000003"/>
    <n v="9312.8572115675015"/>
    <n v="997.84000000000015"/>
    <n v="38399.211193485091"/>
    <n v="37961.079999999994"/>
    <n v="0"/>
    <n v="612.90745163999998"/>
    <n v="438.13119348509645"/>
    <n v="7826"/>
    <n v="0"/>
    <n v="0"/>
    <n v="20822"/>
    <n v="8700"/>
    <n v="0"/>
    <n v="0"/>
    <n v="0"/>
    <n v="0"/>
    <n v="0"/>
    <n v="-1.1541589266825299E-2"/>
    <n v="19"/>
    <m/>
    <s v="Kalyanpur"/>
    <m/>
    <n v="0"/>
  </r>
  <r>
    <s v="Munger"/>
    <s v="10-16 Apr"/>
    <n v="1053"/>
    <s v="Kalyanpur"/>
    <x v="735"/>
    <s v="GOMUKH BAKHITIYARPUR"/>
    <s v="MPG"/>
    <s v="Direct"/>
    <n v="1130.95"/>
    <n v="48084.399999999994"/>
    <n v="1114.0999999999999"/>
    <n v="47629.700209367358"/>
    <n v="18.2"/>
    <n v="721.42650360000016"/>
    <n v="1132.3"/>
    <n v="48351.126712967358"/>
    <n v="48084.399999999994"/>
    <n v="0"/>
    <n v="721.42650360000016"/>
    <n v="266.72671296736371"/>
    <n v="5575"/>
    <n v="0"/>
    <n v="0"/>
    <n v="41788"/>
    <n v="0"/>
    <n v="0"/>
    <n v="0"/>
    <n v="0"/>
    <n v="0"/>
    <n v="0"/>
    <n v="-5.5470529520460637E-3"/>
    <n v="39"/>
    <m/>
    <s v="Kalyanpur"/>
    <m/>
    <n v="0"/>
  </r>
  <r>
    <s v="Munger"/>
    <s v="10-16 Apr"/>
    <n v="1053"/>
    <s v="Kalyanpur"/>
    <x v="736"/>
    <s v="GOMUKH BHARJA"/>
    <s v="MPG"/>
    <s v="Direct"/>
    <n v="661.75000000000011"/>
    <n v="32163.879999999997"/>
    <n v="669.70000000000016"/>
    <n v="31798.372136948608"/>
    <n v="6.8999999999999995"/>
    <n v="359.38991688880003"/>
    <n v="676.60000000000014"/>
    <n v="32157.762053837407"/>
    <n v="32157.762053837407"/>
    <n v="0"/>
    <n v="359.38991688880003"/>
    <n v="0"/>
    <n v="20772"/>
    <n v="0"/>
    <n v="0"/>
    <n v="11026"/>
    <n v="0"/>
    <n v="0"/>
    <n v="6"/>
    <n v="0"/>
    <n v="37.182271552701025"/>
    <n v="94.535714285714306"/>
    <n v="1.9021169593316073E-4"/>
    <n v="3"/>
    <m/>
    <s v="Kalyanpur"/>
    <m/>
    <n v="0"/>
  </r>
  <r>
    <s v="Munger"/>
    <s v="10-16 Apr"/>
    <n v="1053"/>
    <s v="Kalyanpur"/>
    <x v="737"/>
    <s v="GOMUKH NAWABGANJ"/>
    <s v="MPG"/>
    <s v="Direct"/>
    <n v="530"/>
    <n v="22311.190000000002"/>
    <n v="523.20000000000005"/>
    <n v="21734.280542548775"/>
    <n v="13.699999999999998"/>
    <n v="573.53804883704993"/>
    <n v="536.90000000000009"/>
    <n v="22307.818591385825"/>
    <n v="22307.818591385825"/>
    <n v="0"/>
    <n v="573.53804883704993"/>
    <n v="0"/>
    <n v="2845"/>
    <n v="0"/>
    <n v="0"/>
    <n v="18888"/>
    <n v="0"/>
    <n v="0"/>
    <n v="5"/>
    <n v="0"/>
    <n v="143.12838867924532"/>
    <n v="75.714285714285708"/>
    <n v="1.5110841753295984E-4"/>
    <n v="18"/>
    <m/>
    <s v="Kalyanpur"/>
    <m/>
    <n v="0"/>
  </r>
  <r>
    <s v="Munger"/>
    <s v="10-16 Apr"/>
    <n v="1053"/>
    <s v="Kalyanpur"/>
    <x v="738"/>
    <s v="Gomukh Somnaha Naya Tola"/>
    <s v="vlc"/>
    <s v="Direct"/>
    <n v="87.100000000000009"/>
    <n v="3198.41"/>
    <n v="55.5"/>
    <n v="3191.2137734850003"/>
    <n v="0"/>
    <n v="0"/>
    <n v="55.5"/>
    <n v="3191.2137734850003"/>
    <n v="3191.2137734850003"/>
    <n v="0"/>
    <n v="0"/>
    <n v="0"/>
    <n v="0"/>
    <n v="0"/>
    <n v="0"/>
    <n v="3191"/>
    <n v="0"/>
    <n v="0"/>
    <n v="7"/>
    <n v="0"/>
    <n v="450.1275520091848"/>
    <n v="12.442857142857145"/>
    <n v="2.2499387242409762E-3"/>
    <n v="1"/>
    <m/>
    <s v="Kalyanpur"/>
    <m/>
    <n v="0"/>
  </r>
  <r>
    <s v="Munger"/>
    <s v="10-16 Apr"/>
    <n v="1053"/>
    <s v="Kalyanpur"/>
    <x v="739"/>
    <s v="GOMUKH CHAKKI"/>
    <s v="MPG"/>
    <s v="Direct"/>
    <n v="372.7"/>
    <n v="15632.189999999999"/>
    <n v="366.29999999999995"/>
    <n v="15897.865120905804"/>
    <n v="3.8999999999999995"/>
    <n v="179.32413157056001"/>
    <n v="370.19999999999993"/>
    <n v="16077.189252476364"/>
    <n v="15632.189999999999"/>
    <n v="0"/>
    <n v="179.32413157056001"/>
    <n v="444.99925247636565"/>
    <n v="137"/>
    <n v="0"/>
    <n v="0"/>
    <n v="15316"/>
    <n v="0"/>
    <n v="0"/>
    <n v="0"/>
    <n v="0"/>
    <n v="274.55947341024955"/>
    <n v="53.24285714285714"/>
    <n v="-2.8466852851479266E-2"/>
    <n v="15"/>
    <m/>
    <s v="Kalyanpur"/>
    <m/>
    <n v="0"/>
  </r>
  <r>
    <s v="Munger"/>
    <s v="10-16 Apr"/>
    <n v="1053"/>
    <s v="Kalyanpur"/>
    <x v="740"/>
    <s v="GOMUKH LAKSHMAN NAGAR"/>
    <s v="MPG"/>
    <s v="Direct"/>
    <n v="404.0499999999999"/>
    <n v="17720.41"/>
    <n v="413.10000000000008"/>
    <n v="18005.542628448562"/>
    <n v="5.9999999999999991"/>
    <n v="240.83589994200003"/>
    <n v="419.10000000000008"/>
    <n v="18246.378528390564"/>
    <n v="17720.41"/>
    <n v="0"/>
    <n v="240.83589994200003"/>
    <n v="525.96852839056373"/>
    <n v="1362"/>
    <n v="0"/>
    <n v="0"/>
    <n v="16118"/>
    <n v="0"/>
    <n v="0"/>
    <n v="0"/>
    <s v="Release2"/>
    <n v="259.58942405642881"/>
    <n v="57.721428571428554"/>
    <n v="-2.9681510099967424E-2"/>
    <n v="13"/>
    <m/>
    <s v="Kalyanpur"/>
    <m/>
    <n v="0"/>
  </r>
  <r>
    <s v="Munger"/>
    <s v="10-16 Apr"/>
    <n v="1053"/>
    <s v="Kalyanpur"/>
    <x v="741"/>
    <s v="GOMUKH KOTHIYA"/>
    <s v="MPG"/>
    <s v="Direct"/>
    <n v="118.55000000000001"/>
    <n v="4795.96"/>
    <n v="116.69999999999999"/>
    <n v="4397.9068559385005"/>
    <n v="0.1"/>
    <n v="3.8175378120000008"/>
    <n v="116.79999999999998"/>
    <n v="4401.7243937505009"/>
    <n v="4401.7243937505009"/>
    <n v="0"/>
    <n v="3.8175378120000008"/>
    <n v="0"/>
    <n v="1887"/>
    <n v="0"/>
    <n v="0"/>
    <n v="2511"/>
    <n v="0"/>
    <n v="0"/>
    <n v="394"/>
    <n v="0"/>
    <n v="470.45313234921974"/>
    <n v="16.935714285714287"/>
    <n v="8.2201604318947435E-2"/>
    <n v="5"/>
    <m/>
    <s v="Kalyanpur"/>
    <m/>
    <n v="0"/>
  </r>
  <r>
    <s v="Munger"/>
    <s v="10-16 Apr"/>
    <n v="1053"/>
    <s v="Kalyanpur"/>
    <x v="742"/>
    <s v="GOMUKH JHAHURI"/>
    <s v="MPG"/>
    <s v="Direct"/>
    <n v="2110.6"/>
    <n v="95761.279999999984"/>
    <n v="2078.3000000000002"/>
    <n v="94654.223255307908"/>
    <n v="28.8"/>
    <n v="1264.5580601472002"/>
    <n v="2107.1000000000004"/>
    <n v="95918.781315455111"/>
    <n v="95761.279999999984"/>
    <n v="0"/>
    <n v="1264.5580601472002"/>
    <n v="157.50131545512704"/>
    <n v="20468"/>
    <n v="0"/>
    <n v="0"/>
    <n v="74029"/>
    <n v="0"/>
    <n v="0"/>
    <n v="0"/>
    <n v="0"/>
    <n v="0"/>
    <n v="0"/>
    <n v="-1.644728594429054E-3"/>
    <n v="30"/>
    <m/>
    <s v="Kalyanpur"/>
    <m/>
    <n v="0"/>
  </r>
  <r>
    <s v="Munger"/>
    <s v="10-16 Apr"/>
    <n v="1053"/>
    <s v="Kalyanpur"/>
    <x v="743"/>
    <s v="Belsandi Dihtola"/>
    <s v="vlc"/>
    <s v="Indirect"/>
    <n v="529.15"/>
    <n v="19217.210000000003"/>
    <n v="0"/>
    <n v="0"/>
    <n v="0"/>
    <n v="0"/>
    <n v="0"/>
    <n v="0"/>
    <n v="19217.210000000003"/>
    <n v="0"/>
    <n v="0"/>
    <n v="0"/>
    <n v="0"/>
    <n v="0"/>
    <n v="0"/>
    <n v="0"/>
    <n v="0"/>
    <n v="19217.210000000003"/>
    <n v="0"/>
    <n v="0"/>
    <n v="124.09563747519611"/>
    <n v="75.592857142857142"/>
    <n v="0"/>
    <n v="0"/>
    <m/>
    <s v="Kalyanpur"/>
    <m/>
    <n v="0"/>
  </r>
  <r>
    <s v="Munger"/>
    <s v="10-16 Apr"/>
    <n v="1053"/>
    <s v="Kalyanpur"/>
    <x v="744"/>
    <s v="GOMUKH Gopalpur Ward 1"/>
    <s v="MPG"/>
    <s v="Direct"/>
    <n v="203.75000000000003"/>
    <n v="8193.4500000000007"/>
    <n v="203.77"/>
    <n v="7991.8682006372219"/>
    <n v="2.25"/>
    <n v="89.97369400800001"/>
    <n v="206.02"/>
    <n v="8081.8418946452221"/>
    <n v="8081.8418946452221"/>
    <n v="0"/>
    <n v="89.97369400800001"/>
    <n v="0"/>
    <n v="0"/>
    <n v="0"/>
    <n v="0"/>
    <n v="7993"/>
    <n v="0"/>
    <n v="0"/>
    <n v="110"/>
    <s v="Release3"/>
    <n v="399.11652147239266"/>
    <n v="29.107142857142861"/>
    <n v="1.3621625243917844E-2"/>
    <n v="5"/>
    <m/>
    <s v="Kalyanpur"/>
    <m/>
    <n v="0"/>
  </r>
  <r>
    <s v="Munger"/>
    <s v="10-16 Apr"/>
    <n v="1053"/>
    <s v="Kalyanpur"/>
    <x v="745"/>
    <s v="GOMUKH Keotsa"/>
    <s v="MPG"/>
    <s v="Direct"/>
    <n v="421.04999999999995"/>
    <n v="15488.11"/>
    <n v="420.66999999999996"/>
    <n v="15435.924184191921"/>
    <n v="4.93"/>
    <n v="196.27594334528004"/>
    <n v="425.59999999999997"/>
    <n v="15632.2001275372"/>
    <n v="15488.11"/>
    <n v="0"/>
    <n v="196.27594334528004"/>
    <n v="144.09012753719981"/>
    <n v="4050"/>
    <n v="0"/>
    <n v="0"/>
    <n v="11242"/>
    <n v="0"/>
    <n v="0"/>
    <n v="0"/>
    <n v="0"/>
    <n v="205.22067614297595"/>
    <n v="60.149999999999991"/>
    <n v="-9.3032737717642627E-3"/>
    <n v="7"/>
    <m/>
    <s v="Kalyanpur"/>
    <m/>
    <n v="0"/>
  </r>
  <r>
    <s v="Munger"/>
    <s v="10-16 Apr"/>
    <n v="1053"/>
    <s v="Kalyanpur"/>
    <x v="1010"/>
    <s v="Gomukh Namapur East"/>
    <s v="vlc"/>
    <s v="Indirect"/>
    <n v="369.59999999999997"/>
    <n v="16228.04"/>
    <n v="0"/>
    <n v="0"/>
    <n v="0"/>
    <n v="0"/>
    <n v="0"/>
    <n v="0"/>
    <n v="16228.04"/>
    <n v="0"/>
    <n v="0"/>
    <n v="0"/>
    <n v="0"/>
    <n v="0"/>
    <n v="0"/>
    <n v="0"/>
    <n v="0"/>
    <n v="16228.04"/>
    <n v="0"/>
    <n v="0"/>
    <n v="290.13768484848492"/>
    <n v="52.8"/>
    <n v="0"/>
    <n v="0"/>
    <m/>
    <s v="Kalyanpur"/>
    <m/>
    <n v="0"/>
  </r>
  <r>
    <s v="Munger"/>
    <s v="10-16 Apr"/>
    <n v="1053"/>
    <s v="Kalyanpur"/>
    <x v="746"/>
    <s v="GOMUKH Waini"/>
    <s v="MPG"/>
    <s v="Direct"/>
    <n v="253.79999999999998"/>
    <n v="9686.8700000000008"/>
    <n v="242.87999999999991"/>
    <n v="9249.2484677278026"/>
    <n v="5.67"/>
    <n v="204.90155484480002"/>
    <n v="248.5499999999999"/>
    <n v="9454.1500225726031"/>
    <n v="9454.1500225726031"/>
    <n v="0"/>
    <n v="204.90155484480002"/>
    <n v="0"/>
    <n v="0"/>
    <n v="0"/>
    <n v="0"/>
    <n v="9249"/>
    <n v="0"/>
    <n v="0"/>
    <n v="233"/>
    <n v="0"/>
    <n v="340.60531079590243"/>
    <n v="36.257142857142853"/>
    <n v="2.4024269699851206E-2"/>
    <n v="3"/>
    <m/>
    <s v="Kalyanpur"/>
    <m/>
    <n v="0"/>
  </r>
  <r>
    <s v="Munger"/>
    <s v="10-16 Apr"/>
    <n v="1053"/>
    <s v="Kalyanpur"/>
    <x v="747"/>
    <s v="GOMUKH SAKARI"/>
    <s v="MPG"/>
    <s v="Direct"/>
    <n v="1303.6000000000004"/>
    <n v="57677.039999999986"/>
    <n v="1296.8900000000001"/>
    <n v="56702.960643263032"/>
    <n v="21.509999999999998"/>
    <n v="968.84229860408993"/>
    <n v="1318.4"/>
    <n v="57671.802941867121"/>
    <n v="57671.802941867121"/>
    <n v="0"/>
    <n v="968.84229860408993"/>
    <n v="0"/>
    <n v="15000"/>
    <n v="0"/>
    <n v="0"/>
    <n v="41703"/>
    <n v="0"/>
    <n v="0"/>
    <n v="5"/>
    <n v="0"/>
    <n v="0"/>
    <n v="0"/>
    <n v="9.0799703536538281E-5"/>
    <n v="9"/>
    <m/>
    <s v="Kalyanpur"/>
    <m/>
    <n v="0"/>
  </r>
  <r>
    <s v="Munger"/>
    <s v="10-16 Apr"/>
    <n v="1053"/>
    <s v="Kalyanpur"/>
    <x v="748"/>
    <s v="GOMUKH DHOBGAMA"/>
    <s v="MPG"/>
    <s v="Direct"/>
    <n v="1089.4000000000001"/>
    <n v="39457.040000000001"/>
    <n v="1063.56"/>
    <n v="39221.864414593314"/>
    <n v="20.22"/>
    <n v="760.81678049520008"/>
    <n v="1083.78"/>
    <n v="39982.681195088517"/>
    <n v="39457.040000000001"/>
    <n v="0"/>
    <n v="760.81678049520008"/>
    <n v="525.64119508851581"/>
    <n v="0"/>
    <n v="0"/>
    <n v="0"/>
    <n v="38696"/>
    <n v="0"/>
    <n v="0"/>
    <n v="0"/>
    <n v="0"/>
    <n v="0"/>
    <n v="0"/>
    <n v="-1.3321860815928305E-2"/>
    <n v="20"/>
    <m/>
    <s v="Kalyanpur"/>
    <m/>
    <n v="0"/>
  </r>
  <r>
    <s v="Munger"/>
    <s v="10-16 Apr"/>
    <n v="1053"/>
    <s v="Kalyanpur"/>
    <x v="1011"/>
    <s v="GOMUKH BHUSKOUL"/>
    <s v="MPG"/>
    <s v="Direct"/>
    <n v="494.50000000000006"/>
    <n v="19761.78"/>
    <n v="505.07000000000005"/>
    <n v="20466.366163973791"/>
    <n v="9.1"/>
    <n v="385.18122670200012"/>
    <n v="514.17000000000007"/>
    <n v="20851.547390675791"/>
    <n v="19761.78"/>
    <n v="0"/>
    <n v="385.18122670200012"/>
    <n v="1089.7673906757918"/>
    <n v="0"/>
    <n v="0"/>
    <n v="0"/>
    <n v="19377"/>
    <n v="0"/>
    <n v="0"/>
    <n v="0"/>
    <n v="0"/>
    <n v="164.24856582406466"/>
    <n v="70.642857142857153"/>
    <n v="-5.5145204059340397E-2"/>
    <n v="17"/>
    <m/>
    <s v="Kalyanpur"/>
    <m/>
    <n v="0"/>
  </r>
  <r>
    <s v="Munger"/>
    <s v="10-16 Apr"/>
    <n v="1053"/>
    <s v="Kalyanpur"/>
    <x v="749"/>
    <s v="GOMUKH BIRSINGHPUR"/>
    <s v="MPG"/>
    <s v="Direct"/>
    <n v="547.15000000000009"/>
    <n v="20979.390000000003"/>
    <n v="547.15"/>
    <n v="20580.476794594204"/>
    <n v="8.6999999999999993"/>
    <n v="396.20764656"/>
    <n v="555.85"/>
    <n v="20976.684441154204"/>
    <n v="20976.684441154204"/>
    <n v="0"/>
    <n v="396.20764656"/>
    <n v="0"/>
    <n v="3000"/>
    <n v="0"/>
    <n v="0"/>
    <n v="17581"/>
    <n v="0"/>
    <n v="0"/>
    <n v="2"/>
    <n v="0"/>
    <n v="117.21464905418982"/>
    <n v="78.164285714285725"/>
    <n v="1.2896270319579382E-4"/>
    <n v="4"/>
    <m/>
    <s v="Kalyanpur"/>
    <m/>
    <n v="0"/>
  </r>
  <r>
    <s v="Munger"/>
    <s v="10-16 Apr"/>
    <n v="1053"/>
    <s v="Kalyanpur"/>
    <x v="1040"/>
    <s v="GOMUKH DHROOVGAMA W-12"/>
    <s v="vlc"/>
    <s v="Indirect"/>
    <n v="104.3"/>
    <n v="3674.0600000000004"/>
    <n v="0"/>
    <n v="0"/>
    <n v="0"/>
    <n v="0"/>
    <n v="0"/>
    <n v="0"/>
    <n v="3674.0600000000004"/>
    <n v="0"/>
    <n v="0"/>
    <n v="0"/>
    <n v="0"/>
    <n v="0"/>
    <n v="0"/>
    <n v="0"/>
    <n v="0"/>
    <n v="3674.0600000000004"/>
    <n v="0"/>
    <n v="0"/>
    <n v="419.68121610738251"/>
    <n v="14.9"/>
    <n v="0"/>
    <n v="0"/>
    <m/>
    <s v="Kalyanpur"/>
    <m/>
    <n v="0"/>
  </r>
  <r>
    <s v="Munger"/>
    <s v="10-16 Apr"/>
    <n v="1054"/>
    <s v="Alauli "/>
    <x v="750"/>
    <s v="GOMUKH ANANDPUR PARAS 2"/>
    <s v="MPG"/>
    <s v="Direct"/>
    <n v="3312"/>
    <n v="132921.89000000001"/>
    <n v="3312.5000000000005"/>
    <n v="134681.86585259999"/>
    <n v="0"/>
    <n v="0"/>
    <n v="3312.5000000000005"/>
    <n v="134681.86585259999"/>
    <n v="132921.89000000001"/>
    <n v="0"/>
    <n v="0"/>
    <n v="1759.9758525999787"/>
    <n v="0"/>
    <n v="0"/>
    <n v="0"/>
    <n v="132922"/>
    <n v="0"/>
    <n v="0"/>
    <n v="0"/>
    <n v="0"/>
    <n v="0"/>
    <n v="0"/>
    <n v="-1.3240677307552417E-2"/>
    <n v="1"/>
    <m/>
    <s v="Alauli "/>
    <m/>
    <n v="0"/>
  </r>
  <r>
    <s v="Munger"/>
    <s v="10-16 Apr"/>
    <n v="1054"/>
    <s v="Alauli "/>
    <x v="751"/>
    <s v="GOMUKH GADBANNI"/>
    <s v="MPG"/>
    <s v="Direct"/>
    <n v="296.29999999999995"/>
    <n v="11961.75"/>
    <n v="297.65999999999997"/>
    <n v="11549.460448087291"/>
    <n v="0"/>
    <n v="0"/>
    <n v="297.65999999999997"/>
    <n v="11549.460448087291"/>
    <n v="11549.460448087291"/>
    <n v="0"/>
    <n v="0"/>
    <n v="0"/>
    <n v="0"/>
    <n v="0"/>
    <n v="0"/>
    <n v="11548"/>
    <n v="0"/>
    <n v="0"/>
    <n v="414"/>
    <n v="0"/>
    <n v="325.95062267971662"/>
    <n v="42.328571428571422"/>
    <n v="3.4467327265049738E-2"/>
    <n v="9"/>
    <m/>
    <s v="Alauli "/>
    <m/>
    <n v="0"/>
  </r>
  <r>
    <s v="Munger"/>
    <s v="10-16 Apr"/>
    <n v="1054"/>
    <s v="Alauli "/>
    <x v="752"/>
    <s v="GOMUKH PARRI"/>
    <s v="MPG"/>
    <s v="Direct"/>
    <n v="241.5"/>
    <n v="11725.679999999998"/>
    <n v="235.26000000000002"/>
    <n v="12497.869599825381"/>
    <n v="0"/>
    <n v="0"/>
    <n v="235.26000000000002"/>
    <n v="12497.869599825381"/>
    <n v="11725.679999999998"/>
    <n v="0"/>
    <n v="0"/>
    <n v="772.18959982538217"/>
    <n v="0"/>
    <n v="500"/>
    <n v="0"/>
    <n v="11226"/>
    <n v="0"/>
    <n v="0"/>
    <n v="0"/>
    <s v="Release1"/>
    <n v="445.23596521739131"/>
    <n v="34.5"/>
    <n v="-6.5854568760650323E-2"/>
    <n v="11"/>
    <m/>
    <s v="Alauli "/>
    <m/>
    <n v="500"/>
  </r>
  <r>
    <s v="Munger"/>
    <s v="10-16 Apr"/>
    <n v="1054"/>
    <s v="Alauli "/>
    <x v="753"/>
    <s v="GOMUKH BHIKHARI GHAT"/>
    <s v="MPG"/>
    <s v="Direct"/>
    <n v="1399.2999999999997"/>
    <n v="59099.88"/>
    <n v="1375.4900000000005"/>
    <n v="59372.584755660486"/>
    <n v="0"/>
    <n v="0"/>
    <n v="1375.4900000000005"/>
    <n v="59372.584755660486"/>
    <n v="59099.88"/>
    <n v="0"/>
    <n v="0"/>
    <n v="272.70475566048844"/>
    <n v="0"/>
    <n v="0"/>
    <n v="0"/>
    <n v="59100"/>
    <n v="0"/>
    <n v="0"/>
    <n v="0"/>
    <s v="Release1"/>
    <n v="0"/>
    <n v="0"/>
    <n v="-4.614303035141331E-3"/>
    <n v="39"/>
    <m/>
    <s v="Alauli "/>
    <m/>
    <n v="0"/>
  </r>
  <r>
    <s v="Munger"/>
    <s v="10-16 Apr"/>
    <n v="1054"/>
    <s v="Alauli "/>
    <x v="754"/>
    <s v="Vikash Kumar"/>
    <s v="vlc"/>
    <s v="Indirect"/>
    <n v="1732.2999999999997"/>
    <n v="72759.25999999998"/>
    <n v="0"/>
    <n v="0"/>
    <n v="0"/>
    <n v="0"/>
    <n v="0"/>
    <n v="0"/>
    <n v="72759.25999999998"/>
    <n v="0"/>
    <n v="0"/>
    <n v="0"/>
    <n v="0"/>
    <n v="0"/>
    <n v="0"/>
    <n v="0"/>
    <n v="0"/>
    <n v="72759.25999999998"/>
    <n v="0"/>
    <n v="0"/>
    <n v="0"/>
    <n v="0"/>
    <n v="0"/>
    <n v="0"/>
    <m/>
    <s v="Alauli "/>
    <m/>
    <n v="0"/>
  </r>
  <r>
    <s v="Munger"/>
    <s v="10-16 Apr"/>
    <n v="1054"/>
    <s v="Alauli "/>
    <x v="755"/>
    <s v="Rajkishore Yadav"/>
    <s v="vlc"/>
    <s v="Indirect"/>
    <n v="239"/>
    <n v="8127.6799999999985"/>
    <n v="0"/>
    <n v="0"/>
    <n v="0"/>
    <n v="0"/>
    <n v="0"/>
    <n v="0"/>
    <n v="8127.6799999999985"/>
    <n v="0"/>
    <n v="0"/>
    <n v="0"/>
    <n v="0"/>
    <n v="0"/>
    <n v="0"/>
    <n v="0"/>
    <n v="0"/>
    <n v="8127.6799999999985"/>
    <n v="0"/>
    <n v="0"/>
    <n v="313.544810041841"/>
    <n v="34.142857142857146"/>
    <n v="0"/>
    <n v="0"/>
    <m/>
    <s v="Alauli "/>
    <m/>
    <n v="0"/>
  </r>
  <r>
    <s v="Munger"/>
    <s v="10-16 Apr"/>
    <n v="1054"/>
    <s v="Alauli "/>
    <x v="756"/>
    <s v="BHADAS VLC"/>
    <s v="vlc"/>
    <s v="Indirect"/>
    <n v="65.799999999999983"/>
    <n v="2675.68"/>
    <n v="0"/>
    <n v="0"/>
    <n v="0"/>
    <n v="0"/>
    <n v="0"/>
    <n v="0"/>
    <n v="2675.68"/>
    <n v="0"/>
    <n v="0"/>
    <n v="0"/>
    <n v="0"/>
    <n v="0"/>
    <n v="0"/>
    <n v="0"/>
    <n v="0"/>
    <n v="2675.68"/>
    <n v="0"/>
    <n v="0"/>
    <n v="515.78001702127676"/>
    <n v="9.3999999999999968"/>
    <n v="0"/>
    <n v="0"/>
    <m/>
    <s v="Alauli "/>
    <m/>
    <n v="0"/>
  </r>
  <r>
    <s v="Munger"/>
    <s v="10-16 Apr"/>
    <n v="1054"/>
    <s v="Alauli "/>
    <x v="757"/>
    <s v="SUNIL KUMAR VLC"/>
    <s v="vlc"/>
    <s v="Indirect"/>
    <n v="255.89999999999998"/>
    <n v="10116.31"/>
    <n v="0"/>
    <n v="0"/>
    <n v="0"/>
    <n v="0"/>
    <n v="0"/>
    <n v="0"/>
    <n v="10116.31"/>
    <n v="0"/>
    <n v="0"/>
    <n v="0"/>
    <n v="0"/>
    <n v="0"/>
    <n v="0"/>
    <n v="0"/>
    <n v="0"/>
    <n v="10116.31"/>
    <n v="0"/>
    <n v="0"/>
    <n v="351.12569527159053"/>
    <n v="36.557142857142857"/>
    <n v="0"/>
    <n v="0"/>
    <m/>
    <s v="Alauli "/>
    <m/>
    <n v="0"/>
  </r>
  <r>
    <s v="Munger"/>
    <s v="10-16 Apr"/>
    <n v="1054"/>
    <s v="Alauli "/>
    <x v="758"/>
    <s v="GOMUKH BENHER"/>
    <s v="MPG"/>
    <s v="Direct"/>
    <n v="465.30000000000007"/>
    <n v="21915.570000000003"/>
    <n v="469.77"/>
    <n v="21889.686226224541"/>
    <n v="1.28"/>
    <n v="61.757904256209997"/>
    <n v="471.04999999999995"/>
    <n v="21951.444130480751"/>
    <n v="21915.570000000003"/>
    <n v="0"/>
    <n v="61.757904256209997"/>
    <n v="35.874130480748136"/>
    <n v="0"/>
    <n v="0"/>
    <n v="0"/>
    <n v="21854"/>
    <n v="0"/>
    <n v="0"/>
    <n v="0"/>
    <n v="0"/>
    <n v="221.08679471308832"/>
    <n v="66.471428571428575"/>
    <n v="-1.6369243638540147E-3"/>
    <n v="9"/>
    <m/>
    <s v="Alauli "/>
    <m/>
    <n v="0"/>
  </r>
  <r>
    <s v="Munger"/>
    <s v="10-16 Apr"/>
    <n v="1054"/>
    <s v="Alauli "/>
    <x v="759"/>
    <s v="GOMUKH LADORA"/>
    <s v="MPG"/>
    <s v="Direct"/>
    <n v="594.6"/>
    <n v="22761.369999999995"/>
    <n v="600.56999999999994"/>
    <n v="25655.642579773223"/>
    <n v="0"/>
    <n v="0"/>
    <n v="600.56999999999994"/>
    <n v="25655.642579773223"/>
    <n v="22761.369999999995"/>
    <n v="0"/>
    <n v="0"/>
    <n v="2894.2725797732273"/>
    <n v="0"/>
    <n v="0"/>
    <n v="0"/>
    <n v="22761"/>
    <n v="0"/>
    <n v="0"/>
    <n v="0"/>
    <n v="0"/>
    <n v="80.694530709720766"/>
    <n v="84.94285714285715"/>
    <n v="-0.12715722207289051"/>
    <n v="2"/>
    <m/>
    <s v="Alauli "/>
    <m/>
    <n v="0"/>
  </r>
  <r>
    <s v="Munger"/>
    <s v="10-16 Apr"/>
    <n v="1054"/>
    <s v="Alauli "/>
    <x v="760"/>
    <s v="GOMUKH SAHSI"/>
    <s v="MPG"/>
    <s v="Direct"/>
    <n v="181.7"/>
    <n v="7892.5000000000009"/>
    <n v="187.22000000000003"/>
    <n v="8214.9060902814635"/>
    <n v="0"/>
    <n v="0"/>
    <n v="187.22000000000003"/>
    <n v="8214.9060902814635"/>
    <n v="7892.5000000000009"/>
    <n v="0"/>
    <n v="0"/>
    <n v="322.40609028146264"/>
    <n v="0"/>
    <n v="500"/>
    <n v="0"/>
    <n v="7393"/>
    <n v="0"/>
    <n v="0"/>
    <n v="0"/>
    <n v="0"/>
    <n v="450.26777655476064"/>
    <n v="25.957142857142856"/>
    <n v="-4.0849678844657913E-2"/>
    <n v="6"/>
    <m/>
    <s v="Alauli "/>
    <m/>
    <n v="500"/>
  </r>
  <r>
    <s v="Munger"/>
    <s v="10-16 Apr"/>
    <n v="1054"/>
    <s v="Alauli "/>
    <x v="761"/>
    <s v="Gomukh Chikni"/>
    <s v="MPG"/>
    <s v="Direct"/>
    <n v="202.70000000000005"/>
    <n v="7568.7199999999993"/>
    <n v="213.57999999999998"/>
    <n v="7881.617609316002"/>
    <n v="0"/>
    <n v="0"/>
    <n v="213.57999999999998"/>
    <n v="7881.617609316002"/>
    <n v="7568.7199999999993"/>
    <n v="0"/>
    <n v="0"/>
    <n v="312.89760931600267"/>
    <n v="0"/>
    <n v="500"/>
    <n v="0"/>
    <n v="7069"/>
    <n v="0"/>
    <n v="0"/>
    <n v="0"/>
    <s v="Release1"/>
    <n v="371.37883137641825"/>
    <n v="28.957142857142863"/>
    <n v="-4.134088846145751E-2"/>
    <n v="1"/>
    <m/>
    <s v="Alauli "/>
    <m/>
    <n v="500"/>
  </r>
  <r>
    <s v="Munger"/>
    <s v="10-16 Apr"/>
    <n v="1054"/>
    <s v="Alauli "/>
    <x v="762"/>
    <s v="GOMUKH BUDWA"/>
    <s v="MPG"/>
    <s v="Direct"/>
    <n v="124.7"/>
    <n v="4430.8"/>
    <n v="123.21"/>
    <n v="4386.6493688159999"/>
    <n v="0"/>
    <n v="0"/>
    <n v="123.21"/>
    <n v="4386.6493688159999"/>
    <n v="4386.6493688159999"/>
    <n v="0"/>
    <n v="0"/>
    <n v="0"/>
    <n v="0"/>
    <n v="0"/>
    <n v="0"/>
    <n v="4387"/>
    <n v="0"/>
    <n v="0"/>
    <n v="44"/>
    <n v="0"/>
    <n v="408.82746431435436"/>
    <n v="17.814285714285713"/>
    <n v="9.9644829791460457E-3"/>
    <n v="5"/>
    <m/>
    <s v="Alauli "/>
    <m/>
    <n v="0"/>
  </r>
  <r>
    <s v="Munger"/>
    <s v="10-16 Apr"/>
    <n v="1054"/>
    <s v="Alauli "/>
    <x v="763"/>
    <s v="GOMUKH GANGIYA"/>
    <s v="MPG"/>
    <s v="Indirect"/>
    <n v="448.90000000000003"/>
    <n v="15297.33"/>
    <n v="0"/>
    <n v="0"/>
    <n v="0"/>
    <n v="0"/>
    <n v="0"/>
    <n v="0"/>
    <n v="15297.33"/>
    <n v="0"/>
    <n v="0"/>
    <n v="0"/>
    <n v="0"/>
    <n v="0"/>
    <n v="0"/>
    <n v="0"/>
    <n v="0"/>
    <n v="15297.33"/>
    <n v="0"/>
    <n v="0"/>
    <n v="171.13653655602579"/>
    <n v="64.128571428571433"/>
    <n v="0"/>
    <n v="1"/>
    <m/>
    <s v="Alauli "/>
    <m/>
    <n v="0"/>
  </r>
  <r>
    <s v="Munger"/>
    <s v="10-16 Apr"/>
    <n v="1054"/>
    <s v="Alauli "/>
    <x v="764"/>
    <s v="GOMUKH AMBA ICHARUA"/>
    <s v="MPG"/>
    <s v="Direct"/>
    <n v="683.49999999999989"/>
    <n v="27375.61"/>
    <n v="596.6400000000001"/>
    <n v="23961.732901920008"/>
    <n v="229.39999999999998"/>
    <n v="9274.8849256800004"/>
    <n v="826.04000000000008"/>
    <n v="33236.617827600006"/>
    <n v="27375.61"/>
    <n v="0"/>
    <n v="0"/>
    <n v="5861.0078276000058"/>
    <n v="0"/>
    <n v="0"/>
    <n v="0"/>
    <n v="18101"/>
    <n v="9275"/>
    <n v="0"/>
    <n v="0"/>
    <n v="0"/>
    <n v="13.217192831016931"/>
    <n v="97.642857142857125"/>
    <n v="-0.21409597183770537"/>
    <n v="3"/>
    <m/>
    <s v="Alauli "/>
    <m/>
    <n v="0"/>
  </r>
  <r>
    <s v="Munger"/>
    <s v="10-16 Apr"/>
    <n v="1054"/>
    <s v="Alauli "/>
    <x v="1012"/>
    <s v="RAJAURA VLC"/>
    <s v="vlc"/>
    <s v="Indirect"/>
    <n v="490.59999999999997"/>
    <n v="18535.949999999997"/>
    <n v="0"/>
    <n v="0"/>
    <n v="0"/>
    <n v="0"/>
    <n v="0"/>
    <n v="0"/>
    <n v="18535.949999999997"/>
    <n v="0"/>
    <n v="0"/>
    <n v="0"/>
    <n v="0"/>
    <n v="0"/>
    <n v="0"/>
    <n v="0"/>
    <n v="0"/>
    <n v="18535.949999999997"/>
    <n v="0"/>
    <n v="0"/>
    <n v="158.23187647778238"/>
    <n v="70.085714285714275"/>
    <n v="0"/>
    <n v="0"/>
    <m/>
    <s v="Alauli "/>
    <m/>
    <n v="0"/>
  </r>
  <r>
    <s v="Munger"/>
    <s v="10-16 Apr"/>
    <n v="1054"/>
    <s v="Alauli "/>
    <x v="765"/>
    <s v="MEGHAUNA VLC"/>
    <s v="vlc"/>
    <s v="Indirect"/>
    <n v="1363.6"/>
    <n v="54812.35"/>
    <n v="0"/>
    <n v="0"/>
    <n v="0"/>
    <n v="0"/>
    <n v="0"/>
    <n v="0"/>
    <n v="54812.35"/>
    <n v="0"/>
    <n v="0"/>
    <n v="0"/>
    <n v="0"/>
    <n v="0"/>
    <n v="0"/>
    <n v="0"/>
    <n v="0"/>
    <n v="54812.35"/>
    <n v="0"/>
    <n v="0"/>
    <n v="0"/>
    <n v="0"/>
    <n v="0"/>
    <n v="0"/>
    <m/>
    <s v="Alauli "/>
    <m/>
    <n v="0"/>
  </r>
  <r>
    <s v="Munger"/>
    <s v="10-16 Apr"/>
    <n v="1054"/>
    <s v="Alauli "/>
    <x v="767"/>
    <s v="GOMUKH JWALAPUR"/>
    <s v="MPG"/>
    <s v="Direct"/>
    <n v="219.7"/>
    <n v="8216.49"/>
    <n v="350"/>
    <n v="14091.3927"/>
    <n v="0"/>
    <n v="0"/>
    <n v="350"/>
    <n v="14091.3927"/>
    <n v="8216.49"/>
    <n v="0"/>
    <n v="0"/>
    <n v="5874.9027000000006"/>
    <n v="0"/>
    <n v="0"/>
    <n v="0"/>
    <n v="8216"/>
    <n v="0"/>
    <n v="0"/>
    <n v="0"/>
    <n v="0"/>
    <n v="359.25172025489309"/>
    <n v="31.385714285714283"/>
    <n v="-0.71501367372199087"/>
    <n v="1"/>
    <m/>
    <s v="Alauli "/>
    <m/>
    <n v="0"/>
  </r>
  <r>
    <s v="Munger"/>
    <s v="10-16 Apr"/>
    <n v="1054"/>
    <s v="Alauli "/>
    <x v="768"/>
    <s v="GOMUKH MATHURAPUR"/>
    <s v="MPG"/>
    <s v="Direct"/>
    <n v="404.40000000000003"/>
    <n v="15273.179999999998"/>
    <n v="375"/>
    <n v="16681.9257"/>
    <n v="29"/>
    <n v="1233.0439704000003"/>
    <n v="404"/>
    <n v="17914.969670400002"/>
    <n v="15273.179999999998"/>
    <n v="0"/>
    <n v="0"/>
    <n v="2641.7896704000032"/>
    <n v="0"/>
    <n v="0"/>
    <n v="0"/>
    <n v="14039"/>
    <n v="1234"/>
    <n v="0"/>
    <n v="0"/>
    <n v="0"/>
    <n v="223.28150385756672"/>
    <n v="57.771428571428579"/>
    <n v="-0.17296919635596539"/>
    <n v="4"/>
    <m/>
    <s v="Alauli "/>
    <m/>
    <n v="0"/>
  </r>
  <r>
    <s v="Munger"/>
    <s v="10-16 Apr"/>
    <n v="1054"/>
    <s v="Alauli "/>
    <x v="769"/>
    <s v="VLC Dhushmuri Bishanpur"/>
    <s v="vlc"/>
    <s v="Indirect"/>
    <n v="662.49999999999989"/>
    <n v="21288.76"/>
    <n v="0"/>
    <n v="0"/>
    <n v="0"/>
    <n v="0"/>
    <n v="0"/>
    <n v="0"/>
    <n v="21288.76"/>
    <n v="0"/>
    <n v="0"/>
    <n v="0"/>
    <n v="0"/>
    <n v="0"/>
    <n v="0"/>
    <n v="0"/>
    <n v="0"/>
    <n v="21288.76"/>
    <n v="0"/>
    <n v="0"/>
    <n v="24.100483018868008"/>
    <n v="94.642857142857125"/>
    <n v="0"/>
    <n v="0"/>
    <m/>
    <s v="Alauli "/>
    <m/>
    <n v="0"/>
  </r>
  <r>
    <s v="Munger"/>
    <s v="10-16 Apr"/>
    <n v="1054"/>
    <s v="Alauli "/>
    <x v="770"/>
    <s v="VLC Govindpur"/>
    <s v="vlc"/>
    <s v="Indirect"/>
    <n v="322.60000000000002"/>
    <n v="11976.66"/>
    <n v="0"/>
    <n v="0"/>
    <n v="0"/>
    <n v="0"/>
    <n v="0"/>
    <n v="0"/>
    <n v="11976.66"/>
    <n v="0"/>
    <n v="0"/>
    <n v="0"/>
    <n v="0"/>
    <n v="0"/>
    <n v="0"/>
    <n v="0"/>
    <n v="0"/>
    <n v="11976.66"/>
    <n v="0"/>
    <n v="0"/>
    <n v="280.22265864848106"/>
    <n v="46.085714285714289"/>
    <n v="0"/>
    <n v="0"/>
    <m/>
    <s v="Alauli "/>
    <m/>
    <n v="0"/>
  </r>
  <r>
    <s v="Munger"/>
    <s v="10-16 Apr"/>
    <n v="1054"/>
    <s v="Alauli "/>
    <x v="771"/>
    <s v="Gomukh Darhi Mor"/>
    <s v="MPG"/>
    <s v="Indirect"/>
    <n v="247.4"/>
    <n v="8731.9500000000007"/>
    <n v="0"/>
    <n v="0"/>
    <n v="0"/>
    <n v="0"/>
    <n v="0"/>
    <n v="0"/>
    <n v="8731.9500000000007"/>
    <n v="0"/>
    <n v="0"/>
    <n v="0"/>
    <n v="0"/>
    <n v="0"/>
    <n v="0"/>
    <n v="0"/>
    <n v="0"/>
    <n v="8731.9500000000007"/>
    <n v="0"/>
    <n v="0"/>
    <n v="319.48913257881981"/>
    <n v="35.342857142857142"/>
    <n v="0"/>
    <n v="0"/>
    <m/>
    <s v="Alauli "/>
    <m/>
    <n v="0"/>
  </r>
  <r>
    <s v="Munger"/>
    <s v="10-16 Apr"/>
    <n v="1054"/>
    <s v="Alauli "/>
    <x v="772"/>
    <s v="Gomukh Balaur"/>
    <s v="MPG"/>
    <s v="Direct"/>
    <n v="1127.8"/>
    <n v="52645.65"/>
    <n v="1175.1699999999998"/>
    <n v="53915.534274451929"/>
    <n v="0"/>
    <n v="0"/>
    <n v="1175.1699999999998"/>
    <n v="53915.534274451929"/>
    <n v="52645.65"/>
    <n v="0"/>
    <n v="0"/>
    <n v="1269.8842744519279"/>
    <n v="0"/>
    <n v="0"/>
    <n v="0"/>
    <n v="52646"/>
    <n v="0"/>
    <n v="0"/>
    <n v="0"/>
    <n v="0"/>
    <n v="0"/>
    <n v="0"/>
    <n v="-2.4121352371030236E-2"/>
    <n v="1"/>
    <m/>
    <s v="Alauli "/>
    <m/>
    <n v="0"/>
  </r>
  <r>
    <s v="Munger"/>
    <s v="10-16 Apr"/>
    <n v="1054"/>
    <s v="Alauli "/>
    <x v="773"/>
    <s v="Gomukh Hathwan - 2"/>
    <s v="MPG"/>
    <s v="Direct"/>
    <n v="359.7"/>
    <n v="12948.550000000001"/>
    <n v="608"/>
    <n v="24124.984488000002"/>
    <n v="0"/>
    <n v="0"/>
    <n v="608"/>
    <n v="24124.984488000002"/>
    <n v="12948.550000000001"/>
    <n v="0"/>
    <n v="0"/>
    <n v="11176.434488000001"/>
    <n v="0"/>
    <n v="0"/>
    <n v="0"/>
    <n v="12949"/>
    <n v="0"/>
    <n v="0"/>
    <n v="0"/>
    <n v="0"/>
    <n v="245.00370113983882"/>
    <n v="51.385714285714286"/>
    <n v="-0.86314177942704007"/>
    <n v="1"/>
    <m/>
    <s v="Alauli "/>
    <m/>
    <n v="0"/>
  </r>
  <r>
    <s v="Munger"/>
    <s v="10-16 Apr"/>
    <n v="1054"/>
    <s v="Alauli "/>
    <x v="774"/>
    <s v="VLC Sunil Khas"/>
    <s v="vlc"/>
    <s v="Indirect"/>
    <n v="708.59999999999991"/>
    <n v="29004.980000000003"/>
    <n v="0"/>
    <n v="0"/>
    <n v="0"/>
    <n v="0"/>
    <n v="0"/>
    <n v="0"/>
    <n v="29004.980000000003"/>
    <n v="0"/>
    <n v="0"/>
    <n v="0"/>
    <n v="0"/>
    <n v="0"/>
    <n v="0"/>
    <n v="0"/>
    <n v="0"/>
    <n v="29004.980000000003"/>
    <n v="0"/>
    <n v="0"/>
    <n v="0"/>
    <n v="0"/>
    <n v="0"/>
    <n v="0"/>
    <m/>
    <s v="Alauli "/>
    <m/>
    <n v="0"/>
  </r>
  <r>
    <s v="Munger"/>
    <s v="10-16 Apr"/>
    <n v="1054"/>
    <s v="Alauli "/>
    <x v="775"/>
    <s v="Gomukh Hathwan "/>
    <s v="MPG"/>
    <s v="Direct"/>
    <n v="322.50000000000006"/>
    <n v="14616.72"/>
    <n v="500.16999999999996"/>
    <n v="22034.538825004125"/>
    <n v="0"/>
    <n v="0"/>
    <n v="500.16999999999996"/>
    <n v="22034.538825004125"/>
    <n v="14616.72"/>
    <n v="0"/>
    <n v="0"/>
    <n v="7417.8188250041258"/>
    <n v="0"/>
    <n v="0"/>
    <n v="0"/>
    <n v="14617"/>
    <n v="0"/>
    <n v="0"/>
    <n v="0"/>
    <n v="0"/>
    <n v="342.18987906976736"/>
    <n v="46.071428571428577"/>
    <n v="-0.50748860380469263"/>
    <n v="1"/>
    <m/>
    <s v="Alauli "/>
    <m/>
    <n v="0"/>
  </r>
  <r>
    <s v="Munger"/>
    <s v="10-16 Apr"/>
    <n v="1054"/>
    <s v="Alauli "/>
    <x v="776"/>
    <s v="Gomukh Rahul VLC"/>
    <s v="vlc"/>
    <s v="Indirect"/>
    <n v="1540.9"/>
    <n v="66815.830000000016"/>
    <n v="0"/>
    <n v="0"/>
    <n v="0"/>
    <n v="0"/>
    <n v="0"/>
    <n v="0"/>
    <n v="66815.830000000016"/>
    <n v="0"/>
    <n v="0"/>
    <n v="0"/>
    <n v="0"/>
    <n v="0"/>
    <n v="0"/>
    <n v="0"/>
    <n v="0"/>
    <n v="66815.830000000016"/>
    <n v="0"/>
    <n v="0"/>
    <n v="0"/>
    <n v="0"/>
    <n v="0"/>
    <n v="0"/>
    <m/>
    <s v="Alauli "/>
    <m/>
    <n v="0"/>
  </r>
  <r>
    <s v="Munger"/>
    <s v="10-16 Apr"/>
    <n v="1054"/>
    <s v="Alauli "/>
    <x v="777"/>
    <s v="Gomukh Sachin VLC"/>
    <s v="vlc"/>
    <s v="Indirect"/>
    <n v="858.7"/>
    <n v="30788.69"/>
    <n v="0"/>
    <n v="0"/>
    <n v="0"/>
    <n v="0"/>
    <n v="0"/>
    <n v="0"/>
    <n v="30788.69"/>
    <n v="0"/>
    <n v="0"/>
    <n v="0"/>
    <n v="0"/>
    <n v="0"/>
    <n v="0"/>
    <n v="0"/>
    <n v="0"/>
    <n v="30788.69"/>
    <n v="0"/>
    <n v="0"/>
    <n v="0"/>
    <n v="0"/>
    <n v="0"/>
    <n v="0"/>
    <m/>
    <s v="Alauli "/>
    <m/>
    <n v="0"/>
  </r>
  <r>
    <s v="Munger"/>
    <s v="10-16 Apr"/>
    <n v="1055"/>
    <s v="Matihani"/>
    <x v="778"/>
    <s v="Balahpur-Anil Yadav"/>
    <s v="vlc"/>
    <s v="Indirect"/>
    <n v="27142"/>
    <n v="980249.41"/>
    <n v="0"/>
    <n v="0"/>
    <n v="0"/>
    <n v="0"/>
    <n v="0"/>
    <n v="0"/>
    <n v="980249.41"/>
    <n v="0"/>
    <n v="0"/>
    <n v="0"/>
    <n v="0"/>
    <n v="0"/>
    <n v="0"/>
    <n v="0"/>
    <n v="0"/>
    <n v="980249.41"/>
    <n v="0"/>
    <n v="0"/>
    <n v="0"/>
    <n v="0"/>
    <n v="0"/>
    <n v="0"/>
    <m/>
    <s v="Matihani"/>
    <m/>
    <n v="0"/>
  </r>
  <r>
    <s v="Munger"/>
    <s v="10-16 Apr"/>
    <n v="1055"/>
    <s v="Matihani"/>
    <x v="779"/>
    <s v="Bagdobh"/>
    <s v="vlc"/>
    <s v="Indirect"/>
    <n v="223.10000000000002"/>
    <n v="7871.66"/>
    <n v="0"/>
    <n v="0"/>
    <n v="0"/>
    <n v="0"/>
    <n v="0"/>
    <n v="0"/>
    <n v="7871.66"/>
    <n v="0"/>
    <n v="0"/>
    <n v="0"/>
    <n v="0"/>
    <n v="0"/>
    <n v="0"/>
    <n v="0"/>
    <n v="0"/>
    <n v="7871.66"/>
    <n v="0"/>
    <n v="0"/>
    <n v="336.53022447333029"/>
    <n v="31.871428571428574"/>
    <n v="0"/>
    <n v="0"/>
    <m/>
    <s v="Matihani"/>
    <m/>
    <n v="0"/>
  </r>
  <r>
    <s v="Munger"/>
    <s v="10-16 Apr"/>
    <n v="1055"/>
    <s v="Matihani"/>
    <x v="780"/>
    <s v="Gomukh Matihani"/>
    <s v="MPG"/>
    <s v="Direct"/>
    <n v="125.60000000000001"/>
    <n v="4748.2099999999991"/>
    <n v="128.74"/>
    <n v="4909.8098672369997"/>
    <n v="0"/>
    <n v="0"/>
    <n v="128.74"/>
    <n v="4909.8098672369997"/>
    <n v="4748.2099999999991"/>
    <n v="0"/>
    <n v="0"/>
    <n v="161.59986723700058"/>
    <n v="0"/>
    <n v="0"/>
    <n v="0"/>
    <n v="4748"/>
    <n v="0"/>
    <n v="0"/>
    <n v="0"/>
    <n v="0"/>
    <n v="434.29487643312098"/>
    <n v="17.942857142857143"/>
    <n v="-3.4033850069184093E-2"/>
    <n v="2"/>
    <m/>
    <s v="Matihani"/>
    <m/>
    <n v="0"/>
  </r>
  <r>
    <s v="Munger"/>
    <s v="10-16 Apr"/>
    <n v="1055"/>
    <s v="Matihani"/>
    <x v="781"/>
    <s v="Jalalpur"/>
    <s v="vlc"/>
    <s v="Indirect"/>
    <n v="2062"/>
    <n v="74176.069999999992"/>
    <n v="0"/>
    <n v="0"/>
    <n v="0"/>
    <n v="0"/>
    <n v="0"/>
    <n v="0"/>
    <n v="74176.069999999992"/>
    <n v="0"/>
    <n v="0"/>
    <n v="0"/>
    <n v="0"/>
    <n v="0"/>
    <n v="0"/>
    <n v="0"/>
    <n v="0"/>
    <n v="74176.069999999992"/>
    <n v="0"/>
    <n v="0"/>
    <n v="0"/>
    <n v="0"/>
    <n v="0"/>
    <n v="0"/>
    <m/>
    <s v="Matihani"/>
    <m/>
    <n v="0"/>
  </r>
  <r>
    <s v="Munger"/>
    <s v="10-16 Apr"/>
    <n v="1055"/>
    <s v="Matihani"/>
    <x v="782"/>
    <s v="Saidpur"/>
    <s v="vlc"/>
    <s v="Indirect"/>
    <n v="688.1"/>
    <n v="23753.469999999998"/>
    <n v="0"/>
    <n v="0"/>
    <n v="0"/>
    <n v="0"/>
    <n v="0"/>
    <n v="0"/>
    <n v="23753.469999999998"/>
    <n v="0"/>
    <n v="0"/>
    <n v="0"/>
    <n v="0"/>
    <n v="0"/>
    <n v="0"/>
    <n v="0"/>
    <n v="0"/>
    <n v="23753.469999999998"/>
    <n v="0"/>
    <n v="0"/>
    <n v="8.2158492370295146"/>
    <n v="98.3"/>
    <n v="0"/>
    <n v="0"/>
    <m/>
    <s v="Matihani"/>
    <m/>
    <n v="0"/>
  </r>
  <r>
    <s v="Munger"/>
    <s v="10-16 Apr"/>
    <n v="1055"/>
    <s v="Matihani"/>
    <x v="1041"/>
    <s v="Chak"/>
    <s v="vlc"/>
    <s v="Indirect"/>
    <n v="1338.8"/>
    <n v="50605.17"/>
    <n v="0"/>
    <n v="0"/>
    <n v="0"/>
    <n v="0"/>
    <n v="0"/>
    <n v="0"/>
    <n v="50605.17"/>
    <n v="0"/>
    <n v="0"/>
    <n v="0"/>
    <n v="0"/>
    <n v="0"/>
    <n v="0"/>
    <n v="0"/>
    <n v="0"/>
    <n v="50605.17"/>
    <n v="0"/>
    <n v="0"/>
    <n v="0"/>
    <n v="0"/>
    <n v="0"/>
    <n v="0"/>
    <m/>
    <s v="Matihani"/>
    <m/>
    <n v="0"/>
  </r>
  <r>
    <s v="Munger"/>
    <s v="10-16 Apr"/>
    <n v="1056"/>
    <s v="Chautham"/>
    <x v="783"/>
    <s v="Gomukh Chautham(Mithun Kumar VLC)"/>
    <s v="vlc"/>
    <s v="Indirect"/>
    <n v="2325.6999999999998"/>
    <n v="88593.540000000008"/>
    <n v="0"/>
    <n v="0"/>
    <n v="0"/>
    <n v="0"/>
    <n v="0"/>
    <n v="0"/>
    <n v="88593.540000000008"/>
    <n v="0"/>
    <n v="0"/>
    <n v="0"/>
    <n v="0"/>
    <n v="0"/>
    <n v="0"/>
    <n v="0"/>
    <n v="0"/>
    <n v="88593.540000000008"/>
    <n v="0"/>
    <n v="0"/>
    <n v="0"/>
    <n v="0"/>
    <n v="0"/>
    <n v="0"/>
    <m/>
    <s v="Chautham"/>
    <m/>
    <n v="0"/>
  </r>
  <r>
    <s v="Munger"/>
    <s v="10-16 Apr"/>
    <n v="1056"/>
    <s v="Chautham"/>
    <x v="784"/>
    <s v="Gomukh Pansalwa"/>
    <s v="vlc"/>
    <s v="Indirect"/>
    <n v="499.31999999999994"/>
    <n v="18465.629999999997"/>
    <n v="0"/>
    <n v="0"/>
    <n v="0"/>
    <n v="0"/>
    <n v="0"/>
    <n v="0"/>
    <n v="18465.629999999997"/>
    <n v="0"/>
    <n v="0"/>
    <n v="0"/>
    <n v="0"/>
    <n v="0"/>
    <n v="0"/>
    <n v="0"/>
    <n v="0"/>
    <n v="18465.629999999997"/>
    <n v="0"/>
    <n v="0"/>
    <n v="148.42916880557564"/>
    <n v="71.33142857142856"/>
    <n v="0"/>
    <n v="0"/>
    <m/>
    <s v="Chautham"/>
    <m/>
    <n v="0"/>
  </r>
  <r>
    <s v="Munger"/>
    <s v="10-16 Apr"/>
    <n v="1056"/>
    <s v="Chautham"/>
    <x v="785"/>
    <s v="Gomukh Nawada"/>
    <s v="MPG"/>
    <s v="Direct"/>
    <n v="890.96"/>
    <n v="31377.109999999993"/>
    <n v="892.99"/>
    <n v="31628.548081152006"/>
    <n v="0"/>
    <n v="0"/>
    <n v="892.99"/>
    <n v="31628.548081152006"/>
    <n v="31377.109999999993"/>
    <n v="0"/>
    <n v="0"/>
    <n v="251.43808115201318"/>
    <n v="0"/>
    <n v="0"/>
    <n v="0"/>
    <n v="31377"/>
    <n v="0"/>
    <n v="0"/>
    <n v="0"/>
    <n v="0"/>
    <n v="0"/>
    <n v="0"/>
    <n v="-8.0134238351464888E-3"/>
    <n v="1"/>
    <m/>
    <s v="Chautham"/>
    <m/>
    <n v="0"/>
  </r>
  <r>
    <s v="Munger"/>
    <s v="10-16 Apr"/>
    <n v="1056"/>
    <s v="Chautham"/>
    <x v="786"/>
    <s v="Gomukh Yadav Tol Kanauli"/>
    <s v="MPG"/>
    <s v="Direct"/>
    <n v="1932.0800000000002"/>
    <n v="81096.459999999992"/>
    <n v="32.32"/>
    <n v="1356.6918451680003"/>
    <n v="1899"/>
    <n v="79704.869666400002"/>
    <n v="1931.32"/>
    <n v="81061.561511567998"/>
    <n v="81061.561511567998"/>
    <n v="0"/>
    <n v="0"/>
    <n v="0"/>
    <n v="0"/>
    <n v="0"/>
    <n v="0"/>
    <n v="1357"/>
    <n v="79705"/>
    <n v="0"/>
    <n v="34"/>
    <n v="0"/>
    <n v="0"/>
    <n v="0"/>
    <n v="4.303330679538212E-4"/>
    <n v="3"/>
    <m/>
    <s v="Chautham"/>
    <m/>
    <n v="0"/>
  </r>
  <r>
    <s v="Munger"/>
    <s v="10-16 Apr"/>
    <n v="1056"/>
    <s v="Chautham"/>
    <x v="787"/>
    <s v="Gomukh Baltara"/>
    <s v="MPG"/>
    <s v="Direct"/>
    <n v="12.200000000000001"/>
    <n v="795.92000000000007"/>
    <n v="0"/>
    <n v="0"/>
    <n v="12.48"/>
    <n v="823.47705448120007"/>
    <n v="12.48"/>
    <n v="823.47705448120007"/>
    <n v="795.92000000000007"/>
    <n v="0"/>
    <n v="0"/>
    <n v="27.557054481199998"/>
    <n v="0"/>
    <n v="500"/>
    <n v="0"/>
    <n v="0"/>
    <n v="296"/>
    <n v="0"/>
    <n v="0"/>
    <s v="Release1"/>
    <n v="897.43241967213112"/>
    <n v="1.7428571428571431"/>
    <n v="-3.4622894865313093E-2"/>
    <n v="2"/>
    <m/>
    <s v="Chautham"/>
    <m/>
    <n v="500"/>
  </r>
  <r>
    <s v="Munger"/>
    <s v="10-16 Apr"/>
    <n v="1056"/>
    <s v="Chautham"/>
    <x v="788"/>
    <s v="Gomukh Hardia"/>
    <s v="MPG"/>
    <s v="Direct"/>
    <n v="171.45999999999998"/>
    <n v="7255.8899999999994"/>
    <n v="176.42999999999998"/>
    <n v="7813.7749449660023"/>
    <n v="0"/>
    <n v="0"/>
    <n v="176.42999999999998"/>
    <n v="7813.7749449660023"/>
    <n v="7255.8899999999994"/>
    <n v="0"/>
    <n v="0"/>
    <n v="557.88494496600288"/>
    <n v="0"/>
    <n v="500"/>
    <n v="0"/>
    <n v="6756"/>
    <n v="0"/>
    <n v="0"/>
    <n v="0"/>
    <n v="0"/>
    <n v="447.3379331155956"/>
    <n v="24.494285714285713"/>
    <n v="-7.688718337323236E-2"/>
    <n v="1"/>
    <m/>
    <s v="Chautham"/>
    <m/>
    <n v="500"/>
  </r>
  <r>
    <s v="Munger"/>
    <s v="10-16 Apr"/>
    <n v="1056"/>
    <s v="Chautham"/>
    <x v="789"/>
    <s v="Gomukh Ashatol Paharpur"/>
    <s v="MPG"/>
    <s v="Direct"/>
    <n v="1657.82"/>
    <n v="62324.98"/>
    <n v="1665.1899999999998"/>
    <n v="65756.195847980809"/>
    <n v="0"/>
    <n v="0"/>
    <n v="1665.1899999999998"/>
    <n v="65756.195847980809"/>
    <n v="62324.98"/>
    <n v="0"/>
    <n v="0"/>
    <n v="3431.2158479808058"/>
    <n v="0"/>
    <n v="0"/>
    <n v="0"/>
    <n v="62325"/>
    <n v="0"/>
    <n v="0"/>
    <n v="0"/>
    <n v="0"/>
    <n v="0"/>
    <n v="0"/>
    <n v="-5.5053621324560487E-2"/>
    <n v="11"/>
    <m/>
    <s v="Chautham"/>
    <m/>
    <n v="0"/>
  </r>
  <r>
    <s v="Munger"/>
    <s v="10-16 Apr"/>
    <n v="1056"/>
    <s v="Chautham"/>
    <x v="790"/>
    <s v="Gomukh Kharawa"/>
    <s v="MPG"/>
    <s v="Direct"/>
    <n v="866.1400000000001"/>
    <n v="32899.759999999995"/>
    <n v="873.5200000000001"/>
    <n v="34046.088795259195"/>
    <n v="0"/>
    <n v="0"/>
    <n v="873.5200000000001"/>
    <n v="34046.088795259195"/>
    <n v="32899.759999999995"/>
    <n v="0"/>
    <n v="0"/>
    <n v="1146.3287952592"/>
    <n v="0"/>
    <n v="0"/>
    <n v="0"/>
    <n v="32900"/>
    <n v="0"/>
    <n v="0"/>
    <n v="0"/>
    <n v="0"/>
    <n v="0"/>
    <n v="0"/>
    <n v="-3.4843074699000852E-2"/>
    <n v="1"/>
    <m/>
    <s v="Chautham"/>
    <m/>
    <n v="0"/>
  </r>
  <r>
    <s v="Munger"/>
    <s v="10-16 Apr"/>
    <n v="1056"/>
    <s v="Chautham"/>
    <x v="791"/>
    <s v="Gomukh Patel Nagar"/>
    <s v="vlc"/>
    <s v="Indirect"/>
    <n v="1403.8599999999997"/>
    <n v="50085.590000000011"/>
    <n v="0"/>
    <n v="0"/>
    <n v="0"/>
    <n v="0"/>
    <n v="0"/>
    <n v="0"/>
    <n v="50085.590000000011"/>
    <n v="0"/>
    <n v="0"/>
    <n v="0"/>
    <n v="0"/>
    <n v="0"/>
    <n v="0"/>
    <n v="0"/>
    <n v="0"/>
    <n v="50085.590000000011"/>
    <n v="0"/>
    <n v="0"/>
    <n v="0"/>
    <n v="0"/>
    <n v="0"/>
    <n v="0"/>
    <m/>
    <s v="Chautham"/>
    <m/>
    <n v="0"/>
  </r>
  <r>
    <s v="Munger"/>
    <s v="10-16 Apr"/>
    <n v="1056"/>
    <s v="Chautham"/>
    <x v="792"/>
    <s v="Gomukh Pachout"/>
    <s v="MPG"/>
    <s v="Direct"/>
    <n v="1167.6399999999999"/>
    <n v="42771.880000000005"/>
    <n v="1166.93"/>
    <n v="42748.171795395006"/>
    <n v="0"/>
    <n v="0"/>
    <n v="1166.93"/>
    <n v="42748.171795395006"/>
    <n v="42748.171795395006"/>
    <n v="0"/>
    <n v="0"/>
    <n v="0"/>
    <n v="0"/>
    <n v="0"/>
    <n v="0"/>
    <n v="42748"/>
    <n v="0"/>
    <n v="0"/>
    <n v="24"/>
    <n v="0"/>
    <n v="0"/>
    <n v="0"/>
    <n v="5.5429419059901432E-4"/>
    <n v="1"/>
    <m/>
    <s v="Chautham"/>
    <m/>
    <n v="0"/>
  </r>
  <r>
    <s v="Munger"/>
    <s v="10-16 Apr"/>
    <n v="1056"/>
    <s v="Chautham"/>
    <x v="793"/>
    <s v="Gomukh Telihar"/>
    <s v="MPG"/>
    <s v="Direct"/>
    <n v="1310.4800000000002"/>
    <n v="52047.59"/>
    <n v="1297.8200000000004"/>
    <n v="52537.845658947721"/>
    <n v="0"/>
    <n v="0"/>
    <n v="1297.8200000000004"/>
    <n v="52537.845658947721"/>
    <n v="52047.59"/>
    <n v="0"/>
    <n v="0"/>
    <n v="490.25565894772444"/>
    <n v="0"/>
    <n v="0"/>
    <n v="0"/>
    <n v="52048"/>
    <n v="0"/>
    <n v="0"/>
    <n v="0"/>
    <s v="Release1"/>
    <n v="0"/>
    <n v="0"/>
    <n v="-9.4193729036776627E-3"/>
    <n v="22"/>
    <m/>
    <s v="Chautham"/>
    <m/>
    <n v="0"/>
  </r>
  <r>
    <s v="Munger"/>
    <s v="10-16 Apr"/>
    <n v="1056"/>
    <s v="Chautham"/>
    <x v="794"/>
    <s v="Gomukh Pansalba Ward No 05"/>
    <s v="MPG"/>
    <s v="Indirect"/>
    <n v="2041.2800000000002"/>
    <n v="73797.14"/>
    <n v="0"/>
    <n v="0"/>
    <n v="0"/>
    <n v="0"/>
    <n v="0"/>
    <n v="0"/>
    <n v="73797.14"/>
    <n v="0"/>
    <n v="0"/>
    <n v="0"/>
    <n v="0"/>
    <n v="0"/>
    <n v="0"/>
    <n v="0"/>
    <n v="0"/>
    <n v="73797.14"/>
    <n v="0"/>
    <n v="0"/>
    <n v="0"/>
    <n v="0"/>
    <n v="0"/>
    <n v="0"/>
    <m/>
    <s v="Chautham"/>
    <m/>
    <n v="0"/>
  </r>
  <r>
    <s v="Munger"/>
    <s v="10-16 Apr"/>
    <n v="1056"/>
    <s v="Chautham"/>
    <x v="795"/>
    <s v="Gomukh Paharpur Jilebya "/>
    <s v="MPG"/>
    <s v="Direct"/>
    <n v="2168.6"/>
    <n v="93759.42"/>
    <n v="2184.81"/>
    <n v="94672.316643379207"/>
    <n v="0"/>
    <n v="0"/>
    <n v="2184.81"/>
    <n v="94672.316643379207"/>
    <n v="93759.42"/>
    <n v="0"/>
    <n v="0"/>
    <n v="912.8966433792084"/>
    <n v="0"/>
    <n v="0"/>
    <n v="0"/>
    <n v="93759"/>
    <n v="0"/>
    <n v="0"/>
    <n v="0"/>
    <n v="0"/>
    <n v="0"/>
    <n v="0"/>
    <n v="-9.736585863897286E-3"/>
    <n v="1"/>
    <m/>
    <s v="Chautham"/>
    <m/>
    <n v="0"/>
  </r>
  <r>
    <s v="Munger"/>
    <s v="10-16 Apr"/>
    <n v="1056"/>
    <s v="Chautham"/>
    <x v="796"/>
    <s v="Gomukh Debka Vlc"/>
    <s v="vlc"/>
    <s v="Indirect"/>
    <n v="127.78"/>
    <n v="5458.7300000000005"/>
    <n v="0"/>
    <n v="0"/>
    <n v="0"/>
    <n v="0"/>
    <n v="0"/>
    <n v="0"/>
    <n v="5458.7300000000005"/>
    <n v="0"/>
    <n v="0"/>
    <n v="0"/>
    <n v="0"/>
    <n v="0"/>
    <n v="0"/>
    <n v="0"/>
    <n v="0"/>
    <n v="5458.7300000000005"/>
    <n v="0"/>
    <n v="0"/>
    <n v="488.9019377993427"/>
    <n v="18.254285714285714"/>
    <n v="0"/>
    <n v="0"/>
    <m/>
    <s v="Chautham"/>
    <m/>
    <n v="0"/>
  </r>
  <r>
    <s v="Munger"/>
    <s v="10-16 Apr"/>
    <n v="1056"/>
    <s v="Chautham"/>
    <x v="797"/>
    <s v="Gomukh Azad Nagar"/>
    <s v="MPG"/>
    <s v="Direct"/>
    <n v="994.24"/>
    <n v="37539.51"/>
    <n v="996.00999999999976"/>
    <n v="38228.002565617593"/>
    <n v="0"/>
    <n v="0"/>
    <n v="996.00999999999976"/>
    <n v="38228.002565617593"/>
    <n v="37539.51"/>
    <n v="0"/>
    <n v="0"/>
    <n v="688.49256561759103"/>
    <n v="0"/>
    <n v="0"/>
    <n v="0"/>
    <n v="37540"/>
    <n v="0"/>
    <n v="0"/>
    <n v="0"/>
    <n v="0"/>
    <n v="0"/>
    <n v="0"/>
    <n v="-1.8340478221947783E-2"/>
    <n v="14"/>
    <m/>
    <s v="Chautham"/>
    <m/>
    <n v="0"/>
  </r>
  <r>
    <s v="Munger"/>
    <s v="10-16 Apr"/>
    <n v="1056"/>
    <s v="Chautham"/>
    <x v="798"/>
    <s v="Gomukh Purani Hrdia"/>
    <s v="MPG"/>
    <s v="Direct"/>
    <n v="375.9"/>
    <n v="14635.739999999996"/>
    <n v="376"/>
    <n v="14639.489695908002"/>
    <n v="0"/>
    <n v="0"/>
    <n v="376"/>
    <n v="14639.489695908002"/>
    <n v="14635.739999999996"/>
    <n v="0"/>
    <n v="0"/>
    <n v="3.7496959080053784"/>
    <n v="0"/>
    <n v="0"/>
    <n v="0"/>
    <n v="14636"/>
    <n v="0"/>
    <n v="0"/>
    <n v="0"/>
    <n v="0"/>
    <n v="252.37793743016755"/>
    <n v="53.699999999999996"/>
    <n v="-2.5620132005661344E-4"/>
    <n v="1"/>
    <m/>
    <s v="Chautham"/>
    <m/>
    <n v="0"/>
  </r>
  <r>
    <s v="Munger"/>
    <s v="10-16 Apr"/>
    <n v="1056"/>
    <s v="Chautham"/>
    <x v="799"/>
    <s v="Gomukh Uttari Hardia"/>
    <s v="MPG"/>
    <s v="Direct"/>
    <n v="410.26000000000005"/>
    <n v="15674.079999999998"/>
    <n v="410.97999999999996"/>
    <n v="15804.060090192004"/>
    <n v="0"/>
    <n v="0"/>
    <n v="410.97999999999996"/>
    <n v="15804.060090192004"/>
    <n v="15674.079999999998"/>
    <n v="0"/>
    <n v="0"/>
    <n v="129.98009019200617"/>
    <n v="0"/>
    <n v="0"/>
    <n v="0"/>
    <n v="15674"/>
    <n v="0"/>
    <n v="0"/>
    <n v="0"/>
    <n v="0"/>
    <n v="221.39169985862617"/>
    <n v="58.608571428571437"/>
    <n v="-8.2926774772111786E-3"/>
    <n v="1"/>
    <m/>
    <s v="Chautham"/>
    <m/>
    <n v="0"/>
  </r>
  <r>
    <s v="Munger"/>
    <s v="10-16 Apr"/>
    <n v="1056"/>
    <s v="Chautham"/>
    <x v="800"/>
    <s v="Gomukh Murli"/>
    <s v="MPG"/>
    <s v="Direct"/>
    <n v="113.44"/>
    <n v="5039.21"/>
    <n v="113.14"/>
    <n v="4821.1894805291649"/>
    <n v="0"/>
    <n v="0"/>
    <n v="113.14"/>
    <n v="4821.1894805291649"/>
    <n v="4821.1894805291649"/>
    <n v="0"/>
    <n v="0"/>
    <n v="0"/>
    <n v="0"/>
    <n v="0"/>
    <n v="0"/>
    <n v="4821"/>
    <n v="0"/>
    <n v="0"/>
    <n v="218"/>
    <n v="0"/>
    <n v="521.12112440056421"/>
    <n v="16.205714285714286"/>
    <n v="4.3264821166578711E-2"/>
    <n v="1"/>
    <m/>
    <s v="Chautham"/>
    <m/>
    <n v="0"/>
  </r>
  <r>
    <s v="Munger"/>
    <s v="10-16 Apr"/>
    <n v="1056"/>
    <s v="Chautham"/>
    <x v="801"/>
    <s v="Gomukh Nirpur Keshv Nagar"/>
    <s v="MPG"/>
    <s v="Direct"/>
    <n v="484.18000000000006"/>
    <n v="17285.059999999998"/>
    <n v="510.16000000000008"/>
    <n v="18602.625090852001"/>
    <n v="0"/>
    <n v="0"/>
    <n v="510.16000000000008"/>
    <n v="18602.625090852001"/>
    <n v="17285.059999999998"/>
    <n v="0"/>
    <n v="0"/>
    <n v="1317.5650908520038"/>
    <n v="0"/>
    <n v="0"/>
    <n v="0"/>
    <n v="17285"/>
    <n v="0"/>
    <n v="0"/>
    <n v="0"/>
    <n v="0"/>
    <n v="154.09400013218215"/>
    <n v="69.16857142857144"/>
    <n v="-7.6225659086633424E-2"/>
    <n v="1"/>
    <m/>
    <s v="Chautham"/>
    <m/>
    <n v="0"/>
  </r>
  <r>
    <s v="Munger"/>
    <s v="10-16 Apr"/>
    <n v="1056"/>
    <s v="Chautham"/>
    <x v="1014"/>
    <s v="Gomukh Thuthi Vlc"/>
    <s v="vlc"/>
    <s v="Direct"/>
    <n v="98.480000000000018"/>
    <n v="3537.91"/>
    <n v="169.02"/>
    <n v="6193.2770768880009"/>
    <n v="0"/>
    <n v="0"/>
    <n v="169.02"/>
    <n v="6193.2770768880009"/>
    <n v="3537.91"/>
    <n v="0"/>
    <n v="0"/>
    <n v="2655.3670768880011"/>
    <n v="0"/>
    <n v="0"/>
    <n v="0"/>
    <n v="3538"/>
    <n v="0"/>
    <n v="0"/>
    <n v="0"/>
    <n v="0"/>
    <n v="432.19407457351741"/>
    <n v="14.068571428571431"/>
    <n v="-0.7505468134825366"/>
    <n v="1"/>
    <m/>
    <s v="Chautham"/>
    <m/>
    <n v="0"/>
  </r>
  <r>
    <s v="Munger"/>
    <s v="10-16 Apr"/>
    <n v="1056"/>
    <s v="Chautham"/>
    <x v="803"/>
    <s v="Gomukh Nawadai Vlc"/>
    <s v="vlc"/>
    <s v="Indirect"/>
    <n v="96"/>
    <n v="3214.1099999999997"/>
    <n v="0"/>
    <n v="0"/>
    <n v="0"/>
    <n v="0"/>
    <n v="0"/>
    <n v="0"/>
    <n v="3214.1099999999997"/>
    <n v="0"/>
    <n v="0"/>
    <n v="0"/>
    <n v="0"/>
    <n v="0"/>
    <n v="0"/>
    <n v="0"/>
    <n v="0"/>
    <n v="3214.1099999999997"/>
    <n v="0"/>
    <n v="0"/>
    <n v="404.44217500000002"/>
    <n v="13.714285714285714"/>
    <n v="0"/>
    <n v="0"/>
    <m/>
    <s v="Chautham"/>
    <m/>
    <n v="0"/>
  </r>
  <r>
    <s v="Munger"/>
    <s v="10-16 Apr"/>
    <n v="1056"/>
    <s v="Chautham"/>
    <x v="1015"/>
    <s v="Gomukh Kharra Basa"/>
    <s v="MPG"/>
    <s v="Direct"/>
    <n v="208.06000000000006"/>
    <n v="7672.4599999999991"/>
    <n v="208.27999999999997"/>
    <n v="7666.4674142892"/>
    <n v="0"/>
    <n v="0"/>
    <n v="208.27999999999997"/>
    <n v="7666.4674142892"/>
    <n v="7666.4674142892"/>
    <n v="0"/>
    <n v="0"/>
    <n v="0"/>
    <n v="0"/>
    <n v="0"/>
    <n v="0"/>
    <n v="7666"/>
    <n v="0"/>
    <n v="0"/>
    <n v="6"/>
    <n v="0"/>
    <n v="362.81745384985078"/>
    <n v="29.722857142857151"/>
    <n v="7.8105141125521364E-4"/>
    <n v="1"/>
    <m/>
    <s v="Chautham"/>
    <m/>
    <n v="0"/>
  </r>
  <r>
    <s v="Munger"/>
    <s v="10-16 Apr"/>
    <n v="1056"/>
    <s v="Chautham"/>
    <x v="1016"/>
    <s v="Gomukh Bangalia"/>
    <s v="MPG"/>
    <s v="Direct"/>
    <n v="210"/>
    <n v="8942.27"/>
    <n v="321.45999999999998"/>
    <n v="13560.476288445003"/>
    <n v="0"/>
    <n v="0"/>
    <n v="321.45999999999998"/>
    <n v="13560.476288445003"/>
    <n v="8942.27"/>
    <n v="0"/>
    <n v="0"/>
    <n v="4618.2062884450024"/>
    <n v="0"/>
    <n v="0"/>
    <n v="0"/>
    <n v="8942"/>
    <n v="0"/>
    <n v="0"/>
    <n v="0"/>
    <n v="0"/>
    <n v="417.30593333333337"/>
    <n v="30"/>
    <n v="-0.5164467510425208"/>
    <n v="1"/>
    <m/>
    <s v="Chautham"/>
    <m/>
    <n v="0"/>
  </r>
  <r>
    <s v="Munger"/>
    <s v="10-16 Apr"/>
    <n v="1056"/>
    <s v="Chautham"/>
    <x v="1017"/>
    <s v="Gomukh Soharba Purvi"/>
    <s v="MPG"/>
    <s v="Direct"/>
    <n v="179.08"/>
    <n v="5921.7800000000007"/>
    <n v="307.19"/>
    <n v="11181.906302569201"/>
    <n v="0"/>
    <n v="0"/>
    <n v="307.19"/>
    <n v="11181.906302569201"/>
    <n v="5921.7800000000007"/>
    <n v="0"/>
    <n v="0"/>
    <n v="5260.1263025692006"/>
    <n v="0"/>
    <n v="0"/>
    <n v="0"/>
    <n v="5922"/>
    <n v="0"/>
    <n v="0"/>
    <n v="0"/>
    <n v="0"/>
    <n v="344.51347303998222"/>
    <n v="25.582857142857144"/>
    <n v="-0.88826776789566653"/>
    <n v="1"/>
    <m/>
    <s v="Chautham"/>
    <m/>
    <n v="0"/>
  </r>
  <r>
    <s v="Munger"/>
    <s v="10-16 Apr"/>
    <n v="1057"/>
    <s v="Warisnagar"/>
    <x v="804"/>
    <s v="Karian"/>
    <s v="MPG"/>
    <s v="Direct"/>
    <n v="105.1"/>
    <n v="4667.75"/>
    <n v="105.09999999999998"/>
    <n v="4676.662274294401"/>
    <n v="0"/>
    <n v="0"/>
    <n v="105.09999999999998"/>
    <n v="4676.662274294401"/>
    <n v="4667.75"/>
    <n v="0"/>
    <n v="0"/>
    <n v="8.9122742944009588"/>
    <n v="0"/>
    <n v="0"/>
    <n v="0"/>
    <n v="4668"/>
    <n v="0"/>
    <n v="0"/>
    <n v="0"/>
    <n v="0"/>
    <n v="528.41950047573732"/>
    <n v="15.014285714285714"/>
    <n v="-1.9093298258049294E-3"/>
    <n v="1"/>
    <m/>
    <s v="Warisnagar"/>
    <m/>
    <n v="0"/>
  </r>
  <r>
    <s v="Munger"/>
    <s v="10-16 Apr"/>
    <n v="1057"/>
    <s v="Warisnagar"/>
    <x v="805"/>
    <s v="Teghara"/>
    <s v="MPG"/>
    <s v="Direct"/>
    <n v="187.60000000000002"/>
    <n v="7292.5099999999993"/>
    <n v="187.6"/>
    <n v="7292.3205128400004"/>
    <n v="0"/>
    <n v="0"/>
    <n v="187.6"/>
    <n v="7292.3205128400004"/>
    <n v="7292.3205128400004"/>
    <n v="0"/>
    <n v="0"/>
    <n v="0"/>
    <n v="0"/>
    <n v="0"/>
    <n v="0"/>
    <n v="7292"/>
    <n v="0"/>
    <n v="0"/>
    <n v="1"/>
    <n v="0"/>
    <n v="398.36696417910434"/>
    <n v="26.800000000000004"/>
    <n v="2.5983805301447913E-5"/>
    <n v="1"/>
    <m/>
    <s v="Warisnagar"/>
    <m/>
    <n v="0"/>
  </r>
  <r>
    <s v="Munger"/>
    <s v="10-16 Apr"/>
    <n v="1057"/>
    <s v="Warisnagar"/>
    <x v="806"/>
    <s v="Basantpur"/>
    <s v="MPG"/>
    <s v="Direct"/>
    <n v="852.8"/>
    <n v="39030.92"/>
    <n v="780.4"/>
    <n v="36203.991650895601"/>
    <n v="73.199999999999989"/>
    <n v="2733.9571195200006"/>
    <n v="853.59999999999991"/>
    <n v="38937.948770415605"/>
    <n v="38937.948770415605"/>
    <n v="0"/>
    <n v="0"/>
    <n v="0"/>
    <n v="0"/>
    <n v="0"/>
    <n v="0"/>
    <n v="36204"/>
    <n v="2734"/>
    <n v="0"/>
    <n v="93"/>
    <n v="0"/>
    <n v="0"/>
    <n v="0"/>
    <n v="2.3819891917585562E-3"/>
    <n v="2"/>
    <m/>
    <s v="Warisnagar"/>
    <m/>
    <n v="0"/>
  </r>
  <r>
    <s v="Munger"/>
    <s v="10-16 Apr"/>
    <n v="1057"/>
    <s v="Warisnagar"/>
    <x v="807"/>
    <s v="Chakoti"/>
    <s v="MPG"/>
    <s v="Direct"/>
    <n v="1560.2000000000003"/>
    <n v="58508.100000000006"/>
    <n v="61.399999999999991"/>
    <n v="2353.7054464499997"/>
    <n v="1498.8"/>
    <n v="55967.958910340312"/>
    <n v="1560.2"/>
    <n v="58321.664356790308"/>
    <n v="58321.664356790308"/>
    <n v="0"/>
    <n v="782.47235365200004"/>
    <n v="0"/>
    <n v="0"/>
    <n v="0"/>
    <n v="0"/>
    <n v="2354"/>
    <n v="55187"/>
    <n v="0"/>
    <n v="185"/>
    <n v="0"/>
    <n v="0"/>
    <n v="0"/>
    <n v="3.1864928652562195E-3"/>
    <n v="16"/>
    <m/>
    <s v="Warisnagar"/>
    <m/>
    <n v="0"/>
  </r>
  <r>
    <s v="Munger"/>
    <s v="10-16 Apr"/>
    <n v="1057"/>
    <s v="Warisnagar"/>
    <x v="808"/>
    <s v="Nathudawar"/>
    <s v="MPG"/>
    <s v="Direct"/>
    <n v="858"/>
    <n v="32601.63"/>
    <n v="858.00000000000011"/>
    <n v="32601.209711400003"/>
    <n v="0"/>
    <n v="0"/>
    <n v="858.00000000000011"/>
    <n v="32601.209711400003"/>
    <n v="32601.209711400003"/>
    <n v="0"/>
    <n v="0"/>
    <n v="0"/>
    <n v="0"/>
    <n v="0"/>
    <n v="0"/>
    <n v="32601"/>
    <n v="0"/>
    <n v="0"/>
    <n v="1"/>
    <n v="0"/>
    <n v="0"/>
    <n v="0"/>
    <n v="1.2891643761322896E-5"/>
    <n v="1"/>
    <m/>
    <s v="Warisnagar"/>
    <m/>
    <n v="0"/>
  </r>
  <r>
    <s v="Munger"/>
    <s v="10-16 Apr"/>
    <n v="1057"/>
    <s v="Warisnagar"/>
    <x v="809"/>
    <s v="Purnahi"/>
    <s v="vlc"/>
    <s v="Indirect"/>
    <n v="747.2"/>
    <n v="25901.800000000003"/>
    <n v="0"/>
    <n v="0"/>
    <n v="0"/>
    <n v="0"/>
    <n v="0"/>
    <n v="0"/>
    <n v="25901.800000000003"/>
    <n v="0"/>
    <n v="0"/>
    <n v="0"/>
    <n v="0"/>
    <n v="0"/>
    <n v="0"/>
    <n v="0"/>
    <n v="0"/>
    <n v="25901.800000000003"/>
    <n v="0"/>
    <n v="0"/>
    <n v="0"/>
    <n v="0"/>
    <n v="0"/>
    <n v="0"/>
    <m/>
    <s v="Warisnagar"/>
    <m/>
    <n v="0"/>
  </r>
  <r>
    <s v="Munger"/>
    <s v="10-16 Apr"/>
    <n v="1057"/>
    <s v="Warisnagar"/>
    <x v="810"/>
    <s v="Baghopur "/>
    <s v="vlc"/>
    <s v="Indirect"/>
    <n v="583.29999999999995"/>
    <n v="22701.409999999996"/>
    <n v="0"/>
    <n v="0"/>
    <n v="0"/>
    <n v="0"/>
    <n v="0"/>
    <n v="0"/>
    <n v="22701.409999999996"/>
    <n v="0"/>
    <n v="0"/>
    <n v="0"/>
    <n v="0"/>
    <n v="0"/>
    <n v="0"/>
    <n v="0"/>
    <n v="0"/>
    <n v="22701.409999999996"/>
    <n v="0"/>
    <n v="0"/>
    <n v="90.836775141436689"/>
    <n v="83.328571428571422"/>
    <n v="0"/>
    <n v="0"/>
    <m/>
    <s v="Warisnagar"/>
    <m/>
    <n v="0"/>
  </r>
  <r>
    <s v="Munger"/>
    <s v="10-16 Apr"/>
    <n v="1057"/>
    <s v="Warisnagar"/>
    <x v="811"/>
    <s v="Sadipur Bathnaha"/>
    <s v="vlc"/>
    <s v="Indirect"/>
    <n v="332.1"/>
    <n v="14649.900000000001"/>
    <n v="0"/>
    <n v="0"/>
    <n v="0"/>
    <n v="0"/>
    <n v="0"/>
    <n v="0"/>
    <n v="14649.900000000001"/>
    <n v="0"/>
    <n v="0"/>
    <n v="0"/>
    <n v="0"/>
    <n v="0"/>
    <n v="0"/>
    <n v="0"/>
    <n v="0"/>
    <n v="14649.900000000001"/>
    <n v="0"/>
    <n v="0"/>
    <n v="324.58284914182474"/>
    <n v="47.442857142857143"/>
    <n v="0"/>
    <n v="0"/>
    <m/>
    <s v="Warisnagar"/>
    <m/>
    <n v="0"/>
  </r>
  <r>
    <s v="Munger"/>
    <s v="10-16 Apr"/>
    <n v="1057"/>
    <s v="Warisnagar"/>
    <x v="812"/>
    <s v="PARORIYA"/>
    <s v="vlc"/>
    <s v="Indirect"/>
    <n v="1296.4000000000001"/>
    <n v="46046.83"/>
    <n v="0"/>
    <n v="0"/>
    <n v="0"/>
    <n v="0"/>
    <n v="0"/>
    <n v="0"/>
    <n v="46046.83"/>
    <n v="0"/>
    <n v="0"/>
    <n v="0"/>
    <n v="0"/>
    <n v="0"/>
    <n v="0"/>
    <n v="0"/>
    <n v="0"/>
    <n v="46046.83"/>
    <n v="0"/>
    <n v="0"/>
    <n v="0"/>
    <n v="0"/>
    <n v="0"/>
    <n v="0"/>
    <m/>
    <s v="Warisnagar"/>
    <m/>
    <n v="0"/>
  </r>
  <r>
    <s v="Munger"/>
    <s v="10-16 Apr"/>
    <n v="1057"/>
    <s v="Warisnagar"/>
    <x v="813"/>
    <s v="Dewanpur"/>
    <s v="MPG"/>
    <s v="Direct"/>
    <n v="113.39999999999999"/>
    <n v="5031.3600000000015"/>
    <n v="53.599999999999994"/>
    <n v="2310.1874747820002"/>
    <n v="59.8"/>
    <n v="2747.03945141648"/>
    <n v="113.39999999999999"/>
    <n v="5057.2269261984802"/>
    <n v="5031.3600000000015"/>
    <n v="0"/>
    <n v="31.459174876800002"/>
    <n v="25.866926198478723"/>
    <n v="0"/>
    <n v="0"/>
    <n v="0"/>
    <n v="2286"/>
    <n v="2714"/>
    <n v="0"/>
    <n v="0"/>
    <n v="0"/>
    <n v="520.52835555555589"/>
    <n v="16.2"/>
    <n v="-5.141140009555809E-3"/>
    <n v="12"/>
    <m/>
    <s v="Warisnagar"/>
    <m/>
    <n v="0"/>
  </r>
  <r>
    <s v="Munger"/>
    <s v="10-16 Apr"/>
    <n v="1057"/>
    <s v="Warisnagar"/>
    <x v="814"/>
    <s v="Gohi"/>
    <s v="MPG"/>
    <s v="Direct"/>
    <n v="366.3"/>
    <n v="14927.48"/>
    <n v="104.89999999999999"/>
    <n v="4447.10168892"/>
    <n v="261.39999999999998"/>
    <n v="10443.434005255602"/>
    <n v="366.29999999999995"/>
    <n v="14890.535694175602"/>
    <n v="14890.535694175602"/>
    <n v="0"/>
    <n v="300.58740965580006"/>
    <n v="0"/>
    <n v="0"/>
    <n v="0"/>
    <n v="0"/>
    <n v="4447"/>
    <n v="10143"/>
    <n v="0"/>
    <n v="37"/>
    <n v="0"/>
    <n v="271.97925612885609"/>
    <n v="52.328571428571429"/>
    <n v="2.4749191306501711E-3"/>
    <n v="13"/>
    <m/>
    <s v="Warisnagar"/>
    <m/>
    <n v="0"/>
  </r>
  <r>
    <s v="Munger"/>
    <s v="10-16 Apr"/>
    <n v="1057"/>
    <s v="Warisnagar"/>
    <x v="815"/>
    <s v="Matua"/>
    <s v="MPG"/>
    <s v="Direct"/>
    <n v="679.3"/>
    <n v="29332.569999999996"/>
    <n v="210.6"/>
    <n v="9213.9223991059007"/>
    <n v="468.1"/>
    <n v="20033.354934365605"/>
    <n v="678.7"/>
    <n v="29247.277333471506"/>
    <n v="29247.277333471506"/>
    <n v="0"/>
    <n v="150.23954304700004"/>
    <n v="0"/>
    <n v="0"/>
    <n v="0"/>
    <n v="0"/>
    <n v="9214"/>
    <n v="19882"/>
    <n v="0"/>
    <n v="86"/>
    <n v="0"/>
    <n v="17.876761342558588"/>
    <n v="97.04285714285713"/>
    <n v="2.9077802091153414E-3"/>
    <n v="7"/>
    <m/>
    <s v="Warisnagar"/>
    <m/>
    <n v="0"/>
  </r>
  <r>
    <s v="Munger"/>
    <s v="10-16 Apr"/>
    <n v="1057"/>
    <s v="Warisnagar"/>
    <x v="816"/>
    <s v="Ratni Chouk"/>
    <s v="MPG"/>
    <s v="Direct"/>
    <n v="558.1"/>
    <n v="25974.460000000003"/>
    <n v="558.1"/>
    <n v="25974.354836467406"/>
    <n v="0"/>
    <n v="0"/>
    <n v="558.1"/>
    <n v="25974.354836467406"/>
    <n v="25974.354836467406"/>
    <n v="0"/>
    <n v="0"/>
    <n v="0"/>
    <n v="0"/>
    <n v="0"/>
    <n v="0"/>
    <n v="25974"/>
    <n v="0"/>
    <n v="0"/>
    <n v="0"/>
    <n v="0"/>
    <n v="132.08299136355492"/>
    <n v="79.728571428571428"/>
    <n v="4.0487283507196862E-6"/>
    <n v="1"/>
    <m/>
    <s v="Warisnagar"/>
    <m/>
    <n v="0"/>
  </r>
  <r>
    <s v="Munger"/>
    <s v="10-16 Apr"/>
    <n v="1057"/>
    <s v="Warisnagar"/>
    <x v="817"/>
    <s v="Balahi 2"/>
    <s v="MPG"/>
    <s v="Direct"/>
    <n v="668.2"/>
    <n v="24185.07"/>
    <n v="553.90000000000009"/>
    <n v="20753.866992093281"/>
    <n v="116.10000000000002"/>
    <n v="4316.9693856048007"/>
    <n v="670.00000000000011"/>
    <n v="25070.83637769808"/>
    <n v="24185.07"/>
    <n v="0"/>
    <n v="43.709071032000004"/>
    <n v="885.76637769808076"/>
    <n v="0"/>
    <n v="0"/>
    <n v="0"/>
    <n v="19868"/>
    <n v="4273"/>
    <n v="0"/>
    <n v="0"/>
    <n v="0"/>
    <n v="23.019611673151687"/>
    <n v="95.45714285714287"/>
    <n v="-3.6624511638712678E-2"/>
    <n v="11"/>
    <m/>
    <s v="Warisnagar"/>
    <m/>
    <n v="0"/>
  </r>
  <r>
    <s v="Munger"/>
    <s v="10-16 Apr"/>
    <n v="1057"/>
    <s v="Warisnagar"/>
    <x v="818"/>
    <s v="Chandauli"/>
    <s v="vlc"/>
    <s v="Indirect"/>
    <n v="277.50000000000006"/>
    <n v="13402.009999999998"/>
    <n v="0"/>
    <n v="0"/>
    <n v="0"/>
    <n v="0"/>
    <n v="0"/>
    <n v="0"/>
    <n v="13402.009999999998"/>
    <n v="0"/>
    <n v="0"/>
    <n v="0"/>
    <n v="0"/>
    <n v="0"/>
    <n v="0"/>
    <n v="0"/>
    <n v="0"/>
    <n v="13402.009999999998"/>
    <n v="0"/>
    <n v="0"/>
    <n v="408.09724144144133"/>
    <n v="39.642857142857153"/>
    <n v="0"/>
    <n v="0"/>
    <m/>
    <s v="Warisnagar"/>
    <m/>
    <n v="0"/>
  </r>
  <r>
    <s v="Munger"/>
    <s v="10-16 Apr"/>
    <n v="1057"/>
    <s v="Warisnagar"/>
    <x v="819"/>
    <s v="Gulabi Choak"/>
    <s v="vlc"/>
    <s v="Indirect"/>
    <n v="915.99999999999989"/>
    <n v="33529.240000000005"/>
    <n v="0"/>
    <n v="0"/>
    <n v="0"/>
    <n v="0"/>
    <n v="0"/>
    <n v="0"/>
    <n v="33529.240000000005"/>
    <n v="0"/>
    <n v="0"/>
    <n v="0"/>
    <n v="0"/>
    <n v="0"/>
    <n v="0"/>
    <n v="0"/>
    <n v="0"/>
    <n v="33529.240000000005"/>
    <n v="0"/>
    <n v="0"/>
    <n v="0"/>
    <n v="0"/>
    <n v="0"/>
    <n v="0"/>
    <m/>
    <s v="Warisnagar"/>
    <m/>
    <n v="0"/>
  </r>
  <r>
    <s v="Munger"/>
    <s v="10-16 Apr"/>
    <n v="1057"/>
    <s v="Warisnagar"/>
    <x v="820"/>
    <s v="Satmalpur"/>
    <s v="vlc"/>
    <s v="Indirect"/>
    <n v="1265.7999999999997"/>
    <n v="49535.91"/>
    <n v="0"/>
    <n v="0"/>
    <n v="0"/>
    <n v="0"/>
    <n v="0"/>
    <n v="0"/>
    <n v="49535.91"/>
    <n v="0"/>
    <n v="0"/>
    <n v="0"/>
    <n v="0"/>
    <n v="0"/>
    <n v="0"/>
    <n v="0"/>
    <n v="0"/>
    <n v="49535.91"/>
    <n v="0"/>
    <n v="0"/>
    <n v="0"/>
    <n v="0"/>
    <n v="0"/>
    <n v="0"/>
    <m/>
    <s v="Warisnagar"/>
    <m/>
    <n v="0"/>
  </r>
  <r>
    <s v="Munger"/>
    <s v="10-16 Apr"/>
    <n v="1057"/>
    <s v="Warisnagar"/>
    <x v="821"/>
    <s v="Chhatnesar"/>
    <s v="vlc"/>
    <s v="Indirect"/>
    <n v="344.30000000000007"/>
    <n v="12759.229999999998"/>
    <n v="0"/>
    <n v="0"/>
    <n v="0"/>
    <n v="0"/>
    <n v="0"/>
    <n v="0"/>
    <n v="12759.229999999998"/>
    <n v="0"/>
    <n v="0"/>
    <n v="0"/>
    <n v="0"/>
    <n v="0"/>
    <n v="0"/>
    <n v="0"/>
    <n v="0"/>
    <n v="12759.229999999998"/>
    <n v="0"/>
    <n v="0"/>
    <n v="263.63393035143758"/>
    <n v="49.185714285714297"/>
    <n v="0"/>
    <n v="0"/>
    <m/>
    <s v="Warisnagar"/>
    <m/>
    <n v="0"/>
  </r>
  <r>
    <s v="Munger"/>
    <s v="10-16 Apr"/>
    <n v="1057"/>
    <s v="Warisnagar"/>
    <x v="822"/>
    <s v="Chhatnesar 2"/>
    <s v="MPG"/>
    <s v="Direct"/>
    <n v="333.8"/>
    <n v="12010.530000000002"/>
    <n v="333.2"/>
    <n v="12212.141806854001"/>
    <n v="0.1"/>
    <n v="3.5007378120000006"/>
    <n v="333.3"/>
    <n v="12215.642544666001"/>
    <n v="12010.530000000002"/>
    <n v="0"/>
    <n v="3.5007378120000006"/>
    <n v="205.11254466599894"/>
    <n v="0"/>
    <n v="0"/>
    <n v="0"/>
    <n v="12007"/>
    <n v="0"/>
    <n v="0"/>
    <n v="0"/>
    <n v="0"/>
    <n v="263.52642816057522"/>
    <n v="47.68571428571429"/>
    <n v="-1.7077726350627234E-2"/>
    <n v="2"/>
    <m/>
    <s v="Warisnagar"/>
    <m/>
    <n v="0"/>
  </r>
  <r>
    <s v="Munger"/>
    <s v="10-16 Apr"/>
    <n v="1057"/>
    <s v="Warisnagar"/>
    <x v="823"/>
    <s v="Hajpurwa"/>
    <s v="MPG"/>
    <s v="Direct"/>
    <n v="390.69999999999993"/>
    <n v="15111.74"/>
    <n v="390.7"/>
    <n v="15073.148827176003"/>
    <n v="0"/>
    <n v="0"/>
    <n v="390.7"/>
    <n v="15073.148827176003"/>
    <n v="15073.148827176003"/>
    <n v="0"/>
    <n v="0"/>
    <n v="0"/>
    <n v="0"/>
    <n v="0"/>
    <n v="0"/>
    <n v="15073"/>
    <n v="0"/>
    <n v="0"/>
    <n v="39"/>
    <n v="0"/>
    <n v="239.26599344765816"/>
    <n v="55.814285714285703"/>
    <n v="2.5537213334796069E-3"/>
    <n v="1"/>
    <m/>
    <s v="Warisnagar"/>
    <m/>
    <n v="0"/>
  </r>
  <r>
    <s v="Munger"/>
    <s v="10-16 Apr"/>
    <n v="1057"/>
    <s v="Warisnagar"/>
    <x v="824"/>
    <s v="Shekhopur"/>
    <s v="MPG"/>
    <s v="Direct"/>
    <n v="397"/>
    <n v="14193.94"/>
    <n v="397.00000000000006"/>
    <n v="14193.574544160001"/>
    <n v="0"/>
    <n v="0"/>
    <n v="397.00000000000006"/>
    <n v="14193.574544160001"/>
    <n v="14193.574544160001"/>
    <n v="0"/>
    <n v="0"/>
    <n v="0"/>
    <n v="0"/>
    <n v="0"/>
    <n v="0"/>
    <n v="14194"/>
    <n v="0"/>
    <n v="0"/>
    <n v="0"/>
    <n v="0"/>
    <n v="216.6631647355164"/>
    <n v="56.714285714285715"/>
    <n v="2.5747314699048538E-5"/>
    <n v="1"/>
    <m/>
    <s v="Warisnagar"/>
    <m/>
    <n v="0"/>
  </r>
  <r>
    <s v="Munger"/>
    <s v="10-16 Apr"/>
    <n v="1057"/>
    <s v="Warisnagar"/>
    <x v="825"/>
    <s v="Dharampur"/>
    <s v="MPG"/>
    <s v="Direct"/>
    <n v="182.89999999999998"/>
    <n v="7369.329999999999"/>
    <n v="183.7"/>
    <n v="7251.1125832650023"/>
    <n v="1.4000000000000001"/>
    <n v="55.863961560000007"/>
    <n v="185.1"/>
    <n v="7306.9765448250018"/>
    <n v="7306.9765448250018"/>
    <n v="0"/>
    <n v="55.863961560000007"/>
    <n v="0"/>
    <n v="0"/>
    <n v="0"/>
    <n v="0"/>
    <n v="7251"/>
    <n v="0"/>
    <n v="0"/>
    <n v="62"/>
    <n v="0"/>
    <n v="416.69552137780198"/>
    <n v="26.128571428571426"/>
    <n v="8.4612108800931948E-3"/>
    <n v="2"/>
    <m/>
    <s v="Warisnagar"/>
    <m/>
    <n v="0"/>
  </r>
  <r>
    <s v="Munger"/>
    <s v="10-16 Apr"/>
    <n v="1057"/>
    <s v="Warisnagar"/>
    <x v="826"/>
    <s v="Chatnesar Pachiam"/>
    <s v="vlc"/>
    <s v="Indirect"/>
    <n v="189.29999999999998"/>
    <n v="7512.0999999999995"/>
    <n v="0"/>
    <n v="0"/>
    <n v="0"/>
    <n v="0"/>
    <n v="0"/>
    <n v="0"/>
    <n v="7512.0999999999995"/>
    <n v="0"/>
    <n v="0"/>
    <n v="0"/>
    <n v="0"/>
    <n v="0"/>
    <n v="0"/>
    <n v="0"/>
    <n v="0"/>
    <n v="7512.0999999999995"/>
    <n v="0"/>
    <n v="0"/>
    <n v="405.32799471737985"/>
    <n v="27.042857142857141"/>
    <n v="0"/>
    <n v="0"/>
    <m/>
    <s v="Warisnagar"/>
    <m/>
    <n v="0"/>
  </r>
  <r>
    <s v="Munger"/>
    <s v="10-16 Apr"/>
    <n v="1057"/>
    <s v="Warisnagar"/>
    <x v="1042"/>
    <s v="Satmalpur Tarri"/>
    <s v="vlc"/>
    <s v="Indirect"/>
    <n v="130.19999999999999"/>
    <n v="5172.8500000000004"/>
    <n v="0"/>
    <n v="0"/>
    <n v="0"/>
    <n v="0"/>
    <n v="0"/>
    <n v="0"/>
    <n v="5172.8500000000004"/>
    <n v="0"/>
    <n v="0"/>
    <n v="0"/>
    <n v="0"/>
    <n v="0"/>
    <n v="0"/>
    <n v="0"/>
    <n v="0"/>
    <n v="5172.8500000000004"/>
    <n v="0"/>
    <n v="0"/>
    <n v="452.76343010752697"/>
    <n v="18.599999999999998"/>
    <n v="0"/>
    <n v="0"/>
    <m/>
    <s v="Warisnagar"/>
    <m/>
    <n v="0"/>
  </r>
  <r>
    <s v="Munger"/>
    <s v="10-16 Apr"/>
    <n v="1057"/>
    <s v="Warisnagar"/>
    <x v="827"/>
    <s v="Hajpurwa Pachim"/>
    <s v="MPG"/>
    <s v="Direct"/>
    <n v="335.59999999999997"/>
    <n v="13594.92"/>
    <n v="335.9"/>
    <n v="13697.831619963807"/>
    <n v="0"/>
    <n v="0"/>
    <n v="335.9"/>
    <n v="13697.831619963807"/>
    <n v="13594.92"/>
    <n v="0"/>
    <n v="0"/>
    <n v="102.91161996380652"/>
    <n v="0"/>
    <n v="0"/>
    <n v="0"/>
    <n v="13595"/>
    <n v="0"/>
    <n v="0"/>
    <n v="0"/>
    <n v="0"/>
    <n v="295.23175494636479"/>
    <n v="47.942857142857136"/>
    <n v="-7.5698584444635585E-3"/>
    <n v="1"/>
    <m/>
    <s v="Warisnagar"/>
    <m/>
    <n v="0"/>
  </r>
  <r>
    <s v="Munger"/>
    <s v="10-16 Apr"/>
    <n v="1057"/>
    <s v="Warisnagar"/>
    <x v="828"/>
    <s v="Almasnagar"/>
    <s v="vlc"/>
    <s v="Indirect"/>
    <n v="359.70000000000005"/>
    <n v="12717.21"/>
    <n v="0"/>
    <n v="0"/>
    <n v="0"/>
    <n v="0"/>
    <n v="0"/>
    <n v="0"/>
    <n v="12717.21"/>
    <n v="0"/>
    <n v="0"/>
    <n v="0"/>
    <n v="0"/>
    <n v="0"/>
    <n v="0"/>
    <n v="0"/>
    <n v="0"/>
    <n v="12717.21"/>
    <n v="0"/>
    <n v="0"/>
    <n v="240.62644220183478"/>
    <n v="51.385714285714293"/>
    <n v="0"/>
    <n v="0"/>
    <m/>
    <s v="Warisnagar"/>
    <m/>
    <n v="0"/>
  </r>
  <r>
    <s v="Munger"/>
    <s v="10-16 Apr"/>
    <n v="1057"/>
    <s v="Warisnagar"/>
    <x v="829"/>
    <s v="Kadarchak"/>
    <s v="vlc"/>
    <s v="Indirect"/>
    <n v="35.1"/>
    <n v="1158.3"/>
    <n v="0"/>
    <n v="0"/>
    <n v="0"/>
    <n v="0"/>
    <n v="0"/>
    <n v="0"/>
    <n v="1158.3"/>
    <n v="0"/>
    <n v="0"/>
    <n v="0"/>
    <n v="0"/>
    <n v="0"/>
    <n v="0"/>
    <n v="0"/>
    <n v="0"/>
    <n v="1158.3"/>
    <n v="0"/>
    <n v="0"/>
    <n v="438.834"/>
    <n v="5.0142857142857142"/>
    <n v="0"/>
    <n v="0"/>
    <m/>
    <s v="Warisnagar"/>
    <m/>
    <n v="0"/>
  </r>
  <r>
    <s v="Munger"/>
    <s v="10-16 Apr"/>
    <n v="1057"/>
    <s v="Warisnagar"/>
    <x v="1018"/>
    <s v="Rahua"/>
    <s v="MPG"/>
    <s v="Direct"/>
    <n v="177.70000000000002"/>
    <n v="6793.670000000001"/>
    <n v="177.7"/>
    <n v="6821.54198352"/>
    <n v="0"/>
    <n v="0"/>
    <n v="177.7"/>
    <n v="6821.54198352"/>
    <n v="6793.670000000001"/>
    <n v="0"/>
    <n v="0"/>
    <n v="27.871983519999048"/>
    <n v="0"/>
    <n v="0"/>
    <n v="0"/>
    <n v="6794"/>
    <n v="0"/>
    <n v="0"/>
    <n v="0"/>
    <n v="0"/>
    <n v="399.36227810917279"/>
    <n v="25.38571428571429"/>
    <n v="-4.1026401812273841E-3"/>
    <n v="1"/>
    <m/>
    <s v="Warisnagar"/>
    <m/>
    <n v="0"/>
  </r>
  <r>
    <s v="Munger"/>
    <s v="10-16 Apr"/>
    <n v="1057"/>
    <s v="Warisnagar"/>
    <x v="830"/>
    <s v="Dagrua"/>
    <s v="MPG"/>
    <s v="Direct"/>
    <n v="151.6"/>
    <n v="6597.4500000000007"/>
    <n v="151.59999999999997"/>
    <n v="6596.40977028"/>
    <n v="0"/>
    <n v="0"/>
    <n v="151.59999999999997"/>
    <n v="6596.40977028"/>
    <n v="6596.40977028"/>
    <n v="0"/>
    <n v="0"/>
    <n v="0"/>
    <n v="0"/>
    <n v="0"/>
    <n v="0"/>
    <n v="6596"/>
    <n v="0"/>
    <n v="0"/>
    <n v="1"/>
    <n v="0"/>
    <n v="477.31419261213728"/>
    <n v="21.657142857142855"/>
    <n v="1.5767148216367722E-4"/>
    <n v="1"/>
    <m/>
    <s v="Warisnagar"/>
    <m/>
    <n v="0"/>
  </r>
  <r>
    <s v="Munger"/>
    <s v="10-16 Apr"/>
    <n v="1057"/>
    <s v="Warisnagar"/>
    <x v="831"/>
    <s v="Buzurgdoar"/>
    <s v="MPG"/>
    <s v="Direct"/>
    <n v="952.50000000000023"/>
    <n v="36656.630000000005"/>
    <n v="951.70000000000016"/>
    <n v="36806.234874429305"/>
    <n v="0"/>
    <n v="0"/>
    <n v="951.70000000000016"/>
    <n v="36806.234874429305"/>
    <n v="36656.630000000005"/>
    <n v="0"/>
    <n v="0"/>
    <n v="149.60487442930025"/>
    <n v="0"/>
    <n v="0"/>
    <n v="0"/>
    <n v="36657"/>
    <n v="0"/>
    <n v="0"/>
    <n v="0"/>
    <n v="0"/>
    <n v="0"/>
    <n v="0"/>
    <n v="-4.0812500884369416E-3"/>
    <n v="14"/>
    <m/>
    <s v="Warisnagar"/>
    <m/>
    <n v="0"/>
  </r>
  <r>
    <s v="Munger"/>
    <s v="10-16 Apr"/>
    <n v="1057"/>
    <s v="Warisnagar"/>
    <x v="832"/>
    <s v="Patpara"/>
    <s v="vlc"/>
    <s v="Indirect"/>
    <n v="493.00000000000011"/>
    <n v="17267.39"/>
    <n v="0"/>
    <n v="0"/>
    <n v="0"/>
    <n v="0"/>
    <n v="0"/>
    <n v="0"/>
    <n v="17267.39"/>
    <n v="0"/>
    <n v="0"/>
    <n v="0"/>
    <n v="0"/>
    <n v="0"/>
    <n v="0"/>
    <n v="0"/>
    <n v="0"/>
    <n v="17267.39"/>
    <n v="0"/>
    <n v="0"/>
    <n v="145.00404584178489"/>
    <n v="70.428571428571445"/>
    <n v="0"/>
    <n v="0"/>
    <m/>
    <s v="Warisnagar"/>
    <m/>
    <n v="0"/>
  </r>
  <r>
    <s v="Munger"/>
    <s v="10-16 Apr"/>
    <n v="1057"/>
    <s v="Warisnagar"/>
    <x v="833"/>
    <s v="Kamopur"/>
    <s v="MPG"/>
    <s v="Direct"/>
    <n v="444.5"/>
    <n v="17743.61"/>
    <n v="327.5"/>
    <n v="12506.8027657817"/>
    <n v="117.29999999999998"/>
    <n v="5323.9304085774011"/>
    <n v="444.79999999999995"/>
    <n v="17830.733174359102"/>
    <n v="17743.61"/>
    <n v="0"/>
    <n v="0"/>
    <n v="87.12317435910154"/>
    <n v="0"/>
    <n v="0"/>
    <n v="0"/>
    <n v="12420"/>
    <n v="5324"/>
    <n v="0"/>
    <n v="0"/>
    <s v="Release2"/>
    <n v="203.98165826771657"/>
    <n v="63.5"/>
    <n v="-4.9101154927943943E-3"/>
    <n v="11"/>
    <m/>
    <s v="Warisnagar"/>
    <m/>
    <n v="0"/>
  </r>
  <r>
    <s v="Munger"/>
    <s v="10-16 Apr"/>
    <n v="1057"/>
    <s v="Warisnagar"/>
    <x v="834"/>
    <s v="Kussaiya"/>
    <s v="MPG"/>
    <s v="Direct"/>
    <n v="263.10000000000002"/>
    <n v="12607.670000000002"/>
    <n v="263.89999999999986"/>
    <n v="12701.682686675445"/>
    <n v="0"/>
    <n v="0"/>
    <n v="263.89999999999986"/>
    <n v="12701.682686675445"/>
    <n v="12607.670000000002"/>
    <n v="0"/>
    <n v="0"/>
    <n v="94.012686675443547"/>
    <n v="0"/>
    <n v="0"/>
    <n v="0"/>
    <n v="12608"/>
    <n v="0"/>
    <n v="0"/>
    <n v="0"/>
    <n v="0"/>
    <n v="418.72223664006083"/>
    <n v="37.585714285714289"/>
    <n v="-7.4567851693011899E-3"/>
    <n v="1"/>
    <m/>
    <s v="Warisnagar"/>
    <m/>
    <n v="0"/>
  </r>
  <r>
    <s v="Munger"/>
    <s v="10-16 Apr"/>
    <n v="1057"/>
    <s v="Warisnagar"/>
    <x v="835"/>
    <s v="Kanu Bisanpur"/>
    <s v="vlc"/>
    <s v="Indirect"/>
    <n v="94.09999999999998"/>
    <n v="3873.3499999999995"/>
    <n v="0"/>
    <n v="0"/>
    <n v="0"/>
    <n v="0"/>
    <n v="0"/>
    <n v="0"/>
    <n v="3873.3499999999995"/>
    <n v="0"/>
    <n v="0"/>
    <n v="0"/>
    <n v="0"/>
    <n v="0"/>
    <n v="0"/>
    <n v="0"/>
    <n v="0"/>
    <n v="3873.3499999999995"/>
    <n v="0"/>
    <n v="0"/>
    <n v="498.80186291179604"/>
    <n v="13.44285714285714"/>
    <n v="0"/>
    <n v="0"/>
    <m/>
    <s v="Warisnagar"/>
    <m/>
    <n v="0"/>
  </r>
  <r>
    <s v="Munger"/>
    <s v="10-16 Apr"/>
    <n v="1057"/>
    <s v="Warisnagar"/>
    <x v="837"/>
    <s v="Raini 2"/>
    <s v="MPG"/>
    <s v="Direct"/>
    <n v="194.90000000000003"/>
    <n v="7865.2300000000005"/>
    <n v="192.19999999999996"/>
    <n v="7828.9157446507006"/>
    <n v="0"/>
    <n v="0"/>
    <n v="192.19999999999996"/>
    <n v="7828.9157446507006"/>
    <n v="7828.9157446507006"/>
    <n v="0"/>
    <n v="0"/>
    <n v="0"/>
    <n v="0"/>
    <n v="0"/>
    <n v="0"/>
    <n v="7829"/>
    <n v="0"/>
    <n v="0"/>
    <n v="36"/>
    <n v="0"/>
    <n v="407.66830918419691"/>
    <n v="27.842857142857149"/>
    <n v="4.6170621010828486E-3"/>
    <n v="1"/>
    <m/>
    <s v="Warisnagar"/>
    <m/>
    <n v="0"/>
  </r>
  <r>
    <s v="Munger"/>
    <s v="10-16 Apr"/>
    <n v="1057"/>
    <s v="Warisnagar"/>
    <x v="838"/>
    <s v="Hasauli"/>
    <s v="vlc"/>
    <s v="Indirect"/>
    <n v="169.30000000000004"/>
    <n v="6540.869999999999"/>
    <n v="0"/>
    <n v="0"/>
    <n v="0"/>
    <n v="0"/>
    <n v="0"/>
    <n v="0"/>
    <n v="6540.869999999999"/>
    <n v="0"/>
    <n v="0"/>
    <n v="0"/>
    <n v="0"/>
    <n v="0"/>
    <n v="0"/>
    <n v="0"/>
    <n v="0"/>
    <n v="6540.869999999999"/>
    <n v="0"/>
    <n v="0"/>
    <n v="410.06966438275236"/>
    <n v="24.18571428571429"/>
    <n v="0"/>
    <n v="0"/>
    <m/>
    <s v="Warisnagar"/>
    <m/>
    <n v="0"/>
  </r>
  <r>
    <s v="Munger"/>
    <s v="10-16 Apr"/>
    <n v="1057"/>
    <s v="Warisnagar"/>
    <x v="839"/>
    <s v="Kusiya 2"/>
    <s v="vlc"/>
    <s v="Indirect"/>
    <n v="265.7"/>
    <n v="10160.300000000003"/>
    <n v="0"/>
    <n v="0"/>
    <n v="0"/>
    <n v="0"/>
    <n v="0"/>
    <n v="0"/>
    <n v="10160.300000000003"/>
    <n v="0"/>
    <n v="0"/>
    <n v="0"/>
    <n v="0"/>
    <n v="0"/>
    <n v="0"/>
    <n v="0"/>
    <n v="0"/>
    <n v="10160.300000000003"/>
    <n v="0"/>
    <n v="0"/>
    <n v="332.15041701166746"/>
    <n v="37.957142857142856"/>
    <n v="0"/>
    <n v="0"/>
    <m/>
    <s v="Warisnagar"/>
    <m/>
    <n v="0"/>
  </r>
  <r>
    <s v="Munger"/>
    <s v="10-16 Apr"/>
    <n v="1057"/>
    <s v="Warisnagar"/>
    <x v="1043"/>
    <s v="Babupur"/>
    <s v="vlc"/>
    <s v="Indirect"/>
    <n v="376.99999999999994"/>
    <n v="13450.560000000003"/>
    <n v="0"/>
    <n v="0"/>
    <n v="0"/>
    <n v="0"/>
    <n v="0"/>
    <n v="0"/>
    <n v="13450.560000000003"/>
    <n v="0"/>
    <n v="0"/>
    <n v="0"/>
    <n v="0"/>
    <n v="0"/>
    <n v="0"/>
    <n v="0"/>
    <n v="0"/>
    <n v="13450.560000000003"/>
    <n v="0"/>
    <n v="0"/>
    <n v="230.47909177718844"/>
    <n v="53.857142857142847"/>
    <n v="0"/>
    <n v="0"/>
    <m/>
    <s v="Warisnagar"/>
    <m/>
    <n v="0"/>
  </r>
  <r>
    <s v="Munger"/>
    <s v="10-16 Apr"/>
    <n v="1057"/>
    <s v="Warisnagar"/>
    <x v="1044"/>
    <s v="Rahua 2"/>
    <s v="vlc"/>
    <s v="Indirect"/>
    <n v="1365"/>
    <n v="57122.94000000001"/>
    <n v="0"/>
    <n v="0"/>
    <n v="0"/>
    <n v="0"/>
    <n v="0"/>
    <n v="0"/>
    <n v="57122.94000000001"/>
    <n v="0"/>
    <n v="0"/>
    <n v="0"/>
    <n v="0"/>
    <n v="0"/>
    <n v="0"/>
    <n v="0"/>
    <n v="0"/>
    <n v="57122.94000000001"/>
    <n v="0"/>
    <n v="0"/>
    <n v="0"/>
    <n v="0"/>
    <n v="0"/>
    <n v="0"/>
    <m/>
    <s v="Warisnagar"/>
    <m/>
    <n v="0"/>
  </r>
  <r>
    <s v="Munger"/>
    <s v="10-16 Apr"/>
    <n v="1057"/>
    <s v="Warisnagar"/>
    <x v="1045"/>
    <s v="Madhopur"/>
    <s v="vlc"/>
    <s v="Indirect"/>
    <n v="677.30000000000018"/>
    <n v="29566.359999999997"/>
    <n v="0"/>
    <n v="0"/>
    <n v="0"/>
    <n v="0"/>
    <n v="0"/>
    <n v="0"/>
    <n v="29566.359999999997"/>
    <n v="0"/>
    <n v="0"/>
    <n v="0"/>
    <n v="0"/>
    <n v="0"/>
    <n v="0"/>
    <n v="0"/>
    <n v="0"/>
    <n v="29566.359999999997"/>
    <n v="0"/>
    <n v="0"/>
    <n v="19.818584733500511"/>
    <n v="96.757142857142881"/>
    <n v="0"/>
    <n v="0"/>
    <m/>
    <s v="Warisnagar"/>
    <m/>
    <n v="0"/>
  </r>
  <r>
    <s v="Munger"/>
    <s v="10-16 Apr"/>
    <n v="1058"/>
    <s v="Hasanpur"/>
    <x v="840"/>
    <s v="Mahuli"/>
    <s v="MPG"/>
    <s v="Direct"/>
    <n v="232.1"/>
    <n v="10054.189999999999"/>
    <n v="221.10000000000002"/>
    <n v="9444.5116620258414"/>
    <n v="8.5"/>
    <n v="345.66471720000015"/>
    <n v="229.60000000000002"/>
    <n v="9790.1763792258407"/>
    <n v="9790.1763792258407"/>
    <n v="0"/>
    <n v="345.66471720000015"/>
    <n v="0"/>
    <n v="0"/>
    <n v="0"/>
    <n v="0"/>
    <n v="9445"/>
    <n v="0"/>
    <n v="0"/>
    <n v="264"/>
    <n v="0"/>
    <n v="405.37315820766912"/>
    <n v="33.157142857142858"/>
    <n v="2.6259064208470101E-2"/>
    <n v="12"/>
    <m/>
    <s v="Hasanpur"/>
    <m/>
    <n v="0"/>
  </r>
  <r>
    <s v="Munger"/>
    <s v="10-16 Apr"/>
    <n v="1058"/>
    <s v="Hasanpur"/>
    <x v="841"/>
    <s v="Sakhwa Ghat"/>
    <s v="MPG"/>
    <s v="Direct"/>
    <n v="341.3"/>
    <n v="13462.429999999998"/>
    <n v="345.39999999999992"/>
    <n v="14120.119048471241"/>
    <n v="3.1999999999999997"/>
    <n v="129.13908480000003"/>
    <n v="348.59999999999991"/>
    <n v="14249.25813327124"/>
    <n v="13462.429999999998"/>
    <n v="0"/>
    <n v="129.13908480000003"/>
    <n v="786.82813327124131"/>
    <n v="0"/>
    <n v="0"/>
    <n v="0"/>
    <n v="13333"/>
    <n v="0"/>
    <n v="0"/>
    <n v="0"/>
    <s v="Release2"/>
    <n v="282.9753085848227"/>
    <n v="48.75714285714286"/>
    <n v="-5.8446219090553593E-2"/>
    <n v="9"/>
    <m/>
    <s v="Hasanpur"/>
    <m/>
    <n v="0"/>
  </r>
  <r>
    <s v="Munger"/>
    <s v="10-16 Apr"/>
    <n v="1058"/>
    <s v="Hasanpur"/>
    <x v="842"/>
    <s v="Patiya"/>
    <s v="MPG"/>
    <s v="Direct"/>
    <n v="182"/>
    <n v="7114.2"/>
    <n v="182.79999999999995"/>
    <n v="7469.6145306420003"/>
    <n v="1.2"/>
    <n v="43.679938500000006"/>
    <n v="183.99999999999994"/>
    <n v="7513.2944691420007"/>
    <n v="7114.2"/>
    <n v="0"/>
    <n v="43.679938500000006"/>
    <n v="399.09446914200089"/>
    <n v="0"/>
    <n v="0"/>
    <n v="0"/>
    <n v="7071"/>
    <n v="0"/>
    <n v="0"/>
    <n v="0"/>
    <n v="0"/>
    <n v="404.9621538461538"/>
    <n v="26"/>
    <n v="-5.6098292027494431E-2"/>
    <n v="3"/>
    <m/>
    <s v="Hasanpur"/>
    <m/>
    <n v="0"/>
  </r>
  <r>
    <s v="Munger"/>
    <s v="10-16 Apr"/>
    <n v="1058"/>
    <s v="Hasanpur"/>
    <x v="843"/>
    <s v="Kasiya"/>
    <s v="MPG"/>
    <s v="Direct"/>
    <n v="528.59999999999991"/>
    <n v="21020.969999999998"/>
    <n v="522.29999999999995"/>
    <n v="21516.850431437542"/>
    <n v="3.0999999999999996"/>
    <n v="126.92138184000002"/>
    <n v="525.4"/>
    <n v="21643.771813277541"/>
    <n v="21020.969999999998"/>
    <n v="0"/>
    <n v="126.92138184000002"/>
    <n v="622.80181327754326"/>
    <n v="0"/>
    <n v="0"/>
    <n v="0"/>
    <n v="20894"/>
    <n v="0"/>
    <n v="0"/>
    <n v="0"/>
    <s v="Release1"/>
    <n v="136.32214370034058"/>
    <n v="75.514285714285705"/>
    <n v="-2.9627643885013075E-2"/>
    <n v="12"/>
    <m/>
    <s v="Hasanpur"/>
    <m/>
    <n v="0"/>
  </r>
  <r>
    <s v="Munger"/>
    <s v="10-16 Apr"/>
    <n v="1058"/>
    <s v="Hasanpur"/>
    <x v="844"/>
    <s v="Belshandi"/>
    <s v="MPG"/>
    <s v="Direct"/>
    <n v="137.89999999999998"/>
    <n v="5459.6900000000005"/>
    <n v="117.99999999999999"/>
    <n v="5155.5282927630988"/>
    <n v="2.5"/>
    <n v="183.92729435700002"/>
    <n v="120.49999999999999"/>
    <n v="5339.4555871200992"/>
    <n v="5339.4555871200992"/>
    <n v="0"/>
    <n v="183.92729435700002"/>
    <n v="0"/>
    <n v="0"/>
    <n v="0"/>
    <n v="0"/>
    <n v="5156"/>
    <n v="0"/>
    <n v="0"/>
    <n v="120"/>
    <n v="0"/>
    <n v="445.0894487309647"/>
    <n v="19.699999999999996"/>
    <n v="2.2022205084886018E-2"/>
    <n v="8"/>
    <m/>
    <s v="Hasanpur"/>
    <m/>
    <n v="0"/>
  </r>
  <r>
    <s v="Munger"/>
    <s v="10-16 Apr"/>
    <n v="1058"/>
    <s v="Hasanpur"/>
    <x v="845"/>
    <s v="Belshandi-2"/>
    <s v="MPG"/>
    <s v="Direct"/>
    <n v="302.89999999999998"/>
    <n v="13614.579999999998"/>
    <n v="319.50000000000006"/>
    <n v="14367.410059346603"/>
    <n v="0"/>
    <n v="0"/>
    <n v="319.50000000000006"/>
    <n v="14367.410059346603"/>
    <n v="13614.579999999998"/>
    <n v="0"/>
    <n v="0"/>
    <n v="752.83005934660468"/>
    <n v="0"/>
    <n v="0"/>
    <n v="0"/>
    <n v="13615"/>
    <n v="0"/>
    <n v="0"/>
    <n v="0"/>
    <s v="Release1"/>
    <n v="356.9725795972268"/>
    <n v="43.271428571428565"/>
    <n v="-5.5295870996138315E-2"/>
    <n v="16"/>
    <m/>
    <s v="Hasanpur"/>
    <m/>
    <n v="0"/>
  </r>
  <r>
    <s v="Munger"/>
    <s v="10-16 Apr"/>
    <n v="1058"/>
    <s v="Hasanpur"/>
    <x v="846"/>
    <s v="Godah"/>
    <s v="MPG"/>
    <s v="Direct"/>
    <n v="320.59999999999997"/>
    <n v="12322.979999999998"/>
    <n v="325.2"/>
    <n v="12766.654181951999"/>
    <n v="0"/>
    <n v="0"/>
    <n v="325.2"/>
    <n v="12766.654181951999"/>
    <n v="12322.979999999998"/>
    <n v="0"/>
    <n v="0"/>
    <n v="443.67418195200116"/>
    <n v="0"/>
    <n v="0"/>
    <n v="0"/>
    <n v="12323"/>
    <n v="0"/>
    <n v="0"/>
    <n v="0"/>
    <n v="0"/>
    <n v="291.66179737991268"/>
    <n v="45.8"/>
    <n v="-3.6003806056002792E-2"/>
    <n v="4"/>
    <m/>
    <s v="Hasanpur"/>
    <m/>
    <n v="0"/>
  </r>
  <r>
    <s v="Munger"/>
    <s v="10-16 Apr"/>
    <n v="1058"/>
    <s v="Hasanpur"/>
    <x v="847"/>
    <s v="Ballahpur"/>
    <s v="MPG"/>
    <s v="Direct"/>
    <n v="129.9"/>
    <n v="5111.0999999999995"/>
    <n v="131.88999999999999"/>
    <n v="5453.3859534312505"/>
    <n v="0"/>
    <n v="0"/>
    <n v="131.88999999999999"/>
    <n v="5453.3859534312505"/>
    <n v="5111.0999999999995"/>
    <n v="0"/>
    <n v="0"/>
    <n v="342.28595343125107"/>
    <n v="0"/>
    <n v="0"/>
    <n v="0"/>
    <n v="5111"/>
    <n v="0"/>
    <n v="0"/>
    <n v="0"/>
    <n v="0"/>
    <n v="448.62788452655883"/>
    <n v="18.557142857142857"/>
    <n v="-6.6969136473802329E-2"/>
    <n v="4"/>
    <m/>
    <s v="Hasanpur"/>
    <m/>
    <n v="0"/>
  </r>
  <r>
    <s v="Munger"/>
    <s v="10-16 Apr"/>
    <n v="1058"/>
    <s v="Hasanpur"/>
    <x v="1046"/>
    <s v="Gijri - VLC"/>
    <s v="vlc"/>
    <s v="Indirect"/>
    <n v="480"/>
    <n v="17767.75"/>
    <n v="0"/>
    <n v="0"/>
    <n v="0"/>
    <n v="0"/>
    <n v="0"/>
    <n v="0"/>
    <n v="17767.75"/>
    <n v="0"/>
    <n v="0"/>
    <n v="0"/>
    <n v="0"/>
    <n v="0"/>
    <n v="0"/>
    <n v="0"/>
    <n v="0"/>
    <n v="17767.75"/>
    <n v="0"/>
    <n v="0"/>
    <n v="162.87104166666666"/>
    <n v="68.571428571428569"/>
    <n v="0"/>
    <n v="0"/>
    <m/>
    <s v="Hasanpur"/>
    <m/>
    <n v="0"/>
  </r>
  <r>
    <s v="Munger"/>
    <s v="10-16 Apr"/>
    <n v="1058"/>
    <s v="Hasanpur"/>
    <x v="848"/>
    <s v="Birpur"/>
    <s v="MPG"/>
    <s v="Direct"/>
    <n v="713.09999999999991"/>
    <n v="23833.659999999996"/>
    <n v="717.6"/>
    <n v="26757.753764837486"/>
    <n v="0"/>
    <n v="0"/>
    <n v="717.6"/>
    <n v="26757.753764837486"/>
    <n v="23833.659999999996"/>
    <n v="0"/>
    <n v="0"/>
    <n v="2924.0937648374893"/>
    <n v="0"/>
    <n v="0"/>
    <n v="0"/>
    <n v="23834"/>
    <n v="0"/>
    <n v="0"/>
    <n v="0"/>
    <n v="0"/>
    <n v="0"/>
    <n v="0"/>
    <n v="-0.12268756728246899"/>
    <n v="8"/>
    <m/>
    <s v="Hasanpur"/>
    <m/>
    <n v="0"/>
  </r>
  <r>
    <s v="Munger"/>
    <s v="10-16 Apr"/>
    <n v="1058"/>
    <s v="Hasanpur"/>
    <x v="849"/>
    <s v="Ahilwar"/>
    <s v="MPG"/>
    <s v="Direct"/>
    <n v="951.30000000000007"/>
    <n v="36163.22"/>
    <n v="948.10000000000014"/>
    <n v="36103.272326748003"/>
    <n v="3.1"/>
    <n v="127.67383728000003"/>
    <n v="951.20000000000016"/>
    <n v="36230.946164028006"/>
    <n v="36163.22"/>
    <n v="0"/>
    <n v="127.67383728000003"/>
    <n v="67.72616402800486"/>
    <n v="0"/>
    <n v="0"/>
    <n v="0"/>
    <n v="36036"/>
    <n v="0"/>
    <n v="0"/>
    <n v="0"/>
    <n v="0"/>
    <n v="0"/>
    <n v="0"/>
    <n v="-1.8727913064158794E-3"/>
    <n v="3"/>
    <m/>
    <s v="Hasanpur"/>
    <m/>
    <n v="0"/>
  </r>
  <r>
    <s v="Munger"/>
    <s v="10-16 Apr"/>
    <n v="1058"/>
    <s v="Hasanpur"/>
    <x v="850"/>
    <s v="Paridah"/>
    <s v="MPG"/>
    <s v="Direct"/>
    <n v="228.29999999999998"/>
    <n v="10115.609999999999"/>
    <n v="230.48999999999995"/>
    <n v="10544.937534411461"/>
    <n v="0"/>
    <n v="0"/>
    <n v="230.48999999999995"/>
    <n v="10544.937534411461"/>
    <n v="10115.609999999999"/>
    <n v="0"/>
    <n v="0"/>
    <n v="429.32753441146269"/>
    <n v="0"/>
    <n v="0"/>
    <n v="0"/>
    <n v="10116"/>
    <n v="0"/>
    <n v="0"/>
    <n v="0"/>
    <s v="Release1"/>
    <n v="418.00553981603156"/>
    <n v="32.614285714285714"/>
    <n v="-4.2442080547931638E-2"/>
    <n v="13"/>
    <m/>
    <s v="Hasanpur"/>
    <m/>
    <n v="0"/>
  </r>
  <r>
    <s v="Munger"/>
    <s v="10-16 Apr"/>
    <n v="1058"/>
    <s v="Hasanpur"/>
    <x v="851"/>
    <s v="Pansalla"/>
    <s v="MPG"/>
    <s v="Direct"/>
    <n v="343.7"/>
    <n v="11932.270000000002"/>
    <n v="408"/>
    <n v="15349.404312000002"/>
    <n v="0"/>
    <n v="0"/>
    <n v="408"/>
    <n v="15349.404312000002"/>
    <n v="11932.270000000002"/>
    <n v="0"/>
    <n v="0"/>
    <n v="3417.1343120000001"/>
    <n v="0"/>
    <n v="0"/>
    <n v="0"/>
    <n v="11932"/>
    <n v="0"/>
    <n v="0"/>
    <n v="0"/>
    <s v="Release1"/>
    <n v="247.39411120162941"/>
    <n v="49.1"/>
    <n v="-0.28637755531847664"/>
    <n v="1"/>
    <m/>
    <s v="Hasanpur"/>
    <m/>
    <n v="0"/>
  </r>
  <r>
    <s v="Munger"/>
    <s v="10-16 Apr"/>
    <n v="1058"/>
    <s v="Hasanpur"/>
    <x v="852"/>
    <s v="KOLAWARI"/>
    <s v="MPG"/>
    <s v="Direct"/>
    <n v="261.20000000000005"/>
    <n v="12432.140000000001"/>
    <n v="264.99999999999989"/>
    <n v="12347.92510605556"/>
    <n v="0"/>
    <n v="0"/>
    <n v="264.99999999999989"/>
    <n v="12347.92510605556"/>
    <n v="12347.92510605556"/>
    <n v="0"/>
    <n v="0"/>
    <n v="0"/>
    <n v="0"/>
    <n v="0"/>
    <n v="0"/>
    <n v="12348"/>
    <n v="0"/>
    <n v="0"/>
    <n v="84"/>
    <n v="0"/>
    <n v="417.70467320061243"/>
    <n v="37.314285714285724"/>
    <n v="6.7739660222971608E-3"/>
    <n v="4"/>
    <m/>
    <s v="Hasanpur"/>
    <m/>
    <n v="0"/>
  </r>
  <r>
    <s v="Munger"/>
    <s v="10-16 Apr"/>
    <n v="1058"/>
    <s v="Hasanpur"/>
    <x v="853"/>
    <s v="MALDAH"/>
    <s v="vlc"/>
    <s v="Indirect"/>
    <n v="551"/>
    <n v="22338.750000000004"/>
    <n v="0"/>
    <n v="0"/>
    <n v="0"/>
    <n v="0"/>
    <n v="0"/>
    <n v="0"/>
    <n v="22338.750000000004"/>
    <n v="0"/>
    <n v="0"/>
    <n v="0"/>
    <n v="0"/>
    <n v="0"/>
    <n v="0"/>
    <n v="0"/>
    <n v="0"/>
    <n v="22338.750000000004"/>
    <n v="0"/>
    <n v="0"/>
    <n v="120.81574410163347"/>
    <n v="78.714285714285708"/>
    <n v="0"/>
    <n v="0"/>
    <m/>
    <s v="Hasanpur"/>
    <m/>
    <n v="0"/>
  </r>
  <r>
    <s v="Munger"/>
    <s v="10-16 Apr"/>
    <n v="1058"/>
    <s v="Hasanpur"/>
    <x v="854"/>
    <s v="MARTHUA"/>
    <s v="MPG"/>
    <s v="Direct"/>
    <n v="211.70000000000002"/>
    <n v="10127.970000000001"/>
    <n v="209.96"/>
    <n v="10057.98526558809"/>
    <n v="0"/>
    <n v="0"/>
    <n v="209.96"/>
    <n v="10057.98526558809"/>
    <n v="10057.98526558809"/>
    <n v="0"/>
    <n v="0"/>
    <n v="0"/>
    <n v="0"/>
    <n v="0"/>
    <n v="0"/>
    <n v="10057"/>
    <n v="0"/>
    <n v="0"/>
    <n v="71"/>
    <n v="0"/>
    <n v="467.21660377893249"/>
    <n v="30.242857142857144"/>
    <n v="6.9100455878040338E-3"/>
    <n v="4"/>
    <m/>
    <s v="Hasanpur"/>
    <m/>
    <n v="0"/>
  </r>
  <r>
    <s v="Munger"/>
    <s v="10-16 Apr"/>
    <n v="1058"/>
    <s v="Hasanpur"/>
    <x v="1047"/>
    <s v="GARHPURA "/>
    <s v="MPG"/>
    <s v="Direct"/>
    <n v="232.7"/>
    <n v="7997.18"/>
    <n v="233.89999999999998"/>
    <n v="7835.6755665540004"/>
    <n v="0"/>
    <n v="0"/>
    <n v="233.89999999999998"/>
    <n v="7835.6755665540004"/>
    <n v="7835.6755665540004"/>
    <n v="0"/>
    <n v="0"/>
    <n v="0"/>
    <n v="0"/>
    <n v="0"/>
    <n v="0"/>
    <n v="7836"/>
    <n v="0"/>
    <n v="0"/>
    <n v="161"/>
    <n v="0"/>
    <n v="321.19314258702201"/>
    <n v="33.24285714285714"/>
    <n v="2.0195172979225164E-2"/>
    <n v="1"/>
    <m/>
    <s v="Hasanpur"/>
    <m/>
    <n v="0"/>
  </r>
  <r>
    <s v="Munger"/>
    <s v="10-16 Apr"/>
    <n v="1058"/>
    <s v="Hasanpur"/>
    <x v="855"/>
    <s v="KOKANI"/>
    <s v="MPG"/>
    <s v="Direct"/>
    <n v="226.89999999999998"/>
    <n v="8843.619999999999"/>
    <n v="227.00999999999996"/>
    <n v="9018.6653091024618"/>
    <n v="0"/>
    <n v="0"/>
    <n v="227.00999999999996"/>
    <n v="9018.6653091024618"/>
    <n v="8843.619999999999"/>
    <n v="0"/>
    <n v="0"/>
    <n v="175.04530910246285"/>
    <n v="0"/>
    <n v="0"/>
    <n v="0"/>
    <n v="8844"/>
    <n v="0"/>
    <n v="0"/>
    <n v="0"/>
    <n v="0"/>
    <n v="368.78947747906568"/>
    <n v="32.414285714285711"/>
    <n v="-1.979340011244975E-2"/>
    <n v="2"/>
    <m/>
    <s v="Hasanpur"/>
    <m/>
    <n v="0"/>
  </r>
  <r>
    <s v="Munger"/>
    <s v="10-16 Apr"/>
    <n v="1058"/>
    <s v="Hasanpur"/>
    <x v="856"/>
    <s v="DURGAPUR "/>
    <s v="MPG"/>
    <s v="Direct"/>
    <n v="246.1"/>
    <n v="9990.94"/>
    <n v="269.90000000000003"/>
    <n v="11310.30913581381"/>
    <n v="0"/>
    <n v="0"/>
    <n v="269.90000000000003"/>
    <n v="11310.30913581381"/>
    <n v="9990.94"/>
    <n v="0"/>
    <n v="0"/>
    <n v="1319.3691358138094"/>
    <n v="0"/>
    <n v="0"/>
    <n v="0"/>
    <n v="9991"/>
    <n v="0"/>
    <n v="0"/>
    <n v="0"/>
    <n v="0"/>
    <n v="368.54024104022756"/>
    <n v="35.157142857142858"/>
    <n v="-0.13205655682186154"/>
    <n v="8"/>
    <m/>
    <s v="Hasanpur"/>
    <m/>
    <n v="0"/>
  </r>
  <r>
    <s v="Munger"/>
    <s v="10-16 Apr"/>
    <n v="1058"/>
    <s v="Hasanpur"/>
    <x v="857"/>
    <s v="Chandauli"/>
    <s v="MPG"/>
    <s v="Direct"/>
    <n v="190.69999999999996"/>
    <n v="8639.65"/>
    <n v="193.3"/>
    <n v="8892.6310037292023"/>
    <n v="0"/>
    <n v="0"/>
    <n v="193.3"/>
    <n v="8892.6310037292023"/>
    <n v="8639.65"/>
    <n v="0"/>
    <n v="0"/>
    <n v="252.98100372920271"/>
    <n v="0"/>
    <n v="0"/>
    <n v="0"/>
    <n v="8640"/>
    <n v="0"/>
    <n v="0"/>
    <n v="0"/>
    <n v="0"/>
    <n v="461.47600891452561"/>
    <n v="27.242857142857137"/>
    <n v="-2.9281394932572816E-2"/>
    <n v="3"/>
    <m/>
    <s v="Hasanpur"/>
    <m/>
    <n v="0"/>
  </r>
  <r>
    <s v="Munger"/>
    <s v="10-16 Apr"/>
    <n v="1058"/>
    <s v="Hasanpur"/>
    <x v="1048"/>
    <s v="Girdharpur"/>
    <s v="MPG"/>
    <s v="Direct"/>
    <n v="89.9"/>
    <n v="3026.23"/>
    <n v="84.9"/>
    <n v="3070.2519884520007"/>
    <n v="0"/>
    <n v="0"/>
    <n v="84.9"/>
    <n v="3070.2519884520007"/>
    <n v="3026.23"/>
    <n v="0"/>
    <n v="0"/>
    <n v="44.021988452000642"/>
    <n v="0"/>
    <n v="0"/>
    <n v="0"/>
    <n v="3026"/>
    <n v="0"/>
    <n v="0"/>
    <n v="0"/>
    <n v="0"/>
    <n v="410.74592280311452"/>
    <n v="12.842857142857143"/>
    <n v="-1.4546808554538366E-2"/>
    <n v="1"/>
    <m/>
    <s v="Hasanpur"/>
    <m/>
    <n v="0"/>
  </r>
  <r>
    <s v="Munger"/>
    <s v="10-16 Apr"/>
    <n v="1058"/>
    <s v="Hasanpur"/>
    <x v="858"/>
    <s v="Yogidih VLC"/>
    <s v="vlc"/>
    <s v="Indirect"/>
    <n v="115.1"/>
    <n v="4252.18"/>
    <n v="0"/>
    <n v="0"/>
    <n v="0"/>
    <n v="0"/>
    <n v="0"/>
    <n v="0"/>
    <n v="4252.18"/>
    <n v="0"/>
    <n v="0"/>
    <n v="0"/>
    <n v="0"/>
    <n v="0"/>
    <n v="0"/>
    <n v="0"/>
    <n v="0"/>
    <n v="4252.18"/>
    <n v="0"/>
    <n v="0"/>
    <n v="432.16335047784548"/>
    <n v="16.442857142857143"/>
    <n v="0"/>
    <n v="0"/>
    <m/>
    <s v="Hasanpur"/>
    <m/>
    <n v="0"/>
  </r>
  <r>
    <s v="Munger"/>
    <s v="10-16 Apr"/>
    <n v="1058"/>
    <s v="Hasanpur"/>
    <x v="860"/>
    <s v="Harerampur Vlc"/>
    <s v="vlc"/>
    <s v="Indirect"/>
    <n v="121.39999999999999"/>
    <n v="4244.0600000000004"/>
    <n v="0"/>
    <n v="0"/>
    <n v="0"/>
    <n v="0"/>
    <n v="0"/>
    <n v="0"/>
    <n v="4244.0600000000004"/>
    <n v="0"/>
    <n v="0"/>
    <n v="0"/>
    <n v="0"/>
    <n v="0"/>
    <n v="0"/>
    <n v="0"/>
    <n v="0"/>
    <n v="4244.0600000000004"/>
    <n v="0"/>
    <n v="0"/>
    <n v="404.54911301482707"/>
    <n v="17.342857142857142"/>
    <n v="0"/>
    <n v="0"/>
    <m/>
    <s v="Hasanpur"/>
    <m/>
    <n v="0"/>
  </r>
  <r>
    <s v="Munger"/>
    <s v="10-16 Apr"/>
    <n v="1058"/>
    <s v="Hasanpur"/>
    <x v="861"/>
    <s v="SOUNT VLC"/>
    <s v="vlc"/>
    <s v="Indirect"/>
    <n v="25.7"/>
    <n v="1021.06"/>
    <n v="0"/>
    <n v="0"/>
    <n v="0"/>
    <n v="0"/>
    <n v="0"/>
    <n v="0"/>
    <n v="1021.06"/>
    <n v="0"/>
    <n v="0"/>
    <n v="0"/>
    <n v="0"/>
    <n v="0"/>
    <n v="0"/>
    <n v="0"/>
    <n v="0"/>
    <n v="1021.06"/>
    <n v="0"/>
    <n v="0"/>
    <n v="535.79825525291824"/>
    <n v="3.6714285714285713"/>
    <n v="0"/>
    <n v="0"/>
    <m/>
    <s v="Hasanpur"/>
    <m/>
    <n v="0"/>
  </r>
  <r>
    <s v="Munger"/>
    <s v="10-16 Apr"/>
    <n v="1059"/>
    <s v="Gopalpur Bmc"/>
    <x v="862"/>
    <s v="MISHRBIGHA"/>
    <s v="MPG"/>
    <s v="Direct"/>
    <n v="635.1"/>
    <n v="33594.249999999993"/>
    <n v="654.09"/>
    <n v="37386.249743610104"/>
    <n v="28.420000000000005"/>
    <n v="1598.3573224806003"/>
    <n v="682.51"/>
    <n v="38984.607066090706"/>
    <n v="33594.249999999993"/>
    <n v="0"/>
    <n v="1598.3573224806003"/>
    <n v="5390.3570660907135"/>
    <n v="0"/>
    <n v="0"/>
    <n v="0"/>
    <n v="31996"/>
    <n v="0"/>
    <n v="0"/>
    <n v="0"/>
    <n v="0"/>
    <n v="68.659008817509047"/>
    <n v="90.728571428571428"/>
    <n v="-0.16045475240824589"/>
    <n v="6"/>
    <m/>
    <s v="Gopalpur Bmc"/>
    <m/>
    <n v="0"/>
  </r>
  <r>
    <s v="Munger"/>
    <s v="10-16 Apr"/>
    <n v="1059"/>
    <s v="Gopalpur Bmc"/>
    <x v="863"/>
    <s v="DIGHOI"/>
    <s v="MPG"/>
    <s v="Direct"/>
    <n v="115.19999999999999"/>
    <n v="6976.2400000000007"/>
    <n v="112.15"/>
    <n v="6906.6811613410509"/>
    <n v="0"/>
    <n v="0"/>
    <n v="112.15"/>
    <n v="6906.6811613410509"/>
    <n v="6906.6811613410509"/>
    <n v="0"/>
    <n v="0"/>
    <n v="0"/>
    <n v="0"/>
    <n v="0"/>
    <n v="0"/>
    <n v="6907"/>
    <n v="0"/>
    <n v="0"/>
    <n v="69"/>
    <n v="0"/>
    <n v="708.28214444444461"/>
    <n v="16.457142857142856"/>
    <n v="9.97082076576347E-3"/>
    <n v="1"/>
    <m/>
    <s v="Gopalpur Bmc"/>
    <m/>
    <n v="0"/>
  </r>
  <r>
    <s v="Munger"/>
    <s v="10-16 Apr"/>
    <n v="1059"/>
    <s v="Gopalpur Bmc"/>
    <x v="864"/>
    <s v="PRATAPUR"/>
    <s v="MPG"/>
    <s v="Direct"/>
    <n v="1185.0999999999999"/>
    <n v="44295.029999999992"/>
    <n v="1195.1600000000001"/>
    <n v="46536.507647863196"/>
    <n v="0.24"/>
    <n v="8.965693439999999"/>
    <n v="1195.4000000000001"/>
    <n v="46545.473341303194"/>
    <n v="44295.029999999992"/>
    <n v="0"/>
    <n v="8.965693439999999"/>
    <n v="2250.443341303202"/>
    <n v="0"/>
    <n v="0"/>
    <n v="0"/>
    <n v="44286"/>
    <n v="0"/>
    <n v="0"/>
    <n v="0"/>
    <n v="0"/>
    <n v="0"/>
    <n v="0"/>
    <n v="-5.0805775304886405E-2"/>
    <n v="2"/>
    <m/>
    <s v="Gopalpur Bmc"/>
    <m/>
    <n v="0"/>
  </r>
  <r>
    <s v="Munger"/>
    <s v="10-16 Apr"/>
    <n v="1059"/>
    <s v="Gopalpur Bmc"/>
    <x v="865"/>
    <s v="GOPALPUR"/>
    <s v="MPG"/>
    <s v="Direct"/>
    <n v="397.9"/>
    <n v="16733.759999999998"/>
    <n v="412.10000000000008"/>
    <n v="17503.47659316082"/>
    <n v="0"/>
    <n v="0"/>
    <n v="412.10000000000008"/>
    <n v="17503.47659316082"/>
    <n v="16733.759999999998"/>
    <n v="0"/>
    <n v="0"/>
    <n v="769.7165931608215"/>
    <n v="0"/>
    <n v="0"/>
    <n v="0"/>
    <n v="16734"/>
    <n v="0"/>
    <n v="0"/>
    <n v="0"/>
    <n v="0"/>
    <n v="254.09745644634333"/>
    <n v="56.842857142857142"/>
    <n v="-4.5997826738331464E-2"/>
    <n v="9"/>
    <m/>
    <s v="Gopalpur Bmc"/>
    <m/>
    <n v="0"/>
  </r>
  <r>
    <s v="Munger"/>
    <s v="10-16 Apr"/>
    <n v="1059"/>
    <s v="Gopalpur Bmc"/>
    <x v="866"/>
    <s v="LAXMIPUR"/>
    <s v="MPG"/>
    <s v="Direct"/>
    <n v="40.6"/>
    <n v="1544.75"/>
    <n v="43.51"/>
    <n v="1690.6942210355999"/>
    <n v="0"/>
    <n v="0"/>
    <n v="43.51"/>
    <n v="1690.6942210355999"/>
    <n v="1544.75"/>
    <n v="0"/>
    <n v="0"/>
    <n v="145.94422103559987"/>
    <n v="0"/>
    <n v="0"/>
    <n v="0"/>
    <n v="1545"/>
    <n v="0"/>
    <n v="0"/>
    <n v="0"/>
    <n v="0"/>
    <n v="501.77741379310339"/>
    <n v="5.8"/>
    <n v="-9.447756661958237E-2"/>
    <n v="1"/>
    <m/>
    <s v="Gopalpur Bmc"/>
    <m/>
    <n v="0"/>
  </r>
  <r>
    <s v="Munger"/>
    <s v="10-16 Apr"/>
    <n v="1059"/>
    <s v="Gopalpur Bmc"/>
    <x v="867"/>
    <s v="NARMDA"/>
    <s v="MPG"/>
    <s v="Direct"/>
    <n v="405.4"/>
    <n v="17331.440000000002"/>
    <n v="417.7"/>
    <n v="17925.851003365999"/>
    <n v="0"/>
    <n v="0"/>
    <n v="417.7"/>
    <n v="17925.851003365999"/>
    <n v="17331.440000000002"/>
    <n v="0"/>
    <n v="0"/>
    <n v="594.41100336599629"/>
    <n v="0"/>
    <n v="0"/>
    <n v="0"/>
    <n v="17331"/>
    <n v="0"/>
    <n v="0"/>
    <n v="0"/>
    <n v="0"/>
    <n v="251.89157493833255"/>
    <n v="57.914285714285711"/>
    <n v="-3.4296688755579237E-2"/>
    <n v="1"/>
    <m/>
    <s v="Gopalpur Bmc"/>
    <m/>
    <n v="0"/>
  </r>
  <r>
    <s v="Munger"/>
    <s v="10-16 Apr"/>
    <n v="1059"/>
    <s v="Gopalpur Bmc"/>
    <x v="868"/>
    <s v="LAKHANPUR"/>
    <s v="MPG"/>
    <s v="Direct"/>
    <n v="224"/>
    <n v="8569.75"/>
    <n v="227.20000000000005"/>
    <n v="8539.1441841420019"/>
    <n v="0"/>
    <n v="0"/>
    <n v="227.20000000000005"/>
    <n v="8539.1441841420019"/>
    <n v="8539.1441841420019"/>
    <n v="0"/>
    <n v="0"/>
    <n v="0"/>
    <n v="0"/>
    <n v="0"/>
    <n v="0"/>
    <n v="8539"/>
    <n v="0"/>
    <n v="0"/>
    <n v="31"/>
    <n v="0"/>
    <n v="364.21437500000002"/>
    <n v="32"/>
    <n v="3.5713779116074676E-3"/>
    <n v="1"/>
    <m/>
    <s v="Gopalpur Bmc"/>
    <m/>
    <n v="0"/>
  </r>
  <r>
    <s v="Munger"/>
    <s v="10-16 Apr"/>
    <n v="1059"/>
    <s v="Gopalpur Bmc"/>
    <x v="869"/>
    <s v="AMRATH"/>
    <s v="MPG"/>
    <s v="Direct"/>
    <n v="1052.8999999999999"/>
    <n v="50286.09"/>
    <n v="1049.7999999999997"/>
    <n v="49617.954509601332"/>
    <n v="0"/>
    <n v="0"/>
    <n v="1049.7999999999997"/>
    <n v="49617.954509601332"/>
    <n v="49617.954509601332"/>
    <n v="0"/>
    <n v="0"/>
    <n v="0"/>
    <n v="0"/>
    <n v="0"/>
    <n v="0"/>
    <n v="49618"/>
    <n v="0"/>
    <n v="0"/>
    <n v="668"/>
    <n v="0"/>
    <n v="0"/>
    <n v="0"/>
    <n v="1.3286686047745308E-2"/>
    <n v="2"/>
    <m/>
    <s v="Gopalpur Bmc"/>
    <m/>
    <n v="0"/>
  </r>
  <r>
    <s v="Munger"/>
    <s v="10-16 Apr"/>
    <n v="1059"/>
    <s v="Gopalpur Bmc"/>
    <x v="870"/>
    <s v="PUTERIA"/>
    <s v="MPG"/>
    <s v="Direct"/>
    <n v="670.50000000000011"/>
    <n v="25297.760000000002"/>
    <n v="650.92000000000019"/>
    <n v="25907.932746522605"/>
    <n v="0"/>
    <n v="0"/>
    <n v="650.92000000000019"/>
    <n v="25907.932746522605"/>
    <n v="25297.760000000002"/>
    <n v="0"/>
    <n v="0"/>
    <n v="610.17274652260312"/>
    <n v="0"/>
    <n v="0"/>
    <n v="0"/>
    <n v="25298"/>
    <n v="0"/>
    <n v="0"/>
    <n v="0"/>
    <n v="0"/>
    <n v="22.260519612229569"/>
    <n v="95.785714285714306"/>
    <n v="-2.4119635355960491E-2"/>
    <n v="6"/>
    <m/>
    <s v="Gopalpur Bmc"/>
    <m/>
    <n v="0"/>
  </r>
  <r>
    <s v="Munger"/>
    <s v="10-16 Apr"/>
    <n v="1059"/>
    <s v="Gopalpur Bmc"/>
    <x v="871"/>
    <s v="LAKHAPUR"/>
    <s v="MPG"/>
    <s v="Direct"/>
    <n v="603.29999999999995"/>
    <n v="23608.12"/>
    <n v="592"/>
    <n v="23086.968564452407"/>
    <n v="0"/>
    <n v="0"/>
    <n v="592"/>
    <n v="23086.968564452407"/>
    <n v="23086.968564452407"/>
    <n v="0"/>
    <n v="0"/>
    <n v="0"/>
    <n v="0"/>
    <n v="0"/>
    <n v="0"/>
    <n v="23087"/>
    <n v="0"/>
    <n v="0"/>
    <n v="521"/>
    <n v="0"/>
    <n v="75.680596850654752"/>
    <n v="86.185714285714283"/>
    <n v="2.2075092618454667E-2"/>
    <n v="1"/>
    <m/>
    <s v="Gopalpur Bmc"/>
    <m/>
    <n v="0"/>
  </r>
  <r>
    <s v="Munger"/>
    <s v="10-16 Apr"/>
    <n v="1059"/>
    <s v="Gopalpur Bmc"/>
    <x v="872"/>
    <s v="BARIYARPUR"/>
    <s v="MPG"/>
    <s v="Direct"/>
    <n v="146.80000000000001"/>
    <n v="5349.63"/>
    <n v="146.50000000000003"/>
    <n v="5362.899920928"/>
    <n v="0"/>
    <n v="0"/>
    <n v="146.50000000000003"/>
    <n v="5362.899920928"/>
    <n v="5349.63"/>
    <n v="0"/>
    <n v="0"/>
    <n v="13.26992092799992"/>
    <n v="0"/>
    <n v="0"/>
    <n v="0"/>
    <n v="5350"/>
    <n v="0"/>
    <n v="0"/>
    <n v="0"/>
    <n v="0"/>
    <n v="403.19009754768382"/>
    <n v="20.971428571428572"/>
    <n v="-2.4805306026771793E-3"/>
    <n v="1"/>
    <m/>
    <s v="Gopalpur Bmc"/>
    <m/>
    <n v="0"/>
  </r>
  <r>
    <s v="Munger"/>
    <s v="10-16 Apr"/>
    <n v="1059"/>
    <s v="Gopalpur Bmc"/>
    <x v="873"/>
    <s v="BAGWANA"/>
    <s v="MPG"/>
    <s v="Direct"/>
    <n v="332.9"/>
    <n v="13772.37"/>
    <n v="330.27"/>
    <n v="14032.187066930763"/>
    <n v="0"/>
    <n v="0"/>
    <n v="330.27"/>
    <n v="14032.187066930763"/>
    <n v="13772.37"/>
    <n v="0"/>
    <n v="0"/>
    <n v="259.81706693076194"/>
    <n v="0"/>
    <n v="0"/>
    <n v="0"/>
    <n v="13772"/>
    <n v="0"/>
    <n v="0"/>
    <n v="0"/>
    <n v="0"/>
    <n v="303.74509023730855"/>
    <n v="47.557142857142857"/>
    <n v="-1.886509489149376E-2"/>
    <n v="1"/>
    <m/>
    <s v="Gopalpur Bmc"/>
    <m/>
    <n v="0"/>
  </r>
  <r>
    <s v="Munger"/>
    <s v="10-16 Apr"/>
    <n v="1059"/>
    <s v="Gopalpur Bmc"/>
    <x v="874"/>
    <s v="REWATA"/>
    <s v="MPG"/>
    <s v="Direct"/>
    <n v="19.5"/>
    <n v="937.25"/>
    <n v="19.5"/>
    <n v="920.79367634382004"/>
    <n v="0"/>
    <n v="0"/>
    <n v="19.5"/>
    <n v="920.79367634382004"/>
    <n v="920.79367634382004"/>
    <n v="0"/>
    <n v="0"/>
    <n v="0"/>
    <n v="0"/>
    <n v="0"/>
    <n v="0"/>
    <n v="921"/>
    <n v="0"/>
    <n v="0"/>
    <n v="16"/>
    <n v="0"/>
    <n v="654.15243589743591"/>
    <n v="2.7857142857142856"/>
    <n v="1.7558094058340849E-2"/>
    <n v="1"/>
    <m/>
    <s v="Gopalpur Bmc"/>
    <m/>
    <n v="0"/>
  </r>
  <r>
    <s v="Munger"/>
    <s v="10-16 Apr"/>
    <n v="1059"/>
    <s v="Gopalpur Bmc"/>
    <x v="1049"/>
    <s v="GOMUKH DAND"/>
    <s v="vlc"/>
    <s v="Indirect"/>
    <n v="303.99999999999994"/>
    <n v="13897.68"/>
    <n v="0"/>
    <n v="0"/>
    <n v="0"/>
    <n v="0"/>
    <n v="0"/>
    <n v="0"/>
    <n v="13897.68"/>
    <n v="0"/>
    <n v="0"/>
    <n v="0"/>
    <n v="0"/>
    <n v="0"/>
    <n v="0"/>
    <n v="0"/>
    <n v="0"/>
    <n v="13897.68"/>
    <n v="0"/>
    <n v="0"/>
    <n v="362.07113684210532"/>
    <n v="43.428571428571423"/>
    <n v="0"/>
    <n v="0"/>
    <m/>
    <s v="Gopalpur Bmc"/>
    <m/>
    <n v="0"/>
  </r>
  <r>
    <s v="Munger"/>
    <s v="10-16 Apr"/>
    <n v="1060"/>
    <s v="Behiya BMC"/>
    <x v="875"/>
    <s v="Gomukh Karisath"/>
    <s v="MPG"/>
    <s v="Direct"/>
    <n v="793.6"/>
    <n v="29128.99"/>
    <n v="746.55000000000007"/>
    <n v="29021.685757020001"/>
    <n v="0"/>
    <n v="0"/>
    <n v="746.55000000000007"/>
    <n v="29021.685757020001"/>
    <n v="29021.685757020001"/>
    <n v="0"/>
    <n v="0"/>
    <n v="0"/>
    <n v="16640"/>
    <n v="0"/>
    <n v="0"/>
    <n v="12382"/>
    <n v="0"/>
    <n v="0"/>
    <n v="107"/>
    <n v="0"/>
    <n v="0"/>
    <n v="0"/>
    <n v="3.6837611939171495E-3"/>
    <n v="2"/>
    <m/>
    <s v="Behiya BMC"/>
    <m/>
    <n v="0"/>
  </r>
  <r>
    <s v="Munger"/>
    <s v="10-16 Apr"/>
    <n v="1060"/>
    <s v="Behiya BMC"/>
    <x v="876"/>
    <s v="Gomukh Ama"/>
    <s v="MPG"/>
    <s v="Direct"/>
    <n v="934.7"/>
    <n v="35395.96"/>
    <n v="1144.3599999999999"/>
    <n v="46916.026099216957"/>
    <n v="0"/>
    <n v="0"/>
    <n v="1144.3599999999999"/>
    <n v="46916.026099216957"/>
    <n v="35395.96"/>
    <n v="0"/>
    <n v="0"/>
    <n v="11520.066099216958"/>
    <n v="6400"/>
    <n v="0"/>
    <n v="0"/>
    <n v="28996"/>
    <n v="0"/>
    <n v="0"/>
    <n v="0"/>
    <n v="0"/>
    <n v="0"/>
    <n v="0"/>
    <n v="-0.32546273922834579"/>
    <n v="1"/>
    <m/>
    <s v="Behiya BMC"/>
    <m/>
    <n v="0"/>
  </r>
  <r>
    <s v="Munger"/>
    <s v="10-16 Apr"/>
    <n v="1060"/>
    <s v="Behiya BMC"/>
    <x v="877"/>
    <s v="Gomukh Pawat"/>
    <s v="MPG"/>
    <s v="Direct"/>
    <n v="832.00000000000011"/>
    <n v="25090.65"/>
    <n v="789.61000000000047"/>
    <n v="32693.948500624785"/>
    <n v="0"/>
    <n v="0"/>
    <n v="789.61000000000047"/>
    <n v="32693.948500624785"/>
    <n v="25090.65"/>
    <n v="0"/>
    <n v="0"/>
    <n v="7603.2985006247836"/>
    <n v="19200"/>
    <n v="0"/>
    <n v="0"/>
    <n v="5891"/>
    <n v="0"/>
    <n v="0"/>
    <n v="0"/>
    <s v="Release1"/>
    <n v="0"/>
    <n v="0"/>
    <n v="-0.30303314185263369"/>
    <n v="2"/>
    <m/>
    <s v="Behiya BMC"/>
    <m/>
    <n v="0"/>
  </r>
  <r>
    <s v="Munger"/>
    <s v="10-16 Apr"/>
    <n v="1060"/>
    <s v="Behiya BMC"/>
    <x v="878"/>
    <s v="Gomukh Barja"/>
    <s v="MPG"/>
    <s v="Direct"/>
    <n v="245.79999999999998"/>
    <n v="8551.3000000000011"/>
    <n v="218.26000000000002"/>
    <n v="8359.2163961658025"/>
    <n v="4.3"/>
    <n v="165.84409413000003"/>
    <n v="222.56000000000003"/>
    <n v="8525.0604902958021"/>
    <n v="8525.0604902958021"/>
    <n v="0"/>
    <n v="165.84409413000003"/>
    <n v="0"/>
    <n v="1280"/>
    <n v="0"/>
    <n v="0"/>
    <n v="7079"/>
    <n v="0"/>
    <n v="0"/>
    <n v="26"/>
    <n v="0"/>
    <n v="316.02932953620831"/>
    <n v="35.114285714285714"/>
    <n v="3.0684819506038852E-3"/>
    <n v="2"/>
    <m/>
    <s v="Behiya BMC"/>
    <m/>
    <n v="0"/>
  </r>
  <r>
    <s v="Munger"/>
    <s v="10-16 Apr"/>
    <n v="1060"/>
    <s v="Behiya BMC"/>
    <x v="880"/>
    <s v="Gomukh Navadih"/>
    <s v="MPG"/>
    <s v="Direct"/>
    <n v="45.3"/>
    <n v="1905.6499999999999"/>
    <n v="44"/>
    <n v="1858.6093680000001"/>
    <n v="0"/>
    <n v="0"/>
    <n v="44"/>
    <n v="1858.6093680000001"/>
    <n v="1858.6093680000001"/>
    <n v="0"/>
    <n v="0"/>
    <n v="0"/>
    <n v="0"/>
    <n v="0"/>
    <n v="0"/>
    <n v="1859"/>
    <n v="0"/>
    <n v="0"/>
    <n v="47"/>
    <n v="0"/>
    <n v="550.82960485651211"/>
    <n v="6.4714285714285706"/>
    <n v="2.4684822501508531E-2"/>
    <n v="1"/>
    <m/>
    <s v="Behiya BMC"/>
    <m/>
    <n v="0"/>
  </r>
  <r>
    <s v="Munger"/>
    <s v="10-16 Apr"/>
    <n v="1060"/>
    <s v="Behiya BMC"/>
    <x v="881"/>
    <s v="Gomukh Ramdihra"/>
    <s v="MPG"/>
    <s v="Direct"/>
    <n v="203.70000000000002"/>
    <n v="5754.66"/>
    <n v="174.37"/>
    <n v="5750.3340347706007"/>
    <n v="0"/>
    <n v="0"/>
    <n v="174.37"/>
    <n v="5750.3340347706007"/>
    <n v="5750.3340347706007"/>
    <n v="0"/>
    <n v="0"/>
    <n v="0"/>
    <n v="5200"/>
    <n v="0"/>
    <n v="0"/>
    <n v="550"/>
    <n v="0"/>
    <n v="0"/>
    <n v="5"/>
    <n v="0"/>
    <n v="280.41607835051548"/>
    <n v="29.1"/>
    <n v="7.5173254882114962E-4"/>
    <n v="1"/>
    <m/>
    <s v="Behiya BMC"/>
    <m/>
    <n v="0"/>
  </r>
  <r>
    <s v="Munger"/>
    <s v="10-16 Apr"/>
    <n v="1060"/>
    <s v="Behiya BMC"/>
    <x v="882"/>
    <s v="Gomukh Bara"/>
    <s v="MPG"/>
    <s v="Direct"/>
    <n v="588.29999999999995"/>
    <n v="21305.72"/>
    <n v="612.00000000000011"/>
    <n v="24530.140038096008"/>
    <n v="0"/>
    <n v="0"/>
    <n v="612.00000000000011"/>
    <n v="24530.140038096008"/>
    <n v="21305.72"/>
    <n v="0"/>
    <n v="0"/>
    <n v="3224.4200380960065"/>
    <n v="6400"/>
    <n v="0"/>
    <n v="0"/>
    <n v="14906"/>
    <n v="0"/>
    <n v="0"/>
    <n v="0"/>
    <n v="0"/>
    <n v="80.905963759986477"/>
    <n v="84.04285714285713"/>
    <n v="-0.15134058074995851"/>
    <n v="1"/>
    <m/>
    <s v="Behiya BMC"/>
    <m/>
    <n v="0"/>
  </r>
  <r>
    <s v="Munger"/>
    <s v="10-16 Apr"/>
    <n v="1060"/>
    <s v="Behiya BMC"/>
    <x v="883"/>
    <s v="Gumukh Salempur"/>
    <s v="MPG"/>
    <s v="Direct"/>
    <n v="363"/>
    <n v="11578.940000000002"/>
    <n v="526.68999999999994"/>
    <n v="20186.752076172001"/>
    <n v="7.82"/>
    <n v="292.02435306000001"/>
    <n v="534.51"/>
    <n v="20478.776429231999"/>
    <n v="11578.940000000002"/>
    <n v="0"/>
    <n v="292.02435306000001"/>
    <n v="8899.8364292319966"/>
    <n v="2560"/>
    <n v="0"/>
    <n v="0"/>
    <n v="8727"/>
    <n v="0"/>
    <n v="0"/>
    <n v="0"/>
    <n v="0"/>
    <n v="214.9918887052342"/>
    <n v="51.857142857142854"/>
    <n v="-0.76862272619358896"/>
    <n v="2"/>
    <m/>
    <s v="Behiya BMC"/>
    <m/>
    <n v="0"/>
  </r>
  <r>
    <s v="Munger"/>
    <s v="10-16 Apr"/>
    <n v="1060"/>
    <s v="Behiya BMC"/>
    <x v="884"/>
    <s v="Gumukh Khajuriya"/>
    <s v="MPG"/>
    <s v="Direct"/>
    <n v="600.30000000000007"/>
    <n v="17354.740000000002"/>
    <n v="502.4"/>
    <n v="16700.529903255003"/>
    <n v="16.309999999999999"/>
    <n v="611.44693394399997"/>
    <n v="518.70999999999992"/>
    <n v="17311.976837199003"/>
    <n v="17311.976837199003"/>
    <n v="0"/>
    <n v="611.44693394399997"/>
    <n v="0"/>
    <n v="2560"/>
    <n v="0"/>
    <n v="0"/>
    <n v="14140"/>
    <n v="0"/>
    <n v="0"/>
    <n v="43"/>
    <n v="0"/>
    <n v="57.646762552057261"/>
    <n v="85.757142857142867"/>
    <n v="2.4640624291115015E-3"/>
    <n v="5"/>
    <m/>
    <s v="Behiya BMC"/>
    <m/>
    <n v="0"/>
  </r>
  <r>
    <s v="Munger"/>
    <s v="10-16 Apr"/>
    <n v="1060"/>
    <s v="Behiya BMC"/>
    <x v="885"/>
    <s v="Gomukh Chhotaki Hardiya"/>
    <s v="MPG"/>
    <s v="Direct"/>
    <n v="322.89999999999998"/>
    <n v="14880.279999999997"/>
    <n v="301.84000000000003"/>
    <n v="15991.523096177501"/>
    <n v="5.3200000000000012"/>
    <n v="289.89803808920004"/>
    <n v="307.16000000000003"/>
    <n v="16281.421134266702"/>
    <n v="14880.279999999997"/>
    <n v="1120"/>
    <n v="289.89803808920004"/>
    <n v="1401.1411342667052"/>
    <n v="2560"/>
    <n v="0"/>
    <n v="0"/>
    <n v="10910"/>
    <n v="0"/>
    <n v="0"/>
    <n v="0"/>
    <n v="0"/>
    <n v="347.55983821616599"/>
    <n v="46.128571428571426"/>
    <n v="-9.416093879058092E-2"/>
    <n v="2"/>
    <m/>
    <s v="Behiya BMC"/>
    <m/>
    <n v="0"/>
  </r>
  <r>
    <s v="Munger"/>
    <s v="10-16 Apr"/>
    <n v="1061"/>
    <s v="Mahua BMC"/>
    <x v="886"/>
    <s v="GOMUKH BHATOLIYA"/>
    <s v="MPG"/>
    <s v="Direct"/>
    <n v="836.6"/>
    <n v="37376.489999999991"/>
    <n v="844.8"/>
    <n v="36620.390815580206"/>
    <n v="0.1"/>
    <n v="4.1053122000000002"/>
    <n v="844.9"/>
    <n v="36624.496127780207"/>
    <n v="36624.496127780207"/>
    <n v="0"/>
    <n v="4.1053122000000002"/>
    <n v="0"/>
    <n v="0"/>
    <n v="0"/>
    <n v="0"/>
    <n v="36620"/>
    <n v="0"/>
    <n v="0"/>
    <n v="752"/>
    <n v="0"/>
    <n v="0"/>
    <n v="0"/>
    <n v="2.0119435297958267E-2"/>
    <n v="6"/>
    <m/>
    <s v="Mahua BMC"/>
    <m/>
    <n v="0"/>
  </r>
  <r>
    <s v="Munger"/>
    <s v="10-16 Apr"/>
    <n v="1061"/>
    <s v="Mahua BMC"/>
    <x v="887"/>
    <s v="GOMUKH CHEHRAKALA"/>
    <s v="MPG"/>
    <s v="Direct"/>
    <n v="400.1"/>
    <n v="18660.899999999998"/>
    <n v="406.6"/>
    <n v="19160.944844787304"/>
    <n v="0.3"/>
    <n v="15.520882990799999"/>
    <n v="406.90000000000003"/>
    <n v="19176.465727778104"/>
    <n v="18660.899999999998"/>
    <n v="0"/>
    <n v="15.520882990799999"/>
    <n v="515.56572777810652"/>
    <n v="0"/>
    <n v="0"/>
    <n v="0"/>
    <n v="18645"/>
    <n v="0"/>
    <n v="0"/>
    <n v="0"/>
    <s v="Release1"/>
    <n v="279.75025793551606"/>
    <n v="57.157142857142858"/>
    <n v="-2.7628127677556097E-2"/>
    <n v="13"/>
    <m/>
    <s v="Mahua BMC"/>
    <m/>
    <n v="0"/>
  </r>
  <r>
    <s v="Munger"/>
    <s v="10-16 Apr"/>
    <n v="1061"/>
    <s v="Mahua BMC"/>
    <x v="888"/>
    <s v="GOMUKH KHAJECHAND"/>
    <s v="MPG"/>
    <s v="Direct"/>
    <n v="485.6"/>
    <n v="18577.530000000002"/>
    <n v="481.1"/>
    <n v="18956.173381200002"/>
    <n v="0"/>
    <n v="0"/>
    <n v="481.1"/>
    <n v="18956.173381200002"/>
    <n v="18577.530000000002"/>
    <n v="0"/>
    <n v="0"/>
    <n v="378.64338119999957"/>
    <n v="6750"/>
    <n v="0"/>
    <n v="0"/>
    <n v="11828"/>
    <n v="0"/>
    <n v="0"/>
    <n v="0"/>
    <n v="0"/>
    <n v="164.0454049423393"/>
    <n v="69.371428571428581"/>
    <n v="-2.0381793553825484E-2"/>
    <n v="3"/>
    <m/>
    <s v="Mahua BMC"/>
    <m/>
    <n v="0"/>
  </r>
  <r>
    <s v="Munger"/>
    <s v="10-16 Apr"/>
    <n v="1061"/>
    <s v="Mahua BMC"/>
    <x v="889"/>
    <s v="GOMUKH SALEMPUR"/>
    <s v="MPG"/>
    <s v="Direct"/>
    <n v="155.69999999999999"/>
    <n v="6356.81"/>
    <n v="153.69999999999999"/>
    <n v="6189.2544602916005"/>
    <n v="2.5"/>
    <n v="101.32980283800002"/>
    <n v="156.19999999999999"/>
    <n v="6290.5842631296009"/>
    <n v="6290.5842631296009"/>
    <n v="0"/>
    <n v="101.32980283800002"/>
    <n v="0"/>
    <n v="0"/>
    <n v="0"/>
    <n v="0"/>
    <n v="6189"/>
    <n v="0"/>
    <n v="0"/>
    <n v="66"/>
    <n v="0"/>
    <n v="444.44594515093138"/>
    <n v="22.24285714285714"/>
    <n v="1.0418077128370909E-2"/>
    <n v="4"/>
    <m/>
    <s v="Mahua BMC"/>
    <m/>
    <n v="0"/>
  </r>
  <r>
    <s v="Munger"/>
    <s v="10-16 Apr"/>
    <n v="1061"/>
    <s v="Mahua BMC"/>
    <x v="890"/>
    <s v="Gomukh Paharpur"/>
    <s v="MPG"/>
    <s v="Direct"/>
    <n v="290.79999999999995"/>
    <n v="11390.230000000001"/>
    <n v="289.79999999999995"/>
    <n v="12070.769172754499"/>
    <n v="0"/>
    <n v="0"/>
    <n v="289.79999999999995"/>
    <n v="12070.769172754499"/>
    <n v="11390.230000000001"/>
    <n v="0"/>
    <n v="0"/>
    <n v="680.53917275449749"/>
    <n v="0"/>
    <n v="0"/>
    <n v="0"/>
    <n v="11390"/>
    <n v="0"/>
    <n v="0"/>
    <n v="0"/>
    <n v="0"/>
    <n v="320.55585392022022"/>
    <n v="41.542857142857137"/>
    <n v="-5.9747623424153629E-2"/>
    <n v="3"/>
    <m/>
    <s v="Mahua BMC"/>
    <m/>
    <n v="0"/>
  </r>
  <r>
    <s v="Munger"/>
    <s v="10-16 Apr"/>
    <n v="1061"/>
    <s v="Mahua BMC"/>
    <x v="891"/>
    <s v="GOMUKH PREMRAJ"/>
    <s v="MPG"/>
    <s v="Direct"/>
    <n v="501.10000000000008"/>
    <n v="23148.789999999997"/>
    <n v="464.5"/>
    <n v="21529.626167985134"/>
    <n v="4.2"/>
    <n v="188.58826669320001"/>
    <n v="468.7"/>
    <n v="21718.214434678335"/>
    <n v="21718.214434678335"/>
    <n v="0"/>
    <n v="188.58826669320001"/>
    <n v="0"/>
    <n v="0"/>
    <n v="0"/>
    <n v="0"/>
    <n v="21531"/>
    <n v="0"/>
    <n v="0"/>
    <n v="1429"/>
    <n v="0"/>
    <n v="183.76748477349813"/>
    <n v="71.585714285714303"/>
    <n v="6.1799150855040896E-2"/>
    <n v="11"/>
    <m/>
    <s v="Mahua BMC"/>
    <m/>
    <n v="0"/>
  </r>
  <r>
    <s v="Munger"/>
    <s v="10-16 Apr"/>
    <n v="1061"/>
    <s v="Mahua BMC"/>
    <x v="892"/>
    <s v="GOMUKH MAGURAHI"/>
    <s v="MPG"/>
    <s v="Direct"/>
    <n v="302"/>
    <n v="14678.969999999998"/>
    <n v="294.7"/>
    <n v="14292.832334413462"/>
    <n v="6.4999999999999991"/>
    <n v="339.15928969267998"/>
    <n v="301.2"/>
    <n v="14631.991624106142"/>
    <n v="14631.991624106142"/>
    <n v="0"/>
    <n v="339.15928969267998"/>
    <n v="0"/>
    <n v="0"/>
    <n v="0"/>
    <n v="0"/>
    <n v="14293"/>
    <n v="0"/>
    <n v="0"/>
    <n v="47"/>
    <n v="0"/>
    <n v="386.90265298013236"/>
    <n v="43.142857142857146"/>
    <n v="3.20038639590214E-3"/>
    <n v="16"/>
    <m/>
    <s v="Mahua BMC"/>
    <m/>
    <n v="0"/>
  </r>
  <r>
    <s v="Munger"/>
    <s v="10-16 Apr"/>
    <n v="1061"/>
    <s v="Mahua BMC"/>
    <x v="893"/>
    <s v="GOMUKH GANGATI"/>
    <s v="MPG"/>
    <s v="Direct"/>
    <n v="487.19999999999987"/>
    <n v="20235.890000000003"/>
    <n v="542.80000000000007"/>
    <n v="22901.398796743128"/>
    <n v="0"/>
    <n v="0"/>
    <n v="542.80000000000007"/>
    <n v="22901.398796743128"/>
    <n v="20235.890000000003"/>
    <n v="0"/>
    <n v="0"/>
    <n v="2665.5087967431245"/>
    <n v="0"/>
    <n v="0"/>
    <n v="0"/>
    <n v="20236"/>
    <n v="0"/>
    <n v="0"/>
    <n v="0"/>
    <n v="0"/>
    <n v="176.77329195402316"/>
    <n v="69.59999999999998"/>
    <n v="-0.131721846518395"/>
    <n v="2"/>
    <m/>
    <s v="Mahua BMC"/>
    <m/>
    <n v="0"/>
  </r>
  <r>
    <s v="Munger"/>
    <s v="10-16 Apr"/>
    <n v="1061"/>
    <s v="Mahua BMC"/>
    <x v="894"/>
    <s v="GOMUKH Khanpatti"/>
    <s v="MPG"/>
    <s v="Direct"/>
    <n v="623.59999999999991"/>
    <n v="28626.63"/>
    <n v="627.39999999999986"/>
    <n v="28170.739503371293"/>
    <n v="6.1"/>
    <n v="264.77244288000009"/>
    <n v="633.49999999999989"/>
    <n v="28435.511946251292"/>
    <n v="28435.511946251292"/>
    <n v="0"/>
    <n v="264.77244288000009"/>
    <n v="0"/>
    <n v="0"/>
    <n v="0"/>
    <n v="0"/>
    <n v="28169"/>
    <n v="0"/>
    <n v="0"/>
    <n v="193"/>
    <n v="0"/>
    <n v="70.143506478511952"/>
    <n v="89.085714285714275"/>
    <n v="6.6762330651113635E-3"/>
    <n v="30"/>
    <m/>
    <s v="Mahua BMC"/>
    <m/>
    <n v="0"/>
  </r>
  <r>
    <s v="Munger"/>
    <s v="10-16 Apr"/>
    <n v="1061"/>
    <s v="Mahua BMC"/>
    <x v="895"/>
    <s v="GOMUKH Bhagwatpur"/>
    <s v="MPG"/>
    <s v="Direct"/>
    <n v="322"/>
    <n v="14348.8"/>
    <n v="332.3"/>
    <n v="14408.372485856067"/>
    <n v="0"/>
    <n v="0"/>
    <n v="332.3"/>
    <n v="14408.372485856067"/>
    <n v="14348.8"/>
    <n v="0"/>
    <n v="0"/>
    <n v="59.572485856067942"/>
    <n v="0"/>
    <n v="0"/>
    <n v="0"/>
    <n v="14349"/>
    <n v="0"/>
    <n v="0"/>
    <n v="0"/>
    <n v="0"/>
    <n v="336.8848695652174"/>
    <n v="46"/>
    <n v="-4.1517399264097308E-3"/>
    <n v="13"/>
    <m/>
    <s v="Mahua BMC"/>
    <m/>
    <n v="0"/>
  </r>
  <r>
    <s v="Munger"/>
    <s v="10-16 Apr"/>
    <n v="1061"/>
    <s v="Mahua BMC"/>
    <x v="896"/>
    <s v="GOMUKH JIRWARA"/>
    <s v="vlc"/>
    <s v="Indirect"/>
    <n v="405.80000000000007"/>
    <n v="16781.25"/>
    <n v="0"/>
    <n v="0"/>
    <n v="0"/>
    <n v="0"/>
    <n v="0"/>
    <n v="0"/>
    <n v="16781.25"/>
    <n v="0"/>
    <n v="0"/>
    <n v="0"/>
    <n v="0"/>
    <n v="0"/>
    <n v="0"/>
    <n v="0"/>
    <n v="0"/>
    <n v="16781.25"/>
    <n v="0"/>
    <n v="0"/>
    <n v="243.32398965007383"/>
    <n v="57.971428571428582"/>
    <n v="0"/>
    <n v="0"/>
    <m/>
    <s v="Mahua BMC"/>
    <m/>
    <n v="0"/>
  </r>
  <r>
    <s v="Munger"/>
    <s v="10-16 Apr"/>
    <n v="1061"/>
    <s v="Mahua BMC"/>
    <x v="897"/>
    <s v="GOMUKH Karhatiya"/>
    <s v="vlc"/>
    <s v="Indirect"/>
    <n v="279.39999999999998"/>
    <n v="10966"/>
    <n v="0"/>
    <n v="0"/>
    <n v="0"/>
    <n v="0"/>
    <n v="0"/>
    <n v="0"/>
    <n v="10966"/>
    <n v="0"/>
    <n v="0"/>
    <n v="0"/>
    <n v="0"/>
    <n v="0"/>
    <n v="0"/>
    <n v="0"/>
    <n v="0"/>
    <n v="10966"/>
    <n v="0"/>
    <n v="0"/>
    <n v="330.15745168217609"/>
    <n v="39.914285714285711"/>
    <n v="0"/>
    <n v="0"/>
    <m/>
    <s v="Mahua BMC"/>
    <m/>
    <n v="0"/>
  </r>
  <r>
    <s v="Munger"/>
    <s v="10-16 Apr"/>
    <n v="1061"/>
    <s v="Mahua BMC"/>
    <x v="899"/>
    <s v="Gomukh Karhatiya Bujurg"/>
    <s v="vlc"/>
    <s v="Indirect"/>
    <n v="373.69999999999993"/>
    <n v="13404.83"/>
    <n v="0"/>
    <n v="0"/>
    <n v="0"/>
    <n v="0"/>
    <n v="0"/>
    <n v="0"/>
    <n v="13404.83"/>
    <n v="0"/>
    <n v="0"/>
    <n v="0"/>
    <n v="0"/>
    <n v="0"/>
    <n v="0"/>
    <n v="0"/>
    <n v="0"/>
    <n v="13404.83"/>
    <n v="0"/>
    <n v="0"/>
    <n v="234.09130473641966"/>
    <n v="53.385714285714279"/>
    <n v="0"/>
    <n v="0"/>
    <m/>
    <s v="Mahua BMC"/>
    <m/>
    <n v="0"/>
  </r>
  <r>
    <s v="Munger"/>
    <s v="10-16 Apr"/>
    <n v="1061"/>
    <s v="Mahua BMC"/>
    <x v="900"/>
    <s v="GOMUKH Bheraukhara"/>
    <s v="MPG"/>
    <s v="Direct"/>
    <n v="112.80000000000001"/>
    <n v="4630.8700000000008"/>
    <n v="109.89999999999998"/>
    <n v="4496.1597117892006"/>
    <n v="0"/>
    <n v="0"/>
    <n v="109.89999999999998"/>
    <n v="4496.1597117892006"/>
    <n v="4496.1597117892006"/>
    <n v="0"/>
    <n v="0"/>
    <n v="0"/>
    <n v="0"/>
    <n v="0"/>
    <n v="0"/>
    <n v="4495"/>
    <n v="0"/>
    <n v="0"/>
    <n v="136"/>
    <n v="0"/>
    <n v="482.13596879432635"/>
    <n v="16.114285714285717"/>
    <n v="2.9089628560248972E-2"/>
    <n v="7"/>
    <m/>
    <s v="Mahua BMC"/>
    <m/>
    <n v="0"/>
  </r>
  <r>
    <s v="Munger"/>
    <s v="10-16 Apr"/>
    <n v="1061"/>
    <s v="Mahua BMC"/>
    <x v="901"/>
    <s v="GOMUKH SUPOLTARIYA"/>
    <s v="MPG"/>
    <s v="Direct"/>
    <n v="358.99999999999994"/>
    <n v="16740.73"/>
    <n v="375.6"/>
    <n v="16623.078641783002"/>
    <n v="0"/>
    <n v="0"/>
    <n v="375.6"/>
    <n v="16623.078641783002"/>
    <n v="16623.078641783002"/>
    <n v="0"/>
    <n v="0"/>
    <n v="0"/>
    <n v="0"/>
    <n v="0"/>
    <n v="0"/>
    <n v="16624"/>
    <n v="0"/>
    <n v="0"/>
    <n v="117"/>
    <n v="0"/>
    <n v="318.02723844011155"/>
    <n v="51.285714285714278"/>
    <n v="7.0278511281764494E-3"/>
    <n v="8"/>
    <m/>
    <s v="Mahua BMC"/>
    <m/>
    <n v="0"/>
  </r>
  <r>
    <s v="Munger"/>
    <s v="10-16 Apr"/>
    <n v="1061"/>
    <s v="Mahua BMC"/>
    <x v="902"/>
    <s v="GOMUKH Shravanapatti"/>
    <s v="MPG"/>
    <s v="Direct"/>
    <n v="137.19999999999999"/>
    <n v="7320.41"/>
    <n v="188.10000000000002"/>
    <n v="9039.5779926373398"/>
    <n v="0"/>
    <n v="0"/>
    <n v="188.10000000000002"/>
    <n v="9039.5779926373398"/>
    <n v="7320.41"/>
    <n v="0"/>
    <n v="0"/>
    <n v="1719.1679926373399"/>
    <n v="0"/>
    <n v="0"/>
    <n v="0"/>
    <n v="7320"/>
    <n v="0"/>
    <n v="0"/>
    <n v="0"/>
    <n v="0"/>
    <n v="600.57241224489815"/>
    <n v="19.599999999999998"/>
    <n v="-0.23484586145275196"/>
    <n v="4"/>
    <m/>
    <s v="Mahua BMC"/>
    <m/>
    <n v="0"/>
  </r>
  <r>
    <s v="Munger"/>
    <s v="10-16 Apr"/>
    <n v="1061"/>
    <s v="Mahua BMC"/>
    <x v="903"/>
    <s v="GOMUKH Jilwara"/>
    <s v="MPG"/>
    <s v="Direct"/>
    <n v="331.19999999999993"/>
    <n v="14455.26"/>
    <n v="321.90000000000003"/>
    <n v="14145.65855459532"/>
    <n v="0"/>
    <n v="0"/>
    <n v="321.90000000000003"/>
    <n v="14145.65855459532"/>
    <n v="14145.65855459532"/>
    <n v="0"/>
    <n v="0"/>
    <n v="0"/>
    <n v="0"/>
    <n v="0"/>
    <n v="0"/>
    <n v="14146"/>
    <n v="0"/>
    <n v="0"/>
    <n v="309"/>
    <n v="0"/>
    <n v="321.92632173913057"/>
    <n v="47.314285714285703"/>
    <n v="2.1417909148965839E-2"/>
    <n v="12"/>
    <m/>
    <s v="Mahua BMC"/>
    <m/>
    <n v="0"/>
  </r>
  <r>
    <s v="Munger"/>
    <s v="10-16 Apr"/>
    <n v="1061"/>
    <s v="Mahua BMC"/>
    <x v="904"/>
    <s v="GOMUKH KHANPATTI EAST"/>
    <s v="vlc"/>
    <s v="Indirect"/>
    <n v="54.4"/>
    <n v="2387.33"/>
    <n v="0"/>
    <n v="0"/>
    <n v="0"/>
    <n v="0"/>
    <n v="0"/>
    <n v="0"/>
    <n v="2387.33"/>
    <n v="0"/>
    <n v="0"/>
    <n v="0"/>
    <n v="0"/>
    <n v="0"/>
    <n v="0"/>
    <n v="0"/>
    <n v="0"/>
    <n v="2387.33"/>
    <n v="0"/>
    <n v="0"/>
    <n v="566.63979705882355"/>
    <n v="7.7714285714285714"/>
    <n v="0"/>
    <n v="0"/>
    <m/>
    <s v="Mahua BMC"/>
    <m/>
    <n v="0"/>
  </r>
  <r>
    <s v="Munger"/>
    <s v="10-16 Apr"/>
    <n v="1061"/>
    <s v="Mahua BMC"/>
    <x v="905"/>
    <s v="GOMUKH ABBUCHAK"/>
    <s v="MPG"/>
    <s v="Direct"/>
    <n v="190.60000000000002"/>
    <n v="7152.11"/>
    <n v="192.9"/>
    <n v="7358.5685251691702"/>
    <n v="0"/>
    <n v="0"/>
    <n v="192.9"/>
    <n v="7358.5685251691702"/>
    <n v="7152.11"/>
    <n v="0"/>
    <n v="0"/>
    <n v="206.45852516917057"/>
    <n v="0"/>
    <n v="0"/>
    <n v="0"/>
    <n v="7152"/>
    <n v="0"/>
    <n v="0"/>
    <n v="0"/>
    <n v="0"/>
    <n v="382.29641490031469"/>
    <n v="27.228571428571431"/>
    <n v="-2.8866799471648309E-2"/>
    <n v="10"/>
    <m/>
    <s v="Mahua BMC"/>
    <m/>
    <n v="0"/>
  </r>
  <r>
    <s v="Munger"/>
    <s v="10-16 Apr"/>
    <n v="1061"/>
    <s v="Mahua BMC"/>
    <x v="906"/>
    <s v="Gomukh Husena"/>
    <s v="vlc"/>
    <s v="Indirect"/>
    <n v="200.70000000000002"/>
    <n v="7774.5199999999995"/>
    <n v="0"/>
    <n v="0"/>
    <n v="0"/>
    <n v="0"/>
    <n v="0"/>
    <n v="0"/>
    <n v="7774.5199999999995"/>
    <n v="0"/>
    <n v="0"/>
    <n v="0"/>
    <n v="0"/>
    <n v="0"/>
    <n v="0"/>
    <n v="0"/>
    <n v="0"/>
    <n v="7774.5199999999995"/>
    <n v="0"/>
    <n v="0"/>
    <n v="386.8278859990034"/>
    <n v="28.671428571428574"/>
    <n v="0"/>
    <n v="0"/>
    <m/>
    <s v="Mahua BMC"/>
    <m/>
    <n v="0"/>
  </r>
  <r>
    <s v="Munger"/>
    <s v="10-16 Apr"/>
    <n v="1061"/>
    <s v="Mahua BMC"/>
    <x v="907"/>
    <s v="GOMUKH KAILA JALALPUR"/>
    <s v="MPG"/>
    <s v="Direct"/>
    <n v="229.49999999999997"/>
    <n v="8262.739999999998"/>
    <n v="242.1"/>
    <n v="8327.3233080995014"/>
    <n v="0"/>
    <n v="0"/>
    <n v="242.1"/>
    <n v="8327.3233080995014"/>
    <n v="8262.739999999998"/>
    <n v="0"/>
    <n v="0"/>
    <n v="64.583308099503483"/>
    <n v="0"/>
    <n v="0"/>
    <n v="0"/>
    <n v="8263"/>
    <n v="0"/>
    <n v="0"/>
    <n v="0"/>
    <n v="0"/>
    <n v="338.79034161220045"/>
    <n v="32.785714285714285"/>
    <n v="-7.8162096471029591E-3"/>
    <n v="6"/>
    <m/>
    <s v="Mahua BMC"/>
    <m/>
    <n v="0"/>
  </r>
  <r>
    <s v="Munger"/>
    <s v="10-16 Apr"/>
    <n v="1061"/>
    <s v="Mahua BMC"/>
    <x v="908"/>
    <s v="Gomukh Dumari"/>
    <s v="vlc"/>
    <s v="Indirect"/>
    <n v="46.2"/>
    <n v="1771.2599999999998"/>
    <n v="0"/>
    <n v="0"/>
    <n v="0"/>
    <n v="0"/>
    <n v="0"/>
    <n v="0"/>
    <n v="1771.2599999999998"/>
    <n v="0"/>
    <n v="0"/>
    <n v="0"/>
    <n v="0"/>
    <n v="0"/>
    <n v="0"/>
    <n v="0"/>
    <n v="0"/>
    <n v="1771.2599999999998"/>
    <n v="0"/>
    <n v="0"/>
    <n v="501.32025454545453"/>
    <n v="6.6000000000000005"/>
    <n v="0"/>
    <n v="0"/>
    <m/>
    <s v="Mahua BMC"/>
    <m/>
    <n v="0"/>
  </r>
  <r>
    <s v="Munger"/>
    <s v="10-16 Apr"/>
    <n v="1061"/>
    <s v="Mahua BMC"/>
    <x v="1020"/>
    <s v="Gomukh Jhitkahi East"/>
    <s v="MPG"/>
    <s v="Direct"/>
    <n v="73.8"/>
    <n v="3815.0899999999997"/>
    <n v="74.900000000000006"/>
    <n v="3884.0885246732"/>
    <n v="0"/>
    <n v="0"/>
    <n v="74.900000000000006"/>
    <n v="3884.0885246732"/>
    <n v="3815.0899999999997"/>
    <n v="0"/>
    <n v="0"/>
    <n v="68.998524673200336"/>
    <n v="0"/>
    <n v="0"/>
    <n v="0"/>
    <n v="3815"/>
    <n v="0"/>
    <n v="0"/>
    <n v="0"/>
    <n v="0"/>
    <n v="647.428010298103"/>
    <n v="10.542857142857143"/>
    <n v="-1.808568727689264E-2"/>
    <n v="5"/>
    <m/>
    <s v="Mahua BMC"/>
    <m/>
    <n v="0"/>
  </r>
  <r>
    <s v="Munger"/>
    <s v="10-16 Apr"/>
    <n v="1061"/>
    <s v="Mahua BMC"/>
    <x v="909"/>
    <s v="GOMUKH UPHRAUL"/>
    <s v="vlc"/>
    <s v="Indirect"/>
    <n v="2889.4"/>
    <n v="107246.54"/>
    <n v="0"/>
    <n v="0"/>
    <n v="0"/>
    <n v="0"/>
    <n v="0"/>
    <n v="0"/>
    <n v="107246.54"/>
    <n v="0"/>
    <n v="0"/>
    <n v="0"/>
    <n v="0"/>
    <n v="0"/>
    <n v="0"/>
    <n v="0"/>
    <n v="0"/>
    <n v="107246.54"/>
    <n v="0"/>
    <n v="0"/>
    <n v="0"/>
    <n v="0"/>
    <n v="0"/>
    <n v="0"/>
    <m/>
    <s v="Mahua BMC"/>
    <m/>
    <n v="0"/>
  </r>
  <r>
    <s v="Munger"/>
    <s v="10-16 Apr"/>
    <n v="1061"/>
    <s v="Mahua BMC"/>
    <x v="910"/>
    <s v="GOMUKH SHERPUR"/>
    <s v="vlc"/>
    <s v="Indirect"/>
    <n v="165.6"/>
    <n v="5450.6399999999994"/>
    <n v="0"/>
    <n v="0"/>
    <n v="0"/>
    <n v="0"/>
    <n v="0"/>
    <n v="0"/>
    <n v="5450.6399999999994"/>
    <n v="0"/>
    <n v="0"/>
    <n v="0"/>
    <n v="0"/>
    <n v="0"/>
    <n v="0"/>
    <n v="0"/>
    <n v="0"/>
    <n v="5450.6399999999994"/>
    <n v="0"/>
    <n v="0"/>
    <n v="351.79009855072457"/>
    <n v="23.657142857142855"/>
    <n v="0"/>
    <n v="0"/>
    <m/>
    <s v="Mahua BMC"/>
    <m/>
    <n v="0"/>
  </r>
  <r>
    <s v="Munger"/>
    <s v="10-16 Apr"/>
    <n v="1061"/>
    <s v="Mahua BMC"/>
    <x v="912"/>
    <s v="GOMUKH PANSALA"/>
    <s v="vlc"/>
    <s v="Indirect"/>
    <n v="46.400000000000006"/>
    <n v="1580.2700000000002"/>
    <n v="0"/>
    <n v="0"/>
    <n v="0"/>
    <n v="0"/>
    <n v="0"/>
    <n v="0"/>
    <n v="1580.2700000000002"/>
    <n v="0"/>
    <n v="0"/>
    <n v="0"/>
    <n v="0"/>
    <n v="0"/>
    <n v="0"/>
    <n v="0"/>
    <n v="0"/>
    <n v="1580.2700000000002"/>
    <n v="0"/>
    <n v="0"/>
    <n v="445.20020344827577"/>
    <n v="6.628571428571429"/>
    <n v="0"/>
    <n v="0"/>
    <m/>
    <s v="Mahua BMC"/>
    <m/>
    <n v="0"/>
  </r>
  <r>
    <s v="Munger"/>
    <s v="10-16 Apr"/>
    <n v="1061"/>
    <s v="Mahua BMC"/>
    <x v="913"/>
    <s v="GOMUKH KUSIYARI"/>
    <s v="vlc"/>
    <s v="Indirect"/>
    <n v="648"/>
    <n v="23962.970000000005"/>
    <n v="0"/>
    <n v="0"/>
    <n v="0"/>
    <n v="0"/>
    <n v="0"/>
    <n v="0"/>
    <n v="23962.970000000005"/>
    <n v="0"/>
    <n v="0"/>
    <n v="0"/>
    <n v="0"/>
    <n v="0"/>
    <n v="0"/>
    <n v="0"/>
    <n v="0"/>
    <n v="23962.970000000005"/>
    <n v="0"/>
    <n v="0"/>
    <n v="38.459087654321003"/>
    <n v="92.571428571428569"/>
    <n v="0"/>
    <n v="0"/>
    <m/>
    <s v="Mahua BMC"/>
    <m/>
    <n v="0"/>
  </r>
  <r>
    <s v="Munger"/>
    <s v="10-16 Apr"/>
    <n v="1061"/>
    <s v="Mahua BMC"/>
    <x v="914"/>
    <s v="GOMUKH PACHAI"/>
    <s v="vlc"/>
    <s v="Indirect"/>
    <n v="394.20000000000005"/>
    <n v="14455.65"/>
    <n v="0"/>
    <n v="0"/>
    <n v="0"/>
    <n v="0"/>
    <n v="0"/>
    <n v="0"/>
    <n v="14455.65"/>
    <n v="0"/>
    <n v="0"/>
    <n v="0"/>
    <n v="0"/>
    <n v="0"/>
    <n v="0"/>
    <n v="0"/>
    <n v="0"/>
    <n v="14455.65"/>
    <n v="0"/>
    <n v="0"/>
    <n v="224.27893302891928"/>
    <n v="56.314285714285724"/>
    <n v="0"/>
    <n v="0"/>
    <m/>
    <s v="Mahua BMC"/>
    <m/>
    <n v="0"/>
  </r>
  <r>
    <s v="Munger"/>
    <s v="10-16 Apr"/>
    <n v="1061"/>
    <s v="Mahua BMC"/>
    <x v="915"/>
    <s v="GOMUKH GARAHI"/>
    <s v="vlc"/>
    <s v="Indirect"/>
    <n v="650.50000000000023"/>
    <n v="20557.580000000002"/>
    <n v="0"/>
    <n v="0"/>
    <n v="0"/>
    <n v="0"/>
    <n v="0"/>
    <n v="0"/>
    <n v="20557.580000000002"/>
    <n v="0"/>
    <n v="0"/>
    <n v="0"/>
    <n v="0"/>
    <n v="0"/>
    <n v="0"/>
    <n v="0"/>
    <n v="0"/>
    <n v="20557.580000000002"/>
    <n v="0"/>
    <n v="0"/>
    <n v="31.286708993082105"/>
    <n v="92.928571428571459"/>
    <n v="0"/>
    <n v="0"/>
    <m/>
    <s v="Mahua BMC"/>
    <m/>
    <n v="0"/>
  </r>
  <r>
    <s v="Munger"/>
    <s v="10-16 Apr"/>
    <n v="1061"/>
    <s v="Mahua BMC"/>
    <x v="916"/>
    <s v="GOMUKH BAIKUNTHPUR"/>
    <s v="vlc"/>
    <s v="Indirect"/>
    <n v="218.1"/>
    <n v="8021.2600000000011"/>
    <n v="0"/>
    <n v="0"/>
    <n v="0"/>
    <n v="0"/>
    <n v="0"/>
    <n v="0"/>
    <n v="8021.2600000000011"/>
    <n v="0"/>
    <n v="0"/>
    <n v="0"/>
    <n v="0"/>
    <n v="0"/>
    <n v="0"/>
    <n v="0"/>
    <n v="0"/>
    <n v="8021.2600000000011"/>
    <n v="0"/>
    <n v="0"/>
    <n v="354.46540064190748"/>
    <n v="31.157142857142855"/>
    <n v="0"/>
    <n v="0"/>
    <m/>
    <s v="Mahua BMC"/>
    <m/>
    <n v="0"/>
  </r>
  <r>
    <s v="Munger"/>
    <s v="10-16 Apr"/>
    <n v="1061"/>
    <s v="Mahua BMC"/>
    <x v="917"/>
    <s v="GOMUKH BAHASHI"/>
    <s v="vlc"/>
    <s v="Indirect"/>
    <n v="2601.4"/>
    <n v="94842.33"/>
    <n v="0"/>
    <n v="0"/>
    <n v="0"/>
    <n v="0"/>
    <n v="0"/>
    <n v="0"/>
    <n v="94842.33"/>
    <n v="0"/>
    <n v="0"/>
    <n v="0"/>
    <n v="0"/>
    <n v="0"/>
    <n v="0"/>
    <n v="0"/>
    <n v="0"/>
    <n v="94842.33"/>
    <n v="0"/>
    <n v="0"/>
    <n v="0"/>
    <n v="0"/>
    <n v="0"/>
    <n v="0"/>
    <m/>
    <s v="Mahua BMC"/>
    <m/>
    <n v="0"/>
  </r>
  <r>
    <s v="Munger"/>
    <s v="10-16 Apr"/>
    <n v="1061"/>
    <s v="Mahua BMC"/>
    <x v="918"/>
    <s v="GOMUKH BAKHRI"/>
    <s v="vlc"/>
    <s v="Indirect"/>
    <n v="1993.7999999999997"/>
    <n v="76354.739999999991"/>
    <n v="0"/>
    <n v="0"/>
    <n v="0"/>
    <n v="0"/>
    <n v="0"/>
    <n v="0"/>
    <n v="76354.739999999991"/>
    <n v="0"/>
    <n v="0"/>
    <n v="0"/>
    <n v="0"/>
    <n v="0"/>
    <n v="0"/>
    <n v="0"/>
    <n v="0"/>
    <n v="76354.739999999991"/>
    <n v="0"/>
    <n v="0"/>
    <n v="0"/>
    <n v="0"/>
    <n v="0"/>
    <n v="0"/>
    <m/>
    <s v="Mahua BMC"/>
    <m/>
    <n v="0"/>
  </r>
  <r>
    <s v="Munger"/>
    <s v="10-16 Apr"/>
    <n v="1061"/>
    <s v="Mahua BMC"/>
    <x v="919"/>
    <s v="GOMUKH BAJITPUR"/>
    <s v="vlc"/>
    <s v="Indirect"/>
    <n v="174"/>
    <n v="5649.0400000000009"/>
    <n v="0"/>
    <n v="0"/>
    <n v="0"/>
    <n v="0"/>
    <n v="0"/>
    <n v="0"/>
    <n v="5649.0400000000009"/>
    <n v="0"/>
    <n v="0"/>
    <n v="0"/>
    <n v="0"/>
    <n v="0"/>
    <n v="0"/>
    <n v="0"/>
    <n v="0"/>
    <n v="5649.0400000000009"/>
    <n v="0"/>
    <n v="0"/>
    <n v="341.53965977011507"/>
    <n v="24.857142857142858"/>
    <n v="0"/>
    <n v="0"/>
    <m/>
    <s v="Mahua BMC"/>
    <m/>
    <n v="0"/>
  </r>
  <r>
    <s v="Munger"/>
    <s v="10-16 Apr"/>
    <n v="1061"/>
    <s v="Mahua BMC"/>
    <x v="920"/>
    <s v="GOMUKH PANAPUR"/>
    <s v="vlc"/>
    <s v="Indirect"/>
    <n v="577.59999999999991"/>
    <n v="18144.59"/>
    <n v="0"/>
    <n v="0"/>
    <n v="0"/>
    <n v="0"/>
    <n v="0"/>
    <n v="0"/>
    <n v="18144.59"/>
    <n v="0"/>
    <n v="0"/>
    <n v="0"/>
    <n v="0"/>
    <n v="0"/>
    <n v="0"/>
    <n v="0"/>
    <n v="0"/>
    <n v="18144.59"/>
    <n v="0"/>
    <n v="0"/>
    <n v="76.900893905817227"/>
    <n v="82.514285714285705"/>
    <n v="0"/>
    <n v="0"/>
    <m/>
    <s v="Mahua BMC"/>
    <m/>
    <n v="0"/>
  </r>
  <r>
    <s v="Munger"/>
    <s v="10-16 Apr"/>
    <n v="1061"/>
    <s v="Mahua BMC"/>
    <x v="921"/>
    <s v="GOMUKH BISANPUR SAID"/>
    <s v="vlc"/>
    <s v="Indirect"/>
    <n v="346.90000000000003"/>
    <n v="12663.6"/>
    <n v="0"/>
    <n v="0"/>
    <n v="0"/>
    <n v="0"/>
    <n v="0"/>
    <n v="0"/>
    <n v="12663.6"/>
    <n v="0"/>
    <n v="0"/>
    <n v="0"/>
    <n v="0"/>
    <n v="0"/>
    <n v="0"/>
    <n v="0"/>
    <n v="0"/>
    <n v="12663.6"/>
    <n v="0"/>
    <n v="0"/>
    <n v="257.79862554050158"/>
    <n v="49.557142857142864"/>
    <n v="0"/>
    <n v="0"/>
    <m/>
    <s v="Mahua BMC"/>
    <m/>
    <n v="0"/>
  </r>
  <r>
    <s v="Munger"/>
    <s v="10-16 Apr"/>
    <n v="1061"/>
    <s v="Mahua BMC"/>
    <x v="1021"/>
    <s v="GOMUKH BABA CHAUK"/>
    <s v="vlc"/>
    <s v="Indirect"/>
    <n v="501.39999999999986"/>
    <n v="18312.699999999997"/>
    <n v="0"/>
    <n v="0"/>
    <n v="0"/>
    <n v="0"/>
    <n v="0"/>
    <n v="0"/>
    <n v="18312.699999999997"/>
    <n v="0"/>
    <n v="0"/>
    <n v="0"/>
    <n v="0"/>
    <n v="0"/>
    <n v="0"/>
    <n v="0"/>
    <n v="0"/>
    <n v="18312.699999999997"/>
    <n v="0"/>
    <n v="0"/>
    <n v="145.06989309932203"/>
    <n v="71.628571428571405"/>
    <n v="0"/>
    <n v="0"/>
    <m/>
    <s v="Mahua BMC"/>
    <m/>
    <n v="0"/>
  </r>
  <r>
    <s v="Munger"/>
    <s v="10-16 Apr"/>
    <n v="1061"/>
    <s v="Mahua BMC"/>
    <x v="1022"/>
    <s v="GOMUKH KHARIKA"/>
    <s v="vlc"/>
    <s v="Indirect"/>
    <n v="501.49999999999994"/>
    <n v="16949.559999999998"/>
    <n v="0"/>
    <n v="0"/>
    <n v="0"/>
    <n v="0"/>
    <n v="0"/>
    <n v="0"/>
    <n v="16949.559999999998"/>
    <n v="0"/>
    <n v="0"/>
    <n v="0"/>
    <n v="0"/>
    <n v="0"/>
    <n v="0"/>
    <n v="0"/>
    <n v="0"/>
    <n v="16949.559999999998"/>
    <n v="0"/>
    <n v="0"/>
    <n v="134.17697547357929"/>
    <n v="71.642857142857139"/>
    <n v="0"/>
    <n v="0"/>
    <m/>
    <s v="Mahua BMC"/>
    <m/>
    <n v="0"/>
  </r>
  <r>
    <s v="Munger"/>
    <s v="10-16 Apr"/>
    <n v="1061"/>
    <s v="Mahua BMC"/>
    <x v="1023"/>
    <s v="GOMUKH KALYANPUR"/>
    <s v="vlc"/>
    <s v="Indirect"/>
    <n v="395.30000000000007"/>
    <n v="14379.37"/>
    <n v="0"/>
    <n v="0"/>
    <n v="0"/>
    <n v="0"/>
    <n v="0"/>
    <n v="0"/>
    <n v="14379.37"/>
    <n v="0"/>
    <n v="0"/>
    <n v="0"/>
    <n v="0"/>
    <n v="0"/>
    <n v="0"/>
    <n v="0"/>
    <n v="0"/>
    <n v="14379.37"/>
    <n v="0"/>
    <n v="0"/>
    <n v="221.67437586643049"/>
    <n v="56.471428571428582"/>
    <n v="0"/>
    <n v="0"/>
    <m/>
    <s v="Mahua BMC"/>
    <m/>
    <n v="0"/>
  </r>
  <r>
    <s v="Munger"/>
    <s v="10-16 Apr"/>
    <n v="1061"/>
    <s v="Mahua BMC"/>
    <x v="1024"/>
    <s v="GOMUKH GOVINDPUR"/>
    <s v="vlc"/>
    <s v="Indirect"/>
    <n v="411.59999999999997"/>
    <n v="14967.419999999996"/>
    <n v="0"/>
    <n v="0"/>
    <n v="0"/>
    <n v="0"/>
    <n v="0"/>
    <n v="0"/>
    <n v="14967.419999999996"/>
    <n v="0"/>
    <n v="0"/>
    <n v="0"/>
    <n v="0"/>
    <n v="0"/>
    <n v="0"/>
    <n v="0"/>
    <n v="0"/>
    <n v="14967.419999999996"/>
    <n v="0"/>
    <n v="0"/>
    <n v="209.74751836734694"/>
    <n v="58.8"/>
    <n v="0"/>
    <n v="0"/>
    <m/>
    <s v="Mahua BMC"/>
    <m/>
    <n v="0"/>
  </r>
  <r>
    <s v="Munger"/>
    <s v="10-16 Apr"/>
    <n v="1061"/>
    <s v="Mahua BMC"/>
    <x v="1025"/>
    <s v="GOMUKH SARMASTPUR"/>
    <s v="vlc"/>
    <s v="Indirect"/>
    <n v="133.5"/>
    <n v="4082.92"/>
    <n v="0"/>
    <n v="0"/>
    <n v="0"/>
    <n v="0"/>
    <n v="0"/>
    <n v="0"/>
    <n v="4082.92"/>
    <n v="0"/>
    <n v="0"/>
    <n v="0"/>
    <n v="0"/>
    <n v="0"/>
    <n v="0"/>
    <n v="0"/>
    <n v="0"/>
    <n v="4082.92"/>
    <n v="0"/>
    <n v="0"/>
    <n v="346.51298576779021"/>
    <n v="19.071428571428573"/>
    <n v="0"/>
    <n v="0"/>
    <m/>
    <s v="Mahua BMC"/>
    <m/>
    <n v="0"/>
  </r>
  <r>
    <s v="Munger"/>
    <s v="10-16 Apr"/>
    <n v="1061"/>
    <s v="Mahua BMC"/>
    <x v="1026"/>
    <s v="GOMUKH BALUAR"/>
    <s v="vlc"/>
    <s v="Indirect"/>
    <n v="232.7"/>
    <n v="7371.6900000000005"/>
    <n v="0"/>
    <n v="0"/>
    <n v="0"/>
    <n v="0"/>
    <n v="0"/>
    <n v="0"/>
    <n v="7371.6900000000005"/>
    <n v="0"/>
    <n v="0"/>
    <n v="0"/>
    <n v="0"/>
    <n v="0"/>
    <n v="0"/>
    <n v="0"/>
    <n v="0"/>
    <n v="7371.6900000000005"/>
    <n v="0"/>
    <n v="0"/>
    <n v="296.07139982810497"/>
    <n v="33.24285714285714"/>
    <n v="0"/>
    <n v="0"/>
    <m/>
    <s v="Mahua BMC"/>
    <m/>
    <n v="0"/>
  </r>
  <r>
    <s v="Munger"/>
    <s v="10-16 Apr"/>
    <n v="1057"/>
    <s v="Warisnagar"/>
    <x v="923"/>
    <s v="Karua"/>
    <s v="MPG"/>
    <s v="Direct"/>
    <n v="91.2"/>
    <n v="3873.78"/>
    <n v="91.2"/>
    <n v="3877.0207705158005"/>
    <n v="0"/>
    <n v="0"/>
    <n v="91.2"/>
    <n v="3877.0207705158005"/>
    <n v="3873.78"/>
    <n v="0"/>
    <n v="0"/>
    <n v="3.24077051580025"/>
    <n v="0"/>
    <n v="0"/>
    <n v="0"/>
    <n v="3874"/>
    <n v="0"/>
    <n v="0"/>
    <n v="0"/>
    <n v="0"/>
    <n v="517.18361052631587"/>
    <n v="13.028571428571428"/>
    <n v="-8.3659126636005394E-4"/>
    <n v="1"/>
    <m/>
    <s v="Warisnagar"/>
    <m/>
    <n v="0"/>
  </r>
  <r>
    <s v="Munger"/>
    <s v="10-16 Apr"/>
    <n v="1057"/>
    <s v="Warisnagar"/>
    <x v="924"/>
    <s v="Erout"/>
    <s v="MPG"/>
    <s v="Direct"/>
    <n v="81.599999999999994"/>
    <n v="4553.6100000000006"/>
    <n v="87.299999999999983"/>
    <n v="4569.4260109089691"/>
    <n v="0"/>
    <n v="0"/>
    <n v="87.299999999999983"/>
    <n v="4569.4260109089691"/>
    <n v="4553.6100000000006"/>
    <n v="0"/>
    <n v="0"/>
    <n v="15.816010908968565"/>
    <n v="0"/>
    <n v="0"/>
    <n v="0"/>
    <n v="4554"/>
    <n v="0"/>
    <n v="0"/>
    <n v="0"/>
    <n v="0"/>
    <n v="690.18441764705892"/>
    <n v="11.657142857142857"/>
    <n v="-3.4732906219392006E-3"/>
    <n v="4"/>
    <m/>
    <s v="Warisnagar"/>
    <m/>
    <n v="0"/>
  </r>
  <r>
    <s v="Munger"/>
    <s v="10-16 Apr"/>
    <n v="1057"/>
    <s v="Warisnagar"/>
    <x v="925"/>
    <s v="Murli"/>
    <s v="MPG"/>
    <s v="Direct"/>
    <n v="229.8"/>
    <n v="11919.65"/>
    <n v="236.89999999999998"/>
    <n v="11959.067841934086"/>
    <n v="0"/>
    <n v="0"/>
    <n v="236.89999999999998"/>
    <n v="11959.067841934086"/>
    <n v="11919.65"/>
    <n v="0"/>
    <n v="0"/>
    <n v="39.417841934086027"/>
    <n v="0"/>
    <n v="0"/>
    <n v="0"/>
    <n v="11920"/>
    <n v="0"/>
    <n v="0"/>
    <n v="0"/>
    <n v="0"/>
    <n v="487.78236988685813"/>
    <n v="32.828571428571429"/>
    <n v="-3.3069630344922905E-3"/>
    <n v="1"/>
    <m/>
    <s v="Warisnagar"/>
    <m/>
    <n v="0"/>
  </r>
  <r>
    <s v="Munger"/>
    <s v="10-16 Apr"/>
    <n v="1057"/>
    <s v="Warisnagar"/>
    <x v="926"/>
    <s v="Mahespur"/>
    <s v="MPG"/>
    <s v="Direct"/>
    <n v="122.30000000000001"/>
    <n v="5722.8499999999985"/>
    <n v="121.5"/>
    <n v="5740.6552006533993"/>
    <n v="0"/>
    <n v="0"/>
    <n v="121.5"/>
    <n v="5740.6552006533993"/>
    <n v="5722.8499999999985"/>
    <n v="0"/>
    <n v="0"/>
    <n v="17.805200653400789"/>
    <n v="0"/>
    <n v="0"/>
    <n v="0"/>
    <n v="5723"/>
    <n v="0"/>
    <n v="0"/>
    <n v="0"/>
    <n v="0"/>
    <n v="540.65256663941113"/>
    <n v="17.471428571428572"/>
    <n v="-3.1112471327049973E-3"/>
    <n v="1"/>
    <m/>
    <s v="Warisnagar"/>
    <m/>
    <n v="0"/>
  </r>
  <r>
    <s v="Munger"/>
    <s v="10-16 Apr"/>
    <n v="1057"/>
    <s v="Warisnagar"/>
    <x v="927"/>
    <s v="Raj Nagar"/>
    <s v="MPG"/>
    <s v="Direct"/>
    <n v="170.8"/>
    <n v="7069.8099999999995"/>
    <n v="170.8"/>
    <n v="7069.7035366300006"/>
    <n v="0"/>
    <n v="0"/>
    <n v="170.8"/>
    <n v="7069.7035366300006"/>
    <n v="7069.7035366300006"/>
    <n v="0"/>
    <n v="0"/>
    <n v="0"/>
    <n v="0"/>
    <n v="0"/>
    <n v="0"/>
    <n v="7070"/>
    <n v="0"/>
    <n v="0"/>
    <n v="0"/>
    <n v="0"/>
    <n v="438.09642295081954"/>
    <n v="24.400000000000002"/>
    <n v="1.5058872869128268E-5"/>
    <n v="1"/>
    <m/>
    <s v="Warisnagar"/>
    <m/>
    <n v="0"/>
  </r>
  <r>
    <s v="Munger"/>
    <s v="10-16 Apr"/>
    <n v="1057"/>
    <s v="Warisnagar"/>
    <x v="928"/>
    <s v="Nauapokhar"/>
    <s v="MPG"/>
    <s v="Direct"/>
    <n v="148.01"/>
    <n v="6645.7199999999993"/>
    <n v="152.60000000000002"/>
    <n v="6666.7852942006011"/>
    <n v="0"/>
    <n v="0"/>
    <n v="152.60000000000002"/>
    <n v="6666.7852942006011"/>
    <n v="6645.7199999999993"/>
    <n v="0"/>
    <n v="0"/>
    <n v="21.065294200601784"/>
    <n v="0"/>
    <n v="0"/>
    <n v="0"/>
    <n v="6646"/>
    <n v="0"/>
    <n v="0"/>
    <n v="0"/>
    <n v="0"/>
    <n v="495.69231576244852"/>
    <n v="21.144285714285711"/>
    <n v="-3.1697534955733592E-3"/>
    <n v="1"/>
    <m/>
    <s v="Warisnagar"/>
    <m/>
    <n v="0"/>
  </r>
  <r>
    <s v="Munger"/>
    <s v="10-16 Apr"/>
    <n v="1057"/>
    <s v="Warisnagar"/>
    <x v="929"/>
    <s v="Erout 2"/>
    <s v="vlc"/>
    <s v="Indirect"/>
    <n v="329.69999999999993"/>
    <n v="12959.619999999997"/>
    <n v="0"/>
    <n v="0"/>
    <n v="0"/>
    <n v="0"/>
    <n v="0"/>
    <n v="0"/>
    <n v="12959.619999999997"/>
    <n v="0"/>
    <n v="0"/>
    <n v="0"/>
    <n v="0"/>
    <n v="0"/>
    <n v="0"/>
    <n v="0"/>
    <n v="0"/>
    <n v="12959.619999999997"/>
    <n v="0"/>
    <n v="0"/>
    <n v="291.10993545647568"/>
    <n v="47.099999999999987"/>
    <n v="0"/>
    <n v="0"/>
    <m/>
    <s v="Warisnagar"/>
    <m/>
    <n v="0"/>
  </r>
  <r>
    <s v="Munger"/>
    <s v="10-16 Apr"/>
    <n v="1057"/>
    <s v="Warisnagar"/>
    <x v="930"/>
    <s v="Parsuram"/>
    <s v="vlc"/>
    <s v="Indirect"/>
    <n v="163"/>
    <n v="5209.8099999999995"/>
    <n v="0"/>
    <n v="0"/>
    <n v="0"/>
    <n v="0"/>
    <n v="0"/>
    <n v="0"/>
    <n v="5209.8099999999995"/>
    <n v="0"/>
    <n v="0"/>
    <n v="0"/>
    <n v="0"/>
    <n v="0"/>
    <n v="0"/>
    <n v="0"/>
    <n v="0"/>
    <n v="5209.8099999999995"/>
    <n v="0"/>
    <n v="0"/>
    <n v="343.27214355828221"/>
    <n v="23.285714285714285"/>
    <n v="0"/>
    <n v="0"/>
    <m/>
    <s v="Warisnagar"/>
    <m/>
    <n v="0"/>
  </r>
  <r>
    <s v="Munger"/>
    <s v="10-16 Apr"/>
    <n v="1057"/>
    <s v="Warisnagar"/>
    <x v="931"/>
    <s v="Gudarghat"/>
    <s v="vlc"/>
    <s v="Indirect"/>
    <n v="286.2"/>
    <n v="11505.449999999999"/>
    <n v="0"/>
    <n v="0"/>
    <n v="0"/>
    <n v="0"/>
    <n v="0"/>
    <n v="0"/>
    <n v="11505.449999999999"/>
    <n v="0"/>
    <n v="0"/>
    <n v="0"/>
    <n v="0"/>
    <n v="0"/>
    <n v="0"/>
    <n v="0"/>
    <n v="0"/>
    <n v="11505.449999999999"/>
    <n v="0"/>
    <n v="0"/>
    <n v="332.70127253668761"/>
    <n v="40.885714285714286"/>
    <n v="0"/>
    <n v="0"/>
    <m/>
    <s v="Warisnagar"/>
    <m/>
    <n v="0"/>
  </r>
  <r>
    <s v="Munger"/>
    <s v="10-16 Apr"/>
    <n v="1057"/>
    <s v="Warisnagar"/>
    <x v="1027"/>
    <s v="Siripur Gohar"/>
    <s v="MPG"/>
    <s v="Direct"/>
    <n v="659.90000000000009"/>
    <n v="24077.39"/>
    <n v="659.90000000000009"/>
    <n v="24076.233157680006"/>
    <n v="0"/>
    <n v="0"/>
    <n v="659.90000000000009"/>
    <n v="24076.233157680006"/>
    <n v="24076.233157680006"/>
    <n v="0"/>
    <n v="0"/>
    <n v="0"/>
    <n v="0"/>
    <n v="0"/>
    <n v="0"/>
    <n v="24076"/>
    <n v="0"/>
    <n v="0"/>
    <n v="1"/>
    <n v="0"/>
    <n v="29.262110592513931"/>
    <n v="94.271428571428586"/>
    <n v="4.8046832318341073E-5"/>
    <n v="1"/>
    <m/>
    <s v="Warisnagar"/>
    <m/>
    <n v="0"/>
  </r>
  <r>
    <s v="Munger"/>
    <s v="10-16 Apr"/>
    <n v="1057"/>
    <s v="Warisnagar"/>
    <x v="1028"/>
    <s v="Sedukha"/>
    <s v="MPG"/>
    <s v="Direct"/>
    <n v="139.9"/>
    <n v="5479"/>
    <n v="139.9"/>
    <n v="5473.2415003200003"/>
    <n v="0"/>
    <n v="0"/>
    <n v="139.9"/>
    <n v="5473.2415003200003"/>
    <n v="5473.2415003200003"/>
    <n v="0"/>
    <n v="0"/>
    <n v="0"/>
    <n v="0"/>
    <n v="0"/>
    <n v="0"/>
    <n v="5473"/>
    <n v="0"/>
    <n v="0"/>
    <n v="6"/>
    <n v="0"/>
    <n v="438.7116368834881"/>
    <n v="19.985714285714288"/>
    <n v="1.0510129001642012E-3"/>
    <n v="1"/>
    <m/>
    <s v="Warisnagar"/>
    <m/>
    <n v="0"/>
  </r>
  <r>
    <s v="Munger"/>
    <s v="10-16 Apr"/>
    <n v="1057"/>
    <s v="Warisnagar"/>
    <x v="933"/>
    <s v="Madhuban 2"/>
    <s v="vlc"/>
    <s v="Indirect"/>
    <n v="409.30000000000007"/>
    <n v="14401.7"/>
    <n v="0"/>
    <n v="0"/>
    <n v="0"/>
    <n v="0"/>
    <n v="0"/>
    <n v="0"/>
    <n v="14401.7"/>
    <n v="0"/>
    <n v="0"/>
    <n v="0"/>
    <n v="0"/>
    <n v="0"/>
    <n v="0"/>
    <n v="0"/>
    <n v="0"/>
    <n v="14401.7"/>
    <n v="0"/>
    <n v="0"/>
    <n v="204.57240117273389"/>
    <n v="58.471428571428582"/>
    <n v="0"/>
    <n v="0"/>
    <m/>
    <s v="Warisnagar"/>
    <m/>
    <n v="0"/>
  </r>
  <r>
    <s v="Munger"/>
    <s v="10-16 Apr"/>
    <n v="1057"/>
    <s v="Warisnagar"/>
    <x v="934"/>
    <s v="Yadav Jee"/>
    <s v="vlc"/>
    <s v="Indirect"/>
    <n v="105.7"/>
    <n v="3711.8299999999995"/>
    <n v="0"/>
    <n v="0"/>
    <n v="0"/>
    <n v="0"/>
    <n v="0"/>
    <n v="0"/>
    <n v="3711.8299999999995"/>
    <n v="0"/>
    <n v="0"/>
    <n v="0"/>
    <n v="0"/>
    <n v="0"/>
    <n v="0"/>
    <n v="0"/>
    <n v="0"/>
    <n v="3711.8299999999995"/>
    <n v="0"/>
    <n v="0"/>
    <n v="417.39651258278144"/>
    <n v="15.1"/>
    <n v="0"/>
    <n v="0"/>
    <m/>
    <s v="Warisnagar"/>
    <m/>
    <n v="0"/>
  </r>
  <r>
    <s v="Munger"/>
    <s v="10-16 Apr"/>
    <n v="1057"/>
    <s v="Warisnagar"/>
    <x v="1050"/>
    <s v="Durgaashtan 2"/>
    <s v="vlc"/>
    <s v="Indirect"/>
    <n v="156.19999999999999"/>
    <n v="5333.0300000000007"/>
    <n v="0"/>
    <n v="0"/>
    <n v="0"/>
    <n v="0"/>
    <n v="0"/>
    <n v="0"/>
    <n v="5333.0300000000007"/>
    <n v="0"/>
    <n v="0"/>
    <n v="0"/>
    <n v="0"/>
    <n v="0"/>
    <n v="0"/>
    <n v="0"/>
    <n v="0"/>
    <n v="5333.0300000000007"/>
    <n v="0"/>
    <n v="0"/>
    <n v="371.33184558258648"/>
    <n v="22.314285714285713"/>
    <n v="0"/>
    <n v="0"/>
    <m/>
    <s v="Warisnagar"/>
    <m/>
    <n v="0"/>
  </r>
  <r>
    <s v="Munger"/>
    <s v="10-16 Apr"/>
    <n v="1057"/>
    <s v="Warisnagar"/>
    <x v="935"/>
    <s v="Durgaashtan "/>
    <s v="vlc"/>
    <s v="Indirect"/>
    <n v="150.30000000000001"/>
    <n v="5178.8700000000008"/>
    <n v="0"/>
    <n v="0"/>
    <n v="0"/>
    <n v="0"/>
    <n v="0"/>
    <n v="0"/>
    <n v="5178.8700000000008"/>
    <n v="0"/>
    <n v="0"/>
    <n v="0"/>
    <n v="0"/>
    <n v="0"/>
    <n v="0"/>
    <n v="0"/>
    <n v="0"/>
    <n v="5178.8700000000008"/>
    <n v="0"/>
    <n v="0"/>
    <n v="378.81900718562872"/>
    <n v="21.471428571428572"/>
    <n v="0"/>
    <n v="0"/>
    <m/>
    <s v="Warisnagar"/>
    <m/>
    <n v="0"/>
  </r>
  <r>
    <s v="Munger"/>
    <s v="10-16 Apr"/>
    <n v="1062"/>
    <s v="Singhia BMC"/>
    <x v="937"/>
    <s v="DUMRA "/>
    <s v="MPG"/>
    <s v="Direct"/>
    <n v="354.4"/>
    <n v="13303.150000000001"/>
    <n v="359.79999999999995"/>
    <n v="13109.588729312502"/>
    <n v="5.1999999999999993"/>
    <n v="186.43821550200002"/>
    <n v="364.99999999999994"/>
    <n v="13296.026944814501"/>
    <n v="13296.026944814501"/>
    <n v="0"/>
    <n v="186.43821550200002"/>
    <n v="0"/>
    <n v="0"/>
    <n v="0"/>
    <n v="0"/>
    <n v="13109"/>
    <n v="0"/>
    <n v="0"/>
    <n v="8"/>
    <n v="0"/>
    <n v="259.45646952595945"/>
    <n v="50.628571428571426"/>
    <n v="5.3544124402871206E-4"/>
    <n v="6"/>
    <m/>
    <s v="Singhia BMC"/>
    <m/>
    <n v="0"/>
  </r>
  <r>
    <s v="Munger"/>
    <s v="10-16 Apr"/>
    <n v="1062"/>
    <s v="Singhia BMC"/>
    <x v="1051"/>
    <s v="DIHA"/>
    <s v="MPG"/>
    <s v="Direct"/>
    <n v="12.100000000000001"/>
    <n v="411.22999999999996"/>
    <n v="12.100000000000001"/>
    <n v="411.23305080000011"/>
    <n v="0"/>
    <n v="0"/>
    <n v="12.100000000000001"/>
    <n v="411.23305080000011"/>
    <n v="411.22999999999996"/>
    <n v="0"/>
    <n v="0"/>
    <n v="3.0508000001532309E-3"/>
    <n v="0"/>
    <n v="0"/>
    <n v="0"/>
    <n v="411"/>
    <n v="0"/>
    <n v="0"/>
    <n v="0"/>
    <n v="0"/>
    <n v="467.57870578512393"/>
    <n v="1.7285714285714289"/>
    <n v="-7.4187194517745085E-6"/>
    <n v="1"/>
    <m/>
    <s v="Singhia BMC"/>
    <m/>
    <n v="0"/>
  </r>
  <r>
    <s v="Munger"/>
    <s v="10-16 Apr"/>
    <n v="1062"/>
    <s v="Singhia BMC"/>
    <x v="938"/>
    <s v="BALHA"/>
    <s v="MPG"/>
    <s v="Direct"/>
    <n v="502.5"/>
    <n v="20021.289999999997"/>
    <n v="500.90000000000009"/>
    <n v="19964.595588299999"/>
    <n v="0.85000000000000042"/>
    <n v="33.971149080000004"/>
    <n v="501.75000000000011"/>
    <n v="19998.566737379999"/>
    <n v="19998.566737379999"/>
    <n v="0"/>
    <n v="33.971149080000004"/>
    <n v="0"/>
    <n v="0"/>
    <n v="0"/>
    <n v="0"/>
    <n v="19965"/>
    <n v="0"/>
    <n v="0"/>
    <n v="22"/>
    <n v="0"/>
    <n v="157.38128457711437"/>
    <n v="71.785714285714292"/>
    <n v="1.134954971432831E-3"/>
    <n v="2"/>
    <m/>
    <s v="Singhia BMC"/>
    <m/>
    <n v="0"/>
  </r>
  <r>
    <s v="Munger"/>
    <s v="10-16 Apr"/>
    <n v="1062"/>
    <s v="Singhia BMC"/>
    <x v="939"/>
    <s v="BHARIHAR"/>
    <s v="MPG"/>
    <s v="Direct"/>
    <n v="82.499999999999986"/>
    <n v="3502.67"/>
    <n v="81.449999999999989"/>
    <n v="3431.6356476600008"/>
    <n v="0.3"/>
    <n v="12.817533960000002"/>
    <n v="81.749999999999986"/>
    <n v="3444.453181620001"/>
    <n v="3444.453181620001"/>
    <n v="0"/>
    <n v="12.817533960000002"/>
    <n v="0"/>
    <n v="0"/>
    <n v="0"/>
    <n v="0"/>
    <n v="3432"/>
    <n v="0"/>
    <n v="0"/>
    <n v="58"/>
    <n v="0"/>
    <n v="524.33908484848496"/>
    <n v="11.785714285714283"/>
    <n v="1.6620697462221404E-2"/>
    <n v="2"/>
    <m/>
    <s v="Singhia BMC"/>
    <m/>
    <n v="0"/>
  </r>
  <r>
    <s v="Munger"/>
    <s v="10-16 Apr"/>
    <n v="1062"/>
    <s v="Singhia BMC"/>
    <x v="940"/>
    <s v="BARA"/>
    <s v="MPG"/>
    <s v="Direct"/>
    <n v="190.7"/>
    <n v="7735.81"/>
    <n v="188.7"/>
    <n v="7672.4588680667002"/>
    <n v="1.2500000000000002"/>
    <n v="51.8154557047"/>
    <n v="189.95"/>
    <n v="7724.2743237714003"/>
    <n v="7724.2743237714003"/>
    <n v="0"/>
    <n v="51.8154557047"/>
    <n v="0"/>
    <n v="0"/>
    <n v="0"/>
    <n v="0"/>
    <n v="7672"/>
    <n v="0"/>
    <n v="0"/>
    <n v="12"/>
    <n v="0"/>
    <n v="413.19853518615639"/>
    <n v="27.24285714285714"/>
    <n v="1.4912046997793502E-3"/>
    <n v="2"/>
    <m/>
    <s v="Singhia BMC"/>
    <m/>
    <n v="0"/>
  </r>
  <r>
    <s v="Munger"/>
    <s v="10-16 Apr"/>
    <n v="1062"/>
    <s v="Singhia BMC"/>
    <x v="941"/>
    <s v="KABILASHI"/>
    <s v="MPG"/>
    <s v="Direct"/>
    <n v="132"/>
    <n v="6285.5"/>
    <n v="100.09999999999998"/>
    <n v="5040.5891599373008"/>
    <n v="29.900000000000002"/>
    <n v="1451.8106955772"/>
    <n v="129.99999999999997"/>
    <n v="6492.3998555145008"/>
    <n v="6285.5"/>
    <n v="0"/>
    <n v="175.17055361200002"/>
    <n v="206.89985551450081"/>
    <n v="0"/>
    <n v="0"/>
    <n v="0"/>
    <n v="4833"/>
    <n v="1277"/>
    <n v="0"/>
    <n v="0"/>
    <n v="0"/>
    <n v="540.93393939393934"/>
    <n v="18.857142857142858"/>
    <n v="-3.2917008275316337E-2"/>
    <n v="9"/>
    <m/>
    <s v="Singhia BMC"/>
    <m/>
    <n v="0"/>
  </r>
  <r>
    <s v="Munger"/>
    <s v="10-16 Apr"/>
    <n v="1062"/>
    <s v="Singhia BMC"/>
    <x v="942"/>
    <s v="SULTANPUR"/>
    <s v="vlc"/>
    <s v="Indirect"/>
    <n v="234.20000000000002"/>
    <n v="9931.82"/>
    <n v="0"/>
    <n v="0"/>
    <n v="0"/>
    <n v="0"/>
    <n v="0"/>
    <n v="0"/>
    <n v="9931.82"/>
    <n v="0"/>
    <n v="0"/>
    <n v="0"/>
    <n v="0"/>
    <n v="0"/>
    <n v="0"/>
    <n v="0"/>
    <n v="0"/>
    <n v="9931.82"/>
    <n v="0"/>
    <n v="0"/>
    <n v="395.06761366353538"/>
    <n v="33.457142857142863"/>
    <n v="0"/>
    <n v="0"/>
    <m/>
    <s v="Singhia BMC"/>
    <m/>
    <n v="0"/>
  </r>
  <r>
    <s v="Munger"/>
    <s v="10-16 Apr"/>
    <n v="1062"/>
    <s v="Singhia BMC"/>
    <x v="943"/>
    <s v="SUKUMARPUR"/>
    <s v="MPG"/>
    <s v="Direct"/>
    <n v="267.09999999999997"/>
    <n v="11881.959999999997"/>
    <n v="267.09999999999997"/>
    <n v="11881.990535284403"/>
    <n v="0"/>
    <n v="0"/>
    <n v="267.09999999999997"/>
    <n v="11881.990535284403"/>
    <n v="11881.959999999997"/>
    <n v="0"/>
    <n v="0"/>
    <n v="3.0535284406141727E-2"/>
    <n v="0"/>
    <n v="0"/>
    <n v="0"/>
    <n v="11882"/>
    <n v="0"/>
    <n v="0"/>
    <n v="0"/>
    <n v="0"/>
    <n v="385.15166484462748"/>
    <n v="38.157142857142851"/>
    <n v="-2.5698861472468965E-6"/>
    <n v="1"/>
    <m/>
    <s v="Singhia BMC"/>
    <m/>
    <n v="0"/>
  </r>
  <r>
    <s v="Munger"/>
    <s v="10-16 Apr"/>
    <n v="1062"/>
    <s v="Singhia BMC"/>
    <x v="944"/>
    <s v="SISAUNA VLC"/>
    <s v="vlc"/>
    <s v="Indirect"/>
    <n v="192.8"/>
    <n v="8343.09"/>
    <n v="0"/>
    <n v="0"/>
    <n v="0"/>
    <n v="0"/>
    <n v="0"/>
    <n v="0"/>
    <n v="8343.09"/>
    <n v="0"/>
    <n v="0"/>
    <n v="0"/>
    <n v="0"/>
    <n v="0"/>
    <n v="0"/>
    <n v="0"/>
    <n v="0"/>
    <n v="8343.09"/>
    <n v="0"/>
    <n v="0"/>
    <n v="438.96423734439838"/>
    <n v="27.542857142857144"/>
    <n v="0"/>
    <n v="0"/>
    <m/>
    <s v="Singhia BMC"/>
    <m/>
    <n v="0"/>
  </r>
  <r>
    <s v="Munger"/>
    <s v="10-16 Apr"/>
    <n v="1062"/>
    <s v="Singhia BMC"/>
    <x v="945"/>
    <s v="Aditya Bishwas "/>
    <s v="vlc"/>
    <s v="Indirect"/>
    <n v="270.79999999999995"/>
    <n v="11794.080000000002"/>
    <n v="0"/>
    <n v="0"/>
    <n v="0"/>
    <n v="0"/>
    <n v="0"/>
    <n v="0"/>
    <n v="11794.080000000002"/>
    <n v="0"/>
    <n v="0"/>
    <n v="0"/>
    <n v="0"/>
    <n v="0"/>
    <n v="0"/>
    <n v="0"/>
    <n v="0"/>
    <n v="11794.080000000002"/>
    <n v="0"/>
    <n v="0"/>
    <n v="373.85665701624828"/>
    <n v="38.685714285714276"/>
    <n v="0"/>
    <n v="0"/>
    <m/>
    <s v="Singhia BMC"/>
    <m/>
    <n v="0"/>
  </r>
  <r>
    <s v="Munger"/>
    <s v="10-16 Apr"/>
    <n v="1065"/>
    <s v="Bachhwara BMC"/>
    <x v="946"/>
    <s v="Gomukh Vijaiya"/>
    <s v="MPG"/>
    <s v="Direct"/>
    <n v="172.1"/>
    <n v="8165.09"/>
    <n v="171.29999999999998"/>
    <n v="9060.2030175860018"/>
    <n v="0"/>
    <n v="0"/>
    <n v="171.29999999999998"/>
    <n v="9060.2030175860018"/>
    <n v="8165.09"/>
    <n v="0"/>
    <n v="0"/>
    <n v="895.11301758600166"/>
    <n v="0"/>
    <n v="0"/>
    <n v="0"/>
    <n v="8165"/>
    <n v="0"/>
    <n v="0"/>
    <n v="0"/>
    <n v="0"/>
    <n v="500.91237780360257"/>
    <n v="24.585714285714285"/>
    <n v="-0.10962684031480384"/>
    <n v="3"/>
    <m/>
    <s v="Bachhwara BMC"/>
    <m/>
    <n v="0"/>
  </r>
  <r>
    <s v="Munger"/>
    <s v="10-16 Apr"/>
    <n v="1065"/>
    <s v="Bachhwara BMC"/>
    <x v="947"/>
    <s v="Gomukh Gangauli"/>
    <s v="MPG"/>
    <s v="Direct"/>
    <n v="952.80000000000007"/>
    <n v="39146.910000000003"/>
    <n v="956.10000000000014"/>
    <n v="38924.169216534981"/>
    <n v="0"/>
    <n v="0"/>
    <n v="956.10000000000014"/>
    <n v="38924.169216534981"/>
    <n v="38924.169216534981"/>
    <n v="0"/>
    <n v="0"/>
    <n v="0"/>
    <n v="0"/>
    <n v="0"/>
    <n v="0"/>
    <n v="38923"/>
    <n v="0"/>
    <n v="0"/>
    <n v="224"/>
    <n v="0"/>
    <n v="0"/>
    <n v="0"/>
    <n v="5.6898688418836147E-3"/>
    <n v="15"/>
    <m/>
    <s v="Bachhwara BMC"/>
    <m/>
    <n v="0"/>
  </r>
  <r>
    <s v="Munger"/>
    <s v="10-16 Apr"/>
    <n v="1065"/>
    <s v="Bachhwara BMC"/>
    <x v="948"/>
    <s v="Gomukh KARRAKH"/>
    <s v="MPG"/>
    <s v="Direct"/>
    <n v="400.59999999999997"/>
    <n v="15641.86"/>
    <n v="375.29999999999995"/>
    <n v="13769.294133258321"/>
    <n v="0"/>
    <n v="0"/>
    <n v="375.29999999999995"/>
    <n v="13769.294133258321"/>
    <n v="13769.294133258321"/>
    <n v="0"/>
    <n v="0"/>
    <n v="0"/>
    <n v="0"/>
    <n v="0"/>
    <n v="0"/>
    <n v="13769"/>
    <n v="0"/>
    <n v="0"/>
    <n v="1873"/>
    <n v="0"/>
    <n v="233.80793230154774"/>
    <n v="57.228571428571421"/>
    <n v="0.11971503815669486"/>
    <n v="4"/>
    <m/>
    <s v="Bachhwara BMC"/>
    <m/>
    <n v="0"/>
  </r>
  <r>
    <s v="Munger"/>
    <s v="10-16 Apr"/>
    <n v="1065"/>
    <s v="Bachhwara BMC"/>
    <x v="949"/>
    <s v="MANDA"/>
    <s v="vlc"/>
    <s v="Indirect"/>
    <n v="116.7"/>
    <n v="4727.71"/>
    <n v="0"/>
    <n v="0"/>
    <n v="0"/>
    <n v="0"/>
    <n v="0"/>
    <n v="0"/>
    <n v="4727.71"/>
    <n v="0"/>
    <n v="0"/>
    <n v="0"/>
    <n v="0"/>
    <n v="0"/>
    <n v="0"/>
    <n v="0"/>
    <n v="0"/>
    <n v="4727.71"/>
    <n v="0"/>
    <n v="0"/>
    <n v="472.60895338474717"/>
    <n v="16.671428571428571"/>
    <n v="0"/>
    <n v="0"/>
    <m/>
    <s v="Bachhwara BMC"/>
    <m/>
    <n v="0"/>
  </r>
  <r>
    <s v="Munger"/>
    <s v="10-16 Apr"/>
    <n v="1065"/>
    <s v="Bachhwara BMC"/>
    <x v="950"/>
    <s v="KASHTOLI"/>
    <s v="vlc"/>
    <s v="Indirect"/>
    <n v="144.19999999999999"/>
    <n v="5176.58"/>
    <n v="0"/>
    <n v="0"/>
    <n v="0"/>
    <n v="0"/>
    <n v="0"/>
    <n v="0"/>
    <n v="5176.58"/>
    <n v="0"/>
    <n v="0"/>
    <n v="0"/>
    <n v="0"/>
    <n v="0"/>
    <n v="0"/>
    <n v="0"/>
    <n v="0"/>
    <n v="5176.58"/>
    <n v="0"/>
    <n v="0"/>
    <n v="399.04898252427193"/>
    <n v="20.599999999999998"/>
    <n v="0"/>
    <n v="0"/>
    <m/>
    <s v="Bachhwara BMC"/>
    <m/>
    <n v="0"/>
  </r>
  <r>
    <s v="Munger"/>
    <s v="10-16 Apr"/>
    <n v="1065"/>
    <s v="Bachhwara BMC"/>
    <x v="1052"/>
    <s v="HAWASPUR"/>
    <s v="vlc"/>
    <s v="Indirect"/>
    <n v="107.50000000000001"/>
    <n v="3809.67"/>
    <n v="0"/>
    <n v="0"/>
    <n v="0"/>
    <n v="0"/>
    <n v="0"/>
    <n v="0"/>
    <n v="3809.67"/>
    <n v="0"/>
    <n v="0"/>
    <n v="0"/>
    <n v="0"/>
    <n v="0"/>
    <n v="0"/>
    <n v="0"/>
    <n v="0"/>
    <n v="3809.67"/>
    <n v="0"/>
    <n v="0"/>
    <n v="419.94966976744183"/>
    <n v="15.357142857142859"/>
    <n v="0"/>
    <n v="0"/>
    <m/>
    <s v="Bachhwara BMC"/>
    <m/>
    <n v="0"/>
  </r>
  <r>
    <s v="Munger"/>
    <s v="10-16 Apr"/>
    <n v="1065"/>
    <s v="Bachhwara BMC"/>
    <x v="1029"/>
    <s v="Fateha"/>
    <s v="vlc"/>
    <s v="Indirect"/>
    <n v="813"/>
    <n v="27877.899999999998"/>
    <n v="0"/>
    <n v="0"/>
    <n v="0"/>
    <n v="0"/>
    <n v="0"/>
    <n v="0"/>
    <n v="27877.899999999998"/>
    <n v="0"/>
    <n v="0"/>
    <n v="0"/>
    <n v="0"/>
    <n v="0"/>
    <n v="0"/>
    <n v="0"/>
    <n v="0"/>
    <n v="27877.899999999998"/>
    <n v="0"/>
    <n v="0"/>
    <n v="0"/>
    <n v="0"/>
    <n v="0"/>
    <n v="0"/>
    <m/>
    <s v="Bachhwara BMC"/>
    <m/>
    <n v="0"/>
  </r>
  <r>
    <s v="Munger"/>
    <s v="17-23 Apr"/>
    <n v="1001"/>
    <s v="Majhaul"/>
    <x v="0"/>
    <s v="Gomukh Kumbhi"/>
    <s v="MPG"/>
    <s v="Direct"/>
    <n v="456.8"/>
    <n v="17325.36"/>
    <n v="453.80999999999995"/>
    <n v="16997.404658919175"/>
    <n v="2.6700000000000004"/>
    <n v="100.79550795600001"/>
    <n v="456.47999999999996"/>
    <n v="17098.200166875176"/>
    <n v="17098.200166875176"/>
    <n v="0"/>
    <n v="100.79550795600001"/>
    <n v="0"/>
    <n v="1166"/>
    <n v="0"/>
    <n v="0"/>
    <n v="15829"/>
    <n v="0"/>
    <n v="0"/>
    <n v="230"/>
    <n v="0"/>
    <n v="184.4801905429072"/>
    <n v="65.257142857142853"/>
    <n v="1.3111406234838653E-2"/>
    <n v="18"/>
    <m/>
    <s v="Majhaul"/>
    <m/>
    <n v="0"/>
  </r>
  <r>
    <s v="Munger"/>
    <s v="17-23 Apr"/>
    <n v="1008"/>
    <s v="Teghra"/>
    <x v="1"/>
    <s v="Gomukh Amba"/>
    <s v="MPG"/>
    <s v="Direct"/>
    <n v="33"/>
    <n v="1102.6099999999999"/>
    <n v="33"/>
    <n v="1068.55866414"/>
    <n v="0"/>
    <n v="0"/>
    <n v="33"/>
    <n v="1068.55866414"/>
    <n v="1068.55866414"/>
    <n v="0"/>
    <n v="0"/>
    <n v="0"/>
    <n v="0"/>
    <n v="67.318739999999991"/>
    <n v="0"/>
    <n v="1001"/>
    <n v="0"/>
    <n v="0"/>
    <n v="34"/>
    <n v="0"/>
    <n v="445.72173939393934"/>
    <n v="4.7142857142857144"/>
    <n v="3.088248416031043E-2"/>
    <n v="1"/>
    <m/>
    <s v="Teghra"/>
    <m/>
    <n v="0"/>
  </r>
  <r>
    <s v="Munger"/>
    <s v="17-23 Apr"/>
    <n v="1001"/>
    <s v="Majhaul"/>
    <x v="2"/>
    <s v="Gomukh Jagdar                                                                                       "/>
    <s v="MPG"/>
    <s v="Direct"/>
    <n v="966.4000000000002"/>
    <n v="38065.42"/>
    <n v="961.37"/>
    <n v="39721.218455741393"/>
    <n v="9.3200000000000021"/>
    <n v="350.95648385160007"/>
    <n v="970.69"/>
    <n v="40072.174939592995"/>
    <n v="38065.42"/>
    <n v="0"/>
    <n v="350.95648385160007"/>
    <n v="2006.7549395929964"/>
    <n v="0"/>
    <n v="0"/>
    <n v="0"/>
    <n v="37714"/>
    <n v="0"/>
    <n v="0"/>
    <n v="0"/>
    <n v="0"/>
    <n v="0"/>
    <n v="0"/>
    <n v="-5.2718581315876624E-2"/>
    <n v="10"/>
    <m/>
    <s v="Majhaul"/>
    <m/>
    <n v="0"/>
  </r>
  <r>
    <s v="Munger"/>
    <s v="17-23 Apr"/>
    <n v="1058"/>
    <s v="Hasanpur"/>
    <x v="3"/>
    <s v="Gomukh Goriyari"/>
    <s v="MPG"/>
    <s v="Direct"/>
    <n v="871.19999999999993"/>
    <n v="32838.46"/>
    <n v="674.7"/>
    <n v="25443.390828240004"/>
    <n v="196.29999999999998"/>
    <n v="7353.6972260400016"/>
    <n v="871"/>
    <n v="32797.088054280008"/>
    <n v="32797.088054280008"/>
    <n v="0"/>
    <n v="191.40561000000002"/>
    <n v="0"/>
    <n v="0"/>
    <n v="0"/>
    <n v="0"/>
    <n v="25443"/>
    <n v="7162"/>
    <n v="0"/>
    <n v="42"/>
    <n v="0"/>
    <n v="0"/>
    <n v="0"/>
    <n v="1.2598625428839035E-3"/>
    <n v="7"/>
    <m/>
    <s v="Hasanpur"/>
    <m/>
    <n v="0"/>
  </r>
  <r>
    <s v="Munger"/>
    <s v="17-23 Apr"/>
    <n v="1058"/>
    <s v="Hasanpur"/>
    <x v="4"/>
    <s v="Gomukh Kanausi"/>
    <s v="MPG"/>
    <s v="Direct"/>
    <n v="396.8"/>
    <n v="15388.63"/>
    <n v="243.2"/>
    <n v="9549.3569688000007"/>
    <n v="153.39999999999998"/>
    <n v="5768.1925499879999"/>
    <n v="396.59999999999997"/>
    <n v="15317.549518788001"/>
    <n v="15317.549518788001"/>
    <n v="0"/>
    <n v="147.844224"/>
    <n v="0"/>
    <n v="0"/>
    <n v="0"/>
    <n v="0"/>
    <n v="9549"/>
    <n v="5621"/>
    <n v="0"/>
    <n v="71"/>
    <n v="0"/>
    <n v="235.17301491935478"/>
    <n v="56.68571428571429"/>
    <n v="4.6190259439598353E-3"/>
    <n v="5"/>
    <m/>
    <s v="Hasanpur"/>
    <m/>
    <n v="0"/>
  </r>
  <r>
    <s v="Munger"/>
    <s v="17-23 Apr"/>
    <n v="1001"/>
    <s v="Majhaul"/>
    <x v="952"/>
    <s v="Mohanpur - Chandan"/>
    <s v="vlc"/>
    <s v="Indirect"/>
    <n v="38.6"/>
    <n v="1559.05"/>
    <n v="0"/>
    <n v="0"/>
    <n v="0"/>
    <n v="0"/>
    <n v="0"/>
    <n v="0"/>
    <n v="1559.05"/>
    <n v="0"/>
    <n v="0"/>
    <n v="0"/>
    <n v="0"/>
    <n v="0"/>
    <n v="0"/>
    <n v="0"/>
    <n v="0"/>
    <n v="1559.05"/>
    <n v="0"/>
    <n v="0"/>
    <n v="534.27754922279792"/>
    <n v="5.5142857142857142"/>
    <n v="0"/>
    <n v="0"/>
    <m/>
    <s v="Majhaul"/>
    <m/>
    <n v="0"/>
  </r>
  <r>
    <s v="Munger"/>
    <s v="17-23 Apr"/>
    <n v="1001"/>
    <s v="Majhaul"/>
    <x v="5"/>
    <s v="Birpur-2 - Pankaj"/>
    <s v="vlc"/>
    <s v="Indirect"/>
    <n v="426.20000000000005"/>
    <n v="15309.81"/>
    <n v="0"/>
    <n v="0"/>
    <n v="0"/>
    <n v="0"/>
    <n v="0"/>
    <n v="0"/>
    <n v="15309.81"/>
    <n v="0"/>
    <n v="0"/>
    <n v="0"/>
    <n v="0"/>
    <n v="1553.2433225806453"/>
    <n v="0"/>
    <n v="0"/>
    <n v="0"/>
    <n v="13756.566677419354"/>
    <n v="0"/>
    <n v="0"/>
    <n v="196.70699099014539"/>
    <n v="60.885714285714293"/>
    <n v="0"/>
    <n v="0"/>
    <m/>
    <s v="Majhaul"/>
    <m/>
    <n v="0"/>
  </r>
  <r>
    <s v="Munger"/>
    <s v="17-23 Apr"/>
    <n v="1058"/>
    <s v="Hasanpur"/>
    <x v="6"/>
    <s v="Ekamba - Ashutosh"/>
    <s v="vlc"/>
    <s v="Indirect"/>
    <n v="617.1"/>
    <n v="24234.240000000002"/>
    <n v="0"/>
    <n v="0"/>
    <n v="0"/>
    <n v="0"/>
    <n v="0"/>
    <n v="0"/>
    <n v="24234.240000000002"/>
    <n v="0"/>
    <n v="0"/>
    <n v="0"/>
    <n v="0"/>
    <n v="33.774696774193828"/>
    <n v="0"/>
    <n v="0"/>
    <n v="0"/>
    <n v="24200.465303225807"/>
    <n v="0"/>
    <n v="0"/>
    <n v="65.111602527953323"/>
    <n v="88.157142857142858"/>
    <n v="0"/>
    <n v="0"/>
    <m/>
    <s v="Hasanpur"/>
    <m/>
    <n v="0"/>
  </r>
  <r>
    <s v="Munger"/>
    <s v="17-23 Apr"/>
    <n v="1058"/>
    <s v="Hasanpur"/>
    <x v="7"/>
    <s v="Gomukh Dunahi"/>
    <s v="MPG"/>
    <s v="Direct"/>
    <n v="346.9"/>
    <n v="13710.949999999999"/>
    <n v="189.3"/>
    <n v="7218.6780481200003"/>
    <n v="159.1"/>
    <n v="5900.1884568000005"/>
    <n v="348.4"/>
    <n v="13118.866504920001"/>
    <n v="13118.866504920001"/>
    <n v="0"/>
    <n v="116.03136599999999"/>
    <n v="0"/>
    <n v="0"/>
    <n v="761.35392857142824"/>
    <n v="0"/>
    <n v="6457"/>
    <n v="5784"/>
    <n v="0"/>
    <n v="593"/>
    <n v="0"/>
    <n v="279.12000259440759"/>
    <n v="49.557142857142857"/>
    <n v="4.3183258277507991E-2"/>
    <n v="7"/>
    <m/>
    <s v="Hasanpur"/>
    <m/>
    <n v="0"/>
  </r>
  <r>
    <s v="Munger"/>
    <s v="17-23 Apr"/>
    <n v="1001"/>
    <s v="Majhaul"/>
    <x v="8"/>
    <s v="GOMUKH BIRPUR PASCHIM                                                                               "/>
    <s v="MPG"/>
    <s v="Direct"/>
    <n v="133"/>
    <n v="5390.09"/>
    <n v="123.80000000000001"/>
    <n v="4742.85651444"/>
    <n v="0.5"/>
    <n v="18.480528"/>
    <n v="124.30000000000001"/>
    <n v="4761.33704244"/>
    <n v="4761.33704244"/>
    <n v="0"/>
    <n v="18.480528"/>
    <n v="0"/>
    <n v="0"/>
    <n v="0"/>
    <n v="0"/>
    <n v="4743"/>
    <n v="0"/>
    <n v="0"/>
    <n v="629"/>
    <n v="0"/>
    <n v="459.57609473684215"/>
    <n v="19"/>
    <n v="0.11664980687892042"/>
    <n v="3"/>
    <m/>
    <s v="Majhaul"/>
    <m/>
    <n v="0"/>
  </r>
  <r>
    <s v="Munger"/>
    <s v="17-23 Apr"/>
    <n v="1001"/>
    <s v="Majhaul"/>
    <x v="10"/>
    <s v="Manish Dairy                                                                                        "/>
    <s v="vlc"/>
    <s v="Indirect"/>
    <n v="9680"/>
    <n v="347517.73000000004"/>
    <n v="0"/>
    <n v="0"/>
    <n v="0"/>
    <n v="0"/>
    <n v="0"/>
    <n v="0"/>
    <n v="347517.73000000004"/>
    <n v="0"/>
    <n v="0"/>
    <n v="0"/>
    <n v="0"/>
    <n v="0"/>
    <n v="0"/>
    <n v="0"/>
    <n v="0"/>
    <n v="347517.73000000004"/>
    <n v="0"/>
    <n v="0"/>
    <n v="0"/>
    <n v="0"/>
    <n v="0"/>
    <n v="0"/>
    <m/>
    <s v="Majhaul"/>
    <m/>
    <n v="0"/>
  </r>
  <r>
    <s v="Munger"/>
    <s v="17-23 Apr"/>
    <n v="1001"/>
    <s v="Majhaul"/>
    <x v="11"/>
    <s v="Gomukh Bhith-02"/>
    <s v="MPG"/>
    <s v="Direct"/>
    <n v="211.1"/>
    <n v="8312.7999999999993"/>
    <n v="118.58999999999999"/>
    <n v="5085.94653732795"/>
    <n v="106.83"/>
    <n v="4566.4845543624997"/>
    <n v="225.42"/>
    <n v="9652.4310916904506"/>
    <n v="8312.7999999999993"/>
    <n v="0"/>
    <n v="0"/>
    <n v="1339.6310916904513"/>
    <n v="0"/>
    <n v="505.64236271186439"/>
    <n v="0"/>
    <n v="3241"/>
    <n v="4566"/>
    <n v="0"/>
    <n v="0"/>
    <n v="0"/>
    <n v="385.04291046897202"/>
    <n v="30.157142857142855"/>
    <n v="-0.16115281153046523"/>
    <n v="6"/>
    <m/>
    <s v="Majhaul"/>
    <m/>
    <n v="0"/>
  </r>
  <r>
    <s v="Munger"/>
    <s v="17-23 Apr"/>
    <n v="1058"/>
    <s v="Hasanpur"/>
    <x v="1053"/>
    <s v="Chandan Dairy"/>
    <s v="vlc"/>
    <s v="Indirect"/>
    <n v="115"/>
    <n v="5509.65"/>
    <n v="0"/>
    <n v="0"/>
    <n v="0"/>
    <n v="0"/>
    <n v="0"/>
    <n v="0"/>
    <n v="5509.65"/>
    <n v="0"/>
    <n v="0"/>
    <n v="0"/>
    <n v="0"/>
    <n v="0"/>
    <n v="0"/>
    <n v="0"/>
    <n v="0"/>
    <n v="5509.65"/>
    <n v="0"/>
    <n v="0"/>
    <n v="560.54700000000003"/>
    <n v="16.428571428571427"/>
    <n v="0"/>
    <n v="0"/>
    <m/>
    <s v="Hasanpur"/>
    <m/>
    <n v="0"/>
  </r>
  <r>
    <s v="Munger"/>
    <s v="17-23 Apr"/>
    <n v="1001"/>
    <s v="Majhaul"/>
    <x v="12"/>
    <s v="Gomukh Sharmatola Sahuri"/>
    <s v="MPG"/>
    <s v="Direct"/>
    <n v="1057"/>
    <n v="39786.19"/>
    <n v="1036.76"/>
    <n v="39210.484407704964"/>
    <n v="23.98"/>
    <n v="1029.1414369922002"/>
    <n v="1060.74"/>
    <n v="40239.625844697162"/>
    <n v="39786.19"/>
    <n v="0"/>
    <n v="0"/>
    <n v="453.43584469716006"/>
    <n v="0"/>
    <n v="0"/>
    <n v="0"/>
    <n v="39169"/>
    <n v="617"/>
    <n v="0"/>
    <n v="0"/>
    <n v="0"/>
    <n v="0"/>
    <n v="0"/>
    <n v="-1.1396814942500401E-2"/>
    <n v="11"/>
    <m/>
    <s v="Majhaul"/>
    <m/>
    <n v="0"/>
  </r>
  <r>
    <s v="Munger"/>
    <s v="17-23 Apr"/>
    <n v="1001"/>
    <s v="Majhaul"/>
    <x v="13"/>
    <s v="Sangat- Sanjeev Kumar"/>
    <s v="vlc"/>
    <s v="Indirect"/>
    <n v="304.39999999999998"/>
    <n v="10239.390000000001"/>
    <n v="0"/>
    <n v="0"/>
    <n v="0"/>
    <n v="0"/>
    <n v="0"/>
    <n v="0"/>
    <n v="10239.390000000001"/>
    <n v="0"/>
    <n v="0"/>
    <n v="0"/>
    <n v="0"/>
    <n v="0"/>
    <n v="0"/>
    <n v="0"/>
    <n v="0"/>
    <n v="10239.390000000001"/>
    <n v="0"/>
    <n v="0"/>
    <n v="266.14340893561109"/>
    <n v="43.48571428571428"/>
    <n v="0"/>
    <n v="0"/>
    <m/>
    <s v="Majhaul"/>
    <m/>
    <n v="0"/>
  </r>
  <r>
    <s v="Munger"/>
    <s v="17-23 Apr"/>
    <n v="1058"/>
    <s v="Hasanpur"/>
    <x v="14"/>
    <s v="Gomukh Garhi Bisanpur"/>
    <s v="MPG"/>
    <s v="Direct"/>
    <n v="156.29999999999995"/>
    <n v="6324.93"/>
    <n v="107.33"/>
    <n v="4643.7986856341795"/>
    <n v="1.9599999999999997"/>
    <n v="86.453378324417997"/>
    <n v="109.28999999999999"/>
    <n v="4730.2520639585973"/>
    <n v="4730.2520639585973"/>
    <n v="0"/>
    <n v="86.453378324417997"/>
    <n v="0"/>
    <n v="0"/>
    <n v="0"/>
    <n v="0"/>
    <n v="4644"/>
    <n v="0"/>
    <n v="0"/>
    <n v="1594"/>
    <n v="0"/>
    <n v="440.03383761996184"/>
    <n v="22.328571428571422"/>
    <n v="0.25212578416542203"/>
    <n v="8"/>
    <m/>
    <s v="Hasanpur"/>
    <m/>
    <n v="0"/>
  </r>
  <r>
    <s v="Munger"/>
    <s v="17-23 Apr"/>
    <n v="1058"/>
    <s v="Hasanpur"/>
    <x v="15"/>
    <s v="Bagaraha-Gopal Yadav"/>
    <s v="vlc"/>
    <s v="Indirect"/>
    <n v="9"/>
    <n v="249.48"/>
    <n v="0"/>
    <n v="0"/>
    <n v="0"/>
    <n v="0"/>
    <n v="0"/>
    <n v="0"/>
    <n v="249.48"/>
    <n v="0"/>
    <n v="0"/>
    <n v="0"/>
    <n v="0"/>
    <n v="0"/>
    <n v="0"/>
    <n v="0"/>
    <n v="0"/>
    <n v="249.48"/>
    <n v="0"/>
    <n v="0"/>
    <n v="383.09040000000005"/>
    <n v="1.2857142857142858"/>
    <n v="0"/>
    <n v="0"/>
    <m/>
    <s v="Hasanpur"/>
    <m/>
    <n v="0"/>
  </r>
  <r>
    <s v="Munger"/>
    <s v="17-23 Apr"/>
    <n v="1058"/>
    <s v="Hasanpur"/>
    <x v="16"/>
    <s v="Gomukh Barkurwa"/>
    <s v="MPG"/>
    <s v="Direct"/>
    <n v="385.1"/>
    <n v="15166.569999999998"/>
    <n v="219.48000000000002"/>
    <n v="8472.2066139149993"/>
    <n v="172.48000000000002"/>
    <n v="7317.0556993359023"/>
    <n v="391.96000000000004"/>
    <n v="15789.262313250902"/>
    <n v="15166.569999999998"/>
    <n v="0"/>
    <n v="390.63564936"/>
    <n v="622.69231325090368"/>
    <n v="0"/>
    <n v="0"/>
    <n v="0"/>
    <n v="7849"/>
    <n v="6927"/>
    <n v="0"/>
    <n v="0"/>
    <n v="0"/>
    <n v="248.03702378602958"/>
    <n v="55.01428571428572"/>
    <n v="-4.1056897719847253E-2"/>
    <n v="19"/>
    <m/>
    <s v="Hasanpur"/>
    <m/>
    <n v="0"/>
  </r>
  <r>
    <s v="Munger"/>
    <s v="17-23 Apr"/>
    <n v="1001"/>
    <s v="Majhaul"/>
    <x v="17"/>
    <s v="Kamla- Amarjeet"/>
    <s v="vlc"/>
    <s v="Indirect"/>
    <n v="171.1"/>
    <n v="4965.97"/>
    <n v="0"/>
    <n v="0"/>
    <n v="0"/>
    <n v="0"/>
    <n v="0"/>
    <n v="0"/>
    <n v="4965.97"/>
    <n v="0"/>
    <n v="0"/>
    <n v="0"/>
    <n v="0"/>
    <n v="445.35870967741948"/>
    <n v="0"/>
    <n v="0"/>
    <n v="0"/>
    <n v="4520.6112903225803"/>
    <n v="0"/>
    <n v="0"/>
    <n v="307.01362162478085"/>
    <n v="24.442857142857143"/>
    <n v="0"/>
    <n v="0"/>
    <m/>
    <s v="Majhaul"/>
    <m/>
    <n v="0"/>
  </r>
  <r>
    <s v="Munger"/>
    <s v="17-23 Apr"/>
    <n v="1058"/>
    <s v="Hasanpur"/>
    <x v="18"/>
    <s v="Gomukh Goha-02"/>
    <s v="MPG"/>
    <s v="Direct"/>
    <n v="361.59999999999997"/>
    <n v="14439.7"/>
    <n v="396.79999999999995"/>
    <n v="15707.1234276"/>
    <n v="5"/>
    <n v="187.44561000000002"/>
    <n v="401.79999999999995"/>
    <n v="15894.5690376"/>
    <n v="14439.7"/>
    <n v="0"/>
    <n v="187.44561000000002"/>
    <n v="1454.8690375999995"/>
    <n v="0"/>
    <n v="0"/>
    <n v="0"/>
    <n v="14252"/>
    <n v="0"/>
    <n v="0"/>
    <n v="0"/>
    <n v="0"/>
    <n v="270.26518141592925"/>
    <n v="51.657142857142851"/>
    <n v="-0.10075479667860132"/>
    <n v="3"/>
    <m/>
    <s v="Hasanpur"/>
    <m/>
    <n v="0"/>
  </r>
  <r>
    <s v="Munger"/>
    <s v="17-23 Apr"/>
    <n v="1001"/>
    <s v="Majhaul"/>
    <x v="19"/>
    <s v="Gomukh Cheria Bariarpur"/>
    <s v="MPG"/>
    <s v="Direct"/>
    <n v="1212.3"/>
    <n v="45977.279999999999"/>
    <n v="1268.0900000000001"/>
    <n v="47753.353182700848"/>
    <n v="2.8600000000000003"/>
    <n v="111.1267747656"/>
    <n v="1270.95"/>
    <n v="47864.47995746645"/>
    <n v="45977.279999999999"/>
    <n v="0"/>
    <n v="111.1267747656"/>
    <n v="1887.1999574664515"/>
    <n v="0"/>
    <n v="0"/>
    <n v="0"/>
    <n v="45866"/>
    <n v="0"/>
    <n v="0"/>
    <n v="0"/>
    <n v="0"/>
    <n v="0"/>
    <n v="0"/>
    <n v="-4.1046359364156633E-2"/>
    <n v="13"/>
    <m/>
    <s v="Majhaul"/>
    <m/>
    <n v="0"/>
  </r>
  <r>
    <s v="Munger"/>
    <s v="17-23 Apr"/>
    <n v="1058"/>
    <s v="Hasanpur"/>
    <x v="20"/>
    <s v="Gomukh Rahul Nagar"/>
    <s v="MPG"/>
    <s v="Direct"/>
    <n v="328.1"/>
    <n v="13756.390000000001"/>
    <n v="345.64"/>
    <n v="15205.948099728401"/>
    <n v="8.26"/>
    <n v="367.75777429860011"/>
    <n v="353.9"/>
    <n v="15573.705874027"/>
    <n v="13756.390000000001"/>
    <n v="0"/>
    <n v="288.95706030660011"/>
    <n v="1817.3158740269992"/>
    <n v="0"/>
    <n v="0"/>
    <n v="0"/>
    <n v="13388"/>
    <n v="79"/>
    <n v="0"/>
    <n v="0"/>
    <n v="0"/>
    <n v="311.85622925937213"/>
    <n v="46.871428571428574"/>
    <n v="-0.13210703346059532"/>
    <n v="9"/>
    <m/>
    <s v="Hasanpur"/>
    <m/>
    <n v="0"/>
  </r>
  <r>
    <s v="Munger"/>
    <s v="17-23 Apr"/>
    <n v="1058"/>
    <s v="Hasanpur"/>
    <x v="21"/>
    <s v="Gomukh Bagraha-01"/>
    <s v="MPG"/>
    <s v="Direct"/>
    <n v="63.099999999999994"/>
    <n v="2558.92"/>
    <n v="123.3"/>
    <n v="4847.5721962799998"/>
    <n v="0"/>
    <n v="0"/>
    <n v="123.3"/>
    <n v="4847.5721962799998"/>
    <n v="2558.92"/>
    <n v="0"/>
    <n v="0"/>
    <n v="2288.6521962799998"/>
    <n v="0"/>
    <n v="84.134519999999995"/>
    <n v="0"/>
    <n v="2474"/>
    <n v="0"/>
    <n v="0"/>
    <n v="1"/>
    <n v="0"/>
    <n v="516.56930206022196"/>
    <n v="9.0142857142857142"/>
    <n v="-0.89438208161255517"/>
    <n v="1"/>
    <m/>
    <s v="Hasanpur"/>
    <m/>
    <n v="0"/>
  </r>
  <r>
    <s v="Munger"/>
    <s v="17-23 Apr"/>
    <n v="1058"/>
    <s v="Hasanpur"/>
    <x v="22"/>
    <s v="Gomukh Shobhaipura"/>
    <s v="MPG"/>
    <s v="Direct"/>
    <n v="104.79999999999998"/>
    <n v="3886.27"/>
    <n v="105.1"/>
    <n v="3880.87509348"/>
    <n v="0"/>
    <n v="0"/>
    <n v="105.1"/>
    <n v="3880.87509348"/>
    <n v="3880.87509348"/>
    <n v="0"/>
    <n v="0"/>
    <n v="0"/>
    <n v="0"/>
    <n v="0"/>
    <n v="0"/>
    <n v="3881"/>
    <n v="0"/>
    <n v="0"/>
    <n v="5"/>
    <n v="0"/>
    <n v="441.43280610687026"/>
    <n v="14.97142857142857"/>
    <n v="1.3881965277759778E-3"/>
    <n v="1"/>
    <m/>
    <s v="Hasanpur"/>
    <m/>
    <n v="0"/>
  </r>
  <r>
    <s v="Munger"/>
    <s v="17-23 Apr"/>
    <n v="1001"/>
    <s v="Majhaul"/>
    <x v="23"/>
    <s v="Gomukh Pirauna"/>
    <s v="MPG"/>
    <s v="Direct"/>
    <n v="144.70000000000002"/>
    <n v="5152.3600000000006"/>
    <n v="184.96"/>
    <n v="6963.5993976252003"/>
    <n v="1.3399999999999999"/>
    <n v="49.351071270600002"/>
    <n v="186.3"/>
    <n v="7012.9504688958004"/>
    <n v="5152.3600000000006"/>
    <n v="0"/>
    <n v="49.351071270600002"/>
    <n v="1860.5904688957999"/>
    <n v="0"/>
    <n v="17.329999999999998"/>
    <n v="0"/>
    <n v="5085"/>
    <n v="0"/>
    <n v="0"/>
    <n v="1"/>
    <n v="0"/>
    <n v="395.45342197650308"/>
    <n v="20.671428571428574"/>
    <n v="-0.3611142212298441"/>
    <n v="3"/>
    <m/>
    <s v="Majhaul"/>
    <m/>
    <n v="0"/>
  </r>
  <r>
    <s v="Munger"/>
    <s v="17-23 Apr"/>
    <n v="1001"/>
    <s v="Majhaul"/>
    <x v="24"/>
    <s v="Parra- Nagendra Kumar"/>
    <s v="vlc"/>
    <s v="Indirect"/>
    <n v="261.7"/>
    <n v="8994.82"/>
    <n v="0"/>
    <n v="0"/>
    <n v="0"/>
    <n v="0"/>
    <n v="0"/>
    <n v="0"/>
    <n v="8994.82"/>
    <n v="0"/>
    <n v="0"/>
    <n v="0"/>
    <n v="0"/>
    <n v="0"/>
    <n v="0"/>
    <n v="0"/>
    <n v="0"/>
    <n v="8994.82"/>
    <n v="0"/>
    <n v="0"/>
    <n v="301.29381780664886"/>
    <n v="37.385714285714286"/>
    <n v="0"/>
    <n v="0"/>
    <m/>
    <s v="Majhaul"/>
    <m/>
    <n v="0"/>
  </r>
  <r>
    <s v="Munger"/>
    <s v="17-23 Apr"/>
    <n v="1001"/>
    <s v="Majhaul"/>
    <x v="25"/>
    <s v="Gomukh Basahi"/>
    <s v="MPG"/>
    <s v="Direct"/>
    <n v="616.4"/>
    <n v="25250.78"/>
    <n v="614.34999999999991"/>
    <n v="25689.412000864708"/>
    <n v="4.2"/>
    <n v="173.02237207200002"/>
    <n v="618.54999999999995"/>
    <n v="25862.434372936706"/>
    <n v="25250.78"/>
    <n v="0"/>
    <n v="173.02237207200002"/>
    <n v="611.65437293670766"/>
    <n v="0"/>
    <n v="0"/>
    <n v="0"/>
    <n v="25078"/>
    <n v="0"/>
    <n v="0"/>
    <n v="0"/>
    <n v="0"/>
    <n v="68.493355223880641"/>
    <n v="88.05714285714285"/>
    <n v="-2.4223187281213004E-2"/>
    <n v="22"/>
    <m/>
    <s v="Majhaul"/>
    <m/>
    <n v="0"/>
  </r>
  <r>
    <s v="Munger"/>
    <s v="17-23 Apr"/>
    <n v="1001"/>
    <s v="Majhaul"/>
    <x v="26"/>
    <s v="Mohanpur- Mukesh Kumar"/>
    <s v="vlc"/>
    <s v="Indirect"/>
    <n v="735.6"/>
    <n v="27661.11"/>
    <n v="0"/>
    <n v="0"/>
    <n v="0"/>
    <n v="0"/>
    <n v="0"/>
    <n v="0"/>
    <n v="27661.11"/>
    <n v="0"/>
    <n v="0"/>
    <n v="0"/>
    <n v="0"/>
    <n v="638.13284516129011"/>
    <n v="0"/>
    <n v="0"/>
    <n v="0"/>
    <n v="27022.977154838711"/>
    <n v="0"/>
    <n v="0"/>
    <n v="0"/>
    <n v="0"/>
    <n v="0"/>
    <n v="0"/>
    <m/>
    <s v="Majhaul"/>
    <m/>
    <n v="0"/>
  </r>
  <r>
    <s v="Munger"/>
    <s v="17-23 Apr"/>
    <n v="1001"/>
    <s v="Majhaul"/>
    <x v="27"/>
    <s v="Gomukh Sawantpur"/>
    <s v="MPG"/>
    <s v="Direct"/>
    <n v="774.1"/>
    <n v="29533.56"/>
    <n v="796.07000000000016"/>
    <n v="30272.574375975408"/>
    <n v="5.79"/>
    <n v="221.13593379900001"/>
    <n v="801.86000000000013"/>
    <n v="30493.710309774408"/>
    <n v="29533.56"/>
    <n v="0"/>
    <n v="221.13593379900001"/>
    <n v="960.1503097744062"/>
    <n v="0"/>
    <n v="288.4925311475406"/>
    <n v="0"/>
    <n v="29024"/>
    <n v="0"/>
    <n v="0"/>
    <n v="0"/>
    <n v="0"/>
    <n v="0"/>
    <n v="0"/>
    <n v="-3.2510483320480364E-2"/>
    <n v="12"/>
    <m/>
    <s v="Majhaul"/>
    <m/>
    <n v="0"/>
  </r>
  <r>
    <s v="Munger"/>
    <s v="17-23 Apr"/>
    <n v="1001"/>
    <s v="Majhaul"/>
    <x v="28"/>
    <s v="Maida- Ram Kumar"/>
    <s v="vlc"/>
    <s v="Indirect"/>
    <n v="141.6"/>
    <n v="5031.5300000000007"/>
    <n v="0"/>
    <n v="0"/>
    <n v="0"/>
    <n v="0"/>
    <n v="0"/>
    <n v="0"/>
    <n v="5031.5300000000007"/>
    <n v="0"/>
    <n v="0"/>
    <n v="0"/>
    <n v="0"/>
    <n v="480.23583870967741"/>
    <n v="0"/>
    <n v="0"/>
    <n v="0"/>
    <n v="4551.2941612903232"/>
    <n v="0"/>
    <n v="0"/>
    <n v="396.83705536723176"/>
    <n v="20.228571428571428"/>
    <n v="0"/>
    <n v="0"/>
    <m/>
    <s v="Majhaul"/>
    <m/>
    <n v="0"/>
  </r>
  <r>
    <s v="Munger"/>
    <s v="17-23 Apr"/>
    <n v="1001"/>
    <s v="Majhaul"/>
    <x v="29"/>
    <s v="Gomukh Aure Bikrampur"/>
    <s v="MPG"/>
    <s v="Direct"/>
    <n v="1117.1000000000001"/>
    <n v="46081.520000000004"/>
    <n v="1098.97"/>
    <n v="47227.790408535198"/>
    <n v="0"/>
    <n v="0"/>
    <n v="1098.97"/>
    <n v="47227.790408535198"/>
    <n v="46081.520000000004"/>
    <n v="0"/>
    <n v="0"/>
    <n v="1146.2704085351943"/>
    <n v="0"/>
    <n v="0"/>
    <n v="0"/>
    <n v="46082"/>
    <n v="0"/>
    <n v="0"/>
    <n v="0"/>
    <n v="0"/>
    <n v="0"/>
    <n v="0"/>
    <n v="-2.4874839383232025E-2"/>
    <n v="5"/>
    <m/>
    <s v="Majhaul"/>
    <m/>
    <n v="0"/>
  </r>
  <r>
    <s v="Munger"/>
    <s v="17-23 Apr"/>
    <n v="1001"/>
    <s v="Majhaul"/>
    <x v="30"/>
    <s v="Manjhaul- Gulshan Kumar"/>
    <s v="vlc"/>
    <s v="Indirect"/>
    <n v="851.19999999999993"/>
    <n v="32125.13"/>
    <n v="0"/>
    <n v="0"/>
    <n v="0"/>
    <n v="0"/>
    <n v="0"/>
    <n v="0"/>
    <n v="32125.13"/>
    <n v="0"/>
    <n v="0"/>
    <n v="0"/>
    <n v="0"/>
    <n v="0"/>
    <n v="0"/>
    <n v="0"/>
    <n v="0"/>
    <n v="32125.13"/>
    <n v="0"/>
    <n v="0"/>
    <n v="0"/>
    <n v="0"/>
    <n v="0"/>
    <n v="0"/>
    <m/>
    <s v="Majhaul"/>
    <m/>
    <n v="0"/>
  </r>
  <r>
    <s v="Munger"/>
    <s v="17-23 Apr"/>
    <n v="1001"/>
    <s v="Majhaul"/>
    <x v="31"/>
    <s v="Khaira Manjhaul"/>
    <s v="vlc"/>
    <s v="Indirect"/>
    <n v="664.49999999999989"/>
    <n v="24582.470000000005"/>
    <n v="0"/>
    <n v="0"/>
    <n v="0"/>
    <n v="0"/>
    <n v="0"/>
    <n v="0"/>
    <n v="24582.470000000005"/>
    <n v="0"/>
    <n v="0"/>
    <n v="0"/>
    <n v="0"/>
    <n v="0"/>
    <n v="0"/>
    <n v="0"/>
    <n v="0"/>
    <n v="24582.470000000005"/>
    <n v="0"/>
    <n v="0"/>
    <n v="26.265694055681038"/>
    <n v="94.928571428571416"/>
    <n v="0"/>
    <n v="0"/>
    <m/>
    <s v="Majhaul"/>
    <m/>
    <n v="0"/>
  </r>
  <r>
    <s v="Munger"/>
    <s v="17-23 Apr"/>
    <n v="1001"/>
    <s v="Majhaul"/>
    <x v="32"/>
    <s v="Mehda Shahpur"/>
    <s v="vlc"/>
    <s v="Indirect"/>
    <n v="169.6"/>
    <n v="6994.6499999999987"/>
    <n v="0"/>
    <n v="0"/>
    <n v="0"/>
    <n v="0"/>
    <n v="0"/>
    <n v="0"/>
    <n v="6994.6499999999987"/>
    <n v="0"/>
    <n v="0"/>
    <n v="0"/>
    <n v="0"/>
    <n v="553.83365806451627"/>
    <n v="0"/>
    <n v="0"/>
    <n v="0"/>
    <n v="6440.8163419354823"/>
    <n v="0"/>
    <n v="0"/>
    <n v="437.49556132075463"/>
    <n v="24.228571428571428"/>
    <n v="0"/>
    <n v="0"/>
    <m/>
    <s v="Majhaul"/>
    <m/>
    <n v="0"/>
  </r>
  <r>
    <s v="Munger"/>
    <s v="17-23 Apr"/>
    <n v="1058"/>
    <s v="Hasanpur"/>
    <x v="33"/>
    <s v="Gomukh Shobhaipura 02"/>
    <s v="MPG"/>
    <s v="Direct"/>
    <n v="146.6"/>
    <n v="6089.08"/>
    <n v="192.26"/>
    <n v="8351.5119617748442"/>
    <n v="1.1000000000000001"/>
    <n v="45.013201200000005"/>
    <n v="193.35999999999999"/>
    <n v="8396.5251629748436"/>
    <n v="6089.08"/>
    <n v="0"/>
    <n v="45.013201200000005"/>
    <n v="2307.4451629748437"/>
    <n v="0"/>
    <n v="0"/>
    <n v="0"/>
    <n v="0"/>
    <n v="0"/>
    <n v="0"/>
    <n v="6044"/>
    <s v="Yes"/>
    <n v="459.71307939972712"/>
    <n v="20.942857142857143"/>
    <n v="-0.37894807803064562"/>
    <n v="11"/>
    <m/>
    <s v="Hasanpur"/>
    <m/>
    <n v="0"/>
  </r>
  <r>
    <s v="Munger"/>
    <s v="17-23 Apr"/>
    <n v="1001"/>
    <s v="Majhaul"/>
    <x v="34"/>
    <s v="Shri Bhairav Laxmipur"/>
    <s v="MPG"/>
    <s v="Direct"/>
    <n v="344.8"/>
    <n v="14179.49"/>
    <n v="338.43"/>
    <n v="13621.565984293949"/>
    <n v="0"/>
    <n v="0"/>
    <n v="338.43"/>
    <n v="13621.565984293949"/>
    <n v="13621.565984293949"/>
    <n v="0"/>
    <n v="0"/>
    <n v="0"/>
    <n v="0"/>
    <n v="0"/>
    <n v="0"/>
    <n v="13624"/>
    <n v="0"/>
    <n v="0"/>
    <n v="555"/>
    <n v="0"/>
    <n v="292.14355266821343"/>
    <n v="49.25714285714286"/>
    <n v="3.9347255487048573E-2"/>
    <n v="10"/>
    <m/>
    <s v="Majhaul"/>
    <m/>
    <n v="0"/>
  </r>
  <r>
    <s v="Munger"/>
    <s v="17-23 Apr"/>
    <n v="1001"/>
    <s v="Majhaul"/>
    <x v="35"/>
    <s v="Goapalpur"/>
    <s v="MPG"/>
    <s v="Direct"/>
    <n v="159.19999999999999"/>
    <n v="5825.91"/>
    <n v="172.70999999999998"/>
    <n v="6543.5434087342001"/>
    <n v="0"/>
    <n v="0"/>
    <n v="172.70999999999998"/>
    <n v="6543.5434087342001"/>
    <n v="5825.91"/>
    <n v="0"/>
    <n v="0"/>
    <n v="717.6334087342002"/>
    <n v="0"/>
    <n v="0"/>
    <n v="0"/>
    <n v="5826"/>
    <n v="0"/>
    <n v="0"/>
    <n v="0"/>
    <s v="Release1"/>
    <n v="395.81056884422122"/>
    <n v="22.74285714285714"/>
    <n v="-0.12317962494000083"/>
    <n v="11"/>
    <m/>
    <s v="Majhaul"/>
    <m/>
    <n v="0"/>
  </r>
  <r>
    <s v="Munger"/>
    <s v="17-23 Apr"/>
    <n v="1001"/>
    <s v="Majhaul"/>
    <x v="36"/>
    <s v="Gomukh Akaha"/>
    <s v="MPG"/>
    <s v="Direct"/>
    <n v="116.80000000000001"/>
    <n v="4012.33"/>
    <n v="123.42999999999999"/>
    <n v="4444.7064225300001"/>
    <n v="0"/>
    <n v="0"/>
    <n v="123.42999999999999"/>
    <n v="4444.7064225300001"/>
    <n v="4012.33"/>
    <n v="0"/>
    <n v="0"/>
    <n v="432.37642253000013"/>
    <n v="0"/>
    <n v="0"/>
    <n v="0"/>
    <n v="4012"/>
    <n v="0"/>
    <n v="0"/>
    <n v="0"/>
    <n v="0"/>
    <n v="400.68336575342465"/>
    <n v="16.685714285714287"/>
    <n v="-0.10776192948486295"/>
    <n v="2"/>
    <m/>
    <s v="Majhaul"/>
    <m/>
    <n v="0"/>
  </r>
  <r>
    <s v="Munger"/>
    <s v="17-23 Apr"/>
    <n v="1001"/>
    <s v="Majhaul"/>
    <x v="37"/>
    <s v="Gomukh Rajakpur"/>
    <s v="MPG"/>
    <s v="Direct"/>
    <n v="49.9"/>
    <n v="1435.22"/>
    <n v="42.7"/>
    <n v="1513.46602044"/>
    <n v="0"/>
    <n v="0"/>
    <n v="42.7"/>
    <n v="1513.46602044"/>
    <n v="1435.22"/>
    <n v="0"/>
    <n v="0"/>
    <n v="78.246020439999938"/>
    <n v="0"/>
    <n v="0"/>
    <n v="0"/>
    <n v="1435"/>
    <n v="0"/>
    <n v="0"/>
    <n v="0"/>
    <n v="0"/>
    <n v="373.96253386773549"/>
    <n v="7.1285714285714281"/>
    <n v="-5.4518485277518389E-2"/>
    <n v="2"/>
    <m/>
    <s v="Majhaul"/>
    <m/>
    <n v="0"/>
  </r>
  <r>
    <s v="Munger"/>
    <s v="17-23 Apr"/>
    <n v="1001"/>
    <s v="Majhaul"/>
    <x v="38"/>
    <s v="Gomukh Mohanpur"/>
    <s v="MPG"/>
    <s v="Direct"/>
    <n v="244.69999999999996"/>
    <n v="9360.33"/>
    <n v="241.27999999999997"/>
    <n v="9590.0509037976008"/>
    <n v="4.62"/>
    <n v="179.75619876060003"/>
    <n v="245.89999999999998"/>
    <n v="9769.8071025582012"/>
    <n v="9360.33"/>
    <n v="0"/>
    <n v="179.75619876060003"/>
    <n v="409.4771025582013"/>
    <n v="0"/>
    <n v="0"/>
    <n v="0"/>
    <n v="9181"/>
    <n v="0"/>
    <n v="0"/>
    <n v="0"/>
    <n v="0"/>
    <n v="348.32515316714353"/>
    <n v="34.957142857142848"/>
    <n v="-4.3746011364791768E-2"/>
    <n v="9"/>
    <m/>
    <s v="Majhaul"/>
    <m/>
    <n v="0"/>
  </r>
  <r>
    <s v="Munger"/>
    <s v="17-23 Apr"/>
    <n v="1001"/>
    <s v="Majhaul"/>
    <x v="39"/>
    <s v="Gomukh Chakka"/>
    <s v="MPG"/>
    <s v="Direct"/>
    <n v="116.5"/>
    <n v="4323.4800000000005"/>
    <n v="116.30000000000001"/>
    <n v="4442.7253448131205"/>
    <n v="0"/>
    <n v="0"/>
    <n v="116.30000000000001"/>
    <n v="4442.7253448131205"/>
    <n v="4323.4800000000005"/>
    <n v="0"/>
    <n v="0"/>
    <n v="119.24534481312003"/>
    <n v="0"/>
    <n v="0"/>
    <n v="0"/>
    <n v="4323"/>
    <n v="0"/>
    <n v="0"/>
    <n v="0"/>
    <n v="0"/>
    <n v="433.09022832618029"/>
    <n v="16.642857142857142"/>
    <n v="-2.758087115312665E-2"/>
    <n v="3"/>
    <m/>
    <s v="Majhaul"/>
    <m/>
    <n v="0"/>
  </r>
  <r>
    <s v="Munger"/>
    <s v="17-23 Apr"/>
    <n v="1001"/>
    <s v="Majhaul"/>
    <x v="1031"/>
    <s v="Gamharia"/>
    <s v="vlc"/>
    <s v="Indirect"/>
    <n v="147.19999999999999"/>
    <n v="6188.2500000000018"/>
    <n v="0"/>
    <n v="0"/>
    <n v="0"/>
    <n v="0"/>
    <n v="0"/>
    <n v="0"/>
    <n v="6188.2500000000018"/>
    <n v="0"/>
    <n v="0"/>
    <n v="0"/>
    <n v="0"/>
    <n v="0"/>
    <n v="0"/>
    <n v="0"/>
    <n v="0"/>
    <n v="6188.2500000000018"/>
    <n v="0"/>
    <n v="0"/>
    <n v="464.79138586956543"/>
    <n v="21.028571428571428"/>
    <n v="0"/>
    <n v="0"/>
    <m/>
    <s v="Majhaul"/>
    <m/>
    <n v="0"/>
  </r>
  <r>
    <s v="Munger"/>
    <s v="17-23 Apr"/>
    <n v="1001"/>
    <s v="Majhaul"/>
    <x v="40"/>
    <s v="Gomukh Meghaul-02"/>
    <s v="MPG"/>
    <s v="Direct"/>
    <n v="200.79999999999998"/>
    <n v="7033.41"/>
    <n v="201.19"/>
    <n v="6887.0264168969998"/>
    <n v="0"/>
    <n v="0"/>
    <n v="201.19"/>
    <n v="6887.0264168969998"/>
    <n v="6887.0264168969998"/>
    <n v="0"/>
    <n v="0"/>
    <n v="0"/>
    <n v="0"/>
    <n v="0"/>
    <n v="0"/>
    <n v="6887"/>
    <n v="0"/>
    <n v="0"/>
    <n v="146"/>
    <n v="0"/>
    <n v="349.70899123505978"/>
    <n v="28.685714285714283"/>
    <n v="2.0812604853549004E-2"/>
    <n v="4"/>
    <m/>
    <s v="Majhaul"/>
    <m/>
    <n v="0"/>
  </r>
  <r>
    <s v="Munger"/>
    <s v="17-23 Apr"/>
    <n v="1001"/>
    <s v="Majhaul"/>
    <x v="953"/>
    <s v="Gomukh Meida"/>
    <s v="MPG"/>
    <s v="Direct"/>
    <n v="264.20000000000005"/>
    <n v="9743.9"/>
    <n v="265.09999999999997"/>
    <n v="10251.09312084"/>
    <n v="0"/>
    <n v="0"/>
    <n v="265.09999999999997"/>
    <n v="10251.09312084"/>
    <n v="9743.9"/>
    <n v="0"/>
    <n v="0"/>
    <n v="507.19312084000012"/>
    <n v="0"/>
    <n v="0"/>
    <n v="0"/>
    <n v="9744"/>
    <n v="0"/>
    <n v="0"/>
    <n v="0"/>
    <n v="0"/>
    <n v="321.45280999242988"/>
    <n v="37.742857142857147"/>
    <n v="-5.2052373365900732E-2"/>
    <n v="1"/>
    <m/>
    <s v="Majhaul"/>
    <m/>
    <n v="0"/>
  </r>
  <r>
    <s v="Munger"/>
    <s v="17-23 Apr"/>
    <n v="1002"/>
    <s v="Laldiyara"/>
    <x v="41"/>
    <s v="PIPARIYA DIH -2"/>
    <s v="MPG"/>
    <s v="Direct"/>
    <n v="1669.6999999999998"/>
    <n v="80612.05"/>
    <n v="1138.8000000000002"/>
    <n v="51918.476019388014"/>
    <n v="535.69999999999993"/>
    <n v="29977.364715734398"/>
    <n v="1674.5"/>
    <n v="81895.840735122416"/>
    <n v="80612.05"/>
    <n v="0"/>
    <n v="804.52308850040015"/>
    <n v="1283.790735122413"/>
    <n v="0"/>
    <n v="0"/>
    <n v="0"/>
    <n v="50635"/>
    <n v="29173"/>
    <n v="0"/>
    <n v="0"/>
    <n v="0"/>
    <n v="0"/>
    <n v="0"/>
    <n v="-1.5925543825301713E-2"/>
    <n v="11"/>
    <m/>
    <s v="Laldiyara"/>
    <m/>
    <n v="0"/>
  </r>
  <r>
    <s v="Munger"/>
    <s v="17-23 Apr"/>
    <n v="1002"/>
    <s v="Laldiyara"/>
    <x v="42"/>
    <s v="LAL DIYARA -1"/>
    <s v="MPG"/>
    <s v="Direct"/>
    <n v="399"/>
    <n v="14811.59"/>
    <n v="395.6"/>
    <n v="14627.959806240002"/>
    <n v="0"/>
    <n v="0"/>
    <n v="395.6"/>
    <n v="14627.959806240002"/>
    <n v="14627.959806240002"/>
    <n v="0"/>
    <n v="0"/>
    <n v="0"/>
    <n v="0"/>
    <n v="0"/>
    <n v="0"/>
    <n v="14628"/>
    <n v="0"/>
    <n v="0"/>
    <n v="184"/>
    <n v="0"/>
    <n v="223.47311228070177"/>
    <n v="57"/>
    <n v="1.2397736756148279E-2"/>
    <n v="1"/>
    <m/>
    <s v="Laldiyara"/>
    <m/>
    <n v="0"/>
  </r>
  <r>
    <s v="Munger"/>
    <s v="17-23 Apr"/>
    <n v="1002"/>
    <s v="Laldiyara"/>
    <x v="43"/>
    <s v="GANGA KINARE KHUTHA"/>
    <s v="vlc"/>
    <s v="Indirect"/>
    <n v="221.99999999999997"/>
    <n v="8386.1"/>
    <n v="0"/>
    <n v="0"/>
    <n v="0"/>
    <n v="0"/>
    <n v="0"/>
    <n v="0"/>
    <n v="8386.1"/>
    <n v="0"/>
    <n v="0"/>
    <n v="0"/>
    <n v="0"/>
    <n v="0"/>
    <n v="0"/>
    <n v="0"/>
    <n v="0"/>
    <n v="8386.1"/>
    <n v="0"/>
    <n v="0"/>
    <n v="361.13115315315326"/>
    <n v="31.714285714285712"/>
    <n v="0"/>
    <n v="0"/>
    <m/>
    <s v="Laldiyara"/>
    <m/>
    <n v="0"/>
  </r>
  <r>
    <s v="Munger"/>
    <s v="17-23 Apr"/>
    <n v="1002"/>
    <s v="Laldiyara"/>
    <x v="45"/>
    <s v="Gomukh ID Khutaha Dhih"/>
    <s v="vlc"/>
    <s v="Indirect"/>
    <n v="209.89999999999998"/>
    <n v="8806.68"/>
    <n v="0"/>
    <n v="0"/>
    <n v="0"/>
    <n v="0"/>
    <n v="0"/>
    <n v="0"/>
    <n v="8806.68"/>
    <n v="0"/>
    <n v="0"/>
    <n v="0"/>
    <n v="0"/>
    <n v="1579.1474903225803"/>
    <n v="0"/>
    <n v="0"/>
    <n v="0"/>
    <n v="7227.5325096774195"/>
    <n v="0"/>
    <n v="0"/>
    <n v="411.25811033825636"/>
    <n v="29.985714285714284"/>
    <n v="0"/>
    <n v="0"/>
    <m/>
    <s v="Laldiyara"/>
    <m/>
    <n v="0"/>
  </r>
  <r>
    <s v="Munger"/>
    <s v="17-23 Apr"/>
    <n v="1002"/>
    <s v="Laldiyara"/>
    <x v="46"/>
    <s v="GOMUKH RAHATPUR"/>
    <s v="MPG"/>
    <s v="Direct"/>
    <n v="478.6"/>
    <n v="17282.3"/>
    <n v="508.4"/>
    <n v="19396.695158280003"/>
    <n v="1.5"/>
    <n v="53.936791920000019"/>
    <n v="509.9"/>
    <n v="19450.631950200004"/>
    <n v="17282.3"/>
    <n v="0"/>
    <n v="53.936791920000019"/>
    <n v="2168.3319502000049"/>
    <n v="0"/>
    <n v="0"/>
    <n v="0"/>
    <n v="17228"/>
    <n v="0"/>
    <n v="0"/>
    <n v="0"/>
    <n v="0"/>
    <n v="159.89557960718756"/>
    <n v="68.371428571428581"/>
    <n v="-0.12546547335713448"/>
    <n v="4"/>
    <m/>
    <s v="Laldiyara"/>
    <m/>
    <n v="0"/>
  </r>
  <r>
    <s v="Munger"/>
    <s v="17-23 Apr"/>
    <n v="1002"/>
    <s v="Laldiyara"/>
    <x v="47"/>
    <s v="Vikash Kumar"/>
    <s v="vlc"/>
    <s v="Indirect"/>
    <n v="38.099999999999994"/>
    <n v="2024.73"/>
    <n v="0"/>
    <n v="0"/>
    <n v="0"/>
    <n v="0"/>
    <n v="0"/>
    <n v="0"/>
    <n v="2024.73"/>
    <n v="0"/>
    <n v="0"/>
    <n v="0"/>
    <n v="0"/>
    <n v="465.17856774193547"/>
    <n v="0"/>
    <n v="0"/>
    <n v="0"/>
    <n v="1559.5514322580646"/>
    <n v="0"/>
    <n v="0"/>
    <n v="703.5006755905514"/>
    <n v="5.4428571428571422"/>
    <n v="0"/>
    <n v="0"/>
    <m/>
    <s v="Laldiyara"/>
    <m/>
    <n v="0"/>
  </r>
  <r>
    <s v="Munger"/>
    <s v="17-23 Apr"/>
    <n v="1002"/>
    <s v="Laldiyara"/>
    <x v="48"/>
    <s v="WALIPUR 2"/>
    <s v="vlc"/>
    <s v="Indirect"/>
    <n v="282.60000000000002"/>
    <n v="9811.18"/>
    <n v="0"/>
    <n v="0"/>
    <n v="0"/>
    <n v="0"/>
    <n v="0"/>
    <n v="0"/>
    <n v="9811.18"/>
    <n v="0"/>
    <n v="0"/>
    <n v="0"/>
    <n v="0"/>
    <n v="0"/>
    <n v="0"/>
    <n v="0"/>
    <n v="0"/>
    <n v="9811.18"/>
    <n v="0"/>
    <n v="0"/>
    <n v="289.82211832979471"/>
    <n v="40.371428571428574"/>
    <n v="0"/>
    <n v="0"/>
    <m/>
    <s v="Laldiyara"/>
    <m/>
    <n v="0"/>
  </r>
  <r>
    <s v="Munger"/>
    <s v="17-23 Apr"/>
    <n v="1002"/>
    <s v="Laldiyara"/>
    <x v="49"/>
    <s v="GOMUKH  LALDIYARA TIRASHI                                                                           "/>
    <s v="vlc"/>
    <s v="Indirect"/>
    <n v="10508.699999999999"/>
    <n v="415287"/>
    <n v="0"/>
    <n v="0"/>
    <n v="0"/>
    <n v="0"/>
    <n v="0"/>
    <n v="0"/>
    <n v="415287"/>
    <n v="0"/>
    <n v="0"/>
    <n v="0"/>
    <n v="0"/>
    <n v="0"/>
    <n v="0"/>
    <n v="0"/>
    <n v="0"/>
    <n v="415287"/>
    <n v="0"/>
    <n v="0"/>
    <n v="0"/>
    <n v="0"/>
    <n v="0"/>
    <n v="0"/>
    <m/>
    <s v="Laldiyara"/>
    <m/>
    <n v="0"/>
  </r>
  <r>
    <s v="Munger"/>
    <s v="17-23 Apr"/>
    <n v="1002"/>
    <s v="Laldiyara"/>
    <x v="50"/>
    <s v="GOMUKH  LALDIYARA PURBI"/>
    <s v="vlc"/>
    <s v="Indirect"/>
    <n v="10523.4"/>
    <n v="413512.39999999997"/>
    <n v="0"/>
    <n v="0"/>
    <n v="0"/>
    <n v="0"/>
    <n v="0"/>
    <n v="0"/>
    <n v="413512.39999999997"/>
    <n v="0"/>
    <n v="0"/>
    <n v="0"/>
    <n v="0"/>
    <n v="0"/>
    <n v="0"/>
    <n v="0"/>
    <n v="0"/>
    <n v="413512.39999999997"/>
    <n v="0"/>
    <n v="0"/>
    <n v="0"/>
    <n v="0"/>
    <n v="0"/>
    <n v="0"/>
    <m/>
    <s v="Laldiyara"/>
    <m/>
    <n v="0"/>
  </r>
  <r>
    <s v="Munger"/>
    <s v="17-23 Apr"/>
    <n v="1002"/>
    <s v="Laldiyara"/>
    <x v="51"/>
    <s v="GOMUKH RAMCHANDARPUR II"/>
    <s v="MPG"/>
    <s v="Direct"/>
    <n v="3162.8999999999996"/>
    <n v="131048.23000000003"/>
    <n v="3025.3000000000011"/>
    <n v="130467.43144674851"/>
    <n v="27"/>
    <n v="1176.7571679600005"/>
    <n v="3052.3000000000011"/>
    <n v="131644.18861470852"/>
    <n v="131048.23000000003"/>
    <n v="0"/>
    <n v="1176.7571679600005"/>
    <n v="595.95861470849195"/>
    <n v="0"/>
    <n v="1445.2821540983609"/>
    <n v="0"/>
    <n v="128426"/>
    <n v="0"/>
    <n v="0"/>
    <n v="0"/>
    <n v="0"/>
    <n v="0"/>
    <n v="0"/>
    <n v="-4.5476281114860675E-3"/>
    <n v="66"/>
    <m/>
    <s v="Laldiyara"/>
    <m/>
    <n v="0"/>
  </r>
  <r>
    <s v="Munger"/>
    <s v="17-23 Apr"/>
    <n v="1002"/>
    <s v="Laldiyara"/>
    <x v="53"/>
    <s v="MUKTAR YADAV"/>
    <s v="vlc"/>
    <s v="Indirect"/>
    <n v="45.5"/>
    <n v="1764.18"/>
    <n v="0"/>
    <n v="0"/>
    <n v="0"/>
    <n v="0"/>
    <n v="0"/>
    <n v="0"/>
    <n v="1764.18"/>
    <n v="0"/>
    <n v="0"/>
    <n v="0"/>
    <n v="0"/>
    <n v="0"/>
    <n v="0"/>
    <n v="0"/>
    <n v="0"/>
    <n v="1764.18"/>
    <n v="0"/>
    <n v="0"/>
    <n v="507.54101538461538"/>
    <n v="6.5"/>
    <n v="0"/>
    <n v="0"/>
    <m/>
    <s v="Laldiyara"/>
    <m/>
    <n v="0"/>
  </r>
  <r>
    <s v="Munger"/>
    <s v="17-23 Apr"/>
    <n v="1002"/>
    <s v="Laldiyara"/>
    <x v="54"/>
    <s v="MOHANPUR"/>
    <s v="MPG"/>
    <s v="Direct"/>
    <n v="2278.099999999999"/>
    <n v="101522.81999999998"/>
    <n v="2074.1000000000004"/>
    <n v="91822.518918042115"/>
    <n v="276.10000000000002"/>
    <n v="11406.3623869408"/>
    <n v="2350.2000000000003"/>
    <n v="103228.88130498292"/>
    <n v="101522.81999999998"/>
    <n v="0"/>
    <n v="602.43716016000008"/>
    <n v="1706.0613049829408"/>
    <n v="0"/>
    <n v="3257.9288360655746"/>
    <n v="0"/>
    <n v="86858"/>
    <n v="10804"/>
    <n v="0"/>
    <n v="0"/>
    <n v="0"/>
    <n v="0"/>
    <n v="0"/>
    <n v="-1.6804707601531764E-2"/>
    <n v="34"/>
    <m/>
    <s v="Laldiyara"/>
    <m/>
    <n v="0"/>
  </r>
  <r>
    <s v="Munger"/>
    <s v="17-23 Apr"/>
    <n v="1002"/>
    <s v="Laldiyara"/>
    <x v="55"/>
    <s v="Juwas"/>
    <s v="MPG"/>
    <s v="Direct"/>
    <n v="821.99999999999989"/>
    <n v="30895.61"/>
    <n v="794.59999999999991"/>
    <n v="30344.992496676005"/>
    <n v="8.8000000000000007"/>
    <n v="327.17162808"/>
    <n v="803.39999999999986"/>
    <n v="30672.164124756004"/>
    <n v="30672.164124756004"/>
    <n v="0"/>
    <n v="327.17162808"/>
    <n v="0"/>
    <n v="0"/>
    <n v="0"/>
    <n v="0"/>
    <n v="30345"/>
    <n v="0"/>
    <n v="0"/>
    <n v="223"/>
    <n v="0"/>
    <n v="0"/>
    <n v="0"/>
    <n v="7.2322855979861491E-3"/>
    <n v="23"/>
    <m/>
    <s v="Laldiyara"/>
    <m/>
    <n v="0"/>
  </r>
  <r>
    <s v="Munger"/>
    <s v="17-23 Apr"/>
    <n v="1002"/>
    <s v="Laldiyara"/>
    <x v="56"/>
    <s v="Morwariya"/>
    <s v="MPG"/>
    <s v="Direct"/>
    <n v="3424.1"/>
    <n v="139092.93"/>
    <n v="3391.6299999999978"/>
    <n v="140820.85455333264"/>
    <n v="0"/>
    <n v="0"/>
    <n v="3391.6299999999978"/>
    <n v="140820.85455333264"/>
    <n v="139092.93"/>
    <n v="0"/>
    <n v="0"/>
    <n v="1727.9245533326466"/>
    <n v="0"/>
    <n v="0"/>
    <n v="0"/>
    <n v="139093"/>
    <n v="0"/>
    <n v="0"/>
    <n v="0"/>
    <n v="0"/>
    <n v="0"/>
    <n v="0"/>
    <n v="-1.2422806488673771E-2"/>
    <n v="77"/>
    <m/>
    <s v="Laldiyara"/>
    <m/>
    <n v="0"/>
  </r>
  <r>
    <s v="Munger"/>
    <s v="17-23 Apr"/>
    <n v="1002"/>
    <s v="Laldiyara"/>
    <x v="57"/>
    <s v="Dumri 2"/>
    <s v="MPG"/>
    <s v="Direct"/>
    <n v="914.2"/>
    <n v="35005.61"/>
    <n v="909.76"/>
    <n v="36039.991507113802"/>
    <n v="9.7899999999999991"/>
    <n v="393.66401461200002"/>
    <n v="919.55"/>
    <n v="36433.655521725799"/>
    <n v="35005.61"/>
    <n v="0"/>
    <n v="393.66401461200002"/>
    <n v="1428.0455217257986"/>
    <n v="0"/>
    <n v="95.857980000000367"/>
    <n v="0"/>
    <n v="34516"/>
    <n v="0"/>
    <n v="0"/>
    <n v="0"/>
    <n v="0"/>
    <n v="0"/>
    <n v="0"/>
    <n v="-4.0794761803202358E-2"/>
    <n v="16"/>
    <m/>
    <s v="Laldiyara"/>
    <m/>
    <n v="0"/>
  </r>
  <r>
    <s v="Munger"/>
    <s v="17-23 Apr"/>
    <n v="1002"/>
    <s v="Laldiyara"/>
    <x v="58"/>
    <s v="Gomukh Jhakhaur"/>
    <s v="MPG"/>
    <s v="Direct"/>
    <n v="611.4"/>
    <n v="25007.879999999997"/>
    <n v="606.09"/>
    <n v="25073.326081515803"/>
    <n v="1.63"/>
    <n v="64.819044180000006"/>
    <n v="607.72"/>
    <n v="25138.145125695803"/>
    <n v="25007.879999999997"/>
    <n v="0"/>
    <n v="64.819044180000006"/>
    <n v="130.26512569580518"/>
    <n v="0"/>
    <n v="0"/>
    <n v="0"/>
    <n v="24943"/>
    <n v="0"/>
    <n v="0"/>
    <n v="0"/>
    <n v="0"/>
    <n v="72.47949519136408"/>
    <n v="87.342857142857142"/>
    <n v="-5.2089631626433429E-3"/>
    <n v="5"/>
    <m/>
    <s v="Laldiyara"/>
    <m/>
    <n v="0"/>
  </r>
  <r>
    <s v="Munger"/>
    <s v="17-23 Apr"/>
    <n v="1002"/>
    <s v="Laldiyara"/>
    <x v="59"/>
    <s v="Gomukh Repura"/>
    <s v="MPG"/>
    <s v="Direct"/>
    <n v="344.29999999999995"/>
    <n v="13217.66"/>
    <n v="344"/>
    <n v="13205.45094264"/>
    <n v="0"/>
    <n v="0"/>
    <n v="344"/>
    <n v="13205.45094264"/>
    <n v="13205.45094264"/>
    <n v="0"/>
    <n v="0"/>
    <n v="0"/>
    <n v="0"/>
    <n v="0"/>
    <n v="0"/>
    <n v="13205"/>
    <n v="0"/>
    <n v="0"/>
    <n v="13"/>
    <n v="0"/>
    <n v="273.10610874237591"/>
    <n v="49.185714285714276"/>
    <n v="9.2369279887664392E-4"/>
    <n v="1"/>
    <m/>
    <s v="Laldiyara"/>
    <m/>
    <n v="0"/>
  </r>
  <r>
    <s v="Munger"/>
    <s v="17-23 Apr"/>
    <n v="1002"/>
    <s v="Laldiyara"/>
    <x v="60"/>
    <s v="Gomukh Virupur"/>
    <s v="MPG"/>
    <s v="Direct"/>
    <n v="257.50000000000006"/>
    <n v="10182.48"/>
    <n v="268.26"/>
    <n v="10421.018921917712"/>
    <n v="1.95"/>
    <n v="75.783342096000027"/>
    <n v="270.20999999999998"/>
    <n v="10496.802264013711"/>
    <n v="10182.48"/>
    <n v="0"/>
    <n v="75.783342096000027"/>
    <n v="314.3222640137119"/>
    <n v="0"/>
    <n v="0"/>
    <n v="0"/>
    <n v="10107"/>
    <n v="0"/>
    <n v="0"/>
    <n v="0"/>
    <n v="0"/>
    <n v="349.96096310679599"/>
    <n v="36.785714285714292"/>
    <n v="-3.0868930163743206E-2"/>
    <n v="7"/>
    <m/>
    <s v="Laldiyara"/>
    <m/>
    <n v="0"/>
  </r>
  <r>
    <s v="Munger"/>
    <s v="17-23 Apr"/>
    <n v="1002"/>
    <s v="Laldiyara"/>
    <x v="61"/>
    <s v="Gomukh Diyarapipariya                                                                               "/>
    <s v="MPG"/>
    <s v="Direct"/>
    <n v="986.29999999999984"/>
    <n v="41736.159999999996"/>
    <n v="975.05000000000007"/>
    <n v="41258.118522383651"/>
    <n v="11.080000000000002"/>
    <n v="468.61320772241004"/>
    <n v="986.13000000000011"/>
    <n v="41726.731730106061"/>
    <n v="41726.731730106061"/>
    <n v="0"/>
    <n v="468.61320772241004"/>
    <n v="0"/>
    <n v="0"/>
    <n v="0"/>
    <n v="0"/>
    <n v="41259"/>
    <n v="0"/>
    <n v="0"/>
    <n v="9"/>
    <n v="0"/>
    <n v="0"/>
    <n v="0"/>
    <n v="2.2590170954719043E-4"/>
    <n v="18"/>
    <m/>
    <s v="Laldiyara"/>
    <m/>
    <n v="0"/>
  </r>
  <r>
    <s v="Munger"/>
    <s v="17-23 Apr"/>
    <n v="1002"/>
    <s v="Laldiyara"/>
    <x v="62"/>
    <s v="TAJPUR"/>
    <s v="MPG"/>
    <s v="Direct"/>
    <n v="989.3"/>
    <n v="41431.699999999997"/>
    <n v="972.2299999999999"/>
    <n v="39635.118504167513"/>
    <n v="10.729999999999999"/>
    <n v="413.91105267600005"/>
    <n v="982.95999999999992"/>
    <n v="40049.02955684351"/>
    <n v="40049.02955684351"/>
    <n v="0"/>
    <n v="413.91105267600005"/>
    <n v="0"/>
    <n v="0"/>
    <n v="0"/>
    <n v="0"/>
    <n v="39635"/>
    <n v="0"/>
    <n v="0"/>
    <n v="1383"/>
    <n v="0"/>
    <n v="0"/>
    <n v="0"/>
    <n v="3.3372283617531667E-2"/>
    <n v="28"/>
    <m/>
    <s v="Laldiyara"/>
    <m/>
    <n v="0"/>
  </r>
  <r>
    <s v="Munger"/>
    <s v="17-23 Apr"/>
    <n v="1002"/>
    <s v="Laldiyara"/>
    <x v="63"/>
    <s v="PATHUA"/>
    <s v="MPG"/>
    <s v="Direct"/>
    <n v="139.9"/>
    <n v="5342.9600000000009"/>
    <n v="157"/>
    <n v="5914.5599304000007"/>
    <n v="49.5"/>
    <n v="1944.5700151350002"/>
    <n v="206.5"/>
    <n v="7859.1299455350008"/>
    <n v="5342.9600000000009"/>
    <n v="0"/>
    <n v="1165.7481031350001"/>
    <n v="2516.1699455349999"/>
    <n v="0"/>
    <n v="1293.8900000000001"/>
    <n v="0"/>
    <n v="2104"/>
    <n v="779"/>
    <n v="0"/>
    <n v="0"/>
    <s v="Release1"/>
    <n v="427.81871279485352"/>
    <n v="19.985714285714288"/>
    <n v="-0.47093183282955503"/>
    <n v="5"/>
    <m/>
    <s v="Laldiyara"/>
    <m/>
    <n v="0"/>
  </r>
  <r>
    <s v="Munger"/>
    <s v="17-23 Apr"/>
    <n v="1002"/>
    <s v="Laldiyara"/>
    <x v="64"/>
    <s v="LODIYA"/>
    <s v="MPG"/>
    <s v="Direct"/>
    <n v="266.89999999999992"/>
    <n v="11135.580000000002"/>
    <n v="264.39999999999998"/>
    <n v="11232.37066217597"/>
    <n v="3.9500000000000006"/>
    <n v="167.45435190000001"/>
    <n v="268.34999999999997"/>
    <n v="11399.82501407597"/>
    <n v="11135.580000000002"/>
    <n v="0"/>
    <n v="167.45435190000001"/>
    <n v="264.24501407596836"/>
    <n v="0"/>
    <n v="0"/>
    <n v="0"/>
    <n v="10968"/>
    <n v="0"/>
    <n v="0"/>
    <n v="0"/>
    <n v="0"/>
    <n v="361.39525650056225"/>
    <n v="38.128571428571419"/>
    <n v="-2.372979351555719E-2"/>
    <n v="8"/>
    <m/>
    <s v="Laldiyara"/>
    <m/>
    <n v="0"/>
  </r>
  <r>
    <s v="Munger"/>
    <s v="17-23 Apr"/>
    <n v="1002"/>
    <s v="Laldiyara"/>
    <x v="65"/>
    <s v="ADARSH LAXMIPUR-3"/>
    <s v="MPG"/>
    <s v="Direct"/>
    <n v="140.69999999999999"/>
    <n v="6568.21"/>
    <n v="151.07"/>
    <n v="7372.5742477319091"/>
    <n v="0"/>
    <n v="0"/>
    <n v="151.07"/>
    <n v="7372.5742477319091"/>
    <n v="6568.21"/>
    <n v="0"/>
    <n v="0"/>
    <n v="804.36424773190902"/>
    <n v="0"/>
    <n v="119.0774557377049"/>
    <n v="0"/>
    <n v="6449"/>
    <n v="0"/>
    <n v="0"/>
    <n v="0"/>
    <n v="0"/>
    <n v="522.18903383084591"/>
    <n v="20.099999999999998"/>
    <n v="-0.1224632354525676"/>
    <n v="6"/>
    <m/>
    <s v="Laldiyara"/>
    <m/>
    <n v="0"/>
  </r>
  <r>
    <s v="Munger"/>
    <s v="17-23 Apr"/>
    <n v="1002"/>
    <s v="Laldiyara"/>
    <x v="66"/>
    <s v="BHANPUR"/>
    <s v="MPG"/>
    <s v="Direct"/>
    <n v="391.59999999999991"/>
    <n v="14610.82"/>
    <n v="391.7"/>
    <n v="14619.798626400001"/>
    <n v="0"/>
    <n v="0"/>
    <n v="391.7"/>
    <n v="14619.798626400001"/>
    <n v="14610.82"/>
    <n v="0"/>
    <n v="0"/>
    <n v="8.9786264000013034"/>
    <n v="0"/>
    <n v="59.222206779661008"/>
    <n v="0"/>
    <n v="14552"/>
    <n v="0"/>
    <n v="0"/>
    <n v="0"/>
    <n v="0"/>
    <n v="230.1316081716038"/>
    <n v="55.942857142857129"/>
    <n v="-6.1451899345836189E-4"/>
    <n v="1"/>
    <m/>
    <s v="Laldiyara"/>
    <m/>
    <n v="0"/>
  </r>
  <r>
    <s v="Munger"/>
    <s v="17-23 Apr"/>
    <n v="1002"/>
    <s v="Laldiyara"/>
    <x v="67"/>
    <s v="Karari Pipariya 2"/>
    <s v="MPG"/>
    <s v="Direct"/>
    <n v="404.1"/>
    <n v="17846.16"/>
    <n v="404.23000000000008"/>
    <n v="18101.396944572003"/>
    <n v="4.5199999999999996"/>
    <n v="193.56984226800003"/>
    <n v="408.75000000000006"/>
    <n v="18294.966786840003"/>
    <n v="17846.16"/>
    <n v="0"/>
    <n v="193.56984226800003"/>
    <n v="448.80678684000304"/>
    <n v="0"/>
    <n v="583.53383606557395"/>
    <n v="0"/>
    <n v="17069"/>
    <n v="0"/>
    <n v="0"/>
    <n v="0"/>
    <n v="0"/>
    <n v="261.3550479584261"/>
    <n v="57.728571428571435"/>
    <n v="-2.5148647487190694E-2"/>
    <n v="9"/>
    <m/>
    <s v="Laldiyara"/>
    <m/>
    <n v="0"/>
  </r>
  <r>
    <s v="Munger"/>
    <s v="17-23 Apr"/>
    <n v="1002"/>
    <s v="Laldiyara"/>
    <x v="68"/>
    <s v="DIYARA PIPARIYA-THANA                                                                               "/>
    <s v="MPG"/>
    <s v="Direct"/>
    <n v="1172.8000000000002"/>
    <n v="50922.890000000014"/>
    <n v="1164.3600000000001"/>
    <n v="50181.485742969628"/>
    <n v="7.42"/>
    <n v="313.78148524800008"/>
    <n v="1171.7800000000002"/>
    <n v="50495.267228217628"/>
    <n v="50495.267228217628"/>
    <n v="0"/>
    <n v="313.78148524800008"/>
    <n v="0"/>
    <n v="0"/>
    <n v="0"/>
    <n v="0"/>
    <n v="50182"/>
    <n v="0"/>
    <n v="0"/>
    <n v="427"/>
    <n v="0"/>
    <n v="0"/>
    <n v="0"/>
    <n v="8.397456856482138E-3"/>
    <n v="22"/>
    <m/>
    <s v="Laldiyara"/>
    <m/>
    <n v="0"/>
  </r>
  <r>
    <s v="Munger"/>
    <s v="17-23 Apr"/>
    <n v="1002"/>
    <s v="Laldiyara"/>
    <x v="69"/>
    <s v="SRI RAM SINGH(VLC)"/>
    <s v="vlc"/>
    <s v="Indirect"/>
    <n v="2533.7000000000003"/>
    <n v="99648.46"/>
    <n v="0"/>
    <n v="0"/>
    <n v="0"/>
    <n v="0"/>
    <n v="0"/>
    <n v="0"/>
    <n v="99648.46"/>
    <n v="0"/>
    <n v="0"/>
    <n v="0"/>
    <n v="0"/>
    <n v="0"/>
    <n v="0"/>
    <n v="0"/>
    <n v="0"/>
    <n v="99648.46"/>
    <n v="0"/>
    <n v="0"/>
    <n v="0"/>
    <n v="0"/>
    <n v="0"/>
    <n v="0"/>
    <m/>
    <s v="Laldiyara"/>
    <m/>
    <n v="0"/>
  </r>
  <r>
    <s v="Munger"/>
    <s v="17-23 Apr"/>
    <n v="1002"/>
    <s v="Laldiyara"/>
    <x v="70"/>
    <s v="GADHTOLA"/>
    <s v="MPG"/>
    <s v="Direct"/>
    <n v="539.29999999999995"/>
    <n v="20223.14"/>
    <n v="540.33000000000004"/>
    <n v="19963.638322335359"/>
    <n v="2.41"/>
    <n v="86.804434332000014"/>
    <n v="542.74"/>
    <n v="20050.442756667358"/>
    <n v="20050.442756667358"/>
    <n v="0"/>
    <n v="86.804434332000014"/>
    <n v="0"/>
    <n v="0"/>
    <n v="431.35"/>
    <n v="0"/>
    <n v="19532"/>
    <n v="0"/>
    <n v="0"/>
    <n v="173"/>
    <s v="Release1"/>
    <n v="120.52136465788996"/>
    <n v="77.04285714285713"/>
    <n v="8.5395860055679264E-3"/>
    <n v="7"/>
    <m/>
    <s v="Laldiyara"/>
    <m/>
    <n v="0"/>
  </r>
  <r>
    <s v="Munger"/>
    <s v="17-23 Apr"/>
    <n v="1002"/>
    <s v="Laldiyara"/>
    <x v="72"/>
    <s v="Diyara-Pipariya-Utri - Chandan"/>
    <s v="vlc"/>
    <s v="Indirect"/>
    <n v="480.30000000000007"/>
    <n v="19028.02"/>
    <n v="0"/>
    <n v="0"/>
    <n v="0"/>
    <n v="0"/>
    <n v="0"/>
    <n v="0"/>
    <n v="19028.02"/>
    <n v="0"/>
    <n v="0"/>
    <n v="0"/>
    <n v="0"/>
    <n v="837.48170322580631"/>
    <n v="0"/>
    <n v="0"/>
    <n v="0"/>
    <n v="18190.538296774193"/>
    <n v="0"/>
    <n v="0"/>
    <n v="174.07686837393288"/>
    <n v="68.614285714285728"/>
    <n v="0"/>
    <n v="0"/>
    <m/>
    <s v="Laldiyara"/>
    <m/>
    <n v="0"/>
  </r>
  <r>
    <s v="Munger"/>
    <s v="17-23 Apr"/>
    <n v="1002"/>
    <s v="Laldiyara"/>
    <x v="73"/>
    <s v="KANHARPUR-2"/>
    <s v="MPG"/>
    <s v="Direct"/>
    <n v="1898.5000000000002"/>
    <n v="85248.69"/>
    <n v="1682.6299999999999"/>
    <n v="77683.788227765923"/>
    <n v="223.97999999999996"/>
    <n v="9600.8963718033701"/>
    <n v="1906.61"/>
    <n v="87284.6845995693"/>
    <n v="85248.69"/>
    <n v="0"/>
    <n v="1617.53407047477"/>
    <n v="2035.9945995692979"/>
    <n v="0"/>
    <n v="0"/>
    <n v="0"/>
    <n v="75647"/>
    <n v="7984"/>
    <n v="0"/>
    <n v="0"/>
    <n v="0"/>
    <n v="0"/>
    <n v="0"/>
    <n v="-2.3883001598843313E-2"/>
    <n v="14"/>
    <m/>
    <s v="Laldiyara"/>
    <m/>
    <n v="0"/>
  </r>
  <r>
    <s v="Munger"/>
    <s v="17-23 Apr"/>
    <n v="1002"/>
    <s v="Laldiyara"/>
    <x v="74"/>
    <s v="BASAUNA"/>
    <s v="MPG"/>
    <s v="Direct"/>
    <n v="1296.5999999999999"/>
    <n v="51413.17"/>
    <n v="346.09999999999997"/>
    <n v="14765.327637234494"/>
    <n v="952.73"/>
    <n v="36579.801588829279"/>
    <n v="1298.83"/>
    <n v="51345.129226063771"/>
    <n v="51345.129226063771"/>
    <n v="0"/>
    <n v="262.64808876239999"/>
    <n v="0"/>
    <n v="0"/>
    <n v="0"/>
    <n v="0"/>
    <n v="14766"/>
    <n v="36317"/>
    <n v="0"/>
    <n v="68"/>
    <n v="0"/>
    <n v="0"/>
    <n v="0"/>
    <n v="1.3234113737049709E-3"/>
    <n v="10"/>
    <m/>
    <s v="Laldiyara"/>
    <m/>
    <n v="0"/>
  </r>
  <r>
    <s v="Munger"/>
    <s v="17-23 Apr"/>
    <n v="1002"/>
    <s v="Laldiyara"/>
    <x v="75"/>
    <s v="GANGA-SARAI"/>
    <s v="MPG"/>
    <s v="Direct"/>
    <n v="451.90000000000003"/>
    <n v="19567.810000000001"/>
    <n v="442.90000000000003"/>
    <n v="18499.645352994667"/>
    <n v="13.860000000000001"/>
    <n v="566.71894197900019"/>
    <n v="456.76000000000005"/>
    <n v="19066.364294973668"/>
    <n v="19066.364294973668"/>
    <n v="0"/>
    <n v="566.71894197900019"/>
    <n v="0"/>
    <n v="0"/>
    <n v="391.74402000000003"/>
    <n v="0"/>
    <n v="18108"/>
    <n v="0"/>
    <n v="0"/>
    <n v="501"/>
    <n v="0"/>
    <n v="214.8605293649037"/>
    <n v="64.557142857142864"/>
    <n v="2.5626051409244753E-2"/>
    <n v="7"/>
    <m/>
    <s v="Laldiyara"/>
    <m/>
    <n v="0"/>
  </r>
  <r>
    <s v="Munger"/>
    <s v="17-23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172"/>
    <n v="6623.63"/>
    <n v="205.38000000000002"/>
    <n v="8504.8526298814813"/>
    <n v="1.8599999999999999"/>
    <n v="69.944449924799997"/>
    <n v="207.24000000000004"/>
    <n v="8574.7970798062815"/>
    <n v="6623.63"/>
    <n v="0"/>
    <n v="69.944449924799997"/>
    <n v="1951.1670798062814"/>
    <n v="0"/>
    <n v="79.94"/>
    <n v="0"/>
    <n v="6474"/>
    <n v="0"/>
    <n v="0"/>
    <n v="0"/>
    <s v="Release1"/>
    <n v="406.66007441860467"/>
    <n v="24.571428571428573"/>
    <n v="-0.29457670186986312"/>
    <n v="12"/>
    <m/>
    <s v="Laldiyara"/>
    <m/>
    <n v="0"/>
  </r>
  <r>
    <s v="Munger"/>
    <s v="17-23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616.50000000000011"/>
    <n v="28108.009999999995"/>
    <n v="611.84"/>
    <n v="27030.646830051403"/>
    <n v="227.83999999999997"/>
    <n v="10694.2181048155"/>
    <n v="839.68000000000006"/>
    <n v="37724.864934866899"/>
    <n v="28108.009999999995"/>
    <n v="0"/>
    <n v="145.19082916800005"/>
    <n v="9616.8549348669039"/>
    <n v="0"/>
    <n v="0"/>
    <n v="0"/>
    <n v="17414"/>
    <n v="10549"/>
    <n v="0"/>
    <n v="0"/>
    <n v="0"/>
    <n v="76.140108191402973"/>
    <n v="88.071428571428584"/>
    <n v="-0.34213930245744562"/>
    <n v="9"/>
    <m/>
    <s v="Laldiyara"/>
    <m/>
    <n v="0"/>
  </r>
  <r>
    <s v="Munger"/>
    <s v="17-23 Apr"/>
    <n v="1002"/>
    <s v="Laldiyara"/>
    <x v="78"/>
    <s v="Gomukh Hasanpur"/>
    <s v="vlc"/>
    <s v="Indirect"/>
    <n v="282.70000000000005"/>
    <n v="12210.24"/>
    <n v="0"/>
    <n v="0"/>
    <n v="0"/>
    <n v="0"/>
    <n v="0"/>
    <n v="0"/>
    <n v="12210.24"/>
    <n v="0"/>
    <n v="0"/>
    <n v="0"/>
    <n v="0"/>
    <n v="513.2729225806454"/>
    <n v="0"/>
    <n v="0"/>
    <n v="0"/>
    <n v="11696.967077419355"/>
    <n v="0"/>
    <n v="0"/>
    <n v="360.47634609126277"/>
    <n v="40.385714285714293"/>
    <n v="0"/>
    <n v="0"/>
    <m/>
    <s v="Laldiyara"/>
    <m/>
    <n v="0"/>
  </r>
  <r>
    <s v="Munger"/>
    <s v="17-23 Apr"/>
    <n v="1002"/>
    <s v="Laldiyara"/>
    <x v="1054"/>
    <s v="ADARSH LAXMIPUR-2"/>
    <s v="vlc"/>
    <s v="Indirect"/>
    <n v="539.79999999999995"/>
    <n v="21450.420000000002"/>
    <n v="0"/>
    <n v="0"/>
    <n v="0"/>
    <n v="0"/>
    <n v="0"/>
    <n v="0"/>
    <n v="21450.420000000002"/>
    <n v="0"/>
    <n v="0"/>
    <n v="0"/>
    <n v="0"/>
    <n v="0"/>
    <n v="0"/>
    <n v="0"/>
    <n v="0"/>
    <n v="21450.420000000002"/>
    <n v="0"/>
    <n v="0"/>
    <n v="127.31964742497223"/>
    <n v="77.114285714285714"/>
    <n v="0"/>
    <n v="0"/>
    <m/>
    <s v="Laldiyara"/>
    <m/>
    <n v="0"/>
  </r>
  <r>
    <s v="Munger"/>
    <s v="17-23 Apr"/>
    <n v="1002"/>
    <s v="Laldiyara"/>
    <x v="79"/>
    <s v="SABIKPUR"/>
    <s v="MPG"/>
    <s v="Direct"/>
    <n v="626.30000000000007"/>
    <n v="26486.66"/>
    <n v="718.03000000000009"/>
    <n v="31247.828470544864"/>
    <n v="0"/>
    <n v="0"/>
    <n v="718.03000000000009"/>
    <n v="31247.828470544864"/>
    <n v="26486.66"/>
    <n v="0"/>
    <n v="0"/>
    <n v="4761.1684705448642"/>
    <n v="0"/>
    <n v="0"/>
    <n v="0"/>
    <n v="26487"/>
    <n v="0"/>
    <n v="0"/>
    <n v="0"/>
    <n v="0"/>
    <n v="62.336479067539493"/>
    <n v="89.471428571428575"/>
    <n v="-0.17975722384569681"/>
    <n v="24"/>
    <m/>
    <s v="Laldiyara"/>
    <m/>
    <n v="0"/>
  </r>
  <r>
    <s v="Munger"/>
    <s v="17-23 Apr"/>
    <n v="1002"/>
    <s v="Laldiyara"/>
    <x v="80"/>
    <s v="CHETAN-TOLA-KHUTHA"/>
    <s v="MPG"/>
    <s v="Direct"/>
    <n v="187.09999999999997"/>
    <n v="7128.0399999999991"/>
    <n v="194.42"/>
    <n v="7758.7416834305413"/>
    <n v="0.12"/>
    <n v="4.8418872480000008"/>
    <n v="194.54"/>
    <n v="7763.583570678541"/>
    <n v="7128.0399999999991"/>
    <n v="0"/>
    <n v="4.8418872480000008"/>
    <n v="635.54357067854198"/>
    <n v="0"/>
    <n v="0"/>
    <n v="0"/>
    <n v="0"/>
    <n v="0"/>
    <n v="0"/>
    <n v="7123"/>
    <s v="Yes"/>
    <n v="390.80403164083378"/>
    <n v="26.728571428571424"/>
    <n v="-8.9161055588709112E-2"/>
    <n v="3"/>
    <m/>
    <s v="Laldiyara"/>
    <m/>
    <n v="0"/>
  </r>
  <r>
    <s v="Munger"/>
    <s v="17-23 Apr"/>
    <n v="1002"/>
    <s v="Laldiyara"/>
    <x v="81"/>
    <s v="LAXMIPUR"/>
    <s v="MPG"/>
    <s v="Direct"/>
    <n v="935.9"/>
    <n v="38133.040000000001"/>
    <n v="935.6"/>
    <n v="43300.219853740207"/>
    <n v="1.6"/>
    <n v="65.473689600000014"/>
    <n v="937.2"/>
    <n v="43365.69354334021"/>
    <n v="38133.040000000001"/>
    <n v="0"/>
    <n v="65.473689600000014"/>
    <n v="5232.6535433402096"/>
    <n v="0"/>
    <n v="0"/>
    <n v="0"/>
    <n v="38068"/>
    <n v="0"/>
    <n v="0"/>
    <n v="0"/>
    <s v="Release1"/>
    <n v="0"/>
    <n v="0"/>
    <n v="-0.13722099112318895"/>
    <n v="16"/>
    <m/>
    <s v="Laldiyara"/>
    <m/>
    <n v="0"/>
  </r>
  <r>
    <s v="Munger"/>
    <s v="17-23 Apr"/>
    <n v="1002"/>
    <s v="Laldiyara"/>
    <x v="82"/>
    <s v="REHUA RK"/>
    <s v="vlc"/>
    <s v="Indirect"/>
    <n v="580.19999999999993"/>
    <n v="23823.64"/>
    <n v="0"/>
    <n v="0"/>
    <n v="0"/>
    <n v="0"/>
    <n v="0"/>
    <n v="0"/>
    <n v="23823.64"/>
    <n v="0"/>
    <n v="0"/>
    <n v="0"/>
    <n v="0"/>
    <n v="0"/>
    <n v="0"/>
    <n v="0"/>
    <n v="0"/>
    <n v="23823.64"/>
    <n v="0"/>
    <n v="0"/>
    <n v="98.382353395381003"/>
    <n v="82.885714285714272"/>
    <n v="0"/>
    <n v="0"/>
    <m/>
    <s v="Laldiyara"/>
    <m/>
    <n v="0"/>
  </r>
  <r>
    <s v="Munger"/>
    <s v="17-23 Apr"/>
    <n v="1002"/>
    <s v="Laldiyara"/>
    <x v="83"/>
    <s v="RAMNAGAR"/>
    <s v="MPG"/>
    <s v="Direct"/>
    <n v="339.09999999999997"/>
    <n v="13846.910000000002"/>
    <n v="338.69000000000005"/>
    <n v="14797.380012300855"/>
    <n v="0"/>
    <n v="0"/>
    <n v="338.69000000000005"/>
    <n v="14797.380012300855"/>
    <n v="13846.910000000002"/>
    <n v="0"/>
    <n v="0"/>
    <n v="950.47001230085334"/>
    <n v="0"/>
    <n v="0"/>
    <n v="0"/>
    <n v="13847"/>
    <n v="0"/>
    <n v="0"/>
    <n v="0"/>
    <s v="Release1"/>
    <n v="294.74195334709532"/>
    <n v="48.442857142857136"/>
    <n v="-6.8641307865859841E-2"/>
    <n v="13"/>
    <m/>
    <s v="Laldiyara"/>
    <m/>
    <n v="0"/>
  </r>
  <r>
    <s v="Munger"/>
    <s v="17-23 Apr"/>
    <n v="1002"/>
    <s v="Laldiyara"/>
    <x v="84"/>
    <s v="PACHAM"/>
    <s v="MPG"/>
    <s v="Direct"/>
    <n v="23.9"/>
    <n v="1207.5"/>
    <n v="23.84"/>
    <n v="1259.2453193586482"/>
    <n v="0"/>
    <n v="0"/>
    <n v="23.84"/>
    <n v="1259.2453193586482"/>
    <n v="1207.5"/>
    <n v="0"/>
    <n v="0"/>
    <n v="51.745319358648203"/>
    <n v="0"/>
    <n v="191.76753103448277"/>
    <n v="0"/>
    <n v="1015"/>
    <n v="0"/>
    <n v="0"/>
    <n v="1"/>
    <n v="0"/>
    <n v="683.17217573221774"/>
    <n v="3.4142857142857141"/>
    <n v="-4.285326654960514E-2"/>
    <n v="4"/>
    <m/>
    <s v="Laldiyara"/>
    <m/>
    <n v="0"/>
  </r>
  <r>
    <s v="Munger"/>
    <s v="17-23 Apr"/>
    <n v="1002"/>
    <s v="Laldiyara"/>
    <x v="85"/>
    <s v="BANSIPUR"/>
    <s v="MPG"/>
    <s v="Direct"/>
    <n v="99.199999999999989"/>
    <n v="4310.05"/>
    <n v="99.2"/>
    <n v="4296.3831664855006"/>
    <n v="0"/>
    <n v="0"/>
    <n v="99.2"/>
    <n v="4296.3831664855006"/>
    <n v="4296.3831664855006"/>
    <n v="0"/>
    <n v="0"/>
    <n v="0"/>
    <n v="0"/>
    <n v="0"/>
    <n v="0"/>
    <n v="4296"/>
    <n v="0"/>
    <n v="0"/>
    <n v="14"/>
    <n v="0"/>
    <n v="522.07218548387107"/>
    <n v="14.171428571428569"/>
    <n v="3.1709222664469223E-3"/>
    <n v="1"/>
    <m/>
    <s v="Laldiyara"/>
    <m/>
    <n v="0"/>
  </r>
  <r>
    <s v="Munger"/>
    <s v="17-23 Apr"/>
    <n v="1002"/>
    <s v="Laldiyara"/>
    <x v="86"/>
    <s v="GODIH"/>
    <s v="MPG"/>
    <s v="Direct"/>
    <n v="396.8"/>
    <n v="15763.76"/>
    <n v="400.4500000000001"/>
    <n v="17032.052385193121"/>
    <n v="0"/>
    <n v="0"/>
    <n v="400.4500000000001"/>
    <n v="17032.052385193121"/>
    <n v="15763.76"/>
    <n v="0"/>
    <n v="0"/>
    <n v="1268.2923851931209"/>
    <n v="0"/>
    <n v="0"/>
    <n v="0"/>
    <n v="15764"/>
    <n v="0"/>
    <n v="0"/>
    <n v="0"/>
    <n v="0"/>
    <n v="240.90584838709677"/>
    <n v="56.68571428571429"/>
    <n v="-8.0456210015448143E-2"/>
    <n v="3"/>
    <m/>
    <s v="Laldiyara"/>
    <m/>
    <n v="0"/>
  </r>
  <r>
    <s v="Munger"/>
    <s v="17-23 Apr"/>
    <n v="1002"/>
    <s v="Laldiyara"/>
    <x v="87"/>
    <s v="SINGARPUR"/>
    <s v="MPG"/>
    <s v="Direct"/>
    <n v="208.4"/>
    <n v="13305.36"/>
    <n v="210.15999999999997"/>
    <n v="13659.142887290262"/>
    <n v="0"/>
    <n v="0"/>
    <n v="210.15999999999997"/>
    <n v="13659.142887290262"/>
    <n v="13305.36"/>
    <n v="0"/>
    <n v="0"/>
    <n v="353.78288729026099"/>
    <n v="0"/>
    <n v="0"/>
    <n v="0"/>
    <n v="13305"/>
    <n v="0"/>
    <n v="0"/>
    <n v="0"/>
    <n v="0"/>
    <n v="627.72696506717853"/>
    <n v="29.771428571428572"/>
    <n v="-2.6589501320540065E-2"/>
    <n v="3"/>
    <m/>
    <s v="Laldiyara"/>
    <m/>
    <n v="0"/>
  </r>
  <r>
    <s v="Munger"/>
    <s v="17-23 Apr"/>
    <n v="1002"/>
    <s v="Laldiyara"/>
    <x v="88"/>
    <s v="ADARSH PULPAR"/>
    <s v="MPG"/>
    <s v="Direct"/>
    <n v="24.2"/>
    <n v="923.12"/>
    <n v="28.200000000000003"/>
    <n v="1075.8439494000002"/>
    <n v="0"/>
    <n v="0"/>
    <n v="28.200000000000003"/>
    <n v="1075.8439494000002"/>
    <n v="923.12"/>
    <n v="0"/>
    <n v="0"/>
    <n v="152.72394940000015"/>
    <n v="0"/>
    <n v="90.799930909090932"/>
    <n v="0"/>
    <n v="832"/>
    <n v="0"/>
    <n v="0"/>
    <n v="0"/>
    <n v="0"/>
    <n v="515.5739636363636"/>
    <n v="3.4571428571428569"/>
    <n v="-0.16544322449952351"/>
    <n v="1"/>
    <m/>
    <s v="Laldiyara"/>
    <m/>
    <n v="0"/>
  </r>
  <r>
    <s v="Munger"/>
    <s v="17-23 Apr"/>
    <n v="1002"/>
    <s v="Laldiyara"/>
    <x v="89"/>
    <s v="G WOLIPUR"/>
    <s v="vlc"/>
    <s v="Indirect"/>
    <n v="1925.6000000000001"/>
    <n v="74890.2"/>
    <n v="0"/>
    <n v="0"/>
    <n v="0"/>
    <n v="0"/>
    <n v="0"/>
    <n v="0"/>
    <n v="74890.2"/>
    <n v="0"/>
    <n v="0"/>
    <n v="0"/>
    <n v="0"/>
    <n v="0"/>
    <n v="0"/>
    <n v="0"/>
    <n v="0"/>
    <n v="74890.2"/>
    <n v="0"/>
    <n v="0"/>
    <n v="0"/>
    <n v="0"/>
    <n v="0"/>
    <n v="0"/>
    <m/>
    <s v="Laldiyara"/>
    <m/>
    <n v="0"/>
  </r>
  <r>
    <s v="Munger"/>
    <s v="17-23 Apr"/>
    <n v="1002"/>
    <s v="Laldiyara"/>
    <x v="90"/>
    <s v="REHUA 3"/>
    <s v="vlc"/>
    <s v="Indirect"/>
    <n v="979.90000000000009"/>
    <n v="43987.669999999984"/>
    <n v="0"/>
    <n v="0"/>
    <n v="0"/>
    <n v="0"/>
    <n v="0"/>
    <n v="0"/>
    <n v="43987.669999999984"/>
    <n v="0"/>
    <n v="0"/>
    <n v="0"/>
    <n v="0"/>
    <n v="0"/>
    <n v="0"/>
    <n v="0"/>
    <n v="0"/>
    <n v="43987.669999999984"/>
    <n v="0"/>
    <n v="0"/>
    <n v="0"/>
    <n v="0"/>
    <n v="0"/>
    <n v="0"/>
    <m/>
    <s v="Laldiyara"/>
    <m/>
    <n v="0"/>
  </r>
  <r>
    <s v="Munger"/>
    <s v="17-23 Apr"/>
    <n v="1002"/>
    <s v="Laldiyara"/>
    <x v="91"/>
    <s v="BICHWAY"/>
    <s v="MPG"/>
    <s v="Direct"/>
    <n v="245.70000000000002"/>
    <n v="9719.6999999999989"/>
    <n v="247.7"/>
    <n v="9797.6454562800027"/>
    <n v="0"/>
    <n v="0"/>
    <n v="247.7"/>
    <n v="9797.6454562800027"/>
    <n v="9719.6999999999989"/>
    <n v="0"/>
    <n v="0"/>
    <n v="77.945456280003782"/>
    <n v="0"/>
    <n v="0"/>
    <n v="0"/>
    <n v="9720"/>
    <n v="0"/>
    <n v="0"/>
    <n v="0"/>
    <n v="0"/>
    <n v="359.43505982905981"/>
    <n v="35.1"/>
    <n v="-8.0193273743020665E-3"/>
    <n v="1"/>
    <m/>
    <s v="Laldiyara"/>
    <m/>
    <n v="0"/>
  </r>
  <r>
    <s v="Munger"/>
    <s v="17-23 Apr"/>
    <n v="1002"/>
    <s v="Laldiyara"/>
    <x v="92"/>
    <s v="MANOHARPUR"/>
    <s v="MPG"/>
    <s v="Direct"/>
    <n v="535.19999999999993"/>
    <n v="20002.960000000003"/>
    <n v="243.54"/>
    <n v="9434.1565446797995"/>
    <n v="297.41000000000003"/>
    <n v="11891.127302729303"/>
    <n v="540.95000000000005"/>
    <n v="21325.283847409104"/>
    <n v="20002.960000000003"/>
    <n v="0"/>
    <n v="0"/>
    <n v="1322.3238474091013"/>
    <n v="0"/>
    <n v="0"/>
    <n v="0"/>
    <n v="8113"/>
    <n v="11890"/>
    <n v="0"/>
    <n v="0"/>
    <n v="0"/>
    <n v="123.1871378176384"/>
    <n v="76.457142857142841"/>
    <n v="-6.6106408621979001E-2"/>
    <n v="22"/>
    <m/>
    <s v="Laldiyara"/>
    <m/>
    <n v="0"/>
  </r>
  <r>
    <s v="Munger"/>
    <s v="17-23 Apr"/>
    <n v="1003"/>
    <s v="Asarganj"/>
    <x v="93"/>
    <s v="MOHANPUR"/>
    <s v="vlc"/>
    <s v="Indirect"/>
    <n v="472.65000000000003"/>
    <n v="17839.430000000004"/>
    <n v="0"/>
    <n v="0"/>
    <n v="0"/>
    <n v="0"/>
    <n v="0"/>
    <n v="0"/>
    <n v="17839.430000000004"/>
    <n v="0"/>
    <n v="0"/>
    <n v="0"/>
    <n v="0"/>
    <n v="0"/>
    <n v="0"/>
    <n v="0"/>
    <n v="0"/>
    <n v="17839.430000000004"/>
    <n v="0"/>
    <n v="0"/>
    <n v="171.61935514651435"/>
    <n v="67.521428571428572"/>
    <n v="0"/>
    <n v="0"/>
    <m/>
    <s v="Asarganj"/>
    <m/>
    <n v="0"/>
  </r>
  <r>
    <s v="Munger"/>
    <s v="17-23 Apr"/>
    <n v="1003"/>
    <s v="Asarganj"/>
    <x v="94"/>
    <s v="CHATMADIH"/>
    <s v="MPG"/>
    <s v="Direct"/>
    <n v="1775.9499999999998"/>
    <n v="74592.14"/>
    <n v="1782.6000000000004"/>
    <n v="73860.153921516248"/>
    <n v="21.599999999999998"/>
    <n v="1348.3197628442999"/>
    <n v="1804.2000000000003"/>
    <n v="75208.47368436055"/>
    <n v="74592.14"/>
    <n v="0"/>
    <n v="1348.3197628442999"/>
    <n v="616.33368436055025"/>
    <n v="0"/>
    <n v="0"/>
    <n v="0"/>
    <n v="73244"/>
    <n v="0"/>
    <n v="0"/>
    <n v="0"/>
    <s v="Release1"/>
    <n v="0"/>
    <n v="0"/>
    <n v="-8.2627162105893496E-3"/>
    <n v="58"/>
    <m/>
    <s v="Asarganj"/>
    <m/>
    <n v="0"/>
  </r>
  <r>
    <s v="Munger"/>
    <s v="17-23 Apr"/>
    <n v="1003"/>
    <s v="Asarganj"/>
    <x v="95"/>
    <s v="SIYADIH"/>
    <s v="vlc"/>
    <s v="Indirect"/>
    <n v="685.35"/>
    <n v="21252.630000000005"/>
    <n v="0"/>
    <n v="0"/>
    <n v="0"/>
    <n v="0"/>
    <n v="0"/>
    <n v="0"/>
    <n v="21252.630000000005"/>
    <n v="0"/>
    <n v="0"/>
    <n v="0"/>
    <n v="0"/>
    <n v="0"/>
    <n v="0"/>
    <n v="0"/>
    <n v="0"/>
    <n v="21252.630000000005"/>
    <n v="0"/>
    <n v="0"/>
    <n v="9.0858985773692247"/>
    <n v="97.907142857142858"/>
    <n v="0"/>
    <n v="0"/>
    <m/>
    <s v="Asarganj"/>
    <m/>
    <n v="0"/>
  </r>
  <r>
    <s v="Munger"/>
    <s v="17-23 Apr"/>
    <n v="1003"/>
    <s v="Asarganj"/>
    <x v="97"/>
    <s v="Gomukh ID Laldiyara"/>
    <s v="vlc"/>
    <s v="Indirect"/>
    <n v="4875"/>
    <n v="181767.94"/>
    <n v="0"/>
    <n v="0"/>
    <n v="0"/>
    <n v="0"/>
    <n v="0"/>
    <n v="0"/>
    <n v="181767.94"/>
    <n v="0"/>
    <n v="0"/>
    <n v="0"/>
    <n v="0"/>
    <n v="0"/>
    <n v="0"/>
    <n v="0"/>
    <n v="0"/>
    <n v="181767.94"/>
    <n v="0"/>
    <n v="0"/>
    <n v="0"/>
    <n v="0"/>
    <n v="0"/>
    <n v="0"/>
    <m/>
    <s v="Asarganj"/>
    <m/>
    <n v="0"/>
  </r>
  <r>
    <s v="Munger"/>
    <s v="17-23 Apr"/>
    <n v="1003"/>
    <s v="Asarganj"/>
    <x v="98"/>
    <s v="KATHNI"/>
    <s v="MPG"/>
    <s v="Direct"/>
    <n v="312.14999999999998"/>
    <n v="11937.77"/>
    <n v="524"/>
    <n v="24314.167675133998"/>
    <n v="0"/>
    <n v="0"/>
    <n v="524"/>
    <n v="24314.167675133998"/>
    <n v="11937.77"/>
    <n v="0"/>
    <n v="0"/>
    <n v="12376.397675133998"/>
    <n v="0"/>
    <n v="0"/>
    <n v="0"/>
    <n v="11938"/>
    <n v="0"/>
    <n v="0"/>
    <n v="0"/>
    <n v="0"/>
    <n v="296.65635716802825"/>
    <n v="44.592857142857142"/>
    <n v="-1.0367428485499384"/>
    <n v="3"/>
    <m/>
    <s v="Asarganj"/>
    <m/>
    <n v="0"/>
  </r>
  <r>
    <s v="Munger"/>
    <s v="17-23 Apr"/>
    <n v="1003"/>
    <s v="Asarganj"/>
    <x v="99"/>
    <s v="DEVDHA GOMUKH MPG"/>
    <s v="MPG"/>
    <s v="Direct"/>
    <n v="896.1"/>
    <n v="35425.620000000003"/>
    <n v="698.3"/>
    <n v="27686.522235240001"/>
    <n v="197.6"/>
    <n v="7691.1201536399985"/>
    <n v="895.9"/>
    <n v="35377.642388879998"/>
    <n v="35377.642388879998"/>
    <n v="0"/>
    <n v="261.94813524"/>
    <n v="0"/>
    <n v="0"/>
    <n v="0"/>
    <n v="0"/>
    <n v="27686"/>
    <n v="7429"/>
    <n v="0"/>
    <n v="49"/>
    <n v="0"/>
    <n v="0"/>
    <n v="0"/>
    <n v="1.3543195890433092E-3"/>
    <n v="12"/>
    <m/>
    <s v="Asarganj"/>
    <m/>
    <n v="0"/>
  </r>
  <r>
    <s v="Munger"/>
    <s v="17-23 Apr"/>
    <n v="1003"/>
    <s v="Asarganj"/>
    <x v="100"/>
    <s v="KASBA(MANGOAN)"/>
    <s v="vlc"/>
    <s v="Indirect"/>
    <n v="265.60000000000002"/>
    <n v="9245.35"/>
    <n v="0"/>
    <n v="0"/>
    <n v="0"/>
    <n v="0"/>
    <n v="0"/>
    <n v="0"/>
    <n v="9245.35"/>
    <n v="0"/>
    <n v="0"/>
    <n v="0"/>
    <n v="0"/>
    <n v="0"/>
    <n v="0"/>
    <n v="0"/>
    <n v="0"/>
    <n v="9245.35"/>
    <n v="0"/>
    <n v="0"/>
    <n v="302.42319578313248"/>
    <n v="37.942857142857143"/>
    <n v="0"/>
    <n v="0"/>
    <m/>
    <s v="Asarganj"/>
    <m/>
    <n v="0"/>
  </r>
  <r>
    <s v="Munger"/>
    <s v="17-23 Apr"/>
    <n v="1003"/>
    <s v="Asarganj"/>
    <x v="101"/>
    <s v="LOHRA"/>
    <s v="MPG"/>
    <s v="Direct"/>
    <n v="403.19999999999993"/>
    <n v="20360.55"/>
    <n v="397.11999999999995"/>
    <n v="21488.45541017608"/>
    <n v="11.780000000000001"/>
    <n v="584.29751493360004"/>
    <n v="408.9"/>
    <n v="22072.752925109682"/>
    <n v="20360.55"/>
    <n v="0"/>
    <n v="584.29751493360004"/>
    <n v="1712.2029251096828"/>
    <n v="0"/>
    <n v="0"/>
    <n v="0"/>
    <n v="19776"/>
    <n v="0"/>
    <n v="0"/>
    <n v="0"/>
    <s v="Release1"/>
    <n v="299.75254166666679"/>
    <n v="57.599999999999987"/>
    <n v="-8.4094139161745768E-2"/>
    <n v="10"/>
    <m/>
    <s v="Asarganj"/>
    <m/>
    <n v="0"/>
  </r>
  <r>
    <s v="Munger"/>
    <s v="17-23 Apr"/>
    <n v="1003"/>
    <s v="Asarganj"/>
    <x v="102"/>
    <s v="KAMATPUR"/>
    <s v="MPG"/>
    <s v="Direct"/>
    <n v="197.9"/>
    <n v="7300.64"/>
    <n v="223.45999999999998"/>
    <n v="7568.1241171668007"/>
    <n v="9.4"/>
    <n v="328.68529277760001"/>
    <n v="232.85999999999999"/>
    <n v="7896.8094099444006"/>
    <n v="7300.64"/>
    <n v="0"/>
    <n v="328.68529277760001"/>
    <n v="596.16940994440029"/>
    <n v="0"/>
    <n v="0"/>
    <n v="0"/>
    <n v="6972"/>
    <n v="0"/>
    <n v="0"/>
    <n v="0"/>
    <n v="0"/>
    <n v="370.45491096513399"/>
    <n v="28.271428571428572"/>
    <n v="-8.1659883235497194E-2"/>
    <n v="5"/>
    <m/>
    <s v="Asarganj"/>
    <m/>
    <n v="0"/>
  </r>
  <r>
    <s v="Munger"/>
    <s v="17-23 Apr"/>
    <n v="1003"/>
    <s v="Asarganj"/>
    <x v="103"/>
    <s v="GIRDHARA"/>
    <s v="MPG"/>
    <s v="Direct"/>
    <n v="970.10000000000014"/>
    <n v="37412.29"/>
    <n v="181.32"/>
    <n v="8482.2662705029343"/>
    <n v="790.21"/>
    <n v="31013.819850957007"/>
    <n v="971.53"/>
    <n v="39496.086121459943"/>
    <n v="37412.29"/>
    <n v="0"/>
    <n v="292.27114720980006"/>
    <n v="2083.7961214599418"/>
    <n v="0"/>
    <n v="0"/>
    <n v="0"/>
    <n v="6398"/>
    <n v="30722"/>
    <n v="0"/>
    <n v="0"/>
    <n v="0"/>
    <n v="0"/>
    <n v="0"/>
    <n v="-5.5698170880743782E-2"/>
    <n v="13"/>
    <m/>
    <s v="Asarganj"/>
    <m/>
    <n v="0"/>
  </r>
  <r>
    <s v="Munger"/>
    <s v="17-23 Apr"/>
    <n v="1003"/>
    <s v="Asarganj"/>
    <x v="104"/>
    <s v="RATNI"/>
    <s v="MPG"/>
    <s v="Direct"/>
    <n v="940.99999999999989"/>
    <n v="46644.700000000012"/>
    <n v="972.44000000000017"/>
    <n v="47552.800265857164"/>
    <n v="15.28"/>
    <n v="808.65434689817005"/>
    <n v="987.72000000000014"/>
    <n v="48361.454612755333"/>
    <n v="46644.700000000012"/>
    <n v="0"/>
    <n v="808.65434689817005"/>
    <n v="1716.7546127553214"/>
    <n v="0"/>
    <n v="0"/>
    <n v="0"/>
    <n v="45836"/>
    <n v="0"/>
    <n v="0"/>
    <n v="0"/>
    <n v="0"/>
    <n v="0"/>
    <n v="0"/>
    <n v="-3.6804923448008474E-2"/>
    <n v="37"/>
    <m/>
    <s v="Asarganj"/>
    <m/>
    <n v="0"/>
  </r>
  <r>
    <s v="Munger"/>
    <s v="17-23 Apr"/>
    <n v="1003"/>
    <s v="Asarganj"/>
    <x v="105"/>
    <s v="DHAPARI"/>
    <s v="MPG"/>
    <s v="Direct"/>
    <n v="813.74999999999989"/>
    <n v="33283.880000000005"/>
    <n v="808.36999999999989"/>
    <n v="32841.527495962007"/>
    <n v="25.579999999999995"/>
    <n v="1017.7028555760002"/>
    <n v="833.94999999999993"/>
    <n v="33859.230351538004"/>
    <n v="33283.880000000005"/>
    <n v="0"/>
    <n v="1017.7028555760002"/>
    <n v="575.35035153799981"/>
    <n v="0"/>
    <n v="0"/>
    <n v="0"/>
    <n v="32266"/>
    <n v="0"/>
    <n v="0"/>
    <n v="0"/>
    <n v="0"/>
    <n v="0"/>
    <n v="0"/>
    <n v="-1.7286156287608288E-2"/>
    <n v="21"/>
    <m/>
    <s v="Asarganj"/>
    <m/>
    <n v="0"/>
  </r>
  <r>
    <s v="Munger"/>
    <s v="17-23 Apr"/>
    <n v="1003"/>
    <s v="Asarganj"/>
    <x v="106"/>
    <s v="KHARUI"/>
    <s v="MPG"/>
    <s v="Direct"/>
    <n v="496.55000000000007"/>
    <n v="21882.16"/>
    <n v="478.89"/>
    <n v="22072.892018140185"/>
    <n v="22.449999999999996"/>
    <n v="1240.6292856454199"/>
    <n v="501.34"/>
    <n v="23313.521303785605"/>
    <n v="21882.16"/>
    <n v="0"/>
    <n v="1240.6292856454199"/>
    <n v="1431.3613037856048"/>
    <n v="0"/>
    <n v="0"/>
    <n v="0"/>
    <n v="20642"/>
    <n v="0"/>
    <n v="0"/>
    <n v="0"/>
    <n v="0"/>
    <n v="179.3142866579397"/>
    <n v="70.935714285714297"/>
    <n v="-6.5412249237991354E-2"/>
    <n v="11"/>
    <m/>
    <s v="Asarganj"/>
    <m/>
    <n v="0"/>
  </r>
  <r>
    <s v="Munger"/>
    <s v="17-23 Apr"/>
    <n v="1003"/>
    <s v="Asarganj"/>
    <x v="107"/>
    <s v="KHAIRA"/>
    <s v="MPG"/>
    <s v="Direct"/>
    <n v="589.54999999999995"/>
    <n v="25000.81"/>
    <n v="1167.9900000000002"/>
    <n v="49561.555564121045"/>
    <n v="21.520000000000003"/>
    <n v="906.20158464000019"/>
    <n v="1189.5100000000002"/>
    <n v="50467.757148761048"/>
    <n v="25000.81"/>
    <n v="0"/>
    <n v="906.20158464000019"/>
    <n v="25466.947148761046"/>
    <n v="0"/>
    <n v="0"/>
    <n v="0"/>
    <n v="24095"/>
    <n v="0"/>
    <n v="0"/>
    <n v="0"/>
    <s v="Release1"/>
    <n v="93.676175540666677"/>
    <n v="84.221428571428561"/>
    <n v="-1.0186448818562697"/>
    <n v="12"/>
    <m/>
    <s v="Asarganj"/>
    <m/>
    <n v="0"/>
  </r>
  <r>
    <s v="Munger"/>
    <s v="17-23 Apr"/>
    <n v="1003"/>
    <s v="Asarganj"/>
    <x v="108"/>
    <s v="SISUA"/>
    <s v="MPG"/>
    <s v="Direct"/>
    <n v="811.20000000000016"/>
    <n v="30481.85"/>
    <n v="767.37"/>
    <n v="28920.293877024"/>
    <n v="47.31"/>
    <n v="1777.603762143"/>
    <n v="814.68000000000006"/>
    <n v="30697.897639167"/>
    <n v="30481.85"/>
    <n v="0"/>
    <n v="493.17372056700003"/>
    <n v="216.04763916700176"/>
    <n v="0"/>
    <n v="0"/>
    <n v="0"/>
    <n v="28705"/>
    <n v="1284"/>
    <n v="0"/>
    <n v="0"/>
    <n v="0"/>
    <n v="0"/>
    <n v="0"/>
    <n v="-7.0877469434106454E-3"/>
    <n v="26"/>
    <m/>
    <s v="Asarganj"/>
    <m/>
    <n v="0"/>
  </r>
  <r>
    <s v="Munger"/>
    <s v="17-23 Apr"/>
    <n v="1003"/>
    <s v="Asarganj"/>
    <x v="109"/>
    <s v="BISAI"/>
    <s v="MPG"/>
    <s v="Direct"/>
    <n v="278.7"/>
    <n v="11355.550000000001"/>
    <n v="277.33999999999997"/>
    <n v="11989.347948149802"/>
    <n v="11.299999999999999"/>
    <n v="469.32547860000011"/>
    <n v="288.64"/>
    <n v="12458.673426749801"/>
    <n v="11355.550000000001"/>
    <n v="0"/>
    <n v="469.32547860000011"/>
    <n v="1103.1234267498003"/>
    <n v="0"/>
    <n v="0"/>
    <n v="0"/>
    <n v="10886"/>
    <n v="0"/>
    <n v="0"/>
    <n v="0"/>
    <s v="Release1"/>
    <n v="343.31490599210628"/>
    <n v="39.81428571428571"/>
    <n v="-9.7143989216709026E-2"/>
    <n v="9"/>
    <m/>
    <s v="Asarganj"/>
    <m/>
    <n v="0"/>
  </r>
  <r>
    <s v="Munger"/>
    <s v="17-23 Apr"/>
    <n v="1003"/>
    <s v="Asarganj"/>
    <x v="110"/>
    <s v="SAJUA-1"/>
    <s v="MPG"/>
    <s v="Direct"/>
    <n v="510.95000000000005"/>
    <n v="19473.93"/>
    <n v="534.24"/>
    <n v="19985.417120671202"/>
    <n v="8.9600000000000026"/>
    <n v="322.58108417040006"/>
    <n v="543.20000000000005"/>
    <n v="20307.998204841602"/>
    <n v="19473.93"/>
    <n v="0"/>
    <n v="322.58108417040006"/>
    <n v="834.06820484160198"/>
    <n v="0"/>
    <n v="0"/>
    <n v="0"/>
    <n v="19151"/>
    <n v="0"/>
    <n v="0"/>
    <n v="0"/>
    <n v="0"/>
    <n v="144.10593860456009"/>
    <n v="72.992857142857147"/>
    <n v="-4.2829988853898618E-2"/>
    <n v="6"/>
    <m/>
    <s v="Asarganj"/>
    <m/>
    <n v="0"/>
  </r>
  <r>
    <s v="Munger"/>
    <s v="17-23 Apr"/>
    <n v="1003"/>
    <s v="Asarganj"/>
    <x v="111"/>
    <s v="SAJUA-2"/>
    <s v="MPG"/>
    <s v="Direct"/>
    <n v="919.94999999999993"/>
    <n v="34043.21"/>
    <n v="945.50999999999988"/>
    <n v="36130.200294098962"/>
    <n v="0"/>
    <n v="0"/>
    <n v="945.50999999999988"/>
    <n v="36130.200294098962"/>
    <n v="34043.21"/>
    <n v="0"/>
    <n v="0"/>
    <n v="2086.9902940989632"/>
    <n v="0"/>
    <n v="0"/>
    <n v="0"/>
    <n v="34043"/>
    <n v="0"/>
    <n v="0"/>
    <n v="0"/>
    <n v="0"/>
    <n v="0"/>
    <n v="0"/>
    <n v="-6.1304157102075957E-2"/>
    <n v="33"/>
    <m/>
    <s v="Asarganj"/>
    <m/>
    <n v="0"/>
  </r>
  <r>
    <s v="Munger"/>
    <s v="17-23 Apr"/>
    <n v="1003"/>
    <s v="Asarganj"/>
    <x v="112"/>
    <s v="CHORGAUN"/>
    <s v="MPG"/>
    <s v="Direct"/>
    <n v="763.15000000000009"/>
    <n v="28642.860000000004"/>
    <n v="761.30000000000007"/>
    <n v="27919.45570459362"/>
    <n v="22.600000000000005"/>
    <n v="840.23155656000017"/>
    <n v="783.90000000000009"/>
    <n v="28759.68726115362"/>
    <n v="28642.860000000004"/>
    <n v="0"/>
    <n v="840.23155656000017"/>
    <n v="116.82726115361584"/>
    <n v="0"/>
    <n v="0"/>
    <n v="0"/>
    <n v="27803"/>
    <n v="0"/>
    <n v="0"/>
    <n v="0"/>
    <s v="Release1"/>
    <n v="0"/>
    <n v="0"/>
    <n v="-4.0787568403998697E-3"/>
    <n v="38"/>
    <m/>
    <s v="Asarganj"/>
    <m/>
    <n v="0"/>
  </r>
  <r>
    <s v="Munger"/>
    <s v="17-23 Apr"/>
    <n v="1003"/>
    <s v="Asarganj"/>
    <x v="113"/>
    <s v="PADARATHPUR"/>
    <s v="MPG"/>
    <s v="Direct"/>
    <n v="927.4"/>
    <n v="35445.180000000008"/>
    <n v="913.40000000000009"/>
    <n v="35239.317198355799"/>
    <n v="19.200000000000003"/>
    <n v="743.9464850400002"/>
    <n v="932.60000000000014"/>
    <n v="35983.263683395802"/>
    <n v="35445.180000000008"/>
    <n v="0"/>
    <n v="743.9464850400002"/>
    <n v="538.08368339579465"/>
    <n v="0"/>
    <n v="0"/>
    <n v="0"/>
    <n v="34701"/>
    <n v="0"/>
    <n v="0"/>
    <n v="0"/>
    <s v="Release1"/>
    <n v="0"/>
    <n v="0"/>
    <n v="-1.518072932330417E-2"/>
    <n v="36"/>
    <m/>
    <s v="Asarganj"/>
    <m/>
    <n v="0"/>
  </r>
  <r>
    <s v="Munger"/>
    <s v="17-23 Apr"/>
    <n v="1003"/>
    <s v="Asarganj"/>
    <x v="114"/>
    <s v="BADARKHA"/>
    <s v="MPG"/>
    <s v="Direct"/>
    <n v="747.69999999999993"/>
    <n v="27046.189999999995"/>
    <n v="745.29"/>
    <n v="29150.158766085238"/>
    <n v="0"/>
    <n v="0"/>
    <n v="745.29"/>
    <n v="29150.158766085238"/>
    <n v="27046.189999999995"/>
    <n v="0"/>
    <n v="0"/>
    <n v="2103.9687660852433"/>
    <n v="0"/>
    <n v="0"/>
    <n v="0"/>
    <n v="27046"/>
    <n v="0"/>
    <n v="0"/>
    <n v="0"/>
    <s v="Release1"/>
    <n v="0"/>
    <n v="0"/>
    <n v="-7.7791687704820672E-2"/>
    <n v="21"/>
    <m/>
    <s v="Asarganj"/>
    <m/>
    <n v="0"/>
  </r>
  <r>
    <s v="Munger"/>
    <s v="17-23 Apr"/>
    <n v="1003"/>
    <s v="Asarganj"/>
    <x v="115"/>
    <s v="MAHDMADPUR                                                                                          "/>
    <s v="MPG"/>
    <s v="Direct"/>
    <n v="758.00000000000011"/>
    <n v="27622.790000000005"/>
    <n v="787.69999999999993"/>
    <n v="30351.720849781221"/>
    <n v="5.9"/>
    <n v="210.35972489400001"/>
    <n v="793.59999999999991"/>
    <n v="30562.080574675219"/>
    <n v="27622.790000000005"/>
    <n v="0"/>
    <n v="210.35972489400001"/>
    <n v="2939.2905746752149"/>
    <n v="0"/>
    <n v="0"/>
    <n v="0"/>
    <n v="27412"/>
    <n v="0"/>
    <n v="0"/>
    <n v="0"/>
    <n v="0"/>
    <n v="0"/>
    <n v="0"/>
    <n v="-0.10640817146548971"/>
    <n v="19"/>
    <m/>
    <s v="Asarganj"/>
    <m/>
    <n v="0"/>
  </r>
  <r>
    <s v="Munger"/>
    <s v="17-23 Apr"/>
    <n v="1003"/>
    <s v="Asarganj"/>
    <x v="116"/>
    <s v="MUSKIPUR                                                                                            "/>
    <s v="MPG"/>
    <s v="Direct"/>
    <n v="1295.95"/>
    <n v="50907.92"/>
    <n v="1395.1800000000003"/>
    <n v="55128.214504067459"/>
    <n v="0"/>
    <n v="0"/>
    <n v="1395.1800000000003"/>
    <n v="55128.214504067459"/>
    <n v="50907.92"/>
    <n v="0"/>
    <n v="0"/>
    <n v="4220.2945040674604"/>
    <n v="0"/>
    <n v="0"/>
    <n v="0"/>
    <n v="50908"/>
    <n v="0"/>
    <n v="0"/>
    <n v="0"/>
    <s v="Release1"/>
    <n v="0"/>
    <n v="0"/>
    <n v="-8.2900548756803666E-2"/>
    <n v="36"/>
    <m/>
    <s v="Asarganj"/>
    <m/>
    <n v="0"/>
  </r>
  <r>
    <s v="Munger"/>
    <s v="17-23 Apr"/>
    <n v="1003"/>
    <s v="Asarganj"/>
    <x v="117"/>
    <s v="NAYAGAUN                                                                                            "/>
    <s v="MPG"/>
    <s v="Direct"/>
    <n v="333.94999999999993"/>
    <n v="13807.159999999998"/>
    <n v="331.07"/>
    <n v="13678.902781731755"/>
    <n v="2.16"/>
    <n v="90.720728132360009"/>
    <n v="333.23"/>
    <n v="13769.623509864115"/>
    <n v="13769.623509864115"/>
    <n v="0"/>
    <n v="90.720728132360009"/>
    <n v="0"/>
    <n v="0"/>
    <n v="0"/>
    <n v="0"/>
    <n v="13679"/>
    <n v="0"/>
    <n v="0"/>
    <n v="37"/>
    <n v="0"/>
    <n v="302.6866847132805"/>
    <n v="47.707142857142848"/>
    <n v="2.7186249841301591E-3"/>
    <n v="5"/>
    <m/>
    <s v="Asarganj"/>
    <m/>
    <n v="0"/>
  </r>
  <r>
    <s v="Munger"/>
    <s v="17-23 Apr"/>
    <n v="1003"/>
    <s v="Asarganj"/>
    <x v="118"/>
    <s v="LAUNA                                                                                               "/>
    <s v="MPG"/>
    <s v="Direct"/>
    <n v="622.4"/>
    <n v="23471.73"/>
    <n v="636.77"/>
    <n v="24555.90697750447"/>
    <n v="18.149999999999999"/>
    <n v="744.22999381828004"/>
    <n v="654.91999999999996"/>
    <n v="25300.13697132275"/>
    <n v="23471.73"/>
    <n v="0"/>
    <n v="744.22999381828004"/>
    <n v="1828.4069713227509"/>
    <n v="0"/>
    <n v="0"/>
    <n v="0"/>
    <n v="22728"/>
    <n v="0"/>
    <n v="0"/>
    <n v="0"/>
    <n v="0"/>
    <n v="58.52847840616969"/>
    <n v="88.914285714285711"/>
    <n v="-7.7898261922864268E-2"/>
    <n v="15"/>
    <m/>
    <s v="Asarganj"/>
    <m/>
    <n v="0"/>
  </r>
  <r>
    <s v="Munger"/>
    <s v="17-23 Apr"/>
    <n v="1003"/>
    <s v="Asarganj"/>
    <x v="119"/>
    <s v="DULHAR"/>
    <s v="MPG"/>
    <s v="Direct"/>
    <n v="446.35"/>
    <n v="18179.530000000002"/>
    <n v="447.73"/>
    <n v="19020.598225748236"/>
    <n v="0"/>
    <n v="0"/>
    <n v="447.73"/>
    <n v="19020.598225748236"/>
    <n v="18179.530000000002"/>
    <n v="0"/>
    <n v="0"/>
    <n v="841.06822574823309"/>
    <n v="0"/>
    <n v="0"/>
    <n v="0"/>
    <n v="18180"/>
    <n v="0"/>
    <n v="0"/>
    <n v="0"/>
    <s v="Release1"/>
    <n v="206.61981783353872"/>
    <n v="63.76428571428572"/>
    <n v="-4.626457481289302E-2"/>
    <n v="16"/>
    <m/>
    <s v="Asarganj"/>
    <m/>
    <n v="0"/>
  </r>
  <r>
    <s v="Munger"/>
    <s v="17-23 Apr"/>
    <n v="1003"/>
    <s v="Asarganj"/>
    <x v="120"/>
    <s v="Ghorpithiya - Vikas"/>
    <s v="vlc"/>
    <s v="Indirect"/>
    <n v="434.65"/>
    <n v="18154.220000000005"/>
    <n v="0"/>
    <n v="0"/>
    <n v="0"/>
    <n v="0"/>
    <n v="0"/>
    <n v="0"/>
    <n v="18154.220000000005"/>
    <n v="0"/>
    <n v="0"/>
    <n v="0"/>
    <n v="0"/>
    <n v="0"/>
    <n v="0"/>
    <n v="0"/>
    <n v="0"/>
    <n v="18154.220000000005"/>
    <n v="0"/>
    <n v="0"/>
    <n v="221.65983099045218"/>
    <n v="62.092857142857142"/>
    <n v="0"/>
    <n v="0"/>
    <m/>
    <s v="Asarganj"/>
    <m/>
    <n v="0"/>
  </r>
  <r>
    <s v="Munger"/>
    <s v="17-23 Apr"/>
    <n v="1003"/>
    <s v="Asarganj"/>
    <x v="121"/>
    <s v="Akbarnagar - Rakhi"/>
    <s v="vlc"/>
    <s v="Indirect"/>
    <n v="1045.1499999999999"/>
    <n v="39999.760000000002"/>
    <n v="0"/>
    <n v="0"/>
    <n v="0"/>
    <n v="0"/>
    <n v="0"/>
    <n v="0"/>
    <n v="39999.760000000002"/>
    <n v="0"/>
    <n v="0"/>
    <n v="0"/>
    <n v="0"/>
    <n v="0"/>
    <n v="0"/>
    <n v="0"/>
    <n v="0"/>
    <n v="39999.760000000002"/>
    <n v="0"/>
    <n v="0"/>
    <n v="0"/>
    <n v="0"/>
    <n v="0"/>
    <n v="0"/>
    <m/>
    <s v="Asarganj"/>
    <m/>
    <n v="0"/>
  </r>
  <r>
    <s v="Munger"/>
    <s v="17-23 Apr"/>
    <n v="1003"/>
    <s v="Asarganj"/>
    <x v="956"/>
    <s v="Maheshi - Chamcham"/>
    <s v="vlc"/>
    <s v="Indirect"/>
    <n v="500"/>
    <n v="18442"/>
    <n v="0"/>
    <n v="0"/>
    <n v="0"/>
    <n v="0"/>
    <n v="0"/>
    <n v="0"/>
    <n v="18442"/>
    <n v="0"/>
    <n v="0"/>
    <n v="0"/>
    <n v="0"/>
    <n v="0"/>
    <n v="0"/>
    <n v="0"/>
    <n v="0"/>
    <n v="18442"/>
    <n v="0"/>
    <n v="0"/>
    <n v="147.536"/>
    <n v="71.428571428571431"/>
    <n v="0"/>
    <n v="0"/>
    <m/>
    <s v="Asarganj"/>
    <m/>
    <n v="0"/>
  </r>
  <r>
    <s v="Munger"/>
    <s v="17-23 Apr"/>
    <n v="1003"/>
    <s v="Asarganj"/>
    <x v="957"/>
    <s v="Ghorpithiya - Dheeraj"/>
    <s v="vlc"/>
    <s v="Indirect"/>
    <n v="4827"/>
    <n v="179087.65"/>
    <n v="0"/>
    <n v="0"/>
    <n v="0"/>
    <n v="0"/>
    <n v="0"/>
    <n v="0"/>
    <n v="179087.65"/>
    <n v="0"/>
    <n v="0"/>
    <n v="0"/>
    <n v="0"/>
    <n v="0"/>
    <n v="0"/>
    <n v="0"/>
    <n v="0"/>
    <n v="179087.65"/>
    <n v="0"/>
    <n v="0"/>
    <n v="0"/>
    <n v="0"/>
    <n v="0"/>
    <n v="0"/>
    <m/>
    <s v="Asarganj"/>
    <m/>
    <n v="0"/>
  </r>
  <r>
    <s v="Munger"/>
    <s v="17-23 Apr"/>
    <n v="1003"/>
    <s v="Asarganj"/>
    <x v="958"/>
    <s v="Asarganj Chhotki Tola - Akash"/>
    <s v="vlc"/>
    <s v="Indirect"/>
    <n v="4923"/>
    <n v="182424.34000000003"/>
    <n v="0"/>
    <n v="0"/>
    <n v="0"/>
    <n v="0"/>
    <n v="0"/>
    <n v="0"/>
    <n v="182424.34000000003"/>
    <n v="0"/>
    <n v="0"/>
    <n v="0"/>
    <n v="0"/>
    <n v="0"/>
    <n v="0"/>
    <n v="0"/>
    <n v="0"/>
    <n v="182424.34000000003"/>
    <n v="0"/>
    <n v="0"/>
    <n v="0"/>
    <n v="0"/>
    <n v="0"/>
    <n v="0"/>
    <m/>
    <s v="Asarganj"/>
    <m/>
    <n v="0"/>
  </r>
  <r>
    <s v="Munger"/>
    <s v="17-23 Apr"/>
    <n v="1003"/>
    <s v="Asarganj"/>
    <x v="959"/>
    <s v="Manikpur - Golu"/>
    <s v="vlc"/>
    <s v="Indirect"/>
    <n v="500"/>
    <n v="18521"/>
    <n v="0"/>
    <n v="0"/>
    <n v="0"/>
    <n v="0"/>
    <n v="0"/>
    <n v="0"/>
    <n v="18521"/>
    <n v="0"/>
    <n v="0"/>
    <n v="0"/>
    <n v="0"/>
    <n v="0"/>
    <n v="0"/>
    <n v="0"/>
    <n v="0"/>
    <n v="18521"/>
    <n v="0"/>
    <n v="0"/>
    <n v="148.16800000000001"/>
    <n v="71.428571428571431"/>
    <n v="0"/>
    <n v="0"/>
    <m/>
    <s v="Asarganj"/>
    <m/>
    <n v="0"/>
  </r>
  <r>
    <s v="Munger"/>
    <s v="17-23 Apr"/>
    <n v="1003"/>
    <s v="Asarganj"/>
    <x v="960"/>
    <s v="Rangaon - Jayram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  <n v="147.43199999999999"/>
    <n v="71.428571428571431"/>
    <n v="0"/>
    <n v="0"/>
    <m/>
    <s v="Asarganj"/>
    <m/>
    <n v="0"/>
  </r>
  <r>
    <s v="Munger"/>
    <s v="17-23 Apr"/>
    <n v="1003"/>
    <s v="Asarganj"/>
    <x v="961"/>
    <s v="Karso - Aparajita"/>
    <s v="vlc"/>
    <s v="Indirect"/>
    <n v="500"/>
    <n v="18456"/>
    <n v="0"/>
    <n v="0"/>
    <n v="0"/>
    <n v="0"/>
    <n v="0"/>
    <n v="0"/>
    <n v="18456"/>
    <n v="0"/>
    <n v="0"/>
    <n v="0"/>
    <n v="0"/>
    <n v="0"/>
    <n v="0"/>
    <n v="0"/>
    <n v="0"/>
    <n v="18456"/>
    <n v="0"/>
    <n v="0"/>
    <n v="147.648"/>
    <n v="71.428571428571431"/>
    <n v="0"/>
    <n v="0"/>
    <m/>
    <s v="Asarganj"/>
    <m/>
    <n v="0"/>
  </r>
  <r>
    <s v="Munger"/>
    <s v="17-23 Apr"/>
    <n v="1003"/>
    <s v="Asarganj"/>
    <x v="962"/>
    <s v="Unchagaon - Niraj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  <n v="147.43199999999999"/>
    <n v="71.428571428571431"/>
    <n v="0"/>
    <n v="0"/>
    <m/>
    <s v="Asarganj"/>
    <m/>
    <n v="0"/>
  </r>
  <r>
    <s v="Munger"/>
    <s v="17-23 Apr"/>
    <n v="1003"/>
    <s v="Asarganj"/>
    <x v="122"/>
    <s v="SRIRAMPUR"/>
    <s v="MPG"/>
    <s v="Direct"/>
    <n v="457.95"/>
    <n v="15054.430000000002"/>
    <n v="452"/>
    <n v="15508.893312"/>
    <n v="0"/>
    <n v="0"/>
    <n v="452"/>
    <n v="15508.893312"/>
    <n v="15054.430000000002"/>
    <n v="0"/>
    <n v="0"/>
    <n v="454.46331199999804"/>
    <n v="0"/>
    <n v="0"/>
    <n v="0"/>
    <n v="15054"/>
    <n v="0"/>
    <n v="0"/>
    <n v="0"/>
    <s v="Release1"/>
    <n v="159.140726345671"/>
    <n v="65.421428571428564"/>
    <n v="-3.0188011900815773E-2"/>
    <n v="2"/>
    <m/>
    <s v="Asarganj"/>
    <m/>
    <n v="0"/>
  </r>
  <r>
    <s v="Munger"/>
    <s v="17-23 Apr"/>
    <n v="1003"/>
    <s v="Asarganj"/>
    <x v="123"/>
    <s v="PAIN"/>
    <s v="MPG"/>
    <s v="Direct"/>
    <n v="688.34999999999991"/>
    <n v="24933.26"/>
    <n v="822.06000000000006"/>
    <n v="29174.702075699399"/>
    <n v="2.71"/>
    <n v="100.07134469640002"/>
    <n v="824.7700000000001"/>
    <n v="29274.773420395799"/>
    <n v="24933.26"/>
    <n v="0"/>
    <n v="100.07134469640002"/>
    <n v="4341.5134203958005"/>
    <n v="0"/>
    <n v="0"/>
    <n v="0"/>
    <n v="24833"/>
    <n v="0"/>
    <n v="0"/>
    <n v="0"/>
    <n v="0"/>
    <n v="8.4396739739958431"/>
    <n v="98.335714285714275"/>
    <n v="-0.17412538193544691"/>
    <n v="10"/>
    <m/>
    <s v="Asarganj"/>
    <m/>
    <n v="0"/>
  </r>
  <r>
    <s v="Munger"/>
    <s v="17-23 Apr"/>
    <n v="1003"/>
    <s v="Asarganj"/>
    <x v="124"/>
    <s v="MOTICHAK"/>
    <s v="MPG"/>
    <s v="Direct"/>
    <n v="749.4"/>
    <n v="26974.32"/>
    <n v="769.07999999999993"/>
    <n v="28744.916218524002"/>
    <n v="39.339999999999996"/>
    <n v="1458.013111038"/>
    <n v="808.42"/>
    <n v="30202.929329562001"/>
    <n v="26974.32"/>
    <n v="0"/>
    <n v="1458.013111038"/>
    <n v="3228.6093295620012"/>
    <n v="0"/>
    <n v="0"/>
    <n v="0"/>
    <n v="25516"/>
    <n v="0"/>
    <n v="0"/>
    <n v="0"/>
    <n v="0"/>
    <n v="0"/>
    <n v="0"/>
    <n v="-0.11969196367367189"/>
    <n v="6"/>
    <m/>
    <s v="Asarganj"/>
    <m/>
    <n v="0"/>
  </r>
  <r>
    <s v="Munger"/>
    <s v="17-23 Apr"/>
    <n v="1003"/>
    <s v="Asarganj"/>
    <x v="125"/>
    <s v="MIRATTHI"/>
    <s v="MPG"/>
    <s v="Direct"/>
    <n v="291.8"/>
    <n v="11114.119999999999"/>
    <n v="504.5"/>
    <n v="20115.8406306"/>
    <n v="0"/>
    <n v="0"/>
    <n v="504.5"/>
    <n v="20115.8406306"/>
    <n v="11114.119999999999"/>
    <n v="0"/>
    <n v="0"/>
    <n v="9001.7206306000007"/>
    <n v="0"/>
    <n v="0"/>
    <n v="0"/>
    <n v="11114"/>
    <n v="0"/>
    <n v="0"/>
    <n v="0"/>
    <n v="0"/>
    <n v="310.95159588759418"/>
    <n v="41.68571428571429"/>
    <n v="-0.80993552621350151"/>
    <n v="2"/>
    <m/>
    <s v="Asarganj"/>
    <m/>
    <n v="0"/>
  </r>
  <r>
    <s v="Munger"/>
    <s v="17-23 Apr"/>
    <n v="1003"/>
    <s v="Asarganj"/>
    <x v="126"/>
    <s v="DAULATPUR"/>
    <s v="MPG"/>
    <s v="Direct"/>
    <n v="354.75"/>
    <n v="14170.09"/>
    <n v="353.48"/>
    <n v="15462.645332728351"/>
    <n v="3.3600000000000003"/>
    <n v="146.06248381775001"/>
    <n v="356.84000000000003"/>
    <n v="15608.707816546101"/>
    <n v="14170.09"/>
    <n v="0"/>
    <n v="146.06248381775001"/>
    <n v="1438.6178165461006"/>
    <n v="0"/>
    <n v="0"/>
    <n v="0"/>
    <n v="14024"/>
    <n v="0"/>
    <n v="0"/>
    <n v="0"/>
    <n v="0"/>
    <n v="275.81246356589151"/>
    <n v="50.678571428571431"/>
    <n v="-0.10152495972475126"/>
    <n v="5"/>
    <m/>
    <s v="Asarganj"/>
    <m/>
    <n v="0"/>
  </r>
  <r>
    <s v="Munger"/>
    <s v="17-23 Apr"/>
    <n v="1003"/>
    <s v="Asarganj"/>
    <x v="127"/>
    <s v="MOHADDIPUR"/>
    <s v="MPG"/>
    <s v="Direct"/>
    <n v="55.099999999999994"/>
    <n v="1964.9"/>
    <n v="290"/>
    <n v="13896.484729349999"/>
    <n v="0"/>
    <n v="0"/>
    <n v="290"/>
    <n v="13896.484729349999"/>
    <n v="1964.9"/>
    <n v="0"/>
    <n v="0"/>
    <n v="11931.584729349999"/>
    <n v="0"/>
    <n v="0"/>
    <n v="0"/>
    <n v="1965"/>
    <n v="0"/>
    <n v="0"/>
    <n v="0"/>
    <s v="Release1"/>
    <n v="459.95063883847558"/>
    <n v="7.871428571428571"/>
    <n v="-6.072362323451574"/>
    <n v="2"/>
    <m/>
    <s v="Asarganj"/>
    <m/>
    <n v="0"/>
  </r>
  <r>
    <s v="Munger"/>
    <s v="17-23 Apr"/>
    <n v="1003"/>
    <s v="Asarganj"/>
    <x v="128"/>
    <s v="JHAJHA"/>
    <s v="MPG"/>
    <s v="Direct"/>
    <n v="534"/>
    <n v="22542.260000000002"/>
    <n v="537.76"/>
    <n v="23508.518556422328"/>
    <n v="0"/>
    <n v="0"/>
    <n v="537.76"/>
    <n v="23508.518556422328"/>
    <n v="22542.260000000002"/>
    <n v="0"/>
    <n v="0"/>
    <n v="966.25855642232636"/>
    <n v="0"/>
    <n v="0"/>
    <n v="0"/>
    <n v="22542"/>
    <n v="0"/>
    <n v="0"/>
    <n v="0"/>
    <n v="0"/>
    <n v="140.15038052434454"/>
    <n v="76.285714285714292"/>
    <n v="-4.2864316018993938E-2"/>
    <n v="10"/>
    <m/>
    <s v="Asarganj"/>
    <m/>
    <n v="0"/>
  </r>
  <r>
    <s v="Munger"/>
    <s v="17-23 Apr"/>
    <n v="1003"/>
    <s v="Asarganj"/>
    <x v="129"/>
    <s v="KAMARDUH"/>
    <s v="MPG"/>
    <s v="Direct"/>
    <n v="769.69999999999993"/>
    <n v="31779.439999999995"/>
    <n v="769.5"/>
    <n v="31770.503432292502"/>
    <n v="7"/>
    <n v="292.45203256150006"/>
    <n v="776.5"/>
    <n v="32062.955464854003"/>
    <n v="31779.439999999995"/>
    <n v="0"/>
    <n v="292.45203256150006"/>
    <n v="283.51546485400831"/>
    <n v="0"/>
    <n v="0"/>
    <n v="0"/>
    <n v="31487"/>
    <n v="0"/>
    <n v="0"/>
    <n v="0"/>
    <n v="0"/>
    <n v="0"/>
    <n v="0"/>
    <n v="-8.9213486724123627E-3"/>
    <n v="2"/>
    <m/>
    <s v="Asarganj"/>
    <m/>
    <n v="0"/>
  </r>
  <r>
    <s v="Munger"/>
    <s v="17-23 Apr"/>
    <n v="1003"/>
    <s v="Asarganj"/>
    <x v="130"/>
    <s v="BARSABAD"/>
    <s v="MPG"/>
    <s v="Direct"/>
    <n v="711.54999999999984"/>
    <n v="22717.82"/>
    <n v="725.84000000000015"/>
    <n v="26739.576493660803"/>
    <n v="5.34"/>
    <n v="198.2493065916"/>
    <n v="731.18000000000018"/>
    <n v="26937.825800252402"/>
    <n v="22717.82"/>
    <n v="0"/>
    <n v="198.2493065916"/>
    <n v="4220.005800252402"/>
    <n v="0"/>
    <n v="0"/>
    <n v="0"/>
    <n v="22520"/>
    <n v="0"/>
    <n v="0"/>
    <n v="0"/>
    <n v="0"/>
    <n v="0"/>
    <n v="0"/>
    <n v="-0.18575751547694286"/>
    <n v="9"/>
    <m/>
    <s v="Asarganj"/>
    <m/>
    <n v="0"/>
  </r>
  <r>
    <s v="Munger"/>
    <s v="17-23 Apr"/>
    <n v="1003"/>
    <s v="Asarganj"/>
    <x v="131"/>
    <s v="GONAI"/>
    <s v="MPG"/>
    <s v="Direct"/>
    <n v="617.54999999999995"/>
    <n v="24520.670000000002"/>
    <n v="631.93999999999994"/>
    <n v="24686.637798900047"/>
    <n v="3.9599999999999995"/>
    <n v="158.04899284740003"/>
    <n v="635.9"/>
    <n v="24844.686791747448"/>
    <n v="24520.670000000002"/>
    <n v="0"/>
    <n v="158.04899284740003"/>
    <n v="324.0167917474464"/>
    <n v="0"/>
    <n v="0"/>
    <n v="0"/>
    <n v="24363"/>
    <n v="0"/>
    <n v="0"/>
    <n v="0"/>
    <n v="0"/>
    <n v="65.475807351631516"/>
    <n v="88.221428571428561"/>
    <n v="-1.3214026849488468E-2"/>
    <n v="7"/>
    <m/>
    <s v="Asarganj"/>
    <m/>
    <n v="0"/>
  </r>
  <r>
    <s v="Munger"/>
    <s v="17-23 Apr"/>
    <n v="1003"/>
    <s v="Asarganj"/>
    <x v="132"/>
    <s v="SHIKARITOLA"/>
    <s v="MPG"/>
    <s v="Direct"/>
    <n v="730.6"/>
    <n v="28067.660000000003"/>
    <n v="787.65"/>
    <n v="33504.589574514466"/>
    <n v="0"/>
    <n v="0"/>
    <n v="787.65"/>
    <n v="33504.589574514466"/>
    <n v="28067.660000000003"/>
    <n v="0"/>
    <n v="0"/>
    <n v="5436.9295745144627"/>
    <n v="0"/>
    <n v="0"/>
    <n v="0"/>
    <n v="28068"/>
    <n v="0"/>
    <n v="0"/>
    <n v="0"/>
    <n v="0"/>
    <n v="0"/>
    <n v="0"/>
    <n v="-0.19370797474796481"/>
    <n v="2"/>
    <m/>
    <s v="Asarganj"/>
    <m/>
    <n v="0"/>
  </r>
  <r>
    <s v="Munger"/>
    <s v="17-23 Apr"/>
    <n v="1003"/>
    <s v="Asarganj"/>
    <x v="133"/>
    <s v="BAIKUNTHPUR"/>
    <s v="MPG"/>
    <s v="Direct"/>
    <n v="142.45000000000002"/>
    <n v="5062.16"/>
    <n v="223.09"/>
    <n v="7687.6086782879993"/>
    <n v="2.81"/>
    <n v="96.839554283999988"/>
    <n v="225.9"/>
    <n v="7784.4482325719991"/>
    <n v="5062.16"/>
    <n v="0"/>
    <n v="96.839554283999988"/>
    <n v="2722.2882325719993"/>
    <n v="0"/>
    <n v="0"/>
    <n v="0"/>
    <n v="4965"/>
    <n v="0"/>
    <n v="0"/>
    <n v="0"/>
    <s v="Release1"/>
    <n v="396.26638230958224"/>
    <n v="20.350000000000001"/>
    <n v="-0.53777206421211488"/>
    <n v="4"/>
    <m/>
    <s v="Asarganj"/>
    <m/>
    <n v="0"/>
  </r>
  <r>
    <s v="Munger"/>
    <s v="17-23 Apr"/>
    <n v="1003"/>
    <s v="Asarganj"/>
    <x v="134"/>
    <s v="KAITHA"/>
    <s v="MPG"/>
    <s v="Direct"/>
    <n v="1528"/>
    <n v="55589.32"/>
    <n v="908.96"/>
    <n v="36691.308606881968"/>
    <n v="636.46"/>
    <n v="25613.801006770678"/>
    <n v="1545.42"/>
    <n v="62305.109613652647"/>
    <n v="55589.32"/>
    <n v="0"/>
    <n v="774.85600665000015"/>
    <n v="6715.7896136526469"/>
    <n v="0"/>
    <n v="0"/>
    <n v="0"/>
    <n v="29976"/>
    <n v="24838"/>
    <n v="0"/>
    <n v="0"/>
    <n v="0"/>
    <n v="0"/>
    <n v="0"/>
    <n v="-0.12081078908057603"/>
    <n v="17"/>
    <m/>
    <s v="Asarganj"/>
    <m/>
    <n v="0"/>
  </r>
  <r>
    <s v="Munger"/>
    <s v="17-23 Apr"/>
    <n v="1003"/>
    <s v="Asarganj"/>
    <x v="135"/>
    <s v="DORAI"/>
    <s v="MPG"/>
    <s v="Direct"/>
    <n v="491.40000000000009"/>
    <n v="19568.21"/>
    <n v="599.73"/>
    <n v="24160.054976857798"/>
    <n v="26.259999999999998"/>
    <n v="989.02430441099989"/>
    <n v="625.99"/>
    <n v="25149.079281268798"/>
    <n v="19568.21"/>
    <n v="0"/>
    <n v="989.02430441099989"/>
    <n v="5580.8692812687987"/>
    <n v="0"/>
    <n v="0"/>
    <n v="0"/>
    <n v="18579"/>
    <n v="0"/>
    <n v="0"/>
    <n v="0"/>
    <n v="0"/>
    <n v="166.13466039886029"/>
    <n v="70.200000000000017"/>
    <n v="-0.28520080688365462"/>
    <n v="4"/>
    <m/>
    <s v="Asarganj"/>
    <m/>
    <n v="0"/>
  </r>
  <r>
    <s v="Munger"/>
    <s v="17-23 Apr"/>
    <n v="1003"/>
    <s v="Asarganj"/>
    <x v="136"/>
    <s v="RAGHUNATHPUR"/>
    <s v="vlc"/>
    <s v="Indirect"/>
    <n v="301.25"/>
    <n v="10401.83"/>
    <n v="0"/>
    <n v="0"/>
    <n v="0"/>
    <n v="0"/>
    <n v="0"/>
    <n v="0"/>
    <n v="10401.83"/>
    <n v="0"/>
    <n v="0"/>
    <n v="0"/>
    <n v="0"/>
    <n v="0"/>
    <n v="0"/>
    <n v="0"/>
    <n v="0"/>
    <n v="10401.83"/>
    <n v="0"/>
    <n v="0"/>
    <n v="275.3679477178423"/>
    <n v="43.035714285714285"/>
    <n v="0"/>
    <n v="0"/>
    <m/>
    <s v="Asarganj"/>
    <m/>
    <n v="0"/>
  </r>
  <r>
    <s v="Munger"/>
    <s v="17-23 Apr"/>
    <n v="1003"/>
    <s v="Asarganj"/>
    <x v="137"/>
    <s v="BANGAMA"/>
    <s v="MPG"/>
    <s v="Direct"/>
    <n v="479.70000000000005"/>
    <n v="19412.89"/>
    <n v="473"/>
    <n v="19534.856094269999"/>
    <n v="14"/>
    <n v="576.94585927000003"/>
    <n v="487"/>
    <n v="20111.801953539998"/>
    <n v="19412.89"/>
    <n v="0"/>
    <n v="576.94585927000003"/>
    <n v="698.91195353999865"/>
    <n v="0"/>
    <n v="0"/>
    <n v="0"/>
    <n v="18836"/>
    <n v="0"/>
    <n v="0"/>
    <n v="0"/>
    <n v="0"/>
    <n v="178.30559378778395"/>
    <n v="68.528571428571439"/>
    <n v="-3.6002468130195898E-2"/>
    <n v="5"/>
    <m/>
    <s v="Asarganj"/>
    <m/>
    <n v="0"/>
  </r>
  <r>
    <s v="Munger"/>
    <s v="17-23 Apr"/>
    <n v="1003"/>
    <s v="Asarganj"/>
    <x v="138"/>
    <s v="KORIYA"/>
    <s v="MPG"/>
    <s v="Direct"/>
    <n v="138.6"/>
    <n v="5948.5000000000009"/>
    <n v="141.57999999999998"/>
    <n v="6642.6384095318608"/>
    <n v="0"/>
    <n v="0"/>
    <n v="141.57999999999998"/>
    <n v="6642.6384095318608"/>
    <n v="5948.5000000000009"/>
    <n v="0"/>
    <n v="0"/>
    <n v="694.13840953185991"/>
    <n v="0"/>
    <n v="0"/>
    <n v="0"/>
    <n v="5949"/>
    <n v="0"/>
    <n v="0"/>
    <n v="0"/>
    <s v="Release1"/>
    <n v="481.88858585858594"/>
    <n v="19.8"/>
    <n v="-0.11669133555213243"/>
    <n v="8"/>
    <m/>
    <s v="Asarganj"/>
    <m/>
    <n v="0"/>
  </r>
  <r>
    <s v="Munger"/>
    <s v="17-23 Apr"/>
    <n v="1003"/>
    <s v="Asarganj"/>
    <x v="139"/>
    <s v="HARLACHAK"/>
    <s v="MPG"/>
    <s v="Direct"/>
    <n v="961.85000000000014"/>
    <n v="36733.210000000006"/>
    <n v="983.36000000000013"/>
    <n v="37232.241883467344"/>
    <n v="11.040000000000001"/>
    <n v="429.92970174000004"/>
    <n v="994.40000000000009"/>
    <n v="37662.171585207347"/>
    <n v="36733.210000000006"/>
    <n v="0"/>
    <n v="429.92970174000004"/>
    <n v="928.96158520734025"/>
    <n v="0"/>
    <n v="0"/>
    <n v="0"/>
    <n v="36303"/>
    <n v="0"/>
    <n v="0"/>
    <n v="0"/>
    <n v="0"/>
    <n v="0"/>
    <n v="0"/>
    <n v="-2.5289420260503782E-2"/>
    <n v="27"/>
    <m/>
    <s v="Asarganj"/>
    <m/>
    <n v="0"/>
  </r>
  <r>
    <s v="Munger"/>
    <s v="17-23 Apr"/>
    <n v="1003"/>
    <s v="Asarganj"/>
    <x v="140"/>
    <s v="Jangle Jhakra"/>
    <s v="MPG"/>
    <s v="Direct"/>
    <n v="1376.85"/>
    <n v="54935.339999999989"/>
    <n v="1454.59"/>
    <n v="60117.489507675113"/>
    <n v="0"/>
    <n v="0"/>
    <n v="1454.59"/>
    <n v="60117.489507675113"/>
    <n v="54935.339999999989"/>
    <n v="0"/>
    <n v="0"/>
    <n v="5182.1495076751235"/>
    <n v="0"/>
    <n v="0"/>
    <n v="0"/>
    <n v="54935"/>
    <n v="0"/>
    <n v="0"/>
    <n v="0"/>
    <n v="0"/>
    <n v="0"/>
    <n v="0"/>
    <n v="-9.4331800033914864E-2"/>
    <n v="4"/>
    <m/>
    <s v="Asarganj"/>
    <m/>
    <n v="0"/>
  </r>
  <r>
    <s v="Munger"/>
    <s v="17-23 Apr"/>
    <n v="1003"/>
    <s v="Asarganj"/>
    <x v="141"/>
    <s v="KATAHRA"/>
    <s v="MPG"/>
    <s v="Direct"/>
    <n v="185.6"/>
    <n v="7542.21"/>
    <n v="211.44"/>
    <n v="9401.8155059834171"/>
    <n v="0"/>
    <n v="0"/>
    <n v="211.44"/>
    <n v="9401.8155059834171"/>
    <n v="7542.21"/>
    <n v="0"/>
    <n v="0"/>
    <n v="1859.6055059834171"/>
    <n v="0"/>
    <n v="0"/>
    <n v="0"/>
    <n v="7542"/>
    <n v="0"/>
    <n v="0"/>
    <n v="0"/>
    <s v="Release1"/>
    <n v="418.07250258620701"/>
    <n v="26.514285714285712"/>
    <n v="-0.24655976245469391"/>
    <n v="3"/>
    <m/>
    <s v="Asarganj"/>
    <m/>
    <n v="0"/>
  </r>
  <r>
    <s v="Munger"/>
    <s v="17-23 Apr"/>
    <n v="1003"/>
    <s v="Asarganj"/>
    <x v="142"/>
    <s v="KARHARIA V"/>
    <s v="vlc"/>
    <s v="Indirect"/>
    <n v="251.5"/>
    <n v="8935.51"/>
    <n v="0"/>
    <n v="0"/>
    <n v="0"/>
    <n v="0"/>
    <n v="0"/>
    <n v="0"/>
    <n v="8935.51"/>
    <n v="0"/>
    <n v="0"/>
    <n v="0"/>
    <n v="0"/>
    <n v="0"/>
    <n v="0"/>
    <n v="0"/>
    <n v="0"/>
    <n v="8935.51"/>
    <n v="0"/>
    <n v="0"/>
    <n v="318.69393518886676"/>
    <n v="35.928571428571431"/>
    <n v="0"/>
    <n v="0"/>
    <m/>
    <s v="Asarganj"/>
    <m/>
    <n v="0"/>
  </r>
  <r>
    <s v="Munger"/>
    <s v="17-23 Apr"/>
    <n v="1003"/>
    <s v="Asarganj"/>
    <x v="143"/>
    <s v="BALADEV ITAHARI"/>
    <s v="MPG"/>
    <s v="Direct"/>
    <n v="389.35"/>
    <n v="12902.240000000002"/>
    <n v="401.15999999999997"/>
    <n v="14735.445281262444"/>
    <n v="0"/>
    <n v="0"/>
    <n v="401.15999999999997"/>
    <n v="14735.445281262444"/>
    <n v="12902.240000000002"/>
    <n v="0"/>
    <n v="0"/>
    <n v="1833.2052812624424"/>
    <n v="0"/>
    <n v="0"/>
    <n v="0"/>
    <n v="12902"/>
    <n v="0"/>
    <n v="0"/>
    <n v="0"/>
    <n v="0"/>
    <n v="205.885750918197"/>
    <n v="55.621428571428574"/>
    <n v="-0.14208426453564979"/>
    <n v="5"/>
    <m/>
    <s v="Asarganj"/>
    <m/>
    <n v="0"/>
  </r>
  <r>
    <s v="Munger"/>
    <s v="17-23 Apr"/>
    <n v="1003"/>
    <s v="Asarganj"/>
    <x v="144"/>
    <s v="GOMUKH KODAND"/>
    <s v="vlc"/>
    <s v="Indirect"/>
    <n v="179.2"/>
    <n v="6561.08"/>
    <n v="0"/>
    <n v="0"/>
    <n v="0"/>
    <n v="0"/>
    <n v="0"/>
    <n v="0"/>
    <n v="6561.08"/>
    <n v="0"/>
    <n v="0"/>
    <n v="0"/>
    <n v="0"/>
    <n v="0"/>
    <n v="0"/>
    <n v="0"/>
    <n v="0"/>
    <n v="6561.08"/>
    <n v="0"/>
    <n v="0"/>
    <n v="381.36277500000006"/>
    <n v="25.599999999999998"/>
    <n v="0"/>
    <n v="0"/>
    <m/>
    <s v="Asarganj"/>
    <m/>
    <n v="0"/>
  </r>
  <r>
    <s v="Munger"/>
    <s v="17-23 Apr"/>
    <n v="1003"/>
    <s v="Asarganj"/>
    <x v="145"/>
    <s v="PAHALANPUR"/>
    <s v="MPG"/>
    <s v="Direct"/>
    <n v="625"/>
    <n v="24176.29"/>
    <n v="671.24"/>
    <n v="25375.112609498054"/>
    <n v="0"/>
    <n v="0"/>
    <n v="671.24"/>
    <n v="25375.112609498054"/>
    <n v="24176.29"/>
    <n v="0"/>
    <n v="0"/>
    <n v="1198.8226094980528"/>
    <n v="0"/>
    <n v="0"/>
    <n v="0"/>
    <n v="24176"/>
    <n v="0"/>
    <n v="0"/>
    <n v="0"/>
    <n v="0"/>
    <n v="58.023095999999967"/>
    <n v="89.285714285714292"/>
    <n v="-4.9586707038096117E-2"/>
    <n v="28"/>
    <m/>
    <s v="Asarganj"/>
    <m/>
    <n v="0"/>
  </r>
  <r>
    <s v="Munger"/>
    <s v="17-23 Apr"/>
    <n v="1003"/>
    <s v="Asarganj"/>
    <x v="146"/>
    <s v="TETARIYA"/>
    <s v="vlc"/>
    <s v="Indirect"/>
    <n v="147.44999999999999"/>
    <n v="5767.9999999999991"/>
    <n v="0"/>
    <n v="0"/>
    <n v="0"/>
    <n v="0"/>
    <n v="0"/>
    <n v="0"/>
    <n v="5767.9999999999991"/>
    <n v="0"/>
    <n v="0"/>
    <n v="0"/>
    <n v="0"/>
    <n v="0"/>
    <n v="0"/>
    <n v="0"/>
    <n v="0"/>
    <n v="5767.9999999999991"/>
    <n v="0"/>
    <n v="0"/>
    <n v="432.29683282468619"/>
    <n v="21.064285714285713"/>
    <n v="0"/>
    <n v="0"/>
    <m/>
    <s v="Asarganj"/>
    <m/>
    <n v="0"/>
  </r>
  <r>
    <s v="Munger"/>
    <s v="17-23 Apr"/>
    <n v="1003"/>
    <s v="Asarganj"/>
    <x v="147"/>
    <s v="RAMBRAN YADAV"/>
    <s v="MPG"/>
    <s v="Direct"/>
    <n v="178.20000000000002"/>
    <n v="6610.51"/>
    <n v="177.8"/>
    <n v="6595.1748403199999"/>
    <n v="0"/>
    <n v="0"/>
    <n v="177.8"/>
    <n v="6595.1748403199999"/>
    <n v="6595.1748403199999"/>
    <n v="0"/>
    <n v="0"/>
    <n v="0"/>
    <n v="0"/>
    <n v="0"/>
    <n v="0"/>
    <n v="6595"/>
    <n v="0"/>
    <n v="0"/>
    <n v="16"/>
    <n v="0"/>
    <n v="387.13401997755324"/>
    <n v="25.457142857142859"/>
    <n v="2.3198149129190163E-3"/>
    <n v="1"/>
    <m/>
    <s v="Asarganj"/>
    <m/>
    <n v="0"/>
  </r>
  <r>
    <s v="Munger"/>
    <s v="17-23 Apr"/>
    <n v="1003"/>
    <s v="Asarganj"/>
    <x v="148"/>
    <s v="Gomukh Beldra"/>
    <s v="MPG"/>
    <s v="Indirect"/>
    <n v="156.55000000000001"/>
    <n v="5157.3599999999997"/>
    <n v="0"/>
    <n v="0"/>
    <n v="0"/>
    <n v="0"/>
    <n v="0"/>
    <n v="0"/>
    <n v="5157.3599999999997"/>
    <n v="0"/>
    <n v="0"/>
    <n v="0"/>
    <n v="0"/>
    <n v="0"/>
    <n v="0"/>
    <n v="0"/>
    <n v="0"/>
    <n v="5157.3599999999997"/>
    <n v="0"/>
    <n v="0"/>
    <n v="358.06672526349399"/>
    <n v="22.364285714285717"/>
    <n v="0"/>
    <n v="0"/>
    <m/>
    <s v="Asarganj"/>
    <m/>
    <n v="0"/>
  </r>
  <r>
    <s v="Munger"/>
    <s v="17-23 Apr"/>
    <n v="1003"/>
    <s v="Asarganj"/>
    <x v="149"/>
    <s v="Gomukh Chandanpura"/>
    <s v="MPG"/>
    <s v="Indirect"/>
    <n v="276.8"/>
    <n v="9630.9"/>
    <n v="0"/>
    <n v="0"/>
    <n v="0"/>
    <n v="0"/>
    <n v="0"/>
    <n v="0"/>
    <n v="9630.9"/>
    <n v="0"/>
    <n v="0"/>
    <n v="0"/>
    <n v="0"/>
    <n v="0"/>
    <n v="0"/>
    <n v="0"/>
    <n v="0"/>
    <n v="9630.9"/>
    <n v="0"/>
    <n v="0"/>
    <n v="294.49399421965319"/>
    <n v="39.542857142857144"/>
    <n v="0"/>
    <n v="0"/>
    <m/>
    <s v="Asarganj"/>
    <m/>
    <n v="0"/>
  </r>
  <r>
    <s v="Munger"/>
    <s v="17-23 Apr"/>
    <n v="1004"/>
    <s v="Tofir"/>
    <x v="150"/>
    <s v="GOMUKH GANGA SAHYOG"/>
    <s v="vlc"/>
    <s v="Indirect"/>
    <n v="708.7"/>
    <n v="24230.45"/>
    <n v="0"/>
    <n v="0"/>
    <n v="0"/>
    <n v="0"/>
    <n v="0"/>
    <n v="0"/>
    <n v="24230.45"/>
    <n v="0"/>
    <n v="0"/>
    <n v="0"/>
    <n v="0"/>
    <n v="0"/>
    <n v="0"/>
    <n v="0"/>
    <n v="0"/>
    <n v="24230.45"/>
    <n v="0"/>
    <n v="0"/>
    <n v="0"/>
    <n v="0"/>
    <n v="0"/>
    <n v="0"/>
    <m/>
    <s v="Tofir"/>
    <m/>
    <n v="0"/>
  </r>
  <r>
    <s v="Munger"/>
    <s v="17-23 Apr"/>
    <n v="1006"/>
    <s v="Sonvarsha"/>
    <x v="151"/>
    <s v="MANO"/>
    <s v="vlc"/>
    <s v="Indirect"/>
    <n v="519.80000000000007"/>
    <n v="21235.540000000005"/>
    <n v="0"/>
    <n v="0"/>
    <n v="0"/>
    <n v="0"/>
    <n v="0"/>
    <n v="0"/>
    <n v="21235.540000000005"/>
    <n v="0"/>
    <n v="0"/>
    <n v="0"/>
    <n v="0"/>
    <n v="667.9523419354839"/>
    <n v="0"/>
    <n v="0"/>
    <n v="0"/>
    <n v="20567.58765806452"/>
    <n v="0"/>
    <n v="0"/>
    <n v="147.23525617545207"/>
    <n v="74.257142857142867"/>
    <n v="0"/>
    <n v="0"/>
    <m/>
    <s v="Sonvarsha"/>
    <m/>
    <n v="0"/>
  </r>
  <r>
    <s v="Munger"/>
    <s v="17-23 Apr"/>
    <n v="1006"/>
    <s v="Sonvarsha"/>
    <x v="152"/>
    <s v="PURANI SALEMPUR"/>
    <s v="vlc"/>
    <s v="Indirect"/>
    <n v="1107.5999999999999"/>
    <n v="41907.26"/>
    <n v="0"/>
    <n v="0"/>
    <n v="0"/>
    <n v="0"/>
    <n v="0"/>
    <n v="0"/>
    <n v="41907.26"/>
    <n v="0"/>
    <n v="0"/>
    <n v="0"/>
    <n v="0"/>
    <n v="0"/>
    <n v="0"/>
    <n v="0"/>
    <n v="0"/>
    <n v="41907.26"/>
    <n v="0"/>
    <n v="0"/>
    <n v="0"/>
    <n v="0"/>
    <n v="0"/>
    <n v="0"/>
    <m/>
    <s v="Sonvarsha"/>
    <m/>
    <n v="0"/>
  </r>
  <r>
    <s v="Munger"/>
    <s v="17-23 Apr"/>
    <n v="1006"/>
    <s v="Sonvarsha"/>
    <x v="153"/>
    <s v="DHANDHHA"/>
    <s v="vlc"/>
    <s v="Indirect"/>
    <n v="2450.4"/>
    <n v="94916.389999999985"/>
    <n v="0"/>
    <n v="0"/>
    <n v="0"/>
    <n v="0"/>
    <n v="0"/>
    <n v="0"/>
    <n v="94916.389999999985"/>
    <n v="0"/>
    <n v="0"/>
    <n v="0"/>
    <n v="0"/>
    <n v="0"/>
    <n v="0"/>
    <n v="0"/>
    <n v="0"/>
    <n v="94916.389999999985"/>
    <n v="0"/>
    <n v="0"/>
    <n v="0"/>
    <n v="0"/>
    <n v="0"/>
    <n v="0"/>
    <m/>
    <s v="Sonvarsha"/>
    <m/>
    <n v="0"/>
  </r>
  <r>
    <s v="Munger"/>
    <s v="17-23 Apr"/>
    <n v="1006"/>
    <s v="Sonvarsha"/>
    <x v="154"/>
    <s v="CHALISH"/>
    <s v="vlc"/>
    <s v="Indirect"/>
    <n v="938.5"/>
    <n v="36736.520000000004"/>
    <n v="0"/>
    <n v="0"/>
    <n v="0"/>
    <n v="0"/>
    <n v="0"/>
    <n v="0"/>
    <n v="36736.520000000004"/>
    <n v="6020"/>
    <n v="0"/>
    <n v="0"/>
    <n v="0"/>
    <n v="0"/>
    <n v="0"/>
    <n v="0"/>
    <n v="0"/>
    <n v="30716.520000000004"/>
    <n v="0"/>
    <n v="0"/>
    <n v="0"/>
    <n v="0"/>
    <n v="0"/>
    <n v="0"/>
    <m/>
    <s v="Sonvarsha"/>
    <m/>
    <n v="0"/>
  </r>
  <r>
    <s v="Munger"/>
    <s v="17-23 Apr"/>
    <n v="1006"/>
    <s v="Sonvarsha"/>
    <x v="155"/>
    <s v="MAA BHAGWATI"/>
    <s v="vlc"/>
    <s v="Indirect"/>
    <n v="1204.8"/>
    <n v="42780.759999999995"/>
    <n v="0"/>
    <n v="0"/>
    <n v="0"/>
    <n v="0"/>
    <n v="0"/>
    <n v="0"/>
    <n v="42780.759999999995"/>
    <n v="0"/>
    <n v="0"/>
    <n v="0"/>
    <n v="0"/>
    <n v="0"/>
    <n v="0"/>
    <n v="0"/>
    <n v="0"/>
    <n v="42780.759999999995"/>
    <n v="0"/>
    <n v="0"/>
    <n v="0"/>
    <n v="0"/>
    <n v="0"/>
    <n v="0"/>
    <m/>
    <s v="Sonvarsha"/>
    <m/>
    <n v="0"/>
  </r>
  <r>
    <s v="Munger"/>
    <s v="17-23 Apr"/>
    <n v="1006"/>
    <s v="Sonvarsha"/>
    <x v="156"/>
    <s v="MAIDINICHOKI"/>
    <s v="vlc"/>
    <s v="Indirect"/>
    <n v="729.2"/>
    <n v="26141.760000000002"/>
    <n v="0"/>
    <n v="0"/>
    <n v="0"/>
    <n v="0"/>
    <n v="0"/>
    <n v="0"/>
    <n v="26141.760000000002"/>
    <n v="0"/>
    <n v="0"/>
    <n v="0"/>
    <n v="0"/>
    <n v="0"/>
    <n v="0"/>
    <n v="0"/>
    <n v="0"/>
    <n v="26141.760000000002"/>
    <n v="0"/>
    <n v="0"/>
    <n v="0"/>
    <n v="0"/>
    <n v="0"/>
    <n v="0"/>
    <m/>
    <s v="Sonvarsha"/>
    <m/>
    <n v="0"/>
  </r>
  <r>
    <s v="Munger"/>
    <s v="17-23 Apr"/>
    <n v="1006"/>
    <s v="Sonvarsha"/>
    <x v="157"/>
    <s v="GOMUKH JAJWARA"/>
    <s v="vlc"/>
    <s v="Indirect"/>
    <n v="1626.9999999999998"/>
    <n v="64617.279999999992"/>
    <n v="0"/>
    <n v="0"/>
    <n v="0"/>
    <n v="0"/>
    <n v="0"/>
    <n v="0"/>
    <n v="64617.279999999992"/>
    <n v="0"/>
    <n v="0"/>
    <n v="0"/>
    <n v="0"/>
    <n v="0"/>
    <n v="0"/>
    <n v="0"/>
    <n v="0"/>
    <n v="64617.279999999992"/>
    <n v="0"/>
    <n v="0"/>
    <n v="0"/>
    <n v="0"/>
    <n v="0"/>
    <n v="0"/>
    <m/>
    <s v="Sonvarsha"/>
    <m/>
    <n v="0"/>
  </r>
  <r>
    <s v="Munger"/>
    <s v="17-23 Apr"/>
    <n v="1006"/>
    <s v="Sonvarsha"/>
    <x v="158"/>
    <s v="Gomukh ID Sonvarsha"/>
    <s v="vlc"/>
    <s v="Indirect"/>
    <n v="1837.3000000000002"/>
    <n v="70885.929999999993"/>
    <n v="0"/>
    <n v="0"/>
    <n v="0"/>
    <n v="0"/>
    <n v="0"/>
    <n v="0"/>
    <n v="70885.929999999993"/>
    <n v="0"/>
    <n v="0"/>
    <n v="0"/>
    <n v="6500"/>
    <n v="0"/>
    <n v="0"/>
    <n v="0"/>
    <n v="0"/>
    <n v="64385.929999999993"/>
    <n v="0"/>
    <n v="0"/>
    <n v="0"/>
    <n v="0"/>
    <n v="0"/>
    <n v="0"/>
    <m/>
    <s v="Sonvarsha"/>
    <m/>
    <n v="0"/>
  </r>
  <r>
    <s v="Munger"/>
    <s v="17-23 Apr"/>
    <n v="1059"/>
    <s v="Gopalpur Bmc"/>
    <x v="159"/>
    <s v="BALHAPUR"/>
    <s v="MPG"/>
    <s v="Direct"/>
    <n v="462.2"/>
    <n v="22157.42"/>
    <n v="461.81000000000012"/>
    <n v="22201.568626266475"/>
    <n v="9.9"/>
    <n v="457.38245144517998"/>
    <n v="471.71000000000009"/>
    <n v="22658.951077711656"/>
    <n v="22157.42"/>
    <n v="0"/>
    <n v="457.38245144517998"/>
    <n v="501.53107771165742"/>
    <n v="0"/>
    <n v="0"/>
    <n v="0"/>
    <n v="21700"/>
    <n v="0"/>
    <n v="0"/>
    <n v="0"/>
    <s v="Release1"/>
    <n v="227.99803011683255"/>
    <n v="66.028571428571425"/>
    <n v="-2.2634904140990127E-2"/>
    <n v="24"/>
    <m/>
    <s v="Gopalpur Bmc"/>
    <m/>
    <n v="0"/>
  </r>
  <r>
    <s v="Munger"/>
    <s v="17-23 Apr"/>
    <n v="1006"/>
    <s v="Sonvarsha"/>
    <x v="162"/>
    <s v="Gomukh ID Prarotol"/>
    <s v="vlc"/>
    <s v="Indirect"/>
    <n v="25"/>
    <n v="975.86"/>
    <n v="0"/>
    <n v="0"/>
    <n v="0"/>
    <n v="0"/>
    <n v="0"/>
    <n v="0"/>
    <n v="975.86"/>
    <n v="0"/>
    <n v="0"/>
    <n v="0"/>
    <n v="0"/>
    <n v="0"/>
    <n v="0"/>
    <n v="0"/>
    <n v="0"/>
    <n v="975.86"/>
    <n v="0"/>
    <n v="0"/>
    <n v="526.96439999999996"/>
    <n v="3.5714285714285716"/>
    <n v="0"/>
    <n v="0"/>
    <m/>
    <s v="Sonvarsha"/>
    <m/>
    <n v="0"/>
  </r>
  <r>
    <s v="Munger"/>
    <s v="17-23 Apr"/>
    <n v="1006"/>
    <s v="Sonvarsha"/>
    <x v="163"/>
    <s v="MAA SARDE"/>
    <s v="vlc"/>
    <s v="Indirect"/>
    <n v="939"/>
    <n v="34051.800000000003"/>
    <n v="0"/>
    <n v="0"/>
    <n v="0"/>
    <n v="0"/>
    <n v="0"/>
    <n v="0"/>
    <n v="34051.800000000003"/>
    <n v="0"/>
    <n v="0"/>
    <n v="0"/>
    <n v="0"/>
    <n v="670.16119354838713"/>
    <n v="0"/>
    <n v="0"/>
    <n v="0"/>
    <n v="33381.638806451614"/>
    <n v="0"/>
    <n v="0"/>
    <n v="0"/>
    <n v="0"/>
    <n v="0"/>
    <n v="0"/>
    <m/>
    <s v="Sonvarsha"/>
    <m/>
    <n v="0"/>
  </r>
  <r>
    <s v="Munger"/>
    <s v="17-23 Apr"/>
    <n v="1006"/>
    <s v="Sonvarsha"/>
    <x v="164"/>
    <s v="PURANI DIH"/>
    <s v="vlc"/>
    <s v="Indirect"/>
    <n v="552.5"/>
    <n v="20662.010000000002"/>
    <n v="0"/>
    <n v="0"/>
    <n v="0"/>
    <n v="0"/>
    <n v="0"/>
    <n v="0"/>
    <n v="20662.010000000002"/>
    <n v="0"/>
    <n v="0"/>
    <n v="0"/>
    <n v="0"/>
    <n v="805.3975354838708"/>
    <n v="0"/>
    <n v="0"/>
    <n v="0"/>
    <n v="19856.612464516133"/>
    <n v="0"/>
    <n v="0"/>
    <n v="110.32204434389142"/>
    <n v="78.928571428571431"/>
    <n v="0"/>
    <n v="0"/>
    <m/>
    <s v="Sonvarsha"/>
    <m/>
    <n v="0"/>
  </r>
  <r>
    <s v="Munger"/>
    <s v="17-23 Apr"/>
    <n v="1006"/>
    <s v="Sonvarsha"/>
    <x v="165"/>
    <s v="Farda Ravi Tola"/>
    <s v="MPG"/>
    <s v="Direct"/>
    <n v="582.6"/>
    <n v="21704.919999999995"/>
    <n v="645.5"/>
    <n v="24469.066159560003"/>
    <n v="52.7"/>
    <n v="1985.8273696800002"/>
    <n v="698.2"/>
    <n v="26454.893529240002"/>
    <n v="21704.919999999995"/>
    <n v="0"/>
    <n v="1985.8273696800002"/>
    <n v="4749.9735292400073"/>
    <n v="0"/>
    <n v="1324.2071400000004"/>
    <n v="0"/>
    <n v="18395"/>
    <n v="0"/>
    <n v="0"/>
    <n v="0"/>
    <n v="0"/>
    <n v="87.475372742876729"/>
    <n v="83.228571428571428"/>
    <n v="-0.21884317146711477"/>
    <n v="5"/>
    <m/>
    <s v="Sonvarsha"/>
    <m/>
    <n v="0"/>
  </r>
  <r>
    <s v="Munger"/>
    <s v="17-23 Apr"/>
    <n v="1006"/>
    <s v="Sonvarsha"/>
    <x v="166"/>
    <s v="Gomukh Puranidih 2"/>
    <s v="vlc"/>
    <s v="Indirect"/>
    <n v="122.6"/>
    <n v="5248.9000000000005"/>
    <n v="0"/>
    <n v="0"/>
    <n v="0"/>
    <n v="0"/>
    <n v="0"/>
    <n v="0"/>
    <n v="5248.9000000000005"/>
    <n v="0"/>
    <n v="0"/>
    <n v="0"/>
    <n v="0"/>
    <n v="0"/>
    <n v="0"/>
    <n v="0"/>
    <n v="0"/>
    <n v="5248.9000000000005"/>
    <n v="0"/>
    <n v="0"/>
    <n v="494.40699184339326"/>
    <n v="17.514285714285712"/>
    <n v="0"/>
    <n v="0"/>
    <m/>
    <s v="Sonvarsha"/>
    <m/>
    <n v="0"/>
  </r>
  <r>
    <s v="Munger"/>
    <s v="17-23 Apr"/>
    <n v="1006"/>
    <s v="Sonvarsha"/>
    <x v="167"/>
    <s v="Gomukh Arma"/>
    <s v="MPG"/>
    <s v="Direct"/>
    <n v="385.8"/>
    <n v="17387.53"/>
    <n v="386.25"/>
    <n v="18659.473082210599"/>
    <n v="1.9999999999999998"/>
    <n v="99.683912776000014"/>
    <n v="388.25"/>
    <n v="18759.156994986599"/>
    <n v="17387.53"/>
    <n v="0"/>
    <n v="99.683912776000014"/>
    <n v="1371.6269949866"/>
    <n v="0"/>
    <n v="0"/>
    <n v="0"/>
    <n v="17288"/>
    <n v="0"/>
    <n v="0"/>
    <n v="0"/>
    <n v="0"/>
    <n v="283.21212680145152"/>
    <n v="55.114285714285714"/>
    <n v="-7.8885672374776644E-2"/>
    <n v="4"/>
    <m/>
    <s v="Sonvarsha"/>
    <m/>
    <n v="0"/>
  </r>
  <r>
    <s v="Munger"/>
    <s v="17-23 Apr"/>
    <n v="1059"/>
    <s v="Gopalpur Bmc"/>
    <x v="168"/>
    <s v="Singhchak"/>
    <s v="MPG"/>
    <s v="Direct"/>
    <n v="1217.5999999999999"/>
    <n v="52711.89"/>
    <n v="1228.2199999999998"/>
    <n v="52403.502846233692"/>
    <n v="19"/>
    <n v="787.98180320640006"/>
    <n v="1247.2199999999998"/>
    <n v="53191.484649440092"/>
    <n v="52711.89"/>
    <n v="1006"/>
    <n v="787.98180320640006"/>
    <n v="479.59464944009233"/>
    <n v="0"/>
    <n v="0"/>
    <n v="0"/>
    <n v="50918"/>
    <n v="0"/>
    <n v="0"/>
    <n v="0"/>
    <n v="0"/>
    <n v="0"/>
    <n v="0"/>
    <n v="-9.0984149769642551E-3"/>
    <n v="62"/>
    <m/>
    <s v="Gopalpur Bmc"/>
    <m/>
    <n v="0"/>
  </r>
  <r>
    <s v="Munger"/>
    <s v="17-23 Apr"/>
    <n v="1006"/>
    <s v="Sonvarsha"/>
    <x v="169"/>
    <s v="MAHA-LAXMI"/>
    <s v="vlc"/>
    <s v="Indirect"/>
    <n v="643.29999999999984"/>
    <n v="23975.170000000002"/>
    <n v="0"/>
    <n v="0"/>
    <n v="0"/>
    <n v="0"/>
    <n v="0"/>
    <n v="0"/>
    <n v="23975.170000000002"/>
    <n v="0"/>
    <n v="0"/>
    <n v="0"/>
    <n v="0"/>
    <n v="22.411470967742062"/>
    <n v="0"/>
    <n v="0"/>
    <n v="0"/>
    <n v="23952.75852903226"/>
    <n v="0"/>
    <n v="0"/>
    <n v="42.263085310119834"/>
    <n v="91.899999999999977"/>
    <n v="0"/>
    <n v="0"/>
    <m/>
    <s v="Sonvarsha"/>
    <m/>
    <n v="0"/>
  </r>
  <r>
    <s v="Munger"/>
    <s v="17-23 Apr"/>
    <n v="1006"/>
    <s v="Sonvarsha"/>
    <x v="170"/>
    <s v="PAWAI"/>
    <s v="MPG"/>
    <s v="Direct"/>
    <n v="1039.5999999999999"/>
    <n v="45137.359999999993"/>
    <n v="1045.1000000000001"/>
    <n v="45427.983108605586"/>
    <n v="13.959999999999999"/>
    <n v="721.33006610226005"/>
    <n v="1059.0600000000002"/>
    <n v="46149.313174707844"/>
    <n v="45137.359999999993"/>
    <n v="0"/>
    <n v="721.33006610226005"/>
    <n v="1011.9531747078508"/>
    <n v="0"/>
    <n v="0"/>
    <n v="0"/>
    <n v="44416"/>
    <n v="0"/>
    <n v="0"/>
    <n v="0"/>
    <n v="0"/>
    <n v="0"/>
    <n v="0"/>
    <n v="-2.2419414310182319E-2"/>
    <n v="32"/>
    <m/>
    <s v="Sonvarsha"/>
    <m/>
    <n v="0"/>
  </r>
  <r>
    <s v="Munger"/>
    <s v="17-23 Apr"/>
    <n v="1006"/>
    <s v="Sonvarsha"/>
    <x v="171"/>
    <s v="LAKHOCHAK                                                                                           "/>
    <s v="MPG"/>
    <s v="Direct"/>
    <n v="306.09999999999997"/>
    <n v="13032.58"/>
    <n v="308.19999999999993"/>
    <n v="14155.553509093705"/>
    <n v="0"/>
    <n v="0"/>
    <n v="308.19999999999993"/>
    <n v="14155.553509093705"/>
    <n v="13032.58"/>
    <n v="0"/>
    <n v="0"/>
    <n v="1122.9735090937047"/>
    <n v="0"/>
    <n v="19.18"/>
    <n v="0"/>
    <n v="13013"/>
    <n v="0"/>
    <n v="0"/>
    <n v="0"/>
    <s v="Release1"/>
    <n v="335.41543691604056"/>
    <n v="43.728571428571421"/>
    <n v="-8.6166630789429627E-2"/>
    <n v="9"/>
    <m/>
    <s v="Sonvarsha"/>
    <m/>
    <n v="0"/>
  </r>
  <r>
    <s v="Munger"/>
    <s v="17-23 Apr"/>
    <n v="1059"/>
    <s v="Gopalpur Bmc"/>
    <x v="172"/>
    <s v="BATTA RAMPUR                                                                                        "/>
    <s v="MPG"/>
    <s v="Direct"/>
    <n v="2487.4999999999995"/>
    <n v="121684.49000000002"/>
    <n v="2572.54"/>
    <n v="125406.75333822117"/>
    <n v="24.830000000000002"/>
    <n v="1588.1128328460518"/>
    <n v="2597.37"/>
    <n v="126994.86617106722"/>
    <n v="121684.49000000002"/>
    <n v="0"/>
    <n v="1588.1128328460518"/>
    <n v="5310.376171067197"/>
    <n v="0"/>
    <n v="0"/>
    <n v="0"/>
    <n v="120096"/>
    <n v="0"/>
    <n v="0"/>
    <n v="0"/>
    <n v="0"/>
    <n v="0"/>
    <n v="0"/>
    <n v="-4.3640534394048053E-2"/>
    <n v="44"/>
    <m/>
    <s v="Gopalpur Bmc"/>
    <m/>
    <n v="0"/>
  </r>
  <r>
    <s v="Munger"/>
    <s v="17-23 Apr"/>
    <n v="1059"/>
    <s v="Gopalpur Bmc"/>
    <x v="173"/>
    <s v="DARISHIR"/>
    <s v="MPG"/>
    <s v="Direct"/>
    <n v="26.5"/>
    <n v="1098.3399999999999"/>
    <n v="28.8"/>
    <n v="1064.4784128000001"/>
    <n v="0"/>
    <n v="0"/>
    <n v="28.8"/>
    <n v="1064.4784128000001"/>
    <n v="1064.4784128000001"/>
    <n v="0"/>
    <n v="0"/>
    <n v="0"/>
    <n v="0"/>
    <n v="0"/>
    <n v="0"/>
    <n v="1064"/>
    <n v="0"/>
    <n v="0"/>
    <n v="34"/>
    <n v="0"/>
    <n v="558.28829433962267"/>
    <n v="3.7857142857142856"/>
    <n v="3.0829786040752233E-2"/>
    <n v="1"/>
    <m/>
    <s v="Gopalpur Bmc"/>
    <m/>
    <n v="0"/>
  </r>
  <r>
    <s v="Munger"/>
    <s v="17-23 Apr"/>
    <n v="1006"/>
    <s v="Sonvarsha"/>
    <x v="963"/>
    <s v="RANDHIR KUMAR(VLC)"/>
    <s v="vlc"/>
    <s v="Indirect"/>
    <n v="500"/>
    <n v="18480"/>
    <n v="0"/>
    <n v="0"/>
    <n v="0"/>
    <n v="0"/>
    <n v="0"/>
    <n v="0"/>
    <n v="18480"/>
    <n v="0"/>
    <n v="0"/>
    <n v="0"/>
    <n v="0"/>
    <n v="0"/>
    <n v="0"/>
    <n v="0"/>
    <n v="0"/>
    <n v="18480"/>
    <n v="0"/>
    <n v="0"/>
    <n v="147.84"/>
    <n v="71.428571428571431"/>
    <n v="0"/>
    <n v="0"/>
    <m/>
    <s v="Sonvarsha"/>
    <m/>
    <n v="0"/>
  </r>
  <r>
    <s v="Munger"/>
    <s v="17-23 Apr"/>
    <n v="1006"/>
    <s v="Sonvarsha"/>
    <x v="175"/>
    <s v="Abgil Rampur - Rohit"/>
    <s v="vlc"/>
    <s v="Indirect"/>
    <n v="36.700000000000003"/>
    <n v="1279.98"/>
    <n v="0"/>
    <n v="0"/>
    <n v="0"/>
    <n v="0"/>
    <n v="0"/>
    <n v="0"/>
    <n v="1279.98"/>
    <n v="0"/>
    <n v="0"/>
    <n v="0"/>
    <n v="0"/>
    <n v="0"/>
    <n v="0"/>
    <n v="0"/>
    <n v="0"/>
    <n v="1279.98"/>
    <n v="0"/>
    <n v="0"/>
    <n v="462.67614931880104"/>
    <n v="5.2428571428571429"/>
    <n v="0"/>
    <n v="0"/>
    <m/>
    <s v="Sonvarsha"/>
    <m/>
    <n v="0"/>
  </r>
  <r>
    <s v="Munger"/>
    <s v="17-23 Apr"/>
    <n v="1059"/>
    <s v="Gopalpur Bmc"/>
    <x v="176"/>
    <s v="MALIYA"/>
    <s v="MPG"/>
    <s v="Direct"/>
    <n v="678.30000000000007"/>
    <n v="28833.96"/>
    <n v="693.32"/>
    <n v="31218.737861423073"/>
    <n v="8.4"/>
    <n v="388.52560230498011"/>
    <n v="701.72"/>
    <n v="31607.263463728053"/>
    <n v="28833.96"/>
    <n v="0"/>
    <n v="388.52560230498011"/>
    <n v="2773.3034637280543"/>
    <n v="0"/>
    <n v="0"/>
    <n v="0"/>
    <n v="28445"/>
    <n v="0"/>
    <n v="0"/>
    <n v="0"/>
    <s v="Release1"/>
    <n v="18.448973374612965"/>
    <n v="96.9"/>
    <n v="-9.6181844731977661E-2"/>
    <n v="24"/>
    <m/>
    <s v="Gopalpur Bmc"/>
    <m/>
    <n v="0"/>
  </r>
  <r>
    <s v="Munger"/>
    <s v="17-23 Apr"/>
    <n v="1059"/>
    <s v="Gopalpur Bmc"/>
    <x v="177"/>
    <s v="MAHULIYA"/>
    <s v="MPG"/>
    <s v="Direct"/>
    <n v="393.79999999999995"/>
    <n v="17099.89"/>
    <n v="391.03999999999985"/>
    <n v="16913.7219100318"/>
    <n v="6.7100000000000017"/>
    <n v="286.30777140728009"/>
    <n v="397.74999999999983"/>
    <n v="17200.029681439079"/>
    <n v="17099.89"/>
    <n v="0"/>
    <n v="286.30777140728009"/>
    <n v="100.13968143907914"/>
    <n v="0"/>
    <n v="0"/>
    <n v="0"/>
    <n v="16814"/>
    <n v="0"/>
    <n v="0"/>
    <n v="0"/>
    <s v="Release1"/>
    <n v="265.92109283900464"/>
    <n v="56.257142857142853"/>
    <n v="-5.8561593927843481E-3"/>
    <n v="15"/>
    <m/>
    <s v="Gopalpur Bmc"/>
    <m/>
    <n v="0"/>
  </r>
  <r>
    <s v="Munger"/>
    <s v="17-23 Apr"/>
    <n v="1006"/>
    <s v="Sonvarsha"/>
    <x v="178"/>
    <s v="ABGIL RAMPUR"/>
    <s v="vlc"/>
    <s v="Indirect"/>
    <n v="78.5"/>
    <n v="2771.46"/>
    <n v="0"/>
    <n v="0"/>
    <n v="0"/>
    <n v="0"/>
    <n v="0"/>
    <n v="0"/>
    <n v="2771.46"/>
    <n v="0"/>
    <n v="0"/>
    <n v="0"/>
    <n v="0"/>
    <n v="235.33240645161288"/>
    <n v="0"/>
    <n v="0"/>
    <n v="0"/>
    <n v="2536.1275935483873"/>
    <n v="0"/>
    <n v="0"/>
    <n v="438.84392101910834"/>
    <n v="11.214285714285714"/>
    <n v="0"/>
    <n v="0"/>
    <m/>
    <s v="Sonvarsha"/>
    <m/>
    <n v="0"/>
  </r>
  <r>
    <s v="Munger"/>
    <s v="17-23 Apr"/>
    <n v="1006"/>
    <s v="Sonvarsha"/>
    <x v="179"/>
    <s v="ABGIL"/>
    <s v="vlc"/>
    <s v="Indirect"/>
    <n v="156"/>
    <n v="5011.5"/>
    <n v="0"/>
    <n v="0"/>
    <n v="0"/>
    <n v="0"/>
    <n v="0"/>
    <n v="0"/>
    <n v="5011.5"/>
    <n v="0"/>
    <n v="0"/>
    <n v="0"/>
    <n v="0"/>
    <n v="0"/>
    <n v="0"/>
    <n v="0"/>
    <n v="0"/>
    <n v="5011.5"/>
    <n v="0"/>
    <n v="0"/>
    <n v="349.52"/>
    <n v="22.285714285714285"/>
    <n v="0"/>
    <n v="0"/>
    <m/>
    <s v="Sonvarsha"/>
    <m/>
    <n v="0"/>
  </r>
  <r>
    <s v="Munger"/>
    <s v="17-23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836.6"/>
    <n v="31882.960000000006"/>
    <n v="383.99"/>
    <n v="14850.273212173801"/>
    <n v="463.62"/>
    <n v="18074.279289250801"/>
    <n v="847.61"/>
    <n v="32924.552501424601"/>
    <n v="31882.960000000006"/>
    <n v="0"/>
    <n v="241.95269492460002"/>
    <n v="1041.592501424595"/>
    <n v="0"/>
    <n v="0"/>
    <n v="0"/>
    <n v="13809"/>
    <n v="17832"/>
    <n v="0"/>
    <n v="0"/>
    <n v="0"/>
    <n v="0"/>
    <n v="0"/>
    <n v="-3.2669253464063401E-2"/>
    <n v="6"/>
    <m/>
    <s v="Sonvarsha"/>
    <m/>
    <n v="0"/>
  </r>
  <r>
    <s v="Munger"/>
    <s v="17-23 Apr"/>
    <n v="1006"/>
    <s v="Sonvarsha"/>
    <x v="182"/>
    <s v="Manish Kumar                                                                                        "/>
    <s v="vlc"/>
    <s v="Indirect"/>
    <n v="185.4"/>
    <n v="6473.08"/>
    <n v="0"/>
    <n v="0"/>
    <n v="0"/>
    <n v="0"/>
    <n v="0"/>
    <n v="0"/>
    <n v="6473.08"/>
    <n v="0"/>
    <n v="0"/>
    <n v="0"/>
    <n v="0"/>
    <n v="0"/>
    <n v="0"/>
    <n v="0"/>
    <n v="0"/>
    <n v="6473.08"/>
    <n v="0"/>
    <n v="0"/>
    <n v="359.33624250269685"/>
    <n v="26.485714285714288"/>
    <n v="0"/>
    <n v="0"/>
    <m/>
    <s v="Sonvarsha"/>
    <m/>
    <n v="0"/>
  </r>
  <r>
    <s v="Munger"/>
    <s v="17-23 Apr"/>
    <n v="1006"/>
    <s v="Sonvarsha"/>
    <x v="183"/>
    <s v="AKHA-KURHA"/>
    <s v="vlc"/>
    <s v="Indirect"/>
    <n v="300.30000000000007"/>
    <n v="12094.049999999997"/>
    <n v="0"/>
    <n v="0"/>
    <n v="0"/>
    <n v="0"/>
    <n v="0"/>
    <n v="0"/>
    <n v="12094.049999999997"/>
    <n v="0"/>
    <n v="0"/>
    <n v="0"/>
    <n v="0"/>
    <n v="0"/>
    <n v="0"/>
    <n v="0"/>
    <n v="0"/>
    <n v="12094.049999999997"/>
    <n v="0"/>
    <n v="0"/>
    <n v="321.94417482517463"/>
    <n v="42.900000000000013"/>
    <n v="0"/>
    <n v="0"/>
    <m/>
    <s v="Sonvarsha"/>
    <m/>
    <n v="0"/>
  </r>
  <r>
    <s v="Munger"/>
    <s v="17-23 Apr"/>
    <n v="1059"/>
    <s v="Gopalpur Bmc"/>
    <x v="184"/>
    <s v="BHANDAR"/>
    <s v="MPG"/>
    <s v="Direct"/>
    <n v="247.9"/>
    <n v="11106.02"/>
    <n v="247.89999999999998"/>
    <n v="11105.8661846014"/>
    <n v="0"/>
    <n v="0"/>
    <n v="247.89999999999998"/>
    <n v="11105.8661846014"/>
    <n v="11105.8661846014"/>
    <n v="0"/>
    <n v="0"/>
    <n v="0"/>
    <n v="0"/>
    <n v="0"/>
    <n v="0"/>
    <n v="11106"/>
    <n v="0"/>
    <n v="0"/>
    <n v="0"/>
    <n v="0"/>
    <n v="405.08524743848329"/>
    <n v="35.414285714285718"/>
    <n v="1.3849731821144981E-5"/>
    <n v="1"/>
    <m/>
    <s v="Gopalpur Bmc"/>
    <m/>
    <n v="0"/>
  </r>
  <r>
    <s v="Munger"/>
    <s v="17-23 Apr"/>
    <n v="1059"/>
    <s v="Gopalpur Bmc"/>
    <x v="185"/>
    <s v="BASMATIYA"/>
    <s v="MPG"/>
    <s v="Direct"/>
    <n v="398.7"/>
    <n v="16275.259999999997"/>
    <n v="385.05"/>
    <n v="17692.96378102267"/>
    <n v="6.24"/>
    <n v="264.35431449612003"/>
    <n v="391.29"/>
    <n v="17957.318095518789"/>
    <n v="16275.259999999997"/>
    <n v="0"/>
    <n v="264.35431449612003"/>
    <n v="1682.0580955187925"/>
    <n v="0"/>
    <n v="0"/>
    <n v="0"/>
    <n v="16011"/>
    <n v="0"/>
    <n v="0"/>
    <n v="0"/>
    <s v="Release1"/>
    <n v="245.98624720341104"/>
    <n v="56.957142857142856"/>
    <n v="-0.10335061286386779"/>
    <n v="11"/>
    <m/>
    <s v="Gopalpur Bmc"/>
    <m/>
    <n v="0"/>
  </r>
  <r>
    <s v="Munger"/>
    <s v="17-23 Apr"/>
    <n v="1006"/>
    <s v="Sonvarsha"/>
    <x v="186"/>
    <s v="TILATHI"/>
    <s v="MPG"/>
    <s v="Direct"/>
    <n v="1357.3999999999999"/>
    <n v="54725.280000000013"/>
    <n v="1366.4399999999998"/>
    <n v="57349.009973491709"/>
    <n v="33.309999999999995"/>
    <n v="1424.9989900803002"/>
    <n v="1399.7499999999998"/>
    <n v="58774.008963572007"/>
    <n v="54725.280000000013"/>
    <n v="0"/>
    <n v="749.98166274900018"/>
    <n v="4048.7289635719935"/>
    <n v="0"/>
    <n v="0"/>
    <n v="0"/>
    <n v="53300"/>
    <n v="675"/>
    <n v="0"/>
    <n v="0"/>
    <s v="Release1"/>
    <n v="0"/>
    <n v="0"/>
    <n v="-7.3982791199460149E-2"/>
    <n v="36"/>
    <m/>
    <s v="Sonvarsha"/>
    <m/>
    <n v="0"/>
  </r>
  <r>
    <s v="Munger"/>
    <s v="17-23 Apr"/>
    <n v="1006"/>
    <s v="Sonvarsha"/>
    <x v="187"/>
    <s v="GOMUKH WESTOL"/>
    <s v="vlc"/>
    <s v="Indirect"/>
    <n v="970.59999999999991"/>
    <n v="36285.979999999996"/>
    <n v="0"/>
    <n v="0"/>
    <n v="0"/>
    <n v="0"/>
    <n v="0"/>
    <n v="0"/>
    <n v="36285.979999999996"/>
    <n v="0"/>
    <n v="0"/>
    <n v="0"/>
    <n v="0"/>
    <n v="0"/>
    <n v="0"/>
    <n v="0"/>
    <n v="0"/>
    <n v="36285.979999999996"/>
    <n v="0"/>
    <n v="0"/>
    <n v="0"/>
    <n v="0"/>
    <n v="0"/>
    <n v="0"/>
    <m/>
    <s v="Sonvarsha"/>
    <m/>
    <n v="0"/>
  </r>
  <r>
    <s v="Munger"/>
    <s v="17-23 Apr"/>
    <n v="1006"/>
    <s v="Sonvarsha"/>
    <x v="1032"/>
    <s v="GOMUKH  SALHA"/>
    <s v="vlc"/>
    <s v="Indirect"/>
    <n v="137.69999999999999"/>
    <n v="5051.1000000000004"/>
    <n v="0"/>
    <n v="0"/>
    <n v="0"/>
    <n v="0"/>
    <n v="0"/>
    <n v="0"/>
    <n v="5051.1000000000004"/>
    <n v="0"/>
    <n v="0"/>
    <n v="0"/>
    <n v="0"/>
    <n v="0"/>
    <n v="0"/>
    <n v="0"/>
    <n v="0"/>
    <n v="5051.1000000000004"/>
    <n v="0"/>
    <n v="0"/>
    <n v="412.52484095860564"/>
    <n v="19.671428571428571"/>
    <n v="0"/>
    <n v="0"/>
    <m/>
    <s v="Sonvarsha"/>
    <m/>
    <n v="0"/>
  </r>
  <r>
    <s v="Munger"/>
    <s v="17-23 Apr"/>
    <n v="1059"/>
    <s v="Gopalpur Bmc"/>
    <x v="188"/>
    <s v="SANGRAMPUR"/>
    <s v="MPG"/>
    <s v="Direct"/>
    <n v="495.3"/>
    <n v="21709.629999999997"/>
    <n v="481.20000000000005"/>
    <n v="21759.286074686999"/>
    <n v="0"/>
    <n v="0"/>
    <n v="481.20000000000005"/>
    <n v="21759.286074686999"/>
    <n v="21709.629999999997"/>
    <n v="0"/>
    <n v="0"/>
    <n v="49.656074687001819"/>
    <n v="0"/>
    <n v="0"/>
    <n v="0"/>
    <n v="21710"/>
    <n v="0"/>
    <n v="0"/>
    <n v="0"/>
    <n v="0"/>
    <n v="179.44523565515851"/>
    <n v="70.757142857142853"/>
    <n v="-2.2872833248195304E-3"/>
    <n v="3"/>
    <m/>
    <s v="Gopalpur Bmc"/>
    <m/>
    <n v="0"/>
  </r>
  <r>
    <s v="Munger"/>
    <s v="17-23 Apr"/>
    <n v="1006"/>
    <s v="Sonvarsha"/>
    <x v="189"/>
    <s v="GOMUKH CHASMASKAN"/>
    <s v="vlc"/>
    <s v="Indirect"/>
    <n v="1446.4"/>
    <n v="52009.649999999994"/>
    <n v="0"/>
    <n v="0"/>
    <n v="0"/>
    <n v="0"/>
    <n v="0"/>
    <n v="0"/>
    <n v="52009.649999999994"/>
    <n v="0"/>
    <n v="0"/>
    <n v="0"/>
    <n v="0"/>
    <n v="59.230316129032985"/>
    <n v="0"/>
    <n v="0"/>
    <n v="0"/>
    <n v="51950.419683870961"/>
    <n v="0"/>
    <n v="0"/>
    <n v="0"/>
    <n v="0"/>
    <n v="0"/>
    <n v="0"/>
    <m/>
    <s v="Sonvarsha"/>
    <m/>
    <n v="0"/>
  </r>
  <r>
    <s v="Munger"/>
    <s v="17-23 Apr"/>
    <n v="1006"/>
    <s v="Sonvarsha"/>
    <x v="190"/>
    <s v="GOMUKH KAJITOLA"/>
    <s v="vlc"/>
    <s v="Indirect"/>
    <n v="571.99"/>
    <n v="21416.68"/>
    <n v="0"/>
    <n v="0"/>
    <n v="0"/>
    <n v="0"/>
    <n v="0"/>
    <n v="0"/>
    <n v="21416.68"/>
    <n v="0"/>
    <n v="0"/>
    <n v="0"/>
    <n v="0"/>
    <n v="0"/>
    <n v="0"/>
    <n v="0"/>
    <n v="0"/>
    <n v="21416.68"/>
    <n v="0"/>
    <n v="0"/>
    <n v="95.860039748946633"/>
    <n v="81.712857142857146"/>
    <n v="0"/>
    <n v="0"/>
    <m/>
    <s v="Sonvarsha"/>
    <m/>
    <n v="0"/>
  </r>
  <r>
    <s v="Munger"/>
    <s v="17-23 Apr"/>
    <n v="1006"/>
    <s v="Sonvarsha"/>
    <x v="191"/>
    <s v="RAMDEV TOLA"/>
    <s v="MPG"/>
    <s v="Direct"/>
    <n v="522.59999999999991"/>
    <n v="22110.300000000003"/>
    <n v="499.28000000000003"/>
    <n v="22140.619301704177"/>
    <n v="92.91"/>
    <n v="3585.0011650200004"/>
    <n v="592.19000000000005"/>
    <n v="25725.620466724176"/>
    <n v="22110.300000000003"/>
    <n v="0"/>
    <n v="133.17460992000002"/>
    <n v="3615.3204667241735"/>
    <n v="0"/>
    <n v="978.72"/>
    <n v="0"/>
    <n v="17546"/>
    <n v="3452"/>
    <n v="0"/>
    <n v="0"/>
    <s v="Release1"/>
    <n v="150.10972904707245"/>
    <n v="74.657142857142844"/>
    <n v="-0.16351295399538554"/>
    <n v="17"/>
    <m/>
    <s v="Sonvarsha"/>
    <m/>
    <n v="0"/>
  </r>
  <r>
    <s v="Munger"/>
    <s v="17-23 Apr"/>
    <n v="1006"/>
    <s v="Sonvarsha"/>
    <x v="192"/>
    <s v="GOMUKH KATEHAR"/>
    <s v="vlc"/>
    <s v="Indirect"/>
    <n v="71.8"/>
    <n v="2304.06"/>
    <n v="0"/>
    <n v="0"/>
    <n v="0"/>
    <n v="0"/>
    <n v="0"/>
    <n v="0"/>
    <n v="2304.06"/>
    <n v="0"/>
    <n v="0"/>
    <n v="0"/>
    <n v="0"/>
    <n v="0"/>
    <n v="0"/>
    <n v="0"/>
    <n v="0"/>
    <n v="2304.06"/>
    <n v="0"/>
    <n v="0"/>
    <n v="403.17841002785519"/>
    <n v="10.257142857142856"/>
    <n v="0"/>
    <n v="0"/>
    <m/>
    <s v="Sonvarsha"/>
    <m/>
    <n v="0"/>
  </r>
  <r>
    <s v="Munger"/>
    <s v="17-23 Apr"/>
    <n v="1006"/>
    <s v="Sonvarsha"/>
    <x v="193"/>
    <s v="PIPARPATI"/>
    <s v="MPG"/>
    <s v="Direct"/>
    <n v="919.19999999999993"/>
    <n v="42196.719999999994"/>
    <n v="919.99999999999989"/>
    <n v="42233.309196768307"/>
    <n v="8.0499999999999989"/>
    <n v="350.04734447760006"/>
    <n v="928.04999999999984"/>
    <n v="42583.356541245907"/>
    <n v="42196.719999999994"/>
    <n v="0"/>
    <n v="350.04734447760006"/>
    <n v="386.63654124591267"/>
    <n v="0"/>
    <n v="0"/>
    <n v="0"/>
    <n v="41847"/>
    <n v="0"/>
    <n v="0"/>
    <n v="0"/>
    <n v="0"/>
    <n v="0"/>
    <n v="0"/>
    <n v="-9.1627155202089819E-3"/>
    <n v="12"/>
    <m/>
    <s v="Sonvarsha"/>
    <m/>
    <n v="0"/>
  </r>
  <r>
    <s v="Munger"/>
    <s v="17-23 Apr"/>
    <n v="1006"/>
    <s v="Sonvarsha"/>
    <x v="194"/>
    <s v="GOMUKH JAGMAGLA"/>
    <s v="vlc"/>
    <s v="Indirect"/>
    <n v="555.99999999999989"/>
    <n v="21803.050000000003"/>
    <n v="0"/>
    <n v="0"/>
    <n v="0"/>
    <n v="0"/>
    <n v="0"/>
    <n v="0"/>
    <n v="21803.050000000003"/>
    <n v="0"/>
    <n v="0"/>
    <n v="0"/>
    <n v="0"/>
    <n v="0"/>
    <n v="0"/>
    <n v="0"/>
    <n v="0"/>
    <n v="21803.050000000003"/>
    <n v="0"/>
    <n v="0"/>
    <n v="112.93666187050371"/>
    <n v="79.428571428571416"/>
    <n v="0"/>
    <n v="0"/>
    <m/>
    <s v="Sonvarsha"/>
    <m/>
    <n v="0"/>
  </r>
  <r>
    <s v="Munger"/>
    <s v="17-23 Apr"/>
    <n v="1006"/>
    <s v="Sonvarsha"/>
    <x v="195"/>
    <s v="PACHRUKHI"/>
    <s v="MPG"/>
    <s v="Direct"/>
    <n v="18.5"/>
    <n v="656.81999999999994"/>
    <n v="18"/>
    <n v="658.97160694199999"/>
    <n v="0.5"/>
    <n v="18.678528"/>
    <n v="18.5"/>
    <n v="677.65013494200002"/>
    <n v="656.81999999999994"/>
    <n v="0"/>
    <n v="18.678528"/>
    <n v="20.830134942000086"/>
    <n v="0"/>
    <n v="57.103200000000001"/>
    <n v="0"/>
    <n v="581"/>
    <n v="0"/>
    <n v="0"/>
    <n v="0"/>
    <n v="0"/>
    <n v="483.91657297297297"/>
    <n v="2.6428571428571428"/>
    <n v="-3.1713612469169768E-2"/>
    <n v="2"/>
    <m/>
    <s v="Sonvarsha"/>
    <m/>
    <n v="0"/>
  </r>
  <r>
    <s v="Munger"/>
    <s v="17-23 Apr"/>
    <n v="1006"/>
    <s v="Sonvarsha"/>
    <x v="197"/>
    <s v="KHAJURIYA"/>
    <s v="MPG"/>
    <s v="Direct"/>
    <n v="671.80000000000007"/>
    <n v="26210.63"/>
    <n v="829.62000000000012"/>
    <n v="41612.868757838594"/>
    <n v="0"/>
    <n v="0"/>
    <n v="829.62000000000012"/>
    <n v="41612.868757838594"/>
    <n v="26210.63"/>
    <n v="0"/>
    <n v="0"/>
    <n v="15402.238757838593"/>
    <n v="0"/>
    <n v="0"/>
    <n v="0"/>
    <n v="0"/>
    <n v="0"/>
    <n v="0"/>
    <n v="26211"/>
    <s v="Yes"/>
    <n v="22.00475635605833"/>
    <n v="95.971428571428575"/>
    <n v="-0.58763329068544301"/>
    <n v="7"/>
    <m/>
    <s v="Sonvarsha"/>
    <m/>
    <n v="0"/>
  </r>
  <r>
    <s v="Munger"/>
    <s v="17-23 Apr"/>
    <n v="1006"/>
    <s v="Sonvarsha"/>
    <x v="198"/>
    <s v="NAYA SALEMPUR"/>
    <s v="vlc"/>
    <s v="Indirect"/>
    <n v="743"/>
    <n v="27576.370000000003"/>
    <n v="0"/>
    <n v="0"/>
    <n v="0"/>
    <n v="0"/>
    <n v="0"/>
    <n v="0"/>
    <n v="27576.370000000003"/>
    <n v="0"/>
    <n v="0"/>
    <n v="0"/>
    <n v="0"/>
    <n v="0"/>
    <n v="0"/>
    <n v="0"/>
    <n v="0"/>
    <n v="27576.370000000003"/>
    <n v="0"/>
    <n v="0"/>
    <n v="0"/>
    <n v="0"/>
    <n v="0"/>
    <n v="0"/>
    <m/>
    <s v="Sonvarsha"/>
    <m/>
    <n v="0"/>
  </r>
  <r>
    <s v="Munger"/>
    <s v="17-23 Apr"/>
    <n v="1006"/>
    <s v="Sonvarsha"/>
    <x v="199"/>
    <s v="MANO 2"/>
    <s v="MPG"/>
    <s v="Direct"/>
    <n v="322.80000000000007"/>
    <n v="12825.91"/>
    <n v="322.60000000000002"/>
    <n v="12822.876067320003"/>
    <n v="0"/>
    <n v="0"/>
    <n v="322.60000000000002"/>
    <n v="12822.876067320003"/>
    <n v="12822.876067320003"/>
    <n v="0"/>
    <n v="0"/>
    <n v="0"/>
    <n v="0"/>
    <n v="0"/>
    <n v="0"/>
    <n v="12823"/>
    <n v="0"/>
    <n v="0"/>
    <n v="3"/>
    <n v="0"/>
    <n v="299.74803296158598"/>
    <n v="46.114285714285721"/>
    <n v="2.3654716741320684E-4"/>
    <n v="1"/>
    <m/>
    <s v="Sonvarsha"/>
    <m/>
    <n v="0"/>
  </r>
  <r>
    <s v="Munger"/>
    <s v="17-23 Apr"/>
    <n v="1006"/>
    <s v="Sonvarsha"/>
    <x v="200"/>
    <s v="Champanagar"/>
    <s v="MPG"/>
    <s v="Direct"/>
    <n v="11.6"/>
    <n v="612.94000000000005"/>
    <n v="11.42"/>
    <n v="612.26784645600014"/>
    <n v="0"/>
    <n v="0"/>
    <n v="11.42"/>
    <n v="612.26784645600014"/>
    <n v="612.26784645600014"/>
    <n v="0"/>
    <n v="0"/>
    <n v="0"/>
    <n v="0"/>
    <n v="0"/>
    <n v="0"/>
    <n v="612"/>
    <n v="0"/>
    <n v="0"/>
    <n v="1"/>
    <n v="0"/>
    <n v="727.49637241379321"/>
    <n v="1.657142857142857"/>
    <n v="1.0966057754428027E-3"/>
    <n v="1"/>
    <m/>
    <s v="Sonvarsha"/>
    <m/>
    <n v="0"/>
  </r>
  <r>
    <s v="Munger"/>
    <s v="17-23 Apr"/>
    <n v="1006"/>
    <s v="Sonvarsha"/>
    <x v="201"/>
    <s v="LOSDHANI"/>
    <s v="MPG"/>
    <s v="Direct"/>
    <n v="301.79999999999995"/>
    <n v="10941.849999999999"/>
    <n v="248.00000000000003"/>
    <n v="8911.6091361000017"/>
    <n v="4.2999999999999989"/>
    <n v="156.13813135800001"/>
    <n v="252.30000000000004"/>
    <n v="9067.7472674580022"/>
    <n v="9067.7472674580022"/>
    <n v="0"/>
    <n v="156.13813135800001"/>
    <n v="0"/>
    <n v="0"/>
    <n v="0"/>
    <n v="0"/>
    <n v="8912"/>
    <n v="0"/>
    <n v="0"/>
    <n v="1874"/>
    <n v="0"/>
    <n v="288.73722133863487"/>
    <n v="43.114285714285707"/>
    <n v="0.1712784156739488"/>
    <n v="2"/>
    <m/>
    <s v="Sonvarsha"/>
    <m/>
    <n v="0"/>
  </r>
  <r>
    <s v="Munger"/>
    <s v="17-23 Apr"/>
    <n v="1006"/>
    <s v="Sonvarsha"/>
    <x v="202"/>
    <s v="GOMUKH MAHGAMA"/>
    <s v="vlc"/>
    <s v="Indirect"/>
    <n v="70.199999999999989"/>
    <n v="3239.1500000000005"/>
    <n v="0"/>
    <n v="0"/>
    <n v="0"/>
    <n v="0"/>
    <n v="0"/>
    <n v="0"/>
    <n v="3239.1500000000005"/>
    <n v="0"/>
    <n v="0"/>
    <n v="0"/>
    <n v="0"/>
    <n v="90.12234193548386"/>
    <n v="0"/>
    <n v="0"/>
    <n v="0"/>
    <n v="3149.0276580645168"/>
    <n v="0"/>
    <n v="0"/>
    <n v="581.2013304843307"/>
    <n v="10.028571428571427"/>
    <n v="0"/>
    <n v="0"/>
    <m/>
    <s v="Sonvarsha"/>
    <m/>
    <n v="0"/>
  </r>
  <r>
    <s v="Munger"/>
    <s v="17-23 Apr"/>
    <n v="1006"/>
    <s v="Sonvarsha"/>
    <x v="203"/>
    <s v="GOMUKH BAGALWA"/>
    <s v="MPG"/>
    <s v="Direct"/>
    <n v="366.09999999999997"/>
    <n v="17953.23"/>
    <n v="0"/>
    <n v="0"/>
    <n v="0"/>
    <n v="0"/>
    <n v="0"/>
    <n v="0"/>
    <n v="0"/>
    <n v="0"/>
    <n v="0"/>
    <n v="0"/>
    <n v="0"/>
    <n v="0"/>
    <n v="0"/>
    <n v="0"/>
    <n v="0"/>
    <n v="0"/>
    <n v="17953"/>
    <s v="Yes"/>
    <n v="327.48339235181652"/>
    <n v="52.3"/>
    <n v="1"/>
    <n v="0"/>
    <m/>
    <s v="Sonvarsha"/>
    <m/>
    <n v="0"/>
  </r>
  <r>
    <s v="Munger"/>
    <s v="17-23 Apr"/>
    <n v="1006"/>
    <s v="Sonvarsha"/>
    <x v="204"/>
    <s v="GOMUKH LARYATAL"/>
    <s v="vlc"/>
    <s v="Indirect"/>
    <n v="258.29999999999995"/>
    <n v="12541.62"/>
    <n v="0"/>
    <n v="0"/>
    <n v="0"/>
    <n v="0"/>
    <n v="0"/>
    <n v="0"/>
    <n v="12541.62"/>
    <n v="0"/>
    <n v="0"/>
    <n v="0"/>
    <n v="0"/>
    <n v="229.35973548387111"/>
    <n v="0"/>
    <n v="0"/>
    <n v="0"/>
    <n v="12312.26026451613"/>
    <n v="0"/>
    <n v="0"/>
    <n v="428.93020162601641"/>
    <n v="36.899999999999991"/>
    <n v="0"/>
    <n v="0"/>
    <m/>
    <s v="Sonvarsha"/>
    <m/>
    <n v="0"/>
  </r>
  <r>
    <s v="Munger"/>
    <s v="17-23 Apr"/>
    <n v="1006"/>
    <s v="Sonvarsha"/>
    <x v="205"/>
    <s v="CHANDANPURA"/>
    <s v="MPG"/>
    <s v="Direct"/>
    <n v="37.299999999999997"/>
    <n v="1317.99"/>
    <n v="37.299999999999997"/>
    <n v="1317.8364289200003"/>
    <n v="0"/>
    <n v="0"/>
    <n v="37.299999999999997"/>
    <n v="1317.8364289200003"/>
    <n v="1317.8364289200003"/>
    <n v="0"/>
    <n v="0"/>
    <n v="0"/>
    <n v="0"/>
    <n v="0"/>
    <n v="0"/>
    <n v="1318"/>
    <n v="0"/>
    <n v="0"/>
    <n v="0"/>
    <n v="0"/>
    <n v="468.32813565683654"/>
    <n v="5.3285714285714283"/>
    <n v="1.1651915416631767E-4"/>
    <n v="1"/>
    <m/>
    <s v="Sonvarsha"/>
    <m/>
    <n v="0"/>
  </r>
  <r>
    <s v="Munger"/>
    <s v="17-23 Apr"/>
    <n v="1006"/>
    <s v="Sonvarsha"/>
    <x v="206"/>
    <s v="GOMUKH BHITAKITA"/>
    <s v="vlc"/>
    <s v="Indirect"/>
    <n v="174.5"/>
    <n v="5948.2000000000007"/>
    <n v="0"/>
    <n v="0"/>
    <n v="0"/>
    <n v="0"/>
    <n v="0"/>
    <n v="0"/>
    <n v="5948.2000000000007"/>
    <n v="0"/>
    <n v="0"/>
    <n v="0"/>
    <n v="0"/>
    <n v="94.19117419354842"/>
    <n v="0"/>
    <n v="0"/>
    <n v="0"/>
    <n v="5854.0088258064525"/>
    <n v="0"/>
    <n v="0"/>
    <n v="358.25548424068768"/>
    <n v="24.928571428571427"/>
    <n v="0"/>
    <n v="0"/>
    <m/>
    <s v="Sonvarsha"/>
    <m/>
    <n v="0"/>
  </r>
  <r>
    <s v="Munger"/>
    <s v="17-23 Apr"/>
    <n v="1059"/>
    <s v="Gopalpur Bmc"/>
    <x v="207"/>
    <s v="SINGHOL"/>
    <s v="MPG"/>
    <s v="Direct"/>
    <n v="62.5"/>
    <n v="2536.09"/>
    <n v="13.379999999999999"/>
    <n v="448.14331924560003"/>
    <n v="0"/>
    <n v="0"/>
    <n v="13.379999999999999"/>
    <n v="448.14331924560003"/>
    <n v="448.14331924560003"/>
    <n v="0"/>
    <n v="0"/>
    <n v="0"/>
    <n v="0"/>
    <n v="0"/>
    <n v="0"/>
    <n v="448"/>
    <n v="0"/>
    <n v="0"/>
    <n v="2088"/>
    <n v="0"/>
    <n v="517.36236000000008"/>
    <n v="8.9285714285714288"/>
    <n v="0.82329360580831112"/>
    <n v="1"/>
    <m/>
    <s v="Gopalpur Bmc"/>
    <m/>
    <n v="0"/>
  </r>
  <r>
    <s v="Munger"/>
    <s v="17-23 Apr"/>
    <n v="1006"/>
    <s v="Sonvarsha"/>
    <x v="208"/>
    <s v="GOMUKH OJONTOLA"/>
    <s v="vlc"/>
    <s v="Indirect"/>
    <n v="125.6"/>
    <n v="5516.0199999999995"/>
    <n v="0"/>
    <n v="0"/>
    <n v="0"/>
    <n v="0"/>
    <n v="0"/>
    <n v="0"/>
    <n v="5516.0199999999995"/>
    <n v="0"/>
    <n v="0"/>
    <n v="0"/>
    <n v="0"/>
    <n v="0"/>
    <n v="0"/>
    <n v="0"/>
    <n v="0"/>
    <n v="5516.0199999999995"/>
    <n v="0"/>
    <n v="0"/>
    <n v="504.52259363057317"/>
    <n v="17.942857142857143"/>
    <n v="0"/>
    <n v="0"/>
    <m/>
    <s v="Sonvarsha"/>
    <m/>
    <n v="0"/>
  </r>
  <r>
    <s v="Munger"/>
    <s v="17-23 Apr"/>
    <n v="1006"/>
    <s v="Sonvarsha"/>
    <x v="209"/>
    <s v="KHUDDIBAN SHIVNAGAR"/>
    <s v="MPG"/>
    <s v="Direct"/>
    <n v="60.2"/>
    <n v="2098.2199999999998"/>
    <n v="60.2"/>
    <n v="2147.4016484580002"/>
    <n v="0"/>
    <n v="0"/>
    <n v="60.2"/>
    <n v="2147.4016484580002"/>
    <n v="2098.2199999999998"/>
    <n v="0"/>
    <n v="0"/>
    <n v="49.181648458000382"/>
    <n v="0"/>
    <n v="551.48465999999996"/>
    <n v="0"/>
    <n v="1547"/>
    <n v="0"/>
    <n v="0"/>
    <n v="0"/>
    <n v="0"/>
    <n v="445.99373953488373"/>
    <n v="8.6"/>
    <n v="-2.3439700535692342E-2"/>
    <n v="1"/>
    <m/>
    <s v="Sonvarsha"/>
    <m/>
    <n v="0"/>
  </r>
  <r>
    <s v="Munger"/>
    <s v="17-23 Apr"/>
    <n v="1006"/>
    <s v="Sonvarsha"/>
    <x v="1033"/>
    <s v="GOMUKH JHAPANI"/>
    <s v="vlc"/>
    <s v="Indirect"/>
    <n v="228.70000000000002"/>
    <n v="9139.77"/>
    <n v="0"/>
    <n v="0"/>
    <n v="0"/>
    <n v="0"/>
    <n v="0"/>
    <n v="0"/>
    <n v="9139.77"/>
    <n v="0"/>
    <n v="0"/>
    <n v="0"/>
    <n v="0"/>
    <n v="0"/>
    <n v="0"/>
    <n v="0"/>
    <n v="0"/>
    <n v="9139.77"/>
    <n v="0"/>
    <n v="0"/>
    <n v="376.70079588981196"/>
    <n v="32.671428571428571"/>
    <n v="0"/>
    <n v="0"/>
    <m/>
    <s v="Sonvarsha"/>
    <m/>
    <n v="0"/>
  </r>
  <r>
    <s v="Munger"/>
    <s v="17-23 Apr"/>
    <n v="1006"/>
    <s v="Sonvarsha"/>
    <x v="210"/>
    <s v="BARIYARPUR"/>
    <s v="MPG"/>
    <s v="Direct"/>
    <n v="323"/>
    <n v="13053.27"/>
    <n v="311.39999999999998"/>
    <n v="12571.64284464"/>
    <n v="12"/>
    <n v="489.16570824000007"/>
    <n v="323.39999999999998"/>
    <n v="13060.80855288"/>
    <n v="13053.27"/>
    <n v="0"/>
    <n v="159.68483784"/>
    <n v="7.5385528799997701"/>
    <n v="0"/>
    <n v="0"/>
    <n v="0"/>
    <n v="12565"/>
    <n v="329"/>
    <n v="0"/>
    <n v="0"/>
    <n v="0"/>
    <n v="304.71100866873064"/>
    <n v="46.142857142857146"/>
    <n v="-5.7752217490328241E-4"/>
    <n v="3"/>
    <m/>
    <s v="Sonvarsha"/>
    <m/>
    <n v="0"/>
  </r>
  <r>
    <s v="Munger"/>
    <s v="17-23 Apr"/>
    <n v="1006"/>
    <s v="Sonvarsha"/>
    <x v="211"/>
    <s v="MASUDAN"/>
    <s v="MPG"/>
    <s v="Direct"/>
    <n v="345.4"/>
    <n v="13365.31"/>
    <n v="345.40000000000003"/>
    <n v="13100.710233006002"/>
    <n v="0"/>
    <n v="0"/>
    <n v="345.40000000000003"/>
    <n v="13100.710233006002"/>
    <n v="13100.710233006002"/>
    <n v="0"/>
    <n v="0"/>
    <n v="0"/>
    <n v="0"/>
    <n v="0"/>
    <n v="0"/>
    <n v="13101"/>
    <n v="0"/>
    <n v="0"/>
    <n v="264"/>
    <n v="0"/>
    <n v="274.42611036479451"/>
    <n v="49.342857142857142"/>
    <n v="1.9797503162590095E-2"/>
    <n v="4"/>
    <m/>
    <s v="Sonvarsha"/>
    <m/>
    <n v="0"/>
  </r>
  <r>
    <s v="Munger"/>
    <s v="17-23 Apr"/>
    <n v="1006"/>
    <s v="Sonvarsha"/>
    <x v="964"/>
    <s v="GOMUKH LOKDHANI"/>
    <s v="vlc"/>
    <s v="Indirect"/>
    <n v="78.8"/>
    <n v="3073.71"/>
    <n v="0"/>
    <n v="0"/>
    <n v="0"/>
    <n v="0"/>
    <n v="0"/>
    <n v="0"/>
    <n v="3073.71"/>
    <n v="0"/>
    <n v="0"/>
    <n v="0"/>
    <n v="0"/>
    <n v="0"/>
    <n v="0"/>
    <n v="0"/>
    <n v="0"/>
    <n v="3073.71"/>
    <n v="0"/>
    <n v="0"/>
    <n v="484.61640913705588"/>
    <n v="11.257142857142856"/>
    <n v="0"/>
    <n v="0"/>
    <m/>
    <s v="Sonvarsha"/>
    <m/>
    <n v="0"/>
  </r>
  <r>
    <s v="Munger"/>
    <s v="17-23 Apr"/>
    <n v="1006"/>
    <s v="Sonvarsha"/>
    <x v="1034"/>
    <s v="GOMUKH BOHLA"/>
    <s v="vlc"/>
    <s v="Indirect"/>
    <n v="67.900000000000006"/>
    <n v="2472.37"/>
    <n v="0"/>
    <n v="0"/>
    <n v="0"/>
    <n v="0"/>
    <n v="0"/>
    <n v="0"/>
    <n v="2472.37"/>
    <n v="0"/>
    <n v="0"/>
    <n v="0"/>
    <n v="0"/>
    <n v="0"/>
    <n v="0"/>
    <n v="0"/>
    <n v="0"/>
    <n v="2472.37"/>
    <n v="0"/>
    <n v="0"/>
    <n v="460.31961030927835"/>
    <n v="9.7000000000000011"/>
    <n v="0"/>
    <n v="0"/>
    <m/>
    <s v="Sonvarsha"/>
    <m/>
    <n v="0"/>
  </r>
  <r>
    <s v="Munger"/>
    <s v="17-23 Apr"/>
    <n v="1007"/>
    <s v="Araria"/>
    <x v="212"/>
    <s v="Gomukh ID Araria"/>
    <s v="vlc"/>
    <s v="Indirect"/>
    <n v="3161.1"/>
    <n v="115239.26"/>
    <n v="0"/>
    <n v="0"/>
    <n v="0"/>
    <n v="0"/>
    <n v="0"/>
    <n v="0"/>
    <n v="115239.26"/>
    <n v="0"/>
    <n v="0"/>
    <n v="0"/>
    <n v="0"/>
    <n v="0"/>
    <n v="0"/>
    <n v="0"/>
    <n v="0"/>
    <n v="115239.26"/>
    <n v="0"/>
    <n v="0"/>
    <n v="0"/>
    <n v="0"/>
    <n v="0"/>
    <n v="0"/>
    <m/>
    <s v="Araria"/>
    <m/>
    <n v="0"/>
  </r>
  <r>
    <s v="Munger"/>
    <s v="17-23 Apr"/>
    <n v="1007"/>
    <s v="Araria"/>
    <x v="213"/>
    <s v="Gomukh ID Chaidha"/>
    <s v="vlc"/>
    <s v="Indirect"/>
    <n v="1054.8"/>
    <n v="35512.46"/>
    <n v="0"/>
    <n v="0"/>
    <n v="0"/>
    <n v="0"/>
    <n v="0"/>
    <n v="0"/>
    <n v="35512.46"/>
    <n v="0"/>
    <n v="0"/>
    <n v="0"/>
    <n v="6500"/>
    <n v="0"/>
    <n v="0"/>
    <n v="0"/>
    <n v="0"/>
    <n v="29012.46"/>
    <n v="0"/>
    <n v="0"/>
    <n v="0"/>
    <n v="0"/>
    <n v="0"/>
    <n v="0"/>
    <m/>
    <s v="Araria"/>
    <m/>
    <n v="0"/>
  </r>
  <r>
    <s v="Munger"/>
    <s v="17-23 Apr"/>
    <n v="1056"/>
    <s v="Chautham"/>
    <x v="214"/>
    <s v="Gomukh ID Pakrail"/>
    <s v="vlc"/>
    <s v="Indirect"/>
    <n v="208.84"/>
    <n v="7159.15"/>
    <n v="0"/>
    <n v="0"/>
    <n v="0"/>
    <n v="0"/>
    <n v="0"/>
    <n v="0"/>
    <n v="7159.15"/>
    <n v="0"/>
    <n v="0"/>
    <n v="0"/>
    <n v="0"/>
    <n v="69.152605161290126"/>
    <n v="0"/>
    <n v="0"/>
    <n v="0"/>
    <n v="7089.9973948387096"/>
    <n v="0"/>
    <n v="0"/>
    <n v="336.74469584370809"/>
    <n v="29.834285714285716"/>
    <n v="0"/>
    <n v="0"/>
    <m/>
    <s v="Chautham"/>
    <m/>
    <n v="0"/>
  </r>
  <r>
    <s v="Munger"/>
    <s v="17-23 Apr"/>
    <n v="1056"/>
    <s v="Chautham"/>
    <x v="215"/>
    <s v="Gomukh ID Pipra"/>
    <s v="vlc"/>
    <s v="Indirect"/>
    <n v="927.2800000000002"/>
    <n v="32469.46"/>
    <n v="0"/>
    <n v="0"/>
    <n v="0"/>
    <n v="0"/>
    <n v="0"/>
    <n v="0"/>
    <n v="32469.46"/>
    <n v="0"/>
    <n v="0"/>
    <n v="0"/>
    <n v="0"/>
    <n v="281.80162064516139"/>
    <n v="0"/>
    <n v="0"/>
    <n v="0"/>
    <n v="32187.658379354838"/>
    <n v="0"/>
    <n v="0"/>
    <n v="0"/>
    <n v="0"/>
    <n v="0"/>
    <n v="0"/>
    <m/>
    <s v="Chautham"/>
    <m/>
    <n v="0"/>
  </r>
  <r>
    <s v="Munger"/>
    <s v="17-23 Apr"/>
    <n v="1007"/>
    <s v="Araria"/>
    <x v="216"/>
    <s v="Gomukh Fatepur                                                                                      "/>
    <s v="MPG"/>
    <s v="Direct"/>
    <n v="232"/>
    <n v="8442.2400000000016"/>
    <n v="428.47"/>
    <n v="17708.744965348804"/>
    <n v="37.379999999999995"/>
    <n v="1354.0176783540001"/>
    <n v="465.85"/>
    <n v="19062.762643702805"/>
    <n v="8442.2400000000016"/>
    <n v="0"/>
    <n v="157.603254534"/>
    <n v="10620.522643702803"/>
    <n v="0"/>
    <n v="0"/>
    <n v="0"/>
    <n v="7088"/>
    <n v="1197"/>
    <n v="0"/>
    <n v="0"/>
    <n v="0"/>
    <n v="340.60071724137941"/>
    <n v="33.142857142857146"/>
    <n v="-1.2580218808873949"/>
    <n v="10"/>
    <m/>
    <s v="Araria"/>
    <m/>
    <n v="0"/>
  </r>
  <r>
    <s v="Munger"/>
    <s v="17-23 Apr"/>
    <n v="1007"/>
    <s v="Araria"/>
    <x v="217"/>
    <s v="Gomukh Gauchhari"/>
    <s v="MPG"/>
    <s v="Direct"/>
    <n v="175.5"/>
    <n v="6515.55"/>
    <n v="174.26"/>
    <n v="6554.9202440040008"/>
    <n v="1.5200000000000005"/>
    <n v="57.734471520000014"/>
    <n v="175.78"/>
    <n v="6612.6547155240005"/>
    <n v="6515.55"/>
    <n v="0"/>
    <n v="57.734471520000014"/>
    <n v="97.104715524000312"/>
    <n v="0"/>
    <n v="0"/>
    <n v="0"/>
    <n v="6458"/>
    <n v="0"/>
    <n v="0"/>
    <n v="0"/>
    <s v="Release1"/>
    <n v="389.44797435897431"/>
    <n v="25.071428571428573"/>
    <n v="-1.4903533166655204E-2"/>
    <n v="4"/>
    <m/>
    <s v="Araria"/>
    <m/>
    <n v="0"/>
  </r>
  <r>
    <s v="Munger"/>
    <s v="17-23 Apr"/>
    <n v="1007"/>
    <s v="Araria"/>
    <x v="218"/>
    <s v="Gomukh Arariya Karjaniya"/>
    <s v="vlc"/>
    <s v="Indirect"/>
    <n v="11006.800000000001"/>
    <n v="394036.67000000004"/>
    <n v="0"/>
    <n v="0"/>
    <n v="0"/>
    <n v="0"/>
    <n v="0"/>
    <n v="0"/>
    <n v="394036.67000000004"/>
    <n v="0"/>
    <n v="0"/>
    <n v="0"/>
    <n v="0"/>
    <n v="0"/>
    <n v="0"/>
    <n v="0"/>
    <n v="0"/>
    <n v="394036.67000000004"/>
    <n v="0"/>
    <n v="0"/>
    <n v="0"/>
    <n v="0"/>
    <n v="0"/>
    <n v="0"/>
    <m/>
    <s v="Araria"/>
    <m/>
    <n v="0"/>
  </r>
  <r>
    <s v="Munger"/>
    <s v="17-23 Apr"/>
    <n v="1007"/>
    <s v="Araria"/>
    <x v="1055"/>
    <s v="Gomukh Aariya Dummer Kothi"/>
    <s v="vlc"/>
    <s v="Indirect"/>
    <n v="1797.3999999999999"/>
    <n v="65499.990000000005"/>
    <n v="0"/>
    <n v="0"/>
    <n v="0"/>
    <n v="0"/>
    <n v="0"/>
    <n v="0"/>
    <n v="65499.990000000005"/>
    <n v="0"/>
    <n v="0"/>
    <n v="0"/>
    <n v="0"/>
    <n v="2193.9179419354869"/>
    <n v="0"/>
    <n v="0"/>
    <n v="0"/>
    <n v="63306.072058064521"/>
    <n v="0"/>
    <n v="0"/>
    <n v="0"/>
    <n v="0"/>
    <n v="0"/>
    <n v="0"/>
    <m/>
    <s v="Araria"/>
    <m/>
    <n v="0"/>
  </r>
  <r>
    <s v="Munger"/>
    <s v="17-23 Apr"/>
    <n v="1007"/>
    <s v="Araria"/>
    <x v="219"/>
    <s v="Gomukh Balha"/>
    <s v="vlc"/>
    <s v="Indirect"/>
    <n v="6220.5999999999995"/>
    <n v="221851.54"/>
    <n v="0"/>
    <n v="0"/>
    <n v="0"/>
    <n v="0"/>
    <n v="0"/>
    <n v="0"/>
    <n v="221851.54"/>
    <n v="0"/>
    <n v="0"/>
    <n v="0"/>
    <n v="0"/>
    <n v="0"/>
    <n v="0"/>
    <n v="0"/>
    <n v="0"/>
    <n v="221851.54"/>
    <n v="0"/>
    <n v="0"/>
    <n v="0"/>
    <n v="0"/>
    <n v="0"/>
    <n v="0"/>
    <m/>
    <s v="Araria"/>
    <m/>
    <n v="0"/>
  </r>
  <r>
    <s v="Munger"/>
    <s v="17-23 Apr"/>
    <n v="1007"/>
    <s v="Araria"/>
    <x v="220"/>
    <s v="Haripur - Sanjay"/>
    <s v="vlc"/>
    <s v="Indirect"/>
    <n v="1046.0999999999999"/>
    <n v="36706.07"/>
    <n v="0"/>
    <n v="0"/>
    <n v="0"/>
    <n v="0"/>
    <n v="0"/>
    <n v="0"/>
    <n v="36706.07"/>
    <n v="0"/>
    <n v="0"/>
    <n v="0"/>
    <n v="0"/>
    <n v="0"/>
    <n v="0"/>
    <n v="0"/>
    <n v="0"/>
    <n v="36706.07"/>
    <n v="0"/>
    <n v="0"/>
    <n v="0"/>
    <n v="0"/>
    <n v="0"/>
    <n v="0"/>
    <m/>
    <s v="Araria"/>
    <m/>
    <n v="0"/>
  </r>
  <r>
    <s v="Munger"/>
    <s v="17-23 Apr"/>
    <n v="1007"/>
    <s v="Araria"/>
    <x v="1056"/>
    <s v="Araria - Ankesh"/>
    <s v="vlc"/>
    <s v="Indirect"/>
    <n v="1738.4"/>
    <n v="61760.639999999999"/>
    <n v="0"/>
    <n v="0"/>
    <n v="0"/>
    <n v="0"/>
    <n v="0"/>
    <n v="0"/>
    <n v="61760.639999999999"/>
    <n v="0"/>
    <n v="0"/>
    <n v="0"/>
    <n v="56765"/>
    <n v="798.09118064516201"/>
    <n v="0"/>
    <n v="0"/>
    <n v="0"/>
    <n v="4197.5488193548372"/>
    <n v="0"/>
    <n v="0"/>
    <n v="0"/>
    <n v="0"/>
    <n v="0"/>
    <n v="0"/>
    <m/>
    <s v="Araria"/>
    <m/>
    <n v="0"/>
  </r>
  <r>
    <s v="Munger"/>
    <s v="17-23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618.20000000000005"/>
    <n v="30490.16"/>
    <n v="618.19999999999993"/>
    <n v="29077.545382423603"/>
    <n v="0"/>
    <n v="0"/>
    <n v="618.19999999999993"/>
    <n v="29077.545382423603"/>
    <n v="29077.545382423603"/>
    <n v="0"/>
    <n v="0"/>
    <n v="0"/>
    <n v="0"/>
    <n v="0"/>
    <n v="0"/>
    <n v="29078"/>
    <n v="0"/>
    <n v="0"/>
    <n v="1412"/>
    <n v="0"/>
    <n v="80.688938466515665"/>
    <n v="88.314285714285717"/>
    <n v="4.6330180542719257E-2"/>
    <n v="2"/>
    <m/>
    <s v="Parbatta"/>
    <m/>
    <n v="0"/>
  </r>
  <r>
    <s v="Munger"/>
    <s v="17-23 Apr"/>
    <n v="1056"/>
    <s v="Chautham"/>
    <x v="223"/>
    <s v="Gomukh Malpa Uttari                                                                                 "/>
    <s v="vlc"/>
    <s v="Indirect"/>
    <n v="283.23999999999995"/>
    <n v="9065.2300000000014"/>
    <n v="0"/>
    <n v="0"/>
    <n v="0"/>
    <n v="0"/>
    <n v="0"/>
    <n v="0"/>
    <n v="9065.2300000000014"/>
    <n v="0"/>
    <n v="0"/>
    <n v="0"/>
    <n v="0"/>
    <n v="0"/>
    <n v="0"/>
    <n v="0"/>
    <n v="0"/>
    <n v="9065.2300000000014"/>
    <n v="0"/>
    <n v="0"/>
    <n v="266.77201347267345"/>
    <n v="40.462857142857139"/>
    <n v="0"/>
    <n v="0"/>
    <m/>
    <s v="Chautham"/>
    <m/>
    <n v="0"/>
  </r>
  <r>
    <s v="Munger"/>
    <s v="17-23 Apr"/>
    <n v="1007"/>
    <s v="Araria"/>
    <x v="224"/>
    <s v="Gomukh Sapha"/>
    <s v="MPG"/>
    <s v="Direct"/>
    <n v="172.79999999999998"/>
    <n v="7503.7699999999995"/>
    <n v="341.72"/>
    <n v="15555.243930238614"/>
    <n v="7.0999999999999988"/>
    <n v="299.1759242607601"/>
    <n v="348.82000000000005"/>
    <n v="15854.419854499374"/>
    <n v="7503.7699999999995"/>
    <n v="0"/>
    <n v="299.1759242607601"/>
    <n v="8350.6498544993738"/>
    <n v="0"/>
    <n v="0"/>
    <n v="0"/>
    <n v="7205"/>
    <n v="0"/>
    <n v="0"/>
    <n v="0"/>
    <n v="0"/>
    <n v="457.86892870370377"/>
    <n v="24.685714285714283"/>
    <n v="-1.1128605826803559"/>
    <n v="4"/>
    <m/>
    <s v="Araria"/>
    <m/>
    <n v="0"/>
  </r>
  <r>
    <s v="Munger"/>
    <s v="17-23 Apr"/>
    <n v="1007"/>
    <s v="Araria"/>
    <x v="225"/>
    <s v="Araria"/>
    <s v="vlc"/>
    <s v="Indirect"/>
    <n v="10199.999999999998"/>
    <n v="367592.17"/>
    <n v="0"/>
    <n v="0"/>
    <n v="0"/>
    <n v="0"/>
    <n v="0"/>
    <n v="0"/>
    <n v="367592.17"/>
    <n v="0"/>
    <n v="0"/>
    <n v="0"/>
    <n v="0"/>
    <n v="0"/>
    <n v="0"/>
    <n v="0"/>
    <n v="0"/>
    <n v="367592.17"/>
    <n v="0"/>
    <n v="0"/>
    <n v="0"/>
    <n v="0"/>
    <n v="0"/>
    <n v="0"/>
    <m/>
    <s v="Araria"/>
    <m/>
    <n v="0"/>
  </r>
  <r>
    <s v="Munger"/>
    <s v="17-23 Apr"/>
    <n v="1007"/>
    <s v="Araria"/>
    <x v="226"/>
    <s v="Gomukh Gauchhari"/>
    <s v="MPG"/>
    <s v="Direct"/>
    <n v="897.7"/>
    <n v="33632.240000000005"/>
    <n v="958.25000000000011"/>
    <n v="37559.541782406603"/>
    <n v="3.1"/>
    <n v="120.93766706340001"/>
    <n v="961.35000000000014"/>
    <n v="37680.479449470004"/>
    <n v="33632.240000000005"/>
    <n v="0"/>
    <n v="120.93766706340001"/>
    <n v="4048.2394494699984"/>
    <n v="0"/>
    <n v="87.189710204081067"/>
    <n v="0"/>
    <n v="33424"/>
    <n v="0"/>
    <n v="0"/>
    <n v="0"/>
    <n v="0"/>
    <n v="0"/>
    <n v="0"/>
    <n v="-0.12036782115821003"/>
    <n v="4"/>
    <m/>
    <s v="Araria"/>
    <m/>
    <n v="0"/>
  </r>
  <r>
    <s v="Munger"/>
    <s v="17-23 Apr"/>
    <n v="1056"/>
    <s v="Chautham"/>
    <x v="227"/>
    <s v="Telouch"/>
    <s v="MPG"/>
    <s v="Direct"/>
    <n v="2180.2799999999997"/>
    <n v="83355.590000000026"/>
    <n v="2230.7799999999997"/>
    <n v="86878.394280612003"/>
    <n v="9.3000000000000007"/>
    <n v="328.00355676000009"/>
    <n v="2240.08"/>
    <n v="87206.397837372002"/>
    <n v="83355.590000000026"/>
    <n v="0"/>
    <n v="328.00355676000009"/>
    <n v="3850.8078373719763"/>
    <n v="0"/>
    <n v="0"/>
    <n v="0"/>
    <n v="83028"/>
    <n v="0"/>
    <n v="0"/>
    <n v="0"/>
    <n v="0"/>
    <n v="0"/>
    <n v="0"/>
    <n v="-4.619735565871437E-2"/>
    <n v="7"/>
    <m/>
    <s v="Chautham"/>
    <m/>
    <n v="0"/>
  </r>
  <r>
    <s v="Munger"/>
    <s v="17-23 Apr"/>
    <n v="1010"/>
    <s v="Parbatta"/>
    <x v="228"/>
    <s v="Gomukh Salarpur East"/>
    <s v="MPG"/>
    <s v="Direct"/>
    <n v="42.7"/>
    <n v="1534.0000000000002"/>
    <n v="0"/>
    <n v="0"/>
    <n v="0"/>
    <n v="0"/>
    <n v="0"/>
    <n v="0"/>
    <n v="0"/>
    <n v="0"/>
    <n v="0"/>
    <n v="0"/>
    <n v="0"/>
    <n v="0"/>
    <n v="0"/>
    <n v="0"/>
    <n v="0"/>
    <n v="0"/>
    <n v="1534"/>
    <n v="0"/>
    <n v="472.27081967213121"/>
    <n v="6.1000000000000005"/>
    <n v="1"/>
    <n v="0"/>
    <m/>
    <s v="Parbatta"/>
    <m/>
    <n v="0"/>
  </r>
  <r>
    <s v="Munger"/>
    <s v="17-23 Apr"/>
    <n v="1007"/>
    <s v="Araria"/>
    <x v="229"/>
    <s v="Gomukh Jhangara B"/>
    <s v="MPG"/>
    <s v="Direct"/>
    <n v="1506.2"/>
    <n v="57658.93"/>
    <n v="1539.52"/>
    <n v="63723.016654596504"/>
    <n v="0"/>
    <n v="0"/>
    <n v="1539.52"/>
    <n v="63723.016654596504"/>
    <n v="57658.93"/>
    <n v="0"/>
    <n v="0"/>
    <n v="6064.0866545965036"/>
    <n v="0"/>
    <n v="0"/>
    <n v="0"/>
    <n v="57659"/>
    <n v="0"/>
    <n v="0"/>
    <n v="0"/>
    <n v="0"/>
    <n v="0"/>
    <n v="0"/>
    <n v="-0.10517168207243013"/>
    <n v="7"/>
    <m/>
    <s v="Araria"/>
    <m/>
    <n v="0"/>
  </r>
  <r>
    <s v="Munger"/>
    <s v="17-23 Apr"/>
    <n v="1056"/>
    <s v="Chautham"/>
    <x v="230"/>
    <s v="Gomukh Saraiya"/>
    <s v="vlc"/>
    <s v="Direct"/>
    <n v="209.33999999999997"/>
    <n v="7517.7000000000007"/>
    <n v="215.98000000000002"/>
    <n v="15453.366537666203"/>
    <n v="0"/>
    <n v="0"/>
    <n v="215.98000000000002"/>
    <n v="15453.366537666203"/>
    <n v="7517.7000000000007"/>
    <n v="0"/>
    <n v="0"/>
    <n v="7935.6665376662022"/>
    <n v="0"/>
    <n v="40.96"/>
    <n v="0"/>
    <n v="7477"/>
    <n v="0"/>
    <n v="0"/>
    <n v="0"/>
    <s v="Release1"/>
    <n v="352.40610318142745"/>
    <n v="29.905714285714282"/>
    <n v="-1.0555976612083751"/>
    <n v="1"/>
    <m/>
    <s v="Chautham"/>
    <m/>
    <n v="0"/>
  </r>
  <r>
    <s v="Munger"/>
    <s v="17-23 Apr"/>
    <n v="1056"/>
    <s v="Chautham"/>
    <x v="231"/>
    <s v=" Gomukh Nauranga"/>
    <s v="vlc"/>
    <s v="Indirect"/>
    <n v="318.31999999999994"/>
    <n v="13779.63"/>
    <n v="0"/>
    <n v="0"/>
    <n v="0"/>
    <n v="0"/>
    <n v="0"/>
    <n v="0"/>
    <n v="13779.63"/>
    <n v="0"/>
    <n v="0"/>
    <n v="0"/>
    <n v="0"/>
    <n v="0"/>
    <n v="0"/>
    <n v="0"/>
    <n v="0"/>
    <n v="13779.63"/>
    <n v="0"/>
    <n v="0"/>
    <n v="330.44792525760255"/>
    <n v="45.474285714285706"/>
    <n v="0"/>
    <n v="0"/>
    <m/>
    <s v="Chautham"/>
    <m/>
    <n v="0"/>
  </r>
  <r>
    <s v="Munger"/>
    <s v="17-23 Apr"/>
    <n v="1056"/>
    <s v="Chautham"/>
    <x v="232"/>
    <s v="Gomukh Malpa Dhutauli VLC"/>
    <s v="vlc"/>
    <s v="Indirect"/>
    <n v="121.1"/>
    <n v="4324.6400000000003"/>
    <n v="0"/>
    <n v="0"/>
    <n v="0"/>
    <n v="0"/>
    <n v="0"/>
    <n v="0"/>
    <n v="4324.6400000000003"/>
    <n v="0"/>
    <n v="0"/>
    <n v="0"/>
    <n v="0"/>
    <n v="0"/>
    <n v="0"/>
    <n v="0"/>
    <n v="0"/>
    <n v="4324.6400000000003"/>
    <n v="0"/>
    <n v="0"/>
    <n v="413.46558150289019"/>
    <n v="17.3"/>
    <n v="0"/>
    <n v="0"/>
    <m/>
    <s v="Chautham"/>
    <m/>
    <n v="0"/>
  </r>
  <r>
    <s v="Munger"/>
    <s v="17-23 Apr"/>
    <n v="1056"/>
    <s v="Chautham"/>
    <x v="233"/>
    <s v="Gomukh Pakrail Vijay Nagar VLC"/>
    <s v="vlc"/>
    <s v="Indirect"/>
    <n v="1537.54"/>
    <n v="57002.87"/>
    <n v="0"/>
    <n v="0"/>
    <n v="0"/>
    <n v="0"/>
    <n v="0"/>
    <n v="0"/>
    <n v="57002.87"/>
    <n v="0"/>
    <n v="0"/>
    <n v="0"/>
    <n v="0"/>
    <n v="0"/>
    <n v="0"/>
    <n v="0"/>
    <n v="0"/>
    <n v="57002.87"/>
    <n v="0"/>
    <n v="0"/>
    <n v="0"/>
    <n v="0"/>
    <n v="0"/>
    <n v="0"/>
    <m/>
    <s v="Chautham"/>
    <m/>
    <n v="0"/>
  </r>
  <r>
    <s v="Munger"/>
    <s v="17-23 Apr"/>
    <n v="1056"/>
    <s v="Chautham"/>
    <x v="234"/>
    <s v="Gomukh Pakrail Shirnia VLC"/>
    <s v="vlc"/>
    <s v="Indirect"/>
    <n v="82.360000000000014"/>
    <n v="3375.4100000000003"/>
    <n v="0"/>
    <n v="0"/>
    <n v="0"/>
    <n v="0"/>
    <n v="0"/>
    <n v="0"/>
    <n v="3375.4100000000003"/>
    <n v="0"/>
    <n v="0"/>
    <n v="0"/>
    <n v="0"/>
    <n v="14.97912387096774"/>
    <n v="0"/>
    <n v="0"/>
    <n v="0"/>
    <n v="3360.4308761290326"/>
    <n v="0"/>
    <n v="0"/>
    <n v="506.26231966974257"/>
    <n v="11.765714285714287"/>
    <n v="0"/>
    <n v="0"/>
    <m/>
    <s v="Chautham"/>
    <m/>
    <n v="0"/>
  </r>
  <r>
    <s v="Munger"/>
    <s v="17-23 Apr"/>
    <n v="1007"/>
    <s v="Araria"/>
    <x v="235"/>
    <s v="Gomukh Godhiyasi Nayagow VLC"/>
    <s v="vlc"/>
    <s v="Indirect"/>
    <n v="231.9"/>
    <n v="7732.67"/>
    <n v="0"/>
    <n v="0"/>
    <n v="0"/>
    <n v="0"/>
    <n v="0"/>
    <n v="0"/>
    <n v="7732.67"/>
    <n v="0"/>
    <n v="0"/>
    <n v="0"/>
    <n v="6500"/>
    <n v="0"/>
    <n v="0"/>
    <n v="0"/>
    <n v="0"/>
    <n v="1232.67"/>
    <n v="0"/>
    <n v="0"/>
    <n v="312.1744568348426"/>
    <n v="33.128571428571426"/>
    <n v="0"/>
    <n v="0"/>
    <m/>
    <s v="Araria"/>
    <m/>
    <n v="0"/>
  </r>
  <r>
    <s v="Munger"/>
    <s v="17-23 Apr"/>
    <n v="1010"/>
    <s v="Parbatta"/>
    <x v="236"/>
    <s v="Gomukh Bandehra Purbi"/>
    <s v="MPG"/>
    <s v="Direct"/>
    <n v="720.8"/>
    <n v="27080.569999999996"/>
    <n v="808"/>
    <n v="31016.599701119998"/>
    <n v="0"/>
    <n v="0"/>
    <n v="808"/>
    <n v="31016.599701119998"/>
    <n v="27080.569999999996"/>
    <n v="0"/>
    <n v="0"/>
    <n v="3936.0297011200018"/>
    <n v="0"/>
    <n v="0"/>
    <n v="0"/>
    <n v="27081"/>
    <n v="0"/>
    <n v="0"/>
    <n v="0"/>
    <n v="0"/>
    <n v="0"/>
    <n v="0"/>
    <n v="-0.14534515710415263"/>
    <n v="1"/>
    <m/>
    <s v="Parbatta"/>
    <m/>
    <n v="0"/>
  </r>
  <r>
    <s v="Munger"/>
    <s v="17-23 Apr"/>
    <n v="1056"/>
    <s v="Chautham"/>
    <x v="237"/>
    <s v="Gomukh Tila Tol"/>
    <s v="MPG"/>
    <s v="Direct"/>
    <n v="1377.8999999999999"/>
    <n v="51357.39"/>
    <n v="1379.6000000000001"/>
    <n v="51751.733058432008"/>
    <n v="3.8800000000000003"/>
    <n v="150.00774940800002"/>
    <n v="1383.4800000000002"/>
    <n v="51901.740807840011"/>
    <n v="51357.39"/>
    <n v="0"/>
    <n v="150.00774940800002"/>
    <n v="544.35080784001184"/>
    <n v="0"/>
    <n v="0"/>
    <n v="0"/>
    <n v="51207"/>
    <n v="0"/>
    <n v="0"/>
    <n v="0"/>
    <n v="0"/>
    <n v="0"/>
    <n v="0"/>
    <n v="-1.0599269313335663E-2"/>
    <n v="2"/>
    <m/>
    <s v="Chautham"/>
    <m/>
    <n v="0"/>
  </r>
  <r>
    <s v="Munger"/>
    <s v="17-23 Apr"/>
    <n v="1007"/>
    <s v="Araria"/>
    <x v="238"/>
    <s v="Gomukh Dina Chakla Vlc"/>
    <s v="vlc"/>
    <s v="Indirect"/>
    <n v="394.60000000000008"/>
    <n v="13920.810000000001"/>
    <n v="0"/>
    <n v="0"/>
    <n v="0"/>
    <n v="0"/>
    <n v="0"/>
    <n v="0"/>
    <n v="13920.810000000001"/>
    <n v="0"/>
    <n v="0"/>
    <n v="0"/>
    <n v="0"/>
    <n v="0"/>
    <n v="0"/>
    <n v="0"/>
    <n v="0"/>
    <n v="13920.810000000001"/>
    <n v="0"/>
    <n v="0"/>
    <n v="215.47974526102374"/>
    <n v="56.371428571428581"/>
    <n v="0"/>
    <n v="0"/>
    <m/>
    <s v="Araria"/>
    <m/>
    <n v="0"/>
  </r>
  <r>
    <s v="Munger"/>
    <s v="17-23 Apr"/>
    <n v="1007"/>
    <s v="Araria"/>
    <x v="239"/>
    <s v="Gomukh Gogri VLC"/>
    <s v="vlc"/>
    <s v="Indirect"/>
    <n v="214.9"/>
    <n v="6402.58"/>
    <n v="0"/>
    <n v="0"/>
    <n v="0"/>
    <n v="0"/>
    <n v="0"/>
    <n v="0"/>
    <n v="6402.58"/>
    <n v="0"/>
    <n v="0"/>
    <n v="0"/>
    <n v="0"/>
    <n v="322.6099548387096"/>
    <n v="0"/>
    <n v="0"/>
    <n v="0"/>
    <n v="6079.9700451612907"/>
    <n v="0"/>
    <n v="0"/>
    <n v="289.05458892508136"/>
    <n v="30.7"/>
    <n v="0"/>
    <n v="0"/>
    <m/>
    <s v="Araria"/>
    <m/>
    <n v="0"/>
  </r>
  <r>
    <s v="Munger"/>
    <s v="17-23 Apr"/>
    <n v="1007"/>
    <s v="Araria"/>
    <x v="240"/>
    <s v="Gomukh Sondiha Jay Prakash VLC"/>
    <s v="vlc"/>
    <s v="Indirect"/>
    <n v="386.8"/>
    <n v="13594.72"/>
    <n v="0"/>
    <n v="0"/>
    <n v="0"/>
    <n v="0"/>
    <n v="0"/>
    <n v="0"/>
    <n v="13594.72"/>
    <n v="0"/>
    <n v="0"/>
    <n v="0"/>
    <n v="0"/>
    <n v="0"/>
    <n v="0"/>
    <n v="0"/>
    <n v="0"/>
    <n v="13594.72"/>
    <n v="0"/>
    <n v="0"/>
    <n v="220.15854725956564"/>
    <n v="55.25714285714286"/>
    <n v="0"/>
    <n v="0"/>
    <m/>
    <s v="Araria"/>
    <m/>
    <n v="0"/>
  </r>
  <r>
    <s v="Munger"/>
    <s v="17-23 Apr"/>
    <n v="1007"/>
    <s v="Araria"/>
    <x v="241"/>
    <s v="Gomukh Bari Chak Gogri"/>
    <s v="MPG"/>
    <s v="Direct"/>
    <n v="174.2"/>
    <n v="5658.6100000000006"/>
    <n v="174.2"/>
    <n v="7864.2779529600002"/>
    <n v="0"/>
    <n v="0"/>
    <n v="174.2"/>
    <n v="7864.2779529600002"/>
    <n v="5658.6100000000006"/>
    <n v="0"/>
    <n v="0"/>
    <n v="2205.6679529599996"/>
    <n v="0"/>
    <n v="0"/>
    <n v="0"/>
    <n v="0"/>
    <n v="0"/>
    <n v="0"/>
    <n v="5659"/>
    <s v="Yes"/>
    <n v="341.59553823191737"/>
    <n v="24.885714285714283"/>
    <n v="-0.38978971036349908"/>
    <n v="1"/>
    <m/>
    <s v="Araria"/>
    <m/>
    <n v="0"/>
  </r>
  <r>
    <s v="Munger"/>
    <s v="17-23 Apr"/>
    <n v="1007"/>
    <s v="Araria"/>
    <x v="242"/>
    <s v="Gomukh Khatha"/>
    <s v="MPG"/>
    <s v="Direct"/>
    <n v="1050.8999999999999"/>
    <n v="36160.350000000006"/>
    <n v="1050.9000000000001"/>
    <n v="48449.789405640011"/>
    <n v="0"/>
    <n v="0"/>
    <n v="1050.9000000000001"/>
    <n v="48449.789405640011"/>
    <n v="36160.350000000006"/>
    <n v="0"/>
    <n v="0"/>
    <n v="12289.439405640005"/>
    <n v="0"/>
    <n v="0"/>
    <n v="0"/>
    <n v="36160"/>
    <n v="0"/>
    <n v="0"/>
    <n v="0"/>
    <n v="0"/>
    <n v="0"/>
    <n v="0"/>
    <n v="-0.33985952585193457"/>
    <n v="1"/>
    <m/>
    <s v="Araria"/>
    <m/>
    <n v="0"/>
  </r>
  <r>
    <s v="Munger"/>
    <s v="17-23 Apr"/>
    <n v="1055"/>
    <s v="Matihani"/>
    <x v="243"/>
    <s v="Chak Punervas"/>
    <s v="vlc"/>
    <s v="Indirect"/>
    <n v="526.70000000000005"/>
    <n v="19401.68"/>
    <n v="0"/>
    <n v="0"/>
    <n v="0"/>
    <n v="0"/>
    <n v="0"/>
    <n v="0"/>
    <n v="19401.68"/>
    <n v="0"/>
    <n v="0"/>
    <n v="0"/>
    <n v="0"/>
    <n v="33.439780645161306"/>
    <n v="0"/>
    <n v="0"/>
    <n v="0"/>
    <n v="19368.240219354841"/>
    <n v="0"/>
    <n v="0"/>
    <n v="127.67462099867095"/>
    <n v="75.242857142857147"/>
    <n v="0"/>
    <n v="0"/>
    <m/>
    <s v="Matihani"/>
    <m/>
    <n v="0"/>
  </r>
  <r>
    <s v="Munger"/>
    <s v="17-23 Apr"/>
    <n v="1008"/>
    <s v="Teghra"/>
    <x v="244"/>
    <s v="Labherchak"/>
    <s v="vlc"/>
    <s v="Indirect"/>
    <n v="276.20000000000005"/>
    <n v="9936.52"/>
    <n v="0"/>
    <n v="0"/>
    <n v="0"/>
    <n v="0"/>
    <n v="0"/>
    <n v="0"/>
    <n v="9936.52"/>
    <n v="0"/>
    <n v="0"/>
    <n v="0"/>
    <n v="0"/>
    <n v="0"/>
    <n v="0"/>
    <n v="0"/>
    <n v="0"/>
    <n v="9936.52"/>
    <n v="0"/>
    <n v="0"/>
    <n v="304.93100477914544"/>
    <n v="39.457142857142863"/>
    <n v="0"/>
    <n v="0"/>
    <m/>
    <s v="Teghra"/>
    <m/>
    <n v="0"/>
  </r>
  <r>
    <s v="Munger"/>
    <s v="17-23 Apr"/>
    <n v="1008"/>
    <s v="Teghra"/>
    <x v="245"/>
    <s v="Paspura"/>
    <s v="vlc"/>
    <s v="Indirect"/>
    <n v="276.3"/>
    <n v="9383.84"/>
    <n v="0"/>
    <n v="0"/>
    <n v="0"/>
    <n v="0"/>
    <n v="0"/>
    <n v="0"/>
    <n v="9383.84"/>
    <n v="0"/>
    <n v="0"/>
    <n v="0"/>
    <n v="0"/>
    <n v="91.719174193548312"/>
    <n v="0"/>
    <n v="0"/>
    <n v="0"/>
    <n v="9292.1208258064526"/>
    <n v="0"/>
    <n v="0"/>
    <n v="287.79826333695257"/>
    <n v="39.471428571428575"/>
    <n v="0"/>
    <n v="0"/>
    <m/>
    <s v="Teghra"/>
    <m/>
    <n v="0"/>
  </r>
  <r>
    <s v="Munger"/>
    <s v="17-23 Apr"/>
    <n v="1008"/>
    <s v="Teghra"/>
    <x v="246"/>
    <s v="Gomukh Godhna"/>
    <s v="vlc"/>
    <s v="Indirect"/>
    <n v="99.649999999999991"/>
    <n v="3677.97"/>
    <n v="0"/>
    <n v="0"/>
    <n v="0"/>
    <n v="0"/>
    <n v="0"/>
    <n v="0"/>
    <n v="3677.97"/>
    <n v="0"/>
    <n v="0"/>
    <n v="0"/>
    <n v="0"/>
    <n v="31.874845161290331"/>
    <n v="0"/>
    <n v="0"/>
    <n v="0"/>
    <n v="3646.0951548387093"/>
    <n v="0"/>
    <n v="0"/>
    <n v="443.16493517310585"/>
    <n v="14.235714285714284"/>
    <n v="0"/>
    <n v="0"/>
    <m/>
    <s v="Teghra"/>
    <m/>
    <n v="0"/>
  </r>
  <r>
    <s v="Munger"/>
    <s v="17-23 Apr"/>
    <n v="1008"/>
    <s v="Teghra"/>
    <x v="247"/>
    <s v="Gomukh Sihma 2"/>
    <s v="vlc"/>
    <s v="Indirect"/>
    <n v="230.49999999999997"/>
    <n v="7383.2699999999995"/>
    <n v="0"/>
    <n v="0"/>
    <n v="0"/>
    <n v="0"/>
    <n v="0"/>
    <n v="0"/>
    <n v="7383.2699999999995"/>
    <n v="0"/>
    <n v="0"/>
    <n v="0"/>
    <n v="0"/>
    <n v="9.1035387096776219"/>
    <n v="0"/>
    <n v="0"/>
    <n v="0"/>
    <n v="7374.1664612903223"/>
    <n v="0"/>
    <n v="0"/>
    <n v="300.77616182212591"/>
    <n v="32.928571428571423"/>
    <n v="0"/>
    <n v="0"/>
    <m/>
    <s v="Teghra"/>
    <m/>
    <n v="0"/>
  </r>
  <r>
    <s v="Munger"/>
    <s v="17-23 Apr"/>
    <n v="1008"/>
    <s v="Teghra"/>
    <x v="248"/>
    <s v="Gomukh ID Marsaito"/>
    <s v="vlc"/>
    <s v="Indirect"/>
    <n v="641.80000000000007"/>
    <n v="23448.989999999994"/>
    <n v="0"/>
    <n v="0"/>
    <n v="0"/>
    <n v="0"/>
    <n v="0"/>
    <n v="0"/>
    <n v="23448.989999999994"/>
    <n v="0"/>
    <n v="0"/>
    <n v="0"/>
    <n v="0"/>
    <n v="0"/>
    <n v="0"/>
    <n v="0"/>
    <n v="0"/>
    <n v="23448.989999999994"/>
    <n v="0"/>
    <n v="0"/>
    <n v="42.528239887815445"/>
    <n v="91.685714285714297"/>
    <n v="0"/>
    <n v="0"/>
    <m/>
    <s v="Teghra"/>
    <m/>
    <n v="0"/>
  </r>
  <r>
    <s v="Munger"/>
    <s v="17-23 Apr"/>
    <n v="1008"/>
    <s v="Teghra"/>
    <x v="249"/>
    <s v="Gomukh ID Akashpur-2"/>
    <s v="vlc"/>
    <s v="Indirect"/>
    <n v="549.20000000000005"/>
    <n v="20827.8"/>
    <n v="0"/>
    <n v="0"/>
    <n v="0"/>
    <n v="0"/>
    <n v="0"/>
    <n v="0"/>
    <n v="20827.8"/>
    <n v="0"/>
    <n v="0"/>
    <n v="0"/>
    <n v="0"/>
    <n v="2314.64025483871"/>
    <n v="0"/>
    <n v="0"/>
    <n v="0"/>
    <n v="18513.159745161291"/>
    <n v="0"/>
    <n v="0"/>
    <n v="114.37845010924971"/>
    <n v="78.45714285714287"/>
    <n v="0"/>
    <n v="0"/>
    <m/>
    <s v="Teghra"/>
    <m/>
    <n v="0"/>
  </r>
  <r>
    <s v="Munger"/>
    <s v="17-23 Apr"/>
    <n v="1008"/>
    <s v="Teghra"/>
    <x v="250"/>
    <s v="Gomukh ID Akashpur"/>
    <s v="vlc"/>
    <s v="Indirect"/>
    <n v="770.74999999999989"/>
    <n v="28793.7"/>
    <n v="0"/>
    <n v="0"/>
    <n v="0"/>
    <n v="0"/>
    <n v="0"/>
    <n v="0"/>
    <n v="28793.7"/>
    <n v="0"/>
    <n v="0"/>
    <n v="0"/>
    <n v="0"/>
    <n v="0"/>
    <n v="0"/>
    <n v="0"/>
    <n v="0"/>
    <n v="28793.7"/>
    <n v="0"/>
    <n v="0"/>
    <n v="0"/>
    <n v="0"/>
    <n v="0"/>
    <n v="0"/>
    <m/>
    <s v="Teghra"/>
    <m/>
    <n v="0"/>
  </r>
  <r>
    <s v="Munger"/>
    <s v="17-23 Apr"/>
    <n v="1008"/>
    <s v="Teghra"/>
    <x v="251"/>
    <s v="Gomukh ID Rachiyahi"/>
    <s v="vlc"/>
    <s v="Indirect"/>
    <n v="80.150000000000006"/>
    <n v="3264.9"/>
    <n v="0"/>
    <n v="0"/>
    <n v="0"/>
    <n v="0"/>
    <n v="0"/>
    <n v="0"/>
    <n v="3264.9"/>
    <n v="0"/>
    <n v="0"/>
    <n v="0"/>
    <n v="0"/>
    <n v="136.75941290322592"/>
    <n v="0"/>
    <n v="0"/>
    <n v="0"/>
    <n v="3128.1405870967742"/>
    <n v="0"/>
    <n v="0"/>
    <n v="504.99020960698692"/>
    <n v="11.450000000000001"/>
    <n v="0"/>
    <n v="0"/>
    <m/>
    <s v="Teghra"/>
    <m/>
    <n v="0"/>
  </r>
  <r>
    <s v="Munger"/>
    <s v="17-23 Apr"/>
    <n v="1008"/>
    <s v="Teghra"/>
    <x v="252"/>
    <s v="GomukhBariyahi Chanan"/>
    <s v="MPG"/>
    <s v="Direct"/>
    <n v="1337.85"/>
    <n v="47406.009999999995"/>
    <n v="1351.9"/>
    <n v="47960.194291448803"/>
    <n v="1.8"/>
    <n v="62.453748852000011"/>
    <n v="1353.7"/>
    <n v="48022.648040300803"/>
    <n v="47406.009999999995"/>
    <n v="0"/>
    <n v="62.453748852000011"/>
    <n v="616.63804030080792"/>
    <n v="0"/>
    <n v="155.09327999999945"/>
    <n v="0"/>
    <n v="47188"/>
    <n v="0"/>
    <n v="0"/>
    <n v="0"/>
    <n v="0"/>
    <n v="0"/>
    <n v="0"/>
    <n v="-1.300759208169614E-2"/>
    <n v="8"/>
    <m/>
    <s v="Teghra"/>
    <m/>
    <n v="0"/>
  </r>
  <r>
    <s v="Munger"/>
    <s v="17-23 Apr"/>
    <n v="1008"/>
    <s v="Teghra"/>
    <x v="253"/>
    <s v="GomukhGehuni"/>
    <s v="MPG"/>
    <s v="Direct"/>
    <n v="93.25"/>
    <n v="3350.5900000000006"/>
    <n v="177.70000000000002"/>
    <n v="6487.9881828299995"/>
    <n v="1.3"/>
    <n v="45.176994324000006"/>
    <n v="179.00000000000003"/>
    <n v="6533.1651771539991"/>
    <n v="3350.5900000000006"/>
    <n v="0"/>
    <n v="45.176994324000006"/>
    <n v="3182.5751771539985"/>
    <n v="0"/>
    <n v="31.161546428571462"/>
    <n v="0"/>
    <n v="3274"/>
    <n v="0"/>
    <n v="0"/>
    <n v="0"/>
    <n v="0"/>
    <n v="436.02584075067034"/>
    <n v="13.321428571428571"/>
    <n v="-0.9498551530190199"/>
    <n v="5"/>
    <m/>
    <s v="Teghra"/>
    <m/>
    <n v="0"/>
  </r>
  <r>
    <s v="Munger"/>
    <s v="17-23 Apr"/>
    <n v="1008"/>
    <s v="Teghra"/>
    <x v="254"/>
    <s v="Gomukh Bakhatpur"/>
    <s v="MPG"/>
    <s v="Direct"/>
    <n v="238.54999999999998"/>
    <n v="9930.1899999999987"/>
    <n v="234.04999999999998"/>
    <n v="9734.440936954652"/>
    <n v="4.2300000000000004"/>
    <n v="172.67379425999999"/>
    <n v="238.27999999999997"/>
    <n v="9907.1147312146513"/>
    <n v="9907.1147312146513"/>
    <n v="0"/>
    <n v="172.67379425999999"/>
    <n v="0"/>
    <n v="0"/>
    <n v="0"/>
    <n v="0"/>
    <n v="9735"/>
    <n v="0"/>
    <n v="0"/>
    <n v="23"/>
    <n v="0"/>
    <n v="384.17825826870677"/>
    <n v="34.078571428571429"/>
    <n v="2.3237489700949692E-3"/>
    <n v="6"/>
    <m/>
    <s v="Teghra"/>
    <m/>
    <n v="0"/>
  </r>
  <r>
    <s v="Munger"/>
    <s v="17-23 Apr"/>
    <n v="1008"/>
    <s v="Teghra"/>
    <x v="256"/>
    <s v="Gomukh Bishanpur"/>
    <s v="MPG"/>
    <s v="Direct"/>
    <n v="795.04999999999984"/>
    <n v="28769.42"/>
    <n v="824.07999999999993"/>
    <n v="30982.180044996159"/>
    <n v="14.22"/>
    <n v="536.2271414280001"/>
    <n v="838.3"/>
    <n v="31518.40718642416"/>
    <n v="28769.42"/>
    <n v="0"/>
    <n v="536.2271414280001"/>
    <n v="2748.9871864241613"/>
    <n v="0"/>
    <n v="0"/>
    <n v="0"/>
    <n v="28233"/>
    <n v="0"/>
    <n v="0"/>
    <n v="0"/>
    <n v="0"/>
    <n v="0"/>
    <n v="0"/>
    <n v="-9.5552402044398591E-2"/>
    <n v="25"/>
    <m/>
    <s v="Teghra"/>
    <m/>
    <n v="0"/>
  </r>
  <r>
    <s v="Munger"/>
    <s v="17-23 Apr"/>
    <n v="1008"/>
    <s v="Teghra"/>
    <x v="257"/>
    <s v="GOMUKH BEGAMSARAI"/>
    <s v="MPG"/>
    <s v="Direct"/>
    <n v="345.29999999999995"/>
    <n v="14512.349999999999"/>
    <n v="497.71000000000004"/>
    <n v="21471.531709960804"/>
    <n v="129.91000000000003"/>
    <n v="5577.0613861501806"/>
    <n v="627.62000000000012"/>
    <n v="27048.593096110984"/>
    <n v="14512.349999999999"/>
    <n v="0"/>
    <n v="87.446381285699999"/>
    <n v="12536.243096110986"/>
    <n v="0"/>
    <n v="2.0302819672133836"/>
    <n v="0"/>
    <n v="8932"/>
    <n v="5490"/>
    <n v="0"/>
    <n v="1"/>
    <n v="0"/>
    <n v="298.14830842745442"/>
    <n v="49.328571428571422"/>
    <n v="-0.86383274218930683"/>
    <n v="5"/>
    <m/>
    <s v="Teghra"/>
    <m/>
    <n v="0"/>
  </r>
  <r>
    <s v="Munger"/>
    <s v="17-23 Apr"/>
    <n v="1008"/>
    <s v="Teghra"/>
    <x v="258"/>
    <s v="Hasanpur - Abhijeet"/>
    <s v="vlc"/>
    <s v="Indirect"/>
    <n v="5186.2500000000009"/>
    <n v="191437.43"/>
    <n v="0"/>
    <n v="0"/>
    <n v="0"/>
    <n v="0"/>
    <n v="0"/>
    <n v="0"/>
    <n v="191437.43"/>
    <n v="0"/>
    <n v="0"/>
    <n v="0"/>
    <n v="0"/>
    <n v="0"/>
    <n v="0"/>
    <n v="0"/>
    <n v="0"/>
    <n v="191437.43"/>
    <n v="0"/>
    <n v="0"/>
    <n v="0"/>
    <n v="0"/>
    <n v="0"/>
    <n v="0"/>
    <m/>
    <s v="Teghra"/>
    <m/>
    <n v="0"/>
  </r>
  <r>
    <s v="Munger"/>
    <s v="17-23 Apr"/>
    <n v="1008"/>
    <s v="Teghra"/>
    <x v="259"/>
    <s v="Adharpur - Manish"/>
    <s v="vlc"/>
    <s v="Indirect"/>
    <n v="770.2"/>
    <n v="29623.679999999997"/>
    <n v="0"/>
    <n v="0"/>
    <n v="0"/>
    <n v="0"/>
    <n v="0"/>
    <n v="0"/>
    <n v="29623.679999999997"/>
    <n v="0"/>
    <n v="0"/>
    <n v="0"/>
    <n v="0"/>
    <n v="0"/>
    <n v="0"/>
    <n v="0"/>
    <n v="0"/>
    <n v="29623.679999999997"/>
    <n v="0"/>
    <n v="0"/>
    <n v="0"/>
    <n v="0"/>
    <n v="0"/>
    <n v="0"/>
    <m/>
    <s v="Teghra"/>
    <m/>
    <n v="0"/>
  </r>
  <r>
    <s v="Munger"/>
    <s v="17-23 Apr"/>
    <n v="1008"/>
    <s v="Teghra"/>
    <x v="260"/>
    <s v="Rani - Surender"/>
    <s v="vlc"/>
    <s v="Indirect"/>
    <n v="77.05"/>
    <n v="3135.22"/>
    <n v="0"/>
    <n v="0"/>
    <n v="0"/>
    <n v="0"/>
    <n v="0"/>
    <n v="0"/>
    <n v="3135.22"/>
    <n v="0"/>
    <n v="0"/>
    <n v="0"/>
    <n v="0"/>
    <n v="0"/>
    <n v="0"/>
    <n v="0"/>
    <n v="0"/>
    <n v="3135.22"/>
    <n v="0"/>
    <n v="0"/>
    <n v="506.96568436080469"/>
    <n v="11.007142857142856"/>
    <n v="0"/>
    <n v="0"/>
    <m/>
    <s v="Teghra"/>
    <m/>
    <n v="0"/>
  </r>
  <r>
    <s v="Munger"/>
    <s v="17-23 Apr"/>
    <n v="1008"/>
    <s v="Teghra"/>
    <x v="261"/>
    <s v="Gangaprasad - Prashant"/>
    <s v="vlc"/>
    <s v="Indirect"/>
    <n v="544.5"/>
    <n v="19654.16"/>
    <n v="0"/>
    <n v="0"/>
    <n v="0"/>
    <n v="0"/>
    <n v="0"/>
    <n v="0"/>
    <n v="19654.16"/>
    <n v="0"/>
    <n v="0"/>
    <n v="0"/>
    <n v="0"/>
    <n v="0"/>
    <n v="0"/>
    <n v="0"/>
    <n v="0"/>
    <n v="19654.16"/>
    <n v="0"/>
    <n v="0"/>
    <n v="112.25792029384753"/>
    <n v="77.785714285714292"/>
    <n v="0"/>
    <n v="0"/>
    <m/>
    <s v="Teghra"/>
    <m/>
    <n v="0"/>
  </r>
  <r>
    <s v="Munger"/>
    <s v="17-23 Apr"/>
    <n v="1008"/>
    <s v="Teghra"/>
    <x v="262"/>
    <s v="GOMUKH RANI 3"/>
    <s v="MPG"/>
    <s v="Direct"/>
    <n v="125"/>
    <n v="5458.7799999999988"/>
    <n v="168.13"/>
    <n v="7272.1086565191799"/>
    <n v="1.1000000000000001"/>
    <n v="49.341603074160005"/>
    <n v="169.23"/>
    <n v="7321.45025959334"/>
    <n v="5458.7799999999988"/>
    <n v="0"/>
    <n v="49.341603074160005"/>
    <n v="1862.6702595933411"/>
    <n v="0"/>
    <n v="160.84665737704907"/>
    <n v="0"/>
    <n v="5248"/>
    <n v="0"/>
    <n v="0"/>
    <n v="1"/>
    <n v="0"/>
    <n v="502.20775999999989"/>
    <n v="17.857142857142858"/>
    <n v="-0.34122464352718768"/>
    <n v="5"/>
    <m/>
    <s v="Teghra"/>
    <m/>
    <n v="0"/>
  </r>
  <r>
    <s v="Munger"/>
    <s v="17-23 Apr"/>
    <n v="1008"/>
    <s v="Teghra"/>
    <x v="263"/>
    <s v="GOMUKH NONPUR"/>
    <s v="MPG"/>
    <s v="Direct"/>
    <n v="565.29999999999995"/>
    <n v="20779.790000000005"/>
    <n v="592.81999999999994"/>
    <n v="23763.939337511998"/>
    <n v="1.6099999999999997"/>
    <n v="64.457405100000003"/>
    <n v="594.42999999999995"/>
    <n v="23828.396742612"/>
    <n v="20779.790000000005"/>
    <n v="0"/>
    <n v="64.457405100000003"/>
    <n v="3048.6067426119953"/>
    <n v="0"/>
    <n v="38.857535593220106"/>
    <n v="0"/>
    <n v="20676"/>
    <n v="0"/>
    <n v="0"/>
    <n v="0"/>
    <n v="0"/>
    <n v="99.028399540067284"/>
    <n v="80.757142857142853"/>
    <n v="-0.14671018054619389"/>
    <n v="5"/>
    <m/>
    <s v="Teghra"/>
    <m/>
    <n v="0"/>
  </r>
  <r>
    <s v="Munger"/>
    <s v="17-23 Apr"/>
    <n v="1008"/>
    <s v="Teghra"/>
    <x v="264"/>
    <s v="GOMUKH FATEHA"/>
    <s v="MPG"/>
    <s v="Direct"/>
    <n v="569.15"/>
    <n v="19727.670000000002"/>
    <n v="817.10000000000014"/>
    <n v="28482.186625200011"/>
    <n v="0"/>
    <n v="0"/>
    <n v="817.10000000000014"/>
    <n v="28482.186625200011"/>
    <n v="19727.670000000002"/>
    <n v="0"/>
    <n v="0"/>
    <n v="8754.516625200009"/>
    <n v="0"/>
    <n v="0"/>
    <n v="0"/>
    <n v="19728"/>
    <n v="0"/>
    <n v="0"/>
    <n v="0"/>
    <n v="0"/>
    <n v="90.709500817007864"/>
    <n v="81.30714285714285"/>
    <n v="-0.44376840372938153"/>
    <n v="1"/>
    <m/>
    <s v="Teghra"/>
    <m/>
    <n v="0"/>
  </r>
  <r>
    <s v="Munger"/>
    <s v="17-23 Apr"/>
    <n v="1008"/>
    <s v="Teghra"/>
    <x v="265"/>
    <s v="Bablu Singh"/>
    <s v="vlc"/>
    <s v="Indirect"/>
    <n v="208.29999999999998"/>
    <n v="7400.5899999999992"/>
    <n v="0"/>
    <n v="0"/>
    <n v="0"/>
    <n v="0"/>
    <n v="0"/>
    <n v="0"/>
    <n v="7400.5899999999992"/>
    <n v="0"/>
    <n v="0"/>
    <n v="0"/>
    <n v="0"/>
    <n v="2855.1330870967731"/>
    <n v="0"/>
    <n v="0"/>
    <n v="0"/>
    <n v="4545.4569129032261"/>
    <n v="0"/>
    <n v="0"/>
    <n v="349.38743187710037"/>
    <n v="29.757142857142856"/>
    <n v="0"/>
    <n v="0"/>
    <m/>
    <s v="Teghra"/>
    <m/>
    <n v="0"/>
  </r>
  <r>
    <s v="Munger"/>
    <s v="17-23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394.29999999999995"/>
    <n v="14460.17"/>
    <n v="361.71"/>
    <n v="14289.48224352"/>
    <n v="78.97"/>
    <n v="3294.0800323200006"/>
    <n v="440.67999999999995"/>
    <n v="17583.562275840002"/>
    <n v="14460.17"/>
    <n v="0"/>
    <n v="0"/>
    <n v="3123.3922758400022"/>
    <n v="0"/>
    <n v="127.56983684210508"/>
    <n v="0"/>
    <n v="11038"/>
    <n v="3294"/>
    <n v="0"/>
    <n v="1"/>
    <n v="0"/>
    <n v="224.21881658635564"/>
    <n v="56.328571428571422"/>
    <n v="-0.2159996926619813"/>
    <n v="8"/>
    <m/>
    <s v="Teghra"/>
    <m/>
    <n v="0"/>
  </r>
  <r>
    <s v="Munger"/>
    <s v="17-23 Apr"/>
    <n v="1008"/>
    <s v="Teghra"/>
    <x v="267"/>
    <s v="GOMUKH ROOPNAGAR"/>
    <s v="MPG"/>
    <s v="Direct"/>
    <n v="298.10000000000002"/>
    <n v="10484.31"/>
    <n v="297.5"/>
    <n v="10463.331543984001"/>
    <n v="0"/>
    <n v="0"/>
    <n v="297.5"/>
    <n v="10463.331543984001"/>
    <n v="10463.331543984001"/>
    <n v="0"/>
    <n v="0"/>
    <n v="0"/>
    <n v="0"/>
    <n v="0"/>
    <n v="0"/>
    <n v="10463"/>
    <n v="0"/>
    <n v="0"/>
    <n v="21"/>
    <n v="0"/>
    <n v="282.70004622609861"/>
    <n v="42.585714285714289"/>
    <n v="2.0009381653154808E-3"/>
    <n v="1"/>
    <m/>
    <s v="Teghra"/>
    <m/>
    <n v="0"/>
  </r>
  <r>
    <s v="Munger"/>
    <s v="17-23 Apr"/>
    <n v="1008"/>
    <s v="Teghra"/>
    <x v="268"/>
    <s v="GOMUKH SIBUTOL 2"/>
    <s v="MPG"/>
    <s v="Direct"/>
    <n v="222.04999999999998"/>
    <n v="8815.48"/>
    <n v="222"/>
    <n v="8820.7472232000018"/>
    <n v="0"/>
    <n v="0"/>
    <n v="222"/>
    <n v="8820.7472232000018"/>
    <n v="8815.48"/>
    <n v="0"/>
    <n v="0"/>
    <n v="5.2672232000022632"/>
    <n v="0"/>
    <n v="0"/>
    <n v="0"/>
    <n v="8815"/>
    <n v="0"/>
    <n v="0"/>
    <n v="0"/>
    <n v="0"/>
    <n v="379.49638964197266"/>
    <n v="31.721428571428568"/>
    <n v="-5.9749703929930795E-4"/>
    <n v="1"/>
    <m/>
    <s v="Teghra"/>
    <m/>
    <n v="0"/>
  </r>
  <r>
    <s v="Munger"/>
    <s v="17-23 Apr"/>
    <n v="1008"/>
    <s v="Teghra"/>
    <x v="269"/>
    <s v="GOMUKH HADIPUR"/>
    <s v="MPG"/>
    <s v="Direct"/>
    <n v="57.55"/>
    <n v="2111.39"/>
    <n v="54.730000000000004"/>
    <n v="2091.520877424"/>
    <n v="0.18"/>
    <n v="7.0476798480000005"/>
    <n v="54.910000000000004"/>
    <n v="2098.5685572719999"/>
    <n v="2098.5685572719999"/>
    <n v="0"/>
    <n v="7.0476798480000005"/>
    <n v="0"/>
    <n v="0"/>
    <n v="166.48919999999998"/>
    <n v="0"/>
    <n v="1925"/>
    <n v="0"/>
    <n v="0"/>
    <n v="13"/>
    <n v="0"/>
    <n v="471.40312962641184"/>
    <n v="8.2214285714285715"/>
    <n v="6.0725127655241176E-3"/>
    <n v="2"/>
    <m/>
    <s v="Teghra"/>
    <m/>
    <n v="0"/>
  </r>
  <r>
    <s v="Munger"/>
    <s v="17-23 Apr"/>
    <n v="1008"/>
    <s v="Teghra"/>
    <x v="270"/>
    <s v="Gomukh Harichak"/>
    <s v="MPG"/>
    <s v="Direct"/>
    <n v="98.250000000000014"/>
    <n v="3510.87"/>
    <n v="95"/>
    <n v="3473.6803200000004"/>
    <n v="0"/>
    <n v="0"/>
    <n v="95"/>
    <n v="3473.6803200000004"/>
    <n v="3473.6803200000004"/>
    <n v="0"/>
    <n v="0"/>
    <n v="0"/>
    <n v="0"/>
    <n v="24.015479999999982"/>
    <n v="0"/>
    <n v="3450"/>
    <n v="0"/>
    <n v="0"/>
    <n v="37"/>
    <n v="0"/>
    <n v="430.05924122137395"/>
    <n v="14.035714285714288"/>
    <n v="1.0592724880157767E-2"/>
    <n v="1"/>
    <m/>
    <s v="Teghra"/>
    <m/>
    <n v="0"/>
  </r>
  <r>
    <s v="Munger"/>
    <s v="17-23 Apr"/>
    <n v="1008"/>
    <s v="Teghra"/>
    <x v="271"/>
    <s v="GOMUKH CHIRANJIVIPUR"/>
    <s v="MPG"/>
    <s v="Direct"/>
    <n v="6.9"/>
    <n v="226.27999999999997"/>
    <n v="12.7"/>
    <n v="413.09736751800006"/>
    <n v="1"/>
    <n v="33.020817390000005"/>
    <n v="13.7"/>
    <n v="446.11818490800005"/>
    <n v="226.27999999999997"/>
    <n v="0"/>
    <n v="33.020817390000005"/>
    <n v="219.83818490800007"/>
    <n v="0"/>
    <n v="0"/>
    <n v="0"/>
    <n v="193"/>
    <n v="0"/>
    <n v="0"/>
    <n v="0"/>
    <n v="0"/>
    <n v="454.59324057971014"/>
    <n v="0.98571428571428577"/>
    <n v="-0.97153166390312928"/>
    <n v="2"/>
    <m/>
    <s v="Teghra"/>
    <m/>
    <n v="0"/>
  </r>
  <r>
    <s v="Munger"/>
    <s v="17-23 Apr"/>
    <n v="1008"/>
    <s v="Teghra"/>
    <x v="272"/>
    <s v="RAJ BHARDWAJ"/>
    <s v="vlc"/>
    <s v="Indirect"/>
    <n v="109.89999999999999"/>
    <n v="4135.8"/>
    <n v="0"/>
    <n v="0"/>
    <n v="0"/>
    <n v="0"/>
    <n v="0"/>
    <n v="0"/>
    <n v="4135.8"/>
    <n v="0"/>
    <n v="0"/>
    <n v="0"/>
    <n v="0"/>
    <n v="13.230183870967769"/>
    <n v="0"/>
    <n v="0"/>
    <n v="0"/>
    <n v="4122.569816129032"/>
    <n v="0"/>
    <n v="0"/>
    <n v="444.13750318471341"/>
    <n v="15.7"/>
    <n v="0"/>
    <n v="0"/>
    <m/>
    <s v="Teghra"/>
    <m/>
    <n v="0"/>
  </r>
  <r>
    <s v="Munger"/>
    <s v="17-23 Apr"/>
    <n v="1008"/>
    <s v="Teghra"/>
    <x v="273"/>
    <s v="Gomukh Amarpur"/>
    <s v="MPG"/>
    <s v="Direct"/>
    <n v="564.75"/>
    <n v="20682.28"/>
    <n v="594.65"/>
    <n v="21378.812120707142"/>
    <n v="1.51"/>
    <n v="56.556356571000002"/>
    <n v="596.16"/>
    <n v="21435.368477278142"/>
    <n v="20682.28"/>
    <n v="0"/>
    <n v="56.556356571000002"/>
    <n v="753.08847727814282"/>
    <n v="0"/>
    <n v="324.6250999999998"/>
    <n v="0"/>
    <n v="20301"/>
    <n v="0"/>
    <n v="0"/>
    <n v="0"/>
    <n v="0"/>
    <n v="99.062536343514822"/>
    <n v="80.678571428571431"/>
    <n v="-3.6412256157355133E-2"/>
    <n v="6"/>
    <m/>
    <s v="Teghra"/>
    <m/>
    <n v="0"/>
  </r>
  <r>
    <s v="Munger"/>
    <s v="17-23 Apr"/>
    <n v="1008"/>
    <s v="Teghra"/>
    <x v="275"/>
    <s v="Gomukh Barauni 3"/>
    <s v="MPG"/>
    <s v="Direct"/>
    <n v="103.85000000000001"/>
    <n v="3994.09"/>
    <n v="103"/>
    <n v="3970.1448468000012"/>
    <n v="0"/>
    <n v="0"/>
    <n v="103"/>
    <n v="3970.1448468000012"/>
    <n v="3970.1448468000012"/>
    <n v="0"/>
    <n v="0"/>
    <n v="0"/>
    <n v="0"/>
    <n v="72.604035483870959"/>
    <n v="0"/>
    <n v="3898"/>
    <n v="0"/>
    <n v="0"/>
    <n v="23"/>
    <n v="0"/>
    <n v="458.5607613866153"/>
    <n v="14.835714285714287"/>
    <n v="5.9951461284044457E-3"/>
    <n v="1"/>
    <m/>
    <s v="Teghra"/>
    <m/>
    <n v="0"/>
  </r>
  <r>
    <s v="Munger"/>
    <s v="17-23 Apr"/>
    <n v="1008"/>
    <s v="Teghra"/>
    <x v="276"/>
    <s v="CHANDAN YADAV"/>
    <s v="vlc"/>
    <s v="Indirect"/>
    <n v="190.14999999999998"/>
    <n v="6998.26"/>
    <n v="0"/>
    <n v="0"/>
    <n v="0"/>
    <n v="0"/>
    <n v="0"/>
    <n v="0"/>
    <n v="6998.26"/>
    <n v="0"/>
    <n v="0"/>
    <n v="0"/>
    <n v="0"/>
    <n v="367.17772258064508"/>
    <n v="0"/>
    <n v="0"/>
    <n v="0"/>
    <n v="6631.0822774193548"/>
    <n v="0"/>
    <n v="0"/>
    <n v="375.28928330265592"/>
    <n v="27.164285714285711"/>
    <n v="0"/>
    <n v="0"/>
    <m/>
    <s v="Teghra"/>
    <m/>
    <n v="0"/>
  </r>
  <r>
    <s v="Munger"/>
    <s v="17-23 Apr"/>
    <n v="1008"/>
    <s v="Teghra"/>
    <x v="277"/>
    <s v="DINESH YADAV"/>
    <s v="vlc"/>
    <s v="Indirect"/>
    <n v="418.1"/>
    <n v="15187.500000000002"/>
    <n v="0"/>
    <n v="0"/>
    <n v="0"/>
    <n v="0"/>
    <n v="0"/>
    <n v="0"/>
    <n v="15187.500000000002"/>
    <n v="0"/>
    <n v="0"/>
    <n v="0"/>
    <n v="0"/>
    <n v="0"/>
    <n v="0"/>
    <n v="0"/>
    <n v="0"/>
    <n v="15187.500000000002"/>
    <n v="0"/>
    <n v="0"/>
    <n v="204.80058598421431"/>
    <n v="59.728571428571435"/>
    <n v="0"/>
    <n v="0"/>
    <m/>
    <s v="Teghra"/>
    <m/>
    <n v="0"/>
  </r>
  <r>
    <s v="Munger"/>
    <s v="17-23 Apr"/>
    <n v="1008"/>
    <s v="Teghra"/>
    <x v="278"/>
    <s v="ANITA DEVI"/>
    <s v="vlc"/>
    <s v="Indirect"/>
    <n v="41.949999999999996"/>
    <n v="1654.5299999999997"/>
    <n v="0"/>
    <n v="0"/>
    <n v="0"/>
    <n v="0"/>
    <n v="0"/>
    <n v="0"/>
    <n v="1654.5299999999997"/>
    <n v="0"/>
    <n v="0"/>
    <n v="0"/>
    <n v="0"/>
    <n v="57.968400000000017"/>
    <n v="0"/>
    <n v="0"/>
    <n v="0"/>
    <n v="1596.5615999999998"/>
    <n v="0"/>
    <n v="0"/>
    <n v="519.07674207389744"/>
    <n v="5.992857142857142"/>
    <n v="0"/>
    <n v="0"/>
    <m/>
    <s v="Teghra"/>
    <m/>
    <n v="0"/>
  </r>
  <r>
    <s v="Munger"/>
    <s v="17-23 Apr"/>
    <n v="1008"/>
    <s v="Teghra"/>
    <x v="279"/>
    <s v="GOMUKH FATEHA SALEMPUR"/>
    <s v="MPG"/>
    <s v="Direct"/>
    <n v="80.3"/>
    <n v="2862.69"/>
    <n v="97.1"/>
    <n v="3466.3599273600003"/>
    <n v="3"/>
    <n v="107.64927360000001"/>
    <n v="100.1"/>
    <n v="3574.0092009600003"/>
    <n v="2862.69"/>
    <n v="0"/>
    <n v="107.64927360000001"/>
    <n v="711.31920096000022"/>
    <n v="0"/>
    <n v="0"/>
    <n v="0"/>
    <n v="2755"/>
    <n v="0"/>
    <n v="0"/>
    <n v="0"/>
    <n v="0"/>
    <n v="441.84532826899124"/>
    <n v="11.471428571428572"/>
    <n v="-0.24847929777936145"/>
    <n v="2"/>
    <m/>
    <s v="Teghra"/>
    <m/>
    <n v="0"/>
  </r>
  <r>
    <s v="Munger"/>
    <s v="17-23 Apr"/>
    <n v="1008"/>
    <s v="Teghra"/>
    <x v="280"/>
    <s v="GOMUKH GEHUNI 2"/>
    <s v="MPG"/>
    <s v="Direct"/>
    <n v="479.05"/>
    <n v="17992.829999999998"/>
    <n v="474.82000000000005"/>
    <n v="18201.972539104201"/>
    <n v="0.69000000000000006"/>
    <n v="26.438359761000008"/>
    <n v="475.51000000000005"/>
    <n v="18228.410898865201"/>
    <n v="17992.829999999998"/>
    <n v="0"/>
    <n v="26.438359761000008"/>
    <n v="235.58089886520247"/>
    <n v="0"/>
    <n v="0"/>
    <n v="0"/>
    <n v="17966"/>
    <n v="0"/>
    <n v="0"/>
    <n v="0"/>
    <n v="0"/>
    <n v="165.97498334203112"/>
    <n v="68.435714285714283"/>
    <n v="-1.3093043110239051E-2"/>
    <n v="3"/>
    <m/>
    <s v="Teghra"/>
    <m/>
    <n v="0"/>
  </r>
  <r>
    <s v="Munger"/>
    <s v="17-23 Apr"/>
    <n v="1008"/>
    <s v="Teghra"/>
    <x v="281"/>
    <s v="GOMUKH MALHIPUR"/>
    <s v="MPG"/>
    <s v="Direct"/>
    <n v="555.70000000000005"/>
    <n v="20287.07"/>
    <n v="541.25"/>
    <n v="19145.952791854899"/>
    <n v="1.1600000000000001"/>
    <n v="41.673365236800002"/>
    <n v="542.41"/>
    <n v="19187.626157091698"/>
    <n v="19187.626157091698"/>
    <n v="0"/>
    <n v="41.673365236800002"/>
    <n v="0"/>
    <n v="0"/>
    <n v="1228.3499999999999"/>
    <n v="0"/>
    <n v="17917"/>
    <n v="0"/>
    <n v="0"/>
    <n v="1100"/>
    <s v="Release1"/>
    <n v="105.35987766780637"/>
    <n v="79.385714285714286"/>
    <n v="5.4194314058575339E-2"/>
    <n v="8"/>
    <m/>
    <s v="Teghra"/>
    <m/>
    <n v="0"/>
  </r>
  <r>
    <s v="Munger"/>
    <s v="17-23 Apr"/>
    <n v="1008"/>
    <s v="Teghra"/>
    <x v="283"/>
    <s v="Rasalpur - Durgesh Kumar"/>
    <s v="vlc"/>
    <s v="Indirect"/>
    <n v="139.55000000000001"/>
    <n v="4597.3499999999995"/>
    <n v="0"/>
    <n v="0"/>
    <n v="0"/>
    <n v="0"/>
    <n v="0"/>
    <n v="0"/>
    <n v="4597.3499999999995"/>
    <n v="0"/>
    <n v="0"/>
    <n v="0"/>
    <n v="0"/>
    <n v="248.22368709677431"/>
    <n v="0"/>
    <n v="0"/>
    <n v="0"/>
    <n v="4349.126312903225"/>
    <n v="0"/>
    <n v="0"/>
    <n v="369.27048477248297"/>
    <n v="19.935714285714287"/>
    <n v="0"/>
    <n v="0"/>
    <m/>
    <s v="Teghra"/>
    <m/>
    <n v="0"/>
  </r>
  <r>
    <s v="Munger"/>
    <s v="17-23 Apr"/>
    <n v="1008"/>
    <s v="Teghra"/>
    <x v="284"/>
    <s v="Barauni Bariyarpur"/>
    <s v="MPG"/>
    <s v="Direct"/>
    <n v="671.8"/>
    <n v="24100.05"/>
    <n v="670"/>
    <n v="24056.431740000004"/>
    <n v="0"/>
    <n v="0"/>
    <n v="670"/>
    <n v="24056.431740000004"/>
    <n v="24056.431740000004"/>
    <n v="0"/>
    <n v="0"/>
    <n v="0"/>
    <n v="0"/>
    <n v="0"/>
    <n v="0"/>
    <n v="24056"/>
    <n v="0"/>
    <n v="0"/>
    <n v="44"/>
    <n v="0"/>
    <n v="20.232849359928604"/>
    <n v="95.971428571428561"/>
    <n v="1.809882552110707E-3"/>
    <n v="1"/>
    <m/>
    <s v="Teghra"/>
    <m/>
    <n v="0"/>
  </r>
  <r>
    <s v="Munger"/>
    <s v="17-23 Apr"/>
    <n v="1008"/>
    <s v="Teghra"/>
    <x v="285"/>
    <s v="Jaynagar"/>
    <s v="MPG"/>
    <s v="Direct"/>
    <n v="192.95"/>
    <n v="6816.2400000000007"/>
    <n v="192.8"/>
    <n v="6816.2061541860012"/>
    <n v="0"/>
    <n v="0"/>
    <n v="192.8"/>
    <n v="6816.2061541860012"/>
    <n v="6816.2061541860012"/>
    <n v="0"/>
    <n v="0"/>
    <n v="0"/>
    <n v="0"/>
    <n v="61.05"/>
    <n v="0"/>
    <n v="6755"/>
    <n v="0"/>
    <n v="0"/>
    <n v="0"/>
    <s v="Release1"/>
    <n v="358.24560684115062"/>
    <n v="27.564285714285713"/>
    <n v="4.9654668848962886E-6"/>
    <n v="1"/>
    <m/>
    <s v="Teghra"/>
    <m/>
    <n v="0"/>
  </r>
  <r>
    <s v="Munger"/>
    <s v="17-23 Apr"/>
    <n v="1008"/>
    <s v="Teghra"/>
    <x v="286"/>
    <s v="Fateha - Anil Yadav"/>
    <s v="vlc"/>
    <s v="Indirect"/>
    <n v="1032.4000000000001"/>
    <n v="35293.000000000007"/>
    <n v="0"/>
    <n v="0"/>
    <n v="0"/>
    <n v="0"/>
    <n v="0"/>
    <n v="0"/>
    <n v="35293.000000000007"/>
    <n v="0"/>
    <n v="0"/>
    <n v="0"/>
    <n v="0"/>
    <n v="0"/>
    <n v="0"/>
    <n v="0"/>
    <n v="0"/>
    <n v="35293.000000000007"/>
    <n v="0"/>
    <n v="0"/>
    <n v="0"/>
    <n v="0"/>
    <n v="0"/>
    <n v="0"/>
    <m/>
    <s v="Teghra"/>
    <m/>
    <n v="0"/>
  </r>
  <r>
    <s v="Munger"/>
    <s v="17-23 Apr"/>
    <n v="1008"/>
    <s v="Teghra"/>
    <x v="287"/>
    <s v="Bihat - Chakballi"/>
    <s v="MPG"/>
    <s v="Direct"/>
    <n v="2674.15"/>
    <n v="91370.48000000001"/>
    <n v="2673.7"/>
    <n v="92777.214633245996"/>
    <n v="0"/>
    <n v="0"/>
    <n v="2673.7"/>
    <n v="92777.214633245996"/>
    <n v="91370.48000000001"/>
    <n v="0"/>
    <n v="0"/>
    <n v="1406.7346332459856"/>
    <n v="0"/>
    <n v="150.71033571428529"/>
    <n v="0"/>
    <n v="91219"/>
    <n v="0"/>
    <n v="0"/>
    <n v="1"/>
    <n v="0"/>
    <n v="0"/>
    <n v="0"/>
    <n v="-1.5395942247933747E-2"/>
    <n v="2"/>
    <m/>
    <s v="Teghra"/>
    <m/>
    <n v="0"/>
  </r>
  <r>
    <s v="Munger"/>
    <s v="17-23 Apr"/>
    <n v="1008"/>
    <s v="Teghra"/>
    <x v="288"/>
    <s v="Sibutol- Naya Tola"/>
    <s v="MPG"/>
    <s v="Direct"/>
    <n v="65.7"/>
    <n v="2282.81"/>
    <n v="82.07"/>
    <n v="2849.2342025400003"/>
    <n v="0"/>
    <n v="0"/>
    <n v="82.07"/>
    <n v="2849.2342025400003"/>
    <n v="2282.81"/>
    <n v="0"/>
    <n v="0"/>
    <n v="566.42420254000035"/>
    <n v="0"/>
    <n v="20.026289999999953"/>
    <n v="0"/>
    <n v="2263"/>
    <n v="0"/>
    <n v="0"/>
    <n v="0"/>
    <n v="0"/>
    <n v="440.78733120243527"/>
    <n v="9.3857142857142861"/>
    <n v="-0.24812586353660637"/>
    <n v="2"/>
    <m/>
    <s v="Teghra"/>
    <m/>
    <n v="0"/>
  </r>
  <r>
    <s v="Munger"/>
    <s v="17-23 Apr"/>
    <n v="1008"/>
    <s v="Teghra"/>
    <x v="289"/>
    <s v="Rasalpur"/>
    <s v="vlc"/>
    <s v="Indirect"/>
    <n v="730.75000000000011"/>
    <n v="24837.01"/>
    <n v="0"/>
    <n v="0"/>
    <n v="0"/>
    <n v="0"/>
    <n v="0"/>
    <n v="0"/>
    <n v="24837.01"/>
    <n v="0"/>
    <n v="0"/>
    <n v="0"/>
    <n v="0"/>
    <n v="0"/>
    <n v="0"/>
    <n v="0"/>
    <n v="0"/>
    <n v="24837.01"/>
    <n v="0"/>
    <n v="0"/>
    <n v="0"/>
    <n v="0"/>
    <n v="0"/>
    <n v="0"/>
    <m/>
    <s v="Teghra"/>
    <m/>
    <n v="0"/>
  </r>
  <r>
    <s v="Munger"/>
    <s v="17-23 Apr"/>
    <n v="1065"/>
    <s v="Bachhwara BMC"/>
    <x v="291"/>
    <s v="Samsa"/>
    <s v="vlc"/>
    <s v="Indirect"/>
    <n v="780.09999999999991"/>
    <n v="30578.05"/>
    <n v="0"/>
    <n v="0"/>
    <n v="0"/>
    <n v="0"/>
    <n v="0"/>
    <n v="0"/>
    <n v="30578.05"/>
    <n v="0"/>
    <n v="0"/>
    <n v="0"/>
    <n v="0"/>
    <n v="0"/>
    <n v="0"/>
    <n v="0"/>
    <n v="0"/>
    <n v="30578.05"/>
    <n v="0"/>
    <n v="0"/>
    <n v="0"/>
    <n v="0"/>
    <n v="0"/>
    <n v="0"/>
    <m/>
    <s v="Bachhwara BMC"/>
    <m/>
    <n v="0"/>
  </r>
  <r>
    <s v="Munger"/>
    <s v="17-23 Apr"/>
    <n v="1008"/>
    <s v="Teghra"/>
    <x v="292"/>
    <s v="Dahiya"/>
    <s v="vlc"/>
    <s v="Indirect"/>
    <n v="381.95"/>
    <n v="14208.55"/>
    <n v="0"/>
    <n v="0"/>
    <n v="0"/>
    <n v="0"/>
    <n v="0"/>
    <n v="0"/>
    <n v="14208.55"/>
    <n v="0"/>
    <n v="0"/>
    <n v="0"/>
    <n v="0"/>
    <n v="0"/>
    <n v="0"/>
    <n v="0"/>
    <n v="0"/>
    <n v="14208.55"/>
    <n v="0"/>
    <n v="0"/>
    <n v="236.62936654012304"/>
    <n v="54.56428571428571"/>
    <n v="0"/>
    <n v="0"/>
    <m/>
    <s v="Teghra"/>
    <m/>
    <n v="0"/>
  </r>
  <r>
    <s v="Munger"/>
    <s v="17-23 Apr"/>
    <n v="1008"/>
    <s v="Teghra"/>
    <x v="293"/>
    <s v="Gaura"/>
    <s v="MPG"/>
    <s v="Direct"/>
    <n v="591.85"/>
    <n v="20986.010000000002"/>
    <n v="590"/>
    <n v="21106.103040000002"/>
    <n v="0"/>
    <n v="0"/>
    <n v="590"/>
    <n v="21106.103040000002"/>
    <n v="20986.010000000002"/>
    <n v="0"/>
    <n v="0"/>
    <n v="120.09303999999975"/>
    <n v="0"/>
    <n v="253.00751454545465"/>
    <n v="0"/>
    <n v="20733"/>
    <n v="0"/>
    <n v="0"/>
    <n v="0"/>
    <n v="0"/>
    <n v="76.696358249556496"/>
    <n v="84.55"/>
    <n v="-5.7225284844522484E-3"/>
    <n v="1"/>
    <m/>
    <s v="Teghra"/>
    <m/>
    <n v="0"/>
  </r>
  <r>
    <s v="Munger"/>
    <s v="17-23 Apr"/>
    <n v="1008"/>
    <s v="Teghra"/>
    <x v="294"/>
    <s v="Mukhtiyarpur"/>
    <s v="MPG"/>
    <s v="Direct"/>
    <n v="1028.9000000000001"/>
    <n v="35953.480000000003"/>
    <n v="1079.1399999999999"/>
    <n v="43105.556036386799"/>
    <n v="0"/>
    <n v="0"/>
    <n v="1079.1399999999999"/>
    <n v="43105.556036386799"/>
    <n v="35953.480000000003"/>
    <n v="0"/>
    <n v="0"/>
    <n v="7152.0760363867957"/>
    <n v="0"/>
    <n v="0"/>
    <n v="0"/>
    <n v="35953"/>
    <n v="0"/>
    <n v="0"/>
    <n v="0"/>
    <n v="0"/>
    <n v="0"/>
    <n v="0"/>
    <n v="-0.19892583517330714"/>
    <n v="3"/>
    <m/>
    <s v="Teghra"/>
    <m/>
    <n v="0"/>
  </r>
  <r>
    <s v="Munger"/>
    <s v="17-23 Apr"/>
    <n v="1008"/>
    <s v="Teghra"/>
    <x v="295"/>
    <s v="Gomukh Rudauli-02"/>
    <s v="MPG"/>
    <s v="Direct"/>
    <n v="536.85"/>
    <n v="19889.78"/>
    <n v="523.15"/>
    <n v="19451.302936698601"/>
    <n v="9.44"/>
    <n v="419.30738388000003"/>
    <n v="532.59"/>
    <n v="19870.610320578602"/>
    <n v="19870.610320578602"/>
    <n v="0"/>
    <n v="0"/>
    <n v="0"/>
    <n v="0"/>
    <n v="0"/>
    <n v="0"/>
    <n v="19451"/>
    <n v="420"/>
    <n v="0"/>
    <n v="19"/>
    <n v="0"/>
    <n v="120.89103500046564"/>
    <n v="76.69285714285715"/>
    <n v="9.6379544778256584E-4"/>
    <n v="10"/>
    <m/>
    <s v="Teghra"/>
    <m/>
    <n v="0"/>
  </r>
  <r>
    <s v="Munger"/>
    <s v="17-23 Apr"/>
    <n v="1008"/>
    <s v="Teghra"/>
    <x v="296"/>
    <s v="Gomukh Jhamatia"/>
    <s v="MPG"/>
    <s v="Direct"/>
    <n v="69.45"/>
    <n v="2686.8799999999997"/>
    <n v="69"/>
    <n v="2659.6115964000005"/>
    <n v="0"/>
    <n v="0"/>
    <n v="69"/>
    <n v="2659.6115964000005"/>
    <n v="2659.6115964000005"/>
    <n v="0"/>
    <n v="0"/>
    <n v="0"/>
    <n v="0"/>
    <n v="0"/>
    <n v="0"/>
    <n v="2660"/>
    <n v="0"/>
    <n v="0"/>
    <n v="27"/>
    <n v="0"/>
    <n v="487.89407746580264"/>
    <n v="9.9214285714285726"/>
    <n v="1.0148724021913576E-2"/>
    <n v="1"/>
    <m/>
    <s v="Teghra"/>
    <m/>
    <n v="0"/>
  </r>
  <r>
    <s v="Munger"/>
    <s v="17-23 Apr"/>
    <n v="1008"/>
    <s v="Teghra"/>
    <x v="297"/>
    <s v="Gomukh Puranatol Raichiahi"/>
    <s v="MPG"/>
    <s v="Direct"/>
    <n v="631.65"/>
    <n v="23353.769999999997"/>
    <n v="631.5"/>
    <n v="23347.650121487997"/>
    <n v="0"/>
    <n v="0"/>
    <n v="631.5"/>
    <n v="23347.650121487997"/>
    <n v="23347.650121487997"/>
    <n v="0"/>
    <n v="0"/>
    <n v="0"/>
    <n v="0"/>
    <n v="0"/>
    <n v="0"/>
    <n v="23348"/>
    <n v="0"/>
    <n v="0"/>
    <n v="6"/>
    <n v="0"/>
    <n v="50.541603087152716"/>
    <n v="90.23571428571428"/>
    <n v="2.6205098842711734E-4"/>
    <n v="1"/>
    <m/>
    <s v="Teghra"/>
    <m/>
    <n v="0"/>
  </r>
  <r>
    <s v="Munger"/>
    <s v="17-23 Apr"/>
    <n v="1008"/>
    <s v="Teghra"/>
    <x v="298"/>
    <s v="Bihat-Gududaspur"/>
    <s v="MPG"/>
    <s v="Direct"/>
    <n v="226.95000000000002"/>
    <n v="8760.880000000001"/>
    <n v="226"/>
    <n v="8741.0206224000012"/>
    <n v="0"/>
    <n v="0"/>
    <n v="226"/>
    <n v="8741.0206224000012"/>
    <n v="8741.0206224000012"/>
    <n v="0"/>
    <n v="0"/>
    <n v="0"/>
    <n v="0"/>
    <n v="0"/>
    <n v="0"/>
    <n v="8741"/>
    <n v="0"/>
    <n v="0"/>
    <n v="20"/>
    <n v="0"/>
    <n v="365.22002943379596"/>
    <n v="32.421428571428571"/>
    <n v="2.2668245199112176E-3"/>
    <n v="1"/>
    <m/>
    <s v="Teghra"/>
    <m/>
    <n v="0"/>
  </r>
  <r>
    <s v="Munger"/>
    <s v="17-23 Apr"/>
    <n v="1008"/>
    <s v="Teghra"/>
    <x v="299"/>
    <s v="Labharchak-2"/>
    <s v="MPG"/>
    <s v="Direct"/>
    <n v="264.60000000000002"/>
    <n v="9690.6899999999987"/>
    <n v="264"/>
    <n v="9827.4182688000019"/>
    <n v="0"/>
    <n v="0"/>
    <n v="264"/>
    <n v="9827.4182688000019"/>
    <n v="9690.6899999999987"/>
    <n v="0"/>
    <n v="0"/>
    <n v="136.72826880000321"/>
    <n v="0"/>
    <n v="0"/>
    <n v="0"/>
    <n v="9691"/>
    <n v="0"/>
    <n v="0"/>
    <n v="0"/>
    <n v="0"/>
    <n v="318.9211206349205"/>
    <n v="37.800000000000004"/>
    <n v="-1.4109239775496196E-2"/>
    <n v="1"/>
    <m/>
    <s v="Teghra"/>
    <m/>
    <n v="0"/>
  </r>
  <r>
    <s v="Munger"/>
    <s v="17-23 Apr"/>
    <n v="1009"/>
    <s v="Halsi"/>
    <x v="300"/>
    <s v="POHE"/>
    <s v="vlc"/>
    <s v="Indirect"/>
    <n v="316.69999999999993"/>
    <n v="12834.630000000001"/>
    <n v="0"/>
    <n v="0"/>
    <n v="0"/>
    <n v="0"/>
    <n v="0"/>
    <n v="0"/>
    <n v="12834.630000000001"/>
    <n v="0"/>
    <n v="0"/>
    <n v="0"/>
    <n v="0"/>
    <n v="0"/>
    <n v="0"/>
    <n v="0"/>
    <n v="0"/>
    <n v="12834.630000000001"/>
    <n v="0"/>
    <n v="0"/>
    <n v="310.6734246289866"/>
    <n v="45.242857142857133"/>
    <n v="0"/>
    <n v="0"/>
    <m/>
    <s v="Halsi"/>
    <m/>
    <n v="0"/>
  </r>
  <r>
    <s v="Munger"/>
    <s v="17-23 Apr"/>
    <n v="1009"/>
    <s v="Halsi"/>
    <x v="301"/>
    <s v="AURO"/>
    <s v="MPG"/>
    <s v="Direct"/>
    <n v="1885.1999999999996"/>
    <n v="78335.070000000007"/>
    <n v="1351.5800000000002"/>
    <n v="56988.579421686809"/>
    <n v="530.08000000000004"/>
    <n v="22169.376774071781"/>
    <n v="1881.6600000000003"/>
    <n v="79157.956195758597"/>
    <n v="78335.070000000007"/>
    <n v="0"/>
    <n v="588.95969695200006"/>
    <n v="822.88619575859047"/>
    <n v="0"/>
    <n v="0"/>
    <n v="0"/>
    <n v="56166"/>
    <n v="21580"/>
    <n v="0"/>
    <n v="0"/>
    <n v="0"/>
    <n v="0"/>
    <n v="0"/>
    <n v="-1.0504697267246847E-2"/>
    <n v="14"/>
    <m/>
    <s v="Halsi"/>
    <m/>
    <n v="0"/>
  </r>
  <r>
    <s v="Munger"/>
    <s v="17-23 Apr"/>
    <n v="1009"/>
    <s v="Halsi"/>
    <x v="302"/>
    <s v="PARSHAMA"/>
    <s v="MPG"/>
    <s v="Direct"/>
    <n v="133.6"/>
    <n v="4973.99"/>
    <n v="138.4"/>
    <n v="5323.4123643465"/>
    <n v="0.6"/>
    <n v="22.17663756"/>
    <n v="139"/>
    <n v="5345.5890019065"/>
    <n v="4973.99"/>
    <n v="0"/>
    <n v="22.17663756"/>
    <n v="371.59900190650023"/>
    <n v="0"/>
    <n v="13.510277419354818"/>
    <n v="0"/>
    <n v="4938"/>
    <n v="0"/>
    <n v="0"/>
    <n v="0"/>
    <n v="0"/>
    <n v="421.74669700598804"/>
    <n v="19.085714285714285"/>
    <n v="-7.4708433653163805E-2"/>
    <n v="4"/>
    <m/>
    <s v="Halsi"/>
    <m/>
    <n v="0"/>
  </r>
  <r>
    <s v="Munger"/>
    <s v="17-23 Apr"/>
    <n v="1009"/>
    <s v="Halsi"/>
    <x v="303"/>
    <s v="PRATAPUR 2"/>
    <s v="vlc"/>
    <s v="Indirect"/>
    <n v="152.5"/>
    <n v="6112.73"/>
    <n v="0"/>
    <n v="0"/>
    <n v="0"/>
    <n v="0"/>
    <n v="0"/>
    <n v="0"/>
    <n v="6112.73"/>
    <n v="0"/>
    <n v="0"/>
    <n v="0"/>
    <n v="0"/>
    <n v="219.18267096774196"/>
    <n v="0"/>
    <n v="0"/>
    <n v="0"/>
    <n v="5893.5473290322579"/>
    <n v="0"/>
    <n v="0"/>
    <n v="438.91405573770493"/>
    <n v="21.785714285714285"/>
    <n v="0"/>
    <n v="0"/>
    <m/>
    <s v="Halsi"/>
    <m/>
    <n v="0"/>
  </r>
  <r>
    <s v="Munger"/>
    <s v="17-23 Apr"/>
    <n v="1009"/>
    <s v="Halsi"/>
    <x v="304"/>
    <s v="BALLOPUR"/>
    <s v="MPG"/>
    <s v="Direct"/>
    <n v="774.4"/>
    <n v="30471.87"/>
    <n v="791"/>
    <n v="32079.759502155404"/>
    <n v="0"/>
    <n v="0"/>
    <n v="791"/>
    <n v="32079.759502155404"/>
    <n v="30471.87"/>
    <n v="0"/>
    <n v="0"/>
    <n v="1607.8895021554054"/>
    <n v="0"/>
    <n v="0"/>
    <n v="0"/>
    <n v="30472"/>
    <n v="0"/>
    <n v="0"/>
    <n v="0"/>
    <n v="0"/>
    <n v="0"/>
    <n v="0"/>
    <n v="-5.2766354744733596E-2"/>
    <n v="9"/>
    <m/>
    <s v="Halsi"/>
    <m/>
    <n v="0"/>
  </r>
  <r>
    <s v="Munger"/>
    <s v="17-23 Apr"/>
    <n v="1009"/>
    <s v="Halsi"/>
    <x v="305"/>
    <s v="KHAIRMA"/>
    <s v="MPG"/>
    <s v="Direct"/>
    <n v="325.10000000000002"/>
    <n v="11250.73"/>
    <n v="332.59999999999997"/>
    <n v="12482.651016"/>
    <n v="0"/>
    <n v="0"/>
    <n v="332.59999999999997"/>
    <n v="12482.651016"/>
    <n v="11250.73"/>
    <n v="0"/>
    <n v="0"/>
    <n v="1231.9210160000002"/>
    <n v="0"/>
    <n v="89.12222142857145"/>
    <n v="0"/>
    <n v="11162"/>
    <n v="0"/>
    <n v="0"/>
    <n v="0"/>
    <n v="0"/>
    <n v="259.48315453706545"/>
    <n v="46.442857142857143"/>
    <n v="-0.10949698517340654"/>
    <n v="1"/>
    <m/>
    <s v="Halsi"/>
    <m/>
    <n v="0"/>
  </r>
  <r>
    <s v="Munger"/>
    <s v="17-23 Apr"/>
    <n v="1009"/>
    <s v="Halsi"/>
    <x v="306"/>
    <s v="MAHASONI"/>
    <s v="MPG"/>
    <s v="Direct"/>
    <n v="919.40000000000009"/>
    <n v="35416.050000000003"/>
    <n v="924.10000000000014"/>
    <n v="34625.175899175927"/>
    <n v="12.200000000000001"/>
    <n v="449.95858696800008"/>
    <n v="936.30000000000018"/>
    <n v="35075.134486143928"/>
    <n v="35075.134486143928"/>
    <n v="0"/>
    <n v="449.95858696800008"/>
    <n v="0"/>
    <n v="0"/>
    <n v="0"/>
    <n v="0"/>
    <n v="34624"/>
    <n v="0"/>
    <n v="0"/>
    <n v="342"/>
    <n v="0"/>
    <n v="0"/>
    <n v="0"/>
    <n v="9.6260174089452238E-3"/>
    <n v="27"/>
    <m/>
    <s v="Halsi"/>
    <m/>
    <n v="0"/>
  </r>
  <r>
    <s v="Munger"/>
    <s v="17-23 Apr"/>
    <n v="1009"/>
    <s v="Halsi"/>
    <x v="307"/>
    <s v="SONDHI"/>
    <s v="MPG"/>
    <s v="Direct"/>
    <n v="302.89999999999998"/>
    <n v="12540.43"/>
    <n v="328.1"/>
    <n v="12952.2169284432"/>
    <n v="3.9999999999999996"/>
    <n v="157.674167442"/>
    <n v="332.1"/>
    <n v="13109.891095885199"/>
    <n v="12540.43"/>
    <n v="0"/>
    <n v="157.674167442"/>
    <n v="569.46109588519903"/>
    <n v="0"/>
    <n v="217.99950000000007"/>
    <n v="0"/>
    <n v="12165"/>
    <n v="0"/>
    <n v="0"/>
    <n v="0"/>
    <n v="0"/>
    <n v="328.80850135358213"/>
    <n v="43.271428571428565"/>
    <n v="-4.5410013523076879E-2"/>
    <n v="12"/>
    <m/>
    <s v="Halsi"/>
    <m/>
    <n v="0"/>
  </r>
  <r>
    <s v="Munger"/>
    <s v="17-23 Apr"/>
    <n v="1009"/>
    <s v="Halsi"/>
    <x v="308"/>
    <s v="BELDARAYA"/>
    <s v="vlc"/>
    <s v="Indirect"/>
    <n v="810"/>
    <n v="29721.699999999997"/>
    <n v="0"/>
    <n v="0"/>
    <n v="0"/>
    <n v="0"/>
    <n v="0"/>
    <n v="0"/>
    <n v="29721.699999999997"/>
    <n v="0"/>
    <n v="0"/>
    <n v="0"/>
    <n v="0"/>
    <n v="0"/>
    <n v="0"/>
    <n v="0"/>
    <n v="0"/>
    <n v="29721.699999999997"/>
    <n v="0"/>
    <n v="0"/>
    <n v="0"/>
    <n v="0"/>
    <n v="0"/>
    <n v="0"/>
    <m/>
    <s v="Halsi"/>
    <m/>
    <n v="0"/>
  </r>
  <r>
    <s v="Munger"/>
    <s v="17-23 Apr"/>
    <n v="1009"/>
    <s v="Halsi"/>
    <x v="309"/>
    <s v="Gomukh ID Aure-2"/>
    <s v="vlc"/>
    <s v="Indirect"/>
    <n v="760"/>
    <n v="27869.5"/>
    <n v="0"/>
    <n v="0"/>
    <n v="0"/>
    <n v="0"/>
    <n v="0"/>
    <n v="0"/>
    <n v="27869.5"/>
    <n v="0"/>
    <n v="0"/>
    <n v="0"/>
    <n v="0"/>
    <n v="0"/>
    <n v="0"/>
    <n v="0"/>
    <n v="0"/>
    <n v="27869.5"/>
    <n v="0"/>
    <n v="0"/>
    <n v="0"/>
    <n v="0"/>
    <n v="0"/>
    <n v="0"/>
    <m/>
    <s v="Halsi"/>
    <m/>
    <n v="0"/>
  </r>
  <r>
    <s v="Munger"/>
    <s v="17-23 Apr"/>
    <n v="1009"/>
    <s v="Halsi"/>
    <x v="310"/>
    <s v="Gomukh Karma"/>
    <s v="vlc"/>
    <s v="Indirect"/>
    <n v="632.19999999999993"/>
    <n v="24475.46"/>
    <n v="0"/>
    <n v="0"/>
    <n v="0"/>
    <n v="0"/>
    <n v="0"/>
    <n v="0"/>
    <n v="24475.46"/>
    <n v="0"/>
    <n v="0"/>
    <n v="0"/>
    <n v="0"/>
    <n v="0"/>
    <n v="0"/>
    <n v="0"/>
    <n v="0"/>
    <n v="24475.46"/>
    <n v="0"/>
    <n v="0"/>
    <n v="52.497190382790322"/>
    <n v="90.314285714285703"/>
    <n v="0"/>
    <n v="0"/>
    <m/>
    <s v="Halsi"/>
    <m/>
    <n v="0"/>
  </r>
  <r>
    <s v="Munger"/>
    <s v="17-23 Apr"/>
    <n v="1009"/>
    <s v="Halsi"/>
    <x v="311"/>
    <s v="GOMUKH UKSI"/>
    <s v="vlc"/>
    <s v="Indirect"/>
    <n v="401.2"/>
    <n v="16351.289999999997"/>
    <n v="0"/>
    <n v="0"/>
    <n v="0"/>
    <n v="0"/>
    <n v="0"/>
    <n v="0"/>
    <n v="16351.289999999997"/>
    <n v="0"/>
    <n v="0"/>
    <n v="0"/>
    <n v="0"/>
    <n v="0"/>
    <n v="0"/>
    <n v="0"/>
    <n v="0"/>
    <n v="16351.289999999997"/>
    <n v="0"/>
    <n v="0"/>
    <n v="243.55759980059818"/>
    <n v="57.31428571428571"/>
    <n v="0"/>
    <n v="0"/>
    <m/>
    <s v="Halsi"/>
    <m/>
    <n v="0"/>
  </r>
  <r>
    <s v="Munger"/>
    <s v="17-23 Apr"/>
    <n v="1009"/>
    <s v="Halsi"/>
    <x v="312"/>
    <s v="Gomukh ID Halsi"/>
    <s v="vlc"/>
    <s v="Indirect"/>
    <n v="3845.9"/>
    <n v="130840.67"/>
    <n v="0"/>
    <n v="0"/>
    <n v="0"/>
    <n v="0"/>
    <n v="0"/>
    <n v="0"/>
    <n v="130840.67"/>
    <n v="0"/>
    <n v="0"/>
    <n v="0"/>
    <n v="0"/>
    <n v="0"/>
    <n v="0"/>
    <n v="0"/>
    <n v="0"/>
    <n v="130840.67"/>
    <n v="0"/>
    <n v="0"/>
    <n v="0"/>
    <n v="0"/>
    <n v="0"/>
    <n v="0"/>
    <m/>
    <s v="Halsi"/>
    <m/>
    <n v="0"/>
  </r>
  <r>
    <s v="Munger"/>
    <s v="17-23 Apr"/>
    <n v="1009"/>
    <s v="Halsi"/>
    <x v="313"/>
    <s v="Gomukh ID Lalpur"/>
    <s v="vlc"/>
    <s v="Indirect"/>
    <n v="112.8"/>
    <n v="4040.85"/>
    <n v="0"/>
    <n v="0"/>
    <n v="0"/>
    <n v="0"/>
    <n v="0"/>
    <n v="0"/>
    <n v="4040.85"/>
    <n v="0"/>
    <n v="0"/>
    <n v="0"/>
    <n v="0"/>
    <n v="0"/>
    <n v="0"/>
    <n v="0"/>
    <n v="0"/>
    <n v="4040.85"/>
    <n v="0"/>
    <n v="0"/>
    <n v="420.70693617021283"/>
    <n v="16.114285714285714"/>
    <n v="0"/>
    <n v="0"/>
    <m/>
    <s v="Halsi"/>
    <m/>
    <n v="0"/>
  </r>
  <r>
    <s v="Munger"/>
    <s v="17-23 Apr"/>
    <n v="1009"/>
    <s v="Halsi"/>
    <x v="314"/>
    <s v="KHURIYARI"/>
    <s v="MPG"/>
    <s v="Direct"/>
    <n v="616.59999999999991"/>
    <n v="23795.229999999996"/>
    <n v="880.1"/>
    <n v="34203.030400862001"/>
    <n v="1.9000000000000001"/>
    <n v="75.192651213000005"/>
    <n v="882"/>
    <n v="34278.223052075002"/>
    <n v="23795.229999999996"/>
    <n v="0"/>
    <n v="75.192651213000005"/>
    <n v="10482.993052075006"/>
    <n v="0"/>
    <n v="0"/>
    <n v="0"/>
    <n v="23720"/>
    <n v="0"/>
    <n v="0"/>
    <n v="0"/>
    <n v="0"/>
    <n v="64.369840480051948"/>
    <n v="88.085714285714275"/>
    <n v="-0.44055018808706653"/>
    <n v="4"/>
    <m/>
    <s v="Halsi"/>
    <m/>
    <n v="0"/>
  </r>
  <r>
    <s v="Munger"/>
    <s v="17-23 Apr"/>
    <n v="1009"/>
    <s v="Halsi"/>
    <x v="315"/>
    <s v="BISANPUR"/>
    <s v="vlc"/>
    <s v="Indirect"/>
    <n v="448.70000000000005"/>
    <n v="17359.55"/>
    <n v="0"/>
    <n v="0"/>
    <n v="0"/>
    <n v="0"/>
    <n v="0"/>
    <n v="0"/>
    <n v="17359.55"/>
    <n v="0"/>
    <n v="0"/>
    <n v="0"/>
    <n v="0"/>
    <n v="0"/>
    <n v="0"/>
    <n v="0"/>
    <n v="0"/>
    <n v="17359.55"/>
    <n v="0"/>
    <n v="0"/>
    <n v="194.44862558502336"/>
    <n v="64.100000000000009"/>
    <n v="0"/>
    <n v="0"/>
    <m/>
    <s v="Halsi"/>
    <m/>
    <n v="0"/>
  </r>
  <r>
    <s v="Munger"/>
    <s v="17-23 Apr"/>
    <n v="1009"/>
    <s v="Halsi"/>
    <x v="316"/>
    <s v="BEHRAMA"/>
    <s v="vlc"/>
    <s v="Indirect"/>
    <n v="286.99999999999994"/>
    <n v="10273.61"/>
    <n v="0"/>
    <n v="0"/>
    <n v="0"/>
    <n v="0"/>
    <n v="0"/>
    <n v="0"/>
    <n v="10273.61"/>
    <n v="0"/>
    <n v="0"/>
    <n v="0"/>
    <n v="0"/>
    <n v="0"/>
    <n v="0"/>
    <n v="0"/>
    <n v="0"/>
    <n v="10273.61"/>
    <n v="0"/>
    <n v="0"/>
    <n v="295.67950731707327"/>
    <n v="40.999999999999993"/>
    <n v="0"/>
    <n v="0"/>
    <m/>
    <s v="Halsi"/>
    <m/>
    <n v="0"/>
  </r>
  <r>
    <s v="Munger"/>
    <s v="17-23 Apr"/>
    <n v="1009"/>
    <s v="Halsi"/>
    <x v="317"/>
    <s v="Gomukh ID Mathurapur"/>
    <s v="vlc"/>
    <s v="Indirect"/>
    <n v="772.1"/>
    <n v="30734.269999999997"/>
    <n v="0"/>
    <n v="0"/>
    <n v="0"/>
    <n v="0"/>
    <n v="0"/>
    <n v="0"/>
    <n v="30734.269999999997"/>
    <n v="0"/>
    <n v="0"/>
    <n v="0"/>
    <n v="0"/>
    <n v="0"/>
    <n v="0"/>
    <n v="0"/>
    <n v="0"/>
    <n v="30734.269999999997"/>
    <n v="0"/>
    <n v="0"/>
    <n v="0"/>
    <n v="0"/>
    <n v="0"/>
    <n v="0"/>
    <m/>
    <s v="Halsi"/>
    <m/>
    <n v="0"/>
  </r>
  <r>
    <s v="Munger"/>
    <s v="17-23 Apr"/>
    <n v="1009"/>
    <s v="Halsi"/>
    <x v="318"/>
    <s v="Gomukh ID Kurha Dih"/>
    <s v="vlc"/>
    <s v="Indirect"/>
    <n v="277.5"/>
    <n v="10462.700000000001"/>
    <n v="0"/>
    <n v="0"/>
    <n v="0"/>
    <n v="0"/>
    <n v="0"/>
    <n v="0"/>
    <n v="10462.700000000001"/>
    <n v="0"/>
    <n v="0"/>
    <n v="0"/>
    <n v="0"/>
    <n v="0"/>
    <n v="0"/>
    <n v="0"/>
    <n v="0"/>
    <n v="10462.700000000001"/>
    <n v="0"/>
    <n v="0"/>
    <n v="318.59392792792795"/>
    <n v="39.642857142857146"/>
    <n v="0"/>
    <n v="0"/>
    <m/>
    <s v="Halsi"/>
    <m/>
    <n v="0"/>
  </r>
  <r>
    <s v="Munger"/>
    <s v="17-23 Apr"/>
    <n v="1009"/>
    <s v="Halsi"/>
    <x v="319"/>
    <s v="RAMNAGAR"/>
    <s v="MPG"/>
    <s v="Direct"/>
    <n v="694.1"/>
    <n v="28870.75"/>
    <n v="714.13999999999987"/>
    <n v="29802.722903192513"/>
    <n v="5.85"/>
    <n v="230.89413204000002"/>
    <n v="719.9899999999999"/>
    <n v="30033.617035232513"/>
    <n v="28870.75"/>
    <n v="0"/>
    <n v="230.89413204000002"/>
    <n v="1162.8670352325134"/>
    <n v="0"/>
    <n v="0"/>
    <n v="0"/>
    <n v="28640"/>
    <n v="0"/>
    <n v="0"/>
    <n v="0"/>
    <n v="0"/>
    <n v="4.9081522835326252"/>
    <n v="99.157142857142858"/>
    <n v="-4.027837985616977E-2"/>
    <n v="21"/>
    <m/>
    <s v="Halsi"/>
    <m/>
    <n v="0"/>
  </r>
  <r>
    <s v="Munger"/>
    <s v="17-23 Apr"/>
    <n v="1009"/>
    <s v="Halsi"/>
    <x v="320"/>
    <s v="SANDH MAAF 2"/>
    <s v="MPG"/>
    <s v="Direct"/>
    <n v="984.49999999999989"/>
    <n v="48758.250000000007"/>
    <n v="984.9100000000002"/>
    <n v="49303.88975187816"/>
    <n v="6.78"/>
    <n v="341.29149768920001"/>
    <n v="991.69000000000017"/>
    <n v="49645.181249567358"/>
    <n v="48758.250000000007"/>
    <n v="0"/>
    <n v="341.29149768920001"/>
    <n v="886.93124956735119"/>
    <n v="0"/>
    <n v="0"/>
    <n v="0"/>
    <n v="48417"/>
    <n v="0"/>
    <n v="0"/>
    <n v="0"/>
    <n v="0"/>
    <n v="0"/>
    <n v="0"/>
    <n v="-1.8190383157052417E-2"/>
    <n v="11"/>
    <m/>
    <s v="Halsi"/>
    <m/>
    <n v="0"/>
  </r>
  <r>
    <s v="Munger"/>
    <s v="17-23 Apr"/>
    <n v="1009"/>
    <s v="Halsi"/>
    <x v="321"/>
    <s v="BHATTA                                                                                              "/>
    <s v="MPG"/>
    <s v="Direct"/>
    <n v="547.90000000000009"/>
    <n v="22598.180000000004"/>
    <n v="559.4799999999999"/>
    <n v="24020.484635230699"/>
    <n v="2.5700000000000003"/>
    <n v="120.14770700640003"/>
    <n v="562.04999999999995"/>
    <n v="24140.632342237099"/>
    <n v="22598.180000000004"/>
    <n v="0"/>
    <n v="120.14770700640003"/>
    <n v="1542.4523422370949"/>
    <n v="0"/>
    <n v="55.253389830508553"/>
    <n v="0"/>
    <n v="22423"/>
    <n v="0"/>
    <n v="0"/>
    <n v="0"/>
    <n v="0"/>
    <n v="125.46753706880811"/>
    <n v="78.271428571428586"/>
    <n v="-6.8255600328747473E-2"/>
    <n v="6"/>
    <m/>
    <s v="Halsi"/>
    <m/>
    <n v="0"/>
  </r>
  <r>
    <s v="Munger"/>
    <s v="17-23 Apr"/>
    <n v="1009"/>
    <s v="Halsi"/>
    <x v="322"/>
    <s v="TAAL-SHAHARSHA                                                                                      "/>
    <s v="MPG"/>
    <s v="Direct"/>
    <n v="85.59999999999998"/>
    <n v="3179.8599999999997"/>
    <n v="86.2"/>
    <n v="3185.2907024399997"/>
    <n v="0"/>
    <n v="0"/>
    <n v="86.2"/>
    <n v="3185.2907024399997"/>
    <n v="3179.8599999999997"/>
    <n v="0"/>
    <n v="0"/>
    <n v="5.4307024400000046"/>
    <n v="0"/>
    <n v="585.98759999999982"/>
    <n v="0"/>
    <n v="2594"/>
    <n v="0"/>
    <n v="0"/>
    <n v="0"/>
    <n v="0"/>
    <n v="456.47336074766361"/>
    <n v="12.228571428571426"/>
    <n v="-1.7078432509607358E-3"/>
    <n v="1"/>
    <m/>
    <s v="Halsi"/>
    <m/>
    <n v="0"/>
  </r>
  <r>
    <s v="Munger"/>
    <s v="17-23 Apr"/>
    <n v="1009"/>
    <s v="Halsi"/>
    <x v="323"/>
    <s v="Dhira"/>
    <s v="MPG"/>
    <s v="Direct"/>
    <n v="372.40000000000003"/>
    <n v="16834.02"/>
    <n v="370.32000000000005"/>
    <n v="16301.13026859061"/>
    <n v="4.0100000000000007"/>
    <n v="168.98624887230002"/>
    <n v="374.33000000000004"/>
    <n v="16470.11651746291"/>
    <n v="16470.11651746291"/>
    <n v="0"/>
    <n v="168.98624887230002"/>
    <n v="0"/>
    <n v="0"/>
    <n v="0"/>
    <n v="0"/>
    <n v="16300"/>
    <n v="0"/>
    <n v="0"/>
    <n v="365"/>
    <n v="0"/>
    <n v="296.17749473684205"/>
    <n v="53.2"/>
    <n v="2.1617146857202906E-2"/>
    <n v="6"/>
    <m/>
    <s v="Halsi"/>
    <m/>
    <n v="0"/>
  </r>
  <r>
    <s v="Munger"/>
    <s v="17-23 Apr"/>
    <n v="1009"/>
    <s v="Halsi"/>
    <x v="325"/>
    <s v="AZADNAGAR(VLC)"/>
    <s v="vlc"/>
    <s v="Indirect"/>
    <n v="61.8"/>
    <n v="1839.56"/>
    <n v="0"/>
    <n v="0"/>
    <n v="0"/>
    <n v="0"/>
    <n v="0"/>
    <n v="0"/>
    <n v="1839.56"/>
    <n v="0"/>
    <n v="0"/>
    <n v="0"/>
    <n v="0"/>
    <n v="0"/>
    <n v="0"/>
    <n v="0"/>
    <n v="0"/>
    <n v="1839.56"/>
    <n v="0"/>
    <n v="0"/>
    <n v="379.93760258899681"/>
    <n v="8.8285714285714274"/>
    <n v="0"/>
    <n v="0"/>
    <m/>
    <s v="Halsi"/>
    <m/>
    <n v="0"/>
  </r>
  <r>
    <s v="Munger"/>
    <s v="17-23 Apr"/>
    <n v="1009"/>
    <s v="Halsi"/>
    <x v="326"/>
    <s v="REWAI"/>
    <s v="MPG"/>
    <s v="Direct"/>
    <n v="459.10000000000008"/>
    <n v="17731.87"/>
    <n v="468.32000000000005"/>
    <n v="18494.305599865191"/>
    <n v="1.62"/>
    <n v="62.836914848400006"/>
    <n v="469.94000000000005"/>
    <n v="18557.142514713592"/>
    <n v="17731.87"/>
    <n v="0"/>
    <n v="62.836914848400006"/>
    <n v="825.27251471359341"/>
    <n v="0"/>
    <n v="0"/>
    <n v="0"/>
    <n v="17669"/>
    <n v="0"/>
    <n v="0"/>
    <n v="0"/>
    <n v="0"/>
    <n v="186.08614606839453"/>
    <n v="65.585714285714303"/>
    <n v="-4.6541764332447368E-2"/>
    <n v="6"/>
    <m/>
    <s v="Halsi"/>
    <m/>
    <n v="0"/>
  </r>
  <r>
    <s v="Munger"/>
    <s v="17-23 Apr"/>
    <n v="1009"/>
    <s v="Halsi"/>
    <x v="327"/>
    <s v="BAKHIYA"/>
    <s v="MPG"/>
    <s v="Direct"/>
    <n v="118.77"/>
    <n v="5221.17"/>
    <n v="201"/>
    <n v="8155.4513113700013"/>
    <n v="0"/>
    <n v="0"/>
    <n v="201"/>
    <n v="8155.4513113700013"/>
    <n v="5221.17"/>
    <n v="0"/>
    <n v="0"/>
    <n v="2934.2813113700013"/>
    <n v="0"/>
    <n v="133.76609999999999"/>
    <n v="0"/>
    <n v="0"/>
    <n v="0"/>
    <n v="0"/>
    <n v="5087"/>
    <s v="Yes"/>
    <n v="511.02140929527667"/>
    <n v="16.967142857142857"/>
    <n v="-0.56199689176372369"/>
    <n v="2"/>
    <m/>
    <s v="Halsi"/>
    <m/>
    <n v="0"/>
  </r>
  <r>
    <s v="Munger"/>
    <s v="17-23 Apr"/>
    <n v="1009"/>
    <s v="Halsi"/>
    <x v="328"/>
    <s v="MANJOS"/>
    <s v="MPG"/>
    <s v="Direct"/>
    <n v="272.7"/>
    <n v="11015.349999999999"/>
    <n v="277.29999999999995"/>
    <n v="11249.565235785001"/>
    <n v="0"/>
    <n v="0"/>
    <n v="277.29999999999995"/>
    <n v="11249.565235785001"/>
    <n v="11015.349999999999"/>
    <n v="0"/>
    <n v="0"/>
    <n v="234.21523578500273"/>
    <n v="0"/>
    <n v="0"/>
    <n v="0"/>
    <n v="11015"/>
    <n v="0"/>
    <n v="0"/>
    <n v="0"/>
    <n v="0"/>
    <n v="345.20418445177847"/>
    <n v="38.957142857142856"/>
    <n v="-2.1262623138166539E-2"/>
    <n v="3"/>
    <m/>
    <s v="Halsi"/>
    <m/>
    <n v="0"/>
  </r>
  <r>
    <s v="Munger"/>
    <s v="17-23 Apr"/>
    <n v="1009"/>
    <s v="Halsi"/>
    <x v="329"/>
    <s v="RATA"/>
    <s v="MPG"/>
    <s v="Direct"/>
    <n v="355.3"/>
    <n v="14337.73"/>
    <n v="361.68999999999994"/>
    <n v="13704.29885696941"/>
    <n v="0.03"/>
    <n v="1.0731916800000001"/>
    <n v="361.71999999999991"/>
    <n v="13705.372048649409"/>
    <n v="13705.372048649409"/>
    <n v="0"/>
    <n v="1.0731916800000001"/>
    <n v="0"/>
    <n v="0"/>
    <n v="0"/>
    <n v="0"/>
    <n v="13703"/>
    <n v="0"/>
    <n v="0"/>
    <n v="634"/>
    <n v="0"/>
    <n v="278.19957956656344"/>
    <n v="50.75714285714286"/>
    <n v="4.4104467816773657E-2"/>
    <n v="7"/>
    <m/>
    <s v="Halsi"/>
    <m/>
    <n v="0"/>
  </r>
  <r>
    <s v="Munger"/>
    <s v="17-23 Apr"/>
    <n v="1009"/>
    <s v="Halsi"/>
    <x v="330"/>
    <s v="BARUI"/>
    <s v="MPG"/>
    <s v="Direct"/>
    <n v="367.2"/>
    <n v="15653.079999999998"/>
    <n v="423.3"/>
    <n v="18414.355157496302"/>
    <n v="4.2500000000000009"/>
    <n v="184.5944141976"/>
    <n v="427.55"/>
    <n v="18598.949571693902"/>
    <n v="15653.079999999998"/>
    <n v="0"/>
    <n v="184.5944141976"/>
    <n v="2945.8695716939037"/>
    <n v="0"/>
    <n v="0"/>
    <n v="0"/>
    <n v="15468"/>
    <n v="0"/>
    <n v="0"/>
    <n v="0"/>
    <n v="0"/>
    <n v="283.7333891067538"/>
    <n v="52.457142857142856"/>
    <n v="-0.18819743920646315"/>
    <n v="14"/>
    <m/>
    <s v="Halsi"/>
    <m/>
    <n v="0"/>
  </r>
  <r>
    <s v="Munger"/>
    <s v="17-23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621.79999999999995"/>
    <n v="28606.710000000006"/>
    <n v="603.27"/>
    <n v="30112.207222098863"/>
    <n v="5.0499999999999989"/>
    <n v="252.63238178560002"/>
    <n v="608.31999999999994"/>
    <n v="30364.839603884462"/>
    <n v="28606.710000000006"/>
    <n v="0"/>
    <n v="252.63238178560002"/>
    <n v="1758.1296038844557"/>
    <n v="0"/>
    <n v="0"/>
    <n v="0"/>
    <n v="28354"/>
    <n v="0"/>
    <n v="0"/>
    <n v="0"/>
    <n v="0"/>
    <n v="71.953834737857903"/>
    <n v="88.828571428571422"/>
    <n v="-6.1458643929499596E-2"/>
    <n v="11"/>
    <m/>
    <s v="Halsi"/>
    <m/>
    <n v="0"/>
  </r>
  <r>
    <s v="Munger"/>
    <s v="17-23 Apr"/>
    <n v="1009"/>
    <s v="Halsi"/>
    <x v="332"/>
    <s v="LACHHUAR"/>
    <s v="MPG"/>
    <s v="Direct"/>
    <n v="400.1"/>
    <n v="16059.570000000002"/>
    <n v="413.24"/>
    <n v="16275.953234415601"/>
    <n v="2.84"/>
    <n v="113.58912153600001"/>
    <n v="416.08"/>
    <n v="16389.542355951602"/>
    <n v="16059.570000000002"/>
    <n v="0"/>
    <n v="113.58912153600001"/>
    <n v="329.97235595160055"/>
    <n v="0"/>
    <n v="0"/>
    <n v="0"/>
    <n v="15946"/>
    <n v="0"/>
    <n v="0"/>
    <n v="0"/>
    <n v="0"/>
    <n v="240.75306388402899"/>
    <n v="57.157142857142858"/>
    <n v="-2.054677403888152E-2"/>
    <n v="5"/>
    <m/>
    <s v="Halsi"/>
    <m/>
    <n v="0"/>
  </r>
  <r>
    <s v="Munger"/>
    <s v="17-23 Apr"/>
    <n v="1009"/>
    <s v="Halsi"/>
    <x v="333"/>
    <s v="RAMDIH Ajit Kumar"/>
    <s v="vlc"/>
    <s v="Indirect"/>
    <n v="316.2"/>
    <n v="12191.35"/>
    <n v="0"/>
    <n v="0"/>
    <n v="0"/>
    <n v="0"/>
    <n v="0"/>
    <n v="0"/>
    <n v="12191.35"/>
    <n v="0"/>
    <n v="0"/>
    <n v="0"/>
    <n v="0"/>
    <n v="0"/>
    <n v="0"/>
    <n v="0"/>
    <n v="0"/>
    <n v="12191.35"/>
    <n v="0"/>
    <n v="0"/>
    <n v="295.95446742568004"/>
    <n v="45.171428571428571"/>
    <n v="0"/>
    <n v="0"/>
    <m/>
    <s v="Halsi"/>
    <m/>
    <n v="0"/>
  </r>
  <r>
    <s v="Munger"/>
    <s v="17-23 Apr"/>
    <n v="1009"/>
    <s v="Halsi"/>
    <x v="334"/>
    <s v="NARAYANPUR"/>
    <s v="MPG"/>
    <s v="Direct"/>
    <n v="342.40000000000003"/>
    <n v="13716.87"/>
    <n v="464.41999999999996"/>
    <n v="18851.804812368002"/>
    <n v="1.2300000000000002"/>
    <n v="50.314878721800014"/>
    <n v="465.65"/>
    <n v="18902.119691089803"/>
    <n v="13716.87"/>
    <n v="0"/>
    <n v="50.314878721800014"/>
    <n v="5185.2496910898026"/>
    <n v="0"/>
    <n v="5.4631200000000106"/>
    <n v="0"/>
    <n v="13661"/>
    <n v="0"/>
    <n v="0"/>
    <n v="0"/>
    <n v="0"/>
    <n v="286.51592943925232"/>
    <n v="48.914285714285718"/>
    <n v="-0.37801989018557458"/>
    <n v="4"/>
    <m/>
    <s v="Halsi"/>
    <m/>
    <n v="0"/>
  </r>
  <r>
    <s v="Munger"/>
    <s v="17-23 Apr"/>
    <n v="1009"/>
    <s v="Halsi"/>
    <x v="335"/>
    <s v="NAWKADIH"/>
    <s v="MPG"/>
    <s v="Direct"/>
    <n v="566.19999999999993"/>
    <n v="25380.449999999993"/>
    <n v="535.95999999999992"/>
    <n v="24635.658184090295"/>
    <n v="0"/>
    <n v="0"/>
    <n v="535.95999999999992"/>
    <n v="24635.658184090295"/>
    <n v="24635.658184090295"/>
    <n v="0"/>
    <n v="0"/>
    <n v="0"/>
    <n v="0"/>
    <n v="0"/>
    <n v="0"/>
    <n v="24635"/>
    <n v="0"/>
    <n v="0"/>
    <n v="745"/>
    <n v="0"/>
    <n v="119.95422854115161"/>
    <n v="80.885714285714272"/>
    <n v="2.9345098921008065E-2"/>
    <n v="3"/>
    <m/>
    <s v="Halsi"/>
    <m/>
    <n v="0"/>
  </r>
  <r>
    <s v="Munger"/>
    <s v="17-23 Apr"/>
    <n v="1009"/>
    <s v="Halsi"/>
    <x v="336"/>
    <s v="CHOTAHA"/>
    <s v="MPG"/>
    <s v="Direct"/>
    <n v="836.60000000000014"/>
    <n v="32501.010000000002"/>
    <n v="605.89"/>
    <n v="42882.641490724469"/>
    <n v="0"/>
    <n v="0"/>
    <n v="605.89"/>
    <n v="42882.641490724469"/>
    <n v="32501.010000000002"/>
    <n v="0"/>
    <n v="0"/>
    <n v="10381.631490724467"/>
    <n v="0"/>
    <n v="0"/>
    <n v="0"/>
    <n v="32501"/>
    <n v="0"/>
    <n v="0"/>
    <n v="0"/>
    <n v="0"/>
    <n v="0"/>
    <n v="0"/>
    <n v="-0.31942488835653005"/>
    <n v="1"/>
    <m/>
    <s v="Halsi"/>
    <m/>
    <n v="0"/>
  </r>
  <r>
    <s v="Munger"/>
    <s v="17-23 Apr"/>
    <n v="1009"/>
    <s v="Halsi"/>
    <x v="337"/>
    <s v="KHARAGWADA "/>
    <s v="MPG"/>
    <s v="Direct"/>
    <n v="189.69999999999996"/>
    <n v="7296.15"/>
    <n v="242.40000000000003"/>
    <n v="9589.4971500000011"/>
    <n v="0"/>
    <n v="0"/>
    <n v="242.40000000000003"/>
    <n v="9589.4971500000011"/>
    <n v="7296.15"/>
    <n v="0"/>
    <n v="0"/>
    <n v="2293.3471500000014"/>
    <n v="0"/>
    <n v="0"/>
    <n v="0"/>
    <n v="7296"/>
    <n v="0"/>
    <n v="0"/>
    <n v="0"/>
    <n v="0"/>
    <n v="392.53825461254621"/>
    <n v="27.099999999999994"/>
    <n v="-0.31432291688082092"/>
    <n v="1"/>
    <m/>
    <s v="Halsi"/>
    <m/>
    <n v="0"/>
  </r>
  <r>
    <s v="Munger"/>
    <s v="17-23 Apr"/>
    <n v="1009"/>
    <s v="Halsi"/>
    <x v="338"/>
    <s v="UFFAPUR"/>
    <s v="MPG"/>
    <s v="Direct"/>
    <n v="175.20000000000002"/>
    <n v="7508.1399999999994"/>
    <n v="230.20000000000002"/>
    <n v="8993.417162400001"/>
    <n v="0"/>
    <n v="0"/>
    <n v="230.20000000000002"/>
    <n v="8993.417162400001"/>
    <n v="7508.1399999999994"/>
    <n v="0"/>
    <n v="0"/>
    <n v="1485.2771624000015"/>
    <n v="0"/>
    <n v="0"/>
    <n v="0"/>
    <n v="7508"/>
    <n v="0"/>
    <n v="0"/>
    <n v="0"/>
    <n v="0"/>
    <n v="449.80272511415512"/>
    <n v="25.028571428571432"/>
    <n v="-0.19782225190260194"/>
    <n v="1"/>
    <m/>
    <s v="Halsi"/>
    <m/>
    <n v="0"/>
  </r>
  <r>
    <s v="Munger"/>
    <s v="17-23 Apr"/>
    <n v="1009"/>
    <s v="Halsi"/>
    <x v="339"/>
    <s v="BIHRAURA"/>
    <s v="MPG"/>
    <s v="Direct"/>
    <n v="155.19999999999999"/>
    <n v="6680.42"/>
    <n v="176.6"/>
    <n v="7397.3485377000006"/>
    <n v="0"/>
    <n v="0"/>
    <n v="176.6"/>
    <n v="7397.3485377000006"/>
    <n v="6680.42"/>
    <n v="0"/>
    <n v="0"/>
    <n v="716.92853770000056"/>
    <n v="0"/>
    <n v="44.397120000000015"/>
    <n v="0"/>
    <n v="6636"/>
    <n v="0"/>
    <n v="0"/>
    <n v="0"/>
    <n v="0"/>
    <n v="469.00680618556703"/>
    <n v="22.171428571428571"/>
    <n v="-0.10731788386059568"/>
    <n v="1"/>
    <m/>
    <s v="Halsi"/>
    <m/>
    <n v="0"/>
  </r>
  <r>
    <s v="Munger"/>
    <s v="17-23 Apr"/>
    <n v="1009"/>
    <s v="Halsi"/>
    <x v="340"/>
    <s v="SHIJHORI"/>
    <s v="MPG"/>
    <s v="Direct"/>
    <n v="342.5"/>
    <n v="13542.600000000002"/>
    <n v="368.90000000000003"/>
    <n v="14161.305601470003"/>
    <n v="0"/>
    <n v="0"/>
    <n v="368.90000000000003"/>
    <n v="14161.305601470003"/>
    <n v="13542.600000000002"/>
    <n v="0"/>
    <n v="0"/>
    <n v="618.70560147000106"/>
    <n v="0"/>
    <n v="0"/>
    <n v="0"/>
    <n v="13543"/>
    <n v="0"/>
    <n v="0"/>
    <n v="0"/>
    <n v="0"/>
    <n v="282.71413138686137"/>
    <n v="48.928571428571431"/>
    <n v="-4.5685880220194125E-2"/>
    <n v="1"/>
    <m/>
    <s v="Halsi"/>
    <m/>
    <n v="0"/>
  </r>
  <r>
    <s v="Munger"/>
    <s v="17-23 Apr"/>
    <n v="1009"/>
    <s v="Halsi"/>
    <x v="341"/>
    <s v="RAM PRAVESH YADAV"/>
    <s v="MPG"/>
    <s v="Direct"/>
    <n v="473.6"/>
    <n v="17823.3"/>
    <n v="480.76"/>
    <n v="17936.639235442595"/>
    <n v="0"/>
    <n v="0"/>
    <n v="480.76"/>
    <n v="17936.639235442595"/>
    <n v="17823.3"/>
    <n v="0"/>
    <n v="0"/>
    <n v="113.33923544259596"/>
    <n v="0"/>
    <n v="0"/>
    <n v="0"/>
    <n v="17823"/>
    <n v="0"/>
    <n v="0"/>
    <n v="0"/>
    <n v="0"/>
    <n v="170.40519932432429"/>
    <n v="67.657142857142858"/>
    <n v="-6.3590488541738046E-3"/>
    <n v="3"/>
    <m/>
    <s v="Halsi"/>
    <m/>
    <n v="0"/>
  </r>
  <r>
    <s v="Munger"/>
    <s v="17-23 Apr"/>
    <n v="1009"/>
    <s v="Halsi"/>
    <x v="343"/>
    <s v="BOUDHNAGAR"/>
    <s v="MPG"/>
    <s v="Direct"/>
    <n v="365.69999999999993"/>
    <n v="12888.659999999998"/>
    <n v="399.6"/>
    <n v="14321.502474444003"/>
    <n v="0"/>
    <n v="0"/>
    <n v="399.6"/>
    <n v="14321.502474444003"/>
    <n v="12888.659999999998"/>
    <n v="0"/>
    <n v="0"/>
    <n v="1432.8424744440053"/>
    <n v="0"/>
    <n v="0"/>
    <n v="0"/>
    <n v="12889"/>
    <n v="0"/>
    <n v="0"/>
    <n v="0"/>
    <n v="0"/>
    <n v="235.64008958162432"/>
    <n v="52.242857142857133"/>
    <n v="-0.11117078691221628"/>
    <n v="1"/>
    <m/>
    <s v="Halsi"/>
    <m/>
    <n v="0"/>
  </r>
  <r>
    <s v="Munger"/>
    <s v="17-23 Apr"/>
    <n v="1009"/>
    <s v="Halsi"/>
    <x v="344"/>
    <s v="MOHADDINGAR"/>
    <s v="MPG"/>
    <s v="Direct"/>
    <n v="538.6"/>
    <n v="20965.890000000003"/>
    <n v="550.91999999999996"/>
    <n v="21413.969788981023"/>
    <n v="0"/>
    <n v="0"/>
    <n v="550.91999999999996"/>
    <n v="21413.969788981023"/>
    <n v="20965.890000000003"/>
    <n v="0"/>
    <n v="0"/>
    <n v="448.0797889810201"/>
    <n v="0"/>
    <n v="0"/>
    <n v="0"/>
    <n v="20966"/>
    <n v="0"/>
    <n v="0"/>
    <n v="0"/>
    <n v="0"/>
    <n v="125.65520408466394"/>
    <n v="76.94285714285715"/>
    <n v="-2.1371846794055488E-2"/>
    <n v="3"/>
    <m/>
    <s v="Halsi"/>
    <m/>
    <n v="0"/>
  </r>
  <r>
    <s v="Munger"/>
    <s v="17-23 Apr"/>
    <n v="1009"/>
    <s v="Halsi"/>
    <x v="345"/>
    <s v="PACHAUTA"/>
    <s v="MPG"/>
    <s v="Direct"/>
    <n v="610.29999999999995"/>
    <n v="24122.420000000002"/>
    <n v="669.39"/>
    <n v="27185.334819289877"/>
    <n v="0"/>
    <n v="0"/>
    <n v="669.39"/>
    <n v="27185.334819289877"/>
    <n v="24122.420000000002"/>
    <n v="0"/>
    <n v="0"/>
    <n v="3062.9148192898756"/>
    <n v="0"/>
    <n v="0"/>
    <n v="0"/>
    <n v="24122"/>
    <n v="0"/>
    <n v="0"/>
    <n v="0"/>
    <n v="0"/>
    <n v="70.908768605603825"/>
    <n v="87.185714285714283"/>
    <n v="-0.12697377872078652"/>
    <n v="4"/>
    <m/>
    <s v="Halsi"/>
    <m/>
    <n v="0"/>
  </r>
  <r>
    <s v="Munger"/>
    <s v="17-23 Apr"/>
    <n v="1009"/>
    <s v="Halsi"/>
    <x v="346"/>
    <s v="Gomukh Champa"/>
    <s v="vlc"/>
    <s v="Indirect"/>
    <n v="8860"/>
    <n v="330948.09999999998"/>
    <n v="0"/>
    <n v="0"/>
    <n v="0"/>
    <n v="0"/>
    <n v="0"/>
    <n v="0"/>
    <n v="330948.09999999998"/>
    <n v="0"/>
    <n v="0"/>
    <n v="0"/>
    <n v="0"/>
    <n v="0"/>
    <n v="0"/>
    <n v="0"/>
    <n v="0"/>
    <n v="330948.09999999998"/>
    <n v="0"/>
    <n v="0"/>
    <n v="0"/>
    <n v="0"/>
    <n v="0"/>
    <n v="0"/>
    <m/>
    <s v="Halsi"/>
    <m/>
    <n v="0"/>
  </r>
  <r>
    <s v="Munger"/>
    <s v="17-23 Apr"/>
    <n v="1009"/>
    <s v="Halsi"/>
    <x v="347"/>
    <s v="GOMUKH DAKRA"/>
    <s v="vlc"/>
    <s v="Indirect"/>
    <n v="8275"/>
    <n v="308441.89999999997"/>
    <n v="0"/>
    <n v="0"/>
    <n v="0"/>
    <n v="0"/>
    <n v="0"/>
    <n v="0"/>
    <n v="308441.89999999997"/>
    <n v="0"/>
    <n v="0"/>
    <n v="0"/>
    <n v="0"/>
    <n v="0"/>
    <n v="0"/>
    <n v="0"/>
    <n v="0"/>
    <n v="308441.89999999997"/>
    <n v="0"/>
    <n v="0"/>
    <n v="0"/>
    <n v="0"/>
    <n v="0"/>
    <n v="0"/>
    <m/>
    <s v="Halsi"/>
    <m/>
    <n v="0"/>
  </r>
  <r>
    <s v="Munger"/>
    <s v="17-23 Apr"/>
    <n v="1009"/>
    <s v="Halsi"/>
    <x v="348"/>
    <s v="TIYAY"/>
    <s v="MPG"/>
    <s v="Direct"/>
    <n v="371"/>
    <n v="13467.990000000002"/>
    <n v="408.4"/>
    <n v="15031.420984799999"/>
    <n v="0"/>
    <n v="0"/>
    <n v="408.4"/>
    <n v="15031.420984799999"/>
    <n v="13467.990000000002"/>
    <n v="0"/>
    <n v="0"/>
    <n v="1563.4309847999975"/>
    <n v="0"/>
    <n v="0"/>
    <n v="0"/>
    <n v="13468"/>
    <n v="0"/>
    <n v="0"/>
    <n v="0"/>
    <n v="0"/>
    <n v="238.86623773584907"/>
    <n v="53"/>
    <n v="-0.11608495289943023"/>
    <n v="1"/>
    <m/>
    <s v="Halsi"/>
    <m/>
    <n v="0"/>
  </r>
  <r>
    <s v="Munger"/>
    <s v="17-23 Apr"/>
    <n v="1009"/>
    <s v="Halsi"/>
    <x v="1035"/>
    <s v="BILLO 2"/>
    <s v="MPG"/>
    <s v="Direct"/>
    <n v="349.1"/>
    <n v="12731.380000000001"/>
    <n v="379.20000000000005"/>
    <n v="13975.266923640002"/>
    <n v="0"/>
    <n v="0"/>
    <n v="379.20000000000005"/>
    <n v="13975.266923640002"/>
    <n v="12731.380000000001"/>
    <n v="0"/>
    <n v="0"/>
    <n v="1243.8869236400005"/>
    <n v="0"/>
    <n v="0"/>
    <n v="0"/>
    <n v="12731"/>
    <n v="0"/>
    <n v="0"/>
    <n v="0"/>
    <n v="0"/>
    <n v="255.94048937267257"/>
    <n v="49.871428571428574"/>
    <n v="-9.7702442597738845E-2"/>
    <n v="1"/>
    <m/>
    <s v="Halsi"/>
    <m/>
    <n v="0"/>
  </r>
  <r>
    <s v="Munger"/>
    <s v="17-23 Apr"/>
    <n v="1009"/>
    <s v="Halsi"/>
    <x v="1036"/>
    <s v="SAWAN KHAIRMA"/>
    <s v="vlc"/>
    <s v="Indirect"/>
    <n v="71.5"/>
    <n v="3220.06"/>
    <n v="0"/>
    <n v="0"/>
    <n v="0"/>
    <n v="0"/>
    <n v="0"/>
    <n v="0"/>
    <n v="3220.06"/>
    <n v="0"/>
    <n v="0"/>
    <n v="0"/>
    <n v="0"/>
    <n v="0"/>
    <n v="0"/>
    <n v="0"/>
    <n v="0"/>
    <n v="3220.06"/>
    <n v="0"/>
    <n v="0"/>
    <n v="566.10005874125875"/>
    <n v="10.214285714285714"/>
    <n v="0"/>
    <n v="0"/>
    <m/>
    <s v="Halsi"/>
    <m/>
    <n v="0"/>
  </r>
  <r>
    <s v="Munger"/>
    <s v="17-23 Apr"/>
    <n v="1010"/>
    <s v="Parbatta"/>
    <x v="349"/>
    <s v="Vishan Pur"/>
    <s v="MPG"/>
    <s v="Direct"/>
    <n v="741.30000000000018"/>
    <n v="28194.530000000006"/>
    <n v="751.49"/>
    <n v="30407.146018484404"/>
    <n v="6.42"/>
    <n v="253.911756384"/>
    <n v="757.91"/>
    <n v="30661.057774868405"/>
    <n v="28194.530000000006"/>
    <n v="0"/>
    <n v="253.911756384"/>
    <n v="2466.5277748683984"/>
    <n v="0"/>
    <n v="0"/>
    <n v="0"/>
    <n v="27941"/>
    <n v="0"/>
    <n v="0"/>
    <n v="0"/>
    <s v="Release1"/>
    <n v="0"/>
    <n v="0"/>
    <n v="-8.7482493053382973E-2"/>
    <n v="12"/>
    <m/>
    <s v="Parbatta"/>
    <m/>
    <n v="0"/>
  </r>
  <r>
    <s v="Munger"/>
    <s v="17-23 Apr"/>
    <n v="1010"/>
    <s v="Parbatta"/>
    <x v="350"/>
    <s v="Gomukh Madhawpur"/>
    <s v="MPG"/>
    <s v="Direct"/>
    <n v="1466.4"/>
    <n v="56256.800000000017"/>
    <n v="1520"/>
    <n v="66385.418827852001"/>
    <n v="6.4"/>
    <n v="290.53939464000001"/>
    <n v="1526.4"/>
    <n v="66675.958222492001"/>
    <n v="56256.800000000017"/>
    <n v="0"/>
    <n v="290.53939464000001"/>
    <n v="10419.158222491984"/>
    <n v="0"/>
    <n v="0"/>
    <n v="0"/>
    <n v="55966"/>
    <n v="0"/>
    <n v="0"/>
    <n v="0"/>
    <n v="0"/>
    <n v="0"/>
    <n v="0"/>
    <n v="-0.18520709003164026"/>
    <n v="5"/>
    <m/>
    <s v="Parbatta"/>
    <m/>
    <n v="0"/>
  </r>
  <r>
    <s v="Munger"/>
    <s v="17-23 Apr"/>
    <n v="1010"/>
    <s v="Parbatta"/>
    <x v="351"/>
    <s v="Gomukh Muradpur"/>
    <s v="vlc"/>
    <s v="Indirect"/>
    <n v="105.8"/>
    <n v="3583.71"/>
    <n v="0"/>
    <n v="0"/>
    <n v="0"/>
    <n v="0"/>
    <n v="0"/>
    <n v="0"/>
    <n v="3583.71"/>
    <n v="0"/>
    <n v="0"/>
    <n v="0"/>
    <n v="0"/>
    <n v="0"/>
    <n v="0"/>
    <n v="0"/>
    <n v="0"/>
    <n v="3583.71"/>
    <n v="0"/>
    <n v="0"/>
    <n v="402.54073383742917"/>
    <n v="15.114285714285714"/>
    <n v="0"/>
    <n v="0"/>
    <m/>
    <s v="Parbatta"/>
    <m/>
    <n v="0"/>
  </r>
  <r>
    <s v="Munger"/>
    <s v="17-23 Apr"/>
    <n v="1010"/>
    <s v="Parbatta"/>
    <x v="352"/>
    <s v="Gomukh Kanhaiyachak Pachhim"/>
    <s v="MPG"/>
    <s v="Direct"/>
    <n v="1240.3999999999999"/>
    <n v="51237.590000000004"/>
    <n v="2088.1999999999998"/>
    <n v="87745.380307026004"/>
    <n v="0"/>
    <n v="0"/>
    <n v="2088.1999999999998"/>
    <n v="87745.380307026004"/>
    <n v="51237.590000000004"/>
    <n v="0"/>
    <n v="0"/>
    <n v="36507.790307026"/>
    <n v="0"/>
    <n v="0"/>
    <n v="0"/>
    <n v="51238"/>
    <n v="0"/>
    <n v="0"/>
    <n v="0"/>
    <n v="0"/>
    <n v="0"/>
    <n v="0"/>
    <n v="-0.71251966197133776"/>
    <n v="5"/>
    <m/>
    <s v="Parbatta"/>
    <m/>
    <n v="0"/>
  </r>
  <r>
    <s v="Munger"/>
    <s v="17-23 Apr"/>
    <n v="1010"/>
    <s v="Parbatta"/>
    <x v="353"/>
    <s v="Gomukh Srirampur Thuthi"/>
    <s v="MPG"/>
    <s v="Direct"/>
    <n v="302"/>
    <n v="12522.14"/>
    <n v="296.95"/>
    <n v="12217.4157232789"/>
    <n v="0"/>
    <n v="0"/>
    <n v="296.95"/>
    <n v="12217.4157232789"/>
    <n v="12217.4157232789"/>
    <n v="0"/>
    <n v="0"/>
    <n v="0"/>
    <n v="0"/>
    <n v="0"/>
    <n v="0"/>
    <n v="12217"/>
    <n v="0"/>
    <n v="0"/>
    <n v="305"/>
    <n v="0"/>
    <n v="330.0537562913907"/>
    <n v="43.142857142857146"/>
    <n v="2.4334840268604181E-2"/>
    <n v="4"/>
    <m/>
    <s v="Parbatta"/>
    <m/>
    <n v="0"/>
  </r>
  <r>
    <s v="Munger"/>
    <s v="17-23 Apr"/>
    <n v="1010"/>
    <s v="Parbatta"/>
    <x v="354"/>
    <s v="Gomukh Dumariya Bujurg"/>
    <s v="MPG"/>
    <s v="Direct"/>
    <n v="120.9"/>
    <n v="5150.3799999999992"/>
    <n v="120.9"/>
    <n v="5636.4989089500004"/>
    <n v="0"/>
    <n v="0"/>
    <n v="120.9"/>
    <n v="5636.4989089500004"/>
    <n v="5150.3799999999992"/>
    <n v="0"/>
    <n v="0"/>
    <n v="486.11890895000124"/>
    <n v="0"/>
    <n v="158.08226896551713"/>
    <n v="0"/>
    <n v="4992"/>
    <n v="0"/>
    <n v="0"/>
    <n v="0"/>
    <n v="0"/>
    <n v="493.39703192721248"/>
    <n v="17.271428571428572"/>
    <n v="-9.4385056821050348E-2"/>
    <n v="1"/>
    <m/>
    <s v="Parbatta"/>
    <m/>
    <n v="0"/>
  </r>
  <r>
    <s v="Munger"/>
    <s v="17-23 Apr"/>
    <n v="1010"/>
    <s v="Parbatta"/>
    <x v="355"/>
    <s v="Gomukh Dumariya Bujurg Madhay"/>
    <s v="MPG"/>
    <s v="Direct"/>
    <n v="112.80000000000001"/>
    <n v="4614.7699999999995"/>
    <n v="112.8"/>
    <n v="4467.0050726400004"/>
    <n v="159"/>
    <n v="6653.3743980000008"/>
    <n v="271.8"/>
    <n v="11120.37947064"/>
    <n v="4614.7699999999995"/>
    <n v="0"/>
    <n v="6653.3743980000008"/>
    <n v="6505.6094706400008"/>
    <n v="0"/>
    <n v="0"/>
    <n v="0"/>
    <n v="0"/>
    <n v="0"/>
    <n v="0"/>
    <n v="-2039"/>
    <s v="Yes"/>
    <n v="480.45974184397159"/>
    <n v="16.114285714285717"/>
    <n v="-1.409736448542398"/>
    <n v="2"/>
    <m/>
    <s v="Parbatta"/>
    <m/>
    <n v="0"/>
  </r>
  <r>
    <s v="Munger"/>
    <s v="17-23 Apr"/>
    <n v="1010"/>
    <s v="Parbatta"/>
    <x v="356"/>
    <s v="Gomukh Bandahera                                                                                    "/>
    <s v="MPG"/>
    <s v="Direct"/>
    <n v="499.20000000000005"/>
    <n v="19791.349999999999"/>
    <n v="499.2"/>
    <n v="23273.285817600001"/>
    <n v="0"/>
    <n v="0"/>
    <n v="499.2"/>
    <n v="23273.285817600001"/>
    <n v="19791.349999999999"/>
    <n v="0"/>
    <n v="0"/>
    <n v="3481.9358176000023"/>
    <n v="0"/>
    <n v="0"/>
    <n v="0"/>
    <n v="19791"/>
    <n v="0"/>
    <n v="0"/>
    <n v="0"/>
    <n v="0"/>
    <n v="159.21887339743586"/>
    <n v="71.314285714285717"/>
    <n v="-0.17593220359399447"/>
    <n v="1"/>
    <m/>
    <s v="Parbatta"/>
    <m/>
    <n v="0"/>
  </r>
  <r>
    <s v="Munger"/>
    <s v="17-23 Apr"/>
    <n v="1010"/>
    <s v="Parbatta"/>
    <x v="357"/>
    <s v="Gomukh Badi Lagar-1 Kiran"/>
    <s v="vlc"/>
    <s v="Indirect"/>
    <n v="676.30000000000007"/>
    <n v="25731.499999999996"/>
    <n v="0"/>
    <n v="0"/>
    <n v="0"/>
    <n v="0"/>
    <n v="0"/>
    <n v="0"/>
    <n v="25731.499999999996"/>
    <n v="0"/>
    <n v="0"/>
    <n v="0"/>
    <n v="0"/>
    <n v="373.96376129032291"/>
    <n v="0"/>
    <n v="0"/>
    <n v="0"/>
    <n v="25357.536238709672"/>
    <n v="0"/>
    <n v="0"/>
    <n v="18.034498003844369"/>
    <n v="96.614285714285728"/>
    <n v="0"/>
    <n v="0"/>
    <m/>
    <s v="Parbatta"/>
    <m/>
    <n v="0"/>
  </r>
  <r>
    <s v="Munger"/>
    <s v="17-23 Apr"/>
    <n v="1007"/>
    <s v="Araria"/>
    <x v="358"/>
    <s v="Gomukh Basudevpur"/>
    <s v="vlc"/>
    <s v="Indirect"/>
    <n v="133.69999999999999"/>
    <n v="4673.7700000000004"/>
    <n v="0"/>
    <n v="0"/>
    <n v="0"/>
    <n v="0"/>
    <n v="0"/>
    <n v="0"/>
    <n v="4673.7700000000004"/>
    <n v="0"/>
    <n v="0"/>
    <n v="0"/>
    <n v="0"/>
    <n v="0"/>
    <n v="0"/>
    <n v="0"/>
    <n v="0"/>
    <n v="4673.7700000000004"/>
    <n v="0"/>
    <n v="0"/>
    <n v="395.92460000000017"/>
    <n v="19.099999999999998"/>
    <n v="0"/>
    <n v="0"/>
    <m/>
    <s v="Araria"/>
    <m/>
    <n v="0"/>
  </r>
  <r>
    <s v="Munger"/>
    <s v="17-23 Apr"/>
    <n v="1007"/>
    <s v="Araria"/>
    <x v="359"/>
    <s v="Gomukh Fudkichak"/>
    <s v="MPG"/>
    <s v="Direct"/>
    <n v="113.7"/>
    <n v="4796.6299999999992"/>
    <n v="113.7"/>
    <n v="4712.7606688800006"/>
    <n v="0"/>
    <n v="0"/>
    <n v="113.7"/>
    <n v="4712.7606688800006"/>
    <n v="4712.7606688800006"/>
    <n v="0"/>
    <n v="0"/>
    <n v="0"/>
    <n v="0"/>
    <n v="200.51542758620693"/>
    <n v="0"/>
    <n v="4512"/>
    <n v="0"/>
    <n v="0"/>
    <n v="84"/>
    <n v="0"/>
    <n v="494.68147211961292"/>
    <n v="16.242857142857144"/>
    <n v="1.7485053281157525E-2"/>
    <n v="1"/>
    <m/>
    <s v="Araria"/>
    <m/>
    <n v="0"/>
  </r>
  <r>
    <s v="Munger"/>
    <s v="17-23 Apr"/>
    <n v="1007"/>
    <s v="Araria"/>
    <x v="360"/>
    <s v="Gomukh Tehay"/>
    <s v="MPG"/>
    <s v="Direct"/>
    <n v="170.7"/>
    <n v="8054.44"/>
    <n v="214.4"/>
    <n v="10476.299982368"/>
    <n v="0"/>
    <n v="0"/>
    <n v="214.4"/>
    <n v="10476.299982368"/>
    <n v="8054.44"/>
    <n v="0"/>
    <n v="0"/>
    <n v="2421.8599823680006"/>
    <n v="0"/>
    <n v="0"/>
    <n v="0"/>
    <n v="8054"/>
    <n v="0"/>
    <n v="0"/>
    <n v="0"/>
    <n v="0"/>
    <n v="499.49796039835968"/>
    <n v="24.385714285714283"/>
    <n v="-0.30068632733846185"/>
    <n v="2"/>
    <m/>
    <s v="Araria"/>
    <m/>
    <n v="0"/>
  </r>
  <r>
    <s v="Munger"/>
    <s v="17-23 Apr"/>
    <n v="1007"/>
    <s v="Araria"/>
    <x v="361"/>
    <s v="Gomukh Buddhnagar"/>
    <s v="vlc"/>
    <s v="Indirect"/>
    <n v="659"/>
    <n v="23807.31"/>
    <n v="0"/>
    <n v="0"/>
    <n v="0"/>
    <n v="0"/>
    <n v="0"/>
    <n v="0"/>
    <n v="23807.31"/>
    <n v="0"/>
    <n v="0"/>
    <n v="0"/>
    <n v="0"/>
    <n v="0"/>
    <n v="0"/>
    <n v="0"/>
    <n v="0"/>
    <n v="23807.31"/>
    <n v="0"/>
    <n v="0"/>
    <n v="29.623663429438565"/>
    <n v="94.142857142857139"/>
    <n v="0"/>
    <n v="0"/>
    <m/>
    <s v="Araria"/>
    <m/>
    <n v="0"/>
  </r>
  <r>
    <s v="Munger"/>
    <s v="17-23 Apr"/>
    <n v="1010"/>
    <s v="Parbatta"/>
    <x v="362"/>
    <s v="Gomukh Krochaka Dudhela"/>
    <s v="MPG"/>
    <s v="Direct"/>
    <n v="259.2"/>
    <n v="9609.83"/>
    <n v="257.86"/>
    <n v="9284.8609509480011"/>
    <n v="1.94"/>
    <n v="70.619485464000007"/>
    <n v="259.8"/>
    <n v="9355.4804364120009"/>
    <n v="9355.4804364120009"/>
    <n v="0"/>
    <n v="70.619485464000007"/>
    <n v="0"/>
    <n v="0"/>
    <n v="0"/>
    <n v="0"/>
    <n v="9285"/>
    <n v="0"/>
    <n v="0"/>
    <n v="254"/>
    <n v="0"/>
    <n v="326.85285987654322"/>
    <n v="37.028571428571425"/>
    <n v="2.6467644441993145E-2"/>
    <n v="4"/>
    <m/>
    <s v="Parbatta"/>
    <m/>
    <n v="0"/>
  </r>
  <r>
    <s v="Munger"/>
    <s v="17-23 Apr"/>
    <n v="1007"/>
    <s v="Araria"/>
    <x v="363"/>
    <s v="Gomukh Govind Pur"/>
    <s v="MPG"/>
    <s v="Direct"/>
    <n v="245.99999999999997"/>
    <n v="8566.7200000000012"/>
    <n v="246"/>
    <n v="11333.007259200001"/>
    <n v="0"/>
    <n v="0"/>
    <n v="246"/>
    <n v="11333.007259200001"/>
    <n v="8566.7200000000012"/>
    <n v="0"/>
    <n v="0"/>
    <n v="2766.2872592000003"/>
    <n v="0"/>
    <n v="168.63728275862076"/>
    <n v="0"/>
    <n v="8398"/>
    <n v="0"/>
    <n v="0"/>
    <n v="0"/>
    <n v="0"/>
    <n v="316.20251056910581"/>
    <n v="35.142857142857139"/>
    <n v="-0.32291089929401218"/>
    <n v="1"/>
    <m/>
    <s v="Araria"/>
    <m/>
    <n v="0"/>
  </r>
  <r>
    <s v="Munger"/>
    <s v="17-23 Apr"/>
    <n v="1007"/>
    <s v="Araria"/>
    <x v="364"/>
    <s v="Gomukh Sondiha"/>
    <s v="MPG"/>
    <s v="Direct"/>
    <n v="934.7"/>
    <n v="35732.330000000009"/>
    <n v="1209.7"/>
    <n v="48276.308379786002"/>
    <n v="0"/>
    <n v="0"/>
    <n v="1209.7"/>
    <n v="48276.308379786002"/>
    <n v="35732.330000000009"/>
    <n v="0"/>
    <n v="0"/>
    <n v="12543.978379785993"/>
    <n v="0"/>
    <n v="0"/>
    <n v="0"/>
    <n v="35732"/>
    <n v="0"/>
    <n v="0"/>
    <n v="0"/>
    <n v="0"/>
    <n v="0"/>
    <n v="0"/>
    <n v="-0.35105402809685204"/>
    <n v="2"/>
    <m/>
    <s v="Araria"/>
    <m/>
    <n v="0"/>
  </r>
  <r>
    <s v="Munger"/>
    <s v="17-23 Apr"/>
    <n v="1007"/>
    <s v="Araria"/>
    <x v="365"/>
    <s v="Gomukh Thebhay B"/>
    <s v="MPG"/>
    <s v="Direct"/>
    <n v="347.20000000000005"/>
    <n v="13978.49"/>
    <n v="618.4899999999999"/>
    <n v="24681.799514453407"/>
    <n v="1.4100000000000001"/>
    <n v="53.769073247999998"/>
    <n v="619.89999999999986"/>
    <n v="24735.568587701408"/>
    <n v="13978.49"/>
    <n v="0"/>
    <n v="53.769073247999998"/>
    <n v="10757.078587701408"/>
    <n v="0"/>
    <n v="0"/>
    <n v="0"/>
    <n v="13925"/>
    <n v="0"/>
    <n v="0"/>
    <n v="0"/>
    <n v="0"/>
    <n v="284.07899032258052"/>
    <n v="49.600000000000009"/>
    <n v="-0.76954510735432857"/>
    <n v="8"/>
    <m/>
    <s v="Araria"/>
    <m/>
    <n v="0"/>
  </r>
  <r>
    <s v="Munger"/>
    <s v="17-23 Apr"/>
    <n v="1007"/>
    <s v="Araria"/>
    <x v="366"/>
    <s v="Gomukh Baisa"/>
    <s v="MPG"/>
    <s v="Direct"/>
    <n v="252.20000000000002"/>
    <n v="8756.57"/>
    <n v="252.2"/>
    <n v="9701.6674154400007"/>
    <n v="0"/>
    <n v="0"/>
    <n v="252.2"/>
    <n v="9701.6674154400007"/>
    <n v="8756.57"/>
    <n v="0"/>
    <n v="0"/>
    <n v="945.09741544000099"/>
    <n v="0"/>
    <n v="0"/>
    <n v="0"/>
    <n v="8757"/>
    <n v="0"/>
    <n v="0"/>
    <n v="0"/>
    <n v="0"/>
    <n v="310.95892513877868"/>
    <n v="36.028571428571432"/>
    <n v="-0.10793009311180074"/>
    <n v="3"/>
    <m/>
    <s v="Araria"/>
    <m/>
    <n v="0"/>
  </r>
  <r>
    <s v="Munger"/>
    <s v="17-23 Apr"/>
    <n v="1010"/>
    <s v="Parbatta"/>
    <x v="367"/>
    <s v="Gomukh Bhorkanth Purbi"/>
    <s v="MPG"/>
    <s v="Direct"/>
    <n v="75.199999999999989"/>
    <n v="2702.2499999999995"/>
    <n v="75.2"/>
    <n v="2779.4714112000001"/>
    <n v="0"/>
    <n v="0"/>
    <n v="75.2"/>
    <n v="2779.4714112000001"/>
    <n v="2702.2499999999995"/>
    <n v="0"/>
    <n v="0"/>
    <n v="77.221411200000603"/>
    <n v="0"/>
    <n v="0"/>
    <n v="0"/>
    <n v="2702"/>
    <n v="0"/>
    <n v="0"/>
    <n v="0"/>
    <n v="0"/>
    <n v="449.03345744680854"/>
    <n v="10.742857142857142"/>
    <n v="-2.8576708742714632E-2"/>
    <n v="1"/>
    <m/>
    <s v="Parbatta"/>
    <m/>
    <n v="0"/>
  </r>
  <r>
    <s v="Munger"/>
    <s v="17-23 Apr"/>
    <n v="1010"/>
    <s v="Parbatta"/>
    <x v="368"/>
    <s v="Gomukh Khutha VLC"/>
    <s v="vlc"/>
    <s v="Indirect"/>
    <n v="6475.1"/>
    <n v="259632.12999999998"/>
    <n v="0"/>
    <n v="0"/>
    <n v="0"/>
    <n v="0"/>
    <n v="0"/>
    <n v="0"/>
    <n v="259632.12999999998"/>
    <n v="0"/>
    <n v="0"/>
    <n v="0"/>
    <n v="0"/>
    <n v="0"/>
    <n v="0"/>
    <n v="0"/>
    <n v="0"/>
    <n v="259632.12999999998"/>
    <n v="0"/>
    <n v="0"/>
    <n v="0"/>
    <n v="0"/>
    <n v="0"/>
    <n v="0"/>
    <m/>
    <s v="Parbatta"/>
    <m/>
    <n v="0"/>
  </r>
  <r>
    <s v="Munger"/>
    <s v="17-23 Apr"/>
    <n v="1010"/>
    <s v="Parbatta"/>
    <x v="369"/>
    <s v="Gomukh Kabela Vlc"/>
    <s v="vlc"/>
    <s v="Indirect"/>
    <n v="836.4"/>
    <n v="31200.240000000005"/>
    <n v="0"/>
    <n v="0"/>
    <n v="0"/>
    <n v="0"/>
    <n v="0"/>
    <n v="0"/>
    <n v="31200.240000000005"/>
    <n v="0"/>
    <n v="0"/>
    <n v="0"/>
    <n v="0"/>
    <n v="0"/>
    <n v="0"/>
    <n v="0"/>
    <n v="0"/>
    <n v="31200.240000000005"/>
    <n v="0"/>
    <n v="0"/>
    <n v="0"/>
    <n v="0"/>
    <n v="0"/>
    <n v="0"/>
    <m/>
    <s v="Parbatta"/>
    <m/>
    <n v="0"/>
  </r>
  <r>
    <s v="Munger"/>
    <s v="17-23 Apr"/>
    <n v="1010"/>
    <s v="Parbatta"/>
    <x v="1057"/>
    <s v="Gomukh Madhabpur Purbi Vlc"/>
    <s v="vlc"/>
    <s v="Indirect"/>
    <n v="67.900000000000006"/>
    <n v="2308.36"/>
    <n v="0"/>
    <n v="0"/>
    <n v="0"/>
    <n v="0"/>
    <n v="0"/>
    <n v="0"/>
    <n v="2308.36"/>
    <n v="0"/>
    <n v="0"/>
    <n v="0"/>
    <n v="0"/>
    <n v="0"/>
    <n v="0"/>
    <n v="0"/>
    <n v="0"/>
    <n v="2308.36"/>
    <n v="0"/>
    <n v="0"/>
    <n v="429.78331546391752"/>
    <n v="9.7000000000000011"/>
    <n v="0"/>
    <n v="0"/>
    <m/>
    <s v="Parbatta"/>
    <m/>
    <n v="0"/>
  </r>
  <r>
    <s v="Munger"/>
    <s v="17-23 Apr"/>
    <n v="1010"/>
    <s v="Parbatta"/>
    <x v="370"/>
    <s v="Gomukh Lagar Wad-13 Vlc"/>
    <s v="vlc"/>
    <s v="Indirect"/>
    <n v="68.099999999999994"/>
    <n v="4564.66"/>
    <n v="0"/>
    <n v="0"/>
    <n v="0"/>
    <n v="0"/>
    <n v="0"/>
    <n v="0"/>
    <n v="4564.66"/>
    <n v="0"/>
    <n v="0"/>
    <n v="0"/>
    <n v="0"/>
    <n v="0"/>
    <n v="0"/>
    <n v="0"/>
    <n v="0"/>
    <n v="4564.66"/>
    <n v="0"/>
    <n v="0"/>
    <n v="847.10973685756255"/>
    <n v="9.7285714285714278"/>
    <n v="0"/>
    <n v="0"/>
    <m/>
    <s v="Parbatta"/>
    <m/>
    <n v="0"/>
  </r>
  <r>
    <s v="Munger"/>
    <s v="17-23 Apr"/>
    <n v="1010"/>
    <s v="Parbatta"/>
    <x v="371"/>
    <s v="Gomukh Manish Vlc"/>
    <s v="vlc"/>
    <s v="Indirect"/>
    <n v="1456.2"/>
    <n v="72569.48000000001"/>
    <n v="0"/>
    <n v="0"/>
    <n v="0"/>
    <n v="0"/>
    <n v="0"/>
    <n v="0"/>
    <n v="72569.48000000001"/>
    <n v="0"/>
    <n v="0"/>
    <n v="0"/>
    <n v="0"/>
    <n v="0"/>
    <n v="0"/>
    <n v="0"/>
    <n v="0"/>
    <n v="72569.48000000001"/>
    <n v="0"/>
    <n v="0"/>
    <n v="0"/>
    <n v="0"/>
    <n v="0"/>
    <n v="0"/>
    <m/>
    <s v="Parbatta"/>
    <m/>
    <n v="0"/>
  </r>
  <r>
    <s v="Munger"/>
    <s v="17-23 Apr"/>
    <n v="1055"/>
    <s v="Matihani"/>
    <x v="372"/>
    <s v="Gomukh Mahendrapur"/>
    <s v="MPG"/>
    <s v="Direct"/>
    <n v="1610.5000000000002"/>
    <n v="64608.19"/>
    <n v="1602.7000000000005"/>
    <n v="65587.569057244313"/>
    <n v="39"/>
    <n v="1629.583758"/>
    <n v="1641.7000000000005"/>
    <n v="67217.152815244306"/>
    <n v="64608.19"/>
    <n v="0"/>
    <n v="1629.583758"/>
    <n v="2608.9628152443038"/>
    <n v="0"/>
    <n v="0"/>
    <n v="0"/>
    <n v="62979"/>
    <n v="0"/>
    <n v="0"/>
    <n v="0"/>
    <n v="0"/>
    <n v="0"/>
    <n v="0"/>
    <n v="-4.0381301739675787E-2"/>
    <n v="13"/>
    <m/>
    <s v="Matihani"/>
    <m/>
    <n v="0"/>
  </r>
  <r>
    <s v="Munger"/>
    <s v="17-23 Apr"/>
    <n v="1055"/>
    <s v="Matihani"/>
    <x v="373"/>
    <s v="Gomukh Balahpur"/>
    <s v="MPG"/>
    <s v="Direct"/>
    <n v="280.3"/>
    <n v="10287.91"/>
    <n v="281.90000000000003"/>
    <n v="10467.828221400003"/>
    <n v="0"/>
    <n v="0"/>
    <n v="281.90000000000003"/>
    <n v="10467.828221400003"/>
    <n v="10287.91"/>
    <n v="0"/>
    <n v="0"/>
    <n v="179.91822140000295"/>
    <n v="0"/>
    <n v="0"/>
    <n v="0"/>
    <n v="10288"/>
    <n v="0"/>
    <n v="0"/>
    <n v="0"/>
    <n v="0"/>
    <n v="308.08675183731719"/>
    <n v="40.042857142857144"/>
    <n v="-1.7488316033091558E-2"/>
    <n v="2"/>
    <m/>
    <s v="Matihani"/>
    <m/>
    <n v="0"/>
  </r>
  <r>
    <s v="Munger"/>
    <s v="17-23 Apr"/>
    <n v="1011"/>
    <s v="Sahibpur Kamal"/>
    <x v="374"/>
    <s v="Gomukh Danauli"/>
    <s v="MPG"/>
    <s v="Direct"/>
    <n v="485.59999999999991"/>
    <n v="18203.330000000002"/>
    <n v="485.59999999999991"/>
    <n v="18191.794222800003"/>
    <n v="1.2"/>
    <n v="44.973712080000006"/>
    <n v="486.7999999999999"/>
    <n v="18236.767934880001"/>
    <n v="18203.330000000002"/>
    <n v="0"/>
    <n v="44.973712080000006"/>
    <n v="33.437934879999375"/>
    <n v="0"/>
    <n v="24.596399999999761"/>
    <n v="0"/>
    <n v="18134"/>
    <n v="0"/>
    <n v="0"/>
    <n v="0"/>
    <n v="0"/>
    <n v="160.74110181219126"/>
    <n v="69.371428571428552"/>
    <n v="-1.8369130746956393E-3"/>
    <n v="3"/>
    <m/>
    <s v="Sahibpur Kamal"/>
    <m/>
    <n v="0"/>
  </r>
  <r>
    <s v="Munger"/>
    <s v="17-23 Apr"/>
    <n v="1055"/>
    <s v="Matihani"/>
    <x v="375"/>
    <s v="NAYAGAW"/>
    <s v="MPG"/>
    <s v="Direct"/>
    <n v="4326.2"/>
    <n v="178649.75"/>
    <n v="4298.2599999999993"/>
    <n v="178259.13682087974"/>
    <n v="25.660000000000004"/>
    <n v="1840.62016329008"/>
    <n v="4323.9199999999992"/>
    <n v="180099.75698416983"/>
    <n v="178649.75"/>
    <n v="0"/>
    <n v="1840.62016329008"/>
    <n v="1450.0069841698278"/>
    <n v="0"/>
    <n v="0"/>
    <n v="0"/>
    <n v="176809"/>
    <n v="0"/>
    <n v="0"/>
    <n v="0"/>
    <n v="0"/>
    <n v="0"/>
    <n v="0"/>
    <n v="-8.1164792235635802E-3"/>
    <n v="36"/>
    <m/>
    <s v="Matihani"/>
    <m/>
    <n v="0"/>
  </r>
  <r>
    <s v="Munger"/>
    <s v="17-23 Apr"/>
    <n v="1011"/>
    <s v="Sahibpur Kamal"/>
    <x v="376"/>
    <s v="Dandari"/>
    <s v="MPG"/>
    <s v="Direct"/>
    <n v="769.2"/>
    <n v="27576.65"/>
    <n v="767"/>
    <n v="27793.710276948004"/>
    <n v="2.1999999999999997"/>
    <n v="80.593567164000007"/>
    <n v="769.2"/>
    <n v="27874.303844112004"/>
    <n v="27576.65"/>
    <n v="0"/>
    <n v="80.593567164000007"/>
    <n v="297.65384411200284"/>
    <n v="0"/>
    <n v="66.82924137931046"/>
    <n v="0"/>
    <n v="27429"/>
    <n v="0"/>
    <n v="0"/>
    <n v="0"/>
    <n v="0"/>
    <n v="0"/>
    <n v="0"/>
    <n v="-1.0793691188451202E-2"/>
    <n v="6"/>
    <m/>
    <s v="Sahibpur Kamal"/>
    <m/>
    <n v="0"/>
  </r>
  <r>
    <s v="Munger"/>
    <s v="17-23 Apr"/>
    <n v="1011"/>
    <s v="Sahibpur Kamal"/>
    <x v="377"/>
    <s v="Rahimpur Pachkhutti"/>
    <s v="vlc"/>
    <s v="Indirect"/>
    <n v="6047.0999999999995"/>
    <n v="227991.77999999997"/>
    <n v="0"/>
    <n v="0"/>
    <n v="0"/>
    <n v="0"/>
    <n v="0"/>
    <n v="0"/>
    <n v="227991.77999999997"/>
    <n v="0"/>
    <n v="0"/>
    <n v="0"/>
    <n v="0"/>
    <n v="0"/>
    <n v="0"/>
    <n v="0"/>
    <n v="0"/>
    <n v="227991.77999999997"/>
    <n v="0"/>
    <n v="0"/>
    <n v="0"/>
    <n v="0"/>
    <n v="0"/>
    <n v="0"/>
    <m/>
    <s v="Sahibpur Kamal"/>
    <m/>
    <n v="0"/>
  </r>
  <r>
    <s v="Munger"/>
    <s v="17-23 Apr"/>
    <n v="1011"/>
    <s v="Sahibpur Kamal"/>
    <x v="378"/>
    <s v="Gomukh Mohanpur                                                                                     "/>
    <s v="MPG"/>
    <s v="Direct"/>
    <n v="1114.5999999999999"/>
    <n v="40349.93"/>
    <n v="1220"/>
    <n v="45239.808200400003"/>
    <n v="2.2999999999999998"/>
    <n v="84.099632759999992"/>
    <n v="1222.3"/>
    <n v="45323.907833160003"/>
    <n v="40349.93"/>
    <n v="0"/>
    <n v="84.099632759999992"/>
    <n v="4973.9778331600028"/>
    <n v="0"/>
    <n v="0"/>
    <n v="0"/>
    <n v="40266"/>
    <n v="0"/>
    <n v="0"/>
    <n v="0"/>
    <n v="0"/>
    <n v="0"/>
    <n v="0"/>
    <n v="-0.12327103995372489"/>
    <n v="7"/>
    <m/>
    <s v="Sahibpur Kamal"/>
    <m/>
    <n v="0"/>
  </r>
  <r>
    <s v="Munger"/>
    <s v="17-23 Apr"/>
    <n v="1011"/>
    <s v="Sahibpur Kamal"/>
    <x v="379"/>
    <s v="Gomukh Raghunathpur"/>
    <s v="MPG"/>
    <s v="Direct"/>
    <n v="1111.0999999999999"/>
    <n v="51863.87000000001"/>
    <n v="1119.4000000000001"/>
    <n v="50995.624321402152"/>
    <n v="19.300000000000004"/>
    <n v="858.84525225679988"/>
    <n v="1138.7"/>
    <n v="51854.469573658949"/>
    <n v="51854.469573658949"/>
    <n v="0"/>
    <n v="858.84525225679988"/>
    <n v="0"/>
    <n v="0"/>
    <n v="0"/>
    <n v="0"/>
    <n v="50995"/>
    <n v="0"/>
    <n v="0"/>
    <n v="10"/>
    <n v="0"/>
    <n v="0"/>
    <n v="0"/>
    <n v="1.8125192626506013E-4"/>
    <n v="32"/>
    <m/>
    <s v="Sahibpur Kamal"/>
    <m/>
    <n v="0"/>
  </r>
  <r>
    <s v="Munger"/>
    <s v="17-23 Apr"/>
    <n v="1055"/>
    <s v="Matihani"/>
    <x v="380"/>
    <s v="Gomukh Chhitraur"/>
    <s v="MPG"/>
    <s v="Direct"/>
    <n v="932.1"/>
    <n v="37992.870000000003"/>
    <n v="969.54"/>
    <n v="41517.212516404164"/>
    <n v="0"/>
    <n v="0"/>
    <n v="969.54"/>
    <n v="41517.212516404164"/>
    <n v="37992.870000000003"/>
    <n v="0"/>
    <n v="0"/>
    <n v="3524.3425164041619"/>
    <n v="0"/>
    <n v="0"/>
    <n v="0"/>
    <n v="37993"/>
    <n v="0"/>
    <n v="0"/>
    <n v="0"/>
    <n v="0"/>
    <n v="0"/>
    <n v="0"/>
    <n v="-9.2763261011978349E-2"/>
    <n v="9"/>
    <m/>
    <s v="Matihani"/>
    <m/>
    <n v="0"/>
  </r>
  <r>
    <s v="Munger"/>
    <s v="17-23 Apr"/>
    <n v="1055"/>
    <s v="Matihani"/>
    <x v="381"/>
    <s v="Gomukh Khorampur Chakaur"/>
    <s v="MPG"/>
    <s v="Direct"/>
    <n v="558.09999999999991"/>
    <n v="22566.59"/>
    <n v="555.29999999999995"/>
    <n v="22931.144901475"/>
    <n v="3.05"/>
    <n v="127.02489583400001"/>
    <n v="558.34999999999991"/>
    <n v="23058.169797309001"/>
    <n v="22566.59"/>
    <n v="0"/>
    <n v="127.02489583400001"/>
    <n v="491.57979730900115"/>
    <n v="0"/>
    <n v="0"/>
    <n v="0"/>
    <n v="22440"/>
    <n v="0"/>
    <n v="0"/>
    <n v="0"/>
    <n v="0"/>
    <n v="114.75359688227925"/>
    <n v="79.728571428571414"/>
    <n v="-2.1783521449585477E-2"/>
    <n v="6"/>
    <m/>
    <s v="Matihani"/>
    <m/>
    <n v="0"/>
  </r>
  <r>
    <s v="Munger"/>
    <s v="17-23 Apr"/>
    <n v="1011"/>
    <s v="Sahibpur Kamal"/>
    <x v="382"/>
    <s v="Goumukh Samastipur"/>
    <s v="MPG"/>
    <s v="Direct"/>
    <n v="972.19999999999993"/>
    <n v="37424.310000000005"/>
    <n v="994.20000000000016"/>
    <n v="39347.653590454887"/>
    <n v="0"/>
    <n v="0"/>
    <n v="994.20000000000016"/>
    <n v="39347.653590454887"/>
    <n v="37424.310000000005"/>
    <n v="0"/>
    <n v="0"/>
    <n v="1923.3435904548824"/>
    <n v="0"/>
    <n v="965.27"/>
    <n v="0"/>
    <n v="36459"/>
    <n v="0"/>
    <n v="0"/>
    <n v="0"/>
    <s v="Release1"/>
    <n v="0"/>
    <n v="0"/>
    <n v="-5.1392893829034711E-2"/>
    <n v="20"/>
    <m/>
    <s v="Sahibpur Kamal"/>
    <m/>
    <n v="0"/>
  </r>
  <r>
    <s v="Munger"/>
    <s v="17-23 Apr"/>
    <n v="1011"/>
    <s v="Sahibpur Kamal"/>
    <x v="383"/>
    <s v="GOMUKH Mathar"/>
    <s v="MPG"/>
    <s v="Direct"/>
    <n v="95.300000000000026"/>
    <n v="3702.099999999999"/>
    <n v="98.66"/>
    <n v="3760.0811385419711"/>
    <n v="1.37"/>
    <n v="52.02001648800001"/>
    <n v="100.03"/>
    <n v="3812.1011550299709"/>
    <n v="3702.099999999999"/>
    <n v="0"/>
    <n v="52.02001648800001"/>
    <n v="110.00115502997187"/>
    <n v="0"/>
    <n v="5.1100000000000003"/>
    <n v="0"/>
    <n v="3645"/>
    <n v="0"/>
    <n v="0"/>
    <n v="0"/>
    <n v="0"/>
    <n v="469.8131941238193"/>
    <n v="13.614285714285717"/>
    <n v="-2.9713177664020932E-2"/>
    <n v="3"/>
    <m/>
    <s v="Sahibpur Kamal"/>
    <m/>
    <n v="0"/>
  </r>
  <r>
    <s v="Munger"/>
    <s v="17-23 Apr"/>
    <n v="1011"/>
    <s v="Sahibpur Kamal"/>
    <x v="384"/>
    <s v="Gomukh Kumar Chakki"/>
    <s v="MPG"/>
    <s v="Direct"/>
    <n v="186.5"/>
    <n v="6431.74"/>
    <n v="186.3"/>
    <n v="6973.1644791599992"/>
    <n v="0.1"/>
    <n v="3.7753056000000003"/>
    <n v="186.4"/>
    <n v="6976.9397847599994"/>
    <n v="6431.74"/>
    <n v="0"/>
    <n v="3.7753056000000003"/>
    <n v="545.1997847599996"/>
    <n v="0"/>
    <n v="174.48457499999989"/>
    <n v="0"/>
    <n v="6253"/>
    <n v="0"/>
    <n v="0"/>
    <n v="0"/>
    <n v="0"/>
    <n v="354.17678176943701"/>
    <n v="26.642857142857142"/>
    <n v="-8.4767074657868577E-2"/>
    <n v="4"/>
    <m/>
    <s v="Sahibpur Kamal"/>
    <m/>
    <n v="0"/>
  </r>
  <r>
    <s v="Munger"/>
    <s v="17-23 Apr"/>
    <n v="1055"/>
    <s v="Matihani"/>
    <x v="385"/>
    <s v="Gomukh Sonapur"/>
    <s v="vlc"/>
    <s v="Indirect"/>
    <n v="426.3"/>
    <n v="16371.62"/>
    <n v="0"/>
    <n v="0"/>
    <n v="0"/>
    <n v="0"/>
    <n v="0"/>
    <n v="0"/>
    <n v="16371.62"/>
    <n v="0"/>
    <n v="0"/>
    <n v="0"/>
    <n v="0"/>
    <n v="93.824361290322514"/>
    <n v="0"/>
    <n v="0"/>
    <n v="0"/>
    <n v="16277.795638709678"/>
    <n v="0"/>
    <n v="0"/>
    <n v="210.22342922824305"/>
    <n v="60.9"/>
    <n v="0"/>
    <n v="0"/>
    <m/>
    <s v="Matihani"/>
    <m/>
    <n v="0"/>
  </r>
  <r>
    <s v="Munger"/>
    <s v="17-23 Apr"/>
    <n v="1011"/>
    <s v="Sahibpur Kamal"/>
    <x v="386"/>
    <s v="Gomukh Barkhandi 2"/>
    <s v="MPG"/>
    <s v="Indirect"/>
    <n v="525.29999999999995"/>
    <n v="20751.55"/>
    <n v="0"/>
    <n v="0"/>
    <n v="0"/>
    <n v="0"/>
    <n v="0"/>
    <n v="0"/>
    <n v="20751.55"/>
    <n v="0"/>
    <n v="0"/>
    <n v="0"/>
    <n v="0"/>
    <n v="299.65823225806417"/>
    <n v="0"/>
    <n v="0"/>
    <n v="0"/>
    <n v="20451.891767741934"/>
    <n v="0"/>
    <n v="0"/>
    <n v="138.02763316200276"/>
    <n v="75.04285714285713"/>
    <n v="0"/>
    <n v="0"/>
    <m/>
    <s v="Sahibpur Kamal"/>
    <m/>
    <n v="0"/>
  </r>
  <r>
    <s v="Munger"/>
    <s v="17-23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802.90000000000009"/>
    <n v="31474.03"/>
    <n v="810.69999999999993"/>
    <n v="31722.507012240003"/>
    <n v="3.4000000000000008"/>
    <n v="133.41613824000004"/>
    <n v="814.09999999999991"/>
    <n v="31855.923150480005"/>
    <n v="31474.03"/>
    <n v="0"/>
    <n v="133.41613824000004"/>
    <n v="381.89315048000572"/>
    <n v="0"/>
    <n v="0"/>
    <n v="0"/>
    <n v="31341"/>
    <n v="0"/>
    <n v="0"/>
    <n v="0"/>
    <n v="0"/>
    <n v="0"/>
    <n v="0"/>
    <n v="-1.2133595554176117E-2"/>
    <n v="5"/>
    <m/>
    <s v="Sahibpur Kamal"/>
    <m/>
    <n v="0"/>
  </r>
  <r>
    <s v="Munger"/>
    <s v="17-23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11"/>
    <n v="419.65"/>
    <n v="11"/>
    <n v="419.63961600000005"/>
    <n v="0"/>
    <n v="0"/>
    <n v="11"/>
    <n v="419.63961600000005"/>
    <n v="419.63961600000005"/>
    <n v="0"/>
    <n v="0"/>
    <n v="0"/>
    <n v="0"/>
    <n v="420"/>
    <n v="0"/>
    <n v="0"/>
    <n v="0"/>
    <n v="0"/>
    <n v="0"/>
    <s v="Release1"/>
    <n v="525.70699999999999"/>
    <n v="1.5714285714285714"/>
    <n v="2.4744429881879885E-5"/>
    <n v="1"/>
    <m/>
    <s v="Sahibpur Kamal"/>
    <m/>
    <n v="0"/>
  </r>
  <r>
    <s v="Munger"/>
    <s v="17-23 Apr"/>
    <n v="1011"/>
    <s v="Sahibpur Kamal"/>
    <x v="389"/>
    <s v="GOMUKH KATAHRI"/>
    <s v="MPG"/>
    <s v="Direct"/>
    <n v="116.70000000000002"/>
    <n v="6210.6500000000005"/>
    <n v="133.4"/>
    <n v="7150.6085315550008"/>
    <n v="2.7000000000000006"/>
    <n v="148.07016714480002"/>
    <n v="136.1"/>
    <n v="7298.6786986998004"/>
    <n v="6210.6500000000005"/>
    <n v="0"/>
    <n v="148.07016714480002"/>
    <n v="1088.0286986997999"/>
    <n v="0"/>
    <n v="0"/>
    <n v="0"/>
    <n v="6063"/>
    <n v="0"/>
    <n v="0"/>
    <n v="0"/>
    <n v="0"/>
    <n v="620.85212425021416"/>
    <n v="16.671428571428574"/>
    <n v="-0.17518757275000196"/>
    <n v="3"/>
    <m/>
    <s v="Sahibpur Kamal"/>
    <m/>
    <n v="0"/>
  </r>
  <r>
    <s v="Munger"/>
    <s v="17-23 Apr"/>
    <n v="1011"/>
    <s v="Sahibpur Kamal"/>
    <x v="390"/>
    <s v="GOMUKH Mathar Ward 10"/>
    <s v="MPG"/>
    <s v="Direct"/>
    <n v="786.7"/>
    <n v="33119.179999999993"/>
    <n v="690"/>
    <n v="28614.648060850002"/>
    <n v="134"/>
    <n v="6418.4927140130003"/>
    <n v="824"/>
    <n v="35033.140774863001"/>
    <n v="33119.179999999993"/>
    <n v="0"/>
    <n v="0"/>
    <n v="1913.9607748630078"/>
    <n v="0"/>
    <n v="0"/>
    <n v="0"/>
    <n v="26701"/>
    <n v="6418"/>
    <n v="0"/>
    <n v="0"/>
    <n v="0"/>
    <n v="0"/>
    <n v="0"/>
    <n v="-5.779010153219398E-2"/>
    <n v="6"/>
    <m/>
    <s v="Sahibpur Kamal"/>
    <m/>
    <n v="0"/>
  </r>
  <r>
    <s v="Munger"/>
    <s v="17-23 Apr"/>
    <n v="1011"/>
    <s v="Sahibpur Kamal"/>
    <x v="391"/>
    <s v="GOMUKH Tartor 2"/>
    <s v="MPG"/>
    <s v="Direct"/>
    <n v="376.9"/>
    <n v="16340.77"/>
    <n v="386.7"/>
    <n v="18496.385870573002"/>
    <n v="0"/>
    <n v="0"/>
    <n v="386.7"/>
    <n v="18496.385870573002"/>
    <n v="16340.77"/>
    <n v="0"/>
    <n v="0"/>
    <n v="2155.6158705730013"/>
    <n v="0"/>
    <n v="0"/>
    <n v="0"/>
    <n v="16341"/>
    <n v="0"/>
    <n v="0"/>
    <n v="0"/>
    <s v="Release1"/>
    <n v="280.16464775802609"/>
    <n v="53.842857142857142"/>
    <n v="-0.13191641951835814"/>
    <n v="1"/>
    <m/>
    <s v="Sahibpur Kamal"/>
    <m/>
    <n v="0"/>
  </r>
  <r>
    <s v="Munger"/>
    <s v="17-23 Apr"/>
    <n v="1011"/>
    <s v="Sahibpur Kamal"/>
    <x v="392"/>
    <s v="Gomukh Chaidha"/>
    <s v="MPG"/>
    <s v="Direct"/>
    <n v="1016.4"/>
    <n v="39256.310000000005"/>
    <n v="1018"/>
    <n v="40640.924156307927"/>
    <n v="4.8000000000000007"/>
    <n v="191.55258912959999"/>
    <n v="1022.8"/>
    <n v="40832.476745437525"/>
    <n v="39256.310000000005"/>
    <n v="0"/>
    <n v="191.55258912959999"/>
    <n v="1576.1667454375201"/>
    <n v="0"/>
    <n v="0"/>
    <n v="0"/>
    <n v="39065"/>
    <n v="0"/>
    <n v="0"/>
    <n v="0"/>
    <s v="Release1"/>
    <n v="0"/>
    <n v="0"/>
    <n v="-4.015065973947933E-2"/>
    <n v="19"/>
    <m/>
    <s v="Sahibpur Kamal"/>
    <m/>
    <n v="0"/>
  </r>
  <r>
    <s v="Munger"/>
    <s v="17-23 Apr"/>
    <n v="1011"/>
    <s v="Sahibpur Kamal"/>
    <x v="393"/>
    <s v="Gomukh Bakiya"/>
    <s v="MPG"/>
    <s v="Direct"/>
    <n v="896.4000000000002"/>
    <n v="35171.97"/>
    <n v="947.08"/>
    <n v="37644.072089512811"/>
    <n v="6.46"/>
    <n v="254.72756390400002"/>
    <n v="953.54000000000008"/>
    <n v="37898.799653416812"/>
    <n v="35171.97"/>
    <n v="0"/>
    <n v="254.72756390400002"/>
    <n v="2726.8296534168112"/>
    <n v="0"/>
    <n v="0"/>
    <n v="0"/>
    <n v="34917"/>
    <n v="0"/>
    <n v="0"/>
    <n v="0"/>
    <n v="0"/>
    <n v="0"/>
    <n v="0"/>
    <n v="-7.7528487981105718E-2"/>
    <n v="15"/>
    <m/>
    <s v="Sahibpur Kamal"/>
    <m/>
    <n v="0"/>
  </r>
  <r>
    <s v="Munger"/>
    <s v="17-23 Apr"/>
    <n v="1011"/>
    <s v="Sahibpur Kamal"/>
    <x v="395"/>
    <s v="GOMUKH Nista Tol"/>
    <s v="MPG"/>
    <s v="Direct"/>
    <n v="71.8"/>
    <n v="2818.99"/>
    <n v="72.459999999999994"/>
    <n v="2882.6763737639003"/>
    <n v="0"/>
    <n v="0"/>
    <n v="72.459999999999994"/>
    <n v="2882.6763737639003"/>
    <n v="2818.99"/>
    <n v="0"/>
    <n v="0"/>
    <n v="63.686373763900519"/>
    <n v="0"/>
    <n v="249.99"/>
    <n v="0"/>
    <n v="2569"/>
    <n v="0"/>
    <n v="0"/>
    <n v="0"/>
    <s v="Release1"/>
    <n v="493.28398830083563"/>
    <n v="10.257142857142856"/>
    <n v="-2.2591911913096719E-2"/>
    <n v="2"/>
    <m/>
    <s v="Sahibpur Kamal"/>
    <m/>
    <n v="0"/>
  </r>
  <r>
    <s v="Munger"/>
    <s v="17-23 Apr"/>
    <n v="1011"/>
    <s v="Sahibpur Kamal"/>
    <x v="396"/>
    <s v="GOMUKH SRINAGAR"/>
    <s v="MPG"/>
    <s v="Direct"/>
    <n v="1077.8000000000002"/>
    <n v="43496.570000000007"/>
    <n v="950.24000000000024"/>
    <n v="40468.912221919403"/>
    <n v="165.52"/>
    <n v="6532.434585815161"/>
    <n v="1115.7600000000002"/>
    <n v="47001.346807734561"/>
    <n v="43496.570000000007"/>
    <n v="0"/>
    <n v="151.19685023916003"/>
    <n v="3504.7768077345536"/>
    <n v="0"/>
    <n v="138.94666229508186"/>
    <n v="0"/>
    <n v="36825"/>
    <n v="6381"/>
    <n v="0"/>
    <n v="0"/>
    <n v="0"/>
    <n v="0"/>
    <n v="0"/>
    <n v="-8.0575935245803365E-2"/>
    <n v="12"/>
    <m/>
    <s v="Sahibpur Kamal"/>
    <m/>
    <n v="0"/>
  </r>
  <r>
    <s v="Munger"/>
    <s v="17-23 Apr"/>
    <n v="1011"/>
    <s v="Sahibpur Kamal"/>
    <x v="397"/>
    <s v="GOMUKH THATHA"/>
    <s v="MPG"/>
    <s v="Direct"/>
    <n v="374.59999999999997"/>
    <n v="12043.59"/>
    <n v="547.30000000000007"/>
    <n v="18674.511107670001"/>
    <n v="0"/>
    <n v="0"/>
    <n v="547.30000000000007"/>
    <n v="18674.511107670001"/>
    <n v="12043.59"/>
    <n v="0"/>
    <n v="0"/>
    <n v="6630.9211076700012"/>
    <n v="0"/>
    <n v="0"/>
    <n v="0"/>
    <n v="12044"/>
    <n v="0"/>
    <n v="0"/>
    <n v="0"/>
    <n v="0"/>
    <n v="209.23567463961561"/>
    <n v="53.514285714285712"/>
    <n v="-0.55057678878723049"/>
    <n v="1"/>
    <m/>
    <s v="Sahibpur Kamal"/>
    <m/>
    <n v="0"/>
  </r>
  <r>
    <s v="Munger"/>
    <s v="17-23 Apr"/>
    <n v="1011"/>
    <s v="Sahibpur Kamal"/>
    <x v="398"/>
    <s v="GOMUKH SANHA NAYATOLA"/>
    <s v="MPG"/>
    <s v="Direct"/>
    <n v="234.40000000000003"/>
    <n v="8920.09"/>
    <n v="234"/>
    <n v="8865.1092816"/>
    <n v="0"/>
    <n v="0"/>
    <n v="234"/>
    <n v="8865.1092816"/>
    <n v="8865.1092816"/>
    <n v="0"/>
    <n v="0"/>
    <n v="0"/>
    <n v="0"/>
    <n v="234.76584000000008"/>
    <n v="0"/>
    <n v="8630"/>
    <n v="0"/>
    <n v="0"/>
    <n v="55"/>
    <n v="0"/>
    <n v="354.36808054607491"/>
    <n v="33.485714285714288"/>
    <n v="6.1636954784088632E-3"/>
    <n v="1"/>
    <m/>
    <s v="Sahibpur Kamal"/>
    <m/>
    <n v="0"/>
  </r>
  <r>
    <s v="Munger"/>
    <s v="17-23 Apr"/>
    <n v="1011"/>
    <s v="Sahibpur Kamal"/>
    <x v="399"/>
    <s v="Gomukh Durgapur"/>
    <s v="MPG"/>
    <s v="Direct"/>
    <n v="393.2"/>
    <n v="15663.76"/>
    <n v="425.6"/>
    <n v="17459.426925956403"/>
    <n v="2.4"/>
    <n v="99.015855840000015"/>
    <n v="428"/>
    <n v="17558.442781796402"/>
    <n v="15663.76"/>
    <n v="0"/>
    <n v="99.015855840000015"/>
    <n v="1894.6827817964022"/>
    <n v="0"/>
    <n v="54.121349999999936"/>
    <n v="0"/>
    <n v="15511"/>
    <n v="0"/>
    <n v="0"/>
    <n v="0"/>
    <n v="0"/>
    <n v="244.4375161749746"/>
    <n v="56.171428571428571"/>
    <n v="-0.12095964071183433"/>
    <n v="4"/>
    <m/>
    <s v="Sahibpur Kamal"/>
    <m/>
    <n v="0"/>
  </r>
  <r>
    <s v="Munger"/>
    <s v="17-23 Apr"/>
    <n v="1054"/>
    <s v="Alauli "/>
    <x v="401"/>
    <s v="Gomukh Koniya"/>
    <s v="MPG"/>
    <s v="Direct"/>
    <n v="463.2"/>
    <n v="16747.949999999997"/>
    <n v="511.2"/>
    <n v="19715.878710000001"/>
    <n v="10"/>
    <n v="379.51079759999999"/>
    <n v="521.20000000000005"/>
    <n v="20095.389507600001"/>
    <n v="16747.949999999997"/>
    <n v="0"/>
    <n v="379.51079759999999"/>
    <n v="3347.4395076000037"/>
    <n v="0"/>
    <n v="0"/>
    <n v="0"/>
    <n v="16368"/>
    <n v="0"/>
    <n v="0"/>
    <n v="0"/>
    <n v="0"/>
    <n v="171.23983419689122"/>
    <n v="66.171428571428564"/>
    <n v="-0.19987159667899679"/>
    <n v="2"/>
    <m/>
    <s v="Alauli "/>
    <m/>
    <n v="0"/>
  </r>
  <r>
    <s v="Munger"/>
    <s v="17-23 Apr"/>
    <n v="1011"/>
    <s v="Sahibpur Kamal"/>
    <x v="402"/>
    <s v="GOMUKH ROHUA"/>
    <s v="MPG"/>
    <s v="Direct"/>
    <n v="442.09999999999997"/>
    <n v="16262.9"/>
    <n v="442.43"/>
    <n v="15993.668685159002"/>
    <n v="7.04"/>
    <n v="259.68742074000005"/>
    <n v="449.47"/>
    <n v="16253.356105899002"/>
    <n v="16253.356105899002"/>
    <n v="0"/>
    <n v="259.68742074000005"/>
    <n v="0"/>
    <n v="0"/>
    <n v="0"/>
    <n v="0"/>
    <n v="15993"/>
    <n v="0"/>
    <n v="0"/>
    <n v="10"/>
    <n v="0"/>
    <n v="189.73996426147937"/>
    <n v="63.157142857142851"/>
    <n v="5.8685069089756017E-4"/>
    <n v="14"/>
    <m/>
    <s v="Sahibpur Kamal"/>
    <m/>
    <n v="0"/>
  </r>
  <r>
    <s v="Munger"/>
    <s v="17-23 Apr"/>
    <n v="1011"/>
    <s v="Sahibpur Kamal"/>
    <x v="403"/>
    <s v="GOMUKH LAXMIPUR"/>
    <s v="MPG"/>
    <s v="Direct"/>
    <n v="427.2"/>
    <n v="18450.829999999998"/>
    <n v="409.4"/>
    <n v="17434.906074312003"/>
    <n v="3"/>
    <n v="130.28736600000002"/>
    <n v="412.4"/>
    <n v="17565.193440312003"/>
    <n v="17565.193440312003"/>
    <n v="0"/>
    <n v="130.28736600000002"/>
    <n v="0"/>
    <n v="0"/>
    <n v="0"/>
    <n v="0"/>
    <n v="17436"/>
    <n v="0"/>
    <n v="0"/>
    <n v="885"/>
    <n v="0"/>
    <n v="235.64543183520601"/>
    <n v="61.028571428571425"/>
    <n v="4.7999822213309382E-2"/>
    <n v="12"/>
    <m/>
    <s v="Sahibpur Kamal"/>
    <m/>
    <n v="0"/>
  </r>
  <r>
    <s v="Munger"/>
    <s v="17-23 Apr"/>
    <n v="1054"/>
    <s v="Alauli "/>
    <x v="404"/>
    <s v="GOMUKH BACHOTA"/>
    <s v="MPG"/>
    <s v="Direct"/>
    <n v="136"/>
    <n v="5738.24"/>
    <n v="135.72"/>
    <n v="5432.2384684788003"/>
    <n v="0.85"/>
    <n v="32.513035262400003"/>
    <n v="136.57"/>
    <n v="5464.7515037412004"/>
    <n v="5464.7515037412004"/>
    <n v="0"/>
    <n v="32.513035262400003"/>
    <n v="0"/>
    <n v="0"/>
    <n v="38.448428571428636"/>
    <n v="0"/>
    <n v="5394"/>
    <n v="0"/>
    <n v="0"/>
    <n v="273"/>
    <n v="0"/>
    <n v="475.93637647058813"/>
    <n v="19.428571428571427"/>
    <n v="4.7660693219314529E-2"/>
    <n v="3"/>
    <m/>
    <s v="Alauli "/>
    <m/>
    <n v="0"/>
  </r>
  <r>
    <s v="Munger"/>
    <s v="17-23 Apr"/>
    <n v="1054"/>
    <s v="Alauli "/>
    <x v="405"/>
    <s v="GOMUKH CHATAR"/>
    <s v="MPG"/>
    <s v="Direct"/>
    <n v="120.5"/>
    <n v="5003.369999999999"/>
    <n v="120.5"/>
    <n v="5036.4330767520005"/>
    <n v="0"/>
    <n v="0"/>
    <n v="120.5"/>
    <n v="5036.4330767520005"/>
    <n v="5003.369999999999"/>
    <n v="0"/>
    <n v="0"/>
    <n v="33.063076752001507"/>
    <n v="0"/>
    <n v="0"/>
    <n v="0"/>
    <n v="5003"/>
    <n v="0"/>
    <n v="0"/>
    <n v="0"/>
    <n v="0"/>
    <n v="481.23699834024893"/>
    <n v="17.214285714285715"/>
    <n v="-6.6081614495832833E-3"/>
    <n v="1"/>
    <m/>
    <s v="Alauli "/>
    <m/>
    <n v="0"/>
  </r>
  <r>
    <s v="Munger"/>
    <s v="17-23 Apr"/>
    <n v="1054"/>
    <s v="Alauli "/>
    <x v="406"/>
    <s v="GOMUKH BATHNAMA"/>
    <s v="MPG"/>
    <s v="Direct"/>
    <n v="2933.1"/>
    <n v="122818.37999999999"/>
    <n v="3025.6500000000005"/>
    <n v="128403.22087156693"/>
    <n v="1.92"/>
    <n v="78.399560448000017"/>
    <n v="3027.5700000000006"/>
    <n v="128481.62043201493"/>
    <n v="122818.37999999999"/>
    <n v="0"/>
    <n v="78.399560448000017"/>
    <n v="5663.2404320149362"/>
    <n v="0"/>
    <n v="0"/>
    <n v="0"/>
    <n v="122740"/>
    <n v="0"/>
    <n v="0"/>
    <n v="0"/>
    <n v="0"/>
    <n v="0"/>
    <n v="0"/>
    <n v="-4.61106915106268E-2"/>
    <n v="14"/>
    <m/>
    <s v="Alauli "/>
    <m/>
    <n v="0"/>
  </r>
  <r>
    <s v="Munger"/>
    <s v="17-23 Apr"/>
    <n v="1054"/>
    <s v="Alauli "/>
    <x v="407"/>
    <s v="GOMUKH TILAK NAGAR"/>
    <s v="MPG"/>
    <s v="Direct"/>
    <n v="275.3"/>
    <n v="11382.21"/>
    <n v="270.51"/>
    <n v="11924.448335797253"/>
    <n v="5.29"/>
    <n v="232.87942961328002"/>
    <n v="275.8"/>
    <n v="12157.327765410533"/>
    <n v="11382.21"/>
    <n v="0"/>
    <n v="232.87942961328002"/>
    <n v="775.11776541053405"/>
    <n v="0"/>
    <n v="0"/>
    <n v="0"/>
    <n v="11149"/>
    <n v="0"/>
    <n v="0"/>
    <n v="0"/>
    <n v="0"/>
    <n v="351.18231652742458"/>
    <n v="39.328571428571429"/>
    <n v="-6.8099056809752603E-2"/>
    <n v="11"/>
    <m/>
    <s v="Alauli "/>
    <m/>
    <n v="0"/>
  </r>
  <r>
    <s v="Munger"/>
    <s v="17-23 Apr"/>
    <n v="1011"/>
    <s v="Sahibpur Kamal"/>
    <x v="408"/>
    <s v="Gomukh Thatha Purvi"/>
    <s v="MPG"/>
    <s v="Direct"/>
    <n v="458.80000000000007"/>
    <n v="16728.12"/>
    <n v="521.64"/>
    <n v="19982.22611625621"/>
    <n v="0"/>
    <n v="0"/>
    <n v="521.64"/>
    <n v="19982.22611625621"/>
    <n v="16728.12"/>
    <n v="0"/>
    <n v="0"/>
    <n v="3254.106116256211"/>
    <n v="0"/>
    <n v="0"/>
    <n v="0"/>
    <n v="16728"/>
    <n v="0"/>
    <n v="0"/>
    <n v="0"/>
    <n v="0"/>
    <n v="175.88589991281592"/>
    <n v="65.542857142857159"/>
    <n v="-0.1945290992805056"/>
    <n v="15"/>
    <m/>
    <s v="Sahibpur Kamal"/>
    <m/>
    <n v="0"/>
  </r>
  <r>
    <s v="Munger"/>
    <s v="17-23 Apr"/>
    <n v="1011"/>
    <s v="Sahibpur Kamal"/>
    <x v="409"/>
    <s v="Gomukh Rahimpur Dakshin"/>
    <s v="MPG"/>
    <s v="Direct"/>
    <n v="4330.3"/>
    <n v="172617.22999999998"/>
    <n v="990.84000000000015"/>
    <n v="47311.504386915411"/>
    <n v="3340.9"/>
    <n v="128686.72508165202"/>
    <n v="4331.74"/>
    <n v="175998.22946856744"/>
    <n v="172617.22999999998"/>
    <n v="0"/>
    <n v="330.66960696000007"/>
    <n v="3380.999468567461"/>
    <n v="0"/>
    <n v="531.19430163934476"/>
    <n v="0"/>
    <n v="43398"/>
    <n v="128357"/>
    <n v="0"/>
    <n v="0"/>
    <n v="0"/>
    <n v="0"/>
    <n v="0"/>
    <n v="-1.9586685921025738E-2"/>
    <n v="12"/>
    <m/>
    <s v="Sahibpur Kamal"/>
    <m/>
    <n v="0"/>
  </r>
  <r>
    <s v="Munger"/>
    <s v="17-23 Apr"/>
    <n v="1054"/>
    <s v="Alauli "/>
    <x v="410"/>
    <s v="GOMUKH MORKAHI"/>
    <s v="MPG"/>
    <s v="Direct"/>
    <n v="347.4"/>
    <n v="13979.029999999999"/>
    <n v="345.60999999999996"/>
    <n v="14187.166171466402"/>
    <n v="1.4300000000000004"/>
    <n v="58.525119180000011"/>
    <n v="347.03999999999996"/>
    <n v="14245.691290646402"/>
    <n v="13979.029999999999"/>
    <n v="0"/>
    <n v="58.525119180000011"/>
    <n v="266.66129064640336"/>
    <n v="0"/>
    <n v="0"/>
    <n v="0"/>
    <n v="13921"/>
    <n v="0"/>
    <n v="0"/>
    <n v="0"/>
    <n v="0"/>
    <n v="283.76545641911343"/>
    <n v="49.628571428571426"/>
    <n v="-1.907580788126239E-2"/>
    <n v="4"/>
    <m/>
    <s v="Alauli "/>
    <m/>
    <n v="0"/>
  </r>
  <r>
    <s v="Munger"/>
    <s v="17-23 Apr"/>
    <n v="1055"/>
    <s v="Matihani"/>
    <x v="411"/>
    <s v="GOMUKH HANSPUR"/>
    <s v="MPG"/>
    <s v="Direct"/>
    <n v="166.9"/>
    <n v="7266.7500000000018"/>
    <n v="166.92"/>
    <n v="8001.6105402625008"/>
    <n v="1.5999999999999999"/>
    <n v="102.8767256542"/>
    <n v="168.51999999999998"/>
    <n v="8104.4872659167004"/>
    <n v="7266.7500000000018"/>
    <n v="0"/>
    <n v="102.8767256542"/>
    <n v="837.73726591669856"/>
    <n v="2056"/>
    <n v="0"/>
    <n v="0"/>
    <n v="5108"/>
    <n v="0"/>
    <n v="0"/>
    <n v="0"/>
    <n v="0"/>
    <n v="464.21862492510496"/>
    <n v="23.842857142857145"/>
    <n v="-0.1152836227910274"/>
    <n v="4"/>
    <m/>
    <s v="Matihani"/>
    <m/>
    <n v="0"/>
  </r>
  <r>
    <s v="Munger"/>
    <s v="17-23 Apr"/>
    <n v="1055"/>
    <s v="Matihani"/>
    <x v="412"/>
    <s v="GOMUKH NAYAGAON 2"/>
    <s v="MPG"/>
    <s v="Direct"/>
    <n v="239.79999999999998"/>
    <n v="12055.81"/>
    <n v="236.82"/>
    <n v="12067.807300225399"/>
    <n v="4.9399999999999995"/>
    <n v="291.40326813104008"/>
    <n v="241.76"/>
    <n v="12359.210568356439"/>
    <n v="12055.81"/>
    <n v="0"/>
    <n v="291.40326813104008"/>
    <n v="303.40056835643918"/>
    <n v="0"/>
    <n v="0"/>
    <n v="0"/>
    <n v="11764"/>
    <n v="0"/>
    <n v="0"/>
    <n v="0"/>
    <n v="0"/>
    <n v="462.72591843202673"/>
    <n v="34.257142857142853"/>
    <n v="-2.5166336260810281E-2"/>
    <n v="5"/>
    <m/>
    <s v="Matihani"/>
    <m/>
    <n v="0"/>
  </r>
  <r>
    <s v="Munger"/>
    <s v="17-23 Apr"/>
    <n v="1054"/>
    <s v="Alauli "/>
    <x v="414"/>
    <s v="GOMUKH LABHGAON"/>
    <s v="MPG"/>
    <s v="Direct"/>
    <n v="378.79999999999995"/>
    <n v="13746.689999999999"/>
    <n v="380.46"/>
    <n v="13672.027922256"/>
    <n v="0"/>
    <n v="0"/>
    <n v="380.46"/>
    <n v="13672.027922256"/>
    <n v="13672.027922256"/>
    <n v="0"/>
    <n v="0"/>
    <n v="0"/>
    <n v="0"/>
    <n v="11.589071186440677"/>
    <n v="0"/>
    <n v="13660"/>
    <n v="0"/>
    <n v="0"/>
    <n v="75"/>
    <n v="0"/>
    <n v="233.12760443505809"/>
    <n v="54.114285714285707"/>
    <n v="5.4312767469113258E-3"/>
    <n v="2"/>
    <m/>
    <s v="Alauli "/>
    <m/>
    <n v="0"/>
  </r>
  <r>
    <s v="Munger"/>
    <s v="17-23 Apr"/>
    <n v="1054"/>
    <s v="Alauli "/>
    <x v="415"/>
    <s v="GOMUKH CHANDPURA"/>
    <s v="MPG"/>
    <s v="Direct"/>
    <n v="562.9"/>
    <n v="20504.72"/>
    <n v="564.79999999999995"/>
    <n v="20575.0440423"/>
    <n v="0"/>
    <n v="0"/>
    <n v="564.79999999999995"/>
    <n v="20575.0440423"/>
    <n v="20504.72"/>
    <n v="0"/>
    <n v="0"/>
    <n v="70.324042299998837"/>
    <n v="0"/>
    <n v="0"/>
    <n v="0"/>
    <n v="20505"/>
    <n v="0"/>
    <n v="0"/>
    <n v="0"/>
    <n v="0"/>
    <n v="99.882647432936608"/>
    <n v="80.414285714285711"/>
    <n v="-3.4296514314752329E-3"/>
    <n v="5"/>
    <m/>
    <s v="Alauli "/>
    <m/>
    <n v="0"/>
  </r>
  <r>
    <s v="Munger"/>
    <s v="17-23 Apr"/>
    <n v="1054"/>
    <s v="Alauli "/>
    <x v="416"/>
    <s v="GOMUKH BADIL TOL"/>
    <s v="MPG"/>
    <s v="Direct"/>
    <n v="613.1"/>
    <n v="23302.720000000001"/>
    <n v="426.57"/>
    <n v="16723.026344248199"/>
    <n v="186.97"/>
    <n v="6940.7100542442804"/>
    <n v="613.54"/>
    <n v="23663.736398492481"/>
    <n v="23302.720000000001"/>
    <n v="0"/>
    <n v="618.69064078278006"/>
    <n v="361.01639849248022"/>
    <n v="0"/>
    <n v="0"/>
    <n v="0"/>
    <n v="16362"/>
    <n v="6322"/>
    <n v="0"/>
    <n v="0"/>
    <n v="0"/>
    <n v="66.057947088566294"/>
    <n v="87.585714285714289"/>
    <n v="-1.5492457468161665E-2"/>
    <n v="14"/>
    <m/>
    <s v="Alauli "/>
    <m/>
    <n v="0"/>
  </r>
  <r>
    <s v="Munger"/>
    <s v="17-23 Apr"/>
    <n v="1054"/>
    <s v="Alauli "/>
    <x v="417"/>
    <s v="GOMUKH TRIBHUVAN TOLA"/>
    <s v="MPG"/>
    <s v="Direct"/>
    <n v="305.89999999999998"/>
    <n v="11325.369999999999"/>
    <n v="315"/>
    <n v="11888.98945640111"/>
    <n v="0"/>
    <n v="0"/>
    <n v="315"/>
    <n v="11888.98945640111"/>
    <n v="11325.369999999999"/>
    <n v="0"/>
    <n v="0"/>
    <n v="563.61945640111117"/>
    <n v="0"/>
    <n v="0"/>
    <n v="0"/>
    <n v="11325"/>
    <n v="0"/>
    <n v="0"/>
    <n v="0"/>
    <n v="0"/>
    <n v="291.81616979405032"/>
    <n v="43.699999999999996"/>
    <n v="-4.9766096507320397E-2"/>
    <n v="13"/>
    <m/>
    <s v="Alauli "/>
    <m/>
    <n v="0"/>
  </r>
  <r>
    <s v="Munger"/>
    <s v="17-23 Apr"/>
    <n v="1054"/>
    <s v="Alauli "/>
    <x v="418"/>
    <s v="GOMUKH SANTOSHPUL"/>
    <s v="MPG"/>
    <s v="Direct"/>
    <n v="875.2"/>
    <n v="37699.550000000003"/>
    <n v="29.2"/>
    <n v="1270.1656106864002"/>
    <n v="846"/>
    <n v="36438.107439984"/>
    <n v="875.2"/>
    <n v="37708.273050670403"/>
    <n v="37699.550000000003"/>
    <n v="0"/>
    <n v="0"/>
    <n v="8.7230506703999708"/>
    <n v="0"/>
    <n v="90.252720000000025"/>
    <n v="0"/>
    <n v="1171"/>
    <n v="36438"/>
    <n v="0"/>
    <n v="0"/>
    <n v="0"/>
    <n v="0"/>
    <n v="0"/>
    <n v="-2.3138341625828345E-4"/>
    <n v="6"/>
    <m/>
    <s v="Alauli "/>
    <m/>
    <n v="0"/>
  </r>
  <r>
    <s v="Munger"/>
    <s v="17-23 Apr"/>
    <n v="1054"/>
    <s v="Alauli "/>
    <x v="419"/>
    <s v="GOMUKH AHUNA"/>
    <s v="MPG"/>
    <s v="Direct"/>
    <n v="414.8"/>
    <n v="14657.63"/>
    <n v="417.2600000000001"/>
    <n v="14832.570946644002"/>
    <n v="0"/>
    <n v="0"/>
    <n v="417.2600000000001"/>
    <n v="14832.570946644002"/>
    <n v="14657.63"/>
    <n v="0"/>
    <n v="0"/>
    <n v="174.94094664400291"/>
    <n v="0"/>
    <n v="0"/>
    <n v="0"/>
    <n v="14658"/>
    <n v="0"/>
    <n v="0"/>
    <n v="0"/>
    <n v="0"/>
    <n v="201.56008081002892"/>
    <n v="59.25714285714286"/>
    <n v="-1.1935145493780571E-2"/>
    <n v="1"/>
    <m/>
    <s v="Alauli "/>
    <m/>
    <n v="0"/>
  </r>
  <r>
    <s v="Munger"/>
    <s v="17-23 Apr"/>
    <n v="1055"/>
    <s v="Matihani"/>
    <x v="420"/>
    <s v="GOMUKH SHADIPUR"/>
    <s v="MPG"/>
    <s v="Direct"/>
    <n v="970.69999999999982"/>
    <n v="38599.299999999996"/>
    <n v="977.56999999999994"/>
    <n v="38739.652588476703"/>
    <n v="8.7900000000000009"/>
    <n v="325.10962004400005"/>
    <n v="986.3599999999999"/>
    <n v="39064.762208520704"/>
    <n v="38599.299999999996"/>
    <n v="0"/>
    <n v="325.10962004400005"/>
    <n v="465.46220852070837"/>
    <n v="5930"/>
    <n v="0"/>
    <n v="0"/>
    <n v="32344"/>
    <n v="0"/>
    <n v="0"/>
    <n v="0"/>
    <n v="0"/>
    <n v="0"/>
    <n v="0"/>
    <n v="-1.2058825121717451E-2"/>
    <n v="10"/>
    <m/>
    <s v="Matihani"/>
    <m/>
    <n v="0"/>
  </r>
  <r>
    <s v="Munger"/>
    <s v="17-23 Apr"/>
    <n v="1055"/>
    <s v="Matihani"/>
    <x v="421"/>
    <s v="GOMUKH ASHRAPHA DIYARA"/>
    <s v="MPG"/>
    <s v="Direct"/>
    <n v="685.5"/>
    <n v="27604.29"/>
    <n v="684.05"/>
    <n v="27156.658547549301"/>
    <n v="8"/>
    <n v="336.88401128052004"/>
    <n v="692.05"/>
    <n v="27493.54255882982"/>
    <n v="27493.54255882982"/>
    <n v="0"/>
    <n v="336.88401128052004"/>
    <n v="0"/>
    <n v="2700"/>
    <n v="0"/>
    <n v="0"/>
    <n v="24457"/>
    <n v="0"/>
    <n v="0"/>
    <n v="110"/>
    <n v="0"/>
    <n v="11.677963676148787"/>
    <n v="97.928571428571431"/>
    <n v="4.0119648493107604E-3"/>
    <n v="13"/>
    <m/>
    <s v="Matihani"/>
    <m/>
    <n v="0"/>
  </r>
  <r>
    <s v="Munger"/>
    <s v="17-23 Apr"/>
    <n v="1055"/>
    <s v="Matihani"/>
    <x v="422"/>
    <s v="GOMUKH MANIAPPA"/>
    <s v="MPG"/>
    <s v="Direct"/>
    <n v="1125.3"/>
    <n v="43207.98"/>
    <n v="1129.1400000000001"/>
    <n v="42943.667940934203"/>
    <n v="4.26"/>
    <n v="150.9975395676"/>
    <n v="1133.4000000000001"/>
    <n v="43094.665480501804"/>
    <n v="43094.665480501804"/>
    <n v="0"/>
    <n v="150.9975395676"/>
    <n v="0"/>
    <n v="0"/>
    <n v="0"/>
    <n v="0"/>
    <n v="42942"/>
    <n v="0"/>
    <n v="0"/>
    <n v="115"/>
    <n v="0"/>
    <n v="0"/>
    <n v="0"/>
    <n v="2.6225368438468756E-3"/>
    <n v="12"/>
    <m/>
    <s v="Matihani"/>
    <m/>
    <n v="0"/>
  </r>
  <r>
    <s v="Munger"/>
    <s v="17-23 Apr"/>
    <n v="1054"/>
    <s v="Alauli "/>
    <x v="423"/>
    <s v="GOMUKH D SANJHAUTI"/>
    <s v="MPG"/>
    <s v="Direct"/>
    <n v="764.30000000000007"/>
    <n v="28050.65"/>
    <n v="1085"/>
    <n v="43145.40582"/>
    <n v="0"/>
    <n v="0"/>
    <n v="1085"/>
    <n v="43145.40582"/>
    <n v="28050.65"/>
    <n v="0"/>
    <n v="0"/>
    <n v="15094.755819999998"/>
    <n v="0"/>
    <n v="0"/>
    <n v="0"/>
    <n v="28051"/>
    <n v="0"/>
    <n v="0"/>
    <n v="0"/>
    <n v="0"/>
    <n v="0"/>
    <n v="0"/>
    <n v="-0.53812499246898016"/>
    <n v="3"/>
    <m/>
    <s v="Alauli "/>
    <m/>
    <n v="0"/>
  </r>
  <r>
    <s v="Munger"/>
    <s v="17-23 Apr"/>
    <n v="1054"/>
    <s v="Alauli "/>
    <x v="424"/>
    <s v="GOMUKH DHUSMURI BISHANPUR"/>
    <s v="MPG"/>
    <s v="Direct"/>
    <n v="287.60000000000002"/>
    <n v="11441.54"/>
    <n v="371.73999999999995"/>
    <n v="15446.139908760002"/>
    <n v="0"/>
    <n v="0"/>
    <n v="371.73999999999995"/>
    <n v="15446.139908760002"/>
    <n v="11441.54"/>
    <n v="0"/>
    <n v="0"/>
    <n v="4004.5999087600012"/>
    <n v="0"/>
    <n v="0"/>
    <n v="0"/>
    <n v="11442"/>
    <n v="0"/>
    <n v="0"/>
    <n v="0"/>
    <n v="0"/>
    <n v="328.12872712100142"/>
    <n v="41.085714285714289"/>
    <n v="-0.35000532347568603"/>
    <n v="1"/>
    <m/>
    <s v="Alauli "/>
    <m/>
    <n v="0"/>
  </r>
  <r>
    <s v="Munger"/>
    <s v="17-23 Apr"/>
    <n v="1054"/>
    <s v="Alauli "/>
    <x v="425"/>
    <s v="GOMUKH ANANDPUR PARAS"/>
    <s v="MPG"/>
    <s v="Direct"/>
    <n v="2174.1"/>
    <n v="86123.47"/>
    <n v="2174.1"/>
    <n v="86122.178144640013"/>
    <n v="0"/>
    <n v="0"/>
    <n v="2174.1"/>
    <n v="86122.178144640013"/>
    <n v="86122.178144640013"/>
    <n v="0"/>
    <n v="0"/>
    <n v="0"/>
    <n v="0"/>
    <n v="771.42758823529425"/>
    <n v="0"/>
    <n v="85351"/>
    <n v="0"/>
    <n v="0"/>
    <n v="1"/>
    <n v="0"/>
    <n v="0"/>
    <n v="0"/>
    <n v="1.5000038433058997E-5"/>
    <n v="2"/>
    <m/>
    <s v="Alauli "/>
    <m/>
    <n v="0"/>
  </r>
  <r>
    <s v="Munger"/>
    <s v="17-23 Apr"/>
    <n v="1054"/>
    <s v="Alauli "/>
    <x v="426"/>
    <s v="Gomukh Bishanpur"/>
    <s v="MPG"/>
    <s v="Direct"/>
    <n v="288.2"/>
    <n v="11061.820000000002"/>
    <n v="288.14999999999998"/>
    <n v="11792.22347896011"/>
    <n v="0"/>
    <n v="0"/>
    <n v="288.14999999999998"/>
    <n v="11792.22347896011"/>
    <n v="11061.820000000002"/>
    <n v="0"/>
    <n v="0"/>
    <n v="730.40347896010826"/>
    <n v="0"/>
    <n v="0"/>
    <n v="0"/>
    <n v="11062"/>
    <n v="0"/>
    <n v="0"/>
    <n v="0"/>
    <n v="0"/>
    <n v="316.11779847328256"/>
    <n v="41.171428571428571"/>
    <n v="-6.6029231985343106E-2"/>
    <n v="2"/>
    <m/>
    <s v="Alauli "/>
    <m/>
    <n v="0"/>
  </r>
  <r>
    <s v="Munger"/>
    <s v="17-23 Apr"/>
    <n v="1054"/>
    <s v="Alauli "/>
    <x v="427"/>
    <s v="GOMUKH BISHANPUR 2"/>
    <s v="MPG"/>
    <s v="Direct"/>
    <n v="465.4"/>
    <n v="18915.3"/>
    <n v="469.08000000000004"/>
    <n v="19079.95309599963"/>
    <n v="0"/>
    <n v="0"/>
    <n v="469.08000000000004"/>
    <n v="19079.95309599963"/>
    <n v="18915.3"/>
    <n v="0"/>
    <n v="0"/>
    <n v="164.65309599963075"/>
    <n v="0"/>
    <n v="0"/>
    <n v="0"/>
    <n v="18915"/>
    <n v="0"/>
    <n v="0"/>
    <n v="0"/>
    <n v="0"/>
    <n v="190.69743790287927"/>
    <n v="66.48571428571428"/>
    <n v="-8.7047573128436109E-3"/>
    <n v="9"/>
    <m/>
    <s v="Alauli "/>
    <m/>
    <n v="0"/>
  </r>
  <r>
    <s v="Munger"/>
    <s v="17-23 Apr"/>
    <n v="1054"/>
    <s v="Alauli "/>
    <x v="429"/>
    <s v="GOMUKH GHAMARIYA"/>
    <s v="MPG"/>
    <s v="Direct"/>
    <n v="239.79999999999998"/>
    <n v="10349.429999999998"/>
    <n v="236.78"/>
    <n v="10465.37254520748"/>
    <n v="3.92"/>
    <n v="178.8660518616"/>
    <n v="240.7"/>
    <n v="10644.238597069079"/>
    <n v="10349.429999999998"/>
    <n v="0"/>
    <n v="178.8660518616"/>
    <n v="294.80859706908086"/>
    <n v="0"/>
    <n v="0"/>
    <n v="0"/>
    <n v="10171"/>
    <n v="0"/>
    <n v="0"/>
    <n v="0"/>
    <n v="0"/>
    <n v="397.23166688907429"/>
    <n v="34.257142857142853"/>
    <n v="-2.8485491188314806E-2"/>
    <n v="6"/>
    <m/>
    <s v="Alauli "/>
    <m/>
    <n v="0"/>
  </r>
  <r>
    <s v="Munger"/>
    <s v="17-23 Apr"/>
    <n v="1054"/>
    <s v="Alauli "/>
    <x v="430"/>
    <s v="GOMUKH MEGHAUMA"/>
    <s v="MPG"/>
    <s v="Direct"/>
    <n v="1114.6000000000001"/>
    <n v="44969.149999999994"/>
    <n v="1078.2300000000002"/>
    <n v="44993.076245108263"/>
    <n v="12.530000000000001"/>
    <n v="556.54068735600003"/>
    <n v="1090.7600000000002"/>
    <n v="45549.616932464261"/>
    <n v="44969.149999999994"/>
    <n v="0"/>
    <n v="556.54068735600003"/>
    <n v="580.4669324642673"/>
    <n v="0"/>
    <n v="0"/>
    <n v="0"/>
    <n v="44413"/>
    <n v="0"/>
    <n v="0"/>
    <n v="0"/>
    <n v="0"/>
    <n v="0"/>
    <n v="0"/>
    <n v="-1.2908114395408126E-2"/>
    <n v="22"/>
    <m/>
    <s v="Alauli "/>
    <m/>
    <n v="0"/>
  </r>
  <r>
    <s v="Munger"/>
    <s v="17-23 Apr"/>
    <n v="1054"/>
    <s v="Alauli "/>
    <x v="1058"/>
    <s v="GOMUKH AURA"/>
    <s v="MPG"/>
    <s v="Direct"/>
    <n v="307.89999999999998"/>
    <n v="12807.66"/>
    <n v="315.3"/>
    <n v="13161.936486600001"/>
    <n v="0"/>
    <n v="0"/>
    <n v="315.3"/>
    <n v="13161.936486600001"/>
    <n v="12807.66"/>
    <n v="0"/>
    <n v="0"/>
    <n v="354.27648660000159"/>
    <n v="0"/>
    <n v="0"/>
    <n v="0"/>
    <n v="12808"/>
    <n v="0"/>
    <n v="0"/>
    <n v="0"/>
    <n v="0"/>
    <n v="326.20224007794747"/>
    <n v="43.98571428571428"/>
    <n v="-2.7661296958226687E-2"/>
    <n v="3"/>
    <m/>
    <s v="Alauli "/>
    <m/>
    <n v="0"/>
  </r>
  <r>
    <s v="Munger"/>
    <s v="17-23 Apr"/>
    <n v="1054"/>
    <s v="Alauli "/>
    <x v="431"/>
    <s v="GOMUKH BEHORBA"/>
    <s v="MPG"/>
    <s v="Direct"/>
    <n v="1083.73"/>
    <n v="39809.840000000004"/>
    <n v="1694.5699999999997"/>
    <n v="66139.061191295419"/>
    <n v="0"/>
    <n v="0"/>
    <n v="1694.5699999999997"/>
    <n v="66139.061191295419"/>
    <n v="39809.840000000004"/>
    <n v="0"/>
    <n v="0"/>
    <n v="26329.221191295415"/>
    <n v="0"/>
    <n v="0"/>
    <n v="0"/>
    <n v="39810"/>
    <n v="0"/>
    <n v="0"/>
    <n v="0"/>
    <n v="0"/>
    <n v="0"/>
    <n v="0"/>
    <n v="-0.66137470513057606"/>
    <n v="6"/>
    <m/>
    <s v="Alauli "/>
    <m/>
    <n v="0"/>
  </r>
  <r>
    <s v="Munger"/>
    <s v="17-23 Apr"/>
    <n v="1011"/>
    <s v="Sahibpur Kamal"/>
    <x v="433"/>
    <s v="GOMUKH SAIDPUR SAMASTIPUR"/>
    <s v="MPG"/>
    <s v="Direct"/>
    <n v="1405.3999999999999"/>
    <n v="50773.390000000014"/>
    <n v="1404"/>
    <n v="50966.71968960001"/>
    <n v="0"/>
    <n v="0"/>
    <n v="1404"/>
    <n v="50966.71968960001"/>
    <n v="50773.390000000014"/>
    <n v="0"/>
    <n v="0"/>
    <n v="193.32968959999562"/>
    <n v="0"/>
    <n v="1400.0112193548387"/>
    <n v="0"/>
    <n v="49373"/>
    <n v="0"/>
    <n v="0"/>
    <n v="0"/>
    <n v="0"/>
    <n v="0"/>
    <n v="0"/>
    <n v="-3.8076970948757913E-3"/>
    <n v="2"/>
    <m/>
    <s v="Sahibpur Kamal"/>
    <m/>
    <n v="0"/>
  </r>
  <r>
    <s v="Munger"/>
    <s v="17-23 Apr"/>
    <n v="1054"/>
    <s v="Alauli "/>
    <x v="434"/>
    <s v="GOMUKH SAHARBANNI"/>
    <s v="MPG"/>
    <s v="Direct"/>
    <n v="37.700000000000003"/>
    <n v="1599.92"/>
    <n v="98"/>
    <n v="3932.6474880000005"/>
    <n v="0"/>
    <n v="0"/>
    <n v="98"/>
    <n v="3932.6474880000005"/>
    <n v="1599.92"/>
    <n v="0"/>
    <n v="0"/>
    <n v="2332.7274880000004"/>
    <n v="0"/>
    <n v="183.60007499999995"/>
    <n v="0"/>
    <n v="1416"/>
    <n v="0"/>
    <n v="0"/>
    <n v="0"/>
    <n v="0"/>
    <n v="562.13634801061005"/>
    <n v="5.3857142857142861"/>
    <n v="-1.4580275813790691"/>
    <n v="1"/>
    <m/>
    <s v="Alauli "/>
    <m/>
    <n v="0"/>
  </r>
  <r>
    <s v="Munger"/>
    <s v="17-23 Apr"/>
    <n v="1054"/>
    <s v="Alauli "/>
    <x v="435"/>
    <s v="GOMUKH PHULTAURA"/>
    <s v="MPG"/>
    <s v="Direct"/>
    <n v="442.5"/>
    <n v="16729.41"/>
    <n v="124.9"/>
    <n v="5526.6685355974605"/>
    <n v="339.21000000000004"/>
    <n v="14582.9563883971"/>
    <n v="464.11"/>
    <n v="20109.624923994561"/>
    <n v="16729.41"/>
    <n v="0"/>
    <n v="0"/>
    <n v="3380.2149239945611"/>
    <n v="0"/>
    <n v="0"/>
    <n v="0"/>
    <n v="2146"/>
    <n v="14583"/>
    <n v="0"/>
    <n v="0"/>
    <n v="0"/>
    <n v="194.70386779661018"/>
    <n v="63.214285714285715"/>
    <n v="-0.20205224954105142"/>
    <n v="4"/>
    <m/>
    <s v="Alauli "/>
    <m/>
    <n v="0"/>
  </r>
  <r>
    <s v="Munger"/>
    <s v="17-23 Apr"/>
    <n v="1011"/>
    <s v="Sahibpur Kamal"/>
    <x v="436"/>
    <s v="Jangli Tol Vlc "/>
    <s v="vlc"/>
    <s v="Indirect"/>
    <n v="824.10000000000014"/>
    <n v="31032.389999999996"/>
    <n v="0"/>
    <n v="0"/>
    <n v="0"/>
    <n v="0"/>
    <n v="0"/>
    <n v="0"/>
    <n v="31032.389999999996"/>
    <n v="0"/>
    <n v="0"/>
    <n v="0"/>
    <n v="0"/>
    <n v="384.27040645161281"/>
    <n v="0"/>
    <n v="0"/>
    <n v="0"/>
    <n v="30648.119593548385"/>
    <n v="0"/>
    <n v="0"/>
    <n v="0"/>
    <n v="0"/>
    <n v="0"/>
    <n v="0"/>
    <m/>
    <s v="Sahibpur Kamal"/>
    <m/>
    <n v="0"/>
  </r>
  <r>
    <s v="Munger"/>
    <s v="17-23 Apr"/>
    <n v="1055"/>
    <s v="Matihani"/>
    <x v="437"/>
    <s v="DILKHUSH KUMAR "/>
    <s v="vlc"/>
    <s v="Indirect"/>
    <n v="97.1"/>
    <n v="3632.68"/>
    <n v="0"/>
    <n v="0"/>
    <n v="0"/>
    <n v="0"/>
    <n v="0"/>
    <n v="0"/>
    <n v="3632.68"/>
    <n v="0"/>
    <n v="0"/>
    <n v="0"/>
    <n v="0"/>
    <n v="107.38447741935485"/>
    <n v="0"/>
    <n v="0"/>
    <n v="0"/>
    <n v="3525.295522580645"/>
    <n v="0"/>
    <n v="0"/>
    <n v="451.11076663233786"/>
    <n v="13.87142857142857"/>
    <n v="0"/>
    <n v="0"/>
    <m/>
    <s v="Matihani"/>
    <m/>
    <n v="0"/>
  </r>
  <r>
    <s v="Munger"/>
    <s v="17-23 Apr"/>
    <n v="1011"/>
    <s v="Sahibpur Kamal"/>
    <x v="438"/>
    <s v="GOMUKH CHOWKI 2"/>
    <s v="MPG"/>
    <s v="Direct"/>
    <n v="4153.8"/>
    <n v="159984.01999999999"/>
    <n v="3867.15"/>
    <n v="149603.66624115003"/>
    <n v="303.16000000000003"/>
    <n v="11738.349647871"/>
    <n v="4170.3100000000004"/>
    <n v="161342.01588902104"/>
    <n v="159984.01999999999"/>
    <n v="0"/>
    <n v="0"/>
    <n v="1357.9958890210546"/>
    <n v="0"/>
    <n v="0"/>
    <n v="0"/>
    <n v="148245"/>
    <n v="11739"/>
    <n v="0"/>
    <n v="0"/>
    <n v="0"/>
    <n v="0"/>
    <n v="0"/>
    <n v="-8.4883220775490865E-3"/>
    <n v="31"/>
    <m/>
    <s v="Sahibpur Kamal"/>
    <m/>
    <n v="0"/>
  </r>
  <r>
    <s v="Munger"/>
    <s v="17-23 Apr"/>
    <n v="1011"/>
    <s v="Sahibpur Kamal"/>
    <x v="439"/>
    <s v="GOMUKH MOHABA"/>
    <s v="MPG"/>
    <s v="Direct"/>
    <n v="1445.4"/>
    <n v="54177.2"/>
    <n v="1077.5"/>
    <n v="40433.02352100001"/>
    <n v="387.7"/>
    <n v="14538.022697879998"/>
    <n v="1465.2"/>
    <n v="54971.046218880008"/>
    <n v="54177.2"/>
    <n v="0"/>
    <n v="188.29027008000006"/>
    <n v="793.84621888001129"/>
    <n v="0"/>
    <n v="0"/>
    <n v="0"/>
    <n v="39639"/>
    <n v="14350"/>
    <n v="0"/>
    <n v="0"/>
    <n v="0"/>
    <n v="0"/>
    <n v="0"/>
    <n v="-1.4652773101600144E-2"/>
    <n v="8"/>
    <m/>
    <s v="Sahibpur Kamal"/>
    <m/>
    <n v="0"/>
  </r>
  <r>
    <s v="Munger"/>
    <s v="17-23 Apr"/>
    <n v="1011"/>
    <s v="Sahibpur Kamal"/>
    <x v="440"/>
    <s v="SANHA VLC"/>
    <s v="vlc"/>
    <s v="Indirect"/>
    <n v="812.80000000000018"/>
    <n v="28839.200000000004"/>
    <n v="0"/>
    <n v="0"/>
    <n v="0"/>
    <n v="0"/>
    <n v="0"/>
    <n v="0"/>
    <n v="28839.200000000004"/>
    <n v="0"/>
    <n v="0"/>
    <n v="0"/>
    <n v="0"/>
    <n v="0"/>
    <n v="0"/>
    <n v="0"/>
    <n v="0"/>
    <n v="28839.200000000004"/>
    <n v="0"/>
    <n v="0"/>
    <n v="0"/>
    <n v="0"/>
    <n v="0"/>
    <n v="0"/>
    <m/>
    <s v="Sahibpur Kamal"/>
    <m/>
    <n v="0"/>
  </r>
  <r>
    <s v="Munger"/>
    <s v="17-23 Apr"/>
    <n v="1011"/>
    <s v="Sahibpur Kamal"/>
    <x v="441"/>
    <s v="MOHANPUR VLC"/>
    <s v="vlc"/>
    <s v="Indirect"/>
    <n v="725.5"/>
    <n v="25089.560000000005"/>
    <n v="0"/>
    <n v="0"/>
    <n v="0"/>
    <n v="0"/>
    <n v="0"/>
    <n v="0"/>
    <n v="25089.560000000005"/>
    <n v="0"/>
    <n v="0"/>
    <n v="0"/>
    <n v="0"/>
    <n v="0"/>
    <n v="0"/>
    <n v="0"/>
    <n v="0"/>
    <n v="25089.560000000005"/>
    <n v="0"/>
    <n v="0"/>
    <n v="0"/>
    <n v="0"/>
    <n v="0"/>
    <n v="0"/>
    <m/>
    <s v="Sahibpur Kamal"/>
    <m/>
    <n v="0"/>
  </r>
  <r>
    <s v="Munger"/>
    <s v="17-23 Apr"/>
    <n v="1011"/>
    <s v="Sahibpur Kamal"/>
    <x v="442"/>
    <s v="GOMUKH JANGLITOL"/>
    <s v="MPG"/>
    <s v="Direct"/>
    <n v="193.00000000000003"/>
    <n v="7649.8"/>
    <n v="257"/>
    <n v="10652.424354000001"/>
    <n v="0"/>
    <n v="0"/>
    <n v="257"/>
    <n v="10652.424354000001"/>
    <n v="7649.8"/>
    <n v="0"/>
    <n v="0"/>
    <n v="3002.6243540000005"/>
    <n v="0"/>
    <n v="0.79"/>
    <n v="0"/>
    <n v="7649"/>
    <n v="0"/>
    <n v="0"/>
    <n v="0"/>
    <s v="Release1"/>
    <n v="401.91177202072527"/>
    <n v="27.571428571428577"/>
    <n v="-0.39251017725953624"/>
    <n v="3"/>
    <m/>
    <s v="Sahibpur Kamal"/>
    <m/>
    <n v="0"/>
  </r>
  <r>
    <s v="Munger"/>
    <s v="17-23 Apr"/>
    <n v="1011"/>
    <s v="Sahibpur Kamal"/>
    <x v="443"/>
    <s v="Hiratol VLC"/>
    <s v="vlc"/>
    <s v="Indirect"/>
    <n v="356.2999999999999"/>
    <n v="12908.300000000001"/>
    <n v="0"/>
    <n v="0"/>
    <n v="0"/>
    <n v="0"/>
    <n v="0"/>
    <n v="0"/>
    <n v="12908.300000000001"/>
    <n v="0"/>
    <n v="0"/>
    <n v="0"/>
    <n v="0"/>
    <n v="0"/>
    <n v="0"/>
    <n v="0"/>
    <n v="0"/>
    <n v="12908.300000000001"/>
    <n v="0"/>
    <n v="0"/>
    <n v="249.03635756385088"/>
    <n v="50.899999999999984"/>
    <n v="0"/>
    <n v="0"/>
    <m/>
    <s v="Sahibpur Kamal"/>
    <m/>
    <n v="0"/>
  </r>
  <r>
    <s v="Munger"/>
    <s v="17-23 Apr"/>
    <n v="1011"/>
    <s v="Sahibpur Kamal"/>
    <x v="444"/>
    <s v="Gomukh Raghunathpur 2 "/>
    <s v="MPG"/>
    <s v="Direct"/>
    <n v="59.8"/>
    <n v="2285.2400000000002"/>
    <n v="74.100000000000009"/>
    <n v="2837.3423215160005"/>
    <n v="0"/>
    <n v="0"/>
    <n v="74.100000000000009"/>
    <n v="2837.3423215160005"/>
    <n v="2285.2400000000002"/>
    <n v="0"/>
    <n v="0"/>
    <n v="552.1023215160003"/>
    <n v="0"/>
    <n v="48.888062068965517"/>
    <n v="0"/>
    <n v="2236"/>
    <n v="0"/>
    <n v="0"/>
    <n v="0"/>
    <n v="0"/>
    <n v="489.30122006688975"/>
    <n v="8.5428571428571427"/>
    <n v="-0.24159489660429551"/>
    <n v="1"/>
    <m/>
    <s v="Sahibpur Kamal"/>
    <m/>
    <n v="0"/>
  </r>
  <r>
    <s v="Munger"/>
    <s v="17-23 Apr"/>
    <n v="1011"/>
    <s v="Sahibpur Kamal"/>
    <x v="445"/>
    <s v="GOMUKH BARBIGHI"/>
    <s v="MPG"/>
    <s v="Direct"/>
    <n v="1434.7"/>
    <n v="53973.51999999999"/>
    <n v="1984.5"/>
    <n v="76697.576394119998"/>
    <n v="7.6000000000000005"/>
    <n v="295.97883480000002"/>
    <n v="1992.1"/>
    <n v="76993.555228919999"/>
    <n v="53973.51999999999"/>
    <n v="0"/>
    <n v="295.97883480000002"/>
    <n v="23020.035228920009"/>
    <n v="0"/>
    <n v="0"/>
    <n v="0"/>
    <n v="53678"/>
    <n v="0"/>
    <n v="0"/>
    <n v="0"/>
    <n v="0"/>
    <n v="0"/>
    <n v="0"/>
    <n v="-0.42650609463529549"/>
    <n v="3"/>
    <m/>
    <s v="Sahibpur Kamal"/>
    <m/>
    <n v="0"/>
  </r>
  <r>
    <s v="Munger"/>
    <s v="17-23 Apr"/>
    <n v="1011"/>
    <s v="Sahibpur Kamal"/>
    <x v="446"/>
    <s v="Tetri"/>
    <s v="MPG"/>
    <s v="Direct"/>
    <n v="121.6"/>
    <n v="6411.42"/>
    <n v="120.7"/>
    <n v="6235.8439359374006"/>
    <n v="0"/>
    <n v="0"/>
    <n v="120.7"/>
    <n v="6235.8439359374006"/>
    <n v="6235.8439359374006"/>
    <n v="0"/>
    <n v="0"/>
    <n v="0"/>
    <n v="0"/>
    <n v="184.79"/>
    <n v="0"/>
    <n v="6051"/>
    <n v="0"/>
    <n v="0"/>
    <n v="176"/>
    <s v="Release1"/>
    <n v="609.92850789473698"/>
    <n v="17.37142857142857"/>
    <n v="2.7384895087609214E-2"/>
    <n v="1"/>
    <m/>
    <s v="Sahibpur Kamal"/>
    <m/>
    <n v="0"/>
  </r>
  <r>
    <s v="Munger"/>
    <s v="17-23 Apr"/>
    <n v="1011"/>
    <s v="Sahibpur Kamal"/>
    <x v="447"/>
    <s v="Dandari-2"/>
    <s v="MPG"/>
    <s v="Direct"/>
    <n v="213.5"/>
    <n v="7639.76"/>
    <n v="371.19999999999993"/>
    <n v="13386.704407560001"/>
    <n v="0"/>
    <n v="0"/>
    <n v="371.19999999999993"/>
    <n v="13386.704407560001"/>
    <n v="7639.76"/>
    <n v="0"/>
    <n v="0"/>
    <n v="5746.9444075600004"/>
    <n v="0"/>
    <n v="30.33"/>
    <n v="0"/>
    <n v="7609"/>
    <n v="0"/>
    <n v="0"/>
    <n v="0"/>
    <s v="Release1"/>
    <n v="348.17266885245903"/>
    <n v="30.5"/>
    <n v="-0.75224148501523613"/>
    <n v="1"/>
    <m/>
    <s v="Sahibpur Kamal"/>
    <m/>
    <n v="0"/>
  </r>
  <r>
    <s v="Munger"/>
    <s v="17-23 Apr"/>
    <n v="1011"/>
    <s v="Sahibpur Kamal"/>
    <x v="448"/>
    <s v="Barkhanditol"/>
    <s v="vlc"/>
    <s v="Indirect"/>
    <n v="381.1"/>
    <n v="15749.979999999998"/>
    <n v="0"/>
    <n v="0"/>
    <n v="0"/>
    <n v="0"/>
    <n v="0"/>
    <n v="0"/>
    <n v="15749.979999999998"/>
    <n v="0"/>
    <n v="0"/>
    <n v="0"/>
    <n v="0"/>
    <n v="222.71324516129053"/>
    <n v="0"/>
    <n v="0"/>
    <n v="0"/>
    <n v="15527.266754838707"/>
    <n v="0"/>
    <n v="0"/>
    <n v="263.58796231960105"/>
    <n v="54.442857142857143"/>
    <n v="0"/>
    <n v="0"/>
    <m/>
    <s v="Sahibpur Kamal"/>
    <m/>
    <n v="0"/>
  </r>
  <r>
    <s v="Munger"/>
    <s v="17-23 Apr"/>
    <n v="1011"/>
    <s v="Sahibpur Kamal"/>
    <x v="449"/>
    <s v="Chauki-VLC"/>
    <s v="vlc"/>
    <s v="Indirect"/>
    <n v="104.30000000000001"/>
    <n v="3627.25"/>
    <n v="0"/>
    <n v="0"/>
    <n v="0"/>
    <n v="0"/>
    <n v="0"/>
    <n v="0"/>
    <n v="3627.25"/>
    <n v="0"/>
    <n v="0"/>
    <n v="0"/>
    <n v="0"/>
    <n v="465.29419354838728"/>
    <n v="0"/>
    <n v="0"/>
    <n v="0"/>
    <n v="3161.9558064516127"/>
    <n v="0"/>
    <n v="0"/>
    <n v="414.33419463087239"/>
    <n v="14.900000000000002"/>
    <n v="0"/>
    <n v="0"/>
    <m/>
    <s v="Sahibpur Kamal"/>
    <m/>
    <n v="0"/>
  </r>
  <r>
    <s v="Munger"/>
    <s v="17-23 Apr"/>
    <n v="1011"/>
    <s v="Sahibpur Kamal"/>
    <x v="450"/>
    <s v="Hardia"/>
    <s v="MPG"/>
    <s v="Direct"/>
    <n v="572.00000000000023"/>
    <n v="24773.290000000005"/>
    <n v="559.74"/>
    <n v="24300.479360062996"/>
    <n v="10.740000000000002"/>
    <n v="469.78310481768006"/>
    <n v="570.48"/>
    <n v="24770.262464880678"/>
    <n v="24770.262464880678"/>
    <n v="0"/>
    <n v="469.78310481768006"/>
    <n v="0"/>
    <n v="0"/>
    <n v="0"/>
    <n v="0"/>
    <n v="24301"/>
    <n v="0"/>
    <n v="0"/>
    <n v="3"/>
    <n v="0"/>
    <n v="110.87346573426551"/>
    <n v="81.714285714285751"/>
    <n v="1.2220965077011509E-4"/>
    <n v="3"/>
    <m/>
    <s v="Sahibpur Kamal"/>
    <m/>
    <n v="0"/>
  </r>
  <r>
    <s v="Munger"/>
    <s v="17-23 Apr"/>
    <n v="1011"/>
    <s v="Sahibpur Kamal"/>
    <x v="451"/>
    <s v="Pachveer"/>
    <s v="vlc"/>
    <s v="Indirect"/>
    <n v="6912.4999999999991"/>
    <n v="253066.41000000003"/>
    <n v="0"/>
    <n v="0"/>
    <n v="0"/>
    <n v="0"/>
    <n v="0"/>
    <n v="0"/>
    <n v="253066.41000000003"/>
    <n v="0"/>
    <n v="0"/>
    <n v="0"/>
    <n v="0"/>
    <n v="0"/>
    <n v="0"/>
    <n v="0"/>
    <n v="0"/>
    <n v="253066.41000000003"/>
    <n v="0"/>
    <n v="0"/>
    <n v="0"/>
    <n v="0"/>
    <n v="0"/>
    <n v="0"/>
    <m/>
    <s v="Sahibpur Kamal"/>
    <m/>
    <n v="0"/>
  </r>
  <r>
    <s v="Munger"/>
    <s v="17-23 Apr"/>
    <n v="1011"/>
    <s v="Sahibpur Kamal"/>
    <x v="452"/>
    <s v="Barkhaditol-3"/>
    <s v="vlc"/>
    <s v="Indirect"/>
    <n v="4.7"/>
    <n v="134.88999999999999"/>
    <n v="0"/>
    <n v="0"/>
    <n v="0"/>
    <n v="0"/>
    <n v="0"/>
    <n v="0"/>
    <n v="134.88999999999999"/>
    <n v="0"/>
    <n v="0"/>
    <n v="0"/>
    <n v="0"/>
    <n v="0"/>
    <n v="0"/>
    <n v="0"/>
    <n v="0"/>
    <n v="134.88999999999999"/>
    <n v="0"/>
    <n v="0"/>
    <n v="399.10219999999993"/>
    <n v="0.67142857142857149"/>
    <n v="0"/>
    <n v="0"/>
    <m/>
    <s v="Sahibpur Kamal"/>
    <m/>
    <n v="0"/>
  </r>
  <r>
    <s v="Munger"/>
    <s v="17-23 Apr"/>
    <n v="1011"/>
    <s v="Sahibpur Kamal"/>
    <x v="453"/>
    <s v="Gomukh Mirjapur Bari"/>
    <s v="MPG"/>
    <s v="Direct"/>
    <n v="54.699999999999989"/>
    <n v="2018.73"/>
    <n v="54.6"/>
    <n v="2002.5781894800007"/>
    <n v="0"/>
    <n v="0"/>
    <n v="54.6"/>
    <n v="2002.5781894800007"/>
    <n v="2002.5781894800007"/>
    <n v="0"/>
    <n v="0"/>
    <n v="0"/>
    <n v="0"/>
    <n v="0"/>
    <n v="0"/>
    <n v="2003"/>
    <n v="0"/>
    <n v="0"/>
    <n v="16"/>
    <n v="0"/>
    <n v="476.30218244972588"/>
    <n v="7.8142857142857123"/>
    <n v="8.0009761186485284E-3"/>
    <n v="1"/>
    <m/>
    <s v="Sahibpur Kamal"/>
    <m/>
    <n v="0"/>
  </r>
  <r>
    <s v="Munger"/>
    <s v="17-23 Apr"/>
    <n v="1011"/>
    <s v="Sahibpur Kamal"/>
    <x v="454"/>
    <s v="Mathar-3"/>
    <s v="vlc"/>
    <s v="Indirect"/>
    <n v="1106.3"/>
    <n v="45497.74"/>
    <n v="0"/>
    <n v="0"/>
    <n v="0"/>
    <n v="0"/>
    <n v="0"/>
    <n v="0"/>
    <n v="45497.74"/>
    <n v="0"/>
    <n v="0"/>
    <n v="0"/>
    <n v="0"/>
    <n v="0"/>
    <n v="0"/>
    <n v="0"/>
    <n v="0"/>
    <n v="45497.74"/>
    <n v="0"/>
    <n v="0"/>
    <n v="0"/>
    <n v="0"/>
    <n v="0"/>
    <n v="0"/>
    <m/>
    <s v="Sahibpur Kamal"/>
    <m/>
    <n v="0"/>
  </r>
  <r>
    <s v="Munger"/>
    <s v="17-23 Apr"/>
    <n v="1011"/>
    <s v="Sahibpur Kamal"/>
    <x v="455"/>
    <s v="Ahoghat"/>
    <s v="vlc"/>
    <s v="Indirect"/>
    <n v="355.70000000000005"/>
    <n v="13666.580000000002"/>
    <n v="0"/>
    <n v="0"/>
    <n v="0"/>
    <n v="0"/>
    <n v="0"/>
    <n v="0"/>
    <n v="13666.580000000002"/>
    <n v="0"/>
    <n v="0"/>
    <n v="0"/>
    <n v="0"/>
    <n v="0"/>
    <n v="0"/>
    <n v="0"/>
    <n v="0"/>
    <n v="13666.580000000002"/>
    <n v="0"/>
    <n v="0"/>
    <n v="264.57146438009556"/>
    <n v="50.814285714285724"/>
    <n v="0"/>
    <n v="0"/>
    <m/>
    <s v="Sahibpur Kamal"/>
    <m/>
    <n v="0"/>
  </r>
  <r>
    <s v="Munger"/>
    <s v="17-23 Apr"/>
    <n v="1011"/>
    <s v="Sahibpur Kamal"/>
    <x v="456"/>
    <s v="Mathar-4"/>
    <s v="vlc"/>
    <s v="Indirect"/>
    <n v="341.09999999999997"/>
    <n v="12577.259999999998"/>
    <n v="0"/>
    <n v="0"/>
    <n v="0"/>
    <n v="0"/>
    <n v="0"/>
    <n v="0"/>
    <n v="12577.259999999998"/>
    <n v="0"/>
    <n v="0"/>
    <n v="0"/>
    <n v="0"/>
    <n v="0"/>
    <n v="0"/>
    <n v="0"/>
    <n v="0"/>
    <n v="12577.259999999998"/>
    <n v="0"/>
    <n v="0"/>
    <n v="264.6718624450308"/>
    <n v="48.728571428571421"/>
    <n v="0"/>
    <n v="0"/>
    <m/>
    <s v="Sahibpur Kamal"/>
    <m/>
    <n v="0"/>
  </r>
  <r>
    <s v="Munger"/>
    <s v="17-23 Apr"/>
    <n v="1011"/>
    <s v="Sahibpur Kamal"/>
    <x v="967"/>
    <s v="Farid Nagar"/>
    <s v="MPG"/>
    <s v="Direct"/>
    <n v="158"/>
    <n v="5966.0999999999995"/>
    <n v="155.69999999999999"/>
    <n v="5945.2382602799998"/>
    <n v="0"/>
    <n v="0"/>
    <n v="155.69999999999999"/>
    <n v="5945.2382602799998"/>
    <n v="5945.2382602799998"/>
    <n v="0"/>
    <n v="0"/>
    <n v="0"/>
    <n v="0"/>
    <n v="0"/>
    <n v="0"/>
    <n v="5945"/>
    <n v="0"/>
    <n v="0"/>
    <n v="21"/>
    <n v="0"/>
    <n v="409.31977215189875"/>
    <n v="22.571428571428573"/>
    <n v="3.496713048725232E-3"/>
    <n v="1"/>
    <m/>
    <s v="Sahibpur Kamal"/>
    <m/>
    <n v="0"/>
  </r>
  <r>
    <s v="Munger"/>
    <s v="17-23 Apr"/>
    <n v="1012"/>
    <s v="DalsinghSarai"/>
    <x v="457"/>
    <s v="GOMUKH SUBHANPUR"/>
    <s v="vlc"/>
    <s v="Indirect"/>
    <n v="111.42"/>
    <n v="5064.42"/>
    <n v="0"/>
    <n v="0"/>
    <n v="0"/>
    <n v="0"/>
    <n v="0"/>
    <n v="0"/>
    <n v="5064.42"/>
    <n v="0"/>
    <n v="0"/>
    <n v="0"/>
    <n v="2700"/>
    <n v="0"/>
    <n v="0"/>
    <n v="0"/>
    <n v="0"/>
    <n v="2364.42"/>
    <n v="0"/>
    <n v="0"/>
    <n v="535.05947291330097"/>
    <n v="15.917142857142858"/>
    <n v="0"/>
    <n v="0"/>
    <m/>
    <s v="DalsinghSarai"/>
    <m/>
    <n v="0"/>
  </r>
  <r>
    <s v="Munger"/>
    <s v="17-23 Apr"/>
    <n v="1012"/>
    <s v="DalsinghSarai"/>
    <x v="458"/>
    <s v="GOMUKH  BHAJANGAMA"/>
    <s v="vlc"/>
    <s v="Indirect"/>
    <n v="363.27000000000004"/>
    <n v="14105.970000000001"/>
    <n v="0"/>
    <n v="0"/>
    <n v="0"/>
    <n v="0"/>
    <n v="0"/>
    <n v="0"/>
    <n v="14105.970000000001"/>
    <n v="0"/>
    <n v="0"/>
    <n v="0"/>
    <n v="0"/>
    <n v="84.659221935483686"/>
    <n v="0"/>
    <n v="0"/>
    <n v="0"/>
    <n v="14021.310778064517"/>
    <n v="0"/>
    <n v="0"/>
    <n v="261.50814975637957"/>
    <n v="51.895714285714291"/>
    <n v="0"/>
    <n v="0"/>
    <m/>
    <s v="DalsinghSarai"/>
    <m/>
    <n v="0"/>
  </r>
  <r>
    <s v="Munger"/>
    <s v="17-23 Apr"/>
    <n v="1012"/>
    <s v="DalsinghSarai"/>
    <x v="460"/>
    <s v="Gomukh Basadhiya Kurni"/>
    <s v="MPG"/>
    <s v="Direct"/>
    <n v="358.03000000000003"/>
    <n v="13799.09"/>
    <n v="380.78999999999996"/>
    <n v="14606.062094070701"/>
    <n v="0"/>
    <n v="0"/>
    <n v="380.78999999999996"/>
    <n v="14606.062094070701"/>
    <n v="13799.09"/>
    <n v="0"/>
    <n v="0"/>
    <n v="806.97209407070113"/>
    <n v="0"/>
    <n v="0"/>
    <n v="0"/>
    <n v="13799"/>
    <n v="0"/>
    <n v="0"/>
    <n v="0"/>
    <n v="0"/>
    <n v="263.60220134066975"/>
    <n v="51.14714285714286"/>
    <n v="-5.8480094996894806E-2"/>
    <n v="4"/>
    <m/>
    <s v="DalsinghSarai"/>
    <m/>
    <n v="0"/>
  </r>
  <r>
    <s v="Munger"/>
    <s v="17-23 Apr"/>
    <n v="1012"/>
    <s v="DalsinghSarai"/>
    <x v="461"/>
    <s v="KHAJURI"/>
    <s v="MPG"/>
    <s v="Direct"/>
    <n v="379.32"/>
    <n v="13938.449999999999"/>
    <n v="268.59999999999997"/>
    <n v="10430.725627274922"/>
    <n v="116"/>
    <n v="4410.4860756132603"/>
    <n v="384.59999999999997"/>
    <n v="14841.211702888182"/>
    <n v="13938.449999999999"/>
    <n v="0"/>
    <n v="195.12525700800001"/>
    <n v="902.76170288818321"/>
    <n v="0"/>
    <n v="0"/>
    <n v="0"/>
    <n v="9527"/>
    <n v="4216"/>
    <n v="0"/>
    <n v="0"/>
    <n v="0"/>
    <n v="235.67342328377094"/>
    <n v="54.188571428571429"/>
    <n v="-6.4767725456430475E-2"/>
    <n v="12"/>
    <m/>
    <s v="DalsinghSarai"/>
    <m/>
    <n v="0"/>
  </r>
  <r>
    <s v="Munger"/>
    <s v="17-23 Apr"/>
    <n v="1012"/>
    <s v="DalsinghSarai"/>
    <x v="462"/>
    <s v="ARMAULI-2"/>
    <s v="MPG"/>
    <s v="Direct"/>
    <n v="1300.5399999999997"/>
    <n v="51495.280000000013"/>
    <n v="1294.71"/>
    <n v="51104.571897121219"/>
    <n v="16.39"/>
    <n v="644.48825047200012"/>
    <n v="1311.1000000000001"/>
    <n v="51749.06014759322"/>
    <n v="51495.280000000013"/>
    <n v="0"/>
    <n v="644.48825047200012"/>
    <n v="253.78014759320649"/>
    <n v="5429"/>
    <n v="0"/>
    <n v="0"/>
    <n v="45422"/>
    <n v="0"/>
    <n v="0"/>
    <n v="0"/>
    <n v="0"/>
    <n v="0"/>
    <n v="0"/>
    <n v="-4.9282215300743377E-3"/>
    <n v="37"/>
    <m/>
    <s v="DalsinghSarai"/>
    <m/>
    <n v="0"/>
  </r>
  <r>
    <s v="Munger"/>
    <s v="17-23 Apr"/>
    <n v="1012"/>
    <s v="DalsinghSarai"/>
    <x v="463"/>
    <s v="MUSAPUR - 2"/>
    <s v="vlc"/>
    <s v="Indirect"/>
    <n v="82.42"/>
    <n v="2900.56"/>
    <n v="0"/>
    <n v="0"/>
    <n v="0"/>
    <n v="0"/>
    <n v="0"/>
    <n v="0"/>
    <n v="2900.56"/>
    <n v="0"/>
    <n v="0"/>
    <n v="0"/>
    <n v="1350"/>
    <n v="0"/>
    <n v="0"/>
    <n v="0"/>
    <n v="0"/>
    <n v="1550.56"/>
    <n v="0"/>
    <n v="0"/>
    <n v="434.6828063091483"/>
    <n v="11.774285714285714"/>
    <n v="0"/>
    <n v="0"/>
    <m/>
    <s v="DalsinghSarai"/>
    <m/>
    <n v="0"/>
  </r>
  <r>
    <s v="Munger"/>
    <s v="17-23 Apr"/>
    <n v="1012"/>
    <s v="DalsinghSarai"/>
    <x v="464"/>
    <s v="Janganath Pur"/>
    <s v="vlc"/>
    <s v="Indirect"/>
    <n v="1915.5"/>
    <n v="81956.39"/>
    <n v="0"/>
    <n v="0"/>
    <n v="0"/>
    <n v="0"/>
    <n v="0"/>
    <n v="0"/>
    <n v="81956.39"/>
    <n v="0"/>
    <n v="0"/>
    <n v="0"/>
    <n v="2700"/>
    <n v="0"/>
    <n v="0"/>
    <n v="0"/>
    <n v="0"/>
    <n v="79256.39"/>
    <n v="0"/>
    <n v="0"/>
    <n v="0"/>
    <n v="0"/>
    <n v="0"/>
    <n v="0"/>
    <m/>
    <s v="DalsinghSarai"/>
    <m/>
    <n v="0"/>
  </r>
  <r>
    <s v="Munger"/>
    <s v="17-23 Apr"/>
    <n v="1012"/>
    <s v="DalsinghSarai"/>
    <x v="465"/>
    <s v="Nagargama"/>
    <s v="vlc"/>
    <s v="Indirect"/>
    <n v="199.60999999999999"/>
    <n v="7440.5700000000006"/>
    <n v="0"/>
    <n v="0"/>
    <n v="0"/>
    <n v="0"/>
    <n v="0"/>
    <n v="0"/>
    <n v="7440.5700000000006"/>
    <n v="0"/>
    <n v="0"/>
    <n v="0"/>
    <n v="0"/>
    <n v="265.46070387096779"/>
    <n v="0"/>
    <n v="0"/>
    <n v="0"/>
    <n v="7175.1092961290324"/>
    <n v="0"/>
    <n v="0"/>
    <n v="373.04612216822812"/>
    <n v="28.515714285714285"/>
    <n v="0"/>
    <n v="0"/>
    <m/>
    <s v="DalsinghSarai"/>
    <m/>
    <n v="0"/>
  </r>
  <r>
    <s v="Munger"/>
    <s v="17-23 Apr"/>
    <n v="1012"/>
    <s v="DalsinghSarai"/>
    <x v="466"/>
    <s v="Sato Ghachchhi"/>
    <s v="MPG"/>
    <s v="Direct"/>
    <n v="716.7399999999999"/>
    <n v="32964.340000000004"/>
    <n v="736.10000000000014"/>
    <n v="33666.53655000357"/>
    <n v="14.3"/>
    <n v="639.51187384259993"/>
    <n v="750.40000000000009"/>
    <n v="34306.048423846172"/>
    <n v="32964.340000000004"/>
    <n v="0"/>
    <n v="639.51187384259993"/>
    <n v="1341.7084238461684"/>
    <n v="0"/>
    <n v="0"/>
    <n v="0"/>
    <n v="32325"/>
    <n v="0"/>
    <n v="0"/>
    <n v="0"/>
    <n v="0"/>
    <n v="0"/>
    <n v="0"/>
    <n v="-4.0701813652151635E-2"/>
    <n v="23"/>
    <m/>
    <s v="DalsinghSarai"/>
    <m/>
    <n v="0"/>
  </r>
  <r>
    <s v="Munger"/>
    <s v="17-23 Apr"/>
    <n v="1012"/>
    <s v="DalsinghSarai"/>
    <x v="467"/>
    <s v="Bhatgama"/>
    <s v="vlc"/>
    <s v="Indirect"/>
    <n v="416.51000000000005"/>
    <n v="13120.689999999999"/>
    <n v="0"/>
    <n v="0"/>
    <n v="0"/>
    <n v="0"/>
    <n v="0"/>
    <n v="0"/>
    <n v="13120.689999999999"/>
    <n v="0"/>
    <n v="0"/>
    <n v="0"/>
    <n v="2700"/>
    <n v="0"/>
    <n v="0"/>
    <n v="0"/>
    <n v="0"/>
    <n v="10420.689999999999"/>
    <n v="0"/>
    <n v="0"/>
    <n v="178.60720789896993"/>
    <n v="59.501428571428576"/>
    <n v="0"/>
    <n v="0"/>
    <m/>
    <s v="DalsinghSarai"/>
    <m/>
    <n v="0"/>
  </r>
  <r>
    <s v="Munger"/>
    <s v="17-23 Apr"/>
    <n v="1012"/>
    <s v="DalsinghSarai"/>
    <x v="468"/>
    <s v="Borna Rasalpur"/>
    <s v="MPG"/>
    <s v="Direct"/>
    <n v="838.6400000000001"/>
    <n v="34213.08"/>
    <n v="641.43999999999994"/>
    <n v="26994.589902141008"/>
    <n v="237.79999999999998"/>
    <n v="10257.136138461003"/>
    <n v="879.2399999999999"/>
    <n v="37251.726040602007"/>
    <n v="34213.08"/>
    <n v="0"/>
    <n v="0"/>
    <n v="3038.6460406020051"/>
    <n v="0"/>
    <n v="0"/>
    <n v="0"/>
    <n v="23956"/>
    <n v="10257"/>
    <n v="0"/>
    <n v="0"/>
    <n v="0"/>
    <n v="0"/>
    <n v="0"/>
    <n v="-8.8815331463931488E-2"/>
    <n v="15"/>
    <m/>
    <s v="DalsinghSarai"/>
    <m/>
    <n v="0"/>
  </r>
  <r>
    <s v="Munger"/>
    <s v="17-23 Apr"/>
    <n v="1012"/>
    <s v="DalsinghSarai"/>
    <x v="469"/>
    <s v="Rasalpur"/>
    <s v="MPG"/>
    <s v="Direct"/>
    <n v="1005.7600000000001"/>
    <n v="39196.729999999996"/>
    <n v="950.32"/>
    <n v="35628.737379384605"/>
    <n v="186.64"/>
    <n v="6817.03831114272"/>
    <n v="1136.96"/>
    <n v="42445.775690527327"/>
    <n v="39196.729999999996"/>
    <n v="0"/>
    <n v="0"/>
    <n v="3249.0456905273313"/>
    <n v="0"/>
    <n v="0"/>
    <n v="0"/>
    <n v="32380"/>
    <n v="6817"/>
    <n v="0"/>
    <n v="0"/>
    <n v="0"/>
    <n v="0"/>
    <n v="0"/>
    <n v="-8.2890733245536849E-2"/>
    <n v="17"/>
    <m/>
    <s v="DalsinghSarai"/>
    <m/>
    <n v="0"/>
  </r>
  <r>
    <s v="Munger"/>
    <s v="17-23 Apr"/>
    <n v="1012"/>
    <s v="DalsinghSarai"/>
    <x v="470"/>
    <s v="Narahan"/>
    <s v="MPG"/>
    <s v="Direct"/>
    <n v="305.92"/>
    <n v="12042.039999999997"/>
    <n v="306.34000000000003"/>
    <n v="11103.405501553199"/>
    <n v="24"/>
    <n v="923.35937902560022"/>
    <n v="330.34000000000003"/>
    <n v="12026.764880578799"/>
    <n v="12026.764880578799"/>
    <n v="0"/>
    <n v="923.35937902560022"/>
    <n v="0"/>
    <n v="0"/>
    <n v="0"/>
    <n v="0"/>
    <n v="11104"/>
    <n v="0"/>
    <n v="0"/>
    <n v="15"/>
    <n v="0"/>
    <n v="310.24628158995807"/>
    <n v="43.702857142857148"/>
    <n v="1.2684827007050149E-3"/>
    <n v="5"/>
    <m/>
    <s v="DalsinghSarai"/>
    <m/>
    <n v="0"/>
  </r>
  <r>
    <s v="Munger"/>
    <s v="17-23 Apr"/>
    <n v="1012"/>
    <s v="DalsinghSarai"/>
    <x v="471"/>
    <s v="Gomukh Dumduma"/>
    <s v="MPG"/>
    <s v="Direct"/>
    <n v="413.7399999999999"/>
    <n v="16427.440000000002"/>
    <n v="413.93"/>
    <n v="16401.310378991999"/>
    <n v="0"/>
    <n v="0"/>
    <n v="413.93"/>
    <n v="16401.310378991999"/>
    <n v="16401.310378991999"/>
    <n v="0"/>
    <n v="0"/>
    <n v="0"/>
    <n v="6750"/>
    <n v="0"/>
    <n v="0"/>
    <n v="9652"/>
    <n v="0"/>
    <n v="0"/>
    <n v="25"/>
    <n v="0"/>
    <n v="227.31758951998856"/>
    <n v="59.105714285714271"/>
    <n v="1.5906082145485598E-3"/>
    <n v="3"/>
    <m/>
    <s v="DalsinghSarai"/>
    <m/>
    <n v="0"/>
  </r>
  <r>
    <s v="Munger"/>
    <s v="17-23 Apr"/>
    <n v="1012"/>
    <s v="DalsinghSarai"/>
    <x v="472"/>
    <s v="SUPOL"/>
    <s v="MPG"/>
    <s v="Direct"/>
    <n v="341.03000000000003"/>
    <n v="13410.05"/>
    <n v="428"/>
    <n v="17740.224215999999"/>
    <n v="0"/>
    <n v="0"/>
    <n v="428"/>
    <n v="17740.224215999999"/>
    <n v="13410.05"/>
    <n v="0"/>
    <n v="0"/>
    <n v="4330.1742159999994"/>
    <n v="0"/>
    <n v="0"/>
    <n v="0"/>
    <n v="13410"/>
    <n v="0"/>
    <n v="0"/>
    <n v="0"/>
    <n v="0"/>
    <n v="282.30980550098224"/>
    <n v="48.71857142857143"/>
    <n v="-0.32290515068922188"/>
    <n v="3"/>
    <m/>
    <s v="DalsinghSarai"/>
    <m/>
    <n v="0"/>
  </r>
  <r>
    <s v="Munger"/>
    <s v="17-23 Apr"/>
    <n v="1012"/>
    <s v="DalsinghSarai"/>
    <x v="473"/>
    <s v="BHUSARAI"/>
    <s v="MPG"/>
    <s v="Direct"/>
    <n v="296.98"/>
    <n v="11234.070000000003"/>
    <n v="176.42999999999998"/>
    <n v="6394.1842582200006"/>
    <n v="121.20999999999998"/>
    <n v="4401.9329044679998"/>
    <n v="297.64"/>
    <n v="10796.117162688"/>
    <n v="10796.117162688"/>
    <n v="0"/>
    <n v="118.78109852400002"/>
    <n v="0"/>
    <n v="0"/>
    <n v="0"/>
    <n v="0"/>
    <n v="6394"/>
    <n v="4283"/>
    <n v="0"/>
    <n v="438"/>
    <n v="0"/>
    <n v="304.90638368913739"/>
    <n v="42.425714285714285"/>
    <n v="3.8984342923980599E-2"/>
    <n v="6"/>
    <m/>
    <s v="DalsinghSarai"/>
    <m/>
    <n v="0"/>
  </r>
  <r>
    <s v="Munger"/>
    <s v="17-23 Apr"/>
    <n v="1012"/>
    <s v="DalsinghSarai"/>
    <x v="474"/>
    <s v="Gomukha Jounapur"/>
    <s v="vlc"/>
    <s v="Indirect"/>
    <n v="203.89999999999998"/>
    <n v="8372.69"/>
    <n v="0"/>
    <n v="0"/>
    <n v="0"/>
    <n v="0"/>
    <n v="0"/>
    <n v="0"/>
    <n v="8372.69"/>
    <n v="0"/>
    <n v="0"/>
    <n v="0"/>
    <n v="0"/>
    <n v="39.427004516128996"/>
    <n v="0"/>
    <n v="0"/>
    <n v="0"/>
    <n v="8333.2629954838721"/>
    <n v="0"/>
    <n v="0"/>
    <n v="407.42437557626289"/>
    <n v="29.128571428571426"/>
    <n v="0"/>
    <n v="0"/>
    <m/>
    <s v="DalsinghSarai"/>
    <m/>
    <n v="0"/>
  </r>
  <r>
    <s v="Munger"/>
    <s v="17-23 Apr"/>
    <n v="1012"/>
    <s v="DalsinghSarai"/>
    <x v="475"/>
    <s v="Patailliya"/>
    <s v="vlc"/>
    <s v="Indirect"/>
    <n v="289.8"/>
    <n v="10908.67"/>
    <n v="0"/>
    <n v="0"/>
    <n v="0"/>
    <n v="0"/>
    <n v="0"/>
    <n v="0"/>
    <n v="10908.67"/>
    <n v="0"/>
    <n v="0"/>
    <n v="0"/>
    <n v="0"/>
    <n v="0"/>
    <n v="0"/>
    <n v="0"/>
    <n v="0"/>
    <n v="10908.67"/>
    <n v="0"/>
    <n v="0"/>
    <n v="308.81548888888886"/>
    <n v="41.4"/>
    <n v="0"/>
    <n v="0"/>
    <m/>
    <s v="DalsinghSarai"/>
    <m/>
    <n v="0"/>
  </r>
  <r>
    <s v="Munger"/>
    <s v="17-23 Apr"/>
    <n v="1012"/>
    <s v="DalsinghSarai"/>
    <x v="476"/>
    <s v="Badiya"/>
    <s v="vlc"/>
    <s v="Indirect"/>
    <n v="317.27"/>
    <n v="11597.050000000001"/>
    <n v="0"/>
    <n v="0"/>
    <n v="0"/>
    <n v="0"/>
    <n v="0"/>
    <n v="0"/>
    <n v="11597.050000000001"/>
    <n v="0"/>
    <n v="0"/>
    <n v="0"/>
    <n v="0"/>
    <n v="0"/>
    <n v="0"/>
    <n v="0"/>
    <n v="0"/>
    <n v="11597.050000000001"/>
    <n v="0"/>
    <n v="0"/>
    <n v="279.79569114634234"/>
    <n v="45.324285714285715"/>
    <n v="0"/>
    <n v="0"/>
    <m/>
    <s v="DalsinghSarai"/>
    <m/>
    <n v="0"/>
  </r>
  <r>
    <s v="Munger"/>
    <s v="17-23 Apr"/>
    <n v="1012"/>
    <s v="DalsinghSarai"/>
    <x v="477"/>
    <s v="Gomukh Tabhka"/>
    <s v="MPG"/>
    <s v="Direct"/>
    <n v="1895.6000000000001"/>
    <n v="78428.51999999999"/>
    <n v="1140.96"/>
    <n v="47584.316882849555"/>
    <n v="802.5200000000001"/>
    <n v="31129.68476246476"/>
    <n v="1943.48"/>
    <n v="78714.001645314318"/>
    <n v="78428.51999999999"/>
    <n v="0"/>
    <n v="396.16671724740002"/>
    <n v="285.48164531432849"/>
    <n v="0"/>
    <n v="0"/>
    <n v="0"/>
    <n v="47300"/>
    <n v="30732"/>
    <n v="0"/>
    <n v="0"/>
    <n v="0"/>
    <n v="0"/>
    <n v="0"/>
    <n v="-3.6400233654074886E-3"/>
    <n v="28"/>
    <m/>
    <s v="DalsinghSarai"/>
    <m/>
    <n v="0"/>
  </r>
  <r>
    <s v="Munger"/>
    <s v="17-23 Apr"/>
    <n v="1012"/>
    <s v="DalsinghSarai"/>
    <x v="478"/>
    <s v="Ghato"/>
    <s v="vlc"/>
    <s v="Indirect"/>
    <n v="22.13"/>
    <n v="723.72"/>
    <n v="0"/>
    <n v="0"/>
    <n v="0"/>
    <n v="0"/>
    <n v="0"/>
    <n v="0"/>
    <n v="723.72"/>
    <n v="0"/>
    <n v="0"/>
    <n v="0"/>
    <n v="0"/>
    <n v="5.7366348387096808"/>
    <n v="0"/>
    <n v="0"/>
    <n v="0"/>
    <n v="717.98336516129029"/>
    <n v="0"/>
    <n v="0"/>
    <n v="443.369251152282"/>
    <n v="3.1614285714285715"/>
    <n v="0"/>
    <n v="0"/>
    <m/>
    <s v="DalsinghSarai"/>
    <m/>
    <n v="0"/>
  </r>
  <r>
    <s v="Munger"/>
    <s v="17-23 Apr"/>
    <n v="1012"/>
    <s v="DalsinghSarai"/>
    <x v="479"/>
    <s v="RAMNATHPUR                                                                                          "/>
    <s v="MPG"/>
    <s v="Direct"/>
    <n v="837.85000000000014"/>
    <n v="33333.360000000001"/>
    <n v="572.26"/>
    <n v="21962.061252484062"/>
    <n v="302.52"/>
    <n v="11223.093946789122"/>
    <n v="874.78"/>
    <n v="33185.155199273184"/>
    <n v="33185.155199273184"/>
    <n v="0"/>
    <n v="307.68100981504006"/>
    <n v="0"/>
    <n v="0"/>
    <n v="0"/>
    <n v="0"/>
    <n v="21964"/>
    <n v="10915"/>
    <n v="0"/>
    <n v="147"/>
    <n v="0"/>
    <n v="0"/>
    <n v="0"/>
    <n v="4.4461404648921303E-3"/>
    <n v="19"/>
    <m/>
    <s v="DalsinghSarai"/>
    <m/>
    <n v="0"/>
  </r>
  <r>
    <s v="Munger"/>
    <s v="17-23 Apr"/>
    <n v="1012"/>
    <s v="DalsinghSarai"/>
    <x v="480"/>
    <s v="KEWAS JAGIR"/>
    <s v="MPG"/>
    <s v="Direct"/>
    <n v="26.32"/>
    <n v="1199.0700000000002"/>
    <n v="30.77"/>
    <n v="1300.9740623970902"/>
    <n v="0"/>
    <n v="0"/>
    <n v="30.77"/>
    <n v="1300.9740623970902"/>
    <n v="1199.0700000000002"/>
    <n v="0"/>
    <n v="0"/>
    <n v="101.90406239709"/>
    <n v="0"/>
    <n v="0"/>
    <n v="0"/>
    <n v="1199"/>
    <n v="0"/>
    <n v="0"/>
    <n v="0"/>
    <s v="Release1"/>
    <n v="613.82179148936177"/>
    <n v="3.7600000000000002"/>
    <n v="-8.4985916082538956E-2"/>
    <n v="4"/>
    <m/>
    <s v="DalsinghSarai"/>
    <m/>
    <n v="0"/>
  </r>
  <r>
    <s v="Munger"/>
    <s v="17-23 Apr"/>
    <n v="1012"/>
    <s v="DalsinghSarai"/>
    <x v="481"/>
    <s v="DESUA"/>
    <s v="MPG"/>
    <s v="Direct"/>
    <n v="416.41"/>
    <n v="15457.210000000003"/>
    <n v="378.44"/>
    <n v="13914.286277324401"/>
    <n v="43.1"/>
    <n v="1539.9549978120001"/>
    <n v="421.54"/>
    <n v="15454.241275136401"/>
    <n v="15454.241275136401"/>
    <n v="0"/>
    <n v="33.064276608"/>
    <n v="0"/>
    <n v="0"/>
    <n v="0"/>
    <n v="0"/>
    <n v="13914"/>
    <n v="1507"/>
    <n v="0"/>
    <n v="3"/>
    <n v="0"/>
    <n v="210.53818034629333"/>
    <n v="59.487142857142864"/>
    <n v="1.9206084821270407E-4"/>
    <n v="6"/>
    <m/>
    <s v="DalsinghSarai"/>
    <m/>
    <n v="0"/>
  </r>
  <r>
    <s v="Munger"/>
    <s v="17-23 Apr"/>
    <n v="1012"/>
    <s v="DalsinghSarai"/>
    <x v="482"/>
    <s v="Matior"/>
    <s v="MPG"/>
    <s v="Direct"/>
    <n v="101.02"/>
    <n v="3845.99"/>
    <n v="101.02"/>
    <n v="3811.9380386076009"/>
    <n v="0"/>
    <n v="0"/>
    <n v="101.02"/>
    <n v="3811.9380386076009"/>
    <n v="3811.9380386076009"/>
    <n v="0"/>
    <n v="0"/>
    <n v="0"/>
    <n v="0"/>
    <n v="38.158409999999975"/>
    <n v="0"/>
    <n v="3774"/>
    <n v="0"/>
    <n v="0"/>
    <n v="34"/>
    <n v="0"/>
    <n v="456.08217980597902"/>
    <n v="14.431428571428571"/>
    <n v="8.8538871376157725E-3"/>
    <n v="1"/>
    <m/>
    <s v="DalsinghSarai"/>
    <m/>
    <n v="0"/>
  </r>
  <r>
    <s v="Munger"/>
    <s v="17-23 Apr"/>
    <n v="1012"/>
    <s v="DalsinghSarai"/>
    <x v="483"/>
    <s v="TELGAMA"/>
    <s v="vlc"/>
    <s v="Indirect"/>
    <n v="429.02000000000004"/>
    <n v="18618.41"/>
    <n v="0"/>
    <n v="0"/>
    <n v="0"/>
    <n v="0"/>
    <n v="0"/>
    <n v="0"/>
    <n v="18618.41"/>
    <n v="0"/>
    <n v="0"/>
    <n v="0"/>
    <n v="0"/>
    <n v="0"/>
    <n v="0"/>
    <n v="0"/>
    <n v="0"/>
    <n v="18618.41"/>
    <n v="0"/>
    <n v="0"/>
    <n v="235.19727480303945"/>
    <n v="61.288571428571437"/>
    <n v="0"/>
    <n v="0"/>
    <m/>
    <s v="DalsinghSarai"/>
    <m/>
    <n v="0"/>
  </r>
  <r>
    <s v="Munger"/>
    <s v="17-23 Apr"/>
    <n v="1012"/>
    <s v="DalsinghSarai"/>
    <x v="484"/>
    <s v="GOMUKH TATARPUR"/>
    <s v="MPG"/>
    <s v="Direct"/>
    <n v="166.63"/>
    <n v="8088.4500000000007"/>
    <n v="166.51"/>
    <n v="8085.7394274153003"/>
    <n v="0"/>
    <n v="0"/>
    <n v="166.51"/>
    <n v="8085.7394274153003"/>
    <n v="8085.7394274153003"/>
    <n v="0"/>
    <n v="0"/>
    <n v="0"/>
    <n v="0"/>
    <n v="0"/>
    <n v="0"/>
    <n v="8086"/>
    <n v="0"/>
    <n v="0"/>
    <n v="2"/>
    <n v="0"/>
    <n v="517.81030744763859"/>
    <n v="23.804285714285715"/>
    <n v="3.3511644192650726E-4"/>
    <n v="1"/>
    <m/>
    <s v="DalsinghSarai"/>
    <m/>
    <n v="0"/>
  </r>
  <r>
    <s v="Munger"/>
    <s v="17-23 Apr"/>
    <n v="1012"/>
    <s v="DalsinghSarai"/>
    <x v="485"/>
    <s v="Gomukh Ghataho"/>
    <s v="MPG"/>
    <s v="Direct"/>
    <n v="1864.8799999999999"/>
    <n v="69835.98"/>
    <n v="1329.5"/>
    <n v="49660.464248940603"/>
    <n v="506.69999999999993"/>
    <n v="20184.183078132799"/>
    <n v="1836.1999999999998"/>
    <n v="69844.647327073399"/>
    <n v="69835.98"/>
    <n v="0"/>
    <n v="638.824287024"/>
    <n v="8.6673270734027028"/>
    <n v="0"/>
    <n v="0"/>
    <n v="0"/>
    <n v="49651"/>
    <n v="19546"/>
    <n v="0"/>
    <n v="0"/>
    <n v="0"/>
    <n v="0"/>
    <n v="0"/>
    <n v="-1.2410976510106542E-4"/>
    <n v="31"/>
    <m/>
    <s v="DalsinghSarai"/>
    <m/>
    <n v="0"/>
  </r>
  <r>
    <s v="Munger"/>
    <s v="17-23 Apr"/>
    <n v="1012"/>
    <s v="DalsinghSarai"/>
    <x v="487"/>
    <s v="Kacha - Amarjeet"/>
    <s v="vlc"/>
    <s v="Indirect"/>
    <n v="508.84999999999997"/>
    <n v="23586.54"/>
    <n v="0"/>
    <n v="0"/>
    <n v="0"/>
    <n v="0"/>
    <n v="0"/>
    <n v="0"/>
    <n v="23586.54"/>
    <n v="0"/>
    <n v="0"/>
    <n v="0"/>
    <n v="6000"/>
    <n v="0"/>
    <n v="0"/>
    <n v="0"/>
    <n v="0"/>
    <n v="17586.54"/>
    <n v="0"/>
    <n v="0"/>
    <n v="177.20613622875118"/>
    <n v="72.692857142857136"/>
    <n v="0"/>
    <n v="0"/>
    <m/>
    <s v="DalsinghSarai"/>
    <m/>
    <n v="0"/>
  </r>
  <r>
    <s v="Munger"/>
    <s v="17-23 Apr"/>
    <n v="1012"/>
    <s v="DalsinghSarai"/>
    <x v="971"/>
    <s v="Simri - Suman"/>
    <s v="vlc"/>
    <s v="Indirect"/>
    <n v="347.2"/>
    <n v="12695.71"/>
    <n v="0"/>
    <n v="0"/>
    <n v="0"/>
    <n v="0"/>
    <n v="0"/>
    <n v="0"/>
    <n v="12695.71"/>
    <n v="0"/>
    <n v="0"/>
    <n v="0"/>
    <n v="0"/>
    <n v="0"/>
    <n v="0"/>
    <n v="0"/>
    <n v="0"/>
    <n v="12695.71"/>
    <n v="0"/>
    <n v="0"/>
    <n v="258.00959032258061"/>
    <n v="49.6"/>
    <n v="0"/>
    <n v="0"/>
    <m/>
    <s v="DalsinghSarai"/>
    <m/>
    <n v="0"/>
  </r>
  <r>
    <s v="Munger"/>
    <s v="17-23 Apr"/>
    <n v="1012"/>
    <s v="DalsinghSarai"/>
    <x v="488"/>
    <s v="Narenpur"/>
    <s v="MPG"/>
    <s v="Direct"/>
    <n v="341.06999999999994"/>
    <n v="14753.45"/>
    <n v="87.27000000000001"/>
    <n v="4631.0654232648048"/>
    <n v="240.36999999999998"/>
    <n v="10206.539233950982"/>
    <n v="327.64"/>
    <n v="14837.604657215787"/>
    <n v="14753.45"/>
    <n v="0"/>
    <n v="0"/>
    <n v="84.154657215785846"/>
    <n v="0"/>
    <n v="42.194912459016443"/>
    <n v="0"/>
    <n v="4507"/>
    <n v="10204"/>
    <n v="0"/>
    <n v="0"/>
    <n v="0"/>
    <n v="310.52017524261896"/>
    <n v="48.724285714285706"/>
    <n v="-5.704066317762004E-3"/>
    <n v="13"/>
    <m/>
    <s v="DalsinghSarai"/>
    <m/>
    <n v="0"/>
  </r>
  <r>
    <s v="Munger"/>
    <s v="17-23 Apr"/>
    <n v="1012"/>
    <s v="DalsinghSarai"/>
    <x v="489"/>
    <s v="Mordiba"/>
    <s v="MPG"/>
    <s v="Direct"/>
    <n v="1809.93"/>
    <n v="72492.930000000008"/>
    <n v="1021.2499999999998"/>
    <n v="38989.947207425139"/>
    <n v="859.93"/>
    <n v="33496.154002605559"/>
    <n v="1881.1799999999998"/>
    <n v="72486.101210030698"/>
    <n v="72486.101210030698"/>
    <n v="0"/>
    <n v="3394.9037952720005"/>
    <n v="0"/>
    <n v="0"/>
    <n v="0"/>
    <n v="0"/>
    <n v="38991"/>
    <n v="30101"/>
    <n v="0"/>
    <n v="6"/>
    <n v="0"/>
    <n v="0"/>
    <n v="0"/>
    <n v="9.4199392538135538E-5"/>
    <n v="11"/>
    <m/>
    <s v="DalsinghSarai"/>
    <m/>
    <n v="0"/>
  </r>
  <r>
    <s v="Munger"/>
    <s v="17-23 Apr"/>
    <n v="1012"/>
    <s v="DalsinghSarai"/>
    <x v="490"/>
    <s v="Jagdispur"/>
    <s v="MPG"/>
    <s v="Direct"/>
    <n v="254.76000000000002"/>
    <n v="9870.9600000000009"/>
    <n v="266.81"/>
    <n v="9702.4095512230833"/>
    <n v="0"/>
    <n v="0"/>
    <n v="266.81"/>
    <n v="9702.4095512230833"/>
    <n v="9702.4095512230833"/>
    <n v="0"/>
    <n v="0"/>
    <n v="0"/>
    <n v="1350"/>
    <n v="0"/>
    <n v="0"/>
    <n v="8352"/>
    <n v="0"/>
    <n v="0"/>
    <n v="169"/>
    <n v="0"/>
    <n v="345.02639585492233"/>
    <n v="36.394285714285715"/>
    <n v="1.7075385654173211E-2"/>
    <n v="12"/>
    <m/>
    <s v="DalsinghSarai"/>
    <m/>
    <n v="0"/>
  </r>
  <r>
    <s v="Munger"/>
    <s v="17-23 Apr"/>
    <n v="1012"/>
    <s v="DalsinghSarai"/>
    <x v="972"/>
    <s v="Chaklal Sahi_Vikrant"/>
    <s v="vlc"/>
    <s v="Indirect"/>
    <n v="944.6"/>
    <n v="33751.049999999996"/>
    <n v="0"/>
    <n v="0"/>
    <n v="0"/>
    <n v="0"/>
    <n v="0"/>
    <n v="0"/>
    <n v="33751.049999999996"/>
    <n v="0"/>
    <n v="0"/>
    <n v="0"/>
    <n v="0"/>
    <n v="0"/>
    <n v="0"/>
    <n v="0"/>
    <n v="0"/>
    <n v="33751.049999999996"/>
    <n v="0"/>
    <n v="0"/>
    <n v="0"/>
    <n v="0"/>
    <n v="0"/>
    <n v="0"/>
    <m/>
    <s v="DalsinghSarai"/>
    <m/>
    <n v="0"/>
  </r>
  <r>
    <s v="Munger"/>
    <s v="17-23 Apr"/>
    <n v="1012"/>
    <s v="DalsinghSarai"/>
    <x v="491"/>
    <s v="Piparpaati"/>
    <s v="vlc"/>
    <s v="Indirect"/>
    <n v="132.13999999999999"/>
    <n v="4988.6000000000004"/>
    <n v="0"/>
    <n v="0"/>
    <n v="0"/>
    <n v="0"/>
    <n v="0"/>
    <n v="0"/>
    <n v="4988.6000000000004"/>
    <n v="0"/>
    <n v="0"/>
    <n v="0"/>
    <n v="0"/>
    <n v="0"/>
    <n v="0"/>
    <n v="0"/>
    <n v="0"/>
    <n v="4988.6000000000004"/>
    <n v="0"/>
    <n v="0"/>
    <n v="428.76137369456649"/>
    <n v="18.877142857142854"/>
    <n v="0"/>
    <n v="0"/>
    <m/>
    <s v="DalsinghSarai"/>
    <m/>
    <n v="0"/>
  </r>
  <r>
    <s v="Munger"/>
    <s v="17-23 Apr"/>
    <n v="1012"/>
    <s v="DalsinghSarai"/>
    <x v="492"/>
    <s v="Suratpur"/>
    <s v="MPG"/>
    <s v="Direct"/>
    <n v="521.17999999999995"/>
    <n v="21253.260000000002"/>
    <n v="79.87"/>
    <n v="3245.8799083096005"/>
    <n v="453.45000000000005"/>
    <n v="19301.858579172633"/>
    <n v="533.32000000000005"/>
    <n v="22547.738487482235"/>
    <n v="21253.260000000002"/>
    <n v="0"/>
    <n v="450.48683340540003"/>
    <n v="1294.4784874822326"/>
    <n v="0"/>
    <n v="0"/>
    <n v="0"/>
    <n v="1951"/>
    <n v="18852"/>
    <n v="0"/>
    <n v="0"/>
    <n v="0"/>
    <n v="145.84243267968847"/>
    <n v="74.454285714285703"/>
    <n v="-6.0907290810079603E-2"/>
    <n v="12"/>
    <m/>
    <s v="DalsinghSarai"/>
    <m/>
    <n v="0"/>
  </r>
  <r>
    <s v="Munger"/>
    <s v="17-23 Apr"/>
    <n v="1012"/>
    <s v="DalsinghSarai"/>
    <x v="493"/>
    <s v="Manika Tol"/>
    <s v="MPG"/>
    <s v="Direct"/>
    <n v="63.050000000000004"/>
    <n v="1917.45"/>
    <n v="63.05"/>
    <n v="2087.8192820232007"/>
    <n v="0"/>
    <n v="0"/>
    <n v="63.05"/>
    <n v="2087.8192820232007"/>
    <n v="1917.45"/>
    <n v="0"/>
    <n v="0"/>
    <n v="170.36928202320064"/>
    <n v="0"/>
    <n v="0"/>
    <n v="0"/>
    <n v="1917"/>
    <n v="0"/>
    <n v="0"/>
    <n v="0"/>
    <n v="0"/>
    <n v="387.41309357652659"/>
    <n v="9.007142857142858"/>
    <n v="-8.8852007626379112E-2"/>
    <n v="1"/>
    <m/>
    <s v="DalsinghSarai"/>
    <m/>
    <n v="0"/>
  </r>
  <r>
    <s v="Munger"/>
    <s v="17-23 Apr"/>
    <n v="1012"/>
    <s v="DalsinghSarai"/>
    <x v="494"/>
    <s v="Beri"/>
    <s v="MPG"/>
    <s v="Direct"/>
    <n v="323.5200000000001"/>
    <n v="11796.910000000002"/>
    <n v="323.52"/>
    <n v="11795.210394759"/>
    <n v="0"/>
    <n v="0"/>
    <n v="323.52"/>
    <n v="11795.210394759"/>
    <n v="11795.210394759"/>
    <n v="0"/>
    <n v="0"/>
    <n v="0"/>
    <n v="11795"/>
    <n v="0"/>
    <n v="0"/>
    <n v="0"/>
    <n v="0"/>
    <n v="0"/>
    <n v="2"/>
    <n v="0"/>
    <n v="274.56111998021748"/>
    <n v="46.217142857142868"/>
    <n v="1.440720698048333E-4"/>
    <n v="1"/>
    <m/>
    <s v="DalsinghSarai"/>
    <m/>
    <n v="0"/>
  </r>
  <r>
    <s v="Munger"/>
    <s v="17-23 Apr"/>
    <n v="1012"/>
    <s v="DalsinghSarai"/>
    <x v="495"/>
    <s v="Mahmmadipur"/>
    <s v="MPG"/>
    <s v="Direct"/>
    <n v="753.19000000000017"/>
    <n v="36513.75"/>
    <n v="314.01"/>
    <n v="15991.951718286993"/>
    <n v="576.93000000000006"/>
    <n v="29753.130912005512"/>
    <n v="890.94"/>
    <n v="45745.082630292505"/>
    <n v="36513.75"/>
    <n v="0"/>
    <n v="0"/>
    <n v="9231.3326302925052"/>
    <n v="0"/>
    <n v="0"/>
    <n v="0"/>
    <n v="14502"/>
    <n v="22012"/>
    <n v="0"/>
    <n v="0"/>
    <n v="0"/>
    <n v="0"/>
    <n v="0"/>
    <n v="-0.25281798309657333"/>
    <n v="26"/>
    <m/>
    <s v="DalsinghSarai"/>
    <m/>
    <n v="0"/>
  </r>
  <r>
    <s v="Munger"/>
    <s v="17-23 Apr"/>
    <n v="1012"/>
    <s v="DalsinghSarai"/>
    <x v="496"/>
    <s v="Simri-Rupesh"/>
    <s v="vlc"/>
    <s v="Indirect"/>
    <n v="819.07999999999993"/>
    <n v="30559.71"/>
    <n v="0"/>
    <n v="0"/>
    <n v="0"/>
    <n v="0"/>
    <n v="0"/>
    <n v="0"/>
    <n v="30559.71"/>
    <n v="0"/>
    <n v="0"/>
    <n v="0"/>
    <n v="0"/>
    <n v="387.79759161290303"/>
    <n v="0"/>
    <n v="0"/>
    <n v="0"/>
    <n v="30171.912408387096"/>
    <n v="0"/>
    <n v="0"/>
    <n v="0"/>
    <n v="0"/>
    <n v="0"/>
    <n v="0"/>
    <m/>
    <s v="DalsinghSarai"/>
    <m/>
    <n v="0"/>
  </r>
  <r>
    <s v="Munger"/>
    <s v="17-23 Apr"/>
    <n v="1062"/>
    <s v="Singhia BMC"/>
    <x v="497"/>
    <s v="Mithilanchal Dairy Products"/>
    <s v="vlc"/>
    <s v="Indirect"/>
    <n v="1193"/>
    <n v="45130.55"/>
    <n v="0"/>
    <n v="0"/>
    <n v="0"/>
    <n v="0"/>
    <n v="0"/>
    <n v="0"/>
    <n v="45130.55"/>
    <n v="0"/>
    <n v="0"/>
    <n v="0"/>
    <n v="0"/>
    <n v="1397.8193129032256"/>
    <n v="0"/>
    <n v="0"/>
    <n v="0"/>
    <n v="43732.73068709678"/>
    <n v="0"/>
    <n v="0"/>
    <n v="0"/>
    <n v="0"/>
    <n v="0"/>
    <n v="0"/>
    <m/>
    <s v="Singhia BMC"/>
    <m/>
    <n v="0"/>
  </r>
  <r>
    <s v="Munger"/>
    <s v="17-23 Apr"/>
    <n v="1012"/>
    <s v="DalsinghSarai"/>
    <x v="498"/>
    <s v="Gomukh Jhaura Tabhka"/>
    <s v="MPG"/>
    <s v="Direct"/>
    <n v="437.45"/>
    <n v="16271.550000000003"/>
    <n v="441.99999999999994"/>
    <n v="16312.956966858423"/>
    <n v="1.4000000000000001"/>
    <n v="52.76113145523"/>
    <n v="443.39999999999992"/>
    <n v="16365.718098313653"/>
    <n v="16271.550000000003"/>
    <n v="0"/>
    <n v="52.76113145523"/>
    <n v="94.168098313650262"/>
    <n v="0"/>
    <n v="0"/>
    <n v="0"/>
    <n v="16219"/>
    <n v="0"/>
    <n v="0"/>
    <n v="0"/>
    <n v="0"/>
    <n v="195.31811418447825"/>
    <n v="62.49285714285714"/>
    <n v="-5.7872850658757307E-3"/>
    <n v="2"/>
    <m/>
    <s v="DalsinghSarai"/>
    <m/>
    <n v="0"/>
  </r>
  <r>
    <s v="Munger"/>
    <s v="17-23 Apr"/>
    <n v="1012"/>
    <s v="DalsinghSarai"/>
    <x v="499"/>
    <s v="Gomukh Mohanpur"/>
    <s v="MPG"/>
    <s v="Direct"/>
    <n v="454.76999999999992"/>
    <n v="18395.16"/>
    <n v="144.19000000000003"/>
    <n v="6005.0000157201002"/>
    <n v="311.45999999999998"/>
    <n v="11559.174087829202"/>
    <n v="455.65"/>
    <n v="17564.174103549303"/>
    <n v="17564.174103549303"/>
    <n v="0"/>
    <n v="382.71930998400012"/>
    <n v="0"/>
    <n v="0"/>
    <n v="0"/>
    <n v="0"/>
    <n v="6005"/>
    <n v="11176"/>
    <n v="0"/>
    <n v="831"/>
    <n v="0"/>
    <n v="198.38798015700254"/>
    <n v="64.967142857142846"/>
    <n v="4.5174159749124039E-2"/>
    <n v="12"/>
    <m/>
    <s v="DalsinghSarai"/>
    <m/>
    <n v="0"/>
  </r>
  <r>
    <s v="Munger"/>
    <s v="17-23 Apr"/>
    <n v="1012"/>
    <s v="DalsinghSarai"/>
    <x v="500"/>
    <s v="Gomukh Bochaha"/>
    <s v="MPG"/>
    <s v="Direct"/>
    <n v="765.71"/>
    <n v="35345.009999999987"/>
    <n v="87.610000000000014"/>
    <n v="4430.9174871519008"/>
    <n v="698.2600000000001"/>
    <n v="30897.415261621663"/>
    <n v="785.87000000000012"/>
    <n v="35328.332748773566"/>
    <n v="35328.332748773566"/>
    <n v="0"/>
    <n v="0"/>
    <n v="0"/>
    <n v="1986"/>
    <n v="0"/>
    <n v="0"/>
    <n v="2445"/>
    <n v="30898"/>
    <n v="0"/>
    <n v="16"/>
    <n v="0"/>
    <n v="0"/>
    <n v="0"/>
    <n v="4.7184174587647617E-4"/>
    <n v="24"/>
    <m/>
    <s v="DalsinghSarai"/>
    <m/>
    <n v="0"/>
  </r>
  <r>
    <s v="Munger"/>
    <s v="17-23 Apr"/>
    <n v="1012"/>
    <s v="DalsinghSarai"/>
    <x v="501"/>
    <s v="Gomukh Terganj"/>
    <s v="MPG"/>
    <s v="Direct"/>
    <n v="135.4"/>
    <n v="5472.8399999999992"/>
    <n v="73"/>
    <n v="3013.9059059999995"/>
    <n v="91"/>
    <n v="3765.9301019999994"/>
    <n v="164"/>
    <n v="6779.8360079999984"/>
    <n v="5472.8399999999992"/>
    <n v="0"/>
    <n v="0"/>
    <n v="1306.9960079999992"/>
    <n v="0"/>
    <n v="67.12493114754102"/>
    <n v="0"/>
    <n v="1640"/>
    <n v="3766"/>
    <n v="0"/>
    <n v="0"/>
    <n v="0"/>
    <n v="456.420304874446"/>
    <n v="19.342857142857145"/>
    <n v="-0.23881494945951268"/>
    <n v="3"/>
    <m/>
    <s v="DalsinghSarai"/>
    <m/>
    <n v="0"/>
  </r>
  <r>
    <s v="Munger"/>
    <s v="17-23 Apr"/>
    <n v="1012"/>
    <s v="DalsinghSarai"/>
    <x v="502"/>
    <s v="Gomukh Chapra"/>
    <s v="vlc"/>
    <s v="Indirect"/>
    <n v="1038.48"/>
    <n v="43967.93"/>
    <n v="0"/>
    <n v="0"/>
    <n v="0"/>
    <n v="0"/>
    <n v="0"/>
    <n v="0"/>
    <n v="43967.93"/>
    <n v="0"/>
    <n v="0"/>
    <n v="0"/>
    <n v="25000"/>
    <n v="0"/>
    <n v="0"/>
    <n v="0"/>
    <n v="0"/>
    <n v="18967.93"/>
    <n v="0"/>
    <n v="0"/>
    <n v="0"/>
    <n v="0"/>
    <n v="0"/>
    <n v="0"/>
    <m/>
    <s v="DalsinghSarai"/>
    <m/>
    <n v="0"/>
  </r>
  <r>
    <s v="Munger"/>
    <s v="17-23 Apr"/>
    <n v="1012"/>
    <s v="DalsinghSarai"/>
    <x v="503"/>
    <s v="GOMUKH Chiranjipur"/>
    <s v="vlc"/>
    <s v="Indirect"/>
    <n v="1329"/>
    <n v="49685.72"/>
    <n v="0"/>
    <n v="0"/>
    <n v="0"/>
    <n v="0"/>
    <n v="0"/>
    <n v="0"/>
    <n v="49685.72"/>
    <n v="0"/>
    <n v="0"/>
    <n v="0"/>
    <n v="0"/>
    <n v="8555.5919999999987"/>
    <n v="0"/>
    <n v="0"/>
    <n v="0"/>
    <n v="41130.128000000004"/>
    <n v="0"/>
    <n v="0"/>
    <n v="0"/>
    <n v="0"/>
    <n v="0"/>
    <n v="0"/>
    <m/>
    <s v="DalsinghSarai"/>
    <m/>
    <n v="0"/>
  </r>
  <r>
    <s v="Munger"/>
    <s v="17-23 Apr"/>
    <n v="1012"/>
    <s v="DalsinghSarai"/>
    <x v="504"/>
    <s v="Gomukh Sahu Tol"/>
    <s v="vlc"/>
    <s v="Indirect"/>
    <n v="1370"/>
    <n v="51830.399999999994"/>
    <n v="0"/>
    <n v="0"/>
    <n v="0"/>
    <n v="0"/>
    <n v="0"/>
    <n v="0"/>
    <n v="51830.399999999994"/>
    <n v="0"/>
    <n v="0"/>
    <n v="0"/>
    <n v="0"/>
    <n v="0"/>
    <n v="0"/>
    <n v="0"/>
    <n v="0"/>
    <n v="51830.399999999994"/>
    <n v="0"/>
    <n v="0"/>
    <n v="0"/>
    <n v="0"/>
    <n v="0"/>
    <n v="0"/>
    <m/>
    <s v="DalsinghSarai"/>
    <m/>
    <n v="0"/>
  </r>
  <r>
    <s v="Munger"/>
    <s v="17-23 Apr"/>
    <n v="1012"/>
    <s v="DalsinghSarai"/>
    <x v="505"/>
    <s v="Gomukh Mordiwa East"/>
    <s v="MPG"/>
    <s v="Direct"/>
    <n v="598.51"/>
    <n v="23372.690000000002"/>
    <n v="254.57"/>
    <n v="9827.3082163806012"/>
    <n v="357.11"/>
    <n v="13879.376636261401"/>
    <n v="611.68000000000006"/>
    <n v="23706.684852642"/>
    <n v="23372.690000000002"/>
    <n v="0"/>
    <n v="0"/>
    <n v="333.99485264199757"/>
    <n v="1350"/>
    <n v="0"/>
    <n v="0"/>
    <n v="8144"/>
    <n v="13879"/>
    <n v="0"/>
    <n v="0"/>
    <n v="0"/>
    <n v="79.266655798566433"/>
    <n v="85.501428571428576"/>
    <n v="-1.4289962030129931E-2"/>
    <n v="6"/>
    <m/>
    <s v="DalsinghSarai"/>
    <m/>
    <n v="0"/>
  </r>
  <r>
    <s v="Munger"/>
    <s v="17-23 Apr"/>
    <n v="1012"/>
    <s v="DalsinghSarai"/>
    <x v="979"/>
    <s v="Gomukh Belamegh"/>
    <s v="vlc"/>
    <s v="Indirect"/>
    <n v="280"/>
    <n v="9685.2000000000007"/>
    <n v="0"/>
    <n v="0"/>
    <n v="0"/>
    <n v="0"/>
    <n v="0"/>
    <n v="0"/>
    <n v="9685.2000000000007"/>
    <n v="0"/>
    <n v="0"/>
    <n v="0"/>
    <n v="0"/>
    <n v="1253.742580645162"/>
    <n v="0"/>
    <n v="0"/>
    <n v="0"/>
    <n v="8431.4574193548397"/>
    <n v="0"/>
    <n v="0"/>
    <n v="290.55600000000004"/>
    <n v="40"/>
    <n v="0"/>
    <n v="0"/>
    <m/>
    <s v="DalsinghSarai"/>
    <m/>
    <n v="0"/>
  </r>
  <r>
    <s v="Munger"/>
    <s v="17-23 Apr"/>
    <n v="1012"/>
    <s v="DalsinghSarai"/>
    <x v="506"/>
    <s v="Gomukh Ramaiya"/>
    <s v="MPG"/>
    <s v="Direct"/>
    <n v="563.1400000000001"/>
    <n v="20978.510000000002"/>
    <n v="665.11000000000013"/>
    <n v="25878.765344572403"/>
    <n v="0"/>
    <n v="0"/>
    <n v="665.11000000000013"/>
    <n v="25878.765344572403"/>
    <n v="20978.510000000002"/>
    <n v="0"/>
    <n v="0"/>
    <n v="4900.2553445724006"/>
    <n v="0"/>
    <n v="286.90949032258067"/>
    <n v="0"/>
    <n v="20691"/>
    <n v="0"/>
    <n v="0"/>
    <n v="1"/>
    <n v="0"/>
    <n v="101.96820963170785"/>
    <n v="80.448571428571441"/>
    <n v="-0.23358452743175756"/>
    <n v="1"/>
    <m/>
    <s v="DalsinghSarai"/>
    <m/>
    <n v="0"/>
  </r>
  <r>
    <s v="Munger"/>
    <s v="17-23 Apr"/>
    <n v="1012"/>
    <s v="DalsinghSarai"/>
    <x v="507"/>
    <s v="GOMUKH MANIKA EAST"/>
    <s v="MPG"/>
    <s v="Direct"/>
    <n v="901.6099999999999"/>
    <n v="35507.719999999994"/>
    <n v="901.57999999999981"/>
    <n v="35505.896708304004"/>
    <n v="0"/>
    <n v="0"/>
    <n v="901.57999999999981"/>
    <n v="35505.896708304004"/>
    <n v="35505.896708304004"/>
    <n v="0"/>
    <n v="0"/>
    <n v="0"/>
    <n v="0"/>
    <n v="0"/>
    <n v="0"/>
    <n v="35506"/>
    <n v="0"/>
    <n v="0"/>
    <n v="2"/>
    <n v="0"/>
    <n v="0"/>
    <n v="0"/>
    <n v="5.1349162829649733E-5"/>
    <n v="1"/>
    <m/>
    <s v="DalsinghSarai"/>
    <m/>
    <n v="0"/>
  </r>
  <r>
    <s v="Munger"/>
    <s v="17-23 Apr"/>
    <n v="1012"/>
    <s v="DalsinghSarai"/>
    <x v="508"/>
    <s v="IMADPUR"/>
    <s v="vlc"/>
    <s v="Indirect"/>
    <n v="887.61999999999989"/>
    <n v="30465.839999999997"/>
    <n v="0"/>
    <n v="0"/>
    <n v="0"/>
    <n v="0"/>
    <n v="0"/>
    <n v="0"/>
    <n v="30465.839999999997"/>
    <n v="0"/>
    <n v="0"/>
    <n v="0"/>
    <n v="2700"/>
    <n v="0"/>
    <n v="0"/>
    <n v="0"/>
    <n v="0"/>
    <n v="27765.839999999997"/>
    <n v="0"/>
    <n v="0"/>
    <n v="0"/>
    <n v="0"/>
    <n v="0"/>
    <n v="0"/>
    <m/>
    <s v="DalsinghSarai"/>
    <m/>
    <n v="0"/>
  </r>
  <r>
    <s v="Munger"/>
    <s v="17-23 Apr"/>
    <n v="1012"/>
    <s v="DalsinghSarai"/>
    <x v="509"/>
    <s v="Gomukh MANIYAR EAST"/>
    <s v="vlc"/>
    <s v="Indirect"/>
    <n v="271.42"/>
    <n v="11677.92"/>
    <n v="0"/>
    <n v="0"/>
    <n v="0"/>
    <n v="0"/>
    <n v="0"/>
    <n v="0"/>
    <n v="11677.92"/>
    <n v="0"/>
    <n v="0"/>
    <n v="0"/>
    <n v="0"/>
    <n v="165.04567161290322"/>
    <n v="0"/>
    <n v="0"/>
    <n v="0"/>
    <n v="11512.874328387097"/>
    <n v="0"/>
    <n v="0"/>
    <n v="368.79544275292903"/>
    <n v="38.774285714285718"/>
    <n v="0"/>
    <n v="0"/>
    <m/>
    <s v="DalsinghSarai"/>
    <m/>
    <n v="0"/>
  </r>
  <r>
    <s v="Munger"/>
    <s v="17-23 Apr"/>
    <n v="1012"/>
    <s v="DalsinghSarai"/>
    <x v="510"/>
    <s v="GOMUKH Kisanpur Tabhka"/>
    <s v="MPG"/>
    <s v="Direct"/>
    <n v="1007.26"/>
    <n v="39306.759999999995"/>
    <n v="241.67000000000002"/>
    <n v="10227.46085011389"/>
    <n v="765.61"/>
    <n v="30133.097620518965"/>
    <n v="1007.28"/>
    <n v="40360.558470632852"/>
    <n v="39306.759999999995"/>
    <n v="0"/>
    <n v="63.64120435200001"/>
    <n v="1053.7984706328571"/>
    <n v="0"/>
    <n v="0"/>
    <n v="0"/>
    <n v="9174"/>
    <n v="30069"/>
    <n v="0"/>
    <n v="0"/>
    <n v="0"/>
    <n v="0"/>
    <n v="0"/>
    <n v="-2.6809598924786911E-2"/>
    <n v="12"/>
    <m/>
    <s v="DalsinghSarai"/>
    <m/>
    <n v="0"/>
  </r>
  <r>
    <s v="Munger"/>
    <s v="17-23 Apr"/>
    <n v="1012"/>
    <s v="DalsinghSarai"/>
    <x v="511"/>
    <s v="GOMUKH BIBHUTIPUR"/>
    <s v="MPG"/>
    <s v="Direct"/>
    <n v="56.250000000000007"/>
    <n v="2214.61"/>
    <n v="56.21"/>
    <n v="2260.9640302920006"/>
    <n v="0.6"/>
    <n v="24.631873200000001"/>
    <n v="56.81"/>
    <n v="2285.5959034920006"/>
    <n v="2214.61"/>
    <n v="0"/>
    <n v="24.631873200000001"/>
    <n v="70.985903492000489"/>
    <n v="0"/>
    <n v="0"/>
    <n v="0"/>
    <n v="2190"/>
    <n v="0"/>
    <n v="0"/>
    <n v="0"/>
    <n v="0"/>
    <n v="506.89962222222226"/>
    <n v="8.0357142857142865"/>
    <n v="-3.2053455683845232E-2"/>
    <n v="3"/>
    <m/>
    <s v="DalsinghSarai"/>
    <m/>
    <n v="0"/>
  </r>
  <r>
    <s v="Munger"/>
    <s v="17-23 Apr"/>
    <n v="1012"/>
    <s v="DalsinghSarai"/>
    <x v="512"/>
    <s v="GOMUKH PATHAKTOL"/>
    <s v="MPG"/>
    <s v="Direct"/>
    <n v="158.46"/>
    <n v="6637.7699999999995"/>
    <n v="122.2"/>
    <n v="4883.1724531047612"/>
    <n v="41.5"/>
    <n v="1753.8911874"/>
    <n v="163.69999999999999"/>
    <n v="6637.0636405047608"/>
    <n v="6637.0636405047608"/>
    <n v="0"/>
    <n v="0"/>
    <n v="0"/>
    <n v="0"/>
    <n v="0"/>
    <n v="0"/>
    <n v="4883"/>
    <n v="1754"/>
    <n v="0"/>
    <n v="1"/>
    <n v="0"/>
    <n v="453.69405096554328"/>
    <n v="22.637142857142859"/>
    <n v="1.0641518088736995E-4"/>
    <n v="5"/>
    <m/>
    <s v="DalsinghSarai"/>
    <m/>
    <n v="0"/>
  </r>
  <r>
    <s v="Munger"/>
    <s v="17-23 Apr"/>
    <n v="1012"/>
    <s v="DalsinghSarai"/>
    <x v="513"/>
    <s v="Gomukh Musapur West"/>
    <s v="vlc"/>
    <s v="Indirect"/>
    <n v="427.96000000000004"/>
    <n v="16169.929999999998"/>
    <n v="0"/>
    <n v="0"/>
    <n v="0"/>
    <n v="0"/>
    <n v="0"/>
    <n v="0"/>
    <n v="16169.929999999998"/>
    <n v="0"/>
    <n v="0"/>
    <n v="0"/>
    <n v="0"/>
    <n v="731.84835870967788"/>
    <n v="0"/>
    <n v="0"/>
    <n v="0"/>
    <n v="15438.08164129032"/>
    <n v="0"/>
    <n v="0"/>
    <n v="205.57378059631733"/>
    <n v="61.137142857142862"/>
    <n v="0"/>
    <n v="0"/>
    <m/>
    <s v="DalsinghSarai"/>
    <m/>
    <n v="0"/>
  </r>
  <r>
    <s v="Munger"/>
    <s v="17-23 Apr"/>
    <n v="1012"/>
    <s v="DalsinghSarai"/>
    <x v="514"/>
    <s v="GOMUKH DADHIYA RAMKRISHANPUR"/>
    <s v="MPG"/>
    <s v="Direct"/>
    <n v="1584.75"/>
    <n v="66314.009999999995"/>
    <n v="506.59999999999997"/>
    <n v="18663.591354414704"/>
    <n v="1105.17"/>
    <n v="47648.117190505152"/>
    <n v="1611.77"/>
    <n v="66311.708544919849"/>
    <n v="66311.708544919849"/>
    <n v="0"/>
    <n v="1149.30041644881"/>
    <n v="0"/>
    <n v="0"/>
    <n v="0"/>
    <n v="0"/>
    <n v="18663"/>
    <n v="46498"/>
    <n v="0"/>
    <n v="4"/>
    <n v="0"/>
    <n v="0"/>
    <n v="0"/>
    <n v="3.4705412629177274E-5"/>
    <n v="28"/>
    <m/>
    <s v="DalsinghSarai"/>
    <m/>
    <n v="0"/>
  </r>
  <r>
    <s v="Munger"/>
    <s v="17-23 Apr"/>
    <n v="1012"/>
    <s v="DalsinghSarai"/>
    <x v="982"/>
    <s v="Gomukh Simri Ward 4"/>
    <s v="vlc"/>
    <s v="Indirect"/>
    <n v="3820"/>
    <n v="127339.8"/>
    <n v="0"/>
    <n v="0"/>
    <n v="0"/>
    <n v="0"/>
    <n v="0"/>
    <n v="0"/>
    <n v="127339.8"/>
    <n v="0"/>
    <n v="0"/>
    <n v="0"/>
    <n v="6750"/>
    <n v="0"/>
    <n v="0"/>
    <n v="0"/>
    <n v="0"/>
    <n v="120589.8"/>
    <n v="0"/>
    <n v="0"/>
    <n v="0"/>
    <n v="0"/>
    <n v="0"/>
    <n v="0"/>
    <m/>
    <s v="DalsinghSarai"/>
    <m/>
    <n v="0"/>
  </r>
  <r>
    <s v="Munger"/>
    <s v="17-23 Apr"/>
    <n v="1012"/>
    <s v="DalsinghSarai"/>
    <x v="515"/>
    <s v="GOMUKH BALTHARA"/>
    <s v="MPG"/>
    <s v="Direct"/>
    <n v="274.16999999999996"/>
    <n v="10794.170000000002"/>
    <n v="76.990000000000023"/>
    <n v="3155.1581433078004"/>
    <n v="190.55"/>
    <n v="7631.4606583666191"/>
    <n v="267.54000000000002"/>
    <n v="10786.61880167442"/>
    <n v="10786.61880167442"/>
    <n v="0"/>
    <n v="0"/>
    <n v="0"/>
    <n v="0"/>
    <n v="0"/>
    <n v="0"/>
    <n v="3155"/>
    <n v="7632"/>
    <n v="0"/>
    <n v="7"/>
    <n v="0"/>
    <n v="335.30155823758992"/>
    <n v="39.167142857142849"/>
    <n v="6.9956266443662967E-4"/>
    <n v="7"/>
    <m/>
    <s v="DalsinghSarai"/>
    <m/>
    <n v="0"/>
  </r>
  <r>
    <s v="Munger"/>
    <s v="17-23 Apr"/>
    <n v="1012"/>
    <s v="DalsinghSarai"/>
    <x v="516"/>
    <s v="GOMUKH BHASINGPUR"/>
    <s v="MPG"/>
    <s v="Direct"/>
    <n v="1083.1300000000001"/>
    <n v="45130.159999999996"/>
    <n v="442.24999999999994"/>
    <n v="20181.147298609867"/>
    <n v="721.68999999999994"/>
    <n v="29577.456371257809"/>
    <n v="1163.9399999999998"/>
    <n v="49758.603669867676"/>
    <n v="45130.159999999996"/>
    <n v="0"/>
    <n v="0"/>
    <n v="4628.44366986768"/>
    <n v="0"/>
    <n v="0"/>
    <n v="0"/>
    <n v="17746"/>
    <n v="27384"/>
    <n v="0"/>
    <n v="0"/>
    <n v="0"/>
    <n v="0"/>
    <n v="0"/>
    <n v="-0.10255766143677932"/>
    <n v="13"/>
    <m/>
    <s v="DalsinghSarai"/>
    <m/>
    <n v="0"/>
  </r>
  <r>
    <s v="Munger"/>
    <s v="17-23 Apr"/>
    <n v="1012"/>
    <s v="DalsinghSarai"/>
    <x v="517"/>
    <s v="GOMUKH Chakhale Dad"/>
    <s v="MPG"/>
    <s v="Direct"/>
    <n v="750.53"/>
    <n v="28431.79"/>
    <n v="643.6"/>
    <n v="23888.908997640079"/>
    <n v="135.65999999999997"/>
    <n v="4498.2941813567995"/>
    <n v="779.26"/>
    <n v="28387.203178996879"/>
    <n v="28387.203178996879"/>
    <n v="0"/>
    <n v="92.523983111999996"/>
    <n v="0"/>
    <n v="0"/>
    <n v="0"/>
    <n v="0"/>
    <n v="23890"/>
    <n v="4406"/>
    <n v="0"/>
    <n v="43"/>
    <n v="0"/>
    <n v="0"/>
    <n v="0"/>
    <n v="1.5682030924933734E-3"/>
    <n v="15"/>
    <m/>
    <s v="DalsinghSarai"/>
    <m/>
    <n v="0"/>
  </r>
  <r>
    <s v="Munger"/>
    <s v="17-23 Apr"/>
    <n v="1013"/>
    <s v="Musrigharari"/>
    <x v="518"/>
    <s v="GOMUKH BANGHARH KISHANPUR"/>
    <s v="MPG"/>
    <s v="Direct"/>
    <n v="588.39999999999986"/>
    <n v="20295.309999999998"/>
    <n v="109.89999999999999"/>
    <n v="3810.1083035400006"/>
    <n v="475.1"/>
    <n v="16974.629941268802"/>
    <n v="585"/>
    <n v="20784.738244808803"/>
    <n v="20295.309999999998"/>
    <n v="0"/>
    <n v="158.63434448400005"/>
    <n v="489.42824480880518"/>
    <n v="0"/>
    <n v="0"/>
    <n v="0"/>
    <n v="3321"/>
    <n v="16816"/>
    <n v="0"/>
    <n v="0"/>
    <n v="0"/>
    <n v="76.986967912984468"/>
    <n v="84.057142857142836"/>
    <n v="-2.4115337228591494E-2"/>
    <n v="11"/>
    <m/>
    <s v="Musrigharari"/>
    <m/>
    <n v="0"/>
  </r>
  <r>
    <s v="Munger"/>
    <s v="17-23 Apr"/>
    <n v="1013"/>
    <s v="Musrigharari"/>
    <x v="519"/>
    <s v="Gomukh Serpur Narsari"/>
    <s v="vlc"/>
    <s v="Indirect"/>
    <n v="117.9"/>
    <n v="3767.5599999999995"/>
    <n v="0"/>
    <n v="0"/>
    <n v="0"/>
    <n v="0"/>
    <n v="0"/>
    <n v="0"/>
    <n v="3767.5599999999995"/>
    <n v="0"/>
    <n v="0"/>
    <n v="0"/>
    <n v="0"/>
    <n v="0"/>
    <n v="0"/>
    <n v="0"/>
    <n v="0"/>
    <n v="3767.5599999999995"/>
    <n v="0"/>
    <n v="0"/>
    <n v="372.02657777777773"/>
    <n v="16.842857142857145"/>
    <n v="0"/>
    <n v="0"/>
    <m/>
    <s v="Musrigharari"/>
    <m/>
    <n v="0"/>
  </r>
  <r>
    <s v="Munger"/>
    <s v="17-23 Apr"/>
    <n v="1013"/>
    <s v="Musrigharari"/>
    <x v="520"/>
    <s v="PARORIYA"/>
    <s v="MPG"/>
    <s v="Direct"/>
    <n v="45.5"/>
    <n v="1412.2399999999998"/>
    <n v="45.5"/>
    <n v="1456.7206529700002"/>
    <n v="0"/>
    <n v="0"/>
    <n v="45.5"/>
    <n v="1456.7206529700002"/>
    <n v="1412.2399999999998"/>
    <n v="0"/>
    <n v="0"/>
    <n v="44.480652970000392"/>
    <n v="0"/>
    <n v="102.92789999999999"/>
    <n v="0"/>
    <n v="1309"/>
    <n v="0"/>
    <n v="0"/>
    <n v="0"/>
    <n v="0"/>
    <n v="406.2905846153846"/>
    <n v="6.5"/>
    <n v="-3.1496525356880134E-2"/>
    <n v="1"/>
    <m/>
    <s v="Musrigharari"/>
    <m/>
    <n v="0"/>
  </r>
  <r>
    <s v="Munger"/>
    <s v="17-23 Apr"/>
    <n v="1013"/>
    <s v="Musrigharari"/>
    <x v="521"/>
    <s v="JHAKHRA"/>
    <s v="vlc"/>
    <s v="Indirect"/>
    <n v="43.6"/>
    <n v="1379.2099999999998"/>
    <n v="0"/>
    <n v="0"/>
    <n v="0"/>
    <n v="0"/>
    <n v="0"/>
    <n v="0"/>
    <n v="1379.2099999999998"/>
    <n v="0"/>
    <n v="0"/>
    <n v="0"/>
    <n v="0"/>
    <n v="0"/>
    <n v="0"/>
    <n v="0"/>
    <n v="0"/>
    <n v="1379.2099999999998"/>
    <n v="0"/>
    <n v="0"/>
    <n v="415.28139633027519"/>
    <n v="6.2285714285714286"/>
    <n v="0"/>
    <n v="0"/>
    <m/>
    <s v="Musrigharari"/>
    <m/>
    <n v="0"/>
  </r>
  <r>
    <s v="Munger"/>
    <s v="17-23 Apr"/>
    <n v="1013"/>
    <s v="Musrigharari"/>
    <x v="522"/>
    <s v="GOMUKH ANDAHA"/>
    <s v="MPG"/>
    <s v="Direct"/>
    <n v="568.20000000000005"/>
    <n v="19636.63"/>
    <n v="549.47"/>
    <n v="19621.250648294426"/>
    <n v="0.24"/>
    <n v="9.1240966080000021"/>
    <n v="549.71"/>
    <n v="19630.374744902427"/>
    <n v="19630.374744902427"/>
    <n v="0"/>
    <n v="9.1240966080000021"/>
    <n v="0"/>
    <n v="0"/>
    <n v="0"/>
    <n v="0"/>
    <n v="19623"/>
    <n v="0"/>
    <n v="0"/>
    <n v="5"/>
    <n v="0"/>
    <n v="91.09848060542059"/>
    <n v="81.171428571428578"/>
    <n v="3.1855033667051131E-4"/>
    <n v="11"/>
    <m/>
    <s v="Musrigharari"/>
    <m/>
    <n v="0"/>
  </r>
  <r>
    <s v="Munger"/>
    <s v="17-23 Apr"/>
    <n v="1013"/>
    <s v="Musrigharari"/>
    <x v="523"/>
    <s v="Gomukha Rohua"/>
    <s v="MPG"/>
    <s v="Direct"/>
    <n v="487.79999999999995"/>
    <n v="19885.72"/>
    <n v="447.84999999999997"/>
    <n v="19084.591672417904"/>
    <n v="62.090000000000011"/>
    <n v="2451.2366547033998"/>
    <n v="509.94"/>
    <n v="21535.828327121304"/>
    <n v="19885.72"/>
    <n v="0"/>
    <n v="353.51508675400009"/>
    <n v="1650.1083271213029"/>
    <n v="0"/>
    <n v="0"/>
    <n v="0"/>
    <n v="17434"/>
    <n v="2098"/>
    <n v="0"/>
    <n v="0"/>
    <n v="0"/>
    <n v="173.01147125871262"/>
    <n v="69.685714285714283"/>
    <n v="-8.2979561570881155E-2"/>
    <n v="12"/>
    <m/>
    <s v="Musrigharari"/>
    <m/>
    <n v="0"/>
  </r>
  <r>
    <s v="Munger"/>
    <s v="17-23 Apr"/>
    <n v="1013"/>
    <s v="Musrigharari"/>
    <x v="524"/>
    <s v="Gomukha Arniya Ganj"/>
    <s v="MPG"/>
    <s v="Direct"/>
    <n v="3235.6999999999994"/>
    <n v="119231.14"/>
    <n v="1849.5"/>
    <n v="69241.747874112014"/>
    <n v="1444.5000000000002"/>
    <n v="53489.010694086021"/>
    <n v="3294"/>
    <n v="122730.75856819804"/>
    <n v="119231.14"/>
    <n v="0"/>
    <n v="1274.3379831600002"/>
    <n v="3499.6185681980423"/>
    <n v="0"/>
    <n v="0"/>
    <n v="0"/>
    <n v="65745"/>
    <n v="52212"/>
    <n v="0"/>
    <n v="0"/>
    <n v="0"/>
    <n v="0"/>
    <n v="0"/>
    <n v="-2.9351548330394578E-2"/>
    <n v="56"/>
    <m/>
    <s v="Musrigharari"/>
    <m/>
    <n v="0"/>
  </r>
  <r>
    <s v="Munger"/>
    <s v="17-23 Apr"/>
    <n v="1013"/>
    <s v="Musrigharari"/>
    <x v="525"/>
    <s v="Gomukha Vishanupatti II"/>
    <s v="vlc"/>
    <s v="Indirect"/>
    <n v="355.29999999999995"/>
    <n v="13762.499999999998"/>
    <n v="0"/>
    <n v="0"/>
    <n v="0"/>
    <n v="0"/>
    <n v="0"/>
    <n v="0"/>
    <n v="13762.499999999998"/>
    <n v="0"/>
    <n v="0"/>
    <n v="0"/>
    <n v="2700"/>
    <n v="15.709161290322605"/>
    <n v="0"/>
    <n v="0"/>
    <n v="0"/>
    <n v="11046.790838709676"/>
    <n v="0"/>
    <n v="0"/>
    <n v="267.03820714888832"/>
    <n v="50.757142857142853"/>
    <n v="0"/>
    <n v="0"/>
    <m/>
    <s v="Musrigharari"/>
    <m/>
    <n v="0"/>
  </r>
  <r>
    <s v="Munger"/>
    <s v="17-23 Apr"/>
    <n v="1013"/>
    <s v="Musrigharari"/>
    <x v="526"/>
    <s v="Gomukh Khesarhiya"/>
    <s v="vlc"/>
    <s v="Indirect"/>
    <n v="86.90000000000002"/>
    <n v="3865.92"/>
    <n v="0"/>
    <n v="0"/>
    <n v="0"/>
    <n v="0"/>
    <n v="0"/>
    <n v="0"/>
    <n v="3865.92"/>
    <n v="0"/>
    <n v="0"/>
    <n v="0"/>
    <n v="0"/>
    <n v="0"/>
    <n v="0"/>
    <n v="0"/>
    <n v="0"/>
    <n v="3865.92"/>
    <n v="0"/>
    <n v="0"/>
    <n v="545.49955166858456"/>
    <n v="12.414285714285716"/>
    <n v="0"/>
    <n v="0"/>
    <m/>
    <s v="Musrigharari"/>
    <m/>
    <n v="0"/>
  </r>
  <r>
    <s v="Munger"/>
    <s v="17-23 Apr"/>
    <n v="1013"/>
    <s v="Musrigharari"/>
    <x v="527"/>
    <s v="Harsingpur"/>
    <s v="vlc"/>
    <s v="Indirect"/>
    <n v="164.90000000000003"/>
    <n v="5407.0499999999993"/>
    <n v="0"/>
    <n v="0"/>
    <n v="0"/>
    <n v="0"/>
    <n v="0"/>
    <n v="0"/>
    <n v="5407.0499999999993"/>
    <n v="0"/>
    <n v="0"/>
    <n v="0"/>
    <n v="1350"/>
    <n v="11.171845161290371"/>
    <n v="0"/>
    <n v="0"/>
    <n v="0"/>
    <n v="4045.8781548387087"/>
    <n v="0"/>
    <n v="0"/>
    <n v="350.91721710127337"/>
    <n v="23.55714285714286"/>
    <n v="0"/>
    <n v="0"/>
    <m/>
    <s v="Musrigharari"/>
    <m/>
    <n v="0"/>
  </r>
  <r>
    <s v="Munger"/>
    <s v="17-23 Apr"/>
    <n v="1013"/>
    <s v="Musrigharari"/>
    <x v="528"/>
    <s v="Gomukh ID Mahathi"/>
    <s v="vlc"/>
    <s v="Indirect"/>
    <n v="558.70000000000016"/>
    <n v="19857.519999999993"/>
    <n v="0"/>
    <n v="0"/>
    <n v="0"/>
    <n v="0"/>
    <n v="0"/>
    <n v="0"/>
    <n v="19857.519999999993"/>
    <n v="0"/>
    <n v="0"/>
    <n v="0"/>
    <n v="0"/>
    <n v="0"/>
    <n v="0"/>
    <n v="0"/>
    <n v="0"/>
    <n v="19857.519999999993"/>
    <n v="0"/>
    <n v="0"/>
    <n v="100.44272690173602"/>
    <n v="79.814285714285731"/>
    <n v="0"/>
    <n v="0"/>
    <m/>
    <s v="Musrigharari"/>
    <m/>
    <n v="0"/>
  </r>
  <r>
    <s v="Munger"/>
    <s v="17-23 Apr"/>
    <n v="1013"/>
    <s v="Musrigharari"/>
    <x v="529"/>
    <s v="MURTUJAPUR"/>
    <s v="vlc"/>
    <s v="Indirect"/>
    <n v="461.70000000000005"/>
    <n v="17783.16"/>
    <n v="0"/>
    <n v="0"/>
    <n v="0"/>
    <n v="0"/>
    <n v="0"/>
    <n v="0"/>
    <n v="17783.16"/>
    <n v="0"/>
    <n v="0"/>
    <n v="0"/>
    <n v="0"/>
    <n v="0"/>
    <n v="0"/>
    <n v="0"/>
    <n v="0"/>
    <n v="17783.16"/>
    <n v="0"/>
    <n v="0"/>
    <n v="183.57058817413895"/>
    <n v="65.95714285714287"/>
    <n v="0"/>
    <n v="0"/>
    <m/>
    <s v="Musrigharari"/>
    <m/>
    <n v="0"/>
  </r>
  <r>
    <s v="Munger"/>
    <s v="17-23 Apr"/>
    <n v="1013"/>
    <s v="Musrigharari"/>
    <x v="530"/>
    <s v="Rasalpur"/>
    <s v="MPG"/>
    <s v="Direct"/>
    <n v="42.7"/>
    <n v="1670.5700000000002"/>
    <n v="20.25"/>
    <n v="814.9140473760001"/>
    <n v="28.550000000000004"/>
    <n v="1111.6170228240003"/>
    <n v="48.800000000000004"/>
    <n v="1926.5310702000004"/>
    <n v="1670.5700000000002"/>
    <n v="0"/>
    <n v="129.18416385600003"/>
    <n v="255.96107020000022"/>
    <n v="0"/>
    <n v="169.97809090909095"/>
    <n v="0"/>
    <n v="389"/>
    <n v="982"/>
    <n v="0"/>
    <n v="0"/>
    <n v="0"/>
    <n v="514.31646885245914"/>
    <n v="6.1000000000000005"/>
    <n v="-0.15321780601830526"/>
    <n v="5"/>
    <m/>
    <s v="Musrigharari"/>
    <m/>
    <n v="0"/>
  </r>
  <r>
    <s v="Munger"/>
    <s v="17-23 Apr"/>
    <n v="1013"/>
    <s v="Musrigharari"/>
    <x v="531"/>
    <s v="Chhuchhipur                                                                                         "/>
    <s v="MPG"/>
    <s v="Direct"/>
    <n v="52.7"/>
    <n v="1518.9099999999999"/>
    <n v="60"/>
    <n v="2217.6633599999996"/>
    <n v="0"/>
    <n v="0"/>
    <n v="60"/>
    <n v="2217.6633599999996"/>
    <n v="1518.9099999999999"/>
    <n v="0"/>
    <n v="0"/>
    <n v="698.7533599999997"/>
    <n v="1519"/>
    <n v="0"/>
    <n v="0"/>
    <n v="0"/>
    <n v="0"/>
    <n v="0"/>
    <n v="0"/>
    <n v="0"/>
    <n v="373.12730284629981"/>
    <n v="7.5285714285714294"/>
    <n v="-0.46003605216898946"/>
    <n v="1"/>
    <m/>
    <s v="Musrigharari"/>
    <m/>
    <n v="0"/>
  </r>
  <r>
    <s v="Munger"/>
    <s v="17-23 Apr"/>
    <n v="1013"/>
    <s v="Musrigharari"/>
    <x v="532"/>
    <s v="Gomukh ID Sararanjan"/>
    <s v="vlc"/>
    <s v="Indirect"/>
    <n v="77.099999999999994"/>
    <n v="2925.46"/>
    <n v="0"/>
    <n v="0"/>
    <n v="0"/>
    <n v="0"/>
    <n v="0"/>
    <n v="0"/>
    <n v="2925.46"/>
    <n v="0"/>
    <n v="0"/>
    <n v="0"/>
    <n v="2925"/>
    <n v="0"/>
    <n v="0"/>
    <n v="0"/>
    <n v="0"/>
    <n v="0.46000000000003638"/>
    <n v="0"/>
    <s v="Release1"/>
    <n v="472.70273255512325"/>
    <n v="11.014285714285714"/>
    <n v="0"/>
    <n v="0"/>
    <m/>
    <s v="Musrigharari"/>
    <m/>
    <n v="0"/>
  </r>
  <r>
    <s v="Munger"/>
    <s v="17-23 Apr"/>
    <n v="1013"/>
    <s v="Musrigharari"/>
    <x v="533"/>
    <s v="Gomukh Soharthi Purvi Tola                                                                          "/>
    <s v="MPG"/>
    <s v="Direct"/>
    <n v="57.099999999999994"/>
    <n v="2176.16"/>
    <n v="79.7"/>
    <n v="3843.7419566080011"/>
    <n v="0"/>
    <n v="0"/>
    <n v="79.7"/>
    <n v="3843.7419566080011"/>
    <n v="2176.16"/>
    <n v="0"/>
    <n v="0"/>
    <n v="1667.5819566080013"/>
    <n v="0"/>
    <n v="2.2488915254237281"/>
    <n v="0"/>
    <n v="2173"/>
    <n v="0"/>
    <n v="0"/>
    <n v="1"/>
    <n v="0"/>
    <n v="490.03616952714532"/>
    <n v="8.1571428571428566"/>
    <n v="-0.76629565684876177"/>
    <n v="1"/>
    <m/>
    <s v="Musrigharari"/>
    <m/>
    <n v="0"/>
  </r>
  <r>
    <s v="Munger"/>
    <s v="17-23 Apr"/>
    <n v="1013"/>
    <s v="Musrigharari"/>
    <x v="534"/>
    <s v="Birnama"/>
    <s v="vlc"/>
    <s v="Indirect"/>
    <n v="234.6"/>
    <n v="6087.87"/>
    <n v="0"/>
    <n v="0"/>
    <n v="0"/>
    <n v="0"/>
    <n v="0"/>
    <n v="0"/>
    <n v="6087.87"/>
    <n v="0"/>
    <n v="0"/>
    <n v="0"/>
    <n v="0"/>
    <n v="0"/>
    <n v="0"/>
    <n v="0"/>
    <n v="0"/>
    <n v="6087.87"/>
    <n v="0"/>
    <n v="0"/>
    <n v="241.54260000000005"/>
    <n v="33.514285714285712"/>
    <n v="0"/>
    <n v="0"/>
    <m/>
    <s v="Musrigharari"/>
    <m/>
    <n v="0"/>
  </r>
  <r>
    <s v="Munger"/>
    <s v="17-23 Apr"/>
    <n v="1013"/>
    <s v="Musrigharari"/>
    <x v="535"/>
    <s v="Maraie - Rubi"/>
    <s v="vlc"/>
    <s v="Indirect"/>
    <n v="69.7"/>
    <n v="2721.28"/>
    <n v="0"/>
    <n v="0"/>
    <n v="0"/>
    <n v="0"/>
    <n v="0"/>
    <n v="0"/>
    <n v="2721.28"/>
    <n v="0"/>
    <n v="0"/>
    <n v="0"/>
    <n v="0"/>
    <n v="43.567006451612905"/>
    <n v="0"/>
    <n v="0"/>
    <n v="0"/>
    <n v="2677.7129935483872"/>
    <n v="0"/>
    <n v="0"/>
    <n v="492.17296527977044"/>
    <n v="9.9571428571428573"/>
    <n v="0"/>
    <n v="0"/>
    <m/>
    <s v="Musrigharari"/>
    <m/>
    <n v="0"/>
  </r>
  <r>
    <s v="Munger"/>
    <s v="17-23 Apr"/>
    <n v="1013"/>
    <s v="Musrigharari"/>
    <x v="537"/>
    <s v="Lakshmipur Western Tol - Rajeev"/>
    <s v="MPG"/>
    <s v="Indirect"/>
    <n v="2248.7000000000007"/>
    <n v="94517.599999999991"/>
    <n v="0"/>
    <n v="0"/>
    <n v="0"/>
    <n v="0"/>
    <n v="0"/>
    <n v="0"/>
    <n v="94517.599999999991"/>
    <n v="0"/>
    <n v="0"/>
    <n v="0"/>
    <n v="0"/>
    <n v="0"/>
    <n v="0"/>
    <n v="0"/>
    <n v="0"/>
    <n v="94517.599999999991"/>
    <n v="0"/>
    <n v="0"/>
    <n v="0"/>
    <n v="0"/>
    <n v="0"/>
    <n v="0"/>
    <m/>
    <s v="Musrigharari"/>
    <m/>
    <n v="0"/>
  </r>
  <r>
    <s v="Munger"/>
    <s v="17-23 Apr"/>
    <n v="1013"/>
    <s v="Musrigharari"/>
    <x v="538"/>
    <s v="Jahangipur Salkhanni"/>
    <s v="MPG"/>
    <s v="Direct"/>
    <n v="361.2000000000001"/>
    <n v="15365.89"/>
    <n v="274.02999999999997"/>
    <n v="11685.301342671002"/>
    <n v="131.91000000000003"/>
    <n v="5902.8241727260465"/>
    <n v="405.94"/>
    <n v="17588.125515397049"/>
    <n v="15365.89"/>
    <n v="0"/>
    <n v="0"/>
    <n v="2222.2355153970493"/>
    <n v="2605"/>
    <n v="0"/>
    <n v="0"/>
    <n v="6860"/>
    <n v="5901"/>
    <n v="0"/>
    <n v="0"/>
    <n v="0"/>
    <n v="288.25933178294559"/>
    <n v="51.600000000000016"/>
    <n v="-0.14462133435792196"/>
    <n v="17"/>
    <m/>
    <s v="Musrigharari"/>
    <m/>
    <n v="0"/>
  </r>
  <r>
    <s v="Munger"/>
    <s v="17-23 Apr"/>
    <n v="1013"/>
    <s v="Musrigharari"/>
    <x v="539"/>
    <s v="Sekhpura"/>
    <s v="MPG"/>
    <s v="Direct"/>
    <n v="242.9"/>
    <n v="8798.7200000000012"/>
    <n v="243.85"/>
    <n v="8936.5839213815998"/>
    <n v="2.91"/>
    <n v="103.9313587356"/>
    <n v="246.76"/>
    <n v="9040.5152801171989"/>
    <n v="8798.7200000000012"/>
    <n v="0"/>
    <n v="103.9313587356"/>
    <n v="241.79528011719776"/>
    <n v="0"/>
    <n v="0"/>
    <n v="0"/>
    <n v="8695"/>
    <n v="0"/>
    <n v="0"/>
    <n v="0"/>
    <n v="0"/>
    <n v="331.15643573487034"/>
    <n v="34.700000000000003"/>
    <n v="-2.7480733574565132E-2"/>
    <n v="6"/>
    <m/>
    <s v="Musrigharari"/>
    <m/>
    <n v="0"/>
  </r>
  <r>
    <s v="Munger"/>
    <s v="17-23 Apr"/>
    <n v="1013"/>
    <s v="Musrigharari"/>
    <x v="540"/>
    <s v="Songar"/>
    <s v="MPG"/>
    <s v="Direct"/>
    <n v="1396.1"/>
    <n v="48703.039999999994"/>
    <n v="785.56"/>
    <n v="29035.899182928024"/>
    <n v="608.33999999999992"/>
    <n v="20300.610225257999"/>
    <n v="1393.8999999999999"/>
    <n v="49336.509408186022"/>
    <n v="48703.039999999994"/>
    <n v="0"/>
    <n v="531.19306470780009"/>
    <n v="633.46940818602889"/>
    <n v="0"/>
    <n v="0"/>
    <n v="0"/>
    <n v="28402"/>
    <n v="19770"/>
    <n v="0"/>
    <n v="0"/>
    <n v="0"/>
    <n v="0"/>
    <n v="0"/>
    <n v="-1.3006773461903589E-2"/>
    <n v="31"/>
    <m/>
    <s v="Musrigharari"/>
    <m/>
    <n v="0"/>
  </r>
  <r>
    <s v="Munger"/>
    <s v="17-23 Apr"/>
    <n v="1013"/>
    <s v="Musrigharari"/>
    <x v="541"/>
    <s v="Rampur Maheshpur"/>
    <s v="MPG"/>
    <s v="Direct"/>
    <n v="565"/>
    <n v="21971.3"/>
    <n v="370.03999999999996"/>
    <n v="16206.06136960139"/>
    <n v="226.16000000000003"/>
    <n v="8023.2801719796016"/>
    <n v="596.20000000000005"/>
    <n v="24229.34154158099"/>
    <n v="21971.3"/>
    <n v="0"/>
    <n v="68.591233497600001"/>
    <n v="2258.0415415809912"/>
    <n v="0"/>
    <n v="0"/>
    <n v="0"/>
    <n v="14428"/>
    <n v="7475"/>
    <n v="0"/>
    <n v="0"/>
    <n v="0"/>
    <n v="104.99559292035403"/>
    <n v="80.714285714285708"/>
    <n v="-0.10277232305694206"/>
    <n v="13"/>
    <m/>
    <s v="Musrigharari"/>
    <m/>
    <n v="0"/>
  </r>
  <r>
    <s v="Munger"/>
    <s v="17-23 Apr"/>
    <n v="1013"/>
    <s v="Musrigharari"/>
    <x v="542"/>
    <s v="Godhiyari"/>
    <s v="vlc"/>
    <s v="Indirect"/>
    <n v="197.69999999999996"/>
    <n v="6933.9600000000009"/>
    <n v="0"/>
    <n v="0"/>
    <n v="0"/>
    <n v="0"/>
    <n v="0"/>
    <n v="0"/>
    <n v="6933.9600000000009"/>
    <n v="0"/>
    <n v="0"/>
    <n v="0"/>
    <n v="0"/>
    <n v="68.045787096774092"/>
    <n v="0"/>
    <n v="0"/>
    <n v="0"/>
    <n v="6865.9142129032271"/>
    <n v="0"/>
    <n v="0"/>
    <n v="352.34477572078924"/>
    <n v="28.242857142857137"/>
    <n v="0"/>
    <n v="0"/>
    <m/>
    <s v="Musrigharari"/>
    <m/>
    <n v="0"/>
  </r>
  <r>
    <s v="Munger"/>
    <s v="17-23 Apr"/>
    <n v="1013"/>
    <s v="Musrigharari"/>
    <x v="543"/>
    <s v="Jhakhra-Rambilash"/>
    <s v="vlc"/>
    <s v="Indirect"/>
    <n v="547.70000000000005"/>
    <n v="20823.810000000001"/>
    <n v="0"/>
    <n v="0"/>
    <n v="0"/>
    <n v="0"/>
    <n v="0"/>
    <n v="0"/>
    <n v="20823.810000000001"/>
    <n v="0"/>
    <n v="0"/>
    <n v="0"/>
    <n v="0"/>
    <n v="0"/>
    <n v="0"/>
    <n v="0"/>
    <n v="0"/>
    <n v="20823.810000000001"/>
    <n v="0"/>
    <n v="0"/>
    <n v="115.81034372831837"/>
    <n v="78.242857142857147"/>
    <n v="0"/>
    <n v="0"/>
    <m/>
    <s v="Musrigharari"/>
    <m/>
    <n v="0"/>
  </r>
  <r>
    <s v="Munger"/>
    <s v="17-23 Apr"/>
    <n v="1013"/>
    <s v="Musrigharari"/>
    <x v="545"/>
    <s v="Dagarua"/>
    <s v="MPG"/>
    <s v="Direct"/>
    <n v="14.4"/>
    <n v="459.4"/>
    <n v="14.2"/>
    <n v="474.69311049600003"/>
    <n v="0"/>
    <n v="0"/>
    <n v="14.2"/>
    <n v="474.69311049600003"/>
    <n v="459.4"/>
    <n v="0"/>
    <n v="0"/>
    <n v="15.293110496000054"/>
    <n v="459"/>
    <n v="0"/>
    <n v="0"/>
    <n v="0"/>
    <n v="0"/>
    <n v="0"/>
    <n v="0"/>
    <s v="Yes"/>
    <n v="437.45088888888881"/>
    <n v="2.0571428571428574"/>
    <n v="-3.3289313225947005E-2"/>
    <n v="1"/>
    <m/>
    <s v="Musrigharari"/>
    <m/>
    <n v="0"/>
  </r>
  <r>
    <s v="Munger"/>
    <s v="17-23 Apr"/>
    <n v="1013"/>
    <s v="Musrigharari"/>
    <x v="546"/>
    <s v="Chakmilki"/>
    <s v="MPG"/>
    <s v="Direct"/>
    <n v="308.8"/>
    <n v="11668.48"/>
    <n v="170.52"/>
    <n v="6359.8280927319311"/>
    <n v="185.75"/>
    <n v="6609.8969214317722"/>
    <n v="356.27"/>
    <n v="12969.725014163703"/>
    <n v="11668.48"/>
    <n v="0"/>
    <n v="244.79651320872003"/>
    <n v="1301.2450141637037"/>
    <n v="0"/>
    <n v="0"/>
    <n v="0"/>
    <n v="5059"/>
    <n v="6365"/>
    <n v="0"/>
    <n v="0"/>
    <n v="0"/>
    <n v="295.64179896373054"/>
    <n v="44.114285714285714"/>
    <n v="-0.1115179538520616"/>
    <n v="12"/>
    <m/>
    <s v="Musrigharari"/>
    <m/>
    <n v="0"/>
  </r>
  <r>
    <s v="Munger"/>
    <s v="17-23 Apr"/>
    <n v="1013"/>
    <s v="Musrigharari"/>
    <x v="547"/>
    <s v="Gomukh Akaha"/>
    <s v="MPG"/>
    <s v="Direct"/>
    <n v="167.8"/>
    <n v="5201.74"/>
    <n v="147.30000000000001"/>
    <n v="4591.0680003342004"/>
    <n v="26.229999999999997"/>
    <n v="845.03327097420004"/>
    <n v="173.53"/>
    <n v="5436.1012713084001"/>
    <n v="5201.74"/>
    <n v="0"/>
    <n v="23.322533790600005"/>
    <n v="234.36127130840032"/>
    <n v="0"/>
    <n v="23.226832258064537"/>
    <n v="0"/>
    <n v="4334"/>
    <n v="821"/>
    <n v="0"/>
    <n v="0"/>
    <n v="0"/>
    <n v="329.96019404052436"/>
    <n v="23.971428571428572"/>
    <n v="-4.5054399356446173E-2"/>
    <n v="6"/>
    <m/>
    <s v="Musrigharari"/>
    <m/>
    <n v="0"/>
  </r>
  <r>
    <s v="Munger"/>
    <s v="17-23 Apr"/>
    <n v="1013"/>
    <s v="Musrigharari"/>
    <x v="548"/>
    <s v="Nauachak-Pankaj"/>
    <s v="vlc"/>
    <s v="Indirect"/>
    <n v="127.60000000000001"/>
    <n v="4801.01"/>
    <n v="0"/>
    <n v="0"/>
    <n v="0"/>
    <n v="0"/>
    <n v="0"/>
    <n v="0"/>
    <n v="4801.01"/>
    <n v="0"/>
    <n v="0"/>
    <n v="0"/>
    <n v="1350"/>
    <n v="0"/>
    <n v="0"/>
    <n v="0"/>
    <n v="0"/>
    <n v="3451.01"/>
    <n v="0"/>
    <n v="0"/>
    <n v="430.7363830721003"/>
    <n v="18.228571428571431"/>
    <n v="0"/>
    <n v="0"/>
    <m/>
    <s v="Musrigharari"/>
    <m/>
    <n v="0"/>
  </r>
  <r>
    <s v="Munger"/>
    <s v="17-23 Apr"/>
    <n v="1013"/>
    <s v="Musrigharari"/>
    <x v="549"/>
    <s v="Jitwarpur-Manisha"/>
    <s v="vlc"/>
    <s v="Indirect"/>
    <n v="61.4"/>
    <n v="2318.6999999999998"/>
    <n v="0"/>
    <n v="0"/>
    <n v="0"/>
    <n v="0"/>
    <n v="0"/>
    <n v="0"/>
    <n v="2318.6999999999998"/>
    <n v="0"/>
    <n v="0"/>
    <n v="0"/>
    <n v="0"/>
    <n v="31.083406451612881"/>
    <n v="0"/>
    <n v="0"/>
    <n v="0"/>
    <n v="2287.6165935483868"/>
    <n v="0"/>
    <n v="0"/>
    <n v="482.31981107491856"/>
    <n v="8.7714285714285705"/>
    <n v="0"/>
    <n v="0"/>
    <m/>
    <s v="Musrigharari"/>
    <m/>
    <n v="0"/>
  </r>
  <r>
    <s v="Munger"/>
    <s v="17-23 Apr"/>
    <n v="1013"/>
    <s v="Musrigharari"/>
    <x v="550"/>
    <s v="Gomukh Sirdulpur 2"/>
    <s v="vlc"/>
    <s v="Indirect"/>
    <n v="932.2"/>
    <n v="32072.14"/>
    <n v="0"/>
    <n v="0"/>
    <n v="0"/>
    <n v="0"/>
    <n v="0"/>
    <n v="0"/>
    <n v="32072.14"/>
    <n v="0"/>
    <n v="0"/>
    <n v="0"/>
    <n v="0"/>
    <n v="0"/>
    <n v="0"/>
    <n v="0"/>
    <n v="0"/>
    <n v="32072.14"/>
    <n v="0"/>
    <n v="0"/>
    <n v="0"/>
    <n v="0"/>
    <n v="0"/>
    <n v="0"/>
    <m/>
    <s v="Musrigharari"/>
    <m/>
    <n v="0"/>
  </r>
  <r>
    <s v="Munger"/>
    <s v="17-23 Apr"/>
    <n v="1013"/>
    <s v="Musrigharari"/>
    <x v="551"/>
    <s v="Gomukh Repura"/>
    <s v="MPG"/>
    <s v="Direct"/>
    <n v="231.7"/>
    <n v="7675.19"/>
    <n v="231.7"/>
    <n v="7675.1283220920013"/>
    <n v="0"/>
    <n v="0"/>
    <n v="231.7"/>
    <n v="7675.1283220920013"/>
    <n v="7675.1283220920013"/>
    <n v="0"/>
    <n v="0"/>
    <n v="0"/>
    <n v="0"/>
    <n v="3.7041375000000869"/>
    <n v="0"/>
    <n v="7671"/>
    <n v="0"/>
    <n v="0"/>
    <n v="0"/>
    <n v="0"/>
    <n v="310.25390392749244"/>
    <n v="33.1"/>
    <n v="8.0360105741061055E-6"/>
    <n v="1"/>
    <m/>
    <s v="Musrigharari"/>
    <m/>
    <n v="0"/>
  </r>
  <r>
    <s v="Munger"/>
    <s v="17-23 Apr"/>
    <n v="1013"/>
    <s v="Musrigharari"/>
    <x v="552"/>
    <s v="Gomukh Nipur"/>
    <s v="MPG"/>
    <s v="Direct"/>
    <n v="266.10000000000002"/>
    <n v="10433.380000000001"/>
    <n v="217.52999999999997"/>
    <n v="8548.3926435285684"/>
    <n v="3.9"/>
    <n v="160.03706974200003"/>
    <n v="221.42999999999998"/>
    <n v="8708.4297132705688"/>
    <n v="8708.4297132705688"/>
    <n v="0"/>
    <n v="160.03706974200003"/>
    <n v="0"/>
    <n v="0"/>
    <n v="0"/>
    <n v="0"/>
    <n v="8547"/>
    <n v="0"/>
    <n v="0"/>
    <n v="1726"/>
    <n v="0"/>
    <n v="340.2513026681699"/>
    <n v="38.01428571428572"/>
    <n v="0.16532995891354788"/>
    <n v="10"/>
    <m/>
    <s v="Musrigharari"/>
    <m/>
    <n v="0"/>
  </r>
  <r>
    <s v="Munger"/>
    <s v="17-23 Apr"/>
    <n v="1013"/>
    <s v="Musrigharari"/>
    <x v="553"/>
    <s v="Gomukh Sherpur Narsari East"/>
    <s v="MPG"/>
    <s v="Direct"/>
    <n v="290.70000000000005"/>
    <n v="10888.27"/>
    <n v="251.64"/>
    <n v="9371.1889917755998"/>
    <n v="47.769999999999996"/>
    <n v="1639.3277050326001"/>
    <n v="299.40999999999997"/>
    <n v="11010.516696808199"/>
    <n v="10888.27"/>
    <n v="0"/>
    <n v="61.981023456000003"/>
    <n v="122.24669680819898"/>
    <n v="0"/>
    <n v="58.638232258064534"/>
    <n v="0"/>
    <n v="9190"/>
    <n v="1577"/>
    <n v="0"/>
    <n v="1"/>
    <n v="0"/>
    <n v="306.60948820089436"/>
    <n v="41.528571428571432"/>
    <n v="-1.1227375589345136E-2"/>
    <n v="5"/>
    <m/>
    <s v="Musrigharari"/>
    <m/>
    <n v="0"/>
  </r>
  <r>
    <s v="Munger"/>
    <s v="17-23 Apr"/>
    <n v="1013"/>
    <s v="Musrigharari"/>
    <x v="554"/>
    <s v="Gomukh Nauachak East"/>
    <s v="MPG"/>
    <s v="Direct"/>
    <n v="14.3"/>
    <n v="561.97"/>
    <n v="13.8"/>
    <n v="562.33602717300005"/>
    <n v="0"/>
    <n v="0"/>
    <n v="13.8"/>
    <n v="562.33602717300005"/>
    <n v="561.97"/>
    <n v="0"/>
    <n v="0"/>
    <n v="0.36602717300002041"/>
    <n v="0"/>
    <n v="18.414268965517238"/>
    <n v="0"/>
    <n v="544"/>
    <n v="0"/>
    <n v="0"/>
    <n v="0"/>
    <n v="0"/>
    <n v="538.94101958041961"/>
    <n v="2.0428571428571431"/>
    <n v="-6.513286705696397E-4"/>
    <n v="1"/>
    <m/>
    <s v="Musrigharari"/>
    <m/>
    <n v="0"/>
  </r>
  <r>
    <s v="Munger"/>
    <s v="17-23 Apr"/>
    <n v="1013"/>
    <s v="Musrigharari"/>
    <x v="555"/>
    <s v="Gomukh Karhatti"/>
    <s v="MPG"/>
    <s v="Direct"/>
    <n v="137.89999999999998"/>
    <n v="5034.1000000000004"/>
    <n v="173.8"/>
    <n v="6388.2378745020014"/>
    <n v="0"/>
    <n v="0"/>
    <n v="173.8"/>
    <n v="6388.2378745020014"/>
    <n v="5034.1000000000004"/>
    <n v="0"/>
    <n v="0"/>
    <n v="1354.1378745020011"/>
    <n v="0"/>
    <n v="68.713220338983092"/>
    <n v="0"/>
    <n v="4965"/>
    <n v="0"/>
    <n v="0"/>
    <n v="0"/>
    <n v="0"/>
    <n v="410.39414213197989"/>
    <n v="19.699999999999996"/>
    <n v="-0.26899304235156252"/>
    <n v="1"/>
    <m/>
    <s v="Musrigharari"/>
    <m/>
    <n v="0"/>
  </r>
  <r>
    <s v="Munger"/>
    <s v="17-23 Apr"/>
    <n v="1013"/>
    <s v="Musrigharari"/>
    <x v="556"/>
    <s v="Gomukh Gaopur Bhagwatpur"/>
    <s v="MPG"/>
    <s v="Direct"/>
    <n v="515.49999999999989"/>
    <n v="18705.990000000002"/>
    <n v="521.30000000000007"/>
    <n v="19583.905544181005"/>
    <n v="0.28000000000000003"/>
    <n v="10.718703072000002"/>
    <n v="521.58000000000004"/>
    <n v="19594.624247253007"/>
    <n v="18705.990000000002"/>
    <n v="0"/>
    <n v="10.718703072000002"/>
    <n v="888.63424725300501"/>
    <n v="0"/>
    <n v="215.61421935483872"/>
    <n v="0"/>
    <n v="18479"/>
    <n v="0"/>
    <n v="0"/>
    <n v="1"/>
    <n v="0"/>
    <n v="133.89932706110582"/>
    <n v="73.642857142857125"/>
    <n v="-4.7505331033161298E-2"/>
    <n v="5"/>
    <m/>
    <s v="Musrigharari"/>
    <m/>
    <n v="0"/>
  </r>
  <r>
    <s v="Munger"/>
    <s v="17-23 Apr"/>
    <n v="1013"/>
    <s v="Musrigharari"/>
    <x v="557"/>
    <s v="Gomukh Rajwara"/>
    <s v="MPG"/>
    <s v="Direct"/>
    <n v="137.70000000000002"/>
    <n v="5671.3099999999995"/>
    <n v="137"/>
    <n v="5687.1141618759993"/>
    <n v="0.70000000000000007"/>
    <n v="26.268739200000002"/>
    <n v="137.69999999999999"/>
    <n v="5713.3829010759991"/>
    <n v="5671.3099999999995"/>
    <n v="0"/>
    <n v="26.268739200000002"/>
    <n v="42.072901075999653"/>
    <n v="0"/>
    <n v="0"/>
    <n v="0"/>
    <n v="5645"/>
    <n v="0"/>
    <n v="0"/>
    <n v="0"/>
    <n v="0"/>
    <n v="463.17757632534477"/>
    <n v="19.671428571428574"/>
    <n v="-7.4185507538821992E-3"/>
    <n v="2"/>
    <m/>
    <s v="Musrigharari"/>
    <m/>
    <n v="0"/>
  </r>
  <r>
    <s v="Munger"/>
    <s v="17-23 Apr"/>
    <n v="1061"/>
    <s v="Mahua BMC"/>
    <x v="558"/>
    <s v="Gomukh Karhatiya Bujurg"/>
    <s v="vlc"/>
    <s v="Indirect"/>
    <n v="60.900000000000006"/>
    <n v="2669.27"/>
    <n v="0"/>
    <n v="0"/>
    <n v="0"/>
    <n v="0"/>
    <n v="0"/>
    <n v="0"/>
    <n v="2669.27"/>
    <n v="0"/>
    <n v="0"/>
    <n v="0"/>
    <n v="0"/>
    <n v="0"/>
    <n v="0"/>
    <n v="0"/>
    <n v="0"/>
    <n v="2669.27"/>
    <n v="0"/>
    <n v="0"/>
    <n v="560.2398873563219"/>
    <n v="8.7000000000000011"/>
    <n v="0"/>
    <n v="0"/>
    <m/>
    <s v="Mahua BMC"/>
    <m/>
    <n v="0"/>
  </r>
  <r>
    <s v="Munger"/>
    <s v="17-23 Apr"/>
    <n v="1013"/>
    <s v="Musrigharari"/>
    <x v="1037"/>
    <s v="GOMUKH NIKASPUR"/>
    <s v="vlc"/>
    <s v="Direct"/>
    <n v="79.5"/>
    <n v="2444.2799999999997"/>
    <n v="0"/>
    <n v="0"/>
    <n v="0"/>
    <n v="0"/>
    <n v="0"/>
    <n v="0"/>
    <n v="0"/>
    <n v="0"/>
    <n v="0"/>
    <n v="0"/>
    <n v="0"/>
    <n v="0"/>
    <n v="0"/>
    <n v="0"/>
    <n v="0"/>
    <n v="0"/>
    <n v="2444"/>
    <s v="Yes"/>
    <n v="381.55364528301885"/>
    <n v="11.357142857142858"/>
    <n v="1"/>
    <n v="0"/>
    <m/>
    <s v="Musrigharari"/>
    <m/>
    <n v="0"/>
  </r>
  <r>
    <s v="Munger"/>
    <s v="17-23 Apr"/>
    <n v="1013"/>
    <s v="Musrigharari"/>
    <x v="559"/>
    <s v="Gomukh Morwa Mohanpur"/>
    <s v="vlc"/>
    <s v="Indirect"/>
    <n v="129.69999999999999"/>
    <n v="5383.0599999999995"/>
    <n v="0"/>
    <n v="0"/>
    <n v="0"/>
    <n v="0"/>
    <n v="0"/>
    <n v="0"/>
    <n v="5383.0599999999995"/>
    <n v="0"/>
    <n v="0"/>
    <n v="0"/>
    <n v="0"/>
    <n v="579.19956774193543"/>
    <n v="0"/>
    <n v="0"/>
    <n v="0"/>
    <n v="4803.8604322580641"/>
    <n v="0"/>
    <n v="0"/>
    <n v="473.39385011565162"/>
    <n v="18.528571428571428"/>
    <n v="0"/>
    <n v="0"/>
    <m/>
    <s v="Musrigharari"/>
    <m/>
    <n v="0"/>
  </r>
  <r>
    <s v="Munger"/>
    <s v="17-23 Apr"/>
    <n v="1013"/>
    <s v="Musrigharari"/>
    <x v="560"/>
    <s v="Gomukh Gangapur East"/>
    <s v="vlc"/>
    <s v="Indirect"/>
    <n v="1240.0999999999999"/>
    <n v="36855.550000000003"/>
    <n v="0"/>
    <n v="0"/>
    <n v="0"/>
    <n v="0"/>
    <n v="0"/>
    <n v="0"/>
    <n v="36855.550000000003"/>
    <n v="0"/>
    <n v="0"/>
    <n v="0"/>
    <n v="0"/>
    <n v="0"/>
    <n v="0"/>
    <n v="0"/>
    <n v="0"/>
    <n v="36855.550000000003"/>
    <n v="0"/>
    <n v="0"/>
    <n v="0"/>
    <n v="0"/>
    <n v="0"/>
    <n v="0"/>
    <m/>
    <s v="Musrigharari"/>
    <m/>
    <n v="0"/>
  </r>
  <r>
    <s v="Munger"/>
    <s v="17-23 Apr"/>
    <n v="1013"/>
    <s v="Musrigharari"/>
    <x v="561"/>
    <s v="GOMUKH Laguniya"/>
    <s v="vlc"/>
    <s v="Indirect"/>
    <n v="169.6"/>
    <n v="6248.7699999999995"/>
    <n v="0"/>
    <n v="0"/>
    <n v="0"/>
    <n v="0"/>
    <n v="0"/>
    <n v="0"/>
    <n v="6248.7699999999995"/>
    <n v="0"/>
    <n v="0"/>
    <n v="0"/>
    <n v="0"/>
    <n v="0"/>
    <n v="0"/>
    <n v="0"/>
    <n v="0"/>
    <n v="6248.7699999999995"/>
    <n v="0"/>
    <n v="0"/>
    <n v="390.84287830188674"/>
    <n v="24.228571428571428"/>
    <n v="0"/>
    <n v="0"/>
    <m/>
    <s v="Musrigharari"/>
    <m/>
    <n v="0"/>
  </r>
  <r>
    <s v="Munger"/>
    <s v="17-23 Apr"/>
    <n v="1013"/>
    <s v="Musrigharari"/>
    <x v="562"/>
    <s v="GOMUKH MAHINDWARA"/>
    <s v="vlc"/>
    <s v="Indirect"/>
    <n v="240.70000000000002"/>
    <n v="9032.06"/>
    <n v="0"/>
    <n v="0"/>
    <n v="0"/>
    <n v="0"/>
    <n v="0"/>
    <n v="0"/>
    <n v="9032.06"/>
    <n v="0"/>
    <n v="0"/>
    <n v="0"/>
    <n v="0"/>
    <n v="0"/>
    <n v="0"/>
    <n v="0"/>
    <n v="0"/>
    <n v="9032.06"/>
    <n v="0"/>
    <n v="0"/>
    <n v="344.69673103448275"/>
    <n v="34.385714285714286"/>
    <n v="0"/>
    <n v="0"/>
    <m/>
    <s v="Musrigharari"/>
    <m/>
    <n v="0"/>
  </r>
  <r>
    <s v="Munger"/>
    <s v="17-23 Apr"/>
    <n v="1013"/>
    <s v="Musrigharari"/>
    <x v="563"/>
    <s v="GOMUKH MISHRAULIA"/>
    <s v="MPG"/>
    <s v="Direct"/>
    <n v="248.70000000000002"/>
    <n v="10998.78"/>
    <n v="250.3"/>
    <n v="10943.2757557604"/>
    <n v="0"/>
    <n v="0"/>
    <n v="250.3"/>
    <n v="10943.2757557604"/>
    <n v="10943.2757557604"/>
    <n v="0"/>
    <n v="0"/>
    <n v="0"/>
    <n v="0"/>
    <n v="0"/>
    <n v="0"/>
    <n v="10943"/>
    <n v="0"/>
    <n v="0"/>
    <n v="56"/>
    <n v="0"/>
    <n v="399.17566658624844"/>
    <n v="35.528571428571432"/>
    <n v="5.0464000770631531E-3"/>
    <n v="2"/>
    <m/>
    <s v="Musrigharari"/>
    <m/>
    <n v="0"/>
  </r>
  <r>
    <s v="Munger"/>
    <s v="17-23 Apr"/>
    <n v="1013"/>
    <s v="Musrigharari"/>
    <x v="564"/>
    <s v="GOMUKH CHAKIRDI"/>
    <s v="MPG"/>
    <s v="Direct"/>
    <n v="93.399999999999991"/>
    <n v="3089.3999999999996"/>
    <n v="100.7"/>
    <n v="3510.3485745900002"/>
    <n v="0"/>
    <n v="0"/>
    <n v="100.7"/>
    <n v="3510.3485745900002"/>
    <n v="3089.3999999999996"/>
    <n v="0"/>
    <n v="0"/>
    <n v="420.94857459000059"/>
    <n v="0"/>
    <n v="0"/>
    <n v="0"/>
    <n v="3089"/>
    <n v="0"/>
    <n v="0"/>
    <n v="0"/>
    <n v="0"/>
    <n v="401.29122912205577"/>
    <n v="13.342857142857142"/>
    <n v="-0.13625576959603827"/>
    <n v="4"/>
    <m/>
    <s v="Musrigharari"/>
    <m/>
    <n v="0"/>
  </r>
  <r>
    <s v="Munger"/>
    <s v="17-23 Apr"/>
    <n v="1013"/>
    <s v="Musrigharari"/>
    <x v="565"/>
    <s v="GOMUKH Bhagwatpur East"/>
    <s v="MPG"/>
    <s v="Direct"/>
    <n v="363.3"/>
    <n v="11654.919999999998"/>
    <n v="363.29999999999995"/>
    <n v="11784.322167552002"/>
    <n v="0"/>
    <n v="0"/>
    <n v="363.29999999999995"/>
    <n v="11784.322167552002"/>
    <n v="11654.919999999998"/>
    <n v="0"/>
    <n v="0"/>
    <n v="129.40216755200345"/>
    <n v="0"/>
    <n v="0"/>
    <n v="0"/>
    <n v="11655"/>
    <n v="0"/>
    <n v="0"/>
    <n v="0"/>
    <n v="0"/>
    <n v="216.0314651252408"/>
    <n v="51.9"/>
    <n v="-1.1102793288328318E-2"/>
    <n v="1"/>
    <m/>
    <s v="Musrigharari"/>
    <m/>
    <n v="0"/>
  </r>
  <r>
    <s v="Munger"/>
    <s v="17-23 Apr"/>
    <n v="1013"/>
    <s v="Musrigharari"/>
    <x v="566"/>
    <s v="Gomukh Rupauli Buzurg"/>
    <s v="vlc"/>
    <s v="Indirect"/>
    <n v="2894.2"/>
    <n v="104085.5"/>
    <n v="0"/>
    <n v="0"/>
    <n v="0"/>
    <n v="0"/>
    <n v="0"/>
    <n v="0"/>
    <n v="104085.5"/>
    <n v="0"/>
    <n v="0"/>
    <n v="0"/>
    <n v="0"/>
    <n v="0"/>
    <n v="0"/>
    <n v="0"/>
    <n v="0"/>
    <n v="104085.5"/>
    <n v="0"/>
    <n v="0"/>
    <n v="0"/>
    <n v="0"/>
    <n v="0"/>
    <n v="0"/>
    <m/>
    <s v="Musrigharari"/>
    <m/>
    <n v="0"/>
  </r>
  <r>
    <s v="Munger"/>
    <s v="17-23 Apr"/>
    <n v="1014"/>
    <s v="Dumraon"/>
    <x v="567"/>
    <s v="Dumri Purvi Tola"/>
    <s v="MPG"/>
    <s v="Direct"/>
    <n v="303"/>
    <n v="12334.91"/>
    <n v="296.29999999999995"/>
    <n v="13529.644744017602"/>
    <n v="0"/>
    <n v="0"/>
    <n v="296.29999999999995"/>
    <n v="13529.644744017602"/>
    <n v="12334.91"/>
    <n v="0"/>
    <n v="0"/>
    <n v="1194.7347440176018"/>
    <n v="0"/>
    <n v="0"/>
    <n v="0"/>
    <n v="12335"/>
    <n v="0"/>
    <n v="0"/>
    <n v="0"/>
    <n v="0"/>
    <n v="323.23163498349834"/>
    <n v="43.285714285714285"/>
    <n v="-9.6858002532454773E-2"/>
    <n v="6"/>
    <m/>
    <s v="Dumraon"/>
    <m/>
    <n v="0"/>
  </r>
  <r>
    <s v="Munger"/>
    <s v="17-23 Apr"/>
    <n v="1014"/>
    <s v="Dumraon"/>
    <x v="568"/>
    <s v="Simri"/>
    <s v="MPG"/>
    <s v="Direct"/>
    <n v="865.4000000000002"/>
    <n v="32244.230000000003"/>
    <n v="904.31"/>
    <n v="33723.266708308984"/>
    <n v="0"/>
    <n v="0"/>
    <n v="904.31"/>
    <n v="33723.266708308984"/>
    <n v="32244.230000000003"/>
    <n v="0"/>
    <n v="0"/>
    <n v="1479.0367083089805"/>
    <n v="0"/>
    <n v="0"/>
    <n v="0"/>
    <n v="32244"/>
    <n v="0"/>
    <n v="0"/>
    <n v="0"/>
    <n v="0"/>
    <n v="0"/>
    <n v="0"/>
    <n v="-4.586981014305444E-2"/>
    <n v="14"/>
    <m/>
    <s v="Dumraon"/>
    <m/>
    <n v="0"/>
  </r>
  <r>
    <s v="Munger"/>
    <s v="17-23 Apr"/>
    <n v="1014"/>
    <s v="Dumraon"/>
    <x v="569"/>
    <s v="Sahiyar"/>
    <s v="MPG"/>
    <s v="Direct"/>
    <n v="802.8"/>
    <n v="32619.079999999998"/>
    <n v="762.59999999999991"/>
    <n v="31510.464290612406"/>
    <n v="30.5"/>
    <n v="1177.7310838650001"/>
    <n v="793.09999999999991"/>
    <n v="32688.195374477407"/>
    <n v="32619.079999999998"/>
    <n v="0"/>
    <n v="1177.7310838650001"/>
    <n v="69.115374477409205"/>
    <n v="0"/>
    <n v="0"/>
    <n v="0"/>
    <n v="31441"/>
    <n v="0"/>
    <n v="0"/>
    <n v="0"/>
    <n v="0"/>
    <n v="0"/>
    <n v="0"/>
    <n v="-2.1188633915306381E-3"/>
    <n v="30"/>
    <m/>
    <s v="Dumraon"/>
    <m/>
    <n v="0"/>
  </r>
  <r>
    <s v="Munger"/>
    <s v="17-23 Apr"/>
    <n v="1014"/>
    <s v="Dumraon"/>
    <x v="570"/>
    <s v="ENGLISH DUBAULI"/>
    <s v="MPG"/>
    <s v="Direct"/>
    <n v="659.1"/>
    <n v="23537.539999999997"/>
    <n v="814.34999999999991"/>
    <n v="31574.685889573208"/>
    <n v="27.709999999999997"/>
    <n v="1468.88629515348"/>
    <n v="842.06"/>
    <n v="33043.57218472669"/>
    <n v="23537.539999999997"/>
    <n v="0"/>
    <n v="1468.88629515348"/>
    <n v="9506.0321847266932"/>
    <n v="0"/>
    <n v="0"/>
    <n v="0"/>
    <n v="22069"/>
    <n v="0"/>
    <n v="0"/>
    <n v="0"/>
    <n v="0"/>
    <n v="29.212119132149894"/>
    <n v="94.157142857142858"/>
    <n v="-0.40386685204684492"/>
    <n v="14"/>
    <m/>
    <s v="Dumraon"/>
    <m/>
    <n v="0"/>
  </r>
  <r>
    <s v="Munger"/>
    <s v="17-23 Apr"/>
    <n v="1014"/>
    <s v="Dumraon"/>
    <x v="571"/>
    <s v="Ramo Bariya"/>
    <s v="MPG"/>
    <s v="Direct"/>
    <n v="902.4"/>
    <n v="34407.949999999997"/>
    <n v="881.52"/>
    <n v="32420.123461135881"/>
    <n v="49.34"/>
    <n v="1952.0294144805005"/>
    <n v="930.86"/>
    <n v="34372.152875616383"/>
    <n v="34372.152875616383"/>
    <n v="0"/>
    <n v="1952.0294144805005"/>
    <n v="0"/>
    <n v="0"/>
    <n v="0"/>
    <n v="0"/>
    <n v="32421"/>
    <n v="0"/>
    <n v="0"/>
    <n v="35"/>
    <n v="0"/>
    <n v="0"/>
    <n v="0"/>
    <n v="1.0403736457305528E-3"/>
    <n v="17"/>
    <m/>
    <s v="Dumraon"/>
    <m/>
    <n v="0"/>
  </r>
  <r>
    <s v="Munger"/>
    <s v="17-23 Apr"/>
    <n v="1014"/>
    <s v="Dumraon"/>
    <x v="572"/>
    <s v="HITAN PARARI"/>
    <s v="MPG"/>
    <s v="Direct"/>
    <n v="833.99999999999989"/>
    <n v="33522.800000000003"/>
    <n v="840.13"/>
    <n v="34503.621274343473"/>
    <n v="0"/>
    <n v="0"/>
    <n v="840.13"/>
    <n v="34503.621274343473"/>
    <n v="33522.800000000003"/>
    <n v="0"/>
    <n v="0"/>
    <n v="980.82127434347058"/>
    <n v="0"/>
    <n v="0"/>
    <n v="0"/>
    <n v="33523"/>
    <n v="0"/>
    <n v="0"/>
    <n v="0"/>
    <n v="0"/>
    <n v="0"/>
    <n v="0"/>
    <n v="-2.9258333860640237E-2"/>
    <n v="7"/>
    <m/>
    <s v="Dumraon"/>
    <m/>
    <n v="0"/>
  </r>
  <r>
    <s v="Munger"/>
    <s v="17-23 Apr"/>
    <n v="1014"/>
    <s v="Dumraon"/>
    <x v="573"/>
    <s v="Gangauli"/>
    <s v="MPG"/>
    <s v="Direct"/>
    <n v="635.69999999999982"/>
    <n v="27008.009999999995"/>
    <n v="637.9"/>
    <n v="27833.843356076701"/>
    <n v="4.1999999999999993"/>
    <n v="153.02139811200001"/>
    <n v="642.1"/>
    <n v="27986.8647541887"/>
    <n v="27008.009999999995"/>
    <n v="0"/>
    <n v="153.02139811200001"/>
    <n v="978.85475418870556"/>
    <n v="0"/>
    <n v="0"/>
    <n v="0"/>
    <n v="26855"/>
    <n v="0"/>
    <n v="0"/>
    <n v="0"/>
    <n v="0"/>
    <n v="54.636307786691994"/>
    <n v="90.814285714285688"/>
    <n v="-3.6243127656895337E-2"/>
    <n v="19"/>
    <m/>
    <s v="Dumraon"/>
    <m/>
    <n v="0"/>
  </r>
  <r>
    <s v="Munger"/>
    <s v="17-23 Apr"/>
    <n v="1014"/>
    <s v="Dumraon"/>
    <x v="574"/>
    <s v="MATHURA DERA"/>
    <s v="MPG"/>
    <s v="Direct"/>
    <n v="104.6"/>
    <n v="3920.33"/>
    <n v="102.39999999999999"/>
    <n v="3915.4684891960001"/>
    <n v="0.5"/>
    <n v="16.170561000000003"/>
    <n v="102.89999999999999"/>
    <n v="3931.639050196"/>
    <n v="3920.33"/>
    <n v="0"/>
    <n v="16.170561000000003"/>
    <n v="11.309050196000044"/>
    <n v="0"/>
    <n v="0"/>
    <n v="0"/>
    <n v="3904"/>
    <n v="0"/>
    <n v="0"/>
    <n v="0"/>
    <n v="0"/>
    <n v="446.3029602294456"/>
    <n v="14.942857142857141"/>
    <n v="-2.8847189384567226E-3"/>
    <n v="2"/>
    <m/>
    <s v="Dumraon"/>
    <m/>
    <n v="0"/>
  </r>
  <r>
    <s v="Munger"/>
    <s v="17-23 Apr"/>
    <n v="1014"/>
    <s v="Dumraon"/>
    <x v="575"/>
    <s v="NANDAN"/>
    <s v="MPG"/>
    <s v="Direct"/>
    <n v="367.5"/>
    <n v="17495.910000000003"/>
    <n v="367"/>
    <n v="17487.111417384003"/>
    <n v="0"/>
    <n v="0"/>
    <n v="367"/>
    <n v="17487.111417384003"/>
    <n v="17487.111417384003"/>
    <n v="0"/>
    <n v="0"/>
    <n v="0"/>
    <n v="0"/>
    <n v="0"/>
    <n v="0"/>
    <n v="17487"/>
    <n v="0"/>
    <n v="0"/>
    <n v="9"/>
    <n v="0"/>
    <n v="316.59265714285721"/>
    <n v="52.5"/>
    <n v="5.0289368292362057E-4"/>
    <n v="1"/>
    <m/>
    <s v="Dumraon"/>
    <m/>
    <n v="0"/>
  </r>
  <r>
    <s v="Munger"/>
    <s v="17-23 Apr"/>
    <n v="1014"/>
    <s v="Dumraon"/>
    <x v="576"/>
    <s v="RAJAPUR"/>
    <s v="MPG"/>
    <s v="Direct"/>
    <n v="69.8"/>
    <n v="2393.6999999999998"/>
    <n v="73.8"/>
    <n v="2745.1015574400003"/>
    <n v="0"/>
    <n v="0"/>
    <n v="73.8"/>
    <n v="2745.1015574400003"/>
    <n v="2393.6999999999998"/>
    <n v="0"/>
    <n v="0"/>
    <n v="351.40155744000049"/>
    <n v="0"/>
    <n v="0"/>
    <n v="0"/>
    <n v="2394"/>
    <n v="0"/>
    <n v="0"/>
    <n v="0"/>
    <n v="0"/>
    <n v="432.23774785100278"/>
    <n v="9.9714285714285715"/>
    <n v="-0.14680267261561622"/>
    <n v="2"/>
    <m/>
    <s v="Dumraon"/>
    <m/>
    <n v="0"/>
  </r>
  <r>
    <s v="Munger"/>
    <s v="17-23 Apr"/>
    <n v="1014"/>
    <s v="Dumraon"/>
    <x v="577"/>
    <s v="HEMDAPUR"/>
    <s v="MPG"/>
    <s v="Direct"/>
    <n v="245.3"/>
    <n v="9234.6099999999988"/>
    <n v="305.5"/>
    <n v="11602.292210501642"/>
    <n v="0"/>
    <n v="0"/>
    <n v="305.5"/>
    <n v="11602.292210501642"/>
    <n v="9234.6099999999988"/>
    <n v="0"/>
    <n v="0"/>
    <n v="2367.6822105016436"/>
    <n v="0"/>
    <n v="0"/>
    <n v="0"/>
    <n v="9235"/>
    <n v="0"/>
    <n v="0"/>
    <n v="0"/>
    <n v="0"/>
    <n v="342.35443677130041"/>
    <n v="35.042857142857144"/>
    <n v="-0.25639222560580727"/>
    <n v="3"/>
    <m/>
    <s v="Dumraon"/>
    <m/>
    <n v="0"/>
  </r>
  <r>
    <s v="Munger"/>
    <s v="17-23 Apr"/>
    <n v="1014"/>
    <s v="Dumraon"/>
    <x v="578"/>
    <s v="Chaugain"/>
    <s v="MPG"/>
    <s v="Direct"/>
    <n v="65.800000000000011"/>
    <n v="2452.5300000000002"/>
    <n v="65"/>
    <n v="2402.4686400000001"/>
    <n v="0"/>
    <n v="0"/>
    <n v="65"/>
    <n v="2402.4686400000001"/>
    <n v="2402.4686400000001"/>
    <n v="0"/>
    <n v="0"/>
    <n v="0"/>
    <n v="0"/>
    <n v="0"/>
    <n v="0"/>
    <n v="2402"/>
    <n v="0"/>
    <n v="0"/>
    <n v="51"/>
    <n v="0"/>
    <n v="472.76429361702117"/>
    <n v="9.4000000000000021"/>
    <n v="2.0412129515235349E-2"/>
    <n v="1"/>
    <m/>
    <s v="Dumraon"/>
    <m/>
    <n v="0"/>
  </r>
  <r>
    <s v="Munger"/>
    <s v="17-23 Apr"/>
    <n v="1014"/>
    <s v="Dumraon"/>
    <x v="579"/>
    <s v="Akalupur"/>
    <s v="MPG"/>
    <s v="Direct"/>
    <n v="160.1"/>
    <n v="5502.16"/>
    <n v="159"/>
    <n v="5499.0239040000006"/>
    <n v="0"/>
    <n v="0"/>
    <n v="159"/>
    <n v="5499.0239040000006"/>
    <n v="5499.0239040000006"/>
    <n v="0"/>
    <n v="0"/>
    <n v="0"/>
    <n v="0"/>
    <n v="0"/>
    <n v="0"/>
    <n v="5499"/>
    <n v="0"/>
    <n v="0"/>
    <n v="3"/>
    <n v="0"/>
    <n v="371.09508856964408"/>
    <n v="22.87142857142857"/>
    <n v="5.6997542783184603E-4"/>
    <n v="1"/>
    <m/>
    <s v="Dumraon"/>
    <m/>
    <n v="0"/>
  </r>
  <r>
    <s v="Munger"/>
    <s v="17-23 Apr"/>
    <n v="1014"/>
    <s v="Dumraon"/>
    <x v="580"/>
    <s v="Chhotka Sihanpura"/>
    <s v="MPG"/>
    <s v="Direct"/>
    <n v="384.39999999999992"/>
    <n v="13064.99"/>
    <n v="382.2"/>
    <n v="14031.725968355402"/>
    <n v="6.8000000000000007"/>
    <n v="253.00303140255005"/>
    <n v="389"/>
    <n v="14284.728999757952"/>
    <n v="13064.99"/>
    <n v="0"/>
    <n v="253.00303140255005"/>
    <n v="1219.7389997579521"/>
    <n v="0"/>
    <n v="0"/>
    <n v="0"/>
    <n v="12812"/>
    <n v="0"/>
    <n v="0"/>
    <n v="0"/>
    <n v="0"/>
    <n v="214.53230197710727"/>
    <n v="54.914285714285704"/>
    <n v="-9.3359351959546241E-2"/>
    <n v="5"/>
    <m/>
    <s v="Dumraon"/>
    <m/>
    <n v="0"/>
  </r>
  <r>
    <s v="Munger"/>
    <s v="17-23 Apr"/>
    <n v="1014"/>
    <s v="Dumraon"/>
    <x v="581"/>
    <s v="Dharauli"/>
    <s v="MPG"/>
    <s v="Direct"/>
    <n v="254.5"/>
    <n v="10296.100000000002"/>
    <n v="262.49999999999994"/>
    <n v="10124.285038524722"/>
    <n v="2.4"/>
    <n v="88.930951560000011"/>
    <n v="264.89999999999992"/>
    <n v="10213.215990084722"/>
    <n v="10213.215990084722"/>
    <n v="0"/>
    <n v="88.930951560000011"/>
    <n v="0"/>
    <n v="0"/>
    <n v="0"/>
    <n v="0"/>
    <n v="10125"/>
    <n v="0"/>
    <n v="0"/>
    <n v="82"/>
    <n v="0"/>
    <n v="360.46464047151284"/>
    <n v="36.357142857142854"/>
    <n v="8.0500393270539639E-3"/>
    <n v="14"/>
    <m/>
    <s v="Dumraon"/>
    <m/>
    <n v="0"/>
  </r>
  <r>
    <s v="Munger"/>
    <s v="17-23 Apr"/>
    <n v="1014"/>
    <s v="Dumraon"/>
    <x v="582"/>
    <s v="Ramopatti"/>
    <s v="MPG"/>
    <s v="Direct"/>
    <n v="10.199999999999999"/>
    <n v="438.91"/>
    <n v="11"/>
    <n v="437.06361600000002"/>
    <n v="0"/>
    <n v="0"/>
    <n v="11"/>
    <n v="437.06361600000002"/>
    <n v="437.06361600000002"/>
    <n v="0"/>
    <n v="0"/>
    <n v="0"/>
    <n v="0"/>
    <n v="0"/>
    <n v="0"/>
    <n v="437"/>
    <n v="0"/>
    <n v="0"/>
    <n v="2"/>
    <n v="0"/>
    <n v="593.64729019607853"/>
    <n v="1.4571428571428571"/>
    <n v="4.2067485361463632E-3"/>
    <n v="1"/>
    <m/>
    <s v="Dumraon"/>
    <m/>
    <n v="0"/>
  </r>
  <r>
    <s v="Munger"/>
    <s v="17-23 Apr"/>
    <n v="1014"/>
    <s v="Dumraon"/>
    <x v="583"/>
    <s v="Kaithi"/>
    <s v="MPG"/>
    <s v="Direct"/>
    <n v="155.1"/>
    <n v="5476.65"/>
    <n v="148"/>
    <n v="5470.2362880000001"/>
    <n v="0"/>
    <n v="0"/>
    <n v="148"/>
    <n v="5470.2362880000001"/>
    <n v="5470.2362880000001"/>
    <n v="0"/>
    <n v="0"/>
    <n v="0"/>
    <n v="0"/>
    <n v="0"/>
    <n v="0"/>
    <n v="5470"/>
    <n v="0"/>
    <n v="0"/>
    <n v="7"/>
    <n v="0"/>
    <n v="384.81322823984522"/>
    <n v="22.157142857142855"/>
    <n v="1.1711013119333129E-3"/>
    <n v="2"/>
    <m/>
    <s v="Dumraon"/>
    <m/>
    <n v="0"/>
  </r>
  <r>
    <s v="Munger"/>
    <s v="17-23 Apr"/>
    <n v="1014"/>
    <s v="Dumraon"/>
    <x v="584"/>
    <s v="Rangi Dera"/>
    <s v="MPG"/>
    <s v="Direct"/>
    <n v="129.29999999999998"/>
    <n v="4750.46"/>
    <n v="128.5"/>
    <n v="4749.495696"/>
    <n v="0"/>
    <n v="0"/>
    <n v="128.5"/>
    <n v="4749.495696"/>
    <n v="4749.495696"/>
    <n v="0"/>
    <n v="0"/>
    <n v="0"/>
    <n v="0"/>
    <n v="0"/>
    <n v="0"/>
    <n v="4749"/>
    <n v="0"/>
    <n v="0"/>
    <n v="1"/>
    <n v="0"/>
    <n v="419.34841794276878"/>
    <n v="18.471428571428568"/>
    <n v="2.0299171027649612E-4"/>
    <n v="1"/>
    <m/>
    <s v="Dumraon"/>
    <m/>
    <n v="0"/>
  </r>
  <r>
    <s v="Munger"/>
    <s v="17-23 Apr"/>
    <n v="1014"/>
    <s v="Dumraon"/>
    <x v="585"/>
    <s v="Dubki"/>
    <s v="MPG"/>
    <s v="Direct"/>
    <n v="70.5"/>
    <n v="3138.49"/>
    <n v="71.539999999999992"/>
    <n v="3839.4456180621009"/>
    <n v="0.34"/>
    <n v="18.280293427700002"/>
    <n v="71.88"/>
    <n v="3857.7259114898011"/>
    <n v="3138.49"/>
    <n v="0"/>
    <n v="18.280293427700002"/>
    <n v="719.23591148980131"/>
    <n v="0"/>
    <n v="0"/>
    <n v="0"/>
    <n v="3120"/>
    <n v="0"/>
    <n v="0"/>
    <n v="0"/>
    <n v="0"/>
    <n v="560.47644113475178"/>
    <n v="10.071428571428571"/>
    <n v="-0.22916622690841817"/>
    <n v="3"/>
    <m/>
    <s v="Dumraon"/>
    <m/>
    <n v="0"/>
  </r>
  <r>
    <s v="Munger"/>
    <s v="17-23 Apr"/>
    <n v="1014"/>
    <s v="Dumraon"/>
    <x v="586"/>
    <s v="Sonvarsa"/>
    <s v="MPG"/>
    <s v="Direct"/>
    <n v="45"/>
    <n v="1740.9799999999998"/>
    <n v="45.699999999999996"/>
    <n v="1948.4252061617403"/>
    <n v="0.13"/>
    <n v="5.2854207120000005"/>
    <n v="45.83"/>
    <n v="1953.7106268737402"/>
    <n v="1740.9799999999998"/>
    <n v="0"/>
    <n v="5.2854207120000005"/>
    <n v="212.73062687374045"/>
    <n v="0"/>
    <n v="0"/>
    <n v="0"/>
    <n v="1736"/>
    <n v="0"/>
    <n v="0"/>
    <n v="0"/>
    <n v="0"/>
    <n v="506.81862222222219"/>
    <n v="6.4285714285714288"/>
    <n v="-0.12219016121594761"/>
    <n v="3"/>
    <m/>
    <s v="Dumraon"/>
    <m/>
    <n v="0"/>
  </r>
  <r>
    <s v="Munger"/>
    <s v="17-23 Apr"/>
    <n v="1014"/>
    <s v="Dumraon"/>
    <x v="587"/>
    <s v="Soan"/>
    <s v="MPG"/>
    <s v="Direct"/>
    <n v="543"/>
    <n v="21133.99"/>
    <n v="566.05999999999995"/>
    <n v="22178.075400463473"/>
    <n v="5.660000000000001"/>
    <n v="227.97661965227402"/>
    <n v="571.71999999999991"/>
    <n v="22406.052020115745"/>
    <n v="21133.99"/>
    <n v="0"/>
    <n v="227.97661965227402"/>
    <n v="1272.0620201157435"/>
    <n v="49"/>
    <n v="0"/>
    <n v="0"/>
    <n v="20857"/>
    <n v="0"/>
    <n v="0"/>
    <n v="0"/>
    <s v="Release1"/>
    <n v="122.21128655616944"/>
    <n v="77.571428571428569"/>
    <n v="-6.0190338886113949E-2"/>
    <n v="9"/>
    <m/>
    <s v="Dumraon"/>
    <m/>
    <n v="0"/>
  </r>
  <r>
    <s v="Munger"/>
    <s v="17-23 Apr"/>
    <n v="1014"/>
    <s v="Dumraon"/>
    <x v="588"/>
    <s v="PURANA BHOJPUR                                                                                      "/>
    <s v="MPG"/>
    <s v="Direct"/>
    <n v="277.5"/>
    <n v="10586.380000000001"/>
    <n v="279"/>
    <n v="10569.937989600001"/>
    <n v="0"/>
    <n v="0"/>
    <n v="279"/>
    <n v="10569.937989600001"/>
    <n v="10569.937989600001"/>
    <n v="0"/>
    <n v="0"/>
    <n v="0"/>
    <n v="0"/>
    <n v="0"/>
    <n v="0"/>
    <n v="10570"/>
    <n v="0"/>
    <n v="0"/>
    <n v="16"/>
    <n v="0"/>
    <n v="322.36003963963969"/>
    <n v="39.642857142857146"/>
    <n v="1.5531286804365675E-3"/>
    <n v="1"/>
    <m/>
    <s v="Dumraon"/>
    <m/>
    <n v="0"/>
  </r>
  <r>
    <s v="Munger"/>
    <s v="17-23 Apr"/>
    <n v="1014"/>
    <s v="Dumraon"/>
    <x v="589"/>
    <s v="Gomukh Kant"/>
    <s v="MPG"/>
    <s v="Direct"/>
    <n v="79.8"/>
    <n v="3305.2200000000003"/>
    <n v="78.5"/>
    <n v="4251.7424430647206"/>
    <n v="0.6"/>
    <n v="26.162654488225002"/>
    <n v="79.099999999999994"/>
    <n v="4277.9050975529453"/>
    <n v="3305.2200000000003"/>
    <n v="0"/>
    <n v="26.162654488225002"/>
    <n v="972.68509755294508"/>
    <n v="0"/>
    <n v="0"/>
    <n v="0"/>
    <n v="3279"/>
    <n v="0"/>
    <n v="0"/>
    <n v="0"/>
    <n v="0"/>
    <n v="513.75875789473685"/>
    <n v="11.4"/>
    <n v="-0.29428755046651811"/>
    <n v="3"/>
    <m/>
    <s v="Dumraon"/>
    <m/>
    <n v="0"/>
  </r>
  <r>
    <s v="Munger"/>
    <s v="17-23 Apr"/>
    <n v="1014"/>
    <s v="Dumraon"/>
    <x v="590"/>
    <s v="Gomukh Naat"/>
    <s v="MPG"/>
    <s v="Direct"/>
    <n v="219"/>
    <n v="8549.1499999999978"/>
    <n v="221.93"/>
    <n v="8802.5690460844817"/>
    <n v="0"/>
    <n v="0"/>
    <n v="221.93"/>
    <n v="8802.5690460844817"/>
    <n v="8549.1499999999978"/>
    <n v="0"/>
    <n v="0"/>
    <n v="253.41904608448385"/>
    <n v="0"/>
    <n v="0"/>
    <n v="0"/>
    <n v="8549"/>
    <n v="0"/>
    <n v="0"/>
    <n v="0"/>
    <n v="0"/>
    <n v="375.53800456621002"/>
    <n v="31.285714285714285"/>
    <n v="-2.9642601438094305E-2"/>
    <n v="3"/>
    <m/>
    <s v="Dumraon"/>
    <m/>
    <n v="0"/>
  </r>
  <r>
    <s v="Munger"/>
    <s v="17-23 Apr"/>
    <n v="1014"/>
    <s v="Dumraon"/>
    <x v="591"/>
    <s v="Gomukh Raghunathpur"/>
    <s v="MPG"/>
    <s v="Direct"/>
    <n v="540.1"/>
    <n v="20764.63"/>
    <n v="555.4"/>
    <n v="20429.155458141599"/>
    <n v="7"/>
    <n v="251.13755700000004"/>
    <n v="562.4"/>
    <n v="20680.2930151416"/>
    <n v="20680.2930151416"/>
    <n v="0"/>
    <n v="251.13755700000004"/>
    <n v="0"/>
    <n v="0"/>
    <n v="0"/>
    <n v="0"/>
    <n v="20430"/>
    <n v="0"/>
    <n v="0"/>
    <n v="83"/>
    <n v="0"/>
    <n v="122.94998470653582"/>
    <n v="77.157142857142858"/>
    <n v="4.0615693541565957E-3"/>
    <n v="4"/>
    <m/>
    <s v="Dumraon"/>
    <m/>
    <n v="0"/>
  </r>
  <r>
    <s v="Munger"/>
    <s v="17-23 Apr"/>
    <n v="1014"/>
    <s v="Dumraon"/>
    <x v="592"/>
    <s v="Gomukh Tilakraika Hata 1 - Manoj"/>
    <s v="vlc"/>
    <s v="Indirect"/>
    <n v="398.7"/>
    <n v="13805.79"/>
    <n v="0"/>
    <n v="0"/>
    <n v="0"/>
    <n v="0"/>
    <n v="0"/>
    <n v="0"/>
    <n v="13805.79"/>
    <n v="0"/>
    <n v="0"/>
    <n v="0"/>
    <n v="0"/>
    <n v="0"/>
    <n v="0"/>
    <n v="0"/>
    <n v="0"/>
    <n v="13805.79"/>
    <n v="0"/>
    <n v="0"/>
    <n v="208.66237908201657"/>
    <n v="56.957142857142856"/>
    <n v="0"/>
    <n v="0"/>
    <m/>
    <s v="Dumraon"/>
    <m/>
    <n v="0"/>
  </r>
  <r>
    <s v="Munger"/>
    <s v="17-23 Apr"/>
    <n v="1014"/>
    <s v="Dumraon"/>
    <x v="593"/>
    <s v="Gomukh Murar"/>
    <s v="MPG"/>
    <s v="Direct"/>
    <n v="243.09999999999997"/>
    <n v="10220.35"/>
    <n v="214.3"/>
    <n v="9028.3280733440024"/>
    <n v="83.6"/>
    <n v="3731.3610586862001"/>
    <n v="297.89999999999998"/>
    <n v="12759.689132030202"/>
    <n v="10220.35"/>
    <n v="0"/>
    <n v="141.97611679800002"/>
    <n v="2539.3391320302017"/>
    <n v="0"/>
    <n v="0"/>
    <n v="0"/>
    <n v="6488"/>
    <n v="3590"/>
    <n v="0"/>
    <n v="0"/>
    <n v="0"/>
    <n v="384.17753311394495"/>
    <n v="34.728571428571421"/>
    <n v="-0.24845911656941314"/>
    <n v="12"/>
    <m/>
    <s v="Dumraon"/>
    <m/>
    <n v="0"/>
  </r>
  <r>
    <s v="Munger"/>
    <s v="17-23 Apr"/>
    <n v="1014"/>
    <s v="Dumraon"/>
    <x v="594"/>
    <s v="Gomukh Churamanpur                                                                                  "/>
    <s v="MPG"/>
    <s v="Direct"/>
    <n v="248.10000000000002"/>
    <n v="9562.91"/>
    <n v="262.68"/>
    <n v="10278.036718109001"/>
    <n v="0"/>
    <n v="0"/>
    <n v="262.68"/>
    <n v="10278.036718109001"/>
    <n v="9562.91"/>
    <n v="0"/>
    <n v="0"/>
    <n v="715.12671810900065"/>
    <n v="0"/>
    <n v="0"/>
    <n v="0"/>
    <n v="9563"/>
    <n v="0"/>
    <n v="0"/>
    <n v="0"/>
    <n v="0"/>
    <n v="348.36590318419985"/>
    <n v="35.442857142857143"/>
    <n v="-7.4781287088239945E-2"/>
    <n v="7"/>
    <m/>
    <s v="Dumraon"/>
    <m/>
    <n v="0"/>
  </r>
  <r>
    <s v="Munger"/>
    <s v="17-23 Apr"/>
    <n v="1014"/>
    <s v="Dumraon"/>
    <x v="595"/>
    <s v="Gomukh Ekauni Karuwaj"/>
    <s v="MPG"/>
    <s v="Direct"/>
    <n v="23.3"/>
    <n v="874.55"/>
    <n v="23"/>
    <n v="850.104288"/>
    <n v="0"/>
    <n v="0"/>
    <n v="23"/>
    <n v="850.104288"/>
    <n v="850.104288"/>
    <n v="0"/>
    <n v="0"/>
    <n v="0"/>
    <n v="0"/>
    <n v="0"/>
    <n v="0"/>
    <n v="850"/>
    <n v="0"/>
    <n v="0"/>
    <n v="25"/>
    <n v="0"/>
    <n v="507.98968669527898"/>
    <n v="3.3285714285714287"/>
    <n v="2.7952332056486145E-2"/>
    <n v="1"/>
    <m/>
    <s v="Dumraon"/>
    <m/>
    <n v="0"/>
  </r>
  <r>
    <s v="Munger"/>
    <s v="17-23 Apr"/>
    <n v="1014"/>
    <s v="Dumraon"/>
    <x v="596"/>
    <s v="Kulharia Agriculture Producer Company Limited"/>
    <s v="MPG"/>
    <s v="Direct"/>
    <n v="1088.8"/>
    <n v="42118.94"/>
    <n v="1077.45"/>
    <n v="41610.69055543725"/>
    <n v="11.219999999999999"/>
    <n v="433.40621860800007"/>
    <n v="1088.67"/>
    <n v="42044.096774045247"/>
    <n v="42044.096774045247"/>
    <n v="0"/>
    <n v="433.40621860800007"/>
    <n v="0"/>
    <n v="0"/>
    <n v="0"/>
    <n v="0"/>
    <n v="41610"/>
    <n v="0"/>
    <n v="0"/>
    <n v="76"/>
    <n v="0"/>
    <n v="0"/>
    <n v="0"/>
    <n v="1.7769494188304674E-3"/>
    <n v="6"/>
    <m/>
    <s v="Dumraon"/>
    <m/>
    <n v="0"/>
  </r>
  <r>
    <s v="Munger"/>
    <s v="17-23 Apr"/>
    <n v="1014"/>
    <s v="Dumraon"/>
    <x v="597"/>
    <s v="Gomukh Dhakaich"/>
    <s v="MPG"/>
    <s v="Direct"/>
    <n v="379.59999999999997"/>
    <n v="13235.17"/>
    <n v="420.93999999999994"/>
    <n v="14058.2256313752"/>
    <n v="0"/>
    <n v="0"/>
    <n v="420.93999999999994"/>
    <n v="14058.2256313752"/>
    <n v="13235.17"/>
    <n v="0"/>
    <n v="0"/>
    <n v="823.05563137520039"/>
    <n v="0"/>
    <n v="0"/>
    <n v="0"/>
    <n v="13235"/>
    <n v="0"/>
    <n v="0"/>
    <n v="0"/>
    <n v="0"/>
    <n v="223.42194246575346"/>
    <n v="54.228571428571421"/>
    <n v="-6.2187008657629661E-2"/>
    <n v="8"/>
    <m/>
    <s v="Dumraon"/>
    <m/>
    <n v="0"/>
  </r>
  <r>
    <s v="Munger"/>
    <s v="17-23 Apr"/>
    <n v="1014"/>
    <s v="Dumraon"/>
    <x v="600"/>
    <s v="Gomukh Banswar"/>
    <s v="MPG"/>
    <s v="Direct"/>
    <n v="94.999999999999986"/>
    <n v="4189.68"/>
    <n v="133.5"/>
    <n v="5796.6420503477502"/>
    <n v="0"/>
    <n v="0"/>
    <n v="133.5"/>
    <n v="5796.6420503477502"/>
    <n v="4189.68"/>
    <n v="0"/>
    <n v="0"/>
    <n v="1606.9620503477499"/>
    <n v="0"/>
    <n v="0"/>
    <n v="0"/>
    <n v="4190"/>
    <n v="0"/>
    <n v="0"/>
    <n v="0"/>
    <s v="Release1"/>
    <n v="533.63292631578963"/>
    <n v="13.571428571428569"/>
    <n v="-0.3835524551631031"/>
    <n v="6"/>
    <m/>
    <s v="Dumraon"/>
    <m/>
    <n v="0"/>
  </r>
  <r>
    <s v="Munger"/>
    <s v="17-23 Apr"/>
    <n v="1014"/>
    <s v="Dumraon"/>
    <x v="601"/>
    <s v="Gomukh Sikraul Lakh"/>
    <s v="MPG"/>
    <s v="Direct"/>
    <n v="434.8"/>
    <n v="17119.02"/>
    <n v="428.48999999999995"/>
    <n v="16912.544550660001"/>
    <n v="5"/>
    <n v="201.75822691200003"/>
    <n v="433.48999999999995"/>
    <n v="17114.302777572"/>
    <n v="17114.302777572"/>
    <n v="0"/>
    <n v="201.75822691200003"/>
    <n v="0"/>
    <n v="0"/>
    <n v="0"/>
    <n v="0"/>
    <n v="16912"/>
    <n v="0"/>
    <n v="0"/>
    <n v="5"/>
    <n v="0"/>
    <n v="208.82999558417663"/>
    <n v="62.114285714285714"/>
    <n v="2.7555446678608012E-4"/>
    <n v="3"/>
    <m/>
    <s v="Dumraon"/>
    <m/>
    <n v="0"/>
  </r>
  <r>
    <s v="Munger"/>
    <s v="17-23 Apr"/>
    <n v="1014"/>
    <s v="Dumraon"/>
    <x v="602"/>
    <s v="Gomukh Dafadihari"/>
    <s v="MPG"/>
    <s v="Direct"/>
    <n v="206.2"/>
    <n v="7506.68"/>
    <n v="200.89999999999998"/>
    <n v="7350.5842301953817"/>
    <n v="3.3200000000000007"/>
    <n v="142.62886875600003"/>
    <n v="204.21999999999997"/>
    <n v="7493.2130989513817"/>
    <n v="7493.2130989513817"/>
    <n v="0"/>
    <n v="142.62886875600003"/>
    <n v="0"/>
    <n v="0"/>
    <n v="0"/>
    <n v="0"/>
    <n v="7352"/>
    <n v="0"/>
    <n v="0"/>
    <n v="12"/>
    <n v="0"/>
    <n v="359.53429524733269"/>
    <n v="29.457142857142856"/>
    <n v="1.7939889603151642E-3"/>
    <n v="9"/>
    <m/>
    <s v="Dumraon"/>
    <m/>
    <n v="0"/>
  </r>
  <r>
    <s v="Munger"/>
    <s v="17-23 Apr"/>
    <n v="1014"/>
    <s v="Dumraon"/>
    <x v="603"/>
    <s v="Gomukh Paharpur"/>
    <s v="MPG"/>
    <s v="Direct"/>
    <n v="135.19999999999999"/>
    <n v="4940.5000000000009"/>
    <n v="133.5"/>
    <n v="4934.3009759999995"/>
    <n v="0"/>
    <n v="0"/>
    <n v="133.5"/>
    <n v="4934.3009759999995"/>
    <n v="4934.3009759999995"/>
    <n v="0"/>
    <n v="0"/>
    <n v="0"/>
    <n v="0"/>
    <n v="0"/>
    <n v="0"/>
    <n v="4934"/>
    <n v="0"/>
    <n v="0"/>
    <n v="7"/>
    <n v="0"/>
    <n v="412.78023668639065"/>
    <n v="19.314285714285713"/>
    <n v="1.2547361603079388E-3"/>
    <n v="1"/>
    <m/>
    <s v="Dumraon"/>
    <m/>
    <n v="0"/>
  </r>
  <r>
    <s v="Munger"/>
    <s v="17-23 Apr"/>
    <n v="1014"/>
    <s v="Dumraon"/>
    <x v="604"/>
    <s v="Gomukh Basaon Kalan"/>
    <s v="MPG"/>
    <s v="Direct"/>
    <n v="237.5"/>
    <n v="8383.630000000001"/>
    <n v="237.10000000000005"/>
    <n v="8355.9900402000003"/>
    <n v="0"/>
    <n v="0"/>
    <n v="237.10000000000005"/>
    <n v="8355.9900402000003"/>
    <n v="8355.9900402000003"/>
    <n v="0"/>
    <n v="0"/>
    <n v="0"/>
    <n v="0"/>
    <n v="0"/>
    <n v="0"/>
    <n v="8356"/>
    <n v="0"/>
    <n v="0"/>
    <n v="28"/>
    <n v="0"/>
    <n v="326.52032631578953"/>
    <n v="33.928571428571431"/>
    <n v="3.2968964279197341E-3"/>
    <n v="1"/>
    <m/>
    <s v="Dumraon"/>
    <m/>
    <n v="0"/>
  </r>
  <r>
    <s v="Munger"/>
    <s v="17-23 Apr"/>
    <n v="1014"/>
    <s v="Dumraon"/>
    <x v="605"/>
    <s v="Gomukh Mangolpur"/>
    <s v="MPG"/>
    <s v="Direct"/>
    <n v="327.60000000000002"/>
    <n v="11503.03"/>
    <n v="325.09999999999997"/>
    <n v="11252.907153447601"/>
    <n v="5.2"/>
    <n v="176.99123772000002"/>
    <n v="330.29999999999995"/>
    <n v="11429.8983911676"/>
    <n v="11429.8983911676"/>
    <n v="0"/>
    <n v="176.99123772000002"/>
    <n v="0"/>
    <n v="0"/>
    <n v="0"/>
    <n v="0"/>
    <n v="11253"/>
    <n v="0"/>
    <n v="0"/>
    <n v="73"/>
    <n v="0"/>
    <n v="261.5218786324786"/>
    <n v="46.800000000000004"/>
    <n v="6.3575952451136921E-3"/>
    <n v="10"/>
    <m/>
    <s v="Dumraon"/>
    <m/>
    <n v="0"/>
  </r>
  <r>
    <s v="Munger"/>
    <s v="17-23 Apr"/>
    <n v="1014"/>
    <s v="Dumraon"/>
    <x v="606"/>
    <s v="Gomukh Dhanipur"/>
    <s v="MPG"/>
    <s v="Direct"/>
    <n v="502"/>
    <n v="18897.840000000004"/>
    <n v="480.64999999999992"/>
    <n v="18884.473577895544"/>
    <n v="0"/>
    <n v="0"/>
    <n v="480.64999999999992"/>
    <n v="18884.473577895544"/>
    <n v="18884.473577895544"/>
    <n v="0"/>
    <n v="0"/>
    <n v="0"/>
    <n v="0"/>
    <n v="0"/>
    <n v="0"/>
    <n v="18885"/>
    <n v="0"/>
    <n v="0"/>
    <n v="13"/>
    <n v="0"/>
    <n v="149.07459442231084"/>
    <n v="71.714285714285708"/>
    <n v="7.0729893492907489E-4"/>
    <n v="3"/>
    <m/>
    <s v="Dumraon"/>
    <m/>
    <n v="0"/>
  </r>
  <r>
    <s v="Munger"/>
    <s v="17-23 Apr"/>
    <n v="1014"/>
    <s v="Dumraon"/>
    <x v="607"/>
    <s v="Gomukh Rakshanagar_tola"/>
    <s v="MPG"/>
    <s v="Direct"/>
    <n v="606.29999999999995"/>
    <n v="25777.200000000001"/>
    <n v="667.90000000000009"/>
    <n v="28498.931541396203"/>
    <n v="0"/>
    <n v="0"/>
    <n v="667.90000000000009"/>
    <n v="28498.931541396203"/>
    <n v="25777.200000000001"/>
    <n v="0"/>
    <n v="0"/>
    <n v="2721.7315413962024"/>
    <n v="0"/>
    <n v="0"/>
    <n v="0"/>
    <n v="25777"/>
    <n v="0"/>
    <n v="0"/>
    <n v="0"/>
    <n v="0"/>
    <n v="79.67420880752104"/>
    <n v="86.614285714285714"/>
    <n v="-0.10558677984405608"/>
    <n v="4"/>
    <m/>
    <s v="Dumraon"/>
    <m/>
    <n v="0"/>
  </r>
  <r>
    <s v="Munger"/>
    <s v="17-23 Apr"/>
    <n v="1014"/>
    <s v="Dumraon"/>
    <x v="608"/>
    <s v="Gomukh Nadaon"/>
    <s v="MPG"/>
    <s v="Direct"/>
    <n v="10.5"/>
    <n v="328.82"/>
    <n v="82"/>
    <n v="3398.828004"/>
    <n v="2.9999999999999996"/>
    <n v="124.34736600000001"/>
    <n v="85"/>
    <n v="3523.1753699999999"/>
    <n v="328.82"/>
    <n v="0"/>
    <n v="124.34736600000001"/>
    <n v="3194.3553699999998"/>
    <n v="0"/>
    <n v="0"/>
    <n v="0"/>
    <n v="204"/>
    <n v="0"/>
    <n v="0"/>
    <n v="0"/>
    <n v="0"/>
    <n v="431.85026666666664"/>
    <n v="1.5"/>
    <n v="-9.7146018186241712"/>
    <n v="2"/>
    <m/>
    <s v="Dumraon"/>
    <m/>
    <n v="0"/>
  </r>
  <r>
    <s v="Munger"/>
    <s v="17-23 Apr"/>
    <n v="1014"/>
    <s v="Dumraon"/>
    <x v="609"/>
    <s v="Gomukh Bimhnath Girdhar Baraw"/>
    <s v="vlc"/>
    <s v="Indirect"/>
    <n v="546.20000000000016"/>
    <n v="22686.520000000004"/>
    <n v="0"/>
    <n v="0"/>
    <n v="0"/>
    <n v="0"/>
    <n v="0"/>
    <n v="0"/>
    <n v="22686.520000000004"/>
    <n v="0"/>
    <n v="0"/>
    <n v="0"/>
    <n v="0"/>
    <n v="0"/>
    <n v="0"/>
    <n v="0"/>
    <n v="0"/>
    <n v="22686.520000000004"/>
    <n v="0"/>
    <n v="0"/>
    <n v="127.76224005858646"/>
    <n v="78.028571428571453"/>
    <n v="0"/>
    <n v="0"/>
    <m/>
    <s v="Dumraon"/>
    <m/>
    <n v="0"/>
  </r>
  <r>
    <s v="Munger"/>
    <s v="17-23 Apr"/>
    <n v="1014"/>
    <s v="Dumraon"/>
    <x v="610"/>
    <s v="Gomukh Mathuradera Upendra "/>
    <s v="vlc"/>
    <s v="Indirect"/>
    <n v="117.19999999999999"/>
    <n v="4331.7199999999993"/>
    <n v="0"/>
    <n v="0"/>
    <n v="0"/>
    <n v="0"/>
    <n v="0"/>
    <n v="0"/>
    <n v="4331.7199999999993"/>
    <n v="0"/>
    <n v="0"/>
    <n v="0"/>
    <n v="0"/>
    <n v="0"/>
    <n v="0"/>
    <n v="0"/>
    <n v="0"/>
    <n v="4331.7199999999993"/>
    <n v="0"/>
    <n v="0"/>
    <n v="430.80655563139942"/>
    <n v="16.74285714285714"/>
    <n v="0"/>
    <n v="0"/>
    <m/>
    <s v="Dumraon"/>
    <m/>
    <n v="0"/>
  </r>
  <r>
    <s v="Munger"/>
    <s v="17-23 Apr"/>
    <n v="1014"/>
    <s v="Dumraon"/>
    <x v="1059"/>
    <s v="Gomukh Dalsagar Pachhim"/>
    <s v="MPG"/>
    <s v="Direct"/>
    <n v="15.1"/>
    <n v="518.23"/>
    <n v="15.5"/>
    <n v="511.51636800000006"/>
    <n v="0"/>
    <n v="0"/>
    <n v="15.5"/>
    <n v="511.51636800000006"/>
    <n v="511.51636800000006"/>
    <n v="0"/>
    <n v="0"/>
    <n v="0"/>
    <n v="0"/>
    <n v="0"/>
    <n v="0"/>
    <n v="512"/>
    <n v="0"/>
    <n v="0"/>
    <n v="6"/>
    <n v="0"/>
    <n v="470.11354569536434"/>
    <n v="2.157142857142857"/>
    <n v="1.295492734886047E-2"/>
    <n v="1"/>
    <m/>
    <s v="Dumraon"/>
    <m/>
    <n v="0"/>
  </r>
  <r>
    <s v="Munger"/>
    <s v="17-23 Apr"/>
    <n v="1014"/>
    <s v="Dumraon"/>
    <x v="611"/>
    <s v="Gomukh Badkagaon Yamunatola"/>
    <s v="MPG"/>
    <s v="Direct"/>
    <n v="61.6"/>
    <n v="2412.67"/>
    <n v="61.5"/>
    <n v="2394.8749440000001"/>
    <n v="0"/>
    <n v="0"/>
    <n v="61.5"/>
    <n v="2394.8749440000001"/>
    <n v="2394.8749440000001"/>
    <n v="0"/>
    <n v="0"/>
    <n v="0"/>
    <n v="0"/>
    <n v="0"/>
    <n v="0"/>
    <n v="2395"/>
    <n v="0"/>
    <n v="0"/>
    <n v="18"/>
    <n v="0"/>
    <n v="500.08069090909095"/>
    <n v="8.8000000000000007"/>
    <n v="7.3756692792631947E-3"/>
    <n v="1"/>
    <m/>
    <s v="Dumraon"/>
    <m/>
    <n v="0"/>
  </r>
  <r>
    <s v="Munger"/>
    <s v="17-23 Apr"/>
    <n v="1014"/>
    <s v="Dumraon"/>
    <x v="612"/>
    <s v="Gomukh Bramhpur"/>
    <s v="MPG"/>
    <s v="Direct"/>
    <n v="158.60000000000002"/>
    <n v="5373.58"/>
    <n v="163.71"/>
    <n v="5853.9658968450012"/>
    <n v="0"/>
    <n v="0"/>
    <n v="163.71"/>
    <n v="5853.9658968450012"/>
    <n v="5373.58"/>
    <n v="0"/>
    <n v="0"/>
    <n v="480.3858968450013"/>
    <n v="0"/>
    <n v="0"/>
    <n v="0"/>
    <n v="5374"/>
    <n v="0"/>
    <n v="0"/>
    <n v="0"/>
    <n v="0"/>
    <n v="366.86711374527107"/>
    <n v="22.657142857142862"/>
    <n v="-8.9397737978219607E-2"/>
    <n v="1"/>
    <m/>
    <s v="Dumraon"/>
    <m/>
    <n v="0"/>
  </r>
  <r>
    <s v="Munger"/>
    <s v="17-23 Apr"/>
    <n v="1014"/>
    <s v="Dumraon"/>
    <x v="613"/>
    <s v="Gomukh Mashariya"/>
    <s v="MPG"/>
    <s v="Direct"/>
    <n v="262.2"/>
    <n v="12095.189999999997"/>
    <n v="167.32000000000002"/>
    <n v="7381.6583346264251"/>
    <n v="127.64"/>
    <n v="5279.8128644298877"/>
    <n v="294.96000000000004"/>
    <n v="12661.471199056312"/>
    <n v="12095.189999999997"/>
    <n v="0"/>
    <n v="1366.1282162144871"/>
    <n v="566.28119905631502"/>
    <n v="0"/>
    <n v="0"/>
    <n v="0"/>
    <n v="6816"/>
    <n v="3913"/>
    <n v="0"/>
    <n v="0"/>
    <n v="0"/>
    <n v="403.91107414187638"/>
    <n v="37.457142857142856"/>
    <n v="-4.6818710500315844E-2"/>
    <n v="5"/>
    <m/>
    <s v="Dumraon"/>
    <m/>
    <n v="0"/>
  </r>
  <r>
    <s v="Munger"/>
    <s v="17-23 Apr"/>
    <n v="1014"/>
    <s v="Dumraon"/>
    <x v="614"/>
    <s v="Gomukh Basawkala Sudhir Kumar"/>
    <s v="vlc"/>
    <s v="Indirect"/>
    <n v="22.2"/>
    <n v="773.67"/>
    <n v="0"/>
    <n v="0"/>
    <n v="0"/>
    <n v="0"/>
    <n v="0"/>
    <n v="0"/>
    <n v="773.67"/>
    <n v="0"/>
    <n v="0"/>
    <n v="0"/>
    <n v="0"/>
    <n v="0"/>
    <n v="0"/>
    <n v="0"/>
    <n v="0"/>
    <n v="773.67"/>
    <n v="0"/>
    <n v="0"/>
    <n v="472.42659999999995"/>
    <n v="3.1714285714285713"/>
    <n v="0"/>
    <n v="0"/>
    <m/>
    <s v="Dumraon"/>
    <m/>
    <n v="0"/>
  </r>
  <r>
    <s v="Munger"/>
    <s v="17-23 Apr"/>
    <n v="1014"/>
    <s v="Dumraon"/>
    <x v="615"/>
    <s v="Gomukh KritSagar"/>
    <s v="MPG"/>
    <s v="Direct"/>
    <n v="299.2"/>
    <n v="11852.14"/>
    <n v="368.22"/>
    <n v="16253.674217484573"/>
    <n v="0"/>
    <n v="0"/>
    <n v="368.22"/>
    <n v="16253.674217484573"/>
    <n v="11852.14"/>
    <n v="0"/>
    <n v="0"/>
    <n v="4401.5342174845737"/>
    <n v="0"/>
    <n v="0"/>
    <n v="0"/>
    <n v="11852"/>
    <n v="0"/>
    <n v="0"/>
    <n v="0"/>
    <n v="0"/>
    <n v="317.53594331550801"/>
    <n v="42.74285714285714"/>
    <n v="-0.37137042065690873"/>
    <n v="1"/>
    <m/>
    <s v="Dumraon"/>
    <m/>
    <n v="0"/>
  </r>
  <r>
    <s v="Munger"/>
    <s v="17-23 Apr"/>
    <n v="1014"/>
    <s v="Dumraon"/>
    <x v="616"/>
    <s v="Gomukh Navdera Jaipraksh"/>
    <s v="vlc"/>
    <s v="Indirect"/>
    <n v="373.7"/>
    <n v="15289.219999999998"/>
    <n v="0"/>
    <n v="0"/>
    <n v="0"/>
    <n v="0"/>
    <n v="0"/>
    <n v="0"/>
    <n v="15289.219999999998"/>
    <n v="0"/>
    <n v="0"/>
    <n v="0"/>
    <n v="0"/>
    <n v="0"/>
    <n v="0"/>
    <n v="0"/>
    <n v="0"/>
    <n v="15289.219999999998"/>
    <n v="0"/>
    <n v="0"/>
    <n v="266.99879507626434"/>
    <n v="53.385714285714286"/>
    <n v="0"/>
    <n v="0"/>
    <m/>
    <s v="Dumraon"/>
    <m/>
    <n v="0"/>
  </r>
  <r>
    <s v="Munger"/>
    <s v="17-23 Apr"/>
    <n v="1014"/>
    <s v="Dumraon"/>
    <x v="617"/>
    <s v="Gomukh Ataon"/>
    <s v="MPG"/>
    <s v="Direct"/>
    <n v="356.39999999999992"/>
    <n v="14506.48"/>
    <n v="385.26000000000005"/>
    <n v="15709.25487372032"/>
    <n v="0"/>
    <n v="0"/>
    <n v="385.26000000000005"/>
    <n v="15709.25487372032"/>
    <n v="14506.48"/>
    <n v="0"/>
    <n v="0"/>
    <n v="1202.7748737203201"/>
    <n v="0"/>
    <n v="0"/>
    <n v="0"/>
    <n v="14506"/>
    <n v="0"/>
    <n v="0"/>
    <n v="0"/>
    <n v="0"/>
    <n v="279.70968170594853"/>
    <n v="50.914285714285704"/>
    <n v="-8.2912937785067101E-2"/>
    <n v="2"/>
    <m/>
    <s v="Dumraon"/>
    <m/>
    <n v="0"/>
  </r>
  <r>
    <s v="Munger"/>
    <s v="17-23 Apr"/>
    <n v="1014"/>
    <s v="Dumraon"/>
    <x v="618"/>
    <s v="Gumukh Gayghat"/>
    <s v="MPG"/>
    <s v="Direct"/>
    <n v="730.7"/>
    <n v="27565.98"/>
    <n v="701.49999999999989"/>
    <n v="28944.8157452298"/>
    <n v="139.85999999999999"/>
    <n v="4905.870180156001"/>
    <n v="841.3599999999999"/>
    <n v="33850.685925385798"/>
    <n v="27565.98"/>
    <n v="0"/>
    <n v="4905.870180156001"/>
    <n v="6284.7059253857988"/>
    <n v="0"/>
    <n v="0"/>
    <n v="0"/>
    <n v="22660"/>
    <n v="0"/>
    <n v="0"/>
    <n v="0"/>
    <n v="0"/>
    <n v="0"/>
    <n v="0"/>
    <n v="-0.22798775611771463"/>
    <n v="3"/>
    <m/>
    <s v="Dumraon"/>
    <m/>
    <n v="0"/>
  </r>
  <r>
    <s v="Munger"/>
    <s v="17-23 Apr"/>
    <n v="1014"/>
    <s v="Dumraon"/>
    <x v="619"/>
    <s v="Gomukh Shivpur"/>
    <s v="MPG"/>
    <s v="Direct"/>
    <n v="54.499999999999993"/>
    <n v="2066.9299999999998"/>
    <n v="54"/>
    <n v="2038.6650240000001"/>
    <n v="0"/>
    <n v="0"/>
    <n v="54"/>
    <n v="2038.6650240000001"/>
    <n v="2038.6650240000001"/>
    <n v="0"/>
    <n v="0"/>
    <n v="0"/>
    <n v="0"/>
    <n v="0"/>
    <n v="0"/>
    <n v="2039"/>
    <n v="0"/>
    <n v="0"/>
    <n v="28"/>
    <n v="0"/>
    <n v="489.61589541284411"/>
    <n v="7.7857142857142847"/>
    <n v="1.3674858848630437E-2"/>
    <n v="1"/>
    <m/>
    <s v="Dumraon"/>
    <m/>
    <n v="0"/>
  </r>
  <r>
    <s v="Munger"/>
    <s v="17-23 Apr"/>
    <n v="1014"/>
    <s v="Dumraon"/>
    <x v="620"/>
    <s v="Gomukh Chakki Janardan Yadav"/>
    <s v="vlc"/>
    <s v="Indirect"/>
    <n v="81.7"/>
    <n v="2807.16"/>
    <n v="0"/>
    <n v="0"/>
    <n v="0"/>
    <n v="0"/>
    <n v="0"/>
    <n v="0"/>
    <n v="2807.16"/>
    <n v="0"/>
    <n v="0"/>
    <n v="0"/>
    <n v="0"/>
    <n v="0"/>
    <n v="0"/>
    <n v="0"/>
    <n v="0"/>
    <n v="2807.16"/>
    <n v="0"/>
    <n v="0"/>
    <n v="424.88788935128514"/>
    <n v="11.671428571428573"/>
    <n v="0"/>
    <n v="0"/>
    <m/>
    <s v="Dumraon"/>
    <m/>
    <n v="0"/>
  </r>
  <r>
    <s v="Munger"/>
    <s v="17-23 Apr"/>
    <n v="1014"/>
    <s v="Dumraon"/>
    <x v="621"/>
    <s v="Gomukh Rajpur"/>
    <s v="MPG"/>
    <s v="Direct"/>
    <n v="1134.3"/>
    <n v="44200.689999999995"/>
    <n v="1122.55"/>
    <n v="43034.730589138999"/>
    <n v="14.519999999999998"/>
    <n v="567.58010839200006"/>
    <n v="1137.07"/>
    <n v="43602.310697531"/>
    <n v="43602.310697531"/>
    <n v="0"/>
    <n v="567.58010839200006"/>
    <n v="0"/>
    <n v="0"/>
    <n v="0"/>
    <n v="0"/>
    <n v="43035"/>
    <n v="0"/>
    <n v="0"/>
    <n v="598"/>
    <n v="0"/>
    <n v="0"/>
    <n v="0"/>
    <n v="1.353778193211452E-2"/>
    <n v="35"/>
    <m/>
    <s v="Dumraon"/>
    <m/>
    <n v="0"/>
  </r>
  <r>
    <s v="Munger"/>
    <s v="17-23 Apr"/>
    <n v="1014"/>
    <s v="Dumraon"/>
    <x v="622"/>
    <s v="Gomukh Gangauli Dubha"/>
    <s v="MPG"/>
    <s v="Direct"/>
    <n v="210.4"/>
    <n v="7856.8600000000006"/>
    <n v="213.09999999999997"/>
    <n v="7794.0261786915007"/>
    <n v="2.6"/>
    <n v="96.587278920000017"/>
    <n v="215.69999999999996"/>
    <n v="7890.613457611501"/>
    <n v="7856.8600000000006"/>
    <n v="0"/>
    <n v="96.587278920000017"/>
    <n v="33.75345761150038"/>
    <n v="0"/>
    <n v="0"/>
    <n v="0"/>
    <n v="7760"/>
    <n v="0"/>
    <n v="0"/>
    <n v="0"/>
    <n v="0"/>
    <n v="365.65766692015211"/>
    <n v="30.057142857142857"/>
    <n v="-4.2960492628735117E-3"/>
    <n v="5"/>
    <m/>
    <s v="Dumraon"/>
    <m/>
    <n v="0"/>
  </r>
  <r>
    <s v="Munger"/>
    <s v="17-23 Apr"/>
    <n v="1014"/>
    <s v="Dumraon"/>
    <x v="623"/>
    <s v="Tiyar A2 Milk Producer Company Limited"/>
    <s v="vlc"/>
    <s v="Indirect"/>
    <n v="1115.0999999999999"/>
    <n v="46712.110000000008"/>
    <n v="0"/>
    <n v="0"/>
    <n v="0"/>
    <n v="0"/>
    <n v="0"/>
    <n v="0"/>
    <n v="46712.110000000008"/>
    <n v="0"/>
    <n v="0"/>
    <n v="0"/>
    <n v="0"/>
    <n v="0"/>
    <n v="0"/>
    <n v="0"/>
    <n v="0"/>
    <n v="46712.110000000008"/>
    <n v="0"/>
    <n v="0"/>
    <n v="0"/>
    <n v="0"/>
    <n v="0"/>
    <n v="0"/>
    <m/>
    <s v="Dumraon"/>
    <m/>
    <n v="0"/>
  </r>
  <r>
    <s v="Munger"/>
    <s v="17-23 Apr"/>
    <n v="1014"/>
    <s v="Dumraon"/>
    <x v="624"/>
    <s v="Gomukh Uttardahan"/>
    <s v="MPG"/>
    <s v="Direct"/>
    <n v="181"/>
    <n v="7804.87"/>
    <n v="184.8"/>
    <n v="8957.8469047872404"/>
    <n v="0"/>
    <n v="0"/>
    <n v="184.8"/>
    <n v="8957.8469047872404"/>
    <n v="7804.87"/>
    <n v="0"/>
    <n v="0"/>
    <n v="1152.9769047872405"/>
    <n v="0"/>
    <n v="0"/>
    <n v="0"/>
    <n v="7805"/>
    <n v="0"/>
    <n v="0"/>
    <n v="0"/>
    <n v="0"/>
    <n v="447.5942022099448"/>
    <n v="25.857142857142858"/>
    <n v="-0.14772531826759966"/>
    <n v="11"/>
    <m/>
    <s v="Dumraon"/>
    <m/>
    <n v="0"/>
  </r>
  <r>
    <s v="Munger"/>
    <s v="17-23 Apr"/>
    <n v="1014"/>
    <s v="Dumraon"/>
    <x v="625"/>
    <s v="Gomukh Jagdishpur"/>
    <s v="MPG"/>
    <s v="Direct"/>
    <n v="1158.1000000000001"/>
    <n v="39537.51"/>
    <n v="1156"/>
    <n v="39522.548736000012"/>
    <n v="0"/>
    <n v="0"/>
    <n v="1156"/>
    <n v="39522.548736000012"/>
    <n v="39522.548736000012"/>
    <n v="0"/>
    <n v="0"/>
    <n v="0"/>
    <n v="0"/>
    <n v="0"/>
    <n v="0"/>
    <n v="39523"/>
    <n v="0"/>
    <n v="0"/>
    <n v="15"/>
    <n v="0"/>
    <n v="0"/>
    <n v="0"/>
    <n v="3.7840683442104671E-4"/>
    <n v="1"/>
    <m/>
    <s v="Dumraon"/>
    <m/>
    <n v="0"/>
  </r>
  <r>
    <s v="Munger"/>
    <s v="17-23 Apr"/>
    <n v="1014"/>
    <s v="Dumraon"/>
    <x v="626"/>
    <s v="Gaya Jee Pathak"/>
    <s v="vlc"/>
    <s v="Indirect"/>
    <n v="79.800000000000011"/>
    <n v="2807.45"/>
    <n v="0"/>
    <n v="0"/>
    <n v="0"/>
    <n v="0"/>
    <n v="0"/>
    <n v="0"/>
    <n v="2807.45"/>
    <n v="0"/>
    <n v="0"/>
    <n v="0"/>
    <n v="0"/>
    <n v="0"/>
    <n v="0"/>
    <n v="0"/>
    <n v="0"/>
    <n v="2807.45"/>
    <n v="0"/>
    <n v="0"/>
    <n v="436.38608771929819"/>
    <n v="11.400000000000002"/>
    <n v="0"/>
    <n v="0"/>
    <m/>
    <s v="Dumraon"/>
    <m/>
    <n v="0"/>
  </r>
  <r>
    <s v="Munger"/>
    <s v="17-23 Apr"/>
    <n v="1014"/>
    <s v="Dumraon"/>
    <x v="627"/>
    <s v="Gumukh Orap Khurd"/>
    <s v="MPG"/>
    <s v="Direct"/>
    <n v="80.099999999999994"/>
    <n v="3127.9200000000005"/>
    <n v="79"/>
    <n v="3118.0575096000002"/>
    <n v="0"/>
    <n v="0"/>
    <n v="79"/>
    <n v="3118.0575096000002"/>
    <n v="3118.0575096000002"/>
    <n v="0"/>
    <n v="0"/>
    <n v="0"/>
    <n v="0"/>
    <n v="0"/>
    <n v="0"/>
    <n v="3118"/>
    <n v="0"/>
    <n v="0"/>
    <n v="10"/>
    <n v="0"/>
    <n v="484.14422172284662"/>
    <n v="11.442857142857141"/>
    <n v="3.1530507174097467E-3"/>
    <n v="1"/>
    <m/>
    <s v="Dumraon"/>
    <m/>
    <n v="0"/>
  </r>
  <r>
    <s v="Munger"/>
    <s v="17-23 Apr"/>
    <n v="1014"/>
    <s v="Dumraon"/>
    <x v="628"/>
    <s v="Gomukh Daunpura Manendra"/>
    <s v="vlc"/>
    <s v="Indirect"/>
    <n v="345.7"/>
    <n v="12786.17"/>
    <n v="0"/>
    <n v="0"/>
    <n v="0"/>
    <n v="0"/>
    <n v="0"/>
    <n v="0"/>
    <n v="12786.17"/>
    <n v="0"/>
    <n v="0"/>
    <n v="0"/>
    <n v="0"/>
    <n v="0"/>
    <n v="0"/>
    <n v="0"/>
    <n v="0"/>
    <n v="12786.17"/>
    <n v="0"/>
    <n v="0"/>
    <n v="262.08504663002606"/>
    <n v="49.385714285714286"/>
    <n v="0"/>
    <n v="0"/>
    <m/>
    <s v="Dumraon"/>
    <m/>
    <n v="0"/>
  </r>
  <r>
    <s v="Munger"/>
    <s v="17-23 Apr"/>
    <n v="1014"/>
    <s v="Dumraon"/>
    <x v="629"/>
    <s v="Gumukh Mathiyapur"/>
    <s v="MPG"/>
    <s v="Direct"/>
    <n v="249.20000000000002"/>
    <n v="9933.91"/>
    <n v="248.23000000000002"/>
    <n v="9927.2547807840019"/>
    <n v="0"/>
    <n v="0"/>
    <n v="248.23000000000002"/>
    <n v="9927.2547807840019"/>
    <n v="9927.2547807840019"/>
    <n v="0"/>
    <n v="0"/>
    <n v="0"/>
    <n v="0"/>
    <n v="0"/>
    <n v="0"/>
    <n v="9927"/>
    <n v="0"/>
    <n v="0"/>
    <n v="7"/>
    <n v="0"/>
    <n v="359.40663146067419"/>
    <n v="35.6"/>
    <n v="6.6994961862931431E-4"/>
    <n v="1"/>
    <m/>
    <s v="Dumraon"/>
    <m/>
    <n v="0"/>
  </r>
  <r>
    <s v="Munger"/>
    <s v="17-23 Apr"/>
    <n v="1014"/>
    <s v="Dumraon"/>
    <x v="630"/>
    <s v="Gomukh Raghunathpur Dasrath"/>
    <s v="vlc"/>
    <s v="Indirect"/>
    <n v="566.5"/>
    <n v="23292.12"/>
    <n v="0"/>
    <n v="0"/>
    <n v="0"/>
    <n v="0"/>
    <n v="0"/>
    <n v="0"/>
    <n v="23292.12"/>
    <n v="0"/>
    <n v="0"/>
    <n v="0"/>
    <n v="0"/>
    <n v="0"/>
    <n v="0"/>
    <n v="0"/>
    <n v="0"/>
    <n v="23292.12"/>
    <n v="0"/>
    <n v="0"/>
    <n v="109.77927696381289"/>
    <n v="80.928571428571431"/>
    <n v="0"/>
    <n v="0"/>
    <m/>
    <s v="Dumraon"/>
    <m/>
    <n v="0"/>
  </r>
  <r>
    <s v="Munger"/>
    <s v="17-23 Apr"/>
    <n v="1014"/>
    <s v="Dumraon"/>
    <x v="631"/>
    <s v="Gomukh Lakshman Dera Raja"/>
    <s v="vlc"/>
    <s v="Indirect"/>
    <n v="436.60000000000008"/>
    <n v="15022.560000000001"/>
    <n v="0"/>
    <n v="0"/>
    <n v="0"/>
    <n v="0"/>
    <n v="0"/>
    <n v="0"/>
    <n v="15022.560000000001"/>
    <n v="0"/>
    <n v="0"/>
    <n v="0"/>
    <n v="0"/>
    <n v="0"/>
    <n v="0"/>
    <n v="0"/>
    <n v="0"/>
    <n v="15022.560000000001"/>
    <n v="0"/>
    <n v="0"/>
    <n v="181.26167219422805"/>
    <n v="62.371428571428581"/>
    <n v="0"/>
    <n v="0"/>
    <m/>
    <s v="Dumraon"/>
    <m/>
    <n v="0"/>
  </r>
  <r>
    <s v="Munger"/>
    <s v="17-23 Apr"/>
    <n v="1014"/>
    <s v="Dumraon"/>
    <x v="632"/>
    <s v="Sohan Narayan Farmer Dairy Producer Company Ltd"/>
    <s v="vlc"/>
    <s v="Indirect"/>
    <n v="525.79999999999995"/>
    <n v="19157.669999999998"/>
    <n v="0"/>
    <n v="0"/>
    <n v="0"/>
    <n v="0"/>
    <n v="0"/>
    <n v="0"/>
    <n v="19157.669999999998"/>
    <n v="0"/>
    <n v="0"/>
    <n v="0"/>
    <n v="0"/>
    <n v="0"/>
    <n v="0"/>
    <n v="0"/>
    <n v="0"/>
    <n v="19157.669999999998"/>
    <n v="0"/>
    <n v="0"/>
    <n v="126.94051403575504"/>
    <n v="75.114285714285714"/>
    <n v="0"/>
    <n v="0"/>
    <m/>
    <s v="Dumraon"/>
    <m/>
    <n v="0"/>
  </r>
  <r>
    <s v="Munger"/>
    <s v="17-23 Apr"/>
    <n v="1014"/>
    <s v="Dumraon"/>
    <x v="1038"/>
    <s v="Gomukh Arion Govind "/>
    <s v="vlc"/>
    <s v="Indirect"/>
    <n v="207.1"/>
    <n v="8128.73"/>
    <n v="0"/>
    <n v="0"/>
    <n v="0"/>
    <n v="0"/>
    <n v="0"/>
    <n v="0"/>
    <n v="8128.73"/>
    <n v="0"/>
    <n v="0"/>
    <n v="0"/>
    <n v="0"/>
    <n v="0"/>
    <n v="0"/>
    <n v="0"/>
    <n v="0"/>
    <n v="8128.73"/>
    <n v="0"/>
    <n v="0"/>
    <n v="386.92911801062286"/>
    <n v="29.585714285714285"/>
    <n v="0"/>
    <n v="0"/>
    <m/>
    <s v="Dumraon"/>
    <m/>
    <n v="0"/>
  </r>
  <r>
    <s v="Munger"/>
    <s v="17-23 Apr"/>
    <n v="1014"/>
    <s v="Dumraon"/>
    <x v="633"/>
    <s v="Gumukh Niyajipur Nakchhedi Pathak Dera"/>
    <s v="MPG"/>
    <s v="Direct"/>
    <n v="234.90000000000003"/>
    <n v="11238.84"/>
    <n v="219.00000000000003"/>
    <n v="11236.184207967399"/>
    <n v="0"/>
    <n v="0"/>
    <n v="219.00000000000003"/>
    <n v="11236.184207967399"/>
    <n v="11236.184207967399"/>
    <n v="0"/>
    <n v="0"/>
    <n v="0"/>
    <n v="0"/>
    <n v="0"/>
    <n v="0"/>
    <n v="11236"/>
    <n v="0"/>
    <n v="0"/>
    <n v="3"/>
    <n v="0"/>
    <n v="445.05615019157085"/>
    <n v="33.557142857142864"/>
    <n v="2.363048172766328E-4"/>
    <n v="1"/>
    <m/>
    <s v="Dumraon"/>
    <m/>
    <n v="0"/>
  </r>
  <r>
    <s v="Munger"/>
    <s v="17-23 Apr"/>
    <n v="1014"/>
    <s v="Dumraon"/>
    <x v="634"/>
    <s v="Gumukh Basawkala Dahpura Tola"/>
    <s v="MPG"/>
    <s v="Direct"/>
    <n v="508.7"/>
    <n v="22972.849999999995"/>
    <n v="507.21"/>
    <n v="22971.973938961914"/>
    <n v="0"/>
    <n v="0"/>
    <n v="507.21"/>
    <n v="22971.973938961914"/>
    <n v="22971.973938961914"/>
    <n v="0"/>
    <n v="0"/>
    <n v="0"/>
    <n v="0"/>
    <n v="0"/>
    <n v="0"/>
    <n v="22972"/>
    <n v="0"/>
    <n v="0"/>
    <n v="1"/>
    <n v="0"/>
    <n v="172.78184411244351"/>
    <n v="72.671428571428564"/>
    <n v="3.8134625790069101E-5"/>
    <n v="1"/>
    <m/>
    <s v="Dumraon"/>
    <m/>
    <n v="0"/>
  </r>
  <r>
    <s v="Munger"/>
    <s v="17-23 Apr"/>
    <n v="1002"/>
    <s v="Laldiyara"/>
    <x v="635"/>
    <s v="Gaachhi Tola"/>
    <s v="vlc"/>
    <s v="Indirect"/>
    <n v="779.49999999999989"/>
    <n v="32145.649999999994"/>
    <n v="0"/>
    <n v="0"/>
    <n v="0"/>
    <n v="0"/>
    <n v="0"/>
    <n v="0"/>
    <n v="32145.649999999994"/>
    <n v="0"/>
    <n v="0"/>
    <n v="0"/>
    <n v="0"/>
    <n v="0"/>
    <n v="0"/>
    <n v="0"/>
    <n v="0"/>
    <n v="32145.649999999994"/>
    <n v="0"/>
    <n v="0"/>
    <n v="0"/>
    <n v="0"/>
    <n v="0"/>
    <n v="0"/>
    <m/>
    <s v="Laldiyara"/>
    <m/>
    <n v="0"/>
  </r>
  <r>
    <s v="Munger"/>
    <s v="17-23 Apr"/>
    <n v="1003"/>
    <s v="Asarganj"/>
    <x v="636"/>
    <s v="VISHWASHPUR"/>
    <s v="RMC"/>
    <s v="Direct"/>
    <n v="285"/>
    <n v="9594.6"/>
    <n v="277.7"/>
    <n v="9669.0490316640007"/>
    <n v="5.6"/>
    <n v="194.91592487399998"/>
    <n v="283.3"/>
    <n v="9863.9649565380005"/>
    <n v="9594.6"/>
    <n v="0"/>
    <n v="194.91592487399998"/>
    <n v="269.36495653800011"/>
    <n v="0"/>
    <n v="0"/>
    <n v="0"/>
    <n v="9400"/>
    <n v="0"/>
    <n v="0"/>
    <n v="0"/>
    <n v="0"/>
    <n v="279.42168421052628"/>
    <n v="40.714285714285715"/>
    <n v="-2.8074641625289234E-2"/>
    <n v="14"/>
    <m/>
    <s v="Asarganj"/>
    <m/>
    <n v="0"/>
  </r>
  <r>
    <s v="Munger"/>
    <s v="17-23 Apr"/>
    <n v="1003"/>
    <s v="Asarganj"/>
    <x v="638"/>
    <s v="KUMARPUIR KATHARA"/>
    <s v="RMC"/>
    <s v="Direct"/>
    <n v="890"/>
    <n v="33548.089999999997"/>
    <n v="934.29999999999961"/>
    <n v="32713.129573895545"/>
    <n v="12.200000000000001"/>
    <n v="568.64518575419993"/>
    <n v="946.49999999999966"/>
    <n v="33281.774759649743"/>
    <n v="33281.774759649743"/>
    <n v="0"/>
    <n v="568.64518575419993"/>
    <n v="0"/>
    <n v="0"/>
    <n v="0"/>
    <n v="0"/>
    <n v="32711"/>
    <n v="0"/>
    <n v="0"/>
    <n v="268"/>
    <n v="0"/>
    <n v="0"/>
    <n v="0"/>
    <n v="7.9383130410778571E-3"/>
    <n v="50"/>
    <m/>
    <s v="Asarganj"/>
    <m/>
    <n v="0"/>
  </r>
  <r>
    <s v="Munger"/>
    <s v="17-23 Apr"/>
    <n v="1003"/>
    <s v="Asarganj"/>
    <x v="639"/>
    <s v="KUDHIYA MPG"/>
    <s v="RMC"/>
    <s v="Direct"/>
    <n v="631.6"/>
    <n v="25185.08"/>
    <n v="700.90000000000009"/>
    <n v="28060.492736307304"/>
    <n v="5"/>
    <n v="193.38541200000003"/>
    <n v="705.90000000000009"/>
    <n v="28253.878148307303"/>
    <n v="25185.08"/>
    <n v="0"/>
    <n v="193.38541200000003"/>
    <n v="3068.7981483073017"/>
    <n v="0"/>
    <n v="0"/>
    <n v="0"/>
    <n v="24992"/>
    <n v="0"/>
    <n v="0"/>
    <n v="0"/>
    <n v="0"/>
    <n v="54.549064977834078"/>
    <n v="90.228571428571428"/>
    <n v="-0.12184984714391622"/>
    <n v="13"/>
    <m/>
    <s v="Asarganj"/>
    <m/>
    <n v="0"/>
  </r>
  <r>
    <s v="Munger"/>
    <s v="17-23 Apr"/>
    <n v="1003"/>
    <s v="Asarganj"/>
    <x v="640"/>
    <s v="SHAHJADPUR MPG"/>
    <s v="RMC"/>
    <s v="Direct"/>
    <n v="1352"/>
    <n v="45684.08"/>
    <n v="1387.2"/>
    <n v="58996.293474315709"/>
    <n v="6.8999999999999995"/>
    <n v="299.92593092699997"/>
    <n v="1394.1000000000001"/>
    <n v="59296.219405242708"/>
    <n v="45684.08"/>
    <n v="0"/>
    <n v="299.92593092699997"/>
    <n v="13612.139405242706"/>
    <n v="0"/>
    <n v="0"/>
    <n v="0"/>
    <n v="0"/>
    <n v="0"/>
    <n v="0"/>
    <n v="45384"/>
    <s v="Yes"/>
    <n v="0"/>
    <n v="0"/>
    <n v="-0.29796242816409363"/>
    <n v="14"/>
    <m/>
    <s v="Asarganj"/>
    <m/>
    <n v="0"/>
  </r>
  <r>
    <s v="Munger"/>
    <s v="17-23 Apr"/>
    <n v="1006"/>
    <s v="Sonvarsha"/>
    <x v="641"/>
    <s v="FARDA - 3"/>
    <s v="RMC"/>
    <s v="Direct"/>
    <n v="755.40000000000009"/>
    <n v="26292.289999999997"/>
    <n v="637.79999999999995"/>
    <n v="22088.742551171999"/>
    <n v="121.9"/>
    <n v="4497.1299026280003"/>
    <n v="759.69999999999993"/>
    <n v="26585.872453799999"/>
    <n v="26292.289999999997"/>
    <n v="0"/>
    <n v="123.43424860800002"/>
    <n v="293.58245380000153"/>
    <n v="0"/>
    <n v="1046.84256"/>
    <n v="0"/>
    <n v="20749"/>
    <n v="4373"/>
    <n v="0"/>
    <n v="0"/>
    <n v="0"/>
    <n v="0"/>
    <n v="0"/>
    <n v="-1.1166104352264545E-2"/>
    <n v="5"/>
    <m/>
    <s v="Sonvarsha"/>
    <m/>
    <n v="0"/>
  </r>
  <r>
    <s v="Munger"/>
    <s v="17-23 Apr"/>
    <n v="1006"/>
    <s v="Sonvarsha"/>
    <x v="642"/>
    <s v="CHANDANPURA"/>
    <s v="vlc"/>
    <s v="Indirect"/>
    <n v="317.3"/>
    <n v="16889.690000000002"/>
    <n v="0"/>
    <n v="0"/>
    <n v="0"/>
    <n v="0"/>
    <n v="0"/>
    <n v="0"/>
    <n v="16889.690000000002"/>
    <n v="0"/>
    <n v="0"/>
    <n v="0"/>
    <n v="0"/>
    <n v="155.59246451612913"/>
    <n v="0"/>
    <n v="0"/>
    <n v="0"/>
    <n v="16734.097535483874"/>
    <n v="0"/>
    <n v="0"/>
    <n v="407.41786088874886"/>
    <n v="45.328571428571429"/>
    <n v="0"/>
    <n v="0"/>
    <m/>
    <s v="Sonvarsha"/>
    <m/>
    <n v="0"/>
  </r>
  <r>
    <s v="Munger"/>
    <s v="17-23 Apr"/>
    <n v="1006"/>
    <s v="Sonvarsha"/>
    <x v="643"/>
    <s v="MANIKPUR"/>
    <s v="RMC"/>
    <s v="Direct"/>
    <n v="658.9"/>
    <n v="25018.080000000002"/>
    <n v="0"/>
    <n v="0"/>
    <n v="664"/>
    <n v="25458.802178040005"/>
    <n v="664"/>
    <n v="25458.802178040005"/>
    <n v="25018.080000000002"/>
    <n v="0"/>
    <n v="153.15077844000004"/>
    <n v="440.7221780400032"/>
    <n v="0"/>
    <n v="110.38"/>
    <n v="0"/>
    <n v="0"/>
    <n v="24754"/>
    <n v="0"/>
    <n v="1"/>
    <s v="Release1"/>
    <n v="31.210899620579809"/>
    <n v="94.128571428571419"/>
    <n v="-1.7616147124000048E-2"/>
    <n v="10"/>
    <m/>
    <s v="Sonvarsha"/>
    <m/>
    <n v="0"/>
  </r>
  <r>
    <s v="Munger"/>
    <s v="17-23 Apr"/>
    <n v="1006"/>
    <s v="Sonvarsha"/>
    <x v="644"/>
    <s v="JAKARPURA"/>
    <s v="vlc"/>
    <s v="Indirect"/>
    <n v="2529.8999999999996"/>
    <n v="90194.01999999999"/>
    <n v="0"/>
    <n v="0"/>
    <n v="0"/>
    <n v="0"/>
    <n v="0"/>
    <n v="0"/>
    <n v="90194.01999999999"/>
    <n v="0"/>
    <n v="0"/>
    <n v="0"/>
    <n v="0"/>
    <n v="0"/>
    <n v="0"/>
    <n v="0"/>
    <n v="0"/>
    <n v="90194.01999999999"/>
    <n v="0"/>
    <n v="0"/>
    <n v="0"/>
    <n v="0"/>
    <n v="0"/>
    <n v="0"/>
    <m/>
    <s v="Sonvarsha"/>
    <m/>
    <n v="0"/>
  </r>
  <r>
    <s v="Munger"/>
    <s v="17-23 Apr"/>
    <n v="1006"/>
    <s v="Sonvarsha"/>
    <x v="645"/>
    <s v="KISHANPUR"/>
    <s v="vlc"/>
    <s v="Indirect"/>
    <n v="241.4"/>
    <n v="7919.13"/>
    <n v="0"/>
    <n v="0"/>
    <n v="0"/>
    <n v="0"/>
    <n v="0"/>
    <n v="0"/>
    <n v="7919.13"/>
    <n v="0"/>
    <n v="0"/>
    <n v="0"/>
    <n v="4326"/>
    <n v="0"/>
    <n v="0"/>
    <n v="0"/>
    <n v="0"/>
    <n v="3593.13"/>
    <n v="0"/>
    <n v="0"/>
    <n v="300.88757398508693"/>
    <n v="34.485714285714288"/>
    <n v="0"/>
    <n v="0"/>
    <m/>
    <s v="Sonvarsha"/>
    <m/>
    <n v="0"/>
  </r>
  <r>
    <s v="Munger"/>
    <s v="17-23 Apr"/>
    <n v="1006"/>
    <s v="Sonvarsha"/>
    <x v="646"/>
    <s v="NANDPUR"/>
    <s v="vlc"/>
    <s v="Indirect"/>
    <n v="1644.5"/>
    <n v="60951.44"/>
    <n v="0"/>
    <n v="0"/>
    <n v="0"/>
    <n v="0"/>
    <n v="0"/>
    <n v="0"/>
    <n v="60951.44"/>
    <n v="0"/>
    <n v="0"/>
    <n v="0"/>
    <n v="0"/>
    <n v="0"/>
    <n v="0"/>
    <n v="0"/>
    <n v="0"/>
    <n v="60951.44"/>
    <n v="0"/>
    <n v="0"/>
    <n v="0"/>
    <n v="0"/>
    <n v="0"/>
    <n v="0"/>
    <m/>
    <s v="Sonvarsha"/>
    <m/>
    <n v="0"/>
  </r>
  <r>
    <s v="Munger"/>
    <s v="17-23 Apr"/>
    <n v="1006"/>
    <s v="Sonvarsha"/>
    <x v="647"/>
    <s v="NOWAGADHI"/>
    <s v="RMC"/>
    <s v="Direct"/>
    <n v="2013.5"/>
    <n v="75747.87"/>
    <n v="1945.4"/>
    <n v="75943.414904901001"/>
    <n v="18.100000000000001"/>
    <n v="717.04430820000005"/>
    <n v="1963.5"/>
    <n v="76660.459213100999"/>
    <n v="75747.87"/>
    <n v="0"/>
    <n v="717.04430820000005"/>
    <n v="912.58921310100413"/>
    <n v="0"/>
    <n v="7473.3335454545449"/>
    <n v="0"/>
    <n v="67095"/>
    <n v="0"/>
    <n v="0"/>
    <n v="462"/>
    <n v="0"/>
    <n v="0"/>
    <n v="0"/>
    <n v="-1.2047721118772108E-2"/>
    <n v="18"/>
    <m/>
    <s v="Sonvarsha"/>
    <m/>
    <n v="0"/>
  </r>
  <r>
    <s v="Munger"/>
    <s v="17-23 Apr"/>
    <n v="1036"/>
    <s v="MAHADAT PUR 2"/>
    <x v="648"/>
    <s v="MAHADAT PUR 2"/>
    <s v="RMC"/>
    <s v="Direct"/>
    <n v="2698.2"/>
    <n v="101023.92"/>
    <n v="2638.2"/>
    <n v="98826.794381805201"/>
    <n v="60.000000000000007"/>
    <n v="2194.6662696419999"/>
    <n v="2698.2"/>
    <n v="101021.4606514472"/>
    <n v="101021.4606514472"/>
    <n v="0"/>
    <n v="2194.6662696419999"/>
    <n v="0"/>
    <n v="0"/>
    <n v="0"/>
    <n v="0"/>
    <n v="98827"/>
    <n v="0"/>
    <n v="0"/>
    <n v="2"/>
    <n v="0"/>
    <n v="0"/>
    <n v="0"/>
    <n v="2.4344220188665338E-5"/>
    <n v="10"/>
    <m/>
    <s v="MAHADAT PUR 2"/>
    <m/>
    <n v="0"/>
  </r>
  <r>
    <s v="Munger"/>
    <s v="17-23 Apr"/>
    <n v="1007"/>
    <s v="Araria"/>
    <x v="993"/>
    <s v="KATHELA TOLA TELDHI"/>
    <s v="RMC"/>
    <s v="Direct"/>
    <n v="153"/>
    <n v="4637.43"/>
    <n v="153"/>
    <n v="4637.1243916800004"/>
    <n v="0"/>
    <n v="0"/>
    <n v="153"/>
    <n v="4637.1243916800004"/>
    <n v="4637.1243916800004"/>
    <n v="0"/>
    <n v="0"/>
    <n v="0"/>
    <n v="0"/>
    <n v="3896.74"/>
    <n v="0"/>
    <n v="740"/>
    <n v="0"/>
    <n v="0"/>
    <n v="1"/>
    <s v="Release1"/>
    <n v="331.59140000000002"/>
    <n v="21.857142857142858"/>
    <n v="6.59003629165118E-5"/>
    <n v="3"/>
    <m/>
    <s v="Araria"/>
    <m/>
    <n v="0"/>
  </r>
  <r>
    <s v="Munger"/>
    <s v="17-23 Apr"/>
    <n v="1007"/>
    <s v="Araria"/>
    <x v="994"/>
    <s v="SONBARSHA 1"/>
    <s v="RMC"/>
    <s v="Direct"/>
    <n v="360"/>
    <n v="12308.4"/>
    <n v="358"/>
    <n v="12523.218048000001"/>
    <n v="2"/>
    <n v="69.962112000000005"/>
    <n v="360"/>
    <n v="12593.18016"/>
    <n v="12308.4"/>
    <n v="0"/>
    <n v="69.962112000000005"/>
    <n v="284.78016000000025"/>
    <n v="0"/>
    <n v="2400.31"/>
    <n v="0"/>
    <n v="9838"/>
    <n v="0"/>
    <n v="0"/>
    <n v="0"/>
    <s v="Release1"/>
    <n v="232.49199999999996"/>
    <n v="51.428571428571431"/>
    <n v="-2.313705761918692E-2"/>
    <n v="8"/>
    <m/>
    <s v="Araria"/>
    <m/>
    <n v="0"/>
  </r>
  <r>
    <s v="Munger"/>
    <s v="17-23 Apr"/>
    <n v="1007"/>
    <s v="Araria"/>
    <x v="995"/>
    <s v="GANOUL"/>
    <s v="RMC"/>
    <s v="Indirect"/>
    <n v="692"/>
    <n v="23720.68"/>
    <n v="578"/>
    <n v="19811.962368"/>
    <n v="0"/>
    <n v="0"/>
    <n v="578"/>
    <n v="19811.962368"/>
    <n v="23720.68"/>
    <n v="0"/>
    <n v="41.185267200000006"/>
    <n v="0"/>
    <n v="0"/>
    <n v="0"/>
    <n v="0"/>
    <n v="0"/>
    <n v="0"/>
    <n v="23679.494732800002"/>
    <n v="0"/>
    <n v="0"/>
    <n v="5.4845502890173217"/>
    <n v="98.857142857142861"/>
    <n v="0"/>
    <n v="5"/>
    <m/>
    <s v="Araria"/>
    <m/>
    <n v="0"/>
  </r>
  <r>
    <s v="Munger"/>
    <s v="17-23 Apr"/>
    <n v="1007"/>
    <s v="Araria"/>
    <x v="996"/>
    <s v="Gauripur"/>
    <s v="RMC"/>
    <s v="Direct"/>
    <n v="1858"/>
    <n v="63846.22"/>
    <n v="1851"/>
    <n v="63592.822656000011"/>
    <n v="7"/>
    <n v="240.51139200000003"/>
    <n v="1858"/>
    <n v="63833.334048000012"/>
    <n v="63833.334048000012"/>
    <n v="0"/>
    <n v="240.51139200000003"/>
    <n v="0"/>
    <n v="0"/>
    <n v="4197.5796000000009"/>
    <n v="0"/>
    <n v="59396"/>
    <n v="0"/>
    <n v="0"/>
    <n v="12"/>
    <n v="0"/>
    <n v="0"/>
    <n v="0"/>
    <n v="2.018279547323182E-4"/>
    <n v="8"/>
    <m/>
    <s v="Araria"/>
    <m/>
    <n v="0"/>
  </r>
  <r>
    <s v="Munger"/>
    <s v="17-23 Apr"/>
    <n v="1007"/>
    <s v="Araria"/>
    <x v="997"/>
    <s v="Bhramarpur"/>
    <s v="RMC"/>
    <s v="Direct"/>
    <n v="1705"/>
    <n v="57144.99"/>
    <n v="1698"/>
    <n v="57181.775032800011"/>
    <n v="6"/>
    <n v="202.81098024000002"/>
    <n v="1704"/>
    <n v="57384.586013040011"/>
    <n v="57144.99"/>
    <n v="0"/>
    <n v="202.81098024000002"/>
    <n v="239.59601304001262"/>
    <n v="0"/>
    <n v="5910.38"/>
    <n v="0"/>
    <n v="51032"/>
    <n v="0"/>
    <n v="0"/>
    <n v="0"/>
    <s v="Release1"/>
    <n v="0"/>
    <n v="0"/>
    <n v="-4.1927737329206394E-3"/>
    <n v="5"/>
    <m/>
    <s v="Araria"/>
    <m/>
    <n v="0"/>
  </r>
  <r>
    <s v="Munger"/>
    <s v="17-23 Apr"/>
    <n v="1011"/>
    <s v="Sahibpur Kamal"/>
    <x v="650"/>
    <s v="Gomukh Sadananpur"/>
    <s v="MPG"/>
    <s v="Direct"/>
    <n v="155.69999999999999"/>
    <n v="5531.87"/>
    <n v="164.29999999999998"/>
    <n v="6138.1772377200004"/>
    <n v="0"/>
    <n v="0"/>
    <n v="164.29999999999998"/>
    <n v="6138.1772377200004"/>
    <n v="5531.87"/>
    <n v="0"/>
    <n v="0"/>
    <n v="606.30723772000056"/>
    <n v="0"/>
    <n v="0"/>
    <n v="0"/>
    <n v="5532"/>
    <n v="0"/>
    <n v="0"/>
    <n v="0"/>
    <s v="Release1"/>
    <n v="386.76902260757879"/>
    <n v="22.24285714285714"/>
    <n v="-0.10960258243957298"/>
    <n v="1"/>
    <m/>
    <s v="Sahibpur Kamal"/>
    <m/>
    <n v="0"/>
  </r>
  <r>
    <s v="Munger"/>
    <s v="17-23 Apr"/>
    <n v="1003"/>
    <s v="Asarganj"/>
    <x v="651"/>
    <s v="TILAKPUR  2"/>
    <s v="RMC"/>
    <s v="Direct"/>
    <n v="237.99999999999997"/>
    <n v="8554.5800000000017"/>
    <n v="241.19999999999996"/>
    <n v="8892.4236279120014"/>
    <n v="1.1000000000000001"/>
    <n v="40.094781804000007"/>
    <n v="242.29999999999995"/>
    <n v="8932.5184097160018"/>
    <n v="8554.5800000000017"/>
    <n v="0"/>
    <n v="40.094781804000007"/>
    <n v="377.93840971600002"/>
    <n v="0"/>
    <n v="0"/>
    <n v="0"/>
    <n v="8514"/>
    <n v="0"/>
    <n v="0"/>
    <n v="0"/>
    <n v="0"/>
    <n v="332.11898823529424"/>
    <n v="33.999999999999993"/>
    <n v="-4.4179656945869929E-2"/>
    <n v="7"/>
    <m/>
    <s v="Asarganj"/>
    <m/>
    <n v="0"/>
  </r>
  <r>
    <s v="Munger"/>
    <s v="17-23 Apr"/>
    <n v="1003"/>
    <s v="Asarganj"/>
    <x v="652"/>
    <s v="TILAKPUR"/>
    <s v="MPG"/>
    <s v="Direct"/>
    <n v="339.6"/>
    <n v="10936.58"/>
    <n v="304.59999999999997"/>
    <n v="9975.6753990300022"/>
    <n v="4.5"/>
    <n v="150.95069767800004"/>
    <n v="309.09999999999997"/>
    <n v="10126.626096708002"/>
    <n v="10126.626096708002"/>
    <n v="0"/>
    <n v="50.759529678000028"/>
    <n v="0"/>
    <n v="0"/>
    <n v="0"/>
    <n v="0"/>
    <n v="9975"/>
    <n v="100"/>
    <n v="0"/>
    <n v="811"/>
    <n v="0"/>
    <n v="232.12858845700822"/>
    <n v="48.51428571428572"/>
    <n v="7.4059157734136113E-2"/>
    <n v="5"/>
    <m/>
    <s v="Asarganj"/>
    <m/>
    <n v="0"/>
  </r>
  <r>
    <s v="Munger"/>
    <s v="17-23 Apr"/>
    <n v="1036"/>
    <s v="MAHADAT PUR 2"/>
    <x v="653"/>
    <s v="Prasharpur Kadwa Gomukh"/>
    <s v="MPG"/>
    <s v="Direct"/>
    <n v="456.3"/>
    <n v="16342.789999999997"/>
    <n v="457.29999999999995"/>
    <n v="16552.126324644003"/>
    <n v="3.0000000000000004"/>
    <n v="109.78506531600001"/>
    <n v="460.29999999999995"/>
    <n v="16661.911389960002"/>
    <n v="16342.789999999997"/>
    <n v="0"/>
    <n v="109.78506531600001"/>
    <n v="319.12138996000431"/>
    <n v="0"/>
    <n v="0"/>
    <n v="0"/>
    <n v="16233"/>
    <n v="0"/>
    <n v="0"/>
    <n v="0"/>
    <n v="0"/>
    <n v="174.56664137628752"/>
    <n v="65.185714285714283"/>
    <n v="-1.9526738700063107E-2"/>
    <n v="3"/>
    <m/>
    <s v="MAHADAT PUR 2"/>
    <m/>
    <n v="0"/>
  </r>
  <r>
    <s v="Munger"/>
    <s v="17-23 Apr"/>
    <n v="1036"/>
    <s v="MAHADAT PUR 2"/>
    <x v="654"/>
    <s v="Borwa Tola Gomukh"/>
    <s v="vlc"/>
    <s v="Indirect"/>
    <n v="348.90000000000003"/>
    <n v="12346.91"/>
    <n v="348.90000000000003"/>
    <n v="12402.341218079999"/>
    <n v="0"/>
    <n v="0"/>
    <n v="348.90000000000003"/>
    <n v="12402.341218079999"/>
    <n v="12346.91"/>
    <n v="0"/>
    <n v="0"/>
    <n v="55.431218079998871"/>
    <n v="0"/>
    <n v="0"/>
    <n v="0"/>
    <n v="0"/>
    <n v="0"/>
    <n v="12346.91"/>
    <n v="0"/>
    <n v="0"/>
    <n v="248.49527664087125"/>
    <n v="49.842857142857149"/>
    <n v="0"/>
    <n v="1"/>
    <m/>
    <s v="MAHADAT PUR 2"/>
    <m/>
    <n v="0"/>
  </r>
  <r>
    <s v="Munger"/>
    <s v="17-23 Apr"/>
    <n v="1007"/>
    <s v="Araria"/>
    <x v="998"/>
    <s v="Sheela Devi"/>
    <s v="vlc"/>
    <s v="Indirect"/>
    <n v="265"/>
    <n v="7716.8"/>
    <n v="0"/>
    <n v="0"/>
    <n v="0"/>
    <n v="0"/>
    <n v="0"/>
    <n v="0"/>
    <n v="7716.8"/>
    <n v="0"/>
    <n v="0"/>
    <n v="0"/>
    <n v="0"/>
    <n v="0"/>
    <n v="0"/>
    <n v="0"/>
    <n v="0"/>
    <n v="7716.8"/>
    <n v="0"/>
    <n v="0"/>
    <n v="253.34400000000002"/>
    <n v="37.857142857142854"/>
    <n v="0"/>
    <n v="0"/>
    <m/>
    <s v="Araria"/>
    <m/>
    <n v="0"/>
  </r>
  <r>
    <s v="Munger"/>
    <s v="17-23 Apr"/>
    <n v="1036"/>
    <s v="MAHADAT PUR 2"/>
    <x v="655"/>
    <s v="Gomukh Vijay Lalganj"/>
    <s v="MPG"/>
    <s v="Direct"/>
    <n v="310.89999999999998"/>
    <n v="12056.36"/>
    <n v="310.79999999999995"/>
    <n v="12064.278048243303"/>
    <n v="1.4000000000000001"/>
    <n v="55.350312207300007"/>
    <n v="312.19999999999993"/>
    <n v="12119.628360450602"/>
    <n v="12056.36"/>
    <n v="0"/>
    <n v="55.350312207300007"/>
    <n v="63.268360450601904"/>
    <n v="0"/>
    <n v="0"/>
    <n v="0"/>
    <n v="12001"/>
    <n v="0"/>
    <n v="0"/>
    <n v="0"/>
    <n v="0"/>
    <n v="301.77739954969451"/>
    <n v="44.414285714285711"/>
    <n v="-5.2477165952743536E-3"/>
    <n v="5"/>
    <m/>
    <s v="MAHADAT PUR 2"/>
    <m/>
    <n v="0"/>
  </r>
  <r>
    <s v="Munger"/>
    <s v="17-23 Apr"/>
    <n v="1036"/>
    <s v="MAHADAT PUR 2"/>
    <x v="656"/>
    <s v="Gomukh Sarswati Nagar Nakdahri"/>
    <s v="MPG"/>
    <s v="Direct"/>
    <n v="552.1"/>
    <n v="21008.219999999998"/>
    <n v="318.83999999999997"/>
    <n v="12572.222174958762"/>
    <n v="252.26999999999998"/>
    <n v="9969.7077935512207"/>
    <n v="571.1099999999999"/>
    <n v="22541.929968509983"/>
    <n v="21008.219999999998"/>
    <n v="0"/>
    <n v="140.20640964"/>
    <n v="1533.7099685099856"/>
    <n v="0"/>
    <n v="0"/>
    <n v="0"/>
    <n v="11039"/>
    <n v="9829"/>
    <n v="0"/>
    <n v="0"/>
    <n v="0"/>
    <n v="112.55626654591552"/>
    <n v="78.871428571428581"/>
    <n v="-7.3005231690737526E-2"/>
    <n v="10"/>
    <m/>
    <s v="MAHADAT PUR 2"/>
    <m/>
    <n v="0"/>
  </r>
  <r>
    <s v="Munger"/>
    <s v="17-23 Apr"/>
    <n v="1036"/>
    <s v="MAHADAT PUR 2"/>
    <x v="657"/>
    <s v="Gomukh Krishna Dairy Tulsipur"/>
    <s v="MPG"/>
    <s v="Direct"/>
    <n v="483.10000000000008"/>
    <n v="17362.5"/>
    <n v="535.52"/>
    <n v="20602.693691162669"/>
    <n v="0"/>
    <n v="0"/>
    <n v="535.52"/>
    <n v="20602.693691162669"/>
    <n v="17362.5"/>
    <n v="0"/>
    <n v="0"/>
    <n v="3240.193691162669"/>
    <n v="0"/>
    <n v="0"/>
    <n v="0"/>
    <n v="17362"/>
    <n v="0"/>
    <n v="0"/>
    <n v="1"/>
    <n v="0"/>
    <n v="155.90669633616227"/>
    <n v="69.01428571428572"/>
    <n v="-0.18662022699281031"/>
    <n v="10"/>
    <m/>
    <s v="MAHADAT PUR 2"/>
    <m/>
    <n v="0"/>
  </r>
  <r>
    <s v="Munger"/>
    <s v="17-23 Apr"/>
    <n v="1036"/>
    <s v="MAHADAT PUR 2"/>
    <x v="658"/>
    <s v="Gomukh Lauwalagam"/>
    <s v="MPG"/>
    <s v="Direct"/>
    <n v="68.599999999999994"/>
    <n v="2222.7399999999998"/>
    <n v="68.599999999999994"/>
    <n v="2234.3765582159999"/>
    <n v="0"/>
    <n v="0"/>
    <n v="68.599999999999994"/>
    <n v="2234.3765582159999"/>
    <n v="2222.7399999999998"/>
    <n v="0"/>
    <n v="0"/>
    <n v="11.63655821600014"/>
    <n v="0"/>
    <n v="0"/>
    <n v="0"/>
    <n v="2223"/>
    <n v="0"/>
    <n v="0"/>
    <n v="0"/>
    <n v="0"/>
    <n v="409.16560816326529"/>
    <n v="9.7999999999999989"/>
    <n v="-5.2352313882865929E-3"/>
    <n v="1"/>
    <m/>
    <s v="MAHADAT PUR 2"/>
    <m/>
    <n v="0"/>
  </r>
  <r>
    <s v="Munger"/>
    <s v="17-23 Apr"/>
    <n v="1036"/>
    <s v="MAHADAT PUR 2"/>
    <x v="659"/>
    <s v="Dhobina Basa"/>
    <s v="MPG"/>
    <s v="Direct"/>
    <n v="590.79999999999995"/>
    <n v="21829.48"/>
    <n v="373.2"/>
    <n v="15718.678679880004"/>
    <n v="373.6"/>
    <n v="17307.278843449203"/>
    <n v="746.8"/>
    <n v="33025.957523329205"/>
    <n v="21829.48"/>
    <n v="0"/>
    <n v="54.385543079999998"/>
    <n v="11196.477523329206"/>
    <n v="0"/>
    <n v="0"/>
    <n v="0"/>
    <n v="4522"/>
    <n v="17253"/>
    <n v="0"/>
    <n v="0"/>
    <n v="0"/>
    <n v="80.69665592417067"/>
    <n v="84.399999999999991"/>
    <n v="-0.51290628651388881"/>
    <n v="3"/>
    <m/>
    <s v="MAHADAT PUR 2"/>
    <m/>
    <n v="0"/>
  </r>
  <r>
    <s v="Munger"/>
    <s v="17-23 Apr"/>
    <n v="1036"/>
    <s v="MAHADAT PUR 2"/>
    <x v="660"/>
    <s v="Gomukh Shreepur Madhay"/>
    <s v="MPG"/>
    <s v="Direct"/>
    <n v="1290.8999999999994"/>
    <n v="49596.499999999978"/>
    <n v="1234.5"/>
    <n v="47978.592940080001"/>
    <n v="57.4"/>
    <n v="2175.1576941600006"/>
    <n v="1291.9000000000001"/>
    <n v="50153.750634240001"/>
    <n v="49596.499999999978"/>
    <n v="0"/>
    <n v="2175.1576941600006"/>
    <n v="557.25063424002292"/>
    <n v="0"/>
    <n v="0"/>
    <n v="0"/>
    <n v="47421"/>
    <n v="0"/>
    <n v="0"/>
    <n v="0"/>
    <n v="0"/>
    <n v="0"/>
    <n v="0"/>
    <n v="-1.1235684660006717E-2"/>
    <n v="5"/>
    <m/>
    <s v="MAHADAT PUR 2"/>
    <m/>
    <n v="0"/>
  </r>
  <r>
    <s v="Munger"/>
    <s v="17-23 Apr"/>
    <n v="1036"/>
    <s v="MAHADAT PUR 2"/>
    <x v="661"/>
    <s v="Gomukh Dhoriya Dadpur -VLC"/>
    <s v="vlc"/>
    <s v="Indirect"/>
    <n v="108.1"/>
    <n v="3852.99"/>
    <n v="0"/>
    <n v="0"/>
    <n v="0"/>
    <n v="0"/>
    <n v="0"/>
    <n v="0"/>
    <n v="3852.99"/>
    <n v="0"/>
    <n v="0"/>
    <n v="0"/>
    <n v="0"/>
    <n v="0"/>
    <n v="0"/>
    <n v="0"/>
    <n v="0"/>
    <n v="3852.99"/>
    <n v="0"/>
    <n v="0"/>
    <n v="421.93982997224799"/>
    <n v="15.442857142857141"/>
    <n v="0"/>
    <n v="0"/>
    <m/>
    <s v="MAHADAT PUR 2"/>
    <m/>
    <n v="0"/>
  </r>
  <r>
    <s v="Munger"/>
    <s v="17-23 Apr"/>
    <n v="1036"/>
    <s v="MAHADAT PUR 2"/>
    <x v="662"/>
    <s v="Gomukh Mohanpur  VLC"/>
    <s v="vlc"/>
    <s v="Indirect"/>
    <n v="351.90000000000003"/>
    <n v="12613.079999999998"/>
    <n v="0"/>
    <n v="0"/>
    <n v="0"/>
    <n v="0"/>
    <n v="0"/>
    <n v="0"/>
    <n v="12613.079999999998"/>
    <n v="0"/>
    <n v="0"/>
    <n v="0"/>
    <n v="0"/>
    <n v="0"/>
    <n v="0"/>
    <n v="0"/>
    <n v="0"/>
    <n v="12613.079999999998"/>
    <n v="0"/>
    <n v="0"/>
    <n v="249.53754748508092"/>
    <n v="50.271428571428579"/>
    <n v="0"/>
    <n v="0"/>
    <m/>
    <s v="MAHADAT PUR 2"/>
    <m/>
    <n v="0"/>
  </r>
  <r>
    <s v="Munger"/>
    <s v="17-23 Apr"/>
    <n v="1036"/>
    <s v="MAHADAT PUR 2"/>
    <x v="663"/>
    <s v="Gomukh Abhirampur VLC"/>
    <s v="vlc"/>
    <s v="Indirect"/>
    <n v="192.10000000000002"/>
    <n v="7450.87"/>
    <n v="0"/>
    <n v="0"/>
    <n v="0"/>
    <n v="0"/>
    <n v="0"/>
    <n v="0"/>
    <n v="7450.87"/>
    <n v="0"/>
    <n v="0"/>
    <n v="0"/>
    <n v="0"/>
    <n v="0"/>
    <n v="0"/>
    <n v="0"/>
    <n v="0"/>
    <n v="7450.87"/>
    <n v="0"/>
    <n v="0"/>
    <n v="393.99238656949501"/>
    <n v="27.442857142857147"/>
    <n v="0"/>
    <n v="0"/>
    <m/>
    <s v="MAHADAT PUR 2"/>
    <m/>
    <n v="0"/>
  </r>
  <r>
    <s v="Munger"/>
    <s v="17-23 Apr"/>
    <n v="1036"/>
    <s v="MAHADAT PUR 2"/>
    <x v="664"/>
    <s v="Gomukh Pachgachhia Vlc"/>
    <s v="vlc"/>
    <s v="Indirect"/>
    <n v="203.49999999999997"/>
    <n v="7005.7400000000007"/>
    <n v="0"/>
    <n v="0"/>
    <n v="0"/>
    <n v="0"/>
    <n v="0"/>
    <n v="0"/>
    <n v="7005.7400000000007"/>
    <n v="0"/>
    <n v="0"/>
    <n v="0"/>
    <n v="0"/>
    <n v="0"/>
    <n v="0"/>
    <n v="0"/>
    <n v="0"/>
    <n v="7005.7400000000007"/>
    <n v="0"/>
    <n v="0"/>
    <n v="341.85257100737107"/>
    <n v="29.071428571428566"/>
    <n v="0"/>
    <n v="0"/>
    <m/>
    <s v="MAHADAT PUR 2"/>
    <m/>
    <n v="0"/>
  </r>
  <r>
    <s v="Munger"/>
    <s v="17-23 Apr"/>
    <n v="1003"/>
    <s v="Asarganj"/>
    <x v="665"/>
    <s v="KUNTHA M"/>
    <s v="RMC"/>
    <s v="Direct"/>
    <n v="450"/>
    <n v="15047.5"/>
    <n v="474.2"/>
    <n v="17623.160755200002"/>
    <n v="8"/>
    <n v="321.6264480000001"/>
    <n v="482.2"/>
    <n v="17944.787203200001"/>
    <n v="15047.5"/>
    <n v="0"/>
    <n v="321.6264480000001"/>
    <n v="2897.2872032000014"/>
    <n v="0"/>
    <n v="0"/>
    <n v="0"/>
    <n v="14726"/>
    <n v="0"/>
    <n v="0"/>
    <n v="0"/>
    <s v="Release1"/>
    <n v="167.19444444444443"/>
    <n v="64.285714285714292"/>
    <n v="-0.1925427614686826"/>
    <n v="9"/>
    <m/>
    <s v="Asarganj"/>
    <m/>
    <n v="0"/>
  </r>
  <r>
    <s v="Munger"/>
    <s v="17-23 Apr"/>
    <n v="1014"/>
    <s v="Dumraon"/>
    <x v="666"/>
    <s v="ARAK"/>
    <s v="MPG"/>
    <s v="Direct"/>
    <n v="1897.0999999999995"/>
    <n v="70708.14"/>
    <n v="1886.2000000000005"/>
    <n v="71148.765012084143"/>
    <n v="13.5"/>
    <n v="644.39668007485011"/>
    <n v="1899.7000000000005"/>
    <n v="71793.161692158988"/>
    <n v="70708.14"/>
    <n v="0"/>
    <n v="644.39668007485011"/>
    <n v="1085.021692158989"/>
    <n v="0"/>
    <n v="0"/>
    <n v="0"/>
    <n v="70064"/>
    <n v="0"/>
    <n v="0"/>
    <n v="0"/>
    <n v="0"/>
    <n v="0"/>
    <n v="0"/>
    <n v="-1.5345074727732748E-2"/>
    <n v="40"/>
    <m/>
    <s v="Dumraon"/>
    <m/>
    <n v="0"/>
  </r>
  <r>
    <s v="Munger"/>
    <s v="17-23 Apr"/>
    <n v="1014"/>
    <s v="Dumraon"/>
    <x v="667"/>
    <s v="Diyaman"/>
    <s v="MPG"/>
    <s v="Direct"/>
    <n v="1643.5"/>
    <n v="64679.56"/>
    <n v="1630.4600000000003"/>
    <n v="65205.528337570373"/>
    <n v="6.5499999999999989"/>
    <n v="265.45931557200004"/>
    <n v="1637.0100000000002"/>
    <n v="65470.987653142372"/>
    <n v="64679.56"/>
    <n v="0"/>
    <n v="265.45931557200004"/>
    <n v="791.42765314237477"/>
    <n v="0"/>
    <n v="0"/>
    <n v="0"/>
    <n v="64414"/>
    <n v="0"/>
    <n v="0"/>
    <n v="0"/>
    <n v="0"/>
    <n v="0"/>
    <n v="0"/>
    <n v="-1.2236132298091928E-2"/>
    <n v="9"/>
    <m/>
    <s v="Dumraon"/>
    <m/>
    <n v="0"/>
  </r>
  <r>
    <s v="Munger"/>
    <s v="17-23 Apr"/>
    <n v="1014"/>
    <s v="Dumraon"/>
    <x v="668"/>
    <s v="HENHA"/>
    <s v="MPG"/>
    <s v="Direct"/>
    <n v="2003.4000000000003"/>
    <n v="74618.959999999992"/>
    <n v="2209.4"/>
    <n v="91668.312687600002"/>
    <n v="24.8"/>
    <n v="1322.8898158608001"/>
    <n v="2234.2000000000003"/>
    <n v="92991.202503460809"/>
    <n v="74618.959999999992"/>
    <n v="0"/>
    <n v="1322.8898158608001"/>
    <n v="18372.242503460817"/>
    <n v="0"/>
    <n v="0"/>
    <n v="0"/>
    <n v="73296"/>
    <n v="0"/>
    <n v="0"/>
    <n v="0"/>
    <n v="0"/>
    <n v="0"/>
    <n v="0"/>
    <n v="-0.24621413248671409"/>
    <n v="6"/>
    <m/>
    <s v="Dumraon"/>
    <m/>
    <n v="0"/>
  </r>
  <r>
    <s v="Munger"/>
    <s v="17-23 Apr"/>
    <n v="1012"/>
    <s v="DalsinghSarai"/>
    <x v="669"/>
    <s v="Suddh Dairy"/>
    <s v="vlc"/>
    <s v="Indirect"/>
    <n v="8786"/>
    <n v="295993.03999999998"/>
    <n v="0"/>
    <n v="0"/>
    <n v="0"/>
    <n v="0"/>
    <n v="0"/>
    <n v="0"/>
    <n v="295993.03999999998"/>
    <n v="0"/>
    <n v="0"/>
    <n v="0"/>
    <n v="0"/>
    <n v="0"/>
    <n v="0"/>
    <n v="0"/>
    <n v="0"/>
    <n v="295993.03999999998"/>
    <n v="0"/>
    <n v="0"/>
    <n v="0"/>
    <n v="0"/>
    <n v="0"/>
    <n v="0"/>
    <m/>
    <s v="DalsinghSarai"/>
    <m/>
    <n v="0"/>
  </r>
  <r>
    <s v="Munger"/>
    <s v="17-23 Apr"/>
    <n v="1053"/>
    <s v="Kalyanpur"/>
    <x v="999"/>
    <s v="Anik Kumar"/>
    <s v="vlc"/>
    <s v="Indirect"/>
    <n v="7434"/>
    <n v="302650.09000000003"/>
    <n v="0"/>
    <n v="0"/>
    <n v="0"/>
    <n v="0"/>
    <n v="0"/>
    <n v="0"/>
    <n v="302650.09000000003"/>
    <n v="0"/>
    <n v="0"/>
    <n v="0"/>
    <n v="0"/>
    <n v="0"/>
    <n v="0"/>
    <n v="0"/>
    <n v="0"/>
    <n v="302650.09000000003"/>
    <n v="0"/>
    <n v="0"/>
    <n v="0"/>
    <n v="0"/>
    <n v="0"/>
    <n v="0"/>
    <m/>
    <s v="Kalyanpur"/>
    <m/>
    <n v="0"/>
  </r>
  <r>
    <s v="Munger"/>
    <s v="17-23 Apr"/>
    <n v="1010"/>
    <s v="Parbatta"/>
    <x v="1039"/>
    <s v="Nand Kishor Kumar"/>
    <s v="vlc"/>
    <s v="Indirect"/>
    <n v="9083"/>
    <n v="314060.07999999996"/>
    <n v="0"/>
    <n v="0"/>
    <n v="0"/>
    <n v="0"/>
    <n v="0"/>
    <n v="0"/>
    <n v="314060.07999999996"/>
    <n v="0"/>
    <n v="0"/>
    <n v="0"/>
    <n v="0"/>
    <n v="0"/>
    <n v="0"/>
    <n v="0"/>
    <n v="0"/>
    <n v="314060.07999999996"/>
    <n v="0"/>
    <n v="0"/>
    <n v="0"/>
    <n v="0"/>
    <n v="0"/>
    <n v="0"/>
    <m/>
    <s v="Parbatta"/>
    <m/>
    <n v="0"/>
  </r>
  <r>
    <s v="Munger"/>
    <s v="17-23 Apr"/>
    <n v="1053"/>
    <s v="Kalyanpur"/>
    <x v="670"/>
    <s v="Gomukh CHANDAULI"/>
    <s v="MPG"/>
    <s v="Direct"/>
    <n v="1156.05"/>
    <n v="47316.040000000008"/>
    <n v="1151.4699999999998"/>
    <n v="47947.711805581901"/>
    <n v="12.27"/>
    <n v="506.79977594400009"/>
    <n v="1163.7399999999998"/>
    <n v="48454.511581525898"/>
    <n v="47316.040000000008"/>
    <n v="587.5"/>
    <n v="506.79977594400009"/>
    <n v="1138.4715815258896"/>
    <n v="0"/>
    <n v="0"/>
    <n v="0"/>
    <n v="46221"/>
    <n v="0"/>
    <n v="0"/>
    <n v="1"/>
    <s v="Release1"/>
    <n v="0"/>
    <n v="0"/>
    <n v="-2.4061007250942585E-2"/>
    <n v="25"/>
    <m/>
    <s v="Kalyanpur"/>
    <m/>
    <n v="0"/>
  </r>
  <r>
    <s v="Munger"/>
    <s v="17-23 Apr"/>
    <n v="1053"/>
    <s v="Kalyanpur"/>
    <x v="671"/>
    <s v="GOMUKH HATHA"/>
    <s v="MPG"/>
    <s v="Direct"/>
    <n v="1030.95"/>
    <n v="42173.85"/>
    <n v="1026.8099999999997"/>
    <n v="42884.166924913006"/>
    <n v="12.28"/>
    <n v="530.06783543999995"/>
    <n v="1039.0899999999997"/>
    <n v="43414.234760353007"/>
    <n v="42173.85"/>
    <n v="1878"/>
    <n v="530.06783543999995"/>
    <n v="1240.3847603530085"/>
    <n v="4847"/>
    <n v="0"/>
    <n v="0"/>
    <n v="34919"/>
    <n v="0"/>
    <n v="0"/>
    <n v="0"/>
    <s v="Release1"/>
    <n v="0"/>
    <n v="0"/>
    <n v="-2.9411229004537374E-2"/>
    <n v="33"/>
    <m/>
    <s v="Kalyanpur"/>
    <m/>
    <n v="0"/>
  </r>
  <r>
    <s v="Munger"/>
    <s v="17-23 Apr"/>
    <n v="1053"/>
    <s v="Kalyanpur"/>
    <x v="672"/>
    <s v="GOMUKH VADEYA"/>
    <s v="MPG"/>
    <s v="Direct"/>
    <n v="495.00000000000006"/>
    <n v="21412.06"/>
    <n v="502.03999999999996"/>
    <n v="21077.669480603337"/>
    <n v="6.3299999999999992"/>
    <n v="326.42971431030003"/>
    <n v="508.36999999999995"/>
    <n v="21404.099194913637"/>
    <n v="21404.099194913637"/>
    <n v="0"/>
    <n v="326.42971431030003"/>
    <n v="0"/>
    <n v="0"/>
    <n v="130.83957096774182"/>
    <n v="0"/>
    <n v="20948"/>
    <n v="0"/>
    <n v="0"/>
    <n v="7"/>
    <n v="0"/>
    <n v="177.35241616161611"/>
    <n v="70.714285714285722"/>
    <n v="3.7179071450222051E-4"/>
    <n v="22"/>
    <m/>
    <s v="Kalyanpur"/>
    <m/>
    <n v="0"/>
  </r>
  <r>
    <s v="Munger"/>
    <s v="17-23 Apr"/>
    <n v="1053"/>
    <s v="Kalyanpur"/>
    <x v="673"/>
    <s v="GOMUKH CHANDPURA"/>
    <s v="MPG"/>
    <s v="Direct"/>
    <n v="425.6"/>
    <n v="18621.280000000002"/>
    <n v="416.96000000000004"/>
    <n v="18665.511287541503"/>
    <n v="8.39"/>
    <n v="362.85193181340003"/>
    <n v="425.35"/>
    <n v="19028.363219354902"/>
    <n v="18621.280000000002"/>
    <n v="0"/>
    <n v="362.85193181340003"/>
    <n v="407.08321935489948"/>
    <n v="0"/>
    <n v="0"/>
    <n v="0"/>
    <n v="18258"/>
    <n v="0"/>
    <n v="0"/>
    <n v="0"/>
    <s v="Release1"/>
    <n v="240.11650526315793"/>
    <n v="60.800000000000004"/>
    <n v="-2.1861183514500584E-2"/>
    <n v="19"/>
    <m/>
    <s v="Kalyanpur"/>
    <m/>
    <n v="0"/>
  </r>
  <r>
    <s v="Munger"/>
    <s v="17-23 Apr"/>
    <n v="1053"/>
    <s v="Kalyanpur"/>
    <x v="674"/>
    <s v="GOMUKH BARGAMA"/>
    <s v="MPG"/>
    <s v="Direct"/>
    <n v="856.85000000000025"/>
    <n v="33959.06"/>
    <n v="843.31"/>
    <n v="32764.923455807402"/>
    <n v="26.540000000000003"/>
    <n v="1187.6368631422201"/>
    <n v="869.84999999999991"/>
    <n v="33952.560318949625"/>
    <n v="33952.560318949625"/>
    <n v="0"/>
    <n v="1187.6368631422201"/>
    <n v="0"/>
    <n v="1203"/>
    <n v="0"/>
    <n v="0"/>
    <n v="31564"/>
    <n v="0"/>
    <n v="0"/>
    <n v="4"/>
    <s v="Release1"/>
    <n v="0"/>
    <n v="0"/>
    <n v="1.9139755489028853E-4"/>
    <n v="57"/>
    <m/>
    <s v="Kalyanpur"/>
    <m/>
    <n v="0"/>
  </r>
  <r>
    <s v="Munger"/>
    <s v="17-23 Apr"/>
    <n v="1053"/>
    <s v="Kalyanpur"/>
    <x v="675"/>
    <s v="Gomukh Gograha Tola"/>
    <s v="MPG"/>
    <s v="Direct"/>
    <n v="459.44999999999993"/>
    <n v="20430.449999999997"/>
    <n v="460.65000000000003"/>
    <n v="20862.545633817332"/>
    <n v="3.6999999999999997"/>
    <n v="204.80556785578003"/>
    <n v="464.35"/>
    <n v="21067.351201673111"/>
    <n v="20430.449999999997"/>
    <n v="0"/>
    <n v="204.80556785578003"/>
    <n v="636.90120167311397"/>
    <n v="0"/>
    <n v="0"/>
    <n v="0"/>
    <n v="20226"/>
    <n v="0"/>
    <n v="0"/>
    <n v="0"/>
    <n v="0"/>
    <n v="213.93164642507355"/>
    <n v="65.635714285714272"/>
    <n v="-3.1174115189489905E-2"/>
    <n v="15"/>
    <m/>
    <s v="Kalyanpur"/>
    <m/>
    <n v="0"/>
  </r>
  <r>
    <s v="Munger"/>
    <s v="17-23 Apr"/>
    <n v="1053"/>
    <s v="Kalyanpur"/>
    <x v="676"/>
    <s v="Gomukh Patsara"/>
    <s v="MPG"/>
    <s v="Direct"/>
    <n v="318.84999999999997"/>
    <n v="15263.33"/>
    <n v="316.90000000000003"/>
    <n v="15161.262476932501"/>
    <n v="3.37"/>
    <n v="137.16273550098751"/>
    <n v="320.27000000000004"/>
    <n v="15298.425212433489"/>
    <n v="15263.33"/>
    <n v="0"/>
    <n v="137.16273550098751"/>
    <n v="35.095212433488996"/>
    <n v="0"/>
    <n v="0"/>
    <n v="0"/>
    <n v="15126"/>
    <n v="0"/>
    <n v="0"/>
    <n v="0"/>
    <n v="0"/>
    <n v="364.91254379802422"/>
    <n v="45.55"/>
    <n v="-2.2993155774977672E-3"/>
    <n v="7"/>
    <m/>
    <s v="Kalyanpur"/>
    <m/>
    <n v="0"/>
  </r>
  <r>
    <s v="Munger"/>
    <s v="17-23 Apr"/>
    <n v="1053"/>
    <s v="Kalyanpur"/>
    <x v="677"/>
    <s v="Gomukh Singhiya"/>
    <s v="vlc"/>
    <s v="Indirect"/>
    <n v="3735.7000000000003"/>
    <n v="145895.26999999999"/>
    <n v="0"/>
    <n v="0"/>
    <n v="0"/>
    <n v="0"/>
    <n v="0"/>
    <n v="0"/>
    <n v="145895.26999999999"/>
    <n v="0"/>
    <n v="0"/>
    <n v="0"/>
    <n v="0"/>
    <n v="0"/>
    <n v="0"/>
    <n v="0"/>
    <n v="0"/>
    <n v="145895.26999999999"/>
    <n v="0"/>
    <n v="0"/>
    <n v="0"/>
    <n v="0"/>
    <n v="0"/>
    <n v="0"/>
    <m/>
    <s v="Kalyanpur"/>
    <m/>
    <n v="0"/>
  </r>
  <r>
    <s v="Munger"/>
    <s v="17-23 Apr"/>
    <n v="1053"/>
    <s v="Kalyanpur"/>
    <x v="678"/>
    <s v="Gomukh BALHA "/>
    <s v="vlc"/>
    <s v="Indirect"/>
    <n v="2781.4500000000003"/>
    <n v="112664.81000000003"/>
    <n v="0"/>
    <n v="0"/>
    <n v="0"/>
    <n v="0"/>
    <n v="0"/>
    <n v="0"/>
    <n v="112664.81000000003"/>
    <n v="0"/>
    <n v="0"/>
    <n v="0"/>
    <n v="0"/>
    <n v="0"/>
    <n v="0"/>
    <n v="0"/>
    <n v="0"/>
    <n v="112664.81000000003"/>
    <n v="0"/>
    <n v="0"/>
    <n v="0"/>
    <n v="0"/>
    <n v="0"/>
    <n v="0"/>
    <m/>
    <s v="Kalyanpur"/>
    <m/>
    <n v="0"/>
  </r>
  <r>
    <s v="Munger"/>
    <s v="17-23 Apr"/>
    <n v="1053"/>
    <s v="Kalyanpur"/>
    <x v="679"/>
    <s v="Gomukh Kalyanpur 2"/>
    <s v="vlc"/>
    <s v="Indirect"/>
    <n v="128.60000000000002"/>
    <n v="6387.9500000000007"/>
    <n v="0"/>
    <n v="0"/>
    <n v="0"/>
    <n v="0"/>
    <n v="0"/>
    <n v="0"/>
    <n v="6387.9500000000007"/>
    <n v="0"/>
    <n v="0"/>
    <n v="0"/>
    <n v="0"/>
    <n v="361.83002903225793"/>
    <n v="0"/>
    <n v="0"/>
    <n v="0"/>
    <n v="6026.119970967743"/>
    <n v="0"/>
    <n v="0"/>
    <n v="567.66323950233289"/>
    <n v="18.371428571428574"/>
    <n v="0"/>
    <n v="0"/>
    <m/>
    <s v="Kalyanpur"/>
    <m/>
    <n v="0"/>
  </r>
  <r>
    <s v="Munger"/>
    <s v="17-23 Apr"/>
    <n v="1053"/>
    <s v="Kalyanpur"/>
    <x v="680"/>
    <s v="Gomukh Namapur 2"/>
    <s v="vlc"/>
    <s v="Indirect"/>
    <n v="1165.9500000000003"/>
    <n v="42244.91"/>
    <n v="0"/>
    <n v="0"/>
    <n v="0"/>
    <n v="0"/>
    <n v="0"/>
    <n v="0"/>
    <n v="42244.91"/>
    <n v="0"/>
    <n v="0"/>
    <n v="0"/>
    <n v="0"/>
    <n v="0"/>
    <n v="0"/>
    <n v="0"/>
    <n v="0"/>
    <n v="42244.91"/>
    <n v="0"/>
    <n v="0"/>
    <n v="0"/>
    <n v="0"/>
    <n v="0"/>
    <n v="0"/>
    <m/>
    <s v="Kalyanpur"/>
    <m/>
    <n v="0"/>
  </r>
  <r>
    <s v="Munger"/>
    <s v="17-23 Apr"/>
    <n v="1053"/>
    <s v="Kalyanpur"/>
    <x v="681"/>
    <s v="Gomukh Madhopur"/>
    <s v="vlc"/>
    <s v="Indirect"/>
    <n v="209.75"/>
    <n v="8680.7800000000007"/>
    <n v="0"/>
    <n v="0"/>
    <n v="0"/>
    <n v="0"/>
    <n v="0"/>
    <n v="0"/>
    <n v="8680.7800000000007"/>
    <n v="0"/>
    <n v="0"/>
    <n v="0"/>
    <n v="4200"/>
    <n v="337.33031612903227"/>
    <n v="0"/>
    <n v="0"/>
    <n v="0"/>
    <n v="4143.4496838709683"/>
    <n v="0"/>
    <n v="0"/>
    <n v="405.79283861740169"/>
    <n v="29.964285714285715"/>
    <n v="0"/>
    <n v="0"/>
    <m/>
    <s v="Kalyanpur"/>
    <m/>
    <n v="0"/>
  </r>
  <r>
    <s v="Munger"/>
    <s v="17-23 Apr"/>
    <n v="1053"/>
    <s v="Kalyanpur"/>
    <x v="682"/>
    <s v="Gomukh Kalyanpur East"/>
    <s v="vlc"/>
    <s v="Indirect"/>
    <n v="588.44999999999993"/>
    <n v="21949.840000000004"/>
    <n v="0"/>
    <n v="0"/>
    <n v="0"/>
    <n v="0"/>
    <n v="0"/>
    <n v="0"/>
    <n v="21949.840000000004"/>
    <n v="0"/>
    <n v="0"/>
    <n v="0"/>
    <n v="0"/>
    <n v="0"/>
    <n v="0"/>
    <n v="0"/>
    <n v="0"/>
    <n v="21949.840000000004"/>
    <n v="0"/>
    <n v="0"/>
    <n v="83.218783312091162"/>
    <n v="84.064285714285703"/>
    <n v="0"/>
    <n v="0"/>
    <m/>
    <s v="Kalyanpur"/>
    <m/>
    <n v="0"/>
  </r>
  <r>
    <s v="Munger"/>
    <s v="17-23 Apr"/>
    <n v="1053"/>
    <s v="Kalyanpur"/>
    <x v="683"/>
    <s v="Gomukh Bazidpur"/>
    <s v="vlc"/>
    <s v="Indirect"/>
    <n v="1028.8"/>
    <n v="41638.089999999997"/>
    <n v="0"/>
    <n v="0"/>
    <n v="0"/>
    <n v="0"/>
    <n v="0"/>
    <n v="0"/>
    <n v="41638.089999999997"/>
    <n v="0"/>
    <n v="0"/>
    <n v="0"/>
    <n v="6000"/>
    <n v="183.94371290322562"/>
    <n v="0"/>
    <n v="0"/>
    <n v="0"/>
    <n v="35454.146287096773"/>
    <n v="0"/>
    <n v="0"/>
    <n v="0"/>
    <n v="0"/>
    <n v="0"/>
    <n v="0"/>
    <m/>
    <s v="Kalyanpur"/>
    <m/>
    <n v="0"/>
  </r>
  <r>
    <s v="Munger"/>
    <s v="17-23 Apr"/>
    <n v="1053"/>
    <s v="Kalyanpur"/>
    <x v="684"/>
    <s v="Gomukh Belsandi"/>
    <s v="vlc"/>
    <s v="Indirect"/>
    <n v="824.65"/>
    <n v="33656.15"/>
    <n v="0"/>
    <n v="0"/>
    <n v="0"/>
    <n v="0"/>
    <n v="0"/>
    <n v="0"/>
    <n v="33656.15"/>
    <n v="0"/>
    <n v="0"/>
    <n v="0"/>
    <n v="0"/>
    <n v="0"/>
    <n v="0"/>
    <n v="0"/>
    <n v="0"/>
    <n v="33656.15"/>
    <n v="0"/>
    <n v="0"/>
    <n v="0"/>
    <n v="0"/>
    <n v="0"/>
    <n v="0"/>
    <m/>
    <s v="Kalyanpur"/>
    <m/>
    <n v="0"/>
  </r>
  <r>
    <s v="Munger"/>
    <s v="17-23 Apr"/>
    <n v="1053"/>
    <s v="Kalyanpur"/>
    <x v="685"/>
    <s v="Gomukh Namapur Ward 8"/>
    <s v="vlc"/>
    <s v="Indirect"/>
    <n v="358.75"/>
    <n v="12277.44"/>
    <n v="0"/>
    <n v="0"/>
    <n v="0"/>
    <n v="0"/>
    <n v="0"/>
    <n v="0"/>
    <n v="12277.44"/>
    <n v="0"/>
    <n v="0"/>
    <n v="0"/>
    <n v="0"/>
    <n v="0"/>
    <n v="0"/>
    <n v="0"/>
    <n v="0"/>
    <n v="12277.44"/>
    <n v="0"/>
    <n v="0"/>
    <n v="233.57080975609759"/>
    <n v="51.25"/>
    <n v="0"/>
    <n v="0"/>
    <m/>
    <s v="Kalyanpur"/>
    <m/>
    <n v="0"/>
  </r>
  <r>
    <s v="Munger"/>
    <s v="17-23 Apr"/>
    <n v="1053"/>
    <s v="Kalyanpur"/>
    <x v="686"/>
    <s v="Belsandi"/>
    <s v="vlc"/>
    <s v="Indirect"/>
    <n v="581.1"/>
    <n v="22369.68"/>
    <n v="0"/>
    <n v="0"/>
    <n v="0"/>
    <n v="0"/>
    <n v="0"/>
    <n v="0"/>
    <n v="22369.68"/>
    <n v="0"/>
    <n v="0"/>
    <n v="0"/>
    <n v="0"/>
    <n v="0"/>
    <n v="0"/>
    <n v="0"/>
    <n v="0"/>
    <n v="22369.68"/>
    <n v="0"/>
    <n v="0"/>
    <n v="91.542073722250876"/>
    <n v="83.01428571428572"/>
    <n v="0"/>
    <n v="0"/>
    <m/>
    <s v="Kalyanpur"/>
    <m/>
    <n v="0"/>
  </r>
  <r>
    <s v="Munger"/>
    <s v="17-23 Apr"/>
    <n v="1053"/>
    <s v="Kalyanpur"/>
    <x v="687"/>
    <s v="Gomukh Kolwara"/>
    <s v="MPG"/>
    <s v="Direct"/>
    <n v="24.700000000000003"/>
    <n v="1098.1299999999999"/>
    <n v="23.62"/>
    <n v="1087.9708111586001"/>
    <n v="0"/>
    <n v="0"/>
    <n v="23.62"/>
    <n v="1087.9708111586001"/>
    <n v="1087.9708111586001"/>
    <n v="0"/>
    <n v="0"/>
    <n v="0"/>
    <n v="0"/>
    <n v="131.38999999999999"/>
    <n v="0"/>
    <n v="957"/>
    <n v="0"/>
    <n v="0"/>
    <n v="10"/>
    <s v="Release1"/>
    <n v="600.45926234817807"/>
    <n v="3.5285714285714289"/>
    <n v="9.251353520439095E-3"/>
    <n v="4"/>
    <m/>
    <s v="Kalyanpur"/>
    <m/>
    <n v="0"/>
  </r>
  <r>
    <s v="Munger"/>
    <s v="17-23 Apr"/>
    <n v="1053"/>
    <s v="Kalyanpur"/>
    <x v="688"/>
    <s v="Gomukh Belsandi East"/>
    <s v="vlc"/>
    <s v="Indirect"/>
    <n v="1041.0500000000002"/>
    <n v="42327.43"/>
    <n v="0"/>
    <n v="0"/>
    <n v="0"/>
    <n v="0"/>
    <n v="0"/>
    <n v="0"/>
    <n v="42327.43"/>
    <n v="0"/>
    <n v="0"/>
    <n v="0"/>
    <n v="0"/>
    <n v="0"/>
    <n v="0"/>
    <n v="0"/>
    <n v="0"/>
    <n v="42327.43"/>
    <n v="0"/>
    <n v="0"/>
    <n v="0"/>
    <n v="0"/>
    <n v="0"/>
    <n v="0"/>
    <m/>
    <s v="Kalyanpur"/>
    <m/>
    <n v="0"/>
  </r>
  <r>
    <s v="Munger"/>
    <s v="17-23 Apr"/>
    <n v="1053"/>
    <s v="Kalyanpur"/>
    <x v="689"/>
    <s v="Gomukh Belsandi West Tola"/>
    <s v="vlc"/>
    <s v="Indirect"/>
    <n v="174.75"/>
    <n v="6047.29"/>
    <n v="0"/>
    <n v="0"/>
    <n v="0"/>
    <n v="0"/>
    <n v="0"/>
    <n v="0"/>
    <n v="6047.29"/>
    <n v="0"/>
    <n v="0"/>
    <n v="0"/>
    <n v="1350"/>
    <n v="192.17009032258073"/>
    <n v="0"/>
    <n v="0"/>
    <n v="0"/>
    <n v="4505.1199096774189"/>
    <n v="0"/>
    <n v="0"/>
    <n v="363.52950758226041"/>
    <n v="24.964285714285715"/>
    <n v="0"/>
    <n v="0"/>
    <m/>
    <s v="Kalyanpur"/>
    <m/>
    <n v="0"/>
  </r>
  <r>
    <s v="Munger"/>
    <s v="17-23 Apr"/>
    <n v="1053"/>
    <s v="Kalyanpur"/>
    <x v="690"/>
    <s v="Gomukh Gopalpur"/>
    <s v="vlc"/>
    <s v="Indirect"/>
    <n v="1481.15"/>
    <n v="62064.84"/>
    <n v="0"/>
    <n v="0"/>
    <n v="0"/>
    <n v="0"/>
    <n v="0"/>
    <n v="0"/>
    <n v="62064.84"/>
    <n v="0"/>
    <n v="0"/>
    <n v="0"/>
    <n v="0"/>
    <n v="0"/>
    <n v="0"/>
    <n v="0"/>
    <n v="0"/>
    <n v="62064.84"/>
    <n v="0"/>
    <n v="0"/>
    <n v="0"/>
    <n v="0"/>
    <n v="0"/>
    <n v="0"/>
    <m/>
    <s v="Kalyanpur"/>
    <m/>
    <n v="0"/>
  </r>
  <r>
    <s v="Munger"/>
    <s v="17-23 Apr"/>
    <n v="1053"/>
    <s v="Kalyanpur"/>
    <x v="691"/>
    <s v="Gomukh Bharav"/>
    <s v="MPG"/>
    <s v="Direct"/>
    <n v="423.25000000000011"/>
    <n v="21856.729999999996"/>
    <n v="419.29000000000008"/>
    <n v="21742.42370129206"/>
    <n v="7.48"/>
    <n v="372.94859128715001"/>
    <n v="426.7700000000001"/>
    <n v="22115.37229257921"/>
    <n v="21856.729999999996"/>
    <n v="164"/>
    <n v="372.94859128715001"/>
    <n v="258.64229257921397"/>
    <n v="0"/>
    <n v="0"/>
    <n v="0"/>
    <n v="21320"/>
    <n v="0"/>
    <n v="0"/>
    <n v="0"/>
    <s v="Release1"/>
    <n v="285.82870773774346"/>
    <n v="60.46428571428573"/>
    <n v="-1.1833531025876882E-2"/>
    <n v="26"/>
    <m/>
    <s v="Kalyanpur"/>
    <m/>
    <n v="0"/>
  </r>
  <r>
    <s v="Munger"/>
    <s v="17-23 Apr"/>
    <n v="1053"/>
    <s v="Kalyanpur"/>
    <x v="692"/>
    <s v="Gomukh Harpur"/>
    <s v="MPG"/>
    <s v="Direct"/>
    <n v="937.84999999999991"/>
    <n v="38055.22"/>
    <n v="933.33"/>
    <n v="37689.044765430139"/>
    <n v="11.44"/>
    <n v="459.36188852399999"/>
    <n v="944.7700000000001"/>
    <n v="38148.406653954138"/>
    <n v="38055.22"/>
    <n v="0"/>
    <n v="459.36188852399999"/>
    <n v="93.186653954137"/>
    <n v="0"/>
    <n v="0"/>
    <n v="0"/>
    <n v="37596"/>
    <n v="0"/>
    <n v="0"/>
    <n v="0"/>
    <n v="0"/>
    <n v="0"/>
    <n v="0"/>
    <n v="-2.4487219875259426E-3"/>
    <n v="25"/>
    <m/>
    <s v="Kalyanpur"/>
    <m/>
    <n v="0"/>
  </r>
  <r>
    <s v="Munger"/>
    <s v="17-23 Apr"/>
    <n v="1053"/>
    <s v="Kalyanpur"/>
    <x v="693"/>
    <s v="Gomukh Fulhatta"/>
    <s v="MPG"/>
    <s v="Direct"/>
    <n v="826.79999999999984"/>
    <n v="42242.33"/>
    <n v="838.81000000000017"/>
    <n v="42221.550792471047"/>
    <n v="0"/>
    <n v="0"/>
    <n v="838.81000000000017"/>
    <n v="42221.550792471047"/>
    <n v="42221.550792471047"/>
    <n v="0"/>
    <n v="0"/>
    <n v="0"/>
    <n v="0"/>
    <n v="0"/>
    <n v="0"/>
    <n v="42224"/>
    <n v="0"/>
    <n v="0"/>
    <n v="18"/>
    <n v="0"/>
    <n v="0"/>
    <n v="0"/>
    <n v="4.9190486246744505E-4"/>
    <n v="38"/>
    <m/>
    <s v="Kalyanpur"/>
    <m/>
    <n v="0"/>
  </r>
  <r>
    <s v="Munger"/>
    <s v="17-23 Apr"/>
    <n v="1053"/>
    <s v="Kalyanpur"/>
    <x v="694"/>
    <s v="Gomukh Birauli Khurd"/>
    <s v="MPG"/>
    <s v="Direct"/>
    <n v="748.60000000000014"/>
    <n v="30594.999999999993"/>
    <n v="739.50000000000011"/>
    <n v="29460.959754467553"/>
    <n v="15.120000000000001"/>
    <n v="630.48372824052012"/>
    <n v="754.62000000000012"/>
    <n v="30091.443482708073"/>
    <n v="30091.443482708073"/>
    <n v="0"/>
    <n v="630.48372824052012"/>
    <n v="0"/>
    <n v="3545"/>
    <n v="63.39"/>
    <n v="0"/>
    <n v="25852"/>
    <n v="0"/>
    <n v="0"/>
    <n v="504"/>
    <n v="0"/>
    <n v="0"/>
    <n v="0"/>
    <n v="1.6458784680239244E-2"/>
    <n v="25"/>
    <m/>
    <s v="Kalyanpur"/>
    <m/>
    <n v="0"/>
  </r>
  <r>
    <s v="Munger"/>
    <s v="17-23 Apr"/>
    <n v="1053"/>
    <s v="Kalyanpur"/>
    <x v="695"/>
    <s v="Gomukh Bedauliya"/>
    <s v="vlc"/>
    <s v="Indirect"/>
    <n v="460.60000000000008"/>
    <n v="18289.330000000002"/>
    <n v="0"/>
    <n v="0"/>
    <n v="0"/>
    <n v="0"/>
    <n v="0"/>
    <n v="0"/>
    <n v="18289.330000000002"/>
    <n v="0"/>
    <n v="0"/>
    <n v="0"/>
    <n v="1350"/>
    <n v="0"/>
    <n v="0"/>
    <n v="0"/>
    <n v="0"/>
    <n v="16939.330000000002"/>
    <n v="0"/>
    <n v="0"/>
    <n v="190.12008693009111"/>
    <n v="65.800000000000011"/>
    <n v="0"/>
    <n v="0"/>
    <m/>
    <s v="Kalyanpur"/>
    <m/>
    <n v="0"/>
  </r>
  <r>
    <s v="Munger"/>
    <s v="17-23 Apr"/>
    <n v="1053"/>
    <s v="Kalyanpur"/>
    <x v="696"/>
    <s v="Gomukh Khanua"/>
    <s v="MPG"/>
    <s v="Direct"/>
    <n v="542.55000000000007"/>
    <n v="23271.289999999994"/>
    <n v="533.87"/>
    <n v="23319.358408923268"/>
    <n v="8.9599999999999991"/>
    <n v="381.96923331600004"/>
    <n v="542.83000000000004"/>
    <n v="23701.327642239266"/>
    <n v="23271.289999999994"/>
    <n v="0"/>
    <n v="381.96923331600004"/>
    <n v="430.03764223927283"/>
    <n v="1118"/>
    <n v="0"/>
    <n v="0"/>
    <n v="21771"/>
    <n v="0"/>
    <n v="0"/>
    <n v="0"/>
    <n v="0"/>
    <n v="135.06827427886819"/>
    <n v="77.507142857142867"/>
    <n v="-1.847932118242147E-2"/>
    <n v="26"/>
    <m/>
    <s v="Kalyanpur"/>
    <m/>
    <n v="0"/>
  </r>
  <r>
    <s v="Munger"/>
    <s v="17-23 Apr"/>
    <n v="1053"/>
    <s v="Kalyanpur"/>
    <x v="697"/>
    <s v="Gomukh Hiralalpur"/>
    <s v="vlc"/>
    <s v="Indirect"/>
    <n v="1056.7500000000002"/>
    <n v="41891.329999999994"/>
    <n v="0"/>
    <n v="0"/>
    <n v="0"/>
    <n v="0"/>
    <n v="0"/>
    <n v="0"/>
    <n v="41891.329999999994"/>
    <n v="0"/>
    <n v="0"/>
    <n v="0"/>
    <n v="0"/>
    <n v="0"/>
    <n v="0"/>
    <n v="0"/>
    <n v="0"/>
    <n v="41891.329999999994"/>
    <n v="0"/>
    <n v="0"/>
    <n v="0"/>
    <n v="0"/>
    <n v="0"/>
    <n v="0"/>
    <m/>
    <s v="Kalyanpur"/>
    <m/>
    <n v="0"/>
  </r>
  <r>
    <s v="Munger"/>
    <s v="17-23 Apr"/>
    <n v="1053"/>
    <s v="Kalyanpur"/>
    <x v="698"/>
    <s v="Gomukh Punas"/>
    <s v="MPG"/>
    <s v="Direct"/>
    <n v="783.80000000000018"/>
    <n v="34167.269999999997"/>
    <n v="767.2"/>
    <n v="33657.437427207544"/>
    <n v="11.919999999999998"/>
    <n v="507.01487047199998"/>
    <n v="779.12"/>
    <n v="34164.452297679542"/>
    <n v="34164.452297679542"/>
    <n v="0"/>
    <n v="507.01487047199998"/>
    <n v="0"/>
    <n v="873"/>
    <n v="259.19"/>
    <n v="0"/>
    <n v="32526"/>
    <n v="0"/>
    <n v="0"/>
    <n v="2"/>
    <s v="Release1"/>
    <n v="0"/>
    <n v="0"/>
    <n v="8.2467879946372151E-5"/>
    <n v="24"/>
    <m/>
    <s v="Kalyanpur"/>
    <m/>
    <n v="0"/>
  </r>
  <r>
    <s v="Munger"/>
    <s v="17-23 Apr"/>
    <n v="1053"/>
    <s v="Kalyanpur"/>
    <x v="699"/>
    <s v="Gomukh Loharkha"/>
    <s v="MPG"/>
    <s v="Direct"/>
    <n v="389.7"/>
    <n v="17693.82"/>
    <n v="401.34999999999997"/>
    <n v="17914.081929824104"/>
    <n v="3.9500000000000006"/>
    <n v="166.68023105129203"/>
    <n v="405.29999999999995"/>
    <n v="18080.762160875394"/>
    <n v="17693.82"/>
    <n v="0"/>
    <n v="166.68023105129203"/>
    <n v="386.94216087539462"/>
    <n v="0"/>
    <n v="60.827148387096635"/>
    <n v="0"/>
    <n v="17466"/>
    <n v="0"/>
    <n v="0"/>
    <n v="0"/>
    <n v="0"/>
    <n v="281.77533210161664"/>
    <n v="55.671428571428571"/>
    <n v="-2.1868774570748126E-2"/>
    <n v="26"/>
    <m/>
    <s v="Kalyanpur"/>
    <m/>
    <n v="0"/>
  </r>
  <r>
    <s v="Munger"/>
    <s v="17-23 Apr"/>
    <n v="1053"/>
    <s v="Kalyanpur"/>
    <x v="700"/>
    <s v="Gomukh Dighra"/>
    <s v="MPG"/>
    <s v="Direct"/>
    <n v="334.4"/>
    <n v="10740.58"/>
    <n v="334.07"/>
    <n v="11964.712088775599"/>
    <n v="1.43"/>
    <n v="57.436081164000001"/>
    <n v="335.5"/>
    <n v="12022.148169939599"/>
    <n v="10740.58"/>
    <n v="0"/>
    <n v="57.436081164000001"/>
    <n v="1281.5681699395991"/>
    <n v="0"/>
    <n v="6.4122483870968026"/>
    <n v="0"/>
    <n v="10676"/>
    <n v="0"/>
    <n v="0"/>
    <n v="1"/>
    <n v="0"/>
    <n v="234.85383062200958"/>
    <n v="47.771428571428565"/>
    <n v="-0.11932020151049563"/>
    <n v="6"/>
    <m/>
    <s v="Kalyanpur"/>
    <m/>
    <n v="0"/>
  </r>
  <r>
    <s v="Munger"/>
    <s v="17-23 Apr"/>
    <n v="1053"/>
    <s v="Kalyanpur"/>
    <x v="701"/>
    <s v="Basuwari"/>
    <s v="MPG"/>
    <s v="Direct"/>
    <n v="407.34999999999997"/>
    <n v="15039.039999999999"/>
    <n v="404.03999999999996"/>
    <n v="14773.3335485959"/>
    <n v="6.7600000000000016"/>
    <n v="258.63313271400006"/>
    <n v="410.79999999999995"/>
    <n v="15031.966681309899"/>
    <n v="15031.966681309899"/>
    <n v="0"/>
    <n v="258.63313271400006"/>
    <n v="0"/>
    <n v="0"/>
    <n v="0"/>
    <n v="0"/>
    <n v="14772"/>
    <n v="0"/>
    <n v="0"/>
    <n v="8"/>
    <s v="Release1"/>
    <n v="216.08813334969932"/>
    <n v="58.192857142857136"/>
    <n v="4.7033046591403232E-4"/>
    <n v="13"/>
    <m/>
    <s v="Kalyanpur"/>
    <m/>
    <n v="0"/>
  </r>
  <r>
    <s v="Munger"/>
    <s v="17-23 Apr"/>
    <n v="1053"/>
    <s v="Kalyanpur"/>
    <x v="702"/>
    <s v="Belsandi 3"/>
    <s v="vlc"/>
    <s v="Indirect"/>
    <n v="1383.45"/>
    <n v="51478.049999999988"/>
    <n v="0"/>
    <n v="0"/>
    <n v="0"/>
    <n v="0"/>
    <n v="0"/>
    <n v="0"/>
    <n v="51478.049999999988"/>
    <n v="0"/>
    <n v="0"/>
    <n v="0"/>
    <n v="0"/>
    <n v="1606.3574322580646"/>
    <n v="0"/>
    <n v="0"/>
    <n v="0"/>
    <n v="49871.69256774192"/>
    <n v="0"/>
    <n v="0"/>
    <n v="0"/>
    <n v="0"/>
    <n v="0"/>
    <n v="0"/>
    <m/>
    <s v="Kalyanpur"/>
    <m/>
    <n v="0"/>
  </r>
  <r>
    <s v="Munger"/>
    <s v="17-23 Apr"/>
    <n v="1053"/>
    <s v="Kalyanpur"/>
    <x v="703"/>
    <s v="Gomukh PARAN"/>
    <s v="vlc"/>
    <s v="Indirect"/>
    <n v="213.75"/>
    <n v="7786.91"/>
    <n v="0"/>
    <n v="0"/>
    <n v="0"/>
    <n v="0"/>
    <n v="0"/>
    <n v="0"/>
    <n v="7786.91"/>
    <n v="0"/>
    <n v="0"/>
    <n v="0"/>
    <n v="0"/>
    <n v="0"/>
    <n v="0"/>
    <n v="0"/>
    <n v="0"/>
    <n v="7786.91"/>
    <n v="0"/>
    <n v="0"/>
    <n v="354.28163625731003"/>
    <n v="30.535714285714285"/>
    <n v="0"/>
    <n v="0"/>
    <m/>
    <s v="Kalyanpur"/>
    <m/>
    <n v="0"/>
  </r>
  <r>
    <s v="Munger"/>
    <s v="17-23 Apr"/>
    <n v="1053"/>
    <s v="Kalyanpur"/>
    <x v="704"/>
    <s v="GOMUKH HARPUR W-13"/>
    <s v="MPG"/>
    <s v="Direct"/>
    <n v="1781.9500000000003"/>
    <n v="69704.88"/>
    <n v="1752.3199999999997"/>
    <n v="69097.075026608829"/>
    <n v="28.940000000000005"/>
    <n v="1147.3769569680003"/>
    <n v="1781.2599999999998"/>
    <n v="70244.45198357683"/>
    <n v="69704.88"/>
    <n v="0"/>
    <n v="1147.3769569680003"/>
    <n v="539.57198357682501"/>
    <n v="5585"/>
    <n v="0"/>
    <n v="0"/>
    <n v="62973"/>
    <n v="0"/>
    <n v="0"/>
    <n v="0"/>
    <s v="Release1"/>
    <n v="0"/>
    <n v="0"/>
    <n v="-7.7408064338798802E-3"/>
    <n v="50"/>
    <m/>
    <s v="Kalyanpur"/>
    <m/>
    <n v="0"/>
  </r>
  <r>
    <s v="Munger"/>
    <s v="17-23 Apr"/>
    <n v="1053"/>
    <s v="Kalyanpur"/>
    <x v="705"/>
    <s v="GOMUKH MILKI"/>
    <s v="vlc"/>
    <s v="Indirect"/>
    <n v="49.7"/>
    <n v="1667.23"/>
    <n v="0"/>
    <n v="0"/>
    <n v="0"/>
    <n v="0"/>
    <n v="0"/>
    <n v="0"/>
    <n v="1667.23"/>
    <n v="0"/>
    <n v="0"/>
    <n v="0"/>
    <n v="0"/>
    <n v="38.766541935483872"/>
    <n v="0"/>
    <n v="0"/>
    <n v="0"/>
    <n v="1628.4634580645161"/>
    <n v="0"/>
    <n v="0"/>
    <n v="436.29765352112679"/>
    <n v="7.1000000000000005"/>
    <n v="0"/>
    <n v="0"/>
    <m/>
    <s v="Kalyanpur"/>
    <m/>
    <n v="0"/>
  </r>
  <r>
    <s v="Munger"/>
    <s v="17-23 Apr"/>
    <n v="1053"/>
    <s v="Kalyanpur"/>
    <x v="706"/>
    <s v="Gomukh Ratwara"/>
    <s v="MPG"/>
    <s v="Direct"/>
    <n v="179.74999999999997"/>
    <n v="6333.89"/>
    <n v="174.47"/>
    <n v="6498.8130335224505"/>
    <n v="0"/>
    <n v="0"/>
    <n v="174.47"/>
    <n v="6498.8130335224505"/>
    <n v="6333.89"/>
    <n v="0"/>
    <n v="0"/>
    <n v="164.92303352245017"/>
    <n v="0"/>
    <n v="0"/>
    <n v="0"/>
    <n v="6334"/>
    <n v="0"/>
    <n v="0"/>
    <n v="0"/>
    <n v="0"/>
    <n v="366.64325702364414"/>
    <n v="25.678571428571423"/>
    <n v="-2.6038190357339671E-2"/>
    <n v="10"/>
    <m/>
    <s v="Kalyanpur"/>
    <m/>
    <n v="0"/>
  </r>
  <r>
    <s v="Munger"/>
    <s v="17-23 Apr"/>
    <n v="1053"/>
    <s v="Kalyanpur"/>
    <x v="707"/>
    <s v="Gomukh Fulhara"/>
    <s v="vlc"/>
    <s v="Indirect"/>
    <n v="1467.5"/>
    <n v="71282"/>
    <n v="0"/>
    <n v="0"/>
    <n v="0"/>
    <n v="0"/>
    <n v="0"/>
    <n v="0"/>
    <n v="71282"/>
    <n v="0"/>
    <n v="0"/>
    <n v="0"/>
    <n v="8100"/>
    <n v="0"/>
    <n v="0"/>
    <n v="0"/>
    <n v="0"/>
    <n v="63182"/>
    <n v="0"/>
    <n v="0"/>
    <n v="0"/>
    <n v="0"/>
    <n v="0"/>
    <n v="0"/>
    <m/>
    <s v="Kalyanpur"/>
    <m/>
    <n v="0"/>
  </r>
  <r>
    <s v="Munger"/>
    <s v="17-23 Apr"/>
    <n v="1053"/>
    <s v="Kalyanpur"/>
    <x v="708"/>
    <s v="Gomukh Ranitola"/>
    <s v="vlc"/>
    <s v="Indirect"/>
    <n v="517.69999999999993"/>
    <n v="21507.449999999997"/>
    <n v="0"/>
    <n v="0"/>
    <n v="0"/>
    <n v="0"/>
    <n v="0"/>
    <n v="0"/>
    <n v="21507.449999999997"/>
    <n v="0"/>
    <n v="0"/>
    <n v="0"/>
    <n v="0"/>
    <n v="0"/>
    <n v="0"/>
    <n v="0"/>
    <n v="0"/>
    <n v="21507.449999999997"/>
    <n v="0"/>
    <n v="0"/>
    <n v="151.4702775738846"/>
    <n v="73.957142857142841"/>
    <n v="0"/>
    <n v="0"/>
    <m/>
    <s v="Kalyanpur"/>
    <m/>
    <n v="0"/>
  </r>
  <r>
    <s v="Munger"/>
    <s v="17-23 Apr"/>
    <n v="1053"/>
    <s v="Kalyanpur"/>
    <x v="709"/>
    <s v="Gomukh Malinagar East"/>
    <s v="MPG"/>
    <s v="Direct"/>
    <n v="826.45000000000016"/>
    <n v="33715.69"/>
    <n v="823.89999999999986"/>
    <n v="33346.932135644027"/>
    <n v="9"/>
    <n v="356.78869958662006"/>
    <n v="832.89999999999986"/>
    <n v="33703.720835230648"/>
    <n v="33703.720835230648"/>
    <n v="0"/>
    <n v="356.78869958662006"/>
    <n v="0"/>
    <n v="0"/>
    <n v="0"/>
    <n v="0"/>
    <n v="33346"/>
    <n v="0"/>
    <n v="0"/>
    <n v="13"/>
    <n v="0"/>
    <n v="0"/>
    <n v="0"/>
    <n v="3.5500281232133741E-4"/>
    <n v="10"/>
    <m/>
    <s v="Kalyanpur"/>
    <m/>
    <n v="0"/>
  </r>
  <r>
    <s v="Munger"/>
    <s v="17-23 Apr"/>
    <n v="1053"/>
    <s v="Kalyanpur"/>
    <x v="710"/>
    <s v="GOMUKH Singhiya Ward 11"/>
    <s v="vlc"/>
    <s v="Indirect"/>
    <n v="110.05"/>
    <n v="4342.2699999999995"/>
    <n v="0"/>
    <n v="0"/>
    <n v="0"/>
    <n v="0"/>
    <n v="0"/>
    <n v="0"/>
    <n v="4342.2699999999995"/>
    <n v="0"/>
    <n v="0"/>
    <n v="0"/>
    <n v="0"/>
    <n v="0"/>
    <n v="0"/>
    <n v="0"/>
    <n v="0"/>
    <n v="4342.2699999999995"/>
    <n v="0"/>
    <n v="0"/>
    <n v="465.55605388459782"/>
    <n v="15.721428571428572"/>
    <n v="0"/>
    <n v="0"/>
    <m/>
    <s v="Kalyanpur"/>
    <m/>
    <n v="0"/>
  </r>
  <r>
    <s v="Munger"/>
    <s v="17-23 Apr"/>
    <n v="1053"/>
    <s v="Kalyanpur"/>
    <x v="711"/>
    <s v="GOMUKH MANIYARPUR"/>
    <s v="MPG"/>
    <s v="Direct"/>
    <n v="1033.3"/>
    <n v="43157.609999999993"/>
    <n v="1037.1100000000001"/>
    <n v="42070.143845588143"/>
    <n v="16.48"/>
    <n v="685.30056048720019"/>
    <n v="1053.5900000000001"/>
    <n v="42755.444406075345"/>
    <n v="42755.444406075345"/>
    <n v="0"/>
    <n v="685.30056048720019"/>
    <n v="0"/>
    <n v="167"/>
    <n v="0"/>
    <n v="0"/>
    <n v="41905"/>
    <n v="0"/>
    <n v="0"/>
    <n v="400"/>
    <n v="0"/>
    <n v="0"/>
    <n v="0"/>
    <n v="9.3185325583286117E-3"/>
    <n v="38"/>
    <m/>
    <s v="Kalyanpur"/>
    <m/>
    <n v="0"/>
  </r>
  <r>
    <s v="Munger"/>
    <s v="17-23 Apr"/>
    <n v="1053"/>
    <s v="Kalyanpur"/>
    <x v="712"/>
    <s v="GOMUKH DIGHRA W-6"/>
    <s v="MPG"/>
    <s v="Direct"/>
    <n v="1317.8000000000002"/>
    <n v="48211.400000000009"/>
    <n v="1315.18"/>
    <n v="50726.883186718209"/>
    <n v="9"/>
    <n v="347.20953775199996"/>
    <n v="1324.18"/>
    <n v="51074.092724470211"/>
    <n v="48211.400000000009"/>
    <n v="0"/>
    <n v="347.20953775199996"/>
    <n v="2862.6927244702019"/>
    <n v="0"/>
    <n v="0"/>
    <n v="0"/>
    <n v="47864"/>
    <n v="0"/>
    <n v="0"/>
    <n v="0"/>
    <s v="Release1"/>
    <n v="0"/>
    <n v="0"/>
    <n v="-5.9377921497201933E-2"/>
    <n v="10"/>
    <m/>
    <s v="Kalyanpur"/>
    <m/>
    <n v="0"/>
  </r>
  <r>
    <s v="Munger"/>
    <s v="17-23 Apr"/>
    <n v="1053"/>
    <s v="Kalyanpur"/>
    <x v="713"/>
    <s v="GOMUKH BANDRA W-6"/>
    <s v="MPG"/>
    <s v="Direct"/>
    <n v="495.15000000000009"/>
    <n v="21432.9"/>
    <n v="494.90000000000003"/>
    <n v="21092.825042438733"/>
    <n v="8.0299999999999994"/>
    <n v="333.22848213599997"/>
    <n v="502.93"/>
    <n v="21426.053524574734"/>
    <n v="21426.053524574734"/>
    <n v="0"/>
    <n v="333.22848213599997"/>
    <n v="0"/>
    <n v="1351"/>
    <n v="0"/>
    <n v="0"/>
    <n v="19741"/>
    <n v="0"/>
    <n v="0"/>
    <n v="8"/>
    <n v="0"/>
    <n v="177.34139412299297"/>
    <n v="70.735714285714295"/>
    <n v="3.1943766010513142E-4"/>
    <n v="22"/>
    <m/>
    <s v="Kalyanpur"/>
    <m/>
    <n v="0"/>
  </r>
  <r>
    <s v="Munger"/>
    <s v="17-23 Apr"/>
    <n v="1053"/>
    <s v="Kalyanpur"/>
    <x v="714"/>
    <s v="BELSANDI RAJO"/>
    <s v="vlc"/>
    <s v="Indirect"/>
    <n v="424.65"/>
    <n v="15855.050000000001"/>
    <n v="0"/>
    <n v="0"/>
    <n v="0"/>
    <n v="0"/>
    <n v="0"/>
    <n v="0"/>
    <n v="15855.050000000001"/>
    <n v="0"/>
    <n v="0"/>
    <n v="0"/>
    <n v="0"/>
    <n v="32.893548387096786"/>
    <n v="0"/>
    <n v="0"/>
    <n v="0"/>
    <n v="15822.156451612904"/>
    <n v="0"/>
    <n v="0"/>
    <n v="205.61347074060996"/>
    <n v="60.664285714285711"/>
    <n v="0"/>
    <n v="0"/>
    <m/>
    <s v="Kalyanpur"/>
    <m/>
    <n v="0"/>
  </r>
  <r>
    <s v="Munger"/>
    <s v="17-23 Apr"/>
    <n v="1053"/>
    <s v="Kalyanpur"/>
    <x v="715"/>
    <s v="BELSANDI W-9"/>
    <s v="vlc"/>
    <s v="Indirect"/>
    <n v="126.3"/>
    <n v="5385.43"/>
    <n v="0"/>
    <n v="0"/>
    <n v="0"/>
    <n v="0"/>
    <n v="0"/>
    <n v="0"/>
    <n v="5385.43"/>
    <n v="0"/>
    <n v="0"/>
    <n v="0"/>
    <n v="0"/>
    <n v="0"/>
    <n v="0"/>
    <n v="0"/>
    <n v="0"/>
    <n v="5385.43"/>
    <n v="0"/>
    <n v="0"/>
    <n v="489.25117830562158"/>
    <n v="18.042857142857141"/>
    <n v="0"/>
    <n v="0"/>
    <m/>
    <s v="Kalyanpur"/>
    <m/>
    <n v="0"/>
  </r>
  <r>
    <s v="Munger"/>
    <s v="17-23 Apr"/>
    <n v="1053"/>
    <s v="Kalyanpur"/>
    <x v="716"/>
    <s v="GOMUKH PARAN 2"/>
    <s v="MPG"/>
    <s v="Direct"/>
    <n v="165.35000000000002"/>
    <n v="8085.74"/>
    <n v="166.59"/>
    <n v="7975.4506308438886"/>
    <n v="5.330000000000001"/>
    <n v="251.16630013472005"/>
    <n v="171.92000000000002"/>
    <n v="8226.6169309786092"/>
    <n v="8085.74"/>
    <n v="0"/>
    <n v="251.16630013472005"/>
    <n v="140.87693097860938"/>
    <n v="0"/>
    <n v="0"/>
    <n v="0"/>
    <n v="7835"/>
    <n v="0"/>
    <n v="0"/>
    <n v="0"/>
    <s v="Release1"/>
    <n v="522.89578361052315"/>
    <n v="23.621428571428574"/>
    <n v="-1.742288658534771E-2"/>
    <n v="12"/>
    <m/>
    <s v="Kalyanpur"/>
    <m/>
    <n v="0"/>
  </r>
  <r>
    <s v="Munger"/>
    <s v="17-23 Apr"/>
    <n v="1053"/>
    <s v="Kalyanpur"/>
    <x v="717"/>
    <s v="GOMUKH KHARAGPUR"/>
    <s v="MPG"/>
    <s v="Direct"/>
    <n v="260"/>
    <n v="13691.239999999998"/>
    <n v="263.75"/>
    <n v="14092.703935176965"/>
    <n v="0"/>
    <n v="0"/>
    <n v="263.75"/>
    <n v="14092.703935176965"/>
    <n v="13691.239999999998"/>
    <n v="0"/>
    <n v="0"/>
    <n v="401.46393517696742"/>
    <n v="0"/>
    <n v="0"/>
    <n v="0"/>
    <n v="13691"/>
    <n v="0"/>
    <n v="0"/>
    <n v="0"/>
    <n v="0"/>
    <n v="463.39581538461528"/>
    <n v="37.142857142857146"/>
    <n v="-2.9322686270707946E-2"/>
    <n v="10"/>
    <m/>
    <s v="Kalyanpur"/>
    <m/>
    <n v="0"/>
  </r>
  <r>
    <s v="Munger"/>
    <s v="17-23 Apr"/>
    <n v="1053"/>
    <s v="Kalyanpur"/>
    <x v="718"/>
    <s v="KAMARGAMA"/>
    <s v="vlc"/>
    <s v="Indirect"/>
    <n v="516.15"/>
    <n v="28553.390000000003"/>
    <n v="0"/>
    <n v="0"/>
    <n v="0"/>
    <n v="0"/>
    <n v="0"/>
    <n v="0"/>
    <n v="28553.390000000003"/>
    <n v="0"/>
    <n v="0"/>
    <n v="0"/>
    <n v="0"/>
    <n v="0"/>
    <n v="0"/>
    <n v="0"/>
    <n v="0"/>
    <n v="28553.390000000003"/>
    <n v="0"/>
    <n v="0"/>
    <n v="203.41144053085347"/>
    <n v="73.73571428571428"/>
    <n v="0"/>
    <n v="0"/>
    <m/>
    <s v="Kalyanpur"/>
    <m/>
    <n v="0"/>
  </r>
  <r>
    <s v="Munger"/>
    <s v="17-23 Apr"/>
    <n v="1053"/>
    <s v="Kalyanpur"/>
    <x v="720"/>
    <s v="GOMUKH BALAHA W-9"/>
    <s v="MPG"/>
    <s v="Direct"/>
    <n v="788.5"/>
    <n v="30134.100000000002"/>
    <n v="778.1099999999999"/>
    <n v="30093.647431402409"/>
    <n v="12.149999999999999"/>
    <n v="469.21285184400006"/>
    <n v="790.25999999999988"/>
    <n v="30562.860283246409"/>
    <n v="30134.100000000002"/>
    <n v="0"/>
    <n v="469.21285184400006"/>
    <n v="428.7602832464072"/>
    <n v="1624"/>
    <n v="0"/>
    <n v="0"/>
    <n v="28041"/>
    <n v="0"/>
    <n v="0"/>
    <n v="0"/>
    <s v="Release1"/>
    <n v="0"/>
    <n v="0"/>
    <n v="-1.4228408455749705E-2"/>
    <n v="27"/>
    <m/>
    <s v="Kalyanpur"/>
    <m/>
    <n v="0"/>
  </r>
  <r>
    <s v="Munger"/>
    <s v="17-23 Apr"/>
    <n v="1053"/>
    <s v="Kalyanpur"/>
    <x v="721"/>
    <s v="Gomukh NAMAPUR East"/>
    <s v="vlc"/>
    <s v="Indirect"/>
    <n v="151.89999999999998"/>
    <n v="5620.06"/>
    <n v="0"/>
    <n v="0"/>
    <n v="0"/>
    <n v="0"/>
    <n v="0"/>
    <n v="0"/>
    <n v="5620.06"/>
    <n v="0"/>
    <n v="0"/>
    <n v="0"/>
    <n v="0"/>
    <n v="0"/>
    <n v="0"/>
    <n v="0"/>
    <n v="0"/>
    <n v="5620.06"/>
    <n v="0"/>
    <n v="0"/>
    <n v="405.57668018433202"/>
    <n v="21.699999999999996"/>
    <n v="0"/>
    <n v="0"/>
    <m/>
    <s v="Kalyanpur"/>
    <m/>
    <n v="0"/>
  </r>
  <r>
    <s v="Munger"/>
    <s v="17-23 Apr"/>
    <n v="1053"/>
    <s v="Kalyanpur"/>
    <x v="722"/>
    <s v="GOMUKH Madanpur W-3"/>
    <s v="MPG"/>
    <s v="Direct"/>
    <n v="1617.6999999999998"/>
    <n v="78017.909999999989"/>
    <n v="1642.1299999999997"/>
    <n v="77934.23991762269"/>
    <n v="22.2"/>
    <n v="1003.0870651216702"/>
    <n v="1664.3299999999997"/>
    <n v="78937.326982744358"/>
    <n v="78017.909999999989"/>
    <n v="0"/>
    <n v="1003.0870651216702"/>
    <n v="919.41698274436931"/>
    <n v="0"/>
    <n v="0"/>
    <n v="0"/>
    <n v="77015"/>
    <n v="0"/>
    <n v="0"/>
    <n v="0"/>
    <n v="0"/>
    <n v="0"/>
    <n v="0"/>
    <n v="-1.178469126825327E-2"/>
    <n v="53"/>
    <m/>
    <s v="Kalyanpur"/>
    <m/>
    <n v="0"/>
  </r>
  <r>
    <s v="Munger"/>
    <s v="17-23 Apr"/>
    <n v="1053"/>
    <s v="Kalyanpur"/>
    <x v="723"/>
    <s v="Gomukh Namapur East (08)"/>
    <s v="vlc"/>
    <s v="Indirect"/>
    <n v="442.40000000000003"/>
    <n v="16218.26"/>
    <n v="0"/>
    <n v="0"/>
    <n v="0"/>
    <n v="0"/>
    <n v="0"/>
    <n v="0"/>
    <n v="16218.26"/>
    <n v="0"/>
    <n v="0"/>
    <n v="0"/>
    <n v="0"/>
    <n v="5.5978838709677845"/>
    <n v="0"/>
    <n v="0"/>
    <n v="0"/>
    <n v="16212.662116129033"/>
    <n v="0"/>
    <n v="0"/>
    <n v="188.87087594936705"/>
    <n v="63.2"/>
    <n v="0"/>
    <n v="0"/>
    <m/>
    <s v="Kalyanpur"/>
    <m/>
    <n v="0"/>
  </r>
  <r>
    <s v="Munger"/>
    <s v="17-23 Apr"/>
    <n v="1053"/>
    <s v="Kalyanpur"/>
    <x v="724"/>
    <s v="GOMUKH Kalaunjar"/>
    <s v="MPG"/>
    <s v="Direct"/>
    <n v="537.29999999999995"/>
    <n v="23660.16"/>
    <n v="534.95999999999992"/>
    <n v="23049.271080769791"/>
    <n v="12.399999999999999"/>
    <n v="534.386990148"/>
    <n v="547.3599999999999"/>
    <n v="23583.658070917791"/>
    <n v="23583.658070917791"/>
    <n v="0"/>
    <n v="534.386990148"/>
    <n v="0"/>
    <n v="0"/>
    <n v="0"/>
    <n v="0"/>
    <n v="23050"/>
    <n v="0"/>
    <n v="0"/>
    <n v="76"/>
    <n v="0"/>
    <n v="143.2908256839755"/>
    <n v="76.757142857142853"/>
    <n v="3.2333648243380113E-3"/>
    <n v="10"/>
    <m/>
    <s v="Kalyanpur"/>
    <m/>
    <n v="0"/>
  </r>
  <r>
    <s v="Munger"/>
    <s v="17-23 Apr"/>
    <n v="1053"/>
    <s v="Kalyanpur"/>
    <x v="725"/>
    <s v="Jitwariya W-11"/>
    <s v="vlc"/>
    <s v="Indirect"/>
    <n v="106.75"/>
    <n v="4276.72"/>
    <n v="0"/>
    <n v="0"/>
    <n v="0"/>
    <n v="0"/>
    <n v="0"/>
    <n v="0"/>
    <n v="4276.72"/>
    <n v="0"/>
    <n v="0"/>
    <n v="0"/>
    <n v="0"/>
    <n v="21.492445161290355"/>
    <n v="0"/>
    <n v="0"/>
    <n v="0"/>
    <n v="4255.2275548387097"/>
    <n v="0"/>
    <n v="0"/>
    <n v="475.34691147540985"/>
    <n v="15.25"/>
    <n v="0"/>
    <n v="0"/>
    <m/>
    <s v="Kalyanpur"/>
    <m/>
    <n v="0"/>
  </r>
  <r>
    <s v="Munger"/>
    <s v="17-23 Apr"/>
    <n v="1053"/>
    <s v="Kalyanpur"/>
    <x v="726"/>
    <s v="Pastara Lakshman"/>
    <s v="vlc"/>
    <s v="Indirect"/>
    <n v="208.55"/>
    <n v="7436.9699999999993"/>
    <n v="0"/>
    <n v="0"/>
    <n v="0"/>
    <n v="0"/>
    <n v="0"/>
    <n v="0"/>
    <n v="7436.9699999999993"/>
    <n v="0"/>
    <n v="0"/>
    <n v="0"/>
    <n v="0"/>
    <n v="136.42150645161303"/>
    <n v="0"/>
    <n v="0"/>
    <n v="0"/>
    <n v="7300.5484935483864"/>
    <n v="0"/>
    <n v="0"/>
    <n v="350.50576902421477"/>
    <n v="29.792857142857144"/>
    <n v="0"/>
    <n v="0"/>
    <m/>
    <s v="Kalyanpur"/>
    <m/>
    <n v="0"/>
  </r>
  <r>
    <s v="Munger"/>
    <s v="17-23 Apr"/>
    <n v="1053"/>
    <s v="Kalyanpur"/>
    <x v="727"/>
    <s v="GOMUKH DADHIYA-2"/>
    <s v="MPG"/>
    <s v="Direct"/>
    <n v="1388.65"/>
    <n v="62254.190000000017"/>
    <n v="1371.5300000000002"/>
    <n v="62720.801971346562"/>
    <n v="21.060000000000002"/>
    <n v="989.66408472222008"/>
    <n v="1392.5900000000001"/>
    <n v="63710.466056068784"/>
    <n v="62254.190000000017"/>
    <n v="0"/>
    <n v="989.66408472222008"/>
    <n v="1456.2760560687675"/>
    <n v="1723"/>
    <n v="0"/>
    <n v="0"/>
    <n v="59542"/>
    <n v="0"/>
    <n v="0"/>
    <n v="0"/>
    <n v="0"/>
    <n v="0"/>
    <n v="0"/>
    <n v="-2.3392418342745559E-2"/>
    <n v="37"/>
    <m/>
    <s v="Kalyanpur"/>
    <m/>
    <n v="0"/>
  </r>
  <r>
    <s v="Munger"/>
    <s v="17-23 Apr"/>
    <n v="1053"/>
    <s v="Kalyanpur"/>
    <x v="728"/>
    <s v="GOMUKH PREMNAGAR"/>
    <s v="MPG"/>
    <s v="Direct"/>
    <n v="1213.5"/>
    <n v="47870.8"/>
    <n v="1194.0999999999999"/>
    <n v="48078.29576525851"/>
    <n v="5.6800000000000006"/>
    <n v="218.65227872400004"/>
    <n v="1199.78"/>
    <n v="48296.948043982513"/>
    <n v="47870.8"/>
    <n v="0"/>
    <n v="217.59888625200003"/>
    <n v="426.14804398250999"/>
    <n v="3021"/>
    <n v="0"/>
    <n v="0"/>
    <n v="44631"/>
    <n v="1"/>
    <n v="0"/>
    <n v="0"/>
    <n v="0"/>
    <n v="0"/>
    <n v="0"/>
    <n v="-8.9020455890127161E-3"/>
    <n v="29"/>
    <m/>
    <s v="Kalyanpur"/>
    <m/>
    <n v="0"/>
  </r>
  <r>
    <s v="Munger"/>
    <s v="17-23 Apr"/>
    <n v="1053"/>
    <s v="Kalyanpur"/>
    <x v="729"/>
    <s v="GOMUKH JITWARIYA W-6"/>
    <s v="MPG"/>
    <s v="Direct"/>
    <n v="1669.4499999999998"/>
    <n v="66843.44"/>
    <n v="1646.8"/>
    <n v="66223.516280089869"/>
    <n v="14.829999999999998"/>
    <n v="604.82064495600014"/>
    <n v="1661.6299999999999"/>
    <n v="66828.336925045864"/>
    <n v="66828.336925045864"/>
    <n v="0"/>
    <n v="604.82064495600014"/>
    <n v="0"/>
    <n v="0"/>
    <n v="0"/>
    <n v="0"/>
    <n v="66225"/>
    <n v="0"/>
    <n v="0"/>
    <n v="14"/>
    <n v="0"/>
    <n v="0"/>
    <n v="0"/>
    <n v="2.2594700323829412E-4"/>
    <n v="39"/>
    <m/>
    <s v="Kalyanpur"/>
    <m/>
    <n v="0"/>
  </r>
  <r>
    <s v="Munger"/>
    <s v="17-23 Apr"/>
    <n v="1053"/>
    <s v="Kalyanpur"/>
    <x v="730"/>
    <s v="GOMUKH SUSTA"/>
    <s v="MPG"/>
    <s v="Direct"/>
    <n v="844.44999999999993"/>
    <n v="35778.12000000001"/>
    <n v="847.10000000000014"/>
    <n v="36255.939811811819"/>
    <n v="0"/>
    <n v="0"/>
    <n v="847.10000000000014"/>
    <n v="36255.939811811819"/>
    <n v="35778.12000000001"/>
    <n v="967"/>
    <n v="0"/>
    <n v="477.8198118118089"/>
    <n v="5199"/>
    <n v="0"/>
    <n v="0"/>
    <n v="29612"/>
    <n v="0"/>
    <n v="0"/>
    <n v="0"/>
    <s v="Release1"/>
    <n v="0"/>
    <n v="0"/>
    <n v="-1.3355084387100518E-2"/>
    <n v="25"/>
    <m/>
    <s v="Kalyanpur"/>
    <m/>
    <n v="0"/>
  </r>
  <r>
    <s v="Munger"/>
    <s v="17-23 Apr"/>
    <n v="1053"/>
    <s v="Kalyanpur"/>
    <x v="731"/>
    <s v="KHANPUR SOBHA"/>
    <s v="vlc"/>
    <s v="Indirect"/>
    <n v="263.14999999999998"/>
    <n v="9801.86"/>
    <n v="0"/>
    <n v="0"/>
    <n v="0"/>
    <n v="0"/>
    <n v="0"/>
    <n v="0"/>
    <n v="9801.86"/>
    <n v="0"/>
    <n v="0"/>
    <n v="0"/>
    <n v="3000"/>
    <n v="0"/>
    <n v="0"/>
    <n v="0"/>
    <n v="0"/>
    <n v="6801.8600000000006"/>
    <n v="0"/>
    <n v="0"/>
    <n v="325.43739623788719"/>
    <n v="37.592857142857142"/>
    <n v="0"/>
    <n v="0"/>
    <m/>
    <s v="Kalyanpur"/>
    <m/>
    <n v="0"/>
  </r>
  <r>
    <s v="Munger"/>
    <s v="17-23 Apr"/>
    <n v="1012"/>
    <s v="DalsinghSarai"/>
    <x v="732"/>
    <s v="BHATGAMA W-5"/>
    <s v="vlc"/>
    <s v="Indirect"/>
    <n v="285.35000000000002"/>
    <n v="9712.9"/>
    <n v="0"/>
    <n v="0"/>
    <n v="0"/>
    <n v="0"/>
    <n v="0"/>
    <n v="0"/>
    <n v="9712.9"/>
    <n v="0"/>
    <n v="0"/>
    <n v="0"/>
    <n v="0"/>
    <n v="0"/>
    <n v="0"/>
    <n v="0"/>
    <n v="0"/>
    <n v="9712.9"/>
    <n v="0"/>
    <n v="0"/>
    <n v="282.28168810233046"/>
    <n v="40.76428571428572"/>
    <n v="0"/>
    <n v="0"/>
    <m/>
    <s v="DalsinghSarai"/>
    <m/>
    <n v="0"/>
  </r>
  <r>
    <s v="Munger"/>
    <s v="17-23 Apr"/>
    <n v="1053"/>
    <s v="Kalyanpur"/>
    <x v="733"/>
    <s v="GOMUKH TOKE"/>
    <s v="MPG"/>
    <s v="Direct"/>
    <n v="283.25"/>
    <n v="14135.28"/>
    <n v="282.70000000000005"/>
    <n v="14369.130223647628"/>
    <n v="7.4499999999999993"/>
    <n v="352.00061716840003"/>
    <n v="290.15000000000003"/>
    <n v="14721.130840816028"/>
    <n v="14135.28"/>
    <n v="0"/>
    <n v="352.00061716840003"/>
    <n v="585.8508408160269"/>
    <n v="0"/>
    <n v="0"/>
    <n v="0"/>
    <n v="13783"/>
    <n v="0"/>
    <n v="0"/>
    <n v="0"/>
    <n v="0"/>
    <n v="415.94901606354813"/>
    <n v="40.464285714285715"/>
    <n v="-4.1446001834843517E-2"/>
    <n v="16"/>
    <m/>
    <s v="Kalyanpur"/>
    <m/>
    <n v="0"/>
  </r>
  <r>
    <s v="Munger"/>
    <s v="17-23 Apr"/>
    <n v="1053"/>
    <s v="Kalyanpur"/>
    <x v="734"/>
    <s v="GOMUKH SHIVNAGAR"/>
    <s v="MPG"/>
    <s v="Direct"/>
    <n v="936.14999999999986"/>
    <n v="35887.62999999999"/>
    <n v="719.1"/>
    <n v="26903.526658421662"/>
    <n v="226.29999999999998"/>
    <n v="8971.7771403559436"/>
    <n v="945.4"/>
    <n v="35875.303798777604"/>
    <n v="35875.303798777604"/>
    <n v="0"/>
    <n v="625.34548101342"/>
    <n v="0"/>
    <n v="1437"/>
    <n v="0"/>
    <n v="0"/>
    <n v="25467"/>
    <n v="8346"/>
    <n v="0"/>
    <n v="12"/>
    <n v="0"/>
    <n v="0"/>
    <n v="0"/>
    <n v="3.4346657113846373E-4"/>
    <n v="19"/>
    <m/>
    <s v="Kalyanpur"/>
    <m/>
    <n v="0"/>
  </r>
  <r>
    <s v="Munger"/>
    <s v="17-23 Apr"/>
    <n v="1053"/>
    <s v="Kalyanpur"/>
    <x v="735"/>
    <s v="GOMUKH BAKHITIYARPUR"/>
    <s v="MPG"/>
    <s v="Direct"/>
    <n v="1108.95"/>
    <n v="47861.87"/>
    <n v="1093"/>
    <n v="46712.574478330775"/>
    <n v="26.5"/>
    <n v="1127.42846568"/>
    <n v="1119.5"/>
    <n v="47840.002944010776"/>
    <n v="47840.002944010776"/>
    <n v="0"/>
    <n v="1127.42846568"/>
    <n v="0"/>
    <n v="8964"/>
    <n v="0"/>
    <n v="0"/>
    <n v="37749"/>
    <n v="0"/>
    <n v="0"/>
    <n v="21"/>
    <n v="0"/>
    <n v="0"/>
    <n v="0"/>
    <n v="4.5687842930556373E-4"/>
    <n v="34"/>
    <m/>
    <s v="Kalyanpur"/>
    <m/>
    <n v="0"/>
  </r>
  <r>
    <s v="Munger"/>
    <s v="17-23 Apr"/>
    <n v="1053"/>
    <s v="Kalyanpur"/>
    <x v="736"/>
    <s v="GOMUKH BHARJA"/>
    <s v="MPG"/>
    <s v="Direct"/>
    <n v="408.75"/>
    <n v="19758.98"/>
    <n v="416.10000000000008"/>
    <n v="19200.653380578606"/>
    <n v="10"/>
    <n v="536.13646800000015"/>
    <n v="426.10000000000008"/>
    <n v="19736.789848578606"/>
    <n v="19736.789848578606"/>
    <n v="0"/>
    <n v="536.13646800000015"/>
    <n v="0"/>
    <n v="1350"/>
    <n v="349.57668387096788"/>
    <n v="0"/>
    <n v="17501"/>
    <n v="0"/>
    <n v="0"/>
    <n v="22"/>
    <n v="0"/>
    <n v="281.58057125382265"/>
    <n v="58.392857142857146"/>
    <n v="1.1230413422855451E-3"/>
    <n v="3"/>
    <m/>
    <s v="Kalyanpur"/>
    <m/>
    <n v="0"/>
  </r>
  <r>
    <s v="Munger"/>
    <s v="17-23 Apr"/>
    <n v="1053"/>
    <s v="Kalyanpur"/>
    <x v="737"/>
    <s v="GOMUKH NAWABGANJ"/>
    <s v="MPG"/>
    <s v="Direct"/>
    <n v="602.54999999999995"/>
    <n v="25174.090000000004"/>
    <n v="595.70000000000005"/>
    <n v="24639.023678146823"/>
    <n v="11.200000000000001"/>
    <n v="520.2530280098"/>
    <n v="606.90000000000009"/>
    <n v="25159.276706156623"/>
    <n v="25159.276706156623"/>
    <n v="0"/>
    <n v="520.2530280098"/>
    <n v="0"/>
    <n v="2419"/>
    <n v="0"/>
    <n v="0"/>
    <n v="22221"/>
    <n v="0"/>
    <n v="0"/>
    <n v="14"/>
    <s v="Release1"/>
    <n v="81.427767670732777"/>
    <n v="86.078571428571422"/>
    <n v="5.8843413380110104E-4"/>
    <n v="19"/>
    <m/>
    <s v="Kalyanpur"/>
    <m/>
    <n v="0"/>
  </r>
  <r>
    <s v="Munger"/>
    <s v="17-23 Apr"/>
    <n v="1053"/>
    <s v="Kalyanpur"/>
    <x v="738"/>
    <s v="Gomukh Somnaha Naya Tola"/>
    <s v="vlc"/>
    <s v="Direct"/>
    <n v="45.199999999999996"/>
    <n v="1700.0800000000002"/>
    <n v="20.9"/>
    <n v="1697.9110493751998"/>
    <n v="0"/>
    <n v="0"/>
    <n v="20.9"/>
    <n v="1697.9110493751998"/>
    <n v="1697.9110493751998"/>
    <n v="0"/>
    <n v="0"/>
    <n v="0"/>
    <n v="0"/>
    <n v="179.13926129032262"/>
    <n v="0"/>
    <n v="1519"/>
    <n v="0"/>
    <n v="0"/>
    <n v="2"/>
    <n v="0"/>
    <n v="492.57185132743365"/>
    <n v="6.4571428571428564"/>
    <n v="1.2757932713756677E-3"/>
    <n v="1"/>
    <m/>
    <s v="Kalyanpur"/>
    <m/>
    <n v="0"/>
  </r>
  <r>
    <s v="Munger"/>
    <s v="17-23 Apr"/>
    <n v="1053"/>
    <s v="Kalyanpur"/>
    <x v="739"/>
    <s v="GOMUKH CHAKKI"/>
    <s v="MPG"/>
    <s v="Direct"/>
    <n v="324.84999999999997"/>
    <n v="13830.690000000002"/>
    <n v="296"/>
    <n v="13192.118770399098"/>
    <n v="13.1"/>
    <n v="600.07443692320021"/>
    <n v="309.10000000000002"/>
    <n v="13792.193207322298"/>
    <n v="13792.193207322298"/>
    <n v="0"/>
    <n v="600.07443692320021"/>
    <n v="0"/>
    <n v="0"/>
    <n v="0"/>
    <n v="0"/>
    <n v="13192"/>
    <n v="0"/>
    <n v="0"/>
    <n v="39"/>
    <s v="Release1"/>
    <n v="319.44487323380037"/>
    <n v="46.407142857142851"/>
    <n v="2.7834325458602881E-3"/>
    <n v="16"/>
    <m/>
    <s v="Kalyanpur"/>
    <m/>
    <n v="0"/>
  </r>
  <r>
    <s v="Munger"/>
    <s v="17-23 Apr"/>
    <n v="1053"/>
    <s v="Kalyanpur"/>
    <x v="740"/>
    <s v="GOMUKH LAKSHMAN NAGAR"/>
    <s v="MPG"/>
    <s v="Direct"/>
    <n v="348.2000000000001"/>
    <n v="14890.15"/>
    <n v="347.40000000000003"/>
    <n v="15077.060409963648"/>
    <n v="1.8"/>
    <n v="75.046495391999997"/>
    <n v="349.20000000000005"/>
    <n v="15152.106905355648"/>
    <n v="14890.15"/>
    <n v="0"/>
    <n v="75.046495391999997"/>
    <n v="261.9569053556479"/>
    <n v="0"/>
    <n v="0"/>
    <n v="0"/>
    <n v="14815"/>
    <n v="0"/>
    <n v="0"/>
    <n v="0"/>
    <s v="Release1"/>
    <n v="300.88195117748404"/>
    <n v="49.742857142857154"/>
    <n v="-1.7592630386909999E-2"/>
    <n v="15"/>
    <m/>
    <s v="Kalyanpur"/>
    <m/>
    <n v="0"/>
  </r>
  <r>
    <s v="Munger"/>
    <s v="17-23 Apr"/>
    <n v="1053"/>
    <s v="Kalyanpur"/>
    <x v="741"/>
    <s v="GOMUKH KOTHIYA"/>
    <s v="MPG"/>
    <s v="Direct"/>
    <n v="101.05"/>
    <n v="3975.150000000001"/>
    <n v="99.9"/>
    <n v="3653.5288336512804"/>
    <n v="0"/>
    <n v="0"/>
    <n v="99.9"/>
    <n v="3653.5288336512804"/>
    <n v="3653.5288336512804"/>
    <n v="0"/>
    <n v="0"/>
    <n v="0"/>
    <n v="325"/>
    <n v="0"/>
    <n v="0"/>
    <n v="3328"/>
    <n v="0"/>
    <n v="0"/>
    <n v="322"/>
    <n v="0"/>
    <n v="471.23524839188542"/>
    <n v="14.435714285714285"/>
    <n v="8.0907932115447362E-2"/>
    <n v="4"/>
    <m/>
    <s v="Kalyanpur"/>
    <m/>
    <n v="0"/>
  </r>
  <r>
    <s v="Munger"/>
    <s v="17-23 Apr"/>
    <n v="1053"/>
    <s v="Kalyanpur"/>
    <x v="742"/>
    <s v="GOMUKH JHAHURI"/>
    <s v="MPG"/>
    <s v="Direct"/>
    <n v="1327.7500000000002"/>
    <n v="56285.909999999996"/>
    <n v="1314.6000000000004"/>
    <n v="56439.287746441711"/>
    <n v="23.900000000000002"/>
    <n v="994.66745637600013"/>
    <n v="1338.5000000000005"/>
    <n v="57433.955202817713"/>
    <n v="56285.909999999996"/>
    <n v="0"/>
    <n v="994.66745637600013"/>
    <n v="1148.0452028177169"/>
    <n v="1350"/>
    <n v="0"/>
    <n v="0"/>
    <n v="53941"/>
    <n v="0"/>
    <n v="0"/>
    <n v="0"/>
    <s v="Release1"/>
    <n v="0"/>
    <n v="0"/>
    <n v="-2.0396671259605058E-2"/>
    <n v="29"/>
    <m/>
    <s v="Kalyanpur"/>
    <m/>
    <n v="0"/>
  </r>
  <r>
    <s v="Munger"/>
    <s v="17-23 Apr"/>
    <n v="1053"/>
    <s v="Kalyanpur"/>
    <x v="743"/>
    <s v="Belsandi Dihtola"/>
    <s v="vlc"/>
    <s v="Indirect"/>
    <n v="232.20000000000002"/>
    <n v="6960.84"/>
    <n v="0"/>
    <n v="0"/>
    <n v="0"/>
    <n v="0"/>
    <n v="0"/>
    <n v="0"/>
    <n v="6960.84"/>
    <n v="0"/>
    <n v="0"/>
    <n v="0"/>
    <n v="0"/>
    <n v="0"/>
    <n v="0"/>
    <n v="0"/>
    <n v="0"/>
    <n v="6960.84"/>
    <n v="0"/>
    <n v="0"/>
    <n v="280.47208888888889"/>
    <n v="33.171428571428571"/>
    <n v="0"/>
    <n v="0"/>
    <m/>
    <s v="Kalyanpur"/>
    <m/>
    <n v="0"/>
  </r>
  <r>
    <s v="Munger"/>
    <s v="17-23 Apr"/>
    <n v="1053"/>
    <s v="Kalyanpur"/>
    <x v="744"/>
    <s v="GOMUKH Gopalpur Ward 1"/>
    <s v="MPG"/>
    <s v="Direct"/>
    <n v="169.15000000000003"/>
    <n v="6417.6399999999994"/>
    <n v="169.91999999999996"/>
    <n v="6170.0373484398006"/>
    <n v="1.2900000000000003"/>
    <n v="47.073933720000007"/>
    <n v="171.20999999999995"/>
    <n v="6217.1112821598008"/>
    <n v="6217.1112821598008"/>
    <n v="0"/>
    <n v="47.073933720000007"/>
    <n v="0"/>
    <n v="0"/>
    <n v="0"/>
    <n v="0"/>
    <n v="6170"/>
    <n v="0"/>
    <n v="0"/>
    <n v="201"/>
    <s v="Release1"/>
    <n v="402.81456624297948"/>
    <n v="24.164285714285718"/>
    <n v="3.1246489027149955E-2"/>
    <n v="4"/>
    <m/>
    <s v="Kalyanpur"/>
    <m/>
    <n v="0"/>
  </r>
  <r>
    <s v="Munger"/>
    <s v="17-23 Apr"/>
    <n v="1053"/>
    <s v="Kalyanpur"/>
    <x v="745"/>
    <s v="GOMUKH Keotsa"/>
    <s v="MPG"/>
    <s v="Direct"/>
    <n v="403.5"/>
    <n v="14240.06"/>
    <n v="404.79"/>
    <n v="14448.920420884016"/>
    <n v="5.22"/>
    <n v="184.97265785063999"/>
    <n v="410.01000000000005"/>
    <n v="14633.893078734656"/>
    <n v="14240.06"/>
    <n v="0"/>
    <n v="184.97265785063999"/>
    <n v="393.83307873465674"/>
    <n v="0"/>
    <n v="0"/>
    <n v="0"/>
    <n v="14055"/>
    <n v="0"/>
    <n v="0"/>
    <n v="0"/>
    <n v="0"/>
    <n v="209.2777095415118"/>
    <n v="57.642857142857146"/>
    <n v="-2.7656700795829284E-2"/>
    <n v="7"/>
    <m/>
    <s v="Kalyanpur"/>
    <m/>
    <n v="0"/>
  </r>
  <r>
    <s v="Munger"/>
    <s v="17-23 Apr"/>
    <n v="1053"/>
    <s v="Kalyanpur"/>
    <x v="1010"/>
    <s v="Gomukh NAMAPUR East"/>
    <s v="vlc"/>
    <s v="Indirect"/>
    <n v="242.85"/>
    <n v="12293.66"/>
    <n v="0"/>
    <n v="0"/>
    <n v="0"/>
    <n v="0"/>
    <n v="0"/>
    <n v="0"/>
    <n v="12293.66"/>
    <n v="0"/>
    <n v="0"/>
    <n v="0"/>
    <n v="0"/>
    <n v="0"/>
    <n v="0"/>
    <n v="0"/>
    <n v="0"/>
    <n v="12293.66"/>
    <n v="0"/>
    <n v="0"/>
    <n v="462.84098571134439"/>
    <n v="34.692857142857143"/>
    <n v="0"/>
    <n v="0"/>
    <m/>
    <s v="Kalyanpur"/>
    <m/>
    <n v="0"/>
  </r>
  <r>
    <s v="Munger"/>
    <s v="17-23 Apr"/>
    <n v="1053"/>
    <s v="Kalyanpur"/>
    <x v="746"/>
    <s v="GOMUKH Waini"/>
    <s v="MPG"/>
    <s v="Direct"/>
    <n v="187.8"/>
    <n v="7519.0800000000017"/>
    <n v="185.97000000000003"/>
    <n v="7368.994609589502"/>
    <n v="3.5900000000000003"/>
    <n v="135.43736554260002"/>
    <n v="189.56000000000003"/>
    <n v="7504.4319751321018"/>
    <n v="7504.4319751321018"/>
    <n v="0"/>
    <n v="135.43736554260002"/>
    <n v="0"/>
    <n v="0"/>
    <n v="0"/>
    <n v="0"/>
    <n v="7369"/>
    <n v="0"/>
    <n v="0"/>
    <n v="15"/>
    <n v="0"/>
    <n v="410.14619552715669"/>
    <n v="26.828571428571429"/>
    <n v="1.9481139804204697E-3"/>
    <n v="4"/>
    <m/>
    <s v="Kalyanpur"/>
    <m/>
    <n v="0"/>
  </r>
  <r>
    <s v="Munger"/>
    <s v="17-23 Apr"/>
    <n v="1053"/>
    <s v="Kalyanpur"/>
    <x v="747"/>
    <s v="GOMUKH SAKARI"/>
    <s v="MPG"/>
    <s v="Direct"/>
    <n v="1393.0999999999997"/>
    <n v="58745.600000000013"/>
    <n v="1386.7899999999995"/>
    <n v="58323.583936777599"/>
    <n v="9.59"/>
    <n v="413.74514803980009"/>
    <n v="1396.3799999999994"/>
    <n v="58737.3290848174"/>
    <n v="58737.3290848174"/>
    <n v="0"/>
    <n v="413.74514803980009"/>
    <n v="0"/>
    <n v="188"/>
    <n v="0"/>
    <n v="0"/>
    <n v="58135"/>
    <n v="0"/>
    <n v="0"/>
    <n v="9"/>
    <n v="0"/>
    <n v="0"/>
    <n v="0"/>
    <n v="1.4079207945127723E-4"/>
    <n v="11"/>
    <m/>
    <s v="Kalyanpur"/>
    <m/>
    <n v="0"/>
  </r>
  <r>
    <s v="Munger"/>
    <s v="17-23 Apr"/>
    <n v="1053"/>
    <s v="Kalyanpur"/>
    <x v="748"/>
    <s v="GOMUKH DHOBGAMA"/>
    <s v="MPG"/>
    <s v="Direct"/>
    <n v="830.55"/>
    <n v="31935.239999999994"/>
    <n v="820.2600000000001"/>
    <n v="31252.253066024809"/>
    <n v="18.399999999999999"/>
    <n v="708.19980739200014"/>
    <n v="838.66000000000008"/>
    <n v="31960.452873416809"/>
    <n v="31935.239999999994"/>
    <n v="0"/>
    <n v="708.19980739200014"/>
    <n v="25.212873416814546"/>
    <n v="0"/>
    <n v="0"/>
    <n v="0"/>
    <n v="31227"/>
    <n v="0"/>
    <n v="0"/>
    <n v="0"/>
    <n v="0"/>
    <n v="0"/>
    <n v="0"/>
    <n v="-7.8950004499150623E-4"/>
    <n v="20"/>
    <m/>
    <s v="Kalyanpur"/>
    <m/>
    <n v="0"/>
  </r>
  <r>
    <s v="Munger"/>
    <s v="17-23 Apr"/>
    <n v="1053"/>
    <s v="Kalyanpur"/>
    <x v="1011"/>
    <s v="GOMUKH BHUSKOUL"/>
    <s v="MPG"/>
    <s v="Direct"/>
    <n v="640.20000000000005"/>
    <n v="26672.5"/>
    <n v="673.14999999999986"/>
    <n v="25969.375803348143"/>
    <n v="14.540000000000001"/>
    <n v="590.6092769280001"/>
    <n v="687.68999999999983"/>
    <n v="26559.985080276143"/>
    <n v="26559.985080276143"/>
    <n v="0"/>
    <n v="590.6092769280001"/>
    <n v="0"/>
    <n v="275"/>
    <n v="0"/>
    <n v="0"/>
    <n v="25695"/>
    <n v="0"/>
    <n v="0"/>
    <n v="112"/>
    <n v="0"/>
    <n v="49.828662917838095"/>
    <n v="91.45714285714287"/>
    <n v="4.218386717550174E-3"/>
    <n v="20"/>
    <m/>
    <s v="Kalyanpur"/>
    <m/>
    <n v="0"/>
  </r>
  <r>
    <s v="Munger"/>
    <s v="17-23 Apr"/>
    <n v="1053"/>
    <s v="Kalyanpur"/>
    <x v="749"/>
    <s v="GOMUKH BIRSINGHPUR"/>
    <s v="MPG"/>
    <s v="Direct"/>
    <n v="239.54999999999998"/>
    <n v="9495.9499999999971"/>
    <n v="240.17"/>
    <n v="9392.2489615680006"/>
    <n v="2.5"/>
    <n v="99.66280500000002"/>
    <n v="242.67"/>
    <n v="9491.9117665680005"/>
    <n v="9491.9117665680005"/>
    <n v="0"/>
    <n v="99.66280500000002"/>
    <n v="0"/>
    <n v="0"/>
    <n v="0"/>
    <n v="0"/>
    <n v="9392"/>
    <n v="0"/>
    <n v="0"/>
    <n v="4"/>
    <n v="0"/>
    <n v="365.05198726779372"/>
    <n v="34.221428571428568"/>
    <n v="4.2525849778027059E-4"/>
    <n v="2"/>
    <m/>
    <s v="Kalyanpur"/>
    <m/>
    <n v="0"/>
  </r>
  <r>
    <s v="Munger"/>
    <s v="17-23 Apr"/>
    <n v="1053"/>
    <s v="Kalyanpur"/>
    <x v="1060"/>
    <s v="GOMUKH GHOSRAWAN"/>
    <s v="MPG"/>
    <s v="Direct"/>
    <n v="125.15"/>
    <n v="4744.1099999999997"/>
    <n v="123.86"/>
    <n v="4721.6137033296"/>
    <n v="0.65999999999999992"/>
    <n v="25.518967056000001"/>
    <n v="124.52"/>
    <n v="4747.1326703856002"/>
    <n v="4744.1099999999997"/>
    <n v="0"/>
    <n v="25.518967056000001"/>
    <n v="3.022670385600577"/>
    <n v="0"/>
    <n v="0"/>
    <n v="0"/>
    <n v="4719"/>
    <n v="0"/>
    <n v="0"/>
    <n v="0"/>
    <n v="0"/>
    <n v="435.82127582900512"/>
    <n v="17.87857142857143"/>
    <n v="-6.3714171585409641E-4"/>
    <n v="7"/>
    <m/>
    <s v="Kalyanpur"/>
    <m/>
    <n v="0"/>
  </r>
  <r>
    <s v="Munger"/>
    <s v="17-23 Apr"/>
    <n v="1053"/>
    <s v="Kalyanpur"/>
    <x v="1040"/>
    <s v="GOMUKH DHROOVGAMA W-12"/>
    <s v="vlc"/>
    <s v="Indirect"/>
    <n v="265.2"/>
    <n v="9354.91"/>
    <n v="0"/>
    <n v="0"/>
    <n v="0"/>
    <n v="0"/>
    <n v="0"/>
    <n v="0"/>
    <n v="9354.91"/>
    <n v="0"/>
    <n v="0"/>
    <n v="0"/>
    <n v="0"/>
    <n v="0"/>
    <n v="0"/>
    <n v="0"/>
    <n v="0"/>
    <n v="9354.91"/>
    <n v="0"/>
    <n v="0"/>
    <n v="306.75074419306191"/>
    <n v="37.885714285714286"/>
    <n v="0"/>
    <n v="0"/>
    <m/>
    <s v="Kalyanpur"/>
    <m/>
    <n v="0"/>
  </r>
  <r>
    <s v="Munger"/>
    <s v="17-23 Apr"/>
    <n v="1054"/>
    <s v="Alauli "/>
    <x v="750"/>
    <s v="GOMUKH ANANDPUR PARAS 2"/>
    <s v="MPG"/>
    <s v="Direct"/>
    <n v="2931.7000000000003"/>
    <n v="120143.14"/>
    <n v="2931.7000000000003"/>
    <n v="120141.25333055999"/>
    <n v="0"/>
    <n v="0"/>
    <n v="2931.7000000000003"/>
    <n v="120141.25333055999"/>
    <n v="120141.25333055999"/>
    <n v="0"/>
    <n v="0"/>
    <n v="0"/>
    <n v="0"/>
    <n v="209.8727999999997"/>
    <n v="0"/>
    <n v="119931"/>
    <n v="0"/>
    <n v="0"/>
    <n v="2"/>
    <n v="0"/>
    <n v="0"/>
    <n v="0"/>
    <n v="1.5703513658838861E-5"/>
    <n v="1"/>
    <m/>
    <s v="Alauli "/>
    <m/>
    <n v="0"/>
  </r>
  <r>
    <s v="Munger"/>
    <s v="17-23 Apr"/>
    <n v="1054"/>
    <s v="Alauli "/>
    <x v="751"/>
    <s v="GOMUKH GADBANNI"/>
    <s v="MPG"/>
    <s v="Direct"/>
    <n v="228.10000000000002"/>
    <n v="9038.8899999999976"/>
    <n v="232.61"/>
    <n v="8332.1460615304168"/>
    <n v="0"/>
    <n v="0"/>
    <n v="232.61"/>
    <n v="8332.1460615304168"/>
    <n v="8332.1460615304168"/>
    <n v="0"/>
    <n v="0"/>
    <n v="0"/>
    <n v="0"/>
    <n v="142.4"/>
    <n v="0"/>
    <n v="8191"/>
    <n v="0"/>
    <n v="0"/>
    <n v="705"/>
    <n v="0"/>
    <n v="373.99843849188937"/>
    <n v="32.585714285714289"/>
    <n v="7.8189239881177999E-2"/>
    <n v="10"/>
    <m/>
    <s v="Alauli "/>
    <m/>
    <n v="0"/>
  </r>
  <r>
    <s v="Munger"/>
    <s v="17-23 Apr"/>
    <n v="1054"/>
    <s v="Alauli "/>
    <x v="752"/>
    <s v="GOMUKH PARRI"/>
    <s v="MPG"/>
    <s v="Direct"/>
    <n v="225.60000000000002"/>
    <n v="10896.659999999998"/>
    <n v="254.71000000000004"/>
    <n v="13147.1611840396"/>
    <n v="0"/>
    <n v="0"/>
    <n v="254.71000000000004"/>
    <n v="13147.1611840396"/>
    <n v="10896.659999999998"/>
    <n v="0"/>
    <n v="0"/>
    <n v="2250.5011840396019"/>
    <n v="0"/>
    <n v="0"/>
    <n v="0"/>
    <n v="10897"/>
    <n v="0"/>
    <n v="0"/>
    <n v="0"/>
    <n v="0"/>
    <n v="458.27797021276581"/>
    <n v="32.228571428571435"/>
    <n v="-0.20653128426872108"/>
    <n v="10"/>
    <m/>
    <s v="Alauli "/>
    <m/>
    <n v="0"/>
  </r>
  <r>
    <s v="Munger"/>
    <s v="17-23 Apr"/>
    <n v="1054"/>
    <s v="Alauli "/>
    <x v="753"/>
    <s v="GOMUKH BHIKHARI GHAT"/>
    <s v="MPG"/>
    <s v="Direct"/>
    <n v="1262.8"/>
    <n v="52999.4"/>
    <n v="1240.8699999999997"/>
    <n v="52920.578779848613"/>
    <n v="0"/>
    <n v="0"/>
    <n v="1240.8699999999997"/>
    <n v="52920.578779848613"/>
    <n v="52920.578779848613"/>
    <n v="0"/>
    <n v="0"/>
    <n v="0"/>
    <n v="0"/>
    <n v="176.15"/>
    <n v="0"/>
    <n v="52745"/>
    <n v="0"/>
    <n v="0"/>
    <n v="78"/>
    <n v="0"/>
    <n v="0"/>
    <n v="0"/>
    <n v="1.4872096693809523E-3"/>
    <n v="38"/>
    <m/>
    <s v="Alauli "/>
    <m/>
    <n v="0"/>
  </r>
  <r>
    <s v="Munger"/>
    <s v="17-23 Apr"/>
    <n v="1054"/>
    <s v="Alauli "/>
    <x v="754"/>
    <s v="Vikash Kumar"/>
    <s v="vlc"/>
    <s v="Indirect"/>
    <n v="1510.1"/>
    <n v="62624.63"/>
    <n v="0"/>
    <n v="0"/>
    <n v="0"/>
    <n v="0"/>
    <n v="0"/>
    <n v="0"/>
    <n v="62624.63"/>
    <n v="0"/>
    <n v="0"/>
    <n v="0"/>
    <n v="0"/>
    <n v="0"/>
    <n v="0"/>
    <n v="0"/>
    <n v="0"/>
    <n v="62624.63"/>
    <n v="0"/>
    <n v="0"/>
    <n v="0"/>
    <n v="0"/>
    <n v="0"/>
    <n v="0"/>
    <m/>
    <s v="Alauli "/>
    <m/>
    <n v="0"/>
  </r>
  <r>
    <s v="Munger"/>
    <s v="17-23 Apr"/>
    <n v="1054"/>
    <s v="Alauli "/>
    <x v="755"/>
    <s v="Rajkishore Yadav"/>
    <s v="vlc"/>
    <s v="Indirect"/>
    <n v="268.7"/>
    <n v="9592.1899999999987"/>
    <n v="0"/>
    <n v="0"/>
    <n v="0"/>
    <n v="0"/>
    <n v="0"/>
    <n v="0"/>
    <n v="9592.1899999999987"/>
    <n v="0"/>
    <n v="0"/>
    <n v="0"/>
    <n v="0"/>
    <n v="0"/>
    <n v="0"/>
    <n v="0"/>
    <n v="0"/>
    <n v="9592.1899999999987"/>
    <n v="0"/>
    <n v="0"/>
    <n v="307.93535891328617"/>
    <n v="38.385714285714286"/>
    <n v="0"/>
    <n v="0"/>
    <m/>
    <s v="Alauli "/>
    <m/>
    <n v="0"/>
  </r>
  <r>
    <s v="Munger"/>
    <s v="17-23 Apr"/>
    <n v="1054"/>
    <s v="Alauli "/>
    <x v="756"/>
    <s v="BHADAS VLC"/>
    <s v="vlc"/>
    <s v="Indirect"/>
    <n v="70.399999999999991"/>
    <n v="2680.9799999999996"/>
    <n v="0"/>
    <n v="0"/>
    <n v="0"/>
    <n v="0"/>
    <n v="0"/>
    <n v="0"/>
    <n v="2680.9799999999996"/>
    <n v="0"/>
    <n v="0"/>
    <n v="0"/>
    <n v="0"/>
    <n v="0"/>
    <n v="0"/>
    <n v="0"/>
    <n v="0"/>
    <n v="2680.9799999999996"/>
    <n v="0"/>
    <n v="0"/>
    <n v="479.52983181818178"/>
    <n v="10.057142857142855"/>
    <n v="0"/>
    <n v="0"/>
    <m/>
    <s v="Alauli "/>
    <m/>
    <n v="0"/>
  </r>
  <r>
    <s v="Munger"/>
    <s v="17-23 Apr"/>
    <n v="1054"/>
    <s v="Alauli "/>
    <x v="757"/>
    <s v="SUNIL KUMAR VLC"/>
    <s v="vlc"/>
    <s v="Indirect"/>
    <n v="191.6"/>
    <n v="7223.8"/>
    <n v="0"/>
    <n v="0"/>
    <n v="0"/>
    <n v="0"/>
    <n v="0"/>
    <n v="0"/>
    <n v="7223.8"/>
    <n v="0"/>
    <n v="0"/>
    <n v="0"/>
    <n v="0"/>
    <n v="0"/>
    <n v="0"/>
    <n v="0"/>
    <n v="0"/>
    <n v="7223.8"/>
    <n v="0"/>
    <n v="0"/>
    <n v="383.35907306889362"/>
    <n v="27.37142857142857"/>
    <n v="0"/>
    <n v="0"/>
    <m/>
    <s v="Alauli "/>
    <m/>
    <n v="0"/>
  </r>
  <r>
    <s v="Munger"/>
    <s v="17-23 Apr"/>
    <n v="1054"/>
    <s v="Alauli "/>
    <x v="758"/>
    <s v="GOMUKH BENHER"/>
    <s v="MPG"/>
    <s v="Direct"/>
    <n v="423.59999999999997"/>
    <n v="20261.649999999998"/>
    <n v="421.26000000000005"/>
    <n v="19973.377732893754"/>
    <n v="1.4300000000000002"/>
    <n v="68.161395091157004"/>
    <n v="422.69000000000005"/>
    <n v="20041.53912798491"/>
    <n v="20041.53912798491"/>
    <n v="0"/>
    <n v="68.161395091157004"/>
    <n v="0"/>
    <n v="0"/>
    <n v="0"/>
    <n v="0"/>
    <n v="19974"/>
    <n v="0"/>
    <n v="0"/>
    <n v="219"/>
    <n v="0"/>
    <n v="264.41548914069881"/>
    <n v="60.514285714285712"/>
    <n v="1.0863422871043958E-2"/>
    <n v="8"/>
    <m/>
    <s v="Alauli "/>
    <m/>
    <n v="0"/>
  </r>
  <r>
    <s v="Munger"/>
    <s v="17-23 Apr"/>
    <n v="1054"/>
    <s v="Alauli "/>
    <x v="759"/>
    <s v="GOMUKH LADORA"/>
    <s v="MPG"/>
    <s v="Direct"/>
    <n v="630.90000000000009"/>
    <n v="24320.61"/>
    <n v="612.69999999999993"/>
    <n v="32232.833942985279"/>
    <n v="0"/>
    <n v="0"/>
    <n v="612.69999999999993"/>
    <n v="32232.833942985279"/>
    <n v="24320.61"/>
    <n v="0"/>
    <n v="0"/>
    <n v="7912.223942985278"/>
    <n v="0"/>
    <n v="0"/>
    <n v="0"/>
    <n v="24321"/>
    <n v="0"/>
    <n v="0"/>
    <n v="0"/>
    <n v="0"/>
    <n v="53.274818544935691"/>
    <n v="90.128571428571448"/>
    <n v="-0.32532999554638137"/>
    <n v="3"/>
    <m/>
    <s v="Alauli "/>
    <m/>
    <n v="0"/>
  </r>
  <r>
    <s v="Munger"/>
    <s v="17-23 Apr"/>
    <n v="1054"/>
    <s v="Alauli "/>
    <x v="760"/>
    <s v="GOMUKH SAHSI"/>
    <s v="MPG"/>
    <s v="Direct"/>
    <n v="157.79999999999998"/>
    <n v="6662.0300000000007"/>
    <n v="160.54000000000002"/>
    <n v="7066.7647898495306"/>
    <n v="0"/>
    <n v="0"/>
    <n v="160.54000000000002"/>
    <n v="7066.7647898495306"/>
    <n v="6662.0300000000007"/>
    <n v="0"/>
    <n v="0"/>
    <n v="404.73478984952999"/>
    <n v="0"/>
    <n v="0"/>
    <n v="0"/>
    <n v="6662"/>
    <n v="0"/>
    <n v="0"/>
    <n v="0"/>
    <n v="0"/>
    <n v="457.81402610899886"/>
    <n v="22.542857142857141"/>
    <n v="-6.0752471821581402E-2"/>
    <n v="5"/>
    <m/>
    <s v="Alauli "/>
    <m/>
    <n v="0"/>
  </r>
  <r>
    <s v="Munger"/>
    <s v="17-23 Apr"/>
    <n v="1054"/>
    <s v="Alauli "/>
    <x v="761"/>
    <s v="Gomukh Chikni"/>
    <s v="MPG"/>
    <s v="Direct"/>
    <n v="200.89999999999998"/>
    <n v="7408.74"/>
    <n v="204.76999999999998"/>
    <n v="7550.2610686800017"/>
    <n v="0"/>
    <n v="0"/>
    <n v="204.76999999999998"/>
    <n v="7550.2610686800017"/>
    <n v="7408.74"/>
    <n v="0"/>
    <n v="0"/>
    <n v="141.52106868000192"/>
    <n v="0"/>
    <n v="0"/>
    <n v="0"/>
    <n v="7409"/>
    <n v="0"/>
    <n v="0"/>
    <n v="0"/>
    <n v="0"/>
    <n v="368.11370174216034"/>
    <n v="28.699999999999996"/>
    <n v="-1.9101907838580099E-2"/>
    <n v="1"/>
    <m/>
    <s v="Alauli "/>
    <m/>
    <n v="0"/>
  </r>
  <r>
    <s v="Munger"/>
    <s v="17-23 Apr"/>
    <n v="1054"/>
    <s v="Alauli "/>
    <x v="762"/>
    <s v="GOMUKH BUDWA"/>
    <s v="MPG"/>
    <s v="Direct"/>
    <n v="118.2"/>
    <n v="4048.95"/>
    <n v="126.75000000000001"/>
    <n v="4380.8267067501429"/>
    <n v="0"/>
    <n v="0"/>
    <n v="126.75000000000001"/>
    <n v="4380.8267067501429"/>
    <n v="4048.95"/>
    <n v="0"/>
    <n v="0"/>
    <n v="331.87670675014306"/>
    <n v="0"/>
    <n v="4.55"/>
    <n v="0"/>
    <n v="4044"/>
    <n v="0"/>
    <n v="0"/>
    <n v="0"/>
    <n v="0"/>
    <n v="398.59206598984764"/>
    <n v="16.885714285714286"/>
    <n v="-8.1966116338839226E-2"/>
    <n v="7"/>
    <m/>
    <s v="Alauli "/>
    <m/>
    <n v="0"/>
  </r>
  <r>
    <s v="Munger"/>
    <s v="17-23 Apr"/>
    <n v="1054"/>
    <s v="Alauli "/>
    <x v="763"/>
    <s v="GOMUKH GANGIYA"/>
    <s v="MPG"/>
    <s v="Indirect"/>
    <n v="496.9"/>
    <n v="17441.23"/>
    <n v="0"/>
    <n v="0"/>
    <n v="0"/>
    <n v="0"/>
    <n v="0"/>
    <n v="0"/>
    <n v="17441.23"/>
    <n v="0"/>
    <n v="0"/>
    <n v="0"/>
    <n v="0"/>
    <n v="100.39410000000024"/>
    <n v="0"/>
    <n v="0"/>
    <n v="0"/>
    <n v="17340.835899999998"/>
    <n v="0"/>
    <n v="0"/>
    <n v="142.57652698732144"/>
    <n v="70.98571428571428"/>
    <n v="0"/>
    <n v="0"/>
    <m/>
    <s v="Alauli "/>
    <m/>
    <n v="0"/>
  </r>
  <r>
    <s v="Munger"/>
    <s v="17-23 Apr"/>
    <n v="1054"/>
    <s v="Alauli "/>
    <x v="764"/>
    <s v="GOMUKH AMBA ICHARUA"/>
    <s v="MPG"/>
    <s v="Direct"/>
    <n v="622.00000000000011"/>
    <n v="24404.32"/>
    <n v="289.10000000000002"/>
    <n v="11480.511331080001"/>
    <n v="462.3"/>
    <n v="18166.28785488"/>
    <n v="751.40000000000009"/>
    <n v="29646.799185960001"/>
    <n v="24404.32"/>
    <n v="0"/>
    <n v="0"/>
    <n v="5242.4791859600009"/>
    <n v="0"/>
    <n v="0"/>
    <n v="0"/>
    <n v="6238"/>
    <n v="18166"/>
    <n v="0"/>
    <n v="0"/>
    <n v="0"/>
    <n v="61.206976205787669"/>
    <n v="88.857142857142875"/>
    <n v="-0.21481767105004365"/>
    <n v="5"/>
    <m/>
    <s v="Alauli "/>
    <m/>
    <n v="0"/>
  </r>
  <r>
    <s v="Munger"/>
    <s v="17-23 Apr"/>
    <n v="1054"/>
    <s v="Alauli "/>
    <x v="1012"/>
    <s v="RAJAURA VLC"/>
    <s v="vlc"/>
    <s v="Indirect"/>
    <n v="357.89999999999992"/>
    <n v="13596.25"/>
    <n v="0"/>
    <n v="0"/>
    <n v="0"/>
    <n v="0"/>
    <n v="0"/>
    <n v="0"/>
    <n v="13596.25"/>
    <n v="0"/>
    <n v="0"/>
    <n v="0"/>
    <n v="0"/>
    <n v="13.703651612903222"/>
    <n v="0"/>
    <n v="0"/>
    <n v="0"/>
    <n v="13582.546348387097"/>
    <n v="0"/>
    <n v="0"/>
    <n v="259.92048756635944"/>
    <n v="51.128571428571419"/>
    <n v="0"/>
    <n v="0"/>
    <m/>
    <s v="Alauli "/>
    <m/>
    <n v="0"/>
  </r>
  <r>
    <s v="Munger"/>
    <s v="17-23 Apr"/>
    <n v="1054"/>
    <s v="Alauli "/>
    <x v="765"/>
    <s v="MEGHAUNA VLC"/>
    <s v="vlc"/>
    <s v="Indirect"/>
    <n v="671.9"/>
    <n v="26761"/>
    <n v="0"/>
    <n v="0"/>
    <n v="0"/>
    <n v="0"/>
    <n v="0"/>
    <n v="0"/>
    <n v="26761"/>
    <n v="0"/>
    <n v="0"/>
    <n v="0"/>
    <n v="0"/>
    <n v="0"/>
    <n v="0"/>
    <n v="0"/>
    <n v="0"/>
    <n v="26761"/>
    <n v="0"/>
    <n v="0"/>
    <n v="22.383810090787353"/>
    <n v="95.98571428571428"/>
    <n v="0"/>
    <n v="0"/>
    <m/>
    <s v="Alauli "/>
    <m/>
    <n v="0"/>
  </r>
  <r>
    <s v="Munger"/>
    <s v="17-23 Apr"/>
    <n v="1054"/>
    <s v="Alauli "/>
    <x v="767"/>
    <s v="GOMUKH JWALAPUR"/>
    <s v="MPG"/>
    <s v="Direct"/>
    <n v="193.5"/>
    <n v="7296.06"/>
    <n v="398"/>
    <n v="16496.750556000003"/>
    <n v="0"/>
    <n v="0"/>
    <n v="398"/>
    <n v="16496.750556000003"/>
    <n v="7296.06"/>
    <n v="0"/>
    <n v="0"/>
    <n v="9200.6905560000014"/>
    <n v="0"/>
    <n v="16.939821428571406"/>
    <n v="0"/>
    <n v="7279"/>
    <n v="0"/>
    <n v="0"/>
    <n v="0"/>
    <n v="0"/>
    <n v="381.95911007751943"/>
    <n v="27.642857142857142"/>
    <n v="-1.2610491903849477"/>
    <n v="1"/>
    <m/>
    <s v="Alauli "/>
    <m/>
    <n v="0"/>
  </r>
  <r>
    <s v="Munger"/>
    <s v="17-23 Apr"/>
    <n v="1054"/>
    <s v="Alauli "/>
    <x v="768"/>
    <s v="GOMUKH MATHURAPUR"/>
    <s v="MPG"/>
    <s v="Direct"/>
    <n v="223.09999999999997"/>
    <n v="8075.0400000000009"/>
    <n v="225"/>
    <n v="9207.2376000000022"/>
    <n v="0"/>
    <n v="0"/>
    <n v="225"/>
    <n v="9207.2376000000022"/>
    <n v="8075.0400000000009"/>
    <n v="0"/>
    <n v="0"/>
    <n v="1132.1976000000013"/>
    <n v="0"/>
    <n v="15.166843636363659"/>
    <n v="0"/>
    <n v="8060"/>
    <n v="0"/>
    <n v="0"/>
    <n v="0"/>
    <n v="0"/>
    <n v="345.22515248767382"/>
    <n v="31.871428571428567"/>
    <n v="-0.1402095345657732"/>
    <n v="1"/>
    <m/>
    <s v="Alauli "/>
    <m/>
    <n v="0"/>
  </r>
  <r>
    <s v="Munger"/>
    <s v="17-23 Apr"/>
    <n v="1054"/>
    <s v="Alauli "/>
    <x v="769"/>
    <s v="VLC Dhushmuri Bishanpur"/>
    <s v="vlc"/>
    <s v="Indirect"/>
    <n v="535.79999999999995"/>
    <n v="17256.87"/>
    <n v="0"/>
    <n v="0"/>
    <n v="0"/>
    <n v="0"/>
    <n v="0"/>
    <n v="0"/>
    <n v="17256.87"/>
    <n v="0"/>
    <n v="0"/>
    <n v="0"/>
    <n v="0"/>
    <n v="0"/>
    <n v="0"/>
    <n v="0"/>
    <n v="0"/>
    <n v="17256.87"/>
    <n v="0"/>
    <n v="0"/>
    <n v="105.76999081746928"/>
    <n v="76.54285714285713"/>
    <n v="0"/>
    <n v="0"/>
    <m/>
    <s v="Alauli "/>
    <m/>
    <n v="0"/>
  </r>
  <r>
    <s v="Munger"/>
    <s v="17-23 Apr"/>
    <n v="1054"/>
    <s v="Alauli "/>
    <x v="770"/>
    <s v="VLC Govindpur"/>
    <s v="vlc"/>
    <s v="Indirect"/>
    <n v="109.9"/>
    <n v="3708.27"/>
    <n v="0"/>
    <n v="0"/>
    <n v="0"/>
    <n v="0"/>
    <n v="0"/>
    <n v="0"/>
    <n v="3708.27"/>
    <n v="0"/>
    <n v="0"/>
    <n v="0"/>
    <n v="0"/>
    <n v="531.56970967741938"/>
    <n v="0"/>
    <n v="0"/>
    <n v="0"/>
    <n v="3176.7002903225807"/>
    <n v="0"/>
    <n v="0"/>
    <n v="398.22568280254774"/>
    <n v="15.700000000000001"/>
    <n v="0"/>
    <n v="0"/>
    <m/>
    <s v="Alauli "/>
    <m/>
    <n v="0"/>
  </r>
  <r>
    <s v="Munger"/>
    <s v="17-23 Apr"/>
    <n v="1054"/>
    <s v="Alauli "/>
    <x v="771"/>
    <s v="Gomukh Darhi Mor"/>
    <s v="MPG"/>
    <s v="Indirect"/>
    <n v="131.1"/>
    <n v="4543.1099999999997"/>
    <n v="0"/>
    <n v="0"/>
    <n v="0"/>
    <n v="0"/>
    <n v="0"/>
    <n v="0"/>
    <n v="4543.1099999999997"/>
    <n v="0"/>
    <n v="0"/>
    <n v="0"/>
    <n v="0"/>
    <n v="0"/>
    <n v="0"/>
    <n v="0"/>
    <n v="0"/>
    <n v="4543.1099999999997"/>
    <n v="0"/>
    <n v="0"/>
    <n v="394.2906604118993"/>
    <n v="18.728571428571428"/>
    <n v="0"/>
    <n v="0"/>
    <m/>
    <s v="Alauli "/>
    <m/>
    <n v="0"/>
  </r>
  <r>
    <s v="Munger"/>
    <s v="17-23 Apr"/>
    <n v="1054"/>
    <s v="Alauli "/>
    <x v="772"/>
    <s v="Gomukh Balaur"/>
    <s v="MPG"/>
    <s v="Direct"/>
    <n v="769.49999999999989"/>
    <n v="36668.729999999996"/>
    <n v="776.68"/>
    <n v="36825.142737215836"/>
    <n v="0"/>
    <n v="0"/>
    <n v="776.68"/>
    <n v="36825.142737215836"/>
    <n v="36668.729999999996"/>
    <n v="0"/>
    <n v="0"/>
    <n v="156.41273721584002"/>
    <n v="0"/>
    <n v="0"/>
    <n v="0"/>
    <n v="36669"/>
    <n v="0"/>
    <n v="0"/>
    <n v="0"/>
    <n v="0"/>
    <n v="0"/>
    <n v="0"/>
    <n v="-4.2655618892675053E-3"/>
    <n v="1"/>
    <m/>
    <s v="Alauli "/>
    <m/>
    <n v="0"/>
  </r>
  <r>
    <s v="Munger"/>
    <s v="17-23 Apr"/>
    <n v="1054"/>
    <s v="Alauli "/>
    <x v="773"/>
    <s v="Gomukh Hathwan - 2"/>
    <s v="MPG"/>
    <s v="Direct"/>
    <n v="347.99999999999994"/>
    <n v="13091.869999999999"/>
    <n v="870"/>
    <n v="36060.736140000001"/>
    <n v="0"/>
    <n v="0"/>
    <n v="870"/>
    <n v="36060.736140000001"/>
    <n v="13091.869999999999"/>
    <n v="0"/>
    <n v="0"/>
    <n v="22968.866140000002"/>
    <n v="0"/>
    <n v="0"/>
    <n v="0"/>
    <n v="13092"/>
    <n v="0"/>
    <n v="0"/>
    <n v="0"/>
    <n v="0"/>
    <n v="264.84702528735636"/>
    <n v="49.714285714285708"/>
    <n v="-1.7544373828948809"/>
    <n v="1"/>
    <m/>
    <s v="Alauli "/>
    <m/>
    <n v="0"/>
  </r>
  <r>
    <s v="Munger"/>
    <s v="17-23 Apr"/>
    <n v="1054"/>
    <s v="Alauli "/>
    <x v="774"/>
    <s v="VLC Sunil Khas"/>
    <s v="vlc"/>
    <s v="Indirect"/>
    <n v="310.7"/>
    <n v="12903.67"/>
    <n v="0"/>
    <n v="0"/>
    <n v="0"/>
    <n v="0"/>
    <n v="0"/>
    <n v="0"/>
    <n v="12903.67"/>
    <n v="0"/>
    <n v="0"/>
    <n v="0"/>
    <n v="0"/>
    <n v="0"/>
    <n v="0"/>
    <n v="0"/>
    <n v="0"/>
    <n v="12903.67"/>
    <n v="0"/>
    <n v="0"/>
    <n v="323.36007280334729"/>
    <n v="44.385714285714286"/>
    <n v="0"/>
    <n v="0"/>
    <m/>
    <s v="Alauli "/>
    <m/>
    <n v="0"/>
  </r>
  <r>
    <s v="Munger"/>
    <s v="17-23 Apr"/>
    <n v="1054"/>
    <s v="Alauli "/>
    <x v="775"/>
    <s v="Gomukh Hathwan "/>
    <s v="MPG"/>
    <s v="Direct"/>
    <n v="239.29999999999998"/>
    <n v="10632.41"/>
    <n v="298.41999999999996"/>
    <n v="15366.087730997966"/>
    <n v="0"/>
    <n v="0"/>
    <n v="298.41999999999996"/>
    <n v="15366.087730997966"/>
    <n v="10632.41"/>
    <n v="0"/>
    <n v="0"/>
    <n v="4733.6777309979661"/>
    <n v="0"/>
    <n v="0"/>
    <n v="0"/>
    <n v="10632"/>
    <n v="0"/>
    <n v="0"/>
    <n v="0"/>
    <n v="0"/>
    <n v="409.38999473464276"/>
    <n v="34.185714285714283"/>
    <n v="-0.44521211381031828"/>
    <n v="1"/>
    <m/>
    <s v="Alauli "/>
    <m/>
    <n v="0"/>
  </r>
  <r>
    <s v="Munger"/>
    <s v="17-23 Apr"/>
    <n v="1054"/>
    <s v="Alauli "/>
    <x v="776"/>
    <s v="Gomukh Rahul VLC"/>
    <s v="vlc"/>
    <s v="Indirect"/>
    <n v="690.19999999999993"/>
    <n v="29153.77"/>
    <n v="0"/>
    <n v="0"/>
    <n v="0"/>
    <n v="0"/>
    <n v="0"/>
    <n v="0"/>
    <n v="29153.77"/>
    <n v="0"/>
    <n v="0"/>
    <n v="0"/>
    <n v="0"/>
    <n v="0"/>
    <n v="0"/>
    <n v="0"/>
    <n v="0"/>
    <n v="29153.77"/>
    <n v="0"/>
    <n v="0"/>
    <n v="8.2789610547667696"/>
    <n v="98.6"/>
    <n v="0"/>
    <n v="0"/>
    <m/>
    <s v="Alauli "/>
    <m/>
    <n v="0"/>
  </r>
  <r>
    <s v="Munger"/>
    <s v="17-23 Apr"/>
    <n v="1054"/>
    <s v="Alauli "/>
    <x v="777"/>
    <s v="Gomukh Sachin VLC"/>
    <s v="vlc"/>
    <s v="Indirect"/>
    <n v="245.50000000000003"/>
    <n v="8792.58"/>
    <n v="0"/>
    <n v="0"/>
    <n v="0"/>
    <n v="0"/>
    <n v="0"/>
    <n v="0"/>
    <n v="8792.58"/>
    <n v="0"/>
    <n v="0"/>
    <n v="0"/>
    <n v="0"/>
    <n v="0"/>
    <n v="0"/>
    <n v="0"/>
    <n v="0"/>
    <n v="8792.58"/>
    <n v="0"/>
    <n v="0"/>
    <n v="325.55825743380848"/>
    <n v="35.071428571428577"/>
    <n v="0"/>
    <n v="0"/>
    <m/>
    <s v="Alauli "/>
    <m/>
    <n v="0"/>
  </r>
  <r>
    <s v="Munger"/>
    <s v="17-23 Apr"/>
    <n v="1055"/>
    <s v="Matihani"/>
    <x v="778"/>
    <s v="Balahpur-Anil Yadav"/>
    <s v="vlc"/>
    <s v="Indirect"/>
    <n v="10605"/>
    <n v="376228.78"/>
    <n v="0"/>
    <n v="0"/>
    <n v="0"/>
    <n v="0"/>
    <n v="0"/>
    <n v="0"/>
    <n v="376228.78"/>
    <n v="0"/>
    <n v="0"/>
    <n v="0"/>
    <n v="0"/>
    <n v="0"/>
    <n v="0"/>
    <n v="0"/>
    <n v="0"/>
    <n v="376228.78"/>
    <n v="0"/>
    <n v="0"/>
    <n v="0"/>
    <n v="0"/>
    <n v="0"/>
    <n v="0"/>
    <m/>
    <s v="Matihani"/>
    <m/>
    <n v="0"/>
  </r>
  <r>
    <s v="Munger"/>
    <s v="17-23 Apr"/>
    <n v="1055"/>
    <s v="Matihani"/>
    <x v="779"/>
    <s v="Bagdobh"/>
    <s v="vlc"/>
    <s v="Indirect"/>
    <n v="217.70000000000002"/>
    <n v="7627.7800000000007"/>
    <n v="0"/>
    <n v="0"/>
    <n v="0"/>
    <n v="0"/>
    <n v="0"/>
    <n v="0"/>
    <n v="7627.7800000000007"/>
    <n v="0"/>
    <n v="0"/>
    <n v="0"/>
    <n v="0"/>
    <n v="0"/>
    <n v="0"/>
    <n v="0"/>
    <n v="0"/>
    <n v="7627.7800000000007"/>
    <n v="0"/>
    <n v="0"/>
    <n v="337.97687588424446"/>
    <n v="31.1"/>
    <n v="0"/>
    <n v="0"/>
    <m/>
    <s v="Matihani"/>
    <m/>
    <n v="0"/>
  </r>
  <r>
    <s v="Munger"/>
    <s v="17-23 Apr"/>
    <n v="1055"/>
    <s v="Matihani"/>
    <x v="780"/>
    <s v="Gomukh Matihani"/>
    <s v="MPG"/>
    <s v="Direct"/>
    <n v="120.19999999999999"/>
    <n v="4559.41"/>
    <n v="124.28"/>
    <n v="5075.6252430971999"/>
    <n v="0"/>
    <n v="0"/>
    <n v="124.28"/>
    <n v="5075.6252430971999"/>
    <n v="4559.41"/>
    <n v="0"/>
    <n v="0"/>
    <n v="516.21524309720007"/>
    <n v="0"/>
    <n v="0"/>
    <n v="0"/>
    <n v="4559"/>
    <n v="0"/>
    <n v="0"/>
    <n v="0"/>
    <n v="0"/>
    <n v="439.85788985024965"/>
    <n v="17.171428571428571"/>
    <n v="-0.11321974621654997"/>
    <n v="2"/>
    <m/>
    <s v="Matihani"/>
    <m/>
    <n v="0"/>
  </r>
  <r>
    <s v="Munger"/>
    <s v="17-23 Apr"/>
    <n v="1055"/>
    <s v="Matihani"/>
    <x v="781"/>
    <s v="Jalalpur"/>
    <s v="vlc"/>
    <s v="Indirect"/>
    <n v="2023.2"/>
    <n v="70975.62"/>
    <n v="0"/>
    <n v="0"/>
    <n v="0"/>
    <n v="0"/>
    <n v="0"/>
    <n v="0"/>
    <n v="70975.62"/>
    <n v="0"/>
    <n v="0"/>
    <n v="0"/>
    <n v="0"/>
    <n v="0"/>
    <n v="0"/>
    <n v="0"/>
    <n v="0"/>
    <n v="70975.62"/>
    <n v="0"/>
    <n v="0"/>
    <n v="0"/>
    <n v="0"/>
    <n v="0"/>
    <n v="0"/>
    <m/>
    <s v="Matihani"/>
    <m/>
    <n v="0"/>
  </r>
  <r>
    <s v="Munger"/>
    <s v="17-23 Apr"/>
    <n v="1055"/>
    <s v="Matihani"/>
    <x v="782"/>
    <s v="Saidpur"/>
    <s v="vlc"/>
    <s v="Indirect"/>
    <n v="67.7"/>
    <n v="2232.08"/>
    <n v="0"/>
    <n v="0"/>
    <n v="0"/>
    <n v="0"/>
    <n v="0"/>
    <n v="0"/>
    <n v="2232.08"/>
    <n v="0"/>
    <n v="0"/>
    <n v="0"/>
    <n v="0"/>
    <n v="0"/>
    <n v="0"/>
    <n v="0"/>
    <n v="0"/>
    <n v="2232.08"/>
    <n v="0"/>
    <n v="0"/>
    <n v="416.9406747415066"/>
    <n v="9.6714285714285726"/>
    <n v="0"/>
    <n v="0"/>
    <m/>
    <s v="Matihani"/>
    <m/>
    <n v="0"/>
  </r>
  <r>
    <s v="Munger"/>
    <s v="17-23 Apr"/>
    <n v="1055"/>
    <s v="Matihani"/>
    <x v="1041"/>
    <s v="Chak"/>
    <s v="vlc"/>
    <s v="Indirect"/>
    <n v="1270.3999999999999"/>
    <n v="46794.76"/>
    <n v="0"/>
    <n v="0"/>
    <n v="0"/>
    <n v="0"/>
    <n v="0"/>
    <n v="0"/>
    <n v="46794.76"/>
    <n v="0"/>
    <n v="0"/>
    <n v="0"/>
    <n v="0"/>
    <n v="0"/>
    <n v="0"/>
    <n v="0"/>
    <n v="0"/>
    <n v="46794.76"/>
    <n v="0"/>
    <n v="0"/>
    <n v="0"/>
    <n v="0"/>
    <n v="0"/>
    <n v="0"/>
    <m/>
    <s v="Matihani"/>
    <m/>
    <n v="0"/>
  </r>
  <r>
    <s v="Munger"/>
    <s v="17-23 Apr"/>
    <n v="1056"/>
    <s v="Chautham"/>
    <x v="783"/>
    <s v="Gomukh Chautham(Mithun Kumar VLC)"/>
    <s v="vlc"/>
    <s v="Indirect"/>
    <n v="2152.09"/>
    <n v="80331.55"/>
    <n v="0"/>
    <n v="0"/>
    <n v="0"/>
    <n v="0"/>
    <n v="0"/>
    <n v="0"/>
    <n v="80331.55"/>
    <n v="0"/>
    <n v="0"/>
    <n v="0"/>
    <n v="0"/>
    <n v="0"/>
    <n v="0"/>
    <n v="0"/>
    <n v="0"/>
    <n v="80331.55"/>
    <n v="0"/>
    <n v="0"/>
    <n v="0"/>
    <n v="0"/>
    <n v="0"/>
    <n v="0"/>
    <m/>
    <s v="Chautham"/>
    <m/>
    <n v="0"/>
  </r>
  <r>
    <s v="Munger"/>
    <s v="17-23 Apr"/>
    <n v="1056"/>
    <s v="Chautham"/>
    <x v="784"/>
    <s v="Gomukh Pansalwa"/>
    <s v="vlc"/>
    <s v="Indirect"/>
    <n v="652.44000000000005"/>
    <n v="23528.639999999999"/>
    <n v="0"/>
    <n v="0"/>
    <n v="0"/>
    <n v="0"/>
    <n v="0"/>
    <n v="0"/>
    <n v="23528.639999999999"/>
    <n v="0"/>
    <n v="0"/>
    <n v="0"/>
    <n v="0"/>
    <n v="0"/>
    <n v="0"/>
    <n v="0"/>
    <n v="0"/>
    <n v="23528.639999999999"/>
    <n v="0"/>
    <n v="0"/>
    <n v="34.302682803016332"/>
    <n v="93.205714285714294"/>
    <n v="0"/>
    <n v="0"/>
    <m/>
    <s v="Chautham"/>
    <m/>
    <n v="0"/>
  </r>
  <r>
    <s v="Munger"/>
    <s v="17-23 Apr"/>
    <n v="1056"/>
    <s v="Chautham"/>
    <x v="785"/>
    <s v="Gomukh Nawada"/>
    <s v="MPG"/>
    <s v="Direct"/>
    <n v="829.30000000000007"/>
    <n v="29159.119999999999"/>
    <n v="892.34"/>
    <n v="31482.224613338396"/>
    <n v="58.86"/>
    <n v="2075.2971022476004"/>
    <n v="951.2"/>
    <n v="33557.521715585994"/>
    <n v="29159.119999999999"/>
    <n v="0"/>
    <n v="0"/>
    <n v="4398.4017155859947"/>
    <n v="0"/>
    <n v="0"/>
    <n v="0"/>
    <n v="27084"/>
    <n v="2075"/>
    <n v="0"/>
    <n v="0"/>
    <n v="0"/>
    <n v="0"/>
    <n v="0"/>
    <n v="-0.15084137366237371"/>
    <n v="2"/>
    <m/>
    <s v="Chautham"/>
    <m/>
    <n v="0"/>
  </r>
  <r>
    <s v="Munger"/>
    <s v="17-23 Apr"/>
    <n v="1056"/>
    <s v="Chautham"/>
    <x v="786"/>
    <s v="Gomukh Yadav Tol Kanauli"/>
    <s v="MPG"/>
    <s v="Direct"/>
    <n v="2143.2000000000003"/>
    <n v="88023.11"/>
    <n v="28.520000000000003"/>
    <n v="1189.9268338320003"/>
    <n v="1915"/>
    <n v="79914.902126400004"/>
    <n v="1943.52"/>
    <n v="81104.828960232"/>
    <n v="81104.828960232"/>
    <n v="0"/>
    <n v="0"/>
    <n v="0"/>
    <n v="0"/>
    <n v="0"/>
    <n v="0"/>
    <n v="1190"/>
    <n v="79914"/>
    <n v="0"/>
    <n v="6919"/>
    <n v="0"/>
    <n v="0"/>
    <n v="0"/>
    <n v="7.8596189566217334E-2"/>
    <n v="3"/>
    <m/>
    <s v="Chautham"/>
    <m/>
    <n v="0"/>
  </r>
  <r>
    <s v="Munger"/>
    <s v="17-23 Apr"/>
    <n v="1056"/>
    <s v="Chautham"/>
    <x v="787"/>
    <s v="Gomukh Baltara"/>
    <s v="MPG"/>
    <s v="Direct"/>
    <n v="87.080000000000013"/>
    <n v="4791.92"/>
    <n v="87.08"/>
    <n v="5548.3305941755998"/>
    <n v="0"/>
    <n v="0"/>
    <n v="87.08"/>
    <n v="5548.3305941755998"/>
    <n v="4791.92"/>
    <n v="0"/>
    <n v="0"/>
    <n v="756.41059417559973"/>
    <n v="0"/>
    <n v="0"/>
    <n v="0"/>
    <n v="4792"/>
    <n v="0"/>
    <n v="0"/>
    <n v="0"/>
    <n v="0"/>
    <n v="674.56674469453367"/>
    <n v="12.440000000000001"/>
    <n v="-0.15785125673542122"/>
    <n v="1"/>
    <m/>
    <s v="Chautham"/>
    <m/>
    <n v="0"/>
  </r>
  <r>
    <s v="Munger"/>
    <s v="17-23 Apr"/>
    <n v="1056"/>
    <s v="Chautham"/>
    <x v="788"/>
    <s v="Gomukh Hardia"/>
    <s v="MPG"/>
    <s v="Direct"/>
    <n v="229.52000000000007"/>
    <n v="9496.8599999999988"/>
    <n v="0"/>
    <n v="0"/>
    <n v="0"/>
    <n v="0"/>
    <n v="0"/>
    <n v="0"/>
    <n v="0"/>
    <n v="0"/>
    <n v="0"/>
    <n v="0"/>
    <n v="0"/>
    <n v="0"/>
    <n v="0"/>
    <n v="0"/>
    <n v="0"/>
    <n v="0"/>
    <n v="9497"/>
    <n v="0"/>
    <n v="389.34146852561855"/>
    <n v="32.788571428571437"/>
    <n v="1"/>
    <n v="0"/>
    <m/>
    <s v="Chautham"/>
    <m/>
    <n v="0"/>
  </r>
  <r>
    <s v="Munger"/>
    <s v="17-23 Apr"/>
    <n v="1056"/>
    <s v="Chautham"/>
    <x v="789"/>
    <s v="Gomukh Ashatol Paharpur"/>
    <s v="MPG"/>
    <s v="Direct"/>
    <n v="1681.58"/>
    <n v="63444.73"/>
    <n v="1689.77"/>
    <n v="66394.020167416369"/>
    <n v="0"/>
    <n v="0"/>
    <n v="1689.77"/>
    <n v="66394.020167416369"/>
    <n v="63444.73"/>
    <n v="0"/>
    <n v="0"/>
    <n v="2949.2901674163659"/>
    <n v="0"/>
    <n v="0"/>
    <n v="0"/>
    <n v="63445"/>
    <n v="0"/>
    <n v="0"/>
    <n v="0"/>
    <n v="0"/>
    <n v="0"/>
    <n v="0"/>
    <n v="-4.648597554779358E-2"/>
    <n v="12"/>
    <m/>
    <s v="Chautham"/>
    <m/>
    <n v="0"/>
  </r>
  <r>
    <s v="Munger"/>
    <s v="17-23 Apr"/>
    <n v="1056"/>
    <s v="Chautham"/>
    <x v="790"/>
    <s v="Gomukh Kharawa"/>
    <s v="MPG"/>
    <s v="Direct"/>
    <n v="870.1"/>
    <n v="33210.310000000005"/>
    <n v="875.86999999999989"/>
    <n v="34075.025126170651"/>
    <n v="0"/>
    <n v="0"/>
    <n v="875.86999999999989"/>
    <n v="34075.025126170651"/>
    <n v="33210.310000000005"/>
    <n v="0"/>
    <n v="0"/>
    <n v="864.71512617064582"/>
    <n v="0"/>
    <n v="0"/>
    <n v="0"/>
    <n v="33210"/>
    <n v="0"/>
    <n v="0"/>
    <n v="0"/>
    <n v="0"/>
    <n v="0"/>
    <n v="0"/>
    <n v="-2.6037550573019212E-2"/>
    <n v="2"/>
    <m/>
    <s v="Chautham"/>
    <m/>
    <n v="0"/>
  </r>
  <r>
    <s v="Munger"/>
    <s v="17-23 Apr"/>
    <n v="1056"/>
    <s v="Chautham"/>
    <x v="791"/>
    <s v="Gomukh Patel Nagar"/>
    <s v="vlc"/>
    <s v="Indirect"/>
    <n v="634.55999999999995"/>
    <n v="23338.579999999998"/>
    <n v="0"/>
    <n v="0"/>
    <n v="0"/>
    <n v="0"/>
    <n v="0"/>
    <n v="0"/>
    <n v="23338.579999999998"/>
    <n v="0"/>
    <n v="0"/>
    <n v="0"/>
    <n v="0"/>
    <n v="0"/>
    <n v="0"/>
    <n v="0"/>
    <n v="0"/>
    <n v="23338.579999999998"/>
    <n v="0"/>
    <n v="0"/>
    <n v="48.136556833081215"/>
    <n v="90.651428571428568"/>
    <n v="0"/>
    <n v="0"/>
    <m/>
    <s v="Chautham"/>
    <m/>
    <n v="0"/>
  </r>
  <r>
    <s v="Munger"/>
    <s v="17-23 Apr"/>
    <n v="1056"/>
    <s v="Chautham"/>
    <x v="792"/>
    <s v="Gomukh Pachout"/>
    <s v="MPG"/>
    <s v="Direct"/>
    <n v="1017.68"/>
    <n v="37584.61"/>
    <n v="1017.6800000000001"/>
    <n v="37976.010685866"/>
    <n v="0"/>
    <n v="0"/>
    <n v="1017.6800000000001"/>
    <n v="37976.010685866"/>
    <n v="37584.61"/>
    <n v="0"/>
    <n v="0"/>
    <n v="391.40068586599955"/>
    <n v="0"/>
    <n v="0"/>
    <n v="0"/>
    <n v="37585"/>
    <n v="0"/>
    <n v="0"/>
    <n v="0"/>
    <n v="0"/>
    <n v="0"/>
    <n v="0"/>
    <n v="-1.041385518875943E-2"/>
    <n v="1"/>
    <m/>
    <s v="Chautham"/>
    <m/>
    <n v="0"/>
  </r>
  <r>
    <s v="Munger"/>
    <s v="17-23 Apr"/>
    <n v="1056"/>
    <s v="Chautham"/>
    <x v="793"/>
    <s v="Gomukh Telihar"/>
    <s v="MPG"/>
    <s v="Direct"/>
    <n v="1237.04"/>
    <n v="49062.020000000004"/>
    <n v="1237.0600000000004"/>
    <n v="49517.478959553453"/>
    <n v="0"/>
    <n v="0"/>
    <n v="1237.0600000000004"/>
    <n v="49517.478959553453"/>
    <n v="49062.020000000004"/>
    <n v="0"/>
    <n v="0"/>
    <n v="455.45895955344895"/>
    <n v="0"/>
    <n v="0"/>
    <n v="0"/>
    <n v="49062"/>
    <n v="0"/>
    <n v="0"/>
    <n v="0"/>
    <s v="Release1"/>
    <n v="0"/>
    <n v="0"/>
    <n v="-9.2833307628476958E-3"/>
    <n v="23"/>
    <m/>
    <s v="Chautham"/>
    <m/>
    <n v="0"/>
  </r>
  <r>
    <s v="Munger"/>
    <s v="17-23 Apr"/>
    <n v="1056"/>
    <s v="Chautham"/>
    <x v="794"/>
    <s v="Gomukh Pansalba Ward No 05"/>
    <s v="MPG"/>
    <s v="Indirect"/>
    <n v="1568.6800000000003"/>
    <n v="56465.52"/>
    <n v="0"/>
    <n v="0"/>
    <n v="0"/>
    <n v="0"/>
    <n v="0"/>
    <n v="0"/>
    <n v="56465.52"/>
    <n v="0"/>
    <n v="0"/>
    <n v="0"/>
    <n v="0"/>
    <n v="0"/>
    <n v="0"/>
    <n v="0"/>
    <n v="0"/>
    <n v="56465.52"/>
    <n v="0"/>
    <n v="0"/>
    <n v="0"/>
    <n v="0"/>
    <n v="0"/>
    <n v="0"/>
    <m/>
    <s v="Chautham"/>
    <m/>
    <n v="0"/>
  </r>
  <r>
    <s v="Munger"/>
    <s v="17-23 Apr"/>
    <n v="1056"/>
    <s v="Chautham"/>
    <x v="795"/>
    <s v="Gomukh Paharpur Jilebya "/>
    <s v="MPG"/>
    <s v="Direct"/>
    <n v="2160.0399999999995"/>
    <n v="92427.76999999999"/>
    <n v="2165.7199999999998"/>
    <n v="92909.543614271999"/>
    <n v="0"/>
    <n v="0"/>
    <n v="2165.7199999999998"/>
    <n v="92909.543614271999"/>
    <n v="92427.76999999999"/>
    <n v="0"/>
    <n v="0"/>
    <n v="481.77361427200958"/>
    <n v="0"/>
    <n v="0"/>
    <n v="0"/>
    <n v="92428"/>
    <n v="0"/>
    <n v="0"/>
    <n v="0"/>
    <n v="0"/>
    <n v="0"/>
    <n v="0"/>
    <n v="-5.2124336037968856E-3"/>
    <n v="1"/>
    <m/>
    <s v="Chautham"/>
    <m/>
    <n v="0"/>
  </r>
  <r>
    <s v="Munger"/>
    <s v="17-23 Apr"/>
    <n v="1056"/>
    <s v="Chautham"/>
    <x v="796"/>
    <s v="Gomukh Debka Vlc"/>
    <s v="vlc"/>
    <s v="Indirect"/>
    <n v="130.66"/>
    <n v="5550.7499999999991"/>
    <n v="0"/>
    <n v="0"/>
    <n v="0"/>
    <n v="0"/>
    <n v="0"/>
    <n v="0"/>
    <n v="5550.7499999999991"/>
    <n v="0"/>
    <n v="0"/>
    <n v="0"/>
    <n v="0"/>
    <n v="0"/>
    <n v="0"/>
    <n v="0"/>
    <n v="0"/>
    <n v="5550.7499999999991"/>
    <n v="0"/>
    <n v="0"/>
    <n v="483.73855885504355"/>
    <n v="18.665714285714284"/>
    <n v="0"/>
    <n v="0"/>
    <m/>
    <s v="Chautham"/>
    <m/>
    <n v="0"/>
  </r>
  <r>
    <s v="Munger"/>
    <s v="17-23 Apr"/>
    <n v="1056"/>
    <s v="Chautham"/>
    <x v="797"/>
    <s v="Gomukh Azad Nagar"/>
    <s v="MPG"/>
    <s v="Direct"/>
    <n v="1048.98"/>
    <n v="40345.019999999997"/>
    <n v="1054.6699999999998"/>
    <n v="41308.369554881145"/>
    <n v="0"/>
    <n v="0"/>
    <n v="1054.6699999999998"/>
    <n v="41308.369554881145"/>
    <n v="40345.019999999997"/>
    <n v="0"/>
    <n v="0"/>
    <n v="963.34955488114792"/>
    <n v="0"/>
    <n v="0"/>
    <n v="0"/>
    <n v="40345"/>
    <n v="0"/>
    <n v="0"/>
    <n v="0"/>
    <n v="0"/>
    <n v="0"/>
    <n v="0"/>
    <n v="-2.3877781071397361E-2"/>
    <n v="19"/>
    <m/>
    <s v="Chautham"/>
    <m/>
    <n v="0"/>
  </r>
  <r>
    <s v="Munger"/>
    <s v="17-23 Apr"/>
    <n v="1056"/>
    <s v="Chautham"/>
    <x v="798"/>
    <s v="Gomukh Purani Hrdia"/>
    <s v="MPG"/>
    <s v="Direct"/>
    <n v="186.28000000000003"/>
    <n v="7426.43"/>
    <n v="186.27999999999997"/>
    <n v="7675.1597324160002"/>
    <n v="0"/>
    <n v="0"/>
    <n v="186.27999999999997"/>
    <n v="7675.1597324160002"/>
    <n v="7426.43"/>
    <n v="0"/>
    <n v="0"/>
    <n v="248.72973241599993"/>
    <n v="0"/>
    <n v="0"/>
    <n v="0"/>
    <n v="7426"/>
    <n v="0"/>
    <n v="0"/>
    <n v="0"/>
    <n v="0"/>
    <n v="409.60979381576124"/>
    <n v="26.611428571428576"/>
    <n v="-3.3492503452668368E-2"/>
    <n v="1"/>
    <m/>
    <s v="Chautham"/>
    <m/>
    <n v="0"/>
  </r>
  <r>
    <s v="Munger"/>
    <s v="17-23 Apr"/>
    <n v="1056"/>
    <s v="Chautham"/>
    <x v="799"/>
    <s v="Gomukh Uttari Hardia"/>
    <s v="MPG"/>
    <s v="Direct"/>
    <n v="347.34000000000003"/>
    <n v="13847.05"/>
    <n v="357.34"/>
    <n v="14180.024319120001"/>
    <n v="0"/>
    <n v="0"/>
    <n v="357.34"/>
    <n v="14180.024319120001"/>
    <n v="13847.05"/>
    <n v="0"/>
    <n v="0"/>
    <n v="332.97431912000138"/>
    <n v="0"/>
    <n v="0"/>
    <n v="0"/>
    <n v="13847"/>
    <n v="0"/>
    <n v="0"/>
    <n v="0"/>
    <n v="0"/>
    <n v="281.18274042724704"/>
    <n v="49.620000000000005"/>
    <n v="-2.4046588921106039E-2"/>
    <n v="1"/>
    <m/>
    <s v="Chautham"/>
    <m/>
    <n v="0"/>
  </r>
  <r>
    <s v="Munger"/>
    <s v="17-23 Apr"/>
    <n v="1056"/>
    <s v="Chautham"/>
    <x v="800"/>
    <s v="Gomukh Murli"/>
    <s v="MPG"/>
    <s v="Direct"/>
    <n v="120.82"/>
    <n v="4981.59"/>
    <n v="124"/>
    <n v="5107.915804002052"/>
    <n v="0"/>
    <n v="0"/>
    <n v="124"/>
    <n v="5107.915804002052"/>
    <n v="4981.59"/>
    <n v="0"/>
    <n v="0"/>
    <n v="126.32580400205188"/>
    <n v="0"/>
    <n v="0"/>
    <n v="0"/>
    <n v="4982"/>
    <n v="0"/>
    <n v="0"/>
    <n v="0"/>
    <n v="0"/>
    <n v="477.6092196987255"/>
    <n v="17.259999999999998"/>
    <n v="-2.5358530911225509E-2"/>
    <n v="1"/>
    <m/>
    <s v="Chautham"/>
    <m/>
    <n v="0"/>
  </r>
  <r>
    <s v="Munger"/>
    <s v="17-23 Apr"/>
    <n v="1056"/>
    <s v="Chautham"/>
    <x v="801"/>
    <s v="Gomukh Nirpur Keshv Nagar"/>
    <s v="MPG"/>
    <s v="Direct"/>
    <n v="501.56000000000006"/>
    <n v="18131.68"/>
    <n v="515.82000000000005"/>
    <n v="18475.823047215599"/>
    <n v="0"/>
    <n v="0"/>
    <n v="515.82000000000005"/>
    <n v="18475.823047215599"/>
    <n v="18131.68"/>
    <n v="0"/>
    <n v="0"/>
    <n v="344.14304721559893"/>
    <n v="0"/>
    <n v="0"/>
    <n v="0"/>
    <n v="18132"/>
    <n v="0"/>
    <n v="0"/>
    <n v="0"/>
    <n v="0"/>
    <n v="143.47438309275057"/>
    <n v="71.651428571428582"/>
    <n v="-1.8980207416830593E-2"/>
    <n v="1"/>
    <m/>
    <s v="Chautham"/>
    <m/>
    <n v="0"/>
  </r>
  <r>
    <s v="Munger"/>
    <s v="17-23 Apr"/>
    <n v="1056"/>
    <s v="Chautham"/>
    <x v="1014"/>
    <s v="Gomukh Thuthi Vlc"/>
    <s v="vlc"/>
    <s v="Direct"/>
    <n v="158.78"/>
    <n v="6161.46"/>
    <n v="158.78"/>
    <n v="5721.9658475760007"/>
    <n v="0"/>
    <n v="0"/>
    <n v="158.78"/>
    <n v="5721.9658475760007"/>
    <n v="5721.9658475760007"/>
    <n v="0"/>
    <n v="0"/>
    <n v="0"/>
    <n v="0"/>
    <n v="0"/>
    <n v="0"/>
    <n v="5722"/>
    <n v="0"/>
    <n v="0"/>
    <n v="439"/>
    <n v="0"/>
    <n v="420.04098516185923"/>
    <n v="22.682857142857141"/>
    <n v="7.1329547286519648E-2"/>
    <n v="1"/>
    <m/>
    <s v="Chautham"/>
    <m/>
    <n v="0"/>
  </r>
  <r>
    <s v="Munger"/>
    <s v="17-23 Apr"/>
    <n v="1056"/>
    <s v="Chautham"/>
    <x v="803"/>
    <s v="Gomukh Nawadai Vlc"/>
    <s v="vlc"/>
    <s v="Indirect"/>
    <n v="185.64000000000001"/>
    <n v="6302.96"/>
    <n v="0"/>
    <n v="0"/>
    <n v="0"/>
    <n v="0"/>
    <n v="0"/>
    <n v="0"/>
    <n v="6302.96"/>
    <n v="0"/>
    <n v="0"/>
    <n v="0"/>
    <n v="0"/>
    <n v="0"/>
    <n v="0"/>
    <n v="0"/>
    <n v="0"/>
    <n v="6302.96"/>
    <n v="0"/>
    <n v="0"/>
    <n v="349.27714992458516"/>
    <n v="26.520000000000003"/>
    <n v="0"/>
    <n v="0"/>
    <m/>
    <s v="Chautham"/>
    <m/>
    <n v="0"/>
  </r>
  <r>
    <s v="Munger"/>
    <s v="17-23 Apr"/>
    <n v="1056"/>
    <s v="Chautham"/>
    <x v="1015"/>
    <s v="Gomukh Kharra Basa"/>
    <s v="MPG"/>
    <s v="Direct"/>
    <n v="219.20000000000002"/>
    <n v="8289.7200000000012"/>
    <n v="279.2"/>
    <n v="10638.065930184001"/>
    <n v="0"/>
    <n v="0"/>
    <n v="279.2"/>
    <n v="10638.065930184001"/>
    <n v="8289.7200000000012"/>
    <n v="0"/>
    <n v="0"/>
    <n v="2348.3459301839994"/>
    <n v="0"/>
    <n v="0"/>
    <n v="0"/>
    <n v="8290"/>
    <n v="0"/>
    <n v="0"/>
    <n v="0"/>
    <n v="0"/>
    <n v="363.65851970802919"/>
    <n v="31.314285714285717"/>
    <n v="-0.2832841073261822"/>
    <n v="1"/>
    <m/>
    <s v="Chautham"/>
    <m/>
    <n v="0"/>
  </r>
  <r>
    <s v="Munger"/>
    <s v="17-23 Apr"/>
    <n v="1056"/>
    <s v="Chautham"/>
    <x v="1016"/>
    <s v="Gomukh Bangalia"/>
    <s v="MPG"/>
    <s v="Direct"/>
    <n v="224.65999999999997"/>
    <n v="10016.08"/>
    <n v="224.64"/>
    <n v="10207.952212706601"/>
    <n v="0"/>
    <n v="0"/>
    <n v="224.64"/>
    <n v="10207.952212706601"/>
    <n v="10016.08"/>
    <n v="0"/>
    <n v="0"/>
    <n v="191.8722127066012"/>
    <n v="0"/>
    <n v="0"/>
    <n v="0"/>
    <n v="10016"/>
    <n v="0"/>
    <n v="0"/>
    <n v="0"/>
    <n v="0"/>
    <n v="423.84433964212593"/>
    <n v="32.094285714285711"/>
    <n v="-1.9156417750916647E-2"/>
    <n v="1"/>
    <m/>
    <s v="Chautham"/>
    <m/>
    <n v="0"/>
  </r>
  <r>
    <s v="Munger"/>
    <s v="17-23 Apr"/>
    <n v="1056"/>
    <s v="Chautham"/>
    <x v="1017"/>
    <s v="Gomukh Soharba Purvi"/>
    <s v="MPG"/>
    <s v="Direct"/>
    <n v="94.98"/>
    <n v="3123.9500000000007"/>
    <n v="94.97999999999999"/>
    <n v="3636.8001735516"/>
    <n v="0"/>
    <n v="0"/>
    <n v="94.97999999999999"/>
    <n v="3636.8001735516"/>
    <n v="3123.9500000000007"/>
    <n v="0"/>
    <n v="0"/>
    <n v="512.85017355159926"/>
    <n v="0"/>
    <n v="0"/>
    <n v="0"/>
    <n v="3124"/>
    <n v="0"/>
    <n v="0"/>
    <n v="0"/>
    <n v="0"/>
    <n v="397.98951968835553"/>
    <n v="13.568571428571429"/>
    <n v="-0.16416721572099396"/>
    <n v="1"/>
    <m/>
    <s v="Chautham"/>
    <m/>
    <n v="0"/>
  </r>
  <r>
    <s v="Munger"/>
    <s v="17-23 Apr"/>
    <n v="1057"/>
    <s v="Warisnagar"/>
    <x v="804"/>
    <s v="Karian"/>
    <s v="MPG"/>
    <s v="Direct"/>
    <n v="89.3"/>
    <n v="3898.0499999999997"/>
    <n v="89.300000000000011"/>
    <n v="3903.4546315384009"/>
    <n v="0"/>
    <n v="0"/>
    <n v="89.300000000000011"/>
    <n v="3903.4546315384009"/>
    <n v="3898.0499999999997"/>
    <n v="0"/>
    <n v="0"/>
    <n v="5.4046315384011905"/>
    <n v="0"/>
    <n v="21.131410169491474"/>
    <n v="0"/>
    <n v="3877"/>
    <n v="0"/>
    <n v="0"/>
    <n v="0"/>
    <n v="0"/>
    <n v="533.15546136618138"/>
    <n v="12.757142857142856"/>
    <n v="-1.3864962066677418E-3"/>
    <n v="1"/>
    <m/>
    <s v="Warisnagar"/>
    <m/>
    <n v="0"/>
  </r>
  <r>
    <s v="Munger"/>
    <s v="17-23 Apr"/>
    <n v="1057"/>
    <s v="Warisnagar"/>
    <x v="805"/>
    <s v="Teghara"/>
    <s v="MPG"/>
    <s v="Direct"/>
    <n v="245.4"/>
    <n v="9270.7999999999993"/>
    <n v="245.39999999999995"/>
    <n v="9270.1607018078012"/>
    <n v="2"/>
    <n v="82.106244000000004"/>
    <n v="247.39999999999995"/>
    <n v="9352.2669458078017"/>
    <n v="9270.7999999999993"/>
    <n v="0"/>
    <n v="0"/>
    <n v="81.466945807802404"/>
    <n v="0"/>
    <n v="0"/>
    <n v="0"/>
    <n v="9189"/>
    <n v="82"/>
    <n v="0"/>
    <n v="0"/>
    <n v="0"/>
    <n v="343.48049551752234"/>
    <n v="35.057142857142857"/>
    <n v="-8.7874774353672181E-3"/>
    <n v="2"/>
    <m/>
    <s v="Warisnagar"/>
    <m/>
    <n v="0"/>
  </r>
  <r>
    <s v="Munger"/>
    <s v="17-23 Apr"/>
    <n v="1057"/>
    <s v="Warisnagar"/>
    <x v="806"/>
    <s v="Basantpur"/>
    <s v="MPG"/>
    <s v="Direct"/>
    <n v="864.3"/>
    <n v="35466.090000000004"/>
    <n v="864.00000000000011"/>
    <n v="35453.290379760008"/>
    <n v="0"/>
    <n v="0"/>
    <n v="864.00000000000011"/>
    <n v="35453.290379760008"/>
    <n v="35453.290379760008"/>
    <n v="0"/>
    <n v="0"/>
    <n v="0"/>
    <n v="0"/>
    <n v="257.26711868852476"/>
    <n v="0"/>
    <n v="35196"/>
    <n v="0"/>
    <n v="0"/>
    <n v="13"/>
    <n v="0"/>
    <n v="0"/>
    <n v="0"/>
    <n v="3.6089741609507614E-4"/>
    <n v="1"/>
    <m/>
    <s v="Warisnagar"/>
    <m/>
    <n v="0"/>
  </r>
  <r>
    <s v="Munger"/>
    <s v="17-23 Apr"/>
    <n v="1057"/>
    <s v="Warisnagar"/>
    <x v="807"/>
    <s v="Chakoti"/>
    <s v="MPG"/>
    <s v="Direct"/>
    <n v="1326.7"/>
    <n v="50378.569999999992"/>
    <n v="32.799999999999997"/>
    <n v="1229.5965017160001"/>
    <n v="1293.9000000000001"/>
    <n v="49123.40636439847"/>
    <n v="1326.7"/>
    <n v="50353.002866114468"/>
    <n v="50353.002866114468"/>
    <n v="0"/>
    <n v="639.47691811959999"/>
    <n v="0"/>
    <n v="0"/>
    <n v="0"/>
    <n v="0"/>
    <n v="1230"/>
    <n v="48484"/>
    <n v="0"/>
    <n v="25"/>
    <n v="0"/>
    <n v="0"/>
    <n v="0"/>
    <n v="5.0750019076612396E-4"/>
    <n v="16"/>
    <m/>
    <s v="Warisnagar"/>
    <m/>
    <n v="0"/>
  </r>
  <r>
    <s v="Munger"/>
    <s v="17-23 Apr"/>
    <n v="1057"/>
    <s v="Warisnagar"/>
    <x v="808"/>
    <s v="Nathudawar"/>
    <s v="MPG"/>
    <s v="Direct"/>
    <n v="678.90000000000009"/>
    <n v="26393.969999999998"/>
    <n v="668.9"/>
    <n v="25947.778782666501"/>
    <n v="10.1"/>
    <n v="460.98611847300003"/>
    <n v="679"/>
    <n v="26408.764901139501"/>
    <n v="26393.969999999998"/>
    <n v="0"/>
    <n v="0"/>
    <n v="14.794901139503054"/>
    <n v="0"/>
    <n v="0"/>
    <n v="0"/>
    <n v="25933"/>
    <n v="461"/>
    <n v="0"/>
    <n v="0"/>
    <n v="0"/>
    <n v="16.406326911179796"/>
    <n v="96.985714285714295"/>
    <n v="-5.6054095460073092E-4"/>
    <n v="2"/>
    <m/>
    <s v="Warisnagar"/>
    <m/>
    <n v="0"/>
  </r>
  <r>
    <s v="Munger"/>
    <s v="17-23 Apr"/>
    <n v="1057"/>
    <s v="Warisnagar"/>
    <x v="809"/>
    <s v="Purnahi"/>
    <s v="vlc"/>
    <s v="Indirect"/>
    <n v="601.5"/>
    <n v="20812.859999999997"/>
    <n v="0"/>
    <n v="0"/>
    <n v="0"/>
    <n v="0"/>
    <n v="0"/>
    <n v="0"/>
    <n v="20812.859999999997"/>
    <n v="0"/>
    <n v="0"/>
    <n v="0"/>
    <n v="0"/>
    <n v="0"/>
    <n v="0"/>
    <n v="0"/>
    <n v="0"/>
    <n v="20812.859999999997"/>
    <n v="0"/>
    <n v="0"/>
    <n v="68.165144139650849"/>
    <n v="85.928571428571431"/>
    <n v="0"/>
    <n v="0"/>
    <m/>
    <s v="Warisnagar"/>
    <m/>
    <n v="0"/>
  </r>
  <r>
    <s v="Munger"/>
    <s v="17-23 Apr"/>
    <n v="1057"/>
    <s v="Warisnagar"/>
    <x v="810"/>
    <s v="Baghopur "/>
    <s v="vlc"/>
    <s v="Indirect"/>
    <n v="574.4"/>
    <n v="22390.310000000005"/>
    <n v="0"/>
    <n v="0"/>
    <n v="0"/>
    <n v="0"/>
    <n v="0"/>
    <n v="0"/>
    <n v="22390.310000000005"/>
    <n v="0"/>
    <n v="0"/>
    <n v="0"/>
    <n v="0"/>
    <n v="0"/>
    <n v="0"/>
    <n v="0"/>
    <n v="0"/>
    <n v="22390.310000000005"/>
    <n v="0"/>
    <n v="0"/>
    <n v="97.918625905292544"/>
    <n v="82.05714285714285"/>
    <n v="0"/>
    <n v="0"/>
    <m/>
    <s v="Warisnagar"/>
    <m/>
    <n v="0"/>
  </r>
  <r>
    <s v="Munger"/>
    <s v="17-23 Apr"/>
    <n v="1057"/>
    <s v="Warisnagar"/>
    <x v="812"/>
    <s v="PARORIYA"/>
    <s v="vlc"/>
    <s v="Indirect"/>
    <n v="534.90000000000009"/>
    <n v="18257.920000000002"/>
    <n v="0"/>
    <n v="0"/>
    <n v="0"/>
    <n v="0"/>
    <n v="0"/>
    <n v="0"/>
    <n v="18257.920000000002"/>
    <n v="0"/>
    <n v="0"/>
    <n v="0"/>
    <n v="0"/>
    <n v="35.24992258064502"/>
    <n v="0"/>
    <n v="0"/>
    <n v="0"/>
    <n v="18222.670077419356"/>
    <n v="0"/>
    <n v="0"/>
    <n v="112.7082666666666"/>
    <n v="76.414285714285725"/>
    <n v="0"/>
    <n v="0"/>
    <m/>
    <s v="Warisnagar"/>
    <m/>
    <n v="0"/>
  </r>
  <r>
    <s v="Munger"/>
    <s v="17-23 Apr"/>
    <n v="1057"/>
    <s v="Warisnagar"/>
    <x v="813"/>
    <s v="Dewanpur"/>
    <s v="MPG"/>
    <s v="Direct"/>
    <n v="163.29999999999995"/>
    <n v="7201.81"/>
    <n v="122.6"/>
    <n v="5097.3046703947011"/>
    <n v="51.2"/>
    <n v="2181.6812563164203"/>
    <n v="173.8"/>
    <n v="7278.9859267111215"/>
    <n v="7201.81"/>
    <n v="0"/>
    <n v="0"/>
    <n v="77.175926711121065"/>
    <n v="0"/>
    <n v="0"/>
    <n v="0"/>
    <n v="5021"/>
    <n v="2181"/>
    <n v="0"/>
    <n v="0"/>
    <n v="0"/>
    <n v="473.38780489895925"/>
    <n v="23.328571428571422"/>
    <n v="-1.071618478009293E-2"/>
    <n v="8"/>
    <m/>
    <s v="Warisnagar"/>
    <m/>
    <n v="0"/>
  </r>
  <r>
    <s v="Munger"/>
    <s v="17-23 Apr"/>
    <n v="1057"/>
    <s v="Warisnagar"/>
    <x v="814"/>
    <s v="Gohi"/>
    <s v="MPG"/>
    <s v="Direct"/>
    <n v="349"/>
    <n v="14391.170000000002"/>
    <n v="26.700000000000003"/>
    <n v="991.26971658000002"/>
    <n v="322.2999999999999"/>
    <n v="13544.172182762401"/>
    <n v="348.99999999999989"/>
    <n v="14535.441899342401"/>
    <n v="14391.170000000002"/>
    <n v="0"/>
    <n v="261.2479816856"/>
    <n v="144.27189934239868"/>
    <n v="0"/>
    <n v="0"/>
    <n v="0"/>
    <n v="846"/>
    <n v="13284"/>
    <n v="0"/>
    <n v="0"/>
    <n v="0"/>
    <n v="289.47281776504303"/>
    <n v="49.857142857142854"/>
    <n v="-1.0025029190982989E-2"/>
    <n v="13"/>
    <m/>
    <s v="Warisnagar"/>
    <m/>
    <n v="0"/>
  </r>
  <r>
    <s v="Munger"/>
    <s v="17-23 Apr"/>
    <n v="1057"/>
    <s v="Warisnagar"/>
    <x v="815"/>
    <s v="Matua"/>
    <s v="MPG"/>
    <s v="Direct"/>
    <n v="621.69999999999993"/>
    <n v="25547.180000000004"/>
    <n v="179.7"/>
    <n v="8111.0311416252989"/>
    <n v="441.4"/>
    <n v="17183.634159753197"/>
    <n v="621.09999999999991"/>
    <n v="25294.665301378496"/>
    <n v="25294.665301378496"/>
    <n v="0"/>
    <n v="212.37557206720007"/>
    <n v="0"/>
    <n v="0"/>
    <n v="0"/>
    <n v="0"/>
    <n v="8111"/>
    <n v="16971"/>
    <n v="0"/>
    <n v="253"/>
    <n v="0"/>
    <n v="64.350786359980788"/>
    <n v="88.814285714285703"/>
    <n v="9.8842494013627984E-3"/>
    <n v="7"/>
    <m/>
    <s v="Warisnagar"/>
    <m/>
    <n v="0"/>
  </r>
  <r>
    <s v="Munger"/>
    <s v="17-23 Apr"/>
    <n v="1057"/>
    <s v="Warisnagar"/>
    <x v="816"/>
    <s v="Ratni Chouk"/>
    <s v="MPG"/>
    <s v="Direct"/>
    <n v="817.59999999999991"/>
    <n v="36748.32"/>
    <n v="817.6"/>
    <n v="36737.5979606455"/>
    <n v="0"/>
    <n v="0"/>
    <n v="817.6"/>
    <n v="36737.5979606455"/>
    <n v="36737.5979606455"/>
    <n v="0"/>
    <n v="0"/>
    <n v="0"/>
    <n v="0"/>
    <n v="0"/>
    <n v="0"/>
    <n v="36738"/>
    <n v="0"/>
    <n v="0"/>
    <n v="10"/>
    <n v="0"/>
    <n v="0"/>
    <n v="0"/>
    <n v="2.917695109463352E-4"/>
    <n v="1"/>
    <m/>
    <s v="Warisnagar"/>
    <m/>
    <n v="0"/>
  </r>
  <r>
    <s v="Munger"/>
    <s v="17-23 Apr"/>
    <n v="1057"/>
    <s v="Warisnagar"/>
    <x v="817"/>
    <s v="Balahi 2"/>
    <s v="MPG"/>
    <s v="Direct"/>
    <n v="592.9"/>
    <n v="20810.469999999998"/>
    <n v="538.1"/>
    <n v="19604.480819172302"/>
    <n v="63.9"/>
    <n v="2194.3162890000003"/>
    <n v="602"/>
    <n v="21798.797108172301"/>
    <n v="20810.469999999998"/>
    <n v="0"/>
    <n v="23.892739200000001"/>
    <n v="988.32710817230327"/>
    <n v="0"/>
    <n v="0"/>
    <n v="0"/>
    <n v="18617"/>
    <n v="2170"/>
    <n v="0"/>
    <n v="0"/>
    <n v="0"/>
    <n v="75.183043919716624"/>
    <n v="84.7"/>
    <n v="-4.7491820615887262E-2"/>
    <n v="8"/>
    <m/>
    <s v="Warisnagar"/>
    <m/>
    <n v="0"/>
  </r>
  <r>
    <s v="Munger"/>
    <s v="17-23 Apr"/>
    <n v="1057"/>
    <s v="Warisnagar"/>
    <x v="818"/>
    <s v="Chandauli"/>
    <s v="vlc"/>
    <s v="Indirect"/>
    <n v="357.4"/>
    <n v="16735.54"/>
    <n v="0"/>
    <n v="0"/>
    <n v="0"/>
    <n v="0"/>
    <n v="0"/>
    <n v="0"/>
    <n v="16735.54"/>
    <n v="0"/>
    <n v="0"/>
    <n v="0"/>
    <n v="0"/>
    <n v="0"/>
    <n v="0"/>
    <n v="0"/>
    <n v="0"/>
    <n v="16735.54"/>
    <n v="0"/>
    <n v="0"/>
    <n v="320.85036396194744"/>
    <n v="51.057142857142857"/>
    <n v="0"/>
    <n v="0"/>
    <m/>
    <s v="Warisnagar"/>
    <m/>
    <n v="0"/>
  </r>
  <r>
    <s v="Munger"/>
    <s v="17-23 Apr"/>
    <n v="1057"/>
    <s v="Warisnagar"/>
    <x v="819"/>
    <s v="Gulabi Choak"/>
    <s v="vlc"/>
    <s v="Indirect"/>
    <n v="752.90000000000009"/>
    <n v="27922.02"/>
    <n v="0"/>
    <n v="0"/>
    <n v="0"/>
    <n v="0"/>
    <n v="0"/>
    <n v="0"/>
    <n v="27922.02"/>
    <n v="0"/>
    <n v="0"/>
    <n v="0"/>
    <n v="0"/>
    <n v="0"/>
    <n v="0"/>
    <n v="0"/>
    <n v="0"/>
    <n v="27922.02"/>
    <n v="0"/>
    <n v="0"/>
    <n v="0"/>
    <n v="0"/>
    <n v="0"/>
    <n v="0"/>
    <m/>
    <s v="Warisnagar"/>
    <m/>
    <n v="0"/>
  </r>
  <r>
    <s v="Munger"/>
    <s v="17-23 Apr"/>
    <n v="1057"/>
    <s v="Warisnagar"/>
    <x v="820"/>
    <s v="Satmalpur"/>
    <s v="vlc"/>
    <s v="Indirect"/>
    <n v="1183"/>
    <n v="46427.8"/>
    <n v="0"/>
    <n v="0"/>
    <n v="0"/>
    <n v="0"/>
    <n v="0"/>
    <n v="0"/>
    <n v="46427.8"/>
    <n v="0"/>
    <n v="0"/>
    <n v="0"/>
    <n v="0"/>
    <n v="0"/>
    <n v="0"/>
    <n v="0"/>
    <n v="0"/>
    <n v="46427.8"/>
    <n v="0"/>
    <n v="0"/>
    <n v="0"/>
    <n v="0"/>
    <n v="0"/>
    <n v="0"/>
    <m/>
    <s v="Warisnagar"/>
    <m/>
    <n v="0"/>
  </r>
  <r>
    <s v="Munger"/>
    <s v="17-23 Apr"/>
    <n v="1057"/>
    <s v="Warisnagar"/>
    <x v="821"/>
    <s v="Chhatnesar"/>
    <s v="vlc"/>
    <s v="Indirect"/>
    <n v="339.59999999999997"/>
    <n v="12289.53"/>
    <n v="0"/>
    <n v="0"/>
    <n v="0"/>
    <n v="0"/>
    <n v="0"/>
    <n v="0"/>
    <n v="12289.53"/>
    <n v="0"/>
    <n v="0"/>
    <n v="0"/>
    <n v="0"/>
    <n v="0"/>
    <n v="0"/>
    <n v="0"/>
    <n v="0"/>
    <n v="12289.53"/>
    <n v="0"/>
    <n v="0"/>
    <n v="260.84491236749119"/>
    <n v="48.514285714285712"/>
    <n v="0"/>
    <n v="0"/>
    <m/>
    <s v="Warisnagar"/>
    <m/>
    <n v="0"/>
  </r>
  <r>
    <s v="Munger"/>
    <s v="17-23 Apr"/>
    <n v="1057"/>
    <s v="Warisnagar"/>
    <x v="822"/>
    <s v="Chhatnesar 2"/>
    <s v="MPG"/>
    <s v="Direct"/>
    <n v="352.4"/>
    <n v="12915.57"/>
    <n v="37.9"/>
    <n v="1224.64650489"/>
    <n v="310.89999999999998"/>
    <n v="11467.98620922468"/>
    <n v="348.79999999999995"/>
    <n v="12692.632714114679"/>
    <n v="12692.632714114679"/>
    <n v="0"/>
    <n v="7.3288460520000012"/>
    <n v="0"/>
    <n v="0"/>
    <n v="0"/>
    <n v="0"/>
    <n v="1225"/>
    <n v="11461"/>
    <n v="0"/>
    <n v="222"/>
    <n v="0"/>
    <n v="254.79297003405227"/>
    <n v="50.342857142857142"/>
    <n v="1.7261126368044177E-2"/>
    <n v="5"/>
    <m/>
    <s v="Warisnagar"/>
    <m/>
    <n v="0"/>
  </r>
  <r>
    <s v="Munger"/>
    <s v="17-23 Apr"/>
    <n v="1057"/>
    <s v="Warisnagar"/>
    <x v="823"/>
    <s v="Hajpurwa"/>
    <s v="MPG"/>
    <s v="Direct"/>
    <n v="221.79999999999998"/>
    <n v="8553.6400000000012"/>
    <n v="221.8"/>
    <n v="8553.6998565480008"/>
    <n v="0"/>
    <n v="0"/>
    <n v="221.8"/>
    <n v="8553.6998565480008"/>
    <n v="8553.6400000000012"/>
    <n v="0"/>
    <n v="0"/>
    <n v="5.9856547999515897E-2"/>
    <n v="0"/>
    <n v="37.862124590163958"/>
    <n v="0"/>
    <n v="8516"/>
    <n v="0"/>
    <n v="0"/>
    <n v="0"/>
    <n v="0"/>
    <n v="368.83233976555465"/>
    <n v="31.685714285714283"/>
    <n v="-6.9977866732193413E-6"/>
    <n v="1"/>
    <m/>
    <s v="Warisnagar"/>
    <m/>
    <n v="0"/>
  </r>
  <r>
    <s v="Munger"/>
    <s v="17-23 Apr"/>
    <n v="1057"/>
    <s v="Warisnagar"/>
    <x v="824"/>
    <s v="Shekhopur"/>
    <s v="MPG"/>
    <s v="Direct"/>
    <n v="375.5"/>
    <n v="13064.56"/>
    <n v="375.50000000000006"/>
    <n v="13063.829328000002"/>
    <n v="0"/>
    <n v="0"/>
    <n v="375.50000000000006"/>
    <n v="13063.829328000002"/>
    <n v="13063.829328000002"/>
    <n v="0"/>
    <n v="0"/>
    <n v="0"/>
    <n v="0"/>
    <n v="5.0260622950819496"/>
    <n v="0"/>
    <n v="13059"/>
    <n v="0"/>
    <n v="0"/>
    <n v="1"/>
    <n v="0"/>
    <n v="225.80291451398134"/>
    <n v="53.642857142857146"/>
    <n v="5.5927792439842358E-5"/>
    <n v="1"/>
    <m/>
    <s v="Warisnagar"/>
    <m/>
    <n v="0"/>
  </r>
  <r>
    <s v="Munger"/>
    <s v="17-23 Apr"/>
    <n v="1057"/>
    <s v="Warisnagar"/>
    <x v="825"/>
    <s v="Dharampur"/>
    <s v="MPG"/>
    <s v="Direct"/>
    <n v="166.10000000000002"/>
    <n v="6609.6299999999992"/>
    <n v="167.3"/>
    <n v="6611.4883797030006"/>
    <n v="1.3"/>
    <n v="51.798237480000012"/>
    <n v="168.60000000000002"/>
    <n v="6663.286617183001"/>
    <n v="6609.6299999999992"/>
    <n v="0"/>
    <n v="51.798237480000012"/>
    <n v="53.656617183001799"/>
    <n v="0"/>
    <n v="0"/>
    <n v="0"/>
    <n v="6558"/>
    <n v="0"/>
    <n v="0"/>
    <n v="0"/>
    <n v="0"/>
    <n v="424.91047043949408"/>
    <n v="23.728571428571431"/>
    <n v="-8.1179456615577284E-3"/>
    <n v="2"/>
    <m/>
    <s v="Warisnagar"/>
    <m/>
    <n v="0"/>
  </r>
  <r>
    <s v="Munger"/>
    <s v="17-23 Apr"/>
    <n v="1057"/>
    <s v="Warisnagar"/>
    <x v="826"/>
    <s v="Chatnesar Pachiam"/>
    <s v="vlc"/>
    <s v="Indirect"/>
    <n v="233.99999999999997"/>
    <n v="9520.36"/>
    <n v="0"/>
    <n v="0"/>
    <n v="0"/>
    <n v="0"/>
    <n v="0"/>
    <n v="0"/>
    <n v="9520.36"/>
    <n v="0"/>
    <n v="0"/>
    <n v="0"/>
    <n v="0"/>
    <n v="0"/>
    <n v="0"/>
    <n v="0"/>
    <n v="0"/>
    <n v="9520.36"/>
    <n v="0"/>
    <n v="0"/>
    <n v="379.18698803418818"/>
    <n v="33.428571428571423"/>
    <n v="0"/>
    <n v="0"/>
    <m/>
    <s v="Warisnagar"/>
    <m/>
    <n v="0"/>
  </r>
  <r>
    <s v="Munger"/>
    <s v="17-23 Apr"/>
    <n v="1057"/>
    <s v="Warisnagar"/>
    <x v="827"/>
    <s v="Hajpurwa Pachim"/>
    <s v="MPG"/>
    <s v="Direct"/>
    <n v="323.09999999999997"/>
    <n v="13173.890000000003"/>
    <n v="323.39999999999998"/>
    <n v="13117.388366611001"/>
    <n v="0"/>
    <n v="0"/>
    <n v="323.39999999999998"/>
    <n v="13117.388366611001"/>
    <n v="13117.388366611001"/>
    <n v="0"/>
    <n v="0"/>
    <n v="0"/>
    <n v="0"/>
    <n v="0"/>
    <n v="0"/>
    <n v="13117"/>
    <n v="0"/>
    <n v="0"/>
    <n v="57"/>
    <n v="0"/>
    <n v="307.34999325286304"/>
    <n v="46.157142857142851"/>
    <n v="4.2889103665661125E-3"/>
    <n v="1"/>
    <m/>
    <s v="Warisnagar"/>
    <m/>
    <n v="0"/>
  </r>
  <r>
    <s v="Munger"/>
    <s v="17-23 Apr"/>
    <n v="1057"/>
    <s v="Warisnagar"/>
    <x v="828"/>
    <s v="Almasnagar"/>
    <s v="vlc"/>
    <s v="Indirect"/>
    <n v="446.6"/>
    <n v="15719.500000000002"/>
    <n v="0"/>
    <n v="0"/>
    <n v="0"/>
    <n v="0"/>
    <n v="0"/>
    <n v="0"/>
    <n v="15719.500000000002"/>
    <n v="0"/>
    <n v="0"/>
    <n v="0"/>
    <n v="0"/>
    <n v="0"/>
    <n v="0"/>
    <n v="0"/>
    <n v="0"/>
    <n v="15719.500000000002"/>
    <n v="0"/>
    <n v="0"/>
    <n v="178.3842946708464"/>
    <n v="63.800000000000004"/>
    <n v="0"/>
    <n v="0"/>
    <m/>
    <s v="Warisnagar"/>
    <m/>
    <n v="0"/>
  </r>
  <r>
    <s v="Munger"/>
    <s v="17-23 Apr"/>
    <n v="1057"/>
    <s v="Warisnagar"/>
    <x v="829"/>
    <s v="Kadarchak"/>
    <s v="vlc"/>
    <s v="Indirect"/>
    <n v="7.7"/>
    <n v="248.02"/>
    <n v="0"/>
    <n v="0"/>
    <n v="0"/>
    <n v="0"/>
    <n v="0"/>
    <n v="0"/>
    <n v="248.02"/>
    <n v="0"/>
    <n v="0"/>
    <n v="0"/>
    <n v="0"/>
    <n v="37.586361290322571"/>
    <n v="0"/>
    <n v="0"/>
    <n v="0"/>
    <n v="210.43363870967744"/>
    <n v="0"/>
    <n v="0"/>
    <n v="445.98505454545466"/>
    <n v="1.1000000000000001"/>
    <n v="0"/>
    <n v="0"/>
    <m/>
    <s v="Warisnagar"/>
    <m/>
    <n v="0"/>
  </r>
  <r>
    <s v="Munger"/>
    <s v="17-23 Apr"/>
    <n v="1057"/>
    <s v="Warisnagar"/>
    <x v="1018"/>
    <s v="Rahua"/>
    <s v="MPG"/>
    <s v="Direct"/>
    <n v="138.6"/>
    <n v="5458.63"/>
    <n v="138.6"/>
    <n v="5466.5200500912015"/>
    <n v="0"/>
    <n v="0"/>
    <n v="138.6"/>
    <n v="5466.5200500912015"/>
    <n v="5458.63"/>
    <n v="0"/>
    <n v="0"/>
    <n v="7.890050091201374"/>
    <n v="0"/>
    <n v="0"/>
    <n v="0"/>
    <n v="5459"/>
    <n v="0"/>
    <n v="0"/>
    <n v="0"/>
    <n v="0"/>
    <n v="442.20416767676767"/>
    <n v="19.8"/>
    <n v="-1.4454267996184709E-3"/>
    <n v="1"/>
    <m/>
    <s v="Warisnagar"/>
    <m/>
    <n v="0"/>
  </r>
  <r>
    <s v="Munger"/>
    <s v="17-23 Apr"/>
    <n v="1057"/>
    <s v="Warisnagar"/>
    <x v="830"/>
    <s v="Dagrua"/>
    <s v="MPG"/>
    <s v="Direct"/>
    <n v="135.79999999999998"/>
    <n v="6011.41"/>
    <n v="135.80000000000001"/>
    <n v="6015.1568995254011"/>
    <n v="0"/>
    <n v="0"/>
    <n v="135.80000000000001"/>
    <n v="6015.1568995254011"/>
    <n v="6011.41"/>
    <n v="0"/>
    <n v="0"/>
    <n v="3.7468995254012043"/>
    <n v="0"/>
    <n v="0"/>
    <n v="0"/>
    <n v="6011"/>
    <n v="0"/>
    <n v="0"/>
    <n v="0"/>
    <n v="0"/>
    <n v="499.50478969072168"/>
    <n v="19.399999999999999"/>
    <n v="-6.2329794929994863E-4"/>
    <n v="1"/>
    <m/>
    <s v="Warisnagar"/>
    <m/>
    <n v="0"/>
  </r>
  <r>
    <s v="Munger"/>
    <s v="17-23 Apr"/>
    <n v="1057"/>
    <s v="Warisnagar"/>
    <x v="831"/>
    <s v="Buzurgdoar"/>
    <s v="MPG"/>
    <s v="Direct"/>
    <n v="1136.5"/>
    <n v="43251.590000000004"/>
    <n v="1164.9000000000001"/>
    <n v="43378.472035399107"/>
    <n v="0"/>
    <n v="0"/>
    <n v="1164.9000000000001"/>
    <n v="43378.472035399107"/>
    <n v="43251.590000000004"/>
    <n v="0"/>
    <n v="0"/>
    <n v="126.88203539910319"/>
    <n v="0"/>
    <n v="0"/>
    <n v="0"/>
    <n v="43252"/>
    <n v="0"/>
    <n v="0"/>
    <n v="0"/>
    <n v="0"/>
    <n v="0"/>
    <n v="0"/>
    <n v="-2.9335808324989481E-3"/>
    <n v="16"/>
    <m/>
    <s v="Warisnagar"/>
    <m/>
    <n v="0"/>
  </r>
  <r>
    <s v="Munger"/>
    <s v="17-23 Apr"/>
    <n v="1057"/>
    <s v="Warisnagar"/>
    <x v="832"/>
    <s v="Patpara"/>
    <s v="vlc"/>
    <s v="Indirect"/>
    <n v="331.21"/>
    <n v="11850.91"/>
    <n v="0"/>
    <n v="0"/>
    <n v="0"/>
    <n v="0"/>
    <n v="0"/>
    <n v="0"/>
    <n v="11850.91"/>
    <n v="0"/>
    <n v="0"/>
    <n v="0"/>
    <n v="0"/>
    <n v="0"/>
    <n v="0"/>
    <n v="0"/>
    <n v="0"/>
    <n v="11850.91"/>
    <n v="0"/>
    <n v="0"/>
    <n v="263.91093861296463"/>
    <n v="47.315714285714286"/>
    <n v="0"/>
    <n v="0"/>
    <m/>
    <s v="Warisnagar"/>
    <m/>
    <n v="0"/>
  </r>
  <r>
    <s v="Munger"/>
    <s v="17-23 Apr"/>
    <n v="1057"/>
    <s v="Warisnagar"/>
    <x v="833"/>
    <s v="Kamopur"/>
    <s v="MPG"/>
    <s v="Direct"/>
    <n v="414.5"/>
    <n v="15699.640000000001"/>
    <n v="325.59999999999997"/>
    <n v="11612.038517491099"/>
    <n v="88.899999999999991"/>
    <n v="4010.3602469553302"/>
    <n v="414.49999999999994"/>
    <n v="15622.398764446429"/>
    <n v="15622.398764446429"/>
    <n v="0"/>
    <n v="0"/>
    <n v="0"/>
    <n v="0"/>
    <n v="0"/>
    <n v="0"/>
    <n v="11611"/>
    <n v="4011"/>
    <n v="0"/>
    <n v="78"/>
    <n v="0"/>
    <n v="216.27248347406515"/>
    <n v="59.214285714285715"/>
    <n v="4.9199367344456655E-3"/>
    <n v="12"/>
    <m/>
    <s v="Warisnagar"/>
    <m/>
    <n v="0"/>
  </r>
  <r>
    <s v="Munger"/>
    <s v="17-23 Apr"/>
    <n v="1057"/>
    <s v="Warisnagar"/>
    <x v="834"/>
    <s v="Kussaiya"/>
    <s v="MPG"/>
    <s v="Direct"/>
    <n v="278"/>
    <n v="13075.92"/>
    <n v="277.89999999999998"/>
    <n v="12974.089855468039"/>
    <n v="0"/>
    <n v="0"/>
    <n v="277.89999999999998"/>
    <n v="12974.089855468039"/>
    <n v="12974.089855468039"/>
    <n v="0"/>
    <n v="0"/>
    <n v="0"/>
    <n v="0"/>
    <n v="0"/>
    <n v="0"/>
    <n v="12974"/>
    <n v="0"/>
    <n v="0"/>
    <n v="102"/>
    <n v="0"/>
    <n v="396.98116834532374"/>
    <n v="39.714285714285715"/>
    <n v="7.7876084078184324E-3"/>
    <n v="1"/>
    <m/>
    <s v="Warisnagar"/>
    <m/>
    <n v="0"/>
  </r>
  <r>
    <s v="Munger"/>
    <s v="17-23 Apr"/>
    <n v="1057"/>
    <s v="Warisnagar"/>
    <x v="835"/>
    <s v="Kanu Bisanpur"/>
    <s v="vlc"/>
    <s v="Indirect"/>
    <n v="136"/>
    <n v="5167.1500000000005"/>
    <n v="0"/>
    <n v="0"/>
    <n v="0"/>
    <n v="0"/>
    <n v="0"/>
    <n v="0"/>
    <n v="5167.1500000000005"/>
    <n v="0"/>
    <n v="0"/>
    <n v="0"/>
    <n v="0"/>
    <n v="0"/>
    <n v="0"/>
    <n v="0"/>
    <n v="0"/>
    <n v="5167.1500000000005"/>
    <n v="0"/>
    <n v="0"/>
    <n v="428.56950000000006"/>
    <n v="19.428571428571427"/>
    <n v="0"/>
    <n v="0"/>
    <m/>
    <s v="Warisnagar"/>
    <m/>
    <n v="0"/>
  </r>
  <r>
    <s v="Munger"/>
    <s v="17-23 Apr"/>
    <n v="1057"/>
    <s v="Warisnagar"/>
    <x v="837"/>
    <s v="Raini 2"/>
    <s v="MPG"/>
    <s v="Direct"/>
    <n v="187"/>
    <n v="7518.8"/>
    <n v="187.49999999999994"/>
    <n v="7263.2468075730521"/>
    <n v="0"/>
    <n v="0"/>
    <n v="187.49999999999994"/>
    <n v="7263.2468075730521"/>
    <n v="7263.2468075730521"/>
    <n v="0"/>
    <n v="0"/>
    <n v="0"/>
    <n v="0"/>
    <n v="0"/>
    <n v="0"/>
    <n v="7263"/>
    <n v="0"/>
    <n v="0"/>
    <n v="256"/>
    <n v="0"/>
    <n v="412.52881283422465"/>
    <n v="26.714285714285715"/>
    <n v="3.3988560997359689E-2"/>
    <n v="1"/>
    <m/>
    <s v="Warisnagar"/>
    <m/>
    <n v="0"/>
  </r>
  <r>
    <s v="Munger"/>
    <s v="17-23 Apr"/>
    <n v="1057"/>
    <s v="Warisnagar"/>
    <x v="838"/>
    <s v="Hasauli"/>
    <s v="vlc"/>
    <s v="Indirect"/>
    <n v="145.10000000000002"/>
    <n v="5678.7699999999995"/>
    <n v="0"/>
    <n v="0"/>
    <n v="0"/>
    <n v="0"/>
    <n v="0"/>
    <n v="0"/>
    <n v="5678.7699999999995"/>
    <n v="0"/>
    <n v="0"/>
    <n v="0"/>
    <n v="0"/>
    <n v="0"/>
    <n v="0"/>
    <n v="0"/>
    <n v="0"/>
    <n v="5678.7699999999995"/>
    <n v="0"/>
    <n v="0"/>
    <n v="434.34176057891096"/>
    <n v="20.728571428571431"/>
    <n v="0"/>
    <n v="0"/>
    <m/>
    <s v="Warisnagar"/>
    <m/>
    <n v="0"/>
  </r>
  <r>
    <s v="Munger"/>
    <s v="17-23 Apr"/>
    <n v="1057"/>
    <s v="Warisnagar"/>
    <x v="839"/>
    <s v="Kusiya 2"/>
    <s v="vlc"/>
    <s v="Indirect"/>
    <n v="212.3"/>
    <n v="7834.5400000000009"/>
    <n v="0"/>
    <n v="0"/>
    <n v="0"/>
    <n v="0"/>
    <n v="0"/>
    <n v="0"/>
    <n v="7834.5400000000009"/>
    <n v="0"/>
    <n v="0"/>
    <n v="0"/>
    <n v="0"/>
    <n v="0"/>
    <n v="0"/>
    <n v="0"/>
    <n v="0"/>
    <n v="7834.5400000000009"/>
    <n v="0"/>
    <n v="0"/>
    <n v="359.95338276024501"/>
    <n v="30.328571428571429"/>
    <n v="0"/>
    <n v="0"/>
    <m/>
    <s v="Warisnagar"/>
    <m/>
    <n v="0"/>
  </r>
  <r>
    <s v="Munger"/>
    <s v="17-23 Apr"/>
    <n v="1057"/>
    <s v="Warisnagar"/>
    <x v="1043"/>
    <s v="Babupur"/>
    <s v="vlc"/>
    <s v="Indirect"/>
    <n v="312.2"/>
    <n v="11401.93"/>
    <n v="0"/>
    <n v="0"/>
    <n v="0"/>
    <n v="0"/>
    <n v="0"/>
    <n v="0"/>
    <n v="11401.93"/>
    <n v="0"/>
    <n v="0"/>
    <n v="0"/>
    <n v="0"/>
    <n v="0"/>
    <n v="0"/>
    <n v="0"/>
    <n v="0"/>
    <n v="11401.93"/>
    <n v="0"/>
    <n v="0"/>
    <n v="283.25870941704039"/>
    <n v="44.6"/>
    <n v="0"/>
    <n v="0"/>
    <m/>
    <s v="Warisnagar"/>
    <m/>
    <n v="0"/>
  </r>
  <r>
    <s v="Munger"/>
    <s v="17-23 Apr"/>
    <n v="1057"/>
    <s v="Warisnagar"/>
    <x v="1044"/>
    <s v="Rahua 2"/>
    <s v="vlc"/>
    <s v="Indirect"/>
    <n v="1367.9"/>
    <n v="56819.83"/>
    <n v="0"/>
    <n v="0"/>
    <n v="0"/>
    <n v="0"/>
    <n v="0"/>
    <n v="0"/>
    <n v="56819.83"/>
    <n v="0"/>
    <n v="0"/>
    <n v="0"/>
    <n v="0"/>
    <n v="0"/>
    <n v="0"/>
    <n v="0"/>
    <n v="0"/>
    <n v="56819.83"/>
    <n v="0"/>
    <n v="0"/>
    <n v="0"/>
    <n v="0"/>
    <n v="0"/>
    <n v="0"/>
    <m/>
    <s v="Warisnagar"/>
    <m/>
    <n v="0"/>
  </r>
  <r>
    <s v="Munger"/>
    <s v="17-23 Apr"/>
    <n v="1057"/>
    <s v="Warisnagar"/>
    <x v="1045"/>
    <s v="Madhopur"/>
    <s v="vlc"/>
    <s v="Indirect"/>
    <n v="430.40999999999997"/>
    <n v="20011.04"/>
    <n v="0"/>
    <n v="0"/>
    <n v="0"/>
    <n v="0"/>
    <n v="0"/>
    <n v="0"/>
    <n v="20011.04"/>
    <n v="0"/>
    <n v="0"/>
    <n v="0"/>
    <n v="0"/>
    <n v="0"/>
    <n v="0"/>
    <n v="0"/>
    <n v="0"/>
    <n v="20011.04"/>
    <n v="0"/>
    <n v="0"/>
    <n v="250.68080544597018"/>
    <n v="61.48714285714285"/>
    <n v="0"/>
    <n v="0"/>
    <m/>
    <s v="Warisnagar"/>
    <m/>
    <n v="0"/>
  </r>
  <r>
    <s v="Munger"/>
    <s v="17-23 Apr"/>
    <n v="1058"/>
    <s v="Hasanpur"/>
    <x v="840"/>
    <s v="Mahuli"/>
    <s v="MPG"/>
    <s v="Direct"/>
    <n v="257.20000000000005"/>
    <n v="10585.78"/>
    <n v="245.49999999999997"/>
    <n v="10171.893192452102"/>
    <n v="8.3999999999999986"/>
    <n v="340.25262479999998"/>
    <n v="253.89999999999998"/>
    <n v="10512.145817252102"/>
    <n v="10512.145817252102"/>
    <n v="0"/>
    <n v="340.25262479999998"/>
    <n v="0"/>
    <n v="0"/>
    <n v="0"/>
    <n v="0"/>
    <n v="10172"/>
    <n v="0"/>
    <n v="0"/>
    <n v="74"/>
    <n v="0"/>
    <n v="364.49326469673406"/>
    <n v="36.742857142857147"/>
    <n v="6.9559524898400588E-3"/>
    <n v="12"/>
    <m/>
    <s v="Hasanpur"/>
    <m/>
    <n v="0"/>
  </r>
  <r>
    <s v="Munger"/>
    <s v="17-23 Apr"/>
    <n v="1058"/>
    <s v="Hasanpur"/>
    <x v="841"/>
    <s v="Sakhwa Ghat"/>
    <s v="MPG"/>
    <s v="Direct"/>
    <n v="355.4"/>
    <n v="13630.58"/>
    <n v="335.2"/>
    <n v="13755.137644704"/>
    <n v="3.3000000000000003"/>
    <n v="132.98036796"/>
    <n v="338.5"/>
    <n v="13888.118012664001"/>
    <n v="13630.58"/>
    <n v="0"/>
    <n v="132.98036796"/>
    <n v="257.53801266400114"/>
    <n v="1300"/>
    <n v="0"/>
    <n v="0"/>
    <n v="12198"/>
    <n v="0"/>
    <n v="0"/>
    <n v="0"/>
    <n v="0"/>
    <n v="264.32739831176139"/>
    <n v="50.771428571428565"/>
    <n v="-1.8894134560965208E-2"/>
    <n v="6"/>
    <m/>
    <s v="Hasanpur"/>
    <m/>
    <n v="0"/>
  </r>
  <r>
    <s v="Munger"/>
    <s v="17-23 Apr"/>
    <n v="1058"/>
    <s v="Hasanpur"/>
    <x v="842"/>
    <s v="Patiya"/>
    <s v="MPG"/>
    <s v="Direct"/>
    <n v="168.6"/>
    <n v="6532.1200000000008"/>
    <n v="160.79999999999998"/>
    <n v="6652.4246079943559"/>
    <n v="9.6999999999999957"/>
    <n v="376.12963899977996"/>
    <n v="170.49999999999997"/>
    <n v="7028.5542469941356"/>
    <n v="6532.1200000000008"/>
    <n v="0"/>
    <n v="376.12963899977996"/>
    <n v="496.43424699413481"/>
    <n v="0"/>
    <n v="0"/>
    <n v="0"/>
    <n v="6156"/>
    <n v="0"/>
    <n v="0"/>
    <n v="0"/>
    <n v="0"/>
    <n v="411.76376844602618"/>
    <n v="24.085714285714285"/>
    <n v="-7.5998947813900347E-2"/>
    <n v="3"/>
    <m/>
    <s v="Hasanpur"/>
    <m/>
    <n v="0"/>
  </r>
  <r>
    <s v="Munger"/>
    <s v="17-23 Apr"/>
    <n v="1058"/>
    <s v="Hasanpur"/>
    <x v="843"/>
    <s v="Kasiya"/>
    <s v="MPG"/>
    <s v="Direct"/>
    <n v="497.30000000000007"/>
    <n v="19140.690000000002"/>
    <n v="492.89999999999992"/>
    <n v="19470.928026529778"/>
    <n v="2.6999999999999997"/>
    <n v="105.03523602000003"/>
    <n v="495.59999999999991"/>
    <n v="19575.96326254978"/>
    <n v="19140.690000000002"/>
    <n v="0"/>
    <n v="105.03523602000003"/>
    <n v="435.27326254977743"/>
    <n v="0"/>
    <n v="0"/>
    <n v="0"/>
    <n v="19036"/>
    <n v="0"/>
    <n v="0"/>
    <n v="0"/>
    <n v="0"/>
    <n v="156.03530516790661"/>
    <n v="71.042857142857159"/>
    <n v="-2.2740729960611522E-2"/>
    <n v="11"/>
    <m/>
    <s v="Hasanpur"/>
    <m/>
    <n v="0"/>
  </r>
  <r>
    <s v="Munger"/>
    <s v="17-23 Apr"/>
    <n v="1058"/>
    <s v="Hasanpur"/>
    <x v="844"/>
    <s v="Belshandi"/>
    <s v="MPG"/>
    <s v="Direct"/>
    <n v="150.80000000000001"/>
    <n v="5808.9"/>
    <n v="150.90000000000003"/>
    <n v="6034.6276941360811"/>
    <n v="2.9000000000000004"/>
    <n v="195.53393679224001"/>
    <n v="153.80000000000004"/>
    <n v="6230.1616309283208"/>
    <n v="5808.9"/>
    <n v="0"/>
    <n v="195.53393679224001"/>
    <n v="421.26163092832121"/>
    <n v="0"/>
    <n v="33.103489655172439"/>
    <n v="0"/>
    <n v="5580"/>
    <n v="0"/>
    <n v="0"/>
    <n v="0"/>
    <n v="0"/>
    <n v="423.10979840848807"/>
    <n v="21.542857142857144"/>
    <n v="-7.2520034934035915E-2"/>
    <n v="6"/>
    <m/>
    <s v="Hasanpur"/>
    <m/>
    <n v="0"/>
  </r>
  <r>
    <s v="Munger"/>
    <s v="17-23 Apr"/>
    <n v="1058"/>
    <s v="Hasanpur"/>
    <x v="845"/>
    <s v="Belshandi-2"/>
    <s v="MPG"/>
    <s v="Direct"/>
    <n v="244.89999999999998"/>
    <n v="10537.34"/>
    <n v="264.7"/>
    <n v="11939.65388799189"/>
    <n v="0"/>
    <n v="0"/>
    <n v="264.7"/>
    <n v="11939.65388799189"/>
    <n v="10537.34"/>
    <n v="0"/>
    <n v="0"/>
    <n v="1402.3138879918897"/>
    <n v="0"/>
    <n v="74.19"/>
    <n v="0"/>
    <n v="10463"/>
    <n v="0"/>
    <n v="0"/>
    <n v="0"/>
    <n v="0"/>
    <n v="391.63278350347088"/>
    <n v="34.98571428571428"/>
    <n v="-0.13308044421000839"/>
    <n v="17"/>
    <m/>
    <s v="Hasanpur"/>
    <m/>
    <n v="0"/>
  </r>
  <r>
    <s v="Munger"/>
    <s v="17-23 Apr"/>
    <n v="1058"/>
    <s v="Hasanpur"/>
    <x v="846"/>
    <s v="Godah"/>
    <s v="MPG"/>
    <s v="Direct"/>
    <n v="276"/>
    <n v="10400.19"/>
    <n v="308.2"/>
    <n v="12054.420950022002"/>
    <n v="0"/>
    <n v="0"/>
    <n v="308.2"/>
    <n v="12054.420950022002"/>
    <n v="10400.19"/>
    <n v="0"/>
    <n v="0"/>
    <n v="1654.2309500220017"/>
    <n v="0"/>
    <n v="0"/>
    <n v="0"/>
    <n v="10400"/>
    <n v="0"/>
    <n v="0"/>
    <n v="0"/>
    <n v="0"/>
    <n v="319.54206956521739"/>
    <n v="39.428571428571431"/>
    <n v="-0.15905776240837924"/>
    <n v="5"/>
    <m/>
    <s v="Hasanpur"/>
    <m/>
    <n v="0"/>
  </r>
  <r>
    <s v="Munger"/>
    <s v="17-23 Apr"/>
    <n v="1058"/>
    <s v="Hasanpur"/>
    <x v="847"/>
    <s v="Ballahpur"/>
    <s v="MPG"/>
    <s v="Direct"/>
    <n v="81.199999999999989"/>
    <n v="3255.7400000000002"/>
    <n v="78.95"/>
    <n v="3270.4391191121927"/>
    <n v="0"/>
    <n v="0"/>
    <n v="78.95"/>
    <n v="3270.4391191121927"/>
    <n v="3255.7400000000002"/>
    <n v="0"/>
    <n v="0"/>
    <n v="14.69911911219242"/>
    <n v="0"/>
    <n v="0"/>
    <n v="0"/>
    <n v="3255"/>
    <n v="0"/>
    <n v="0"/>
    <n v="1"/>
    <n v="0"/>
    <n v="496.21968275862088"/>
    <n v="11.599999999999998"/>
    <n v="-4.5148319927857932E-3"/>
    <n v="4"/>
    <m/>
    <s v="Hasanpur"/>
    <m/>
    <n v="0"/>
  </r>
  <r>
    <s v="Munger"/>
    <s v="17-23 Apr"/>
    <n v="1058"/>
    <s v="Hasanpur"/>
    <x v="848"/>
    <s v="Birpur"/>
    <s v="MPG"/>
    <s v="Direct"/>
    <n v="434.2000000000001"/>
    <n v="15562.919999999998"/>
    <n v="442.50999999999993"/>
    <n v="15350.1018191928"/>
    <n v="0"/>
    <n v="0"/>
    <n v="442.50999999999993"/>
    <n v="15350.1018191928"/>
    <n v="15350.1018191928"/>
    <n v="0"/>
    <n v="0"/>
    <n v="0"/>
    <n v="0"/>
    <n v="0"/>
    <n v="0"/>
    <n v="15351"/>
    <n v="0"/>
    <n v="0"/>
    <n v="212"/>
    <n v="0"/>
    <n v="190.54003390142779"/>
    <n v="62.028571428571446"/>
    <n v="1.367469477496502E-2"/>
    <n v="8"/>
    <m/>
    <s v="Hasanpur"/>
    <m/>
    <n v="0"/>
  </r>
  <r>
    <s v="Munger"/>
    <s v="17-23 Apr"/>
    <n v="1058"/>
    <s v="Hasanpur"/>
    <x v="849"/>
    <s v="Ahilwar"/>
    <s v="MPG"/>
    <s v="Direct"/>
    <n v="996.50000000000011"/>
    <n v="37659.700000000004"/>
    <n v="990.10000000000014"/>
    <n v="37241.518058711998"/>
    <n v="5.9"/>
    <n v="214.95510828000005"/>
    <n v="996.00000000000011"/>
    <n v="37456.473166992"/>
    <n v="37456.473166992"/>
    <n v="0"/>
    <n v="214.95510828000005"/>
    <n v="0"/>
    <n v="0"/>
    <n v="0"/>
    <n v="0"/>
    <n v="37242"/>
    <n v="0"/>
    <n v="0"/>
    <n v="203"/>
    <n v="0"/>
    <n v="0"/>
    <n v="0"/>
    <n v="5.3964007415885987E-3"/>
    <n v="3"/>
    <m/>
    <s v="Hasanpur"/>
    <m/>
    <n v="0"/>
  </r>
  <r>
    <s v="Munger"/>
    <s v="17-23 Apr"/>
    <n v="1058"/>
    <s v="Hasanpur"/>
    <x v="850"/>
    <s v="Paridah"/>
    <s v="MPG"/>
    <s v="Direct"/>
    <n v="219.00000000000006"/>
    <n v="9858.0799999999981"/>
    <n v="221.60000000000002"/>
    <n v="10103.757315126561"/>
    <n v="0"/>
    <n v="0"/>
    <n v="221.60000000000002"/>
    <n v="10103.757315126561"/>
    <n v="9858.0799999999981"/>
    <n v="0"/>
    <n v="0"/>
    <n v="245.67731512656246"/>
    <n v="0"/>
    <n v="0"/>
    <n v="0"/>
    <n v="9858"/>
    <n v="0"/>
    <n v="0"/>
    <n v="0"/>
    <n v="0"/>
    <n v="433.03529497716875"/>
    <n v="31.285714285714295"/>
    <n v="-2.492141625210614E-2"/>
    <n v="15"/>
    <m/>
    <s v="Hasanpur"/>
    <m/>
    <n v="0"/>
  </r>
  <r>
    <s v="Munger"/>
    <s v="17-23 Apr"/>
    <n v="1058"/>
    <s v="Hasanpur"/>
    <x v="851"/>
    <s v="Pansalla"/>
    <s v="MPG"/>
    <s v="Direct"/>
    <n v="295.00000000000006"/>
    <n v="9853.4299999999985"/>
    <n v="301.59999999999997"/>
    <n v="10635.638270400001"/>
    <n v="0"/>
    <n v="0"/>
    <n v="301.59999999999997"/>
    <n v="10635.638270400001"/>
    <n v="9853.4299999999985"/>
    <n v="0"/>
    <n v="0"/>
    <n v="782.20827040000222"/>
    <n v="0"/>
    <n v="0"/>
    <n v="0"/>
    <n v="9853"/>
    <n v="0"/>
    <n v="0"/>
    <n v="0"/>
    <n v="0"/>
    <n v="270.55180677966086"/>
    <n v="42.142857142857153"/>
    <n v="-7.9384363658137558E-2"/>
    <n v="1"/>
    <m/>
    <s v="Hasanpur"/>
    <m/>
    <n v="0"/>
  </r>
  <r>
    <s v="Munger"/>
    <s v="17-23 Apr"/>
    <n v="1058"/>
    <s v="Hasanpur"/>
    <x v="852"/>
    <s v="KOLAWARI"/>
    <s v="MPG"/>
    <s v="Direct"/>
    <n v="251.29999999999995"/>
    <n v="11904.79"/>
    <n v="253"/>
    <n v="11870.973482910747"/>
    <n v="0"/>
    <n v="0"/>
    <n v="253"/>
    <n v="11870.973482910747"/>
    <n v="11870.973482910747"/>
    <n v="0"/>
    <n v="0"/>
    <n v="0"/>
    <n v="0"/>
    <n v="0"/>
    <n v="0"/>
    <n v="11871"/>
    <n v="0"/>
    <n v="0"/>
    <n v="34"/>
    <n v="0"/>
    <n v="425.12369860724249"/>
    <n v="35.899999999999991"/>
    <n v="2.8405807317267639E-3"/>
    <n v="5"/>
    <m/>
    <s v="Hasanpur"/>
    <m/>
    <n v="0"/>
  </r>
  <r>
    <s v="Munger"/>
    <s v="17-23 Apr"/>
    <n v="1058"/>
    <s v="Hasanpur"/>
    <x v="853"/>
    <s v="MALDAH"/>
    <s v="vlc"/>
    <s v="Indirect"/>
    <n v="539.00000000000011"/>
    <n v="23174.5"/>
    <n v="0"/>
    <n v="0"/>
    <n v="0"/>
    <n v="0"/>
    <n v="0"/>
    <n v="0"/>
    <n v="23174.5"/>
    <n v="0"/>
    <n v="0"/>
    <n v="0"/>
    <n v="0"/>
    <n v="0"/>
    <n v="0"/>
    <n v="0"/>
    <n v="0"/>
    <n v="23174.5"/>
    <n v="0"/>
    <n v="0"/>
    <n v="138.44506493506481"/>
    <n v="77.000000000000014"/>
    <n v="0"/>
    <n v="0"/>
    <m/>
    <s v="Hasanpur"/>
    <m/>
    <n v="0"/>
  </r>
  <r>
    <s v="Munger"/>
    <s v="17-23 Apr"/>
    <n v="1058"/>
    <s v="Hasanpur"/>
    <x v="854"/>
    <s v="MARTHUA"/>
    <s v="MPG"/>
    <s v="Direct"/>
    <n v="287.90000000000003"/>
    <n v="12723.77"/>
    <n v="287.01"/>
    <n v="12584.557286254598"/>
    <n v="0"/>
    <n v="0"/>
    <n v="287.01"/>
    <n v="12584.557286254598"/>
    <n v="12584.557286254598"/>
    <n v="0"/>
    <n v="0"/>
    <n v="0"/>
    <n v="0"/>
    <n v="0"/>
    <n v="0"/>
    <n v="12584"/>
    <n v="0"/>
    <n v="0"/>
    <n v="140"/>
    <n v="0"/>
    <n v="364.25603452587706"/>
    <n v="41.128571428571433"/>
    <n v="1.0941152955877279E-2"/>
    <n v="6"/>
    <m/>
    <s v="Hasanpur"/>
    <m/>
    <n v="0"/>
  </r>
  <r>
    <s v="Munger"/>
    <s v="17-23 Apr"/>
    <n v="1058"/>
    <s v="Hasanpur"/>
    <x v="1047"/>
    <s v="GARHPURA "/>
    <s v="MPG"/>
    <s v="Direct"/>
    <n v="225.60000000000002"/>
    <n v="7414.3600000000006"/>
    <n v="240.50000000000003"/>
    <n v="7740.7617169079995"/>
    <n v="0"/>
    <n v="0"/>
    <n v="240.50000000000003"/>
    <n v="7740.7617169079995"/>
    <n v="7414.3600000000006"/>
    <n v="0"/>
    <n v="0"/>
    <n v="326.40171690799889"/>
    <n v="0"/>
    <n v="0"/>
    <n v="0"/>
    <n v="7414"/>
    <n v="0"/>
    <n v="0"/>
    <n v="0"/>
    <n v="0"/>
    <n v="311.82379290780136"/>
    <n v="32.228571428571435"/>
    <n v="-4.4022911877491633E-2"/>
    <n v="1"/>
    <m/>
    <s v="Hasanpur"/>
    <m/>
    <n v="0"/>
  </r>
  <r>
    <s v="Munger"/>
    <s v="17-23 Apr"/>
    <n v="1058"/>
    <s v="Hasanpur"/>
    <x v="855"/>
    <s v="KOKANI"/>
    <s v="MPG"/>
    <s v="Direct"/>
    <n v="159.79999999999998"/>
    <n v="6198.13"/>
    <n v="148.72999999999999"/>
    <n v="5941.2130215154211"/>
    <n v="0"/>
    <n v="0"/>
    <n v="148.72999999999999"/>
    <n v="5941.2130215154211"/>
    <n v="5941.2130215154211"/>
    <n v="0"/>
    <n v="0"/>
    <n v="0"/>
    <n v="0"/>
    <n v="0"/>
    <n v="0"/>
    <n v="5941"/>
    <n v="0"/>
    <n v="0"/>
    <n v="257"/>
    <n v="0"/>
    <n v="419.05254392991253"/>
    <n v="22.828571428571426"/>
    <n v="4.1450724409552393E-2"/>
    <n v="2"/>
    <m/>
    <s v="Hasanpur"/>
    <m/>
    <n v="0"/>
  </r>
  <r>
    <s v="Munger"/>
    <s v="17-23 Apr"/>
    <n v="1058"/>
    <s v="Hasanpur"/>
    <x v="856"/>
    <s v="DURGAPUR "/>
    <s v="MPG"/>
    <s v="Direct"/>
    <n v="259.39999999999998"/>
    <n v="10523.34"/>
    <n v="243.7"/>
    <n v="10465.49064440626"/>
    <n v="0"/>
    <n v="0"/>
    <n v="243.7"/>
    <n v="10465.49064440626"/>
    <n v="10465.49064440626"/>
    <n v="0"/>
    <n v="0"/>
    <n v="0"/>
    <n v="0"/>
    <n v="0"/>
    <n v="0"/>
    <n v="10466"/>
    <n v="0"/>
    <n v="0"/>
    <n v="57"/>
    <n v="0"/>
    <n v="357.48524317656137"/>
    <n v="37.057142857142857"/>
    <n v="5.4972428519595735E-3"/>
    <n v="6"/>
    <m/>
    <s v="Hasanpur"/>
    <m/>
    <n v="0"/>
  </r>
  <r>
    <s v="Munger"/>
    <s v="17-23 Apr"/>
    <n v="1058"/>
    <s v="Hasanpur"/>
    <x v="857"/>
    <s v="Chandauli"/>
    <s v="MPG"/>
    <s v="Direct"/>
    <n v="190.79999999999998"/>
    <n v="8208.7300000000014"/>
    <n v="197.69999999999996"/>
    <n v="8874.8369819016989"/>
    <n v="0"/>
    <n v="0"/>
    <n v="197.69999999999996"/>
    <n v="8874.8369819016989"/>
    <n v="8208.7300000000014"/>
    <n v="0"/>
    <n v="0"/>
    <n v="666.10698190169751"/>
    <n v="0"/>
    <n v="0"/>
    <n v="0"/>
    <n v="8209"/>
    <n v="0"/>
    <n v="0"/>
    <n v="0"/>
    <n v="0"/>
    <n v="438.14311488469622"/>
    <n v="27.257142857142856"/>
    <n v="-8.1146167787428433E-2"/>
    <n v="6"/>
    <m/>
    <s v="Hasanpur"/>
    <m/>
    <n v="0"/>
  </r>
  <r>
    <s v="Munger"/>
    <s v="17-23 Apr"/>
    <n v="1058"/>
    <s v="Hasanpur"/>
    <x v="1048"/>
    <s v="Girdharpur"/>
    <s v="MPG"/>
    <s v="Direct"/>
    <n v="371.2"/>
    <n v="12661.339999999998"/>
    <n v="350.2"/>
    <n v="11677.330836666"/>
    <n v="0"/>
    <n v="0"/>
    <n v="350.2"/>
    <n v="11677.330836666"/>
    <n v="11677.330836666"/>
    <n v="0"/>
    <n v="0"/>
    <n v="0"/>
    <n v="0"/>
    <n v="0"/>
    <n v="0"/>
    <n v="11677"/>
    <n v="0"/>
    <n v="0"/>
    <n v="984"/>
    <n v="0"/>
    <n v="224.30218706896551"/>
    <n v="53.028571428571425"/>
    <n v="7.771761625025457E-2"/>
    <n v="1"/>
    <m/>
    <s v="Hasanpur"/>
    <m/>
    <n v="0"/>
  </r>
  <r>
    <s v="Munger"/>
    <s v="17-23 Apr"/>
    <n v="1058"/>
    <s v="Hasanpur"/>
    <x v="858"/>
    <s v="Yogidih VLC"/>
    <s v="vlc"/>
    <s v="Indirect"/>
    <n v="155.44999999999996"/>
    <n v="5739.5599999999995"/>
    <n v="0"/>
    <n v="0"/>
    <n v="0"/>
    <n v="0"/>
    <n v="0"/>
    <n v="0"/>
    <n v="5739.5599999999995"/>
    <n v="0"/>
    <n v="0"/>
    <n v="0"/>
    <n v="0"/>
    <n v="0"/>
    <n v="0"/>
    <n v="0"/>
    <n v="0"/>
    <n v="5739.5599999999995"/>
    <n v="0"/>
    <n v="0"/>
    <n v="402.1199611450628"/>
    <n v="22.207142857142852"/>
    <n v="0"/>
    <n v="0"/>
    <m/>
    <s v="Hasanpur"/>
    <m/>
    <n v="0"/>
  </r>
  <r>
    <s v="Munger"/>
    <s v="17-23 Apr"/>
    <n v="1058"/>
    <s v="Hasanpur"/>
    <x v="860"/>
    <s v="Harerampur Vlc"/>
    <s v="vlc"/>
    <s v="Indirect"/>
    <n v="9.1999999999999993"/>
    <n v="289.25"/>
    <n v="0"/>
    <n v="0"/>
    <n v="0"/>
    <n v="0"/>
    <n v="0"/>
    <n v="0"/>
    <n v="289.25"/>
    <n v="0"/>
    <n v="0"/>
    <n v="0"/>
    <n v="0"/>
    <n v="0"/>
    <n v="0"/>
    <n v="0"/>
    <n v="0"/>
    <n v="289.25"/>
    <n v="0"/>
    <n v="0"/>
    <n v="434.37804347826091"/>
    <n v="1.3142857142857143"/>
    <n v="0"/>
    <n v="0"/>
    <m/>
    <s v="Hasanpur"/>
    <m/>
    <n v="0"/>
  </r>
  <r>
    <s v="Munger"/>
    <s v="17-23 Apr"/>
    <n v="1059"/>
    <s v="Gopalpur Bmc"/>
    <x v="862"/>
    <s v="MISHRBIGHA"/>
    <s v="MPG"/>
    <s v="Direct"/>
    <n v="516.80000000000007"/>
    <n v="27788.159999999996"/>
    <n v="542.06000000000006"/>
    <n v="31809.128719636661"/>
    <n v="3.61"/>
    <n v="231.03276876000001"/>
    <n v="545.67000000000007"/>
    <n v="32040.161488396661"/>
    <n v="27788.159999999996"/>
    <n v="0"/>
    <n v="231.03276876000001"/>
    <n v="4252.0014883966651"/>
    <n v="0"/>
    <n v="0"/>
    <n v="0"/>
    <n v="27557"/>
    <n v="0"/>
    <n v="0"/>
    <n v="0"/>
    <n v="0"/>
    <n v="197.01203219814229"/>
    <n v="73.828571428571436"/>
    <n v="-0.15301486274717957"/>
    <n v="5"/>
    <m/>
    <s v="Gopalpur Bmc"/>
    <m/>
    <n v="0"/>
  </r>
  <r>
    <s v="Munger"/>
    <s v="17-23 Apr"/>
    <n v="1059"/>
    <s v="Gopalpur Bmc"/>
    <x v="863"/>
    <s v="DIGHOI"/>
    <s v="MPG"/>
    <s v="Direct"/>
    <n v="112.69999999999999"/>
    <n v="6845.6299999999992"/>
    <n v="113.3"/>
    <n v="7182.8180132652196"/>
    <n v="0"/>
    <n v="0"/>
    <n v="113.3"/>
    <n v="7182.8180132652196"/>
    <n v="6845.6299999999992"/>
    <n v="0"/>
    <n v="0"/>
    <n v="337.18801326522043"/>
    <n v="0"/>
    <n v="0"/>
    <n v="0"/>
    <n v="6846"/>
    <n v="0"/>
    <n v="0"/>
    <n v="0"/>
    <n v="0"/>
    <n v="713.47621987577645"/>
    <n v="16.099999999999998"/>
    <n v="-4.9255950623276527E-2"/>
    <n v="1"/>
    <m/>
    <s v="Gopalpur Bmc"/>
    <m/>
    <n v="0"/>
  </r>
  <r>
    <s v="Munger"/>
    <s v="17-23 Apr"/>
    <n v="1059"/>
    <s v="Gopalpur Bmc"/>
    <x v="864"/>
    <s v="PRATAPUR"/>
    <s v="MPG"/>
    <s v="Direct"/>
    <n v="1059.7"/>
    <n v="38647.979999999996"/>
    <n v="1077.3900000000001"/>
    <n v="37839.13829251381"/>
    <n v="0"/>
    <n v="0"/>
    <n v="1077.3900000000001"/>
    <n v="37839.13829251381"/>
    <n v="37839.13829251381"/>
    <n v="0"/>
    <n v="0"/>
    <n v="0"/>
    <n v="0"/>
    <n v="0"/>
    <n v="0"/>
    <n v="37839"/>
    <n v="0"/>
    <n v="0"/>
    <n v="809"/>
    <n v="0"/>
    <n v="0"/>
    <n v="0"/>
    <n v="2.0928434228287905E-2"/>
    <n v="1"/>
    <m/>
    <s v="Gopalpur Bmc"/>
    <m/>
    <n v="0"/>
  </r>
  <r>
    <s v="Munger"/>
    <s v="17-23 Apr"/>
    <n v="1059"/>
    <s v="Gopalpur Bmc"/>
    <x v="865"/>
    <s v="GOPALPUR"/>
    <s v="MPG"/>
    <s v="Direct"/>
    <n v="355.4"/>
    <n v="15002.830000000002"/>
    <n v="348.4"/>
    <n v="15343.7512000522"/>
    <n v="0"/>
    <n v="0"/>
    <n v="348.4"/>
    <n v="15343.7512000522"/>
    <n v="15002.830000000002"/>
    <n v="0"/>
    <n v="0"/>
    <n v="340.9212000521984"/>
    <n v="0"/>
    <n v="0"/>
    <n v="0"/>
    <n v="15003"/>
    <n v="0"/>
    <n v="0"/>
    <n v="0"/>
    <n v="0"/>
    <n v="290.93839155880704"/>
    <n v="50.771428571428565"/>
    <n v="-2.2723792781241831E-2"/>
    <n v="9"/>
    <m/>
    <s v="Gopalpur Bmc"/>
    <m/>
    <n v="0"/>
  </r>
  <r>
    <s v="Munger"/>
    <s v="17-23 Apr"/>
    <n v="1059"/>
    <s v="Gopalpur Bmc"/>
    <x v="866"/>
    <s v="LAXMIPUR"/>
    <s v="MPG"/>
    <s v="Direct"/>
    <n v="6.8"/>
    <n v="253.16"/>
    <n v="7.1"/>
    <n v="274.60728504000002"/>
    <n v="0"/>
    <n v="0"/>
    <n v="7.1"/>
    <n v="274.60728504000002"/>
    <n v="253.16"/>
    <n v="0"/>
    <n v="0"/>
    <n v="21.447285040000025"/>
    <n v="0"/>
    <n v="0"/>
    <n v="0"/>
    <n v="253"/>
    <n v="0"/>
    <n v="0"/>
    <n v="0"/>
    <n v="0"/>
    <n v="516.14856470588222"/>
    <n v="0.97142857142857142"/>
    <n v="-8.4718300837415175E-2"/>
    <n v="1"/>
    <m/>
    <s v="Gopalpur Bmc"/>
    <m/>
    <n v="0"/>
  </r>
  <r>
    <s v="Munger"/>
    <s v="17-23 Apr"/>
    <n v="1059"/>
    <s v="Gopalpur Bmc"/>
    <x v="867"/>
    <s v="NARMDA"/>
    <s v="MPG"/>
    <s v="Direct"/>
    <n v="353.90000000000003"/>
    <n v="15546.55"/>
    <n v="432.3"/>
    <n v="18902.588383569"/>
    <n v="0"/>
    <n v="0"/>
    <n v="432.3"/>
    <n v="18902.588383569"/>
    <n v="15546.55"/>
    <n v="0"/>
    <n v="0"/>
    <n v="3356.0383835690009"/>
    <n v="0"/>
    <n v="0"/>
    <n v="0"/>
    <n v="15547"/>
    <n v="0"/>
    <n v="0"/>
    <n v="0"/>
    <n v="0"/>
    <n v="304.07804210228869"/>
    <n v="50.557142857142864"/>
    <n v="-0.21587029814132402"/>
    <n v="1"/>
    <m/>
    <s v="Gopalpur Bmc"/>
    <m/>
    <n v="0"/>
  </r>
  <r>
    <s v="Munger"/>
    <s v="17-23 Apr"/>
    <n v="1059"/>
    <s v="Gopalpur Bmc"/>
    <x v="868"/>
    <s v="LAKHANPUR"/>
    <s v="MPG"/>
    <s v="Direct"/>
    <n v="58.5"/>
    <n v="2405.7300000000005"/>
    <n v="73"/>
    <n v="2854.8959472000001"/>
    <n v="0"/>
    <n v="0"/>
    <n v="73"/>
    <n v="2854.8959472000001"/>
    <n v="2405.7300000000005"/>
    <n v="0"/>
    <n v="0"/>
    <n v="449.16594719999966"/>
    <n v="0"/>
    <n v="0"/>
    <n v="0"/>
    <n v="2406"/>
    <n v="0"/>
    <n v="0"/>
    <n v="0"/>
    <n v="0"/>
    <n v="527.61565641025652"/>
    <n v="8.3571428571428577"/>
    <n v="-0.18670671571622732"/>
    <n v="1"/>
    <m/>
    <s v="Gopalpur Bmc"/>
    <m/>
    <n v="0"/>
  </r>
  <r>
    <s v="Munger"/>
    <s v="17-23 Apr"/>
    <n v="1059"/>
    <s v="Gopalpur Bmc"/>
    <x v="869"/>
    <s v="AMRATH"/>
    <s v="MPG"/>
    <s v="Direct"/>
    <n v="1055.2000000000003"/>
    <n v="50254.04"/>
    <n v="1056.2"/>
    <n v="49045.986206017304"/>
    <n v="0"/>
    <n v="0"/>
    <n v="1056.2"/>
    <n v="49045.986206017304"/>
    <n v="49045.986206017304"/>
    <n v="0"/>
    <n v="0"/>
    <n v="0"/>
    <n v="0"/>
    <n v="0"/>
    <n v="0"/>
    <n v="49046"/>
    <n v="0"/>
    <n v="0"/>
    <n v="1208"/>
    <n v="0"/>
    <n v="0"/>
    <n v="0"/>
    <n v="2.4038938839199737E-2"/>
    <n v="2"/>
    <m/>
    <s v="Gopalpur Bmc"/>
    <m/>
    <n v="0"/>
  </r>
  <r>
    <s v="Munger"/>
    <s v="17-23 Apr"/>
    <n v="1059"/>
    <s v="Gopalpur Bmc"/>
    <x v="870"/>
    <s v="PUTERIA"/>
    <s v="MPG"/>
    <s v="Direct"/>
    <n v="705.5"/>
    <n v="26007.31"/>
    <n v="684.26"/>
    <n v="27334.983816768301"/>
    <n v="0"/>
    <n v="0"/>
    <n v="684.26"/>
    <n v="27334.983816768301"/>
    <n v="26007.31"/>
    <n v="0"/>
    <n v="0"/>
    <n v="1327.6738167682997"/>
    <n v="0"/>
    <n v="0"/>
    <n v="0"/>
    <n v="26007"/>
    <n v="0"/>
    <n v="0"/>
    <n v="0"/>
    <n v="0"/>
    <n v="0"/>
    <n v="0"/>
    <n v="-5.1050024657232893E-2"/>
    <n v="6"/>
    <m/>
    <s v="Gopalpur Bmc"/>
    <m/>
    <n v="0"/>
  </r>
  <r>
    <s v="Munger"/>
    <s v="17-23 Apr"/>
    <n v="1059"/>
    <s v="Gopalpur Bmc"/>
    <x v="871"/>
    <s v="LAKHAPUR"/>
    <s v="MPG"/>
    <s v="Direct"/>
    <n v="358.4"/>
    <n v="14163.700000000003"/>
    <n v="381.29999999999995"/>
    <n v="14929.3899306741"/>
    <n v="0"/>
    <n v="0"/>
    <n v="381.29999999999995"/>
    <n v="14929.3899306741"/>
    <n v="14163.700000000003"/>
    <n v="0"/>
    <n v="0"/>
    <n v="765.68993067409792"/>
    <n v="0"/>
    <n v="0"/>
    <n v="0"/>
    <n v="14164"/>
    <n v="0"/>
    <n v="0"/>
    <n v="0"/>
    <n v="0"/>
    <n v="269.99553125000011"/>
    <n v="51.199999999999996"/>
    <n v="-5.4060021793323622E-2"/>
    <n v="1"/>
    <m/>
    <s v="Gopalpur Bmc"/>
    <m/>
    <n v="0"/>
  </r>
  <r>
    <s v="Munger"/>
    <s v="17-23 Apr"/>
    <n v="1059"/>
    <s v="Gopalpur Bmc"/>
    <x v="872"/>
    <s v="BARIYARPUR"/>
    <s v="MPG"/>
    <s v="Direct"/>
    <n v="166.99999999999997"/>
    <n v="6035.97"/>
    <n v="166.99999999999997"/>
    <n v="6087.0479668020007"/>
    <n v="0"/>
    <n v="0"/>
    <n v="166.99999999999997"/>
    <n v="6087.0479668020007"/>
    <n v="6035.97"/>
    <n v="0"/>
    <n v="0"/>
    <n v="51.077966802000446"/>
    <n v="0"/>
    <n v="0"/>
    <n v="0"/>
    <n v="6036"/>
    <n v="0"/>
    <n v="0"/>
    <n v="0"/>
    <n v="0"/>
    <n v="385.29006107784437"/>
    <n v="23.857142857142854"/>
    <n v="-8.4622631991213421E-3"/>
    <n v="1"/>
    <m/>
    <s v="Gopalpur Bmc"/>
    <m/>
    <n v="0"/>
  </r>
  <r>
    <s v="Munger"/>
    <s v="17-23 Apr"/>
    <n v="1059"/>
    <s v="Gopalpur Bmc"/>
    <x v="873"/>
    <s v="BAGWANA"/>
    <s v="MPG"/>
    <s v="Direct"/>
    <n v="304.59999999999997"/>
    <n v="13053.089999999998"/>
    <n v="297.77000000000004"/>
    <n v="12630.9121881476"/>
    <n v="0"/>
    <n v="0"/>
    <n v="297.77000000000004"/>
    <n v="12630.9121881476"/>
    <n v="12630.9121881476"/>
    <n v="0"/>
    <n v="0"/>
    <n v="0"/>
    <n v="0"/>
    <n v="0"/>
    <n v="0"/>
    <n v="12631"/>
    <n v="0"/>
    <n v="0"/>
    <n v="422"/>
    <n v="0"/>
    <n v="338.88324267892318"/>
    <n v="43.514285714285712"/>
    <n v="3.2343131921437611E-2"/>
    <n v="1"/>
    <m/>
    <s v="Gopalpur Bmc"/>
    <m/>
    <n v="0"/>
  </r>
  <r>
    <s v="Munger"/>
    <s v="17-23 Apr"/>
    <n v="1059"/>
    <s v="Gopalpur Bmc"/>
    <x v="874"/>
    <s v="REWATA"/>
    <s v="MPG"/>
    <s v="Direct"/>
    <n v="29.3"/>
    <n v="1551.48"/>
    <n v="29.299999999999997"/>
    <n v="1544.4430281566001"/>
    <n v="0"/>
    <n v="0"/>
    <n v="29.299999999999997"/>
    <n v="1544.4430281566001"/>
    <n v="1544.4430281566001"/>
    <n v="0"/>
    <n v="0"/>
    <n v="0"/>
    <n v="0"/>
    <n v="0"/>
    <n v="0"/>
    <n v="1544"/>
    <n v="0"/>
    <n v="0"/>
    <n v="7"/>
    <n v="0"/>
    <n v="710.29190170648485"/>
    <n v="4.1857142857142859"/>
    <n v="4.5356510192847456E-3"/>
    <n v="1"/>
    <m/>
    <s v="Gopalpur Bmc"/>
    <m/>
    <n v="0"/>
  </r>
  <r>
    <s v="Munger"/>
    <s v="17-23 Apr"/>
    <n v="1059"/>
    <s v="Gopalpur Bmc"/>
    <x v="1049"/>
    <s v="GOMUKH DAND"/>
    <s v="vlc"/>
    <s v="Indirect"/>
    <n v="334.99999999999994"/>
    <n v="14427.05"/>
    <n v="0"/>
    <n v="0"/>
    <n v="0"/>
    <n v="0"/>
    <n v="0"/>
    <n v="0"/>
    <n v="14427.05"/>
    <n v="0"/>
    <n v="0"/>
    <n v="0"/>
    <n v="0"/>
    <n v="0"/>
    <n v="0"/>
    <n v="0"/>
    <n v="0"/>
    <n v="14427.05"/>
    <n v="0"/>
    <n v="0"/>
    <n v="314.3804925373135"/>
    <n v="47.857142857142847"/>
    <n v="0"/>
    <n v="0"/>
    <m/>
    <s v="Gopalpur Bmc"/>
    <m/>
    <n v="0"/>
  </r>
  <r>
    <s v="Munger"/>
    <s v="17-23 Apr"/>
    <n v="1014"/>
    <s v="Dumraon"/>
    <x v="875"/>
    <s v="Gomukh Karisath"/>
    <s v="MPG"/>
    <s v="Direct"/>
    <n v="686.69999999999993"/>
    <n v="24966.600000000006"/>
    <n v="680.37"/>
    <n v="24962.061756852003"/>
    <n v="0"/>
    <n v="0"/>
    <n v="680.37"/>
    <n v="24962.061756852003"/>
    <n v="24962.061756852003"/>
    <n v="0"/>
    <n v="0"/>
    <n v="0"/>
    <n v="0"/>
    <n v="0"/>
    <n v="0"/>
    <n v="24962"/>
    <n v="0"/>
    <n v="0"/>
    <n v="5"/>
    <n v="0"/>
    <n v="9.6710581039755681"/>
    <n v="98.1"/>
    <n v="1.8177257407908754E-4"/>
    <n v="2"/>
    <m/>
    <s v="Dumraon"/>
    <m/>
    <n v="0"/>
  </r>
  <r>
    <s v="Munger"/>
    <s v="17-23 Apr"/>
    <n v="1014"/>
    <s v="Dumraon"/>
    <x v="876"/>
    <s v="Gomukh Ama"/>
    <s v="MPG"/>
    <s v="Direct"/>
    <n v="891.00000000000011"/>
    <n v="33293.740000000005"/>
    <n v="879.33999999999992"/>
    <n v="33238.184757181501"/>
    <n v="0"/>
    <n v="0"/>
    <n v="879.33999999999992"/>
    <n v="33238.184757181501"/>
    <n v="33238.184757181501"/>
    <n v="0"/>
    <n v="0"/>
    <n v="0"/>
    <n v="0"/>
    <n v="0"/>
    <n v="0"/>
    <n v="33238"/>
    <n v="0"/>
    <n v="0"/>
    <n v="56"/>
    <n v="0"/>
    <n v="0"/>
    <n v="0"/>
    <n v="1.6686392943088926E-3"/>
    <n v="1"/>
    <m/>
    <s v="Dumraon"/>
    <m/>
    <n v="0"/>
  </r>
  <r>
    <s v="Munger"/>
    <s v="17-23 Apr"/>
    <n v="1014"/>
    <s v="Dumraon"/>
    <x v="877"/>
    <s v="Gomukh Pawat"/>
    <s v="MPG"/>
    <s v="Direct"/>
    <n v="350"/>
    <n v="11251.979999999998"/>
    <n v="358.37"/>
    <n v="14853.430194261167"/>
    <n v="0"/>
    <n v="0"/>
    <n v="358.37"/>
    <n v="14853.430194261167"/>
    <n v="11251.979999999998"/>
    <n v="0"/>
    <n v="0"/>
    <n v="3601.4501942611696"/>
    <n v="0"/>
    <n v="0"/>
    <n v="0"/>
    <n v="11252"/>
    <n v="0"/>
    <n v="0"/>
    <n v="0"/>
    <n v="0"/>
    <n v="225.03959999999995"/>
    <n v="50"/>
    <n v="-0.32007257338363293"/>
    <n v="2"/>
    <m/>
    <s v="Dumraon"/>
    <m/>
    <n v="0"/>
  </r>
  <r>
    <s v="Munger"/>
    <s v="17-23 Apr"/>
    <n v="1014"/>
    <s v="Dumraon"/>
    <x v="878"/>
    <s v="Gomukh Barja"/>
    <s v="MPG"/>
    <s v="Direct"/>
    <n v="204.79999999999995"/>
    <n v="7515.45"/>
    <n v="202.19"/>
    <n v="7412.3359256430012"/>
    <n v="2.5599999999999996"/>
    <n v="91.501007994000005"/>
    <n v="204.75"/>
    <n v="7503.8369336370015"/>
    <n v="7503.8369336370015"/>
    <n v="0"/>
    <n v="91.501007994000005"/>
    <n v="0"/>
    <n v="0"/>
    <n v="0"/>
    <n v="0"/>
    <n v="7412"/>
    <n v="0"/>
    <n v="0"/>
    <n v="12"/>
    <n v="0"/>
    <n v="363.44246484375014"/>
    <n v="29.257142857142849"/>
    <n v="1.5452256834917837E-3"/>
    <n v="2"/>
    <m/>
    <s v="Dumraon"/>
    <m/>
    <n v="0"/>
  </r>
  <r>
    <s v="Munger"/>
    <s v="17-23 Apr"/>
    <n v="1014"/>
    <s v="Dumraon"/>
    <x v="879"/>
    <s v="Gomukh Charghat"/>
    <s v="MPG"/>
    <s v="Direct"/>
    <n v="39.6"/>
    <n v="1619.68"/>
    <n v="41.86"/>
    <n v="1642.9193629992001"/>
    <n v="0"/>
    <n v="0"/>
    <n v="41.86"/>
    <n v="1642.9193629992001"/>
    <n v="1619.68"/>
    <n v="0"/>
    <n v="0"/>
    <n v="23.239362999200011"/>
    <n v="0"/>
    <n v="0"/>
    <n v="0"/>
    <n v="1620"/>
    <n v="0"/>
    <n v="0"/>
    <n v="0"/>
    <n v="0"/>
    <n v="540.22054141414139"/>
    <n v="5.6571428571428575"/>
    <n v="-1.4348119998518233E-2"/>
    <n v="1"/>
    <m/>
    <s v="Dumraon"/>
    <m/>
    <n v="0"/>
  </r>
  <r>
    <s v="Munger"/>
    <s v="17-23 Apr"/>
    <n v="1060"/>
    <s v="Behiya BMC"/>
    <x v="880"/>
    <s v="Gomukh Navadih"/>
    <s v="MPG"/>
    <s v="Direct"/>
    <n v="45.2"/>
    <n v="1979.05"/>
    <n v="47"/>
    <n v="1948.1087340000001"/>
    <n v="0"/>
    <n v="0"/>
    <n v="47"/>
    <n v="1948.1087340000001"/>
    <n v="1948.1087340000001"/>
    <n v="0"/>
    <n v="0"/>
    <n v="0"/>
    <n v="0"/>
    <n v="0"/>
    <n v="0"/>
    <n v="1948"/>
    <n v="0"/>
    <n v="0"/>
    <n v="31"/>
    <n v="0"/>
    <n v="573.39908849557514"/>
    <n v="6.4571428571428573"/>
    <n v="1.5634403375356768E-2"/>
    <n v="1"/>
    <m/>
    <s v="Behiya BMC"/>
    <m/>
    <n v="0"/>
  </r>
  <r>
    <s v="Munger"/>
    <s v="17-23 Apr"/>
    <n v="1014"/>
    <s v="Dumraon"/>
    <x v="881"/>
    <s v="Gomukh Ramdihra"/>
    <s v="MPG"/>
    <s v="Direct"/>
    <n v="188.6"/>
    <n v="5796.0599999999995"/>
    <n v="173.51"/>
    <n v="5782.0161820014009"/>
    <n v="0"/>
    <n v="0"/>
    <n v="173.51"/>
    <n v="5782.0161820014009"/>
    <n v="5782.0161820014009"/>
    <n v="0"/>
    <n v="0"/>
    <n v="0"/>
    <n v="0"/>
    <n v="0"/>
    <n v="0"/>
    <n v="5782"/>
    <n v="0"/>
    <n v="0"/>
    <n v="14"/>
    <n v="0"/>
    <n v="314.32715630965004"/>
    <n v="26.942857142857143"/>
    <n v="2.4229938956116001E-3"/>
    <n v="1"/>
    <m/>
    <s v="Dumraon"/>
    <m/>
    <n v="0"/>
  </r>
  <r>
    <s v="Munger"/>
    <s v="17-23 Apr"/>
    <n v="1014"/>
    <s v="Dumraon"/>
    <x v="882"/>
    <s v="Gomukh Bara"/>
    <s v="MPG"/>
    <s v="Direct"/>
    <n v="547.1"/>
    <n v="19936.34"/>
    <n v="541.96"/>
    <n v="22207.365819514802"/>
    <n v="0"/>
    <n v="0"/>
    <n v="541.96"/>
    <n v="22207.365819514802"/>
    <n v="19936.34"/>
    <n v="0"/>
    <n v="0"/>
    <n v="2271.0258195148017"/>
    <n v="0"/>
    <n v="0"/>
    <n v="0"/>
    <n v="19936"/>
    <n v="0"/>
    <n v="0"/>
    <n v="0"/>
    <n v="0"/>
    <n v="111.43360943154813"/>
    <n v="78.157142857142858"/>
    <n v="-0.11391387885212641"/>
    <n v="2"/>
    <m/>
    <s v="Dumraon"/>
    <m/>
    <n v="0"/>
  </r>
  <r>
    <s v="Munger"/>
    <s v="17-23 Apr"/>
    <n v="1060"/>
    <s v="Behiya BMC"/>
    <x v="883"/>
    <s v="Gumukh Salempur"/>
    <s v="MPG"/>
    <s v="Direct"/>
    <n v="17.3"/>
    <n v="496.51"/>
    <n v="22.26"/>
    <n v="802.18516039200017"/>
    <n v="0.37"/>
    <n v="13.626755604000003"/>
    <n v="22.630000000000003"/>
    <n v="815.81191599600015"/>
    <n v="496.51"/>
    <n v="0"/>
    <n v="13.626755604000003"/>
    <n v="319.30191599600016"/>
    <n v="0"/>
    <n v="0"/>
    <n v="0"/>
    <n v="483"/>
    <n v="0"/>
    <n v="0"/>
    <n v="0"/>
    <n v="0"/>
    <n v="391.86979999999994"/>
    <n v="2.4714285714285715"/>
    <n v="-0.6430926184689133"/>
    <n v="2"/>
    <m/>
    <s v="Behiya BMC"/>
    <m/>
    <n v="0"/>
  </r>
  <r>
    <s v="Munger"/>
    <s v="17-23 Apr"/>
    <n v="1014"/>
    <s v="Dumraon"/>
    <x v="884"/>
    <s v="Gumukh Khajuriya"/>
    <s v="MPG"/>
    <s v="Direct"/>
    <n v="472.2"/>
    <n v="15989.800000000001"/>
    <n v="473.80999999999995"/>
    <n v="16156.992680631001"/>
    <n v="0"/>
    <n v="0"/>
    <n v="473.80999999999995"/>
    <n v="16156.992680631001"/>
    <n v="15989.800000000001"/>
    <n v="0"/>
    <n v="0"/>
    <n v="167.19268063100026"/>
    <n v="0"/>
    <n v="0"/>
    <n v="0"/>
    <n v="15990"/>
    <n v="0"/>
    <n v="0"/>
    <n v="0"/>
    <n v="0"/>
    <n v="154.27685048708176"/>
    <n v="67.457142857142856"/>
    <n v="-1.0456208372274841E-2"/>
    <n v="2"/>
    <m/>
    <s v="Dumraon"/>
    <m/>
    <n v="0"/>
  </r>
  <r>
    <s v="Munger"/>
    <s v="17-23 Apr"/>
    <n v="1014"/>
    <s v="Dumraon"/>
    <x v="885"/>
    <s v="Gomukh Chhotaki Hardiya"/>
    <s v="MPG"/>
    <s v="Direct"/>
    <n v="348.48999999999995"/>
    <n v="17084.669999999998"/>
    <n v="351.35999999999996"/>
    <n v="19096.291056943457"/>
    <n v="6.16"/>
    <n v="336.63788882768006"/>
    <n v="357.52"/>
    <n v="19432.928945771138"/>
    <n v="17084.669999999998"/>
    <n v="0"/>
    <n v="336.63788882768006"/>
    <n v="2348.2589457711401"/>
    <n v="0"/>
    <n v="0"/>
    <n v="0"/>
    <n v="16748"/>
    <n v="0"/>
    <n v="0"/>
    <n v="0"/>
    <n v="0"/>
    <n v="344.65450094407311"/>
    <n v="49.784285714285708"/>
    <n v="-0.13744830574843647"/>
    <n v="2"/>
    <m/>
    <s v="Dumraon"/>
    <m/>
    <n v="0"/>
  </r>
  <r>
    <s v="Munger"/>
    <s v="17-23 Apr"/>
    <n v="1061"/>
    <s v="Mahua BMC"/>
    <x v="886"/>
    <s v="GOMUKH BHATOLIYA"/>
    <s v="MPG"/>
    <s v="Direct"/>
    <n v="802.99999999999989"/>
    <n v="35834.699999999997"/>
    <n v="824.2"/>
    <n v="34882.078047628405"/>
    <n v="4.8000000000000007"/>
    <n v="200.732279616"/>
    <n v="829"/>
    <n v="35082.810327244406"/>
    <n v="35082.810327244406"/>
    <n v="0"/>
    <n v="200.732279616"/>
    <n v="0"/>
    <n v="0"/>
    <n v="0"/>
    <n v="0"/>
    <n v="34883"/>
    <n v="0"/>
    <n v="0"/>
    <n v="751"/>
    <n v="0"/>
    <n v="0"/>
    <n v="0"/>
    <n v="2.0982167361679915E-2"/>
    <n v="7"/>
    <m/>
    <s v="Mahua BMC"/>
    <m/>
    <n v="0"/>
  </r>
  <r>
    <s v="Munger"/>
    <s v="17-23 Apr"/>
    <n v="1061"/>
    <s v="Mahua BMC"/>
    <x v="887"/>
    <s v="GOMUKH CHEHRAKALA"/>
    <s v="MPG"/>
    <s v="Direct"/>
    <n v="371.2"/>
    <n v="16995.379999999997"/>
    <n v="378.70000000000005"/>
    <n v="17595.971402023803"/>
    <n v="0"/>
    <n v="0"/>
    <n v="378.70000000000005"/>
    <n v="17595.971402023803"/>
    <n v="16995.379999999997"/>
    <n v="0"/>
    <n v="0"/>
    <n v="600.59140202380513"/>
    <n v="0"/>
    <n v="0"/>
    <n v="0"/>
    <n v="16995"/>
    <n v="0"/>
    <n v="0"/>
    <n v="0"/>
    <s v="Release1"/>
    <n v="301.08194741379305"/>
    <n v="53.028571428571425"/>
    <n v="-3.5338509761111858E-2"/>
    <n v="13"/>
    <m/>
    <s v="Mahua BMC"/>
    <m/>
    <n v="0"/>
  </r>
  <r>
    <s v="Munger"/>
    <s v="17-23 Apr"/>
    <n v="1061"/>
    <s v="Mahua BMC"/>
    <x v="888"/>
    <s v="GOMUKH KHAJECHAND"/>
    <s v="MPG"/>
    <s v="Direct"/>
    <n v="470.90000000000003"/>
    <n v="17349.920000000002"/>
    <n v="469.9"/>
    <n v="17901.556209107999"/>
    <n v="0"/>
    <n v="0"/>
    <n v="469.9"/>
    <n v="17901.556209107999"/>
    <n v="17349.920000000002"/>
    <n v="0"/>
    <n v="0"/>
    <n v="551.63620910799727"/>
    <n v="0"/>
    <n v="0"/>
    <n v="0"/>
    <n v="17350"/>
    <n v="0"/>
    <n v="0"/>
    <n v="0"/>
    <n v="0"/>
    <n v="168.81999031641539"/>
    <n v="67.271428571428572"/>
    <n v="-3.1794740788891086E-2"/>
    <n v="3"/>
    <m/>
    <s v="Mahua BMC"/>
    <m/>
    <n v="0"/>
  </r>
  <r>
    <s v="Munger"/>
    <s v="17-23 Apr"/>
    <n v="1061"/>
    <s v="Mahua BMC"/>
    <x v="889"/>
    <s v="GOMUKH SALEMPUR"/>
    <s v="MPG"/>
    <s v="Direct"/>
    <n v="155.39999999999998"/>
    <n v="6338.54"/>
    <n v="153.69999999999999"/>
    <n v="6181.1546248095001"/>
    <n v="2.7000000000000006"/>
    <n v="108.54911509200001"/>
    <n v="156.39999999999998"/>
    <n v="6289.7037399014998"/>
    <n v="6289.7037399014998"/>
    <n v="0"/>
    <n v="108.54911509200001"/>
    <n v="0"/>
    <n v="0"/>
    <n v="0"/>
    <n v="0"/>
    <n v="6181"/>
    <n v="0"/>
    <n v="0"/>
    <n v="49"/>
    <n v="0"/>
    <n v="444.26883963963985"/>
    <n v="22.199999999999996"/>
    <n v="7.7046543996725008E-3"/>
    <n v="4"/>
    <m/>
    <s v="Mahua BMC"/>
    <m/>
    <n v="0"/>
  </r>
  <r>
    <s v="Munger"/>
    <s v="17-23 Apr"/>
    <n v="1061"/>
    <s v="Mahua BMC"/>
    <x v="890"/>
    <s v="Gomukh Paharpur"/>
    <s v="MPG"/>
    <s v="Direct"/>
    <n v="300.89999999999992"/>
    <n v="11227.079999999998"/>
    <n v="298.5"/>
    <n v="11457.472779554077"/>
    <n v="0.2"/>
    <n v="7.606038132000001"/>
    <n v="298.7"/>
    <n v="11465.078817686077"/>
    <n v="11227.079999999998"/>
    <n v="0"/>
    <n v="7.606038132000001"/>
    <n v="237.99881768607884"/>
    <n v="0"/>
    <n v="0"/>
    <n v="0"/>
    <n v="11219"/>
    <n v="0"/>
    <n v="0"/>
    <n v="0"/>
    <n v="0"/>
    <n v="297.8217100697907"/>
    <n v="42.985714285714273"/>
    <n v="-2.1198639155156896E-2"/>
    <n v="4"/>
    <m/>
    <s v="Mahua BMC"/>
    <m/>
    <n v="0"/>
  </r>
  <r>
    <s v="Munger"/>
    <s v="17-23 Apr"/>
    <n v="1061"/>
    <s v="Mahua BMC"/>
    <x v="891"/>
    <s v="GOMUKH PREMRAJ"/>
    <s v="MPG"/>
    <s v="Direct"/>
    <n v="373.7"/>
    <n v="17494.8"/>
    <n v="369.70000000000005"/>
    <n v="17628.693336766151"/>
    <n v="3.6000000000000005"/>
    <n v="160.85972508780003"/>
    <n v="373.30000000000007"/>
    <n v="17789.553061853952"/>
    <n v="17494.8"/>
    <n v="0"/>
    <n v="160.85972508780003"/>
    <n v="294.75306185395311"/>
    <n v="0"/>
    <n v="0"/>
    <n v="0"/>
    <n v="17334"/>
    <n v="0"/>
    <n v="0"/>
    <n v="0"/>
    <n v="0"/>
    <n v="305.51529248059944"/>
    <n v="53.385714285714286"/>
    <n v="-1.6848038380201723E-2"/>
    <n v="12"/>
    <m/>
    <s v="Mahua BMC"/>
    <m/>
    <n v="0"/>
  </r>
  <r>
    <s v="Munger"/>
    <s v="17-23 Apr"/>
    <n v="1061"/>
    <s v="Mahua BMC"/>
    <x v="892"/>
    <s v="GOMUKH MAGURAHI"/>
    <s v="MPG"/>
    <s v="Direct"/>
    <n v="286"/>
    <n v="14688.69"/>
    <n v="282.2"/>
    <n v="14296.371146045702"/>
    <n v="6.4999999999999991"/>
    <n v="309.17458978652002"/>
    <n v="288.7"/>
    <n v="14605.545735832222"/>
    <n v="14605.545735832222"/>
    <n v="0"/>
    <n v="309.17458978652002"/>
    <n v="0"/>
    <n v="0"/>
    <n v="0"/>
    <n v="0"/>
    <n v="14296"/>
    <n v="0"/>
    <n v="0"/>
    <n v="84"/>
    <n v="0"/>
    <n v="425.25298321678326"/>
    <n v="40.857142857142854"/>
    <n v="5.6604274559391337E-3"/>
    <n v="15"/>
    <m/>
    <s v="Mahua BMC"/>
    <m/>
    <n v="0"/>
  </r>
  <r>
    <s v="Munger"/>
    <s v="17-23 Apr"/>
    <n v="1061"/>
    <s v="Mahua BMC"/>
    <x v="893"/>
    <s v="GOMUKH GANGATI"/>
    <s v="MPG"/>
    <s v="Direct"/>
    <n v="432.69999999999993"/>
    <n v="18662.199999999997"/>
    <n v="445.29999999999995"/>
    <n v="18921.676742402065"/>
    <n v="0"/>
    <n v="0"/>
    <n v="445.29999999999995"/>
    <n v="18921.676742402065"/>
    <n v="18662.199999999997"/>
    <n v="0"/>
    <n v="0"/>
    <n v="259.47674240206834"/>
    <n v="0"/>
    <n v="0"/>
    <n v="0"/>
    <n v="18662"/>
    <n v="0"/>
    <n v="0"/>
    <n v="0"/>
    <n v="0"/>
    <n v="230.57111439796631"/>
    <n v="61.814285714285703"/>
    <n v="-1.3903866768230346E-2"/>
    <n v="2"/>
    <m/>
    <s v="Mahua BMC"/>
    <m/>
    <n v="0"/>
  </r>
  <r>
    <s v="Munger"/>
    <s v="17-23 Apr"/>
    <n v="1061"/>
    <s v="Mahua BMC"/>
    <x v="894"/>
    <s v="GOMUKH Khanpatti"/>
    <s v="MPG"/>
    <s v="Direct"/>
    <n v="890.3"/>
    <n v="39782.310000000005"/>
    <n v="889.89999999999986"/>
    <n v="39470.23958523773"/>
    <n v="8.9"/>
    <n v="381.79344060000005"/>
    <n v="898.79999999999984"/>
    <n v="39852.033025837729"/>
    <n v="39782.310000000005"/>
    <n v="0"/>
    <n v="381.79344060000005"/>
    <n v="69.723025837723981"/>
    <n v="0"/>
    <n v="0"/>
    <n v="0"/>
    <n v="39401"/>
    <n v="0"/>
    <n v="0"/>
    <n v="0"/>
    <n v="0"/>
    <n v="0"/>
    <n v="0"/>
    <n v="-1.7526138084420933E-3"/>
    <n v="32"/>
    <m/>
    <s v="Mahua BMC"/>
    <m/>
    <n v="0"/>
  </r>
  <r>
    <s v="Munger"/>
    <s v="17-23 Apr"/>
    <n v="1061"/>
    <s v="Mahua BMC"/>
    <x v="895"/>
    <s v="GOMUKH Bhagwatpur"/>
    <s v="MPG"/>
    <s v="Direct"/>
    <n v="243.59999999999997"/>
    <n v="11041.230000000001"/>
    <n v="283.7"/>
    <n v="12646.125944482968"/>
    <n v="0"/>
    <n v="0"/>
    <n v="283.7"/>
    <n v="12646.125944482968"/>
    <n v="11041.230000000001"/>
    <n v="0"/>
    <n v="0"/>
    <n v="1604.895944482967"/>
    <n v="0"/>
    <n v="0"/>
    <n v="0"/>
    <n v="11041"/>
    <n v="0"/>
    <n v="0"/>
    <n v="0"/>
    <n v="0"/>
    <n v="413.72884827586222"/>
    <n v="34.799999999999997"/>
    <n v="-0.14535481504170883"/>
    <n v="10"/>
    <m/>
    <s v="Mahua BMC"/>
    <m/>
    <n v="0"/>
  </r>
  <r>
    <s v="Munger"/>
    <s v="17-23 Apr"/>
    <n v="1061"/>
    <s v="Mahua BMC"/>
    <x v="896"/>
    <s v="GOMUKH JIRWARA"/>
    <s v="vlc"/>
    <s v="Indirect"/>
    <n v="590.9"/>
    <n v="24538.47"/>
    <n v="0"/>
    <n v="0"/>
    <n v="0"/>
    <n v="0"/>
    <n v="0"/>
    <n v="0"/>
    <n v="24538.47"/>
    <n v="0"/>
    <n v="0"/>
    <n v="0"/>
    <n v="0"/>
    <n v="0"/>
    <n v="0"/>
    <n v="0"/>
    <n v="0"/>
    <n v="24538.47"/>
    <n v="0"/>
    <n v="0"/>
    <n v="90.612525875782737"/>
    <n v="84.414285714285711"/>
    <n v="0"/>
    <n v="0"/>
    <m/>
    <s v="Mahua BMC"/>
    <m/>
    <n v="0"/>
  </r>
  <r>
    <s v="Munger"/>
    <s v="17-23 Apr"/>
    <n v="1061"/>
    <s v="Mahua BMC"/>
    <x v="897"/>
    <s v="GOMUKH Karhatiya"/>
    <s v="vlc"/>
    <s v="Indirect"/>
    <n v="233"/>
    <n v="8809.2699999999986"/>
    <n v="0"/>
    <n v="0"/>
    <n v="0"/>
    <n v="0"/>
    <n v="0"/>
    <n v="0"/>
    <n v="8809.2699999999986"/>
    <n v="0"/>
    <n v="0"/>
    <n v="0"/>
    <n v="0"/>
    <n v="0"/>
    <n v="0"/>
    <n v="0"/>
    <n v="0"/>
    <n v="8809.2699999999986"/>
    <n v="0"/>
    <n v="0"/>
    <n v="353.12696051502144"/>
    <n v="33.285714285714285"/>
    <n v="0"/>
    <n v="0"/>
    <m/>
    <s v="Mahua BMC"/>
    <m/>
    <n v="0"/>
  </r>
  <r>
    <s v="Munger"/>
    <s v="17-23 Apr"/>
    <n v="1061"/>
    <s v="Mahua BMC"/>
    <x v="899"/>
    <s v="Gomukh Karhatiya Bujurg"/>
    <s v="vlc"/>
    <s v="Indirect"/>
    <n v="301.7"/>
    <n v="10702.18"/>
    <n v="0"/>
    <n v="0"/>
    <n v="0"/>
    <n v="0"/>
    <n v="0"/>
    <n v="0"/>
    <n v="10702.18"/>
    <n v="0"/>
    <n v="0"/>
    <n v="0"/>
    <n v="0"/>
    <n v="0"/>
    <n v="0"/>
    <n v="0"/>
    <n v="0"/>
    <n v="10702.18"/>
    <n v="0"/>
    <n v="0"/>
    <n v="282.57728167053364"/>
    <n v="43.1"/>
    <n v="0"/>
    <n v="0"/>
    <m/>
    <s v="Mahua BMC"/>
    <m/>
    <n v="0"/>
  </r>
  <r>
    <s v="Munger"/>
    <s v="17-23 Apr"/>
    <n v="1061"/>
    <s v="Mahua BMC"/>
    <x v="900"/>
    <s v="GOMUKH Bheraukhara"/>
    <s v="MPG"/>
    <s v="Direct"/>
    <n v="177.70000000000002"/>
    <n v="7081.5"/>
    <n v="181.90000000000003"/>
    <n v="7053.1553002895989"/>
    <n v="0"/>
    <n v="0"/>
    <n v="181.90000000000003"/>
    <n v="7053.1553002895989"/>
    <n v="7053.1553002895989"/>
    <n v="0"/>
    <n v="0"/>
    <n v="0"/>
    <n v="0"/>
    <n v="0"/>
    <n v="0"/>
    <n v="7053"/>
    <n v="0"/>
    <n v="0"/>
    <n v="29"/>
    <n v="0"/>
    <n v="416.28221159257168"/>
    <n v="25.38571428571429"/>
    <n v="4.0026406425758771E-3"/>
    <n v="8"/>
    <m/>
    <s v="Mahua BMC"/>
    <m/>
    <n v="0"/>
  </r>
  <r>
    <s v="Munger"/>
    <s v="17-23 Apr"/>
    <n v="1061"/>
    <s v="Mahua BMC"/>
    <x v="901"/>
    <s v="GOMUKH SUPOLTARIYA"/>
    <s v="MPG"/>
    <s v="Direct"/>
    <n v="364.1"/>
    <n v="16914.78"/>
    <n v="371.59999999999997"/>
    <n v="16427.676603510001"/>
    <n v="0"/>
    <n v="0"/>
    <n v="371.59999999999997"/>
    <n v="16427.676603510001"/>
    <n v="16427.676603510001"/>
    <n v="0"/>
    <n v="0"/>
    <n v="0"/>
    <n v="4050"/>
    <n v="0"/>
    <n v="0"/>
    <n v="12377"/>
    <n v="0"/>
    <n v="0"/>
    <n v="488"/>
    <n v="0"/>
    <n v="312.09418302664096"/>
    <n v="52.01428571428572"/>
    <n v="2.8797501149290621E-2"/>
    <n v="8"/>
    <m/>
    <s v="Mahua BMC"/>
    <m/>
    <n v="0"/>
  </r>
  <r>
    <s v="Munger"/>
    <s v="17-23 Apr"/>
    <n v="1061"/>
    <s v="Mahua BMC"/>
    <x v="902"/>
    <s v="GOMUKH Shravanapatti"/>
    <s v="MPG"/>
    <s v="Direct"/>
    <n v="202.99999999999997"/>
    <n v="11590.859999999997"/>
    <n v="208.9"/>
    <n v="11312.808701555832"/>
    <n v="0"/>
    <n v="0"/>
    <n v="208.9"/>
    <n v="11312.808701555832"/>
    <n v="11312.808701555832"/>
    <n v="0"/>
    <n v="0"/>
    <n v="0"/>
    <n v="0"/>
    <n v="0"/>
    <n v="0"/>
    <n v="11313"/>
    <n v="0"/>
    <n v="0"/>
    <n v="278"/>
    <n v="0"/>
    <n v="567.55245517241372"/>
    <n v="28.999999999999996"/>
    <n v="2.3988841073411711E-2"/>
    <n v="4"/>
    <m/>
    <s v="Mahua BMC"/>
    <m/>
    <n v="0"/>
  </r>
  <r>
    <s v="Munger"/>
    <s v="17-23 Apr"/>
    <n v="1061"/>
    <s v="Mahua BMC"/>
    <x v="903"/>
    <s v="GOMUKH Jilwara"/>
    <s v="MPG"/>
    <s v="Direct"/>
    <n v="332.7"/>
    <n v="13033.739999999996"/>
    <n v="337"/>
    <n v="13536.035672286902"/>
    <n v="0"/>
    <n v="0"/>
    <n v="337"/>
    <n v="13536.035672286902"/>
    <n v="13033.739999999996"/>
    <n v="0"/>
    <n v="0"/>
    <n v="502.29567228690576"/>
    <n v="0"/>
    <n v="0"/>
    <n v="0"/>
    <n v="13034"/>
    <n v="0"/>
    <n v="0"/>
    <n v="0"/>
    <s v="Release1"/>
    <n v="287.78435238954006"/>
    <n v="47.528571428571425"/>
    <n v="-3.8538107426333956E-2"/>
    <n v="12"/>
    <m/>
    <s v="Mahua BMC"/>
    <m/>
    <n v="0"/>
  </r>
  <r>
    <s v="Munger"/>
    <s v="17-23 Apr"/>
    <n v="1061"/>
    <s v="Mahua BMC"/>
    <x v="904"/>
    <s v="GOMUKH KHANPATTI EAST"/>
    <s v="vlc"/>
    <s v="Indirect"/>
    <n v="40.300000000000004"/>
    <n v="1588.41"/>
    <n v="0"/>
    <n v="0"/>
    <n v="0"/>
    <n v="0"/>
    <n v="0"/>
    <n v="0"/>
    <n v="1588.41"/>
    <n v="0"/>
    <n v="0"/>
    <n v="0"/>
    <n v="0"/>
    <n v="0"/>
    <n v="0"/>
    <n v="0"/>
    <n v="0"/>
    <n v="1588.41"/>
    <n v="0"/>
    <n v="0"/>
    <n v="520.03676277915633"/>
    <n v="5.757142857142858"/>
    <n v="0"/>
    <n v="0"/>
    <m/>
    <s v="Mahua BMC"/>
    <m/>
    <n v="0"/>
  </r>
  <r>
    <s v="Munger"/>
    <s v="17-23 Apr"/>
    <n v="1061"/>
    <s v="Mahua BMC"/>
    <x v="905"/>
    <s v="GOMUKH ABBUCHAK"/>
    <s v="MPG"/>
    <s v="Direct"/>
    <n v="221.10000000000002"/>
    <n v="8916.619999999999"/>
    <n v="221.19999999999996"/>
    <n v="8645.5080994933414"/>
    <n v="0"/>
    <n v="0"/>
    <n v="221.19999999999996"/>
    <n v="8645.5080994933414"/>
    <n v="8645.5080994933414"/>
    <n v="0"/>
    <n v="0"/>
    <n v="0"/>
    <n v="0"/>
    <n v="0"/>
    <n v="0"/>
    <n v="8645"/>
    <n v="0"/>
    <n v="0"/>
    <n v="272"/>
    <n v="0"/>
    <n v="386.26588132066928"/>
    <n v="31.585714285714289"/>
    <n v="3.040523208420428E-2"/>
    <n v="10"/>
    <m/>
    <s v="Mahua BMC"/>
    <m/>
    <n v="0"/>
  </r>
  <r>
    <s v="Munger"/>
    <s v="17-23 Apr"/>
    <n v="1061"/>
    <s v="Mahua BMC"/>
    <x v="906"/>
    <s v="Gomukh Husena"/>
    <s v="vlc"/>
    <s v="Indirect"/>
    <n v="9.8000000000000007"/>
    <n v="384.26"/>
    <n v="0"/>
    <n v="0"/>
    <n v="0"/>
    <n v="0"/>
    <n v="0"/>
    <n v="0"/>
    <n v="384.26"/>
    <n v="0"/>
    <n v="0"/>
    <n v="0"/>
    <n v="0"/>
    <n v="0"/>
    <n v="0"/>
    <n v="0"/>
    <n v="0"/>
    <n v="384.26"/>
    <n v="0"/>
    <n v="0"/>
    <n v="541.25765714285694"/>
    <n v="1.4000000000000001"/>
    <n v="0"/>
    <n v="0"/>
    <m/>
    <s v="Mahua BMC"/>
    <m/>
    <n v="0"/>
  </r>
  <r>
    <s v="Munger"/>
    <s v="17-23 Apr"/>
    <n v="1061"/>
    <s v="Mahua BMC"/>
    <x v="907"/>
    <s v="GOMUKH KAILA JALALPUR"/>
    <s v="MPG"/>
    <s v="Direct"/>
    <n v="217.10000000000002"/>
    <n v="7959.4299999999994"/>
    <n v="221.10000000000002"/>
    <n v="7823.8430582932997"/>
    <n v="2.5"/>
    <n v="90.275950313999999"/>
    <n v="223.60000000000002"/>
    <n v="7914.1190086072993"/>
    <n v="7914.1190086072993"/>
    <n v="0"/>
    <n v="90.275950313999999"/>
    <n v="0"/>
    <n v="0"/>
    <n v="0"/>
    <n v="0"/>
    <n v="7825"/>
    <n v="0"/>
    <n v="0"/>
    <n v="44"/>
    <n v="0"/>
    <n v="354.0864806080146"/>
    <n v="31.014285714285716"/>
    <n v="5.6927432482853785E-3"/>
    <n v="7"/>
    <m/>
    <s v="Mahua BMC"/>
    <m/>
    <n v="0"/>
  </r>
  <r>
    <s v="Munger"/>
    <s v="17-23 Apr"/>
    <n v="1061"/>
    <s v="Mahua BMC"/>
    <x v="1020"/>
    <s v="Gomukh Jhitkahi East"/>
    <s v="MPG"/>
    <s v="Direct"/>
    <n v="64.800000000000011"/>
    <n v="3706.3399999999997"/>
    <n v="64.599999999999994"/>
    <n v="3662.6160178042801"/>
    <n v="0"/>
    <n v="0"/>
    <n v="64.599999999999994"/>
    <n v="3662.6160178042801"/>
    <n v="3662.6160178042801"/>
    <n v="0"/>
    <n v="0"/>
    <n v="0"/>
    <n v="0"/>
    <n v="0"/>
    <n v="0"/>
    <n v="3663"/>
    <n v="0"/>
    <n v="0"/>
    <n v="43"/>
    <n v="0"/>
    <n v="726.62566913580235"/>
    <n v="9.257142857142858"/>
    <n v="1.1797078032700617E-2"/>
    <n v="5"/>
    <m/>
    <s v="Mahua BMC"/>
    <m/>
    <n v="0"/>
  </r>
  <r>
    <s v="Munger"/>
    <s v="17-23 Apr"/>
    <n v="1061"/>
    <s v="Mahua BMC"/>
    <x v="909"/>
    <s v="GOMUKH UPHRAUL"/>
    <s v="vlc"/>
    <s v="Indirect"/>
    <n v="2812.9999999999995"/>
    <n v="104107.93000000001"/>
    <n v="0"/>
    <n v="0"/>
    <n v="0"/>
    <n v="0"/>
    <n v="0"/>
    <n v="0"/>
    <n v="104107.93000000001"/>
    <n v="0"/>
    <n v="0"/>
    <n v="0"/>
    <n v="0"/>
    <n v="0"/>
    <n v="0"/>
    <n v="0"/>
    <n v="0"/>
    <n v="104107.93000000001"/>
    <n v="0"/>
    <n v="0"/>
    <n v="0"/>
    <n v="0"/>
    <n v="0"/>
    <n v="0"/>
    <m/>
    <s v="Mahua BMC"/>
    <m/>
    <n v="0"/>
  </r>
  <r>
    <s v="Munger"/>
    <s v="17-23 Apr"/>
    <n v="1061"/>
    <s v="Mahua BMC"/>
    <x v="910"/>
    <s v="GOMUKH SHERPUR"/>
    <s v="vlc"/>
    <s v="Indirect"/>
    <n v="180.8"/>
    <n v="6489.32"/>
    <n v="0"/>
    <n v="0"/>
    <n v="0"/>
    <n v="0"/>
    <n v="0"/>
    <n v="0"/>
    <n v="6489.32"/>
    <n v="0"/>
    <n v="0"/>
    <n v="0"/>
    <n v="0"/>
    <n v="0"/>
    <n v="0"/>
    <n v="0"/>
    <n v="0"/>
    <n v="6489.32"/>
    <n v="0"/>
    <n v="0"/>
    <n v="372.70519292035397"/>
    <n v="25.828571428571429"/>
    <n v="0"/>
    <n v="0"/>
    <m/>
    <s v="Mahua BMC"/>
    <m/>
    <n v="0"/>
  </r>
  <r>
    <s v="Munger"/>
    <s v="17-23 Apr"/>
    <n v="1061"/>
    <s v="Mahua BMC"/>
    <x v="913"/>
    <s v="GOMUKH KUSIYARI"/>
    <s v="vlc"/>
    <s v="Indirect"/>
    <n v="223.00000000000003"/>
    <n v="8776.2300000000014"/>
    <n v="0"/>
    <n v="0"/>
    <n v="0"/>
    <n v="0"/>
    <n v="0"/>
    <n v="0"/>
    <n v="8776.2300000000014"/>
    <n v="0"/>
    <n v="0"/>
    <n v="0"/>
    <n v="0"/>
    <n v="0"/>
    <n v="0"/>
    <n v="0"/>
    <n v="0"/>
    <n v="8776.2300000000014"/>
    <n v="0"/>
    <n v="0"/>
    <n v="375.44948071748877"/>
    <n v="31.857142857142861"/>
    <n v="0"/>
    <n v="0"/>
    <m/>
    <s v="Mahua BMC"/>
    <m/>
    <n v="0"/>
  </r>
  <r>
    <s v="Munger"/>
    <s v="17-23 Apr"/>
    <n v="1061"/>
    <s v="Mahua BMC"/>
    <x v="914"/>
    <s v="GOMUKH PACHAI"/>
    <s v="vlc"/>
    <s v="Indirect"/>
    <n v="413.40000000000003"/>
    <n v="15054.000000000002"/>
    <n v="0"/>
    <n v="0"/>
    <n v="0"/>
    <n v="0"/>
    <n v="0"/>
    <n v="0"/>
    <n v="15054.000000000002"/>
    <n v="0"/>
    <n v="0"/>
    <n v="0"/>
    <n v="0"/>
    <n v="0"/>
    <n v="0"/>
    <n v="0"/>
    <n v="0"/>
    <n v="15054.000000000002"/>
    <n v="0"/>
    <n v="0"/>
    <n v="208.73132075471696"/>
    <n v="59.057142857142864"/>
    <n v="0"/>
    <n v="0"/>
    <m/>
    <s v="Mahua BMC"/>
    <m/>
    <n v="0"/>
  </r>
  <r>
    <s v="Munger"/>
    <s v="17-23 Apr"/>
    <n v="1061"/>
    <s v="Mahua BMC"/>
    <x v="915"/>
    <s v="GOMUKH GARAHI"/>
    <s v="vlc"/>
    <s v="Indirect"/>
    <n v="472.49999999999994"/>
    <n v="14505.74"/>
    <n v="0"/>
    <n v="0"/>
    <n v="0"/>
    <n v="0"/>
    <n v="0"/>
    <n v="0"/>
    <n v="14505.74"/>
    <n v="0"/>
    <n v="0"/>
    <n v="0"/>
    <n v="0"/>
    <n v="0"/>
    <n v="0"/>
    <n v="0"/>
    <n v="0"/>
    <n v="14505.74"/>
    <n v="0"/>
    <n v="0"/>
    <n v="139.68490370370378"/>
    <n v="67.499999999999986"/>
    <n v="0"/>
    <n v="0"/>
    <m/>
    <s v="Mahua BMC"/>
    <m/>
    <n v="0"/>
  </r>
  <r>
    <s v="Munger"/>
    <s v="17-23 Apr"/>
    <n v="1061"/>
    <s v="Mahua BMC"/>
    <x v="916"/>
    <s v="GOMUKH BAIKUNTHPUR"/>
    <s v="vlc"/>
    <s v="Indirect"/>
    <n v="238.39999999999998"/>
    <n v="8886.510000000002"/>
    <n v="0"/>
    <n v="0"/>
    <n v="0"/>
    <n v="0"/>
    <n v="0"/>
    <n v="0"/>
    <n v="8886.510000000002"/>
    <n v="0"/>
    <n v="0"/>
    <n v="0"/>
    <n v="0"/>
    <n v="0"/>
    <n v="0"/>
    <n v="0"/>
    <n v="0"/>
    <n v="8886.510000000002"/>
    <n v="0"/>
    <n v="0"/>
    <n v="344.12860872483236"/>
    <n v="34.057142857142857"/>
    <n v="0"/>
    <n v="0"/>
    <m/>
    <s v="Mahua BMC"/>
    <m/>
    <n v="0"/>
  </r>
  <r>
    <s v="Munger"/>
    <s v="17-23 Apr"/>
    <n v="1061"/>
    <s v="Mahua BMC"/>
    <x v="917"/>
    <s v="GOMUKH BAHASHI"/>
    <s v="vlc"/>
    <s v="Indirect"/>
    <n v="3005.2"/>
    <n v="107135.41"/>
    <n v="0"/>
    <n v="0"/>
    <n v="0"/>
    <n v="0"/>
    <n v="0"/>
    <n v="0"/>
    <n v="107135.41"/>
    <n v="0"/>
    <n v="0"/>
    <n v="0"/>
    <n v="0"/>
    <n v="0"/>
    <n v="0"/>
    <n v="0"/>
    <n v="0"/>
    <n v="107135.41"/>
    <n v="0"/>
    <n v="0"/>
    <n v="0"/>
    <n v="0"/>
    <n v="0"/>
    <n v="0"/>
    <m/>
    <s v="Mahua BMC"/>
    <m/>
    <n v="0"/>
  </r>
  <r>
    <s v="Munger"/>
    <s v="17-23 Apr"/>
    <n v="1061"/>
    <s v="Mahua BMC"/>
    <x v="918"/>
    <s v="GOMUKH BAKHRI"/>
    <s v="vlc"/>
    <s v="Indirect"/>
    <n v="1522.1"/>
    <n v="58885.240000000005"/>
    <n v="0"/>
    <n v="0"/>
    <n v="0"/>
    <n v="0"/>
    <n v="0"/>
    <n v="0"/>
    <n v="58885.240000000005"/>
    <n v="0"/>
    <n v="0"/>
    <n v="0"/>
    <n v="0"/>
    <n v="0"/>
    <n v="0"/>
    <n v="0"/>
    <n v="0"/>
    <n v="58885.240000000005"/>
    <n v="0"/>
    <n v="0"/>
    <n v="0"/>
    <n v="0"/>
    <n v="0"/>
    <n v="0"/>
    <m/>
    <s v="Mahua BMC"/>
    <m/>
    <n v="0"/>
  </r>
  <r>
    <s v="Munger"/>
    <s v="17-23 Apr"/>
    <n v="1061"/>
    <s v="Mahua BMC"/>
    <x v="919"/>
    <s v="GOMUKH BAJITPUR"/>
    <s v="vlc"/>
    <s v="Indirect"/>
    <n v="220.60000000000002"/>
    <n v="7598.5300000000007"/>
    <n v="0"/>
    <n v="0"/>
    <n v="0"/>
    <n v="0"/>
    <n v="0"/>
    <n v="0"/>
    <n v="7598.5300000000007"/>
    <n v="0"/>
    <n v="0"/>
    <n v="0"/>
    <n v="0"/>
    <n v="0"/>
    <n v="0"/>
    <n v="0"/>
    <n v="0"/>
    <n v="7598.5300000000007"/>
    <n v="0"/>
    <n v="0"/>
    <n v="330.25705185856754"/>
    <n v="31.514285714285716"/>
    <n v="0"/>
    <n v="0"/>
    <m/>
    <s v="Mahua BMC"/>
    <m/>
    <n v="0"/>
  </r>
  <r>
    <s v="Munger"/>
    <s v="17-23 Apr"/>
    <n v="1061"/>
    <s v="Mahua BMC"/>
    <x v="920"/>
    <s v="GOMUKH PANAPUR"/>
    <s v="vlc"/>
    <s v="Indirect"/>
    <n v="361.90000000000003"/>
    <n v="12923.64"/>
    <n v="0"/>
    <n v="0"/>
    <n v="0"/>
    <n v="0"/>
    <n v="0"/>
    <n v="0"/>
    <n v="12923.64"/>
    <n v="0"/>
    <n v="0"/>
    <n v="0"/>
    <n v="0"/>
    <n v="0"/>
    <n v="0"/>
    <n v="0"/>
    <n v="0"/>
    <n v="12923.64"/>
    <n v="0"/>
    <n v="0"/>
    <n v="241.47458878143127"/>
    <n v="51.7"/>
    <n v="0"/>
    <n v="0"/>
    <m/>
    <s v="Mahua BMC"/>
    <m/>
    <n v="0"/>
  </r>
  <r>
    <s v="Munger"/>
    <s v="17-23 Apr"/>
    <n v="1061"/>
    <s v="Mahua BMC"/>
    <x v="921"/>
    <s v="GOMUKH BISANPUR SAID"/>
    <s v="vlc"/>
    <s v="Indirect"/>
    <n v="24.8"/>
    <n v="865.42000000000007"/>
    <n v="0"/>
    <n v="0"/>
    <n v="0"/>
    <n v="0"/>
    <n v="0"/>
    <n v="0"/>
    <n v="865.42000000000007"/>
    <n v="0"/>
    <n v="0"/>
    <n v="0"/>
    <n v="0"/>
    <n v="0"/>
    <n v="0"/>
    <n v="0"/>
    <n v="0"/>
    <n v="865.42000000000007"/>
    <n v="0"/>
    <n v="0"/>
    <n v="471.23514838709684"/>
    <n v="3.5428571428571431"/>
    <n v="0"/>
    <n v="0"/>
    <m/>
    <s v="Mahua BMC"/>
    <m/>
    <n v="0"/>
  </r>
  <r>
    <s v="Munger"/>
    <s v="17-23 Apr"/>
    <n v="1061"/>
    <s v="Mahua BMC"/>
    <x v="1021"/>
    <s v="GOMUKH BABA CHAUK"/>
    <s v="vlc"/>
    <s v="Indirect"/>
    <n v="456.70000000000005"/>
    <n v="16142.16"/>
    <n v="0"/>
    <n v="0"/>
    <n v="0"/>
    <n v="0"/>
    <n v="0"/>
    <n v="0"/>
    <n v="16142.16"/>
    <n v="0"/>
    <n v="0"/>
    <n v="0"/>
    <n v="0"/>
    <n v="0"/>
    <n v="0"/>
    <n v="0"/>
    <n v="0"/>
    <n v="16142.16"/>
    <n v="0"/>
    <n v="0"/>
    <n v="171.98981948762861"/>
    <n v="65.242857142857147"/>
    <n v="0"/>
    <n v="0"/>
    <m/>
    <s v="Mahua BMC"/>
    <m/>
    <n v="0"/>
  </r>
  <r>
    <s v="Munger"/>
    <s v="17-23 Apr"/>
    <n v="1061"/>
    <s v="Mahua BMC"/>
    <x v="1022"/>
    <s v="GOMUKH KHARIKA"/>
    <s v="vlc"/>
    <s v="Indirect"/>
    <n v="539.90000000000009"/>
    <n v="18302.73"/>
    <n v="0"/>
    <n v="0"/>
    <n v="0"/>
    <n v="0"/>
    <n v="0"/>
    <n v="0"/>
    <n v="18302.73"/>
    <n v="0"/>
    <n v="0"/>
    <n v="0"/>
    <n v="0"/>
    <n v="0"/>
    <n v="0"/>
    <n v="0"/>
    <n v="0"/>
    <n v="18302.73"/>
    <n v="0"/>
    <n v="0"/>
    <n v="108.54851168734939"/>
    <n v="77.128571428571448"/>
    <n v="0"/>
    <n v="0"/>
    <m/>
    <s v="Mahua BMC"/>
    <m/>
    <n v="0"/>
  </r>
  <r>
    <s v="Munger"/>
    <s v="17-23 Apr"/>
    <n v="1061"/>
    <s v="Mahua BMC"/>
    <x v="1023"/>
    <s v="GOMUKH KALYANPUR"/>
    <s v="vlc"/>
    <s v="Indirect"/>
    <n v="375.49999999999994"/>
    <n v="13608.550000000001"/>
    <n v="0"/>
    <n v="0"/>
    <n v="0"/>
    <n v="0"/>
    <n v="0"/>
    <n v="0"/>
    <n v="13608.550000000001"/>
    <n v="0"/>
    <n v="0"/>
    <n v="0"/>
    <n v="0"/>
    <n v="0"/>
    <n v="0"/>
    <n v="0"/>
    <n v="0"/>
    <n v="13608.550000000001"/>
    <n v="0"/>
    <n v="0"/>
    <n v="235.20503195739025"/>
    <n v="53.642857142857132"/>
    <n v="0"/>
    <n v="0"/>
    <m/>
    <s v="Mahua BMC"/>
    <m/>
    <n v="0"/>
  </r>
  <r>
    <s v="Munger"/>
    <s v="17-23 Apr"/>
    <n v="1061"/>
    <s v="Mahua BMC"/>
    <x v="1024"/>
    <s v="GOMUKH GOVINDPUR"/>
    <s v="vlc"/>
    <s v="Indirect"/>
    <n v="41.900000000000006"/>
    <n v="1494.8400000000001"/>
    <n v="0"/>
    <n v="0"/>
    <n v="0"/>
    <n v="0"/>
    <n v="0"/>
    <n v="0"/>
    <n v="1494.8400000000001"/>
    <n v="0"/>
    <n v="0"/>
    <n v="0"/>
    <n v="0"/>
    <n v="0"/>
    <n v="0"/>
    <n v="0"/>
    <n v="0"/>
    <n v="1494.8400000000001"/>
    <n v="0"/>
    <n v="0"/>
    <n v="469.57241241050122"/>
    <n v="5.9857142857142867"/>
    <n v="0"/>
    <n v="0"/>
    <m/>
    <s v="Mahua BMC"/>
    <m/>
    <n v="0"/>
  </r>
  <r>
    <s v="Munger"/>
    <s v="17-23 Apr"/>
    <n v="1061"/>
    <s v="Mahua BMC"/>
    <x v="1025"/>
    <s v="GOMUKH SARMASTPUR"/>
    <s v="vlc"/>
    <s v="Indirect"/>
    <n v="210.4"/>
    <n v="6247.1100000000006"/>
    <n v="0"/>
    <n v="0"/>
    <n v="0"/>
    <n v="0"/>
    <n v="0"/>
    <n v="0"/>
    <n v="6247.1100000000006"/>
    <n v="0"/>
    <n v="0"/>
    <n v="0"/>
    <n v="0"/>
    <n v="0"/>
    <n v="0"/>
    <n v="0"/>
    <n v="0"/>
    <n v="6247.1100000000006"/>
    <n v="0"/>
    <n v="0"/>
    <n v="290.74002433460078"/>
    <n v="30.057142857142857"/>
    <n v="0"/>
    <n v="0"/>
    <m/>
    <s v="Mahua BMC"/>
    <m/>
    <n v="0"/>
  </r>
  <r>
    <s v="Munger"/>
    <s v="17-23 Apr"/>
    <n v="1061"/>
    <s v="Mahua BMC"/>
    <x v="1061"/>
    <s v="GOMUKH HARPUR RAJESH"/>
    <s v="vlc"/>
    <s v="Indirect"/>
    <n v="146.4"/>
    <n v="6302"/>
    <n v="0"/>
    <n v="0"/>
    <n v="0"/>
    <n v="0"/>
    <n v="0"/>
    <n v="0"/>
    <n v="6302"/>
    <n v="0"/>
    <n v="0"/>
    <n v="0"/>
    <n v="0"/>
    <n v="0"/>
    <n v="0"/>
    <n v="0"/>
    <n v="0"/>
    <n v="6302"/>
    <n v="0"/>
    <n v="0"/>
    <n v="476.61027322404374"/>
    <n v="20.914285714285715"/>
    <n v="0"/>
    <n v="0"/>
    <m/>
    <s v="Mahua BMC"/>
    <m/>
    <n v="0"/>
  </r>
  <r>
    <s v="Munger"/>
    <s v="17-23 Apr"/>
    <n v="1061"/>
    <s v="Mahua BMC"/>
    <x v="1062"/>
    <s v="GOMUKH SANICHAR HATT"/>
    <s v="vlc"/>
    <s v="Indirect"/>
    <n v="231.3"/>
    <n v="8566.1200000000008"/>
    <n v="0"/>
    <n v="0"/>
    <n v="0"/>
    <n v="0"/>
    <n v="0"/>
    <n v="0"/>
    <n v="8566.1200000000008"/>
    <n v="0"/>
    <n v="0"/>
    <n v="0"/>
    <n v="0"/>
    <n v="0"/>
    <n v="0"/>
    <n v="0"/>
    <n v="0"/>
    <n v="8566.1200000000008"/>
    <n v="0"/>
    <n v="0"/>
    <n v="347.16303017725897"/>
    <n v="33.042857142857144"/>
    <n v="0"/>
    <n v="0"/>
    <m/>
    <s v="Mahua BMC"/>
    <m/>
    <n v="0"/>
  </r>
  <r>
    <s v="Munger"/>
    <s v="17-23 Apr"/>
    <n v="1057"/>
    <s v="Warisnagar"/>
    <x v="923"/>
    <s v="Karua"/>
    <s v="MPG"/>
    <s v="Direct"/>
    <n v="80.599999999999994"/>
    <n v="3581.7799999999997"/>
    <n v="80.599999999999994"/>
    <n v="3554.5555192358006"/>
    <n v="0"/>
    <n v="0"/>
    <n v="80.599999999999994"/>
    <n v="3554.5555192358006"/>
    <n v="3554.5555192358006"/>
    <n v="0"/>
    <n v="0"/>
    <n v="0"/>
    <n v="0"/>
    <n v="0"/>
    <n v="0"/>
    <n v="3555"/>
    <n v="0"/>
    <n v="0"/>
    <n v="27"/>
    <n v="0"/>
    <n v="550.50980942928038"/>
    <n v="11.514285714285714"/>
    <n v="7.6008243845794949E-3"/>
    <n v="1"/>
    <m/>
    <s v="Warisnagar"/>
    <m/>
    <n v="0"/>
  </r>
  <r>
    <s v="Munger"/>
    <s v="17-23 Apr"/>
    <n v="1057"/>
    <s v="Warisnagar"/>
    <x v="924"/>
    <s v="Erout"/>
    <s v="MPG"/>
    <s v="Direct"/>
    <n v="64.100000000000009"/>
    <n v="3452.5499999999997"/>
    <n v="65.2"/>
    <n v="3460.4460522673307"/>
    <n v="0"/>
    <n v="0"/>
    <n v="65.2"/>
    <n v="3460.4460522673307"/>
    <n v="3452.5499999999997"/>
    <n v="0"/>
    <n v="0"/>
    <n v="7.8960522673310152"/>
    <n v="0"/>
    <n v="0"/>
    <n v="0"/>
    <n v="3453"/>
    <n v="0"/>
    <n v="0"/>
    <n v="0"/>
    <n v="0"/>
    <n v="685.01608268330722"/>
    <n v="9.1571428571428584"/>
    <n v="-2.2870203957454679E-3"/>
    <n v="3"/>
    <m/>
    <s v="Warisnagar"/>
    <m/>
    <n v="0"/>
  </r>
  <r>
    <s v="Munger"/>
    <s v="17-23 Apr"/>
    <n v="1057"/>
    <s v="Warisnagar"/>
    <x v="925"/>
    <s v="Murli"/>
    <s v="MPG"/>
    <s v="Direct"/>
    <n v="131.4"/>
    <n v="6635.1000000000013"/>
    <n v="126.29999999999997"/>
    <n v="6735.7654411372996"/>
    <n v="0"/>
    <n v="0"/>
    <n v="126.29999999999997"/>
    <n v="6735.7654411372996"/>
    <n v="6635.1000000000013"/>
    <n v="0"/>
    <n v="0"/>
    <n v="100.66544113729833"/>
    <n v="0"/>
    <n v="0"/>
    <n v="0"/>
    <n v="6635"/>
    <n v="0"/>
    <n v="0"/>
    <n v="0"/>
    <n v="0"/>
    <n v="574.23407305936087"/>
    <n v="18.771428571428572"/>
    <n v="-1.517165395205774E-2"/>
    <n v="1"/>
    <m/>
    <s v="Warisnagar"/>
    <m/>
    <n v="0"/>
  </r>
  <r>
    <s v="Munger"/>
    <s v="17-23 Apr"/>
    <n v="1057"/>
    <s v="Warisnagar"/>
    <x v="926"/>
    <s v="Mahespur"/>
    <s v="MPG"/>
    <s v="Direct"/>
    <n v="110.80000000000001"/>
    <n v="5318.8099999999995"/>
    <n v="110.99999999999999"/>
    <n v="5334.6353980107997"/>
    <n v="0"/>
    <n v="0"/>
    <n v="110.99999999999999"/>
    <n v="5334.6353980107997"/>
    <n v="5318.8099999999995"/>
    <n v="0"/>
    <n v="0"/>
    <n v="15.8253980108002"/>
    <n v="0"/>
    <n v="0"/>
    <n v="0"/>
    <n v="5319"/>
    <n v="0"/>
    <n v="0"/>
    <n v="0"/>
    <n v="0"/>
    <n v="565.67560505415145"/>
    <n v="15.828571428571431"/>
    <n v="-2.9753644162510413E-3"/>
    <n v="1"/>
    <m/>
    <s v="Warisnagar"/>
    <m/>
    <n v="0"/>
  </r>
  <r>
    <s v="Munger"/>
    <s v="17-23 Apr"/>
    <n v="1057"/>
    <s v="Warisnagar"/>
    <x v="927"/>
    <s v="Raj Nagar"/>
    <s v="MPG"/>
    <s v="Direct"/>
    <n v="140.1"/>
    <n v="5573.3000000000011"/>
    <n v="140.1"/>
    <n v="5576.1775194599995"/>
    <n v="0"/>
    <n v="0"/>
    <n v="140.1"/>
    <n v="5576.1775194599995"/>
    <n v="5573.3000000000011"/>
    <n v="0"/>
    <n v="0"/>
    <n v="2.8775194599984388"/>
    <n v="0"/>
    <n v="0"/>
    <n v="0"/>
    <n v="5573"/>
    <n v="0"/>
    <n v="0"/>
    <n v="0"/>
    <n v="0"/>
    <n v="445.46619129193454"/>
    <n v="20.014285714285712"/>
    <n v="-5.163044264616005E-4"/>
    <n v="1"/>
    <m/>
    <s v="Warisnagar"/>
    <m/>
    <n v="0"/>
  </r>
  <r>
    <s v="Munger"/>
    <s v="17-23 Apr"/>
    <n v="1057"/>
    <s v="Warisnagar"/>
    <x v="928"/>
    <s v="Nauapokhar"/>
    <s v="MPG"/>
    <s v="Direct"/>
    <n v="157.10000000000002"/>
    <n v="7454.02"/>
    <n v="165.1"/>
    <n v="7455.8006522179912"/>
    <n v="0"/>
    <n v="0"/>
    <n v="165.1"/>
    <n v="7455.8006522179912"/>
    <n v="7454.02"/>
    <n v="0"/>
    <n v="0"/>
    <n v="1.7806522179907915"/>
    <n v="0"/>
    <n v="0"/>
    <n v="0"/>
    <n v="7454"/>
    <n v="0"/>
    <n v="0"/>
    <n v="0"/>
    <n v="0"/>
    <n v="515.18618179503494"/>
    <n v="22.442857142857147"/>
    <n v="-2.388848189286843E-4"/>
    <n v="1"/>
    <m/>
    <s v="Warisnagar"/>
    <m/>
    <n v="0"/>
  </r>
  <r>
    <s v="Munger"/>
    <s v="17-23 Apr"/>
    <n v="1057"/>
    <s v="Warisnagar"/>
    <x v="929"/>
    <s v="Erout 2"/>
    <s v="vlc"/>
    <s v="Indirect"/>
    <n v="290.8"/>
    <n v="10867.460000000003"/>
    <n v="0"/>
    <n v="0"/>
    <n v="0"/>
    <n v="0"/>
    <n v="0"/>
    <n v="0"/>
    <n v="10867.460000000003"/>
    <n v="0"/>
    <n v="0"/>
    <n v="0"/>
    <n v="0"/>
    <n v="0"/>
    <n v="0"/>
    <n v="0"/>
    <n v="0"/>
    <n v="10867.460000000003"/>
    <n v="0"/>
    <n v="0"/>
    <n v="305.84350976616241"/>
    <n v="41.542857142857144"/>
    <n v="0"/>
    <n v="0"/>
    <m/>
    <s v="Warisnagar"/>
    <m/>
    <n v="0"/>
  </r>
  <r>
    <s v="Munger"/>
    <s v="17-23 Apr"/>
    <n v="1057"/>
    <s v="Warisnagar"/>
    <x v="930"/>
    <s v="Parsuram"/>
    <s v="vlc"/>
    <s v="Indirect"/>
    <n v="135"/>
    <n v="4387.3700000000008"/>
    <n v="0"/>
    <n v="0"/>
    <n v="0"/>
    <n v="0"/>
    <n v="0"/>
    <n v="0"/>
    <n v="4387.3700000000008"/>
    <n v="0"/>
    <n v="0"/>
    <n v="0"/>
    <n v="0"/>
    <n v="0"/>
    <n v="0"/>
    <n v="0"/>
    <n v="0"/>
    <n v="4387.3700000000008"/>
    <n v="0"/>
    <n v="0"/>
    <n v="367.23911851851858"/>
    <n v="19.285714285714285"/>
    <n v="0"/>
    <n v="0"/>
    <m/>
    <s v="Warisnagar"/>
    <m/>
    <n v="0"/>
  </r>
  <r>
    <s v="Munger"/>
    <s v="17-23 Apr"/>
    <n v="1057"/>
    <s v="Warisnagar"/>
    <x v="931"/>
    <s v="Gudarghat"/>
    <s v="vlc"/>
    <s v="Indirect"/>
    <n v="304.89999999999998"/>
    <n v="11738.34"/>
    <n v="0"/>
    <n v="0"/>
    <n v="0"/>
    <n v="0"/>
    <n v="0"/>
    <n v="0"/>
    <n v="11738.34"/>
    <n v="0"/>
    <n v="0"/>
    <n v="0"/>
    <n v="0"/>
    <n v="0"/>
    <n v="0"/>
    <n v="0"/>
    <n v="0"/>
    <n v="11738.34"/>
    <n v="0"/>
    <n v="0"/>
    <n v="304.21896582486067"/>
    <n v="43.557142857142857"/>
    <n v="0"/>
    <n v="0"/>
    <m/>
    <s v="Warisnagar"/>
    <m/>
    <n v="0"/>
  </r>
  <r>
    <s v="Munger"/>
    <s v="17-23 Apr"/>
    <n v="1057"/>
    <s v="Warisnagar"/>
    <x v="1027"/>
    <s v="Siripur Gohar"/>
    <s v="MPG"/>
    <s v="Direct"/>
    <n v="610.29999999999995"/>
    <n v="23098.949999999997"/>
    <n v="611.1"/>
    <n v="23092.263703080003"/>
    <n v="0"/>
    <n v="0"/>
    <n v="611.1"/>
    <n v="23092.263703080003"/>
    <n v="23092.263703080003"/>
    <n v="0"/>
    <n v="0"/>
    <n v="0"/>
    <n v="0"/>
    <n v="0"/>
    <n v="0"/>
    <n v="23092"/>
    <n v="0"/>
    <n v="0"/>
    <n v="7"/>
    <n v="0"/>
    <n v="67.900239718171406"/>
    <n v="87.185714285714283"/>
    <n v="2.8946324053663765E-4"/>
    <n v="1"/>
    <m/>
    <s v="Warisnagar"/>
    <m/>
    <n v="0"/>
  </r>
  <r>
    <s v="Munger"/>
    <s v="17-23 Apr"/>
    <n v="1057"/>
    <s v="Warisnagar"/>
    <x v="1028"/>
    <s v="Sedukha"/>
    <s v="MPG"/>
    <s v="Direct"/>
    <n v="144.1"/>
    <n v="5498.93"/>
    <n v="144.19999999999999"/>
    <n v="5496.8446288800014"/>
    <n v="0"/>
    <n v="0"/>
    <n v="144.19999999999999"/>
    <n v="5496.8446288800014"/>
    <n v="5496.8446288800014"/>
    <n v="0"/>
    <n v="0"/>
    <n v="0"/>
    <n v="0"/>
    <n v="0"/>
    <n v="0"/>
    <n v="5497"/>
    <n v="0"/>
    <n v="0"/>
    <n v="2"/>
    <n v="0"/>
    <n v="424.26858945176969"/>
    <n v="20.585714285714285"/>
    <n v="3.7923216334793383E-4"/>
    <n v="1"/>
    <m/>
    <s v="Warisnagar"/>
    <m/>
    <n v="0"/>
  </r>
  <r>
    <s v="Munger"/>
    <s v="17-23 Apr"/>
    <n v="1057"/>
    <s v="Warisnagar"/>
    <x v="933"/>
    <s v="Madhuban 2"/>
    <s v="vlc"/>
    <s v="Indirect"/>
    <n v="218.29999999999998"/>
    <n v="8168.9999999999991"/>
    <n v="0"/>
    <n v="0"/>
    <n v="0"/>
    <n v="0"/>
    <n v="0"/>
    <n v="0"/>
    <n v="8168.9999999999991"/>
    <n v="0"/>
    <n v="0"/>
    <n v="0"/>
    <n v="0"/>
    <n v="0"/>
    <n v="0"/>
    <n v="0"/>
    <n v="0"/>
    <n v="8168.9999999999991"/>
    <n v="0"/>
    <n v="0"/>
    <n v="360.51372423270732"/>
    <n v="31.185714285714283"/>
    <n v="0"/>
    <n v="0"/>
    <m/>
    <s v="Warisnagar"/>
    <m/>
    <n v="0"/>
  </r>
  <r>
    <s v="Munger"/>
    <s v="17-23 Apr"/>
    <n v="1057"/>
    <s v="Warisnagar"/>
    <x v="934"/>
    <s v="Yadav Jee"/>
    <s v="vlc"/>
    <s v="Indirect"/>
    <n v="14.8"/>
    <n v="498.17"/>
    <n v="0"/>
    <n v="0"/>
    <n v="0"/>
    <n v="0"/>
    <n v="0"/>
    <n v="0"/>
    <n v="498.17"/>
    <n v="0"/>
    <n v="0"/>
    <n v="0"/>
    <n v="0"/>
    <n v="0"/>
    <n v="0"/>
    <n v="0"/>
    <n v="0"/>
    <n v="498.17"/>
    <n v="0"/>
    <n v="0"/>
    <n v="461.27849189189192"/>
    <n v="2.1142857142857143"/>
    <n v="0"/>
    <n v="0"/>
    <m/>
    <s v="Warisnagar"/>
    <m/>
    <n v="0"/>
  </r>
  <r>
    <s v="Munger"/>
    <s v="17-23 Apr"/>
    <n v="1057"/>
    <s v="Warisnagar"/>
    <x v="1050"/>
    <s v="Durgaashtan 2"/>
    <s v="vlc"/>
    <s v="Indirect"/>
    <n v="156.10000000000002"/>
    <n v="5379.05"/>
    <n v="0"/>
    <n v="0"/>
    <n v="0"/>
    <n v="0"/>
    <n v="0"/>
    <n v="0"/>
    <n v="5379.05"/>
    <n v="0"/>
    <n v="0"/>
    <n v="0"/>
    <n v="0"/>
    <n v="0"/>
    <n v="0"/>
    <n v="0"/>
    <n v="0"/>
    <n v="5379.05"/>
    <n v="0"/>
    <n v="0"/>
    <n v="374.84500896860976"/>
    <n v="22.300000000000004"/>
    <n v="0"/>
    <n v="0"/>
    <m/>
    <s v="Warisnagar"/>
    <m/>
    <n v="0"/>
  </r>
  <r>
    <s v="Munger"/>
    <s v="17-23 Apr"/>
    <n v="1057"/>
    <s v="Warisnagar"/>
    <x v="935"/>
    <s v="Durgaashtan "/>
    <s v="vlc"/>
    <s v="Indirect"/>
    <n v="59.3"/>
    <n v="2061.5"/>
    <n v="0"/>
    <n v="0"/>
    <n v="0"/>
    <n v="0"/>
    <n v="0"/>
    <n v="0"/>
    <n v="2061.5"/>
    <n v="0"/>
    <n v="0"/>
    <n v="0"/>
    <n v="0"/>
    <n v="0"/>
    <n v="0"/>
    <n v="0"/>
    <n v="0"/>
    <n v="2061.5"/>
    <n v="0"/>
    <n v="0"/>
    <n v="445.46477234401345"/>
    <n v="8.4714285714285715"/>
    <n v="0"/>
    <n v="0"/>
    <m/>
    <s v="Warisnagar"/>
    <m/>
    <n v="0"/>
  </r>
  <r>
    <s v="Munger"/>
    <s v="17-23 Apr"/>
    <n v="1062"/>
    <s v="Singhia BMC"/>
    <x v="937"/>
    <s v="DUMRA "/>
    <s v="MPG"/>
    <s v="Direct"/>
    <n v="331.59999999999997"/>
    <n v="12449.329999999998"/>
    <n v="329.99999999999989"/>
    <n v="12122.572865187605"/>
    <n v="4.5999999999999996"/>
    <n v="169.05207963600003"/>
    <n v="334.59999999999991"/>
    <n v="12291.624944823605"/>
    <n v="12291.624944823605"/>
    <n v="0"/>
    <n v="169.05207963600003"/>
    <n v="0"/>
    <n v="0"/>
    <n v="0"/>
    <n v="0"/>
    <n v="12123"/>
    <n v="0"/>
    <n v="0"/>
    <n v="157"/>
    <n v="0"/>
    <n v="276.61840603136307"/>
    <n v="47.371428571428567"/>
    <n v="1.2667754423442324E-2"/>
    <n v="5"/>
    <m/>
    <s v="Singhia BMC"/>
    <m/>
    <n v="0"/>
  </r>
  <r>
    <s v="Munger"/>
    <s v="17-23 Apr"/>
    <n v="1062"/>
    <s v="Singhia BMC"/>
    <x v="1051"/>
    <s v="DIHA"/>
    <s v="MPG"/>
    <s v="Direct"/>
    <n v="12.4"/>
    <n v="411.71"/>
    <n v="10.399999999999999"/>
    <n v="344.65041864"/>
    <n v="0"/>
    <n v="0"/>
    <n v="10.399999999999999"/>
    <n v="344.65041864"/>
    <n v="344.65041864"/>
    <n v="0"/>
    <n v="0"/>
    <n v="0"/>
    <n v="0"/>
    <n v="0"/>
    <n v="0"/>
    <n v="345"/>
    <n v="0"/>
    <n v="0"/>
    <n v="67"/>
    <n v="0"/>
    <n v="456.59967096774199"/>
    <n v="1.7714285714285716"/>
    <n v="0.16288062315707655"/>
    <n v="1"/>
    <m/>
    <s v="Singhia BMC"/>
    <m/>
    <n v="0"/>
  </r>
  <r>
    <s v="Munger"/>
    <s v="17-23 Apr"/>
    <n v="1062"/>
    <s v="Singhia BMC"/>
    <x v="938"/>
    <s v="BALHA"/>
    <s v="MPG"/>
    <s v="Direct"/>
    <n v="577.00000000000011"/>
    <n v="23377.739999999998"/>
    <n v="572"/>
    <n v="23297.632633787598"/>
    <n v="6.7"/>
    <n v="268.53506063999998"/>
    <n v="578.70000000000005"/>
    <n v="23566.167694427597"/>
    <n v="23377.739999999998"/>
    <n v="0"/>
    <n v="268.53506063999998"/>
    <n v="188.42769442759891"/>
    <n v="0"/>
    <n v="0"/>
    <n v="0"/>
    <n v="23109"/>
    <n v="0"/>
    <n v="0"/>
    <n v="0"/>
    <s v="Release1"/>
    <n v="99.669394107452234"/>
    <n v="82.428571428571445"/>
    <n v="-8.0601330337149325E-3"/>
    <n v="13"/>
    <m/>
    <s v="Singhia BMC"/>
    <m/>
    <n v="0"/>
  </r>
  <r>
    <s v="Munger"/>
    <s v="17-23 Apr"/>
    <n v="1062"/>
    <s v="Singhia BMC"/>
    <x v="939"/>
    <s v="BHARIHAR"/>
    <s v="MPG"/>
    <s v="Direct"/>
    <n v="72.800000000000011"/>
    <n v="3142.79"/>
    <n v="72.449999999999989"/>
    <n v="3126.7235881113002"/>
    <n v="0.70000000000000007"/>
    <n v="30.486794529900003"/>
    <n v="73.149999999999991"/>
    <n v="3157.2103826412003"/>
    <n v="3142.79"/>
    <n v="0"/>
    <n v="30.486794529900003"/>
    <n v="14.420382641200376"/>
    <n v="0"/>
    <n v="0"/>
    <n v="0"/>
    <n v="3112"/>
    <n v="0"/>
    <n v="0"/>
    <n v="0"/>
    <n v="0"/>
    <n v="541.52689230769215"/>
    <n v="10.400000000000002"/>
    <n v="-4.5884015925977796E-3"/>
    <n v="2"/>
    <m/>
    <s v="Singhia BMC"/>
    <m/>
    <n v="0"/>
  </r>
  <r>
    <s v="Munger"/>
    <s v="17-23 Apr"/>
    <n v="1062"/>
    <s v="Singhia BMC"/>
    <x v="940"/>
    <s v="BARA"/>
    <s v="MPG"/>
    <s v="Direct"/>
    <n v="222.09999999999997"/>
    <n v="9239.5399999999991"/>
    <n v="219.79999999999998"/>
    <n v="9148.3961104380014"/>
    <n v="2.15"/>
    <n v="90.173800230000012"/>
    <n v="221.95"/>
    <n v="9238.5699106680022"/>
    <n v="9238.5699106680022"/>
    <n v="0"/>
    <n v="90.173800230000012"/>
    <n v="0"/>
    <n v="0"/>
    <n v="0"/>
    <n v="0"/>
    <n v="9148"/>
    <n v="0"/>
    <n v="0"/>
    <n v="1"/>
    <n v="0"/>
    <n v="397.62054624043225"/>
    <n v="31.728571428571424"/>
    <n v="1.0499324988006547E-4"/>
    <n v="2"/>
    <m/>
    <s v="Singhia BMC"/>
    <m/>
    <n v="0"/>
  </r>
  <r>
    <s v="Munger"/>
    <s v="17-23 Apr"/>
    <n v="1062"/>
    <s v="Singhia BMC"/>
    <x v="941"/>
    <s v="KABILASHI"/>
    <s v="MPG"/>
    <s v="Direct"/>
    <n v="113.9"/>
    <n v="5698.69"/>
    <n v="104.80000000000001"/>
    <n v="5466.3456508285008"/>
    <n v="29.1"/>
    <n v="1651.6989260086"/>
    <n v="133.9"/>
    <n v="7118.044576837101"/>
    <n v="5698.69"/>
    <n v="0"/>
    <n v="205.74546085650002"/>
    <n v="1419.3545768371014"/>
    <n v="0"/>
    <n v="0"/>
    <n v="0"/>
    <n v="4047"/>
    <n v="1446"/>
    <n v="0"/>
    <n v="0"/>
    <n v="0"/>
    <n v="586.47975575065846"/>
    <n v="16.271428571428572"/>
    <n v="-0.24906681655557708"/>
    <n v="9"/>
    <m/>
    <s v="Singhia BMC"/>
    <m/>
    <n v="0"/>
  </r>
  <r>
    <s v="Munger"/>
    <s v="17-23 Apr"/>
    <n v="1062"/>
    <s v="Singhia BMC"/>
    <x v="942"/>
    <s v="SULTANPUR"/>
    <s v="vlc"/>
    <s v="Indirect"/>
    <n v="233"/>
    <n v="9942.92"/>
    <n v="0"/>
    <n v="0"/>
    <n v="0"/>
    <n v="0"/>
    <n v="0"/>
    <n v="0"/>
    <n v="9942.92"/>
    <n v="0"/>
    <n v="0"/>
    <n v="0"/>
    <n v="0"/>
    <n v="0"/>
    <n v="0"/>
    <n v="0"/>
    <n v="0"/>
    <n v="9942.92"/>
    <n v="0"/>
    <n v="0"/>
    <n v="398.57026952789704"/>
    <n v="33.285714285714285"/>
    <n v="0"/>
    <n v="0"/>
    <m/>
    <s v="Singhia BMC"/>
    <m/>
    <n v="0"/>
  </r>
  <r>
    <s v="Munger"/>
    <s v="17-23 Apr"/>
    <n v="1062"/>
    <s v="Singhia BMC"/>
    <x v="943"/>
    <s v="SUKUMARPUR"/>
    <s v="MPG"/>
    <s v="Direct"/>
    <n v="177.29999999999998"/>
    <n v="7652.4100000000008"/>
    <n v="177.29999999999998"/>
    <n v="7745.5912635720015"/>
    <n v="0"/>
    <n v="0"/>
    <n v="177.29999999999998"/>
    <n v="7745.5912635720015"/>
    <n v="7652.4100000000008"/>
    <n v="0"/>
    <n v="0"/>
    <n v="93.181263572000717"/>
    <n v="0"/>
    <n v="0"/>
    <n v="0"/>
    <n v="7652"/>
    <n v="0"/>
    <n v="0"/>
    <n v="0"/>
    <n v="0"/>
    <n v="451.2030126339539"/>
    <n v="25.328571428571426"/>
    <n v="-1.2176721264542896E-2"/>
    <n v="1"/>
    <m/>
    <s v="Singhia BMC"/>
    <m/>
    <n v="0"/>
  </r>
  <r>
    <s v="Munger"/>
    <s v="17-23 Apr"/>
    <n v="1062"/>
    <s v="Singhia BMC"/>
    <x v="944"/>
    <s v="SISAUNA VLC"/>
    <s v="vlc"/>
    <s v="Indirect"/>
    <n v="119.7"/>
    <n v="5270.4400000000005"/>
    <n v="0"/>
    <n v="0"/>
    <n v="0"/>
    <n v="0"/>
    <n v="0"/>
    <n v="0"/>
    <n v="5270.4400000000005"/>
    <n v="0"/>
    <n v="0"/>
    <n v="0"/>
    <n v="0"/>
    <n v="0"/>
    <n v="0"/>
    <n v="0"/>
    <n v="0"/>
    <n v="5270.4400000000005"/>
    <n v="0"/>
    <n v="0"/>
    <n v="511.01693099415212"/>
    <n v="17.100000000000001"/>
    <n v="0"/>
    <n v="0"/>
    <m/>
    <s v="Singhia BMC"/>
    <m/>
    <n v="0"/>
  </r>
  <r>
    <s v="Munger"/>
    <s v="17-23 Apr"/>
    <n v="1062"/>
    <s v="Singhia BMC"/>
    <x v="945"/>
    <s v="Aditya Bishwas "/>
    <s v="vlc"/>
    <s v="Indirect"/>
    <n v="150.89999999999998"/>
    <n v="6920.95"/>
    <n v="0"/>
    <n v="0"/>
    <n v="0"/>
    <n v="0"/>
    <n v="0"/>
    <n v="0"/>
    <n v="6920.95"/>
    <n v="0"/>
    <n v="0"/>
    <n v="0"/>
    <n v="0"/>
    <n v="0"/>
    <n v="0"/>
    <n v="0"/>
    <n v="0"/>
    <n v="6920.95"/>
    <n v="0"/>
    <n v="0"/>
    <n v="503.68371703114661"/>
    <n v="21.557142857142853"/>
    <n v="0"/>
    <n v="0"/>
    <m/>
    <s v="Singhia BMC"/>
    <m/>
    <n v="0"/>
  </r>
  <r>
    <s v="Munger"/>
    <s v="17-23 Apr"/>
    <n v="1065"/>
    <s v="Bachhwara BMC"/>
    <x v="946"/>
    <s v="Gomukh Vijaiya"/>
    <s v="MPG"/>
    <s v="Direct"/>
    <n v="170.70000000000002"/>
    <n v="7624.75"/>
    <n v="169.9"/>
    <n v="8231.1483530887199"/>
    <n v="0"/>
    <n v="0"/>
    <n v="169.9"/>
    <n v="8231.1483530887199"/>
    <n v="7624.75"/>
    <n v="0"/>
    <n v="0"/>
    <n v="606.39835308871989"/>
    <n v="0"/>
    <n v="0"/>
    <n v="0"/>
    <n v="7625"/>
    <n v="0"/>
    <n v="0"/>
    <n v="0"/>
    <n v="0"/>
    <n v="472.85063561804327"/>
    <n v="24.38571428571429"/>
    <n v="-7.9530260413616174E-2"/>
    <n v="3"/>
    <m/>
    <s v="Bachhwara BMC"/>
    <m/>
    <n v="0"/>
  </r>
  <r>
    <s v="Munger"/>
    <s v="17-23 Apr"/>
    <n v="1065"/>
    <s v="Bachhwara BMC"/>
    <x v="947"/>
    <s v="Gomukh Gangauli"/>
    <s v="MPG"/>
    <s v="Direct"/>
    <n v="1125.5"/>
    <n v="44787.37000000001"/>
    <n v="1139.4000000000001"/>
    <n v="44384.989877417662"/>
    <n v="0"/>
    <n v="0"/>
    <n v="1139.4000000000001"/>
    <n v="44384.989877417662"/>
    <n v="44384.989877417662"/>
    <n v="0"/>
    <n v="0"/>
    <n v="0"/>
    <n v="0"/>
    <n v="0"/>
    <n v="0"/>
    <n v="44386"/>
    <n v="0"/>
    <n v="0"/>
    <n v="401"/>
    <n v="0"/>
    <n v="0"/>
    <n v="0"/>
    <n v="8.9842319962602866E-3"/>
    <n v="21"/>
    <m/>
    <s v="Bachhwara BMC"/>
    <m/>
    <n v="0"/>
  </r>
  <r>
    <s v="Munger"/>
    <s v="17-23 Apr"/>
    <n v="1065"/>
    <s v="Bachhwara BMC"/>
    <x v="948"/>
    <s v="Gomukh KARRAKH"/>
    <s v="MPG"/>
    <s v="Direct"/>
    <n v="411.79999999999995"/>
    <n v="15683.080000000002"/>
    <n v="451.2999999999999"/>
    <n v="16262.283980082673"/>
    <n v="0"/>
    <n v="0"/>
    <n v="451.2999999999999"/>
    <n v="16262.283980082673"/>
    <n v="15683.080000000002"/>
    <n v="0"/>
    <n v="0"/>
    <n v="579.20398008267148"/>
    <n v="0"/>
    <n v="0"/>
    <n v="0"/>
    <n v="15683"/>
    <n v="0"/>
    <n v="0"/>
    <n v="0"/>
    <n v="0"/>
    <n v="219.5174189412337"/>
    <n v="58.828571428571422"/>
    <n v="-3.6931774886225885E-2"/>
    <n v="5"/>
    <m/>
    <s v="Bachhwara BMC"/>
    <m/>
    <n v="0"/>
  </r>
  <r>
    <s v="Munger"/>
    <s v="17-23 Apr"/>
    <n v="1065"/>
    <s v="Bachhwara BMC"/>
    <x v="949"/>
    <s v="MANDA"/>
    <s v="vlc"/>
    <s v="Indirect"/>
    <n v="150"/>
    <n v="5896.67"/>
    <n v="0"/>
    <n v="0"/>
    <n v="0"/>
    <n v="0"/>
    <n v="0"/>
    <n v="0"/>
    <n v="5896.67"/>
    <n v="0"/>
    <n v="0"/>
    <n v="0"/>
    <n v="0"/>
    <n v="0"/>
    <n v="0"/>
    <n v="0"/>
    <n v="0"/>
    <n v="5896.67"/>
    <n v="0"/>
    <n v="0"/>
    <n v="432.42246666666665"/>
    <n v="21.428571428571427"/>
    <n v="0"/>
    <n v="0"/>
    <m/>
    <s v="Bachhwara BMC"/>
    <m/>
    <n v="0"/>
  </r>
  <r>
    <s v="Munger"/>
    <s v="17-23 Apr"/>
    <n v="1065"/>
    <s v="Bachhwara BMC"/>
    <x v="1052"/>
    <s v="HAWASPUR"/>
    <s v="vlc"/>
    <s v="Indirect"/>
    <n v="146.6"/>
    <n v="5216.5499999999993"/>
    <n v="0"/>
    <n v="0"/>
    <n v="0"/>
    <n v="0"/>
    <n v="0"/>
    <n v="0"/>
    <n v="5216.5499999999993"/>
    <n v="0"/>
    <n v="0"/>
    <n v="0"/>
    <n v="0"/>
    <n v="0"/>
    <n v="0"/>
    <n v="0"/>
    <n v="0"/>
    <n v="5216.5499999999993"/>
    <n v="0"/>
    <n v="0"/>
    <n v="393.83884993178719"/>
    <n v="20.942857142857143"/>
    <n v="0"/>
    <n v="0"/>
    <m/>
    <s v="Bachhwara BMC"/>
    <m/>
    <n v="0"/>
  </r>
  <r>
    <s v="Munger"/>
    <s v="17-23 Apr"/>
    <n v="1065"/>
    <s v="Bachhwara BMC"/>
    <x v="1063"/>
    <s v="Gomukh Manda"/>
    <s v="MPG"/>
    <s v="Direct"/>
    <n v="315.8"/>
    <n v="12233.660000000002"/>
    <n v="316.2"/>
    <n v="12037.351519800204"/>
    <n v="0"/>
    <n v="0"/>
    <n v="316.2"/>
    <n v="12037.351519800204"/>
    <n v="12037.351519800204"/>
    <n v="0"/>
    <n v="0"/>
    <n v="0"/>
    <n v="0"/>
    <n v="0"/>
    <n v="0"/>
    <n v="12038"/>
    <n v="0"/>
    <n v="0"/>
    <n v="196"/>
    <n v="0"/>
    <n v="297.66764863837875"/>
    <n v="45.114285714285714"/>
    <n v="1.6046586238280078E-2"/>
    <n v="9"/>
    <m/>
    <s v="Bachhwara BMC"/>
    <m/>
    <n v="0"/>
  </r>
  <r>
    <s v="Munger"/>
    <s v="17-23 Apr"/>
    <n v="1065"/>
    <s v="Bachhwara BMC"/>
    <x v="1029"/>
    <s v="Fateha"/>
    <s v="vlc"/>
    <s v="Indirect"/>
    <n v="652.1"/>
    <n v="22317.08"/>
    <n v="0"/>
    <n v="0"/>
    <n v="0"/>
    <n v="0"/>
    <n v="0"/>
    <n v="0"/>
    <n v="22317.08"/>
    <n v="0"/>
    <n v="0"/>
    <n v="0"/>
    <n v="0"/>
    <n v="0"/>
    <n v="0"/>
    <n v="0"/>
    <n v="0"/>
    <n v="22317.08"/>
    <n v="0"/>
    <n v="0"/>
    <n v="32.786018463425854"/>
    <n v="93.157142857142858"/>
    <n v="0"/>
    <n v="0"/>
    <m/>
    <s v="Bachhwara BMC"/>
    <m/>
    <n v="0"/>
  </r>
  <r>
    <s v="Munger"/>
    <s v="24-30 Apr"/>
    <n v="1001"/>
    <s v="Majhaul"/>
    <x v="0"/>
    <s v="Gomukh Kumbhi"/>
    <s v="MPG"/>
    <s v="Direct"/>
    <n v="500.90000000000003"/>
    <n v="19240.899999999998"/>
    <n v="506.6099999999999"/>
    <n v="19228.414177781331"/>
    <n v="4.12"/>
    <n v="157.69313920800005"/>
    <n v="510.7299999999999"/>
    <n v="19386.107316989332"/>
    <n v="19240.899999999998"/>
    <n v="0"/>
    <n v="157.69313920800005"/>
    <n v="145.20731698933378"/>
    <n v="0"/>
    <n v="0"/>
    <n v="0"/>
    <n v="19083"/>
    <n v="0"/>
    <n v="0"/>
    <n v="0"/>
    <n v="0"/>
    <n v="152.95920103813131"/>
    <n v="71.557142857142864"/>
    <n v="-7.5468048266626713E-3"/>
    <n v="18"/>
    <m/>
    <s v="Majhaul"/>
    <m/>
    <n v="0"/>
  </r>
  <r>
    <s v="Munger"/>
    <s v="24-30 Apr"/>
    <n v="1008"/>
    <s v="Teghra"/>
    <x v="1"/>
    <s v="Gomukh Amba"/>
    <s v="MPG"/>
    <s v="Direct"/>
    <n v="36.199999999999996"/>
    <n v="1264.3"/>
    <n v="36"/>
    <n v="1246.0096123200001"/>
    <n v="0"/>
    <n v="0"/>
    <n v="36"/>
    <n v="1246.0096123200001"/>
    <n v="1246.0096123200001"/>
    <n v="0"/>
    <n v="0"/>
    <n v="0"/>
    <n v="0"/>
    <n v="113.35355999999999"/>
    <n v="0"/>
    <n v="1133"/>
    <n v="0"/>
    <n v="0"/>
    <n v="18"/>
    <n v="0"/>
    <n v="463.66980110497235"/>
    <n v="5.1714285714285708"/>
    <n v="1.4466809839436738E-2"/>
    <n v="1"/>
    <m/>
    <s v="Teghra"/>
    <m/>
    <n v="0"/>
  </r>
  <r>
    <s v="Munger"/>
    <s v="24-30 Apr"/>
    <n v="1001"/>
    <s v="Majhaul"/>
    <x v="2"/>
    <s v="Gomukh Jagdar                                                                                       "/>
    <s v="MPG"/>
    <s v="Direct"/>
    <n v="1017.5"/>
    <n v="40414.720000000001"/>
    <n v="1014.8400000000001"/>
    <n v="40669.237530366154"/>
    <n v="11.85"/>
    <n v="454.05737388000006"/>
    <n v="1026.69"/>
    <n v="41123.294904246155"/>
    <n v="40414.720000000001"/>
    <n v="0"/>
    <n v="454.05737388000006"/>
    <n v="708.57490424615389"/>
    <n v="0"/>
    <n v="0"/>
    <n v="0"/>
    <n v="39961"/>
    <n v="0"/>
    <n v="0"/>
    <n v="0"/>
    <s v="Release1"/>
    <n v="0"/>
    <n v="0"/>
    <n v="-1.7532594664670543E-2"/>
    <n v="12"/>
    <m/>
    <s v="Majhaul"/>
    <m/>
    <n v="0"/>
  </r>
  <r>
    <s v="Munger"/>
    <s v="24-30 Apr"/>
    <n v="1058"/>
    <s v="Hasanpur"/>
    <x v="3"/>
    <s v="Gomukh Goriyari"/>
    <s v="MPG"/>
    <s v="Direct"/>
    <n v="779.49999999999989"/>
    <n v="29561.130000000005"/>
    <n v="637.90000000000009"/>
    <n v="24278.747743800006"/>
    <n v="146.4"/>
    <n v="5595.9814350000006"/>
    <n v="784.30000000000007"/>
    <n v="29874.729178800008"/>
    <n v="29561.130000000005"/>
    <n v="0"/>
    <n v="185.46541200000001"/>
    <n v="313.59917880000285"/>
    <n v="0"/>
    <n v="0"/>
    <n v="0"/>
    <n v="23966"/>
    <n v="5410"/>
    <n v="0"/>
    <n v="0"/>
    <n v="0"/>
    <n v="0"/>
    <n v="0"/>
    <n v="-1.0608497672450369E-2"/>
    <n v="8"/>
    <m/>
    <s v="Hasanpur"/>
    <m/>
    <n v="0"/>
  </r>
  <r>
    <s v="Munger"/>
    <s v="24-30 Apr"/>
    <n v="1058"/>
    <s v="Hasanpur"/>
    <x v="4"/>
    <s v="Gomukh Kanausi"/>
    <s v="MPG"/>
    <s v="Direct"/>
    <n v="235.90000000000003"/>
    <n v="8753.2200000000012"/>
    <n v="149.80000000000001"/>
    <n v="5747.9150124000007"/>
    <n v="114.89999999999999"/>
    <n v="4324.6351748160005"/>
    <n v="264.7"/>
    <n v="10072.550187216002"/>
    <n v="8753.2200000000012"/>
    <n v="0"/>
    <n v="186.12534600000004"/>
    <n v="1319.3301872160009"/>
    <n v="0"/>
    <n v="103.00205999999983"/>
    <n v="0"/>
    <n v="4325"/>
    <n v="4139"/>
    <n v="0"/>
    <n v="0"/>
    <n v="0"/>
    <n v="344.41453175074179"/>
    <n v="33.700000000000003"/>
    <n v="-0.15072512597832577"/>
    <n v="5"/>
    <m/>
    <s v="Hasanpur"/>
    <m/>
    <n v="0"/>
  </r>
  <r>
    <s v="Munger"/>
    <s v="24-30 Apr"/>
    <n v="1001"/>
    <s v="Majhaul"/>
    <x v="952"/>
    <s v="Mohanpur - Chandan"/>
    <s v="vlc"/>
    <s v="Indirect"/>
    <n v="29.799999999999997"/>
    <n v="1532.08"/>
    <n v="0"/>
    <n v="0"/>
    <n v="0"/>
    <n v="0"/>
    <n v="0"/>
    <n v="0"/>
    <n v="1532.08"/>
    <n v="0"/>
    <n v="0"/>
    <n v="0"/>
    <n v="0"/>
    <n v="539.06744516129049"/>
    <n v="0"/>
    <n v="0"/>
    <n v="0"/>
    <n v="993.01255483870943"/>
    <n v="0"/>
    <n v="0"/>
    <n v="689.12752751677863"/>
    <n v="4.2571428571428571"/>
    <n v="0"/>
    <n v="0"/>
    <m/>
    <s v="Majhaul"/>
    <m/>
    <n v="0"/>
  </r>
  <r>
    <s v="Munger"/>
    <s v="24-30 Apr"/>
    <n v="1001"/>
    <s v="Majhaul"/>
    <x v="5"/>
    <s v="Birpur-2 - Pankaj"/>
    <s v="vlc"/>
    <s v="Indirect"/>
    <n v="66.599999999999994"/>
    <n v="2327.4900000000002"/>
    <n v="0"/>
    <n v="0"/>
    <n v="0"/>
    <n v="0"/>
    <n v="0"/>
    <n v="0"/>
    <n v="2327.4900000000002"/>
    <n v="0"/>
    <n v="0"/>
    <n v="0"/>
    <n v="0"/>
    <n v="2327"/>
    <n v="0"/>
    <n v="0"/>
    <n v="0"/>
    <n v="0.49000000000023647"/>
    <n v="0"/>
    <s v="Release1"/>
    <n v="442.71236216216226"/>
    <n v="9.5142857142857142"/>
    <n v="0"/>
    <n v="0"/>
    <m/>
    <s v="Majhaul"/>
    <m/>
    <n v="0"/>
  </r>
  <r>
    <s v="Munger"/>
    <s v="24-30 Apr"/>
    <n v="1058"/>
    <s v="Hasanpur"/>
    <x v="6"/>
    <s v="Ekamba - Ashutosh"/>
    <s v="vlc"/>
    <s v="Indirect"/>
    <n v="266.39999999999998"/>
    <n v="9547.15"/>
    <n v="0"/>
    <n v="0"/>
    <n v="0"/>
    <n v="0"/>
    <n v="0"/>
    <n v="0"/>
    <n v="9547.15"/>
    <n v="0"/>
    <n v="0"/>
    <n v="0"/>
    <n v="0"/>
    <n v="999.73062580645228"/>
    <n v="0"/>
    <n v="0"/>
    <n v="0"/>
    <n v="8547.4193741935469"/>
    <n v="0"/>
    <n v="0"/>
    <n v="310.78410210210217"/>
    <n v="38.057142857142857"/>
    <n v="0"/>
    <n v="0"/>
    <m/>
    <s v="Hasanpur"/>
    <m/>
    <n v="0"/>
  </r>
  <r>
    <s v="Munger"/>
    <s v="24-30 Apr"/>
    <n v="1001"/>
    <s v="Majhaul"/>
    <x v="8"/>
    <s v="GOMUKH BIRPUR PASCHIM                                                                               "/>
    <s v="MPG"/>
    <s v="Direct"/>
    <n v="135.9"/>
    <n v="5511.0099999999993"/>
    <n v="132"/>
    <n v="5096.0044872000017"/>
    <n v="0"/>
    <n v="0"/>
    <n v="132"/>
    <n v="5096.0044872000017"/>
    <n v="5096.0044872000017"/>
    <n v="0"/>
    <n v="0"/>
    <n v="0"/>
    <n v="0"/>
    <n v="0"/>
    <n v="0"/>
    <n v="5096"/>
    <n v="0"/>
    <n v="0"/>
    <n v="415"/>
    <n v="0"/>
    <n v="457.50709948491539"/>
    <n v="19.414285714285715"/>
    <n v="7.5304801261474333E-2"/>
    <n v="2"/>
    <m/>
    <s v="Majhaul"/>
    <m/>
    <n v="0"/>
  </r>
  <r>
    <s v="Munger"/>
    <s v="24-30 Apr"/>
    <n v="1001"/>
    <s v="Majhaul"/>
    <x v="10"/>
    <s v="Manish Dairy                                                                                        "/>
    <s v="vlc"/>
    <s v="Indirect"/>
    <n v="7664"/>
    <n v="271133.03000000003"/>
    <n v="0"/>
    <n v="0"/>
    <n v="0"/>
    <n v="0"/>
    <n v="0"/>
    <n v="0"/>
    <n v="271133.03000000003"/>
    <n v="0"/>
    <n v="0"/>
    <n v="0"/>
    <n v="0"/>
    <n v="0"/>
    <n v="0"/>
    <n v="0"/>
    <n v="0"/>
    <n v="271133.03000000003"/>
    <n v="0"/>
    <n v="0"/>
    <n v="0"/>
    <n v="0"/>
    <n v="0"/>
    <n v="0"/>
    <m/>
    <s v="Majhaul"/>
    <m/>
    <n v="0"/>
  </r>
  <r>
    <s v="Munger"/>
    <s v="24-30 Apr"/>
    <n v="1001"/>
    <s v="Majhaul"/>
    <x v="11"/>
    <s v="Gomukh Bhith-02"/>
    <s v="MPG"/>
    <s v="Direct"/>
    <n v="58.8"/>
    <n v="2234.36"/>
    <n v="72.17"/>
    <n v="3872.9308994807006"/>
    <n v="0"/>
    <n v="0"/>
    <n v="72.17"/>
    <n v="3872.9308994807006"/>
    <n v="2234.36"/>
    <n v="0"/>
    <n v="0"/>
    <n v="1638.5708994807005"/>
    <n v="0"/>
    <n v="1355.0351796610171"/>
    <n v="0"/>
    <n v="879"/>
    <n v="0"/>
    <n v="0"/>
    <n v="0"/>
    <n v="0"/>
    <n v="487.30327619047625"/>
    <n v="8.4"/>
    <n v="-0.73335133974860833"/>
    <n v="1"/>
    <m/>
    <s v="Majhaul"/>
    <m/>
    <n v="0"/>
  </r>
  <r>
    <s v="Munger"/>
    <s v="24-30 Apr"/>
    <n v="1001"/>
    <s v="Majhaul"/>
    <x v="12"/>
    <s v="Gomukh Sharmatola Sahuri"/>
    <s v="MPG"/>
    <s v="Direct"/>
    <n v="1027.5"/>
    <n v="39297.400000000009"/>
    <n v="1018.9000000000001"/>
    <n v="38945.940181427424"/>
    <n v="16.419999999999998"/>
    <n v="747.88958687486013"/>
    <n v="1035.3200000000002"/>
    <n v="39693.829768302283"/>
    <n v="39297.400000000009"/>
    <n v="0"/>
    <n v="0"/>
    <n v="396.42976830227417"/>
    <n v="0"/>
    <n v="0"/>
    <n v="0"/>
    <n v="38549"/>
    <n v="748"/>
    <n v="0"/>
    <n v="0"/>
    <s v="Release1"/>
    <n v="0"/>
    <n v="0"/>
    <n v="-1.0087938853518911E-2"/>
    <n v="12"/>
    <m/>
    <s v="Majhaul"/>
    <m/>
    <n v="0"/>
  </r>
  <r>
    <s v="Munger"/>
    <s v="24-30 Apr"/>
    <n v="1001"/>
    <s v="Majhaul"/>
    <x v="13"/>
    <s v="Sangat- Sanjeev Kumar"/>
    <s v="vlc"/>
    <s v="Indirect"/>
    <n v="209.59999999999997"/>
    <n v="7017.72"/>
    <n v="0"/>
    <n v="0"/>
    <n v="0"/>
    <n v="0"/>
    <n v="0"/>
    <n v="0"/>
    <n v="7017.72"/>
    <n v="0"/>
    <n v="0"/>
    <n v="0"/>
    <n v="0"/>
    <n v="0"/>
    <n v="0"/>
    <n v="0"/>
    <n v="0"/>
    <n v="7017.72"/>
    <n v="0"/>
    <n v="0"/>
    <n v="328.38643969465659"/>
    <n v="29.94285714285714"/>
    <n v="0"/>
    <n v="0"/>
    <m/>
    <s v="Majhaul"/>
    <m/>
    <n v="0"/>
  </r>
  <r>
    <s v="Munger"/>
    <s v="24-30 Apr"/>
    <n v="1058"/>
    <s v="Hasanpur"/>
    <x v="14"/>
    <s v="Gomukh Garhi Bisanpur"/>
    <s v="MPG"/>
    <s v="Direct"/>
    <n v="101.6"/>
    <n v="3920.3199999999997"/>
    <n v="122.31"/>
    <n v="5077.5626697183343"/>
    <n v="2.33"/>
    <n v="103.292120817"/>
    <n v="124.64"/>
    <n v="5180.8547905353344"/>
    <n v="3920.3199999999997"/>
    <n v="0"/>
    <n v="103.292120817"/>
    <n v="1260.5347905353347"/>
    <n v="0"/>
    <n v="0"/>
    <n v="0"/>
    <n v="3817"/>
    <n v="0"/>
    <n v="0"/>
    <n v="0"/>
    <s v="Release1"/>
    <n v="461.79517480314956"/>
    <n v="14.514285714285714"/>
    <n v="-0.3215387495243589"/>
    <n v="7"/>
    <m/>
    <s v="Hasanpur"/>
    <m/>
    <n v="0"/>
  </r>
  <r>
    <s v="Munger"/>
    <s v="24-30 Apr"/>
    <n v="1058"/>
    <s v="Hasanpur"/>
    <x v="15"/>
    <s v="Bagaraha-Gopal Yadav"/>
    <s v="vlc"/>
    <s v="Indirect"/>
    <n v="22.1"/>
    <n v="718.59"/>
    <n v="0"/>
    <n v="0"/>
    <n v="0"/>
    <n v="0"/>
    <n v="0"/>
    <n v="0"/>
    <n v="718.59"/>
    <n v="0"/>
    <n v="0"/>
    <n v="0"/>
    <n v="0"/>
    <n v="495.75162580645139"/>
    <n v="0"/>
    <n v="0"/>
    <n v="0"/>
    <n v="222.83837419354865"/>
    <n v="0"/>
    <n v="0"/>
    <n v="440.84358461538454"/>
    <n v="3.1571428571428575"/>
    <n v="0"/>
    <n v="0"/>
    <m/>
    <s v="Hasanpur"/>
    <m/>
    <n v="0"/>
  </r>
  <r>
    <s v="Munger"/>
    <s v="24-30 Apr"/>
    <n v="1058"/>
    <s v="Hasanpur"/>
    <x v="16"/>
    <s v="Gomukh Barkurwa"/>
    <s v="MPG"/>
    <s v="Direct"/>
    <n v="332"/>
    <n v="12377.08"/>
    <n v="204.22"/>
    <n v="7903.1818600156803"/>
    <n v="113.14"/>
    <n v="4627.3533702512705"/>
    <n v="317.36"/>
    <n v="12530.535230266951"/>
    <n v="12377.08"/>
    <n v="0"/>
    <n v="171.8390271696"/>
    <n v="153.45523026695082"/>
    <n v="0"/>
    <n v="0"/>
    <n v="0"/>
    <n v="7750"/>
    <n v="4455"/>
    <n v="0"/>
    <n v="0"/>
    <n v="0"/>
    <n v="274.38346024096387"/>
    <n v="47.428571428571431"/>
    <n v="-1.2398338725042646E-2"/>
    <n v="16"/>
    <m/>
    <s v="Hasanpur"/>
    <m/>
    <n v="0"/>
  </r>
  <r>
    <s v="Munger"/>
    <s v="24-30 Apr"/>
    <n v="1001"/>
    <s v="Majhaul"/>
    <x v="17"/>
    <s v="Kamla- Amarjeet"/>
    <s v="vlc"/>
    <s v="Indirect"/>
    <n v="97.500000000000014"/>
    <n v="2842.16"/>
    <n v="0"/>
    <n v="0"/>
    <n v="0"/>
    <n v="0"/>
    <n v="0"/>
    <n v="0"/>
    <n v="2842.16"/>
    <n v="0"/>
    <n v="0"/>
    <n v="0"/>
    <n v="0"/>
    <n v="1145.9813225806454"/>
    <n v="0"/>
    <n v="0"/>
    <n v="0"/>
    <n v="1696.1786774193545"/>
    <n v="0"/>
    <n v="0"/>
    <n v="351.26182564102555"/>
    <n v="13.928571428571431"/>
    <n v="0"/>
    <n v="0"/>
    <m/>
    <s v="Majhaul"/>
    <m/>
    <n v="0"/>
  </r>
  <r>
    <s v="Munger"/>
    <s v="24-30 Apr"/>
    <n v="1058"/>
    <s v="Hasanpur"/>
    <x v="18"/>
    <s v="Gomukh Goha-02"/>
    <s v="MPG"/>
    <s v="Direct"/>
    <n v="404.1"/>
    <n v="15720.72"/>
    <n v="391.6"/>
    <n v="15187.393900800002"/>
    <n v="4"/>
    <n v="154.70848799999999"/>
    <n v="395.6"/>
    <n v="15342.102388800002"/>
    <n v="15342.102388800002"/>
    <n v="0"/>
    <n v="154.70848799999999"/>
    <n v="0"/>
    <n v="0"/>
    <n v="0"/>
    <n v="0"/>
    <n v="15187"/>
    <n v="0"/>
    <n v="0"/>
    <n v="379"/>
    <n v="0"/>
    <n v="230.22821321455081"/>
    <n v="57.728571428571435"/>
    <n v="2.4083986687632473E-2"/>
    <n v="3"/>
    <m/>
    <s v="Hasanpur"/>
    <m/>
    <n v="0"/>
  </r>
  <r>
    <s v="Munger"/>
    <s v="24-30 Apr"/>
    <n v="1001"/>
    <s v="Majhaul"/>
    <x v="19"/>
    <s v="Gomukh Cheria Bariarpur"/>
    <s v="MPG"/>
    <s v="Direct"/>
    <n v="1127.3999999999999"/>
    <n v="42100.51"/>
    <n v="1242.3499999999999"/>
    <n v="44294.310608602362"/>
    <n v="2.12"/>
    <n v="77.64058427400002"/>
    <n v="1244.4699999999998"/>
    <n v="44371.95119287636"/>
    <n v="42100.51"/>
    <n v="0"/>
    <n v="77.64058427400002"/>
    <n v="2271.4411928763584"/>
    <n v="0"/>
    <n v="0"/>
    <n v="0"/>
    <n v="42023"/>
    <n v="0"/>
    <n v="0"/>
    <n v="0"/>
    <n v="0"/>
    <n v="0"/>
    <n v="0"/>
    <n v="-5.3952818929660432E-2"/>
    <n v="13"/>
    <m/>
    <s v="Majhaul"/>
    <m/>
    <n v="0"/>
  </r>
  <r>
    <s v="Munger"/>
    <s v="24-30 Apr"/>
    <n v="1058"/>
    <s v="Hasanpur"/>
    <x v="20"/>
    <s v="Gomukh Rahul Nagar"/>
    <s v="MPG"/>
    <s v="Direct"/>
    <n v="285.40000000000003"/>
    <n v="11626.900000000001"/>
    <n v="285.41999999999996"/>
    <n v="12851.135369898719"/>
    <n v="4.8"/>
    <n v="210.39754759780001"/>
    <n v="290.21999999999997"/>
    <n v="13061.532917496519"/>
    <n v="11626.900000000001"/>
    <n v="0"/>
    <n v="210.39754759780001"/>
    <n v="1434.6329174965176"/>
    <n v="0"/>
    <n v="0"/>
    <n v="0"/>
    <n v="11417"/>
    <n v="0"/>
    <n v="0"/>
    <n v="0"/>
    <n v="0"/>
    <n v="337.80748002803085"/>
    <n v="40.771428571428579"/>
    <n v="-0.12338911640218093"/>
    <n v="7"/>
    <m/>
    <s v="Hasanpur"/>
    <m/>
    <n v="0"/>
  </r>
  <r>
    <s v="Munger"/>
    <s v="24-30 Apr"/>
    <n v="1058"/>
    <s v="Hasanpur"/>
    <x v="21"/>
    <s v="Gomukh Bagraha-01"/>
    <s v="MPG"/>
    <s v="Direct"/>
    <n v="45.2"/>
    <n v="1847.5299999999997"/>
    <n v="30"/>
    <n v="1211.792076"/>
    <n v="0"/>
    <n v="0"/>
    <n v="30"/>
    <n v="1211.792076"/>
    <n v="1211.792076"/>
    <n v="0"/>
    <n v="0"/>
    <n v="0"/>
    <n v="0"/>
    <n v="394.07388000000003"/>
    <n v="0"/>
    <n v="818"/>
    <n v="0"/>
    <n v="0"/>
    <n v="635"/>
    <n v="0"/>
    <n v="535.29320530973439"/>
    <n v="6.4571428571428573"/>
    <n v="0.3441015431413833"/>
    <n v="1"/>
    <m/>
    <s v="Hasanpur"/>
    <m/>
    <n v="0"/>
  </r>
  <r>
    <s v="Munger"/>
    <s v="24-30 Apr"/>
    <n v="1058"/>
    <s v="Hasanpur"/>
    <x v="22"/>
    <s v="Gomukh Shobhaipura"/>
    <s v="MPG"/>
    <s v="Direct"/>
    <n v="103.19999999999999"/>
    <n v="3889.9800000000005"/>
    <n v="103.19999999999999"/>
    <n v="3909.4896772799993"/>
    <n v="0.9"/>
    <n v="35.284597920000003"/>
    <n v="104.1"/>
    <n v="3944.7742751999995"/>
    <n v="3889.9800000000005"/>
    <n v="0"/>
    <n v="35.284597920000003"/>
    <n v="54.794275199998992"/>
    <n v="0"/>
    <n v="0"/>
    <n v="0"/>
    <n v="3855"/>
    <n v="0"/>
    <n v="0"/>
    <n v="0"/>
    <n v="0"/>
    <n v="449.91086511627918"/>
    <n v="14.742857142857142"/>
    <n v="-1.4086004349636498E-2"/>
    <n v="2"/>
    <m/>
    <s v="Hasanpur"/>
    <m/>
    <n v="0"/>
  </r>
  <r>
    <s v="Munger"/>
    <s v="24-30 Apr"/>
    <n v="1001"/>
    <s v="Majhaul"/>
    <x v="23"/>
    <s v="Gomukh Pirauna"/>
    <s v="MPG"/>
    <s v="Direct"/>
    <n v="93.1"/>
    <n v="3262.3"/>
    <n v="95.579999999999984"/>
    <n v="3530.4757620097507"/>
    <n v="0.79"/>
    <n v="30.247659170550005"/>
    <n v="96.36999999999999"/>
    <n v="3560.7234211803006"/>
    <n v="3262.3"/>
    <n v="0"/>
    <n v="30.247659170550005"/>
    <n v="298.42342118030047"/>
    <n v="0"/>
    <n v="245.92"/>
    <n v="0"/>
    <n v="2986"/>
    <n v="0"/>
    <n v="0"/>
    <n v="0"/>
    <s v="Release1"/>
    <n v="425.32542857142863"/>
    <n v="13.299999999999999"/>
    <n v="-9.1476388186341059E-2"/>
    <n v="2"/>
    <m/>
    <s v="Majhaul"/>
    <m/>
    <n v="0"/>
  </r>
  <r>
    <s v="Munger"/>
    <s v="24-30 Apr"/>
    <n v="1001"/>
    <s v="Majhaul"/>
    <x v="24"/>
    <s v="Parra- Nagendra Kumar"/>
    <s v="vlc"/>
    <s v="Indirect"/>
    <n v="222.29999999999998"/>
    <n v="7481.57"/>
    <n v="0"/>
    <n v="0"/>
    <n v="0"/>
    <n v="0"/>
    <n v="0"/>
    <n v="0"/>
    <n v="7481.57"/>
    <n v="0"/>
    <n v="0"/>
    <n v="0"/>
    <n v="0"/>
    <n v="0"/>
    <n v="0"/>
    <n v="0"/>
    <n v="0"/>
    <n v="7481.57"/>
    <n v="0"/>
    <n v="0"/>
    <n v="321.54259910031493"/>
    <n v="31.757142857142856"/>
    <n v="0"/>
    <n v="0"/>
    <m/>
    <s v="Majhaul"/>
    <m/>
    <n v="0"/>
  </r>
  <r>
    <s v="Munger"/>
    <s v="24-30 Apr"/>
    <n v="1001"/>
    <s v="Majhaul"/>
    <x v="25"/>
    <s v="Gomukh Basahi"/>
    <s v="MPG"/>
    <s v="Direct"/>
    <n v="611.29999999999995"/>
    <n v="24642.9"/>
    <n v="610.11999999999978"/>
    <n v="25238.248789196452"/>
    <n v="3.93"/>
    <n v="156.40061698800002"/>
    <n v="614.04999999999973"/>
    <n v="25394.649406184453"/>
    <n v="24642.9"/>
    <n v="0"/>
    <n v="156.40061698800002"/>
    <n v="751.7494061844518"/>
    <n v="0"/>
    <n v="0"/>
    <n v="0"/>
    <n v="24486"/>
    <n v="0"/>
    <n v="0"/>
    <n v="0"/>
    <n v="0"/>
    <n v="71.513994110911227"/>
    <n v="87.328571428571422"/>
    <n v="-3.0505719951160446E-2"/>
    <n v="20"/>
    <m/>
    <s v="Majhaul"/>
    <m/>
    <n v="0"/>
  </r>
  <r>
    <s v="Munger"/>
    <s v="24-30 Apr"/>
    <n v="1001"/>
    <s v="Majhaul"/>
    <x v="26"/>
    <s v="Mohanpur- Mukesh Kumar"/>
    <s v="vlc"/>
    <s v="Indirect"/>
    <n v="296.29999999999995"/>
    <n v="11223.78"/>
    <n v="0"/>
    <n v="0"/>
    <n v="0"/>
    <n v="0"/>
    <n v="0"/>
    <n v="0"/>
    <n v="11223.78"/>
    <n v="0"/>
    <n v="0"/>
    <n v="0"/>
    <n v="0"/>
    <n v="1055.0376387096774"/>
    <n v="0"/>
    <n v="0"/>
    <n v="0"/>
    <n v="10168.742361290324"/>
    <n v="0"/>
    <n v="0"/>
    <n v="305.84137603779959"/>
    <n v="42.328571428571422"/>
    <n v="0"/>
    <n v="0"/>
    <m/>
    <s v="Majhaul"/>
    <m/>
    <n v="0"/>
  </r>
  <r>
    <s v="Munger"/>
    <s v="24-30 Apr"/>
    <n v="1001"/>
    <s v="Majhaul"/>
    <x v="27"/>
    <s v="Gomukh Sawantpur"/>
    <s v="MPG"/>
    <s v="Direct"/>
    <n v="468.50000000000006"/>
    <n v="18269.230000000003"/>
    <n v="504.58999999999986"/>
    <n v="19330.088614497603"/>
    <n v="4.2"/>
    <n v="155.11230741599999"/>
    <n v="508.78999999999985"/>
    <n v="19485.200921913602"/>
    <n v="18269.230000000003"/>
    <n v="0"/>
    <n v="155.11230741599999"/>
    <n v="1215.9709219135984"/>
    <n v="0"/>
    <n v="1287.54"/>
    <n v="0"/>
    <n v="16826"/>
    <n v="0"/>
    <n v="0"/>
    <n v="1"/>
    <s v="Release1"/>
    <n v="180.54756648879405"/>
    <n v="66.928571428571431"/>
    <n v="-6.6558411159835323E-2"/>
    <n v="11"/>
    <m/>
    <s v="Majhaul"/>
    <m/>
    <n v="0"/>
  </r>
  <r>
    <s v="Munger"/>
    <s v="24-30 Apr"/>
    <n v="1001"/>
    <s v="Majhaul"/>
    <x v="29"/>
    <s v="Gomukh Aure Bikrampur"/>
    <s v="MPG"/>
    <s v="Direct"/>
    <n v="1145.3999999999999"/>
    <n v="46735.859999999993"/>
    <n v="1185.6500000000001"/>
    <n v="49693.061367561"/>
    <n v="0"/>
    <n v="0"/>
    <n v="1185.6500000000001"/>
    <n v="49693.061367561"/>
    <n v="46735.859999999993"/>
    <n v="0"/>
    <n v="0"/>
    <n v="2957.2013675610069"/>
    <n v="0"/>
    <n v="0"/>
    <n v="0"/>
    <n v="46736"/>
    <n v="0"/>
    <n v="0"/>
    <n v="0"/>
    <n v="0"/>
    <n v="0"/>
    <n v="0"/>
    <n v="-6.327478230979397E-2"/>
    <n v="5"/>
    <m/>
    <s v="Majhaul"/>
    <m/>
    <n v="0"/>
  </r>
  <r>
    <s v="Munger"/>
    <s v="24-30 Apr"/>
    <n v="1001"/>
    <s v="Majhaul"/>
    <x v="30"/>
    <s v="Manjhaul- Gulshan Kumar"/>
    <s v="vlc"/>
    <s v="Indirect"/>
    <n v="911.19999999999993"/>
    <n v="34105.75"/>
    <n v="0"/>
    <n v="0"/>
    <n v="0"/>
    <n v="0"/>
    <n v="0"/>
    <n v="0"/>
    <n v="34105.75"/>
    <n v="0"/>
    <n v="0"/>
    <n v="0"/>
    <n v="0"/>
    <n v="0"/>
    <n v="0"/>
    <n v="0"/>
    <n v="0"/>
    <n v="34105.75"/>
    <n v="0"/>
    <n v="0"/>
    <n v="0"/>
    <n v="0"/>
    <n v="0"/>
    <n v="0"/>
    <m/>
    <s v="Majhaul"/>
    <m/>
    <n v="0"/>
  </r>
  <r>
    <s v="Munger"/>
    <s v="24-30 Apr"/>
    <n v="1001"/>
    <s v="Majhaul"/>
    <x v="31"/>
    <s v="Khaira Manjhaul"/>
    <s v="vlc"/>
    <s v="Indirect"/>
    <n v="537.9"/>
    <n v="19958.45"/>
    <n v="0"/>
    <n v="0"/>
    <n v="0"/>
    <n v="0"/>
    <n v="0"/>
    <n v="0"/>
    <n v="19958.45"/>
    <n v="0"/>
    <n v="0"/>
    <n v="0"/>
    <n v="0"/>
    <n v="0"/>
    <n v="0"/>
    <n v="0"/>
    <n v="0"/>
    <n v="19958.45"/>
    <n v="0"/>
    <n v="0"/>
    <n v="120.2924240565161"/>
    <n v="76.842857142857142"/>
    <n v="0"/>
    <n v="0"/>
    <m/>
    <s v="Majhaul"/>
    <m/>
    <n v="0"/>
  </r>
  <r>
    <s v="Munger"/>
    <s v="24-30 Apr"/>
    <n v="1001"/>
    <s v="Majhaul"/>
    <x v="32"/>
    <s v="Mehda Shahpur"/>
    <s v="vlc"/>
    <s v="Indirect"/>
    <n v="305.39999999999998"/>
    <n v="11280.409999999998"/>
    <n v="0"/>
    <n v="0"/>
    <n v="0"/>
    <n v="0"/>
    <n v="0"/>
    <n v="0"/>
    <n v="11280.409999999998"/>
    <n v="0"/>
    <n v="0"/>
    <n v="0"/>
    <n v="0"/>
    <n v="429.34453548387125"/>
    <n v="0"/>
    <n v="0"/>
    <n v="0"/>
    <n v="10851.065464516127"/>
    <n v="0"/>
    <n v="0"/>
    <n v="291.50293294040603"/>
    <n v="43.628571428571426"/>
    <n v="0"/>
    <n v="0"/>
    <m/>
    <s v="Majhaul"/>
    <m/>
    <n v="0"/>
  </r>
  <r>
    <s v="Munger"/>
    <s v="24-30 Apr"/>
    <n v="1058"/>
    <s v="Hasanpur"/>
    <x v="33"/>
    <s v="Gomukh Shobhaipura 02"/>
    <s v="MPG"/>
    <s v="Direct"/>
    <n v="37.700000000000003"/>
    <n v="1413.37"/>
    <n v="37.700000000000003"/>
    <n v="1423.2902112000002"/>
    <n v="0"/>
    <n v="0"/>
    <n v="37.700000000000003"/>
    <n v="1423.2902112000002"/>
    <n v="1413.37"/>
    <n v="0"/>
    <n v="0"/>
    <n v="9.9202112000002671"/>
    <n v="0"/>
    <n v="531.25"/>
    <n v="0"/>
    <n v="882"/>
    <n v="0"/>
    <n v="0"/>
    <n v="0"/>
    <s v="Release1"/>
    <n v="496.59148594164452"/>
    <n v="5.3857142857142861"/>
    <n v="-7.0188352660664E-3"/>
    <n v="1"/>
    <m/>
    <s v="Hasanpur"/>
    <m/>
    <n v="0"/>
  </r>
  <r>
    <s v="Munger"/>
    <s v="24-30 Apr"/>
    <n v="1001"/>
    <s v="Majhaul"/>
    <x v="34"/>
    <s v="Shri Bhairav Laxmipur"/>
    <s v="MPG"/>
    <s v="Direct"/>
    <n v="310.70000000000005"/>
    <n v="12854.710000000001"/>
    <n v="330.02"/>
    <n v="13650.269702348751"/>
    <n v="0"/>
    <n v="0"/>
    <n v="330.02"/>
    <n v="13650.269702348751"/>
    <n v="12854.710000000001"/>
    <n v="0"/>
    <n v="0"/>
    <n v="795.55970234874985"/>
    <n v="0"/>
    <n v="0"/>
    <n v="0"/>
    <n v="12855"/>
    <n v="0"/>
    <n v="0"/>
    <n v="0"/>
    <n v="0"/>
    <n v="322.13315757965881"/>
    <n v="44.385714285714293"/>
    <n v="-6.1888576432198764E-2"/>
    <n v="10"/>
    <m/>
    <s v="Majhaul"/>
    <m/>
    <n v="0"/>
  </r>
  <r>
    <s v="Munger"/>
    <s v="24-30 Apr"/>
    <n v="1001"/>
    <s v="Majhaul"/>
    <x v="35"/>
    <s v="Goapalpur"/>
    <s v="MPG"/>
    <s v="Direct"/>
    <n v="124.39999999999999"/>
    <n v="4604.7800000000007"/>
    <n v="125.25999999999999"/>
    <n v="4791.1451941307196"/>
    <n v="0"/>
    <n v="0"/>
    <n v="125.25999999999999"/>
    <n v="4791.1451941307196"/>
    <n v="4604.7800000000007"/>
    <n v="0"/>
    <n v="0"/>
    <n v="186.36519413071892"/>
    <n v="0"/>
    <n v="129.28"/>
    <n v="0"/>
    <n v="4476"/>
    <n v="0"/>
    <n v="0"/>
    <n v="0"/>
    <s v="Release1"/>
    <n v="426.12722958199367"/>
    <n v="17.771428571428569"/>
    <n v="-4.0472116828755962E-2"/>
    <n v="9"/>
    <m/>
    <s v="Majhaul"/>
    <m/>
    <n v="0"/>
  </r>
  <r>
    <s v="Munger"/>
    <s v="24-30 Apr"/>
    <n v="1001"/>
    <s v="Majhaul"/>
    <x v="36"/>
    <s v="Gomukh Akaha"/>
    <s v="MPG"/>
    <s v="Direct"/>
    <n v="136.80000000000001"/>
    <n v="4579.57"/>
    <n v="135.31"/>
    <n v="5113.8956487960004"/>
    <n v="0"/>
    <n v="0"/>
    <n v="135.31"/>
    <n v="5113.8956487960004"/>
    <n v="4579.57"/>
    <n v="0"/>
    <n v="0"/>
    <n v="534.32564879600068"/>
    <n v="0"/>
    <n v="0"/>
    <n v="0"/>
    <n v="4580"/>
    <n v="0"/>
    <n v="0"/>
    <n v="0"/>
    <s v="Release1"/>
    <n v="377.07804444444446"/>
    <n v="19.542857142857144"/>
    <n v="-0.11667594311168968"/>
    <n v="3"/>
    <m/>
    <s v="Majhaul"/>
    <m/>
    <n v="0"/>
  </r>
  <r>
    <s v="Munger"/>
    <s v="24-30 Apr"/>
    <n v="1001"/>
    <s v="Majhaul"/>
    <x v="37"/>
    <s v="Gomukh Rajakpur"/>
    <s v="MPG"/>
    <s v="Direct"/>
    <n v="40.9"/>
    <n v="1197.5900000000001"/>
    <n v="41.2"/>
    <n v="1438.0906082400004"/>
    <n v="0"/>
    <n v="0"/>
    <n v="41.2"/>
    <n v="1438.0906082400004"/>
    <n v="1197.5900000000001"/>
    <n v="0"/>
    <n v="0"/>
    <n v="240.50060824000025"/>
    <n v="0"/>
    <n v="0"/>
    <n v="0"/>
    <n v="1198"/>
    <n v="0"/>
    <n v="0"/>
    <n v="0"/>
    <s v="Release1"/>
    <n v="385.98120733496341"/>
    <n v="5.8428571428571425"/>
    <n v="-0.20082048801342714"/>
    <n v="1"/>
    <m/>
    <s v="Majhaul"/>
    <m/>
    <n v="0"/>
  </r>
  <r>
    <s v="Munger"/>
    <s v="24-30 Apr"/>
    <n v="1001"/>
    <s v="Majhaul"/>
    <x v="38"/>
    <s v="Gomukh Mohanpur"/>
    <s v="MPG"/>
    <s v="Direct"/>
    <n v="273.2"/>
    <n v="10473.049999999999"/>
    <n v="269.27999999999997"/>
    <n v="10546.33892829035"/>
    <n v="25.57"/>
    <n v="909.31353604740002"/>
    <n v="294.84999999999997"/>
    <n v="11455.652464337751"/>
    <n v="10473.049999999999"/>
    <n v="0"/>
    <n v="909.31353604740002"/>
    <n v="982.60246433775137"/>
    <n v="0"/>
    <n v="0"/>
    <n v="0"/>
    <n v="9564"/>
    <n v="0"/>
    <n v="0"/>
    <n v="0"/>
    <n v="0"/>
    <n v="327.22531039531481"/>
    <n v="39.028571428571425"/>
    <n v="-9.3821996871756699E-2"/>
    <n v="9"/>
    <m/>
    <s v="Majhaul"/>
    <m/>
    <n v="0"/>
  </r>
  <r>
    <s v="Munger"/>
    <s v="24-30 Apr"/>
    <n v="1001"/>
    <s v="Majhaul"/>
    <x v="39"/>
    <s v="Gomukh Chakka"/>
    <s v="MPG"/>
    <s v="Direct"/>
    <n v="139.19999999999999"/>
    <n v="5199.79"/>
    <n v="138.35999999999999"/>
    <n v="5526.8902006957996"/>
    <n v="0"/>
    <n v="0"/>
    <n v="138.35999999999999"/>
    <n v="5526.8902006957996"/>
    <n v="5199.79"/>
    <n v="0"/>
    <n v="0"/>
    <n v="327.10020069579969"/>
    <n v="0"/>
    <n v="0"/>
    <n v="0"/>
    <n v="5200"/>
    <n v="0"/>
    <n v="0"/>
    <n v="0"/>
    <n v="0"/>
    <n v="418.97158505747132"/>
    <n v="19.885714285714283"/>
    <n v="-6.2906425200979207E-2"/>
    <n v="4"/>
    <m/>
    <s v="Majhaul"/>
    <m/>
    <n v="0"/>
  </r>
  <r>
    <s v="Munger"/>
    <s v="24-30 Apr"/>
    <n v="1001"/>
    <s v="Majhaul"/>
    <x v="1031"/>
    <s v="Gamharia"/>
    <s v="vlc"/>
    <s v="Indirect"/>
    <n v="146.6"/>
    <n v="6182.7999999999993"/>
    <n v="0"/>
    <n v="0"/>
    <n v="0"/>
    <n v="0"/>
    <n v="0"/>
    <n v="0"/>
    <n v="6182.7999999999993"/>
    <n v="0"/>
    <n v="0"/>
    <n v="0"/>
    <n v="0"/>
    <n v="0"/>
    <n v="0"/>
    <n v="0"/>
    <n v="0"/>
    <n v="6182.7999999999993"/>
    <n v="0"/>
    <n v="0"/>
    <n v="466.78874761255111"/>
    <n v="20.942857142857143"/>
    <n v="0"/>
    <n v="0"/>
    <m/>
    <s v="Majhaul"/>
    <m/>
    <n v="0"/>
  </r>
  <r>
    <s v="Munger"/>
    <s v="24-30 Apr"/>
    <n v="1001"/>
    <s v="Majhaul"/>
    <x v="40"/>
    <s v="Gomukh Meghaul-02"/>
    <s v="MPG"/>
    <s v="Direct"/>
    <n v="212.00000000000003"/>
    <n v="7555.3700000000008"/>
    <n v="199.04999999999995"/>
    <n v="6792.6764204838"/>
    <n v="0"/>
    <n v="0"/>
    <n v="199.04999999999995"/>
    <n v="6792.6764204838"/>
    <n v="6792.6764204838"/>
    <n v="0"/>
    <n v="0"/>
    <n v="0"/>
    <n v="0"/>
    <n v="0"/>
    <n v="0"/>
    <n v="6793"/>
    <n v="0"/>
    <n v="0"/>
    <n v="762"/>
    <n v="0"/>
    <n v="347.83212830188677"/>
    <n v="30.285714285714288"/>
    <n v="0.10094721761028258"/>
    <n v="4"/>
    <m/>
    <s v="Majhaul"/>
    <m/>
    <n v="0"/>
  </r>
  <r>
    <s v="Munger"/>
    <s v="24-30 Apr"/>
    <n v="1001"/>
    <s v="Majhaul"/>
    <x v="953"/>
    <s v="Gomukh Meida"/>
    <s v="MPG"/>
    <s v="Direct"/>
    <n v="252.89999999999998"/>
    <n v="9215.34"/>
    <n v="274.39999999999998"/>
    <n v="10607.666497559998"/>
    <n v="2"/>
    <n v="72.602244000000013"/>
    <n v="276.39999999999998"/>
    <n v="10680.268741559998"/>
    <n v="9215.34"/>
    <n v="0"/>
    <n v="72.602244000000013"/>
    <n v="1464.9287415599974"/>
    <n v="0"/>
    <n v="0"/>
    <n v="0"/>
    <n v="9142"/>
    <n v="0"/>
    <n v="0"/>
    <n v="1"/>
    <n v="0"/>
    <n v="325.83459976275213"/>
    <n v="36.128571428571426"/>
    <n v="-0.15896632588271267"/>
    <n v="2"/>
    <m/>
    <s v="Majhaul"/>
    <m/>
    <n v="0"/>
  </r>
  <r>
    <s v="Munger"/>
    <s v="24-30 Apr"/>
    <n v="1002"/>
    <s v="Laldiyara"/>
    <x v="41"/>
    <s v="PIPARIYA DIH -2"/>
    <s v="MPG"/>
    <s v="Direct"/>
    <n v="1780.2000000000003"/>
    <n v="81899.110000000015"/>
    <n v="1220.6999999999998"/>
    <n v="53404.759314968003"/>
    <n v="562.70000000000005"/>
    <n v="30277.810095821995"/>
    <n v="1783.3999999999999"/>
    <n v="83682.569410789991"/>
    <n v="81899.110000000015"/>
    <n v="0"/>
    <n v="766.50294113100006"/>
    <n v="1783.4594107899757"/>
    <n v="0"/>
    <n v="453.44584918032928"/>
    <n v="0"/>
    <n v="51167"/>
    <n v="29512"/>
    <n v="0"/>
    <n v="0"/>
    <n v="0"/>
    <n v="0"/>
    <n v="0"/>
    <n v="-2.1776297822894232E-2"/>
    <n v="14"/>
    <m/>
    <s v="Laldiyara"/>
    <m/>
    <n v="0"/>
  </r>
  <r>
    <s v="Munger"/>
    <s v="24-30 Apr"/>
    <n v="1002"/>
    <s v="Laldiyara"/>
    <x v="42"/>
    <s v="LAL DIYARA -1"/>
    <s v="MPG"/>
    <s v="Direct"/>
    <n v="546.79999999999995"/>
    <n v="21032.97"/>
    <n v="543.59999999999991"/>
    <n v="20906.138456280005"/>
    <n v="0"/>
    <n v="0"/>
    <n v="543.59999999999991"/>
    <n v="20906.138456280005"/>
    <n v="20906.138456280005"/>
    <n v="0"/>
    <n v="0"/>
    <n v="0"/>
    <n v="0"/>
    <n v="0"/>
    <n v="0"/>
    <n v="20906"/>
    <n v="0"/>
    <n v="0"/>
    <n v="127"/>
    <n v="0"/>
    <n v="117.85848588149233"/>
    <n v="78.114285714285714"/>
    <n v="6.0301300158748985E-3"/>
    <n v="1"/>
    <m/>
    <s v="Laldiyara"/>
    <m/>
    <n v="0"/>
  </r>
  <r>
    <s v="Munger"/>
    <s v="24-30 Apr"/>
    <n v="1002"/>
    <s v="Laldiyara"/>
    <x v="46"/>
    <s v="GOMUKH RAHATPUR"/>
    <s v="MPG"/>
    <s v="Direct"/>
    <n v="623.79999999999995"/>
    <n v="22673.309999999998"/>
    <n v="663.59999999999991"/>
    <n v="25203.486456720006"/>
    <n v="1.4"/>
    <n v="50.003078400000007"/>
    <n v="664.99999999999989"/>
    <n v="25253.489535120007"/>
    <n v="22673.309999999998"/>
    <n v="0"/>
    <n v="50.003078400000007"/>
    <n v="2580.1795351200089"/>
    <n v="0"/>
    <n v="0"/>
    <n v="0"/>
    <n v="22623"/>
    <n v="0"/>
    <n v="0"/>
    <n v="0"/>
    <n v="0"/>
    <n v="55.392953574863732"/>
    <n v="89.114285714285714"/>
    <n v="-0.11379809719533712"/>
    <n v="4"/>
    <m/>
    <s v="Laldiyara"/>
    <m/>
    <n v="0"/>
  </r>
  <r>
    <s v="Munger"/>
    <s v="24-30 Apr"/>
    <n v="1002"/>
    <s v="Laldiyara"/>
    <x v="49"/>
    <s v="GOMUKH  LALDIYARA TIRASHI                                                                           "/>
    <s v="vlc"/>
    <s v="Indirect"/>
    <n v="25402.6"/>
    <n v="1037772.8599999999"/>
    <n v="0"/>
    <n v="0"/>
    <n v="0"/>
    <n v="0"/>
    <n v="0"/>
    <n v="0"/>
    <n v="1037772.8599999999"/>
    <n v="0"/>
    <n v="0"/>
    <n v="0"/>
    <n v="0"/>
    <n v="0"/>
    <n v="0"/>
    <n v="0"/>
    <n v="0"/>
    <n v="1037772.8599999999"/>
    <n v="0"/>
    <n v="0"/>
    <n v="0"/>
    <n v="0"/>
    <n v="0"/>
    <n v="0"/>
    <m/>
    <s v="Laldiyara"/>
    <m/>
    <n v="0"/>
  </r>
  <r>
    <s v="Munger"/>
    <s v="24-30 Apr"/>
    <n v="1002"/>
    <s v="Laldiyara"/>
    <x v="50"/>
    <s v="GOMUKH  LALDIYARA PURBI"/>
    <s v="vlc"/>
    <s v="Indirect"/>
    <n v="25143.999999999996"/>
    <n v="1024688.99"/>
    <n v="0"/>
    <n v="0"/>
    <n v="0"/>
    <n v="0"/>
    <n v="0"/>
    <n v="0"/>
    <n v="1024688.99"/>
    <n v="0"/>
    <n v="0"/>
    <n v="0"/>
    <n v="0"/>
    <n v="0"/>
    <n v="0"/>
    <n v="0"/>
    <n v="0"/>
    <n v="1024688.99"/>
    <n v="0"/>
    <n v="0"/>
    <n v="0"/>
    <n v="0"/>
    <n v="0"/>
    <n v="0"/>
    <m/>
    <s v="Laldiyara"/>
    <m/>
    <n v="0"/>
  </r>
  <r>
    <s v="Munger"/>
    <s v="24-30 Apr"/>
    <n v="1002"/>
    <s v="Laldiyara"/>
    <x v="51"/>
    <s v="GOMUKH RAMCHANDARPUR II"/>
    <s v="MPG"/>
    <s v="Direct"/>
    <n v="1441.1999999999998"/>
    <n v="56575.74"/>
    <n v="1245.7"/>
    <n v="57428.377131066496"/>
    <n v="18"/>
    <n v="784.09995840000011"/>
    <n v="1263.7"/>
    <n v="58212.477089466498"/>
    <n v="56575.74"/>
    <n v="0"/>
    <n v="784.09995840000011"/>
    <n v="1636.7370894665"/>
    <n v="0"/>
    <n v="6992.05"/>
    <n v="0"/>
    <n v="48800"/>
    <n v="0"/>
    <n v="0"/>
    <n v="0"/>
    <s v="Release1"/>
    <n v="0"/>
    <n v="0"/>
    <n v="-2.8930016460527074E-2"/>
    <n v="46"/>
    <m/>
    <s v="Laldiyara"/>
    <m/>
    <n v="0"/>
  </r>
  <r>
    <s v="Munger"/>
    <s v="24-30 Apr"/>
    <n v="1002"/>
    <s v="Laldiyara"/>
    <x v="54"/>
    <s v="MOHANPUR"/>
    <s v="MPG"/>
    <s v="Direct"/>
    <n v="370.1"/>
    <n v="21873.02"/>
    <n v="562.79999999999995"/>
    <n v="26409.567991579799"/>
    <n v="5.9"/>
    <n v="407.558307732"/>
    <n v="568.69999999999993"/>
    <n v="26817.1262993118"/>
    <n v="21873.02"/>
    <n v="0"/>
    <n v="0"/>
    <n v="4944.1062993117994"/>
    <n v="0"/>
    <n v="0"/>
    <n v="0"/>
    <n v="0"/>
    <n v="0"/>
    <n v="0"/>
    <n v="21873"/>
    <s v="Yes"/>
    <n v="389.94376103755741"/>
    <n v="52.871428571428574"/>
    <n v="-0.22603674752328665"/>
    <n v="12"/>
    <m/>
    <s v="Laldiyara"/>
    <m/>
    <n v="0"/>
  </r>
  <r>
    <s v="Munger"/>
    <s v="24-30 Apr"/>
    <n v="1002"/>
    <s v="Laldiyara"/>
    <x v="55"/>
    <s v="Juwas"/>
    <s v="MPG"/>
    <s v="Direct"/>
    <n v="859.4"/>
    <n v="32066.47"/>
    <n v="849.8"/>
    <n v="32417.448110337253"/>
    <n v="9.1"/>
    <n v="359.6189651026001"/>
    <n v="858.9"/>
    <n v="32777.067075439852"/>
    <n v="32066.47"/>
    <n v="0"/>
    <n v="359.6189651026001"/>
    <n v="710.59707543985132"/>
    <n v="0"/>
    <n v="0"/>
    <n v="0"/>
    <n v="31706"/>
    <n v="0"/>
    <n v="0"/>
    <n v="1"/>
    <n v="0"/>
    <n v="0"/>
    <n v="0"/>
    <n v="-2.2160127866891845E-2"/>
    <n v="25"/>
    <m/>
    <s v="Laldiyara"/>
    <m/>
    <n v="0"/>
  </r>
  <r>
    <s v="Munger"/>
    <s v="24-30 Apr"/>
    <n v="1002"/>
    <s v="Laldiyara"/>
    <x v="56"/>
    <s v="Morwariya"/>
    <s v="MPG"/>
    <s v="Direct"/>
    <n v="2447.8000000000002"/>
    <n v="99078.94"/>
    <n v="2598.1899999999991"/>
    <n v="106879.49756386758"/>
    <n v="0"/>
    <n v="0"/>
    <n v="2598.1899999999991"/>
    <n v="106879.49756386758"/>
    <n v="99078.94"/>
    <n v="0"/>
    <n v="0"/>
    <n v="7800.55756386758"/>
    <n v="0"/>
    <n v="0"/>
    <n v="0"/>
    <n v="0"/>
    <n v="0"/>
    <n v="0"/>
    <n v="99079"/>
    <s v="Yes"/>
    <n v="0"/>
    <n v="0"/>
    <n v="-7.8730732927376701E-2"/>
    <n v="72"/>
    <m/>
    <s v="Laldiyara"/>
    <m/>
    <n v="0"/>
  </r>
  <r>
    <s v="Munger"/>
    <s v="24-30 Apr"/>
    <n v="1002"/>
    <s v="Laldiyara"/>
    <x v="57"/>
    <s v="Dumri 2"/>
    <s v="MPG"/>
    <s v="Direct"/>
    <n v="876.80000000000007"/>
    <n v="33632.74"/>
    <n v="874.72"/>
    <n v="33230.70707562771"/>
    <n v="8.5500000000000007"/>
    <n v="324.39267233999999"/>
    <n v="883.27"/>
    <n v="33555.09974796771"/>
    <n v="33555.09974796771"/>
    <n v="0"/>
    <n v="324.39267233999999"/>
    <n v="0"/>
    <n v="0"/>
    <n v="337.79262000000051"/>
    <n v="0"/>
    <n v="32892"/>
    <n v="0"/>
    <n v="0"/>
    <n v="79"/>
    <n v="0"/>
    <n v="0"/>
    <n v="0"/>
    <n v="2.3084724001757847E-3"/>
    <n v="17"/>
    <m/>
    <s v="Laldiyara"/>
    <m/>
    <n v="0"/>
  </r>
  <r>
    <s v="Munger"/>
    <s v="24-30 Apr"/>
    <n v="1002"/>
    <s v="Laldiyara"/>
    <x v="58"/>
    <s v="Gomukh Jhakhaur"/>
    <s v="MPG"/>
    <s v="Direct"/>
    <n v="760.59999999999991"/>
    <n v="30806.18"/>
    <n v="771.74"/>
    <n v="32011.053456930196"/>
    <n v="1.75"/>
    <n v="63.929418300000009"/>
    <n v="773.49"/>
    <n v="32074.982875230195"/>
    <n v="30806.18"/>
    <n v="0"/>
    <n v="63.929418300000009"/>
    <n v="1268.8028752301943"/>
    <n v="0"/>
    <n v="0"/>
    <n v="0"/>
    <n v="30742"/>
    <n v="0"/>
    <n v="0"/>
    <n v="0"/>
    <n v="0"/>
    <n v="0"/>
    <n v="0"/>
    <n v="-4.1186634474972048E-2"/>
    <n v="5"/>
    <m/>
    <s v="Laldiyara"/>
    <m/>
    <n v="0"/>
  </r>
  <r>
    <s v="Munger"/>
    <s v="24-30 Apr"/>
    <n v="1002"/>
    <s v="Laldiyara"/>
    <x v="59"/>
    <s v="Gomukh Repura"/>
    <s v="MPG"/>
    <s v="Direct"/>
    <n v="369.59999999999991"/>
    <n v="14469.779999999999"/>
    <n v="369.6"/>
    <n v="14485.216965120002"/>
    <n v="0"/>
    <n v="0"/>
    <n v="369.6"/>
    <n v="14485.216965120002"/>
    <n v="14469.779999999999"/>
    <n v="0"/>
    <n v="0"/>
    <n v="15.436965120003151"/>
    <n v="0"/>
    <n v="0"/>
    <n v="0"/>
    <n v="14470"/>
    <n v="0"/>
    <n v="0"/>
    <n v="0"/>
    <n v="0"/>
    <n v="258.70212727272735"/>
    <n v="52.79999999999999"/>
    <n v="-1.0668417294529117E-3"/>
    <n v="1"/>
    <m/>
    <s v="Laldiyara"/>
    <m/>
    <n v="0"/>
  </r>
  <r>
    <s v="Munger"/>
    <s v="24-30 Apr"/>
    <n v="1002"/>
    <s v="Laldiyara"/>
    <x v="60"/>
    <s v="Gomukh Virupur"/>
    <s v="MPG"/>
    <s v="Direct"/>
    <n v="302.7"/>
    <n v="11662.46"/>
    <n v="283.51"/>
    <n v="10661.578945657202"/>
    <n v="0.95000000000000007"/>
    <n v="35.943315011999999"/>
    <n v="284.45999999999998"/>
    <n v="10697.522260669202"/>
    <n v="10697.522260669202"/>
    <n v="0"/>
    <n v="35.943315011999999"/>
    <n v="0"/>
    <n v="0"/>
    <n v="0"/>
    <n v="0"/>
    <n v="10662"/>
    <n v="0"/>
    <n v="0"/>
    <n v="965"/>
    <n v="0"/>
    <n v="306.1443910142055"/>
    <n v="43.24285714285714"/>
    <n v="8.2738782326438581E-2"/>
    <n v="7"/>
    <m/>
    <s v="Laldiyara"/>
    <m/>
    <n v="0"/>
  </r>
  <r>
    <s v="Munger"/>
    <s v="24-30 Apr"/>
    <n v="1002"/>
    <s v="Laldiyara"/>
    <x v="61"/>
    <s v="Gomukh Diyarapipariya                                                                               "/>
    <s v="MPG"/>
    <s v="Direct"/>
    <n v="843.99999999999977"/>
    <n v="35839.089999999997"/>
    <n v="835.87999999999988"/>
    <n v="35373.699575062521"/>
    <n v="9.43"/>
    <n v="397.842705756496"/>
    <n v="845.30999999999983"/>
    <n v="35771.54228081902"/>
    <n v="35771.54228081902"/>
    <n v="0"/>
    <n v="397.842705756496"/>
    <n v="0"/>
    <n v="0"/>
    <n v="0"/>
    <n v="0"/>
    <n v="35375"/>
    <n v="0"/>
    <n v="0"/>
    <n v="66"/>
    <n v="0"/>
    <n v="0"/>
    <n v="0"/>
    <n v="1.8847498410527962E-3"/>
    <n v="17"/>
    <m/>
    <s v="Laldiyara"/>
    <m/>
    <n v="0"/>
  </r>
  <r>
    <s v="Munger"/>
    <s v="24-30 Apr"/>
    <n v="1002"/>
    <s v="Laldiyara"/>
    <x v="62"/>
    <s v="TAJPUR"/>
    <s v="MPG"/>
    <s v="Direct"/>
    <n v="1069"/>
    <n v="42920.87000000001"/>
    <n v="1051.7800000000002"/>
    <n v="41495.518466276269"/>
    <n v="11.19"/>
    <n v="416.47612208400011"/>
    <n v="1062.9700000000003"/>
    <n v="41911.99458836027"/>
    <n v="41911.99458836027"/>
    <n v="0"/>
    <n v="416.47612208400011"/>
    <n v="0"/>
    <n v="0"/>
    <n v="0"/>
    <n v="0"/>
    <n v="41493"/>
    <n v="0"/>
    <n v="0"/>
    <n v="1011"/>
    <n v="0"/>
    <n v="0"/>
    <n v="0"/>
    <n v="2.3505474414655139E-2"/>
    <n v="28"/>
    <m/>
    <s v="Laldiyara"/>
    <m/>
    <n v="0"/>
  </r>
  <r>
    <s v="Munger"/>
    <s v="24-30 Apr"/>
    <n v="1002"/>
    <s v="Laldiyara"/>
    <x v="63"/>
    <s v="PATHUA"/>
    <s v="MPG"/>
    <s v="Direct"/>
    <n v="228.59999999999997"/>
    <n v="9840.41"/>
    <n v="285.2"/>
    <n v="12997.36922267"/>
    <n v="26"/>
    <n v="1253.322679464"/>
    <n v="311.2"/>
    <n v="14250.691902134"/>
    <n v="9840.41"/>
    <n v="0"/>
    <n v="1253.322679464"/>
    <n v="4410.2819021340001"/>
    <n v="0"/>
    <n v="2462.6799999999998"/>
    <n v="0"/>
    <n v="6124"/>
    <n v="0"/>
    <n v="0"/>
    <n v="0"/>
    <s v="Release1"/>
    <n v="405.84158127734048"/>
    <n v="32.657142857142851"/>
    <n v="-0.44818070610208316"/>
    <n v="4"/>
    <m/>
    <s v="Laldiyara"/>
    <m/>
    <n v="0"/>
  </r>
  <r>
    <s v="Munger"/>
    <s v="24-30 Apr"/>
    <n v="1002"/>
    <s v="Laldiyara"/>
    <x v="64"/>
    <s v="LODIYA"/>
    <s v="MPG"/>
    <s v="Direct"/>
    <n v="352.29999999999995"/>
    <n v="14312.46"/>
    <n v="348.97999999999996"/>
    <n v="14231.94668416704"/>
    <n v="4.0999999999999996"/>
    <n v="172.22260126104004"/>
    <n v="353.08"/>
    <n v="14404.169285428081"/>
    <n v="14312.46"/>
    <n v="0"/>
    <n v="172.22260126104004"/>
    <n v="91.709285428081785"/>
    <n v="0"/>
    <n v="0"/>
    <n v="0"/>
    <n v="14140"/>
    <n v="0"/>
    <n v="0"/>
    <n v="0"/>
    <n v="0"/>
    <n v="282.51162883905766"/>
    <n v="50.328571428571422"/>
    <n v="-6.4076535709501926E-3"/>
    <n v="7"/>
    <m/>
    <s v="Laldiyara"/>
    <m/>
    <n v="0"/>
  </r>
  <r>
    <s v="Munger"/>
    <s v="24-30 Apr"/>
    <n v="1002"/>
    <s v="Laldiyara"/>
    <x v="65"/>
    <s v="ADARSH LAXMIPUR-3"/>
    <s v="MPG"/>
    <s v="Direct"/>
    <n v="218.4"/>
    <n v="9319.7100000000009"/>
    <n v="213.58"/>
    <n v="9383.1419319940615"/>
    <n v="1.54"/>
    <n v="54.666815940000014"/>
    <n v="215.12"/>
    <n v="9437.8087479340611"/>
    <n v="9319.7100000000009"/>
    <n v="0"/>
    <n v="54.666815940000014"/>
    <n v="118.09874793406016"/>
    <n v="0"/>
    <n v="0"/>
    <n v="0"/>
    <n v="9265"/>
    <n v="0"/>
    <n v="0"/>
    <n v="0"/>
    <n v="0"/>
    <n v="411.02310769230769"/>
    <n v="31.2"/>
    <n v="-1.2671933776272024E-2"/>
    <n v="7"/>
    <m/>
    <s v="Laldiyara"/>
    <m/>
    <n v="0"/>
  </r>
  <r>
    <s v="Munger"/>
    <s v="24-30 Apr"/>
    <n v="1002"/>
    <s v="Laldiyara"/>
    <x v="66"/>
    <s v="BHANPUR"/>
    <s v="MPG"/>
    <s v="Direct"/>
    <n v="446.9"/>
    <n v="16847.34"/>
    <n v="446.90000000000003"/>
    <n v="16847.068134600006"/>
    <n v="0"/>
    <n v="0"/>
    <n v="446.90000000000003"/>
    <n v="16847.068134600006"/>
    <n v="16847.068134600006"/>
    <n v="0"/>
    <n v="0"/>
    <n v="0"/>
    <n v="0"/>
    <n v="0"/>
    <n v="0"/>
    <n v="16847"/>
    <n v="0"/>
    <n v="0"/>
    <n v="0"/>
    <n v="0"/>
    <n v="190.82845173416874"/>
    <n v="63.842857142857142"/>
    <n v="1.6136992545681826E-5"/>
    <n v="1"/>
    <m/>
    <s v="Laldiyara"/>
    <m/>
    <n v="0"/>
  </r>
  <r>
    <s v="Munger"/>
    <s v="24-30 Apr"/>
    <n v="1002"/>
    <s v="Laldiyara"/>
    <x v="67"/>
    <s v="Karari Pipariya 2"/>
    <s v="MPG"/>
    <s v="Direct"/>
    <n v="522.70000000000005"/>
    <n v="23654.340000000004"/>
    <n v="519.88"/>
    <n v="23393.179282716359"/>
    <n v="8.51"/>
    <n v="463.31482953960011"/>
    <n v="528.39"/>
    <n v="23856.494112255958"/>
    <n v="23654.340000000004"/>
    <n v="0"/>
    <n v="463.31482953960011"/>
    <n v="202.15411225595381"/>
    <n v="0"/>
    <n v="900.03595081967273"/>
    <n v="0"/>
    <n v="22291"/>
    <n v="0"/>
    <n v="0"/>
    <n v="0"/>
    <n v="0"/>
    <n v="160.47118737325422"/>
    <n v="74.671428571428578"/>
    <n v="-8.5461742858162076E-3"/>
    <n v="7"/>
    <m/>
    <s v="Laldiyara"/>
    <m/>
    <n v="0"/>
  </r>
  <r>
    <s v="Munger"/>
    <s v="24-30 Apr"/>
    <n v="1002"/>
    <s v="Laldiyara"/>
    <x v="68"/>
    <s v="DIYARA PIPARIYA-THANA                                                                               "/>
    <s v="MPG"/>
    <s v="Direct"/>
    <n v="1071.2"/>
    <n v="46197.719999999994"/>
    <n v="1066.2000000000003"/>
    <n v="45723.464731703236"/>
    <n v="6.6700000000000008"/>
    <n v="279.12000085200003"/>
    <n v="1072.8700000000003"/>
    <n v="46002.584732555239"/>
    <n v="46002.584732555239"/>
    <n v="0"/>
    <n v="279.12000085200003"/>
    <n v="0"/>
    <n v="0"/>
    <n v="0"/>
    <n v="0"/>
    <n v="45722"/>
    <n v="0"/>
    <n v="0"/>
    <n v="197"/>
    <n v="0"/>
    <n v="0"/>
    <n v="0"/>
    <n v="4.2239155405235434E-3"/>
    <n v="22"/>
    <m/>
    <s v="Laldiyara"/>
    <m/>
    <n v="0"/>
  </r>
  <r>
    <s v="Munger"/>
    <s v="24-30 Apr"/>
    <n v="1002"/>
    <s v="Laldiyara"/>
    <x v="69"/>
    <s v="SRI RAM SINGH(VLC)"/>
    <s v="vlc"/>
    <s v="Indirect"/>
    <n v="1818.9"/>
    <n v="73803.95"/>
    <n v="0"/>
    <n v="0"/>
    <n v="0"/>
    <n v="0"/>
    <n v="0"/>
    <n v="0"/>
    <n v="73803.95"/>
    <n v="0"/>
    <n v="0"/>
    <n v="0"/>
    <n v="0"/>
    <n v="921.30642580644962"/>
    <n v="0"/>
    <n v="0"/>
    <n v="0"/>
    <n v="72882.643574193542"/>
    <n v="0"/>
    <n v="0"/>
    <n v="0"/>
    <n v="0"/>
    <n v="0"/>
    <n v="0"/>
    <m/>
    <s v="Laldiyara"/>
    <m/>
    <n v="0"/>
  </r>
  <r>
    <s v="Munger"/>
    <s v="24-30 Apr"/>
    <n v="1002"/>
    <s v="Laldiyara"/>
    <x v="70"/>
    <s v="GADHTOLA"/>
    <s v="MPG"/>
    <s v="Direct"/>
    <n v="603.00000000000011"/>
    <n v="22995.710000000003"/>
    <n v="597.47"/>
    <n v="22699.136037659791"/>
    <n v="3.8100000000000005"/>
    <n v="137.31155994600002"/>
    <n v="601.28"/>
    <n v="22836.447597605791"/>
    <n v="22836.447597605791"/>
    <n v="0"/>
    <n v="137.31155994600002"/>
    <n v="0"/>
    <n v="0"/>
    <n v="598.17999999999995"/>
    <n v="0"/>
    <n v="22102"/>
    <n v="0"/>
    <n v="0"/>
    <n v="158"/>
    <s v="Release2"/>
    <n v="73.982881260364778"/>
    <n v="86.142857142857153"/>
    <n v="6.9257440798397461E-3"/>
    <n v="8"/>
    <m/>
    <s v="Laldiyara"/>
    <m/>
    <n v="0"/>
  </r>
  <r>
    <s v="Munger"/>
    <s v="24-30 Apr"/>
    <n v="1002"/>
    <s v="Laldiyara"/>
    <x v="72"/>
    <s v="Diyara-Pipariya-Utri - Chandan"/>
    <s v="vlc"/>
    <s v="Indirect"/>
    <n v="352.09999999999997"/>
    <n v="13834.029999999999"/>
    <n v="0"/>
    <n v="0"/>
    <n v="0"/>
    <n v="0"/>
    <n v="0"/>
    <n v="0"/>
    <n v="13834.029999999999"/>
    <n v="0"/>
    <n v="0"/>
    <n v="0"/>
    <n v="0"/>
    <n v="2218.0099741935487"/>
    <n v="0"/>
    <n v="0"/>
    <n v="0"/>
    <n v="11616.020025806451"/>
    <n v="0"/>
    <n v="0"/>
    <n v="273.38023499005971"/>
    <n v="50.3"/>
    <n v="0"/>
    <n v="0"/>
    <m/>
    <s v="Laldiyara"/>
    <m/>
    <n v="0"/>
  </r>
  <r>
    <s v="Munger"/>
    <s v="24-30 Apr"/>
    <n v="1002"/>
    <s v="Laldiyara"/>
    <x v="73"/>
    <s v="KANHARPUR-2"/>
    <s v="MPG"/>
    <s v="Direct"/>
    <n v="1620.3999999999999"/>
    <n v="74034.320000000007"/>
    <n v="1528.56"/>
    <n v="70843.9862417447"/>
    <n v="97.03"/>
    <n v="4354.7021503619007"/>
    <n v="1625.59"/>
    <n v="75198.688392106604"/>
    <n v="74034.320000000007"/>
    <n v="0"/>
    <n v="1624.5636956699"/>
    <n v="1164.3683921065967"/>
    <n v="0"/>
    <n v="1048.409296551722"/>
    <n v="0"/>
    <n v="68630"/>
    <n v="2730"/>
    <n v="0"/>
    <n v="1"/>
    <n v="0"/>
    <n v="0"/>
    <n v="0"/>
    <n v="-1.5727413881921205E-2"/>
    <n v="13"/>
    <m/>
    <s v="Laldiyara"/>
    <m/>
    <n v="0"/>
  </r>
  <r>
    <s v="Munger"/>
    <s v="24-30 Apr"/>
    <n v="1002"/>
    <s v="Laldiyara"/>
    <x v="74"/>
    <s v="BASAUNA"/>
    <s v="MPG"/>
    <s v="Direct"/>
    <n v="729.49999999999989"/>
    <n v="29746.149999999998"/>
    <n v="299.94"/>
    <n v="12599.061497845198"/>
    <n v="430.97"/>
    <n v="16537.561486394356"/>
    <n v="730.91000000000008"/>
    <n v="29136.622984239555"/>
    <n v="29136.622984239555"/>
    <n v="0"/>
    <n v="216.52678000800006"/>
    <n v="0"/>
    <n v="0"/>
    <n v="619.85501311475355"/>
    <n v="0"/>
    <n v="11979"/>
    <n v="16321"/>
    <n v="0"/>
    <n v="610"/>
    <n v="0"/>
    <n v="0"/>
    <n v="0"/>
    <n v="2.0490954821395131E-2"/>
    <n v="10"/>
    <m/>
    <s v="Laldiyara"/>
    <m/>
    <n v="0"/>
  </r>
  <r>
    <s v="Munger"/>
    <s v="24-30 Apr"/>
    <n v="1002"/>
    <s v="Laldiyara"/>
    <x v="75"/>
    <s v="GANGA-SARAI"/>
    <s v="MPG"/>
    <s v="Direct"/>
    <n v="643.6"/>
    <n v="26973.699999999997"/>
    <n v="632.43999999999983"/>
    <n v="25949.162621583178"/>
    <n v="11.639999999999999"/>
    <n v="459.65152248840008"/>
    <n v="644.07999999999981"/>
    <n v="26408.814144071577"/>
    <n v="26408.814144071577"/>
    <n v="0"/>
    <n v="459.65152248840008"/>
    <n v="0"/>
    <n v="0"/>
    <n v="486.31037999999995"/>
    <n v="0"/>
    <n v="25464"/>
    <n v="0"/>
    <n v="0"/>
    <n v="564"/>
    <n v="0"/>
    <n v="47.275223119950233"/>
    <n v="91.94285714285715"/>
    <n v="2.0942097521972142E-2"/>
    <n v="8"/>
    <m/>
    <s v="Laldiyara"/>
    <m/>
    <n v="0"/>
  </r>
  <r>
    <s v="Munger"/>
    <s v="24-30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216.00000000000003"/>
    <n v="8685.4499999999989"/>
    <n v="215.06"/>
    <n v="8232.745440121249"/>
    <n v="2.63"/>
    <n v="92.6091540396"/>
    <n v="217.69"/>
    <n v="8325.3545941608481"/>
    <n v="8325.3545941608481"/>
    <n v="0"/>
    <n v="92.6091540396"/>
    <n v="0"/>
    <n v="0"/>
    <n v="243.70211999999981"/>
    <n v="0"/>
    <n v="7988"/>
    <n v="0"/>
    <n v="0"/>
    <n v="361"/>
    <n v="0"/>
    <n v="389.23683333333321"/>
    <n v="30.857142857142861"/>
    <n v="4.1459614163820047E-2"/>
    <n v="13"/>
    <m/>
    <s v="Laldiyara"/>
    <m/>
    <n v="0"/>
  </r>
  <r>
    <s v="Munger"/>
    <s v="24-30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461.50000000000006"/>
    <n v="20285.570000000003"/>
    <n v="315.42"/>
    <n v="14299.719000644682"/>
    <n v="179.04000000000002"/>
    <n v="7958.8870772855998"/>
    <n v="494.46000000000004"/>
    <n v="22258.606077930282"/>
    <n v="20285.570000000003"/>
    <n v="0"/>
    <n v="218.78015662800001"/>
    <n v="1973.0360779302791"/>
    <n v="0"/>
    <n v="890.77202950819742"/>
    <n v="0"/>
    <n v="11437"/>
    <n v="7739"/>
    <n v="0"/>
    <n v="0"/>
    <n v="0"/>
    <n v="209.66883835319612"/>
    <n v="65.928571428571431"/>
    <n v="-9.7263033670253227E-2"/>
    <n v="10"/>
    <m/>
    <s v="Laldiyara"/>
    <m/>
    <n v="0"/>
  </r>
  <r>
    <s v="Munger"/>
    <s v="24-30 Apr"/>
    <n v="1002"/>
    <s v="Laldiyara"/>
    <x v="78"/>
    <s v="Gomukh Hasanpur"/>
    <s v="vlc"/>
    <s v="Indirect"/>
    <n v="198.7"/>
    <n v="8797.4"/>
    <n v="0"/>
    <n v="0"/>
    <n v="0"/>
    <n v="0"/>
    <n v="0"/>
    <n v="0"/>
    <n v="8797.4"/>
    <n v="0"/>
    <n v="0"/>
    <n v="0"/>
    <n v="0"/>
    <n v="1367.3808193548393"/>
    <n v="0"/>
    <n v="0"/>
    <n v="0"/>
    <n v="7430.0191806451603"/>
    <n v="0"/>
    <n v="0"/>
    <n v="443.89900553598392"/>
    <n v="28.385714285714283"/>
    <n v="0"/>
    <n v="0"/>
    <m/>
    <s v="Laldiyara"/>
    <m/>
    <n v="0"/>
  </r>
  <r>
    <s v="Munger"/>
    <s v="24-30 Apr"/>
    <n v="1002"/>
    <s v="Laldiyara"/>
    <x v="1054"/>
    <s v="ADARSH LAXMIPUR-2"/>
    <s v="vlc"/>
    <s v="Indirect"/>
    <n v="1483.5000000000002"/>
    <n v="58129.34"/>
    <n v="0"/>
    <n v="0"/>
    <n v="0"/>
    <n v="0"/>
    <n v="0"/>
    <n v="0"/>
    <n v="58129.34"/>
    <n v="0"/>
    <n v="0"/>
    <n v="0"/>
    <n v="0"/>
    <n v="0"/>
    <n v="0"/>
    <n v="0"/>
    <n v="0"/>
    <n v="58129.34"/>
    <n v="0"/>
    <n v="0"/>
    <n v="0"/>
    <n v="0"/>
    <n v="0"/>
    <n v="0"/>
    <m/>
    <s v="Laldiyara"/>
    <m/>
    <n v="0"/>
  </r>
  <r>
    <s v="Munger"/>
    <s v="24-30 Apr"/>
    <n v="1002"/>
    <s v="Laldiyara"/>
    <x v="79"/>
    <s v="SABIKPUR"/>
    <s v="MPG"/>
    <s v="Direct"/>
    <n v="627.80000000000007"/>
    <n v="25936.52"/>
    <n v="645.34999999999991"/>
    <n v="27359.948621387888"/>
    <n v="0"/>
    <n v="0"/>
    <n v="645.34999999999991"/>
    <n v="27359.948621387888"/>
    <n v="25936.52"/>
    <n v="0"/>
    <n v="0"/>
    <n v="1423.4286213878877"/>
    <n v="0"/>
    <n v="0"/>
    <n v="0"/>
    <n v="25937"/>
    <n v="0"/>
    <n v="0"/>
    <n v="0"/>
    <n v="0"/>
    <n v="59.656474800891928"/>
    <n v="89.685714285714297"/>
    <n v="-5.4881249349869897E-2"/>
    <n v="22"/>
    <m/>
    <s v="Laldiyara"/>
    <m/>
    <n v="0"/>
  </r>
  <r>
    <s v="Munger"/>
    <s v="24-30 Apr"/>
    <n v="1002"/>
    <s v="Laldiyara"/>
    <x v="80"/>
    <s v="CHETAN-TOLA-KHUTHA"/>
    <s v="MPG"/>
    <s v="Direct"/>
    <n v="142.19999999999999"/>
    <n v="5666.5599999999995"/>
    <n v="297.62999999999994"/>
    <n v="12531.487480076199"/>
    <n v="0.32"/>
    <n v="13.169981880000002"/>
    <n v="297.94999999999993"/>
    <n v="12544.6574619562"/>
    <n v="5666.5599999999995"/>
    <n v="0"/>
    <n v="13.169981880000002"/>
    <n v="6878.0974619562003"/>
    <n v="0"/>
    <n v="54.674459999999875"/>
    <n v="0"/>
    <n v="0"/>
    <n v="0"/>
    <n v="0"/>
    <n v="5599"/>
    <s v="Yes"/>
    <n v="444.55797018284107"/>
    <n v="20.314285714285713"/>
    <n v="-1.2138047531405651"/>
    <n v="3"/>
    <m/>
    <s v="Laldiyara"/>
    <m/>
    <n v="0"/>
  </r>
  <r>
    <s v="Munger"/>
    <s v="24-30 Apr"/>
    <n v="1002"/>
    <s v="Laldiyara"/>
    <x v="81"/>
    <s v="LAXMIPUR"/>
    <s v="MPG"/>
    <s v="Direct"/>
    <n v="979.09999999999991"/>
    <n v="39547.259999999995"/>
    <n v="900.60000000000014"/>
    <n v="41103.909899063001"/>
    <n v="0"/>
    <n v="0"/>
    <n v="900.60000000000014"/>
    <n v="41103.909899063001"/>
    <n v="39547.259999999995"/>
    <n v="0"/>
    <n v="0"/>
    <n v="1556.6498990630062"/>
    <n v="0"/>
    <n v="0"/>
    <n v="0"/>
    <n v="39547"/>
    <n v="0"/>
    <n v="0"/>
    <n v="0"/>
    <s v="Release1"/>
    <n v="0"/>
    <n v="0"/>
    <n v="-3.9361763597857508E-2"/>
    <n v="14"/>
    <m/>
    <s v="Laldiyara"/>
    <m/>
    <n v="0"/>
  </r>
  <r>
    <s v="Munger"/>
    <s v="24-30 Apr"/>
    <n v="1002"/>
    <s v="Laldiyara"/>
    <x v="82"/>
    <s v="REHUA RK"/>
    <s v="vlc"/>
    <s v="Indirect"/>
    <n v="709.8"/>
    <n v="29678.590000000004"/>
    <n v="0"/>
    <n v="0"/>
    <n v="0"/>
    <n v="0"/>
    <n v="0"/>
    <n v="0"/>
    <n v="29678.590000000004"/>
    <n v="0"/>
    <n v="0"/>
    <n v="0"/>
    <n v="0"/>
    <n v="0"/>
    <n v="0"/>
    <n v="0"/>
    <n v="0"/>
    <n v="29678.590000000004"/>
    <n v="0"/>
    <n v="0"/>
    <n v="0"/>
    <n v="0"/>
    <n v="0"/>
    <n v="0"/>
    <m/>
    <s v="Laldiyara"/>
    <m/>
    <n v="0"/>
  </r>
  <r>
    <s v="Munger"/>
    <s v="24-30 Apr"/>
    <n v="1002"/>
    <s v="Laldiyara"/>
    <x v="83"/>
    <s v="RAMNAGAR"/>
    <s v="MPG"/>
    <s v="Direct"/>
    <n v="210.00000000000003"/>
    <n v="8631.1200000000008"/>
    <n v="215.01000000000002"/>
    <n v="9188.8748519894234"/>
    <n v="0"/>
    <n v="0"/>
    <n v="215.01000000000002"/>
    <n v="9188.8748519894234"/>
    <n v="8631.1200000000008"/>
    <n v="0"/>
    <n v="0"/>
    <n v="557.7548519894226"/>
    <n v="0"/>
    <n v="34.68"/>
    <n v="0"/>
    <n v="8596"/>
    <n v="0"/>
    <n v="0"/>
    <n v="0"/>
    <s v="Release2"/>
    <n v="402.78559999999999"/>
    <n v="30.000000000000004"/>
    <n v="-6.4621376135359329E-2"/>
    <n v="9"/>
    <m/>
    <s v="Laldiyara"/>
    <m/>
    <n v="0"/>
  </r>
  <r>
    <s v="Munger"/>
    <s v="24-30 Apr"/>
    <n v="1002"/>
    <s v="Laldiyara"/>
    <x v="85"/>
    <s v="BANSIPUR"/>
    <s v="MPG"/>
    <s v="Direct"/>
    <n v="80.3"/>
    <n v="3519.85"/>
    <n v="108.29999999999998"/>
    <n v="4832.1148777489998"/>
    <n v="0"/>
    <n v="0"/>
    <n v="108.29999999999998"/>
    <n v="4832.1148777489998"/>
    <n v="3519.85"/>
    <n v="0"/>
    <n v="0"/>
    <n v="1312.2648777489999"/>
    <n v="0"/>
    <n v="0"/>
    <n v="0"/>
    <n v="3520"/>
    <n v="0"/>
    <n v="0"/>
    <n v="0"/>
    <n v="0"/>
    <n v="543.27547820672476"/>
    <n v="11.471428571428572"/>
    <n v="-0.37281840923590492"/>
    <n v="1"/>
    <m/>
    <s v="Laldiyara"/>
    <m/>
    <n v="0"/>
  </r>
  <r>
    <s v="Munger"/>
    <s v="24-30 Apr"/>
    <n v="1002"/>
    <s v="Laldiyara"/>
    <x v="86"/>
    <s v="GODIH"/>
    <s v="MPG"/>
    <s v="Direct"/>
    <n v="387.2"/>
    <n v="15343.070000000002"/>
    <n v="383.32000000000005"/>
    <n v="16758.098137358549"/>
    <n v="0"/>
    <n v="0"/>
    <n v="383.32000000000005"/>
    <n v="16758.098137358549"/>
    <n v="15343.070000000002"/>
    <n v="0"/>
    <n v="0"/>
    <n v="1415.0281373585476"/>
    <n v="0"/>
    <n v="0"/>
    <n v="0"/>
    <n v="15343"/>
    <n v="0"/>
    <n v="0"/>
    <n v="0"/>
    <n v="0"/>
    <n v="247.89836239669424"/>
    <n v="55.31428571428571"/>
    <n v="-9.2225880306780028E-2"/>
    <n v="3"/>
    <m/>
    <s v="Laldiyara"/>
    <m/>
    <n v="0"/>
  </r>
  <r>
    <s v="Munger"/>
    <s v="24-30 Apr"/>
    <n v="1002"/>
    <s v="Laldiyara"/>
    <x v="87"/>
    <s v="SINGARPUR"/>
    <s v="MPG"/>
    <s v="Direct"/>
    <n v="209.1"/>
    <n v="12497.140000000001"/>
    <n v="209.52"/>
    <n v="12836.552441602202"/>
    <n v="0"/>
    <n v="0"/>
    <n v="209.52"/>
    <n v="12836.552441602202"/>
    <n v="12497.140000000001"/>
    <n v="0"/>
    <n v="0"/>
    <n v="339.41244160220049"/>
    <n v="0"/>
    <n v="0"/>
    <n v="0"/>
    <n v="12497"/>
    <n v="0"/>
    <n v="0"/>
    <n v="0"/>
    <n v="0"/>
    <n v="586.78584658058355"/>
    <n v="29.87142857142857"/>
    <n v="-2.7159209355276524E-2"/>
    <n v="3"/>
    <m/>
    <s v="Laldiyara"/>
    <m/>
    <n v="0"/>
  </r>
  <r>
    <s v="Munger"/>
    <s v="24-30 Apr"/>
    <n v="1002"/>
    <s v="Laldiyara"/>
    <x v="88"/>
    <s v="ADARSH PULPAR"/>
    <s v="MPG"/>
    <s v="Direct"/>
    <n v="5.6"/>
    <n v="224.73"/>
    <n v="5.6"/>
    <n v="223.24446144000001"/>
    <n v="0"/>
    <n v="0"/>
    <n v="5.6"/>
    <n v="223.24446144000001"/>
    <n v="223.24446144000001"/>
    <n v="0"/>
    <n v="0"/>
    <n v="0"/>
    <n v="0"/>
    <n v="223"/>
    <n v="0"/>
    <n v="0"/>
    <n v="0"/>
    <n v="0"/>
    <n v="2"/>
    <s v="Yes"/>
    <n v="557.33040000000005"/>
    <n v="0.79999999999999993"/>
    <n v="6.6103259911893418E-3"/>
    <n v="1"/>
    <m/>
    <s v="Laldiyara"/>
    <m/>
    <n v="0"/>
  </r>
  <r>
    <s v="Munger"/>
    <s v="24-30 Apr"/>
    <n v="1002"/>
    <s v="Laldiyara"/>
    <x v="89"/>
    <s v="G WOLIPUR"/>
    <s v="vlc"/>
    <s v="Indirect"/>
    <n v="958.6"/>
    <n v="38632.300000000003"/>
    <n v="0"/>
    <n v="0"/>
    <n v="0"/>
    <n v="0"/>
    <n v="0"/>
    <n v="0"/>
    <n v="38632.300000000003"/>
    <n v="0"/>
    <n v="0"/>
    <n v="0"/>
    <n v="0"/>
    <n v="2344.8395225806426"/>
    <n v="0"/>
    <n v="0"/>
    <n v="0"/>
    <n v="36287.460477419358"/>
    <n v="0"/>
    <n v="0"/>
    <n v="0"/>
    <n v="0"/>
    <n v="0"/>
    <n v="0"/>
    <m/>
    <s v="Laldiyara"/>
    <m/>
    <n v="0"/>
  </r>
  <r>
    <s v="Munger"/>
    <s v="24-30 Apr"/>
    <n v="1002"/>
    <s v="Laldiyara"/>
    <x v="90"/>
    <s v="REHUA 3"/>
    <s v="vlc"/>
    <s v="Indirect"/>
    <n v="1164.8000000000002"/>
    <n v="49362.38"/>
    <n v="0"/>
    <n v="0"/>
    <n v="0"/>
    <n v="0"/>
    <n v="0"/>
    <n v="0"/>
    <n v="49362.38"/>
    <n v="0"/>
    <n v="0"/>
    <n v="0"/>
    <n v="0"/>
    <n v="686.2710580645147"/>
    <n v="0"/>
    <n v="0"/>
    <n v="0"/>
    <n v="48676.108941935483"/>
    <n v="0"/>
    <n v="0"/>
    <n v="0"/>
    <n v="0"/>
    <n v="0"/>
    <n v="0"/>
    <m/>
    <s v="Laldiyara"/>
    <m/>
    <n v="0"/>
  </r>
  <r>
    <s v="Munger"/>
    <s v="24-30 Apr"/>
    <n v="1002"/>
    <s v="Laldiyara"/>
    <x v="91"/>
    <s v="BICHWAY"/>
    <s v="MPG"/>
    <s v="Direct"/>
    <n v="281"/>
    <n v="10630.85"/>
    <n v="281"/>
    <n v="10633.333110840002"/>
    <n v="0"/>
    <n v="0"/>
    <n v="281"/>
    <n v="10633.333110840002"/>
    <n v="10630.85"/>
    <n v="0"/>
    <n v="0"/>
    <n v="2.4831108400012454"/>
    <n v="0"/>
    <n v="0"/>
    <n v="0"/>
    <n v="10631"/>
    <n v="0"/>
    <n v="0"/>
    <n v="0"/>
    <n v="0"/>
    <n v="317.03388967971534"/>
    <n v="40.142857142857146"/>
    <n v="-2.335759454795473E-4"/>
    <n v="1"/>
    <m/>
    <s v="Laldiyara"/>
    <m/>
    <n v="0"/>
  </r>
  <r>
    <s v="Munger"/>
    <s v="24-30 Apr"/>
    <n v="1002"/>
    <s v="Laldiyara"/>
    <x v="92"/>
    <s v="MANOHARPUR"/>
    <s v="MPG"/>
    <s v="Direct"/>
    <n v="673.30000000000007"/>
    <n v="25130.079999999998"/>
    <n v="245.28"/>
    <n v="9656.6981162229604"/>
    <n v="431.05999999999995"/>
    <n v="17037.927685120714"/>
    <n v="676.33999999999992"/>
    <n v="26694.625801343675"/>
    <n v="25130.079999999998"/>
    <n v="0"/>
    <n v="0"/>
    <n v="1564.5458013436764"/>
    <n v="0"/>
    <n v="0"/>
    <n v="0"/>
    <n v="8090"/>
    <n v="17040"/>
    <n v="0"/>
    <n v="0"/>
    <n v="0"/>
    <n v="19.930881806029937"/>
    <n v="96.185714285714297"/>
    <n v="-6.2257891791179201E-2"/>
    <n v="21"/>
    <m/>
    <s v="Laldiyara"/>
    <m/>
    <n v="0"/>
  </r>
  <r>
    <s v="Munger"/>
    <s v="24-30 Apr"/>
    <n v="1003"/>
    <s v="Asarganj"/>
    <x v="93"/>
    <s v="MOHANPUR"/>
    <s v="vlc"/>
    <s v="Indirect"/>
    <n v="392.3"/>
    <n v="14664.269999999999"/>
    <n v="0"/>
    <n v="0"/>
    <n v="0"/>
    <n v="0"/>
    <n v="0"/>
    <n v="0"/>
    <n v="14664.269999999999"/>
    <n v="0"/>
    <n v="0"/>
    <n v="0"/>
    <n v="0"/>
    <n v="0"/>
    <n v="0"/>
    <n v="0"/>
    <n v="0"/>
    <n v="14664.269999999999"/>
    <n v="0"/>
    <n v="0"/>
    <n v="230.03802594952842"/>
    <n v="56.042857142857144"/>
    <n v="0"/>
    <n v="0"/>
    <m/>
    <s v="Asarganj"/>
    <m/>
    <n v="0"/>
  </r>
  <r>
    <s v="Munger"/>
    <s v="24-30 Apr"/>
    <n v="1003"/>
    <s v="Asarganj"/>
    <x v="94"/>
    <s v="CHATMADIH"/>
    <s v="MPG"/>
    <s v="Direct"/>
    <n v="1682.4999999999995"/>
    <n v="69922.06"/>
    <n v="1666.1999999999998"/>
    <n v="68930.844296093506"/>
    <n v="18.799999999999997"/>
    <n v="1060.2550119370001"/>
    <n v="1684.9999999999998"/>
    <n v="69991.099308030505"/>
    <n v="69922.06"/>
    <n v="0"/>
    <n v="1060.2550119370001"/>
    <n v="69.039308030507527"/>
    <n v="0"/>
    <n v="0"/>
    <n v="0"/>
    <n v="68862"/>
    <n v="0"/>
    <n v="0"/>
    <n v="0"/>
    <n v="0"/>
    <n v="0"/>
    <n v="0"/>
    <n v="-9.8737520076650387E-4"/>
    <n v="55"/>
    <m/>
    <s v="Asarganj"/>
    <m/>
    <n v="0"/>
  </r>
  <r>
    <s v="Munger"/>
    <s v="24-30 Apr"/>
    <n v="1003"/>
    <s v="Asarganj"/>
    <x v="95"/>
    <s v="SIYADIH"/>
    <s v="vlc"/>
    <s v="Indirect"/>
    <n v="604"/>
    <n v="18205.890000000003"/>
    <n v="0"/>
    <n v="0"/>
    <n v="0"/>
    <n v="0"/>
    <n v="0"/>
    <n v="0"/>
    <n v="18205.890000000003"/>
    <n v="0"/>
    <n v="0"/>
    <n v="0"/>
    <n v="0"/>
    <n v="0"/>
    <n v="0"/>
    <n v="0"/>
    <n v="0"/>
    <n v="18205.890000000003"/>
    <n v="0"/>
    <n v="0"/>
    <n v="57.873027814569525"/>
    <n v="86.285714285714292"/>
    <n v="0"/>
    <n v="0"/>
    <m/>
    <s v="Asarganj"/>
    <m/>
    <n v="0"/>
  </r>
  <r>
    <s v="Munger"/>
    <s v="24-30 Apr"/>
    <n v="1003"/>
    <s v="Asarganj"/>
    <x v="97"/>
    <s v="Gomukh ID Laldiyara"/>
    <s v="vlc"/>
    <s v="Indirect"/>
    <n v="5101"/>
    <n v="185013.17"/>
    <n v="0"/>
    <n v="0"/>
    <n v="0"/>
    <n v="0"/>
    <n v="0"/>
    <n v="0"/>
    <n v="185013.17"/>
    <n v="0"/>
    <n v="0"/>
    <n v="0"/>
    <n v="0"/>
    <n v="0"/>
    <n v="0"/>
    <n v="0"/>
    <n v="0"/>
    <n v="185013.17"/>
    <n v="0"/>
    <n v="0"/>
    <n v="0"/>
    <n v="0"/>
    <n v="0"/>
    <n v="0"/>
    <m/>
    <s v="Asarganj"/>
    <m/>
    <n v="0"/>
  </r>
  <r>
    <s v="Munger"/>
    <s v="24-30 Apr"/>
    <n v="1003"/>
    <s v="Asarganj"/>
    <x v="98"/>
    <s v="KATHNI"/>
    <s v="MPG"/>
    <s v="Direct"/>
    <n v="271.64999999999998"/>
    <n v="9189.6099999999988"/>
    <n v="489"/>
    <n v="21634.166228400001"/>
    <n v="0"/>
    <n v="0"/>
    <n v="489"/>
    <n v="21634.166228400001"/>
    <n v="9189.6099999999988"/>
    <n v="0"/>
    <n v="0"/>
    <n v="12444.556228400003"/>
    <n v="0"/>
    <n v="0"/>
    <n v="0"/>
    <n v="9190"/>
    <n v="0"/>
    <n v="0"/>
    <n v="0"/>
    <n v="0"/>
    <n v="289.81184932817968"/>
    <n v="38.807142857142857"/>
    <n v="-1.3541985164114696"/>
    <n v="3"/>
    <m/>
    <s v="Asarganj"/>
    <m/>
    <n v="0"/>
  </r>
  <r>
    <s v="Munger"/>
    <s v="24-30 Apr"/>
    <n v="1003"/>
    <s v="Asarganj"/>
    <x v="99"/>
    <s v="DEVDHA GOMUKH MPG"/>
    <s v="MPG"/>
    <s v="Direct"/>
    <n v="709.95000000000016"/>
    <n v="27942.99"/>
    <n v="578.79999999999995"/>
    <n v="23012.685515160003"/>
    <n v="131.19999999999999"/>
    <n v="4934.3813006400005"/>
    <n v="710"/>
    <n v="27947.066815800004"/>
    <n v="27942.99"/>
    <n v="0"/>
    <n v="208.90894464000002"/>
    <n v="4.0768158000028052"/>
    <n v="0"/>
    <n v="0"/>
    <n v="0"/>
    <n v="23008"/>
    <n v="4726"/>
    <n v="0"/>
    <n v="0"/>
    <n v="0"/>
    <n v="0"/>
    <n v="0"/>
    <n v="-1.4589762226600679E-4"/>
    <n v="13"/>
    <m/>
    <s v="Asarganj"/>
    <m/>
    <n v="0"/>
  </r>
  <r>
    <s v="Munger"/>
    <s v="24-30 Apr"/>
    <n v="1003"/>
    <s v="Asarganj"/>
    <x v="100"/>
    <s v="KASBA(MANGOAN)"/>
    <s v="vlc"/>
    <s v="Indirect"/>
    <n v="96.4"/>
    <n v="3477.9"/>
    <n v="0"/>
    <n v="0"/>
    <n v="0"/>
    <n v="0"/>
    <n v="0"/>
    <n v="0"/>
    <n v="3477.9"/>
    <n v="0"/>
    <n v="0"/>
    <n v="0"/>
    <n v="0"/>
    <n v="0"/>
    <n v="0"/>
    <n v="0"/>
    <n v="0"/>
    <n v="3477.9"/>
    <n v="0"/>
    <n v="0"/>
    <n v="435.5312116182572"/>
    <n v="13.771428571428572"/>
    <n v="0"/>
    <n v="0"/>
    <m/>
    <s v="Asarganj"/>
    <m/>
    <n v="0"/>
  </r>
  <r>
    <s v="Munger"/>
    <s v="24-30 Apr"/>
    <n v="1003"/>
    <s v="Asarganj"/>
    <x v="101"/>
    <s v="LOHRA"/>
    <s v="MPG"/>
    <s v="Direct"/>
    <n v="436.15000000000003"/>
    <n v="21033.120000000003"/>
    <n v="431.38000000000005"/>
    <n v="22762.362472648354"/>
    <n v="13.659999999999997"/>
    <n v="641.4472838186"/>
    <n v="445.04000000000008"/>
    <n v="23403.809756466955"/>
    <n v="21033.120000000003"/>
    <n v="0"/>
    <n v="641.4472838186"/>
    <n v="2370.6897564669525"/>
    <n v="0"/>
    <n v="0"/>
    <n v="0"/>
    <n v="20392"/>
    <n v="0"/>
    <n v="0"/>
    <n v="0"/>
    <s v="Release1"/>
    <n v="254.48073882838472"/>
    <n v="62.307142857142864"/>
    <n v="-0.1127122251224237"/>
    <n v="10"/>
    <m/>
    <s v="Asarganj"/>
    <m/>
    <n v="0"/>
  </r>
  <r>
    <s v="Munger"/>
    <s v="24-30 Apr"/>
    <n v="1003"/>
    <s v="Asarganj"/>
    <x v="102"/>
    <s v="KAMATPUR"/>
    <s v="MPG"/>
    <s v="Direct"/>
    <n v="207.6"/>
    <n v="7472.21"/>
    <n v="197.49999999999997"/>
    <n v="6863.5832092598648"/>
    <n v="12.619999999999997"/>
    <n v="419.4804464532001"/>
    <n v="210.11999999999998"/>
    <n v="7283.0636557130647"/>
    <n v="7283.0636557130647"/>
    <n v="0"/>
    <n v="419.4804464532001"/>
    <n v="0"/>
    <n v="0"/>
    <n v="0"/>
    <n v="0"/>
    <n v="6863"/>
    <n v="0"/>
    <n v="0"/>
    <n v="190"/>
    <n v="0"/>
    <n v="354.46206204238916"/>
    <n v="29.657142857142855"/>
    <n v="2.5313306811095424E-2"/>
    <n v="5"/>
    <m/>
    <s v="Asarganj"/>
    <m/>
    <n v="0"/>
  </r>
  <r>
    <s v="Munger"/>
    <s v="24-30 Apr"/>
    <n v="1003"/>
    <s v="Asarganj"/>
    <x v="103"/>
    <s v="GIRDHARA"/>
    <s v="MPG"/>
    <s v="Direct"/>
    <n v="682.75"/>
    <n v="27346.689999999995"/>
    <n v="108.78"/>
    <n v="5501.9897353668812"/>
    <n v="572.58999999999992"/>
    <n v="23025.050658587337"/>
    <n v="681.36999999999989"/>
    <n v="28527.040393954219"/>
    <n v="27346.689999999995"/>
    <n v="0"/>
    <n v="248.96556630000006"/>
    <n v="1180.3503939542243"/>
    <n v="0"/>
    <n v="0"/>
    <n v="0"/>
    <n v="4322"/>
    <n v="22776"/>
    <n v="0"/>
    <n v="0"/>
    <n v="0"/>
    <n v="13.818539802270195"/>
    <n v="97.535714285714292"/>
    <n v="-4.3162459294131192E-2"/>
    <n v="12"/>
    <m/>
    <s v="Asarganj"/>
    <m/>
    <n v="0"/>
  </r>
  <r>
    <s v="Munger"/>
    <s v="24-30 Apr"/>
    <n v="1003"/>
    <s v="Asarganj"/>
    <x v="104"/>
    <s v="RATNI"/>
    <s v="MPG"/>
    <s v="Direct"/>
    <n v="812.3"/>
    <n v="42254.78"/>
    <n v="846.98999999999967"/>
    <n v="43158.894436045601"/>
    <n v="11.85"/>
    <n v="635.57607004209001"/>
    <n v="858.83999999999969"/>
    <n v="43794.470506087688"/>
    <n v="42254.78"/>
    <n v="0"/>
    <n v="635.57607004209001"/>
    <n v="1539.6905060876888"/>
    <n v="0"/>
    <n v="0"/>
    <n v="0"/>
    <n v="41619"/>
    <n v="0"/>
    <n v="0"/>
    <n v="0"/>
    <n v="0"/>
    <n v="0"/>
    <n v="0"/>
    <n v="-3.6438256360290806E-2"/>
    <n v="36"/>
    <m/>
    <s v="Asarganj"/>
    <m/>
    <n v="0"/>
  </r>
  <r>
    <s v="Munger"/>
    <s v="24-30 Apr"/>
    <n v="1003"/>
    <s v="Asarganj"/>
    <x v="105"/>
    <s v="DHAPARI"/>
    <s v="MPG"/>
    <s v="Direct"/>
    <n v="704.84999999999991"/>
    <n v="28020.260000000002"/>
    <n v="676.7"/>
    <n v="26922.953512545042"/>
    <n v="26.730000000000004"/>
    <n v="1078.5838490040003"/>
    <n v="703.43000000000006"/>
    <n v="28001.537361549043"/>
    <n v="28001.537361549043"/>
    <n v="0"/>
    <n v="1078.5838490040003"/>
    <n v="0"/>
    <n v="0"/>
    <n v="0"/>
    <n v="0"/>
    <n v="26923"/>
    <n v="0"/>
    <n v="0"/>
    <n v="19"/>
    <n v="0"/>
    <n v="0"/>
    <n v="0"/>
    <n v="6.6818218142727774E-4"/>
    <n v="20"/>
    <m/>
    <s v="Asarganj"/>
    <m/>
    <n v="0"/>
  </r>
  <r>
    <s v="Munger"/>
    <s v="24-30 Apr"/>
    <n v="1003"/>
    <s v="Asarganj"/>
    <x v="106"/>
    <s v="KHARUI"/>
    <s v="MPG"/>
    <s v="Direct"/>
    <n v="405.15000000000003"/>
    <n v="18092.269999999997"/>
    <n v="386.26000000000005"/>
    <n v="17191.835181743503"/>
    <n v="21.01"/>
    <n v="1119.8953662804299"/>
    <n v="407.27000000000004"/>
    <n v="18311.730548023934"/>
    <n v="18092.269999999997"/>
    <n v="0"/>
    <n v="1119.8953662804299"/>
    <n v="219.46054802393701"/>
    <n v="0"/>
    <n v="0"/>
    <n v="0"/>
    <n v="16972"/>
    <n v="0"/>
    <n v="0"/>
    <n v="0"/>
    <n v="0"/>
    <n v="263.33485422682946"/>
    <n v="57.878571428571433"/>
    <n v="-1.2130072568225935E-2"/>
    <n v="11"/>
    <m/>
    <s v="Asarganj"/>
    <m/>
    <n v="0"/>
  </r>
  <r>
    <s v="Munger"/>
    <s v="24-30 Apr"/>
    <n v="1003"/>
    <s v="Asarganj"/>
    <x v="107"/>
    <s v="KHAIRA"/>
    <s v="MPG"/>
    <s v="Direct"/>
    <n v="463.34999999999997"/>
    <n v="19847.210000000003"/>
    <n v="489.7"/>
    <n v="20445.368177520002"/>
    <n v="22.000000000000004"/>
    <n v="929.14628400000015"/>
    <n v="511.7"/>
    <n v="21374.514461520001"/>
    <n v="19847.210000000003"/>
    <n v="0"/>
    <n v="929.14628400000015"/>
    <n v="1527.3044615199979"/>
    <n v="0"/>
    <n v="0"/>
    <n v="0"/>
    <n v="18918"/>
    <n v="0"/>
    <n v="0"/>
    <n v="0"/>
    <n v="0"/>
    <n v="202.73409934175038"/>
    <n v="66.192857142857136"/>
    <n v="-7.6953106331821841E-2"/>
    <n v="3"/>
    <m/>
    <s v="Asarganj"/>
    <m/>
    <n v="0"/>
  </r>
  <r>
    <s v="Munger"/>
    <s v="24-30 Apr"/>
    <n v="1003"/>
    <s v="Asarganj"/>
    <x v="108"/>
    <s v="SISUA"/>
    <s v="MPG"/>
    <s v="Direct"/>
    <n v="699.30000000000007"/>
    <n v="26515.140000000007"/>
    <n v="687.11"/>
    <n v="26559.582772474023"/>
    <n v="17.479999999999997"/>
    <n v="704.57478814800004"/>
    <n v="704.59"/>
    <n v="27264.157560622021"/>
    <n v="26515.140000000007"/>
    <n v="0"/>
    <n v="359.65765202400001"/>
    <n v="749.01756062201457"/>
    <n v="0"/>
    <n v="0"/>
    <n v="0"/>
    <n v="25810"/>
    <n v="345"/>
    <n v="0"/>
    <n v="0"/>
    <n v="0"/>
    <n v="0.53083363363360359"/>
    <n v="99.9"/>
    <n v="-2.8248674554311778E-2"/>
    <n v="24"/>
    <m/>
    <s v="Asarganj"/>
    <m/>
    <n v="0"/>
  </r>
  <r>
    <s v="Munger"/>
    <s v="24-30 Apr"/>
    <n v="1003"/>
    <s v="Asarganj"/>
    <x v="109"/>
    <s v="BISAI"/>
    <s v="MPG"/>
    <s v="Direct"/>
    <n v="267.55000000000007"/>
    <n v="10829.369999999999"/>
    <n v="261.72999999999996"/>
    <n v="11373.6318575601"/>
    <n v="10.84"/>
    <n v="460.55790108000002"/>
    <n v="272.56999999999994"/>
    <n v="11834.189758640099"/>
    <n v="10829.369999999999"/>
    <n v="0"/>
    <n v="460.55790108000002"/>
    <n v="1004.8197586401002"/>
    <n v="0"/>
    <n v="0"/>
    <n v="0"/>
    <n v="10368"/>
    <n v="0"/>
    <n v="0"/>
    <n v="1"/>
    <n v="0"/>
    <n v="350.07744769202009"/>
    <n v="38.221428571428582"/>
    <n v="-9.2786538703553412E-2"/>
    <n v="9"/>
    <m/>
    <s v="Asarganj"/>
    <m/>
    <n v="0"/>
  </r>
  <r>
    <s v="Munger"/>
    <s v="24-30 Apr"/>
    <n v="1003"/>
    <s v="Asarganj"/>
    <x v="110"/>
    <s v="SAJUA-1"/>
    <s v="MPG"/>
    <s v="Direct"/>
    <n v="651.00000000000011"/>
    <n v="24322.120000000003"/>
    <n v="654.52"/>
    <n v="23788.772813152802"/>
    <n v="14.47"/>
    <n v="491.00773885020004"/>
    <n v="668.99"/>
    <n v="24279.780552003002"/>
    <n v="24279.780552003002"/>
    <n v="0"/>
    <n v="491.00773885020004"/>
    <n v="0"/>
    <n v="0"/>
    <n v="0"/>
    <n v="0"/>
    <n v="23790"/>
    <n v="0"/>
    <n v="0"/>
    <n v="41"/>
    <n v="0"/>
    <n v="36.613944086021426"/>
    <n v="93.000000000000014"/>
    <n v="1.7407795042949017E-3"/>
    <n v="7"/>
    <m/>
    <s v="Asarganj"/>
    <m/>
    <n v="0"/>
  </r>
  <r>
    <s v="Munger"/>
    <s v="24-30 Apr"/>
    <n v="1003"/>
    <s v="Asarganj"/>
    <x v="111"/>
    <s v="SAJUA-2"/>
    <s v="MPG"/>
    <s v="Direct"/>
    <n v="937.74999999999989"/>
    <n v="34180.54"/>
    <n v="959.57999999999993"/>
    <n v="36892.365676917529"/>
    <n v="0"/>
    <n v="0"/>
    <n v="959.57999999999993"/>
    <n v="36892.365676917529"/>
    <n v="34180.54"/>
    <n v="0"/>
    <n v="0"/>
    <n v="2711.8256769175277"/>
    <n v="0"/>
    <n v="0"/>
    <n v="0"/>
    <n v="34181"/>
    <n v="0"/>
    <n v="0"/>
    <n v="0"/>
    <s v="Release1"/>
    <n v="0"/>
    <n v="0"/>
    <n v="-7.9338292400223276E-2"/>
    <n v="34"/>
    <m/>
    <s v="Asarganj"/>
    <m/>
    <n v="0"/>
  </r>
  <r>
    <s v="Munger"/>
    <s v="24-30 Apr"/>
    <n v="1003"/>
    <s v="Asarganj"/>
    <x v="112"/>
    <s v="CHORGAUN"/>
    <s v="MPG"/>
    <s v="Direct"/>
    <n v="579.05000000000007"/>
    <n v="21988.84"/>
    <n v="547.70000000000005"/>
    <n v="21042.469506426001"/>
    <n v="19.199999999999996"/>
    <n v="733.73026320000008"/>
    <n v="566.90000000000009"/>
    <n v="21776.199769626"/>
    <n v="21776.199769626"/>
    <n v="0"/>
    <n v="733.73026320000008"/>
    <n v="0"/>
    <n v="0"/>
    <n v="0"/>
    <n v="0"/>
    <n v="21044"/>
    <n v="0"/>
    <n v="0"/>
    <n v="211"/>
    <n v="0"/>
    <n v="91.859086365598799"/>
    <n v="82.721428571428575"/>
    <n v="9.6703705322336089E-3"/>
    <n v="37"/>
    <m/>
    <s v="Asarganj"/>
    <m/>
    <n v="0"/>
  </r>
  <r>
    <s v="Munger"/>
    <s v="24-30 Apr"/>
    <n v="1003"/>
    <s v="Asarganj"/>
    <x v="113"/>
    <s v="PADARATHPUR"/>
    <s v="MPG"/>
    <s v="Direct"/>
    <n v="845.69999999999993"/>
    <n v="32616.409999999993"/>
    <n v="821.80000000000007"/>
    <n v="32072.235712269394"/>
    <n v="17"/>
    <n v="696.96780154288001"/>
    <n v="838.80000000000007"/>
    <n v="32769.203513812274"/>
    <n v="32616.409999999993"/>
    <n v="0"/>
    <n v="696.96780154288001"/>
    <n v="152.79351381228116"/>
    <n v="0"/>
    <n v="0"/>
    <n v="0"/>
    <n v="31919"/>
    <n v="0"/>
    <n v="0"/>
    <n v="0"/>
    <n v="0"/>
    <n v="0"/>
    <n v="0"/>
    <n v="-4.6845595150502833E-3"/>
    <n v="37"/>
    <m/>
    <s v="Asarganj"/>
    <m/>
    <n v="0"/>
  </r>
  <r>
    <s v="Munger"/>
    <s v="24-30 Apr"/>
    <n v="1003"/>
    <s v="Asarganj"/>
    <x v="114"/>
    <s v="BADARKHA"/>
    <s v="MPG"/>
    <s v="Direct"/>
    <n v="844.95"/>
    <n v="29994.83"/>
    <n v="808.06999999999994"/>
    <n v="30088.605070167247"/>
    <n v="0"/>
    <n v="0"/>
    <n v="808.06999999999994"/>
    <n v="30088.605070167247"/>
    <n v="29994.83"/>
    <n v="0"/>
    <n v="0"/>
    <n v="93.775070167244849"/>
    <n v="0"/>
    <n v="0"/>
    <n v="0"/>
    <n v="29995"/>
    <n v="0"/>
    <n v="0"/>
    <n v="0"/>
    <n v="0"/>
    <n v="0"/>
    <n v="0"/>
    <n v="-3.1263744507718442E-3"/>
    <n v="23"/>
    <m/>
    <s v="Asarganj"/>
    <m/>
    <n v="0"/>
  </r>
  <r>
    <s v="Munger"/>
    <s v="24-30 Apr"/>
    <n v="1003"/>
    <s v="Asarganj"/>
    <x v="115"/>
    <s v="MAHDMADPUR                                                                                          "/>
    <s v="MPG"/>
    <s v="Direct"/>
    <n v="445.19999999999993"/>
    <n v="15336.36"/>
    <n v="364.90000000000009"/>
    <n v="15731.87022463462"/>
    <n v="0"/>
    <n v="0"/>
    <n v="364.90000000000009"/>
    <n v="15731.87022463462"/>
    <n v="15336.36"/>
    <n v="0"/>
    <n v="0"/>
    <n v="395.51022463461959"/>
    <n v="0"/>
    <n v="0"/>
    <n v="0"/>
    <n v="15336"/>
    <n v="0"/>
    <n v="0"/>
    <n v="0"/>
    <n v="0"/>
    <n v="175.54827169811333"/>
    <n v="63.599999999999987"/>
    <n v="-2.5789054549751021E-2"/>
    <n v="14"/>
    <m/>
    <s v="Asarganj"/>
    <m/>
    <n v="0"/>
  </r>
  <r>
    <s v="Munger"/>
    <s v="24-30 Apr"/>
    <n v="1003"/>
    <s v="Asarganj"/>
    <x v="116"/>
    <s v="MUSKIPUR                                                                                            "/>
    <s v="MPG"/>
    <s v="Direct"/>
    <n v="1351.9499999999998"/>
    <n v="53354.01"/>
    <n v="1386.2600000000002"/>
    <n v="55306.511457462031"/>
    <n v="0"/>
    <n v="0"/>
    <n v="1386.2600000000002"/>
    <n v="55306.511457462031"/>
    <n v="53354.01"/>
    <n v="0"/>
    <n v="0"/>
    <n v="1952.5014574620291"/>
    <n v="0"/>
    <n v="0"/>
    <n v="0"/>
    <n v="53354"/>
    <n v="0"/>
    <n v="0"/>
    <n v="0"/>
    <n v="0"/>
    <n v="0"/>
    <n v="0"/>
    <n v="-3.6595214820067487E-2"/>
    <n v="35"/>
    <m/>
    <s v="Asarganj"/>
    <m/>
    <n v="0"/>
  </r>
  <r>
    <s v="Munger"/>
    <s v="24-30 Apr"/>
    <n v="1003"/>
    <s v="Asarganj"/>
    <x v="117"/>
    <s v="NAYAGAUN                                                                                            "/>
    <s v="MPG"/>
    <s v="Direct"/>
    <n v="329.95000000000005"/>
    <n v="13606.640000000001"/>
    <n v="333.07000000000005"/>
    <n v="13806.181212128504"/>
    <n v="2.3899999999999997"/>
    <n v="100.56550719600001"/>
    <n v="335.46000000000004"/>
    <n v="13906.746719324505"/>
    <n v="13606.640000000001"/>
    <n v="0"/>
    <n v="100.56550719600001"/>
    <n v="300.1067193245035"/>
    <n v="0"/>
    <n v="0"/>
    <n v="0"/>
    <n v="13506"/>
    <n v="0"/>
    <n v="0"/>
    <n v="0"/>
    <n v="0"/>
    <n v="305.20606952568568"/>
    <n v="47.135714285714293"/>
    <n v="-2.2055902068732876E-2"/>
    <n v="5"/>
    <m/>
    <s v="Asarganj"/>
    <m/>
    <n v="0"/>
  </r>
  <r>
    <s v="Munger"/>
    <s v="24-30 Apr"/>
    <n v="1003"/>
    <s v="Asarganj"/>
    <x v="118"/>
    <s v="LAUNA                                                                                               "/>
    <s v="MPG"/>
    <s v="Direct"/>
    <n v="617.94999999999993"/>
    <n v="23047.800000000003"/>
    <n v="586.15000000000009"/>
    <n v="22777.023518530073"/>
    <n v="11.47"/>
    <n v="450.79748695080002"/>
    <n v="597.62000000000012"/>
    <n v="23227.821005480873"/>
    <n v="23047.800000000003"/>
    <n v="0"/>
    <n v="450.79748695080002"/>
    <n v="180.02100548087037"/>
    <n v="0"/>
    <n v="0"/>
    <n v="0"/>
    <n v="22597"/>
    <n v="0"/>
    <n v="0"/>
    <n v="0"/>
    <n v="0"/>
    <n v="61.204692612670961"/>
    <n v="88.278571428571425"/>
    <n v="-7.8107674259959891E-3"/>
    <n v="14"/>
    <m/>
    <s v="Asarganj"/>
    <m/>
    <n v="0"/>
  </r>
  <r>
    <s v="Munger"/>
    <s v="24-30 Apr"/>
    <n v="1003"/>
    <s v="Asarganj"/>
    <x v="119"/>
    <s v="DULHAR"/>
    <s v="MPG"/>
    <s v="Direct"/>
    <n v="364.49999999999994"/>
    <n v="15108.179999999998"/>
    <n v="380.29"/>
    <n v="16845.867024079842"/>
    <n v="0"/>
    <n v="0"/>
    <n v="380.29"/>
    <n v="16845.867024079842"/>
    <n v="15108.179999999998"/>
    <n v="0"/>
    <n v="0"/>
    <n v="1737.6870240798435"/>
    <n v="0"/>
    <n v="0"/>
    <n v="0"/>
    <n v="15108"/>
    <n v="0"/>
    <n v="0"/>
    <n v="0"/>
    <s v="Release1"/>
    <n v="278.12314897119347"/>
    <n v="52.071428571428562"/>
    <n v="-0.11501630402072544"/>
    <n v="16"/>
    <m/>
    <s v="Asarganj"/>
    <m/>
    <n v="0"/>
  </r>
  <r>
    <s v="Munger"/>
    <s v="24-30 Apr"/>
    <n v="1003"/>
    <s v="Asarganj"/>
    <x v="120"/>
    <s v="Ghorpithiya - Vikas"/>
    <s v="vlc"/>
    <s v="Indirect"/>
    <n v="750.90000000000009"/>
    <n v="29410.36"/>
    <n v="0"/>
    <n v="0"/>
    <n v="0"/>
    <n v="0"/>
    <n v="0"/>
    <n v="0"/>
    <n v="29410.36"/>
    <n v="0"/>
    <n v="0"/>
    <n v="0"/>
    <n v="0"/>
    <n v="0"/>
    <n v="0"/>
    <n v="0"/>
    <n v="0"/>
    <n v="29410.36"/>
    <n v="0"/>
    <n v="0"/>
    <n v="0"/>
    <n v="0"/>
    <n v="0"/>
    <n v="0"/>
    <m/>
    <s v="Asarganj"/>
    <m/>
    <n v="0"/>
  </r>
  <r>
    <s v="Munger"/>
    <s v="24-30 Apr"/>
    <n v="1003"/>
    <s v="Asarganj"/>
    <x v="121"/>
    <s v="Akbarnagar - Rakhi"/>
    <s v="vlc"/>
    <s v="Indirect"/>
    <n v="1152.95"/>
    <n v="43651.950000000004"/>
    <n v="0"/>
    <n v="0"/>
    <n v="0"/>
    <n v="0"/>
    <n v="0"/>
    <n v="0"/>
    <n v="43651.950000000004"/>
    <n v="0"/>
    <n v="0"/>
    <n v="0"/>
    <n v="0"/>
    <n v="0"/>
    <n v="0"/>
    <n v="0"/>
    <n v="0"/>
    <n v="43651.950000000004"/>
    <n v="0"/>
    <n v="0"/>
    <n v="0"/>
    <n v="0"/>
    <n v="0"/>
    <n v="0"/>
    <m/>
    <s v="Asarganj"/>
    <m/>
    <n v="0"/>
  </r>
  <r>
    <s v="Munger"/>
    <s v="24-30 Apr"/>
    <n v="1003"/>
    <s v="Asarganj"/>
    <x v="956"/>
    <s v="Maheshi - Chamch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57"/>
    <s v="Ghorpithiya - Dheeraj"/>
    <s v="vlc"/>
    <s v="Indirect"/>
    <n v="4920"/>
    <n v="178448.4"/>
    <n v="0"/>
    <n v="0"/>
    <n v="0"/>
    <n v="0"/>
    <n v="0"/>
    <n v="0"/>
    <n v="178448.4"/>
    <n v="0"/>
    <n v="0"/>
    <n v="0"/>
    <n v="0"/>
    <n v="0"/>
    <n v="0"/>
    <n v="0"/>
    <n v="0"/>
    <n v="178448.4"/>
    <n v="0"/>
    <n v="0"/>
    <n v="0"/>
    <n v="0"/>
    <n v="0"/>
    <n v="0"/>
    <m/>
    <s v="Asarganj"/>
    <m/>
    <n v="0"/>
  </r>
  <r>
    <s v="Munger"/>
    <s v="24-30 Apr"/>
    <n v="1003"/>
    <s v="Asarganj"/>
    <x v="958"/>
    <s v="Asarganj Chhotki Tola - Akash"/>
    <s v="vlc"/>
    <s v="Indirect"/>
    <n v="4980"/>
    <n v="180624.6"/>
    <n v="0"/>
    <n v="0"/>
    <n v="0"/>
    <n v="0"/>
    <n v="0"/>
    <n v="0"/>
    <n v="180624.6"/>
    <n v="0"/>
    <n v="0"/>
    <n v="0"/>
    <n v="0"/>
    <n v="0"/>
    <n v="0"/>
    <n v="0"/>
    <n v="0"/>
    <n v="180624.6"/>
    <n v="0"/>
    <n v="0"/>
    <n v="0"/>
    <n v="0"/>
    <n v="0"/>
    <n v="0"/>
    <m/>
    <s v="Asarganj"/>
    <m/>
    <n v="0"/>
  </r>
  <r>
    <s v="Munger"/>
    <s v="24-30 Apr"/>
    <n v="1003"/>
    <s v="Asarganj"/>
    <x v="959"/>
    <s v="Manikpur - Golu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0"/>
    <s v="Rangaon - Jayr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1"/>
    <s v="Karso - Aparajita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2"/>
    <s v="Unchagaon - Niraj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122"/>
    <s v="SRIRAMPUR"/>
    <s v="MPG"/>
    <s v="Direct"/>
    <n v="319.10000000000002"/>
    <n v="9422.6800000000021"/>
    <n v="316"/>
    <n v="10768.893696000001"/>
    <n v="0"/>
    <n v="0"/>
    <n v="316"/>
    <n v="10768.893696000001"/>
    <n v="9422.6800000000021"/>
    <n v="0"/>
    <n v="0"/>
    <n v="1346.2136959999989"/>
    <n v="0"/>
    <n v="0"/>
    <n v="0"/>
    <n v="9423"/>
    <n v="0"/>
    <n v="0"/>
    <n v="0"/>
    <s v="Release1"/>
    <n v="224.95135142588535"/>
    <n v="45.585714285714289"/>
    <n v="-0.1428695122831295"/>
    <n v="2"/>
    <m/>
    <s v="Asarganj"/>
    <m/>
    <n v="0"/>
  </r>
  <r>
    <s v="Munger"/>
    <s v="24-30 Apr"/>
    <n v="1003"/>
    <s v="Asarganj"/>
    <x v="123"/>
    <s v="PAIN"/>
    <s v="MPG"/>
    <s v="Direct"/>
    <n v="601.29999999999995"/>
    <n v="20904.18"/>
    <n v="1001.7099999999999"/>
    <n v="34001.56468617481"/>
    <n v="0.64"/>
    <n v="22.646604816"/>
    <n v="1002.3499999999999"/>
    <n v="34024.21129099081"/>
    <n v="20904.18"/>
    <n v="0"/>
    <n v="22.646604816"/>
    <n v="13120.03129099081"/>
    <n v="0"/>
    <n v="0"/>
    <n v="0"/>
    <n v="20881"/>
    <n v="0"/>
    <n v="0"/>
    <n v="1"/>
    <n v="0"/>
    <n v="68.626062398137421"/>
    <n v="85.899999999999991"/>
    <n v="-0.62762716791525952"/>
    <n v="11"/>
    <m/>
    <s v="Asarganj"/>
    <m/>
    <n v="0"/>
  </r>
  <r>
    <s v="Munger"/>
    <s v="24-30 Apr"/>
    <n v="1003"/>
    <s v="Asarganj"/>
    <x v="124"/>
    <s v="MOTICHAK"/>
    <s v="MPG"/>
    <s v="Direct"/>
    <n v="773.95"/>
    <n v="28409.309999999998"/>
    <n v="771.94999999999993"/>
    <n v="28823.118138619204"/>
    <n v="35.82"/>
    <n v="1284.2522359919999"/>
    <n v="807.77"/>
    <n v="30107.370374611204"/>
    <n v="28409.309999999998"/>
    <n v="0"/>
    <n v="1284.2522359919999"/>
    <n v="1698.0603746112065"/>
    <n v="0"/>
    <n v="0"/>
    <n v="0"/>
    <n v="27125"/>
    <n v="0"/>
    <n v="0"/>
    <n v="0"/>
    <n v="0"/>
    <n v="0"/>
    <n v="0"/>
    <n v="-5.9771264230324729E-2"/>
    <n v="6"/>
    <m/>
    <s v="Asarganj"/>
    <m/>
    <n v="0"/>
  </r>
  <r>
    <s v="Munger"/>
    <s v="24-30 Apr"/>
    <n v="1003"/>
    <s v="Asarganj"/>
    <x v="125"/>
    <s v="MIRATTHI"/>
    <s v="MPG"/>
    <s v="Direct"/>
    <n v="236.65000000000003"/>
    <n v="8870.41"/>
    <n v="236.40000000000003"/>
    <n v="8855.5034705940016"/>
    <n v="0"/>
    <n v="0"/>
    <n v="236.40000000000003"/>
    <n v="8855.5034705940016"/>
    <n v="8855.5034705940016"/>
    <n v="0"/>
    <n v="0"/>
    <n v="0"/>
    <n v="0"/>
    <n v="0"/>
    <n v="0"/>
    <n v="8856"/>
    <n v="0"/>
    <n v="0"/>
    <n v="14"/>
    <n v="0"/>
    <n v="347.35723418550594"/>
    <n v="33.807142857142864"/>
    <n v="1.6804780620059614E-3"/>
    <n v="1"/>
    <m/>
    <s v="Asarganj"/>
    <m/>
    <n v="0"/>
  </r>
  <r>
    <s v="Munger"/>
    <s v="24-30 Apr"/>
    <n v="1003"/>
    <s v="Asarganj"/>
    <x v="126"/>
    <s v="DAULATPUR"/>
    <s v="MPG"/>
    <s v="Direct"/>
    <n v="358.25"/>
    <n v="14434.029999999999"/>
    <n v="365.64"/>
    <n v="15238.230982565841"/>
    <n v="1.1400000000000001"/>
    <n v="47.592559080000008"/>
    <n v="366.78"/>
    <n v="15285.823541645841"/>
    <n v="14434.029999999999"/>
    <n v="0"/>
    <n v="47.592559080000008"/>
    <n v="851.7935416458422"/>
    <n v="0"/>
    <n v="0"/>
    <n v="0"/>
    <n v="14386"/>
    <n v="0"/>
    <n v="0"/>
    <n v="0"/>
    <s v="Release1"/>
    <n v="275.3847733426378"/>
    <n v="51.178571428571431"/>
    <n v="-5.901287039349664E-2"/>
    <n v="5"/>
    <m/>
    <s v="Asarganj"/>
    <m/>
    <n v="0"/>
  </r>
  <r>
    <s v="Munger"/>
    <s v="24-30 Apr"/>
    <n v="1003"/>
    <s v="Asarganj"/>
    <x v="127"/>
    <s v="MOHADDIPUR"/>
    <s v="MPG"/>
    <s v="Direct"/>
    <n v="52.899999999999991"/>
    <n v="1814.18"/>
    <n v="221"/>
    <n v="11911.502155119999"/>
    <n v="0"/>
    <n v="0"/>
    <n v="221"/>
    <n v="11911.502155119999"/>
    <n v="1814.18"/>
    <n v="0"/>
    <n v="0"/>
    <n v="10097.322155119999"/>
    <n v="0"/>
    <n v="0"/>
    <n v="0"/>
    <n v="1814"/>
    <n v="0"/>
    <n v="0"/>
    <n v="0"/>
    <s v="Release1"/>
    <n v="443.83965141776952"/>
    <n v="7.5571428571428561"/>
    <n v="-5.5657774615087803"/>
    <n v="2"/>
    <m/>
    <s v="Asarganj"/>
    <m/>
    <n v="0"/>
  </r>
  <r>
    <s v="Munger"/>
    <s v="24-30 Apr"/>
    <n v="1003"/>
    <s v="Asarganj"/>
    <x v="128"/>
    <s v="JHAJHA"/>
    <s v="MPG"/>
    <s v="Direct"/>
    <n v="550.9"/>
    <n v="22578.48"/>
    <n v="546.81000000000006"/>
    <n v="23554.261286426881"/>
    <n v="4.38"/>
    <n v="169.97589655200002"/>
    <n v="551.19000000000005"/>
    <n v="23724.237182978883"/>
    <n v="22578.48"/>
    <n v="0"/>
    <n v="169.97589655200002"/>
    <n v="1145.7571829788831"/>
    <n v="0"/>
    <n v="0"/>
    <n v="0"/>
    <n v="22408"/>
    <n v="0"/>
    <n v="0"/>
    <n v="1"/>
    <n v="0"/>
    <n v="122.21642287166453"/>
    <n v="78.7"/>
    <n v="-5.0745541018655069E-2"/>
    <n v="11"/>
    <m/>
    <s v="Asarganj"/>
    <m/>
    <n v="0"/>
  </r>
  <r>
    <s v="Munger"/>
    <s v="24-30 Apr"/>
    <n v="1003"/>
    <s v="Asarganj"/>
    <x v="129"/>
    <s v="KAMARDUH"/>
    <s v="MPG"/>
    <s v="Direct"/>
    <n v="804.2"/>
    <n v="32950.639999999999"/>
    <n v="803.69999999999993"/>
    <n v="32930.291493233504"/>
    <n v="7"/>
    <n v="288.82128579050004"/>
    <n v="810.69999999999993"/>
    <n v="33219.112779024006"/>
    <n v="32950.639999999999"/>
    <n v="0"/>
    <n v="288.82128579050004"/>
    <n v="268.47277902400674"/>
    <n v="0"/>
    <n v="0"/>
    <n v="0"/>
    <n v="32662"/>
    <n v="0"/>
    <n v="0"/>
    <n v="0"/>
    <n v="0"/>
    <n v="0"/>
    <n v="0"/>
    <n v="-8.1477257808651588E-3"/>
    <n v="2"/>
    <m/>
    <s v="Asarganj"/>
    <m/>
    <n v="0"/>
  </r>
  <r>
    <s v="Munger"/>
    <s v="24-30 Apr"/>
    <n v="1003"/>
    <s v="Asarganj"/>
    <x v="130"/>
    <s v="BARSABAD"/>
    <s v="MPG"/>
    <s v="Direct"/>
    <n v="663.75"/>
    <n v="22046.260000000002"/>
    <n v="688.46"/>
    <n v="25441.576540518603"/>
    <n v="4.8999999999999995"/>
    <n v="178.83180451620001"/>
    <n v="693.36"/>
    <n v="25620.408345034804"/>
    <n v="22046.260000000002"/>
    <n v="0"/>
    <n v="178.83180451620001"/>
    <n v="3574.1483450348023"/>
    <n v="0"/>
    <n v="0"/>
    <n v="0"/>
    <n v="21867"/>
    <n v="0"/>
    <n v="0"/>
    <n v="0"/>
    <n v="0"/>
    <n v="24.080660640301332"/>
    <n v="94.821428571428569"/>
    <n v="-0.16212039343792561"/>
    <n v="8"/>
    <m/>
    <s v="Asarganj"/>
    <m/>
    <n v="0"/>
  </r>
  <r>
    <s v="Munger"/>
    <s v="24-30 Apr"/>
    <n v="1003"/>
    <s v="Asarganj"/>
    <x v="131"/>
    <s v="GONAI"/>
    <s v="MPG"/>
    <s v="Direct"/>
    <n v="444.84999999999991"/>
    <n v="17946.04"/>
    <n v="479.56"/>
    <n v="18761.479292387256"/>
    <n v="2.46"/>
    <n v="90.634836124800003"/>
    <n v="482.02"/>
    <n v="18852.114128512054"/>
    <n v="17946.04"/>
    <n v="0"/>
    <n v="90.634836124800003"/>
    <n v="906.07412851205299"/>
    <n v="0"/>
    <n v="0"/>
    <n v="0"/>
    <n v="17855"/>
    <n v="0"/>
    <n v="0"/>
    <n v="0"/>
    <n v="0"/>
    <n v="205.86409378442181"/>
    <n v="63.54999999999999"/>
    <n v="-5.048880580406892E-2"/>
    <n v="7"/>
    <m/>
    <s v="Asarganj"/>
    <m/>
    <n v="0"/>
  </r>
  <r>
    <s v="Munger"/>
    <s v="24-30 Apr"/>
    <n v="1003"/>
    <s v="Asarganj"/>
    <x v="132"/>
    <s v="SHIKARITOLA"/>
    <s v="MPG"/>
    <s v="Direct"/>
    <n v="832.6"/>
    <n v="31409.490000000005"/>
    <n v="831.68000000000006"/>
    <n v="34235.197383940489"/>
    <n v="0"/>
    <n v="0"/>
    <n v="831.68000000000006"/>
    <n v="34235.197383940489"/>
    <n v="31409.490000000005"/>
    <n v="0"/>
    <n v="0"/>
    <n v="2825.7073839404839"/>
    <n v="0"/>
    <n v="0"/>
    <n v="0"/>
    <n v="31409"/>
    <n v="0"/>
    <n v="0"/>
    <n v="0"/>
    <n v="0"/>
    <n v="0"/>
    <n v="0"/>
    <n v="-8.9963491414234473E-2"/>
    <n v="3"/>
    <m/>
    <s v="Asarganj"/>
    <m/>
    <n v="0"/>
  </r>
  <r>
    <s v="Munger"/>
    <s v="24-30 Apr"/>
    <n v="1003"/>
    <s v="Asarganj"/>
    <x v="133"/>
    <s v="BAIKUNTHPUR"/>
    <s v="MPG"/>
    <s v="Direct"/>
    <n v="138.85000000000002"/>
    <n v="4943.71"/>
    <n v="159.48000000000002"/>
    <n v="5247.2010387456003"/>
    <n v="3.7699999999999996"/>
    <n v="121.06128323520001"/>
    <n v="163.25000000000003"/>
    <n v="5368.2623219808002"/>
    <n v="4943.71"/>
    <n v="0"/>
    <n v="121.06128323520001"/>
    <n v="424.55232198080012"/>
    <n v="0"/>
    <n v="0"/>
    <n v="0"/>
    <n v="4823"/>
    <n v="0"/>
    <n v="0"/>
    <n v="0"/>
    <n v="0"/>
    <n v="399.59133835073811"/>
    <n v="19.835714285714289"/>
    <n v="-8.5877270709811077E-2"/>
    <n v="4"/>
    <m/>
    <s v="Asarganj"/>
    <m/>
    <n v="0"/>
  </r>
  <r>
    <s v="Munger"/>
    <s v="24-30 Apr"/>
    <n v="1003"/>
    <s v="Asarganj"/>
    <x v="134"/>
    <s v="KAITHA"/>
    <s v="MPG"/>
    <s v="Direct"/>
    <n v="986.14999999999986"/>
    <n v="37430.680000000008"/>
    <n v="773.63"/>
    <n v="32484.443317686011"/>
    <n v="227.89999999999995"/>
    <n v="8742.4351165990283"/>
    <n v="1001.53"/>
    <n v="41226.878434285041"/>
    <n v="37430.680000000008"/>
    <n v="0"/>
    <n v="578.7586547766"/>
    <n v="3796.1984342850337"/>
    <n v="0"/>
    <n v="0"/>
    <n v="0"/>
    <n v="28689"/>
    <n v="8163"/>
    <n v="0"/>
    <n v="0"/>
    <n v="0"/>
    <n v="0"/>
    <n v="0"/>
    <n v="-0.10141943545468672"/>
    <n v="15"/>
    <m/>
    <s v="Asarganj"/>
    <m/>
    <n v="0"/>
  </r>
  <r>
    <s v="Munger"/>
    <s v="24-30 Apr"/>
    <n v="1003"/>
    <s v="Asarganj"/>
    <x v="135"/>
    <s v="DORAI"/>
    <s v="MPG"/>
    <s v="Direct"/>
    <n v="385.95000000000005"/>
    <n v="16269.36"/>
    <n v="382.39"/>
    <n v="15450.983722884603"/>
    <n v="25.669999999999998"/>
    <n v="1027.8472225824"/>
    <n v="408.06"/>
    <n v="16478.830945467002"/>
    <n v="16269.36"/>
    <n v="0"/>
    <n v="1027.8472225824"/>
    <n v="209.470945467001"/>
    <n v="0"/>
    <n v="0"/>
    <n v="0"/>
    <n v="15241"/>
    <n v="0"/>
    <n v="0"/>
    <n v="1"/>
    <n v="0"/>
    <n v="264.76965969685187"/>
    <n v="55.135714285714293"/>
    <n v="-1.287518042916261E-2"/>
    <n v="4"/>
    <m/>
    <s v="Asarganj"/>
    <m/>
    <n v="0"/>
  </r>
  <r>
    <s v="Munger"/>
    <s v="24-30 Apr"/>
    <n v="1003"/>
    <s v="Asarganj"/>
    <x v="136"/>
    <s v="RAGHUNATHPUR"/>
    <s v="vlc"/>
    <s v="Indirect"/>
    <n v="237.14999999999998"/>
    <n v="7876.6200000000008"/>
    <n v="0"/>
    <n v="0"/>
    <n v="0"/>
    <n v="0"/>
    <n v="0"/>
    <n v="0"/>
    <n v="7876.6200000000008"/>
    <n v="0"/>
    <n v="0"/>
    <n v="0"/>
    <n v="0"/>
    <n v="0"/>
    <n v="0"/>
    <n v="0"/>
    <n v="0"/>
    <n v="7876.6200000000008"/>
    <n v="0"/>
    <n v="0"/>
    <n v="307.45887134724859"/>
    <n v="33.878571428571426"/>
    <n v="0"/>
    <n v="0"/>
    <m/>
    <s v="Asarganj"/>
    <m/>
    <n v="0"/>
  </r>
  <r>
    <s v="Munger"/>
    <s v="24-30 Apr"/>
    <n v="1003"/>
    <s v="Asarganj"/>
    <x v="137"/>
    <s v="BANGAMA"/>
    <s v="MPG"/>
    <s v="Direct"/>
    <n v="654.29999999999995"/>
    <n v="25929.370000000003"/>
    <n v="647"/>
    <n v="26379.475174800002"/>
    <n v="14"/>
    <n v="557.31966839999995"/>
    <n v="661"/>
    <n v="26936.794843200001"/>
    <n v="25929.370000000003"/>
    <n v="0"/>
    <n v="557.31966839999995"/>
    <n v="1007.4248431999986"/>
    <n v="0"/>
    <n v="0"/>
    <n v="0"/>
    <n v="25372"/>
    <n v="0"/>
    <n v="0"/>
    <n v="0"/>
    <n v="0"/>
    <n v="36.221067064037967"/>
    <n v="93.471428571428561"/>
    <n v="-3.8852654082995403E-2"/>
    <n v="5"/>
    <m/>
    <s v="Asarganj"/>
    <m/>
    <n v="0"/>
  </r>
  <r>
    <s v="Munger"/>
    <s v="24-30 Apr"/>
    <n v="1003"/>
    <s v="Asarganj"/>
    <x v="138"/>
    <s v="KORIYA"/>
    <s v="MPG"/>
    <s v="Direct"/>
    <n v="129.80000000000001"/>
    <n v="5958.1600000000008"/>
    <n v="136.28"/>
    <n v="5920.0984723947013"/>
    <n v="0"/>
    <n v="0"/>
    <n v="136.28"/>
    <n v="5920.0984723947013"/>
    <n v="5920.0984723947013"/>
    <n v="0"/>
    <n v="0"/>
    <n v="0"/>
    <n v="0"/>
    <n v="0"/>
    <n v="0"/>
    <n v="5920"/>
    <n v="0"/>
    <n v="0"/>
    <n v="38"/>
    <n v="0"/>
    <n v="523.47347180277359"/>
    <n v="18.542857142857144"/>
    <n v="6.3881345256420578E-3"/>
    <n v="8"/>
    <m/>
    <s v="Asarganj"/>
    <m/>
    <n v="0"/>
  </r>
  <r>
    <s v="Munger"/>
    <s v="24-30 Apr"/>
    <n v="1003"/>
    <s v="Asarganj"/>
    <x v="139"/>
    <s v="HARLACHAK"/>
    <s v="MPG"/>
    <s v="Direct"/>
    <n v="1047.3"/>
    <n v="39023.49"/>
    <n v="1033.3000000000002"/>
    <n v="38629.350965908779"/>
    <n v="9.759999999999998"/>
    <n v="375.03461912400007"/>
    <n v="1043.0600000000002"/>
    <n v="39004.385585032782"/>
    <n v="39004.385585032782"/>
    <n v="0"/>
    <n v="375.03461912400007"/>
    <n v="0"/>
    <n v="0"/>
    <n v="0"/>
    <n v="0"/>
    <n v="38627"/>
    <n v="0"/>
    <n v="0"/>
    <n v="21"/>
    <n v="0"/>
    <n v="0"/>
    <n v="0"/>
    <n v="4.8956192711661992E-4"/>
    <n v="27"/>
    <m/>
    <s v="Asarganj"/>
    <m/>
    <n v="0"/>
  </r>
  <r>
    <s v="Munger"/>
    <s v="24-30 Apr"/>
    <n v="1003"/>
    <s v="Asarganj"/>
    <x v="140"/>
    <s v="Jangle Jhakra"/>
    <s v="MPG"/>
    <s v="Direct"/>
    <n v="1110.9499999999998"/>
    <n v="44457.18"/>
    <n v="1188.67"/>
    <n v="48540.006914123514"/>
    <n v="0"/>
    <n v="0"/>
    <n v="1188.67"/>
    <n v="48540.006914123514"/>
    <n v="44457.18"/>
    <n v="0"/>
    <n v="0"/>
    <n v="4082.8269141235141"/>
    <n v="0"/>
    <n v="0"/>
    <n v="0"/>
    <n v="44457"/>
    <n v="0"/>
    <n v="0"/>
    <n v="0"/>
    <n v="0"/>
    <n v="0"/>
    <n v="0"/>
    <n v="-9.1837289592446358E-2"/>
    <n v="4"/>
    <m/>
    <s v="Asarganj"/>
    <m/>
    <n v="0"/>
  </r>
  <r>
    <s v="Munger"/>
    <s v="24-30 Apr"/>
    <n v="1003"/>
    <s v="Asarganj"/>
    <x v="141"/>
    <s v="KATAHRA"/>
    <s v="MPG"/>
    <s v="Direct"/>
    <n v="279.64999999999998"/>
    <n v="11211.34"/>
    <n v="273.51000000000005"/>
    <n v="11893.745173813468"/>
    <n v="0"/>
    <n v="0"/>
    <n v="273.51000000000005"/>
    <n v="11893.745173813468"/>
    <n v="11211.34"/>
    <n v="0"/>
    <n v="0"/>
    <n v="682.40517381346763"/>
    <n v="0"/>
    <n v="0"/>
    <n v="0"/>
    <n v="11211"/>
    <n v="0"/>
    <n v="0"/>
    <n v="0"/>
    <n v="0"/>
    <n v="337.04178573216524"/>
    <n v="39.949999999999996"/>
    <n v="-6.0867405128509848E-2"/>
    <n v="3"/>
    <m/>
    <s v="Asarganj"/>
    <m/>
    <n v="0"/>
  </r>
  <r>
    <s v="Munger"/>
    <s v="24-30 Apr"/>
    <n v="1003"/>
    <s v="Asarganj"/>
    <x v="142"/>
    <s v="KARHARIA V"/>
    <s v="vlc"/>
    <s v="Indirect"/>
    <n v="272.3"/>
    <n v="9476.0399999999991"/>
    <n v="0"/>
    <n v="0"/>
    <n v="0"/>
    <n v="0"/>
    <n v="0"/>
    <n v="0"/>
    <n v="9476.0399999999991"/>
    <n v="0"/>
    <n v="0"/>
    <n v="0"/>
    <n v="0"/>
    <n v="0"/>
    <n v="0"/>
    <n v="0"/>
    <n v="0"/>
    <n v="9476.0399999999991"/>
    <n v="0"/>
    <n v="0"/>
    <n v="297.67919999999998"/>
    <n v="38.9"/>
    <n v="0"/>
    <n v="0"/>
    <m/>
    <s v="Asarganj"/>
    <m/>
    <n v="0"/>
  </r>
  <r>
    <s v="Munger"/>
    <s v="24-30 Apr"/>
    <n v="1003"/>
    <s v="Asarganj"/>
    <x v="143"/>
    <s v="BALADEV ITAHARI"/>
    <s v="MPG"/>
    <s v="Direct"/>
    <n v="458.54999999999995"/>
    <n v="15739.140000000005"/>
    <n v="469.94000000000005"/>
    <n v="18011.114380220202"/>
    <n v="0"/>
    <n v="0"/>
    <n v="469.94000000000005"/>
    <n v="18011.114380220202"/>
    <n v="15739.140000000005"/>
    <n v="0"/>
    <n v="0"/>
    <n v="2271.9743802201974"/>
    <n v="0"/>
    <n v="0"/>
    <n v="0"/>
    <n v="15739"/>
    <n v="0"/>
    <n v="0"/>
    <n v="0"/>
    <n v="0"/>
    <n v="165.74922486097495"/>
    <n v="65.507142857142853"/>
    <n v="-0.1443518756564969"/>
    <n v="5"/>
    <m/>
    <s v="Asarganj"/>
    <m/>
    <n v="0"/>
  </r>
  <r>
    <s v="Munger"/>
    <s v="24-30 Apr"/>
    <n v="1003"/>
    <s v="Asarganj"/>
    <x v="144"/>
    <s v="GOMUKH KODAND"/>
    <s v="vlc"/>
    <s v="Indirect"/>
    <n v="149.44999999999999"/>
    <n v="5297.5300000000007"/>
    <n v="0"/>
    <n v="0"/>
    <n v="0"/>
    <n v="0"/>
    <n v="0"/>
    <n v="0"/>
    <n v="5297.5300000000007"/>
    <n v="0"/>
    <n v="0"/>
    <n v="0"/>
    <n v="0"/>
    <n v="0"/>
    <n v="0"/>
    <n v="0"/>
    <n v="0"/>
    <n v="5297.5300000000007"/>
    <n v="0"/>
    <n v="0"/>
    <n v="390.3051377049182"/>
    <n v="21.349999999999998"/>
    <n v="0"/>
    <n v="0"/>
    <m/>
    <s v="Asarganj"/>
    <m/>
    <n v="0"/>
  </r>
  <r>
    <s v="Munger"/>
    <s v="24-30 Apr"/>
    <n v="1003"/>
    <s v="Asarganj"/>
    <x v="145"/>
    <s v="PAHALANPUR"/>
    <s v="MPG"/>
    <s v="Direct"/>
    <n v="666.19999999999993"/>
    <n v="26151.09"/>
    <n v="662.18000000000006"/>
    <n v="25252.219406599979"/>
    <n v="0"/>
    <n v="0"/>
    <n v="662.18000000000006"/>
    <n v="25252.219406599979"/>
    <n v="25252.219406599979"/>
    <n v="0"/>
    <n v="0"/>
    <n v="0"/>
    <n v="0"/>
    <n v="0"/>
    <n v="0"/>
    <n v="25252"/>
    <n v="0"/>
    <n v="0"/>
    <n v="899"/>
    <n v="0"/>
    <n v="26.535780306214399"/>
    <n v="95.171428571428564"/>
    <n v="3.4372203736059218E-2"/>
    <n v="27"/>
    <m/>
    <s v="Asarganj"/>
    <m/>
    <n v="0"/>
  </r>
  <r>
    <s v="Munger"/>
    <s v="24-30 Apr"/>
    <n v="1003"/>
    <s v="Asarganj"/>
    <x v="146"/>
    <s v="TETARIYA"/>
    <s v="vlc"/>
    <s v="Indirect"/>
    <n v="81.2"/>
    <n v="2837.06"/>
    <n v="0"/>
    <n v="0"/>
    <n v="0"/>
    <n v="0"/>
    <n v="0"/>
    <n v="0"/>
    <n v="2837.06"/>
    <n v="0"/>
    <n v="0"/>
    <n v="0"/>
    <n v="0"/>
    <n v="0"/>
    <n v="0"/>
    <n v="0"/>
    <n v="0"/>
    <n v="2837.06"/>
    <n v="0"/>
    <n v="0"/>
    <n v="432.40707586206895"/>
    <n v="11.6"/>
    <n v="0"/>
    <n v="0"/>
    <m/>
    <s v="Asarganj"/>
    <m/>
    <n v="0"/>
  </r>
  <r>
    <s v="Munger"/>
    <s v="24-30 Apr"/>
    <n v="1003"/>
    <s v="Asarganj"/>
    <x v="147"/>
    <s v="RAMBRAN YADAV"/>
    <s v="MPG"/>
    <s v="Direct"/>
    <n v="115.4"/>
    <n v="4185.07"/>
    <n v="115.20000000000002"/>
    <n v="4177.4498730360001"/>
    <n v="0"/>
    <n v="0"/>
    <n v="115.20000000000002"/>
    <n v="4177.4498730360001"/>
    <n v="4177.4498730360001"/>
    <n v="0"/>
    <n v="0"/>
    <n v="0"/>
    <n v="0"/>
    <n v="0"/>
    <n v="0"/>
    <n v="4177"/>
    <n v="0"/>
    <n v="0"/>
    <n v="8"/>
    <n v="0"/>
    <n v="424.01939722703628"/>
    <n v="16.485714285714288"/>
    <n v="1.82078841309694E-3"/>
    <n v="1"/>
    <m/>
    <s v="Asarganj"/>
    <m/>
    <n v="0"/>
  </r>
  <r>
    <s v="Munger"/>
    <s v="24-30 Apr"/>
    <n v="1003"/>
    <s v="Asarganj"/>
    <x v="148"/>
    <s v="Gomukh Beldra"/>
    <s v="MPG"/>
    <s v="Indirect"/>
    <n v="118.44999999999999"/>
    <n v="3883.68"/>
    <n v="0"/>
    <n v="0"/>
    <n v="0"/>
    <n v="0"/>
    <n v="0"/>
    <n v="0"/>
    <n v="3883.68"/>
    <n v="0"/>
    <n v="0"/>
    <n v="0"/>
    <n v="0"/>
    <n v="0"/>
    <n v="0"/>
    <n v="0"/>
    <n v="0"/>
    <n v="3883.68"/>
    <n v="0"/>
    <n v="0"/>
    <n v="381.35147387083157"/>
    <n v="16.921428571428571"/>
    <n v="0"/>
    <n v="0"/>
    <m/>
    <s v="Asarganj"/>
    <m/>
    <n v="0"/>
  </r>
  <r>
    <s v="Munger"/>
    <s v="24-30 Apr"/>
    <n v="1003"/>
    <s v="Asarganj"/>
    <x v="149"/>
    <s v="Gomukh Chandanpura"/>
    <s v="MPG"/>
    <s v="Indirect"/>
    <n v="298.59999999999997"/>
    <n v="10366.66"/>
    <n v="0"/>
    <n v="0"/>
    <n v="0"/>
    <n v="0"/>
    <n v="0"/>
    <n v="0"/>
    <n v="10366.66"/>
    <n v="0"/>
    <n v="0"/>
    <n v="0"/>
    <n v="0"/>
    <n v="0"/>
    <n v="0"/>
    <n v="0"/>
    <n v="0"/>
    <n v="10366.66"/>
    <n v="0"/>
    <n v="0"/>
    <n v="278.71247983924991"/>
    <n v="42.657142857142851"/>
    <n v="0"/>
    <n v="0"/>
    <m/>
    <s v="Asarganj"/>
    <m/>
    <n v="0"/>
  </r>
  <r>
    <s v="Munger"/>
    <s v="24-30 Apr"/>
    <n v="1006"/>
    <s v="Sonvarsha"/>
    <x v="151"/>
    <s v="MANO"/>
    <s v="vlc"/>
    <s v="Indirect"/>
    <n v="248.10000000000002"/>
    <n v="11330.56"/>
    <n v="0"/>
    <n v="0"/>
    <n v="0"/>
    <n v="0"/>
    <n v="0"/>
    <n v="0"/>
    <n v="11330.56"/>
    <n v="0"/>
    <n v="0"/>
    <n v="0"/>
    <n v="0"/>
    <n v="1714.8064645161289"/>
    <n v="0"/>
    <n v="0"/>
    <n v="0"/>
    <n v="9615.753535483871"/>
    <n v="0"/>
    <n v="0"/>
    <n v="412.75937638049169"/>
    <n v="35.442857142857143"/>
    <n v="0"/>
    <n v="0"/>
    <m/>
    <s v="Sonvarsha"/>
    <m/>
    <n v="0"/>
  </r>
  <r>
    <s v="Munger"/>
    <s v="24-30 Apr"/>
    <n v="1006"/>
    <s v="Sonvarsha"/>
    <x v="152"/>
    <s v="PURANI SALEMPUR"/>
    <s v="vlc"/>
    <s v="Indirect"/>
    <n v="1346.6"/>
    <n v="49568.069999999992"/>
    <n v="0"/>
    <n v="0"/>
    <n v="0"/>
    <n v="0"/>
    <n v="0"/>
    <n v="0"/>
    <n v="49568.069999999992"/>
    <n v="0"/>
    <n v="0"/>
    <n v="0"/>
    <n v="0"/>
    <n v="0"/>
    <n v="0"/>
    <n v="0"/>
    <n v="0"/>
    <n v="49568.069999999992"/>
    <n v="0"/>
    <n v="0"/>
    <n v="0"/>
    <n v="0"/>
    <n v="0"/>
    <n v="0"/>
    <m/>
    <s v="Sonvarsha"/>
    <m/>
    <n v="0"/>
  </r>
  <r>
    <s v="Munger"/>
    <s v="24-30 Apr"/>
    <n v="1006"/>
    <s v="Sonvarsha"/>
    <x v="153"/>
    <s v="DHANDHHA"/>
    <s v="vlc"/>
    <s v="Indirect"/>
    <n v="2327.4"/>
    <n v="88889.5"/>
    <n v="0"/>
    <n v="0"/>
    <n v="0"/>
    <n v="0"/>
    <n v="0"/>
    <n v="0"/>
    <n v="88889.5"/>
    <n v="0"/>
    <n v="0"/>
    <n v="0"/>
    <n v="0"/>
    <n v="0"/>
    <n v="0"/>
    <n v="0"/>
    <n v="0"/>
    <n v="88889.5"/>
    <n v="0"/>
    <n v="0"/>
    <n v="0"/>
    <n v="0"/>
    <n v="0"/>
    <n v="0"/>
    <m/>
    <s v="Sonvarsha"/>
    <m/>
    <n v="0"/>
  </r>
  <r>
    <s v="Munger"/>
    <s v="24-30 Apr"/>
    <n v="1006"/>
    <s v="Sonvarsha"/>
    <x v="154"/>
    <s v="CHALISH"/>
    <s v="vlc"/>
    <s v="Indirect"/>
    <n v="1037.2"/>
    <n v="39070.89"/>
    <n v="0"/>
    <n v="0"/>
    <n v="0"/>
    <n v="0"/>
    <n v="0"/>
    <n v="0"/>
    <n v="39070.89"/>
    <n v="0"/>
    <n v="0"/>
    <n v="0"/>
    <n v="0"/>
    <n v="0"/>
    <n v="0"/>
    <n v="0"/>
    <n v="0"/>
    <n v="39070.89"/>
    <n v="0"/>
    <n v="0"/>
    <n v="0"/>
    <n v="0"/>
    <n v="0"/>
    <n v="0"/>
    <m/>
    <s v="Sonvarsha"/>
    <m/>
    <n v="0"/>
  </r>
  <r>
    <s v="Munger"/>
    <s v="24-30 Apr"/>
    <n v="1006"/>
    <s v="Sonvarsha"/>
    <x v="155"/>
    <s v="MAA BHAGWATI"/>
    <s v="vlc"/>
    <s v="Indirect"/>
    <n v="797.8"/>
    <n v="28594.110000000004"/>
    <n v="0"/>
    <n v="0"/>
    <n v="0"/>
    <n v="0"/>
    <n v="0"/>
    <n v="0"/>
    <n v="28594.110000000004"/>
    <n v="0"/>
    <n v="0"/>
    <n v="0"/>
    <n v="0"/>
    <n v="0"/>
    <n v="0"/>
    <n v="0"/>
    <n v="0"/>
    <n v="28594.110000000004"/>
    <n v="0"/>
    <n v="0"/>
    <n v="0"/>
    <n v="0"/>
    <n v="0"/>
    <n v="0"/>
    <m/>
    <s v="Sonvarsha"/>
    <m/>
    <n v="0"/>
  </r>
  <r>
    <s v="Munger"/>
    <s v="24-30 Apr"/>
    <n v="1006"/>
    <s v="Sonvarsha"/>
    <x v="156"/>
    <s v="MAIDINICHOKI"/>
    <s v="vlc"/>
    <s v="Indirect"/>
    <n v="653.59999999999991"/>
    <n v="24177.96"/>
    <n v="0"/>
    <n v="0"/>
    <n v="0"/>
    <n v="0"/>
    <n v="0"/>
    <n v="0"/>
    <n v="24177.96"/>
    <n v="0"/>
    <n v="0"/>
    <n v="0"/>
    <n v="0"/>
    <n v="0"/>
    <n v="0"/>
    <n v="0"/>
    <n v="0"/>
    <n v="24177.96"/>
    <n v="0"/>
    <n v="0"/>
    <n v="34.328560097919322"/>
    <n v="93.371428571428552"/>
    <n v="0"/>
    <n v="0"/>
    <m/>
    <s v="Sonvarsha"/>
    <m/>
    <n v="0"/>
  </r>
  <r>
    <s v="Munger"/>
    <s v="24-30 Apr"/>
    <n v="1006"/>
    <s v="Sonvarsha"/>
    <x v="157"/>
    <s v="GOMUKH JAJWARA"/>
    <s v="vlc"/>
    <s v="Indirect"/>
    <n v="1616.3"/>
    <n v="63813.619999999995"/>
    <n v="0"/>
    <n v="0"/>
    <n v="0"/>
    <n v="0"/>
    <n v="0"/>
    <n v="0"/>
    <n v="63813.619999999995"/>
    <n v="0"/>
    <n v="0"/>
    <n v="0"/>
    <n v="28750"/>
    <n v="0"/>
    <n v="0"/>
    <n v="0"/>
    <n v="0"/>
    <n v="35063.619999999995"/>
    <n v="0"/>
    <n v="0"/>
    <n v="0"/>
    <n v="0"/>
    <n v="0"/>
    <n v="0"/>
    <m/>
    <s v="Sonvarsha"/>
    <m/>
    <n v="0"/>
  </r>
  <r>
    <s v="Munger"/>
    <s v="24-30 Apr"/>
    <n v="1006"/>
    <s v="Sonvarsha"/>
    <x v="158"/>
    <s v="Gomukh ID Sonvarsha"/>
    <s v="vlc"/>
    <s v="Indirect"/>
    <n v="2047.5999999999995"/>
    <n v="80254.97"/>
    <n v="0"/>
    <n v="0"/>
    <n v="0"/>
    <n v="0"/>
    <n v="0"/>
    <n v="0"/>
    <n v="80254.97"/>
    <n v="0"/>
    <n v="0"/>
    <n v="0"/>
    <n v="26000"/>
    <n v="0"/>
    <n v="0"/>
    <n v="0"/>
    <n v="0"/>
    <n v="54254.97"/>
    <n v="0"/>
    <n v="0"/>
    <n v="0"/>
    <n v="0"/>
    <n v="0"/>
    <n v="0"/>
    <m/>
    <s v="Sonvarsha"/>
    <m/>
    <n v="0"/>
  </r>
  <r>
    <s v="Munger"/>
    <s v="24-30 Apr"/>
    <n v="1059"/>
    <s v="Gopalpur Bmc"/>
    <x v="159"/>
    <s v="BALHAPUR"/>
    <s v="MPG"/>
    <s v="Direct"/>
    <n v="413.20000000000005"/>
    <n v="20217.139999999996"/>
    <n v="415.2600000000001"/>
    <n v="19926.702597275176"/>
    <n v="9.2899999999999991"/>
    <n v="415.17300648399993"/>
    <n v="424.55000000000013"/>
    <n v="20341.875603759177"/>
    <n v="20217.139999999996"/>
    <n v="0"/>
    <n v="415.17300648399993"/>
    <n v="124.73560375918169"/>
    <n v="0"/>
    <n v="0"/>
    <n v="0"/>
    <n v="19802"/>
    <n v="0"/>
    <n v="0"/>
    <n v="0"/>
    <n v="0"/>
    <n v="280.65226292352355"/>
    <n v="59.028571428571432"/>
    <n v="-6.1697947266122566E-3"/>
    <n v="24"/>
    <m/>
    <s v="Gopalpur Bmc"/>
    <m/>
    <n v="0"/>
  </r>
  <r>
    <s v="Munger"/>
    <s v="24-30 Apr"/>
    <n v="1006"/>
    <s v="Sonvarsha"/>
    <x v="163"/>
    <s v="MAA SARDE"/>
    <s v="vlc"/>
    <s v="Indirect"/>
    <n v="642.59999999999991"/>
    <n v="23527.46"/>
    <n v="0"/>
    <n v="0"/>
    <n v="0"/>
    <n v="0"/>
    <n v="0"/>
    <n v="0"/>
    <n v="23527.46"/>
    <n v="0"/>
    <n v="0"/>
    <n v="0"/>
    <n v="0"/>
    <n v="1431.7664516129034"/>
    <n v="0"/>
    <n v="0"/>
    <n v="0"/>
    <n v="22095.693548387095"/>
    <n v="0"/>
    <n v="0"/>
    <n v="42.031627886710332"/>
    <n v="91.799999999999983"/>
    <n v="0"/>
    <n v="0"/>
    <m/>
    <s v="Sonvarsha"/>
    <m/>
    <n v="0"/>
  </r>
  <r>
    <s v="Munger"/>
    <s v="24-30 Apr"/>
    <n v="1006"/>
    <s v="Sonvarsha"/>
    <x v="164"/>
    <s v="PURANI DIH"/>
    <s v="vlc"/>
    <s v="Indirect"/>
    <n v="639.9"/>
    <n v="23994.39"/>
    <n v="0"/>
    <n v="0"/>
    <n v="0"/>
    <n v="0"/>
    <n v="0"/>
    <n v="0"/>
    <n v="23994.39"/>
    <n v="0"/>
    <n v="0"/>
    <n v="0"/>
    <n v="13000"/>
    <n v="1611.4609161290314"/>
    <n v="0"/>
    <n v="0"/>
    <n v="0"/>
    <n v="9382.9290838709676"/>
    <n v="0"/>
    <n v="0"/>
    <n v="45.071506141584642"/>
    <n v="91.414285714285711"/>
    <n v="0"/>
    <n v="0"/>
    <m/>
    <s v="Sonvarsha"/>
    <m/>
    <n v="0"/>
  </r>
  <r>
    <s v="Munger"/>
    <s v="24-30 Apr"/>
    <n v="1006"/>
    <s v="Sonvarsha"/>
    <x v="165"/>
    <s v="Farda Ravi Tola"/>
    <s v="MPG"/>
    <s v="Direct"/>
    <n v="222.29999999999998"/>
    <n v="8454.2900000000009"/>
    <n v="249.70000000000002"/>
    <n v="9749.0203747199994"/>
    <n v="14.599999999999998"/>
    <n v="573.2263310400001"/>
    <n v="264.3"/>
    <n v="10322.246705759999"/>
    <n v="8454.2900000000009"/>
    <n v="0"/>
    <n v="573.2263310400001"/>
    <n v="1867.9567057599979"/>
    <n v="0"/>
    <n v="0"/>
    <n v="0"/>
    <n v="0"/>
    <n v="0"/>
    <n v="0"/>
    <n v="7881"/>
    <s v="Yes"/>
    <n v="363.34811812865507"/>
    <n v="31.757142857142856"/>
    <n v="-0.22094779168445816"/>
    <n v="5"/>
    <m/>
    <s v="Sonvarsha"/>
    <m/>
    <n v="0"/>
  </r>
  <r>
    <s v="Munger"/>
    <s v="24-30 Apr"/>
    <n v="1006"/>
    <s v="Sonvarsha"/>
    <x v="166"/>
    <s v="Gomukh Puranidih 2"/>
    <s v="vlc"/>
    <s v="Indirect"/>
    <n v="103.69999999999999"/>
    <n v="4649.58"/>
    <n v="0"/>
    <n v="0"/>
    <n v="0"/>
    <n v="0"/>
    <n v="0"/>
    <n v="0"/>
    <n v="4649.58"/>
    <n v="0"/>
    <n v="0"/>
    <n v="0"/>
    <n v="0"/>
    <n v="0"/>
    <n v="0"/>
    <n v="0"/>
    <n v="0"/>
    <n v="4649.58"/>
    <n v="0"/>
    <n v="0"/>
    <n v="534.72411841851488"/>
    <n v="14.814285714285713"/>
    <n v="0"/>
    <n v="0"/>
    <m/>
    <s v="Sonvarsha"/>
    <m/>
    <n v="0"/>
  </r>
  <r>
    <s v="Munger"/>
    <s v="24-30 Apr"/>
    <n v="1006"/>
    <s v="Sonvarsha"/>
    <x v="167"/>
    <s v="Gomukh Arma"/>
    <s v="MPG"/>
    <s v="Direct"/>
    <n v="220.10000000000002"/>
    <n v="9849.93"/>
    <n v="221.45"/>
    <n v="10693.992870822349"/>
    <n v="1.2"/>
    <n v="57.452973828000019"/>
    <n v="222.64999999999998"/>
    <n v="10751.445844650349"/>
    <n v="9849.93"/>
    <n v="0"/>
    <n v="57.452973828000019"/>
    <n v="901.5158446503483"/>
    <n v="0"/>
    <n v="558.76126666666664"/>
    <n v="0"/>
    <n v="9233"/>
    <n v="0"/>
    <n v="0"/>
    <n v="1"/>
    <n v="0"/>
    <n v="429.5303413902771"/>
    <n v="31.442857142857147"/>
    <n v="-9.1525101665732481E-2"/>
    <n v="4"/>
    <m/>
    <s v="Sonvarsha"/>
    <m/>
    <n v="0"/>
  </r>
  <r>
    <s v="Munger"/>
    <s v="24-30 Apr"/>
    <n v="1059"/>
    <s v="Gopalpur Bmc"/>
    <x v="168"/>
    <s v="Singhchak"/>
    <s v="MPG"/>
    <s v="Direct"/>
    <n v="1405.4999999999998"/>
    <n v="59560.439999999995"/>
    <n v="1418.3400000000004"/>
    <n v="59621.257687936362"/>
    <n v="22.24"/>
    <n v="929.84841338399997"/>
    <n v="1440.5800000000004"/>
    <n v="60551.106101320365"/>
    <n v="59560.439999999995"/>
    <n v="0"/>
    <n v="929.84841338399997"/>
    <n v="990.66610132037022"/>
    <n v="0"/>
    <n v="0"/>
    <n v="0"/>
    <n v="58630"/>
    <n v="0"/>
    <n v="0"/>
    <n v="1"/>
    <n v="0"/>
    <n v="0"/>
    <n v="0"/>
    <n v="-1.66329547149143E-2"/>
    <n v="61"/>
    <m/>
    <s v="Gopalpur Bmc"/>
    <m/>
    <n v="0"/>
  </r>
  <r>
    <s v="Munger"/>
    <s v="24-30 Apr"/>
    <n v="1006"/>
    <s v="Sonvarsha"/>
    <x v="169"/>
    <s v="MAHA-LAXMI"/>
    <s v="vlc"/>
    <s v="Indirect"/>
    <n v="571.9"/>
    <n v="20900.180000000004"/>
    <n v="0"/>
    <n v="0"/>
    <n v="0"/>
    <n v="0"/>
    <n v="0"/>
    <n v="0"/>
    <n v="20900.180000000004"/>
    <n v="0"/>
    <n v="0"/>
    <n v="0"/>
    <n v="0"/>
    <n v="0"/>
    <n v="0"/>
    <n v="0"/>
    <n v="0"/>
    <n v="20900.180000000004"/>
    <n v="0"/>
    <n v="0"/>
    <n v="93.628713341493281"/>
    <n v="81.7"/>
    <n v="0"/>
    <n v="0"/>
    <m/>
    <s v="Sonvarsha"/>
    <m/>
    <n v="0"/>
  </r>
  <r>
    <s v="Munger"/>
    <s v="24-30 Apr"/>
    <n v="1006"/>
    <s v="Sonvarsha"/>
    <x v="170"/>
    <s v="PAWAI"/>
    <s v="MPG"/>
    <s v="Direct"/>
    <n v="1285.2"/>
    <n v="56840.980000000018"/>
    <n v="1275.2199999999998"/>
    <n v="56029.887260022042"/>
    <n v="17.61"/>
    <n v="918.24121798726003"/>
    <n v="1292.8299999999997"/>
    <n v="56948.128478009305"/>
    <n v="56840.980000000018"/>
    <n v="0"/>
    <n v="918.24121798726003"/>
    <n v="107.14847800928692"/>
    <n v="0"/>
    <n v="0"/>
    <n v="0"/>
    <n v="55923"/>
    <n v="0"/>
    <n v="0"/>
    <n v="0"/>
    <n v="0"/>
    <n v="0"/>
    <n v="0"/>
    <n v="-1.8850568376774447E-3"/>
    <n v="31"/>
    <m/>
    <s v="Sonvarsha"/>
    <m/>
    <n v="0"/>
  </r>
  <r>
    <s v="Munger"/>
    <s v="24-30 Apr"/>
    <n v="1006"/>
    <s v="Sonvarsha"/>
    <x v="171"/>
    <s v="LAKHOCHAK                                                                                           "/>
    <s v="MPG"/>
    <s v="Direct"/>
    <n v="314.8"/>
    <n v="12735.080000000002"/>
    <n v="317.05000000000007"/>
    <n v="13845.804993680402"/>
    <n v="0"/>
    <n v="0"/>
    <n v="317.05000000000007"/>
    <n v="13845.804993680402"/>
    <n v="12735.080000000002"/>
    <n v="0"/>
    <n v="0"/>
    <n v="1110.7249936804001"/>
    <n v="0"/>
    <n v="0"/>
    <n v="0"/>
    <n v="0"/>
    <n v="0"/>
    <n v="0"/>
    <n v="12735"/>
    <s v="Yes"/>
    <n v="311.66155120711568"/>
    <n v="44.971428571428575"/>
    <n v="-8.7217747645118832E-2"/>
    <n v="8"/>
    <m/>
    <s v="Sonvarsha"/>
    <m/>
    <n v="0"/>
  </r>
  <r>
    <s v="Munger"/>
    <s v="24-30 Apr"/>
    <n v="1059"/>
    <s v="Gopalpur Bmc"/>
    <x v="172"/>
    <s v="BATTA RAMPUR                                                                                        "/>
    <s v="MPG"/>
    <s v="Direct"/>
    <n v="2689.6"/>
    <n v="127880.42"/>
    <n v="2654.5699999999993"/>
    <n v="126624.69002372415"/>
    <n v="30.139999999999997"/>
    <n v="1858.5501123790502"/>
    <n v="2684.7099999999991"/>
    <n v="128483.2401361032"/>
    <n v="127880.42"/>
    <n v="0"/>
    <n v="1858.5501123790502"/>
    <n v="602.820136103197"/>
    <n v="0"/>
    <n v="0"/>
    <n v="0"/>
    <n v="126021"/>
    <n v="0"/>
    <n v="0"/>
    <n v="1"/>
    <n v="0"/>
    <n v="0"/>
    <n v="0"/>
    <n v="-4.7139361608539996E-3"/>
    <n v="47"/>
    <m/>
    <s v="Gopalpur Bmc"/>
    <m/>
    <n v="0"/>
  </r>
  <r>
    <s v="Munger"/>
    <s v="24-30 Apr"/>
    <n v="1059"/>
    <s v="Gopalpur Bmc"/>
    <x v="176"/>
    <s v="MALIYA"/>
    <s v="MPG"/>
    <s v="Direct"/>
    <n v="613.6"/>
    <n v="26458.280000000002"/>
    <n v="618.83000000000004"/>
    <n v="27543.359618612965"/>
    <n v="9.08"/>
    <n v="522.71416813169992"/>
    <n v="627.91000000000008"/>
    <n v="28066.073786744666"/>
    <n v="26458.280000000002"/>
    <n v="0"/>
    <n v="522.71416813169992"/>
    <n v="1607.7937867446635"/>
    <n v="0"/>
    <n v="0"/>
    <n v="0"/>
    <n v="0"/>
    <n v="0"/>
    <n v="0"/>
    <n v="25936"/>
    <s v="Yes"/>
    <n v="74.510931942633633"/>
    <n v="87.657142857142858"/>
    <n v="-6.0767131754016643E-2"/>
    <n v="23"/>
    <m/>
    <s v="Gopalpur Bmc"/>
    <m/>
    <n v="0"/>
  </r>
  <r>
    <s v="Munger"/>
    <s v="24-30 Apr"/>
    <n v="1059"/>
    <s v="Gopalpur Bmc"/>
    <x v="177"/>
    <s v="MAHULIYA"/>
    <s v="MPG"/>
    <s v="Direct"/>
    <n v="379.40000000000003"/>
    <n v="17127.84"/>
    <n v="386.62999999999994"/>
    <n v="16778.925704365614"/>
    <n v="6.33"/>
    <n v="274.97421996097006"/>
    <n v="392.95999999999992"/>
    <n v="17053.899924326586"/>
    <n v="17053.899924326586"/>
    <n v="0"/>
    <n v="274.97421996097006"/>
    <n v="0"/>
    <n v="0"/>
    <n v="0"/>
    <n v="0"/>
    <n v="16779"/>
    <n v="0"/>
    <n v="0"/>
    <n v="74"/>
    <n v="0"/>
    <n v="289.46681623616229"/>
    <n v="54.2"/>
    <n v="4.3169527315419787E-3"/>
    <n v="15"/>
    <m/>
    <s v="Gopalpur Bmc"/>
    <m/>
    <n v="0"/>
  </r>
  <r>
    <s v="Munger"/>
    <s v="24-30 Apr"/>
    <n v="1006"/>
    <s v="Sonvarsha"/>
    <x v="178"/>
    <s v="ABGIL RAMPUR"/>
    <s v="vlc"/>
    <s v="Indirect"/>
    <n v="11.1"/>
    <n v="314.45999999999998"/>
    <n v="0"/>
    <n v="0"/>
    <n v="0"/>
    <n v="0"/>
    <n v="0"/>
    <n v="0"/>
    <n v="314.45999999999998"/>
    <n v="0"/>
    <n v="0"/>
    <n v="0"/>
    <n v="0"/>
    <n v="314"/>
    <n v="0"/>
    <n v="0"/>
    <n v="0"/>
    <n v="0.45999999999997954"/>
    <n v="0"/>
    <s v="Release1"/>
    <n v="390.32701621621618"/>
    <n v="1.5857142857142856"/>
    <n v="0"/>
    <n v="0"/>
    <m/>
    <s v="Sonvarsha"/>
    <m/>
    <n v="0"/>
  </r>
  <r>
    <s v="Munger"/>
    <s v="24-30 Apr"/>
    <n v="1006"/>
    <s v="Sonvarsha"/>
    <x v="179"/>
    <s v="ABGIL"/>
    <s v="vlc"/>
    <s v="Indirect"/>
    <n v="124.8"/>
    <n v="4137.59"/>
    <n v="0"/>
    <n v="0"/>
    <n v="0"/>
    <n v="0"/>
    <n v="0"/>
    <n v="0"/>
    <n v="4137.59"/>
    <n v="0"/>
    <n v="0"/>
    <n v="0"/>
    <n v="0"/>
    <n v="150.02448387096757"/>
    <n v="0"/>
    <n v="0"/>
    <n v="0"/>
    <n v="3987.5655161290324"/>
    <n v="0"/>
    <n v="0"/>
    <n v="381.40092435897435"/>
    <n v="17.828571428571429"/>
    <n v="0"/>
    <n v="0"/>
    <m/>
    <s v="Sonvarsha"/>
    <m/>
    <n v="0"/>
  </r>
  <r>
    <s v="Munger"/>
    <s v="24-30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24.99999999999989"/>
    <n v="27303.130000000005"/>
    <n v="282.17"/>
    <n v="10827.402567775202"/>
    <n v="451.40999999999997"/>
    <n v="17460.511849736999"/>
    <n v="733.57999999999993"/>
    <n v="28287.914417512198"/>
    <n v="27303.130000000005"/>
    <n v="0"/>
    <n v="155.39289198840001"/>
    <n v="984.78441751219361"/>
    <n v="0"/>
    <n v="0"/>
    <n v="0"/>
    <n v="9843"/>
    <n v="17305"/>
    <n v="0"/>
    <n v="0"/>
    <n v="0"/>
    <n v="0"/>
    <n v="0"/>
    <n v="-3.6068553953784548E-2"/>
    <n v="6"/>
    <m/>
    <s v="Sonvarsha"/>
    <m/>
    <n v="0"/>
  </r>
  <r>
    <s v="Munger"/>
    <s v="24-30 Apr"/>
    <n v="1006"/>
    <s v="Sonvarsha"/>
    <x v="182"/>
    <s v="Manish Kumar                                                                                        "/>
    <s v="vlc"/>
    <s v="Indirect"/>
    <n v="181.8"/>
    <n v="6112.4100000000008"/>
    <n v="0"/>
    <n v="0"/>
    <n v="0"/>
    <n v="0"/>
    <n v="0"/>
    <n v="0"/>
    <n v="6112.4100000000008"/>
    <n v="0"/>
    <n v="0"/>
    <n v="0"/>
    <n v="0"/>
    <n v="0"/>
    <n v="0"/>
    <n v="0"/>
    <n v="0"/>
    <n v="6112.4100000000008"/>
    <n v="0"/>
    <n v="0"/>
    <n v="348.45444026402635"/>
    <n v="25.971428571428572"/>
    <n v="0"/>
    <n v="0"/>
    <m/>
    <s v="Sonvarsha"/>
    <m/>
    <n v="0"/>
  </r>
  <r>
    <s v="Munger"/>
    <s v="24-30 Apr"/>
    <n v="1006"/>
    <s v="Sonvarsha"/>
    <x v="183"/>
    <s v="AKHA-KURHA"/>
    <s v="vlc"/>
    <s v="Indirect"/>
    <n v="290.2"/>
    <n v="11583.69"/>
    <n v="0"/>
    <n v="0"/>
    <n v="0"/>
    <n v="0"/>
    <n v="0"/>
    <n v="0"/>
    <n v="11583.69"/>
    <n v="0"/>
    <n v="0"/>
    <n v="0"/>
    <n v="0"/>
    <n v="0"/>
    <n v="0"/>
    <n v="0"/>
    <n v="0"/>
    <n v="11583.69"/>
    <n v="0"/>
    <n v="0"/>
    <n v="327.15342260509999"/>
    <n v="41.457142857142856"/>
    <n v="0"/>
    <n v="0"/>
    <m/>
    <s v="Sonvarsha"/>
    <m/>
    <n v="0"/>
  </r>
  <r>
    <s v="Munger"/>
    <s v="24-30 Apr"/>
    <n v="1059"/>
    <s v="Gopalpur Bmc"/>
    <x v="184"/>
    <s v="BHANDAR"/>
    <s v="MPG"/>
    <s v="Direct"/>
    <n v="250.79999999999998"/>
    <n v="10793.05"/>
    <n v="241.9"/>
    <n v="10449.329308383003"/>
    <n v="0"/>
    <n v="0"/>
    <n v="241.9"/>
    <n v="10449.329308383003"/>
    <n v="10449.329308383003"/>
    <n v="0"/>
    <n v="0"/>
    <n v="0"/>
    <n v="0"/>
    <n v="0"/>
    <n v="0"/>
    <n v="10449"/>
    <n v="0"/>
    <n v="0"/>
    <n v="344"/>
    <n v="0"/>
    <n v="386.62185486443383"/>
    <n v="35.828571428571429"/>
    <n v="3.1846483766590189E-2"/>
    <n v="1"/>
    <m/>
    <s v="Gopalpur Bmc"/>
    <m/>
    <n v="0"/>
  </r>
  <r>
    <s v="Munger"/>
    <s v="24-30 Apr"/>
    <n v="1059"/>
    <s v="Gopalpur Bmc"/>
    <x v="185"/>
    <s v="BASMATIYA"/>
    <s v="MPG"/>
    <s v="Direct"/>
    <n v="428.1"/>
    <n v="18075.41"/>
    <n v="419.08"/>
    <n v="18885.35247404551"/>
    <n v="6.0099999999999989"/>
    <n v="258.44346022911998"/>
    <n v="425.09"/>
    <n v="19143.795934274629"/>
    <n v="18075.41"/>
    <n v="0"/>
    <n v="258.44346022911998"/>
    <n v="1068.3859342746291"/>
    <n v="0"/>
    <n v="0"/>
    <n v="0"/>
    <n v="17817"/>
    <n v="0"/>
    <n v="0"/>
    <n v="0"/>
    <n v="0"/>
    <n v="229.60541831347814"/>
    <n v="61.157142857142858"/>
    <n v="-5.9107148013496189E-2"/>
    <n v="12"/>
    <m/>
    <s v="Gopalpur Bmc"/>
    <m/>
    <n v="0"/>
  </r>
  <r>
    <s v="Munger"/>
    <s v="24-30 Apr"/>
    <n v="1006"/>
    <s v="Sonvarsha"/>
    <x v="186"/>
    <s v="TILATHI"/>
    <s v="MPG"/>
    <s v="Direct"/>
    <n v="1226.8"/>
    <n v="48904.82"/>
    <n v="1233.6200000000001"/>
    <n v="50549.256593757134"/>
    <n v="52.64"/>
    <n v="2866.6066238431004"/>
    <n v="1286.2600000000002"/>
    <n v="53415.863217600236"/>
    <n v="48904.82"/>
    <n v="0"/>
    <n v="712.74375710400022"/>
    <n v="4511.0432176002359"/>
    <n v="0"/>
    <n v="0"/>
    <n v="0"/>
    <n v="46039"/>
    <n v="2153"/>
    <n v="0"/>
    <n v="0"/>
    <s v="Release1"/>
    <n v="0"/>
    <n v="0"/>
    <n v="-9.2241280462748584E-2"/>
    <n v="35"/>
    <m/>
    <s v="Sonvarsha"/>
    <m/>
    <n v="0"/>
  </r>
  <r>
    <s v="Munger"/>
    <s v="24-30 Apr"/>
    <n v="1006"/>
    <s v="Sonvarsha"/>
    <x v="187"/>
    <s v="GOMUKH WESTOL"/>
    <s v="vlc"/>
    <s v="Indirect"/>
    <n v="459.5"/>
    <n v="16734.669999999998"/>
    <n v="0"/>
    <n v="0"/>
    <n v="0"/>
    <n v="0"/>
    <n v="0"/>
    <n v="0"/>
    <n v="16734.669999999998"/>
    <n v="0"/>
    <n v="0"/>
    <n v="0"/>
    <n v="0"/>
    <n v="386.76632903225811"/>
    <n v="0"/>
    <n v="0"/>
    <n v="0"/>
    <n v="16347.90367096774"/>
    <n v="0"/>
    <n v="0"/>
    <n v="175.17685027203484"/>
    <n v="65.642857142857139"/>
    <n v="0"/>
    <n v="0"/>
    <m/>
    <s v="Sonvarsha"/>
    <m/>
    <n v="0"/>
  </r>
  <r>
    <s v="Munger"/>
    <s v="24-30 Apr"/>
    <n v="1059"/>
    <s v="Gopalpur Bmc"/>
    <x v="188"/>
    <s v="SANGRAMPUR"/>
    <s v="MPG"/>
    <s v="Direct"/>
    <n v="593.5"/>
    <n v="27733.300000000003"/>
    <n v="595.70000000000005"/>
    <n v="27787.696629288206"/>
    <n v="0"/>
    <n v="0"/>
    <n v="595.70000000000005"/>
    <n v="27787.696629288206"/>
    <n v="27733.300000000003"/>
    <n v="0"/>
    <n v="0"/>
    <n v="54.396629288203258"/>
    <n v="0"/>
    <n v="0"/>
    <n v="0"/>
    <n v="27733"/>
    <n v="0"/>
    <n v="0"/>
    <n v="0"/>
    <n v="0"/>
    <n v="99.531472620050522"/>
    <n v="84.785714285714292"/>
    <n v="-1.9614192789247312E-3"/>
    <n v="3"/>
    <m/>
    <s v="Gopalpur Bmc"/>
    <m/>
    <n v="0"/>
  </r>
  <r>
    <s v="Munger"/>
    <s v="24-30 Apr"/>
    <n v="1006"/>
    <s v="Sonvarsha"/>
    <x v="191"/>
    <s v="RAMDEV TOLA"/>
    <s v="MPG"/>
    <s v="Direct"/>
    <n v="664.6"/>
    <n v="26366.289999999997"/>
    <n v="486.59999999999991"/>
    <n v="21689.113402481882"/>
    <n v="283.90999999999997"/>
    <n v="10882.360150596"/>
    <n v="770.50999999999988"/>
    <n v="32571.473553077882"/>
    <n v="26366.289999999997"/>
    <n v="0"/>
    <n v="196.25788512000005"/>
    <n v="6205.1835530778844"/>
    <n v="13000"/>
    <n v="1275.52"/>
    <n v="0"/>
    <n v="9525"/>
    <n v="2369"/>
    <n v="0"/>
    <n v="1"/>
    <s v="Release1"/>
    <n v="28.088073006319551"/>
    <n v="94.94285714285715"/>
    <n v="-0.23534534259760798"/>
    <n v="16"/>
    <m/>
    <s v="Sonvarsha"/>
    <m/>
    <n v="0"/>
  </r>
  <r>
    <s v="Munger"/>
    <s v="24-30 Apr"/>
    <n v="1006"/>
    <s v="Sonvarsha"/>
    <x v="193"/>
    <s v="PIPARPATI"/>
    <s v="MPG"/>
    <s v="Direct"/>
    <n v="528.9"/>
    <n v="24169.74"/>
    <n v="523.89"/>
    <n v="25936.101482071135"/>
    <n v="7.5400000000000009"/>
    <n v="320.04623059200009"/>
    <n v="531.42999999999995"/>
    <n v="26256.147712663136"/>
    <n v="24169.74"/>
    <n v="0"/>
    <n v="320.04623059200009"/>
    <n v="2086.4077126631346"/>
    <n v="0"/>
    <n v="0"/>
    <n v="0"/>
    <n v="23850"/>
    <n v="0"/>
    <n v="0"/>
    <n v="0"/>
    <n v="0"/>
    <n v="156.3789946681793"/>
    <n v="75.55714285714285"/>
    <n v="-8.6323134326771175E-2"/>
    <n v="10"/>
    <m/>
    <s v="Sonvarsha"/>
    <m/>
    <n v="0"/>
  </r>
  <r>
    <s v="Munger"/>
    <s v="24-30 Apr"/>
    <n v="1006"/>
    <s v="Sonvarsha"/>
    <x v="194"/>
    <s v="GOMUKH JAGMAGLA"/>
    <s v="vlc"/>
    <s v="Indirect"/>
    <n v="552.5"/>
    <n v="21685.920000000002"/>
    <n v="0"/>
    <n v="0"/>
    <n v="0"/>
    <n v="0"/>
    <n v="0"/>
    <n v="0"/>
    <n v="21685.920000000002"/>
    <n v="0"/>
    <n v="0"/>
    <n v="0"/>
    <n v="0"/>
    <n v="0"/>
    <n v="0"/>
    <n v="0"/>
    <n v="0"/>
    <n v="21685.920000000002"/>
    <n v="0"/>
    <n v="0"/>
    <n v="115.78907511312218"/>
    <n v="78.928571428571431"/>
    <n v="0"/>
    <n v="0"/>
    <m/>
    <s v="Sonvarsha"/>
    <m/>
    <n v="0"/>
  </r>
  <r>
    <s v="Munger"/>
    <s v="24-30 Apr"/>
    <n v="1006"/>
    <s v="Sonvarsha"/>
    <x v="197"/>
    <s v="KHAJURIYA"/>
    <s v="MPG"/>
    <s v="Direct"/>
    <n v="549.79999999999984"/>
    <n v="22484.870000000003"/>
    <n v="662.12"/>
    <n v="34438.107743392109"/>
    <n v="0"/>
    <n v="0"/>
    <n v="662.12"/>
    <n v="34438.107743392109"/>
    <n v="22484.870000000003"/>
    <n v="0"/>
    <n v="0"/>
    <n v="11953.237743392106"/>
    <n v="0"/>
    <n v="0"/>
    <n v="0"/>
    <n v="0"/>
    <n v="0"/>
    <n v="0"/>
    <n v="22485"/>
    <s v="Yes"/>
    <n v="122.85294558021118"/>
    <n v="78.542857142857116"/>
    <n v="-0.53161249068338423"/>
    <n v="5"/>
    <m/>
    <s v="Sonvarsha"/>
    <m/>
    <n v="0"/>
  </r>
  <r>
    <s v="Munger"/>
    <s v="24-30 Apr"/>
    <n v="1006"/>
    <s v="Sonvarsha"/>
    <x v="198"/>
    <s v="NAYA SALEMPUR"/>
    <s v="vlc"/>
    <s v="Indirect"/>
    <n v="739.40000000000009"/>
    <n v="27523.47"/>
    <n v="0"/>
    <n v="0"/>
    <n v="0"/>
    <n v="0"/>
    <n v="0"/>
    <n v="0"/>
    <n v="27523.47"/>
    <n v="0"/>
    <n v="0"/>
    <n v="0"/>
    <n v="0"/>
    <n v="0"/>
    <n v="0"/>
    <n v="0"/>
    <n v="0"/>
    <n v="27523.47"/>
    <n v="0"/>
    <n v="0"/>
    <n v="0"/>
    <n v="0"/>
    <n v="0"/>
    <n v="0"/>
    <m/>
    <s v="Sonvarsha"/>
    <m/>
    <n v="0"/>
  </r>
  <r>
    <s v="Munger"/>
    <s v="24-30 Apr"/>
    <n v="1006"/>
    <s v="Sonvarsha"/>
    <x v="199"/>
    <s v="MANO 2"/>
    <s v="MPG"/>
    <s v="Direct"/>
    <n v="369.59999999999997"/>
    <n v="14506.310000000001"/>
    <n v="369.6"/>
    <n v="14506.416254880003"/>
    <n v="0"/>
    <n v="0"/>
    <n v="369.6"/>
    <n v="14506.416254880003"/>
    <n v="14506.310000000001"/>
    <n v="0"/>
    <n v="0"/>
    <n v="0.10625488000187033"/>
    <n v="0"/>
    <n v="0"/>
    <n v="0"/>
    <n v="14506"/>
    <n v="0"/>
    <n v="0"/>
    <n v="0"/>
    <n v="0"/>
    <n v="259.35523939393948"/>
    <n v="52.8"/>
    <n v="-7.3247352360366162E-6"/>
    <n v="1"/>
    <m/>
    <s v="Sonvarsha"/>
    <m/>
    <n v="0"/>
  </r>
  <r>
    <s v="Munger"/>
    <s v="24-30 Apr"/>
    <n v="1006"/>
    <s v="Sonvarsha"/>
    <x v="201"/>
    <s v="LOSDHANI"/>
    <s v="MPG"/>
    <s v="Direct"/>
    <n v="192.6"/>
    <n v="7178.3799999999992"/>
    <n v="191.10000000000002"/>
    <n v="7137.749017080002"/>
    <n v="4.3999999999999995"/>
    <n v="164.46351636000003"/>
    <n v="195.50000000000003"/>
    <n v="7302.2125334400016"/>
    <n v="7178.3799999999992"/>
    <n v="0"/>
    <n v="164.46351636000003"/>
    <n v="123.83253344000241"/>
    <n v="0"/>
    <n v="18.638879999999837"/>
    <n v="0"/>
    <n v="6995"/>
    <n v="0"/>
    <n v="0"/>
    <n v="0"/>
    <n v="0"/>
    <n v="378.22533873312568"/>
    <n v="27.514285714285712"/>
    <n v="-1.7250763186123112E-2"/>
    <n v="2"/>
    <m/>
    <s v="Sonvarsha"/>
    <m/>
    <n v="0"/>
  </r>
  <r>
    <s v="Munger"/>
    <s v="24-30 Apr"/>
    <n v="1006"/>
    <s v="Sonvarsha"/>
    <x v="202"/>
    <s v="GOMUKH MAHGAMA"/>
    <s v="vlc"/>
    <s v="Indirect"/>
    <n v="40.299999999999997"/>
    <n v="1999.3"/>
    <n v="0"/>
    <n v="0"/>
    <n v="0"/>
    <n v="0"/>
    <n v="0"/>
    <n v="0"/>
    <n v="1999.3"/>
    <n v="0"/>
    <n v="0"/>
    <n v="0"/>
    <n v="0"/>
    <n v="170.11546451612901"/>
    <n v="0"/>
    <n v="0"/>
    <n v="0"/>
    <n v="1829.1845354838711"/>
    <n v="0"/>
    <n v="0"/>
    <n v="654.55990570719609"/>
    <n v="5.7571428571428571"/>
    <n v="0"/>
    <n v="0"/>
    <m/>
    <s v="Sonvarsha"/>
    <m/>
    <n v="0"/>
  </r>
  <r>
    <s v="Munger"/>
    <s v="24-30 Apr"/>
    <n v="1006"/>
    <s v="Sonvarsha"/>
    <x v="203"/>
    <s v="GOMUKH BAGALWA"/>
    <s v="MPG"/>
    <s v="Direct"/>
    <n v="373.9"/>
    <n v="17920.37"/>
    <n v="18"/>
    <n v="759.9749786640001"/>
    <n v="482.09999999999997"/>
    <n v="24166.326966218647"/>
    <n v="500.09999999999997"/>
    <n v="24926.301944882645"/>
    <n v="17920.37"/>
    <n v="0"/>
    <n v="0"/>
    <n v="7005.9319448826463"/>
    <n v="0"/>
    <n v="1259.1400000000001"/>
    <n v="0"/>
    <n v="0"/>
    <n v="16661"/>
    <n v="0"/>
    <n v="0"/>
    <s v="Release1"/>
    <n v="312.58799983952935"/>
    <n v="53.414285714285711"/>
    <n v="-0.3909479516819489"/>
    <n v="7"/>
    <m/>
    <s v="Sonvarsha"/>
    <m/>
    <n v="0"/>
  </r>
  <r>
    <s v="Munger"/>
    <s v="24-30 Apr"/>
    <n v="1006"/>
    <s v="Sonvarsha"/>
    <x v="204"/>
    <s v="GOMUKH LARYATAL"/>
    <s v="vlc"/>
    <s v="Indirect"/>
    <n v="205.50000000000003"/>
    <n v="9985.7400000000016"/>
    <n v="0"/>
    <n v="0"/>
    <n v="0"/>
    <n v="0"/>
    <n v="0"/>
    <n v="0"/>
    <n v="9985.7400000000016"/>
    <n v="0"/>
    <n v="0"/>
    <n v="0"/>
    <n v="0"/>
    <n v="580.08071612903268"/>
    <n v="0"/>
    <n v="0"/>
    <n v="0"/>
    <n v="9405.6592838709694"/>
    <n v="0"/>
    <n v="0"/>
    <n v="480.57892262773726"/>
    <n v="29.357142857142861"/>
    <n v="0"/>
    <n v="0"/>
    <m/>
    <s v="Sonvarsha"/>
    <m/>
    <n v="0"/>
  </r>
  <r>
    <s v="Munger"/>
    <s v="24-30 Apr"/>
    <n v="1006"/>
    <s v="Sonvarsha"/>
    <x v="206"/>
    <s v="GOMUKH BHITAKITA"/>
    <s v="vlc"/>
    <s v="Indirect"/>
    <n v="172.5"/>
    <n v="6002.24"/>
    <n v="0"/>
    <n v="0"/>
    <n v="0"/>
    <n v="0"/>
    <n v="0"/>
    <n v="0"/>
    <n v="6002.24"/>
    <n v="0"/>
    <n v="0"/>
    <n v="0"/>
    <n v="0"/>
    <n v="128.72740645161292"/>
    <n v="0"/>
    <n v="0"/>
    <n v="0"/>
    <n v="5873.5125935483866"/>
    <n v="0"/>
    <n v="0"/>
    <n v="367.09351884057969"/>
    <n v="24.642857142857142"/>
    <n v="0"/>
    <n v="0"/>
    <m/>
    <s v="Sonvarsha"/>
    <m/>
    <n v="0"/>
  </r>
  <r>
    <s v="Munger"/>
    <s v="24-30 Apr"/>
    <n v="1059"/>
    <s v="Gopalpur Bmc"/>
    <x v="207"/>
    <s v="SINGHOL"/>
    <s v="MPG"/>
    <s v="Direct"/>
    <n v="51.7"/>
    <n v="1975.72"/>
    <n v="57.900000000000006"/>
    <n v="2101.6580216148004"/>
    <n v="0"/>
    <n v="0"/>
    <n v="57.900000000000006"/>
    <n v="2101.6580216148004"/>
    <n v="1975.72"/>
    <n v="0"/>
    <n v="0"/>
    <n v="125.93802161480039"/>
    <n v="0"/>
    <n v="66.271848000000006"/>
    <n v="0"/>
    <n v="1909"/>
    <n v="0"/>
    <n v="0"/>
    <n v="0"/>
    <n v="0"/>
    <n v="495.49681856866533"/>
    <n v="7.3857142857142861"/>
    <n v="-6.3742848994189652E-2"/>
    <n v="1"/>
    <m/>
    <s v="Gopalpur Bmc"/>
    <m/>
    <n v="0"/>
  </r>
  <r>
    <s v="Munger"/>
    <s v="24-30 Apr"/>
    <n v="1006"/>
    <s v="Sonvarsha"/>
    <x v="208"/>
    <s v="GOMUKH OJONTOLA"/>
    <s v="vlc"/>
    <s v="Indirect"/>
    <n v="130.1"/>
    <n v="5673.9000000000005"/>
    <n v="0"/>
    <n v="0"/>
    <n v="0"/>
    <n v="0"/>
    <n v="0"/>
    <n v="0"/>
    <n v="5673.9000000000005"/>
    <n v="0"/>
    <n v="0"/>
    <n v="0"/>
    <n v="0"/>
    <n v="0"/>
    <n v="0"/>
    <n v="0"/>
    <n v="0"/>
    <n v="5673.9000000000005"/>
    <n v="0"/>
    <n v="0"/>
    <n v="497.08771867794007"/>
    <n v="18.585714285714285"/>
    <n v="0"/>
    <n v="0"/>
    <m/>
    <s v="Sonvarsha"/>
    <m/>
    <n v="0"/>
  </r>
  <r>
    <s v="Munger"/>
    <s v="24-30 Apr"/>
    <n v="1006"/>
    <s v="Sonvarsha"/>
    <x v="209"/>
    <s v="KHUDDIBAN SHIVNAGAR"/>
    <s v="MPG"/>
    <s v="Direct"/>
    <n v="60.599999999999994"/>
    <n v="2125.33"/>
    <n v="60.6"/>
    <n v="2161.1937065400002"/>
    <n v="0"/>
    <n v="0"/>
    <n v="60.6"/>
    <n v="2161.1937065400002"/>
    <n v="2125.33"/>
    <n v="0"/>
    <n v="0"/>
    <n v="35.863706540000294"/>
    <n v="0"/>
    <n v="1219.9505399999998"/>
    <n v="0"/>
    <n v="905"/>
    <n v="0"/>
    <n v="0"/>
    <n v="0"/>
    <n v="0"/>
    <n v="448.49373003300332"/>
    <n v="8.6571428571428566"/>
    <n v="-1.6874417873930306E-2"/>
    <n v="1"/>
    <m/>
    <s v="Sonvarsha"/>
    <m/>
    <n v="0"/>
  </r>
  <r>
    <s v="Munger"/>
    <s v="24-30 Apr"/>
    <n v="1006"/>
    <s v="Sonvarsha"/>
    <x v="210"/>
    <s v="BARIYARPUR"/>
    <s v="MPG"/>
    <s v="Direct"/>
    <n v="326.40000000000003"/>
    <n v="12948.69"/>
    <n v="287"/>
    <n v="11353.19026248"/>
    <n v="42.2"/>
    <n v="1662.42835044"/>
    <n v="329.2"/>
    <n v="13015.61861292"/>
    <n v="12948.69"/>
    <n v="0"/>
    <n v="173.65087476000002"/>
    <n v="66.928612919999068"/>
    <n v="0"/>
    <n v="0"/>
    <n v="0"/>
    <n v="11287"/>
    <n v="1488"/>
    <n v="0"/>
    <n v="0"/>
    <n v="0"/>
    <n v="296.42344264705883"/>
    <n v="46.628571428571433"/>
    <n v="-5.168755520442536E-3"/>
    <n v="4"/>
    <m/>
    <s v="Sonvarsha"/>
    <m/>
    <n v="0"/>
  </r>
  <r>
    <s v="Munger"/>
    <s v="24-30 Apr"/>
    <n v="1006"/>
    <s v="Sonvarsha"/>
    <x v="211"/>
    <s v="MASUDAN"/>
    <s v="MPG"/>
    <s v="Direct"/>
    <n v="370.2"/>
    <n v="14352.630000000001"/>
    <n v="375.63000000000005"/>
    <n v="14466.467353624072"/>
    <n v="0"/>
    <n v="0"/>
    <n v="375.63000000000005"/>
    <n v="14466.467353624072"/>
    <n v="14352.630000000001"/>
    <n v="0"/>
    <n v="0"/>
    <n v="113.8373536240706"/>
    <n v="0"/>
    <n v="0"/>
    <n v="0"/>
    <n v="14353"/>
    <n v="0"/>
    <n v="0"/>
    <n v="0"/>
    <n v="0"/>
    <n v="255.72649238249599"/>
    <n v="52.885714285714286"/>
    <n v="-7.9314629879033045E-3"/>
    <n v="5"/>
    <m/>
    <s v="Sonvarsha"/>
    <m/>
    <n v="0"/>
  </r>
  <r>
    <s v="Munger"/>
    <s v="24-30 Apr"/>
    <n v="1006"/>
    <s v="Sonvarsha"/>
    <x v="1034"/>
    <s v="GOMUKH BOHLA"/>
    <s v="vlc"/>
    <s v="Indirect"/>
    <n v="80.3"/>
    <n v="2990.71"/>
    <n v="0"/>
    <n v="0"/>
    <n v="0"/>
    <n v="0"/>
    <n v="0"/>
    <n v="0"/>
    <n v="2990.71"/>
    <n v="0"/>
    <n v="0"/>
    <n v="0"/>
    <n v="0"/>
    <n v="381.87299999999993"/>
    <n v="0"/>
    <n v="0"/>
    <n v="0"/>
    <n v="2608.837"/>
    <n v="0"/>
    <n v="0"/>
    <n v="461.60472901618925"/>
    <n v="11.471428571428572"/>
    <n v="0"/>
    <n v="0"/>
    <m/>
    <s v="Sonvarsha"/>
    <m/>
    <n v="0"/>
  </r>
  <r>
    <s v="Munger"/>
    <s v="24-30 Apr"/>
    <n v="1007"/>
    <s v="Araria"/>
    <x v="212"/>
    <s v="Gomukh ID Araria"/>
    <s v="vlc"/>
    <s v="Indirect"/>
    <n v="3960.2000000000003"/>
    <n v="146162.21"/>
    <n v="0"/>
    <n v="0"/>
    <n v="0"/>
    <n v="0"/>
    <n v="0"/>
    <n v="0"/>
    <n v="146162.21"/>
    <n v="0"/>
    <n v="0"/>
    <n v="0"/>
    <n v="0"/>
    <n v="0"/>
    <n v="0"/>
    <n v="0"/>
    <n v="0"/>
    <n v="146162.21"/>
    <n v="0"/>
    <n v="0"/>
    <n v="0"/>
    <n v="0"/>
    <n v="0"/>
    <n v="0"/>
    <m/>
    <s v="Araria"/>
    <m/>
    <n v="0"/>
  </r>
  <r>
    <s v="Munger"/>
    <s v="24-30 Apr"/>
    <n v="1007"/>
    <s v="Araria"/>
    <x v="213"/>
    <s v="Gomukh ID Chaidha"/>
    <s v="vlc"/>
    <s v="Indirect"/>
    <n v="583.80000000000007"/>
    <n v="19632.91"/>
    <n v="0"/>
    <n v="0"/>
    <n v="0"/>
    <n v="0"/>
    <n v="0"/>
    <n v="0"/>
    <n v="19632.91"/>
    <n v="0"/>
    <n v="0"/>
    <n v="0"/>
    <n v="0"/>
    <n v="90.762270967742637"/>
    <n v="0"/>
    <n v="0"/>
    <n v="0"/>
    <n v="19542.147729032258"/>
    <n v="0"/>
    <n v="0"/>
    <n v="78.154989448441228"/>
    <n v="83.4"/>
    <n v="0"/>
    <n v="0"/>
    <m/>
    <s v="Araria"/>
    <m/>
    <n v="0"/>
  </r>
  <r>
    <s v="Munger"/>
    <s v="24-30 Apr"/>
    <n v="1056"/>
    <s v="Chautham"/>
    <x v="214"/>
    <s v="Gomukh ID Pakrail"/>
    <s v="vlc"/>
    <s v="Indirect"/>
    <n v="152.32000000000002"/>
    <n v="5661.47"/>
    <n v="0"/>
    <n v="0"/>
    <n v="0"/>
    <n v="0"/>
    <n v="0"/>
    <n v="0"/>
    <n v="5661.47"/>
    <n v="0"/>
    <n v="0"/>
    <n v="0"/>
    <n v="0"/>
    <n v="796.26867870967703"/>
    <n v="0"/>
    <n v="0"/>
    <n v="0"/>
    <n v="4865.201321290323"/>
    <n v="0"/>
    <n v="0"/>
    <n v="407.12629852941171"/>
    <n v="21.76"/>
    <n v="0"/>
    <n v="0"/>
    <m/>
    <s v="Chautham"/>
    <m/>
    <n v="0"/>
  </r>
  <r>
    <s v="Munger"/>
    <s v="24-30 Apr"/>
    <n v="1056"/>
    <s v="Chautham"/>
    <x v="215"/>
    <s v="Gomukh ID Pipra"/>
    <s v="vlc"/>
    <s v="Indirect"/>
    <n v="368.88"/>
    <n v="13182.800000000001"/>
    <n v="0"/>
    <n v="0"/>
    <n v="0"/>
    <n v="0"/>
    <n v="0"/>
    <n v="0"/>
    <n v="13182.800000000001"/>
    <n v="0"/>
    <n v="0"/>
    <n v="0"/>
    <n v="0"/>
    <n v="2671.6403148387099"/>
    <n v="0"/>
    <n v="0"/>
    <n v="0"/>
    <n v="10511.159685161292"/>
    <n v="0"/>
    <n v="0"/>
    <n v="236.66714031663417"/>
    <n v="52.697142857142858"/>
    <n v="0"/>
    <n v="0"/>
    <m/>
    <s v="Chautham"/>
    <m/>
    <n v="0"/>
  </r>
  <r>
    <s v="Munger"/>
    <s v="24-30 Apr"/>
    <n v="1007"/>
    <s v="Araria"/>
    <x v="216"/>
    <s v="Gomukh Fatepur                                                                                      "/>
    <s v="MPG"/>
    <s v="Direct"/>
    <n v="300.3"/>
    <n v="11117.35"/>
    <n v="581.1400000000001"/>
    <n v="22560.537129926404"/>
    <n v="30.099999999999998"/>
    <n v="1112.611942233"/>
    <n v="611.24000000000012"/>
    <n v="23673.149072159405"/>
    <n v="11117.35"/>
    <n v="0"/>
    <n v="172.90522610460002"/>
    <n v="12555.799072159405"/>
    <n v="0"/>
    <n v="0"/>
    <n v="0"/>
    <n v="10004"/>
    <n v="940"/>
    <n v="0"/>
    <n v="0"/>
    <n v="0"/>
    <n v="295.94437529137531"/>
    <n v="42.9"/>
    <n v="-1.1293877652641506"/>
    <n v="10"/>
    <m/>
    <s v="Araria"/>
    <m/>
    <n v="0"/>
  </r>
  <r>
    <s v="Munger"/>
    <s v="24-30 Apr"/>
    <n v="1007"/>
    <s v="Araria"/>
    <x v="217"/>
    <s v="Gomukh Gauchhari"/>
    <s v="MPG"/>
    <s v="Direct"/>
    <n v="253.60000000000002"/>
    <n v="9720.08"/>
    <n v="250.76999999999995"/>
    <n v="9642.9572430840017"/>
    <n v="1.5200000000000002"/>
    <n v="59.633967095999999"/>
    <n v="252.28999999999996"/>
    <n v="9702.5912101800022"/>
    <n v="9702.5912101800022"/>
    <n v="0"/>
    <n v="59.633967095999999"/>
    <n v="0"/>
    <n v="0"/>
    <n v="0"/>
    <n v="0"/>
    <n v="9643"/>
    <n v="0"/>
    <n v="0"/>
    <n v="17"/>
    <n v="0"/>
    <n v="342.19587634069404"/>
    <n v="36.228571428571435"/>
    <n v="1.7992434033462371E-3"/>
    <n v="4"/>
    <m/>
    <s v="Araria"/>
    <m/>
    <n v="0"/>
  </r>
  <r>
    <s v="Munger"/>
    <s v="24-30 Apr"/>
    <n v="1007"/>
    <s v="Araria"/>
    <x v="218"/>
    <s v="Gomukh Arariya Karjaniya"/>
    <s v="vlc"/>
    <s v="Indirect"/>
    <n v="12873.800000000001"/>
    <n v="471150.06"/>
    <n v="0"/>
    <n v="0"/>
    <n v="0"/>
    <n v="0"/>
    <n v="0"/>
    <n v="0"/>
    <n v="471150.06"/>
    <n v="0"/>
    <n v="0"/>
    <n v="0"/>
    <n v="0"/>
    <n v="0"/>
    <n v="0"/>
    <n v="0"/>
    <n v="0"/>
    <n v="471150.06"/>
    <n v="0"/>
    <n v="0"/>
    <n v="0"/>
    <n v="0"/>
    <n v="0"/>
    <n v="0"/>
    <m/>
    <s v="Araria"/>
    <m/>
    <n v="0"/>
  </r>
  <r>
    <s v="Munger"/>
    <s v="24-30 Apr"/>
    <n v="1007"/>
    <s v="Araria"/>
    <x v="1055"/>
    <s v="Gomukh Aariya Dummer Kothi"/>
    <s v="vlc"/>
    <s v="Indirect"/>
    <n v="2587.4"/>
    <n v="95244.26"/>
    <n v="0"/>
    <n v="0"/>
    <n v="0"/>
    <n v="0"/>
    <n v="0"/>
    <n v="0"/>
    <n v="95244.26"/>
    <n v="0"/>
    <n v="0"/>
    <n v="0"/>
    <n v="0"/>
    <n v="10083.329864516134"/>
    <n v="0"/>
    <n v="0"/>
    <n v="0"/>
    <n v="85160.930135483854"/>
    <n v="0"/>
    <n v="0"/>
    <n v="0"/>
    <n v="0"/>
    <n v="0"/>
    <n v="0"/>
    <m/>
    <s v="Araria"/>
    <m/>
    <n v="0"/>
  </r>
  <r>
    <s v="Munger"/>
    <s v="24-30 Apr"/>
    <n v="1007"/>
    <s v="Araria"/>
    <x v="219"/>
    <s v="Gomukh Balha"/>
    <s v="vlc"/>
    <s v="Indirect"/>
    <n v="4749.2"/>
    <n v="169797.06"/>
    <n v="0"/>
    <n v="0"/>
    <n v="0"/>
    <n v="0"/>
    <n v="0"/>
    <n v="0"/>
    <n v="169797.06"/>
    <n v="0"/>
    <n v="0"/>
    <n v="0"/>
    <n v="0"/>
    <n v="0"/>
    <n v="0"/>
    <n v="0"/>
    <n v="0"/>
    <n v="169797.06"/>
    <n v="0"/>
    <n v="0"/>
    <n v="0"/>
    <n v="0"/>
    <n v="0"/>
    <n v="0"/>
    <m/>
    <s v="Araria"/>
    <m/>
    <n v="0"/>
  </r>
  <r>
    <s v="Munger"/>
    <s v="24-30 Apr"/>
    <n v="1007"/>
    <s v="Araria"/>
    <x v="220"/>
    <s v="Haripur - Sanjay"/>
    <s v="vlc"/>
    <s v="Indirect"/>
    <n v="840.1"/>
    <n v="30379.18"/>
    <n v="0"/>
    <n v="0"/>
    <n v="0"/>
    <n v="0"/>
    <n v="0"/>
    <n v="0"/>
    <n v="30379.18"/>
    <n v="0"/>
    <n v="0"/>
    <n v="0"/>
    <n v="0"/>
    <n v="0"/>
    <n v="0"/>
    <n v="0"/>
    <n v="0"/>
    <n v="30379.18"/>
    <n v="0"/>
    <n v="0"/>
    <n v="0"/>
    <n v="0"/>
    <n v="0"/>
    <n v="0"/>
    <m/>
    <s v="Araria"/>
    <m/>
    <n v="0"/>
  </r>
  <r>
    <s v="Munger"/>
    <s v="24-30 Apr"/>
    <n v="1007"/>
    <s v="Araria"/>
    <x v="1056"/>
    <s v="Araria - Ankesh"/>
    <s v="vlc"/>
    <s v="Indirect"/>
    <n v="2695.5000000000005"/>
    <n v="97234.419999999984"/>
    <n v="0"/>
    <n v="0"/>
    <n v="0"/>
    <n v="0"/>
    <n v="0"/>
    <n v="0"/>
    <n v="97234.419999999984"/>
    <n v="0"/>
    <n v="0"/>
    <n v="0"/>
    <n v="91167"/>
    <n v="6066.9817548387091"/>
    <n v="0"/>
    <n v="0"/>
    <n v="0"/>
    <n v="0.43824516127460811"/>
    <n v="0"/>
    <n v="0"/>
    <n v="0"/>
    <n v="0"/>
    <n v="0"/>
    <n v="0"/>
    <m/>
    <s v="Araria"/>
    <m/>
    <n v="0"/>
  </r>
  <r>
    <s v="Munger"/>
    <s v="24-30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638.49999999999977"/>
    <n v="29984.489999999994"/>
    <n v="636.19999999999993"/>
    <n v="28541.192331865801"/>
    <n v="0"/>
    <n v="0"/>
    <n v="636.19999999999993"/>
    <n v="28541.192331865801"/>
    <n v="28541.192331865801"/>
    <n v="0"/>
    <n v="0"/>
    <n v="0"/>
    <n v="0"/>
    <n v="0"/>
    <n v="0"/>
    <n v="28541"/>
    <n v="0"/>
    <n v="0"/>
    <n v="1443"/>
    <n v="0"/>
    <n v="57.761820986687788"/>
    <n v="91.21428571428568"/>
    <n v="4.8134807966858657E-2"/>
    <n v="2"/>
    <m/>
    <s v="Parbatta"/>
    <m/>
    <n v="0"/>
  </r>
  <r>
    <s v="Munger"/>
    <s v="24-30 Apr"/>
    <n v="1056"/>
    <s v="Chautham"/>
    <x v="223"/>
    <s v="Gomukh Malpa Uttari                                                                                 "/>
    <s v="vlc"/>
    <s v="Indirect"/>
    <n v="233.52000000000004"/>
    <n v="7188.6900000000005"/>
    <n v="0"/>
    <n v="0"/>
    <n v="0"/>
    <n v="0"/>
    <n v="0"/>
    <n v="0"/>
    <n v="7188.6900000000005"/>
    <n v="0"/>
    <n v="0"/>
    <n v="0"/>
    <n v="0"/>
    <n v="0"/>
    <n v="0"/>
    <n v="0"/>
    <n v="0"/>
    <n v="7188.6900000000005"/>
    <n v="0"/>
    <n v="0"/>
    <n v="287.2028187050359"/>
    <n v="33.360000000000007"/>
    <n v="0"/>
    <n v="0"/>
    <m/>
    <s v="Chautham"/>
    <m/>
    <n v="0"/>
  </r>
  <r>
    <s v="Munger"/>
    <s v="24-30 Apr"/>
    <n v="1007"/>
    <s v="Araria"/>
    <x v="224"/>
    <s v="Gomukh Sapha"/>
    <s v="MPG"/>
    <s v="Direct"/>
    <n v="187.1"/>
    <n v="7824.71"/>
    <n v="189.72"/>
    <n v="9376.1568263861991"/>
    <n v="1.52"/>
    <n v="63.186125508000003"/>
    <n v="191.24"/>
    <n v="9439.3429518941994"/>
    <n v="7824.71"/>
    <n v="0"/>
    <n v="63.186125508000003"/>
    <n v="1614.6329518941993"/>
    <n v="0"/>
    <n v="0"/>
    <n v="0"/>
    <n v="7762"/>
    <n v="0"/>
    <n v="0"/>
    <n v="0"/>
    <n v="0"/>
    <n v="428.99986734366655"/>
    <n v="26.728571428571428"/>
    <n v="-0.20635051674684421"/>
    <n v="4"/>
    <m/>
    <s v="Araria"/>
    <m/>
    <n v="0"/>
  </r>
  <r>
    <s v="Munger"/>
    <s v="24-30 Apr"/>
    <n v="1007"/>
    <s v="Araria"/>
    <x v="225"/>
    <s v="Araria"/>
    <s v="vlc"/>
    <s v="Indirect"/>
    <n v="16329.000000000002"/>
    <n v="600064.06999999983"/>
    <n v="0"/>
    <n v="0"/>
    <n v="0"/>
    <n v="0"/>
    <n v="0"/>
    <n v="0"/>
    <n v="600064.06999999983"/>
    <n v="0"/>
    <n v="0"/>
    <n v="0"/>
    <n v="0"/>
    <n v="0"/>
    <n v="0"/>
    <n v="0"/>
    <n v="0"/>
    <n v="600064.06999999983"/>
    <n v="0"/>
    <n v="0"/>
    <n v="0"/>
    <n v="0"/>
    <n v="0"/>
    <n v="0"/>
    <m/>
    <s v="Araria"/>
    <m/>
    <n v="0"/>
  </r>
  <r>
    <s v="Munger"/>
    <s v="24-30 Apr"/>
    <n v="1007"/>
    <s v="Araria"/>
    <x v="226"/>
    <s v="Gomukh Gauchhari"/>
    <s v="MPG"/>
    <s v="Direct"/>
    <n v="790.69999999999993"/>
    <n v="30032.16"/>
    <n v="888.29"/>
    <n v="36033.228428472001"/>
    <n v="2.33"/>
    <n v="95.573204892000007"/>
    <n v="890.62"/>
    <n v="36128.801633364004"/>
    <n v="30032.16"/>
    <n v="0"/>
    <n v="95.573204892000007"/>
    <n v="6096.6416333640045"/>
    <n v="0"/>
    <n v="445.90465714285608"/>
    <n v="0"/>
    <n v="29490"/>
    <n v="0"/>
    <n v="0"/>
    <n v="1"/>
    <n v="0"/>
    <n v="0"/>
    <n v="0"/>
    <n v="-0.2030037677397831"/>
    <n v="4"/>
    <m/>
    <s v="Araria"/>
    <m/>
    <n v="0"/>
  </r>
  <r>
    <s v="Munger"/>
    <s v="24-30 Apr"/>
    <n v="1056"/>
    <s v="Chautham"/>
    <x v="227"/>
    <s v="Telouch"/>
    <s v="MPG"/>
    <s v="Direct"/>
    <n v="2111.1000000000004"/>
    <n v="80394.39"/>
    <n v="2313.6"/>
    <n v="91205.540048376017"/>
    <n v="7.1"/>
    <n v="253.24950420000002"/>
    <n v="2320.6999999999998"/>
    <n v="91458.78955257601"/>
    <n v="80394.39"/>
    <n v="0"/>
    <n v="253.24950420000002"/>
    <n v="11064.399552576011"/>
    <n v="0"/>
    <n v="0"/>
    <n v="0"/>
    <n v="80141"/>
    <n v="0"/>
    <n v="0"/>
    <n v="0"/>
    <s v="Release1"/>
    <n v="0"/>
    <n v="0"/>
    <n v="-0.13762651290190783"/>
    <n v="7"/>
    <m/>
    <s v="Chautham"/>
    <m/>
    <n v="0"/>
  </r>
  <r>
    <s v="Munger"/>
    <s v="24-30 Apr"/>
    <n v="1007"/>
    <s v="Araria"/>
    <x v="229"/>
    <s v="Gomukh Jhangara B"/>
    <s v="MPG"/>
    <s v="Direct"/>
    <n v="1450.1000000000001"/>
    <n v="55826.3"/>
    <n v="1461.9"/>
    <n v="59303.637630077938"/>
    <n v="0"/>
    <n v="0"/>
    <n v="1461.9"/>
    <n v="59303.637630077938"/>
    <n v="55826.3"/>
    <n v="0"/>
    <n v="0"/>
    <n v="3477.3376300779346"/>
    <n v="0"/>
    <n v="0"/>
    <n v="0"/>
    <n v="55826"/>
    <n v="0"/>
    <n v="0"/>
    <n v="0"/>
    <n v="0"/>
    <n v="0"/>
    <n v="0"/>
    <n v="-6.2288520465764961E-2"/>
    <n v="8"/>
    <m/>
    <s v="Araria"/>
    <m/>
    <n v="0"/>
  </r>
  <r>
    <s v="Munger"/>
    <s v="24-30 Apr"/>
    <n v="1056"/>
    <s v="Chautham"/>
    <x v="230"/>
    <s v="Gomukh Saraiya"/>
    <s v="vlc"/>
    <s v="Direct"/>
    <n v="201.15"/>
    <n v="7512.5599999999995"/>
    <n v="782.91"/>
    <n v="48019.591360884595"/>
    <n v="0"/>
    <n v="0"/>
    <n v="782.91"/>
    <n v="48019.591360884595"/>
    <n v="7512.5599999999995"/>
    <n v="0"/>
    <n v="0"/>
    <n v="40507.031360884597"/>
    <n v="0"/>
    <n v="0"/>
    <n v="0"/>
    <n v="7513"/>
    <n v="0"/>
    <n v="0"/>
    <n v="0"/>
    <s v="Release1"/>
    <n v="372.62148207805114"/>
    <n v="28.735714285714288"/>
    <n v="-5.391907866410997"/>
    <n v="2"/>
    <m/>
    <s v="Chautham"/>
    <m/>
    <n v="0"/>
  </r>
  <r>
    <s v="Munger"/>
    <s v="24-30 Apr"/>
    <n v="1056"/>
    <s v="Chautham"/>
    <x v="231"/>
    <s v=" Gomukh Nauranga"/>
    <s v="vlc"/>
    <s v="Indirect"/>
    <n v="343.56000000000006"/>
    <n v="14384.370000000003"/>
    <n v="0"/>
    <n v="0"/>
    <n v="0"/>
    <n v="0"/>
    <n v="0"/>
    <n v="0"/>
    <n v="14384.370000000003"/>
    <n v="0"/>
    <n v="0"/>
    <n v="0"/>
    <n v="0"/>
    <n v="0"/>
    <n v="0"/>
    <n v="0"/>
    <n v="0"/>
    <n v="14384.370000000003"/>
    <n v="0"/>
    <n v="0"/>
    <n v="298.47274669926645"/>
    <n v="49.080000000000005"/>
    <n v="0"/>
    <n v="0"/>
    <m/>
    <s v="Chautham"/>
    <m/>
    <n v="0"/>
  </r>
  <r>
    <s v="Munger"/>
    <s v="24-30 Apr"/>
    <n v="1056"/>
    <s v="Chautham"/>
    <x v="232"/>
    <s v="Gomukh Malpa Dhutauli VLC"/>
    <s v="vlc"/>
    <s v="Indirect"/>
    <n v="152.87"/>
    <n v="5116.3900000000003"/>
    <n v="0"/>
    <n v="0"/>
    <n v="0"/>
    <n v="0"/>
    <n v="0"/>
    <n v="0"/>
    <n v="5116.3900000000003"/>
    <n v="0"/>
    <n v="0"/>
    <n v="0"/>
    <n v="0"/>
    <n v="0"/>
    <n v="0"/>
    <n v="0"/>
    <n v="0"/>
    <n v="5116.3900000000003"/>
    <n v="0"/>
    <n v="0"/>
    <n v="366.23673195525612"/>
    <n v="21.838571428571431"/>
    <n v="0"/>
    <n v="0"/>
    <m/>
    <s v="Chautham"/>
    <m/>
    <n v="0"/>
  </r>
  <r>
    <s v="Munger"/>
    <s v="24-30 Apr"/>
    <n v="1056"/>
    <s v="Chautham"/>
    <x v="233"/>
    <s v="Gomukh Pakrail Vijay Nagar VLC"/>
    <s v="vlc"/>
    <s v="Indirect"/>
    <n v="1594.54"/>
    <n v="60216.439999999995"/>
    <n v="0"/>
    <n v="0"/>
    <n v="0"/>
    <n v="0"/>
    <n v="0"/>
    <n v="0"/>
    <n v="60216.439999999995"/>
    <n v="0"/>
    <n v="0"/>
    <n v="0"/>
    <n v="0"/>
    <n v="0"/>
    <n v="0"/>
    <n v="0"/>
    <n v="0"/>
    <n v="60216.439999999995"/>
    <n v="0"/>
    <n v="0"/>
    <n v="0"/>
    <n v="0"/>
    <n v="0"/>
    <n v="0"/>
    <m/>
    <s v="Chautham"/>
    <m/>
    <n v="0"/>
  </r>
  <r>
    <s v="Munger"/>
    <s v="24-30 Apr"/>
    <n v="1056"/>
    <s v="Chautham"/>
    <x v="234"/>
    <s v="Gomukh Pakrail Shirnia VLC"/>
    <s v="vlc"/>
    <s v="Indirect"/>
    <n v="97.36"/>
    <n v="3848.6499999999996"/>
    <n v="0"/>
    <n v="0"/>
    <n v="0"/>
    <n v="0"/>
    <n v="0"/>
    <n v="0"/>
    <n v="3848.6499999999996"/>
    <n v="0"/>
    <n v="0"/>
    <n v="0"/>
    <n v="0"/>
    <n v="87.543089032258052"/>
    <n v="0"/>
    <n v="0"/>
    <n v="0"/>
    <n v="3761.1069109677414"/>
    <n v="0"/>
    <n v="0"/>
    <n v="476.44832292522597"/>
    <n v="13.908571428571429"/>
    <n v="0"/>
    <n v="0"/>
    <m/>
    <s v="Chautham"/>
    <m/>
    <n v="0"/>
  </r>
  <r>
    <s v="Munger"/>
    <s v="24-30 Apr"/>
    <n v="1007"/>
    <s v="Araria"/>
    <x v="235"/>
    <s v="Gomukh Godhiyasi Nayagow VLC"/>
    <s v="vlc"/>
    <s v="Indirect"/>
    <n v="144.80000000000001"/>
    <n v="4995.72"/>
    <n v="0"/>
    <n v="0"/>
    <n v="0"/>
    <n v="0"/>
    <n v="0"/>
    <n v="0"/>
    <n v="4995.72"/>
    <n v="0"/>
    <n v="0"/>
    <n v="0"/>
    <n v="0"/>
    <n v="0"/>
    <n v="0"/>
    <n v="0"/>
    <n v="0"/>
    <n v="4995.72"/>
    <n v="0"/>
    <n v="0"/>
    <n v="383.09720220994473"/>
    <n v="20.685714285714287"/>
    <n v="0"/>
    <n v="0"/>
    <m/>
    <s v="Araria"/>
    <m/>
    <n v="0"/>
  </r>
  <r>
    <s v="Munger"/>
    <s v="24-30 Apr"/>
    <n v="1010"/>
    <s v="Parbatta"/>
    <x v="236"/>
    <s v="Gomukh Bandehra Purbi"/>
    <s v="MPG"/>
    <s v="Direct"/>
    <n v="666.80000000000007"/>
    <n v="25036.039999999994"/>
    <n v="666.8"/>
    <n v="27638.274549599999"/>
    <n v="0"/>
    <n v="0"/>
    <n v="666.8"/>
    <n v="27638.274549599999"/>
    <n v="25036.039999999994"/>
    <n v="0"/>
    <n v="0"/>
    <n v="2602.2345496000053"/>
    <n v="0"/>
    <n v="0"/>
    <n v="0"/>
    <n v="25036"/>
    <n v="0"/>
    <n v="0"/>
    <n v="0"/>
    <n v="0"/>
    <n v="24.930909658068327"/>
    <n v="95.257142857142867"/>
    <n v="-0.10393954273918743"/>
    <n v="1"/>
    <m/>
    <s v="Parbatta"/>
    <m/>
    <n v="0"/>
  </r>
  <r>
    <s v="Munger"/>
    <s v="24-30 Apr"/>
    <n v="1056"/>
    <s v="Chautham"/>
    <x v="237"/>
    <s v="Gomukh Tila Tol"/>
    <s v="MPG"/>
    <s v="Direct"/>
    <n v="1114.8800000000001"/>
    <n v="41339.200000000004"/>
    <n v="1116.2200000000003"/>
    <n v="41709.189101184005"/>
    <n v="3.75"/>
    <n v="145.91822968800003"/>
    <n v="1119.9700000000003"/>
    <n v="41855.107330872008"/>
    <n v="41339.200000000004"/>
    <n v="0"/>
    <n v="145.91822968800003"/>
    <n v="515.90733087200351"/>
    <n v="0"/>
    <n v="0"/>
    <n v="0"/>
    <n v="41193"/>
    <n v="0"/>
    <n v="0"/>
    <n v="0"/>
    <n v="0"/>
    <n v="0"/>
    <n v="0"/>
    <n v="-1.247985763807726E-2"/>
    <n v="2"/>
    <m/>
    <s v="Chautham"/>
    <m/>
    <n v="0"/>
  </r>
  <r>
    <s v="Munger"/>
    <s v="24-30 Apr"/>
    <n v="1007"/>
    <s v="Araria"/>
    <x v="238"/>
    <s v="Gomukh Dina Chakla Vlc"/>
    <s v="vlc"/>
    <s v="Indirect"/>
    <n v="289.20000000000005"/>
    <n v="9987.89"/>
    <n v="0"/>
    <n v="0"/>
    <n v="0"/>
    <n v="0"/>
    <n v="0"/>
    <n v="0"/>
    <n v="9987.89"/>
    <n v="0"/>
    <n v="0"/>
    <n v="0"/>
    <n v="0"/>
    <n v="15.292509677419474"/>
    <n v="0"/>
    <n v="0"/>
    <n v="0"/>
    <n v="9972.5974903225797"/>
    <n v="0"/>
    <n v="0"/>
    <n v="283.75001466113412"/>
    <n v="41.314285714285724"/>
    <n v="0"/>
    <n v="0"/>
    <m/>
    <s v="Araria"/>
    <m/>
    <n v="0"/>
  </r>
  <r>
    <s v="Munger"/>
    <s v="24-30 Apr"/>
    <n v="1007"/>
    <s v="Araria"/>
    <x v="239"/>
    <s v="Gomukh Gogri VLC"/>
    <s v="vlc"/>
    <s v="Indirect"/>
    <n v="160.70000000000002"/>
    <n v="4920.17"/>
    <n v="0"/>
    <n v="0"/>
    <n v="0"/>
    <n v="0"/>
    <n v="0"/>
    <n v="0"/>
    <n v="4920.17"/>
    <n v="0"/>
    <n v="0"/>
    <n v="0"/>
    <n v="0"/>
    <n v="497.00756129032254"/>
    <n v="0"/>
    <n v="0"/>
    <n v="0"/>
    <n v="4423.1624387096772"/>
    <n v="0"/>
    <n v="0"/>
    <n v="330.23617685127562"/>
    <n v="22.957142857142859"/>
    <n v="0"/>
    <n v="0"/>
    <m/>
    <s v="Araria"/>
    <m/>
    <n v="0"/>
  </r>
  <r>
    <s v="Munger"/>
    <s v="24-30 Apr"/>
    <n v="1007"/>
    <s v="Araria"/>
    <x v="240"/>
    <s v="Gomukh Sondiha Jay Prakash VLC"/>
    <s v="vlc"/>
    <s v="Indirect"/>
    <n v="421.20000000000005"/>
    <n v="14864.189999999999"/>
    <n v="0"/>
    <n v="0"/>
    <n v="0"/>
    <n v="0"/>
    <n v="0"/>
    <n v="0"/>
    <n v="14864.189999999999"/>
    <n v="0"/>
    <n v="0"/>
    <n v="0"/>
    <n v="0"/>
    <n v="0"/>
    <n v="0"/>
    <n v="0"/>
    <n v="0"/>
    <n v="14864.189999999999"/>
    <n v="0"/>
    <n v="0"/>
    <n v="196.77759601139596"/>
    <n v="60.171428571428578"/>
    <n v="0"/>
    <n v="0"/>
    <m/>
    <s v="Araria"/>
    <m/>
    <n v="0"/>
  </r>
  <r>
    <s v="Munger"/>
    <s v="24-30 Apr"/>
    <n v="1007"/>
    <s v="Araria"/>
    <x v="241"/>
    <s v="Gomukh Bari Chak Gogri"/>
    <s v="MPG"/>
    <s v="Direct"/>
    <n v="211.39999999999998"/>
    <n v="7302.6500000000005"/>
    <n v="211.4"/>
    <n v="8260.0579908000018"/>
    <n v="0"/>
    <n v="0"/>
    <n v="211.4"/>
    <n v="8260.0579908000018"/>
    <n v="7302.6500000000005"/>
    <n v="0"/>
    <n v="0"/>
    <n v="957.40799080000124"/>
    <n v="0"/>
    <n v="0"/>
    <n v="0"/>
    <n v="0"/>
    <n v="0"/>
    <n v="0"/>
    <n v="7303"/>
    <s v="Yes"/>
    <n v="337.56620529801336"/>
    <n v="30.199999999999996"/>
    <n v="-0.13110418694583489"/>
    <n v="1"/>
    <m/>
    <s v="Araria"/>
    <m/>
    <n v="0"/>
  </r>
  <r>
    <s v="Munger"/>
    <s v="24-30 Apr"/>
    <n v="1007"/>
    <s v="Araria"/>
    <x v="242"/>
    <s v="Gomukh Khatha"/>
    <s v="MPG"/>
    <s v="Direct"/>
    <n v="958.09999999999991"/>
    <n v="33876.11"/>
    <n v="958.1"/>
    <n v="39712.403788200005"/>
    <n v="0"/>
    <n v="0"/>
    <n v="958.1"/>
    <n v="39712.403788200005"/>
    <n v="33876.11"/>
    <n v="0"/>
    <n v="0"/>
    <n v="5836.2937882000042"/>
    <n v="0"/>
    <n v="0"/>
    <n v="0"/>
    <n v="33876"/>
    <n v="0"/>
    <n v="0"/>
    <n v="0"/>
    <n v="0"/>
    <n v="0"/>
    <n v="0"/>
    <n v="-0.17228347021544102"/>
    <n v="1"/>
    <m/>
    <s v="Araria"/>
    <m/>
    <n v="0"/>
  </r>
  <r>
    <s v="Munger"/>
    <s v="24-30 Apr"/>
    <n v="1055"/>
    <s v="Matihani"/>
    <x v="243"/>
    <s v="Chak Punervas"/>
    <s v="vlc"/>
    <s v="Indirect"/>
    <n v="661.40000000000009"/>
    <n v="24531.31"/>
    <n v="0"/>
    <n v="0"/>
    <n v="0"/>
    <n v="0"/>
    <n v="0"/>
    <n v="0"/>
    <n v="24531.31"/>
    <n v="0"/>
    <n v="0"/>
    <n v="0"/>
    <n v="0"/>
    <n v="0"/>
    <n v="0"/>
    <n v="0"/>
    <n v="0"/>
    <n v="24531.31"/>
    <n v="0"/>
    <n v="0"/>
    <n v="28.633461324463212"/>
    <n v="94.485714285714295"/>
    <n v="0"/>
    <n v="0"/>
    <m/>
    <s v="Matihani"/>
    <m/>
    <n v="0"/>
  </r>
  <r>
    <s v="Munger"/>
    <s v="24-30 Apr"/>
    <n v="1008"/>
    <s v="Teghra"/>
    <x v="244"/>
    <s v="Labherchak"/>
    <s v="vlc"/>
    <s v="Indirect"/>
    <n v="245.8"/>
    <n v="8839.2800000000007"/>
    <n v="0"/>
    <n v="0"/>
    <n v="0"/>
    <n v="0"/>
    <n v="0"/>
    <n v="0"/>
    <n v="8839.2800000000007"/>
    <n v="0"/>
    <n v="0"/>
    <n v="0"/>
    <n v="0"/>
    <n v="51.582067741934864"/>
    <n v="0"/>
    <n v="0"/>
    <n v="0"/>
    <n v="8787.6979322580664"/>
    <n v="0"/>
    <n v="0"/>
    <n v="326.67217054515868"/>
    <n v="35.114285714285714"/>
    <n v="0"/>
    <n v="0"/>
    <m/>
    <s v="Teghra"/>
    <m/>
    <n v="0"/>
  </r>
  <r>
    <s v="Munger"/>
    <s v="24-30 Apr"/>
    <n v="1008"/>
    <s v="Teghra"/>
    <x v="245"/>
    <s v="Paspura"/>
    <s v="vlc"/>
    <s v="Indirect"/>
    <n v="178"/>
    <n v="6134.5399999999991"/>
    <n v="0"/>
    <n v="0"/>
    <n v="0"/>
    <n v="0"/>
    <n v="0"/>
    <n v="0"/>
    <n v="6134.5399999999991"/>
    <n v="0"/>
    <n v="0"/>
    <n v="0"/>
    <n v="0"/>
    <n v="374.53690645161271"/>
    <n v="0"/>
    <n v="0"/>
    <n v="0"/>
    <n v="5760.0030935483865"/>
    <n v="0"/>
    <n v="0"/>
    <n v="359.80111011235954"/>
    <n v="25.428571428571427"/>
    <n v="0"/>
    <n v="0"/>
    <m/>
    <s v="Teghra"/>
    <m/>
    <n v="0"/>
  </r>
  <r>
    <s v="Munger"/>
    <s v="24-30 Apr"/>
    <n v="1008"/>
    <s v="Teghra"/>
    <x v="246"/>
    <s v="Gomukh Godhna"/>
    <s v="vlc"/>
    <s v="Indirect"/>
    <n v="68.600000000000009"/>
    <n v="2515.23"/>
    <n v="0"/>
    <n v="0"/>
    <n v="0"/>
    <n v="0"/>
    <n v="0"/>
    <n v="0"/>
    <n v="2515.23"/>
    <n v="0"/>
    <n v="0"/>
    <n v="0"/>
    <n v="0"/>
    <n v="97.446638709677401"/>
    <n v="0"/>
    <n v="0"/>
    <n v="0"/>
    <n v="2417.7833612903228"/>
    <n v="0"/>
    <n v="0"/>
    <n v="463.00764489795921"/>
    <n v="9.8000000000000007"/>
    <n v="0"/>
    <n v="0"/>
    <m/>
    <s v="Teghra"/>
    <m/>
    <n v="0"/>
  </r>
  <r>
    <s v="Munger"/>
    <s v="24-30 Apr"/>
    <n v="1008"/>
    <s v="Teghra"/>
    <x v="247"/>
    <s v="Gomukh Sihma 2"/>
    <s v="vlc"/>
    <s v="Indirect"/>
    <n v="286.45"/>
    <n v="9238.8799999999992"/>
    <n v="0"/>
    <n v="0"/>
    <n v="0"/>
    <n v="0"/>
    <n v="0"/>
    <n v="0"/>
    <n v="9238.8799999999992"/>
    <n v="0"/>
    <n v="0"/>
    <n v="0"/>
    <n v="0"/>
    <n v="0"/>
    <n v="0"/>
    <n v="0"/>
    <n v="0"/>
    <n v="9238.8799999999992"/>
    <n v="0"/>
    <n v="0"/>
    <n v="266.76479832431488"/>
    <n v="40.921428571428571"/>
    <n v="0"/>
    <n v="0"/>
    <m/>
    <s v="Teghra"/>
    <m/>
    <n v="0"/>
  </r>
  <r>
    <s v="Munger"/>
    <s v="24-30 Apr"/>
    <n v="1008"/>
    <s v="Teghra"/>
    <x v="248"/>
    <s v="Gomukh ID Marsaito"/>
    <s v="vlc"/>
    <s v="Indirect"/>
    <n v="547"/>
    <n v="19514.53"/>
    <n v="0"/>
    <n v="0"/>
    <n v="0"/>
    <n v="0"/>
    <n v="0"/>
    <n v="0"/>
    <n v="19514.53"/>
    <n v="0"/>
    <n v="0"/>
    <n v="0"/>
    <n v="0"/>
    <n v="0"/>
    <n v="0"/>
    <n v="0"/>
    <n v="0"/>
    <n v="19514.53"/>
    <n v="0"/>
    <n v="0"/>
    <n v="109.16720621572215"/>
    <n v="78.142857142857139"/>
    <n v="0"/>
    <n v="0"/>
    <m/>
    <s v="Teghra"/>
    <m/>
    <n v="0"/>
  </r>
  <r>
    <s v="Munger"/>
    <s v="24-30 Apr"/>
    <n v="1008"/>
    <s v="Teghra"/>
    <x v="249"/>
    <s v="Gomukh ID Akashpur-2"/>
    <s v="vlc"/>
    <s v="Indirect"/>
    <n v="38.85"/>
    <n v="1323.62"/>
    <n v="0"/>
    <n v="0"/>
    <n v="0"/>
    <n v="0"/>
    <n v="0"/>
    <n v="0"/>
    <n v="1323.62"/>
    <n v="0"/>
    <n v="0"/>
    <n v="0"/>
    <n v="0"/>
    <n v="1324"/>
    <n v="0"/>
    <n v="0"/>
    <n v="0"/>
    <n v="-0.38000000000010914"/>
    <n v="0"/>
    <s v="Release1"/>
    <n v="450.50778018018013"/>
    <n v="5.55"/>
    <n v="0"/>
    <n v="0"/>
    <m/>
    <s v="Teghra"/>
    <m/>
    <n v="0"/>
  </r>
  <r>
    <s v="Munger"/>
    <s v="24-30 Apr"/>
    <n v="1008"/>
    <s v="Teghra"/>
    <x v="250"/>
    <s v="Gomukh ID Akashpur"/>
    <s v="vlc"/>
    <s v="Indirect"/>
    <n v="323.90000000000003"/>
    <n v="12230.57"/>
    <n v="0"/>
    <n v="0"/>
    <n v="0"/>
    <n v="0"/>
    <n v="0"/>
    <n v="0"/>
    <n v="12230.57"/>
    <n v="0"/>
    <n v="0"/>
    <n v="0"/>
    <n v="0"/>
    <n v="288.91101290322604"/>
    <n v="0"/>
    <n v="0"/>
    <n v="0"/>
    <n v="11941.658987096773"/>
    <n v="0"/>
    <n v="0"/>
    <n v="284.03318166100644"/>
    <n v="46.271428571428579"/>
    <n v="0"/>
    <n v="0"/>
    <m/>
    <s v="Teghra"/>
    <m/>
    <n v="0"/>
  </r>
  <r>
    <s v="Munger"/>
    <s v="24-30 Apr"/>
    <n v="1008"/>
    <s v="Teghra"/>
    <x v="252"/>
    <s v="GomukhBariyahi Chanan"/>
    <s v="MPG"/>
    <s v="Direct"/>
    <n v="885.85"/>
    <n v="31037.739999999998"/>
    <n v="883.19999999999993"/>
    <n v="32004.584115570004"/>
    <n v="0.79999999999999993"/>
    <n v="27.483255360000001"/>
    <n v="883.99999999999989"/>
    <n v="32032.067370930003"/>
    <n v="31037.739999999998"/>
    <n v="0"/>
    <n v="27.483255360000001"/>
    <n v="994.32737093000469"/>
    <n v="0"/>
    <n v="2833.8328199999992"/>
    <n v="0"/>
    <n v="28176"/>
    <n v="0"/>
    <n v="0"/>
    <n v="0"/>
    <n v="0"/>
    <n v="0"/>
    <n v="0"/>
    <n v="-3.2036075143680072E-2"/>
    <n v="6"/>
    <m/>
    <s v="Teghra"/>
    <m/>
    <n v="0"/>
  </r>
  <r>
    <s v="Munger"/>
    <s v="24-30 Apr"/>
    <n v="1008"/>
    <s v="Teghra"/>
    <x v="253"/>
    <s v="GomukhGehuni"/>
    <s v="MPG"/>
    <s v="Direct"/>
    <n v="90.90000000000002"/>
    <n v="3222.2800000000007"/>
    <n v="98.8"/>
    <n v="3480.2718591960002"/>
    <n v="1.2"/>
    <n v="41.008289256000005"/>
    <n v="100"/>
    <n v="3521.280148452"/>
    <n v="3222.2800000000007"/>
    <n v="0"/>
    <n v="41.008289256000005"/>
    <n v="299.00014845199939"/>
    <n v="0"/>
    <n v="116.63977500000004"/>
    <n v="0"/>
    <n v="3065"/>
    <n v="0"/>
    <n v="0"/>
    <n v="0"/>
    <n v="0"/>
    <n v="431.83514807480742"/>
    <n v="12.985714285714289"/>
    <n v="-9.2791485672256702E-2"/>
    <n v="5"/>
    <m/>
    <s v="Teghra"/>
    <m/>
    <n v="0"/>
  </r>
  <r>
    <s v="Munger"/>
    <s v="24-30 Apr"/>
    <n v="1008"/>
    <s v="Teghra"/>
    <x v="254"/>
    <s v="Gomukh Bakhatpur"/>
    <s v="MPG"/>
    <s v="Direct"/>
    <n v="241.64999999999998"/>
    <n v="9972.33"/>
    <n v="238.65999999999997"/>
    <n v="9869.4724677560916"/>
    <n v="4.13"/>
    <n v="159.40733074200003"/>
    <n v="242.78999999999996"/>
    <n v="10028.879798498092"/>
    <n v="9972.33"/>
    <n v="0"/>
    <n v="159.40733074200003"/>
    <n v="56.549798498092059"/>
    <n v="0"/>
    <n v="0"/>
    <n v="0"/>
    <n v="9813"/>
    <n v="0"/>
    <n v="0"/>
    <n v="0"/>
    <s v="Release1"/>
    <n v="378.30063774053389"/>
    <n v="34.521428571428565"/>
    <n v="-5.6706705953465299E-3"/>
    <n v="6"/>
    <m/>
    <s v="Teghra"/>
    <m/>
    <n v="0"/>
  </r>
  <r>
    <s v="Munger"/>
    <s v="24-30 Apr"/>
    <n v="1008"/>
    <s v="Teghra"/>
    <x v="256"/>
    <s v="Gomukh Bishanpur"/>
    <s v="MPG"/>
    <s v="Direct"/>
    <n v="761.55"/>
    <n v="26984.94"/>
    <n v="782.85000000000014"/>
    <n v="29537.370802657191"/>
    <n v="14.85"/>
    <n v="573.08235692400012"/>
    <n v="797.70000000000016"/>
    <n v="30110.453159581193"/>
    <n v="26984.94"/>
    <n v="0"/>
    <n v="573.08235692400012"/>
    <n v="3125.5131595811945"/>
    <n v="0"/>
    <n v="0"/>
    <n v="0"/>
    <n v="26412"/>
    <n v="0"/>
    <n v="0"/>
    <n v="0"/>
    <s v="Release1"/>
    <n v="0"/>
    <n v="0"/>
    <n v="-0.11582435090021304"/>
    <n v="25"/>
    <m/>
    <s v="Teghra"/>
    <m/>
    <n v="0"/>
  </r>
  <r>
    <s v="Munger"/>
    <s v="24-30 Apr"/>
    <n v="1008"/>
    <s v="Teghra"/>
    <x v="257"/>
    <s v="GOMUKH BEGAMSARAI"/>
    <s v="MPG"/>
    <s v="Direct"/>
    <n v="283.64999999999998"/>
    <n v="11738.63"/>
    <n v="257.48999999999995"/>
    <n v="11304.0129955227"/>
    <n v="24.719999999999995"/>
    <n v="1071.0923569023503"/>
    <n v="282.20999999999992"/>
    <n v="12375.105352425051"/>
    <n v="11738.63"/>
    <n v="0"/>
    <n v="41.294497196270008"/>
    <n v="636.47535242505182"/>
    <n v="0"/>
    <n v="527.71982459016454"/>
    <n v="0"/>
    <n v="10139"/>
    <n v="1030"/>
    <n v="0"/>
    <n v="1"/>
    <n v="0"/>
    <n v="344.60628242552451"/>
    <n v="40.521428571428565"/>
    <n v="-5.4220582165470065E-2"/>
    <n v="5"/>
    <m/>
    <s v="Teghra"/>
    <m/>
    <n v="0"/>
  </r>
  <r>
    <s v="Munger"/>
    <s v="24-30 Apr"/>
    <n v="1008"/>
    <s v="Teghra"/>
    <x v="258"/>
    <s v="Hasanpur - Abhijeet"/>
    <s v="vlc"/>
    <s v="Indirect"/>
    <n v="15.85"/>
    <n v="535.57000000000005"/>
    <n v="0"/>
    <n v="0"/>
    <n v="0"/>
    <n v="0"/>
    <n v="0"/>
    <n v="0"/>
    <n v="535.57000000000005"/>
    <n v="0"/>
    <n v="0"/>
    <n v="0"/>
    <n v="0"/>
    <n v="536"/>
    <n v="0"/>
    <n v="0"/>
    <n v="0"/>
    <n v="-0.42999999999994998"/>
    <n v="0"/>
    <s v="Release1"/>
    <n v="462.34727507886441"/>
    <n v="2.2642857142857142"/>
    <n v="0"/>
    <n v="0"/>
    <m/>
    <s v="Teghra"/>
    <m/>
    <n v="0"/>
  </r>
  <r>
    <s v="Munger"/>
    <s v="24-30 Apr"/>
    <n v="1008"/>
    <s v="Teghra"/>
    <x v="259"/>
    <s v="Adharpur - Manish"/>
    <s v="vlc"/>
    <s v="Indirect"/>
    <n v="646.5"/>
    <n v="25724.989999999998"/>
    <n v="0"/>
    <n v="0"/>
    <n v="0"/>
    <n v="0"/>
    <n v="0"/>
    <n v="0"/>
    <n v="25724.989999999998"/>
    <n v="0"/>
    <n v="0"/>
    <n v="0"/>
    <n v="0"/>
    <n v="74.713209677418831"/>
    <n v="0"/>
    <n v="0"/>
    <n v="0"/>
    <n v="25650.276790322579"/>
    <n v="0"/>
    <n v="0"/>
    <n v="42.576549574632608"/>
    <n v="92.357142857142861"/>
    <n v="0"/>
    <n v="0"/>
    <m/>
    <s v="Teghra"/>
    <m/>
    <n v="0"/>
  </r>
  <r>
    <s v="Munger"/>
    <s v="24-30 Apr"/>
    <n v="1008"/>
    <s v="Teghra"/>
    <x v="260"/>
    <s v="Rani - Surender"/>
    <s v="vlc"/>
    <s v="Indirect"/>
    <n v="117.15"/>
    <n v="4771.09"/>
    <n v="0"/>
    <n v="0"/>
    <n v="0"/>
    <n v="0"/>
    <n v="0"/>
    <n v="0"/>
    <n v="4771.09"/>
    <n v="0"/>
    <n v="0"/>
    <n v="0"/>
    <n v="0"/>
    <n v="0"/>
    <n v="0"/>
    <n v="0"/>
    <n v="0"/>
    <n v="4771.09"/>
    <n v="0"/>
    <n v="0"/>
    <n v="474.74687264191198"/>
    <n v="16.735714285714288"/>
    <n v="0"/>
    <n v="0"/>
    <m/>
    <s v="Teghra"/>
    <m/>
    <n v="0"/>
  </r>
  <r>
    <s v="Munger"/>
    <s v="24-30 Apr"/>
    <n v="1008"/>
    <s v="Teghra"/>
    <x v="261"/>
    <s v="Gangaprasad - Prashant"/>
    <s v="vlc"/>
    <s v="Indirect"/>
    <n v="91.05"/>
    <n v="3103.7599999999998"/>
    <n v="0"/>
    <n v="0"/>
    <n v="0"/>
    <n v="0"/>
    <n v="0"/>
    <n v="0"/>
    <n v="3103.7599999999998"/>
    <n v="0"/>
    <n v="0"/>
    <n v="0"/>
    <n v="0"/>
    <n v="1077.3265064516127"/>
    <n v="0"/>
    <n v="0"/>
    <n v="0"/>
    <n v="2026.4334935483871"/>
    <n v="0"/>
    <n v="0"/>
    <n v="415.16411905546403"/>
    <n v="13.007142857142856"/>
    <n v="0"/>
    <n v="0"/>
    <m/>
    <s v="Teghra"/>
    <m/>
    <n v="0"/>
  </r>
  <r>
    <s v="Munger"/>
    <s v="24-30 Apr"/>
    <n v="1008"/>
    <s v="Teghra"/>
    <x v="262"/>
    <s v="GOMUKH RANI 3"/>
    <s v="MPG"/>
    <s v="Direct"/>
    <n v="187.25"/>
    <n v="7904.7699999999995"/>
    <n v="190.09000000000003"/>
    <n v="7793.6144367135294"/>
    <n v="1.48"/>
    <n v="62.037955806750006"/>
    <n v="191.57000000000002"/>
    <n v="7855.6523925202791"/>
    <n v="7855.6523925202791"/>
    <n v="0"/>
    <n v="62.037955806750006"/>
    <n v="0"/>
    <n v="0"/>
    <n v="124.40086721311455"/>
    <n v="0"/>
    <n v="7669"/>
    <n v="0"/>
    <n v="0"/>
    <n v="49"/>
    <n v="0"/>
    <n v="432.91544112149535"/>
    <n v="26.75"/>
    <n v="6.2136668719925299E-3"/>
    <n v="6"/>
    <m/>
    <s v="Teghra"/>
    <m/>
    <n v="0"/>
  </r>
  <r>
    <s v="Munger"/>
    <s v="24-30 Apr"/>
    <n v="1008"/>
    <s v="Teghra"/>
    <x v="263"/>
    <s v="GOMUKH NONPUR"/>
    <s v="MPG"/>
    <s v="Direct"/>
    <n v="566.85"/>
    <n v="20698.18"/>
    <n v="568.68999999999994"/>
    <n v="23191.149150180005"/>
    <n v="1.4200000000000002"/>
    <n v="57.966753240000003"/>
    <n v="570.1099999999999"/>
    <n v="23249.115903420006"/>
    <n v="20698.18"/>
    <n v="0"/>
    <n v="57.966753240000003"/>
    <n v="2550.9359034200061"/>
    <n v="0"/>
    <n v="0"/>
    <n v="0"/>
    <n v="20640"/>
    <n v="0"/>
    <n v="0"/>
    <n v="0"/>
    <n v="0"/>
    <n v="97.237811308106188"/>
    <n v="80.978571428571428"/>
    <n v="-0.12324445450856095"/>
    <n v="5"/>
    <m/>
    <s v="Teghra"/>
    <m/>
    <n v="0"/>
  </r>
  <r>
    <s v="Munger"/>
    <s v="24-30 Apr"/>
    <n v="1008"/>
    <s v="Teghra"/>
    <x v="264"/>
    <s v="GOMUKH FATEHA"/>
    <s v="MPG"/>
    <s v="Direct"/>
    <n v="378.5"/>
    <n v="12839.8"/>
    <n v="369.51000000000005"/>
    <n v="13053.554579385904"/>
    <n v="0"/>
    <n v="0"/>
    <n v="369.51000000000005"/>
    <n v="13053.554579385904"/>
    <n v="12839.8"/>
    <n v="0"/>
    <n v="0"/>
    <n v="213.75457938590444"/>
    <n v="0"/>
    <n v="0"/>
    <n v="0"/>
    <n v="12840"/>
    <n v="0"/>
    <n v="0"/>
    <n v="0"/>
    <n v="0"/>
    <n v="218.12394715984149"/>
    <n v="54.071428571428569"/>
    <n v="-1.6647812223391678E-2"/>
    <n v="4"/>
    <m/>
    <s v="Teghra"/>
    <m/>
    <n v="0"/>
  </r>
  <r>
    <s v="Munger"/>
    <s v="24-30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294.34999999999997"/>
    <n v="10386.09"/>
    <n v="255.54000000000002"/>
    <n v="9932.3567968679999"/>
    <n v="40.06"/>
    <n v="1575.8424633600002"/>
    <n v="295.60000000000002"/>
    <n v="11508.199260228001"/>
    <n v="10386.09"/>
    <n v="0"/>
    <n v="0"/>
    <n v="1122.1092602280005"/>
    <n v="0"/>
    <n v="524.7779526315785"/>
    <n v="0"/>
    <n v="8285"/>
    <n v="1576"/>
    <n v="0"/>
    <n v="0"/>
    <n v="0"/>
    <n v="286.26583376932234"/>
    <n v="42.05"/>
    <n v="-0.1080396241731008"/>
    <n v="8"/>
    <m/>
    <s v="Teghra"/>
    <m/>
    <n v="0"/>
  </r>
  <r>
    <s v="Munger"/>
    <s v="24-30 Apr"/>
    <n v="1008"/>
    <s v="Teghra"/>
    <x v="267"/>
    <s v="GOMUKH ROOPNAGAR"/>
    <s v="MPG"/>
    <s v="Direct"/>
    <n v="277.3"/>
    <n v="9283.07"/>
    <n v="277"/>
    <n v="9273.5772584400002"/>
    <n v="0"/>
    <n v="0"/>
    <n v="277"/>
    <n v="9273.5772584400002"/>
    <n v="9273.5772584400002"/>
    <n v="0"/>
    <n v="0"/>
    <n v="0"/>
    <n v="0"/>
    <n v="0"/>
    <n v="0"/>
    <n v="9274"/>
    <n v="0"/>
    <n v="0"/>
    <n v="9"/>
    <n v="0"/>
    <n v="283.01144529390552"/>
    <n v="39.614285714285714"/>
    <n v="1.0225864460786742E-3"/>
    <n v="1"/>
    <m/>
    <s v="Teghra"/>
    <m/>
    <n v="0"/>
  </r>
  <r>
    <s v="Munger"/>
    <s v="24-30 Apr"/>
    <n v="1008"/>
    <s v="Teghra"/>
    <x v="268"/>
    <s v="GOMUKH SIBUTOL 2"/>
    <s v="MPG"/>
    <s v="Direct"/>
    <n v="193.79999999999998"/>
    <n v="7619.32"/>
    <n v="192"/>
    <n v="7527.3732864000012"/>
    <n v="0"/>
    <n v="0"/>
    <n v="192"/>
    <n v="7527.3732864000012"/>
    <n v="7527.3732864000012"/>
    <n v="0"/>
    <n v="0"/>
    <n v="0"/>
    <n v="0"/>
    <n v="0"/>
    <n v="0"/>
    <n v="7527"/>
    <n v="0"/>
    <n v="0"/>
    <n v="92"/>
    <n v="0"/>
    <n v="398.02887347781223"/>
    <n v="27.685714285714283"/>
    <n v="1.2067574744202695E-2"/>
    <n v="1"/>
    <m/>
    <s v="Teghra"/>
    <m/>
    <n v="0"/>
  </r>
  <r>
    <s v="Munger"/>
    <s v="24-30 Apr"/>
    <n v="1008"/>
    <s v="Teghra"/>
    <x v="270"/>
    <s v="Gomukh Harichak"/>
    <s v="MPG"/>
    <s v="Direct"/>
    <n v="83.55"/>
    <n v="2943.2599999999998"/>
    <n v="82"/>
    <n v="2923.6436341199997"/>
    <n v="0"/>
    <n v="0"/>
    <n v="82"/>
    <n v="2923.6436341199997"/>
    <n v="2923.6436341199997"/>
    <n v="0"/>
    <n v="0"/>
    <n v="0"/>
    <n v="0"/>
    <n v="48.414119999999969"/>
    <n v="0"/>
    <n v="2875"/>
    <n v="0"/>
    <n v="0"/>
    <n v="20"/>
    <n v="0"/>
    <n v="434.32019796529022"/>
    <n v="11.935714285714285"/>
    <n v="6.6648430244015495E-3"/>
    <n v="1"/>
    <m/>
    <s v="Teghra"/>
    <m/>
    <n v="0"/>
  </r>
  <r>
    <s v="Munger"/>
    <s v="24-30 Apr"/>
    <n v="1008"/>
    <s v="Teghra"/>
    <x v="272"/>
    <s v="RAJ BHARDWAJ"/>
    <s v="vlc"/>
    <s v="Indirect"/>
    <n v="85.2"/>
    <n v="3216.44"/>
    <n v="0"/>
    <n v="0"/>
    <n v="0"/>
    <n v="0"/>
    <n v="0"/>
    <n v="0"/>
    <n v="3216.44"/>
    <n v="0"/>
    <n v="0"/>
    <n v="0"/>
    <n v="0"/>
    <n v="0"/>
    <n v="0"/>
    <n v="0"/>
    <n v="0"/>
    <n v="3216.44"/>
    <n v="0"/>
    <n v="0"/>
    <n v="464.19420469483561"/>
    <n v="12.171428571428573"/>
    <n v="0"/>
    <n v="0"/>
    <m/>
    <s v="Teghra"/>
    <m/>
    <n v="0"/>
  </r>
  <r>
    <s v="Munger"/>
    <s v="24-30 Apr"/>
    <n v="1008"/>
    <s v="Teghra"/>
    <x v="273"/>
    <s v="Gomukh Amarpur"/>
    <s v="MPG"/>
    <s v="Direct"/>
    <n v="423.45000000000005"/>
    <n v="14951.97"/>
    <n v="429.21999999999997"/>
    <n v="14850.972570268143"/>
    <n v="1.01"/>
    <n v="37.176491761200005"/>
    <n v="430.22999999999996"/>
    <n v="14888.149062029343"/>
    <n v="14888.149062029343"/>
    <n v="0"/>
    <n v="37.176491761200005"/>
    <n v="0"/>
    <n v="0"/>
    <n v="665.33"/>
    <n v="0"/>
    <n v="14186"/>
    <n v="0"/>
    <n v="0"/>
    <n v="63"/>
    <s v="Release1"/>
    <n v="195.29896344314557"/>
    <n v="60.492857142857147"/>
    <n v="4.2683966039696987E-3"/>
    <n v="5"/>
    <m/>
    <s v="Teghra"/>
    <m/>
    <n v="0"/>
  </r>
  <r>
    <s v="Munger"/>
    <s v="24-30 Apr"/>
    <n v="1008"/>
    <s v="Teghra"/>
    <x v="275"/>
    <s v="Gomukh Barauni 3"/>
    <s v="MPG"/>
    <s v="Direct"/>
    <n v="102.25"/>
    <n v="3868.1000000000004"/>
    <n v="101"/>
    <n v="3826.3933224000002"/>
    <n v="0"/>
    <n v="0"/>
    <n v="101"/>
    <n v="3826.3933224000002"/>
    <n v="3826.3933224000002"/>
    <n v="0"/>
    <n v="0"/>
    <n v="0"/>
    <n v="0"/>
    <n v="112.65641612903221"/>
    <n v="0"/>
    <n v="3714"/>
    <n v="0"/>
    <n v="0"/>
    <n v="41"/>
    <n v="0"/>
    <n v="452.25560391198042"/>
    <n v="14.607142857142858"/>
    <n v="1.0782212869367426E-2"/>
    <n v="1"/>
    <m/>
    <s v="Teghra"/>
    <m/>
    <n v="0"/>
  </r>
  <r>
    <s v="Munger"/>
    <s v="24-30 Apr"/>
    <n v="1008"/>
    <s v="Teghra"/>
    <x v="276"/>
    <s v="CHANDAN YADAV"/>
    <s v="vlc"/>
    <s v="Indirect"/>
    <n v="100.45"/>
    <n v="3366.3"/>
    <n v="0"/>
    <n v="0"/>
    <n v="0"/>
    <n v="0"/>
    <n v="0"/>
    <n v="0"/>
    <n v="3366.3"/>
    <n v="0"/>
    <n v="0"/>
    <n v="0"/>
    <n v="0"/>
    <n v="965.61901935483877"/>
    <n v="0"/>
    <n v="0"/>
    <n v="0"/>
    <n v="2400.6809806451615"/>
    <n v="0"/>
    <n v="0"/>
    <n v="401.84473170731718"/>
    <n v="14.35"/>
    <n v="0"/>
    <n v="0"/>
    <m/>
    <s v="Teghra"/>
    <m/>
    <n v="0"/>
  </r>
  <r>
    <s v="Munger"/>
    <s v="24-30 Apr"/>
    <n v="1008"/>
    <s v="Teghra"/>
    <x v="277"/>
    <s v="DINESH YADAV"/>
    <s v="vlc"/>
    <s v="Indirect"/>
    <n v="280.05"/>
    <n v="10302.759999999998"/>
    <n v="0"/>
    <n v="0"/>
    <n v="0"/>
    <n v="0"/>
    <n v="0"/>
    <n v="0"/>
    <n v="10302.759999999998"/>
    <n v="0"/>
    <n v="0"/>
    <n v="0"/>
    <n v="0"/>
    <n v="90.517064516129153"/>
    <n v="0"/>
    <n v="0"/>
    <n v="0"/>
    <n v="10212.24293548387"/>
    <n v="0"/>
    <n v="0"/>
    <n v="308.99082749509012"/>
    <n v="40.00714285714286"/>
    <n v="0"/>
    <n v="0"/>
    <m/>
    <s v="Teghra"/>
    <m/>
    <n v="0"/>
  </r>
  <r>
    <s v="Munger"/>
    <s v="24-30 Apr"/>
    <n v="1008"/>
    <s v="Teghra"/>
    <x v="278"/>
    <s v="ANITA DEVI"/>
    <s v="vlc"/>
    <s v="Indirect"/>
    <n v="54.849999999999994"/>
    <n v="1931.94"/>
    <n v="0"/>
    <n v="0"/>
    <n v="0"/>
    <n v="0"/>
    <n v="0"/>
    <n v="0"/>
    <n v="1931.94"/>
    <n v="0"/>
    <n v="0"/>
    <n v="0"/>
    <n v="0"/>
    <n v="86.18010000000001"/>
    <n v="0"/>
    <n v="0"/>
    <n v="0"/>
    <n v="1845.7599"/>
    <n v="0"/>
    <n v="0"/>
    <n v="454.47259471285332"/>
    <n v="7.8357142857142845"/>
    <n v="0"/>
    <n v="0"/>
    <m/>
    <s v="Teghra"/>
    <m/>
    <n v="0"/>
  </r>
  <r>
    <s v="Munger"/>
    <s v="24-30 Apr"/>
    <n v="1008"/>
    <s v="Teghra"/>
    <x v="280"/>
    <s v="GOMUKH GEHUNI 2"/>
    <s v="MPG"/>
    <s v="Direct"/>
    <n v="405.45"/>
    <n v="14715.96"/>
    <n v="402.95000000000005"/>
    <n v="15130.471989877204"/>
    <n v="0.64"/>
    <n v="24.266236896000002"/>
    <n v="403.59000000000003"/>
    <n v="15154.738226773203"/>
    <n v="14715.96"/>
    <n v="0"/>
    <n v="24.266236896000002"/>
    <n v="438.77822677320364"/>
    <n v="0"/>
    <n v="0"/>
    <n v="0"/>
    <n v="14692"/>
    <n v="0"/>
    <n v="0"/>
    <n v="0"/>
    <n v="0"/>
    <n v="213.81605712171663"/>
    <n v="57.921428571428571"/>
    <n v="-2.9816486778518267E-2"/>
    <n v="3"/>
    <m/>
    <s v="Teghra"/>
    <m/>
    <n v="0"/>
  </r>
  <r>
    <s v="Munger"/>
    <s v="24-30 Apr"/>
    <n v="1008"/>
    <s v="Teghra"/>
    <x v="281"/>
    <s v="GOMUKH MALHIPUR"/>
    <s v="MPG"/>
    <s v="Direct"/>
    <n v="1138.6999999999998"/>
    <n v="41158.769999999997"/>
    <n v="1154.81"/>
    <n v="40233.803686342202"/>
    <n v="2.11"/>
    <n v="74.675944134000019"/>
    <n v="1156.9199999999998"/>
    <n v="40308.479630476199"/>
    <n v="40308.479630476199"/>
    <n v="0"/>
    <n v="74.675944134000019"/>
    <n v="0"/>
    <n v="0"/>
    <n v="187.18"/>
    <n v="0"/>
    <n v="40046"/>
    <n v="0"/>
    <n v="0"/>
    <n v="851"/>
    <s v="Release1"/>
    <n v="0"/>
    <n v="0"/>
    <n v="2.0658789597546242E-2"/>
    <n v="8"/>
    <m/>
    <s v="Teghra"/>
    <m/>
    <n v="0"/>
  </r>
  <r>
    <s v="Munger"/>
    <s v="24-30 Apr"/>
    <n v="1008"/>
    <s v="Teghra"/>
    <x v="283"/>
    <s v="Rasalpur - Durgesh Kumar"/>
    <s v="vlc"/>
    <s v="Indirect"/>
    <n v="90.85"/>
    <n v="2811.26"/>
    <n v="0"/>
    <n v="0"/>
    <n v="0"/>
    <n v="0"/>
    <n v="0"/>
    <n v="0"/>
    <n v="2811.26"/>
    <n v="0"/>
    <n v="0"/>
    <n v="0"/>
    <n v="0"/>
    <n v="579.65210322580674"/>
    <n v="0"/>
    <n v="0"/>
    <n v="0"/>
    <n v="2231.6078967741933"/>
    <n v="0"/>
    <n v="0"/>
    <n v="376.99043015960382"/>
    <n v="12.978571428571428"/>
    <n v="0"/>
    <n v="0"/>
    <m/>
    <s v="Teghra"/>
    <m/>
    <n v="0"/>
  </r>
  <r>
    <s v="Munger"/>
    <s v="24-30 Apr"/>
    <n v="1008"/>
    <s v="Teghra"/>
    <x v="284"/>
    <s v="Barauni Bariyarpur"/>
    <s v="MPG"/>
    <s v="Direct"/>
    <n v="618.55000000000007"/>
    <n v="21873.47"/>
    <n v="615"/>
    <n v="21919.281912000002"/>
    <n v="0"/>
    <n v="0"/>
    <n v="615"/>
    <n v="21919.281912000002"/>
    <n v="21873.47"/>
    <n v="0"/>
    <n v="0"/>
    <n v="45.81191200000103"/>
    <n v="0"/>
    <n v="0"/>
    <n v="0"/>
    <n v="21873"/>
    <n v="0"/>
    <n v="0"/>
    <n v="0"/>
    <n v="0"/>
    <n v="57.605500978093851"/>
    <n v="88.364285714285728"/>
    <n v="-2.0944053229780654E-3"/>
    <n v="1"/>
    <m/>
    <s v="Teghra"/>
    <m/>
    <n v="0"/>
  </r>
  <r>
    <s v="Munger"/>
    <s v="24-30 Apr"/>
    <n v="1008"/>
    <s v="Teghra"/>
    <x v="285"/>
    <s v="Jaynagar"/>
    <s v="MPG"/>
    <s v="Direct"/>
    <n v="148.9"/>
    <n v="5302.8700000000008"/>
    <n v="148"/>
    <n v="5283.9874939500005"/>
    <n v="0"/>
    <n v="0"/>
    <n v="148"/>
    <n v="5283.9874939500005"/>
    <n v="5283.9874939500005"/>
    <n v="0"/>
    <n v="0"/>
    <n v="0"/>
    <n v="0"/>
    <n v="82.51"/>
    <n v="0"/>
    <n v="5201"/>
    <n v="0"/>
    <n v="0"/>
    <n v="19"/>
    <s v="Release1"/>
    <n v="392.53346635325727"/>
    <n v="21.271428571428572"/>
    <n v="3.5608087790197193E-3"/>
    <n v="2"/>
    <m/>
    <s v="Teghra"/>
    <m/>
    <n v="0"/>
  </r>
  <r>
    <s v="Munger"/>
    <s v="24-30 Apr"/>
    <n v="1008"/>
    <s v="Teghra"/>
    <x v="286"/>
    <s v="Fateha - Anil Yadav"/>
    <s v="vlc"/>
    <s v="Indirect"/>
    <n v="684.55000000000007"/>
    <n v="22814"/>
    <n v="0"/>
    <n v="0"/>
    <n v="0"/>
    <n v="0"/>
    <n v="0"/>
    <n v="0"/>
    <n v="22814"/>
    <n v="0"/>
    <n v="0"/>
    <n v="0"/>
    <n v="0"/>
    <n v="36.199848387096552"/>
    <n v="0"/>
    <n v="0"/>
    <n v="0"/>
    <n v="22777.800151612904"/>
    <n v="0"/>
    <n v="0"/>
    <n v="10.29804397049149"/>
    <n v="97.792857142857159"/>
    <n v="0"/>
    <n v="0"/>
    <m/>
    <s v="Teghra"/>
    <m/>
    <n v="0"/>
  </r>
  <r>
    <s v="Munger"/>
    <s v="24-30 Apr"/>
    <n v="1008"/>
    <s v="Teghra"/>
    <x v="287"/>
    <s v="Bihat - Chakballi"/>
    <s v="MPG"/>
    <s v="Direct"/>
    <n v="817.25"/>
    <n v="26549.919999999998"/>
    <n v="1105.5999999999999"/>
    <n v="36140.612742432"/>
    <n v="0"/>
    <n v="0"/>
    <n v="1105.5999999999999"/>
    <n v="36140.612742432"/>
    <n v="26549.919999999998"/>
    <n v="0"/>
    <n v="0"/>
    <n v="9590.692742432002"/>
    <n v="0"/>
    <n v="4247.2204499999989"/>
    <n v="0"/>
    <n v="22303"/>
    <n v="0"/>
    <n v="0"/>
    <n v="0"/>
    <n v="0"/>
    <n v="0"/>
    <n v="0"/>
    <n v="-0.3612324535227226"/>
    <n v="2"/>
    <m/>
    <s v="Teghra"/>
    <m/>
    <n v="0"/>
  </r>
  <r>
    <s v="Munger"/>
    <s v="24-30 Apr"/>
    <n v="1008"/>
    <s v="Teghra"/>
    <x v="288"/>
    <s v="Sibutol- Naya Tola"/>
    <s v="MPG"/>
    <s v="Direct"/>
    <n v="69.95"/>
    <n v="2444.64"/>
    <n v="69.740000000000009"/>
    <n v="2681.5819821120003"/>
    <n v="0"/>
    <n v="0"/>
    <n v="69.740000000000009"/>
    <n v="2681.5819821120003"/>
    <n v="2444.64"/>
    <n v="0"/>
    <n v="0"/>
    <n v="236.94198211200046"/>
    <n v="0"/>
    <n v="52.650509999999912"/>
    <n v="0"/>
    <n v="2392"/>
    <n v="0"/>
    <n v="0"/>
    <n v="0"/>
    <n v="0"/>
    <n v="440.38468391708352"/>
    <n v="9.9928571428571438"/>
    <n v="-9.6923057019438638E-2"/>
    <n v="1"/>
    <m/>
    <s v="Teghra"/>
    <m/>
    <n v="0"/>
  </r>
  <r>
    <s v="Munger"/>
    <s v="24-30 Apr"/>
    <n v="1008"/>
    <s v="Teghra"/>
    <x v="289"/>
    <s v="Rasalpur"/>
    <s v="vlc"/>
    <s v="Indirect"/>
    <n v="145.55000000000001"/>
    <n v="4969.53"/>
    <n v="0"/>
    <n v="0"/>
    <n v="0"/>
    <n v="0"/>
    <n v="0"/>
    <n v="0"/>
    <n v="4969.53"/>
    <n v="0"/>
    <n v="0"/>
    <n v="0"/>
    <n v="0"/>
    <n v="856.90484516129027"/>
    <n v="0"/>
    <n v="0"/>
    <n v="0"/>
    <n v="4112.6251548387099"/>
    <n v="0"/>
    <n v="0"/>
    <n v="378.61297265544482"/>
    <n v="20.792857142857144"/>
    <n v="0"/>
    <n v="0"/>
    <m/>
    <s v="Teghra"/>
    <m/>
    <n v="0"/>
  </r>
  <r>
    <s v="Munger"/>
    <s v="24-30 Apr"/>
    <n v="1065"/>
    <s v="Bachhwara BMC"/>
    <x v="291"/>
    <s v="Samsa"/>
    <s v="vlc"/>
    <s v="Indirect"/>
    <n v="480.3"/>
    <n v="19882.780000000002"/>
    <n v="0"/>
    <n v="0"/>
    <n v="0"/>
    <n v="0"/>
    <n v="0"/>
    <n v="0"/>
    <n v="19882.780000000002"/>
    <n v="0"/>
    <n v="0"/>
    <n v="0"/>
    <n v="0"/>
    <n v="20.002267741935199"/>
    <n v="0"/>
    <n v="0"/>
    <n v="0"/>
    <n v="19862.777732258066"/>
    <n v="0"/>
    <n v="0"/>
    <n v="181.89659654382677"/>
    <n v="68.614285714285714"/>
    <n v="0"/>
    <n v="0"/>
    <m/>
    <s v="Bachhwara BMC"/>
    <m/>
    <n v="0"/>
  </r>
  <r>
    <s v="Munger"/>
    <s v="24-30 Apr"/>
    <n v="1008"/>
    <s v="Teghra"/>
    <x v="292"/>
    <s v="Dahiya"/>
    <s v="vlc"/>
    <s v="Indirect"/>
    <n v="253.70000000000002"/>
    <n v="9508.7999999999993"/>
    <n v="0"/>
    <n v="0"/>
    <n v="0"/>
    <n v="0"/>
    <n v="0"/>
    <n v="0"/>
    <n v="9508.7999999999993"/>
    <n v="0"/>
    <n v="0"/>
    <n v="0"/>
    <n v="0"/>
    <n v="187.82614838709659"/>
    <n v="0"/>
    <n v="0"/>
    <n v="0"/>
    <n v="9320.9738516129019"/>
    <n v="0"/>
    <n v="0"/>
    <n v="334.55084272763094"/>
    <n v="36.242857142857147"/>
    <n v="0"/>
    <n v="0"/>
    <m/>
    <s v="Teghra"/>
    <m/>
    <n v="0"/>
  </r>
  <r>
    <s v="Munger"/>
    <s v="24-30 Apr"/>
    <n v="1008"/>
    <s v="Teghra"/>
    <x v="293"/>
    <s v="Gaura"/>
    <s v="MPG"/>
    <s v="Direct"/>
    <n v="96.4"/>
    <n v="3361.54"/>
    <n v="96"/>
    <n v="3308.7543033600004"/>
    <n v="0"/>
    <n v="0"/>
    <n v="96"/>
    <n v="3308.7543033600004"/>
    <n v="3308.7543033600004"/>
    <n v="0"/>
    <n v="0"/>
    <n v="0"/>
    <n v="0"/>
    <n v="1759.3493672727277"/>
    <n v="0"/>
    <n v="1549"/>
    <n v="0"/>
    <n v="0"/>
    <n v="53"/>
    <n v="0"/>
    <n v="420.95965643153528"/>
    <n v="13.771428571428572"/>
    <n v="1.570283163074053E-2"/>
    <n v="1"/>
    <m/>
    <s v="Teghra"/>
    <m/>
    <n v="0"/>
  </r>
  <r>
    <s v="Munger"/>
    <s v="24-30 Apr"/>
    <n v="1008"/>
    <s v="Teghra"/>
    <x v="294"/>
    <s v="Mukhtiyarpur"/>
    <s v="MPG"/>
    <s v="Direct"/>
    <n v="665.5"/>
    <n v="22833.599999999995"/>
    <n v="714.14"/>
    <n v="28070.51631318"/>
    <n v="0"/>
    <n v="0"/>
    <n v="714.14"/>
    <n v="28070.51631318"/>
    <n v="22833.599999999995"/>
    <n v="0"/>
    <n v="0"/>
    <n v="5236.9163131800051"/>
    <n v="0"/>
    <n v="165.16201967213055"/>
    <n v="0"/>
    <n v="22668"/>
    <n v="0"/>
    <n v="0"/>
    <n v="0"/>
    <s v="Release1"/>
    <n v="23.674205860255451"/>
    <n v="95.071428571428569"/>
    <n v="-0.22935132056180393"/>
    <n v="2"/>
    <m/>
    <s v="Teghra"/>
    <m/>
    <n v="0"/>
  </r>
  <r>
    <s v="Munger"/>
    <s v="24-30 Apr"/>
    <n v="1008"/>
    <s v="Teghra"/>
    <x v="295"/>
    <s v="Gomukh Rudauli-02"/>
    <s v="MPG"/>
    <s v="Direct"/>
    <n v="441.95000000000005"/>
    <n v="16017.32"/>
    <n v="463.63000000000005"/>
    <n v="15430.637603957401"/>
    <n v="8.39"/>
    <n v="268.17379974000005"/>
    <n v="472.02000000000004"/>
    <n v="15698.8114036974"/>
    <n v="15698.8114036974"/>
    <n v="0"/>
    <n v="0"/>
    <n v="0"/>
    <n v="0"/>
    <n v="0"/>
    <n v="0"/>
    <n v="15430"/>
    <n v="268"/>
    <n v="0"/>
    <n v="319"/>
    <n v="0"/>
    <n v="187.04692503676881"/>
    <n v="63.135714285714293"/>
    <n v="1.9885261473367548E-2"/>
    <n v="9"/>
    <m/>
    <s v="Teghra"/>
    <m/>
    <n v="0"/>
  </r>
  <r>
    <s v="Munger"/>
    <s v="24-30 Apr"/>
    <n v="1008"/>
    <s v="Teghra"/>
    <x v="297"/>
    <s v="Gomukh Puranatol Raichiahi"/>
    <s v="MPG"/>
    <s v="Direct"/>
    <n v="607.15"/>
    <n v="22181.71"/>
    <n v="604.6"/>
    <n v="22144.429041174"/>
    <n v="0"/>
    <n v="0"/>
    <n v="604.6"/>
    <n v="22144.429041174"/>
    <n v="22144.429041174"/>
    <n v="0"/>
    <n v="0"/>
    <n v="0"/>
    <n v="0"/>
    <n v="0"/>
    <n v="0"/>
    <n v="22144"/>
    <n v="0"/>
    <n v="0"/>
    <n v="38"/>
    <n v="0"/>
    <n v="67.84391908095202"/>
    <n v="86.73571428571428"/>
    <n v="1.6807071603586389E-3"/>
    <n v="2"/>
    <m/>
    <s v="Teghra"/>
    <m/>
    <n v="0"/>
  </r>
  <r>
    <s v="Munger"/>
    <s v="24-30 Apr"/>
    <n v="1008"/>
    <s v="Teghra"/>
    <x v="298"/>
    <s v="Bihat-Gududaspur"/>
    <s v="MPG"/>
    <s v="Direct"/>
    <n v="249.14999999999995"/>
    <n v="9705.08"/>
    <n v="248"/>
    <n v="9591.9164352000007"/>
    <n v="0"/>
    <n v="0"/>
    <n v="248"/>
    <n v="9591.9164352000007"/>
    <n v="9591.9164352000007"/>
    <n v="0"/>
    <n v="0"/>
    <n v="0"/>
    <n v="0"/>
    <n v="0"/>
    <n v="0"/>
    <n v="9592"/>
    <n v="0"/>
    <n v="0"/>
    <n v="113"/>
    <n v="0"/>
    <n v="351.23703134657853"/>
    <n v="35.592857142857135"/>
    <n v="1.1660240286530272E-2"/>
    <n v="1"/>
    <m/>
    <s v="Teghra"/>
    <m/>
    <n v="0"/>
  </r>
  <r>
    <s v="Munger"/>
    <s v="24-30 Apr"/>
    <n v="1008"/>
    <s v="Teghra"/>
    <x v="299"/>
    <s v="Labharchak-2"/>
    <s v="MPG"/>
    <s v="Direct"/>
    <n v="187.6"/>
    <n v="6775.7699999999986"/>
    <n v="186"/>
    <n v="6874.7564160000002"/>
    <n v="0"/>
    <n v="0"/>
    <n v="186"/>
    <n v="6874.7564160000002"/>
    <n v="6775.7699999999986"/>
    <n v="0"/>
    <n v="0"/>
    <n v="98.986416000001554"/>
    <n v="0"/>
    <n v="0"/>
    <n v="0"/>
    <n v="6776"/>
    <n v="0"/>
    <n v="0"/>
    <n v="0"/>
    <n v="0"/>
    <n v="370.13907761194025"/>
    <n v="26.8"/>
    <n v="-1.4608880761891501E-2"/>
    <n v="1"/>
    <m/>
    <s v="Teghra"/>
    <m/>
    <n v="0"/>
  </r>
  <r>
    <s v="Munger"/>
    <s v="24-30 Apr"/>
    <n v="1009"/>
    <s v="Halsi"/>
    <x v="300"/>
    <s v="POHE"/>
    <s v="vlc"/>
    <s v="Indirect"/>
    <n v="336"/>
    <n v="13942.13"/>
    <n v="0"/>
    <n v="0"/>
    <n v="0"/>
    <n v="0"/>
    <n v="0"/>
    <n v="0"/>
    <n v="13942.13"/>
    <n v="0"/>
    <n v="0"/>
    <n v="0"/>
    <n v="0"/>
    <n v="0"/>
    <n v="0"/>
    <n v="0"/>
    <n v="0"/>
    <n v="13942.13"/>
    <n v="0"/>
    <n v="0"/>
    <n v="302.07948333333337"/>
    <n v="48"/>
    <n v="0"/>
    <n v="0"/>
    <m/>
    <s v="Halsi"/>
    <m/>
    <n v="0"/>
  </r>
  <r>
    <s v="Munger"/>
    <s v="24-30 Apr"/>
    <n v="1009"/>
    <s v="Halsi"/>
    <x v="301"/>
    <s v="AURO"/>
    <s v="MPG"/>
    <s v="Direct"/>
    <n v="1655.3999999999999"/>
    <n v="69721.440000000002"/>
    <n v="1260.1400000000001"/>
    <n v="53393.631856052969"/>
    <n v="396.45"/>
    <n v="16430.378572423029"/>
    <n v="1656.5900000000001"/>
    <n v="69824.010428476002"/>
    <n v="69721.440000000002"/>
    <n v="0"/>
    <n v="491.80387833720005"/>
    <n v="102.57042847599951"/>
    <n v="0"/>
    <n v="0"/>
    <n v="0"/>
    <n v="53290"/>
    <n v="15939"/>
    <n v="0"/>
    <n v="1"/>
    <n v="0"/>
    <n v="0"/>
    <n v="0"/>
    <n v="-1.4711461564190227E-3"/>
    <n v="14"/>
    <m/>
    <s v="Halsi"/>
    <m/>
    <n v="0"/>
  </r>
  <r>
    <s v="Munger"/>
    <s v="24-30 Apr"/>
    <n v="1009"/>
    <s v="Halsi"/>
    <x v="302"/>
    <s v="PARSHAMA"/>
    <s v="MPG"/>
    <s v="Direct"/>
    <n v="128.4"/>
    <n v="4724.4699999999993"/>
    <n v="147.6"/>
    <n v="5665.6409366625012"/>
    <n v="0.8"/>
    <n v="29.252048760000005"/>
    <n v="148.4"/>
    <n v="5694.8929854225016"/>
    <n v="4724.4699999999993"/>
    <n v="0"/>
    <n v="29.252048760000005"/>
    <n v="970.42298542250228"/>
    <n v="0"/>
    <n v="4.6409806451612674"/>
    <n v="0"/>
    <n v="4690"/>
    <n v="0"/>
    <n v="0"/>
    <n v="1"/>
    <n v="0"/>
    <n v="420.63972772585663"/>
    <n v="18.342857142857145"/>
    <n v="-0.20540356599205889"/>
    <n v="4"/>
    <m/>
    <s v="Halsi"/>
    <m/>
    <n v="0"/>
  </r>
  <r>
    <s v="Munger"/>
    <s v="24-30 Apr"/>
    <n v="1009"/>
    <s v="Halsi"/>
    <x v="303"/>
    <s v="PRATAPUR 2"/>
    <s v="vlc"/>
    <s v="Indirect"/>
    <n v="76.2"/>
    <n v="3063.8"/>
    <n v="0"/>
    <n v="0"/>
    <n v="0"/>
    <n v="0"/>
    <n v="0"/>
    <n v="0"/>
    <n v="3063.8"/>
    <n v="0"/>
    <n v="0"/>
    <n v="0"/>
    <n v="0"/>
    <n v="534.80723225806469"/>
    <n v="0"/>
    <n v="0"/>
    <n v="0"/>
    <n v="2528.9927677419355"/>
    <n v="0"/>
    <n v="0"/>
    <n v="501.62688713910762"/>
    <n v="10.885714285714286"/>
    <n v="0"/>
    <n v="0"/>
    <m/>
    <s v="Halsi"/>
    <m/>
    <n v="0"/>
  </r>
  <r>
    <s v="Munger"/>
    <s v="24-30 Apr"/>
    <n v="1009"/>
    <s v="Halsi"/>
    <x v="304"/>
    <s v="BALLOPUR"/>
    <s v="MPG"/>
    <s v="Direct"/>
    <n v="1383.5"/>
    <n v="53105.96"/>
    <n v="1391.4"/>
    <n v="59483.585776222819"/>
    <n v="0"/>
    <n v="0"/>
    <n v="1391.4"/>
    <n v="59483.585776222819"/>
    <n v="53105.96"/>
    <n v="0"/>
    <n v="0"/>
    <n v="6377.6257762228197"/>
    <n v="0"/>
    <n v="0"/>
    <n v="0"/>
    <n v="53106"/>
    <n v="0"/>
    <n v="0"/>
    <n v="0"/>
    <n v="0"/>
    <n v="0"/>
    <n v="0"/>
    <n v="-0.1200924675163168"/>
    <n v="10"/>
    <m/>
    <s v="Halsi"/>
    <m/>
    <n v="0"/>
  </r>
  <r>
    <s v="Munger"/>
    <s v="24-30 Apr"/>
    <n v="1009"/>
    <s v="Halsi"/>
    <x v="305"/>
    <s v="KHAIRMA"/>
    <s v="MPG"/>
    <s v="Direct"/>
    <n v="344.90000000000003"/>
    <n v="12305.41"/>
    <n v="492.5"/>
    <n v="18826.773669000002"/>
    <n v="0"/>
    <n v="0"/>
    <n v="492.5"/>
    <n v="18826.773669000002"/>
    <n v="12305.41"/>
    <n v="0"/>
    <n v="0"/>
    <n v="6521.3636690000021"/>
    <n v="0"/>
    <n v="153.77385000000001"/>
    <n v="0"/>
    <n v="12151"/>
    <n v="0"/>
    <n v="0"/>
    <n v="1"/>
    <n v="0"/>
    <n v="253.38655210205849"/>
    <n v="49.271428571428579"/>
    <n v="-0.52995907239173679"/>
    <n v="1"/>
    <m/>
    <s v="Halsi"/>
    <m/>
    <n v="0"/>
  </r>
  <r>
    <s v="Munger"/>
    <s v="24-30 Apr"/>
    <n v="1009"/>
    <s v="Halsi"/>
    <x v="306"/>
    <s v="MAHASONI"/>
    <s v="MPG"/>
    <s v="Direct"/>
    <n v="978.5"/>
    <n v="37308.22"/>
    <n v="994.2"/>
    <n v="36953.367339616008"/>
    <n v="12.000000000000002"/>
    <n v="429.15484180800007"/>
    <n v="1006.2"/>
    <n v="37382.522181424007"/>
    <n v="37308.22"/>
    <n v="0"/>
    <n v="429.15484180800007"/>
    <n v="74.302181424005539"/>
    <n v="0"/>
    <n v="0"/>
    <n v="0"/>
    <n v="36879"/>
    <n v="0"/>
    <n v="0"/>
    <n v="0"/>
    <n v="0"/>
    <n v="0"/>
    <n v="0"/>
    <n v="-1.9915766933937223E-3"/>
    <n v="28"/>
    <m/>
    <s v="Halsi"/>
    <m/>
    <n v="0"/>
  </r>
  <r>
    <s v="Munger"/>
    <s v="24-30 Apr"/>
    <n v="1009"/>
    <s v="Halsi"/>
    <x v="307"/>
    <s v="SONDHI"/>
    <s v="MPG"/>
    <s v="Direct"/>
    <n v="198.7"/>
    <n v="7979.01"/>
    <n v="229.8"/>
    <n v="9004.5262340690006"/>
    <n v="0.7"/>
    <n v="27.308887848000005"/>
    <n v="230.5"/>
    <n v="9031.8351219169999"/>
    <n v="7979.01"/>
    <n v="0"/>
    <n v="27.308887848000005"/>
    <n v="1052.8251219169997"/>
    <n v="0"/>
    <n v="550.79250000000002"/>
    <n v="0"/>
    <n v="7401"/>
    <n v="0"/>
    <n v="0"/>
    <n v="0"/>
    <s v="Release1"/>
    <n v="402.6047018621037"/>
    <n v="28.385714285714283"/>
    <n v="-0.13194934232655425"/>
    <n v="11"/>
    <m/>
    <s v="Halsi"/>
    <m/>
    <n v="0"/>
  </r>
  <r>
    <s v="Munger"/>
    <s v="24-30 Apr"/>
    <n v="1009"/>
    <s v="Halsi"/>
    <x v="308"/>
    <s v="BELDARAYA"/>
    <s v="vlc"/>
    <s v="Indirect"/>
    <n v="860"/>
    <n v="31394.200000000004"/>
    <n v="0"/>
    <n v="0"/>
    <n v="0"/>
    <n v="0"/>
    <n v="0"/>
    <n v="0"/>
    <n v="31394.200000000004"/>
    <n v="0"/>
    <n v="0"/>
    <n v="0"/>
    <n v="0"/>
    <n v="0"/>
    <n v="0"/>
    <n v="0"/>
    <n v="0"/>
    <n v="31394.200000000004"/>
    <n v="0"/>
    <n v="0"/>
    <n v="0"/>
    <n v="0"/>
    <n v="0"/>
    <n v="0"/>
    <m/>
    <s v="Halsi"/>
    <m/>
    <n v="0"/>
  </r>
  <r>
    <s v="Munger"/>
    <s v="24-30 Apr"/>
    <n v="1009"/>
    <s v="Halsi"/>
    <x v="309"/>
    <s v="Gomukh ID Aure-2"/>
    <s v="vlc"/>
    <s v="Indirect"/>
    <n v="1190"/>
    <n v="43422.3"/>
    <n v="0"/>
    <n v="0"/>
    <n v="0"/>
    <n v="0"/>
    <n v="0"/>
    <n v="0"/>
    <n v="43422.3"/>
    <n v="0"/>
    <n v="0"/>
    <n v="0"/>
    <n v="0"/>
    <n v="0"/>
    <n v="0"/>
    <n v="0"/>
    <n v="0"/>
    <n v="43422.3"/>
    <n v="0"/>
    <n v="0"/>
    <n v="0"/>
    <n v="0"/>
    <n v="0"/>
    <n v="0"/>
    <m/>
    <s v="Halsi"/>
    <m/>
    <n v="0"/>
  </r>
  <r>
    <s v="Munger"/>
    <s v="24-30 Apr"/>
    <n v="1009"/>
    <s v="Halsi"/>
    <x v="310"/>
    <s v="Gomukh Karma"/>
    <s v="vlc"/>
    <s v="Indirect"/>
    <n v="707.15"/>
    <n v="27101.73"/>
    <n v="0"/>
    <n v="0"/>
    <n v="0"/>
    <n v="0"/>
    <n v="0"/>
    <n v="0"/>
    <n v="27101.73"/>
    <n v="0"/>
    <n v="0"/>
    <n v="0"/>
    <n v="0"/>
    <n v="0"/>
    <n v="0"/>
    <n v="0"/>
    <n v="0"/>
    <n v="27101.73"/>
    <n v="0"/>
    <n v="0"/>
    <n v="0"/>
    <n v="0"/>
    <n v="0"/>
    <n v="0"/>
    <m/>
    <s v="Halsi"/>
    <m/>
    <n v="0"/>
  </r>
  <r>
    <s v="Munger"/>
    <s v="24-30 Apr"/>
    <n v="1009"/>
    <s v="Halsi"/>
    <x v="311"/>
    <s v="GOMUKH UKSI"/>
    <s v="vlc"/>
    <s v="Indirect"/>
    <n v="426.09999999999997"/>
    <n v="17416.43"/>
    <n v="0"/>
    <n v="0"/>
    <n v="0"/>
    <n v="0"/>
    <n v="0"/>
    <n v="0"/>
    <n v="17416.43"/>
    <n v="0"/>
    <n v="0"/>
    <n v="0"/>
    <n v="0"/>
    <n v="0"/>
    <n v="0"/>
    <n v="0"/>
    <n v="0"/>
    <n v="17416.43"/>
    <n v="0"/>
    <n v="0"/>
    <n v="223.90801112414931"/>
    <n v="60.871428571428567"/>
    <n v="0"/>
    <n v="0"/>
    <m/>
    <s v="Halsi"/>
    <m/>
    <n v="0"/>
  </r>
  <r>
    <s v="Munger"/>
    <s v="24-30 Apr"/>
    <n v="1009"/>
    <s v="Halsi"/>
    <x v="312"/>
    <s v="Gomukh ID Halsi"/>
    <s v="vlc"/>
    <s v="Indirect"/>
    <n v="3624.4"/>
    <n v="124978.75"/>
    <n v="0"/>
    <n v="0"/>
    <n v="0"/>
    <n v="0"/>
    <n v="0"/>
    <n v="0"/>
    <n v="124978.75"/>
    <n v="0"/>
    <n v="0"/>
    <n v="0"/>
    <n v="0"/>
    <n v="0"/>
    <n v="0"/>
    <n v="0"/>
    <n v="0"/>
    <n v="124978.75"/>
    <n v="0"/>
    <n v="0"/>
    <n v="0"/>
    <n v="0"/>
    <n v="0"/>
    <n v="0"/>
    <m/>
    <s v="Halsi"/>
    <m/>
    <n v="0"/>
  </r>
  <r>
    <s v="Munger"/>
    <s v="24-30 Apr"/>
    <n v="1009"/>
    <s v="Halsi"/>
    <x v="313"/>
    <s v="Gomukh ID Lalpur"/>
    <s v="vlc"/>
    <s v="Indirect"/>
    <n v="92.100000000000009"/>
    <n v="3510.5400000000004"/>
    <n v="0"/>
    <n v="0"/>
    <n v="0"/>
    <n v="0"/>
    <n v="0"/>
    <n v="0"/>
    <n v="3510.5400000000004"/>
    <n v="0"/>
    <n v="0"/>
    <n v="0"/>
    <n v="0"/>
    <n v="216.61298709677425"/>
    <n v="0"/>
    <n v="0"/>
    <n v="0"/>
    <n v="3293.9270129032261"/>
    <n v="0"/>
    <n v="0"/>
    <n v="463.42177328990238"/>
    <n v="13.157142857142858"/>
    <n v="0"/>
    <n v="0"/>
    <m/>
    <s v="Halsi"/>
    <m/>
    <n v="0"/>
  </r>
  <r>
    <s v="Munger"/>
    <s v="24-30 Apr"/>
    <n v="1009"/>
    <s v="Halsi"/>
    <x v="314"/>
    <s v="KHURIYARI"/>
    <s v="MPG"/>
    <s v="Direct"/>
    <n v="661"/>
    <n v="25903.599999999999"/>
    <n v="828.8"/>
    <n v="33850.05595078347"/>
    <n v="11.299999999999995"/>
    <n v="431.36722490399995"/>
    <n v="840.09999999999991"/>
    <n v="34281.423175687472"/>
    <n v="25903.599999999999"/>
    <n v="0"/>
    <n v="431.36722490399995"/>
    <n v="8377.8231756874738"/>
    <n v="0"/>
    <n v="0"/>
    <n v="0"/>
    <n v="25472"/>
    <n v="0"/>
    <n v="0"/>
    <n v="0"/>
    <n v="0"/>
    <n v="30.567031770045375"/>
    <n v="94.428571428571431"/>
    <n v="-0.32342312171618903"/>
    <n v="4"/>
    <m/>
    <s v="Halsi"/>
    <m/>
    <n v="0"/>
  </r>
  <r>
    <s v="Munger"/>
    <s v="24-30 Apr"/>
    <n v="1009"/>
    <s v="Halsi"/>
    <x v="315"/>
    <s v="BISANPUR"/>
    <s v="vlc"/>
    <s v="Indirect"/>
    <n v="352.7"/>
    <n v="13811.91"/>
    <n v="0"/>
    <n v="0"/>
    <n v="0"/>
    <n v="0"/>
    <n v="0"/>
    <n v="0"/>
    <n v="13811.91"/>
    <n v="0"/>
    <n v="0"/>
    <n v="0"/>
    <n v="0"/>
    <n v="113.63624516129003"/>
    <n v="0"/>
    <n v="0"/>
    <n v="0"/>
    <n v="13698.27375483871"/>
    <n v="0"/>
    <n v="0"/>
    <n v="272.00886549475479"/>
    <n v="50.385714285714286"/>
    <n v="0"/>
    <n v="0"/>
    <m/>
    <s v="Halsi"/>
    <m/>
    <n v="0"/>
  </r>
  <r>
    <s v="Munger"/>
    <s v="24-30 Apr"/>
    <n v="1009"/>
    <s v="Halsi"/>
    <x v="316"/>
    <s v="BEHRAMA"/>
    <s v="vlc"/>
    <s v="Indirect"/>
    <n v="302.39999999999998"/>
    <n v="11069.740000000002"/>
    <n v="0"/>
    <n v="0"/>
    <n v="0"/>
    <n v="0"/>
    <n v="0"/>
    <n v="0"/>
    <n v="11069.740000000002"/>
    <n v="0"/>
    <n v="0"/>
    <n v="0"/>
    <n v="0"/>
    <n v="0"/>
    <n v="0"/>
    <n v="0"/>
    <n v="0"/>
    <n v="11069.740000000002"/>
    <n v="0"/>
    <n v="0"/>
    <n v="291.09316296296305"/>
    <n v="43.199999999999996"/>
    <n v="0"/>
    <n v="0"/>
    <m/>
    <s v="Halsi"/>
    <m/>
    <n v="0"/>
  </r>
  <r>
    <s v="Munger"/>
    <s v="24-30 Apr"/>
    <n v="1009"/>
    <s v="Halsi"/>
    <x v="317"/>
    <s v="Gomukh ID Mathurapur"/>
    <s v="vlc"/>
    <s v="Indirect"/>
    <n v="863.40000000000009"/>
    <n v="32960.879999999997"/>
    <n v="0"/>
    <n v="0"/>
    <n v="0"/>
    <n v="0"/>
    <n v="0"/>
    <n v="0"/>
    <n v="32960.879999999997"/>
    <n v="0"/>
    <n v="0"/>
    <n v="0"/>
    <n v="0"/>
    <n v="0"/>
    <n v="0"/>
    <n v="0"/>
    <n v="0"/>
    <n v="32960.879999999997"/>
    <n v="0"/>
    <n v="0"/>
    <n v="0"/>
    <n v="0"/>
    <n v="0"/>
    <n v="0"/>
    <m/>
    <s v="Halsi"/>
    <m/>
    <n v="0"/>
  </r>
  <r>
    <s v="Munger"/>
    <s v="24-30 Apr"/>
    <n v="1009"/>
    <s v="Halsi"/>
    <x v="318"/>
    <s v="Gomukh ID Kurha Dih"/>
    <s v="vlc"/>
    <s v="Indirect"/>
    <n v="721.30000000000007"/>
    <n v="26968.010000000002"/>
    <n v="0"/>
    <n v="0"/>
    <n v="0"/>
    <n v="0"/>
    <n v="0"/>
    <n v="0"/>
    <n v="26968.010000000002"/>
    <n v="0"/>
    <n v="0"/>
    <n v="0"/>
    <n v="0"/>
    <n v="0"/>
    <n v="0"/>
    <n v="0"/>
    <n v="0"/>
    <n v="26968.010000000002"/>
    <n v="0"/>
    <n v="0"/>
    <n v="0"/>
    <n v="0"/>
    <n v="0"/>
    <n v="0"/>
    <m/>
    <s v="Halsi"/>
    <m/>
    <n v="0"/>
  </r>
  <r>
    <s v="Munger"/>
    <s v="24-30 Apr"/>
    <n v="1009"/>
    <s v="Halsi"/>
    <x v="319"/>
    <s v="RAMNAGAR"/>
    <s v="MPG"/>
    <s v="Direct"/>
    <n v="667.9"/>
    <n v="27294.289999999997"/>
    <n v="675.9899999999999"/>
    <n v="28372.462985832037"/>
    <n v="10.1"/>
    <n v="355.04091235800001"/>
    <n v="686.08999999999992"/>
    <n v="28727.503898190036"/>
    <n v="27294.289999999997"/>
    <n v="0"/>
    <n v="355.04091235800001"/>
    <n v="1433.2138981900389"/>
    <n v="0"/>
    <n v="0"/>
    <n v="0"/>
    <n v="26939"/>
    <n v="0"/>
    <n v="0"/>
    <n v="0"/>
    <n v="0"/>
    <n v="26.235864919898205"/>
    <n v="95.414285714285711"/>
    <n v="-5.2509660379150329E-2"/>
    <n v="21"/>
    <m/>
    <s v="Halsi"/>
    <m/>
    <n v="0"/>
  </r>
  <r>
    <s v="Munger"/>
    <s v="24-30 Apr"/>
    <n v="1009"/>
    <s v="Halsi"/>
    <x v="320"/>
    <s v="SANDH MAAF 2"/>
    <s v="MPG"/>
    <s v="Direct"/>
    <n v="1067.3000000000002"/>
    <n v="51088.240000000013"/>
    <n v="1057.8900000000001"/>
    <n v="50812.317902332114"/>
    <n v="6.7299999999999995"/>
    <n v="341.58955903740002"/>
    <n v="1064.6200000000001"/>
    <n v="51153.907461369512"/>
    <n v="51088.240000000013"/>
    <n v="0"/>
    <n v="341.58955903740002"/>
    <n v="65.667461369499506"/>
    <n v="0"/>
    <n v="0"/>
    <n v="0"/>
    <n v="50746"/>
    <n v="0"/>
    <n v="0"/>
    <n v="1"/>
    <n v="0"/>
    <n v="0"/>
    <n v="0"/>
    <n v="-1.2853733338533387E-3"/>
    <n v="11"/>
    <m/>
    <s v="Halsi"/>
    <m/>
    <n v="0"/>
  </r>
  <r>
    <s v="Munger"/>
    <s v="24-30 Apr"/>
    <n v="1009"/>
    <s v="Halsi"/>
    <x v="321"/>
    <s v="BHATTA                                                                                              "/>
    <s v="MPG"/>
    <s v="Direct"/>
    <n v="902.80000000000007"/>
    <n v="36584.61"/>
    <n v="1206.53"/>
    <n v="48700.771420771904"/>
    <n v="3.1999999999999997"/>
    <n v="138.37973057080001"/>
    <n v="1209.73"/>
    <n v="48839.151151342703"/>
    <n v="36584.61"/>
    <n v="0"/>
    <n v="138.37973057080001"/>
    <n v="12254.541151342703"/>
    <n v="0"/>
    <n v="0"/>
    <n v="0"/>
    <n v="36446"/>
    <n v="0"/>
    <n v="0"/>
    <n v="0"/>
    <n v="0"/>
    <n v="0"/>
    <n v="0"/>
    <n v="-0.33496437850076033"/>
    <n v="6"/>
    <m/>
    <s v="Halsi"/>
    <m/>
    <n v="0"/>
  </r>
  <r>
    <s v="Munger"/>
    <s v="24-30 Apr"/>
    <n v="1009"/>
    <s v="Halsi"/>
    <x v="322"/>
    <s v="TAAL-SHAHARSHA                                                                                      "/>
    <s v="MPG"/>
    <s v="Direct"/>
    <n v="87"/>
    <n v="3223.6"/>
    <n v="58.399999999999991"/>
    <n v="2175.0667884000004"/>
    <n v="0"/>
    <n v="0"/>
    <n v="58.399999999999991"/>
    <n v="2175.0667884000004"/>
    <n v="2175.0667884000004"/>
    <n v="0"/>
    <n v="0"/>
    <n v="0"/>
    <n v="0"/>
    <n v="1363.8023999999996"/>
    <n v="0"/>
    <n v="811"/>
    <n v="0"/>
    <n v="0"/>
    <n v="1049"/>
    <n v="0"/>
    <n v="454.26822988505745"/>
    <n v="12.428571428571429"/>
    <n v="0.3252677787566694"/>
    <n v="1"/>
    <m/>
    <s v="Halsi"/>
    <m/>
    <n v="0"/>
  </r>
  <r>
    <s v="Munger"/>
    <s v="24-30 Apr"/>
    <n v="1009"/>
    <s v="Halsi"/>
    <x v="323"/>
    <s v="Dhira"/>
    <s v="MPG"/>
    <s v="Direct"/>
    <n v="388.5"/>
    <n v="17154.39"/>
    <n v="386.79"/>
    <n v="16243.908207968405"/>
    <n v="5.7600000000000007"/>
    <n v="230.89524683940004"/>
    <n v="392.55"/>
    <n v="16474.803454807807"/>
    <n v="16474.803454807807"/>
    <n v="0"/>
    <n v="230.89524683940004"/>
    <n v="0"/>
    <n v="0"/>
    <n v="0"/>
    <n v="0"/>
    <n v="16243"/>
    <n v="0"/>
    <n v="0"/>
    <n v="680"/>
    <n v="0"/>
    <n v="275.08841621621616"/>
    <n v="55.5"/>
    <n v="3.9615896874921973E-2"/>
    <n v="5"/>
    <m/>
    <s v="Halsi"/>
    <m/>
    <n v="0"/>
  </r>
  <r>
    <s v="Munger"/>
    <s v="24-30 Apr"/>
    <n v="1009"/>
    <s v="Halsi"/>
    <x v="326"/>
    <s v="REWAI"/>
    <s v="MPG"/>
    <s v="Direct"/>
    <n v="428.4"/>
    <n v="16613.11"/>
    <n v="423.80999999999995"/>
    <n v="16390.547054151601"/>
    <n v="0.98"/>
    <n v="38.108149992000008"/>
    <n v="424.78999999999996"/>
    <n v="16428.655204143601"/>
    <n v="16428.655204143601"/>
    <n v="0"/>
    <n v="38.108149992000008"/>
    <n v="0"/>
    <n v="0"/>
    <n v="0"/>
    <n v="0"/>
    <n v="16391"/>
    <n v="0"/>
    <n v="0"/>
    <n v="184"/>
    <n v="0"/>
    <n v="210.64989150326801"/>
    <n v="61.199999999999996"/>
    <n v="1.1102966022400374E-2"/>
    <n v="6"/>
    <m/>
    <s v="Halsi"/>
    <m/>
    <n v="0"/>
  </r>
  <r>
    <s v="Munger"/>
    <s v="24-30 Apr"/>
    <n v="1009"/>
    <s v="Halsi"/>
    <x v="327"/>
    <s v="BAKHIYA"/>
    <s v="MPG"/>
    <s v="Direct"/>
    <n v="97.2"/>
    <n v="4332.1900000000005"/>
    <n v="198.89"/>
    <n v="8846.408077734246"/>
    <n v="0"/>
    <n v="0"/>
    <n v="198.89"/>
    <n v="8846.408077734246"/>
    <n v="4332.1900000000005"/>
    <n v="0"/>
    <n v="0"/>
    <n v="4514.2180777342455"/>
    <n v="0"/>
    <n v="312.21360000000004"/>
    <n v="0"/>
    <n v="0"/>
    <n v="0"/>
    <n v="0"/>
    <n v="4020"/>
    <s v="Yes"/>
    <n v="537.33418353909462"/>
    <n v="13.885714285714286"/>
    <n v="-1.0420175656502242"/>
    <n v="6"/>
    <m/>
    <s v="Halsi"/>
    <m/>
    <n v="0"/>
  </r>
  <r>
    <s v="Munger"/>
    <s v="24-30 Apr"/>
    <n v="1009"/>
    <s v="Halsi"/>
    <x v="328"/>
    <s v="MANJOS"/>
    <s v="MPG"/>
    <s v="Direct"/>
    <n v="814.19999999999993"/>
    <n v="33250.769999999997"/>
    <n v="803.90000000000009"/>
    <n v="32827.654375800004"/>
    <n v="0"/>
    <n v="0"/>
    <n v="803.90000000000009"/>
    <n v="32827.654375800004"/>
    <n v="32827.654375800004"/>
    <n v="0"/>
    <n v="0"/>
    <n v="0"/>
    <n v="0"/>
    <n v="0"/>
    <n v="0"/>
    <n v="32828"/>
    <n v="0"/>
    <n v="0"/>
    <n v="423"/>
    <n v="0"/>
    <n v="0"/>
    <n v="0"/>
    <n v="1.2724987246911651E-2"/>
    <n v="3"/>
    <m/>
    <s v="Halsi"/>
    <m/>
    <n v="0"/>
  </r>
  <r>
    <s v="Munger"/>
    <s v="24-30 Apr"/>
    <n v="1009"/>
    <s v="Halsi"/>
    <x v="329"/>
    <s v="RATA"/>
    <s v="MPG"/>
    <s v="Direct"/>
    <n v="279.2"/>
    <n v="11026.18"/>
    <n v="322.52999999999997"/>
    <n v="12065.428293218933"/>
    <n v="0"/>
    <n v="0"/>
    <n v="322.52999999999997"/>
    <n v="12065.428293218933"/>
    <n v="11026.18"/>
    <n v="0"/>
    <n v="0"/>
    <n v="1039.2482932189323"/>
    <n v="0"/>
    <n v="0"/>
    <n v="0"/>
    <n v="11026"/>
    <n v="0"/>
    <n v="0"/>
    <n v="0"/>
    <n v="0"/>
    <n v="332.36508194842412"/>
    <n v="39.885714285714286"/>
    <n v="-9.4252795911089093E-2"/>
    <n v="6"/>
    <m/>
    <s v="Halsi"/>
    <m/>
    <n v="0"/>
  </r>
  <r>
    <s v="Munger"/>
    <s v="24-30 Apr"/>
    <n v="1009"/>
    <s v="Halsi"/>
    <x v="330"/>
    <s v="BARUI"/>
    <s v="MPG"/>
    <s v="Direct"/>
    <n v="324.59999999999997"/>
    <n v="14051.8"/>
    <n v="330.8"/>
    <n v="14164.0371576"/>
    <n v="0"/>
    <n v="0"/>
    <n v="330.8"/>
    <n v="14164.0371576"/>
    <n v="14051.8"/>
    <n v="0"/>
    <n v="0"/>
    <n v="112.2371576000005"/>
    <n v="0"/>
    <n v="0"/>
    <n v="0"/>
    <n v="14052"/>
    <n v="0"/>
    <n v="0"/>
    <n v="0"/>
    <n v="0"/>
    <n v="325.0182205791744"/>
    <n v="46.371428571428567"/>
    <n v="-7.987386498526915E-3"/>
    <n v="1"/>
    <m/>
    <s v="Halsi"/>
    <m/>
    <n v="0"/>
  </r>
  <r>
    <s v="Munger"/>
    <s v="24-30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489.80000000000007"/>
    <n v="23517.730000000003"/>
    <n v="486.85000000000008"/>
    <n v="25379.945276849397"/>
    <n v="4.7300000000000004"/>
    <n v="252.38523198220003"/>
    <n v="491.5800000000001"/>
    <n v="25632.330508831597"/>
    <n v="23517.730000000003"/>
    <n v="0"/>
    <n v="252.38523198220003"/>
    <n v="2114.6005088315942"/>
    <n v="0"/>
    <n v="249.32633898305048"/>
    <n v="0"/>
    <n v="23015"/>
    <n v="0"/>
    <n v="0"/>
    <n v="1"/>
    <n v="0"/>
    <n v="201.85491408738261"/>
    <n v="69.971428571428575"/>
    <n v="-8.9915162255523554E-2"/>
    <n v="12"/>
    <m/>
    <s v="Halsi"/>
    <m/>
    <n v="0"/>
  </r>
  <r>
    <s v="Munger"/>
    <s v="24-30 Apr"/>
    <n v="1009"/>
    <s v="Halsi"/>
    <x v="332"/>
    <s v="LACHHUAR"/>
    <s v="MPG"/>
    <s v="Direct"/>
    <n v="490.7"/>
    <n v="18377.960000000003"/>
    <n v="521.13999999999987"/>
    <n v="19738.614112569005"/>
    <n v="2.4000000000000004"/>
    <n v="94.255572628799996"/>
    <n v="523.53999999999985"/>
    <n v="19832.869685197806"/>
    <n v="18377.960000000003"/>
    <n v="0"/>
    <n v="94.255572628799996"/>
    <n v="1454.9096851978029"/>
    <n v="0"/>
    <n v="0"/>
    <n v="0"/>
    <n v="18284"/>
    <n v="0"/>
    <n v="0"/>
    <n v="0"/>
    <n v="0"/>
    <n v="156.77632068473616"/>
    <n v="70.099999999999994"/>
    <n v="-7.9166005650126714E-2"/>
    <n v="5"/>
    <m/>
    <s v="Halsi"/>
    <m/>
    <n v="0"/>
  </r>
  <r>
    <s v="Munger"/>
    <s v="24-30 Apr"/>
    <n v="1009"/>
    <s v="Halsi"/>
    <x v="333"/>
    <s v="RAMDIH Ajit Kumar"/>
    <s v="vlc"/>
    <s v="Indirect"/>
    <n v="385.29999999999995"/>
    <n v="14312.970000000001"/>
    <n v="0"/>
    <n v="0"/>
    <n v="0"/>
    <n v="0"/>
    <n v="0"/>
    <n v="0"/>
    <n v="14312.970000000001"/>
    <n v="0"/>
    <n v="0"/>
    <n v="0"/>
    <n v="0"/>
    <n v="0"/>
    <n v="0"/>
    <n v="0"/>
    <n v="0"/>
    <n v="14312.970000000001"/>
    <n v="0"/>
    <n v="0"/>
    <n v="233.8069898261096"/>
    <n v="55.042857142857137"/>
    <n v="0"/>
    <n v="0"/>
    <m/>
    <s v="Halsi"/>
    <m/>
    <n v="0"/>
  </r>
  <r>
    <s v="Munger"/>
    <s v="24-30 Apr"/>
    <n v="1009"/>
    <s v="Halsi"/>
    <x v="334"/>
    <s v="NARAYANPUR"/>
    <s v="MPG"/>
    <s v="Direct"/>
    <n v="248.9"/>
    <n v="10103.689999999999"/>
    <n v="308.7"/>
    <n v="12787.359260402702"/>
    <n v="0.84"/>
    <n v="36.021873180000007"/>
    <n v="309.53999999999996"/>
    <n v="12823.381133582701"/>
    <n v="10103.689999999999"/>
    <n v="0"/>
    <n v="36.021873180000007"/>
    <n v="2719.6911335827026"/>
    <n v="0"/>
    <n v="439.06428000000028"/>
    <n v="0"/>
    <n v="9629"/>
    <n v="0"/>
    <n v="0"/>
    <n v="0"/>
    <n v="0"/>
    <n v="366.23339164323016"/>
    <n v="35.557142857142857"/>
    <n v="-0.26917800660775448"/>
    <n v="4"/>
    <m/>
    <s v="Halsi"/>
    <m/>
    <n v="0"/>
  </r>
  <r>
    <s v="Munger"/>
    <s v="24-30 Apr"/>
    <n v="1009"/>
    <s v="Halsi"/>
    <x v="335"/>
    <s v="NAWKADIH"/>
    <s v="MPG"/>
    <s v="Direct"/>
    <n v="660.00000000000011"/>
    <n v="29471.63"/>
    <n v="659.08999999999992"/>
    <n v="28815.778416921756"/>
    <n v="0"/>
    <n v="0"/>
    <n v="659.08999999999992"/>
    <n v="28815.778416921756"/>
    <n v="28815.778416921756"/>
    <n v="0"/>
    <n v="0"/>
    <n v="0"/>
    <n v="0"/>
    <n v="0"/>
    <n v="0"/>
    <n v="28815"/>
    <n v="0"/>
    <n v="0"/>
    <n v="657"/>
    <n v="0"/>
    <n v="35.723187878787748"/>
    <n v="94.285714285714306"/>
    <n v="2.2253658283516903E-2"/>
    <n v="3"/>
    <m/>
    <s v="Halsi"/>
    <m/>
    <n v="0"/>
  </r>
  <r>
    <s v="Munger"/>
    <s v="24-30 Apr"/>
    <n v="1009"/>
    <s v="Halsi"/>
    <x v="336"/>
    <s v="CHOTAHA"/>
    <s v="MPG"/>
    <s v="Direct"/>
    <n v="812.40000000000009"/>
    <n v="32395.729999999996"/>
    <n v="852.83"/>
    <n v="33942.72239226001"/>
    <n v="0"/>
    <n v="0"/>
    <n v="852.83"/>
    <n v="33942.72239226001"/>
    <n v="32395.729999999996"/>
    <n v="0"/>
    <n v="0"/>
    <n v="1546.9923922600137"/>
    <n v="0"/>
    <n v="0"/>
    <n v="0"/>
    <n v="32396"/>
    <n v="0"/>
    <n v="0"/>
    <n v="0"/>
    <n v="0"/>
    <n v="0"/>
    <n v="0"/>
    <n v="-4.7752972143551446E-2"/>
    <n v="1"/>
    <m/>
    <s v="Halsi"/>
    <m/>
    <n v="0"/>
  </r>
  <r>
    <s v="Munger"/>
    <s v="24-30 Apr"/>
    <n v="1009"/>
    <s v="Halsi"/>
    <x v="337"/>
    <s v="KHARAGWADA "/>
    <s v="MPG"/>
    <s v="Direct"/>
    <n v="153.79999999999998"/>
    <n v="6101.06"/>
    <n v="247.09999999999997"/>
    <n v="9772.8747953760012"/>
    <n v="0"/>
    <n v="0"/>
    <n v="247.09999999999997"/>
    <n v="9772.8747953760012"/>
    <n v="6101.06"/>
    <n v="0"/>
    <n v="0"/>
    <n v="3671.8147953760008"/>
    <n v="0"/>
    <n v="133.0368599999999"/>
    <n v="0"/>
    <n v="5968"/>
    <n v="0"/>
    <n v="0"/>
    <n v="0"/>
    <n v="0"/>
    <n v="433.34186892067635"/>
    <n v="21.971428571428568"/>
    <n v="-0.60183227101126702"/>
    <n v="1"/>
    <m/>
    <s v="Halsi"/>
    <m/>
    <n v="0"/>
  </r>
  <r>
    <s v="Munger"/>
    <s v="24-30 Apr"/>
    <n v="1009"/>
    <s v="Halsi"/>
    <x v="338"/>
    <s v="UFFAPUR"/>
    <s v="MPG"/>
    <s v="Direct"/>
    <n v="146.30000000000001"/>
    <n v="6547.6000000000013"/>
    <n v="182.4"/>
    <n v="8292.3419486640014"/>
    <n v="0"/>
    <n v="0"/>
    <n v="182.4"/>
    <n v="8292.3419486640014"/>
    <n v="6547.6000000000013"/>
    <n v="0"/>
    <n v="0"/>
    <n v="1744.7419486640001"/>
    <n v="0"/>
    <n v="0"/>
    <n v="0"/>
    <n v="6548"/>
    <n v="0"/>
    <n v="0"/>
    <n v="0"/>
    <n v="0"/>
    <n v="495.61259330143542"/>
    <n v="20.900000000000002"/>
    <n v="-0.26647045461909702"/>
    <n v="2"/>
    <m/>
    <s v="Halsi"/>
    <m/>
    <n v="0"/>
  </r>
  <r>
    <s v="Munger"/>
    <s v="24-30 Apr"/>
    <n v="1009"/>
    <s v="Halsi"/>
    <x v="339"/>
    <s v="BIHRAURA"/>
    <s v="MPG"/>
    <s v="Direct"/>
    <n v="125.4"/>
    <n v="5245.69"/>
    <n v="171.4"/>
    <n v="7077.0936139200012"/>
    <n v="0"/>
    <n v="0"/>
    <n v="171.4"/>
    <n v="7077.0936139200012"/>
    <n v="5245.69"/>
    <n v="0"/>
    <n v="0"/>
    <n v="1831.4036139200016"/>
    <n v="0"/>
    <n v="197.7352800000001"/>
    <n v="0"/>
    <n v="5048"/>
    <n v="0"/>
    <n v="0"/>
    <n v="0"/>
    <n v="0"/>
    <n v="480.72942169059002"/>
    <n v="17.914285714285715"/>
    <n v="-0.34912539893131345"/>
    <n v="1"/>
    <m/>
    <s v="Halsi"/>
    <m/>
    <n v="0"/>
  </r>
  <r>
    <s v="Munger"/>
    <s v="24-30 Apr"/>
    <n v="1009"/>
    <s v="Halsi"/>
    <x v="340"/>
    <s v="SHIJHORI"/>
    <s v="MPG"/>
    <s v="Direct"/>
    <n v="350.1"/>
    <n v="13583.360000000002"/>
    <n v="380.93000000000006"/>
    <n v="14589.688883774403"/>
    <n v="0"/>
    <n v="0"/>
    <n v="380.93000000000006"/>
    <n v="14589.688883774403"/>
    <n v="13583.360000000002"/>
    <n v="0"/>
    <n v="0"/>
    <n v="1006.3288837744003"/>
    <n v="0"/>
    <n v="0"/>
    <n v="0"/>
    <n v="13583"/>
    <n v="0"/>
    <n v="0"/>
    <n v="0"/>
    <n v="0"/>
    <n v="271.51200594115971"/>
    <n v="50.01428571428572"/>
    <n v="-7.4085416551898806E-2"/>
    <n v="1"/>
    <m/>
    <s v="Halsi"/>
    <m/>
    <n v="0"/>
  </r>
  <r>
    <s v="Munger"/>
    <s v="24-30 Apr"/>
    <n v="1009"/>
    <s v="Halsi"/>
    <x v="341"/>
    <s v="RAM PRAVESH YADAV"/>
    <s v="MPG"/>
    <s v="Direct"/>
    <n v="464.7"/>
    <n v="17975.990000000002"/>
    <n v="471.65"/>
    <n v="18879.017777267924"/>
    <n v="0"/>
    <n v="0"/>
    <n v="471.65"/>
    <n v="18879.017777267924"/>
    <n v="17975.990000000002"/>
    <n v="0"/>
    <n v="0"/>
    <n v="903.02777726792192"/>
    <n v="0"/>
    <n v="0"/>
    <n v="0"/>
    <n v="17976"/>
    <n v="0"/>
    <n v="0"/>
    <n v="0"/>
    <n v="0"/>
    <n v="182.04219698730364"/>
    <n v="66.385714285714286"/>
    <n v="-5.0235218047402219E-2"/>
    <n v="2"/>
    <m/>
    <s v="Halsi"/>
    <m/>
    <n v="0"/>
  </r>
  <r>
    <s v="Munger"/>
    <s v="24-30 Apr"/>
    <n v="1009"/>
    <s v="Halsi"/>
    <x v="343"/>
    <s v="BOUDHNAGAR"/>
    <s v="MPG"/>
    <s v="Direct"/>
    <n v="377.40000000000003"/>
    <n v="13740.590000000002"/>
    <n v="424.54999999999995"/>
    <n v="15787.901081700002"/>
    <n v="0"/>
    <n v="0"/>
    <n v="424.54999999999995"/>
    <n v="15787.901081700002"/>
    <n v="13740.590000000002"/>
    <n v="0"/>
    <n v="0"/>
    <n v="2047.3110816999997"/>
    <n v="0"/>
    <n v="0"/>
    <n v="0"/>
    <n v="13741"/>
    <n v="0"/>
    <n v="0"/>
    <n v="0"/>
    <n v="0"/>
    <n v="234.90801981981983"/>
    <n v="53.914285714285718"/>
    <n v="-0.14899731974391198"/>
    <n v="2"/>
    <m/>
    <s v="Halsi"/>
    <m/>
    <n v="0"/>
  </r>
  <r>
    <s v="Munger"/>
    <s v="24-30 Apr"/>
    <n v="1009"/>
    <s v="Halsi"/>
    <x v="344"/>
    <s v="MOHADDINGAR"/>
    <s v="MPG"/>
    <s v="Direct"/>
    <n v="520.40000000000009"/>
    <n v="19813.800000000003"/>
    <n v="522.65"/>
    <n v="19612.658092718084"/>
    <n v="0"/>
    <n v="0"/>
    <n v="522.65"/>
    <n v="19612.658092718084"/>
    <n v="19612.658092718084"/>
    <n v="0"/>
    <n v="0"/>
    <n v="0"/>
    <n v="0"/>
    <n v="0"/>
    <n v="0"/>
    <n v="19614"/>
    <n v="0"/>
    <n v="0"/>
    <n v="200"/>
    <n v="0"/>
    <n v="136.76243197540347"/>
    <n v="74.342857142857156"/>
    <n v="1.0151606823623885E-2"/>
    <n v="3"/>
    <m/>
    <s v="Halsi"/>
    <m/>
    <n v="0"/>
  </r>
  <r>
    <s v="Munger"/>
    <s v="24-30 Apr"/>
    <n v="1009"/>
    <s v="Halsi"/>
    <x v="345"/>
    <s v="PACHAUTA"/>
    <s v="MPG"/>
    <s v="Direct"/>
    <n v="589.80000000000007"/>
    <n v="22970.78"/>
    <n v="613.71"/>
    <n v="25781.516660351648"/>
    <n v="0"/>
    <n v="0"/>
    <n v="613.71"/>
    <n v="25781.516660351648"/>
    <n v="22970.78"/>
    <n v="0"/>
    <n v="0"/>
    <n v="2810.7366603516493"/>
    <n v="0"/>
    <n v="0"/>
    <n v="0"/>
    <n v="22971"/>
    <n v="0"/>
    <n v="0"/>
    <n v="0"/>
    <n v="0"/>
    <n v="85.838587860291554"/>
    <n v="84.257142857142867"/>
    <n v="-0.12236139392531074"/>
    <n v="4"/>
    <m/>
    <s v="Halsi"/>
    <m/>
    <n v="0"/>
  </r>
  <r>
    <s v="Munger"/>
    <s v="24-30 Apr"/>
    <n v="1009"/>
    <s v="Halsi"/>
    <x v="346"/>
    <s v="Gomukh Champa"/>
    <s v="vlc"/>
    <s v="Indirect"/>
    <n v="14520"/>
    <n v="549456"/>
    <n v="0"/>
    <n v="0"/>
    <n v="0"/>
    <n v="0"/>
    <n v="0"/>
    <n v="0"/>
    <n v="549456"/>
    <n v="0"/>
    <n v="0"/>
    <n v="0"/>
    <n v="0"/>
    <n v="0"/>
    <n v="0"/>
    <n v="0"/>
    <n v="0"/>
    <n v="549456"/>
    <n v="0"/>
    <n v="0"/>
    <n v="0"/>
    <n v="0"/>
    <n v="0"/>
    <n v="0"/>
    <m/>
    <s v="Halsi"/>
    <m/>
    <n v="0"/>
  </r>
  <r>
    <s v="Munger"/>
    <s v="24-30 Apr"/>
    <n v="1009"/>
    <s v="Halsi"/>
    <x v="347"/>
    <s v="GOMUKH DAKRA"/>
    <s v="vlc"/>
    <s v="Indirect"/>
    <n v="14480"/>
    <n v="543145.30000000005"/>
    <n v="0"/>
    <n v="0"/>
    <n v="0"/>
    <n v="0"/>
    <n v="0"/>
    <n v="0"/>
    <n v="543145.30000000005"/>
    <n v="0"/>
    <n v="0"/>
    <n v="0"/>
    <n v="0"/>
    <n v="0"/>
    <n v="0"/>
    <n v="0"/>
    <n v="0"/>
    <n v="543145.30000000005"/>
    <n v="0"/>
    <n v="0"/>
    <n v="0"/>
    <n v="0"/>
    <n v="0"/>
    <n v="0"/>
    <m/>
    <s v="Halsi"/>
    <m/>
    <n v="0"/>
  </r>
  <r>
    <s v="Munger"/>
    <s v="24-30 Apr"/>
    <n v="1009"/>
    <s v="Halsi"/>
    <x v="348"/>
    <s v="TIYAY"/>
    <s v="MPG"/>
    <s v="Direct"/>
    <n v="356.3"/>
    <n v="13280.570000000002"/>
    <n v="383.6"/>
    <n v="14412.958995600002"/>
    <n v="0"/>
    <n v="0"/>
    <n v="383.6"/>
    <n v="14412.958995600002"/>
    <n v="13280.570000000002"/>
    <n v="0"/>
    <n v="0"/>
    <n v="1132.3889956000003"/>
    <n v="0"/>
    <n v="0"/>
    <n v="0"/>
    <n v="13281"/>
    <n v="0"/>
    <n v="0"/>
    <n v="0"/>
    <n v="0"/>
    <n v="256.2184624754421"/>
    <n v="50.9"/>
    <n v="-8.5266595906651602E-2"/>
    <n v="1"/>
    <m/>
    <s v="Halsi"/>
    <m/>
    <n v="0"/>
  </r>
  <r>
    <s v="Munger"/>
    <s v="24-30 Apr"/>
    <n v="1009"/>
    <s v="Halsi"/>
    <x v="1035"/>
    <s v="BILLO 2"/>
    <s v="MPG"/>
    <s v="Direct"/>
    <n v="416.70000000000005"/>
    <n v="15351.17"/>
    <n v="416.39999999999992"/>
    <n v="15639.598766880001"/>
    <n v="0"/>
    <n v="0"/>
    <n v="416.39999999999992"/>
    <n v="15639.598766880001"/>
    <n v="15351.17"/>
    <n v="0"/>
    <n v="0"/>
    <n v="288.42876688000069"/>
    <n v="0"/>
    <n v="0"/>
    <n v="0"/>
    <n v="15351"/>
    <n v="0"/>
    <n v="0"/>
    <n v="0"/>
    <n v="0"/>
    <n v="208.73465135589149"/>
    <n v="59.528571428571432"/>
    <n v="-1.878871557542524E-2"/>
    <n v="1"/>
    <m/>
    <s v="Halsi"/>
    <m/>
    <n v="0"/>
  </r>
  <r>
    <s v="Munger"/>
    <s v="24-30 Apr"/>
    <n v="1010"/>
    <s v="Parbatta"/>
    <x v="349"/>
    <s v="Vishan Pur"/>
    <s v="MPG"/>
    <s v="Direct"/>
    <n v="897.5"/>
    <n v="34342.01"/>
    <n v="835.31999999999994"/>
    <n v="34382.532339838101"/>
    <n v="6.169999999999999"/>
    <n v="248.54831694000006"/>
    <n v="841.4899999999999"/>
    <n v="34631.080656778104"/>
    <n v="34342.01"/>
    <n v="0"/>
    <n v="248.54831694000006"/>
    <n v="289.07065677810169"/>
    <n v="0"/>
    <n v="0"/>
    <n v="0"/>
    <n v="34093"/>
    <n v="0"/>
    <n v="0"/>
    <n v="0"/>
    <n v="0"/>
    <n v="0"/>
    <n v="0"/>
    <n v="-8.4174064586814128E-3"/>
    <n v="12"/>
    <m/>
    <s v="Parbatta"/>
    <m/>
    <n v="0"/>
  </r>
  <r>
    <s v="Munger"/>
    <s v="24-30 Apr"/>
    <n v="1010"/>
    <s v="Parbatta"/>
    <x v="350"/>
    <s v="Gomukh Madhawpur"/>
    <s v="MPG"/>
    <s v="Direct"/>
    <n v="1286.9999999999998"/>
    <n v="47076.829999999994"/>
    <n v="1389"/>
    <n v="61713.187814436009"/>
    <n v="5.7"/>
    <n v="259.78260131999997"/>
    <n v="1394.7"/>
    <n v="61972.970415756012"/>
    <n v="47076.829999999994"/>
    <n v="0"/>
    <n v="259.78260131999997"/>
    <n v="14896.140415756017"/>
    <n v="0"/>
    <n v="0"/>
    <n v="0"/>
    <n v="46817"/>
    <n v="0"/>
    <n v="0"/>
    <n v="0"/>
    <n v="0"/>
    <n v="0"/>
    <n v="0"/>
    <n v="-0.31642190894663086"/>
    <n v="5"/>
    <m/>
    <s v="Parbatta"/>
    <m/>
    <n v="0"/>
  </r>
  <r>
    <s v="Munger"/>
    <s v="24-30 Apr"/>
    <n v="1010"/>
    <s v="Parbatta"/>
    <x v="351"/>
    <s v="Gomukh Muradpur"/>
    <s v="vlc"/>
    <s v="Indirect"/>
    <n v="123.5"/>
    <n v="3943.4700000000003"/>
    <n v="0"/>
    <n v="0"/>
    <n v="0"/>
    <n v="0"/>
    <n v="0"/>
    <n v="0"/>
    <n v="3943.4700000000003"/>
    <n v="0"/>
    <n v="0"/>
    <n v="0"/>
    <n v="0"/>
    <n v="0"/>
    <n v="0"/>
    <n v="0"/>
    <n v="0"/>
    <n v="3943.4700000000003"/>
    <n v="0"/>
    <n v="0"/>
    <n v="368.16363643724696"/>
    <n v="17.642857142857142"/>
    <n v="0"/>
    <n v="0"/>
    <m/>
    <s v="Parbatta"/>
    <m/>
    <n v="0"/>
  </r>
  <r>
    <s v="Munger"/>
    <s v="24-30 Apr"/>
    <n v="1010"/>
    <s v="Parbatta"/>
    <x v="352"/>
    <s v="Gomukh Kanhaiyachak Pachhim"/>
    <s v="MPG"/>
    <s v="Direct"/>
    <n v="1153.4000000000001"/>
    <n v="46533.229999999996"/>
    <n v="1071.83"/>
    <n v="49484.771347002286"/>
    <n v="0"/>
    <n v="0"/>
    <n v="1071.83"/>
    <n v="49484.771347002286"/>
    <n v="46533.229999999996"/>
    <n v="0"/>
    <n v="0"/>
    <n v="2951.5413470022904"/>
    <n v="0"/>
    <n v="0"/>
    <n v="0"/>
    <n v="46533"/>
    <n v="0"/>
    <n v="0"/>
    <n v="0"/>
    <n v="0"/>
    <n v="0"/>
    <n v="0"/>
    <n v="-6.3428679827346832E-2"/>
    <n v="4"/>
    <m/>
    <s v="Parbatta"/>
    <m/>
    <n v="0"/>
  </r>
  <r>
    <s v="Munger"/>
    <s v="24-30 Apr"/>
    <n v="1010"/>
    <s v="Parbatta"/>
    <x v="353"/>
    <s v="Gomukh Srirampur Thuthi"/>
    <s v="MPG"/>
    <s v="Direct"/>
    <n v="335.89999999999992"/>
    <n v="12854.9"/>
    <n v="335.85"/>
    <n v="12856.902166836"/>
    <n v="0"/>
    <n v="0"/>
    <n v="335.85"/>
    <n v="12856.902166836"/>
    <n v="12854.9"/>
    <n v="0"/>
    <n v="0"/>
    <n v="2.0021668360004696"/>
    <n v="0"/>
    <n v="0"/>
    <n v="0"/>
    <n v="12855"/>
    <n v="0"/>
    <n v="0"/>
    <n v="0"/>
    <n v="0"/>
    <n v="278.68229175349819"/>
    <n v="47.985714285714273"/>
    <n v="-1.5575125718601232E-4"/>
    <n v="4"/>
    <m/>
    <s v="Parbatta"/>
    <m/>
    <n v="0"/>
  </r>
  <r>
    <s v="Munger"/>
    <s v="24-30 Apr"/>
    <n v="1010"/>
    <s v="Parbatta"/>
    <x v="354"/>
    <s v="Gomukh Dumariya Bujurg"/>
    <s v="MPG"/>
    <s v="Direct"/>
    <n v="18.399999999999999"/>
    <n v="888.64"/>
    <n v="18.399999999999999"/>
    <n v="915.01218485599986"/>
    <n v="0"/>
    <n v="0"/>
    <n v="18.399999999999999"/>
    <n v="915.01218485599986"/>
    <n v="888.64"/>
    <n v="0"/>
    <n v="0"/>
    <n v="26.372184855999876"/>
    <n v="0"/>
    <n v="556.42162758620668"/>
    <n v="0"/>
    <n v="332"/>
    <n v="0"/>
    <n v="0"/>
    <n v="0"/>
    <s v="Release1"/>
    <n v="658.36633043478264"/>
    <n v="2.6285714285714286"/>
    <n v="-2.9677017527907676E-2"/>
    <n v="1"/>
    <m/>
    <s v="Parbatta"/>
    <m/>
    <n v="0"/>
  </r>
  <r>
    <s v="Munger"/>
    <s v="24-30 Apr"/>
    <n v="1010"/>
    <s v="Parbatta"/>
    <x v="355"/>
    <s v="Gomukh Dumariya Bujurg Madhay"/>
    <s v="MPG"/>
    <s v="Direct"/>
    <n v="70.000000000000014"/>
    <n v="3045.6699999999996"/>
    <n v="70"/>
    <n v="2901.4385400000001"/>
    <n v="0"/>
    <n v="0"/>
    <n v="70"/>
    <n v="2901.4385400000001"/>
    <n v="2901.4385400000001"/>
    <n v="0"/>
    <n v="0"/>
    <n v="0"/>
    <n v="0"/>
    <n v="70.386564705882279"/>
    <n v="0"/>
    <n v="2831"/>
    <n v="0"/>
    <n v="0"/>
    <n v="144"/>
    <n v="0"/>
    <n v="548.22059999999988"/>
    <n v="10.000000000000002"/>
    <n v="4.7356233603771759E-2"/>
    <n v="1"/>
    <m/>
    <s v="Parbatta"/>
    <m/>
    <n v="0"/>
  </r>
  <r>
    <s v="Munger"/>
    <s v="24-30 Apr"/>
    <n v="1010"/>
    <s v="Parbatta"/>
    <x v="356"/>
    <s v="Gomukh Bandahera                                                                                    "/>
    <s v="MPG"/>
    <s v="Direct"/>
    <n v="497.6"/>
    <n v="18853.910000000003"/>
    <n v="497.6"/>
    <n v="20625.083107200004"/>
    <n v="0"/>
    <n v="0"/>
    <n v="497.6"/>
    <n v="20625.083107200004"/>
    <n v="18853.910000000003"/>
    <n v="0"/>
    <n v="0"/>
    <n v="1771.1731072000002"/>
    <n v="0"/>
    <n v="0"/>
    <n v="0"/>
    <n v="18854"/>
    <n v="0"/>
    <n v="0"/>
    <n v="0"/>
    <n v="0"/>
    <n v="153.37746720257235"/>
    <n v="71.085714285714289"/>
    <n v="-9.3941951945246363E-2"/>
    <n v="1"/>
    <m/>
    <s v="Parbatta"/>
    <m/>
    <n v="0"/>
  </r>
  <r>
    <s v="Munger"/>
    <s v="24-30 Apr"/>
    <n v="1010"/>
    <s v="Parbatta"/>
    <x v="357"/>
    <s v="Gomukh Badi Lagar-1 Kiran"/>
    <s v="vlc"/>
    <s v="Indirect"/>
    <n v="314.8"/>
    <n v="9884.5600000000013"/>
    <n v="0"/>
    <n v="0"/>
    <n v="0"/>
    <n v="0"/>
    <n v="0"/>
    <n v="0"/>
    <n v="9884.5600000000013"/>
    <n v="0"/>
    <n v="0"/>
    <n v="0"/>
    <n v="0"/>
    <n v="1015.95810967742"/>
    <n v="0"/>
    <n v="0"/>
    <n v="0"/>
    <n v="8868.6018903225813"/>
    <n v="0"/>
    <n v="0"/>
    <n v="241.90168437102926"/>
    <n v="44.971428571428575"/>
    <n v="0"/>
    <n v="0"/>
    <m/>
    <s v="Parbatta"/>
    <m/>
    <n v="0"/>
  </r>
  <r>
    <s v="Munger"/>
    <s v="24-30 Apr"/>
    <n v="1007"/>
    <s v="Araria"/>
    <x v="358"/>
    <s v="Gomukh Basudevpur"/>
    <s v="vlc"/>
    <s v="Indirect"/>
    <n v="175"/>
    <n v="5859.81"/>
    <n v="0"/>
    <n v="0"/>
    <n v="0"/>
    <n v="0"/>
    <n v="0"/>
    <n v="0"/>
    <n v="5859.81"/>
    <n v="0"/>
    <n v="0"/>
    <n v="0"/>
    <n v="0"/>
    <n v="0"/>
    <n v="0"/>
    <n v="0"/>
    <n v="0"/>
    <n v="5859.81"/>
    <n v="0"/>
    <n v="0"/>
    <n v="351.58859999999999"/>
    <n v="25"/>
    <n v="0"/>
    <n v="0"/>
    <m/>
    <s v="Araria"/>
    <m/>
    <n v="0"/>
  </r>
  <r>
    <s v="Munger"/>
    <s v="24-30 Apr"/>
    <n v="1007"/>
    <s v="Araria"/>
    <x v="359"/>
    <s v="Gomukh Fudkichak"/>
    <s v="MPG"/>
    <s v="Direct"/>
    <n v="24.4"/>
    <n v="1134.1999999999998"/>
    <n v="24.4"/>
    <n v="1327.1319854160001"/>
    <n v="0"/>
    <n v="0"/>
    <n v="24.4"/>
    <n v="1327.1319854160001"/>
    <n v="1134.1999999999998"/>
    <n v="0"/>
    <n v="0"/>
    <n v="192.93198541600032"/>
    <n v="0"/>
    <n v="880.59033103448303"/>
    <n v="0"/>
    <n v="254"/>
    <n v="0"/>
    <n v="0"/>
    <n v="0"/>
    <n v="0"/>
    <n v="628.08649180327859"/>
    <n v="3.4857142857142853"/>
    <n v="-0.17010402523011844"/>
    <n v="1"/>
    <m/>
    <s v="Araria"/>
    <m/>
    <n v="0"/>
  </r>
  <r>
    <s v="Munger"/>
    <s v="24-30 Apr"/>
    <n v="1007"/>
    <s v="Araria"/>
    <x v="360"/>
    <s v="Gomukh Tehay"/>
    <s v="MPG"/>
    <s v="Direct"/>
    <n v="173.70000000000002"/>
    <n v="8499.5300000000007"/>
    <n v="206.99999999999997"/>
    <n v="10106.090419031803"/>
    <n v="0"/>
    <n v="0"/>
    <n v="206.99999999999997"/>
    <n v="10106.090419031803"/>
    <n v="8499.5300000000007"/>
    <n v="0"/>
    <n v="0"/>
    <n v="1606.5604190318027"/>
    <n v="0"/>
    <n v="0"/>
    <n v="0"/>
    <n v="8500"/>
    <n v="0"/>
    <n v="0"/>
    <n v="0"/>
    <n v="0"/>
    <n v="515.06075290731144"/>
    <n v="24.814285714285717"/>
    <n v="-0.18901755968057088"/>
    <n v="2"/>
    <m/>
    <s v="Araria"/>
    <m/>
    <n v="0"/>
  </r>
  <r>
    <s v="Munger"/>
    <s v="24-30 Apr"/>
    <n v="1007"/>
    <s v="Araria"/>
    <x v="361"/>
    <s v="Gomukh Buddhnagar"/>
    <s v="vlc"/>
    <s v="Indirect"/>
    <n v="822.19999999999993"/>
    <n v="29826.98"/>
    <n v="0"/>
    <n v="0"/>
    <n v="0"/>
    <n v="0"/>
    <n v="0"/>
    <n v="0"/>
    <n v="29826.98"/>
    <n v="0"/>
    <n v="0"/>
    <n v="0"/>
    <n v="0"/>
    <n v="0"/>
    <n v="0"/>
    <n v="0"/>
    <n v="0"/>
    <n v="29826.98"/>
    <n v="0"/>
    <n v="0"/>
    <n v="0"/>
    <n v="0"/>
    <n v="0"/>
    <n v="0"/>
    <m/>
    <s v="Araria"/>
    <m/>
    <n v="0"/>
  </r>
  <r>
    <s v="Munger"/>
    <s v="24-30 Apr"/>
    <n v="1007"/>
    <s v="Araria"/>
    <x v="363"/>
    <s v="Gomukh Govind Pur"/>
    <s v="MPG"/>
    <s v="Direct"/>
    <n v="164.9"/>
    <n v="5736.31"/>
    <n v="164.9"/>
    <n v="8328.474378588"/>
    <n v="0"/>
    <n v="0"/>
    <n v="164.9"/>
    <n v="8328.474378588"/>
    <n v="5736.31"/>
    <n v="0"/>
    <n v="0"/>
    <n v="2592.1643785879996"/>
    <n v="0"/>
    <n v="522.03099310344851"/>
    <n v="0"/>
    <n v="5214"/>
    <n v="0"/>
    <n v="0"/>
    <n v="0"/>
    <n v="0"/>
    <n v="372.28617113402072"/>
    <n v="23.557142857142857"/>
    <n v="-0.45188708047298687"/>
    <n v="1"/>
    <m/>
    <s v="Araria"/>
    <m/>
    <n v="0"/>
  </r>
  <r>
    <s v="Munger"/>
    <s v="24-30 Apr"/>
    <n v="1007"/>
    <s v="Araria"/>
    <x v="364"/>
    <s v="Gomukh Sondiha"/>
    <s v="MPG"/>
    <s v="Direct"/>
    <n v="1062.3"/>
    <n v="39687.61"/>
    <n v="1118"/>
    <n v="42438.432048430004"/>
    <n v="0"/>
    <n v="0"/>
    <n v="1118"/>
    <n v="42438.432048430004"/>
    <n v="39687.61"/>
    <n v="0"/>
    <n v="0"/>
    <n v="2750.8220484300036"/>
    <n v="0"/>
    <n v="0"/>
    <n v="0"/>
    <n v="39688"/>
    <n v="0"/>
    <n v="0"/>
    <n v="0"/>
    <n v="0"/>
    <n v="0"/>
    <n v="0"/>
    <n v="-6.9311859505523349E-2"/>
    <n v="2"/>
    <m/>
    <s v="Araria"/>
    <m/>
    <n v="0"/>
  </r>
  <r>
    <s v="Munger"/>
    <s v="24-30 Apr"/>
    <n v="1056"/>
    <s v="Chautham"/>
    <x v="1064"/>
    <s v="Basudevpur "/>
    <s v="vlc"/>
    <s v="Indirect"/>
    <n v="45.480000000000004"/>
    <n v="1737.6599999999999"/>
    <n v="0"/>
    <n v="0"/>
    <n v="0"/>
    <n v="0"/>
    <n v="0"/>
    <n v="0"/>
    <n v="1737.6599999999999"/>
    <n v="0"/>
    <n v="0"/>
    <n v="0"/>
    <n v="0"/>
    <n v="0"/>
    <n v="0"/>
    <n v="0"/>
    <n v="0"/>
    <n v="1737.6599999999999"/>
    <n v="0"/>
    <n v="0"/>
    <n v="500.14653614775716"/>
    <n v="6.4971428571428573"/>
    <n v="0"/>
    <n v="0"/>
    <m/>
    <s v="Chautham"/>
    <m/>
    <n v="0"/>
  </r>
  <r>
    <s v="Munger"/>
    <s v="24-30 Apr"/>
    <n v="1007"/>
    <s v="Araria"/>
    <x v="365"/>
    <s v="Gomukh Thebhay B"/>
    <s v="MPG"/>
    <s v="Direct"/>
    <n v="316.00000000000006"/>
    <n v="12988.089999999998"/>
    <n v="472.9"/>
    <n v="18446.635028218199"/>
    <n v="3.5300000000000002"/>
    <n v="140.54822139600003"/>
    <n v="476.42999999999995"/>
    <n v="18587.183249614198"/>
    <n v="12988.089999999998"/>
    <n v="0"/>
    <n v="140.54822139600003"/>
    <n v="5599.0932496141995"/>
    <n v="0"/>
    <n v="0"/>
    <n v="0"/>
    <n v="12847"/>
    <n v="0"/>
    <n v="0"/>
    <n v="1"/>
    <n v="0"/>
    <n v="315.65990886075934"/>
    <n v="45.142857142857153"/>
    <n v="-0.43109442955925009"/>
    <n v="8"/>
    <m/>
    <s v="Araria"/>
    <m/>
    <n v="0"/>
  </r>
  <r>
    <s v="Munger"/>
    <s v="24-30 Apr"/>
    <n v="1007"/>
    <s v="Araria"/>
    <x v="366"/>
    <s v="Gomukh Baisa"/>
    <s v="MPG"/>
    <s v="Direct"/>
    <n v="252.7"/>
    <n v="9088.7999999999993"/>
    <n v="252.79999999999998"/>
    <n v="12304.199136018002"/>
    <n v="0"/>
    <n v="0"/>
    <n v="252.79999999999998"/>
    <n v="12304.199136018002"/>
    <n v="9088.7999999999993"/>
    <n v="0"/>
    <n v="0"/>
    <n v="3215.3991360180025"/>
    <n v="0"/>
    <n v="0"/>
    <n v="0"/>
    <n v="9089"/>
    <n v="0"/>
    <n v="0"/>
    <n v="0"/>
    <n v="0"/>
    <n v="321.75862603878113"/>
    <n v="36.1"/>
    <n v="-0.35377598098956986"/>
    <n v="4"/>
    <m/>
    <s v="Araria"/>
    <m/>
    <n v="0"/>
  </r>
  <r>
    <s v="Munger"/>
    <s v="24-30 Apr"/>
    <n v="1010"/>
    <s v="Parbatta"/>
    <x v="367"/>
    <s v="Gomukh Bhorkanth Purbi"/>
    <s v="MPG"/>
    <s v="Direct"/>
    <n v="65"/>
    <n v="2273.38"/>
    <n v="65"/>
    <n v="2522.5920720000004"/>
    <n v="0"/>
    <n v="0"/>
    <n v="65"/>
    <n v="2522.5920720000004"/>
    <n v="2273.38"/>
    <n v="0"/>
    <n v="0"/>
    <n v="249.21207200000026"/>
    <n v="0"/>
    <n v="0"/>
    <n v="0"/>
    <n v="2273"/>
    <n v="0"/>
    <n v="0"/>
    <n v="0"/>
    <n v="0"/>
    <n v="444.18347692307697"/>
    <n v="9.2857142857142865"/>
    <n v="-0.10962182829091496"/>
    <n v="1"/>
    <m/>
    <s v="Parbatta"/>
    <m/>
    <n v="0"/>
  </r>
  <r>
    <s v="Munger"/>
    <s v="24-30 Apr"/>
    <n v="1010"/>
    <s v="Parbatta"/>
    <x v="368"/>
    <s v="Gomukh Khutha VLC"/>
    <s v="vlc"/>
    <s v="Indirect"/>
    <n v="8407.2000000000007"/>
    <n v="327032.12999999995"/>
    <n v="0"/>
    <n v="0"/>
    <n v="0"/>
    <n v="0"/>
    <n v="0"/>
    <n v="0"/>
    <n v="327032.12999999995"/>
    <n v="0"/>
    <n v="0"/>
    <n v="0"/>
    <n v="0"/>
    <n v="0"/>
    <n v="0"/>
    <n v="0"/>
    <n v="0"/>
    <n v="327032.12999999995"/>
    <n v="0"/>
    <n v="0"/>
    <n v="0"/>
    <n v="0"/>
    <n v="0"/>
    <n v="0"/>
    <m/>
    <s v="Parbatta"/>
    <m/>
    <n v="0"/>
  </r>
  <r>
    <s v="Munger"/>
    <s v="24-30 Apr"/>
    <n v="1010"/>
    <s v="Parbatta"/>
    <x v="369"/>
    <s v="Gomukh Kabela Vlc"/>
    <s v="vlc"/>
    <s v="Indirect"/>
    <n v="164.4"/>
    <n v="4989.37"/>
    <n v="0"/>
    <n v="0"/>
    <n v="0"/>
    <n v="0"/>
    <n v="0"/>
    <n v="0"/>
    <n v="4989.37"/>
    <n v="0"/>
    <n v="0"/>
    <n v="0"/>
    <n v="0"/>
    <n v="3388.5438387096774"/>
    <n v="0"/>
    <n v="0"/>
    <n v="0"/>
    <n v="1600.8261612903225"/>
    <n v="0"/>
    <n v="0"/>
    <n v="325.09812311435513"/>
    <n v="23.485714285714288"/>
    <n v="0"/>
    <n v="0"/>
    <m/>
    <s v="Parbatta"/>
    <m/>
    <n v="0"/>
  </r>
  <r>
    <s v="Munger"/>
    <s v="24-30 Apr"/>
    <n v="1010"/>
    <s v="Parbatta"/>
    <x v="1057"/>
    <s v="Gomukh Madhabpur Purbi Vlc"/>
    <s v="vlc"/>
    <s v="Indirect"/>
    <n v="24.799999999999997"/>
    <n v="791.45999999999992"/>
    <n v="0"/>
    <n v="0"/>
    <n v="0"/>
    <n v="0"/>
    <n v="0"/>
    <n v="0"/>
    <n v="791.45999999999992"/>
    <n v="0"/>
    <n v="0"/>
    <n v="0"/>
    <n v="0"/>
    <n v="553.36800000000005"/>
    <n v="0"/>
    <n v="0"/>
    <n v="0"/>
    <n v="238.09199999999987"/>
    <n v="0"/>
    <n v="0"/>
    <n v="430.96273548387103"/>
    <n v="3.5428571428571423"/>
    <n v="0"/>
    <n v="0"/>
    <m/>
    <s v="Parbatta"/>
    <m/>
    <n v="0"/>
  </r>
  <r>
    <s v="Munger"/>
    <s v="24-30 Apr"/>
    <n v="1010"/>
    <s v="Parbatta"/>
    <x v="371"/>
    <s v="Gomukh Manish Vlc"/>
    <s v="vlc"/>
    <s v="Indirect"/>
    <n v="290.60000000000002"/>
    <n v="13422.34"/>
    <n v="0"/>
    <n v="0"/>
    <n v="0"/>
    <n v="0"/>
    <n v="0"/>
    <n v="0"/>
    <n v="13422.34"/>
    <n v="0"/>
    <n v="0"/>
    <n v="0"/>
    <n v="0"/>
    <n v="4207.9620000000004"/>
    <n v="0"/>
    <n v="0"/>
    <n v="0"/>
    <n v="9214.3780000000006"/>
    <n v="0"/>
    <n v="0"/>
    <n v="378.19036448726769"/>
    <n v="41.51428571428572"/>
    <n v="0"/>
    <n v="0"/>
    <m/>
    <s v="Parbatta"/>
    <m/>
    <n v="0"/>
  </r>
  <r>
    <s v="Munger"/>
    <s v="24-30 Apr"/>
    <n v="1055"/>
    <s v="Matihani"/>
    <x v="372"/>
    <s v="Gomukh Mahendrapur"/>
    <s v="MPG"/>
    <s v="Direct"/>
    <n v="1689.8999999999999"/>
    <n v="66924.509999999995"/>
    <n v="1689.4999999999998"/>
    <n v="68652.173359962602"/>
    <n v="37"/>
    <n v="1507.0853952000002"/>
    <n v="1726.4999999999998"/>
    <n v="70159.258755162606"/>
    <n v="66924.509999999995"/>
    <n v="0"/>
    <n v="1507.0853952000002"/>
    <n v="3234.7487551626109"/>
    <n v="0"/>
    <n v="0"/>
    <n v="0"/>
    <n v="65417"/>
    <n v="0"/>
    <n v="0"/>
    <n v="0"/>
    <n v="0"/>
    <n v="0"/>
    <n v="0"/>
    <n v="-4.8334291206056063E-2"/>
    <n v="11"/>
    <m/>
    <s v="Matihani"/>
    <m/>
    <n v="0"/>
  </r>
  <r>
    <s v="Munger"/>
    <s v="24-30 Apr"/>
    <n v="1055"/>
    <s v="Matihani"/>
    <x v="373"/>
    <s v="Gomukh Balahpur"/>
    <s v="MPG"/>
    <s v="Direct"/>
    <n v="281.39999999999998"/>
    <n v="9923.06"/>
    <n v="282.20000000000005"/>
    <n v="10360.343307600002"/>
    <n v="0"/>
    <n v="0"/>
    <n v="282.20000000000005"/>
    <n v="10360.343307600002"/>
    <n v="9923.06"/>
    <n v="0"/>
    <n v="0"/>
    <n v="437.28330760000244"/>
    <n v="0"/>
    <n v="0"/>
    <n v="0"/>
    <n v="9923"/>
    <n v="0"/>
    <n v="0"/>
    <n v="0"/>
    <n v="0"/>
    <n v="295.22337711442788"/>
    <n v="40.199999999999996"/>
    <n v="-4.4067385221897529E-2"/>
    <n v="2"/>
    <m/>
    <s v="Matihani"/>
    <m/>
    <n v="0"/>
  </r>
  <r>
    <s v="Munger"/>
    <s v="24-30 Apr"/>
    <n v="1011"/>
    <s v="Sahibpur Kamal"/>
    <x v="374"/>
    <s v="Gomukh Danauli"/>
    <s v="MPG"/>
    <s v="Direct"/>
    <n v="547.29999999999995"/>
    <n v="19812.7"/>
    <n v="547.29999999999995"/>
    <n v="19812.420520200001"/>
    <n v="1.4000000000000001"/>
    <n v="50.676318000000009"/>
    <n v="548.69999999999993"/>
    <n v="19863.096838200003"/>
    <n v="19812.7"/>
    <n v="0"/>
    <n v="50.676318000000009"/>
    <n v="50.396838200002094"/>
    <n v="0"/>
    <n v="0"/>
    <n v="0"/>
    <n v="19762"/>
    <n v="0"/>
    <n v="0"/>
    <n v="0"/>
    <n v="0"/>
    <n v="110.55725525306052"/>
    <n v="78.185714285714283"/>
    <n v="-2.5436633169634675E-3"/>
    <n v="3"/>
    <m/>
    <s v="Sahibpur Kamal"/>
    <m/>
    <n v="0"/>
  </r>
  <r>
    <s v="Munger"/>
    <s v="24-30 Apr"/>
    <n v="1055"/>
    <s v="Matihani"/>
    <x v="375"/>
    <s v="NAYAGAW"/>
    <s v="MPG"/>
    <s v="Direct"/>
    <n v="4562.5000000000009"/>
    <n v="185435.38000000003"/>
    <n v="4529.920000000001"/>
    <n v="184455.16177153034"/>
    <n v="32.619999999999997"/>
    <n v="2333.37764557328"/>
    <n v="4562.5400000000009"/>
    <n v="186788.53941710363"/>
    <n v="185435.38000000003"/>
    <n v="0"/>
    <n v="2333.37764557328"/>
    <n v="1353.1594171035977"/>
    <n v="0"/>
    <n v="0"/>
    <n v="0"/>
    <n v="183102"/>
    <n v="0"/>
    <n v="0"/>
    <n v="0"/>
    <n v="0"/>
    <n v="0"/>
    <n v="0"/>
    <n v="-7.2972019530663321E-3"/>
    <n v="36"/>
    <m/>
    <s v="Matihani"/>
    <m/>
    <n v="0"/>
  </r>
  <r>
    <s v="Munger"/>
    <s v="24-30 Apr"/>
    <n v="1011"/>
    <s v="Sahibpur Kamal"/>
    <x v="376"/>
    <s v="Dandari"/>
    <s v="MPG"/>
    <s v="Direct"/>
    <n v="1077.4000000000001"/>
    <n v="38740.019999999997"/>
    <n v="1075"/>
    <n v="38564.091140256001"/>
    <n v="2.4"/>
    <n v="87.571285560000007"/>
    <n v="1077.4000000000001"/>
    <n v="38651.662425816001"/>
    <n v="38651.662425816001"/>
    <n v="0"/>
    <n v="87.571285560000007"/>
    <n v="0"/>
    <n v="0"/>
    <n v="0"/>
    <n v="0"/>
    <n v="38565"/>
    <n v="0"/>
    <n v="0"/>
    <n v="87"/>
    <n v="0"/>
    <n v="0"/>
    <n v="0"/>
    <n v="2.2807828747635106E-3"/>
    <n v="6"/>
    <m/>
    <s v="Sahibpur Kamal"/>
    <m/>
    <n v="0"/>
  </r>
  <r>
    <s v="Munger"/>
    <s v="24-30 Apr"/>
    <n v="1011"/>
    <s v="Sahibpur Kamal"/>
    <x v="377"/>
    <s v="Rahimpur Pachkhutti"/>
    <s v="vlc"/>
    <s v="Indirect"/>
    <n v="4109.2000000000007"/>
    <n v="157619.70000000001"/>
    <n v="0"/>
    <n v="0"/>
    <n v="0"/>
    <n v="0"/>
    <n v="0"/>
    <n v="0"/>
    <n v="157619.70000000001"/>
    <n v="0"/>
    <n v="0"/>
    <n v="0"/>
    <n v="0"/>
    <n v="5510.8762032786872"/>
    <n v="0"/>
    <n v="0"/>
    <n v="0"/>
    <n v="152108.82379672132"/>
    <n v="0"/>
    <n v="0"/>
    <n v="0"/>
    <n v="0"/>
    <n v="0"/>
    <n v="0"/>
    <m/>
    <s v="Sahibpur Kamal"/>
    <m/>
    <n v="0"/>
  </r>
  <r>
    <s v="Munger"/>
    <s v="24-30 Apr"/>
    <n v="1011"/>
    <s v="Sahibpur Kamal"/>
    <x v="378"/>
    <s v="Gomukh Mohanpur                                                                                     "/>
    <s v="MPG"/>
    <s v="Direct"/>
    <n v="744.3"/>
    <n v="27191.59"/>
    <n v="746"/>
    <n v="27853.853583600005"/>
    <n v="1"/>
    <n v="37.159063920000001"/>
    <n v="747"/>
    <n v="27891.012647520005"/>
    <n v="27191.59"/>
    <n v="0"/>
    <n v="37.159063920000001"/>
    <n v="699.42264752000483"/>
    <n v="1300"/>
    <n v="191.98338545454652"/>
    <n v="0"/>
    <n v="25662"/>
    <n v="0"/>
    <n v="0"/>
    <n v="0"/>
    <n v="0"/>
    <n v="0"/>
    <n v="0"/>
    <n v="-2.5722020945446913E-2"/>
    <n v="7"/>
    <m/>
    <s v="Sahibpur Kamal"/>
    <m/>
    <n v="0"/>
  </r>
  <r>
    <s v="Munger"/>
    <s v="24-30 Apr"/>
    <n v="1011"/>
    <s v="Sahibpur Kamal"/>
    <x v="379"/>
    <s v="Gomukh Raghunathpur"/>
    <s v="MPG"/>
    <s v="Direct"/>
    <n v="1028.7"/>
    <n v="47462.470000000008"/>
    <n v="1042.9000000000003"/>
    <n v="46569.970355693302"/>
    <n v="17.7"/>
    <n v="768.39210132300013"/>
    <n v="1060.6000000000004"/>
    <n v="47338.362457016301"/>
    <n v="47338.362457016301"/>
    <n v="0"/>
    <n v="768.39210132300013"/>
    <n v="0"/>
    <n v="0"/>
    <n v="0"/>
    <n v="0"/>
    <n v="46569"/>
    <n v="0"/>
    <n v="0"/>
    <n v="125"/>
    <n v="0"/>
    <n v="0"/>
    <n v="0"/>
    <n v="2.6148563904008233E-3"/>
    <n v="31"/>
    <m/>
    <s v="Sahibpur Kamal"/>
    <m/>
    <n v="0"/>
  </r>
  <r>
    <s v="Munger"/>
    <s v="24-30 Apr"/>
    <n v="1055"/>
    <s v="Matihani"/>
    <x v="380"/>
    <s v="Gomukh Chhitraur"/>
    <s v="MPG"/>
    <s v="Direct"/>
    <n v="906.90000000000009"/>
    <n v="36893.31"/>
    <n v="917.38999999999987"/>
    <n v="39496.172164841701"/>
    <n v="0"/>
    <n v="0"/>
    <n v="917.38999999999987"/>
    <n v="39496.172164841701"/>
    <n v="36893.31"/>
    <n v="0"/>
    <n v="0"/>
    <n v="2602.8621648417029"/>
    <n v="0"/>
    <n v="0"/>
    <n v="0"/>
    <n v="36893"/>
    <n v="0"/>
    <n v="0"/>
    <n v="0"/>
    <n v="0"/>
    <n v="0"/>
    <n v="0"/>
    <n v="-7.0551061014631197E-2"/>
    <n v="8"/>
    <m/>
    <s v="Matihani"/>
    <m/>
    <n v="0"/>
  </r>
  <r>
    <s v="Munger"/>
    <s v="24-30 Apr"/>
    <n v="1055"/>
    <s v="Matihani"/>
    <x v="381"/>
    <s v="Gomukh Khorampur Chakaur"/>
    <s v="MPG"/>
    <s v="Direct"/>
    <n v="515.6"/>
    <n v="20738.2"/>
    <n v="514.70000000000005"/>
    <n v="20980.7498934"/>
    <n v="2.5"/>
    <n v="102.533805"/>
    <n v="517.20000000000005"/>
    <n v="21083.283698399999"/>
    <n v="20738.2"/>
    <n v="0"/>
    <n v="102.533805"/>
    <n v="345.08369839999796"/>
    <n v="0"/>
    <n v="0"/>
    <n v="0"/>
    <n v="20635"/>
    <n v="0"/>
    <n v="0"/>
    <n v="1"/>
    <n v="0"/>
    <n v="148.33685337470908"/>
    <n v="73.657142857142858"/>
    <n v="-1.6640002430297611E-2"/>
    <n v="6"/>
    <m/>
    <s v="Matihani"/>
    <m/>
    <n v="0"/>
  </r>
  <r>
    <s v="Munger"/>
    <s v="24-30 Apr"/>
    <n v="1011"/>
    <s v="Sahibpur Kamal"/>
    <x v="382"/>
    <s v="Goumukh Samastipur"/>
    <s v="MPG"/>
    <s v="Direct"/>
    <n v="1"/>
    <n v="41.85"/>
    <n v="0"/>
    <n v="0"/>
    <n v="0"/>
    <n v="0"/>
    <n v="0"/>
    <n v="0"/>
    <n v="0"/>
    <n v="0"/>
    <n v="0"/>
    <n v="0"/>
    <n v="0"/>
    <n v="0"/>
    <n v="0"/>
    <n v="0"/>
    <n v="0"/>
    <n v="0"/>
    <n v="42"/>
    <s v="Yes"/>
    <n v="585.06299999999999"/>
    <n v="0.14285714285714285"/>
    <n v="1"/>
    <n v="0"/>
    <m/>
    <s v="Sahibpur Kamal"/>
    <m/>
    <n v="0"/>
  </r>
  <r>
    <s v="Munger"/>
    <s v="24-30 Apr"/>
    <n v="1011"/>
    <s v="Sahibpur Kamal"/>
    <x v="383"/>
    <s v="GOMUKH Mathar"/>
    <s v="MPG"/>
    <s v="Direct"/>
    <n v="88.3"/>
    <n v="3452.53"/>
    <n v="87.949999999999989"/>
    <n v="3268.8687448548785"/>
    <n v="7.3400000000000007"/>
    <n v="272.41536286041003"/>
    <n v="95.289999999999992"/>
    <n v="3541.2841077152884"/>
    <n v="3452.53"/>
    <n v="0"/>
    <n v="272.41536286041003"/>
    <n v="88.754107715288228"/>
    <n v="0"/>
    <n v="6.57"/>
    <n v="0"/>
    <n v="3173"/>
    <n v="0"/>
    <n v="0"/>
    <n v="1"/>
    <s v="Release1"/>
    <n v="478.34940000000006"/>
    <n v="12.614285714285714"/>
    <n v="-2.5706976540475601E-2"/>
    <n v="3"/>
    <m/>
    <s v="Sahibpur Kamal"/>
    <m/>
    <n v="0"/>
  </r>
  <r>
    <s v="Munger"/>
    <s v="24-30 Apr"/>
    <n v="1011"/>
    <s v="Sahibpur Kamal"/>
    <x v="384"/>
    <s v="Gomukh Kumar Chakki"/>
    <s v="MPG"/>
    <s v="Direct"/>
    <n v="59.1"/>
    <n v="2069.09"/>
    <n v="59"/>
    <n v="2157.3383040000003"/>
    <n v="0.1"/>
    <n v="3.6565056000000009"/>
    <n v="59.1"/>
    <n v="2160.9948096000003"/>
    <n v="2069.09"/>
    <n v="0"/>
    <n v="3.6565056000000009"/>
    <n v="91.904809600000135"/>
    <n v="0"/>
    <n v="895.04167499999971"/>
    <n v="0"/>
    <n v="1170"/>
    <n v="0"/>
    <n v="0"/>
    <n v="0"/>
    <n v="0"/>
    <n v="448.75796311336723"/>
    <n v="8.4428571428571431"/>
    <n v="-4.441798549120634E-2"/>
    <n v="2"/>
    <m/>
    <s v="Sahibpur Kamal"/>
    <m/>
    <n v="0"/>
  </r>
  <r>
    <s v="Munger"/>
    <s v="24-30 Apr"/>
    <n v="1055"/>
    <s v="Matihani"/>
    <x v="385"/>
    <s v="Gomukh Sonapur"/>
    <s v="vlc"/>
    <s v="Indirect"/>
    <n v="405.4"/>
    <n v="15334.4"/>
    <n v="0"/>
    <n v="0"/>
    <n v="0"/>
    <n v="0"/>
    <n v="0"/>
    <n v="0"/>
    <n v="15334.4"/>
    <n v="0"/>
    <n v="0"/>
    <n v="0"/>
    <n v="0"/>
    <n v="246.73350967741936"/>
    <n v="0"/>
    <n v="0"/>
    <n v="0"/>
    <n v="15087.666490322581"/>
    <n v="0"/>
    <n v="0"/>
    <n v="222.86700740009866"/>
    <n v="57.914285714285711"/>
    <n v="0"/>
    <n v="0"/>
    <m/>
    <s v="Matihani"/>
    <m/>
    <n v="0"/>
  </r>
  <r>
    <s v="Munger"/>
    <s v="24-30 Apr"/>
    <n v="1011"/>
    <s v="Sahibpur Kamal"/>
    <x v="386"/>
    <s v="Gomukh Barkhandi 2"/>
    <s v="MPG"/>
    <s v="Indirect"/>
    <n v="554.50000000000011"/>
    <n v="22018.109999999997"/>
    <n v="0"/>
    <n v="0"/>
    <n v="0"/>
    <n v="0"/>
    <n v="0"/>
    <n v="0"/>
    <n v="22018.109999999997"/>
    <n v="0"/>
    <n v="0"/>
    <n v="0"/>
    <n v="0"/>
    <n v="752.2475419354829"/>
    <n v="0"/>
    <n v="0"/>
    <n v="0"/>
    <n v="21265.862458064516"/>
    <n v="0"/>
    <n v="0"/>
    <n v="115.5504059513073"/>
    <n v="79.214285714285737"/>
    <n v="0"/>
    <n v="0"/>
    <m/>
    <s v="Sahibpur Kamal"/>
    <m/>
    <n v="0"/>
  </r>
  <r>
    <s v="Munger"/>
    <s v="24-30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793.69999999999993"/>
    <n v="30562.579999999998"/>
    <n v="803.59999999999991"/>
    <n v="31106.029280039998"/>
    <n v="4.1999999999999993"/>
    <n v="161.57258568"/>
    <n v="807.8"/>
    <n v="31267.60186572"/>
    <n v="30562.579999999998"/>
    <n v="0"/>
    <n v="161.57258568"/>
    <n v="705.0218657200021"/>
    <n v="0"/>
    <n v="0"/>
    <n v="0"/>
    <n v="30401"/>
    <n v="0"/>
    <n v="0"/>
    <n v="0"/>
    <n v="0"/>
    <n v="0"/>
    <n v="0"/>
    <n v="-2.306813972249732E-2"/>
    <n v="5"/>
    <m/>
    <s v="Sahibpur Kamal"/>
    <m/>
    <n v="0"/>
  </r>
  <r>
    <s v="Munger"/>
    <s v="24-30 Apr"/>
    <n v="1011"/>
    <s v="Sahibpur Kamal"/>
    <x v="389"/>
    <s v="GOMUKH KATAHRI"/>
    <s v="MPG"/>
    <s v="Direct"/>
    <n v="83.300000000000011"/>
    <n v="4591.3499999999995"/>
    <n v="81.800000000000011"/>
    <n v="4499.9206062636003"/>
    <n v="2.5000000000000004"/>
    <n v="141.9771112464"/>
    <n v="84.300000000000011"/>
    <n v="4641.8977175100008"/>
    <n v="4591.3499999999995"/>
    <n v="0"/>
    <n v="141.9771112464"/>
    <n v="50.547717510001348"/>
    <n v="2700"/>
    <n v="40.309050000000084"/>
    <n v="0"/>
    <n v="1709"/>
    <n v="0"/>
    <n v="0"/>
    <n v="0"/>
    <n v="0"/>
    <n v="679.82846218487384"/>
    <n v="11.900000000000002"/>
    <n v="-1.100933658074452E-2"/>
    <n v="2"/>
    <m/>
    <s v="Sahibpur Kamal"/>
    <m/>
    <n v="0"/>
  </r>
  <r>
    <s v="Munger"/>
    <s v="24-30 Apr"/>
    <n v="1011"/>
    <s v="Sahibpur Kamal"/>
    <x v="390"/>
    <s v="GOMUKH Mathar Ward 10"/>
    <s v="MPG"/>
    <s v="Direct"/>
    <n v="730.80000000000007"/>
    <n v="30103.170000000002"/>
    <n v="519"/>
    <n v="20247.818417999999"/>
    <n v="223.9"/>
    <n v="10401.0324239416"/>
    <n v="742.9"/>
    <n v="30648.850841941599"/>
    <n v="30103.170000000002"/>
    <n v="0"/>
    <n v="82.502640000000014"/>
    <n v="545.68084194159746"/>
    <n v="0"/>
    <n v="0"/>
    <n v="0"/>
    <n v="19701"/>
    <n v="10319"/>
    <n v="0"/>
    <n v="1"/>
    <n v="0"/>
    <n v="0"/>
    <n v="0"/>
    <n v="-1.8127022567443807E-2"/>
    <n v="6"/>
    <m/>
    <s v="Sahibpur Kamal"/>
    <m/>
    <n v="0"/>
  </r>
  <r>
    <s v="Munger"/>
    <s v="24-30 Apr"/>
    <n v="1011"/>
    <s v="Sahibpur Kamal"/>
    <x v="391"/>
    <s v="GOMUKH Tartor 2"/>
    <s v="MPG"/>
    <s v="Direct"/>
    <n v="342.2"/>
    <n v="14647.31"/>
    <n v="351.59999999999997"/>
    <n v="16484.497408693005"/>
    <n v="0"/>
    <n v="0"/>
    <n v="351.59999999999997"/>
    <n v="16484.497408693005"/>
    <n v="14647.31"/>
    <n v="0"/>
    <n v="0"/>
    <n v="1837.1874086930056"/>
    <n v="0"/>
    <n v="0"/>
    <n v="0"/>
    <n v="14647"/>
    <n v="0"/>
    <n v="0"/>
    <n v="0"/>
    <s v="Release1"/>
    <n v="306.30084850964352"/>
    <n v="48.885714285714286"/>
    <n v="-0.12542831473444652"/>
    <n v="1"/>
    <m/>
    <s v="Sahibpur Kamal"/>
    <m/>
    <n v="0"/>
  </r>
  <r>
    <s v="Munger"/>
    <s v="24-30 Apr"/>
    <n v="1011"/>
    <s v="Sahibpur Kamal"/>
    <x v="392"/>
    <s v="Gomukh Chaidha"/>
    <s v="MPG"/>
    <s v="Direct"/>
    <n v="1031.5"/>
    <n v="39551.740000000005"/>
    <n v="1025.68"/>
    <n v="40825.567243284124"/>
    <n v="5.2800000000000011"/>
    <n v="204.02510515200004"/>
    <n v="1030.96"/>
    <n v="41029.592348436126"/>
    <n v="39551.740000000005"/>
    <n v="0"/>
    <n v="204.02510515200004"/>
    <n v="1477.8523484361212"/>
    <n v="0"/>
    <n v="0"/>
    <n v="0"/>
    <n v="39348"/>
    <n v="0"/>
    <n v="0"/>
    <n v="0"/>
    <s v="Release1"/>
    <n v="0"/>
    <n v="0"/>
    <n v="-3.736504003202188E-2"/>
    <n v="18"/>
    <m/>
    <s v="Sahibpur Kamal"/>
    <m/>
    <n v="0"/>
  </r>
  <r>
    <s v="Munger"/>
    <s v="24-30 Apr"/>
    <n v="1011"/>
    <s v="Sahibpur Kamal"/>
    <x v="393"/>
    <s v="Gomukh Bakiya"/>
    <s v="MPG"/>
    <s v="Direct"/>
    <n v="921.7"/>
    <n v="36906.47"/>
    <n v="921.68000000000006"/>
    <n v="36818.180823815012"/>
    <n v="6.1600000000000019"/>
    <n v="241.23146493600004"/>
    <n v="927.84"/>
    <n v="37059.412288751009"/>
    <n v="36906.47"/>
    <n v="0"/>
    <n v="241.23146493600004"/>
    <n v="152.94228875100816"/>
    <n v="3900"/>
    <n v="0"/>
    <n v="0"/>
    <n v="0"/>
    <n v="0"/>
    <n v="0"/>
    <n v="32765"/>
    <s v="Yes"/>
    <n v="0"/>
    <n v="0"/>
    <n v="-4.1440508602152461E-3"/>
    <n v="17"/>
    <m/>
    <s v="Sahibpur Kamal"/>
    <m/>
    <n v="0"/>
  </r>
  <r>
    <s v="Munger"/>
    <s v="24-30 Apr"/>
    <n v="1011"/>
    <s v="Sahibpur Kamal"/>
    <x v="395"/>
    <s v="GOMUKH Nista Tol"/>
    <s v="MPG"/>
    <s v="Direct"/>
    <n v="67.3"/>
    <n v="2440.6099999999997"/>
    <n v="71.680000000000007"/>
    <n v="2497.7262801546003"/>
    <n v="0"/>
    <n v="0"/>
    <n v="71.680000000000007"/>
    <n v="2497.7262801546003"/>
    <n v="2440.6099999999997"/>
    <n v="0"/>
    <n v="0"/>
    <n v="57.116280154600645"/>
    <n v="0"/>
    <n v="557.04999999999995"/>
    <n v="0"/>
    <n v="1884"/>
    <n v="0"/>
    <n v="0"/>
    <n v="0"/>
    <s v="Release1"/>
    <n v="458.89270341753343"/>
    <n v="9.6142857142857139"/>
    <n v="-2.3402460923539873E-2"/>
    <n v="3"/>
    <m/>
    <s v="Sahibpur Kamal"/>
    <m/>
    <n v="0"/>
  </r>
  <r>
    <s v="Munger"/>
    <s v="24-30 Apr"/>
    <n v="1011"/>
    <s v="Sahibpur Kamal"/>
    <x v="396"/>
    <s v="GOMUKH SRINAGAR"/>
    <s v="MPG"/>
    <s v="Direct"/>
    <n v="1062.3"/>
    <n v="42540.499999999993"/>
    <n v="899.76"/>
    <n v="39889.566490472083"/>
    <n v="188.18"/>
    <n v="7546.8429807278017"/>
    <n v="1087.94"/>
    <n v="47436.409471199884"/>
    <n v="42540.499999999993"/>
    <n v="0"/>
    <n v="175.30253011340002"/>
    <n v="4895.9094711998914"/>
    <n v="14750"/>
    <n v="1030.2738786885241"/>
    <n v="0"/>
    <n v="0"/>
    <n v="0"/>
    <n v="0"/>
    <n v="26585"/>
    <s v="Yes"/>
    <n v="0"/>
    <n v="0"/>
    <n v="-0.11508819762814006"/>
    <n v="11"/>
    <m/>
    <s v="Sahibpur Kamal"/>
    <m/>
    <n v="0"/>
  </r>
  <r>
    <s v="Munger"/>
    <s v="24-30 Apr"/>
    <n v="1011"/>
    <s v="Sahibpur Kamal"/>
    <x v="397"/>
    <s v="GOMUKH THATHA"/>
    <s v="MPG"/>
    <s v="Direct"/>
    <n v="360.4"/>
    <n v="11589.33"/>
    <n v="396.7"/>
    <n v="13173.127501842"/>
    <n v="0"/>
    <n v="0"/>
    <n v="396.7"/>
    <n v="13173.127501842"/>
    <n v="11589.33"/>
    <n v="0"/>
    <n v="0"/>
    <n v="1583.7975018420002"/>
    <n v="0"/>
    <n v="0"/>
    <n v="0"/>
    <n v="11589"/>
    <n v="0"/>
    <n v="0"/>
    <n v="0"/>
    <n v="0"/>
    <n v="218.40934894561605"/>
    <n v="51.48571428571428"/>
    <n v="-0.13665997101143898"/>
    <n v="1"/>
    <m/>
    <s v="Sahibpur Kamal"/>
    <m/>
    <n v="0"/>
  </r>
  <r>
    <s v="Munger"/>
    <s v="24-30 Apr"/>
    <n v="1011"/>
    <s v="Sahibpur Kamal"/>
    <x v="398"/>
    <s v="GOMUKH SANHA NAYATOLA"/>
    <s v="MPG"/>
    <s v="Direct"/>
    <n v="247.49999999999997"/>
    <n v="9195.18"/>
    <n v="0"/>
    <n v="0"/>
    <n v="0"/>
    <n v="0"/>
    <n v="0"/>
    <n v="0"/>
    <n v="0"/>
    <n v="0"/>
    <n v="0"/>
    <n v="0"/>
    <n v="0"/>
    <n v="571.91"/>
    <n v="0"/>
    <n v="0"/>
    <n v="0"/>
    <n v="8623"/>
    <n v="0"/>
    <s v="Release1"/>
    <n v="336.22779393939402"/>
    <n v="35.357142857142854"/>
    <n v="1"/>
    <n v="0"/>
    <m/>
    <s v="Sahibpur Kamal"/>
    <m/>
    <n v="0"/>
  </r>
  <r>
    <s v="Munger"/>
    <s v="24-30 Apr"/>
    <n v="1011"/>
    <s v="Sahibpur Kamal"/>
    <x v="399"/>
    <s v="Gomukh Durgapur"/>
    <s v="MPG"/>
    <s v="Direct"/>
    <n v="540"/>
    <n v="21504.83"/>
    <n v="546.70000000000005"/>
    <n v="21598.172390519998"/>
    <n v="2.1"/>
    <n v="83.875096800000009"/>
    <n v="548.80000000000007"/>
    <n v="21682.047487319996"/>
    <n v="21504.83"/>
    <n v="0"/>
    <n v="83.875096800000009"/>
    <n v="177.21748731999469"/>
    <n v="2600"/>
    <n v="0"/>
    <n v="0"/>
    <n v="18821"/>
    <n v="0"/>
    <n v="0"/>
    <n v="0"/>
    <n v="0"/>
    <n v="127.43602962962967"/>
    <n v="77.142857142857139"/>
    <n v="-8.2408225184758335E-3"/>
    <n v="4"/>
    <m/>
    <s v="Sahibpur Kamal"/>
    <m/>
    <n v="0"/>
  </r>
  <r>
    <s v="Munger"/>
    <s v="24-30 Apr"/>
    <n v="1054"/>
    <s v="Alauli "/>
    <x v="401"/>
    <s v="Gomukh Koniya"/>
    <s v="MPG"/>
    <s v="Direct"/>
    <n v="423.60000000000008"/>
    <n v="14579.76"/>
    <n v="515.79999999999995"/>
    <n v="19701.603717840004"/>
    <n v="12"/>
    <n v="454.62079080000007"/>
    <n v="527.79999999999995"/>
    <n v="20156.224508640003"/>
    <n v="14579.76"/>
    <n v="0"/>
    <n v="454.62079080000007"/>
    <n v="5576.4645086400033"/>
    <n v="0"/>
    <n v="0"/>
    <n v="0"/>
    <n v="14125"/>
    <n v="0"/>
    <n v="0"/>
    <n v="0"/>
    <n v="0"/>
    <n v="190.26655637393756"/>
    <n v="60.514285714285727"/>
    <n v="-0.38247985622808628"/>
    <n v="2"/>
    <m/>
    <s v="Alauli "/>
    <m/>
    <n v="0"/>
  </r>
  <r>
    <s v="Munger"/>
    <s v="24-30 Apr"/>
    <n v="1011"/>
    <s v="Sahibpur Kamal"/>
    <x v="402"/>
    <s v="GOMUKH ROHUA"/>
    <s v="MPG"/>
    <s v="Direct"/>
    <n v="415.89999999999992"/>
    <n v="15406.99"/>
    <n v="417.75"/>
    <n v="15151.303895230802"/>
    <n v="6.7600000000000007"/>
    <n v="248.09438509019998"/>
    <n v="424.51"/>
    <n v="15399.398280321002"/>
    <n v="15399.398280321002"/>
    <n v="0"/>
    <n v="248.09438509019998"/>
    <n v="0"/>
    <n v="0"/>
    <n v="0"/>
    <n v="0"/>
    <n v="15151"/>
    <n v="0"/>
    <n v="0"/>
    <n v="8"/>
    <n v="0"/>
    <n v="210.489341620582"/>
    <n v="59.414285714285704"/>
    <n v="4.9274515521836729E-4"/>
    <n v="11"/>
    <m/>
    <s v="Sahibpur Kamal"/>
    <m/>
    <n v="0"/>
  </r>
  <r>
    <s v="Munger"/>
    <s v="24-30 Apr"/>
    <n v="1011"/>
    <s v="Sahibpur Kamal"/>
    <x v="403"/>
    <s v="GOMUKH LAXMIPUR"/>
    <s v="MPG"/>
    <s v="Direct"/>
    <n v="393.40000000000003"/>
    <n v="17454.850000000002"/>
    <n v="482.94"/>
    <n v="21004.583678350471"/>
    <n v="6.4899999999999993"/>
    <n v="282.857971572"/>
    <n v="489.43"/>
    <n v="21287.441649922472"/>
    <n v="17454.850000000002"/>
    <n v="0"/>
    <n v="282.857971572"/>
    <n v="3832.5916499224695"/>
    <n v="0"/>
    <n v="0"/>
    <n v="0"/>
    <n v="17172"/>
    <n v="0"/>
    <n v="0"/>
    <n v="0"/>
    <s v="Release1"/>
    <n v="272.07203914590747"/>
    <n v="56.2"/>
    <n v="-0.21957173220752221"/>
    <n v="13"/>
    <m/>
    <s v="Sahibpur Kamal"/>
    <m/>
    <n v="0"/>
  </r>
  <r>
    <s v="Munger"/>
    <s v="24-30 Apr"/>
    <n v="1054"/>
    <s v="Alauli "/>
    <x v="404"/>
    <s v="GOMUKH BACHOTA"/>
    <s v="MPG"/>
    <s v="Direct"/>
    <n v="131.80000000000001"/>
    <n v="5580.65"/>
    <n v="139.84"/>
    <n v="5603.3267084388008"/>
    <n v="0.80999999999999994"/>
    <n v="30.539334751200006"/>
    <n v="140.65"/>
    <n v="5633.8660431900007"/>
    <n v="5580.65"/>
    <n v="0"/>
    <n v="30.539334751200006"/>
    <n v="53.216043190001074"/>
    <n v="0"/>
    <n v="129.47100000000017"/>
    <n v="0"/>
    <n v="5420"/>
    <n v="0"/>
    <n v="0"/>
    <n v="1"/>
    <n v="0"/>
    <n v="481.17228072837628"/>
    <n v="18.828571428571429"/>
    <n v="-9.535814500103228E-3"/>
    <n v="3"/>
    <m/>
    <s v="Alauli "/>
    <m/>
    <n v="0"/>
  </r>
  <r>
    <s v="Munger"/>
    <s v="24-30 Apr"/>
    <n v="1054"/>
    <s v="Alauli "/>
    <x v="405"/>
    <s v="GOMUKH CHATAR"/>
    <s v="MPG"/>
    <s v="Direct"/>
    <n v="156.80000000000001"/>
    <n v="6533.3600000000006"/>
    <n v="161.89999999999998"/>
    <n v="6868.7913559800008"/>
    <n v="0"/>
    <n v="0"/>
    <n v="161.89999999999998"/>
    <n v="6868.7913559800008"/>
    <n v="6533.3600000000006"/>
    <n v="0"/>
    <n v="0"/>
    <n v="335.43135598000026"/>
    <n v="0"/>
    <n v="0"/>
    <n v="0"/>
    <n v="6533"/>
    <n v="0"/>
    <n v="0"/>
    <n v="0"/>
    <n v="0"/>
    <n v="452.66851428571425"/>
    <n v="22.400000000000002"/>
    <n v="-5.1341324522144842E-2"/>
    <n v="1"/>
    <m/>
    <s v="Alauli "/>
    <m/>
    <n v="0"/>
  </r>
  <r>
    <s v="Munger"/>
    <s v="24-30 Apr"/>
    <n v="1054"/>
    <s v="Alauli "/>
    <x v="406"/>
    <s v="GOMUKH BATHNAMA"/>
    <s v="MPG"/>
    <s v="Direct"/>
    <n v="2196.1000000000004"/>
    <n v="91895.690000000017"/>
    <n v="2214.9899999999998"/>
    <n v="93248.504778360686"/>
    <n v="1.73"/>
    <n v="74.617597692000004"/>
    <n v="2216.7199999999998"/>
    <n v="93323.122376052692"/>
    <n v="91895.690000000017"/>
    <n v="0"/>
    <n v="74.617597692000004"/>
    <n v="1427.432376052675"/>
    <n v="7067"/>
    <n v="3315.49"/>
    <n v="0"/>
    <n v="81438"/>
    <n v="0"/>
    <n v="0"/>
    <n v="1"/>
    <s v="Release1"/>
    <n v="0"/>
    <n v="0"/>
    <n v="-1.5533180892952376E-2"/>
    <n v="17"/>
    <m/>
    <s v="Alauli "/>
    <m/>
    <n v="0"/>
  </r>
  <r>
    <s v="Munger"/>
    <s v="24-30 Apr"/>
    <n v="1054"/>
    <s v="Alauli "/>
    <x v="407"/>
    <s v="GOMUKH TILAK NAGAR"/>
    <s v="MPG"/>
    <s v="Direct"/>
    <n v="245.29999999999995"/>
    <n v="10245.520000000002"/>
    <n v="238.72999999999996"/>
    <n v="10429.185330578071"/>
    <n v="5.4700000000000006"/>
    <n v="231.47599670623998"/>
    <n v="244.19999999999996"/>
    <n v="10660.661327284311"/>
    <n v="10245.520000000002"/>
    <n v="0"/>
    <n v="231.47599670623998"/>
    <n v="415.14132728430923"/>
    <n v="0"/>
    <n v="0"/>
    <n v="0"/>
    <n v="10014"/>
    <n v="0"/>
    <n v="0"/>
    <n v="0"/>
    <n v="0"/>
    <n v="379.83187476559334"/>
    <n v="35.042857142857137"/>
    <n v="-4.0519302805939489E-2"/>
    <n v="12"/>
    <m/>
    <s v="Alauli "/>
    <m/>
    <n v="0"/>
  </r>
  <r>
    <s v="Munger"/>
    <s v="24-30 Apr"/>
    <n v="1011"/>
    <s v="Sahibpur Kamal"/>
    <x v="408"/>
    <s v="Gomukh Thatha Purvi"/>
    <s v="MPG"/>
    <s v="Direct"/>
    <n v="383.3"/>
    <n v="13542.23"/>
    <n v="398.92"/>
    <n v="14340.701346542503"/>
    <n v="0"/>
    <n v="0"/>
    <n v="398.92"/>
    <n v="14340.701346542503"/>
    <n v="13542.23"/>
    <n v="0"/>
    <n v="0"/>
    <n v="798.47134654250294"/>
    <n v="0"/>
    <n v="0"/>
    <n v="0"/>
    <n v="13542"/>
    <n v="0"/>
    <n v="0"/>
    <n v="0"/>
    <n v="0"/>
    <n v="223.7842025045656"/>
    <n v="54.75714285714286"/>
    <n v="-5.896158509658328E-2"/>
    <n v="14"/>
    <m/>
    <s v="Sahibpur Kamal"/>
    <m/>
    <n v="0"/>
  </r>
  <r>
    <s v="Munger"/>
    <s v="24-30 Apr"/>
    <n v="1011"/>
    <s v="Sahibpur Kamal"/>
    <x v="409"/>
    <s v="Gomukh Rahimpur Dakshin"/>
    <s v="MPG"/>
    <s v="Direct"/>
    <n v="2800.6"/>
    <n v="109623.67"/>
    <n v="800.34"/>
    <n v="34245.95880621946"/>
    <n v="2000.5"/>
    <n v="78957.978560999996"/>
    <n v="2800.84"/>
    <n v="113203.93736721945"/>
    <n v="109623.67"/>
    <n v="0"/>
    <n v="19.734560999999999"/>
    <n v="3580.2673672194505"/>
    <n v="0"/>
    <n v="4418.6513704918052"/>
    <n v="0"/>
    <n v="26245"/>
    <n v="78940"/>
    <n v="0"/>
    <n v="0"/>
    <n v="0"/>
    <n v="0"/>
    <n v="0"/>
    <n v="-3.2659619653487702E-2"/>
    <n v="8"/>
    <m/>
    <s v="Sahibpur Kamal"/>
    <m/>
    <n v="0"/>
  </r>
  <r>
    <s v="Munger"/>
    <s v="24-30 Apr"/>
    <n v="1054"/>
    <s v="Alauli "/>
    <x v="410"/>
    <s v="GOMUKH MORKAHI"/>
    <s v="MPG"/>
    <s v="Direct"/>
    <n v="301.5"/>
    <n v="12341.55"/>
    <n v="302.47000000000003"/>
    <n v="12366.042499404"/>
    <n v="1.4300000000000002"/>
    <n v="58.420844459999998"/>
    <n v="303.90000000000003"/>
    <n v="12424.463343864001"/>
    <n v="12341.55"/>
    <n v="0"/>
    <n v="58.420844459999998"/>
    <n v="82.913343864001945"/>
    <n v="0"/>
    <n v="0"/>
    <n v="0"/>
    <n v="12283"/>
    <n v="0"/>
    <n v="0"/>
    <n v="0"/>
    <s v="Release1"/>
    <n v="326.24263184079598"/>
    <n v="43.071428571428569"/>
    <n v="-6.7182277642599143E-3"/>
    <n v="2"/>
    <m/>
    <s v="Alauli "/>
    <m/>
    <n v="0"/>
  </r>
  <r>
    <s v="Munger"/>
    <s v="24-30 Apr"/>
    <n v="1055"/>
    <s v="Matihani"/>
    <x v="411"/>
    <s v="GOMUKH HANSPUR"/>
    <s v="MPG"/>
    <s v="Direct"/>
    <n v="171.89999999999998"/>
    <n v="7677.84"/>
    <n v="173.39"/>
    <n v="8417.6252285789997"/>
    <n v="1.92"/>
    <n v="119.26791504880001"/>
    <n v="175.30999999999997"/>
    <n v="8536.8931436277999"/>
    <n v="7677.84"/>
    <n v="0"/>
    <n v="119.26791504880001"/>
    <n v="859.05314362779973"/>
    <n v="0"/>
    <n v="37.005840000000006"/>
    <n v="0"/>
    <n v="7522"/>
    <n v="0"/>
    <n v="0"/>
    <n v="0"/>
    <n v="0"/>
    <n v="471.74721396160567"/>
    <n v="24.557142857142853"/>
    <n v="-0.11188734639270936"/>
    <n v="4"/>
    <m/>
    <s v="Matihani"/>
    <m/>
    <n v="0"/>
  </r>
  <r>
    <s v="Munger"/>
    <s v="24-30 Apr"/>
    <n v="1055"/>
    <s v="Matihani"/>
    <x v="412"/>
    <s v="GOMUKH NAYAGAON 2"/>
    <s v="MPG"/>
    <s v="Direct"/>
    <n v="232.19999999999996"/>
    <n v="11971.609999999999"/>
    <n v="232.30000000000004"/>
    <n v="12002.502059519842"/>
    <n v="3.5799999999999996"/>
    <n v="214.41174322808001"/>
    <n v="235.88000000000005"/>
    <n v="12216.913802747922"/>
    <n v="11971.609999999999"/>
    <n v="0"/>
    <n v="214.41174322808001"/>
    <n v="245.30380274792333"/>
    <n v="0"/>
    <n v="0"/>
    <n v="0"/>
    <n v="11757"/>
    <n v="0"/>
    <n v="0"/>
    <n v="0"/>
    <n v="0"/>
    <n v="482.37029784668402"/>
    <n v="33.171428571428564"/>
    <n v="-2.0490460576975306E-2"/>
    <n v="5"/>
    <m/>
    <s v="Matihani"/>
    <m/>
    <n v="0"/>
  </r>
  <r>
    <s v="Munger"/>
    <s v="24-30 Apr"/>
    <n v="1054"/>
    <s v="Alauli "/>
    <x v="414"/>
    <s v="GOMUKH LABHGAON"/>
    <s v="MPG"/>
    <s v="Direct"/>
    <n v="459.99999999999994"/>
    <n v="17232.399999999998"/>
    <n v="461.31999999999994"/>
    <n v="16937.689168026001"/>
    <n v="0"/>
    <n v="0"/>
    <n v="461.31999999999994"/>
    <n v="16937.689168026001"/>
    <n v="16937.689168026001"/>
    <n v="0"/>
    <n v="0"/>
    <n v="0"/>
    <n v="0"/>
    <n v="0"/>
    <n v="0"/>
    <n v="16938"/>
    <n v="0"/>
    <n v="0"/>
    <n v="294"/>
    <n v="0"/>
    <n v="179.81634782608697"/>
    <n v="65.714285714285708"/>
    <n v="1.710213504642397E-2"/>
    <n v="2"/>
    <m/>
    <s v="Alauli "/>
    <m/>
    <n v="0"/>
  </r>
  <r>
    <s v="Munger"/>
    <s v="24-30 Apr"/>
    <n v="1054"/>
    <s v="Alauli "/>
    <x v="415"/>
    <s v="GOMUKH CHANDPURA"/>
    <s v="MPG"/>
    <s v="Direct"/>
    <n v="601.6"/>
    <n v="22426.93"/>
    <n v="601.70000000000005"/>
    <n v="22461.897007439999"/>
    <n v="0"/>
    <n v="0"/>
    <n v="601.70000000000005"/>
    <n v="22461.897007439999"/>
    <n v="22426.93"/>
    <n v="0"/>
    <n v="0"/>
    <n v="34.96700743999827"/>
    <n v="0"/>
    <n v="0"/>
    <n v="0"/>
    <n v="22427"/>
    <n v="0"/>
    <n v="0"/>
    <n v="0"/>
    <n v="0"/>
    <n v="73.364691223404222"/>
    <n v="85.94285714285715"/>
    <n v="-1.5591526544203006E-3"/>
    <n v="5"/>
    <m/>
    <s v="Alauli "/>
    <m/>
    <n v="0"/>
  </r>
  <r>
    <s v="Munger"/>
    <s v="24-30 Apr"/>
    <n v="1054"/>
    <s v="Alauli "/>
    <x v="416"/>
    <s v="GOMUKH BADIL TOL"/>
    <s v="MPG"/>
    <s v="Direct"/>
    <n v="500.50000000000006"/>
    <n v="19109.310000000001"/>
    <n v="345.62"/>
    <n v="13084.486896351744"/>
    <n v="151.67000000000002"/>
    <n v="5617.9088560138453"/>
    <n v="497.29"/>
    <n v="18702.395752365588"/>
    <n v="18702.395752365588"/>
    <n v="0"/>
    <n v="480.10466562330009"/>
    <n v="0"/>
    <n v="0"/>
    <n v="113.55750000000057"/>
    <n v="0"/>
    <n v="12971"/>
    <n v="5138"/>
    <n v="0"/>
    <n v="407"/>
    <n v="0"/>
    <n v="152.33995384615375"/>
    <n v="71.500000000000014"/>
    <n v="2.1294031424180841E-2"/>
    <n v="13"/>
    <m/>
    <s v="Alauli "/>
    <m/>
    <n v="0"/>
  </r>
  <r>
    <s v="Munger"/>
    <s v="24-30 Apr"/>
    <n v="1054"/>
    <s v="Alauli "/>
    <x v="417"/>
    <s v="GOMUKH TRIBHUVAN TOLA"/>
    <s v="MPG"/>
    <s v="Direct"/>
    <n v="305.60000000000002"/>
    <n v="11420.539999999999"/>
    <n v="318.23"/>
    <n v="12111.826004162902"/>
    <n v="0"/>
    <n v="0"/>
    <n v="318.23"/>
    <n v="12111.826004162902"/>
    <n v="11420.539999999999"/>
    <n v="0"/>
    <n v="0"/>
    <n v="691.28600416290283"/>
    <n v="0"/>
    <n v="0"/>
    <n v="0"/>
    <n v="11421"/>
    <n v="0"/>
    <n v="0"/>
    <n v="0"/>
    <n v="0"/>
    <n v="294.78147748691094"/>
    <n v="43.657142857142858"/>
    <n v="-6.0530062865933036E-2"/>
    <n v="13"/>
    <m/>
    <s v="Alauli "/>
    <m/>
    <n v="0"/>
  </r>
  <r>
    <s v="Munger"/>
    <s v="24-30 Apr"/>
    <n v="1054"/>
    <s v="Alauli "/>
    <x v="418"/>
    <s v="GOMUKH SANTOSHPUL"/>
    <s v="MPG"/>
    <s v="Direct"/>
    <n v="877.50000000000011"/>
    <n v="38396.249999999993"/>
    <n v="27.499999999999996"/>
    <n v="1224.4165634949002"/>
    <n v="850"/>
    <n v="37170.339355577009"/>
    <n v="877.5"/>
    <n v="38394.755919071911"/>
    <n v="38394.755919071911"/>
    <n v="0"/>
    <n v="0"/>
    <n v="0"/>
    <n v="0"/>
    <n v="0"/>
    <n v="0"/>
    <n v="1224"/>
    <n v="37171"/>
    <n v="0"/>
    <n v="1"/>
    <n v="0"/>
    <n v="0"/>
    <n v="0"/>
    <n v="3.8912157517505756E-5"/>
    <n v="6"/>
    <m/>
    <s v="Alauli "/>
    <m/>
    <n v="0"/>
  </r>
  <r>
    <s v="Munger"/>
    <s v="24-30 Apr"/>
    <n v="1054"/>
    <s v="Alauli "/>
    <x v="419"/>
    <s v="GOMUKH AHUNA"/>
    <s v="MPG"/>
    <s v="Direct"/>
    <n v="387.3"/>
    <n v="13919.86"/>
    <n v="807.27"/>
    <n v="30498.806304469803"/>
    <n v="0"/>
    <n v="0"/>
    <n v="807.27"/>
    <n v="30498.806304469803"/>
    <n v="13919.86"/>
    <n v="0"/>
    <n v="0"/>
    <n v="16578.946304469802"/>
    <n v="0"/>
    <n v="0"/>
    <n v="0"/>
    <n v="13920"/>
    <n v="0"/>
    <n v="0"/>
    <n v="0"/>
    <n v="0"/>
    <n v="224.7735720113607"/>
    <n v="55.328571428571429"/>
    <n v="-1.1910282362372755"/>
    <n v="1"/>
    <m/>
    <s v="Alauli "/>
    <m/>
    <n v="0"/>
  </r>
  <r>
    <s v="Munger"/>
    <s v="24-30 Apr"/>
    <n v="1055"/>
    <s v="Matihani"/>
    <x v="420"/>
    <s v="GOMUKH SHADIPUR"/>
    <s v="MPG"/>
    <s v="Direct"/>
    <n v="894.30000000000007"/>
    <n v="35518.79"/>
    <n v="897.12000000000012"/>
    <n v="35180.753641223637"/>
    <n v="9.0400000000000009"/>
    <n v="339.05573658000003"/>
    <n v="906.16000000000008"/>
    <n v="35519.809377803635"/>
    <n v="35518.79"/>
    <n v="0"/>
    <n v="339.05573658000003"/>
    <n v="1.019377803633688"/>
    <n v="0"/>
    <n v="0"/>
    <n v="0"/>
    <n v="35180"/>
    <n v="0"/>
    <n v="0"/>
    <n v="0"/>
    <n v="0"/>
    <n v="0"/>
    <n v="0"/>
    <n v="-2.8699677090173623E-5"/>
    <n v="10"/>
    <m/>
    <s v="Matihani"/>
    <m/>
    <n v="0"/>
  </r>
  <r>
    <s v="Munger"/>
    <s v="24-30 Apr"/>
    <n v="1055"/>
    <s v="Matihani"/>
    <x v="421"/>
    <s v="GOMUKH ASHRAPHA DIYARA"/>
    <s v="MPG"/>
    <s v="Direct"/>
    <n v="656.1"/>
    <n v="26440.49"/>
    <n v="645.41"/>
    <n v="25520.713105434403"/>
    <n v="8.41"/>
    <n v="354.05239114512005"/>
    <n v="653.81999999999994"/>
    <n v="25874.765496579523"/>
    <n v="25874.765496579523"/>
    <n v="0"/>
    <n v="354.05239114512005"/>
    <n v="0"/>
    <n v="0"/>
    <n v="0"/>
    <n v="0"/>
    <n v="25521"/>
    <n v="0"/>
    <n v="0"/>
    <n v="565"/>
    <n v="0"/>
    <n v="35.382945008382876"/>
    <n v="93.728571428571428"/>
    <n v="2.1396142939124004E-2"/>
    <n v="13"/>
    <m/>
    <s v="Matihani"/>
    <m/>
    <n v="0"/>
  </r>
  <r>
    <s v="Munger"/>
    <s v="24-30 Apr"/>
    <n v="1055"/>
    <s v="Matihani"/>
    <x v="422"/>
    <s v="GOMUKH MANIAPPA"/>
    <s v="MPG"/>
    <s v="Direct"/>
    <n v="1130.4999999999998"/>
    <n v="43978.259999999995"/>
    <n v="1124"/>
    <n v="42522.3259349328"/>
    <n v="4.3400000000000007"/>
    <n v="151.66670616900001"/>
    <n v="1128.3399999999999"/>
    <n v="42673.992641101802"/>
    <n v="42673.992641101802"/>
    <n v="0"/>
    <n v="151.66670616900001"/>
    <n v="0"/>
    <n v="0"/>
    <n v="96.645772881355896"/>
    <n v="0"/>
    <n v="42425"/>
    <n v="0"/>
    <n v="0"/>
    <n v="1305"/>
    <n v="0"/>
    <n v="0"/>
    <n v="0"/>
    <n v="2.9657093275136229E-2"/>
    <n v="11"/>
    <m/>
    <s v="Matihani"/>
    <m/>
    <n v="0"/>
  </r>
  <r>
    <s v="Munger"/>
    <s v="24-30 Apr"/>
    <n v="1054"/>
    <s v="Alauli "/>
    <x v="423"/>
    <s v="GOMUKH D SANJHAUTI"/>
    <s v="MPG"/>
    <s v="Direct"/>
    <n v="515.69999999999993"/>
    <n v="19046.420000000002"/>
    <n v="927.72"/>
    <n v="36938.089443024001"/>
    <n v="0"/>
    <n v="0"/>
    <n v="927.72"/>
    <n v="36938.089443024001"/>
    <n v="19046.420000000002"/>
    <n v="0"/>
    <n v="0"/>
    <n v="17891.669443023999"/>
    <n v="0"/>
    <n v="10.130000000000001"/>
    <n v="0"/>
    <n v="19036"/>
    <n v="0"/>
    <n v="0"/>
    <n v="0"/>
    <s v="Release1"/>
    <n v="136.13555191002527"/>
    <n v="73.671428571428564"/>
    <n v="-0.93937177921226123"/>
    <n v="3"/>
    <m/>
    <s v="Alauli "/>
    <m/>
    <n v="0"/>
  </r>
  <r>
    <s v="Munger"/>
    <s v="24-30 Apr"/>
    <n v="1054"/>
    <s v="Alauli "/>
    <x v="424"/>
    <s v="GOMUKH DHUSMURI BISHANPUR"/>
    <s v="MPG"/>
    <s v="Direct"/>
    <n v="274.60000000000002"/>
    <n v="10594.560000000001"/>
    <n v="337.89"/>
    <n v="13505.757195149998"/>
    <n v="0"/>
    <n v="0"/>
    <n v="337.89"/>
    <n v="13505.757195149998"/>
    <n v="10594.560000000001"/>
    <n v="0"/>
    <n v="0"/>
    <n v="2911.1971951499963"/>
    <n v="0"/>
    <n v="0"/>
    <n v="0"/>
    <n v="10595"/>
    <n v="0"/>
    <n v="0"/>
    <n v="0"/>
    <n v="0"/>
    <n v="328.25388375819375"/>
    <n v="39.228571428571435"/>
    <n v="-0.2747822651577787"/>
    <n v="1"/>
    <m/>
    <s v="Alauli "/>
    <m/>
    <n v="0"/>
  </r>
  <r>
    <s v="Munger"/>
    <s v="24-30 Apr"/>
    <n v="1054"/>
    <s v="Alauli "/>
    <x v="425"/>
    <s v="GOMUKH ANANDPUR PARAS"/>
    <s v="MPG"/>
    <s v="Direct"/>
    <n v="2217.6999999999998"/>
    <n v="83536.95"/>
    <n v="2531.6000000000004"/>
    <n v="96931.378827359993"/>
    <n v="0"/>
    <n v="0"/>
    <n v="2531.6000000000004"/>
    <n v="96931.378827359993"/>
    <n v="83536.95"/>
    <n v="0"/>
    <n v="0"/>
    <n v="13394.428827359996"/>
    <n v="0"/>
    <n v="0"/>
    <n v="0"/>
    <n v="83537"/>
    <n v="0"/>
    <n v="0"/>
    <n v="0"/>
    <n v="0"/>
    <n v="0"/>
    <n v="0"/>
    <n v="-0.16034136783016373"/>
    <n v="3"/>
    <m/>
    <s v="Alauli "/>
    <m/>
    <n v="0"/>
  </r>
  <r>
    <s v="Munger"/>
    <s v="24-30 Apr"/>
    <n v="1054"/>
    <s v="Alauli "/>
    <x v="426"/>
    <s v="Gomukh Bishanpur"/>
    <s v="MPG"/>
    <s v="Direct"/>
    <n v="278.59999999999997"/>
    <n v="11059.310000000001"/>
    <n v="296.02"/>
    <n v="12421.185788212339"/>
    <n v="0"/>
    <n v="0"/>
    <n v="296.02"/>
    <n v="12421.185788212339"/>
    <n v="11059.310000000001"/>
    <n v="0"/>
    <n v="0"/>
    <n v="1361.8757882123373"/>
    <n v="0"/>
    <n v="0"/>
    <n v="0"/>
    <n v="11059"/>
    <n v="0"/>
    <n v="0"/>
    <n v="0"/>
    <n v="0"/>
    <n v="334.55802110552776"/>
    <n v="39.799999999999997"/>
    <n v="-0.12314292557242153"/>
    <n v="4"/>
    <m/>
    <s v="Alauli "/>
    <m/>
    <n v="0"/>
  </r>
  <r>
    <s v="Munger"/>
    <s v="24-30 Apr"/>
    <n v="1054"/>
    <s v="Alauli "/>
    <x v="427"/>
    <s v="GOMUKH BISHANPUR 2"/>
    <s v="MPG"/>
    <s v="Direct"/>
    <n v="509.69999999999993"/>
    <n v="20676.96"/>
    <n v="515.12000000000012"/>
    <n v="20520.088280371194"/>
    <n v="0"/>
    <n v="0"/>
    <n v="515.12000000000012"/>
    <n v="20520.088280371194"/>
    <n v="20520.088280371194"/>
    <n v="0"/>
    <n v="0"/>
    <n v="0"/>
    <n v="0"/>
    <n v="0"/>
    <n v="0"/>
    <n v="20520"/>
    <n v="0"/>
    <n v="0"/>
    <n v="157"/>
    <n v="0"/>
    <n v="154.39770406121255"/>
    <n v="72.814285714285703"/>
    <n v="7.5867883687353119E-3"/>
    <n v="9"/>
    <m/>
    <s v="Alauli "/>
    <m/>
    <n v="0"/>
  </r>
  <r>
    <s v="Munger"/>
    <s v="24-30 Apr"/>
    <n v="1054"/>
    <s v="Alauli "/>
    <x v="429"/>
    <s v="GOMUKH GHAMARIYA"/>
    <s v="MPG"/>
    <s v="Direct"/>
    <n v="239.3"/>
    <n v="10695.4"/>
    <n v="263.74"/>
    <n v="11666.311484603662"/>
    <n v="2.9400000000000004"/>
    <n v="133.66974339090001"/>
    <n v="266.68"/>
    <n v="11799.981227994562"/>
    <n v="10695.4"/>
    <n v="0"/>
    <n v="133.66974339090001"/>
    <n v="1104.5812279945621"/>
    <n v="3495"/>
    <n v="0"/>
    <n v="0"/>
    <n v="7066"/>
    <n v="0"/>
    <n v="0"/>
    <n v="1"/>
    <n v="0"/>
    <n v="411.81535979941498"/>
    <n v="34.18571428571429"/>
    <n v="-0.10327628961932814"/>
    <n v="6"/>
    <m/>
    <s v="Alauli "/>
    <m/>
    <n v="0"/>
  </r>
  <r>
    <s v="Munger"/>
    <s v="24-30 Apr"/>
    <n v="1054"/>
    <s v="Alauli "/>
    <x v="430"/>
    <s v="GOMUKH MEGHAUMA"/>
    <s v="MPG"/>
    <s v="Direct"/>
    <n v="1018.1"/>
    <n v="41025.639999999992"/>
    <n v="1004.6799999999997"/>
    <n v="41421.409629178313"/>
    <n v="12.28"/>
    <n v="542.93450865636009"/>
    <n v="1016.9599999999997"/>
    <n v="41964.344137834676"/>
    <n v="41025.639999999992"/>
    <n v="0"/>
    <n v="542.93450865636009"/>
    <n v="938.70413783468393"/>
    <n v="0"/>
    <n v="0"/>
    <n v="0"/>
    <n v="40483"/>
    <n v="0"/>
    <n v="0"/>
    <n v="0"/>
    <n v="0"/>
    <n v="0"/>
    <n v="0"/>
    <n v="-2.2880913931743272E-2"/>
    <n v="22"/>
    <m/>
    <s v="Alauli "/>
    <m/>
    <n v="0"/>
  </r>
  <r>
    <s v="Munger"/>
    <s v="24-30 Apr"/>
    <n v="1054"/>
    <s v="Alauli "/>
    <x v="1058"/>
    <s v="GOMUKH AURA"/>
    <s v="MPG"/>
    <s v="Direct"/>
    <n v="692.19999999999993"/>
    <n v="26162.850000000002"/>
    <n v="691.4"/>
    <n v="27085.171894308001"/>
    <n v="0"/>
    <n v="0"/>
    <n v="691.4"/>
    <n v="27085.171894308001"/>
    <n v="26162.850000000002"/>
    <n v="0"/>
    <n v="0"/>
    <n v="922.32189430799917"/>
    <n v="0"/>
    <n v="0"/>
    <n v="0"/>
    <n v="26163"/>
    <n v="0"/>
    <n v="0"/>
    <n v="0"/>
    <n v="0"/>
    <n v="5.8962793990176987"/>
    <n v="98.885714285714272"/>
    <n v="-3.5253112497606306E-2"/>
    <n v="3"/>
    <m/>
    <s v="Alauli "/>
    <m/>
    <n v="0"/>
  </r>
  <r>
    <s v="Munger"/>
    <s v="24-30 Apr"/>
    <n v="1054"/>
    <s v="Alauli "/>
    <x v="431"/>
    <s v="GOMUKH BEHORBA"/>
    <s v="MPG"/>
    <s v="Direct"/>
    <n v="947.90000000000009"/>
    <n v="35468.869999999995"/>
    <n v="1015.0699999999999"/>
    <n v="38805.929012268003"/>
    <n v="0"/>
    <n v="0"/>
    <n v="1015.0699999999999"/>
    <n v="38805.929012268003"/>
    <n v="35468.869999999995"/>
    <n v="0"/>
    <n v="0"/>
    <n v="3337.0590122680078"/>
    <n v="9866"/>
    <n v="0"/>
    <n v="0"/>
    <n v="0"/>
    <n v="0"/>
    <n v="0"/>
    <n v="25603"/>
    <s v="Yes"/>
    <n v="0"/>
    <n v="0"/>
    <n v="-9.4084164854082136E-2"/>
    <n v="6"/>
    <m/>
    <s v="Alauli "/>
    <m/>
    <n v="0"/>
  </r>
  <r>
    <s v="Munger"/>
    <s v="24-30 Apr"/>
    <n v="1011"/>
    <s v="Sahibpur Kamal"/>
    <x v="433"/>
    <s v="GOMUKH SAIDPUR SAMASTIPUR"/>
    <s v="MPG"/>
    <s v="Direct"/>
    <n v="850.0999999999998"/>
    <n v="31840.499999999996"/>
    <n v="849"/>
    <n v="32164.434957600002"/>
    <n v="0"/>
    <n v="0"/>
    <n v="849"/>
    <n v="32164.434957600002"/>
    <n v="31840.499999999996"/>
    <n v="0"/>
    <n v="0"/>
    <n v="323.93495760000587"/>
    <n v="0"/>
    <n v="6119.4838451612904"/>
    <n v="0"/>
    <n v="25721"/>
    <n v="0"/>
    <n v="0"/>
    <n v="0"/>
    <n v="0"/>
    <n v="0"/>
    <n v="0"/>
    <n v="-1.017367684552711E-2"/>
    <n v="1"/>
    <m/>
    <s v="Sahibpur Kamal"/>
    <m/>
    <n v="0"/>
  </r>
  <r>
    <s v="Munger"/>
    <s v="24-30 Apr"/>
    <n v="1054"/>
    <s v="Alauli "/>
    <x v="435"/>
    <s v="GOMUKH PHULTAURA"/>
    <s v="MPG"/>
    <s v="Direct"/>
    <n v="468.1"/>
    <n v="17945.48"/>
    <n v="160.68"/>
    <n v="7050.4843259931986"/>
    <n v="306.78999999999996"/>
    <n v="13052.066182020542"/>
    <n v="467.46999999999997"/>
    <n v="20102.550508013741"/>
    <n v="17945.48"/>
    <n v="0"/>
    <n v="0"/>
    <n v="2157.0705080137413"/>
    <n v="4893"/>
    <n v="0"/>
    <n v="0"/>
    <n v="0"/>
    <n v="13052"/>
    <n v="0"/>
    <n v="0"/>
    <n v="0"/>
    <n v="177.80631540269167"/>
    <n v="66.871428571428581"/>
    <n v="-0.12020132690871135"/>
    <n v="4"/>
    <m/>
    <s v="Alauli "/>
    <m/>
    <n v="0"/>
  </r>
  <r>
    <s v="Munger"/>
    <s v="24-30 Apr"/>
    <n v="1011"/>
    <s v="Sahibpur Kamal"/>
    <x v="436"/>
    <s v="Jangli Tol Vlc "/>
    <s v="vlc"/>
    <s v="Indirect"/>
    <n v="470.6"/>
    <n v="17308.53"/>
    <n v="0"/>
    <n v="0"/>
    <n v="0"/>
    <n v="0"/>
    <n v="0"/>
    <n v="0"/>
    <n v="17308.53"/>
    <n v="0"/>
    <n v="0"/>
    <n v="0"/>
    <n v="1350"/>
    <n v="1867.9209483870964"/>
    <n v="0"/>
    <n v="0"/>
    <n v="0"/>
    <n v="14090.609051612902"/>
    <n v="0"/>
    <n v="0"/>
    <n v="168.74529460263494"/>
    <n v="67.228571428571428"/>
    <n v="0"/>
    <n v="0"/>
    <m/>
    <s v="Sahibpur Kamal"/>
    <m/>
    <n v="0"/>
  </r>
  <r>
    <s v="Munger"/>
    <s v="24-30 Apr"/>
    <n v="1055"/>
    <s v="Matihani"/>
    <x v="437"/>
    <s v="DILKHUSH KUMAR "/>
    <s v="vlc"/>
    <s v="Indirect"/>
    <n v="66.5"/>
    <n v="2378.71"/>
    <n v="0"/>
    <n v="0"/>
    <n v="0"/>
    <n v="0"/>
    <n v="0"/>
    <n v="0"/>
    <n v="2378.71"/>
    <n v="0"/>
    <n v="0"/>
    <n v="0"/>
    <n v="0"/>
    <n v="560.59378064516125"/>
    <n v="0"/>
    <n v="0"/>
    <n v="0"/>
    <n v="1818.1162193548389"/>
    <n v="0"/>
    <n v="0"/>
    <n v="453.20685263157895"/>
    <n v="9.5"/>
    <n v="0"/>
    <n v="0"/>
    <m/>
    <s v="Matihani"/>
    <m/>
    <n v="0"/>
  </r>
  <r>
    <s v="Munger"/>
    <s v="24-30 Apr"/>
    <n v="1011"/>
    <s v="Sahibpur Kamal"/>
    <x v="438"/>
    <s v="GOMUKH CHOWKI 2"/>
    <s v="MPG"/>
    <s v="Direct"/>
    <n v="2521.0000000000005"/>
    <n v="98980.76999999999"/>
    <n v="2409.3999999999996"/>
    <n v="96024.913068028443"/>
    <n v="110.14"/>
    <n v="4945.0839049998003"/>
    <n v="2519.5399999999995"/>
    <n v="100969.99697302825"/>
    <n v="98980.76999999999"/>
    <n v="0"/>
    <n v="0"/>
    <n v="1989.2269730282569"/>
    <n v="0"/>
    <n v="4006.7770838709694"/>
    <n v="0"/>
    <n v="90029"/>
    <n v="4945"/>
    <n v="0"/>
    <n v="0"/>
    <n v="0"/>
    <n v="0"/>
    <n v="0"/>
    <n v="-2.0097105458244637E-2"/>
    <n v="27"/>
    <m/>
    <s v="Sahibpur Kamal"/>
    <m/>
    <n v="0"/>
  </r>
  <r>
    <s v="Munger"/>
    <s v="24-30 Apr"/>
    <n v="1011"/>
    <s v="Sahibpur Kamal"/>
    <x v="439"/>
    <s v="GOMUKH MOHABA"/>
    <s v="MPG"/>
    <s v="Direct"/>
    <n v="1510.1"/>
    <n v="57439.360000000001"/>
    <n v="1079.1999999999998"/>
    <n v="41032.030137120004"/>
    <n v="430.90000000000003"/>
    <n v="16390.493008560003"/>
    <n v="1510.1"/>
    <n v="57422.52314568001"/>
    <n v="57422.52314568001"/>
    <n v="0"/>
    <n v="106.63268616000001"/>
    <n v="0"/>
    <n v="0"/>
    <n v="0"/>
    <n v="0"/>
    <n v="41033"/>
    <n v="16283"/>
    <n v="0"/>
    <n v="17"/>
    <n v="0"/>
    <n v="0"/>
    <n v="0"/>
    <n v="2.931239888465049E-4"/>
    <n v="8"/>
    <m/>
    <s v="Sahibpur Kamal"/>
    <m/>
    <n v="0"/>
  </r>
  <r>
    <s v="Munger"/>
    <s v="24-30 Apr"/>
    <n v="1011"/>
    <s v="Sahibpur Kamal"/>
    <x v="440"/>
    <s v="SANHA VLC"/>
    <s v="vlc"/>
    <s v="Indirect"/>
    <n v="766.4"/>
    <n v="27136.48"/>
    <n v="0"/>
    <n v="0"/>
    <n v="0"/>
    <n v="0"/>
    <n v="0"/>
    <n v="0"/>
    <n v="27136.48"/>
    <n v="0"/>
    <n v="0"/>
    <n v="0"/>
    <n v="0"/>
    <n v="0"/>
    <n v="0"/>
    <n v="0"/>
    <n v="0"/>
    <n v="27136.48"/>
    <n v="0"/>
    <n v="0"/>
    <n v="0"/>
    <n v="0"/>
    <n v="0"/>
    <n v="0"/>
    <m/>
    <s v="Sahibpur Kamal"/>
    <m/>
    <n v="0"/>
  </r>
  <r>
    <s v="Munger"/>
    <s v="24-30 Apr"/>
    <n v="1011"/>
    <s v="Sahibpur Kamal"/>
    <x v="441"/>
    <s v="MOHANPUR VLC"/>
    <s v="vlc"/>
    <s v="Indirect"/>
    <n v="744.50000000000011"/>
    <n v="25250.32"/>
    <n v="0"/>
    <n v="0"/>
    <n v="0"/>
    <n v="0"/>
    <n v="0"/>
    <n v="0"/>
    <n v="25250.32"/>
    <n v="0"/>
    <n v="0"/>
    <n v="0"/>
    <n v="0"/>
    <n v="0"/>
    <n v="0"/>
    <n v="0"/>
    <n v="0"/>
    <n v="25250.32"/>
    <n v="0"/>
    <n v="0"/>
    <n v="0"/>
    <n v="0"/>
    <n v="0"/>
    <n v="0"/>
    <m/>
    <s v="Sahibpur Kamal"/>
    <m/>
    <n v="0"/>
  </r>
  <r>
    <s v="Munger"/>
    <s v="24-30 Apr"/>
    <n v="1011"/>
    <s v="Sahibpur Kamal"/>
    <x v="442"/>
    <s v="GOMUKH JANGLITOL"/>
    <s v="MPG"/>
    <s v="Direct"/>
    <n v="245.3"/>
    <n v="10022.32"/>
    <n v="243"/>
    <n v="9975.9086459999999"/>
    <n v="0"/>
    <n v="0"/>
    <n v="243"/>
    <n v="9975.9086459999999"/>
    <n v="9975.9086459999999"/>
    <n v="0"/>
    <n v="0"/>
    <n v="0"/>
    <n v="0"/>
    <n v="0"/>
    <n v="0"/>
    <n v="9976"/>
    <n v="0"/>
    <n v="0"/>
    <n v="46"/>
    <n v="0"/>
    <n v="371.55718744394619"/>
    <n v="35.042857142857144"/>
    <n v="4.6307994556150523E-3"/>
    <n v="3"/>
    <m/>
    <s v="Sahibpur Kamal"/>
    <m/>
    <n v="0"/>
  </r>
  <r>
    <s v="Munger"/>
    <s v="24-30 Apr"/>
    <n v="1011"/>
    <s v="Sahibpur Kamal"/>
    <x v="443"/>
    <s v="Hiratol VLC"/>
    <s v="vlc"/>
    <s v="Indirect"/>
    <n v="402.99999999999994"/>
    <n v="14361.810000000001"/>
    <n v="0"/>
    <n v="0"/>
    <n v="0"/>
    <n v="0"/>
    <n v="0"/>
    <n v="0"/>
    <n v="14361.810000000001"/>
    <n v="0"/>
    <n v="0"/>
    <n v="0"/>
    <n v="0"/>
    <n v="0"/>
    <n v="0"/>
    <n v="0"/>
    <n v="0"/>
    <n v="14361.810000000001"/>
    <n v="0"/>
    <n v="0"/>
    <n v="211.68523920595541"/>
    <n v="57.571428571428562"/>
    <n v="0"/>
    <n v="0"/>
    <m/>
    <s v="Sahibpur Kamal"/>
    <m/>
    <n v="0"/>
  </r>
  <r>
    <s v="Munger"/>
    <s v="24-30 Apr"/>
    <n v="1011"/>
    <s v="Sahibpur Kamal"/>
    <x v="444"/>
    <s v="Gomukh Raghunathpur 2 "/>
    <s v="MPG"/>
    <s v="Direct"/>
    <n v="45.099999999999994"/>
    <n v="1864.37"/>
    <n v="43.6"/>
    <n v="1761.4817866800001"/>
    <n v="0"/>
    <n v="0"/>
    <n v="43.6"/>
    <n v="1761.4817866800001"/>
    <n v="1761.4817866800001"/>
    <n v="0"/>
    <n v="0"/>
    <n v="0"/>
    <n v="0"/>
    <n v="123.96014482758619"/>
    <n v="0"/>
    <n v="1638"/>
    <n v="0"/>
    <n v="0"/>
    <n v="102"/>
    <n v="0"/>
    <n v="541.45273303769409"/>
    <n v="6.4428571428571422"/>
    <n v="5.5186584916084122E-2"/>
    <n v="1"/>
    <m/>
    <s v="Sahibpur Kamal"/>
    <m/>
    <n v="0"/>
  </r>
  <r>
    <s v="Munger"/>
    <s v="24-30 Apr"/>
    <n v="1011"/>
    <s v="Sahibpur Kamal"/>
    <x v="445"/>
    <s v="GOMUKH BARBIGHI"/>
    <s v="MPG"/>
    <s v="Direct"/>
    <n v="1716.4999999999998"/>
    <n v="62911.83"/>
    <n v="1712"/>
    <n v="64418.649874920011"/>
    <n v="6.0000000000000009"/>
    <n v="226.78256304000004"/>
    <n v="1718"/>
    <n v="64645.432437960008"/>
    <n v="62911.83"/>
    <n v="0"/>
    <n v="226.78256304000004"/>
    <n v="1733.6024379600058"/>
    <n v="7800"/>
    <n v="0"/>
    <n v="0"/>
    <n v="54885"/>
    <n v="0"/>
    <n v="0"/>
    <n v="0"/>
    <n v="0"/>
    <n v="0"/>
    <n v="0"/>
    <n v="-2.755606438343958E-2"/>
    <n v="3"/>
    <m/>
    <s v="Sahibpur Kamal"/>
    <m/>
    <n v="0"/>
  </r>
  <r>
    <s v="Munger"/>
    <s v="24-30 Apr"/>
    <n v="1011"/>
    <s v="Sahibpur Kamal"/>
    <x v="446"/>
    <s v="Tetri"/>
    <s v="MPG"/>
    <s v="Direct"/>
    <n v="72.2"/>
    <n v="3688.94"/>
    <n v="72"/>
    <n v="2898.800784"/>
    <n v="0"/>
    <n v="0"/>
    <n v="72"/>
    <n v="2898.800784"/>
    <n v="2898.800784"/>
    <n v="0"/>
    <n v="0"/>
    <n v="0"/>
    <n v="0"/>
    <n v="452.49260377358479"/>
    <n v="0"/>
    <n v="2446"/>
    <n v="0"/>
    <n v="0"/>
    <n v="790"/>
    <n v="0"/>
    <n v="641.52812520775626"/>
    <n v="10.314285714285715"/>
    <n v="0.21419139807099058"/>
    <n v="1"/>
    <m/>
    <s v="Sahibpur Kamal"/>
    <m/>
    <n v="0"/>
  </r>
  <r>
    <s v="Munger"/>
    <s v="24-30 Apr"/>
    <n v="1011"/>
    <s v="Sahibpur Kamal"/>
    <x v="447"/>
    <s v="Dandari-2"/>
    <s v="MPG"/>
    <s v="Direct"/>
    <n v="295.5"/>
    <n v="10635.78"/>
    <n v="293.5"/>
    <n v="10578.887952731999"/>
    <n v="0"/>
    <n v="0"/>
    <n v="293.5"/>
    <n v="10578.887952731999"/>
    <n v="10578.887952731999"/>
    <n v="0"/>
    <n v="0"/>
    <n v="0"/>
    <n v="0"/>
    <n v="2.68"/>
    <n v="0"/>
    <n v="10576"/>
    <n v="0"/>
    <n v="0"/>
    <n v="57"/>
    <s v="Release1"/>
    <n v="291.17922233502543"/>
    <n v="42.214285714285715"/>
    <n v="5.3491184725522707E-3"/>
    <n v="1"/>
    <m/>
    <s v="Sahibpur Kamal"/>
    <m/>
    <n v="0"/>
  </r>
  <r>
    <s v="Munger"/>
    <s v="24-30 Apr"/>
    <n v="1011"/>
    <s v="Sahibpur Kamal"/>
    <x v="448"/>
    <s v="Barkhanditol"/>
    <s v="vlc"/>
    <s v="Indirect"/>
    <n v="175.99999999999997"/>
    <n v="7458.7999999999993"/>
    <n v="0"/>
    <n v="0"/>
    <n v="0"/>
    <n v="0"/>
    <n v="0"/>
    <n v="0"/>
    <n v="7458.7999999999993"/>
    <n v="0"/>
    <n v="0"/>
    <n v="0"/>
    <n v="0"/>
    <n v="1546.1622387096781"/>
    <n v="0"/>
    <n v="0"/>
    <n v="0"/>
    <n v="5912.6377612903216"/>
    <n v="0"/>
    <n v="0"/>
    <n v="444.13763636363643"/>
    <n v="25.142857142857139"/>
    <n v="0"/>
    <n v="0"/>
    <m/>
    <s v="Sahibpur Kamal"/>
    <m/>
    <n v="0"/>
  </r>
  <r>
    <s v="Munger"/>
    <s v="24-30 Apr"/>
    <n v="1011"/>
    <s v="Sahibpur Kamal"/>
    <x v="449"/>
    <s v="Chauki-VLC"/>
    <s v="vlc"/>
    <s v="Indirect"/>
    <n v="18.2"/>
    <n v="658.29"/>
    <n v="0"/>
    <n v="0"/>
    <n v="0"/>
    <n v="0"/>
    <n v="0"/>
    <n v="0"/>
    <n v="658.29"/>
    <n v="0"/>
    <n v="0"/>
    <n v="0"/>
    <n v="0"/>
    <n v="658"/>
    <n v="0"/>
    <n v="0"/>
    <n v="0"/>
    <n v="0.28999999999996362"/>
    <n v="0"/>
    <s v="Release1"/>
    <n v="493.21112307692317"/>
    <n v="2.6"/>
    <n v="0"/>
    <n v="0"/>
    <m/>
    <s v="Sahibpur Kamal"/>
    <m/>
    <n v="0"/>
  </r>
  <r>
    <s v="Munger"/>
    <s v="24-30 Apr"/>
    <n v="1011"/>
    <s v="Sahibpur Kamal"/>
    <x v="450"/>
    <s v="Hardia"/>
    <s v="MPG"/>
    <s v="Direct"/>
    <n v="524.79999999999995"/>
    <n v="22226.450000000004"/>
    <n v="516.70000000000005"/>
    <n v="22081.213602529999"/>
    <n v="8.4"/>
    <n v="371.46203999520003"/>
    <n v="525.1"/>
    <n v="22452.675642525199"/>
    <n v="22226.450000000004"/>
    <n v="0"/>
    <n v="371.46203999520003"/>
    <n v="226.22564252519442"/>
    <n v="0"/>
    <n v="0"/>
    <n v="0"/>
    <n v="21855"/>
    <n v="0"/>
    <n v="0"/>
    <n v="0"/>
    <n v="0"/>
    <n v="148.40221189024399"/>
    <n v="74.971428571428561"/>
    <n v="-1.0178217507752897E-2"/>
    <n v="3"/>
    <m/>
    <s v="Sahibpur Kamal"/>
    <m/>
    <n v="0"/>
  </r>
  <r>
    <s v="Munger"/>
    <s v="24-30 Apr"/>
    <n v="1011"/>
    <s v="Sahibpur Kamal"/>
    <x v="451"/>
    <s v="Pachveer"/>
    <s v="vlc"/>
    <s v="Indirect"/>
    <n v="6641.9999999999991"/>
    <n v="248106.87999999998"/>
    <n v="0"/>
    <n v="0"/>
    <n v="0"/>
    <n v="0"/>
    <n v="0"/>
    <n v="0"/>
    <n v="248106.87999999998"/>
    <n v="0"/>
    <n v="0"/>
    <n v="0"/>
    <n v="0"/>
    <n v="0"/>
    <n v="0"/>
    <n v="0"/>
    <n v="0"/>
    <n v="248106.87999999998"/>
    <n v="0"/>
    <n v="0"/>
    <n v="0"/>
    <n v="0"/>
    <n v="0"/>
    <n v="0"/>
    <m/>
    <s v="Sahibpur Kamal"/>
    <m/>
    <n v="0"/>
  </r>
  <r>
    <s v="Munger"/>
    <s v="24-30 Apr"/>
    <n v="1011"/>
    <s v="Sahibpur Kamal"/>
    <x v="453"/>
    <s v="Gomukh Mirjapur Bari"/>
    <s v="MPG"/>
    <s v="Direct"/>
    <n v="66.099999999999994"/>
    <n v="2444.9099999999994"/>
    <n v="86.5"/>
    <n v="3164.9254837200006"/>
    <n v="0"/>
    <n v="0"/>
    <n v="86.5"/>
    <n v="3164.9254837200006"/>
    <n v="2444.9099999999994"/>
    <n v="0"/>
    <n v="0"/>
    <n v="720.01548372000116"/>
    <n v="0"/>
    <n v="372.53040000000004"/>
    <n v="0"/>
    <n v="2072"/>
    <n v="0"/>
    <n v="0"/>
    <n v="0"/>
    <n v="0"/>
    <n v="468.93447776096821"/>
    <n v="9.4428571428571413"/>
    <n v="-0.29449570074972137"/>
    <n v="1"/>
    <m/>
    <s v="Sahibpur Kamal"/>
    <m/>
    <n v="0"/>
  </r>
  <r>
    <s v="Munger"/>
    <s v="24-30 Apr"/>
    <n v="1011"/>
    <s v="Sahibpur Kamal"/>
    <x v="454"/>
    <s v="Mathar-3"/>
    <s v="vlc"/>
    <s v="Indirect"/>
    <n v="846.30000000000018"/>
    <n v="35269.369999999995"/>
    <n v="0"/>
    <n v="0"/>
    <n v="0"/>
    <n v="0"/>
    <n v="0"/>
    <n v="0"/>
    <n v="35269.369999999995"/>
    <n v="0"/>
    <n v="0"/>
    <n v="0"/>
    <n v="0"/>
    <n v="1870.5903096774205"/>
    <n v="0"/>
    <n v="0"/>
    <n v="0"/>
    <n v="33398.779690322575"/>
    <n v="0"/>
    <n v="0"/>
    <n v="0"/>
    <n v="0"/>
    <n v="0"/>
    <n v="0"/>
    <m/>
    <s v="Sahibpur Kamal"/>
    <m/>
    <n v="0"/>
  </r>
  <r>
    <s v="Munger"/>
    <s v="24-30 Apr"/>
    <n v="1011"/>
    <s v="Sahibpur Kamal"/>
    <x v="455"/>
    <s v="Ahoghat"/>
    <s v="vlc"/>
    <s v="Indirect"/>
    <n v="475.40000000000009"/>
    <n v="18570.159999999996"/>
    <n v="0"/>
    <n v="0"/>
    <n v="0"/>
    <n v="0"/>
    <n v="0"/>
    <n v="0"/>
    <n v="18570.159999999996"/>
    <n v="0"/>
    <n v="0"/>
    <n v="0"/>
    <n v="0"/>
    <n v="0"/>
    <n v="0"/>
    <n v="0"/>
    <n v="0"/>
    <n v="18570.159999999996"/>
    <n v="0"/>
    <n v="0"/>
    <n v="175.46730904501459"/>
    <n v="67.914285714285725"/>
    <n v="0"/>
    <n v="0"/>
    <m/>
    <s v="Sahibpur Kamal"/>
    <m/>
    <n v="0"/>
  </r>
  <r>
    <s v="Munger"/>
    <s v="24-30 Apr"/>
    <n v="1011"/>
    <s v="Sahibpur Kamal"/>
    <x v="456"/>
    <s v="Mathar-4"/>
    <s v="vlc"/>
    <s v="Indirect"/>
    <n v="348.4"/>
    <n v="12851.87"/>
    <n v="0"/>
    <n v="0"/>
    <n v="0"/>
    <n v="0"/>
    <n v="0"/>
    <n v="0"/>
    <n v="12851.87"/>
    <n v="0"/>
    <n v="0"/>
    <n v="0"/>
    <n v="0"/>
    <n v="0"/>
    <n v="0"/>
    <n v="0"/>
    <n v="0"/>
    <n v="12851.87"/>
    <n v="0"/>
    <n v="0"/>
    <n v="259.39824867967855"/>
    <n v="49.771428571428565"/>
    <n v="0"/>
    <n v="0"/>
    <m/>
    <s v="Sahibpur Kamal"/>
    <m/>
    <n v="0"/>
  </r>
  <r>
    <s v="Munger"/>
    <s v="24-30 Apr"/>
    <n v="1011"/>
    <s v="Sahibpur Kamal"/>
    <x v="967"/>
    <s v="Farid Nagar"/>
    <s v="MPG"/>
    <s v="Direct"/>
    <n v="54"/>
    <n v="2071.71"/>
    <n v="54"/>
    <n v="2060.0511624000001"/>
    <n v="0"/>
    <n v="0"/>
    <n v="54"/>
    <n v="2060.0511624000001"/>
    <n v="2060.0511624000001"/>
    <n v="0"/>
    <n v="0"/>
    <n v="0"/>
    <n v="0"/>
    <n v="0"/>
    <n v="0"/>
    <n v="2060"/>
    <n v="0"/>
    <n v="0"/>
    <n v="12"/>
    <n v="0"/>
    <n v="495.67580000000004"/>
    <n v="7.7142857142857144"/>
    <n v="5.6276397758373373E-3"/>
    <n v="1"/>
    <m/>
    <s v="Sahibpur Kamal"/>
    <m/>
    <n v="0"/>
  </r>
  <r>
    <s v="Munger"/>
    <s v="24-30 Apr"/>
    <n v="1012"/>
    <s v="DalsinghSarai"/>
    <x v="457"/>
    <s v="GOMUKH SUBHANPUR"/>
    <s v="vlc"/>
    <s v="Indirect"/>
    <n v="127.41000000000001"/>
    <n v="5877.01"/>
    <n v="0"/>
    <n v="0"/>
    <n v="0"/>
    <n v="0"/>
    <n v="0"/>
    <n v="0"/>
    <n v="5877.01"/>
    <n v="0"/>
    <n v="0"/>
    <n v="0"/>
    <n v="5877"/>
    <n v="0"/>
    <n v="0"/>
    <n v="0"/>
    <n v="0"/>
    <n v="1.0000000000218279E-2"/>
    <n v="0"/>
    <n v="0"/>
    <n v="528.23438598226187"/>
    <n v="18.201428571428572"/>
    <n v="0"/>
    <n v="0"/>
    <m/>
    <s v="DalsinghSarai"/>
    <m/>
    <n v="0"/>
  </r>
  <r>
    <s v="Munger"/>
    <s v="24-30 Apr"/>
    <n v="1012"/>
    <s v="DalsinghSarai"/>
    <x v="458"/>
    <s v="GOMUKH  BHAJANGAMA"/>
    <s v="vlc"/>
    <s v="Indirect"/>
    <n v="427.19000000000005"/>
    <n v="17068.02"/>
    <n v="0"/>
    <n v="0"/>
    <n v="0"/>
    <n v="0"/>
    <n v="0"/>
    <n v="0"/>
    <n v="17068.02"/>
    <n v="0"/>
    <n v="0"/>
    <n v="0"/>
    <n v="2700"/>
    <n v="0"/>
    <n v="0"/>
    <n v="0"/>
    <n v="0"/>
    <n v="14368.02"/>
    <n v="0"/>
    <n v="0"/>
    <n v="217.99791831269454"/>
    <n v="61.027142857142863"/>
    <n v="0"/>
    <n v="0"/>
    <m/>
    <s v="DalsinghSarai"/>
    <m/>
    <n v="0"/>
  </r>
  <r>
    <s v="Munger"/>
    <s v="24-30 Apr"/>
    <n v="1012"/>
    <s v="DalsinghSarai"/>
    <x v="460"/>
    <s v="Gomukh Basadhiya Kurni"/>
    <s v="MPG"/>
    <s v="Direct"/>
    <n v="370.41000000000008"/>
    <n v="14109.009999999998"/>
    <n v="386.84000000000003"/>
    <n v="14322.162262283702"/>
    <n v="0"/>
    <n v="0"/>
    <n v="386.84000000000003"/>
    <n v="14322.162262283702"/>
    <n v="14109.009999999998"/>
    <n v="0"/>
    <n v="0"/>
    <n v="213.15226228370375"/>
    <n v="0"/>
    <n v="0"/>
    <n v="0"/>
    <n v="14109"/>
    <n v="0"/>
    <n v="0"/>
    <n v="0"/>
    <n v="0"/>
    <n v="251.08331880348788"/>
    <n v="52.915714285714294"/>
    <n v="-1.5107527904771757E-2"/>
    <n v="4"/>
    <m/>
    <s v="DalsinghSarai"/>
    <m/>
    <n v="0"/>
  </r>
  <r>
    <s v="Munger"/>
    <s v="24-30 Apr"/>
    <n v="1012"/>
    <s v="DalsinghSarai"/>
    <x v="461"/>
    <s v="KHAJURI"/>
    <s v="MPG"/>
    <s v="Direct"/>
    <n v="381.09"/>
    <n v="14417.440000000002"/>
    <n v="263.09999999999997"/>
    <n v="9838.4577224067307"/>
    <n v="141.1"/>
    <n v="5186.243752150951"/>
    <n v="404.19999999999993"/>
    <n v="15024.701474557682"/>
    <n v="14417.440000000002"/>
    <n v="0"/>
    <n v="223.77280266"/>
    <n v="607.26147455767932"/>
    <n v="0"/>
    <n v="0"/>
    <n v="0"/>
    <n v="9230"/>
    <n v="4963"/>
    <n v="0"/>
    <n v="1"/>
    <n v="0"/>
    <n v="241.30078408774835"/>
    <n v="54.441428571428567"/>
    <n v="-4.2119923825428042E-2"/>
    <n v="13"/>
    <m/>
    <s v="DalsinghSarai"/>
    <m/>
    <n v="0"/>
  </r>
  <r>
    <s v="Munger"/>
    <s v="24-30 Apr"/>
    <n v="1012"/>
    <s v="DalsinghSarai"/>
    <x v="462"/>
    <s v="ARMAULI-2"/>
    <s v="MPG"/>
    <s v="Direct"/>
    <n v="1275.23"/>
    <n v="51127.71"/>
    <n v="1275.8999999999999"/>
    <n v="50251.179262234866"/>
    <n v="16.100000000000001"/>
    <n v="635.84203914000011"/>
    <n v="1291.9999999999998"/>
    <n v="50887.021301374865"/>
    <n v="50887.021301374865"/>
    <n v="0"/>
    <n v="635.84203914000011"/>
    <n v="0"/>
    <n v="12807"/>
    <n v="0"/>
    <n v="0"/>
    <n v="37445"/>
    <n v="0"/>
    <n v="0"/>
    <n v="240"/>
    <n v="0"/>
    <n v="0"/>
    <n v="0"/>
    <n v="4.707597868653492E-3"/>
    <n v="35"/>
    <m/>
    <s v="DalsinghSarai"/>
    <m/>
    <n v="0"/>
  </r>
  <r>
    <s v="Munger"/>
    <s v="24-30 Apr"/>
    <n v="1012"/>
    <s v="DalsinghSarai"/>
    <x v="463"/>
    <s v="MUSAPUR - 2"/>
    <s v="vlc"/>
    <s v="Indirect"/>
    <n v="70.61999999999999"/>
    <n v="2375.96"/>
    <n v="0"/>
    <n v="0"/>
    <n v="0"/>
    <n v="0"/>
    <n v="0"/>
    <n v="0"/>
    <n v="2375.96"/>
    <n v="0"/>
    <n v="0"/>
    <n v="0"/>
    <n v="1350"/>
    <n v="0"/>
    <n v="0"/>
    <n v="0"/>
    <n v="0"/>
    <n v="1025.96"/>
    <n v="0"/>
    <n v="0"/>
    <n v="423.50090761823856"/>
    <n v="10.088571428571427"/>
    <n v="0"/>
    <n v="0"/>
    <m/>
    <s v="DalsinghSarai"/>
    <m/>
    <n v="0"/>
  </r>
  <r>
    <s v="Munger"/>
    <s v="24-30 Apr"/>
    <n v="1012"/>
    <s v="DalsinghSarai"/>
    <x v="464"/>
    <s v="Janganath Pur"/>
    <s v="vlc"/>
    <s v="Indirect"/>
    <n v="1678.61"/>
    <n v="70735.169999999984"/>
    <n v="0"/>
    <n v="0"/>
    <n v="0"/>
    <n v="0"/>
    <n v="0"/>
    <n v="0"/>
    <n v="70735.169999999984"/>
    <n v="0"/>
    <n v="0"/>
    <n v="0"/>
    <n v="2700"/>
    <n v="0"/>
    <n v="0"/>
    <n v="0"/>
    <n v="0"/>
    <n v="68035.169999999984"/>
    <n v="0"/>
    <n v="0"/>
    <n v="0"/>
    <n v="0"/>
    <n v="0"/>
    <n v="0"/>
    <m/>
    <s v="DalsinghSarai"/>
    <m/>
    <n v="0"/>
  </r>
  <r>
    <s v="Munger"/>
    <s v="24-30 Apr"/>
    <n v="1012"/>
    <s v="DalsinghSarai"/>
    <x v="465"/>
    <s v="Nagargama"/>
    <s v="vlc"/>
    <s v="Indirect"/>
    <n v="73.489999999999995"/>
    <n v="2700.24"/>
    <n v="0"/>
    <n v="0"/>
    <n v="0"/>
    <n v="0"/>
    <n v="0"/>
    <n v="0"/>
    <n v="2700.24"/>
    <n v="0"/>
    <n v="0"/>
    <n v="0"/>
    <n v="0"/>
    <n v="612.80600903225809"/>
    <n v="0"/>
    <n v="0"/>
    <n v="0"/>
    <n v="2087.4339909677419"/>
    <n v="0"/>
    <n v="0"/>
    <n v="460.39661515852498"/>
    <n v="10.498571428571427"/>
    <n v="0"/>
    <n v="0"/>
    <m/>
    <s v="DalsinghSarai"/>
    <m/>
    <n v="0"/>
  </r>
  <r>
    <s v="Munger"/>
    <s v="24-30 Apr"/>
    <n v="1012"/>
    <s v="DalsinghSarai"/>
    <x v="466"/>
    <s v="Sato Ghachchhi"/>
    <s v="MPG"/>
    <s v="Direct"/>
    <n v="744.96"/>
    <n v="33420.969999999994"/>
    <n v="737.99999999999989"/>
    <n v="32932.889015798472"/>
    <n v="12.799999999999999"/>
    <n v="545.26234191000003"/>
    <n v="750.79999999999984"/>
    <n v="33478.15135770847"/>
    <n v="33420.969999999994"/>
    <n v="0"/>
    <n v="545.26234191000003"/>
    <n v="57.181357708475844"/>
    <n v="1300"/>
    <n v="0"/>
    <n v="0"/>
    <n v="31576"/>
    <n v="0"/>
    <n v="0"/>
    <n v="0"/>
    <n v="0"/>
    <n v="0"/>
    <n v="0"/>
    <n v="-1.7109424923476444E-3"/>
    <n v="23"/>
    <m/>
    <s v="DalsinghSarai"/>
    <m/>
    <n v="0"/>
  </r>
  <r>
    <s v="Munger"/>
    <s v="24-30 Apr"/>
    <n v="1012"/>
    <s v="DalsinghSarai"/>
    <x v="467"/>
    <s v="Bhatgama"/>
    <s v="vlc"/>
    <s v="Indirect"/>
    <n v="394.78"/>
    <n v="12618.500000000002"/>
    <n v="0"/>
    <n v="0"/>
    <n v="0"/>
    <n v="0"/>
    <n v="0"/>
    <n v="0"/>
    <n v="12618.500000000002"/>
    <n v="0"/>
    <n v="0"/>
    <n v="0"/>
    <n v="2700"/>
    <n v="0"/>
    <n v="0"/>
    <n v="0"/>
    <n v="0"/>
    <n v="9918.5000000000018"/>
    <n v="0"/>
    <n v="0"/>
    <n v="195.11720806525159"/>
    <n v="56.397142857142853"/>
    <n v="0"/>
    <n v="0"/>
    <m/>
    <s v="DalsinghSarai"/>
    <m/>
    <n v="0"/>
  </r>
  <r>
    <s v="Munger"/>
    <s v="24-30 Apr"/>
    <n v="1012"/>
    <s v="DalsinghSarai"/>
    <x v="468"/>
    <s v="Borna Rasalpur"/>
    <s v="MPG"/>
    <s v="Direct"/>
    <n v="860.98"/>
    <n v="35658.49"/>
    <n v="823.12000000000012"/>
    <n v="34122.240231947995"/>
    <n v="267.79999999999995"/>
    <n v="12096.480601125002"/>
    <n v="1090.92"/>
    <n v="46218.720833072999"/>
    <n v="35658.49"/>
    <n v="0"/>
    <n v="0"/>
    <n v="10560.230833073001"/>
    <n v="0"/>
    <n v="0"/>
    <n v="0"/>
    <n v="23562"/>
    <n v="12096"/>
    <n v="0"/>
    <n v="0"/>
    <n v="0"/>
    <n v="0"/>
    <n v="0"/>
    <n v="-0.29614913119072067"/>
    <n v="13"/>
    <m/>
    <s v="DalsinghSarai"/>
    <m/>
    <n v="0"/>
  </r>
  <r>
    <s v="Munger"/>
    <s v="24-30 Apr"/>
    <n v="1012"/>
    <s v="DalsinghSarai"/>
    <x v="469"/>
    <s v="Rasalpur"/>
    <s v="MPG"/>
    <s v="Direct"/>
    <n v="1177.5299999999997"/>
    <n v="45863.360000000001"/>
    <n v="1191.98"/>
    <n v="45164.466672101378"/>
    <n v="237.05"/>
    <n v="8682.8815481223901"/>
    <n v="1429.03"/>
    <n v="53847.348220223765"/>
    <n v="45863.360000000001"/>
    <n v="0"/>
    <n v="0"/>
    <n v="7983.9882202237641"/>
    <n v="0"/>
    <n v="0"/>
    <n v="0"/>
    <n v="37179"/>
    <n v="8684"/>
    <n v="0"/>
    <n v="0"/>
    <n v="0"/>
    <n v="0"/>
    <n v="0"/>
    <n v="-0.1740820607173954"/>
    <n v="18"/>
    <m/>
    <s v="DalsinghSarai"/>
    <m/>
    <n v="0"/>
  </r>
  <r>
    <s v="Munger"/>
    <s v="24-30 Apr"/>
    <n v="1012"/>
    <s v="DalsinghSarai"/>
    <x v="470"/>
    <s v="Narahan"/>
    <s v="MPG"/>
    <s v="Direct"/>
    <n v="335.91"/>
    <n v="13057.740000000002"/>
    <n v="335.28000000000009"/>
    <n v="12092.942430459001"/>
    <n v="4.2700000000000005"/>
    <n v="153.56508552000003"/>
    <n v="339.55000000000007"/>
    <n v="12246.507515979001"/>
    <n v="12246.507515979001"/>
    <n v="0"/>
    <n v="153.56508552000003"/>
    <n v="0"/>
    <n v="4762"/>
    <n v="0"/>
    <n v="0"/>
    <n v="7331"/>
    <n v="0"/>
    <n v="0"/>
    <n v="811"/>
    <n v="0"/>
    <n v="283.06347275162989"/>
    <n v="47.987142857142864"/>
    <n v="6.2126561259528847E-2"/>
    <n v="5"/>
    <m/>
    <s v="DalsinghSarai"/>
    <m/>
    <n v="0"/>
  </r>
  <r>
    <s v="Munger"/>
    <s v="24-30 Apr"/>
    <n v="1012"/>
    <s v="DalsinghSarai"/>
    <x v="471"/>
    <s v="Gomukh Dumduma"/>
    <s v="MPG"/>
    <s v="Direct"/>
    <n v="414.16"/>
    <n v="15912.029999999999"/>
    <n v="435.22"/>
    <n v="16799.271817284003"/>
    <n v="0"/>
    <n v="0"/>
    <n v="435.22"/>
    <n v="16799.271817284003"/>
    <n v="15912.029999999999"/>
    <n v="0"/>
    <n v="0"/>
    <n v="887.24181728400436"/>
    <n v="0"/>
    <n v="0"/>
    <n v="0"/>
    <n v="15912"/>
    <n v="0"/>
    <n v="0"/>
    <n v="0"/>
    <n v="0"/>
    <n v="219.63949464941081"/>
    <n v="59.165714285714287"/>
    <n v="-5.5759184546786578E-2"/>
    <n v="3"/>
    <m/>
    <s v="DalsinghSarai"/>
    <m/>
    <n v="0"/>
  </r>
  <r>
    <s v="Munger"/>
    <s v="24-30 Apr"/>
    <n v="1012"/>
    <s v="DalsinghSarai"/>
    <x v="472"/>
    <s v="SUPOL"/>
    <s v="MPG"/>
    <s v="Direct"/>
    <n v="225.95000000000002"/>
    <n v="8711.7800000000007"/>
    <n v="330"/>
    <n v="13678.210259999998"/>
    <n v="0"/>
    <n v="0"/>
    <n v="330"/>
    <n v="13678.210259999998"/>
    <n v="8711.7800000000007"/>
    <n v="0"/>
    <n v="0"/>
    <n v="4966.4302599999974"/>
    <n v="0"/>
    <n v="254.07734322580643"/>
    <n v="0"/>
    <n v="8458"/>
    <n v="0"/>
    <n v="0"/>
    <n v="0"/>
    <n v="0"/>
    <n v="365.55160955963703"/>
    <n v="32.278571428571432"/>
    <n v="-0.57008214853910422"/>
    <n v="3"/>
    <m/>
    <s v="DalsinghSarai"/>
    <m/>
    <n v="0"/>
  </r>
  <r>
    <s v="Munger"/>
    <s v="24-30 Apr"/>
    <n v="1012"/>
    <s v="DalsinghSarai"/>
    <x v="473"/>
    <s v="BHUSARAI"/>
    <s v="MPG"/>
    <s v="Direct"/>
    <n v="233.89000000000001"/>
    <n v="8810.2799999999988"/>
    <n v="149.94"/>
    <n v="5339.179303504201"/>
    <n v="87.19"/>
    <n v="3064.7122081488001"/>
    <n v="237.13"/>
    <n v="8403.8915116530006"/>
    <n v="8403.8915116530006"/>
    <n v="0"/>
    <n v="200.4963358068"/>
    <n v="0"/>
    <n v="0"/>
    <n v="0"/>
    <n v="0"/>
    <n v="5339"/>
    <n v="2864"/>
    <n v="0"/>
    <n v="407"/>
    <n v="0"/>
    <n v="351.15307288041373"/>
    <n v="33.412857142857142"/>
    <n v="4.6126625753891849E-2"/>
    <n v="6"/>
    <m/>
    <s v="DalsinghSarai"/>
    <m/>
    <n v="0"/>
  </r>
  <r>
    <s v="Munger"/>
    <s v="24-30 Apr"/>
    <n v="1012"/>
    <s v="DalsinghSarai"/>
    <x v="474"/>
    <s v="Gomukha Jounapur"/>
    <s v="vlc"/>
    <s v="Indirect"/>
    <n v="274.58000000000004"/>
    <n v="11272.619999999997"/>
    <n v="0"/>
    <n v="0"/>
    <n v="0"/>
    <n v="0"/>
    <n v="0"/>
    <n v="0"/>
    <n v="11272.619999999997"/>
    <n v="0"/>
    <n v="0"/>
    <n v="0"/>
    <n v="0"/>
    <n v="0"/>
    <n v="0"/>
    <n v="0"/>
    <n v="0"/>
    <n v="11272.619999999997"/>
    <n v="0"/>
    <n v="0"/>
    <n v="349.30424651467678"/>
    <n v="39.22571428571429"/>
    <n v="0"/>
    <n v="0"/>
    <m/>
    <s v="DalsinghSarai"/>
    <m/>
    <n v="0"/>
  </r>
  <r>
    <s v="Munger"/>
    <s v="24-30 Apr"/>
    <n v="1012"/>
    <s v="DalsinghSarai"/>
    <x v="475"/>
    <s v="Patailliya"/>
    <s v="vlc"/>
    <s v="Indirect"/>
    <n v="263.25999999999993"/>
    <n v="9684.73"/>
    <n v="0"/>
    <n v="0"/>
    <n v="0"/>
    <n v="0"/>
    <n v="0"/>
    <n v="0"/>
    <n v="9684.73"/>
    <n v="0"/>
    <n v="0"/>
    <n v="0"/>
    <n v="0"/>
    <n v="0"/>
    <n v="0"/>
    <n v="0"/>
    <n v="0"/>
    <n v="9684.73"/>
    <n v="0"/>
    <n v="0"/>
    <n v="321.33320521157805"/>
    <n v="37.608571428571416"/>
    <n v="0"/>
    <n v="0"/>
    <m/>
    <s v="DalsinghSarai"/>
    <m/>
    <n v="0"/>
  </r>
  <r>
    <s v="Munger"/>
    <s v="24-30 Apr"/>
    <n v="1012"/>
    <s v="DalsinghSarai"/>
    <x v="476"/>
    <s v="Badiya"/>
    <s v="vlc"/>
    <s v="Indirect"/>
    <n v="277.60999999999996"/>
    <n v="10131.75"/>
    <n v="0"/>
    <n v="0"/>
    <n v="0"/>
    <n v="0"/>
    <n v="0"/>
    <n v="0"/>
    <n v="10131.75"/>
    <n v="0"/>
    <n v="0"/>
    <n v="0"/>
    <n v="0"/>
    <n v="0"/>
    <n v="0"/>
    <n v="0"/>
    <n v="0"/>
    <n v="10131.75"/>
    <n v="0"/>
    <n v="0"/>
    <n v="308.31381308310227"/>
    <n v="39.65857142857142"/>
    <n v="0"/>
    <n v="0"/>
    <m/>
    <s v="DalsinghSarai"/>
    <m/>
    <n v="0"/>
  </r>
  <r>
    <s v="Munger"/>
    <s v="24-30 Apr"/>
    <n v="1012"/>
    <s v="DalsinghSarai"/>
    <x v="477"/>
    <s v="Gomukh Tabhka"/>
    <s v="MPG"/>
    <s v="Direct"/>
    <n v="1434.21"/>
    <n v="58861.74"/>
    <n v="1016.3299999999999"/>
    <n v="45315.395223716725"/>
    <n v="498.78"/>
    <n v="20476.236269905381"/>
    <n v="1515.11"/>
    <n v="65791.631493622102"/>
    <n v="58861.74"/>
    <n v="0"/>
    <n v="562.91061974400009"/>
    <n v="6929.8914936221045"/>
    <n v="2700"/>
    <n v="1328.6936206451617"/>
    <n v="0"/>
    <n v="34798"/>
    <n v="19472"/>
    <n v="0"/>
    <n v="0"/>
    <s v="Release1"/>
    <n v="0"/>
    <n v="0"/>
    <n v="-0.11773167924737027"/>
    <n v="21"/>
    <m/>
    <s v="DalsinghSarai"/>
    <m/>
    <n v="0"/>
  </r>
  <r>
    <s v="Munger"/>
    <s v="24-30 Apr"/>
    <n v="1012"/>
    <s v="DalsinghSarai"/>
    <x v="478"/>
    <s v="Ghato"/>
    <s v="vlc"/>
    <s v="Indirect"/>
    <n v="33.510000000000005"/>
    <n v="1196.04"/>
    <n v="0"/>
    <n v="0"/>
    <n v="0"/>
    <n v="0"/>
    <n v="0"/>
    <n v="0"/>
    <n v="1196.04"/>
    <n v="0"/>
    <n v="0"/>
    <n v="0"/>
    <n v="0"/>
    <n v="0"/>
    <n v="0"/>
    <n v="0"/>
    <n v="0"/>
    <n v="1196.04"/>
    <n v="0"/>
    <n v="0"/>
    <n v="475.76765120859432"/>
    <n v="4.7871428571428583"/>
    <n v="0"/>
    <n v="0"/>
    <m/>
    <s v="DalsinghSarai"/>
    <m/>
    <n v="0"/>
  </r>
  <r>
    <s v="Munger"/>
    <s v="24-30 Apr"/>
    <n v="1012"/>
    <s v="DalsinghSarai"/>
    <x v="479"/>
    <s v="RAMNATHPUR                                                                                          "/>
    <s v="MPG"/>
    <s v="Direct"/>
    <n v="580.62"/>
    <n v="24193.78"/>
    <n v="505.03999999999996"/>
    <n v="19383.297394859703"/>
    <n v="114.32"/>
    <n v="4087.6063125189594"/>
    <n v="619.3599999999999"/>
    <n v="23470.90370737866"/>
    <n v="23470.90370737866"/>
    <n v="0"/>
    <n v="255.51339368016005"/>
    <n v="0"/>
    <n v="0"/>
    <n v="0"/>
    <n v="0"/>
    <n v="19383"/>
    <n v="3830"/>
    <n v="0"/>
    <n v="725"/>
    <n v="0"/>
    <n v="99.488596892976446"/>
    <n v="82.945714285714288"/>
    <n v="2.987860072387773E-2"/>
    <n v="17"/>
    <m/>
    <s v="DalsinghSarai"/>
    <m/>
    <n v="0"/>
  </r>
  <r>
    <s v="Munger"/>
    <s v="24-30 Apr"/>
    <n v="1012"/>
    <s v="DalsinghSarai"/>
    <x v="481"/>
    <s v="DESUA"/>
    <s v="MPG"/>
    <s v="Direct"/>
    <n v="295.19000000000005"/>
    <n v="10767.210000000001"/>
    <n v="274.89999999999998"/>
    <n v="10054.373859288"/>
    <n v="20"/>
    <n v="700.14756240000008"/>
    <n v="294.89999999999998"/>
    <n v="10754.521421687999"/>
    <n v="10754.521421687999"/>
    <n v="0"/>
    <n v="0"/>
    <n v="0"/>
    <n v="4050"/>
    <n v="0"/>
    <n v="0"/>
    <n v="6004"/>
    <n v="700"/>
    <n v="0"/>
    <n v="13"/>
    <n v="0"/>
    <n v="295.31313934076348"/>
    <n v="42.170000000000009"/>
    <n v="1.1784462559940301E-3"/>
    <n v="5"/>
    <m/>
    <s v="DalsinghSarai"/>
    <m/>
    <n v="0"/>
  </r>
  <r>
    <s v="Munger"/>
    <s v="24-30 Apr"/>
    <n v="1012"/>
    <s v="DalsinghSarai"/>
    <x v="482"/>
    <s v="Matior"/>
    <s v="MPG"/>
    <s v="Direct"/>
    <n v="81.960000000000008"/>
    <n v="3218.04"/>
    <n v="81.96"/>
    <n v="3221.2248997895999"/>
    <n v="0"/>
    <n v="0"/>
    <n v="81.96"/>
    <n v="3221.2248997895999"/>
    <n v="3218.04"/>
    <n v="0"/>
    <n v="0"/>
    <n v="3.1848997895999673"/>
    <n v="2700"/>
    <n v="90.076589999999925"/>
    <n v="0"/>
    <n v="428"/>
    <n v="0"/>
    <n v="0"/>
    <n v="0"/>
    <n v="0"/>
    <n v="485.32880468521222"/>
    <n v="11.70857142857143"/>
    <n v="-9.8970174068686769E-4"/>
    <n v="1"/>
    <m/>
    <s v="DalsinghSarai"/>
    <m/>
    <n v="0"/>
  </r>
  <r>
    <s v="Munger"/>
    <s v="24-30 Apr"/>
    <n v="1012"/>
    <s v="DalsinghSarai"/>
    <x v="483"/>
    <s v="TELGAMA"/>
    <s v="vlc"/>
    <s v="Indirect"/>
    <n v="466.23999999999995"/>
    <n v="19641.719999999998"/>
    <n v="0"/>
    <n v="0"/>
    <n v="0"/>
    <n v="0"/>
    <n v="0"/>
    <n v="0"/>
    <n v="19641.719999999998"/>
    <n v="0"/>
    <n v="0"/>
    <n v="0"/>
    <n v="0"/>
    <n v="0"/>
    <n v="0"/>
    <n v="0"/>
    <n v="0"/>
    <n v="19641.719999999998"/>
    <n v="0"/>
    <n v="0"/>
    <n v="196.95643733699382"/>
    <n v="66.605714285714285"/>
    <n v="0"/>
    <n v="0"/>
    <m/>
    <s v="DalsinghSarai"/>
    <m/>
    <n v="0"/>
  </r>
  <r>
    <s v="Munger"/>
    <s v="24-30 Apr"/>
    <n v="1012"/>
    <s v="DalsinghSarai"/>
    <x v="484"/>
    <s v="GOMUKH TATARPUR"/>
    <s v="MPG"/>
    <s v="Direct"/>
    <n v="166.84"/>
    <n v="7785.3399999999992"/>
    <n v="166.75"/>
    <n v="7780.6105824610004"/>
    <n v="0"/>
    <n v="0"/>
    <n v="166.75"/>
    <n v="7780.6105824610004"/>
    <n v="7780.6105824610004"/>
    <n v="0"/>
    <n v="0"/>
    <n v="0"/>
    <n v="0"/>
    <n v="0"/>
    <n v="0"/>
    <n v="7781"/>
    <n v="0"/>
    <n v="0"/>
    <n v="4"/>
    <n v="0"/>
    <n v="497.58233929513301"/>
    <n v="23.834285714285716"/>
    <n v="6.0747732777230792E-4"/>
    <n v="1"/>
    <m/>
    <s v="DalsinghSarai"/>
    <m/>
    <n v="0"/>
  </r>
  <r>
    <s v="Munger"/>
    <s v="24-30 Apr"/>
    <n v="1012"/>
    <s v="DalsinghSarai"/>
    <x v="485"/>
    <s v="Gomukh Ghataho"/>
    <s v="MPG"/>
    <s v="Direct"/>
    <n v="1798.3100000000002"/>
    <n v="66439.91"/>
    <n v="1224"/>
    <n v="45684.39829592553"/>
    <n v="537.90000000000009"/>
    <n v="20757.049518764496"/>
    <n v="1761.9"/>
    <n v="66441.447814690022"/>
    <n v="66439.91"/>
    <n v="0"/>
    <n v="547.89979028400012"/>
    <n v="1.537814690018422"/>
    <n v="0"/>
    <n v="0"/>
    <n v="0"/>
    <n v="45683"/>
    <n v="20209"/>
    <n v="0"/>
    <n v="0"/>
    <n v="0"/>
    <n v="0"/>
    <n v="0"/>
    <n v="-2.3145947819893524E-5"/>
    <n v="30"/>
    <m/>
    <s v="DalsinghSarai"/>
    <m/>
    <n v="0"/>
  </r>
  <r>
    <s v="Munger"/>
    <s v="24-30 Apr"/>
    <n v="1012"/>
    <s v="DalsinghSarai"/>
    <x v="487"/>
    <s v="Kacha - Amarjeet"/>
    <s v="vlc"/>
    <s v="Indirect"/>
    <n v="516.73"/>
    <n v="23497.660000000003"/>
    <n v="0"/>
    <n v="0"/>
    <n v="0"/>
    <n v="0"/>
    <n v="0"/>
    <n v="0"/>
    <n v="23497.660000000003"/>
    <n v="0"/>
    <n v="0"/>
    <n v="0"/>
    <n v="6000"/>
    <n v="0"/>
    <n v="0"/>
    <n v="0"/>
    <n v="0"/>
    <n v="17497.660000000003"/>
    <n v="0"/>
    <n v="0"/>
    <n v="166.67954824376369"/>
    <n v="73.818571428571431"/>
    <n v="0"/>
    <n v="0"/>
    <m/>
    <s v="DalsinghSarai"/>
    <m/>
    <n v="0"/>
  </r>
  <r>
    <s v="Munger"/>
    <s v="24-30 Apr"/>
    <n v="1012"/>
    <s v="DalsinghSarai"/>
    <x v="971"/>
    <s v="Simri - Suman"/>
    <s v="vlc"/>
    <s v="Indirect"/>
    <n v="763.9"/>
    <n v="37109.860000000008"/>
    <n v="0"/>
    <n v="0"/>
    <n v="0"/>
    <n v="0"/>
    <n v="0"/>
    <n v="0"/>
    <n v="37109.860000000008"/>
    <n v="0"/>
    <n v="0"/>
    <n v="0"/>
    <n v="0"/>
    <n v="0"/>
    <n v="0"/>
    <n v="0"/>
    <n v="0"/>
    <n v="37109.860000000008"/>
    <n v="0"/>
    <n v="0"/>
    <n v="0"/>
    <n v="0"/>
    <n v="0"/>
    <n v="0"/>
    <m/>
    <s v="DalsinghSarai"/>
    <m/>
    <n v="0"/>
  </r>
  <r>
    <s v="Munger"/>
    <s v="24-30 Apr"/>
    <n v="1012"/>
    <s v="DalsinghSarai"/>
    <x v="488"/>
    <s v="Narenpur"/>
    <s v="MPG"/>
    <s v="Direct"/>
    <n v="317.02999999999997"/>
    <n v="13773.550000000001"/>
    <n v="108.7"/>
    <n v="5375.9924747292462"/>
    <n v="222.64"/>
    <n v="9442.4360724680246"/>
    <n v="331.34"/>
    <n v="14818.428547197271"/>
    <n v="13773.550000000001"/>
    <n v="0"/>
    <n v="0"/>
    <n v="1044.8785471972697"/>
    <n v="0"/>
    <n v="0"/>
    <n v="0"/>
    <n v="4331"/>
    <n v="9443"/>
    <n v="0"/>
    <n v="0"/>
    <n v="0"/>
    <n v="332.76702163833085"/>
    <n v="45.29"/>
    <n v="-7.586123745855422E-2"/>
    <n v="11"/>
    <m/>
    <s v="DalsinghSarai"/>
    <m/>
    <n v="0"/>
  </r>
  <r>
    <s v="Munger"/>
    <s v="24-30 Apr"/>
    <n v="1012"/>
    <s v="DalsinghSarai"/>
    <x v="489"/>
    <s v="Mordiba"/>
    <s v="MPG"/>
    <s v="Direct"/>
    <n v="1826.1999999999998"/>
    <n v="71845.53"/>
    <n v="1076.8800000000001"/>
    <n v="42303.9147718651"/>
    <n v="766.43000000000006"/>
    <n v="29049.268335100121"/>
    <n v="1843.3100000000002"/>
    <n v="71353.183106965225"/>
    <n v="71353.183106965225"/>
    <n v="0"/>
    <n v="85.728263518966003"/>
    <n v="0"/>
    <n v="5700"/>
    <n v="0"/>
    <n v="0"/>
    <n v="36604"/>
    <n v="28964"/>
    <n v="0"/>
    <n v="492"/>
    <n v="0"/>
    <n v="0"/>
    <n v="0"/>
    <n v="6.8528535183020227E-3"/>
    <n v="11"/>
    <m/>
    <s v="DalsinghSarai"/>
    <m/>
    <n v="0"/>
  </r>
  <r>
    <s v="Munger"/>
    <s v="24-30 Apr"/>
    <n v="1012"/>
    <s v="DalsinghSarai"/>
    <x v="490"/>
    <s v="Jagdispur"/>
    <s v="MPG"/>
    <s v="Direct"/>
    <n v="243.05000000000004"/>
    <n v="9246.51"/>
    <n v="253.32000000000002"/>
    <n v="8703.8858644265565"/>
    <n v="0"/>
    <n v="0"/>
    <n v="253.32000000000002"/>
    <n v="8703.8858644265565"/>
    <n v="8703.8858644265565"/>
    <n v="0"/>
    <n v="0"/>
    <n v="0"/>
    <n v="1228"/>
    <n v="0"/>
    <n v="0"/>
    <n v="7475"/>
    <n v="0"/>
    <n v="0"/>
    <n v="544"/>
    <n v="0"/>
    <n v="347.68094996914209"/>
    <n v="34.721428571428575"/>
    <n v="5.868421010450902E-2"/>
    <n v="9"/>
    <m/>
    <s v="DalsinghSarai"/>
    <m/>
    <n v="0"/>
  </r>
  <r>
    <s v="Munger"/>
    <s v="24-30 Apr"/>
    <n v="1012"/>
    <s v="DalsinghSarai"/>
    <x v="1065"/>
    <s v="Sahpur Barar"/>
    <s v="vlc"/>
    <s v="Indirect"/>
    <n v="40.299999999999997"/>
    <n v="1971.88"/>
    <n v="0"/>
    <n v="0"/>
    <n v="0"/>
    <n v="0"/>
    <n v="0"/>
    <n v="0"/>
    <n v="1971.88"/>
    <n v="0"/>
    <n v="0"/>
    <n v="0"/>
    <n v="0"/>
    <n v="0"/>
    <n v="0"/>
    <n v="0"/>
    <n v="0"/>
    <n v="1971.88"/>
    <n v="0"/>
    <n v="0"/>
    <n v="645.58274739454112"/>
    <n v="5.7571428571428571"/>
    <n v="0"/>
    <n v="0"/>
    <m/>
    <s v="DalsinghSarai"/>
    <m/>
    <n v="0"/>
  </r>
  <r>
    <s v="Munger"/>
    <s v="24-30 Apr"/>
    <n v="1012"/>
    <s v="DalsinghSarai"/>
    <x v="972"/>
    <s v="Chaklal Sahi_Vikrant"/>
    <s v="vlc"/>
    <s v="Indirect"/>
    <n v="448.96999999999997"/>
    <n v="17530.57"/>
    <n v="0"/>
    <n v="0"/>
    <n v="0"/>
    <n v="0"/>
    <n v="0"/>
    <n v="0"/>
    <n v="17530.57"/>
    <n v="0"/>
    <n v="0"/>
    <n v="0"/>
    <n v="0"/>
    <n v="4854.6820548387086"/>
    <n v="0"/>
    <n v="0"/>
    <n v="0"/>
    <n v="12675.887945161292"/>
    <n v="0"/>
    <n v="0"/>
    <n v="196.03532472548284"/>
    <n v="64.138571428571424"/>
    <n v="0"/>
    <n v="0"/>
    <m/>
    <s v="DalsinghSarai"/>
    <m/>
    <n v="0"/>
  </r>
  <r>
    <s v="Munger"/>
    <s v="24-30 Apr"/>
    <n v="1012"/>
    <s v="DalsinghSarai"/>
    <x v="491"/>
    <s v="Piparpaati"/>
    <s v="vlc"/>
    <s v="Indirect"/>
    <n v="66.59"/>
    <n v="2524.1600000000003"/>
    <n v="0"/>
    <n v="0"/>
    <n v="0"/>
    <n v="0"/>
    <n v="0"/>
    <n v="0"/>
    <n v="2524.1600000000003"/>
    <n v="0"/>
    <n v="0"/>
    <n v="0"/>
    <n v="0"/>
    <n v="74.691480000000112"/>
    <n v="0"/>
    <n v="0"/>
    <n v="0"/>
    <n v="2449.4685200000004"/>
    <n v="0"/>
    <n v="0"/>
    <n v="480.20068646943992"/>
    <n v="9.5128571428571433"/>
    <n v="0"/>
    <n v="0"/>
    <m/>
    <s v="DalsinghSarai"/>
    <m/>
    <n v="0"/>
  </r>
  <r>
    <s v="Munger"/>
    <s v="24-30 Apr"/>
    <n v="1012"/>
    <s v="DalsinghSarai"/>
    <x v="492"/>
    <s v="Suratpur"/>
    <s v="MPG"/>
    <s v="Direct"/>
    <n v="412.88"/>
    <n v="17714.11"/>
    <n v="119.37"/>
    <n v="5593.6161094972995"/>
    <n v="300.32"/>
    <n v="13384.716129247699"/>
    <n v="419.69"/>
    <n v="18978.332238744999"/>
    <n v="17714.11"/>
    <n v="0"/>
    <n v="0"/>
    <n v="1264.2222387449983"/>
    <n v="0"/>
    <n v="67.143307741935104"/>
    <n v="0"/>
    <n v="4261"/>
    <n v="13385"/>
    <n v="0"/>
    <n v="1"/>
    <n v="0"/>
    <n v="246.37062890912617"/>
    <n v="58.982857142857142"/>
    <n v="-7.136809237071455E-2"/>
    <n v="12"/>
    <m/>
    <s v="DalsinghSarai"/>
    <m/>
    <n v="0"/>
  </r>
  <r>
    <s v="Munger"/>
    <s v="24-30 Apr"/>
    <n v="1012"/>
    <s v="DalsinghSarai"/>
    <x v="493"/>
    <s v="Manika Tol"/>
    <s v="MPG"/>
    <s v="Direct"/>
    <n v="104.99"/>
    <n v="3536.85"/>
    <n v="92.69"/>
    <n v="3191.9944777182004"/>
    <n v="0"/>
    <n v="0"/>
    <n v="92.69"/>
    <n v="3191.9944777182004"/>
    <n v="3191.9944777182004"/>
    <n v="0"/>
    <n v="0"/>
    <n v="0"/>
    <n v="0"/>
    <n v="0"/>
    <n v="0"/>
    <n v="3192"/>
    <n v="0"/>
    <n v="0"/>
    <n v="345"/>
    <n v="0"/>
    <n v="400.88791665872941"/>
    <n v="14.998571428571427"/>
    <n v="9.7503575860384106E-2"/>
    <n v="1"/>
    <m/>
    <s v="DalsinghSarai"/>
    <m/>
    <n v="0"/>
  </r>
  <r>
    <s v="Munger"/>
    <s v="24-30 Apr"/>
    <n v="1012"/>
    <s v="DalsinghSarai"/>
    <x v="494"/>
    <s v="Beri"/>
    <s v="MPG"/>
    <s v="Direct"/>
    <n v="162.59000000000006"/>
    <n v="6219.1500000000005"/>
    <n v="162.59"/>
    <n v="6221.950234651802"/>
    <n v="0"/>
    <n v="0"/>
    <n v="162.59"/>
    <n v="6221.950234651802"/>
    <n v="6219.1500000000005"/>
    <n v="0"/>
    <n v="0"/>
    <n v="2.8002346518014747"/>
    <n v="5862"/>
    <n v="357.14281799999981"/>
    <n v="0"/>
    <n v="0"/>
    <n v="0"/>
    <n v="0"/>
    <n v="0"/>
    <n v="0"/>
    <n v="411.12410375791859"/>
    <n v="23.227142857142866"/>
    <n v="-4.5026002778538458E-4"/>
    <n v="1"/>
    <m/>
    <s v="DalsinghSarai"/>
    <m/>
    <n v="0"/>
  </r>
  <r>
    <s v="Munger"/>
    <s v="24-30 Apr"/>
    <n v="1012"/>
    <s v="DalsinghSarai"/>
    <x v="495"/>
    <s v="Mahmmadipur"/>
    <s v="MPG"/>
    <s v="Direct"/>
    <n v="1353.4899999999998"/>
    <n v="68026.930000000008"/>
    <n v="368.19000000000005"/>
    <n v="17734.607865440281"/>
    <n v="1034.1399999999999"/>
    <n v="52128.041006799212"/>
    <n v="1402.33"/>
    <n v="69862.648872239486"/>
    <n v="68026.930000000008"/>
    <n v="0"/>
    <n v="0"/>
    <n v="1835.7188722394785"/>
    <n v="6750"/>
    <n v="0"/>
    <n v="0"/>
    <n v="0"/>
    <n v="0"/>
    <n v="0"/>
    <n v="61277"/>
    <s v="Yes"/>
    <n v="0"/>
    <n v="0"/>
    <n v="-2.6985178843723777E-2"/>
    <n v="26"/>
    <m/>
    <s v="DalsinghSarai"/>
    <m/>
    <n v="0"/>
  </r>
  <r>
    <s v="Munger"/>
    <s v="24-30 Apr"/>
    <n v="1012"/>
    <s v="DalsinghSarai"/>
    <x v="496"/>
    <s v="Simri-Rupesh"/>
    <s v="vlc"/>
    <s v="Indirect"/>
    <n v="865.8499999999998"/>
    <n v="32564.659999999996"/>
    <n v="0"/>
    <n v="0"/>
    <n v="0"/>
    <n v="0"/>
    <n v="0"/>
    <n v="0"/>
    <n v="32564.659999999996"/>
    <n v="0"/>
    <n v="0"/>
    <n v="0"/>
    <n v="0"/>
    <n v="0"/>
    <n v="0"/>
    <n v="0"/>
    <n v="0"/>
    <n v="32564.659999999996"/>
    <n v="0"/>
    <n v="0"/>
    <n v="0"/>
    <n v="0"/>
    <n v="0"/>
    <n v="0"/>
    <m/>
    <s v="DalsinghSarai"/>
    <m/>
    <n v="0"/>
  </r>
  <r>
    <s v="Munger"/>
    <s v="24-30 Apr"/>
    <n v="1062"/>
    <s v="Singhia BMC"/>
    <x v="497"/>
    <s v="Mithilanchal Dairy Products"/>
    <s v="vlc"/>
    <s v="Indirect"/>
    <n v="1527.31"/>
    <n v="57078.570000000007"/>
    <n v="0"/>
    <n v="0"/>
    <n v="0"/>
    <n v="0"/>
    <n v="0"/>
    <n v="0"/>
    <n v="57078.570000000007"/>
    <n v="0"/>
    <n v="0"/>
    <n v="0"/>
    <n v="0"/>
    <n v="2810.5104967741931"/>
    <n v="0"/>
    <n v="0"/>
    <n v="0"/>
    <n v="54268.059503225813"/>
    <n v="0"/>
    <n v="0"/>
    <n v="0"/>
    <n v="0"/>
    <n v="0"/>
    <n v="0"/>
    <m/>
    <s v="Singhia BMC"/>
    <m/>
    <n v="0"/>
  </r>
  <r>
    <s v="Munger"/>
    <s v="24-30 Apr"/>
    <n v="1012"/>
    <s v="DalsinghSarai"/>
    <x v="498"/>
    <s v="Gomukh Jhaura Tabhka"/>
    <s v="MPG"/>
    <s v="Direct"/>
    <n v="531.44999999999993"/>
    <n v="19757.419999999998"/>
    <n v="528.4"/>
    <n v="19824.687904230002"/>
    <n v="1.2"/>
    <n v="45.323462250000006"/>
    <n v="529.6"/>
    <n v="19870.011366480001"/>
    <n v="19757.419999999998"/>
    <n v="0"/>
    <n v="45.323462250000006"/>
    <n v="112.59136648000276"/>
    <n v="0"/>
    <n v="0"/>
    <n v="0"/>
    <n v="19712"/>
    <n v="0"/>
    <n v="0"/>
    <n v="0"/>
    <n v="0"/>
    <n v="125.32178534198897"/>
    <n v="75.921428571428564"/>
    <n v="-5.6986877072007771E-3"/>
    <n v="2"/>
    <m/>
    <s v="DalsinghSarai"/>
    <m/>
    <n v="0"/>
  </r>
  <r>
    <s v="Munger"/>
    <s v="24-30 Apr"/>
    <n v="1012"/>
    <s v="DalsinghSarai"/>
    <x v="499"/>
    <s v="Gomukh Mohanpur"/>
    <s v="MPG"/>
    <s v="Direct"/>
    <n v="481.88000000000011"/>
    <n v="18948.52"/>
    <n v="153.64000000000001"/>
    <n v="6002.2348346030403"/>
    <n v="325.95"/>
    <n v="11777.715335483161"/>
    <n v="479.59000000000003"/>
    <n v="17779.950170086202"/>
    <n v="17779.950170086202"/>
    <n v="0"/>
    <n v="360.80429926859995"/>
    <n v="0"/>
    <n v="0"/>
    <n v="0"/>
    <n v="0"/>
    <n v="6002"/>
    <n v="11417"/>
    <n v="0"/>
    <n v="1169"/>
    <n v="0"/>
    <n v="171.53860639163267"/>
    <n v="68.840000000000018"/>
    <n v="6.1670770588615809E-2"/>
    <n v="13"/>
    <m/>
    <s v="DalsinghSarai"/>
    <m/>
    <n v="0"/>
  </r>
  <r>
    <s v="Munger"/>
    <s v="24-30 Apr"/>
    <n v="1012"/>
    <s v="DalsinghSarai"/>
    <x v="500"/>
    <s v="Gomukh Bochaha"/>
    <s v="MPG"/>
    <s v="Direct"/>
    <n v="638.74"/>
    <n v="29358.090000000004"/>
    <n v="85.410000000000011"/>
    <n v="4508.1976044302401"/>
    <n v="557.32000000000005"/>
    <n v="24849.32581381865"/>
    <n v="642.73"/>
    <n v="29357.523418248889"/>
    <n v="29357.523418248889"/>
    <n v="0"/>
    <n v="0"/>
    <n v="0"/>
    <n v="10164"/>
    <n v="0"/>
    <n v="0"/>
    <n v="1721"/>
    <n v="17472"/>
    <n v="0"/>
    <n v="1"/>
    <n v="0"/>
    <n v="56.313260274916281"/>
    <n v="91.248571428571424"/>
    <n v="1.9298999053222699E-5"/>
    <n v="24"/>
    <m/>
    <s v="DalsinghSarai"/>
    <m/>
    <n v="0"/>
  </r>
  <r>
    <s v="Munger"/>
    <s v="24-30 Apr"/>
    <n v="1012"/>
    <s v="DalsinghSarai"/>
    <x v="501"/>
    <s v="Gomukh Terganj"/>
    <s v="MPG"/>
    <s v="Direct"/>
    <n v="118.55999999999999"/>
    <n v="5170.49"/>
    <n v="66"/>
    <n v="2729.7020519999996"/>
    <n v="85"/>
    <n v="3515.2553699999999"/>
    <n v="151"/>
    <n v="6244.9574219999995"/>
    <n v="5170.49"/>
    <n v="0"/>
    <n v="0"/>
    <n v="1074.4674219999997"/>
    <n v="0"/>
    <n v="169.08783934426233"/>
    <n v="0"/>
    <n v="1486"/>
    <n v="3515"/>
    <n v="0"/>
    <n v="0"/>
    <n v="0"/>
    <n v="507.14063859649121"/>
    <n v="16.937142857142856"/>
    <n v="-0.20780765884858104"/>
    <n v="3"/>
    <m/>
    <s v="DalsinghSarai"/>
    <m/>
    <n v="0"/>
  </r>
  <r>
    <s v="Munger"/>
    <s v="24-30 Apr"/>
    <n v="1012"/>
    <s v="DalsinghSarai"/>
    <x v="502"/>
    <s v="Gomukh Chapra"/>
    <s v="vlc"/>
    <s v="Indirect"/>
    <n v="265.10000000000002"/>
    <n v="10248.39"/>
    <n v="0"/>
    <n v="0"/>
    <n v="0"/>
    <n v="0"/>
    <n v="0"/>
    <n v="0"/>
    <n v="10248.39"/>
    <n v="0"/>
    <n v="0"/>
    <n v="0"/>
    <n v="9218"/>
    <n v="1030.1599490322578"/>
    <n v="0"/>
    <n v="0"/>
    <n v="0"/>
    <n v="0.23005096774159028"/>
    <n v="0"/>
    <n v="0"/>
    <n v="336.25234334213491"/>
    <n v="37.871428571428574"/>
    <n v="0"/>
    <n v="0"/>
    <m/>
    <s v="DalsinghSarai"/>
    <m/>
    <n v="0"/>
  </r>
  <r>
    <s v="Munger"/>
    <s v="24-30 Apr"/>
    <n v="1012"/>
    <s v="DalsinghSarai"/>
    <x v="504"/>
    <s v="Gomukh Sahu Tol"/>
    <s v="vlc"/>
    <s v="Indirect"/>
    <n v="1089"/>
    <n v="41128.460000000006"/>
    <n v="0"/>
    <n v="0"/>
    <n v="0"/>
    <n v="0"/>
    <n v="0"/>
    <n v="0"/>
    <n v="41128.460000000006"/>
    <n v="0"/>
    <n v="0"/>
    <n v="0"/>
    <n v="0"/>
    <n v="0"/>
    <n v="0"/>
    <n v="0"/>
    <n v="0"/>
    <n v="41128.460000000006"/>
    <n v="0"/>
    <n v="0"/>
    <n v="0"/>
    <n v="0"/>
    <n v="0"/>
    <n v="0"/>
    <m/>
    <s v="DalsinghSarai"/>
    <m/>
    <n v="0"/>
  </r>
  <r>
    <s v="Munger"/>
    <s v="24-30 Apr"/>
    <n v="1012"/>
    <s v="DalsinghSarai"/>
    <x v="505"/>
    <s v="Gomukh Mordiwa East"/>
    <s v="MPG"/>
    <s v="Direct"/>
    <n v="605.24"/>
    <n v="23258.49"/>
    <n v="265.48"/>
    <n v="10327.847337165598"/>
    <n v="343.95000000000005"/>
    <n v="13388.647154849999"/>
    <n v="609.43000000000006"/>
    <n v="23716.494492015598"/>
    <n v="23258.49"/>
    <n v="0"/>
    <n v="0"/>
    <n v="458.00449201559604"/>
    <n v="1350"/>
    <n v="0"/>
    <n v="0"/>
    <n v="8520"/>
    <n v="13388"/>
    <n v="0"/>
    <n v="0"/>
    <n v="0"/>
    <n v="72.829770418346428"/>
    <n v="86.462857142857146"/>
    <n v="-1.9691927206606966E-2"/>
    <n v="6"/>
    <m/>
    <s v="DalsinghSarai"/>
    <m/>
    <n v="0"/>
  </r>
  <r>
    <s v="Munger"/>
    <s v="24-30 Apr"/>
    <n v="1012"/>
    <s v="DalsinghSarai"/>
    <x v="979"/>
    <s v="Gomukh Belamegh"/>
    <s v="vlc"/>
    <s v="Indirect"/>
    <n v="77.89"/>
    <n v="3028.05"/>
    <n v="0"/>
    <n v="0"/>
    <n v="0"/>
    <n v="0"/>
    <n v="0"/>
    <n v="0"/>
    <n v="3028.05"/>
    <n v="0"/>
    <n v="0"/>
    <n v="0"/>
    <n v="0"/>
    <n v="3028"/>
    <n v="0"/>
    <n v="0"/>
    <n v="0"/>
    <n v="5.0000000000181899E-2"/>
    <n v="0"/>
    <s v="Release1"/>
    <n v="483.7027052253178"/>
    <n v="11.127142857142857"/>
    <n v="0"/>
    <n v="0"/>
    <m/>
    <s v="DalsinghSarai"/>
    <m/>
    <n v="0"/>
  </r>
  <r>
    <s v="Munger"/>
    <s v="24-30 Apr"/>
    <n v="1012"/>
    <s v="DalsinghSarai"/>
    <x v="506"/>
    <s v="Gomukh Ramaiya"/>
    <s v="MPG"/>
    <s v="Direct"/>
    <n v="289.08"/>
    <n v="11193.38"/>
    <n v="305.45999999999998"/>
    <n v="11885.944923527401"/>
    <n v="0"/>
    <n v="0"/>
    <n v="305.45999999999998"/>
    <n v="11885.944923527401"/>
    <n v="11193.38"/>
    <n v="0"/>
    <n v="0"/>
    <n v="692.56492352740133"/>
    <n v="0"/>
    <n v="1245.3078774193548"/>
    <n v="0"/>
    <n v="9948"/>
    <n v="0"/>
    <n v="0"/>
    <n v="0"/>
    <n v="0"/>
    <n v="318.22220213089804"/>
    <n v="41.297142857142852"/>
    <n v="-6.1872725086381537E-2"/>
    <n v="1"/>
    <m/>
    <s v="DalsinghSarai"/>
    <m/>
    <n v="0"/>
  </r>
  <r>
    <s v="Munger"/>
    <s v="24-30 Apr"/>
    <n v="1012"/>
    <s v="DalsinghSarai"/>
    <x v="507"/>
    <s v="GOMUKH MANIKA EAST"/>
    <s v="MPG"/>
    <s v="Direct"/>
    <n v="704.83999999999992"/>
    <n v="27447.72"/>
    <n v="704.83999999999992"/>
    <n v="27447.635439972008"/>
    <n v="0"/>
    <n v="0"/>
    <n v="704.83999999999992"/>
    <n v="27447.635439972008"/>
    <n v="27447.635439972008"/>
    <n v="0"/>
    <n v="0"/>
    <n v="0"/>
    <n v="0"/>
    <n v="0"/>
    <n v="0"/>
    <n v="27448"/>
    <n v="0"/>
    <n v="0"/>
    <n v="0"/>
    <n v="0"/>
    <n v="0"/>
    <n v="0"/>
    <n v="3.0807669268549517E-6"/>
    <n v="1"/>
    <m/>
    <s v="DalsinghSarai"/>
    <m/>
    <n v="0"/>
  </r>
  <r>
    <s v="Munger"/>
    <s v="24-30 Apr"/>
    <n v="1012"/>
    <s v="DalsinghSarai"/>
    <x v="508"/>
    <s v="IMADPUR"/>
    <s v="vlc"/>
    <s v="Indirect"/>
    <n v="197.02"/>
    <n v="7441.9800000000005"/>
    <n v="0"/>
    <n v="0"/>
    <n v="0"/>
    <n v="0"/>
    <n v="0"/>
    <n v="0"/>
    <n v="7441.9800000000005"/>
    <n v="0"/>
    <n v="0"/>
    <n v="0"/>
    <n v="0"/>
    <n v="0"/>
    <n v="0"/>
    <n v="0"/>
    <n v="0"/>
    <n v="7441.9800000000005"/>
    <n v="0"/>
    <n v="0"/>
    <n v="379.97838802152057"/>
    <n v="28.145714285714288"/>
    <n v="0"/>
    <n v="0"/>
    <m/>
    <s v="DalsinghSarai"/>
    <m/>
    <n v="0"/>
  </r>
  <r>
    <s v="Munger"/>
    <s v="24-30 Apr"/>
    <n v="1012"/>
    <s v="DalsinghSarai"/>
    <x v="509"/>
    <s v="Gomukh MANIYAR EAST"/>
    <s v="vlc"/>
    <s v="Indirect"/>
    <n v="369.59000000000003"/>
    <n v="16773.95"/>
    <n v="0"/>
    <n v="0"/>
    <n v="0"/>
    <n v="0"/>
    <n v="0"/>
    <n v="0"/>
    <n v="16773.95"/>
    <n v="0"/>
    <n v="0"/>
    <n v="0"/>
    <n v="0"/>
    <n v="0"/>
    <n v="0"/>
    <n v="0"/>
    <n v="0"/>
    <n v="16773.95"/>
    <n v="0"/>
    <n v="0"/>
    <n v="299.91508533780672"/>
    <n v="52.798571428571435"/>
    <n v="0"/>
    <n v="0"/>
    <m/>
    <s v="DalsinghSarai"/>
    <m/>
    <n v="0"/>
  </r>
  <r>
    <s v="Munger"/>
    <s v="24-30 Apr"/>
    <n v="1012"/>
    <s v="DalsinghSarai"/>
    <x v="510"/>
    <s v="GOMUKH Kisanpur Tabhka"/>
    <s v="MPG"/>
    <s v="Direct"/>
    <n v="669"/>
    <n v="27951.040000000001"/>
    <n v="312.01"/>
    <n v="13184.61691362191"/>
    <n v="356.99000000000007"/>
    <n v="14890.040722242269"/>
    <n v="669"/>
    <n v="28074.65763586418"/>
    <n v="27951.040000000001"/>
    <n v="0"/>
    <n v="0"/>
    <n v="123.61763586417874"/>
    <n v="0"/>
    <n v="361.91156516129035"/>
    <n v="0"/>
    <n v="12698"/>
    <n v="14891"/>
    <n v="0"/>
    <n v="0"/>
    <n v="0"/>
    <n v="25.903803886397618"/>
    <n v="95.571428571428569"/>
    <n v="-4.4226488840550743E-3"/>
    <n v="11"/>
    <m/>
    <s v="DalsinghSarai"/>
    <m/>
    <n v="0"/>
  </r>
  <r>
    <s v="Munger"/>
    <s v="24-30 Apr"/>
    <n v="1012"/>
    <s v="DalsinghSarai"/>
    <x v="511"/>
    <s v="GOMUKH BIBHUTIPUR"/>
    <s v="MPG"/>
    <s v="Direct"/>
    <n v="50.26"/>
    <n v="1998.1200000000001"/>
    <n v="50.31"/>
    <n v="2047.4116181640002"/>
    <n v="0"/>
    <n v="0"/>
    <n v="50.31"/>
    <n v="2047.4116181640002"/>
    <n v="1998.1200000000001"/>
    <n v="0"/>
    <n v="0"/>
    <n v="49.291618164000056"/>
    <n v="0"/>
    <n v="0"/>
    <n v="0"/>
    <n v="1998"/>
    <n v="0"/>
    <n v="0"/>
    <n v="0"/>
    <s v="Release1"/>
    <n v="516.61698718662956"/>
    <n v="7.18"/>
    <n v="-2.4668997940063685E-2"/>
    <n v="1"/>
    <m/>
    <s v="DalsinghSarai"/>
    <m/>
    <n v="0"/>
  </r>
  <r>
    <s v="Munger"/>
    <s v="24-30 Apr"/>
    <n v="1012"/>
    <s v="DalsinghSarai"/>
    <x v="512"/>
    <s v="GOMUKH PATHAKTOL"/>
    <s v="MPG"/>
    <s v="Direct"/>
    <n v="171.38000000000002"/>
    <n v="7022.84"/>
    <n v="126.69999999999999"/>
    <n v="5050.5007806000003"/>
    <n v="56"/>
    <n v="2080.9451494548002"/>
    <n v="182.7"/>
    <n v="7131.4459300548006"/>
    <n v="7022.84"/>
    <n v="0"/>
    <n v="0"/>
    <n v="108.60593005480041"/>
    <n v="0"/>
    <n v="0"/>
    <n v="0"/>
    <n v="4942"/>
    <n v="2081"/>
    <n v="0"/>
    <n v="0"/>
    <n v="0"/>
    <n v="433.23768010269578"/>
    <n v="24.482857142857146"/>
    <n v="-1.54646738434594E-2"/>
    <n v="5"/>
    <m/>
    <s v="DalsinghSarai"/>
    <m/>
    <n v="0"/>
  </r>
  <r>
    <s v="Munger"/>
    <s v="24-30 Apr"/>
    <n v="1012"/>
    <s v="DalsinghSarai"/>
    <x v="513"/>
    <s v="Gomukh Musapur West"/>
    <s v="vlc"/>
    <s v="Indirect"/>
    <n v="563.79"/>
    <n v="21696.2"/>
    <n v="0"/>
    <n v="0"/>
    <n v="0"/>
    <n v="0"/>
    <n v="0"/>
    <n v="0"/>
    <n v="21696.2"/>
    <n v="0"/>
    <n v="0"/>
    <n v="0"/>
    <n v="0"/>
    <n v="742.84517032258157"/>
    <n v="0"/>
    <n v="0"/>
    <n v="0"/>
    <n v="20953.354829677421"/>
    <n v="0"/>
    <n v="0"/>
    <n v="104.83475769346748"/>
    <n v="80.541428571428568"/>
    <n v="0"/>
    <n v="0"/>
    <m/>
    <s v="DalsinghSarai"/>
    <m/>
    <n v="0"/>
  </r>
  <r>
    <s v="Munger"/>
    <s v="24-30 Apr"/>
    <n v="1012"/>
    <s v="DalsinghSarai"/>
    <x v="514"/>
    <s v="GOMUKH DADHIYA RAMKRISHANPUR"/>
    <s v="MPG"/>
    <s v="Direct"/>
    <n v="1376.1299999999999"/>
    <n v="58074.810000000005"/>
    <n v="407.79999999999995"/>
    <n v="14773.463807950002"/>
    <n v="986.40000000000009"/>
    <n v="43294.755575254785"/>
    <n v="1394.2"/>
    <n v="58068.219383204785"/>
    <n v="58068.219383204785"/>
    <n v="0"/>
    <n v="1406.0034308443003"/>
    <n v="0"/>
    <n v="2700"/>
    <n v="0"/>
    <n v="0"/>
    <n v="13084"/>
    <n v="40879"/>
    <n v="0"/>
    <n v="6"/>
    <n v="0"/>
    <n v="0"/>
    <n v="0"/>
    <n v="1.1348494803891446E-4"/>
    <n v="28"/>
    <m/>
    <s v="DalsinghSarai"/>
    <m/>
    <n v="0"/>
  </r>
  <r>
    <s v="Munger"/>
    <s v="24-30 Apr"/>
    <n v="1012"/>
    <s v="DalsinghSarai"/>
    <x v="515"/>
    <s v="GOMUKH BALTHARA"/>
    <s v="MPG"/>
    <s v="Direct"/>
    <n v="250.91"/>
    <n v="9929.4500000000007"/>
    <n v="143.01000000000005"/>
    <n v="5882.9184221042415"/>
    <n v="142.57999999999998"/>
    <n v="5628.7502420201008"/>
    <n v="285.59000000000003"/>
    <n v="11511.668664124343"/>
    <n v="9929.4500000000007"/>
    <n v="0"/>
    <n v="0"/>
    <n v="1582.2186641243425"/>
    <n v="9929"/>
    <n v="0"/>
    <n v="0"/>
    <n v="0"/>
    <n v="0"/>
    <n v="0"/>
    <n v="0"/>
    <n v="0"/>
    <n v="355.44352162129849"/>
    <n v="35.844285714285711"/>
    <n v="-0.15934605281504438"/>
    <n v="7"/>
    <m/>
    <s v="DalsinghSarai"/>
    <m/>
    <n v="0"/>
  </r>
  <r>
    <s v="Munger"/>
    <s v="24-30 Apr"/>
    <n v="1012"/>
    <s v="DalsinghSarai"/>
    <x v="516"/>
    <s v="GOMUKH BHASINGPUR"/>
    <s v="MPG"/>
    <s v="Direct"/>
    <n v="861.04000000000019"/>
    <n v="35579.220000000008"/>
    <n v="386.41"/>
    <n v="17357.69899073397"/>
    <n v="566"/>
    <n v="22928.88780453334"/>
    <n v="952.41000000000008"/>
    <n v="40286.586795267314"/>
    <n v="35579.220000000008"/>
    <n v="0"/>
    <n v="0"/>
    <n v="4707.3667952673059"/>
    <n v="6750"/>
    <n v="177.41"/>
    <n v="0"/>
    <n v="14811"/>
    <n v="13840"/>
    <n v="0"/>
    <n v="1"/>
    <s v="Release1"/>
    <n v="0"/>
    <n v="0"/>
    <n v="-0.13230663278361091"/>
    <n v="13"/>
    <m/>
    <s v="DalsinghSarai"/>
    <m/>
    <n v="0"/>
  </r>
  <r>
    <s v="Munger"/>
    <s v="24-30 Apr"/>
    <n v="1012"/>
    <s v="DalsinghSarai"/>
    <x v="517"/>
    <s v="GOMUKH Chakhale Dad"/>
    <s v="MPG"/>
    <s v="Direct"/>
    <n v="724.38000000000011"/>
    <n v="27226.510000000006"/>
    <n v="612.6"/>
    <n v="22550.484190419647"/>
    <n v="101.32000000000002"/>
    <n v="3513.4627954932002"/>
    <n v="713.92000000000007"/>
    <n v="26063.946985912848"/>
    <n v="26063.946985912848"/>
    <n v="0"/>
    <n v="112.5810974178"/>
    <n v="0"/>
    <n v="150"/>
    <n v="0"/>
    <n v="0"/>
    <n v="0"/>
    <n v="0"/>
    <n v="0"/>
    <n v="26964"/>
    <s v="Yes"/>
    <n v="0"/>
    <n v="0"/>
    <n v="4.2699670801992537E-2"/>
    <n v="15"/>
    <m/>
    <s v="DalsinghSarai"/>
    <m/>
    <n v="0"/>
  </r>
  <r>
    <s v="Munger"/>
    <s v="24-30 Apr"/>
    <n v="1013"/>
    <s v="Musrigharari"/>
    <x v="518"/>
    <s v="GOMUKH BANGHARH KISHANPUR"/>
    <s v="MPG"/>
    <s v="Direct"/>
    <n v="556.6"/>
    <n v="19217.46"/>
    <n v="105.10000000000001"/>
    <n v="3617.1105824699998"/>
    <n v="441.69999999999993"/>
    <n v="15273.435203136001"/>
    <n v="546.79999999999995"/>
    <n v="18890.545785606002"/>
    <n v="18890.545785606002"/>
    <n v="0"/>
    <n v="277.63447159800006"/>
    <n v="0"/>
    <n v="0"/>
    <n v="0"/>
    <n v="0"/>
    <n v="3618"/>
    <n v="14996"/>
    <n v="0"/>
    <n v="326"/>
    <n v="0"/>
    <n v="99.022054042400271"/>
    <n v="79.51428571428572"/>
    <n v="1.7011312337530407E-2"/>
    <n v="9"/>
    <m/>
    <s v="Musrigharari"/>
    <m/>
    <n v="0"/>
  </r>
  <r>
    <s v="Munger"/>
    <s v="24-30 Apr"/>
    <n v="1013"/>
    <s v="Musrigharari"/>
    <x v="519"/>
    <s v="Gomukh Serpur Narsari"/>
    <s v="vlc"/>
    <s v="Indirect"/>
    <n v="122.89999999999999"/>
    <n v="3812.7599999999993"/>
    <n v="0"/>
    <n v="0"/>
    <n v="0"/>
    <n v="0"/>
    <n v="0"/>
    <n v="0"/>
    <n v="3812.7599999999993"/>
    <n v="0"/>
    <n v="0"/>
    <n v="0"/>
    <n v="0"/>
    <n v="0"/>
    <n v="0"/>
    <n v="0"/>
    <n v="0"/>
    <n v="3812.7599999999993"/>
    <n v="0"/>
    <n v="0"/>
    <n v="358.07059332790885"/>
    <n v="17.557142857142857"/>
    <n v="0"/>
    <n v="0"/>
    <m/>
    <s v="Musrigharari"/>
    <m/>
    <n v="0"/>
  </r>
  <r>
    <s v="Munger"/>
    <s v="24-30 Apr"/>
    <n v="1013"/>
    <s v="Musrigharari"/>
    <x v="520"/>
    <s v="PARORIYA"/>
    <s v="MPG"/>
    <s v="Direct"/>
    <n v="21.200000000000003"/>
    <n v="646.74"/>
    <n v="21.4"/>
    <n v="656.13367551600004"/>
    <n v="0"/>
    <n v="0"/>
    <n v="21.4"/>
    <n v="656.13367551600004"/>
    <n v="646.74"/>
    <n v="0"/>
    <n v="0"/>
    <n v="9.3936755160000303"/>
    <n v="0"/>
    <n v="284.2491"/>
    <n v="0"/>
    <n v="362"/>
    <n v="0"/>
    <n v="0"/>
    <n v="0"/>
    <s v="Release1"/>
    <n v="414.15765283018868"/>
    <n v="3.0285714285714289"/>
    <n v="-1.4524655218480426E-2"/>
    <n v="1"/>
    <m/>
    <s v="Musrigharari"/>
    <m/>
    <n v="0"/>
  </r>
  <r>
    <s v="Munger"/>
    <s v="24-30 Apr"/>
    <n v="1013"/>
    <s v="Musrigharari"/>
    <x v="521"/>
    <s v="JHAKHRA"/>
    <s v="vlc"/>
    <s v="Indirect"/>
    <n v="46.699999999999996"/>
    <n v="1766.81"/>
    <n v="0"/>
    <n v="0"/>
    <n v="0"/>
    <n v="0"/>
    <n v="0"/>
    <n v="0"/>
    <n v="1766.81"/>
    <n v="0"/>
    <n v="0"/>
    <n v="0"/>
    <n v="0"/>
    <n v="0"/>
    <n v="0"/>
    <n v="0"/>
    <n v="0"/>
    <n v="1766.81"/>
    <n v="0"/>
    <n v="0"/>
    <n v="494.32846809421841"/>
    <n v="6.6714285714285708"/>
    <n v="0"/>
    <n v="0"/>
    <m/>
    <s v="Musrigharari"/>
    <m/>
    <n v="0"/>
  </r>
  <r>
    <s v="Munger"/>
    <s v="24-30 Apr"/>
    <n v="1013"/>
    <s v="Musrigharari"/>
    <x v="522"/>
    <s v="GOMUKH ANDAHA"/>
    <s v="MPG"/>
    <s v="Direct"/>
    <n v="615.50000000000011"/>
    <n v="21867.07"/>
    <n v="624.54"/>
    <n v="21863.620674663201"/>
    <n v="0"/>
    <n v="0"/>
    <n v="624.54"/>
    <n v="21863.620674663201"/>
    <n v="21863.620674663201"/>
    <n v="0"/>
    <n v="0"/>
    <n v="0"/>
    <n v="0"/>
    <n v="0"/>
    <n v="0"/>
    <n v="21863"/>
    <n v="0"/>
    <n v="0"/>
    <n v="4"/>
    <n v="0"/>
    <n v="60.041183265637599"/>
    <n v="87.928571428571445"/>
    <n v="1.5774062719871526E-4"/>
    <n v="10"/>
    <m/>
    <s v="Musrigharari"/>
    <m/>
    <n v="0"/>
  </r>
  <r>
    <s v="Munger"/>
    <s v="24-30 Apr"/>
    <n v="1013"/>
    <s v="Musrigharari"/>
    <x v="523"/>
    <s v="Gomukha Rohua"/>
    <s v="MPG"/>
    <s v="Direct"/>
    <n v="669.09999999999991"/>
    <n v="26488.75"/>
    <n v="606.43999999999994"/>
    <n v="25778.793675511817"/>
    <n v="98.72"/>
    <n v="3858.2249494227003"/>
    <n v="705.16"/>
    <n v="29637.018624934517"/>
    <n v="26488.75"/>
    <n v="0"/>
    <n v="314.02096724670002"/>
    <n v="3148.268624934517"/>
    <n v="0"/>
    <n v="0"/>
    <n v="0"/>
    <n v="22631"/>
    <n v="3544"/>
    <n v="0"/>
    <n v="0"/>
    <n v="0"/>
    <n v="24.46577118517418"/>
    <n v="95.585714285714275"/>
    <n v="-0.11885304610200621"/>
    <n v="15"/>
    <m/>
    <s v="Musrigharari"/>
    <m/>
    <n v="0"/>
  </r>
  <r>
    <s v="Munger"/>
    <s v="24-30 Apr"/>
    <n v="1013"/>
    <s v="Musrigharari"/>
    <x v="524"/>
    <s v="Gomukha Arniya Ganj"/>
    <s v="MPG"/>
    <s v="Direct"/>
    <n v="3542.2999999999997"/>
    <n v="131042.32000000002"/>
    <n v="1935.5000000000002"/>
    <n v="72519.07492566001"/>
    <n v="1630"/>
    <n v="60566.305093866002"/>
    <n v="3565.5"/>
    <n v="133085.380019526"/>
    <n v="131042.32000000002"/>
    <n v="0"/>
    <n v="1373.02400268"/>
    <n v="2043.0600195259758"/>
    <n v="0"/>
    <n v="0"/>
    <n v="0"/>
    <n v="70477"/>
    <n v="59192"/>
    <n v="0"/>
    <n v="0"/>
    <n v="0"/>
    <n v="0"/>
    <n v="0"/>
    <n v="-1.559084133679849E-2"/>
    <n v="56"/>
    <m/>
    <s v="Musrigharari"/>
    <m/>
    <n v="0"/>
  </r>
  <r>
    <s v="Munger"/>
    <s v="24-30 Apr"/>
    <n v="1013"/>
    <s v="Musrigharari"/>
    <x v="525"/>
    <s v="Gomukha Vishanupatti II"/>
    <s v="vlc"/>
    <s v="Indirect"/>
    <n v="433"/>
    <n v="16273.439999999999"/>
    <n v="0"/>
    <n v="0"/>
    <n v="0"/>
    <n v="0"/>
    <n v="0"/>
    <n v="0"/>
    <n v="16273.439999999999"/>
    <n v="0"/>
    <n v="0"/>
    <n v="0"/>
    <n v="0"/>
    <n v="0"/>
    <n v="0"/>
    <n v="0"/>
    <n v="0"/>
    <n v="16273.439999999999"/>
    <n v="0"/>
    <n v="0"/>
    <n v="200.6932323325635"/>
    <n v="61.857142857142854"/>
    <n v="0"/>
    <n v="0"/>
    <m/>
    <s v="Musrigharari"/>
    <m/>
    <n v="0"/>
  </r>
  <r>
    <s v="Munger"/>
    <s v="24-30 Apr"/>
    <n v="1013"/>
    <s v="Musrigharari"/>
    <x v="526"/>
    <s v="Gomukh Khesarhiya"/>
    <s v="vlc"/>
    <s v="Indirect"/>
    <n v="149.39999999999998"/>
    <n v="7133.6900000000005"/>
    <n v="0"/>
    <n v="0"/>
    <n v="0"/>
    <n v="0"/>
    <n v="0"/>
    <n v="0"/>
    <n v="7133.6900000000005"/>
    <n v="0"/>
    <n v="0"/>
    <n v="0"/>
    <n v="0"/>
    <n v="0"/>
    <n v="0"/>
    <n v="0"/>
    <n v="0"/>
    <n v="7133.6900000000005"/>
    <n v="0"/>
    <n v="0"/>
    <n v="525.81120669344057"/>
    <n v="21.342857142857138"/>
    <n v="0"/>
    <n v="0"/>
    <m/>
    <s v="Musrigharari"/>
    <m/>
    <n v="0"/>
  </r>
  <r>
    <s v="Munger"/>
    <s v="24-30 Apr"/>
    <n v="1013"/>
    <s v="Musrigharari"/>
    <x v="527"/>
    <s v="Harsingpur"/>
    <s v="vlc"/>
    <s v="Indirect"/>
    <n v="199.29999999999998"/>
    <n v="6205.48"/>
    <n v="0"/>
    <n v="0"/>
    <n v="0"/>
    <n v="0"/>
    <n v="0"/>
    <n v="0"/>
    <n v="6205.48"/>
    <n v="0"/>
    <n v="0"/>
    <n v="0"/>
    <n v="0"/>
    <n v="0"/>
    <n v="0"/>
    <n v="0"/>
    <n v="0"/>
    <n v="6205.48"/>
    <n v="0"/>
    <n v="0"/>
    <n v="311.79968248871052"/>
    <n v="28.471428571428568"/>
    <n v="0"/>
    <n v="0"/>
    <m/>
    <s v="Musrigharari"/>
    <m/>
    <n v="0"/>
  </r>
  <r>
    <s v="Munger"/>
    <s v="24-30 Apr"/>
    <n v="1013"/>
    <s v="Musrigharari"/>
    <x v="528"/>
    <s v="Gomukh ID Mahathi"/>
    <s v="vlc"/>
    <s v="Indirect"/>
    <n v="680.39999999999986"/>
    <n v="24708.170000000002"/>
    <n v="0"/>
    <n v="0"/>
    <n v="0"/>
    <n v="0"/>
    <n v="0"/>
    <n v="0"/>
    <n v="24708.170000000002"/>
    <n v="0"/>
    <n v="0"/>
    <n v="0"/>
    <n v="0"/>
    <n v="0"/>
    <n v="0"/>
    <n v="0"/>
    <n v="0"/>
    <n v="24708.170000000002"/>
    <n v="0"/>
    <n v="0"/>
    <n v="14.235159670782025"/>
    <n v="97.199999999999974"/>
    <n v="0"/>
    <n v="0"/>
    <m/>
    <s v="Musrigharari"/>
    <m/>
    <n v="0"/>
  </r>
  <r>
    <s v="Munger"/>
    <s v="24-30 Apr"/>
    <n v="1013"/>
    <s v="Musrigharari"/>
    <x v="529"/>
    <s v="MURTUJAPUR"/>
    <s v="vlc"/>
    <s v="Indirect"/>
    <n v="367.40000000000003"/>
    <n v="14745.35"/>
    <n v="0"/>
    <n v="0"/>
    <n v="0"/>
    <n v="0"/>
    <n v="0"/>
    <n v="0"/>
    <n v="14745.35"/>
    <n v="0"/>
    <n v="0"/>
    <n v="0"/>
    <n v="3000"/>
    <n v="0"/>
    <n v="0"/>
    <n v="0"/>
    <n v="0"/>
    <n v="11745.35"/>
    <n v="0"/>
    <n v="0"/>
    <n v="266.97351170386492"/>
    <n v="52.485714285714288"/>
    <n v="0"/>
    <n v="0"/>
    <m/>
    <s v="Musrigharari"/>
    <m/>
    <n v="0"/>
  </r>
  <r>
    <s v="Munger"/>
    <s v="24-30 Apr"/>
    <n v="1013"/>
    <s v="Musrigharari"/>
    <x v="530"/>
    <s v="Rasalpur"/>
    <s v="MPG"/>
    <s v="Direct"/>
    <n v="49.1"/>
    <n v="1855.9499999999998"/>
    <n v="18.760000000000002"/>
    <n v="698.87645704800025"/>
    <n v="32.44"/>
    <n v="1245.9945302639999"/>
    <n v="51.2"/>
    <n v="1944.8709873120001"/>
    <n v="1855.9499999999998"/>
    <n v="0"/>
    <n v="13.317868872"/>
    <n v="88.920987312000307"/>
    <n v="0"/>
    <n v="344.39454545454555"/>
    <n v="0"/>
    <n v="266"/>
    <n v="1232"/>
    <n v="0"/>
    <n v="0"/>
    <n v="0"/>
    <n v="492.07244602851318"/>
    <n v="7.0142857142857142"/>
    <n v="-4.7911305429564545E-2"/>
    <n v="7"/>
    <m/>
    <s v="Musrigharari"/>
    <m/>
    <n v="0"/>
  </r>
  <r>
    <s v="Munger"/>
    <s v="24-30 Apr"/>
    <n v="1013"/>
    <s v="Musrigharari"/>
    <x v="1066"/>
    <s v="Gomukh VISHNUPATTI"/>
    <s v="vlc"/>
    <s v="Indirect"/>
    <n v="10.1"/>
    <n v="420.19"/>
    <n v="0"/>
    <n v="0"/>
    <n v="0"/>
    <n v="0"/>
    <n v="0"/>
    <n v="0"/>
    <n v="420.19"/>
    <n v="0"/>
    <n v="0"/>
    <n v="0"/>
    <n v="0"/>
    <n v="0"/>
    <n v="0"/>
    <n v="0"/>
    <n v="0"/>
    <n v="420.19"/>
    <n v="0"/>
    <n v="0"/>
    <n v="574.037784158416"/>
    <n v="1.4428571428571428"/>
    <n v="0"/>
    <n v="0"/>
    <m/>
    <s v="Musrigharari"/>
    <m/>
    <n v="0"/>
  </r>
  <r>
    <s v="Munger"/>
    <s v="24-30 Apr"/>
    <n v="1013"/>
    <s v="Musrigharari"/>
    <x v="531"/>
    <s v="Chhuchhipur                                                                                         "/>
    <s v="MPG"/>
    <s v="Direct"/>
    <n v="36.700000000000003"/>
    <n v="959.13"/>
    <n v="80"/>
    <n v="2956.8844799999997"/>
    <n v="0"/>
    <n v="0"/>
    <n v="80"/>
    <n v="2956.8844799999997"/>
    <n v="959.13"/>
    <n v="0"/>
    <n v="0"/>
    <n v="1997.7544799999996"/>
    <n v="0"/>
    <n v="756.32791578947342"/>
    <n v="0"/>
    <n v="203"/>
    <n v="0"/>
    <n v="0"/>
    <n v="0"/>
    <n v="0"/>
    <n v="346.69805395095364"/>
    <n v="5.2428571428571429"/>
    <n v="-2.0828818616871536"/>
    <n v="1"/>
    <m/>
    <s v="Musrigharari"/>
    <m/>
    <n v="0"/>
  </r>
  <r>
    <s v="Munger"/>
    <s v="24-30 Apr"/>
    <n v="1013"/>
    <s v="Musrigharari"/>
    <x v="532"/>
    <s v="Gomukh ID Sararanjan"/>
    <s v="vlc"/>
    <s v="Indirect"/>
    <n v="168.2"/>
    <n v="6779.9400000000005"/>
    <n v="0"/>
    <n v="0"/>
    <n v="0"/>
    <n v="0"/>
    <n v="0"/>
    <n v="0"/>
    <n v="6779.9400000000005"/>
    <n v="0"/>
    <n v="0"/>
    <n v="0"/>
    <n v="3000"/>
    <n v="0"/>
    <n v="0"/>
    <n v="0"/>
    <n v="0"/>
    <n v="3779.9400000000005"/>
    <n v="0"/>
    <n v="0"/>
    <n v="428.72438668252084"/>
    <n v="24.028571428571428"/>
    <n v="0"/>
    <n v="0"/>
    <m/>
    <s v="Musrigharari"/>
    <m/>
    <n v="0"/>
  </r>
  <r>
    <s v="Munger"/>
    <s v="24-30 Apr"/>
    <n v="1013"/>
    <s v="Musrigharari"/>
    <x v="533"/>
    <s v="Gomukh Soharthi Purvi Tola                                                                          "/>
    <s v="MPG"/>
    <s v="Direct"/>
    <n v="44.5"/>
    <n v="1925.4299999999998"/>
    <n v="89.6"/>
    <n v="4319.1049831312002"/>
    <n v="0"/>
    <n v="0"/>
    <n v="89.6"/>
    <n v="4319.1049831312002"/>
    <n v="1925.4299999999998"/>
    <n v="0"/>
    <n v="0"/>
    <n v="2393.6749831312004"/>
    <n v="0"/>
    <n v="41.503413559321984"/>
    <n v="0"/>
    <n v="1884"/>
    <n v="0"/>
    <n v="0"/>
    <n v="0"/>
    <n v="0"/>
    <n v="567.24465842696623"/>
    <n v="6.3571428571428568"/>
    <n v="-1.2431898241593828"/>
    <n v="1"/>
    <m/>
    <s v="Musrigharari"/>
    <m/>
    <n v="0"/>
  </r>
  <r>
    <s v="Munger"/>
    <s v="24-30 Apr"/>
    <n v="1013"/>
    <s v="Musrigharari"/>
    <x v="534"/>
    <s v="Birnama"/>
    <s v="vlc"/>
    <s v="Indirect"/>
    <n v="234"/>
    <n v="6072.3"/>
    <n v="0"/>
    <n v="0"/>
    <n v="0"/>
    <n v="0"/>
    <n v="0"/>
    <n v="0"/>
    <n v="6072.3"/>
    <n v="0"/>
    <n v="0"/>
    <n v="0"/>
    <n v="0"/>
    <n v="2660.8488387096768"/>
    <n v="0"/>
    <n v="0"/>
    <n v="0"/>
    <n v="3411.4511612903234"/>
    <n v="0"/>
    <n v="0"/>
    <n v="241.85399999999998"/>
    <n v="33.428571428571431"/>
    <n v="0"/>
    <n v="0"/>
    <m/>
    <s v="Musrigharari"/>
    <m/>
    <n v="0"/>
  </r>
  <r>
    <s v="Munger"/>
    <s v="24-30 Apr"/>
    <n v="1013"/>
    <s v="Musrigharari"/>
    <x v="535"/>
    <s v="Maraie - Rubi"/>
    <s v="vlc"/>
    <s v="Indirect"/>
    <n v="53.1"/>
    <n v="2020.33"/>
    <n v="0"/>
    <n v="0"/>
    <n v="0"/>
    <n v="0"/>
    <n v="0"/>
    <n v="0"/>
    <n v="2020.33"/>
    <n v="0"/>
    <n v="0"/>
    <n v="0"/>
    <n v="0"/>
    <n v="8.235348387096785"/>
    <n v="0"/>
    <n v="0"/>
    <n v="0"/>
    <n v="2012.0946516129031"/>
    <n v="0"/>
    <n v="0"/>
    <n v="492.26044331450089"/>
    <n v="7.5857142857142863"/>
    <n v="0"/>
    <n v="0"/>
    <m/>
    <s v="Musrigharari"/>
    <m/>
    <n v="0"/>
  </r>
  <r>
    <s v="Munger"/>
    <s v="24-30 Apr"/>
    <n v="1013"/>
    <s v="Musrigharari"/>
    <x v="537"/>
    <s v="Lakshmipur Western Tol - Rajeev"/>
    <s v="MPG"/>
    <s v="Indirect"/>
    <n v="2993.6000000000004"/>
    <n v="124943.25"/>
    <n v="0"/>
    <n v="0"/>
    <n v="0"/>
    <n v="0"/>
    <n v="0"/>
    <n v="0"/>
    <n v="124943.25"/>
    <n v="0"/>
    <n v="0"/>
    <n v="0"/>
    <n v="2700"/>
    <n v="0"/>
    <n v="0"/>
    <n v="0"/>
    <n v="0"/>
    <n v="122243.25"/>
    <n v="0"/>
    <n v="0"/>
    <n v="0"/>
    <n v="0"/>
    <n v="0"/>
    <n v="0"/>
    <m/>
    <s v="Musrigharari"/>
    <m/>
    <n v="0"/>
  </r>
  <r>
    <s v="Munger"/>
    <s v="24-30 Apr"/>
    <n v="1013"/>
    <s v="Musrigharari"/>
    <x v="538"/>
    <s v="Jahangipur Salkhanni"/>
    <s v="MPG"/>
    <s v="Direct"/>
    <n v="415.60000000000008"/>
    <n v="17453.95"/>
    <n v="298.98"/>
    <n v="12879.353428863147"/>
    <n v="121.95000000000002"/>
    <n v="6135.9328476098417"/>
    <n v="420.93000000000006"/>
    <n v="19015.286276472987"/>
    <n v="17453.95"/>
    <n v="0"/>
    <n v="0"/>
    <n v="1561.3362764729864"/>
    <n v="1024"/>
    <n v="0"/>
    <n v="0"/>
    <n v="10295"/>
    <n v="6135"/>
    <n v="0"/>
    <n v="0"/>
    <n v="0"/>
    <n v="238.87889220404224"/>
    <n v="59.371428571428581"/>
    <n v="-8.9454609212985384E-2"/>
    <n v="13"/>
    <m/>
    <s v="Musrigharari"/>
    <m/>
    <n v="0"/>
  </r>
  <r>
    <s v="Munger"/>
    <s v="24-30 Apr"/>
    <n v="1013"/>
    <s v="Musrigharari"/>
    <x v="539"/>
    <s v="Sekhpura"/>
    <s v="MPG"/>
    <s v="Direct"/>
    <n v="228.39999999999998"/>
    <n v="8300.7200000000012"/>
    <n v="230.64000000000001"/>
    <n v="8347.9113431999995"/>
    <n v="2.81"/>
    <n v="98.321056316999986"/>
    <n v="233.45000000000002"/>
    <n v="8446.2323995169991"/>
    <n v="8300.7200000000012"/>
    <n v="0"/>
    <n v="98.321056316999986"/>
    <n v="145.5123995169979"/>
    <n v="0"/>
    <n v="0"/>
    <n v="0"/>
    <n v="8202"/>
    <n v="0"/>
    <n v="0"/>
    <n v="0"/>
    <n v="0"/>
    <n v="342.7863005253941"/>
    <n v="32.628571428571426"/>
    <n v="-1.7530093716809855E-2"/>
    <n v="6"/>
    <m/>
    <s v="Musrigharari"/>
    <m/>
    <n v="0"/>
  </r>
  <r>
    <s v="Munger"/>
    <s v="24-30 Apr"/>
    <n v="1013"/>
    <s v="Musrigharari"/>
    <x v="540"/>
    <s v="Songar"/>
    <s v="MPG"/>
    <s v="Direct"/>
    <n v="1434.9"/>
    <n v="50586.13"/>
    <n v="792.23"/>
    <n v="29460.962133010362"/>
    <n v="644.29999999999995"/>
    <n v="21850.268011268399"/>
    <n v="1436.53"/>
    <n v="51311.230144278758"/>
    <n v="50586.13"/>
    <n v="0"/>
    <n v="507.06982745100004"/>
    <n v="725.10014427876013"/>
    <n v="0"/>
    <n v="0"/>
    <n v="0"/>
    <n v="28736"/>
    <n v="21343"/>
    <n v="0"/>
    <n v="0"/>
    <n v="0"/>
    <n v="0"/>
    <n v="0"/>
    <n v="-1.4333971471602199E-2"/>
    <n v="29"/>
    <m/>
    <s v="Musrigharari"/>
    <m/>
    <n v="0"/>
  </r>
  <r>
    <s v="Munger"/>
    <s v="24-30 Apr"/>
    <n v="1013"/>
    <s v="Musrigharari"/>
    <x v="541"/>
    <s v="Rampur Maheshpur"/>
    <s v="MPG"/>
    <s v="Direct"/>
    <n v="414.99999999999994"/>
    <n v="17036.349999999999"/>
    <n v="326.32"/>
    <n v="14010.134762697582"/>
    <n v="92.97999999999999"/>
    <n v="3310.2974562080303"/>
    <n v="419.29999999999995"/>
    <n v="17320.432218905611"/>
    <n v="17036.349999999999"/>
    <n v="0"/>
    <n v="0"/>
    <n v="284.08221890561254"/>
    <n v="0"/>
    <n v="215.52395409835998"/>
    <n v="0"/>
    <n v="13511"/>
    <n v="3309"/>
    <n v="0"/>
    <n v="1"/>
    <n v="0"/>
    <n v="233.99324096385547"/>
    <n v="59.285714285714278"/>
    <n v="-1.6675063549739973E-2"/>
    <n v="9"/>
    <m/>
    <s v="Musrigharari"/>
    <m/>
    <n v="0"/>
  </r>
  <r>
    <s v="Munger"/>
    <s v="24-30 Apr"/>
    <n v="1013"/>
    <s v="Musrigharari"/>
    <x v="542"/>
    <s v="Godhiyari"/>
    <s v="vlc"/>
    <s v="Indirect"/>
    <n v="119.60000000000001"/>
    <n v="4748.51"/>
    <n v="0"/>
    <n v="0"/>
    <n v="0"/>
    <n v="0"/>
    <n v="0"/>
    <n v="0"/>
    <n v="4748.51"/>
    <n v="0"/>
    <n v="0"/>
    <n v="0"/>
    <n v="0"/>
    <n v="387.63950322580627"/>
    <n v="0"/>
    <n v="0"/>
    <n v="0"/>
    <n v="4360.8704967741942"/>
    <n v="0"/>
    <n v="0"/>
    <n v="460.875452173913"/>
    <n v="17.085714285714285"/>
    <n v="0"/>
    <n v="0"/>
    <m/>
    <s v="Musrigharari"/>
    <m/>
    <n v="0"/>
  </r>
  <r>
    <s v="Munger"/>
    <s v="24-30 Apr"/>
    <n v="1013"/>
    <s v="Musrigharari"/>
    <x v="543"/>
    <s v="Jhakhra-Rambilash"/>
    <s v="vlc"/>
    <s v="Indirect"/>
    <n v="785.7"/>
    <n v="30802.280000000002"/>
    <n v="0"/>
    <n v="0"/>
    <n v="0"/>
    <n v="0"/>
    <n v="0"/>
    <n v="0"/>
    <n v="30802.280000000002"/>
    <n v="0"/>
    <n v="0"/>
    <n v="0"/>
    <n v="0"/>
    <n v="0"/>
    <n v="0"/>
    <n v="0"/>
    <n v="0"/>
    <n v="30802.280000000002"/>
    <n v="0"/>
    <n v="0"/>
    <n v="0"/>
    <n v="0"/>
    <n v="0"/>
    <n v="0"/>
    <m/>
    <s v="Musrigharari"/>
    <m/>
    <n v="0"/>
  </r>
  <r>
    <s v="Munger"/>
    <s v="24-30 Apr"/>
    <n v="1013"/>
    <s v="Musrigharari"/>
    <x v="545"/>
    <s v="Dagarua"/>
    <s v="MPG"/>
    <s v="Direct"/>
    <n v="93.4"/>
    <n v="2736.2"/>
    <n v="57.6"/>
    <n v="1735.5544719480004"/>
    <n v="35.9"/>
    <n v="1016.0267736960002"/>
    <n v="93.5"/>
    <n v="2751.5812456440008"/>
    <n v="2736.2"/>
    <n v="0"/>
    <n v="0"/>
    <n v="15.381245644000956"/>
    <n v="2366"/>
    <n v="309.96820000000014"/>
    <n v="0"/>
    <n v="60"/>
    <n v="0"/>
    <n v="0"/>
    <n v="0"/>
    <s v="Release1"/>
    <n v="355.41304496788007"/>
    <n v="13.342857142857143"/>
    <n v="-5.6213893882029664E-3"/>
    <n v="2"/>
    <m/>
    <s v="Musrigharari"/>
    <m/>
    <n v="0"/>
  </r>
  <r>
    <s v="Munger"/>
    <s v="24-30 Apr"/>
    <n v="1013"/>
    <s v="Musrigharari"/>
    <x v="546"/>
    <s v="Chakmilki"/>
    <s v="MPG"/>
    <s v="Direct"/>
    <n v="332.80000000000007"/>
    <n v="12695.689999999999"/>
    <n v="170.35999999999999"/>
    <n v="6490.7929048620072"/>
    <n v="188.53000000000003"/>
    <n v="6558.6544789311902"/>
    <n v="358.89"/>
    <n v="13049.447383793198"/>
    <n v="12695.689999999999"/>
    <n v="0"/>
    <n v="192.723355935"/>
    <n v="353.75738379319955"/>
    <n v="0"/>
    <n v="0"/>
    <n v="0"/>
    <n v="6136"/>
    <n v="6367"/>
    <n v="0"/>
    <n v="0"/>
    <n v="0"/>
    <n v="280.15969759615371"/>
    <n v="47.542857142857152"/>
    <n v="-2.7864368442613169E-2"/>
    <n v="11"/>
    <m/>
    <s v="Musrigharari"/>
    <m/>
    <n v="0"/>
  </r>
  <r>
    <s v="Munger"/>
    <s v="24-30 Apr"/>
    <n v="1013"/>
    <s v="Musrigharari"/>
    <x v="547"/>
    <s v="Gomukh Akaha"/>
    <s v="MPG"/>
    <s v="Direct"/>
    <n v="134.69999999999999"/>
    <n v="4447.78"/>
    <n v="119.07000000000001"/>
    <n v="3828.589894938601"/>
    <n v="20.380000000000003"/>
    <n v="758.63315187000012"/>
    <n v="139.45000000000002"/>
    <n v="4587.2230468086009"/>
    <n v="4447.78"/>
    <n v="0"/>
    <n v="20.3981362002"/>
    <n v="139.44304680860114"/>
    <n v="1500"/>
    <n v="87.155941935483895"/>
    <n v="0"/>
    <n v="2101"/>
    <n v="739"/>
    <n v="0"/>
    <n v="0"/>
    <n v="0"/>
    <n v="373.32294491462511"/>
    <n v="19.24285714285714"/>
    <n v="-3.135115648899027E-2"/>
    <n v="6"/>
    <m/>
    <s v="Musrigharari"/>
    <m/>
    <n v="0"/>
  </r>
  <r>
    <s v="Munger"/>
    <s v="24-30 Apr"/>
    <n v="1013"/>
    <s v="Musrigharari"/>
    <x v="548"/>
    <s v="Nauachak-Pankaj"/>
    <s v="vlc"/>
    <s v="Indirect"/>
    <n v="177.1"/>
    <n v="6159.43"/>
    <n v="0"/>
    <n v="0"/>
    <n v="0"/>
    <n v="0"/>
    <n v="0"/>
    <n v="0"/>
    <n v="6159.43"/>
    <n v="0"/>
    <n v="0"/>
    <n v="0"/>
    <n v="1350"/>
    <n v="0"/>
    <n v="0"/>
    <n v="0"/>
    <n v="0"/>
    <n v="4809.43"/>
    <n v="0"/>
    <n v="0"/>
    <n v="363.72286245059286"/>
    <n v="25.3"/>
    <n v="0"/>
    <n v="0"/>
    <m/>
    <s v="Musrigharari"/>
    <m/>
    <n v="0"/>
  </r>
  <r>
    <s v="Munger"/>
    <s v="24-30 Apr"/>
    <n v="1013"/>
    <s v="Musrigharari"/>
    <x v="549"/>
    <s v="Jitwarpur-Manisha"/>
    <s v="vlc"/>
    <s v="Indirect"/>
    <n v="69.900000000000006"/>
    <n v="2353.34"/>
    <n v="0"/>
    <n v="0"/>
    <n v="0"/>
    <n v="0"/>
    <n v="0"/>
    <n v="0"/>
    <n v="2353.34"/>
    <n v="0"/>
    <n v="0"/>
    <n v="0"/>
    <n v="1350"/>
    <n v="36.786948387096714"/>
    <n v="0"/>
    <n v="0"/>
    <n v="0"/>
    <n v="966.55305161290346"/>
    <n v="0"/>
    <n v="0"/>
    <n v="424.27454477825466"/>
    <n v="9.9857142857142858"/>
    <n v="0"/>
    <n v="0"/>
    <m/>
    <s v="Musrigharari"/>
    <m/>
    <n v="0"/>
  </r>
  <r>
    <s v="Munger"/>
    <s v="24-30 Apr"/>
    <n v="1013"/>
    <s v="Musrigharari"/>
    <x v="550"/>
    <s v="Gomukh Sirdulpur 2"/>
    <s v="vlc"/>
    <s v="Indirect"/>
    <n v="1749.9999999999998"/>
    <n v="55493.780000000006"/>
    <n v="0"/>
    <n v="0"/>
    <n v="0"/>
    <n v="0"/>
    <n v="0"/>
    <n v="0"/>
    <n v="55493.780000000006"/>
    <n v="0"/>
    <n v="0"/>
    <n v="0"/>
    <n v="0"/>
    <n v="0"/>
    <n v="0"/>
    <n v="0"/>
    <n v="0"/>
    <n v="55493.780000000006"/>
    <n v="0"/>
    <n v="0"/>
    <n v="0"/>
    <n v="0"/>
    <n v="0"/>
    <n v="0"/>
    <m/>
    <s v="Musrigharari"/>
    <m/>
    <n v="0"/>
  </r>
  <r>
    <s v="Munger"/>
    <s v="24-30 Apr"/>
    <n v="1013"/>
    <s v="Musrigharari"/>
    <x v="551"/>
    <s v="Gomukh Repura"/>
    <s v="MPG"/>
    <s v="Direct"/>
    <n v="147.89999999999998"/>
    <n v="4669.5"/>
    <n v="138.79999999999998"/>
    <n v="4771.7960291100007"/>
    <n v="0"/>
    <n v="0"/>
    <n v="138.79999999999998"/>
    <n v="4771.7960291100007"/>
    <n v="4669.5"/>
    <n v="0"/>
    <n v="0"/>
    <n v="102.29602911000075"/>
    <n v="0"/>
    <n v="320.93898750000005"/>
    <n v="0"/>
    <n v="4348"/>
    <n v="0"/>
    <n v="0"/>
    <n v="1"/>
    <n v="0"/>
    <n v="348.6181135902637"/>
    <n v="21.128571428571426"/>
    <n v="-2.1907276819788147E-2"/>
    <n v="1"/>
    <m/>
    <s v="Musrigharari"/>
    <m/>
    <n v="0"/>
  </r>
  <r>
    <s v="Munger"/>
    <s v="24-30 Apr"/>
    <n v="1013"/>
    <s v="Musrigharari"/>
    <x v="553"/>
    <s v="Gomukh Sherpur Narsari East"/>
    <s v="MPG"/>
    <s v="Direct"/>
    <n v="275.8"/>
    <n v="10744.250000000002"/>
    <n v="227.82"/>
    <n v="8456.2707324348012"/>
    <n v="58.48"/>
    <n v="2200.2830150004002"/>
    <n v="286.3"/>
    <n v="10656.553747435202"/>
    <n v="10656.553747435202"/>
    <n v="0"/>
    <n v="19.300303836000005"/>
    <n v="0"/>
    <n v="0"/>
    <n v="107.98254193548388"/>
    <n v="0"/>
    <n v="8348"/>
    <n v="2181"/>
    <n v="0"/>
    <n v="88"/>
    <n v="0"/>
    <n v="330.50840101522846"/>
    <n v="39.4"/>
    <n v="8.1621567410288826E-3"/>
    <n v="4"/>
    <m/>
    <s v="Musrigharari"/>
    <m/>
    <n v="0"/>
  </r>
  <r>
    <s v="Munger"/>
    <s v="24-30 Apr"/>
    <n v="1013"/>
    <s v="Musrigharari"/>
    <x v="555"/>
    <s v="Gomukh Karhatti"/>
    <s v="MPG"/>
    <s v="Direct"/>
    <n v="107.9"/>
    <n v="3931.5"/>
    <n v="288"/>
    <n v="10670.524642799999"/>
    <n v="0"/>
    <n v="0"/>
    <n v="288"/>
    <n v="10670.524642799999"/>
    <n v="3931.5"/>
    <n v="0"/>
    <n v="0"/>
    <n v="6739.0246427999991"/>
    <n v="0"/>
    <n v="245.09984745762722"/>
    <n v="0"/>
    <n v="3685"/>
    <n v="0"/>
    <n v="0"/>
    <n v="1"/>
    <n v="0"/>
    <n v="431.48121408711768"/>
    <n v="15.414285714285715"/>
    <n v="-1.7141102995803126"/>
    <n v="1"/>
    <m/>
    <s v="Musrigharari"/>
    <m/>
    <n v="0"/>
  </r>
  <r>
    <s v="Munger"/>
    <s v="24-30 Apr"/>
    <n v="1013"/>
    <s v="Musrigharari"/>
    <x v="556"/>
    <s v="Gomukh Gaopur Bhagwatpur"/>
    <s v="MPG"/>
    <s v="Direct"/>
    <n v="689"/>
    <n v="25352.5"/>
    <n v="701.17"/>
    <n v="25842.439657174506"/>
    <n v="0"/>
    <n v="0"/>
    <n v="701.17"/>
    <n v="25842.439657174506"/>
    <n v="25352.5"/>
    <n v="0"/>
    <n v="0"/>
    <n v="489.93965717450556"/>
    <n v="0"/>
    <n v="673.35884516129022"/>
    <n v="0"/>
    <n v="24678"/>
    <n v="0"/>
    <n v="0"/>
    <n v="1"/>
    <n v="0"/>
    <n v="8.0951378809869272"/>
    <n v="98.428571428571431"/>
    <n v="-1.9325102343930797E-2"/>
    <n v="5"/>
    <m/>
    <s v="Musrigharari"/>
    <m/>
    <n v="0"/>
  </r>
  <r>
    <s v="Munger"/>
    <s v="24-30 Apr"/>
    <n v="1013"/>
    <s v="Musrigharari"/>
    <x v="557"/>
    <s v="Gomukh Rajwara"/>
    <s v="MPG"/>
    <s v="Direct"/>
    <n v="115.89999999999999"/>
    <n v="4501.5600000000004"/>
    <n v="118.5"/>
    <n v="4606.8627246720007"/>
    <n v="0.5"/>
    <n v="20.024935920000004"/>
    <n v="119"/>
    <n v="4626.8876605920004"/>
    <n v="4501.5600000000004"/>
    <n v="0"/>
    <n v="20.024935920000004"/>
    <n v="125.32766059200003"/>
    <n v="0"/>
    <n v="0"/>
    <n v="0"/>
    <n v="4482"/>
    <n v="0"/>
    <n v="0"/>
    <n v="0"/>
    <n v="0"/>
    <n v="453.72928317515107"/>
    <n v="16.557142857142857"/>
    <n v="-2.7840939716898147E-2"/>
    <n v="2"/>
    <m/>
    <s v="Musrigharari"/>
    <m/>
    <n v="0"/>
  </r>
  <r>
    <s v="Munger"/>
    <s v="24-30 Apr"/>
    <n v="1061"/>
    <s v="Mahua BMC"/>
    <x v="558"/>
    <s v="GOMUKH Karhatiya Bujurg"/>
    <s v="vlc"/>
    <s v="Indirect"/>
    <n v="40.200000000000003"/>
    <n v="1659.8700000000001"/>
    <n v="0"/>
    <n v="0"/>
    <n v="0"/>
    <n v="0"/>
    <n v="0"/>
    <n v="0"/>
    <n v="1659.8700000000001"/>
    <n v="0"/>
    <n v="0"/>
    <n v="0"/>
    <n v="0"/>
    <n v="33.77868387096774"/>
    <n v="0"/>
    <n v="0"/>
    <n v="0"/>
    <n v="1626.0913161290323"/>
    <n v="0"/>
    <n v="0"/>
    <n v="544.86677910447759"/>
    <n v="5.7428571428571429"/>
    <n v="0"/>
    <n v="0"/>
    <m/>
    <s v="Mahua BMC"/>
    <m/>
    <n v="0"/>
  </r>
  <r>
    <s v="Munger"/>
    <s v="24-30 Apr"/>
    <n v="1013"/>
    <s v="Musrigharari"/>
    <x v="1037"/>
    <s v="GOMUKH NIKASPUR"/>
    <s v="vlc"/>
    <s v="Direct"/>
    <n v="26.4"/>
    <n v="865.39"/>
    <n v="26.4"/>
    <n v="871.92278236799996"/>
    <n v="0"/>
    <n v="0"/>
    <n v="26.4"/>
    <n v="871.92278236799996"/>
    <n v="865.39"/>
    <n v="0"/>
    <n v="0"/>
    <n v="6.532782367999971"/>
    <n v="0"/>
    <n v="643.77621818181819"/>
    <n v="0"/>
    <n v="221"/>
    <n v="0"/>
    <n v="0"/>
    <n v="1"/>
    <n v="0"/>
    <n v="441.61113939393948"/>
    <n v="3.7714285714285714"/>
    <n v="-7.5489459873582677E-3"/>
    <n v="1"/>
    <m/>
    <s v="Musrigharari"/>
    <m/>
    <n v="0"/>
  </r>
  <r>
    <s v="Munger"/>
    <s v="24-30 Apr"/>
    <n v="1013"/>
    <s v="Musrigharari"/>
    <x v="559"/>
    <s v="Gomukh Morwa Mohanpur"/>
    <s v="vlc"/>
    <s v="Indirect"/>
    <n v="57.7"/>
    <n v="2513.5099999999998"/>
    <n v="0"/>
    <n v="0"/>
    <n v="0"/>
    <n v="0"/>
    <n v="0"/>
    <n v="0"/>
    <n v="2513.5099999999998"/>
    <n v="0"/>
    <n v="0"/>
    <n v="0"/>
    <n v="0"/>
    <n v="1501.2276580645162"/>
    <n v="0"/>
    <n v="0"/>
    <n v="0"/>
    <n v="1012.2823419354836"/>
    <n v="0"/>
    <n v="0"/>
    <n v="559.59357816291151"/>
    <n v="8.2428571428571438"/>
    <n v="0"/>
    <n v="0"/>
    <m/>
    <s v="Musrigharari"/>
    <m/>
    <n v="0"/>
  </r>
  <r>
    <s v="Munger"/>
    <s v="24-30 Apr"/>
    <n v="1013"/>
    <s v="Musrigharari"/>
    <x v="561"/>
    <s v="GOMUKH Laguniya"/>
    <s v="vlc"/>
    <s v="Indirect"/>
    <n v="154"/>
    <n v="5604.1399999999994"/>
    <n v="0"/>
    <n v="0"/>
    <n v="0"/>
    <n v="0"/>
    <n v="0"/>
    <n v="0"/>
    <n v="5604.1399999999994"/>
    <n v="0"/>
    <n v="0"/>
    <n v="0"/>
    <n v="0"/>
    <n v="405.26247096774193"/>
    <n v="0"/>
    <n v="0"/>
    <n v="0"/>
    <n v="5198.8775290322574"/>
    <n v="0"/>
    <n v="0"/>
    <n v="397.38447272727274"/>
    <n v="22"/>
    <n v="0"/>
    <n v="0"/>
    <m/>
    <s v="Musrigharari"/>
    <m/>
    <n v="0"/>
  </r>
  <r>
    <s v="Munger"/>
    <s v="24-30 Apr"/>
    <n v="1013"/>
    <s v="Musrigharari"/>
    <x v="562"/>
    <s v="GOMUKH MAHINDWARA"/>
    <s v="vlc"/>
    <s v="Indirect"/>
    <n v="313.79999999999995"/>
    <n v="11760.529999999999"/>
    <n v="0"/>
    <n v="0"/>
    <n v="0"/>
    <n v="0"/>
    <n v="0"/>
    <n v="0"/>
    <n v="11760.529999999999"/>
    <n v="0"/>
    <n v="0"/>
    <n v="0"/>
    <n v="0"/>
    <n v="0"/>
    <n v="0"/>
    <n v="0"/>
    <n v="0"/>
    <n v="11760.529999999999"/>
    <n v="0"/>
    <n v="0"/>
    <n v="289.4784376035692"/>
    <n v="44.828571428571422"/>
    <n v="0"/>
    <n v="0"/>
    <m/>
    <s v="Musrigharari"/>
    <m/>
    <n v="0"/>
  </r>
  <r>
    <s v="Munger"/>
    <s v="24-30 Apr"/>
    <n v="1013"/>
    <s v="Musrigharari"/>
    <x v="563"/>
    <s v="GOMUKH MISHRAULIA"/>
    <s v="MPG"/>
    <s v="Direct"/>
    <n v="134.30000000000001"/>
    <n v="6799.85"/>
    <n v="189.50000000000003"/>
    <n v="8631.5990508192008"/>
    <n v="12.4"/>
    <n v="356.17763174400005"/>
    <n v="201.90000000000003"/>
    <n v="8987.7766825632007"/>
    <n v="6799.85"/>
    <n v="0"/>
    <n v="356.17763174400005"/>
    <n v="2187.9266825632003"/>
    <n v="0"/>
    <n v="788.13958983050804"/>
    <n v="0"/>
    <n v="5656"/>
    <n v="0"/>
    <n v="0"/>
    <n v="0"/>
    <n v="0"/>
    <n v="572.84812285927035"/>
    <n v="19.185714285714287"/>
    <n v="-0.32176102157594655"/>
    <n v="3"/>
    <m/>
    <s v="Musrigharari"/>
    <m/>
    <n v="0"/>
  </r>
  <r>
    <s v="Munger"/>
    <s v="24-30 Apr"/>
    <n v="1013"/>
    <s v="Musrigharari"/>
    <x v="564"/>
    <s v="GOMUKH CHAKIRDI"/>
    <s v="MPG"/>
    <s v="Direct"/>
    <n v="104.70000000000002"/>
    <n v="3749.5800000000004"/>
    <n v="104.7"/>
    <n v="3749.6785748400007"/>
    <n v="0"/>
    <n v="0"/>
    <n v="104.7"/>
    <n v="3749.6785748400007"/>
    <n v="3749.5800000000004"/>
    <n v="0"/>
    <n v="0"/>
    <n v="9.857484000031036E-2"/>
    <n v="0"/>
    <n v="198.77870322580651"/>
    <n v="0"/>
    <n v="3551"/>
    <n v="0"/>
    <n v="0"/>
    <n v="0"/>
    <n v="0"/>
    <n v="426.38490429799424"/>
    <n v="14.957142857142859"/>
    <n v="-2.6289568431747115E-5"/>
    <n v="1"/>
    <m/>
    <s v="Musrigharari"/>
    <m/>
    <n v="0"/>
  </r>
  <r>
    <s v="Munger"/>
    <s v="24-30 Apr"/>
    <n v="1013"/>
    <s v="Musrigharari"/>
    <x v="565"/>
    <s v="GOMUKH Bhagwatpur East"/>
    <s v="MPG"/>
    <s v="Direct"/>
    <n v="404.7"/>
    <n v="13956.229999999998"/>
    <n v="451.1"/>
    <n v="16931.856585599999"/>
    <n v="0"/>
    <n v="0"/>
    <n v="451.1"/>
    <n v="16931.856585599999"/>
    <n v="13956.229999999998"/>
    <n v="0"/>
    <n v="0"/>
    <n v="2975.6265856000009"/>
    <n v="2700"/>
    <n v="0"/>
    <n v="0"/>
    <n v="11256"/>
    <n v="0"/>
    <n v="0"/>
    <n v="0"/>
    <n v="0"/>
    <n v="203.67060632567333"/>
    <n v="57.81428571428571"/>
    <n v="-0.21321134615866902"/>
    <n v="1"/>
    <m/>
    <s v="Musrigharari"/>
    <m/>
    <n v="0"/>
  </r>
  <r>
    <s v="Munger"/>
    <s v="24-30 Apr"/>
    <n v="1013"/>
    <s v="Musrigharari"/>
    <x v="566"/>
    <s v="Gomukh Rupauli Buzurg"/>
    <s v="vlc"/>
    <s v="Indirect"/>
    <n v="315.60000000000002"/>
    <n v="9057.7199999999993"/>
    <n v="0"/>
    <n v="0"/>
    <n v="0"/>
    <n v="0"/>
    <n v="0"/>
    <n v="0"/>
    <n v="9057.7199999999993"/>
    <n v="0"/>
    <n v="0"/>
    <n v="0"/>
    <n v="0"/>
    <n v="9058"/>
    <n v="0"/>
    <n v="0"/>
    <n v="0"/>
    <n v="-0.28000000000065484"/>
    <n v="0"/>
    <s v="Release1"/>
    <n v="220.64559999999994"/>
    <n v="45.085714285714289"/>
    <n v="0"/>
    <n v="0"/>
    <m/>
    <s v="Musrigharari"/>
    <m/>
    <n v="0"/>
  </r>
  <r>
    <s v="Munger"/>
    <s v="24-30 Apr"/>
    <n v="1014"/>
    <s v="Dumraon"/>
    <x v="567"/>
    <s v="Dumri Purvi Tola"/>
    <s v="MPG"/>
    <s v="Direct"/>
    <n v="43"/>
    <n v="1778.1599999999999"/>
    <n v="76.299999999999983"/>
    <n v="3051.7061572430002"/>
    <n v="0"/>
    <n v="0"/>
    <n v="76.299999999999983"/>
    <n v="3051.7061572430002"/>
    <n v="1778.1599999999999"/>
    <n v="0"/>
    <n v="0"/>
    <n v="1273.5461572430004"/>
    <n v="1654"/>
    <n v="0"/>
    <n v="0"/>
    <n v="0"/>
    <n v="0"/>
    <n v="0"/>
    <n v="124"/>
    <s v="Yes"/>
    <n v="543.37261395348833"/>
    <n v="6.1428571428571432"/>
    <n v="-0.71621572706786818"/>
    <n v="4"/>
    <m/>
    <s v="Dumraon"/>
    <m/>
    <n v="0"/>
  </r>
  <r>
    <s v="Munger"/>
    <s v="24-30 Apr"/>
    <n v="1014"/>
    <s v="Dumraon"/>
    <x v="568"/>
    <s v="Simri"/>
    <s v="MPG"/>
    <s v="Direct"/>
    <n v="722.90000000000009"/>
    <n v="27063.559999999998"/>
    <n v="772.97999999999979"/>
    <n v="29292.411590072068"/>
    <n v="0"/>
    <n v="0"/>
    <n v="772.97999999999979"/>
    <n v="29292.411590072068"/>
    <n v="27063.559999999998"/>
    <n v="0"/>
    <n v="0"/>
    <n v="2228.8515900720704"/>
    <n v="0"/>
    <n v="0"/>
    <n v="0"/>
    <n v="27064"/>
    <n v="0"/>
    <n v="0"/>
    <n v="0"/>
    <n v="0"/>
    <n v="0"/>
    <n v="0"/>
    <n v="-8.235618632848267E-2"/>
    <n v="14"/>
    <m/>
    <s v="Dumraon"/>
    <m/>
    <n v="0"/>
  </r>
  <r>
    <s v="Munger"/>
    <s v="24-30 Apr"/>
    <n v="1014"/>
    <s v="Dumraon"/>
    <x v="569"/>
    <s v="Sahiyar"/>
    <s v="MPG"/>
    <s v="Direct"/>
    <n v="1131.5"/>
    <n v="44734.729999999989"/>
    <n v="1036.0000000000002"/>
    <n v="43352.157362991835"/>
    <n v="34.6"/>
    <n v="1318.5846352800002"/>
    <n v="1070.6000000000001"/>
    <n v="44670.741998271835"/>
    <n v="44670.741998271835"/>
    <n v="0"/>
    <n v="1318.5846352800002"/>
    <n v="0"/>
    <n v="0"/>
    <n v="0"/>
    <n v="0"/>
    <n v="43351"/>
    <n v="0"/>
    <n v="0"/>
    <n v="65"/>
    <n v="0"/>
    <n v="0"/>
    <n v="0"/>
    <n v="1.4303875697507043E-3"/>
    <n v="32"/>
    <m/>
    <s v="Dumraon"/>
    <m/>
    <n v="0"/>
  </r>
  <r>
    <s v="Munger"/>
    <s v="24-30 Apr"/>
    <n v="1014"/>
    <s v="Dumraon"/>
    <x v="570"/>
    <s v="ENGLISH DUBAULI"/>
    <s v="MPG"/>
    <s v="Direct"/>
    <n v="566.59999999999991"/>
    <n v="20304.23"/>
    <n v="628.61"/>
    <n v="24568.898243492389"/>
    <n v="29.150000000000002"/>
    <n v="1539.0414196439497"/>
    <n v="657.76"/>
    <n v="26107.939663136338"/>
    <n v="20304.23"/>
    <n v="0"/>
    <n v="1539.0414196439497"/>
    <n v="5803.7096631363383"/>
    <n v="2500"/>
    <n v="0"/>
    <n v="0"/>
    <n v="16265"/>
    <n v="0"/>
    <n v="0"/>
    <n v="0"/>
    <s v="Release1"/>
    <n v="95.608340345923082"/>
    <n v="80.942857142857136"/>
    <n v="-0.2858374665346255"/>
    <n v="13"/>
    <m/>
    <s v="Dumraon"/>
    <m/>
    <n v="0"/>
  </r>
  <r>
    <s v="Munger"/>
    <s v="24-30 Apr"/>
    <n v="1014"/>
    <s v="Dumraon"/>
    <x v="571"/>
    <s v="Ramo Bariya"/>
    <s v="MPG"/>
    <s v="Direct"/>
    <n v="747.9"/>
    <n v="28491.760000000002"/>
    <n v="756.2399999999999"/>
    <n v="28140.168843053911"/>
    <n v="7.6500000000000012"/>
    <n v="334.64446527600012"/>
    <n v="763.88999999999987"/>
    <n v="28474.813308329911"/>
    <n v="28474.813308329911"/>
    <n v="0"/>
    <n v="334.64446527600012"/>
    <n v="0"/>
    <n v="0"/>
    <n v="0"/>
    <n v="0"/>
    <n v="28141"/>
    <n v="0"/>
    <n v="0"/>
    <n v="16"/>
    <n v="0"/>
    <n v="0"/>
    <n v="0"/>
    <n v="5.9479272849733539E-4"/>
    <n v="15"/>
    <m/>
    <s v="Dumraon"/>
    <m/>
    <n v="0"/>
  </r>
  <r>
    <s v="Munger"/>
    <s v="24-30 Apr"/>
    <n v="1014"/>
    <s v="Dumraon"/>
    <x v="572"/>
    <s v="HITAN PARARI"/>
    <s v="MPG"/>
    <s v="Direct"/>
    <n v="647.9"/>
    <n v="25357.84"/>
    <n v="685.76"/>
    <n v="27956.006349516741"/>
    <n v="0"/>
    <n v="0"/>
    <n v="685.76"/>
    <n v="27956.006349516741"/>
    <n v="25357.84"/>
    <n v="0"/>
    <n v="0"/>
    <n v="2598.1663495167413"/>
    <n v="0"/>
    <n v="0"/>
    <n v="0"/>
    <n v="25358"/>
    <n v="0"/>
    <n v="0"/>
    <n v="0"/>
    <n v="0"/>
    <n v="40.782326408396401"/>
    <n v="92.55714285714285"/>
    <n v="-0.10246008136011353"/>
    <n v="6"/>
    <m/>
    <s v="Dumraon"/>
    <m/>
    <n v="0"/>
  </r>
  <r>
    <s v="Munger"/>
    <s v="24-30 Apr"/>
    <n v="1014"/>
    <s v="Dumraon"/>
    <x v="573"/>
    <s v="Gangauli"/>
    <s v="MPG"/>
    <s v="Direct"/>
    <n v="439.09999999999991"/>
    <n v="18274.349999999999"/>
    <n v="440.4"/>
    <n v="19017.7056183163"/>
    <n v="3.6999999999999997"/>
    <n v="142.84127484000004"/>
    <n v="444.09999999999997"/>
    <n v="19160.546893156301"/>
    <n v="18274.349999999999"/>
    <n v="0"/>
    <n v="142.84127484000004"/>
    <n v="886.19689315630239"/>
    <n v="1300"/>
    <n v="0"/>
    <n v="0"/>
    <n v="16832"/>
    <n v="0"/>
    <n v="0"/>
    <n v="0"/>
    <s v="Release1"/>
    <n v="217.16137166932376"/>
    <n v="62.728571428571414"/>
    <n v="-4.8494030876956085E-2"/>
    <n v="16"/>
    <m/>
    <s v="Dumraon"/>
    <m/>
    <n v="0"/>
  </r>
  <r>
    <s v="Munger"/>
    <s v="24-30 Apr"/>
    <n v="1014"/>
    <s v="Dumraon"/>
    <x v="574"/>
    <s v="MATHURA DERA"/>
    <s v="MPG"/>
    <s v="Direct"/>
    <n v="55.000000000000007"/>
    <n v="2009.16"/>
    <n v="60.2"/>
    <n v="2188.9173319200004"/>
    <n v="1"/>
    <n v="34.321122000000003"/>
    <n v="61.2"/>
    <n v="2223.2384539200002"/>
    <n v="2009.16"/>
    <n v="0"/>
    <n v="34.321122000000003"/>
    <n v="214.07845392000013"/>
    <n v="0"/>
    <n v="0"/>
    <n v="0"/>
    <n v="1975"/>
    <n v="0"/>
    <n v="0"/>
    <n v="0"/>
    <s v="Release1"/>
    <n v="471.2393454545454"/>
    <n v="7.8571428571428585"/>
    <n v="-0.106551222361584"/>
    <n v="2"/>
    <m/>
    <s v="Dumraon"/>
    <m/>
    <n v="0"/>
  </r>
  <r>
    <s v="Munger"/>
    <s v="24-30 Apr"/>
    <n v="1014"/>
    <s v="Dumraon"/>
    <x v="575"/>
    <s v="NANDAN"/>
    <s v="MPG"/>
    <s v="Direct"/>
    <n v="315.90000000000003"/>
    <n v="14368.259999999998"/>
    <n v="315"/>
    <n v="14359.310815499997"/>
    <n v="0"/>
    <n v="0"/>
    <n v="315"/>
    <n v="14359.310815499997"/>
    <n v="14359.310815499997"/>
    <n v="0"/>
    <n v="0"/>
    <n v="0"/>
    <n v="6400"/>
    <n v="0"/>
    <n v="0"/>
    <n v="7959"/>
    <n v="0"/>
    <n v="0"/>
    <n v="9"/>
    <n v="0"/>
    <n v="349.40479050332374"/>
    <n v="45.128571428571433"/>
    <n v="6.2284399781192292E-4"/>
    <n v="1"/>
    <m/>
    <s v="Dumraon"/>
    <m/>
    <n v="0"/>
  </r>
  <r>
    <s v="Munger"/>
    <s v="24-30 Apr"/>
    <n v="1014"/>
    <s v="Dumraon"/>
    <x v="576"/>
    <s v="RAJAPUR"/>
    <s v="MPG"/>
    <s v="Direct"/>
    <n v="12.9"/>
    <n v="441.05"/>
    <n v="13"/>
    <n v="434.1617280000001"/>
    <n v="0"/>
    <n v="0"/>
    <n v="13"/>
    <n v="434.1617280000001"/>
    <n v="434.1617280000001"/>
    <n v="0"/>
    <n v="0"/>
    <n v="0"/>
    <n v="0"/>
    <n v="0"/>
    <n v="0"/>
    <n v="434"/>
    <n v="0"/>
    <n v="0"/>
    <n v="7"/>
    <n v="0"/>
    <n v="469.83791472868216"/>
    <n v="1.842857142857143"/>
    <n v="1.5617893662849824E-2"/>
    <n v="1"/>
    <m/>
    <s v="Dumraon"/>
    <m/>
    <n v="0"/>
  </r>
  <r>
    <s v="Munger"/>
    <s v="24-30 Apr"/>
    <n v="1014"/>
    <s v="Dumraon"/>
    <x v="577"/>
    <s v="HEMDAPUR"/>
    <s v="MPG"/>
    <s v="Direct"/>
    <n v="63.5"/>
    <n v="2281.35"/>
    <n v="63.800000000000004"/>
    <n v="2417.6898820800006"/>
    <n v="0"/>
    <n v="0"/>
    <n v="63.800000000000004"/>
    <n v="2417.6898820800006"/>
    <n v="2281.35"/>
    <n v="0"/>
    <n v="0"/>
    <n v="136.33988208000073"/>
    <n v="0"/>
    <n v="0"/>
    <n v="0"/>
    <n v="2281"/>
    <n v="0"/>
    <n v="0"/>
    <n v="0"/>
    <n v="0"/>
    <n v="457.34780314960625"/>
    <n v="9.0714285714285712"/>
    <n v="-5.9762808021566499E-2"/>
    <n v="3"/>
    <m/>
    <s v="Dumraon"/>
    <m/>
    <n v="0"/>
  </r>
  <r>
    <s v="Munger"/>
    <s v="24-30 Apr"/>
    <n v="1014"/>
    <s v="Dumraon"/>
    <x v="578"/>
    <s v="Chaugain"/>
    <s v="MPG"/>
    <s v="Direct"/>
    <n v="121.29999999999998"/>
    <n v="4090.9500000000003"/>
    <n v="121"/>
    <n v="4041.0437760000009"/>
    <n v="0"/>
    <n v="0"/>
    <n v="121"/>
    <n v="4041.0437760000009"/>
    <n v="4041.0437760000009"/>
    <n v="0"/>
    <n v="0"/>
    <n v="0"/>
    <n v="0"/>
    <n v="0"/>
    <n v="0"/>
    <n v="4041"/>
    <n v="0"/>
    <n v="0"/>
    <n v="50"/>
    <n v="0"/>
    <n v="390.34340725474044"/>
    <n v="17.328571428571426"/>
    <n v="1.2199177208227767E-2"/>
    <n v="1"/>
    <m/>
    <s v="Dumraon"/>
    <m/>
    <n v="0"/>
  </r>
  <r>
    <s v="Munger"/>
    <s v="24-30 Apr"/>
    <n v="1014"/>
    <s v="Dumraon"/>
    <x v="579"/>
    <s v="Akalupur"/>
    <s v="MPG"/>
    <s v="Direct"/>
    <n v="221.9"/>
    <n v="7806.78"/>
    <n v="223"/>
    <n v="7800.7754880000002"/>
    <n v="0"/>
    <n v="0"/>
    <n v="223"/>
    <n v="7800.7754880000002"/>
    <n v="7800.7754880000002"/>
    <n v="0"/>
    <n v="0"/>
    <n v="0"/>
    <n v="0"/>
    <n v="0"/>
    <n v="0"/>
    <n v="7801"/>
    <n v="0"/>
    <n v="0"/>
    <n v="6"/>
    <n v="0"/>
    <n v="336.40572492113563"/>
    <n v="31.7"/>
    <n v="7.691406700329102E-4"/>
    <n v="1"/>
    <m/>
    <s v="Dumraon"/>
    <m/>
    <n v="0"/>
  </r>
  <r>
    <s v="Munger"/>
    <s v="24-30 Apr"/>
    <n v="1014"/>
    <s v="Dumraon"/>
    <x v="580"/>
    <s v="Chhotka Sihanpura"/>
    <s v="MPG"/>
    <s v="Direct"/>
    <n v="263.5"/>
    <n v="8678.9000000000015"/>
    <n v="262.5"/>
    <n v="9493.3520297337309"/>
    <n v="5.8999999999999995"/>
    <n v="211.14399400417005"/>
    <n v="268.39999999999998"/>
    <n v="9704.4960237379019"/>
    <n v="8678.9000000000015"/>
    <n v="0"/>
    <n v="211.14399400417005"/>
    <n v="1025.5960237379004"/>
    <n v="0"/>
    <n v="0"/>
    <n v="0"/>
    <n v="8468"/>
    <n v="0"/>
    <n v="0"/>
    <n v="0"/>
    <n v="0"/>
    <n v="287.54002656546498"/>
    <n v="37.642857142857146"/>
    <n v="-0.11817119954578348"/>
    <n v="4"/>
    <m/>
    <s v="Dumraon"/>
    <m/>
    <n v="0"/>
  </r>
  <r>
    <s v="Munger"/>
    <s v="24-30 Apr"/>
    <n v="1014"/>
    <s v="Dumraon"/>
    <x v="581"/>
    <s v="Dharauli"/>
    <s v="MPG"/>
    <s v="Direct"/>
    <n v="208.99999999999997"/>
    <n v="8088.0499999999993"/>
    <n v="212.6"/>
    <n v="8086.6954595006609"/>
    <n v="4.2"/>
    <n v="155.43444708000001"/>
    <n v="216.79999999999998"/>
    <n v="8242.1299065806616"/>
    <n v="8088.0499999999993"/>
    <n v="0"/>
    <n v="155.43444708000001"/>
    <n v="154.07990658066228"/>
    <n v="0"/>
    <n v="0"/>
    <n v="0"/>
    <n v="7933"/>
    <n v="0"/>
    <n v="0"/>
    <n v="0"/>
    <s v="Release1"/>
    <n v="380.02225358851678"/>
    <n v="29.857142857142854"/>
    <n v="-1.9050315784479854E-2"/>
    <n v="13"/>
    <m/>
    <s v="Dumraon"/>
    <m/>
    <n v="0"/>
  </r>
  <r>
    <s v="Munger"/>
    <s v="24-30 Apr"/>
    <n v="1014"/>
    <s v="Dumraon"/>
    <x v="582"/>
    <s v="Ramopatti"/>
    <s v="MPG"/>
    <s v="Direct"/>
    <n v="5"/>
    <n v="192.05"/>
    <n v="0"/>
    <n v="0"/>
    <n v="0"/>
    <n v="0"/>
    <n v="0"/>
    <n v="0"/>
    <n v="0"/>
    <n v="0"/>
    <n v="0"/>
    <n v="0"/>
    <n v="0"/>
    <n v="0"/>
    <n v="0"/>
    <n v="0"/>
    <n v="0"/>
    <n v="0"/>
    <n v="192"/>
    <n v="0"/>
    <n v="533.89900000000011"/>
    <n v="0.7142857142857143"/>
    <n v="1"/>
    <n v="0"/>
    <m/>
    <s v="Dumraon"/>
    <m/>
    <n v="0"/>
  </r>
  <r>
    <s v="Munger"/>
    <s v="24-30 Apr"/>
    <n v="1014"/>
    <s v="Dumraon"/>
    <x v="583"/>
    <s v="Kaithi"/>
    <s v="MPG"/>
    <s v="Direct"/>
    <n v="168.9"/>
    <n v="5685.03"/>
    <n v="168"/>
    <n v="5674.8574080000008"/>
    <n v="0"/>
    <n v="0"/>
    <n v="168"/>
    <n v="5674.8574080000008"/>
    <n v="5674.8574080000008"/>
    <n v="0"/>
    <n v="0"/>
    <n v="0"/>
    <n v="0"/>
    <n v="0"/>
    <n v="0"/>
    <n v="5675"/>
    <n v="0"/>
    <n v="0"/>
    <n v="10"/>
    <n v="0"/>
    <n v="357.52746394316159"/>
    <n v="24.12857142857143"/>
    <n v="1.7893646999222494E-3"/>
    <n v="2"/>
    <m/>
    <s v="Dumraon"/>
    <m/>
    <n v="0"/>
  </r>
  <r>
    <s v="Munger"/>
    <s v="24-30 Apr"/>
    <n v="1014"/>
    <s v="Dumraon"/>
    <x v="584"/>
    <s v="Rangi Dera"/>
    <s v="MPG"/>
    <s v="Direct"/>
    <n v="185.60000000000002"/>
    <n v="6821.28"/>
    <n v="184.5"/>
    <n v="6819.314832"/>
    <n v="0"/>
    <n v="0"/>
    <n v="184.5"/>
    <n v="6819.314832"/>
    <n v="6819.314832"/>
    <n v="0"/>
    <n v="0"/>
    <n v="0"/>
    <n v="0"/>
    <n v="0"/>
    <n v="0"/>
    <n v="6819"/>
    <n v="0"/>
    <n v="0"/>
    <n v="2"/>
    <n v="0"/>
    <n v="378.11060689655164"/>
    <n v="26.514285714285716"/>
    <n v="2.8809373020895218E-4"/>
    <n v="1"/>
    <m/>
    <s v="Dumraon"/>
    <m/>
    <n v="0"/>
  </r>
  <r>
    <s v="Munger"/>
    <s v="24-30 Apr"/>
    <n v="1014"/>
    <s v="Dumraon"/>
    <x v="587"/>
    <s v="Soan"/>
    <s v="MPG"/>
    <s v="Direct"/>
    <n v="537.5"/>
    <n v="21434.68"/>
    <n v="535.94000000000005"/>
    <n v="21194.908680410081"/>
    <n v="5.83"/>
    <n v="236.92256080830904"/>
    <n v="541.7700000000001"/>
    <n v="21431.831241218391"/>
    <n v="21431.831241218391"/>
    <n v="0"/>
    <n v="236.92256080830904"/>
    <n v="0"/>
    <n v="6449"/>
    <n v="0"/>
    <n v="0"/>
    <n v="14746"/>
    <n v="0"/>
    <n v="0"/>
    <n v="3"/>
    <n v="0"/>
    <n v="129.60504186046509"/>
    <n v="76.785714285714292"/>
    <n v="1.3290418992067629E-4"/>
    <n v="8"/>
    <m/>
    <s v="Dumraon"/>
    <m/>
    <n v="0"/>
  </r>
  <r>
    <s v="Munger"/>
    <s v="24-30 Apr"/>
    <n v="1014"/>
    <s v="Dumraon"/>
    <x v="588"/>
    <s v="PURANA BHOJPUR                                                                                      "/>
    <s v="MPG"/>
    <s v="Direct"/>
    <n v="355.4"/>
    <n v="14066.25"/>
    <n v="355"/>
    <n v="14011.53831"/>
    <n v="0"/>
    <n v="0"/>
    <n v="355"/>
    <n v="14011.53831"/>
    <n v="14011.53831"/>
    <n v="0"/>
    <n v="0"/>
    <n v="0"/>
    <n v="10160"/>
    <n v="0"/>
    <n v="0"/>
    <n v="3852"/>
    <n v="0"/>
    <n v="0"/>
    <n v="54"/>
    <n v="0"/>
    <n v="272.7760129431627"/>
    <n v="50.771428571428565"/>
    <n v="3.8895718475073378E-3"/>
    <n v="1"/>
    <m/>
    <s v="Dumraon"/>
    <m/>
    <n v="0"/>
  </r>
  <r>
    <s v="Munger"/>
    <s v="24-30 Apr"/>
    <n v="1014"/>
    <s v="Dumraon"/>
    <x v="589"/>
    <s v="Gomukh Kant"/>
    <s v="MPG"/>
    <s v="Direct"/>
    <n v="142.5"/>
    <n v="6020.6799999999994"/>
    <n v="137"/>
    <n v="7369.1234043196609"/>
    <n v="0.6"/>
    <n v="28.497133224300008"/>
    <n v="137.6"/>
    <n v="7397.6205375439613"/>
    <n v="6020.6799999999994"/>
    <n v="0"/>
    <n v="28.497133224300008"/>
    <n v="1376.9405375439619"/>
    <n v="0"/>
    <n v="0"/>
    <n v="0"/>
    <n v="5992"/>
    <n v="0"/>
    <n v="0"/>
    <n v="0"/>
    <n v="0"/>
    <n v="471.09180350877187"/>
    <n v="20.357142857142858"/>
    <n v="-0.22870183061447577"/>
    <n v="4"/>
    <m/>
    <s v="Dumraon"/>
    <m/>
    <n v="0"/>
  </r>
  <r>
    <s v="Munger"/>
    <s v="24-30 Apr"/>
    <n v="1014"/>
    <s v="Dumraon"/>
    <x v="590"/>
    <s v="Gomukh Naat"/>
    <s v="MPG"/>
    <s v="Direct"/>
    <n v="212.6"/>
    <n v="8635.119999999999"/>
    <n v="224.12"/>
    <n v="9026.9948351880012"/>
    <n v="0"/>
    <n v="0"/>
    <n v="224.12"/>
    <n v="9026.9948351880012"/>
    <n v="8635.119999999999"/>
    <n v="0"/>
    <n v="0"/>
    <n v="391.87483518800218"/>
    <n v="0"/>
    <n v="0"/>
    <n v="0"/>
    <n v="8635"/>
    <n v="0"/>
    <n v="0"/>
    <n v="0"/>
    <n v="0"/>
    <n v="395.93203085606774"/>
    <n v="30.37142857142857"/>
    <n v="-4.5381515854788612E-2"/>
    <n v="3"/>
    <m/>
    <s v="Dumraon"/>
    <m/>
    <n v="0"/>
  </r>
  <r>
    <s v="Munger"/>
    <s v="24-30 Apr"/>
    <n v="1014"/>
    <s v="Dumraon"/>
    <x v="591"/>
    <s v="Gomukh Raghunathpur"/>
    <s v="MPG"/>
    <s v="Direct"/>
    <n v="434.1"/>
    <n v="16287.429999999998"/>
    <n v="437.40000000000003"/>
    <n v="15729.754114338"/>
    <n v="6"/>
    <n v="210.74438880000005"/>
    <n v="443.40000000000003"/>
    <n v="15940.498503138"/>
    <n v="15940.498503138"/>
    <n v="0"/>
    <n v="210.74438880000005"/>
    <n v="0"/>
    <n v="1300"/>
    <n v="0"/>
    <n v="0"/>
    <n v="14430"/>
    <n v="0"/>
    <n v="0"/>
    <n v="347"/>
    <n v="0"/>
    <n v="199.53133549873294"/>
    <n v="62.01428571428572"/>
    <n v="2.1300567177387614E-2"/>
    <n v="4"/>
    <m/>
    <s v="Dumraon"/>
    <m/>
    <n v="0"/>
  </r>
  <r>
    <s v="Munger"/>
    <s v="24-30 Apr"/>
    <n v="1014"/>
    <s v="Dumraon"/>
    <x v="592"/>
    <s v="Gomukh Tilakraika Hata 1 - Manoj"/>
    <s v="vlc"/>
    <s v="Indirect"/>
    <n v="576.59999999999991"/>
    <n v="19865.420000000002"/>
    <n v="0"/>
    <n v="0"/>
    <n v="0"/>
    <n v="0"/>
    <n v="0"/>
    <n v="0"/>
    <n v="19865.420000000002"/>
    <n v="0"/>
    <n v="0"/>
    <n v="0"/>
    <n v="0"/>
    <n v="0"/>
    <n v="0"/>
    <n v="0"/>
    <n v="0"/>
    <n v="19865.420000000002"/>
    <n v="0"/>
    <n v="0"/>
    <n v="85.029234408602264"/>
    <n v="82.371428571428552"/>
    <n v="0"/>
    <n v="0"/>
    <m/>
    <s v="Dumraon"/>
    <m/>
    <n v="0"/>
  </r>
  <r>
    <s v="Munger"/>
    <s v="24-30 Apr"/>
    <n v="1014"/>
    <s v="Dumraon"/>
    <x v="593"/>
    <s v="Gomukh Murar"/>
    <s v="MPG"/>
    <s v="Direct"/>
    <n v="122.5"/>
    <n v="5700.2"/>
    <n v="158.29999999999998"/>
    <n v="7674.1449041766009"/>
    <n v="17.899999999999999"/>
    <n v="867.57006839810003"/>
    <n v="176.2"/>
    <n v="8541.7149725747004"/>
    <n v="5700.2"/>
    <n v="0"/>
    <n v="87.533678470100014"/>
    <n v="2841.5149725747006"/>
    <n v="0"/>
    <n v="0"/>
    <n v="0"/>
    <n v="4832"/>
    <n v="780"/>
    <n v="0"/>
    <n v="1"/>
    <n v="0"/>
    <n v="537.44742857142853"/>
    <n v="17.5"/>
    <n v="-0.49849390768301122"/>
    <n v="5"/>
    <m/>
    <s v="Dumraon"/>
    <m/>
    <n v="0"/>
  </r>
  <r>
    <s v="Munger"/>
    <s v="24-30 Apr"/>
    <n v="1014"/>
    <s v="Dumraon"/>
    <x v="594"/>
    <s v="Gomukh Churamanpur                                                                                  "/>
    <s v="MPG"/>
    <s v="Direct"/>
    <n v="246.90000000000003"/>
    <n v="9440.0399999999991"/>
    <n v="242.73"/>
    <n v="9433.0864236856523"/>
    <n v="0"/>
    <n v="0"/>
    <n v="242.73"/>
    <n v="9433.0864236856523"/>
    <n v="9433.0864236856523"/>
    <n v="0"/>
    <n v="0"/>
    <n v="0"/>
    <n v="0"/>
    <n v="0"/>
    <n v="0"/>
    <n v="9433"/>
    <n v="0"/>
    <n v="0"/>
    <n v="7"/>
    <n v="0"/>
    <n v="346.47890838396108"/>
    <n v="35.271428571428579"/>
    <n v="7.3660453921241015E-4"/>
    <n v="7"/>
    <m/>
    <s v="Dumraon"/>
    <m/>
    <n v="0"/>
  </r>
  <r>
    <s v="Munger"/>
    <s v="24-30 Apr"/>
    <n v="1014"/>
    <s v="Dumraon"/>
    <x v="595"/>
    <s v="Gomukh Ekauni Karuwaj"/>
    <s v="MPG"/>
    <s v="Direct"/>
    <n v="26.700000000000003"/>
    <n v="962.20999999999992"/>
    <n v="14"/>
    <n v="462.01478400000008"/>
    <n v="12.5"/>
    <n v="479.76190924608005"/>
    <n v="26.5"/>
    <n v="941.77669324608019"/>
    <n v="941.77669324608019"/>
    <n v="0"/>
    <n v="0"/>
    <n v="0"/>
    <n v="0"/>
    <n v="0"/>
    <n v="0"/>
    <n v="462"/>
    <n v="480"/>
    <n v="0"/>
    <n v="20"/>
    <n v="0"/>
    <n v="485.28538801498115"/>
    <n v="3.8142857142857145"/>
    <n v="2.1235807935814154E-2"/>
    <n v="2"/>
    <m/>
    <s v="Dumraon"/>
    <m/>
    <n v="0"/>
  </r>
  <r>
    <s v="Munger"/>
    <s v="24-30 Apr"/>
    <n v="1014"/>
    <s v="Dumraon"/>
    <x v="596"/>
    <s v="Kulharia Agriculture Producer Company Limited"/>
    <s v="MPG"/>
    <s v="Direct"/>
    <n v="1140.3"/>
    <n v="45370.200000000004"/>
    <n v="1132.7199999999998"/>
    <n v="45032.033598620677"/>
    <n v="7.51"/>
    <n v="287.87362084800003"/>
    <n v="1140.2299999999998"/>
    <n v="45319.907219468674"/>
    <n v="45319.907219468674"/>
    <n v="0"/>
    <n v="287.87362084800003"/>
    <n v="0"/>
    <n v="22582"/>
    <n v="0"/>
    <n v="0"/>
    <n v="0"/>
    <n v="0"/>
    <n v="0"/>
    <n v="22500"/>
    <s v="Yes"/>
    <n v="0"/>
    <n v="0"/>
    <n v="1.1084981007650442E-3"/>
    <n v="6"/>
    <m/>
    <s v="Dumraon"/>
    <m/>
    <n v="0"/>
  </r>
  <r>
    <s v="Munger"/>
    <s v="24-30 Apr"/>
    <n v="1014"/>
    <s v="Dumraon"/>
    <x v="597"/>
    <s v="Gomukh Dhakaich"/>
    <s v="MPG"/>
    <s v="Direct"/>
    <n v="233.50000000000003"/>
    <n v="8210.2899999999991"/>
    <n v="360.76000000000005"/>
    <n v="12179.204745229503"/>
    <n v="0"/>
    <n v="0"/>
    <n v="360.76000000000005"/>
    <n v="12179.204745229503"/>
    <n v="8210.2899999999991"/>
    <n v="0"/>
    <n v="0"/>
    <n v="3968.9147452295038"/>
    <n v="0"/>
    <n v="0"/>
    <n v="0"/>
    <n v="8210"/>
    <n v="0"/>
    <n v="0"/>
    <n v="0"/>
    <s v="Release1"/>
    <n v="328.05998158458243"/>
    <n v="33.357142857142861"/>
    <n v="-0.48340737601589034"/>
    <n v="9"/>
    <m/>
    <s v="Dumraon"/>
    <m/>
    <n v="0"/>
  </r>
  <r>
    <s v="Munger"/>
    <s v="24-30 Apr"/>
    <n v="1014"/>
    <s v="Dumraon"/>
    <x v="599"/>
    <s v="Gomukh Kajipura Chandan"/>
    <s v="vlc"/>
    <s v="Indirect"/>
    <n v="33.799999999999997"/>
    <n v="1218.49"/>
    <n v="0"/>
    <n v="0"/>
    <n v="0"/>
    <n v="0"/>
    <n v="0"/>
    <n v="0"/>
    <n v="1218.49"/>
    <n v="0"/>
    <n v="0"/>
    <n v="0"/>
    <n v="0"/>
    <n v="0"/>
    <n v="0"/>
    <n v="0"/>
    <n v="0"/>
    <n v="1218.49"/>
    <n v="0"/>
    <n v="0"/>
    <n v="480.3302000000001"/>
    <n v="4.8285714285714283"/>
    <n v="0"/>
    <n v="0"/>
    <m/>
    <s v="Dumraon"/>
    <m/>
    <n v="0"/>
  </r>
  <r>
    <s v="Munger"/>
    <s v="24-30 Apr"/>
    <n v="1014"/>
    <s v="Dumraon"/>
    <x v="601"/>
    <s v="Gomukh Sikraul Lakh"/>
    <s v="MPG"/>
    <s v="Direct"/>
    <n v="402.70000000000005"/>
    <n v="15479.21"/>
    <n v="401.06"/>
    <n v="15800.066524836004"/>
    <n v="5.6399999999999988"/>
    <n v="212.66341636320004"/>
    <n v="406.7"/>
    <n v="16012.729941199204"/>
    <n v="15479.21"/>
    <n v="0"/>
    <n v="212.66341636320004"/>
    <n v="533.51994119920528"/>
    <n v="6400"/>
    <n v="0"/>
    <n v="0"/>
    <n v="8866"/>
    <n v="0"/>
    <n v="0"/>
    <n v="1"/>
    <n v="0"/>
    <n v="228.55570563695051"/>
    <n v="57.528571428571432"/>
    <n v="-3.4466871448814593E-2"/>
    <n v="3"/>
    <m/>
    <s v="Dumraon"/>
    <m/>
    <n v="0"/>
  </r>
  <r>
    <s v="Munger"/>
    <s v="24-30 Apr"/>
    <n v="1014"/>
    <s v="Dumraon"/>
    <x v="602"/>
    <s v="Gomukh Dafadihari"/>
    <s v="MPG"/>
    <s v="Direct"/>
    <n v="92.799999999999983"/>
    <n v="3419.85"/>
    <n v="129.72"/>
    <n v="4987.7570951557582"/>
    <n v="1.5"/>
    <n v="59.2036236"/>
    <n v="131.22"/>
    <n v="5046.9607187557585"/>
    <n v="3419.85"/>
    <n v="0"/>
    <n v="59.2036236"/>
    <n v="1627.1107187557586"/>
    <n v="1280"/>
    <n v="0"/>
    <n v="0"/>
    <n v="2081"/>
    <n v="0"/>
    <n v="0"/>
    <n v="0"/>
    <s v="Release1"/>
    <n v="447.52864655172425"/>
    <n v="13.257142857142854"/>
    <n v="-0.47578423578687917"/>
    <n v="9"/>
    <m/>
    <s v="Dumraon"/>
    <m/>
    <n v="0"/>
  </r>
  <r>
    <s v="Munger"/>
    <s v="24-30 Apr"/>
    <n v="1014"/>
    <s v="Dumraon"/>
    <x v="603"/>
    <s v="Gomukh Paharpur"/>
    <s v="MPG"/>
    <s v="Direct"/>
    <n v="125.49999999999997"/>
    <n v="4429.3400000000011"/>
    <n v="126"/>
    <n v="4407.6130560000001"/>
    <n v="0"/>
    <n v="0"/>
    <n v="126"/>
    <n v="4407.6130560000001"/>
    <n v="4407.6130560000001"/>
    <n v="0"/>
    <n v="0"/>
    <n v="0"/>
    <n v="0"/>
    <n v="0"/>
    <n v="0"/>
    <n v="4408"/>
    <n v="0"/>
    <n v="0"/>
    <n v="21"/>
    <n v="0"/>
    <n v="405.52284143426323"/>
    <n v="17.928571428571423"/>
    <n v="4.9052328337858249E-3"/>
    <n v="1"/>
    <m/>
    <s v="Dumraon"/>
    <m/>
    <n v="0"/>
  </r>
  <r>
    <s v="Munger"/>
    <s v="24-30 Apr"/>
    <n v="1014"/>
    <s v="Dumraon"/>
    <x v="604"/>
    <s v="Gomukh Basaon Kalan"/>
    <s v="MPG"/>
    <s v="Direct"/>
    <n v="123.90000000000002"/>
    <n v="4385.18"/>
    <n v="123.10000000000001"/>
    <n v="4337.2252162800005"/>
    <n v="0"/>
    <n v="0"/>
    <n v="123.10000000000001"/>
    <n v="4337.2252162800005"/>
    <n v="4337.2252162800005"/>
    <n v="0"/>
    <n v="0"/>
    <n v="0"/>
    <n v="1280"/>
    <n v="0"/>
    <n v="0"/>
    <n v="3057"/>
    <n v="0"/>
    <n v="0"/>
    <n v="48"/>
    <n v="0"/>
    <n v="407.79696497175138"/>
    <n v="17.700000000000003"/>
    <n v="1.0935647731678013E-2"/>
    <n v="1"/>
    <m/>
    <s v="Dumraon"/>
    <m/>
    <n v="0"/>
  </r>
  <r>
    <s v="Munger"/>
    <s v="24-30 Apr"/>
    <n v="1014"/>
    <s v="Dumraon"/>
    <x v="605"/>
    <s v="Gomukh Mangolpur"/>
    <s v="MPG"/>
    <s v="Direct"/>
    <n v="257"/>
    <n v="8960.23"/>
    <n v="254.79999999999995"/>
    <n v="8845.0397870508004"/>
    <n v="4.0999999999999996"/>
    <n v="139.79241936000003"/>
    <n v="258.89999999999998"/>
    <n v="8984.8322064107997"/>
    <n v="8960.23"/>
    <n v="0"/>
    <n v="139.79241936000003"/>
    <n v="24.602206410800136"/>
    <n v="0"/>
    <n v="0"/>
    <n v="0"/>
    <n v="8820"/>
    <n v="0"/>
    <n v="0"/>
    <n v="0"/>
    <n v="0"/>
    <n v="308.90131439688713"/>
    <n v="36.714285714285715"/>
    <n v="-2.7457114840579023E-3"/>
    <n v="10"/>
    <m/>
    <s v="Dumraon"/>
    <m/>
    <n v="0"/>
  </r>
  <r>
    <s v="Munger"/>
    <s v="24-30 Apr"/>
    <n v="1014"/>
    <s v="Dumraon"/>
    <x v="606"/>
    <s v="Gomukh Dhanipur"/>
    <s v="MPG"/>
    <s v="Direct"/>
    <n v="217.5"/>
    <n v="7920.7999999999993"/>
    <n v="232.67999999999998"/>
    <n v="8618.3778016154029"/>
    <n v="0"/>
    <n v="0"/>
    <n v="232.67999999999998"/>
    <n v="8618.3778016154029"/>
    <n v="7920.7999999999993"/>
    <n v="0"/>
    <n v="0"/>
    <n v="697.57780161540359"/>
    <n v="0"/>
    <n v="0"/>
    <n v="0"/>
    <n v="7921"/>
    <n v="0"/>
    <n v="0"/>
    <n v="0"/>
    <n v="0"/>
    <n v="351.42859770114944"/>
    <n v="31.071428571428573"/>
    <n v="-8.8069109384835323E-2"/>
    <n v="2"/>
    <m/>
    <s v="Dumraon"/>
    <m/>
    <n v="0"/>
  </r>
  <r>
    <s v="Munger"/>
    <s v="24-30 Apr"/>
    <n v="1014"/>
    <s v="Dumraon"/>
    <x v="607"/>
    <s v="Gomukh Rakshanagar_tola"/>
    <s v="MPG"/>
    <s v="Direct"/>
    <n v="363.6"/>
    <n v="16108.530000000002"/>
    <n v="379.4"/>
    <n v="17310.245326887838"/>
    <n v="0"/>
    <n v="0"/>
    <n v="379.4"/>
    <n v="17310.245326887838"/>
    <n v="16108.530000000002"/>
    <n v="0"/>
    <n v="0"/>
    <n v="1201.7153268878355"/>
    <n v="0"/>
    <n v="0"/>
    <n v="0"/>
    <n v="16109"/>
    <n v="0"/>
    <n v="0"/>
    <n v="0"/>
    <n v="0"/>
    <n v="298.0698290429043"/>
    <n v="51.942857142857143"/>
    <n v="-7.460117880947767E-2"/>
    <n v="3"/>
    <m/>
    <s v="Dumraon"/>
    <m/>
    <n v="0"/>
  </r>
  <r>
    <s v="Munger"/>
    <s v="24-30 Apr"/>
    <n v="1014"/>
    <s v="Dumraon"/>
    <x v="608"/>
    <s v="Gomukh Nadaon"/>
    <s v="MPG"/>
    <s v="Direct"/>
    <n v="10"/>
    <n v="305.04999999999995"/>
    <n v="80"/>
    <n v="3315.92976"/>
    <n v="1.6"/>
    <n v="66.318595200000004"/>
    <n v="81.599999999999994"/>
    <n v="3382.2483551999999"/>
    <n v="305.04999999999995"/>
    <n v="0"/>
    <n v="66.318595200000004"/>
    <n v="3077.1983552000002"/>
    <n v="0"/>
    <n v="0"/>
    <n v="0"/>
    <n v="239"/>
    <n v="0"/>
    <n v="0"/>
    <n v="0"/>
    <n v="0"/>
    <n v="420.96899999999994"/>
    <n v="1.4285714285714286"/>
    <n v="-10.087521243074908"/>
    <n v="2"/>
    <m/>
    <s v="Dumraon"/>
    <m/>
    <n v="0"/>
  </r>
  <r>
    <s v="Munger"/>
    <s v="24-30 Apr"/>
    <n v="1014"/>
    <s v="Dumraon"/>
    <x v="609"/>
    <s v="Gomukh Bimhnath Girdhar Baraw"/>
    <s v="vlc"/>
    <s v="Indirect"/>
    <n v="253.89999999999998"/>
    <n v="10158.030000000001"/>
    <n v="0"/>
    <n v="0"/>
    <n v="0"/>
    <n v="0"/>
    <n v="0"/>
    <n v="0"/>
    <n v="10158.030000000001"/>
    <n v="0"/>
    <n v="0"/>
    <n v="0"/>
    <n v="0"/>
    <n v="0"/>
    <n v="0"/>
    <n v="0"/>
    <n v="0"/>
    <n v="10158.030000000001"/>
    <n v="0"/>
    <n v="0"/>
    <n v="356.95133383221741"/>
    <n v="36.271428571428565"/>
    <n v="0"/>
    <n v="0"/>
    <m/>
    <s v="Dumraon"/>
    <m/>
    <n v="0"/>
  </r>
  <r>
    <s v="Munger"/>
    <s v="24-30 Apr"/>
    <n v="1014"/>
    <s v="Dumraon"/>
    <x v="610"/>
    <s v="Gomukh Mathuradera Upendra "/>
    <s v="vlc"/>
    <s v="Indirect"/>
    <n v="114"/>
    <n v="3834.5299999999997"/>
    <n v="0"/>
    <n v="0"/>
    <n v="0"/>
    <n v="0"/>
    <n v="0"/>
    <n v="0"/>
    <n v="3834.5299999999997"/>
    <n v="0"/>
    <n v="0"/>
    <n v="0"/>
    <n v="0"/>
    <n v="0"/>
    <n v="0"/>
    <n v="0"/>
    <n v="0"/>
    <n v="3834.5299999999997"/>
    <n v="0"/>
    <n v="0"/>
    <n v="394.21659298245606"/>
    <n v="16.285714285714285"/>
    <n v="0"/>
    <n v="0"/>
    <m/>
    <s v="Dumraon"/>
    <m/>
    <n v="0"/>
  </r>
  <r>
    <s v="Munger"/>
    <s v="24-30 Apr"/>
    <n v="1014"/>
    <s v="Dumraon"/>
    <x v="1059"/>
    <s v="Gomukh Dalsagar Pachhim"/>
    <s v="MPG"/>
    <s v="Direct"/>
    <n v="10"/>
    <n v="324.7"/>
    <n v="9"/>
    <n v="297.00950400000005"/>
    <n v="0"/>
    <n v="0"/>
    <n v="9"/>
    <n v="297.00950400000005"/>
    <n v="297.00950400000005"/>
    <n v="0"/>
    <n v="0"/>
    <n v="0"/>
    <n v="0"/>
    <n v="0"/>
    <n v="0"/>
    <n v="297"/>
    <n v="0"/>
    <n v="0"/>
    <n v="28"/>
    <n v="0"/>
    <n v="448.08600000000001"/>
    <n v="1.4285714285714286"/>
    <n v="8.5280246381274835E-2"/>
    <n v="1"/>
    <m/>
    <s v="Dumraon"/>
    <m/>
    <n v="0"/>
  </r>
  <r>
    <s v="Munger"/>
    <s v="24-30 Apr"/>
    <n v="1014"/>
    <s v="Dumraon"/>
    <x v="611"/>
    <s v="Gomukh Badkagaon Yamunatola"/>
    <s v="MPG"/>
    <s v="Direct"/>
    <n v="42.099999999999994"/>
    <n v="1651.1600000000003"/>
    <n v="86.100000000000009"/>
    <n v="3320.893943864"/>
    <n v="0.8"/>
    <n v="31.232080440000008"/>
    <n v="86.9"/>
    <n v="3352.1260243040001"/>
    <n v="1651.1600000000003"/>
    <n v="0"/>
    <n v="31.232080440000008"/>
    <n v="1700.9660243039998"/>
    <n v="0"/>
    <n v="0"/>
    <n v="0"/>
    <n v="1620"/>
    <n v="0"/>
    <n v="0"/>
    <n v="0"/>
    <n v="0"/>
    <n v="516.05613491686472"/>
    <n v="6.0142857142857133"/>
    <n v="-1.0301642628842751"/>
    <n v="2"/>
    <m/>
    <s v="Dumraon"/>
    <m/>
    <n v="0"/>
  </r>
  <r>
    <s v="Munger"/>
    <s v="24-30 Apr"/>
    <n v="1014"/>
    <s v="Dumraon"/>
    <x v="612"/>
    <s v="Gomukh Bramhpur"/>
    <s v="MPG"/>
    <s v="Direct"/>
    <n v="94.699999999999989"/>
    <n v="3275.86"/>
    <n v="206.66000000000003"/>
    <n v="8003.438483950802"/>
    <n v="0"/>
    <n v="0"/>
    <n v="206.66000000000003"/>
    <n v="8003.438483950802"/>
    <n v="3275.86"/>
    <n v="0"/>
    <n v="0"/>
    <n v="4727.5784839508015"/>
    <n v="0"/>
    <n v="0"/>
    <n v="0"/>
    <n v="3276"/>
    <n v="0"/>
    <n v="0"/>
    <n v="0"/>
    <n v="0"/>
    <n v="418.77044519535389"/>
    <n v="13.528571428571427"/>
    <n v="-1.4431564486732649"/>
    <n v="2"/>
    <m/>
    <s v="Dumraon"/>
    <m/>
    <n v="0"/>
  </r>
  <r>
    <s v="Munger"/>
    <s v="24-30 Apr"/>
    <n v="1014"/>
    <s v="Dumraon"/>
    <x v="613"/>
    <s v="Gomukh Mashariya"/>
    <s v="MPG"/>
    <s v="Direct"/>
    <n v="173.9"/>
    <n v="8733.1999999999989"/>
    <n v="299.33"/>
    <n v="14494.367097809587"/>
    <n v="19.72"/>
    <n v="816.32357747383594"/>
    <n v="319.04999999999995"/>
    <n v="15310.690675283422"/>
    <n v="8733.1999999999989"/>
    <n v="0"/>
    <n v="816.32357747383594"/>
    <n v="6577.4906752834231"/>
    <n v="0"/>
    <n v="0"/>
    <n v="0"/>
    <n v="7917"/>
    <n v="0"/>
    <n v="0"/>
    <n v="0"/>
    <n v="0"/>
    <n v="528.41133064979874"/>
    <n v="24.842857142857145"/>
    <n v="-0.75315928586124492"/>
    <n v="3"/>
    <m/>
    <s v="Dumraon"/>
    <m/>
    <n v="0"/>
  </r>
  <r>
    <s v="Munger"/>
    <s v="24-30 Apr"/>
    <n v="1014"/>
    <s v="Dumraon"/>
    <x v="615"/>
    <s v="Gomukh KritSagar"/>
    <s v="MPG"/>
    <s v="Direct"/>
    <n v="244.6"/>
    <n v="9701.51"/>
    <n v="276.52"/>
    <n v="12106.04125931112"/>
    <n v="0"/>
    <n v="0"/>
    <n v="276.52"/>
    <n v="12106.04125931112"/>
    <n v="9701.51"/>
    <n v="0"/>
    <n v="0"/>
    <n v="2404.5312593111194"/>
    <n v="0"/>
    <n v="0"/>
    <n v="0"/>
    <n v="9702"/>
    <n v="0"/>
    <n v="0"/>
    <n v="0"/>
    <n v="0"/>
    <n v="361.24837726901063"/>
    <n v="34.942857142857143"/>
    <n v="-0.24785123751984167"/>
    <n v="1"/>
    <m/>
    <s v="Dumraon"/>
    <m/>
    <n v="0"/>
  </r>
  <r>
    <s v="Munger"/>
    <s v="24-30 Apr"/>
    <n v="1014"/>
    <s v="Dumraon"/>
    <x v="616"/>
    <s v="Gomukh Navdera Jaipraksh"/>
    <s v="vlc"/>
    <s v="Indirect"/>
    <n v="226.60000000000002"/>
    <n v="9034.0499999999993"/>
    <n v="0"/>
    <n v="0"/>
    <n v="0"/>
    <n v="0"/>
    <n v="0"/>
    <n v="0"/>
    <n v="9034.0499999999993"/>
    <n v="0"/>
    <n v="0"/>
    <n v="0"/>
    <n v="0"/>
    <n v="0"/>
    <n v="0"/>
    <n v="0"/>
    <n v="0"/>
    <n v="9034.0499999999993"/>
    <n v="0"/>
    <n v="0"/>
    <n v="377.46860282436006"/>
    <n v="32.371428571428574"/>
    <n v="0"/>
    <n v="0"/>
    <m/>
    <s v="Dumraon"/>
    <m/>
    <n v="0"/>
  </r>
  <r>
    <s v="Munger"/>
    <s v="24-30 Apr"/>
    <n v="1014"/>
    <s v="Dumraon"/>
    <x v="617"/>
    <s v="Gomukh Ataon"/>
    <s v="MPG"/>
    <s v="Direct"/>
    <n v="433.7"/>
    <n v="17370.25"/>
    <n v="604.34000000000015"/>
    <n v="26971.472155681848"/>
    <n v="0"/>
    <n v="0"/>
    <n v="604.34000000000015"/>
    <n v="26971.472155681848"/>
    <n v="17370.25"/>
    <n v="0"/>
    <n v="0"/>
    <n v="9601.2221556818477"/>
    <n v="0"/>
    <n v="0"/>
    <n v="0"/>
    <n v="17370"/>
    <n v="0"/>
    <n v="0"/>
    <n v="0"/>
    <n v="0"/>
    <n v="213.31323841365003"/>
    <n v="61.957142857142856"/>
    <n v="-0.55273943412914883"/>
    <n v="2"/>
    <m/>
    <s v="Dumraon"/>
    <m/>
    <n v="0"/>
  </r>
  <r>
    <s v="Munger"/>
    <s v="24-30 Apr"/>
    <n v="1014"/>
    <s v="Dumraon"/>
    <x v="618"/>
    <s v="Gumukh Gayghat"/>
    <s v="MPG"/>
    <s v="Direct"/>
    <n v="665.40000000000009"/>
    <n v="25033.420000000002"/>
    <n v="675.29"/>
    <n v="26502.507933701374"/>
    <n v="65.430000000000007"/>
    <n v="2296.491898536"/>
    <n v="740.72"/>
    <n v="28798.999832237372"/>
    <n v="25033.420000000002"/>
    <n v="0"/>
    <n v="2296.491898536"/>
    <n v="3765.5798322373703"/>
    <n v="0"/>
    <n v="0"/>
    <n v="0"/>
    <n v="22737"/>
    <n v="0"/>
    <n v="0"/>
    <n v="0"/>
    <s v="Release1"/>
    <n v="26.034154854222983"/>
    <n v="95.057142857142864"/>
    <n v="-0.15042210901416467"/>
    <n v="3"/>
    <m/>
    <s v="Dumraon"/>
    <m/>
    <n v="0"/>
  </r>
  <r>
    <s v="Munger"/>
    <s v="24-30 Apr"/>
    <n v="1014"/>
    <s v="Dumraon"/>
    <x v="619"/>
    <s v="Gomukh Shivpur"/>
    <s v="MPG"/>
    <s v="Direct"/>
    <n v="38.6"/>
    <n v="1452.61"/>
    <n v="38"/>
    <n v="1404.5201279999999"/>
    <n v="0"/>
    <n v="0"/>
    <n v="38"/>
    <n v="1404.5201279999999"/>
    <n v="1404.5201279999999"/>
    <n v="0"/>
    <n v="0"/>
    <n v="0"/>
    <n v="0"/>
    <n v="0"/>
    <n v="0"/>
    <n v="1405"/>
    <n v="0"/>
    <n v="0"/>
    <n v="48"/>
    <n v="0"/>
    <n v="497.80116787564759"/>
    <n v="5.5142857142857142"/>
    <n v="3.3105838456295923E-2"/>
    <n v="1"/>
    <m/>
    <s v="Dumraon"/>
    <m/>
    <n v="0"/>
  </r>
  <r>
    <s v="Munger"/>
    <s v="24-30 Apr"/>
    <n v="1014"/>
    <s v="Dumraon"/>
    <x v="620"/>
    <s v="Gomukh Chakki Janardan Yadav"/>
    <s v="vlc"/>
    <s v="Indirect"/>
    <n v="70.7"/>
    <n v="2389.46"/>
    <n v="0"/>
    <n v="0"/>
    <n v="0"/>
    <n v="0"/>
    <n v="0"/>
    <n v="0"/>
    <n v="2389.46"/>
    <n v="0"/>
    <n v="0"/>
    <n v="0"/>
    <n v="0"/>
    <n v="0"/>
    <n v="0"/>
    <n v="0"/>
    <n v="0"/>
    <n v="2389.46"/>
    <n v="0"/>
    <n v="0"/>
    <n v="425.371196039604"/>
    <n v="10.1"/>
    <n v="0"/>
    <n v="0"/>
    <m/>
    <s v="Dumraon"/>
    <m/>
    <n v="0"/>
  </r>
  <r>
    <s v="Munger"/>
    <s v="24-30 Apr"/>
    <n v="1014"/>
    <s v="Dumraon"/>
    <x v="621"/>
    <s v="Gomukh Rajpur"/>
    <s v="MPG"/>
    <s v="Direct"/>
    <n v="983.50000000000011"/>
    <n v="37692.870000000003"/>
    <n v="972.29999999999973"/>
    <n v="37155.535013196219"/>
    <n v="11.37"/>
    <n v="442.54216947600003"/>
    <n v="983.66999999999973"/>
    <n v="37598.077182672219"/>
    <n v="37598.077182672219"/>
    <n v="0"/>
    <n v="442.54216947600003"/>
    <n v="0"/>
    <n v="0"/>
    <n v="0"/>
    <n v="0"/>
    <n v="0"/>
    <n v="0"/>
    <n v="0"/>
    <n v="37250"/>
    <s v="Yes"/>
    <n v="0"/>
    <n v="0"/>
    <n v="2.514873962311261E-3"/>
    <n v="33"/>
    <m/>
    <s v="Dumraon"/>
    <m/>
    <n v="0"/>
  </r>
  <r>
    <s v="Munger"/>
    <s v="24-30 Apr"/>
    <n v="1014"/>
    <s v="Dumraon"/>
    <x v="622"/>
    <s v="Gomukh Gangauli Dubha"/>
    <s v="MPG"/>
    <s v="Direct"/>
    <n v="172.1"/>
    <n v="6447.5100000000011"/>
    <n v="174.29999999999998"/>
    <n v="6432.9739610400002"/>
    <n v="2.4"/>
    <n v="89.327050560000004"/>
    <n v="176.7"/>
    <n v="6522.3010116000005"/>
    <n v="6447.5100000000011"/>
    <n v="0"/>
    <n v="89.327050560000004"/>
    <n v="74.791011599999365"/>
    <n v="2560"/>
    <n v="0"/>
    <n v="0"/>
    <n v="3798"/>
    <n v="0"/>
    <n v="0"/>
    <n v="0"/>
    <n v="0"/>
    <n v="395.54218814642655"/>
    <n v="24.585714285714285"/>
    <n v="-1.1599983807702408E-2"/>
    <n v="5"/>
    <m/>
    <s v="Dumraon"/>
    <m/>
    <n v="0"/>
  </r>
  <r>
    <s v="Munger"/>
    <s v="24-30 Apr"/>
    <n v="1014"/>
    <s v="Dumraon"/>
    <x v="623"/>
    <s v="Tiyar A2 Milk Producer Company Limited"/>
    <s v="vlc"/>
    <s v="Indirect"/>
    <n v="773.49999999999977"/>
    <n v="31161.03"/>
    <n v="0"/>
    <n v="0"/>
    <n v="0"/>
    <n v="0"/>
    <n v="0"/>
    <n v="0"/>
    <n v="31161.03"/>
    <n v="0"/>
    <n v="0"/>
    <n v="0"/>
    <n v="0"/>
    <n v="0"/>
    <n v="0"/>
    <n v="0"/>
    <n v="0"/>
    <n v="31161.03"/>
    <n v="0"/>
    <n v="0"/>
    <n v="0"/>
    <n v="0"/>
    <n v="0"/>
    <n v="0"/>
    <m/>
    <s v="Dumraon"/>
    <m/>
    <n v="0"/>
  </r>
  <r>
    <s v="Munger"/>
    <s v="24-30 Apr"/>
    <n v="1014"/>
    <s v="Dumraon"/>
    <x v="624"/>
    <s v="Gomukh Uttardahan"/>
    <s v="MPG"/>
    <s v="Direct"/>
    <n v="84.800000000000011"/>
    <n v="3367.4600000000005"/>
    <n v="99.27"/>
    <n v="4494.7071340791099"/>
    <n v="0"/>
    <n v="0"/>
    <n v="99.27"/>
    <n v="4494.7071340791099"/>
    <n v="3367.4600000000005"/>
    <n v="0"/>
    <n v="0"/>
    <n v="1127.2471340791094"/>
    <n v="0"/>
    <n v="0"/>
    <n v="0"/>
    <n v="3367"/>
    <n v="0"/>
    <n v="0"/>
    <n v="0"/>
    <s v="Release1"/>
    <n v="488.59938490566043"/>
    <n v="12.114285714285716"/>
    <n v="-0.33474700043329669"/>
    <n v="7"/>
    <m/>
    <s v="Dumraon"/>
    <m/>
    <n v="0"/>
  </r>
  <r>
    <s v="Munger"/>
    <s v="24-30 Apr"/>
    <n v="1014"/>
    <s v="Dumraon"/>
    <x v="625"/>
    <s v="Gomukh Jagdishpur"/>
    <s v="MPG"/>
    <s v="Direct"/>
    <n v="662.5"/>
    <n v="21832.649999999998"/>
    <n v="661.5"/>
    <n v="21830.198544000003"/>
    <n v="0"/>
    <n v="0"/>
    <n v="661.5"/>
    <n v="21830.198544000003"/>
    <n v="21830.198544000003"/>
    <n v="0"/>
    <n v="0"/>
    <n v="0"/>
    <n v="12800"/>
    <n v="0"/>
    <n v="0"/>
    <n v="9030"/>
    <n v="0"/>
    <n v="0"/>
    <n v="3"/>
    <n v="0"/>
    <n v="24.71620754716983"/>
    <n v="94.642857142857139"/>
    <n v="1.1228394171093443E-4"/>
    <n v="1"/>
    <m/>
    <s v="Dumraon"/>
    <m/>
    <n v="0"/>
  </r>
  <r>
    <s v="Munger"/>
    <s v="24-30 Apr"/>
    <n v="1014"/>
    <s v="Dumraon"/>
    <x v="627"/>
    <s v="Gumukh Orap Khurd"/>
    <s v="MPG"/>
    <s v="Direct"/>
    <n v="54.599999999999994"/>
    <n v="2018.8600000000001"/>
    <n v="54.8"/>
    <n v="2025.4658688"/>
    <n v="0"/>
    <n v="0"/>
    <n v="54.8"/>
    <n v="2025.4658688"/>
    <n v="2018.8600000000001"/>
    <n v="0"/>
    <n v="0"/>
    <n v="6.6058687999998256"/>
    <n v="2019"/>
    <n v="0"/>
    <n v="0"/>
    <n v="0"/>
    <n v="0"/>
    <n v="0"/>
    <n v="0"/>
    <s v="Yes"/>
    <n v="477.27921025641035"/>
    <n v="7.7999999999999989"/>
    <n v="-3.2720786978789143E-3"/>
    <n v="1"/>
    <m/>
    <s v="Dumraon"/>
    <m/>
    <n v="0"/>
  </r>
  <r>
    <s v="Munger"/>
    <s v="24-30 Apr"/>
    <n v="1014"/>
    <s v="Dumraon"/>
    <x v="628"/>
    <s v="Gomukh Daunpura Manendra"/>
    <s v="vlc"/>
    <s v="Indirect"/>
    <n v="290.59999999999997"/>
    <n v="10870.819999999998"/>
    <n v="0"/>
    <n v="0"/>
    <n v="0"/>
    <n v="0"/>
    <n v="0"/>
    <n v="0"/>
    <n v="10870.819999999998"/>
    <n v="0"/>
    <n v="0"/>
    <n v="0"/>
    <n v="0"/>
    <n v="0"/>
    <n v="0"/>
    <n v="0"/>
    <n v="0"/>
    <n v="10870.819999999998"/>
    <n v="0"/>
    <n v="0"/>
    <n v="306.29825932553337"/>
    <n v="41.514285714285712"/>
    <n v="0"/>
    <n v="0"/>
    <m/>
    <s v="Dumraon"/>
    <m/>
    <n v="0"/>
  </r>
  <r>
    <s v="Munger"/>
    <s v="24-30 Apr"/>
    <n v="1014"/>
    <s v="Dumraon"/>
    <x v="629"/>
    <s v="Gumukh Mathiyapur"/>
    <s v="MPG"/>
    <s v="Direct"/>
    <n v="241.8"/>
    <n v="9484.23"/>
    <n v="247.80999999999997"/>
    <n v="9938.5410227400007"/>
    <n v="0"/>
    <n v="0"/>
    <n v="247.80999999999997"/>
    <n v="9938.5410227400007"/>
    <n v="9484.23"/>
    <n v="0"/>
    <n v="0"/>
    <n v="454.31102274000114"/>
    <n v="0"/>
    <n v="0"/>
    <n v="0"/>
    <n v="9484"/>
    <n v="0"/>
    <n v="0"/>
    <n v="0"/>
    <n v="0"/>
    <n v="359.44368784119109"/>
    <n v="34.542857142857144"/>
    <n v="-4.7901729791453934E-2"/>
    <n v="1"/>
    <m/>
    <s v="Dumraon"/>
    <m/>
    <n v="0"/>
  </r>
  <r>
    <s v="Munger"/>
    <s v="24-30 Apr"/>
    <n v="1014"/>
    <s v="Dumraon"/>
    <x v="630"/>
    <s v="Gomukh Raghunathpur Dasrath"/>
    <s v="vlc"/>
    <s v="Indirect"/>
    <n v="286.3"/>
    <n v="11503.07"/>
    <n v="0"/>
    <n v="0"/>
    <n v="0"/>
    <n v="0"/>
    <n v="0"/>
    <n v="0"/>
    <n v="11503.07"/>
    <n v="0"/>
    <n v="0"/>
    <n v="0"/>
    <n v="3840"/>
    <n v="0"/>
    <n v="0"/>
    <n v="0"/>
    <n v="0"/>
    <n v="7663.07"/>
    <n v="0"/>
    <n v="0"/>
    <n v="332.43591051344737"/>
    <n v="40.9"/>
    <n v="0"/>
    <n v="0"/>
    <m/>
    <s v="Dumraon"/>
    <m/>
    <n v="0"/>
  </r>
  <r>
    <s v="Munger"/>
    <s v="24-30 Apr"/>
    <n v="1014"/>
    <s v="Dumraon"/>
    <x v="631"/>
    <s v="Gomukh Lakshman Dera Raja"/>
    <s v="vlc"/>
    <s v="Indirect"/>
    <n v="393.2"/>
    <n v="13179.820000000002"/>
    <n v="0"/>
    <n v="0"/>
    <n v="0"/>
    <n v="0"/>
    <n v="0"/>
    <n v="0"/>
    <n v="13179.820000000002"/>
    <n v="0"/>
    <n v="0"/>
    <n v="0"/>
    <n v="0"/>
    <n v="0"/>
    <n v="0"/>
    <n v="0"/>
    <n v="0"/>
    <n v="13179.820000000002"/>
    <n v="0"/>
    <n v="0"/>
    <n v="205.67491230925742"/>
    <n v="56.171428571428571"/>
    <n v="0"/>
    <n v="0"/>
    <m/>
    <s v="Dumraon"/>
    <m/>
    <n v="0"/>
  </r>
  <r>
    <s v="Munger"/>
    <s v="24-30 Apr"/>
    <n v="1014"/>
    <s v="Dumraon"/>
    <x v="1038"/>
    <s v="Gomukh Arion Govind "/>
    <s v="vlc"/>
    <s v="Indirect"/>
    <n v="108.9"/>
    <n v="4184.62"/>
    <n v="0"/>
    <n v="0"/>
    <n v="0"/>
    <n v="0"/>
    <n v="0"/>
    <n v="0"/>
    <n v="4184.62"/>
    <n v="0"/>
    <n v="0"/>
    <n v="0"/>
    <n v="0"/>
    <n v="0"/>
    <n v="0"/>
    <n v="0"/>
    <n v="0"/>
    <n v="4184.62"/>
    <n v="0"/>
    <n v="0"/>
    <n v="454.27527676767664"/>
    <n v="15.557142857142859"/>
    <n v="0"/>
    <n v="0"/>
    <m/>
    <s v="Dumraon"/>
    <m/>
    <n v="0"/>
  </r>
  <r>
    <s v="Munger"/>
    <s v="24-30 Apr"/>
    <n v="1014"/>
    <s v="Dumraon"/>
    <x v="633"/>
    <s v="Gumukh Niyajipur Nakchhedi Pathak Dera"/>
    <s v="MPG"/>
    <s v="Direct"/>
    <n v="284.29999999999995"/>
    <n v="13561.590000000002"/>
    <n v="292.39999999999998"/>
    <n v="15979.4949544759"/>
    <n v="0"/>
    <n v="0"/>
    <n v="292.39999999999998"/>
    <n v="15979.4949544759"/>
    <n v="13561.590000000002"/>
    <n v="0"/>
    <n v="0"/>
    <n v="2417.9049544758982"/>
    <n v="0"/>
    <n v="0"/>
    <n v="0"/>
    <n v="13562"/>
    <n v="0"/>
    <n v="0"/>
    <n v="0"/>
    <n v="0"/>
    <n v="396.59183700316589"/>
    <n v="40.614285714285707"/>
    <n v="-0.17829066904956556"/>
    <n v="1"/>
    <m/>
    <s v="Dumraon"/>
    <m/>
    <n v="0"/>
  </r>
  <r>
    <s v="Munger"/>
    <s v="24-30 Apr"/>
    <n v="1014"/>
    <s v="Dumraon"/>
    <x v="634"/>
    <s v="Gumukh Basawkala Dahpura Tola"/>
    <s v="MPG"/>
    <s v="Direct"/>
    <n v="378.59999999999997"/>
    <n v="17180.84"/>
    <n v="381.31"/>
    <n v="17088.802524177663"/>
    <n v="0"/>
    <n v="0"/>
    <n v="381.31"/>
    <n v="17088.802524177663"/>
    <n v="17088.802524177663"/>
    <n v="0"/>
    <n v="0"/>
    <n v="0"/>
    <n v="0"/>
    <n v="0"/>
    <n v="0"/>
    <n v="17089"/>
    <n v="0"/>
    <n v="0"/>
    <n v="92"/>
    <n v="0"/>
    <n v="291.70216460644485"/>
    <n v="54.085714285714282"/>
    <n v="5.3569834666021571E-3"/>
    <n v="1"/>
    <m/>
    <s v="Dumraon"/>
    <m/>
    <n v="0"/>
  </r>
  <r>
    <s v="Munger"/>
    <s v="24-30 Apr"/>
    <n v="1002"/>
    <s v="Laldiyara"/>
    <x v="635"/>
    <s v="Gaachhi Tola"/>
    <s v="vlc"/>
    <s v="Indirect"/>
    <n v="855.80000000000007"/>
    <n v="35793.490000000005"/>
    <n v="0"/>
    <n v="0"/>
    <n v="0"/>
    <n v="0"/>
    <n v="0"/>
    <n v="0"/>
    <n v="35793.490000000005"/>
    <n v="0"/>
    <n v="0"/>
    <n v="0"/>
    <n v="0"/>
    <n v="0"/>
    <n v="0"/>
    <n v="0"/>
    <n v="0"/>
    <n v="35793.490000000005"/>
    <n v="0"/>
    <n v="0"/>
    <n v="0"/>
    <n v="0"/>
    <n v="0"/>
    <n v="0"/>
    <m/>
    <s v="Laldiyara"/>
    <m/>
    <n v="0"/>
  </r>
  <r>
    <s v="Munger"/>
    <s v="24-30 Apr"/>
    <n v="1003"/>
    <s v="Asarganj"/>
    <x v="636"/>
    <s v="VISHWASHPUR"/>
    <s v="RMC"/>
    <s v="Direct"/>
    <n v="163"/>
    <n v="5379"/>
    <n v="167.80000000000004"/>
    <n v="5754.0962726280004"/>
    <n v="3.4"/>
    <n v="115.66202868000001"/>
    <n v="171.20000000000005"/>
    <n v="5869.7583013080002"/>
    <n v="5379"/>
    <n v="0"/>
    <n v="115.66202868000001"/>
    <n v="490.75830130800023"/>
    <n v="0"/>
    <n v="0"/>
    <n v="0"/>
    <n v="5263"/>
    <n v="0"/>
    <n v="0"/>
    <n v="0"/>
    <n v="0"/>
    <n v="354.42"/>
    <n v="23.285714285714285"/>
    <n v="-9.1235973472392679E-2"/>
    <n v="14"/>
    <m/>
    <s v="Asarganj"/>
    <m/>
    <n v="0"/>
  </r>
  <r>
    <s v="Munger"/>
    <s v="24-30 Apr"/>
    <n v="1003"/>
    <s v="Asarganj"/>
    <x v="638"/>
    <s v="KUMARPUIR KATHARA"/>
    <s v="RMC"/>
    <s v="Direct"/>
    <n v="943"/>
    <n v="33295.17"/>
    <n v="945.1"/>
    <n v="32981.457215526803"/>
    <n v="15.500000000000004"/>
    <n v="727.22297985072987"/>
    <n v="960.6"/>
    <n v="33708.680195377536"/>
    <n v="33295.17"/>
    <n v="0"/>
    <n v="727.22297985072987"/>
    <n v="413.51019537753746"/>
    <n v="0"/>
    <n v="0"/>
    <n v="0"/>
    <n v="32568"/>
    <n v="0"/>
    <n v="0"/>
    <n v="0"/>
    <s v="Release1"/>
    <n v="0"/>
    <n v="0"/>
    <n v="-1.2419524975470541E-2"/>
    <n v="48"/>
    <m/>
    <s v="Asarganj"/>
    <m/>
    <n v="0"/>
  </r>
  <r>
    <s v="Munger"/>
    <s v="24-30 Apr"/>
    <n v="1003"/>
    <s v="Asarganj"/>
    <x v="639"/>
    <s v="KUDHIYA MPG"/>
    <s v="RMC"/>
    <s v="Direct"/>
    <n v="378"/>
    <n v="13373.64"/>
    <n v="387"/>
    <n v="13459.213012340002"/>
    <n v="5"/>
    <n v="157.2168906"/>
    <n v="392"/>
    <n v="13616.429902940003"/>
    <n v="13373.64"/>
    <n v="0"/>
    <n v="157.2168906"/>
    <n v="242.78990294000323"/>
    <n v="0"/>
    <n v="0"/>
    <n v="0"/>
    <n v="13216"/>
    <n v="0"/>
    <n v="0"/>
    <n v="0"/>
    <n v="0"/>
    <n v="227.84719999999999"/>
    <n v="54"/>
    <n v="-1.8154362083920551E-2"/>
    <n v="11"/>
    <m/>
    <s v="Asarganj"/>
    <m/>
    <n v="0"/>
  </r>
  <r>
    <s v="Munger"/>
    <s v="24-30 Apr"/>
    <n v="1003"/>
    <s v="Asarganj"/>
    <x v="640"/>
    <s v="SHAHJADPUR MPG"/>
    <s v="RMC"/>
    <s v="Direct"/>
    <n v="720.65"/>
    <n v="24962.94"/>
    <n v="755.79999999999984"/>
    <n v="32383.40625082202"/>
    <n v="5.7999999999999989"/>
    <n v="258.93360102060001"/>
    <n v="761.5999999999998"/>
    <n v="32642.339851842618"/>
    <n v="24962.94"/>
    <n v="0"/>
    <n v="258.93360102060001"/>
    <n v="7679.3998518426197"/>
    <n v="0"/>
    <n v="0"/>
    <n v="0"/>
    <n v="24704"/>
    <n v="0"/>
    <n v="0"/>
    <n v="0"/>
    <s v="Release1"/>
    <n v="0"/>
    <n v="0"/>
    <n v="-0.30763202779170323"/>
    <n v="14"/>
    <m/>
    <s v="Asarganj"/>
    <m/>
    <n v="0"/>
  </r>
  <r>
    <s v="Munger"/>
    <s v="24-30 Apr"/>
    <n v="1006"/>
    <s v="Sonvarsha"/>
    <x v="641"/>
    <s v="FARDA - 3"/>
    <s v="RMC"/>
    <s v="Direct"/>
    <n v="605.20000000000005"/>
    <n v="21121.56"/>
    <n v="445"/>
    <n v="15626.159911890003"/>
    <n v="157.70000000000002"/>
    <n v="5493.3956870760003"/>
    <n v="602.70000000000005"/>
    <n v="21119.555598966002"/>
    <n v="21119.555598966002"/>
    <n v="0"/>
    <n v="316.59297753599998"/>
    <n v="0"/>
    <n v="0"/>
    <n v="3516.4076400000008"/>
    <n v="0"/>
    <n v="12109"/>
    <n v="5177"/>
    <n v="0"/>
    <n v="3"/>
    <n v="0"/>
    <n v="66.170650627891533"/>
    <n v="86.45714285714287"/>
    <n v="9.4898342451924685E-5"/>
    <n v="6"/>
    <m/>
    <s v="Sonvarsha"/>
    <m/>
    <n v="0"/>
  </r>
  <r>
    <s v="Munger"/>
    <s v="24-30 Apr"/>
    <n v="1006"/>
    <s v="Sonvarsha"/>
    <x v="642"/>
    <s v="CHANDANPURA"/>
    <s v="vlc"/>
    <s v="Indirect"/>
    <n v="90.1"/>
    <n v="3825.96"/>
    <n v="0"/>
    <n v="0"/>
    <n v="0"/>
    <n v="0"/>
    <n v="0"/>
    <n v="0"/>
    <n v="3825.96"/>
    <n v="0"/>
    <n v="0"/>
    <n v="0"/>
    <n v="0"/>
    <n v="727.05108387096789"/>
    <n v="0"/>
    <n v="0"/>
    <n v="0"/>
    <n v="3098.9089161290321"/>
    <n v="0"/>
    <n v="0"/>
    <n v="517.96959023307454"/>
    <n v="12.87142857142857"/>
    <n v="0"/>
    <n v="0"/>
    <m/>
    <s v="Sonvarsha"/>
    <m/>
    <n v="0"/>
  </r>
  <r>
    <s v="Munger"/>
    <s v="24-30 Apr"/>
    <n v="1006"/>
    <s v="Sonvarsha"/>
    <x v="643"/>
    <s v="MANIKPUR"/>
    <s v="RMC"/>
    <s v="Direct"/>
    <n v="450.2"/>
    <n v="16567.34"/>
    <n v="0"/>
    <n v="0"/>
    <n v="461.3"/>
    <n v="16992.382235400004"/>
    <n v="461.3"/>
    <n v="16992.382235400004"/>
    <n v="16567.34"/>
    <n v="0"/>
    <n v="267.36068700000004"/>
    <n v="425.04223540000385"/>
    <n v="0"/>
    <n v="1295.48"/>
    <n v="0"/>
    <n v="0"/>
    <n v="0"/>
    <n v="0"/>
    <n v="15004"/>
    <s v="Yes"/>
    <n v="183.85257805419812"/>
    <n v="64.314285714285717"/>
    <n v="-2.565543022597495E-2"/>
    <n v="6"/>
    <m/>
    <s v="Sonvarsha"/>
    <m/>
    <n v="0"/>
  </r>
  <r>
    <s v="Munger"/>
    <s v="24-30 Apr"/>
    <n v="1006"/>
    <s v="Sonvarsha"/>
    <x v="644"/>
    <s v="JAKARPURA"/>
    <s v="vlc"/>
    <s v="Indirect"/>
    <n v="2182"/>
    <n v="80502.989999999991"/>
    <n v="0"/>
    <n v="0"/>
    <n v="0"/>
    <n v="0"/>
    <n v="0"/>
    <n v="0"/>
    <n v="80502.989999999991"/>
    <n v="0"/>
    <n v="0"/>
    <n v="0"/>
    <n v="0"/>
    <n v="0"/>
    <n v="0"/>
    <n v="0"/>
    <n v="0"/>
    <n v="80502.989999999991"/>
    <n v="0"/>
    <n v="0"/>
    <n v="0"/>
    <n v="0"/>
    <n v="0"/>
    <n v="0"/>
    <m/>
    <s v="Sonvarsha"/>
    <m/>
    <n v="0"/>
  </r>
  <r>
    <s v="Munger"/>
    <s v="24-30 Apr"/>
    <n v="1006"/>
    <s v="Sonvarsha"/>
    <x v="646"/>
    <s v="NANDPUR"/>
    <s v="vlc"/>
    <s v="Indirect"/>
    <n v="1651.6000000000001"/>
    <n v="60599.88"/>
    <n v="0"/>
    <n v="0"/>
    <n v="0"/>
    <n v="0"/>
    <n v="0"/>
    <n v="0"/>
    <n v="60599.88"/>
    <n v="0"/>
    <n v="0"/>
    <n v="0"/>
    <n v="0"/>
    <n v="0"/>
    <n v="0"/>
    <n v="0"/>
    <n v="0"/>
    <n v="60599.88"/>
    <n v="0"/>
    <n v="0"/>
    <n v="0"/>
    <n v="0"/>
    <n v="0"/>
    <n v="0"/>
    <m/>
    <s v="Sonvarsha"/>
    <m/>
    <n v="0"/>
  </r>
  <r>
    <s v="Munger"/>
    <s v="24-30 Apr"/>
    <n v="1006"/>
    <s v="Sonvarsha"/>
    <x v="647"/>
    <s v="NOWAGADHI"/>
    <s v="RMC"/>
    <s v="Direct"/>
    <n v="1480"/>
    <n v="55677.599999999999"/>
    <n v="1481.5"/>
    <n v="55028.004898928993"/>
    <n v="18.100000000000001"/>
    <n v="614.04399144000001"/>
    <n v="1499.6"/>
    <n v="55642.048890368991"/>
    <n v="55642.048890368991"/>
    <n v="0"/>
    <n v="614.04399144000001"/>
    <n v="0"/>
    <n v="0"/>
    <n v="0"/>
    <n v="0"/>
    <n v="55029"/>
    <n v="0"/>
    <n v="0"/>
    <n v="35"/>
    <n v="0"/>
    <n v="0"/>
    <n v="0"/>
    <n v="6.3851727860050401E-4"/>
    <n v="21"/>
    <m/>
    <s v="Sonvarsha"/>
    <m/>
    <n v="0"/>
  </r>
  <r>
    <s v="Munger"/>
    <s v="24-30 Apr"/>
    <n v="1036"/>
    <s v="MAHADAT PUR 2"/>
    <x v="648"/>
    <s v="MAHADAT PUR 2"/>
    <s v="RMC"/>
    <s v="Direct"/>
    <n v="2081.1999999999998"/>
    <n v="77998.140000000014"/>
    <n v="2042.6999999999998"/>
    <n v="76584.044960676008"/>
    <n v="38.5"/>
    <n v="1412.1643298400002"/>
    <n v="2081.1999999999998"/>
    <n v="77996.20929051601"/>
    <n v="77996.20929051601"/>
    <n v="0"/>
    <n v="1412.1643298400002"/>
    <n v="0"/>
    <n v="0"/>
    <n v="0"/>
    <n v="0"/>
    <n v="76584"/>
    <n v="0"/>
    <n v="0"/>
    <n v="2"/>
    <n v="0"/>
    <n v="0"/>
    <n v="0"/>
    <n v="2.4753275962788118E-5"/>
    <n v="10"/>
    <m/>
    <s v="MAHADAT PUR 2"/>
    <m/>
    <n v="0"/>
  </r>
  <r>
    <s v="Munger"/>
    <s v="24-30 Apr"/>
    <n v="1007"/>
    <s v="Araria"/>
    <x v="994"/>
    <s v="SONBARSHA 1"/>
    <s v="RMC"/>
    <s v="Direct"/>
    <n v="233"/>
    <n v="8150.34"/>
    <n v="231"/>
    <n v="8080.623936"/>
    <n v="2"/>
    <n v="69.962112000000005"/>
    <n v="233"/>
    <n v="8150.5860480000001"/>
    <n v="8150.34"/>
    <n v="0"/>
    <n v="69.962112000000005"/>
    <n v="0.2460479999999734"/>
    <n v="0"/>
    <n v="0"/>
    <n v="0"/>
    <n v="8078"/>
    <n v="0"/>
    <n v="0"/>
    <n v="2"/>
    <n v="0"/>
    <n v="326.71320000000009"/>
    <n v="33.285714285714285"/>
    <n v="-3.0188679245279756E-5"/>
    <n v="8"/>
    <m/>
    <s v="Araria"/>
    <m/>
    <n v="0"/>
  </r>
  <r>
    <s v="Munger"/>
    <s v="24-30 Apr"/>
    <n v="1007"/>
    <s v="Araria"/>
    <x v="995"/>
    <s v="GANOUL"/>
    <s v="RMC"/>
    <s v="Indirect"/>
    <n v="103"/>
    <n v="3562.77"/>
    <n v="90"/>
    <n v="3112.6550400000001"/>
    <n v="0"/>
    <n v="0"/>
    <n v="90"/>
    <n v="3112.6550400000001"/>
    <n v="3562.77"/>
    <n v="0"/>
    <n v="13.834022400000002"/>
    <n v="0"/>
    <n v="0"/>
    <n v="0"/>
    <n v="0"/>
    <n v="0"/>
    <n v="0"/>
    <n v="3548.9359776000001"/>
    <n v="0"/>
    <n v="0"/>
    <n v="413.00459999999998"/>
    <n v="14.714285714285714"/>
    <n v="0"/>
    <n v="5"/>
    <m/>
    <s v="Araria"/>
    <m/>
    <n v="0"/>
  </r>
  <r>
    <s v="Munger"/>
    <s v="24-30 Apr"/>
    <n v="1007"/>
    <s v="Araria"/>
    <x v="996"/>
    <s v="Gauripur"/>
    <s v="RMC"/>
    <s v="Direct"/>
    <n v="711"/>
    <n v="24550.29"/>
    <n v="707"/>
    <n v="24409.262592000003"/>
    <n v="4"/>
    <n v="137.94422400000002"/>
    <n v="711"/>
    <n v="24547.206816000002"/>
    <n v="24547.206816000002"/>
    <n v="0"/>
    <n v="137.94422400000002"/>
    <n v="0"/>
    <n v="0"/>
    <n v="0"/>
    <n v="0"/>
    <n v="24409"/>
    <n v="0"/>
    <n v="0"/>
    <n v="3"/>
    <n v="0"/>
    <n v="0"/>
    <n v="0"/>
    <n v="1.2558645946745086E-4"/>
    <n v="8"/>
    <m/>
    <s v="Araria"/>
    <m/>
    <n v="0"/>
  </r>
  <r>
    <s v="Munger"/>
    <s v="24-30 Apr"/>
    <n v="1007"/>
    <s v="Araria"/>
    <x v="997"/>
    <s v="Bhramarpur"/>
    <s v="RMC"/>
    <s v="Direct"/>
    <n v="777"/>
    <n v="26565.63"/>
    <n v="777"/>
    <n v="26564.896512000007"/>
    <n v="2"/>
    <n v="68.378112000000016"/>
    <n v="779"/>
    <n v="26633.274624000005"/>
    <n v="26565.63"/>
    <n v="0"/>
    <n v="68.378112000000016"/>
    <n v="67.644624000004114"/>
    <n v="0"/>
    <n v="0"/>
    <n v="0"/>
    <n v="26497"/>
    <n v="0"/>
    <n v="0"/>
    <n v="0"/>
    <s v="Release1"/>
    <n v="0"/>
    <n v="0"/>
    <n v="-2.5463210923288519E-3"/>
    <n v="5"/>
    <m/>
    <s v="Araria"/>
    <m/>
    <n v="0"/>
  </r>
  <r>
    <s v="Munger"/>
    <s v="24-30 Apr"/>
    <n v="1003"/>
    <s v="Asarganj"/>
    <x v="651"/>
    <s v="TILAKPUR  2"/>
    <s v="RMC"/>
    <s v="Direct"/>
    <n v="164.04999999999998"/>
    <n v="5844.75"/>
    <n v="172.29999999999998"/>
    <n v="6197.8049620740003"/>
    <n v="0.7"/>
    <n v="24.114393468000003"/>
    <n v="172.99999999999997"/>
    <n v="6221.9193555420006"/>
    <n v="5844.75"/>
    <n v="0"/>
    <n v="24.114393468000003"/>
    <n v="377.16935554200063"/>
    <n v="0"/>
    <n v="0"/>
    <n v="0"/>
    <n v="5821"/>
    <n v="0"/>
    <n v="0"/>
    <n v="0"/>
    <n v="0"/>
    <n v="381.89500304785133"/>
    <n v="23.435714285714283"/>
    <n v="-6.4531306820993312E-2"/>
    <n v="6"/>
    <m/>
    <s v="Asarganj"/>
    <m/>
    <n v="0"/>
  </r>
  <r>
    <s v="Munger"/>
    <s v="24-30 Apr"/>
    <n v="1003"/>
    <s v="Asarganj"/>
    <x v="652"/>
    <s v="TILAKPUR"/>
    <s v="MPG"/>
    <s v="Direct"/>
    <n v="320.14999999999998"/>
    <n v="9655.5800000000017"/>
    <n v="318.5"/>
    <n v="10319.178704076001"/>
    <n v="1.3"/>
    <n v="42.798366072000015"/>
    <n v="319.8"/>
    <n v="10361.977070148001"/>
    <n v="9655.5800000000017"/>
    <n v="0"/>
    <n v="42.798366072000015"/>
    <n v="706.39707014799933"/>
    <n v="0"/>
    <n v="0"/>
    <n v="0"/>
    <n v="9613"/>
    <n v="0"/>
    <n v="0"/>
    <n v="0"/>
    <n v="0"/>
    <n v="229.12210295174145"/>
    <n v="45.73571428571428"/>
    <n v="-7.3159465319328223E-2"/>
    <n v="4"/>
    <m/>
    <s v="Asarganj"/>
    <m/>
    <n v="0"/>
  </r>
  <r>
    <s v="Munger"/>
    <s v="24-30 Apr"/>
    <n v="1036"/>
    <s v="MAHADAT PUR 2"/>
    <x v="653"/>
    <s v="Prasharpur Kadwa Gomukh"/>
    <s v="MPG"/>
    <s v="Direct"/>
    <n v="400.8"/>
    <n v="14061.490000000002"/>
    <n v="395.95000000000005"/>
    <n v="14211.220101804001"/>
    <n v="3.6000000000000005"/>
    <n v="130.16637532800004"/>
    <n v="399.55000000000007"/>
    <n v="14341.386477132002"/>
    <n v="14061.490000000002"/>
    <n v="0"/>
    <n v="130.16637532800004"/>
    <n v="279.89647713200065"/>
    <n v="0"/>
    <n v="0"/>
    <n v="0"/>
    <n v="13931"/>
    <n v="0"/>
    <n v="0"/>
    <n v="0"/>
    <n v="0"/>
    <n v="209.9400103792415"/>
    <n v="57.25714285714286"/>
    <n v="-1.9905179119140335E-2"/>
    <n v="3"/>
    <m/>
    <s v="MAHADAT PUR 2"/>
    <m/>
    <n v="0"/>
  </r>
  <r>
    <s v="Munger"/>
    <s v="24-30 Apr"/>
    <n v="1036"/>
    <s v="MAHADAT PUR 2"/>
    <x v="654"/>
    <s v="Borwa Tola Gomukh"/>
    <s v="vlc"/>
    <s v="Indirect"/>
    <n v="328.29999999999995"/>
    <n v="11554.55"/>
    <n v="328.20000000000005"/>
    <n v="11576.9995506"/>
    <n v="0"/>
    <n v="0"/>
    <n v="328.20000000000005"/>
    <n v="11576.9995506"/>
    <n v="11554.55"/>
    <n v="0"/>
    <n v="0"/>
    <n v="22.449550600000293"/>
    <n v="0"/>
    <n v="0"/>
    <n v="0"/>
    <n v="0"/>
    <n v="0"/>
    <n v="11554.55"/>
    <n v="0"/>
    <n v="0"/>
    <n v="261.64034328358218"/>
    <n v="46.899999999999991"/>
    <n v="0"/>
    <n v="1"/>
    <m/>
    <s v="MAHADAT PUR 2"/>
    <m/>
    <n v="0"/>
  </r>
  <r>
    <s v="Munger"/>
    <s v="24-30 Apr"/>
    <n v="1007"/>
    <s v="Araria"/>
    <x v="998"/>
    <s v="Sheela Devi"/>
    <s v="vlc"/>
    <s v="Indirect"/>
    <n v="102"/>
    <n v="3302.76"/>
    <n v="0"/>
    <n v="0"/>
    <n v="0"/>
    <n v="0"/>
    <n v="0"/>
    <n v="0"/>
    <n v="3302.76"/>
    <n v="0"/>
    <n v="0"/>
    <n v="0"/>
    <n v="0"/>
    <n v="602.4901935483872"/>
    <n v="0"/>
    <n v="0"/>
    <n v="0"/>
    <n v="2700.269806451613"/>
    <n v="0"/>
    <n v="0"/>
    <n v="387.26480000000004"/>
    <n v="14.571428571428571"/>
    <n v="0"/>
    <n v="0"/>
    <m/>
    <s v="Araria"/>
    <m/>
    <n v="0"/>
  </r>
  <r>
    <s v="Munger"/>
    <s v="24-30 Apr"/>
    <n v="1036"/>
    <s v="MAHADAT PUR 2"/>
    <x v="655"/>
    <s v="Gomukh Vijay Lalganj"/>
    <s v="MPG"/>
    <s v="Direct"/>
    <n v="316"/>
    <n v="12106.850000000002"/>
    <n v="318"/>
    <n v="12256.770509280001"/>
    <n v="1.4000000000000001"/>
    <n v="54.662727240000002"/>
    <n v="319.39999999999998"/>
    <n v="12311.433236520001"/>
    <n v="12106.850000000002"/>
    <n v="0"/>
    <n v="54.662727240000002"/>
    <n v="204.58323651999854"/>
    <n v="0"/>
    <n v="0"/>
    <n v="0"/>
    <n v="12052"/>
    <n v="0"/>
    <n v="0"/>
    <n v="0"/>
    <n v="0"/>
    <n v="294.24243037974691"/>
    <n v="45.142857142857146"/>
    <n v="-1.689813919557924E-2"/>
    <n v="5"/>
    <m/>
    <s v="MAHADAT PUR 2"/>
    <m/>
    <n v="0"/>
  </r>
  <r>
    <s v="Munger"/>
    <s v="24-30 Apr"/>
    <n v="1036"/>
    <s v="MAHADAT PUR 2"/>
    <x v="656"/>
    <s v="Gomukh Sarswati Nagar Nakdahri"/>
    <s v="MPG"/>
    <s v="Direct"/>
    <n v="369.9"/>
    <n v="14101.970000000001"/>
    <n v="260.85000000000002"/>
    <n v="10179.601149564001"/>
    <n v="113.47999999999999"/>
    <n v="4463.8986395630409"/>
    <n v="374.33000000000004"/>
    <n v="14643.499789127043"/>
    <n v="14101.970000000001"/>
    <n v="0"/>
    <n v="130.53580650000001"/>
    <n v="541.52978912704202"/>
    <n v="0"/>
    <n v="0"/>
    <n v="0"/>
    <n v="9638"/>
    <n v="4333"/>
    <n v="0"/>
    <n v="0"/>
    <n v="0"/>
    <n v="251.69290602865647"/>
    <n v="52.842857142857142"/>
    <n v="-3.8401002776707223E-2"/>
    <n v="9"/>
    <m/>
    <s v="MAHADAT PUR 2"/>
    <m/>
    <n v="0"/>
  </r>
  <r>
    <s v="Munger"/>
    <s v="24-30 Apr"/>
    <n v="1036"/>
    <s v="MAHADAT PUR 2"/>
    <x v="657"/>
    <s v="Gomukh Krishna Dairy Tulsipur"/>
    <s v="MPG"/>
    <s v="Direct"/>
    <n v="246.70000000000002"/>
    <n v="8443.74"/>
    <n v="319.88"/>
    <n v="12250.111066822399"/>
    <n v="0"/>
    <n v="0"/>
    <n v="319.88"/>
    <n v="12250.111066822399"/>
    <n v="8443.74"/>
    <n v="0"/>
    <n v="0"/>
    <n v="3806.3710668223994"/>
    <n v="0"/>
    <n v="0"/>
    <n v="0"/>
    <n v="8444"/>
    <n v="0"/>
    <n v="0"/>
    <n v="0"/>
    <s v="Release1"/>
    <n v="310.29974398054304"/>
    <n v="35.242857142857147"/>
    <n v="-0.45079207398882482"/>
    <n v="10"/>
    <m/>
    <s v="MAHADAT PUR 2"/>
    <m/>
    <n v="0"/>
  </r>
  <r>
    <s v="Munger"/>
    <s v="24-30 Apr"/>
    <n v="1036"/>
    <s v="MAHADAT PUR 2"/>
    <x v="658"/>
    <s v="Gomukh Lauwalagam"/>
    <s v="MPG"/>
    <s v="Direct"/>
    <n v="107.1"/>
    <n v="3681.7599999999989"/>
    <n v="107.10000000000001"/>
    <n v="3719.7446075460007"/>
    <n v="0"/>
    <n v="0"/>
    <n v="107.10000000000001"/>
    <n v="3719.7446075460007"/>
    <n v="3681.7599999999989"/>
    <n v="0"/>
    <n v="0"/>
    <n v="37.984607546001826"/>
    <n v="0"/>
    <n v="0"/>
    <n v="0"/>
    <n v="3682"/>
    <n v="0"/>
    <n v="0"/>
    <n v="0"/>
    <n v="0"/>
    <n v="407.64061699346394"/>
    <n v="15.299999999999999"/>
    <n v="-1.0316970021403306E-2"/>
    <n v="1"/>
    <m/>
    <s v="MAHADAT PUR 2"/>
    <m/>
    <n v="0"/>
  </r>
  <r>
    <s v="Munger"/>
    <s v="24-30 Apr"/>
    <n v="1036"/>
    <s v="MAHADAT PUR 2"/>
    <x v="659"/>
    <s v="Dhobina Basa"/>
    <s v="MPG"/>
    <s v="Direct"/>
    <n v="550.29999999999995"/>
    <n v="20535.88"/>
    <n v="547.6"/>
    <n v="24993.307328939994"/>
    <n v="539.69999999999993"/>
    <n v="25716.469663302003"/>
    <n v="1087.3"/>
    <n v="50709.776992241998"/>
    <n v="20535.88"/>
    <n v="0"/>
    <n v="53.817900839999993"/>
    <n v="30173.896992241996"/>
    <n v="0"/>
    <n v="0"/>
    <n v="0"/>
    <n v="0"/>
    <n v="20482"/>
    <n v="0"/>
    <n v="0"/>
    <s v="Release1"/>
    <n v="111.7289200799564"/>
    <n v="78.614285714285714"/>
    <n v="-1.4693257358458462"/>
    <n v="3"/>
    <m/>
    <s v="MAHADAT PUR 2"/>
    <m/>
    <n v="0"/>
  </r>
  <r>
    <s v="Munger"/>
    <s v="24-30 Apr"/>
    <n v="1036"/>
    <s v="MAHADAT PUR 2"/>
    <x v="660"/>
    <s v="Gomukh Shreepur Madhay"/>
    <s v="MPG"/>
    <s v="Direct"/>
    <n v="1169.1000000000001"/>
    <n v="44511.830000000009"/>
    <n v="1137"/>
    <n v="43721.872834860013"/>
    <n v="34.099999999999994"/>
    <n v="1309.9053993299999"/>
    <n v="1171.0999999999999"/>
    <n v="45031.778234190009"/>
    <n v="44511.830000000009"/>
    <n v="0"/>
    <n v="1309.9053993299999"/>
    <n v="519.94823419000022"/>
    <n v="0"/>
    <n v="0"/>
    <n v="0"/>
    <n v="43202"/>
    <n v="0"/>
    <n v="0"/>
    <n v="0"/>
    <n v="0"/>
    <n v="0"/>
    <n v="0"/>
    <n v="-1.1681124640123762E-2"/>
    <n v="5"/>
    <m/>
    <s v="MAHADAT PUR 2"/>
    <m/>
    <n v="0"/>
  </r>
  <r>
    <s v="Munger"/>
    <s v="24-30 Apr"/>
    <n v="1036"/>
    <s v="MAHADAT PUR 2"/>
    <x v="661"/>
    <s v="Gomukh Dhoriya Dadpur -VLC"/>
    <s v="vlc"/>
    <s v="Indirect"/>
    <n v="60.3"/>
    <n v="2149.14"/>
    <n v="0"/>
    <n v="0"/>
    <n v="0"/>
    <n v="0"/>
    <n v="0"/>
    <n v="0"/>
    <n v="2149.14"/>
    <n v="0"/>
    <n v="0"/>
    <n v="0"/>
    <n v="0"/>
    <n v="0"/>
    <n v="0"/>
    <n v="0"/>
    <n v="0"/>
    <n v="2149.14"/>
    <n v="0"/>
    <n v="0"/>
    <n v="455.98834427860703"/>
    <n v="8.6142857142857139"/>
    <n v="0"/>
    <n v="0"/>
    <m/>
    <s v="MAHADAT PUR 2"/>
    <m/>
    <n v="0"/>
  </r>
  <r>
    <s v="Munger"/>
    <s v="24-30 Apr"/>
    <n v="1036"/>
    <s v="MAHADAT PUR 2"/>
    <x v="662"/>
    <s v="Gomukh Mohanpur  VLC"/>
    <s v="vlc"/>
    <s v="Indirect"/>
    <n v="319.8"/>
    <n v="11351.52"/>
    <n v="0"/>
    <n v="0"/>
    <n v="0"/>
    <n v="0"/>
    <n v="0"/>
    <n v="0"/>
    <n v="11351.52"/>
    <n v="0"/>
    <n v="0"/>
    <n v="0"/>
    <n v="0"/>
    <n v="0"/>
    <n v="0"/>
    <n v="0"/>
    <n v="0"/>
    <n v="11351.52"/>
    <n v="0"/>
    <n v="0"/>
    <n v="269.90918724202629"/>
    <n v="45.68571428571429"/>
    <n v="0"/>
    <n v="0"/>
    <m/>
    <s v="MAHADAT PUR 2"/>
    <m/>
    <n v="0"/>
  </r>
  <r>
    <s v="Munger"/>
    <s v="24-30 Apr"/>
    <n v="1036"/>
    <s v="MAHADAT PUR 2"/>
    <x v="663"/>
    <s v="Gomukh Abhirampur VLC"/>
    <s v="vlc"/>
    <s v="Indirect"/>
    <n v="230.29999999999998"/>
    <n v="8892.3700000000008"/>
    <n v="0"/>
    <n v="0"/>
    <n v="0"/>
    <n v="0"/>
    <n v="0"/>
    <n v="0"/>
    <n v="8892.3700000000008"/>
    <n v="0"/>
    <n v="0"/>
    <n v="0"/>
    <n v="0"/>
    <n v="0"/>
    <n v="0"/>
    <n v="0"/>
    <n v="0"/>
    <n v="8892.3700000000008"/>
    <n v="0"/>
    <n v="0"/>
    <n v="362.72220486322186"/>
    <n v="32.9"/>
    <n v="0"/>
    <n v="0"/>
    <m/>
    <s v="MAHADAT PUR 2"/>
    <m/>
    <n v="0"/>
  </r>
  <r>
    <s v="Munger"/>
    <s v="24-30 Apr"/>
    <n v="1036"/>
    <s v="MAHADAT PUR 2"/>
    <x v="664"/>
    <s v="Gomukh Pachgachhia Vlc"/>
    <s v="vlc"/>
    <s v="Indirect"/>
    <n v="168.2"/>
    <n v="6162.1299999999992"/>
    <n v="0"/>
    <n v="0"/>
    <n v="0"/>
    <n v="0"/>
    <n v="0"/>
    <n v="0"/>
    <n v="6162.1299999999992"/>
    <n v="0"/>
    <n v="0"/>
    <n v="0"/>
    <n v="0"/>
    <n v="0"/>
    <n v="0"/>
    <n v="0"/>
    <n v="0"/>
    <n v="6162.1299999999992"/>
    <n v="0"/>
    <n v="0"/>
    <n v="389.65763781212848"/>
    <n v="24.028571428571428"/>
    <n v="0"/>
    <n v="0"/>
    <m/>
    <s v="MAHADAT PUR 2"/>
    <m/>
    <n v="0"/>
  </r>
  <r>
    <s v="Munger"/>
    <s v="24-30 Apr"/>
    <n v="1014"/>
    <s v="Dumraon"/>
    <x v="666"/>
    <s v="ARAK"/>
    <s v="MPG"/>
    <s v="Direct"/>
    <n v="1861"/>
    <n v="69286.55"/>
    <n v="1847.4"/>
    <n v="69007.839936216813"/>
    <n v="13.700000000000001"/>
    <n v="666.12194156840008"/>
    <n v="1861.1000000000001"/>
    <n v="69673.961877785216"/>
    <n v="69286.55"/>
    <n v="0"/>
    <n v="666.12194156840008"/>
    <n v="387.41187778521271"/>
    <n v="0"/>
    <n v="0"/>
    <n v="0"/>
    <n v="68620"/>
    <n v="0"/>
    <n v="0"/>
    <n v="0"/>
    <n v="0"/>
    <n v="0"/>
    <n v="0"/>
    <n v="-5.5914441949442232E-3"/>
    <n v="41"/>
    <m/>
    <s v="Dumraon"/>
    <m/>
    <n v="0"/>
  </r>
  <r>
    <s v="Munger"/>
    <s v="24-30 Apr"/>
    <n v="1014"/>
    <s v="Dumraon"/>
    <x v="667"/>
    <s v="Diyaman"/>
    <s v="MPG"/>
    <s v="Direct"/>
    <n v="1555.5000000000002"/>
    <n v="62008.42"/>
    <n v="1542.55"/>
    <n v="62168.858300599866"/>
    <n v="6.37"/>
    <n v="258.22022212799999"/>
    <n v="1548.9199999999998"/>
    <n v="62427.078522727868"/>
    <n v="62008.42"/>
    <n v="0"/>
    <n v="258.22022212799999"/>
    <n v="418.65852272787015"/>
    <n v="6400"/>
    <n v="0"/>
    <n v="0"/>
    <n v="55350"/>
    <n v="0"/>
    <n v="0"/>
    <n v="0"/>
    <n v="0"/>
    <n v="0"/>
    <n v="0"/>
    <n v="-6.7516399019338048E-3"/>
    <n v="9"/>
    <m/>
    <s v="Dumraon"/>
    <m/>
    <n v="0"/>
  </r>
  <r>
    <s v="Munger"/>
    <s v="24-30 Apr"/>
    <n v="1014"/>
    <s v="Dumraon"/>
    <x v="668"/>
    <s v="HENHA"/>
    <s v="MPG"/>
    <s v="Direct"/>
    <n v="1979.3999999999996"/>
    <n v="73890.84"/>
    <n v="2257.6000000000004"/>
    <n v="93446.007046920015"/>
    <n v="27"/>
    <n v="1529.1127185366004"/>
    <n v="2284.6000000000004"/>
    <n v="94975.11976545662"/>
    <n v="73890.84"/>
    <n v="0"/>
    <n v="1529.1127185366004"/>
    <n v="21084.279765456624"/>
    <n v="0"/>
    <n v="0"/>
    <n v="0"/>
    <n v="72362"/>
    <n v="0"/>
    <n v="0"/>
    <n v="0"/>
    <n v="0"/>
    <n v="0"/>
    <n v="0"/>
    <n v="-0.28534361993254675"/>
    <n v="4"/>
    <m/>
    <s v="Dumraon"/>
    <m/>
    <n v="0"/>
  </r>
  <r>
    <s v="Munger"/>
    <s v="24-30 Apr"/>
    <n v="1012"/>
    <s v="DalsinghSarai"/>
    <x v="669"/>
    <s v="Suddh Dairy"/>
    <s v="vlc"/>
    <s v="Indirect"/>
    <n v="13080"/>
    <n v="458521.9"/>
    <n v="0"/>
    <n v="0"/>
    <n v="0"/>
    <n v="0"/>
    <n v="0"/>
    <n v="0"/>
    <n v="458521.9"/>
    <n v="0"/>
    <n v="0"/>
    <n v="0"/>
    <n v="0"/>
    <n v="0"/>
    <n v="0"/>
    <n v="0"/>
    <n v="0"/>
    <n v="458521.9"/>
    <n v="0"/>
    <n v="0"/>
    <n v="0"/>
    <n v="0"/>
    <n v="0"/>
    <n v="0"/>
    <m/>
    <s v="DalsinghSarai"/>
    <m/>
    <n v="0"/>
  </r>
  <r>
    <s v="Munger"/>
    <s v="24-30 Apr"/>
    <n v="1053"/>
    <s v="Kalyanpur"/>
    <x v="999"/>
    <s v="Anik Kumar"/>
    <s v="vlc"/>
    <s v="Indirect"/>
    <n v="3836"/>
    <n v="159965.02000000002"/>
    <n v="0"/>
    <n v="0"/>
    <n v="0"/>
    <n v="0"/>
    <n v="0"/>
    <n v="0"/>
    <n v="159965.02000000002"/>
    <n v="0"/>
    <n v="0"/>
    <n v="0"/>
    <n v="0"/>
    <n v="0"/>
    <n v="0"/>
    <n v="0"/>
    <n v="0"/>
    <n v="159965.02000000002"/>
    <n v="0"/>
    <n v="0"/>
    <n v="0"/>
    <n v="0"/>
    <n v="0"/>
    <n v="0"/>
    <m/>
    <s v="Kalyanpur"/>
    <m/>
    <n v="0"/>
  </r>
  <r>
    <s v="Munger"/>
    <s v="24-30 Apr"/>
    <n v="1010"/>
    <s v="Parbatta"/>
    <x v="1039"/>
    <s v="Nand Kishor Kumar"/>
    <s v="vlc"/>
    <s v="Indirect"/>
    <n v="5484"/>
    <n v="167909.76000000001"/>
    <n v="0"/>
    <n v="0"/>
    <n v="0"/>
    <n v="0"/>
    <n v="0"/>
    <n v="0"/>
    <n v="167909.76000000001"/>
    <n v="0"/>
    <n v="0"/>
    <n v="0"/>
    <n v="0"/>
    <n v="0"/>
    <n v="0"/>
    <n v="0"/>
    <n v="0"/>
    <n v="167909.76000000001"/>
    <n v="0"/>
    <n v="0"/>
    <n v="0"/>
    <n v="0"/>
    <n v="0"/>
    <n v="0"/>
    <m/>
    <s v="Parbatta"/>
    <m/>
    <n v="0"/>
  </r>
  <r>
    <s v="Munger"/>
    <s v="24-30 Apr"/>
    <n v="1053"/>
    <s v="Kalyanpur"/>
    <x v="670"/>
    <s v="Gomukh CHANDAULI"/>
    <s v="MPG"/>
    <s v="Direct"/>
    <n v="1109.0000000000002"/>
    <n v="45033.229999999989"/>
    <n v="1130.8000000000002"/>
    <n v="47387.108045638721"/>
    <n v="11.600000000000001"/>
    <n v="475.91810735040008"/>
    <n v="1142.4000000000001"/>
    <n v="47863.026152989121"/>
    <n v="45033.229999999989"/>
    <n v="0"/>
    <n v="475.91810735040008"/>
    <n v="2829.7961529891327"/>
    <n v="4362"/>
    <n v="0"/>
    <n v="0"/>
    <n v="40195"/>
    <n v="0"/>
    <n v="0"/>
    <n v="0"/>
    <s v="Release1"/>
    <n v="0"/>
    <n v="0"/>
    <n v="-6.2837956615351229E-2"/>
    <n v="25"/>
    <m/>
    <s v="Kalyanpur"/>
    <m/>
    <n v="0"/>
  </r>
  <r>
    <s v="Munger"/>
    <s v="24-30 Apr"/>
    <n v="1053"/>
    <s v="Kalyanpur"/>
    <x v="671"/>
    <s v="GOMUKH HATHA"/>
    <s v="MPG"/>
    <s v="Direct"/>
    <n v="1054.3500000000004"/>
    <n v="42963.039999999994"/>
    <n v="1051.17"/>
    <n v="43316.792381813895"/>
    <n v="15.610000000000001"/>
    <n v="661.823316396"/>
    <n v="1066.78"/>
    <n v="43978.615698209898"/>
    <n v="42963.039999999994"/>
    <n v="0"/>
    <n v="661.823316396"/>
    <n v="1015.5756982099047"/>
    <n v="11"/>
    <n v="0"/>
    <n v="0"/>
    <n v="42290"/>
    <n v="0"/>
    <n v="0"/>
    <n v="0"/>
    <n v="0"/>
    <n v="0"/>
    <n v="0"/>
    <n v="-2.3638357486106775E-2"/>
    <n v="31"/>
    <m/>
    <s v="Kalyanpur"/>
    <m/>
    <n v="0"/>
  </r>
  <r>
    <s v="Munger"/>
    <s v="24-30 Apr"/>
    <n v="1053"/>
    <s v="Kalyanpur"/>
    <x v="672"/>
    <s v="GOMUKH VADEYA"/>
    <s v="MPG"/>
    <s v="Direct"/>
    <n v="466.8"/>
    <n v="20335.370000000003"/>
    <n v="475.57999999999993"/>
    <n v="20241.940295540469"/>
    <n v="3.74"/>
    <n v="171.761514312"/>
    <n v="479.31999999999994"/>
    <n v="20413.701809852468"/>
    <n v="20335.370000000003"/>
    <n v="0"/>
    <n v="171.761514312"/>
    <n v="78.331809852465085"/>
    <n v="8503"/>
    <n v="232.41983225806388"/>
    <n v="0"/>
    <n v="11427"/>
    <n v="0"/>
    <n v="0"/>
    <n v="1"/>
    <n v="0"/>
    <n v="203.17944661525283"/>
    <n v="66.685714285714283"/>
    <n v="-3.8519982598037347E-3"/>
    <n v="27"/>
    <m/>
    <s v="Kalyanpur"/>
    <m/>
    <n v="0"/>
  </r>
  <r>
    <s v="Munger"/>
    <s v="24-30 Apr"/>
    <n v="1053"/>
    <s v="Kalyanpur"/>
    <x v="673"/>
    <s v="GOMUKH CHANDPURA"/>
    <s v="MPG"/>
    <s v="Direct"/>
    <n v="409.2"/>
    <n v="18515.289999999994"/>
    <n v="401.63000000000011"/>
    <n v="18358.227759498295"/>
    <n v="8.41"/>
    <n v="368.52462429743008"/>
    <n v="410.04000000000013"/>
    <n v="18726.752383795727"/>
    <n v="18515.289999999994"/>
    <n v="0"/>
    <n v="368.52462429743008"/>
    <n v="211.46238379573333"/>
    <n v="2383"/>
    <n v="0"/>
    <n v="0"/>
    <n v="15763"/>
    <n v="0"/>
    <n v="0"/>
    <n v="1"/>
    <n v="0"/>
    <n v="263.15964477028342"/>
    <n v="58.457142857142856"/>
    <n v="-1.1420959855110744E-2"/>
    <n v="19"/>
    <m/>
    <s v="Kalyanpur"/>
    <m/>
    <n v="0"/>
  </r>
  <r>
    <s v="Munger"/>
    <s v="24-30 Apr"/>
    <n v="1053"/>
    <s v="Kalyanpur"/>
    <x v="674"/>
    <s v="GOMUKH BARGAMA"/>
    <s v="MPG"/>
    <s v="Direct"/>
    <n v="896.14999999999986"/>
    <n v="35324.28"/>
    <n v="887.54999999999984"/>
    <n v="33781.811271608807"/>
    <n v="37.529999999999994"/>
    <n v="1531.3962863232002"/>
    <n v="925.07999999999981"/>
    <n v="35313.207557932008"/>
    <n v="35313.207557932008"/>
    <n v="0"/>
    <n v="1531.3962863232002"/>
    <n v="0"/>
    <n v="430"/>
    <n v="0"/>
    <n v="0"/>
    <n v="33350"/>
    <n v="0"/>
    <n v="0"/>
    <n v="13"/>
    <n v="0"/>
    <n v="0"/>
    <n v="0"/>
    <n v="3.1345131643138312E-4"/>
    <n v="55"/>
    <m/>
    <s v="Kalyanpur"/>
    <m/>
    <n v="0"/>
  </r>
  <r>
    <s v="Munger"/>
    <s v="24-30 Apr"/>
    <n v="1053"/>
    <s v="Kalyanpur"/>
    <x v="675"/>
    <s v="Gomukh Gograha Tola"/>
    <s v="MPG"/>
    <s v="Direct"/>
    <n v="400.15000000000003"/>
    <n v="17804.38"/>
    <n v="403.60999999999996"/>
    <n v="17837.831682884382"/>
    <n v="5.3500000000000005"/>
    <n v="266.28088827199997"/>
    <n v="408.96"/>
    <n v="18104.11257115638"/>
    <n v="17804.38"/>
    <n v="0"/>
    <n v="266.28088827199997"/>
    <n v="299.73257115637898"/>
    <n v="499"/>
    <n v="0"/>
    <n v="0"/>
    <n v="17039"/>
    <n v="0"/>
    <n v="0"/>
    <n v="0"/>
    <n v="0"/>
    <n v="266.83210511058348"/>
    <n v="57.164285714285718"/>
    <n v="-1.6834766004566234E-2"/>
    <n v="14"/>
    <m/>
    <s v="Kalyanpur"/>
    <m/>
    <n v="0"/>
  </r>
  <r>
    <s v="Munger"/>
    <s v="24-30 Apr"/>
    <n v="1053"/>
    <s v="Kalyanpur"/>
    <x v="676"/>
    <s v="Gomukh Patsara"/>
    <s v="MPG"/>
    <s v="Direct"/>
    <n v="321.79999999999995"/>
    <n v="15309.390000000001"/>
    <n v="323.06000000000006"/>
    <n v="15133.663384807531"/>
    <n v="3.5399999999999996"/>
    <n v="149.57040114615003"/>
    <n v="326.60000000000008"/>
    <n v="15283.23378595368"/>
    <n v="15283.23378595368"/>
    <n v="0"/>
    <n v="149.57040114615003"/>
    <n v="0"/>
    <n v="5400"/>
    <n v="0"/>
    <n v="0"/>
    <n v="9735"/>
    <n v="0"/>
    <n v="0"/>
    <n v="25"/>
    <n v="0"/>
    <n v="359.85154120571798"/>
    <n v="45.971428571428568"/>
    <n v="1.7085079187558164E-3"/>
    <n v="7"/>
    <m/>
    <s v="Kalyanpur"/>
    <m/>
    <n v="0"/>
  </r>
  <r>
    <s v="Munger"/>
    <s v="24-30 Apr"/>
    <n v="1053"/>
    <s v="Kalyanpur"/>
    <x v="677"/>
    <s v="Gomukh Singhiya"/>
    <s v="vlc"/>
    <s v="Indirect"/>
    <n v="5665.35"/>
    <n v="214672.66"/>
    <n v="0"/>
    <n v="0"/>
    <n v="0"/>
    <n v="0"/>
    <n v="0"/>
    <n v="0"/>
    <n v="214672.66"/>
    <n v="0"/>
    <n v="0"/>
    <n v="0"/>
    <n v="0"/>
    <n v="0"/>
    <n v="0"/>
    <n v="0"/>
    <n v="0"/>
    <n v="214672.66"/>
    <n v="0"/>
    <n v="0"/>
    <n v="0"/>
    <n v="0"/>
    <n v="0"/>
    <n v="0"/>
    <m/>
    <s v="Kalyanpur"/>
    <m/>
    <n v="0"/>
  </r>
  <r>
    <s v="Munger"/>
    <s v="24-30 Apr"/>
    <n v="1053"/>
    <s v="Kalyanpur"/>
    <x v="678"/>
    <s v="Gomukh BALHA "/>
    <s v="vlc"/>
    <s v="Indirect"/>
    <n v="2449.1499999999996"/>
    <n v="101946.26"/>
    <n v="0"/>
    <n v="0"/>
    <n v="0"/>
    <n v="0"/>
    <n v="0"/>
    <n v="0"/>
    <n v="101946.26"/>
    <n v="0"/>
    <n v="0"/>
    <n v="0"/>
    <n v="0"/>
    <n v="0"/>
    <n v="0"/>
    <n v="0"/>
    <n v="0"/>
    <n v="101946.26"/>
    <n v="0"/>
    <n v="0"/>
    <n v="0"/>
    <n v="0"/>
    <n v="0"/>
    <n v="0"/>
    <m/>
    <s v="Kalyanpur"/>
    <m/>
    <n v="0"/>
  </r>
  <r>
    <s v="Munger"/>
    <s v="24-30 Apr"/>
    <n v="1053"/>
    <s v="Kalyanpur"/>
    <x v="680"/>
    <s v="Gomukh Namapur 2"/>
    <s v="vlc"/>
    <s v="Indirect"/>
    <n v="182.05"/>
    <n v="6925.9700000000012"/>
    <n v="0"/>
    <n v="0"/>
    <n v="0"/>
    <n v="0"/>
    <n v="0"/>
    <n v="0"/>
    <n v="6925.9700000000012"/>
    <n v="0"/>
    <n v="0"/>
    <n v="0"/>
    <n v="0"/>
    <n v="2991.3861387096772"/>
    <n v="0"/>
    <n v="0"/>
    <n v="0"/>
    <n v="3934.583861290324"/>
    <n v="0"/>
    <n v="0"/>
    <n v="394.10119873661085"/>
    <n v="26.00714285714286"/>
    <n v="0"/>
    <n v="0"/>
    <m/>
    <s v="Kalyanpur"/>
    <m/>
    <n v="0"/>
  </r>
  <r>
    <s v="Munger"/>
    <s v="24-30 Apr"/>
    <n v="1053"/>
    <s v="Kalyanpur"/>
    <x v="681"/>
    <s v="Gomukh Madhopur"/>
    <s v="vlc"/>
    <s v="Indirect"/>
    <n v="110.85"/>
    <n v="4269.45"/>
    <n v="0"/>
    <n v="0"/>
    <n v="0"/>
    <n v="0"/>
    <n v="0"/>
    <n v="0"/>
    <n v="4269.45"/>
    <n v="0"/>
    <n v="0"/>
    <n v="0"/>
    <n v="0"/>
    <n v="1021.3775709677419"/>
    <n v="0"/>
    <n v="0"/>
    <n v="0"/>
    <n v="3248.0724290322578"/>
    <n v="0"/>
    <n v="0"/>
    <n v="453.82886197564278"/>
    <n v="15.835714285714285"/>
    <n v="0"/>
    <n v="0"/>
    <m/>
    <s v="Kalyanpur"/>
    <m/>
    <n v="0"/>
  </r>
  <r>
    <s v="Munger"/>
    <s v="24-30 Apr"/>
    <n v="1053"/>
    <s v="Kalyanpur"/>
    <x v="682"/>
    <s v="Gomukh Kalyanpur East"/>
    <s v="vlc"/>
    <s v="Indirect"/>
    <n v="334.50000000000006"/>
    <n v="12774.999999999998"/>
    <n v="0"/>
    <n v="0"/>
    <n v="0"/>
    <n v="0"/>
    <n v="0"/>
    <n v="0"/>
    <n v="12774.999999999998"/>
    <n v="0"/>
    <n v="0"/>
    <n v="0"/>
    <n v="0"/>
    <n v="396.59153225806426"/>
    <n v="0"/>
    <n v="0"/>
    <n v="0"/>
    <n v="12378.408467741934"/>
    <n v="0"/>
    <n v="0"/>
    <n v="279.17862481315382"/>
    <n v="47.785714285714292"/>
    <n v="0"/>
    <n v="0"/>
    <m/>
    <s v="Kalyanpur"/>
    <m/>
    <n v="0"/>
  </r>
  <r>
    <s v="Munger"/>
    <s v="24-30 Apr"/>
    <n v="1053"/>
    <s v="Kalyanpur"/>
    <x v="683"/>
    <s v="Gomukh Bazidpur"/>
    <s v="vlc"/>
    <s v="Indirect"/>
    <n v="973.55"/>
    <n v="41378.22"/>
    <n v="0"/>
    <n v="0"/>
    <n v="0"/>
    <n v="0"/>
    <n v="0"/>
    <n v="0"/>
    <n v="41378.22"/>
    <n v="0"/>
    <n v="0"/>
    <n v="0"/>
    <n v="0"/>
    <n v="1153.1889967741936"/>
    <n v="0"/>
    <n v="0"/>
    <n v="0"/>
    <n v="40225.031003225806"/>
    <n v="0"/>
    <n v="0"/>
    <n v="0"/>
    <n v="0"/>
    <n v="0"/>
    <n v="0"/>
    <m/>
    <s v="Kalyanpur"/>
    <m/>
    <n v="0"/>
  </r>
  <r>
    <s v="Munger"/>
    <s v="24-30 Apr"/>
    <n v="1053"/>
    <s v="Kalyanpur"/>
    <x v="684"/>
    <s v="Gomukh Belsandi"/>
    <s v="vlc"/>
    <s v="Indirect"/>
    <n v="481.40000000000003"/>
    <n v="20884.98"/>
    <n v="0"/>
    <n v="0"/>
    <n v="0"/>
    <n v="0"/>
    <n v="0"/>
    <n v="0"/>
    <n v="20884.98"/>
    <n v="0"/>
    <n v="0"/>
    <n v="0"/>
    <n v="0"/>
    <n v="0"/>
    <n v="0"/>
    <n v="0"/>
    <n v="0"/>
    <n v="20884.98"/>
    <n v="0"/>
    <n v="0"/>
    <n v="189.67414324885746"/>
    <n v="68.771428571428572"/>
    <n v="0"/>
    <n v="0"/>
    <m/>
    <s v="Kalyanpur"/>
    <m/>
    <n v="0"/>
  </r>
  <r>
    <s v="Munger"/>
    <s v="24-30 Apr"/>
    <n v="1053"/>
    <s v="Kalyanpur"/>
    <x v="685"/>
    <s v="Gomukh Namapur Ward 8"/>
    <s v="vlc"/>
    <s v="Indirect"/>
    <n v="14.5"/>
    <n v="526.35"/>
    <n v="0"/>
    <n v="0"/>
    <n v="0"/>
    <n v="0"/>
    <n v="0"/>
    <n v="0"/>
    <n v="526.35"/>
    <n v="0"/>
    <n v="0"/>
    <n v="0"/>
    <n v="0"/>
    <n v="526"/>
    <n v="0"/>
    <n v="0"/>
    <n v="0"/>
    <n v="0.35000000000002274"/>
    <n v="0"/>
    <s v="Release1"/>
    <n v="497.67300000000006"/>
    <n v="2.0714285714285716"/>
    <n v="0"/>
    <n v="0"/>
    <m/>
    <s v="Kalyanpur"/>
    <m/>
    <n v="0"/>
  </r>
  <r>
    <s v="Munger"/>
    <s v="24-30 Apr"/>
    <n v="1053"/>
    <s v="Kalyanpur"/>
    <x v="688"/>
    <s v="Gomukh Belsandi East"/>
    <s v="vlc"/>
    <s v="Indirect"/>
    <n v="499.90000000000009"/>
    <n v="20796.48"/>
    <n v="0"/>
    <n v="0"/>
    <n v="0"/>
    <n v="0"/>
    <n v="0"/>
    <n v="0"/>
    <n v="20796.48"/>
    <n v="0"/>
    <n v="0"/>
    <n v="0"/>
    <n v="0"/>
    <n v="1094.7202161290322"/>
    <n v="0"/>
    <n v="0"/>
    <n v="0"/>
    <n v="19701.759783870966"/>
    <n v="0"/>
    <n v="0"/>
    <n v="166.48832358471685"/>
    <n v="71.414285714285725"/>
    <n v="0"/>
    <n v="0"/>
    <m/>
    <s v="Kalyanpur"/>
    <m/>
    <n v="0"/>
  </r>
  <r>
    <s v="Munger"/>
    <s v="24-30 Apr"/>
    <n v="1053"/>
    <s v="Kalyanpur"/>
    <x v="689"/>
    <s v="Gomukh Belsandi West Tola"/>
    <s v="vlc"/>
    <s v="Indirect"/>
    <n v="131.15"/>
    <n v="4945.1099999999997"/>
    <n v="0"/>
    <n v="0"/>
    <n v="0"/>
    <n v="0"/>
    <n v="0"/>
    <n v="0"/>
    <n v="4945.1099999999997"/>
    <n v="0"/>
    <n v="0"/>
    <n v="0"/>
    <n v="0"/>
    <n v="560.10037741935503"/>
    <n v="0"/>
    <n v="0"/>
    <n v="0"/>
    <n v="4385.0096225806446"/>
    <n v="0"/>
    <n v="0"/>
    <n v="428.97839473884852"/>
    <n v="18.735714285714288"/>
    <n v="0"/>
    <n v="0"/>
    <m/>
    <s v="Kalyanpur"/>
    <m/>
    <n v="0"/>
  </r>
  <r>
    <s v="Munger"/>
    <s v="24-30 Apr"/>
    <n v="1053"/>
    <s v="Kalyanpur"/>
    <x v="690"/>
    <s v="Gomukh Gopalpur"/>
    <s v="vlc"/>
    <s v="Indirect"/>
    <n v="1157.8999999999999"/>
    <n v="48914.85"/>
    <n v="0"/>
    <n v="0"/>
    <n v="0"/>
    <n v="0"/>
    <n v="0"/>
    <n v="0"/>
    <n v="48914.85"/>
    <n v="0"/>
    <n v="0"/>
    <n v="0"/>
    <n v="0"/>
    <n v="0"/>
    <n v="0"/>
    <n v="0"/>
    <n v="0"/>
    <n v="48914.85"/>
    <n v="0"/>
    <n v="0"/>
    <n v="0"/>
    <n v="0"/>
    <n v="0"/>
    <n v="0"/>
    <m/>
    <s v="Kalyanpur"/>
    <m/>
    <n v="0"/>
  </r>
  <r>
    <s v="Munger"/>
    <s v="24-30 Apr"/>
    <n v="1053"/>
    <s v="Kalyanpur"/>
    <x v="691"/>
    <s v="Gomukh Bharav"/>
    <s v="MPG"/>
    <s v="Direct"/>
    <n v="390.05000000000007"/>
    <n v="20619.829999999998"/>
    <n v="390.25"/>
    <n v="20282.329243472919"/>
    <n v="7.04"/>
    <n v="337.83553922403001"/>
    <n v="397.29"/>
    <n v="20620.164782696949"/>
    <n v="20619.829999999998"/>
    <n v="0"/>
    <n v="337.83553922403001"/>
    <n v="0.33478269695115159"/>
    <n v="1841"/>
    <n v="0"/>
    <n v="0"/>
    <n v="18441"/>
    <n v="0"/>
    <n v="0"/>
    <n v="0"/>
    <n v="0"/>
    <n v="327.7075404948082"/>
    <n v="55.721428571428582"/>
    <n v="-1.6235958150535268E-5"/>
    <n v="25"/>
    <m/>
    <s v="Kalyanpur"/>
    <m/>
    <n v="0"/>
  </r>
  <r>
    <s v="Munger"/>
    <s v="24-30 Apr"/>
    <n v="1053"/>
    <s v="Kalyanpur"/>
    <x v="692"/>
    <s v="Gomukh Harpur"/>
    <s v="MPG"/>
    <s v="Direct"/>
    <n v="878.69999999999993"/>
    <n v="35862.699999999997"/>
    <n v="873.45999999999992"/>
    <n v="35078.340319687421"/>
    <n v="11.179999999999998"/>
    <n v="443.15196591599999"/>
    <n v="884.63999999999987"/>
    <n v="35521.492285603417"/>
    <n v="35521.492285603417"/>
    <n v="0"/>
    <n v="443.15196591599999"/>
    <n v="0"/>
    <n v="0"/>
    <n v="0"/>
    <n v="0"/>
    <n v="35078"/>
    <n v="0"/>
    <n v="0"/>
    <n v="342"/>
    <n v="0"/>
    <n v="0"/>
    <n v="0"/>
    <n v="9.5142784675046731E-3"/>
    <n v="25"/>
    <m/>
    <s v="Kalyanpur"/>
    <m/>
    <n v="0"/>
  </r>
  <r>
    <s v="Munger"/>
    <s v="24-30 Apr"/>
    <n v="1053"/>
    <s v="Kalyanpur"/>
    <x v="693"/>
    <s v="Gomukh Fulhatta"/>
    <s v="MPG"/>
    <s v="Direct"/>
    <n v="780.4"/>
    <n v="40563.86"/>
    <n v="791.74"/>
    <n v="40066.223348594816"/>
    <n v="7"/>
    <n v="489.51979019999999"/>
    <n v="798.74"/>
    <n v="40555.743138794816"/>
    <n v="40555.743138794816"/>
    <n v="0"/>
    <n v="489.51979019999999"/>
    <n v="0"/>
    <n v="0"/>
    <n v="0"/>
    <n v="0"/>
    <n v="40067"/>
    <n v="0"/>
    <n v="0"/>
    <n v="7"/>
    <n v="0"/>
    <n v="0"/>
    <n v="0"/>
    <n v="2.0010080907448773E-4"/>
    <n v="40"/>
    <m/>
    <s v="Kalyanpur"/>
    <m/>
    <n v="0"/>
  </r>
  <r>
    <s v="Munger"/>
    <s v="24-30 Apr"/>
    <n v="1053"/>
    <s v="Kalyanpur"/>
    <x v="694"/>
    <s v="Gomukh Birauli Khurd"/>
    <s v="MPG"/>
    <s v="Direct"/>
    <n v="502.85000000000008"/>
    <n v="20849.11"/>
    <n v="498.01"/>
    <n v="19539.058065539524"/>
    <n v="13.210000000000003"/>
    <n v="540.47817727200015"/>
    <n v="511.21999999999997"/>
    <n v="20079.536242811526"/>
    <n v="20079.536242811526"/>
    <n v="0"/>
    <n v="540.47817727200015"/>
    <n v="0"/>
    <n v="6000"/>
    <n v="0"/>
    <n v="0"/>
    <n v="0"/>
    <n v="0"/>
    <n v="0"/>
    <n v="14309"/>
    <s v="Yes"/>
    <n v="163.48422139803108"/>
    <n v="71.835714285714303"/>
    <n v="3.6911587937733296E-2"/>
    <n v="20"/>
    <m/>
    <s v="Kalyanpur"/>
    <m/>
    <n v="0"/>
  </r>
  <r>
    <s v="Munger"/>
    <s v="24-30 Apr"/>
    <n v="1053"/>
    <s v="Kalyanpur"/>
    <x v="695"/>
    <s v="Gomukh Bedauliya"/>
    <s v="vlc"/>
    <s v="Indirect"/>
    <n v="224.05"/>
    <n v="9206.9"/>
    <n v="0"/>
    <n v="0"/>
    <n v="0"/>
    <n v="0"/>
    <n v="0"/>
    <n v="0"/>
    <n v="9206.9"/>
    <n v="0"/>
    <n v="0"/>
    <n v="0"/>
    <n v="0"/>
    <n v="561.00445161290236"/>
    <n v="0"/>
    <n v="0"/>
    <n v="0"/>
    <n v="8645.8955483870977"/>
    <n v="0"/>
    <n v="0"/>
    <n v="391.1648341887971"/>
    <n v="32.00714285714286"/>
    <n v="0"/>
    <n v="0"/>
    <m/>
    <s v="Kalyanpur"/>
    <m/>
    <n v="0"/>
  </r>
  <r>
    <s v="Munger"/>
    <s v="24-30 Apr"/>
    <n v="1053"/>
    <s v="Kalyanpur"/>
    <x v="696"/>
    <s v="Gomukh Khanua"/>
    <s v="MPG"/>
    <s v="Direct"/>
    <n v="566.25000000000011"/>
    <n v="24456.100000000002"/>
    <n v="555.87"/>
    <n v="24906.186081438911"/>
    <n v="7.61"/>
    <n v="325.34760812400009"/>
    <n v="563.48"/>
    <n v="25231.533689562912"/>
    <n v="24456.100000000002"/>
    <n v="0"/>
    <n v="325.34760812400009"/>
    <n v="775.43368956290942"/>
    <n v="1912"/>
    <n v="0"/>
    <n v="0"/>
    <n v="22219"/>
    <n v="0"/>
    <n v="0"/>
    <n v="0"/>
    <n v="0"/>
    <n v="115.53212803532004"/>
    <n v="80.892857142857153"/>
    <n v="-3.1707168745748887E-2"/>
    <n v="21"/>
    <m/>
    <s v="Kalyanpur"/>
    <m/>
    <n v="0"/>
  </r>
  <r>
    <s v="Munger"/>
    <s v="24-30 Apr"/>
    <n v="1053"/>
    <s v="Kalyanpur"/>
    <x v="697"/>
    <s v="Gomukh Hiralalpur"/>
    <s v="vlc"/>
    <s v="Indirect"/>
    <n v="1056.55"/>
    <n v="42218.19999999999"/>
    <n v="0"/>
    <n v="0"/>
    <n v="0"/>
    <n v="0"/>
    <n v="0"/>
    <n v="0"/>
    <n v="42218.19999999999"/>
    <n v="0"/>
    <n v="0"/>
    <n v="0"/>
    <n v="0"/>
    <n v="0"/>
    <n v="0"/>
    <n v="0"/>
    <n v="0"/>
    <n v="42218.19999999999"/>
    <n v="0"/>
    <n v="0"/>
    <n v="0"/>
    <n v="0"/>
    <n v="0"/>
    <n v="0"/>
    <m/>
    <s v="Kalyanpur"/>
    <m/>
    <n v="0"/>
  </r>
  <r>
    <s v="Munger"/>
    <s v="24-30 Apr"/>
    <n v="1053"/>
    <s v="Kalyanpur"/>
    <x v="698"/>
    <s v="Gomukh Punas"/>
    <s v="MPG"/>
    <s v="Direct"/>
    <n v="766.34999999999991"/>
    <n v="33259.120000000003"/>
    <n v="756.33000000000015"/>
    <n v="32748.201833727748"/>
    <n v="11.93"/>
    <n v="506.41293225599998"/>
    <n v="768.2600000000001"/>
    <n v="33254.614765983744"/>
    <n v="33254.614765983744"/>
    <n v="0"/>
    <n v="506.41293225599998"/>
    <n v="0"/>
    <n v="1748"/>
    <n v="566.66014838709657"/>
    <n v="0"/>
    <n v="30432"/>
    <n v="0"/>
    <n v="0"/>
    <n v="6"/>
    <s v="Release1"/>
    <n v="0"/>
    <n v="0"/>
    <n v="1.3545860552709535E-4"/>
    <n v="23"/>
    <m/>
    <s v="Kalyanpur"/>
    <m/>
    <n v="0"/>
  </r>
  <r>
    <s v="Munger"/>
    <s v="24-30 Apr"/>
    <n v="1053"/>
    <s v="Kalyanpur"/>
    <x v="699"/>
    <s v="Gomukh Loharkha"/>
    <s v="MPG"/>
    <s v="Direct"/>
    <n v="440"/>
    <n v="20460.510000000006"/>
    <n v="450.61"/>
    <n v="20310.286874470628"/>
    <n v="3.48"/>
    <n v="160.62164236800004"/>
    <n v="454.09000000000003"/>
    <n v="20470.90851683863"/>
    <n v="20460.510000000006"/>
    <n v="0"/>
    <n v="160.62164236800004"/>
    <n v="10.398516838624346"/>
    <n v="0"/>
    <n v="0"/>
    <n v="0"/>
    <n v="20300"/>
    <n v="0"/>
    <n v="0"/>
    <n v="0"/>
    <n v="0"/>
    <n v="241.80602727272733"/>
    <n v="62.857142857142854"/>
    <n v="-5.0822373629124317E-4"/>
    <n v="26"/>
    <m/>
    <s v="Kalyanpur"/>
    <m/>
    <n v="0"/>
  </r>
  <r>
    <s v="Munger"/>
    <s v="24-30 Apr"/>
    <n v="1053"/>
    <s v="Kalyanpur"/>
    <x v="700"/>
    <s v="Gomukh Dighra"/>
    <s v="MPG"/>
    <s v="Direct"/>
    <n v="258.05"/>
    <n v="8391.5499999999993"/>
    <n v="260.61"/>
    <n v="9430.942074820201"/>
    <n v="0.24"/>
    <n v="8.4619657583999999"/>
    <n v="260.85000000000002"/>
    <n v="9439.4040405786018"/>
    <n v="8391.5499999999993"/>
    <n v="0"/>
    <n v="8.4619657583999999"/>
    <n v="1047.8540405786025"/>
    <n v="0"/>
    <n v="184.80891290322572"/>
    <n v="0"/>
    <n v="8198"/>
    <n v="0"/>
    <n v="0"/>
    <n v="0"/>
    <n v="0"/>
    <n v="287.43619627979069"/>
    <n v="36.864285714285714"/>
    <n v="-0.12487014205702196"/>
    <n v="6"/>
    <m/>
    <s v="Kalyanpur"/>
    <m/>
    <n v="0"/>
  </r>
  <r>
    <s v="Munger"/>
    <s v="24-30 Apr"/>
    <n v="1053"/>
    <s v="Kalyanpur"/>
    <x v="701"/>
    <s v="Basuwari"/>
    <s v="MPG"/>
    <s v="Direct"/>
    <n v="367.1"/>
    <n v="13242.039999999999"/>
    <n v="359.85"/>
    <n v="12990.73860839326"/>
    <n v="6.4799999999999986"/>
    <n v="249.73106948459997"/>
    <n v="366.33000000000004"/>
    <n v="13240.46967787786"/>
    <n v="13240.46967787786"/>
    <n v="0"/>
    <n v="249.73106948459997"/>
    <n v="0"/>
    <n v="1350"/>
    <n v="0"/>
    <n v="0"/>
    <n v="11642"/>
    <n v="0"/>
    <n v="0"/>
    <n v="0"/>
    <n v="0"/>
    <n v="240.16753560337781"/>
    <n v="52.442857142857143"/>
    <n v="1.1858611831253038E-4"/>
    <n v="11"/>
    <m/>
    <s v="Kalyanpur"/>
    <m/>
    <n v="0"/>
  </r>
  <r>
    <s v="Munger"/>
    <s v="24-30 Apr"/>
    <n v="1053"/>
    <s v="Kalyanpur"/>
    <x v="702"/>
    <s v="Belsandi 3"/>
    <s v="vlc"/>
    <s v="Indirect"/>
    <n v="658.5"/>
    <n v="24838.85"/>
    <n v="0"/>
    <n v="0"/>
    <n v="0"/>
    <n v="0"/>
    <n v="0"/>
    <n v="0"/>
    <n v="24838.85"/>
    <n v="0"/>
    <n v="0"/>
    <n v="0"/>
    <n v="0"/>
    <n v="3501.4823419354848"/>
    <n v="0"/>
    <n v="0"/>
    <n v="0"/>
    <n v="21337.367658064515"/>
    <n v="0"/>
    <n v="0"/>
    <n v="31.307889901290821"/>
    <n v="94.071428571428569"/>
    <n v="0"/>
    <n v="0"/>
    <m/>
    <s v="Kalyanpur"/>
    <m/>
    <n v="0"/>
  </r>
  <r>
    <s v="Munger"/>
    <s v="24-30 Apr"/>
    <n v="1053"/>
    <s v="Kalyanpur"/>
    <x v="1005"/>
    <s v="Gomukh Bhagwanpur"/>
    <s v="vlc"/>
    <s v="Indirect"/>
    <n v="123.35000000000001"/>
    <n v="5378.6900000000005"/>
    <n v="0"/>
    <n v="0"/>
    <n v="0"/>
    <n v="0"/>
    <n v="0"/>
    <n v="0"/>
    <n v="5378.6900000000005"/>
    <n v="0"/>
    <n v="0"/>
    <n v="0"/>
    <n v="0"/>
    <n v="177.76072258064514"/>
    <n v="0"/>
    <n v="0"/>
    <n v="0"/>
    <n v="5200.9292774193555"/>
    <n v="0"/>
    <n v="0"/>
    <n v="502.89770385083108"/>
    <n v="17.621428571428574"/>
    <n v="0"/>
    <n v="0"/>
    <m/>
    <s v="Kalyanpur"/>
    <m/>
    <n v="0"/>
  </r>
  <r>
    <s v="Munger"/>
    <s v="24-30 Apr"/>
    <n v="1053"/>
    <s v="Kalyanpur"/>
    <x v="704"/>
    <s v="GOMUKH HARPUR W-13"/>
    <s v="MPG"/>
    <s v="Direct"/>
    <n v="1486.8999999999996"/>
    <n v="58909"/>
    <n v="1475.0800000000004"/>
    <n v="58661.187125773264"/>
    <n v="22.57"/>
    <n v="876.05176784399998"/>
    <n v="1497.6500000000003"/>
    <n v="59537.238893617265"/>
    <n v="58909"/>
    <n v="940"/>
    <n v="876.05176784399998"/>
    <n v="628.23889361726469"/>
    <n v="2672"/>
    <n v="0"/>
    <n v="0"/>
    <n v="0"/>
    <n v="0"/>
    <n v="0"/>
    <n v="54421"/>
    <s v="Yes"/>
    <n v="0"/>
    <n v="0"/>
    <n v="-1.0664565577709088E-2"/>
    <n v="48"/>
    <m/>
    <s v="Kalyanpur"/>
    <m/>
    <n v="0"/>
  </r>
  <r>
    <s v="Munger"/>
    <s v="24-30 Apr"/>
    <n v="1053"/>
    <s v="Kalyanpur"/>
    <x v="705"/>
    <s v="GOMUKH MILKI"/>
    <s v="vlc"/>
    <s v="Indirect"/>
    <n v="37.9"/>
    <n v="1696.02"/>
    <n v="0"/>
    <n v="0"/>
    <n v="0"/>
    <n v="0"/>
    <n v="0"/>
    <n v="0"/>
    <n v="1696.02"/>
    <n v="0"/>
    <n v="0"/>
    <n v="0"/>
    <n v="0"/>
    <n v="19.84876451612903"/>
    <n v="0"/>
    <n v="0"/>
    <n v="0"/>
    <n v="1676.171235483871"/>
    <n v="0"/>
    <n v="0"/>
    <n v="592.57775303430083"/>
    <n v="5.4142857142857137"/>
    <n v="0"/>
    <n v="0"/>
    <m/>
    <s v="Kalyanpur"/>
    <m/>
    <n v="0"/>
  </r>
  <r>
    <s v="Munger"/>
    <s v="24-30 Apr"/>
    <n v="1053"/>
    <s v="Kalyanpur"/>
    <x v="706"/>
    <s v="Gomukh Ratwara"/>
    <s v="MPG"/>
    <s v="Direct"/>
    <n v="172.34999999999997"/>
    <n v="6343.6600000000008"/>
    <n v="166.97"/>
    <n v="6428.9618920494004"/>
    <n v="0"/>
    <n v="0"/>
    <n v="166.97"/>
    <n v="6428.9618920494004"/>
    <n v="6343.6600000000008"/>
    <n v="0"/>
    <n v="0"/>
    <n v="85.301892049399612"/>
    <n v="0"/>
    <n v="0"/>
    <n v="0"/>
    <n v="6344"/>
    <n v="0"/>
    <n v="0"/>
    <n v="0"/>
    <n v="0"/>
    <n v="388.42265146504229"/>
    <n v="24.621428571428567"/>
    <n v="-1.3446794445067927E-2"/>
    <n v="9"/>
    <m/>
    <s v="Kalyanpur"/>
    <m/>
    <n v="0"/>
  </r>
  <r>
    <s v="Munger"/>
    <s v="24-30 Apr"/>
    <n v="1053"/>
    <s v="Kalyanpur"/>
    <x v="707"/>
    <s v="Gomukh Fulhara"/>
    <s v="vlc"/>
    <s v="Indirect"/>
    <n v="1378.6000000000001"/>
    <n v="65995.23000000001"/>
    <n v="0"/>
    <n v="0"/>
    <n v="0"/>
    <n v="0"/>
    <n v="0"/>
    <n v="0"/>
    <n v="65995.23000000001"/>
    <n v="0"/>
    <n v="0"/>
    <n v="0"/>
    <n v="2700"/>
    <n v="0"/>
    <n v="0"/>
    <n v="0"/>
    <n v="0"/>
    <n v="63295.23000000001"/>
    <n v="0"/>
    <n v="0"/>
    <n v="0"/>
    <n v="0"/>
    <n v="0"/>
    <n v="0"/>
    <m/>
    <s v="Kalyanpur"/>
    <m/>
    <n v="0"/>
  </r>
  <r>
    <s v="Munger"/>
    <s v="24-30 Apr"/>
    <n v="1053"/>
    <s v="Kalyanpur"/>
    <x v="708"/>
    <s v="Gomukh Ranitola"/>
    <s v="vlc"/>
    <s v="Indirect"/>
    <n v="432.35"/>
    <n v="17833.16"/>
    <n v="0"/>
    <n v="0"/>
    <n v="0"/>
    <n v="0"/>
    <n v="0"/>
    <n v="0"/>
    <n v="17833.16"/>
    <n v="0"/>
    <n v="0"/>
    <n v="0"/>
    <n v="0"/>
    <n v="0"/>
    <n v="0"/>
    <n v="0"/>
    <n v="0"/>
    <n v="17833.16"/>
    <n v="0"/>
    <n v="0"/>
    <n v="220.79543305192547"/>
    <n v="61.76428571428572"/>
    <n v="0"/>
    <n v="0"/>
    <m/>
    <s v="Kalyanpur"/>
    <m/>
    <n v="0"/>
  </r>
  <r>
    <s v="Munger"/>
    <s v="24-30 Apr"/>
    <n v="1053"/>
    <s v="Kalyanpur"/>
    <x v="709"/>
    <s v="Gomukh Malinagar East"/>
    <s v="MPG"/>
    <s v="Direct"/>
    <n v="746.15"/>
    <n v="30594.61"/>
    <n v="746.05000000000007"/>
    <n v="30594.956476193707"/>
    <n v="4.629999999999999"/>
    <n v="216.12473845579103"/>
    <n v="750.68000000000006"/>
    <n v="30811.081214649497"/>
    <n v="30594.61"/>
    <n v="0"/>
    <n v="216.12473845579103"/>
    <n v="216.47121464949669"/>
    <n v="0"/>
    <n v="0"/>
    <n v="0"/>
    <n v="30378"/>
    <n v="0"/>
    <n v="0"/>
    <n v="0"/>
    <n v="0"/>
    <n v="0"/>
    <n v="0"/>
    <n v="-7.0754690008958008E-3"/>
    <n v="10"/>
    <m/>
    <s v="Kalyanpur"/>
    <m/>
    <n v="0"/>
  </r>
  <r>
    <s v="Munger"/>
    <s v="24-30 Apr"/>
    <n v="1053"/>
    <s v="Kalyanpur"/>
    <x v="711"/>
    <s v="GOMUKH MANIYARPUR"/>
    <s v="MPG"/>
    <s v="Direct"/>
    <n v="898.40000000000009"/>
    <n v="37783.699999999997"/>
    <n v="872.69000000000017"/>
    <n v="37403.788213765692"/>
    <n v="14.790000000000001"/>
    <n v="633.06086658780021"/>
    <n v="887.48000000000013"/>
    <n v="38036.849080353495"/>
    <n v="37783.699999999997"/>
    <n v="0"/>
    <n v="633.06086658780021"/>
    <n v="253.14908035349799"/>
    <n v="0"/>
    <n v="43.06"/>
    <n v="0"/>
    <n v="37108"/>
    <n v="0"/>
    <n v="0"/>
    <n v="0"/>
    <s v="Release1"/>
    <n v="0"/>
    <n v="0"/>
    <n v="-6.6999547517447473E-3"/>
    <n v="34"/>
    <m/>
    <s v="Kalyanpur"/>
    <m/>
    <n v="0"/>
  </r>
  <r>
    <s v="Munger"/>
    <s v="24-30 Apr"/>
    <n v="1053"/>
    <s v="Kalyanpur"/>
    <x v="712"/>
    <s v="GOMUKH DIGHRA W-6"/>
    <s v="MPG"/>
    <s v="Direct"/>
    <n v="900.15000000000009"/>
    <n v="33127.5"/>
    <n v="890.33999999999992"/>
    <n v="34519.667647704002"/>
    <n v="7.99"/>
    <n v="314.02623106800007"/>
    <n v="898.32999999999993"/>
    <n v="34833.693878771999"/>
    <n v="33127.5"/>
    <n v="0"/>
    <n v="314.02623106800007"/>
    <n v="1706.1938787719992"/>
    <n v="19500"/>
    <n v="0"/>
    <n v="0"/>
    <n v="13313"/>
    <n v="0"/>
    <n v="0"/>
    <n v="0"/>
    <s v="Release1"/>
    <n v="0"/>
    <n v="0"/>
    <n v="-5.1503852653294067E-2"/>
    <n v="9"/>
    <m/>
    <s v="Kalyanpur"/>
    <m/>
    <n v="0"/>
  </r>
  <r>
    <s v="Munger"/>
    <s v="24-30 Apr"/>
    <n v="1053"/>
    <s v="Kalyanpur"/>
    <x v="713"/>
    <s v="GOMUKH BANDRA W-6"/>
    <s v="MPG"/>
    <s v="Direct"/>
    <n v="508.65000000000009"/>
    <n v="20881.71"/>
    <n v="521.82999999999993"/>
    <n v="21250.956071424334"/>
    <n v="5.1899999999999995"/>
    <n v="212.94290674800004"/>
    <n v="527.02"/>
    <n v="21463.898978172336"/>
    <n v="20881.71"/>
    <n v="0"/>
    <n v="212.94290674800004"/>
    <n v="582.18897817233665"/>
    <n v="1371"/>
    <n v="0"/>
    <n v="0"/>
    <n v="19298"/>
    <n v="0"/>
    <n v="0"/>
    <n v="0"/>
    <n v="0"/>
    <n v="157.11059504570912"/>
    <n v="72.664285714285725"/>
    <n v="-2.7880330594205967E-2"/>
    <n v="20"/>
    <m/>
    <s v="Kalyanpur"/>
    <m/>
    <n v="0"/>
  </r>
  <r>
    <s v="Munger"/>
    <s v="24-30 Apr"/>
    <n v="1053"/>
    <s v="Kalyanpur"/>
    <x v="714"/>
    <s v="BELSANDI RAJO"/>
    <s v="vlc"/>
    <s v="Indirect"/>
    <n v="35.75"/>
    <n v="1382.81"/>
    <n v="0"/>
    <n v="0"/>
    <n v="0"/>
    <n v="0"/>
    <n v="0"/>
    <n v="0"/>
    <n v="1382.81"/>
    <n v="0"/>
    <n v="0"/>
    <n v="0"/>
    <n v="0"/>
    <n v="886.64061290322581"/>
    <n v="0"/>
    <n v="0"/>
    <n v="0"/>
    <n v="496.16938709677413"/>
    <n v="0"/>
    <n v="0"/>
    <n v="513.86379999999997"/>
    <n v="5.1071428571428568"/>
    <n v="0"/>
    <n v="0"/>
    <m/>
    <s v="Kalyanpur"/>
    <m/>
    <n v="0"/>
  </r>
  <r>
    <s v="Munger"/>
    <s v="24-30 Apr"/>
    <n v="1053"/>
    <s v="Kalyanpur"/>
    <x v="716"/>
    <s v="GOMUKH PARAN 2"/>
    <s v="MPG"/>
    <s v="Direct"/>
    <n v="133.85"/>
    <n v="6952.03"/>
    <n v="136.44999999999999"/>
    <n v="6965.4317815539107"/>
    <n v="4.37"/>
    <n v="224.77657659749406"/>
    <n v="140.82"/>
    <n v="7190.2083581514044"/>
    <n v="6952.03"/>
    <n v="0"/>
    <n v="224.77657659749406"/>
    <n v="238.17835815140461"/>
    <n v="576"/>
    <n v="2.2186200000001328"/>
    <n v="0"/>
    <n v="6148"/>
    <n v="0"/>
    <n v="0"/>
    <n v="1"/>
    <n v="0"/>
    <n v="588.10486133731797"/>
    <n v="19.12142857142857"/>
    <n v="-3.4260260406155416E-2"/>
    <n v="12"/>
    <m/>
    <s v="Kalyanpur"/>
    <m/>
    <n v="0"/>
  </r>
  <r>
    <s v="Munger"/>
    <s v="24-30 Apr"/>
    <n v="1053"/>
    <s v="Kalyanpur"/>
    <x v="717"/>
    <s v="GOMUKH KHARAGPUR"/>
    <s v="MPG"/>
    <s v="Direct"/>
    <n v="219.79999999999998"/>
    <n v="11693.34"/>
    <n v="223.96000000000004"/>
    <n v="12149.889543793935"/>
    <n v="0"/>
    <n v="0"/>
    <n v="223.96000000000004"/>
    <n v="12149.889543793935"/>
    <n v="11693.34"/>
    <n v="0"/>
    <n v="0"/>
    <n v="456.5495437939353"/>
    <n v="0"/>
    <n v="0"/>
    <n v="0"/>
    <n v="11693"/>
    <n v="0"/>
    <n v="0"/>
    <n v="0"/>
    <n v="0"/>
    <n v="510.93192611464963"/>
    <n v="31.4"/>
    <n v="-3.9043553321286756E-2"/>
    <n v="10"/>
    <m/>
    <s v="Kalyanpur"/>
    <m/>
    <n v="0"/>
  </r>
  <r>
    <s v="Munger"/>
    <s v="24-30 Apr"/>
    <n v="1053"/>
    <s v="Kalyanpur"/>
    <x v="718"/>
    <s v="KAMARGAMA"/>
    <s v="vlc"/>
    <s v="Indirect"/>
    <n v="432.99999999999994"/>
    <n v="24448.750000000004"/>
    <n v="0"/>
    <n v="0"/>
    <n v="0"/>
    <n v="0"/>
    <n v="0"/>
    <n v="0"/>
    <n v="24448.750000000004"/>
    <n v="0"/>
    <n v="0"/>
    <n v="0"/>
    <n v="0"/>
    <n v="0"/>
    <n v="0"/>
    <n v="0"/>
    <n v="0"/>
    <n v="24448.750000000004"/>
    <n v="0"/>
    <n v="0"/>
    <n v="301.5157621247115"/>
    <n v="61.857142857142847"/>
    <n v="0"/>
    <n v="0"/>
    <m/>
    <s v="Kalyanpur"/>
    <m/>
    <n v="0"/>
  </r>
  <r>
    <s v="Munger"/>
    <s v="24-30 Apr"/>
    <n v="1053"/>
    <s v="Kalyanpur"/>
    <x v="720"/>
    <s v="GOMUKH BALAHA W-9"/>
    <s v="MPG"/>
    <s v="Direct"/>
    <n v="816.34999999999991"/>
    <n v="30423.260000000002"/>
    <n v="775.86999999999989"/>
    <n v="29918.382197706549"/>
    <n v="13.139999999999997"/>
    <n v="500.68404143999999"/>
    <n v="789.00999999999988"/>
    <n v="30419.066239146548"/>
    <n v="30419.066239146548"/>
    <n v="0"/>
    <n v="500.68404143999999"/>
    <n v="0"/>
    <n v="7802"/>
    <n v="0"/>
    <n v="0"/>
    <n v="22115"/>
    <n v="0"/>
    <n v="0"/>
    <n v="6"/>
    <n v="0"/>
    <n v="0"/>
    <n v="0"/>
    <n v="1.378471884161516E-4"/>
    <n v="22"/>
    <m/>
    <s v="Kalyanpur"/>
    <m/>
    <n v="0"/>
  </r>
  <r>
    <s v="Munger"/>
    <s v="24-30 Apr"/>
    <n v="1053"/>
    <s v="Kalyanpur"/>
    <x v="722"/>
    <s v="GOMUKH Madanpur W-3"/>
    <s v="MPG"/>
    <s v="Direct"/>
    <n v="1691.5500000000002"/>
    <n v="81216.81"/>
    <n v="1707.41"/>
    <n v="80134.86223592209"/>
    <n v="24.11"/>
    <n v="1083.8446097905"/>
    <n v="1731.52"/>
    <n v="81218.706845712586"/>
    <n v="81216.81"/>
    <n v="3290"/>
    <n v="1083.8446097905"/>
    <n v="1.8968457125884015"/>
    <n v="0"/>
    <n v="0"/>
    <n v="0"/>
    <n v="76843"/>
    <n v="0"/>
    <n v="0"/>
    <n v="0"/>
    <n v="0"/>
    <n v="0"/>
    <n v="0"/>
    <n v="-2.335533385992877E-5"/>
    <n v="55"/>
    <m/>
    <s v="Kalyanpur"/>
    <m/>
    <n v="0"/>
  </r>
  <r>
    <s v="Munger"/>
    <s v="24-30 Apr"/>
    <n v="1053"/>
    <s v="Kalyanpur"/>
    <x v="723"/>
    <s v="Gomukh Namapur East (08)"/>
    <s v="vlc"/>
    <s v="Indirect"/>
    <n v="316.7"/>
    <n v="11493.189999999999"/>
    <n v="0"/>
    <n v="0"/>
    <n v="0"/>
    <n v="0"/>
    <n v="0"/>
    <n v="0"/>
    <n v="11493.189999999999"/>
    <n v="0"/>
    <n v="0"/>
    <n v="0"/>
    <n v="0"/>
    <n v="150.56672903225811"/>
    <n v="0"/>
    <n v="0"/>
    <n v="0"/>
    <n v="11342.623270967741"/>
    <n v="0"/>
    <n v="0"/>
    <n v="278.20269826334066"/>
    <n v="45.24285714285714"/>
    <n v="0"/>
    <n v="0"/>
    <m/>
    <s v="Kalyanpur"/>
    <m/>
    <n v="0"/>
  </r>
  <r>
    <s v="Munger"/>
    <s v="24-30 Apr"/>
    <n v="1053"/>
    <s v="Kalyanpur"/>
    <x v="724"/>
    <s v="GOMUKH Kalaunjar"/>
    <s v="MPG"/>
    <s v="Direct"/>
    <n v="467.40000000000003"/>
    <n v="20629.75"/>
    <n v="464.67000000000007"/>
    <n v="19512.801041723389"/>
    <n v="30.070000000000004"/>
    <n v="1324.6769887560004"/>
    <n v="494.74000000000007"/>
    <n v="20837.478030479389"/>
    <n v="20629.75"/>
    <n v="0"/>
    <n v="1324.6769887560004"/>
    <n v="207.72803047938942"/>
    <n v="6750"/>
    <n v="0"/>
    <n v="0"/>
    <n v="12555"/>
    <n v="0"/>
    <n v="0"/>
    <n v="0"/>
    <n v="0"/>
    <n v="205.32648053059478"/>
    <n v="66.771428571428572"/>
    <n v="-1.0069343083623864E-2"/>
    <n v="11"/>
    <m/>
    <s v="Kalyanpur"/>
    <m/>
    <n v="0"/>
  </r>
  <r>
    <s v="Munger"/>
    <s v="24-30 Apr"/>
    <n v="1053"/>
    <s v="Kalyanpur"/>
    <x v="725"/>
    <s v="Jitwariya W-11"/>
    <s v="vlc"/>
    <s v="Indirect"/>
    <n v="97.6"/>
    <n v="3882.49"/>
    <n v="0"/>
    <n v="0"/>
    <n v="0"/>
    <n v="0"/>
    <n v="0"/>
    <n v="0"/>
    <n v="3882.49"/>
    <n v="0"/>
    <n v="0"/>
    <n v="0"/>
    <n v="0"/>
    <n v="73.375538709677471"/>
    <n v="0"/>
    <n v="0"/>
    <n v="0"/>
    <n v="3809.1144612903222"/>
    <n v="0"/>
    <n v="0"/>
    <n v="479.26474918032795"/>
    <n v="13.942857142857141"/>
    <n v="0"/>
    <n v="0"/>
    <m/>
    <s v="Kalyanpur"/>
    <m/>
    <n v="0"/>
  </r>
  <r>
    <s v="Munger"/>
    <s v="24-30 Apr"/>
    <n v="1053"/>
    <s v="Kalyanpur"/>
    <x v="726"/>
    <s v="Pastara Lakshman"/>
    <s v="vlc"/>
    <s v="Indirect"/>
    <n v="150.54999999999998"/>
    <n v="5389.17"/>
    <n v="0"/>
    <n v="0"/>
    <n v="0"/>
    <n v="0"/>
    <n v="0"/>
    <n v="0"/>
    <n v="5389.17"/>
    <n v="0"/>
    <n v="0"/>
    <n v="0"/>
    <n v="0"/>
    <n v="307.3473483870971"/>
    <n v="0"/>
    <n v="0"/>
    <n v="0"/>
    <n v="5081.8226516129034"/>
    <n v="0"/>
    <n v="0"/>
    <n v="393.36824397210239"/>
    <n v="21.507142857142856"/>
    <n v="0"/>
    <n v="0"/>
    <m/>
    <s v="Kalyanpur"/>
    <m/>
    <n v="0"/>
  </r>
  <r>
    <s v="Munger"/>
    <s v="24-30 Apr"/>
    <n v="1053"/>
    <s v="Kalyanpur"/>
    <x v="727"/>
    <s v="GOMUKH DADHIYA-2"/>
    <s v="MPG"/>
    <s v="Direct"/>
    <n v="1495.0500000000002"/>
    <n v="66339.87999999999"/>
    <n v="1481.6499999999996"/>
    <n v="66367.197415867442"/>
    <n v="22.62"/>
    <n v="1016.8268877790199"/>
    <n v="1504.2699999999995"/>
    <n v="67384.024303646467"/>
    <n v="66339.87999999999"/>
    <n v="0"/>
    <n v="1016.8268877790199"/>
    <n v="1044.1443036464771"/>
    <n v="937"/>
    <n v="0"/>
    <n v="0"/>
    <n v="64386"/>
    <n v="0"/>
    <n v="0"/>
    <n v="0"/>
    <s v="Release1"/>
    <n v="0"/>
    <n v="0"/>
    <n v="-1.5739315531569806E-2"/>
    <n v="39"/>
    <m/>
    <s v="Kalyanpur"/>
    <m/>
    <n v="0"/>
  </r>
  <r>
    <s v="Munger"/>
    <s v="24-30 Apr"/>
    <n v="1053"/>
    <s v="Kalyanpur"/>
    <x v="728"/>
    <s v="GOMUKH PREMNAGAR"/>
    <s v="MPG"/>
    <s v="Direct"/>
    <n v="1087.75"/>
    <n v="42281.189999999995"/>
    <n v="1052.8899999999996"/>
    <n v="42356.871169326885"/>
    <n v="9.06"/>
    <n v="327.53334339000003"/>
    <n v="1061.9499999999996"/>
    <n v="42684.404512716887"/>
    <n v="42281.189999999995"/>
    <n v="0"/>
    <n v="205.37414330400003"/>
    <n v="403.21451271689148"/>
    <n v="1450"/>
    <n v="0"/>
    <n v="0"/>
    <n v="40504"/>
    <n v="122"/>
    <n v="0"/>
    <n v="0"/>
    <n v="0"/>
    <n v="0"/>
    <n v="0"/>
    <n v="-9.5364986822010344E-3"/>
    <n v="30"/>
    <m/>
    <s v="Kalyanpur"/>
    <m/>
    <n v="0"/>
  </r>
  <r>
    <s v="Munger"/>
    <s v="24-30 Apr"/>
    <n v="1053"/>
    <s v="Kalyanpur"/>
    <x v="729"/>
    <s v="GOMUKH JITWARIYA W-6"/>
    <s v="MPG"/>
    <s v="Direct"/>
    <n v="1720.3999999999996"/>
    <n v="69733.310000000012"/>
    <n v="1712.8400000000001"/>
    <n v="69116.039234527925"/>
    <n v="15.030000000000001"/>
    <n v="613.5737644080001"/>
    <n v="1727.8700000000001"/>
    <n v="69729.612998935932"/>
    <n v="69729.612998935932"/>
    <n v="0"/>
    <n v="613.5737644080001"/>
    <n v="0"/>
    <n v="923"/>
    <n v="0"/>
    <n v="0"/>
    <n v="68194"/>
    <n v="0"/>
    <n v="0"/>
    <n v="3"/>
    <n v="0"/>
    <n v="0"/>
    <n v="0"/>
    <n v="5.3016285389002945E-5"/>
    <n v="38"/>
    <m/>
    <s v="Kalyanpur"/>
    <m/>
    <n v="0"/>
  </r>
  <r>
    <s v="Munger"/>
    <s v="24-30 Apr"/>
    <n v="1053"/>
    <s v="Kalyanpur"/>
    <x v="730"/>
    <s v="GOMUKH SUSTA"/>
    <s v="MPG"/>
    <s v="Direct"/>
    <n v="591.09999999999991"/>
    <n v="27193.919999999998"/>
    <n v="594.62999999999988"/>
    <n v="27249.187158230114"/>
    <n v="0.2"/>
    <n v="7.8938164800000017"/>
    <n v="594.82999999999993"/>
    <n v="27257.080974710112"/>
    <n v="27193.919999999998"/>
    <n v="0"/>
    <n v="7.8938164800000017"/>
    <n v="63.160974710113805"/>
    <n v="9533"/>
    <n v="198.42484838709555"/>
    <n v="0"/>
    <n v="17455"/>
    <n v="0"/>
    <n v="0"/>
    <n v="0"/>
    <s v="Release1"/>
    <n v="100.20023305701241"/>
    <n v="84.442857142857136"/>
    <n v="-2.3226138309634585E-3"/>
    <n v="25"/>
    <m/>
    <s v="Kalyanpur"/>
    <m/>
    <n v="0"/>
  </r>
  <r>
    <s v="Munger"/>
    <s v="24-30 Apr"/>
    <n v="1012"/>
    <s v="DalsinghSarai"/>
    <x v="732"/>
    <s v="BHATGAMA W-5"/>
    <s v="vlc"/>
    <s v="Indirect"/>
    <n v="268.63"/>
    <n v="9796.4600000000009"/>
    <n v="0"/>
    <n v="0"/>
    <n v="0"/>
    <n v="0"/>
    <n v="0"/>
    <n v="0"/>
    <n v="9796.4600000000009"/>
    <n v="0"/>
    <n v="0"/>
    <n v="0"/>
    <n v="0"/>
    <n v="0"/>
    <n v="0"/>
    <n v="0"/>
    <n v="0"/>
    <n v="9796.4600000000009"/>
    <n v="0"/>
    <n v="0"/>
    <n v="314.62598743252806"/>
    <n v="38.375714285714288"/>
    <n v="0"/>
    <n v="0"/>
    <m/>
    <s v="DalsinghSarai"/>
    <m/>
    <n v="0"/>
  </r>
  <r>
    <s v="Munger"/>
    <s v="24-30 Apr"/>
    <n v="1053"/>
    <s v="Kalyanpur"/>
    <x v="733"/>
    <s v="GOMUKH TOKE"/>
    <s v="MPG"/>
    <s v="Direct"/>
    <n v="303.99999999999994"/>
    <n v="15091.93"/>
    <n v="305.5"/>
    <n v="14716.056064094897"/>
    <n v="7.8999999999999986"/>
    <n v="370.69071843980004"/>
    <n v="313.39999999999998"/>
    <n v="15086.746782534698"/>
    <n v="15086.746782534698"/>
    <n v="0"/>
    <n v="370.69071843980004"/>
    <n v="0"/>
    <n v="0"/>
    <n v="0"/>
    <n v="0"/>
    <n v="14716"/>
    <n v="0"/>
    <n v="0"/>
    <n v="5"/>
    <n v="0"/>
    <n v="393.1844921052633"/>
    <n v="43.428571428571423"/>
    <n v="3.434429834555774E-4"/>
    <n v="15"/>
    <m/>
    <s v="Kalyanpur"/>
    <m/>
    <n v="0"/>
  </r>
  <r>
    <s v="Munger"/>
    <s v="24-30 Apr"/>
    <n v="1053"/>
    <s v="Kalyanpur"/>
    <x v="734"/>
    <s v="GOMUKH SHIVNAGAR"/>
    <s v="MPG"/>
    <s v="Direct"/>
    <n v="965.35"/>
    <n v="36931.850000000013"/>
    <n v="734.4000000000002"/>
    <n v="27867.966065911041"/>
    <n v="222.90000000000003"/>
    <n v="9040.7239045176429"/>
    <n v="957.30000000000018"/>
    <n v="36908.689970428684"/>
    <n v="36908.689970428684"/>
    <n v="0"/>
    <n v="1250.9437952879998"/>
    <n v="0"/>
    <n v="4663"/>
    <n v="0"/>
    <n v="0"/>
    <n v="23205"/>
    <n v="7791"/>
    <n v="0"/>
    <n v="22"/>
    <n v="0"/>
    <n v="0"/>
    <n v="0"/>
    <n v="6.2710179888981381E-4"/>
    <n v="18"/>
    <m/>
    <s v="Kalyanpur"/>
    <m/>
    <n v="0"/>
  </r>
  <r>
    <s v="Munger"/>
    <s v="24-30 Apr"/>
    <n v="1053"/>
    <s v="Kalyanpur"/>
    <x v="735"/>
    <s v="GOMUKH BAKHITIYARPUR"/>
    <s v="MPG"/>
    <s v="Direct"/>
    <n v="1004.5999999999998"/>
    <n v="44684.26"/>
    <n v="990.4"/>
    <n v="43663.755589713583"/>
    <n v="23.6"/>
    <n v="1013.5619802"/>
    <n v="1014"/>
    <n v="44677.317569913583"/>
    <n v="44677.317569913583"/>
    <n v="0"/>
    <n v="1013.5619802"/>
    <n v="0"/>
    <n v="461"/>
    <n v="0"/>
    <n v="0"/>
    <n v="43203"/>
    <n v="0"/>
    <n v="0"/>
    <n v="7"/>
    <s v="Release1"/>
    <n v="0"/>
    <n v="0"/>
    <n v="1.5536634346007599E-4"/>
    <n v="33"/>
    <m/>
    <s v="Kalyanpur"/>
    <m/>
    <n v="0"/>
  </r>
  <r>
    <s v="Munger"/>
    <s v="24-30 Apr"/>
    <n v="1053"/>
    <s v="Kalyanpur"/>
    <x v="736"/>
    <s v="GOMUKH BHARJA"/>
    <s v="MPG"/>
    <s v="Direct"/>
    <n v="279.25"/>
    <n v="15001.200000000003"/>
    <n v="279.39999999999998"/>
    <n v="14457.391929678202"/>
    <n v="9"/>
    <n v="507.937156749"/>
    <n v="288.39999999999998"/>
    <n v="14965.329086427202"/>
    <n v="14965.329086427202"/>
    <n v="0"/>
    <n v="507.937156749"/>
    <n v="0"/>
    <n v="13226"/>
    <n v="1231.8504290322583"/>
    <n v="0"/>
    <n v="0"/>
    <n v="0"/>
    <n v="0"/>
    <n v="35"/>
    <s v="Release1"/>
    <n v="452.05048522829014"/>
    <n v="39.892857142857146"/>
    <n v="2.3912029419513379E-3"/>
    <n v="3"/>
    <m/>
    <s v="Kalyanpur"/>
    <m/>
    <n v="0"/>
  </r>
  <r>
    <s v="Munger"/>
    <s v="24-30 Apr"/>
    <n v="1053"/>
    <s v="Kalyanpur"/>
    <x v="737"/>
    <s v="GOMUKH NAWABGANJ"/>
    <s v="MPG"/>
    <s v="Direct"/>
    <n v="589.90000000000009"/>
    <n v="24705.129999999997"/>
    <n v="581.80000000000007"/>
    <n v="24339.807180327123"/>
    <n v="8.3999999999999986"/>
    <n v="343.61818992280001"/>
    <n v="590.20000000000005"/>
    <n v="24683.425370249923"/>
    <n v="24683.425370249923"/>
    <n v="0"/>
    <n v="343.61818992280001"/>
    <n v="0"/>
    <n v="644"/>
    <n v="0"/>
    <n v="0"/>
    <n v="23697"/>
    <n v="0"/>
    <n v="0"/>
    <n v="21"/>
    <s v="Release1"/>
    <n v="92.220200474656608"/>
    <n v="84.271428571428586"/>
    <n v="8.7854748184181485E-4"/>
    <n v="18"/>
    <m/>
    <s v="Kalyanpur"/>
    <m/>
    <n v="0"/>
  </r>
  <r>
    <s v="Munger"/>
    <s v="24-30 Apr"/>
    <n v="1053"/>
    <s v="Kalyanpur"/>
    <x v="738"/>
    <s v="Gomukh Somnaha Naya Tola"/>
    <s v="vlc"/>
    <s v="Direct"/>
    <n v="9.9"/>
    <n v="368.5"/>
    <n v="6.9"/>
    <n v="365.67229932900005"/>
    <n v="0"/>
    <n v="0"/>
    <n v="6.9"/>
    <n v="365.67229932900005"/>
    <n v="365.67229932900005"/>
    <n v="0"/>
    <n v="0"/>
    <n v="0"/>
    <n v="0"/>
    <n v="366"/>
    <n v="0"/>
    <n v="0"/>
    <n v="0"/>
    <n v="0"/>
    <n v="3"/>
    <s v="Release1"/>
    <n v="513.74111111111108"/>
    <n v="1.4142857142857144"/>
    <n v="7.6735432048845196E-3"/>
    <n v="1"/>
    <m/>
    <s v="Kalyanpur"/>
    <m/>
    <n v="0"/>
  </r>
  <r>
    <s v="Munger"/>
    <s v="24-30 Apr"/>
    <n v="1053"/>
    <s v="Kalyanpur"/>
    <x v="739"/>
    <s v="GOMUKH CHAKKI"/>
    <s v="MPG"/>
    <s v="Direct"/>
    <n v="279.50000000000006"/>
    <n v="11622.310000000001"/>
    <n v="261.77999999999997"/>
    <n v="11668.913548450952"/>
    <n v="2.2600000000000002"/>
    <n v="99.818905162800007"/>
    <n v="264.03999999999996"/>
    <n v="11768.732453613751"/>
    <n v="11622.310000000001"/>
    <n v="0"/>
    <n v="99.818905162800007"/>
    <n v="146.42245361374989"/>
    <n v="300"/>
    <n v="0"/>
    <n v="0"/>
    <n v="11222"/>
    <n v="0"/>
    <n v="0"/>
    <n v="0"/>
    <n v="0"/>
    <n v="349.70886261180669"/>
    <n v="39.928571428571438"/>
    <n v="-1.2598395122290653E-2"/>
    <n v="15"/>
    <m/>
    <s v="Kalyanpur"/>
    <m/>
    <n v="0"/>
  </r>
  <r>
    <s v="Munger"/>
    <s v="24-30 Apr"/>
    <n v="1053"/>
    <s v="Kalyanpur"/>
    <x v="740"/>
    <s v="GOMUKH LAKSHMAN NAGAR"/>
    <s v="MPG"/>
    <s v="Direct"/>
    <n v="304.04999999999995"/>
    <n v="12707.889999999996"/>
    <n v="292.10000000000002"/>
    <n v="12650.038062678343"/>
    <n v="1.4"/>
    <n v="54.266646059999999"/>
    <n v="293.5"/>
    <n v="12704.304708738342"/>
    <n v="12704.304708738342"/>
    <n v="0"/>
    <n v="54.266646059999999"/>
    <n v="0"/>
    <n v="0"/>
    <n v="0"/>
    <n v="0"/>
    <n v="12650"/>
    <n v="0"/>
    <n v="0"/>
    <n v="4"/>
    <n v="0"/>
    <n v="330.97773691827001"/>
    <n v="43.435714285714276"/>
    <n v="2.8213112181910344E-4"/>
    <n v="13"/>
    <m/>
    <s v="Kalyanpur"/>
    <m/>
    <n v="0"/>
  </r>
  <r>
    <s v="Munger"/>
    <s v="24-30 Apr"/>
    <n v="1053"/>
    <s v="Kalyanpur"/>
    <x v="741"/>
    <s v="GOMUKH KOTHIYA"/>
    <s v="MPG"/>
    <s v="Direct"/>
    <n v="91.949999999999989"/>
    <n v="3743.87"/>
    <n v="90.300000000000011"/>
    <n v="3482.0604543876202"/>
    <n v="0"/>
    <n v="0"/>
    <n v="90.300000000000011"/>
    <n v="3482.0604543876202"/>
    <n v="3482.0604543876202"/>
    <n v="0"/>
    <n v="0"/>
    <n v="0"/>
    <n v="2288"/>
    <n v="0"/>
    <n v="0"/>
    <n v="1193"/>
    <n v="0"/>
    <n v="0"/>
    <n v="263"/>
    <s v="Release1"/>
    <n v="495.15174627514949"/>
    <n v="13.135714285714284"/>
    <n v="6.9930191382815018E-2"/>
    <n v="4"/>
    <m/>
    <s v="Kalyanpur"/>
    <m/>
    <n v="0"/>
  </r>
  <r>
    <s v="Munger"/>
    <s v="24-30 Apr"/>
    <n v="1053"/>
    <s v="Kalyanpur"/>
    <x v="742"/>
    <s v="GOMUKH JHAHURI"/>
    <s v="MPG"/>
    <s v="Direct"/>
    <n v="1723.9499999999998"/>
    <n v="73456.23"/>
    <n v="1717.4999999999995"/>
    <n v="73760.947153417161"/>
    <n v="26.1"/>
    <n v="1096.0250083200001"/>
    <n v="1743.5999999999995"/>
    <n v="74856.972161737154"/>
    <n v="73456.23"/>
    <n v="0"/>
    <n v="1096.0250083200001"/>
    <n v="1400.7421617371583"/>
    <n v="32572"/>
    <n v="0"/>
    <n v="0"/>
    <n v="39788"/>
    <n v="0"/>
    <n v="0"/>
    <n v="0"/>
    <s v="Release1"/>
    <n v="0"/>
    <n v="0"/>
    <n v="-1.906907231336482E-2"/>
    <n v="29"/>
    <m/>
    <s v="Kalyanpur"/>
    <m/>
    <n v="0"/>
  </r>
  <r>
    <s v="Munger"/>
    <s v="24-30 Apr"/>
    <n v="1053"/>
    <s v="Kalyanpur"/>
    <x v="744"/>
    <s v="GOMUKH Gopalpur Ward 1"/>
    <s v="MPG"/>
    <s v="Direct"/>
    <n v="164.3"/>
    <n v="6251.11"/>
    <n v="165.13"/>
    <n v="6006.1923247194009"/>
    <n v="1.31"/>
    <n v="47.298091420800006"/>
    <n v="166.44"/>
    <n v="6053.490416140201"/>
    <n v="6053.490416140201"/>
    <n v="0"/>
    <n v="47.298091420800006"/>
    <n v="0"/>
    <n v="0"/>
    <n v="133.84"/>
    <n v="0"/>
    <n v="5872"/>
    <n v="0"/>
    <n v="0"/>
    <n v="198"/>
    <s v="Release1"/>
    <n v="407.63476895922082"/>
    <n v="23.471428571428572"/>
    <n v="3.1613518856618859E-2"/>
    <n v="3"/>
    <m/>
    <s v="Kalyanpur"/>
    <m/>
    <n v="0"/>
  </r>
  <r>
    <s v="Munger"/>
    <s v="24-30 Apr"/>
    <n v="1053"/>
    <s v="Kalyanpur"/>
    <x v="745"/>
    <s v="GOMUKH Keotsa"/>
    <s v="MPG"/>
    <s v="Direct"/>
    <n v="421.64999999999992"/>
    <n v="14948.98"/>
    <n v="419.29999999999995"/>
    <n v="14829.61025375285"/>
    <n v="2.98"/>
    <n v="106.972620777"/>
    <n v="422.28"/>
    <n v="14936.58287452985"/>
    <n v="14936.58287452985"/>
    <n v="0"/>
    <n v="106.972620777"/>
    <n v="0"/>
    <n v="2700"/>
    <n v="0"/>
    <n v="0"/>
    <n v="12129"/>
    <n v="0"/>
    <n v="0"/>
    <n v="13"/>
    <n v="0"/>
    <n v="197.36978930392513"/>
    <n v="60.235714285714273"/>
    <n v="8.2929574259581987E-4"/>
    <n v="7"/>
    <m/>
    <s v="Kalyanpur"/>
    <m/>
    <n v="0"/>
  </r>
  <r>
    <s v="Munger"/>
    <s v="24-30 Apr"/>
    <n v="1053"/>
    <s v="Kalyanpur"/>
    <x v="1010"/>
    <s v="Gomukh Namapur East"/>
    <s v="vlc"/>
    <s v="Indirect"/>
    <n v="215.2"/>
    <n v="11898.95"/>
    <n v="0"/>
    <n v="0"/>
    <n v="0"/>
    <n v="0"/>
    <n v="0"/>
    <n v="0"/>
    <n v="11898.95"/>
    <n v="0"/>
    <n v="0"/>
    <n v="0"/>
    <n v="0"/>
    <n v="0"/>
    <n v="0"/>
    <n v="0"/>
    <n v="0"/>
    <n v="11898.95"/>
    <n v="0"/>
    <n v="0"/>
    <n v="536.11626022304858"/>
    <n v="30.74285714285714"/>
    <n v="0"/>
    <n v="0"/>
    <m/>
    <s v="Kalyanpur"/>
    <m/>
    <n v="0"/>
  </r>
  <r>
    <s v="Munger"/>
    <s v="24-30 Apr"/>
    <n v="1053"/>
    <s v="Kalyanpur"/>
    <x v="746"/>
    <s v="GOMUKH Waini"/>
    <s v="MPG"/>
    <s v="Direct"/>
    <n v="154.60000000000002"/>
    <n v="6133.9000000000005"/>
    <n v="164.24"/>
    <n v="6219.5414631336007"/>
    <n v="4.9399999999999995"/>
    <n v="180.62723321280006"/>
    <n v="169.18"/>
    <n v="6400.1686963464008"/>
    <n v="6133.9000000000005"/>
    <n v="0"/>
    <n v="180.62723321280006"/>
    <n v="266.26869634640025"/>
    <n v="0"/>
    <n v="0"/>
    <n v="0"/>
    <n v="5953"/>
    <n v="0"/>
    <n v="0"/>
    <n v="0"/>
    <n v="0"/>
    <n v="432.78513065976711"/>
    <n v="22.085714285714289"/>
    <n v="-4.3409363756566004E-2"/>
    <n v="4"/>
    <m/>
    <s v="Kalyanpur"/>
    <m/>
    <n v="0"/>
  </r>
  <r>
    <s v="Munger"/>
    <s v="24-30 Apr"/>
    <n v="1053"/>
    <s v="Kalyanpur"/>
    <x v="747"/>
    <s v="GOMUKH SAKARI"/>
    <s v="MPG"/>
    <s v="Direct"/>
    <n v="1391.6999999999998"/>
    <n v="59181.09"/>
    <n v="1378.59"/>
    <n v="58781.729192369719"/>
    <n v="8.3000000000000007"/>
    <n v="364.77568604801007"/>
    <n v="1386.8899999999999"/>
    <n v="59146.504878417727"/>
    <n v="59146.504878417727"/>
    <n v="0"/>
    <n v="364.77568604801007"/>
    <n v="0"/>
    <n v="15430"/>
    <n v="0"/>
    <n v="0"/>
    <n v="43351"/>
    <n v="0"/>
    <n v="0"/>
    <n v="35"/>
    <n v="0"/>
    <n v="0"/>
    <n v="0"/>
    <n v="5.843948055412547E-4"/>
    <n v="10"/>
    <m/>
    <s v="Kalyanpur"/>
    <m/>
    <n v="0"/>
  </r>
  <r>
    <s v="Munger"/>
    <s v="24-30 Apr"/>
    <n v="1053"/>
    <s v="Kalyanpur"/>
    <x v="748"/>
    <s v="GOMUKH DHOBGAMA"/>
    <s v="MPG"/>
    <s v="Direct"/>
    <n v="648.25000000000011"/>
    <n v="26499.170000000002"/>
    <n v="638.91000000000008"/>
    <n v="25034.861701756061"/>
    <n v="17.459999999999997"/>
    <n v="701.05794043407991"/>
    <n v="656.37000000000012"/>
    <n v="25735.91964219014"/>
    <n v="25735.91964219014"/>
    <n v="0"/>
    <n v="701.05794043407991"/>
    <n v="0"/>
    <n v="0"/>
    <n v="0"/>
    <n v="0"/>
    <n v="25034"/>
    <n v="0"/>
    <n v="0"/>
    <n v="764"/>
    <n v="0"/>
    <n v="42.308740377940502"/>
    <n v="92.607142857142875"/>
    <n v="2.8802802420221544E-2"/>
    <n v="19"/>
    <m/>
    <s v="Kalyanpur"/>
    <m/>
    <n v="0"/>
  </r>
  <r>
    <s v="Munger"/>
    <s v="24-30 Apr"/>
    <n v="1053"/>
    <s v="Kalyanpur"/>
    <x v="1011"/>
    <s v="GOMUKH BHUSKOUL"/>
    <s v="MPG"/>
    <s v="Direct"/>
    <n v="733.99999999999989"/>
    <n v="29764.660000000003"/>
    <n v="723.64"/>
    <n v="27773.204308411467"/>
    <n v="15.03"/>
    <n v="604.042045992"/>
    <n v="738.67"/>
    <n v="28377.246354403465"/>
    <n v="28377.246354403465"/>
    <n v="0"/>
    <n v="604.042045992"/>
    <n v="0"/>
    <n v="0"/>
    <n v="0"/>
    <n v="0"/>
    <n v="27773"/>
    <n v="0"/>
    <n v="0"/>
    <n v="1388"/>
    <n v="0"/>
    <n v="0"/>
    <n v="0"/>
    <n v="4.6612783267019946E-2"/>
    <n v="20"/>
    <m/>
    <s v="Kalyanpur"/>
    <m/>
    <n v="0"/>
  </r>
  <r>
    <s v="Munger"/>
    <s v="24-30 Apr"/>
    <n v="1053"/>
    <s v="Kalyanpur"/>
    <x v="749"/>
    <s v="GOMUKH BIRSINGHPUR"/>
    <s v="MPG"/>
    <s v="Direct"/>
    <n v="282.75"/>
    <n v="10877.619999999999"/>
    <n v="282.60000000000002"/>
    <n v="10843.60189374"/>
    <n v="0.35"/>
    <n v="13.292781480000004"/>
    <n v="282.95000000000005"/>
    <n v="10856.894675220001"/>
    <n v="10856.894675220001"/>
    <n v="0"/>
    <n v="13.292781480000004"/>
    <n v="0"/>
    <n v="4500"/>
    <n v="0"/>
    <n v="0"/>
    <n v="6344"/>
    <n v="0"/>
    <n v="0"/>
    <n v="20"/>
    <n v="0"/>
    <n v="321.03886436781607"/>
    <n v="40.392857142857146"/>
    <n v="1.9053179629365726E-3"/>
    <n v="2"/>
    <m/>
    <s v="Kalyanpur"/>
    <m/>
    <n v="0"/>
  </r>
  <r>
    <s v="Munger"/>
    <s v="24-30 Apr"/>
    <n v="1053"/>
    <s v="Kalyanpur"/>
    <x v="1060"/>
    <s v="GOMUKH GHOSRAWAN"/>
    <s v="MPG"/>
    <s v="Direct"/>
    <n v="443.55000000000007"/>
    <n v="16801.089999999997"/>
    <n v="441.96000000000004"/>
    <n v="16836.626338368958"/>
    <n v="3.3200000000000003"/>
    <n v="130.62556108800001"/>
    <n v="445.28000000000003"/>
    <n v="16967.251899456958"/>
    <n v="16801.089999999997"/>
    <n v="0"/>
    <n v="130.62556108800001"/>
    <n v="166.16189945696169"/>
    <n v="7500"/>
    <n v="0"/>
    <n v="0"/>
    <n v="9170"/>
    <n v="0"/>
    <n v="0"/>
    <n v="0"/>
    <n v="0"/>
    <n v="194.27976690339295"/>
    <n v="63.364285714285721"/>
    <n v="-9.8899475841723195E-3"/>
    <n v="6"/>
    <m/>
    <s v="Kalyanpur"/>
    <m/>
    <n v="0"/>
  </r>
  <r>
    <s v="Munger"/>
    <s v="24-30 Apr"/>
    <n v="1053"/>
    <s v="Kalyanpur"/>
    <x v="1040"/>
    <s v="GOMUKH DHROOVGAMA W-12"/>
    <s v="vlc"/>
    <s v="Indirect"/>
    <n v="258.35000000000002"/>
    <n v="9498.4600000000009"/>
    <n v="0"/>
    <n v="0"/>
    <n v="0"/>
    <n v="0"/>
    <n v="0"/>
    <n v="0"/>
    <n v="9498.4600000000009"/>
    <n v="0"/>
    <n v="0"/>
    <n v="0"/>
    <n v="0"/>
    <n v="0"/>
    <n v="0"/>
    <n v="0"/>
    <n v="0"/>
    <n v="9498.4600000000009"/>
    <n v="0"/>
    <n v="0"/>
    <n v="324.75284373911359"/>
    <n v="36.907142857142858"/>
    <n v="0"/>
    <n v="0"/>
    <m/>
    <s v="Kalyanpur"/>
    <m/>
    <n v="0"/>
  </r>
  <r>
    <s v="Munger"/>
    <s v="24-30 Apr"/>
    <n v="1054"/>
    <s v="Alauli "/>
    <x v="750"/>
    <s v="GOMUKH ANANDPUR PARAS 2"/>
    <s v="MPG"/>
    <s v="Direct"/>
    <n v="2900.7"/>
    <n v="117564.51000000001"/>
    <n v="2900.7"/>
    <n v="117557.41462344001"/>
    <n v="0"/>
    <n v="0"/>
    <n v="2900.7"/>
    <n v="117557.41462344001"/>
    <n v="117557.41462344001"/>
    <n v="0"/>
    <n v="0"/>
    <n v="0"/>
    <n v="0"/>
    <n v="0"/>
    <n v="0"/>
    <n v="117557"/>
    <n v="0"/>
    <n v="0"/>
    <n v="8"/>
    <n v="0"/>
    <n v="0"/>
    <n v="0"/>
    <n v="6.0353048381682873E-5"/>
    <n v="1"/>
    <m/>
    <s v="Alauli "/>
    <m/>
    <n v="0"/>
  </r>
  <r>
    <s v="Munger"/>
    <s v="24-30 Apr"/>
    <n v="1054"/>
    <s v="Alauli "/>
    <x v="751"/>
    <s v="GOMUKH GADBANNI"/>
    <s v="MPG"/>
    <s v="Direct"/>
    <n v="191.9"/>
    <n v="7725.8600000000006"/>
    <n v="698.68999999999994"/>
    <n v="28103.5184975226"/>
    <n v="0"/>
    <n v="0"/>
    <n v="698.68999999999994"/>
    <n v="28103.5184975226"/>
    <n v="7725.8600000000006"/>
    <n v="0"/>
    <n v="0"/>
    <n v="20377.6584975226"/>
    <n v="0"/>
    <n v="384.58"/>
    <n v="0"/>
    <n v="7341"/>
    <n v="0"/>
    <n v="0"/>
    <n v="0"/>
    <s v="Release1"/>
    <n v="409.12031954142788"/>
    <n v="27.414285714285715"/>
    <n v="-2.6375909604267482"/>
    <n v="9"/>
    <m/>
    <s v="Alauli "/>
    <m/>
    <n v="0"/>
  </r>
  <r>
    <s v="Munger"/>
    <s v="24-30 Apr"/>
    <n v="1054"/>
    <s v="Alauli "/>
    <x v="752"/>
    <s v="GOMUKH PARRI"/>
    <s v="MPG"/>
    <s v="Direct"/>
    <n v="196.29999999999998"/>
    <n v="9353.7200000000012"/>
    <n v="205.05"/>
    <n v="11005.041266814695"/>
    <n v="0"/>
    <n v="0"/>
    <n v="205.05"/>
    <n v="11005.041266814695"/>
    <n v="9353.7200000000012"/>
    <n v="0"/>
    <n v="0"/>
    <n v="1651.3212668146934"/>
    <n v="0"/>
    <n v="0"/>
    <n v="0"/>
    <n v="9354"/>
    <n v="0"/>
    <n v="0"/>
    <n v="0"/>
    <s v="Release1"/>
    <n v="480.02738298522678"/>
    <n v="28.042857142857141"/>
    <n v="-0.17654166115884304"/>
    <n v="8"/>
    <m/>
    <s v="Alauli "/>
    <m/>
    <n v="0"/>
  </r>
  <r>
    <s v="Munger"/>
    <s v="24-30 Apr"/>
    <n v="1054"/>
    <s v="Alauli "/>
    <x v="753"/>
    <s v="GOMUKH BHIKHARI GHAT"/>
    <s v="MPG"/>
    <s v="Direct"/>
    <n v="984.7"/>
    <n v="41807.719999999994"/>
    <n v="1008.5399999999997"/>
    <n v="42975.496102665114"/>
    <n v="0"/>
    <n v="0"/>
    <n v="1008.5399999999997"/>
    <n v="42975.496102665114"/>
    <n v="41807.719999999994"/>
    <n v="0"/>
    <n v="0"/>
    <n v="1167.7761026651206"/>
    <n v="0"/>
    <n v="1121.0999999999999"/>
    <n v="0"/>
    <n v="40687"/>
    <n v="0"/>
    <n v="0"/>
    <n v="0"/>
    <s v="Release1"/>
    <n v="0"/>
    <n v="0"/>
    <n v="-2.793206859080382E-2"/>
    <n v="33"/>
    <m/>
    <s v="Alauli "/>
    <m/>
    <n v="0"/>
  </r>
  <r>
    <s v="Munger"/>
    <s v="24-30 Apr"/>
    <n v="1054"/>
    <s v="Alauli "/>
    <x v="754"/>
    <s v="Vikash Kumar"/>
    <s v="vlc"/>
    <s v="Indirect"/>
    <n v="2676.2999999999997"/>
    <n v="110119.86000000002"/>
    <n v="0"/>
    <n v="0"/>
    <n v="0"/>
    <n v="0"/>
    <n v="0"/>
    <n v="0"/>
    <n v="110119.86000000002"/>
    <n v="0"/>
    <n v="0"/>
    <n v="0"/>
    <n v="0"/>
    <n v="0"/>
    <n v="0"/>
    <n v="0"/>
    <n v="0"/>
    <n v="110119.86000000002"/>
    <n v="0"/>
    <n v="0"/>
    <n v="0"/>
    <n v="0"/>
    <n v="0"/>
    <n v="0"/>
    <m/>
    <s v="Alauli "/>
    <m/>
    <n v="0"/>
  </r>
  <r>
    <s v="Munger"/>
    <s v="24-30 Apr"/>
    <n v="1054"/>
    <s v="Alauli "/>
    <x v="755"/>
    <s v="Rajkishore Yadav"/>
    <s v="vlc"/>
    <s v="Indirect"/>
    <n v="190.7"/>
    <n v="6557.03"/>
    <n v="0"/>
    <n v="0"/>
    <n v="0"/>
    <n v="0"/>
    <n v="0"/>
    <n v="0"/>
    <n v="6557.03"/>
    <n v="0"/>
    <n v="0"/>
    <n v="0"/>
    <n v="0"/>
    <n v="0"/>
    <n v="0"/>
    <n v="0"/>
    <n v="0"/>
    <n v="6557.03"/>
    <n v="0"/>
    <n v="0"/>
    <n v="350.23548809648668"/>
    <n v="27.24285714285714"/>
    <n v="0"/>
    <n v="0"/>
    <m/>
    <s v="Alauli "/>
    <m/>
    <n v="0"/>
  </r>
  <r>
    <s v="Munger"/>
    <s v="24-30 Apr"/>
    <n v="1054"/>
    <s v="Alauli "/>
    <x v="756"/>
    <s v="BHADAS VLC"/>
    <s v="vlc"/>
    <s v="Indirect"/>
    <n v="71.8"/>
    <n v="2929.94"/>
    <n v="0"/>
    <n v="0"/>
    <n v="0"/>
    <n v="0"/>
    <n v="0"/>
    <n v="0"/>
    <n v="2929.94"/>
    <n v="0"/>
    <n v="0"/>
    <n v="0"/>
    <n v="0"/>
    <n v="0"/>
    <n v="0"/>
    <n v="0"/>
    <n v="0"/>
    <n v="2929.94"/>
    <n v="0"/>
    <n v="0"/>
    <n v="512.69869303621181"/>
    <n v="10.257142857142856"/>
    <n v="0"/>
    <n v="0"/>
    <m/>
    <s v="Alauli "/>
    <m/>
    <n v="0"/>
  </r>
  <r>
    <s v="Munger"/>
    <s v="24-30 Apr"/>
    <n v="1054"/>
    <s v="Alauli "/>
    <x v="758"/>
    <s v="GOMUKH BENHER"/>
    <s v="MPG"/>
    <s v="Direct"/>
    <n v="323.90000000000003"/>
    <n v="16057.649999999998"/>
    <n v="324.14"/>
    <n v="15977.000371857564"/>
    <n v="0.74"/>
    <n v="39.354247503821"/>
    <n v="324.88"/>
    <n v="16016.354619361386"/>
    <n v="16016.354619361386"/>
    <n v="0"/>
    <n v="39.354247503821"/>
    <n v="0"/>
    <n v="0"/>
    <n v="0"/>
    <n v="0"/>
    <n v="15978"/>
    <n v="0"/>
    <n v="0"/>
    <n v="40"/>
    <n v="0"/>
    <n v="372.91029113924037"/>
    <n v="46.271428571428579"/>
    <n v="2.5716951508229532E-3"/>
    <n v="8"/>
    <m/>
    <s v="Alauli "/>
    <m/>
    <n v="0"/>
  </r>
  <r>
    <s v="Munger"/>
    <s v="24-30 Apr"/>
    <n v="1054"/>
    <s v="Alauli "/>
    <x v="759"/>
    <s v="GOMUKH LADORA"/>
    <s v="MPG"/>
    <s v="Direct"/>
    <n v="667.00000000000011"/>
    <n v="24881.73"/>
    <n v="694.66"/>
    <n v="29821.794988789385"/>
    <n v="0"/>
    <n v="0"/>
    <n v="694.66"/>
    <n v="29821.794988789385"/>
    <n v="24881.73"/>
    <n v="0"/>
    <n v="0"/>
    <n v="4940.0649887893851"/>
    <n v="0"/>
    <n v="0"/>
    <n v="0"/>
    <n v="24882"/>
    <n v="0"/>
    <n v="0"/>
    <n v="0"/>
    <n v="0"/>
    <n v="24.620602398800489"/>
    <n v="95.285714285714306"/>
    <n v="-0.19854186138943655"/>
    <n v="2"/>
    <m/>
    <s v="Alauli "/>
    <m/>
    <n v="0"/>
  </r>
  <r>
    <s v="Munger"/>
    <s v="24-30 Apr"/>
    <n v="1054"/>
    <s v="Alauli "/>
    <x v="760"/>
    <s v="GOMUKH SAHSI"/>
    <s v="MPG"/>
    <s v="Direct"/>
    <n v="141"/>
    <n v="6329.43"/>
    <n v="148.85"/>
    <n v="6872.6871435237945"/>
    <n v="0"/>
    <n v="0"/>
    <n v="148.85"/>
    <n v="6872.6871435237945"/>
    <n v="6329.43"/>
    <n v="0"/>
    <n v="0"/>
    <n v="543.25714352379418"/>
    <n v="0"/>
    <n v="0"/>
    <n v="0"/>
    <n v="6329"/>
    <n v="0"/>
    <n v="0"/>
    <n v="0"/>
    <n v="0"/>
    <n v="501.86544255319154"/>
    <n v="20.142857142857142"/>
    <n v="-8.5830342309464541E-2"/>
    <n v="5"/>
    <m/>
    <s v="Alauli "/>
    <m/>
    <n v="0"/>
  </r>
  <r>
    <s v="Munger"/>
    <s v="24-30 Apr"/>
    <n v="1054"/>
    <s v="Alauli "/>
    <x v="761"/>
    <s v="Gomukh Chikni"/>
    <s v="MPG"/>
    <s v="Direct"/>
    <n v="184.70000000000005"/>
    <n v="6994.92"/>
    <n v="186.36"/>
    <n v="6962.0702702760009"/>
    <n v="0"/>
    <n v="0"/>
    <n v="186.36"/>
    <n v="6962.0702702760009"/>
    <n v="6962.0702702760009"/>
    <n v="0"/>
    <n v="0"/>
    <n v="0"/>
    <n v="0"/>
    <n v="0"/>
    <n v="0"/>
    <n v="6962"/>
    <n v="0"/>
    <n v="0"/>
    <n v="33"/>
    <n v="0"/>
    <n v="390.30668933405514"/>
    <n v="26.385714285714293"/>
    <n v="4.6962266507693E-3"/>
    <n v="1"/>
    <m/>
    <s v="Alauli "/>
    <m/>
    <n v="0"/>
  </r>
  <r>
    <s v="Munger"/>
    <s v="24-30 Apr"/>
    <n v="1054"/>
    <s v="Alauli "/>
    <x v="762"/>
    <s v="GOMUKH BUDWA"/>
    <s v="MPG"/>
    <s v="Direct"/>
    <n v="96.399999999999991"/>
    <n v="3413.7500000000005"/>
    <n v="109.2"/>
    <n v="3705.3425944710007"/>
    <n v="0"/>
    <n v="0"/>
    <n v="109.2"/>
    <n v="3705.3425944710007"/>
    <n v="3413.7500000000005"/>
    <n v="0"/>
    <n v="0"/>
    <n v="291.59259447100021"/>
    <n v="0"/>
    <n v="87.66"/>
    <n v="0"/>
    <n v="3326"/>
    <n v="0"/>
    <n v="0"/>
    <n v="0"/>
    <s v="Release1"/>
    <n v="427.49782157676361"/>
    <n v="13.77142857142857"/>
    <n v="-8.5417091020432129E-2"/>
    <n v="6"/>
    <m/>
    <s v="Alauli "/>
    <m/>
    <n v="0"/>
  </r>
  <r>
    <s v="Munger"/>
    <s v="24-30 Apr"/>
    <n v="1054"/>
    <s v="Alauli "/>
    <x v="763"/>
    <s v="GOMUKH GANGIYA"/>
    <s v="MPG"/>
    <s v="Indirect"/>
    <n v="487.3"/>
    <n v="17364.87"/>
    <n v="0"/>
    <n v="0"/>
    <n v="0"/>
    <n v="0"/>
    <n v="0"/>
    <n v="0"/>
    <n v="17364.87"/>
    <n v="0"/>
    <n v="0"/>
    <n v="0"/>
    <n v="0"/>
    <n v="188.52090000000049"/>
    <n v="0"/>
    <n v="0"/>
    <n v="0"/>
    <n v="17176.349099999999"/>
    <n v="0"/>
    <n v="0"/>
    <n v="151.59071820233942"/>
    <n v="69.614285714285714"/>
    <n v="0"/>
    <n v="0"/>
    <m/>
    <s v="Alauli "/>
    <m/>
    <n v="0"/>
  </r>
  <r>
    <s v="Munger"/>
    <s v="24-30 Apr"/>
    <n v="1054"/>
    <s v="Alauli "/>
    <x v="764"/>
    <s v="GOMUKH AMBA ICHARUA"/>
    <s v="MPG"/>
    <s v="Direct"/>
    <n v="606.90000000000009"/>
    <n v="24101.309999999998"/>
    <n v="489.3"/>
    <n v="20254.4015058"/>
    <n v="318.53999999999996"/>
    <n v="13155.256856753203"/>
    <n v="807.83999999999992"/>
    <n v="33409.658362553208"/>
    <n v="24101.309999999998"/>
    <n v="0"/>
    <n v="0"/>
    <n v="9308.3483625532099"/>
    <n v="0"/>
    <n v="0"/>
    <n v="0"/>
    <n v="10945"/>
    <n v="13156"/>
    <n v="0"/>
    <n v="0"/>
    <n v="0"/>
    <n v="73.944042214532757"/>
    <n v="86.700000000000017"/>
    <n v="-0.38621752770090967"/>
    <n v="6"/>
    <m/>
    <s v="Alauli "/>
    <m/>
    <n v="0"/>
  </r>
  <r>
    <s v="Munger"/>
    <s v="24-30 Apr"/>
    <n v="1054"/>
    <s v="Alauli "/>
    <x v="1012"/>
    <s v="RAJAURA VLC"/>
    <s v="vlc"/>
    <s v="Indirect"/>
    <n v="388.50000000000006"/>
    <n v="15138.42"/>
    <n v="0"/>
    <n v="0"/>
    <n v="0"/>
    <n v="0"/>
    <n v="0"/>
    <n v="0"/>
    <n v="15138.42"/>
    <n v="0"/>
    <n v="0"/>
    <n v="0"/>
    <n v="0"/>
    <n v="0"/>
    <n v="0"/>
    <n v="0"/>
    <n v="0"/>
    <n v="15138.42"/>
    <n v="0"/>
    <n v="0"/>
    <n v="242.76024864864857"/>
    <n v="55.500000000000007"/>
    <n v="0"/>
    <n v="0"/>
    <m/>
    <s v="Alauli "/>
    <m/>
    <n v="0"/>
  </r>
  <r>
    <s v="Munger"/>
    <s v="24-30 Apr"/>
    <n v="1054"/>
    <s v="Alauli "/>
    <x v="767"/>
    <s v="GOMUKH JWALAPUR"/>
    <s v="MPG"/>
    <s v="Direct"/>
    <n v="207.6"/>
    <n v="8055.8799999999983"/>
    <n v="390"/>
    <n v="15701.837579999999"/>
    <n v="0"/>
    <n v="0"/>
    <n v="390"/>
    <n v="15701.837579999999"/>
    <n v="8055.8799999999983"/>
    <n v="0"/>
    <n v="0"/>
    <n v="7645.9575800000011"/>
    <n v="0"/>
    <n v="0"/>
    <n v="0"/>
    <n v="8056"/>
    <n v="0"/>
    <n v="0"/>
    <n v="0"/>
    <n v="0"/>
    <n v="382.14983737957607"/>
    <n v="29.657142857142855"/>
    <n v="-0.94911512832862488"/>
    <n v="1"/>
    <m/>
    <s v="Alauli "/>
    <m/>
    <n v="0"/>
  </r>
  <r>
    <s v="Munger"/>
    <s v="24-30 Apr"/>
    <n v="1054"/>
    <s v="Alauli "/>
    <x v="768"/>
    <s v="GOMUKH MATHURAPUR"/>
    <s v="MPG"/>
    <s v="Direct"/>
    <n v="171.60000000000002"/>
    <n v="6337.6200000000008"/>
    <n v="180"/>
    <n v="8197.3995840000007"/>
    <n v="0"/>
    <n v="0"/>
    <n v="180"/>
    <n v="8197.3995840000007"/>
    <n v="6337.6200000000008"/>
    <n v="0"/>
    <n v="0"/>
    <n v="1859.7795839999999"/>
    <n v="0"/>
    <n v="66.08330181818198"/>
    <n v="0"/>
    <n v="6272"/>
    <n v="0"/>
    <n v="0"/>
    <n v="0"/>
    <n v="0"/>
    <n v="390.30284475524473"/>
    <n v="24.514285714285716"/>
    <n v="-0.29345078815075687"/>
    <n v="1"/>
    <m/>
    <s v="Alauli "/>
    <m/>
    <n v="0"/>
  </r>
  <r>
    <s v="Munger"/>
    <s v="24-30 Apr"/>
    <n v="1054"/>
    <s v="Alauli "/>
    <x v="769"/>
    <s v="VLC Dhushmuri Bishanpur"/>
    <s v="vlc"/>
    <s v="Indirect"/>
    <n v="297.40000000000003"/>
    <n v="9390.119999999999"/>
    <n v="0"/>
    <n v="0"/>
    <n v="0"/>
    <n v="0"/>
    <n v="0"/>
    <n v="0"/>
    <n v="9390.119999999999"/>
    <n v="0"/>
    <n v="0"/>
    <n v="0"/>
    <n v="0"/>
    <n v="189.98316774193574"/>
    <n v="0"/>
    <n v="0"/>
    <n v="0"/>
    <n v="9200.1368322580638"/>
    <n v="0"/>
    <n v="0"/>
    <n v="254.23418372562196"/>
    <n v="42.485714285714288"/>
    <n v="0"/>
    <n v="0"/>
    <m/>
    <s v="Alauli "/>
    <m/>
    <n v="0"/>
  </r>
  <r>
    <s v="Munger"/>
    <s v="24-30 Apr"/>
    <n v="1054"/>
    <s v="Alauli "/>
    <x v="770"/>
    <s v="VLC Govindpur"/>
    <s v="vlc"/>
    <s v="Indirect"/>
    <n v="17.7"/>
    <n v="665.87"/>
    <n v="0"/>
    <n v="0"/>
    <n v="0"/>
    <n v="0"/>
    <n v="0"/>
    <n v="0"/>
    <n v="665.87"/>
    <n v="0"/>
    <n v="0"/>
    <n v="0"/>
    <n v="0"/>
    <n v="666"/>
    <n v="0"/>
    <n v="0"/>
    <n v="0"/>
    <n v="-0.12999999999999545"/>
    <n v="0"/>
    <s v="Release1"/>
    <n v="513.35943615819212"/>
    <n v="2.5285714285714285"/>
    <n v="0"/>
    <n v="0"/>
    <m/>
    <s v="Alauli "/>
    <m/>
    <n v="0"/>
  </r>
  <r>
    <s v="Munger"/>
    <s v="24-30 Apr"/>
    <n v="1054"/>
    <s v="Alauli "/>
    <x v="771"/>
    <s v="Gomukh Darhi Mor"/>
    <s v="MPG"/>
    <s v="Indirect"/>
    <n v="83.1"/>
    <n v="2972.49"/>
    <n v="0"/>
    <n v="0"/>
    <n v="0"/>
    <n v="0"/>
    <n v="0"/>
    <n v="0"/>
    <n v="2972.49"/>
    <n v="0"/>
    <n v="0"/>
    <n v="0"/>
    <n v="0"/>
    <n v="239.89669411764712"/>
    <n v="0"/>
    <n v="0"/>
    <n v="0"/>
    <n v="2732.5933058823525"/>
    <n v="0"/>
    <n v="0"/>
    <n v="441.33070541516247"/>
    <n v="11.87142857142857"/>
    <n v="0"/>
    <n v="0"/>
    <m/>
    <s v="Alauli "/>
    <m/>
    <n v="0"/>
  </r>
  <r>
    <s v="Munger"/>
    <s v="24-30 Apr"/>
    <n v="1054"/>
    <s v="Alauli "/>
    <x v="772"/>
    <s v="Gomukh Balaur"/>
    <s v="MPG"/>
    <s v="Direct"/>
    <n v="909.00000000000011"/>
    <n v="41566.18"/>
    <n v="909"/>
    <n v="45910.14681708"/>
    <n v="0"/>
    <n v="0"/>
    <n v="909"/>
    <n v="45910.14681708"/>
    <n v="41566.18"/>
    <n v="0"/>
    <n v="0"/>
    <n v="4343.9668170799996"/>
    <n v="0"/>
    <n v="439.15080000000012"/>
    <n v="0"/>
    <n v="41127"/>
    <n v="0"/>
    <n v="0"/>
    <n v="0"/>
    <n v="0"/>
    <n v="0"/>
    <n v="0"/>
    <n v="-0.1045072416344249"/>
    <n v="1"/>
    <m/>
    <s v="Alauli "/>
    <m/>
    <n v="0"/>
  </r>
  <r>
    <s v="Munger"/>
    <s v="24-30 Apr"/>
    <n v="1054"/>
    <s v="Alauli "/>
    <x v="773"/>
    <s v="Gomukh Hathwan - 2"/>
    <s v="MPG"/>
    <s v="Direct"/>
    <n v="432.59999999999997"/>
    <n v="15961.09"/>
    <n v="515"/>
    <n v="21399.757830000002"/>
    <n v="0"/>
    <n v="0"/>
    <n v="515"/>
    <n v="21399.757830000002"/>
    <n v="15961.09"/>
    <n v="0"/>
    <n v="0"/>
    <n v="5438.6678300000021"/>
    <n v="0"/>
    <n v="0"/>
    <n v="0"/>
    <n v="15961"/>
    <n v="0"/>
    <n v="0"/>
    <n v="0"/>
    <n v="0"/>
    <n v="197.31832944983822"/>
    <n v="61.8"/>
    <n v="-0.34074538956925887"/>
    <n v="1"/>
    <m/>
    <s v="Alauli "/>
    <m/>
    <n v="0"/>
  </r>
  <r>
    <s v="Munger"/>
    <s v="24-30 Apr"/>
    <n v="1054"/>
    <s v="Alauli "/>
    <x v="774"/>
    <s v="VLC Sunil Khas"/>
    <s v="vlc"/>
    <s v="Indirect"/>
    <n v="381.8"/>
    <n v="16783.219999999998"/>
    <n v="0"/>
    <n v="0"/>
    <n v="0"/>
    <n v="0"/>
    <n v="0"/>
    <n v="0"/>
    <n v="16783.219999999998"/>
    <n v="0"/>
    <n v="0"/>
    <n v="0"/>
    <n v="0"/>
    <n v="0"/>
    <n v="0"/>
    <n v="0"/>
    <n v="0"/>
    <n v="16783.219999999998"/>
    <n v="0"/>
    <n v="0"/>
    <n v="279.74963876375062"/>
    <n v="54.542857142857144"/>
    <n v="0"/>
    <n v="0"/>
    <m/>
    <s v="Alauli "/>
    <m/>
    <n v="0"/>
  </r>
  <r>
    <s v="Munger"/>
    <s v="24-30 Apr"/>
    <n v="1054"/>
    <s v="Alauli "/>
    <x v="775"/>
    <s v="Gomukh Hathwan "/>
    <s v="MPG"/>
    <s v="Direct"/>
    <n v="258.10000000000002"/>
    <n v="11375.779999999999"/>
    <n v="329.93"/>
    <n v="18940.089589391064"/>
    <n v="0"/>
    <n v="0"/>
    <n v="329.93"/>
    <n v="18940.089589391064"/>
    <n v="11375.779999999999"/>
    <n v="0"/>
    <n v="0"/>
    <n v="7564.3095893910649"/>
    <n v="0"/>
    <n v="803.61764347826079"/>
    <n v="0"/>
    <n v="10572"/>
    <n v="0"/>
    <n v="0"/>
    <n v="0"/>
    <n v="0"/>
    <n v="389.53562045718706"/>
    <n v="36.871428571428574"/>
    <n v="-0.66494865313772467"/>
    <n v="1"/>
    <m/>
    <s v="Alauli "/>
    <m/>
    <n v="0"/>
  </r>
  <r>
    <s v="Munger"/>
    <s v="24-30 Apr"/>
    <n v="1054"/>
    <s v="Alauli "/>
    <x v="776"/>
    <s v="Gomukh Rahul VLC"/>
    <s v="vlc"/>
    <s v="Indirect"/>
    <n v="520.1"/>
    <n v="22456.09"/>
    <n v="0"/>
    <n v="0"/>
    <n v="0"/>
    <n v="0"/>
    <n v="0"/>
    <n v="0"/>
    <n v="22456.09"/>
    <n v="0"/>
    <n v="0"/>
    <n v="0"/>
    <n v="0"/>
    <n v="0"/>
    <n v="0"/>
    <n v="0"/>
    <n v="0"/>
    <n v="22456.09"/>
    <n v="0"/>
    <n v="0"/>
    <n v="155.34899407806193"/>
    <n v="74.3"/>
    <n v="0"/>
    <n v="0"/>
    <m/>
    <s v="Alauli "/>
    <m/>
    <n v="0"/>
  </r>
  <r>
    <s v="Munger"/>
    <s v="24-30 Apr"/>
    <n v="1054"/>
    <s v="Alauli "/>
    <x v="777"/>
    <s v="Gomukh Sachin VLC"/>
    <s v="vlc"/>
    <s v="Indirect"/>
    <n v="226.1"/>
    <n v="8041.2699999999995"/>
    <n v="0"/>
    <n v="0"/>
    <n v="0"/>
    <n v="0"/>
    <n v="0"/>
    <n v="0"/>
    <n v="8041.2699999999995"/>
    <n v="0"/>
    <n v="0"/>
    <n v="0"/>
    <n v="0"/>
    <n v="1512.8021999999999"/>
    <n v="0"/>
    <n v="0"/>
    <n v="0"/>
    <n v="6528.4677999999994"/>
    <n v="0"/>
    <n v="0"/>
    <n v="337.08605510835918"/>
    <n v="32.299999999999997"/>
    <n v="0"/>
    <n v="0"/>
    <m/>
    <s v="Alauli "/>
    <m/>
    <n v="0"/>
  </r>
  <r>
    <s v="Munger"/>
    <s v="24-30 Apr"/>
    <n v="1055"/>
    <s v="Matihani"/>
    <x v="778"/>
    <s v="Balahpur-Anil Yadav"/>
    <s v="vlc"/>
    <s v="Indirect"/>
    <n v="10016"/>
    <n v="357147.23"/>
    <n v="0"/>
    <n v="0"/>
    <n v="0"/>
    <n v="0"/>
    <n v="0"/>
    <n v="0"/>
    <n v="357147.23"/>
    <n v="0"/>
    <n v="0"/>
    <n v="0"/>
    <n v="0"/>
    <n v="0"/>
    <n v="0"/>
    <n v="0"/>
    <n v="0"/>
    <n v="357147.23"/>
    <n v="0"/>
    <n v="0"/>
    <n v="0"/>
    <n v="0"/>
    <n v="0"/>
    <n v="0"/>
    <m/>
    <s v="Matihani"/>
    <m/>
    <n v="0"/>
  </r>
  <r>
    <s v="Munger"/>
    <s v="24-30 Apr"/>
    <n v="1055"/>
    <s v="Matihani"/>
    <x v="779"/>
    <s v="Bagdobh"/>
    <s v="vlc"/>
    <s v="Indirect"/>
    <n v="254.70000000000002"/>
    <n v="9145.8799999999992"/>
    <n v="0"/>
    <n v="0"/>
    <n v="0"/>
    <n v="0"/>
    <n v="0"/>
    <n v="0"/>
    <n v="9145.8799999999992"/>
    <n v="0"/>
    <n v="0"/>
    <n v="0"/>
    <n v="0"/>
    <n v="0"/>
    <n v="0"/>
    <n v="0"/>
    <n v="0"/>
    <n v="9145.8799999999992"/>
    <n v="0"/>
    <n v="0"/>
    <n v="319.80057824892026"/>
    <n v="36.385714285714286"/>
    <n v="0"/>
    <n v="0"/>
    <m/>
    <s v="Matihani"/>
    <m/>
    <n v="0"/>
  </r>
  <r>
    <s v="Munger"/>
    <s v="24-30 Apr"/>
    <n v="1055"/>
    <s v="Matihani"/>
    <x v="780"/>
    <s v="Gomukh Matihani"/>
    <s v="MPG"/>
    <s v="Direct"/>
    <n v="203.8"/>
    <n v="7468.0899999999992"/>
    <n v="205.86999999999998"/>
    <n v="7885.5942401280017"/>
    <n v="0"/>
    <n v="0"/>
    <n v="205.86999999999998"/>
    <n v="7885.5942401280017"/>
    <n v="7468.0899999999992"/>
    <n v="0"/>
    <n v="0"/>
    <n v="417.50424012800249"/>
    <n v="0"/>
    <n v="0"/>
    <n v="0"/>
    <n v="7468"/>
    <n v="0"/>
    <n v="0"/>
    <n v="0"/>
    <n v="0"/>
    <n v="363.65714013738949"/>
    <n v="29.114285714285717"/>
    <n v="-5.5905089538021438E-2"/>
    <n v="2"/>
    <m/>
    <s v="Matihani"/>
    <m/>
    <n v="0"/>
  </r>
  <r>
    <s v="Munger"/>
    <s v="24-30 Apr"/>
    <n v="1055"/>
    <s v="Matihani"/>
    <x v="781"/>
    <s v="Jalalpur"/>
    <s v="vlc"/>
    <s v="Indirect"/>
    <n v="207"/>
    <n v="6994.53"/>
    <n v="0"/>
    <n v="0"/>
    <n v="0"/>
    <n v="0"/>
    <n v="0"/>
    <n v="0"/>
    <n v="6994.53"/>
    <n v="0"/>
    <n v="0"/>
    <n v="0"/>
    <n v="0"/>
    <n v="4796.4774193548392"/>
    <n v="0"/>
    <n v="0"/>
    <n v="0"/>
    <n v="2198.0525806451606"/>
    <n v="0"/>
    <n v="0"/>
    <n v="333.16940000000005"/>
    <n v="29.571428571428573"/>
    <n v="0"/>
    <n v="0"/>
    <m/>
    <s v="Matihani"/>
    <m/>
    <n v="0"/>
  </r>
  <r>
    <s v="Munger"/>
    <s v="24-30 Apr"/>
    <n v="1056"/>
    <s v="Chautham"/>
    <x v="783"/>
    <s v="Gomukh Chautham(Mithun Kumar VLC)"/>
    <s v="vlc"/>
    <s v="Indirect"/>
    <n v="868.77999999999986"/>
    <n v="32268.079999999998"/>
    <n v="0"/>
    <n v="0"/>
    <n v="0"/>
    <n v="0"/>
    <n v="0"/>
    <n v="0"/>
    <n v="32268.079999999998"/>
    <n v="0"/>
    <n v="0"/>
    <n v="0"/>
    <n v="0"/>
    <n v="6610.2464167741928"/>
    <n v="0"/>
    <n v="0"/>
    <n v="0"/>
    <n v="25657.833583225805"/>
    <n v="0"/>
    <n v="0"/>
    <n v="0"/>
    <n v="0"/>
    <n v="0"/>
    <n v="0"/>
    <m/>
    <s v="Chautham"/>
    <m/>
    <n v="0"/>
  </r>
  <r>
    <s v="Munger"/>
    <s v="24-30 Apr"/>
    <n v="1056"/>
    <s v="Chautham"/>
    <x v="784"/>
    <s v="Gomukh Pansalwa"/>
    <s v="vlc"/>
    <s v="Indirect"/>
    <n v="804.68"/>
    <n v="29095.64"/>
    <n v="0"/>
    <n v="0"/>
    <n v="0"/>
    <n v="0"/>
    <n v="0"/>
    <n v="0"/>
    <n v="29095.64"/>
    <n v="0"/>
    <n v="0"/>
    <n v="0"/>
    <n v="0"/>
    <n v="0"/>
    <n v="0"/>
    <n v="0"/>
    <n v="0"/>
    <n v="29095.64"/>
    <n v="0"/>
    <n v="0"/>
    <n v="0"/>
    <n v="0"/>
    <n v="0"/>
    <n v="0"/>
    <m/>
    <s v="Chautham"/>
    <m/>
    <n v="0"/>
  </r>
  <r>
    <s v="Munger"/>
    <s v="24-30 Apr"/>
    <n v="1056"/>
    <s v="Chautham"/>
    <x v="785"/>
    <s v="Gomukh Nawada"/>
    <s v="MPG"/>
    <s v="Direct"/>
    <n v="873.58"/>
    <n v="30622.460000000003"/>
    <n v="876"/>
    <n v="30846.516442632012"/>
    <n v="0"/>
    <n v="0"/>
    <n v="876"/>
    <n v="30846.516442632012"/>
    <n v="30622.460000000003"/>
    <n v="0"/>
    <n v="0"/>
    <n v="224.05644263200884"/>
    <n v="0"/>
    <n v="0"/>
    <n v="0"/>
    <n v="30622"/>
    <n v="0"/>
    <n v="0"/>
    <n v="0"/>
    <n v="0"/>
    <n v="0"/>
    <n v="0"/>
    <n v="-7.3167355800941147E-3"/>
    <n v="1"/>
    <m/>
    <s v="Chautham"/>
    <m/>
    <n v="0"/>
  </r>
  <r>
    <s v="Munger"/>
    <s v="24-30 Apr"/>
    <n v="1056"/>
    <s v="Chautham"/>
    <x v="786"/>
    <s v="Gomukh Yadav Tol Kanauli"/>
    <s v="MPG"/>
    <s v="Direct"/>
    <n v="2046.12"/>
    <n v="84027.66"/>
    <n v="307.50000000000006"/>
    <n v="15116.240604608001"/>
    <n v="1740"/>
    <n v="71351.447666400025"/>
    <n v="2047.5"/>
    <n v="86467.688271008024"/>
    <n v="84027.66"/>
    <n v="0"/>
    <n v="0"/>
    <n v="2440.028271008021"/>
    <n v="0"/>
    <n v="0"/>
    <n v="0"/>
    <n v="12676"/>
    <n v="71352"/>
    <n v="0"/>
    <n v="0"/>
    <n v="0"/>
    <n v="0"/>
    <n v="0"/>
    <n v="-2.9038393679034033E-2"/>
    <n v="3"/>
    <m/>
    <s v="Chautham"/>
    <m/>
    <n v="0"/>
  </r>
  <r>
    <s v="Munger"/>
    <s v="24-30 Apr"/>
    <n v="1056"/>
    <s v="Chautham"/>
    <x v="788"/>
    <s v="Gomukh Hardia"/>
    <s v="MPG"/>
    <s v="Direct"/>
    <n v="176.51"/>
    <n v="7687.0099999999993"/>
    <n v="229.52"/>
    <n v="10755.083524726802"/>
    <n v="0"/>
    <n v="0"/>
    <n v="229.52"/>
    <n v="10755.083524726802"/>
    <n v="7687.0099999999993"/>
    <n v="0"/>
    <n v="0"/>
    <n v="3068.073524726803"/>
    <n v="0"/>
    <n v="0"/>
    <n v="0"/>
    <n v="7687"/>
    <n v="0"/>
    <n v="0"/>
    <n v="0"/>
    <n v="0"/>
    <n v="455.95976034219029"/>
    <n v="25.215714285714284"/>
    <n v="-0.39912443521301566"/>
    <n v="1"/>
    <m/>
    <s v="Chautham"/>
    <m/>
    <n v="0"/>
  </r>
  <r>
    <s v="Munger"/>
    <s v="24-30 Apr"/>
    <n v="1056"/>
    <s v="Chautham"/>
    <x v="789"/>
    <s v="Gomukh Ashatol Paharpur"/>
    <s v="MPG"/>
    <s v="Direct"/>
    <n v="1744.0400000000002"/>
    <n v="65198.78"/>
    <n v="1754.47"/>
    <n v="69313.319772301824"/>
    <n v="0"/>
    <n v="0"/>
    <n v="1754.47"/>
    <n v="69313.319772301824"/>
    <n v="65198.78"/>
    <n v="0"/>
    <n v="0"/>
    <n v="4114.539772301825"/>
    <n v="0"/>
    <n v="0"/>
    <n v="0"/>
    <n v="65199"/>
    <n v="0"/>
    <n v="0"/>
    <n v="0"/>
    <n v="0"/>
    <n v="0"/>
    <n v="0"/>
    <n v="-6.310761907357508E-2"/>
    <n v="12"/>
    <m/>
    <s v="Chautham"/>
    <m/>
    <n v="0"/>
  </r>
  <r>
    <s v="Munger"/>
    <s v="24-30 Apr"/>
    <n v="1056"/>
    <s v="Chautham"/>
    <x v="790"/>
    <s v="Gomukh Kharawa"/>
    <s v="MPG"/>
    <s v="Direct"/>
    <n v="963.88000000000011"/>
    <n v="36216.089999999997"/>
    <n v="969.64999999999975"/>
    <n v="37055.945689983004"/>
    <n v="0"/>
    <n v="0"/>
    <n v="969.64999999999975"/>
    <n v="37055.945689983004"/>
    <n v="36216.089999999997"/>
    <n v="0"/>
    <n v="0"/>
    <n v="839.85568998300732"/>
    <n v="0"/>
    <n v="0"/>
    <n v="0"/>
    <n v="36216"/>
    <n v="0"/>
    <n v="0"/>
    <n v="0"/>
    <n v="0"/>
    <n v="0"/>
    <n v="0"/>
    <n v="-2.3190125990492277E-2"/>
    <n v="2"/>
    <m/>
    <s v="Chautham"/>
    <m/>
    <n v="0"/>
  </r>
  <r>
    <s v="Munger"/>
    <s v="24-30 Apr"/>
    <n v="1056"/>
    <s v="Chautham"/>
    <x v="791"/>
    <s v="Gomukh Patel Nagar"/>
    <s v="vlc"/>
    <s v="Indirect"/>
    <n v="79.94"/>
    <n v="2859.45"/>
    <n v="0"/>
    <n v="0"/>
    <n v="0"/>
    <n v="0"/>
    <n v="0"/>
    <n v="0"/>
    <n v="2859.45"/>
    <n v="0"/>
    <n v="0"/>
    <n v="0"/>
    <n v="0"/>
    <n v="852.37271225806444"/>
    <n v="0"/>
    <n v="0"/>
    <n v="0"/>
    <n v="2007.0772877419354"/>
    <n v="0"/>
    <n v="0"/>
    <n v="443.59033450087554"/>
    <n v="11.42"/>
    <n v="0"/>
    <n v="0"/>
    <m/>
    <s v="Chautham"/>
    <m/>
    <n v="0"/>
  </r>
  <r>
    <s v="Munger"/>
    <s v="24-30 Apr"/>
    <n v="1056"/>
    <s v="Chautham"/>
    <x v="792"/>
    <s v="Gomukh Pachout"/>
    <s v="MPG"/>
    <s v="Direct"/>
    <n v="1014.8599999999999"/>
    <n v="37424.35"/>
    <n v="37.619999999999997"/>
    <n v="1569.2451667200003"/>
    <n v="0"/>
    <n v="0"/>
    <n v="37.619999999999997"/>
    <n v="1569.2451667200003"/>
    <n v="1569.2451667200003"/>
    <n v="0"/>
    <n v="0"/>
    <n v="0"/>
    <n v="0"/>
    <n v="0"/>
    <n v="0"/>
    <n v="1569"/>
    <n v="0"/>
    <n v="0"/>
    <n v="35855"/>
    <n v="0"/>
    <n v="0"/>
    <n v="0"/>
    <n v="0.95806887316092326"/>
    <n v="1"/>
    <m/>
    <s v="Chautham"/>
    <m/>
    <n v="0"/>
  </r>
  <r>
    <s v="Munger"/>
    <s v="24-30 Apr"/>
    <n v="1056"/>
    <s v="Chautham"/>
    <x v="793"/>
    <s v="Gomukh Telihar"/>
    <s v="MPG"/>
    <s v="Direct"/>
    <n v="1178.54"/>
    <n v="45442.97"/>
    <n v="1184.83"/>
    <n v="46584.224581720911"/>
    <n v="0"/>
    <n v="0"/>
    <n v="1184.83"/>
    <n v="46584.224581720911"/>
    <n v="45442.97"/>
    <n v="0"/>
    <n v="0"/>
    <n v="1141.2545817209102"/>
    <n v="0"/>
    <n v="0"/>
    <n v="0"/>
    <n v="45443"/>
    <n v="0"/>
    <n v="0"/>
    <n v="0"/>
    <s v="Release1"/>
    <n v="0"/>
    <n v="0"/>
    <n v="-2.5113996328164953E-2"/>
    <n v="21"/>
    <m/>
    <s v="Chautham"/>
    <m/>
    <n v="0"/>
  </r>
  <r>
    <s v="Munger"/>
    <s v="24-30 Apr"/>
    <n v="1056"/>
    <s v="Chautham"/>
    <x v="794"/>
    <s v="Gomukh Pansalba Ward No 05"/>
    <s v="MPG"/>
    <s v="Indirect"/>
    <n v="1583.86"/>
    <n v="55696.66"/>
    <n v="0"/>
    <n v="0"/>
    <n v="0"/>
    <n v="0"/>
    <n v="0"/>
    <n v="0"/>
    <n v="55696.66"/>
    <n v="0"/>
    <n v="0"/>
    <n v="0"/>
    <n v="0"/>
    <n v="0"/>
    <n v="0"/>
    <n v="0"/>
    <n v="0"/>
    <n v="55696.66"/>
    <n v="0"/>
    <n v="0"/>
    <n v="0"/>
    <n v="0"/>
    <n v="0"/>
    <n v="0"/>
    <m/>
    <s v="Chautham"/>
    <m/>
    <n v="0"/>
  </r>
  <r>
    <s v="Munger"/>
    <s v="24-30 Apr"/>
    <n v="1056"/>
    <s v="Chautham"/>
    <x v="795"/>
    <s v="Gomukh Paharpur Jilebya "/>
    <s v="MPG"/>
    <s v="Direct"/>
    <n v="2008.6999999999998"/>
    <n v="85400.130000000019"/>
    <n v="2011.66"/>
    <n v="85584.133712576993"/>
    <n v="0"/>
    <n v="0"/>
    <n v="2011.66"/>
    <n v="85584.133712576993"/>
    <n v="85400.130000000019"/>
    <n v="0"/>
    <n v="0"/>
    <n v="184.00371257697407"/>
    <n v="0"/>
    <n v="0"/>
    <n v="0"/>
    <n v="85400"/>
    <n v="0"/>
    <n v="0"/>
    <n v="0"/>
    <n v="0"/>
    <n v="0"/>
    <n v="0"/>
    <n v="-2.1546069376823435E-3"/>
    <n v="1"/>
    <m/>
    <s v="Chautham"/>
    <m/>
    <n v="0"/>
  </r>
  <r>
    <s v="Munger"/>
    <s v="24-30 Apr"/>
    <n v="1056"/>
    <s v="Chautham"/>
    <x v="796"/>
    <s v="Gomukh Debka Vlc"/>
    <s v="vlc"/>
    <s v="Indirect"/>
    <n v="120.82000000000001"/>
    <n v="5066.22"/>
    <n v="0"/>
    <n v="0"/>
    <n v="0"/>
    <n v="0"/>
    <n v="0"/>
    <n v="0"/>
    <n v="5066.22"/>
    <n v="0"/>
    <n v="0"/>
    <n v="0"/>
    <n v="0"/>
    <n v="0"/>
    <n v="0"/>
    <n v="0"/>
    <n v="0"/>
    <n v="5066.22"/>
    <n v="0"/>
    <n v="0"/>
    <n v="485.72310869061408"/>
    <n v="17.260000000000002"/>
    <n v="0"/>
    <n v="0"/>
    <m/>
    <s v="Chautham"/>
    <m/>
    <n v="0"/>
  </r>
  <r>
    <s v="Munger"/>
    <s v="24-30 Apr"/>
    <n v="1056"/>
    <s v="Chautham"/>
    <x v="797"/>
    <s v="Gomukh Azad Nagar"/>
    <s v="MPG"/>
    <s v="Direct"/>
    <n v="1007.2600000000001"/>
    <n v="38614.93"/>
    <n v="1004.08"/>
    <n v="39803.124493334508"/>
    <n v="0"/>
    <n v="0"/>
    <n v="1004.08"/>
    <n v="39803.124493334508"/>
    <n v="38614.93"/>
    <n v="0"/>
    <n v="0"/>
    <n v="1188.1944933345076"/>
    <n v="0"/>
    <n v="0"/>
    <n v="0"/>
    <n v="38615"/>
    <n v="0"/>
    <n v="0"/>
    <n v="0"/>
    <n v="0"/>
    <n v="0"/>
    <n v="0"/>
    <n v="-3.0770339175404633E-2"/>
    <n v="21"/>
    <m/>
    <s v="Chautham"/>
    <m/>
    <n v="0"/>
  </r>
  <r>
    <s v="Munger"/>
    <s v="24-30 Apr"/>
    <n v="1056"/>
    <s v="Chautham"/>
    <x v="798"/>
    <s v="Gomukh Purani Hrdia"/>
    <s v="MPG"/>
    <s v="Direct"/>
    <n v="336.96"/>
    <n v="13036.68"/>
    <n v="0"/>
    <n v="0"/>
    <n v="0"/>
    <n v="0"/>
    <n v="0"/>
    <n v="0"/>
    <n v="0"/>
    <n v="0"/>
    <n v="0"/>
    <n v="0"/>
    <n v="0"/>
    <n v="0"/>
    <n v="0"/>
    <n v="0"/>
    <n v="0"/>
    <n v="0"/>
    <n v="13037"/>
    <n v="0"/>
    <n v="280.91383589743594"/>
    <n v="48.137142857142855"/>
    <n v="1"/>
    <n v="0"/>
    <m/>
    <s v="Chautham"/>
    <m/>
    <n v="0"/>
  </r>
  <r>
    <s v="Munger"/>
    <s v="24-30 Apr"/>
    <n v="1056"/>
    <s v="Chautham"/>
    <x v="799"/>
    <s v="Gomukh Uttari Hardia"/>
    <s v="MPG"/>
    <s v="Direct"/>
    <n v="263.11999999999995"/>
    <n v="10603.34"/>
    <n v="0"/>
    <n v="0"/>
    <n v="0"/>
    <n v="0"/>
    <n v="0"/>
    <n v="0"/>
    <n v="0"/>
    <n v="0"/>
    <n v="0"/>
    <n v="0"/>
    <n v="0"/>
    <n v="0"/>
    <n v="0"/>
    <n v="0"/>
    <n v="0"/>
    <n v="0"/>
    <n v="10603"/>
    <n v="0"/>
    <n v="352.11212976588644"/>
    <n v="37.58857142857142"/>
    <n v="1"/>
    <n v="0"/>
    <m/>
    <s v="Chautham"/>
    <m/>
    <n v="0"/>
  </r>
  <r>
    <s v="Munger"/>
    <s v="24-30 Apr"/>
    <n v="1056"/>
    <s v="Chautham"/>
    <x v="800"/>
    <s v="Gomukh Murli"/>
    <s v="MPG"/>
    <s v="Direct"/>
    <n v="153.1"/>
    <n v="6460.9899999999989"/>
    <n v="139.19"/>
    <n v="6071.6736155546414"/>
    <n v="0"/>
    <n v="0"/>
    <n v="139.19"/>
    <n v="6071.6736155546414"/>
    <n v="6071.6736155546414"/>
    <n v="0"/>
    <n v="0"/>
    <n v="0"/>
    <n v="0"/>
    <n v="31.026452307692171"/>
    <n v="0"/>
    <n v="6041"/>
    <n v="0"/>
    <n v="0"/>
    <n v="389"/>
    <n v="0"/>
    <n v="461.5957453951666"/>
    <n v="21.87142857142857"/>
    <n v="6.0256459837479633E-2"/>
    <n v="1"/>
    <m/>
    <s v="Chautham"/>
    <m/>
    <n v="0"/>
  </r>
  <r>
    <s v="Munger"/>
    <s v="24-30 Apr"/>
    <n v="1056"/>
    <s v="Chautham"/>
    <x v="801"/>
    <s v="Gomukh Nirpur Keshv Nagar"/>
    <s v="MPG"/>
    <s v="Direct"/>
    <n v="629.04000000000008"/>
    <n v="22511.4"/>
    <n v="642.12"/>
    <n v="23156.136490806002"/>
    <n v="0"/>
    <n v="0"/>
    <n v="642.12"/>
    <n v="23156.136490806002"/>
    <n v="22511.4"/>
    <n v="0"/>
    <n v="0"/>
    <n v="644.7364908060008"/>
    <n v="0"/>
    <n v="0"/>
    <n v="0"/>
    <n v="22511"/>
    <n v="0"/>
    <n v="0"/>
    <n v="0"/>
    <n v="0"/>
    <n v="50.788787485692438"/>
    <n v="89.862857142857152"/>
    <n v="-2.8640443988645788E-2"/>
    <n v="1"/>
    <m/>
    <s v="Chautham"/>
    <m/>
    <n v="0"/>
  </r>
  <r>
    <s v="Munger"/>
    <s v="24-30 Apr"/>
    <n v="1056"/>
    <s v="Chautham"/>
    <x v="1014"/>
    <s v="Gomukh Thuthi Vlc"/>
    <s v="vlc"/>
    <s v="Direct"/>
    <n v="257.8"/>
    <n v="10305.59"/>
    <n v="0"/>
    <n v="0"/>
    <n v="0"/>
    <n v="0"/>
    <n v="0"/>
    <n v="0"/>
    <n v="0"/>
    <n v="0"/>
    <n v="0"/>
    <n v="0"/>
    <n v="0"/>
    <n v="0"/>
    <n v="0"/>
    <n v="0"/>
    <n v="0"/>
    <n v="0"/>
    <n v="10306"/>
    <n v="0"/>
    <n v="353.54010069821561"/>
    <n v="36.828571428571429"/>
    <n v="1"/>
    <n v="0"/>
    <m/>
    <s v="Chautham"/>
    <m/>
    <n v="0"/>
  </r>
  <r>
    <s v="Munger"/>
    <s v="24-30 Apr"/>
    <n v="1056"/>
    <s v="Chautham"/>
    <x v="803"/>
    <s v="Gomukh Nawadai Vlc"/>
    <s v="vlc"/>
    <s v="Indirect"/>
    <n v="126.03999999999999"/>
    <n v="4344.1200000000008"/>
    <n v="0"/>
    <n v="0"/>
    <n v="0"/>
    <n v="0"/>
    <n v="0"/>
    <n v="0"/>
    <n v="4344.1200000000008"/>
    <n v="0"/>
    <n v="0"/>
    <n v="0"/>
    <n v="0"/>
    <n v="0"/>
    <n v="0"/>
    <n v="0"/>
    <n v="0"/>
    <n v="4344.1200000000008"/>
    <n v="0"/>
    <n v="0"/>
    <n v="395.64441688352917"/>
    <n v="18.005714285714284"/>
    <n v="0"/>
    <n v="0"/>
    <m/>
    <s v="Chautham"/>
    <m/>
    <n v="0"/>
  </r>
  <r>
    <s v="Munger"/>
    <s v="24-30 Apr"/>
    <n v="1056"/>
    <s v="Chautham"/>
    <x v="1015"/>
    <s v="Gomukh Kharra Basa"/>
    <s v="MPG"/>
    <s v="Direct"/>
    <n v="241.65999999999997"/>
    <n v="9451.7900000000009"/>
    <n v="239.16000000000003"/>
    <n v="9376.3091592720011"/>
    <n v="0"/>
    <n v="0"/>
    <n v="239.16000000000003"/>
    <n v="9376.3091592720011"/>
    <n v="9376.3091592720011"/>
    <n v="0"/>
    <n v="0"/>
    <n v="0"/>
    <n v="0"/>
    <n v="0"/>
    <n v="0"/>
    <n v="9376"/>
    <n v="0"/>
    <n v="0"/>
    <n v="76"/>
    <n v="0"/>
    <n v="358.53127771248876"/>
    <n v="34.522857142857141"/>
    <n v="7.9858778842949053E-3"/>
    <n v="1"/>
    <m/>
    <s v="Chautham"/>
    <m/>
    <n v="0"/>
  </r>
  <r>
    <s v="Munger"/>
    <s v="24-30 Apr"/>
    <n v="1056"/>
    <s v="Chautham"/>
    <x v="1016"/>
    <s v="Gomukh Bangalia"/>
    <s v="MPG"/>
    <s v="Direct"/>
    <n v="355.05999999999995"/>
    <n v="16282.919999999998"/>
    <n v="324.79000000000002"/>
    <n v="15484.156379305403"/>
    <n v="0"/>
    <n v="0"/>
    <n v="324.79000000000002"/>
    <n v="15484.156379305403"/>
    <n v="15484.156379305403"/>
    <n v="0"/>
    <n v="0"/>
    <n v="0"/>
    <n v="0"/>
    <n v="0"/>
    <n v="0"/>
    <n v="15484"/>
    <n v="0"/>
    <n v="0"/>
    <n v="799"/>
    <n v="0"/>
    <n v="316.37641101785619"/>
    <n v="50.722857142857137"/>
    <n v="4.9055305847759217E-2"/>
    <n v="1"/>
    <m/>
    <s v="Chautham"/>
    <m/>
    <n v="0"/>
  </r>
  <r>
    <s v="Munger"/>
    <s v="24-30 Apr"/>
    <n v="1056"/>
    <s v="Chautham"/>
    <x v="1017"/>
    <s v="Gomukh Soharba Purvi"/>
    <s v="MPG"/>
    <s v="Direct"/>
    <n v="123.39999999999998"/>
    <n v="4420.49"/>
    <n v="21.880000000000003"/>
    <n v="784.32601086180011"/>
    <n v="0"/>
    <n v="0"/>
    <n v="21.880000000000003"/>
    <n v="784.32601086180011"/>
    <n v="784.32601086180011"/>
    <n v="0"/>
    <n v="0"/>
    <n v="0"/>
    <n v="0"/>
    <n v="0"/>
    <n v="0"/>
    <n v="784"/>
    <n v="0"/>
    <n v="0"/>
    <n v="3636"/>
    <n v="0"/>
    <n v="413.1044625607779"/>
    <n v="17.628571428571426"/>
    <n v="0.82257034607887358"/>
    <n v="1"/>
    <m/>
    <s v="Chautham"/>
    <m/>
    <n v="0"/>
  </r>
  <r>
    <s v="Munger"/>
    <s v="24-30 Apr"/>
    <n v="1057"/>
    <s v="Warisnagar"/>
    <x v="804"/>
    <s v="Karian"/>
    <s v="MPG"/>
    <s v="Direct"/>
    <n v="69.900000000000006"/>
    <n v="3064.7400000000002"/>
    <n v="69.899999999999991"/>
    <n v="3065.5052659637004"/>
    <n v="0"/>
    <n v="0"/>
    <n v="69.899999999999991"/>
    <n v="3065.5052659637004"/>
    <n v="3064.7400000000002"/>
    <n v="0"/>
    <n v="0"/>
    <n v="0.76526596370013067"/>
    <n v="0"/>
    <n v="91.433623728813487"/>
    <n v="0"/>
    <n v="2973"/>
    <n v="0"/>
    <n v="0"/>
    <n v="0"/>
    <n v="0"/>
    <n v="552.53009270386258"/>
    <n v="9.9857142857142858"/>
    <n v="-2.4970012585084889E-4"/>
    <n v="1"/>
    <m/>
    <s v="Warisnagar"/>
    <m/>
    <n v="0"/>
  </r>
  <r>
    <s v="Munger"/>
    <s v="24-30 Apr"/>
    <n v="1057"/>
    <s v="Warisnagar"/>
    <x v="805"/>
    <s v="Teghara"/>
    <s v="MPG"/>
    <s v="Direct"/>
    <n v="187.4"/>
    <n v="7446.9"/>
    <n v="179.29999999999998"/>
    <n v="7144.5897017908001"/>
    <n v="18.8"/>
    <n v="808.21066982000013"/>
    <n v="198.1"/>
    <n v="7952.8003716108005"/>
    <n v="7446.9"/>
    <n v="0"/>
    <n v="0"/>
    <n v="505.9003716108009"/>
    <n v="0"/>
    <n v="0"/>
    <n v="0"/>
    <n v="6639"/>
    <n v="808"/>
    <n v="0"/>
    <n v="0"/>
    <n v="0"/>
    <n v="407.39391035218785"/>
    <n v="26.771428571428572"/>
    <n v="-6.7934358137050441E-2"/>
    <n v="3"/>
    <m/>
    <s v="Warisnagar"/>
    <m/>
    <n v="0"/>
  </r>
  <r>
    <s v="Munger"/>
    <s v="24-30 Apr"/>
    <n v="1057"/>
    <s v="Warisnagar"/>
    <x v="1067"/>
    <s v="Chaka"/>
    <s v="vlc"/>
    <s v="Indirect"/>
    <n v="125.5"/>
    <n v="4721.3100000000004"/>
    <n v="0"/>
    <n v="0"/>
    <n v="0"/>
    <n v="0"/>
    <n v="0"/>
    <n v="0"/>
    <n v="4721.3100000000004"/>
    <n v="0"/>
    <n v="0"/>
    <n v="0"/>
    <n v="0"/>
    <n v="0"/>
    <n v="0"/>
    <n v="0"/>
    <n v="0"/>
    <n v="4721.3100000000004"/>
    <n v="0"/>
    <s v="Release2"/>
    <n v="432.25380000000007"/>
    <n v="17.928571428571427"/>
    <n v="0"/>
    <n v="0"/>
    <m/>
    <s v="Warisnagar"/>
    <m/>
    <n v="0"/>
  </r>
  <r>
    <s v="Munger"/>
    <s v="24-30 Apr"/>
    <n v="1057"/>
    <s v="Warisnagar"/>
    <x v="806"/>
    <s v="Basantpur"/>
    <s v="MPG"/>
    <s v="Direct"/>
    <n v="1004.4"/>
    <n v="42066.810000000005"/>
    <n v="969.80000000000007"/>
    <n v="40754.482880059193"/>
    <n v="34.6"/>
    <n v="1310.8238510400001"/>
    <n v="1004.4000000000001"/>
    <n v="42065.30673109919"/>
    <n v="42065.30673109919"/>
    <n v="0"/>
    <n v="0"/>
    <n v="0"/>
    <n v="0"/>
    <n v="72.826943606557251"/>
    <n v="0"/>
    <n v="40682"/>
    <n v="1311"/>
    <n v="0"/>
    <n v="1"/>
    <n v="0"/>
    <n v="0"/>
    <n v="0"/>
    <n v="3.5735272078269625E-5"/>
    <n v="2"/>
    <m/>
    <s v="Warisnagar"/>
    <m/>
    <n v="0"/>
  </r>
  <r>
    <s v="Munger"/>
    <s v="24-30 Apr"/>
    <n v="1057"/>
    <s v="Warisnagar"/>
    <x v="807"/>
    <s v="Chakoti"/>
    <s v="MPG"/>
    <s v="Direct"/>
    <n v="1285.5"/>
    <n v="49093.08"/>
    <n v="202.20000000000002"/>
    <n v="5623.2078994080011"/>
    <n v="1159.8999999999999"/>
    <n v="42648.733494617954"/>
    <n v="1362.1"/>
    <n v="48271.941394025955"/>
    <n v="48271.941394025955"/>
    <n v="0"/>
    <n v="583.71366570720011"/>
    <n v="0"/>
    <n v="0"/>
    <n v="0"/>
    <n v="0"/>
    <n v="5623"/>
    <n v="42066"/>
    <n v="0"/>
    <n v="820"/>
    <n v="0"/>
    <n v="0"/>
    <n v="0"/>
    <n v="1.6726157861231095E-2"/>
    <n v="16"/>
    <m/>
    <s v="Warisnagar"/>
    <m/>
    <n v="0"/>
  </r>
  <r>
    <s v="Munger"/>
    <s v="24-30 Apr"/>
    <n v="1057"/>
    <s v="Warisnagar"/>
    <x v="808"/>
    <s v="Nathudawar"/>
    <s v="MPG"/>
    <s v="Direct"/>
    <n v="659.8"/>
    <n v="25505.440000000002"/>
    <n v="587.70000000000005"/>
    <n v="22925.392323370801"/>
    <n v="76"/>
    <n v="2927.1218315309998"/>
    <n v="663.7"/>
    <n v="25852.514154901801"/>
    <n v="25505.440000000002"/>
    <n v="0"/>
    <n v="0"/>
    <n v="347.07415490179847"/>
    <n v="0"/>
    <n v="0"/>
    <n v="0"/>
    <n v="22578"/>
    <n v="2927"/>
    <n v="0"/>
    <n v="0"/>
    <n v="0"/>
    <n v="31.079681357987297"/>
    <n v="94.257142857142853"/>
    <n v="-1.3607848165011011E-2"/>
    <n v="3"/>
    <m/>
    <s v="Warisnagar"/>
    <m/>
    <n v="0"/>
  </r>
  <r>
    <s v="Munger"/>
    <s v="24-30 Apr"/>
    <n v="1057"/>
    <s v="Warisnagar"/>
    <x v="809"/>
    <s v="Purnahi"/>
    <s v="vlc"/>
    <s v="Indirect"/>
    <n v="962"/>
    <n v="33053.279999999999"/>
    <n v="0"/>
    <n v="0"/>
    <n v="0"/>
    <n v="0"/>
    <n v="0"/>
    <n v="0"/>
    <n v="33053.279999999999"/>
    <n v="0"/>
    <n v="0"/>
    <n v="0"/>
    <n v="0"/>
    <n v="0"/>
    <n v="0"/>
    <n v="0"/>
    <n v="0"/>
    <n v="33053.279999999999"/>
    <n v="0"/>
    <n v="0"/>
    <n v="0"/>
    <n v="0"/>
    <n v="0"/>
    <n v="0"/>
    <m/>
    <s v="Warisnagar"/>
    <m/>
    <n v="0"/>
  </r>
  <r>
    <s v="Munger"/>
    <s v="24-30 Apr"/>
    <n v="1057"/>
    <s v="Warisnagar"/>
    <x v="810"/>
    <s v="Baghopur "/>
    <s v="vlc"/>
    <s v="Indirect"/>
    <n v="513.29999999999995"/>
    <n v="19179.98"/>
    <n v="0"/>
    <n v="0"/>
    <n v="0"/>
    <n v="0"/>
    <n v="0"/>
    <n v="0"/>
    <n v="19179.98"/>
    <n v="0"/>
    <n v="0"/>
    <n v="0"/>
    <n v="0"/>
    <n v="0"/>
    <n v="0"/>
    <n v="0"/>
    <n v="0"/>
    <n v="19179.98"/>
    <n v="0"/>
    <n v="0"/>
    <n v="139.52473274887984"/>
    <n v="73.328571428571422"/>
    <n v="0"/>
    <n v="0"/>
    <m/>
    <s v="Warisnagar"/>
    <m/>
    <n v="0"/>
  </r>
  <r>
    <s v="Munger"/>
    <s v="24-30 Apr"/>
    <n v="1057"/>
    <s v="Warisnagar"/>
    <x v="812"/>
    <s v="PARORIYA"/>
    <s v="vlc"/>
    <s v="Indirect"/>
    <n v="418.4"/>
    <n v="14091.8"/>
    <n v="0"/>
    <n v="0"/>
    <n v="0"/>
    <n v="0"/>
    <n v="0"/>
    <n v="0"/>
    <n v="14091.8"/>
    <n v="0"/>
    <n v="0"/>
    <n v="0"/>
    <n v="0"/>
    <n v="182.36581935483844"/>
    <n v="0"/>
    <n v="0"/>
    <n v="0"/>
    <n v="13909.434180645161"/>
    <n v="0"/>
    <n v="0"/>
    <n v="189.68694455066927"/>
    <n v="59.771428571428565"/>
    <n v="0"/>
    <n v="0"/>
    <m/>
    <s v="Warisnagar"/>
    <m/>
    <n v="0"/>
  </r>
  <r>
    <s v="Munger"/>
    <s v="24-30 Apr"/>
    <n v="1057"/>
    <s v="Warisnagar"/>
    <x v="813"/>
    <s v="Dewanpur"/>
    <s v="MPG"/>
    <s v="Direct"/>
    <n v="134.70000000000002"/>
    <n v="5800.77"/>
    <n v="104.5"/>
    <n v="4640.8336440307803"/>
    <n v="25.299999999999997"/>
    <n v="1178.9578392690901"/>
    <n v="129.80000000000001"/>
    <n v="5819.7914832998704"/>
    <n v="5800.77"/>
    <n v="0"/>
    <n v="0"/>
    <n v="19.021483299869942"/>
    <n v="0"/>
    <n v="0"/>
    <n v="0"/>
    <n v="4621"/>
    <n v="1180"/>
    <n v="0"/>
    <n v="0"/>
    <n v="0"/>
    <n v="486.88571358574598"/>
    <n v="19.242857142857144"/>
    <n v="-3.2791307533086025E-3"/>
    <n v="7"/>
    <m/>
    <s v="Warisnagar"/>
    <m/>
    <n v="0"/>
  </r>
  <r>
    <s v="Munger"/>
    <s v="24-30 Apr"/>
    <n v="1057"/>
    <s v="Warisnagar"/>
    <x v="814"/>
    <s v="Gohi"/>
    <s v="MPG"/>
    <s v="Direct"/>
    <n v="356"/>
    <n v="14576.869999999999"/>
    <n v="68.099999999999994"/>
    <n v="2633.7173593500002"/>
    <n v="287.89999999999998"/>
    <n v="11881.8518759285"/>
    <n v="356"/>
    <n v="14515.569235278501"/>
    <n v="14515.569235278501"/>
    <n v="0"/>
    <n v="275.2539372"/>
    <n v="0"/>
    <n v="0"/>
    <n v="0"/>
    <n v="0"/>
    <n v="2634"/>
    <n v="11606"/>
    <n v="0"/>
    <n v="62"/>
    <n v="0"/>
    <n v="281.71029662921347"/>
    <n v="50.857142857142854"/>
    <n v="4.2053448182976273E-3"/>
    <n v="13"/>
    <m/>
    <s v="Warisnagar"/>
    <m/>
    <n v="0"/>
  </r>
  <r>
    <s v="Munger"/>
    <s v="24-30 Apr"/>
    <n v="1057"/>
    <s v="Warisnagar"/>
    <x v="815"/>
    <s v="Matua"/>
    <s v="MPG"/>
    <s v="Direct"/>
    <n v="599.69999999999993"/>
    <n v="24578.59"/>
    <n v="181.10000000000002"/>
    <n v="8654.0262150814015"/>
    <n v="418.2"/>
    <n v="16015.8117553136"/>
    <n v="599.29999999999995"/>
    <n v="24669.837970395001"/>
    <n v="24578.59"/>
    <n v="0"/>
    <n v="116.27632760360002"/>
    <n v="91.247970395001175"/>
    <n v="0"/>
    <n v="0"/>
    <n v="0"/>
    <n v="8563"/>
    <n v="15899"/>
    <n v="0"/>
    <n v="0"/>
    <n v="0"/>
    <n v="82.215526996831798"/>
    <n v="85.671428571428564"/>
    <n v="-3.7124981699520263E-3"/>
    <n v="7"/>
    <m/>
    <s v="Warisnagar"/>
    <m/>
    <n v="0"/>
  </r>
  <r>
    <s v="Munger"/>
    <s v="24-30 Apr"/>
    <n v="1057"/>
    <s v="Warisnagar"/>
    <x v="816"/>
    <s v="Ratni Chouk"/>
    <s v="MPG"/>
    <s v="Direct"/>
    <n v="821.0999999999998"/>
    <n v="36290.880000000005"/>
    <n v="821.1"/>
    <n v="36289.795737946304"/>
    <n v="0"/>
    <n v="0"/>
    <n v="821.1"/>
    <n v="36289.795737946304"/>
    <n v="36289.795737946304"/>
    <n v="0"/>
    <n v="0"/>
    <n v="0"/>
    <n v="0"/>
    <n v="0"/>
    <n v="0"/>
    <n v="36290"/>
    <n v="0"/>
    <n v="0"/>
    <n v="1"/>
    <n v="0"/>
    <n v="0"/>
    <n v="0"/>
    <n v="2.9876984347045677E-5"/>
    <n v="1"/>
    <m/>
    <s v="Warisnagar"/>
    <m/>
    <n v="0"/>
  </r>
  <r>
    <s v="Munger"/>
    <s v="24-30 Apr"/>
    <n v="1057"/>
    <s v="Warisnagar"/>
    <x v="817"/>
    <s v="Balahi 2"/>
    <s v="MPG"/>
    <s v="Direct"/>
    <n v="531.1"/>
    <n v="19042.23"/>
    <n v="481.6"/>
    <n v="17749.802712959739"/>
    <n v="49.6"/>
    <n v="1743.5770434720002"/>
    <n v="531.20000000000005"/>
    <n v="19493.379756431739"/>
    <n v="19042.23"/>
    <n v="0"/>
    <n v="55.378086191999998"/>
    <n v="451.14975643173966"/>
    <n v="0"/>
    <n v="0"/>
    <n v="0"/>
    <n v="17299"/>
    <n v="1688"/>
    <n v="0"/>
    <n v="0"/>
    <n v="0"/>
    <n v="121.11589708152884"/>
    <n v="75.871428571428581"/>
    <n v="-2.3692065290238574E-2"/>
    <n v="7"/>
    <m/>
    <s v="Warisnagar"/>
    <m/>
    <n v="0"/>
  </r>
  <r>
    <s v="Munger"/>
    <s v="24-30 Apr"/>
    <n v="1057"/>
    <s v="Warisnagar"/>
    <x v="818"/>
    <s v="Chandauli"/>
    <s v="vlc"/>
    <s v="Indirect"/>
    <n v="469.20000000000005"/>
    <n v="22008.620000000003"/>
    <n v="0"/>
    <n v="0"/>
    <n v="0"/>
    <n v="0"/>
    <n v="0"/>
    <n v="0"/>
    <n v="22008.620000000003"/>
    <n v="0"/>
    <n v="0"/>
    <n v="0"/>
    <n v="0"/>
    <n v="0"/>
    <n v="0"/>
    <n v="0"/>
    <n v="0"/>
    <n v="22008.620000000003"/>
    <n v="0"/>
    <n v="0"/>
    <n v="216.52129138959924"/>
    <n v="67.028571428571439"/>
    <n v="0"/>
    <n v="0"/>
    <m/>
    <s v="Warisnagar"/>
    <m/>
    <n v="0"/>
  </r>
  <r>
    <s v="Munger"/>
    <s v="24-30 Apr"/>
    <n v="1057"/>
    <s v="Warisnagar"/>
    <x v="819"/>
    <s v="Gulabi Choak"/>
    <s v="vlc"/>
    <s v="Indirect"/>
    <n v="825.90000000000009"/>
    <n v="30219.899999999998"/>
    <n v="0"/>
    <n v="0"/>
    <n v="0"/>
    <n v="0"/>
    <n v="0"/>
    <n v="0"/>
    <n v="30219.899999999998"/>
    <n v="0"/>
    <n v="0"/>
    <n v="0"/>
    <n v="0"/>
    <n v="0"/>
    <n v="0"/>
    <n v="0"/>
    <n v="0"/>
    <n v="30219.899999999998"/>
    <n v="0"/>
    <n v="0"/>
    <n v="0"/>
    <n v="0"/>
    <n v="0"/>
    <n v="0"/>
    <m/>
    <s v="Warisnagar"/>
    <m/>
    <n v="0"/>
  </r>
  <r>
    <s v="Munger"/>
    <s v="24-30 Apr"/>
    <n v="1057"/>
    <s v="Warisnagar"/>
    <x v="820"/>
    <s v="Satmalpur"/>
    <s v="vlc"/>
    <s v="Indirect"/>
    <n v="1173.6000000000004"/>
    <n v="45196.37"/>
    <n v="0"/>
    <n v="0"/>
    <n v="0"/>
    <n v="0"/>
    <n v="0"/>
    <n v="0"/>
    <n v="45196.37"/>
    <n v="0"/>
    <n v="0"/>
    <n v="0"/>
    <n v="0"/>
    <n v="0"/>
    <n v="0"/>
    <n v="0"/>
    <n v="0"/>
    <n v="45196.37"/>
    <n v="0"/>
    <n v="0"/>
    <n v="0"/>
    <n v="0"/>
    <n v="0"/>
    <n v="0"/>
    <m/>
    <s v="Warisnagar"/>
    <m/>
    <n v="0"/>
  </r>
  <r>
    <s v="Munger"/>
    <s v="24-30 Apr"/>
    <n v="1057"/>
    <s v="Warisnagar"/>
    <x v="821"/>
    <s v="Chhatnesar"/>
    <s v="vlc"/>
    <s v="Indirect"/>
    <n v="337.20000000000005"/>
    <n v="12311.5"/>
    <n v="0"/>
    <n v="0"/>
    <n v="0"/>
    <n v="0"/>
    <n v="0"/>
    <n v="0"/>
    <n v="12311.5"/>
    <n v="0"/>
    <n v="0"/>
    <n v="0"/>
    <n v="0"/>
    <n v="0"/>
    <n v="0"/>
    <n v="0"/>
    <n v="0"/>
    <n v="12311.5"/>
    <n v="0"/>
    <n v="0"/>
    <n v="264.92361803084214"/>
    <n v="48.171428571428578"/>
    <n v="0"/>
    <n v="0"/>
    <m/>
    <s v="Warisnagar"/>
    <m/>
    <n v="0"/>
  </r>
  <r>
    <s v="Munger"/>
    <s v="24-30 Apr"/>
    <n v="1057"/>
    <s v="Warisnagar"/>
    <x v="822"/>
    <s v="Chhatnesar 2"/>
    <s v="MPG"/>
    <s v="Direct"/>
    <n v="281.3"/>
    <n v="9988.75"/>
    <n v="276.3"/>
    <n v="9812.2366386000012"/>
    <n v="0"/>
    <n v="0"/>
    <n v="276.3"/>
    <n v="9812.2366386000012"/>
    <n v="9812.2366386000012"/>
    <n v="0"/>
    <n v="0"/>
    <n v="0"/>
    <n v="0"/>
    <n v="0"/>
    <n v="0"/>
    <n v="9812"/>
    <n v="0"/>
    <n v="0"/>
    <n v="177"/>
    <n v="0"/>
    <n v="297.35439921791675"/>
    <n v="40.18571428571429"/>
    <n v="1.7671216258290452E-2"/>
    <n v="1"/>
    <m/>
    <s v="Warisnagar"/>
    <m/>
    <n v="0"/>
  </r>
  <r>
    <s v="Munger"/>
    <s v="24-30 Apr"/>
    <n v="1057"/>
    <s v="Warisnagar"/>
    <x v="823"/>
    <s v="Hajpurwa"/>
    <s v="MPG"/>
    <s v="Direct"/>
    <n v="163.4"/>
    <n v="6686.67"/>
    <n v="163.40000000000003"/>
    <n v="6694.6698836438263"/>
    <n v="0"/>
    <n v="0"/>
    <n v="163.40000000000003"/>
    <n v="6694.6698836438263"/>
    <n v="6686.67"/>
    <n v="0"/>
    <n v="0"/>
    <n v="7.9998836438262515"/>
    <n v="0"/>
    <n v="92.464957377049188"/>
    <n v="0"/>
    <n v="6594"/>
    <n v="0"/>
    <n v="0"/>
    <n v="0"/>
    <n v="0"/>
    <n v="439.17590232558143"/>
    <n v="23.342857142857145"/>
    <n v="-1.1963927700673507E-3"/>
    <n v="1"/>
    <m/>
    <s v="Warisnagar"/>
    <m/>
    <n v="0"/>
  </r>
  <r>
    <s v="Munger"/>
    <s v="24-30 Apr"/>
    <n v="1057"/>
    <s v="Warisnagar"/>
    <x v="824"/>
    <s v="Shekhopur"/>
    <s v="MPG"/>
    <s v="Direct"/>
    <n v="339.9"/>
    <n v="11993.289999999999"/>
    <n v="339.90000000000003"/>
    <n v="11993.352374520002"/>
    <n v="0"/>
    <n v="0"/>
    <n v="339.90000000000003"/>
    <n v="11993.352374520002"/>
    <n v="11993.289999999999"/>
    <n v="0"/>
    <n v="0"/>
    <n v="6.237452000277699E-2"/>
    <n v="0"/>
    <n v="0"/>
    <n v="0"/>
    <n v="11993"/>
    <n v="0"/>
    <n v="0"/>
    <n v="0"/>
    <n v="0"/>
    <n v="254.12084313033245"/>
    <n v="48.557142857142857"/>
    <n v="-5.2007847723833075E-6"/>
    <n v="1"/>
    <m/>
    <s v="Warisnagar"/>
    <m/>
    <n v="0"/>
  </r>
  <r>
    <s v="Munger"/>
    <s v="24-30 Apr"/>
    <n v="1057"/>
    <s v="Warisnagar"/>
    <x v="825"/>
    <s v="Dharampur"/>
    <s v="MPG"/>
    <s v="Direct"/>
    <n v="151.10000000000002"/>
    <n v="5954.0599999999995"/>
    <n v="149.80000000000001"/>
    <n v="5835.520869985"/>
    <n v="1.0999999999999999"/>
    <n v="42.940810440000007"/>
    <n v="150.9"/>
    <n v="5878.4616804249999"/>
    <n v="5878.4616804249999"/>
    <n v="0"/>
    <n v="42.940810440000007"/>
    <n v="0"/>
    <n v="0"/>
    <n v="0"/>
    <n v="0"/>
    <n v="5836"/>
    <n v="0"/>
    <n v="0"/>
    <n v="75"/>
    <n v="0"/>
    <n v="432.58551078755778"/>
    <n v="21.585714285714289"/>
    <n v="1.2696936136854442E-2"/>
    <n v="2"/>
    <m/>
    <s v="Warisnagar"/>
    <m/>
    <n v="0"/>
  </r>
  <r>
    <s v="Munger"/>
    <s v="24-30 Apr"/>
    <n v="1057"/>
    <s v="Warisnagar"/>
    <x v="826"/>
    <s v="Chatnesar Pachiam"/>
    <s v="vlc"/>
    <s v="Indirect"/>
    <n v="120.40000000000002"/>
    <n v="4610.82"/>
    <n v="0"/>
    <n v="0"/>
    <n v="0"/>
    <n v="0"/>
    <n v="0"/>
    <n v="0"/>
    <n v="4610.82"/>
    <n v="0"/>
    <n v="0"/>
    <n v="0"/>
    <n v="0"/>
    <n v="224.61708387096772"/>
    <n v="0"/>
    <n v="0"/>
    <n v="0"/>
    <n v="4386.202916129032"/>
    <n v="0"/>
    <n v="0"/>
    <n v="443.9254604651162"/>
    <n v="17.200000000000003"/>
    <n v="0"/>
    <n v="0"/>
    <m/>
    <s v="Warisnagar"/>
    <m/>
    <n v="0"/>
  </r>
  <r>
    <s v="Munger"/>
    <s v="24-30 Apr"/>
    <n v="1057"/>
    <s v="Warisnagar"/>
    <x v="827"/>
    <s v="Hajpurwa Pachim"/>
    <s v="MPG"/>
    <s v="Direct"/>
    <n v="309.50000000000006"/>
    <n v="12696.460000000003"/>
    <n v="309.60000000000002"/>
    <n v="12448.731631894896"/>
    <n v="0"/>
    <n v="0"/>
    <n v="309.60000000000002"/>
    <n v="12448.731631894896"/>
    <n v="12448.731631894896"/>
    <n v="0"/>
    <n v="0"/>
    <n v="0"/>
    <n v="0"/>
    <n v="0"/>
    <n v="0"/>
    <n v="12449"/>
    <n v="0"/>
    <n v="0"/>
    <n v="247"/>
    <n v="0"/>
    <n v="320.385630371567"/>
    <n v="44.214285714285722"/>
    <n v="1.9511609386010483E-2"/>
    <n v="1"/>
    <m/>
    <s v="Warisnagar"/>
    <m/>
    <n v="0"/>
  </r>
  <r>
    <s v="Munger"/>
    <s v="24-30 Apr"/>
    <n v="1057"/>
    <s v="Warisnagar"/>
    <x v="828"/>
    <s v="Almasnagar"/>
    <s v="vlc"/>
    <s v="Indirect"/>
    <n v="392.5"/>
    <n v="13183.550000000003"/>
    <n v="0"/>
    <n v="0"/>
    <n v="0"/>
    <n v="0"/>
    <n v="0"/>
    <n v="0"/>
    <n v="13183.550000000003"/>
    <n v="0"/>
    <n v="0"/>
    <n v="0"/>
    <n v="0"/>
    <n v="0"/>
    <n v="0"/>
    <n v="0"/>
    <n v="0"/>
    <n v="13183.550000000003"/>
    <n v="0"/>
    <n v="0"/>
    <n v="206.57027388535036"/>
    <n v="56.071428571428569"/>
    <n v="0"/>
    <n v="0"/>
    <m/>
    <s v="Warisnagar"/>
    <m/>
    <n v="0"/>
  </r>
  <r>
    <s v="Munger"/>
    <s v="24-30 Apr"/>
    <n v="1057"/>
    <s v="Warisnagar"/>
    <x v="829"/>
    <s v="Kadarchak"/>
    <s v="vlc"/>
    <s v="Indirect"/>
    <n v="27.5"/>
    <n v="904.73"/>
    <n v="0"/>
    <n v="0"/>
    <n v="0"/>
    <n v="0"/>
    <n v="0"/>
    <n v="0"/>
    <n v="904.73"/>
    <n v="0"/>
    <n v="0"/>
    <n v="0"/>
    <n v="0"/>
    <n v="58.24350967741934"/>
    <n v="0"/>
    <n v="0"/>
    <n v="0"/>
    <n v="846.48649032258072"/>
    <n v="0"/>
    <n v="0"/>
    <n v="442.49521818181819"/>
    <n v="3.9285714285714284"/>
    <n v="0"/>
    <n v="0"/>
    <m/>
    <s v="Warisnagar"/>
    <m/>
    <n v="0"/>
  </r>
  <r>
    <s v="Munger"/>
    <s v="24-30 Apr"/>
    <n v="1057"/>
    <s v="Warisnagar"/>
    <x v="1018"/>
    <s v="Rahua"/>
    <s v="MPG"/>
    <s v="Direct"/>
    <n v="140.80000000000001"/>
    <n v="5562.86"/>
    <n v="0"/>
    <n v="0"/>
    <n v="0"/>
    <n v="0"/>
    <n v="0"/>
    <n v="0"/>
    <n v="0"/>
    <n v="0"/>
    <n v="0"/>
    <n v="0"/>
    <n v="0"/>
    <n v="0"/>
    <n v="0"/>
    <n v="0"/>
    <n v="0"/>
    <n v="0"/>
    <n v="5563"/>
    <s v="Yes"/>
    <n v="441.86808409090906"/>
    <n v="20.114285714285717"/>
    <n v="1"/>
    <n v="0"/>
    <m/>
    <s v="Warisnagar"/>
    <m/>
    <n v="0"/>
  </r>
  <r>
    <s v="Munger"/>
    <s v="24-30 Apr"/>
    <n v="1057"/>
    <s v="Warisnagar"/>
    <x v="830"/>
    <s v="Dagrua"/>
    <s v="MPG"/>
    <s v="Direct"/>
    <n v="107.40000000000002"/>
    <n v="4717.2100000000009"/>
    <n v="107.39999999999996"/>
    <n v="4720.6832426407"/>
    <n v="0"/>
    <n v="0"/>
    <n v="107.39999999999996"/>
    <n v="4720.6832426407"/>
    <n v="4717.2100000000009"/>
    <n v="0"/>
    <n v="0"/>
    <n v="3.4732426406990271"/>
    <n v="0"/>
    <n v="2.7933600000001277"/>
    <n v="0"/>
    <n v="4714"/>
    <n v="0"/>
    <n v="0"/>
    <n v="0"/>
    <n v="0"/>
    <n v="520.56213147113601"/>
    <n v="15.342857142857145"/>
    <n v="-7.3629171495418399E-4"/>
    <n v="1"/>
    <m/>
    <s v="Warisnagar"/>
    <m/>
    <n v="0"/>
  </r>
  <r>
    <s v="Munger"/>
    <s v="24-30 Apr"/>
    <n v="1057"/>
    <s v="Warisnagar"/>
    <x v="831"/>
    <s v="Buzurgdoar"/>
    <s v="MPG"/>
    <s v="Direct"/>
    <n v="1174"/>
    <n v="45295.56"/>
    <n v="1042.4000000000001"/>
    <n v="42487.748596821511"/>
    <n v="0"/>
    <n v="0"/>
    <n v="1042.4000000000001"/>
    <n v="42487.748596821511"/>
    <n v="42487.748596821511"/>
    <n v="0"/>
    <n v="0"/>
    <n v="0"/>
    <n v="0"/>
    <n v="0"/>
    <n v="0"/>
    <n v="42487"/>
    <n v="0"/>
    <n v="0"/>
    <n v="2809"/>
    <n v="0"/>
    <n v="0"/>
    <n v="0"/>
    <n v="6.198866739209067E-2"/>
    <n v="15"/>
    <m/>
    <s v="Warisnagar"/>
    <m/>
    <n v="0"/>
  </r>
  <r>
    <s v="Munger"/>
    <s v="24-30 Apr"/>
    <n v="1057"/>
    <s v="Warisnagar"/>
    <x v="832"/>
    <s v="Patpara"/>
    <s v="vlc"/>
    <s v="Indirect"/>
    <n v="311.99999999999994"/>
    <n v="11215.439999999999"/>
    <n v="0"/>
    <n v="0"/>
    <n v="0"/>
    <n v="0"/>
    <n v="0"/>
    <n v="0"/>
    <n v="11215.439999999999"/>
    <n v="0"/>
    <n v="0"/>
    <n v="0"/>
    <n v="0"/>
    <n v="419.21152838709702"/>
    <n v="0"/>
    <n v="0"/>
    <n v="0"/>
    <n v="10796.228471612902"/>
    <n v="0"/>
    <n v="0"/>
    <n v="278.94812307692314"/>
    <n v="44.571428571428562"/>
    <n v="0"/>
    <n v="0"/>
    <m/>
    <s v="Warisnagar"/>
    <m/>
    <n v="0"/>
  </r>
  <r>
    <s v="Munger"/>
    <s v="24-30 Apr"/>
    <n v="1057"/>
    <s v="Warisnagar"/>
    <x v="833"/>
    <s v="Kamopur"/>
    <s v="MPG"/>
    <s v="Direct"/>
    <n v="377.7"/>
    <n v="14490.19"/>
    <n v="302.09999999999997"/>
    <n v="10749.379677860201"/>
    <n v="75.600000000000009"/>
    <n v="3743.2486085566202"/>
    <n v="377.7"/>
    <n v="14492.628286416821"/>
    <n v="14490.19"/>
    <n v="0"/>
    <n v="0"/>
    <n v="2.4382864168201195"/>
    <n v="0"/>
    <n v="0"/>
    <n v="0"/>
    <n v="10746"/>
    <n v="3744"/>
    <n v="0"/>
    <n v="0"/>
    <n v="0"/>
    <n v="247.29617352396087"/>
    <n v="53.957142857142856"/>
    <n v="-1.6827152831123122E-4"/>
    <n v="11"/>
    <m/>
    <s v="Warisnagar"/>
    <m/>
    <n v="0"/>
  </r>
  <r>
    <s v="Munger"/>
    <s v="24-30 Apr"/>
    <n v="1057"/>
    <s v="Warisnagar"/>
    <x v="834"/>
    <s v="Kussaiya"/>
    <s v="MPG"/>
    <s v="Direct"/>
    <n v="240.89999999999998"/>
    <n v="11194.140000000001"/>
    <n v="238.89999999999995"/>
    <n v="11004.688595364378"/>
    <n v="0"/>
    <n v="0"/>
    <n v="238.89999999999995"/>
    <n v="11004.688595364378"/>
    <n v="11004.688595364378"/>
    <n v="0"/>
    <n v="0"/>
    <n v="0"/>
    <n v="0"/>
    <n v="0"/>
    <n v="0"/>
    <n v="11005"/>
    <n v="0"/>
    <n v="0"/>
    <n v="189"/>
    <n v="0"/>
    <n v="426.6691302615194"/>
    <n v="34.414285714285711"/>
    <n v="1.6924158947058322E-2"/>
    <n v="1"/>
    <m/>
    <s v="Warisnagar"/>
    <m/>
    <n v="0"/>
  </r>
  <r>
    <s v="Munger"/>
    <s v="24-30 Apr"/>
    <n v="1057"/>
    <s v="Warisnagar"/>
    <x v="835"/>
    <s v="Kanu Bisanpur"/>
    <s v="vlc"/>
    <s v="Indirect"/>
    <n v="230.9"/>
    <n v="9158.91"/>
    <n v="0"/>
    <n v="0"/>
    <n v="0"/>
    <n v="0"/>
    <n v="0"/>
    <n v="0"/>
    <n v="9158.91"/>
    <n v="0"/>
    <n v="0"/>
    <n v="0"/>
    <n v="0"/>
    <n v="0"/>
    <n v="0"/>
    <n v="0"/>
    <n v="0"/>
    <n v="9158.91"/>
    <n v="0"/>
    <n v="0"/>
    <n v="372.14765534863568"/>
    <n v="32.985714285714288"/>
    <n v="0"/>
    <n v="0"/>
    <m/>
    <s v="Warisnagar"/>
    <m/>
    <n v="0"/>
  </r>
  <r>
    <s v="Munger"/>
    <s v="24-30 Apr"/>
    <n v="1057"/>
    <s v="Warisnagar"/>
    <x v="837"/>
    <s v="Raini 2"/>
    <s v="MPG"/>
    <s v="Direct"/>
    <n v="166.20000000000002"/>
    <n v="6615.2000000000007"/>
    <n v="165.49999999999994"/>
    <n v="6395.4679076236234"/>
    <n v="0"/>
    <n v="0"/>
    <n v="165.49999999999994"/>
    <n v="6395.4679076236234"/>
    <n v="6395.4679076236234"/>
    <n v="0"/>
    <n v="0"/>
    <n v="0"/>
    <n v="0"/>
    <n v="0"/>
    <n v="0"/>
    <n v="6395"/>
    <n v="0"/>
    <n v="0"/>
    <n v="220"/>
    <n v="0"/>
    <n v="424.93306377858005"/>
    <n v="23.742857142857144"/>
    <n v="3.3216243254380405E-2"/>
    <n v="1"/>
    <m/>
    <s v="Warisnagar"/>
    <m/>
    <n v="0"/>
  </r>
  <r>
    <s v="Munger"/>
    <s v="24-30 Apr"/>
    <n v="1057"/>
    <s v="Warisnagar"/>
    <x v="838"/>
    <s v="Hasauli"/>
    <s v="vlc"/>
    <s v="Indirect"/>
    <n v="74.699999999999989"/>
    <n v="2681.2799999999997"/>
    <n v="0"/>
    <n v="0"/>
    <n v="0"/>
    <n v="0"/>
    <n v="0"/>
    <n v="0"/>
    <n v="2681.2799999999997"/>
    <n v="0"/>
    <n v="0"/>
    <n v="0"/>
    <n v="0"/>
    <n v="454.41539999999975"/>
    <n v="0"/>
    <n v="0"/>
    <n v="0"/>
    <n v="2226.8645999999999"/>
    <n v="0"/>
    <n v="0"/>
    <n v="448.89006265060249"/>
    <n v="10.671428571428569"/>
    <n v="0"/>
    <n v="0"/>
    <m/>
    <s v="Warisnagar"/>
    <m/>
    <n v="0"/>
  </r>
  <r>
    <s v="Munger"/>
    <s v="24-30 Apr"/>
    <n v="1057"/>
    <s v="Warisnagar"/>
    <x v="839"/>
    <s v="Kusiya 2"/>
    <s v="vlc"/>
    <s v="Indirect"/>
    <n v="239.79999999999995"/>
    <n v="8933.2200000000012"/>
    <n v="0"/>
    <n v="0"/>
    <n v="0"/>
    <n v="0"/>
    <n v="0"/>
    <n v="0"/>
    <n v="8933.2200000000012"/>
    <n v="0"/>
    <n v="0"/>
    <n v="0"/>
    <n v="0"/>
    <n v="151.03919999999994"/>
    <n v="0"/>
    <n v="0"/>
    <n v="0"/>
    <n v="8782.1808000000019"/>
    <n v="0"/>
    <n v="0"/>
    <n v="342.87471592994177"/>
    <n v="34.257142857142853"/>
    <n v="0"/>
    <n v="0"/>
    <m/>
    <s v="Warisnagar"/>
    <m/>
    <n v="0"/>
  </r>
  <r>
    <s v="Munger"/>
    <s v="24-30 Apr"/>
    <n v="1057"/>
    <s v="Warisnagar"/>
    <x v="1043"/>
    <s v="Babupur"/>
    <s v="vlc"/>
    <s v="Indirect"/>
    <n v="268.00000000000006"/>
    <n v="9621"/>
    <n v="0"/>
    <n v="0"/>
    <n v="0"/>
    <n v="0"/>
    <n v="0"/>
    <n v="0"/>
    <n v="9621"/>
    <n v="0"/>
    <n v="0"/>
    <n v="0"/>
    <n v="0"/>
    <n v="0"/>
    <n v="0"/>
    <n v="0"/>
    <n v="0"/>
    <n v="9621"/>
    <n v="0"/>
    <n v="0"/>
    <n v="310.16955223880586"/>
    <n v="38.285714285714292"/>
    <n v="0"/>
    <n v="0"/>
    <m/>
    <s v="Warisnagar"/>
    <m/>
    <n v="0"/>
  </r>
  <r>
    <s v="Munger"/>
    <s v="24-30 Apr"/>
    <n v="1057"/>
    <s v="Warisnagar"/>
    <x v="1044"/>
    <s v="Rahua 2"/>
    <s v="vlc"/>
    <s v="Indirect"/>
    <n v="1423.1000000000001"/>
    <n v="60574.37"/>
    <n v="0"/>
    <n v="0"/>
    <n v="0"/>
    <n v="0"/>
    <n v="0"/>
    <n v="0"/>
    <n v="60574.37"/>
    <n v="0"/>
    <n v="0"/>
    <n v="0"/>
    <n v="0"/>
    <n v="0"/>
    <n v="0"/>
    <n v="0"/>
    <n v="0"/>
    <n v="60574.37"/>
    <n v="0"/>
    <n v="0"/>
    <n v="0"/>
    <n v="0"/>
    <n v="0"/>
    <n v="0"/>
    <m/>
    <s v="Warisnagar"/>
    <m/>
    <n v="0"/>
  </r>
  <r>
    <s v="Munger"/>
    <s v="24-30 Apr"/>
    <n v="1057"/>
    <s v="Warisnagar"/>
    <x v="1045"/>
    <s v="Madhopur"/>
    <s v="vlc"/>
    <s v="Indirect"/>
    <n v="363.20000000000005"/>
    <n v="15338.08"/>
    <n v="0"/>
    <n v="0"/>
    <n v="0"/>
    <n v="0"/>
    <n v="0"/>
    <n v="0"/>
    <n v="15338.08"/>
    <n v="0"/>
    <n v="0"/>
    <n v="0"/>
    <n v="0"/>
    <n v="0"/>
    <n v="0"/>
    <n v="0"/>
    <n v="0"/>
    <n v="15338.08"/>
    <n v="0"/>
    <n v="0"/>
    <n v="284.46395066079288"/>
    <n v="51.885714285714293"/>
    <n v="0"/>
    <n v="0"/>
    <m/>
    <s v="Warisnagar"/>
    <m/>
    <n v="0"/>
  </r>
  <r>
    <s v="Munger"/>
    <s v="24-30 Apr"/>
    <n v="1058"/>
    <s v="Hasanpur"/>
    <x v="840"/>
    <s v="Mahuli"/>
    <s v="MPG"/>
    <s v="Direct"/>
    <n v="254.8"/>
    <n v="10556.77"/>
    <n v="235.50000000000003"/>
    <n v="9697.4176230670018"/>
    <n v="9.6"/>
    <n v="394.24192632000006"/>
    <n v="245.10000000000002"/>
    <n v="10091.659549387003"/>
    <n v="10091.659549387003"/>
    <n v="0"/>
    <n v="394.24192632000006"/>
    <n v="0"/>
    <n v="0"/>
    <n v="0"/>
    <n v="0"/>
    <n v="9698"/>
    <n v="0"/>
    <n v="0"/>
    <n v="465"/>
    <n v="0"/>
    <n v="368.90690769230775"/>
    <n v="36.4"/>
    <n v="4.4058026329359998E-2"/>
    <n v="12"/>
    <m/>
    <s v="Hasanpur"/>
    <m/>
    <n v="0"/>
  </r>
  <r>
    <s v="Munger"/>
    <s v="24-30 Apr"/>
    <n v="1058"/>
    <s v="Hasanpur"/>
    <x v="841"/>
    <s v="Sakhwa Ghat"/>
    <s v="MPG"/>
    <s v="Direct"/>
    <n v="401.6"/>
    <n v="15519.61"/>
    <n v="378"/>
    <n v="15409.7374073422"/>
    <n v="5"/>
    <n v="196.06503708000002"/>
    <n v="383"/>
    <n v="15605.802444422199"/>
    <n v="15519.61"/>
    <n v="0"/>
    <n v="196.06503708000002"/>
    <n v="86.192444422198605"/>
    <n v="0"/>
    <n v="0"/>
    <n v="0"/>
    <n v="15324"/>
    <n v="0"/>
    <n v="0"/>
    <n v="0"/>
    <n v="0"/>
    <n v="230.6300609561753"/>
    <n v="57.371428571428574"/>
    <n v="-5.5537764429775364E-3"/>
    <n v="7"/>
    <m/>
    <s v="Hasanpur"/>
    <m/>
    <n v="0"/>
  </r>
  <r>
    <s v="Munger"/>
    <s v="24-30 Apr"/>
    <n v="1058"/>
    <s v="Hasanpur"/>
    <x v="842"/>
    <s v="Patiya"/>
    <s v="MPG"/>
    <s v="Direct"/>
    <n v="181.39999999999998"/>
    <n v="7056.2799999999988"/>
    <n v="182.8"/>
    <n v="7449.4403589974099"/>
    <n v="3.6"/>
    <n v="141.60030896121003"/>
    <n v="186.4"/>
    <n v="7591.0406679586204"/>
    <n v="7056.2799999999988"/>
    <n v="0"/>
    <n v="141.60030896121003"/>
    <n v="534.76066795862153"/>
    <n v="0"/>
    <n v="0"/>
    <n v="0"/>
    <n v="6914"/>
    <n v="0"/>
    <n v="0"/>
    <n v="1"/>
    <n v="0"/>
    <n v="403.46050804851166"/>
    <n v="25.914285714285711"/>
    <n v="-7.5785069180732856E-2"/>
    <n v="3"/>
    <m/>
    <s v="Hasanpur"/>
    <m/>
    <n v="0"/>
  </r>
  <r>
    <s v="Munger"/>
    <s v="24-30 Apr"/>
    <n v="1058"/>
    <s v="Hasanpur"/>
    <x v="843"/>
    <s v="Kasiya"/>
    <s v="MPG"/>
    <s v="Direct"/>
    <n v="468.7999999999999"/>
    <n v="17891.619999999995"/>
    <n v="456.20000000000005"/>
    <n v="18276.149335725029"/>
    <n v="3.1999999999999997"/>
    <n v="120.467777166"/>
    <n v="459.40000000000003"/>
    <n v="18396.617112891028"/>
    <n v="17891.619999999995"/>
    <n v="0"/>
    <n v="120.467777166"/>
    <n v="504.99711289103288"/>
    <n v="0"/>
    <n v="0"/>
    <n v="0"/>
    <n v="17771"/>
    <n v="0"/>
    <n v="0"/>
    <n v="0"/>
    <s v="Release1"/>
    <n v="176.47365802047784"/>
    <n v="66.971428571428561"/>
    <n v="-2.8225343087491965E-2"/>
    <n v="11"/>
    <m/>
    <s v="Hasanpur"/>
    <m/>
    <n v="0"/>
  </r>
  <r>
    <s v="Munger"/>
    <s v="24-30 Apr"/>
    <n v="1058"/>
    <s v="Hasanpur"/>
    <x v="844"/>
    <s v="Belshandi"/>
    <s v="MPG"/>
    <s v="Direct"/>
    <n v="142"/>
    <n v="5397.93"/>
    <n v="136.5"/>
    <n v="5197.1669686964997"/>
    <n v="2.2000000000000002"/>
    <n v="104.90837579296002"/>
    <n v="138.69999999999999"/>
    <n v="5302.0753444894599"/>
    <n v="5302.0753444894599"/>
    <n v="0"/>
    <n v="104.90837579296002"/>
    <n v="0"/>
    <n v="0"/>
    <n v="34.290475862069087"/>
    <n v="0"/>
    <n v="5163"/>
    <n v="0"/>
    <n v="0"/>
    <n v="96"/>
    <n v="0"/>
    <n v="424.23168169014082"/>
    <n v="20.285714285714285"/>
    <n v="1.7757669238122834E-2"/>
    <n v="5"/>
    <m/>
    <s v="Hasanpur"/>
    <m/>
    <n v="0"/>
  </r>
  <r>
    <s v="Munger"/>
    <s v="24-30 Apr"/>
    <n v="1058"/>
    <s v="Hasanpur"/>
    <x v="845"/>
    <s v="Belshandi-2"/>
    <s v="MPG"/>
    <s v="Direct"/>
    <n v="262.2"/>
    <n v="11683.810000000001"/>
    <n v="281.09999999999997"/>
    <n v="13074.490130943925"/>
    <n v="0.4"/>
    <n v="16.474043520000006"/>
    <n v="281.49999999999994"/>
    <n v="13090.964174463925"/>
    <n v="11683.810000000001"/>
    <n v="0"/>
    <n v="16.474043520000006"/>
    <n v="1407.1541744639235"/>
    <n v="0"/>
    <n v="187.01"/>
    <n v="0"/>
    <n v="11480"/>
    <n v="0"/>
    <n v="0"/>
    <n v="0"/>
    <s v="Release1"/>
    <n v="390.17330419527093"/>
    <n v="37.457142857142856"/>
    <n v="-0.12043624249828809"/>
    <n v="16"/>
    <m/>
    <s v="Hasanpur"/>
    <m/>
    <n v="0"/>
  </r>
  <r>
    <s v="Munger"/>
    <s v="24-30 Apr"/>
    <n v="1058"/>
    <s v="Hasanpur"/>
    <x v="846"/>
    <s v="Godah"/>
    <s v="MPG"/>
    <s v="Direct"/>
    <n v="259.10000000000002"/>
    <n v="9702.31"/>
    <n v="327.3"/>
    <n v="12203.414619660001"/>
    <n v="0"/>
    <n v="0"/>
    <n v="327.3"/>
    <n v="12203.414619660001"/>
    <n v="9702.31"/>
    <n v="0"/>
    <n v="0"/>
    <n v="2501.1046196600018"/>
    <n v="0"/>
    <n v="0"/>
    <n v="0"/>
    <n v="9702"/>
    <n v="0"/>
    <n v="0"/>
    <n v="0"/>
    <n v="0"/>
    <n v="330.20057730605936"/>
    <n v="37.01428571428572"/>
    <n v="-0.25778444717392063"/>
    <n v="3"/>
    <m/>
    <s v="Hasanpur"/>
    <m/>
    <n v="0"/>
  </r>
  <r>
    <s v="Munger"/>
    <s v="24-30 Apr"/>
    <n v="1058"/>
    <s v="Hasanpur"/>
    <x v="847"/>
    <s v="Ballahpur"/>
    <s v="MPG"/>
    <s v="Direct"/>
    <n v="68.800000000000011"/>
    <n v="2631.8900000000003"/>
    <n v="69.55"/>
    <n v="2732.9189727965681"/>
    <n v="0"/>
    <n v="0"/>
    <n v="69.55"/>
    <n v="2732.9189727965681"/>
    <n v="2631.8900000000003"/>
    <n v="0"/>
    <n v="0"/>
    <n v="101.02897279656781"/>
    <n v="0"/>
    <n v="40.389496551724129"/>
    <n v="0"/>
    <n v="2591"/>
    <n v="0"/>
    <n v="0"/>
    <n v="1"/>
    <n v="0"/>
    <n v="482.92121162790698"/>
    <n v="9.828571428571431"/>
    <n v="-3.838647238166025E-2"/>
    <n v="4"/>
    <m/>
    <s v="Hasanpur"/>
    <m/>
    <n v="0"/>
  </r>
  <r>
    <s v="Munger"/>
    <s v="24-30 Apr"/>
    <n v="1058"/>
    <s v="Hasanpur"/>
    <x v="848"/>
    <s v="Birpur"/>
    <s v="MPG"/>
    <s v="Direct"/>
    <n v="533.9"/>
    <n v="18732.98"/>
    <n v="296.66000000000003"/>
    <n v="10266.14211558408"/>
    <n v="0"/>
    <n v="0"/>
    <n v="296.66000000000003"/>
    <n v="10266.14211558408"/>
    <n v="10266.14211558408"/>
    <n v="0"/>
    <n v="0"/>
    <n v="0"/>
    <n v="0"/>
    <n v="0"/>
    <n v="0"/>
    <n v="10264"/>
    <n v="0"/>
    <n v="0"/>
    <n v="8469"/>
    <n v="0"/>
    <n v="116.55920501966661"/>
    <n v="76.271428571428572"/>
    <n v="0.45197495990578757"/>
    <n v="8"/>
    <m/>
    <s v="Hasanpur"/>
    <m/>
    <n v="0"/>
  </r>
  <r>
    <s v="Munger"/>
    <s v="24-30 Apr"/>
    <n v="1058"/>
    <s v="Hasanpur"/>
    <x v="849"/>
    <s v="Ahilwar"/>
    <s v="MPG"/>
    <s v="Direct"/>
    <n v="881.69999999999993"/>
    <n v="33989.620000000003"/>
    <n v="879.90000000000009"/>
    <n v="33966.756423875006"/>
    <n v="4"/>
    <n v="140.61026232"/>
    <n v="883.90000000000009"/>
    <n v="34107.366686195004"/>
    <n v="33989.620000000003"/>
    <n v="0"/>
    <n v="140.61026232"/>
    <n v="117.74668619500153"/>
    <n v="0"/>
    <n v="0"/>
    <n v="0"/>
    <n v="33849"/>
    <n v="0"/>
    <n v="0"/>
    <n v="0"/>
    <n v="0"/>
    <n v="0"/>
    <n v="0"/>
    <n v="-3.4641954277512231E-3"/>
    <n v="5"/>
    <m/>
    <s v="Hasanpur"/>
    <m/>
    <n v="0"/>
  </r>
  <r>
    <s v="Munger"/>
    <s v="24-30 Apr"/>
    <n v="1058"/>
    <s v="Hasanpur"/>
    <x v="850"/>
    <s v="Paridah"/>
    <s v="MPG"/>
    <s v="Direct"/>
    <n v="211.79999999999998"/>
    <n v="9398.98"/>
    <n v="202.32"/>
    <n v="9129.8688131229101"/>
    <n v="0"/>
    <n v="0"/>
    <n v="202.32"/>
    <n v="9129.8688131229101"/>
    <n v="9129.8688131229101"/>
    <n v="0"/>
    <n v="0"/>
    <n v="0"/>
    <n v="0"/>
    <n v="63.62"/>
    <n v="0"/>
    <n v="9064"/>
    <n v="0"/>
    <n v="0"/>
    <n v="271"/>
    <s v="Release1"/>
    <n v="433.29386553352225"/>
    <n v="30.257142857142856"/>
    <n v="2.8631956539655314E-2"/>
    <n v="13"/>
    <m/>
    <s v="Hasanpur"/>
    <m/>
    <n v="0"/>
  </r>
  <r>
    <s v="Munger"/>
    <s v="24-30 Apr"/>
    <n v="1058"/>
    <s v="Hasanpur"/>
    <x v="851"/>
    <s v="Pansalla"/>
    <s v="MPG"/>
    <s v="Direct"/>
    <n v="341.7"/>
    <n v="12168.15"/>
    <n v="341.5"/>
    <n v="12116.398092282003"/>
    <n v="0"/>
    <n v="0"/>
    <n v="341.5"/>
    <n v="12116.398092282003"/>
    <n v="12116.398092282003"/>
    <n v="0"/>
    <n v="0"/>
    <n v="0"/>
    <n v="0"/>
    <n v="0"/>
    <n v="0"/>
    <n v="12116"/>
    <n v="0"/>
    <n v="0"/>
    <n v="52"/>
    <n v="0"/>
    <n v="255.18572695346802"/>
    <n v="48.81428571428571"/>
    <n v="4.253062932162802E-3"/>
    <n v="1"/>
    <m/>
    <s v="Hasanpur"/>
    <m/>
    <n v="0"/>
  </r>
  <r>
    <s v="Munger"/>
    <s v="24-30 Apr"/>
    <n v="1058"/>
    <s v="Hasanpur"/>
    <x v="852"/>
    <s v="KOLAWARI"/>
    <s v="MPG"/>
    <s v="Direct"/>
    <n v="182.10000000000002"/>
    <n v="8861.9599999999991"/>
    <n v="55.6"/>
    <n v="2847.9679451862498"/>
    <n v="0"/>
    <n v="0"/>
    <n v="55.6"/>
    <n v="2847.9679451862498"/>
    <n v="2847.9679451862498"/>
    <n v="0"/>
    <n v="0"/>
    <n v="0"/>
    <n v="0"/>
    <n v="0"/>
    <n v="0"/>
    <n v="2848"/>
    <n v="0"/>
    <n v="0"/>
    <n v="6014"/>
    <n v="0"/>
    <n v="504.07568193300375"/>
    <n v="26.014285714285716"/>
    <n v="0.67863001579941118"/>
    <n v="5"/>
    <m/>
    <s v="Hasanpur"/>
    <m/>
    <n v="0"/>
  </r>
  <r>
    <s v="Munger"/>
    <s v="24-30 Apr"/>
    <n v="1058"/>
    <s v="Hasanpur"/>
    <x v="853"/>
    <s v="MALDAH"/>
    <s v="vlc"/>
    <s v="Indirect"/>
    <n v="478.50000000000006"/>
    <n v="19283.099999999999"/>
    <n v="0"/>
    <n v="0"/>
    <n v="0"/>
    <n v="0"/>
    <n v="0"/>
    <n v="0"/>
    <n v="19283.099999999999"/>
    <n v="0"/>
    <n v="0"/>
    <n v="0"/>
    <n v="0"/>
    <n v="0"/>
    <n v="0"/>
    <n v="0"/>
    <n v="0"/>
    <n v="19283.099999999999"/>
    <n v="0"/>
    <n v="0"/>
    <n v="178.5248338557993"/>
    <n v="68.357142857142861"/>
    <n v="0"/>
    <n v="0"/>
    <m/>
    <s v="Hasanpur"/>
    <m/>
    <n v="0"/>
  </r>
  <r>
    <s v="Munger"/>
    <s v="24-30 Apr"/>
    <n v="1058"/>
    <s v="Hasanpur"/>
    <x v="1068"/>
    <s v="KARANCHI"/>
    <s v="MPG"/>
    <s v="Direct"/>
    <n v="103.19999999999999"/>
    <n v="4219.54"/>
    <n v="87.4"/>
    <n v="3425.881152938"/>
    <n v="0"/>
    <n v="0"/>
    <n v="87.4"/>
    <n v="3425.881152938"/>
    <n v="3425.881152938"/>
    <n v="0"/>
    <n v="0"/>
    <n v="0"/>
    <n v="0"/>
    <n v="0"/>
    <n v="0"/>
    <n v="3426"/>
    <n v="0"/>
    <n v="0"/>
    <n v="794"/>
    <n v="0"/>
    <n v="488.02741705426359"/>
    <n v="14.742857142857142"/>
    <n v="0.18809131968461015"/>
    <n v="2"/>
    <m/>
    <s v="Hasanpur"/>
    <m/>
    <n v="0"/>
  </r>
  <r>
    <s v="Munger"/>
    <s v="24-30 Apr"/>
    <n v="1058"/>
    <s v="Hasanpur"/>
    <x v="854"/>
    <s v="MARTHUA"/>
    <s v="MPG"/>
    <s v="Direct"/>
    <n v="306.89999999999998"/>
    <n v="13441.380000000003"/>
    <n v="290.90000000000003"/>
    <n v="12857.449850689589"/>
    <n v="0"/>
    <n v="0"/>
    <n v="290.90000000000003"/>
    <n v="12857.449850689589"/>
    <n v="12857.449850689589"/>
    <n v="0"/>
    <n v="0"/>
    <n v="0"/>
    <n v="0"/>
    <n v="0"/>
    <n v="0"/>
    <n v="12856"/>
    <n v="0"/>
    <n v="0"/>
    <n v="585"/>
    <n v="0"/>
    <n v="344.33408132942344"/>
    <n v="43.842857142857142"/>
    <n v="4.3442723091707387E-2"/>
    <n v="7"/>
    <m/>
    <s v="Hasanpur"/>
    <m/>
    <n v="0"/>
  </r>
  <r>
    <s v="Munger"/>
    <s v="24-30 Apr"/>
    <n v="1058"/>
    <s v="Hasanpur"/>
    <x v="1047"/>
    <s v="GARHPURA "/>
    <s v="MPG"/>
    <s v="Direct"/>
    <n v="168.90000000000003"/>
    <n v="5578.32"/>
    <n v="168.9"/>
    <n v="5670.19761165"/>
    <n v="0"/>
    <n v="0"/>
    <n v="168.9"/>
    <n v="5670.19761165"/>
    <n v="5578.32"/>
    <n v="0"/>
    <n v="0"/>
    <n v="91.87761165000029"/>
    <n v="0"/>
    <n v="0"/>
    <n v="0"/>
    <n v="5578"/>
    <n v="0"/>
    <n v="0"/>
    <n v="0"/>
    <n v="0"/>
    <n v="350.81654849023079"/>
    <n v="24.128571428571433"/>
    <n v="-1.6470480655466215E-2"/>
    <n v="1"/>
    <m/>
    <s v="Hasanpur"/>
    <m/>
    <n v="0"/>
  </r>
  <r>
    <s v="Munger"/>
    <s v="24-30 Apr"/>
    <n v="1058"/>
    <s v="Hasanpur"/>
    <x v="855"/>
    <s v="KOKANI"/>
    <s v="MPG"/>
    <s v="Direct"/>
    <n v="141.19999999999999"/>
    <n v="5494.6200000000008"/>
    <n v="145.33000000000001"/>
    <n v="5845.47511314236"/>
    <n v="0"/>
    <n v="0"/>
    <n v="145.33000000000001"/>
    <n v="5845.47511314236"/>
    <n v="5494.6200000000008"/>
    <n v="0"/>
    <n v="0"/>
    <n v="350.85511314235919"/>
    <n v="0"/>
    <n v="0"/>
    <n v="0"/>
    <n v="5495"/>
    <n v="0"/>
    <n v="0"/>
    <n v="0"/>
    <n v="0"/>
    <n v="434.89995127478761"/>
    <n v="20.171428571428571"/>
    <n v="-6.3854299868300102E-2"/>
    <n v="1"/>
    <m/>
    <s v="Hasanpur"/>
    <m/>
    <n v="0"/>
  </r>
  <r>
    <s v="Munger"/>
    <s v="24-30 Apr"/>
    <n v="1058"/>
    <s v="Hasanpur"/>
    <x v="856"/>
    <s v="DURGAPUR "/>
    <s v="MPG"/>
    <s v="Direct"/>
    <n v="276.29999999999995"/>
    <n v="11402.47"/>
    <n v="251.3"/>
    <n v="10794.813670738789"/>
    <n v="0"/>
    <n v="0"/>
    <n v="251.3"/>
    <n v="10794.813670738789"/>
    <n v="10794.813670738789"/>
    <n v="0"/>
    <n v="0"/>
    <n v="0"/>
    <n v="0"/>
    <n v="0"/>
    <n v="0"/>
    <n v="10795"/>
    <n v="0"/>
    <n v="0"/>
    <n v="607"/>
    <n v="0"/>
    <n v="349.70876141874783"/>
    <n v="39.471428571428568"/>
    <n v="5.329164025524382E-2"/>
    <n v="6"/>
    <m/>
    <s v="Hasanpur"/>
    <m/>
    <n v="0"/>
  </r>
  <r>
    <s v="Munger"/>
    <s v="24-30 Apr"/>
    <n v="1058"/>
    <s v="Hasanpur"/>
    <x v="857"/>
    <s v="Chandauli"/>
    <s v="MPG"/>
    <s v="Direct"/>
    <n v="193.1"/>
    <n v="8079.7200000000012"/>
    <n v="203.69999999999993"/>
    <n v="9066.956219564101"/>
    <n v="0"/>
    <n v="0"/>
    <n v="203.69999999999993"/>
    <n v="9066.956219564101"/>
    <n v="8079.7200000000012"/>
    <n v="0"/>
    <n v="0"/>
    <n v="987.23621956409988"/>
    <n v="0"/>
    <n v="0"/>
    <n v="0"/>
    <n v="8080"/>
    <n v="0"/>
    <n v="0"/>
    <n v="0"/>
    <s v="Release1"/>
    <n v="424.19576053858117"/>
    <n v="27.585714285714285"/>
    <n v="-0.12218693464180687"/>
    <n v="5"/>
    <m/>
    <s v="Hasanpur"/>
    <m/>
    <n v="0"/>
  </r>
  <r>
    <s v="Munger"/>
    <s v="24-30 Apr"/>
    <n v="1058"/>
    <s v="Hasanpur"/>
    <x v="1048"/>
    <s v="Girdharpur"/>
    <s v="MPG"/>
    <s v="Direct"/>
    <n v="383.70000000000005"/>
    <n v="13036.130000000001"/>
    <n v="383.3"/>
    <n v="13097.611581120003"/>
    <n v="0"/>
    <n v="0"/>
    <n v="383.3"/>
    <n v="13097.611581120003"/>
    <n v="13036.130000000001"/>
    <n v="0"/>
    <n v="0"/>
    <n v="61.481581120002375"/>
    <n v="0"/>
    <n v="0"/>
    <n v="0"/>
    <n v="13036"/>
    <n v="0"/>
    <n v="0"/>
    <n v="0"/>
    <n v="0"/>
    <n v="214.92457227000259"/>
    <n v="54.814285714285724"/>
    <n v="-4.7162448610133809E-3"/>
    <n v="1"/>
    <m/>
    <s v="Hasanpur"/>
    <m/>
    <n v="0"/>
  </r>
  <r>
    <s v="Munger"/>
    <s v="24-30 Apr"/>
    <n v="1058"/>
    <s v="Hasanpur"/>
    <x v="858"/>
    <s v="Yogidih VLC"/>
    <s v="vlc"/>
    <s v="Indirect"/>
    <n v="59.7"/>
    <n v="2221.66"/>
    <n v="0"/>
    <n v="0"/>
    <n v="0"/>
    <n v="0"/>
    <n v="0"/>
    <n v="0"/>
    <n v="2221.66"/>
    <n v="0"/>
    <n v="0"/>
    <n v="0"/>
    <n v="0"/>
    <n v="857.66039999999998"/>
    <n v="0"/>
    <n v="0"/>
    <n v="0"/>
    <n v="1363.9995999999999"/>
    <n v="0"/>
    <n v="0"/>
    <n v="476.55909480737023"/>
    <n v="8.5285714285714285"/>
    <n v="0"/>
    <n v="0"/>
    <m/>
    <s v="Hasanpur"/>
    <m/>
    <n v="0"/>
  </r>
  <r>
    <s v="Munger"/>
    <s v="24-30 Apr"/>
    <n v="1059"/>
    <s v="Gopalpur Bmc"/>
    <x v="862"/>
    <s v="MISHRBIGHA"/>
    <s v="MPG"/>
    <s v="Direct"/>
    <n v="621.80000000000007"/>
    <n v="33374.979999999996"/>
    <n v="703.77"/>
    <n v="39347.885916155668"/>
    <n v="0"/>
    <n v="0"/>
    <n v="703.77"/>
    <n v="39347.885916155668"/>
    <n v="33374.979999999996"/>
    <n v="0"/>
    <n v="0"/>
    <n v="5972.9059161556725"/>
    <n v="0"/>
    <n v="0"/>
    <n v="0"/>
    <n v="33375"/>
    <n v="0"/>
    <n v="0"/>
    <n v="0"/>
    <n v="0"/>
    <n v="83.947360437439599"/>
    <n v="88.828571428571436"/>
    <n v="-0.17896358038733426"/>
    <n v="4"/>
    <m/>
    <s v="Gopalpur Bmc"/>
    <m/>
    <n v="0"/>
  </r>
  <r>
    <s v="Munger"/>
    <s v="24-30 Apr"/>
    <n v="1059"/>
    <s v="Gopalpur Bmc"/>
    <x v="863"/>
    <s v="DIGHOI"/>
    <s v="MPG"/>
    <s v="Direct"/>
    <n v="174.29999999999998"/>
    <n v="10238.200000000001"/>
    <n v="178.76999999999998"/>
    <n v="11318.686464605538"/>
    <n v="0"/>
    <n v="0"/>
    <n v="178.76999999999998"/>
    <n v="11318.686464605538"/>
    <n v="10238.200000000001"/>
    <n v="0"/>
    <n v="0"/>
    <n v="1080.4864646055375"/>
    <n v="0"/>
    <n v="0"/>
    <n v="0"/>
    <n v="10238"/>
    <n v="0"/>
    <n v="0"/>
    <n v="0"/>
    <n v="0"/>
    <n v="617.58138152610445"/>
    <n v="24.9"/>
    <n v="-0.10553480734948892"/>
    <n v="1"/>
    <m/>
    <s v="Gopalpur Bmc"/>
    <m/>
    <n v="0"/>
  </r>
  <r>
    <s v="Munger"/>
    <s v="24-30 Apr"/>
    <n v="1059"/>
    <s v="Gopalpur Bmc"/>
    <x v="864"/>
    <s v="PRATAPUR"/>
    <s v="MPG"/>
    <s v="Direct"/>
    <n v="1034.0999999999999"/>
    <n v="37946.519999999997"/>
    <n v="1034.0999999999999"/>
    <n v="38048.792934240002"/>
    <n v="0"/>
    <n v="0"/>
    <n v="1034.0999999999999"/>
    <n v="38048.792934240002"/>
    <n v="37946.519999999997"/>
    <n v="0"/>
    <n v="0"/>
    <n v="102.27293424000527"/>
    <n v="0"/>
    <n v="0"/>
    <n v="0"/>
    <n v="37947"/>
    <n v="0"/>
    <n v="0"/>
    <n v="0"/>
    <n v="0"/>
    <n v="0"/>
    <n v="0"/>
    <n v="-2.6951861261587432E-3"/>
    <n v="1"/>
    <m/>
    <s v="Gopalpur Bmc"/>
    <m/>
    <n v="0"/>
  </r>
  <r>
    <s v="Munger"/>
    <s v="24-30 Apr"/>
    <n v="1059"/>
    <s v="Gopalpur Bmc"/>
    <x v="865"/>
    <s v="GOPALPUR"/>
    <s v="MPG"/>
    <s v="Direct"/>
    <n v="364.4"/>
    <n v="15345.809999999998"/>
    <n v="366.00000000000006"/>
    <n v="15375.174359658482"/>
    <n v="0"/>
    <n v="0"/>
    <n v="366.00000000000006"/>
    <n v="15375.174359658482"/>
    <n v="15345.809999999998"/>
    <n v="0"/>
    <n v="0"/>
    <n v="29.364359658484318"/>
    <n v="0"/>
    <n v="43.405529032258428"/>
    <n v="0"/>
    <n v="15302"/>
    <n v="0"/>
    <n v="0"/>
    <n v="0"/>
    <s v="Release1"/>
    <n v="282.65937628979145"/>
    <n v="52.057142857142857"/>
    <n v="-1.9135099195470506E-3"/>
    <n v="9"/>
    <m/>
    <s v="Gopalpur Bmc"/>
    <m/>
    <n v="0"/>
  </r>
  <r>
    <s v="Munger"/>
    <s v="24-30 Apr"/>
    <n v="1059"/>
    <s v="Gopalpur Bmc"/>
    <x v="867"/>
    <s v="NARMDA"/>
    <s v="MPG"/>
    <s v="Direct"/>
    <n v="329.8"/>
    <n v="14173.949999999999"/>
    <n v="330.4"/>
    <n v="14228.905296273002"/>
    <n v="0"/>
    <n v="0"/>
    <n v="330.4"/>
    <n v="14228.905296273002"/>
    <n v="14173.949999999999"/>
    <n v="0"/>
    <n v="0"/>
    <n v="54.955296273003114"/>
    <n v="0"/>
    <n v="0"/>
    <n v="0"/>
    <n v="14174"/>
    <n v="0"/>
    <n v="0"/>
    <n v="0"/>
    <n v="0"/>
    <n v="318.20474772589444"/>
    <n v="47.114285714285714"/>
    <n v="-3.8772040449559309E-3"/>
    <n v="1"/>
    <m/>
    <s v="Gopalpur Bmc"/>
    <m/>
    <n v="0"/>
  </r>
  <r>
    <s v="Munger"/>
    <s v="24-30 Apr"/>
    <n v="1059"/>
    <s v="Gopalpur Bmc"/>
    <x v="869"/>
    <s v="AMRATH"/>
    <s v="MPG"/>
    <s v="Direct"/>
    <n v="1062.7"/>
    <n v="49955.950000000004"/>
    <n v="1062.6999999999998"/>
    <n v="47722.240836340206"/>
    <n v="0"/>
    <n v="0"/>
    <n v="1062.6999999999998"/>
    <n v="47722.240836340206"/>
    <n v="47722.240836340206"/>
    <n v="0"/>
    <n v="0"/>
    <n v="0"/>
    <n v="0"/>
    <n v="0"/>
    <n v="0"/>
    <n v="47722"/>
    <n v="0"/>
    <n v="0"/>
    <n v="2234"/>
    <n v="0"/>
    <n v="0"/>
    <n v="0"/>
    <n v="4.4713575933593451E-2"/>
    <n v="2"/>
    <m/>
    <s v="Gopalpur Bmc"/>
    <m/>
    <n v="0"/>
  </r>
  <r>
    <s v="Munger"/>
    <s v="24-30 Apr"/>
    <n v="1059"/>
    <s v="Gopalpur Bmc"/>
    <x v="870"/>
    <s v="PUTERIA"/>
    <s v="MPG"/>
    <s v="Direct"/>
    <n v="651.79999999999984"/>
    <n v="24451.4"/>
    <n v="633.05999999999995"/>
    <n v="24721.869471721799"/>
    <n v="0"/>
    <n v="0"/>
    <n v="633.05999999999995"/>
    <n v="24721.869471721799"/>
    <n v="24451.4"/>
    <n v="0"/>
    <n v="0"/>
    <n v="270.46947172179716"/>
    <n v="0"/>
    <n v="0"/>
    <n v="0"/>
    <n v="24451"/>
    <n v="0"/>
    <n v="0"/>
    <n v="0"/>
    <n v="0"/>
    <n v="36.163162933415315"/>
    <n v="93.114285714285685"/>
    <n v="-1.1061512703640575E-2"/>
    <n v="6"/>
    <m/>
    <s v="Gopalpur Bmc"/>
    <m/>
    <n v="0"/>
  </r>
  <r>
    <s v="Munger"/>
    <s v="24-30 Apr"/>
    <n v="1059"/>
    <s v="Gopalpur Bmc"/>
    <x v="871"/>
    <s v="LAKHAPUR"/>
    <s v="MPG"/>
    <s v="Direct"/>
    <n v="401.79999999999995"/>
    <n v="15840.569999999998"/>
    <n v="429.29999999999995"/>
    <n v="16859.961516236799"/>
    <n v="0"/>
    <n v="0"/>
    <n v="429.29999999999995"/>
    <n v="16859.961516236799"/>
    <n v="15840.569999999998"/>
    <n v="0"/>
    <n v="0"/>
    <n v="1019.3915162368012"/>
    <n v="0"/>
    <n v="0"/>
    <n v="0"/>
    <n v="15841"/>
    <n v="0"/>
    <n v="0"/>
    <n v="0"/>
    <n v="0"/>
    <n v="235.12483693379792"/>
    <n v="57.399999999999991"/>
    <n v="-6.4353209274464321E-2"/>
    <n v="1"/>
    <m/>
    <s v="Gopalpur Bmc"/>
    <m/>
    <n v="0"/>
  </r>
  <r>
    <s v="Munger"/>
    <s v="24-30 Apr"/>
    <n v="1059"/>
    <s v="Gopalpur Bmc"/>
    <x v="872"/>
    <s v="BARIYARPUR"/>
    <s v="MPG"/>
    <s v="Direct"/>
    <n v="154.6"/>
    <n v="6151.92"/>
    <n v="155.20000000000005"/>
    <n v="6190.1488203466015"/>
    <n v="0"/>
    <n v="0"/>
    <n v="155.20000000000005"/>
    <n v="6190.1488203466015"/>
    <n v="6151.92"/>
    <n v="0"/>
    <n v="0"/>
    <n v="38.228820346601424"/>
    <n v="0"/>
    <n v="0"/>
    <n v="0"/>
    <n v="6152"/>
    <n v="0"/>
    <n v="0"/>
    <n v="0"/>
    <n v="0"/>
    <n v="434.05655472186294"/>
    <n v="22.085714285714285"/>
    <n v="-6.2141283284895482E-3"/>
    <n v="1"/>
    <m/>
    <s v="Gopalpur Bmc"/>
    <m/>
    <n v="0"/>
  </r>
  <r>
    <s v="Munger"/>
    <s v="24-30 Apr"/>
    <n v="1059"/>
    <s v="Gopalpur Bmc"/>
    <x v="873"/>
    <s v="BAGWANA"/>
    <s v="MPG"/>
    <s v="Direct"/>
    <n v="329.49999999999994"/>
    <n v="14203.789999999999"/>
    <n v="332.09999999999997"/>
    <n v="14171.807207218901"/>
    <n v="0"/>
    <n v="0"/>
    <n v="332.09999999999997"/>
    <n v="14171.807207218901"/>
    <n v="14171.807207218901"/>
    <n v="0"/>
    <n v="0"/>
    <n v="0"/>
    <n v="0"/>
    <n v="0"/>
    <n v="0"/>
    <n v="14172"/>
    <n v="0"/>
    <n v="0"/>
    <n v="32"/>
    <n v="0"/>
    <n v="319.42362336874061"/>
    <n v="47.071428571428562"/>
    <n v="2.2517083666470992E-3"/>
    <n v="1"/>
    <m/>
    <s v="Gopalpur Bmc"/>
    <m/>
    <n v="0"/>
  </r>
  <r>
    <s v="Munger"/>
    <s v="24-30 Apr"/>
    <n v="1059"/>
    <s v="Gopalpur Bmc"/>
    <x v="874"/>
    <s v="REWATA"/>
    <s v="MPG"/>
    <s v="Direct"/>
    <n v="31.6"/>
    <n v="1618.7"/>
    <n v="31.599999999999998"/>
    <n v="1606.8079696449004"/>
    <n v="0"/>
    <n v="0"/>
    <n v="31.599999999999998"/>
    <n v="1606.8079696449004"/>
    <n v="1606.8079696449004"/>
    <n v="0"/>
    <n v="0"/>
    <n v="0"/>
    <n v="0"/>
    <n v="110.00399999999998"/>
    <n v="0"/>
    <n v="1497"/>
    <n v="0"/>
    <n v="0"/>
    <n v="12"/>
    <n v="0"/>
    <n v="684.7715696202531"/>
    <n v="4.5142857142857142"/>
    <n v="7.3466549422991764E-3"/>
    <n v="1"/>
    <m/>
    <s v="Gopalpur Bmc"/>
    <m/>
    <n v="0"/>
  </r>
  <r>
    <s v="Munger"/>
    <s v="24-30 Apr"/>
    <n v="1059"/>
    <s v="Gopalpur Bmc"/>
    <x v="1049"/>
    <s v="GOMUKH DAND"/>
    <s v="vlc"/>
    <s v="Indirect"/>
    <n v="327.09999999999997"/>
    <n v="14475.799999999997"/>
    <n v="0"/>
    <n v="0"/>
    <n v="0"/>
    <n v="0"/>
    <n v="0"/>
    <n v="0"/>
    <n v="14475.799999999997"/>
    <n v="0"/>
    <n v="0"/>
    <n v="0"/>
    <n v="0"/>
    <n v="0"/>
    <n v="0"/>
    <n v="0"/>
    <n v="0"/>
    <n v="14475.799999999997"/>
    <n v="0"/>
    <n v="0"/>
    <n v="330.053550596148"/>
    <n v="46.728571428571421"/>
    <n v="0"/>
    <n v="0"/>
    <m/>
    <s v="Gopalpur Bmc"/>
    <m/>
    <n v="0"/>
  </r>
  <r>
    <s v="Munger"/>
    <s v="24-30 Apr"/>
    <n v="1014"/>
    <s v="Dumraon"/>
    <x v="875"/>
    <s v="Gomukh Karisath"/>
    <s v="MPG"/>
    <s v="Direct"/>
    <n v="544.5"/>
    <n v="18961.66"/>
    <n v="486.01"/>
    <n v="18802.447797870002"/>
    <n v="0"/>
    <n v="0"/>
    <n v="486.01"/>
    <n v="18802.447797870002"/>
    <n v="18802.447797870002"/>
    <n v="0"/>
    <n v="0"/>
    <n v="0"/>
    <n v="3861"/>
    <n v="0"/>
    <n v="0"/>
    <n v="14941"/>
    <n v="0"/>
    <n v="0"/>
    <n v="160"/>
    <n v="0"/>
    <n v="108.30259430670336"/>
    <n v="77.785714285714292"/>
    <n v="8.3965329053468062E-3"/>
    <n v="2"/>
    <m/>
    <s v="Dumraon"/>
    <m/>
    <n v="0"/>
  </r>
  <r>
    <s v="Munger"/>
    <s v="24-30 Apr"/>
    <n v="1014"/>
    <s v="Dumraon"/>
    <x v="876"/>
    <s v="Gomukh Ama"/>
    <s v="MPG"/>
    <s v="Direct"/>
    <n v="593.9"/>
    <n v="21322.440000000002"/>
    <n v="510.19999999999993"/>
    <n v="21140.224418015998"/>
    <n v="0"/>
    <n v="0"/>
    <n v="510.19999999999993"/>
    <n v="21140.224418015998"/>
    <n v="21140.224418015998"/>
    <n v="0"/>
    <n v="0"/>
    <n v="0"/>
    <n v="8960"/>
    <n v="0"/>
    <n v="0"/>
    <n v="12180"/>
    <n v="0"/>
    <n v="0"/>
    <n v="182"/>
    <n v="0"/>
    <n v="76.184909378683301"/>
    <n v="84.842857142857142"/>
    <n v="8.5457190632969079E-3"/>
    <n v="1"/>
    <m/>
    <s v="Dumraon"/>
    <m/>
    <n v="0"/>
  </r>
  <r>
    <s v="Munger"/>
    <s v="24-30 Apr"/>
    <n v="1014"/>
    <s v="Dumraon"/>
    <x v="877"/>
    <s v="Gomukh Pawat"/>
    <s v="MPG"/>
    <s v="Direct"/>
    <n v="348.59999999999997"/>
    <n v="25030.760000000002"/>
    <n v="361.87000000000006"/>
    <n v="15406.911977378168"/>
    <n v="0"/>
    <n v="0"/>
    <n v="361.87000000000006"/>
    <n v="15406.911977378168"/>
    <n v="15406.911977378168"/>
    <n v="0"/>
    <n v="0"/>
    <n v="0"/>
    <n v="0"/>
    <n v="0"/>
    <n v="0"/>
    <n v="15407"/>
    <n v="0"/>
    <n v="0"/>
    <n v="9624"/>
    <n v="0"/>
    <n v="504.63620562249008"/>
    <n v="49.8"/>
    <n v="0.38448085566006918"/>
    <n v="2"/>
    <m/>
    <s v="Dumraon"/>
    <m/>
    <n v="0"/>
  </r>
  <r>
    <s v="Munger"/>
    <s v="24-30 Apr"/>
    <n v="1014"/>
    <s v="Dumraon"/>
    <x v="878"/>
    <s v="Gomukh Barja"/>
    <s v="MPG"/>
    <s v="Direct"/>
    <n v="222.8"/>
    <n v="7999.77"/>
    <n v="222"/>
    <n v="7941.6184320000011"/>
    <n v="0"/>
    <n v="0"/>
    <n v="222"/>
    <n v="7941.6184320000011"/>
    <n v="7941.6184320000011"/>
    <n v="0"/>
    <n v="0"/>
    <n v="0"/>
    <n v="2560"/>
    <n v="0"/>
    <n v="0"/>
    <n v="0"/>
    <n v="0"/>
    <n v="0"/>
    <n v="5440"/>
    <s v="Yes"/>
    <n v="342.68314578096948"/>
    <n v="31.828571428571429"/>
    <n v="7.2691549882058252E-3"/>
    <n v="1"/>
    <m/>
    <s v="Dumraon"/>
    <m/>
    <n v="0"/>
  </r>
  <r>
    <s v="Munger"/>
    <s v="24-30 Apr"/>
    <n v="1014"/>
    <s v="Dumraon"/>
    <x v="879"/>
    <s v="Gomukh Charghat"/>
    <s v="MPG"/>
    <s v="Direct"/>
    <n v="165.5"/>
    <n v="6442.46"/>
    <n v="172.51"/>
    <n v="6422.9145672819595"/>
    <n v="0"/>
    <n v="0"/>
    <n v="172.51"/>
    <n v="6422.9145672819595"/>
    <n v="6422.9145672819595"/>
    <n v="0"/>
    <n v="0"/>
    <n v="0"/>
    <n v="0"/>
    <n v="0"/>
    <n v="0"/>
    <n v="6423"/>
    <n v="0"/>
    <n v="0"/>
    <n v="19"/>
    <n v="0"/>
    <n v="416.13231057401822"/>
    <n v="23.642857142857142"/>
    <n v="3.0338461888844482E-3"/>
    <n v="1"/>
    <m/>
    <s v="Dumraon"/>
    <m/>
    <n v="0"/>
  </r>
  <r>
    <s v="Munger"/>
    <s v="24-30 Apr"/>
    <n v="1014"/>
    <s v="Dumraon"/>
    <x v="881"/>
    <s v="Gomukh Ramdihra"/>
    <s v="MPG"/>
    <s v="Direct"/>
    <n v="166"/>
    <n v="5503.1799999999985"/>
    <n v="165.5"/>
    <n v="5461.6747680000008"/>
    <n v="0"/>
    <n v="0"/>
    <n v="165.5"/>
    <n v="5461.6747680000008"/>
    <n v="5461.6747680000008"/>
    <n v="0"/>
    <n v="0"/>
    <n v="0"/>
    <n v="0"/>
    <n v="0"/>
    <n v="0"/>
    <n v="5462"/>
    <n v="0"/>
    <n v="0"/>
    <n v="41"/>
    <n v="0"/>
    <n v="354.06001445783119"/>
    <n v="23.714285714285715"/>
    <n v="7.5420451448067688E-3"/>
    <n v="1"/>
    <m/>
    <s v="Dumraon"/>
    <m/>
    <n v="0"/>
  </r>
  <r>
    <s v="Munger"/>
    <s v="24-30 Apr"/>
    <n v="1014"/>
    <s v="Dumraon"/>
    <x v="882"/>
    <s v="Gomukh Bara"/>
    <s v="MPG"/>
    <s v="Direct"/>
    <n v="386.59999999999997"/>
    <n v="13929.740000000002"/>
    <n v="473.3"/>
    <n v="18805.646088742738"/>
    <n v="0"/>
    <n v="0"/>
    <n v="473.3"/>
    <n v="18805.646088742738"/>
    <n v="13929.740000000002"/>
    <n v="0"/>
    <n v="0"/>
    <n v="4875.9060887427368"/>
    <n v="0"/>
    <n v="0"/>
    <n v="0"/>
    <n v="13930"/>
    <n v="0"/>
    <n v="0"/>
    <n v="0"/>
    <n v="0"/>
    <n v="225.84482752198664"/>
    <n v="55.228571428571421"/>
    <n v="-0.35003568542863944"/>
    <n v="2"/>
    <m/>
    <s v="Dumraon"/>
    <m/>
    <n v="0"/>
  </r>
  <r>
    <s v="Munger"/>
    <s v="24-30 Apr"/>
    <n v="1014"/>
    <s v="Dumraon"/>
    <x v="884"/>
    <s v="Gumukh Khajuriya"/>
    <s v="MPG"/>
    <s v="Direct"/>
    <n v="380.40000000000003"/>
    <n v="13302.979999999998"/>
    <n v="381.85999999999996"/>
    <n v="13326.112395288003"/>
    <n v="0"/>
    <n v="0"/>
    <n v="381.85999999999996"/>
    <n v="13326.112395288003"/>
    <n v="13302.979999999998"/>
    <n v="0"/>
    <n v="0"/>
    <n v="23.132395288004773"/>
    <n v="0"/>
    <n v="0"/>
    <n v="0"/>
    <n v="13303"/>
    <n v="0"/>
    <n v="0"/>
    <n v="0"/>
    <n v="0"/>
    <n v="223.53482691903253"/>
    <n v="54.342857142857149"/>
    <n v="-1.7388882256460414E-3"/>
    <n v="2"/>
    <m/>
    <s v="Dumraon"/>
    <m/>
    <n v="0"/>
  </r>
  <r>
    <s v="Munger"/>
    <s v="24-30 Apr"/>
    <n v="1014"/>
    <s v="Dumraon"/>
    <x v="885"/>
    <s v="Gomukh Chhotaki Hardiya"/>
    <s v="MPG"/>
    <s v="Direct"/>
    <n v="292.5"/>
    <n v="13128.549999999997"/>
    <n v="339.0800000000001"/>
    <n v="16991.371249496009"/>
    <n v="4.33"/>
    <n v="222.89585455196004"/>
    <n v="343.41000000000008"/>
    <n v="17214.267104047969"/>
    <n v="13128.549999999997"/>
    <n v="0"/>
    <n v="222.89585455196004"/>
    <n v="4085.7171040479716"/>
    <n v="40"/>
    <n v="0"/>
    <n v="0"/>
    <n v="12866"/>
    <n v="0"/>
    <n v="0"/>
    <n v="0"/>
    <n v="0"/>
    <n v="365.80404273504269"/>
    <n v="41.785714285714285"/>
    <n v="-0.31120855723198465"/>
    <n v="2"/>
    <m/>
    <s v="Dumraon"/>
    <m/>
    <n v="0"/>
  </r>
  <r>
    <s v="Munger"/>
    <s v="24-30 Apr"/>
    <n v="1061"/>
    <s v="Mahua BMC"/>
    <x v="886"/>
    <s v="GOMUKH BHATOLIYA"/>
    <s v="MPG"/>
    <s v="Direct"/>
    <n v="755.49999999999989"/>
    <n v="34148.99"/>
    <n v="768.5"/>
    <n v="33946.850589031412"/>
    <n v="5.9999999999999991"/>
    <n v="268.60250630579998"/>
    <n v="774.5"/>
    <n v="34215.453095337209"/>
    <n v="34148.99"/>
    <n v="0"/>
    <n v="268.60250630579998"/>
    <n v="66.463095337210689"/>
    <n v="0"/>
    <n v="0"/>
    <n v="0"/>
    <n v="33880"/>
    <n v="0"/>
    <n v="0"/>
    <n v="0"/>
    <n v="0"/>
    <n v="0"/>
    <n v="0"/>
    <n v="-1.946268259682371E-3"/>
    <n v="7"/>
    <m/>
    <s v="Mahua BMC"/>
    <m/>
    <n v="0"/>
  </r>
  <r>
    <s v="Munger"/>
    <s v="24-30 Apr"/>
    <n v="1061"/>
    <s v="Mahua BMC"/>
    <x v="887"/>
    <s v="GOMUKH CHEHRAKALA"/>
    <s v="MPG"/>
    <s v="Direct"/>
    <n v="387.40000000000009"/>
    <n v="17050.490000000002"/>
    <n v="393.90000000000003"/>
    <n v="17621.136042906601"/>
    <n v="0"/>
    <n v="0"/>
    <n v="393.90000000000003"/>
    <n v="17621.136042906601"/>
    <n v="17050.490000000002"/>
    <n v="0"/>
    <n v="0"/>
    <n v="570.64604290659918"/>
    <n v="0"/>
    <n v="0"/>
    <n v="0"/>
    <n v="17050"/>
    <n v="0"/>
    <n v="0"/>
    <n v="0"/>
    <n v="0"/>
    <n v="275.16691657201847"/>
    <n v="55.342857142857156"/>
    <n v="-3.3468014286193483E-2"/>
    <n v="10"/>
    <m/>
    <s v="Mahua BMC"/>
    <m/>
    <n v="0"/>
  </r>
  <r>
    <s v="Munger"/>
    <s v="24-30 Apr"/>
    <n v="1061"/>
    <s v="Mahua BMC"/>
    <x v="888"/>
    <s v="GOMUKH KHAJECHAND"/>
    <s v="MPG"/>
    <s v="Direct"/>
    <n v="494.89999999999992"/>
    <n v="18506.03"/>
    <n v="495.10000000000008"/>
    <n v="18954.536727258001"/>
    <n v="0"/>
    <n v="0"/>
    <n v="495.10000000000008"/>
    <n v="18954.536727258001"/>
    <n v="18506.03"/>
    <n v="0"/>
    <n v="0"/>
    <n v="448.50672725800177"/>
    <n v="0"/>
    <n v="0"/>
    <n v="0"/>
    <n v="18506"/>
    <n v="0"/>
    <n v="0"/>
    <n v="0"/>
    <n v="0"/>
    <n v="153.38802800565779"/>
    <n v="70.699999999999989"/>
    <n v="-2.4235707348253612E-2"/>
    <n v="3"/>
    <m/>
    <s v="Mahua BMC"/>
    <m/>
    <n v="0"/>
  </r>
  <r>
    <s v="Munger"/>
    <s v="24-30 Apr"/>
    <n v="1061"/>
    <s v="Mahua BMC"/>
    <x v="889"/>
    <s v="GOMUKH SALEMPUR"/>
    <s v="MPG"/>
    <s v="Direct"/>
    <n v="157.5"/>
    <n v="6404.3900000000012"/>
    <n v="150.9"/>
    <n v="6013.3519306223006"/>
    <n v="2.7000000000000006"/>
    <n v="107.16048684000003"/>
    <n v="153.6"/>
    <n v="6120.5124174623006"/>
    <n v="6120.5124174623006"/>
    <n v="0"/>
    <n v="107.16048684000003"/>
    <n v="0"/>
    <n v="0"/>
    <n v="0"/>
    <n v="0"/>
    <n v="6013"/>
    <n v="0"/>
    <n v="0"/>
    <n v="284"/>
    <n v="0"/>
    <n v="441.19131111111119"/>
    <n v="22.5"/>
    <n v="4.4325467770966569E-2"/>
    <n v="4"/>
    <m/>
    <s v="Mahua BMC"/>
    <m/>
    <n v="0"/>
  </r>
  <r>
    <s v="Munger"/>
    <s v="24-30 Apr"/>
    <n v="1061"/>
    <s v="Mahua BMC"/>
    <x v="890"/>
    <s v="Gomukh Paharpur"/>
    <s v="MPG"/>
    <s v="Direct"/>
    <n v="288.10000000000002"/>
    <n v="10838.02"/>
    <n v="279.60000000000002"/>
    <n v="10363.719942709198"/>
    <n v="0"/>
    <n v="0"/>
    <n v="279.60000000000002"/>
    <n v="10363.719942709198"/>
    <n v="10363.719942709198"/>
    <n v="0"/>
    <n v="0"/>
    <n v="0"/>
    <n v="0"/>
    <n v="0"/>
    <n v="0"/>
    <n v="10363"/>
    <n v="0"/>
    <n v="0"/>
    <n v="475"/>
    <n v="0"/>
    <n v="309.90492454009024"/>
    <n v="41.157142857142858"/>
    <n v="4.3762611370970178E-2"/>
    <n v="3"/>
    <m/>
    <s v="Mahua BMC"/>
    <m/>
    <n v="0"/>
  </r>
  <r>
    <s v="Munger"/>
    <s v="24-30 Apr"/>
    <n v="1061"/>
    <s v="Mahua BMC"/>
    <x v="891"/>
    <s v="GOMUKH PREMRAJ"/>
    <s v="MPG"/>
    <s v="Direct"/>
    <n v="371.7"/>
    <n v="17866.14"/>
    <n v="363.5"/>
    <n v="17758.220199439598"/>
    <n v="3.5"/>
    <n v="158.41832492579999"/>
    <n v="367"/>
    <n v="17916.638524365397"/>
    <n v="17866.14"/>
    <n v="0"/>
    <n v="158.41832492579999"/>
    <n v="50.498524365397316"/>
    <n v="0"/>
    <n v="0"/>
    <n v="0"/>
    <n v="17708"/>
    <n v="0"/>
    <n v="0"/>
    <n v="0"/>
    <n v="0"/>
    <n v="315.60149378531077"/>
    <n v="53.1"/>
    <n v="-2.8264932640960677E-3"/>
    <n v="12"/>
    <m/>
    <s v="Mahua BMC"/>
    <m/>
    <n v="0"/>
  </r>
  <r>
    <s v="Munger"/>
    <s v="24-30 Apr"/>
    <n v="1061"/>
    <s v="Mahua BMC"/>
    <x v="892"/>
    <s v="GOMUKH MAGURAHI"/>
    <s v="MPG"/>
    <s v="Direct"/>
    <n v="299.90000000000003"/>
    <n v="14995.659999999998"/>
    <n v="297.10000000000002"/>
    <n v="14729.559175625503"/>
    <n v="6.3"/>
    <n v="314.99700393059999"/>
    <n v="303.40000000000003"/>
    <n v="15044.556179556104"/>
    <n v="14995.659999999998"/>
    <n v="0"/>
    <n v="314.99700393059999"/>
    <n v="48.89617955610629"/>
    <n v="0"/>
    <n v="0"/>
    <n v="0"/>
    <n v="14681"/>
    <n v="0"/>
    <n v="0"/>
    <n v="0"/>
    <n v="0"/>
    <n v="400.11761027008987"/>
    <n v="42.842857142857149"/>
    <n v="-3.2606887296795402E-3"/>
    <n v="14"/>
    <m/>
    <s v="Mahua BMC"/>
    <m/>
    <n v="0"/>
  </r>
  <r>
    <s v="Munger"/>
    <s v="24-30 Apr"/>
    <n v="1061"/>
    <s v="Mahua BMC"/>
    <x v="893"/>
    <s v="GOMUKH GANGATI"/>
    <s v="MPG"/>
    <s v="Direct"/>
    <n v="504.39999999999992"/>
    <n v="22502.91"/>
    <n v="505.2"/>
    <n v="22744.922518661184"/>
    <n v="0"/>
    <n v="0"/>
    <n v="505.2"/>
    <n v="22744.922518661184"/>
    <n v="22502.91"/>
    <n v="0"/>
    <n v="0"/>
    <n v="242.012518661184"/>
    <n v="0"/>
    <n v="0"/>
    <n v="0"/>
    <n v="22503"/>
    <n v="0"/>
    <n v="0"/>
    <n v="0"/>
    <n v="0"/>
    <n v="174.52693084853297"/>
    <n v="72.05714285714285"/>
    <n v="-1.0754720996581509E-2"/>
    <n v="2"/>
    <m/>
    <s v="Mahua BMC"/>
    <m/>
    <n v="0"/>
  </r>
  <r>
    <s v="Munger"/>
    <s v="24-30 Apr"/>
    <n v="1061"/>
    <s v="Mahua BMC"/>
    <x v="894"/>
    <s v="GOMUKH Khanpatti"/>
    <s v="MPG"/>
    <s v="Direct"/>
    <n v="953.10000000000014"/>
    <n v="43056.59"/>
    <n v="952.59999999999991"/>
    <n v="41810.573344921911"/>
    <n v="7.3999999999999995"/>
    <n v="322.28619192000002"/>
    <n v="959.99999999999989"/>
    <n v="42132.859536841912"/>
    <n v="42132.859536841912"/>
    <n v="0"/>
    <n v="322.28619192000002"/>
    <n v="0"/>
    <n v="0"/>
    <n v="0"/>
    <n v="0"/>
    <n v="41813"/>
    <n v="0"/>
    <n v="0"/>
    <n v="921"/>
    <n v="0"/>
    <n v="0"/>
    <n v="0"/>
    <n v="2.1453869504252071E-2"/>
    <n v="32"/>
    <m/>
    <s v="Mahua BMC"/>
    <m/>
    <n v="0"/>
  </r>
  <r>
    <s v="Munger"/>
    <s v="24-30 Apr"/>
    <n v="1061"/>
    <s v="Mahua BMC"/>
    <x v="895"/>
    <s v="GOMUKH Bhagwatpur"/>
    <s v="MPG"/>
    <s v="Direct"/>
    <n v="267.60000000000002"/>
    <n v="12356.95"/>
    <n v="269.90000000000003"/>
    <n v="12511.555927546719"/>
    <n v="0"/>
    <n v="0"/>
    <n v="269.90000000000003"/>
    <n v="12511.555927546719"/>
    <n v="12356.95"/>
    <n v="0"/>
    <n v="0"/>
    <n v="154.60592754671779"/>
    <n v="0"/>
    <n v="82.527720000000187"/>
    <n v="0"/>
    <n v="12274"/>
    <n v="0"/>
    <n v="0"/>
    <n v="0"/>
    <s v="Release1"/>
    <n v="399.33820478325856"/>
    <n v="38.228571428571435"/>
    <n v="-1.2511657613465926E-2"/>
    <n v="10"/>
    <m/>
    <s v="Mahua BMC"/>
    <m/>
    <n v="0"/>
  </r>
  <r>
    <s v="Munger"/>
    <s v="24-30 Apr"/>
    <n v="1061"/>
    <s v="Mahua BMC"/>
    <x v="896"/>
    <s v="GOMUKH JIRWARA"/>
    <s v="vlc"/>
    <s v="Indirect"/>
    <n v="459.09999999999997"/>
    <n v="19563.340000000004"/>
    <n v="0"/>
    <n v="0"/>
    <n v="0"/>
    <n v="0"/>
    <n v="0"/>
    <n v="0"/>
    <n v="19563.340000000004"/>
    <n v="0"/>
    <n v="0"/>
    <n v="0"/>
    <n v="0"/>
    <n v="0"/>
    <n v="0"/>
    <n v="0"/>
    <n v="0"/>
    <n v="19563.340000000004"/>
    <n v="0"/>
    <n v="0"/>
    <n v="205.30640845131796"/>
    <n v="65.585714285714275"/>
    <n v="0"/>
    <n v="0"/>
    <m/>
    <s v="Mahua BMC"/>
    <m/>
    <n v="0"/>
  </r>
  <r>
    <s v="Munger"/>
    <s v="24-30 Apr"/>
    <n v="1061"/>
    <s v="Mahua BMC"/>
    <x v="897"/>
    <s v="GOMUKH Karhatiya"/>
    <s v="vlc"/>
    <s v="Indirect"/>
    <n v="230.8"/>
    <n v="8430.89"/>
    <n v="0"/>
    <n v="0"/>
    <n v="0"/>
    <n v="0"/>
    <n v="0"/>
    <n v="0"/>
    <n v="8430.89"/>
    <n v="0"/>
    <n v="0"/>
    <n v="0"/>
    <n v="0"/>
    <n v="342.54503999999997"/>
    <n v="0"/>
    <n v="0"/>
    <n v="0"/>
    <n v="8088.3449599999994"/>
    <n v="0"/>
    <n v="0"/>
    <n v="342.78800589254769"/>
    <n v="32.971428571428575"/>
    <n v="0"/>
    <n v="0"/>
    <m/>
    <s v="Mahua BMC"/>
    <m/>
    <n v="0"/>
  </r>
  <r>
    <s v="Munger"/>
    <s v="24-30 Apr"/>
    <n v="1061"/>
    <s v="Mahua BMC"/>
    <x v="899"/>
    <s v="GOMUKH Karhatiya Bujurg"/>
    <s v="vlc"/>
    <s v="Indirect"/>
    <n v="309.2"/>
    <n v="10869.590000000002"/>
    <n v="0"/>
    <n v="0"/>
    <n v="0"/>
    <n v="0"/>
    <n v="0"/>
    <n v="0"/>
    <n v="10869.590000000002"/>
    <n v="0"/>
    <n v="0"/>
    <n v="0"/>
    <n v="0"/>
    <n v="0"/>
    <n v="0"/>
    <n v="0"/>
    <n v="0"/>
    <n v="10869.590000000002"/>
    <n v="0"/>
    <n v="0"/>
    <n v="274.762986545925"/>
    <n v="44.171428571428571"/>
    <n v="0"/>
    <n v="0"/>
    <m/>
    <s v="Mahua BMC"/>
    <m/>
    <n v="0"/>
  </r>
  <r>
    <s v="Munger"/>
    <s v="24-30 Apr"/>
    <n v="1061"/>
    <s v="Mahua BMC"/>
    <x v="900"/>
    <s v="GOMUKH Bheraukhara"/>
    <s v="MPG"/>
    <s v="Direct"/>
    <n v="155.79999999999998"/>
    <n v="5814.1500000000005"/>
    <n v="176"/>
    <n v="6922.3843975102018"/>
    <n v="0"/>
    <n v="0"/>
    <n v="176"/>
    <n v="6922.3843975102018"/>
    <n v="5814.1500000000005"/>
    <n v="0"/>
    <n v="0"/>
    <n v="1108.2343975102012"/>
    <n v="0"/>
    <n v="0"/>
    <n v="0"/>
    <n v="5814"/>
    <n v="0"/>
    <n v="0"/>
    <n v="0"/>
    <n v="0"/>
    <n v="406.16950320924275"/>
    <n v="22.257142857142856"/>
    <n v="-0.19060987375802158"/>
    <n v="8"/>
    <m/>
    <s v="Mahua BMC"/>
    <m/>
    <n v="0"/>
  </r>
  <r>
    <s v="Munger"/>
    <s v="24-30 Apr"/>
    <n v="1061"/>
    <s v="Mahua BMC"/>
    <x v="901"/>
    <s v="GOMUKH SUPOLTARIYA"/>
    <s v="MPG"/>
    <s v="Direct"/>
    <n v="345.80000000000007"/>
    <n v="15772.54"/>
    <n v="364.6"/>
    <n v="16209.659258375603"/>
    <n v="0"/>
    <n v="0"/>
    <n v="364.6"/>
    <n v="16209.659258375603"/>
    <n v="15772.54"/>
    <n v="0"/>
    <n v="0"/>
    <n v="437.11925837560193"/>
    <n v="0"/>
    <n v="0"/>
    <n v="0"/>
    <n v="15773"/>
    <n v="0"/>
    <n v="0"/>
    <n v="0"/>
    <n v="0"/>
    <n v="323.11357246963553"/>
    <n v="49.400000000000013"/>
    <n v="-2.7713941976092747E-2"/>
    <n v="8"/>
    <m/>
    <s v="Mahua BMC"/>
    <m/>
    <n v="0"/>
  </r>
  <r>
    <s v="Munger"/>
    <s v="24-30 Apr"/>
    <n v="1061"/>
    <s v="Mahua BMC"/>
    <x v="902"/>
    <s v="GOMUKH Shravanapatti"/>
    <s v="MPG"/>
    <s v="Direct"/>
    <n v="202.40000000000003"/>
    <n v="11473.000000000002"/>
    <n v="156.1"/>
    <n v="8328.8322842885409"/>
    <n v="0"/>
    <n v="0"/>
    <n v="156.1"/>
    <n v="8328.8322842885409"/>
    <n v="8328.8322842885409"/>
    <n v="0"/>
    <n v="0"/>
    <n v="0"/>
    <n v="0"/>
    <n v="0"/>
    <n v="0"/>
    <n v="8328"/>
    <n v="0"/>
    <n v="0"/>
    <n v="3145"/>
    <n v="0"/>
    <n v="564.12695652173909"/>
    <n v="28.914285714285718"/>
    <n v="0.2740493084381993"/>
    <n v="4"/>
    <m/>
    <s v="Mahua BMC"/>
    <m/>
    <n v="0"/>
  </r>
  <r>
    <s v="Munger"/>
    <s v="24-30 Apr"/>
    <n v="1061"/>
    <s v="Mahua BMC"/>
    <x v="903"/>
    <s v="GOMUKH Jilwara"/>
    <s v="MPG"/>
    <s v="Direct"/>
    <n v="367.59999999999997"/>
    <n v="14987.339999999998"/>
    <n v="366.90000000000003"/>
    <n v="14836.830625992701"/>
    <n v="0"/>
    <n v="0"/>
    <n v="366.90000000000003"/>
    <n v="14836.830625992701"/>
    <n v="14836.830625992701"/>
    <n v="0"/>
    <n v="0"/>
    <n v="0"/>
    <n v="0"/>
    <n v="0"/>
    <n v="0"/>
    <n v="14837"/>
    <n v="0"/>
    <n v="0"/>
    <n v="150"/>
    <n v="0"/>
    <n v="271.04416844396087"/>
    <n v="52.514285714285712"/>
    <n v="1.0042434081517941E-2"/>
    <n v="11"/>
    <m/>
    <s v="Mahua BMC"/>
    <m/>
    <n v="0"/>
  </r>
  <r>
    <s v="Munger"/>
    <s v="24-30 Apr"/>
    <n v="1061"/>
    <s v="Mahua BMC"/>
    <x v="904"/>
    <s v="GOMUKH KHANPATTI EAST"/>
    <s v="vlc"/>
    <s v="Indirect"/>
    <n v="25"/>
    <n v="1226.76"/>
    <n v="0"/>
    <n v="0"/>
    <n v="0"/>
    <n v="0"/>
    <n v="0"/>
    <n v="0"/>
    <n v="1226.76"/>
    <n v="0"/>
    <n v="0"/>
    <n v="0"/>
    <n v="0"/>
    <n v="244.60439999999997"/>
    <n v="0"/>
    <n v="0"/>
    <n v="0"/>
    <n v="982.15560000000005"/>
    <n v="0"/>
    <n v="0"/>
    <n v="662.45039999999995"/>
    <n v="3.5714285714285716"/>
    <n v="0"/>
    <n v="0"/>
    <m/>
    <s v="Mahua BMC"/>
    <m/>
    <n v="0"/>
  </r>
  <r>
    <s v="Munger"/>
    <s v="24-30 Apr"/>
    <n v="1061"/>
    <s v="Mahua BMC"/>
    <x v="905"/>
    <s v="GOMUKH ABBUCHAK"/>
    <s v="MPG"/>
    <s v="Direct"/>
    <n v="200.79999999999998"/>
    <n v="8120.7799999999988"/>
    <n v="203.39999999999998"/>
    <n v="8541.2460542666304"/>
    <n v="0"/>
    <n v="0"/>
    <n v="203.39999999999998"/>
    <n v="8541.2460542666304"/>
    <n v="8120.7799999999988"/>
    <n v="0"/>
    <n v="0"/>
    <n v="420.46605426663155"/>
    <n v="0"/>
    <n v="0"/>
    <n v="0"/>
    <n v="8121"/>
    <n v="0"/>
    <n v="0"/>
    <n v="0"/>
    <n v="0"/>
    <n v="403.77424063745019"/>
    <n v="28.685714285714283"/>
    <n v="-5.1776560166219454E-2"/>
    <n v="9"/>
    <m/>
    <s v="Mahua BMC"/>
    <m/>
    <n v="0"/>
  </r>
  <r>
    <s v="Munger"/>
    <s v="24-30 Apr"/>
    <n v="1061"/>
    <s v="Mahua BMC"/>
    <x v="907"/>
    <s v="GOMUKH KAILA JALALPUR"/>
    <s v="MPG"/>
    <s v="Direct"/>
    <n v="204.3"/>
    <n v="7588.0199999999995"/>
    <n v="204"/>
    <n v="7588.2716887722008"/>
    <n v="2.2000000000000002"/>
    <n v="83.191399632"/>
    <n v="206.2"/>
    <n v="7671.4630884042008"/>
    <n v="7588.0199999999995"/>
    <n v="0"/>
    <n v="83.191399632"/>
    <n v="83.443088404201262"/>
    <n v="0"/>
    <n v="0"/>
    <n v="0"/>
    <n v="7505"/>
    <n v="0"/>
    <n v="0"/>
    <n v="0"/>
    <n v="0"/>
    <n v="368.22139148311305"/>
    <n v="29.185714285714287"/>
    <n v="-1.0996687990305938E-2"/>
    <n v="7"/>
    <m/>
    <s v="Mahua BMC"/>
    <m/>
    <n v="0"/>
  </r>
  <r>
    <s v="Munger"/>
    <s v="24-30 Apr"/>
    <n v="1061"/>
    <s v="Mahua BMC"/>
    <x v="1020"/>
    <s v="Gomukh Jhitkahi East"/>
    <s v="MPG"/>
    <s v="Direct"/>
    <n v="50.1"/>
    <n v="3151.5299999999997"/>
    <n v="50.699999999999996"/>
    <n v="3068.9703472559609"/>
    <n v="0"/>
    <n v="0"/>
    <n v="50.699999999999996"/>
    <n v="3068.9703472559609"/>
    <n v="3068.9703472559609"/>
    <n v="0"/>
    <n v="0"/>
    <n v="0"/>
    <n v="0"/>
    <n v="0"/>
    <n v="0"/>
    <n v="3069"/>
    <n v="0"/>
    <n v="0"/>
    <n v="83"/>
    <n v="0"/>
    <n v="817.63646586826337"/>
    <n v="7.1571428571428575"/>
    <n v="2.6196689463225446E-2"/>
    <n v="6"/>
    <m/>
    <s v="Mahua BMC"/>
    <m/>
    <n v="0"/>
  </r>
  <r>
    <s v="Munger"/>
    <s v="24-30 Apr"/>
    <n v="1061"/>
    <s v="Mahua BMC"/>
    <x v="909"/>
    <s v="GOMUKH UPHRAUL"/>
    <s v="vlc"/>
    <s v="Indirect"/>
    <n v="1883.2999999999995"/>
    <n v="70534.720000000001"/>
    <n v="0"/>
    <n v="0"/>
    <n v="0"/>
    <n v="0"/>
    <n v="0"/>
    <n v="0"/>
    <n v="70534.720000000001"/>
    <n v="0"/>
    <n v="0"/>
    <n v="0"/>
    <n v="0"/>
    <n v="0"/>
    <n v="0"/>
    <n v="0"/>
    <n v="0"/>
    <n v="70534.720000000001"/>
    <n v="0"/>
    <n v="0"/>
    <n v="0"/>
    <n v="0"/>
    <n v="0"/>
    <n v="0"/>
    <m/>
    <s v="Mahua BMC"/>
    <m/>
    <n v="0"/>
  </r>
  <r>
    <s v="Munger"/>
    <s v="24-30 Apr"/>
    <n v="1061"/>
    <s v="Mahua BMC"/>
    <x v="910"/>
    <s v="GOMUKH SHERPUR"/>
    <s v="vlc"/>
    <s v="Indirect"/>
    <n v="156.6"/>
    <n v="5394.58"/>
    <n v="0"/>
    <n v="0"/>
    <n v="0"/>
    <n v="0"/>
    <n v="0"/>
    <n v="0"/>
    <n v="5394.58"/>
    <n v="0"/>
    <n v="0"/>
    <n v="0"/>
    <n v="0"/>
    <n v="0"/>
    <n v="0"/>
    <n v="0"/>
    <n v="0"/>
    <n v="5394.58"/>
    <n v="0"/>
    <n v="0"/>
    <n v="374.38247407407414"/>
    <n v="22.37142857142857"/>
    <n v="0"/>
    <n v="0"/>
    <m/>
    <s v="Mahua BMC"/>
    <m/>
    <n v="0"/>
  </r>
  <r>
    <s v="Munger"/>
    <s v="24-30 Apr"/>
    <n v="1061"/>
    <s v="Mahua BMC"/>
    <x v="914"/>
    <s v="GOMUKH PACHAI"/>
    <s v="vlc"/>
    <s v="Indirect"/>
    <n v="169.6"/>
    <n v="5836.58"/>
    <n v="0"/>
    <n v="0"/>
    <n v="0"/>
    <n v="0"/>
    <n v="0"/>
    <n v="0"/>
    <n v="5836.58"/>
    <n v="0"/>
    <n v="0"/>
    <n v="0"/>
    <n v="0"/>
    <n v="389.58719999999994"/>
    <n v="0"/>
    <n v="0"/>
    <n v="0"/>
    <n v="5446.9928"/>
    <n v="0"/>
    <n v="0"/>
    <n v="365.06156037735855"/>
    <n v="24.228571428571428"/>
    <n v="0"/>
    <n v="0"/>
    <m/>
    <s v="Mahua BMC"/>
    <m/>
    <n v="0"/>
  </r>
  <r>
    <s v="Munger"/>
    <s v="24-30 Apr"/>
    <n v="1061"/>
    <s v="Mahua BMC"/>
    <x v="915"/>
    <s v="GOMUKH GARAHI"/>
    <s v="vlc"/>
    <s v="Indirect"/>
    <n v="299.89999999999998"/>
    <n v="9060.01"/>
    <n v="0"/>
    <n v="0"/>
    <n v="0"/>
    <n v="0"/>
    <n v="0"/>
    <n v="0"/>
    <n v="9060.01"/>
    <n v="0"/>
    <n v="0"/>
    <n v="0"/>
    <n v="0"/>
    <n v="101.94528000000024"/>
    <n v="0"/>
    <n v="0"/>
    <n v="0"/>
    <n v="8958.0647200000003"/>
    <n v="0"/>
    <n v="0"/>
    <n v="241.74124714904971"/>
    <n v="42.842857142857142"/>
    <n v="0"/>
    <n v="0"/>
    <m/>
    <s v="Mahua BMC"/>
    <m/>
    <n v="0"/>
  </r>
  <r>
    <s v="Munger"/>
    <s v="24-30 Apr"/>
    <n v="1061"/>
    <s v="Mahua BMC"/>
    <x v="916"/>
    <s v="GOMUKH BAIKUNTHPUR"/>
    <s v="vlc"/>
    <s v="Indirect"/>
    <n v="15.1"/>
    <n v="533.69000000000005"/>
    <n v="0"/>
    <n v="0"/>
    <n v="0"/>
    <n v="0"/>
    <n v="0"/>
    <n v="0"/>
    <n v="533.69000000000005"/>
    <n v="0"/>
    <n v="0"/>
    <n v="0"/>
    <n v="0"/>
    <n v="484.91988000000003"/>
    <n v="0"/>
    <n v="0"/>
    <n v="0"/>
    <n v="48.77012000000002"/>
    <n v="0"/>
    <n v="0"/>
    <n v="484.13812052980137"/>
    <n v="2.157142857142857"/>
    <n v="0"/>
    <n v="0"/>
    <m/>
    <s v="Mahua BMC"/>
    <m/>
    <n v="0"/>
  </r>
  <r>
    <s v="Munger"/>
    <s v="24-30 Apr"/>
    <n v="1061"/>
    <s v="Mahua BMC"/>
    <x v="917"/>
    <s v="GOMUKH BAHASHI"/>
    <s v="vlc"/>
    <s v="Indirect"/>
    <n v="2387.3999999999996"/>
    <n v="87078.099999999977"/>
    <n v="0"/>
    <n v="0"/>
    <n v="0"/>
    <n v="0"/>
    <n v="0"/>
    <n v="0"/>
    <n v="87078.099999999977"/>
    <n v="0"/>
    <n v="0"/>
    <n v="0"/>
    <n v="0"/>
    <n v="0"/>
    <n v="0"/>
    <n v="0"/>
    <n v="0"/>
    <n v="87078.099999999977"/>
    <n v="0"/>
    <n v="0"/>
    <n v="0"/>
    <n v="0"/>
    <n v="0"/>
    <n v="0"/>
    <m/>
    <s v="Mahua BMC"/>
    <m/>
    <n v="0"/>
  </r>
  <r>
    <s v="Munger"/>
    <s v="24-30 Apr"/>
    <n v="1061"/>
    <s v="Mahua BMC"/>
    <x v="918"/>
    <s v="GOMUKH BAKHRI"/>
    <s v="vlc"/>
    <s v="Indirect"/>
    <n v="791"/>
    <n v="30404.020000000004"/>
    <n v="0"/>
    <n v="0"/>
    <n v="0"/>
    <n v="0"/>
    <n v="0"/>
    <n v="0"/>
    <n v="30404.020000000004"/>
    <n v="0"/>
    <n v="0"/>
    <n v="0"/>
    <n v="0"/>
    <n v="0"/>
    <n v="0"/>
    <n v="0"/>
    <n v="0"/>
    <n v="30404.020000000004"/>
    <n v="0"/>
    <n v="0"/>
    <n v="0"/>
    <n v="0"/>
    <n v="0"/>
    <n v="0"/>
    <m/>
    <s v="Mahua BMC"/>
    <m/>
    <n v="0"/>
  </r>
  <r>
    <s v="Munger"/>
    <s v="24-30 Apr"/>
    <n v="1061"/>
    <s v="Mahua BMC"/>
    <x v="919"/>
    <s v="GOMUKH BAJITPUR"/>
    <s v="vlc"/>
    <s v="Indirect"/>
    <n v="95.6"/>
    <n v="3204.7699999999995"/>
    <n v="0"/>
    <n v="0"/>
    <n v="0"/>
    <n v="0"/>
    <n v="0"/>
    <n v="0"/>
    <n v="3204.7699999999995"/>
    <n v="0"/>
    <n v="0"/>
    <n v="0"/>
    <n v="0"/>
    <n v="342.37200000000007"/>
    <n v="0"/>
    <n v="0"/>
    <n v="0"/>
    <n v="2862.3979999999992"/>
    <n v="0"/>
    <n v="0"/>
    <n v="405.22238242677815"/>
    <n v="13.657142857142857"/>
    <n v="0"/>
    <n v="0"/>
    <m/>
    <s v="Mahua BMC"/>
    <m/>
    <n v="0"/>
  </r>
  <r>
    <s v="Munger"/>
    <s v="24-30 Apr"/>
    <n v="1061"/>
    <s v="Mahua BMC"/>
    <x v="920"/>
    <s v="GOMUKH PANAPUR"/>
    <s v="vlc"/>
    <s v="Indirect"/>
    <n v="4.9000000000000004"/>
    <n v="185.12"/>
    <n v="0"/>
    <n v="0"/>
    <n v="0"/>
    <n v="0"/>
    <n v="0"/>
    <n v="0"/>
    <n v="185.12"/>
    <n v="0"/>
    <n v="0"/>
    <n v="0"/>
    <n v="0"/>
    <n v="185"/>
    <n v="0"/>
    <n v="0"/>
    <n v="0"/>
    <n v="0.12000000000000455"/>
    <n v="0"/>
    <s v="Release1"/>
    <n v="525.2118857142857"/>
    <n v="0.70000000000000007"/>
    <n v="0"/>
    <n v="0"/>
    <m/>
    <s v="Mahua BMC"/>
    <m/>
    <n v="0"/>
  </r>
  <r>
    <s v="Munger"/>
    <s v="24-30 Apr"/>
    <n v="1061"/>
    <s v="Mahua BMC"/>
    <x v="1021"/>
    <s v="GOMUKH BABA CHAUK"/>
    <s v="vlc"/>
    <s v="Indirect"/>
    <n v="252.39999999999998"/>
    <n v="8715.41"/>
    <n v="0"/>
    <n v="0"/>
    <n v="0"/>
    <n v="0"/>
    <n v="0"/>
    <n v="0"/>
    <n v="8715.41"/>
    <n v="0"/>
    <n v="0"/>
    <n v="0"/>
    <n v="0"/>
    <n v="0"/>
    <n v="0"/>
    <n v="0"/>
    <n v="0"/>
    <n v="8715.41"/>
    <n v="0"/>
    <n v="0"/>
    <n v="309.11390776545176"/>
    <n v="36.057142857142857"/>
    <n v="0"/>
    <n v="0"/>
    <m/>
    <s v="Mahua BMC"/>
    <m/>
    <n v="0"/>
  </r>
  <r>
    <s v="Munger"/>
    <s v="24-30 Apr"/>
    <n v="1061"/>
    <s v="Mahua BMC"/>
    <x v="1022"/>
    <s v="GOMUKH KHARIKA"/>
    <s v="vlc"/>
    <s v="Indirect"/>
    <n v="323.3"/>
    <n v="11073.869999999999"/>
    <n v="0"/>
    <n v="0"/>
    <n v="0"/>
    <n v="0"/>
    <n v="0"/>
    <n v="0"/>
    <n v="11073.869999999999"/>
    <n v="0"/>
    <n v="0"/>
    <n v="0"/>
    <n v="0"/>
    <n v="0"/>
    <n v="0"/>
    <n v="0"/>
    <n v="0"/>
    <n v="11073.869999999999"/>
    <n v="0"/>
    <n v="0"/>
    <n v="258.05919140117533"/>
    <n v="46.18571428571429"/>
    <n v="0"/>
    <n v="0"/>
    <m/>
    <s v="Mahua BMC"/>
    <m/>
    <n v="0"/>
  </r>
  <r>
    <s v="Munger"/>
    <s v="24-30 Apr"/>
    <n v="1061"/>
    <s v="Mahua BMC"/>
    <x v="1023"/>
    <s v="GOMUKH KALYANPUR"/>
    <s v="vlc"/>
    <s v="Indirect"/>
    <n v="238.60000000000002"/>
    <n v="8878.84"/>
    <n v="0"/>
    <n v="0"/>
    <n v="0"/>
    <n v="0"/>
    <n v="0"/>
    <n v="0"/>
    <n v="8878.84"/>
    <n v="0"/>
    <n v="0"/>
    <n v="0"/>
    <n v="0"/>
    <n v="0"/>
    <n v="0"/>
    <n v="0"/>
    <n v="0"/>
    <n v="8878.84"/>
    <n v="0"/>
    <n v="0"/>
    <n v="343.39453277451804"/>
    <n v="34.085714285714289"/>
    <n v="0"/>
    <n v="0"/>
    <m/>
    <s v="Mahua BMC"/>
    <m/>
    <n v="0"/>
  </r>
  <r>
    <s v="Munger"/>
    <s v="24-30 Apr"/>
    <n v="1061"/>
    <s v="Mahua BMC"/>
    <x v="1024"/>
    <s v="GOMUKH GOVINDPUR"/>
    <s v="vlc"/>
    <s v="Indirect"/>
    <n v="65.5"/>
    <n v="2475.14"/>
    <n v="0"/>
    <n v="0"/>
    <n v="0"/>
    <n v="0"/>
    <n v="0"/>
    <n v="0"/>
    <n v="2475.14"/>
    <n v="0"/>
    <n v="0"/>
    <n v="0"/>
    <n v="0"/>
    <n v="0"/>
    <n v="0"/>
    <n v="0"/>
    <n v="0"/>
    <n v="2475.14"/>
    <n v="0"/>
    <n v="0"/>
    <n v="479.53475725190833"/>
    <n v="9.3571428571428577"/>
    <n v="0"/>
    <n v="0"/>
    <m/>
    <s v="Mahua BMC"/>
    <m/>
    <n v="0"/>
  </r>
  <r>
    <s v="Munger"/>
    <s v="24-30 Apr"/>
    <n v="1061"/>
    <s v="Mahua BMC"/>
    <x v="1061"/>
    <s v="GOMUKH HARPUR RAJESH"/>
    <s v="vlc"/>
    <s v="Indirect"/>
    <n v="151.6"/>
    <n v="6440.6200000000008"/>
    <n v="0"/>
    <n v="0"/>
    <n v="0"/>
    <n v="0"/>
    <n v="0"/>
    <n v="0"/>
    <n v="6440.6200000000008"/>
    <n v="0"/>
    <n v="0"/>
    <n v="0"/>
    <n v="0"/>
    <n v="161.55599999999984"/>
    <n v="0"/>
    <n v="0"/>
    <n v="0"/>
    <n v="6279.0640000000012"/>
    <n v="0"/>
    <n v="0"/>
    <n v="465.9678110817942"/>
    <n v="21.657142857142855"/>
    <n v="0"/>
    <n v="0"/>
    <m/>
    <s v="Mahua BMC"/>
    <m/>
    <n v="0"/>
  </r>
  <r>
    <s v="Munger"/>
    <s v="24-30 Apr"/>
    <n v="1061"/>
    <s v="Mahua BMC"/>
    <x v="1062"/>
    <s v="GOMUKH SANICHAR HATT"/>
    <s v="vlc"/>
    <s v="Indirect"/>
    <n v="21.3"/>
    <n v="815.36"/>
    <n v="0"/>
    <n v="0"/>
    <n v="0"/>
    <n v="0"/>
    <n v="0"/>
    <n v="0"/>
    <n v="815.36"/>
    <n v="0"/>
    <n v="0"/>
    <n v="0"/>
    <n v="0"/>
    <n v="564.18299999999999"/>
    <n v="0"/>
    <n v="0"/>
    <n v="0"/>
    <n v="251.17700000000002"/>
    <n v="0"/>
    <n v="0"/>
    <n v="519.6101708920188"/>
    <n v="3.0428571428571431"/>
    <n v="0"/>
    <n v="0"/>
    <m/>
    <s v="Mahua BMC"/>
    <m/>
    <n v="0"/>
  </r>
  <r>
    <s v="Munger"/>
    <s v="24-30 Apr"/>
    <n v="1061"/>
    <s v="Mahua BMC"/>
    <x v="1069"/>
    <s v="GOMUKH SAHARIYA"/>
    <s v="vlc"/>
    <s v="Indirect"/>
    <n v="180.2"/>
    <n v="6919.99"/>
    <n v="0"/>
    <n v="0"/>
    <n v="0"/>
    <n v="0"/>
    <n v="0"/>
    <n v="0"/>
    <n v="6919.99"/>
    <n v="0"/>
    <n v="0"/>
    <n v="0"/>
    <n v="0"/>
    <n v="0"/>
    <n v="0"/>
    <n v="0"/>
    <n v="0"/>
    <n v="6919.99"/>
    <n v="0"/>
    <n v="0"/>
    <n v="399.22428435072152"/>
    <n v="25.74285714285714"/>
    <n v="0"/>
    <n v="0"/>
    <m/>
    <s v="Mahua BMC"/>
    <m/>
    <n v="0"/>
  </r>
  <r>
    <s v="Munger"/>
    <s v="24-30 Apr"/>
    <n v="1057"/>
    <s v="Warisnagar"/>
    <x v="923"/>
    <s v="Karua"/>
    <s v="MPG"/>
    <s v="Direct"/>
    <n v="102.5"/>
    <n v="4439.93"/>
    <n v="102.49999999999999"/>
    <n v="4417.2057077694008"/>
    <n v="0"/>
    <n v="0"/>
    <n v="102.49999999999999"/>
    <n v="4417.2057077694008"/>
    <n v="4417.2057077694008"/>
    <n v="0"/>
    <n v="0"/>
    <n v="0"/>
    <n v="0"/>
    <n v="0"/>
    <n v="0"/>
    <n v="4417"/>
    <n v="0"/>
    <n v="0"/>
    <n v="23"/>
    <n v="0"/>
    <n v="517.63086341463418"/>
    <n v="14.642857142857142"/>
    <n v="5.1181645275037062E-3"/>
    <n v="1"/>
    <m/>
    <s v="Warisnagar"/>
    <m/>
    <n v="0"/>
  </r>
  <r>
    <s v="Munger"/>
    <s v="24-30 Apr"/>
    <n v="1057"/>
    <s v="Warisnagar"/>
    <x v="924"/>
    <s v="Erout"/>
    <s v="MPG"/>
    <s v="Direct"/>
    <n v="101.8"/>
    <n v="4861.07"/>
    <n v="102.10000000000001"/>
    <n v="5019.6601187843407"/>
    <n v="0"/>
    <n v="0"/>
    <n v="102.10000000000001"/>
    <n v="5019.6601187843407"/>
    <n v="4861.07"/>
    <n v="0"/>
    <n v="0"/>
    <n v="158.59011878434103"/>
    <n v="0"/>
    <n v="0"/>
    <n v="0"/>
    <n v="4861"/>
    <n v="0"/>
    <n v="0"/>
    <n v="0"/>
    <n v="0"/>
    <n v="571.29510294695478"/>
    <n v="14.542857142857143"/>
    <n v="-3.2624528917366141E-2"/>
    <n v="1"/>
    <m/>
    <s v="Warisnagar"/>
    <m/>
    <n v="0"/>
  </r>
  <r>
    <s v="Munger"/>
    <s v="24-30 Apr"/>
    <n v="1057"/>
    <s v="Warisnagar"/>
    <x v="925"/>
    <s v="Murli"/>
    <s v="MPG"/>
    <s v="Direct"/>
    <n v="106.80000000000001"/>
    <n v="5315.93"/>
    <n v="97.399999999999977"/>
    <n v="5358.7170650150802"/>
    <n v="0"/>
    <n v="0"/>
    <n v="97.399999999999977"/>
    <n v="5358.7170650150802"/>
    <n v="5315.93"/>
    <n v="0"/>
    <n v="0"/>
    <n v="42.787065015079861"/>
    <n v="0"/>
    <n v="11.932343999999944"/>
    <n v="0"/>
    <n v="5304"/>
    <n v="0"/>
    <n v="0"/>
    <n v="0"/>
    <n v="0"/>
    <n v="590.52615655430714"/>
    <n v="15.257142857142858"/>
    <n v="-8.0488390582795222E-3"/>
    <n v="1"/>
    <m/>
    <s v="Warisnagar"/>
    <m/>
    <n v="0"/>
  </r>
  <r>
    <s v="Munger"/>
    <s v="24-30 Apr"/>
    <n v="1057"/>
    <s v="Warisnagar"/>
    <x v="926"/>
    <s v="Mahespur"/>
    <s v="MPG"/>
    <s v="Direct"/>
    <n v="85.4"/>
    <n v="3738.6400000000003"/>
    <n v="85.4"/>
    <n v="3738.8290902964004"/>
    <n v="0"/>
    <n v="0"/>
    <n v="85.4"/>
    <n v="3738.8290902964004"/>
    <n v="3738.6400000000003"/>
    <n v="0"/>
    <n v="0"/>
    <n v="0.18909029640008157"/>
    <n v="0"/>
    <n v="61.688760000000102"/>
    <n v="0"/>
    <n v="3677"/>
    <n v="0"/>
    <n v="0"/>
    <n v="0"/>
    <n v="0"/>
    <n v="538.11900327868864"/>
    <n v="12.200000000000001"/>
    <n v="-5.0577294524233825E-5"/>
    <n v="1"/>
    <m/>
    <s v="Warisnagar"/>
    <m/>
    <n v="0"/>
  </r>
  <r>
    <s v="Munger"/>
    <s v="24-30 Apr"/>
    <n v="1057"/>
    <s v="Warisnagar"/>
    <x v="927"/>
    <s v="Raj Nagar"/>
    <s v="MPG"/>
    <s v="Direct"/>
    <n v="3.1"/>
    <n v="123.6"/>
    <n v="3.1"/>
    <n v="121.53571452000001"/>
    <n v="0"/>
    <n v="0"/>
    <n v="3.1"/>
    <n v="121.53571452000001"/>
    <n v="121.53571452000001"/>
    <n v="0"/>
    <n v="0"/>
    <n v="0"/>
    <n v="0"/>
    <n v="122"/>
    <n v="0"/>
    <n v="0"/>
    <n v="0"/>
    <n v="0"/>
    <n v="2"/>
    <s v="Yes"/>
    <n v="555.72154838709673"/>
    <n v="0.44285714285714289"/>
    <n v="1.6701338834951302E-2"/>
    <n v="1"/>
    <m/>
    <s v="Warisnagar"/>
    <m/>
    <n v="0"/>
  </r>
  <r>
    <s v="Munger"/>
    <s v="24-30 Apr"/>
    <n v="1057"/>
    <s v="Warisnagar"/>
    <x v="928"/>
    <s v="Nauapokhar"/>
    <s v="MPG"/>
    <s v="Direct"/>
    <n v="174.70000000000002"/>
    <n v="7850.1"/>
    <n v="180.19999999999996"/>
    <n v="7776.2416583344011"/>
    <n v="1.7"/>
    <n v="70.311598830000008"/>
    <n v="181.89999999999995"/>
    <n v="7846.5532571644007"/>
    <n v="7846.5532571644007"/>
    <n v="0"/>
    <n v="70.311598830000008"/>
    <n v="0"/>
    <n v="0"/>
    <n v="0"/>
    <n v="0"/>
    <n v="7776"/>
    <n v="0"/>
    <n v="0"/>
    <n v="4"/>
    <n v="0"/>
    <n v="472.08443388666279"/>
    <n v="24.957142857142859"/>
    <n v="4.5180861843793275E-4"/>
    <n v="2"/>
    <m/>
    <s v="Warisnagar"/>
    <m/>
    <n v="0"/>
  </r>
  <r>
    <s v="Munger"/>
    <s v="24-30 Apr"/>
    <n v="1057"/>
    <s v="Warisnagar"/>
    <x v="929"/>
    <s v="Erout 2"/>
    <s v="vlc"/>
    <s v="Indirect"/>
    <n v="96.7"/>
    <n v="3434.92"/>
    <n v="0"/>
    <n v="0"/>
    <n v="0"/>
    <n v="0"/>
    <n v="0"/>
    <n v="0"/>
    <n v="3434.92"/>
    <n v="0"/>
    <n v="0"/>
    <n v="0"/>
    <n v="0"/>
    <n v="647.04201290322612"/>
    <n v="0"/>
    <n v="0"/>
    <n v="0"/>
    <n v="2787.8779870967737"/>
    <n v="0"/>
    <n v="0"/>
    <n v="428.60128976215094"/>
    <n v="13.814285714285715"/>
    <n v="0"/>
    <n v="0"/>
    <m/>
    <s v="Warisnagar"/>
    <m/>
    <n v="0"/>
  </r>
  <r>
    <s v="Munger"/>
    <s v="24-30 Apr"/>
    <n v="1057"/>
    <s v="Warisnagar"/>
    <x v="930"/>
    <s v="Parsuram"/>
    <s v="vlc"/>
    <s v="Indirect"/>
    <n v="70.2"/>
    <n v="2373.6899999999996"/>
    <n v="0"/>
    <n v="0"/>
    <n v="0"/>
    <n v="0"/>
    <n v="0"/>
    <n v="0"/>
    <n v="2373.6899999999996"/>
    <n v="0"/>
    <n v="0"/>
    <n v="0"/>
    <n v="0"/>
    <n v="203.69479354838705"/>
    <n v="0"/>
    <n v="0"/>
    <n v="0"/>
    <n v="2169.9952064516124"/>
    <n v="0"/>
    <n v="0"/>
    <n v="425.91167008547012"/>
    <n v="10.028571428571428"/>
    <n v="0"/>
    <n v="0"/>
    <m/>
    <s v="Warisnagar"/>
    <m/>
    <n v="0"/>
  </r>
  <r>
    <s v="Munger"/>
    <s v="24-30 Apr"/>
    <n v="1057"/>
    <s v="Warisnagar"/>
    <x v="931"/>
    <s v="Gudarghat"/>
    <s v="vlc"/>
    <s v="Indirect"/>
    <n v="323.7"/>
    <n v="12172.07"/>
    <n v="0"/>
    <n v="0"/>
    <n v="0"/>
    <n v="0"/>
    <n v="0"/>
    <n v="0"/>
    <n v="12172.07"/>
    <n v="0"/>
    <n v="0"/>
    <n v="0"/>
    <n v="0"/>
    <n v="0"/>
    <n v="0"/>
    <n v="0"/>
    <n v="0"/>
    <n v="12172.07"/>
    <n v="0"/>
    <n v="0"/>
    <n v="282.99968742662958"/>
    <n v="46.24285714285714"/>
    <n v="0"/>
    <n v="0"/>
    <m/>
    <s v="Warisnagar"/>
    <m/>
    <n v="0"/>
  </r>
  <r>
    <s v="Munger"/>
    <s v="24-30 Apr"/>
    <n v="1057"/>
    <s v="Warisnagar"/>
    <x v="1027"/>
    <s v="Siripur Gohar"/>
    <s v="MPG"/>
    <s v="Direct"/>
    <n v="75.400000000000006"/>
    <n v="2701.73"/>
    <n v="75.400000000000006"/>
    <n v="2701.5935284799998"/>
    <n v="0"/>
    <n v="0"/>
    <n v="75.400000000000006"/>
    <n v="2701.5935284799998"/>
    <n v="2701.5935284799998"/>
    <n v="0"/>
    <n v="0"/>
    <n v="0"/>
    <n v="0"/>
    <n v="397.01400000000007"/>
    <n v="0"/>
    <n v="2305"/>
    <n v="0"/>
    <n v="0"/>
    <n v="0"/>
    <n v="0"/>
    <n v="447.61288010610082"/>
    <n v="10.771428571428572"/>
    <n v="5.0512641899898876E-5"/>
    <n v="1"/>
    <m/>
    <s v="Warisnagar"/>
    <m/>
    <n v="0"/>
  </r>
  <r>
    <s v="Munger"/>
    <s v="24-30 Apr"/>
    <n v="1057"/>
    <s v="Warisnagar"/>
    <x v="1028"/>
    <s v="Sedukha"/>
    <s v="MPG"/>
    <s v="Direct"/>
    <n v="152.9"/>
    <n v="5567.12"/>
    <n v="152.9"/>
    <n v="5570.0317411200003"/>
    <n v="0"/>
    <n v="0"/>
    <n v="152.9"/>
    <n v="5570.0317411200003"/>
    <n v="5567.12"/>
    <n v="0"/>
    <n v="0"/>
    <n v="2.9117411200004426"/>
    <n v="0"/>
    <n v="157.53900000000002"/>
    <n v="0"/>
    <n v="5409"/>
    <n v="0"/>
    <n v="0"/>
    <n v="1"/>
    <n v="0"/>
    <n v="398.40043845650746"/>
    <n v="21.842857142857145"/>
    <n v="-5.2302467343984726E-4"/>
    <n v="1"/>
    <m/>
    <s v="Warisnagar"/>
    <m/>
    <n v="0"/>
  </r>
  <r>
    <s v="Munger"/>
    <s v="24-30 Apr"/>
    <n v="1057"/>
    <s v="Warisnagar"/>
    <x v="932"/>
    <s v="Maheshwara"/>
    <s v="MPG"/>
    <s v="Direct"/>
    <n v="114.29999999999998"/>
    <n v="4456.8500000000004"/>
    <n v="114.29999999999998"/>
    <n v="4456.4935444920002"/>
    <n v="0"/>
    <n v="0"/>
    <n v="114.29999999999998"/>
    <n v="4456.4935444920002"/>
    <n v="4456.4935444920002"/>
    <n v="0"/>
    <n v="0"/>
    <n v="0"/>
    <n v="0"/>
    <n v="286.84469999999993"/>
    <n v="0"/>
    <n v="4170"/>
    <n v="0"/>
    <n v="0"/>
    <n v="0"/>
    <n v="0"/>
    <n v="456.75888801399839"/>
    <n v="16.328571428571426"/>
    <n v="7.9979247226220535E-5"/>
    <n v="1"/>
    <m/>
    <s v="Warisnagar"/>
    <m/>
    <n v="0"/>
  </r>
  <r>
    <s v="Munger"/>
    <s v="24-30 Apr"/>
    <n v="1057"/>
    <s v="Warisnagar"/>
    <x v="933"/>
    <s v="Madhuban 2"/>
    <s v="vlc"/>
    <s v="Indirect"/>
    <n v="154.1"/>
    <n v="5820.26"/>
    <n v="0"/>
    <n v="0"/>
    <n v="0"/>
    <n v="0"/>
    <n v="0"/>
    <n v="0"/>
    <n v="5820.26"/>
    <n v="0"/>
    <n v="0"/>
    <n v="0"/>
    <n v="0"/>
    <n v="435.14615999999984"/>
    <n v="0"/>
    <n v="0"/>
    <n v="0"/>
    <n v="5385.11384"/>
    <n v="0"/>
    <n v="0"/>
    <n v="412.36598754055814"/>
    <n v="22.014285714285712"/>
    <n v="0"/>
    <n v="0"/>
    <m/>
    <s v="Warisnagar"/>
    <m/>
    <n v="0"/>
  </r>
  <r>
    <s v="Munger"/>
    <s v="24-30 Apr"/>
    <n v="1057"/>
    <s v="Warisnagar"/>
    <x v="1050"/>
    <s v="Durgaashtan 2"/>
    <s v="vlc"/>
    <s v="Indirect"/>
    <n v="60.2"/>
    <n v="2180.4499999999998"/>
    <n v="0"/>
    <n v="0"/>
    <n v="0"/>
    <n v="0"/>
    <n v="0"/>
    <n v="0"/>
    <n v="2180.4499999999998"/>
    <n v="0"/>
    <n v="0"/>
    <n v="0"/>
    <n v="0"/>
    <n v="443.98199999999997"/>
    <n v="0"/>
    <n v="0"/>
    <n v="0"/>
    <n v="1736.4679999999998"/>
    <n v="0"/>
    <n v="0"/>
    <n v="463.47239534883715"/>
    <n v="8.6"/>
    <n v="0"/>
    <n v="0"/>
    <m/>
    <s v="Warisnagar"/>
    <m/>
    <n v="0"/>
  </r>
  <r>
    <s v="Munger"/>
    <s v="24-30 Apr"/>
    <n v="1057"/>
    <s v="Warisnagar"/>
    <x v="935"/>
    <s v="Durgaashtan "/>
    <s v="vlc"/>
    <s v="Indirect"/>
    <n v="111.7"/>
    <n v="3964.29"/>
    <n v="0"/>
    <n v="0"/>
    <n v="0"/>
    <n v="0"/>
    <n v="0"/>
    <n v="0"/>
    <n v="3964.29"/>
    <n v="0"/>
    <n v="0"/>
    <n v="0"/>
    <n v="0"/>
    <n v="738.39201818181834"/>
    <n v="0"/>
    <n v="0"/>
    <n v="0"/>
    <n v="3225.8979818181815"/>
    <n v="0"/>
    <n v="0"/>
    <n v="417.58134413607877"/>
    <n v="15.957142857142857"/>
    <n v="0"/>
    <n v="0"/>
    <m/>
    <s v="Warisnagar"/>
    <m/>
    <n v="0"/>
  </r>
  <r>
    <s v="Munger"/>
    <s v="24-30 Apr"/>
    <n v="1062"/>
    <s v="Singhia BMC"/>
    <x v="937"/>
    <s v="DUMRA "/>
    <s v="MPG"/>
    <s v="Direct"/>
    <n v="377.01"/>
    <n v="14649.51"/>
    <n v="369.70000000000005"/>
    <n v="14269.389982084504"/>
    <n v="7.7"/>
    <n v="292.96915559999997"/>
    <n v="377.40000000000003"/>
    <n v="14562.359137684503"/>
    <n v="14562.359137684503"/>
    <n v="0"/>
    <n v="292.96915559999997"/>
    <n v="0"/>
    <n v="0"/>
    <n v="0"/>
    <n v="0"/>
    <n v="14270"/>
    <n v="0"/>
    <n v="0"/>
    <n v="87"/>
    <n v="0"/>
    <n v="251.00900426513888"/>
    <n v="53.85857142857143"/>
    <n v="5.9490633007859544E-3"/>
    <n v="6"/>
    <m/>
    <s v="Singhia BMC"/>
    <m/>
    <n v="0"/>
  </r>
  <r>
    <s v="Munger"/>
    <s v="24-30 Apr"/>
    <n v="1062"/>
    <s v="Singhia BMC"/>
    <x v="1051"/>
    <s v="DIHA"/>
    <s v="MPG"/>
    <s v="Direct"/>
    <n v="5.6199999999999992"/>
    <n v="203.37"/>
    <n v="5.5"/>
    <n v="199.06217100000001"/>
    <n v="0"/>
    <n v="0"/>
    <n v="5.5"/>
    <n v="199.06217100000001"/>
    <n v="199.06217100000001"/>
    <n v="0"/>
    <n v="0"/>
    <n v="0"/>
    <n v="0"/>
    <n v="199"/>
    <n v="0"/>
    <n v="0"/>
    <n v="0"/>
    <n v="0"/>
    <n v="4"/>
    <s v="Yes"/>
    <n v="502.54825836298943"/>
    <n v="0.80285714285714271"/>
    <n v="2.1182224516890388E-2"/>
    <n v="1"/>
    <m/>
    <s v="Singhia BMC"/>
    <m/>
    <n v="0"/>
  </r>
  <r>
    <s v="Munger"/>
    <s v="24-30 Apr"/>
    <n v="1062"/>
    <s v="Singhia BMC"/>
    <x v="938"/>
    <s v="BALHA"/>
    <s v="MPG"/>
    <s v="Direct"/>
    <n v="638.65000000000009"/>
    <n v="26250.009999999995"/>
    <n v="635.99999999999989"/>
    <n v="26321.54668364301"/>
    <n v="8.5"/>
    <n v="345.08388816000001"/>
    <n v="644.49999999999989"/>
    <n v="26666.630571803009"/>
    <n v="26250.009999999995"/>
    <n v="0"/>
    <n v="345.08388816000001"/>
    <n v="416.62057180301417"/>
    <n v="0"/>
    <n v="0"/>
    <n v="0"/>
    <n v="0"/>
    <n v="0"/>
    <n v="0"/>
    <n v="25905"/>
    <s v="Yes"/>
    <n v="50.432572253973156"/>
    <n v="91.235714285714295"/>
    <n v="-1.587125383201813E-2"/>
    <n v="13"/>
    <m/>
    <s v="Singhia BMC"/>
    <m/>
    <n v="0"/>
  </r>
  <r>
    <s v="Munger"/>
    <s v="24-30 Apr"/>
    <n v="1062"/>
    <s v="Singhia BMC"/>
    <x v="939"/>
    <s v="BHARIHAR"/>
    <s v="MPG"/>
    <s v="Direct"/>
    <n v="71.5"/>
    <n v="3042.0200000000004"/>
    <n v="60.800000000000004"/>
    <n v="2578.7290086360003"/>
    <n v="0.54999999999999993"/>
    <n v="23.092991757"/>
    <n v="61.35"/>
    <n v="2601.8220003930005"/>
    <n v="2601.8220003930005"/>
    <n v="0"/>
    <n v="23.092991757"/>
    <n v="0"/>
    <n v="0"/>
    <n v="0"/>
    <n v="0"/>
    <n v="2579"/>
    <n v="0"/>
    <n v="0"/>
    <n v="440"/>
    <n v="0"/>
    <n v="534.79987972027982"/>
    <n v="10.214285714285714"/>
    <n v="0.14470582034536258"/>
    <n v="2"/>
    <m/>
    <s v="Singhia BMC"/>
    <m/>
    <n v="0"/>
  </r>
  <r>
    <s v="Munger"/>
    <s v="24-30 Apr"/>
    <n v="1062"/>
    <s v="Singhia BMC"/>
    <x v="940"/>
    <s v="BARA"/>
    <s v="MPG"/>
    <s v="Direct"/>
    <n v="184.54000000000005"/>
    <n v="7812.8400000000011"/>
    <n v="182.99999999999997"/>
    <n v="7746.4531195425006"/>
    <n v="1.4000000000000001"/>
    <n v="60.103495864500012"/>
    <n v="184.39999999999998"/>
    <n v="7806.5566154070002"/>
    <n v="7806.5566154070002"/>
    <n v="0"/>
    <n v="60.103495864500012"/>
    <n v="0"/>
    <n v="0"/>
    <n v="0"/>
    <n v="0"/>
    <n v="7746"/>
    <n v="0"/>
    <n v="0"/>
    <n v="7"/>
    <n v="0"/>
    <n v="436.45892558794833"/>
    <n v="26.362857142857148"/>
    <n v="8.0423822745644938E-4"/>
    <n v="2"/>
    <m/>
    <s v="Singhia BMC"/>
    <m/>
    <n v="0"/>
  </r>
  <r>
    <s v="Munger"/>
    <s v="24-30 Apr"/>
    <n v="1062"/>
    <s v="Singhia BMC"/>
    <x v="941"/>
    <s v="KABILASHI"/>
    <s v="MPG"/>
    <s v="Direct"/>
    <n v="100.74"/>
    <n v="5154.82"/>
    <n v="100.15"/>
    <n v="5175.8140507429498"/>
    <n v="18.350000000000001"/>
    <n v="935.21491468175009"/>
    <n v="118.5"/>
    <n v="6111.0289654246999"/>
    <n v="5154.82"/>
    <n v="0"/>
    <n v="138.32360429565003"/>
    <n v="956.20896542470018"/>
    <n v="0"/>
    <n v="0"/>
    <n v="0"/>
    <n v="4219"/>
    <n v="797"/>
    <n v="0"/>
    <n v="0"/>
    <n v="0"/>
    <n v="613.27723510025805"/>
    <n v="14.391428571428571"/>
    <n v="-0.18549803202142853"/>
    <n v="9"/>
    <m/>
    <s v="Singhia BMC"/>
    <m/>
    <n v="0"/>
  </r>
  <r>
    <s v="Munger"/>
    <s v="24-30 Apr"/>
    <n v="1062"/>
    <s v="Singhia BMC"/>
    <x v="942"/>
    <s v="SULTANPUR"/>
    <s v="vlc"/>
    <s v="Indirect"/>
    <n v="228.87"/>
    <n v="9306.98"/>
    <n v="0"/>
    <n v="0"/>
    <n v="0"/>
    <n v="0"/>
    <n v="0"/>
    <n v="0"/>
    <n v="9306.98"/>
    <n v="0"/>
    <n v="0"/>
    <n v="0"/>
    <n v="0"/>
    <n v="0"/>
    <n v="0"/>
    <n v="0"/>
    <n v="0"/>
    <n v="9306.98"/>
    <n v="0"/>
    <n v="0"/>
    <n v="383.16926529470874"/>
    <n v="32.695714285714288"/>
    <n v="0"/>
    <n v="0"/>
    <m/>
    <s v="Singhia BMC"/>
    <m/>
    <n v="0"/>
  </r>
  <r>
    <s v="Munger"/>
    <s v="24-30 Apr"/>
    <n v="1062"/>
    <s v="Singhia BMC"/>
    <x v="943"/>
    <s v="SUKUMARPUR"/>
    <s v="MPG"/>
    <s v="Direct"/>
    <n v="327.27"/>
    <n v="14206.6"/>
    <n v="327"/>
    <n v="14208.248483758503"/>
    <n v="0"/>
    <n v="0"/>
    <n v="327"/>
    <n v="14208.248483758503"/>
    <n v="14206.6"/>
    <n v="0"/>
    <n v="0"/>
    <n v="1.6484837585030618"/>
    <n v="0"/>
    <n v="0"/>
    <n v="0"/>
    <n v="14207"/>
    <n v="0"/>
    <n v="0"/>
    <n v="0"/>
    <n v="0"/>
    <n v="323.59984220979624"/>
    <n v="46.752857142857138"/>
    <n v="-1.160364730831488E-4"/>
    <n v="1"/>
    <m/>
    <s v="Singhia BMC"/>
    <m/>
    <n v="0"/>
  </r>
  <r>
    <s v="Munger"/>
    <s v="24-30 Apr"/>
    <n v="1062"/>
    <s v="Singhia BMC"/>
    <x v="945"/>
    <s v="Aditya Bishwas "/>
    <s v="vlc"/>
    <s v="Indirect"/>
    <n v="157.02000000000001"/>
    <n v="7682.45"/>
    <n v="0"/>
    <n v="0"/>
    <n v="0"/>
    <n v="0"/>
    <n v="0"/>
    <n v="0"/>
    <n v="7682.45"/>
    <n v="0"/>
    <n v="0"/>
    <n v="0"/>
    <n v="0"/>
    <n v="387.74092500000006"/>
    <n v="0"/>
    <n v="0"/>
    <n v="0"/>
    <n v="7294.7090749999998"/>
    <n v="0"/>
    <n v="0"/>
    <n v="531.3229780919628"/>
    <n v="22.431428571428572"/>
    <n v="0"/>
    <n v="0"/>
    <m/>
    <s v="Singhia BMC"/>
    <m/>
    <n v="0"/>
  </r>
  <r>
    <s v="Munger"/>
    <s v="24-30 Apr"/>
    <n v="1065"/>
    <s v="Bachhwara BMC"/>
    <x v="946"/>
    <s v="Gomukh Vijaiya"/>
    <s v="MPG"/>
    <s v="Direct"/>
    <n v="147.39999999999998"/>
    <n v="6354.0099999999993"/>
    <n v="153.90000000000003"/>
    <n v="7282.0803281803019"/>
    <n v="0"/>
    <n v="0"/>
    <n v="153.90000000000003"/>
    <n v="7282.0803281803019"/>
    <n v="6354.0099999999993"/>
    <n v="0"/>
    <n v="0"/>
    <n v="928.07032818030257"/>
    <n v="0"/>
    <n v="0"/>
    <n v="0"/>
    <n v="6354"/>
    <n v="0"/>
    <n v="0"/>
    <n v="0"/>
    <n v="0"/>
    <n v="476.42142822252379"/>
    <n v="21.057142857142853"/>
    <n v="-0.14606057091195995"/>
    <n v="3"/>
    <m/>
    <s v="Bachhwara BMC"/>
    <m/>
    <n v="0"/>
  </r>
  <r>
    <s v="Munger"/>
    <s v="24-30 Apr"/>
    <n v="1065"/>
    <s v="Bachhwara BMC"/>
    <x v="947"/>
    <s v="Gomukh Gangauli"/>
    <s v="MPG"/>
    <s v="Direct"/>
    <n v="1111.8000000000002"/>
    <n v="43809.200000000004"/>
    <n v="1126.0999999999999"/>
    <n v="45074.834758058401"/>
    <n v="0"/>
    <n v="0"/>
    <n v="1126.0999999999999"/>
    <n v="45074.834758058401"/>
    <n v="43809.200000000004"/>
    <n v="0"/>
    <n v="0"/>
    <n v="1265.634758058397"/>
    <n v="0"/>
    <n v="0"/>
    <n v="0"/>
    <n v="43809"/>
    <n v="0"/>
    <n v="0"/>
    <n v="0"/>
    <n v="0"/>
    <n v="0"/>
    <n v="0"/>
    <n v="-2.8889702575221572E-2"/>
    <n v="19"/>
    <m/>
    <s v="Bachhwara BMC"/>
    <m/>
    <n v="0"/>
  </r>
  <r>
    <s v="Munger"/>
    <s v="24-30 Apr"/>
    <n v="1065"/>
    <s v="Bachhwara BMC"/>
    <x v="948"/>
    <s v="Gomukh KARRAKH"/>
    <s v="MPG"/>
    <s v="Direct"/>
    <n v="380.79999999999995"/>
    <n v="14289.52"/>
    <n v="390"/>
    <n v="14488.889019691751"/>
    <n v="0"/>
    <n v="0"/>
    <n v="390"/>
    <n v="14488.889019691751"/>
    <n v="14289.52"/>
    <n v="0"/>
    <n v="0"/>
    <n v="199.36901969175051"/>
    <n v="0"/>
    <n v="0"/>
    <n v="0"/>
    <n v="14290"/>
    <n v="0"/>
    <n v="0"/>
    <n v="0"/>
    <n v="0"/>
    <n v="239.55960000000007"/>
    <n v="54.399999999999991"/>
    <n v="-1.3952114535110381E-2"/>
    <n v="4"/>
    <m/>
    <s v="Bachhwara BMC"/>
    <m/>
    <n v="0"/>
  </r>
  <r>
    <s v="Munger"/>
    <s v="24-30 Apr"/>
    <n v="1065"/>
    <s v="Bachhwara BMC"/>
    <x v="949"/>
    <s v="MANDA"/>
    <s v="vlc"/>
    <s v="Indirect"/>
    <n v="139.4"/>
    <n v="5561.5500000000011"/>
    <n v="0"/>
    <n v="0"/>
    <n v="0"/>
    <n v="0"/>
    <n v="0"/>
    <n v="0"/>
    <n v="5561.5500000000011"/>
    <n v="0"/>
    <n v="0"/>
    <n v="0"/>
    <n v="0"/>
    <n v="0"/>
    <n v="0"/>
    <n v="0"/>
    <n v="0"/>
    <n v="5561.5500000000011"/>
    <n v="0"/>
    <n v="0"/>
    <n v="447.31778048780501"/>
    <n v="19.914285714285715"/>
    <n v="0"/>
    <n v="0"/>
    <m/>
    <s v="Bachhwara BMC"/>
    <m/>
    <n v="0"/>
  </r>
  <r>
    <s v="Munger"/>
    <s v="24-30 Apr"/>
    <n v="1065"/>
    <s v="Bachhwara BMC"/>
    <x v="1052"/>
    <s v="HAWASPUR"/>
    <s v="vlc"/>
    <s v="Indirect"/>
    <n v="38.6"/>
    <n v="1107.01"/>
    <n v="0"/>
    <n v="0"/>
    <n v="0"/>
    <n v="0"/>
    <n v="0"/>
    <n v="0"/>
    <n v="1107.01"/>
    <n v="0"/>
    <n v="0"/>
    <n v="0"/>
    <n v="0"/>
    <n v="510.726"/>
    <n v="0"/>
    <n v="0"/>
    <n v="0"/>
    <n v="596.28399999999999"/>
    <n v="0"/>
    <n v="0"/>
    <n v="379.36601761658028"/>
    <n v="5.5142857142857142"/>
    <n v="0"/>
    <n v="0"/>
    <m/>
    <s v="Bachhwara BMC"/>
    <m/>
    <n v="0"/>
  </r>
  <r>
    <s v="Munger"/>
    <s v="24-30 Apr"/>
    <n v="1065"/>
    <s v="Bachhwara BMC"/>
    <x v="1063"/>
    <s v="Gomukh Manda"/>
    <s v="MPG"/>
    <s v="Direct"/>
    <n v="355.99999999999994"/>
    <n v="13683.949999999999"/>
    <n v="353.1"/>
    <n v="13694.992269948001"/>
    <n v="0"/>
    <n v="0"/>
    <n v="353.1"/>
    <n v="13694.992269948001"/>
    <n v="13683.949999999999"/>
    <n v="0"/>
    <n v="0"/>
    <n v="11.042269948002286"/>
    <n v="0"/>
    <n v="0"/>
    <n v="0"/>
    <n v="13684"/>
    <n v="0"/>
    <n v="0"/>
    <n v="0"/>
    <n v="0"/>
    <n v="264.45386516853938"/>
    <n v="50.857142857142847"/>
    <n v="-8.0695047468035813E-4"/>
    <n v="8"/>
    <m/>
    <s v="Bachhwara BMC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7">
  <r>
    <x v="0"/>
    <s v="Gomukh Kumbhi"/>
    <s v="MPG"/>
    <s v="Direct"/>
    <n v="768.5"/>
    <n v="29428.73"/>
    <n v="754.24000000000024"/>
    <n v="28714.997860434582"/>
    <n v="6.1800000000000006"/>
    <n v="231.61210500511999"/>
    <n v="760.42000000000019"/>
    <n v="28946.6099654397"/>
    <n v="28946.6099654397"/>
    <n v="0"/>
    <n v="231.61210500511999"/>
    <n v="0"/>
    <n v="0"/>
    <n v="0"/>
    <n v="0"/>
    <n v="28717"/>
    <n v="0"/>
    <n v="0"/>
    <n v="480"/>
    <n v="0"/>
  </r>
  <r>
    <x v="1"/>
    <s v="Gomukh Amba"/>
    <s v="MPG"/>
    <s v="Direct"/>
    <n v="49.45"/>
    <n v="1708.9199999999998"/>
    <n v="49"/>
    <n v="1715.3615278800003"/>
    <n v="0"/>
    <n v="0"/>
    <n v="49"/>
    <n v="1715.3615278800003"/>
    <n v="1708.9199999999998"/>
    <n v="0"/>
    <n v="0"/>
    <n v="6.4415278800004216"/>
    <n v="0"/>
    <n v="72.41"/>
    <n v="0"/>
    <n v="1637"/>
    <n v="0"/>
    <n v="0"/>
    <n v="0"/>
    <s v="Release1"/>
  </r>
  <r>
    <x v="2"/>
    <s v="Gomukh Jagdar                                                                                       "/>
    <s v="MPG"/>
    <s v="Direct"/>
    <n v="739.8"/>
    <n v="30204.13"/>
    <n v="731.6600000000002"/>
    <n v="30050.983569747339"/>
    <n v="13.07"/>
    <n v="497.65694536800009"/>
    <n v="744.73000000000025"/>
    <n v="30548.640515115338"/>
    <n v="30204.13"/>
    <n v="0"/>
    <n v="497.65694536800009"/>
    <n v="344.5105151153366"/>
    <n v="0"/>
    <n v="0"/>
    <n v="0"/>
    <n v="29706"/>
    <n v="0"/>
    <n v="0"/>
    <n v="0"/>
    <s v="Release1"/>
  </r>
  <r>
    <x v="3"/>
    <s v="Gomukh Goriyari"/>
    <s v="MPG"/>
    <s v="Direct"/>
    <n v="1163.3999999999999"/>
    <n v="45015.089999999989"/>
    <n v="840"/>
    <n v="33000.923735999997"/>
    <n v="321.5"/>
    <n v="12424.442928480003"/>
    <n v="1161.5"/>
    <n v="45425.366664479996"/>
    <n v="45015.089999999989"/>
    <n v="0"/>
    <n v="184.80527999999998"/>
    <n v="410.27666448000673"/>
    <n v="12500"/>
    <n v="0"/>
    <n v="0"/>
    <n v="20090"/>
    <n v="12240"/>
    <n v="0"/>
    <n v="0"/>
    <n v="0"/>
  </r>
  <r>
    <x v="4"/>
    <s v="Mohanpur - Chandan"/>
    <s v="vlc"/>
    <s v="Indirect"/>
    <n v="14.1"/>
    <n v="657.06"/>
    <n v="0"/>
    <n v="0"/>
    <n v="0"/>
    <n v="0"/>
    <n v="0"/>
    <n v="0"/>
    <n v="657.06"/>
    <n v="0"/>
    <n v="0"/>
    <n v="0"/>
    <n v="0"/>
    <n v="587.58044516129041"/>
    <n v="0"/>
    <n v="0"/>
    <n v="0"/>
    <n v="69.479554838709532"/>
    <n v="0"/>
    <n v="0"/>
  </r>
  <r>
    <x v="5"/>
    <s v="Birpur-2 - Pankaj"/>
    <s v="vlc"/>
    <s v="Indirect"/>
    <n v="141.4"/>
    <n v="4811.59"/>
    <n v="0"/>
    <n v="0"/>
    <n v="0"/>
    <n v="0"/>
    <n v="0"/>
    <n v="0"/>
    <n v="4811.59"/>
    <n v="0"/>
    <n v="0"/>
    <n v="0"/>
    <n v="0"/>
    <n v="4590.3744193548391"/>
    <n v="0"/>
    <n v="0"/>
    <n v="0"/>
    <n v="221.21558064516103"/>
    <n v="0"/>
    <n v="0"/>
  </r>
  <r>
    <x v="6"/>
    <s v="Ekamba - Ashutosh"/>
    <s v="vlc"/>
    <s v="Indirect"/>
    <n v="646.6"/>
    <n v="24645.309999999998"/>
    <n v="0"/>
    <n v="0"/>
    <n v="0"/>
    <n v="0"/>
    <n v="0"/>
    <n v="0"/>
    <n v="24645.309999999998"/>
    <n v="0"/>
    <n v="0"/>
    <n v="0"/>
    <n v="0"/>
    <n v="0"/>
    <n v="0"/>
    <n v="0"/>
    <n v="0"/>
    <n v="24645.309999999998"/>
    <n v="0"/>
    <n v="0"/>
  </r>
  <r>
    <x v="7"/>
    <s v="GOMUKH BIRPUR PASCHIM                                                                               "/>
    <s v="MPG"/>
    <s v="Direct"/>
    <n v="136.5"/>
    <n v="5618.98"/>
    <n v="137.5"/>
    <n v="5496.8972216400007"/>
    <n v="0"/>
    <n v="0"/>
    <n v="137.5"/>
    <n v="5496.8972216400007"/>
    <n v="5496.8972216400007"/>
    <n v="0"/>
    <n v="0"/>
    <n v="0"/>
    <n v="0"/>
    <n v="0"/>
    <n v="0"/>
    <n v="5497"/>
    <n v="0"/>
    <n v="0"/>
    <n v="122"/>
    <n v="0"/>
  </r>
  <r>
    <x v="8"/>
    <s v="Manish Dairy                                                                                        "/>
    <s v="vlc"/>
    <s v="Indirect"/>
    <n v="11063"/>
    <n v="392059.06"/>
    <n v="0"/>
    <n v="0"/>
    <n v="0"/>
    <n v="0"/>
    <n v="0"/>
    <n v="0"/>
    <n v="392059.06"/>
    <n v="0"/>
    <n v="0"/>
    <n v="0"/>
    <n v="0"/>
    <n v="0"/>
    <n v="0"/>
    <n v="0"/>
    <n v="0"/>
    <n v="392059.06"/>
    <n v="0"/>
    <n v="0"/>
  </r>
  <r>
    <x v="9"/>
    <s v="Gomukh Bhith-02"/>
    <s v="MPG"/>
    <s v="Direct"/>
    <n v="165.70000000000002"/>
    <n v="6324.9800000000014"/>
    <n v="17.510000000000002"/>
    <n v="664.42302630000006"/>
    <n v="150"/>
    <n v="6217.368300000001"/>
    <n v="167.51"/>
    <n v="6881.7913263000009"/>
    <n v="6324.9800000000014"/>
    <n v="0"/>
    <n v="0"/>
    <n v="556.81132629999956"/>
    <n v="0"/>
    <n v="1024.71"/>
    <n v="0"/>
    <n v="1"/>
    <n v="5299"/>
    <n v="0"/>
    <n v="0"/>
    <s v="Release1"/>
  </r>
  <r>
    <x v="10"/>
    <s v="Gomukh Sharmatola Sahuri"/>
    <s v="MPG"/>
    <s v="Direct"/>
    <n v="1053.2"/>
    <n v="40013.169999999991"/>
    <n v="1014.88"/>
    <n v="38729.923069412791"/>
    <n v="41.96"/>
    <n v="1817.9181846097999"/>
    <n v="1056.8399999999999"/>
    <n v="40547.841254022591"/>
    <n v="40013.169999999991"/>
    <n v="0"/>
    <n v="0"/>
    <n v="534.6712540225999"/>
    <n v="0"/>
    <n v="0"/>
    <n v="0"/>
    <n v="38195"/>
    <n v="1818"/>
    <n v="0"/>
    <n v="0"/>
    <s v="Release1"/>
  </r>
  <r>
    <x v="11"/>
    <s v="Sangat- Sanjeev Kumar"/>
    <s v="vlc"/>
    <s v="Indirect"/>
    <n v="144.9"/>
    <n v="5209.43"/>
    <n v="0"/>
    <n v="0"/>
    <n v="0"/>
    <n v="0"/>
    <n v="0"/>
    <n v="0"/>
    <n v="5209.43"/>
    <n v="0"/>
    <n v="0"/>
    <n v="0"/>
    <n v="0"/>
    <n v="1.7164451612901104"/>
    <n v="0"/>
    <n v="0"/>
    <n v="0"/>
    <n v="5207.7135548387105"/>
    <n v="0"/>
    <n v="0"/>
  </r>
  <r>
    <x v="12"/>
    <s v="Gomukh Garhi Bisanpur"/>
    <s v="MPG"/>
    <s v="Direct"/>
    <n v="164.89999999999998"/>
    <n v="6701.8499999999995"/>
    <n v="168.77999999999997"/>
    <n v="7294.1868829414361"/>
    <n v="2.9199999999999995"/>
    <n v="126.86744996722999"/>
    <n v="171.69999999999996"/>
    <n v="7421.0543329086659"/>
    <n v="6701.8499999999995"/>
    <n v="0"/>
    <n v="126.86744996722999"/>
    <n v="719.2043329086664"/>
    <n v="0"/>
    <n v="0"/>
    <n v="0"/>
    <n v="6575"/>
    <n v="0"/>
    <n v="0"/>
    <n v="0"/>
    <s v="Release1"/>
  </r>
  <r>
    <x v="13"/>
    <s v="Bagaraha-Gopal Yadav"/>
    <s v="vlc"/>
    <s v="Indirect"/>
    <n v="105.79999999999998"/>
    <n v="3181.92"/>
    <n v="0"/>
    <n v="0"/>
    <n v="0"/>
    <n v="0"/>
    <n v="0"/>
    <n v="0"/>
    <n v="3181.92"/>
    <n v="0"/>
    <n v="0"/>
    <n v="0"/>
    <n v="0"/>
    <n v="237.1186258064514"/>
    <n v="0"/>
    <n v="0"/>
    <n v="0"/>
    <n v="2944.8013741935488"/>
    <n v="0"/>
    <n v="0"/>
  </r>
  <r>
    <x v="14"/>
    <s v="Gomukh Barkurwa"/>
    <s v="MPG"/>
    <s v="Direct"/>
    <n v="396.2"/>
    <n v="14824.74"/>
    <n v="173.2"/>
    <n v="6496.1002679760004"/>
    <n v="232.05999999999997"/>
    <n v="9065.6331286923978"/>
    <n v="405.26"/>
    <n v="15561.733396668398"/>
    <n v="14824.74"/>
    <n v="0"/>
    <n v="272.05421760000002"/>
    <n v="736.99339666839842"/>
    <n v="0"/>
    <n v="0"/>
    <n v="0"/>
    <n v="5760"/>
    <n v="8793"/>
    <n v="0"/>
    <n v="0"/>
    <n v="0"/>
  </r>
  <r>
    <x v="15"/>
    <s v="Kamla- Amarjeet"/>
    <s v="vlc"/>
    <s v="Indirect"/>
    <n v="323.70000000000005"/>
    <n v="10003.120000000001"/>
    <n v="0"/>
    <n v="0"/>
    <n v="0"/>
    <n v="0"/>
    <n v="0"/>
    <n v="0"/>
    <n v="10003.120000000001"/>
    <n v="0"/>
    <n v="0"/>
    <n v="0"/>
    <n v="0"/>
    <n v="447.02332258064553"/>
    <n v="0"/>
    <n v="0"/>
    <n v="0"/>
    <n v="9556.0966774193548"/>
    <n v="0"/>
    <n v="0"/>
  </r>
  <r>
    <x v="16"/>
    <s v="Gomukh Goha-02"/>
    <s v="MPG"/>
    <s v="Direct"/>
    <n v="391.4"/>
    <n v="15052.36"/>
    <n v="386.70000000000005"/>
    <n v="15030.2266024498"/>
    <n v="5"/>
    <n v="193.38560999999999"/>
    <n v="391.70000000000005"/>
    <n v="15223.6122124498"/>
    <n v="15052.36"/>
    <n v="0"/>
    <n v="193.38560999999999"/>
    <n v="171.25221244979912"/>
    <n v="0"/>
    <n v="0"/>
    <n v="0"/>
    <n v="14859"/>
    <n v="0"/>
    <n v="0"/>
    <n v="0"/>
    <n v="0"/>
  </r>
  <r>
    <x v="17"/>
    <s v="Gomukh Cheria Bariarpur"/>
    <s v="MPG"/>
    <s v="Direct"/>
    <n v="1339.8999999999999"/>
    <n v="49690.539999999994"/>
    <n v="1519.7700000000002"/>
    <n v="54835.208284072498"/>
    <n v="1.6200000000000003"/>
    <n v="58.057293987000008"/>
    <n v="1521.39"/>
    <n v="54893.265578059501"/>
    <n v="49690.539999999994"/>
    <n v="0"/>
    <n v="58.057293987000008"/>
    <n v="5202.7255780595078"/>
    <n v="0"/>
    <n v="0"/>
    <n v="0"/>
    <n v="49632"/>
    <n v="0"/>
    <n v="0"/>
    <n v="0"/>
    <n v="0"/>
  </r>
  <r>
    <x v="18"/>
    <s v="Gomukh Rahul Nagar"/>
    <s v="MPG"/>
    <s v="Direct"/>
    <n v="289.8"/>
    <n v="12074.08"/>
    <n v="291.76"/>
    <n v="13086.841175183101"/>
    <n v="6.78"/>
    <n v="321.26055721980003"/>
    <n v="298.53999999999996"/>
    <n v="13408.101732402902"/>
    <n v="12074.08"/>
    <n v="0"/>
    <n v="244.47607634220003"/>
    <n v="1334.0217324029018"/>
    <n v="0"/>
    <n v="0"/>
    <n v="0"/>
    <n v="11753"/>
    <n v="77"/>
    <n v="0"/>
    <n v="0"/>
    <n v="0"/>
  </r>
  <r>
    <x v="19"/>
    <s v="Gomukh Bagraha-01"/>
    <s v="MPG"/>
    <s v="Direct"/>
    <n v="144.69999999999999"/>
    <n v="5792.72"/>
    <n v="152.19999999999999"/>
    <n v="6031.5796332"/>
    <n v="0"/>
    <n v="0"/>
    <n v="152.19999999999999"/>
    <n v="6031.5796332"/>
    <n v="5792.72"/>
    <n v="0"/>
    <n v="0"/>
    <n v="238.85963319999973"/>
    <n v="0"/>
    <n v="86.618879999999905"/>
    <n v="0"/>
    <n v="5706"/>
    <n v="0"/>
    <n v="0"/>
    <n v="0"/>
    <n v="0"/>
  </r>
  <r>
    <x v="20"/>
    <s v="Gomukh Shobhaipura"/>
    <s v="MPG"/>
    <s v="Direct"/>
    <n v="20.3"/>
    <n v="753.82"/>
    <n v="20.100000000000001"/>
    <n v="747.16891662599994"/>
    <n v="0"/>
    <n v="0"/>
    <n v="20.100000000000001"/>
    <n v="747.16891662599994"/>
    <n v="747.16891662599994"/>
    <n v="0"/>
    <n v="0"/>
    <n v="0"/>
    <n v="0"/>
    <n v="133.22522640000003"/>
    <n v="0"/>
    <n v="614"/>
    <n v="0"/>
    <n v="0"/>
    <n v="7"/>
    <n v="0"/>
  </r>
  <r>
    <x v="21"/>
    <s v="Gomukh Pirauna"/>
    <s v="MPG"/>
    <s v="Direct"/>
    <n v="123.20000000000002"/>
    <n v="4196.079999999999"/>
    <n v="130.57999999999998"/>
    <n v="4910.599608789601"/>
    <n v="2.1399999999999997"/>
    <n v="81.961154352000023"/>
    <n v="132.71999999999997"/>
    <n v="4992.5607631416015"/>
    <n v="4196.079999999999"/>
    <n v="0"/>
    <n v="81.961154352000023"/>
    <n v="796.48076314160244"/>
    <n v="0"/>
    <n v="152.91"/>
    <n v="0"/>
    <n v="3961"/>
    <n v="0"/>
    <n v="0"/>
    <n v="0"/>
    <s v="Release1"/>
  </r>
  <r>
    <x v="22"/>
    <s v="Parra- Nagendra Kumar"/>
    <s v="vlc"/>
    <s v="Indirect"/>
    <n v="264.59999999999997"/>
    <n v="9090.81"/>
    <n v="0"/>
    <n v="0"/>
    <n v="0"/>
    <n v="0"/>
    <n v="0"/>
    <n v="0"/>
    <n v="9090.81"/>
    <n v="0"/>
    <n v="0"/>
    <n v="0"/>
    <n v="0"/>
    <n v="0"/>
    <n v="0"/>
    <n v="0"/>
    <n v="0"/>
    <n v="9090.81"/>
    <n v="0"/>
    <n v="0"/>
  </r>
  <r>
    <x v="23"/>
    <s v="Gomukh Basahi"/>
    <s v="MPG"/>
    <s v="Direct"/>
    <n v="823.99999999999989"/>
    <n v="32447.86"/>
    <n v="820.4100000000002"/>
    <n v="33590.132578742006"/>
    <n v="5.9"/>
    <n v="240.12262579200004"/>
    <n v="826.31000000000017"/>
    <n v="33830.255204534005"/>
    <n v="32447.86"/>
    <n v="0"/>
    <n v="240.12262579200004"/>
    <n v="1382.3952045340047"/>
    <n v="0"/>
    <n v="0"/>
    <n v="0"/>
    <n v="32208"/>
    <n v="0"/>
    <n v="0"/>
    <n v="0"/>
    <n v="0"/>
  </r>
  <r>
    <x v="24"/>
    <s v="Mohanpur- Mukesh Kumar"/>
    <s v="vlc"/>
    <s v="Indirect"/>
    <n v="611.20000000000005"/>
    <n v="22836.240000000005"/>
    <n v="0"/>
    <n v="0"/>
    <n v="0"/>
    <n v="0"/>
    <n v="0"/>
    <n v="0"/>
    <n v="22836.240000000005"/>
    <n v="0"/>
    <n v="0"/>
    <n v="0"/>
    <n v="0"/>
    <n v="81.996638709676617"/>
    <n v="0"/>
    <n v="0"/>
    <n v="0"/>
    <n v="22754.24336129033"/>
    <n v="0"/>
    <n v="0"/>
  </r>
  <r>
    <x v="25"/>
    <s v="Gomukh Sawantpur"/>
    <s v="MPG"/>
    <s v="Direct"/>
    <n v="867.30000000000007"/>
    <n v="32702.18"/>
    <n v="890.29"/>
    <n v="33202.098110229163"/>
    <n v="5.64"/>
    <n v="206.27000483760003"/>
    <n v="895.93"/>
    <n v="33408.368115066762"/>
    <n v="32702.18"/>
    <n v="0"/>
    <n v="206.27000483760003"/>
    <n v="706.18811506676138"/>
    <n v="0"/>
    <n v="55.252239344260673"/>
    <n v="0"/>
    <n v="32441"/>
    <n v="0"/>
    <n v="0"/>
    <n v="0"/>
    <n v="0"/>
  </r>
  <r>
    <x v="26"/>
    <s v="Maida- Ram Kumar"/>
    <s v="vlc"/>
    <s v="Indirect"/>
    <n v="119.3"/>
    <n v="4267.8599999999997"/>
    <n v="0"/>
    <n v="0"/>
    <n v="0"/>
    <n v="0"/>
    <n v="0"/>
    <n v="0"/>
    <n v="4267.8599999999997"/>
    <n v="0"/>
    <n v="0"/>
    <n v="0"/>
    <n v="0"/>
    <n v="1092.2252903225803"/>
    <n v="0"/>
    <n v="0"/>
    <n v="0"/>
    <n v="3175.6347096774193"/>
    <n v="0"/>
    <n v="0"/>
  </r>
  <r>
    <x v="27"/>
    <s v="Gomukh Aure Bikrampur"/>
    <s v="MPG"/>
    <s v="Direct"/>
    <n v="1312.2999999999997"/>
    <n v="53215.109999999993"/>
    <n v="1340.91"/>
    <n v="57244.439218187807"/>
    <n v="0"/>
    <n v="0"/>
    <n v="1340.91"/>
    <n v="57244.439218187807"/>
    <n v="53215.109999999993"/>
    <n v="0"/>
    <n v="0"/>
    <n v="4029.3292181878132"/>
    <n v="0"/>
    <n v="0"/>
    <n v="0"/>
    <n v="53215"/>
    <n v="0"/>
    <n v="0"/>
    <n v="0"/>
    <n v="0"/>
  </r>
  <r>
    <x v="28"/>
    <s v="Manjhaul- Gulshan Kumar"/>
    <s v="vlc"/>
    <s v="Indirect"/>
    <n v="502.7"/>
    <n v="19873.939999999999"/>
    <n v="0"/>
    <n v="0"/>
    <n v="0"/>
    <n v="0"/>
    <n v="0"/>
    <n v="0"/>
    <n v="19873.939999999999"/>
    <n v="0"/>
    <n v="0"/>
    <n v="0"/>
    <n v="0"/>
    <n v="355.88825806451553"/>
    <n v="0"/>
    <n v="0"/>
    <n v="0"/>
    <n v="19518.051741935484"/>
    <n v="0"/>
    <n v="0"/>
  </r>
  <r>
    <x v="29"/>
    <s v="Khaira Manjhaul"/>
    <s v="vlc"/>
    <s v="Indirect"/>
    <n v="708.30000000000007"/>
    <n v="26008.840000000004"/>
    <n v="0"/>
    <n v="0"/>
    <n v="0"/>
    <n v="0"/>
    <n v="0"/>
    <n v="0"/>
    <n v="26008.840000000004"/>
    <n v="0"/>
    <n v="0"/>
    <n v="0"/>
    <n v="0"/>
    <n v="0"/>
    <n v="0"/>
    <n v="0"/>
    <n v="0"/>
    <n v="26008.840000000004"/>
    <n v="0"/>
    <n v="0"/>
  </r>
  <r>
    <x v="30"/>
    <s v="Mehda Shahpur"/>
    <s v="vlc"/>
    <s v="Indirect"/>
    <n v="481.5"/>
    <n v="18007.789999999997"/>
    <n v="0"/>
    <n v="0"/>
    <n v="0"/>
    <n v="0"/>
    <n v="0"/>
    <n v="0"/>
    <n v="18007.789999999997"/>
    <n v="0"/>
    <n v="0"/>
    <n v="0"/>
    <n v="0"/>
    <n v="0"/>
    <n v="0"/>
    <n v="0"/>
    <n v="0"/>
    <n v="18007.789999999997"/>
    <n v="0"/>
    <n v="0"/>
  </r>
  <r>
    <x v="31"/>
    <s v="Shri Bhairav Laxmipur"/>
    <s v="MPG"/>
    <s v="Direct"/>
    <n v="226.30000000000004"/>
    <n v="9273.0499999999993"/>
    <n v="266.15000000000003"/>
    <n v="10542.397495536603"/>
    <n v="0"/>
    <n v="0"/>
    <n v="266.15000000000003"/>
    <n v="10542.397495536603"/>
    <n v="9273.0499999999993"/>
    <n v="0"/>
    <n v="0"/>
    <n v="1269.3474955366037"/>
    <n v="0"/>
    <n v="63.96705245901633"/>
    <n v="0"/>
    <n v="9209"/>
    <n v="0"/>
    <n v="0"/>
    <n v="0"/>
    <n v="0"/>
  </r>
  <r>
    <x v="32"/>
    <s v="Goapalpur"/>
    <s v="MPG"/>
    <s v="Direct"/>
    <n v="128.10000000000002"/>
    <n v="4828.2300000000005"/>
    <n v="141.30000000000001"/>
    <n v="5463.6809056560423"/>
    <n v="0"/>
    <n v="0"/>
    <n v="141.30000000000001"/>
    <n v="5463.6809056560423"/>
    <n v="4828.2300000000005"/>
    <n v="0"/>
    <n v="0"/>
    <n v="635.45090565604187"/>
    <n v="0"/>
    <n v="117.84"/>
    <n v="0"/>
    <n v="4710"/>
    <n v="0"/>
    <n v="0"/>
    <n v="0"/>
    <s v="Release1"/>
  </r>
  <r>
    <x v="33"/>
    <s v="Gomukh Akaha"/>
    <s v="MPG"/>
    <s v="Direct"/>
    <n v="114.2"/>
    <n v="3798.2000000000003"/>
    <n v="109.78999999999999"/>
    <n v="4148.2325118564013"/>
    <n v="0"/>
    <n v="0"/>
    <n v="109.78999999999999"/>
    <n v="4148.2325118564013"/>
    <n v="3798.2000000000003"/>
    <n v="0"/>
    <n v="0"/>
    <n v="350.03251185640102"/>
    <n v="0"/>
    <n v="0"/>
    <n v="0"/>
    <n v="3798"/>
    <n v="0"/>
    <n v="0"/>
    <n v="0"/>
    <s v="Release1"/>
  </r>
  <r>
    <x v="34"/>
    <s v="Gomukh Rajakpur"/>
    <s v="MPG"/>
    <s v="Direct"/>
    <n v="37.099999999999994"/>
    <n v="1061.8499999999999"/>
    <n v="37.1"/>
    <n v="1303.7773320000001"/>
    <n v="0"/>
    <n v="0"/>
    <n v="37.1"/>
    <n v="1303.7773320000001"/>
    <n v="1061.8499999999999"/>
    <n v="0"/>
    <n v="0"/>
    <n v="241.92733200000021"/>
    <n v="0"/>
    <n v="0"/>
    <n v="0"/>
    <n v="1062"/>
    <n v="0"/>
    <n v="0"/>
    <n v="0"/>
    <s v="Release1"/>
  </r>
  <r>
    <x v="35"/>
    <s v="Gomukh Mohanpur"/>
    <s v="MPG"/>
    <s v="Direct"/>
    <n v="306.10000000000002"/>
    <n v="11620.300000000001"/>
    <n v="304.24999999999994"/>
    <n v="11531.882327484138"/>
    <n v="2.88"/>
    <n v="106.20646728120001"/>
    <n v="307.12999999999994"/>
    <n v="11638.088794765337"/>
    <n v="11620.300000000001"/>
    <n v="0"/>
    <n v="106.20646728120001"/>
    <n v="17.788794765336206"/>
    <n v="0"/>
    <n v="0"/>
    <n v="0"/>
    <n v="11514"/>
    <n v="0"/>
    <n v="0"/>
    <n v="0"/>
    <n v="0"/>
  </r>
  <r>
    <x v="36"/>
    <s v="Gomukh Chakka"/>
    <s v="MPG"/>
    <s v="Direct"/>
    <n v="188.3"/>
    <n v="7114.7100000000009"/>
    <n v="187.04000000000002"/>
    <n v="7167.0859083002833"/>
    <n v="0.14000000000000001"/>
    <n v="5.3039170800000006"/>
    <n v="187.18"/>
    <n v="7172.3898253802836"/>
    <n v="7114.7100000000009"/>
    <n v="0"/>
    <n v="5.3039170800000006"/>
    <n v="57.679825380282637"/>
    <n v="0"/>
    <n v="0"/>
    <n v="0"/>
    <n v="7109"/>
    <n v="0"/>
    <n v="0"/>
    <n v="0"/>
    <n v="0"/>
  </r>
  <r>
    <x v="37"/>
    <s v="Gamharia"/>
    <s v="vlc"/>
    <s v="Indirect"/>
    <n v="148.5"/>
    <n v="5729.85"/>
    <n v="0"/>
    <n v="0"/>
    <n v="0"/>
    <n v="0"/>
    <n v="0"/>
    <n v="0"/>
    <n v="5729.85"/>
    <n v="0"/>
    <n v="0"/>
    <n v="0"/>
    <n v="0"/>
    <n v="0"/>
    <n v="0"/>
    <n v="0"/>
    <n v="0"/>
    <n v="5729.85"/>
    <n v="0"/>
    <n v="0"/>
  </r>
  <r>
    <x v="38"/>
    <s v="Gomukh Meghaul-02"/>
    <s v="MPG"/>
    <s v="Direct"/>
    <n v="314.60000000000008"/>
    <n v="11723.51"/>
    <n v="311.81"/>
    <n v="11793.850995710402"/>
    <n v="3.15"/>
    <n v="121.66658776800001"/>
    <n v="314.95999999999998"/>
    <n v="11915.517583478402"/>
    <n v="11723.51"/>
    <n v="0"/>
    <n v="121.66658776800001"/>
    <n v="192.00758347840201"/>
    <n v="0"/>
    <n v="0"/>
    <n v="0"/>
    <n v="11602"/>
    <n v="0"/>
    <n v="0"/>
    <n v="0"/>
    <n v="0"/>
  </r>
  <r>
    <x v="39"/>
    <s v="Gomukh Meida"/>
    <s v="MPG"/>
    <s v="Direct"/>
    <n v="303.09999999999997"/>
    <n v="11000.200000000003"/>
    <n v="313.5"/>
    <n v="12011.78673684"/>
    <n v="0"/>
    <n v="0"/>
    <n v="313.5"/>
    <n v="12011.78673684"/>
    <n v="11000.200000000003"/>
    <n v="0"/>
    <n v="0"/>
    <n v="1011.5867368399977"/>
    <n v="0"/>
    <n v="0"/>
    <n v="0"/>
    <n v="11000"/>
    <n v="0"/>
    <n v="0"/>
    <n v="0"/>
    <n v="0"/>
  </r>
  <r>
    <x v="40"/>
    <s v="PIPARIYA DIH -2"/>
    <s v="MPG"/>
    <s v="Direct"/>
    <n v="2604.8999999999996"/>
    <n v="114899.22"/>
    <n v="1382.8000000000002"/>
    <n v="58624.331419947004"/>
    <n v="1223.7"/>
    <n v="58563.467681430004"/>
    <n v="2606.5"/>
    <n v="117187.79910137701"/>
    <n v="114899.22"/>
    <n v="0"/>
    <n v="1114.74848034"/>
    <n v="2288.5791013770067"/>
    <n v="0"/>
    <n v="0"/>
    <n v="0"/>
    <n v="56336"/>
    <n v="57448"/>
    <n v="0"/>
    <n v="0"/>
    <n v="0"/>
  </r>
  <r>
    <x v="41"/>
    <s v="LAL DIYARA -1"/>
    <s v="MPG"/>
    <s v="Direct"/>
    <n v="589"/>
    <n v="22475.67"/>
    <n v="592.29999999999995"/>
    <n v="22448.777444280004"/>
    <n v="0"/>
    <n v="0"/>
    <n v="592.29999999999995"/>
    <n v="22448.777444280004"/>
    <n v="22448.777444280004"/>
    <n v="0"/>
    <n v="0"/>
    <n v="0"/>
    <n v="2600"/>
    <n v="0"/>
    <n v="0"/>
    <n v="19849"/>
    <n v="0"/>
    <n v="0"/>
    <n v="27"/>
    <s v="Release2"/>
  </r>
  <r>
    <x v="42"/>
    <s v="GANGA KINARE KHUTHA"/>
    <s v="vlc"/>
    <s v="Indirect"/>
    <n v="176.50000000000003"/>
    <n v="6759.4500000000007"/>
    <n v="0"/>
    <n v="0"/>
    <n v="0"/>
    <n v="0"/>
    <n v="0"/>
    <n v="0"/>
    <n v="6759.4500000000007"/>
    <n v="0"/>
    <n v="0"/>
    <n v="0"/>
    <n v="0"/>
    <n v="1.8679548387099558"/>
    <n v="0"/>
    <n v="0"/>
    <n v="0"/>
    <n v="6757.5820451612908"/>
    <n v="0"/>
    <n v="0"/>
  </r>
  <r>
    <x v="43"/>
    <s v="Gomukh ID Khutaha Dhih"/>
    <s v="vlc"/>
    <s v="Indirect"/>
    <n v="515.6"/>
    <n v="20420.97"/>
    <n v="0"/>
    <n v="0"/>
    <n v="0"/>
    <n v="0"/>
    <n v="0"/>
    <n v="0"/>
    <n v="20420.97"/>
    <n v="0"/>
    <n v="0"/>
    <n v="0"/>
    <n v="0"/>
    <n v="2807.4264774193543"/>
    <n v="0"/>
    <n v="0"/>
    <n v="0"/>
    <n v="17613.543522580647"/>
    <n v="0"/>
    <n v="0"/>
  </r>
  <r>
    <x v="44"/>
    <s v="GOMUKH RAHATPUR"/>
    <s v="MPG"/>
    <s v="Direct"/>
    <n v="417.09999999999997"/>
    <n v="15222.970000000001"/>
    <n v="438.79999999999995"/>
    <n v="16623.21536568"/>
    <n v="1.4"/>
    <n v="50.795078400000008"/>
    <n v="440.19999999999993"/>
    <n v="16674.010444079999"/>
    <n v="15222.970000000001"/>
    <n v="0"/>
    <n v="50.795078400000008"/>
    <n v="1451.0404440799975"/>
    <n v="0"/>
    <n v="0"/>
    <n v="0"/>
    <n v="15172"/>
    <n v="0"/>
    <n v="0"/>
    <n v="0"/>
    <n v="0"/>
  </r>
  <r>
    <x v="45"/>
    <s v="KANHAIYA YADAV"/>
    <s v="vlc"/>
    <s v="Indirect"/>
    <n v="179.60000000000002"/>
    <n v="7324.1"/>
    <n v="0"/>
    <n v="0"/>
    <n v="0"/>
    <n v="0"/>
    <n v="0"/>
    <n v="0"/>
    <n v="7324.1"/>
    <n v="0"/>
    <n v="0"/>
    <n v="0"/>
    <n v="0"/>
    <n v="0"/>
    <n v="0"/>
    <n v="0"/>
    <n v="0"/>
    <n v="7324.1"/>
    <n v="0"/>
    <n v="0"/>
  </r>
  <r>
    <x v="46"/>
    <s v="GOMUKH  LALDIYARA TIRASHI                                                                           "/>
    <s v="vlc"/>
    <s v="Indirect"/>
    <n v="25520.700000000004"/>
    <n v="1010712.19"/>
    <n v="0"/>
    <n v="0"/>
    <n v="0"/>
    <n v="0"/>
    <n v="0"/>
    <n v="0"/>
    <n v="1010712.19"/>
    <n v="0"/>
    <n v="0"/>
    <n v="0"/>
    <n v="0"/>
    <n v="0"/>
    <n v="0"/>
    <n v="0"/>
    <n v="0"/>
    <n v="1010712.19"/>
    <n v="0"/>
    <n v="0"/>
  </r>
  <r>
    <x v="47"/>
    <s v="GOMUKH  LALDIYARA PURBI"/>
    <s v="vlc"/>
    <s v="Indirect"/>
    <n v="25365.199999999997"/>
    <n v="1013794.57"/>
    <n v="0"/>
    <n v="0"/>
    <n v="0"/>
    <n v="0"/>
    <n v="0"/>
    <n v="0"/>
    <n v="1013794.57"/>
    <n v="0"/>
    <n v="0"/>
    <n v="0"/>
    <n v="0"/>
    <n v="0"/>
    <n v="0"/>
    <n v="0"/>
    <n v="0"/>
    <n v="1013794.57"/>
    <n v="0"/>
    <n v="0"/>
  </r>
  <r>
    <x v="48"/>
    <s v="GOMUKH RAMCHANDARPUR II"/>
    <s v="MPG"/>
    <s v="Direct"/>
    <n v="2302.8999999999996"/>
    <n v="93511.919999999984"/>
    <n v="2592.6999999999989"/>
    <n v="93779.817490886635"/>
    <n v="3.2"/>
    <n v="136.82150856000001"/>
    <n v="2595.8999999999987"/>
    <n v="93916.63899944663"/>
    <n v="93511.919999999984"/>
    <n v="0"/>
    <n v="136.82150856000001"/>
    <n v="404.71899944664619"/>
    <n v="0"/>
    <n v="4329.4010262295096"/>
    <n v="0"/>
    <n v="89046"/>
    <n v="0"/>
    <n v="0"/>
    <n v="0"/>
    <n v="0"/>
  </r>
  <r>
    <x v="49"/>
    <s v="MOHANPUR"/>
    <s v="MPG"/>
    <s v="Direct"/>
    <n v="1939.6999999999998"/>
    <n v="87836.25"/>
    <n v="2021.0000000000002"/>
    <n v="90284.902020209294"/>
    <n v="142.10000000000002"/>
    <n v="5990.3732769155995"/>
    <n v="2163.1000000000004"/>
    <n v="96275.275297124899"/>
    <n v="87836.25"/>
    <n v="0"/>
    <n v="633.5899297200001"/>
    <n v="8439.0252971248992"/>
    <n v="0"/>
    <n v="5086.99"/>
    <n v="0"/>
    <n v="76761"/>
    <n v="5355"/>
    <n v="0"/>
    <n v="0"/>
    <s v="Release1"/>
  </r>
  <r>
    <x v="50"/>
    <s v="Juwas"/>
    <s v="MPG"/>
    <s v="Direct"/>
    <n v="849.89999999999986"/>
    <n v="32243.799999999996"/>
    <n v="844"/>
    <n v="31727.277174506766"/>
    <n v="7.8"/>
    <n v="292.45441500000004"/>
    <n v="851.8"/>
    <n v="32019.731589506766"/>
    <n v="32019.731589506766"/>
    <n v="0"/>
    <n v="292.45441500000004"/>
    <n v="0"/>
    <n v="0"/>
    <n v="0"/>
    <n v="0"/>
    <n v="31727"/>
    <n v="0"/>
    <n v="0"/>
    <n v="224"/>
    <n v="0"/>
  </r>
  <r>
    <x v="51"/>
    <s v="Morwariya"/>
    <s v="MPG"/>
    <s v="Direct"/>
    <n v="3421.1999999999994"/>
    <n v="136509.49"/>
    <n v="3365.04"/>
    <n v="137466.74091190862"/>
    <n v="0"/>
    <n v="0"/>
    <n v="3365.04"/>
    <n v="137466.74091190862"/>
    <n v="136509.49"/>
    <n v="0"/>
    <n v="0"/>
    <n v="957.25091190863168"/>
    <n v="3750"/>
    <n v="0"/>
    <n v="0"/>
    <n v="132759"/>
    <n v="0"/>
    <n v="0"/>
    <n v="0"/>
    <s v="Release2"/>
  </r>
  <r>
    <x v="52"/>
    <s v="Dumri 2"/>
    <s v="MPG"/>
    <s v="Direct"/>
    <n v="1014.6"/>
    <n v="38654.61"/>
    <n v="1006.9499999999999"/>
    <n v="38499.118617016909"/>
    <n v="6.5600000000000005"/>
    <n v="248.40335718000003"/>
    <n v="1013.5099999999999"/>
    <n v="38747.521974196912"/>
    <n v="38654.61"/>
    <n v="0"/>
    <n v="248.40335718000003"/>
    <n v="92.911974196911615"/>
    <n v="0"/>
    <n v="0"/>
    <n v="0"/>
    <n v="38406"/>
    <n v="0"/>
    <n v="0"/>
    <n v="0"/>
    <n v="0"/>
  </r>
  <r>
    <x v="53"/>
    <s v="Gomukh Jhakhaur"/>
    <s v="MPG"/>
    <s v="Direct"/>
    <n v="757.2"/>
    <n v="30327.68"/>
    <n v="751.2299999999999"/>
    <n v="30376.585422391014"/>
    <n v="1.7599999999999998"/>
    <n v="61.667002188000012"/>
    <n v="752.9899999999999"/>
    <n v="30438.252424579015"/>
    <n v="30327.68"/>
    <n v="0"/>
    <n v="61.667002188000012"/>
    <n v="110.57242457901521"/>
    <n v="0"/>
    <n v="0"/>
    <n v="0"/>
    <n v="30266"/>
    <n v="0"/>
    <n v="0"/>
    <n v="0"/>
    <n v="0"/>
  </r>
  <r>
    <x v="54"/>
    <s v="Gomukh Repura"/>
    <s v="MPG"/>
    <s v="Direct"/>
    <n v="512.1"/>
    <n v="19263.189999999999"/>
    <n v="507.59999999999997"/>
    <n v="19145.435518440001"/>
    <n v="0"/>
    <n v="0"/>
    <n v="507.59999999999997"/>
    <n v="19145.435518440001"/>
    <n v="19145.435518440001"/>
    <n v="0"/>
    <n v="0"/>
    <n v="0"/>
    <n v="0"/>
    <n v="0"/>
    <n v="0"/>
    <n v="19145"/>
    <n v="0"/>
    <n v="0"/>
    <n v="118"/>
    <n v="0"/>
  </r>
  <r>
    <x v="55"/>
    <s v="Gomukh Virupur"/>
    <s v="MPG"/>
    <s v="Direct"/>
    <n v="367.00000000000006"/>
    <n v="14347.68"/>
    <n v="366.06999999999994"/>
    <n v="14234.275466492401"/>
    <n v="2.5700000000000003"/>
    <n v="96.836671800000019"/>
    <n v="368.63999999999993"/>
    <n v="14331.112138292401"/>
    <n v="14331.112138292401"/>
    <n v="0"/>
    <n v="96.836671800000019"/>
    <n v="0"/>
    <n v="0"/>
    <n v="0"/>
    <n v="0"/>
    <n v="14235"/>
    <n v="0"/>
    <n v="0"/>
    <n v="16"/>
    <n v="0"/>
  </r>
  <r>
    <x v="56"/>
    <s v="Gomukh Diyarapipariya                                                                               "/>
    <s v="MPG"/>
    <s v="Direct"/>
    <n v="875.19999999999993"/>
    <n v="37305.440000000002"/>
    <n v="861.64"/>
    <n v="36495.826649209324"/>
    <n v="10.17"/>
    <n v="449.25392621224705"/>
    <n v="871.81"/>
    <n v="36945.080575421569"/>
    <n v="36945.080575421569"/>
    <n v="0"/>
    <n v="449.25392621224705"/>
    <n v="0"/>
    <n v="0"/>
    <n v="0"/>
    <n v="0"/>
    <n v="36497"/>
    <n v="0"/>
    <n v="0"/>
    <n v="359"/>
    <n v="0"/>
  </r>
  <r>
    <x v="57"/>
    <s v="TAJPUR"/>
    <s v="MPG"/>
    <s v="Direct"/>
    <n v="962.30000000000007"/>
    <n v="39636.889999999992"/>
    <n v="947.81999999999994"/>
    <n v="37962.774612885565"/>
    <n v="11.440000000000001"/>
    <n v="433.54148745600008"/>
    <n v="959.26"/>
    <n v="38396.316100341566"/>
    <n v="38396.316100341566"/>
    <n v="0"/>
    <n v="433.54148745600008"/>
    <n v="0"/>
    <n v="0"/>
    <n v="0"/>
    <n v="0"/>
    <n v="37965"/>
    <n v="0"/>
    <n v="0"/>
    <n v="1238"/>
    <n v="0"/>
  </r>
  <r>
    <x v="58"/>
    <s v="PATHUA"/>
    <s v="MPG"/>
    <s v="Direct"/>
    <n v="737.09999999999991"/>
    <n v="31827.069999999996"/>
    <n v="699"/>
    <n v="30921.074480955001"/>
    <n v="24"/>
    <n v="1160.4831023470001"/>
    <n v="723"/>
    <n v="32081.557583302001"/>
    <n v="31827.069999999996"/>
    <n v="0"/>
    <n v="1160.4831023470001"/>
    <n v="254.48758330200508"/>
    <n v="0"/>
    <n v="891.41556000000082"/>
    <n v="0"/>
    <n v="29775"/>
    <n v="0"/>
    <n v="0"/>
    <n v="0"/>
    <n v="0"/>
  </r>
  <r>
    <x v="59"/>
    <s v="LODIYA"/>
    <s v="MPG"/>
    <s v="Direct"/>
    <n v="515.19999999999993"/>
    <n v="20325.89"/>
    <n v="510.02000000000004"/>
    <n v="19745.0037081831"/>
    <n v="4.5900000000000007"/>
    <n v="179.97922997999999"/>
    <n v="514.61"/>
    <n v="19924.982938163099"/>
    <n v="19924.982938163099"/>
    <n v="0"/>
    <n v="179.97922997999999"/>
    <n v="0"/>
    <n v="0"/>
    <n v="0"/>
    <n v="0"/>
    <n v="19744"/>
    <n v="0"/>
    <n v="0"/>
    <n v="402"/>
    <n v="0"/>
  </r>
  <r>
    <x v="60"/>
    <s v="ADARSH LAXMIPUR-3"/>
    <s v="MPG"/>
    <s v="Direct"/>
    <n v="252.19999999999996"/>
    <n v="10541.559999999998"/>
    <n v="245.5"/>
    <n v="10774.092425213465"/>
    <n v="0.76"/>
    <n v="22.803469840800005"/>
    <n v="246.26"/>
    <n v="10796.895895054264"/>
    <n v="10541.559999999998"/>
    <n v="0"/>
    <n v="22.803469840800005"/>
    <n v="255.33589505426608"/>
    <n v="0"/>
    <n v="0"/>
    <n v="0"/>
    <n v="10519"/>
    <n v="0"/>
    <n v="0"/>
    <n v="0"/>
    <n v="0"/>
  </r>
  <r>
    <x v="61"/>
    <s v="BHANPUR"/>
    <s v="MPG"/>
    <s v="Direct"/>
    <n v="427.7"/>
    <n v="16188.18"/>
    <n v="345.7"/>
    <n v="13170.149289792"/>
    <n v="0"/>
    <n v="0"/>
    <n v="345.7"/>
    <n v="13170.149289792"/>
    <n v="13170.149289792"/>
    <n v="0"/>
    <n v="0"/>
    <n v="0"/>
    <n v="0"/>
    <n v="0"/>
    <n v="0"/>
    <n v="13170"/>
    <n v="0"/>
    <n v="0"/>
    <n v="3018"/>
    <n v="0"/>
  </r>
  <r>
    <x v="62"/>
    <s v="Karari Pipariya 2"/>
    <s v="MPG"/>
    <s v="Direct"/>
    <n v="1076.1999999999998"/>
    <n v="44727.780000000006"/>
    <n v="1077.75"/>
    <n v="45418.232073037681"/>
    <n v="8.15"/>
    <n v="335.0903818284001"/>
    <n v="1085.9000000000001"/>
    <n v="45753.32245486608"/>
    <n v="44727.780000000006"/>
    <n v="0"/>
    <n v="335.0903818284001"/>
    <n v="1025.542454866074"/>
    <n v="0"/>
    <n v="0"/>
    <n v="0"/>
    <n v="44393"/>
    <n v="0"/>
    <n v="0"/>
    <n v="0"/>
    <n v="0"/>
  </r>
  <r>
    <x v="63"/>
    <s v="DIYARA PIPARIYA-THANA                                                                               "/>
    <s v="MPG"/>
    <s v="Direct"/>
    <n v="1109.1000000000001"/>
    <n v="48415.08"/>
    <n v="1099.4000000000003"/>
    <n v="47253.3444698413"/>
    <n v="10.02"/>
    <n v="422.53655241600018"/>
    <n v="1109.4200000000003"/>
    <n v="47675.881022257301"/>
    <n v="47675.881022257301"/>
    <n v="0"/>
    <n v="422.53655241600018"/>
    <n v="0"/>
    <n v="0"/>
    <n v="0"/>
    <n v="0"/>
    <n v="47253"/>
    <n v="0"/>
    <n v="0"/>
    <n v="740"/>
    <n v="0"/>
  </r>
  <r>
    <x v="64"/>
    <s v="SRI RAM SINGH(VLC)"/>
    <s v="vlc"/>
    <s v="Indirect"/>
    <n v="3401.6"/>
    <n v="134998.60999999999"/>
    <n v="0"/>
    <n v="0"/>
    <n v="0"/>
    <n v="0"/>
    <n v="0"/>
    <n v="0"/>
    <n v="134998.60999999999"/>
    <n v="0"/>
    <n v="0"/>
    <n v="0"/>
    <n v="0"/>
    <n v="0"/>
    <n v="0"/>
    <n v="0"/>
    <n v="0"/>
    <n v="134998.60999999999"/>
    <n v="0"/>
    <n v="0"/>
  </r>
  <r>
    <x v="65"/>
    <s v="GADHTOLA"/>
    <s v="MPG"/>
    <s v="Direct"/>
    <n v="750.19999999999993"/>
    <n v="29664.899999999998"/>
    <n v="744.81999999999982"/>
    <n v="29364.219327134575"/>
    <n v="4.4000000000000004"/>
    <n v="170.15007279600005"/>
    <n v="749.2199999999998"/>
    <n v="29534.369399930576"/>
    <n v="29534.369399930576"/>
    <n v="0"/>
    <n v="170.15007279600005"/>
    <n v="0"/>
    <n v="0"/>
    <n v="143.33000000000001"/>
    <n v="0"/>
    <n v="29219"/>
    <n v="0"/>
    <n v="0"/>
    <n v="132"/>
    <s v="Release1"/>
  </r>
  <r>
    <x v="66"/>
    <s v="Diyara-Pipariya-Utri - Chandan"/>
    <s v="vlc"/>
    <s v="Indirect"/>
    <n v="429.3"/>
    <n v="17468.95"/>
    <n v="0"/>
    <n v="0"/>
    <n v="0"/>
    <n v="0"/>
    <n v="0"/>
    <n v="0"/>
    <n v="17468.95"/>
    <n v="0"/>
    <n v="0"/>
    <n v="0"/>
    <n v="0"/>
    <n v="1979.461974193548"/>
    <n v="0"/>
    <n v="0"/>
    <n v="0"/>
    <n v="15489.488025806453"/>
    <n v="0"/>
    <n v="0"/>
  </r>
  <r>
    <x v="67"/>
    <s v="KANHARPUR-2"/>
    <s v="MPG"/>
    <s v="Direct"/>
    <n v="2737.599999999999"/>
    <n v="118949.01999999999"/>
    <n v="2226.5999999999995"/>
    <n v="98511.857112550555"/>
    <n v="523.91999999999996"/>
    <n v="21640.288637188802"/>
    <n v="2750.5199999999995"/>
    <n v="120152.14574973936"/>
    <n v="118949.01999999999"/>
    <n v="0"/>
    <n v="1639.9541485077002"/>
    <n v="1203.1257497393672"/>
    <n v="0"/>
    <n v="0"/>
    <n v="0"/>
    <n v="97309"/>
    <n v="20000"/>
    <n v="0"/>
    <n v="0"/>
    <n v="0"/>
  </r>
  <r>
    <x v="68"/>
    <s v="BASAUNA"/>
    <s v="MPG"/>
    <s v="Direct"/>
    <n v="1044.1000000000001"/>
    <n v="41847.260000000009"/>
    <n v="351.4"/>
    <n v="14615.622064125619"/>
    <n v="693.07999999999993"/>
    <n v="26636.220859318193"/>
    <n v="1044.48"/>
    <n v="41251.842923443808"/>
    <n v="41251.842923443808"/>
    <n v="0"/>
    <n v="225.84006160786802"/>
    <n v="0"/>
    <n v="0"/>
    <n v="0"/>
    <n v="0"/>
    <n v="14615"/>
    <n v="26410"/>
    <n v="0"/>
    <n v="596"/>
    <n v="0"/>
  </r>
  <r>
    <x v="69"/>
    <s v="GANGA-SARAI"/>
    <s v="MPG"/>
    <s v="Direct"/>
    <n v="1103.5"/>
    <n v="43918.38"/>
    <n v="1079.32"/>
    <n v="42844.114136291872"/>
    <n v="11.920000000000002"/>
    <n v="439.80380512200009"/>
    <n v="1091.24"/>
    <n v="43283.917941413871"/>
    <n v="43283.917941413871"/>
    <n v="0"/>
    <n v="439.80380512200009"/>
    <n v="0"/>
    <n v="0"/>
    <n v="0"/>
    <n v="0"/>
    <n v="42845"/>
    <n v="0"/>
    <n v="0"/>
    <n v="634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292.60000000000002"/>
    <n v="11838.12"/>
    <n v="292.14"/>
    <n v="11561.394781658622"/>
    <n v="3.6999999999999997"/>
    <n v="139.39275667679999"/>
    <n v="295.83999999999997"/>
    <n v="11700.787538335422"/>
    <n v="11700.787538335422"/>
    <n v="0"/>
    <n v="139.39275667679999"/>
    <n v="0"/>
    <n v="0"/>
    <n v="7.0081199999996926"/>
    <n v="0"/>
    <n v="11554"/>
    <n v="0"/>
    <n v="0"/>
    <n v="138"/>
    <n v="0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966.80000000000007"/>
    <n v="41490.179999999993"/>
    <n v="408.97"/>
    <n v="20081.865082430453"/>
    <n v="543.82999999999993"/>
    <n v="21812.238902314806"/>
    <n v="952.8"/>
    <n v="41894.103984745263"/>
    <n v="41490.179999999993"/>
    <n v="0"/>
    <n v="324.10209150000003"/>
    <n v="403.92398474526999"/>
    <n v="0"/>
    <n v="0"/>
    <n v="0"/>
    <n v="19678"/>
    <n v="21488"/>
    <n v="0"/>
    <n v="0"/>
    <n v="0"/>
  </r>
  <r>
    <x v="72"/>
    <s v="Gomukh Hasanpur"/>
    <s v="vlc"/>
    <s v="Indirect"/>
    <n v="234.4"/>
    <n v="9540.7900000000009"/>
    <n v="0"/>
    <n v="0"/>
    <n v="0"/>
    <n v="0"/>
    <n v="0"/>
    <n v="0"/>
    <n v="9540.7900000000009"/>
    <n v="0"/>
    <n v="0"/>
    <n v="0"/>
    <n v="0"/>
    <n v="1257.0678193548392"/>
    <n v="0"/>
    <n v="0"/>
    <n v="0"/>
    <n v="8283.7221806451616"/>
    <n v="0"/>
    <n v="0"/>
  </r>
  <r>
    <x v="73"/>
    <s v="ADARSH LAXMIPUR-2"/>
    <s v="vlc"/>
    <s v="Indirect"/>
    <n v="1279"/>
    <n v="50849.09"/>
    <n v="0"/>
    <n v="0"/>
    <n v="0"/>
    <n v="0"/>
    <n v="0"/>
    <n v="0"/>
    <n v="50849.09"/>
    <n v="0"/>
    <n v="0"/>
    <n v="0"/>
    <n v="0"/>
    <n v="0"/>
    <n v="0"/>
    <n v="0"/>
    <n v="0"/>
    <n v="50849.09"/>
    <n v="0"/>
    <n v="0"/>
  </r>
  <r>
    <x v="74"/>
    <s v="SABIKPUR"/>
    <s v="MPG"/>
    <s v="Direct"/>
    <n v="609.30000000000007"/>
    <n v="24624.420000000002"/>
    <n v="637.92999999999984"/>
    <n v="26396.214474139466"/>
    <n v="0"/>
    <n v="0"/>
    <n v="637.92999999999984"/>
    <n v="26396.214474139466"/>
    <n v="24624.420000000002"/>
    <n v="0"/>
    <n v="0"/>
    <n v="1771.794474139464"/>
    <n v="0"/>
    <n v="18.430016949152133"/>
    <n v="0"/>
    <n v="24606"/>
    <n v="0"/>
    <n v="0"/>
    <n v="0"/>
    <n v="0"/>
  </r>
  <r>
    <x v="75"/>
    <s v="CHETAN-TOLA-KHUTHA"/>
    <s v="MPG"/>
    <s v="Direct"/>
    <n v="211.10000000000002"/>
    <n v="8040.31"/>
    <n v="209.72000000000003"/>
    <n v="8064.5657245560014"/>
    <n v="0.13"/>
    <n v="5.0029400520000005"/>
    <n v="209.85000000000002"/>
    <n v="8069.5686646080012"/>
    <n v="8040.31"/>
    <n v="0"/>
    <n v="5.0029400520000005"/>
    <n v="29.258664608000799"/>
    <n v="8035"/>
    <n v="0"/>
    <n v="0"/>
    <n v="0"/>
    <n v="0"/>
    <n v="0"/>
    <n v="0"/>
    <s v="Release4"/>
  </r>
  <r>
    <x v="76"/>
    <s v="LAXMIPUR"/>
    <s v="MPG"/>
    <s v="Direct"/>
    <n v="978.80000000000007"/>
    <n v="38704"/>
    <n v="900.70000000000016"/>
    <n v="38778.903963794146"/>
    <n v="0"/>
    <n v="0"/>
    <n v="900.70000000000016"/>
    <n v="38778.903963794146"/>
    <n v="38704"/>
    <n v="0"/>
    <n v="0"/>
    <n v="74.903963794145966"/>
    <n v="0"/>
    <n v="0"/>
    <n v="0"/>
    <n v="38704"/>
    <n v="0"/>
    <n v="0"/>
    <n v="0"/>
    <s v="Release1"/>
  </r>
  <r>
    <x v="77"/>
    <s v="REHUA RK"/>
    <s v="vlc"/>
    <s v="Indirect"/>
    <n v="1142.4999999999998"/>
    <n v="48278.13"/>
    <n v="0"/>
    <n v="0"/>
    <n v="0"/>
    <n v="0"/>
    <n v="0"/>
    <n v="0"/>
    <n v="48278.13"/>
    <n v="0"/>
    <n v="0"/>
    <n v="0"/>
    <n v="0"/>
    <n v="0"/>
    <n v="0"/>
    <n v="0"/>
    <n v="0"/>
    <n v="48278.13"/>
    <n v="0"/>
    <n v="0"/>
  </r>
  <r>
    <x v="78"/>
    <s v="RAMNAGAR"/>
    <s v="MPG"/>
    <s v="Direct"/>
    <n v="301"/>
    <n v="12338.27"/>
    <n v="282.53000000000003"/>
    <n v="12680.440142898795"/>
    <n v="0"/>
    <n v="0"/>
    <n v="282.53000000000003"/>
    <n v="12680.440142898795"/>
    <n v="12338.27"/>
    <n v="0"/>
    <n v="0"/>
    <n v="342.17014289879444"/>
    <n v="2293"/>
    <n v="0"/>
    <n v="0"/>
    <n v="10045"/>
    <n v="0"/>
    <n v="0"/>
    <n v="0"/>
    <s v="Release3"/>
  </r>
  <r>
    <x v="79"/>
    <s v="BANSIPUR"/>
    <s v="MPG"/>
    <s v="Direct"/>
    <n v="104.79999999999998"/>
    <n v="4621.04"/>
    <n v="107.3"/>
    <n v="4657.5837985464004"/>
    <n v="0"/>
    <n v="0"/>
    <n v="107.3"/>
    <n v="4657.5837985464004"/>
    <n v="4621.04"/>
    <n v="0"/>
    <n v="0"/>
    <n v="36.543798546400467"/>
    <n v="0"/>
    <n v="0"/>
    <n v="0"/>
    <n v="4621"/>
    <n v="0"/>
    <n v="0"/>
    <n v="0"/>
    <n v="0"/>
  </r>
  <r>
    <x v="80"/>
    <s v="GODIH"/>
    <s v="MPG"/>
    <s v="Direct"/>
    <n v="422.20000000000005"/>
    <n v="16984.960000000003"/>
    <n v="418.78"/>
    <n v="18989.912584531514"/>
    <n v="0"/>
    <n v="0"/>
    <n v="418.78"/>
    <n v="18989.912584531514"/>
    <n v="16984.960000000003"/>
    <n v="0"/>
    <n v="0"/>
    <n v="2004.9525845315111"/>
    <n v="0"/>
    <n v="0"/>
    <n v="0"/>
    <n v="16985"/>
    <n v="0"/>
    <n v="0"/>
    <n v="0"/>
    <n v="0"/>
  </r>
  <r>
    <x v="81"/>
    <s v="SINGARPUR"/>
    <s v="MPG"/>
    <s v="Direct"/>
    <n v="255.2"/>
    <n v="14713.279999999999"/>
    <n v="255.17000000000002"/>
    <n v="15302.767815158311"/>
    <n v="0"/>
    <n v="0"/>
    <n v="255.17000000000002"/>
    <n v="15302.767815158311"/>
    <n v="14713.279999999999"/>
    <n v="0"/>
    <n v="0"/>
    <n v="589.48781515831251"/>
    <n v="0"/>
    <n v="0"/>
    <n v="0"/>
    <n v="14713"/>
    <n v="0"/>
    <n v="0"/>
    <n v="0"/>
    <n v="0"/>
  </r>
  <r>
    <x v="82"/>
    <s v="ADARSH PULPAR"/>
    <s v="MPG"/>
    <s v="Direct"/>
    <n v="24.699999999999996"/>
    <n v="964.4799999999999"/>
    <n v="19.7"/>
    <n v="769.02712524000003"/>
    <n v="0"/>
    <n v="0"/>
    <n v="19.7"/>
    <n v="769.02712524000003"/>
    <n v="769.02712524000003"/>
    <n v="0"/>
    <n v="0"/>
    <n v="0"/>
    <n v="0"/>
    <n v="209.80650545454552"/>
    <n v="0"/>
    <n v="559"/>
    <n v="0"/>
    <n v="0"/>
    <n v="196"/>
    <n v="0"/>
  </r>
  <r>
    <x v="83"/>
    <s v="G WOLIPUR"/>
    <s v="vlc"/>
    <s v="Indirect"/>
    <n v="1894.1999999999998"/>
    <n v="74161.349999999991"/>
    <n v="0"/>
    <n v="0"/>
    <n v="0"/>
    <n v="0"/>
    <n v="0"/>
    <n v="0"/>
    <n v="74161.349999999991"/>
    <n v="0"/>
    <n v="0"/>
    <n v="0"/>
    <n v="0"/>
    <n v="0"/>
    <n v="0"/>
    <n v="0"/>
    <n v="0"/>
    <n v="74161.349999999991"/>
    <n v="0"/>
    <n v="0"/>
  </r>
  <r>
    <x v="84"/>
    <s v="REHUA 3"/>
    <s v="vlc"/>
    <s v="Indirect"/>
    <n v="1196"/>
    <n v="49188.040000000008"/>
    <n v="0"/>
    <n v="0"/>
    <n v="0"/>
    <n v="0"/>
    <n v="0"/>
    <n v="0"/>
    <n v="49188.040000000008"/>
    <n v="0"/>
    <n v="0"/>
    <n v="0"/>
    <n v="0"/>
    <n v="589.86305806451469"/>
    <n v="0"/>
    <n v="0"/>
    <n v="0"/>
    <n v="48598.176941935497"/>
    <n v="0"/>
    <n v="0"/>
  </r>
  <r>
    <x v="85"/>
    <s v="BICHWAY"/>
    <s v="MPG"/>
    <s v="Direct"/>
    <n v="424.10000000000008"/>
    <n v="16145.76"/>
    <n v="424.89999999999992"/>
    <n v="16560.319683600002"/>
    <n v="0"/>
    <n v="0"/>
    <n v="424.89999999999992"/>
    <n v="16560.319683600002"/>
    <n v="16145.76"/>
    <n v="0"/>
    <n v="0"/>
    <n v="414.55968360000224"/>
    <n v="0"/>
    <n v="0"/>
    <n v="0"/>
    <n v="16146"/>
    <n v="0"/>
    <n v="0"/>
    <n v="0"/>
    <n v="0"/>
  </r>
  <r>
    <x v="86"/>
    <s v="MANOHARPUR"/>
    <s v="MPG"/>
    <s v="Direct"/>
    <n v="890.20000000000016"/>
    <n v="33729.340000000004"/>
    <n v="320.76"/>
    <n v="12619.687731276181"/>
    <n v="559.93000000000006"/>
    <n v="22156.723554182245"/>
    <n v="880.69"/>
    <n v="34776.411285458424"/>
    <n v="33729.340000000004"/>
    <n v="0"/>
    <n v="0"/>
    <n v="1047.0712854584199"/>
    <n v="0"/>
    <n v="0"/>
    <n v="0"/>
    <n v="11571"/>
    <n v="22158"/>
    <n v="0"/>
    <n v="0"/>
    <n v="0"/>
  </r>
  <r>
    <x v="87"/>
    <s v="MOHANPUR"/>
    <s v="vlc"/>
    <s v="Indirect"/>
    <n v="478.49999999999994"/>
    <n v="18734.05"/>
    <n v="0"/>
    <n v="0"/>
    <n v="0"/>
    <n v="0"/>
    <n v="0"/>
    <n v="0"/>
    <n v="18734.05"/>
    <n v="0"/>
    <n v="0"/>
    <n v="0"/>
    <n v="0"/>
    <n v="0"/>
    <n v="0"/>
    <n v="0"/>
    <n v="0"/>
    <n v="18734.05"/>
    <n v="0"/>
    <n v="0"/>
  </r>
  <r>
    <x v="88"/>
    <s v="CHATMADIH"/>
    <s v="MPG"/>
    <s v="Direct"/>
    <n v="1719.1000000000004"/>
    <n v="73122.070000000007"/>
    <n v="1707.1"/>
    <n v="71826.670576738907"/>
    <n v="21.1"/>
    <n v="1224.0585944179402"/>
    <n v="1728.1999999999998"/>
    <n v="73050.729171156854"/>
    <n v="73050.729171156854"/>
    <n v="0"/>
    <n v="1224.0585944179402"/>
    <n v="0"/>
    <n v="0"/>
    <n v="0"/>
    <n v="0"/>
    <n v="71824"/>
    <n v="0"/>
    <n v="0"/>
    <n v="74"/>
    <n v="0"/>
  </r>
  <r>
    <x v="89"/>
    <s v="SIYADIH"/>
    <s v="vlc"/>
    <s v="Indirect"/>
    <n v="593.5"/>
    <n v="17633.73"/>
    <n v="0"/>
    <n v="0"/>
    <n v="0"/>
    <n v="0"/>
    <n v="0"/>
    <n v="0"/>
    <n v="17633.73"/>
    <n v="0"/>
    <n v="0"/>
    <n v="0"/>
    <n v="0"/>
    <n v="0"/>
    <n v="0"/>
    <n v="0"/>
    <n v="0"/>
    <n v="17633.73"/>
    <n v="0"/>
    <n v="0"/>
  </r>
  <r>
    <x v="90"/>
    <s v="Gomukh ID Laldiyara"/>
    <s v="vlc"/>
    <s v="Indirect"/>
    <n v="5950"/>
    <n v="215483.5"/>
    <n v="0"/>
    <n v="0"/>
    <n v="0"/>
    <n v="0"/>
    <n v="0"/>
    <n v="0"/>
    <n v="215483.5"/>
    <n v="0"/>
    <n v="0"/>
    <n v="0"/>
    <n v="0"/>
    <n v="0"/>
    <n v="0"/>
    <n v="0"/>
    <n v="0"/>
    <n v="215483.5"/>
    <n v="0"/>
    <n v="0"/>
  </r>
  <r>
    <x v="91"/>
    <s v="KATHNI"/>
    <s v="MPG"/>
    <s v="Direct"/>
    <n v="352.60000000000008"/>
    <n v="11998.1"/>
    <n v="389"/>
    <n v="16886.273976"/>
    <n v="0"/>
    <n v="0"/>
    <n v="389"/>
    <n v="16886.273976"/>
    <n v="11998.1"/>
    <n v="0"/>
    <n v="0"/>
    <n v="4888.173976"/>
    <n v="0"/>
    <n v="0"/>
    <n v="0"/>
    <n v="11998"/>
    <n v="0"/>
    <n v="0"/>
    <n v="0"/>
    <n v="0"/>
  </r>
  <r>
    <x v="92"/>
    <s v="DEVDHA GOMUKH MPG"/>
    <s v="MPG"/>
    <s v="Direct"/>
    <n v="1053.55"/>
    <n v="40260.120000000003"/>
    <n v="774.40000000000009"/>
    <n v="29640.903208949996"/>
    <n v="278.89999999999998"/>
    <n v="10603.325065146"/>
    <n v="1053.3000000000002"/>
    <n v="40244.228274095993"/>
    <n v="40244.228274095993"/>
    <n v="0"/>
    <n v="246.043589946"/>
    <n v="0"/>
    <n v="0"/>
    <n v="0"/>
    <n v="0"/>
    <n v="29641"/>
    <n v="10357"/>
    <n v="0"/>
    <n v="16"/>
    <n v="0"/>
  </r>
  <r>
    <x v="93"/>
    <s v="KASBA(MANGOAN)"/>
    <s v="vlc"/>
    <s v="Indirect"/>
    <n v="355.00000000000011"/>
    <n v="12976.65"/>
    <n v="0"/>
    <n v="0"/>
    <n v="0"/>
    <n v="0"/>
    <n v="0"/>
    <n v="0"/>
    <n v="12976.65"/>
    <n v="0"/>
    <n v="0"/>
    <n v="0"/>
    <n v="0"/>
    <n v="0"/>
    <n v="0"/>
    <n v="0"/>
    <n v="0"/>
    <n v="12976.65"/>
    <n v="0"/>
    <n v="0"/>
  </r>
  <r>
    <x v="94"/>
    <s v="LOHRA"/>
    <s v="MPG"/>
    <s v="Direct"/>
    <n v="448.95"/>
    <n v="21565.489999999998"/>
    <n v="436.92000000000007"/>
    <n v="22989.8327584945"/>
    <n v="12.12"/>
    <n v="570.60015783520021"/>
    <n v="449.04000000000008"/>
    <n v="23560.432916329701"/>
    <n v="21565.489999999998"/>
    <n v="0"/>
    <n v="570.60015783520021"/>
    <n v="1994.9429163297027"/>
    <n v="0"/>
    <n v="0"/>
    <n v="0"/>
    <n v="20995"/>
    <n v="0"/>
    <n v="0"/>
    <n v="0"/>
    <s v="Release1"/>
  </r>
  <r>
    <x v="95"/>
    <s v="KAMATPUR"/>
    <s v="MPG"/>
    <s v="Direct"/>
    <n v="230.39999999999995"/>
    <n v="8604.41"/>
    <n v="235.07999999999998"/>
    <n v="8096.7638372543997"/>
    <n v="9.6900000000000013"/>
    <n v="353.15503587540002"/>
    <n v="244.76999999999998"/>
    <n v="8449.9188731298"/>
    <n v="8449.9188731298"/>
    <n v="0"/>
    <n v="353.15503587540002"/>
    <n v="0"/>
    <n v="0"/>
    <n v="0"/>
    <n v="0"/>
    <n v="8097"/>
    <n v="0"/>
    <n v="0"/>
    <n v="154"/>
    <n v="0"/>
  </r>
  <r>
    <x v="96"/>
    <s v="GIRDHARA"/>
    <s v="MPG"/>
    <s v="Direct"/>
    <n v="1025.3"/>
    <n v="40275.539999999994"/>
    <n v="181.70999999999998"/>
    <n v="8147.0161951708487"/>
    <n v="843.62"/>
    <n v="33475.015121806144"/>
    <n v="1025.33"/>
    <n v="41622.031316976994"/>
    <n v="40275.539999999994"/>
    <n v="0"/>
    <n v="309.70986987600003"/>
    <n v="1346.4913169770007"/>
    <n v="0"/>
    <n v="0"/>
    <n v="0"/>
    <n v="6801"/>
    <n v="33165"/>
    <n v="0"/>
    <n v="0"/>
    <n v="0"/>
  </r>
  <r>
    <x v="97"/>
    <s v="RATNI"/>
    <s v="MPG"/>
    <s v="Direct"/>
    <n v="955.3"/>
    <n v="46924.010000000009"/>
    <n v="958.57"/>
    <n v="46180.322283159454"/>
    <n v="19.419999999999998"/>
    <n v="1023.4582069583"/>
    <n v="977.99"/>
    <n v="47203.780490117751"/>
    <n v="46924.010000000009"/>
    <n v="0"/>
    <n v="1023.4582069583"/>
    <n v="279.77049011774216"/>
    <n v="0"/>
    <n v="0"/>
    <n v="0"/>
    <n v="45901"/>
    <n v="0"/>
    <n v="0"/>
    <n v="0"/>
    <n v="0"/>
  </r>
  <r>
    <x v="98"/>
    <s v="DHAPARI"/>
    <s v="MPG"/>
    <s v="Direct"/>
    <n v="776.05"/>
    <n v="30388.450000000004"/>
    <n v="841.29999999999984"/>
    <n v="32983.7379190582"/>
    <n v="27.63"/>
    <n v="1054.3986644796"/>
    <n v="868.92999999999984"/>
    <n v="34038.136583537802"/>
    <n v="30388.450000000004"/>
    <n v="0"/>
    <n v="1054.3986644796"/>
    <n v="3649.6865835377976"/>
    <n v="0"/>
    <n v="0"/>
    <n v="0"/>
    <n v="29334"/>
    <n v="0"/>
    <n v="0"/>
    <n v="0"/>
    <s v="Release1"/>
  </r>
  <r>
    <x v="99"/>
    <s v="KHARUI"/>
    <s v="MPG"/>
    <s v="Direct"/>
    <n v="611.64999999999986"/>
    <n v="27071.779999999995"/>
    <n v="580.64"/>
    <n v="26743.098170393401"/>
    <n v="25.240000000000002"/>
    <n v="1367.8164343522201"/>
    <n v="605.88"/>
    <n v="28110.91460474562"/>
    <n v="27071.779999999995"/>
    <n v="0"/>
    <n v="1367.8164343522201"/>
    <n v="1039.1346047456245"/>
    <n v="0"/>
    <n v="0"/>
    <n v="0"/>
    <n v="25704"/>
    <n v="0"/>
    <n v="0"/>
    <n v="0"/>
    <n v="0"/>
  </r>
  <r>
    <x v="100"/>
    <s v="KHAIRA"/>
    <s v="MPG"/>
    <s v="Direct"/>
    <n v="804.65"/>
    <n v="30926.720000000001"/>
    <n v="798.35"/>
    <n v="32431.248866543669"/>
    <n v="26.70999999999999"/>
    <n v="1083.0530086199999"/>
    <n v="825.06000000000006"/>
    <n v="33514.30187516367"/>
    <n v="30926.720000000001"/>
    <n v="0"/>
    <n v="1083.0530086199999"/>
    <n v="2587.5818751636689"/>
    <n v="0"/>
    <n v="0"/>
    <n v="0"/>
    <n v="29844"/>
    <n v="0"/>
    <n v="0"/>
    <n v="0"/>
    <n v="0"/>
  </r>
  <r>
    <x v="101"/>
    <s v="SISUA"/>
    <s v="MPG"/>
    <s v="Direct"/>
    <n v="1384.25"/>
    <n v="54303.320000000014"/>
    <n v="1272.8600000000001"/>
    <n v="51054.610762129712"/>
    <n v="94.2"/>
    <n v="3722.7924366124798"/>
    <n v="1367.0600000000002"/>
    <n v="54777.403198742191"/>
    <n v="54303.320000000014"/>
    <n v="0"/>
    <n v="664.67957287248009"/>
    <n v="474.08319874217705"/>
    <n v="0"/>
    <n v="0"/>
    <n v="0"/>
    <n v="50580"/>
    <n v="3059"/>
    <n v="0"/>
    <n v="0"/>
    <n v="0"/>
  </r>
  <r>
    <x v="102"/>
    <s v="BISAI"/>
    <s v="MPG"/>
    <s v="Direct"/>
    <n v="249.5"/>
    <n v="9978.2200000000012"/>
    <n v="236.65999999999997"/>
    <n v="10199.378726146322"/>
    <n v="11.290000000000003"/>
    <n v="472.38789866400009"/>
    <n v="247.94999999999996"/>
    <n v="10671.766624810321"/>
    <n v="9978.2200000000012"/>
    <n v="0"/>
    <n v="472.38789866400009"/>
    <n v="693.54662481032028"/>
    <n v="0"/>
    <n v="0"/>
    <n v="0"/>
    <n v="9506"/>
    <n v="0"/>
    <n v="0"/>
    <n v="0"/>
    <n v="0"/>
  </r>
  <r>
    <x v="103"/>
    <s v="SAJUA-1"/>
    <s v="MPG"/>
    <s v="Direct"/>
    <n v="640.5"/>
    <n v="23761.919999999998"/>
    <n v="649.59"/>
    <n v="23501.850301767601"/>
    <n v="8.8000000000000007"/>
    <n v="299.34134505000003"/>
    <n v="658.39"/>
    <n v="23801.191646817602"/>
    <n v="23761.919999999998"/>
    <n v="0"/>
    <n v="299.34134505000003"/>
    <n v="39.271646817604051"/>
    <n v="0"/>
    <n v="0"/>
    <n v="0"/>
    <n v="23463"/>
    <n v="0"/>
    <n v="0"/>
    <n v="0"/>
    <n v="0"/>
  </r>
  <r>
    <x v="104"/>
    <s v="SAJUA-2"/>
    <s v="MPG"/>
    <s v="Direct"/>
    <n v="1111.75"/>
    <n v="41317.83"/>
    <n v="1113.49"/>
    <n v="42704.034776980174"/>
    <n v="0"/>
    <n v="0"/>
    <n v="1113.49"/>
    <n v="42704.034776980174"/>
    <n v="41317.83"/>
    <n v="0"/>
    <n v="0"/>
    <n v="1386.204776980172"/>
    <n v="0"/>
    <n v="0"/>
    <n v="0"/>
    <n v="41318"/>
    <n v="0"/>
    <n v="0"/>
    <n v="0"/>
    <n v="0"/>
  </r>
  <r>
    <x v="105"/>
    <s v="CHORGAUN"/>
    <s v="MPG"/>
    <s v="Direct"/>
    <n v="616.05000000000007"/>
    <n v="22858.080000000002"/>
    <n v="613.69999999999993"/>
    <n v="23154.356650516002"/>
    <n v="20.5"/>
    <n v="785.92448880000006"/>
    <n v="634.19999999999993"/>
    <n v="23940.281139316001"/>
    <n v="22858.080000000002"/>
    <n v="0"/>
    <n v="785.92448880000006"/>
    <n v="1082.2011393159992"/>
    <n v="0"/>
    <n v="0"/>
    <n v="0"/>
    <n v="22072"/>
    <n v="0"/>
    <n v="0"/>
    <n v="0"/>
    <s v="Release1"/>
  </r>
  <r>
    <x v="106"/>
    <s v="PADARATHPUR"/>
    <s v="MPG"/>
    <s v="Direct"/>
    <n v="852.79999999999984"/>
    <n v="33503.64"/>
    <n v="834.70000000000016"/>
    <n v="32876.400286008393"/>
    <n v="17.3"/>
    <n v="707.53910436000012"/>
    <n v="852.00000000000011"/>
    <n v="33583.939390368396"/>
    <n v="33503.64"/>
    <n v="0"/>
    <n v="707.53910436000012"/>
    <n v="80.299390368396416"/>
    <n v="0"/>
    <n v="0"/>
    <n v="0"/>
    <n v="32796"/>
    <n v="0"/>
    <n v="0"/>
    <n v="0"/>
    <n v="0"/>
  </r>
  <r>
    <x v="107"/>
    <s v="BADARKHA"/>
    <s v="MPG"/>
    <s v="Direct"/>
    <n v="866.25"/>
    <n v="30733.629999999997"/>
    <n v="845.38000000000022"/>
    <n v="30851.575221829309"/>
    <n v="0"/>
    <n v="0"/>
    <n v="845.38000000000022"/>
    <n v="30851.575221829309"/>
    <n v="30733.629999999997"/>
    <n v="0"/>
    <n v="0"/>
    <n v="117.94522182931178"/>
    <n v="0"/>
    <n v="0"/>
    <n v="0"/>
    <n v="30734"/>
    <n v="0"/>
    <n v="0"/>
    <n v="0"/>
    <n v="0"/>
  </r>
  <r>
    <x v="108"/>
    <s v="MAHDMADPUR                                                                                          "/>
    <s v="MPG"/>
    <s v="Direct"/>
    <n v="1358.1"/>
    <n v="50683.240000000005"/>
    <n v="1220.1000000000001"/>
    <n v="46639.287566896317"/>
    <n v="14.8"/>
    <n v="1157.9637683880001"/>
    <n v="1234.9000000000001"/>
    <n v="47797.251335284316"/>
    <n v="47797.251335284316"/>
    <n v="0"/>
    <n v="1157.9637683880001"/>
    <n v="0"/>
    <n v="0"/>
    <n v="0"/>
    <n v="0"/>
    <n v="46639"/>
    <n v="0"/>
    <n v="0"/>
    <n v="2886"/>
    <n v="0"/>
  </r>
  <r>
    <x v="109"/>
    <s v="MUSKIPUR                                                                                            "/>
    <s v="MPG"/>
    <s v="Direct"/>
    <n v="1280.3999999999999"/>
    <n v="52025.200000000026"/>
    <n v="1265.49"/>
    <n v="50982.35481543481"/>
    <n v="2.06"/>
    <n v="78.416829216000011"/>
    <n v="1267.55"/>
    <n v="51060.771644650813"/>
    <n v="51060.771644650813"/>
    <n v="0"/>
    <n v="78.416829216000011"/>
    <n v="0"/>
    <n v="0"/>
    <n v="0"/>
    <n v="0"/>
    <n v="50981"/>
    <n v="0"/>
    <n v="0"/>
    <n v="966"/>
    <n v="0"/>
  </r>
  <r>
    <x v="110"/>
    <s v="NAYAGAUN                                                                                            "/>
    <s v="MPG"/>
    <s v="Direct"/>
    <n v="566.10000000000014"/>
    <n v="22622.660000000003"/>
    <n v="562.93000000000006"/>
    <n v="22556.755243734351"/>
    <n v="2.3899999999999997"/>
    <n v="95.983782048000009"/>
    <n v="565.32000000000005"/>
    <n v="22652.73902578235"/>
    <n v="22622.660000000003"/>
    <n v="0"/>
    <n v="95.983782048000009"/>
    <n v="30.079025782346434"/>
    <n v="0"/>
    <n v="0"/>
    <n v="0"/>
    <n v="22527"/>
    <n v="0"/>
    <n v="0"/>
    <n v="0"/>
    <n v="0"/>
  </r>
  <r>
    <x v="111"/>
    <s v="LAUNA                                                                                               "/>
    <s v="MPG"/>
    <s v="Direct"/>
    <n v="1232.1999999999998"/>
    <n v="44313.46"/>
    <n v="1236.46"/>
    <n v="45922.948665262396"/>
    <n v="14.09"/>
    <n v="548.7552999720001"/>
    <n v="1250.55"/>
    <n v="46471.703965234396"/>
    <n v="44313.46"/>
    <n v="0"/>
    <n v="548.7552999720001"/>
    <n v="2158.2439652343965"/>
    <n v="0"/>
    <n v="0"/>
    <n v="0"/>
    <n v="43765"/>
    <n v="0"/>
    <n v="0"/>
    <n v="0"/>
    <n v="0"/>
  </r>
  <r>
    <x v="112"/>
    <s v="DULHAR"/>
    <s v="MPG"/>
    <s v="Direct"/>
    <n v="419.9"/>
    <n v="17513.499999999996"/>
    <n v="423.97"/>
    <n v="19276.047859616545"/>
    <n v="0"/>
    <n v="0"/>
    <n v="423.97"/>
    <n v="19276.047859616545"/>
    <n v="17513.499999999996"/>
    <n v="0"/>
    <n v="0"/>
    <n v="1762.5478596165485"/>
    <n v="0"/>
    <n v="0"/>
    <n v="0"/>
    <n v="17513"/>
    <n v="0"/>
    <n v="0"/>
    <n v="0"/>
    <s v="Release1"/>
  </r>
  <r>
    <x v="113"/>
    <s v="Ghorpithiya - Vikas"/>
    <s v="vlc"/>
    <s v="Indirect"/>
    <n v="841.65"/>
    <n v="32812.03"/>
    <n v="0"/>
    <n v="0"/>
    <n v="0"/>
    <n v="0"/>
    <n v="0"/>
    <n v="0"/>
    <n v="32812.03"/>
    <n v="0"/>
    <n v="0"/>
    <n v="0"/>
    <n v="0"/>
    <n v="0"/>
    <n v="0"/>
    <n v="0"/>
    <n v="0"/>
    <n v="32812.03"/>
    <n v="0"/>
    <n v="0"/>
  </r>
  <r>
    <x v="114"/>
    <s v="Akbarnagar - Rakhi"/>
    <s v="vlc"/>
    <s v="Indirect"/>
    <n v="1127.6500000000001"/>
    <n v="41488.580000000009"/>
    <n v="0"/>
    <n v="0"/>
    <n v="0"/>
    <n v="0"/>
    <n v="0"/>
    <n v="0"/>
    <n v="41488.580000000009"/>
    <n v="0"/>
    <n v="0"/>
    <n v="0"/>
    <n v="0"/>
    <n v="0"/>
    <n v="0"/>
    <n v="0"/>
    <n v="0"/>
    <n v="41488.580000000009"/>
    <n v="0"/>
    <n v="0"/>
  </r>
  <r>
    <x v="115"/>
    <s v="Maheshi - Chamcham"/>
    <s v="vlc"/>
    <s v="Indirect"/>
    <n v="700"/>
    <n v="25351"/>
    <n v="0"/>
    <n v="0"/>
    <n v="0"/>
    <n v="0"/>
    <n v="0"/>
    <n v="0"/>
    <n v="25351"/>
    <n v="0"/>
    <n v="0"/>
    <n v="0"/>
    <n v="0"/>
    <n v="0"/>
    <n v="0"/>
    <n v="0"/>
    <n v="0"/>
    <n v="25351"/>
    <n v="0"/>
    <n v="0"/>
  </r>
  <r>
    <x v="116"/>
    <s v="Ghorpithiya - Dheeraj"/>
    <s v="vlc"/>
    <s v="Indirect"/>
    <n v="5740"/>
    <n v="207878.19999999998"/>
    <n v="0"/>
    <n v="0"/>
    <n v="0"/>
    <n v="0"/>
    <n v="0"/>
    <n v="0"/>
    <n v="207878.19999999998"/>
    <n v="0"/>
    <n v="0"/>
    <n v="0"/>
    <n v="0"/>
    <n v="0"/>
    <n v="0"/>
    <n v="0"/>
    <n v="0"/>
    <n v="207878.19999999998"/>
    <n v="0"/>
    <n v="0"/>
  </r>
  <r>
    <x v="117"/>
    <s v="Asarganj Chhotki Tola - Akash"/>
    <s v="vlc"/>
    <s v="Indirect"/>
    <n v="5810"/>
    <n v="210413.30000000002"/>
    <n v="0"/>
    <n v="0"/>
    <n v="0"/>
    <n v="0"/>
    <n v="0"/>
    <n v="0"/>
    <n v="210413.30000000002"/>
    <n v="0"/>
    <n v="0"/>
    <n v="0"/>
    <n v="0"/>
    <n v="0"/>
    <n v="0"/>
    <n v="0"/>
    <n v="0"/>
    <n v="210413.30000000002"/>
    <n v="0"/>
    <n v="0"/>
  </r>
  <r>
    <x v="118"/>
    <s v="Manikpur - Golu"/>
    <s v="vlc"/>
    <s v="Indirect"/>
    <n v="700"/>
    <n v="25351"/>
    <n v="0"/>
    <n v="0"/>
    <n v="0"/>
    <n v="0"/>
    <n v="0"/>
    <n v="0"/>
    <n v="25351"/>
    <n v="0"/>
    <n v="0"/>
    <n v="0"/>
    <n v="0"/>
    <n v="0"/>
    <n v="0"/>
    <n v="0"/>
    <n v="0"/>
    <n v="25351"/>
    <n v="0"/>
    <n v="0"/>
  </r>
  <r>
    <x v="119"/>
    <s v="Rangaon - Jayram"/>
    <s v="vlc"/>
    <s v="Indirect"/>
    <n v="700"/>
    <n v="25351"/>
    <n v="0"/>
    <n v="0"/>
    <n v="0"/>
    <n v="0"/>
    <n v="0"/>
    <n v="0"/>
    <n v="25351"/>
    <n v="0"/>
    <n v="0"/>
    <n v="0"/>
    <n v="0"/>
    <n v="0"/>
    <n v="0"/>
    <n v="0"/>
    <n v="0"/>
    <n v="25351"/>
    <n v="0"/>
    <n v="0"/>
  </r>
  <r>
    <x v="120"/>
    <s v="Karso - Aparajita"/>
    <s v="vlc"/>
    <s v="Indirect"/>
    <n v="700"/>
    <n v="25351"/>
    <n v="0"/>
    <n v="0"/>
    <n v="0"/>
    <n v="0"/>
    <n v="0"/>
    <n v="0"/>
    <n v="25351"/>
    <n v="0"/>
    <n v="0"/>
    <n v="0"/>
    <n v="0"/>
    <n v="0"/>
    <n v="0"/>
    <n v="0"/>
    <n v="0"/>
    <n v="25351"/>
    <n v="0"/>
    <n v="0"/>
  </r>
  <r>
    <x v="121"/>
    <s v="Unchagaon - Niraj"/>
    <s v="vlc"/>
    <s v="Indirect"/>
    <n v="700"/>
    <n v="25351"/>
    <n v="0"/>
    <n v="0"/>
    <n v="0"/>
    <n v="0"/>
    <n v="0"/>
    <n v="0"/>
    <n v="25351"/>
    <n v="0"/>
    <n v="0"/>
    <n v="0"/>
    <n v="0"/>
    <n v="0"/>
    <n v="0"/>
    <n v="0"/>
    <n v="0"/>
    <n v="25351"/>
    <n v="0"/>
    <n v="0"/>
  </r>
  <r>
    <x v="122"/>
    <s v="SRIRAMPUR"/>
    <s v="MPG"/>
    <s v="Direct"/>
    <n v="297.90000000000003"/>
    <n v="9031.27"/>
    <n v="293.8"/>
    <n v="9155.8162305720016"/>
    <n v="0"/>
    <n v="0"/>
    <n v="293.8"/>
    <n v="9155.8162305720016"/>
    <n v="9031.27"/>
    <n v="0"/>
    <n v="0"/>
    <n v="124.54623057200115"/>
    <n v="0"/>
    <n v="0"/>
    <n v="0"/>
    <n v="9031"/>
    <n v="0"/>
    <n v="0"/>
    <n v="0"/>
    <s v="Release1"/>
  </r>
  <r>
    <x v="123"/>
    <s v="PAIN"/>
    <s v="MPG"/>
    <s v="Direct"/>
    <n v="483.45000000000005"/>
    <n v="16965.46"/>
    <n v="501.16999999999996"/>
    <n v="18049.093747700404"/>
    <n v="1.79"/>
    <n v="63.182315988000006"/>
    <n v="502.96"/>
    <n v="18112.276063688405"/>
    <n v="16965.46"/>
    <n v="0"/>
    <n v="63.182315988000006"/>
    <n v="1146.8160636884058"/>
    <n v="0"/>
    <n v="0"/>
    <n v="0"/>
    <n v="16902"/>
    <n v="0"/>
    <n v="0"/>
    <n v="0"/>
    <n v="0"/>
  </r>
  <r>
    <x v="124"/>
    <s v="MOTICHAK"/>
    <s v="MPG"/>
    <s v="Direct"/>
    <n v="1451.4"/>
    <n v="51535.430000000008"/>
    <n v="1444.5"/>
    <n v="53155.047255274803"/>
    <n v="65.87"/>
    <n v="2376.0862630560005"/>
    <n v="1510.37"/>
    <n v="55531.133518330804"/>
    <n v="51535.430000000008"/>
    <n v="0"/>
    <n v="2376.0862630560005"/>
    <n v="3995.7035183307962"/>
    <n v="0"/>
    <n v="0"/>
    <n v="0"/>
    <n v="49159"/>
    <n v="0"/>
    <n v="0"/>
    <n v="0"/>
    <n v="0"/>
  </r>
  <r>
    <x v="125"/>
    <s v="MIRATTHI"/>
    <s v="MPG"/>
    <s v="Direct"/>
    <n v="155.95000000000002"/>
    <n v="5897.5"/>
    <n v="153.1"/>
    <n v="5634.2597552560001"/>
    <n v="0.65"/>
    <n v="24.994898280000005"/>
    <n v="153.75"/>
    <n v="5659.2546535359998"/>
    <n v="5659.2546535359998"/>
    <n v="0"/>
    <n v="24.994898280000005"/>
    <n v="0"/>
    <n v="0"/>
    <n v="0"/>
    <n v="0"/>
    <n v="5636"/>
    <n v="0"/>
    <n v="0"/>
    <n v="237"/>
    <n v="0"/>
  </r>
  <r>
    <x v="126"/>
    <s v="DAULATPUR"/>
    <s v="MPG"/>
    <s v="Direct"/>
    <n v="320.54999999999995"/>
    <n v="13127.229999999998"/>
    <n v="315.94"/>
    <n v="13441.707503593712"/>
    <n v="3.370000000000001"/>
    <n v="141.39766620848002"/>
    <n v="319.31"/>
    <n v="13583.105169802193"/>
    <n v="13127.229999999998"/>
    <n v="0"/>
    <n v="141.39766620848002"/>
    <n v="455.87516980219516"/>
    <n v="0"/>
    <n v="0"/>
    <n v="0"/>
    <n v="12986"/>
    <n v="0"/>
    <n v="0"/>
    <n v="0"/>
    <n v="0"/>
  </r>
  <r>
    <x v="127"/>
    <s v="MOHADDIPUR"/>
    <s v="MPG"/>
    <s v="Direct"/>
    <n v="57.800000000000004"/>
    <n v="1931.5500000000004"/>
    <n v="171"/>
    <n v="8580.9591750899999"/>
    <n v="1"/>
    <n v="54.93857088"/>
    <n v="172"/>
    <n v="8635.89774597"/>
    <n v="1931.5500000000004"/>
    <n v="0"/>
    <n v="54.93857088"/>
    <n v="6704.3477459699998"/>
    <n v="0"/>
    <n v="0"/>
    <n v="0"/>
    <n v="1877"/>
    <n v="0"/>
    <n v="0"/>
    <n v="0"/>
    <s v="Release1"/>
  </r>
  <r>
    <x v="128"/>
    <s v="JHAJHA"/>
    <s v="MPG"/>
    <s v="Direct"/>
    <n v="455.85"/>
    <n v="18941.689999999999"/>
    <n v="449.92000000000007"/>
    <n v="19535.609848860811"/>
    <n v="2.52"/>
    <n v="98.131560912000012"/>
    <n v="452.44000000000005"/>
    <n v="19633.741409772811"/>
    <n v="18941.689999999999"/>
    <n v="0"/>
    <n v="98.131560912000012"/>
    <n v="692.05140977281189"/>
    <n v="0"/>
    <n v="0"/>
    <n v="0"/>
    <n v="18844"/>
    <n v="0"/>
    <n v="0"/>
    <n v="0"/>
    <n v="0"/>
  </r>
  <r>
    <x v="129"/>
    <s v="KAMARDUH"/>
    <s v="MPG"/>
    <s v="Direct"/>
    <n v="785.09999999999991"/>
    <n v="32311.609999999997"/>
    <n v="784.9"/>
    <n v="32302.890314640004"/>
    <n v="7"/>
    <n v="287.50384080000003"/>
    <n v="791.9"/>
    <n v="32590.394155440004"/>
    <n v="32311.609999999997"/>
    <n v="0"/>
    <n v="287.50384080000003"/>
    <n v="278.78415544000745"/>
    <n v="0"/>
    <n v="0"/>
    <n v="0"/>
    <n v="32024"/>
    <n v="0"/>
    <n v="0"/>
    <n v="0"/>
    <n v="0"/>
  </r>
  <r>
    <x v="130"/>
    <s v="BARSABAD"/>
    <s v="MPG"/>
    <s v="Direct"/>
    <n v="701.74999999999989"/>
    <n v="23534.910000000003"/>
    <n v="706.61"/>
    <n v="26011.417734244798"/>
    <n v="1.0900000000000001"/>
    <n v="40.71923420400001"/>
    <n v="707.7"/>
    <n v="26052.136968448798"/>
    <n v="23534.910000000003"/>
    <n v="0"/>
    <n v="40.71923420400001"/>
    <n v="2517.2269684487947"/>
    <n v="0"/>
    <n v="0"/>
    <n v="0"/>
    <n v="23494"/>
    <n v="0"/>
    <n v="0"/>
    <n v="0"/>
    <n v="0"/>
  </r>
  <r>
    <x v="131"/>
    <s v="GONAI"/>
    <s v="MPG"/>
    <s v="Direct"/>
    <n v="869.9"/>
    <n v="33546.99"/>
    <n v="924.31999999999982"/>
    <n v="35324.532130064028"/>
    <n v="4.4799999999999995"/>
    <n v="165.3093805968"/>
    <n v="928.79999999999984"/>
    <n v="35489.84151066083"/>
    <n v="33546.99"/>
    <n v="0"/>
    <n v="165.3093805968"/>
    <n v="1942.851510660832"/>
    <n v="0"/>
    <n v="0"/>
    <n v="0"/>
    <n v="33382"/>
    <n v="0"/>
    <n v="0"/>
    <n v="0"/>
    <n v="0"/>
  </r>
  <r>
    <x v="132"/>
    <s v="SHIKARITOLA"/>
    <s v="MPG"/>
    <s v="Direct"/>
    <n v="873.7"/>
    <n v="33322.92"/>
    <n v="870.33"/>
    <n v="37662.479581459411"/>
    <n v="0"/>
    <n v="0"/>
    <n v="870.33"/>
    <n v="37662.479581459411"/>
    <n v="33322.92"/>
    <n v="0"/>
    <n v="0"/>
    <n v="4339.5595814594126"/>
    <n v="0"/>
    <n v="0"/>
    <n v="0"/>
    <n v="33323"/>
    <n v="0"/>
    <n v="0"/>
    <n v="0"/>
    <n v="0"/>
  </r>
  <r>
    <x v="133"/>
    <s v="BAIKUNTHPUR"/>
    <s v="MPG"/>
    <s v="Direct"/>
    <n v="236.3"/>
    <n v="8286.42"/>
    <n v="243.12"/>
    <n v="8175.8050119107993"/>
    <n v="3.09"/>
    <n v="105.09022652040001"/>
    <n v="246.21"/>
    <n v="8280.8952384311997"/>
    <n v="8280.8952384311997"/>
    <n v="0"/>
    <n v="105.09022652040001"/>
    <n v="0"/>
    <n v="0"/>
    <n v="0"/>
    <n v="0"/>
    <n v="8176"/>
    <n v="0"/>
    <n v="0"/>
    <n v="5"/>
    <n v="0"/>
  </r>
  <r>
    <x v="134"/>
    <s v="KAITHA"/>
    <s v="MPG"/>
    <s v="Direct"/>
    <n v="2104.9000000000005"/>
    <n v="81259.610000000015"/>
    <n v="1182.5899999999999"/>
    <n v="49400.622661012778"/>
    <n v="939.27"/>
    <n v="37562.351707558802"/>
    <n v="2121.8599999999997"/>
    <n v="86962.97436857158"/>
    <n v="81259.610000000015"/>
    <n v="0"/>
    <n v="921.8459568582"/>
    <n v="5703.3643685715651"/>
    <n v="0"/>
    <n v="0"/>
    <n v="0"/>
    <n v="43699"/>
    <n v="36639"/>
    <n v="0"/>
    <n v="0"/>
    <n v="0"/>
  </r>
  <r>
    <x v="135"/>
    <s v="DORAI"/>
    <s v="MPG"/>
    <s v="Direct"/>
    <n v="1049.1500000000001"/>
    <n v="38271.019999999997"/>
    <n v="1069.48"/>
    <n v="42351.184215945003"/>
    <n v="42.96"/>
    <n v="1751.3118416193299"/>
    <n v="1112.44"/>
    <n v="44102.496057564334"/>
    <n v="38271.019999999997"/>
    <n v="0"/>
    <n v="1751.3118416193299"/>
    <n v="5831.4760575643377"/>
    <n v="0"/>
    <n v="0"/>
    <n v="0"/>
    <n v="36520"/>
    <n v="0"/>
    <n v="0"/>
    <n v="0"/>
    <n v="0"/>
  </r>
  <r>
    <x v="136"/>
    <s v="RAGHUNATHPUR"/>
    <s v="vlc"/>
    <s v="Indirect"/>
    <n v="375.79999999999995"/>
    <n v="12327.599999999999"/>
    <n v="0"/>
    <n v="0"/>
    <n v="0"/>
    <n v="0"/>
    <n v="0"/>
    <n v="0"/>
    <n v="12327.599999999999"/>
    <n v="0"/>
    <n v="0"/>
    <n v="0"/>
    <n v="0"/>
    <n v="0"/>
    <n v="0"/>
    <n v="0"/>
    <n v="0"/>
    <n v="12327.599999999999"/>
    <n v="0"/>
    <n v="0"/>
  </r>
  <r>
    <x v="137"/>
    <s v="BANGAMA"/>
    <s v="MPG"/>
    <s v="Direct"/>
    <n v="729.85"/>
    <n v="29392.58"/>
    <n v="720"/>
    <n v="29719.814652000008"/>
    <n v="14"/>
    <n v="559.56364199999996"/>
    <n v="734"/>
    <n v="30279.378294000009"/>
    <n v="29392.58"/>
    <n v="0"/>
    <n v="559.56364199999996"/>
    <n v="886.79829400000744"/>
    <n v="0"/>
    <n v="0"/>
    <n v="0"/>
    <n v="28833"/>
    <n v="0"/>
    <n v="0"/>
    <n v="0"/>
    <n v="0"/>
  </r>
  <r>
    <x v="138"/>
    <s v="KORIYA"/>
    <s v="MPG"/>
    <s v="Direct"/>
    <n v="159.29999999999998"/>
    <n v="6585.99"/>
    <n v="169.9"/>
    <n v="7433.5620584034805"/>
    <n v="0"/>
    <n v="0"/>
    <n v="169.9"/>
    <n v="7433.5620584034805"/>
    <n v="6585.99"/>
    <n v="0"/>
    <n v="0"/>
    <n v="847.5720584034807"/>
    <n v="0"/>
    <n v="0"/>
    <n v="0"/>
    <n v="6586"/>
    <n v="0"/>
    <n v="0"/>
    <n v="0"/>
    <s v="Release1"/>
  </r>
  <r>
    <x v="139"/>
    <s v="HARLACHAK"/>
    <s v="MPG"/>
    <s v="Direct"/>
    <n v="1021.4499999999999"/>
    <n v="38764.820000000007"/>
    <n v="1006.6700000000002"/>
    <n v="38055.732550073306"/>
    <n v="6.76"/>
    <n v="266.71486248000002"/>
    <n v="1013.4300000000002"/>
    <n v="38322.447412553309"/>
    <n v="38322.447412553309"/>
    <n v="0"/>
    <n v="266.71486248000002"/>
    <n v="0"/>
    <n v="0"/>
    <n v="0"/>
    <n v="0"/>
    <n v="38056"/>
    <n v="0"/>
    <n v="0"/>
    <n v="442"/>
    <n v="0"/>
  </r>
  <r>
    <x v="140"/>
    <s v="Jangle Jhakra"/>
    <s v="MPG"/>
    <s v="Direct"/>
    <n v="1317.8000000000002"/>
    <n v="51949.159999999996"/>
    <n v="1372.1100000000001"/>
    <n v="56607.538886093345"/>
    <n v="1.78"/>
    <n v="70.677423036000022"/>
    <n v="1373.89"/>
    <n v="56678.216309129348"/>
    <n v="51949.159999999996"/>
    <n v="0"/>
    <n v="70.677423036000022"/>
    <n v="4729.0563091293516"/>
    <n v="0"/>
    <n v="0"/>
    <n v="0"/>
    <n v="51878"/>
    <n v="0"/>
    <n v="0"/>
    <n v="0"/>
    <n v="0"/>
  </r>
  <r>
    <x v="141"/>
    <s v="KATAHRA"/>
    <s v="MPG"/>
    <s v="Direct"/>
    <n v="263.64999999999998"/>
    <n v="10734.11"/>
    <n v="286.20999999999998"/>
    <n v="12097.535706116341"/>
    <n v="0"/>
    <n v="0"/>
    <n v="286.20999999999998"/>
    <n v="12097.535706116341"/>
    <n v="10734.11"/>
    <n v="0"/>
    <n v="0"/>
    <n v="1363.4257061163407"/>
    <n v="0"/>
    <n v="0"/>
    <n v="0"/>
    <n v="10734"/>
    <n v="0"/>
    <n v="0"/>
    <n v="0"/>
    <n v="0"/>
  </r>
  <r>
    <x v="142"/>
    <s v="KARHARIA V"/>
    <s v="vlc"/>
    <s v="Indirect"/>
    <n v="260.34999999999997"/>
    <n v="8897.0999999999985"/>
    <n v="0"/>
    <n v="0"/>
    <n v="0"/>
    <n v="0"/>
    <n v="0"/>
    <n v="0"/>
    <n v="8897.0999999999985"/>
    <n v="0"/>
    <n v="0"/>
    <n v="0"/>
    <n v="0"/>
    <n v="0"/>
    <n v="0"/>
    <n v="0"/>
    <n v="0"/>
    <n v="8897.0999999999985"/>
    <n v="0"/>
    <n v="0"/>
  </r>
  <r>
    <x v="143"/>
    <s v="BALADEV ITAHARI"/>
    <s v="MPG"/>
    <s v="Direct"/>
    <n v="488.8"/>
    <n v="17670.099999999999"/>
    <n v="500.24"/>
    <n v="20158.191039000507"/>
    <n v="0"/>
    <n v="0"/>
    <n v="500.24"/>
    <n v="20158.191039000507"/>
    <n v="17670.099999999999"/>
    <n v="0"/>
    <n v="0"/>
    <n v="2488.0910390005083"/>
    <n v="0"/>
    <n v="0"/>
    <n v="0"/>
    <n v="17670"/>
    <n v="0"/>
    <n v="0"/>
    <n v="0"/>
    <n v="0"/>
  </r>
  <r>
    <x v="144"/>
    <s v="GOMUKH KODAND"/>
    <s v="vlc"/>
    <s v="Indirect"/>
    <n v="474.40000000000003"/>
    <n v="16826.62"/>
    <n v="0"/>
    <n v="0"/>
    <n v="0"/>
    <n v="0"/>
    <n v="0"/>
    <n v="0"/>
    <n v="16826.62"/>
    <n v="0"/>
    <n v="0"/>
    <n v="0"/>
    <n v="0"/>
    <n v="0"/>
    <n v="0"/>
    <n v="0"/>
    <n v="0"/>
    <n v="16826.62"/>
    <n v="0"/>
    <n v="0"/>
  </r>
  <r>
    <x v="145"/>
    <s v="PAHALANPUR"/>
    <s v="MPG"/>
    <s v="Direct"/>
    <n v="772.75000000000011"/>
    <n v="29677.649999999994"/>
    <n v="801.92"/>
    <n v="29775.204737722845"/>
    <n v="0"/>
    <n v="0"/>
    <n v="801.92"/>
    <n v="29775.204737722845"/>
    <n v="29677.649999999994"/>
    <n v="0"/>
    <n v="0"/>
    <n v="97.554737722850405"/>
    <n v="0"/>
    <n v="0"/>
    <n v="0"/>
    <n v="29678"/>
    <n v="0"/>
    <n v="0"/>
    <n v="0"/>
    <n v="0"/>
  </r>
  <r>
    <x v="146"/>
    <s v="TETARIYA"/>
    <s v="vlc"/>
    <s v="Indirect"/>
    <n v="212.35000000000002"/>
    <n v="7349.45"/>
    <n v="0"/>
    <n v="0"/>
    <n v="0"/>
    <n v="0"/>
    <n v="0"/>
    <n v="0"/>
    <n v="7349.45"/>
    <n v="0"/>
    <n v="0"/>
    <n v="0"/>
    <n v="0"/>
    <n v="0"/>
    <n v="0"/>
    <n v="0"/>
    <n v="0"/>
    <n v="7349.45"/>
    <n v="0"/>
    <n v="0"/>
  </r>
  <r>
    <x v="147"/>
    <s v="RAMBRAN YADAV"/>
    <s v="MPG"/>
    <s v="Direct"/>
    <n v="170.85"/>
    <n v="6055"/>
    <n v="201.89"/>
    <n v="6957.514211353202"/>
    <n v="0"/>
    <n v="0"/>
    <n v="201.89"/>
    <n v="6957.514211353202"/>
    <n v="6055"/>
    <n v="0"/>
    <n v="0"/>
    <n v="902.51421135320197"/>
    <n v="0"/>
    <n v="0"/>
    <n v="0"/>
    <n v="6055"/>
    <n v="0"/>
    <n v="0"/>
    <n v="0"/>
    <n v="0"/>
  </r>
  <r>
    <x v="148"/>
    <s v="Gomukh Beldra"/>
    <s v="MPG"/>
    <s v="Direct"/>
    <n v="200.10000000000002"/>
    <n v="6476.2900000000018"/>
    <n v="180"/>
    <n v="6652.9900799999996"/>
    <n v="0"/>
    <n v="0"/>
    <n v="180"/>
    <n v="6652.9900799999996"/>
    <n v="6476.2900000000018"/>
    <n v="0"/>
    <n v="0"/>
    <n v="176.7000799999978"/>
    <n v="0"/>
    <n v="0"/>
    <n v="0"/>
    <n v="6476"/>
    <n v="0"/>
    <n v="0"/>
    <n v="0"/>
    <n v="0"/>
  </r>
  <r>
    <x v="149"/>
    <s v="Gomukh Chandanpura"/>
    <s v="MPG"/>
    <s v="Direct"/>
    <n v="392.7"/>
    <n v="14514.520000000004"/>
    <n v="344.01"/>
    <n v="14539.262876424002"/>
    <n v="0"/>
    <n v="0"/>
    <n v="344.01"/>
    <n v="14539.262876424002"/>
    <n v="14514.520000000004"/>
    <n v="0"/>
    <n v="0"/>
    <n v="24.742876423997586"/>
    <n v="0"/>
    <n v="0"/>
    <n v="0"/>
    <n v="14515"/>
    <n v="0"/>
    <n v="0"/>
    <n v="0"/>
    <n v="0"/>
  </r>
  <r>
    <x v="150"/>
    <s v="BANOULI"/>
    <s v="MPG"/>
    <s v="Direct"/>
    <n v="2.5499999999999998"/>
    <n v="96.95"/>
    <n v="2.73"/>
    <n v="102.36829802760001"/>
    <n v="0"/>
    <n v="0"/>
    <n v="2.73"/>
    <n v="102.36829802760001"/>
    <n v="96.95"/>
    <n v="0"/>
    <n v="0"/>
    <n v="5.4182980276000023"/>
    <n v="0"/>
    <n v="0"/>
    <n v="0"/>
    <n v="97"/>
    <n v="0"/>
    <n v="0"/>
    <n v="0"/>
    <n v="0"/>
  </r>
  <r>
    <x v="151"/>
    <s v="DARIYAPUR R"/>
    <s v="MPG"/>
    <s v="Direct"/>
    <n v="172.10000000000002"/>
    <n v="6410.47"/>
    <n v="170"/>
    <n v="6418.0195199999998"/>
    <n v="0"/>
    <n v="0"/>
    <n v="170"/>
    <n v="6418.0195199999998"/>
    <n v="6410.47"/>
    <n v="0"/>
    <n v="0"/>
    <n v="7.5495199999995748"/>
    <n v="0"/>
    <n v="0"/>
    <n v="0"/>
    <n v="6410"/>
    <n v="0"/>
    <n v="0"/>
    <n v="0"/>
    <n v="0"/>
  </r>
  <r>
    <x v="152"/>
    <s v="MUZAFFARGANJ"/>
    <s v="MPG"/>
    <s v="Direct"/>
    <n v="204.64999999999998"/>
    <n v="7809.3400000000011"/>
    <n v="198"/>
    <n v="7893.2941560000017"/>
    <n v="0"/>
    <n v="0"/>
    <n v="198"/>
    <n v="7893.2941560000017"/>
    <n v="7809.3400000000011"/>
    <n v="0"/>
    <n v="0"/>
    <n v="83.954156000000694"/>
    <n v="0"/>
    <n v="0"/>
    <n v="0"/>
    <n v="7809"/>
    <n v="0"/>
    <n v="0"/>
    <n v="0"/>
    <n v="0"/>
  </r>
  <r>
    <x v="153"/>
    <s v="SARHA"/>
    <s v="MPG"/>
    <s v="Direct"/>
    <n v="457.05"/>
    <n v="18585.54"/>
    <n v="451.08"/>
    <n v="18195.555405058985"/>
    <n v="0"/>
    <n v="0"/>
    <n v="451.08"/>
    <n v="18195.555405058985"/>
    <n v="18195.555405058985"/>
    <n v="0"/>
    <n v="0"/>
    <n v="0"/>
    <n v="0"/>
    <n v="0"/>
    <n v="0"/>
    <n v="18196"/>
    <n v="0"/>
    <n v="0"/>
    <n v="390"/>
    <n v="0"/>
  </r>
  <r>
    <x v="154"/>
    <s v="KUSUMBHA"/>
    <s v="MPG"/>
    <s v="Direct"/>
    <n v="38.6"/>
    <n v="1365.6399999999999"/>
    <n v="36.729999999999997"/>
    <n v="1339.679533104"/>
    <n v="0"/>
    <n v="0"/>
    <n v="36.729999999999997"/>
    <n v="1339.679533104"/>
    <n v="1339.679533104"/>
    <n v="0"/>
    <n v="0"/>
    <n v="0"/>
    <n v="0"/>
    <n v="0"/>
    <n v="0"/>
    <n v="1340"/>
    <n v="0"/>
    <n v="0"/>
    <n v="26"/>
    <n v="0"/>
  </r>
  <r>
    <x v="155"/>
    <s v="GOMUKH GANGA SAHYOG"/>
    <s v="vlc"/>
    <s v="Indirect"/>
    <n v="436.9"/>
    <n v="15627.91"/>
    <n v="0"/>
    <n v="0"/>
    <n v="0"/>
    <n v="0"/>
    <n v="0"/>
    <n v="0"/>
    <n v="15627.91"/>
    <n v="0"/>
    <n v="0"/>
    <n v="0"/>
    <n v="0"/>
    <n v="0"/>
    <n v="0"/>
    <n v="0"/>
    <n v="0"/>
    <n v="15627.91"/>
    <n v="0"/>
    <n v="0"/>
  </r>
  <r>
    <x v="156"/>
    <s v="MANO"/>
    <s v="vlc"/>
    <s v="Indirect"/>
    <n v="1517.6"/>
    <n v="57313.330000000009"/>
    <n v="0"/>
    <n v="0"/>
    <n v="0"/>
    <n v="0"/>
    <n v="0"/>
    <n v="0"/>
    <n v="57313.330000000009"/>
    <n v="0"/>
    <n v="0"/>
    <n v="0"/>
    <n v="0"/>
    <n v="0"/>
    <n v="0"/>
    <n v="0"/>
    <n v="0"/>
    <n v="57313.330000000009"/>
    <n v="0"/>
    <n v="0"/>
  </r>
  <r>
    <x v="157"/>
    <s v="PURANI SALEMPUR"/>
    <s v="vlc"/>
    <s v="Indirect"/>
    <n v="1674.2999999999997"/>
    <n v="61466.44"/>
    <n v="0"/>
    <n v="0"/>
    <n v="0"/>
    <n v="0"/>
    <n v="0"/>
    <n v="0"/>
    <n v="61466.44"/>
    <n v="0"/>
    <n v="0"/>
    <n v="0"/>
    <n v="0"/>
    <n v="0"/>
    <n v="0"/>
    <n v="0"/>
    <n v="0"/>
    <n v="61466.44"/>
    <n v="0"/>
    <n v="0"/>
  </r>
  <r>
    <x v="158"/>
    <s v="DHANDHHA"/>
    <s v="vlc"/>
    <s v="Indirect"/>
    <n v="2910.4999999999995"/>
    <n v="110330.23999999999"/>
    <n v="0"/>
    <n v="0"/>
    <n v="0"/>
    <n v="0"/>
    <n v="0"/>
    <n v="0"/>
    <n v="110330.23999999999"/>
    <n v="0"/>
    <n v="0"/>
    <n v="0"/>
    <n v="6500"/>
    <n v="0"/>
    <n v="0"/>
    <n v="0"/>
    <n v="0"/>
    <n v="103830.23999999999"/>
    <n v="0"/>
    <n v="0"/>
  </r>
  <r>
    <x v="159"/>
    <s v="CHALISH"/>
    <s v="vlc"/>
    <s v="Indirect"/>
    <n v="1184.7"/>
    <n v="45037.999999999993"/>
    <n v="0"/>
    <n v="0"/>
    <n v="0"/>
    <n v="0"/>
    <n v="0"/>
    <n v="0"/>
    <n v="45037.999999999993"/>
    <n v="0"/>
    <n v="0"/>
    <n v="0"/>
    <n v="0"/>
    <n v="0"/>
    <n v="0"/>
    <n v="0"/>
    <n v="0"/>
    <n v="45037.999999999993"/>
    <n v="0"/>
    <n v="0"/>
  </r>
  <r>
    <x v="160"/>
    <s v="MAA BHAGWATI"/>
    <s v="vlc"/>
    <s v="Indirect"/>
    <n v="516.99999999999989"/>
    <n v="18950.48"/>
    <n v="0"/>
    <n v="0"/>
    <n v="0"/>
    <n v="0"/>
    <n v="0"/>
    <n v="0"/>
    <n v="18950.48"/>
    <n v="0"/>
    <n v="0"/>
    <n v="0"/>
    <n v="0"/>
    <n v="829.90023870967639"/>
    <n v="0"/>
    <n v="0"/>
    <n v="0"/>
    <n v="18120.579761290322"/>
    <n v="0"/>
    <n v="0"/>
  </r>
  <r>
    <x v="161"/>
    <s v="MAIDINICHOKI"/>
    <s v="vlc"/>
    <s v="Indirect"/>
    <n v="462.59999999999997"/>
    <n v="16862.989999999998"/>
    <n v="0"/>
    <n v="0"/>
    <n v="0"/>
    <n v="0"/>
    <n v="0"/>
    <n v="0"/>
    <n v="16862.989999999998"/>
    <n v="0"/>
    <n v="0"/>
    <n v="0"/>
    <n v="0"/>
    <n v="0"/>
    <n v="0"/>
    <n v="0"/>
    <n v="0"/>
    <n v="16862.989999999998"/>
    <n v="0"/>
    <n v="0"/>
  </r>
  <r>
    <x v="162"/>
    <s v="GOMUKH JAJWARA"/>
    <s v="vlc"/>
    <s v="Indirect"/>
    <n v="1857.3000000000002"/>
    <n v="73698.3"/>
    <n v="0"/>
    <n v="0"/>
    <n v="0"/>
    <n v="0"/>
    <n v="0"/>
    <n v="0"/>
    <n v="73698.3"/>
    <n v="0"/>
    <n v="0"/>
    <n v="0"/>
    <n v="23000"/>
    <n v="0"/>
    <n v="0"/>
    <n v="0"/>
    <n v="0"/>
    <n v="50698.3"/>
    <n v="0"/>
    <n v="0"/>
  </r>
  <r>
    <x v="163"/>
    <s v="Gomukh ID Sonvarsha"/>
    <s v="vlc"/>
    <s v="Indirect"/>
    <n v="2075.5"/>
    <n v="80776.98"/>
    <n v="0"/>
    <n v="0"/>
    <n v="0"/>
    <n v="0"/>
    <n v="0"/>
    <n v="0"/>
    <n v="80776.98"/>
    <n v="0"/>
    <n v="0"/>
    <n v="0"/>
    <n v="0"/>
    <n v="0"/>
    <n v="0"/>
    <n v="0"/>
    <n v="0"/>
    <n v="80776.98"/>
    <n v="0"/>
    <n v="0"/>
  </r>
  <r>
    <x v="164"/>
    <s v="BALHAPUR"/>
    <s v="MPG"/>
    <s v="Direct"/>
    <n v="440.3"/>
    <n v="20617.87"/>
    <n v="448.58000000000004"/>
    <n v="20554.726741282106"/>
    <n v="9.9999999999999982"/>
    <n v="444.77947707106"/>
    <n v="458.58000000000004"/>
    <n v="20999.506218353166"/>
    <n v="20617.87"/>
    <n v="0"/>
    <n v="444.77947707106"/>
    <n v="381.63621835316735"/>
    <n v="0"/>
    <n v="0"/>
    <n v="0"/>
    <n v="20173"/>
    <n v="0"/>
    <n v="0"/>
    <n v="0"/>
    <n v="0"/>
  </r>
  <r>
    <x v="165"/>
    <s v="Gomukh ID Husaina"/>
    <s v="vlc"/>
    <s v="Indirect"/>
    <n v="118.00000000000001"/>
    <n v="4581.2800000000007"/>
    <n v="0"/>
    <n v="0"/>
    <n v="0"/>
    <n v="0"/>
    <n v="0"/>
    <n v="0"/>
    <n v="4581.2800000000007"/>
    <n v="0"/>
    <n v="0"/>
    <n v="0"/>
    <n v="0"/>
    <n v="904.20975483870961"/>
    <n v="0"/>
    <n v="0"/>
    <n v="0"/>
    <n v="3677.070245161291"/>
    <n v="0"/>
    <n v="0"/>
  </r>
  <r>
    <x v="166"/>
    <s v="Gomukh ID Prarotol"/>
    <s v="vlc"/>
    <s v="Indirect"/>
    <n v="10.3"/>
    <n v="366.39"/>
    <n v="0"/>
    <n v="0"/>
    <n v="0"/>
    <n v="0"/>
    <n v="0"/>
    <n v="0"/>
    <n v="366.39"/>
    <n v="0"/>
    <n v="0"/>
    <n v="0"/>
    <n v="0"/>
    <n v="34.779445161290312"/>
    <n v="0"/>
    <n v="0"/>
    <n v="0"/>
    <n v="331.61055483870967"/>
    <n v="0"/>
    <n v="0"/>
  </r>
  <r>
    <x v="167"/>
    <s v="MAA SARDE"/>
    <s v="vlc"/>
    <s v="Indirect"/>
    <n v="1084.0999999999999"/>
    <n v="39773.469999999994"/>
    <n v="0"/>
    <n v="0"/>
    <n v="0"/>
    <n v="0"/>
    <n v="0"/>
    <n v="0"/>
    <n v="39773.469999999994"/>
    <n v="0"/>
    <n v="0"/>
    <n v="0"/>
    <n v="0"/>
    <n v="67.531451612903112"/>
    <n v="0"/>
    <n v="0"/>
    <n v="0"/>
    <n v="39705.938548387094"/>
    <n v="0"/>
    <n v="0"/>
  </r>
  <r>
    <x v="168"/>
    <s v="PURANI DIH"/>
    <s v="vlc"/>
    <s v="Indirect"/>
    <n v="314"/>
    <n v="12009.630000000001"/>
    <n v="0"/>
    <n v="0"/>
    <n v="0"/>
    <n v="0"/>
    <n v="0"/>
    <n v="0"/>
    <n v="12009.630000000001"/>
    <n v="0"/>
    <n v="0"/>
    <n v="0"/>
    <n v="9391"/>
    <n v="2618.4919161290313"/>
    <n v="0"/>
    <n v="0"/>
    <n v="0"/>
    <n v="0.13808387096969454"/>
    <n v="0"/>
    <n v="0"/>
  </r>
  <r>
    <x v="169"/>
    <s v="Farda Ravi Tola"/>
    <s v="MPG"/>
    <s v="Direct"/>
    <n v="789.80000000000007"/>
    <n v="28955.75"/>
    <n v="788.19999999999993"/>
    <n v="29469.396389400004"/>
    <n v="15.099999999999998"/>
    <n v="570.19070196000018"/>
    <n v="803.3"/>
    <n v="30039.587091360005"/>
    <n v="28955.75"/>
    <n v="0"/>
    <n v="570.19070196000018"/>
    <n v="1083.8370913600047"/>
    <n v="26764"/>
    <n v="1621.2426599999997"/>
    <n v="0"/>
    <n v="0"/>
    <n v="0"/>
    <n v="0"/>
    <n v="0"/>
    <s v="Release2"/>
  </r>
  <r>
    <x v="170"/>
    <s v="Gomukh Puranidih 2"/>
    <s v="vlc"/>
    <s v="Indirect"/>
    <n v="100.89999999999998"/>
    <n v="4696.7500000000009"/>
    <n v="0"/>
    <n v="0"/>
    <n v="0"/>
    <n v="0"/>
    <n v="0"/>
    <n v="0"/>
    <n v="4696.7500000000009"/>
    <n v="0"/>
    <n v="0"/>
    <n v="0"/>
    <n v="0"/>
    <n v="0"/>
    <n v="0"/>
    <n v="0"/>
    <n v="0"/>
    <n v="4696.7500000000009"/>
    <n v="0"/>
    <n v="0"/>
  </r>
  <r>
    <x v="171"/>
    <s v="Gomukh Arma"/>
    <s v="MPG"/>
    <s v="Direct"/>
    <n v="443.2999999999999"/>
    <n v="18044.07"/>
    <n v="419.29999999999995"/>
    <n v="17878.50699989"/>
    <n v="1.75"/>
    <n v="79.242753636000018"/>
    <n v="421.04999999999995"/>
    <n v="17957.749753526001"/>
    <n v="17957.749753526001"/>
    <n v="0"/>
    <n v="79.242753636000018"/>
    <n v="0"/>
    <n v="0"/>
    <n v="0"/>
    <n v="0"/>
    <n v="17878"/>
    <n v="0"/>
    <n v="0"/>
    <n v="87"/>
    <n v="0"/>
  </r>
  <r>
    <x v="172"/>
    <s v="Singhchak"/>
    <s v="MPG"/>
    <s v="Direct"/>
    <n v="1457.6"/>
    <n v="61619.630000000019"/>
    <n v="1463.9400000000005"/>
    <n v="62202.410326935533"/>
    <n v="20.8"/>
    <n v="884.92772808000007"/>
    <n v="1484.7400000000005"/>
    <n v="63087.338055015534"/>
    <n v="61619.630000000019"/>
    <n v="0"/>
    <n v="884.92772808000007"/>
    <n v="1467.7080550155151"/>
    <n v="0"/>
    <n v="0"/>
    <n v="0"/>
    <n v="60735"/>
    <n v="0"/>
    <n v="0"/>
    <n v="0"/>
    <n v="0"/>
  </r>
  <r>
    <x v="173"/>
    <s v="MAHA-LAXMI"/>
    <s v="vlc"/>
    <s v="Indirect"/>
    <n v="719.6"/>
    <n v="25614.670000000006"/>
    <n v="0"/>
    <n v="0"/>
    <n v="0"/>
    <n v="0"/>
    <n v="0"/>
    <n v="0"/>
    <n v="25614.670000000006"/>
    <n v="0"/>
    <n v="0"/>
    <n v="0"/>
    <n v="0"/>
    <n v="0"/>
    <n v="0"/>
    <n v="0"/>
    <n v="0"/>
    <n v="25614.670000000006"/>
    <n v="0"/>
    <n v="0"/>
  </r>
  <r>
    <x v="174"/>
    <s v="PAWAI"/>
    <s v="MPG"/>
    <s v="Direct"/>
    <n v="725.1"/>
    <n v="31222.190000000002"/>
    <n v="741.86000000000024"/>
    <n v="31528.735095095326"/>
    <n v="10.559999999999999"/>
    <n v="542.11825219033005"/>
    <n v="752.42000000000019"/>
    <n v="32070.853347285654"/>
    <n v="31222.190000000002"/>
    <n v="0"/>
    <n v="542.11825219033005"/>
    <n v="848.66334728565198"/>
    <n v="0"/>
    <n v="116.89469999999945"/>
    <n v="0"/>
    <n v="30563"/>
    <n v="0"/>
    <n v="0"/>
    <n v="0"/>
    <n v="0"/>
  </r>
  <r>
    <x v="175"/>
    <s v="LAKHOCHAK                                                                                           "/>
    <s v="MPG"/>
    <s v="Direct"/>
    <n v="248.60000000000002"/>
    <n v="9861.57"/>
    <n v="248.77999999999997"/>
    <n v="9919.9786621698022"/>
    <n v="0"/>
    <n v="0"/>
    <n v="248.77999999999997"/>
    <n v="9919.9786621698022"/>
    <n v="9861.57"/>
    <n v="0"/>
    <n v="0"/>
    <n v="58.408662169802483"/>
    <n v="0"/>
    <n v="184.32"/>
    <n v="0"/>
    <n v="9677"/>
    <n v="0"/>
    <n v="0"/>
    <n v="0"/>
    <s v="Release2"/>
  </r>
  <r>
    <x v="176"/>
    <s v="BATTA RAMPUR                                                                                        "/>
    <s v="MPG"/>
    <s v="Direct"/>
    <n v="2888.5"/>
    <n v="136920.72"/>
    <n v="2890.9900000000007"/>
    <n v="138798.42438653891"/>
    <n v="26.62"/>
    <n v="1679.7608959042002"/>
    <n v="2917.6100000000006"/>
    <n v="140478.18528244313"/>
    <n v="136920.72"/>
    <n v="0"/>
    <n v="1679.7608959042002"/>
    <n v="3557.465282443125"/>
    <n v="0"/>
    <n v="0"/>
    <n v="0"/>
    <n v="135241"/>
    <n v="0"/>
    <n v="0"/>
    <n v="0"/>
    <n v="0"/>
  </r>
  <r>
    <x v="177"/>
    <s v="MALIYA"/>
    <s v="MPG"/>
    <s v="Direct"/>
    <n v="606.40000000000009"/>
    <n v="25964.03"/>
    <n v="600.78"/>
    <n v="26247.87517368211"/>
    <n v="9.1"/>
    <n v="408.2682617552"/>
    <n v="609.88"/>
    <n v="26656.143435437312"/>
    <n v="25964.03"/>
    <n v="0"/>
    <n v="408.2682617552"/>
    <n v="692.11343543731346"/>
    <n v="0"/>
    <n v="0"/>
    <n v="0"/>
    <n v="25556"/>
    <n v="0"/>
    <n v="0"/>
    <n v="0"/>
    <n v="0"/>
  </r>
  <r>
    <x v="178"/>
    <s v="MAHULIYA"/>
    <s v="MPG"/>
    <s v="Direct"/>
    <n v="449.50000000000006"/>
    <n v="20248.099999999999"/>
    <n v="471.28000000000003"/>
    <n v="19977.878436579769"/>
    <n v="6.2299999999999995"/>
    <n v="260.85853080422999"/>
    <n v="477.51000000000005"/>
    <n v="20238.736967384"/>
    <n v="20238.736967384"/>
    <n v="0"/>
    <n v="260.85853080422999"/>
    <n v="0"/>
    <n v="0"/>
    <n v="0"/>
    <n v="0"/>
    <n v="19979"/>
    <n v="0"/>
    <n v="0"/>
    <n v="8"/>
    <n v="0"/>
  </r>
  <r>
    <x v="179"/>
    <s v="RUPESH KUMAR"/>
    <s v="vlc"/>
    <s v="Indirect"/>
    <n v="362.59999999999997"/>
    <n v="13006.309999999998"/>
    <n v="0"/>
    <n v="0"/>
    <n v="0"/>
    <n v="0"/>
    <n v="0"/>
    <n v="0"/>
    <n v="13006.309999999998"/>
    <n v="0"/>
    <n v="0"/>
    <n v="0"/>
    <n v="0"/>
    <n v="0"/>
    <n v="0"/>
    <n v="0"/>
    <n v="0"/>
    <n v="13006.309999999998"/>
    <n v="0"/>
    <n v="0"/>
  </r>
  <r>
    <x v="180"/>
    <s v="ABGIL HUSSAINA-2                                                                                    "/>
    <s v="MPG"/>
    <s v="Direct"/>
    <n v="884.4"/>
    <n v="33133.67"/>
    <n v="371.96999999999991"/>
    <n v="13991.718175657201"/>
    <n v="521.29"/>
    <n v="20170.490393988002"/>
    <n v="893.25999999999988"/>
    <n v="34162.208569645205"/>
    <n v="33133.67"/>
    <n v="0"/>
    <n v="242.50298688000009"/>
    <n v="1028.5385696452067"/>
    <n v="0"/>
    <n v="0"/>
    <n v="0"/>
    <n v="12963"/>
    <n v="19928"/>
    <n v="0"/>
    <n v="0"/>
    <n v="0"/>
  </r>
  <r>
    <x v="181"/>
    <s v="Manish Kumar                                                                                        "/>
    <s v="vlc"/>
    <s v="Indirect"/>
    <n v="233.29999999999998"/>
    <n v="8211.2000000000007"/>
    <n v="0"/>
    <n v="0"/>
    <n v="0"/>
    <n v="0"/>
    <n v="0"/>
    <n v="0"/>
    <n v="8211.2000000000007"/>
    <n v="0"/>
    <n v="0"/>
    <n v="0"/>
    <n v="0"/>
    <n v="0"/>
    <n v="0"/>
    <n v="0"/>
    <n v="0"/>
    <n v="8211.2000000000007"/>
    <n v="0"/>
    <n v="0"/>
  </r>
  <r>
    <x v="182"/>
    <s v="AKHA-KURHA"/>
    <s v="vlc"/>
    <s v="Indirect"/>
    <n v="328.70000000000005"/>
    <n v="12916.45"/>
    <n v="0"/>
    <n v="0"/>
    <n v="0"/>
    <n v="0"/>
    <n v="0"/>
    <n v="0"/>
    <n v="12916.45"/>
    <n v="0"/>
    <n v="0"/>
    <n v="0"/>
    <n v="0"/>
    <n v="0"/>
    <n v="0"/>
    <n v="0"/>
    <n v="0"/>
    <n v="12916.45"/>
    <n v="0"/>
    <n v="0"/>
  </r>
  <r>
    <x v="183"/>
    <s v="BHANDAR"/>
    <s v="MPG"/>
    <s v="Direct"/>
    <n v="266.2"/>
    <n v="11523.78"/>
    <n v="266.2"/>
    <n v="11523.989231686"/>
    <n v="0"/>
    <n v="0"/>
    <n v="266.2"/>
    <n v="11523.989231686"/>
    <n v="11523.78"/>
    <n v="0"/>
    <n v="0"/>
    <n v="0.2092316859998391"/>
    <n v="0"/>
    <n v="0"/>
    <n v="0"/>
    <n v="11524"/>
    <n v="0"/>
    <n v="0"/>
    <n v="0"/>
    <n v="0"/>
  </r>
  <r>
    <x v="184"/>
    <s v="BASMATIYA"/>
    <s v="MPG"/>
    <s v="Direct"/>
    <n v="437.6"/>
    <n v="18437"/>
    <n v="428.96000000000004"/>
    <n v="19550.733104194347"/>
    <n v="6.4"/>
    <n v="275.96792650980001"/>
    <n v="435.36"/>
    <n v="19826.701030704146"/>
    <n v="18437"/>
    <n v="0"/>
    <n v="275.96792650980001"/>
    <n v="1389.7010307041455"/>
    <n v="0"/>
    <n v="0"/>
    <n v="0"/>
    <n v="18161"/>
    <n v="0"/>
    <n v="0"/>
    <n v="0"/>
    <n v="0"/>
  </r>
  <r>
    <x v="185"/>
    <s v="TILATHI"/>
    <s v="MPG"/>
    <s v="Direct"/>
    <n v="1221.7"/>
    <n v="49000.05"/>
    <n v="1221.0000000000002"/>
    <n v="47632.660307211198"/>
    <n v="49.3"/>
    <n v="2521.1539148934799"/>
    <n v="1270.3000000000002"/>
    <n v="50153.81422210468"/>
    <n v="49000.05"/>
    <n v="0"/>
    <n v="678.28226399999994"/>
    <n v="1153.7642221046772"/>
    <n v="0"/>
    <n v="0"/>
    <n v="0"/>
    <n v="46479"/>
    <n v="1843"/>
    <n v="0"/>
    <n v="0"/>
    <s v="Release1"/>
  </r>
  <r>
    <x v="186"/>
    <s v="GOMUKH WESTOL"/>
    <s v="vlc"/>
    <s v="Indirect"/>
    <n v="1298.5999999999999"/>
    <n v="48681.1"/>
    <n v="0"/>
    <n v="0"/>
    <n v="0"/>
    <n v="0"/>
    <n v="0"/>
    <n v="0"/>
    <n v="48681.1"/>
    <n v="0"/>
    <n v="0"/>
    <n v="0"/>
    <n v="0"/>
    <n v="0"/>
    <n v="0"/>
    <n v="0"/>
    <n v="0"/>
    <n v="48681.1"/>
    <n v="0"/>
    <n v="0"/>
  </r>
  <r>
    <x v="187"/>
    <s v="SANGRAMPUR"/>
    <s v="MPG"/>
    <s v="Direct"/>
    <n v="637.40000000000009"/>
    <n v="28721.170000000006"/>
    <n v="637.5"/>
    <n v="28724.972591670004"/>
    <n v="0"/>
    <n v="0"/>
    <n v="637.5"/>
    <n v="28724.972591670004"/>
    <n v="28721.170000000006"/>
    <n v="0"/>
    <n v="0"/>
    <n v="3.8025916699989466"/>
    <n v="0"/>
    <n v="0"/>
    <n v="0"/>
    <n v="28721"/>
    <n v="0"/>
    <n v="0"/>
    <n v="0"/>
    <n v="0"/>
  </r>
  <r>
    <x v="188"/>
    <s v="GOMUKH CHASMASKAN"/>
    <s v="vlc"/>
    <s v="Indirect"/>
    <n v="738.1"/>
    <n v="26350.58"/>
    <n v="0"/>
    <n v="0"/>
    <n v="0"/>
    <n v="0"/>
    <n v="0"/>
    <n v="0"/>
    <n v="26350.58"/>
    <n v="0"/>
    <n v="0"/>
    <n v="0"/>
    <n v="0"/>
    <n v="2308.208070967743"/>
    <n v="0"/>
    <n v="0"/>
    <n v="0"/>
    <n v="24042.371929032259"/>
    <n v="0"/>
    <n v="0"/>
  </r>
  <r>
    <x v="189"/>
    <s v="GOMUKH KAJITOLA"/>
    <s v="vlc"/>
    <s v="Indirect"/>
    <n v="1905.6000000000001"/>
    <n v="69933.819999999992"/>
    <n v="0"/>
    <n v="0"/>
    <n v="0"/>
    <n v="0"/>
    <n v="0"/>
    <n v="0"/>
    <n v="69933.819999999992"/>
    <n v="0"/>
    <n v="0"/>
    <n v="0"/>
    <n v="0"/>
    <n v="0"/>
    <n v="0"/>
    <n v="0"/>
    <n v="0"/>
    <n v="69933.819999999992"/>
    <n v="0"/>
    <n v="0"/>
  </r>
  <r>
    <x v="190"/>
    <s v="RAMDEV TOLA"/>
    <s v="MPG"/>
    <s v="Direct"/>
    <n v="1834.0999999999997"/>
    <n v="76073.319999999992"/>
    <n v="1231.81"/>
    <n v="55473.022441730689"/>
    <n v="579.13000000000011"/>
    <n v="22330.078540704002"/>
    <n v="1810.94"/>
    <n v="77803.100982434698"/>
    <n v="76073.319999999992"/>
    <n v="0"/>
    <n v="389.17832778000002"/>
    <n v="1729.7809824347059"/>
    <n v="0"/>
    <n v="0"/>
    <n v="0"/>
    <n v="53743"/>
    <n v="21941"/>
    <n v="0"/>
    <n v="0"/>
    <n v="0"/>
  </r>
  <r>
    <x v="191"/>
    <s v="GOMUKH KATEHAR"/>
    <s v="vlc"/>
    <s v="Indirect"/>
    <n v="412"/>
    <n v="14561.32"/>
    <n v="0"/>
    <n v="0"/>
    <n v="0"/>
    <n v="0"/>
    <n v="0"/>
    <n v="0"/>
    <n v="14561.32"/>
    <n v="0"/>
    <n v="0"/>
    <n v="0"/>
    <n v="0"/>
    <n v="1091.4697354838704"/>
    <n v="0"/>
    <n v="0"/>
    <n v="0"/>
    <n v="13469.85026451613"/>
    <n v="0"/>
    <n v="0"/>
  </r>
  <r>
    <x v="192"/>
    <s v="PIPARPATI"/>
    <s v="MPG"/>
    <s v="Direct"/>
    <n v="551.4"/>
    <n v="26135.18"/>
    <n v="548.4"/>
    <n v="28531.750160862382"/>
    <n v="7.2799999999999985"/>
    <n v="312.38485380231003"/>
    <n v="555.67999999999995"/>
    <n v="28844.135014664691"/>
    <n v="26135.18"/>
    <n v="0"/>
    <n v="312.38485380231003"/>
    <n v="2708.9550146646907"/>
    <n v="0"/>
    <n v="0"/>
    <n v="0"/>
    <n v="25823"/>
    <n v="0"/>
    <n v="0"/>
    <n v="0"/>
    <n v="0"/>
  </r>
  <r>
    <x v="193"/>
    <s v="GOMUKH JAGMAGLA"/>
    <s v="vlc"/>
    <s v="Indirect"/>
    <n v="556.5"/>
    <n v="22428.899999999998"/>
    <n v="0"/>
    <n v="0"/>
    <n v="0"/>
    <n v="0"/>
    <n v="0"/>
    <n v="0"/>
    <n v="22428.899999999998"/>
    <n v="0"/>
    <n v="0"/>
    <n v="0"/>
    <n v="0"/>
    <n v="0"/>
    <n v="0"/>
    <n v="0"/>
    <n v="0"/>
    <n v="22428.899999999998"/>
    <n v="0"/>
    <n v="0"/>
  </r>
  <r>
    <x v="194"/>
    <s v="KHAJURIYA"/>
    <s v="MPG"/>
    <s v="Direct"/>
    <n v="598.79999999999995"/>
    <n v="24430.240000000002"/>
    <n v="686.97000000000014"/>
    <n v="39583.981189933169"/>
    <n v="0"/>
    <n v="0"/>
    <n v="686.97000000000014"/>
    <n v="39583.981189933169"/>
    <n v="24430.240000000002"/>
    <n v="0"/>
    <n v="0"/>
    <n v="15153.741189933167"/>
    <n v="13000"/>
    <n v="0"/>
    <n v="0"/>
    <n v="11430"/>
    <n v="0"/>
    <n v="0"/>
    <n v="0"/>
    <s v="Release2"/>
  </r>
  <r>
    <x v="195"/>
    <s v="NAYA SALEMPUR"/>
    <s v="vlc"/>
    <s v="Indirect"/>
    <n v="598"/>
    <n v="22764.85"/>
    <n v="0"/>
    <n v="0"/>
    <n v="0"/>
    <n v="0"/>
    <n v="0"/>
    <n v="0"/>
    <n v="22764.85"/>
    <n v="0"/>
    <n v="0"/>
    <n v="0"/>
    <n v="0"/>
    <n v="0"/>
    <n v="0"/>
    <n v="0"/>
    <n v="0"/>
    <n v="22764.85"/>
    <n v="0"/>
    <n v="0"/>
  </r>
  <r>
    <x v="196"/>
    <s v="MANO 2"/>
    <s v="MPG"/>
    <s v="Direct"/>
    <n v="346.40000000000003"/>
    <n v="13599.530000000002"/>
    <n v="346.4"/>
    <n v="13626.083770200003"/>
    <n v="0"/>
    <n v="0"/>
    <n v="346.4"/>
    <n v="13626.083770200003"/>
    <n v="13599.530000000002"/>
    <n v="0"/>
    <n v="0"/>
    <n v="26.553770200000145"/>
    <n v="0"/>
    <n v="0"/>
    <n v="0"/>
    <n v="13600"/>
    <n v="0"/>
    <n v="0"/>
    <n v="0"/>
    <n v="0"/>
  </r>
  <r>
    <x v="197"/>
    <s v="LOSDHANI"/>
    <s v="MPG"/>
    <s v="Direct"/>
    <n v="131.1"/>
    <n v="4791.95"/>
    <n v="131.6"/>
    <n v="4840.7711295240006"/>
    <n v="2.5"/>
    <n v="91.069458480000023"/>
    <n v="134.1"/>
    <n v="4931.8405880040009"/>
    <n v="4791.95"/>
    <n v="0"/>
    <n v="91.069458480000023"/>
    <n v="139.89058800400107"/>
    <n v="0"/>
    <n v="208.67387999999983"/>
    <n v="0"/>
    <n v="4492"/>
    <n v="0"/>
    <n v="0"/>
    <n v="0"/>
    <n v="0"/>
  </r>
  <r>
    <x v="198"/>
    <s v="GOMUKH MAHGAMA"/>
    <s v="vlc"/>
    <s v="Indirect"/>
    <n v="26.700000000000003"/>
    <n v="1208.4000000000001"/>
    <n v="0"/>
    <n v="0"/>
    <n v="0"/>
    <n v="0"/>
    <n v="0"/>
    <n v="0"/>
    <n v="1208.4000000000001"/>
    <n v="0"/>
    <n v="0"/>
    <n v="0"/>
    <n v="0"/>
    <n v="212.13946451612907"/>
    <n v="0"/>
    <n v="0"/>
    <n v="0"/>
    <n v="996.26053548387108"/>
    <n v="0"/>
    <n v="0"/>
  </r>
  <r>
    <x v="199"/>
    <s v="GOMUKH BAGALWA"/>
    <s v="MPG"/>
    <s v="Direct"/>
    <n v="421.6"/>
    <n v="18015.27"/>
    <n v="101.6"/>
    <n v="4104.0933638881506"/>
    <n v="405.52000000000004"/>
    <n v="18832.682707296757"/>
    <n v="507.12"/>
    <n v="22936.776071184908"/>
    <n v="18015.27"/>
    <n v="0"/>
    <n v="0"/>
    <n v="4921.5060711849073"/>
    <n v="0"/>
    <n v="1111.75"/>
    <n v="0"/>
    <n v="0"/>
    <n v="16903"/>
    <n v="0"/>
    <n v="1"/>
    <s v="Release1"/>
  </r>
  <r>
    <x v="200"/>
    <s v="GOMUKH LARYATAL"/>
    <s v="vlc"/>
    <s v="Indirect"/>
    <n v="249.19999999999996"/>
    <n v="11700.820000000002"/>
    <n v="0"/>
    <n v="0"/>
    <n v="0"/>
    <n v="0"/>
    <n v="0"/>
    <n v="0"/>
    <n v="11700.820000000002"/>
    <n v="0"/>
    <n v="0"/>
    <n v="0"/>
    <n v="0"/>
    <n v="445.04771612903261"/>
    <n v="0"/>
    <n v="0"/>
    <n v="0"/>
    <n v="11255.772283870969"/>
    <n v="0"/>
    <n v="0"/>
  </r>
  <r>
    <x v="201"/>
    <s v="GOMUKH BHITAKITA"/>
    <s v="vlc"/>
    <s v="Indirect"/>
    <n v="185.7"/>
    <n v="6751.03"/>
    <n v="0"/>
    <n v="0"/>
    <n v="0"/>
    <n v="0"/>
    <n v="0"/>
    <n v="0"/>
    <n v="6751.03"/>
    <n v="0"/>
    <n v="0"/>
    <n v="0"/>
    <n v="6500"/>
    <n v="87.939406451612953"/>
    <n v="0"/>
    <n v="0"/>
    <n v="0"/>
    <n v="163.09059354838678"/>
    <n v="0"/>
    <n v="0"/>
  </r>
  <r>
    <x v="202"/>
    <s v="SINGHOL"/>
    <s v="MPG"/>
    <s v="Direct"/>
    <n v="31.900000000000002"/>
    <n v="1277.8900000000001"/>
    <n v="32.89"/>
    <n v="1187.7617533320001"/>
    <n v="0"/>
    <n v="0"/>
    <n v="32.89"/>
    <n v="1187.7617533320001"/>
    <n v="1187.7617533320001"/>
    <n v="0"/>
    <n v="0"/>
    <n v="0"/>
    <n v="0"/>
    <n v="127.45384800000005"/>
    <n v="0"/>
    <n v="1060"/>
    <n v="0"/>
    <n v="0"/>
    <n v="90"/>
    <n v="0"/>
  </r>
  <r>
    <x v="203"/>
    <s v="GOMUKH OJONTOLA"/>
    <s v="vlc"/>
    <s v="Indirect"/>
    <n v="121.5"/>
    <n v="5534.73"/>
    <n v="0"/>
    <n v="0"/>
    <n v="0"/>
    <n v="0"/>
    <n v="0"/>
    <n v="0"/>
    <n v="5534.73"/>
    <n v="0"/>
    <n v="0"/>
    <n v="0"/>
    <n v="0"/>
    <n v="0"/>
    <n v="0"/>
    <n v="0"/>
    <n v="0"/>
    <n v="5534.73"/>
    <n v="0"/>
    <n v="0"/>
  </r>
  <r>
    <x v="204"/>
    <s v="KHUDDIBAN SHIVNAGAR"/>
    <s v="MPG"/>
    <s v="Direct"/>
    <n v="160.89999999999998"/>
    <n v="5093.8999999999996"/>
    <n v="160.9"/>
    <n v="5262.8737293000013"/>
    <n v="0"/>
    <n v="0"/>
    <n v="160.9"/>
    <n v="5262.8737293000013"/>
    <n v="5093.8999999999996"/>
    <n v="0"/>
    <n v="0"/>
    <n v="168.97372930000165"/>
    <n v="0"/>
    <n v="910.02353999999991"/>
    <n v="0"/>
    <n v="4184"/>
    <n v="0"/>
    <n v="0"/>
    <n v="0"/>
    <n v="0"/>
  </r>
  <r>
    <x v="205"/>
    <s v="BARIYARPUR"/>
    <s v="MPG"/>
    <s v="Direct"/>
    <n v="299.5"/>
    <n v="11681.11"/>
    <n v="255.6"/>
    <n v="10016.048774159999"/>
    <n v="48.7"/>
    <n v="1833.0453345600004"/>
    <n v="304.3"/>
    <n v="11849.094108719999"/>
    <n v="11681.11"/>
    <n v="0"/>
    <n v="135.79228079999999"/>
    <n v="167.9841087199984"/>
    <n v="0"/>
    <n v="0"/>
    <n v="0"/>
    <n v="9848"/>
    <n v="1697"/>
    <n v="0"/>
    <n v="0"/>
    <n v="0"/>
  </r>
  <r>
    <x v="206"/>
    <s v="MASUDAN"/>
    <s v="MPG"/>
    <s v="Direct"/>
    <n v="499.59999999999997"/>
    <n v="19893.59"/>
    <n v="459.12"/>
    <n v="17866.56243459709"/>
    <n v="55.709999999999994"/>
    <n v="2628.3182828591998"/>
    <n v="514.83000000000004"/>
    <n v="20494.88071745629"/>
    <n v="19893.59"/>
    <n v="0"/>
    <n v="16.83178002"/>
    <n v="601.29071745628971"/>
    <n v="0"/>
    <n v="0"/>
    <n v="0"/>
    <n v="17265"/>
    <n v="2612"/>
    <n v="0"/>
    <n v="0"/>
    <n v="0"/>
  </r>
  <r>
    <x v="207"/>
    <s v="GOMUKH LOKDHANI"/>
    <s v="vlc"/>
    <s v="Indirect"/>
    <n v="9.1"/>
    <n v="366.37"/>
    <n v="0"/>
    <n v="0"/>
    <n v="0"/>
    <n v="0"/>
    <n v="0"/>
    <n v="0"/>
    <n v="366.37"/>
    <n v="0"/>
    <n v="0"/>
    <n v="0"/>
    <n v="0"/>
    <n v="0"/>
    <n v="0"/>
    <n v="0"/>
    <n v="0"/>
    <n v="366.37"/>
    <n v="0"/>
    <n v="0"/>
  </r>
  <r>
    <x v="208"/>
    <s v="GOMUKH BOHLA"/>
    <s v="vlc"/>
    <s v="Indirect"/>
    <n v="77.3"/>
    <n v="2701.66"/>
    <n v="0"/>
    <n v="0"/>
    <n v="0"/>
    <n v="0"/>
    <n v="0"/>
    <n v="0"/>
    <n v="2701.66"/>
    <n v="0"/>
    <n v="0"/>
    <n v="0"/>
    <n v="0"/>
    <n v="0"/>
    <n v="0"/>
    <n v="0"/>
    <n v="0"/>
    <n v="2701.66"/>
    <n v="0"/>
    <n v="0"/>
  </r>
  <r>
    <x v="209"/>
    <s v="Gomukh ID Araria"/>
    <s v="vlc"/>
    <s v="Indirect"/>
    <n v="4659.5000000000009"/>
    <n v="171183.83000000002"/>
    <n v="0"/>
    <n v="0"/>
    <n v="0"/>
    <n v="0"/>
    <n v="0"/>
    <n v="0"/>
    <n v="171183.83000000002"/>
    <n v="0"/>
    <n v="0"/>
    <n v="0"/>
    <n v="0"/>
    <n v="0"/>
    <n v="0"/>
    <n v="0"/>
    <n v="0"/>
    <n v="171183.83000000002"/>
    <n v="0"/>
    <n v="0"/>
  </r>
  <r>
    <x v="210"/>
    <s v="Gomukh ID Chaidha"/>
    <s v="vlc"/>
    <s v="Indirect"/>
    <n v="1017.9"/>
    <n v="34444.29"/>
    <n v="0"/>
    <n v="0"/>
    <n v="0"/>
    <n v="0"/>
    <n v="0"/>
    <n v="0"/>
    <n v="34444.29"/>
    <n v="0"/>
    <n v="0"/>
    <n v="0"/>
    <n v="6500"/>
    <n v="0"/>
    <n v="0"/>
    <n v="0"/>
    <n v="0"/>
    <n v="27944.29"/>
    <n v="0"/>
    <n v="0"/>
  </r>
  <r>
    <x v="211"/>
    <s v="Gomukh ID Pakrail"/>
    <s v="vlc"/>
    <s v="Indirect"/>
    <n v="241.1"/>
    <n v="8318.33"/>
    <n v="0"/>
    <n v="0"/>
    <n v="0"/>
    <n v="0"/>
    <n v="0"/>
    <n v="0"/>
    <n v="8318.33"/>
    <n v="0"/>
    <n v="0"/>
    <n v="0"/>
    <n v="0"/>
    <n v="521.93847870967693"/>
    <n v="0"/>
    <n v="0"/>
    <n v="0"/>
    <n v="7796.391521290323"/>
    <n v="0"/>
    <n v="0"/>
  </r>
  <r>
    <x v="212"/>
    <s v="Gomukh ID Pipra"/>
    <s v="vlc"/>
    <s v="Indirect"/>
    <n v="799.72000000000014"/>
    <n v="30211.89"/>
    <n v="0"/>
    <n v="0"/>
    <n v="0"/>
    <n v="0"/>
    <n v="0"/>
    <n v="0"/>
    <n v="30211.89"/>
    <n v="0"/>
    <n v="0"/>
    <n v="0"/>
    <n v="0"/>
    <n v="1340.3447148387095"/>
    <n v="0"/>
    <n v="0"/>
    <n v="0"/>
    <n v="28871.54528516129"/>
    <n v="0"/>
    <n v="0"/>
  </r>
  <r>
    <x v="213"/>
    <s v="Gomukh Fatepur                                                                                      "/>
    <s v="MPG"/>
    <s v="Direct"/>
    <n v="255.6"/>
    <n v="9516.57"/>
    <n v="436.73999999999995"/>
    <n v="16254.211349772004"/>
    <n v="25.969999999999995"/>
    <n v="958.8348075240001"/>
    <n v="462.70999999999992"/>
    <n v="17213.046157296005"/>
    <n v="9516.57"/>
    <n v="0"/>
    <n v="109.93277552400001"/>
    <n v="7696.4761572960051"/>
    <n v="0"/>
    <n v="0"/>
    <n v="0"/>
    <n v="8559"/>
    <n v="848"/>
    <n v="0"/>
    <n v="0"/>
    <n v="0"/>
  </r>
  <r>
    <x v="214"/>
    <s v="Gomukh Gauchhari"/>
    <s v="MPG"/>
    <s v="Direct"/>
    <n v="276.99999999999994"/>
    <n v="10394.36"/>
    <n v="273.23"/>
    <n v="10330.353526284001"/>
    <n v="1.4900000000000004"/>
    <n v="56.66132815200001"/>
    <n v="274.72000000000003"/>
    <n v="10387.014854436002"/>
    <n v="10387.014854436002"/>
    <n v="0"/>
    <n v="56.66132815200001"/>
    <n v="0"/>
    <n v="0"/>
    <n v="0"/>
    <n v="0"/>
    <n v="10330"/>
    <n v="0"/>
    <n v="0"/>
    <n v="8"/>
    <n v="0"/>
  </r>
  <r>
    <x v="215"/>
    <s v="Gomukh Arariya Karjaniya"/>
    <s v="vlc"/>
    <s v="Indirect"/>
    <n v="14358.6"/>
    <n v="540780.87"/>
    <n v="0"/>
    <n v="0"/>
    <n v="0"/>
    <n v="0"/>
    <n v="0"/>
    <n v="0"/>
    <n v="540780.87"/>
    <n v="0"/>
    <n v="0"/>
    <n v="0"/>
    <n v="0"/>
    <n v="0"/>
    <n v="0"/>
    <n v="0"/>
    <n v="0"/>
    <n v="540780.87"/>
    <n v="0"/>
    <n v="0"/>
  </r>
  <r>
    <x v="216"/>
    <s v="Gomukh Aariya Dummer Kothi"/>
    <s v="vlc"/>
    <s v="Indirect"/>
    <n v="4539.5"/>
    <n v="170603.23"/>
    <n v="0"/>
    <n v="0"/>
    <n v="0"/>
    <n v="0"/>
    <n v="0"/>
    <n v="0"/>
    <n v="170603.23"/>
    <n v="0"/>
    <n v="0"/>
    <n v="0"/>
    <n v="0"/>
    <n v="4051.340864516133"/>
    <n v="0"/>
    <n v="0"/>
    <n v="0"/>
    <n v="166551.88913548389"/>
    <n v="0"/>
    <n v="0"/>
  </r>
  <r>
    <x v="217"/>
    <s v="Gomukh Balha"/>
    <s v="vlc"/>
    <s v="Indirect"/>
    <n v="4889.4999999999991"/>
    <n v="181947.28999999995"/>
    <n v="0"/>
    <n v="0"/>
    <n v="0"/>
    <n v="0"/>
    <n v="0"/>
    <n v="0"/>
    <n v="181947.28999999995"/>
    <n v="0"/>
    <n v="0"/>
    <n v="0"/>
    <n v="0"/>
    <n v="0"/>
    <n v="0"/>
    <n v="0"/>
    <n v="0"/>
    <n v="181947.28999999995"/>
    <n v="0"/>
    <n v="0"/>
  </r>
  <r>
    <x v="218"/>
    <s v="Haripur - Sanjay"/>
    <s v="vlc"/>
    <s v="Indirect"/>
    <n v="935.5"/>
    <n v="33397.789999999994"/>
    <n v="0"/>
    <n v="0"/>
    <n v="0"/>
    <n v="0"/>
    <n v="0"/>
    <n v="0"/>
    <n v="33397.789999999994"/>
    <n v="0"/>
    <n v="0"/>
    <n v="0"/>
    <n v="0"/>
    <n v="0"/>
    <n v="0"/>
    <n v="0"/>
    <n v="0"/>
    <n v="33397.789999999994"/>
    <n v="0"/>
    <n v="0"/>
  </r>
  <r>
    <x v="219"/>
    <s v="Araria - Ankesh"/>
    <s v="vlc"/>
    <s v="Indirect"/>
    <n v="687.8"/>
    <n v="25232.3"/>
    <n v="0"/>
    <n v="0"/>
    <n v="0"/>
    <n v="0"/>
    <n v="0"/>
    <n v="0"/>
    <n v="25232.3"/>
    <n v="0"/>
    <n v="0"/>
    <n v="0"/>
    <n v="12962"/>
    <n v="12270.774754838712"/>
    <n v="0"/>
    <n v="0"/>
    <n v="0"/>
    <n v="-0.47475483871312463"/>
    <n v="0"/>
    <n v="0"/>
  </r>
  <r>
    <x v="220"/>
    <s v="Gomukh Kabela                                                                                       "/>
    <s v="MPG"/>
    <s v="Direct"/>
    <n v="552.00000000000011"/>
    <n v="25802.919999999991"/>
    <n v="578.79999999999995"/>
    <n v="26183.475100750002"/>
    <n v="0"/>
    <n v="0"/>
    <n v="578.79999999999995"/>
    <n v="26183.475100750002"/>
    <n v="25802.919999999991"/>
    <n v="0"/>
    <n v="0"/>
    <n v="380.55510075001075"/>
    <n v="0"/>
    <n v="0"/>
    <n v="0"/>
    <n v="25803"/>
    <n v="0"/>
    <n v="0"/>
    <n v="0"/>
    <n v="0"/>
  </r>
  <r>
    <x v="221"/>
    <s v="Gomukh Malpa Uttari                                                                                 "/>
    <s v="vlc"/>
    <s v="Indirect"/>
    <n v="331.14"/>
    <n v="11136.12"/>
    <n v="0"/>
    <n v="0"/>
    <n v="0"/>
    <n v="0"/>
    <n v="0"/>
    <n v="0"/>
    <n v="11136.12"/>
    <n v="0"/>
    <n v="0"/>
    <n v="0"/>
    <n v="0"/>
    <n v="0"/>
    <n v="0"/>
    <n v="0"/>
    <n v="0"/>
    <n v="11136.12"/>
    <n v="0"/>
    <n v="0"/>
  </r>
  <r>
    <x v="222"/>
    <s v="Gomukh Sapha"/>
    <s v="MPG"/>
    <s v="Direct"/>
    <n v="159.9"/>
    <n v="6679.5700000000006"/>
    <n v="159.9"/>
    <n v="6691.035007800001"/>
    <n v="0"/>
    <n v="0"/>
    <n v="159.9"/>
    <n v="6691.035007800001"/>
    <n v="6679.5700000000006"/>
    <n v="0"/>
    <n v="0"/>
    <n v="11.465007800000421"/>
    <n v="0"/>
    <n v="0"/>
    <n v="0"/>
    <n v="6680"/>
    <n v="0"/>
    <n v="0"/>
    <n v="0"/>
    <n v="0"/>
  </r>
  <r>
    <x v="223"/>
    <s v="Araria"/>
    <s v="vlc"/>
    <s v="Indirect"/>
    <n v="17603.699999999997"/>
    <n v="660177.79"/>
    <n v="0"/>
    <n v="0"/>
    <n v="0"/>
    <n v="0"/>
    <n v="0"/>
    <n v="0"/>
    <n v="660177.79"/>
    <n v="0"/>
    <n v="0"/>
    <n v="0"/>
    <n v="0"/>
    <n v="0"/>
    <n v="0"/>
    <n v="0"/>
    <n v="0"/>
    <n v="660177.79"/>
    <n v="0"/>
    <n v="0"/>
  </r>
  <r>
    <x v="224"/>
    <s v="Gomukh Gauchhari"/>
    <s v="MPG"/>
    <s v="Direct"/>
    <n v="268.8"/>
    <n v="9839.010000000002"/>
    <n v="268.36"/>
    <n v="10044.205695216002"/>
    <n v="0.44"/>
    <n v="16.959842064000004"/>
    <n v="268.8"/>
    <n v="10061.165537280001"/>
    <n v="9839.010000000002"/>
    <n v="0"/>
    <n v="16.959842064000004"/>
    <n v="222.15553727999941"/>
    <n v="0"/>
    <n v="2058.5756571428565"/>
    <n v="0"/>
    <n v="7763"/>
    <n v="0"/>
    <n v="0"/>
    <n v="0"/>
    <n v="0"/>
  </r>
  <r>
    <x v="225"/>
    <s v="Telouch"/>
    <s v="MPG"/>
    <s v="Direct"/>
    <n v="2484.06"/>
    <n v="93953.859999999986"/>
    <n v="2573.9899999999998"/>
    <n v="101544.41885198402"/>
    <n v="6.6999999999999993"/>
    <n v="236.55107520000001"/>
    <n v="2580.6899999999996"/>
    <n v="101780.96992718402"/>
    <n v="93953.859999999986"/>
    <n v="0"/>
    <n v="236.55107520000001"/>
    <n v="7827.1099271840358"/>
    <n v="0"/>
    <n v="0"/>
    <n v="0"/>
    <n v="93717"/>
    <n v="0"/>
    <n v="0"/>
    <n v="0"/>
    <n v="0"/>
  </r>
  <r>
    <x v="226"/>
    <s v="Gomukh Jhangara B"/>
    <s v="MPG"/>
    <s v="Direct"/>
    <n v="1515.5"/>
    <n v="58291.000000000007"/>
    <n v="1525.97"/>
    <n v="62015.128435364779"/>
    <n v="0"/>
    <n v="0"/>
    <n v="1525.97"/>
    <n v="62015.128435364779"/>
    <n v="58291.000000000007"/>
    <n v="0"/>
    <n v="0"/>
    <n v="3724.1284353647716"/>
    <n v="0"/>
    <n v="0"/>
    <n v="0"/>
    <n v="58291"/>
    <n v="0"/>
    <n v="0"/>
    <n v="0"/>
    <n v="0"/>
  </r>
  <r>
    <x v="227"/>
    <s v="Gomukh Saraiya"/>
    <s v="vlc"/>
    <s v="Direct"/>
    <n v="308.38"/>
    <n v="10914.029999999999"/>
    <n v="471.74"/>
    <n v="28021.091872862002"/>
    <n v="0"/>
    <n v="0"/>
    <n v="471.74"/>
    <n v="28021.091872862002"/>
    <n v="10914.029999999999"/>
    <n v="0"/>
    <n v="0"/>
    <n v="17107.061872862003"/>
    <n v="0"/>
    <n v="0"/>
    <n v="0"/>
    <n v="10914"/>
    <n v="0"/>
    <n v="0"/>
    <n v="0"/>
    <s v="Release1"/>
  </r>
  <r>
    <x v="228"/>
    <s v=" Gomukh Nauranga"/>
    <s v="vlc"/>
    <s v="Indirect"/>
    <n v="695.26"/>
    <n v="27892.160000000007"/>
    <n v="0"/>
    <n v="0"/>
    <n v="0"/>
    <n v="0"/>
    <n v="0"/>
    <n v="0"/>
    <n v="27892.160000000007"/>
    <n v="0"/>
    <n v="0"/>
    <n v="0"/>
    <n v="0"/>
    <n v="0"/>
    <n v="0"/>
    <n v="0"/>
    <n v="0"/>
    <n v="27892.160000000007"/>
    <n v="0"/>
    <n v="0"/>
  </r>
  <r>
    <x v="229"/>
    <s v="Gomukh Malpa Dhutauli VLC"/>
    <s v="vlc"/>
    <s v="Indirect"/>
    <n v="150.80000000000001"/>
    <n v="4998.8600000000006"/>
    <n v="0"/>
    <n v="0"/>
    <n v="0"/>
    <n v="0"/>
    <n v="0"/>
    <n v="0"/>
    <n v="4998.8600000000006"/>
    <n v="0"/>
    <n v="0"/>
    <n v="0"/>
    <n v="0"/>
    <n v="0"/>
    <n v="0"/>
    <n v="0"/>
    <n v="0"/>
    <n v="4998.8600000000006"/>
    <n v="0"/>
    <n v="0"/>
  </r>
  <r>
    <x v="230"/>
    <s v="Gomukh Pakrail Vijay Nagar VLC"/>
    <s v="vlc"/>
    <s v="Indirect"/>
    <n v="1742.84"/>
    <n v="65381.969999999994"/>
    <n v="0"/>
    <n v="0"/>
    <n v="0"/>
    <n v="0"/>
    <n v="0"/>
    <n v="0"/>
    <n v="65381.969999999994"/>
    <n v="0"/>
    <n v="0"/>
    <n v="0"/>
    <n v="0"/>
    <n v="0"/>
    <n v="0"/>
    <n v="0"/>
    <n v="0"/>
    <n v="65381.969999999994"/>
    <n v="0"/>
    <n v="0"/>
  </r>
  <r>
    <x v="231"/>
    <s v="Gomukh Pakrail Shirnia VLC"/>
    <s v="vlc"/>
    <s v="Indirect"/>
    <n v="53.9"/>
    <n v="1994.61"/>
    <n v="0"/>
    <n v="0"/>
    <n v="0"/>
    <n v="0"/>
    <n v="0"/>
    <n v="0"/>
    <n v="1994.61"/>
    <n v="0"/>
    <n v="0"/>
    <n v="0"/>
    <n v="0"/>
    <n v="221.83448903225809"/>
    <n v="0"/>
    <n v="0"/>
    <n v="0"/>
    <n v="1772.7755109677419"/>
    <n v="0"/>
    <n v="0"/>
  </r>
  <r>
    <x v="232"/>
    <s v="Gomukh Godhiyasi Nayagow VLC"/>
    <s v="vlc"/>
    <s v="Indirect"/>
    <n v="161.4"/>
    <n v="5767.9400000000005"/>
    <n v="0"/>
    <n v="0"/>
    <n v="0"/>
    <n v="0"/>
    <n v="0"/>
    <n v="0"/>
    <n v="5767.9400000000005"/>
    <n v="0"/>
    <n v="0"/>
    <n v="0"/>
    <n v="0"/>
    <n v="0"/>
    <n v="0"/>
    <n v="0"/>
    <n v="0"/>
    <n v="5767.9400000000005"/>
    <n v="0"/>
    <n v="0"/>
  </r>
  <r>
    <x v="233"/>
    <s v="Gomukh Bandehra Purbi"/>
    <s v="MPG"/>
    <s v="Direct"/>
    <n v="600.30000000000007"/>
    <n v="22199.45"/>
    <n v="600.29999999999995"/>
    <n v="24881.907936600001"/>
    <n v="0"/>
    <n v="0"/>
    <n v="600.29999999999995"/>
    <n v="24881.907936600001"/>
    <n v="22199.45"/>
    <n v="0"/>
    <n v="0"/>
    <n v="2682.4579365999998"/>
    <n v="0"/>
    <n v="0"/>
    <n v="0"/>
    <n v="22199"/>
    <n v="0"/>
    <n v="0"/>
    <n v="0"/>
    <s v="Release2"/>
  </r>
  <r>
    <x v="234"/>
    <s v="Gomukh Tila Tol"/>
    <s v="MPG"/>
    <s v="Direct"/>
    <n v="1221.0999999999999"/>
    <n v="46080.61"/>
    <n v="1221.5200000000002"/>
    <n v="46096.15328326801"/>
    <n v="3.9999999999999996"/>
    <n v="156.72006939600001"/>
    <n v="1225.5200000000002"/>
    <n v="46252.873352664006"/>
    <n v="46080.61"/>
    <n v="0"/>
    <n v="156.72006939600001"/>
    <n v="172.26335266400565"/>
    <n v="0"/>
    <n v="0"/>
    <n v="0"/>
    <n v="45924"/>
    <n v="0"/>
    <n v="0"/>
    <n v="0"/>
    <s v="Release2"/>
  </r>
  <r>
    <x v="235"/>
    <s v="Gomukh Dina Chakla Vlc"/>
    <s v="vlc"/>
    <s v="Indirect"/>
    <n v="382.4"/>
    <n v="13868.59"/>
    <n v="0"/>
    <n v="0"/>
    <n v="0"/>
    <n v="0"/>
    <n v="0"/>
    <n v="0"/>
    <n v="13868.59"/>
    <n v="0"/>
    <n v="0"/>
    <n v="0"/>
    <n v="0"/>
    <n v="0"/>
    <n v="0"/>
    <n v="0"/>
    <n v="0"/>
    <n v="13868.59"/>
    <n v="0"/>
    <n v="0"/>
  </r>
  <r>
    <x v="236"/>
    <s v="Gomukh Gogri VLC"/>
    <s v="vlc"/>
    <s v="Indirect"/>
    <n v="266.39999999999998"/>
    <n v="8361.57"/>
    <n v="0"/>
    <n v="0"/>
    <n v="0"/>
    <n v="0"/>
    <n v="0"/>
    <n v="0"/>
    <n v="8361.57"/>
    <n v="0"/>
    <n v="0"/>
    <n v="0"/>
    <n v="0"/>
    <n v="170.39456129032249"/>
    <n v="0"/>
    <n v="0"/>
    <n v="0"/>
    <n v="8191.1754387096771"/>
    <n v="0"/>
    <n v="0"/>
  </r>
  <r>
    <x v="237"/>
    <s v="Gomukh Sondiha Jay Prakash VLC"/>
    <s v="vlc"/>
    <s v="Indirect"/>
    <n v="559.20000000000005"/>
    <n v="19117.22"/>
    <n v="0"/>
    <n v="0"/>
    <n v="0"/>
    <n v="0"/>
    <n v="0"/>
    <n v="0"/>
    <n v="19117.22"/>
    <n v="0"/>
    <n v="0"/>
    <n v="0"/>
    <n v="0"/>
    <n v="0"/>
    <n v="0"/>
    <n v="0"/>
    <n v="0"/>
    <n v="19117.22"/>
    <n v="0"/>
    <n v="0"/>
  </r>
  <r>
    <x v="238"/>
    <s v="Gomukh Bari Chak Gogri"/>
    <s v="MPG"/>
    <s v="Direct"/>
    <n v="170.59999999999997"/>
    <n v="5855.02"/>
    <n v="170.6"/>
    <n v="5855.1766574399999"/>
    <n v="0"/>
    <n v="0"/>
    <n v="170.6"/>
    <n v="5855.1766574399999"/>
    <n v="5855.02"/>
    <n v="0"/>
    <n v="0"/>
    <n v="0.15665743999943516"/>
    <n v="3900"/>
    <n v="0"/>
    <n v="0"/>
    <n v="1955"/>
    <n v="0"/>
    <n v="0"/>
    <n v="0"/>
    <s v="Release1"/>
  </r>
  <r>
    <x v="239"/>
    <s v="Gomukh Khatha"/>
    <s v="MPG"/>
    <s v="Direct"/>
    <n v="1007.2"/>
    <n v="36188.26"/>
    <n v="1007"/>
    <n v="36156.417976800003"/>
    <n v="0"/>
    <n v="0"/>
    <n v="1007"/>
    <n v="36156.417976800003"/>
    <n v="36156.417976800003"/>
    <n v="0"/>
    <n v="0"/>
    <n v="0"/>
    <n v="0"/>
    <n v="0"/>
    <n v="0"/>
    <n v="36156"/>
    <n v="0"/>
    <n v="0"/>
    <n v="32"/>
    <n v="0"/>
  </r>
  <r>
    <x v="240"/>
    <s v="Chak Punervas"/>
    <s v="vlc"/>
    <s v="Indirect"/>
    <n v="704.3"/>
    <n v="25742.58"/>
    <n v="0"/>
    <n v="0"/>
    <n v="0"/>
    <n v="0"/>
    <n v="0"/>
    <n v="0"/>
    <n v="25742.58"/>
    <n v="0"/>
    <n v="0"/>
    <n v="0"/>
    <n v="0"/>
    <n v="0"/>
    <n v="0"/>
    <n v="0"/>
    <n v="0"/>
    <n v="25742.58"/>
    <n v="0"/>
    <n v="0"/>
  </r>
  <r>
    <x v="241"/>
    <s v="Labherchak"/>
    <s v="vlc"/>
    <s v="Indirect"/>
    <n v="270.94999999999993"/>
    <n v="10095.710000000001"/>
    <n v="0"/>
    <n v="0"/>
    <n v="0"/>
    <n v="0"/>
    <n v="0"/>
    <n v="0"/>
    <n v="10095.710000000001"/>
    <n v="0"/>
    <n v="0"/>
    <n v="0"/>
    <n v="0"/>
    <n v="0"/>
    <n v="0"/>
    <n v="0"/>
    <n v="0"/>
    <n v="10095.710000000001"/>
    <n v="0"/>
    <n v="0"/>
  </r>
  <r>
    <x v="242"/>
    <s v="Paspura"/>
    <s v="vlc"/>
    <s v="Indirect"/>
    <n v="220.70000000000002"/>
    <n v="7895.5499999999993"/>
    <n v="0"/>
    <n v="0"/>
    <n v="0"/>
    <n v="0"/>
    <n v="0"/>
    <n v="0"/>
    <n v="7895.5499999999993"/>
    <n v="0"/>
    <n v="0"/>
    <n v="0"/>
    <n v="0"/>
    <n v="242.59390645161287"/>
    <n v="0"/>
    <n v="0"/>
    <n v="0"/>
    <n v="7652.956093548386"/>
    <n v="0"/>
    <n v="0"/>
  </r>
  <r>
    <x v="243"/>
    <s v="Gomukh Godhna"/>
    <s v="vlc"/>
    <s v="Indirect"/>
    <n v="70.5"/>
    <n v="2633.23"/>
    <n v="0"/>
    <n v="0"/>
    <n v="0"/>
    <n v="0"/>
    <n v="0"/>
    <n v="0"/>
    <n v="2633.23"/>
    <n v="0"/>
    <n v="0"/>
    <n v="0"/>
    <n v="1300"/>
    <n v="91.575638709677449"/>
    <n v="0"/>
    <n v="0"/>
    <n v="0"/>
    <n v="1241.6543612903226"/>
    <n v="0"/>
    <n v="0"/>
  </r>
  <r>
    <x v="244"/>
    <s v="Gomukh Sihma 2"/>
    <s v="vlc"/>
    <s v="Indirect"/>
    <n v="285.45000000000005"/>
    <n v="9865.41"/>
    <n v="0"/>
    <n v="0"/>
    <n v="0"/>
    <n v="0"/>
    <n v="0"/>
    <n v="0"/>
    <n v="9865.41"/>
    <n v="0"/>
    <n v="0"/>
    <n v="0"/>
    <n v="0"/>
    <n v="0"/>
    <n v="0"/>
    <n v="0"/>
    <n v="0"/>
    <n v="9865.41"/>
    <n v="0"/>
    <n v="0"/>
  </r>
  <r>
    <x v="245"/>
    <s v="Gomukh ID Marsaito"/>
    <s v="vlc"/>
    <s v="Indirect"/>
    <n v="768.3"/>
    <n v="28029.989999999998"/>
    <n v="0"/>
    <n v="0"/>
    <n v="0"/>
    <n v="0"/>
    <n v="0"/>
    <n v="0"/>
    <n v="28029.989999999998"/>
    <n v="0"/>
    <n v="0"/>
    <n v="0"/>
    <n v="0"/>
    <n v="0"/>
    <n v="0"/>
    <n v="0"/>
    <n v="0"/>
    <n v="28029.989999999998"/>
    <n v="0"/>
    <n v="0"/>
  </r>
  <r>
    <x v="246"/>
    <s v="Gomukh ID Akashpur-2"/>
    <s v="vlc"/>
    <s v="Indirect"/>
    <n v="252.75000000000003"/>
    <n v="9578.69"/>
    <n v="0"/>
    <n v="0"/>
    <n v="0"/>
    <n v="0"/>
    <n v="0"/>
    <n v="0"/>
    <n v="9578.69"/>
    <n v="0"/>
    <n v="0"/>
    <n v="0"/>
    <n v="0"/>
    <n v="5749.636761290325"/>
    <n v="0"/>
    <n v="0"/>
    <n v="0"/>
    <n v="3829.0532387096755"/>
    <n v="0"/>
    <n v="0"/>
  </r>
  <r>
    <x v="247"/>
    <s v="Gomukh ID Akashpur"/>
    <s v="vlc"/>
    <s v="Indirect"/>
    <n v="703.65000000000009"/>
    <n v="26625.149999999998"/>
    <n v="0"/>
    <n v="0"/>
    <n v="0"/>
    <n v="0"/>
    <n v="0"/>
    <n v="0"/>
    <n v="26625.149999999998"/>
    <n v="0"/>
    <n v="0"/>
    <n v="0"/>
    <n v="6500"/>
    <n v="0"/>
    <n v="0"/>
    <n v="0"/>
    <n v="0"/>
    <n v="20125.149999999998"/>
    <n v="0"/>
    <n v="0"/>
  </r>
  <r>
    <x v="248"/>
    <s v="Gomukh ID Rachiyahi"/>
    <s v="vlc"/>
    <s v="Indirect"/>
    <n v="96.25"/>
    <n v="3661.9300000000003"/>
    <n v="0"/>
    <n v="0"/>
    <n v="0"/>
    <n v="0"/>
    <n v="0"/>
    <n v="0"/>
    <n v="3661.9300000000003"/>
    <n v="0"/>
    <n v="0"/>
    <n v="0"/>
    <n v="0"/>
    <n v="263.94879677419385"/>
    <n v="0"/>
    <n v="0"/>
    <n v="0"/>
    <n v="3397.9812032258064"/>
    <n v="0"/>
    <n v="0"/>
  </r>
  <r>
    <x v="249"/>
    <s v="GomukhBariyahi Chanan"/>
    <s v="MPG"/>
    <s v="Direct"/>
    <n v="3113.75"/>
    <n v="109247.59999999998"/>
    <n v="3157.9999999999995"/>
    <n v="110587.15614735721"/>
    <n v="3.9999999999999996"/>
    <n v="137.78851957200001"/>
    <n v="3161.9999999999995"/>
    <n v="110724.94466692921"/>
    <n v="109247.59999999998"/>
    <n v="0"/>
    <n v="137.78851957200001"/>
    <n v="1477.3446669292316"/>
    <n v="0"/>
    <n v="0"/>
    <n v="0"/>
    <n v="109110"/>
    <n v="0"/>
    <n v="0"/>
    <n v="0"/>
    <n v="0"/>
  </r>
  <r>
    <x v="250"/>
    <s v="GomukhGehuni"/>
    <s v="MPG"/>
    <s v="Direct"/>
    <n v="95.299999999999983"/>
    <n v="3361.8000000000006"/>
    <n v="93.800000000000011"/>
    <n v="3466.5732826560006"/>
    <n v="1.7000000000000004"/>
    <n v="59.652523260000009"/>
    <n v="95.500000000000014"/>
    <n v="3526.2258059160008"/>
    <n v="3361.8000000000006"/>
    <n v="0"/>
    <n v="59.652523260000009"/>
    <n v="164.42580591600017"/>
    <n v="2600"/>
    <n v="103.04377500000007"/>
    <n v="0"/>
    <n v="599"/>
    <n v="0"/>
    <n v="0"/>
    <n v="0"/>
    <s v="Release3"/>
  </r>
  <r>
    <x v="251"/>
    <s v="Gomukh Bakhatpur"/>
    <s v="MPG"/>
    <s v="Direct"/>
    <n v="250.65"/>
    <n v="10491.049999999997"/>
    <n v="247.61000000000004"/>
    <n v="10342.2932765147"/>
    <n v="4.0200000000000005"/>
    <n v="156.7538588088"/>
    <n v="251.63000000000005"/>
    <n v="10499.047135323499"/>
    <n v="10491.049999999997"/>
    <n v="0"/>
    <n v="156.7538588088"/>
    <n v="7.9971353235014249"/>
    <n v="0"/>
    <n v="0"/>
    <n v="0"/>
    <n v="10334"/>
    <n v="0"/>
    <n v="0"/>
    <n v="0"/>
    <s v="Release1"/>
  </r>
  <r>
    <x v="252"/>
    <s v="Gomukh Bishanpur"/>
    <s v="MPG"/>
    <s v="Direct"/>
    <n v="831.8"/>
    <n v="29532.929999999997"/>
    <n v="835.93000000000018"/>
    <n v="31289.365290460155"/>
    <n v="13.380000000000003"/>
    <n v="513.75191472000006"/>
    <n v="849.31000000000017"/>
    <n v="31803.117205180155"/>
    <n v="29532.929999999997"/>
    <n v="0"/>
    <n v="513.75191472000006"/>
    <n v="2270.1872051801583"/>
    <n v="0"/>
    <n v="0"/>
    <n v="0"/>
    <n v="29019"/>
    <n v="0"/>
    <n v="0"/>
    <n v="0"/>
    <s v="Release1"/>
  </r>
  <r>
    <x v="253"/>
    <s v="GOMUKH BEGAMSARAI"/>
    <s v="MPG"/>
    <s v="Direct"/>
    <n v="464.5"/>
    <n v="18954.660000000003"/>
    <n v="185.78"/>
    <n v="7622.0719062840008"/>
    <n v="277.20999999999998"/>
    <n v="11267.954577396002"/>
    <n v="462.99"/>
    <n v="18890.026483680002"/>
    <n v="18890.026483680002"/>
    <n v="0"/>
    <n v="89.722812960000013"/>
    <n v="0"/>
    <n v="18800"/>
    <n v="0"/>
    <n v="0"/>
    <n v="0"/>
    <n v="0"/>
    <n v="0"/>
    <n v="65"/>
    <s v="Release3"/>
  </r>
  <r>
    <x v="254"/>
    <s v="Hasanpur - Abhijeet"/>
    <s v="vlc"/>
    <s v="Indirect"/>
    <n v="37.700000000000003"/>
    <n v="1215.45"/>
    <n v="0"/>
    <n v="0"/>
    <n v="0"/>
    <n v="0"/>
    <n v="0"/>
    <n v="0"/>
    <n v="1215.45"/>
    <n v="0"/>
    <n v="0"/>
    <n v="0"/>
    <n v="0"/>
    <n v="1215"/>
    <n v="0"/>
    <n v="0"/>
    <n v="0"/>
    <n v="0.45000000000004547"/>
    <n v="0"/>
    <s v="Release1"/>
  </r>
  <r>
    <x v="255"/>
    <s v="Adharpur - Manish"/>
    <s v="vlc"/>
    <s v="Indirect"/>
    <n v="963.55"/>
    <n v="37475.619999999995"/>
    <n v="0"/>
    <n v="0"/>
    <n v="0"/>
    <n v="0"/>
    <n v="0"/>
    <n v="0"/>
    <n v="37475.619999999995"/>
    <n v="0"/>
    <n v="0"/>
    <n v="0"/>
    <n v="0"/>
    <n v="0"/>
    <n v="0"/>
    <n v="0"/>
    <n v="0"/>
    <n v="37475.619999999995"/>
    <n v="0"/>
    <n v="0"/>
  </r>
  <r>
    <x v="256"/>
    <s v="GOMUKH RANI 3"/>
    <s v="MPG"/>
    <s v="Direct"/>
    <n v="234.54999999999995"/>
    <n v="10318.829999999998"/>
    <n v="233.32999999999998"/>
    <n v="10076.989057390598"/>
    <n v="1.9"/>
    <n v="84.907435398000004"/>
    <n v="235.23"/>
    <n v="10161.896492788597"/>
    <n v="10161.896492788597"/>
    <n v="0"/>
    <n v="84.907435398000004"/>
    <n v="0"/>
    <n v="3340"/>
    <n v="0"/>
    <n v="0"/>
    <n v="6736"/>
    <n v="0"/>
    <n v="0"/>
    <n v="158"/>
    <s v="Release3"/>
  </r>
  <r>
    <x v="257"/>
    <s v="GOMUKH NONPUR"/>
    <s v="MPG"/>
    <s v="Direct"/>
    <n v="732.4"/>
    <n v="26334.52"/>
    <n v="729.4899999999999"/>
    <n v="28620.303645780001"/>
    <n v="1.4400000000000002"/>
    <n v="58.398409080000008"/>
    <n v="730.93"/>
    <n v="28678.702054860001"/>
    <n v="26334.52"/>
    <n v="0"/>
    <n v="58.398409080000008"/>
    <n v="2344.1820548600008"/>
    <n v="6800"/>
    <n v="0"/>
    <n v="0"/>
    <n v="19476"/>
    <n v="0"/>
    <n v="0"/>
    <n v="0"/>
    <n v="0"/>
  </r>
  <r>
    <x v="258"/>
    <s v="GOMUKH FATEHA"/>
    <s v="MPG"/>
    <s v="Direct"/>
    <n v="462.25"/>
    <n v="16246.509999999998"/>
    <n v="539.20000000000005"/>
    <n v="19416.105712818469"/>
    <n v="0"/>
    <n v="0"/>
    <n v="539.20000000000005"/>
    <n v="19416.105712818469"/>
    <n v="16246.509999999998"/>
    <n v="0"/>
    <n v="0"/>
    <n v="3169.5957128184709"/>
    <n v="0"/>
    <n v="0"/>
    <n v="0"/>
    <n v="16247"/>
    <n v="0"/>
    <n v="0"/>
    <n v="0"/>
    <n v="0"/>
  </r>
  <r>
    <x v="259"/>
    <s v="Bablu Singh"/>
    <s v="vlc"/>
    <s v="Indirect"/>
    <n v="279.34999999999997"/>
    <n v="10031.619999999999"/>
    <n v="0"/>
    <n v="0"/>
    <n v="0"/>
    <n v="0"/>
    <n v="0"/>
    <n v="0"/>
    <n v="10031.619999999999"/>
    <n v="0"/>
    <n v="0"/>
    <n v="0"/>
    <n v="0"/>
    <n v="6105.9317032258041"/>
    <n v="0"/>
    <n v="0"/>
    <n v="0"/>
    <n v="3925.6882967741949"/>
    <n v="0"/>
    <n v="0"/>
  </r>
  <r>
    <x v="260"/>
    <s v="Gomukh Rani                                                                                         "/>
    <s v="MPG"/>
    <s v="Direct"/>
    <n v="243.05000000000004"/>
    <n v="8845.4800000000014"/>
    <n v="243.96999999999997"/>
    <n v="9783.6282545760005"/>
    <n v="0"/>
    <n v="0"/>
    <n v="243.96999999999997"/>
    <n v="9783.6282545760005"/>
    <n v="8845.4800000000014"/>
    <n v="0"/>
    <n v="0"/>
    <n v="938.14825457599909"/>
    <n v="0"/>
    <n v="683.29495263157855"/>
    <n v="0"/>
    <n v="8162"/>
    <n v="0"/>
    <n v="0"/>
    <n v="0"/>
    <n v="0"/>
  </r>
  <r>
    <x v="261"/>
    <s v="GOMUKH ROOPNAGAR"/>
    <s v="MPG"/>
    <s v="Direct"/>
    <n v="129.5"/>
    <n v="4514.16"/>
    <n v="124.60000000000001"/>
    <n v="4361.2222381200008"/>
    <n v="0"/>
    <n v="0"/>
    <n v="124.60000000000001"/>
    <n v="4361.2222381200008"/>
    <n v="4361.2222381200008"/>
    <n v="0"/>
    <n v="0"/>
    <n v="0"/>
    <n v="0"/>
    <n v="52.443479999999944"/>
    <n v="0"/>
    <n v="4309"/>
    <n v="0"/>
    <n v="0"/>
    <n v="153"/>
    <n v="0"/>
  </r>
  <r>
    <x v="262"/>
    <s v="GOMUKH SIBUTOL 2"/>
    <s v="MPG"/>
    <s v="Direct"/>
    <n v="53.599999999999994"/>
    <n v="2119.67"/>
    <n v="52"/>
    <n v="2129.2636622400005"/>
    <n v="0"/>
    <n v="0"/>
    <n v="52"/>
    <n v="2129.2636622400005"/>
    <n v="2119.67"/>
    <n v="0"/>
    <n v="0"/>
    <n v="9.5936622400004126"/>
    <n v="0"/>
    <n v="375.13"/>
    <n v="0"/>
    <n v="1745"/>
    <n v="0"/>
    <n v="0"/>
    <n v="0"/>
    <s v="Release1"/>
  </r>
  <r>
    <x v="263"/>
    <s v="Gomukh Harichak"/>
    <s v="MPG"/>
    <s v="Direct"/>
    <n v="78.199999999999989"/>
    <n v="2876.68"/>
    <n v="78.199999999999989"/>
    <n v="2621.4012697752005"/>
    <n v="0"/>
    <n v="0"/>
    <n v="78.199999999999989"/>
    <n v="2621.4012697752005"/>
    <n v="2621.4012697752005"/>
    <n v="0"/>
    <n v="0"/>
    <n v="0"/>
    <n v="0"/>
    <n v="64.95"/>
    <n v="0"/>
    <n v="2556"/>
    <n v="0"/>
    <n v="0"/>
    <n v="256"/>
    <s v="Release1"/>
  </r>
  <r>
    <x v="264"/>
    <s v="RAJ BHARDWAJ"/>
    <s v="vlc"/>
    <s v="Indirect"/>
    <n v="70.150000000000006"/>
    <n v="2690.4500000000003"/>
    <n v="0"/>
    <n v="0"/>
    <n v="0"/>
    <n v="0"/>
    <n v="0"/>
    <n v="0"/>
    <n v="2690.4500000000003"/>
    <n v="0"/>
    <n v="0"/>
    <n v="0"/>
    <n v="0"/>
    <n v="0"/>
    <n v="0"/>
    <n v="0"/>
    <n v="0"/>
    <n v="2690.4500000000003"/>
    <n v="0"/>
    <n v="0"/>
  </r>
  <r>
    <x v="265"/>
    <s v="Gomukh Amarpur"/>
    <s v="MPG"/>
    <s v="Direct"/>
    <n v="970.39999999999986"/>
    <n v="35882.79"/>
    <n v="967.44"/>
    <n v="34555.913164859303"/>
    <n v="1.44"/>
    <n v="52.365264237000005"/>
    <n v="968.88000000000011"/>
    <n v="34608.278429096303"/>
    <n v="34608.278429096303"/>
    <n v="0"/>
    <n v="52.365264237000005"/>
    <n v="0"/>
    <n v="0"/>
    <n v="0"/>
    <n v="0"/>
    <n v="34555"/>
    <n v="0"/>
    <n v="0"/>
    <n v="1275"/>
    <n v="0"/>
  </r>
  <r>
    <x v="266"/>
    <s v="Prashant Kumar"/>
    <s v="vlc"/>
    <s v="Indirect"/>
    <n v="56.6"/>
    <n v="2286.0700000000002"/>
    <n v="0"/>
    <n v="0"/>
    <n v="0"/>
    <n v="0"/>
    <n v="0"/>
    <n v="0"/>
    <n v="2286.0700000000002"/>
    <n v="0"/>
    <n v="0"/>
    <n v="0"/>
    <n v="0"/>
    <n v="2233.3832225806445"/>
    <n v="0"/>
    <n v="0"/>
    <n v="0"/>
    <n v="52.686777419355622"/>
    <n v="0"/>
    <n v="0"/>
  </r>
  <r>
    <x v="267"/>
    <s v="Gomukh Barauni 3"/>
    <s v="MPG"/>
    <s v="Direct"/>
    <n v="164.1"/>
    <n v="6175.58"/>
    <n v="163"/>
    <n v="6153.7545828000011"/>
    <n v="0"/>
    <n v="0"/>
    <n v="163"/>
    <n v="6153.7545828000011"/>
    <n v="6153.7545828000011"/>
    <n v="0"/>
    <n v="0"/>
    <n v="0"/>
    <n v="0"/>
    <n v="0"/>
    <n v="0"/>
    <n v="6154"/>
    <n v="0"/>
    <n v="0"/>
    <n v="22"/>
    <n v="0"/>
  </r>
  <r>
    <x v="268"/>
    <s v="CHANDAN YADAV"/>
    <s v="vlc"/>
    <s v="Indirect"/>
    <n v="205"/>
    <n v="6903.9600000000009"/>
    <n v="0"/>
    <n v="0"/>
    <n v="0"/>
    <n v="0"/>
    <n v="0"/>
    <n v="0"/>
    <n v="6903.9600000000009"/>
    <n v="0"/>
    <n v="0"/>
    <n v="0"/>
    <n v="0"/>
    <n v="642.55951935483881"/>
    <n v="0"/>
    <n v="0"/>
    <n v="0"/>
    <n v="6261.4004806451621"/>
    <n v="0"/>
    <n v="0"/>
  </r>
  <r>
    <x v="269"/>
    <s v="DINESH YADAV"/>
    <s v="vlc"/>
    <s v="Indirect"/>
    <n v="383.3"/>
    <n v="13966.76"/>
    <n v="0"/>
    <n v="0"/>
    <n v="0"/>
    <n v="0"/>
    <n v="0"/>
    <n v="0"/>
    <n v="13966.76"/>
    <n v="0"/>
    <n v="0"/>
    <n v="0"/>
    <n v="0"/>
    <n v="0"/>
    <n v="0"/>
    <n v="0"/>
    <n v="0"/>
    <n v="13966.76"/>
    <n v="0"/>
    <n v="0"/>
  </r>
  <r>
    <x v="270"/>
    <s v="ANITA DEVI"/>
    <s v="vlc"/>
    <s v="Indirect"/>
    <n v="50.900000000000006"/>
    <n v="1951.0699999999997"/>
    <n v="0"/>
    <n v="0"/>
    <n v="0"/>
    <n v="0"/>
    <n v="0"/>
    <n v="0"/>
    <n v="1951.0699999999997"/>
    <n v="0"/>
    <n v="0"/>
    <n v="0"/>
    <n v="0"/>
    <n v="98.385600000000025"/>
    <n v="0"/>
    <n v="0"/>
    <n v="0"/>
    <n v="1852.6843999999996"/>
    <n v="0"/>
    <n v="0"/>
  </r>
  <r>
    <x v="271"/>
    <s v="GOMUKH GEHUNI 2"/>
    <s v="MPG"/>
    <s v="Direct"/>
    <n v="446.6"/>
    <n v="16848.97"/>
    <n v="448.93000000000006"/>
    <n v="17051.650128909001"/>
    <n v="0.71"/>
    <n v="27.126754578"/>
    <n v="449.64000000000004"/>
    <n v="17078.776883487"/>
    <n v="16848.97"/>
    <n v="0"/>
    <n v="27.126754578"/>
    <n v="229.80688348699914"/>
    <n v="0"/>
    <n v="0"/>
    <n v="0"/>
    <n v="16822"/>
    <n v="0"/>
    <n v="0"/>
    <n v="0"/>
    <n v="0"/>
  </r>
  <r>
    <x v="272"/>
    <s v="GOMUKH MALHIPUR"/>
    <s v="MPG"/>
    <s v="Direct"/>
    <n v="1407.8000000000002"/>
    <n v="51502.100000000006"/>
    <n v="1403.43"/>
    <n v="50379.317161133396"/>
    <n v="2.4300000000000002"/>
    <n v="87.066591519600024"/>
    <n v="1405.8600000000001"/>
    <n v="50466.383752652997"/>
    <n v="50466.383752652997"/>
    <n v="0"/>
    <n v="87.066591519600024"/>
    <n v="0"/>
    <n v="0"/>
    <n v="0"/>
    <n v="0"/>
    <n v="50379"/>
    <n v="0"/>
    <n v="0"/>
    <n v="1036"/>
    <n v="0"/>
  </r>
  <r>
    <x v="273"/>
    <s v="Bihat - Sonu Kumar"/>
    <s v="vlc"/>
    <s v="Indirect"/>
    <n v="347.15"/>
    <n v="12085.320000000002"/>
    <n v="0"/>
    <n v="0"/>
    <n v="0"/>
    <n v="0"/>
    <n v="0"/>
    <n v="0"/>
    <n v="12085.320000000002"/>
    <n v="0"/>
    <n v="0"/>
    <n v="0"/>
    <n v="0"/>
    <n v="392.06219032258076"/>
    <n v="0"/>
    <n v="0"/>
    <n v="0"/>
    <n v="11693.257809677421"/>
    <n v="0"/>
    <n v="0"/>
  </r>
  <r>
    <x v="274"/>
    <s v="Rasalpur - Durgesh Kumar"/>
    <s v="vlc"/>
    <s v="Indirect"/>
    <n v="143.69999999999999"/>
    <n v="4871.6399999999994"/>
    <n v="0"/>
    <n v="0"/>
    <n v="0"/>
    <n v="0"/>
    <n v="0"/>
    <n v="0"/>
    <n v="4871.6399999999994"/>
    <n v="0"/>
    <n v="0"/>
    <n v="0"/>
    <n v="0"/>
    <n v="416.34560322580671"/>
    <n v="0"/>
    <n v="0"/>
    <n v="0"/>
    <n v="4455.294396774193"/>
    <n v="0"/>
    <n v="0"/>
  </r>
  <r>
    <x v="275"/>
    <s v="Barauni Bariyarpur"/>
    <s v="MPG"/>
    <s v="Direct"/>
    <n v="649.05000000000007"/>
    <n v="23520.15"/>
    <n v="648"/>
    <n v="23523.127056000005"/>
    <n v="0"/>
    <n v="0"/>
    <n v="648"/>
    <n v="23523.127056000005"/>
    <n v="23520.15"/>
    <n v="0"/>
    <n v="0"/>
    <n v="2.9770560000033583"/>
    <n v="0"/>
    <n v="0"/>
    <n v="0"/>
    <n v="23520"/>
    <n v="0"/>
    <n v="0"/>
    <n v="0"/>
    <n v="0"/>
  </r>
  <r>
    <x v="276"/>
    <s v="Jaynagar"/>
    <s v="MPG"/>
    <s v="Direct"/>
    <n v="222.79999999999998"/>
    <n v="7762.4499999999989"/>
    <n v="222.6"/>
    <n v="7755.8876956440017"/>
    <n v="0"/>
    <n v="0"/>
    <n v="222.6"/>
    <n v="7755.8876956440017"/>
    <n v="7755.8876956440017"/>
    <n v="0"/>
    <n v="0"/>
    <n v="0"/>
    <n v="0"/>
    <n v="0"/>
    <n v="0"/>
    <n v="7756"/>
    <n v="0"/>
    <n v="0"/>
    <n v="6"/>
    <n v="0"/>
  </r>
  <r>
    <x v="277"/>
    <s v="Fateha - Anil Yadav"/>
    <s v="vlc"/>
    <s v="Indirect"/>
    <n v="993.25000000000011"/>
    <n v="34422.329999999994"/>
    <n v="0"/>
    <n v="0"/>
    <n v="0"/>
    <n v="0"/>
    <n v="0"/>
    <n v="0"/>
    <n v="34422.329999999994"/>
    <n v="0"/>
    <n v="0"/>
    <n v="0"/>
    <n v="0"/>
    <n v="0"/>
    <n v="0"/>
    <n v="0"/>
    <n v="0"/>
    <n v="34422.329999999994"/>
    <n v="0"/>
    <n v="0"/>
  </r>
  <r>
    <x v="278"/>
    <s v="Bihat - Chakballi"/>
    <s v="MPG"/>
    <s v="Direct"/>
    <n v="1540.35"/>
    <n v="49983.479999999996"/>
    <n v="1540.1"/>
    <n v="50381.412819209996"/>
    <n v="0"/>
    <n v="0"/>
    <n v="1540.1"/>
    <n v="50381.412819209996"/>
    <n v="49983.479999999996"/>
    <n v="0"/>
    <n v="0"/>
    <n v="397.93281921000016"/>
    <n v="0"/>
    <n v="2012.8414499999985"/>
    <n v="0"/>
    <n v="47971"/>
    <n v="0"/>
    <n v="0"/>
    <n v="0"/>
    <n v="0"/>
  </r>
  <r>
    <x v="279"/>
    <s v="Sibutol- Naya Tola"/>
    <s v="MPG"/>
    <s v="Direct"/>
    <n v="3.7"/>
    <n v="123.14"/>
    <n v="3"/>
    <n v="100.27013436000001"/>
    <n v="0"/>
    <n v="0"/>
    <n v="3"/>
    <n v="100.27013436000001"/>
    <n v="100.27013436000001"/>
    <n v="0"/>
    <n v="0"/>
    <n v="0"/>
    <n v="0"/>
    <n v="100"/>
    <n v="0"/>
    <n v="0"/>
    <n v="0"/>
    <n v="0"/>
    <n v="23"/>
    <s v="Release1"/>
  </r>
  <r>
    <x v="280"/>
    <s v="Rasalpur"/>
    <s v="vlc"/>
    <s v="Indirect"/>
    <n v="397.15"/>
    <n v="14342.800000000001"/>
    <n v="0"/>
    <n v="0"/>
    <n v="0"/>
    <n v="0"/>
    <n v="0"/>
    <n v="0"/>
    <n v="14342.800000000001"/>
    <n v="0"/>
    <n v="0"/>
    <n v="0"/>
    <n v="0"/>
    <n v="79.460845161290152"/>
    <n v="0"/>
    <n v="0"/>
    <n v="0"/>
    <n v="14263.339154838712"/>
    <n v="0"/>
    <n v="0"/>
  </r>
  <r>
    <x v="281"/>
    <s v="Samsa"/>
    <s v="vlc"/>
    <s v="Indirect"/>
    <n v="781.2"/>
    <n v="31247.120000000003"/>
    <n v="0"/>
    <n v="0"/>
    <n v="0"/>
    <n v="0"/>
    <n v="0"/>
    <n v="0"/>
    <n v="31247.120000000003"/>
    <n v="0"/>
    <n v="0"/>
    <n v="0"/>
    <n v="0"/>
    <n v="0"/>
    <n v="0"/>
    <n v="0"/>
    <n v="0"/>
    <n v="31247.120000000003"/>
    <n v="0"/>
    <n v="0"/>
  </r>
  <r>
    <x v="282"/>
    <s v="Dahiya"/>
    <s v="vlc"/>
    <s v="Indirect"/>
    <n v="422.05000000000007"/>
    <n v="15766.740000000002"/>
    <n v="0"/>
    <n v="0"/>
    <n v="0"/>
    <n v="0"/>
    <n v="0"/>
    <n v="0"/>
    <n v="15766.740000000002"/>
    <n v="0"/>
    <n v="0"/>
    <n v="0"/>
    <n v="0"/>
    <n v="0"/>
    <n v="0"/>
    <n v="0"/>
    <n v="0"/>
    <n v="15766.740000000002"/>
    <n v="0"/>
    <n v="0"/>
  </r>
  <r>
    <x v="283"/>
    <s v="Gaura"/>
    <s v="MPG"/>
    <s v="Direct"/>
    <n v="397.7"/>
    <n v="15019.970000000001"/>
    <n v="396"/>
    <n v="15002.4926304"/>
    <n v="0"/>
    <n v="0"/>
    <n v="396"/>
    <n v="15002.4926304"/>
    <n v="15002.4926304"/>
    <n v="0"/>
    <n v="0"/>
    <n v="0"/>
    <n v="0"/>
    <n v="828.33"/>
    <n v="0"/>
    <n v="14174"/>
    <n v="0"/>
    <n v="0"/>
    <n v="18"/>
    <s v="Release1"/>
  </r>
  <r>
    <x v="284"/>
    <s v="Mukhtiyarpur"/>
    <s v="MPG"/>
    <s v="Direct"/>
    <n v="295.55000000000007"/>
    <n v="10971.730000000003"/>
    <n v="329.45"/>
    <n v="13646.831074282083"/>
    <n v="5.57"/>
    <n v="206.09907199200006"/>
    <n v="335.02"/>
    <n v="13852.930146274084"/>
    <n v="10971.730000000003"/>
    <n v="0"/>
    <n v="0"/>
    <n v="2881.2001462740809"/>
    <n v="6500"/>
    <n v="1308.3075196721311"/>
    <n v="0"/>
    <n v="2957"/>
    <n v="206"/>
    <n v="0"/>
    <n v="0"/>
    <n v="0"/>
  </r>
  <r>
    <x v="285"/>
    <s v="Gomukh Rudauli-02"/>
    <s v="MPG"/>
    <s v="Direct"/>
    <n v="416.75"/>
    <n v="15600.61"/>
    <n v="405.09000000000009"/>
    <n v="13749.180184415018"/>
    <n v="46.96"/>
    <n v="1679.8922754768003"/>
    <n v="452.05000000000007"/>
    <n v="15429.072459891819"/>
    <n v="15429.072459891819"/>
    <n v="0"/>
    <n v="0"/>
    <n v="0"/>
    <n v="0"/>
    <n v="0"/>
    <n v="0"/>
    <n v="13749"/>
    <n v="1680"/>
    <n v="0"/>
    <n v="172"/>
    <n v="0"/>
  </r>
  <r>
    <x v="286"/>
    <s v="Gomukh Puranatol Raichiahi"/>
    <s v="MPG"/>
    <s v="Direct"/>
    <n v="662.55000000000007"/>
    <n v="24683.86"/>
    <n v="662.2"/>
    <n v="24670.673184762003"/>
    <n v="0"/>
    <n v="0"/>
    <n v="662.2"/>
    <n v="24670.673184762003"/>
    <n v="24670.673184762003"/>
    <n v="0"/>
    <n v="0"/>
    <n v="0"/>
    <n v="0"/>
    <n v="0"/>
    <n v="0"/>
    <n v="24671"/>
    <n v="0"/>
    <n v="0"/>
    <n v="13"/>
    <n v="0"/>
  </r>
  <r>
    <x v="287"/>
    <s v="Bihat-Gududaspur"/>
    <s v="MPG"/>
    <s v="Direct"/>
    <n v="345.24999999999994"/>
    <n v="13883.449999999999"/>
    <n v="347.6"/>
    <n v="13878.971025480003"/>
    <n v="0"/>
    <n v="0"/>
    <n v="347.6"/>
    <n v="13878.971025480003"/>
    <n v="13878.971025480003"/>
    <n v="0"/>
    <n v="0"/>
    <n v="0"/>
    <n v="0"/>
    <n v="0"/>
    <n v="0"/>
    <n v="13879"/>
    <n v="0"/>
    <n v="0"/>
    <n v="4"/>
    <n v="0"/>
  </r>
  <r>
    <x v="288"/>
    <s v="Labharchak-2"/>
    <s v="MPG"/>
    <s v="Direct"/>
    <n v="267.84999999999997"/>
    <n v="9993.1"/>
    <n v="266.5"/>
    <n v="10026.0149418"/>
    <n v="0"/>
    <n v="0"/>
    <n v="266.5"/>
    <n v="10026.0149418"/>
    <n v="9993.1"/>
    <n v="0"/>
    <n v="0"/>
    <n v="32.914941799999724"/>
    <n v="0"/>
    <n v="0"/>
    <n v="0"/>
    <n v="9993"/>
    <n v="0"/>
    <n v="0"/>
    <n v="0"/>
    <n v="0"/>
  </r>
  <r>
    <x v="289"/>
    <s v="POHE"/>
    <s v="vlc"/>
    <s v="Indirect"/>
    <n v="372.7"/>
    <n v="15927.79"/>
    <n v="0"/>
    <n v="0"/>
    <n v="0"/>
    <n v="0"/>
    <n v="0"/>
    <n v="0"/>
    <n v="15927.79"/>
    <n v="0"/>
    <n v="0"/>
    <n v="0"/>
    <n v="0"/>
    <n v="0"/>
    <n v="0"/>
    <n v="0"/>
    <n v="0"/>
    <n v="15927.79"/>
    <n v="0"/>
    <n v="0"/>
  </r>
  <r>
    <x v="290"/>
    <s v="AURO"/>
    <s v="MPG"/>
    <s v="Direct"/>
    <n v="1931.7"/>
    <n v="80282.8"/>
    <n v="1385.05"/>
    <n v="58254.939028394227"/>
    <n v="544.78000000000009"/>
    <n v="22769.359783944452"/>
    <n v="1929.83"/>
    <n v="81024.298812338675"/>
    <n v="80282.8"/>
    <n v="0"/>
    <n v="582.60627453600023"/>
    <n v="741.498812338672"/>
    <n v="0"/>
    <n v="0"/>
    <n v="0"/>
    <n v="57514"/>
    <n v="22186"/>
    <n v="0"/>
    <n v="0"/>
    <n v="0"/>
  </r>
  <r>
    <x v="291"/>
    <s v="PARSHAMA"/>
    <s v="MPG"/>
    <s v="Direct"/>
    <n v="107.29999999999998"/>
    <n v="3606.5900000000006"/>
    <n v="105.69999999999999"/>
    <n v="3594.9192899400005"/>
    <n v="0.7"/>
    <n v="23.816171412000006"/>
    <n v="106.39999999999999"/>
    <n v="3618.7354613520006"/>
    <n v="3606.5900000000006"/>
    <n v="0"/>
    <n v="23.816171412000006"/>
    <n v="12.145461351999984"/>
    <n v="0"/>
    <n v="69.839980645161333"/>
    <n v="0"/>
    <n v="3513"/>
    <n v="0"/>
    <n v="0"/>
    <n v="0"/>
    <n v="0"/>
  </r>
  <r>
    <x v="292"/>
    <s v="PRATAPUR 2"/>
    <s v="vlc"/>
    <s v="Indirect"/>
    <n v="188.99999999999997"/>
    <n v="8095.0099999999993"/>
    <n v="0"/>
    <n v="0"/>
    <n v="0"/>
    <n v="0"/>
    <n v="0"/>
    <n v="0"/>
    <n v="8095.0099999999993"/>
    <n v="0"/>
    <n v="0"/>
    <n v="0"/>
    <n v="0"/>
    <n v="186.25523225806461"/>
    <n v="0"/>
    <n v="0"/>
    <n v="0"/>
    <n v="7908.7547677419343"/>
    <n v="0"/>
    <n v="0"/>
  </r>
  <r>
    <x v="293"/>
    <s v="BALLOPUR"/>
    <s v="MPG"/>
    <s v="Direct"/>
    <n v="1536.4999999999998"/>
    <n v="60019.139999999992"/>
    <n v="1530.1000000000001"/>
    <n v="62696.396559448593"/>
    <n v="0"/>
    <n v="0"/>
    <n v="1530.1000000000001"/>
    <n v="62696.396559448593"/>
    <n v="60019.139999999992"/>
    <n v="0"/>
    <n v="0"/>
    <n v="2677.2565594486005"/>
    <n v="0"/>
    <n v="0"/>
    <n v="0"/>
    <n v="60019"/>
    <n v="0"/>
    <n v="0"/>
    <n v="0"/>
    <n v="0"/>
  </r>
  <r>
    <x v="294"/>
    <s v="KHAIRMA"/>
    <s v="MPG"/>
    <s v="Direct"/>
    <n v="393.59999999999997"/>
    <n v="13754.9"/>
    <n v="435.5"/>
    <n v="15394.5020394"/>
    <n v="0"/>
    <n v="0"/>
    <n v="435.5"/>
    <n v="15394.5020394"/>
    <n v="13754.9"/>
    <n v="0"/>
    <n v="0"/>
    <n v="1639.6020394000006"/>
    <n v="0"/>
    <n v="3.2908500000001695"/>
    <n v="0"/>
    <n v="13752"/>
    <n v="0"/>
    <n v="0"/>
    <n v="0"/>
    <n v="0"/>
  </r>
  <r>
    <x v="295"/>
    <s v="MAHASONI"/>
    <s v="MPG"/>
    <s v="Direct"/>
    <n v="936.49999999999989"/>
    <n v="36212.429999999993"/>
    <n v="957.50000000000011"/>
    <n v="35424.476866121164"/>
    <n v="12.700000000000001"/>
    <n v="457.73615448000004"/>
    <n v="970.20000000000016"/>
    <n v="35882.213020601164"/>
    <n v="35882.213020601164"/>
    <n v="0"/>
    <n v="457.73615448000004"/>
    <n v="0"/>
    <n v="0"/>
    <n v="0"/>
    <n v="0"/>
    <n v="35422"/>
    <n v="0"/>
    <n v="0"/>
    <n v="333"/>
    <n v="0"/>
  </r>
  <r>
    <x v="296"/>
    <s v="SONDHI"/>
    <s v="MPG"/>
    <s v="Direct"/>
    <n v="598.20000000000016"/>
    <n v="23593.59"/>
    <n v="642.20000000000005"/>
    <n v="25887.039583330403"/>
    <n v="6.1000000000000005"/>
    <n v="253.69761779999999"/>
    <n v="648.30000000000007"/>
    <n v="26140.737201130403"/>
    <n v="23593.59"/>
    <n v="0"/>
    <n v="253.69761779999999"/>
    <n v="2547.1472011304031"/>
    <n v="0"/>
    <n v="0"/>
    <n v="0"/>
    <n v="23340"/>
    <n v="0"/>
    <n v="0"/>
    <n v="0"/>
    <n v="0"/>
  </r>
  <r>
    <x v="297"/>
    <s v="BELDARAYA"/>
    <s v="vlc"/>
    <s v="Indirect"/>
    <n v="895.80000000000018"/>
    <n v="32860.450000000004"/>
    <n v="0"/>
    <n v="0"/>
    <n v="0"/>
    <n v="0"/>
    <n v="0"/>
    <n v="0"/>
    <n v="32860.450000000004"/>
    <n v="0"/>
    <n v="0"/>
    <n v="0"/>
    <n v="0"/>
    <n v="0"/>
    <n v="0"/>
    <n v="0"/>
    <n v="0"/>
    <n v="32860.450000000004"/>
    <n v="0"/>
    <n v="0"/>
  </r>
  <r>
    <x v="298"/>
    <s v="Gomukh ID Aure-2"/>
    <s v="vlc"/>
    <s v="Indirect"/>
    <n v="1197"/>
    <n v="43909.020000000004"/>
    <n v="0"/>
    <n v="0"/>
    <n v="0"/>
    <n v="0"/>
    <n v="0"/>
    <n v="0"/>
    <n v="43909.020000000004"/>
    <n v="0"/>
    <n v="0"/>
    <n v="0"/>
    <n v="0"/>
    <n v="0"/>
    <n v="0"/>
    <n v="0"/>
    <n v="0"/>
    <n v="43909.020000000004"/>
    <n v="0"/>
    <n v="0"/>
  </r>
  <r>
    <x v="299"/>
    <s v="Gomukh Karma"/>
    <s v="vlc"/>
    <s v="Indirect"/>
    <n v="849.50000000000011"/>
    <n v="32876.54"/>
    <n v="0"/>
    <n v="0"/>
    <n v="0"/>
    <n v="0"/>
    <n v="0"/>
    <n v="0"/>
    <n v="32876.54"/>
    <n v="0"/>
    <n v="0"/>
    <n v="0"/>
    <n v="0"/>
    <n v="0"/>
    <n v="0"/>
    <n v="0"/>
    <n v="0"/>
    <n v="32876.54"/>
    <n v="0"/>
    <n v="0"/>
  </r>
  <r>
    <x v="300"/>
    <s v="GOMUKH UKSI"/>
    <s v="vlc"/>
    <s v="Indirect"/>
    <n v="500.7"/>
    <n v="20742.759999999998"/>
    <n v="0"/>
    <n v="0"/>
    <n v="0"/>
    <n v="0"/>
    <n v="0"/>
    <n v="0"/>
    <n v="20742.759999999998"/>
    <n v="0"/>
    <n v="0"/>
    <n v="0"/>
    <n v="0"/>
    <n v="0"/>
    <n v="0"/>
    <n v="0"/>
    <n v="0"/>
    <n v="20742.759999999998"/>
    <n v="0"/>
    <n v="0"/>
  </r>
  <r>
    <x v="301"/>
    <s v="Gomukh ID Halsi"/>
    <s v="vlc"/>
    <s v="Indirect"/>
    <n v="4958.1000000000004"/>
    <n v="172610.71999999997"/>
    <n v="0"/>
    <n v="0"/>
    <n v="0"/>
    <n v="0"/>
    <n v="0"/>
    <n v="0"/>
    <n v="172610.71999999997"/>
    <n v="0"/>
    <n v="0"/>
    <n v="0"/>
    <n v="0"/>
    <n v="0"/>
    <n v="0"/>
    <n v="0"/>
    <n v="0"/>
    <n v="172610.71999999997"/>
    <n v="0"/>
    <n v="0"/>
  </r>
  <r>
    <x v="302"/>
    <s v="Gomukh ID Lalpur"/>
    <s v="vlc"/>
    <s v="Indirect"/>
    <n v="112.60000000000001"/>
    <n v="3760.5399999999995"/>
    <n v="0"/>
    <n v="0"/>
    <n v="0"/>
    <n v="0"/>
    <n v="0"/>
    <n v="0"/>
    <n v="3760.5399999999995"/>
    <n v="0"/>
    <n v="0"/>
    <n v="0"/>
    <n v="0"/>
    <n v="153.26798709677422"/>
    <n v="0"/>
    <n v="0"/>
    <n v="0"/>
    <n v="3607.2720129032255"/>
    <n v="0"/>
    <n v="0"/>
  </r>
  <r>
    <x v="303"/>
    <s v="KHURIYARI"/>
    <s v="MPG"/>
    <s v="Direct"/>
    <n v="806.9"/>
    <n v="32209.129999999997"/>
    <n v="1061.3"/>
    <n v="43972.617127154605"/>
    <n v="2.5000000000000004"/>
    <n v="101.51924935290002"/>
    <n v="1063.8"/>
    <n v="44074.136376507508"/>
    <n v="32209.129999999997"/>
    <n v="0"/>
    <n v="101.51924935290002"/>
    <n v="11865.00637650751"/>
    <n v="0"/>
    <n v="0"/>
    <n v="0"/>
    <n v="32108"/>
    <n v="0"/>
    <n v="0"/>
    <n v="0"/>
    <n v="0"/>
  </r>
  <r>
    <x v="304"/>
    <s v="BISANPUR"/>
    <s v="vlc"/>
    <s v="Indirect"/>
    <n v="467.2"/>
    <n v="18145.73"/>
    <n v="0"/>
    <n v="0"/>
    <n v="0"/>
    <n v="0"/>
    <n v="0"/>
    <n v="0"/>
    <n v="18145.73"/>
    <n v="0"/>
    <n v="0"/>
    <n v="0"/>
    <n v="0"/>
    <n v="0"/>
    <n v="0"/>
    <n v="0"/>
    <n v="0"/>
    <n v="18145.73"/>
    <n v="0"/>
    <n v="0"/>
  </r>
  <r>
    <x v="305"/>
    <s v="BEHRAMA"/>
    <s v="vlc"/>
    <s v="Indirect"/>
    <n v="354.8"/>
    <n v="13559.259999999998"/>
    <n v="0"/>
    <n v="0"/>
    <n v="0"/>
    <n v="0"/>
    <n v="0"/>
    <n v="0"/>
    <n v="13559.259999999998"/>
    <n v="0"/>
    <n v="0"/>
    <n v="0"/>
    <n v="0"/>
    <n v="0"/>
    <n v="0"/>
    <n v="0"/>
    <n v="0"/>
    <n v="13559.259999999998"/>
    <n v="0"/>
    <n v="0"/>
  </r>
  <r>
    <x v="306"/>
    <s v="Gomukh ID Mathurapur"/>
    <s v="vlc"/>
    <s v="Indirect"/>
    <n v="1032.5"/>
    <n v="39672.799999999996"/>
    <n v="0"/>
    <n v="0"/>
    <n v="0"/>
    <n v="0"/>
    <n v="0"/>
    <n v="0"/>
    <n v="39672.799999999996"/>
    <n v="0"/>
    <n v="0"/>
    <n v="0"/>
    <n v="0"/>
    <n v="0"/>
    <n v="0"/>
    <n v="0"/>
    <n v="0"/>
    <n v="39672.799999999996"/>
    <n v="0"/>
    <n v="0"/>
  </r>
  <r>
    <x v="307"/>
    <s v="Gomukh ID Kurha Dih"/>
    <s v="vlc"/>
    <s v="Indirect"/>
    <n v="1122.5"/>
    <n v="47325.52"/>
    <n v="0"/>
    <n v="0"/>
    <n v="0"/>
    <n v="0"/>
    <n v="0"/>
    <n v="0"/>
    <n v="47325.52"/>
    <n v="0"/>
    <n v="0"/>
    <n v="0"/>
    <n v="0"/>
    <n v="0"/>
    <n v="0"/>
    <n v="0"/>
    <n v="0"/>
    <n v="47325.52"/>
    <n v="0"/>
    <n v="0"/>
  </r>
  <r>
    <x v="308"/>
    <s v="RAMNAGAR"/>
    <s v="MPG"/>
    <s v="Direct"/>
    <n v="767.3"/>
    <n v="31698.73"/>
    <n v="754.85"/>
    <n v="31701.18492969338"/>
    <n v="6.73"/>
    <n v="252.30152455200002"/>
    <n v="761.58"/>
    <n v="31953.48645424538"/>
    <n v="31698.73"/>
    <n v="0"/>
    <n v="252.30152455200002"/>
    <n v="254.75645424538016"/>
    <n v="0"/>
    <n v="0"/>
    <n v="0"/>
    <n v="31446"/>
    <n v="0"/>
    <n v="0"/>
    <n v="0"/>
    <n v="0"/>
  </r>
  <r>
    <x v="309"/>
    <s v="SANDH MAAF 2"/>
    <s v="MPG"/>
    <s v="Direct"/>
    <n v="1085.5"/>
    <n v="50772.640000000007"/>
    <n v="1092.3399999999999"/>
    <n v="53476.996419507042"/>
    <n v="6.33"/>
    <n v="305.92021456590004"/>
    <n v="1098.6699999999998"/>
    <n v="53782.916634072943"/>
    <n v="50772.640000000007"/>
    <n v="0"/>
    <n v="305.92021456590004"/>
    <n v="3010.2766340729358"/>
    <n v="0"/>
    <n v="0"/>
    <n v="0"/>
    <n v="50467"/>
    <n v="0"/>
    <n v="0"/>
    <n v="0"/>
    <n v="0"/>
  </r>
  <r>
    <x v="310"/>
    <s v="BHATTA                                                                                              "/>
    <s v="MPG"/>
    <s v="Direct"/>
    <n v="741"/>
    <n v="29879.719999999994"/>
    <n v="755.01"/>
    <n v="30566.965653787905"/>
    <n v="2.74"/>
    <n v="112.73107428"/>
    <n v="757.75"/>
    <n v="30679.696728067905"/>
    <n v="29879.719999999994"/>
    <n v="0"/>
    <n v="112.73107428"/>
    <n v="799.97672806791161"/>
    <n v="0"/>
    <n v="42.610576271187099"/>
    <n v="0"/>
    <n v="29724"/>
    <n v="0"/>
    <n v="0"/>
    <n v="0"/>
    <n v="0"/>
  </r>
  <r>
    <x v="311"/>
    <s v="TAAL-SHAHARSHA                                                                                      "/>
    <s v="MPG"/>
    <s v="Direct"/>
    <n v="86.63"/>
    <n v="3288.8700000000003"/>
    <n v="86.6"/>
    <n v="3319.5648420000007"/>
    <n v="0"/>
    <n v="0"/>
    <n v="86.6"/>
    <n v="3319.5648420000007"/>
    <n v="3288.8700000000003"/>
    <n v="0"/>
    <n v="0"/>
    <n v="30.694842000000335"/>
    <n v="0"/>
    <n v="1364.9456999999998"/>
    <n v="0"/>
    <n v="1924"/>
    <n v="0"/>
    <n v="0"/>
    <n v="0"/>
    <n v="0"/>
  </r>
  <r>
    <x v="312"/>
    <s v="Dhira"/>
    <s v="MPG"/>
    <s v="Direct"/>
    <n v="422.09999999999997"/>
    <n v="18503.36"/>
    <n v="406.30999999999995"/>
    <n v="17315.744329092748"/>
    <n v="4.9800000000000004"/>
    <n v="202.63739086799998"/>
    <n v="411.28999999999996"/>
    <n v="17518.381719960747"/>
    <n v="17518.381719960747"/>
    <n v="0"/>
    <n v="202.63739086799998"/>
    <n v="0"/>
    <n v="0"/>
    <n v="0"/>
    <n v="0"/>
    <n v="17316"/>
    <n v="0"/>
    <n v="0"/>
    <n v="985"/>
    <n v="0"/>
  </r>
  <r>
    <x v="313"/>
    <s v="AZADNAGAR(VLC)"/>
    <s v="vlc"/>
    <s v="Indirect"/>
    <n v="128.19999999999999"/>
    <n v="3974.54"/>
    <n v="0"/>
    <n v="0"/>
    <n v="0"/>
    <n v="0"/>
    <n v="0"/>
    <n v="0"/>
    <n v="3974.54"/>
    <n v="0"/>
    <n v="0"/>
    <n v="0"/>
    <n v="0"/>
    <n v="0"/>
    <n v="0"/>
    <n v="0"/>
    <n v="0"/>
    <n v="3974.54"/>
    <n v="0"/>
    <n v="0"/>
  </r>
  <r>
    <x v="314"/>
    <s v="REWAI"/>
    <s v="MPG"/>
    <s v="Direct"/>
    <n v="467.5"/>
    <n v="18696.21"/>
    <n v="482.61"/>
    <n v="17566.471188401894"/>
    <n v="1.27"/>
    <n v="50.088323794500006"/>
    <n v="483.88"/>
    <n v="17616.559512196396"/>
    <n v="17616.559512196396"/>
    <n v="0"/>
    <n v="50.088323794500006"/>
    <n v="0"/>
    <n v="0"/>
    <n v="0"/>
    <n v="0"/>
    <n v="17566"/>
    <n v="0"/>
    <n v="0"/>
    <n v="1080"/>
    <n v="0"/>
  </r>
  <r>
    <x v="315"/>
    <s v="BAKHIYA"/>
    <s v="MPG"/>
    <s v="Direct"/>
    <n v="120.30000000000001"/>
    <n v="5479.8600000000006"/>
    <n v="112.48"/>
    <n v="5196.6658020940604"/>
    <n v="0"/>
    <n v="0"/>
    <n v="112.48"/>
    <n v="5196.6658020940604"/>
    <n v="5196.6658020940604"/>
    <n v="0"/>
    <n v="0"/>
    <n v="0"/>
    <n v="0"/>
    <n v="240.83460000000008"/>
    <n v="0"/>
    <n v="4955"/>
    <n v="0"/>
    <n v="0"/>
    <n v="284"/>
    <n v="0"/>
  </r>
  <r>
    <x v="316"/>
    <s v="MANJOS"/>
    <s v="MPG"/>
    <s v="Direct"/>
    <n v="733.80000000000007"/>
    <n v="30399.860000000004"/>
    <n v="736.8"/>
    <n v="30545.210583360007"/>
    <n v="0"/>
    <n v="0"/>
    <n v="736.8"/>
    <n v="30545.210583360007"/>
    <n v="30399.860000000004"/>
    <n v="0"/>
    <n v="0"/>
    <n v="145.35058336000293"/>
    <n v="0"/>
    <n v="0"/>
    <n v="0"/>
    <n v="30400"/>
    <n v="0"/>
    <n v="0"/>
    <n v="0"/>
    <n v="0"/>
  </r>
  <r>
    <x v="317"/>
    <s v="RATA"/>
    <s v="MPG"/>
    <s v="Direct"/>
    <n v="489.20000000000005"/>
    <n v="19854.170000000002"/>
    <n v="588.82000000000005"/>
    <n v="24121.599965579953"/>
    <n v="0"/>
    <n v="0"/>
    <n v="588.82000000000005"/>
    <n v="24121.599965579953"/>
    <n v="19854.170000000002"/>
    <n v="0"/>
    <n v="0"/>
    <n v="4267.4299655799514"/>
    <n v="0"/>
    <n v="0"/>
    <n v="0"/>
    <n v="19854"/>
    <n v="0"/>
    <n v="0"/>
    <n v="0"/>
    <n v="0"/>
  </r>
  <r>
    <x v="318"/>
    <s v="BARUI"/>
    <s v="MPG"/>
    <s v="Direct"/>
    <n v="356.7"/>
    <n v="16034.369999999997"/>
    <n v="330.40000000000009"/>
    <n v="15876.22939093794"/>
    <n v="5.6000000000000005"/>
    <n v="229.68610632000002"/>
    <n v="336.00000000000011"/>
    <n v="16105.91549725794"/>
    <n v="16034.369999999997"/>
    <n v="0"/>
    <n v="229.68610632000002"/>
    <n v="71.54549725794277"/>
    <n v="0"/>
    <n v="0"/>
    <n v="0"/>
    <n v="15805"/>
    <n v="0"/>
    <n v="0"/>
    <n v="0"/>
    <n v="0"/>
  </r>
  <r>
    <x v="319"/>
    <s v="LAHUARA                                                                                             "/>
    <s v="MPG"/>
    <s v="Direct"/>
    <n v="572.29999999999995"/>
    <n v="26884.600000000002"/>
    <n v="526.96"/>
    <n v="27466.609195355097"/>
    <n v="5.0199999999999996"/>
    <n v="266.56213142500002"/>
    <n v="531.98"/>
    <n v="27733.171326780095"/>
    <n v="26884.600000000002"/>
    <n v="0"/>
    <n v="266.56213142500002"/>
    <n v="848.57132678009293"/>
    <n v="0"/>
    <n v="0"/>
    <n v="0"/>
    <n v="26618"/>
    <n v="0"/>
    <n v="0"/>
    <n v="0"/>
    <n v="0"/>
  </r>
  <r>
    <x v="320"/>
    <s v="LACHHUAR"/>
    <s v="MPG"/>
    <s v="Direct"/>
    <n v="605.59999999999991"/>
    <n v="24687.05"/>
    <n v="615.75"/>
    <n v="25233.040705197818"/>
    <n v="1.87"/>
    <n v="74.43414491958751"/>
    <n v="617.62"/>
    <n v="25307.474850117407"/>
    <n v="24687.05"/>
    <n v="0"/>
    <n v="74.43414491958751"/>
    <n v="620.42485011740791"/>
    <n v="0"/>
    <n v="0"/>
    <n v="0"/>
    <n v="24613"/>
    <n v="0"/>
    <n v="0"/>
    <n v="0"/>
    <n v="0"/>
  </r>
  <r>
    <x v="321"/>
    <s v="RAMDIH Ajit Kumar"/>
    <s v="vlc"/>
    <s v="Indirect"/>
    <n v="243.2"/>
    <n v="9417.5800000000017"/>
    <n v="0"/>
    <n v="0"/>
    <n v="0"/>
    <n v="0"/>
    <n v="0"/>
    <n v="0"/>
    <n v="9417.5800000000017"/>
    <n v="0"/>
    <n v="0"/>
    <n v="0"/>
    <n v="0"/>
    <n v="0"/>
    <n v="0"/>
    <n v="0"/>
    <n v="0"/>
    <n v="9417.5800000000017"/>
    <n v="0"/>
    <n v="0"/>
  </r>
  <r>
    <x v="322"/>
    <s v="NARAYANPUR"/>
    <s v="MPG"/>
    <s v="Direct"/>
    <n v="785.69999999999993"/>
    <n v="31447.01"/>
    <n v="932.3599999999999"/>
    <n v="37497.512394936006"/>
    <n v="1.9499999999999997"/>
    <n v="81.459042345000015"/>
    <n v="934.31"/>
    <n v="37578.971437281005"/>
    <n v="31447.01"/>
    <n v="0"/>
    <n v="81.459042345000015"/>
    <n v="6131.9614372810065"/>
    <n v="0"/>
    <n v="0"/>
    <n v="0"/>
    <n v="31366"/>
    <n v="0"/>
    <n v="0"/>
    <n v="0"/>
    <n v="0"/>
  </r>
  <r>
    <x v="323"/>
    <s v="NAWKADIH"/>
    <s v="MPG"/>
    <s v="Direct"/>
    <n v="598.6"/>
    <n v="26874.37"/>
    <n v="585.54000000000008"/>
    <n v="26493.01652391093"/>
    <n v="0.42"/>
    <n v="23.584316411040003"/>
    <n v="585.96"/>
    <n v="26516.600840321971"/>
    <n v="26516.600840321971"/>
    <n v="0"/>
    <n v="23.584316411040003"/>
    <n v="0"/>
    <n v="0"/>
    <n v="0"/>
    <n v="0"/>
    <n v="26493"/>
    <n v="0"/>
    <n v="0"/>
    <n v="358"/>
    <n v="0"/>
  </r>
  <r>
    <x v="324"/>
    <s v="CHOTAHA"/>
    <s v="MPG"/>
    <s v="Direct"/>
    <n v="774.40000000000009"/>
    <n v="30351.630000000005"/>
    <n v="788.5"/>
    <n v="31419.709041599999"/>
    <n v="0"/>
    <n v="0"/>
    <n v="788.5"/>
    <n v="31419.709041599999"/>
    <n v="30351.630000000005"/>
    <n v="0"/>
    <n v="0"/>
    <n v="1068.0790415999945"/>
    <n v="13000"/>
    <n v="0"/>
    <n v="0"/>
    <n v="17352"/>
    <n v="0"/>
    <n v="0"/>
    <n v="0"/>
    <s v="Release2"/>
  </r>
  <r>
    <x v="325"/>
    <s v="KHARAGWADA "/>
    <s v="MPG"/>
    <s v="Direct"/>
    <n v="193.2"/>
    <n v="8006.33"/>
    <n v="248.1"/>
    <n v="10249.41518568"/>
    <n v="0"/>
    <n v="0"/>
    <n v="248.1"/>
    <n v="10249.41518568"/>
    <n v="8006.33"/>
    <n v="0"/>
    <n v="0"/>
    <n v="2243.08518568"/>
    <n v="0"/>
    <n v="11.290860000000052"/>
    <n v="0"/>
    <n v="7995"/>
    <n v="0"/>
    <n v="0"/>
    <n v="0"/>
    <n v="0"/>
  </r>
  <r>
    <x v="326"/>
    <s v="UFFAPUR"/>
    <s v="MPG"/>
    <s v="Direct"/>
    <n v="150.1"/>
    <n v="6559.3099999999995"/>
    <n v="184.5"/>
    <n v="8053.2686914200012"/>
    <n v="0"/>
    <n v="0"/>
    <n v="184.5"/>
    <n v="8053.2686914200012"/>
    <n v="6559.3099999999995"/>
    <n v="0"/>
    <n v="0"/>
    <n v="1493.9586914200017"/>
    <n v="0"/>
    <n v="0"/>
    <n v="0"/>
    <n v="6559"/>
    <n v="0"/>
    <n v="0"/>
    <n v="0"/>
    <n v="0"/>
  </r>
  <r>
    <x v="327"/>
    <s v="BIHRAURA"/>
    <s v="MPG"/>
    <s v="Direct"/>
    <n v="106.8"/>
    <n v="4863.2199999999993"/>
    <n v="158"/>
    <n v="7086.9795692999996"/>
    <n v="0"/>
    <n v="0"/>
    <n v="158"/>
    <n v="7086.9795692999996"/>
    <n v="4863.2199999999993"/>
    <n v="0"/>
    <n v="0"/>
    <n v="2223.7595693000003"/>
    <n v="0"/>
    <n v="255.20928000000009"/>
    <n v="0"/>
    <n v="4608"/>
    <n v="0"/>
    <n v="0"/>
    <n v="0"/>
    <n v="0"/>
  </r>
  <r>
    <x v="328"/>
    <s v="SHIJHORI"/>
    <s v="MPG"/>
    <s v="Direct"/>
    <n v="418.4"/>
    <n v="16668.12"/>
    <n v="433.66"/>
    <n v="17219.849146465756"/>
    <n v="0"/>
    <n v="0"/>
    <n v="433.66"/>
    <n v="17219.849146465756"/>
    <n v="16668.12"/>
    <n v="0"/>
    <n v="0"/>
    <n v="551.72914646575737"/>
    <n v="0"/>
    <n v="0"/>
    <n v="0"/>
    <n v="16668"/>
    <n v="0"/>
    <n v="0"/>
    <n v="0"/>
    <n v="0"/>
  </r>
  <r>
    <x v="329"/>
    <s v="RAM PRAVESH YADAV"/>
    <s v="MPG"/>
    <s v="Direct"/>
    <n v="488.2"/>
    <n v="19762.23"/>
    <n v="490.70999999999992"/>
    <n v="19978.692714344863"/>
    <n v="0"/>
    <n v="0"/>
    <n v="490.70999999999992"/>
    <n v="19978.692714344863"/>
    <n v="19762.23"/>
    <n v="0"/>
    <n v="0"/>
    <n v="216.46271434486334"/>
    <n v="0"/>
    <n v="0"/>
    <n v="0"/>
    <n v="19762"/>
    <n v="0"/>
    <n v="0"/>
    <n v="0"/>
    <n v="0"/>
  </r>
  <r>
    <x v="330"/>
    <s v="BOUDHNAGAR"/>
    <s v="MPG"/>
    <s v="Direct"/>
    <n v="430.70000000000005"/>
    <n v="16239.869999999999"/>
    <n v="510.38"/>
    <n v="18885.799175859003"/>
    <n v="0"/>
    <n v="0"/>
    <n v="510.38"/>
    <n v="18885.799175859003"/>
    <n v="16239.869999999999"/>
    <n v="0"/>
    <n v="0"/>
    <n v="2645.9291758590043"/>
    <n v="0"/>
    <n v="0"/>
    <n v="0"/>
    <n v="16240"/>
    <n v="0"/>
    <n v="0"/>
    <n v="0"/>
    <n v="0"/>
  </r>
  <r>
    <x v="331"/>
    <s v="MOHADDINGAR"/>
    <s v="MPG"/>
    <s v="Direct"/>
    <n v="553.09999999999991"/>
    <n v="21361.97"/>
    <n v="535.1"/>
    <n v="21020.439433799773"/>
    <n v="0"/>
    <n v="0"/>
    <n v="535.1"/>
    <n v="21020.439433799773"/>
    <n v="21020.439433799773"/>
    <n v="0"/>
    <n v="0"/>
    <n v="0"/>
    <n v="0"/>
    <n v="0"/>
    <n v="0"/>
    <n v="21020"/>
    <n v="0"/>
    <n v="0"/>
    <n v="342"/>
    <n v="0"/>
  </r>
  <r>
    <x v="332"/>
    <s v="PACHAUTA"/>
    <s v="MPG"/>
    <s v="Direct"/>
    <n v="612.70000000000005"/>
    <n v="24020.43"/>
    <n v="659.8900000000001"/>
    <n v="27618.050697095365"/>
    <n v="0"/>
    <n v="0"/>
    <n v="659.8900000000001"/>
    <n v="27618.050697095365"/>
    <n v="24020.43"/>
    <n v="0"/>
    <n v="0"/>
    <n v="3597.6206970953644"/>
    <n v="0"/>
    <n v="0"/>
    <n v="0"/>
    <n v="24020"/>
    <n v="0"/>
    <n v="0"/>
    <n v="0"/>
    <n v="0"/>
  </r>
  <r>
    <x v="333"/>
    <s v="Gomukh Champa"/>
    <s v="vlc"/>
    <s v="Indirect"/>
    <n v="14200"/>
    <n v="521405"/>
    <n v="0"/>
    <n v="0"/>
    <n v="0"/>
    <n v="0"/>
    <n v="0"/>
    <n v="0"/>
    <n v="521405"/>
    <n v="0"/>
    <n v="0"/>
    <n v="0"/>
    <n v="0"/>
    <n v="0"/>
    <n v="0"/>
    <n v="0"/>
    <n v="0"/>
    <n v="521405"/>
    <n v="0"/>
    <n v="0"/>
  </r>
  <r>
    <x v="334"/>
    <s v="GOMUKH DAKRA"/>
    <s v="vlc"/>
    <s v="Indirect"/>
    <n v="14200"/>
    <n v="522895"/>
    <n v="0"/>
    <n v="0"/>
    <n v="0"/>
    <n v="0"/>
    <n v="0"/>
    <n v="0"/>
    <n v="522895"/>
    <n v="0"/>
    <n v="0"/>
    <n v="0"/>
    <n v="0"/>
    <n v="0"/>
    <n v="0"/>
    <n v="0"/>
    <n v="0"/>
    <n v="522895"/>
    <n v="0"/>
    <n v="0"/>
  </r>
  <r>
    <x v="335"/>
    <s v="TIYAY"/>
    <s v="MPG"/>
    <s v="Direct"/>
    <n v="322.59999999999997"/>
    <n v="11872.210000000003"/>
    <n v="349.6"/>
    <n v="13122.624200399998"/>
    <n v="0"/>
    <n v="0"/>
    <n v="349.6"/>
    <n v="13122.624200399998"/>
    <n v="11872.210000000003"/>
    <n v="0"/>
    <n v="0"/>
    <n v="1250.414200399995"/>
    <n v="0"/>
    <n v="0"/>
    <n v="0"/>
    <n v="11872"/>
    <n v="0"/>
    <n v="0"/>
    <n v="0"/>
    <n v="0"/>
  </r>
  <r>
    <x v="336"/>
    <s v="BILLO 2"/>
    <s v="MPG"/>
    <s v="Direct"/>
    <n v="329.7"/>
    <n v="11943.259999999997"/>
    <n v="382.90000000000003"/>
    <n v="13861.165812120002"/>
    <n v="0"/>
    <n v="0"/>
    <n v="382.90000000000003"/>
    <n v="13861.165812120002"/>
    <n v="11943.259999999997"/>
    <n v="0"/>
    <n v="0"/>
    <n v="1917.9058121200051"/>
    <n v="0"/>
    <n v="0"/>
    <n v="0"/>
    <n v="11943"/>
    <n v="0"/>
    <n v="0"/>
    <n v="0"/>
    <n v="0"/>
  </r>
  <r>
    <x v="337"/>
    <s v="NAWADIH 2"/>
    <s v="MPG"/>
    <s v="Direct"/>
    <n v="188.20000000000002"/>
    <n v="8299.119999999999"/>
    <n v="188.2"/>
    <n v="8421.7897288799995"/>
    <n v="0"/>
    <n v="0"/>
    <n v="188.2"/>
    <n v="8421.7897288799995"/>
    <n v="8299.119999999999"/>
    <n v="0"/>
    <n v="0"/>
    <n v="122.66972888000055"/>
    <n v="0"/>
    <n v="0"/>
    <n v="0"/>
    <n v="8299"/>
    <n v="0"/>
    <n v="0"/>
    <n v="0"/>
    <n v="0"/>
  </r>
  <r>
    <x v="338"/>
    <s v="Vishan Pur"/>
    <s v="MPG"/>
    <s v="Direct"/>
    <n v="946.0999999999998"/>
    <n v="35653.97"/>
    <n v="937.46999999999991"/>
    <n v="37016.029370548807"/>
    <n v="9.16"/>
    <n v="366.20719502399999"/>
    <n v="946.62999999999988"/>
    <n v="37382.236565572806"/>
    <n v="35653.97"/>
    <n v="0"/>
    <n v="366.20719502399999"/>
    <n v="1728.2665655728051"/>
    <n v="0"/>
    <n v="0"/>
    <n v="0"/>
    <n v="35288"/>
    <n v="0"/>
    <n v="0"/>
    <n v="0"/>
    <s v="Release2"/>
  </r>
  <r>
    <x v="339"/>
    <s v="Gomukh Madhawpur"/>
    <s v="MPG"/>
    <s v="Direct"/>
    <n v="1548.8"/>
    <n v="58096.009999999987"/>
    <n v="1608.5"/>
    <n v="68963.490944187011"/>
    <n v="7"/>
    <n v="326.57981373999996"/>
    <n v="1615.5"/>
    <n v="69290.070757927009"/>
    <n v="58096.009999999987"/>
    <n v="0"/>
    <n v="326.57981373999996"/>
    <n v="11194.060757927022"/>
    <n v="13000"/>
    <n v="0"/>
    <n v="0"/>
    <n v="44769"/>
    <n v="0"/>
    <n v="0"/>
    <n v="0"/>
    <n v="0"/>
  </r>
  <r>
    <x v="340"/>
    <s v="Gomukh Muradpur"/>
    <s v="vlc"/>
    <s v="Indirect"/>
    <n v="134.4"/>
    <n v="4485"/>
    <n v="0"/>
    <n v="0"/>
    <n v="0"/>
    <n v="0"/>
    <n v="0"/>
    <n v="0"/>
    <n v="4485"/>
    <n v="0"/>
    <n v="0"/>
    <n v="0"/>
    <n v="0"/>
    <n v="0"/>
    <n v="0"/>
    <n v="0"/>
    <n v="0"/>
    <n v="4485"/>
    <n v="0"/>
    <n v="0"/>
  </r>
  <r>
    <x v="341"/>
    <s v="Gomukh Kanhaiyachak Pachhim"/>
    <s v="MPG"/>
    <s v="Direct"/>
    <n v="1142.9000000000001"/>
    <n v="44885.89"/>
    <n v="1142.01"/>
    <n v="49517.437148683457"/>
    <n v="0"/>
    <n v="0"/>
    <n v="1142.01"/>
    <n v="49517.437148683457"/>
    <n v="44885.89"/>
    <n v="0"/>
    <n v="0"/>
    <n v="4631.5471486834576"/>
    <n v="0"/>
    <n v="0"/>
    <n v="0"/>
    <n v="44886"/>
    <n v="0"/>
    <n v="0"/>
    <n v="0"/>
    <n v="0"/>
  </r>
  <r>
    <x v="342"/>
    <s v="Gomukh Srirampur Thuthi"/>
    <s v="MPG"/>
    <s v="Direct"/>
    <n v="379.6"/>
    <n v="14536.68"/>
    <n v="406.64000000000004"/>
    <n v="15569.971455852001"/>
    <n v="0"/>
    <n v="0"/>
    <n v="406.64000000000004"/>
    <n v="15569.971455852001"/>
    <n v="14536.68"/>
    <n v="0"/>
    <n v="0"/>
    <n v="1033.2914558520006"/>
    <n v="0"/>
    <n v="0"/>
    <n v="0"/>
    <n v="14537"/>
    <n v="0"/>
    <n v="0"/>
    <n v="0"/>
    <s v="Release2"/>
  </r>
  <r>
    <x v="343"/>
    <s v="Gomukh Dumariya Bujurg Madhay"/>
    <s v="MPG"/>
    <s v="Direct"/>
    <n v="117.2"/>
    <n v="4773.2699999999995"/>
    <n v="120"/>
    <n v="5042.5345080000006"/>
    <n v="0"/>
    <n v="0"/>
    <n v="120"/>
    <n v="5042.5345080000006"/>
    <n v="4773.2699999999995"/>
    <n v="0"/>
    <n v="0"/>
    <n v="269.26450800000111"/>
    <n v="0"/>
    <n v="0"/>
    <n v="0"/>
    <n v="4773"/>
    <n v="0"/>
    <n v="0"/>
    <n v="0"/>
    <n v="0"/>
  </r>
  <r>
    <x v="344"/>
    <s v="Gomukh Bandahera                                                                                    "/>
    <s v="MPG"/>
    <s v="Direct"/>
    <n v="521.20000000000005"/>
    <n v="19297.43"/>
    <n v="521"/>
    <n v="21594.992562000003"/>
    <n v="0"/>
    <n v="0"/>
    <n v="521"/>
    <n v="21594.992562000003"/>
    <n v="19297.43"/>
    <n v="0"/>
    <n v="0"/>
    <n v="2297.5625620000028"/>
    <n v="0"/>
    <n v="0"/>
    <n v="0"/>
    <n v="19297"/>
    <n v="0"/>
    <n v="0"/>
    <n v="0"/>
    <n v="0"/>
  </r>
  <r>
    <x v="345"/>
    <s v="Gomukh Badi Lagar-1 Kiran"/>
    <s v="vlc"/>
    <s v="Indirect"/>
    <n v="300.8"/>
    <n v="10205.650000000001"/>
    <n v="0"/>
    <n v="0"/>
    <n v="0"/>
    <n v="0"/>
    <n v="0"/>
    <n v="0"/>
    <n v="10205.650000000001"/>
    <n v="0"/>
    <n v="0"/>
    <n v="0"/>
    <n v="0"/>
    <n v="1059.21810967742"/>
    <n v="0"/>
    <n v="0"/>
    <n v="0"/>
    <n v="9146.4318903225812"/>
    <n v="0"/>
    <n v="0"/>
  </r>
  <r>
    <x v="346"/>
    <s v="Gomukh Basudevpur"/>
    <s v="vlc"/>
    <s v="Indirect"/>
    <n v="72.099999999999994"/>
    <n v="2597.8999999999996"/>
    <n v="0"/>
    <n v="0"/>
    <n v="0"/>
    <n v="0"/>
    <n v="0"/>
    <n v="0"/>
    <n v="2597.8999999999996"/>
    <n v="0"/>
    <n v="0"/>
    <n v="0"/>
    <n v="0"/>
    <n v="0"/>
    <n v="0"/>
    <n v="0"/>
    <n v="0"/>
    <n v="2597.8999999999996"/>
    <n v="0"/>
    <n v="0"/>
  </r>
  <r>
    <x v="347"/>
    <s v="Gomukh Tehay"/>
    <s v="MPG"/>
    <s v="Direct"/>
    <n v="169.4"/>
    <n v="8400.7800000000007"/>
    <n v="209.1"/>
    <n v="10474.7191596755"/>
    <n v="0"/>
    <n v="0"/>
    <n v="209.1"/>
    <n v="10474.7191596755"/>
    <n v="8400.7800000000007"/>
    <n v="0"/>
    <n v="0"/>
    <n v="2073.9391596754995"/>
    <n v="0"/>
    <n v="0"/>
    <n v="0"/>
    <n v="8401"/>
    <n v="0"/>
    <n v="0"/>
    <n v="0"/>
    <n v="0"/>
  </r>
  <r>
    <x v="348"/>
    <s v="Gomukh Buddhnagar"/>
    <s v="vlc"/>
    <s v="Indirect"/>
    <n v="1135.7"/>
    <n v="41655.479999999996"/>
    <n v="0"/>
    <n v="0"/>
    <n v="0"/>
    <n v="0"/>
    <n v="0"/>
    <n v="0"/>
    <n v="41655.479999999996"/>
    <n v="0"/>
    <n v="0"/>
    <n v="0"/>
    <n v="0"/>
    <n v="0"/>
    <n v="0"/>
    <n v="0"/>
    <n v="0"/>
    <n v="41655.479999999996"/>
    <n v="0"/>
    <n v="0"/>
  </r>
  <r>
    <x v="349"/>
    <s v="Gomukh Govind Pur"/>
    <s v="MPG"/>
    <s v="Direct"/>
    <n v="225.8"/>
    <n v="8158.92"/>
    <n v="125.8"/>
    <n v="4550.0722264800006"/>
    <n v="0"/>
    <n v="0"/>
    <n v="125.8"/>
    <n v="4550.0722264800006"/>
    <n v="4550.0722264800006"/>
    <n v="0"/>
    <n v="0"/>
    <n v="0"/>
    <n v="0"/>
    <n v="333.85"/>
    <n v="0"/>
    <n v="4216"/>
    <n v="0"/>
    <n v="0"/>
    <n v="3609"/>
    <s v="Release1"/>
  </r>
  <r>
    <x v="350"/>
    <s v="Gomukh Sondiha"/>
    <s v="MPG"/>
    <s v="Direct"/>
    <n v="1142.3999999999999"/>
    <n v="42419.78"/>
    <n v="1280.5"/>
    <n v="47653.458474599996"/>
    <n v="0.5"/>
    <n v="16.441095330000003"/>
    <n v="1281"/>
    <n v="47669.899569929999"/>
    <n v="42419.78"/>
    <n v="0"/>
    <n v="16.441095330000003"/>
    <n v="5250.1195699300006"/>
    <n v="0"/>
    <n v="0"/>
    <n v="0"/>
    <n v="42403"/>
    <n v="0"/>
    <n v="0"/>
    <n v="0"/>
    <n v="0"/>
  </r>
  <r>
    <x v="351"/>
    <s v="Gomukh Thebhay B"/>
    <s v="MPG"/>
    <s v="Direct"/>
    <n v="262.99999999999994"/>
    <n v="11205.42"/>
    <n v="485.43"/>
    <n v="19652.882300550646"/>
    <n v="3.1100000000000003"/>
    <n v="123.08282751600001"/>
    <n v="488.54"/>
    <n v="19775.965128066644"/>
    <n v="11205.42"/>
    <n v="0"/>
    <n v="123.08282751600001"/>
    <n v="8570.5451280666439"/>
    <n v="0"/>
    <n v="0"/>
    <n v="0"/>
    <n v="11082"/>
    <n v="0"/>
    <n v="0"/>
    <n v="0"/>
    <n v="0"/>
  </r>
  <r>
    <x v="352"/>
    <s v="Gomukh Baisa"/>
    <s v="MPG"/>
    <s v="Direct"/>
    <n v="291.70000000000005"/>
    <n v="10440.369999999999"/>
    <n v="292"/>
    <n v="10911.856107240001"/>
    <n v="0"/>
    <n v="0"/>
    <n v="292"/>
    <n v="10911.856107240001"/>
    <n v="10440.369999999999"/>
    <n v="0"/>
    <n v="0"/>
    <n v="471.48610724000173"/>
    <n v="0"/>
    <n v="0"/>
    <n v="0"/>
    <n v="10440"/>
    <n v="0"/>
    <n v="0"/>
    <n v="0"/>
    <n v="0"/>
  </r>
  <r>
    <x v="353"/>
    <s v="Gomukh Bhorkanth Purbi"/>
    <s v="MPG"/>
    <s v="Direct"/>
    <n v="56.900000000000013"/>
    <n v="2002.62"/>
    <n v="0"/>
    <n v="0"/>
    <n v="0"/>
    <n v="0"/>
    <n v="0"/>
    <n v="0"/>
    <n v="0"/>
    <n v="0"/>
    <n v="0"/>
    <n v="0"/>
    <n v="0"/>
    <n v="0"/>
    <n v="0"/>
    <n v="0"/>
    <n v="0"/>
    <n v="0"/>
    <n v="2003"/>
    <n v="0"/>
  </r>
  <r>
    <x v="354"/>
    <s v="Gomukh Khutha VLC"/>
    <s v="vlc"/>
    <s v="Indirect"/>
    <n v="8220.0000000000018"/>
    <n v="323369.08"/>
    <n v="0"/>
    <n v="0"/>
    <n v="0"/>
    <n v="0"/>
    <n v="0"/>
    <n v="0"/>
    <n v="323369.08"/>
    <n v="0"/>
    <n v="0"/>
    <n v="0"/>
    <n v="0"/>
    <n v="0"/>
    <n v="0"/>
    <n v="0"/>
    <n v="0"/>
    <n v="323369.08"/>
    <n v="0"/>
    <n v="0"/>
  </r>
  <r>
    <x v="355"/>
    <s v="Gomukh Kabela Vlc"/>
    <s v="vlc"/>
    <s v="Indirect"/>
    <n v="923.9"/>
    <n v="33575.060000000005"/>
    <n v="0"/>
    <n v="0"/>
    <n v="0"/>
    <n v="0"/>
    <n v="0"/>
    <n v="0"/>
    <n v="33575.060000000005"/>
    <n v="0"/>
    <n v="0"/>
    <n v="0"/>
    <n v="0"/>
    <n v="0"/>
    <n v="0"/>
    <n v="0"/>
    <n v="0"/>
    <n v="33575.060000000005"/>
    <n v="0"/>
    <n v="0"/>
  </r>
  <r>
    <x v="356"/>
    <s v="Gomukh Madhabpur Purbi Vlc"/>
    <s v="vlc"/>
    <s v="Indirect"/>
    <n v="31.4"/>
    <n v="1070.75"/>
    <n v="0"/>
    <n v="0"/>
    <n v="0"/>
    <n v="0"/>
    <n v="0"/>
    <n v="0"/>
    <n v="1070.75"/>
    <n v="0"/>
    <n v="0"/>
    <n v="0"/>
    <n v="0"/>
    <n v="0"/>
    <n v="0"/>
    <n v="0"/>
    <n v="0"/>
    <n v="1070.75"/>
    <n v="0"/>
    <n v="0"/>
  </r>
  <r>
    <x v="357"/>
    <s v="Gomukh Manish Vlc"/>
    <s v="vlc"/>
    <s v="Indirect"/>
    <n v="2601.7000000000003"/>
    <n v="117220.48"/>
    <n v="0"/>
    <n v="0"/>
    <n v="0"/>
    <n v="0"/>
    <n v="0"/>
    <n v="0"/>
    <n v="117220.48"/>
    <n v="0"/>
    <n v="0"/>
    <n v="0"/>
    <n v="0"/>
    <n v="0"/>
    <n v="0"/>
    <n v="0"/>
    <n v="0"/>
    <n v="117220.48"/>
    <n v="0"/>
    <n v="0"/>
  </r>
  <r>
    <x v="358"/>
    <s v="Gomukh Mahendrapur"/>
    <s v="MPG"/>
    <s v="Direct"/>
    <n v="1916.8"/>
    <n v="75309.17"/>
    <n v="1910.7000000000003"/>
    <n v="76466.366314549901"/>
    <n v="39"/>
    <n v="1568.9956391999999"/>
    <n v="1949.7000000000003"/>
    <n v="78035.361953749903"/>
    <n v="75309.17"/>
    <n v="0"/>
    <n v="1568.9956391999999"/>
    <n v="2726.1919537499052"/>
    <n v="2600"/>
    <n v="0"/>
    <n v="0"/>
    <n v="71140"/>
    <n v="0"/>
    <n v="0"/>
    <n v="0"/>
    <n v="0"/>
  </r>
  <r>
    <x v="359"/>
    <s v="Gomukh Balahpur"/>
    <s v="MPG"/>
    <s v="Direct"/>
    <n v="357.00000000000006"/>
    <n v="12575.389999999998"/>
    <n v="360.69999999999993"/>
    <n v="13091.75845164"/>
    <n v="0"/>
    <n v="0"/>
    <n v="360.69999999999993"/>
    <n v="13091.75845164"/>
    <n v="12575.389999999998"/>
    <n v="0"/>
    <n v="0"/>
    <n v="516.3684516400026"/>
    <n v="0"/>
    <n v="0"/>
    <n v="0"/>
    <n v="12575"/>
    <n v="0"/>
    <n v="0"/>
    <n v="0"/>
    <n v="0"/>
  </r>
  <r>
    <x v="360"/>
    <s v="Gomukh Danauli"/>
    <s v="MPG"/>
    <s v="Direct"/>
    <n v="545.5"/>
    <n v="20276.46"/>
    <n v="545.29999999999995"/>
    <n v="20247.688470240002"/>
    <n v="1.4000000000000001"/>
    <n v="52.101917999999998"/>
    <n v="546.69999999999993"/>
    <n v="20299.790388240002"/>
    <n v="20276.46"/>
    <n v="0"/>
    <n v="52.101917999999998"/>
    <n v="23.330388240003231"/>
    <n v="0"/>
    <n v="0"/>
    <n v="0"/>
    <n v="20224"/>
    <n v="0"/>
    <n v="0"/>
    <n v="0"/>
    <n v="0"/>
  </r>
  <r>
    <x v="361"/>
    <s v="NAYAGAW"/>
    <s v="MPG"/>
    <s v="Direct"/>
    <n v="4335.5"/>
    <n v="176829.06999999998"/>
    <n v="4303.1499999999996"/>
    <n v="176042.98326843281"/>
    <n v="30.560000000000002"/>
    <n v="2219.6385274160398"/>
    <n v="4333.71"/>
    <n v="178262.62179584886"/>
    <n v="176829.06999999998"/>
    <n v="0"/>
    <n v="2219.6385274160398"/>
    <n v="1433.5517958488781"/>
    <n v="0"/>
    <n v="0"/>
    <n v="0"/>
    <n v="174609"/>
    <n v="0"/>
    <n v="0"/>
    <n v="0"/>
    <n v="0"/>
  </r>
  <r>
    <x v="362"/>
    <s v="Dandari"/>
    <s v="MPG"/>
    <s v="Direct"/>
    <n v="957.40000000000009"/>
    <n v="35060.69"/>
    <n v="955"/>
    <n v="34973.177763744003"/>
    <n v="2.4"/>
    <n v="88.223370444000011"/>
    <n v="957.4"/>
    <n v="35061.401134188003"/>
    <n v="35060.69"/>
    <n v="0"/>
    <n v="88.223370444000011"/>
    <n v="0.71113418800086947"/>
    <n v="0"/>
    <n v="0"/>
    <n v="0"/>
    <n v="34972"/>
    <n v="0"/>
    <n v="0"/>
    <n v="0"/>
    <n v="0"/>
  </r>
  <r>
    <x v="363"/>
    <s v="Rahimpur Pachkhutti"/>
    <s v="vlc"/>
    <s v="Indirect"/>
    <n v="7306.8999999999987"/>
    <n v="279523"/>
    <n v="0"/>
    <n v="0"/>
    <n v="0"/>
    <n v="0"/>
    <n v="0"/>
    <n v="0"/>
    <n v="279523"/>
    <n v="0"/>
    <n v="0"/>
    <n v="0"/>
    <n v="0"/>
    <n v="0"/>
    <n v="0"/>
    <n v="0"/>
    <n v="0"/>
    <n v="279523"/>
    <n v="0"/>
    <n v="0"/>
  </r>
  <r>
    <x v="364"/>
    <s v="Gomukh Mohanpur                                                                                     "/>
    <s v="MPG"/>
    <s v="Direct"/>
    <n v="969.6"/>
    <n v="35693.659999999996"/>
    <n v="976"/>
    <n v="36413.106166800004"/>
    <n v="1.5"/>
    <n v="55.758399839999996"/>
    <n v="977.5"/>
    <n v="36468.864566640004"/>
    <n v="35693.659999999996"/>
    <n v="0"/>
    <n v="55.758399839999996"/>
    <n v="775.20456664000812"/>
    <n v="0"/>
    <n v="0"/>
    <n v="0"/>
    <n v="35638"/>
    <n v="0"/>
    <n v="0"/>
    <n v="0"/>
    <n v="0"/>
  </r>
  <r>
    <x v="365"/>
    <s v="Gomukh Raghunathpur"/>
    <s v="MPG"/>
    <s v="Direct"/>
    <n v="1038.9000000000001"/>
    <n v="46876.380000000019"/>
    <n v="1057.1000000000001"/>
    <n v="46069.700992591024"/>
    <n v="17.8"/>
    <n v="769.70691121350012"/>
    <n v="1074.9000000000001"/>
    <n v="46839.407903804524"/>
    <n v="46839.407903804524"/>
    <n v="0"/>
    <n v="769.70691121350012"/>
    <n v="0"/>
    <n v="0"/>
    <n v="0"/>
    <n v="0"/>
    <n v="46067"/>
    <n v="0"/>
    <n v="0"/>
    <n v="40"/>
    <n v="0"/>
  </r>
  <r>
    <x v="366"/>
    <s v="Gomukh Chhitraur"/>
    <s v="MPG"/>
    <s v="Direct"/>
    <n v="1160.9000000000001"/>
    <n v="47259.289999999994"/>
    <n v="1161.76"/>
    <n v="49514.043122849449"/>
    <n v="0"/>
    <n v="0"/>
    <n v="1161.76"/>
    <n v="49514.043122849449"/>
    <n v="47259.289999999994"/>
    <n v="0"/>
    <n v="0"/>
    <n v="2254.7531228494554"/>
    <n v="0"/>
    <n v="0"/>
    <n v="0"/>
    <n v="47259"/>
    <n v="0"/>
    <n v="0"/>
    <n v="0"/>
    <n v="0"/>
  </r>
  <r>
    <x v="367"/>
    <s v="Gomukh Khorampur Chakaur"/>
    <s v="MPG"/>
    <s v="Direct"/>
    <n v="738.3"/>
    <n v="29709.849999999995"/>
    <n v="739.6"/>
    <n v="29894.8170312"/>
    <n v="3.3"/>
    <n v="133.8121026"/>
    <n v="742.9"/>
    <n v="30028.629133800001"/>
    <n v="29709.849999999995"/>
    <n v="0"/>
    <n v="133.8121026"/>
    <n v="318.77913380000609"/>
    <n v="0"/>
    <n v="0"/>
    <n v="0"/>
    <n v="29576"/>
    <n v="0"/>
    <n v="0"/>
    <n v="0"/>
    <n v="0"/>
  </r>
  <r>
    <x v="368"/>
    <s v="GOMUKH Mathar"/>
    <s v="MPG"/>
    <s v="Direct"/>
    <n v="79.3"/>
    <n v="3139.5"/>
    <n v="56.670000000000009"/>
    <n v="2108.3858446681797"/>
    <n v="0.8899999999999999"/>
    <n v="33.25815144036001"/>
    <n v="57.560000000000009"/>
    <n v="2141.6439961085398"/>
    <n v="2141.6439961085398"/>
    <n v="0"/>
    <n v="33.25815144036001"/>
    <n v="0"/>
    <n v="0"/>
    <n v="34.380000000000003"/>
    <n v="0"/>
    <n v="2074"/>
    <n v="0"/>
    <n v="0"/>
    <n v="998"/>
    <s v="Release1"/>
  </r>
  <r>
    <x v="369"/>
    <s v="Gomukh Kumar Chakki"/>
    <s v="MPG"/>
    <s v="Direct"/>
    <n v="266.90000000000003"/>
    <n v="9727.6299999999992"/>
    <n v="264.89999999999998"/>
    <n v="9879.7422715200009"/>
    <n v="0.79999999999999993"/>
    <n v="29.846048760000006"/>
    <n v="265.7"/>
    <n v="9909.5883202800014"/>
    <n v="9727.6299999999992"/>
    <n v="0"/>
    <n v="29.846048760000006"/>
    <n v="181.95832028000223"/>
    <n v="0"/>
    <n v="252.93967499999971"/>
    <n v="0"/>
    <n v="9445"/>
    <n v="0"/>
    <n v="0"/>
    <n v="0"/>
    <n v="0"/>
  </r>
  <r>
    <x v="370"/>
    <s v="Gomukh Sonapur"/>
    <s v="vlc"/>
    <s v="Indirect"/>
    <n v="427.20000000000005"/>
    <n v="16372.1"/>
    <n v="0"/>
    <n v="0"/>
    <n v="0"/>
    <n v="0"/>
    <n v="0"/>
    <n v="0"/>
    <n v="16372.1"/>
    <n v="0"/>
    <n v="0"/>
    <n v="0"/>
    <n v="0"/>
    <n v="179.37150967741928"/>
    <n v="0"/>
    <n v="0"/>
    <n v="0"/>
    <n v="16192.728490322581"/>
    <n v="0"/>
    <n v="0"/>
  </r>
  <r>
    <x v="371"/>
    <s v="Gomukh Barkhandi 2"/>
    <s v="MPG"/>
    <s v="Indirect"/>
    <n v="530"/>
    <n v="21269.3"/>
    <n v="0"/>
    <n v="0"/>
    <n v="0"/>
    <n v="0"/>
    <n v="0"/>
    <n v="0"/>
    <n v="21269.3"/>
    <n v="0"/>
    <n v="0"/>
    <n v="0"/>
    <n v="0"/>
    <n v="827.95254193548305"/>
    <n v="0"/>
    <n v="0"/>
    <n v="0"/>
    <n v="20441.347458064516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829.6"/>
    <n v="31569.4"/>
    <n v="818.5"/>
    <n v="31267.74102804"/>
    <n v="23.700000000000006"/>
    <n v="900.88664688000006"/>
    <n v="842.2"/>
    <n v="32168.627674920001"/>
    <n v="31569.4"/>
    <n v="0"/>
    <n v="900.88664688000006"/>
    <n v="599.22767491999912"/>
    <n v="0"/>
    <n v="0"/>
    <n v="0"/>
    <n v="30669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697.1"/>
    <n v="26901.94"/>
    <n v="697.1"/>
    <n v="26889.140171550804"/>
    <n v="0"/>
    <n v="0"/>
    <n v="697.1"/>
    <n v="26889.140171550804"/>
    <n v="26889.140171550804"/>
    <n v="0"/>
    <n v="0"/>
    <n v="0"/>
    <n v="0"/>
    <n v="2310.11"/>
    <n v="0"/>
    <n v="24579"/>
    <n v="0"/>
    <n v="0"/>
    <n v="13"/>
    <s v="Release1"/>
  </r>
  <r>
    <x v="374"/>
    <s v="GOMUKH KATAHRI"/>
    <s v="MPG"/>
    <s v="Direct"/>
    <n v="93.4"/>
    <n v="4293.07"/>
    <n v="93.3"/>
    <n v="4162.6077790310001"/>
    <n v="1.8"/>
    <n v="81.814760798300014"/>
    <n v="95.1"/>
    <n v="4244.4225398293001"/>
    <n v="4244.4225398293001"/>
    <n v="0"/>
    <n v="81.814760798300014"/>
    <n v="0"/>
    <n v="0"/>
    <n v="9.1000499999999693"/>
    <n v="0"/>
    <n v="4154"/>
    <n v="0"/>
    <n v="0"/>
    <n v="48"/>
    <n v="0"/>
  </r>
  <r>
    <x v="375"/>
    <s v="GOMUKH Mathar Ward 10"/>
    <s v="MPG"/>
    <s v="Direct"/>
    <n v="680.9"/>
    <n v="28876.71"/>
    <n v="583.36000000000013"/>
    <n v="25211.958062605798"/>
    <n v="199.02"/>
    <n v="8235.7661778479996"/>
    <n v="782.38000000000011"/>
    <n v="33447.724240453797"/>
    <n v="28876.71"/>
    <n v="0"/>
    <n v="0"/>
    <n v="4571.0142404537983"/>
    <n v="0"/>
    <n v="0"/>
    <n v="0"/>
    <n v="20641"/>
    <n v="8236"/>
    <n v="0"/>
    <n v="0"/>
    <s v="Release1"/>
  </r>
  <r>
    <x v="376"/>
    <s v="GOMUKH Tartor 2"/>
    <s v="MPG"/>
    <s v="Direct"/>
    <n v="281.19999999999993"/>
    <n v="12282.68"/>
    <n v="291.3"/>
    <n v="13653.156236445"/>
    <n v="0"/>
    <n v="0"/>
    <n v="291.3"/>
    <n v="13653.156236445"/>
    <n v="12282.68"/>
    <n v="0"/>
    <n v="0"/>
    <n v="1370.4762364449998"/>
    <n v="0"/>
    <n v="0"/>
    <n v="0"/>
    <n v="12283"/>
    <n v="0"/>
    <n v="0"/>
    <n v="0"/>
    <s v="Release1"/>
  </r>
  <r>
    <x v="377"/>
    <s v="Gomukh Chaidha"/>
    <s v="MPG"/>
    <s v="Direct"/>
    <n v="1125.6000000000001"/>
    <n v="43861.63"/>
    <n v="1121.1799999999998"/>
    <n v="43822.259030642403"/>
    <n v="5.2800000000000011"/>
    <n v="193.6528396704"/>
    <n v="1126.4599999999998"/>
    <n v="44015.911870312804"/>
    <n v="43861.63"/>
    <n v="0"/>
    <n v="193.6528396704"/>
    <n v="154.28187031280686"/>
    <n v="0"/>
    <n v="0"/>
    <n v="0"/>
    <n v="43668"/>
    <n v="0"/>
    <n v="0"/>
    <n v="0"/>
    <n v="0"/>
  </r>
  <r>
    <x v="378"/>
    <s v="Gomukh Bakiya"/>
    <s v="MPG"/>
    <s v="Direct"/>
    <n v="1006"/>
    <n v="40526.46"/>
    <n v="1000.3600000000001"/>
    <n v="40057.075910791289"/>
    <n v="4.76"/>
    <n v="190.72406548800004"/>
    <n v="1005.1200000000001"/>
    <n v="40247.79997627929"/>
    <n v="40247.79997627929"/>
    <n v="0"/>
    <n v="190.72406548800004"/>
    <n v="0"/>
    <n v="0"/>
    <n v="0"/>
    <n v="0"/>
    <n v="40057"/>
    <n v="0"/>
    <n v="0"/>
    <n v="279"/>
    <n v="0"/>
  </r>
  <r>
    <x v="379"/>
    <s v="Gomukh Sadpur"/>
    <s v="MPG"/>
    <s v="Direct"/>
    <n v="19.3"/>
    <n v="711.01"/>
    <n v="19"/>
    <n v="700.00162253999997"/>
    <n v="0"/>
    <n v="0"/>
    <n v="19"/>
    <n v="700.00162253999997"/>
    <n v="700.00162253999997"/>
    <n v="0"/>
    <n v="0"/>
    <n v="0"/>
    <n v="0"/>
    <n v="432.97"/>
    <n v="0"/>
    <n v="267"/>
    <n v="0"/>
    <n v="0"/>
    <n v="11"/>
    <s v="Release1"/>
  </r>
  <r>
    <x v="380"/>
    <s v="GOMUKH Nista Tol"/>
    <s v="MPG"/>
    <s v="Direct"/>
    <n v="67.5"/>
    <n v="2480.94"/>
    <n v="57.370000000000005"/>
    <n v="2014.8255947160001"/>
    <n v="0"/>
    <n v="0"/>
    <n v="57.370000000000005"/>
    <n v="2014.8255947160001"/>
    <n v="2014.8255947160001"/>
    <n v="0"/>
    <n v="0"/>
    <n v="0"/>
    <n v="0"/>
    <n v="556.42999999999995"/>
    <n v="0"/>
    <n v="1458"/>
    <n v="0"/>
    <n v="0"/>
    <n v="467"/>
    <s v="Release1"/>
  </r>
  <r>
    <x v="381"/>
    <s v="GOMUKH SRINAGAR"/>
    <s v="MPG"/>
    <s v="Direct"/>
    <n v="1501.2999999999997"/>
    <n v="61524.36"/>
    <n v="1225.7199999999998"/>
    <n v="52627.544236069218"/>
    <n v="293.44"/>
    <n v="12006.156079619648"/>
    <n v="1519.1599999999999"/>
    <n v="64633.700315688868"/>
    <n v="61524.36"/>
    <n v="0"/>
    <n v="177.093996777"/>
    <n v="3109.3403156888671"/>
    <n v="0"/>
    <n v="0"/>
    <n v="0"/>
    <n v="49517"/>
    <n v="11830"/>
    <n v="0"/>
    <n v="0"/>
    <s v="Release1"/>
  </r>
  <r>
    <x v="382"/>
    <s v="GOMUKH THATHA"/>
    <s v="MPG"/>
    <s v="Direct"/>
    <n v="457.8"/>
    <n v="15299.9"/>
    <n v="465.2"/>
    <n v="15559.641302040001"/>
    <n v="0"/>
    <n v="0"/>
    <n v="465.2"/>
    <n v="15559.641302040001"/>
    <n v="15299.9"/>
    <n v="0"/>
    <n v="0"/>
    <n v="259.74130204000176"/>
    <n v="0"/>
    <n v="0"/>
    <n v="0"/>
    <n v="15300"/>
    <n v="0"/>
    <n v="0"/>
    <n v="0"/>
    <n v="0"/>
  </r>
  <r>
    <x v="383"/>
    <s v="GOMUKH SANHA NAYATOLA"/>
    <s v="MPG"/>
    <s v="Direct"/>
    <n v="263.3"/>
    <n v="9746.43"/>
    <n v="263"/>
    <n v="9755.4806712000009"/>
    <n v="0"/>
    <n v="0"/>
    <n v="263"/>
    <n v="9755.4806712000009"/>
    <n v="9746.43"/>
    <n v="0"/>
    <n v="0"/>
    <n v="9.0506712000005791"/>
    <n v="0"/>
    <n v="522.96"/>
    <n v="0"/>
    <n v="9223"/>
    <n v="0"/>
    <n v="0"/>
    <n v="0"/>
    <s v="Release1"/>
  </r>
  <r>
    <x v="384"/>
    <s v="Gomukh Durgapur"/>
    <s v="MPG"/>
    <s v="Direct"/>
    <n v="377.5"/>
    <n v="14512.73"/>
    <n v="380.5"/>
    <n v="14895.680944320004"/>
    <n v="1.4"/>
    <n v="54.068735160000003"/>
    <n v="381.9"/>
    <n v="14949.749679480004"/>
    <n v="14512.73"/>
    <n v="0"/>
    <n v="54.068735160000003"/>
    <n v="437.01967948000492"/>
    <n v="0"/>
    <n v="0"/>
    <n v="0"/>
    <n v="14459"/>
    <n v="0"/>
    <n v="0"/>
    <n v="0"/>
    <n v="0"/>
  </r>
  <r>
    <x v="385"/>
    <s v="Gomukh Koniya"/>
    <s v="MPG"/>
    <s v="Direct"/>
    <n v="443.09999999999997"/>
    <n v="15906"/>
    <n v="506.49999999999994"/>
    <n v="19856.386210320001"/>
    <n v="12"/>
    <n v="467.8209756"/>
    <n v="518.5"/>
    <n v="20324.20718592"/>
    <n v="15906"/>
    <n v="0"/>
    <n v="467.8209756"/>
    <n v="4418.2071859200005"/>
    <n v="0"/>
    <n v="0"/>
    <n v="0"/>
    <n v="15438"/>
    <n v="0"/>
    <n v="0"/>
    <n v="0"/>
    <n v="0"/>
  </r>
  <r>
    <x v="386"/>
    <s v="GOMUKH ROHUA"/>
    <s v="MPG"/>
    <s v="Direct"/>
    <n v="408.5"/>
    <n v="15257.789999999997"/>
    <n v="415.62"/>
    <n v="15030.457025542204"/>
    <n v="5.879999999999999"/>
    <n v="217.55307142800004"/>
    <n v="421.5"/>
    <n v="15248.010096970203"/>
    <n v="15248.010096970203"/>
    <n v="0"/>
    <n v="217.55307142800004"/>
    <n v="0"/>
    <n v="0"/>
    <n v="0"/>
    <n v="0"/>
    <n v="15031"/>
    <n v="0"/>
    <n v="0"/>
    <n v="9"/>
    <n v="0"/>
  </r>
  <r>
    <x v="387"/>
    <s v="GOMUKH LAXMIPUR"/>
    <s v="MPG"/>
    <s v="Direct"/>
    <n v="408.29999999999995"/>
    <n v="18635.04"/>
    <n v="412.21999999999997"/>
    <n v="18988.629028029522"/>
    <n v="7.03"/>
    <n v="319.92851437470006"/>
    <n v="419.24999999999994"/>
    <n v="19308.557542404222"/>
    <n v="18635.04"/>
    <n v="0"/>
    <n v="319.92851437470006"/>
    <n v="673.51754240422088"/>
    <n v="0"/>
    <n v="0"/>
    <n v="0"/>
    <n v="18315"/>
    <n v="0"/>
    <n v="0"/>
    <n v="0"/>
    <s v="Release1"/>
  </r>
  <r>
    <x v="388"/>
    <s v="GOMUKH BACHOTA"/>
    <s v="MPG"/>
    <s v="Direct"/>
    <n v="100.60000000000001"/>
    <n v="4399.37"/>
    <n v="101.48999999999998"/>
    <n v="4207.5304815456002"/>
    <n v="0.74"/>
    <n v="30.082294835999999"/>
    <n v="102.22999999999998"/>
    <n v="4237.6127763816003"/>
    <n v="4237.6127763816003"/>
    <n v="0"/>
    <n v="30.082294835999999"/>
    <n v="0"/>
    <n v="0"/>
    <n v="225.8790000000001"/>
    <n v="0"/>
    <n v="3982"/>
    <n v="0"/>
    <n v="0"/>
    <n v="161"/>
    <n v="0"/>
  </r>
  <r>
    <x v="389"/>
    <s v="GOMUKH CHATAR"/>
    <s v="MPG"/>
    <s v="Direct"/>
    <n v="168.99999999999994"/>
    <n v="6973.72"/>
    <n v="158.6"/>
    <n v="6537.1603294800007"/>
    <n v="0"/>
    <n v="0"/>
    <n v="158.6"/>
    <n v="6537.1603294800007"/>
    <n v="6537.1603294800007"/>
    <n v="0"/>
    <n v="0"/>
    <n v="0"/>
    <n v="0"/>
    <n v="0"/>
    <n v="0"/>
    <n v="6537"/>
    <n v="0"/>
    <n v="0"/>
    <n v="437"/>
    <n v="0"/>
  </r>
  <r>
    <x v="390"/>
    <s v="GOMUKH BATHNAMA"/>
    <s v="MPG"/>
    <s v="Direct"/>
    <n v="3656.4999999999995"/>
    <n v="147744.75"/>
    <n v="3871.5399999999991"/>
    <n v="158285.82973307505"/>
    <n v="6.3999999999999995"/>
    <n v="262.10610835200004"/>
    <n v="3877.9399999999991"/>
    <n v="158547.93584142704"/>
    <n v="147744.75"/>
    <n v="0"/>
    <n v="262.10610835200004"/>
    <n v="10803.185841427039"/>
    <n v="4394"/>
    <n v="0"/>
    <n v="0"/>
    <n v="143089"/>
    <n v="0"/>
    <n v="0"/>
    <n v="0"/>
    <n v="0"/>
  </r>
  <r>
    <x v="391"/>
    <s v="GOMUKH TILAK NAGAR"/>
    <s v="MPG"/>
    <s v="Direct"/>
    <n v="274.10000000000002"/>
    <n v="11246.12"/>
    <n v="257.20999999999998"/>
    <n v="11682.285196511461"/>
    <n v="5.4999999999999991"/>
    <n v="260.56773603335006"/>
    <n v="262.70999999999998"/>
    <n v="11942.852932544811"/>
    <n v="11246.12"/>
    <n v="0"/>
    <n v="260.56773603335006"/>
    <n v="696.73293254480996"/>
    <n v="0"/>
    <n v="0"/>
    <n v="0"/>
    <n v="10986"/>
    <n v="0"/>
    <n v="0"/>
    <n v="0"/>
    <n v="0"/>
  </r>
  <r>
    <x v="392"/>
    <s v="Gomukh Thatha Purvi"/>
    <s v="MPG"/>
    <s v="Direct"/>
    <n v="392.4"/>
    <n v="14412.839999999998"/>
    <n v="435.80999999999995"/>
    <n v="16063.587245175842"/>
    <n v="0"/>
    <n v="0"/>
    <n v="435.80999999999995"/>
    <n v="16063.587245175842"/>
    <n v="14412.839999999998"/>
    <n v="0"/>
    <n v="0"/>
    <n v="1650.747245175844"/>
    <n v="0"/>
    <n v="0"/>
    <n v="0"/>
    <n v="14413"/>
    <n v="0"/>
    <n v="0"/>
    <n v="0"/>
    <n v="0"/>
  </r>
  <r>
    <x v="393"/>
    <s v="Gomukh Rahimpur Dakshin"/>
    <s v="MPG"/>
    <s v="Direct"/>
    <n v="5127.6999999999989"/>
    <n v="198450.26"/>
    <n v="1188.28"/>
    <n v="51839.051559707761"/>
    <n v="3914.7"/>
    <n v="149970.34469340002"/>
    <n v="5102.9799999999996"/>
    <n v="201809.39625310779"/>
    <n v="198450.26"/>
    <n v="0"/>
    <n v="333.40216139999995"/>
    <n v="3359.1362531077757"/>
    <n v="0"/>
    <n v="0"/>
    <n v="0"/>
    <n v="48480"/>
    <n v="149637"/>
    <n v="0"/>
    <n v="0"/>
    <n v="0"/>
  </r>
  <r>
    <x v="394"/>
    <s v="GOMUKH MORKAHI"/>
    <s v="MPG"/>
    <s v="Direct"/>
    <n v="267.5"/>
    <n v="11341.97"/>
    <n v="267.85000000000002"/>
    <n v="11356.323884996404"/>
    <n v="1.4000000000000001"/>
    <n v="58.678345493100018"/>
    <n v="269.25"/>
    <n v="11415.002230489503"/>
    <n v="11341.97"/>
    <n v="0"/>
    <n v="58.678345493100018"/>
    <n v="73.03223048950349"/>
    <n v="0"/>
    <n v="3.18"/>
    <n v="0"/>
    <n v="11280"/>
    <n v="0"/>
    <n v="0"/>
    <n v="0"/>
    <s v="Release1"/>
  </r>
  <r>
    <x v="395"/>
    <s v="GOMUKH HANSPUR"/>
    <s v="MPG"/>
    <s v="Direct"/>
    <n v="159.80000000000001"/>
    <n v="7325.24"/>
    <n v="159.18"/>
    <n v="8051.9794612536425"/>
    <n v="1.2400000000000002"/>
    <n v="79.731364855000024"/>
    <n v="160.42000000000002"/>
    <n v="8131.7108261086423"/>
    <n v="7325.24"/>
    <n v="0"/>
    <n v="79.731364855000024"/>
    <n v="806.47082610864254"/>
    <n v="544"/>
    <n v="74.39"/>
    <n v="0"/>
    <n v="6627"/>
    <n v="0"/>
    <n v="0"/>
    <n v="0"/>
    <s v="Release3"/>
  </r>
  <r>
    <x v="396"/>
    <s v="GOMUKH NAYAGAON 2"/>
    <s v="MPG"/>
    <s v="Direct"/>
    <n v="222.29999999999995"/>
    <n v="11732.409999999996"/>
    <n v="220.66"/>
    <n v="11671.107561402801"/>
    <n v="3.1800000000000006"/>
    <n v="194.41411134992001"/>
    <n v="223.84"/>
    <n v="11865.521672752722"/>
    <n v="11732.409999999996"/>
    <n v="0"/>
    <n v="194.41411134992001"/>
    <n v="133.11167275272601"/>
    <n v="0"/>
    <n v="0"/>
    <n v="0"/>
    <n v="11538"/>
    <n v="0"/>
    <n v="0"/>
    <n v="0"/>
    <n v="0"/>
  </r>
  <r>
    <x v="397"/>
    <s v="GOMUKH LABHGAON"/>
    <s v="MPG"/>
    <s v="Direct"/>
    <n v="524.19999999999993"/>
    <n v="19221.719999999998"/>
    <n v="528.87999999999988"/>
    <n v="18880.513315785007"/>
    <n v="0"/>
    <n v="0"/>
    <n v="528.87999999999988"/>
    <n v="18880.513315785007"/>
    <n v="18880.513315785007"/>
    <n v="0"/>
    <n v="0"/>
    <n v="0"/>
    <n v="0"/>
    <n v="0"/>
    <n v="0"/>
    <n v="18881"/>
    <n v="0"/>
    <n v="0"/>
    <n v="341"/>
    <n v="0"/>
  </r>
  <r>
    <x v="398"/>
    <s v="GOMUKH CHANDPURA"/>
    <s v="MPG"/>
    <s v="Direct"/>
    <n v="683.40000000000009"/>
    <n v="25072.510000000002"/>
    <n v="683.40000000000009"/>
    <n v="25039.640023199998"/>
    <n v="0"/>
    <n v="0"/>
    <n v="683.40000000000009"/>
    <n v="25039.640023199998"/>
    <n v="25039.640023199998"/>
    <n v="0"/>
    <n v="0"/>
    <n v="0"/>
    <n v="0"/>
    <n v="0"/>
    <n v="0"/>
    <n v="25040"/>
    <n v="0"/>
    <n v="0"/>
    <n v="33"/>
    <n v="0"/>
  </r>
  <r>
    <x v="399"/>
    <s v="GOMUKH BADIL TOL"/>
    <s v="MPG"/>
    <s v="Direct"/>
    <n v="527.29999999999995"/>
    <n v="20551.05"/>
    <n v="368.08"/>
    <n v="15194.068073939945"/>
    <n v="174.86999999999998"/>
    <n v="6699.1529805749915"/>
    <n v="542.94999999999993"/>
    <n v="21893.221054514936"/>
    <n v="20551.05"/>
    <n v="0"/>
    <n v="570.3827803524"/>
    <n v="1342.1710545149363"/>
    <n v="0"/>
    <n v="30.745500000000618"/>
    <n v="0"/>
    <n v="13821"/>
    <n v="6129"/>
    <n v="0"/>
    <n v="0"/>
    <n v="0"/>
  </r>
  <r>
    <x v="400"/>
    <s v="GOMUKH TRIBHUVAN TOLA"/>
    <s v="MPG"/>
    <s v="Direct"/>
    <n v="296.7"/>
    <n v="11322.099999999999"/>
    <n v="301.86"/>
    <n v="11870.99600411284"/>
    <n v="0"/>
    <n v="0"/>
    <n v="301.86"/>
    <n v="11870.99600411284"/>
    <n v="11322.099999999999"/>
    <n v="0"/>
    <n v="0"/>
    <n v="548.89600411284118"/>
    <n v="0"/>
    <n v="0"/>
    <n v="0"/>
    <n v="11322"/>
    <n v="0"/>
    <n v="0"/>
    <n v="0"/>
    <n v="0"/>
  </r>
  <r>
    <x v="401"/>
    <s v="GOMUKH SANTOSHPUL"/>
    <s v="MPG"/>
    <s v="Direct"/>
    <n v="1144.8"/>
    <n v="50071.6"/>
    <n v="35.299999999999997"/>
    <n v="1533.2495361281001"/>
    <n v="1109.5"/>
    <n v="48538.094059896001"/>
    <n v="1144.8"/>
    <n v="50071.343596024104"/>
    <n v="50071.343596024104"/>
    <n v="0"/>
    <n v="0"/>
    <n v="0"/>
    <n v="0"/>
    <n v="0"/>
    <n v="0"/>
    <n v="1533"/>
    <n v="48538"/>
    <n v="0"/>
    <n v="1"/>
    <n v="0"/>
  </r>
  <r>
    <x v="402"/>
    <s v="GOMUKH AHUNA"/>
    <s v="MPG"/>
    <s v="Direct"/>
    <n v="434.1"/>
    <n v="15652.87"/>
    <n v="439.42999999999995"/>
    <n v="15615.592591499999"/>
    <n v="0"/>
    <n v="0"/>
    <n v="439.42999999999995"/>
    <n v="15615.592591499999"/>
    <n v="15615.592591499999"/>
    <n v="0"/>
    <n v="0"/>
    <n v="0"/>
    <n v="0"/>
    <n v="0"/>
    <n v="0"/>
    <n v="15616"/>
    <n v="0"/>
    <n v="0"/>
    <n v="37"/>
    <n v="0"/>
  </r>
  <r>
    <x v="403"/>
    <s v="GOMUKH SHADIPUR"/>
    <s v="MPG"/>
    <s v="Direct"/>
    <n v="883.30000000000018"/>
    <n v="35565.939999999995"/>
    <n v="902.45999999999981"/>
    <n v="35868.284040117098"/>
    <n v="8.6300000000000008"/>
    <n v="321.96133767600003"/>
    <n v="911.0899999999998"/>
    <n v="36190.2453777931"/>
    <n v="35565.939999999995"/>
    <n v="0"/>
    <n v="321.96133767600003"/>
    <n v="624.30537779310544"/>
    <n v="12621"/>
    <n v="0"/>
    <n v="0"/>
    <n v="22623"/>
    <n v="0"/>
    <n v="0"/>
    <n v="0"/>
    <n v="0"/>
  </r>
  <r>
    <x v="404"/>
    <s v="GOMUKH ASHRAPHA DIYARA"/>
    <s v="MPG"/>
    <s v="Direct"/>
    <n v="640.19999999999993"/>
    <n v="25889.88"/>
    <n v="632.03"/>
    <n v="25853.342249666097"/>
    <n v="8.24"/>
    <n v="354.02106834299997"/>
    <n v="640.27"/>
    <n v="26207.363318009098"/>
    <n v="25889.88"/>
    <n v="0"/>
    <n v="354.02106834299997"/>
    <n v="317.48331800909727"/>
    <n v="5400"/>
    <n v="0"/>
    <n v="0"/>
    <n v="20136"/>
    <n v="0"/>
    <n v="0"/>
    <n v="0"/>
    <s v="Release1"/>
  </r>
  <r>
    <x v="405"/>
    <s v="GOMUKH MANIAPPA"/>
    <s v="MPG"/>
    <s v="Direct"/>
    <n v="1128"/>
    <n v="43918"/>
    <n v="1122.3600000000001"/>
    <n v="43713.423414935998"/>
    <n v="4.03"/>
    <n v="150.60060912600002"/>
    <n v="1126.3900000000001"/>
    <n v="43864.024024061997"/>
    <n v="43864.024024061997"/>
    <n v="0"/>
    <n v="150.60060912600002"/>
    <n v="0"/>
    <n v="0"/>
    <n v="104.37077288135569"/>
    <n v="0"/>
    <n v="43608"/>
    <n v="0"/>
    <n v="0"/>
    <n v="55"/>
    <n v="0"/>
  </r>
  <r>
    <x v="406"/>
    <s v="GOMUKH D SANJHAUTI"/>
    <s v="MPG"/>
    <s v="Direct"/>
    <n v="801.00000000000011"/>
    <n v="29775.040000000001"/>
    <n v="905"/>
    <n v="35954.513100000004"/>
    <n v="0"/>
    <n v="0"/>
    <n v="905"/>
    <n v="35954.513100000004"/>
    <n v="29775.040000000001"/>
    <n v="0"/>
    <n v="0"/>
    <n v="6179.4731000000029"/>
    <n v="0"/>
    <n v="0"/>
    <n v="0"/>
    <n v="29775"/>
    <n v="0"/>
    <n v="0"/>
    <n v="0"/>
    <n v="0"/>
  </r>
  <r>
    <x v="407"/>
    <s v="GOMUKH DHUSMURI BISHANPUR"/>
    <s v="MPG"/>
    <s v="Direct"/>
    <n v="277.3"/>
    <n v="10729.039999999999"/>
    <n v="315.14"/>
    <n v="12075.296796683999"/>
    <n v="0"/>
    <n v="0"/>
    <n v="315.14"/>
    <n v="12075.296796683999"/>
    <n v="10729.039999999999"/>
    <n v="0"/>
    <n v="0"/>
    <n v="1346.2567966839997"/>
    <n v="0"/>
    <n v="0"/>
    <n v="0"/>
    <n v="10729"/>
    <n v="0"/>
    <n v="0"/>
    <n v="0"/>
    <n v="0"/>
  </r>
  <r>
    <x v="408"/>
    <s v="GOMUKH ANANDPUR PARAS"/>
    <s v="MPG"/>
    <s v="Direct"/>
    <n v="2336.2000000000003"/>
    <n v="89946.67"/>
    <n v="2336.1999999999998"/>
    <n v="89941.74462504001"/>
    <n v="0"/>
    <n v="0"/>
    <n v="2336.1999999999998"/>
    <n v="89941.74462504001"/>
    <n v="89941.74462504001"/>
    <n v="0"/>
    <n v="0"/>
    <n v="0"/>
    <n v="0"/>
    <n v="0"/>
    <n v="0"/>
    <n v="89941"/>
    <n v="0"/>
    <n v="0"/>
    <n v="6"/>
    <n v="0"/>
  </r>
  <r>
    <x v="409"/>
    <s v="Gomukh Bishanpur"/>
    <s v="MPG"/>
    <s v="Direct"/>
    <n v="301.3"/>
    <n v="11919.259999999998"/>
    <n v="302.95"/>
    <n v="12144.207312646546"/>
    <n v="0"/>
    <n v="0"/>
    <n v="302.95"/>
    <n v="12144.207312646546"/>
    <n v="11919.259999999998"/>
    <n v="0"/>
    <n v="0"/>
    <n v="224.94731264654729"/>
    <n v="0"/>
    <n v="0"/>
    <n v="0"/>
    <n v="11919"/>
    <n v="0"/>
    <n v="0"/>
    <n v="0"/>
    <n v="0"/>
  </r>
  <r>
    <x v="410"/>
    <s v="GOMUKH BISHANPUR 2"/>
    <s v="MPG"/>
    <s v="Direct"/>
    <n v="609.5"/>
    <n v="23428.06"/>
    <n v="615.54999999999995"/>
    <n v="23940.674355656585"/>
    <n v="0"/>
    <n v="0"/>
    <n v="615.54999999999995"/>
    <n v="23940.674355656585"/>
    <n v="23428.06"/>
    <n v="0"/>
    <n v="0"/>
    <n v="512.61435565658394"/>
    <n v="0"/>
    <n v="0"/>
    <n v="0"/>
    <n v="23428"/>
    <n v="0"/>
    <n v="0"/>
    <n v="0"/>
    <n v="0"/>
  </r>
  <r>
    <x v="411"/>
    <s v="GOMUKH GHAMARIYA"/>
    <s v="MPG"/>
    <s v="Direct"/>
    <n v="210.6"/>
    <n v="9183.7900000000009"/>
    <n v="209.43"/>
    <n v="9620.573128835671"/>
    <n v="3.2399999999999998"/>
    <n v="157.53019981545"/>
    <n v="212.67000000000002"/>
    <n v="9778.103328651121"/>
    <n v="9183.7900000000009"/>
    <n v="0"/>
    <n v="157.53019981545"/>
    <n v="594.31332865112017"/>
    <n v="641"/>
    <n v="0"/>
    <n v="0"/>
    <n v="8385"/>
    <n v="0"/>
    <n v="0"/>
    <n v="0"/>
    <s v="Release3"/>
  </r>
  <r>
    <x v="412"/>
    <s v="GOMUKH MEGHAUMA"/>
    <s v="MPG"/>
    <s v="Direct"/>
    <n v="983.80000000000007"/>
    <n v="39743.249999999993"/>
    <n v="971.13999999999987"/>
    <n v="40357.898478516538"/>
    <n v="11.95"/>
    <n v="534.09599654399995"/>
    <n v="983.08999999999992"/>
    <n v="40891.994475060535"/>
    <n v="39743.249999999993"/>
    <n v="0"/>
    <n v="534.09599654399995"/>
    <n v="1148.7444750605428"/>
    <n v="0"/>
    <n v="0"/>
    <n v="0"/>
    <n v="39209"/>
    <n v="0"/>
    <n v="0"/>
    <n v="0"/>
    <n v="0"/>
  </r>
  <r>
    <x v="413"/>
    <s v="GOMUKH AURA"/>
    <s v="MPG"/>
    <s v="Direct"/>
    <n v="1098.9000000000001"/>
    <n v="40662.01"/>
    <n v="1104.5"/>
    <n v="43771.016657016007"/>
    <n v="0"/>
    <n v="0"/>
    <n v="1104.5"/>
    <n v="43771.016657016007"/>
    <n v="40662.01"/>
    <n v="0"/>
    <n v="0"/>
    <n v="3109.0066570160052"/>
    <n v="0"/>
    <n v="0"/>
    <n v="0"/>
    <n v="40662"/>
    <n v="0"/>
    <n v="0"/>
    <n v="0"/>
    <n v="0"/>
  </r>
  <r>
    <x v="414"/>
    <s v="GOMUKH BEHORBA"/>
    <s v="MPG"/>
    <s v="Direct"/>
    <n v="1080.3999999999999"/>
    <n v="40257.430000000008"/>
    <n v="1193.3599999999999"/>
    <n v="46314.584683448411"/>
    <n v="0"/>
    <n v="0"/>
    <n v="1193.3599999999999"/>
    <n v="46314.584683448411"/>
    <n v="40257.430000000008"/>
    <n v="0"/>
    <n v="0"/>
    <n v="6057.1546834484034"/>
    <n v="14036"/>
    <n v="0"/>
    <n v="0"/>
    <n v="26221"/>
    <n v="0"/>
    <n v="0"/>
    <n v="0"/>
    <s v="Release3"/>
  </r>
  <r>
    <x v="415"/>
    <s v="GOMUKH SAIDPUR SAMASTIPUR"/>
    <s v="MPG"/>
    <s v="Direct"/>
    <n v="1425.1999999999998"/>
    <n v="50364.070000000007"/>
    <n v="1425.8999999999999"/>
    <n v="51660.457239600015"/>
    <n v="0"/>
    <n v="0"/>
    <n v="1425.8999999999999"/>
    <n v="51660.457239600015"/>
    <n v="50364.070000000007"/>
    <n v="0"/>
    <n v="0"/>
    <n v="1296.3872396000079"/>
    <n v="0"/>
    <n v="4342.4248451612902"/>
    <n v="0"/>
    <n v="46022"/>
    <n v="0"/>
    <n v="0"/>
    <n v="0"/>
    <n v="0"/>
  </r>
  <r>
    <x v="416"/>
    <s v="GOMUKH PHULTAURA"/>
    <s v="MPG"/>
    <s v="Direct"/>
    <n v="457.8"/>
    <n v="16955.760000000002"/>
    <n v="104.58000000000001"/>
    <n v="5523.0540355535013"/>
    <n v="358.07"/>
    <n v="15359.386450077902"/>
    <n v="462.65"/>
    <n v="20882.440485631403"/>
    <n v="16955.760000000002"/>
    <n v="0"/>
    <n v="0"/>
    <n v="3926.6804856314011"/>
    <n v="1596"/>
    <n v="0"/>
    <n v="0"/>
    <n v="0"/>
    <n v="15360"/>
    <n v="0"/>
    <n v="0"/>
    <s v="Release3"/>
  </r>
  <r>
    <x v="417"/>
    <s v="Jangli Tol Vlc "/>
    <s v="vlc"/>
    <s v="Indirect"/>
    <n v="491.49999999999994"/>
    <n v="19337.97"/>
    <n v="0"/>
    <n v="0"/>
    <n v="0"/>
    <n v="0"/>
    <n v="0"/>
    <n v="0"/>
    <n v="19337.97"/>
    <n v="0"/>
    <n v="0"/>
    <n v="0"/>
    <n v="0"/>
    <n v="1803.3399483870967"/>
    <n v="0"/>
    <n v="0"/>
    <n v="0"/>
    <n v="17534.630051612905"/>
    <n v="0"/>
    <n v="0"/>
  </r>
  <r>
    <x v="418"/>
    <s v="DILKHUSH KUMAR "/>
    <s v="vlc"/>
    <s v="Indirect"/>
    <n v="414"/>
    <n v="15633.83"/>
    <n v="0"/>
    <n v="0"/>
    <n v="0"/>
    <n v="0"/>
    <n v="0"/>
    <n v="0"/>
    <n v="15633.83"/>
    <n v="0"/>
    <n v="0"/>
    <n v="0"/>
    <n v="0"/>
    <n v="0"/>
    <n v="0"/>
    <n v="0"/>
    <n v="0"/>
    <n v="15633.83"/>
    <n v="0"/>
    <n v="0"/>
  </r>
  <r>
    <x v="419"/>
    <s v="GOMUKH CHOWKI 2"/>
    <s v="MPG"/>
    <s v="Direct"/>
    <n v="3516.4000000000005"/>
    <n v="136569.53000000003"/>
    <n v="3317.130000000001"/>
    <n v="129688.03278410828"/>
    <n v="273.97999999999996"/>
    <n v="10848.8785443005"/>
    <n v="3591.110000000001"/>
    <n v="140536.91132840878"/>
    <n v="136569.53000000003"/>
    <n v="0"/>
    <n v="0"/>
    <n v="3967.3813284087519"/>
    <n v="0"/>
    <n v="930.99"/>
    <n v="0"/>
    <n v="124790"/>
    <n v="10849"/>
    <n v="0"/>
    <n v="0"/>
    <s v="Release1"/>
  </r>
  <r>
    <x v="420"/>
    <s v="GOMUKH MOHABA"/>
    <s v="MPG"/>
    <s v="Direct"/>
    <n v="1489"/>
    <n v="56125.35"/>
    <n v="1121.4000000000001"/>
    <n v="42209.409567600007"/>
    <n v="375.8"/>
    <n v="14223.546429840004"/>
    <n v="1497.2"/>
    <n v="56432.955997440011"/>
    <n v="56125.35"/>
    <n v="0"/>
    <n v="106.26309144000004"/>
    <n v="307.60599744001229"/>
    <n v="0"/>
    <n v="0"/>
    <n v="0"/>
    <n v="41901"/>
    <n v="14118"/>
    <n v="0"/>
    <n v="0"/>
    <n v="0"/>
  </r>
  <r>
    <x v="421"/>
    <s v="SANHA VLC"/>
    <s v="vlc"/>
    <s v="Indirect"/>
    <n v="844.00000000000011"/>
    <n v="29755.230000000003"/>
    <n v="0"/>
    <n v="0"/>
    <n v="0"/>
    <n v="0"/>
    <n v="0"/>
    <n v="0"/>
    <n v="29755.230000000003"/>
    <n v="0"/>
    <n v="0"/>
    <n v="0"/>
    <n v="0"/>
    <n v="0"/>
    <n v="0"/>
    <n v="0"/>
    <n v="0"/>
    <n v="29755.230000000003"/>
    <n v="0"/>
    <n v="0"/>
  </r>
  <r>
    <x v="422"/>
    <s v="MOHANPUR VLC"/>
    <s v="vlc"/>
    <s v="Indirect"/>
    <n v="820.3"/>
    <n v="28827.13"/>
    <n v="0"/>
    <n v="0"/>
    <n v="0"/>
    <n v="0"/>
    <n v="0"/>
    <n v="0"/>
    <n v="28827.13"/>
    <n v="0"/>
    <n v="0"/>
    <n v="0"/>
    <n v="0"/>
    <n v="0"/>
    <n v="0"/>
    <n v="0"/>
    <n v="0"/>
    <n v="28827.13"/>
    <n v="0"/>
    <n v="0"/>
  </r>
  <r>
    <x v="423"/>
    <s v="GOMUKH JANGLITOL"/>
    <s v="MPG"/>
    <s v="Direct"/>
    <n v="261.2"/>
    <n v="11131.19"/>
    <n v="261"/>
    <n v="11128.288842000002"/>
    <n v="0"/>
    <n v="0"/>
    <n v="261"/>
    <n v="11128.288842000002"/>
    <n v="11128.288842000002"/>
    <n v="0"/>
    <n v="0"/>
    <n v="0"/>
    <n v="0"/>
    <n v="0"/>
    <n v="0"/>
    <n v="11128"/>
    <n v="0"/>
    <n v="0"/>
    <n v="3"/>
    <n v="0"/>
  </r>
  <r>
    <x v="424"/>
    <s v="Hiratol VLC"/>
    <s v="vlc"/>
    <s v="Indirect"/>
    <n v="422.09999999999997"/>
    <n v="15186.479999999998"/>
    <n v="0"/>
    <n v="0"/>
    <n v="0"/>
    <n v="0"/>
    <n v="0"/>
    <n v="0"/>
    <n v="15186.479999999998"/>
    <n v="0"/>
    <n v="0"/>
    <n v="0"/>
    <n v="0"/>
    <n v="0"/>
    <n v="0"/>
    <n v="0"/>
    <n v="0"/>
    <n v="15186.479999999998"/>
    <n v="0"/>
    <n v="0"/>
  </r>
  <r>
    <x v="425"/>
    <s v="Gomukh Raghunathpur 2 "/>
    <s v="MPG"/>
    <s v="Direct"/>
    <n v="48.5"/>
    <n v="1922.15"/>
    <n v="48.500000000000007"/>
    <n v="1922.1046772400002"/>
    <n v="0"/>
    <n v="0"/>
    <n v="48.500000000000007"/>
    <n v="1922.1046772400002"/>
    <n v="1922.1046772400002"/>
    <n v="0"/>
    <n v="0"/>
    <n v="0"/>
    <n v="0"/>
    <n v="113.45414482758619"/>
    <n v="0"/>
    <n v="1809"/>
    <n v="0"/>
    <n v="0"/>
    <n v="0"/>
    <n v="0"/>
  </r>
  <r>
    <x v="426"/>
    <s v="GOMUKH BARBIGHI"/>
    <s v="MPG"/>
    <s v="Direct"/>
    <n v="1619.7000000000003"/>
    <n v="59166.41"/>
    <n v="1538.5"/>
    <n v="58146.442837560011"/>
    <n v="4.6999999999999993"/>
    <n v="178.57474272000002"/>
    <n v="1543.2"/>
    <n v="58325.017580280008"/>
    <n v="58325.017580280008"/>
    <n v="0"/>
    <n v="178.57474272000002"/>
    <n v="0"/>
    <n v="0"/>
    <n v="0"/>
    <n v="0"/>
    <n v="58146"/>
    <n v="0"/>
    <n v="0"/>
    <n v="842"/>
    <n v="0"/>
  </r>
  <r>
    <x v="427"/>
    <s v="Dandari-2"/>
    <s v="MPG"/>
    <s v="Direct"/>
    <n v="296.8"/>
    <n v="10526.159999999998"/>
    <n v="296"/>
    <n v="10491.075878382002"/>
    <n v="0"/>
    <n v="0"/>
    <n v="296"/>
    <n v="10491.075878382002"/>
    <n v="10491.075878382002"/>
    <n v="0"/>
    <n v="0"/>
    <n v="0"/>
    <n v="0"/>
    <n v="0"/>
    <n v="0"/>
    <n v="10491"/>
    <n v="0"/>
    <n v="0"/>
    <n v="35"/>
    <n v="0"/>
  </r>
  <r>
    <x v="428"/>
    <s v="Barkhanditol"/>
    <s v="vlc"/>
    <s v="Indirect"/>
    <n v="229.9"/>
    <n v="9376.8700000000008"/>
    <n v="0"/>
    <n v="0"/>
    <n v="0"/>
    <n v="0"/>
    <n v="0"/>
    <n v="0"/>
    <n v="9376.8700000000008"/>
    <n v="0"/>
    <n v="0"/>
    <n v="0"/>
    <n v="0"/>
    <n v="1379.6112387096782"/>
    <n v="0"/>
    <n v="0"/>
    <n v="0"/>
    <n v="7997.2587612903226"/>
    <n v="0"/>
    <n v="0"/>
  </r>
  <r>
    <x v="429"/>
    <s v="Chauki-VLC"/>
    <s v="vlc"/>
    <s v="Indirect"/>
    <n v="249.89999999999998"/>
    <n v="8997.8900000000012"/>
    <n v="0"/>
    <n v="0"/>
    <n v="0"/>
    <n v="0"/>
    <n v="0"/>
    <n v="0"/>
    <n v="8997.8900000000012"/>
    <n v="0"/>
    <n v="0"/>
    <n v="0"/>
    <n v="0"/>
    <n v="653.0864516129036"/>
    <n v="0"/>
    <n v="0"/>
    <n v="0"/>
    <n v="8344.8035483870972"/>
    <n v="0"/>
    <n v="0"/>
  </r>
  <r>
    <x v="430"/>
    <s v="Hardia"/>
    <s v="MPG"/>
    <s v="Direct"/>
    <n v="552.20000000000005"/>
    <n v="23480.420000000002"/>
    <n v="542.00000000000011"/>
    <n v="23086.034469476999"/>
    <n v="8.9"/>
    <n v="393.2789416027"/>
    <n v="550.90000000000009"/>
    <n v="23479.3134110797"/>
    <n v="23479.3134110797"/>
    <n v="0"/>
    <n v="393.2789416027"/>
    <n v="0"/>
    <n v="0"/>
    <n v="0"/>
    <n v="0"/>
    <n v="23086"/>
    <n v="0"/>
    <n v="0"/>
    <n v="1"/>
    <n v="0"/>
  </r>
  <r>
    <x v="431"/>
    <s v="Pachveer"/>
    <s v="vlc"/>
    <s v="Indirect"/>
    <n v="6710.8"/>
    <n v="250303.82000000004"/>
    <n v="0"/>
    <n v="0"/>
    <n v="0"/>
    <n v="0"/>
    <n v="0"/>
    <n v="0"/>
    <n v="250303.82000000004"/>
    <n v="0"/>
    <n v="0"/>
    <n v="0"/>
    <n v="0"/>
    <n v="0"/>
    <n v="0"/>
    <n v="0"/>
    <n v="0"/>
    <n v="250303.82000000004"/>
    <n v="0"/>
    <n v="0"/>
  </r>
  <r>
    <x v="432"/>
    <s v="Gomukh Mirjapur Bari"/>
    <s v="MPG"/>
    <s v="Direct"/>
    <n v="68.5"/>
    <n v="2494.34"/>
    <n v="67.7"/>
    <n v="2452.8619567980004"/>
    <n v="0"/>
    <n v="0"/>
    <n v="67.7"/>
    <n v="2452.8619567980004"/>
    <n v="2452.8619567980004"/>
    <n v="0"/>
    <n v="0"/>
    <n v="0"/>
    <n v="0"/>
    <n v="0"/>
    <n v="0"/>
    <n v="2453"/>
    <n v="0"/>
    <n v="0"/>
    <n v="41"/>
    <n v="0"/>
  </r>
  <r>
    <x v="433"/>
    <s v="Mathar-3"/>
    <s v="vlc"/>
    <s v="Indirect"/>
    <n v="1457.5000000000002"/>
    <n v="59508.170000000006"/>
    <n v="0"/>
    <n v="0"/>
    <n v="0"/>
    <n v="0"/>
    <n v="0"/>
    <n v="0"/>
    <n v="59508.170000000006"/>
    <n v="0"/>
    <n v="0"/>
    <n v="0"/>
    <n v="0"/>
    <n v="0"/>
    <n v="0"/>
    <n v="0"/>
    <n v="0"/>
    <n v="59508.170000000006"/>
    <n v="0"/>
    <n v="0"/>
  </r>
  <r>
    <x v="434"/>
    <s v="Ahoghat"/>
    <s v="vlc"/>
    <s v="Indirect"/>
    <n v="470.40000000000003"/>
    <n v="18822.849999999999"/>
    <n v="0"/>
    <n v="0"/>
    <n v="0"/>
    <n v="0"/>
    <n v="0"/>
    <n v="0"/>
    <n v="18822.849999999999"/>
    <n v="0"/>
    <n v="0"/>
    <n v="0"/>
    <n v="0"/>
    <n v="0"/>
    <n v="0"/>
    <n v="0"/>
    <n v="0"/>
    <n v="18822.849999999999"/>
    <n v="0"/>
    <n v="0"/>
  </r>
  <r>
    <x v="435"/>
    <s v="Mathar-4"/>
    <s v="vlc"/>
    <s v="Indirect"/>
    <n v="271.20000000000005"/>
    <n v="10112.469999999999"/>
    <n v="0"/>
    <n v="0"/>
    <n v="0"/>
    <n v="0"/>
    <n v="0"/>
    <n v="0"/>
    <n v="10112.469999999999"/>
    <n v="0"/>
    <n v="0"/>
    <n v="0"/>
    <n v="0"/>
    <n v="0"/>
    <n v="0"/>
    <n v="0"/>
    <n v="0"/>
    <n v="10112.469999999999"/>
    <n v="0"/>
    <n v="0"/>
  </r>
  <r>
    <x v="436"/>
    <s v="Farid Nagar"/>
    <s v="MPG"/>
    <s v="Direct"/>
    <n v="156.80000000000001"/>
    <n v="5931.93"/>
    <n v="156"/>
    <n v="5868.8867952000001"/>
    <n v="0"/>
    <n v="0"/>
    <n v="156"/>
    <n v="5868.8867952000001"/>
    <n v="5868.8867952000001"/>
    <n v="0"/>
    <n v="0"/>
    <n v="0"/>
    <n v="0"/>
    <n v="0"/>
    <n v="0"/>
    <n v="5869"/>
    <n v="0"/>
    <n v="0"/>
    <n v="63"/>
    <n v="0"/>
  </r>
  <r>
    <x v="437"/>
    <s v="GOMUKH SUBHANPUR"/>
    <s v="vlc"/>
    <s v="Indirect"/>
    <n v="99.98"/>
    <n v="4700.41"/>
    <n v="0"/>
    <n v="0"/>
    <n v="0"/>
    <n v="0"/>
    <n v="0"/>
    <n v="0"/>
    <n v="4700.41"/>
    <n v="0"/>
    <n v="0"/>
    <n v="0"/>
    <n v="4700"/>
    <n v="0"/>
    <n v="0"/>
    <n v="0"/>
    <n v="0"/>
    <n v="0.40999999999985448"/>
    <n v="0"/>
    <n v="0"/>
  </r>
  <r>
    <x v="438"/>
    <s v="GOMUKH  BHAJANGAMA"/>
    <s v="vlc"/>
    <s v="Indirect"/>
    <n v="426.2"/>
    <n v="16831.650000000001"/>
    <n v="0"/>
    <n v="0"/>
    <n v="0"/>
    <n v="0"/>
    <n v="0"/>
    <n v="0"/>
    <n v="16831.650000000001"/>
    <n v="0"/>
    <n v="0"/>
    <n v="0"/>
    <n v="0"/>
    <n v="0"/>
    <n v="0"/>
    <n v="0"/>
    <n v="0"/>
    <n v="16831.650000000001"/>
    <n v="0"/>
    <n v="0"/>
  </r>
  <r>
    <x v="439"/>
    <s v="Gomukh Basadhiya Kurni"/>
    <s v="MPG"/>
    <s v="Direct"/>
    <n v="371.53000000000009"/>
    <n v="14268.619999999999"/>
    <n v="396.65"/>
    <n v="15095.917527759901"/>
    <n v="0"/>
    <n v="0"/>
    <n v="396.65"/>
    <n v="15095.917527759901"/>
    <n v="14268.619999999999"/>
    <n v="0"/>
    <n v="0"/>
    <n v="827.29752775990164"/>
    <n v="0"/>
    <n v="0"/>
    <n v="0"/>
    <n v="14269"/>
    <n v="0"/>
    <n v="0"/>
    <n v="0"/>
    <s v="Release1"/>
  </r>
  <r>
    <x v="440"/>
    <s v="KHAJURI"/>
    <s v="MPG"/>
    <s v="Direct"/>
    <n v="362.77"/>
    <n v="13578.39"/>
    <n v="260.46999999999991"/>
    <n v="9785.1984842003294"/>
    <n v="106.89999999999999"/>
    <n v="3938.3249086976502"/>
    <n v="367.36999999999989"/>
    <n v="13723.52339289798"/>
    <n v="13578.39"/>
    <n v="0"/>
    <n v="167.02943756400003"/>
    <n v="145.13339289798023"/>
    <n v="0"/>
    <n v="0"/>
    <n v="0"/>
    <n v="9641"/>
    <n v="3770"/>
    <n v="0"/>
    <n v="0"/>
    <n v="0"/>
  </r>
  <r>
    <x v="441"/>
    <s v="ARMAULI-2"/>
    <s v="MPG"/>
    <s v="Direct"/>
    <n v="1321.95"/>
    <n v="52849.599999999999"/>
    <n v="1333.4400000000003"/>
    <n v="52527.418127153811"/>
    <n v="16.100000000000001"/>
    <n v="635.43278304000023"/>
    <n v="1349.5400000000002"/>
    <n v="53162.850910193811"/>
    <n v="52849.599999999999"/>
    <n v="0"/>
    <n v="635.43278304000023"/>
    <n v="313.25091019381216"/>
    <n v="9182"/>
    <n v="0"/>
    <n v="0"/>
    <n v="43032"/>
    <n v="0"/>
    <n v="0"/>
    <n v="0"/>
    <n v="0"/>
  </r>
  <r>
    <x v="442"/>
    <s v="MUSAPUR - 2"/>
    <s v="vlc"/>
    <s v="Indirect"/>
    <n v="68.940000000000012"/>
    <n v="2411.8200000000002"/>
    <n v="0"/>
    <n v="0"/>
    <n v="0"/>
    <n v="0"/>
    <n v="0"/>
    <n v="0"/>
    <n v="2411.8200000000002"/>
    <n v="0"/>
    <n v="0"/>
    <n v="0"/>
    <n v="1350"/>
    <n v="0"/>
    <n v="0"/>
    <n v="0"/>
    <n v="0"/>
    <n v="1061.8200000000002"/>
    <n v="0"/>
    <n v="0"/>
  </r>
  <r>
    <x v="443"/>
    <s v="Janganath Pur"/>
    <s v="vlc"/>
    <s v="Indirect"/>
    <n v="1822.2199999999996"/>
    <n v="77055.39"/>
    <n v="0"/>
    <n v="0"/>
    <n v="0"/>
    <n v="0"/>
    <n v="0"/>
    <n v="0"/>
    <n v="77055.39"/>
    <n v="0"/>
    <n v="0"/>
    <n v="0"/>
    <n v="4050"/>
    <n v="0"/>
    <n v="0"/>
    <n v="0"/>
    <n v="0"/>
    <n v="73005.39"/>
    <n v="0"/>
    <n v="0"/>
  </r>
  <r>
    <x v="444"/>
    <s v="Nagargama"/>
    <s v="vlc"/>
    <s v="Indirect"/>
    <n v="88.03"/>
    <n v="3336.2200000000003"/>
    <n v="0"/>
    <n v="0"/>
    <n v="0"/>
    <n v="0"/>
    <n v="0"/>
    <n v="0"/>
    <n v="3336.2200000000003"/>
    <n v="0"/>
    <n v="0"/>
    <n v="0"/>
    <n v="0"/>
    <n v="567.87740903225813"/>
    <n v="0"/>
    <n v="0"/>
    <n v="0"/>
    <n v="2768.3425909677421"/>
    <n v="0"/>
    <n v="0"/>
  </r>
  <r>
    <x v="445"/>
    <s v="Sato Ghachchhi"/>
    <s v="MPG"/>
    <s v="Direct"/>
    <n v="773.69999999999993"/>
    <n v="35379.749999999993"/>
    <n v="783.1"/>
    <n v="34790.019330330782"/>
    <n v="14.5"/>
    <n v="624.15191520000008"/>
    <n v="797.6"/>
    <n v="35414.171245530786"/>
    <n v="35379.749999999993"/>
    <n v="0"/>
    <n v="624.15191520000008"/>
    <n v="34.421245530793385"/>
    <n v="1360"/>
    <n v="0"/>
    <n v="0"/>
    <n v="33396"/>
    <n v="0"/>
    <n v="0"/>
    <n v="0"/>
    <n v="0"/>
  </r>
  <r>
    <x v="446"/>
    <s v="Bhatgama"/>
    <s v="vlc"/>
    <s v="Indirect"/>
    <n v="367.8"/>
    <n v="12717.42"/>
    <n v="0"/>
    <n v="0"/>
    <n v="0"/>
    <n v="0"/>
    <n v="0"/>
    <n v="0"/>
    <n v="12717.42"/>
    <n v="0"/>
    <n v="0"/>
    <n v="0"/>
    <n v="2700"/>
    <n v="0"/>
    <n v="0"/>
    <n v="0"/>
    <n v="0"/>
    <n v="10017.42"/>
    <n v="0"/>
    <n v="0"/>
  </r>
  <r>
    <x v="447"/>
    <s v="Borna Rasalpur"/>
    <s v="MPG"/>
    <s v="Direct"/>
    <n v="1009.82"/>
    <n v="40931.899999999994"/>
    <n v="645.50999999999988"/>
    <n v="27177.998800574002"/>
    <n v="340.3"/>
    <n v="14489.964471137"/>
    <n v="985.81"/>
    <n v="41667.963271711"/>
    <n v="40931.899999999994"/>
    <n v="0"/>
    <n v="0"/>
    <n v="736.06327171100565"/>
    <n v="0"/>
    <n v="0"/>
    <n v="0"/>
    <n v="26442"/>
    <n v="14490"/>
    <n v="0"/>
    <n v="0"/>
    <n v="0"/>
  </r>
  <r>
    <x v="448"/>
    <s v="Rasalpur"/>
    <s v="MPG"/>
    <s v="Direct"/>
    <n v="1124.8400000000001"/>
    <n v="43020.53"/>
    <n v="1156.44"/>
    <n v="44892.860989148227"/>
    <n v="179.66"/>
    <n v="6585.0307748485557"/>
    <n v="1336.1000000000001"/>
    <n v="51477.891763996784"/>
    <n v="43020.53"/>
    <n v="0"/>
    <n v="0"/>
    <n v="8457.3617639967852"/>
    <n v="1350"/>
    <n v="0"/>
    <n v="0"/>
    <n v="35086"/>
    <n v="6585"/>
    <n v="0"/>
    <n v="0"/>
    <n v="0"/>
  </r>
  <r>
    <x v="449"/>
    <s v="Narahan"/>
    <s v="MPG"/>
    <s v="Direct"/>
    <n v="285.85000000000002"/>
    <n v="11022.240000000002"/>
    <n v="282.77999999999997"/>
    <n v="10009.929490545601"/>
    <n v="5.330000000000001"/>
    <n v="183.98334798360003"/>
    <n v="288.10999999999996"/>
    <n v="10193.912838529201"/>
    <n v="10193.912838529201"/>
    <n v="0"/>
    <n v="183.98334798360003"/>
    <n v="0"/>
    <n v="1738"/>
    <n v="0"/>
    <n v="0"/>
    <n v="8272"/>
    <n v="0"/>
    <n v="0"/>
    <n v="828"/>
    <n v="0"/>
  </r>
  <r>
    <x v="450"/>
    <s v="Gomukh Dumduma"/>
    <s v="MPG"/>
    <s v="Direct"/>
    <n v="407.73999999999995"/>
    <n v="15488.44"/>
    <n v="440.00999999999993"/>
    <n v="16880.909940576003"/>
    <n v="0"/>
    <n v="0"/>
    <n v="440.00999999999993"/>
    <n v="16880.909940576003"/>
    <n v="15488.44"/>
    <n v="0"/>
    <n v="0"/>
    <n v="1392.469940576002"/>
    <n v="6750"/>
    <n v="0"/>
    <n v="0"/>
    <n v="8738"/>
    <n v="0"/>
    <n v="0"/>
    <n v="0"/>
    <n v="0"/>
  </r>
  <r>
    <x v="451"/>
    <s v="SUPOL"/>
    <s v="MPG"/>
    <s v="Direct"/>
    <n v="285.91999999999996"/>
    <n v="11198.08"/>
    <n v="370"/>
    <n v="15336.175139999999"/>
    <n v="0"/>
    <n v="0"/>
    <n v="370"/>
    <n v="15336.175139999999"/>
    <n v="11198.08"/>
    <n v="0"/>
    <n v="0"/>
    <n v="4138.0951399999994"/>
    <n v="0"/>
    <n v="68.770043225806518"/>
    <n v="0"/>
    <n v="11129"/>
    <n v="0"/>
    <n v="0"/>
    <n v="0"/>
    <n v="0"/>
  </r>
  <r>
    <x v="452"/>
    <s v="BHUSARAI"/>
    <s v="MPG"/>
    <s v="Direct"/>
    <n v="276.36"/>
    <n v="10619.06"/>
    <n v="158.55000000000001"/>
    <n v="5816.5238902320007"/>
    <n v="129.67999999999998"/>
    <n v="4734.823380408001"/>
    <n v="288.23"/>
    <n v="10551.347270640003"/>
    <n v="10551.347270640003"/>
    <n v="0"/>
    <n v="532.07309390399996"/>
    <n v="0"/>
    <n v="0"/>
    <n v="0"/>
    <n v="0"/>
    <n v="5817"/>
    <n v="4202"/>
    <n v="0"/>
    <n v="68"/>
    <n v="0"/>
  </r>
  <r>
    <x v="453"/>
    <s v="Gomukha Jounapur"/>
    <s v="vlc"/>
    <s v="Indirect"/>
    <n v="263.62000000000006"/>
    <n v="10782.8"/>
    <n v="0"/>
    <n v="0"/>
    <n v="0"/>
    <n v="0"/>
    <n v="0"/>
    <n v="0"/>
    <n v="10782.8"/>
    <n v="0"/>
    <n v="0"/>
    <n v="0"/>
    <n v="0"/>
    <n v="0"/>
    <n v="0"/>
    <n v="0"/>
    <n v="0"/>
    <n v="10782.8"/>
    <n v="0"/>
    <n v="0"/>
  </r>
  <r>
    <x v="454"/>
    <s v="Patailliya"/>
    <s v="vlc"/>
    <s v="Indirect"/>
    <n v="296.06"/>
    <n v="10955.070000000002"/>
    <n v="0"/>
    <n v="0"/>
    <n v="0"/>
    <n v="0"/>
    <n v="0"/>
    <n v="0"/>
    <n v="10955.070000000002"/>
    <n v="0"/>
    <n v="0"/>
    <n v="0"/>
    <n v="0"/>
    <n v="0"/>
    <n v="0"/>
    <n v="0"/>
    <n v="0"/>
    <n v="10955.070000000002"/>
    <n v="0"/>
    <n v="0"/>
  </r>
  <r>
    <x v="455"/>
    <s v="Badiya"/>
    <s v="vlc"/>
    <s v="Indirect"/>
    <n v="276.72999999999996"/>
    <n v="10180.280000000001"/>
    <n v="0"/>
    <n v="0"/>
    <n v="0"/>
    <n v="0"/>
    <n v="0"/>
    <n v="0"/>
    <n v="10180.280000000001"/>
    <n v="0"/>
    <n v="0"/>
    <n v="0"/>
    <n v="0"/>
    <n v="0"/>
    <n v="0"/>
    <n v="0"/>
    <n v="0"/>
    <n v="10180.280000000001"/>
    <n v="0"/>
    <n v="0"/>
  </r>
  <r>
    <x v="456"/>
    <s v="Gomukh Tabhka"/>
    <s v="MPG"/>
    <s v="Direct"/>
    <n v="1798.16"/>
    <n v="71941.279999999999"/>
    <n v="1129.1600000000001"/>
    <n v="52111.208549747884"/>
    <n v="757.57"/>
    <n v="30662.204081501677"/>
    <n v="1886.73"/>
    <n v="82773.412631249565"/>
    <n v="71941.279999999999"/>
    <n v="0"/>
    <n v="545.06168467344003"/>
    <n v="10832.132631249566"/>
    <n v="4050"/>
    <n v="204.09"/>
    <n v="0"/>
    <n v="41076"/>
    <n v="26066"/>
    <n v="0"/>
    <n v="0"/>
    <s v="Release1"/>
  </r>
  <r>
    <x v="457"/>
    <s v="Ghato"/>
    <s v="vlc"/>
    <s v="Indirect"/>
    <n v="59.349999999999994"/>
    <n v="1978.5499999999997"/>
    <n v="0"/>
    <n v="0"/>
    <n v="0"/>
    <n v="0"/>
    <n v="0"/>
    <n v="0"/>
    <n v="1978.5499999999997"/>
    <n v="0"/>
    <n v="0"/>
    <n v="0"/>
    <n v="0"/>
    <n v="0"/>
    <n v="0"/>
    <n v="0"/>
    <n v="0"/>
    <n v="1978.5499999999997"/>
    <n v="0"/>
    <n v="0"/>
  </r>
  <r>
    <x v="458"/>
    <s v="RAMNATHPUR                                                                                          "/>
    <s v="MPG"/>
    <s v="Direct"/>
    <n v="912.57999999999993"/>
    <n v="35913.270000000004"/>
    <n v="639.53999999999985"/>
    <n v="24578.275506898117"/>
    <n v="335.66"/>
    <n v="12239.108428258802"/>
    <n v="975.19999999999982"/>
    <n v="36817.383935156919"/>
    <n v="35913.270000000004"/>
    <n v="0"/>
    <n v="364.21469544240011"/>
    <n v="904.11393515691452"/>
    <n v="0"/>
    <n v="0"/>
    <n v="0"/>
    <n v="23675"/>
    <n v="11874"/>
    <n v="0"/>
    <n v="0"/>
    <n v="0"/>
  </r>
  <r>
    <x v="459"/>
    <s v="DESUA"/>
    <s v="MPG"/>
    <s v="Direct"/>
    <n v="412.6"/>
    <n v="15627.35"/>
    <n v="386"/>
    <n v="14534.858623626002"/>
    <n v="69.2"/>
    <n v="2450.5131663540005"/>
    <n v="455.2"/>
    <n v="16985.371789980003"/>
    <n v="15627.35"/>
    <n v="0"/>
    <n v="61.489975932"/>
    <n v="1358.0217899800027"/>
    <n v="0"/>
    <n v="0"/>
    <n v="0"/>
    <n v="13176"/>
    <n v="2390"/>
    <n v="0"/>
    <n v="0"/>
    <n v="0"/>
  </r>
  <r>
    <x v="460"/>
    <s v="Matior"/>
    <s v="MPG"/>
    <s v="Direct"/>
    <n v="122.73"/>
    <n v="4663.82"/>
    <n v="134.22999999999999"/>
    <n v="5084.232545858401"/>
    <n v="0"/>
    <n v="0"/>
    <n v="134.22999999999999"/>
    <n v="5084.232545858401"/>
    <n v="4663.82"/>
    <n v="0"/>
    <n v="0"/>
    <n v="420.41254585840124"/>
    <n v="1200"/>
    <n v="0"/>
    <n v="0"/>
    <n v="3464"/>
    <n v="0"/>
    <n v="0"/>
    <n v="0"/>
    <n v="0"/>
  </r>
  <r>
    <x v="461"/>
    <s v="TELGAMA"/>
    <s v="vlc"/>
    <s v="Indirect"/>
    <n v="388.11999999999995"/>
    <n v="15984.139999999998"/>
    <n v="0"/>
    <n v="0"/>
    <n v="0"/>
    <n v="0"/>
    <n v="0"/>
    <n v="0"/>
    <n v="15984.139999999998"/>
    <n v="0"/>
    <n v="0"/>
    <n v="0"/>
    <n v="0"/>
    <n v="0"/>
    <n v="0"/>
    <n v="0"/>
    <n v="0"/>
    <n v="15984.139999999998"/>
    <n v="0"/>
    <n v="0"/>
  </r>
  <r>
    <x v="462"/>
    <s v="GOMUKH TATARPUR"/>
    <s v="MPG"/>
    <s v="Direct"/>
    <n v="157.83000000000001"/>
    <n v="6921.75"/>
    <n v="157.69999999999999"/>
    <n v="6907.4471501344997"/>
    <n v="0"/>
    <n v="0"/>
    <n v="157.69999999999999"/>
    <n v="6907.4471501344997"/>
    <n v="6907.4471501344997"/>
    <n v="0"/>
    <n v="0"/>
    <n v="0"/>
    <n v="0"/>
    <n v="0"/>
    <n v="0"/>
    <n v="6907"/>
    <n v="0"/>
    <n v="0"/>
    <n v="15"/>
    <n v="0"/>
  </r>
  <r>
    <x v="463"/>
    <s v="Gomukh Ghataho"/>
    <s v="MPG"/>
    <s v="Direct"/>
    <n v="1869.3899999999999"/>
    <n v="70525.179999999993"/>
    <n v="1391.1999999999998"/>
    <n v="51553.545701362847"/>
    <n v="482.9"/>
    <n v="18459.401351290533"/>
    <n v="1874.1"/>
    <n v="70012.947052653384"/>
    <n v="70012.947052653384"/>
    <n v="0"/>
    <n v="633.93986066399998"/>
    <n v="0"/>
    <n v="0"/>
    <n v="0"/>
    <n v="0"/>
    <n v="51552"/>
    <n v="17826"/>
    <n v="0"/>
    <n v="513"/>
    <n v="0"/>
  </r>
  <r>
    <x v="464"/>
    <s v="Kacha - Amarjeet"/>
    <s v="vlc"/>
    <s v="Indirect"/>
    <n v="478.31999999999994"/>
    <n v="22272.420000000002"/>
    <n v="0"/>
    <n v="0"/>
    <n v="0"/>
    <n v="0"/>
    <n v="0"/>
    <n v="0"/>
    <n v="22272.420000000002"/>
    <n v="0"/>
    <n v="0"/>
    <n v="0"/>
    <n v="0"/>
    <n v="0"/>
    <n v="0"/>
    <n v="0"/>
    <n v="0"/>
    <n v="22272.420000000002"/>
    <n v="0"/>
    <n v="0"/>
  </r>
  <r>
    <x v="465"/>
    <s v="Simri - Suman"/>
    <s v="vlc"/>
    <s v="Indirect"/>
    <n v="878.49999999999989"/>
    <n v="43036.21"/>
    <n v="0"/>
    <n v="0"/>
    <n v="0"/>
    <n v="0"/>
    <n v="0"/>
    <n v="0"/>
    <n v="43036.21"/>
    <n v="0"/>
    <n v="0"/>
    <n v="0"/>
    <n v="0"/>
    <n v="0"/>
    <n v="0"/>
    <n v="0"/>
    <n v="0"/>
    <n v="43036.21"/>
    <n v="0"/>
    <n v="0"/>
  </r>
  <r>
    <x v="466"/>
    <s v="Narenpur"/>
    <s v="MPG"/>
    <s v="Direct"/>
    <n v="337.57"/>
    <n v="14067.130000000001"/>
    <n v="110.78"/>
    <n v="4592.9172604516261"/>
    <n v="207.57"/>
    <n v="9482.6108230406298"/>
    <n v="318.35000000000002"/>
    <n v="14075.528083492256"/>
    <n v="14067.130000000001"/>
    <n v="0"/>
    <n v="0"/>
    <n v="8.3980834922549548"/>
    <n v="0"/>
    <n v="0"/>
    <n v="0"/>
    <n v="4586"/>
    <n v="9481"/>
    <n v="0"/>
    <n v="0"/>
    <n v="0"/>
  </r>
  <r>
    <x v="467"/>
    <s v="Mordiba"/>
    <s v="MPG"/>
    <s v="Direct"/>
    <n v="2029.08"/>
    <n v="78879.680000000008"/>
    <n v="1134.9099999999999"/>
    <n v="43059.322919479811"/>
    <n v="850.61"/>
    <n v="31884.697714910537"/>
    <n v="1985.52"/>
    <n v="74944.020634390356"/>
    <n v="74944.020634390356"/>
    <n v="0"/>
    <n v="110.92653594000001"/>
    <n v="0"/>
    <n v="3000"/>
    <n v="0"/>
    <n v="0"/>
    <n v="40059"/>
    <n v="31774"/>
    <n v="0"/>
    <n v="3936"/>
    <n v="0"/>
  </r>
  <r>
    <x v="468"/>
    <s v="Jagdispur"/>
    <s v="MPG"/>
    <s v="Direct"/>
    <n v="231.45000000000002"/>
    <n v="8972.9500000000007"/>
    <n v="250.92"/>
    <n v="9139.7312760776604"/>
    <n v="0"/>
    <n v="0"/>
    <n v="250.92"/>
    <n v="9139.7312760776604"/>
    <n v="8972.9500000000007"/>
    <n v="0"/>
    <n v="0"/>
    <n v="166.78127607765964"/>
    <n v="757"/>
    <n v="0"/>
    <n v="0"/>
    <n v="8216"/>
    <n v="0"/>
    <n v="0"/>
    <n v="0"/>
    <n v="0"/>
  </r>
  <r>
    <x v="469"/>
    <s v="Chaklal Sahi_Vikrant"/>
    <s v="vlc"/>
    <s v="Indirect"/>
    <n v="1816.1"/>
    <n v="63491.28"/>
    <n v="0"/>
    <n v="0"/>
    <n v="0"/>
    <n v="0"/>
    <n v="0"/>
    <n v="0"/>
    <n v="63491.28"/>
    <n v="0"/>
    <n v="0"/>
    <n v="0"/>
    <n v="0"/>
    <n v="630.25035483870863"/>
    <n v="0"/>
    <n v="0"/>
    <n v="0"/>
    <n v="62861.029645161288"/>
    <n v="0"/>
    <n v="0"/>
  </r>
  <r>
    <x v="470"/>
    <s v="Piparpaati"/>
    <s v="vlc"/>
    <s v="Indirect"/>
    <n v="171.18"/>
    <n v="6514.41"/>
    <n v="0"/>
    <n v="0"/>
    <n v="0"/>
    <n v="0"/>
    <n v="0"/>
    <n v="0"/>
    <n v="6514.41"/>
    <n v="0"/>
    <n v="0"/>
    <n v="0"/>
    <n v="0"/>
    <n v="0"/>
    <n v="0"/>
    <n v="0"/>
    <n v="0"/>
    <n v="6514.41"/>
    <n v="0"/>
    <n v="0"/>
  </r>
  <r>
    <x v="471"/>
    <s v="Suratpur"/>
    <s v="MPG"/>
    <s v="Direct"/>
    <n v="548.80000000000007"/>
    <n v="22378.77"/>
    <n v="105.57"/>
    <n v="4310.8245481884996"/>
    <n v="448.47000000000008"/>
    <n v="20489.909168390699"/>
    <n v="554.04000000000008"/>
    <n v="24800.733716579198"/>
    <n v="22378.77"/>
    <n v="0"/>
    <n v="5.4075285989999999"/>
    <n v="2421.9637165791974"/>
    <n v="0"/>
    <n v="0"/>
    <n v="0"/>
    <n v="1889"/>
    <n v="20484"/>
    <n v="0"/>
    <n v="0"/>
    <n v="0"/>
  </r>
  <r>
    <x v="472"/>
    <s v="Manika Tol"/>
    <s v="MPG"/>
    <s v="Direct"/>
    <n v="91.210000000000008"/>
    <n v="3054.99"/>
    <n v="91.210000000000008"/>
    <n v="3043.7697518316004"/>
    <n v="0"/>
    <n v="0"/>
    <n v="91.210000000000008"/>
    <n v="3043.7697518316004"/>
    <n v="3043.7697518316004"/>
    <n v="0"/>
    <n v="0"/>
    <n v="0"/>
    <n v="0"/>
    <n v="0"/>
    <n v="0"/>
    <n v="3044"/>
    <n v="0"/>
    <n v="0"/>
    <n v="11"/>
    <n v="0"/>
  </r>
  <r>
    <x v="473"/>
    <s v="Beri"/>
    <s v="MPG"/>
    <s v="Direct"/>
    <n v="273.59000000000003"/>
    <n v="10557.810000000001"/>
    <n v="273.45999999999998"/>
    <n v="10553.6489145714"/>
    <n v="5.6"/>
    <n v="146.09405606400003"/>
    <n v="279.06"/>
    <n v="10699.7429706354"/>
    <n v="10557.810000000001"/>
    <n v="0"/>
    <n v="0"/>
    <n v="141.93297063539831"/>
    <n v="10397"/>
    <n v="14.152817999999968"/>
    <n v="0"/>
    <n v="0"/>
    <n v="0"/>
    <n v="0"/>
    <n v="147"/>
    <s v="Yes"/>
  </r>
  <r>
    <x v="474"/>
    <s v="Mahmmadipur"/>
    <s v="MPG"/>
    <s v="Direct"/>
    <n v="1089.94"/>
    <n v="57325.640000000007"/>
    <n v="331.84"/>
    <n v="17289.747722779994"/>
    <n v="907.23000000000013"/>
    <n v="47925.769940873128"/>
    <n v="1239.0700000000002"/>
    <n v="65215.517663653125"/>
    <n v="57325.640000000007"/>
    <n v="0"/>
    <n v="0"/>
    <n v="7889.8776636531184"/>
    <n v="6750"/>
    <n v="0"/>
    <n v="0"/>
    <n v="13039"/>
    <n v="37537"/>
    <n v="0"/>
    <n v="0"/>
    <s v="Release1"/>
  </r>
  <r>
    <x v="475"/>
    <s v="Simri-Rupesh"/>
    <s v="vlc"/>
    <s v="Indirect"/>
    <n v="857.70000000000016"/>
    <n v="32991.64"/>
    <n v="0"/>
    <n v="0"/>
    <n v="0"/>
    <n v="0"/>
    <n v="0"/>
    <n v="0"/>
    <n v="32991.64"/>
    <n v="0"/>
    <n v="0"/>
    <n v="0"/>
    <n v="0"/>
    <n v="0"/>
    <n v="0"/>
    <n v="0"/>
    <n v="0"/>
    <n v="32991.64"/>
    <n v="0"/>
    <n v="0"/>
  </r>
  <r>
    <x v="476"/>
    <s v="Mithilanchal Dairy Products"/>
    <s v="vlc"/>
    <s v="Indirect"/>
    <n v="2713.3999999999996"/>
    <n v="102445.03"/>
    <n v="0"/>
    <n v="0"/>
    <n v="0"/>
    <n v="0"/>
    <n v="0"/>
    <n v="0"/>
    <n v="102445.03"/>
    <n v="0"/>
    <n v="0"/>
    <n v="0"/>
    <n v="0"/>
    <n v="0"/>
    <n v="0"/>
    <n v="0"/>
    <n v="0"/>
    <n v="102445.03"/>
    <n v="0"/>
    <n v="0"/>
  </r>
  <r>
    <x v="477"/>
    <s v="Gomukh Jhaura Tabhka"/>
    <s v="MPG"/>
    <s v="Direct"/>
    <n v="608.68999999999994"/>
    <n v="22650.47"/>
    <n v="611.79999999999995"/>
    <n v="23229.066855060002"/>
    <n v="1.4000000000000001"/>
    <n v="53.068140972000016"/>
    <n v="613.19999999999993"/>
    <n v="23282.134996032"/>
    <n v="22650.47"/>
    <n v="0"/>
    <n v="53.068140972000016"/>
    <n v="631.66499603199918"/>
    <n v="2700"/>
    <n v="0"/>
    <n v="0"/>
    <n v="19897"/>
    <n v="0"/>
    <n v="0"/>
    <n v="0"/>
    <n v="0"/>
  </r>
  <r>
    <x v="478"/>
    <s v="Gomukh Mohanpur"/>
    <s v="MPG"/>
    <s v="Direct"/>
    <n v="465.61"/>
    <n v="18612.420000000002"/>
    <n v="159.05000000000001"/>
    <n v="6332.3187058478015"/>
    <n v="302.43"/>
    <n v="11057.25155781234"/>
    <n v="461.48"/>
    <n v="17389.570263660142"/>
    <n v="17389.570263660142"/>
    <n v="0"/>
    <n v="324.58535770320003"/>
    <n v="0"/>
    <n v="0"/>
    <n v="0"/>
    <n v="0"/>
    <n v="6332"/>
    <n v="10732"/>
    <n v="0"/>
    <n v="1224"/>
    <n v="0"/>
  </r>
  <r>
    <x v="479"/>
    <s v="Gomukh Bochaha"/>
    <s v="MPG"/>
    <s v="Direct"/>
    <n v="853.16"/>
    <n v="39274.299999999996"/>
    <n v="136.04"/>
    <n v="6487.2064630427694"/>
    <n v="726.43000000000006"/>
    <n v="33054.612834397012"/>
    <n v="862.47"/>
    <n v="39541.819297439783"/>
    <n v="39274.299999999996"/>
    <n v="0"/>
    <n v="0"/>
    <n v="267.5192974397869"/>
    <n v="6750"/>
    <n v="0"/>
    <n v="0"/>
    <n v="2710"/>
    <n v="29814"/>
    <n v="0"/>
    <n v="0"/>
    <n v="0"/>
  </r>
  <r>
    <x v="480"/>
    <s v="Gomukh Terganj"/>
    <s v="MPG"/>
    <s v="Direct"/>
    <n v="180.94"/>
    <n v="8296.3200000000015"/>
    <n v="76"/>
    <n v="3144.1932719999995"/>
    <n v="116"/>
    <n v="4792.6541519999992"/>
    <n v="192"/>
    <n v="7936.8474239999987"/>
    <n v="7936.8474239999987"/>
    <n v="0"/>
    <n v="0"/>
    <n v="0"/>
    <n v="0"/>
    <n v="0"/>
    <n v="0"/>
    <n v="3144"/>
    <n v="4793"/>
    <n v="0"/>
    <n v="359"/>
    <n v="0"/>
  </r>
  <r>
    <x v="481"/>
    <s v="Gomukh Chapra"/>
    <s v="vlc"/>
    <s v="Indirect"/>
    <n v="505.02"/>
    <n v="20870.329999999998"/>
    <n v="0"/>
    <n v="0"/>
    <n v="0"/>
    <n v="0"/>
    <n v="0"/>
    <n v="0"/>
    <n v="20870.329999999998"/>
    <n v="0"/>
    <n v="0"/>
    <n v="0"/>
    <n v="20582"/>
    <n v="288.80714903225794"/>
    <n v="0"/>
    <n v="0"/>
    <n v="0"/>
    <n v="-0.47714903225983107"/>
    <n v="0"/>
    <n v="0"/>
  </r>
  <r>
    <x v="482"/>
    <s v="GOMUKH Chiranjipur"/>
    <s v="vlc"/>
    <s v="Indirect"/>
    <n v="973.8"/>
    <n v="37941.589999999997"/>
    <n v="0"/>
    <n v="0"/>
    <n v="0"/>
    <n v="0"/>
    <n v="0"/>
    <n v="0"/>
    <n v="37941.589999999997"/>
    <n v="0"/>
    <n v="0"/>
    <n v="0"/>
    <n v="0"/>
    <n v="19326.096000000001"/>
    <n v="0"/>
    <n v="0"/>
    <n v="0"/>
    <n v="18615.493999999995"/>
    <n v="0"/>
    <n v="0"/>
  </r>
  <r>
    <x v="483"/>
    <s v="Gomukh Sahu Tol"/>
    <s v="vlc"/>
    <s v="Indirect"/>
    <n v="1107"/>
    <n v="40648.379999999997"/>
    <n v="0"/>
    <n v="0"/>
    <n v="0"/>
    <n v="0"/>
    <n v="0"/>
    <n v="0"/>
    <n v="40648.379999999997"/>
    <n v="0"/>
    <n v="0"/>
    <n v="0"/>
    <n v="0"/>
    <n v="0"/>
    <n v="0"/>
    <n v="0"/>
    <n v="0"/>
    <n v="40648.379999999997"/>
    <n v="0"/>
    <n v="0"/>
  </r>
  <r>
    <x v="484"/>
    <s v="Gomukh Mordiwa East"/>
    <s v="MPG"/>
    <s v="Direct"/>
    <n v="695.31"/>
    <n v="26687.729999999996"/>
    <n v="269.3"/>
    <n v="10450.430068320002"/>
    <n v="457.5"/>
    <n v="17684.682075720004"/>
    <n v="726.8"/>
    <n v="28135.112144040006"/>
    <n v="26687.729999999996"/>
    <n v="0"/>
    <n v="0"/>
    <n v="1447.3821440400097"/>
    <n v="1434"/>
    <n v="0"/>
    <n v="0"/>
    <n v="7570"/>
    <n v="17684"/>
    <n v="0"/>
    <n v="0"/>
    <n v="0"/>
  </r>
  <r>
    <x v="485"/>
    <s v="Gomukh Belamegh"/>
    <s v="vlc"/>
    <s v="Indirect"/>
    <n v="1400"/>
    <n v="48501.1"/>
    <n v="0"/>
    <n v="0"/>
    <n v="0"/>
    <n v="0"/>
    <n v="0"/>
    <n v="0"/>
    <n v="48501.1"/>
    <n v="0"/>
    <n v="0"/>
    <n v="0"/>
    <n v="0"/>
    <n v="618.19935483871086"/>
    <n v="0"/>
    <n v="0"/>
    <n v="0"/>
    <n v="47882.900645161288"/>
    <n v="0"/>
    <n v="0"/>
  </r>
  <r>
    <x v="486"/>
    <s v="Gomukh Ramaiya"/>
    <s v="MPG"/>
    <s v="Direct"/>
    <n v="705.92999999999984"/>
    <n v="27442.02"/>
    <n v="702.76"/>
    <n v="27314.979849036001"/>
    <n v="2"/>
    <n v="57.342677040000012"/>
    <n v="704.76"/>
    <n v="27372.322526076001"/>
    <n v="27372.322526076001"/>
    <n v="0"/>
    <n v="0"/>
    <n v="0"/>
    <n v="0"/>
    <n v="0"/>
    <n v="0"/>
    <n v="27315"/>
    <n v="58"/>
    <n v="0"/>
    <n v="69"/>
    <n v="0"/>
  </r>
  <r>
    <x v="487"/>
    <s v="GOMUKH MANIKA EAST"/>
    <s v="MPG"/>
    <s v="Direct"/>
    <n v="953.71999999999991"/>
    <n v="37159.56"/>
    <n v="698.70000000000016"/>
    <n v="29118.751267966349"/>
    <n v="268"/>
    <n v="10517.386607957002"/>
    <n v="966.70000000000016"/>
    <n v="39636.137875923348"/>
    <n v="37159.56"/>
    <n v="0"/>
    <n v="0"/>
    <n v="2476.5778759233508"/>
    <n v="0"/>
    <n v="0"/>
    <n v="0"/>
    <n v="26642"/>
    <n v="10518"/>
    <n v="0"/>
    <n v="0"/>
    <n v="0"/>
  </r>
  <r>
    <x v="488"/>
    <s v="IMADPUR"/>
    <s v="vlc"/>
    <s v="Indirect"/>
    <n v="247.82999999999998"/>
    <n v="9258.9"/>
    <n v="0"/>
    <n v="0"/>
    <n v="0"/>
    <n v="0"/>
    <n v="0"/>
    <n v="0"/>
    <n v="9258.9"/>
    <n v="0"/>
    <n v="0"/>
    <n v="0"/>
    <n v="0"/>
    <n v="0"/>
    <n v="0"/>
    <n v="0"/>
    <n v="0"/>
    <n v="9258.9"/>
    <n v="0"/>
    <n v="0"/>
  </r>
  <r>
    <x v="489"/>
    <s v="Gomukh MANIYAR EAST"/>
    <s v="vlc"/>
    <s v="Indirect"/>
    <n v="294.24"/>
    <n v="13961.130000000001"/>
    <n v="0"/>
    <n v="0"/>
    <n v="0"/>
    <n v="0"/>
    <n v="0"/>
    <n v="0"/>
    <n v="13961.130000000001"/>
    <n v="0"/>
    <n v="0"/>
    <n v="0"/>
    <n v="0"/>
    <n v="89.187567096774416"/>
    <n v="0"/>
    <n v="0"/>
    <n v="0"/>
    <n v="13871.942432903226"/>
    <n v="0"/>
    <n v="0"/>
  </r>
  <r>
    <x v="490"/>
    <s v="GOMUKH Kisanpur Tabhka"/>
    <s v="MPG"/>
    <s v="Direct"/>
    <n v="765.16"/>
    <n v="31107.820000000003"/>
    <n v="234.66999999999996"/>
    <n v="9628.6658040662442"/>
    <n v="530.49"/>
    <n v="21940.315007418492"/>
    <n v="765.16"/>
    <n v="31568.980811484736"/>
    <n v="31107.820000000003"/>
    <n v="0"/>
    <n v="0"/>
    <n v="461.16081148473313"/>
    <n v="0"/>
    <n v="64.777165161290455"/>
    <n v="0"/>
    <n v="9102"/>
    <n v="21941"/>
    <n v="0"/>
    <n v="0"/>
    <n v="0"/>
  </r>
  <r>
    <x v="491"/>
    <s v="GOMUKH BIBHUTIPUR"/>
    <s v="MPG"/>
    <s v="Direct"/>
    <n v="58.720000000000006"/>
    <n v="2319.1799999999998"/>
    <n v="58.050000000000011"/>
    <n v="2343.5362566000003"/>
    <n v="0"/>
    <n v="0"/>
    <n v="58.050000000000011"/>
    <n v="2343.5362566000003"/>
    <n v="2319.1799999999998"/>
    <n v="0"/>
    <n v="0"/>
    <n v="24.356256600000506"/>
    <n v="0"/>
    <n v="0"/>
    <n v="0"/>
    <n v="2319"/>
    <n v="0"/>
    <n v="0"/>
    <n v="0"/>
    <s v="Release1"/>
  </r>
  <r>
    <x v="492"/>
    <s v="GOMUKH PATHAKTOL"/>
    <s v="MPG"/>
    <s v="Direct"/>
    <n v="168.78000000000003"/>
    <n v="6918.4900000000007"/>
    <n v="139.40000000000003"/>
    <n v="5694.09948911232"/>
    <n v="28.7"/>
    <n v="1184.8856657219999"/>
    <n v="168.10000000000002"/>
    <n v="6878.9851548343195"/>
    <n v="6878.9851548343195"/>
    <n v="0"/>
    <n v="0"/>
    <n v="0"/>
    <n v="0"/>
    <n v="0"/>
    <n v="0"/>
    <n v="5695"/>
    <n v="1185"/>
    <n v="0"/>
    <n v="38"/>
    <n v="0"/>
  </r>
  <r>
    <x v="493"/>
    <s v="Gomukh Musapur West"/>
    <s v="vlc"/>
    <s v="Indirect"/>
    <n v="340.88000000000005"/>
    <n v="12451.16"/>
    <n v="0"/>
    <n v="0"/>
    <n v="0"/>
    <n v="0"/>
    <n v="0"/>
    <n v="0"/>
    <n v="12451.16"/>
    <n v="0"/>
    <n v="0"/>
    <n v="0"/>
    <n v="0"/>
    <n v="1431.6370703225816"/>
    <n v="0"/>
    <n v="0"/>
    <n v="0"/>
    <n v="11019.522929677418"/>
    <n v="0"/>
    <n v="0"/>
  </r>
  <r>
    <x v="494"/>
    <s v="GOMUKH DADHIYA RAMKRISHANPUR"/>
    <s v="MPG"/>
    <s v="Direct"/>
    <n v="1703.97"/>
    <n v="69763.760000000009"/>
    <n v="495.99999999999989"/>
    <n v="18063.285241716003"/>
    <n v="1242.2000000000003"/>
    <n v="51693.626668307217"/>
    <n v="1738.2000000000003"/>
    <n v="69756.91191002322"/>
    <n v="69756.91191002322"/>
    <n v="0"/>
    <n v="2506.6457804050001"/>
    <n v="0"/>
    <n v="0"/>
    <n v="0"/>
    <n v="0"/>
    <n v="18064"/>
    <n v="49188"/>
    <n v="0"/>
    <n v="5"/>
    <n v="0"/>
  </r>
  <r>
    <x v="495"/>
    <s v="Gomukh Simri Ward 4"/>
    <s v="vlc"/>
    <s v="Indirect"/>
    <n v="360"/>
    <n v="12024"/>
    <n v="0"/>
    <n v="0"/>
    <n v="0"/>
    <n v="0"/>
    <n v="0"/>
    <n v="0"/>
    <n v="12024"/>
    <n v="0"/>
    <n v="0"/>
    <n v="0"/>
    <n v="0"/>
    <n v="5920.8387096774186"/>
    <n v="0"/>
    <n v="0"/>
    <n v="0"/>
    <n v="6103.1612903225814"/>
    <n v="0"/>
    <n v="0"/>
  </r>
  <r>
    <x v="496"/>
    <s v="GOMUKH BALTHARA"/>
    <s v="MPG"/>
    <s v="Direct"/>
    <n v="314.2"/>
    <n v="11873.08"/>
    <n v="84.710000000000008"/>
    <n v="3326.5204850078899"/>
    <n v="188.86"/>
    <n v="7234.9000602565402"/>
    <n v="273.57000000000005"/>
    <n v="10561.420545264431"/>
    <n v="10561.420545264431"/>
    <n v="0"/>
    <n v="0"/>
    <n v="0"/>
    <n v="0"/>
    <n v="0"/>
    <n v="0"/>
    <n v="3327"/>
    <n v="7235"/>
    <n v="0"/>
    <n v="1311"/>
    <n v="0"/>
  </r>
  <r>
    <x v="497"/>
    <s v="GOMUKH BHASINGPUR"/>
    <s v="MPG"/>
    <s v="Direct"/>
    <n v="892.69999999999993"/>
    <n v="38503.269999999997"/>
    <n v="217.76000000000002"/>
    <n v="10380.995521589872"/>
    <n v="817.06"/>
    <n v="34224.576040785236"/>
    <n v="1034.82"/>
    <n v="44605.571562375109"/>
    <n v="38503.269999999997"/>
    <n v="0"/>
    <n v="0"/>
    <n v="6102.3015623751126"/>
    <n v="0"/>
    <n v="79.58"/>
    <n v="0"/>
    <n v="9279"/>
    <n v="29144"/>
    <n v="0"/>
    <n v="1"/>
    <s v="Release1"/>
  </r>
  <r>
    <x v="498"/>
    <s v="GOMUKH Chakhale Dad"/>
    <s v="MPG"/>
    <s v="Direct"/>
    <n v="743.68999999999994"/>
    <n v="28844.739999999998"/>
    <n v="621.0200000000001"/>
    <n v="24242.092635877831"/>
    <n v="129.26"/>
    <n v="4616.8288015409998"/>
    <n v="750.28000000000009"/>
    <n v="28858.92143741883"/>
    <n v="28844.739999999998"/>
    <n v="0"/>
    <n v="104.53830344100001"/>
    <n v="14.181437418832502"/>
    <n v="1500"/>
    <n v="0"/>
    <n v="0"/>
    <n v="22729"/>
    <n v="4511"/>
    <n v="0"/>
    <n v="0"/>
    <n v="0"/>
  </r>
  <r>
    <x v="499"/>
    <s v="GOMUKH BANGHARH KISHANPUR"/>
    <s v="MPG"/>
    <s v="Direct"/>
    <n v="570.5"/>
    <n v="18717.98"/>
    <n v="100.90000000000002"/>
    <n v="3468.0142619100006"/>
    <n v="488.2"/>
    <n v="16820.372451762003"/>
    <n v="589.1"/>
    <n v="20288.386713672004"/>
    <n v="18717.98"/>
    <n v="0"/>
    <n v="126.58121467200002"/>
    <n v="1570.4067136720041"/>
    <n v="0"/>
    <n v="0"/>
    <n v="0"/>
    <n v="1897"/>
    <n v="16694"/>
    <n v="0"/>
    <n v="0"/>
    <n v="0"/>
  </r>
  <r>
    <x v="500"/>
    <s v="Gomukh Serpur Narsari"/>
    <s v="vlc"/>
    <s v="Indirect"/>
    <n v="132.29999999999998"/>
    <n v="4185.55"/>
    <n v="0"/>
    <n v="0"/>
    <n v="0"/>
    <n v="0"/>
    <n v="0"/>
    <n v="0"/>
    <n v="4185.55"/>
    <n v="0"/>
    <n v="0"/>
    <n v="0"/>
    <n v="0"/>
    <n v="0"/>
    <n v="0"/>
    <n v="0"/>
    <n v="0"/>
    <n v="4185.55"/>
    <n v="0"/>
    <n v="0"/>
  </r>
  <r>
    <x v="501"/>
    <s v="PARORIYA"/>
    <s v="MPG"/>
    <s v="Direct"/>
    <n v="23.799999999999997"/>
    <n v="736.54"/>
    <n v="24.1"/>
    <n v="756.51247782000007"/>
    <n v="0"/>
    <n v="0"/>
    <n v="24.1"/>
    <n v="756.51247782000007"/>
    <n v="736.54"/>
    <n v="0"/>
    <n v="0"/>
    <n v="19.972477820000108"/>
    <n v="0"/>
    <n v="276.21510000000001"/>
    <n v="0"/>
    <n v="460"/>
    <n v="0"/>
    <n v="0"/>
    <n v="0"/>
    <n v="0"/>
  </r>
  <r>
    <x v="502"/>
    <s v="JHAKHRA"/>
    <s v="vlc"/>
    <s v="Indirect"/>
    <n v="45.500000000000007"/>
    <n v="1454.1399999999999"/>
    <n v="0"/>
    <n v="0"/>
    <n v="0"/>
    <n v="0"/>
    <n v="0"/>
    <n v="0"/>
    <n v="1454.1399999999999"/>
    <n v="0"/>
    <n v="0"/>
    <n v="0"/>
    <n v="0"/>
    <n v="0"/>
    <n v="0"/>
    <n v="0"/>
    <n v="0"/>
    <n v="1454.1399999999999"/>
    <n v="0"/>
    <n v="0"/>
  </r>
  <r>
    <x v="503"/>
    <s v="GOMUKH ANDAHA"/>
    <s v="MPG"/>
    <s v="Direct"/>
    <n v="538.9"/>
    <n v="19010.29"/>
    <n v="537.49"/>
    <n v="18992.368902004739"/>
    <n v="0.14000000000000001"/>
    <n v="4.9343096880000008"/>
    <n v="537.63"/>
    <n v="18997.303211692739"/>
    <n v="18997.303211692739"/>
    <n v="0"/>
    <n v="4.9343096880000008"/>
    <n v="0"/>
    <n v="0"/>
    <n v="0"/>
    <n v="0"/>
    <n v="18992"/>
    <n v="0"/>
    <n v="0"/>
    <n v="13"/>
    <n v="0"/>
  </r>
  <r>
    <x v="504"/>
    <s v="Gomukha Rohua"/>
    <s v="MPG"/>
    <s v="Direct"/>
    <n v="805.69999999999993"/>
    <n v="31508.21"/>
    <n v="775.82999999999993"/>
    <n v="32111.81581307892"/>
    <n v="82.320000000000007"/>
    <n v="3121.1029053510001"/>
    <n v="858.15"/>
    <n v="35232.918718429923"/>
    <n v="31508.21"/>
    <n v="0"/>
    <n v="311.59280802300009"/>
    <n v="3724.7087184299235"/>
    <n v="0"/>
    <n v="0"/>
    <n v="0"/>
    <n v="28388"/>
    <n v="2809"/>
    <n v="0"/>
    <n v="0"/>
    <n v="0"/>
  </r>
  <r>
    <x v="505"/>
    <s v="Gomukha Arniya Ganj"/>
    <s v="MPG"/>
    <s v="Direct"/>
    <n v="3609.4999999999995"/>
    <n v="132428"/>
    <n v="1981.6999999999998"/>
    <n v="73216.966430519999"/>
    <n v="1646"/>
    <n v="60598.03921696802"/>
    <n v="3627.7"/>
    <n v="133815.00564748803"/>
    <n v="132428"/>
    <n v="0"/>
    <n v="1373.63175576"/>
    <n v="1387.0056474880257"/>
    <n v="0"/>
    <n v="0"/>
    <n v="0"/>
    <n v="71829"/>
    <n v="59225"/>
    <n v="0"/>
    <n v="0"/>
    <n v="0"/>
  </r>
  <r>
    <x v="506"/>
    <s v="Gomukha Vishanupatti II"/>
    <s v="vlc"/>
    <s v="Indirect"/>
    <n v="549.70000000000005"/>
    <n v="21261.38"/>
    <n v="0"/>
    <n v="0"/>
    <n v="0"/>
    <n v="0"/>
    <n v="0"/>
    <n v="0"/>
    <n v="21261.38"/>
    <n v="0"/>
    <n v="0"/>
    <n v="0"/>
    <n v="2700"/>
    <n v="0"/>
    <n v="0"/>
    <n v="0"/>
    <n v="0"/>
    <n v="18561.38"/>
    <n v="0"/>
    <n v="0"/>
  </r>
  <r>
    <x v="507"/>
    <s v="Gomukh Khesarhiya"/>
    <s v="vlc"/>
    <s v="Indirect"/>
    <n v="128.6"/>
    <n v="5845.7900000000009"/>
    <n v="0"/>
    <n v="0"/>
    <n v="0"/>
    <n v="0"/>
    <n v="0"/>
    <n v="0"/>
    <n v="5845.7900000000009"/>
    <n v="0"/>
    <n v="0"/>
    <n v="0"/>
    <n v="0"/>
    <n v="0"/>
    <n v="0"/>
    <n v="0"/>
    <n v="0"/>
    <n v="5845.7900000000009"/>
    <n v="0"/>
    <n v="0"/>
  </r>
  <r>
    <x v="508"/>
    <s v="Harsingpur"/>
    <s v="vlc"/>
    <s v="Indirect"/>
    <n v="255.39999999999998"/>
    <n v="7613.47"/>
    <n v="0"/>
    <n v="0"/>
    <n v="0"/>
    <n v="0"/>
    <n v="0"/>
    <n v="0"/>
    <n v="7613.47"/>
    <n v="0"/>
    <n v="0"/>
    <n v="0"/>
    <n v="1350"/>
    <n v="0"/>
    <n v="0"/>
    <n v="0"/>
    <n v="0"/>
    <n v="6263.47"/>
    <n v="0"/>
    <n v="0"/>
  </r>
  <r>
    <x v="509"/>
    <s v="Gomukh ID Mahathi"/>
    <s v="vlc"/>
    <s v="Indirect"/>
    <n v="610.20000000000005"/>
    <n v="21385.450000000004"/>
    <n v="0"/>
    <n v="0"/>
    <n v="0"/>
    <n v="0"/>
    <n v="0"/>
    <n v="0"/>
    <n v="21385.450000000004"/>
    <n v="0"/>
    <n v="0"/>
    <n v="0"/>
    <n v="0"/>
    <n v="0"/>
    <n v="0"/>
    <n v="0"/>
    <n v="0"/>
    <n v="21385.450000000004"/>
    <n v="0"/>
    <n v="0"/>
  </r>
  <r>
    <x v="510"/>
    <s v="MURTUJAPUR"/>
    <s v="vlc"/>
    <s v="Indirect"/>
    <n v="334.4"/>
    <n v="13623.210000000003"/>
    <n v="0"/>
    <n v="0"/>
    <n v="0"/>
    <n v="0"/>
    <n v="0"/>
    <n v="0"/>
    <n v="13623.210000000003"/>
    <n v="0"/>
    <n v="0"/>
    <n v="0"/>
    <n v="3000"/>
    <n v="0"/>
    <n v="0"/>
    <n v="0"/>
    <n v="0"/>
    <n v="10623.210000000003"/>
    <n v="0"/>
    <n v="0"/>
  </r>
  <r>
    <x v="511"/>
    <s v="Rasalpur"/>
    <s v="MPG"/>
    <s v="Direct"/>
    <n v="197.3"/>
    <n v="7664.6399999999994"/>
    <n v="49.129999999999995"/>
    <n v="2162.1544313149998"/>
    <n v="154.55000000000001"/>
    <n v="6280.0719288540004"/>
    <n v="203.68"/>
    <n v="8442.2263601689992"/>
    <n v="7664.6399999999994"/>
    <n v="0"/>
    <n v="58.001286069600006"/>
    <n v="777.58636016899982"/>
    <n v="0"/>
    <n v="0"/>
    <n v="0"/>
    <n v="1384"/>
    <n v="6223"/>
    <n v="0"/>
    <n v="0"/>
    <n v="0"/>
  </r>
  <r>
    <x v="512"/>
    <s v="Gomukh VISHNUPATTI"/>
    <s v="vlc"/>
    <s v="Indirect"/>
    <n v="42.500000000000007"/>
    <n v="1495.26"/>
    <n v="0"/>
    <n v="0"/>
    <n v="0"/>
    <n v="0"/>
    <n v="0"/>
    <n v="0"/>
    <n v="1495.26"/>
    <n v="0"/>
    <n v="0"/>
    <n v="0"/>
    <n v="0"/>
    <n v="0"/>
    <n v="0"/>
    <n v="0"/>
    <n v="0"/>
    <n v="1495.26"/>
    <n v="0"/>
    <n v="0"/>
  </r>
  <r>
    <x v="513"/>
    <s v="Chhuchhipur                                                                                         "/>
    <s v="MPG"/>
    <s v="Direct"/>
    <n v="78.099999999999994"/>
    <n v="2280.38"/>
    <n v="100"/>
    <n v="3696.1055999999999"/>
    <n v="0"/>
    <n v="0"/>
    <n v="100"/>
    <n v="3696.1055999999999"/>
    <n v="2280.38"/>
    <n v="0"/>
    <n v="0"/>
    <n v="1415.7255999999998"/>
    <n v="0"/>
    <n v="628.40191578947349"/>
    <n v="0"/>
    <n v="1652"/>
    <n v="0"/>
    <n v="0"/>
    <n v="0"/>
    <n v="0"/>
  </r>
  <r>
    <x v="514"/>
    <s v="Gomukh ID Sararanjan"/>
    <s v="vlc"/>
    <s v="Indirect"/>
    <n v="242.2"/>
    <n v="9178.4299999999985"/>
    <n v="0"/>
    <n v="0"/>
    <n v="0"/>
    <n v="0"/>
    <n v="0"/>
    <n v="0"/>
    <n v="9178.4299999999985"/>
    <n v="0"/>
    <n v="0"/>
    <n v="0"/>
    <n v="3000"/>
    <n v="0"/>
    <n v="0"/>
    <n v="0"/>
    <n v="0"/>
    <n v="6178.4299999999985"/>
    <n v="0"/>
    <n v="0"/>
  </r>
  <r>
    <x v="515"/>
    <s v="Gomukh Soharthi Purvi Tola                                                                          "/>
    <s v="MPG"/>
    <s v="Direct"/>
    <n v="38.799999999999997"/>
    <n v="1903.26"/>
    <n v="50.5"/>
    <n v="2154.8972072500001"/>
    <n v="0"/>
    <n v="0"/>
    <n v="50.5"/>
    <n v="2154.8972072500001"/>
    <n v="1903.26"/>
    <n v="0"/>
    <n v="0"/>
    <n v="251.63720725000007"/>
    <n v="0"/>
    <n v="59.116413559322027"/>
    <n v="0"/>
    <n v="1844"/>
    <n v="0"/>
    <n v="0"/>
    <n v="0"/>
    <n v="0"/>
  </r>
  <r>
    <x v="516"/>
    <s v="Birnama"/>
    <s v="vlc"/>
    <s v="Indirect"/>
    <n v="863.6"/>
    <n v="22047.71"/>
    <n v="0"/>
    <n v="0"/>
    <n v="0"/>
    <n v="0"/>
    <n v="0"/>
    <n v="0"/>
    <n v="22047.71"/>
    <n v="0"/>
    <n v="0"/>
    <n v="0"/>
    <n v="0"/>
    <n v="715.38483870967684"/>
    <n v="0"/>
    <n v="0"/>
    <n v="0"/>
    <n v="21332.325161290322"/>
    <n v="0"/>
    <n v="0"/>
  </r>
  <r>
    <x v="517"/>
    <s v="Maraie - Rubi"/>
    <s v="vlc"/>
    <s v="Indirect"/>
    <n v="53.5"/>
    <n v="1983.4599999999998"/>
    <n v="0"/>
    <n v="0"/>
    <n v="0"/>
    <n v="0"/>
    <n v="0"/>
    <n v="0"/>
    <n v="1983.4599999999998"/>
    <n v="0"/>
    <n v="0"/>
    <n v="0"/>
    <n v="0"/>
    <n v="6.9993483870967692"/>
    <n v="0"/>
    <n v="0"/>
    <n v="0"/>
    <n v="1976.4606516129031"/>
    <n v="0"/>
    <n v="0"/>
  </r>
  <r>
    <x v="518"/>
    <s v="Arniya East Tola - Seema"/>
    <s v="vlc"/>
    <s v="Indirect"/>
    <n v="21.4"/>
    <n v="790.06999999999994"/>
    <n v="0"/>
    <n v="0"/>
    <n v="0"/>
    <n v="0"/>
    <n v="0"/>
    <n v="0"/>
    <n v="790.06999999999994"/>
    <n v="0"/>
    <n v="0"/>
    <n v="0"/>
    <n v="0"/>
    <n v="0"/>
    <n v="0"/>
    <n v="0"/>
    <n v="0"/>
    <n v="790.06999999999994"/>
    <n v="0"/>
    <n v="0"/>
  </r>
  <r>
    <x v="519"/>
    <s v="Lakshmipur Western Tol - Rajeev"/>
    <s v="MPG"/>
    <s v="Indirect"/>
    <n v="2624"/>
    <n v="108795.37999999999"/>
    <n v="0"/>
    <n v="0"/>
    <n v="0"/>
    <n v="0"/>
    <n v="0"/>
    <n v="0"/>
    <n v="108795.37999999999"/>
    <n v="0"/>
    <n v="0"/>
    <n v="0"/>
    <n v="3000"/>
    <n v="0"/>
    <n v="0"/>
    <n v="0"/>
    <n v="0"/>
    <n v="105795.37999999999"/>
    <n v="0"/>
    <n v="0"/>
  </r>
  <r>
    <x v="520"/>
    <s v="Jahangipur Salkhanni"/>
    <s v="MPG"/>
    <s v="Direct"/>
    <n v="355.90000000000003"/>
    <n v="15323.379999999997"/>
    <n v="280.44"/>
    <n v="11968.76063233356"/>
    <n v="94.640000000000015"/>
    <n v="4957.2909916410554"/>
    <n v="375.08000000000004"/>
    <n v="16926.051623974614"/>
    <n v="15323.379999999997"/>
    <n v="0"/>
    <n v="0"/>
    <n v="1602.6716239746165"/>
    <n v="871"/>
    <n v="0"/>
    <n v="0"/>
    <n v="9495"/>
    <n v="4957"/>
    <n v="0"/>
    <n v="0"/>
    <n v="0"/>
  </r>
  <r>
    <x v="521"/>
    <s v="Sekhpura"/>
    <s v="MPG"/>
    <s v="Direct"/>
    <n v="257.10000000000002"/>
    <n v="9144.7900000000027"/>
    <n v="260.31"/>
    <n v="9525.8568270096021"/>
    <n v="3.0300000000000002"/>
    <n v="107.36452738440002"/>
    <n v="263.33999999999997"/>
    <n v="9633.2213543940015"/>
    <n v="9144.7900000000027"/>
    <n v="0"/>
    <n v="107.36452738440002"/>
    <n v="488.43135439399884"/>
    <n v="0"/>
    <n v="0"/>
    <n v="0"/>
    <n v="9037"/>
    <n v="0"/>
    <n v="0"/>
    <n v="0"/>
    <n v="0"/>
  </r>
  <r>
    <x v="522"/>
    <s v="Songar"/>
    <s v="MPG"/>
    <s v="Direct"/>
    <n v="1388.8999999999999"/>
    <n v="47935.770000000004"/>
    <n v="804.41"/>
    <n v="29414.044406415713"/>
    <n v="584.59000000000015"/>
    <n v="19396.177799090401"/>
    <n v="1389"/>
    <n v="48810.222205506114"/>
    <n v="47935.770000000004"/>
    <n v="0"/>
    <n v="520.66075786560009"/>
    <n v="874.45220550610975"/>
    <n v="0"/>
    <n v="0"/>
    <n v="0"/>
    <n v="28538"/>
    <n v="18877"/>
    <n v="0"/>
    <n v="0"/>
    <n v="0"/>
  </r>
  <r>
    <x v="523"/>
    <s v="Rampur Maheshpur"/>
    <s v="MPG"/>
    <s v="Direct"/>
    <n v="616.09999999999991"/>
    <n v="23856.400000000001"/>
    <n v="377.54999999999995"/>
    <n v="16149.154251439682"/>
    <n v="244.23"/>
    <n v="8710.6632940800009"/>
    <n v="621.78"/>
    <n v="24859.817545519683"/>
    <n v="23856.400000000001"/>
    <n v="0"/>
    <n v="114.097372686"/>
    <n v="1003.4175455196819"/>
    <n v="0"/>
    <n v="0"/>
    <n v="0"/>
    <n v="15146"/>
    <n v="8596"/>
    <n v="0"/>
    <n v="0"/>
    <n v="0"/>
  </r>
  <r>
    <x v="524"/>
    <s v="Godhiyari"/>
    <s v="vlc"/>
    <s v="Indirect"/>
    <n v="221.29999999999998"/>
    <n v="7690.79"/>
    <n v="0"/>
    <n v="0"/>
    <n v="0"/>
    <n v="0"/>
    <n v="0"/>
    <n v="0"/>
    <n v="7690.79"/>
    <n v="0"/>
    <n v="0"/>
    <n v="0"/>
    <n v="0"/>
    <n v="73.386503225806294"/>
    <n v="0"/>
    <n v="0"/>
    <n v="0"/>
    <n v="7617.4034967741936"/>
    <n v="0"/>
    <n v="0"/>
  </r>
  <r>
    <x v="525"/>
    <s v="Jhakhra-Rambilash"/>
    <s v="vlc"/>
    <s v="Indirect"/>
    <n v="769.6"/>
    <n v="30238.45"/>
    <n v="0"/>
    <n v="0"/>
    <n v="0"/>
    <n v="0"/>
    <n v="0"/>
    <n v="0"/>
    <n v="30238.45"/>
    <n v="0"/>
    <n v="0"/>
    <n v="0"/>
    <n v="0"/>
    <n v="0"/>
    <n v="0"/>
    <n v="0"/>
    <n v="0"/>
    <n v="30238.45"/>
    <n v="0"/>
    <n v="0"/>
  </r>
  <r>
    <x v="526"/>
    <s v="Dagarua"/>
    <s v="MPG"/>
    <s v="Direct"/>
    <n v="64.900000000000006"/>
    <n v="2330.73"/>
    <n v="59.9"/>
    <n v="2142.3671885880003"/>
    <n v="15"/>
    <n v="561.0161700000001"/>
    <n v="74.900000000000006"/>
    <n v="2703.3833585880002"/>
    <n v="2330.73"/>
    <n v="0"/>
    <n v="0"/>
    <n v="372.65335858800017"/>
    <n v="1372"/>
    <n v="398.03320000000014"/>
    <n v="0"/>
    <n v="0"/>
    <n v="561"/>
    <n v="0"/>
    <n v="0"/>
    <n v="0"/>
  </r>
  <r>
    <x v="527"/>
    <s v="Chakmilki"/>
    <s v="MPG"/>
    <s v="Direct"/>
    <n v="291.79999999999995"/>
    <n v="10899.48"/>
    <n v="138.73000000000002"/>
    <n v="5130.9332498456006"/>
    <n v="172.67000000000002"/>
    <n v="6081.0545414417993"/>
    <n v="311.40000000000003"/>
    <n v="11211.9877912874"/>
    <n v="10899.48"/>
    <n v="0"/>
    <n v="186.95243812800001"/>
    <n v="312.50779128740032"/>
    <n v="0"/>
    <n v="0"/>
    <n v="0"/>
    <n v="4819"/>
    <n v="5894"/>
    <n v="0"/>
    <n v="0"/>
    <n v="0"/>
  </r>
  <r>
    <x v="528"/>
    <s v="Gomukh Akaha"/>
    <s v="MPG"/>
    <s v="Direct"/>
    <n v="173.5"/>
    <n v="6096.67"/>
    <n v="134.70000000000002"/>
    <n v="4448.5235098386011"/>
    <n v="45.459999999999994"/>
    <n v="1837.9826336224191"/>
    <n v="180.16000000000003"/>
    <n v="6286.5061434610197"/>
    <n v="6096.67"/>
    <n v="0"/>
    <n v="21.189751268400002"/>
    <n v="189.83614346101967"/>
    <n v="1350"/>
    <n v="0"/>
    <n v="0"/>
    <n v="2908"/>
    <n v="1817"/>
    <n v="0"/>
    <n v="0"/>
    <n v="0"/>
  </r>
  <r>
    <x v="529"/>
    <s v="Nauachak-Pankaj"/>
    <s v="vlc"/>
    <s v="Indirect"/>
    <n v="161.4"/>
    <n v="5029.3100000000004"/>
    <n v="0"/>
    <n v="0"/>
    <n v="0"/>
    <n v="0"/>
    <n v="0"/>
    <n v="0"/>
    <n v="5029.3100000000004"/>
    <n v="0"/>
    <n v="0"/>
    <n v="0"/>
    <n v="1500"/>
    <n v="0"/>
    <n v="0"/>
    <n v="0"/>
    <n v="0"/>
    <n v="3529.3100000000004"/>
    <n v="0"/>
    <n v="0"/>
  </r>
  <r>
    <x v="530"/>
    <s v="Jitwarpur-Manisha"/>
    <s v="vlc"/>
    <s v="Indirect"/>
    <n v="70.7"/>
    <n v="2611.17"/>
    <n v="0"/>
    <n v="0"/>
    <n v="0"/>
    <n v="0"/>
    <n v="0"/>
    <n v="0"/>
    <n v="2611.17"/>
    <n v="0"/>
    <n v="0"/>
    <n v="0"/>
    <n v="0"/>
    <n v="34.314948387096685"/>
    <n v="0"/>
    <n v="0"/>
    <n v="0"/>
    <n v="2576.8550516129035"/>
    <n v="0"/>
    <n v="0"/>
  </r>
  <r>
    <x v="531"/>
    <s v="Gomukh Sirdulpur 2"/>
    <s v="vlc"/>
    <s v="Indirect"/>
    <n v="1325"/>
    <n v="43724.61"/>
    <n v="0"/>
    <n v="0"/>
    <n v="0"/>
    <n v="0"/>
    <n v="0"/>
    <n v="0"/>
    <n v="43724.61"/>
    <n v="0"/>
    <n v="0"/>
    <n v="0"/>
    <n v="0"/>
    <n v="0"/>
    <n v="0"/>
    <n v="0"/>
    <n v="0"/>
    <n v="43724.61"/>
    <n v="0"/>
    <n v="0"/>
  </r>
  <r>
    <x v="532"/>
    <s v="Gomukh Repura"/>
    <s v="MPG"/>
    <s v="Direct"/>
    <n v="272.49999999999994"/>
    <n v="9420.73"/>
    <n v="231.79999999999998"/>
    <n v="8285.9798506320003"/>
    <n v="22"/>
    <n v="814.331232"/>
    <n v="253.79999999999998"/>
    <n v="9100.3110826320008"/>
    <n v="9100.3110826320008"/>
    <n v="0"/>
    <n v="0"/>
    <n v="0"/>
    <n v="0"/>
    <n v="0"/>
    <n v="0"/>
    <n v="8286"/>
    <n v="815"/>
    <n v="0"/>
    <n v="320"/>
    <n v="0"/>
  </r>
  <r>
    <x v="533"/>
    <s v="Gomukh Sherpur Narsari East"/>
    <s v="MPG"/>
    <s v="Direct"/>
    <n v="260.90000000000003"/>
    <n v="10099.329999999998"/>
    <n v="219.02999999999997"/>
    <n v="8143.2926161884016"/>
    <n v="54.26"/>
    <n v="2081.4879384763799"/>
    <n v="273.28999999999996"/>
    <n v="10224.780554664781"/>
    <n v="10099.329999999998"/>
    <n v="0"/>
    <n v="56.335619557800001"/>
    <n v="125.45055466478334"/>
    <n v="0"/>
    <n v="154.02354193548373"/>
    <n v="0"/>
    <n v="7864"/>
    <n v="2025"/>
    <n v="0"/>
    <n v="0"/>
    <n v="0"/>
  </r>
  <r>
    <x v="534"/>
    <s v="Gomukh Karhatti"/>
    <s v="MPG"/>
    <s v="Direct"/>
    <n v="72.599999999999994"/>
    <n v="2837.7599999999998"/>
    <n v="115"/>
    <n v="4257.121572"/>
    <n v="0"/>
    <n v="0"/>
    <n v="115"/>
    <n v="4257.121572"/>
    <n v="2837.7599999999998"/>
    <n v="0"/>
    <n v="0"/>
    <n v="1419.3615720000003"/>
    <n v="0"/>
    <n v="354.1768474576271"/>
    <n v="0"/>
    <n v="2484"/>
    <n v="0"/>
    <n v="0"/>
    <n v="0"/>
    <n v="0"/>
  </r>
  <r>
    <x v="535"/>
    <s v="Gomukh Gaopur Bhagwatpur"/>
    <s v="MPG"/>
    <s v="Direct"/>
    <n v="712.1"/>
    <n v="26386.87"/>
    <n v="726.23"/>
    <n v="26942.246011520401"/>
    <n v="0.02"/>
    <n v="0.57817584000000011"/>
    <n v="726.25"/>
    <n v="26942.824187360402"/>
    <n v="26386.87"/>
    <n v="0"/>
    <n v="0.57817584000000011"/>
    <n v="555.95418736040301"/>
    <n v="0"/>
    <n v="601.97984516128952"/>
    <n v="0"/>
    <n v="25784"/>
    <n v="0"/>
    <n v="0"/>
    <n v="0"/>
    <n v="0"/>
  </r>
  <r>
    <x v="536"/>
    <s v="Gomukh Rajwara"/>
    <s v="MPG"/>
    <s v="Direct"/>
    <n v="146.6"/>
    <n v="5613.41"/>
    <n v="145.34000000000003"/>
    <n v="5575.3880112900006"/>
    <n v="0.90000000000000013"/>
    <n v="33.39695304"/>
    <n v="146.24000000000004"/>
    <n v="5608.7849643300005"/>
    <n v="5608.7849643300005"/>
    <n v="0"/>
    <n v="33.39695304"/>
    <n v="0"/>
    <n v="0"/>
    <n v="0"/>
    <n v="0"/>
    <n v="5576"/>
    <n v="0"/>
    <n v="0"/>
    <n v="4"/>
    <n v="0"/>
  </r>
  <r>
    <x v="537"/>
    <s v="Gomukh Karhatiya Bujurg"/>
    <s v="vlc"/>
    <s v="Indirect"/>
    <n v="51.3"/>
    <n v="2221.8599999999997"/>
    <n v="0"/>
    <n v="0"/>
    <n v="0"/>
    <n v="0"/>
    <n v="0"/>
    <n v="0"/>
    <n v="2221.8599999999997"/>
    <n v="0"/>
    <n v="0"/>
    <n v="0"/>
    <n v="0"/>
    <n v="0"/>
    <n v="0"/>
    <n v="0"/>
    <n v="0"/>
    <n v="2221.8599999999997"/>
    <n v="0"/>
    <n v="0"/>
  </r>
  <r>
    <x v="538"/>
    <s v="GOMUKH NIKASPUR"/>
    <s v="vlc"/>
    <s v="Direct"/>
    <n v="121.7"/>
    <n v="3746.73"/>
    <n v="121.7"/>
    <n v="3791.8515066300001"/>
    <n v="0"/>
    <n v="0"/>
    <n v="121.7"/>
    <n v="3791.8515066300001"/>
    <n v="3746.73"/>
    <n v="0"/>
    <n v="0"/>
    <n v="45.121506630000113"/>
    <n v="0"/>
    <n v="349.29921818181828"/>
    <n v="0"/>
    <n v="3397"/>
    <n v="0"/>
    <n v="0"/>
    <n v="0"/>
    <n v="0"/>
  </r>
  <r>
    <x v="539"/>
    <s v="Gomukh Morwa Mohanpur"/>
    <s v="vlc"/>
    <s v="Indirect"/>
    <n v="346.8"/>
    <n v="12280.33"/>
    <n v="0"/>
    <n v="0"/>
    <n v="0"/>
    <n v="0"/>
    <n v="0"/>
    <n v="0"/>
    <n v="12280.33"/>
    <n v="0"/>
    <n v="0"/>
    <n v="0"/>
    <n v="0"/>
    <n v="607.90865806451598"/>
    <n v="0"/>
    <n v="0"/>
    <n v="0"/>
    <n v="11672.421341935484"/>
    <n v="0"/>
    <n v="0"/>
  </r>
  <r>
    <x v="540"/>
    <s v="Gomukh Gangapur East"/>
    <s v="vlc"/>
    <s v="Indirect"/>
    <n v="1044"/>
    <n v="29875.279999999999"/>
    <n v="0"/>
    <n v="0"/>
    <n v="0"/>
    <n v="0"/>
    <n v="0"/>
    <n v="0"/>
    <n v="29875.279999999999"/>
    <n v="0"/>
    <n v="0"/>
    <n v="0"/>
    <n v="0"/>
    <n v="873.20409677419241"/>
    <n v="0"/>
    <n v="0"/>
    <n v="0"/>
    <n v="29002.075903225807"/>
    <n v="0"/>
    <n v="0"/>
  </r>
  <r>
    <x v="541"/>
    <s v="GOMUKH MAHINDWARA"/>
    <s v="vlc"/>
    <s v="Indirect"/>
    <n v="422.40000000000009"/>
    <n v="15246.2"/>
    <n v="0"/>
    <n v="0"/>
    <n v="0"/>
    <n v="0"/>
    <n v="0"/>
    <n v="0"/>
    <n v="15246.2"/>
    <n v="0"/>
    <n v="0"/>
    <n v="0"/>
    <n v="0"/>
    <n v="0"/>
    <n v="0"/>
    <n v="0"/>
    <n v="0"/>
    <n v="15246.2"/>
    <n v="0"/>
    <n v="0"/>
  </r>
  <r>
    <x v="542"/>
    <s v="GOMUKH MISHRAULIA"/>
    <s v="MPG"/>
    <s v="Direct"/>
    <n v="380.6"/>
    <n v="17647.230000000003"/>
    <n v="427"/>
    <n v="19390.166929169005"/>
    <n v="0"/>
    <n v="0"/>
    <n v="427"/>
    <n v="19390.166929169005"/>
    <n v="17647.230000000003"/>
    <n v="0"/>
    <n v="0"/>
    <n v="1742.9369291690018"/>
    <n v="0"/>
    <n v="0"/>
    <n v="0"/>
    <n v="17647"/>
    <n v="0"/>
    <n v="0"/>
    <n v="0"/>
    <n v="0"/>
  </r>
  <r>
    <x v="543"/>
    <s v="GOMUKH CHAKIRDI"/>
    <s v="MPG"/>
    <s v="Direct"/>
    <n v="89.9"/>
    <n v="3192.65"/>
    <n v="121.9"/>
    <n v="4070.6692361280006"/>
    <n v="0"/>
    <n v="0"/>
    <n v="121.9"/>
    <n v="4070.6692361280006"/>
    <n v="3192.65"/>
    <n v="0"/>
    <n v="0"/>
    <n v="878.01923612800056"/>
    <n v="568"/>
    <n v="244.51070322580648"/>
    <n v="0"/>
    <n v="2380"/>
    <n v="0"/>
    <n v="0"/>
    <n v="0"/>
    <n v="0"/>
  </r>
  <r>
    <x v="544"/>
    <s v="GOMUKH Bhagwatpur East"/>
    <s v="MPG"/>
    <s v="Direct"/>
    <n v="354.90000000000003"/>
    <n v="11717.220000000001"/>
    <n v="362.5"/>
    <n v="12875.534122572002"/>
    <n v="0"/>
    <n v="0"/>
    <n v="362.5"/>
    <n v="12875.534122572002"/>
    <n v="11717.220000000001"/>
    <n v="0"/>
    <n v="0"/>
    <n v="1158.314122572001"/>
    <n v="0"/>
    <n v="0"/>
    <n v="0"/>
    <n v="11717"/>
    <n v="0"/>
    <n v="0"/>
    <n v="0"/>
    <n v="0"/>
  </r>
  <r>
    <x v="545"/>
    <s v="Gomukh Rupauli Buzurg"/>
    <s v="vlc"/>
    <s v="Indirect"/>
    <n v="7099"/>
    <n v="252697.99000000002"/>
    <n v="0"/>
    <n v="0"/>
    <n v="0"/>
    <n v="0"/>
    <n v="0"/>
    <n v="0"/>
    <n v="252697.99000000002"/>
    <n v="0"/>
    <n v="0"/>
    <n v="0"/>
    <n v="0"/>
    <n v="0"/>
    <n v="0"/>
    <n v="0"/>
    <n v="0"/>
    <n v="252697.99000000002"/>
    <n v="0"/>
    <n v="0"/>
  </r>
  <r>
    <x v="546"/>
    <s v="GOMUKH BATHUA W-9"/>
    <s v="vlc"/>
    <s v="Indirect"/>
    <n v="41.8"/>
    <n v="1295.6600000000001"/>
    <n v="0"/>
    <n v="0"/>
    <n v="0"/>
    <n v="0"/>
    <n v="0"/>
    <n v="0"/>
    <n v="1295.6600000000001"/>
    <n v="0"/>
    <n v="0"/>
    <n v="0"/>
    <n v="0"/>
    <n v="0"/>
    <n v="0"/>
    <n v="0"/>
    <n v="0"/>
    <n v="1295.6600000000001"/>
    <n v="0"/>
    <n v="0"/>
  </r>
  <r>
    <x v="547"/>
    <s v="Dumri Purvi Tola"/>
    <s v="MPG"/>
    <s v="Direct"/>
    <n v="35.5"/>
    <n v="1157.6600000000001"/>
    <n v="71.099999999999994"/>
    <n v="2668.0813767475006"/>
    <n v="0"/>
    <n v="0"/>
    <n v="71.099999999999994"/>
    <n v="2668.0813767475006"/>
    <n v="1157.6600000000001"/>
    <n v="0"/>
    <n v="0"/>
    <n v="1510.4213767475005"/>
    <n v="0"/>
    <n v="0"/>
    <n v="0"/>
    <n v="1158"/>
    <n v="0"/>
    <n v="0"/>
    <n v="0"/>
    <s v="Release2"/>
  </r>
  <r>
    <x v="548"/>
    <s v="Simri"/>
    <s v="MPG"/>
    <s v="Direct"/>
    <n v="712.80000000000007"/>
    <n v="26554.179999999997"/>
    <n v="777.63"/>
    <n v="29353.142639304002"/>
    <n v="0"/>
    <n v="0"/>
    <n v="777.63"/>
    <n v="29353.142639304002"/>
    <n v="26554.179999999997"/>
    <n v="0"/>
    <n v="0"/>
    <n v="2798.9626393040053"/>
    <n v="0"/>
    <n v="0"/>
    <n v="0"/>
    <n v="26554"/>
    <n v="0"/>
    <n v="0"/>
    <n v="0"/>
    <n v="0"/>
  </r>
  <r>
    <x v="549"/>
    <s v="Sahiyar"/>
    <s v="MPG"/>
    <s v="Direct"/>
    <n v="872.8"/>
    <n v="33923.06"/>
    <n v="799.29999999999984"/>
    <n v="33602.906910088932"/>
    <n v="29.500000000000004"/>
    <n v="1162.4368615200001"/>
    <n v="828.79999999999984"/>
    <n v="34765.343771608932"/>
    <n v="33923.06"/>
    <n v="0"/>
    <n v="1162.4368615200001"/>
    <n v="842.28377160893433"/>
    <n v="0"/>
    <n v="0"/>
    <n v="0"/>
    <n v="32761"/>
    <n v="0"/>
    <n v="0"/>
    <n v="0"/>
    <n v="0"/>
  </r>
  <r>
    <x v="550"/>
    <s v="ENGLISH DUBAULI"/>
    <s v="MPG"/>
    <s v="Direct"/>
    <n v="661.30000000000007"/>
    <n v="22982.59"/>
    <n v="754.45999999999992"/>
    <n v="29364.987474135247"/>
    <n v="22.94"/>
    <n v="1344.1196128976103"/>
    <n v="777.4"/>
    <n v="30709.107087032859"/>
    <n v="22982.59"/>
    <n v="0"/>
    <n v="1344.1196128976103"/>
    <n v="7726.5170870328584"/>
    <n v="0"/>
    <n v="0"/>
    <n v="0"/>
    <n v="21638"/>
    <n v="0"/>
    <n v="0"/>
    <n v="0"/>
    <s v="Release1"/>
  </r>
  <r>
    <x v="551"/>
    <s v="Ramo Bariya"/>
    <s v="MPG"/>
    <s v="Direct"/>
    <n v="931.4"/>
    <n v="34109.440000000002"/>
    <n v="920.08"/>
    <n v="33673.769071668001"/>
    <n v="9.86"/>
    <n v="425.04145167330006"/>
    <n v="929.94"/>
    <n v="34098.810523341301"/>
    <n v="34098.810523341301"/>
    <n v="0"/>
    <n v="425.04145167330006"/>
    <n v="0"/>
    <n v="0"/>
    <n v="0"/>
    <n v="0"/>
    <n v="33673"/>
    <n v="0"/>
    <n v="0"/>
    <n v="11"/>
    <n v="0"/>
  </r>
  <r>
    <x v="552"/>
    <s v="HITAN PARARI"/>
    <s v="MPG"/>
    <s v="Direct"/>
    <n v="534.69999999999993"/>
    <n v="19830.779999999995"/>
    <n v="541.41999999999996"/>
    <n v="20895.4396064502"/>
    <n v="0"/>
    <n v="0"/>
    <n v="541.41999999999996"/>
    <n v="20895.4396064502"/>
    <n v="19830.779999999995"/>
    <n v="0"/>
    <n v="0"/>
    <n v="1064.6596064502046"/>
    <n v="0"/>
    <n v="0"/>
    <n v="0"/>
    <n v="19831"/>
    <n v="0"/>
    <n v="0"/>
    <n v="0"/>
    <n v="0"/>
  </r>
  <r>
    <x v="553"/>
    <s v="Gangauli"/>
    <s v="MPG"/>
    <s v="Direct"/>
    <n v="423.50000000000006"/>
    <n v="17359.079999999998"/>
    <n v="421.90000000000003"/>
    <n v="17845.893107307198"/>
    <n v="2.6"/>
    <n v="93.141781920000014"/>
    <n v="424.50000000000006"/>
    <n v="17939.034889227198"/>
    <n v="17359.079999999998"/>
    <n v="0"/>
    <n v="93.141781920000014"/>
    <n v="579.9548892271996"/>
    <n v="1300"/>
    <n v="0"/>
    <n v="0"/>
    <n v="15966"/>
    <n v="0"/>
    <n v="0"/>
    <n v="0"/>
    <s v="Release1"/>
  </r>
  <r>
    <x v="554"/>
    <s v="MATHURA DERA"/>
    <s v="MPG"/>
    <s v="Direct"/>
    <n v="22.5"/>
    <n v="818.3599999999999"/>
    <n v="24"/>
    <n v="871.22692800000016"/>
    <n v="1"/>
    <n v="39.073122000000005"/>
    <n v="25"/>
    <n v="910.30005000000017"/>
    <n v="818.3599999999999"/>
    <n v="0"/>
    <n v="39.073122000000005"/>
    <n v="91.940050000000269"/>
    <n v="0"/>
    <n v="0"/>
    <n v="0"/>
    <n v="779"/>
    <n v="0"/>
    <n v="0"/>
    <n v="0"/>
    <s v="Release1"/>
  </r>
  <r>
    <x v="555"/>
    <s v="NANDAN"/>
    <s v="MPG"/>
    <s v="Direct"/>
    <n v="619.19999999999993"/>
    <n v="25568.549999999988"/>
    <n v="618"/>
    <n v="25533.965080800001"/>
    <n v="0"/>
    <n v="0"/>
    <n v="618"/>
    <n v="25533.965080800001"/>
    <n v="25533.965080800001"/>
    <n v="0"/>
    <n v="0"/>
    <n v="0"/>
    <n v="0"/>
    <n v="0"/>
    <n v="0"/>
    <n v="25534"/>
    <n v="0"/>
    <n v="0"/>
    <n v="35"/>
    <n v="0"/>
  </r>
  <r>
    <x v="556"/>
    <s v="RAJAPUR"/>
    <s v="MPG"/>
    <s v="Direct"/>
    <n v="48.1"/>
    <n v="1632.1000000000001"/>
    <n v="40.6"/>
    <n v="1600.9926372"/>
    <n v="0"/>
    <n v="0"/>
    <n v="40.6"/>
    <n v="1600.9926372"/>
    <n v="1600.9926372"/>
    <n v="0"/>
    <n v="0"/>
    <n v="0"/>
    <n v="0"/>
    <n v="0"/>
    <n v="0"/>
    <n v="1601"/>
    <n v="0"/>
    <n v="0"/>
    <n v="31"/>
    <n v="0"/>
  </r>
  <r>
    <x v="557"/>
    <s v="HEMDAPUR"/>
    <s v="MPG"/>
    <s v="Direct"/>
    <n v="128.20000000000002"/>
    <n v="4584.3999999999996"/>
    <n v="145"/>
    <n v="5428.1319444000001"/>
    <n v="0"/>
    <n v="0"/>
    <n v="145"/>
    <n v="5428.1319444000001"/>
    <n v="4584.3999999999996"/>
    <n v="0"/>
    <n v="0"/>
    <n v="843.73194440000043"/>
    <n v="0"/>
    <n v="0"/>
    <n v="0"/>
    <n v="4584"/>
    <n v="0"/>
    <n v="0"/>
    <n v="0"/>
    <s v="Release1"/>
  </r>
  <r>
    <x v="558"/>
    <s v="Chaugain"/>
    <s v="MPG"/>
    <s v="Direct"/>
    <n v="23.1"/>
    <n v="834.99"/>
    <n v="23"/>
    <n v="831.8882880000001"/>
    <n v="0"/>
    <n v="0"/>
    <n v="23"/>
    <n v="831.8882880000001"/>
    <n v="831.8882880000001"/>
    <n v="0"/>
    <n v="0"/>
    <n v="0"/>
    <n v="0"/>
    <n v="0"/>
    <n v="0"/>
    <n v="832"/>
    <n v="0"/>
    <n v="0"/>
    <n v="3"/>
    <n v="0"/>
  </r>
  <r>
    <x v="559"/>
    <s v="Akalupur"/>
    <s v="MPG"/>
    <s v="Direct"/>
    <n v="172.39999999999998"/>
    <n v="5774.93"/>
    <n v="173"/>
    <n v="5709.1826880000008"/>
    <n v="0"/>
    <n v="0"/>
    <n v="173"/>
    <n v="5709.1826880000008"/>
    <n v="5709.1826880000008"/>
    <n v="0"/>
    <n v="0"/>
    <n v="0"/>
    <n v="0"/>
    <n v="0"/>
    <n v="0"/>
    <n v="5709"/>
    <n v="0"/>
    <n v="0"/>
    <n v="66"/>
    <n v="0"/>
  </r>
  <r>
    <x v="560"/>
    <s v="Chhotka Sihanpura"/>
    <s v="MPG"/>
    <s v="Direct"/>
    <n v="374.80000000000007"/>
    <n v="12293.55"/>
    <n v="385.19999999999993"/>
    <n v="14567.08500227976"/>
    <n v="6.8"/>
    <n v="241.70305460399999"/>
    <n v="391.99999999999994"/>
    <n v="14808.788056883761"/>
    <n v="12293.55"/>
    <n v="0"/>
    <n v="241.70305460399999"/>
    <n v="2515.2380568837616"/>
    <n v="0"/>
    <n v="0"/>
    <n v="0"/>
    <n v="12052"/>
    <n v="0"/>
    <n v="0"/>
    <n v="0"/>
    <n v="0"/>
  </r>
  <r>
    <x v="561"/>
    <s v="Dharauli"/>
    <s v="MPG"/>
    <s v="Direct"/>
    <n v="283.2"/>
    <n v="11079.630000000001"/>
    <n v="277.8"/>
    <n v="10490.598514940701"/>
    <n v="5.0999999999999996"/>
    <n v="189.18770112000004"/>
    <n v="282.90000000000003"/>
    <n v="10679.7862160607"/>
    <n v="10679.7862160607"/>
    <n v="0"/>
    <n v="189.18770112000004"/>
    <n v="0"/>
    <n v="0"/>
    <n v="0"/>
    <n v="0"/>
    <n v="10488"/>
    <n v="0"/>
    <n v="0"/>
    <n v="402"/>
    <n v="0"/>
  </r>
  <r>
    <x v="562"/>
    <s v="Kaithi"/>
    <s v="MPG"/>
    <s v="Direct"/>
    <n v="290.8"/>
    <n v="9678.57"/>
    <n v="289"/>
    <n v="9636.3051840000026"/>
    <n v="0"/>
    <n v="0"/>
    <n v="289"/>
    <n v="9636.3051840000026"/>
    <n v="9636.3051840000026"/>
    <n v="0"/>
    <n v="0"/>
    <n v="0"/>
    <n v="0"/>
    <n v="0"/>
    <n v="0"/>
    <n v="9636"/>
    <n v="0"/>
    <n v="0"/>
    <n v="43"/>
    <n v="0"/>
  </r>
  <r>
    <x v="563"/>
    <s v="Rangi Dera"/>
    <s v="MPG"/>
    <s v="Direct"/>
    <n v="201.99999999999997"/>
    <n v="7192.3099999999995"/>
    <n v="202"/>
    <n v="7146.165312000001"/>
    <n v="0"/>
    <n v="0"/>
    <n v="202"/>
    <n v="7146.165312000001"/>
    <n v="7146.165312000001"/>
    <n v="0"/>
    <n v="0"/>
    <n v="0"/>
    <n v="0"/>
    <n v="0"/>
    <n v="0"/>
    <n v="7146"/>
    <n v="0"/>
    <n v="0"/>
    <n v="46"/>
    <n v="0"/>
  </r>
  <r>
    <x v="564"/>
    <s v="Dubki"/>
    <s v="MPG"/>
    <s v="Direct"/>
    <n v="84.7"/>
    <n v="3762.33"/>
    <n v="85.06"/>
    <n v="4208.6958101427999"/>
    <n v="0.35"/>
    <n v="17.839951651340002"/>
    <n v="85.41"/>
    <n v="4226.5357617941399"/>
    <n v="3762.33"/>
    <n v="0"/>
    <n v="17.839951651340002"/>
    <n v="464.20576179414002"/>
    <n v="0"/>
    <n v="0"/>
    <n v="0"/>
    <n v="3744"/>
    <n v="0"/>
    <n v="0"/>
    <n v="0"/>
    <n v="0"/>
  </r>
  <r>
    <x v="565"/>
    <s v="Soan"/>
    <s v="MPG"/>
    <s v="Direct"/>
    <n v="506.5"/>
    <n v="19919.169999999998"/>
    <n v="500.84000000000003"/>
    <n v="20000.521366263278"/>
    <n v="5.370000000000001"/>
    <n v="223.51466485286201"/>
    <n v="506.21000000000004"/>
    <n v="20224.036031116138"/>
    <n v="19919.169999999998"/>
    <n v="0"/>
    <n v="223.51466485286201"/>
    <n v="304.86603111614022"/>
    <n v="0"/>
    <n v="0"/>
    <n v="0"/>
    <n v="19696"/>
    <n v="0"/>
    <n v="0"/>
    <n v="0"/>
    <n v="0"/>
  </r>
  <r>
    <x v="566"/>
    <s v="PURANA BHOJPUR                                                                                      "/>
    <s v="MPG"/>
    <s v="Direct"/>
    <n v="365.8"/>
    <n v="13758.280000000002"/>
    <n v="366"/>
    <n v="13721.004158400001"/>
    <n v="0"/>
    <n v="0"/>
    <n v="366"/>
    <n v="13721.004158400001"/>
    <n v="13721.004158400001"/>
    <n v="0"/>
    <n v="0"/>
    <n v="0"/>
    <n v="0"/>
    <n v="0"/>
    <n v="0"/>
    <n v="13721"/>
    <n v="0"/>
    <n v="0"/>
    <n v="37"/>
    <n v="0"/>
  </r>
  <r>
    <x v="567"/>
    <s v="Gomukh Kant"/>
    <s v="MPG"/>
    <s v="Direct"/>
    <n v="121.60000000000001"/>
    <n v="5438.79"/>
    <n v="123.9"/>
    <n v="7313.34393367132"/>
    <n v="0.5"/>
    <n v="26.994905938960002"/>
    <n v="124.4"/>
    <n v="7340.33883961028"/>
    <n v="5438.79"/>
    <n v="0"/>
    <n v="26.994905938960002"/>
    <n v="1901.5488396102801"/>
    <n v="0"/>
    <n v="0"/>
    <n v="0"/>
    <n v="5412"/>
    <n v="0"/>
    <n v="0"/>
    <n v="0"/>
    <n v="0"/>
  </r>
  <r>
    <x v="568"/>
    <s v="Gomukh Naat"/>
    <s v="MPG"/>
    <s v="Direct"/>
    <n v="212.79999999999998"/>
    <n v="8228.4499999999989"/>
    <n v="222.32"/>
    <n v="8570.0561590677025"/>
    <n v="0"/>
    <n v="0"/>
    <n v="222.32"/>
    <n v="8570.0561590677025"/>
    <n v="8228.4499999999989"/>
    <n v="0"/>
    <n v="0"/>
    <n v="341.60615906770363"/>
    <n v="0"/>
    <n v="0"/>
    <n v="0"/>
    <n v="8228"/>
    <n v="0"/>
    <n v="0"/>
    <n v="0"/>
    <n v="0"/>
  </r>
  <r>
    <x v="569"/>
    <s v="Gomukh Raghunathpur"/>
    <s v="MPG"/>
    <s v="Direct"/>
    <n v="452.40000000000003"/>
    <n v="16865.640000000003"/>
    <n v="454.3"/>
    <n v="16624.281703290002"/>
    <n v="7"/>
    <n v="244.60343820000006"/>
    <n v="461.3"/>
    <n v="16868.885141490002"/>
    <n v="16865.640000000003"/>
    <n v="0"/>
    <n v="244.60343820000006"/>
    <n v="3.2451414899987867"/>
    <n v="0"/>
    <n v="0"/>
    <n v="0"/>
    <n v="16621"/>
    <n v="0"/>
    <n v="0"/>
    <n v="0"/>
    <s v="Release1"/>
  </r>
  <r>
    <x v="570"/>
    <s v="Gomukh Tilakraika Hata 1 - Manoj"/>
    <s v="vlc"/>
    <s v="Indirect"/>
    <n v="926.09999999999991"/>
    <n v="30685.489999999998"/>
    <n v="0"/>
    <n v="0"/>
    <n v="0"/>
    <n v="0"/>
    <n v="0"/>
    <n v="0"/>
    <n v="30685.489999999998"/>
    <n v="0"/>
    <n v="0"/>
    <n v="0"/>
    <n v="0"/>
    <n v="0"/>
    <n v="0"/>
    <n v="0"/>
    <n v="0"/>
    <n v="30685.489999999998"/>
    <n v="0"/>
    <n v="0"/>
  </r>
  <r>
    <x v="571"/>
    <s v="Gomukh Murar"/>
    <s v="MPG"/>
    <s v="Direct"/>
    <n v="245.4"/>
    <n v="10590.100000000002"/>
    <n v="246.39999999999998"/>
    <n v="10820.311952349201"/>
    <n v="25.5"/>
    <n v="1154.4399347149001"/>
    <n v="271.89999999999998"/>
    <n v="11974.7518870641"/>
    <n v="10590.100000000002"/>
    <n v="0"/>
    <n v="141.9141625181"/>
    <n v="1384.6518870640975"/>
    <n v="0"/>
    <n v="0"/>
    <n v="0"/>
    <n v="9436"/>
    <n v="1012"/>
    <n v="0"/>
    <n v="0"/>
    <n v="0"/>
  </r>
  <r>
    <x v="572"/>
    <s v="Gomukh Churamanpur                                                                                  "/>
    <s v="MPG"/>
    <s v="Direct"/>
    <n v="247.10000000000002"/>
    <n v="9485.4200000000019"/>
    <n v="249.51"/>
    <n v="9401.6565094354319"/>
    <n v="0"/>
    <n v="0"/>
    <n v="249.51"/>
    <n v="9401.6565094354319"/>
    <n v="9401.6565094354319"/>
    <n v="0"/>
    <n v="0"/>
    <n v="0"/>
    <n v="0"/>
    <n v="0"/>
    <n v="0"/>
    <n v="9401"/>
    <n v="0"/>
    <n v="0"/>
    <n v="84"/>
    <n v="0"/>
  </r>
  <r>
    <x v="573"/>
    <s v="Gomukh Ekauni Karuwaj"/>
    <s v="MPG"/>
    <s v="Direct"/>
    <n v="22.1"/>
    <n v="783.72"/>
    <n v="12"/>
    <n v="443.53267199999999"/>
    <n v="34.5"/>
    <n v="1316.7321030468001"/>
    <n v="46.5"/>
    <n v="1760.2647750468002"/>
    <n v="783.72"/>
    <n v="0"/>
    <n v="0"/>
    <n v="976.54477504680017"/>
    <n v="0"/>
    <n v="0"/>
    <n v="0"/>
    <n v="0"/>
    <n v="784"/>
    <n v="0"/>
    <n v="0"/>
    <s v="Release1"/>
  </r>
  <r>
    <x v="574"/>
    <s v="Kulharia Agriculture Producer Company Limited"/>
    <s v="MPG"/>
    <s v="Direct"/>
    <n v="1507.3"/>
    <n v="58421.740000000005"/>
    <n v="1463.2599999999998"/>
    <n v="57923.312508643095"/>
    <n v="12.879999999999997"/>
    <n v="491.89072521600002"/>
    <n v="1476.1399999999999"/>
    <n v="58415.203233859094"/>
    <n v="58415.203233859094"/>
    <n v="0"/>
    <n v="491.89072521600002"/>
    <n v="0"/>
    <n v="15818"/>
    <n v="0"/>
    <n v="0"/>
    <n v="42104"/>
    <n v="0"/>
    <n v="0"/>
    <n v="8"/>
    <n v="0"/>
  </r>
  <r>
    <x v="575"/>
    <s v="Gomukh Dhakaich"/>
    <s v="MPG"/>
    <s v="Direct"/>
    <n v="202.2"/>
    <n v="7110.12"/>
    <n v="315.13000000000005"/>
    <n v="10687.325945630402"/>
    <n v="0"/>
    <n v="0"/>
    <n v="315.13000000000005"/>
    <n v="10687.325945630402"/>
    <n v="7110.12"/>
    <n v="0"/>
    <n v="0"/>
    <n v="3577.2059456304023"/>
    <n v="0"/>
    <n v="0"/>
    <n v="0"/>
    <n v="7110"/>
    <n v="0"/>
    <n v="0"/>
    <n v="0"/>
    <s v="Release1"/>
  </r>
  <r>
    <x v="576"/>
    <s v="Gomukh Kajipura Chandan"/>
    <s v="vlc"/>
    <s v="Indirect"/>
    <n v="60.2"/>
    <n v="2173.25"/>
    <n v="0"/>
    <n v="0"/>
    <n v="0"/>
    <n v="0"/>
    <n v="0"/>
    <n v="0"/>
    <n v="2173.25"/>
    <n v="0"/>
    <n v="0"/>
    <n v="0"/>
    <n v="0"/>
    <n v="0"/>
    <n v="0"/>
    <n v="0"/>
    <n v="0"/>
    <n v="2173.25"/>
    <n v="0"/>
    <n v="0"/>
  </r>
  <r>
    <x v="577"/>
    <s v="Gomukh Sikraul Lakh"/>
    <s v="MPG"/>
    <s v="Direct"/>
    <n v="370.6"/>
    <n v="14400.06"/>
    <n v="366.15999999999997"/>
    <n v="14215.000877352002"/>
    <n v="4.9000000000000004"/>
    <n v="183.56959961999999"/>
    <n v="371.05999999999995"/>
    <n v="14398.570476972001"/>
    <n v="14398.570476972001"/>
    <n v="0"/>
    <n v="183.56959961999999"/>
    <n v="0"/>
    <n v="0"/>
    <n v="0"/>
    <n v="0"/>
    <n v="14215"/>
    <n v="0"/>
    <n v="0"/>
    <n v="1"/>
    <n v="0"/>
  </r>
  <r>
    <x v="578"/>
    <s v="Gomukh Dafadihari"/>
    <s v="MPG"/>
    <s v="Direct"/>
    <n v="130.69999999999999"/>
    <n v="4734.97"/>
    <n v="136.96"/>
    <n v="5128.4004934025397"/>
    <n v="2.1999999999999997"/>
    <n v="86.831981279999994"/>
    <n v="139.16"/>
    <n v="5215.2324746825398"/>
    <n v="4734.97"/>
    <n v="0"/>
    <n v="86.831981279999994"/>
    <n v="480.26247468253951"/>
    <n v="0"/>
    <n v="0"/>
    <n v="0"/>
    <n v="4648"/>
    <n v="0"/>
    <n v="0"/>
    <n v="0"/>
    <s v="Release1"/>
  </r>
  <r>
    <x v="579"/>
    <s v="Gomukh Paharpur"/>
    <s v="MPG"/>
    <s v="Direct"/>
    <n v="158.49999999999997"/>
    <n v="5492.1100000000006"/>
    <n v="158.5"/>
    <n v="5481.7313760000006"/>
    <n v="0"/>
    <n v="0"/>
    <n v="158.5"/>
    <n v="5481.7313760000006"/>
    <n v="5481.7313760000006"/>
    <n v="0"/>
    <n v="0"/>
    <n v="0"/>
    <n v="0"/>
    <n v="0"/>
    <n v="0"/>
    <n v="5482"/>
    <n v="0"/>
    <n v="0"/>
    <n v="10"/>
    <n v="0"/>
  </r>
  <r>
    <x v="580"/>
    <s v="Gomukh Basaon Kalan"/>
    <s v="MPG"/>
    <s v="Direct"/>
    <n v="239.1"/>
    <n v="8392.7099999999991"/>
    <n v="217.60000000000002"/>
    <n v="8533.4744761200018"/>
    <n v="0"/>
    <n v="0"/>
    <n v="217.60000000000002"/>
    <n v="8533.4744761200018"/>
    <n v="8392.7099999999991"/>
    <n v="0"/>
    <n v="0"/>
    <n v="140.76447612000266"/>
    <n v="0"/>
    <n v="0"/>
    <n v="0"/>
    <n v="8393"/>
    <n v="0"/>
    <n v="0"/>
    <n v="0"/>
    <n v="0"/>
  </r>
  <r>
    <x v="581"/>
    <s v="Gomukh Mangolpur"/>
    <s v="MPG"/>
    <s v="Direct"/>
    <n v="265.10000000000002"/>
    <n v="9162.0800000000017"/>
    <n v="264.10000000000002"/>
    <n v="9269.6095051918201"/>
    <n v="4.5999999999999996"/>
    <n v="154.95976188000003"/>
    <n v="268.70000000000005"/>
    <n v="9424.5692670718199"/>
    <n v="9162.0800000000017"/>
    <n v="0"/>
    <n v="154.95976188000003"/>
    <n v="262.48926707181818"/>
    <n v="0"/>
    <n v="0"/>
    <n v="0"/>
    <n v="9007"/>
    <n v="0"/>
    <n v="0"/>
    <n v="0"/>
    <n v="0"/>
  </r>
  <r>
    <x v="582"/>
    <s v="Gomukh Dhanipur"/>
    <s v="MPG"/>
    <s v="Direct"/>
    <n v="275.10000000000002"/>
    <n v="10056.810000000001"/>
    <n v="282.5"/>
    <n v="10403.055290639111"/>
    <n v="0"/>
    <n v="0"/>
    <n v="282.5"/>
    <n v="10403.055290639111"/>
    <n v="10056.810000000001"/>
    <n v="0"/>
    <n v="0"/>
    <n v="346.24529063910995"/>
    <n v="0"/>
    <n v="0"/>
    <n v="0"/>
    <n v="10057"/>
    <n v="0"/>
    <n v="0"/>
    <n v="0"/>
    <n v="0"/>
  </r>
  <r>
    <x v="583"/>
    <s v="Gomukh Rakshanagar_tola"/>
    <s v="MPG"/>
    <s v="Direct"/>
    <n v="523.40000000000009"/>
    <n v="20937.21"/>
    <n v="603"/>
    <n v="24233.054405528499"/>
    <n v="0"/>
    <n v="0"/>
    <n v="603"/>
    <n v="24233.054405528499"/>
    <n v="20937.21"/>
    <n v="0"/>
    <n v="0"/>
    <n v="3295.8444055284999"/>
    <n v="0"/>
    <n v="0"/>
    <n v="0"/>
    <n v="20937"/>
    <n v="0"/>
    <n v="0"/>
    <n v="0"/>
    <n v="0"/>
  </r>
  <r>
    <x v="584"/>
    <s v="Gomukh Nadaon"/>
    <s v="MPG"/>
    <s v="Direct"/>
    <n v="106.2"/>
    <n v="3277.08"/>
    <n v="79.7"/>
    <n v="3176.7740334000005"/>
    <n v="2.4"/>
    <n v="99.477892800000006"/>
    <n v="82.100000000000009"/>
    <n v="3276.2519262000005"/>
    <n v="3276.2519262000005"/>
    <n v="0"/>
    <n v="99.477892800000006"/>
    <n v="0"/>
    <n v="0"/>
    <n v="0"/>
    <n v="0"/>
    <n v="3177"/>
    <n v="0"/>
    <n v="0"/>
    <n v="1"/>
    <n v="0"/>
  </r>
  <r>
    <x v="585"/>
    <s v="Gomukh Bimhnath Girdhar Baraw"/>
    <s v="vlc"/>
    <s v="Indirect"/>
    <n v="417"/>
    <n v="17264.03"/>
    <n v="0"/>
    <n v="0"/>
    <n v="0"/>
    <n v="0"/>
    <n v="0"/>
    <n v="0"/>
    <n v="17264.03"/>
    <n v="0"/>
    <n v="0"/>
    <n v="0"/>
    <n v="0"/>
    <n v="0"/>
    <n v="0"/>
    <n v="0"/>
    <n v="0"/>
    <n v="17264.03"/>
    <n v="0"/>
    <n v="0"/>
  </r>
  <r>
    <x v="586"/>
    <s v="Gomukh Mathuradera Upendra "/>
    <s v="vlc"/>
    <s v="Indirect"/>
    <n v="171.89999999999998"/>
    <n v="5977.4700000000012"/>
    <n v="0"/>
    <n v="0"/>
    <n v="0"/>
    <n v="0"/>
    <n v="0"/>
    <n v="0"/>
    <n v="5977.4700000000012"/>
    <n v="0"/>
    <n v="0"/>
    <n v="0"/>
    <n v="0"/>
    <n v="0"/>
    <n v="0"/>
    <n v="0"/>
    <n v="0"/>
    <n v="5977.4700000000012"/>
    <n v="0"/>
    <n v="0"/>
  </r>
  <r>
    <x v="587"/>
    <s v="Gomukh Badkagaon Yamunatola"/>
    <s v="MPG"/>
    <s v="Direct"/>
    <n v="48.1"/>
    <n v="1803.33"/>
    <n v="48.800000000000004"/>
    <n v="1793.8305807840002"/>
    <n v="0"/>
    <n v="0"/>
    <n v="48.800000000000004"/>
    <n v="1793.8305807840002"/>
    <n v="1793.8305807840002"/>
    <n v="0"/>
    <n v="0"/>
    <n v="0"/>
    <n v="0"/>
    <n v="0"/>
    <n v="0"/>
    <n v="1794"/>
    <n v="0"/>
    <n v="0"/>
    <n v="9"/>
    <n v="0"/>
  </r>
  <r>
    <x v="588"/>
    <s v="Gomukh Bramhpur"/>
    <s v="MPG"/>
    <s v="Direct"/>
    <n v="128.1"/>
    <n v="4395.9400000000005"/>
    <n v="134.35"/>
    <n v="5399.7200700887406"/>
    <n v="0"/>
    <n v="0"/>
    <n v="134.35"/>
    <n v="5399.7200700887406"/>
    <n v="4395.9400000000005"/>
    <n v="0"/>
    <n v="0"/>
    <n v="1003.7800700887401"/>
    <n v="0"/>
    <n v="0"/>
    <n v="0"/>
    <n v="4396"/>
    <n v="0"/>
    <n v="0"/>
    <n v="0"/>
    <n v="0"/>
  </r>
  <r>
    <x v="589"/>
    <s v="Gomukh Mashariya"/>
    <s v="MPG"/>
    <s v="Direct"/>
    <n v="343.4"/>
    <n v="15270.82"/>
    <n v="334.09000000000003"/>
    <n v="14926.693989448315"/>
    <n v="8.01"/>
    <n v="336.66441727300003"/>
    <n v="342.1"/>
    <n v="15263.358406721314"/>
    <n v="15263.358406721314"/>
    <n v="0"/>
    <n v="336.66441727300003"/>
    <n v="0"/>
    <n v="0"/>
    <n v="0"/>
    <n v="0"/>
    <n v="14927"/>
    <n v="0"/>
    <n v="0"/>
    <n v="7"/>
    <n v="0"/>
  </r>
  <r>
    <x v="590"/>
    <s v="Gomukh Basawkala Sudhir Kumar"/>
    <s v="vlc"/>
    <s v="Indirect"/>
    <n v="28"/>
    <n v="1030.3700000000001"/>
    <n v="0"/>
    <n v="0"/>
    <n v="0"/>
    <n v="0"/>
    <n v="0"/>
    <n v="0"/>
    <n v="1030.3700000000001"/>
    <n v="0"/>
    <n v="0"/>
    <n v="0"/>
    <n v="0"/>
    <n v="0"/>
    <n v="0"/>
    <n v="0"/>
    <n v="0"/>
    <n v="1030.3700000000001"/>
    <n v="0"/>
    <n v="0"/>
  </r>
  <r>
    <x v="591"/>
    <s v="Gomukh KritSagar"/>
    <s v="MPG"/>
    <s v="Direct"/>
    <n v="343.29999999999995"/>
    <n v="13936.050000000001"/>
    <n v="346"/>
    <n v="13930.348212000001"/>
    <n v="0"/>
    <n v="0"/>
    <n v="346"/>
    <n v="13930.348212000001"/>
    <n v="13930.348212000001"/>
    <n v="0"/>
    <n v="0"/>
    <n v="0"/>
    <n v="0"/>
    <n v="0"/>
    <n v="0"/>
    <n v="13930"/>
    <n v="0"/>
    <n v="0"/>
    <n v="6"/>
    <n v="0"/>
  </r>
  <r>
    <x v="592"/>
    <s v="Gomukh Navdera Jaipraksh"/>
    <s v="vlc"/>
    <s v="Indirect"/>
    <n v="310.3"/>
    <n v="12569.16"/>
    <n v="0"/>
    <n v="0"/>
    <n v="0"/>
    <n v="0"/>
    <n v="0"/>
    <n v="0"/>
    <n v="12569.16"/>
    <n v="0"/>
    <n v="0"/>
    <n v="0"/>
    <n v="0"/>
    <n v="0"/>
    <n v="0"/>
    <n v="0"/>
    <n v="0"/>
    <n v="12569.16"/>
    <n v="0"/>
    <n v="0"/>
  </r>
  <r>
    <x v="593"/>
    <s v="Gomukh Ataon"/>
    <s v="MPG"/>
    <s v="Direct"/>
    <n v="633.79999999999995"/>
    <n v="25574.55"/>
    <n v="694.2600000000001"/>
    <n v="29604.077576427539"/>
    <n v="0"/>
    <n v="0"/>
    <n v="694.2600000000001"/>
    <n v="29604.077576427539"/>
    <n v="25574.55"/>
    <n v="0"/>
    <n v="0"/>
    <n v="4029.5275764275393"/>
    <n v="0"/>
    <n v="0"/>
    <n v="0"/>
    <n v="25575"/>
    <n v="0"/>
    <n v="0"/>
    <n v="0"/>
    <n v="0"/>
  </r>
  <r>
    <x v="594"/>
    <s v="Gumukh Gayghat"/>
    <s v="MPG"/>
    <s v="Direct"/>
    <n v="838.5999999999998"/>
    <n v="30589.39"/>
    <n v="855.39"/>
    <n v="35735.072657644807"/>
    <n v="0.22"/>
    <n v="7.8410265120000009"/>
    <n v="855.61"/>
    <n v="35742.913684156803"/>
    <n v="30589.39"/>
    <n v="0"/>
    <n v="7.8410265120000009"/>
    <n v="5153.5236841568039"/>
    <n v="0"/>
    <n v="0"/>
    <n v="0"/>
    <n v="30582"/>
    <n v="0"/>
    <n v="0"/>
    <n v="0"/>
    <n v="0"/>
  </r>
  <r>
    <x v="595"/>
    <s v="Gomukh Shivpur"/>
    <s v="MPG"/>
    <s v="Direct"/>
    <n v="48.1"/>
    <n v="1909.5299999999997"/>
    <n v="50"/>
    <n v="1900.8534600000005"/>
    <n v="0"/>
    <n v="0"/>
    <n v="50"/>
    <n v="1900.8534600000005"/>
    <n v="1900.8534600000005"/>
    <n v="0"/>
    <n v="0"/>
    <n v="0"/>
    <n v="0"/>
    <n v="0"/>
    <n v="0"/>
    <n v="1901"/>
    <n v="0"/>
    <n v="0"/>
    <n v="9"/>
    <n v="0"/>
  </r>
  <r>
    <x v="596"/>
    <s v="Gomukh Chakki Janardan Yadav"/>
    <s v="vlc"/>
    <s v="Indirect"/>
    <n v="67.3"/>
    <n v="2317.2200000000003"/>
    <n v="0"/>
    <n v="0"/>
    <n v="0"/>
    <n v="0"/>
    <n v="0"/>
    <n v="0"/>
    <n v="2317.2200000000003"/>
    <n v="0"/>
    <n v="0"/>
    <n v="0"/>
    <n v="0"/>
    <n v="0"/>
    <n v="0"/>
    <n v="0"/>
    <n v="0"/>
    <n v="2317.2200000000003"/>
    <n v="0"/>
    <n v="0"/>
  </r>
  <r>
    <x v="597"/>
    <s v="Gomukh Rajpur"/>
    <s v="MPG"/>
    <s v="Direct"/>
    <n v="1170.0999999999999"/>
    <n v="44348.160000000003"/>
    <n v="1155.3799999999999"/>
    <n v="43685.220667288711"/>
    <n v="13.77"/>
    <n v="530.69952909600011"/>
    <n v="1169.1499999999999"/>
    <n v="44215.920196384708"/>
    <n v="44215.920196384708"/>
    <n v="0"/>
    <n v="530.69952909600011"/>
    <n v="0"/>
    <n v="0"/>
    <n v="0"/>
    <n v="0"/>
    <n v="43685"/>
    <n v="0"/>
    <n v="0"/>
    <n v="132"/>
    <s v="Release2"/>
  </r>
  <r>
    <x v="598"/>
    <s v="Gomukh Gangauli Dubha"/>
    <s v="MPG"/>
    <s v="Direct"/>
    <n v="147"/>
    <n v="5475.5499999999993"/>
    <n v="150.5"/>
    <n v="5544.72548052"/>
    <n v="2.5"/>
    <n v="93.4587918"/>
    <n v="153"/>
    <n v="5638.1842723199998"/>
    <n v="5475.5499999999993"/>
    <n v="0"/>
    <n v="93.4587918"/>
    <n v="162.63427232000049"/>
    <n v="2560"/>
    <n v="0"/>
    <n v="0"/>
    <n v="2822"/>
    <n v="0"/>
    <n v="0"/>
    <n v="0"/>
    <n v="0"/>
  </r>
  <r>
    <x v="599"/>
    <s v="Tiyar A2 Milk Producer Company Limited"/>
    <s v="vlc"/>
    <s v="Indirect"/>
    <n v="59.5"/>
    <n v="2434.44"/>
    <n v="0"/>
    <n v="0"/>
    <n v="0"/>
    <n v="0"/>
    <n v="0"/>
    <n v="0"/>
    <n v="2434.44"/>
    <n v="0"/>
    <n v="0"/>
    <n v="0"/>
    <n v="0"/>
    <n v="0"/>
    <n v="0"/>
    <n v="0"/>
    <n v="0"/>
    <n v="2434.44"/>
    <n v="0"/>
    <n v="0"/>
  </r>
  <r>
    <x v="600"/>
    <s v="Gomukh Jagdishpur"/>
    <s v="MPG"/>
    <s v="Direct"/>
    <n v="1412.6"/>
    <n v="47337.770000000004"/>
    <n v="1422"/>
    <n v="47302.928402400001"/>
    <n v="0"/>
    <n v="0"/>
    <n v="1422"/>
    <n v="47302.928402400001"/>
    <n v="47302.928402400001"/>
    <n v="0"/>
    <n v="0"/>
    <n v="0"/>
    <n v="0"/>
    <n v="0"/>
    <n v="0"/>
    <n v="47303"/>
    <n v="0"/>
    <n v="0"/>
    <n v="35"/>
    <n v="0"/>
  </r>
  <r>
    <x v="601"/>
    <s v="Gumukh Orap Khurd"/>
    <s v="MPG"/>
    <s v="Direct"/>
    <n v="233.4"/>
    <n v="7937.58"/>
    <n v="232"/>
    <n v="7931.8609920000017"/>
    <n v="0"/>
    <n v="0"/>
    <n v="232"/>
    <n v="7931.8609920000017"/>
    <n v="7931.8609920000017"/>
    <n v="0"/>
    <n v="0"/>
    <n v="0"/>
    <n v="541"/>
    <n v="0"/>
    <n v="0"/>
    <n v="7391"/>
    <n v="0"/>
    <n v="0"/>
    <n v="6"/>
    <s v="Release2"/>
  </r>
  <r>
    <x v="602"/>
    <s v="Gomukh Daunpura Manendra"/>
    <s v="vlc"/>
    <s v="Indirect"/>
    <n v="163.29999999999998"/>
    <n v="6124.74"/>
    <n v="0"/>
    <n v="0"/>
    <n v="0"/>
    <n v="0"/>
    <n v="0"/>
    <n v="0"/>
    <n v="6124.74"/>
    <n v="0"/>
    <n v="0"/>
    <n v="0"/>
    <n v="0"/>
    <n v="0"/>
    <n v="0"/>
    <n v="0"/>
    <n v="0"/>
    <n v="6124.74"/>
    <n v="0"/>
    <n v="0"/>
  </r>
  <r>
    <x v="603"/>
    <s v="Gumukh Mathiyapur"/>
    <s v="MPG"/>
    <s v="Direct"/>
    <n v="260.40000000000003"/>
    <n v="10169.75"/>
    <n v="253.86999999999998"/>
    <n v="10151.043040908002"/>
    <n v="0"/>
    <n v="0"/>
    <n v="253.86999999999998"/>
    <n v="10151.043040908002"/>
    <n v="10151.043040908002"/>
    <n v="0"/>
    <n v="0"/>
    <n v="0"/>
    <n v="0"/>
    <n v="0"/>
    <n v="0"/>
    <n v="10151"/>
    <n v="0"/>
    <n v="0"/>
    <n v="19"/>
    <n v="0"/>
  </r>
  <r>
    <x v="604"/>
    <s v="Gomukh Raghunathpur Dasrath"/>
    <s v="vlc"/>
    <s v="Indirect"/>
    <n v="407.4"/>
    <n v="15621.63"/>
    <n v="0"/>
    <n v="0"/>
    <n v="0"/>
    <n v="0"/>
    <n v="0"/>
    <n v="0"/>
    <n v="15621.63"/>
    <n v="0"/>
    <n v="0"/>
    <n v="0"/>
    <n v="6400"/>
    <n v="0"/>
    <n v="0"/>
    <n v="0"/>
    <n v="0"/>
    <n v="9221.6299999999992"/>
    <n v="0"/>
    <n v="0"/>
  </r>
  <r>
    <x v="605"/>
    <s v="Gomukh Lakshman Dera Raja"/>
    <s v="vlc"/>
    <s v="Indirect"/>
    <n v="387.9"/>
    <n v="12973.219999999998"/>
    <n v="0"/>
    <n v="0"/>
    <n v="0"/>
    <n v="0"/>
    <n v="0"/>
    <n v="0"/>
    <n v="12973.219999999998"/>
    <n v="0"/>
    <n v="0"/>
    <n v="0"/>
    <n v="0"/>
    <n v="0"/>
    <n v="0"/>
    <n v="0"/>
    <n v="0"/>
    <n v="12973.219999999998"/>
    <n v="0"/>
    <n v="0"/>
  </r>
  <r>
    <x v="606"/>
    <s v="Gomukh Arion Govind "/>
    <s v="vlc"/>
    <s v="Indirect"/>
    <n v="203.8"/>
    <n v="7635.87"/>
    <n v="0"/>
    <n v="0"/>
    <n v="0"/>
    <n v="0"/>
    <n v="0"/>
    <n v="0"/>
    <n v="7635.87"/>
    <n v="0"/>
    <n v="0"/>
    <n v="0"/>
    <n v="0"/>
    <n v="0"/>
    <n v="0"/>
    <n v="0"/>
    <n v="0"/>
    <n v="7635.87"/>
    <n v="0"/>
    <n v="0"/>
  </r>
  <r>
    <x v="607"/>
    <s v="Gumukh Niyajipur Nakchhedi Pathak Dera"/>
    <s v="MPG"/>
    <s v="Direct"/>
    <n v="268.7"/>
    <n v="12117.300000000001"/>
    <n v="290.2"/>
    <n v="14961.337493344752"/>
    <n v="0"/>
    <n v="0"/>
    <n v="290.2"/>
    <n v="14961.337493344752"/>
    <n v="12117.300000000001"/>
    <n v="0"/>
    <n v="0"/>
    <n v="2844.0374933447511"/>
    <n v="0"/>
    <n v="0"/>
    <n v="0"/>
    <n v="12117"/>
    <n v="0"/>
    <n v="0"/>
    <n v="0"/>
    <n v="0"/>
  </r>
  <r>
    <x v="608"/>
    <s v="Gumukh Basawkala Dahpura Tola"/>
    <s v="MPG"/>
    <s v="Direct"/>
    <n v="417.1"/>
    <n v="18159.590000000004"/>
    <n v="412.42"/>
    <n v="18113.237366837526"/>
    <n v="0"/>
    <n v="0"/>
    <n v="412.42"/>
    <n v="18113.237366837526"/>
    <n v="18113.237366837526"/>
    <n v="0"/>
    <n v="0"/>
    <n v="0"/>
    <n v="0"/>
    <n v="0"/>
    <n v="0"/>
    <n v="18113"/>
    <n v="0"/>
    <n v="0"/>
    <n v="47"/>
    <n v="0"/>
  </r>
  <r>
    <x v="609"/>
    <s v="Gaachhi Tola"/>
    <s v="vlc"/>
    <s v="Indirect"/>
    <n v="918.2"/>
    <n v="38742.950000000004"/>
    <n v="0"/>
    <n v="0"/>
    <n v="0"/>
    <n v="0"/>
    <n v="0"/>
    <n v="0"/>
    <n v="38742.950000000004"/>
    <n v="0"/>
    <n v="0"/>
    <n v="0"/>
    <n v="0"/>
    <n v="0"/>
    <n v="0"/>
    <n v="0"/>
    <n v="0"/>
    <n v="38742.950000000004"/>
    <n v="0"/>
    <n v="0"/>
  </r>
  <r>
    <x v="610"/>
    <s v="VISHWASHPUR"/>
    <s v="RMC"/>
    <s v="Direct"/>
    <n v="528"/>
    <n v="17635.2"/>
    <n v="527.1"/>
    <n v="18348.230222388003"/>
    <n v="5.3"/>
    <n v="184.30407864"/>
    <n v="532.4"/>
    <n v="18532.534301028005"/>
    <n v="17635.2"/>
    <n v="0"/>
    <n v="184.30407864"/>
    <n v="897.33430102800412"/>
    <n v="0"/>
    <n v="0"/>
    <n v="0"/>
    <n v="17451"/>
    <n v="0"/>
    <n v="0"/>
    <n v="0"/>
    <n v="0"/>
  </r>
  <r>
    <x v="611"/>
    <s v="KUMARPUIR KATHARA"/>
    <s v="RMC"/>
    <s v="Direct"/>
    <n v="1144"/>
    <n v="39570.959999999999"/>
    <n v="1151.9000000000001"/>
    <n v="39813.575179326537"/>
    <n v="15.299999999999999"/>
    <n v="706.35282454168009"/>
    <n v="1167.2"/>
    <n v="40519.928003868219"/>
    <n v="39570.959999999999"/>
    <n v="0"/>
    <n v="706.35282454168009"/>
    <n v="948.96800386821997"/>
    <n v="0"/>
    <n v="0"/>
    <n v="0"/>
    <n v="38865"/>
    <n v="0"/>
    <n v="0"/>
    <n v="0"/>
    <s v="Release1"/>
  </r>
  <r>
    <x v="612"/>
    <s v="KUDHIYA MPG"/>
    <s v="RMC"/>
    <s v="Direct"/>
    <n v="326.10000000000002"/>
    <n v="14729.05"/>
    <n v="323.09999999999997"/>
    <n v="14673.748654716701"/>
    <n v="4"/>
    <n v="155.23627680000004"/>
    <n v="327.09999999999997"/>
    <n v="14828.984931516701"/>
    <n v="14729.05"/>
    <n v="0"/>
    <n v="155.23627680000004"/>
    <n v="99.934931516701909"/>
    <n v="0"/>
    <n v="0"/>
    <n v="0"/>
    <n v="14574"/>
    <n v="0"/>
    <n v="0"/>
    <n v="0"/>
    <n v="0"/>
  </r>
  <r>
    <x v="613"/>
    <s v="SHAHJADPUR MPG"/>
    <s v="RMC"/>
    <s v="Direct"/>
    <n v="930.25"/>
    <n v="34204.350000000006"/>
    <n v="944.2"/>
    <n v="41538.595484038087"/>
    <n v="6.3"/>
    <n v="280.99151541560002"/>
    <n v="950.5"/>
    <n v="41819.586999453684"/>
    <n v="34204.350000000006"/>
    <n v="0"/>
    <n v="280.99151541560002"/>
    <n v="7615.2369994536784"/>
    <n v="0"/>
    <n v="0"/>
    <n v="0"/>
    <n v="33923"/>
    <n v="0"/>
    <n v="0"/>
    <n v="0"/>
    <s v="Release1"/>
  </r>
  <r>
    <x v="614"/>
    <s v="FARDA - 3"/>
    <s v="RMC"/>
    <s v="Direct"/>
    <n v="1850.6999999999998"/>
    <n v="64912.499999999993"/>
    <n v="730.09999999999991"/>
    <n v="25941.2120154"/>
    <n v="1161.1000000000001"/>
    <n v="40734.914782320011"/>
    <n v="1891.2"/>
    <n v="66676.126797720004"/>
    <n v="64912.499999999993"/>
    <n v="0"/>
    <n v="191.92059216000001"/>
    <n v="1763.6267977200114"/>
    <n v="0"/>
    <n v="0"/>
    <n v="0"/>
    <n v="24177"/>
    <n v="40544"/>
    <n v="0"/>
    <n v="0"/>
    <n v="0"/>
  </r>
  <r>
    <x v="615"/>
    <s v="CHANDANPURA"/>
    <s v="vlc"/>
    <s v="Indirect"/>
    <n v="558.20000000000016"/>
    <n v="31340.400000000005"/>
    <n v="0"/>
    <n v="0"/>
    <n v="0"/>
    <n v="0"/>
    <n v="0"/>
    <n v="0"/>
    <n v="31340.400000000005"/>
    <n v="0"/>
    <n v="0"/>
    <n v="0"/>
    <n v="0"/>
    <n v="0"/>
    <n v="0"/>
    <n v="0"/>
    <n v="0"/>
    <n v="31340.400000000005"/>
    <n v="0"/>
    <n v="0"/>
  </r>
  <r>
    <x v="616"/>
    <s v="MANIKPUR"/>
    <s v="RMC"/>
    <s v="Direct"/>
    <n v="768.5"/>
    <n v="29932.869999999995"/>
    <n v="9"/>
    <n v="356.40997920000007"/>
    <n v="770.2"/>
    <n v="30146.2855452"/>
    <n v="779.2"/>
    <n v="30502.695524400002"/>
    <n v="29932.869999999995"/>
    <n v="0"/>
    <n v="204.80375520000004"/>
    <n v="569.82552440000654"/>
    <n v="0"/>
    <n v="311.93"/>
    <n v="0"/>
    <n v="356"/>
    <n v="29060"/>
    <n v="0"/>
    <n v="0"/>
    <s v="Release2"/>
  </r>
  <r>
    <x v="617"/>
    <s v="JAKARPURA"/>
    <s v="vlc"/>
    <s v="Indirect"/>
    <n v="2313.2000000000003"/>
    <n v="87009.180000000008"/>
    <n v="0"/>
    <n v="0"/>
    <n v="0"/>
    <n v="0"/>
    <n v="0"/>
    <n v="0"/>
    <n v="87009.180000000008"/>
    <n v="0"/>
    <n v="0"/>
    <n v="0"/>
    <n v="0"/>
    <n v="0"/>
    <n v="0"/>
    <n v="0"/>
    <n v="0"/>
    <n v="87009.180000000008"/>
    <n v="0"/>
    <n v="0"/>
  </r>
  <r>
    <x v="618"/>
    <s v="KISHANPUR"/>
    <s v="vlc"/>
    <s v="Indirect"/>
    <n v="367.3"/>
    <n v="12690.630000000001"/>
    <n v="0"/>
    <n v="0"/>
    <n v="0"/>
    <n v="0"/>
    <n v="0"/>
    <n v="0"/>
    <n v="12690.630000000001"/>
    <n v="0"/>
    <n v="0"/>
    <n v="0"/>
    <n v="9580"/>
    <n v="3110.8166322580632"/>
    <n v="0"/>
    <n v="0"/>
    <n v="0"/>
    <n v="-0.18663225806221817"/>
    <n v="0"/>
    <n v="0"/>
  </r>
  <r>
    <x v="619"/>
    <s v="NANDPUR"/>
    <s v="vlc"/>
    <s v="Indirect"/>
    <n v="1707.6000000000001"/>
    <n v="62872.539999999994"/>
    <n v="0"/>
    <n v="0"/>
    <n v="0"/>
    <n v="0"/>
    <n v="0"/>
    <n v="0"/>
    <n v="62872.539999999994"/>
    <n v="0"/>
    <n v="0"/>
    <n v="0"/>
    <n v="0"/>
    <n v="0"/>
    <n v="0"/>
    <n v="0"/>
    <n v="0"/>
    <n v="62872.539999999994"/>
    <n v="0"/>
    <n v="0"/>
  </r>
  <r>
    <x v="620"/>
    <s v="NOWAGADHI"/>
    <s v="RMC"/>
    <s v="Direct"/>
    <n v="1867"/>
    <n v="68493.440000000002"/>
    <n v="1898.8999999999999"/>
    <n v="69211.808271567264"/>
    <n v="17.399999999999999"/>
    <n v="686.76272279999989"/>
    <n v="1916.3"/>
    <n v="69898.57099436727"/>
    <n v="68493.440000000002"/>
    <n v="0"/>
    <n v="686.76272279999989"/>
    <n v="1405.1309943672677"/>
    <n v="0"/>
    <n v="0"/>
    <n v="0"/>
    <n v="67807"/>
    <n v="0"/>
    <n v="0"/>
    <n v="0"/>
    <s v="Release3"/>
  </r>
  <r>
    <x v="621"/>
    <s v="MAHADAT PUR 2"/>
    <s v="RMC"/>
    <s v="Direct"/>
    <n v="2500.6"/>
    <n v="92858.589999999967"/>
    <n v="2451.1"/>
    <n v="91042.647110022823"/>
    <n v="49.5"/>
    <n v="1813.4955828000002"/>
    <n v="2500.6"/>
    <n v="92856.142692822817"/>
    <n v="92856.142692822817"/>
    <n v="0"/>
    <n v="1813.4955828000002"/>
    <n v="0"/>
    <n v="0"/>
    <n v="0"/>
    <n v="0"/>
    <n v="91043"/>
    <n v="0"/>
    <n v="0"/>
    <n v="2"/>
    <n v="0"/>
  </r>
  <r>
    <x v="622"/>
    <s v="KATHELA TOLA TELDHI"/>
    <s v="RMC"/>
    <s v="Direct"/>
    <n v="133"/>
    <n v="4339.79"/>
    <n v="133"/>
    <n v="4339.9732899600012"/>
    <n v="0"/>
    <n v="0"/>
    <n v="133"/>
    <n v="4339.9732899600012"/>
    <n v="4339.79"/>
    <n v="0"/>
    <n v="0"/>
    <n v="0.18328996000127518"/>
    <n v="0"/>
    <n v="4340"/>
    <n v="0"/>
    <n v="0"/>
    <n v="0"/>
    <n v="0"/>
    <n v="0"/>
    <s v="Release2"/>
  </r>
  <r>
    <x v="623"/>
    <s v="SONBARSHA 1"/>
    <s v="RMC"/>
    <s v="Direct"/>
    <n v="787"/>
    <n v="27077.93"/>
    <n v="779"/>
    <n v="26799.594624000005"/>
    <n v="8"/>
    <n v="275.88844800000004"/>
    <n v="787"/>
    <n v="27075.483072000006"/>
    <n v="27075.483072000006"/>
    <n v="0"/>
    <n v="275.88844800000004"/>
    <n v="0"/>
    <n v="0"/>
    <n v="5764.5"/>
    <n v="0"/>
    <n v="21037"/>
    <n v="0"/>
    <n v="0"/>
    <n v="1"/>
    <s v="Release1"/>
  </r>
  <r>
    <x v="624"/>
    <s v="GANOUL"/>
    <s v="RMC"/>
    <s v="Indirect"/>
    <n v="622"/>
    <n v="21306.58"/>
    <n v="451"/>
    <n v="15451.340256000003"/>
    <n v="0"/>
    <n v="0"/>
    <n v="451"/>
    <n v="15451.340256000003"/>
    <n v="21306.58"/>
    <n v="0"/>
    <n v="41.185267200000013"/>
    <n v="0"/>
    <n v="0"/>
    <n v="0"/>
    <n v="0"/>
    <n v="0"/>
    <n v="0"/>
    <n v="21265.394732800003"/>
    <n v="0"/>
    <n v="0"/>
  </r>
  <r>
    <x v="625"/>
    <s v="Gauripur"/>
    <s v="RMC"/>
    <s v="Direct"/>
    <n v="1985"/>
    <n v="67333.549999999988"/>
    <n v="1977"/>
    <n v="67065.479712"/>
    <n v="8"/>
    <n v="271.53244800000004"/>
    <n v="1985"/>
    <n v="67337.012159999998"/>
    <n v="67333.549999999988"/>
    <n v="0"/>
    <n v="271.53244800000004"/>
    <n v="3.4621600000100443"/>
    <n v="0"/>
    <n v="11267.25"/>
    <n v="0"/>
    <n v="55795"/>
    <n v="0"/>
    <n v="0"/>
    <n v="0"/>
    <s v="Release1"/>
  </r>
  <r>
    <x v="626"/>
    <s v="Bhramarpur"/>
    <s v="RMC"/>
    <s v="Direct"/>
    <n v="2741"/>
    <n v="92974.39"/>
    <n v="1490"/>
    <n v="50545.693440000003"/>
    <n v="1253"/>
    <n v="42501.891168000002"/>
    <n v="2743"/>
    <n v="93047.584608000005"/>
    <n v="92974.39"/>
    <n v="0"/>
    <n v="203.55033600000004"/>
    <n v="73.194608000005246"/>
    <n v="0"/>
    <n v="13980.396000000004"/>
    <n v="0"/>
    <n v="36491"/>
    <n v="42299"/>
    <n v="0"/>
    <n v="0"/>
    <n v="0"/>
  </r>
  <r>
    <x v="627"/>
    <s v="Gomukh Sadananpur"/>
    <s v="MPG"/>
    <s v="Direct"/>
    <n v="148.49999999999997"/>
    <n v="5210.4500000000007"/>
    <n v="266.2"/>
    <n v="9745.1572600800009"/>
    <n v="0"/>
    <n v="0"/>
    <n v="266.2"/>
    <n v="9745.1572600800009"/>
    <n v="5210.4500000000007"/>
    <n v="0"/>
    <n v="0"/>
    <n v="4534.7072600800002"/>
    <n v="0"/>
    <n v="114.03"/>
    <n v="0"/>
    <n v="5096"/>
    <n v="0"/>
    <n v="0"/>
    <n v="0"/>
    <s v="Release1"/>
  </r>
  <r>
    <x v="628"/>
    <s v="TILAKPUR  2"/>
    <s v="RMC"/>
    <s v="Direct"/>
    <n v="168.85"/>
    <n v="5885.0700000000006"/>
    <n v="174.79999999999998"/>
    <n v="6252.2033997060016"/>
    <n v="1.3"/>
    <n v="47.727189576000008"/>
    <n v="176.1"/>
    <n v="6299.9305892820021"/>
    <n v="5885.0700000000006"/>
    <n v="0"/>
    <n v="47.727189576000008"/>
    <n v="414.86058928200146"/>
    <n v="0"/>
    <n v="0"/>
    <n v="0"/>
    <n v="5837"/>
    <n v="0"/>
    <n v="0"/>
    <n v="0"/>
    <n v="0"/>
  </r>
  <r>
    <x v="629"/>
    <s v="TILAKPUR"/>
    <s v="MPG"/>
    <s v="Direct"/>
    <n v="500.15"/>
    <n v="14825.130000000001"/>
    <n v="418.4"/>
    <n v="12816.806997258"/>
    <n v="1.2"/>
    <n v="37.411259886000011"/>
    <n v="419.59999999999997"/>
    <n v="12854.218257143999"/>
    <n v="12854.218257143999"/>
    <n v="0"/>
    <n v="37.411259886000011"/>
    <n v="0"/>
    <n v="0"/>
    <n v="0"/>
    <n v="0"/>
    <n v="12817"/>
    <n v="0"/>
    <n v="0"/>
    <n v="1971"/>
    <n v="0"/>
  </r>
  <r>
    <x v="630"/>
    <s v="Prasharpur Kadwa Gomukh"/>
    <s v="MPG"/>
    <s v="Direct"/>
    <n v="348.69999999999993"/>
    <n v="11524.149999999998"/>
    <n v="346.79999999999995"/>
    <n v="11792.527098264001"/>
    <n v="3.4999999999999996"/>
    <n v="119.45419417800002"/>
    <n v="350.29999999999995"/>
    <n v="11911.981292442002"/>
    <n v="11524.149999999998"/>
    <n v="0"/>
    <n v="119.45419417800002"/>
    <n v="387.83129244200427"/>
    <n v="0"/>
    <n v="0"/>
    <n v="0"/>
    <n v="11405"/>
    <n v="0"/>
    <n v="0"/>
    <n v="0"/>
    <n v="0"/>
  </r>
  <r>
    <x v="631"/>
    <s v="Borwa Tola Gomukh"/>
    <s v="vlc"/>
    <s v="Indirect"/>
    <n v="247.79999999999998"/>
    <n v="8619.9500000000007"/>
    <n v="247.90000000000003"/>
    <n v="8629.2707048460015"/>
    <n v="0"/>
    <n v="0"/>
    <n v="247.90000000000003"/>
    <n v="8629.2707048460015"/>
    <n v="8619.9500000000007"/>
    <n v="0"/>
    <n v="0"/>
    <n v="9.3207048460008082"/>
    <n v="0"/>
    <n v="0"/>
    <n v="0"/>
    <n v="0"/>
    <n v="0"/>
    <n v="8619.9500000000007"/>
    <n v="0"/>
    <n v="0"/>
  </r>
  <r>
    <x v="632"/>
    <s v="Sheela Devi"/>
    <s v="vlc"/>
    <s v="Indirect"/>
    <n v="294"/>
    <n v="9608.3700000000008"/>
    <n v="0"/>
    <n v="0"/>
    <n v="0"/>
    <n v="0"/>
    <n v="0"/>
    <n v="0"/>
    <n v="9608.3700000000008"/>
    <n v="0"/>
    <n v="0"/>
    <n v="0"/>
    <n v="0"/>
    <n v="9.2101935483871955"/>
    <n v="0"/>
    <n v="0"/>
    <n v="0"/>
    <n v="9599.1598064516129"/>
    <n v="0"/>
    <n v="0"/>
  </r>
  <r>
    <x v="633"/>
    <s v="Gomukh Vijay Lalganj"/>
    <s v="MPG"/>
    <s v="Direct"/>
    <n v="337.09999999999997"/>
    <n v="12845.880000000001"/>
    <n v="336.5"/>
    <n v="12924.799854120001"/>
    <n v="1.3"/>
    <n v="50.425408440000005"/>
    <n v="337.8"/>
    <n v="12975.225262560001"/>
    <n v="12845.880000000001"/>
    <n v="0"/>
    <n v="50.425408440000005"/>
    <n v="129.34526256000026"/>
    <n v="0"/>
    <n v="0"/>
    <n v="0"/>
    <n v="12795"/>
    <n v="0"/>
    <n v="0"/>
    <n v="0"/>
    <n v="0"/>
  </r>
  <r>
    <x v="634"/>
    <s v="Gomukh Sarswati Nagar Nakdahri"/>
    <s v="MPG"/>
    <s v="Direct"/>
    <n v="401.2"/>
    <n v="15057.04"/>
    <n v="268.34000000000003"/>
    <n v="10576.141885216801"/>
    <n v="141.27000000000001"/>
    <n v="5705.5568057457604"/>
    <n v="409.61"/>
    <n v="16281.698690962561"/>
    <n v="15057.04"/>
    <n v="0"/>
    <n v="131.39508729600001"/>
    <n v="1224.6586909625603"/>
    <n v="0"/>
    <n v="0"/>
    <n v="0"/>
    <n v="9351"/>
    <n v="5575"/>
    <n v="0"/>
    <n v="0"/>
    <n v="0"/>
  </r>
  <r>
    <x v="635"/>
    <s v="Gomukh Krishna Dairy Tulsipur"/>
    <s v="MPG"/>
    <s v="Direct"/>
    <n v="428.70000000000005"/>
    <n v="14122.220000000003"/>
    <n v="468.26000000000005"/>
    <n v="18169.85455379666"/>
    <n v="0"/>
    <n v="0"/>
    <n v="468.26000000000005"/>
    <n v="18169.85455379666"/>
    <n v="14122.220000000003"/>
    <n v="0"/>
    <n v="0"/>
    <n v="4047.6345537966572"/>
    <n v="0"/>
    <n v="0"/>
    <n v="0"/>
    <n v="14122"/>
    <n v="0"/>
    <n v="0"/>
    <n v="0"/>
    <n v="0"/>
  </r>
  <r>
    <x v="636"/>
    <s v="Gomukh Lauwalagam"/>
    <s v="MPG"/>
    <s v="Direct"/>
    <n v="106.5"/>
    <n v="3534.39"/>
    <n v="113.8"/>
    <n v="3925.4743206360008"/>
    <n v="0"/>
    <n v="0"/>
    <n v="113.8"/>
    <n v="3925.4743206360008"/>
    <n v="3534.39"/>
    <n v="0"/>
    <n v="0"/>
    <n v="391.08432063600094"/>
    <n v="0"/>
    <n v="0"/>
    <n v="0"/>
    <n v="3534"/>
    <n v="0"/>
    <n v="0"/>
    <n v="0"/>
    <n v="0"/>
  </r>
  <r>
    <x v="637"/>
    <s v="Dhobina Basa"/>
    <s v="MPG"/>
    <s v="Direct"/>
    <n v="575.19999999999993"/>
    <n v="21398.270000000004"/>
    <n v="254.59999999999997"/>
    <n v="9801.1892563199999"/>
    <n v="257.59999999999997"/>
    <n v="9921.3253484400011"/>
    <n v="512.19999999999993"/>
    <n v="19722.514604759999"/>
    <n v="19722.514604759999"/>
    <n v="0"/>
    <n v="79.400288880000019"/>
    <n v="0"/>
    <n v="0"/>
    <n v="0"/>
    <n v="0"/>
    <n v="9801"/>
    <n v="9842"/>
    <n v="0"/>
    <n v="1676"/>
    <n v="0"/>
  </r>
  <r>
    <x v="638"/>
    <s v="Gomukh Shreepur Madhay"/>
    <s v="MPG"/>
    <s v="Direct"/>
    <n v="1283.6000000000004"/>
    <n v="49979.18"/>
    <n v="1244"/>
    <n v="49253.058439200016"/>
    <n v="40.500000000000007"/>
    <n v="1595.1978306000001"/>
    <n v="1284.5"/>
    <n v="50848.256269800018"/>
    <n v="49979.18"/>
    <n v="0"/>
    <n v="1284.725277"/>
    <n v="869.07626980001805"/>
    <n v="0"/>
    <n v="0"/>
    <n v="0"/>
    <n v="48384"/>
    <n v="310"/>
    <n v="0"/>
    <n v="0"/>
    <n v="0"/>
  </r>
  <r>
    <x v="639"/>
    <s v="Gomukh Dhoriya Dadpur -VLC"/>
    <s v="vlc"/>
    <s v="Indirect"/>
    <n v="60.3"/>
    <n v="2191.6799999999998"/>
    <n v="0"/>
    <n v="0"/>
    <n v="0"/>
    <n v="0"/>
    <n v="0"/>
    <n v="0"/>
    <n v="2191.6799999999998"/>
    <n v="0"/>
    <n v="0"/>
    <n v="0"/>
    <n v="0"/>
    <n v="0"/>
    <n v="0"/>
    <n v="0"/>
    <n v="0"/>
    <n v="2191.6799999999998"/>
    <n v="0"/>
    <n v="0"/>
  </r>
  <r>
    <x v="640"/>
    <s v="Gomukh Mohanpur  VLC"/>
    <s v="vlc"/>
    <s v="Indirect"/>
    <n v="310.59999999999997"/>
    <n v="10585.45"/>
    <n v="0"/>
    <n v="0"/>
    <n v="0"/>
    <n v="0"/>
    <n v="0"/>
    <n v="0"/>
    <n v="10585.45"/>
    <n v="0"/>
    <n v="0"/>
    <n v="0"/>
    <n v="0"/>
    <n v="0"/>
    <n v="0"/>
    <n v="0"/>
    <n v="0"/>
    <n v="10585.45"/>
    <n v="0"/>
    <n v="0"/>
  </r>
  <r>
    <x v="641"/>
    <s v="Gomukh Abhirampur VLC"/>
    <s v="vlc"/>
    <s v="Indirect"/>
    <n v="254.6"/>
    <n v="9492.65"/>
    <n v="0"/>
    <n v="0"/>
    <n v="0"/>
    <n v="0"/>
    <n v="0"/>
    <n v="0"/>
    <n v="9492.65"/>
    <n v="0"/>
    <n v="0"/>
    <n v="0"/>
    <n v="0"/>
    <n v="0"/>
    <n v="0"/>
    <n v="0"/>
    <n v="0"/>
    <n v="9492.65"/>
    <n v="0"/>
    <n v="0"/>
  </r>
  <r>
    <x v="642"/>
    <s v="Gomukh Pachgachhia Vlc"/>
    <s v="vlc"/>
    <s v="Indirect"/>
    <n v="178.6"/>
    <n v="6456.8700000000008"/>
    <n v="0"/>
    <n v="0"/>
    <n v="0"/>
    <n v="0"/>
    <n v="0"/>
    <n v="0"/>
    <n v="6456.8700000000008"/>
    <n v="0"/>
    <n v="0"/>
    <n v="0"/>
    <n v="0"/>
    <n v="0"/>
    <n v="0"/>
    <n v="0"/>
    <n v="0"/>
    <n v="6456.8700000000008"/>
    <n v="0"/>
    <n v="0"/>
  </r>
  <r>
    <x v="643"/>
    <s v="KUNTHA M"/>
    <s v="RMC"/>
    <s v="Direct"/>
    <n v="647"/>
    <n v="16912.580000000002"/>
    <n v="683.80000000000018"/>
    <n v="24935.2316928"/>
    <n v="10.8"/>
    <n v="415.01940480000007"/>
    <n v="694.60000000000014"/>
    <n v="25350.251097600001"/>
    <n v="16912.580000000002"/>
    <n v="0"/>
    <n v="415.01940480000007"/>
    <n v="8437.6710975999995"/>
    <n v="0"/>
    <n v="0"/>
    <n v="0"/>
    <n v="16498"/>
    <n v="0"/>
    <n v="0"/>
    <n v="0"/>
    <s v="Release1"/>
  </r>
  <r>
    <x v="644"/>
    <s v="ARAK"/>
    <s v="MPG"/>
    <s v="Direct"/>
    <n v="1978.4999999999993"/>
    <n v="72921.320000000007"/>
    <n v="1980.7"/>
    <n v="74485.387175496304"/>
    <n v="12.4"/>
    <n v="611.02941950915999"/>
    <n v="1993.1000000000001"/>
    <n v="75096.416595005459"/>
    <n v="72921.320000000007"/>
    <n v="0"/>
    <n v="611.02941950915999"/>
    <n v="2175.0965950054524"/>
    <n v="0"/>
    <n v="0"/>
    <n v="0"/>
    <n v="72310"/>
    <n v="0"/>
    <n v="0"/>
    <n v="0"/>
    <n v="0"/>
  </r>
  <r>
    <x v="645"/>
    <s v="Diyaman"/>
    <s v="MPG"/>
    <s v="Direct"/>
    <n v="1687.8999999999999"/>
    <n v="66944.39"/>
    <n v="1673.7999999999997"/>
    <n v="67687.316028920322"/>
    <n v="6.57"/>
    <n v="261.88866158400003"/>
    <n v="1680.3699999999997"/>
    <n v="67949.204690504324"/>
    <n v="66944.39"/>
    <n v="0"/>
    <n v="261.88866158400003"/>
    <n v="1004.814690504325"/>
    <n v="0"/>
    <n v="0"/>
    <n v="0"/>
    <n v="66683"/>
    <n v="0"/>
    <n v="0"/>
    <n v="0"/>
    <n v="0"/>
  </r>
  <r>
    <x v="646"/>
    <s v="HENHA"/>
    <s v="MPG"/>
    <s v="Direct"/>
    <n v="2142.6999999999998"/>
    <n v="79455.37"/>
    <n v="2279.3000000000002"/>
    <n v="94747.857834168011"/>
    <n v="26.099999999999998"/>
    <n v="1457.7932097326002"/>
    <n v="2305.4"/>
    <n v="96205.651043900609"/>
    <n v="79455.37"/>
    <n v="0"/>
    <n v="1457.7932097326002"/>
    <n v="16750.281043900613"/>
    <n v="0"/>
    <n v="0"/>
    <n v="0"/>
    <n v="77998"/>
    <n v="0"/>
    <n v="0"/>
    <n v="0"/>
    <n v="0"/>
  </r>
  <r>
    <x v="647"/>
    <s v="Suddh Dairy"/>
    <s v="vlc"/>
    <s v="Indirect"/>
    <n v="19251"/>
    <n v="666304.07999999996"/>
    <n v="0"/>
    <n v="0"/>
    <n v="0"/>
    <n v="0"/>
    <n v="0"/>
    <n v="0"/>
    <n v="666304.07999999996"/>
    <n v="0"/>
    <n v="0"/>
    <n v="0"/>
    <n v="0"/>
    <n v="0"/>
    <n v="0"/>
    <n v="0"/>
    <n v="0"/>
    <n v="666304.07999999996"/>
    <n v="0"/>
    <n v="0"/>
  </r>
  <r>
    <x v="648"/>
    <s v="Anik Kumar"/>
    <s v="vlc"/>
    <s v="Indirect"/>
    <n v="5394"/>
    <n v="214252.78"/>
    <n v="0"/>
    <n v="0"/>
    <n v="0"/>
    <n v="0"/>
    <n v="0"/>
    <n v="0"/>
    <n v="214252.78"/>
    <n v="0"/>
    <n v="0"/>
    <n v="0"/>
    <n v="0"/>
    <n v="0"/>
    <n v="0"/>
    <n v="0"/>
    <n v="0"/>
    <n v="214252.78"/>
    <n v="0"/>
    <n v="0"/>
  </r>
  <r>
    <x v="649"/>
    <s v="Nand Kishor Kumar"/>
    <s v="vlc"/>
    <s v="Indirect"/>
    <n v="4100"/>
    <n v="127100.5"/>
    <n v="0"/>
    <n v="0"/>
    <n v="0"/>
    <n v="0"/>
    <n v="0"/>
    <n v="0"/>
    <n v="127100.5"/>
    <n v="0"/>
    <n v="0"/>
    <n v="0"/>
    <n v="0"/>
    <n v="0"/>
    <n v="0"/>
    <n v="0"/>
    <n v="0"/>
    <n v="127100.5"/>
    <n v="0"/>
    <n v="0"/>
  </r>
  <r>
    <x v="650"/>
    <s v="Gomukh CHANDAULI"/>
    <s v="MPG"/>
    <s v="Direct"/>
    <n v="1110.5"/>
    <n v="45784.079999999994"/>
    <n v="1108.2499999999998"/>
    <n v="46461.536710520886"/>
    <n v="10.55"/>
    <n v="438.05492953200002"/>
    <n v="1118.7999999999997"/>
    <n v="46899.591640052888"/>
    <n v="45784.079999999994"/>
    <n v="0"/>
    <n v="438.05492953200002"/>
    <n v="1115.5116400528932"/>
    <n v="0"/>
    <n v="0"/>
    <n v="0"/>
    <n v="45346"/>
    <n v="0"/>
    <n v="0"/>
    <n v="0"/>
    <n v="0"/>
  </r>
  <r>
    <x v="651"/>
    <s v="GOMUKH HATHA"/>
    <s v="MPG"/>
    <s v="Direct"/>
    <n v="1115.3499999999999"/>
    <n v="46414.610000000008"/>
    <n v="1122.1799999999998"/>
    <n v="46574.946786094319"/>
    <n v="12.66"/>
    <n v="542.341549332"/>
    <n v="1134.8399999999999"/>
    <n v="47117.288335426318"/>
    <n v="46414.610000000008"/>
    <n v="0"/>
    <n v="542.341549332"/>
    <n v="702.67833542630979"/>
    <n v="15263"/>
    <n v="0"/>
    <n v="0"/>
    <n v="30609"/>
    <n v="0"/>
    <n v="0"/>
    <n v="0"/>
    <n v="0"/>
  </r>
  <r>
    <x v="652"/>
    <s v="GOMUKH VADEYA"/>
    <s v="MPG"/>
    <s v="Direct"/>
    <n v="532.85"/>
    <n v="23289.940000000002"/>
    <n v="534.70000000000005"/>
    <n v="22591.579550988623"/>
    <n v="8.82"/>
    <n v="679.31125042237977"/>
    <n v="543.5200000000001"/>
    <n v="23270.890801411002"/>
    <n v="23270.890801411002"/>
    <n v="0"/>
    <n v="679.31125042237977"/>
    <n v="0"/>
    <n v="874"/>
    <n v="28.325332258064165"/>
    <n v="0"/>
    <n v="21690"/>
    <n v="0"/>
    <n v="0"/>
    <n v="18"/>
    <n v="0"/>
  </r>
  <r>
    <x v="653"/>
    <s v="GOMUKH CHANDPURA"/>
    <s v="MPG"/>
    <s v="Direct"/>
    <n v="358.94999999999993"/>
    <n v="16600.120000000003"/>
    <n v="356.66999999999996"/>
    <n v="16469.605614634951"/>
    <n v="7.0100000000000007"/>
    <n v="311.94000461124006"/>
    <n v="363.67999999999995"/>
    <n v="16781.54561924619"/>
    <n v="16600.120000000003"/>
    <n v="0"/>
    <n v="311.94000461124006"/>
    <n v="181.42561924618713"/>
    <n v="2062"/>
    <n v="98.719519354838397"/>
    <n v="0"/>
    <n v="14127"/>
    <n v="0"/>
    <n v="0"/>
    <n v="0"/>
    <s v="Release3"/>
  </r>
  <r>
    <x v="654"/>
    <s v="GOMUKH BARGAMA"/>
    <s v="MPG"/>
    <s v="Direct"/>
    <n v="1117.6499999999999"/>
    <n v="44370.15"/>
    <n v="1107.6299999999999"/>
    <n v="42480.868489719898"/>
    <n v="45.760000000000005"/>
    <n v="1880.9878444848002"/>
    <n v="1153.3899999999999"/>
    <n v="44361.856334204698"/>
    <n v="44361.856334204698"/>
    <n v="0"/>
    <n v="1880.9878444848002"/>
    <n v="0"/>
    <n v="0"/>
    <n v="0"/>
    <n v="0"/>
    <n v="42479"/>
    <n v="0"/>
    <n v="0"/>
    <n v="10"/>
    <n v="0"/>
  </r>
  <r>
    <x v="655"/>
    <s v="Gomukh Gograha Tola"/>
    <s v="MPG"/>
    <s v="Direct"/>
    <n v="418.40000000000009"/>
    <n v="18516.859999999997"/>
    <n v="416.84000000000003"/>
    <n v="18621.991393513388"/>
    <n v="2.14"/>
    <n v="98.208036445200008"/>
    <n v="418.98"/>
    <n v="18720.199429958589"/>
    <n v="18516.859999999997"/>
    <n v="0"/>
    <n v="98.208036445200008"/>
    <n v="203.33942995859252"/>
    <n v="0"/>
    <n v="0"/>
    <n v="0"/>
    <n v="18419"/>
    <n v="0"/>
    <n v="0"/>
    <n v="0"/>
    <n v="0"/>
  </r>
  <r>
    <x v="656"/>
    <s v="Gomukh Patsara"/>
    <s v="MPG"/>
    <s v="Direct"/>
    <n v="370.4"/>
    <n v="18212.36"/>
    <n v="368.90999999999997"/>
    <n v="18099.423088720789"/>
    <n v="3.5"/>
    <n v="153.0389880658"/>
    <n v="372.40999999999997"/>
    <n v="18252.462076786589"/>
    <n v="18212.36"/>
    <n v="0"/>
    <n v="153.0389880658"/>
    <n v="40.102076786588441"/>
    <n v="0"/>
    <n v="0"/>
    <n v="0"/>
    <n v="18059"/>
    <n v="0"/>
    <n v="0"/>
    <n v="0"/>
    <n v="0"/>
  </r>
  <r>
    <x v="657"/>
    <s v="Gomukh Singhiya"/>
    <s v="vlc"/>
    <s v="Indirect"/>
    <n v="8347.7999999999993"/>
    <n v="322996.66000000003"/>
    <n v="0"/>
    <n v="0"/>
    <n v="0"/>
    <n v="0"/>
    <n v="0"/>
    <n v="0"/>
    <n v="322996.66000000003"/>
    <n v="0"/>
    <n v="0"/>
    <n v="0"/>
    <n v="0"/>
    <n v="0"/>
    <n v="0"/>
    <n v="0"/>
    <n v="0"/>
    <n v="322996.66000000003"/>
    <n v="0"/>
    <n v="0"/>
  </r>
  <r>
    <x v="658"/>
    <s v="Gomukh BALHA "/>
    <s v="vlc"/>
    <s v="Indirect"/>
    <n v="2985.2999999999997"/>
    <n v="122059.58999999998"/>
    <n v="0"/>
    <n v="0"/>
    <n v="0"/>
    <n v="0"/>
    <n v="0"/>
    <n v="0"/>
    <n v="122059.58999999998"/>
    <n v="0"/>
    <n v="0"/>
    <n v="0"/>
    <n v="0"/>
    <n v="0"/>
    <n v="0"/>
    <n v="0"/>
    <n v="0"/>
    <n v="122059.58999999998"/>
    <n v="0"/>
    <n v="0"/>
  </r>
  <r>
    <x v="659"/>
    <s v="Gomukh Madhopur"/>
    <s v="vlc"/>
    <s v="Indirect"/>
    <n v="344.75"/>
    <n v="13993.02"/>
    <n v="0"/>
    <n v="0"/>
    <n v="0"/>
    <n v="0"/>
    <n v="0"/>
    <n v="0"/>
    <n v="13993.02"/>
    <n v="0"/>
    <n v="0"/>
    <n v="0"/>
    <n v="0"/>
    <n v="298.626570967742"/>
    <n v="0"/>
    <n v="0"/>
    <n v="0"/>
    <n v="13694.393429032258"/>
    <n v="0"/>
    <n v="0"/>
  </r>
  <r>
    <x v="660"/>
    <s v="Gomukh Kalyanpur East"/>
    <s v="vlc"/>
    <s v="Indirect"/>
    <n v="303.2"/>
    <n v="11811.100000000002"/>
    <n v="0"/>
    <n v="0"/>
    <n v="0"/>
    <n v="0"/>
    <n v="0"/>
    <n v="0"/>
    <n v="11811.100000000002"/>
    <n v="0"/>
    <n v="0"/>
    <n v="0"/>
    <n v="0"/>
    <n v="493.30853225806408"/>
    <n v="0"/>
    <n v="0"/>
    <n v="0"/>
    <n v="11317.791467741938"/>
    <n v="0"/>
    <n v="0"/>
  </r>
  <r>
    <x v="661"/>
    <s v="Gomukh Bazidpur"/>
    <s v="vlc"/>
    <s v="Indirect"/>
    <n v="1479"/>
    <n v="62471.099999999977"/>
    <n v="0"/>
    <n v="0"/>
    <n v="0"/>
    <n v="0"/>
    <n v="0"/>
    <n v="0"/>
    <n v="62471.099999999977"/>
    <n v="0"/>
    <n v="0"/>
    <n v="0"/>
    <n v="7500"/>
    <n v="0"/>
    <n v="0"/>
    <n v="0"/>
    <n v="0"/>
    <n v="54971.099999999977"/>
    <n v="0"/>
    <n v="0"/>
  </r>
  <r>
    <x v="662"/>
    <s v="Gomukh Belsandi"/>
    <s v="vlc"/>
    <s v="Indirect"/>
    <n v="973.9000000000002"/>
    <n v="41597.629999999997"/>
    <n v="0"/>
    <n v="0"/>
    <n v="0"/>
    <n v="0"/>
    <n v="0"/>
    <n v="0"/>
    <n v="41597.629999999997"/>
    <n v="0"/>
    <n v="0"/>
    <n v="0"/>
    <n v="1350"/>
    <n v="0"/>
    <n v="0"/>
    <n v="0"/>
    <n v="0"/>
    <n v="40247.629999999997"/>
    <n v="0"/>
    <n v="0"/>
  </r>
  <r>
    <x v="663"/>
    <s v="Gomukh Belsandi East"/>
    <s v="vlc"/>
    <s v="Indirect"/>
    <n v="1241.3499999999999"/>
    <n v="50972.87"/>
    <n v="0"/>
    <n v="0"/>
    <n v="0"/>
    <n v="0"/>
    <n v="0"/>
    <n v="0"/>
    <n v="50972.87"/>
    <n v="0"/>
    <n v="0"/>
    <n v="0"/>
    <n v="0"/>
    <n v="0"/>
    <n v="0"/>
    <n v="0"/>
    <n v="0"/>
    <n v="50972.87"/>
    <n v="0"/>
    <n v="0"/>
  </r>
  <r>
    <x v="664"/>
    <s v="Gomukh Belsandi West Tola"/>
    <s v="vlc"/>
    <s v="Indirect"/>
    <n v="218.20000000000002"/>
    <n v="8275.18"/>
    <n v="0"/>
    <n v="0"/>
    <n v="0"/>
    <n v="0"/>
    <n v="0"/>
    <n v="0"/>
    <n v="8275.18"/>
    <n v="0"/>
    <n v="0"/>
    <n v="0"/>
    <n v="0"/>
    <n v="291.11587741935512"/>
    <n v="0"/>
    <n v="0"/>
    <n v="0"/>
    <n v="7984.0641225806448"/>
    <n v="0"/>
    <n v="0"/>
  </r>
  <r>
    <x v="665"/>
    <s v="Gomukh Gopalpur"/>
    <s v="vlc"/>
    <s v="Indirect"/>
    <n v="1396.75"/>
    <n v="59225.47"/>
    <n v="0"/>
    <n v="0"/>
    <n v="0"/>
    <n v="0"/>
    <n v="0"/>
    <n v="0"/>
    <n v="59225.47"/>
    <n v="0"/>
    <n v="0"/>
    <n v="0"/>
    <n v="1500"/>
    <n v="0"/>
    <n v="0"/>
    <n v="0"/>
    <n v="0"/>
    <n v="57725.47"/>
    <n v="0"/>
    <n v="0"/>
  </r>
  <r>
    <x v="666"/>
    <s v="Gomukh Bharav"/>
    <s v="MPG"/>
    <s v="Direct"/>
    <n v="454.49999999999989"/>
    <n v="23517.410000000003"/>
    <n v="456.88000000000005"/>
    <n v="23172.51078523164"/>
    <n v="7.34"/>
    <n v="339.41820916408005"/>
    <n v="464.22"/>
    <n v="23511.928994395719"/>
    <n v="23511.928994395719"/>
    <n v="0"/>
    <n v="339.41820916408005"/>
    <n v="0"/>
    <n v="1500"/>
    <n v="0"/>
    <n v="0"/>
    <n v="21672"/>
    <n v="0"/>
    <n v="0"/>
    <n v="6"/>
    <n v="0"/>
  </r>
  <r>
    <x v="667"/>
    <s v="Gomukh Harpur"/>
    <s v="MPG"/>
    <s v="Direct"/>
    <n v="938.19999999999993"/>
    <n v="38381.990000000005"/>
    <n v="929.9899999999999"/>
    <n v="37767.969057426184"/>
    <n v="13.709999999999999"/>
    <n v="547.66442924820001"/>
    <n v="943.69999999999993"/>
    <n v="38315.633486674385"/>
    <n v="38315.633486674385"/>
    <n v="0"/>
    <n v="547.66442924820001"/>
    <n v="0"/>
    <n v="0"/>
    <n v="0"/>
    <n v="0"/>
    <n v="37771"/>
    <n v="0"/>
    <n v="0"/>
    <n v="63"/>
    <n v="0"/>
  </r>
  <r>
    <x v="668"/>
    <s v="Gomukh Fulhatta"/>
    <s v="MPG"/>
    <s v="Direct"/>
    <n v="856.74999999999989"/>
    <n v="43941.419999999991"/>
    <n v="868.51"/>
    <n v="44068.738633959889"/>
    <n v="0"/>
    <n v="0"/>
    <n v="868.51"/>
    <n v="44068.738633959889"/>
    <n v="43941.419999999991"/>
    <n v="0"/>
    <n v="0"/>
    <n v="127.31863395989785"/>
    <n v="0"/>
    <n v="0"/>
    <n v="0"/>
    <n v="43941"/>
    <n v="0"/>
    <n v="0"/>
    <n v="0"/>
    <n v="0"/>
  </r>
  <r>
    <x v="669"/>
    <s v="Gomukh Birauli Khurd"/>
    <s v="MPG"/>
    <s v="Direct"/>
    <n v="507.44999999999993"/>
    <n v="22094.400000000001"/>
    <n v="523.09999999999991"/>
    <n v="21442.256432516231"/>
    <n v="14.589999999999998"/>
    <n v="613.44358606221613"/>
    <n v="537.68999999999994"/>
    <n v="22055.700018578449"/>
    <n v="22055.700018578449"/>
    <n v="0"/>
    <n v="613.44358606221613"/>
    <n v="0"/>
    <n v="6882"/>
    <n v="244.31533548387134"/>
    <n v="0"/>
    <n v="14315"/>
    <n v="0"/>
    <n v="0"/>
    <n v="40"/>
    <s v="Release2"/>
  </r>
  <r>
    <x v="670"/>
    <s v="Gomukh Bedauliya"/>
    <s v="vlc"/>
    <s v="Indirect"/>
    <n v="502.84999999999997"/>
    <n v="19767.069999999992"/>
    <n v="0"/>
    <n v="0"/>
    <n v="0"/>
    <n v="0"/>
    <n v="0"/>
    <n v="0"/>
    <n v="19767.069999999992"/>
    <n v="0"/>
    <n v="0"/>
    <n v="0"/>
    <n v="0"/>
    <n v="0"/>
    <n v="0"/>
    <n v="0"/>
    <n v="0"/>
    <n v="19767.069999999992"/>
    <n v="0"/>
    <n v="0"/>
  </r>
  <r>
    <x v="671"/>
    <s v="Gomukh Khanua"/>
    <s v="MPG"/>
    <s v="Direct"/>
    <n v="548.55000000000007"/>
    <n v="23915.93"/>
    <n v="535.07999999999993"/>
    <n v="24051.992959026546"/>
    <n v="6.02"/>
    <n v="258.90100632000002"/>
    <n v="541.09999999999991"/>
    <n v="24310.893965346546"/>
    <n v="23915.93"/>
    <n v="0"/>
    <n v="258.90100632000002"/>
    <n v="394.96396534654559"/>
    <n v="2276"/>
    <n v="0"/>
    <n v="0"/>
    <n v="21381"/>
    <n v="0"/>
    <n v="0"/>
    <n v="0"/>
    <n v="0"/>
  </r>
  <r>
    <x v="672"/>
    <s v="Gomukh Hiralalpur"/>
    <s v="vlc"/>
    <s v="Indirect"/>
    <n v="2626.95"/>
    <n v="105472.77000000002"/>
    <n v="0"/>
    <n v="0"/>
    <n v="0"/>
    <n v="0"/>
    <n v="0"/>
    <n v="0"/>
    <n v="105472.77000000002"/>
    <n v="0"/>
    <n v="0"/>
    <n v="0"/>
    <n v="0"/>
    <n v="0"/>
    <n v="0"/>
    <n v="0"/>
    <n v="0"/>
    <n v="105472.77000000002"/>
    <n v="0"/>
    <n v="0"/>
  </r>
  <r>
    <x v="673"/>
    <s v="Gomukh Punas"/>
    <s v="MPG"/>
    <s v="Direct"/>
    <n v="777.05"/>
    <n v="34006.559999999998"/>
    <n v="768.38999999999987"/>
    <n v="33479.177795636038"/>
    <n v="11.73"/>
    <n v="493.188933996"/>
    <n v="780.11999999999989"/>
    <n v="33972.366729632042"/>
    <n v="33972.366729632042"/>
    <n v="0"/>
    <n v="493.188933996"/>
    <n v="0"/>
    <n v="0"/>
    <n v="533.59714838709704"/>
    <n v="0"/>
    <n v="32945"/>
    <n v="0"/>
    <n v="0"/>
    <n v="35"/>
    <n v="0"/>
  </r>
  <r>
    <x v="674"/>
    <s v="Gomukh Loharkha"/>
    <s v="MPG"/>
    <s v="Direct"/>
    <n v="425.95"/>
    <n v="19473.02"/>
    <n v="422.06"/>
    <n v="19382.922376653001"/>
    <n v="1.74"/>
    <n v="85.22343681000001"/>
    <n v="423.8"/>
    <n v="19468.145813463001"/>
    <n v="19468.145813463001"/>
    <n v="0"/>
    <n v="85.22343681000001"/>
    <n v="0"/>
    <n v="0"/>
    <n v="0"/>
    <n v="0"/>
    <n v="19385"/>
    <n v="0"/>
    <n v="0"/>
    <n v="3"/>
    <n v="0"/>
  </r>
  <r>
    <x v="675"/>
    <s v="Gomukh Dighra"/>
    <s v="MPG"/>
    <s v="Direct"/>
    <n v="287.15000000000003"/>
    <n v="9674.09"/>
    <n v="287.19"/>
    <n v="10086.466508137799"/>
    <n v="1.32"/>
    <n v="45.183500861399999"/>
    <n v="288.51"/>
    <n v="10131.650008999199"/>
    <n v="9674.09"/>
    <n v="0"/>
    <n v="45.183500861399999"/>
    <n v="457.56000899919854"/>
    <n v="0"/>
    <n v="94.889912903225877"/>
    <n v="0"/>
    <n v="9534"/>
    <n v="0"/>
    <n v="0"/>
    <n v="0"/>
    <n v="0"/>
  </r>
  <r>
    <x v="676"/>
    <s v="Basuwari"/>
    <s v="MPG"/>
    <s v="Direct"/>
    <n v="348.59999999999997"/>
    <n v="12837.179999999998"/>
    <n v="344.9199999999999"/>
    <n v="12585.122812260184"/>
    <n v="5.77"/>
    <n v="227.89277617650603"/>
    <n v="350.68999999999988"/>
    <n v="12813.01558843669"/>
    <n v="12813.01558843669"/>
    <n v="0"/>
    <n v="227.89277617650603"/>
    <n v="0"/>
    <n v="0"/>
    <n v="0"/>
    <n v="0"/>
    <n v="12584"/>
    <n v="0"/>
    <n v="0"/>
    <n v="25"/>
    <n v="0"/>
  </r>
  <r>
    <x v="677"/>
    <s v="Belsandi 3"/>
    <s v="vlc"/>
    <s v="Indirect"/>
    <n v="1806.7999999999997"/>
    <n v="68849.05"/>
    <n v="0"/>
    <n v="0"/>
    <n v="0"/>
    <n v="0"/>
    <n v="0"/>
    <n v="0"/>
    <n v="68849.05"/>
    <n v="0"/>
    <n v="0"/>
    <n v="0"/>
    <n v="0"/>
    <n v="0"/>
    <n v="0"/>
    <n v="0"/>
    <n v="0"/>
    <n v="68849.05"/>
    <n v="0"/>
    <n v="0"/>
  </r>
  <r>
    <x v="678"/>
    <s v="Gomukh Bhagwanpur"/>
    <s v="vlc"/>
    <s v="Indirect"/>
    <n v="48.650000000000006"/>
    <n v="2286.06"/>
    <n v="0"/>
    <n v="0"/>
    <n v="0"/>
    <n v="0"/>
    <n v="0"/>
    <n v="0"/>
    <n v="2286.06"/>
    <n v="0"/>
    <n v="0"/>
    <n v="0"/>
    <n v="0"/>
    <n v="408.58372258064514"/>
    <n v="0"/>
    <n v="0"/>
    <n v="0"/>
    <n v="1877.4762774193548"/>
    <n v="0"/>
    <n v="0"/>
  </r>
  <r>
    <x v="679"/>
    <s v="GOMUKH HARPUR W-13"/>
    <s v="MPG"/>
    <s v="Direct"/>
    <n v="1924.8999999999999"/>
    <n v="76006.280000000013"/>
    <n v="1891.7700000000002"/>
    <n v="74681.882705331562"/>
    <n v="28.680000000000003"/>
    <n v="1138.3862640480002"/>
    <n v="1920.4500000000003"/>
    <n v="75820.268969379569"/>
    <n v="75820.268969379569"/>
    <n v="0"/>
    <n v="1138.3862640480002"/>
    <n v="0"/>
    <n v="5243"/>
    <n v="0"/>
    <n v="0"/>
    <n v="69441"/>
    <n v="0"/>
    <n v="0"/>
    <n v="184"/>
    <n v="0"/>
  </r>
  <r>
    <x v="680"/>
    <s v="Gomukh Ratwara"/>
    <s v="MPG"/>
    <s v="Direct"/>
    <n v="168.8"/>
    <n v="6244.94"/>
    <n v="165.64"/>
    <n v="6209.0161617330004"/>
    <n v="0"/>
    <n v="0"/>
    <n v="165.64"/>
    <n v="6209.0161617330004"/>
    <n v="6209.0161617330004"/>
    <n v="0"/>
    <n v="0"/>
    <n v="0"/>
    <n v="0"/>
    <n v="0"/>
    <n v="0"/>
    <n v="6208"/>
    <n v="0"/>
    <n v="0"/>
    <n v="37"/>
    <n v="0"/>
  </r>
  <r>
    <x v="681"/>
    <s v="Gomukh Fulhara"/>
    <s v="vlc"/>
    <s v="Indirect"/>
    <n v="1725.4499999999996"/>
    <n v="81979.000000000015"/>
    <n v="0"/>
    <n v="0"/>
    <n v="0"/>
    <n v="0"/>
    <n v="0"/>
    <n v="0"/>
    <n v="81979.000000000015"/>
    <n v="0"/>
    <n v="0"/>
    <n v="0"/>
    <n v="0"/>
    <n v="0"/>
    <n v="0"/>
    <n v="0"/>
    <n v="0"/>
    <n v="81979.000000000015"/>
    <n v="0"/>
    <n v="0"/>
  </r>
  <r>
    <x v="682"/>
    <s v="Gomukh Ranitola"/>
    <s v="vlc"/>
    <s v="Indirect"/>
    <n v="477.25"/>
    <n v="20125.480000000003"/>
    <n v="0"/>
    <n v="0"/>
    <n v="0"/>
    <n v="0"/>
    <n v="0"/>
    <n v="0"/>
    <n v="20125.480000000003"/>
    <n v="0"/>
    <n v="0"/>
    <n v="0"/>
    <n v="0"/>
    <n v="0"/>
    <n v="0"/>
    <n v="0"/>
    <n v="0"/>
    <n v="20125.480000000003"/>
    <n v="0"/>
    <n v="0"/>
  </r>
  <r>
    <x v="683"/>
    <s v="Gomukh Malinagar East"/>
    <s v="MPG"/>
    <s v="Direct"/>
    <n v="754.95000000000016"/>
    <n v="31028.5"/>
    <n v="755.99000000000012"/>
    <n v="30889.631148361168"/>
    <n v="4.4799999999999995"/>
    <n v="185.66193800862004"/>
    <n v="760.47000000000014"/>
    <n v="31075.293086369787"/>
    <n v="31028.5"/>
    <n v="0"/>
    <n v="185.66193800862004"/>
    <n v="46.793086369787488"/>
    <n v="0"/>
    <n v="0"/>
    <n v="0"/>
    <n v="30843"/>
    <n v="0"/>
    <n v="0"/>
    <n v="0"/>
    <n v="0"/>
  </r>
  <r>
    <x v="684"/>
    <s v="GOMUKH Singhiya Ward 11"/>
    <s v="vlc"/>
    <s v="Indirect"/>
    <n v="107.30000000000001"/>
    <n v="6061.6900000000005"/>
    <n v="0"/>
    <n v="0"/>
    <n v="0"/>
    <n v="0"/>
    <n v="0"/>
    <n v="0"/>
    <n v="6061.6900000000005"/>
    <n v="0"/>
    <n v="0"/>
    <n v="0"/>
    <n v="3000"/>
    <n v="595.2187258064514"/>
    <n v="0"/>
    <n v="0"/>
    <n v="0"/>
    <n v="2466.4712741935491"/>
    <n v="0"/>
    <n v="0"/>
  </r>
  <r>
    <x v="685"/>
    <s v="GOMUKH MANIYARPUR"/>
    <s v="MPG"/>
    <s v="Direct"/>
    <n v="966.3"/>
    <n v="40986.300000000003"/>
    <n v="957.5200000000001"/>
    <n v="40450.831841582301"/>
    <n v="14.639999999999999"/>
    <n v="629.27630686800001"/>
    <n v="972.16000000000008"/>
    <n v="41080.108148450301"/>
    <n v="40986.300000000003"/>
    <n v="0"/>
    <n v="629.27630686800001"/>
    <n v="93.808148450298177"/>
    <n v="7"/>
    <n v="0"/>
    <n v="0"/>
    <n v="40350"/>
    <n v="0"/>
    <n v="0"/>
    <n v="0"/>
    <n v="0"/>
  </r>
  <r>
    <x v="686"/>
    <s v="GOMUKH DIGHRA W-6"/>
    <s v="MPG"/>
    <s v="Direct"/>
    <n v="1267.2499999999998"/>
    <n v="47350.14"/>
    <n v="1263.32"/>
    <n v="49027.714731940046"/>
    <n v="8.6300000000000008"/>
    <n v="361.22344911250008"/>
    <n v="1271.95"/>
    <n v="49388.938181052545"/>
    <n v="47350.14"/>
    <n v="0"/>
    <n v="361.22344911250008"/>
    <n v="2038.7981810525453"/>
    <n v="16263"/>
    <n v="0"/>
    <n v="0"/>
    <n v="30726"/>
    <n v="0"/>
    <n v="0"/>
    <n v="0"/>
    <n v="0"/>
  </r>
  <r>
    <x v="687"/>
    <s v="GOMUKH BANDRA W-6"/>
    <s v="MPG"/>
    <s v="Direct"/>
    <n v="549.6"/>
    <n v="22512.560000000005"/>
    <n v="556.37999999999988"/>
    <n v="22178.826675229047"/>
    <n v="8.18"/>
    <n v="322.78840214940004"/>
    <n v="564.55999999999983"/>
    <n v="22501.615077378447"/>
    <n v="22501.615077378447"/>
    <n v="0"/>
    <n v="322.78840214940004"/>
    <n v="0"/>
    <n v="2535"/>
    <n v="0"/>
    <n v="0"/>
    <n v="19646"/>
    <n v="0"/>
    <n v="0"/>
    <n v="9"/>
    <n v="0"/>
  </r>
  <r>
    <x v="688"/>
    <s v="GOMUKH PARAN 2"/>
    <s v="MPG"/>
    <s v="Direct"/>
    <n v="134.75"/>
    <n v="7185.24"/>
    <n v="139.82"/>
    <n v="7023.2246687107408"/>
    <n v="3.15"/>
    <n v="157.90380678089599"/>
    <n v="142.97"/>
    <n v="7181.1284754916369"/>
    <n v="7181.1284754916369"/>
    <n v="0"/>
    <n v="157.90380678089599"/>
    <n v="0"/>
    <n v="0"/>
    <n v="0"/>
    <n v="0"/>
    <n v="7023"/>
    <n v="0"/>
    <n v="0"/>
    <n v="4"/>
    <n v="0"/>
  </r>
  <r>
    <x v="689"/>
    <s v="GOMUKH KHARAGPUR"/>
    <s v="MPG"/>
    <s v="Direct"/>
    <n v="319.55"/>
    <n v="16197.689999999999"/>
    <n v="317.34000000000003"/>
    <n v="16486.868718197304"/>
    <n v="0"/>
    <n v="0"/>
    <n v="317.34000000000003"/>
    <n v="16486.868718197304"/>
    <n v="16197.689999999999"/>
    <n v="0"/>
    <n v="0"/>
    <n v="289.17871819730499"/>
    <n v="0"/>
    <n v="0"/>
    <n v="0"/>
    <n v="16198"/>
    <n v="0"/>
    <n v="0"/>
    <n v="0"/>
    <n v="0"/>
  </r>
  <r>
    <x v="690"/>
    <s v="KAMARGAMA"/>
    <s v="vlc"/>
    <s v="Indirect"/>
    <n v="458.70000000000005"/>
    <n v="26611.29"/>
    <n v="0"/>
    <n v="0"/>
    <n v="0"/>
    <n v="0"/>
    <n v="0"/>
    <n v="0"/>
    <n v="26611.29"/>
    <n v="0"/>
    <n v="0"/>
    <n v="0"/>
    <n v="0"/>
    <n v="0"/>
    <n v="0"/>
    <n v="0"/>
    <n v="0"/>
    <n v="26611.29"/>
    <n v="0"/>
    <n v="0"/>
  </r>
  <r>
    <x v="691"/>
    <s v="GOMUKH BALAHA W-9"/>
    <s v="MPG"/>
    <s v="Direct"/>
    <n v="864.69999999999993"/>
    <n v="32986.94"/>
    <n v="853.2"/>
    <n v="33076.675521883932"/>
    <n v="11.95"/>
    <n v="456.275341368"/>
    <n v="865.15000000000009"/>
    <n v="33532.950863251928"/>
    <n v="32986.94"/>
    <n v="0"/>
    <n v="456.275341368"/>
    <n v="546.01086325192591"/>
    <n v="3080"/>
    <n v="0"/>
    <n v="0"/>
    <n v="29451"/>
    <n v="0"/>
    <n v="0"/>
    <n v="0"/>
    <n v="0"/>
  </r>
  <r>
    <x v="692"/>
    <s v="GOMUKH Madanpur W-3"/>
    <s v="MPG"/>
    <s v="Direct"/>
    <n v="1795.45"/>
    <n v="87948.400000000038"/>
    <n v="1841.2899999999997"/>
    <n v="86188.355088405064"/>
    <n v="26.52"/>
    <n v="1201.7695206492103"/>
    <n v="1867.8099999999997"/>
    <n v="87390.12460905427"/>
    <n v="87390.12460905427"/>
    <n v="0"/>
    <n v="1201.7695206492103"/>
    <n v="0"/>
    <n v="0"/>
    <n v="0"/>
    <n v="0"/>
    <n v="86189"/>
    <n v="0"/>
    <n v="0"/>
    <n v="558"/>
    <n v="0"/>
  </r>
  <r>
    <x v="693"/>
    <s v="Gomukh Namapur East (08)"/>
    <s v="vlc"/>
    <s v="Indirect"/>
    <n v="400"/>
    <n v="14508.699999999999"/>
    <n v="0"/>
    <n v="0"/>
    <n v="0"/>
    <n v="0"/>
    <n v="0"/>
    <n v="0"/>
    <n v="14508.699999999999"/>
    <n v="0"/>
    <n v="0"/>
    <n v="0"/>
    <n v="0"/>
    <n v="0"/>
    <n v="0"/>
    <n v="0"/>
    <n v="0"/>
    <n v="14508.699999999999"/>
    <n v="0"/>
    <n v="0"/>
  </r>
  <r>
    <x v="694"/>
    <s v="GOMUKH Kalaunjar"/>
    <s v="MPG"/>
    <s v="Direct"/>
    <n v="467.4"/>
    <n v="21070.859999999997"/>
    <n v="470.61999999999989"/>
    <n v="20103.728414651388"/>
    <n v="22.520000000000003"/>
    <n v="957.54215353120003"/>
    <n v="493.13999999999987"/>
    <n v="21061.27056818259"/>
    <n v="21061.27056818259"/>
    <n v="0"/>
    <n v="957.54215353120003"/>
    <n v="0"/>
    <n v="0"/>
    <n v="0"/>
    <n v="0"/>
    <n v="20106"/>
    <n v="0"/>
    <n v="0"/>
    <n v="7"/>
    <n v="0"/>
  </r>
  <r>
    <x v="695"/>
    <s v="Jitwariya W-11"/>
    <s v="vlc"/>
    <s v="Indirect"/>
    <n v="70.5"/>
    <n v="2963.3900000000003"/>
    <n v="0"/>
    <n v="0"/>
    <n v="0"/>
    <n v="0"/>
    <n v="0"/>
    <n v="0"/>
    <n v="2963.3900000000003"/>
    <n v="0"/>
    <n v="0"/>
    <n v="0"/>
    <n v="0"/>
    <n v="157.1145387096775"/>
    <n v="0"/>
    <n v="0"/>
    <n v="0"/>
    <n v="2806.2754612903227"/>
    <n v="0"/>
    <n v="0"/>
  </r>
  <r>
    <x v="696"/>
    <s v="Pastara Lakshman"/>
    <s v="vlc"/>
    <s v="Indirect"/>
    <n v="145.9"/>
    <n v="4936.4400000000005"/>
    <n v="0"/>
    <n v="0"/>
    <n v="0"/>
    <n v="0"/>
    <n v="0"/>
    <n v="0"/>
    <n v="4936.4400000000005"/>
    <n v="0"/>
    <n v="0"/>
    <n v="0"/>
    <n v="0"/>
    <n v="321.71584838709703"/>
    <n v="0"/>
    <n v="0"/>
    <n v="0"/>
    <n v="4614.7241516129034"/>
    <n v="0"/>
    <n v="0"/>
  </r>
  <r>
    <x v="697"/>
    <s v="GOMUKH DADHIYA-2"/>
    <s v="MPG"/>
    <s v="Direct"/>
    <n v="1529.95"/>
    <n v="68574.48"/>
    <n v="1536.8400000000001"/>
    <n v="67578.712406357488"/>
    <n v="22.810000000000002"/>
    <n v="991.55841933149998"/>
    <n v="1559.65"/>
    <n v="68570.270825688989"/>
    <n v="68570.270825688989"/>
    <n v="0"/>
    <n v="991.55841933149998"/>
    <n v="0"/>
    <n v="0"/>
    <n v="0"/>
    <n v="0"/>
    <n v="67576"/>
    <n v="0"/>
    <n v="0"/>
    <n v="7"/>
    <n v="0"/>
  </r>
  <r>
    <x v="698"/>
    <s v="GOMUKH PREMNAGAR"/>
    <s v="MPG"/>
    <s v="Direct"/>
    <n v="1210.8999999999999"/>
    <n v="48470.98"/>
    <n v="1205.19"/>
    <n v="47656.625796985871"/>
    <n v="20.959999999999997"/>
    <n v="810.73237845600011"/>
    <n v="1226.1500000000001"/>
    <n v="48467.35817544187"/>
    <n v="48467.35817544187"/>
    <n v="0"/>
    <n v="810.73237845600011"/>
    <n v="0"/>
    <n v="12844"/>
    <n v="0"/>
    <n v="0"/>
    <n v="34813"/>
    <n v="0"/>
    <n v="0"/>
    <n v="3"/>
    <n v="0"/>
  </r>
  <r>
    <x v="699"/>
    <s v="GOMUKH JITWARIYA W-6"/>
    <s v="MPG"/>
    <s v="Direct"/>
    <n v="1865.3999999999999"/>
    <n v="76786.59"/>
    <n v="1856.9799999999996"/>
    <n v="75390.402189284549"/>
    <n v="32.419999999999995"/>
    <n v="1387.1039706711006"/>
    <n v="1889.3999999999996"/>
    <n v="76777.50615995565"/>
    <n v="76777.50615995565"/>
    <n v="0"/>
    <n v="1387.1039706711006"/>
    <n v="0"/>
    <n v="1927"/>
    <n v="0"/>
    <n v="0"/>
    <n v="73463"/>
    <n v="0"/>
    <n v="0"/>
    <n v="9"/>
    <n v="0"/>
  </r>
  <r>
    <x v="700"/>
    <s v="GOMUKH SUSTA"/>
    <s v="MPG"/>
    <s v="Direct"/>
    <n v="724.25"/>
    <n v="32705.980000000003"/>
    <n v="735.31999999999982"/>
    <n v="32235.469325454545"/>
    <n v="5.3"/>
    <n v="460.71025235769986"/>
    <n v="740.61999999999978"/>
    <n v="32696.179577812247"/>
    <n v="32696.179577812247"/>
    <n v="0"/>
    <n v="460.71025235769986"/>
    <n v="0"/>
    <n v="12469"/>
    <n v="0"/>
    <n v="0"/>
    <n v="19765"/>
    <n v="0"/>
    <n v="0"/>
    <n v="11"/>
    <n v="0"/>
  </r>
  <r>
    <x v="701"/>
    <s v="KHANPUR SOBHA"/>
    <s v="vlc"/>
    <s v="Indirect"/>
    <n v="135.44999999999999"/>
    <n v="5310.99"/>
    <n v="0"/>
    <n v="0"/>
    <n v="0"/>
    <n v="0"/>
    <n v="0"/>
    <n v="0"/>
    <n v="5310.99"/>
    <n v="0"/>
    <n v="0"/>
    <n v="0"/>
    <n v="1350"/>
    <n v="0"/>
    <n v="0"/>
    <n v="0"/>
    <n v="0"/>
    <n v="3960.99"/>
    <n v="0"/>
    <n v="0"/>
  </r>
  <r>
    <x v="702"/>
    <s v="BHATGAMA W-5"/>
    <s v="vlc"/>
    <s v="Indirect"/>
    <n v="275.60999999999996"/>
    <n v="10010.35"/>
    <n v="0"/>
    <n v="0"/>
    <n v="0"/>
    <n v="0"/>
    <n v="0"/>
    <n v="0"/>
    <n v="10010.35"/>
    <n v="0"/>
    <n v="0"/>
    <n v="0"/>
    <n v="0"/>
    <n v="0"/>
    <n v="0"/>
    <n v="0"/>
    <n v="0"/>
    <n v="10010.35"/>
    <n v="0"/>
    <n v="0"/>
  </r>
  <r>
    <x v="703"/>
    <s v="GOMUKH TOKE"/>
    <s v="MPG"/>
    <s v="Direct"/>
    <n v="253.95"/>
    <n v="12133.239999999998"/>
    <n v="259.5"/>
    <n v="11832.809513869253"/>
    <n v="6.5999999999999988"/>
    <n v="280.32339178795996"/>
    <n v="266.10000000000002"/>
    <n v="12113.132905657214"/>
    <n v="12113.132905657214"/>
    <n v="0"/>
    <n v="280.32339178795996"/>
    <n v="0"/>
    <n v="0"/>
    <n v="81.680661290322533"/>
    <n v="0"/>
    <n v="11752"/>
    <n v="0"/>
    <n v="0"/>
    <n v="19"/>
    <n v="0"/>
  </r>
  <r>
    <x v="704"/>
    <s v="GOMUKH SHIVNAGAR"/>
    <s v="MPG"/>
    <s v="Direct"/>
    <n v="1089.4499999999998"/>
    <n v="42883.490000000005"/>
    <n v="861"/>
    <n v="33198.581183766553"/>
    <n v="225.79999999999998"/>
    <n v="9680.1698437480009"/>
    <n v="1086.8"/>
    <n v="42878.751027514554"/>
    <n v="42878.751027514554"/>
    <n v="0"/>
    <n v="845.18438490900019"/>
    <n v="0"/>
    <n v="5470"/>
    <n v="0"/>
    <n v="0"/>
    <n v="27730"/>
    <n v="8835"/>
    <n v="0"/>
    <n v="3"/>
    <n v="0"/>
  </r>
  <r>
    <x v="705"/>
    <s v="GOMUKH BAKHITIYARPUR"/>
    <s v="MPG"/>
    <s v="Direct"/>
    <n v="1042.3"/>
    <n v="46841.120000000003"/>
    <n v="1027.9000000000001"/>
    <n v="45698.499383020142"/>
    <n v="27.4"/>
    <n v="1131.69275208"/>
    <n v="1055.3000000000002"/>
    <n v="46830.192135100144"/>
    <n v="46830.192135100144"/>
    <n v="0"/>
    <n v="1131.69275208"/>
    <n v="0"/>
    <n v="6904"/>
    <n v="0"/>
    <n v="0"/>
    <n v="38793"/>
    <n v="0"/>
    <n v="0"/>
    <n v="12"/>
    <n v="0"/>
  </r>
  <r>
    <x v="706"/>
    <s v="GOMUKH BHARJA"/>
    <s v="MPG"/>
    <s v="Direct"/>
    <n v="340.65000000000003"/>
    <n v="19365.410000000003"/>
    <n v="358.70000000000005"/>
    <n v="19765.3896762105"/>
    <n v="0"/>
    <n v="0"/>
    <n v="358.70000000000005"/>
    <n v="19765.3896762105"/>
    <n v="19365.410000000003"/>
    <n v="0"/>
    <n v="0"/>
    <n v="399.97967621049611"/>
    <n v="18323"/>
    <n v="1042.1244290322584"/>
    <n v="0"/>
    <n v="0"/>
    <n v="0"/>
    <n v="0"/>
    <n v="0"/>
    <s v="Release2"/>
  </r>
  <r>
    <x v="707"/>
    <s v="GOMUKH NAWABGANJ"/>
    <s v="MPG"/>
    <s v="Direct"/>
    <n v="619.49999999999989"/>
    <n v="26375.51"/>
    <n v="615"/>
    <n v="25812.185460769797"/>
    <n v="11"/>
    <n v="555.01192247688004"/>
    <n v="626"/>
    <n v="26367.197383246676"/>
    <n v="26367.197383246676"/>
    <n v="0"/>
    <n v="555.01192247688004"/>
    <n v="0"/>
    <n v="1500"/>
    <n v="0"/>
    <n v="0"/>
    <n v="24313"/>
    <n v="0"/>
    <n v="0"/>
    <n v="7"/>
    <n v="0"/>
  </r>
  <r>
    <x v="708"/>
    <s v="GOMUKH CHAKKI"/>
    <s v="MPG"/>
    <s v="Direct"/>
    <n v="262.65000000000003"/>
    <n v="10552.960000000001"/>
    <n v="254.99999999999997"/>
    <n v="10580.21878047545"/>
    <n v="3.25"/>
    <n v="131.892487813"/>
    <n v="258.25"/>
    <n v="10712.11126828845"/>
    <n v="10552.960000000001"/>
    <n v="0"/>
    <n v="131.892487813"/>
    <n v="159.1512682884495"/>
    <n v="3350"/>
    <n v="0"/>
    <n v="0"/>
    <n v="7071"/>
    <n v="0"/>
    <n v="0"/>
    <n v="0"/>
    <n v="0"/>
  </r>
  <r>
    <x v="709"/>
    <s v="GOMUKH LAKSHMAN NAGAR"/>
    <s v="MPG"/>
    <s v="Direct"/>
    <n v="304.09999999999991"/>
    <n v="13404.51"/>
    <n v="299.99999999999994"/>
    <n v="13282.839646635413"/>
    <n v="2.8"/>
    <n v="117.62741183625002"/>
    <n v="302.79999999999995"/>
    <n v="13400.467058471664"/>
    <n v="13400.467058471664"/>
    <n v="0"/>
    <n v="117.62741183625002"/>
    <n v="0"/>
    <n v="0"/>
    <n v="0"/>
    <n v="0"/>
    <n v="13282"/>
    <n v="0"/>
    <n v="0"/>
    <n v="5"/>
    <n v="0"/>
  </r>
  <r>
    <x v="710"/>
    <s v="GOMUKH KOTHIYA"/>
    <s v="MPG"/>
    <s v="Direct"/>
    <n v="93.949999999999974"/>
    <n v="3892.1800000000003"/>
    <n v="78.8"/>
    <n v="2924.5975809623451"/>
    <n v="0.2"/>
    <n v="7.7142756240000017"/>
    <n v="79"/>
    <n v="2932.3118565863451"/>
    <n v="2932.3118565863451"/>
    <n v="0"/>
    <n v="7.7142756240000017"/>
    <n v="0"/>
    <n v="0"/>
    <n v="0"/>
    <n v="0"/>
    <n v="2924"/>
    <n v="0"/>
    <n v="0"/>
    <n v="960"/>
    <n v="0"/>
  </r>
  <r>
    <x v="711"/>
    <s v="GOMUKH JHAHURI"/>
    <s v="MPG"/>
    <s v="Direct"/>
    <n v="2307.7000000000003"/>
    <n v="100492.76000000002"/>
    <n v="2269.0000000000005"/>
    <n v="99209.875874925448"/>
    <n v="29.199999999999996"/>
    <n v="1251.7182432900001"/>
    <n v="2298.2000000000003"/>
    <n v="100461.59411821545"/>
    <n v="100461.59411821545"/>
    <n v="0"/>
    <n v="1251.7182432900001"/>
    <n v="0"/>
    <n v="13500"/>
    <n v="0"/>
    <n v="0"/>
    <n v="85708"/>
    <n v="0"/>
    <n v="0"/>
    <n v="33"/>
    <n v="0"/>
  </r>
  <r>
    <x v="712"/>
    <s v="GOMUKH Gopalpur Ward 1"/>
    <s v="MPG"/>
    <s v="Direct"/>
    <n v="159.85"/>
    <n v="6275.0300000000007"/>
    <n v="160.66999999999999"/>
    <n v="5983.2741153240004"/>
    <n v="1.2000000000000002"/>
    <n v="45.128176632000006"/>
    <n v="161.86999999999998"/>
    <n v="6028.4022919560002"/>
    <n v="6028.4022919560002"/>
    <n v="0"/>
    <n v="45.128176632000006"/>
    <n v="0"/>
    <n v="0"/>
    <n v="0"/>
    <n v="0"/>
    <n v="5983"/>
    <n v="0"/>
    <n v="0"/>
    <n v="247"/>
    <n v="0"/>
  </r>
  <r>
    <x v="713"/>
    <s v="GOMUKH Keotsa"/>
    <s v="MPG"/>
    <s v="Direct"/>
    <n v="418.3"/>
    <n v="14815.300000000001"/>
    <n v="412.96"/>
    <n v="14742.103308912221"/>
    <n v="5.63"/>
    <n v="209.1094522308"/>
    <n v="418.59"/>
    <n v="14951.212761143021"/>
    <n v="14815.300000000001"/>
    <n v="0"/>
    <n v="209.1094522308"/>
    <n v="135.91276114301945"/>
    <n v="2700"/>
    <n v="0"/>
    <n v="0"/>
    <n v="11906"/>
    <n v="0"/>
    <n v="0"/>
    <n v="0"/>
    <n v="0"/>
  </r>
  <r>
    <x v="714"/>
    <s v="Gomukh Namapur East"/>
    <s v="vlc"/>
    <s v="Indirect"/>
    <n v="196.3"/>
    <n v="10658.96"/>
    <n v="0"/>
    <n v="0"/>
    <n v="0"/>
    <n v="0"/>
    <n v="0"/>
    <n v="0"/>
    <n v="10658.96"/>
    <n v="0"/>
    <n v="0"/>
    <n v="0"/>
    <n v="0"/>
    <n v="0"/>
    <n v="0"/>
    <n v="0"/>
    <n v="0"/>
    <n v="10658.96"/>
    <n v="0"/>
    <n v="0"/>
  </r>
  <r>
    <x v="715"/>
    <s v="GOMUKH Waini"/>
    <s v="MPG"/>
    <s v="Direct"/>
    <n v="204.20000000000005"/>
    <n v="8261.369999999999"/>
    <n v="210.51999999999998"/>
    <n v="8066.9766462516009"/>
    <n v="4.97"/>
    <n v="184.12398132480004"/>
    <n v="215.48999999999998"/>
    <n v="8251.1006275764012"/>
    <n v="8251.1006275764012"/>
    <n v="0"/>
    <n v="184.12398132480004"/>
    <n v="0"/>
    <n v="0"/>
    <n v="0"/>
    <n v="0"/>
    <n v="8067"/>
    <n v="0"/>
    <n v="0"/>
    <n v="10"/>
    <n v="0"/>
  </r>
  <r>
    <x v="716"/>
    <s v="GOMUKH SAKARI"/>
    <s v="MPG"/>
    <s v="Direct"/>
    <n v="1524.8999999999996"/>
    <n v="63629.469999999994"/>
    <n v="1514.59"/>
    <n v="63600.378444870628"/>
    <n v="8.379999999999999"/>
    <n v="363.67401007490008"/>
    <n v="1522.97"/>
    <n v="63964.052454945529"/>
    <n v="63629.469999999994"/>
    <n v="0"/>
    <n v="363.67401007490008"/>
    <n v="334.58245494553557"/>
    <n v="27882"/>
    <n v="0"/>
    <n v="0"/>
    <n v="35384"/>
    <n v="0"/>
    <n v="0"/>
    <n v="0"/>
    <n v="0"/>
  </r>
  <r>
    <x v="717"/>
    <s v="GOMUKH DHOBGAMA"/>
    <s v="MPG"/>
    <s v="Direct"/>
    <n v="717.69999999999982"/>
    <n v="28659.190000000002"/>
    <n v="695.44999999999982"/>
    <n v="27202.761907930304"/>
    <n v="34.809999999999988"/>
    <n v="1393.8447849480003"/>
    <n v="730.25999999999976"/>
    <n v="28596.606692878304"/>
    <n v="28596.606692878304"/>
    <n v="0"/>
    <n v="1393.8447849480003"/>
    <n v="0"/>
    <n v="0"/>
    <n v="0"/>
    <n v="0"/>
    <n v="27201"/>
    <n v="0"/>
    <n v="0"/>
    <n v="64"/>
    <n v="0"/>
  </r>
  <r>
    <x v="718"/>
    <s v="GOMUKH BHUSKOUL"/>
    <s v="MPG"/>
    <s v="Direct"/>
    <n v="718.25"/>
    <n v="29023.54"/>
    <n v="709.45"/>
    <n v="27860.066532678109"/>
    <n v="12"/>
    <n v="479.69605846800005"/>
    <n v="721.45"/>
    <n v="28339.762591146107"/>
    <n v="28339.762591146107"/>
    <n v="0"/>
    <n v="479.69605846800005"/>
    <n v="0"/>
    <n v="0"/>
    <n v="0"/>
    <n v="0"/>
    <n v="27861"/>
    <n v="0"/>
    <n v="0"/>
    <n v="683"/>
    <n v="0"/>
  </r>
  <r>
    <x v="719"/>
    <s v="GOMUKH BIRSINGHPUR"/>
    <s v="MPG"/>
    <s v="Direct"/>
    <n v="318.95000000000005"/>
    <n v="12242.99"/>
    <n v="323.71999999999991"/>
    <n v="12541.896203644805"/>
    <n v="0.05"/>
    <n v="1.9866547800000003"/>
    <n v="323.76999999999992"/>
    <n v="12543.882858424804"/>
    <n v="12242.99"/>
    <n v="0"/>
    <n v="1.9866547800000003"/>
    <n v="300.89285842480422"/>
    <n v="0"/>
    <n v="0"/>
    <n v="0"/>
    <n v="12241"/>
    <n v="0"/>
    <n v="0"/>
    <n v="0"/>
    <n v="0"/>
  </r>
  <r>
    <x v="720"/>
    <s v="GOMUKH GHOSRAWAN"/>
    <s v="MPG"/>
    <s v="Direct"/>
    <n v="486.75"/>
    <n v="18792.88"/>
    <n v="491.28"/>
    <n v="19498.614495669215"/>
    <n v="3.9199999999999995"/>
    <n v="154.0150265808"/>
    <n v="495.2"/>
    <n v="19652.629522250016"/>
    <n v="18792.88"/>
    <n v="0"/>
    <n v="154.0150265808"/>
    <n v="859.74952225001471"/>
    <n v="0"/>
    <n v="0"/>
    <n v="0"/>
    <n v="18639"/>
    <n v="0"/>
    <n v="0"/>
    <n v="0"/>
    <n v="0"/>
  </r>
  <r>
    <x v="721"/>
    <s v="GOMUKH DHROOVGAMA W-12"/>
    <s v="vlc"/>
    <s v="Indirect"/>
    <n v="319.34999999999997"/>
    <n v="11987.01"/>
    <n v="0"/>
    <n v="0"/>
    <n v="0"/>
    <n v="0"/>
    <n v="0"/>
    <n v="0"/>
    <n v="11987.01"/>
    <n v="0"/>
    <n v="0"/>
    <n v="0"/>
    <n v="0"/>
    <n v="0"/>
    <n v="0"/>
    <n v="0"/>
    <n v="0"/>
    <n v="11987.01"/>
    <n v="0"/>
    <n v="0"/>
  </r>
  <r>
    <x v="722"/>
    <s v="GOMUKH ANANDPUR PARAS 2"/>
    <s v="MPG"/>
    <s v="Direct"/>
    <n v="2753"/>
    <n v="110028.71"/>
    <n v="3238.1"/>
    <n v="131473.49220323999"/>
    <n v="0"/>
    <n v="0"/>
    <n v="3238.1"/>
    <n v="131473.49220323999"/>
    <n v="110028.71"/>
    <n v="0"/>
    <n v="0"/>
    <n v="21444.782203239985"/>
    <n v="0"/>
    <n v="0"/>
    <n v="0"/>
    <n v="110029"/>
    <n v="0"/>
    <n v="0"/>
    <n v="0"/>
    <n v="0"/>
  </r>
  <r>
    <x v="723"/>
    <s v="GOMUKH GADBANNI"/>
    <s v="MPG"/>
    <s v="Direct"/>
    <n v="192.9"/>
    <n v="7708.329999999999"/>
    <n v="237.13999999999996"/>
    <n v="9291.8596384548"/>
    <n v="0"/>
    <n v="0"/>
    <n v="237.13999999999996"/>
    <n v="9291.8596384548"/>
    <n v="7708.329999999999"/>
    <n v="0"/>
    <n v="0"/>
    <n v="1583.529638454801"/>
    <n v="0"/>
    <n v="381.49"/>
    <n v="0"/>
    <n v="7326"/>
    <n v="0"/>
    <n v="0"/>
    <n v="1"/>
    <s v="Release1"/>
  </r>
  <r>
    <x v="724"/>
    <s v="GOMUKH PARRI"/>
    <s v="MPG"/>
    <s v="Direct"/>
    <n v="175.3"/>
    <n v="8376.7000000000007"/>
    <n v="184.31"/>
    <n v="9795.9823844753228"/>
    <n v="0"/>
    <n v="0"/>
    <n v="184.31"/>
    <n v="9795.9823844753228"/>
    <n v="8376.7000000000007"/>
    <n v="0"/>
    <n v="0"/>
    <n v="1419.282384475322"/>
    <n v="1350"/>
    <n v="34.85"/>
    <n v="0"/>
    <n v="6992"/>
    <n v="0"/>
    <n v="0"/>
    <n v="0"/>
    <s v="Release1"/>
  </r>
  <r>
    <x v="725"/>
    <s v="GOMUKH BHIKHARI GHAT"/>
    <s v="MPG"/>
    <s v="Direct"/>
    <n v="1086.7"/>
    <n v="45631.16"/>
    <n v="1089.1200000000003"/>
    <n v="47540.181718127336"/>
    <n v="0"/>
    <n v="0"/>
    <n v="1089.1200000000003"/>
    <n v="47540.181718127336"/>
    <n v="45631.16"/>
    <n v="0"/>
    <n v="0"/>
    <n v="1909.0217181273329"/>
    <n v="0"/>
    <n v="805.92"/>
    <n v="0"/>
    <n v="44825"/>
    <n v="0"/>
    <n v="0"/>
    <n v="0"/>
    <s v="Release1"/>
  </r>
  <r>
    <x v="726"/>
    <s v="Vikash Kumar"/>
    <s v="vlc"/>
    <s v="Indirect"/>
    <n v="2576.5"/>
    <n v="104785.76999999999"/>
    <n v="0"/>
    <n v="0"/>
    <n v="0"/>
    <n v="0"/>
    <n v="0"/>
    <n v="0"/>
    <n v="104785.76999999999"/>
    <n v="0"/>
    <n v="0"/>
    <n v="0"/>
    <n v="0"/>
    <n v="0"/>
    <n v="0"/>
    <n v="0"/>
    <n v="0"/>
    <n v="104785.76999999999"/>
    <n v="0"/>
    <n v="0"/>
  </r>
  <r>
    <x v="727"/>
    <s v="Rajkishore Yadav"/>
    <s v="vlc"/>
    <s v="Indirect"/>
    <n v="276"/>
    <n v="9575.11"/>
    <n v="0"/>
    <n v="0"/>
    <n v="0"/>
    <n v="0"/>
    <n v="0"/>
    <n v="0"/>
    <n v="9575.11"/>
    <n v="0"/>
    <n v="0"/>
    <n v="0"/>
    <n v="0"/>
    <n v="0"/>
    <n v="0"/>
    <n v="0"/>
    <n v="0"/>
    <n v="9575.11"/>
    <n v="0"/>
    <n v="0"/>
  </r>
  <r>
    <x v="728"/>
    <s v="BHADAS VLC"/>
    <s v="vlc"/>
    <s v="Indirect"/>
    <n v="76.2"/>
    <n v="3084.92"/>
    <n v="0"/>
    <n v="0"/>
    <n v="0"/>
    <n v="0"/>
    <n v="0"/>
    <n v="0"/>
    <n v="3084.92"/>
    <n v="0"/>
    <n v="0"/>
    <n v="0"/>
    <n v="0"/>
    <n v="0"/>
    <n v="0"/>
    <n v="0"/>
    <n v="0"/>
    <n v="3084.92"/>
    <n v="0"/>
    <n v="0"/>
  </r>
  <r>
    <x v="729"/>
    <s v="GOMUKH BENHER"/>
    <s v="MPG"/>
    <s v="Direct"/>
    <n v="276.8"/>
    <n v="14468.999999999998"/>
    <n v="279.53000000000003"/>
    <n v="13942.908660859957"/>
    <n v="0.72999999999999987"/>
    <n v="36.594498448940001"/>
    <n v="280.26000000000005"/>
    <n v="13979.503159308897"/>
    <n v="13979.503159308897"/>
    <n v="0"/>
    <n v="36.594498448940001"/>
    <n v="0"/>
    <n v="0"/>
    <n v="73.692833898304769"/>
    <n v="0"/>
    <n v="13868"/>
    <n v="0"/>
    <n v="0"/>
    <n v="491"/>
    <n v="0"/>
  </r>
  <r>
    <x v="730"/>
    <s v="GOMUKH LADORA"/>
    <s v="MPG"/>
    <s v="Direct"/>
    <n v="753.8"/>
    <n v="28542.259999999995"/>
    <n v="813.34"/>
    <n v="38003.033774275013"/>
    <n v="0"/>
    <n v="0"/>
    <n v="813.34"/>
    <n v="38003.033774275013"/>
    <n v="28542.259999999995"/>
    <n v="0"/>
    <n v="0"/>
    <n v="9460.7737742750178"/>
    <n v="0"/>
    <n v="0"/>
    <n v="0"/>
    <n v="28542"/>
    <n v="0"/>
    <n v="0"/>
    <n v="0"/>
    <n v="0"/>
  </r>
  <r>
    <x v="731"/>
    <s v="GOMUKH SAHSI"/>
    <s v="MPG"/>
    <s v="Direct"/>
    <n v="179.49999999999997"/>
    <n v="8042.0400000000009"/>
    <n v="203.61"/>
    <n v="8759.294088955965"/>
    <n v="0"/>
    <n v="0"/>
    <n v="203.61"/>
    <n v="8759.294088955965"/>
    <n v="8042.0400000000009"/>
    <n v="0"/>
    <n v="0"/>
    <n v="717.25408895596411"/>
    <n v="0"/>
    <n v="0"/>
    <n v="0"/>
    <n v="8042"/>
    <n v="0"/>
    <n v="0"/>
    <n v="0"/>
    <n v="0"/>
  </r>
  <r>
    <x v="732"/>
    <s v="Gomukh Chikni"/>
    <s v="MPG"/>
    <s v="Direct"/>
    <n v="189.8"/>
    <n v="7019.1100000000006"/>
    <n v="190.28999999999996"/>
    <n v="6922.4206201920006"/>
    <n v="0"/>
    <n v="0"/>
    <n v="190.28999999999996"/>
    <n v="6922.4206201920006"/>
    <n v="6922.4206201920006"/>
    <n v="0"/>
    <n v="0"/>
    <n v="0"/>
    <n v="0"/>
    <n v="0"/>
    <n v="0"/>
    <n v="6922"/>
    <n v="0"/>
    <n v="0"/>
    <n v="97"/>
    <n v="0"/>
  </r>
  <r>
    <x v="733"/>
    <s v="GOMUKH BUDWA"/>
    <s v="MPG"/>
    <s v="Direct"/>
    <n v="117.19999999999999"/>
    <n v="4177.0599999999995"/>
    <n v="123.41"/>
    <n v="4343.9513077504453"/>
    <n v="0"/>
    <n v="0"/>
    <n v="123.41"/>
    <n v="4343.9513077504453"/>
    <n v="4177.0599999999995"/>
    <n v="0"/>
    <n v="0"/>
    <n v="166.89130775044578"/>
    <n v="0"/>
    <n v="23.39"/>
    <n v="0"/>
    <n v="4153"/>
    <n v="0"/>
    <n v="0"/>
    <n v="1"/>
    <s v="Release1"/>
  </r>
  <r>
    <x v="734"/>
    <s v="GOMUKH GANGIYA"/>
    <s v="MPG"/>
    <s v="Indirect"/>
    <n v="552.29999999999995"/>
    <n v="20202.93"/>
    <n v="0"/>
    <n v="0"/>
    <n v="0"/>
    <n v="0"/>
    <n v="0"/>
    <n v="0"/>
    <n v="20202.93"/>
    <n v="0"/>
    <n v="0"/>
    <n v="0"/>
    <n v="0"/>
    <n v="0"/>
    <n v="0"/>
    <n v="0"/>
    <n v="0"/>
    <n v="20202.93"/>
    <n v="0"/>
    <n v="0"/>
  </r>
  <r>
    <x v="735"/>
    <s v="GOMUKH AMBA ICHARUA"/>
    <s v="MPG"/>
    <s v="Direct"/>
    <n v="583.30000000000007"/>
    <n v="23899.48"/>
    <n v="663.16000000000008"/>
    <n v="27298.851916921205"/>
    <n v="450.56"/>
    <n v="19369.447124138998"/>
    <n v="1113.72"/>
    <n v="46668.299041060207"/>
    <n v="23899.48"/>
    <n v="0"/>
    <n v="0"/>
    <n v="22768.819041060207"/>
    <n v="0"/>
    <n v="0"/>
    <n v="0"/>
    <n v="4529"/>
    <n v="19370"/>
    <n v="0"/>
    <n v="0"/>
    <n v="0"/>
  </r>
  <r>
    <x v="736"/>
    <s v="RAJAURA VLC"/>
    <s v="vlc"/>
    <s v="Indirect"/>
    <n v="401.39999999999992"/>
    <n v="15217.380000000001"/>
    <n v="0"/>
    <n v="0"/>
    <n v="0"/>
    <n v="0"/>
    <n v="0"/>
    <n v="0"/>
    <n v="15217.380000000001"/>
    <n v="0"/>
    <n v="0"/>
    <n v="0"/>
    <n v="0"/>
    <n v="0"/>
    <n v="0"/>
    <n v="0"/>
    <n v="0"/>
    <n v="15217.380000000001"/>
    <n v="0"/>
    <n v="0"/>
  </r>
  <r>
    <x v="737"/>
    <s v="GOMUKH JWALAPUR"/>
    <s v="MPG"/>
    <s v="Direct"/>
    <n v="202.3"/>
    <n v="7552.93"/>
    <n v="450"/>
    <n v="18505.577574000003"/>
    <n v="0"/>
    <n v="0"/>
    <n v="450"/>
    <n v="18505.577574000003"/>
    <n v="7552.93"/>
    <n v="0"/>
    <n v="0"/>
    <n v="10952.647574000002"/>
    <n v="0"/>
    <n v="0"/>
    <n v="0"/>
    <n v="7553"/>
    <n v="0"/>
    <n v="0"/>
    <n v="0"/>
    <n v="0"/>
  </r>
  <r>
    <x v="738"/>
    <s v="GOMUKH MATHURAPUR"/>
    <s v="MPG"/>
    <s v="Direct"/>
    <n v="282.60000000000002"/>
    <n v="10268.19"/>
    <n v="385"/>
    <n v="15720.311970000001"/>
    <n v="0"/>
    <n v="0"/>
    <n v="385"/>
    <n v="15720.311970000001"/>
    <n v="10268.19"/>
    <n v="0"/>
    <n v="0"/>
    <n v="5452.1219700000001"/>
    <n v="0"/>
    <n v="0"/>
    <n v="0"/>
    <n v="10268"/>
    <n v="0"/>
    <n v="0"/>
    <n v="0"/>
    <n v="0"/>
  </r>
  <r>
    <x v="739"/>
    <s v="VLC Dhushmuri Bishanpur"/>
    <s v="vlc"/>
    <s v="Indirect"/>
    <n v="605.90000000000009"/>
    <n v="18954.030000000002"/>
    <n v="0"/>
    <n v="0"/>
    <n v="0"/>
    <n v="0"/>
    <n v="0"/>
    <n v="0"/>
    <n v="18954.030000000002"/>
    <n v="0"/>
    <n v="0"/>
    <n v="0"/>
    <n v="0"/>
    <n v="0"/>
    <n v="0"/>
    <n v="0"/>
    <n v="0"/>
    <n v="18954.030000000002"/>
    <n v="0"/>
    <n v="0"/>
  </r>
  <r>
    <x v="740"/>
    <s v="Gomukh Darhi Mor"/>
    <s v="MPG"/>
    <s v="Indirect"/>
    <n v="130.80000000000001"/>
    <n v="4633.16"/>
    <n v="0"/>
    <n v="0"/>
    <n v="0"/>
    <n v="0"/>
    <n v="0"/>
    <n v="0"/>
    <n v="4633.16"/>
    <n v="0"/>
    <n v="0"/>
    <n v="0"/>
    <n v="0"/>
    <n v="92.503694117647058"/>
    <n v="0"/>
    <n v="0"/>
    <n v="0"/>
    <n v="4540.6563058823531"/>
    <n v="0"/>
    <n v="0"/>
  </r>
  <r>
    <x v="741"/>
    <s v="Gomukh Balaur"/>
    <s v="MPG"/>
    <s v="Direct"/>
    <n v="1258.5000000000002"/>
    <n v="57594.18"/>
    <n v="1457.4099999999999"/>
    <n v="85425.063854958018"/>
    <n v="0"/>
    <n v="0"/>
    <n v="1457.4099999999999"/>
    <n v="85425.063854958018"/>
    <n v="57594.18"/>
    <n v="0"/>
    <n v="0"/>
    <n v="27830.883854958018"/>
    <n v="0"/>
    <n v="0"/>
    <n v="0"/>
    <n v="57594"/>
    <n v="0"/>
    <n v="0"/>
    <n v="0"/>
    <n v="0"/>
  </r>
  <r>
    <x v="742"/>
    <s v="Gomukh Hathwan - 2"/>
    <s v="MPG"/>
    <s v="Direct"/>
    <n v="432.6"/>
    <n v="15950.36"/>
    <n v="580"/>
    <n v="23806.839078000001"/>
    <n v="0"/>
    <n v="0"/>
    <n v="580"/>
    <n v="23806.839078000001"/>
    <n v="15950.36"/>
    <n v="0"/>
    <n v="0"/>
    <n v="7856.4790780000003"/>
    <n v="0"/>
    <n v="0"/>
    <n v="0"/>
    <n v="15950"/>
    <n v="0"/>
    <n v="0"/>
    <n v="0"/>
    <n v="0"/>
  </r>
  <r>
    <x v="743"/>
    <s v="VLC Sunil Khas"/>
    <s v="vlc"/>
    <s v="Indirect"/>
    <n v="472.5"/>
    <n v="20595.060000000005"/>
    <n v="0"/>
    <n v="0"/>
    <n v="0"/>
    <n v="0"/>
    <n v="0"/>
    <n v="0"/>
    <n v="20595.060000000005"/>
    <n v="0"/>
    <n v="0"/>
    <n v="0"/>
    <n v="0"/>
    <n v="0"/>
    <n v="0"/>
    <n v="0"/>
    <n v="0"/>
    <n v="20595.060000000005"/>
    <n v="0"/>
    <n v="0"/>
  </r>
  <r>
    <x v="744"/>
    <s v="Gomukh Hathwan "/>
    <s v="MPG"/>
    <s v="Direct"/>
    <n v="259.7"/>
    <n v="11740.91"/>
    <n v="287.49"/>
    <n v="16594.83968631411"/>
    <n v="0"/>
    <n v="0"/>
    <n v="287.49"/>
    <n v="16594.83968631411"/>
    <n v="11740.91"/>
    <n v="0"/>
    <n v="0"/>
    <n v="4853.9296863141099"/>
    <n v="0"/>
    <n v="0"/>
    <n v="0"/>
    <n v="11741"/>
    <n v="0"/>
    <n v="0"/>
    <n v="0"/>
    <s v="Release3"/>
  </r>
  <r>
    <x v="745"/>
    <s v="Gomukh Rahul VLC"/>
    <s v="vlc"/>
    <s v="Indirect"/>
    <n v="566.70000000000005"/>
    <n v="23118.62"/>
    <n v="0"/>
    <n v="0"/>
    <n v="0"/>
    <n v="0"/>
    <n v="0"/>
    <n v="0"/>
    <n v="23118.62"/>
    <n v="0"/>
    <n v="0"/>
    <n v="0"/>
    <n v="0"/>
    <n v="0"/>
    <n v="0"/>
    <n v="0"/>
    <n v="0"/>
    <n v="23118.62"/>
    <n v="0"/>
    <n v="0"/>
  </r>
  <r>
    <x v="746"/>
    <s v="Balahpur-Anil Yadav"/>
    <s v="vlc"/>
    <s v="Indirect"/>
    <n v="12115"/>
    <n v="444287.83000000007"/>
    <n v="0"/>
    <n v="0"/>
    <n v="0"/>
    <n v="0"/>
    <n v="0"/>
    <n v="0"/>
    <n v="444287.83000000007"/>
    <n v="0"/>
    <n v="0"/>
    <n v="0"/>
    <n v="0"/>
    <n v="0"/>
    <n v="0"/>
    <n v="0"/>
    <n v="0"/>
    <n v="444287.83000000007"/>
    <n v="0"/>
    <n v="0"/>
  </r>
  <r>
    <x v="747"/>
    <s v="Bagdobh"/>
    <s v="vlc"/>
    <s v="Indirect"/>
    <n v="252.5"/>
    <n v="9054.18"/>
    <n v="0"/>
    <n v="0"/>
    <n v="0"/>
    <n v="0"/>
    <n v="0"/>
    <n v="0"/>
    <n v="9054.18"/>
    <n v="0"/>
    <n v="0"/>
    <n v="0"/>
    <n v="0"/>
    <n v="0"/>
    <n v="0"/>
    <n v="0"/>
    <n v="0"/>
    <n v="9054.18"/>
    <n v="0"/>
    <n v="0"/>
  </r>
  <r>
    <x v="748"/>
    <s v="Gomukh Matihani"/>
    <s v="MPG"/>
    <s v="Direct"/>
    <n v="194.90000000000003"/>
    <n v="7284.5199999999995"/>
    <n v="174.69"/>
    <n v="6914.2676083272008"/>
    <n v="21.81"/>
    <n v="904.004487144"/>
    <n v="196.5"/>
    <n v="7818.2720954712004"/>
    <n v="7284.5199999999995"/>
    <n v="0"/>
    <n v="904.004487144"/>
    <n v="533.75209547120085"/>
    <n v="0"/>
    <n v="0"/>
    <n v="0"/>
    <n v="6381"/>
    <n v="0"/>
    <n v="0"/>
    <n v="0"/>
    <n v="0"/>
  </r>
  <r>
    <x v="749"/>
    <s v="Jalalpur"/>
    <s v="vlc"/>
    <s v="Indirect"/>
    <n v="1117.0999999999999"/>
    <n v="40815.339999999997"/>
    <n v="0"/>
    <n v="0"/>
    <n v="0"/>
    <n v="0"/>
    <n v="0"/>
    <n v="0"/>
    <n v="40815.339999999997"/>
    <n v="0"/>
    <n v="0"/>
    <n v="0"/>
    <n v="0"/>
    <n v="0"/>
    <n v="0"/>
    <n v="0"/>
    <n v="0"/>
    <n v="40815.339999999997"/>
    <n v="0"/>
    <n v="0"/>
  </r>
  <r>
    <x v="750"/>
    <s v="Chak"/>
    <s v="vlc"/>
    <s v="Indirect"/>
    <n v="595.29999999999995"/>
    <n v="22203.96"/>
    <n v="0"/>
    <n v="0"/>
    <n v="0"/>
    <n v="0"/>
    <n v="0"/>
    <n v="0"/>
    <n v="22203.96"/>
    <n v="0"/>
    <n v="0"/>
    <n v="0"/>
    <n v="0"/>
    <n v="0"/>
    <n v="0"/>
    <n v="0"/>
    <n v="0"/>
    <n v="22203.96"/>
    <n v="0"/>
    <n v="0"/>
  </r>
  <r>
    <x v="751"/>
    <s v="Gomukh Chautham(Mithun Kumar VLC)"/>
    <s v="vlc"/>
    <s v="Indirect"/>
    <n v="1087.04"/>
    <n v="40563.89"/>
    <n v="0"/>
    <n v="0"/>
    <n v="0"/>
    <n v="0"/>
    <n v="0"/>
    <n v="0"/>
    <n v="40563.89"/>
    <n v="0"/>
    <n v="0"/>
    <n v="0"/>
    <n v="0"/>
    <n v="5935.823016774194"/>
    <n v="0"/>
    <n v="0"/>
    <n v="0"/>
    <n v="34628.066983225806"/>
    <n v="0"/>
    <n v="0"/>
  </r>
  <r>
    <x v="752"/>
    <s v="Gomukh Pansalwa"/>
    <s v="vlc"/>
    <s v="Indirect"/>
    <n v="858.54"/>
    <n v="31340.61"/>
    <n v="0"/>
    <n v="0"/>
    <n v="0"/>
    <n v="0"/>
    <n v="0"/>
    <n v="0"/>
    <n v="31340.61"/>
    <n v="0"/>
    <n v="0"/>
    <n v="0"/>
    <n v="0"/>
    <n v="0"/>
    <n v="0"/>
    <n v="0"/>
    <n v="0"/>
    <n v="31340.61"/>
    <n v="0"/>
    <n v="0"/>
  </r>
  <r>
    <x v="753"/>
    <s v="Gomukh Nawada"/>
    <s v="MPG"/>
    <s v="Direct"/>
    <n v="917.66000000000008"/>
    <n v="32120.75"/>
    <n v="917.66"/>
    <n v="32496.221988648005"/>
    <n v="0"/>
    <n v="0"/>
    <n v="917.66"/>
    <n v="32496.221988648005"/>
    <n v="32120.75"/>
    <n v="0"/>
    <n v="0"/>
    <n v="375.47198864800521"/>
    <n v="0"/>
    <n v="0"/>
    <n v="0"/>
    <n v="32121"/>
    <n v="0"/>
    <n v="0"/>
    <n v="0"/>
    <n v="0"/>
  </r>
  <r>
    <x v="754"/>
    <s v="Gomukh Yadav Tol Kanauli"/>
    <s v="MPG"/>
    <s v="Direct"/>
    <n v="2242.36"/>
    <n v="90184.860000000015"/>
    <n v="25.46"/>
    <n v="1029.8968978319999"/>
    <n v="2240"/>
    <n v="90269.700008399988"/>
    <n v="2265.46"/>
    <n v="91299.596906231993"/>
    <n v="90184.860000000015"/>
    <n v="0"/>
    <n v="0"/>
    <n v="1114.7369062319776"/>
    <n v="0"/>
    <n v="0"/>
    <n v="0"/>
    <n v="0"/>
    <n v="90185"/>
    <n v="0"/>
    <n v="0"/>
    <s v="Release1"/>
  </r>
  <r>
    <x v="755"/>
    <s v="Gomukh Hardia"/>
    <s v="MPG"/>
    <s v="Direct"/>
    <n v="180.35999999999999"/>
    <n v="8030.8600000000006"/>
    <n v="180.36"/>
    <n v="8094.761544672001"/>
    <n v="0"/>
    <n v="0"/>
    <n v="180.36"/>
    <n v="8094.761544672001"/>
    <n v="8030.8600000000006"/>
    <n v="0"/>
    <n v="0"/>
    <n v="63.901544672000455"/>
    <n v="0"/>
    <n v="0"/>
    <n v="0"/>
    <n v="8031"/>
    <n v="0"/>
    <n v="0"/>
    <n v="0"/>
    <n v="0"/>
  </r>
  <r>
    <x v="756"/>
    <s v="Gomukh Ashatol Paharpur"/>
    <s v="MPG"/>
    <s v="Direct"/>
    <n v="1834.04"/>
    <n v="68652.429999999993"/>
    <n v="1838.2400000000002"/>
    <n v="72390.834630216661"/>
    <n v="0"/>
    <n v="0"/>
    <n v="1838.2400000000002"/>
    <n v="72390.834630216661"/>
    <n v="68652.429999999993"/>
    <n v="0"/>
    <n v="0"/>
    <n v="3738.404630216668"/>
    <n v="0"/>
    <n v="0"/>
    <n v="0"/>
    <n v="68652"/>
    <n v="0"/>
    <n v="0"/>
    <n v="0"/>
    <s v="Release2"/>
  </r>
  <r>
    <x v="757"/>
    <s v="Gomukh Kharawa"/>
    <s v="MPG"/>
    <s v="Direct"/>
    <n v="1048.8200000000002"/>
    <n v="39050.380000000005"/>
    <n v="1051.3900000000003"/>
    <n v="39340.953600616805"/>
    <n v="0"/>
    <n v="0"/>
    <n v="1051.3900000000003"/>
    <n v="39340.953600616805"/>
    <n v="39050.380000000005"/>
    <n v="0"/>
    <n v="0"/>
    <n v="290.57360061680083"/>
    <n v="0"/>
    <n v="0"/>
    <n v="0"/>
    <n v="39050"/>
    <n v="0"/>
    <n v="0"/>
    <n v="0"/>
    <n v="0"/>
  </r>
  <r>
    <x v="758"/>
    <s v="Gomukh Patel Nagar"/>
    <s v="vlc"/>
    <s v="Indirect"/>
    <n v="795.07999999999993"/>
    <n v="28914.44"/>
    <n v="0"/>
    <n v="0"/>
    <n v="0"/>
    <n v="0"/>
    <n v="0"/>
    <n v="0"/>
    <n v="28914.44"/>
    <n v="0"/>
    <n v="0"/>
    <n v="0"/>
    <n v="0"/>
    <n v="0"/>
    <n v="0"/>
    <n v="0"/>
    <n v="0"/>
    <n v="28914.44"/>
    <n v="0"/>
    <n v="0"/>
  </r>
  <r>
    <x v="759"/>
    <s v="Gomukh Pachout"/>
    <s v="MPG"/>
    <s v="Direct"/>
    <n v="989.6"/>
    <n v="37066.9"/>
    <n v="989.6"/>
    <n v="38666.761531200005"/>
    <n v="0"/>
    <n v="0"/>
    <n v="989.6"/>
    <n v="38666.761531200005"/>
    <n v="37066.9"/>
    <n v="0"/>
    <n v="0"/>
    <n v="1599.8615312000038"/>
    <n v="0"/>
    <n v="0"/>
    <n v="0"/>
    <n v="37067"/>
    <n v="0"/>
    <n v="0"/>
    <n v="0"/>
    <n v="0"/>
  </r>
  <r>
    <x v="760"/>
    <s v="Gomukh Telihar"/>
    <s v="MPG"/>
    <s v="Direct"/>
    <n v="1097.26"/>
    <n v="41887.72"/>
    <n v="1097.2599999999998"/>
    <n v="43571.309083951332"/>
    <n v="0"/>
    <n v="0"/>
    <n v="1097.2599999999998"/>
    <n v="43571.309083951332"/>
    <n v="41887.72"/>
    <n v="0"/>
    <n v="0"/>
    <n v="1683.5890839513304"/>
    <n v="0"/>
    <n v="0"/>
    <n v="0"/>
    <n v="41888"/>
    <n v="0"/>
    <n v="0"/>
    <n v="0"/>
    <s v="Release2"/>
  </r>
  <r>
    <x v="761"/>
    <s v="Gomukh Pansalba Ward No 05"/>
    <s v="MPG"/>
    <s v="Indirect"/>
    <n v="1805.8200000000002"/>
    <n v="64591.8"/>
    <n v="0"/>
    <n v="0"/>
    <n v="0"/>
    <n v="0"/>
    <n v="0"/>
    <n v="0"/>
    <n v="64591.8"/>
    <n v="0"/>
    <n v="0"/>
    <n v="0"/>
    <n v="0"/>
    <n v="0"/>
    <n v="0"/>
    <n v="0"/>
    <n v="0"/>
    <n v="64591.8"/>
    <n v="0"/>
    <n v="0"/>
  </r>
  <r>
    <x v="762"/>
    <s v="Gomukh Paharpur Jilebya "/>
    <s v="MPG"/>
    <s v="Direct"/>
    <n v="2035.1400000000003"/>
    <n v="86308.03"/>
    <n v="2036.08"/>
    <n v="85691.000494123204"/>
    <n v="0"/>
    <n v="0"/>
    <n v="2036.08"/>
    <n v="85691.000494123204"/>
    <n v="85691.000494123204"/>
    <n v="0"/>
    <n v="0"/>
    <n v="0"/>
    <n v="0"/>
    <n v="0"/>
    <n v="0"/>
    <n v="85691"/>
    <n v="0"/>
    <n v="0"/>
    <n v="617"/>
    <n v="0"/>
  </r>
  <r>
    <x v="763"/>
    <s v="Gomukh Debka Vlc"/>
    <s v="vlc"/>
    <s v="Indirect"/>
    <n v="132.82"/>
    <n v="5624.7500000000009"/>
    <n v="0"/>
    <n v="0"/>
    <n v="0"/>
    <n v="0"/>
    <n v="0"/>
    <n v="0"/>
    <n v="5624.7500000000009"/>
    <n v="0"/>
    <n v="0"/>
    <n v="0"/>
    <n v="0"/>
    <n v="0"/>
    <n v="0"/>
    <n v="0"/>
    <n v="0"/>
    <n v="5624.7500000000009"/>
    <n v="0"/>
    <n v="0"/>
  </r>
  <r>
    <x v="764"/>
    <s v="Gomukh Azad Nagar"/>
    <s v="MPG"/>
    <s v="Direct"/>
    <n v="1100.8000000000002"/>
    <n v="41969.979999999996"/>
    <n v="1101.1499999999999"/>
    <n v="43108.657146024118"/>
    <n v="0"/>
    <n v="0"/>
    <n v="1101.1499999999999"/>
    <n v="43108.657146024118"/>
    <n v="41969.979999999996"/>
    <n v="0"/>
    <n v="0"/>
    <n v="1138.6771460241216"/>
    <n v="0"/>
    <n v="0"/>
    <n v="0"/>
    <n v="41970"/>
    <n v="0"/>
    <n v="0"/>
    <n v="0"/>
    <s v="Release2"/>
  </r>
  <r>
    <x v="765"/>
    <s v="Gomukh Purani Hrdia"/>
    <s v="MPG"/>
    <s v="Direct"/>
    <n v="278.8"/>
    <n v="10760.7"/>
    <n v="278.8"/>
    <n v="10709.56369296"/>
    <n v="0"/>
    <n v="0"/>
    <n v="278.8"/>
    <n v="10709.56369296"/>
    <n v="10709.56369296"/>
    <n v="0"/>
    <n v="0"/>
    <n v="0"/>
    <n v="0"/>
    <n v="0"/>
    <n v="0"/>
    <n v="10710"/>
    <n v="0"/>
    <n v="0"/>
    <n v="51"/>
    <n v="0"/>
  </r>
  <r>
    <x v="766"/>
    <s v="Gomukh Uttari Hardia"/>
    <s v="MPG"/>
    <s v="Direct"/>
    <n v="371.78"/>
    <n v="15161.69"/>
    <n v="371.78"/>
    <n v="15164.574869664002"/>
    <n v="0"/>
    <n v="0"/>
    <n v="371.78"/>
    <n v="15164.574869664002"/>
    <n v="15161.69"/>
    <n v="0"/>
    <n v="0"/>
    <n v="2.8848696640015987"/>
    <n v="0"/>
    <n v="0"/>
    <n v="0"/>
    <n v="15162"/>
    <n v="0"/>
    <n v="0"/>
    <n v="0"/>
    <n v="0"/>
  </r>
  <r>
    <x v="767"/>
    <s v="Gomukh Murli"/>
    <s v="MPG"/>
    <s v="Direct"/>
    <n v="151.12"/>
    <n v="6477.47"/>
    <n v="162.29"/>
    <n v="7631.8982696515377"/>
    <n v="0"/>
    <n v="0"/>
    <n v="162.29"/>
    <n v="7631.8982696515377"/>
    <n v="6477.47"/>
    <n v="0"/>
    <n v="0"/>
    <n v="1154.4282696515374"/>
    <n v="0"/>
    <n v="0"/>
    <n v="0"/>
    <n v="6477"/>
    <n v="0"/>
    <n v="0"/>
    <n v="0"/>
    <n v="0"/>
  </r>
  <r>
    <x v="768"/>
    <s v="Gomukh Nirpur Keshv Nagar"/>
    <s v="MPG"/>
    <s v="Direct"/>
    <n v="583.33999999999992"/>
    <n v="20976.369999999995"/>
    <n v="583.34"/>
    <n v="20975.931904831203"/>
    <n v="0"/>
    <n v="0"/>
    <n v="583.34"/>
    <n v="20975.931904831203"/>
    <n v="20975.931904831203"/>
    <n v="0"/>
    <n v="0"/>
    <n v="0"/>
    <n v="0"/>
    <n v="0"/>
    <n v="0"/>
    <n v="20976"/>
    <n v="0"/>
    <n v="0"/>
    <n v="0"/>
    <n v="0"/>
  </r>
  <r>
    <x v="769"/>
    <s v="Gomukh Thuthi Vlc"/>
    <s v="vlc"/>
    <s v="Direct"/>
    <n v="184.64"/>
    <n v="7445.76"/>
    <n v="184.64"/>
    <n v="7409.4362115840004"/>
    <n v="0"/>
    <n v="0"/>
    <n v="184.64"/>
    <n v="7409.4362115840004"/>
    <n v="7409.4362115840004"/>
    <n v="0"/>
    <n v="0"/>
    <n v="0"/>
    <n v="0"/>
    <n v="0"/>
    <n v="0"/>
    <n v="7409"/>
    <n v="0"/>
    <n v="0"/>
    <n v="37"/>
    <n v="0"/>
  </r>
  <r>
    <x v="770"/>
    <s v="Gomukh Nawadai Vlc"/>
    <s v="vlc"/>
    <s v="Indirect"/>
    <n v="290.67999999999995"/>
    <n v="10289.17"/>
    <n v="0"/>
    <n v="0"/>
    <n v="0"/>
    <n v="0"/>
    <n v="0"/>
    <n v="0"/>
    <n v="10289.17"/>
    <n v="0"/>
    <n v="0"/>
    <n v="0"/>
    <n v="1300"/>
    <n v="0"/>
    <n v="0"/>
    <n v="0"/>
    <n v="0"/>
    <n v="8989.17"/>
    <n v="0"/>
    <n v="0"/>
  </r>
  <r>
    <x v="771"/>
    <s v="Gomukh Kharra Basa"/>
    <s v="MPG"/>
    <s v="Direct"/>
    <n v="229.72"/>
    <n v="8737.83"/>
    <n v="232.17999999999995"/>
    <n v="8912.4979002839991"/>
    <n v="0"/>
    <n v="0"/>
    <n v="232.17999999999995"/>
    <n v="8912.4979002839991"/>
    <n v="8737.83"/>
    <n v="0"/>
    <n v="0"/>
    <n v="174.66790028399919"/>
    <n v="0"/>
    <n v="0"/>
    <n v="0"/>
    <n v="8738"/>
    <n v="0"/>
    <n v="0"/>
    <n v="0"/>
    <n v="0"/>
  </r>
  <r>
    <x v="772"/>
    <s v="Gomukh Bangalia"/>
    <s v="MPG"/>
    <s v="Direct"/>
    <n v="323.71999999999997"/>
    <n v="14776.1"/>
    <n v="365.98999999999995"/>
    <n v="17852.130171540401"/>
    <n v="0"/>
    <n v="0"/>
    <n v="365.98999999999995"/>
    <n v="17852.130171540401"/>
    <n v="14776.1"/>
    <n v="0"/>
    <n v="0"/>
    <n v="3076.0301715404003"/>
    <n v="0"/>
    <n v="0"/>
    <n v="0"/>
    <n v="14776"/>
    <n v="0"/>
    <n v="0"/>
    <n v="0"/>
    <s v="Release2"/>
  </r>
  <r>
    <x v="773"/>
    <s v="Gomukh Soharba Purvi"/>
    <s v="MPG"/>
    <s v="Direct"/>
    <n v="240.82"/>
    <n v="9250.9499999999989"/>
    <n v="240.82000000000002"/>
    <n v="9298.8707063472011"/>
    <n v="0"/>
    <n v="0"/>
    <n v="240.82000000000002"/>
    <n v="9298.8707063472011"/>
    <n v="9250.9499999999989"/>
    <n v="0"/>
    <n v="0"/>
    <n v="47.920706347202213"/>
    <n v="0"/>
    <n v="0"/>
    <n v="0"/>
    <n v="9251"/>
    <n v="0"/>
    <n v="0"/>
    <n v="0"/>
    <n v="0"/>
  </r>
  <r>
    <x v="774"/>
    <s v="Karian"/>
    <s v="MPG"/>
    <s v="Direct"/>
    <n v="72.2"/>
    <n v="3083.69"/>
    <n v="72.199999999999989"/>
    <n v="3095.8765143063001"/>
    <n v="0"/>
    <n v="0"/>
    <n v="72.199999999999989"/>
    <n v="3095.8765143063001"/>
    <n v="3083.69"/>
    <n v="0"/>
    <n v="0"/>
    <n v="12.186514306300069"/>
    <n v="0"/>
    <n v="84.32662372881353"/>
    <n v="0"/>
    <n v="2999"/>
    <n v="0"/>
    <n v="0"/>
    <n v="0"/>
    <n v="0"/>
  </r>
  <r>
    <x v="775"/>
    <s v="Teghara"/>
    <s v="MPG"/>
    <s v="Direct"/>
    <n v="218.29999999999998"/>
    <n v="8518.73"/>
    <n v="192.3"/>
    <n v="7476.8326491126008"/>
    <n v="26.200000000000003"/>
    <n v="1045.0205528399999"/>
    <n v="218.5"/>
    <n v="8521.853201952601"/>
    <n v="8518.73"/>
    <n v="0"/>
    <n v="0"/>
    <n v="3.1232019526014483"/>
    <n v="0"/>
    <n v="0"/>
    <n v="0"/>
    <n v="7474"/>
    <n v="1045"/>
    <n v="0"/>
    <n v="0"/>
    <n v="0"/>
  </r>
  <r>
    <x v="776"/>
    <s v="Basantpur"/>
    <s v="MPG"/>
    <s v="Direct"/>
    <n v="904.9"/>
    <n v="43196.67"/>
    <n v="904.89999999999986"/>
    <n v="43172.382222824104"/>
    <n v="0"/>
    <n v="0"/>
    <n v="904.89999999999986"/>
    <n v="43172.382222824104"/>
    <n v="43172.382222824104"/>
    <n v="0"/>
    <n v="0"/>
    <n v="0"/>
    <n v="0"/>
    <n v="380.28194360655806"/>
    <n v="0"/>
    <n v="42792"/>
    <n v="0"/>
    <n v="0"/>
    <n v="24"/>
    <n v="0"/>
  </r>
  <r>
    <x v="777"/>
    <s v="Chakoti"/>
    <s v="MPG"/>
    <s v="Direct"/>
    <n v="1393.7"/>
    <n v="52604.470000000008"/>
    <n v="92.40000000000002"/>
    <n v="3450.5463966886009"/>
    <n v="1299.3000000000004"/>
    <n v="48890.146101883998"/>
    <n v="1391.7000000000005"/>
    <n v="52340.6924985726"/>
    <n v="52340.6924985726"/>
    <n v="0"/>
    <n v="743.94543736722017"/>
    <n v="0"/>
    <n v="0"/>
    <n v="0"/>
    <n v="0"/>
    <n v="3451"/>
    <n v="48148"/>
    <n v="0"/>
    <n v="262"/>
    <n v="0"/>
  </r>
  <r>
    <x v="778"/>
    <s v="Nathudawar"/>
    <s v="MPG"/>
    <s v="Direct"/>
    <n v="618.4"/>
    <n v="24144.01"/>
    <n v="529.70000000000005"/>
    <n v="20660.424546888004"/>
    <n v="88.7"/>
    <n v="3449.0577246839998"/>
    <n v="618.40000000000009"/>
    <n v="24109.482271572004"/>
    <n v="24109.482271572004"/>
    <n v="0"/>
    <n v="0"/>
    <n v="0"/>
    <n v="0"/>
    <n v="0"/>
    <n v="0"/>
    <n v="20660"/>
    <n v="3449"/>
    <n v="0"/>
    <n v="35"/>
    <n v="0"/>
  </r>
  <r>
    <x v="779"/>
    <s v="Purnahi"/>
    <s v="vlc"/>
    <s v="Indirect"/>
    <n v="1008.8"/>
    <n v="34097.29"/>
    <n v="0"/>
    <n v="0"/>
    <n v="0"/>
    <n v="0"/>
    <n v="0"/>
    <n v="0"/>
    <n v="34097.29"/>
    <n v="0"/>
    <n v="0"/>
    <n v="0"/>
    <n v="0"/>
    <n v="0"/>
    <n v="0"/>
    <n v="0"/>
    <n v="0"/>
    <n v="34097.29"/>
    <n v="0"/>
    <n v="0"/>
  </r>
  <r>
    <x v="780"/>
    <s v="Baghopur "/>
    <s v="vlc"/>
    <s v="Indirect"/>
    <n v="470.1"/>
    <n v="18282.120000000003"/>
    <n v="0"/>
    <n v="0"/>
    <n v="0"/>
    <n v="0"/>
    <n v="0"/>
    <n v="0"/>
    <n v="18282.120000000003"/>
    <n v="0"/>
    <n v="0"/>
    <n v="0"/>
    <n v="0"/>
    <n v="0"/>
    <n v="0"/>
    <n v="0"/>
    <n v="0"/>
    <n v="18282.120000000003"/>
    <n v="0"/>
    <n v="0"/>
  </r>
  <r>
    <x v="781"/>
    <s v="Sadipur Bathnaha"/>
    <s v="vlc"/>
    <s v="Indirect"/>
    <n v="69.2"/>
    <n v="2612.3000000000002"/>
    <n v="0"/>
    <n v="0"/>
    <n v="0"/>
    <n v="0"/>
    <n v="0"/>
    <n v="0"/>
    <n v="2612.3000000000002"/>
    <n v="0"/>
    <n v="0"/>
    <n v="0"/>
    <n v="0"/>
    <n v="1064.7561870967743"/>
    <n v="0"/>
    <n v="0"/>
    <n v="0"/>
    <n v="1547.5438129032259"/>
    <n v="0"/>
    <n v="0"/>
  </r>
  <r>
    <x v="782"/>
    <s v="PARORIYA"/>
    <s v="vlc"/>
    <s v="Indirect"/>
    <n v="499.09999999999991"/>
    <n v="16086.630000000001"/>
    <n v="0"/>
    <n v="0"/>
    <n v="0"/>
    <n v="0"/>
    <n v="0"/>
    <n v="0"/>
    <n v="16086.630000000001"/>
    <n v="0"/>
    <n v="0"/>
    <n v="0"/>
    <n v="0"/>
    <n v="0"/>
    <n v="0"/>
    <n v="0"/>
    <n v="0"/>
    <n v="16086.630000000001"/>
    <n v="0"/>
    <n v="0"/>
  </r>
  <r>
    <x v="783"/>
    <s v="Dewanpur"/>
    <s v="MPG"/>
    <s v="Direct"/>
    <n v="114.10000000000001"/>
    <n v="5089.38"/>
    <n v="79.800000000000011"/>
    <n v="3580.3871785440006"/>
    <n v="34.200000000000003"/>
    <n v="1538.3521172306"/>
    <n v="114.00000000000001"/>
    <n v="5118.7392957746006"/>
    <n v="5089.38"/>
    <n v="0"/>
    <n v="0"/>
    <n v="29.359295774600469"/>
    <n v="0"/>
    <n v="59.880350163934452"/>
    <n v="0"/>
    <n v="3491"/>
    <n v="1538"/>
    <n v="0"/>
    <n v="0"/>
    <n v="0"/>
  </r>
  <r>
    <x v="784"/>
    <s v="Gohi"/>
    <s v="MPG"/>
    <s v="Direct"/>
    <n v="389.4"/>
    <n v="15583.76"/>
    <n v="81.499999999999972"/>
    <n v="3343.9023177120002"/>
    <n v="307.90000000000003"/>
    <n v="12201.500863567002"/>
    <n v="389.4"/>
    <n v="15545.403181279002"/>
    <n v="15545.403181279002"/>
    <n v="0"/>
    <n v="277.59052728"/>
    <n v="0"/>
    <n v="0"/>
    <n v="0"/>
    <n v="0"/>
    <n v="3344"/>
    <n v="11925"/>
    <n v="0"/>
    <n v="37"/>
    <n v="0"/>
  </r>
  <r>
    <x v="785"/>
    <s v="Matua"/>
    <s v="MPG"/>
    <s v="Direct"/>
    <n v="647.70000000000016"/>
    <n v="27193.83"/>
    <n v="166.7"/>
    <n v="8078.9958714817994"/>
    <n v="480.9"/>
    <n v="19126.910420808901"/>
    <n v="647.59999999999991"/>
    <n v="27205.9062922907"/>
    <n v="27193.83"/>
    <n v="0"/>
    <n v="109.41420616889999"/>
    <n v="12.076292290697893"/>
    <n v="0"/>
    <n v="0"/>
    <n v="0"/>
    <n v="8066"/>
    <n v="19018"/>
    <n v="0"/>
    <n v="0"/>
    <n v="0"/>
  </r>
  <r>
    <x v="786"/>
    <s v="Ratni Chouk"/>
    <s v="MPG"/>
    <s v="Direct"/>
    <n v="855.30000000000007"/>
    <n v="37101.640000000007"/>
    <n v="855.40000000000009"/>
    <n v="37104.762647160009"/>
    <n v="0"/>
    <n v="0"/>
    <n v="855.40000000000009"/>
    <n v="37104.762647160009"/>
    <n v="37101.640000000007"/>
    <n v="0"/>
    <n v="0"/>
    <n v="3.1226471600020886"/>
    <n v="0"/>
    <n v="0"/>
    <n v="0"/>
    <n v="37102"/>
    <n v="0"/>
    <n v="0"/>
    <n v="0"/>
    <n v="0"/>
  </r>
  <r>
    <x v="787"/>
    <s v="Balahi 2"/>
    <s v="MPG"/>
    <s v="Direct"/>
    <n v="655.70000000000016"/>
    <n v="23041.989999999998"/>
    <n v="599"/>
    <n v="22278.837783925672"/>
    <n v="59.9"/>
    <n v="2101.9196606760001"/>
    <n v="658.9"/>
    <n v="24380.757444601673"/>
    <n v="23041.989999999998"/>
    <n v="0"/>
    <n v="75.936299075999997"/>
    <n v="1338.7674446016754"/>
    <n v="0"/>
    <n v="0"/>
    <n v="0"/>
    <n v="20940"/>
    <n v="2026"/>
    <n v="0"/>
    <n v="0"/>
    <n v="0"/>
  </r>
  <r>
    <x v="788"/>
    <s v="Chandauli"/>
    <s v="vlc"/>
    <s v="Indirect"/>
    <n v="484.9"/>
    <n v="22534.91"/>
    <n v="0"/>
    <n v="0"/>
    <n v="0"/>
    <n v="0"/>
    <n v="0"/>
    <n v="0"/>
    <n v="22534.91"/>
    <n v="0"/>
    <n v="0"/>
    <n v="0"/>
    <n v="0"/>
    <n v="0"/>
    <n v="0"/>
    <n v="0"/>
    <n v="0"/>
    <n v="22534.91"/>
    <n v="0"/>
    <n v="0"/>
  </r>
  <r>
    <x v="789"/>
    <s v="Gulabi Choak"/>
    <s v="vlc"/>
    <s v="Indirect"/>
    <n v="816.80000000000007"/>
    <n v="29801.230000000003"/>
    <n v="0"/>
    <n v="0"/>
    <n v="0"/>
    <n v="0"/>
    <n v="0"/>
    <n v="0"/>
    <n v="29801.230000000003"/>
    <n v="0"/>
    <n v="0"/>
    <n v="0"/>
    <n v="0"/>
    <n v="0"/>
    <n v="0"/>
    <n v="0"/>
    <n v="0"/>
    <n v="29801.230000000003"/>
    <n v="0"/>
    <n v="0"/>
  </r>
  <r>
    <x v="790"/>
    <s v="Satmalpur"/>
    <s v="vlc"/>
    <s v="Indirect"/>
    <n v="1284.7"/>
    <n v="49490.369999999995"/>
    <n v="0"/>
    <n v="0"/>
    <n v="0"/>
    <n v="0"/>
    <n v="0"/>
    <n v="0"/>
    <n v="49490.369999999995"/>
    <n v="0"/>
    <n v="0"/>
    <n v="0"/>
    <n v="0"/>
    <n v="0"/>
    <n v="0"/>
    <n v="0"/>
    <n v="0"/>
    <n v="49490.369999999995"/>
    <n v="0"/>
    <n v="0"/>
  </r>
  <r>
    <x v="791"/>
    <s v="Chhatnesar"/>
    <s v="vlc"/>
    <s v="Indirect"/>
    <n v="350.7"/>
    <n v="13108.569999999998"/>
    <n v="0"/>
    <n v="0"/>
    <n v="0"/>
    <n v="0"/>
    <n v="0"/>
    <n v="0"/>
    <n v="13108.569999999998"/>
    <n v="0"/>
    <n v="0"/>
    <n v="0"/>
    <n v="0"/>
    <n v="0"/>
    <n v="0"/>
    <n v="0"/>
    <n v="0"/>
    <n v="13108.569999999998"/>
    <n v="0"/>
    <n v="0"/>
  </r>
  <r>
    <x v="792"/>
    <s v="Chhatnesar 2"/>
    <s v="MPG"/>
    <s v="Direct"/>
    <n v="289.8"/>
    <n v="10403.75"/>
    <n v="259.09999999999997"/>
    <n v="9603.7886289708003"/>
    <n v="21"/>
    <n v="856.57128480000017"/>
    <n v="280.09999999999997"/>
    <n v="10460.359913770801"/>
    <n v="10403.75"/>
    <n v="0"/>
    <n v="0"/>
    <n v="56.609913770800631"/>
    <n v="0"/>
    <n v="0"/>
    <n v="0"/>
    <n v="9547"/>
    <n v="857"/>
    <n v="0"/>
    <n v="0"/>
    <n v="0"/>
  </r>
  <r>
    <x v="793"/>
    <s v="Hajpurwa"/>
    <s v="MPG"/>
    <s v="Direct"/>
    <n v="162.09999999999997"/>
    <n v="6670.5"/>
    <n v="162.09999999999997"/>
    <n v="6684.9663597419994"/>
    <n v="0"/>
    <n v="0"/>
    <n v="162.09999999999997"/>
    <n v="6684.9663597419994"/>
    <n v="6670.5"/>
    <n v="0"/>
    <n v="0"/>
    <n v="14.46635974199944"/>
    <n v="0"/>
    <n v="96.481957377049127"/>
    <n v="0"/>
    <n v="6574"/>
    <n v="0"/>
    <n v="0"/>
    <n v="0"/>
    <n v="0"/>
  </r>
  <r>
    <x v="794"/>
    <s v="Shekhopur"/>
    <s v="MPG"/>
    <s v="Direct"/>
    <n v="291.5"/>
    <n v="10417.640000000003"/>
    <n v="291.5"/>
    <n v="10417.574297988"/>
    <n v="0"/>
    <n v="0"/>
    <n v="291.5"/>
    <n v="10417.574297988"/>
    <n v="10417.574297988"/>
    <n v="0"/>
    <n v="0"/>
    <n v="0"/>
    <n v="0"/>
    <n v="144.18547868852465"/>
    <n v="0"/>
    <n v="10273"/>
    <n v="0"/>
    <n v="0"/>
    <n v="0"/>
    <n v="0"/>
  </r>
  <r>
    <x v="795"/>
    <s v="Dharampur"/>
    <s v="MPG"/>
    <s v="Direct"/>
    <n v="163.5"/>
    <n v="6522.6000000000013"/>
    <n v="162.59999999999997"/>
    <n v="6434.6178626550009"/>
    <n v="0.5"/>
    <n v="19.430951759999999"/>
    <n v="163.09999999999997"/>
    <n v="6454.0488144150013"/>
    <n v="6454.0488144150013"/>
    <n v="0"/>
    <n v="19.430951759999999"/>
    <n v="0"/>
    <n v="0"/>
    <n v="0"/>
    <n v="0"/>
    <n v="6435"/>
    <n v="0"/>
    <n v="0"/>
    <n v="68"/>
    <n v="0"/>
  </r>
  <r>
    <x v="796"/>
    <s v="Chatnesar Pachiam"/>
    <s v="vlc"/>
    <s v="Indirect"/>
    <n v="140.60000000000002"/>
    <n v="5469.3600000000006"/>
    <n v="0"/>
    <n v="0"/>
    <n v="0"/>
    <n v="0"/>
    <n v="0"/>
    <n v="0"/>
    <n v="5469.3600000000006"/>
    <n v="0"/>
    <n v="0"/>
    <n v="0"/>
    <n v="0"/>
    <n v="162.1990838709678"/>
    <n v="0"/>
    <n v="0"/>
    <n v="0"/>
    <n v="5307.1609161290326"/>
    <n v="0"/>
    <n v="0"/>
  </r>
  <r>
    <x v="797"/>
    <s v="Hajpurwa Pachim"/>
    <s v="MPG"/>
    <s v="Direct"/>
    <n v="321.09999999999997"/>
    <n v="13106.749999999998"/>
    <n v="320.60000000000008"/>
    <n v="13126.915469206489"/>
    <n v="0"/>
    <n v="0"/>
    <n v="320.60000000000008"/>
    <n v="13126.915469206489"/>
    <n v="13106.749999999998"/>
    <n v="0"/>
    <n v="0"/>
    <n v="20.165469206491252"/>
    <n v="0"/>
    <n v="0"/>
    <n v="0"/>
    <n v="13107"/>
    <n v="0"/>
    <n v="0"/>
    <n v="0"/>
    <n v="0"/>
  </r>
  <r>
    <x v="798"/>
    <s v="Almasnagar"/>
    <s v="vlc"/>
    <s v="Indirect"/>
    <n v="342.50000000000006"/>
    <n v="11587.3"/>
    <n v="0"/>
    <n v="0"/>
    <n v="0"/>
    <n v="0"/>
    <n v="0"/>
    <n v="0"/>
    <n v="11587.3"/>
    <n v="0"/>
    <n v="0"/>
    <n v="0"/>
    <n v="0"/>
    <n v="0"/>
    <n v="0"/>
    <n v="0"/>
    <n v="0"/>
    <n v="11587.3"/>
    <n v="0"/>
    <n v="0"/>
  </r>
  <r>
    <x v="799"/>
    <s v="Kadarchak"/>
    <s v="vlc"/>
    <s v="Indirect"/>
    <n v="87.199999999999989"/>
    <n v="3225.88"/>
    <n v="0"/>
    <n v="0"/>
    <n v="0"/>
    <n v="0"/>
    <n v="0"/>
    <n v="0"/>
    <n v="3225.88"/>
    <n v="0"/>
    <n v="0"/>
    <n v="0"/>
    <n v="0"/>
    <n v="0"/>
    <n v="0"/>
    <n v="0"/>
    <n v="0"/>
    <n v="3225.88"/>
    <n v="0"/>
    <n v="0"/>
  </r>
  <r>
    <x v="800"/>
    <s v="Rahua"/>
    <s v="MPG"/>
    <s v="Direct"/>
    <n v="155.5"/>
    <n v="6430.82"/>
    <n v="155.50000000000003"/>
    <n v="6430.3910373914996"/>
    <n v="0"/>
    <n v="0"/>
    <n v="155.50000000000003"/>
    <n v="6430.3910373914996"/>
    <n v="6430.3910373914996"/>
    <n v="0"/>
    <n v="0"/>
    <n v="0"/>
    <n v="0"/>
    <n v="0"/>
    <n v="0"/>
    <n v="6430"/>
    <n v="0"/>
    <n v="0"/>
    <n v="1"/>
    <n v="0"/>
  </r>
  <r>
    <x v="801"/>
    <s v="Dagrua"/>
    <s v="MPG"/>
    <s v="Direct"/>
    <n v="91.5"/>
    <n v="4065.3"/>
    <n v="83.6"/>
    <n v="3700.3404072000008"/>
    <n v="0"/>
    <n v="0"/>
    <n v="83.6"/>
    <n v="3700.3404072000008"/>
    <n v="3700.3404072000008"/>
    <n v="0"/>
    <n v="0"/>
    <n v="0"/>
    <n v="0"/>
    <n v="0"/>
    <n v="0"/>
    <n v="3700"/>
    <n v="0"/>
    <n v="0"/>
    <n v="365"/>
    <n v="0"/>
  </r>
  <r>
    <x v="802"/>
    <s v="Buzurgdoar"/>
    <s v="MPG"/>
    <s v="Direct"/>
    <n v="1243.6000000000001"/>
    <n v="47186.689999999995"/>
    <n v="1243.4000000000001"/>
    <n v="47382.256692633018"/>
    <n v="0"/>
    <n v="0"/>
    <n v="1243.4000000000001"/>
    <n v="47382.256692633018"/>
    <n v="47186.689999999995"/>
    <n v="0"/>
    <n v="0"/>
    <n v="195.56669263302319"/>
    <n v="0"/>
    <n v="0"/>
    <n v="0"/>
    <n v="47187"/>
    <n v="0"/>
    <n v="0"/>
    <n v="0"/>
    <n v="0"/>
  </r>
  <r>
    <x v="803"/>
    <s v="Patpara"/>
    <s v="vlc"/>
    <s v="Indirect"/>
    <n v="414.00000000000006"/>
    <n v="14226.529999999999"/>
    <n v="0"/>
    <n v="0"/>
    <n v="0"/>
    <n v="0"/>
    <n v="0"/>
    <n v="0"/>
    <n v="14226.529999999999"/>
    <n v="0"/>
    <n v="0"/>
    <n v="0"/>
    <n v="0"/>
    <n v="0"/>
    <n v="0"/>
    <n v="0"/>
    <n v="0"/>
    <n v="14226.529999999999"/>
    <n v="0"/>
    <n v="0"/>
  </r>
  <r>
    <x v="804"/>
    <s v="Kamopur"/>
    <s v="MPG"/>
    <s v="Direct"/>
    <n v="377"/>
    <n v="14675.28"/>
    <n v="299.60000000000002"/>
    <n v="10815.149860586202"/>
    <n v="77.40000000000002"/>
    <n v="3798.3907268808748"/>
    <n v="377.00000000000006"/>
    <n v="14613.540587467076"/>
    <n v="14613.540587467076"/>
    <n v="0"/>
    <n v="0"/>
    <n v="0"/>
    <n v="0"/>
    <n v="0"/>
    <n v="0"/>
    <n v="10815"/>
    <n v="3798"/>
    <n v="0"/>
    <n v="62"/>
    <n v="0"/>
  </r>
  <r>
    <x v="805"/>
    <s v="Kussaiya"/>
    <s v="MPG"/>
    <s v="Direct"/>
    <n v="244.4"/>
    <n v="12659.029999999999"/>
    <n v="243.49999999999994"/>
    <n v="12755.714549359291"/>
    <n v="0"/>
    <n v="0"/>
    <n v="243.49999999999994"/>
    <n v="12755.714549359291"/>
    <n v="12659.029999999999"/>
    <n v="0"/>
    <n v="0"/>
    <n v="96.68454935929185"/>
    <n v="0"/>
    <n v="0"/>
    <n v="0"/>
    <n v="12659"/>
    <n v="0"/>
    <n v="0"/>
    <n v="0"/>
    <n v="0"/>
  </r>
  <r>
    <x v="806"/>
    <s v="Kanu Bisanpur"/>
    <s v="vlc"/>
    <s v="Indirect"/>
    <n v="280.7"/>
    <n v="10687.810000000001"/>
    <n v="0"/>
    <n v="0"/>
    <n v="0"/>
    <n v="0"/>
    <n v="0"/>
    <n v="0"/>
    <n v="10687.810000000001"/>
    <n v="0"/>
    <n v="0"/>
    <n v="0"/>
    <n v="0"/>
    <n v="0"/>
    <n v="0"/>
    <n v="0"/>
    <n v="0"/>
    <n v="10687.810000000001"/>
    <n v="0"/>
    <n v="0"/>
  </r>
  <r>
    <x v="807"/>
    <s v="Raini 2"/>
    <s v="MPG"/>
    <s v="Direct"/>
    <n v="168.7"/>
    <n v="6796.7899999999991"/>
    <n v="167.79999999999998"/>
    <n v="6858.9193834587195"/>
    <n v="0"/>
    <n v="0"/>
    <n v="167.79999999999998"/>
    <n v="6858.9193834587195"/>
    <n v="6796.7899999999991"/>
    <n v="0"/>
    <n v="0"/>
    <n v="62.12938345872044"/>
    <n v="0"/>
    <n v="0"/>
    <n v="0"/>
    <n v="6797"/>
    <n v="0"/>
    <n v="0"/>
    <n v="0"/>
    <n v="0"/>
  </r>
  <r>
    <x v="808"/>
    <s v="Hasauli"/>
    <s v="vlc"/>
    <s v="Indirect"/>
    <n v="75.599999999999994"/>
    <n v="2662.65"/>
    <n v="0"/>
    <n v="0"/>
    <n v="0"/>
    <n v="0"/>
    <n v="0"/>
    <n v="0"/>
    <n v="2662.65"/>
    <n v="0"/>
    <n v="0"/>
    <n v="0"/>
    <n v="0"/>
    <n v="0"/>
    <n v="0"/>
    <n v="0"/>
    <n v="0"/>
    <n v="2662.65"/>
    <n v="0"/>
    <n v="0"/>
  </r>
  <r>
    <x v="809"/>
    <s v="Kusiya 2"/>
    <s v="vlc"/>
    <s v="Indirect"/>
    <n v="251"/>
    <n v="9103.8499999999985"/>
    <n v="0"/>
    <n v="0"/>
    <n v="0"/>
    <n v="0"/>
    <n v="0"/>
    <n v="0"/>
    <n v="9103.8499999999985"/>
    <n v="0"/>
    <n v="0"/>
    <n v="0"/>
    <n v="0"/>
    <n v="0"/>
    <n v="0"/>
    <n v="0"/>
    <n v="0"/>
    <n v="9103.8499999999985"/>
    <n v="0"/>
    <n v="0"/>
  </r>
  <r>
    <x v="810"/>
    <s v="Babupur"/>
    <s v="vlc"/>
    <s v="Indirect"/>
    <n v="260.7"/>
    <n v="9422.7100000000009"/>
    <n v="0"/>
    <n v="0"/>
    <n v="0"/>
    <n v="0"/>
    <n v="0"/>
    <n v="0"/>
    <n v="9422.7100000000009"/>
    <n v="0"/>
    <n v="0"/>
    <n v="0"/>
    <n v="0"/>
    <n v="0"/>
    <n v="0"/>
    <n v="0"/>
    <n v="0"/>
    <n v="9422.7100000000009"/>
    <n v="0"/>
    <n v="0"/>
  </r>
  <r>
    <x v="811"/>
    <s v="Rahua 2"/>
    <s v="vlc"/>
    <s v="Indirect"/>
    <n v="1554"/>
    <n v="66602.070000000007"/>
    <n v="0"/>
    <n v="0"/>
    <n v="0"/>
    <n v="0"/>
    <n v="0"/>
    <n v="0"/>
    <n v="66602.070000000007"/>
    <n v="0"/>
    <n v="0"/>
    <n v="0"/>
    <n v="0"/>
    <n v="0"/>
    <n v="0"/>
    <n v="0"/>
    <n v="0"/>
    <n v="66602.070000000007"/>
    <n v="0"/>
    <n v="0"/>
  </r>
  <r>
    <x v="812"/>
    <s v="Madhopur"/>
    <s v="vlc"/>
    <s v="Indirect"/>
    <n v="271.39999999999998"/>
    <n v="10739.16"/>
    <n v="0"/>
    <n v="0"/>
    <n v="0"/>
    <n v="0"/>
    <n v="0"/>
    <n v="0"/>
    <n v="10739.16"/>
    <n v="0"/>
    <n v="0"/>
    <n v="0"/>
    <n v="0"/>
    <n v="0"/>
    <n v="0"/>
    <n v="0"/>
    <n v="0"/>
    <n v="10739.16"/>
    <n v="0"/>
    <n v="0"/>
  </r>
  <r>
    <x v="813"/>
    <s v="Ekdara"/>
    <s v="vlc"/>
    <s v="Indirect"/>
    <n v="237.9"/>
    <n v="8416.9"/>
    <n v="0"/>
    <n v="0"/>
    <n v="0"/>
    <n v="0"/>
    <n v="0"/>
    <n v="0"/>
    <n v="8416.9"/>
    <n v="0"/>
    <n v="0"/>
    <n v="0"/>
    <n v="0"/>
    <n v="0"/>
    <n v="0"/>
    <n v="0"/>
    <n v="0"/>
    <n v="8416.9"/>
    <n v="0"/>
    <n v="0"/>
  </r>
  <r>
    <x v="814"/>
    <s v="Mahuli"/>
    <s v="MPG"/>
    <s v="Direct"/>
    <n v="312.60000000000002"/>
    <n v="12726.71"/>
    <n v="297.2"/>
    <n v="12140.7591557878"/>
    <n v="9.1"/>
    <n v="369.13494420000001"/>
    <n v="306.3"/>
    <n v="12509.8940999878"/>
    <n v="12509.8940999878"/>
    <n v="0"/>
    <n v="369.13494420000001"/>
    <n v="0"/>
    <n v="0"/>
    <n v="0"/>
    <n v="0"/>
    <n v="12140"/>
    <n v="0"/>
    <n v="0"/>
    <n v="218"/>
    <n v="0"/>
  </r>
  <r>
    <x v="815"/>
    <s v="Sakhwa Ghat"/>
    <s v="MPG"/>
    <s v="Direct"/>
    <n v="383.49999999999994"/>
    <n v="15099.51"/>
    <n v="377.60000000000008"/>
    <n v="15538.337030467841"/>
    <n v="8"/>
    <n v="319.95021168000005"/>
    <n v="385.60000000000008"/>
    <n v="15858.287242147841"/>
    <n v="15099.51"/>
    <n v="0"/>
    <n v="319.95021168000005"/>
    <n v="758.7772421478403"/>
    <n v="0"/>
    <n v="0"/>
    <n v="0"/>
    <n v="14780"/>
    <n v="0"/>
    <n v="0"/>
    <n v="0"/>
    <n v="0"/>
  </r>
  <r>
    <x v="816"/>
    <s v="Patiya"/>
    <s v="MPG"/>
    <s v="Direct"/>
    <n v="277.60000000000002"/>
    <n v="10197.209999999999"/>
    <n v="262.8"/>
    <n v="10653.504715978599"/>
    <n v="3.3"/>
    <n v="127.27687125720001"/>
    <n v="266.10000000000002"/>
    <n v="10780.781587235799"/>
    <n v="10197.209999999999"/>
    <n v="0"/>
    <n v="127.27687125720001"/>
    <n v="583.5715872357996"/>
    <n v="0"/>
    <n v="0"/>
    <n v="0"/>
    <n v="10070"/>
    <n v="0"/>
    <n v="0"/>
    <n v="0"/>
    <n v="0"/>
  </r>
  <r>
    <x v="817"/>
    <s v="Kasiya"/>
    <s v="MPG"/>
    <s v="Direct"/>
    <n v="441.80000000000007"/>
    <n v="16478.98"/>
    <n v="465.9"/>
    <n v="18632.059515710498"/>
    <n v="3.2"/>
    <n v="124.468889292"/>
    <n v="469.09999999999997"/>
    <n v="18756.528405002497"/>
    <n v="16478.98"/>
    <n v="0"/>
    <n v="124.468889292"/>
    <n v="2277.548405002497"/>
    <n v="0"/>
    <n v="0"/>
    <n v="0"/>
    <n v="16355"/>
    <n v="0"/>
    <n v="0"/>
    <n v="0"/>
    <s v="Release1"/>
  </r>
  <r>
    <x v="818"/>
    <s v="Belshandi"/>
    <s v="MPG"/>
    <s v="Direct"/>
    <n v="156.6"/>
    <n v="5712.9900000000007"/>
    <n v="140.59999999999997"/>
    <n v="5466.3645400983469"/>
    <n v="4.4000000000000004"/>
    <n v="226.30914424142003"/>
    <n v="144.99999999999997"/>
    <n v="5692.6736843397666"/>
    <n v="5692.6736843397666"/>
    <n v="0"/>
    <n v="226.30914424142003"/>
    <n v="0"/>
    <n v="0"/>
    <n v="0"/>
    <n v="0"/>
    <n v="5467"/>
    <n v="0"/>
    <n v="0"/>
    <n v="20"/>
    <n v="0"/>
  </r>
  <r>
    <x v="819"/>
    <s v="Belshandi-2"/>
    <s v="MPG"/>
    <s v="Direct"/>
    <n v="120"/>
    <n v="5401.8799999999992"/>
    <n v="124.1"/>
    <n v="5645.0699143300999"/>
    <n v="0"/>
    <n v="0"/>
    <n v="124.1"/>
    <n v="5645.0699143300999"/>
    <n v="5401.8799999999992"/>
    <n v="0"/>
    <n v="0"/>
    <n v="243.18991433010069"/>
    <n v="0"/>
    <n v="626.41000000000008"/>
    <n v="0"/>
    <n v="4775"/>
    <n v="0"/>
    <n v="0"/>
    <n v="0"/>
    <s v="Release1"/>
  </r>
  <r>
    <x v="820"/>
    <s v="Godah"/>
    <s v="MPG"/>
    <s v="Direct"/>
    <n v="300.2"/>
    <n v="11136.689999999999"/>
    <n v="335.1"/>
    <n v="13043.076169518001"/>
    <n v="0"/>
    <n v="0"/>
    <n v="335.1"/>
    <n v="13043.076169518001"/>
    <n v="11136.689999999999"/>
    <n v="0"/>
    <n v="0"/>
    <n v="1906.3861695180021"/>
    <n v="0"/>
    <n v="0"/>
    <n v="0"/>
    <n v="11137"/>
    <n v="0"/>
    <n v="0"/>
    <n v="0"/>
    <n v="0"/>
  </r>
  <r>
    <x v="821"/>
    <s v="Ballahpur"/>
    <s v="MPG"/>
    <s v="Direct"/>
    <n v="76.499999999999986"/>
    <n v="2809.12"/>
    <n v="61.34"/>
    <n v="2372.1127155390391"/>
    <n v="0"/>
    <n v="0"/>
    <n v="61.34"/>
    <n v="2372.1127155390391"/>
    <n v="2372.1127155390391"/>
    <n v="0"/>
    <n v="0"/>
    <n v="0"/>
    <n v="0"/>
    <n v="16.596496551724073"/>
    <n v="0"/>
    <n v="2356"/>
    <n v="0"/>
    <n v="0"/>
    <n v="437"/>
    <n v="0"/>
  </r>
  <r>
    <x v="822"/>
    <s v="Laxmipur-VLC"/>
    <s v="vlc"/>
    <s v="Indirect"/>
    <n v="163.60000000000002"/>
    <n v="5662.58"/>
    <n v="0"/>
    <n v="0"/>
    <n v="0"/>
    <n v="0"/>
    <n v="0"/>
    <n v="0"/>
    <n v="5662.58"/>
    <n v="0"/>
    <n v="0"/>
    <n v="0"/>
    <n v="0"/>
    <n v="0"/>
    <n v="0"/>
    <n v="0"/>
    <n v="0"/>
    <n v="5662.58"/>
    <n v="0"/>
    <n v="0"/>
  </r>
  <r>
    <x v="823"/>
    <s v="Birpur"/>
    <s v="MPG"/>
    <s v="Direct"/>
    <n v="384.20000000000005"/>
    <n v="12741.449999999997"/>
    <n v="359.64"/>
    <n v="12692.358687333601"/>
    <n v="0"/>
    <n v="0"/>
    <n v="359.64"/>
    <n v="12692.358687333601"/>
    <n v="12692.358687333601"/>
    <n v="0"/>
    <n v="0"/>
    <n v="0"/>
    <n v="0"/>
    <n v="0"/>
    <n v="0"/>
    <n v="12693"/>
    <n v="0"/>
    <n v="0"/>
    <n v="48"/>
    <n v="0"/>
  </r>
  <r>
    <x v="824"/>
    <s v="Ahilwar"/>
    <s v="MPG"/>
    <s v="Direct"/>
    <n v="1113.2"/>
    <n v="48073.37"/>
    <n v="1107.8"/>
    <n v="48609.7566993492"/>
    <n v="5.3"/>
    <n v="210.58519680000001"/>
    <n v="1113.0999999999999"/>
    <n v="48820.341896149199"/>
    <n v="48073.37"/>
    <n v="0"/>
    <n v="210.58519680000001"/>
    <n v="746.97189614919625"/>
    <n v="0"/>
    <n v="0"/>
    <n v="0"/>
    <n v="47863"/>
    <n v="0"/>
    <n v="0"/>
    <n v="0"/>
    <n v="0"/>
  </r>
  <r>
    <x v="825"/>
    <s v="Paridah"/>
    <s v="MPG"/>
    <s v="Direct"/>
    <n v="183.1"/>
    <n v="7951.66"/>
    <n v="187.29999999999998"/>
    <n v="8374.8762626796397"/>
    <n v="0"/>
    <n v="0"/>
    <n v="187.29999999999998"/>
    <n v="8374.8762626796397"/>
    <n v="7951.66"/>
    <n v="0"/>
    <n v="0"/>
    <n v="423.21626267963984"/>
    <n v="0"/>
    <n v="152.31"/>
    <n v="0"/>
    <n v="7799"/>
    <n v="0"/>
    <n v="0"/>
    <n v="0"/>
    <s v="Release1"/>
  </r>
  <r>
    <x v="826"/>
    <s v="Pansalla"/>
    <s v="MPG"/>
    <s v="Direct"/>
    <n v="290.89999999999998"/>
    <n v="9758"/>
    <n v="338.99999999999994"/>
    <n v="12109.510168866"/>
    <n v="0"/>
    <n v="0"/>
    <n v="338.99999999999994"/>
    <n v="12109.510168866"/>
    <n v="9758"/>
    <n v="0"/>
    <n v="0"/>
    <n v="2351.5101688659997"/>
    <n v="0"/>
    <n v="0"/>
    <n v="0"/>
    <n v="9758"/>
    <n v="0"/>
    <n v="0"/>
    <n v="0"/>
    <s v="Release1"/>
  </r>
  <r>
    <x v="827"/>
    <s v="KOLAWARI"/>
    <s v="MPG"/>
    <s v="Direct"/>
    <n v="236.1"/>
    <n v="11438.999999999998"/>
    <n v="238.5"/>
    <n v="11497.710185466956"/>
    <n v="0"/>
    <n v="0"/>
    <n v="238.5"/>
    <n v="11497.710185466956"/>
    <n v="11438.999999999998"/>
    <n v="0"/>
    <n v="0"/>
    <n v="58.710185466958137"/>
    <n v="0"/>
    <n v="0"/>
    <n v="0"/>
    <n v="11439"/>
    <n v="0"/>
    <n v="0"/>
    <n v="0"/>
    <n v="0"/>
  </r>
  <r>
    <x v="828"/>
    <s v="MALDAH"/>
    <s v="vlc"/>
    <s v="Indirect"/>
    <n v="803.4"/>
    <n v="31474.620000000003"/>
    <n v="0"/>
    <n v="0"/>
    <n v="0"/>
    <n v="0"/>
    <n v="0"/>
    <n v="0"/>
    <n v="31474.620000000003"/>
    <n v="0"/>
    <n v="0"/>
    <n v="0"/>
    <n v="0"/>
    <n v="0"/>
    <n v="0"/>
    <n v="0"/>
    <n v="0"/>
    <n v="31474.620000000003"/>
    <n v="0"/>
    <n v="0"/>
  </r>
  <r>
    <x v="829"/>
    <s v="KARANCHI"/>
    <s v="MPG"/>
    <s v="Direct"/>
    <n v="143.29999999999998"/>
    <n v="5620.58"/>
    <n v="142.69999999999999"/>
    <n v="5620.5129245957996"/>
    <n v="0"/>
    <n v="0"/>
    <n v="142.69999999999999"/>
    <n v="5620.5129245957996"/>
    <n v="5620.5129245957996"/>
    <n v="0"/>
    <n v="0"/>
    <n v="0"/>
    <n v="0"/>
    <n v="0"/>
    <n v="0"/>
    <n v="5620"/>
    <n v="0"/>
    <n v="0"/>
    <n v="1"/>
    <n v="0"/>
  </r>
  <r>
    <x v="830"/>
    <s v="MARTHUA"/>
    <s v="MPG"/>
    <s v="Direct"/>
    <n v="354.50000000000006"/>
    <n v="14995.140000000001"/>
    <n v="388.51"/>
    <n v="16632.863829499238"/>
    <n v="0"/>
    <n v="0"/>
    <n v="388.51"/>
    <n v="16632.863829499238"/>
    <n v="14995.140000000001"/>
    <n v="0"/>
    <n v="0"/>
    <n v="1637.7238294992367"/>
    <n v="0"/>
    <n v="0"/>
    <n v="0"/>
    <n v="14995"/>
    <n v="0"/>
    <n v="0"/>
    <n v="0"/>
    <n v="0"/>
  </r>
  <r>
    <x v="831"/>
    <s v="GARHPURA "/>
    <s v="MPG"/>
    <s v="Direct"/>
    <n v="185.10000000000002"/>
    <n v="6261.86"/>
    <n v="205.61000000000004"/>
    <n v="7185.0616723116"/>
    <n v="0"/>
    <n v="0"/>
    <n v="205.61000000000004"/>
    <n v="7185.0616723116"/>
    <n v="6261.86"/>
    <n v="0"/>
    <n v="0"/>
    <n v="923.2016723116003"/>
    <n v="0"/>
    <n v="0"/>
    <n v="0"/>
    <n v="6262"/>
    <n v="0"/>
    <n v="0"/>
    <n v="0"/>
    <n v="0"/>
  </r>
  <r>
    <x v="832"/>
    <s v="KOKANI"/>
    <s v="MPG"/>
    <s v="Direct"/>
    <n v="129.60000000000002"/>
    <n v="4695.3999999999996"/>
    <n v="126.57000000000001"/>
    <n v="4779.0215720280012"/>
    <n v="0"/>
    <n v="0"/>
    <n v="126.57000000000001"/>
    <n v="4779.0215720280012"/>
    <n v="4695.3999999999996"/>
    <n v="0"/>
    <n v="0"/>
    <n v="83.621572028001538"/>
    <n v="0"/>
    <n v="0"/>
    <n v="0"/>
    <n v="4695"/>
    <n v="0"/>
    <n v="0"/>
    <n v="0"/>
    <n v="0"/>
  </r>
  <r>
    <x v="833"/>
    <s v="DURGAPUR "/>
    <s v="MPG"/>
    <s v="Direct"/>
    <n v="339.6"/>
    <n v="14219.54"/>
    <n v="327.30000000000007"/>
    <n v="14225.52605638885"/>
    <n v="0"/>
    <n v="0"/>
    <n v="327.30000000000007"/>
    <n v="14225.52605638885"/>
    <n v="14219.54"/>
    <n v="0"/>
    <n v="0"/>
    <n v="5.9860563888487377"/>
    <n v="0"/>
    <n v="0"/>
    <n v="0"/>
    <n v="14220"/>
    <n v="0"/>
    <n v="0"/>
    <n v="0"/>
    <n v="0"/>
  </r>
  <r>
    <x v="834"/>
    <s v="Chandauli"/>
    <s v="MPG"/>
    <s v="Direct"/>
    <n v="194.39999999999995"/>
    <n v="8324.8499999999985"/>
    <n v="196.90000000000003"/>
    <n v="9004.1458231764009"/>
    <n v="0"/>
    <n v="0"/>
    <n v="196.90000000000003"/>
    <n v="9004.1458231764009"/>
    <n v="8324.8499999999985"/>
    <n v="0"/>
    <n v="0"/>
    <n v="679.29582317640234"/>
    <n v="0"/>
    <n v="0"/>
    <n v="0"/>
    <n v="8325"/>
    <n v="0"/>
    <n v="0"/>
    <n v="0"/>
    <s v="Release1"/>
  </r>
  <r>
    <x v="835"/>
    <s v="Girdharpur"/>
    <s v="MPG"/>
    <s v="Direct"/>
    <n v="498.59999999999997"/>
    <n v="17248.870000000003"/>
    <n v="501"/>
    <n v="17689.235935734003"/>
    <n v="0"/>
    <n v="0"/>
    <n v="501"/>
    <n v="17689.235935734003"/>
    <n v="17248.870000000003"/>
    <n v="0"/>
    <n v="0"/>
    <n v="440.36593573400023"/>
    <n v="0"/>
    <n v="0"/>
    <n v="0"/>
    <n v="17249"/>
    <n v="0"/>
    <n v="0"/>
    <n v="0"/>
    <n v="0"/>
  </r>
  <r>
    <x v="836"/>
    <s v="MISHRBIGHA"/>
    <s v="MPG"/>
    <s v="Direct"/>
    <n v="765.3"/>
    <n v="39366.86"/>
    <n v="840.61000000000013"/>
    <n v="45321.720202443081"/>
    <n v="0.1"/>
    <n v="7.070866478000001"/>
    <n v="840.71000000000015"/>
    <n v="45328.791068921084"/>
    <n v="39366.86"/>
    <n v="0"/>
    <n v="7.070866478000001"/>
    <n v="5961.9310689210834"/>
    <n v="0"/>
    <n v="0"/>
    <n v="0"/>
    <n v="39360"/>
    <n v="0"/>
    <n v="0"/>
    <n v="0"/>
    <n v="0"/>
  </r>
  <r>
    <x v="837"/>
    <s v="DIGHOI"/>
    <s v="MPG"/>
    <s v="Direct"/>
    <n v="152.6"/>
    <n v="9296.7400000000016"/>
    <n v="153.07000000000002"/>
    <n v="9551.9312270881983"/>
    <n v="0"/>
    <n v="0"/>
    <n v="153.07000000000002"/>
    <n v="9551.9312270881983"/>
    <n v="9296.7400000000016"/>
    <n v="0"/>
    <n v="0"/>
    <n v="255.19122708819668"/>
    <n v="0"/>
    <n v="45.241587096774026"/>
    <n v="0"/>
    <n v="9251"/>
    <n v="0"/>
    <n v="0"/>
    <n v="0"/>
    <n v="0"/>
  </r>
  <r>
    <x v="838"/>
    <s v="PRATAPUR"/>
    <s v="MPG"/>
    <s v="Direct"/>
    <n v="964.00000000000011"/>
    <n v="35916.740000000005"/>
    <n v="999.2600000000001"/>
    <n v="35857.044595468804"/>
    <n v="0"/>
    <n v="0"/>
    <n v="999.2600000000001"/>
    <n v="35857.044595468804"/>
    <n v="35857.044595468804"/>
    <n v="0"/>
    <n v="0"/>
    <n v="0"/>
    <n v="0"/>
    <n v="0"/>
    <n v="0"/>
    <n v="35857"/>
    <n v="0"/>
    <n v="0"/>
    <n v="60"/>
    <n v="0"/>
  </r>
  <r>
    <x v="839"/>
    <s v="GOPALPUR"/>
    <s v="MPG"/>
    <s v="Direct"/>
    <n v="351.6"/>
    <n v="15216.81"/>
    <n v="358.70000000000005"/>
    <n v="15242.724304834999"/>
    <n v="0"/>
    <n v="0"/>
    <n v="358.70000000000005"/>
    <n v="15242.724304834999"/>
    <n v="15216.81"/>
    <n v="0"/>
    <n v="0"/>
    <n v="25.914304834999712"/>
    <n v="0"/>
    <n v="82.957529032258336"/>
    <n v="0"/>
    <n v="15134"/>
    <n v="0"/>
    <n v="0"/>
    <n v="0"/>
    <n v="0"/>
  </r>
  <r>
    <x v="840"/>
    <s v="NARMDA"/>
    <s v="MPG"/>
    <s v="Direct"/>
    <n v="306"/>
    <n v="13360.589999999998"/>
    <n v="307.79999999999995"/>
    <n v="13475.554200134999"/>
    <n v="0"/>
    <n v="0"/>
    <n v="307.79999999999995"/>
    <n v="13475.554200134999"/>
    <n v="13360.589999999998"/>
    <n v="0"/>
    <n v="0"/>
    <n v="114.96420013500028"/>
    <n v="0"/>
    <n v="0"/>
    <n v="0"/>
    <n v="13361"/>
    <n v="0"/>
    <n v="0"/>
    <n v="0"/>
    <n v="0"/>
  </r>
  <r>
    <x v="841"/>
    <s v="AMRATH"/>
    <s v="MPG"/>
    <s v="Direct"/>
    <n v="1221.3"/>
    <n v="59091.07"/>
    <n v="1222.9000000000001"/>
    <n v="58582.112412026196"/>
    <n v="0"/>
    <n v="0"/>
    <n v="1222.9000000000001"/>
    <n v="58582.112412026196"/>
    <n v="58582.112412026196"/>
    <n v="0"/>
    <n v="0"/>
    <n v="0"/>
    <n v="0"/>
    <n v="0"/>
    <n v="0"/>
    <n v="58582"/>
    <n v="0"/>
    <n v="0"/>
    <n v="509"/>
    <n v="0"/>
  </r>
  <r>
    <x v="842"/>
    <s v="PUTERIA"/>
    <s v="MPG"/>
    <s v="Direct"/>
    <n v="670.60000000000014"/>
    <n v="25726.579999999998"/>
    <n v="650.02"/>
    <n v="25847.839117014792"/>
    <n v="0"/>
    <n v="0"/>
    <n v="650.02"/>
    <n v="25847.839117014792"/>
    <n v="25726.579999999998"/>
    <n v="0"/>
    <n v="0"/>
    <n v="121.25911701479345"/>
    <n v="0"/>
    <n v="0"/>
    <n v="0"/>
    <n v="25727"/>
    <n v="0"/>
    <n v="0"/>
    <n v="0"/>
    <n v="0"/>
  </r>
  <r>
    <x v="843"/>
    <s v="LAKHAPUR"/>
    <s v="MPG"/>
    <s v="Direct"/>
    <n v="543.99999999999989"/>
    <n v="22343.430000000008"/>
    <n v="544"/>
    <n v="22343.028281338899"/>
    <n v="0"/>
    <n v="0"/>
    <n v="544"/>
    <n v="22343.028281338899"/>
    <n v="22343.028281338899"/>
    <n v="0"/>
    <n v="0"/>
    <n v="0"/>
    <n v="0"/>
    <n v="0"/>
    <n v="0"/>
    <n v="22343"/>
    <n v="0"/>
    <n v="0"/>
    <n v="0"/>
    <n v="0"/>
  </r>
  <r>
    <x v="844"/>
    <s v="BARIYARPUR"/>
    <s v="MPG"/>
    <s v="Direct"/>
    <n v="318.90000000000003"/>
    <n v="14046.060000000001"/>
    <n v="318.3"/>
    <n v="14077.208095186003"/>
    <n v="0"/>
    <n v="0"/>
    <n v="318.3"/>
    <n v="14077.208095186003"/>
    <n v="14046.060000000001"/>
    <n v="0"/>
    <n v="0"/>
    <n v="31.148095186001228"/>
    <n v="0"/>
    <n v="0"/>
    <n v="0"/>
    <n v="14046"/>
    <n v="0"/>
    <n v="0"/>
    <n v="0"/>
    <n v="0"/>
  </r>
  <r>
    <x v="845"/>
    <s v="BAGWANA"/>
    <s v="MPG"/>
    <s v="Direct"/>
    <n v="395.6"/>
    <n v="17183.099999999999"/>
    <n v="394.7"/>
    <n v="16807.31063502"/>
    <n v="0"/>
    <n v="0"/>
    <n v="394.7"/>
    <n v="16807.31063502"/>
    <n v="16807.31063502"/>
    <n v="0"/>
    <n v="0"/>
    <n v="0"/>
    <n v="0"/>
    <n v="0"/>
    <n v="0"/>
    <n v="16807"/>
    <n v="0"/>
    <n v="0"/>
    <n v="376"/>
    <n v="0"/>
  </r>
  <r>
    <x v="846"/>
    <s v="REWATA"/>
    <s v="MPG"/>
    <s v="Direct"/>
    <n v="32.400000000000006"/>
    <n v="1593.0100000000002"/>
    <n v="33.4"/>
    <n v="1594.9044064176001"/>
    <n v="0"/>
    <n v="0"/>
    <n v="33.4"/>
    <n v="1594.9044064176001"/>
    <n v="1593.0100000000002"/>
    <n v="0"/>
    <n v="0"/>
    <n v="1.8944064175998392"/>
    <n v="0"/>
    <n v="0"/>
    <n v="0"/>
    <n v="1593"/>
    <n v="0"/>
    <n v="0"/>
    <n v="0"/>
    <n v="0"/>
  </r>
  <r>
    <x v="847"/>
    <s v="GOMUKH DAND"/>
    <s v="vlc"/>
    <s v="Indirect"/>
    <n v="266.09999999999997"/>
    <n v="10751.78"/>
    <n v="0"/>
    <n v="0"/>
    <n v="0"/>
    <n v="0"/>
    <n v="0"/>
    <n v="0"/>
    <n v="10751.78"/>
    <n v="0"/>
    <n v="0"/>
    <n v="0"/>
    <n v="0"/>
    <n v="0"/>
    <n v="0"/>
    <n v="0"/>
    <n v="0"/>
    <n v="10751.78"/>
    <n v="0"/>
    <n v="0"/>
  </r>
  <r>
    <x v="848"/>
    <s v="Gomukh Karisath"/>
    <s v="MPG"/>
    <s v="Direct"/>
    <n v="380.90000000000003"/>
    <n v="13414.810000000001"/>
    <n v="366.83"/>
    <n v="13703.262962796003"/>
    <n v="0"/>
    <n v="0"/>
    <n v="366.83"/>
    <n v="13703.262962796003"/>
    <n v="13414.810000000001"/>
    <n v="0"/>
    <n v="0"/>
    <n v="288.45296279600188"/>
    <n v="10859"/>
    <n v="0"/>
    <n v="0"/>
    <n v="2556"/>
    <n v="0"/>
    <n v="0"/>
    <n v="0"/>
    <n v="0"/>
  </r>
  <r>
    <x v="849"/>
    <s v="Gomukh Ama"/>
    <s v="MPG"/>
    <s v="Direct"/>
    <n v="318.60000000000002"/>
    <n v="11213.6"/>
    <n v="319"/>
    <n v="11158.956864000002"/>
    <n v="0"/>
    <n v="0"/>
    <n v="319"/>
    <n v="11158.956864000002"/>
    <n v="11158.956864000002"/>
    <n v="0"/>
    <n v="0"/>
    <n v="0"/>
    <n v="0"/>
    <n v="0"/>
    <n v="0"/>
    <n v="11159"/>
    <n v="0"/>
    <n v="0"/>
    <n v="55"/>
    <n v="0"/>
  </r>
  <r>
    <x v="850"/>
    <s v="Gomukh Pawat"/>
    <s v="MPG"/>
    <s v="Direct"/>
    <n v="127.2"/>
    <n v="4636.28"/>
    <n v="138.01000000000002"/>
    <n v="5909.6106017637003"/>
    <n v="0"/>
    <n v="0"/>
    <n v="138.01000000000002"/>
    <n v="5909.6106017637003"/>
    <n v="4636.28"/>
    <n v="0"/>
    <n v="0"/>
    <n v="1273.3306017637005"/>
    <n v="4636"/>
    <n v="0"/>
    <n v="0"/>
    <n v="0"/>
    <n v="0"/>
    <n v="0"/>
    <n v="0"/>
    <s v="Release1"/>
  </r>
  <r>
    <x v="851"/>
    <s v="Gomukh Barja"/>
    <s v="MPG"/>
    <s v="Direct"/>
    <n v="183.6"/>
    <n v="6887.73"/>
    <n v="185"/>
    <n v="6886.6378020000011"/>
    <n v="0"/>
    <n v="0"/>
    <n v="185"/>
    <n v="6886.6378020000011"/>
    <n v="6886.6378020000011"/>
    <n v="0"/>
    <n v="0"/>
    <n v="0"/>
    <n v="5120"/>
    <n v="0"/>
    <n v="0"/>
    <n v="1767"/>
    <n v="0"/>
    <n v="0"/>
    <n v="1"/>
    <s v="Release2"/>
  </r>
  <r>
    <x v="852"/>
    <s v="Gomukh Charghat"/>
    <s v="MPG"/>
    <s v="Direct"/>
    <n v="109.89999999999999"/>
    <n v="4152.7900000000009"/>
    <n v="115.61"/>
    <n v="4390.8555695400009"/>
    <n v="0"/>
    <n v="0"/>
    <n v="115.61"/>
    <n v="4390.8555695400009"/>
    <n v="4152.7900000000009"/>
    <n v="0"/>
    <n v="0"/>
    <n v="238.06556954000007"/>
    <n v="0"/>
    <n v="0"/>
    <n v="0"/>
    <n v="4153"/>
    <n v="0"/>
    <n v="0"/>
    <n v="0"/>
    <n v="0"/>
  </r>
  <r>
    <x v="853"/>
    <s v="Gomukh Ramdihra"/>
    <s v="MPG"/>
    <s v="Direct"/>
    <n v="143.69999999999999"/>
    <n v="4810.79"/>
    <n v="144"/>
    <n v="4752.1520640000008"/>
    <n v="0"/>
    <n v="0"/>
    <n v="144"/>
    <n v="4752.1520640000008"/>
    <n v="4752.1520640000008"/>
    <n v="0"/>
    <n v="0"/>
    <n v="0"/>
    <n v="4752"/>
    <n v="0"/>
    <n v="0"/>
    <n v="0"/>
    <n v="0"/>
    <n v="0"/>
    <n v="59"/>
    <s v="Release2"/>
  </r>
  <r>
    <x v="854"/>
    <s v="Gomukh Bara"/>
    <s v="MPG"/>
    <s v="Direct"/>
    <n v="433.4"/>
    <n v="15659.909999999998"/>
    <n v="478.66"/>
    <n v="19956.7136912571"/>
    <n v="0"/>
    <n v="0"/>
    <n v="478.66"/>
    <n v="19956.7136912571"/>
    <n v="15659.909999999998"/>
    <n v="0"/>
    <n v="0"/>
    <n v="4296.8036912571024"/>
    <n v="0"/>
    <n v="0"/>
    <n v="0"/>
    <n v="15660"/>
    <n v="0"/>
    <n v="0"/>
    <n v="0"/>
    <n v="0"/>
  </r>
  <r>
    <x v="855"/>
    <s v="Gumukh Khajuriya"/>
    <s v="MPG"/>
    <s v="Direct"/>
    <n v="458.1"/>
    <n v="16093.11"/>
    <n v="459.4"/>
    <n v="16073.610216444"/>
    <n v="0"/>
    <n v="0"/>
    <n v="459.4"/>
    <n v="16073.610216444"/>
    <n v="16073.610216444"/>
    <n v="0"/>
    <n v="0"/>
    <n v="0"/>
    <n v="2600"/>
    <n v="0"/>
    <n v="0"/>
    <n v="13473"/>
    <n v="0"/>
    <n v="0"/>
    <n v="20"/>
    <s v="Release2"/>
  </r>
  <r>
    <x v="856"/>
    <s v="Gomukh Chhotaki Hardiya"/>
    <s v="MPG"/>
    <s v="Direct"/>
    <n v="267.8"/>
    <n v="11654.23"/>
    <n v="366.44999999999993"/>
    <n v="17630.596607855317"/>
    <n v="0.61"/>
    <n v="34.126761990600002"/>
    <n v="367.05999999999995"/>
    <n v="17664.723369845917"/>
    <n v="11654.23"/>
    <n v="0"/>
    <n v="34.126761990600002"/>
    <n v="6010.4933698459172"/>
    <n v="2600"/>
    <n v="0"/>
    <n v="0"/>
    <n v="9020"/>
    <n v="0"/>
    <n v="0"/>
    <n v="0"/>
    <s v="Release2"/>
  </r>
  <r>
    <x v="857"/>
    <s v="GOMUKH BHATOLIYA"/>
    <s v="MPG"/>
    <s v="Direct"/>
    <n v="872.69999999999993"/>
    <n v="38723.260000000009"/>
    <n v="851.00000000000011"/>
    <n v="38998.262705100009"/>
    <n v="6.5999999999999988"/>
    <n v="300.61764013200002"/>
    <n v="857.60000000000014"/>
    <n v="39298.880345232006"/>
    <n v="38723.260000000009"/>
    <n v="0"/>
    <n v="300.61764013200002"/>
    <n v="575.62034523199691"/>
    <n v="0"/>
    <n v="0"/>
    <n v="0"/>
    <n v="38423"/>
    <n v="0"/>
    <n v="0"/>
    <n v="0"/>
    <n v="0"/>
  </r>
  <r>
    <x v="858"/>
    <s v="GOMUKH CHEHRAKALA"/>
    <s v="MPG"/>
    <s v="Direct"/>
    <n v="321.49999999999994"/>
    <n v="15013.240000000002"/>
    <n v="339.09999999999997"/>
    <n v="15716.469823054602"/>
    <n v="0"/>
    <n v="0"/>
    <n v="339.09999999999997"/>
    <n v="15716.469823054602"/>
    <n v="15013.240000000002"/>
    <n v="0"/>
    <n v="0"/>
    <n v="703.22982305460027"/>
    <n v="0"/>
    <n v="0"/>
    <n v="0"/>
    <n v="15013"/>
    <n v="0"/>
    <n v="0"/>
    <n v="0"/>
    <n v="0"/>
  </r>
  <r>
    <x v="859"/>
    <s v="GOMUKH KHAJECHAND"/>
    <s v="MPG"/>
    <s v="Direct"/>
    <n v="497.3"/>
    <n v="20102.57"/>
    <n v="495.09999999999997"/>
    <n v="19613.048477909004"/>
    <n v="0"/>
    <n v="0"/>
    <n v="495.09999999999997"/>
    <n v="19613.048477909004"/>
    <n v="19613.048477909004"/>
    <n v="0"/>
    <n v="0"/>
    <n v="0"/>
    <n v="0"/>
    <n v="0"/>
    <n v="0"/>
    <n v="19613"/>
    <n v="0"/>
    <n v="0"/>
    <n v="490"/>
    <n v="0"/>
  </r>
  <r>
    <x v="860"/>
    <s v="GOMUKH SALEMPUR"/>
    <s v="MPG"/>
    <s v="Direct"/>
    <n v="164.8"/>
    <n v="6838.16"/>
    <n v="144.80000000000001"/>
    <n v="6121.4726975081003"/>
    <n v="6.5000000000000018"/>
    <n v="236.46089689200005"/>
    <n v="151.30000000000001"/>
    <n v="6357.9335944001004"/>
    <n v="6357.9335944001004"/>
    <n v="0"/>
    <n v="236.46089689200005"/>
    <n v="0"/>
    <n v="0"/>
    <n v="0"/>
    <n v="0"/>
    <n v="6121"/>
    <n v="0"/>
    <n v="0"/>
    <n v="481"/>
    <n v="0"/>
  </r>
  <r>
    <x v="861"/>
    <s v="Gomukh Paharpur"/>
    <s v="MPG"/>
    <s v="Direct"/>
    <n v="388.4"/>
    <n v="16501.149999999998"/>
    <n v="394.39999999999992"/>
    <n v="17275.433861350899"/>
    <n v="0"/>
    <n v="0"/>
    <n v="394.39999999999992"/>
    <n v="17275.433861350899"/>
    <n v="16501.149999999998"/>
    <n v="0"/>
    <n v="0"/>
    <n v="774.28386135090113"/>
    <n v="0"/>
    <n v="0"/>
    <n v="0"/>
    <n v="16501"/>
    <n v="0"/>
    <n v="0"/>
    <n v="0"/>
    <n v="0"/>
  </r>
  <r>
    <x v="862"/>
    <s v="GOMUKH PREMRAJ"/>
    <s v="MPG"/>
    <s v="Direct"/>
    <n v="414.7"/>
    <n v="19681.420000000002"/>
    <n v="399.3"/>
    <n v="18776.554401020196"/>
    <n v="2.4"/>
    <n v="103.99220766000002"/>
    <n v="401.7"/>
    <n v="18880.546608680197"/>
    <n v="18880.546608680197"/>
    <n v="0"/>
    <n v="103.99220766000002"/>
    <n v="0"/>
    <n v="0"/>
    <n v="0"/>
    <n v="0"/>
    <n v="18776"/>
    <n v="0"/>
    <n v="0"/>
    <n v="801"/>
    <n v="0"/>
  </r>
  <r>
    <x v="863"/>
    <s v="GOMUKH MAGURAHI"/>
    <s v="MPG"/>
    <s v="Direct"/>
    <n v="284"/>
    <n v="14674.699999999999"/>
    <n v="280"/>
    <n v="14289.602486548298"/>
    <n v="5.6"/>
    <n v="290.70650683644004"/>
    <n v="285.60000000000002"/>
    <n v="14580.308993384739"/>
    <n v="14580.308993384739"/>
    <n v="0"/>
    <n v="290.70650683644004"/>
    <n v="0"/>
    <n v="0"/>
    <n v="0"/>
    <n v="0"/>
    <n v="14289"/>
    <n v="0"/>
    <n v="0"/>
    <n v="95"/>
    <n v="0"/>
  </r>
  <r>
    <x v="864"/>
    <s v="GOMUKH GANGATI"/>
    <s v="MPG"/>
    <s v="Direct"/>
    <n v="496.99999999999994"/>
    <n v="21845.450000000004"/>
    <n v="547.79999999999995"/>
    <n v="23781.660732380009"/>
    <n v="0"/>
    <n v="0"/>
    <n v="547.79999999999995"/>
    <n v="23781.660732380009"/>
    <n v="21845.450000000004"/>
    <n v="0"/>
    <n v="0"/>
    <n v="1936.2107323800046"/>
    <n v="0"/>
    <n v="0"/>
    <n v="0"/>
    <n v="21845"/>
    <n v="0"/>
    <n v="0"/>
    <n v="0"/>
    <n v="0"/>
  </r>
  <r>
    <x v="865"/>
    <s v="GOMUKH Khanpatti"/>
    <s v="MPG"/>
    <s v="Direct"/>
    <n v="971.19999999999993"/>
    <n v="42662.009999999995"/>
    <n v="984.1999999999997"/>
    <n v="42963.572928833084"/>
    <n v="3.5"/>
    <n v="136.39139078400004"/>
    <n v="987.6999999999997"/>
    <n v="43099.964319617087"/>
    <n v="42662.009999999995"/>
    <n v="0"/>
    <n v="136.39139078400004"/>
    <n v="437.95431961709255"/>
    <n v="2600"/>
    <n v="0"/>
    <n v="0"/>
    <n v="39926"/>
    <n v="0"/>
    <n v="0"/>
    <n v="0"/>
    <s v="Release2"/>
  </r>
  <r>
    <x v="866"/>
    <s v="GOMUKH Bhagwatpur"/>
    <s v="MPG"/>
    <s v="Direct"/>
    <n v="277.59999999999997"/>
    <n v="12543.469999999998"/>
    <n v="288.3"/>
    <n v="13404.58327699883"/>
    <n v="0"/>
    <n v="0"/>
    <n v="288.3"/>
    <n v="13404.58327699883"/>
    <n v="12543.469999999998"/>
    <n v="0"/>
    <n v="0"/>
    <n v="861.11327699883259"/>
    <n v="0"/>
    <n v="51.62772000000011"/>
    <n v="0"/>
    <n v="12492"/>
    <n v="0"/>
    <n v="0"/>
    <n v="0"/>
    <n v="0"/>
  </r>
  <r>
    <x v="867"/>
    <s v="GOMUKH JIRWARA"/>
    <s v="vlc"/>
    <s v="Indirect"/>
    <n v="413.6"/>
    <n v="16828.53"/>
    <n v="0"/>
    <n v="0"/>
    <n v="0"/>
    <n v="0"/>
    <n v="0"/>
    <n v="0"/>
    <n v="16828.53"/>
    <n v="0"/>
    <n v="0"/>
    <n v="0"/>
    <n v="0"/>
    <n v="0"/>
    <n v="0"/>
    <n v="0"/>
    <n v="0"/>
    <n v="16828.53"/>
    <n v="0"/>
    <n v="0"/>
  </r>
  <r>
    <x v="868"/>
    <s v="GOMUKH Karhatiya"/>
    <s v="vlc"/>
    <s v="Indirect"/>
    <n v="250.89999999999998"/>
    <n v="8811.9399999999987"/>
    <n v="0"/>
    <n v="0"/>
    <n v="0"/>
    <n v="0"/>
    <n v="0"/>
    <n v="0"/>
    <n v="8811.9399999999987"/>
    <n v="0"/>
    <n v="0"/>
    <n v="0"/>
    <n v="0"/>
    <n v="0"/>
    <n v="0"/>
    <n v="0"/>
    <n v="0"/>
    <n v="8811.9399999999987"/>
    <n v="0"/>
    <n v="0"/>
  </r>
  <r>
    <x v="869"/>
    <s v="Gomukh Karhatiya Bujurg"/>
    <s v="vlc"/>
    <s v="Indirect"/>
    <n v="284"/>
    <n v="10389.85"/>
    <n v="0"/>
    <n v="0"/>
    <n v="0"/>
    <n v="0"/>
    <n v="0"/>
    <n v="0"/>
    <n v="10389.85"/>
    <n v="0"/>
    <n v="0"/>
    <n v="0"/>
    <n v="0"/>
    <n v="0"/>
    <n v="0"/>
    <n v="0"/>
    <n v="0"/>
    <n v="10389.85"/>
    <n v="0"/>
    <n v="0"/>
  </r>
  <r>
    <x v="870"/>
    <s v="GOMUKH Bheraukhara"/>
    <s v="MPG"/>
    <s v="Direct"/>
    <n v="161.1"/>
    <n v="6269.5999999999995"/>
    <n v="158.4"/>
    <n v="6540.3918554580005"/>
    <n v="0"/>
    <n v="0"/>
    <n v="158.4"/>
    <n v="6540.3918554580005"/>
    <n v="6269.5999999999995"/>
    <n v="0"/>
    <n v="0"/>
    <n v="270.79185545800101"/>
    <n v="0"/>
    <n v="0"/>
    <n v="0"/>
    <n v="6270"/>
    <n v="0"/>
    <n v="0"/>
    <n v="0"/>
    <s v="Release2"/>
  </r>
  <r>
    <x v="871"/>
    <s v="GOMUKH SUPOLTARIYA"/>
    <s v="MPG"/>
    <s v="Direct"/>
    <n v="424.6"/>
    <n v="20400.95"/>
    <n v="431.50000000000006"/>
    <n v="19236.084336462904"/>
    <n v="0"/>
    <n v="0"/>
    <n v="431.50000000000006"/>
    <n v="19236.084336462904"/>
    <n v="19236.084336462904"/>
    <n v="0"/>
    <n v="0"/>
    <n v="0"/>
    <n v="0"/>
    <n v="0"/>
    <n v="0"/>
    <n v="19236"/>
    <n v="0"/>
    <n v="0"/>
    <n v="1165"/>
    <n v="0"/>
  </r>
  <r>
    <x v="872"/>
    <s v="GOMUKH Shravanapatti"/>
    <s v="MPG"/>
    <s v="Direct"/>
    <n v="167.3"/>
    <n v="7872.4500000000007"/>
    <n v="185.89999999999998"/>
    <n v="8624.5690026512493"/>
    <n v="0"/>
    <n v="0"/>
    <n v="185.89999999999998"/>
    <n v="8624.5690026512493"/>
    <n v="7872.4500000000007"/>
    <n v="0"/>
    <n v="0"/>
    <n v="752.11900265124859"/>
    <n v="0"/>
    <n v="0"/>
    <n v="0"/>
    <n v="7872"/>
    <n v="0"/>
    <n v="0"/>
    <n v="0"/>
    <n v="0"/>
  </r>
  <r>
    <x v="873"/>
    <s v="GOMUKH Jilwara"/>
    <s v="MPG"/>
    <s v="Direct"/>
    <n v="371.19999999999993"/>
    <n v="14964.29"/>
    <n v="401"/>
    <n v="16570.714745143199"/>
    <n v="0"/>
    <n v="0"/>
    <n v="401"/>
    <n v="16570.714745143199"/>
    <n v="14964.29"/>
    <n v="0"/>
    <n v="0"/>
    <n v="1606.4247451431984"/>
    <n v="0"/>
    <n v="0"/>
    <n v="0"/>
    <n v="14964"/>
    <n v="0"/>
    <n v="0"/>
    <n v="0"/>
    <n v="0"/>
  </r>
  <r>
    <x v="874"/>
    <s v="GOMUKH ABBUCHAK"/>
    <s v="MPG"/>
    <s v="Direct"/>
    <n v="173"/>
    <n v="7106.3099999999995"/>
    <n v="173.89999999999992"/>
    <n v="7496.5809796221019"/>
    <n v="0"/>
    <n v="0"/>
    <n v="173.89999999999992"/>
    <n v="7496.5809796221019"/>
    <n v="7106.3099999999995"/>
    <n v="0"/>
    <n v="0"/>
    <n v="390.27097962210246"/>
    <n v="0"/>
    <n v="0"/>
    <n v="0"/>
    <n v="7106"/>
    <n v="0"/>
    <n v="0"/>
    <n v="0"/>
    <n v="0"/>
  </r>
  <r>
    <x v="875"/>
    <s v="GOMUKH KAILA JALALPUR"/>
    <s v="MPG"/>
    <s v="Direct"/>
    <n v="224.99999999999997"/>
    <n v="8434.4599999999991"/>
    <n v="218.1"/>
    <n v="8381.12570056"/>
    <n v="2.5"/>
    <n v="99.543981239999994"/>
    <n v="220.6"/>
    <n v="8480.6696818"/>
    <n v="8434.4599999999991"/>
    <n v="0"/>
    <n v="99.543981239999994"/>
    <n v="46.209681800000908"/>
    <n v="0"/>
    <n v="0"/>
    <n v="0"/>
    <n v="8335"/>
    <n v="0"/>
    <n v="0"/>
    <n v="0"/>
    <s v="Release2"/>
  </r>
  <r>
    <x v="876"/>
    <s v="Gomukh Dumari"/>
    <s v="vlc"/>
    <s v="Indirect"/>
    <n v="37.1"/>
    <n v="1461.03"/>
    <n v="0"/>
    <n v="0"/>
    <n v="0"/>
    <n v="0"/>
    <n v="0"/>
    <n v="0"/>
    <n v="1461.03"/>
    <n v="0"/>
    <n v="0"/>
    <n v="0"/>
    <n v="0"/>
    <n v="0"/>
    <n v="0"/>
    <n v="0"/>
    <n v="0"/>
    <n v="1461.03"/>
    <n v="0"/>
    <n v="0"/>
  </r>
  <r>
    <x v="877"/>
    <s v="Gomukh Jhitkahi East"/>
    <s v="MPG"/>
    <s v="Direct"/>
    <n v="59.6"/>
    <n v="3819.7200000000012"/>
    <n v="62.600000000000009"/>
    <n v="4117.1373060162005"/>
    <n v="0"/>
    <n v="0"/>
    <n v="62.600000000000009"/>
    <n v="4117.1373060162005"/>
    <n v="3819.7200000000012"/>
    <n v="0"/>
    <n v="0"/>
    <n v="297.41730601619929"/>
    <n v="0"/>
    <n v="0"/>
    <n v="0"/>
    <n v="3820"/>
    <n v="0"/>
    <n v="0"/>
    <n v="0"/>
    <n v="0"/>
  </r>
  <r>
    <x v="878"/>
    <s v="GOMUKH UPHRAUL"/>
    <s v="vlc"/>
    <s v="Indirect"/>
    <n v="1518.1"/>
    <n v="51179.29"/>
    <n v="0"/>
    <n v="0"/>
    <n v="0"/>
    <n v="0"/>
    <n v="0"/>
    <n v="0"/>
    <n v="51179.29"/>
    <n v="0"/>
    <n v="0"/>
    <n v="0"/>
    <n v="0"/>
    <n v="0"/>
    <n v="0"/>
    <n v="0"/>
    <n v="0"/>
    <n v="51179.29"/>
    <n v="0"/>
    <n v="0"/>
  </r>
  <r>
    <x v="879"/>
    <s v="GOMUKH SHERPUR"/>
    <s v="vlc"/>
    <s v="Indirect"/>
    <n v="196.60000000000002"/>
    <n v="7092.6400000000012"/>
    <n v="0"/>
    <n v="0"/>
    <n v="0"/>
    <n v="0"/>
    <n v="0"/>
    <n v="0"/>
    <n v="7092.6400000000012"/>
    <n v="0"/>
    <n v="0"/>
    <n v="0"/>
    <n v="0"/>
    <n v="0"/>
    <n v="0"/>
    <n v="0"/>
    <n v="0"/>
    <n v="7092.6400000000012"/>
    <n v="0"/>
    <n v="0"/>
  </r>
  <r>
    <x v="880"/>
    <s v="GOMUKH PACHAI"/>
    <s v="vlc"/>
    <s v="Indirect"/>
    <n v="312.3"/>
    <n v="11953.640000000001"/>
    <n v="0"/>
    <n v="0"/>
    <n v="0"/>
    <n v="0"/>
    <n v="0"/>
    <n v="0"/>
    <n v="11953.640000000001"/>
    <n v="0"/>
    <n v="0"/>
    <n v="0"/>
    <n v="0"/>
    <n v="0"/>
    <n v="0"/>
    <n v="0"/>
    <n v="0"/>
    <n v="11953.640000000001"/>
    <n v="0"/>
    <n v="0"/>
  </r>
  <r>
    <x v="881"/>
    <s v="GOMUKH GARAHI"/>
    <s v="vlc"/>
    <s v="Indirect"/>
    <n v="347.7"/>
    <n v="10391.17"/>
    <n v="0"/>
    <n v="0"/>
    <n v="0"/>
    <n v="0"/>
    <n v="0"/>
    <n v="0"/>
    <n v="10391.17"/>
    <n v="0"/>
    <n v="0"/>
    <n v="0"/>
    <n v="0"/>
    <n v="0"/>
    <n v="0"/>
    <n v="0"/>
    <n v="0"/>
    <n v="10391.17"/>
    <n v="0"/>
    <n v="0"/>
  </r>
  <r>
    <x v="882"/>
    <s v="GOMUKH BAIKUNTHPUR"/>
    <s v="vlc"/>
    <s v="Indirect"/>
    <n v="18.5"/>
    <n v="686.17"/>
    <n v="0"/>
    <n v="0"/>
    <n v="0"/>
    <n v="0"/>
    <n v="0"/>
    <n v="0"/>
    <n v="686.17"/>
    <n v="0"/>
    <n v="0"/>
    <n v="0"/>
    <n v="0"/>
    <n v="0"/>
    <n v="0"/>
    <n v="0"/>
    <n v="0"/>
    <n v="686.17"/>
    <n v="0"/>
    <n v="0"/>
  </r>
  <r>
    <x v="883"/>
    <s v="GOMUKH BAHASHI"/>
    <s v="vlc"/>
    <s v="Indirect"/>
    <n v="1136.4000000000001"/>
    <n v="39960.799999999996"/>
    <n v="0"/>
    <n v="0"/>
    <n v="0"/>
    <n v="0"/>
    <n v="0"/>
    <n v="0"/>
    <n v="39960.799999999996"/>
    <n v="0"/>
    <n v="0"/>
    <n v="0"/>
    <n v="0"/>
    <n v="0"/>
    <n v="0"/>
    <n v="0"/>
    <n v="0"/>
    <n v="39960.799999999996"/>
    <n v="0"/>
    <n v="0"/>
  </r>
  <r>
    <x v="884"/>
    <s v="GOMUKH BAKHRI"/>
    <s v="vlc"/>
    <s v="Indirect"/>
    <n v="768.4"/>
    <n v="28187.77"/>
    <n v="0"/>
    <n v="0"/>
    <n v="0"/>
    <n v="0"/>
    <n v="0"/>
    <n v="0"/>
    <n v="28187.77"/>
    <n v="0"/>
    <n v="0"/>
    <n v="0"/>
    <n v="0"/>
    <n v="0"/>
    <n v="0"/>
    <n v="0"/>
    <n v="0"/>
    <n v="28187.77"/>
    <n v="0"/>
    <n v="0"/>
  </r>
  <r>
    <x v="885"/>
    <s v="GOMUKH BABA CHAUK"/>
    <s v="vlc"/>
    <s v="Indirect"/>
    <n v="49.3"/>
    <n v="1741.74"/>
    <n v="0"/>
    <n v="0"/>
    <n v="0"/>
    <n v="0"/>
    <n v="0"/>
    <n v="0"/>
    <n v="1741.74"/>
    <n v="0"/>
    <n v="0"/>
    <n v="0"/>
    <n v="0"/>
    <n v="0"/>
    <n v="0"/>
    <n v="0"/>
    <n v="0"/>
    <n v="1741.74"/>
    <n v="0"/>
    <n v="0"/>
  </r>
  <r>
    <x v="886"/>
    <s v="GOMUKH KHARIKA"/>
    <s v="vlc"/>
    <s v="Indirect"/>
    <n v="470.00000000000006"/>
    <n v="16838.29"/>
    <n v="0"/>
    <n v="0"/>
    <n v="0"/>
    <n v="0"/>
    <n v="0"/>
    <n v="0"/>
    <n v="16838.29"/>
    <n v="0"/>
    <n v="0"/>
    <n v="0"/>
    <n v="0"/>
    <n v="0"/>
    <n v="0"/>
    <n v="0"/>
    <n v="0"/>
    <n v="16838.29"/>
    <n v="0"/>
    <n v="0"/>
  </r>
  <r>
    <x v="887"/>
    <s v="GOMUKH KALYANPUR"/>
    <s v="vlc"/>
    <s v="Indirect"/>
    <n v="246.20000000000002"/>
    <n v="8721.7000000000007"/>
    <n v="0"/>
    <n v="0"/>
    <n v="0"/>
    <n v="0"/>
    <n v="0"/>
    <n v="0"/>
    <n v="8721.7000000000007"/>
    <n v="0"/>
    <n v="0"/>
    <n v="0"/>
    <n v="0"/>
    <n v="0"/>
    <n v="0"/>
    <n v="0"/>
    <n v="0"/>
    <n v="8721.7000000000007"/>
    <n v="0"/>
    <n v="0"/>
  </r>
  <r>
    <x v="888"/>
    <s v="GOMUKH HARPUR RAJESH"/>
    <s v="vlc"/>
    <s v="Indirect"/>
    <n v="132.19999999999999"/>
    <n v="5455.44"/>
    <n v="0"/>
    <n v="0"/>
    <n v="0"/>
    <n v="0"/>
    <n v="0"/>
    <n v="0"/>
    <n v="5455.44"/>
    <n v="0"/>
    <n v="0"/>
    <n v="0"/>
    <n v="0"/>
    <n v="0"/>
    <n v="0"/>
    <n v="0"/>
    <n v="0"/>
    <n v="5455.44"/>
    <n v="0"/>
    <n v="0"/>
  </r>
  <r>
    <x v="889"/>
    <s v="GOMUKH SANICHAR HATT"/>
    <s v="vlc"/>
    <s v="Indirect"/>
    <n v="102.19999999999999"/>
    <n v="3736.7"/>
    <n v="0"/>
    <n v="0"/>
    <n v="0"/>
    <n v="0"/>
    <n v="0"/>
    <n v="0"/>
    <n v="3736.7"/>
    <n v="0"/>
    <n v="0"/>
    <n v="0"/>
    <n v="0"/>
    <n v="0"/>
    <n v="0"/>
    <n v="0"/>
    <n v="0"/>
    <n v="3736.7"/>
    <n v="0"/>
    <n v="0"/>
  </r>
  <r>
    <x v="890"/>
    <s v="GOMUKH SAHARIYA"/>
    <s v="vlc"/>
    <s v="Indirect"/>
    <n v="580.20000000000005"/>
    <n v="23008.23"/>
    <n v="0"/>
    <n v="0"/>
    <n v="0"/>
    <n v="0"/>
    <n v="0"/>
    <n v="0"/>
    <n v="23008.23"/>
    <n v="0"/>
    <n v="0"/>
    <n v="0"/>
    <n v="0"/>
    <n v="0"/>
    <n v="0"/>
    <n v="0"/>
    <n v="0"/>
    <n v="23008.23"/>
    <n v="0"/>
    <n v="0"/>
  </r>
  <r>
    <x v="891"/>
    <s v="Madhuvan"/>
    <s v="MPG"/>
    <s v="Direct"/>
    <n v="0.01"/>
    <n v="0.3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92"/>
    <s v="Karua"/>
    <s v="MPG"/>
    <s v="Direct"/>
    <n v="139.00000000000003"/>
    <n v="5836.5999999999995"/>
    <n v="139.1"/>
    <n v="5814.4117925904002"/>
    <n v="0"/>
    <n v="0"/>
    <n v="139.1"/>
    <n v="5814.4117925904002"/>
    <n v="5814.4117925904002"/>
    <n v="0"/>
    <n v="0"/>
    <n v="0"/>
    <n v="0"/>
    <n v="0"/>
    <n v="0"/>
    <n v="5814"/>
    <n v="0"/>
    <n v="0"/>
    <n v="23"/>
    <n v="0"/>
  </r>
  <r>
    <x v="893"/>
    <s v="Erout"/>
    <s v="MPG"/>
    <s v="Direct"/>
    <n v="136.4"/>
    <n v="6817.43"/>
    <n v="138.9"/>
    <n v="6801.1767750306408"/>
    <n v="0.2"/>
    <n v="9.9717518263500011"/>
    <n v="139.1"/>
    <n v="6811.1485268569904"/>
    <n v="6811.1485268569904"/>
    <n v="0"/>
    <n v="9.9717518263500011"/>
    <n v="0"/>
    <n v="0"/>
    <n v="0"/>
    <n v="0"/>
    <n v="6801"/>
    <n v="0"/>
    <n v="0"/>
    <n v="6"/>
    <n v="0"/>
  </r>
  <r>
    <x v="894"/>
    <s v="Murli"/>
    <s v="MPG"/>
    <s v="Direct"/>
    <n v="119.89999999999999"/>
    <n v="6356.3200000000006"/>
    <n v="116.10000000000001"/>
    <n v="6379.8721724499383"/>
    <n v="0.8"/>
    <n v="42.493174166880003"/>
    <n v="116.9"/>
    <n v="6422.365346616818"/>
    <n v="6356.3200000000006"/>
    <n v="0"/>
    <n v="42.493174166880003"/>
    <n v="66.045346616817369"/>
    <n v="0"/>
    <n v="0"/>
    <n v="0"/>
    <n v="6314"/>
    <n v="0"/>
    <n v="0"/>
    <n v="0"/>
    <n v="0"/>
  </r>
  <r>
    <x v="895"/>
    <s v="Mahespur"/>
    <s v="MPG"/>
    <s v="Direct"/>
    <n v="75.299999999999983"/>
    <n v="3497.05"/>
    <n v="75.900000000000006"/>
    <n v="3493.2187423633995"/>
    <n v="0"/>
    <n v="0"/>
    <n v="75.900000000000006"/>
    <n v="3493.2187423633995"/>
    <n v="3493.2187423633995"/>
    <n v="0"/>
    <n v="0"/>
    <n v="0"/>
    <n v="0"/>
    <n v="0"/>
    <n v="0"/>
    <n v="3493"/>
    <n v="0"/>
    <n v="0"/>
    <n v="4"/>
    <n v="0"/>
  </r>
  <r>
    <x v="896"/>
    <s v="Raj Nagar"/>
    <s v="MPG"/>
    <s v="Direct"/>
    <n v="685.6"/>
    <n v="26065.899999999994"/>
    <n v="685.6"/>
    <n v="26067.319013538003"/>
    <n v="0"/>
    <n v="0"/>
    <n v="685.6"/>
    <n v="26067.319013538003"/>
    <n v="26065.899999999994"/>
    <n v="0"/>
    <n v="0"/>
    <n v="1.4190135380085849"/>
    <n v="0"/>
    <n v="0"/>
    <n v="0"/>
    <n v="26066"/>
    <n v="0"/>
    <n v="0"/>
    <n v="0"/>
    <n v="0"/>
  </r>
  <r>
    <x v="897"/>
    <s v="Nauapokhar"/>
    <s v="MPG"/>
    <s v="Direct"/>
    <n v="224.70000000000002"/>
    <n v="10615.84"/>
    <n v="230.10000000000002"/>
    <n v="10555.718663840114"/>
    <n v="1.3"/>
    <n v="61.732916446100006"/>
    <n v="231.40000000000003"/>
    <n v="10617.451580286215"/>
    <n v="10615.84"/>
    <n v="0"/>
    <n v="61.732916446100006"/>
    <n v="1.6115802862150304"/>
    <n v="0"/>
    <n v="0"/>
    <n v="0"/>
    <n v="10554"/>
    <n v="0"/>
    <n v="0"/>
    <n v="0"/>
    <n v="0"/>
  </r>
  <r>
    <x v="898"/>
    <s v="Erout 2"/>
    <s v="vlc"/>
    <s v="Indirect"/>
    <n v="278.89999999999998"/>
    <n v="10690.220000000001"/>
    <n v="0"/>
    <n v="0"/>
    <n v="0"/>
    <n v="0"/>
    <n v="0"/>
    <n v="0"/>
    <n v="10690.220000000001"/>
    <n v="0"/>
    <n v="0"/>
    <n v="0"/>
    <n v="0"/>
    <n v="0"/>
    <n v="0"/>
    <n v="0"/>
    <n v="0"/>
    <n v="10690.220000000001"/>
    <n v="0"/>
    <n v="0"/>
  </r>
  <r>
    <x v="899"/>
    <s v="Parsuram"/>
    <s v="vlc"/>
    <s v="Indirect"/>
    <n v="152.70000000000002"/>
    <n v="4837.97"/>
    <n v="0"/>
    <n v="0"/>
    <n v="0"/>
    <n v="0"/>
    <n v="0"/>
    <n v="0"/>
    <n v="4837.97"/>
    <n v="0"/>
    <n v="0"/>
    <n v="0"/>
    <n v="0"/>
    <n v="0"/>
    <n v="0"/>
    <n v="0"/>
    <n v="0"/>
    <n v="4837.97"/>
    <n v="0"/>
    <n v="0"/>
  </r>
  <r>
    <x v="900"/>
    <s v="Gudarghat"/>
    <s v="vlc"/>
    <s v="Indirect"/>
    <n v="346.2"/>
    <n v="12949.270000000002"/>
    <n v="0"/>
    <n v="0"/>
    <n v="0"/>
    <n v="0"/>
    <n v="0"/>
    <n v="0"/>
    <n v="12949.270000000002"/>
    <n v="0"/>
    <n v="0"/>
    <n v="0"/>
    <n v="0"/>
    <n v="0"/>
    <n v="0"/>
    <n v="0"/>
    <n v="0"/>
    <n v="12949.270000000002"/>
    <n v="0"/>
    <n v="0"/>
  </r>
  <r>
    <x v="901"/>
    <s v="Siripur Gohar"/>
    <s v="MPG"/>
    <s v="Direct"/>
    <n v="332.1"/>
    <n v="12073.19"/>
    <n v="332.09999999999997"/>
    <n v="12073.613205060001"/>
    <n v="0"/>
    <n v="0"/>
    <n v="332.09999999999997"/>
    <n v="12073.613205060001"/>
    <n v="12073.19"/>
    <n v="0"/>
    <n v="0"/>
    <n v="0.42320506000032765"/>
    <n v="0"/>
    <n v="0"/>
    <n v="0"/>
    <n v="12073"/>
    <n v="0"/>
    <n v="0"/>
    <n v="0"/>
    <n v="0"/>
  </r>
  <r>
    <x v="902"/>
    <s v="Sedukha"/>
    <s v="MPG"/>
    <s v="Direct"/>
    <n v="157.29999999999998"/>
    <n v="5790.34"/>
    <n v="157"/>
    <n v="5776.9781335200005"/>
    <n v="0.30000000000000004"/>
    <n v="10.787359572000003"/>
    <n v="157.30000000000001"/>
    <n v="5787.7654930920007"/>
    <n v="5787.7654930920007"/>
    <n v="0"/>
    <n v="10.787359572000003"/>
    <n v="0"/>
    <n v="0"/>
    <n v="0"/>
    <n v="0"/>
    <n v="5777"/>
    <n v="0"/>
    <n v="0"/>
    <n v="3"/>
    <n v="0"/>
  </r>
  <r>
    <x v="903"/>
    <s v="Maheshwara"/>
    <s v="MPG"/>
    <s v="Direct"/>
    <n v="191.10000000000002"/>
    <n v="7021.73"/>
    <n v="191.10000000000002"/>
    <n v="7020.6669648720017"/>
    <n v="0"/>
    <n v="0"/>
    <n v="191.10000000000002"/>
    <n v="7020.6669648720017"/>
    <n v="7020.6669648720017"/>
    <n v="0"/>
    <n v="0"/>
    <n v="0"/>
    <n v="0"/>
    <n v="0"/>
    <n v="0"/>
    <n v="7021"/>
    <n v="0"/>
    <n v="0"/>
    <n v="1"/>
    <n v="0"/>
  </r>
  <r>
    <x v="904"/>
    <s v="Madhuban 2"/>
    <s v="vlc"/>
    <s v="Indirect"/>
    <n v="329.69999999999993"/>
    <n v="11680.77"/>
    <n v="0"/>
    <n v="0"/>
    <n v="0"/>
    <n v="0"/>
    <n v="0"/>
    <n v="0"/>
    <n v="11680.77"/>
    <n v="0"/>
    <n v="0"/>
    <n v="0"/>
    <n v="0"/>
    <n v="0"/>
    <n v="0"/>
    <n v="0"/>
    <n v="0"/>
    <n v="11680.77"/>
    <n v="0"/>
    <n v="0"/>
  </r>
  <r>
    <x v="905"/>
    <s v="Yadav Jee"/>
    <s v="vlc"/>
    <s v="Indirect"/>
    <n v="62.9"/>
    <n v="2070.4700000000003"/>
    <n v="0"/>
    <n v="0"/>
    <n v="0"/>
    <n v="0"/>
    <n v="0"/>
    <n v="0"/>
    <n v="2070.4700000000003"/>
    <n v="0"/>
    <n v="0"/>
    <n v="0"/>
    <n v="0"/>
    <n v="0"/>
    <n v="0"/>
    <n v="0"/>
    <n v="0"/>
    <n v="2070.4700000000003"/>
    <n v="0"/>
    <n v="0"/>
  </r>
  <r>
    <x v="906"/>
    <s v="Durgaashtan 2"/>
    <s v="vlc"/>
    <s v="Indirect"/>
    <n v="297.5"/>
    <n v="11157.949999999999"/>
    <n v="0"/>
    <n v="0"/>
    <n v="0"/>
    <n v="0"/>
    <n v="0"/>
    <n v="0"/>
    <n v="11157.949999999999"/>
    <n v="0"/>
    <n v="0"/>
    <n v="0"/>
    <n v="0"/>
    <n v="0"/>
    <n v="0"/>
    <n v="0"/>
    <n v="0"/>
    <n v="11157.949999999999"/>
    <n v="0"/>
    <n v="0"/>
  </r>
  <r>
    <x v="907"/>
    <s v="Durgaashtan "/>
    <s v="vlc"/>
    <s v="Indirect"/>
    <n v="278.10000000000002"/>
    <n v="10583.369999999999"/>
    <n v="0"/>
    <n v="0"/>
    <n v="0"/>
    <n v="0"/>
    <n v="0"/>
    <n v="0"/>
    <n v="10583.369999999999"/>
    <n v="0"/>
    <n v="0"/>
    <n v="0"/>
    <n v="0"/>
    <n v="0"/>
    <n v="0"/>
    <n v="0"/>
    <n v="0"/>
    <n v="10583.369999999999"/>
    <n v="0"/>
    <n v="0"/>
  </r>
  <r>
    <x v="908"/>
    <s v="DUMRA "/>
    <s v="MPG"/>
    <s v="Direct"/>
    <n v="761.10999999999979"/>
    <n v="29573.45"/>
    <n v="764.6"/>
    <n v="29175.125932136809"/>
    <n v="8.9"/>
    <n v="331.13172708000002"/>
    <n v="773.5"/>
    <n v="29506.257659216808"/>
    <n v="29506.257659216808"/>
    <n v="0"/>
    <n v="331.13172708000002"/>
    <n v="0"/>
    <n v="0"/>
    <n v="0"/>
    <n v="0"/>
    <n v="29175"/>
    <n v="0"/>
    <n v="0"/>
    <n v="67"/>
    <n v="0"/>
  </r>
  <r>
    <x v="909"/>
    <s v="DIHA"/>
    <s v="MPG"/>
    <s v="Direct"/>
    <n v="8.34"/>
    <n v="280.02"/>
    <n v="10.1"/>
    <n v="339.00053220000001"/>
    <n v="0"/>
    <n v="0"/>
    <n v="10.1"/>
    <n v="339.00053220000001"/>
    <n v="280.02"/>
    <n v="0"/>
    <n v="0"/>
    <n v="58.980532200000027"/>
    <n v="0"/>
    <n v="0"/>
    <n v="0"/>
    <n v="280"/>
    <n v="0"/>
    <n v="0"/>
    <n v="0"/>
    <n v="0"/>
  </r>
  <r>
    <x v="910"/>
    <s v="BALHA"/>
    <s v="MPG"/>
    <s v="Direct"/>
    <n v="886.02000000000021"/>
    <n v="36498.390000000007"/>
    <n v="874.7"/>
    <n v="35848.066897065881"/>
    <n v="10.9"/>
    <n v="428.96693109600005"/>
    <n v="885.6"/>
    <n v="36277.033828161882"/>
    <n v="36277.033828161882"/>
    <n v="0"/>
    <n v="428.96693109600005"/>
    <n v="0"/>
    <n v="0"/>
    <n v="0"/>
    <n v="0"/>
    <n v="35847"/>
    <n v="0"/>
    <n v="0"/>
    <n v="222"/>
    <n v="0"/>
  </r>
  <r>
    <x v="911"/>
    <s v="BHARIHAR"/>
    <s v="MPG"/>
    <s v="Direct"/>
    <n v="132.29"/>
    <n v="5183.9799999999996"/>
    <n v="131.14999999999998"/>
    <n v="5196.2477272200013"/>
    <n v="0.49999999999999994"/>
    <n v="19.576161000000003"/>
    <n v="131.64999999999998"/>
    <n v="5215.8238882200012"/>
    <n v="5183.9799999999996"/>
    <n v="0"/>
    <n v="19.576161000000003"/>
    <n v="31.843888220001645"/>
    <n v="0"/>
    <n v="0"/>
    <n v="0"/>
    <n v="5164"/>
    <n v="0"/>
    <n v="0"/>
    <n v="0"/>
    <n v="0"/>
  </r>
  <r>
    <x v="912"/>
    <s v="BARA"/>
    <s v="MPG"/>
    <s v="Direct"/>
    <n v="202.3"/>
    <n v="8851.4500000000007"/>
    <n v="200.64999999999995"/>
    <n v="8777.6663270549998"/>
    <n v="0.89999999999999991"/>
    <n v="40.524950959000009"/>
    <n v="201.54999999999995"/>
    <n v="8818.1912780139992"/>
    <n v="8818.1912780139992"/>
    <n v="0"/>
    <n v="40.524950959000009"/>
    <n v="0"/>
    <n v="0"/>
    <n v="0"/>
    <n v="0"/>
    <n v="8778"/>
    <n v="0"/>
    <n v="0"/>
    <n v="33"/>
    <n v="0"/>
  </r>
  <r>
    <x v="913"/>
    <s v="KABILASHI"/>
    <s v="MPG"/>
    <s v="Direct"/>
    <n v="126.11"/>
    <n v="6757.4399999999987"/>
    <n v="95.1"/>
    <n v="5288.0718603406012"/>
    <n v="30.6"/>
    <n v="1629.7713284808001"/>
    <n v="125.69999999999999"/>
    <n v="6917.8431888214018"/>
    <n v="6757.4399999999987"/>
    <n v="0"/>
    <n v="213.64185906800003"/>
    <n v="160.40318882140309"/>
    <n v="0"/>
    <n v="0"/>
    <n v="0"/>
    <n v="5128"/>
    <n v="1416"/>
    <n v="0"/>
    <n v="0"/>
    <n v="0"/>
  </r>
  <r>
    <x v="914"/>
    <s v="SULTANPUR"/>
    <s v="vlc"/>
    <s v="Indirect"/>
    <n v="199.24"/>
    <n v="8630.35"/>
    <n v="0"/>
    <n v="0"/>
    <n v="0"/>
    <n v="0"/>
    <n v="0"/>
    <n v="0"/>
    <n v="8630.35"/>
    <n v="0"/>
    <n v="0"/>
    <n v="0"/>
    <n v="0"/>
    <n v="0"/>
    <n v="0"/>
    <n v="0"/>
    <n v="0"/>
    <n v="8630.35"/>
    <n v="0"/>
    <n v="0"/>
  </r>
  <r>
    <x v="915"/>
    <s v="BHUSNA"/>
    <s v="MPG"/>
    <s v="Direct"/>
    <n v="101.58999999999999"/>
    <n v="4663.4700000000012"/>
    <n v="100.9"/>
    <n v="4631.7318946410005"/>
    <n v="0"/>
    <n v="0"/>
    <n v="100.9"/>
    <n v="4631.7318946410005"/>
    <n v="4631.7318946410005"/>
    <n v="0"/>
    <n v="0"/>
    <n v="0"/>
    <n v="0"/>
    <n v="0"/>
    <n v="0"/>
    <n v="4632"/>
    <n v="0"/>
    <n v="0"/>
    <n v="31"/>
    <n v="0"/>
  </r>
  <r>
    <x v="916"/>
    <s v="SUKUMARPUR"/>
    <s v="MPG"/>
    <s v="Direct"/>
    <n v="337.87"/>
    <n v="15049.600000000002"/>
    <n v="338.5"/>
    <n v="14963.650185048404"/>
    <n v="0"/>
    <n v="0"/>
    <n v="338.5"/>
    <n v="14963.650185048404"/>
    <n v="14963.650185048404"/>
    <n v="0"/>
    <n v="0"/>
    <n v="0"/>
    <n v="0"/>
    <n v="0"/>
    <n v="0"/>
    <n v="14964"/>
    <n v="0"/>
    <n v="0"/>
    <n v="86"/>
    <n v="0"/>
  </r>
  <r>
    <x v="917"/>
    <s v="SISAUNA VLC"/>
    <s v="vlc"/>
    <s v="Indirect"/>
    <n v="132.22999999999999"/>
    <n v="5272.16"/>
    <n v="0"/>
    <n v="0"/>
    <n v="0"/>
    <n v="0"/>
    <n v="0"/>
    <n v="0"/>
    <n v="5272.16"/>
    <n v="0"/>
    <n v="0"/>
    <n v="0"/>
    <n v="0"/>
    <n v="0"/>
    <n v="0"/>
    <n v="0"/>
    <n v="0"/>
    <n v="5272.16"/>
    <n v="0"/>
    <n v="0"/>
  </r>
  <r>
    <x v="918"/>
    <s v="Aditya Bishwas "/>
    <s v="vlc"/>
    <s v="Indirect"/>
    <n v="210.85999999999996"/>
    <n v="9393.869999999999"/>
    <n v="0"/>
    <n v="0"/>
    <n v="0"/>
    <n v="0"/>
    <n v="0"/>
    <n v="0"/>
    <n v="9393.869999999999"/>
    <n v="0"/>
    <n v="0"/>
    <n v="0"/>
    <n v="0"/>
    <n v="0"/>
    <n v="0"/>
    <n v="0"/>
    <n v="0"/>
    <n v="9393.869999999999"/>
    <n v="0"/>
    <n v="0"/>
  </r>
  <r>
    <x v="919"/>
    <s v="Gomukh Vijaiya"/>
    <s v="MPG"/>
    <s v="Direct"/>
    <n v="97.2"/>
    <n v="3976.26"/>
    <n v="99"/>
    <n v="4528.3661496320001"/>
    <n v="0"/>
    <n v="0"/>
    <n v="99"/>
    <n v="4528.3661496320001"/>
    <n v="3976.26"/>
    <n v="0"/>
    <n v="0"/>
    <n v="552.10614963199987"/>
    <n v="0"/>
    <n v="0"/>
    <n v="0"/>
    <n v="3976"/>
    <n v="0"/>
    <n v="0"/>
    <n v="0"/>
    <n v="0"/>
  </r>
  <r>
    <x v="920"/>
    <s v="Gomukh Gangauli"/>
    <s v="MPG"/>
    <s v="Direct"/>
    <n v="1116.8000000000002"/>
    <n v="44479.83"/>
    <n v="1136.3"/>
    <n v="45698.253138402841"/>
    <n v="0"/>
    <n v="0"/>
    <n v="1136.3"/>
    <n v="45698.253138402841"/>
    <n v="44479.83"/>
    <n v="0"/>
    <n v="0"/>
    <n v="1218.423138402839"/>
    <n v="0"/>
    <n v="0"/>
    <n v="0"/>
    <n v="44480"/>
    <n v="0"/>
    <n v="0"/>
    <n v="0"/>
    <n v="0"/>
  </r>
  <r>
    <x v="921"/>
    <s v="Gomukh KARRAKH"/>
    <s v="MPG"/>
    <s v="Direct"/>
    <n v="405.3"/>
    <n v="15558.81"/>
    <n v="419.60000000000008"/>
    <n v="16198.454167831116"/>
    <n v="0"/>
    <n v="0"/>
    <n v="419.60000000000008"/>
    <n v="16198.454167831116"/>
    <n v="15558.81"/>
    <n v="0"/>
    <n v="0"/>
    <n v="639.64416783111665"/>
    <n v="0"/>
    <n v="0"/>
    <n v="0"/>
    <n v="15559"/>
    <n v="0"/>
    <n v="0"/>
    <n v="0"/>
    <n v="0"/>
  </r>
  <r>
    <x v="922"/>
    <s v="MANDA"/>
    <s v="vlc"/>
    <s v="Indirect"/>
    <n v="239.2"/>
    <n v="8985.65"/>
    <n v="0"/>
    <n v="0"/>
    <n v="0"/>
    <n v="0"/>
    <n v="0"/>
    <n v="0"/>
    <n v="8985.65"/>
    <n v="0"/>
    <n v="0"/>
    <n v="0"/>
    <n v="0"/>
    <n v="0"/>
    <n v="0"/>
    <n v="0"/>
    <n v="0"/>
    <n v="8985.65"/>
    <n v="0"/>
    <n v="0"/>
  </r>
  <r>
    <x v="923"/>
    <s v="HAWASPUR"/>
    <s v="vlc"/>
    <s v="Indirect"/>
    <n v="47.400000000000006"/>
    <n v="1522.29"/>
    <n v="0"/>
    <n v="0"/>
    <n v="0"/>
    <n v="0"/>
    <n v="0"/>
    <n v="0"/>
    <n v="1522.29"/>
    <n v="0"/>
    <n v="0"/>
    <n v="0"/>
    <n v="0"/>
    <n v="0"/>
    <n v="0"/>
    <n v="0"/>
    <n v="0"/>
    <n v="1522.29"/>
    <n v="0"/>
    <n v="0"/>
  </r>
  <r>
    <x v="924"/>
    <s v="Gomukh Manda"/>
    <s v="MPG"/>
    <s v="Direct"/>
    <n v="388.40000000000003"/>
    <n v="15213.420000000002"/>
    <n v="368.30000000000007"/>
    <n v="14393.62484208"/>
    <n v="0"/>
    <n v="0"/>
    <n v="368.30000000000007"/>
    <n v="14393.62484208"/>
    <n v="14393.62484208"/>
    <n v="0"/>
    <n v="0"/>
    <n v="0"/>
    <n v="0"/>
    <n v="0"/>
    <n v="0"/>
    <n v="14394"/>
    <n v="0"/>
    <n v="0"/>
    <n v="819"/>
    <n v="0"/>
  </r>
  <r>
    <x v="0"/>
    <s v="Gomukh Kumbhi"/>
    <s v="MPG"/>
    <s v="Direct"/>
    <n v="722"/>
    <n v="27255.400000000005"/>
    <n v="714.37000000000012"/>
    <n v="27067.839834784423"/>
    <n v="4.3199999999999994"/>
    <n v="162.65833848000003"/>
    <n v="718.69000000000017"/>
    <n v="27230.498173264423"/>
    <n v="27230.498173264423"/>
    <n v="0"/>
    <n v="162.65833848000003"/>
    <n v="0"/>
    <n v="0"/>
    <n v="0"/>
    <n v="0"/>
    <n v="27072"/>
    <n v="0"/>
    <n v="0"/>
    <n v="21"/>
    <n v="0"/>
  </r>
  <r>
    <x v="1"/>
    <s v="Gomukh Amba"/>
    <s v="MPG"/>
    <s v="Direct"/>
    <n v="49.5"/>
    <n v="1692.48"/>
    <n v="49"/>
    <n v="1695.9575278800003"/>
    <n v="0"/>
    <n v="0"/>
    <n v="49"/>
    <n v="1695.9575278800003"/>
    <n v="1692.48"/>
    <n v="0"/>
    <n v="0"/>
    <n v="3.4775278800002525"/>
    <n v="0"/>
    <n v="72.256559999999965"/>
    <n v="0"/>
    <n v="1620"/>
    <n v="0"/>
    <n v="0"/>
    <n v="0"/>
    <n v="0"/>
  </r>
  <r>
    <x v="2"/>
    <s v="Gomukh Jagdar                                                                                       "/>
    <s v="MPG"/>
    <s v="Direct"/>
    <n v="778.50000000000011"/>
    <n v="30882.35"/>
    <n v="772.83"/>
    <n v="31206.224206509098"/>
    <n v="11.13"/>
    <n v="418.18155112800002"/>
    <n v="783.96"/>
    <n v="31624.405757637098"/>
    <n v="30882.35"/>
    <n v="0"/>
    <n v="418.18155112800002"/>
    <n v="742.0557576370993"/>
    <n v="0"/>
    <n v="0"/>
    <n v="0"/>
    <n v="30464"/>
    <n v="0"/>
    <n v="0"/>
    <n v="0"/>
    <s v="Release1"/>
  </r>
  <r>
    <x v="3"/>
    <s v="Gomukh Goriyari"/>
    <s v="MPG"/>
    <s v="Direct"/>
    <n v="1230.1000000000001"/>
    <n v="46878.130000000012"/>
    <n v="840.8"/>
    <n v="32215.366212480003"/>
    <n v="398.9"/>
    <n v="15186.562439400001"/>
    <n v="1239.6999999999998"/>
    <n v="47401.928651880007"/>
    <n v="46878.130000000012"/>
    <n v="0"/>
    <n v="188.105346"/>
    <n v="523.7986518799953"/>
    <n v="0"/>
    <n v="0"/>
    <n v="0"/>
    <n v="31692"/>
    <n v="14998"/>
    <n v="0"/>
    <n v="0"/>
    <n v="0"/>
  </r>
  <r>
    <x v="4"/>
    <s v="Mohanpur - Chandan"/>
    <s v="vlc"/>
    <s v="Indirect"/>
    <n v="31.6"/>
    <n v="1229.5899999999999"/>
    <n v="0"/>
    <n v="0"/>
    <n v="0"/>
    <n v="0"/>
    <n v="0"/>
    <n v="0"/>
    <n v="1229.5899999999999"/>
    <n v="0"/>
    <n v="0"/>
    <n v="0"/>
    <n v="0"/>
    <n v="533.50544516129048"/>
    <n v="0"/>
    <n v="0"/>
    <n v="0"/>
    <n v="696.08455483870944"/>
    <n v="0"/>
    <n v="0"/>
  </r>
  <r>
    <x v="6"/>
    <s v="Ekamba - Ashutosh"/>
    <s v="vlc"/>
    <s v="Indirect"/>
    <n v="851"/>
    <n v="31473.250000000004"/>
    <n v="0"/>
    <n v="0"/>
    <n v="0"/>
    <n v="0"/>
    <n v="0"/>
    <n v="0"/>
    <n v="31473.250000000004"/>
    <n v="0"/>
    <n v="0"/>
    <n v="0"/>
    <n v="0"/>
    <n v="0"/>
    <n v="0"/>
    <n v="0"/>
    <n v="0"/>
    <n v="31473.250000000004"/>
    <n v="0"/>
    <n v="0"/>
  </r>
  <r>
    <x v="925"/>
    <s v="Gomukh Dunahi"/>
    <s v="MPG"/>
    <s v="Direct"/>
    <n v="414.1"/>
    <n v="15450.710000000001"/>
    <n v="226.8"/>
    <n v="8432.967024900001"/>
    <n v="189.9"/>
    <n v="7055.5784191200009"/>
    <n v="416.70000000000005"/>
    <n v="15488.545444020001"/>
    <n v="15450.710000000001"/>
    <n v="0"/>
    <n v="192.72547800000007"/>
    <n v="37.835444020000068"/>
    <n v="0"/>
    <n v="1226.5754999999995"/>
    <n v="0"/>
    <n v="7168"/>
    <n v="6863"/>
    <n v="0"/>
    <n v="0"/>
    <n v="0"/>
  </r>
  <r>
    <x v="7"/>
    <s v="GOMUKH BIRPUR PASCHIM                                                                               "/>
    <s v="MPG"/>
    <s v="Direct"/>
    <n v="131.00000000000003"/>
    <n v="5264.78"/>
    <n v="151.69999999999999"/>
    <n v="6236.7867856799994"/>
    <n v="0"/>
    <n v="0"/>
    <n v="151.69999999999999"/>
    <n v="6236.7867856799994"/>
    <n v="5264.78"/>
    <n v="0"/>
    <n v="0"/>
    <n v="972.00678567999967"/>
    <n v="0"/>
    <n v="0"/>
    <n v="0"/>
    <n v="5265"/>
    <n v="0"/>
    <n v="0"/>
    <n v="0"/>
    <n v="0"/>
  </r>
  <r>
    <x v="8"/>
    <s v="Manish Dairy                                                                                        "/>
    <s v="vlc"/>
    <s v="Indirect"/>
    <n v="10523.6"/>
    <n v="375830.21"/>
    <n v="0"/>
    <n v="0"/>
    <n v="0"/>
    <n v="0"/>
    <n v="0"/>
    <n v="0"/>
    <n v="375830.21"/>
    <n v="0"/>
    <n v="0"/>
    <n v="0"/>
    <n v="0"/>
    <n v="0"/>
    <n v="0"/>
    <n v="0"/>
    <n v="0"/>
    <n v="375830.21"/>
    <n v="0"/>
    <n v="0"/>
  </r>
  <r>
    <x v="9"/>
    <s v="Gomukh Bhith-02"/>
    <s v="MPG"/>
    <s v="Direct"/>
    <n v="167.4"/>
    <n v="5994.3099999999995"/>
    <n v="105.28"/>
    <n v="4118.5191707397498"/>
    <n v="79.219999999999985"/>
    <n v="2881.9263821040008"/>
    <n v="184.5"/>
    <n v="7000.4455528437502"/>
    <n v="5994.3099999999995"/>
    <n v="0"/>
    <n v="0"/>
    <n v="1006.1355528437507"/>
    <n v="0"/>
    <n v="1019.4611796610171"/>
    <n v="0"/>
    <n v="2092"/>
    <n v="2882"/>
    <n v="0"/>
    <n v="1"/>
    <n v="0"/>
  </r>
  <r>
    <x v="10"/>
    <s v="Gomukh Sharmatola Sahuri"/>
    <s v="MPG"/>
    <s v="Direct"/>
    <n v="1069"/>
    <n v="40524.25"/>
    <n v="1052.3599999999999"/>
    <n v="40102.129962363797"/>
    <n v="17.600000000000001"/>
    <n v="765.93571574080011"/>
    <n v="1069.9599999999998"/>
    <n v="40868.065678104598"/>
    <n v="40524.25"/>
    <n v="0"/>
    <n v="0"/>
    <n v="343.81567810459819"/>
    <n v="0"/>
    <n v="0"/>
    <n v="0"/>
    <n v="39758"/>
    <n v="766"/>
    <n v="0"/>
    <n v="0"/>
    <n v="0"/>
  </r>
  <r>
    <x v="11"/>
    <s v="Sangat- Sanjeev Kumar"/>
    <s v="vlc"/>
    <s v="Indirect"/>
    <n v="199.89999999999998"/>
    <n v="6685.2099999999991"/>
    <n v="0"/>
    <n v="0"/>
    <n v="0"/>
    <n v="0"/>
    <n v="0"/>
    <n v="0"/>
    <n v="6685.2099999999991"/>
    <n v="0"/>
    <n v="0"/>
    <n v="0"/>
    <n v="0"/>
    <n v="0"/>
    <n v="0"/>
    <n v="0"/>
    <n v="0"/>
    <n v="6685.2099999999991"/>
    <n v="0"/>
    <n v="0"/>
  </r>
  <r>
    <x v="12"/>
    <s v="Gomukh Garhi Bisanpur"/>
    <s v="MPG"/>
    <s v="Direct"/>
    <n v="180.79999999999998"/>
    <n v="7326.17"/>
    <n v="178.83999999999997"/>
    <n v="7379.6496003623979"/>
    <n v="7.0000000000000009"/>
    <n v="279.99535324137503"/>
    <n v="185.83999999999997"/>
    <n v="7659.6449536037726"/>
    <n v="7326.17"/>
    <n v="0"/>
    <n v="279.99535324137503"/>
    <n v="333.47495360377252"/>
    <n v="0"/>
    <n v="0"/>
    <n v="0"/>
    <n v="7046"/>
    <n v="0"/>
    <n v="0"/>
    <n v="0"/>
    <n v="0"/>
  </r>
  <r>
    <x v="13"/>
    <s v="Bagaraha-Gopal Yadav"/>
    <s v="vlc"/>
    <s v="Indirect"/>
    <n v="115.8"/>
    <n v="3371.39"/>
    <n v="0"/>
    <n v="0"/>
    <n v="0"/>
    <n v="0"/>
    <n v="0"/>
    <n v="0"/>
    <n v="3371.39"/>
    <n v="0"/>
    <n v="0"/>
    <n v="0"/>
    <n v="0"/>
    <n v="206.21862580645143"/>
    <n v="0"/>
    <n v="0"/>
    <n v="0"/>
    <n v="3165.1713741935482"/>
    <n v="0"/>
    <n v="0"/>
  </r>
  <r>
    <x v="14"/>
    <s v="Gomukh Barkurwa"/>
    <s v="MPG"/>
    <s v="Direct"/>
    <n v="411.40000000000003"/>
    <n v="15574.150000000001"/>
    <n v="181.85999999999999"/>
    <n v="7071.2203391280009"/>
    <n v="227.95999999999998"/>
    <n v="8893.9627951639795"/>
    <n v="409.81999999999994"/>
    <n v="15965.18313429198"/>
    <n v="15574.150000000001"/>
    <n v="0"/>
    <n v="264.89731886639998"/>
    <n v="391.03313429197806"/>
    <n v="0"/>
    <n v="0"/>
    <n v="0"/>
    <n v="6681"/>
    <n v="8628"/>
    <n v="0"/>
    <n v="0"/>
    <n v="0"/>
  </r>
  <r>
    <x v="15"/>
    <s v="Kamla- Amarjeet"/>
    <s v="vlc"/>
    <s v="Indirect"/>
    <n v="450.3"/>
    <n v="14974.75"/>
    <n v="0"/>
    <n v="0"/>
    <n v="0"/>
    <n v="0"/>
    <n v="0"/>
    <n v="0"/>
    <n v="14974.75"/>
    <n v="0"/>
    <n v="0"/>
    <n v="0"/>
    <n v="0"/>
    <n v="55.829322580645467"/>
    <n v="0"/>
    <n v="0"/>
    <n v="0"/>
    <n v="14918.920677419355"/>
    <n v="0"/>
    <n v="0"/>
  </r>
  <r>
    <x v="16"/>
    <s v="Gomukh Goha-02"/>
    <s v="MPG"/>
    <s v="Direct"/>
    <n v="394.50000000000006"/>
    <n v="16026.699999999999"/>
    <n v="389.24"/>
    <n v="15781.88002248"/>
    <n v="5"/>
    <n v="207.24561"/>
    <n v="394.24"/>
    <n v="15989.12563248"/>
    <n v="15989.12563248"/>
    <n v="0"/>
    <n v="207.24561"/>
    <n v="0"/>
    <n v="0"/>
    <n v="0"/>
    <n v="0"/>
    <n v="15781"/>
    <n v="0"/>
    <n v="0"/>
    <n v="38"/>
    <n v="0"/>
  </r>
  <r>
    <x v="17"/>
    <s v="Gomukh Cheria Bariarpur"/>
    <s v="MPG"/>
    <s v="Direct"/>
    <n v="1285.3"/>
    <n v="48191.63"/>
    <n v="1304.6600000000003"/>
    <n v="48535.019020303349"/>
    <n v="2.6"/>
    <n v="98.198930016000006"/>
    <n v="1307.2600000000002"/>
    <n v="48633.217950319347"/>
    <n v="48191.63"/>
    <n v="0"/>
    <n v="98.198930016000006"/>
    <n v="441.58795031935006"/>
    <n v="0"/>
    <n v="0"/>
    <n v="0"/>
    <n v="48093"/>
    <n v="0"/>
    <n v="0"/>
    <n v="0"/>
    <n v="0"/>
  </r>
  <r>
    <x v="18"/>
    <s v="Gomukh Rahul Nagar"/>
    <s v="MPG"/>
    <s v="Direct"/>
    <n v="502.2"/>
    <n v="19528.379999999997"/>
    <n v="499.46"/>
    <n v="21035.939034514686"/>
    <n v="6.4"/>
    <n v="278.67088984348004"/>
    <n v="505.85999999999996"/>
    <n v="21314.609924358167"/>
    <n v="19528.379999999997"/>
    <n v="0"/>
    <n v="278.67088984348004"/>
    <n v="1786.2299243581692"/>
    <n v="0"/>
    <n v="0"/>
    <n v="0"/>
    <n v="19250"/>
    <n v="0"/>
    <n v="0"/>
    <n v="0"/>
    <n v="0"/>
  </r>
  <r>
    <x v="19"/>
    <s v="Gomukh Bagraha-01"/>
    <s v="MPG"/>
    <s v="Direct"/>
    <n v="88.100000000000009"/>
    <n v="3947.22"/>
    <n v="99.200000000000017"/>
    <n v="4032.024091920001"/>
    <n v="5"/>
    <n v="205.92554400000006"/>
    <n v="104.20000000000002"/>
    <n v="4237.9496359200011"/>
    <n v="3947.22"/>
    <n v="0"/>
    <n v="205.92554400000006"/>
    <n v="290.72963592000133"/>
    <n v="0"/>
    <n v="261.51288"/>
    <n v="0"/>
    <n v="3480"/>
    <n v="0"/>
    <n v="0"/>
    <n v="0"/>
    <n v="0"/>
  </r>
  <r>
    <x v="21"/>
    <s v="Gomukh Pirauna"/>
    <s v="MPG"/>
    <s v="Direct"/>
    <n v="114.60000000000001"/>
    <n v="4012.66"/>
    <n v="119.49000000000004"/>
    <n v="4439.7041351256003"/>
    <n v="1.47"/>
    <n v="54.235132380000003"/>
    <n v="120.96000000000004"/>
    <n v="4493.9392675056006"/>
    <n v="4012.66"/>
    <n v="0"/>
    <n v="54.235132380000003"/>
    <n v="481.27926750560073"/>
    <n v="0"/>
    <n v="179.48"/>
    <n v="0"/>
    <n v="3778"/>
    <n v="0"/>
    <n v="0"/>
    <n v="1"/>
    <s v="Release1"/>
  </r>
  <r>
    <x v="22"/>
    <s v="Parra- Nagendra Kumar"/>
    <s v="vlc"/>
    <s v="Indirect"/>
    <n v="285.59999999999997"/>
    <n v="9535.56"/>
    <n v="0"/>
    <n v="0"/>
    <n v="0"/>
    <n v="0"/>
    <n v="0"/>
    <n v="0"/>
    <n v="9535.56"/>
    <n v="0"/>
    <n v="0"/>
    <n v="0"/>
    <n v="0"/>
    <n v="0"/>
    <n v="0"/>
    <n v="0"/>
    <n v="0"/>
    <n v="9535.56"/>
    <n v="0"/>
    <n v="0"/>
  </r>
  <r>
    <x v="23"/>
    <s v="Gomukh Basahi"/>
    <s v="MPG"/>
    <s v="Direct"/>
    <n v="806.10000000000014"/>
    <n v="31416.21"/>
    <n v="806.75000000000011"/>
    <n v="32518.973805100639"/>
    <n v="5.04"/>
    <n v="203.93107218000006"/>
    <n v="811.79000000000008"/>
    <n v="32722.904877280638"/>
    <n v="31416.21"/>
    <n v="0"/>
    <n v="203.93107218000006"/>
    <n v="1306.694877280639"/>
    <n v="0"/>
    <n v="0"/>
    <n v="0"/>
    <n v="31212"/>
    <n v="0"/>
    <n v="0"/>
    <n v="0"/>
    <n v="0"/>
  </r>
  <r>
    <x v="24"/>
    <s v="Mohanpur- Mukesh Kumar"/>
    <s v="vlc"/>
    <s v="Indirect"/>
    <n v="740.59999999999991"/>
    <n v="27489.459999999995"/>
    <n v="0"/>
    <n v="0"/>
    <n v="0"/>
    <n v="0"/>
    <n v="0"/>
    <n v="0"/>
    <n v="27489.459999999995"/>
    <n v="0"/>
    <n v="0"/>
    <n v="0"/>
    <n v="0"/>
    <n v="0"/>
    <n v="0"/>
    <n v="0"/>
    <n v="0"/>
    <n v="27489.459999999995"/>
    <n v="0"/>
    <n v="0"/>
  </r>
  <r>
    <x v="25"/>
    <s v="Gomukh Sawantpur"/>
    <s v="MPG"/>
    <s v="Direct"/>
    <n v="905"/>
    <n v="33329.789999999994"/>
    <n v="911.31999999999982"/>
    <n v="33976.282936464006"/>
    <n v="5.86"/>
    <n v="219.72678591600004"/>
    <n v="917.17999999999984"/>
    <n v="34196.009722380004"/>
    <n v="33329.789999999994"/>
    <n v="0"/>
    <n v="219.72678591600004"/>
    <n v="866.21972238001035"/>
    <n v="0"/>
    <n v="0"/>
    <n v="0"/>
    <n v="33110"/>
    <n v="0"/>
    <n v="0"/>
    <n v="0"/>
    <n v="0"/>
  </r>
  <r>
    <x v="26"/>
    <s v="Maida- Ram Kumar"/>
    <s v="vlc"/>
    <s v="Indirect"/>
    <n v="201.9"/>
    <n v="7259.85"/>
    <n v="0"/>
    <n v="0"/>
    <n v="0"/>
    <n v="0"/>
    <n v="0"/>
    <n v="0"/>
    <n v="7259.85"/>
    <n v="0"/>
    <n v="0"/>
    <n v="0"/>
    <n v="0"/>
    <n v="836.99129032258031"/>
    <n v="0"/>
    <n v="0"/>
    <n v="0"/>
    <n v="6422.8587096774199"/>
    <n v="0"/>
    <n v="0"/>
  </r>
  <r>
    <x v="27"/>
    <s v="Gomukh Aure Bikrampur"/>
    <s v="MPG"/>
    <s v="Direct"/>
    <n v="1125.2"/>
    <n v="45609.56"/>
    <n v="1183.6299999999999"/>
    <n v="50999.111401777503"/>
    <n v="1.1200000000000001"/>
    <n v="44.648936640000009"/>
    <n v="1184.7499999999998"/>
    <n v="51043.760338417502"/>
    <n v="45609.56"/>
    <n v="0"/>
    <n v="44.648936640000009"/>
    <n v="5434.2003384175041"/>
    <n v="0"/>
    <n v="0"/>
    <n v="0"/>
    <n v="45565"/>
    <n v="0"/>
    <n v="0"/>
    <n v="0"/>
    <n v="0"/>
  </r>
  <r>
    <x v="28"/>
    <s v="Manjhaul- Gulshan Kumar"/>
    <s v="vlc"/>
    <s v="Indirect"/>
    <n v="983.10000000000014"/>
    <n v="37291.109999999993"/>
    <n v="0"/>
    <n v="0"/>
    <n v="0"/>
    <n v="0"/>
    <n v="0"/>
    <n v="0"/>
    <n v="37291.109999999993"/>
    <n v="0"/>
    <n v="0"/>
    <n v="0"/>
    <n v="0"/>
    <n v="0"/>
    <n v="0"/>
    <n v="0"/>
    <n v="0"/>
    <n v="37291.109999999993"/>
    <n v="0"/>
    <n v="0"/>
  </r>
  <r>
    <x v="29"/>
    <s v="Khaira Manjhaul"/>
    <s v="vlc"/>
    <s v="Indirect"/>
    <n v="440.49999999999989"/>
    <n v="16233.960000000003"/>
    <n v="0"/>
    <n v="0"/>
    <n v="0"/>
    <n v="0"/>
    <n v="0"/>
    <n v="0"/>
    <n v="16233.960000000003"/>
    <n v="0"/>
    <n v="0"/>
    <n v="0"/>
    <n v="0"/>
    <n v="116.58869032258059"/>
    <n v="0"/>
    <n v="0"/>
    <n v="0"/>
    <n v="16117.371309677423"/>
    <n v="0"/>
    <n v="0"/>
  </r>
  <r>
    <x v="30"/>
    <s v="Mehda Shahpur"/>
    <s v="vlc"/>
    <s v="Indirect"/>
    <n v="521.5"/>
    <n v="18530.71"/>
    <n v="0"/>
    <n v="0"/>
    <n v="0"/>
    <n v="0"/>
    <n v="0"/>
    <n v="0"/>
    <n v="18530.71"/>
    <n v="0"/>
    <n v="0"/>
    <n v="0"/>
    <n v="0"/>
    <n v="0"/>
    <n v="0"/>
    <n v="0"/>
    <n v="0"/>
    <n v="18530.71"/>
    <n v="0"/>
    <n v="0"/>
  </r>
  <r>
    <x v="31"/>
    <s v="Shri Bhairav Laxmipur"/>
    <s v="MPG"/>
    <s v="Direct"/>
    <n v="290"/>
    <n v="11710.439999999999"/>
    <n v="293.20000000000005"/>
    <n v="11692.195104558212"/>
    <n v="0"/>
    <n v="0"/>
    <n v="293.20000000000005"/>
    <n v="11692.195104558212"/>
    <n v="11692.195104558212"/>
    <n v="0"/>
    <n v="0"/>
    <n v="0"/>
    <n v="0"/>
    <n v="0"/>
    <n v="0"/>
    <n v="11693"/>
    <n v="0"/>
    <n v="0"/>
    <n v="17"/>
    <n v="0"/>
  </r>
  <r>
    <x v="32"/>
    <s v="Goapalpur"/>
    <s v="MPG"/>
    <s v="Direct"/>
    <n v="163.90000000000003"/>
    <n v="6285.89"/>
    <n v="164.95"/>
    <n v="6321.4822494809805"/>
    <n v="0"/>
    <n v="0"/>
    <n v="164.95"/>
    <n v="6321.4822494809805"/>
    <n v="6285.89"/>
    <n v="0"/>
    <n v="0"/>
    <n v="35.592249480980172"/>
    <n v="0"/>
    <n v="7.2224950819668372"/>
    <n v="0"/>
    <n v="6279"/>
    <n v="0"/>
    <n v="0"/>
    <n v="0"/>
    <n v="0"/>
  </r>
  <r>
    <x v="33"/>
    <s v="Gomukh Akaha"/>
    <s v="MPG"/>
    <s v="Direct"/>
    <n v="150.69999999999999"/>
    <n v="5288.58"/>
    <n v="141.91"/>
    <n v="5607.5272796675999"/>
    <n v="0"/>
    <n v="0"/>
    <n v="141.91"/>
    <n v="5607.5272796675999"/>
    <n v="5288.58"/>
    <n v="0"/>
    <n v="0"/>
    <n v="318.94727966760001"/>
    <n v="0"/>
    <n v="0"/>
    <n v="0"/>
    <n v="5289"/>
    <n v="0"/>
    <n v="0"/>
    <n v="0"/>
    <n v="0"/>
  </r>
  <r>
    <x v="34"/>
    <s v="Gomukh Rajakpur"/>
    <s v="MPG"/>
    <s v="Direct"/>
    <n v="34.400000000000006"/>
    <n v="992.01999999999987"/>
    <n v="40"/>
    <n v="1118.9875641120002"/>
    <n v="0"/>
    <n v="0"/>
    <n v="40"/>
    <n v="1118.9875641120002"/>
    <n v="992.01999999999987"/>
    <n v="0"/>
    <n v="0"/>
    <n v="126.96756411200033"/>
    <n v="0"/>
    <n v="0"/>
    <n v="0"/>
    <n v="992"/>
    <n v="0"/>
    <n v="0"/>
    <n v="0"/>
    <s v="Release1"/>
  </r>
  <r>
    <x v="35"/>
    <s v="Gomukh Mohanpur"/>
    <s v="MPG"/>
    <s v="Direct"/>
    <n v="317.89999999999998"/>
    <n v="12084.989999999998"/>
    <n v="313.40999999999997"/>
    <n v="11774.741291025897"/>
    <n v="4.4400000000000004"/>
    <n v="163.03637023740004"/>
    <n v="317.84999999999997"/>
    <n v="11937.777661263297"/>
    <n v="11937.777661263297"/>
    <n v="0"/>
    <n v="163.03637023740004"/>
    <n v="0"/>
    <n v="0"/>
    <n v="0"/>
    <n v="0"/>
    <n v="11775"/>
    <n v="0"/>
    <n v="0"/>
    <n v="147"/>
    <n v="0"/>
  </r>
  <r>
    <x v="36"/>
    <s v="Gomukh Chakka"/>
    <s v="MPG"/>
    <s v="Direct"/>
    <n v="209.4"/>
    <n v="7624.58"/>
    <n v="207.79999999999998"/>
    <n v="7783.5423238182802"/>
    <n v="0"/>
    <n v="0"/>
    <n v="207.79999999999998"/>
    <n v="7783.5423238182802"/>
    <n v="7624.58"/>
    <n v="0"/>
    <n v="0"/>
    <n v="158.96232381828031"/>
    <n v="0"/>
    <n v="0"/>
    <n v="0"/>
    <n v="7625"/>
    <n v="0"/>
    <n v="0"/>
    <n v="0"/>
    <n v="0"/>
  </r>
  <r>
    <x v="37"/>
    <s v="Gamharia"/>
    <s v="vlc"/>
    <s v="Indirect"/>
    <n v="21.1"/>
    <n v="880.21"/>
    <n v="0"/>
    <n v="0"/>
    <n v="0"/>
    <n v="0"/>
    <n v="0"/>
    <n v="0"/>
    <n v="880.21"/>
    <n v="0"/>
    <n v="0"/>
    <n v="0"/>
    <n v="0"/>
    <n v="0"/>
    <n v="0"/>
    <n v="0"/>
    <n v="0"/>
    <n v="880.21"/>
    <n v="0"/>
    <n v="0"/>
  </r>
  <r>
    <x v="38"/>
    <s v="Gomukh Meghaul-02"/>
    <s v="MPG"/>
    <s v="Direct"/>
    <n v="509.20000000000005"/>
    <n v="21424.989999999998"/>
    <n v="472.85999999999996"/>
    <n v="20016.094618424802"/>
    <n v="6.22"/>
    <n v="250.13242821600002"/>
    <n v="479.08"/>
    <n v="20266.227046640801"/>
    <n v="20266.227046640801"/>
    <n v="0"/>
    <n v="250.13242821600002"/>
    <n v="0"/>
    <n v="0"/>
    <n v="0"/>
    <n v="0"/>
    <n v="20016"/>
    <n v="0"/>
    <n v="0"/>
    <n v="1159"/>
    <n v="0"/>
  </r>
  <r>
    <x v="39"/>
    <s v="Gomukh Meida"/>
    <s v="MPG"/>
    <s v="Direct"/>
    <n v="311.10000000000002"/>
    <n v="11292.240000000002"/>
    <n v="311.00000000000006"/>
    <n v="11288.443462362004"/>
    <n v="0"/>
    <n v="0"/>
    <n v="311.00000000000006"/>
    <n v="11288.443462362004"/>
    <n v="11288.443462362004"/>
    <n v="0"/>
    <n v="0"/>
    <n v="0"/>
    <n v="0"/>
    <n v="0"/>
    <n v="0"/>
    <n v="11288"/>
    <n v="0"/>
    <n v="0"/>
    <n v="4"/>
    <n v="0"/>
  </r>
  <r>
    <x v="40"/>
    <s v="PIPARIYA DIH -2"/>
    <s v="MPG"/>
    <s v="Direct"/>
    <n v="2584.1999999999998"/>
    <n v="113714.44999999997"/>
    <n v="1440.1000000000004"/>
    <n v="61866.344073493005"/>
    <n v="1156.1999999999998"/>
    <n v="54492.10044280201"/>
    <n v="2596.3000000000002"/>
    <n v="116358.44451629501"/>
    <n v="113714.44999999997"/>
    <n v="0"/>
    <n v="1183.9269611030002"/>
    <n v="2643.9945162950462"/>
    <n v="0"/>
    <n v="0"/>
    <n v="0"/>
    <n v="59223"/>
    <n v="53308"/>
    <n v="0"/>
    <n v="0"/>
    <n v="0"/>
  </r>
  <r>
    <x v="41"/>
    <s v="LAL DIYARA -1"/>
    <s v="MPG"/>
    <s v="Direct"/>
    <n v="627.1"/>
    <n v="23173.39"/>
    <n v="628.69999999999993"/>
    <n v="23226.651320399997"/>
    <n v="0"/>
    <n v="0"/>
    <n v="628.69999999999993"/>
    <n v="23226.651320399997"/>
    <n v="23173.39"/>
    <n v="0"/>
    <n v="0"/>
    <n v="53.261320399997203"/>
    <n v="0"/>
    <n v="0"/>
    <n v="0"/>
    <n v="23173"/>
    <n v="0"/>
    <n v="0"/>
    <n v="0"/>
    <s v="Release2"/>
  </r>
  <r>
    <x v="42"/>
    <s v="GANGA KINARE KHUTHA"/>
    <s v="vlc"/>
    <s v="Indirect"/>
    <n v="137.89999999999998"/>
    <n v="5186.8999999999996"/>
    <n v="0"/>
    <n v="0"/>
    <n v="0"/>
    <n v="0"/>
    <n v="0"/>
    <n v="0"/>
    <n v="5186.8999999999996"/>
    <n v="0"/>
    <n v="0"/>
    <n v="0"/>
    <n v="0"/>
    <n v="121.14195483870996"/>
    <n v="0"/>
    <n v="0"/>
    <n v="0"/>
    <n v="5065.7580451612894"/>
    <n v="0"/>
    <n v="0"/>
  </r>
  <r>
    <x v="43"/>
    <s v="Gomukh ID Khutaha Dhih"/>
    <s v="vlc"/>
    <s v="Indirect"/>
    <n v="1096.4000000000001"/>
    <n v="43500.34"/>
    <n v="0"/>
    <n v="0"/>
    <n v="0"/>
    <n v="0"/>
    <n v="0"/>
    <n v="0"/>
    <n v="43500.34"/>
    <n v="0"/>
    <n v="0"/>
    <n v="0"/>
    <n v="0"/>
    <n v="1012.7544774193541"/>
    <n v="0"/>
    <n v="0"/>
    <n v="0"/>
    <n v="42487.585522580644"/>
    <n v="0"/>
    <n v="0"/>
  </r>
  <r>
    <x v="44"/>
    <s v="GOMUKH RAHATPUR"/>
    <s v="MPG"/>
    <s v="Direct"/>
    <n v="579.30000000000007"/>
    <n v="21042.990000000005"/>
    <n v="593.40000000000009"/>
    <n v="22469.502678479999"/>
    <n v="1.6999999999999997"/>
    <n v="60.8141952"/>
    <n v="595.10000000000014"/>
    <n v="22530.31687368"/>
    <n v="21042.990000000005"/>
    <n v="0"/>
    <n v="60.8141952"/>
    <n v="1487.3268736799946"/>
    <n v="0"/>
    <n v="0"/>
    <n v="0"/>
    <n v="20982"/>
    <n v="0"/>
    <n v="0"/>
    <n v="0"/>
    <n v="0"/>
  </r>
  <r>
    <x v="45"/>
    <s v="KANHAIYA YADAV"/>
    <s v="vlc"/>
    <s v="Indirect"/>
    <n v="333"/>
    <n v="13387.590000000002"/>
    <n v="0"/>
    <n v="0"/>
    <n v="0"/>
    <n v="0"/>
    <n v="0"/>
    <n v="0"/>
    <n v="13387.590000000002"/>
    <n v="0"/>
    <n v="0"/>
    <n v="0"/>
    <n v="0"/>
    <n v="0"/>
    <n v="0"/>
    <n v="0"/>
    <n v="0"/>
    <n v="13387.590000000002"/>
    <n v="0"/>
    <n v="0"/>
  </r>
  <r>
    <x v="926"/>
    <s v="Vikash Kumar"/>
    <s v="vlc"/>
    <s v="Indirect"/>
    <n v="479.3"/>
    <n v="18647.439999999999"/>
    <n v="0"/>
    <n v="0"/>
    <n v="0"/>
    <n v="0"/>
    <n v="0"/>
    <n v="0"/>
    <n v="18647.439999999999"/>
    <n v="0"/>
    <n v="0"/>
    <n v="0"/>
    <n v="0"/>
    <n v="0"/>
    <n v="0"/>
    <n v="0"/>
    <n v="0"/>
    <n v="18647.439999999999"/>
    <n v="0"/>
    <n v="0"/>
  </r>
  <r>
    <x v="46"/>
    <s v="GOMUKH  LALDIYARA TIRASHI                                                                           "/>
    <s v="vlc"/>
    <s v="Indirect"/>
    <n v="25552.400000000005"/>
    <n v="1008844.2100000001"/>
    <n v="0"/>
    <n v="0"/>
    <n v="0"/>
    <n v="0"/>
    <n v="0"/>
    <n v="0"/>
    <n v="1008844.2100000001"/>
    <n v="0"/>
    <n v="0"/>
    <n v="0"/>
    <n v="0"/>
    <n v="0"/>
    <n v="0"/>
    <n v="0"/>
    <n v="0"/>
    <n v="1008844.2100000001"/>
    <n v="0"/>
    <n v="0"/>
  </r>
  <r>
    <x v="47"/>
    <s v="GOMUKH  LALDIYARA PURBI"/>
    <s v="vlc"/>
    <s v="Indirect"/>
    <n v="25339.200000000001"/>
    <n v="999451.74"/>
    <n v="0"/>
    <n v="0"/>
    <n v="0"/>
    <n v="0"/>
    <n v="0"/>
    <n v="0"/>
    <n v="999451.74"/>
    <n v="0"/>
    <n v="0"/>
    <n v="0"/>
    <n v="0"/>
    <n v="0"/>
    <n v="0"/>
    <n v="0"/>
    <n v="0"/>
    <n v="999451.74"/>
    <n v="0"/>
    <n v="0"/>
  </r>
  <r>
    <x v="48"/>
    <s v="GOMUKH RAMCHANDARPUR II"/>
    <s v="MPG"/>
    <s v="Direct"/>
    <n v="4283.5000000000009"/>
    <n v="179992.75"/>
    <n v="5051.5999999999995"/>
    <n v="178374.70196992654"/>
    <n v="39"/>
    <n v="1724.6237580000002"/>
    <n v="5090.5999999999995"/>
    <n v="180099.32572792654"/>
    <n v="179992.75"/>
    <n v="0"/>
    <n v="1724.6237580000002"/>
    <n v="106.57572792653809"/>
    <n v="0"/>
    <n v="0"/>
    <n v="0"/>
    <n v="178268"/>
    <n v="0"/>
    <n v="0"/>
    <n v="0"/>
    <n v="0"/>
  </r>
  <r>
    <x v="49"/>
    <s v="MOHANPUR"/>
    <s v="MPG"/>
    <s v="Direct"/>
    <n v="5231.7999999999993"/>
    <n v="225818.99999999997"/>
    <n v="4715.3999999999996"/>
    <n v="201210.04446789282"/>
    <n v="621.90000000000009"/>
    <n v="25902.2958898584"/>
    <n v="5337.2999999999993"/>
    <n v="227112.34035775121"/>
    <n v="225818.99999999997"/>
    <n v="0"/>
    <n v="1783.8088408800004"/>
    <n v="1293.3403577512363"/>
    <n v="0"/>
    <n v="0"/>
    <n v="0"/>
    <n v="199916"/>
    <n v="24119"/>
    <n v="0"/>
    <n v="0"/>
    <n v="0"/>
  </r>
  <r>
    <x v="50"/>
    <s v="Juwas"/>
    <s v="MPG"/>
    <s v="Direct"/>
    <n v="847.6"/>
    <n v="32052.47"/>
    <n v="868.00999999999988"/>
    <n v="31964.827964322001"/>
    <n v="7.8999999999999995"/>
    <n v="295.54996581"/>
    <n v="875.90999999999985"/>
    <n v="32260.377930132003"/>
    <n v="32052.47"/>
    <n v="0"/>
    <n v="295.54996581"/>
    <n v="207.90793013200164"/>
    <n v="0"/>
    <n v="0"/>
    <n v="0"/>
    <n v="31757"/>
    <n v="0"/>
    <n v="0"/>
    <n v="0"/>
    <n v="0"/>
  </r>
  <r>
    <x v="51"/>
    <s v="Morwariya"/>
    <s v="MPG"/>
    <s v="Direct"/>
    <n v="2997"/>
    <n v="118970.65999999999"/>
    <n v="3247.4600000000009"/>
    <n v="129768.77652285734"/>
    <n v="0"/>
    <n v="0"/>
    <n v="3247.4600000000009"/>
    <n v="129768.77652285734"/>
    <n v="118970.65999999999"/>
    <n v="0"/>
    <n v="0"/>
    <n v="10798.116522857352"/>
    <n v="0"/>
    <n v="0"/>
    <n v="0"/>
    <n v="118971"/>
    <n v="0"/>
    <n v="0"/>
    <n v="0"/>
    <s v="Release2"/>
  </r>
  <r>
    <x v="52"/>
    <s v="Dumri 2"/>
    <s v="MPG"/>
    <s v="Direct"/>
    <n v="976.8"/>
    <n v="37022.94"/>
    <n v="975.43999999999994"/>
    <n v="36671.404520908203"/>
    <n v="9.92"/>
    <n v="374.20315653599994"/>
    <n v="985.3599999999999"/>
    <n v="37045.607677444204"/>
    <n v="37022.94"/>
    <n v="0"/>
    <n v="374.20315653599994"/>
    <n v="22.667677444202127"/>
    <n v="0"/>
    <n v="28.792620000000369"/>
    <n v="0"/>
    <n v="36620"/>
    <n v="0"/>
    <n v="0"/>
    <n v="0"/>
    <n v="0"/>
  </r>
  <r>
    <x v="53"/>
    <s v="Gomukh Jhakhaur"/>
    <s v="MPG"/>
    <s v="Direct"/>
    <n v="717.9"/>
    <n v="29259.360000000001"/>
    <n v="880.72"/>
    <n v="36457.408416937978"/>
    <n v="1.5199999999999998"/>
    <n v="58.883752996200009"/>
    <n v="882.24"/>
    <n v="36516.292169934175"/>
    <n v="29259.360000000001"/>
    <n v="0"/>
    <n v="58.883752996200009"/>
    <n v="7256.9321699341745"/>
    <n v="0"/>
    <n v="0"/>
    <n v="0"/>
    <n v="29200"/>
    <n v="0"/>
    <n v="0"/>
    <n v="0"/>
    <n v="0"/>
  </r>
  <r>
    <x v="54"/>
    <s v="Gomukh Repura"/>
    <s v="MPG"/>
    <s v="Direct"/>
    <n v="667.5"/>
    <n v="24376.879999999997"/>
    <n v="670.3"/>
    <n v="24612.790569840003"/>
    <n v="0"/>
    <n v="0"/>
    <n v="670.3"/>
    <n v="24612.790569840003"/>
    <n v="24376.879999999997"/>
    <n v="0"/>
    <n v="0"/>
    <n v="235.91056984000534"/>
    <n v="0"/>
    <n v="0"/>
    <n v="0"/>
    <n v="24377"/>
    <n v="0"/>
    <n v="0"/>
    <n v="0"/>
    <n v="0"/>
  </r>
  <r>
    <x v="55"/>
    <s v="Gomukh Virupur"/>
    <s v="MPG"/>
    <s v="Direct"/>
    <n v="345"/>
    <n v="13681.580000000002"/>
    <n v="342.13"/>
    <n v="13697.29082594636"/>
    <n v="2.85"/>
    <n v="110.92271691600001"/>
    <n v="344.98"/>
    <n v="13808.213542862361"/>
    <n v="13681.580000000002"/>
    <n v="0"/>
    <n v="110.92271691600001"/>
    <n v="126.63354286235881"/>
    <n v="0"/>
    <n v="0"/>
    <n v="0"/>
    <n v="13571"/>
    <n v="0"/>
    <n v="0"/>
    <n v="0"/>
    <s v="Release1"/>
  </r>
  <r>
    <x v="56"/>
    <s v="Gomukh Diyarapipariya                                                                               "/>
    <s v="MPG"/>
    <s v="Direct"/>
    <n v="838.80000000000007"/>
    <n v="36884.48000000001"/>
    <n v="851.56000000000017"/>
    <n v="36921.495530897941"/>
    <n v="10.77"/>
    <n v="496.69340391628396"/>
    <n v="862.33000000000015"/>
    <n v="37418.188934814221"/>
    <n v="36884.48000000001"/>
    <n v="0"/>
    <n v="496.69340391628396"/>
    <n v="533.70893481421081"/>
    <n v="0"/>
    <n v="0"/>
    <n v="0"/>
    <n v="36388"/>
    <n v="0"/>
    <n v="0"/>
    <n v="0"/>
    <n v="0"/>
  </r>
  <r>
    <x v="57"/>
    <s v="TAJPUR"/>
    <s v="MPG"/>
    <s v="Direct"/>
    <n v="998.90000000000009"/>
    <n v="40694.850000000006"/>
    <n v="984.73999999999967"/>
    <n v="39656.644762883967"/>
    <n v="11.58"/>
    <n v="438.86122592400011"/>
    <n v="996.31999999999971"/>
    <n v="40095.50598880797"/>
    <n v="40095.50598880797"/>
    <n v="0"/>
    <n v="438.86122592400011"/>
    <n v="0"/>
    <n v="0"/>
    <n v="0"/>
    <n v="0"/>
    <n v="39656"/>
    <n v="0"/>
    <n v="0"/>
    <n v="600"/>
    <n v="0"/>
  </r>
  <r>
    <x v="58"/>
    <s v="PATHUA"/>
    <s v="MPG"/>
    <s v="Direct"/>
    <n v="792.00000000000023"/>
    <n v="33216.47"/>
    <n v="776"/>
    <n v="33948.858499016002"/>
    <n v="23"/>
    <n v="1091.3303583710003"/>
    <n v="799"/>
    <n v="35040.188857387002"/>
    <n v="33216.47"/>
    <n v="0"/>
    <n v="1091.3303583710003"/>
    <n v="1823.7188573870008"/>
    <n v="0"/>
    <n v="721.77456000000029"/>
    <n v="0"/>
    <n v="31403"/>
    <n v="0"/>
    <n v="0"/>
    <n v="0"/>
    <n v="0"/>
  </r>
  <r>
    <x v="59"/>
    <s v="LODIYA"/>
    <s v="MPG"/>
    <s v="Direct"/>
    <n v="621.29999999999995"/>
    <n v="24558.610000000004"/>
    <n v="617.77999999999986"/>
    <n v="23728.244937927"/>
    <n v="6.2599999999999989"/>
    <n v="246.14214371999998"/>
    <n v="624.03999999999985"/>
    <n v="23974.387081647001"/>
    <n v="23974.387081647001"/>
    <n v="0"/>
    <n v="246.14214371999998"/>
    <n v="0"/>
    <n v="0"/>
    <n v="0"/>
    <n v="0"/>
    <n v="23726"/>
    <n v="0"/>
    <n v="0"/>
    <n v="586"/>
    <n v="0"/>
  </r>
  <r>
    <x v="60"/>
    <s v="ADARSH LAXMIPUR-3"/>
    <s v="MPG"/>
    <s v="Direct"/>
    <n v="279.10000000000002"/>
    <n v="11999.05"/>
    <n v="278.31999999999994"/>
    <n v="12256.082590337768"/>
    <n v="2.2799999999999998"/>
    <n v="86.000441076000016"/>
    <n v="280.59999999999991"/>
    <n v="12342.083031413767"/>
    <n v="11999.05"/>
    <n v="0"/>
    <n v="86.000441076000016"/>
    <n v="343.03303141376819"/>
    <n v="0"/>
    <n v="0"/>
    <n v="0"/>
    <n v="11913"/>
    <n v="0"/>
    <n v="0"/>
    <n v="0"/>
    <n v="0"/>
  </r>
  <r>
    <x v="61"/>
    <s v="BHANPUR"/>
    <s v="MPG"/>
    <s v="Direct"/>
    <n v="492"/>
    <n v="18582.84"/>
    <n v="492"/>
    <n v="18610.690942800004"/>
    <n v="0"/>
    <n v="0"/>
    <n v="492"/>
    <n v="18610.690942800004"/>
    <n v="18582.84"/>
    <n v="0"/>
    <n v="0"/>
    <n v="27.850942800003395"/>
    <n v="0"/>
    <n v="0"/>
    <n v="0"/>
    <n v="18583"/>
    <n v="0"/>
    <n v="0"/>
    <n v="0"/>
    <n v="0"/>
  </r>
  <r>
    <x v="62"/>
    <s v="Karari Pipariya 2"/>
    <s v="MPG"/>
    <s v="Direct"/>
    <n v="1012.5"/>
    <n v="41994.909999999996"/>
    <n v="990.57"/>
    <n v="41736.84945046858"/>
    <n v="9.6199999999999992"/>
    <n v="401.25773437200007"/>
    <n v="1000.19"/>
    <n v="42138.107184840577"/>
    <n v="41994.909999999996"/>
    <n v="0"/>
    <n v="401.25773437200007"/>
    <n v="143.19718484058103"/>
    <n v="0"/>
    <n v="0"/>
    <n v="0"/>
    <n v="41594"/>
    <n v="0"/>
    <n v="0"/>
    <n v="0"/>
    <n v="0"/>
  </r>
  <r>
    <x v="63"/>
    <s v="DIYARA PIPARIYA-THANA                                                                               "/>
    <s v="MPG"/>
    <s v="Direct"/>
    <n v="1158.2"/>
    <n v="51044.240000000005"/>
    <n v="1155.8599999999999"/>
    <n v="50246.778376600312"/>
    <n v="7.9200000000000026"/>
    <n v="336.93220400400003"/>
    <n v="1163.78"/>
    <n v="50583.710580604311"/>
    <n v="50583.710580604311"/>
    <n v="0"/>
    <n v="336.93220400400003"/>
    <n v="0"/>
    <n v="0"/>
    <n v="0"/>
    <n v="0"/>
    <n v="50248"/>
    <n v="0"/>
    <n v="0"/>
    <n v="459"/>
    <n v="0"/>
  </r>
  <r>
    <x v="64"/>
    <s v="SRI RAM SINGH(VLC)"/>
    <s v="vlc"/>
    <s v="Indirect"/>
    <n v="3756"/>
    <n v="150470.08000000002"/>
    <n v="0"/>
    <n v="0"/>
    <n v="0"/>
    <n v="0"/>
    <n v="0"/>
    <n v="0"/>
    <n v="150470.08000000002"/>
    <n v="0"/>
    <n v="0"/>
    <n v="0"/>
    <n v="0"/>
    <n v="0"/>
    <n v="0"/>
    <n v="0"/>
    <n v="0"/>
    <n v="150470.08000000002"/>
    <n v="0"/>
    <n v="0"/>
  </r>
  <r>
    <x v="65"/>
    <s v="GADHTOLA"/>
    <s v="MPG"/>
    <s v="Direct"/>
    <n v="926.6"/>
    <n v="37022.380000000005"/>
    <n v="922.21"/>
    <n v="36958.224126548404"/>
    <n v="4.8299999999999992"/>
    <n v="185.15889414000003"/>
    <n v="927.04000000000008"/>
    <n v="37143.383020688401"/>
    <n v="37022.380000000005"/>
    <n v="0"/>
    <n v="185.15889414000003"/>
    <n v="121.00302068839665"/>
    <n v="0"/>
    <n v="0"/>
    <n v="0"/>
    <n v="36837"/>
    <n v="0"/>
    <n v="0"/>
    <n v="0"/>
    <s v="Release1"/>
  </r>
  <r>
    <x v="927"/>
    <s v="Chetan Tola - Ravi"/>
    <s v="vlc"/>
    <s v="Indirect"/>
    <n v="221"/>
    <n v="13348.710000000001"/>
    <n v="0"/>
    <n v="0"/>
    <n v="0"/>
    <n v="0"/>
    <n v="0"/>
    <n v="0"/>
    <n v="13348.710000000001"/>
    <n v="0"/>
    <n v="0"/>
    <n v="0"/>
    <n v="0"/>
    <n v="0"/>
    <n v="0"/>
    <n v="0"/>
    <n v="0"/>
    <n v="13348.710000000001"/>
    <n v="0"/>
    <n v="0"/>
  </r>
  <r>
    <x v="66"/>
    <s v="Diyara-Pipariya-Utri - Chandan"/>
    <s v="vlc"/>
    <s v="Indirect"/>
    <n v="888.90000000000009"/>
    <n v="35748.549999999996"/>
    <n v="0"/>
    <n v="0"/>
    <n v="0"/>
    <n v="0"/>
    <n v="0"/>
    <n v="0"/>
    <n v="35748.549999999996"/>
    <n v="0"/>
    <n v="0"/>
    <n v="0"/>
    <n v="0"/>
    <n v="559.2979741935485"/>
    <n v="0"/>
    <n v="0"/>
    <n v="0"/>
    <n v="35189.252025806447"/>
    <n v="0"/>
    <n v="0"/>
  </r>
  <r>
    <x v="67"/>
    <s v="KANHARPUR-2"/>
    <s v="MPG"/>
    <s v="Direct"/>
    <n v="3080.1"/>
    <n v="133513.56999999998"/>
    <n v="2414.66"/>
    <n v="108666.92076778594"/>
    <n v="604.80999999999995"/>
    <n v="24925.402088095696"/>
    <n v="3019.47"/>
    <n v="133592.32285588165"/>
    <n v="133513.56999999998"/>
    <n v="0"/>
    <n v="1480.1629110437"/>
    <n v="78.752855881670257"/>
    <n v="0"/>
    <n v="0"/>
    <n v="0"/>
    <n v="108587"/>
    <n v="23446"/>
    <n v="0"/>
    <n v="0"/>
    <n v="0"/>
  </r>
  <r>
    <x v="68"/>
    <s v="BASAUNA"/>
    <s v="MPG"/>
    <s v="Direct"/>
    <n v="1016.4999999999999"/>
    <n v="40848.889999999992"/>
    <n v="344.74"/>
    <n v="14340.932595576091"/>
    <n v="680.19"/>
    <n v="26220.956758207201"/>
    <n v="1024.93"/>
    <n v="40561.889353783292"/>
    <n v="40561.889353783292"/>
    <n v="0"/>
    <n v="234.76437462060005"/>
    <n v="0"/>
    <n v="0"/>
    <n v="0"/>
    <n v="0"/>
    <n v="14341"/>
    <n v="25985"/>
    <n v="0"/>
    <n v="288"/>
    <n v="0"/>
  </r>
  <r>
    <x v="69"/>
    <s v="GANGA-SARAI"/>
    <s v="MPG"/>
    <s v="Direct"/>
    <n v="1276.0999999999999"/>
    <n v="50533.48"/>
    <n v="1267.08"/>
    <n v="50214.022272813199"/>
    <n v="12.900000000000002"/>
    <n v="476.24878857600004"/>
    <n v="1279.98"/>
    <n v="50690.271061389198"/>
    <n v="50533.48"/>
    <n v="0"/>
    <n v="476.24878857600004"/>
    <n v="156.79106138919451"/>
    <n v="0"/>
    <n v="0"/>
    <n v="0"/>
    <n v="50057"/>
    <n v="0"/>
    <n v="0"/>
    <n v="0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328.4"/>
    <n v="13403.130000000001"/>
    <n v="327.14"/>
    <n v="12827.626245889915"/>
    <n v="4.63"/>
    <n v="171.28325806020001"/>
    <n v="331.77"/>
    <n v="12998.909503950115"/>
    <n v="12998.909503950115"/>
    <n v="0"/>
    <n v="171.28325806020001"/>
    <n v="0"/>
    <n v="0"/>
    <n v="0"/>
    <n v="0"/>
    <n v="12828"/>
    <n v="0"/>
    <n v="0"/>
    <n v="404"/>
    <n v="0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284.9000000000001"/>
    <n v="52966.449999999983"/>
    <n v="603.1400000000001"/>
    <n v="28310.193411884473"/>
    <n v="682.32"/>
    <n v="27163.295862393603"/>
    <n v="1285.46"/>
    <n v="55473.489274278079"/>
    <n v="52966.449999999983"/>
    <n v="0"/>
    <n v="326.99701782"/>
    <n v="2507.0392742780969"/>
    <n v="0"/>
    <n v="0"/>
    <n v="0"/>
    <n v="25803"/>
    <n v="26836"/>
    <n v="0"/>
    <n v="0"/>
    <n v="0"/>
  </r>
  <r>
    <x v="72"/>
    <s v="Gomukh Hasanpur"/>
    <s v="vlc"/>
    <s v="Indirect"/>
    <n v="859.50000000000011"/>
    <n v="34203.439999999995"/>
    <n v="0"/>
    <n v="0"/>
    <n v="0"/>
    <n v="0"/>
    <n v="0"/>
    <n v="0"/>
    <n v="34203.439999999995"/>
    <n v="0"/>
    <n v="0"/>
    <n v="0"/>
    <n v="0"/>
    <n v="0"/>
    <n v="0"/>
    <n v="0"/>
    <n v="0"/>
    <n v="34203.439999999995"/>
    <n v="0"/>
    <n v="0"/>
  </r>
  <r>
    <x v="73"/>
    <s v="ADARSH LAXMIPUR-2"/>
    <s v="vlc"/>
    <s v="Indirect"/>
    <n v="1197.9999999999998"/>
    <n v="47355.990000000005"/>
    <n v="0"/>
    <n v="0"/>
    <n v="0"/>
    <n v="0"/>
    <n v="0"/>
    <n v="0"/>
    <n v="47355.990000000005"/>
    <n v="0"/>
    <n v="0"/>
    <n v="0"/>
    <n v="0"/>
    <n v="0"/>
    <n v="0"/>
    <n v="0"/>
    <n v="0"/>
    <n v="47355.990000000005"/>
    <n v="0"/>
    <n v="0"/>
  </r>
  <r>
    <x v="74"/>
    <s v="SABIKPUR"/>
    <s v="MPG"/>
    <s v="Direct"/>
    <n v="635.09999999999991"/>
    <n v="26459.25"/>
    <n v="666.65"/>
    <n v="28145.951516423142"/>
    <n v="0"/>
    <n v="0"/>
    <n v="666.65"/>
    <n v="28145.951516423142"/>
    <n v="26459.25"/>
    <n v="0"/>
    <n v="0"/>
    <n v="1686.7015164231416"/>
    <n v="0"/>
    <n v="0"/>
    <n v="0"/>
    <n v="26459"/>
    <n v="0"/>
    <n v="0"/>
    <n v="0"/>
    <n v="0"/>
  </r>
  <r>
    <x v="75"/>
    <s v="CHETAN-TOLA-KHUTHA"/>
    <s v="MPG"/>
    <s v="Direct"/>
    <n v="227.3"/>
    <n v="9185.6799999999985"/>
    <n v="179.7"/>
    <n v="8259.2561601156522"/>
    <n v="0.26"/>
    <n v="12.318792955150004"/>
    <n v="179.95999999999998"/>
    <n v="8271.5749530708017"/>
    <n v="8271.5749530708017"/>
    <n v="0"/>
    <n v="12.318792955150004"/>
    <n v="0"/>
    <n v="8259"/>
    <n v="0"/>
    <n v="0"/>
    <n v="0"/>
    <n v="0"/>
    <n v="0"/>
    <n v="914"/>
    <s v="Release3"/>
  </r>
  <r>
    <x v="76"/>
    <s v="LAXMIPUR"/>
    <s v="MPG"/>
    <s v="Direct"/>
    <n v="956.09999999999991"/>
    <n v="38671.170000000006"/>
    <n v="920.59999999999991"/>
    <n v="41768.927084568197"/>
    <n v="0"/>
    <n v="0"/>
    <n v="920.59999999999991"/>
    <n v="41768.927084568197"/>
    <n v="38671.170000000006"/>
    <n v="0"/>
    <n v="0"/>
    <n v="3097.7570845681912"/>
    <n v="0"/>
    <n v="0"/>
    <n v="0"/>
    <n v="38671"/>
    <n v="0"/>
    <n v="0"/>
    <n v="0"/>
    <s v="Release2"/>
  </r>
  <r>
    <x v="77"/>
    <s v="REHUA RK"/>
    <s v="vlc"/>
    <s v="Indirect"/>
    <n v="1068.1000000000001"/>
    <n v="44029.95"/>
    <n v="0"/>
    <n v="0"/>
    <n v="0"/>
    <n v="0"/>
    <n v="0"/>
    <n v="0"/>
    <n v="44029.95"/>
    <n v="0"/>
    <n v="0"/>
    <n v="0"/>
    <n v="0"/>
    <n v="0"/>
    <n v="0"/>
    <n v="0"/>
    <n v="0"/>
    <n v="44029.95"/>
    <n v="0"/>
    <n v="0"/>
  </r>
  <r>
    <x v="78"/>
    <s v="RAMNAGAR"/>
    <s v="MPG"/>
    <s v="Direct"/>
    <n v="263.5"/>
    <n v="10968.32"/>
    <n v="270.45999999999998"/>
    <n v="11805.927937580365"/>
    <n v="0"/>
    <n v="0"/>
    <n v="270.45999999999998"/>
    <n v="11805.927937580365"/>
    <n v="10968.32"/>
    <n v="0"/>
    <n v="0"/>
    <n v="837.60793758036561"/>
    <n v="0"/>
    <n v="0"/>
    <n v="0"/>
    <n v="10968"/>
    <n v="0"/>
    <n v="0"/>
    <n v="0"/>
    <s v="Release2"/>
  </r>
  <r>
    <x v="79"/>
    <s v="BANSIPUR"/>
    <s v="MPG"/>
    <s v="Direct"/>
    <n v="106.60000000000001"/>
    <n v="4709.0199999999995"/>
    <n v="106.6"/>
    <n v="4710.2559423216007"/>
    <n v="0"/>
    <n v="0"/>
    <n v="106.6"/>
    <n v="4710.2559423216007"/>
    <n v="4709.0199999999995"/>
    <n v="0"/>
    <n v="0"/>
    <n v="1.2359423216012146"/>
    <n v="0"/>
    <n v="0"/>
    <n v="0"/>
    <n v="4709"/>
    <n v="0"/>
    <n v="0"/>
    <n v="0"/>
    <n v="0"/>
  </r>
  <r>
    <x v="80"/>
    <s v="GODIH"/>
    <s v="MPG"/>
    <s v="Direct"/>
    <n v="398.8"/>
    <n v="16169.77"/>
    <n v="396.23999999999995"/>
    <n v="17566.595793706285"/>
    <n v="0"/>
    <n v="0"/>
    <n v="396.23999999999995"/>
    <n v="17566.595793706285"/>
    <n v="16169.77"/>
    <n v="0"/>
    <n v="0"/>
    <n v="1396.8257937062845"/>
    <n v="0"/>
    <n v="0"/>
    <n v="0"/>
    <n v="16170"/>
    <n v="0"/>
    <n v="0"/>
    <n v="0"/>
    <n v="0"/>
  </r>
  <r>
    <x v="81"/>
    <s v="SINGARPUR"/>
    <s v="MPG"/>
    <s v="Direct"/>
    <n v="319.39999999999998"/>
    <n v="15686.8"/>
    <n v="320.74"/>
    <n v="16957.625289345564"/>
    <n v="0"/>
    <n v="0"/>
    <n v="320.74"/>
    <n v="16957.625289345564"/>
    <n v="15686.8"/>
    <n v="0"/>
    <n v="0"/>
    <n v="1270.8252893455647"/>
    <n v="0"/>
    <n v="0"/>
    <n v="0"/>
    <n v="15687"/>
    <n v="0"/>
    <n v="0"/>
    <n v="0"/>
    <n v="0"/>
  </r>
  <r>
    <x v="82"/>
    <s v="ADARSH PULPAR"/>
    <s v="MPG"/>
    <s v="Direct"/>
    <n v="3.9"/>
    <n v="149.80000000000001"/>
    <n v="3.9"/>
    <n v="150.84077579999999"/>
    <n v="0"/>
    <n v="0"/>
    <n v="3.9"/>
    <n v="150.84077579999999"/>
    <n v="149.80000000000001"/>
    <n v="0"/>
    <n v="0"/>
    <n v="1.0407757999999774"/>
    <n v="0"/>
    <n v="150"/>
    <n v="0"/>
    <n v="0"/>
    <n v="0"/>
    <n v="0"/>
    <n v="0"/>
    <s v="Release1"/>
  </r>
  <r>
    <x v="83"/>
    <s v="G WOLIPUR"/>
    <s v="vlc"/>
    <s v="Indirect"/>
    <n v="2148.2999999999997"/>
    <n v="82739.459999999992"/>
    <n v="0"/>
    <n v="0"/>
    <n v="0"/>
    <n v="0"/>
    <n v="0"/>
    <n v="0"/>
    <n v="82739.459999999992"/>
    <n v="0"/>
    <n v="0"/>
    <n v="0"/>
    <n v="0"/>
    <n v="0"/>
    <n v="0"/>
    <n v="0"/>
    <n v="0"/>
    <n v="82739.459999999992"/>
    <n v="0"/>
    <n v="0"/>
  </r>
  <r>
    <x v="84"/>
    <s v="REHUA 3"/>
    <s v="vlc"/>
    <s v="Indirect"/>
    <n v="1097.0000000000002"/>
    <n v="45315.000000000015"/>
    <n v="0"/>
    <n v="0"/>
    <n v="0"/>
    <n v="0"/>
    <n v="0"/>
    <n v="0"/>
    <n v="45315.000000000015"/>
    <n v="0"/>
    <n v="0"/>
    <n v="0"/>
    <n v="0"/>
    <n v="895.77305806451488"/>
    <n v="0"/>
    <n v="0"/>
    <n v="0"/>
    <n v="44419.2269419355"/>
    <n v="0"/>
    <n v="0"/>
  </r>
  <r>
    <x v="85"/>
    <s v="BICHWAY"/>
    <s v="MPG"/>
    <s v="Direct"/>
    <n v="409.5"/>
    <n v="15723.250000000002"/>
    <n v="409.5"/>
    <n v="16068.743990640003"/>
    <n v="0"/>
    <n v="0"/>
    <n v="409.5"/>
    <n v="16068.743990640003"/>
    <n v="15723.250000000002"/>
    <n v="0"/>
    <n v="0"/>
    <n v="345.49399064000136"/>
    <n v="0"/>
    <n v="0"/>
    <n v="0"/>
    <n v="15723"/>
    <n v="0"/>
    <n v="0"/>
    <n v="0"/>
    <n v="0"/>
  </r>
  <r>
    <x v="86"/>
    <s v="MANOHARPUR"/>
    <s v="MPG"/>
    <s v="Direct"/>
    <n v="1076"/>
    <n v="40779.270000000004"/>
    <n v="446.59999999999997"/>
    <n v="17303.224071697739"/>
    <n v="634.54"/>
    <n v="25033.358943132371"/>
    <n v="1081.1399999999999"/>
    <n v="42336.58301483011"/>
    <n v="40779.270000000004"/>
    <n v="0"/>
    <n v="0"/>
    <n v="1557.3130148301061"/>
    <n v="0"/>
    <n v="0"/>
    <n v="0"/>
    <n v="15745"/>
    <n v="25034"/>
    <n v="0"/>
    <n v="0"/>
    <n v="0"/>
  </r>
  <r>
    <x v="928"/>
    <s v="HIRDANBIGHA"/>
    <s v="MPG"/>
    <s v="Direct"/>
    <n v="216.9"/>
    <n v="7785.63"/>
    <n v="222.3"/>
    <n v="8017.8726921480011"/>
    <n v="0"/>
    <n v="0"/>
    <n v="222.3"/>
    <n v="8017.8726921480011"/>
    <n v="7785.63"/>
    <n v="0"/>
    <n v="0"/>
    <n v="232.24269214800097"/>
    <n v="0"/>
    <n v="0"/>
    <n v="0"/>
    <n v="7786"/>
    <n v="0"/>
    <n v="0"/>
    <n v="0"/>
    <n v="0"/>
  </r>
  <r>
    <x v="87"/>
    <s v="MOHANPUR"/>
    <s v="vlc"/>
    <s v="Indirect"/>
    <n v="547.25"/>
    <n v="21524.760000000002"/>
    <n v="0"/>
    <n v="0"/>
    <n v="0"/>
    <n v="0"/>
    <n v="0"/>
    <n v="0"/>
    <n v="21524.760000000002"/>
    <n v="0"/>
    <n v="0"/>
    <n v="0"/>
    <n v="0"/>
    <n v="0"/>
    <n v="0"/>
    <n v="0"/>
    <n v="0"/>
    <n v="21524.760000000002"/>
    <n v="0"/>
    <n v="0"/>
  </r>
  <r>
    <x v="88"/>
    <s v="CHATMADIH"/>
    <s v="MPG"/>
    <s v="Direct"/>
    <n v="1775.6999999999998"/>
    <n v="75995.180000000008"/>
    <n v="1752.6000000000001"/>
    <n v="74768.293085521596"/>
    <n v="22.5"/>
    <n v="1353.3279543589999"/>
    <n v="1775.1000000000001"/>
    <n v="76121.6210398806"/>
    <n v="75995.180000000008"/>
    <n v="0"/>
    <n v="1353.3279543589999"/>
    <n v="126.44103988059214"/>
    <n v="0"/>
    <n v="0"/>
    <n v="0"/>
    <n v="74642"/>
    <n v="0"/>
    <n v="0"/>
    <n v="0"/>
    <s v="Release2"/>
  </r>
  <r>
    <x v="89"/>
    <s v="SIYADIH"/>
    <s v="vlc"/>
    <s v="Indirect"/>
    <n v="627.35"/>
    <n v="19879.52"/>
    <n v="0"/>
    <n v="0"/>
    <n v="0"/>
    <n v="0"/>
    <n v="0"/>
    <n v="0"/>
    <n v="19879.52"/>
    <n v="0"/>
    <n v="0"/>
    <n v="0"/>
    <n v="0"/>
    <n v="0"/>
    <n v="0"/>
    <n v="0"/>
    <n v="0"/>
    <n v="19879.52"/>
    <n v="0"/>
    <n v="0"/>
  </r>
  <r>
    <x v="90"/>
    <s v="Gomukh ID Laldiyara"/>
    <s v="vlc"/>
    <s v="Indirect"/>
    <n v="5950"/>
    <n v="214812"/>
    <n v="0"/>
    <n v="0"/>
    <n v="0"/>
    <n v="0"/>
    <n v="0"/>
    <n v="0"/>
    <n v="214812"/>
    <n v="0"/>
    <n v="0"/>
    <n v="0"/>
    <n v="0"/>
    <n v="0"/>
    <n v="0"/>
    <n v="0"/>
    <n v="0"/>
    <n v="214812"/>
    <n v="0"/>
    <n v="0"/>
  </r>
  <r>
    <x v="91"/>
    <s v="KATHNI"/>
    <s v="MPG"/>
    <s v="Direct"/>
    <n v="377.9"/>
    <n v="13059.42"/>
    <n v="353.55"/>
    <n v="14780.445898680002"/>
    <n v="0"/>
    <n v="0"/>
    <n v="353.55"/>
    <n v="14780.445898680002"/>
    <n v="13059.42"/>
    <n v="0"/>
    <n v="0"/>
    <n v="1721.0258986800018"/>
    <n v="0"/>
    <n v="0"/>
    <n v="0"/>
    <n v="13059"/>
    <n v="0"/>
    <n v="0"/>
    <n v="0"/>
    <n v="0"/>
  </r>
  <r>
    <x v="92"/>
    <s v="DEVDHA GOMUKH MPG"/>
    <s v="MPG"/>
    <s v="Direct"/>
    <n v="1192.1000000000001"/>
    <n v="46109.760000000009"/>
    <n v="863.1"/>
    <n v="33367.79346120001"/>
    <n v="329"/>
    <n v="12739.788638280001"/>
    <n v="1192.0999999999999"/>
    <n v="46107.582099480009"/>
    <n v="46107.582099480009"/>
    <n v="0"/>
    <n v="270.44932068000003"/>
    <n v="0"/>
    <n v="0"/>
    <n v="0"/>
    <n v="0"/>
    <n v="33367"/>
    <n v="12469"/>
    <n v="0"/>
    <n v="3"/>
    <n v="0"/>
  </r>
  <r>
    <x v="93"/>
    <s v="KASBA(MANGOAN)"/>
    <s v="vlc"/>
    <s v="Indirect"/>
    <n v="477.65"/>
    <n v="16896.78"/>
    <n v="0"/>
    <n v="0"/>
    <n v="0"/>
    <n v="0"/>
    <n v="0"/>
    <n v="0"/>
    <n v="16896.78"/>
    <n v="0"/>
    <n v="0"/>
    <n v="0"/>
    <n v="0"/>
    <n v="0"/>
    <n v="0"/>
    <n v="0"/>
    <n v="0"/>
    <n v="16896.78"/>
    <n v="0"/>
    <n v="0"/>
  </r>
  <r>
    <x v="94"/>
    <s v="LOHRA"/>
    <s v="MPG"/>
    <s v="Direct"/>
    <n v="429.39999999999992"/>
    <n v="21249.25"/>
    <n v="424.18"/>
    <n v="22474.321403509599"/>
    <n v="12.52"/>
    <n v="610.58970387200009"/>
    <n v="436.7"/>
    <n v="23084.911107381598"/>
    <n v="21249.25"/>
    <n v="0"/>
    <n v="610.58970387200009"/>
    <n v="1835.6611073815984"/>
    <n v="0"/>
    <n v="0"/>
    <n v="0"/>
    <n v="20639"/>
    <n v="0"/>
    <n v="0"/>
    <n v="0"/>
    <s v="Release1"/>
  </r>
  <r>
    <x v="95"/>
    <s v="KAMATPUR"/>
    <s v="MPG"/>
    <s v="Direct"/>
    <n v="311.64999999999998"/>
    <n v="11387.21"/>
    <n v="312.69"/>
    <n v="11355.329920413602"/>
    <n v="8.58"/>
    <n v="310.75613278380001"/>
    <n v="321.27"/>
    <n v="11666.086053197401"/>
    <n v="11387.21"/>
    <n v="0"/>
    <n v="310.75613278380001"/>
    <n v="278.87605319740214"/>
    <n v="0"/>
    <n v="0"/>
    <n v="0"/>
    <n v="11076"/>
    <n v="0"/>
    <n v="0"/>
    <n v="0"/>
    <n v="0"/>
  </r>
  <r>
    <x v="96"/>
    <s v="GIRDHARA"/>
    <s v="MPG"/>
    <s v="Direct"/>
    <n v="1126.05"/>
    <n v="44289.770000000004"/>
    <n v="174.69"/>
    <n v="8308.9679867448303"/>
    <n v="954.99999999999989"/>
    <n v="37949.698248775356"/>
    <n v="1129.6899999999998"/>
    <n v="46258.666235520184"/>
    <n v="44289.770000000004"/>
    <n v="0"/>
    <n v="301.546876752"/>
    <n v="1968.8962355201802"/>
    <n v="0"/>
    <n v="0"/>
    <n v="0"/>
    <n v="6340"/>
    <n v="37648"/>
    <n v="0"/>
    <n v="0"/>
    <s v="Release2"/>
  </r>
  <r>
    <x v="97"/>
    <s v="RATNI"/>
    <s v="MPG"/>
    <s v="Direct"/>
    <n v="982.8"/>
    <n v="49264.05"/>
    <n v="991.32000000000016"/>
    <n v="49080.411224744908"/>
    <n v="17.71"/>
    <n v="981.00668154720017"/>
    <n v="1009.0300000000002"/>
    <n v="50061.41790629211"/>
    <n v="49264.05"/>
    <n v="0"/>
    <n v="981.00668154720017"/>
    <n v="797.36790629210736"/>
    <n v="0"/>
    <n v="0"/>
    <n v="0"/>
    <n v="48283"/>
    <n v="0"/>
    <n v="0"/>
    <n v="0"/>
    <n v="0"/>
  </r>
  <r>
    <x v="98"/>
    <s v="DHAPARI"/>
    <s v="MPG"/>
    <s v="Direct"/>
    <n v="796.84999999999991"/>
    <n v="31595.390000000003"/>
    <n v="800.42000000000007"/>
    <n v="31353.706623253838"/>
    <n v="24.229999999999997"/>
    <n v="1008.06862354178"/>
    <n v="824.65000000000009"/>
    <n v="32361.77524679562"/>
    <n v="31595.390000000003"/>
    <n v="0"/>
    <n v="1008.06862354178"/>
    <n v="766.38524679561669"/>
    <n v="0"/>
    <n v="0"/>
    <n v="0"/>
    <n v="30587"/>
    <n v="0"/>
    <n v="0"/>
    <n v="0"/>
    <n v="0"/>
  </r>
  <r>
    <x v="99"/>
    <s v="KHARUI"/>
    <s v="MPG"/>
    <s v="Direct"/>
    <n v="644.80000000000007"/>
    <n v="29025.399999999998"/>
    <n v="632.96999999999991"/>
    <n v="29377.14384088981"/>
    <n v="25.279999999999998"/>
    <n v="1463.2931242344403"/>
    <n v="658.24999999999989"/>
    <n v="30840.436965124252"/>
    <n v="29025.399999999998"/>
    <n v="0"/>
    <n v="1463.2931242344403"/>
    <n v="1815.0369651242545"/>
    <n v="0"/>
    <n v="0"/>
    <n v="0"/>
    <n v="27562"/>
    <n v="0"/>
    <n v="0"/>
    <n v="0"/>
    <n v="0"/>
  </r>
  <r>
    <x v="100"/>
    <s v="KHAIRA"/>
    <s v="MPG"/>
    <s v="Direct"/>
    <n v="815.6"/>
    <n v="32562.819999999996"/>
    <n v="837.34"/>
    <n v="35477.496309319853"/>
    <n v="27.529999999999994"/>
    <n v="1152.5071250880001"/>
    <n v="864.87"/>
    <n v="36630.003434407852"/>
    <n v="32562.819999999996"/>
    <n v="0"/>
    <n v="1152.5071250880001"/>
    <n v="4067.1834344078561"/>
    <n v="0"/>
    <n v="0"/>
    <n v="0"/>
    <n v="31410"/>
    <n v="0"/>
    <n v="0"/>
    <n v="0"/>
    <n v="0"/>
  </r>
  <r>
    <x v="101"/>
    <s v="SISUA"/>
    <s v="MPG"/>
    <s v="Direct"/>
    <n v="1472.3500000000001"/>
    <n v="57059.1"/>
    <n v="1349.7900000000002"/>
    <n v="53657.661248776203"/>
    <n v="125.28999999999999"/>
    <n v="4800.1088819266815"/>
    <n v="1475.0800000000002"/>
    <n v="58457.770130702884"/>
    <n v="57059.1"/>
    <n v="0"/>
    <n v="831.07483257048034"/>
    <n v="1398.6701307028852"/>
    <n v="0"/>
    <n v="0"/>
    <n v="0"/>
    <n v="52259"/>
    <n v="3969"/>
    <n v="0"/>
    <n v="0"/>
    <n v="0"/>
  </r>
  <r>
    <x v="102"/>
    <s v="BISAI"/>
    <s v="MPG"/>
    <s v="Direct"/>
    <n v="253.65"/>
    <n v="10469.68"/>
    <n v="244.85000000000002"/>
    <n v="10739.707746759801"/>
    <n v="12.260000000000002"/>
    <n v="523.56681432000005"/>
    <n v="257.11"/>
    <n v="11263.274561079801"/>
    <n v="10469.68"/>
    <n v="0"/>
    <n v="523.56681432000005"/>
    <n v="793.59456107980077"/>
    <n v="0"/>
    <n v="0"/>
    <n v="0"/>
    <n v="9946"/>
    <n v="0"/>
    <n v="0"/>
    <n v="0"/>
    <s v="Release1"/>
  </r>
  <r>
    <x v="103"/>
    <s v="SAJUA-1"/>
    <s v="MPG"/>
    <s v="Direct"/>
    <n v="637.80000000000007"/>
    <n v="24100.689999999995"/>
    <n v="679.08"/>
    <n v="25465.195613880001"/>
    <n v="9.81"/>
    <n v="356.61782336400006"/>
    <n v="688.89"/>
    <n v="25821.813437244"/>
    <n v="24100.689999999995"/>
    <n v="0"/>
    <n v="356.61782336400006"/>
    <n v="1721.1234372440049"/>
    <n v="0"/>
    <n v="0"/>
    <n v="0"/>
    <n v="23744"/>
    <n v="0"/>
    <n v="0"/>
    <n v="0"/>
    <n v="0"/>
  </r>
  <r>
    <x v="104"/>
    <s v="SAJUA-2"/>
    <s v="MPG"/>
    <s v="Direct"/>
    <n v="1214.8500000000001"/>
    <n v="45299.490000000005"/>
    <n v="1187.53"/>
    <n v="44766.497752929441"/>
    <n v="0"/>
    <n v="0"/>
    <n v="1187.53"/>
    <n v="44766.497752929441"/>
    <n v="44766.497752929441"/>
    <n v="0"/>
    <n v="0"/>
    <n v="0"/>
    <n v="0"/>
    <n v="0"/>
    <n v="0"/>
    <n v="44767"/>
    <n v="0"/>
    <n v="0"/>
    <n v="532"/>
    <n v="0"/>
  </r>
  <r>
    <x v="105"/>
    <s v="CHORGAUN"/>
    <s v="MPG"/>
    <s v="Direct"/>
    <n v="743.1"/>
    <n v="27783.93"/>
    <n v="706"/>
    <n v="26594.111269976405"/>
    <n v="23.499999999999996"/>
    <n v="920.50698172960006"/>
    <n v="729.5"/>
    <n v="27514.618251706004"/>
    <n v="27514.618251706004"/>
    <n v="0"/>
    <n v="920.50698172960006"/>
    <n v="0"/>
    <n v="0"/>
    <n v="0"/>
    <n v="0"/>
    <n v="26595"/>
    <n v="0"/>
    <n v="0"/>
    <n v="268"/>
    <n v="0"/>
  </r>
  <r>
    <x v="106"/>
    <s v="PADARATHPUR"/>
    <s v="MPG"/>
    <s v="Direct"/>
    <n v="903.1"/>
    <n v="36090.83"/>
    <n v="910.5"/>
    <n v="36655.068669585904"/>
    <n v="17.900000000000002"/>
    <n v="733.09511484000006"/>
    <n v="928.4"/>
    <n v="37388.163784425902"/>
    <n v="36090.83"/>
    <n v="0"/>
    <n v="733.09511484000006"/>
    <n v="1297.3337844259004"/>
    <n v="0"/>
    <n v="0"/>
    <n v="0"/>
    <n v="35358"/>
    <n v="0"/>
    <n v="0"/>
    <n v="0"/>
    <n v="0"/>
  </r>
  <r>
    <x v="107"/>
    <s v="BADARKHA"/>
    <s v="MPG"/>
    <s v="Direct"/>
    <n v="873.75"/>
    <n v="31337.85"/>
    <n v="845.07000000000016"/>
    <n v="31288.754870047538"/>
    <n v="0"/>
    <n v="0"/>
    <n v="845.07000000000016"/>
    <n v="31288.754870047538"/>
    <n v="31288.754870047538"/>
    <n v="0"/>
    <n v="0"/>
    <n v="0"/>
    <n v="0"/>
    <n v="0"/>
    <n v="0"/>
    <n v="31287"/>
    <n v="0"/>
    <n v="0"/>
    <n v="51"/>
    <n v="0"/>
  </r>
  <r>
    <x v="108"/>
    <s v="MAHDMADPUR                                                                                          "/>
    <s v="MPG"/>
    <s v="Direct"/>
    <n v="1468.8999999999999"/>
    <n v="54664.859999999993"/>
    <n v="1402.1000000000001"/>
    <n v="48154.850068080494"/>
    <n v="4"/>
    <n v="161.5722768"/>
    <n v="1406.1000000000001"/>
    <n v="48316.422344880491"/>
    <n v="48316.422344880491"/>
    <n v="0"/>
    <n v="161.5722768"/>
    <n v="0"/>
    <n v="0"/>
    <n v="0"/>
    <n v="0"/>
    <n v="48154"/>
    <n v="0"/>
    <n v="0"/>
    <n v="6349"/>
    <n v="0"/>
  </r>
  <r>
    <x v="109"/>
    <s v="MUSKIPUR                                                                                            "/>
    <s v="MPG"/>
    <s v="Direct"/>
    <n v="1306.7500000000002"/>
    <n v="52686.48"/>
    <n v="1305.1000000000006"/>
    <n v="53317.698194751465"/>
    <n v="0"/>
    <n v="0"/>
    <n v="1305.1000000000006"/>
    <n v="53317.698194751465"/>
    <n v="52686.48"/>
    <n v="0"/>
    <n v="0"/>
    <n v="631.21819475146185"/>
    <n v="0"/>
    <n v="0"/>
    <n v="0"/>
    <n v="52686"/>
    <n v="0"/>
    <n v="0"/>
    <n v="0"/>
    <n v="0"/>
  </r>
  <r>
    <x v="110"/>
    <s v="NAYAGAUN                                                                                            "/>
    <s v="MPG"/>
    <s v="Direct"/>
    <n v="547.79999999999995"/>
    <n v="22971.180000000004"/>
    <n v="493.97999999999996"/>
    <n v="20709.069863918226"/>
    <n v="2.33"/>
    <n v="97.937076325000007"/>
    <n v="496.30999999999995"/>
    <n v="20807.006940243227"/>
    <n v="20807.006940243227"/>
    <n v="0"/>
    <n v="97.937076325000007"/>
    <n v="0"/>
    <n v="0"/>
    <n v="0"/>
    <n v="0"/>
    <n v="20709"/>
    <n v="0"/>
    <n v="0"/>
    <n v="2164"/>
    <n v="0"/>
  </r>
  <r>
    <x v="111"/>
    <s v="LAUNA                                                                                               "/>
    <s v="MPG"/>
    <s v="Direct"/>
    <n v="1503.9499999999998"/>
    <n v="54515.74"/>
    <n v="1495.4900000000002"/>
    <n v="56358.38991487601"/>
    <n v="21.48"/>
    <n v="834.20026232400016"/>
    <n v="1516.9700000000003"/>
    <n v="57192.590177200007"/>
    <n v="54515.74"/>
    <n v="0"/>
    <n v="834.20026232400016"/>
    <n v="2676.8501772000091"/>
    <n v="0"/>
    <n v="0"/>
    <n v="0"/>
    <n v="53682"/>
    <n v="0"/>
    <n v="0"/>
    <n v="0"/>
    <n v="0"/>
  </r>
  <r>
    <x v="112"/>
    <s v="DULHAR"/>
    <s v="MPG"/>
    <s v="Direct"/>
    <n v="392.65"/>
    <n v="16218.010000000002"/>
    <n v="406.17"/>
    <n v="18768.275398218157"/>
    <n v="0.02"/>
    <n v="1.1033596672000001"/>
    <n v="406.19"/>
    <n v="18769.378757885355"/>
    <n v="16218.010000000002"/>
    <n v="0"/>
    <n v="1.1033596672000001"/>
    <n v="2551.3687578853533"/>
    <n v="0"/>
    <n v="0"/>
    <n v="0"/>
    <n v="16217"/>
    <n v="0"/>
    <n v="0"/>
    <n v="0"/>
    <s v="Release1"/>
  </r>
  <r>
    <x v="113"/>
    <s v="Ghorpithiya - Vikas"/>
    <s v="vlc"/>
    <s v="Indirect"/>
    <n v="872.34999999999991"/>
    <n v="33885.199999999997"/>
    <n v="0"/>
    <n v="0"/>
    <n v="0"/>
    <n v="0"/>
    <n v="0"/>
    <n v="0"/>
    <n v="33885.199999999997"/>
    <n v="0"/>
    <n v="0"/>
    <n v="0"/>
    <n v="0"/>
    <n v="0"/>
    <n v="0"/>
    <n v="0"/>
    <n v="0"/>
    <n v="33885.199999999997"/>
    <n v="0"/>
    <n v="0"/>
  </r>
  <r>
    <x v="114"/>
    <s v="Akbarnagar - Rakhi"/>
    <s v="vlc"/>
    <s v="Indirect"/>
    <n v="1206.1000000000001"/>
    <n v="44780.090000000004"/>
    <n v="0"/>
    <n v="0"/>
    <n v="0"/>
    <n v="0"/>
    <n v="0"/>
    <n v="0"/>
    <n v="44780.090000000004"/>
    <n v="0"/>
    <n v="0"/>
    <n v="0"/>
    <n v="0"/>
    <n v="0"/>
    <n v="0"/>
    <n v="0"/>
    <n v="0"/>
    <n v="44780.090000000004"/>
    <n v="0"/>
    <n v="0"/>
  </r>
  <r>
    <x v="115"/>
    <s v="Maheshi - Chamcham"/>
    <s v="vlc"/>
    <s v="Indirect"/>
    <n v="700"/>
    <n v="25272"/>
    <n v="0"/>
    <n v="0"/>
    <n v="0"/>
    <n v="0"/>
    <n v="0"/>
    <n v="0"/>
    <n v="25272"/>
    <n v="0"/>
    <n v="0"/>
    <n v="0"/>
    <n v="0"/>
    <n v="0"/>
    <n v="0"/>
    <n v="0"/>
    <n v="0"/>
    <n v="25272"/>
    <n v="0"/>
    <n v="0"/>
  </r>
  <r>
    <x v="116"/>
    <s v="Ghorpithiya - Dheeraj"/>
    <s v="vlc"/>
    <s v="Indirect"/>
    <n v="5740"/>
    <n v="207230.4"/>
    <n v="0"/>
    <n v="0"/>
    <n v="0"/>
    <n v="0"/>
    <n v="0"/>
    <n v="0"/>
    <n v="207230.4"/>
    <n v="0"/>
    <n v="0"/>
    <n v="0"/>
    <n v="0"/>
    <n v="0"/>
    <n v="0"/>
    <n v="0"/>
    <n v="0"/>
    <n v="207230.4"/>
    <n v="0"/>
    <n v="0"/>
  </r>
  <r>
    <x v="117"/>
    <s v="Asarganj Chhotki Tola - Akash"/>
    <s v="vlc"/>
    <s v="Indirect"/>
    <n v="5810"/>
    <n v="209757.6"/>
    <n v="0"/>
    <n v="0"/>
    <n v="0"/>
    <n v="0"/>
    <n v="0"/>
    <n v="0"/>
    <n v="209757.6"/>
    <n v="0"/>
    <n v="0"/>
    <n v="0"/>
    <n v="0"/>
    <n v="0"/>
    <n v="0"/>
    <n v="0"/>
    <n v="0"/>
    <n v="209757.6"/>
    <n v="0"/>
    <n v="0"/>
  </r>
  <r>
    <x v="118"/>
    <s v="Manikpur - Golu"/>
    <s v="vlc"/>
    <s v="Indirect"/>
    <n v="700"/>
    <n v="25272"/>
    <n v="0"/>
    <n v="0"/>
    <n v="0"/>
    <n v="0"/>
    <n v="0"/>
    <n v="0"/>
    <n v="25272"/>
    <n v="0"/>
    <n v="0"/>
    <n v="0"/>
    <n v="0"/>
    <n v="0"/>
    <n v="0"/>
    <n v="0"/>
    <n v="0"/>
    <n v="25272"/>
    <n v="0"/>
    <n v="0"/>
  </r>
  <r>
    <x v="119"/>
    <s v="Rangaon - Jayram"/>
    <s v="vlc"/>
    <s v="Indirect"/>
    <n v="700"/>
    <n v="25272"/>
    <n v="0"/>
    <n v="0"/>
    <n v="0"/>
    <n v="0"/>
    <n v="0"/>
    <n v="0"/>
    <n v="25272"/>
    <n v="0"/>
    <n v="0"/>
    <n v="0"/>
    <n v="0"/>
    <n v="0"/>
    <n v="0"/>
    <n v="0"/>
    <n v="0"/>
    <n v="25272"/>
    <n v="0"/>
    <n v="0"/>
  </r>
  <r>
    <x v="120"/>
    <s v="Karso - Aparajita"/>
    <s v="vlc"/>
    <s v="Indirect"/>
    <n v="700"/>
    <n v="25272"/>
    <n v="0"/>
    <n v="0"/>
    <n v="0"/>
    <n v="0"/>
    <n v="0"/>
    <n v="0"/>
    <n v="25272"/>
    <n v="0"/>
    <n v="0"/>
    <n v="0"/>
    <n v="0"/>
    <n v="0"/>
    <n v="0"/>
    <n v="0"/>
    <n v="0"/>
    <n v="25272"/>
    <n v="0"/>
    <n v="0"/>
  </r>
  <r>
    <x v="121"/>
    <s v="Unchagaon - Niraj"/>
    <s v="vlc"/>
    <s v="Indirect"/>
    <n v="700"/>
    <n v="25272"/>
    <n v="0"/>
    <n v="0"/>
    <n v="0"/>
    <n v="0"/>
    <n v="0"/>
    <n v="0"/>
    <n v="25272"/>
    <n v="0"/>
    <n v="0"/>
    <n v="0"/>
    <n v="0"/>
    <n v="0"/>
    <n v="0"/>
    <n v="0"/>
    <n v="0"/>
    <n v="25272"/>
    <n v="0"/>
    <n v="0"/>
  </r>
  <r>
    <x v="122"/>
    <s v="SRIRAMPUR"/>
    <s v="MPG"/>
    <s v="Direct"/>
    <n v="319.55"/>
    <n v="9750.1200000000008"/>
    <n v="261.5"/>
    <n v="7730.2801461600011"/>
    <n v="0"/>
    <n v="0"/>
    <n v="261.5"/>
    <n v="7730.2801461600011"/>
    <n v="7730.2801461600011"/>
    <n v="0"/>
    <n v="0"/>
    <n v="0"/>
    <n v="7731"/>
    <n v="0"/>
    <n v="0"/>
    <n v="0"/>
    <n v="0"/>
    <n v="0"/>
    <n v="2019"/>
    <s v="Release2"/>
  </r>
  <r>
    <x v="123"/>
    <s v="PAIN"/>
    <s v="MPG"/>
    <s v="Direct"/>
    <n v="387.90000000000003"/>
    <n v="13413.080000000002"/>
    <n v="413.84000000000009"/>
    <n v="15414.7964230656"/>
    <n v="1.94"/>
    <n v="72.513502835400004"/>
    <n v="415.78000000000009"/>
    <n v="15487.309925901"/>
    <n v="13413.080000000002"/>
    <n v="0"/>
    <n v="72.513502835400004"/>
    <n v="2074.2299259009978"/>
    <n v="0"/>
    <n v="0"/>
    <n v="0"/>
    <n v="13341"/>
    <n v="0"/>
    <n v="0"/>
    <n v="0"/>
    <n v="0"/>
  </r>
  <r>
    <x v="124"/>
    <s v="MOTICHAK"/>
    <s v="MPG"/>
    <s v="Direct"/>
    <n v="2134.1"/>
    <n v="75741.719999999987"/>
    <n v="2277.6999999999998"/>
    <n v="83764.374248095221"/>
    <n v="51.22"/>
    <n v="1867.0486214160005"/>
    <n v="2328.9199999999996"/>
    <n v="85631.422869511225"/>
    <n v="75741.719999999987"/>
    <n v="0"/>
    <n v="1867.0486214160005"/>
    <n v="9889.7028695112385"/>
    <n v="0"/>
    <n v="0"/>
    <n v="0"/>
    <n v="73875"/>
    <n v="0"/>
    <n v="0"/>
    <n v="0"/>
    <s v="Release2"/>
  </r>
  <r>
    <x v="125"/>
    <s v="MIRATTHI"/>
    <s v="MPG"/>
    <s v="Direct"/>
    <n v="122.94999999999999"/>
    <n v="4949.0700000000006"/>
    <n v="121.64999999999998"/>
    <n v="4857.0906228164995"/>
    <n v="0"/>
    <n v="0"/>
    <n v="121.64999999999998"/>
    <n v="4857.0906228164995"/>
    <n v="4857.0906228164995"/>
    <n v="0"/>
    <n v="0"/>
    <n v="0"/>
    <n v="0"/>
    <n v="0"/>
    <n v="0"/>
    <n v="4857"/>
    <n v="0"/>
    <n v="0"/>
    <n v="92"/>
    <n v="0"/>
  </r>
  <r>
    <x v="126"/>
    <s v="DAULATPUR"/>
    <s v="MPG"/>
    <s v="Direct"/>
    <n v="309.90000000000003"/>
    <n v="12695.61"/>
    <n v="309.06000000000006"/>
    <n v="13459.635057331672"/>
    <n v="2.9299999999999997"/>
    <n v="125.88530033000002"/>
    <n v="311.99000000000007"/>
    <n v="13585.520357661671"/>
    <n v="12695.61"/>
    <n v="0"/>
    <n v="125.88530033000002"/>
    <n v="889.91035766167079"/>
    <n v="0"/>
    <n v="0"/>
    <n v="0"/>
    <n v="12570"/>
    <n v="0"/>
    <n v="0"/>
    <n v="0"/>
    <n v="0"/>
  </r>
  <r>
    <x v="127"/>
    <s v="MOHADDIPUR"/>
    <s v="MPG"/>
    <s v="Direct"/>
    <n v="99.800000000000011"/>
    <n v="3478.3499999999995"/>
    <n v="370"/>
    <n v="20327.271225600001"/>
    <n v="0"/>
    <n v="0"/>
    <n v="370"/>
    <n v="20327.271225600001"/>
    <n v="3478.3499999999995"/>
    <n v="0"/>
    <n v="0"/>
    <n v="16848.921225600003"/>
    <n v="0"/>
    <n v="0"/>
    <n v="0"/>
    <n v="3478"/>
    <n v="0"/>
    <n v="0"/>
    <n v="0"/>
    <s v="Release1"/>
  </r>
  <r>
    <x v="128"/>
    <s v="JHAJHA"/>
    <s v="MPG"/>
    <s v="Direct"/>
    <n v="503.84999999999991"/>
    <n v="21014.82"/>
    <n v="485.7"/>
    <n v="21583.340859443699"/>
    <n v="1.66"/>
    <n v="67.490756783999998"/>
    <n v="487.36"/>
    <n v="21650.831616227697"/>
    <n v="21014.82"/>
    <n v="0"/>
    <n v="67.490756783999998"/>
    <n v="636.01161622769723"/>
    <n v="0"/>
    <n v="0"/>
    <n v="0"/>
    <n v="20947"/>
    <n v="0"/>
    <n v="0"/>
    <n v="0"/>
    <n v="0"/>
  </r>
  <r>
    <x v="129"/>
    <s v="KAMARDUH"/>
    <s v="MPG"/>
    <s v="Direct"/>
    <n v="811.6500000000002"/>
    <n v="33681.89"/>
    <n v="811.4"/>
    <n v="33671.046439800004"/>
    <n v="7"/>
    <n v="290.47384080000006"/>
    <n v="818.4"/>
    <n v="33961.520280600002"/>
    <n v="33681.89"/>
    <n v="0"/>
    <n v="290.47384080000006"/>
    <n v="279.63028060000215"/>
    <n v="0"/>
    <n v="0"/>
    <n v="0"/>
    <n v="33391"/>
    <n v="0"/>
    <n v="0"/>
    <n v="0"/>
    <n v="0"/>
  </r>
  <r>
    <x v="130"/>
    <s v="BARSABAD"/>
    <s v="MPG"/>
    <s v="Direct"/>
    <n v="639.24999999999989"/>
    <n v="20874.260000000006"/>
    <n v="647.32999999999993"/>
    <n v="24251.9238432108"/>
    <n v="0"/>
    <n v="0"/>
    <n v="647.32999999999993"/>
    <n v="24251.9238432108"/>
    <n v="20874.260000000006"/>
    <n v="0"/>
    <n v="0"/>
    <n v="3377.6638432107939"/>
    <n v="0"/>
    <n v="0"/>
    <n v="0"/>
    <n v="20874"/>
    <n v="0"/>
    <n v="0"/>
    <n v="0"/>
    <n v="0"/>
  </r>
  <r>
    <x v="131"/>
    <s v="GONAI"/>
    <s v="MPG"/>
    <s v="Direct"/>
    <n v="1035.5"/>
    <n v="40161.950000000004"/>
    <n v="1031.5600000000002"/>
    <n v="40139.809433291826"/>
    <n v="3.04"/>
    <n v="116.58570818400001"/>
    <n v="1034.6000000000001"/>
    <n v="40256.395141475827"/>
    <n v="40161.950000000004"/>
    <n v="0"/>
    <n v="116.58570818400001"/>
    <n v="94.445141475822311"/>
    <n v="0"/>
    <n v="0"/>
    <n v="0"/>
    <n v="40045"/>
    <n v="0"/>
    <n v="0"/>
    <n v="0"/>
    <n v="0"/>
  </r>
  <r>
    <x v="132"/>
    <s v="SHIKARITOLA"/>
    <s v="MPG"/>
    <s v="Direct"/>
    <n v="957.05"/>
    <n v="37235.299999999996"/>
    <n v="963.42999999999984"/>
    <n v="40836.598378635739"/>
    <n v="0"/>
    <n v="0"/>
    <n v="963.42999999999984"/>
    <n v="40836.598378635739"/>
    <n v="37235.299999999996"/>
    <n v="0"/>
    <n v="0"/>
    <n v="3601.2983786357436"/>
    <n v="21750"/>
    <n v="0"/>
    <n v="0"/>
    <n v="15485"/>
    <n v="0"/>
    <n v="0"/>
    <n v="0"/>
    <s v="Release2"/>
  </r>
  <r>
    <x v="133"/>
    <s v="BAIKUNTHPUR"/>
    <s v="MPG"/>
    <s v="Direct"/>
    <n v="221.7"/>
    <n v="7928.99"/>
    <n v="250.44"/>
    <n v="8470.116067901401"/>
    <n v="3.0700000000000003"/>
    <n v="105.07341679560001"/>
    <n v="253.51"/>
    <n v="8575.1894846970008"/>
    <n v="7928.99"/>
    <n v="0"/>
    <n v="105.07341679560001"/>
    <n v="646.19948469700103"/>
    <n v="0"/>
    <n v="0"/>
    <n v="0"/>
    <n v="7824"/>
    <n v="0"/>
    <n v="0"/>
    <n v="0"/>
    <n v="0"/>
  </r>
  <r>
    <x v="134"/>
    <s v="KAITHA"/>
    <s v="MPG"/>
    <s v="Direct"/>
    <n v="2205.35"/>
    <n v="84507.38"/>
    <n v="1258.71"/>
    <n v="52619.585681275232"/>
    <n v="992.34"/>
    <n v="38143.547274719705"/>
    <n v="2251.0500000000002"/>
    <n v="90763.132955994937"/>
    <n v="84507.38"/>
    <n v="0"/>
    <n v="1059.5587731894002"/>
    <n v="6255.7529559949326"/>
    <n v="0"/>
    <n v="0"/>
    <n v="0"/>
    <n v="46364"/>
    <n v="37084"/>
    <n v="0"/>
    <n v="0"/>
    <n v="0"/>
  </r>
  <r>
    <x v="135"/>
    <s v="DORAI"/>
    <s v="MPG"/>
    <s v="Direct"/>
    <n v="1088.1999999999998"/>
    <n v="40282.97"/>
    <n v="1162.73"/>
    <n v="47151.424477911598"/>
    <n v="30.75"/>
    <n v="1360.9909440627628"/>
    <n v="1193.48"/>
    <n v="48512.415421974358"/>
    <n v="40282.97"/>
    <n v="0"/>
    <n v="1360.9909440627628"/>
    <n v="8229.4454219743566"/>
    <n v="0"/>
    <n v="0"/>
    <n v="0"/>
    <n v="38922"/>
    <n v="0"/>
    <n v="0"/>
    <n v="0"/>
    <n v="0"/>
  </r>
  <r>
    <x v="136"/>
    <s v="RAGHUNATHPUR"/>
    <s v="vlc"/>
    <s v="Indirect"/>
    <n v="374.1"/>
    <n v="13475.110000000002"/>
    <n v="0"/>
    <n v="0"/>
    <n v="0"/>
    <n v="0"/>
    <n v="0"/>
    <n v="0"/>
    <n v="13475.110000000002"/>
    <n v="0"/>
    <n v="0"/>
    <n v="0"/>
    <n v="0"/>
    <n v="0"/>
    <n v="0"/>
    <n v="0"/>
    <n v="0"/>
    <n v="13475.110000000002"/>
    <n v="0"/>
    <n v="0"/>
  </r>
  <r>
    <x v="137"/>
    <s v="BANGAMA"/>
    <s v="MPG"/>
    <s v="Direct"/>
    <n v="777"/>
    <n v="31381.56"/>
    <n v="774.4"/>
    <n v="32137.166991599996"/>
    <n v="14"/>
    <n v="564.71160240000006"/>
    <n v="788.4"/>
    <n v="32701.878593999994"/>
    <n v="31381.56"/>
    <n v="0"/>
    <n v="564.71160240000006"/>
    <n v="1320.318593999993"/>
    <n v="0"/>
    <n v="0"/>
    <n v="0"/>
    <n v="30817"/>
    <n v="0"/>
    <n v="0"/>
    <n v="0"/>
    <n v="0"/>
  </r>
  <r>
    <x v="138"/>
    <s v="KORIYA"/>
    <s v="MPG"/>
    <s v="Direct"/>
    <n v="128.75"/>
    <n v="5735.8099999999995"/>
    <n v="154.4"/>
    <n v="7236.0275728394408"/>
    <n v="0"/>
    <n v="0"/>
    <n v="154.4"/>
    <n v="7236.0275728394408"/>
    <n v="5735.8099999999995"/>
    <n v="0"/>
    <n v="0"/>
    <n v="1500.2175728394413"/>
    <n v="0"/>
    <n v="0"/>
    <n v="0"/>
    <n v="5736"/>
    <n v="0"/>
    <n v="0"/>
    <n v="0"/>
    <s v="Release1"/>
  </r>
  <r>
    <x v="139"/>
    <s v="HARLACHAK"/>
    <s v="MPG"/>
    <s v="Direct"/>
    <n v="992.40000000000009"/>
    <n v="37785.83"/>
    <n v="989.3599999999999"/>
    <n v="37716.006826574012"/>
    <n v="0"/>
    <n v="0"/>
    <n v="989.3599999999999"/>
    <n v="37716.006826574012"/>
    <n v="37716.006826574012"/>
    <n v="0"/>
    <n v="0"/>
    <n v="0"/>
    <n v="0"/>
    <n v="0"/>
    <n v="0"/>
    <n v="37717"/>
    <n v="0"/>
    <n v="0"/>
    <n v="69"/>
    <n v="0"/>
  </r>
  <r>
    <x v="140"/>
    <s v="Jangle Jhakra"/>
    <s v="MPG"/>
    <s v="Direct"/>
    <n v="1620.5000000000002"/>
    <n v="63291.8"/>
    <n v="1652.7800000000002"/>
    <n v="67346.994373089197"/>
    <n v="21.95"/>
    <n v="858.65392641600022"/>
    <n v="1674.7300000000002"/>
    <n v="68205.648299505192"/>
    <n v="63291.8"/>
    <n v="0"/>
    <n v="858.65392641600022"/>
    <n v="4913.8482995051891"/>
    <n v="43500"/>
    <n v="0"/>
    <n v="0"/>
    <n v="18933"/>
    <n v="0"/>
    <n v="0"/>
    <n v="0"/>
    <s v="Release2"/>
  </r>
  <r>
    <x v="141"/>
    <s v="KATAHRA"/>
    <s v="MPG"/>
    <s v="Direct"/>
    <n v="328.6"/>
    <n v="13405.559999999998"/>
    <n v="349.14"/>
    <n v="14622.921209291326"/>
    <n v="0"/>
    <n v="0"/>
    <n v="349.14"/>
    <n v="14622.921209291326"/>
    <n v="13405.559999999998"/>
    <n v="0"/>
    <n v="0"/>
    <n v="1217.3612092913281"/>
    <n v="0"/>
    <n v="0"/>
    <n v="0"/>
    <n v="13406"/>
    <n v="0"/>
    <n v="0"/>
    <n v="0"/>
    <n v="0"/>
  </r>
  <r>
    <x v="142"/>
    <s v="KARHARIA V"/>
    <s v="vlc"/>
    <s v="Indirect"/>
    <n v="249.99999999999997"/>
    <n v="9028.91"/>
    <n v="0"/>
    <n v="0"/>
    <n v="0"/>
    <n v="0"/>
    <n v="0"/>
    <n v="0"/>
    <n v="9028.91"/>
    <n v="0"/>
    <n v="0"/>
    <n v="0"/>
    <n v="0"/>
    <n v="0"/>
    <n v="0"/>
    <n v="0"/>
    <n v="0"/>
    <n v="9028.91"/>
    <n v="0"/>
    <n v="0"/>
  </r>
  <r>
    <x v="143"/>
    <s v="BALADEV ITAHARI"/>
    <s v="MPG"/>
    <s v="Direct"/>
    <n v="488.20000000000005"/>
    <n v="17265.04"/>
    <n v="546.4"/>
    <n v="22812.438222954712"/>
    <n v="0"/>
    <n v="0"/>
    <n v="546.4"/>
    <n v="22812.438222954712"/>
    <n v="17265.04"/>
    <n v="0"/>
    <n v="0"/>
    <n v="5547.3982229547109"/>
    <n v="0"/>
    <n v="0"/>
    <n v="0"/>
    <n v="17265"/>
    <n v="0"/>
    <n v="0"/>
    <n v="0"/>
    <n v="0"/>
  </r>
  <r>
    <x v="144"/>
    <s v="GOMUKH KODAND"/>
    <s v="vlc"/>
    <s v="Indirect"/>
    <n v="584.9"/>
    <n v="20878.630000000005"/>
    <n v="0"/>
    <n v="0"/>
    <n v="0"/>
    <n v="0"/>
    <n v="0"/>
    <n v="0"/>
    <n v="20878.630000000005"/>
    <n v="0"/>
    <n v="0"/>
    <n v="0"/>
    <n v="0"/>
    <n v="0"/>
    <n v="0"/>
    <n v="0"/>
    <n v="0"/>
    <n v="20878.630000000005"/>
    <n v="0"/>
    <n v="0"/>
  </r>
  <r>
    <x v="145"/>
    <s v="PAHALANPUR"/>
    <s v="MPG"/>
    <s v="Direct"/>
    <n v="859.15"/>
    <n v="33275.429999999993"/>
    <n v="854.66000000000008"/>
    <n v="31873.883073753754"/>
    <n v="0"/>
    <n v="0"/>
    <n v="854.66000000000008"/>
    <n v="31873.883073753754"/>
    <n v="31873.883073753754"/>
    <n v="0"/>
    <n v="0"/>
    <n v="0"/>
    <n v="0"/>
    <n v="0"/>
    <n v="0"/>
    <n v="31876"/>
    <n v="0"/>
    <n v="0"/>
    <n v="1399"/>
    <n v="0"/>
  </r>
  <r>
    <x v="146"/>
    <s v="TETARIYA"/>
    <s v="vlc"/>
    <s v="Indirect"/>
    <n v="203.6"/>
    <n v="6999.4699999999993"/>
    <n v="0"/>
    <n v="0"/>
    <n v="0"/>
    <n v="0"/>
    <n v="0"/>
    <n v="0"/>
    <n v="6999.4699999999993"/>
    <n v="0"/>
    <n v="0"/>
    <n v="0"/>
    <n v="0"/>
    <n v="0"/>
    <n v="0"/>
    <n v="0"/>
    <n v="0"/>
    <n v="6999.4699999999993"/>
    <n v="0"/>
    <n v="0"/>
  </r>
  <r>
    <x v="147"/>
    <s v="RAMBRAN YADAV"/>
    <s v="MPG"/>
    <s v="Direct"/>
    <n v="206.4"/>
    <n v="7318.8399999999992"/>
    <n v="262.04000000000002"/>
    <n v="8477.9900769960004"/>
    <n v="0"/>
    <n v="0"/>
    <n v="262.04000000000002"/>
    <n v="8477.9900769960004"/>
    <n v="7318.8399999999992"/>
    <n v="0"/>
    <n v="0"/>
    <n v="1159.1500769960012"/>
    <n v="0"/>
    <n v="0"/>
    <n v="0"/>
    <n v="7319"/>
    <n v="0"/>
    <n v="0"/>
    <n v="0"/>
    <n v="0"/>
  </r>
  <r>
    <x v="148"/>
    <s v="Gomukh Beldra"/>
    <s v="MPG"/>
    <s v="Direct"/>
    <n v="210.20000000000002"/>
    <n v="7215.26"/>
    <n v="210.00000000000003"/>
    <n v="7213.3474548960012"/>
    <n v="0"/>
    <n v="0"/>
    <n v="210.00000000000003"/>
    <n v="7213.3474548960012"/>
    <n v="7213.3474548960012"/>
    <n v="0"/>
    <n v="0"/>
    <n v="0"/>
    <n v="0"/>
    <n v="0"/>
    <n v="0"/>
    <n v="7213"/>
    <n v="0"/>
    <n v="0"/>
    <n v="2"/>
    <n v="0"/>
  </r>
  <r>
    <x v="149"/>
    <s v="Gomukh Chandanpura"/>
    <s v="MPG"/>
    <s v="Direct"/>
    <n v="420.45000000000005"/>
    <n v="15938.71"/>
    <n v="439.87000000000006"/>
    <n v="18283.150365129721"/>
    <n v="0"/>
    <n v="0"/>
    <n v="439.87000000000006"/>
    <n v="18283.150365129721"/>
    <n v="15938.71"/>
    <n v="0"/>
    <n v="0"/>
    <n v="2344.4403651297216"/>
    <n v="0"/>
    <n v="0"/>
    <n v="0"/>
    <n v="15939"/>
    <n v="0"/>
    <n v="0"/>
    <n v="0"/>
    <n v="0"/>
  </r>
  <r>
    <x v="150"/>
    <s v="BANOULI"/>
    <s v="MPG"/>
    <s v="Direct"/>
    <n v="42.1"/>
    <n v="1591.1999999999998"/>
    <n v="47.899999999999991"/>
    <n v="1785.488903748"/>
    <n v="0"/>
    <n v="0"/>
    <n v="47.899999999999991"/>
    <n v="1785.488903748"/>
    <n v="1591.1999999999998"/>
    <n v="0"/>
    <n v="0"/>
    <n v="194.28890374800017"/>
    <n v="0"/>
    <n v="0"/>
    <n v="0"/>
    <n v="1591"/>
    <n v="0"/>
    <n v="0"/>
    <n v="0"/>
    <n v="0"/>
  </r>
  <r>
    <x v="151"/>
    <s v="DARIYAPUR R"/>
    <s v="MPG"/>
    <s v="Direct"/>
    <n v="142.25"/>
    <n v="5585.1"/>
    <n v="151"/>
    <n v="5863.7350727999992"/>
    <n v="0"/>
    <n v="0"/>
    <n v="151"/>
    <n v="5863.7350727999992"/>
    <n v="5585.1"/>
    <n v="0"/>
    <n v="0"/>
    <n v="278.63507279999885"/>
    <n v="0"/>
    <n v="0"/>
    <n v="0"/>
    <n v="5585"/>
    <n v="0"/>
    <n v="0"/>
    <n v="0"/>
    <n v="0"/>
  </r>
  <r>
    <x v="152"/>
    <s v="MUZAFFARGANJ"/>
    <s v="MPG"/>
    <s v="Direct"/>
    <n v="200.5"/>
    <n v="8391.2099999999991"/>
    <n v="199.6"/>
    <n v="8231.5040830524013"/>
    <n v="0"/>
    <n v="0"/>
    <n v="199.6"/>
    <n v="8231.5040830524013"/>
    <n v="8231.5040830524013"/>
    <n v="0"/>
    <n v="0"/>
    <n v="0"/>
    <n v="0"/>
    <n v="0"/>
    <n v="0"/>
    <n v="8232"/>
    <n v="0"/>
    <n v="0"/>
    <n v="159"/>
    <n v="0"/>
  </r>
  <r>
    <x v="153"/>
    <s v="SARHA"/>
    <s v="MPG"/>
    <s v="Direct"/>
    <n v="750.09999999999991"/>
    <n v="33499.920000000006"/>
    <n v="997.54000000000042"/>
    <n v="43454.076615989041"/>
    <n v="0"/>
    <n v="0"/>
    <n v="997.54000000000042"/>
    <n v="43454.076615989041"/>
    <n v="33499.920000000006"/>
    <n v="0"/>
    <n v="0"/>
    <n v="9954.1566159890353"/>
    <n v="0"/>
    <n v="0"/>
    <n v="0"/>
    <n v="33500"/>
    <n v="0"/>
    <n v="0"/>
    <n v="0"/>
    <n v="0"/>
  </r>
  <r>
    <x v="154"/>
    <s v="KUSUMBHA"/>
    <s v="MPG"/>
    <s v="Direct"/>
    <n v="84.149999999999991"/>
    <n v="3071.7500000000005"/>
    <n v="67.830000000000013"/>
    <n v="2409.8960713608003"/>
    <n v="0"/>
    <n v="0"/>
    <n v="67.830000000000013"/>
    <n v="2409.8960713608003"/>
    <n v="2409.8960713608003"/>
    <n v="0"/>
    <n v="0"/>
    <n v="0"/>
    <n v="0"/>
    <n v="0"/>
    <n v="0"/>
    <n v="2410"/>
    <n v="0"/>
    <n v="0"/>
    <n v="662"/>
    <n v="0"/>
  </r>
  <r>
    <x v="156"/>
    <s v="MANO"/>
    <s v="vlc"/>
    <s v="Indirect"/>
    <n v="1331.3"/>
    <n v="51346.02"/>
    <n v="0"/>
    <n v="0"/>
    <n v="0"/>
    <n v="0"/>
    <n v="0"/>
    <n v="0"/>
    <n v="51346.02"/>
    <n v="0"/>
    <n v="0"/>
    <n v="0"/>
    <n v="0"/>
    <n v="0"/>
    <n v="0"/>
    <n v="0"/>
    <n v="0"/>
    <n v="51346.02"/>
    <n v="0"/>
    <n v="0"/>
  </r>
  <r>
    <x v="157"/>
    <s v="PURANI SALEMPUR"/>
    <s v="vlc"/>
    <s v="Indirect"/>
    <n v="1742.7"/>
    <n v="64097.4"/>
    <n v="0"/>
    <n v="0"/>
    <n v="0"/>
    <n v="0"/>
    <n v="0"/>
    <n v="0"/>
    <n v="64097.4"/>
    <n v="0"/>
    <n v="0"/>
    <n v="0"/>
    <n v="0"/>
    <n v="0"/>
    <n v="0"/>
    <n v="0"/>
    <n v="0"/>
    <n v="64097.4"/>
    <n v="0"/>
    <n v="0"/>
  </r>
  <r>
    <x v="158"/>
    <s v="DHANDHHA"/>
    <s v="vlc"/>
    <s v="Indirect"/>
    <n v="3292.5"/>
    <n v="124147.12999999998"/>
    <n v="0"/>
    <n v="0"/>
    <n v="0"/>
    <n v="0"/>
    <n v="0"/>
    <n v="0"/>
    <n v="124147.12999999998"/>
    <n v="0"/>
    <n v="0"/>
    <n v="0"/>
    <n v="1300"/>
    <n v="0"/>
    <n v="0"/>
    <n v="0"/>
    <n v="0"/>
    <n v="122847.12999999998"/>
    <n v="0"/>
    <n v="0"/>
  </r>
  <r>
    <x v="159"/>
    <s v="CHALISH"/>
    <s v="vlc"/>
    <s v="Indirect"/>
    <n v="1236.6999999999998"/>
    <n v="46826.84"/>
    <n v="0"/>
    <n v="0"/>
    <n v="0"/>
    <n v="0"/>
    <n v="0"/>
    <n v="0"/>
    <n v="46826.84"/>
    <n v="0"/>
    <n v="0"/>
    <n v="0"/>
    <n v="6500"/>
    <n v="0"/>
    <n v="0"/>
    <n v="0"/>
    <n v="0"/>
    <n v="40326.839999999997"/>
    <n v="0"/>
    <n v="0"/>
  </r>
  <r>
    <x v="160"/>
    <s v="MAA BHAGWATI"/>
    <s v="vlc"/>
    <s v="Indirect"/>
    <n v="958.69999999999993"/>
    <n v="34149.950000000004"/>
    <n v="0"/>
    <n v="0"/>
    <n v="0"/>
    <n v="0"/>
    <n v="0"/>
    <n v="0"/>
    <n v="34149.950000000004"/>
    <n v="0"/>
    <n v="0"/>
    <n v="0"/>
    <n v="0"/>
    <n v="0"/>
    <n v="0"/>
    <n v="0"/>
    <n v="0"/>
    <n v="34149.950000000004"/>
    <n v="0"/>
    <n v="0"/>
  </r>
  <r>
    <x v="161"/>
    <s v="MAIDINICHOKI"/>
    <s v="vlc"/>
    <s v="Indirect"/>
    <n v="559.49999999999989"/>
    <n v="20719.079999999998"/>
    <n v="0"/>
    <n v="0"/>
    <n v="0"/>
    <n v="0"/>
    <n v="0"/>
    <n v="0"/>
    <n v="20719.079999999998"/>
    <n v="0"/>
    <n v="0"/>
    <n v="0"/>
    <n v="0"/>
    <n v="0"/>
    <n v="0"/>
    <n v="0"/>
    <n v="0"/>
    <n v="20719.079999999998"/>
    <n v="0"/>
    <n v="0"/>
  </r>
  <r>
    <x v="162"/>
    <s v="GOMUKH JAJWARA"/>
    <s v="vlc"/>
    <s v="Indirect"/>
    <n v="1810.8999999999999"/>
    <n v="72187.61"/>
    <n v="0"/>
    <n v="0"/>
    <n v="0"/>
    <n v="0"/>
    <n v="0"/>
    <n v="0"/>
    <n v="72187.61"/>
    <n v="0"/>
    <n v="0"/>
    <n v="0"/>
    <n v="23000"/>
    <n v="0"/>
    <n v="0"/>
    <n v="0"/>
    <n v="0"/>
    <n v="49187.61"/>
    <n v="0"/>
    <n v="0"/>
  </r>
  <r>
    <x v="163"/>
    <s v="Gomukh ID Sonvarsha"/>
    <s v="vlc"/>
    <s v="Indirect"/>
    <n v="1542.1"/>
    <n v="60021.720000000008"/>
    <n v="0"/>
    <n v="0"/>
    <n v="0"/>
    <n v="0"/>
    <n v="0"/>
    <n v="0"/>
    <n v="60021.720000000008"/>
    <n v="0"/>
    <n v="0"/>
    <n v="0"/>
    <n v="0"/>
    <n v="0"/>
    <n v="0"/>
    <n v="0"/>
    <n v="0"/>
    <n v="60021.720000000008"/>
    <n v="0"/>
    <n v="0"/>
  </r>
  <r>
    <x v="164"/>
    <s v="BALHAPUR"/>
    <s v="MPG"/>
    <s v="Direct"/>
    <n v="438.5"/>
    <n v="20494.599999999999"/>
    <n v="433.46000000000004"/>
    <n v="19892.767471817097"/>
    <n v="9.1999999999999993"/>
    <n v="404.70652490399999"/>
    <n v="442.66"/>
    <n v="20297.473996721095"/>
    <n v="20297.473996721095"/>
    <n v="0"/>
    <n v="404.70652490399999"/>
    <n v="0"/>
    <n v="0"/>
    <n v="0"/>
    <n v="0"/>
    <n v="19894"/>
    <n v="0"/>
    <n v="0"/>
    <n v="196"/>
    <n v="0"/>
  </r>
  <r>
    <x v="165"/>
    <s v="Gomukh ID Husaina"/>
    <s v="vlc"/>
    <s v="Indirect"/>
    <n v="171.60000000000002"/>
    <n v="6399.0599999999995"/>
    <n v="0"/>
    <n v="0"/>
    <n v="0"/>
    <n v="0"/>
    <n v="0"/>
    <n v="0"/>
    <n v="6399.0599999999995"/>
    <n v="0"/>
    <n v="0"/>
    <n v="0"/>
    <n v="0"/>
    <n v="738.58575483870959"/>
    <n v="0"/>
    <n v="0"/>
    <n v="0"/>
    <n v="5660.4742451612901"/>
    <n v="0"/>
    <n v="0"/>
  </r>
  <r>
    <x v="167"/>
    <s v="MAA SARDE"/>
    <s v="vlc"/>
    <s v="Indirect"/>
    <n v="533.99999999999989"/>
    <n v="19435.54"/>
    <n v="0"/>
    <n v="0"/>
    <n v="0"/>
    <n v="0"/>
    <n v="0"/>
    <n v="0"/>
    <n v="19435.54"/>
    <n v="0"/>
    <n v="0"/>
    <n v="0"/>
    <n v="0"/>
    <n v="1767.3404516129035"/>
    <n v="0"/>
    <n v="0"/>
    <n v="0"/>
    <n v="17668.199548387096"/>
    <n v="0"/>
    <n v="0"/>
  </r>
  <r>
    <x v="168"/>
    <s v="PURANI DIH"/>
    <s v="vlc"/>
    <s v="Indirect"/>
    <n v="2009.2999999999997"/>
    <n v="86209.16"/>
    <n v="0"/>
    <n v="0"/>
    <n v="0"/>
    <n v="0"/>
    <n v="0"/>
    <n v="0"/>
    <n v="86209.16"/>
    <n v="0"/>
    <n v="0"/>
    <n v="0"/>
    <n v="23109"/>
    <n v="0"/>
    <n v="0"/>
    <n v="0"/>
    <n v="0"/>
    <n v="63100.160000000003"/>
    <n v="0"/>
    <n v="0"/>
  </r>
  <r>
    <x v="169"/>
    <s v="Farda Ravi Tola"/>
    <s v="MPG"/>
    <s v="Direct"/>
    <n v="461.4"/>
    <n v="17151.43"/>
    <n v="458.4"/>
    <n v="17279.542859040001"/>
    <n v="12.399999999999999"/>
    <n v="479.41134516000011"/>
    <n v="470.79999999999995"/>
    <n v="17758.954204199999"/>
    <n v="17151.43"/>
    <n v="0"/>
    <n v="479.41134516000011"/>
    <n v="607.52420419999908"/>
    <n v="14036"/>
    <n v="2635.9986600000002"/>
    <n v="0"/>
    <n v="0"/>
    <n v="0"/>
    <n v="0"/>
    <n v="0"/>
    <s v="Release3"/>
  </r>
  <r>
    <x v="170"/>
    <s v="Gomukh Puranidih 2"/>
    <s v="vlc"/>
    <s v="Indirect"/>
    <n v="92.100000000000009"/>
    <n v="4242.6899999999996"/>
    <n v="0"/>
    <n v="0"/>
    <n v="0"/>
    <n v="0"/>
    <n v="0"/>
    <n v="0"/>
    <n v="4242.6899999999996"/>
    <n v="0"/>
    <n v="0"/>
    <n v="0"/>
    <n v="0"/>
    <n v="23.282651612903251"/>
    <n v="0"/>
    <n v="0"/>
    <n v="0"/>
    <n v="4219.4073483870961"/>
    <n v="0"/>
    <n v="0"/>
  </r>
  <r>
    <x v="171"/>
    <s v="Gomukh Arma"/>
    <s v="MPG"/>
    <s v="Direct"/>
    <n v="611.60000000000014"/>
    <n v="25230.989999999998"/>
    <n v="645.20000000000005"/>
    <n v="27049.675244289698"/>
    <n v="1.05"/>
    <n v="47.063606908800004"/>
    <n v="646.25"/>
    <n v="27096.738851198497"/>
    <n v="25230.989999999998"/>
    <n v="0"/>
    <n v="47.063606908800004"/>
    <n v="1865.7488511984993"/>
    <n v="0"/>
    <n v="0"/>
    <n v="0"/>
    <n v="25184"/>
    <n v="0"/>
    <n v="0"/>
    <n v="0"/>
    <n v="0"/>
  </r>
  <r>
    <x v="172"/>
    <s v="Singhchak"/>
    <s v="MPG"/>
    <s v="Direct"/>
    <n v="1373.6000000000001"/>
    <n v="58168.909999999996"/>
    <n v="1437.3399999999995"/>
    <n v="60865.200561060243"/>
    <n v="21.88"/>
    <n v="918.68382936000012"/>
    <n v="1459.2199999999996"/>
    <n v="61783.884390420244"/>
    <n v="58168.909999999996"/>
    <n v="0"/>
    <n v="918.68382936000012"/>
    <n v="3614.9743904202478"/>
    <n v="0"/>
    <n v="0"/>
    <n v="0"/>
    <n v="57250"/>
    <n v="0"/>
    <n v="0"/>
    <n v="0"/>
    <s v="Release1"/>
  </r>
  <r>
    <x v="173"/>
    <s v="MAHA-LAXMI"/>
    <s v="vlc"/>
    <s v="Indirect"/>
    <n v="687.8"/>
    <n v="24425.229999999996"/>
    <n v="0"/>
    <n v="0"/>
    <n v="0"/>
    <n v="0"/>
    <n v="0"/>
    <n v="0"/>
    <n v="24425.229999999996"/>
    <n v="0"/>
    <n v="0"/>
    <n v="0"/>
    <n v="0"/>
    <n v="0"/>
    <n v="0"/>
    <n v="0"/>
    <n v="0"/>
    <n v="24425.229999999996"/>
    <n v="0"/>
    <n v="0"/>
  </r>
  <r>
    <x v="174"/>
    <s v="PAWAI"/>
    <s v="MPG"/>
    <s v="Direct"/>
    <n v="1585.7"/>
    <n v="70689.279999999999"/>
    <n v="1566.3899999999999"/>
    <n v="69561.007505952148"/>
    <n v="21.55"/>
    <n v="1089.7697043092001"/>
    <n v="1587.9399999999998"/>
    <n v="70650.777210261353"/>
    <n v="70650.777210261353"/>
    <n v="0"/>
    <n v="976.33653707720009"/>
    <n v="0"/>
    <n v="0"/>
    <n v="0"/>
    <n v="0"/>
    <n v="69560"/>
    <n v="113"/>
    <n v="0"/>
    <n v="40"/>
    <s v="Release1"/>
  </r>
  <r>
    <x v="175"/>
    <s v="LAKHOCHAK                                                                                           "/>
    <s v="MPG"/>
    <s v="Direct"/>
    <n v="291.29999999999995"/>
    <n v="11946.93"/>
    <n v="262.83000000000004"/>
    <n v="11378.40835354579"/>
    <n v="0"/>
    <n v="0"/>
    <n v="262.83000000000004"/>
    <n v="11378.40835354579"/>
    <n v="11378.40835354579"/>
    <n v="0"/>
    <n v="0"/>
    <n v="0"/>
    <n v="0"/>
    <n v="52.38"/>
    <n v="0"/>
    <n v="11326"/>
    <n v="0"/>
    <n v="0"/>
    <n v="569"/>
    <s v="Release2"/>
  </r>
  <r>
    <x v="176"/>
    <s v="BATTA RAMPUR                                                                                        "/>
    <s v="MPG"/>
    <s v="Direct"/>
    <n v="3028.6999999999994"/>
    <n v="145753.15000000002"/>
    <n v="3045.8300000000004"/>
    <n v="148193.06243367158"/>
    <n v="28.189999999999998"/>
    <n v="1794.5518409002502"/>
    <n v="3074.0200000000004"/>
    <n v="149987.61427457182"/>
    <n v="145753.15000000002"/>
    <n v="0"/>
    <n v="1794.5518409002502"/>
    <n v="4234.4642745718011"/>
    <n v="0"/>
    <n v="0"/>
    <n v="0"/>
    <n v="143959"/>
    <n v="0"/>
    <n v="0"/>
    <n v="0"/>
    <n v="0"/>
  </r>
  <r>
    <x v="177"/>
    <s v="MALIYA"/>
    <s v="MPG"/>
    <s v="Direct"/>
    <n v="612.89999999999986"/>
    <n v="25859.299999999996"/>
    <n v="602.46"/>
    <n v="26176.4457331673"/>
    <n v="9.1"/>
    <n v="339.96540277260004"/>
    <n v="611.56000000000006"/>
    <n v="26516.411135939899"/>
    <n v="25859.299999999996"/>
    <n v="0"/>
    <n v="339.96540277260004"/>
    <n v="657.11113593990376"/>
    <n v="0"/>
    <n v="0"/>
    <n v="0"/>
    <n v="25519"/>
    <n v="0"/>
    <n v="0"/>
    <n v="0"/>
    <s v="Release1"/>
  </r>
  <r>
    <x v="178"/>
    <s v="MAHULIYA"/>
    <s v="MPG"/>
    <s v="Direct"/>
    <n v="542.29999999999995"/>
    <n v="24535.640000000003"/>
    <n v="567.59"/>
    <n v="24244.716744013971"/>
    <n v="6.4800000000000022"/>
    <n v="290.38351589709004"/>
    <n v="574.07000000000005"/>
    <n v="24535.100259911062"/>
    <n v="24535.100259911062"/>
    <n v="0"/>
    <n v="290.38351589709004"/>
    <n v="0"/>
    <n v="0"/>
    <n v="0"/>
    <n v="0"/>
    <n v="24245"/>
    <n v="0"/>
    <n v="0"/>
    <n v="0"/>
    <n v="0"/>
  </r>
  <r>
    <x v="929"/>
    <s v="ABGIL RAMPUR"/>
    <s v="vlc"/>
    <s v="Indirect"/>
    <n v="91.3"/>
    <n v="3393.84"/>
    <n v="0"/>
    <n v="0"/>
    <n v="0"/>
    <n v="0"/>
    <n v="0"/>
    <n v="0"/>
    <n v="3393.84"/>
    <n v="0"/>
    <n v="0"/>
    <n v="0"/>
    <n v="0"/>
    <n v="606.58294838709685"/>
    <n v="0"/>
    <n v="0"/>
    <n v="0"/>
    <n v="2787.2570516129035"/>
    <n v="0"/>
    <n v="0"/>
  </r>
  <r>
    <x v="179"/>
    <s v="RUPESH KUMAR"/>
    <s v="vlc"/>
    <s v="Indirect"/>
    <n v="206.90000000000003"/>
    <n v="7189.85"/>
    <n v="0"/>
    <n v="0"/>
    <n v="0"/>
    <n v="0"/>
    <n v="0"/>
    <n v="0"/>
    <n v="7189.85"/>
    <n v="0"/>
    <n v="0"/>
    <n v="0"/>
    <n v="0"/>
    <n v="78.320535483870756"/>
    <n v="0"/>
    <n v="0"/>
    <n v="0"/>
    <n v="7111.5294645161293"/>
    <n v="0"/>
    <n v="0"/>
  </r>
  <r>
    <x v="180"/>
    <s v="ABGIL HUSSAINA-2                                                                                    "/>
    <s v="MPG"/>
    <s v="Direct"/>
    <n v="811.09999999999991"/>
    <n v="30094.329999999998"/>
    <n v="359.9"/>
    <n v="13652.108237948401"/>
    <n v="630.34000000000015"/>
    <n v="24530.377980200406"/>
    <n v="990.24000000000012"/>
    <n v="38182.486218148806"/>
    <n v="30094.329999999998"/>
    <n v="0"/>
    <n v="218.60671017240006"/>
    <n v="8088.156218148808"/>
    <n v="0"/>
    <n v="0"/>
    <n v="0"/>
    <n v="10848"/>
    <n v="19028"/>
    <n v="0"/>
    <n v="0"/>
    <s v="Release1"/>
  </r>
  <r>
    <x v="181"/>
    <s v="Manish Kumar                                                                                        "/>
    <s v="vlc"/>
    <s v="Indirect"/>
    <n v="234.79999999999995"/>
    <n v="7934.75"/>
    <n v="0"/>
    <n v="0"/>
    <n v="0"/>
    <n v="0"/>
    <n v="0"/>
    <n v="0"/>
    <n v="7934.75"/>
    <n v="0"/>
    <n v="0"/>
    <n v="0"/>
    <n v="0"/>
    <n v="0"/>
    <n v="0"/>
    <n v="0"/>
    <n v="0"/>
    <n v="7934.75"/>
    <n v="0"/>
    <n v="0"/>
  </r>
  <r>
    <x v="182"/>
    <s v="AKHA-KURHA"/>
    <s v="vlc"/>
    <s v="Indirect"/>
    <n v="380.60000000000008"/>
    <n v="14648.789999999999"/>
    <n v="0"/>
    <n v="0"/>
    <n v="0"/>
    <n v="0"/>
    <n v="0"/>
    <n v="0"/>
    <n v="14648.789999999999"/>
    <n v="0"/>
    <n v="0"/>
    <n v="0"/>
    <n v="0"/>
    <n v="0"/>
    <n v="0"/>
    <n v="0"/>
    <n v="0"/>
    <n v="14648.789999999999"/>
    <n v="0"/>
    <n v="0"/>
  </r>
  <r>
    <x v="183"/>
    <s v="BHANDAR"/>
    <s v="MPG"/>
    <s v="Direct"/>
    <n v="286.8"/>
    <n v="12322.97"/>
    <n v="286.8"/>
    <n v="12325.037633724998"/>
    <n v="0"/>
    <n v="0"/>
    <n v="286.8"/>
    <n v="12325.037633724998"/>
    <n v="12322.97"/>
    <n v="0"/>
    <n v="0"/>
    <n v="2.0676337249988137"/>
    <n v="0"/>
    <n v="0"/>
    <n v="0"/>
    <n v="12323"/>
    <n v="0"/>
    <n v="0"/>
    <n v="0"/>
    <n v="0"/>
  </r>
  <r>
    <x v="184"/>
    <s v="BASMATIYA"/>
    <s v="MPG"/>
    <s v="Direct"/>
    <n v="363.90000000000003"/>
    <n v="15443.4"/>
    <n v="357.71000000000004"/>
    <n v="16269.706900835828"/>
    <n v="6.43"/>
    <n v="276.54540977851002"/>
    <n v="364.14000000000004"/>
    <n v="16546.252310614338"/>
    <n v="15443.4"/>
    <n v="0"/>
    <n v="276.54540977851002"/>
    <n v="1102.8523106143384"/>
    <n v="0"/>
    <n v="0"/>
    <n v="0"/>
    <n v="15167"/>
    <n v="0"/>
    <n v="0"/>
    <n v="0"/>
    <n v="0"/>
  </r>
  <r>
    <x v="185"/>
    <s v="TILATHI"/>
    <s v="MPG"/>
    <s v="Direct"/>
    <n v="1181.5000000000005"/>
    <n v="46941.389999999992"/>
    <n v="1143.6999999999998"/>
    <n v="44621.706122000156"/>
    <n v="72.37"/>
    <n v="3215.1090543664004"/>
    <n v="1216.0699999999997"/>
    <n v="47836.815176366559"/>
    <n v="46941.389999999992"/>
    <n v="0"/>
    <n v="671.43260052000016"/>
    <n v="895.42517636656703"/>
    <n v="6500"/>
    <n v="0"/>
    <n v="0"/>
    <n v="38826"/>
    <n v="944"/>
    <n v="0"/>
    <n v="0"/>
    <s v="Release2"/>
  </r>
  <r>
    <x v="186"/>
    <s v="GOMUKH WESTOL"/>
    <s v="vlc"/>
    <s v="Indirect"/>
    <n v="1363.4"/>
    <n v="51264.670000000006"/>
    <n v="0"/>
    <n v="0"/>
    <n v="0"/>
    <n v="0"/>
    <n v="0"/>
    <n v="0"/>
    <n v="51264.670000000006"/>
    <n v="0"/>
    <n v="0"/>
    <n v="0"/>
    <n v="0"/>
    <n v="0"/>
    <n v="0"/>
    <n v="0"/>
    <n v="0"/>
    <n v="51264.670000000006"/>
    <n v="0"/>
    <n v="0"/>
  </r>
  <r>
    <x v="187"/>
    <s v="SANGRAMPUR"/>
    <s v="MPG"/>
    <s v="Direct"/>
    <n v="756.7"/>
    <n v="33754.539999999994"/>
    <n v="803.1"/>
    <n v="35780.695789641199"/>
    <n v="0"/>
    <n v="0"/>
    <n v="803.1"/>
    <n v="35780.695789641199"/>
    <n v="33754.539999999994"/>
    <n v="0"/>
    <n v="0"/>
    <n v="2026.155789641205"/>
    <n v="0"/>
    <n v="0"/>
    <n v="0"/>
    <n v="33755"/>
    <n v="0"/>
    <n v="0"/>
    <n v="0"/>
    <n v="0"/>
  </r>
  <r>
    <x v="188"/>
    <s v="GOMUKH CHASMASKAN"/>
    <s v="vlc"/>
    <s v="Indirect"/>
    <n v="2953.8"/>
    <n v="108744.71"/>
    <n v="0"/>
    <n v="0"/>
    <n v="0"/>
    <n v="0"/>
    <n v="0"/>
    <n v="0"/>
    <n v="108744.71"/>
    <n v="0"/>
    <n v="0"/>
    <n v="0"/>
    <n v="0"/>
    <n v="0"/>
    <n v="0"/>
    <n v="0"/>
    <n v="0"/>
    <n v="108744.71"/>
    <n v="0"/>
    <n v="0"/>
  </r>
  <r>
    <x v="189"/>
    <s v="GOMUKH KAJITOLA"/>
    <s v="vlc"/>
    <s v="Indirect"/>
    <n v="1644.6000000000001"/>
    <n v="62535.389999999992"/>
    <n v="0"/>
    <n v="0"/>
    <n v="0"/>
    <n v="0"/>
    <n v="0"/>
    <n v="0"/>
    <n v="62535.389999999992"/>
    <n v="0"/>
    <n v="0"/>
    <n v="0"/>
    <n v="0"/>
    <n v="0"/>
    <n v="0"/>
    <n v="0"/>
    <n v="0"/>
    <n v="62535.389999999992"/>
    <n v="0"/>
    <n v="0"/>
  </r>
  <r>
    <x v="190"/>
    <s v="RAMDEV TOLA"/>
    <s v="MPG"/>
    <s v="Direct"/>
    <n v="1905.2"/>
    <n v="75270.650000000023"/>
    <n v="990.58"/>
    <n v="43493.169278445341"/>
    <n v="911.88"/>
    <n v="34864.607347020006"/>
    <n v="1902.46"/>
    <n v="78357.77662546534"/>
    <n v="75270.650000000023"/>
    <n v="0"/>
    <n v="422.08435368000005"/>
    <n v="3087.1266254653165"/>
    <n v="2600"/>
    <n v="0"/>
    <n v="0"/>
    <n v="37807"/>
    <n v="34442"/>
    <n v="0"/>
    <n v="0"/>
    <s v="Release2"/>
  </r>
  <r>
    <x v="191"/>
    <s v="GOMUKH KATEHAR"/>
    <s v="vlc"/>
    <s v="Indirect"/>
    <n v="1601.2"/>
    <n v="55938.260000000009"/>
    <n v="0"/>
    <n v="0"/>
    <n v="0"/>
    <n v="0"/>
    <n v="0"/>
    <n v="0"/>
    <n v="55938.260000000009"/>
    <n v="0"/>
    <n v="0"/>
    <n v="0"/>
    <n v="0"/>
    <n v="0"/>
    <n v="0"/>
    <n v="0"/>
    <n v="0"/>
    <n v="55938.260000000009"/>
    <n v="0"/>
    <n v="0"/>
  </r>
  <r>
    <x v="192"/>
    <s v="PIPARPATI"/>
    <s v="MPG"/>
    <s v="Direct"/>
    <n v="554.39999999999986"/>
    <n v="26107.210000000003"/>
    <n v="544.89"/>
    <n v="27835.00037235791"/>
    <n v="6.75"/>
    <n v="288.15976172401008"/>
    <n v="551.64"/>
    <n v="28123.160134081922"/>
    <n v="26107.210000000003"/>
    <n v="0"/>
    <n v="288.15976172401008"/>
    <n v="2015.9501340819188"/>
    <n v="3900"/>
    <n v="0"/>
    <n v="0"/>
    <n v="21919"/>
    <n v="0"/>
    <n v="0"/>
    <n v="0"/>
    <s v="Release1"/>
  </r>
  <r>
    <x v="193"/>
    <s v="GOMUKH JAGMAGLA"/>
    <s v="vlc"/>
    <s v="Indirect"/>
    <n v="591.59999999999991"/>
    <n v="23911.949999999997"/>
    <n v="0"/>
    <n v="0"/>
    <n v="0"/>
    <n v="0"/>
    <n v="0"/>
    <n v="0"/>
    <n v="23911.949999999997"/>
    <n v="0"/>
    <n v="0"/>
    <n v="0"/>
    <n v="0"/>
    <n v="0"/>
    <n v="0"/>
    <n v="0"/>
    <n v="0"/>
    <n v="23911.949999999997"/>
    <n v="0"/>
    <n v="0"/>
  </r>
  <r>
    <x v="930"/>
    <s v="PACHRUKHI"/>
    <s v="MPG"/>
    <s v="Direct"/>
    <n v="13.7"/>
    <n v="406"/>
    <n v="13.6"/>
    <n v="430.45351351200003"/>
    <n v="0.2"/>
    <n v="6.8721131160000004"/>
    <n v="13.799999999999999"/>
    <n v="437.32562662800001"/>
    <n v="406"/>
    <n v="0"/>
    <n v="6.8721131160000004"/>
    <n v="31.325626628000009"/>
    <n v="0"/>
    <n v="108.2118"/>
    <n v="0"/>
    <n v="291"/>
    <n v="0"/>
    <n v="0"/>
    <n v="0"/>
    <n v="0"/>
  </r>
  <r>
    <x v="194"/>
    <s v="KHAJURIYA"/>
    <s v="MPG"/>
    <s v="Direct"/>
    <n v="581.1"/>
    <n v="23645.87"/>
    <n v="735.69999999999982"/>
    <n v="45837.582681203792"/>
    <n v="0"/>
    <n v="0"/>
    <n v="735.69999999999982"/>
    <n v="45837.582681203792"/>
    <n v="23645.87"/>
    <n v="0"/>
    <n v="0"/>
    <n v="22191.712681203793"/>
    <n v="0"/>
    <n v="0"/>
    <n v="0"/>
    <n v="0"/>
    <n v="0"/>
    <n v="0"/>
    <n v="23646"/>
    <s v="Yes"/>
  </r>
  <r>
    <x v="195"/>
    <s v="NAYA SALEMPUR"/>
    <s v="vlc"/>
    <s v="Indirect"/>
    <n v="677.80000000000007"/>
    <n v="25743.380000000005"/>
    <n v="0"/>
    <n v="0"/>
    <n v="0"/>
    <n v="0"/>
    <n v="0"/>
    <n v="0"/>
    <n v="25743.380000000005"/>
    <n v="0"/>
    <n v="0"/>
    <n v="0"/>
    <n v="0"/>
    <n v="0"/>
    <n v="0"/>
    <n v="0"/>
    <n v="0"/>
    <n v="25743.380000000005"/>
    <n v="0"/>
    <n v="0"/>
  </r>
  <r>
    <x v="196"/>
    <s v="MANO 2"/>
    <s v="MPG"/>
    <s v="Direct"/>
    <n v="372"/>
    <n v="14987.410000000002"/>
    <n v="372"/>
    <n v="14972.951252160001"/>
    <n v="0"/>
    <n v="0"/>
    <n v="372"/>
    <n v="14972.951252160001"/>
    <n v="14972.951252160001"/>
    <n v="0"/>
    <n v="0"/>
    <n v="0"/>
    <n v="0"/>
    <n v="0"/>
    <n v="0"/>
    <n v="14973"/>
    <n v="0"/>
    <n v="0"/>
    <n v="14"/>
    <n v="0"/>
  </r>
  <r>
    <x v="197"/>
    <s v="LOSDHANI"/>
    <s v="MPG"/>
    <s v="Direct"/>
    <n v="141.1"/>
    <n v="5520.42"/>
    <n v="140.1"/>
    <n v="5481.5592546000007"/>
    <n v="2.9999999999999996"/>
    <n v="115.29206568000002"/>
    <n v="143.1"/>
    <n v="5596.8513202800004"/>
    <n v="5520.42"/>
    <n v="0"/>
    <n v="115.29206568000002"/>
    <n v="76.431320280000364"/>
    <n v="0"/>
    <n v="177.77387999999985"/>
    <n v="0"/>
    <n v="5227"/>
    <n v="0"/>
    <n v="0"/>
    <n v="0"/>
    <n v="0"/>
  </r>
  <r>
    <x v="199"/>
    <s v="GOMUKH BAGALWA"/>
    <s v="MPG"/>
    <s v="Direct"/>
    <n v="412.69999999999993"/>
    <n v="15723.909999999998"/>
    <n v="439.2"/>
    <n v="16555.415383698004"/>
    <n v="3.9999999999999996"/>
    <n v="148.297141278"/>
    <n v="443.2"/>
    <n v="16703.712524976003"/>
    <n v="15723.909999999998"/>
    <n v="0"/>
    <n v="148.297141278"/>
    <n v="979.80252497600486"/>
    <n v="0"/>
    <n v="1139.2511032258058"/>
    <n v="0"/>
    <n v="14436"/>
    <n v="0"/>
    <n v="0"/>
    <n v="0"/>
    <n v="0"/>
  </r>
  <r>
    <x v="200"/>
    <s v="GOMUKH LARYATAL"/>
    <s v="vlc"/>
    <s v="Indirect"/>
    <n v="188.09999999999997"/>
    <n v="8348.1499999999978"/>
    <n v="0"/>
    <n v="0"/>
    <n v="0"/>
    <n v="0"/>
    <n v="0"/>
    <n v="0"/>
    <n v="8348.1499999999978"/>
    <n v="0"/>
    <n v="0"/>
    <n v="0"/>
    <n v="0"/>
    <n v="633.84671612903276"/>
    <n v="0"/>
    <n v="0"/>
    <n v="0"/>
    <n v="7714.3032838709651"/>
    <n v="0"/>
    <n v="0"/>
  </r>
  <r>
    <x v="201"/>
    <s v="GOMUKH BHITAKITA"/>
    <s v="vlc"/>
    <s v="Indirect"/>
    <n v="211.7"/>
    <n v="7649.7"/>
    <n v="0"/>
    <n v="0"/>
    <n v="0"/>
    <n v="0"/>
    <n v="0"/>
    <n v="0"/>
    <n v="7649.7"/>
    <n v="0"/>
    <n v="0"/>
    <n v="0"/>
    <n v="6500"/>
    <n v="7.5994064516129143"/>
    <n v="0"/>
    <n v="0"/>
    <n v="0"/>
    <n v="1142.100593548387"/>
    <n v="0"/>
    <n v="0"/>
  </r>
  <r>
    <x v="202"/>
    <s v="SINGHOL"/>
    <s v="MPG"/>
    <s v="Direct"/>
    <n v="26.5"/>
    <n v="1134.8699999999999"/>
    <n v="27.91"/>
    <n v="1054.9467592092001"/>
    <n v="0"/>
    <n v="0"/>
    <n v="27.91"/>
    <n v="1054.9467592092001"/>
    <n v="1054.9467592092001"/>
    <n v="0"/>
    <n v="0"/>
    <n v="0"/>
    <n v="0"/>
    <n v="144.13984800000003"/>
    <n v="0"/>
    <n v="911"/>
    <n v="0"/>
    <n v="0"/>
    <n v="80"/>
    <n v="0"/>
  </r>
  <r>
    <x v="203"/>
    <s v="GOMUKH OJONTOLA"/>
    <s v="vlc"/>
    <s v="Indirect"/>
    <n v="142.70000000000002"/>
    <n v="6394.2800000000007"/>
    <n v="0"/>
    <n v="0"/>
    <n v="0"/>
    <n v="0"/>
    <n v="0"/>
    <n v="0"/>
    <n v="6394.2800000000007"/>
    <n v="0"/>
    <n v="0"/>
    <n v="0"/>
    <n v="0"/>
    <n v="0"/>
    <n v="0"/>
    <n v="0"/>
    <n v="0"/>
    <n v="6394.2800000000007"/>
    <n v="0"/>
    <n v="0"/>
  </r>
  <r>
    <x v="204"/>
    <s v="KHUDDIBAN SHIVNAGAR"/>
    <s v="MPG"/>
    <s v="Direct"/>
    <n v="83.199999999999989"/>
    <n v="2581.8599999999997"/>
    <n v="82.800000000000011"/>
    <n v="2570.5938549060002"/>
    <n v="0"/>
    <n v="0"/>
    <n v="82.800000000000011"/>
    <n v="2570.5938549060002"/>
    <n v="2570.5938549060002"/>
    <n v="0"/>
    <n v="0"/>
    <n v="0"/>
    <n v="0"/>
    <n v="1150.11654"/>
    <n v="0"/>
    <n v="1420"/>
    <n v="0"/>
    <n v="0"/>
    <n v="12"/>
    <n v="0"/>
  </r>
  <r>
    <x v="205"/>
    <s v="BARIYARPUR"/>
    <s v="MPG"/>
    <s v="Direct"/>
    <n v="230.29999999999995"/>
    <n v="9181.86"/>
    <n v="221.70000000000002"/>
    <n v="8837.2365008400011"/>
    <n v="9.3000000000000007"/>
    <n v="370.9962907200001"/>
    <n v="231.00000000000003"/>
    <n v="9208.2327915600017"/>
    <n v="9181.86"/>
    <n v="0"/>
    <n v="130.85523792000004"/>
    <n v="26.372791560001133"/>
    <n v="0"/>
    <n v="0"/>
    <n v="0"/>
    <n v="8811"/>
    <n v="240"/>
    <n v="0"/>
    <n v="0"/>
    <n v="0"/>
  </r>
  <r>
    <x v="206"/>
    <s v="MASUDAN"/>
    <s v="MPG"/>
    <s v="Direct"/>
    <n v="606.29999999999995"/>
    <n v="23834.839999999997"/>
    <n v="488.93"/>
    <n v="18184.282693065445"/>
    <n v="125.77000000000001"/>
    <n v="5797.796656523501"/>
    <n v="614.70000000000005"/>
    <n v="23982.079349588945"/>
    <n v="23834.839999999997"/>
    <n v="0"/>
    <n v="0"/>
    <n v="147.23934958894824"/>
    <n v="0"/>
    <n v="0"/>
    <n v="0"/>
    <n v="18037"/>
    <n v="5798"/>
    <n v="0"/>
    <n v="0"/>
    <n v="0"/>
  </r>
  <r>
    <x v="207"/>
    <s v="GOMUKH LOKDHANI"/>
    <s v="vlc"/>
    <s v="Indirect"/>
    <n v="188.3"/>
    <n v="7005.45"/>
    <n v="0"/>
    <n v="0"/>
    <n v="0"/>
    <n v="0"/>
    <n v="0"/>
    <n v="0"/>
    <n v="7005.45"/>
    <n v="0"/>
    <n v="0"/>
    <n v="0"/>
    <n v="0"/>
    <n v="0"/>
    <n v="0"/>
    <n v="0"/>
    <n v="0"/>
    <n v="7005.45"/>
    <n v="0"/>
    <n v="0"/>
  </r>
  <r>
    <x v="208"/>
    <s v="GOMUKH BOHLA"/>
    <s v="vlc"/>
    <s v="Indirect"/>
    <n v="609"/>
    <n v="20667.32"/>
    <n v="0"/>
    <n v="0"/>
    <n v="0"/>
    <n v="0"/>
    <n v="0"/>
    <n v="0"/>
    <n v="20667.32"/>
    <n v="0"/>
    <n v="0"/>
    <n v="0"/>
    <n v="0"/>
    <n v="0"/>
    <n v="0"/>
    <n v="0"/>
    <n v="0"/>
    <n v="20667.32"/>
    <n v="0"/>
    <n v="0"/>
  </r>
  <r>
    <x v="209"/>
    <s v="Gomukh ID Araria"/>
    <s v="vlc"/>
    <s v="Indirect"/>
    <n v="4678.5"/>
    <n v="170733.49"/>
    <n v="0"/>
    <n v="0"/>
    <n v="0"/>
    <n v="0"/>
    <n v="0"/>
    <n v="0"/>
    <n v="170733.49"/>
    <n v="0"/>
    <n v="0"/>
    <n v="0"/>
    <n v="0"/>
    <n v="0"/>
    <n v="0"/>
    <n v="0"/>
    <n v="0"/>
    <n v="170733.49"/>
    <n v="0"/>
    <n v="0"/>
  </r>
  <r>
    <x v="210"/>
    <s v="Gomukh ID Chaidha"/>
    <s v="vlc"/>
    <s v="Indirect"/>
    <n v="852.90000000000009"/>
    <n v="29489.329999999994"/>
    <n v="0"/>
    <n v="0"/>
    <n v="0"/>
    <n v="0"/>
    <n v="0"/>
    <n v="0"/>
    <n v="29489.329999999994"/>
    <n v="0"/>
    <n v="0"/>
    <n v="0"/>
    <n v="6500"/>
    <n v="0"/>
    <n v="0"/>
    <n v="0"/>
    <n v="0"/>
    <n v="22989.329999999994"/>
    <n v="0"/>
    <n v="0"/>
  </r>
  <r>
    <x v="211"/>
    <s v="Gomukh ID Pakrail"/>
    <s v="vlc"/>
    <s v="Indirect"/>
    <n v="189.44000000000003"/>
    <n v="6933.4400000000005"/>
    <n v="0"/>
    <n v="0"/>
    <n v="0"/>
    <n v="0"/>
    <n v="0"/>
    <n v="0"/>
    <n v="6933.4400000000005"/>
    <n v="0"/>
    <n v="0"/>
    <n v="0"/>
    <n v="0"/>
    <n v="681.56787870967707"/>
    <n v="0"/>
    <n v="0"/>
    <n v="0"/>
    <n v="6251.8721212903238"/>
    <n v="0"/>
    <n v="0"/>
  </r>
  <r>
    <x v="212"/>
    <s v="Gomukh ID Pipra"/>
    <s v="vlc"/>
    <s v="Indirect"/>
    <n v="661.21999999999991"/>
    <n v="23411.769999999997"/>
    <n v="0"/>
    <n v="0"/>
    <n v="0"/>
    <n v="0"/>
    <n v="0"/>
    <n v="0"/>
    <n v="23411.769999999997"/>
    <n v="0"/>
    <n v="0"/>
    <n v="0"/>
    <n v="13000"/>
    <n v="1768.3097148387101"/>
    <n v="0"/>
    <n v="0"/>
    <n v="0"/>
    <n v="8643.4602851612872"/>
    <n v="0"/>
    <n v="0"/>
  </r>
  <r>
    <x v="213"/>
    <s v="Gomukh Fatepur                                                                                      "/>
    <s v="MPG"/>
    <s v="Direct"/>
    <n v="266.29999999999995"/>
    <n v="10054.119999999999"/>
    <n v="498.4"/>
    <n v="22133.4728954538"/>
    <n v="32.239999999999995"/>
    <n v="1207.1242723914002"/>
    <n v="530.64"/>
    <n v="23340.597167845201"/>
    <n v="10054.119999999999"/>
    <n v="0"/>
    <n v="153.08691971760004"/>
    <n v="13286.477167845202"/>
    <n v="0"/>
    <n v="0"/>
    <n v="0"/>
    <n v="8847"/>
    <n v="1054"/>
    <n v="0"/>
    <n v="0"/>
    <n v="0"/>
  </r>
  <r>
    <x v="214"/>
    <s v="Gomukh Gauchhari"/>
    <s v="MPG"/>
    <s v="Direct"/>
    <n v="302.8"/>
    <n v="11402.53"/>
    <n v="301.27"/>
    <n v="11655.530741052"/>
    <n v="1.5000000000000004"/>
    <n v="57.819000095999996"/>
    <n v="302.77"/>
    <n v="11713.349741148"/>
    <n v="11402.53"/>
    <n v="0"/>
    <n v="57.819000095999996"/>
    <n v="310.81974114799959"/>
    <n v="0"/>
    <n v="0"/>
    <n v="0"/>
    <n v="11345"/>
    <n v="0"/>
    <n v="0"/>
    <n v="0"/>
    <s v="Release1"/>
  </r>
  <r>
    <x v="215"/>
    <s v="Gomukh Arariya Karjaniya"/>
    <s v="vlc"/>
    <s v="Indirect"/>
    <n v="13403.199999999999"/>
    <n v="500564.61999999988"/>
    <n v="0"/>
    <n v="0"/>
    <n v="0"/>
    <n v="0"/>
    <n v="0"/>
    <n v="0"/>
    <n v="500564.61999999988"/>
    <n v="0"/>
    <n v="0"/>
    <n v="0"/>
    <n v="0"/>
    <n v="0"/>
    <n v="0"/>
    <n v="0"/>
    <n v="0"/>
    <n v="500564.61999999988"/>
    <n v="0"/>
    <n v="0"/>
  </r>
  <r>
    <x v="216"/>
    <s v="Gomukh Aariya Dummer Kothi"/>
    <s v="vlc"/>
    <s v="Indirect"/>
    <n v="13123.199999999999"/>
    <n v="485784.88000000006"/>
    <n v="0"/>
    <n v="0"/>
    <n v="0"/>
    <n v="0"/>
    <n v="0"/>
    <n v="0"/>
    <n v="485784.88000000006"/>
    <n v="0"/>
    <n v="0"/>
    <n v="0"/>
    <n v="0"/>
    <n v="0"/>
    <n v="0"/>
    <n v="0"/>
    <n v="0"/>
    <n v="485784.88000000006"/>
    <n v="0"/>
    <n v="0"/>
  </r>
  <r>
    <x v="217"/>
    <s v="Gomukh Balha"/>
    <s v="vlc"/>
    <s v="Indirect"/>
    <n v="4825.5000000000009"/>
    <n v="174991.57"/>
    <n v="0"/>
    <n v="0"/>
    <n v="0"/>
    <n v="0"/>
    <n v="0"/>
    <n v="0"/>
    <n v="174991.57"/>
    <n v="0"/>
    <n v="0"/>
    <n v="0"/>
    <n v="0"/>
    <n v="0"/>
    <n v="0"/>
    <n v="0"/>
    <n v="0"/>
    <n v="174991.57"/>
    <n v="0"/>
    <n v="0"/>
  </r>
  <r>
    <x v="218"/>
    <s v="Haripur - Sanjay"/>
    <s v="vlc"/>
    <s v="Indirect"/>
    <n v="923.90000000000009"/>
    <n v="33490.640000000007"/>
    <n v="0"/>
    <n v="0"/>
    <n v="0"/>
    <n v="0"/>
    <n v="0"/>
    <n v="0"/>
    <n v="33490.640000000007"/>
    <n v="0"/>
    <n v="0"/>
    <n v="0"/>
    <n v="0"/>
    <n v="0"/>
    <n v="0"/>
    <n v="0"/>
    <n v="0"/>
    <n v="33490.640000000007"/>
    <n v="0"/>
    <n v="0"/>
  </r>
  <r>
    <x v="219"/>
    <s v="Araria - Ankesh"/>
    <s v="vlc"/>
    <s v="Indirect"/>
    <n v="1953.1999999999998"/>
    <n v="71400.490000000005"/>
    <n v="0"/>
    <n v="0"/>
    <n v="0"/>
    <n v="0"/>
    <n v="0"/>
    <n v="0"/>
    <n v="71400.490000000005"/>
    <n v="0"/>
    <n v="0"/>
    <n v="0"/>
    <n v="63040"/>
    <n v="8360.6887548387131"/>
    <n v="0"/>
    <n v="0"/>
    <n v="0"/>
    <n v="-0.19875483870782773"/>
    <n v="0"/>
    <n v="0"/>
  </r>
  <r>
    <x v="220"/>
    <s v="Gomukh Kabela                                                                                       "/>
    <s v="MPG"/>
    <s v="Direct"/>
    <n v="555"/>
    <n v="26195.219999999998"/>
    <n v="531.09999999999991"/>
    <n v="24035.153751074802"/>
    <n v="0"/>
    <n v="0"/>
    <n v="531.09999999999991"/>
    <n v="24035.153751074802"/>
    <n v="24035.153751074802"/>
    <n v="0"/>
    <n v="0"/>
    <n v="0"/>
    <n v="0"/>
    <n v="0"/>
    <n v="0"/>
    <n v="24035"/>
    <n v="0"/>
    <n v="0"/>
    <n v="2160"/>
    <n v="0"/>
  </r>
  <r>
    <x v="221"/>
    <s v="Gomukh Malpa Uttari                                                                                 "/>
    <s v="vlc"/>
    <s v="Indirect"/>
    <n v="319.34000000000003"/>
    <n v="10308.02"/>
    <n v="0"/>
    <n v="0"/>
    <n v="0"/>
    <n v="0"/>
    <n v="0"/>
    <n v="0"/>
    <n v="10308.02"/>
    <n v="0"/>
    <n v="0"/>
    <n v="0"/>
    <n v="0"/>
    <n v="0"/>
    <n v="0"/>
    <n v="0"/>
    <n v="0"/>
    <n v="10308.02"/>
    <n v="0"/>
    <n v="0"/>
  </r>
  <r>
    <x v="222"/>
    <s v="Gomukh Sapha"/>
    <s v="MPG"/>
    <s v="Direct"/>
    <n v="174.8"/>
    <n v="7184.23"/>
    <n v="174.8"/>
    <n v="7037.6441256000007"/>
    <n v="0"/>
    <n v="0"/>
    <n v="174.8"/>
    <n v="7037.6441256000007"/>
    <n v="7037.6441256000007"/>
    <n v="0"/>
    <n v="0"/>
    <n v="0"/>
    <n v="0"/>
    <n v="0"/>
    <n v="0"/>
    <n v="7038"/>
    <n v="0"/>
    <n v="0"/>
    <n v="146"/>
    <n v="0"/>
  </r>
  <r>
    <x v="223"/>
    <s v="Araria"/>
    <s v="vlc"/>
    <s v="Indirect"/>
    <n v="15076.199999999999"/>
    <n v="564006.22"/>
    <n v="0"/>
    <n v="0"/>
    <n v="0"/>
    <n v="0"/>
    <n v="0"/>
    <n v="0"/>
    <n v="564006.22"/>
    <n v="0"/>
    <n v="0"/>
    <n v="0"/>
    <n v="0"/>
    <n v="0"/>
    <n v="0"/>
    <n v="0"/>
    <n v="0"/>
    <n v="564006.22"/>
    <n v="0"/>
    <n v="0"/>
  </r>
  <r>
    <x v="224"/>
    <s v="Gomukh Gauchhari"/>
    <s v="MPG"/>
    <s v="Direct"/>
    <n v="118.10000000000001"/>
    <n v="4047.5299999999993"/>
    <n v="118.8"/>
    <n v="4798.7013254400008"/>
    <n v="0"/>
    <n v="0"/>
    <n v="118.8"/>
    <n v="4798.7013254400008"/>
    <n v="4047.5299999999993"/>
    <n v="0"/>
    <n v="0"/>
    <n v="751.17132544000151"/>
    <n v="0"/>
    <n v="2524.2386571428565"/>
    <n v="0"/>
    <n v="1523"/>
    <n v="0"/>
    <n v="0"/>
    <n v="0"/>
    <n v="0"/>
  </r>
  <r>
    <x v="225"/>
    <s v="Telouch"/>
    <s v="MPG"/>
    <s v="Direct"/>
    <n v="2313.6800000000003"/>
    <n v="88578.359999999986"/>
    <n v="2322.67"/>
    <n v="91385.041314600006"/>
    <n v="6.4"/>
    <n v="222.73035840000006"/>
    <n v="2329.0700000000002"/>
    <n v="91607.77167300001"/>
    <n v="88578.359999999986"/>
    <n v="0"/>
    <n v="222.73035840000006"/>
    <n v="3029.4116730000242"/>
    <n v="0"/>
    <n v="0"/>
    <n v="0"/>
    <n v="88356"/>
    <n v="0"/>
    <n v="0"/>
    <n v="0"/>
    <n v="0"/>
  </r>
  <r>
    <x v="226"/>
    <s v="Gomukh Jhangara B"/>
    <s v="MPG"/>
    <s v="Direct"/>
    <n v="1465.3999999999999"/>
    <n v="57138.790000000008"/>
    <n v="1905.7699999999995"/>
    <n v="81767.915214347871"/>
    <n v="0"/>
    <n v="0"/>
    <n v="1905.7699999999995"/>
    <n v="81767.915214347871"/>
    <n v="57138.790000000008"/>
    <n v="0"/>
    <n v="0"/>
    <n v="24629.125214347863"/>
    <n v="0"/>
    <n v="0"/>
    <n v="0"/>
    <n v="57139"/>
    <n v="0"/>
    <n v="0"/>
    <n v="0"/>
    <n v="0"/>
  </r>
  <r>
    <x v="227"/>
    <s v="Gomukh Saraiya"/>
    <s v="vlc"/>
    <s v="Direct"/>
    <n v="271.76000000000005"/>
    <n v="9738.94"/>
    <n v="272.42999999999995"/>
    <n v="10968.57336366"/>
    <n v="0"/>
    <n v="0"/>
    <n v="272.42999999999995"/>
    <n v="10968.57336366"/>
    <n v="9738.94"/>
    <n v="0"/>
    <n v="0"/>
    <n v="1229.6333636599993"/>
    <n v="0"/>
    <n v="0"/>
    <n v="0"/>
    <n v="9739"/>
    <n v="0"/>
    <n v="0"/>
    <n v="0"/>
    <n v="0"/>
  </r>
  <r>
    <x v="228"/>
    <s v=" Gomukh Nauranga"/>
    <s v="vlc"/>
    <s v="Indirect"/>
    <n v="679.48000000000013"/>
    <n v="27291.539999999994"/>
    <n v="0"/>
    <n v="0"/>
    <n v="0"/>
    <n v="0"/>
    <n v="0"/>
    <n v="0"/>
    <n v="27291.539999999994"/>
    <n v="0"/>
    <n v="0"/>
    <n v="0"/>
    <n v="0"/>
    <n v="0"/>
    <n v="0"/>
    <n v="0"/>
    <n v="0"/>
    <n v="27291.539999999994"/>
    <n v="0"/>
    <n v="0"/>
  </r>
  <r>
    <x v="229"/>
    <s v="Gomukh Malpa Dhutauli VLC"/>
    <s v="vlc"/>
    <s v="Indirect"/>
    <n v="133.84"/>
    <n v="4383.2"/>
    <n v="0"/>
    <n v="0"/>
    <n v="0"/>
    <n v="0"/>
    <n v="0"/>
    <n v="0"/>
    <n v="4383.2"/>
    <n v="0"/>
    <n v="0"/>
    <n v="0"/>
    <n v="0"/>
    <n v="0"/>
    <n v="0"/>
    <n v="0"/>
    <n v="0"/>
    <n v="4383.2"/>
    <n v="0"/>
    <n v="0"/>
  </r>
  <r>
    <x v="230"/>
    <s v="Gomukh Pakrail Vijay Nagar VLC"/>
    <s v="vlc"/>
    <s v="Indirect"/>
    <n v="1839.76"/>
    <n v="69297.03"/>
    <n v="0"/>
    <n v="0"/>
    <n v="0"/>
    <n v="0"/>
    <n v="0"/>
    <n v="0"/>
    <n v="69297.03"/>
    <n v="0"/>
    <n v="0"/>
    <n v="0"/>
    <n v="0"/>
    <n v="0"/>
    <n v="0"/>
    <n v="0"/>
    <n v="0"/>
    <n v="69297.03"/>
    <n v="0"/>
    <n v="0"/>
  </r>
  <r>
    <x v="231"/>
    <s v="Gomukh Pakrail Shirnia VLC"/>
    <s v="vlc"/>
    <s v="Indirect"/>
    <n v="111.60000000000001"/>
    <n v="4099.5600000000004"/>
    <n v="0"/>
    <n v="0"/>
    <n v="0"/>
    <n v="0"/>
    <n v="0"/>
    <n v="0"/>
    <n v="4099.5600000000004"/>
    <n v="0"/>
    <n v="0"/>
    <n v="0"/>
    <n v="0"/>
    <n v="43.541489032258077"/>
    <n v="0"/>
    <n v="0"/>
    <n v="0"/>
    <n v="4056.0185109677423"/>
    <n v="0"/>
    <n v="0"/>
  </r>
  <r>
    <x v="232"/>
    <s v="Gomukh Godhiyasi Nayagow VLC"/>
    <s v="vlc"/>
    <s v="Indirect"/>
    <n v="170.89999999999998"/>
    <n v="5815.9400000000005"/>
    <n v="0"/>
    <n v="0"/>
    <n v="0"/>
    <n v="0"/>
    <n v="0"/>
    <n v="0"/>
    <n v="5815.9400000000005"/>
    <n v="0"/>
    <n v="0"/>
    <n v="0"/>
    <n v="0"/>
    <n v="0"/>
    <n v="0"/>
    <n v="0"/>
    <n v="0"/>
    <n v="5815.9400000000005"/>
    <n v="0"/>
    <n v="0"/>
  </r>
  <r>
    <x v="233"/>
    <s v="Gomukh Bandehra Purbi"/>
    <s v="MPG"/>
    <s v="Direct"/>
    <n v="389.20000000000005"/>
    <n v="14686.72"/>
    <n v="389.2"/>
    <n v="15823.7518824"/>
    <n v="0"/>
    <n v="0"/>
    <n v="389.2"/>
    <n v="15823.7518824"/>
    <n v="14686.72"/>
    <n v="0"/>
    <n v="0"/>
    <n v="1137.0318824000005"/>
    <n v="13000"/>
    <n v="218.95233442622899"/>
    <n v="0"/>
    <n v="1468"/>
    <n v="0"/>
    <n v="0"/>
    <n v="0"/>
    <n v="0"/>
  </r>
  <r>
    <x v="234"/>
    <s v="Gomukh Tila Tol"/>
    <s v="MPG"/>
    <s v="Direct"/>
    <n v="1290.5199999999998"/>
    <n v="47773.859999999993"/>
    <n v="1290.6199999999999"/>
    <n v="47967.470052480006"/>
    <n v="3.73"/>
    <n v="143.72304526800002"/>
    <n v="1294.3499999999999"/>
    <n v="48111.193097748008"/>
    <n v="47773.859999999993"/>
    <n v="0"/>
    <n v="143.72304526800002"/>
    <n v="337.33309774801455"/>
    <n v="13000"/>
    <n v="0"/>
    <n v="0"/>
    <n v="34630"/>
    <n v="0"/>
    <n v="0"/>
    <n v="0"/>
    <n v="0"/>
  </r>
  <r>
    <x v="235"/>
    <s v="Gomukh Dina Chakla Vlc"/>
    <s v="vlc"/>
    <s v="Indirect"/>
    <n v="489.9"/>
    <n v="17611.78"/>
    <n v="0"/>
    <n v="0"/>
    <n v="0"/>
    <n v="0"/>
    <n v="0"/>
    <n v="0"/>
    <n v="17611.78"/>
    <n v="0"/>
    <n v="0"/>
    <n v="0"/>
    <n v="0"/>
    <n v="0"/>
    <n v="0"/>
    <n v="0"/>
    <n v="0"/>
    <n v="17611.78"/>
    <n v="0"/>
    <n v="0"/>
  </r>
  <r>
    <x v="236"/>
    <s v="Gomukh Gogri VLC"/>
    <s v="vlc"/>
    <s v="Indirect"/>
    <n v="175.1"/>
    <n v="5690.11"/>
    <n v="0"/>
    <n v="0"/>
    <n v="0"/>
    <n v="0"/>
    <n v="0"/>
    <n v="0"/>
    <n v="5690.11"/>
    <n v="0"/>
    <n v="0"/>
    <n v="0"/>
    <n v="0"/>
    <n v="452.51156129032245"/>
    <n v="0"/>
    <n v="0"/>
    <n v="0"/>
    <n v="5237.5984387096769"/>
    <n v="0"/>
    <n v="0"/>
  </r>
  <r>
    <x v="237"/>
    <s v="Gomukh Sondiha Jay Prakash VLC"/>
    <s v="vlc"/>
    <s v="Indirect"/>
    <n v="569.79999999999995"/>
    <n v="19198.349999999999"/>
    <n v="0"/>
    <n v="0"/>
    <n v="0"/>
    <n v="0"/>
    <n v="0"/>
    <n v="0"/>
    <n v="19198.349999999999"/>
    <n v="0"/>
    <n v="0"/>
    <n v="0"/>
    <n v="0"/>
    <n v="0"/>
    <n v="0"/>
    <n v="0"/>
    <n v="0"/>
    <n v="19198.349999999999"/>
    <n v="0"/>
    <n v="0"/>
  </r>
  <r>
    <x v="238"/>
    <s v="Gomukh Bari Chak Gogri"/>
    <s v="MPG"/>
    <s v="Direct"/>
    <n v="183.2"/>
    <n v="6409.1200000000008"/>
    <n v="183.2"/>
    <n v="7134.0087139200004"/>
    <n v="0"/>
    <n v="0"/>
    <n v="183.2"/>
    <n v="7134.0087139200004"/>
    <n v="6409.1200000000008"/>
    <n v="0"/>
    <n v="0"/>
    <n v="724.88871391999965"/>
    <n v="0"/>
    <n v="0"/>
    <n v="0"/>
    <n v="6409"/>
    <n v="0"/>
    <n v="0"/>
    <n v="0"/>
    <n v="0"/>
  </r>
  <r>
    <x v="239"/>
    <s v="Gomukh Khatha"/>
    <s v="MPG"/>
    <s v="Direct"/>
    <n v="1050.8000000000002"/>
    <n v="37616.44"/>
    <n v="1050.8"/>
    <n v="42722.503797600002"/>
    <n v="0"/>
    <n v="0"/>
    <n v="1050.8"/>
    <n v="42722.503797600002"/>
    <n v="37616.44"/>
    <n v="0"/>
    <n v="0"/>
    <n v="5106.0637975999998"/>
    <n v="0"/>
    <n v="0"/>
    <n v="0"/>
    <n v="37616"/>
    <n v="0"/>
    <n v="0"/>
    <n v="0"/>
    <n v="0"/>
  </r>
  <r>
    <x v="240"/>
    <s v="Chak Punervas"/>
    <s v="vlc"/>
    <s v="Indirect"/>
    <n v="724.5"/>
    <n v="26656.789999999997"/>
    <n v="0"/>
    <n v="0"/>
    <n v="0"/>
    <n v="0"/>
    <n v="0"/>
    <n v="0"/>
    <n v="26656.789999999997"/>
    <n v="0"/>
    <n v="0"/>
    <n v="0"/>
    <n v="0"/>
    <n v="0"/>
    <n v="0"/>
    <n v="0"/>
    <n v="0"/>
    <n v="26656.789999999997"/>
    <n v="0"/>
    <n v="0"/>
  </r>
  <r>
    <x v="241"/>
    <s v="Labherchak"/>
    <s v="vlc"/>
    <s v="Indirect"/>
    <n v="286.60000000000002"/>
    <n v="10523.16"/>
    <n v="0"/>
    <n v="0"/>
    <n v="0"/>
    <n v="0"/>
    <n v="0"/>
    <n v="0"/>
    <n v="10523.16"/>
    <n v="0"/>
    <n v="0"/>
    <n v="0"/>
    <n v="10523"/>
    <n v="0"/>
    <n v="0"/>
    <n v="0"/>
    <n v="0"/>
    <n v="0.15999999999985448"/>
    <n v="0"/>
    <n v="0"/>
  </r>
  <r>
    <x v="242"/>
    <s v="Paspura"/>
    <s v="vlc"/>
    <s v="Indirect"/>
    <n v="136.74999999999997"/>
    <n v="4643.58"/>
    <n v="0"/>
    <n v="0"/>
    <n v="0"/>
    <n v="0"/>
    <n v="0"/>
    <n v="0"/>
    <n v="4643.58"/>
    <n v="0"/>
    <n v="0"/>
    <n v="0"/>
    <n v="0"/>
    <n v="501.99940645161269"/>
    <n v="0"/>
    <n v="0"/>
    <n v="0"/>
    <n v="4141.5805935483877"/>
    <n v="0"/>
    <n v="0"/>
  </r>
  <r>
    <x v="243"/>
    <s v="Gomukh Godhna"/>
    <s v="vlc"/>
    <s v="Indirect"/>
    <n v="64.199999999999989"/>
    <n v="2460.7200000000003"/>
    <n v="0"/>
    <n v="0"/>
    <n v="0"/>
    <n v="0"/>
    <n v="0"/>
    <n v="0"/>
    <n v="2460.7200000000003"/>
    <n v="0"/>
    <n v="0"/>
    <n v="0"/>
    <n v="0"/>
    <n v="111.04263870967743"/>
    <n v="0"/>
    <n v="0"/>
    <n v="0"/>
    <n v="2349.677361290323"/>
    <n v="0"/>
    <n v="0"/>
  </r>
  <r>
    <x v="244"/>
    <s v="Gomukh Sihma 2"/>
    <s v="vlc"/>
    <s v="Indirect"/>
    <n v="287.14999999999998"/>
    <n v="10096.620000000003"/>
    <n v="0"/>
    <n v="0"/>
    <n v="0"/>
    <n v="0"/>
    <n v="0"/>
    <n v="0"/>
    <n v="10096.620000000003"/>
    <n v="0"/>
    <n v="0"/>
    <n v="0"/>
    <n v="0"/>
    <n v="0"/>
    <n v="0"/>
    <n v="0"/>
    <n v="0"/>
    <n v="10096.620000000003"/>
    <n v="0"/>
    <n v="0"/>
  </r>
  <r>
    <x v="245"/>
    <s v="Gomukh ID Marsaito"/>
    <s v="vlc"/>
    <s v="Indirect"/>
    <n v="728.44999999999993"/>
    <n v="26108.77"/>
    <n v="0"/>
    <n v="0"/>
    <n v="0"/>
    <n v="0"/>
    <n v="0"/>
    <n v="0"/>
    <n v="26108.77"/>
    <n v="0"/>
    <n v="0"/>
    <n v="0"/>
    <n v="0"/>
    <n v="0"/>
    <n v="0"/>
    <n v="0"/>
    <n v="0"/>
    <n v="26108.77"/>
    <n v="0"/>
    <n v="0"/>
  </r>
  <r>
    <x v="246"/>
    <s v="Gomukh ID Akashpur-2"/>
    <s v="vlc"/>
    <s v="Indirect"/>
    <n v="733.6"/>
    <n v="27899.18"/>
    <n v="0"/>
    <n v="0"/>
    <n v="0"/>
    <n v="0"/>
    <n v="0"/>
    <n v="0"/>
    <n v="27899.18"/>
    <n v="0"/>
    <n v="0"/>
    <n v="0"/>
    <n v="0"/>
    <n v="4263.8102612903231"/>
    <n v="0"/>
    <n v="0"/>
    <n v="0"/>
    <n v="23635.369738709676"/>
    <n v="0"/>
    <n v="0"/>
  </r>
  <r>
    <x v="247"/>
    <s v="Gomukh ID Akashpur"/>
    <s v="vlc"/>
    <s v="Indirect"/>
    <n v="780.2"/>
    <n v="29453.149999999998"/>
    <n v="0"/>
    <n v="0"/>
    <n v="0"/>
    <n v="0"/>
    <n v="0"/>
    <n v="0"/>
    <n v="29453.149999999998"/>
    <n v="0"/>
    <n v="0"/>
    <n v="0"/>
    <n v="0"/>
    <n v="0"/>
    <n v="0"/>
    <n v="0"/>
    <n v="0"/>
    <n v="29453.149999999998"/>
    <n v="0"/>
    <n v="0"/>
  </r>
  <r>
    <x v="248"/>
    <s v="Gomukh ID Rachiyahi"/>
    <s v="vlc"/>
    <s v="Indirect"/>
    <n v="148.19999999999999"/>
    <n v="5927.12"/>
    <n v="0"/>
    <n v="0"/>
    <n v="0"/>
    <n v="0"/>
    <n v="0"/>
    <n v="0"/>
    <n v="5927.12"/>
    <n v="0"/>
    <n v="0"/>
    <n v="0"/>
    <n v="0"/>
    <n v="103.42329677419379"/>
    <n v="0"/>
    <n v="0"/>
    <n v="0"/>
    <n v="5823.6967032258062"/>
    <n v="0"/>
    <n v="0"/>
  </r>
  <r>
    <x v="249"/>
    <s v="GomukhBariyahi Chanan"/>
    <s v="MPG"/>
    <s v="Direct"/>
    <n v="3250.05"/>
    <n v="114191.06"/>
    <n v="3199.6"/>
    <n v="113966.4893483967"/>
    <n v="60.999999999999993"/>
    <n v="2138.4286585200007"/>
    <n v="3260.6"/>
    <n v="116104.91800691671"/>
    <n v="114191.06"/>
    <n v="0"/>
    <n v="2138.4286585200007"/>
    <n v="1913.8580069167074"/>
    <n v="0"/>
    <n v="0"/>
    <n v="0"/>
    <n v="112053"/>
    <n v="0"/>
    <n v="0"/>
    <n v="0"/>
    <n v="0"/>
  </r>
  <r>
    <x v="250"/>
    <s v="GomukhGehuni"/>
    <s v="MPG"/>
    <s v="Direct"/>
    <n v="105.5"/>
    <n v="3789.6699999999996"/>
    <n v="104.30000000000001"/>
    <n v="3756.2510820779999"/>
    <n v="1.2"/>
    <n v="40.48428641400001"/>
    <n v="105.50000000000001"/>
    <n v="3796.7353684919999"/>
    <n v="3789.6699999999996"/>
    <n v="0"/>
    <n v="40.48428641400001"/>
    <n v="7.0653684920002888"/>
    <n v="0"/>
    <n v="71.525775000000039"/>
    <n v="0"/>
    <n v="3677"/>
    <n v="0"/>
    <n v="0"/>
    <n v="1"/>
    <s v="Release2"/>
  </r>
  <r>
    <x v="251"/>
    <s v="Gomukh Bakhatpur"/>
    <s v="MPG"/>
    <s v="Direct"/>
    <n v="270.15000000000003"/>
    <n v="11445.269999999997"/>
    <n v="269.19"/>
    <n v="11203.788838595126"/>
    <n v="4.55"/>
    <n v="177.44288053140002"/>
    <n v="273.74"/>
    <n v="11381.231719126527"/>
    <n v="11381.231719126527"/>
    <n v="0"/>
    <n v="177.44288053140002"/>
    <n v="0"/>
    <n v="0"/>
    <n v="0"/>
    <n v="0"/>
    <n v="11204"/>
    <n v="0"/>
    <n v="0"/>
    <n v="64"/>
    <n v="0"/>
  </r>
  <r>
    <x v="252"/>
    <s v="Gomukh Bishanpur"/>
    <s v="MPG"/>
    <s v="Direct"/>
    <n v="769.4"/>
    <n v="27295.77"/>
    <n v="781.44000000000017"/>
    <n v="28968.202746710518"/>
    <n v="11.58"/>
    <n v="455.94520135965007"/>
    <n v="793.02000000000021"/>
    <n v="29424.147948070167"/>
    <n v="27295.77"/>
    <n v="0"/>
    <n v="455.94520135965007"/>
    <n v="2128.3779480701669"/>
    <n v="0"/>
    <n v="0"/>
    <n v="0"/>
    <n v="26840"/>
    <n v="0"/>
    <n v="0"/>
    <n v="0"/>
    <s v="Release1"/>
  </r>
  <r>
    <x v="253"/>
    <s v="GOMUKH BEGAMSARAI"/>
    <s v="MPG"/>
    <s v="Direct"/>
    <n v="452.2"/>
    <n v="18525.280000000002"/>
    <n v="450"/>
    <n v="18770.89302"/>
    <n v="0"/>
    <n v="0"/>
    <n v="450"/>
    <n v="18770.89302"/>
    <n v="18525.280000000002"/>
    <n v="0"/>
    <n v="0"/>
    <n v="245.61301999999705"/>
    <n v="5850"/>
    <n v="6.9003245901647432"/>
    <n v="0"/>
    <n v="12668"/>
    <n v="0"/>
    <n v="0"/>
    <n v="0"/>
    <s v="Release2"/>
  </r>
  <r>
    <x v="255"/>
    <s v="Adharpur - Manish"/>
    <s v="vlc"/>
    <s v="Indirect"/>
    <n v="866.95000000000016"/>
    <n v="34698.449999999997"/>
    <n v="0"/>
    <n v="0"/>
    <n v="0"/>
    <n v="0"/>
    <n v="0"/>
    <n v="0"/>
    <n v="34698.449999999997"/>
    <n v="0"/>
    <n v="0"/>
    <n v="0"/>
    <n v="0"/>
    <n v="0"/>
    <n v="0"/>
    <n v="0"/>
    <n v="0"/>
    <n v="34698.449999999997"/>
    <n v="0"/>
    <n v="0"/>
  </r>
  <r>
    <x v="931"/>
    <s v="Gangaprasad - Prashant"/>
    <s v="vlc"/>
    <s v="Indirect"/>
    <n v="642.65"/>
    <n v="22827.27"/>
    <n v="0"/>
    <n v="0"/>
    <n v="0"/>
    <n v="0"/>
    <n v="0"/>
    <n v="0"/>
    <n v="22827.27"/>
    <n v="0"/>
    <n v="0"/>
    <n v="0"/>
    <n v="0"/>
    <n v="0"/>
    <n v="0"/>
    <n v="0"/>
    <n v="0"/>
    <n v="22827.27"/>
    <n v="0"/>
    <n v="0"/>
  </r>
  <r>
    <x v="256"/>
    <s v="GOMUKH RANI 3"/>
    <s v="MPG"/>
    <s v="Direct"/>
    <n v="305.60000000000002"/>
    <n v="13247.73"/>
    <n v="302.34000000000003"/>
    <n v="12867.639590248451"/>
    <n v="2.1999999999999997"/>
    <n v="99.888408599424992"/>
    <n v="304.54000000000002"/>
    <n v="12967.527998847876"/>
    <n v="12967.527998847876"/>
    <n v="0"/>
    <n v="93.512644259424988"/>
    <n v="0"/>
    <n v="0"/>
    <n v="0"/>
    <n v="0"/>
    <n v="12868"/>
    <n v="6"/>
    <n v="0"/>
    <n v="280"/>
    <s v="Release2"/>
  </r>
  <r>
    <x v="257"/>
    <s v="GOMUKH NONPUR"/>
    <s v="MPG"/>
    <s v="Direct"/>
    <n v="718.1"/>
    <n v="25973.469999999994"/>
    <n v="716"/>
    <n v="26180.580096000005"/>
    <n v="0"/>
    <n v="0"/>
    <n v="716"/>
    <n v="26180.580096000005"/>
    <n v="25973.469999999994"/>
    <n v="0"/>
    <n v="0"/>
    <n v="207.11009600001125"/>
    <n v="0"/>
    <n v="0"/>
    <n v="0"/>
    <n v="25973"/>
    <n v="0"/>
    <n v="0"/>
    <n v="0"/>
    <n v="0"/>
  </r>
  <r>
    <x v="258"/>
    <s v="GOMUKH FATEHA"/>
    <s v="MPG"/>
    <s v="Direct"/>
    <n v="546.54999999999995"/>
    <n v="19274"/>
    <n v="632.22"/>
    <n v="22332.192335640004"/>
    <n v="0"/>
    <n v="0"/>
    <n v="632.22"/>
    <n v="22332.192335640004"/>
    <n v="19274"/>
    <n v="0"/>
    <n v="0"/>
    <n v="3058.1923356400039"/>
    <n v="0"/>
    <n v="0"/>
    <n v="0"/>
    <n v="19274"/>
    <n v="0"/>
    <n v="0"/>
    <n v="0"/>
    <n v="0"/>
  </r>
  <r>
    <x v="259"/>
    <s v="Bablu Singh"/>
    <s v="vlc"/>
    <s v="Indirect"/>
    <n v="348.3"/>
    <n v="12590.5"/>
    <n v="0"/>
    <n v="0"/>
    <n v="0"/>
    <n v="0"/>
    <n v="0"/>
    <n v="0"/>
    <n v="12590.5"/>
    <n v="0"/>
    <n v="0"/>
    <n v="0"/>
    <n v="0"/>
    <n v="5892.8762032258037"/>
    <n v="0"/>
    <n v="0"/>
    <n v="0"/>
    <n v="6697.6237967741963"/>
    <n v="0"/>
    <n v="0"/>
  </r>
  <r>
    <x v="260"/>
    <s v="Gomukh Rani                                                                                         "/>
    <s v="MPG"/>
    <s v="Direct"/>
    <n v="204.94999999999996"/>
    <n v="7350.7800000000007"/>
    <n v="204.7"/>
    <n v="8335.8144856799991"/>
    <n v="0"/>
    <n v="0"/>
    <n v="204.7"/>
    <n v="8335.8144856799991"/>
    <n v="7350.7800000000007"/>
    <n v="0"/>
    <n v="0"/>
    <n v="985.0344856799984"/>
    <n v="0"/>
    <n v="801.02395263157848"/>
    <n v="0"/>
    <n v="6550"/>
    <n v="0"/>
    <n v="0"/>
    <n v="0"/>
    <n v="0"/>
  </r>
  <r>
    <x v="261"/>
    <s v="GOMUKH ROOPNAGAR"/>
    <s v="MPG"/>
    <s v="Direct"/>
    <n v="181.39999999999995"/>
    <n v="6150.64"/>
    <n v="181.3"/>
    <n v="6146.4541050000007"/>
    <n v="0"/>
    <n v="0"/>
    <n v="181.3"/>
    <n v="6146.4541050000007"/>
    <n v="6146.4541050000007"/>
    <n v="0"/>
    <n v="0"/>
    <n v="0"/>
    <n v="0"/>
    <n v="0"/>
    <n v="0"/>
    <n v="6146"/>
    <n v="0"/>
    <n v="0"/>
    <n v="5"/>
    <n v="0"/>
  </r>
  <r>
    <x v="262"/>
    <s v="GOMUKH SIBUTOL 2"/>
    <s v="MPG"/>
    <s v="Direct"/>
    <n v="46.25"/>
    <n v="1905.0300000000002"/>
    <n v="46"/>
    <n v="1955.2325760000006"/>
    <n v="0"/>
    <n v="0"/>
    <n v="46"/>
    <n v="1955.2325760000006"/>
    <n v="1905.0300000000002"/>
    <n v="0"/>
    <n v="0"/>
    <n v="50.202576000000363"/>
    <n v="0"/>
    <n v="397.84459180327889"/>
    <n v="0"/>
    <n v="1507"/>
    <n v="0"/>
    <n v="0"/>
    <n v="0"/>
    <n v="0"/>
  </r>
  <r>
    <x v="263"/>
    <s v="Gomukh Harichak"/>
    <s v="MPG"/>
    <s v="Direct"/>
    <n v="76.75"/>
    <n v="2761.92"/>
    <n v="86.17"/>
    <n v="2726.2145460388001"/>
    <n v="0"/>
    <n v="0"/>
    <n v="86.17"/>
    <n v="2726.2145460388001"/>
    <n v="2726.2145460388001"/>
    <n v="0"/>
    <n v="0"/>
    <n v="0"/>
    <n v="0"/>
    <n v="69.426119999999969"/>
    <n v="0"/>
    <n v="2657"/>
    <n v="0"/>
    <n v="0"/>
    <n v="35"/>
    <n v="0"/>
  </r>
  <r>
    <x v="264"/>
    <s v="RAJ BHARDWAJ"/>
    <s v="vlc"/>
    <s v="Indirect"/>
    <n v="51.349999999999994"/>
    <n v="1958.32"/>
    <n v="0"/>
    <n v="0"/>
    <n v="0"/>
    <n v="0"/>
    <n v="0"/>
    <n v="0"/>
    <n v="1958.32"/>
    <n v="0"/>
    <n v="0"/>
    <n v="0"/>
    <n v="0"/>
    <n v="54.251429032258166"/>
    <n v="0"/>
    <n v="0"/>
    <n v="0"/>
    <n v="1904.0685709677418"/>
    <n v="0"/>
    <n v="0"/>
  </r>
  <r>
    <x v="265"/>
    <s v="Gomukh Amarpur"/>
    <s v="MPG"/>
    <s v="Direct"/>
    <n v="1105.25"/>
    <n v="40478.860000000015"/>
    <n v="1112.47"/>
    <n v="39780.372003808043"/>
    <n v="3.07"/>
    <n v="115.45710125400001"/>
    <n v="1115.54"/>
    <n v="39895.829105062046"/>
    <n v="39895.829105062046"/>
    <n v="0"/>
    <n v="115.45710125400001"/>
    <n v="0"/>
    <n v="0"/>
    <n v="0"/>
    <n v="0"/>
    <n v="39779"/>
    <n v="0"/>
    <n v="0"/>
    <n v="584"/>
    <n v="0"/>
  </r>
  <r>
    <x v="266"/>
    <s v="Prashant Kumar"/>
    <s v="vlc"/>
    <s v="Indirect"/>
    <n v="31.1"/>
    <n v="1168.1300000000001"/>
    <n v="0"/>
    <n v="0"/>
    <n v="0"/>
    <n v="0"/>
    <n v="0"/>
    <n v="0"/>
    <n v="1168.1300000000001"/>
    <n v="0"/>
    <n v="0"/>
    <n v="0"/>
    <n v="0"/>
    <n v="1168"/>
    <n v="0"/>
    <n v="0"/>
    <n v="0"/>
    <n v="0.13000000000010914"/>
    <n v="0"/>
    <s v="Release1"/>
  </r>
  <r>
    <x v="267"/>
    <s v="Gomukh Barauni 3"/>
    <s v="MPG"/>
    <s v="Direct"/>
    <n v="134.70000000000002"/>
    <n v="5119.24"/>
    <n v="134"/>
    <n v="5111.9788103999999"/>
    <n v="0"/>
    <n v="0"/>
    <n v="134"/>
    <n v="5111.9788103999999"/>
    <n v="5111.9788103999999"/>
    <n v="0"/>
    <n v="0"/>
    <n v="0"/>
    <n v="0"/>
    <n v="12.385916129032189"/>
    <n v="0"/>
    <n v="5100"/>
    <n v="0"/>
    <n v="0"/>
    <n v="7"/>
    <n v="0"/>
  </r>
  <r>
    <x v="268"/>
    <s v="CHANDAN YADAV"/>
    <s v="vlc"/>
    <s v="Indirect"/>
    <n v="119.6"/>
    <n v="4252.51"/>
    <n v="0"/>
    <n v="0"/>
    <n v="0"/>
    <n v="0"/>
    <n v="0"/>
    <n v="0"/>
    <n v="4252.51"/>
    <n v="0"/>
    <n v="0"/>
    <n v="0"/>
    <n v="0"/>
    <n v="906.44551935483867"/>
    <n v="0"/>
    <n v="0"/>
    <n v="0"/>
    <n v="3346.0644806451614"/>
    <n v="0"/>
    <n v="0"/>
  </r>
  <r>
    <x v="269"/>
    <s v="DINESH YADAV"/>
    <s v="vlc"/>
    <s v="Indirect"/>
    <n v="470.25"/>
    <n v="17164.310000000001"/>
    <n v="0"/>
    <n v="0"/>
    <n v="0"/>
    <n v="0"/>
    <n v="0"/>
    <n v="0"/>
    <n v="17164.310000000001"/>
    <n v="0"/>
    <n v="0"/>
    <n v="0"/>
    <n v="0"/>
    <n v="0"/>
    <n v="0"/>
    <n v="0"/>
    <n v="0"/>
    <n v="17164.310000000001"/>
    <n v="0"/>
    <n v="0"/>
  </r>
  <r>
    <x v="270"/>
    <s v="ANITA DEVI"/>
    <s v="vlc"/>
    <s v="Indirect"/>
    <n v="84.35"/>
    <n v="3170.44"/>
    <n v="0"/>
    <n v="0"/>
    <n v="0"/>
    <n v="0"/>
    <n v="0"/>
    <n v="0"/>
    <n v="3170.44"/>
    <n v="0"/>
    <n v="0"/>
    <n v="0"/>
    <n v="0"/>
    <n v="0"/>
    <n v="0"/>
    <n v="0"/>
    <n v="0"/>
    <n v="3170.44"/>
    <n v="0"/>
    <n v="0"/>
  </r>
  <r>
    <x v="271"/>
    <s v="GOMUKH GEHUNI 2"/>
    <s v="MPG"/>
    <s v="Direct"/>
    <n v="612.75"/>
    <n v="22981.57"/>
    <n v="606.31000000000006"/>
    <n v="24163.628937623998"/>
    <n v="0.73000000000000009"/>
    <n v="29.187324936000003"/>
    <n v="607.04000000000008"/>
    <n v="24192.816262559998"/>
    <n v="22981.57"/>
    <n v="0"/>
    <n v="29.187324936000003"/>
    <n v="1211.2462625599983"/>
    <n v="0"/>
    <n v="0"/>
    <n v="0"/>
    <n v="22952"/>
    <n v="0"/>
    <n v="0"/>
    <n v="0"/>
    <n v="0"/>
  </r>
  <r>
    <x v="272"/>
    <s v="GOMUKH MALHIPUR"/>
    <s v="MPG"/>
    <s v="Direct"/>
    <n v="1580.4"/>
    <n v="58035.299999999996"/>
    <n v="2813.6"/>
    <n v="102443.54857901999"/>
    <n v="3.0000000000000004"/>
    <n v="110.262159117"/>
    <n v="2816.6"/>
    <n v="102553.81073813699"/>
    <n v="58035.299999999996"/>
    <n v="0"/>
    <n v="110.262159117"/>
    <n v="44518.510738136996"/>
    <n v="0"/>
    <n v="0"/>
    <n v="0"/>
    <n v="57925"/>
    <n v="0"/>
    <n v="0"/>
    <n v="0"/>
    <n v="0"/>
  </r>
  <r>
    <x v="273"/>
    <s v="Bihat - Sonu Kumar"/>
    <s v="vlc"/>
    <s v="Indirect"/>
    <n v="192.45"/>
    <n v="6586.56"/>
    <n v="0"/>
    <n v="0"/>
    <n v="0"/>
    <n v="0"/>
    <n v="0"/>
    <n v="0"/>
    <n v="6586.56"/>
    <n v="0"/>
    <n v="0"/>
    <n v="0"/>
    <n v="0"/>
    <n v="870.08519032258073"/>
    <n v="0"/>
    <n v="0"/>
    <n v="0"/>
    <n v="5716.4748096774201"/>
    <n v="0"/>
    <n v="0"/>
  </r>
  <r>
    <x v="274"/>
    <s v="Rasalpur - Durgesh Kumar"/>
    <s v="vlc"/>
    <s v="Indirect"/>
    <n v="116.1"/>
    <n v="3989.2400000000007"/>
    <n v="0"/>
    <n v="0"/>
    <n v="0"/>
    <n v="0"/>
    <n v="0"/>
    <n v="0"/>
    <n v="3989.2400000000007"/>
    <n v="0"/>
    <n v="0"/>
    <n v="0"/>
    <n v="0"/>
    <n v="501.6296032258067"/>
    <n v="0"/>
    <n v="0"/>
    <n v="0"/>
    <n v="3487.6103967741938"/>
    <n v="0"/>
    <n v="0"/>
  </r>
  <r>
    <x v="275"/>
    <s v="Barauni Bariyarpur"/>
    <s v="MPG"/>
    <s v="Direct"/>
    <n v="550.80000000000007"/>
    <n v="20022.54"/>
    <n v="594"/>
    <n v="21641.266627200002"/>
    <n v="0"/>
    <n v="0"/>
    <n v="594"/>
    <n v="21641.266627200002"/>
    <n v="20022.54"/>
    <n v="0"/>
    <n v="0"/>
    <n v="1618.7266272000015"/>
    <n v="0"/>
    <n v="0"/>
    <n v="0"/>
    <n v="20023"/>
    <n v="0"/>
    <n v="0"/>
    <n v="0"/>
    <n v="0"/>
  </r>
  <r>
    <x v="276"/>
    <s v="Jaynagar"/>
    <s v="MPG"/>
    <s v="Direct"/>
    <n v="199.70000000000002"/>
    <n v="7042.5499999999993"/>
    <n v="198.8"/>
    <n v="7050.9422905019992"/>
    <n v="0"/>
    <n v="0"/>
    <n v="198.8"/>
    <n v="7050.9422905019992"/>
    <n v="7042.5499999999993"/>
    <n v="0"/>
    <n v="0"/>
    <n v="8.3922905019999234"/>
    <n v="0"/>
    <n v="0"/>
    <n v="0"/>
    <n v="7043"/>
    <n v="0"/>
    <n v="0"/>
    <n v="0"/>
    <s v="Release1"/>
  </r>
  <r>
    <x v="277"/>
    <s v="Fateha - Anil Yadav"/>
    <s v="vlc"/>
    <s v="Indirect"/>
    <n v="1163.8499999999999"/>
    <n v="40262.769999999997"/>
    <n v="0"/>
    <n v="0"/>
    <n v="0"/>
    <n v="0"/>
    <n v="0"/>
    <n v="0"/>
    <n v="40262.769999999997"/>
    <n v="0"/>
    <n v="0"/>
    <n v="0"/>
    <n v="0"/>
    <n v="0"/>
    <n v="0"/>
    <n v="0"/>
    <n v="0"/>
    <n v="40262.769999999997"/>
    <n v="0"/>
    <n v="0"/>
  </r>
  <r>
    <x v="278"/>
    <s v="Bihat - Chakballi"/>
    <s v="MPG"/>
    <s v="Direct"/>
    <n v="1823.1000000000001"/>
    <n v="60669.35"/>
    <n v="1822.9"/>
    <n v="60663.870091440011"/>
    <n v="0"/>
    <n v="0"/>
    <n v="1822.9"/>
    <n v="60663.870091440011"/>
    <n v="60663.870091440011"/>
    <n v="0"/>
    <n v="0"/>
    <n v="0"/>
    <n v="0"/>
    <n v="1139.1439499999992"/>
    <n v="0"/>
    <n v="59525"/>
    <n v="0"/>
    <n v="0"/>
    <n v="5"/>
    <n v="0"/>
  </r>
  <r>
    <x v="280"/>
    <s v="Rasalpur"/>
    <s v="vlc"/>
    <s v="Indirect"/>
    <n v="286.7"/>
    <n v="10277.09"/>
    <n v="0"/>
    <n v="0"/>
    <n v="0"/>
    <n v="0"/>
    <n v="0"/>
    <n v="0"/>
    <n v="10277.09"/>
    <n v="0"/>
    <n v="0"/>
    <n v="0"/>
    <n v="0"/>
    <n v="420.75134516129026"/>
    <n v="0"/>
    <n v="0"/>
    <n v="0"/>
    <n v="9856.3386548387098"/>
    <n v="0"/>
    <n v="0"/>
  </r>
  <r>
    <x v="281"/>
    <s v="Samsa"/>
    <s v="vlc"/>
    <s v="Indirect"/>
    <n v="821.10000000000014"/>
    <n v="32240.42"/>
    <n v="0"/>
    <n v="0"/>
    <n v="0"/>
    <n v="0"/>
    <n v="0"/>
    <n v="0"/>
    <n v="32240.42"/>
    <n v="0"/>
    <n v="0"/>
    <n v="0"/>
    <n v="0"/>
    <n v="0"/>
    <n v="0"/>
    <n v="0"/>
    <n v="0"/>
    <n v="32240.42"/>
    <n v="0"/>
    <n v="0"/>
  </r>
  <r>
    <x v="282"/>
    <s v="Dahiya"/>
    <s v="vlc"/>
    <s v="Indirect"/>
    <n v="185.89999999999998"/>
    <n v="7000.96"/>
    <n v="0"/>
    <n v="0"/>
    <n v="0"/>
    <n v="0"/>
    <n v="0"/>
    <n v="0"/>
    <n v="7000.96"/>
    <n v="0"/>
    <n v="0"/>
    <n v="0"/>
    <n v="0"/>
    <n v="397.32814838709658"/>
    <n v="0"/>
    <n v="0"/>
    <n v="0"/>
    <n v="6603.6318516129031"/>
    <n v="0"/>
    <n v="0"/>
  </r>
  <r>
    <x v="283"/>
    <s v="Gaura"/>
    <s v="MPG"/>
    <s v="Direct"/>
    <n v="501.65"/>
    <n v="18859.63"/>
    <n v="500"/>
    <n v="18876.547800000004"/>
    <n v="0"/>
    <n v="0"/>
    <n v="500"/>
    <n v="18876.547800000004"/>
    <n v="18859.63"/>
    <n v="0"/>
    <n v="0"/>
    <n v="16.917800000002899"/>
    <n v="0"/>
    <n v="507.12686727272728"/>
    <n v="0"/>
    <n v="18352"/>
    <n v="0"/>
    <n v="0"/>
    <n v="1"/>
    <n v="0"/>
  </r>
  <r>
    <x v="932"/>
    <s v="Nipania-VLC"/>
    <s v="vlc"/>
    <s v="Indirect"/>
    <n v="164.3"/>
    <n v="5998.2099999999991"/>
    <n v="0"/>
    <n v="0"/>
    <n v="0"/>
    <n v="0"/>
    <n v="0"/>
    <n v="0"/>
    <n v="5998.2099999999991"/>
    <n v="0"/>
    <n v="0"/>
    <n v="0"/>
    <n v="0"/>
    <n v="0"/>
    <n v="0"/>
    <n v="0"/>
    <n v="0"/>
    <n v="5998.2099999999991"/>
    <n v="0"/>
    <n v="0"/>
  </r>
  <r>
    <x v="284"/>
    <s v="Mukhtiyarpur"/>
    <s v="MPG"/>
    <s v="Direct"/>
    <n v="329.1"/>
    <n v="11753.01"/>
    <n v="378.52"/>
    <n v="15289.139793237642"/>
    <n v="0"/>
    <n v="0"/>
    <n v="378.52"/>
    <n v="15289.139793237642"/>
    <n v="11753.01"/>
    <n v="0"/>
    <n v="0"/>
    <n v="3536.1297932376419"/>
    <n v="0"/>
    <n v="1204.6380196721309"/>
    <n v="0"/>
    <n v="10548"/>
    <n v="0"/>
    <n v="0"/>
    <n v="0"/>
    <n v="0"/>
  </r>
  <r>
    <x v="285"/>
    <s v="Gomukh Rudauli-02"/>
    <s v="MPG"/>
    <s v="Direct"/>
    <n v="356.25000000000006"/>
    <n v="13253.960000000001"/>
    <n v="293.09999999999997"/>
    <n v="9870.9550496171996"/>
    <n v="80"/>
    <n v="2978.0055360000006"/>
    <n v="373.09999999999997"/>
    <n v="12848.9605856172"/>
    <n v="12848.9605856172"/>
    <n v="0"/>
    <n v="0"/>
    <n v="0"/>
    <n v="0"/>
    <n v="0"/>
    <n v="0"/>
    <n v="9872"/>
    <n v="2978"/>
    <n v="0"/>
    <n v="404"/>
    <n v="0"/>
  </r>
  <r>
    <x v="286"/>
    <s v="Gomukh Puranatol Raichiahi"/>
    <s v="MPG"/>
    <s v="Direct"/>
    <n v="726.65000000000009"/>
    <n v="27225.11"/>
    <n v="726.29999999999984"/>
    <n v="27225.761927759995"/>
    <n v="0"/>
    <n v="0"/>
    <n v="726.29999999999984"/>
    <n v="27225.761927759995"/>
    <n v="27225.11"/>
    <n v="0"/>
    <n v="0"/>
    <n v="0.65192775999457808"/>
    <n v="0"/>
    <n v="0"/>
    <n v="0"/>
    <n v="27225"/>
    <n v="0"/>
    <n v="0"/>
    <n v="0"/>
    <n v="0"/>
  </r>
  <r>
    <x v="287"/>
    <s v="Bihat-Gududaspur"/>
    <s v="MPG"/>
    <s v="Direct"/>
    <n v="270.54999999999995"/>
    <n v="11084.82"/>
    <n v="270"/>
    <n v="11084.34294"/>
    <n v="0"/>
    <n v="0"/>
    <n v="270"/>
    <n v="11084.34294"/>
    <n v="11084.34294"/>
    <n v="0"/>
    <n v="0"/>
    <n v="0"/>
    <n v="0"/>
    <n v="0"/>
    <n v="0"/>
    <n v="11084"/>
    <n v="0"/>
    <n v="0"/>
    <n v="1"/>
    <n v="0"/>
  </r>
  <r>
    <x v="288"/>
    <s v="Labharchak-2"/>
    <s v="MPG"/>
    <s v="Direct"/>
    <n v="241.75"/>
    <n v="8830.1099999999988"/>
    <n v="240"/>
    <n v="8775.613440000001"/>
    <n v="0"/>
    <n v="0"/>
    <n v="240"/>
    <n v="8775.613440000001"/>
    <n v="8775.613440000001"/>
    <n v="0"/>
    <n v="0"/>
    <n v="0"/>
    <n v="0"/>
    <n v="0"/>
    <n v="0"/>
    <n v="8776"/>
    <n v="0"/>
    <n v="0"/>
    <n v="54"/>
    <n v="0"/>
  </r>
  <r>
    <x v="289"/>
    <s v="POHE"/>
    <s v="vlc"/>
    <s v="Indirect"/>
    <n v="361.6"/>
    <n v="14955.76"/>
    <n v="0"/>
    <n v="0"/>
    <n v="0"/>
    <n v="0"/>
    <n v="0"/>
    <n v="0"/>
    <n v="14955.76"/>
    <n v="0"/>
    <n v="0"/>
    <n v="0"/>
    <n v="0"/>
    <n v="0"/>
    <n v="0"/>
    <n v="0"/>
    <n v="0"/>
    <n v="14955.76"/>
    <n v="0"/>
    <n v="0"/>
  </r>
  <r>
    <x v="290"/>
    <s v="AURO"/>
    <s v="MPG"/>
    <s v="Direct"/>
    <n v="1789.5000000000002"/>
    <n v="74493.45"/>
    <n v="1282.23"/>
    <n v="54899.139139076811"/>
    <n v="514.41"/>
    <n v="21540.308707000513"/>
    <n v="1796.6399999999999"/>
    <n v="76439.447846077324"/>
    <n v="74493.45"/>
    <n v="0"/>
    <n v="574.66626584400012"/>
    <n v="1945.9978460773273"/>
    <n v="0"/>
    <n v="0"/>
    <n v="0"/>
    <n v="52954"/>
    <n v="20965"/>
    <n v="0"/>
    <n v="0"/>
    <n v="0"/>
  </r>
  <r>
    <x v="291"/>
    <s v="PARSHAMA"/>
    <s v="MPG"/>
    <s v="Direct"/>
    <n v="112.9"/>
    <n v="3669.8700000000003"/>
    <n v="112.2"/>
    <n v="3647.1846626820006"/>
    <n v="0.7"/>
    <n v="22.740313662000002"/>
    <n v="112.9"/>
    <n v="3669.9249763440007"/>
    <n v="3669.8700000000003"/>
    <n v="0"/>
    <n v="22.740313662000002"/>
    <n v="5.4976344000351673E-2"/>
    <n v="0"/>
    <n v="52.535980645161267"/>
    <n v="0"/>
    <n v="3594"/>
    <n v="0"/>
    <n v="0"/>
    <n v="1"/>
    <n v="0"/>
  </r>
  <r>
    <x v="292"/>
    <s v="PRATAPUR 2"/>
    <s v="vlc"/>
    <s v="Indirect"/>
    <n v="226.9"/>
    <n v="9996.3900000000012"/>
    <n v="0"/>
    <n v="0"/>
    <n v="0"/>
    <n v="0"/>
    <n v="0"/>
    <n v="0"/>
    <n v="9996.3900000000012"/>
    <n v="0"/>
    <n v="0"/>
    <n v="0"/>
    <n v="0"/>
    <n v="69.144232258064505"/>
    <n v="0"/>
    <n v="0"/>
    <n v="0"/>
    <n v="9927.245767741937"/>
    <n v="0"/>
    <n v="0"/>
  </r>
  <r>
    <x v="293"/>
    <s v="BALLOPUR"/>
    <s v="MPG"/>
    <s v="Direct"/>
    <n v="1399.6"/>
    <n v="55117.61"/>
    <n v="1422.7"/>
    <n v="58828.115771355806"/>
    <n v="0"/>
    <n v="0"/>
    <n v="1422.7"/>
    <n v="58828.115771355806"/>
    <n v="55117.61"/>
    <n v="0"/>
    <n v="0"/>
    <n v="3710.5057713558053"/>
    <n v="0"/>
    <n v="0"/>
    <n v="0"/>
    <n v="55118"/>
    <n v="0"/>
    <n v="0"/>
    <n v="0"/>
    <n v="0"/>
  </r>
  <r>
    <x v="294"/>
    <s v="KHAIRMA"/>
    <s v="MPG"/>
    <s v="Direct"/>
    <n v="414.20000000000005"/>
    <n v="14178.949999999999"/>
    <n v="429.90000000000003"/>
    <n v="15078.590974656003"/>
    <n v="0"/>
    <n v="0"/>
    <n v="429.90000000000003"/>
    <n v="15078.590974656003"/>
    <n v="14178.949999999999"/>
    <n v="0"/>
    <n v="0"/>
    <n v="899.64097465600389"/>
    <n v="0"/>
    <n v="0"/>
    <n v="0"/>
    <n v="14179"/>
    <n v="0"/>
    <n v="0"/>
    <n v="0"/>
    <n v="0"/>
  </r>
  <r>
    <x v="295"/>
    <s v="MAHASONI"/>
    <s v="MPG"/>
    <s v="Direct"/>
    <n v="1046.0999999999999"/>
    <n v="39875.670000000006"/>
    <n v="1058.5999999999999"/>
    <n v="39420.621004404813"/>
    <n v="11.600000000000001"/>
    <n v="413.45956000800004"/>
    <n v="1070.1999999999998"/>
    <n v="39834.080564412812"/>
    <n v="39834.080564412812"/>
    <n v="0"/>
    <n v="413.45956000800004"/>
    <n v="0"/>
    <n v="0"/>
    <n v="0"/>
    <n v="0"/>
    <n v="39422"/>
    <n v="0"/>
    <n v="0"/>
    <n v="40"/>
    <n v="0"/>
  </r>
  <r>
    <x v="296"/>
    <s v="SONDHI"/>
    <s v="MPG"/>
    <s v="Direct"/>
    <n v="619.9"/>
    <n v="24485.600000000006"/>
    <n v="604.4"/>
    <n v="23307.760579981004"/>
    <n v="5.7000000000000011"/>
    <n v="227.97276163200002"/>
    <n v="610.1"/>
    <n v="23535.733341613006"/>
    <n v="23535.733341613006"/>
    <n v="0"/>
    <n v="227.97276163200002"/>
    <n v="0"/>
    <n v="0"/>
    <n v="0"/>
    <n v="0"/>
    <n v="23310"/>
    <n v="0"/>
    <n v="0"/>
    <n v="948"/>
    <n v="0"/>
  </r>
  <r>
    <x v="297"/>
    <s v="BELDARAYA"/>
    <s v="vlc"/>
    <s v="Indirect"/>
    <n v="910.40000000000009"/>
    <n v="33488.379999999997"/>
    <n v="0"/>
    <n v="0"/>
    <n v="0"/>
    <n v="0"/>
    <n v="0"/>
    <n v="0"/>
    <n v="33488.379999999997"/>
    <n v="0"/>
    <n v="0"/>
    <n v="0"/>
    <n v="0"/>
    <n v="0"/>
    <n v="0"/>
    <n v="0"/>
    <n v="0"/>
    <n v="33488.379999999997"/>
    <n v="0"/>
    <n v="0"/>
  </r>
  <r>
    <x v="298"/>
    <s v="Gomukh ID Aure-2"/>
    <s v="vlc"/>
    <s v="Indirect"/>
    <n v="1121.1999999999998"/>
    <n v="41267.770000000004"/>
    <n v="0"/>
    <n v="0"/>
    <n v="0"/>
    <n v="0"/>
    <n v="0"/>
    <n v="0"/>
    <n v="41267.770000000004"/>
    <n v="0"/>
    <n v="0"/>
    <n v="0"/>
    <n v="0"/>
    <n v="0"/>
    <n v="0"/>
    <n v="0"/>
    <n v="0"/>
    <n v="41267.770000000004"/>
    <n v="0"/>
    <n v="0"/>
  </r>
  <r>
    <x v="299"/>
    <s v="Gomukh Karma"/>
    <s v="vlc"/>
    <s v="Indirect"/>
    <n v="868.2"/>
    <n v="33365.639999999992"/>
    <n v="0"/>
    <n v="0"/>
    <n v="0"/>
    <n v="0"/>
    <n v="0"/>
    <n v="0"/>
    <n v="33365.639999999992"/>
    <n v="0"/>
    <n v="0"/>
    <n v="0"/>
    <n v="0"/>
    <n v="0"/>
    <n v="0"/>
    <n v="0"/>
    <n v="0"/>
    <n v="33365.639999999992"/>
    <n v="0"/>
    <n v="0"/>
  </r>
  <r>
    <x v="300"/>
    <s v="GOMUKH UKSI"/>
    <s v="vlc"/>
    <s v="Indirect"/>
    <n v="438.50000000000011"/>
    <n v="17704.61"/>
    <n v="0"/>
    <n v="0"/>
    <n v="0"/>
    <n v="0"/>
    <n v="0"/>
    <n v="0"/>
    <n v="17704.61"/>
    <n v="0"/>
    <n v="0"/>
    <n v="0"/>
    <n v="0"/>
    <n v="0"/>
    <n v="0"/>
    <n v="0"/>
    <n v="0"/>
    <n v="17704.61"/>
    <n v="0"/>
    <n v="0"/>
  </r>
  <r>
    <x v="301"/>
    <s v="Gomukh ID Halsi"/>
    <s v="vlc"/>
    <s v="Indirect"/>
    <n v="5448.6"/>
    <n v="189733.38999999998"/>
    <n v="0"/>
    <n v="0"/>
    <n v="0"/>
    <n v="0"/>
    <n v="0"/>
    <n v="0"/>
    <n v="189733.38999999998"/>
    <n v="0"/>
    <n v="0"/>
    <n v="0"/>
    <n v="0"/>
    <n v="0"/>
    <n v="0"/>
    <n v="0"/>
    <n v="0"/>
    <n v="189733.38999999998"/>
    <n v="0"/>
    <n v="0"/>
  </r>
  <r>
    <x v="302"/>
    <s v="Gomukh ID Lalpur"/>
    <s v="vlc"/>
    <s v="Indirect"/>
    <n v="116.6"/>
    <n v="4223.4800000000005"/>
    <n v="0"/>
    <n v="0"/>
    <n v="0"/>
    <n v="0"/>
    <n v="0"/>
    <n v="0"/>
    <n v="4223.4800000000005"/>
    <n v="0"/>
    <n v="0"/>
    <n v="0"/>
    <n v="0"/>
    <n v="140.90798709677418"/>
    <n v="0"/>
    <n v="0"/>
    <n v="0"/>
    <n v="4082.5720129032261"/>
    <n v="0"/>
    <n v="0"/>
  </r>
  <r>
    <x v="303"/>
    <s v="KHURIYARI"/>
    <s v="MPG"/>
    <s v="Direct"/>
    <n v="842.8"/>
    <n v="35321.210000000006"/>
    <n v="1042.5999999999999"/>
    <n v="44666.873355724601"/>
    <n v="23.3"/>
    <n v="875.07126079200009"/>
    <n v="1065.8999999999999"/>
    <n v="45541.944616516601"/>
    <n v="35321.210000000006"/>
    <n v="0"/>
    <n v="875.07126079200009"/>
    <n v="10220.734616516595"/>
    <n v="0"/>
    <n v="0"/>
    <n v="0"/>
    <n v="34446"/>
    <n v="0"/>
    <n v="0"/>
    <n v="0"/>
    <n v="0"/>
  </r>
  <r>
    <x v="304"/>
    <s v="BISANPUR"/>
    <s v="vlc"/>
    <s v="Indirect"/>
    <n v="468.3"/>
    <n v="18253.95"/>
    <n v="0"/>
    <n v="0"/>
    <n v="0"/>
    <n v="0"/>
    <n v="0"/>
    <n v="0"/>
    <n v="18253.95"/>
    <n v="0"/>
    <n v="0"/>
    <n v="0"/>
    <n v="0"/>
    <n v="0"/>
    <n v="0"/>
    <n v="0"/>
    <n v="0"/>
    <n v="18253.95"/>
    <n v="0"/>
    <n v="0"/>
  </r>
  <r>
    <x v="305"/>
    <s v="BEHRAMA"/>
    <s v="vlc"/>
    <s v="Indirect"/>
    <n v="361.20000000000005"/>
    <n v="13581.21"/>
    <n v="0"/>
    <n v="0"/>
    <n v="0"/>
    <n v="0"/>
    <n v="0"/>
    <n v="0"/>
    <n v="13581.21"/>
    <n v="0"/>
    <n v="0"/>
    <n v="0"/>
    <n v="0"/>
    <n v="0"/>
    <n v="0"/>
    <n v="0"/>
    <n v="0"/>
    <n v="13581.21"/>
    <n v="0"/>
    <n v="0"/>
  </r>
  <r>
    <x v="306"/>
    <s v="Gomukh ID Mathurapur"/>
    <s v="vlc"/>
    <s v="Indirect"/>
    <n v="963.3"/>
    <n v="36351.89"/>
    <n v="0"/>
    <n v="0"/>
    <n v="0"/>
    <n v="0"/>
    <n v="0"/>
    <n v="0"/>
    <n v="36351.89"/>
    <n v="0"/>
    <n v="0"/>
    <n v="0"/>
    <n v="0"/>
    <n v="0"/>
    <n v="0"/>
    <n v="0"/>
    <n v="0"/>
    <n v="36351.89"/>
    <n v="0"/>
    <n v="0"/>
  </r>
  <r>
    <x v="307"/>
    <s v="Gomukh ID Kurha Dih"/>
    <s v="vlc"/>
    <s v="Indirect"/>
    <n v="1540.6000000000001"/>
    <n v="64135.09"/>
    <n v="0"/>
    <n v="0"/>
    <n v="0"/>
    <n v="0"/>
    <n v="0"/>
    <n v="0"/>
    <n v="64135.09"/>
    <n v="0"/>
    <n v="0"/>
    <n v="0"/>
    <n v="0"/>
    <n v="0"/>
    <n v="0"/>
    <n v="0"/>
    <n v="0"/>
    <n v="64135.09"/>
    <n v="0"/>
    <n v="0"/>
  </r>
  <r>
    <x v="308"/>
    <s v="RAMNAGAR"/>
    <s v="MPG"/>
    <s v="Direct"/>
    <n v="693.8"/>
    <n v="29008.400000000005"/>
    <n v="707.75999999999976"/>
    <n v="29498.75576624132"/>
    <n v="7.54"/>
    <n v="287.64418082400005"/>
    <n v="715.29999999999973"/>
    <n v="29786.399947065322"/>
    <n v="29008.400000000005"/>
    <n v="0"/>
    <n v="287.64418082400005"/>
    <n v="777.99994706531652"/>
    <n v="0"/>
    <n v="0"/>
    <n v="0"/>
    <n v="28721"/>
    <n v="0"/>
    <n v="0"/>
    <n v="0"/>
    <n v="0"/>
  </r>
  <r>
    <x v="309"/>
    <s v="SANDH MAAF 2"/>
    <s v="MPG"/>
    <s v="Direct"/>
    <n v="1151.3999999999999"/>
    <n v="54563.44"/>
    <n v="1154.8800000000001"/>
    <n v="56855.623558659201"/>
    <n v="6.5999999999999988"/>
    <n v="318.59185755396004"/>
    <n v="1161.48"/>
    <n v="57174.215416213163"/>
    <n v="54563.44"/>
    <n v="0"/>
    <n v="318.59185755396004"/>
    <n v="2610.7754162131605"/>
    <n v="0"/>
    <n v="0"/>
    <n v="0"/>
    <n v="54245"/>
    <n v="0"/>
    <n v="0"/>
    <n v="0"/>
    <n v="0"/>
  </r>
  <r>
    <x v="311"/>
    <s v="TAAL-SHAHARSHA                                                                                      "/>
    <s v="MPG"/>
    <s v="Direct"/>
    <n v="83.700000000000017"/>
    <n v="3117.9500000000007"/>
    <n v="83.7"/>
    <n v="3137.83619688"/>
    <n v="0"/>
    <n v="0"/>
    <n v="83.7"/>
    <n v="3137.83619688"/>
    <n v="3117.9500000000007"/>
    <n v="0"/>
    <n v="0"/>
    <n v="19.886196879999261"/>
    <n v="0"/>
    <n v="1373.9993999999997"/>
    <n v="0"/>
    <n v="1744"/>
    <n v="0"/>
    <n v="0"/>
    <n v="0"/>
    <n v="0"/>
  </r>
  <r>
    <x v="312"/>
    <s v="Dhira"/>
    <s v="MPG"/>
    <s v="Direct"/>
    <n v="438.09999999999985"/>
    <n v="19866.59"/>
    <n v="435.39000000000004"/>
    <n v="20567.686486301478"/>
    <n v="4.0100000000000007"/>
    <n v="165.58792272000005"/>
    <n v="439.40000000000003"/>
    <n v="20733.274409021476"/>
    <n v="19866.59"/>
    <n v="0"/>
    <n v="165.58792272000005"/>
    <n v="866.68440902147631"/>
    <n v="0"/>
    <n v="0"/>
    <n v="0"/>
    <n v="19701"/>
    <n v="0"/>
    <n v="0"/>
    <n v="0"/>
    <n v="0"/>
  </r>
  <r>
    <x v="313"/>
    <s v="AZADNAGAR(VLC)"/>
    <s v="vlc"/>
    <s v="Indirect"/>
    <n v="280.70000000000005"/>
    <n v="8756.6400000000012"/>
    <n v="0"/>
    <n v="0"/>
    <n v="0"/>
    <n v="0"/>
    <n v="0"/>
    <n v="0"/>
    <n v="8756.6400000000012"/>
    <n v="0"/>
    <n v="0"/>
    <n v="0"/>
    <n v="0"/>
    <n v="0"/>
    <n v="0"/>
    <n v="0"/>
    <n v="0"/>
    <n v="8756.6400000000012"/>
    <n v="0"/>
    <n v="0"/>
  </r>
  <r>
    <x v="314"/>
    <s v="REWAI"/>
    <s v="MPG"/>
    <s v="Direct"/>
    <n v="532.29999999999995"/>
    <n v="21305.420000000002"/>
    <n v="542.06999999999994"/>
    <n v="20865.346170519155"/>
    <n v="1.3399999999999999"/>
    <n v="50.771895272999998"/>
    <n v="543.41"/>
    <n v="20916.118065792154"/>
    <n v="20916.118065792154"/>
    <n v="0"/>
    <n v="50.771895272999998"/>
    <n v="0"/>
    <n v="0"/>
    <n v="0"/>
    <n v="0"/>
    <n v="20865"/>
    <n v="0"/>
    <n v="0"/>
    <n v="390"/>
    <n v="0"/>
  </r>
  <r>
    <x v="316"/>
    <s v="MANJOS"/>
    <s v="MPG"/>
    <s v="Direct"/>
    <n v="823.40000000000009"/>
    <n v="34107.949999999997"/>
    <n v="884.30000000000007"/>
    <n v="37171.000936080003"/>
    <n v="0"/>
    <n v="0"/>
    <n v="884.30000000000007"/>
    <n v="37171.000936080003"/>
    <n v="34107.949999999997"/>
    <n v="0"/>
    <n v="0"/>
    <n v="3063.0509360800061"/>
    <n v="0"/>
    <n v="0"/>
    <n v="0"/>
    <n v="34108"/>
    <n v="0"/>
    <n v="0"/>
    <n v="0"/>
    <n v="0"/>
  </r>
  <r>
    <x v="317"/>
    <s v="RATA"/>
    <s v="MPG"/>
    <s v="Direct"/>
    <n v="485.9"/>
    <n v="19693.199999999997"/>
    <n v="492.46"/>
    <n v="19533.011433911244"/>
    <n v="0"/>
    <n v="0"/>
    <n v="492.46"/>
    <n v="19533.011433911244"/>
    <n v="19533.011433911244"/>
    <n v="0"/>
    <n v="0"/>
    <n v="0"/>
    <n v="0"/>
    <n v="0"/>
    <n v="0"/>
    <n v="19533"/>
    <n v="0"/>
    <n v="0"/>
    <n v="160"/>
    <n v="0"/>
  </r>
  <r>
    <x v="318"/>
    <s v="BARUI"/>
    <s v="MPG"/>
    <s v="Direct"/>
    <n v="391.49999999999994"/>
    <n v="17379.600000000002"/>
    <n v="377.00000000000006"/>
    <n v="17017.350140235452"/>
    <n v="5.7200000000000006"/>
    <n v="246.79751935960002"/>
    <n v="382.72000000000008"/>
    <n v="17264.147659595052"/>
    <n v="17264.147659595052"/>
    <n v="0"/>
    <n v="246.79751935960002"/>
    <n v="0"/>
    <n v="0"/>
    <n v="0"/>
    <n v="0"/>
    <n v="17017"/>
    <n v="0"/>
    <n v="0"/>
    <n v="116"/>
    <n v="0"/>
  </r>
  <r>
    <x v="319"/>
    <s v="LAHUARA                                                                                             "/>
    <s v="MPG"/>
    <s v="Direct"/>
    <n v="686.40000000000009"/>
    <n v="32450.25"/>
    <n v="686.66000000000008"/>
    <n v="36515.021828083394"/>
    <n v="5.6400000000000015"/>
    <n v="293.68855875970002"/>
    <n v="692.30000000000007"/>
    <n v="36808.710386843093"/>
    <n v="32450.25"/>
    <n v="0"/>
    <n v="293.68855875970002"/>
    <n v="4358.4603868430931"/>
    <n v="0"/>
    <n v="0"/>
    <n v="0"/>
    <n v="32157"/>
    <n v="0"/>
    <n v="0"/>
    <n v="0"/>
    <n v="0"/>
  </r>
  <r>
    <x v="320"/>
    <s v="LACHHUAR"/>
    <s v="MPG"/>
    <s v="Direct"/>
    <n v="456.00000000000006"/>
    <n v="17252.989999999998"/>
    <n v="516.81000000000006"/>
    <n v="19645.297589114947"/>
    <n v="1.94"/>
    <n v="76.037882972480006"/>
    <n v="518.75000000000011"/>
    <n v="19721.335472087427"/>
    <n v="17252.989999999998"/>
    <n v="0"/>
    <n v="76.037882972480006"/>
    <n v="2468.3454720874288"/>
    <n v="0"/>
    <n v="0"/>
    <n v="0"/>
    <n v="17177"/>
    <n v="0"/>
    <n v="0"/>
    <n v="0"/>
    <n v="0"/>
  </r>
  <r>
    <x v="321"/>
    <s v="RAMDIH Ajit Kumar"/>
    <s v="vlc"/>
    <s v="Indirect"/>
    <n v="228.29999999999998"/>
    <n v="8759.0199999999986"/>
    <n v="0"/>
    <n v="0"/>
    <n v="0"/>
    <n v="0"/>
    <n v="0"/>
    <n v="0"/>
    <n v="8759.0199999999986"/>
    <n v="0"/>
    <n v="0"/>
    <n v="0"/>
    <n v="0"/>
    <n v="0"/>
    <n v="0"/>
    <n v="0"/>
    <n v="0"/>
    <n v="8759.0199999999986"/>
    <n v="0"/>
    <n v="0"/>
  </r>
  <r>
    <x v="322"/>
    <s v="NARAYANPUR"/>
    <s v="MPG"/>
    <s v="Direct"/>
    <n v="595.6"/>
    <n v="23494.739999999998"/>
    <n v="635.78"/>
    <n v="25139.06615283473"/>
    <n v="1.3999999999999997"/>
    <n v="56.449990122360006"/>
    <n v="637.17999999999995"/>
    <n v="25195.516142957091"/>
    <n v="23494.739999999998"/>
    <n v="0"/>
    <n v="56.449990122360006"/>
    <n v="1700.7761429570928"/>
    <n v="0"/>
    <n v="0"/>
    <n v="0"/>
    <n v="23438"/>
    <n v="0"/>
    <n v="0"/>
    <n v="0"/>
    <n v="0"/>
  </r>
  <r>
    <x v="323"/>
    <s v="NAWKADIH"/>
    <s v="MPG"/>
    <s v="Direct"/>
    <n v="674.1"/>
    <n v="28563.79"/>
    <n v="674.80000000000007"/>
    <n v="30726.940421026353"/>
    <n v="0"/>
    <n v="0"/>
    <n v="674.80000000000007"/>
    <n v="30726.940421026353"/>
    <n v="28563.79"/>
    <n v="0"/>
    <n v="0"/>
    <n v="2163.150421026352"/>
    <n v="0"/>
    <n v="0"/>
    <n v="0"/>
    <n v="28564"/>
    <n v="0"/>
    <n v="0"/>
    <n v="0"/>
    <n v="0"/>
  </r>
  <r>
    <x v="324"/>
    <s v="CHOTAHA"/>
    <s v="MPG"/>
    <s v="Direct"/>
    <n v="782.19999999999993"/>
    <n v="31325.009999999995"/>
    <n v="967.23"/>
    <n v="52928.889972615005"/>
    <n v="0"/>
    <n v="0"/>
    <n v="967.23"/>
    <n v="52928.889972615005"/>
    <n v="31325.009999999995"/>
    <n v="0"/>
    <n v="0"/>
    <n v="21603.87997261501"/>
    <n v="0"/>
    <n v="0"/>
    <n v="0"/>
    <n v="31325"/>
    <n v="0"/>
    <n v="0"/>
    <n v="0"/>
    <n v="0"/>
  </r>
  <r>
    <x v="325"/>
    <s v="KHARAGWADA "/>
    <s v="MPG"/>
    <s v="Direct"/>
    <n v="202.2"/>
    <n v="8251.3199999999979"/>
    <n v="211.7"/>
    <n v="8621.7139883160016"/>
    <n v="0"/>
    <n v="0"/>
    <n v="211.7"/>
    <n v="8621.7139883160016"/>
    <n v="8251.3199999999979"/>
    <n v="0"/>
    <n v="0"/>
    <n v="370.39398831600374"/>
    <n v="0"/>
    <n v="0"/>
    <n v="0"/>
    <n v="8251"/>
    <n v="0"/>
    <n v="0"/>
    <n v="0"/>
    <n v="0"/>
  </r>
  <r>
    <x v="326"/>
    <s v="UFFAPUR"/>
    <s v="MPG"/>
    <s v="Direct"/>
    <n v="180.90000000000003"/>
    <n v="7845.23"/>
    <n v="184.39999999999998"/>
    <n v="7977.1798893599989"/>
    <n v="0"/>
    <n v="0"/>
    <n v="184.39999999999998"/>
    <n v="7977.1798893599989"/>
    <n v="7845.23"/>
    <n v="0"/>
    <n v="0"/>
    <n v="131.94988935999936"/>
    <n v="0"/>
    <n v="0"/>
    <n v="0"/>
    <n v="7845"/>
    <n v="0"/>
    <n v="0"/>
    <n v="0"/>
    <n v="0"/>
  </r>
  <r>
    <x v="327"/>
    <s v="BIHRAURA"/>
    <s v="MPG"/>
    <s v="Direct"/>
    <n v="138.20000000000002"/>
    <n v="5797.0800000000008"/>
    <n v="140.6"/>
    <n v="5891.7017332800015"/>
    <n v="0"/>
    <n v="0"/>
    <n v="140.6"/>
    <n v="5891.7017332800015"/>
    <n v="5797.0800000000008"/>
    <n v="0"/>
    <n v="0"/>
    <n v="94.621733280000626"/>
    <n v="0"/>
    <n v="158.18328000000002"/>
    <n v="0"/>
    <n v="5639"/>
    <n v="0"/>
    <n v="0"/>
    <n v="0"/>
    <n v="0"/>
  </r>
  <r>
    <x v="328"/>
    <s v="SHIJHORI"/>
    <s v="MPG"/>
    <s v="Direct"/>
    <n v="413.60000000000008"/>
    <n v="16644.219999999998"/>
    <n v="413.70000000000005"/>
    <n v="16745.1785818114"/>
    <n v="0"/>
    <n v="0"/>
    <n v="413.70000000000005"/>
    <n v="16745.1785818114"/>
    <n v="16644.219999999998"/>
    <n v="0"/>
    <n v="0"/>
    <n v="100.95858181140284"/>
    <n v="0"/>
    <n v="0"/>
    <n v="0"/>
    <n v="16644"/>
    <n v="0"/>
    <n v="0"/>
    <n v="0"/>
    <n v="0"/>
  </r>
  <r>
    <x v="329"/>
    <s v="RAM PRAVESH YADAV"/>
    <s v="MPG"/>
    <s v="Direct"/>
    <n v="384.8"/>
    <n v="14878.420000000002"/>
    <n v="391.72"/>
    <n v="16394.920164266081"/>
    <n v="0"/>
    <n v="0"/>
    <n v="391.72"/>
    <n v="16394.920164266081"/>
    <n v="14878.420000000002"/>
    <n v="0"/>
    <n v="0"/>
    <n v="1516.5001642660791"/>
    <n v="0"/>
    <n v="0"/>
    <n v="0"/>
    <n v="14878"/>
    <n v="0"/>
    <n v="0"/>
    <n v="0"/>
    <n v="0"/>
  </r>
  <r>
    <x v="330"/>
    <s v="BOUDHNAGAR"/>
    <s v="MPG"/>
    <s v="Direct"/>
    <n v="389.6"/>
    <n v="14767.279999999999"/>
    <n v="454.46000000000004"/>
    <n v="17088.007898610002"/>
    <n v="0"/>
    <n v="0"/>
    <n v="454.46000000000004"/>
    <n v="17088.007898610002"/>
    <n v="14767.279999999999"/>
    <n v="0"/>
    <n v="0"/>
    <n v="2320.7278986100027"/>
    <n v="0"/>
    <n v="0"/>
    <n v="0"/>
    <n v="14767"/>
    <n v="0"/>
    <n v="0"/>
    <n v="0"/>
    <n v="0"/>
  </r>
  <r>
    <x v="331"/>
    <s v="MOHADDINGAR"/>
    <s v="MPG"/>
    <s v="Direct"/>
    <n v="504.7"/>
    <n v="20004.77"/>
    <n v="547.76"/>
    <n v="21886.646410350273"/>
    <n v="0"/>
    <n v="0"/>
    <n v="547.76"/>
    <n v="21886.646410350273"/>
    <n v="20004.77"/>
    <n v="0"/>
    <n v="0"/>
    <n v="1881.8764103502726"/>
    <n v="0"/>
    <n v="0"/>
    <n v="0"/>
    <n v="20005"/>
    <n v="0"/>
    <n v="0"/>
    <n v="0"/>
    <n v="0"/>
  </r>
  <r>
    <x v="332"/>
    <s v="PACHAUTA"/>
    <s v="MPG"/>
    <s v="Direct"/>
    <n v="644.19999999999993"/>
    <n v="25039.599999999999"/>
    <n v="715.57"/>
    <n v="29462.478248015999"/>
    <n v="0"/>
    <n v="0"/>
    <n v="715.57"/>
    <n v="29462.478248015999"/>
    <n v="25039.599999999999"/>
    <n v="0"/>
    <n v="0"/>
    <n v="4422.8782480160007"/>
    <n v="0"/>
    <n v="0"/>
    <n v="0"/>
    <n v="25040"/>
    <n v="0"/>
    <n v="0"/>
    <n v="0"/>
    <n v="0"/>
  </r>
  <r>
    <x v="333"/>
    <s v="Gomukh Champa"/>
    <s v="vlc"/>
    <s v="Indirect"/>
    <n v="15520"/>
    <n v="565823.19999999995"/>
    <n v="0"/>
    <n v="0"/>
    <n v="0"/>
    <n v="0"/>
    <n v="0"/>
    <n v="0"/>
    <n v="565823.19999999995"/>
    <n v="0"/>
    <n v="0"/>
    <n v="0"/>
    <n v="0"/>
    <n v="0"/>
    <n v="0"/>
    <n v="0"/>
    <n v="0"/>
    <n v="565823.19999999995"/>
    <n v="0"/>
    <n v="0"/>
  </r>
  <r>
    <x v="334"/>
    <s v="GOMUKH DAKRA"/>
    <s v="vlc"/>
    <s v="Indirect"/>
    <n v="15500.599999999999"/>
    <n v="564976.54"/>
    <n v="0"/>
    <n v="0"/>
    <n v="0"/>
    <n v="0"/>
    <n v="0"/>
    <n v="0"/>
    <n v="564976.54"/>
    <n v="0"/>
    <n v="0"/>
    <n v="0"/>
    <n v="0"/>
    <n v="0"/>
    <n v="0"/>
    <n v="0"/>
    <n v="0"/>
    <n v="564976.54"/>
    <n v="0"/>
    <n v="0"/>
  </r>
  <r>
    <x v="335"/>
    <s v="TIYAY"/>
    <s v="MPG"/>
    <s v="Direct"/>
    <n v="309.49999999999994"/>
    <n v="11477.68"/>
    <n v="321.7"/>
    <n v="12026.162289240003"/>
    <n v="0"/>
    <n v="0"/>
    <n v="321.7"/>
    <n v="12026.162289240003"/>
    <n v="11477.68"/>
    <n v="0"/>
    <n v="0"/>
    <n v="548.4822892400025"/>
    <n v="0"/>
    <n v="0"/>
    <n v="0"/>
    <n v="11478"/>
    <n v="0"/>
    <n v="0"/>
    <n v="0"/>
    <n v="0"/>
  </r>
  <r>
    <x v="336"/>
    <s v="BILLO 2"/>
    <s v="MPG"/>
    <s v="Direct"/>
    <n v="254.69999999999996"/>
    <n v="9810.8499999999985"/>
    <n v="266.91000000000003"/>
    <n v="10375.050204288"/>
    <n v="0"/>
    <n v="0"/>
    <n v="266.91000000000003"/>
    <n v="10375.050204288"/>
    <n v="9810.8499999999985"/>
    <n v="0"/>
    <n v="0"/>
    <n v="564.20020428800126"/>
    <n v="0"/>
    <n v="0"/>
    <n v="0"/>
    <n v="9811"/>
    <n v="0"/>
    <n v="0"/>
    <n v="0"/>
    <n v="0"/>
  </r>
  <r>
    <x v="337"/>
    <s v="NAWADIH 2"/>
    <s v="MPG"/>
    <s v="Direct"/>
    <n v="331.2"/>
    <n v="14645.98"/>
    <n v="331.3"/>
    <n v="14125.678518600002"/>
    <n v="0"/>
    <n v="0"/>
    <n v="331.3"/>
    <n v="14125.678518600002"/>
    <n v="14125.678518600002"/>
    <n v="0"/>
    <n v="0"/>
    <n v="0"/>
    <n v="0"/>
    <n v="0"/>
    <n v="0"/>
    <n v="14126"/>
    <n v="0"/>
    <n v="0"/>
    <n v="520"/>
    <n v="0"/>
  </r>
  <r>
    <x v="338"/>
    <s v="Vishan Pur"/>
    <s v="MPG"/>
    <s v="Direct"/>
    <n v="824.19999999999993"/>
    <n v="30375.279999999999"/>
    <n v="828.69"/>
    <n v="32775.22078974"/>
    <n v="7.04"/>
    <n v="270.06119949600009"/>
    <n v="835.73"/>
    <n v="33045.281989235998"/>
    <n v="30375.279999999999"/>
    <n v="0"/>
    <n v="270.06119949600009"/>
    <n v="2670.0019892359996"/>
    <n v="0"/>
    <n v="0"/>
    <n v="0"/>
    <n v="30105"/>
    <n v="0"/>
    <n v="0"/>
    <n v="0"/>
    <s v="Release1"/>
  </r>
  <r>
    <x v="339"/>
    <s v="Gomukh Madhawpur"/>
    <s v="MPG"/>
    <s v="Direct"/>
    <n v="1224.8999999999999"/>
    <n v="46812.35"/>
    <n v="1342.3"/>
    <n v="57342.113976980007"/>
    <n v="6.7"/>
    <n v="308.01656951999996"/>
    <n v="1349"/>
    <n v="57650.130546500004"/>
    <n v="46812.35"/>
    <n v="0"/>
    <n v="308.01656951999996"/>
    <n v="10837.780546500006"/>
    <n v="6500"/>
    <n v="0"/>
    <n v="0"/>
    <n v="40004"/>
    <n v="0"/>
    <n v="0"/>
    <n v="0"/>
    <s v="Release1"/>
  </r>
  <r>
    <x v="340"/>
    <s v="Gomukh Muradpur"/>
    <s v="vlc"/>
    <s v="Indirect"/>
    <n v="126.19999999999999"/>
    <n v="4149.8600000000006"/>
    <n v="0"/>
    <n v="0"/>
    <n v="0"/>
    <n v="0"/>
    <n v="0"/>
    <n v="0"/>
    <n v="4149.8600000000006"/>
    <n v="0"/>
    <n v="0"/>
    <n v="0"/>
    <n v="0"/>
    <n v="0"/>
    <n v="0"/>
    <n v="0"/>
    <n v="0"/>
    <n v="4149.8600000000006"/>
    <n v="0"/>
    <n v="0"/>
  </r>
  <r>
    <x v="341"/>
    <s v="Gomukh Kanhaiyachak Pachhim"/>
    <s v="MPG"/>
    <s v="Direct"/>
    <n v="1125.3"/>
    <n v="44608.729999999996"/>
    <n v="1145.02"/>
    <n v="51469.412852384798"/>
    <n v="0"/>
    <n v="0"/>
    <n v="1145.02"/>
    <n v="51469.412852384798"/>
    <n v="44608.729999999996"/>
    <n v="0"/>
    <n v="0"/>
    <n v="6860.6828523848017"/>
    <n v="0"/>
    <n v="0"/>
    <n v="0"/>
    <n v="44609"/>
    <n v="0"/>
    <n v="0"/>
    <n v="0"/>
    <n v="0"/>
  </r>
  <r>
    <x v="342"/>
    <s v="Gomukh Srirampur Thuthi"/>
    <s v="MPG"/>
    <s v="Direct"/>
    <n v="348"/>
    <n v="13053.650000000001"/>
    <n v="350.18000000000006"/>
    <n v="13494.2048208"/>
    <n v="0"/>
    <n v="0"/>
    <n v="350.18000000000006"/>
    <n v="13494.2048208"/>
    <n v="13053.650000000001"/>
    <n v="0"/>
    <n v="0"/>
    <n v="440.5548207999982"/>
    <n v="0"/>
    <n v="0"/>
    <n v="0"/>
    <n v="13054"/>
    <n v="0"/>
    <n v="0"/>
    <n v="0"/>
    <n v="0"/>
  </r>
  <r>
    <x v="343"/>
    <s v="Gomukh Dumariya Bujurg Madhay"/>
    <s v="MPG"/>
    <s v="Direct"/>
    <n v="123.2"/>
    <n v="5016.8300000000008"/>
    <n v="140"/>
    <n v="5821.3552320000017"/>
    <n v="0"/>
    <n v="0"/>
    <n v="140"/>
    <n v="5821.3552320000017"/>
    <n v="5016.8300000000008"/>
    <n v="0"/>
    <n v="0"/>
    <n v="804.52523200000087"/>
    <n v="0"/>
    <n v="0"/>
    <n v="0"/>
    <n v="5017"/>
    <n v="0"/>
    <n v="0"/>
    <n v="0"/>
    <s v="Release1"/>
  </r>
  <r>
    <x v="344"/>
    <s v="Gomukh Bandahera                                                                                    "/>
    <s v="MPG"/>
    <s v="Direct"/>
    <n v="475.70000000000005"/>
    <n v="17222.239999999998"/>
    <n v="0"/>
    <n v="0"/>
    <n v="0"/>
    <n v="0"/>
    <n v="0"/>
    <n v="0"/>
    <n v="0"/>
    <n v="0"/>
    <n v="0"/>
    <n v="0"/>
    <n v="0"/>
    <n v="0"/>
    <n v="0"/>
    <n v="0"/>
    <n v="0"/>
    <n v="17222"/>
    <n v="0"/>
    <n v="0"/>
  </r>
  <r>
    <x v="345"/>
    <s v="Gomukh Badi Lagar-1 Kiran"/>
    <s v="vlc"/>
    <s v="Indirect"/>
    <n v="522.29999999999995"/>
    <n v="17788.16"/>
    <n v="0"/>
    <n v="0"/>
    <n v="0"/>
    <n v="0"/>
    <n v="0"/>
    <n v="0"/>
    <n v="17788.16"/>
    <n v="0"/>
    <n v="0"/>
    <n v="0"/>
    <n v="0"/>
    <n v="374.78310967742038"/>
    <n v="0"/>
    <n v="0"/>
    <n v="0"/>
    <n v="17413.376890322579"/>
    <n v="0"/>
    <n v="0"/>
  </r>
  <r>
    <x v="933"/>
    <s v="Gomukh Muradpur Deepak"/>
    <s v="vlc"/>
    <s v="Indirect"/>
    <n v="435.8"/>
    <n v="14196.250000000002"/>
    <n v="0"/>
    <n v="0"/>
    <n v="0"/>
    <n v="0"/>
    <n v="0"/>
    <n v="0"/>
    <n v="14196.250000000002"/>
    <n v="0"/>
    <n v="0"/>
    <n v="0"/>
    <n v="0"/>
    <n v="0"/>
    <n v="0"/>
    <n v="0"/>
    <n v="0"/>
    <n v="14196.250000000002"/>
    <n v="0"/>
    <n v="0"/>
  </r>
  <r>
    <x v="346"/>
    <s v="Gomukh Basudevpur"/>
    <s v="vlc"/>
    <s v="Indirect"/>
    <n v="73.099999999999994"/>
    <n v="2706.8600000000006"/>
    <n v="0"/>
    <n v="0"/>
    <n v="0"/>
    <n v="0"/>
    <n v="0"/>
    <n v="0"/>
    <n v="2706.8600000000006"/>
    <n v="0"/>
    <n v="0"/>
    <n v="0"/>
    <n v="0"/>
    <n v="0"/>
    <n v="0"/>
    <n v="0"/>
    <n v="0"/>
    <n v="2706.8600000000006"/>
    <n v="0"/>
    <n v="0"/>
  </r>
  <r>
    <x v="347"/>
    <s v="Gomukh Tehay"/>
    <s v="MPG"/>
    <s v="Direct"/>
    <n v="186.00000000000003"/>
    <n v="9351.619999999999"/>
    <n v="207.09999999999997"/>
    <n v="10447.072076275801"/>
    <n v="0"/>
    <n v="0"/>
    <n v="207.09999999999997"/>
    <n v="10447.072076275801"/>
    <n v="9351.619999999999"/>
    <n v="0"/>
    <n v="0"/>
    <n v="1095.452076275802"/>
    <n v="0"/>
    <n v="0"/>
    <n v="0"/>
    <n v="9352"/>
    <n v="0"/>
    <n v="0"/>
    <n v="0"/>
    <n v="0"/>
  </r>
  <r>
    <x v="348"/>
    <s v="Gomukh Buddhnagar"/>
    <s v="vlc"/>
    <s v="Indirect"/>
    <n v="1188.5999999999999"/>
    <n v="42977.25"/>
    <n v="0"/>
    <n v="0"/>
    <n v="0"/>
    <n v="0"/>
    <n v="0"/>
    <n v="0"/>
    <n v="42977.25"/>
    <n v="0"/>
    <n v="0"/>
    <n v="0"/>
    <n v="0"/>
    <n v="0"/>
    <n v="0"/>
    <n v="0"/>
    <n v="0"/>
    <n v="42977.25"/>
    <n v="0"/>
    <n v="0"/>
  </r>
  <r>
    <x v="934"/>
    <s v="Gomukh Krochaka Dudhela"/>
    <s v="MPG"/>
    <s v="Direct"/>
    <n v="319.29999999999995"/>
    <n v="11356.869999999999"/>
    <n v="638.20000000000005"/>
    <n v="24887.548622376005"/>
    <n v="2.48"/>
    <n v="95.689582560000005"/>
    <n v="640.68000000000006"/>
    <n v="24983.238204936006"/>
    <n v="11356.869999999999"/>
    <n v="0"/>
    <n v="95.689582560000005"/>
    <n v="13626.368204936007"/>
    <n v="0"/>
    <n v="963.89"/>
    <n v="0"/>
    <n v="10297"/>
    <n v="0"/>
    <n v="0"/>
    <n v="0"/>
    <s v="Release1"/>
  </r>
  <r>
    <x v="349"/>
    <s v="Gomukh Govind Pur"/>
    <s v="MPG"/>
    <s v="Direct"/>
    <n v="165.7"/>
    <n v="5899.98"/>
    <n v="165.7"/>
    <n v="6561.9037281600004"/>
    <n v="0"/>
    <n v="0"/>
    <n v="165.7"/>
    <n v="6561.9037281600004"/>
    <n v="5899.98"/>
    <n v="0"/>
    <n v="0"/>
    <n v="661.92372816000079"/>
    <n v="0"/>
    <n v="519.55899310344842"/>
    <n v="0"/>
    <n v="5380"/>
    <n v="0"/>
    <n v="0"/>
    <n v="0"/>
    <n v="0"/>
  </r>
  <r>
    <x v="350"/>
    <s v="Gomukh Sondiha"/>
    <s v="MPG"/>
    <s v="Direct"/>
    <n v="1218"/>
    <n v="45067.9"/>
    <n v="1264"/>
    <n v="47325.369762000002"/>
    <n v="0"/>
    <n v="0"/>
    <n v="1264"/>
    <n v="47325.369762000002"/>
    <n v="45067.9"/>
    <n v="0"/>
    <n v="0"/>
    <n v="2257.4697620000006"/>
    <n v="0"/>
    <n v="0"/>
    <n v="0"/>
    <n v="45068"/>
    <n v="0"/>
    <n v="0"/>
    <n v="0"/>
    <n v="0"/>
  </r>
  <r>
    <x v="351"/>
    <s v="Gomukh Thebhay B"/>
    <s v="MPG"/>
    <s v="Direct"/>
    <n v="196.2"/>
    <n v="8614.2799999999988"/>
    <n v="312.86"/>
    <n v="12990.722720477404"/>
    <n v="2.11"/>
    <n v="87.185929525200009"/>
    <n v="314.97000000000003"/>
    <n v="13077.908650002604"/>
    <n v="8614.2799999999988"/>
    <n v="0"/>
    <n v="87.185929525200009"/>
    <n v="4463.6286500026054"/>
    <n v="0"/>
    <n v="143.95550163934428"/>
    <n v="0"/>
    <n v="8383"/>
    <n v="0"/>
    <n v="0"/>
    <n v="0"/>
    <n v="0"/>
  </r>
  <r>
    <x v="352"/>
    <s v="Gomukh Baisa"/>
    <s v="MPG"/>
    <s v="Direct"/>
    <n v="265"/>
    <n v="9486.1400000000012"/>
    <n v="265"/>
    <n v="10984.017330000001"/>
    <n v="0"/>
    <n v="0"/>
    <n v="265"/>
    <n v="10984.017330000001"/>
    <n v="9486.1400000000012"/>
    <n v="0"/>
    <n v="0"/>
    <n v="1497.8773299999993"/>
    <n v="0"/>
    <n v="0"/>
    <n v="0"/>
    <n v="9486"/>
    <n v="0"/>
    <n v="0"/>
    <n v="0"/>
    <s v="Release1"/>
  </r>
  <r>
    <x v="354"/>
    <s v="Gomukh Khutha VLC"/>
    <s v="vlc"/>
    <s v="Indirect"/>
    <n v="7274.5"/>
    <n v="288274.17"/>
    <n v="0"/>
    <n v="0"/>
    <n v="0"/>
    <n v="0"/>
    <n v="0"/>
    <n v="0"/>
    <n v="288274.17"/>
    <n v="0"/>
    <n v="0"/>
    <n v="0"/>
    <n v="0"/>
    <n v="0"/>
    <n v="0"/>
    <n v="0"/>
    <n v="0"/>
    <n v="288274.17"/>
    <n v="0"/>
    <n v="0"/>
  </r>
  <r>
    <x v="355"/>
    <s v="Gomukh Kabela Vlc"/>
    <s v="vlc"/>
    <s v="Indirect"/>
    <n v="799.8"/>
    <n v="26829.82"/>
    <n v="0"/>
    <n v="0"/>
    <n v="0"/>
    <n v="0"/>
    <n v="0"/>
    <n v="0"/>
    <n v="26829.82"/>
    <n v="0"/>
    <n v="0"/>
    <n v="0"/>
    <n v="0"/>
    <n v="0"/>
    <n v="0"/>
    <n v="0"/>
    <n v="0"/>
    <n v="26829.82"/>
    <n v="0"/>
    <n v="0"/>
  </r>
  <r>
    <x v="356"/>
    <s v="Gomukh Madhabpur Purbi Vlc"/>
    <s v="vlc"/>
    <s v="Indirect"/>
    <n v="26.5"/>
    <n v="864.06999999999994"/>
    <n v="0"/>
    <n v="0"/>
    <n v="0"/>
    <n v="0"/>
    <n v="0"/>
    <n v="0"/>
    <n v="864.06999999999994"/>
    <n v="0"/>
    <n v="0"/>
    <n v="0"/>
    <n v="0"/>
    <n v="0"/>
    <n v="0"/>
    <n v="0"/>
    <n v="0"/>
    <n v="864.06999999999994"/>
    <n v="0"/>
    <n v="0"/>
  </r>
  <r>
    <x v="357"/>
    <s v="Gomukh Manish Vlc"/>
    <s v="vlc"/>
    <s v="Indirect"/>
    <n v="2898.9000000000005"/>
    <n v="135626.6"/>
    <n v="0"/>
    <n v="0"/>
    <n v="0"/>
    <n v="0"/>
    <n v="0"/>
    <n v="0"/>
    <n v="135626.6"/>
    <n v="0"/>
    <n v="0"/>
    <n v="0"/>
    <n v="0"/>
    <n v="0"/>
    <n v="0"/>
    <n v="0"/>
    <n v="0"/>
    <n v="135626.6"/>
    <n v="0"/>
    <n v="0"/>
  </r>
  <r>
    <x v="358"/>
    <s v="Gomukh Mahendrapur"/>
    <s v="MPG"/>
    <s v="Direct"/>
    <n v="2012.1000000000001"/>
    <n v="78861.73000000001"/>
    <n v="1979.5"/>
    <n v="79799.501931388208"/>
    <n v="41"/>
    <n v="1674.0700019999999"/>
    <n v="2020.5"/>
    <n v="81473.571933388201"/>
    <n v="78861.73000000001"/>
    <n v="0"/>
    <n v="1674.0700019999999"/>
    <n v="2611.8419333881902"/>
    <n v="2700"/>
    <n v="0"/>
    <n v="0"/>
    <n v="74488"/>
    <n v="0"/>
    <n v="0"/>
    <n v="0"/>
    <n v="0"/>
  </r>
  <r>
    <x v="359"/>
    <s v="Gomukh Balahpur"/>
    <s v="MPG"/>
    <s v="Direct"/>
    <n v="322.60000000000002"/>
    <n v="11724.17"/>
    <n v="359.7"/>
    <n v="13175.698143959999"/>
    <n v="0"/>
    <n v="0"/>
    <n v="359.7"/>
    <n v="13175.698143959999"/>
    <n v="11724.17"/>
    <n v="0"/>
    <n v="0"/>
    <n v="1451.5281439599985"/>
    <n v="0"/>
    <n v="0"/>
    <n v="0"/>
    <n v="11724"/>
    <n v="0"/>
    <n v="0"/>
    <n v="0"/>
    <n v="0"/>
  </r>
  <r>
    <x v="360"/>
    <s v="Gomukh Danauli"/>
    <s v="MPG"/>
    <s v="Direct"/>
    <n v="472.89999999999986"/>
    <n v="17339.800000000003"/>
    <n v="472.8"/>
    <n v="17387.919806400001"/>
    <n v="1.4000000000000001"/>
    <n v="51.441908760000025"/>
    <n v="474.2"/>
    <n v="17439.361715160001"/>
    <n v="17339.800000000003"/>
    <n v="0"/>
    <n v="51.441908760000025"/>
    <n v="99.56171515999813"/>
    <n v="0"/>
    <n v="53.271599999999353"/>
    <n v="0"/>
    <n v="17235"/>
    <n v="0"/>
    <n v="0"/>
    <n v="0"/>
    <n v="0"/>
  </r>
  <r>
    <x v="361"/>
    <s v="NAYAGAW"/>
    <s v="MPG"/>
    <s v="Direct"/>
    <n v="4597.5"/>
    <n v="187122.29999999996"/>
    <n v="4571.6600000000008"/>
    <n v="186440.38484829559"/>
    <n v="29.199999999999996"/>
    <n v="2177.5153966717799"/>
    <n v="4600.8600000000006"/>
    <n v="188617.90024496737"/>
    <n v="187122.29999999996"/>
    <n v="0"/>
    <n v="2177.5153966717799"/>
    <n v="1495.6002449674124"/>
    <n v="0"/>
    <n v="0"/>
    <n v="0"/>
    <n v="184945"/>
    <n v="0"/>
    <n v="0"/>
    <n v="0"/>
    <n v="0"/>
  </r>
  <r>
    <x v="362"/>
    <s v="Dandari"/>
    <s v="MPG"/>
    <s v="Direct"/>
    <n v="1295"/>
    <n v="46943.91"/>
    <n v="1298.3"/>
    <n v="47225.814993522006"/>
    <n v="2.4"/>
    <n v="88.028060076000017"/>
    <n v="1300.7"/>
    <n v="47313.843053598008"/>
    <n v="46943.91"/>
    <n v="0"/>
    <n v="88.028060076000017"/>
    <n v="369.93305359800434"/>
    <n v="0"/>
    <n v="0"/>
    <n v="0"/>
    <n v="46856"/>
    <n v="0"/>
    <n v="0"/>
    <n v="0"/>
    <n v="0"/>
  </r>
  <r>
    <x v="363"/>
    <s v="Rahimpur Pachkhutti"/>
    <s v="vlc"/>
    <s v="Indirect"/>
    <n v="5923.3"/>
    <n v="226984.38000000003"/>
    <n v="0"/>
    <n v="0"/>
    <n v="0"/>
    <n v="0"/>
    <n v="0"/>
    <n v="0"/>
    <n v="226984.38000000003"/>
    <n v="0"/>
    <n v="0"/>
    <n v="0"/>
    <n v="0"/>
    <n v="0"/>
    <n v="0"/>
    <n v="0"/>
    <n v="0"/>
    <n v="226984.38000000003"/>
    <n v="0"/>
    <n v="0"/>
  </r>
  <r>
    <x v="364"/>
    <s v="Gomukh Mohanpur                                                                                     "/>
    <s v="MPG"/>
    <s v="Direct"/>
    <n v="848.09999999999991"/>
    <n v="31372.210000000003"/>
    <n v="950"/>
    <n v="35498.716862400004"/>
    <n v="1.8"/>
    <n v="66.925908719999995"/>
    <n v="951.8"/>
    <n v="35565.642771120001"/>
    <n v="31372.210000000003"/>
    <n v="0"/>
    <n v="66.925908719999995"/>
    <n v="4193.4327711199985"/>
    <n v="1300"/>
    <n v="0"/>
    <n v="0"/>
    <n v="30005"/>
    <n v="0"/>
    <n v="0"/>
    <n v="0"/>
    <s v="Release1"/>
  </r>
  <r>
    <x v="365"/>
    <s v="Gomukh Raghunathpur"/>
    <s v="MPG"/>
    <s v="Direct"/>
    <n v="941.80000000000018"/>
    <n v="41148.53"/>
    <n v="957.50000000000011"/>
    <n v="40980.42076759565"/>
    <n v="15.799999999999999"/>
    <n v="669.70434007224014"/>
    <n v="973.30000000000007"/>
    <n v="41650.125107667889"/>
    <n v="41148.53"/>
    <n v="0"/>
    <n v="669.70434007224014"/>
    <n v="501.59510766789026"/>
    <n v="0"/>
    <n v="101.5126799999999"/>
    <n v="0"/>
    <n v="40377"/>
    <n v="0"/>
    <n v="0"/>
    <n v="0"/>
    <n v="0"/>
  </r>
  <r>
    <x v="366"/>
    <s v="Gomukh Chhitraur"/>
    <s v="MPG"/>
    <s v="Direct"/>
    <n v="1099.1000000000001"/>
    <n v="44761.53"/>
    <n v="1093.46"/>
    <n v="46620.560065746497"/>
    <n v="0"/>
    <n v="0"/>
    <n v="1093.46"/>
    <n v="46620.560065746497"/>
    <n v="44761.53"/>
    <n v="0"/>
    <n v="0"/>
    <n v="1859.0300657464977"/>
    <n v="0"/>
    <n v="0"/>
    <n v="0"/>
    <n v="44762"/>
    <n v="0"/>
    <n v="0"/>
    <n v="0"/>
    <n v="0"/>
  </r>
  <r>
    <x v="367"/>
    <s v="Gomukh Khorampur Chakaur"/>
    <s v="MPG"/>
    <s v="Direct"/>
    <n v="776.7"/>
    <n v="30815.840000000004"/>
    <n v="762.7"/>
    <n v="30877.280192880004"/>
    <n v="3.5"/>
    <n v="142.49793690000001"/>
    <n v="766.2"/>
    <n v="31019.778129780003"/>
    <n v="30815.840000000004"/>
    <n v="0"/>
    <n v="142.49793690000001"/>
    <n v="203.93812977999914"/>
    <n v="0"/>
    <n v="0"/>
    <n v="0"/>
    <n v="30673"/>
    <n v="0"/>
    <n v="0"/>
    <n v="0"/>
    <n v="0"/>
  </r>
  <r>
    <x v="368"/>
    <s v="GOMUKH Mathar"/>
    <s v="MPG"/>
    <s v="Direct"/>
    <n v="64.400000000000006"/>
    <n v="2509.2800000000002"/>
    <n v="63.319999999999993"/>
    <n v="2300.2099079921995"/>
    <n v="0.94"/>
    <n v="33.706221931800002"/>
    <n v="64.259999999999991"/>
    <n v="2333.9161299239995"/>
    <n v="2333.9161299239995"/>
    <n v="0"/>
    <n v="33.706221931800002"/>
    <n v="0"/>
    <n v="0"/>
    <n v="80.42"/>
    <n v="0"/>
    <n v="2219"/>
    <n v="0"/>
    <n v="0"/>
    <n v="176"/>
    <s v="Release1"/>
  </r>
  <r>
    <x v="369"/>
    <s v="Gomukh Kumar Chakki"/>
    <s v="MPG"/>
    <s v="Direct"/>
    <n v="185.1"/>
    <n v="6279.71"/>
    <n v="182.5"/>
    <n v="6725.3026420799997"/>
    <n v="0.5"/>
    <n v="18.546529320000005"/>
    <n v="183"/>
    <n v="6743.8491714000002"/>
    <n v="6279.71"/>
    <n v="0"/>
    <n v="18.546529320000005"/>
    <n v="464.13917140000012"/>
    <n v="0"/>
    <n v="505.7016749999998"/>
    <n v="0"/>
    <n v="5755"/>
    <n v="0"/>
    <n v="0"/>
    <n v="0"/>
    <n v="0"/>
  </r>
  <r>
    <x v="370"/>
    <s v="Gomukh Sonapur"/>
    <s v="vlc"/>
    <s v="Indirect"/>
    <n v="421.79999999999995"/>
    <n v="15940.889999999998"/>
    <n v="0"/>
    <n v="0"/>
    <n v="0"/>
    <n v="0"/>
    <n v="0"/>
    <n v="0"/>
    <n v="15940.889999999998"/>
    <n v="0"/>
    <n v="0"/>
    <n v="0"/>
    <n v="0"/>
    <n v="196.05750967741915"/>
    <n v="0"/>
    <n v="0"/>
    <n v="0"/>
    <n v="15744.832490322578"/>
    <n v="0"/>
    <n v="0"/>
  </r>
  <r>
    <x v="371"/>
    <s v="Gomukh Barkhandi 2"/>
    <s v="MPG"/>
    <s v="Indirect"/>
    <n v="516.80000000000007"/>
    <n v="19137.57"/>
    <n v="0"/>
    <n v="0"/>
    <n v="0"/>
    <n v="0"/>
    <n v="0"/>
    <n v="0"/>
    <n v="19137.57"/>
    <n v="0"/>
    <n v="0"/>
    <n v="0"/>
    <n v="0"/>
    <n v="868.74054193548272"/>
    <n v="0"/>
    <n v="0"/>
    <n v="0"/>
    <n v="18268.829458064516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679.6"/>
    <n v="25862.649999999998"/>
    <n v="681.40000000000009"/>
    <n v="26234.575638480004"/>
    <n v="3.1999999999999997"/>
    <n v="123.02753364000003"/>
    <n v="684.60000000000014"/>
    <n v="26357.603172120005"/>
    <n v="25862.649999999998"/>
    <n v="0"/>
    <n v="123.02753364000003"/>
    <n v="494.95317212000737"/>
    <n v="0"/>
    <n v="0"/>
    <n v="0"/>
    <n v="25740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610.9"/>
    <n v="24589.34"/>
    <n v="733.5"/>
    <n v="28991.774862540005"/>
    <n v="0"/>
    <n v="0"/>
    <n v="733.5"/>
    <n v="28991.774862540005"/>
    <n v="24589.34"/>
    <n v="0"/>
    <n v="0"/>
    <n v="4402.4348625400053"/>
    <n v="0"/>
    <n v="2576.4678436363643"/>
    <n v="0"/>
    <n v="22012"/>
    <n v="0"/>
    <n v="0"/>
    <n v="1"/>
    <n v="0"/>
  </r>
  <r>
    <x v="374"/>
    <s v="GOMUKH KATAHRI"/>
    <s v="MPG"/>
    <s v="Direct"/>
    <n v="102.4"/>
    <n v="4874.54"/>
    <n v="108.5"/>
    <n v="5269.4498786550012"/>
    <n v="2.7"/>
    <n v="133.60220002440005"/>
    <n v="111.2"/>
    <n v="5403.0520786794013"/>
    <n v="4874.54"/>
    <n v="0"/>
    <n v="133.60220002440005"/>
    <n v="528.51207867940138"/>
    <n v="3900"/>
    <n v="0"/>
    <n v="0"/>
    <n v="841"/>
    <n v="0"/>
    <n v="0"/>
    <n v="0"/>
    <s v="Release2"/>
  </r>
  <r>
    <x v="375"/>
    <s v="GOMUKH Mathar Ward 10"/>
    <s v="MPG"/>
    <s v="Direct"/>
    <n v="715.09999999999991"/>
    <n v="29071.140000000003"/>
    <n v="630.76"/>
    <n v="26073.4191637316"/>
    <n v="209.5"/>
    <n v="8698.7098105343612"/>
    <n v="840.26"/>
    <n v="34772.128974265957"/>
    <n v="29071.140000000003"/>
    <n v="0"/>
    <n v="0"/>
    <n v="5700.9889742659543"/>
    <n v="0"/>
    <n v="0"/>
    <n v="0"/>
    <n v="20372"/>
    <n v="8699"/>
    <n v="0"/>
    <n v="0"/>
    <n v="0"/>
  </r>
  <r>
    <x v="376"/>
    <s v="GOMUKH Tartor 2"/>
    <s v="MPG"/>
    <s v="Direct"/>
    <n v="300.29999999999995"/>
    <n v="12941.48"/>
    <n v="309.5"/>
    <n v="14393.080938917003"/>
    <n v="0"/>
    <n v="0"/>
    <n v="309.5"/>
    <n v="14393.080938917003"/>
    <n v="12941.48"/>
    <n v="0"/>
    <n v="0"/>
    <n v="1451.6009389170031"/>
    <n v="0"/>
    <n v="0"/>
    <n v="0"/>
    <n v="12941"/>
    <n v="0"/>
    <n v="0"/>
    <n v="0"/>
    <s v="Release1"/>
  </r>
  <r>
    <x v="377"/>
    <s v="Gomukh Chaidha"/>
    <s v="MPG"/>
    <s v="Direct"/>
    <n v="1013.4999999999998"/>
    <n v="39291.21"/>
    <n v="1009.46"/>
    <n v="39127.690499591277"/>
    <n v="6.240000000000002"/>
    <n v="233.62781650560004"/>
    <n v="1015.7"/>
    <n v="39361.318316096877"/>
    <n v="39291.21"/>
    <n v="0"/>
    <n v="233.62781650560004"/>
    <n v="70.108316096877388"/>
    <n v="6500"/>
    <n v="0"/>
    <n v="0"/>
    <n v="32558"/>
    <n v="0"/>
    <n v="0"/>
    <n v="0"/>
    <s v="Release1"/>
  </r>
  <r>
    <x v="378"/>
    <s v="Gomukh Bakiya"/>
    <s v="MPG"/>
    <s v="Direct"/>
    <n v="892.50000000000011"/>
    <n v="35439.89"/>
    <n v="895.72000000000025"/>
    <n v="35525.744702799428"/>
    <n v="7.3800000000000017"/>
    <n v="295.82531510399997"/>
    <n v="903.10000000000025"/>
    <n v="35821.570017903425"/>
    <n v="35439.89"/>
    <n v="0"/>
    <n v="295.82531510399997"/>
    <n v="381.68001790342532"/>
    <n v="6500"/>
    <n v="0"/>
    <n v="0"/>
    <n v="28644"/>
    <n v="0"/>
    <n v="0"/>
    <n v="0"/>
    <s v="Release1"/>
  </r>
  <r>
    <x v="379"/>
    <s v="Gomukh Sadpur"/>
    <s v="MPG"/>
    <s v="Direct"/>
    <n v="12.4"/>
    <n v="434.12"/>
    <n v="39.799999999999997"/>
    <n v="1590.5126556"/>
    <n v="0"/>
    <n v="0"/>
    <n v="39.799999999999997"/>
    <n v="1590.5126556"/>
    <n v="434.12"/>
    <n v="0"/>
    <n v="0"/>
    <n v="1156.3926556000001"/>
    <n v="0"/>
    <n v="434"/>
    <n v="0"/>
    <n v="0"/>
    <n v="0"/>
    <n v="0"/>
    <n v="0"/>
    <s v="Release1"/>
  </r>
  <r>
    <x v="380"/>
    <s v="GOMUKH Nista Tol"/>
    <s v="MPG"/>
    <s v="Direct"/>
    <n v="63.7"/>
    <n v="2167.21"/>
    <n v="31.97"/>
    <n v="1154.84697108"/>
    <n v="0"/>
    <n v="0"/>
    <n v="31.97"/>
    <n v="1154.84697108"/>
    <n v="1154.84697108"/>
    <n v="0"/>
    <n v="0"/>
    <n v="0"/>
    <n v="0"/>
    <n v="568.66999999999996"/>
    <n v="0"/>
    <n v="586"/>
    <n v="0"/>
    <n v="0"/>
    <n v="1013"/>
    <s v="Release1"/>
  </r>
  <r>
    <x v="381"/>
    <s v="GOMUKH SRINAGAR"/>
    <s v="MPG"/>
    <s v="Direct"/>
    <n v="1598.6"/>
    <n v="64931.72"/>
    <n v="1261.28"/>
    <n v="55061.214516726468"/>
    <n v="378.64"/>
    <n v="15005.175294598541"/>
    <n v="1639.92"/>
    <n v="70066.389811325003"/>
    <n v="64931.72"/>
    <n v="0"/>
    <n v="150.15561510048005"/>
    <n v="5134.6698113250022"/>
    <n v="0"/>
    <n v="0"/>
    <n v="0"/>
    <n v="49927"/>
    <n v="14855"/>
    <n v="0"/>
    <n v="0"/>
    <n v="0"/>
  </r>
  <r>
    <x v="382"/>
    <s v="GOMUKH THATHA"/>
    <s v="MPG"/>
    <s v="Direct"/>
    <n v="337.09999999999997"/>
    <n v="11835.619999999999"/>
    <n v="371.5"/>
    <n v="13143.680737506002"/>
    <n v="0"/>
    <n v="0"/>
    <n v="371.5"/>
    <n v="13143.680737506002"/>
    <n v="11835.619999999999"/>
    <n v="0"/>
    <n v="0"/>
    <n v="1308.0607375060026"/>
    <n v="0"/>
    <n v="0"/>
    <n v="0"/>
    <n v="11836"/>
    <n v="0"/>
    <n v="0"/>
    <n v="0"/>
    <n v="0"/>
  </r>
  <r>
    <x v="383"/>
    <s v="GOMUKH SANHA NAYATOLA"/>
    <s v="MPG"/>
    <s v="Direct"/>
    <n v="323.2"/>
    <n v="11773.49"/>
    <n v="322"/>
    <n v="11561.436532800002"/>
    <n v="0"/>
    <n v="0"/>
    <n v="322"/>
    <n v="11561.436532800002"/>
    <n v="11561.436532800002"/>
    <n v="0"/>
    <n v="0"/>
    <n v="0"/>
    <n v="0"/>
    <n v="337.87296000000015"/>
    <n v="0"/>
    <n v="11225"/>
    <n v="0"/>
    <n v="0"/>
    <n v="211"/>
    <n v="0"/>
  </r>
  <r>
    <x v="384"/>
    <s v="Gomukh Durgapur"/>
    <s v="MPG"/>
    <s v="Direct"/>
    <n v="365.90000000000009"/>
    <n v="14084.499999999998"/>
    <n v="392.1"/>
    <n v="15590.990309400004"/>
    <n v="1.8"/>
    <n v="71.519572080000003"/>
    <n v="393.90000000000003"/>
    <n v="15662.509881480004"/>
    <n v="14084.499999999998"/>
    <n v="0"/>
    <n v="71.519572080000003"/>
    <n v="1578.0098814800058"/>
    <n v="0"/>
    <n v="0"/>
    <n v="0"/>
    <n v="14013"/>
    <n v="0"/>
    <n v="0"/>
    <n v="0"/>
    <n v="0"/>
  </r>
  <r>
    <x v="385"/>
    <s v="Gomukh Koniya"/>
    <s v="MPG"/>
    <s v="Direct"/>
    <n v="444.09999999999997"/>
    <n v="15780.660000000002"/>
    <n v="571.5"/>
    <n v="22417.327567799999"/>
    <n v="12"/>
    <n v="469.00913400000007"/>
    <n v="583.5"/>
    <n v="22886.336701799999"/>
    <n v="15780.660000000002"/>
    <n v="0"/>
    <n v="469.00913400000007"/>
    <n v="7105.6767017999973"/>
    <n v="0"/>
    <n v="0"/>
    <n v="0"/>
    <n v="15312"/>
    <n v="0"/>
    <n v="0"/>
    <n v="0"/>
    <n v="0"/>
  </r>
  <r>
    <x v="386"/>
    <s v="GOMUKH ROHUA"/>
    <s v="MPG"/>
    <s v="Direct"/>
    <n v="360"/>
    <n v="13191.03"/>
    <n v="361.33999999999992"/>
    <n v="13178.5954646346"/>
    <n v="5.4399999999999995"/>
    <n v="202.57982355600006"/>
    <n v="366.77999999999992"/>
    <n v="13381.1752881906"/>
    <n v="13191.03"/>
    <n v="0"/>
    <n v="202.57982355600006"/>
    <n v="190.14528819059888"/>
    <n v="0"/>
    <n v="49.13"/>
    <n v="0"/>
    <n v="12939"/>
    <n v="0"/>
    <n v="0"/>
    <n v="0"/>
    <s v="Release1"/>
  </r>
  <r>
    <x v="387"/>
    <s v="GOMUKH LAXMIPUR"/>
    <s v="MPG"/>
    <s v="Direct"/>
    <n v="411.60000000000008"/>
    <n v="18081.879999999997"/>
    <n v="413.28"/>
    <n v="18730.086798259752"/>
    <n v="6.4"/>
    <n v="286.52786751599996"/>
    <n v="419.67999999999995"/>
    <n v="19016.614665775753"/>
    <n v="18081.879999999997"/>
    <n v="0"/>
    <n v="286.52786751599996"/>
    <n v="934.73466577575527"/>
    <n v="0"/>
    <n v="0"/>
    <n v="0"/>
    <n v="17795"/>
    <n v="0"/>
    <n v="0"/>
    <n v="0"/>
    <s v="Release1"/>
  </r>
  <r>
    <x v="388"/>
    <s v="GOMUKH BACHOTA"/>
    <s v="MPG"/>
    <s v="Direct"/>
    <n v="94.7"/>
    <n v="4404.58"/>
    <n v="95.279999999999987"/>
    <n v="4140.3351802794305"/>
    <n v="0.57000000000000006"/>
    <n v="24.121596005100002"/>
    <n v="95.84999999999998"/>
    <n v="4164.4567762845309"/>
    <n v="4164.4567762845309"/>
    <n v="0"/>
    <n v="24.121596005100002"/>
    <n v="0"/>
    <n v="0"/>
    <n v="244.11000000000013"/>
    <n v="0"/>
    <n v="3896"/>
    <n v="0"/>
    <n v="0"/>
    <n v="240"/>
    <n v="0"/>
  </r>
  <r>
    <x v="389"/>
    <s v="GOMUKH CHATAR"/>
    <s v="MPG"/>
    <s v="Direct"/>
    <n v="156.50000000000003"/>
    <n v="6523.63"/>
    <n v="158.50000000000003"/>
    <n v="6641.17460424"/>
    <n v="0"/>
    <n v="0"/>
    <n v="158.50000000000003"/>
    <n v="6641.17460424"/>
    <n v="6523.63"/>
    <n v="0"/>
    <n v="0"/>
    <n v="117.5446042399999"/>
    <n v="0"/>
    <n v="0"/>
    <n v="0"/>
    <n v="6524"/>
    <n v="0"/>
    <n v="0"/>
    <n v="0"/>
    <n v="0"/>
  </r>
  <r>
    <x v="390"/>
    <s v="GOMUKH BATHNAMA"/>
    <s v="MPG"/>
    <s v="Direct"/>
    <n v="3335.5000000000005"/>
    <n v="132713.07999999999"/>
    <n v="3465.82"/>
    <n v="136881.3017894502"/>
    <n v="1.92"/>
    <n v="74.513438208000025"/>
    <n v="3467.7400000000002"/>
    <n v="136955.8152276582"/>
    <n v="132713.07999999999"/>
    <n v="0"/>
    <n v="74.513438208000025"/>
    <n v="4242.7352276582096"/>
    <n v="641"/>
    <n v="0"/>
    <n v="0"/>
    <n v="131998"/>
    <n v="0"/>
    <n v="0"/>
    <n v="0"/>
    <s v="Release2"/>
  </r>
  <r>
    <x v="391"/>
    <s v="GOMUKH TILAK NAGAR"/>
    <s v="MPG"/>
    <s v="Direct"/>
    <n v="261.7"/>
    <n v="11047.599999999997"/>
    <n v="232.28999999999996"/>
    <n v="10962.81746571383"/>
    <n v="8.27"/>
    <n v="408.19786934952998"/>
    <n v="240.55999999999997"/>
    <n v="11371.015335063359"/>
    <n v="11047.599999999997"/>
    <n v="0"/>
    <n v="408.19786934952998"/>
    <n v="323.41533506336236"/>
    <n v="0"/>
    <n v="0"/>
    <n v="0"/>
    <n v="10639"/>
    <n v="0"/>
    <n v="0"/>
    <n v="0"/>
    <n v="0"/>
  </r>
  <r>
    <x v="392"/>
    <s v="Gomukh Thatha Purvi"/>
    <s v="MPG"/>
    <s v="Direct"/>
    <n v="365.6"/>
    <n v="13222.030000000002"/>
    <n v="416.58"/>
    <n v="15600.40768029946"/>
    <n v="0"/>
    <n v="0"/>
    <n v="416.58"/>
    <n v="15600.40768029946"/>
    <n v="13222.030000000002"/>
    <n v="0"/>
    <n v="0"/>
    <n v="2378.377680299458"/>
    <n v="0"/>
    <n v="0"/>
    <n v="0"/>
    <n v="13222"/>
    <n v="0"/>
    <n v="0"/>
    <n v="0"/>
    <n v="0"/>
  </r>
  <r>
    <x v="393"/>
    <s v="Gomukh Rahimpur Dakshin"/>
    <s v="MPG"/>
    <s v="Direct"/>
    <n v="6378.5"/>
    <n v="247308.28999999998"/>
    <n v="1559.76"/>
    <n v="66879.922086180246"/>
    <n v="4819.8"/>
    <n v="185464.16703936004"/>
    <n v="6379.56"/>
    <n v="252344.08912554028"/>
    <n v="247308.28999999998"/>
    <n v="0"/>
    <n v="320.32042416000002"/>
    <n v="5035.7991255403031"/>
    <n v="0"/>
    <n v="0"/>
    <n v="0"/>
    <n v="61845"/>
    <n v="185143"/>
    <n v="0"/>
    <n v="0"/>
    <n v="0"/>
  </r>
  <r>
    <x v="394"/>
    <s v="GOMUKH MORKAHI"/>
    <s v="MPG"/>
    <s v="Direct"/>
    <n v="238.3"/>
    <n v="9934.86"/>
    <n v="237.21999999999997"/>
    <n v="9994.2656845680012"/>
    <n v="1.4500000000000002"/>
    <n v="60.254349804000007"/>
    <n v="238.66999999999996"/>
    <n v="10054.520034372001"/>
    <n v="9934.86"/>
    <n v="0"/>
    <n v="60.254349804000007"/>
    <n v="119.66003437200015"/>
    <n v="0"/>
    <n v="93.41"/>
    <n v="0"/>
    <n v="9781"/>
    <n v="0"/>
    <n v="0"/>
    <n v="0"/>
    <s v="Release1"/>
  </r>
  <r>
    <x v="395"/>
    <s v="GOMUKH HANSPUR"/>
    <s v="MPG"/>
    <s v="Direct"/>
    <n v="137.9"/>
    <n v="6453.67"/>
    <n v="138.57"/>
    <n v="6785.4075893118197"/>
    <n v="1.9899999999999998"/>
    <n v="119.36047876352002"/>
    <n v="140.56"/>
    <n v="6904.7680680753401"/>
    <n v="6453.67"/>
    <n v="0"/>
    <n v="119.36047876352002"/>
    <n v="451.09806807534005"/>
    <n v="0"/>
    <n v="142.07"/>
    <n v="0"/>
    <n v="6192"/>
    <n v="0"/>
    <n v="0"/>
    <n v="0"/>
    <s v="Release1"/>
  </r>
  <r>
    <x v="396"/>
    <s v="GOMUKH NAYAGAON 2"/>
    <s v="MPG"/>
    <s v="Direct"/>
    <n v="219.39999999999992"/>
    <n v="11985.15"/>
    <n v="218.68"/>
    <n v="12124.375719610802"/>
    <n v="3.2000000000000006"/>
    <n v="210.55586563679998"/>
    <n v="221.88"/>
    <n v="12334.931585247601"/>
    <n v="11985.15"/>
    <n v="0"/>
    <n v="210.55586563679998"/>
    <n v="349.78158524760147"/>
    <n v="0"/>
    <n v="0"/>
    <n v="0"/>
    <n v="11775"/>
    <n v="0"/>
    <n v="0"/>
    <n v="0"/>
    <s v="Release1"/>
  </r>
  <r>
    <x v="397"/>
    <s v="GOMUKH LABHGAON"/>
    <s v="MPG"/>
    <s v="Direct"/>
    <n v="525.90000000000009"/>
    <n v="19601.88"/>
    <n v="526.99999999999989"/>
    <n v="19417.596811272004"/>
    <n v="0"/>
    <n v="0"/>
    <n v="526.99999999999989"/>
    <n v="19417.596811272004"/>
    <n v="19417.596811272004"/>
    <n v="0"/>
    <n v="0"/>
    <n v="0"/>
    <n v="0"/>
    <n v="0"/>
    <n v="0"/>
    <n v="19418"/>
    <n v="0"/>
    <n v="0"/>
    <n v="184"/>
    <n v="0"/>
  </r>
  <r>
    <x v="398"/>
    <s v="GOMUKH CHANDPURA"/>
    <s v="MPG"/>
    <s v="Direct"/>
    <n v="766"/>
    <n v="27601.550000000003"/>
    <n v="766"/>
    <n v="27801.67009752"/>
    <n v="0"/>
    <n v="0"/>
    <n v="766"/>
    <n v="27801.67009752"/>
    <n v="27601.550000000003"/>
    <n v="0"/>
    <n v="0"/>
    <n v="200.12009751999722"/>
    <n v="0"/>
    <n v="0"/>
    <n v="0"/>
    <n v="27602"/>
    <n v="0"/>
    <n v="0"/>
    <n v="0"/>
    <n v="0"/>
  </r>
  <r>
    <x v="399"/>
    <s v="GOMUKH BADIL TOL"/>
    <s v="MPG"/>
    <s v="Direct"/>
    <n v="517.1"/>
    <n v="19768.190000000006"/>
    <n v="313.27999999999992"/>
    <n v="12730.25938051398"/>
    <n v="193.22"/>
    <n v="7588.5161152812016"/>
    <n v="506.49999999999989"/>
    <n v="20318.775495795184"/>
    <n v="19768.190000000006"/>
    <n v="0"/>
    <n v="619.32839288420007"/>
    <n v="550.58549579517785"/>
    <n v="0"/>
    <n v="62.263500000000619"/>
    <n v="0"/>
    <n v="12117"/>
    <n v="6969"/>
    <n v="0"/>
    <n v="1"/>
    <n v="0"/>
  </r>
  <r>
    <x v="400"/>
    <s v="GOMUKH TRIBHUVAN TOLA"/>
    <s v="MPG"/>
    <s v="Direct"/>
    <n v="319.39999999999992"/>
    <n v="12127.81"/>
    <n v="324.04999999999995"/>
    <n v="12576.590582523442"/>
    <n v="0"/>
    <n v="0"/>
    <n v="324.04999999999995"/>
    <n v="12576.590582523442"/>
    <n v="12127.81"/>
    <n v="0"/>
    <n v="0"/>
    <n v="448.78058252344272"/>
    <n v="0"/>
    <n v="0"/>
    <n v="0"/>
    <n v="12128"/>
    <n v="0"/>
    <n v="0"/>
    <n v="0"/>
    <n v="0"/>
  </r>
  <r>
    <x v="401"/>
    <s v="GOMUKH SANTOSHPUL"/>
    <s v="MPG"/>
    <s v="Direct"/>
    <n v="1115.5"/>
    <n v="48649.63"/>
    <n v="31.499999999999996"/>
    <n v="1366.1785674654002"/>
    <n v="1084"/>
    <n v="47282.216896440004"/>
    <n v="1115.5"/>
    <n v="48648.395463905406"/>
    <n v="48648.395463905406"/>
    <n v="0"/>
    <n v="0"/>
    <n v="0"/>
    <n v="0"/>
    <n v="0"/>
    <n v="0"/>
    <n v="1366"/>
    <n v="47283"/>
    <n v="0"/>
    <n v="1"/>
    <n v="0"/>
  </r>
  <r>
    <x v="402"/>
    <s v="GOMUKH AHUNA"/>
    <s v="MPG"/>
    <s v="Direct"/>
    <n v="495.30000000000007"/>
    <n v="18128.53"/>
    <n v="500.30000000000007"/>
    <n v="18034.908657242402"/>
    <n v="0"/>
    <n v="0"/>
    <n v="500.30000000000007"/>
    <n v="18034.908657242402"/>
    <n v="18034.908657242402"/>
    <n v="0"/>
    <n v="0"/>
    <n v="0"/>
    <n v="0"/>
    <n v="0"/>
    <n v="0"/>
    <n v="18035"/>
    <n v="0"/>
    <n v="0"/>
    <n v="94"/>
    <n v="0"/>
  </r>
  <r>
    <x v="403"/>
    <s v="GOMUKH SHADIPUR"/>
    <s v="MPG"/>
    <s v="Direct"/>
    <n v="927.7"/>
    <n v="37009.200000000012"/>
    <n v="930.22000000000014"/>
    <n v="36512.138153372704"/>
    <n v="10.01"/>
    <n v="375.59703535200003"/>
    <n v="940.23000000000013"/>
    <n v="36887.735188724706"/>
    <n v="36887.735188724706"/>
    <n v="0"/>
    <n v="375.59703535200003"/>
    <n v="0"/>
    <n v="6013"/>
    <n v="0"/>
    <n v="0"/>
    <n v="30499"/>
    <n v="0"/>
    <n v="0"/>
    <n v="122"/>
    <n v="0"/>
  </r>
  <r>
    <x v="404"/>
    <s v="GOMUKH ASHRAPHA DIYARA"/>
    <s v="MPG"/>
    <s v="Direct"/>
    <n v="596.90000000000009"/>
    <n v="23967.59"/>
    <n v="586.96"/>
    <n v="23621.134856409852"/>
    <n v="8.02"/>
    <n v="334.11002091761998"/>
    <n v="594.98"/>
    <n v="23955.24487732747"/>
    <n v="23955.24487732747"/>
    <n v="0"/>
    <n v="334.11002091761998"/>
    <n v="0"/>
    <n v="4050"/>
    <n v="0"/>
    <n v="0"/>
    <n v="19571"/>
    <n v="0"/>
    <n v="0"/>
    <n v="12"/>
    <n v="0"/>
  </r>
  <r>
    <x v="405"/>
    <s v="GOMUKH MANIAPPA"/>
    <s v="MPG"/>
    <s v="Direct"/>
    <n v="1141.4000000000001"/>
    <n v="44265.049999999996"/>
    <n v="1134.26"/>
    <n v="43927.268924087999"/>
    <n v="4.05"/>
    <n v="149.19611810400002"/>
    <n v="1138.31"/>
    <n v="44076.465042192001"/>
    <n v="44076.465042192001"/>
    <n v="0"/>
    <n v="149.19611810400002"/>
    <n v="0"/>
    <n v="0"/>
    <n v="62.964772881355714"/>
    <n v="0"/>
    <n v="43864"/>
    <n v="0"/>
    <n v="0"/>
    <n v="189"/>
    <n v="0"/>
  </r>
  <r>
    <x v="406"/>
    <s v="GOMUKH D SANJHAUTI"/>
    <s v="MPG"/>
    <s v="Direct"/>
    <n v="838.9"/>
    <n v="31275.29"/>
    <n v="987"/>
    <n v="39237.049843200002"/>
    <n v="0"/>
    <n v="0"/>
    <n v="987"/>
    <n v="39237.049843200002"/>
    <n v="31275.29"/>
    <n v="0"/>
    <n v="0"/>
    <n v="7961.7598432000013"/>
    <n v="0"/>
    <n v="0"/>
    <n v="0"/>
    <n v="31275"/>
    <n v="0"/>
    <n v="0"/>
    <n v="0"/>
    <n v="0"/>
  </r>
  <r>
    <x v="407"/>
    <s v="GOMUKH DHUSMURI BISHANPUR"/>
    <s v="MPG"/>
    <s v="Direct"/>
    <n v="223.5"/>
    <n v="8978.1000000000022"/>
    <n v="291.05"/>
    <n v="11873.054561544001"/>
    <n v="0"/>
    <n v="0"/>
    <n v="291.05"/>
    <n v="11873.054561544001"/>
    <n v="8978.1000000000022"/>
    <n v="0"/>
    <n v="0"/>
    <n v="2894.9545615439984"/>
    <n v="0"/>
    <n v="0"/>
    <n v="0"/>
    <n v="8978"/>
    <n v="0"/>
    <n v="0"/>
    <n v="0"/>
    <n v="0"/>
  </r>
  <r>
    <x v="408"/>
    <s v="GOMUKH ANANDPUR PARAS"/>
    <s v="MPG"/>
    <s v="Direct"/>
    <n v="2310.6999999999998"/>
    <n v="88304.33"/>
    <n v="2304.6999999999998"/>
    <n v="87306.879108240013"/>
    <n v="0"/>
    <n v="0"/>
    <n v="2304.6999999999998"/>
    <n v="87306.879108240013"/>
    <n v="87306.879108240013"/>
    <n v="0"/>
    <n v="0"/>
    <n v="0"/>
    <n v="0"/>
    <n v="0"/>
    <n v="0"/>
    <n v="87307"/>
    <n v="0"/>
    <n v="0"/>
    <n v="997"/>
    <n v="0"/>
  </r>
  <r>
    <x v="409"/>
    <s v="Gomukh Bishanpur"/>
    <s v="MPG"/>
    <s v="Direct"/>
    <n v="326.3"/>
    <n v="13207.029999999997"/>
    <n v="326.74000000000007"/>
    <n v="12941.180419239583"/>
    <n v="0"/>
    <n v="0"/>
    <n v="326.74000000000007"/>
    <n v="12941.180419239583"/>
    <n v="12941.180419239583"/>
    <n v="0"/>
    <n v="0"/>
    <n v="0"/>
    <n v="0"/>
    <n v="0"/>
    <n v="0"/>
    <n v="12941"/>
    <n v="0"/>
    <n v="0"/>
    <n v="266"/>
    <n v="0"/>
  </r>
  <r>
    <x v="410"/>
    <s v="GOMUKH BISHANPUR 2"/>
    <s v="MPG"/>
    <s v="Direct"/>
    <n v="676.60000000000014"/>
    <n v="26383.979999999996"/>
    <n v="681.5"/>
    <n v="26107.757475281989"/>
    <n v="0"/>
    <n v="0"/>
    <n v="681.5"/>
    <n v="26107.757475281989"/>
    <n v="26107.757475281989"/>
    <n v="0"/>
    <n v="0"/>
    <n v="0"/>
    <n v="0"/>
    <n v="0"/>
    <n v="0"/>
    <n v="26109"/>
    <n v="0"/>
    <n v="0"/>
    <n v="275"/>
    <n v="0"/>
  </r>
  <r>
    <x v="411"/>
    <s v="GOMUKH GHAMARIYA"/>
    <s v="MPG"/>
    <s v="Direct"/>
    <n v="189.09999999999997"/>
    <n v="8430.6500000000015"/>
    <n v="186.17000000000002"/>
    <n v="8663.3317985297599"/>
    <n v="2.67"/>
    <n v="126.96164796960001"/>
    <n v="188.84"/>
    <n v="8790.2934464993596"/>
    <n v="8430.6500000000015"/>
    <n v="0"/>
    <n v="126.96164796960001"/>
    <n v="359.64344649935811"/>
    <n v="0"/>
    <n v="1.8972599999997755"/>
    <n v="0"/>
    <n v="8302"/>
    <n v="0"/>
    <n v="0"/>
    <n v="0"/>
    <s v="Release2"/>
  </r>
  <r>
    <x v="412"/>
    <s v="GOMUKH MEGHAUMA"/>
    <s v="MPG"/>
    <s v="Direct"/>
    <n v="893.5"/>
    <n v="35554.85"/>
    <n v="881.6400000000001"/>
    <n v="36545.686642247281"/>
    <n v="11.860000000000001"/>
    <n v="528.41199114000005"/>
    <n v="893.50000000000011"/>
    <n v="37074.098633387279"/>
    <n v="35554.85"/>
    <n v="0"/>
    <n v="528.41199114000005"/>
    <n v="1519.2486333872803"/>
    <n v="0"/>
    <n v="0"/>
    <n v="0"/>
    <n v="35026"/>
    <n v="0"/>
    <n v="0"/>
    <n v="0"/>
    <n v="0"/>
  </r>
  <r>
    <x v="413"/>
    <s v="GOMUKH AURA"/>
    <s v="MPG"/>
    <s v="Direct"/>
    <n v="917.79999999999984"/>
    <n v="33386.950000000004"/>
    <n v="1062"/>
    <n v="44907.605899200003"/>
    <n v="0"/>
    <n v="0"/>
    <n v="1062"/>
    <n v="44907.605899200003"/>
    <n v="33386.950000000004"/>
    <n v="0"/>
    <n v="0"/>
    <n v="11520.655899199999"/>
    <n v="0"/>
    <n v="0"/>
    <n v="0"/>
    <n v="33387"/>
    <n v="0"/>
    <n v="0"/>
    <n v="0"/>
    <n v="0"/>
  </r>
  <r>
    <x v="414"/>
    <s v="GOMUKH BEHORBA"/>
    <s v="MPG"/>
    <s v="Direct"/>
    <n v="760.7"/>
    <n v="28118.770000000004"/>
    <n v="802.19"/>
    <n v="31269.594239522507"/>
    <n v="0"/>
    <n v="0"/>
    <n v="802.19"/>
    <n v="31269.594239522507"/>
    <n v="28118.770000000004"/>
    <n v="0"/>
    <n v="0"/>
    <n v="3150.8242395225025"/>
    <n v="398"/>
    <n v="0"/>
    <n v="0"/>
    <n v="27721"/>
    <n v="0"/>
    <n v="0"/>
    <n v="0"/>
    <s v="Release2"/>
  </r>
  <r>
    <x v="415"/>
    <s v="GOMUKH SAIDPUR SAMASTIPUR"/>
    <s v="MPG"/>
    <s v="Direct"/>
    <n v="1595.8"/>
    <n v="57459.790000000008"/>
    <n v="1596"/>
    <n v="58384.497148560011"/>
    <n v="0"/>
    <n v="0"/>
    <n v="1596"/>
    <n v="58384.497148560011"/>
    <n v="57459.790000000008"/>
    <n v="0"/>
    <n v="0"/>
    <n v="924.70714856000268"/>
    <n v="0"/>
    <n v="3815.2708451612907"/>
    <n v="0"/>
    <n v="53644"/>
    <n v="0"/>
    <n v="0"/>
    <n v="1"/>
    <n v="0"/>
  </r>
  <r>
    <x v="416"/>
    <s v="GOMUKH PHULTAURA"/>
    <s v="MPG"/>
    <s v="Direct"/>
    <n v="377.4"/>
    <n v="14107.929999999998"/>
    <n v="92.929999999999993"/>
    <n v="5375.3398237292004"/>
    <n v="285.14"/>
    <n v="12439.793372355742"/>
    <n v="378.07"/>
    <n v="17815.133196084942"/>
    <n v="14107.929999999998"/>
    <n v="0"/>
    <n v="0"/>
    <n v="3707.2031960849436"/>
    <n v="261"/>
    <n v="0"/>
    <n v="0"/>
    <n v="1406"/>
    <n v="12441"/>
    <n v="0"/>
    <n v="0"/>
    <s v="Release2"/>
  </r>
  <r>
    <x v="417"/>
    <s v="Jangli Tol Vlc "/>
    <s v="vlc"/>
    <s v="Indirect"/>
    <n v="644.4"/>
    <n v="24490.159999999996"/>
    <n v="0"/>
    <n v="0"/>
    <n v="0"/>
    <n v="0"/>
    <n v="0"/>
    <n v="0"/>
    <n v="24490.159999999996"/>
    <n v="0"/>
    <n v="0"/>
    <n v="0"/>
    <n v="1350"/>
    <n v="1330.8789483870969"/>
    <n v="0"/>
    <n v="0"/>
    <n v="0"/>
    <n v="21809.281051612899"/>
    <n v="0"/>
    <n v="0"/>
  </r>
  <r>
    <x v="418"/>
    <s v="DILKHUSH KUMAR "/>
    <s v="vlc"/>
    <s v="Indirect"/>
    <n v="279.10000000000002"/>
    <n v="10062.549999999999"/>
    <n v="0"/>
    <n v="0"/>
    <n v="0"/>
    <n v="0"/>
    <n v="0"/>
    <n v="0"/>
    <n v="10062.549999999999"/>
    <n v="0"/>
    <n v="0"/>
    <n v="0"/>
    <n v="0"/>
    <n v="0"/>
    <n v="0"/>
    <n v="0"/>
    <n v="0"/>
    <n v="10062.549999999999"/>
    <n v="0"/>
    <n v="0"/>
  </r>
  <r>
    <x v="419"/>
    <s v="GOMUKH CHOWKI 2"/>
    <s v="MPG"/>
    <s v="Direct"/>
    <n v="3132.9999999999995"/>
    <n v="119527.40000000001"/>
    <n v="2999.76"/>
    <n v="117855.00820305897"/>
    <n v="306.94"/>
    <n v="11887.660621451001"/>
    <n v="3306.7000000000003"/>
    <n v="129742.66882450996"/>
    <n v="119527.40000000001"/>
    <n v="0"/>
    <n v="0"/>
    <n v="10215.268824509956"/>
    <n v="0"/>
    <n v="2115.6999999999998"/>
    <n v="0"/>
    <n v="105524"/>
    <n v="11888"/>
    <n v="0"/>
    <n v="0"/>
    <s v="Release1"/>
  </r>
  <r>
    <x v="420"/>
    <s v="GOMUKH MOHABA"/>
    <s v="MPG"/>
    <s v="Direct"/>
    <n v="1567.4"/>
    <n v="58955.770000000011"/>
    <n v="1083.1999999999998"/>
    <n v="41097.55589280001"/>
    <n v="483.8"/>
    <n v="18318.963310560004"/>
    <n v="1566.9999999999998"/>
    <n v="59416.519203360018"/>
    <n v="58955.770000000011"/>
    <n v="0"/>
    <n v="106.13107296000004"/>
    <n v="460.7492033600065"/>
    <n v="0"/>
    <n v="0"/>
    <n v="0"/>
    <n v="40637"/>
    <n v="18213"/>
    <n v="0"/>
    <n v="0"/>
    <n v="0"/>
  </r>
  <r>
    <x v="421"/>
    <s v="SANHA VLC"/>
    <s v="vlc"/>
    <s v="Indirect"/>
    <n v="726.7"/>
    <n v="24970.769999999997"/>
    <n v="0"/>
    <n v="0"/>
    <n v="0"/>
    <n v="0"/>
    <n v="0"/>
    <n v="0"/>
    <n v="24970.769999999997"/>
    <n v="0"/>
    <n v="0"/>
    <n v="0"/>
    <n v="0"/>
    <n v="0"/>
    <n v="0"/>
    <n v="0"/>
    <n v="0"/>
    <n v="24970.769999999997"/>
    <n v="0"/>
    <n v="0"/>
  </r>
  <r>
    <x v="422"/>
    <s v="MOHANPUR VLC"/>
    <s v="vlc"/>
    <s v="Indirect"/>
    <n v="920.3"/>
    <n v="32010.690000000002"/>
    <n v="0"/>
    <n v="0"/>
    <n v="0"/>
    <n v="0"/>
    <n v="0"/>
    <n v="0"/>
    <n v="32010.690000000002"/>
    <n v="0"/>
    <n v="0"/>
    <n v="0"/>
    <n v="0"/>
    <n v="0"/>
    <n v="0"/>
    <n v="0"/>
    <n v="0"/>
    <n v="32010.690000000002"/>
    <n v="0"/>
    <n v="0"/>
  </r>
  <r>
    <x v="423"/>
    <s v="GOMUKH JANGLITOL"/>
    <s v="MPG"/>
    <s v="Direct"/>
    <n v="264.3"/>
    <n v="10979.82"/>
    <n v="264"/>
    <n v="10872.868723200003"/>
    <n v="0"/>
    <n v="0"/>
    <n v="264"/>
    <n v="10872.868723200003"/>
    <n v="10872.868723200003"/>
    <n v="0"/>
    <n v="0"/>
    <n v="0"/>
    <n v="0"/>
    <n v="0"/>
    <n v="0"/>
    <n v="10873"/>
    <n v="0"/>
    <n v="0"/>
    <n v="107"/>
    <n v="0"/>
  </r>
  <r>
    <x v="424"/>
    <s v="Hiratol VLC"/>
    <s v="vlc"/>
    <s v="Indirect"/>
    <n v="209.5"/>
    <n v="7315.0299999999988"/>
    <n v="0"/>
    <n v="0"/>
    <n v="0"/>
    <n v="0"/>
    <n v="0"/>
    <n v="0"/>
    <n v="7315.0299999999988"/>
    <n v="0"/>
    <n v="0"/>
    <n v="0"/>
    <n v="0"/>
    <n v="48.726309677419579"/>
    <n v="0"/>
    <n v="0"/>
    <n v="0"/>
    <n v="7266.3036903225793"/>
    <n v="0"/>
    <n v="0"/>
  </r>
  <r>
    <x v="425"/>
    <s v="Gomukh Raghunathpur 2 "/>
    <s v="MPG"/>
    <s v="Direct"/>
    <n v="46.300000000000004"/>
    <n v="1830.18"/>
    <n v="46.300000000000004"/>
    <n v="1836.9366721200001"/>
    <n v="0"/>
    <n v="0"/>
    <n v="46.300000000000004"/>
    <n v="1836.9366721200001"/>
    <n v="1830.18"/>
    <n v="0"/>
    <n v="0"/>
    <n v="6.7566721200000757"/>
    <n v="0"/>
    <n v="120.25214482758619"/>
    <n v="0"/>
    <n v="1710"/>
    <n v="0"/>
    <n v="0"/>
    <n v="0"/>
    <n v="0"/>
  </r>
  <r>
    <x v="426"/>
    <s v="GOMUKH BARBIGHI"/>
    <s v="MPG"/>
    <s v="Direct"/>
    <n v="1581.6000000000001"/>
    <n v="57502.81"/>
    <n v="1567.5"/>
    <n v="58852.218989520014"/>
    <n v="5.3000000000000007"/>
    <n v="200.48742648000001"/>
    <n v="1572.8"/>
    <n v="59052.706416000015"/>
    <n v="57502.81"/>
    <n v="0"/>
    <n v="200.48742648000001"/>
    <n v="1549.8964160000178"/>
    <n v="7800"/>
    <n v="0"/>
    <n v="0"/>
    <n v="49502"/>
    <n v="0"/>
    <n v="0"/>
    <n v="0"/>
    <s v="Release1"/>
  </r>
  <r>
    <x v="427"/>
    <s v="Dandari-2"/>
    <s v="MPG"/>
    <s v="Direct"/>
    <n v="348.4"/>
    <n v="12548.91"/>
    <n v="348.4"/>
    <n v="12489.659764560001"/>
    <n v="0"/>
    <n v="0"/>
    <n v="348.4"/>
    <n v="12489.659764560001"/>
    <n v="12489.659764560001"/>
    <n v="0"/>
    <n v="0"/>
    <n v="0"/>
    <n v="0"/>
    <n v="0"/>
    <n v="0"/>
    <n v="12490"/>
    <n v="0"/>
    <n v="0"/>
    <n v="59"/>
    <n v="0"/>
  </r>
  <r>
    <x v="428"/>
    <s v="Barkhanditol"/>
    <s v="vlc"/>
    <s v="Indirect"/>
    <n v="364.6"/>
    <n v="14749.58"/>
    <n v="0"/>
    <n v="0"/>
    <n v="0"/>
    <n v="0"/>
    <n v="0"/>
    <n v="0"/>
    <n v="14749.58"/>
    <n v="0"/>
    <n v="0"/>
    <n v="0"/>
    <n v="0"/>
    <n v="963.38823870967803"/>
    <n v="0"/>
    <n v="0"/>
    <n v="0"/>
    <n v="13786.191761290322"/>
    <n v="0"/>
    <n v="0"/>
  </r>
  <r>
    <x v="429"/>
    <s v="Chauki-VLC"/>
    <s v="vlc"/>
    <s v="Indirect"/>
    <n v="101.8"/>
    <n v="3743.4199999999996"/>
    <n v="0"/>
    <n v="0"/>
    <n v="0"/>
    <n v="0"/>
    <n v="0"/>
    <n v="0"/>
    <n v="3743.4199999999996"/>
    <n v="0"/>
    <n v="0"/>
    <n v="0"/>
    <n v="0"/>
    <n v="1110.7154516129037"/>
    <n v="0"/>
    <n v="0"/>
    <n v="0"/>
    <n v="2632.7045483870961"/>
    <n v="0"/>
    <n v="0"/>
  </r>
  <r>
    <x v="430"/>
    <s v="Hardia"/>
    <s v="MPG"/>
    <s v="Direct"/>
    <n v="604.59999999999991"/>
    <n v="25193.379999999997"/>
    <n v="600.6"/>
    <n v="25121.764529988403"/>
    <n v="4.3999999999999986"/>
    <n v="197.26584372000002"/>
    <n v="605"/>
    <n v="25319.030373708403"/>
    <n v="25193.379999999997"/>
    <n v="0"/>
    <n v="197.26584372000002"/>
    <n v="125.65037370840582"/>
    <n v="0"/>
    <n v="0"/>
    <n v="0"/>
    <n v="24996"/>
    <n v="0"/>
    <n v="0"/>
    <n v="0"/>
    <n v="0"/>
  </r>
  <r>
    <x v="431"/>
    <s v="Pachveer"/>
    <s v="vlc"/>
    <s v="Indirect"/>
    <n v="8481.5"/>
    <n v="316299.21000000002"/>
    <n v="0"/>
    <n v="0"/>
    <n v="0"/>
    <n v="0"/>
    <n v="0"/>
    <n v="0"/>
    <n v="316299.21000000002"/>
    <n v="0"/>
    <n v="0"/>
    <n v="0"/>
    <n v="0"/>
    <n v="0"/>
    <n v="0"/>
    <n v="0"/>
    <n v="0"/>
    <n v="316299.21000000002"/>
    <n v="0"/>
    <n v="0"/>
  </r>
  <r>
    <x v="432"/>
    <s v="Gomukh Mirjapur Bari"/>
    <s v="MPG"/>
    <s v="Direct"/>
    <n v="19.2"/>
    <n v="720.18000000000006"/>
    <n v="19"/>
    <n v="699.75231480000014"/>
    <n v="0"/>
    <n v="0"/>
    <n v="19"/>
    <n v="699.75231480000014"/>
    <n v="699.75231480000014"/>
    <n v="0"/>
    <n v="0"/>
    <n v="0"/>
    <n v="0"/>
    <n v="0"/>
    <n v="0"/>
    <n v="700"/>
    <n v="0"/>
    <n v="0"/>
    <n v="20"/>
    <n v="0"/>
  </r>
  <r>
    <x v="433"/>
    <s v="Mathar-3"/>
    <s v="vlc"/>
    <s v="Indirect"/>
    <n v="780"/>
    <n v="31230.28"/>
    <n v="0"/>
    <n v="0"/>
    <n v="0"/>
    <n v="0"/>
    <n v="0"/>
    <n v="0"/>
    <n v="31230.28"/>
    <n v="0"/>
    <n v="0"/>
    <n v="0"/>
    <n v="0"/>
    <n v="0"/>
    <n v="0"/>
    <n v="0"/>
    <n v="0"/>
    <n v="31230.28"/>
    <n v="0"/>
    <n v="0"/>
  </r>
  <r>
    <x v="434"/>
    <s v="Ahoghat"/>
    <s v="vlc"/>
    <s v="Indirect"/>
    <n v="430.20000000000005"/>
    <n v="16742.830000000002"/>
    <n v="0"/>
    <n v="0"/>
    <n v="0"/>
    <n v="0"/>
    <n v="0"/>
    <n v="0"/>
    <n v="16742.830000000002"/>
    <n v="0"/>
    <n v="0"/>
    <n v="0"/>
    <n v="0"/>
    <n v="0"/>
    <n v="0"/>
    <n v="0"/>
    <n v="0"/>
    <n v="16742.830000000002"/>
    <n v="0"/>
    <n v="0"/>
  </r>
  <r>
    <x v="435"/>
    <s v="Mathar-4"/>
    <s v="vlc"/>
    <s v="Indirect"/>
    <n v="342.59999999999997"/>
    <n v="12781.619999999999"/>
    <n v="0"/>
    <n v="0"/>
    <n v="0"/>
    <n v="0"/>
    <n v="0"/>
    <n v="0"/>
    <n v="12781.619999999999"/>
    <n v="0"/>
    <n v="0"/>
    <n v="0"/>
    <n v="0"/>
    <n v="0"/>
    <n v="0"/>
    <n v="0"/>
    <n v="0"/>
    <n v="12781.619999999999"/>
    <n v="0"/>
    <n v="0"/>
  </r>
  <r>
    <x v="436"/>
    <s v="Farid Nagar"/>
    <s v="MPG"/>
    <s v="Direct"/>
    <n v="271.3"/>
    <n v="9961.6200000000026"/>
    <n v="270"/>
    <n v="10050.768684000002"/>
    <n v="0"/>
    <n v="0"/>
    <n v="270"/>
    <n v="10050.768684000002"/>
    <n v="9961.6200000000026"/>
    <n v="0"/>
    <n v="0"/>
    <n v="89.148683999999776"/>
    <n v="0"/>
    <n v="0"/>
    <n v="0"/>
    <n v="9962"/>
    <n v="0"/>
    <n v="0"/>
    <n v="0"/>
    <n v="0"/>
  </r>
  <r>
    <x v="935"/>
    <s v="Sadpur-2"/>
    <s v="MPG"/>
    <s v="Direct"/>
    <n v="73.599999999999994"/>
    <n v="2738.9199999999996"/>
    <n v="74"/>
    <n v="2877.1527312000003"/>
    <n v="0"/>
    <n v="0"/>
    <n v="74"/>
    <n v="2877.1527312000003"/>
    <n v="2738.9199999999996"/>
    <n v="0"/>
    <n v="0"/>
    <n v="138.23273120000067"/>
    <n v="0"/>
    <n v="0"/>
    <n v="0"/>
    <n v="2739"/>
    <n v="0"/>
    <n v="0"/>
    <n v="0"/>
    <n v="0"/>
  </r>
  <r>
    <x v="437"/>
    <s v="GOMUKH SUBHANPUR"/>
    <s v="vlc"/>
    <s v="Indirect"/>
    <n v="175.79999999999998"/>
    <n v="7645.409999999998"/>
    <n v="0"/>
    <n v="0"/>
    <n v="0"/>
    <n v="0"/>
    <n v="0"/>
    <n v="0"/>
    <n v="7645.409999999998"/>
    <n v="0"/>
    <n v="0"/>
    <n v="0"/>
    <n v="7645"/>
    <n v="0"/>
    <n v="0"/>
    <n v="0"/>
    <n v="0"/>
    <n v="0.40999999999803549"/>
    <n v="0"/>
    <n v="0"/>
  </r>
  <r>
    <x v="438"/>
    <s v="GOMUKH  BHAJANGAMA"/>
    <s v="vlc"/>
    <s v="Indirect"/>
    <n v="486.07000000000011"/>
    <n v="18621.600000000002"/>
    <n v="0"/>
    <n v="0"/>
    <n v="0"/>
    <n v="0"/>
    <n v="0"/>
    <n v="0"/>
    <n v="18621.600000000002"/>
    <n v="0"/>
    <n v="0"/>
    <n v="0"/>
    <n v="2700"/>
    <n v="0"/>
    <n v="0"/>
    <n v="0"/>
    <n v="0"/>
    <n v="15921.600000000002"/>
    <n v="0"/>
    <n v="0"/>
  </r>
  <r>
    <x v="439"/>
    <s v="Gomukh Basadhiya Kurni"/>
    <s v="MPG"/>
    <s v="Direct"/>
    <n v="388.09000000000003"/>
    <n v="14568.189999999999"/>
    <n v="406.89"/>
    <n v="14742.663021880202"/>
    <n v="0"/>
    <n v="0"/>
    <n v="406.89"/>
    <n v="14742.663021880202"/>
    <n v="14568.189999999999"/>
    <n v="0"/>
    <n v="0"/>
    <n v="174.47302188020331"/>
    <n v="0"/>
    <n v="0"/>
    <n v="0"/>
    <n v="14568"/>
    <n v="0"/>
    <n v="0"/>
    <n v="0"/>
    <n v="0"/>
  </r>
  <r>
    <x v="440"/>
    <s v="KHAJURI"/>
    <s v="MPG"/>
    <s v="Direct"/>
    <n v="379.53"/>
    <n v="13670.9"/>
    <n v="370.75999999999993"/>
    <n v="13445.310657121201"/>
    <n v="11.7"/>
    <n v="429.12617457600004"/>
    <n v="382.45999999999992"/>
    <n v="13874.436831697201"/>
    <n v="13670.9"/>
    <n v="0"/>
    <n v="19.338560999999999"/>
    <n v="203.53683169720171"/>
    <n v="0"/>
    <n v="0"/>
    <n v="0"/>
    <n v="13242"/>
    <n v="410"/>
    <n v="0"/>
    <n v="0"/>
    <n v="0"/>
  </r>
  <r>
    <x v="441"/>
    <s v="ARMAULI-2"/>
    <s v="MPG"/>
    <s v="Direct"/>
    <n v="1355.3500000000001"/>
    <n v="53635.46"/>
    <n v="1353.6"/>
    <n v="52979.425239802149"/>
    <n v="16.200000000000003"/>
    <n v="638.009144558"/>
    <n v="1369.8"/>
    <n v="53617.434384360145"/>
    <n v="53617.434384360145"/>
    <n v="0"/>
    <n v="638.009144558"/>
    <n v="0"/>
    <n v="9137"/>
    <n v="0"/>
    <n v="0"/>
    <n v="43843"/>
    <n v="0"/>
    <n v="0"/>
    <n v="17"/>
    <n v="0"/>
  </r>
  <r>
    <x v="442"/>
    <s v="MUSAPUR - 2"/>
    <s v="vlc"/>
    <s v="Indirect"/>
    <n v="50.09"/>
    <n v="1692.48"/>
    <n v="0"/>
    <n v="0"/>
    <n v="0"/>
    <n v="0"/>
    <n v="0"/>
    <n v="0"/>
    <n v="1692.48"/>
    <n v="0"/>
    <n v="0"/>
    <n v="0"/>
    <n v="1350"/>
    <n v="0"/>
    <n v="0"/>
    <n v="0"/>
    <n v="0"/>
    <n v="342.48"/>
    <n v="0"/>
    <n v="0"/>
  </r>
  <r>
    <x v="443"/>
    <s v="Janganath Pur"/>
    <s v="vlc"/>
    <s v="Indirect"/>
    <n v="1885.6699999999996"/>
    <n v="77875.209999999992"/>
    <n v="0"/>
    <n v="0"/>
    <n v="0"/>
    <n v="0"/>
    <n v="0"/>
    <n v="0"/>
    <n v="77875.209999999992"/>
    <n v="0"/>
    <n v="0"/>
    <n v="0"/>
    <n v="0"/>
    <n v="0"/>
    <n v="0"/>
    <n v="0"/>
    <n v="0"/>
    <n v="77875.209999999992"/>
    <n v="0"/>
    <n v="0"/>
  </r>
  <r>
    <x v="444"/>
    <s v="Nagargama"/>
    <s v="vlc"/>
    <s v="Indirect"/>
    <n v="361.20000000000005"/>
    <n v="13616.31"/>
    <n v="0"/>
    <n v="0"/>
    <n v="0"/>
    <n v="0"/>
    <n v="0"/>
    <n v="0"/>
    <n v="13616.31"/>
    <n v="0"/>
    <n v="0"/>
    <n v="0"/>
    <n v="9000"/>
    <n v="0"/>
    <n v="0"/>
    <n v="0"/>
    <n v="0"/>
    <n v="4616.3099999999995"/>
    <n v="0"/>
    <n v="0"/>
  </r>
  <r>
    <x v="445"/>
    <s v="Sato Ghachchhi"/>
    <s v="MPG"/>
    <s v="Direct"/>
    <n v="738.63000000000011"/>
    <n v="32089.06"/>
    <n v="732.50000000000023"/>
    <n v="32488.898455288698"/>
    <n v="13.9"/>
    <n v="603.38770271999999"/>
    <n v="746.4000000000002"/>
    <n v="33092.286158008697"/>
    <n v="32089.06"/>
    <n v="1979"/>
    <n v="603.38770271999999"/>
    <n v="1003.2261580086961"/>
    <n v="0"/>
    <n v="0"/>
    <n v="0"/>
    <n v="29507"/>
    <n v="0"/>
    <n v="0"/>
    <n v="0"/>
    <n v="0"/>
  </r>
  <r>
    <x v="446"/>
    <s v="Bhatgama"/>
    <s v="vlc"/>
    <s v="Indirect"/>
    <n v="359.56000000000006"/>
    <n v="11550.87"/>
    <n v="0"/>
    <n v="0"/>
    <n v="0"/>
    <n v="0"/>
    <n v="0"/>
    <n v="0"/>
    <n v="11550.87"/>
    <n v="0"/>
    <n v="0"/>
    <n v="0"/>
    <n v="0"/>
    <n v="0"/>
    <n v="0"/>
    <n v="0"/>
    <n v="0"/>
    <n v="11550.87"/>
    <n v="0"/>
    <n v="0"/>
  </r>
  <r>
    <x v="447"/>
    <s v="Borna Rasalpur"/>
    <s v="MPG"/>
    <s v="Direct"/>
    <n v="903.23"/>
    <n v="36437.640000000007"/>
    <n v="661.10000000000014"/>
    <n v="27651.515201718001"/>
    <n v="419.20000000000005"/>
    <n v="17673.2261250724"/>
    <n v="1080.3000000000002"/>
    <n v="45324.741326790405"/>
    <n v="36437.640000000007"/>
    <n v="0"/>
    <n v="0"/>
    <n v="8887.1013267903982"/>
    <n v="0"/>
    <n v="0"/>
    <n v="0"/>
    <n v="18765"/>
    <n v="17673"/>
    <n v="0"/>
    <n v="0"/>
    <n v="0"/>
  </r>
  <r>
    <x v="448"/>
    <s v="Rasalpur"/>
    <s v="MPG"/>
    <s v="Direct"/>
    <n v="1357.04"/>
    <n v="51376.81"/>
    <n v="1444.6999999999998"/>
    <n v="53332.268354422558"/>
    <n v="172.26999999999998"/>
    <n v="6380.2698538796812"/>
    <n v="1616.9699999999998"/>
    <n v="59712.538208302241"/>
    <n v="51376.81"/>
    <n v="0"/>
    <n v="0"/>
    <n v="8335.7282083022437"/>
    <n v="0"/>
    <n v="0"/>
    <n v="0"/>
    <n v="44998"/>
    <n v="6379"/>
    <n v="0"/>
    <n v="0"/>
    <n v="0"/>
  </r>
  <r>
    <x v="449"/>
    <s v="Narahan"/>
    <s v="MPG"/>
    <s v="Direct"/>
    <n v="270.91000000000003"/>
    <n v="9946.5899999999983"/>
    <n v="279.11"/>
    <n v="10042.829576643602"/>
    <n v="5.66"/>
    <n v="189.75160203120001"/>
    <n v="284.77000000000004"/>
    <n v="10232.581178674802"/>
    <n v="9946.5899999999983"/>
    <n v="0"/>
    <n v="189.75160203120001"/>
    <n v="285.99117867480345"/>
    <n v="0"/>
    <n v="0"/>
    <n v="0"/>
    <n v="9757"/>
    <n v="0"/>
    <n v="0"/>
    <n v="0"/>
    <n v="0"/>
  </r>
  <r>
    <x v="450"/>
    <s v="Gomukh Dumduma"/>
    <s v="MPG"/>
    <s v="Direct"/>
    <n v="417.56000000000006"/>
    <n v="15794.810000000001"/>
    <n v="417.55999999999995"/>
    <n v="15794.414436704403"/>
    <n v="0"/>
    <n v="0"/>
    <n v="417.55999999999995"/>
    <n v="15794.414436704403"/>
    <n v="15794.414436704403"/>
    <n v="0"/>
    <n v="0"/>
    <n v="0"/>
    <n v="0"/>
    <n v="0"/>
    <n v="0"/>
    <n v="15794"/>
    <n v="0"/>
    <n v="0"/>
    <n v="1"/>
    <s v="Release2"/>
  </r>
  <r>
    <x v="451"/>
    <s v="SUPOL"/>
    <s v="MPG"/>
    <s v="Direct"/>
    <n v="205.63999999999996"/>
    <n v="7580.64"/>
    <n v="245"/>
    <n v="10155.034889999999"/>
    <n v="0"/>
    <n v="0"/>
    <n v="245"/>
    <n v="10155.034889999999"/>
    <n v="7580.64"/>
    <n v="0"/>
    <n v="0"/>
    <n v="2574.3948899999987"/>
    <n v="0"/>
    <n v="316.83524322580627"/>
    <n v="0"/>
    <n v="7264"/>
    <n v="0"/>
    <n v="0"/>
    <n v="0"/>
    <n v="0"/>
  </r>
  <r>
    <x v="452"/>
    <s v="BHUSARAI"/>
    <s v="MPG"/>
    <s v="Direct"/>
    <n v="250.58"/>
    <n v="9605.27"/>
    <n v="143.16"/>
    <n v="5249.881138392001"/>
    <n v="115.70000000000002"/>
    <n v="4242.202926588001"/>
    <n v="258.86"/>
    <n v="9492.0840649800011"/>
    <n v="9492.0840649800011"/>
    <n v="0"/>
    <n v="224.13860251200003"/>
    <n v="0"/>
    <n v="0"/>
    <n v="0"/>
    <n v="0"/>
    <n v="5250"/>
    <n v="4018"/>
    <n v="0"/>
    <n v="113"/>
    <n v="0"/>
  </r>
  <r>
    <x v="453"/>
    <s v="Gomukha Jounapur"/>
    <s v="vlc"/>
    <s v="Indirect"/>
    <n v="209.84999999999997"/>
    <n v="9478.89"/>
    <n v="0"/>
    <n v="0"/>
    <n v="0"/>
    <n v="0"/>
    <n v="0"/>
    <n v="0"/>
    <n v="9478.89"/>
    <n v="0"/>
    <n v="0"/>
    <n v="0"/>
    <n v="6750"/>
    <n v="0"/>
    <n v="0"/>
    <n v="0"/>
    <n v="0"/>
    <n v="2728.8899999999994"/>
    <n v="0"/>
    <n v="0"/>
  </r>
  <r>
    <x v="454"/>
    <s v="Patailliya"/>
    <s v="vlc"/>
    <s v="Indirect"/>
    <n v="283.81999999999994"/>
    <n v="10030.119999999999"/>
    <n v="0"/>
    <n v="0"/>
    <n v="0"/>
    <n v="0"/>
    <n v="0"/>
    <n v="0"/>
    <n v="10030.119999999999"/>
    <n v="0"/>
    <n v="0"/>
    <n v="0"/>
    <n v="0"/>
    <n v="0"/>
    <n v="0"/>
    <n v="0"/>
    <n v="0"/>
    <n v="10030.119999999999"/>
    <n v="0"/>
    <n v="0"/>
  </r>
  <r>
    <x v="455"/>
    <s v="Badiya"/>
    <s v="vlc"/>
    <s v="Indirect"/>
    <n v="235.27000000000004"/>
    <n v="8178.1399999999994"/>
    <n v="0"/>
    <n v="0"/>
    <n v="0"/>
    <n v="0"/>
    <n v="0"/>
    <n v="0"/>
    <n v="8178.1399999999994"/>
    <n v="0"/>
    <n v="0"/>
    <n v="0"/>
    <n v="0"/>
    <n v="0"/>
    <n v="0"/>
    <n v="0"/>
    <n v="0"/>
    <n v="8178.1399999999994"/>
    <n v="0"/>
    <n v="0"/>
  </r>
  <r>
    <x v="456"/>
    <s v="Gomukh Tabhka"/>
    <s v="MPG"/>
    <s v="Direct"/>
    <n v="2773.03"/>
    <n v="109454.78"/>
    <n v="1874.15"/>
    <n v="83190.450335214729"/>
    <n v="963.14999999999986"/>
    <n v="38748.64598586801"/>
    <n v="2837.3"/>
    <n v="121939.09632108273"/>
    <n v="109454.78"/>
    <n v="0"/>
    <n v="653.59624453200013"/>
    <n v="12484.316321082733"/>
    <n v="1739"/>
    <n v="0"/>
    <n v="0"/>
    <n v="70706"/>
    <n v="36356"/>
    <n v="0"/>
    <n v="0"/>
    <s v="Release2"/>
  </r>
  <r>
    <x v="457"/>
    <s v="Ghato"/>
    <s v="vlc"/>
    <s v="Indirect"/>
    <n v="46.18"/>
    <n v="1434.01"/>
    <n v="0"/>
    <n v="0"/>
    <n v="0"/>
    <n v="0"/>
    <n v="0"/>
    <n v="0"/>
    <n v="1434.01"/>
    <n v="0"/>
    <n v="0"/>
    <n v="0"/>
    <n v="0"/>
    <n v="0"/>
    <n v="0"/>
    <n v="0"/>
    <n v="0"/>
    <n v="1434.01"/>
    <n v="0"/>
    <n v="0"/>
  </r>
  <r>
    <x v="458"/>
    <s v="RAMNATHPUR                                                                                          "/>
    <s v="MPG"/>
    <s v="Direct"/>
    <n v="880.4799999999999"/>
    <n v="33644.319999999992"/>
    <n v="609.44000000000005"/>
    <n v="23105.816495078307"/>
    <n v="324.85000000000008"/>
    <n v="11672.180699328601"/>
    <n v="934.29000000000019"/>
    <n v="34777.997194406911"/>
    <n v="33644.319999999992"/>
    <n v="0"/>
    <n v="354.73750376460004"/>
    <n v="1133.6771944069187"/>
    <n v="0"/>
    <n v="0"/>
    <n v="0"/>
    <n v="21972"/>
    <n v="11318"/>
    <n v="0"/>
    <n v="0"/>
    <n v="0"/>
  </r>
  <r>
    <x v="459"/>
    <s v="DESUA"/>
    <s v="MPG"/>
    <s v="Direct"/>
    <n v="421.59"/>
    <n v="15861.080000000002"/>
    <n v="406.5"/>
    <n v="15516.747529668002"/>
    <n v="23.299999999999997"/>
    <n v="887.71155065999983"/>
    <n v="429.8"/>
    <n v="16404.459080328001"/>
    <n v="15861.080000000002"/>
    <n v="0"/>
    <n v="18.005327999999999"/>
    <n v="543.37908032799896"/>
    <n v="0"/>
    <n v="0"/>
    <n v="0"/>
    <n v="14973"/>
    <n v="870"/>
    <n v="0"/>
    <n v="0"/>
    <n v="0"/>
  </r>
  <r>
    <x v="460"/>
    <s v="Matior"/>
    <s v="MPG"/>
    <s v="Direct"/>
    <n v="111.88"/>
    <n v="4369.7"/>
    <n v="111.87"/>
    <n v="4369.3102427040003"/>
    <n v="0"/>
    <n v="0"/>
    <n v="111.87"/>
    <n v="4369.3102427040003"/>
    <n v="4369.3102427040003"/>
    <n v="0"/>
    <n v="0"/>
    <n v="0"/>
    <n v="2700"/>
    <n v="0"/>
    <n v="0"/>
    <n v="1669"/>
    <n v="0"/>
    <n v="0"/>
    <n v="1"/>
    <n v="0"/>
  </r>
  <r>
    <x v="461"/>
    <s v="TELGAMA"/>
    <s v="vlc"/>
    <s v="Indirect"/>
    <n v="419.53999999999991"/>
    <n v="17856.400000000005"/>
    <n v="0"/>
    <n v="0"/>
    <n v="0"/>
    <n v="0"/>
    <n v="0"/>
    <n v="0"/>
    <n v="17856.400000000005"/>
    <n v="0"/>
    <n v="0"/>
    <n v="0"/>
    <n v="0"/>
    <n v="0"/>
    <n v="0"/>
    <n v="0"/>
    <n v="0"/>
    <n v="17856.400000000005"/>
    <n v="0"/>
    <n v="0"/>
  </r>
  <r>
    <x v="462"/>
    <s v="GOMUKH TATARPUR"/>
    <s v="MPG"/>
    <s v="Direct"/>
    <n v="175.52999999999997"/>
    <n v="7959.659999999998"/>
    <n v="191.79999999999995"/>
    <n v="8557.7851619840803"/>
    <n v="0"/>
    <n v="0"/>
    <n v="191.79999999999995"/>
    <n v="8557.7851619840803"/>
    <n v="7959.659999999998"/>
    <n v="0"/>
    <n v="0"/>
    <n v="598.1251619840823"/>
    <n v="0"/>
    <n v="0"/>
    <n v="0"/>
    <n v="7960"/>
    <n v="0"/>
    <n v="0"/>
    <n v="0"/>
    <n v="0"/>
  </r>
  <r>
    <x v="463"/>
    <s v="Gomukh Ghataho"/>
    <s v="MPG"/>
    <s v="Direct"/>
    <n v="1967.51"/>
    <n v="73189.11"/>
    <n v="1479.8000000000004"/>
    <n v="54969.650922875939"/>
    <n v="462.9"/>
    <n v="18219.019465547357"/>
    <n v="1942.7000000000003"/>
    <n v="73188.670388423299"/>
    <n v="73188.670388423299"/>
    <n v="0"/>
    <n v="624.32872939799995"/>
    <n v="0"/>
    <n v="0"/>
    <n v="0"/>
    <n v="0"/>
    <n v="54969"/>
    <n v="17595"/>
    <n v="0"/>
    <n v="1"/>
    <n v="0"/>
  </r>
  <r>
    <x v="464"/>
    <s v="Kacha - Amarjeet"/>
    <s v="vlc"/>
    <s v="Indirect"/>
    <n v="509"/>
    <n v="22373.66"/>
    <n v="0"/>
    <n v="0"/>
    <n v="0"/>
    <n v="0"/>
    <n v="0"/>
    <n v="0"/>
    <n v="22373.66"/>
    <n v="0"/>
    <n v="0"/>
    <n v="0"/>
    <n v="3000"/>
    <n v="0"/>
    <n v="0"/>
    <n v="0"/>
    <n v="0"/>
    <n v="19373.66"/>
    <n v="0"/>
    <n v="0"/>
  </r>
  <r>
    <x v="465"/>
    <s v="Simri - Suman"/>
    <s v="vlc"/>
    <s v="Indirect"/>
    <n v="754.4"/>
    <n v="37146.51"/>
    <n v="0"/>
    <n v="0"/>
    <n v="0"/>
    <n v="0"/>
    <n v="0"/>
    <n v="0"/>
    <n v="37146.51"/>
    <n v="0"/>
    <n v="0"/>
    <n v="0"/>
    <n v="0"/>
    <n v="0"/>
    <n v="0"/>
    <n v="0"/>
    <n v="0"/>
    <n v="37146.51"/>
    <n v="0"/>
    <n v="0"/>
  </r>
  <r>
    <x v="466"/>
    <s v="Narenpur"/>
    <s v="MPG"/>
    <s v="Direct"/>
    <n v="331.14000000000004"/>
    <n v="13375.2"/>
    <n v="75.430000000000007"/>
    <n v="2855.1725952339402"/>
    <n v="249.82000000000002"/>
    <n v="10594.6009681166"/>
    <n v="325.25"/>
    <n v="13449.77356335054"/>
    <n v="13375.2"/>
    <n v="0"/>
    <n v="0"/>
    <n v="74.573563350539189"/>
    <n v="6750"/>
    <n v="0"/>
    <n v="0"/>
    <n v="1526"/>
    <n v="5099"/>
    <n v="0"/>
    <n v="0"/>
    <n v="0"/>
  </r>
  <r>
    <x v="467"/>
    <s v="Mordiba"/>
    <s v="MPG"/>
    <s v="Direct"/>
    <n v="1202.31"/>
    <n v="48857.919999999991"/>
    <n v="904.56999999999994"/>
    <n v="38295.009407535079"/>
    <n v="288.0499999999999"/>
    <n v="11522.457693188418"/>
    <n v="1192.6199999999999"/>
    <n v="49817.467100723501"/>
    <n v="48857.919999999991"/>
    <n v="0"/>
    <n v="25.474979341120005"/>
    <n v="959.54710072351008"/>
    <n v="0"/>
    <n v="693.60173419354874"/>
    <n v="0"/>
    <n v="36642"/>
    <n v="11496"/>
    <n v="0"/>
    <n v="1"/>
    <n v="0"/>
  </r>
  <r>
    <x v="468"/>
    <s v="Jagdispur"/>
    <s v="MPG"/>
    <s v="Direct"/>
    <n v="230.51"/>
    <n v="8704.34"/>
    <n v="256.07"/>
    <n v="9138.3373436132333"/>
    <n v="0"/>
    <n v="0"/>
    <n v="256.07"/>
    <n v="9138.3373436132333"/>
    <n v="8704.34"/>
    <n v="0"/>
    <n v="0"/>
    <n v="433.99734361323317"/>
    <n v="0"/>
    <n v="0"/>
    <n v="0"/>
    <n v="8704"/>
    <n v="0"/>
    <n v="0"/>
    <n v="0"/>
    <s v="Release2"/>
  </r>
  <r>
    <x v="469"/>
    <s v="Chaklal Sahi_Vikrant"/>
    <s v="vlc"/>
    <s v="Indirect"/>
    <n v="1835"/>
    <n v="63552.049999999996"/>
    <n v="0"/>
    <n v="0"/>
    <n v="0"/>
    <n v="0"/>
    <n v="0"/>
    <n v="0"/>
    <n v="63552.049999999996"/>
    <n v="0"/>
    <n v="0"/>
    <n v="0"/>
    <n v="0"/>
    <n v="571.84935483870845"/>
    <n v="0"/>
    <n v="0"/>
    <n v="0"/>
    <n v="62980.200645161291"/>
    <n v="0"/>
    <n v="0"/>
  </r>
  <r>
    <x v="470"/>
    <s v="Piparpaati"/>
    <s v="vlc"/>
    <s v="Indirect"/>
    <n v="199.44"/>
    <n v="7284.77"/>
    <n v="0"/>
    <n v="0"/>
    <n v="0"/>
    <n v="0"/>
    <n v="0"/>
    <n v="0"/>
    <n v="7284.77"/>
    <n v="0"/>
    <n v="0"/>
    <n v="0"/>
    <n v="0"/>
    <n v="0"/>
    <n v="0"/>
    <n v="0"/>
    <n v="0"/>
    <n v="7284.77"/>
    <n v="0"/>
    <n v="0"/>
  </r>
  <r>
    <x v="471"/>
    <s v="Suratpur"/>
    <s v="MPG"/>
    <s v="Direct"/>
    <n v="240.5"/>
    <n v="9714.57"/>
    <n v="63.600000000000009"/>
    <n v="2677.5705703561707"/>
    <n v="182.16"/>
    <n v="7383.1368137942954"/>
    <n v="245.76"/>
    <n v="10060.707384150466"/>
    <n v="9714.57"/>
    <n v="0"/>
    <n v="38.8510734348"/>
    <n v="346.13738415046646"/>
    <n v="0"/>
    <n v="599.79750774193519"/>
    <n v="0"/>
    <n v="1731"/>
    <n v="7345"/>
    <n v="0"/>
    <n v="0"/>
    <n v="0"/>
  </r>
  <r>
    <x v="472"/>
    <s v="Manika Tol"/>
    <s v="MPG"/>
    <s v="Direct"/>
    <n v="17.34"/>
    <n v="604.1400000000001"/>
    <n v="17.29"/>
    <n v="598.95492069600004"/>
    <n v="0"/>
    <n v="0"/>
    <n v="17.29"/>
    <n v="598.95492069600004"/>
    <n v="598.95492069600004"/>
    <n v="0"/>
    <n v="0"/>
    <n v="0"/>
    <n v="0"/>
    <n v="209.46904000000009"/>
    <n v="0"/>
    <n v="389"/>
    <n v="0"/>
    <n v="0"/>
    <n v="6"/>
    <n v="0"/>
  </r>
  <r>
    <x v="473"/>
    <s v="Beri"/>
    <s v="MPG"/>
    <s v="Direct"/>
    <n v="264.29999999999995"/>
    <n v="9723.83"/>
    <n v="264.30000000000007"/>
    <n v="9723.5636555376004"/>
    <n v="0"/>
    <n v="0"/>
    <n v="264.30000000000007"/>
    <n v="9723.5636555376004"/>
    <n v="9723.5636555376004"/>
    <n v="0"/>
    <n v="0"/>
    <n v="0"/>
    <n v="9681"/>
    <n v="42.858917999999882"/>
    <n v="0"/>
    <n v="0"/>
    <n v="0"/>
    <n v="0"/>
    <n v="0"/>
    <s v="Yes"/>
  </r>
  <r>
    <x v="474"/>
    <s v="Mahmmadipur"/>
    <s v="MPG"/>
    <s v="Direct"/>
    <n v="1651.0500000000002"/>
    <n v="80923.61"/>
    <n v="469.15000000000003"/>
    <n v="23645.629677704597"/>
    <n v="1265.23"/>
    <n v="64889.344576051146"/>
    <n v="1734.38"/>
    <n v="88534.974253755747"/>
    <n v="80923.61"/>
    <n v="0"/>
    <n v="41.607232304"/>
    <n v="7611.3642537557462"/>
    <n v="0"/>
    <n v="0"/>
    <n v="0"/>
    <n v="20069"/>
    <n v="60813"/>
    <n v="0"/>
    <n v="0"/>
    <s v="Release1"/>
  </r>
  <r>
    <x v="475"/>
    <s v="Simri-Rupesh"/>
    <s v="vlc"/>
    <s v="Indirect"/>
    <n v="962.45"/>
    <n v="36534.590000000004"/>
    <n v="0"/>
    <n v="0"/>
    <n v="0"/>
    <n v="0"/>
    <n v="0"/>
    <n v="0"/>
    <n v="36534.590000000004"/>
    <n v="0"/>
    <n v="0"/>
    <n v="0"/>
    <n v="0"/>
    <n v="0"/>
    <n v="0"/>
    <n v="0"/>
    <n v="0"/>
    <n v="36534.590000000004"/>
    <n v="0"/>
    <n v="0"/>
  </r>
  <r>
    <x v="476"/>
    <s v="Mithilanchal Dairy Products"/>
    <s v="vlc"/>
    <s v="Indirect"/>
    <n v="2196"/>
    <n v="83681.73000000001"/>
    <n v="0"/>
    <n v="0"/>
    <n v="0"/>
    <n v="0"/>
    <n v="0"/>
    <n v="0"/>
    <n v="83681.73000000001"/>
    <n v="0"/>
    <n v="0"/>
    <n v="0"/>
    <n v="0"/>
    <n v="744.25839677419253"/>
    <n v="0"/>
    <n v="0"/>
    <n v="0"/>
    <n v="82937.471603225815"/>
    <n v="0"/>
    <n v="0"/>
  </r>
  <r>
    <x v="477"/>
    <s v="Gomukh Jhaura Tabhka"/>
    <s v="MPG"/>
    <s v="Direct"/>
    <n v="720.25"/>
    <n v="26032.379999999997"/>
    <n v="718.2"/>
    <n v="27354.870544320001"/>
    <n v="7"/>
    <n v="261.16957151999998"/>
    <n v="725.2"/>
    <n v="27616.040115840002"/>
    <n v="26032.379999999997"/>
    <n v="0"/>
    <n v="53.448310079999999"/>
    <n v="1583.6601158400044"/>
    <n v="0"/>
    <n v="0"/>
    <n v="0"/>
    <n v="25771"/>
    <n v="208"/>
    <n v="0"/>
    <n v="0"/>
    <n v="0"/>
  </r>
  <r>
    <x v="478"/>
    <s v="Gomukh Mohanpur"/>
    <s v="MPG"/>
    <s v="Direct"/>
    <n v="544.94000000000005"/>
    <n v="20204.780000000002"/>
    <n v="180.64"/>
    <n v="7019.3252640139208"/>
    <n v="367.31"/>
    <n v="12918.192957872499"/>
    <n v="547.95000000000005"/>
    <n v="19937.518221886421"/>
    <n v="19937.518221886421"/>
    <n v="0"/>
    <n v="355.25924782920004"/>
    <n v="0"/>
    <n v="0"/>
    <n v="0"/>
    <n v="0"/>
    <n v="7019"/>
    <n v="12564"/>
    <n v="0"/>
    <n v="267"/>
    <n v="0"/>
  </r>
  <r>
    <x v="479"/>
    <s v="Gomukh Bochaha"/>
    <s v="MPG"/>
    <s v="Direct"/>
    <n v="831.9"/>
    <n v="36213.009999999987"/>
    <n v="89.12"/>
    <n v="4126.5116023450901"/>
    <n v="728.34999999999991"/>
    <n v="32161.423505743704"/>
    <n v="817.46999999999991"/>
    <n v="36287.935108088794"/>
    <n v="36213.009999999987"/>
    <n v="0"/>
    <n v="0"/>
    <n v="74.925108088806155"/>
    <n v="635"/>
    <n v="0"/>
    <n v="0"/>
    <n v="3416"/>
    <n v="32162"/>
    <n v="0"/>
    <n v="0"/>
    <n v="0"/>
  </r>
  <r>
    <x v="480"/>
    <s v="Gomukh Terganj"/>
    <s v="MPG"/>
    <s v="Direct"/>
    <n v="206.15000000000003"/>
    <n v="8477.5300000000007"/>
    <n v="86"/>
    <n v="3558.6844919999994"/>
    <n v="158"/>
    <n v="6535.8932759999989"/>
    <n v="244"/>
    <n v="10094.577767999999"/>
    <n v="8477.5300000000007"/>
    <n v="0"/>
    <n v="0"/>
    <n v="1617.0477679999985"/>
    <n v="0"/>
    <n v="0"/>
    <n v="0"/>
    <n v="1943"/>
    <n v="6535"/>
    <n v="0"/>
    <n v="0"/>
    <n v="0"/>
  </r>
  <r>
    <x v="481"/>
    <s v="Gomukh Chapra"/>
    <s v="vlc"/>
    <s v="Indirect"/>
    <n v="353.64"/>
    <n v="13810.94"/>
    <n v="0"/>
    <n v="0"/>
    <n v="0"/>
    <n v="0"/>
    <n v="0"/>
    <n v="0"/>
    <n v="13810.94"/>
    <n v="0"/>
    <n v="0"/>
    <n v="0"/>
    <n v="13054"/>
    <n v="756.57134903225767"/>
    <n v="0"/>
    <n v="0"/>
    <n v="0"/>
    <n v="0.36865096774283757"/>
    <n v="0"/>
    <n v="0"/>
  </r>
  <r>
    <x v="482"/>
    <s v="GOMUKH Chiranjipur"/>
    <s v="vlc"/>
    <s v="Indirect"/>
    <n v="5670"/>
    <n v="214787.16"/>
    <n v="0"/>
    <n v="0"/>
    <n v="0"/>
    <n v="0"/>
    <n v="0"/>
    <n v="0"/>
    <n v="214787.16"/>
    <n v="0"/>
    <n v="0"/>
    <n v="0"/>
    <n v="0"/>
    <n v="4814.8379999999979"/>
    <n v="0"/>
    <n v="0"/>
    <n v="0"/>
    <n v="209972.32200000001"/>
    <n v="0"/>
    <n v="0"/>
  </r>
  <r>
    <x v="483"/>
    <s v="Gomukh Sahu Tol"/>
    <s v="vlc"/>
    <s v="Indirect"/>
    <n v="997"/>
    <n v="37017.769999999997"/>
    <n v="0"/>
    <n v="0"/>
    <n v="0"/>
    <n v="0"/>
    <n v="0"/>
    <n v="0"/>
    <n v="37017.769999999997"/>
    <n v="0"/>
    <n v="0"/>
    <n v="0"/>
    <n v="0"/>
    <n v="0"/>
    <n v="0"/>
    <n v="0"/>
    <n v="0"/>
    <n v="37017.769999999997"/>
    <n v="0"/>
    <n v="0"/>
  </r>
  <r>
    <x v="484"/>
    <s v="Gomukh Mordiwa East"/>
    <s v="MPG"/>
    <s v="Direct"/>
    <n v="863.8599999999999"/>
    <n v="32966.25"/>
    <n v="359"/>
    <n v="13868.177954400002"/>
    <n v="569.20000000000005"/>
    <n v="21934.079038080006"/>
    <n v="928.2"/>
    <n v="35802.256992480005"/>
    <n v="32966.25"/>
    <n v="0"/>
    <n v="0"/>
    <n v="2836.0069924800046"/>
    <n v="84"/>
    <n v="0"/>
    <n v="0"/>
    <n v="10948"/>
    <n v="21934"/>
    <n v="0"/>
    <n v="0"/>
    <s v="Release2"/>
  </r>
  <r>
    <x v="485"/>
    <s v="Gomukh Belamegh"/>
    <s v="vlc"/>
    <s v="Indirect"/>
    <n v="995"/>
    <n v="34383.35"/>
    <n v="0"/>
    <n v="0"/>
    <n v="0"/>
    <n v="0"/>
    <n v="0"/>
    <n v="0"/>
    <n v="34383.35"/>
    <n v="0"/>
    <n v="0"/>
    <n v="0"/>
    <n v="0"/>
    <n v="1869.6493548387105"/>
    <n v="0"/>
    <n v="0"/>
    <n v="0"/>
    <n v="32513.700645161287"/>
    <n v="0"/>
    <n v="0"/>
  </r>
  <r>
    <x v="486"/>
    <s v="Gomukh Ramaiya"/>
    <s v="MPG"/>
    <s v="Direct"/>
    <n v="705.48"/>
    <n v="26685.539999999997"/>
    <n v="625.63000000000011"/>
    <n v="23665.526810620202"/>
    <n v="0"/>
    <n v="0"/>
    <n v="625.63000000000011"/>
    <n v="23665.526810620202"/>
    <n v="23665.526810620202"/>
    <n v="0"/>
    <n v="0"/>
    <n v="0"/>
    <n v="0"/>
    <n v="0"/>
    <n v="0"/>
    <n v="23666"/>
    <n v="0"/>
    <n v="0"/>
    <n v="3020"/>
    <n v="0"/>
  </r>
  <r>
    <x v="487"/>
    <s v="GOMUKH MANIKA EAST"/>
    <s v="MPG"/>
    <s v="Direct"/>
    <n v="904.67"/>
    <n v="35048.519999999997"/>
    <n v="607.09999999999991"/>
    <n v="24708.759989186001"/>
    <n v="321.7"/>
    <n v="12703.106753289501"/>
    <n v="928.8"/>
    <n v="37411.866742475504"/>
    <n v="35048.519999999997"/>
    <n v="0"/>
    <n v="0"/>
    <n v="2363.3467424755072"/>
    <n v="0"/>
    <n v="0"/>
    <n v="0"/>
    <n v="22345"/>
    <n v="12704"/>
    <n v="0"/>
    <n v="0"/>
    <n v="0"/>
  </r>
  <r>
    <x v="488"/>
    <s v="IMADPUR"/>
    <s v="vlc"/>
    <s v="Indirect"/>
    <n v="1410.6100000000001"/>
    <n v="47447.69"/>
    <n v="0"/>
    <n v="0"/>
    <n v="0"/>
    <n v="0"/>
    <n v="0"/>
    <n v="0"/>
    <n v="47447.69"/>
    <n v="0"/>
    <n v="0"/>
    <n v="0"/>
    <n v="0"/>
    <n v="0"/>
    <n v="0"/>
    <n v="0"/>
    <n v="0"/>
    <n v="47447.69"/>
    <n v="0"/>
    <n v="0"/>
  </r>
  <r>
    <x v="489"/>
    <s v="Gomukh MANIYAR EAST"/>
    <s v="vlc"/>
    <s v="Indirect"/>
    <n v="964.56"/>
    <n v="37511.03"/>
    <n v="0"/>
    <n v="0"/>
    <n v="0"/>
    <n v="0"/>
    <n v="0"/>
    <n v="0"/>
    <n v="37511.03"/>
    <n v="0"/>
    <n v="0"/>
    <n v="0"/>
    <n v="0"/>
    <n v="0"/>
    <n v="0"/>
    <n v="0"/>
    <n v="0"/>
    <n v="37511.03"/>
    <n v="0"/>
    <n v="0"/>
  </r>
  <r>
    <x v="490"/>
    <s v="GOMUKH Kisanpur Tabhka"/>
    <s v="MPG"/>
    <s v="Direct"/>
    <n v="1281.3700000000003"/>
    <n v="49068.739999999991"/>
    <n v="262.7"/>
    <n v="10642.595659031011"/>
    <n v="1018.6700000000001"/>
    <n v="39258.427856664035"/>
    <n v="1281.3700000000001"/>
    <n v="49901.023515695044"/>
    <n v="49068.739999999991"/>
    <n v="0"/>
    <n v="309.60802818000002"/>
    <n v="832.28351569505321"/>
    <n v="0"/>
    <n v="0"/>
    <n v="0"/>
    <n v="9810"/>
    <n v="38949"/>
    <n v="0"/>
    <n v="0"/>
    <n v="0"/>
  </r>
  <r>
    <x v="491"/>
    <s v="GOMUKH BIBHUTIPUR"/>
    <s v="MPG"/>
    <s v="Direct"/>
    <n v="59.870000000000005"/>
    <n v="2354.63"/>
    <n v="60.84"/>
    <n v="2585.0278549855402"/>
    <n v="0"/>
    <n v="0"/>
    <n v="60.84"/>
    <n v="2585.0278549855402"/>
    <n v="2354.63"/>
    <n v="0"/>
    <n v="0"/>
    <n v="230.39785498554011"/>
    <n v="0"/>
    <n v="0"/>
    <n v="0"/>
    <n v="2355"/>
    <n v="0"/>
    <n v="0"/>
    <n v="0"/>
    <n v="0"/>
  </r>
  <r>
    <x v="492"/>
    <s v="GOMUKH PATHAKTOL"/>
    <s v="MPG"/>
    <s v="Direct"/>
    <n v="170.3"/>
    <n v="7027.21"/>
    <n v="120.10000000000001"/>
    <n v="4947.69259908"/>
    <n v="53.1"/>
    <n v="2172.9267426098254"/>
    <n v="173.20000000000002"/>
    <n v="7120.6193416898259"/>
    <n v="7027.21"/>
    <n v="0"/>
    <n v="0"/>
    <n v="93.409341689825851"/>
    <n v="0"/>
    <n v="0"/>
    <n v="0"/>
    <n v="4855"/>
    <n v="2172"/>
    <n v="0"/>
    <n v="0"/>
    <n v="0"/>
  </r>
  <r>
    <x v="493"/>
    <s v="Gomukh Musapur West"/>
    <s v="vlc"/>
    <s v="Indirect"/>
    <n v="700.75"/>
    <n v="25602.53"/>
    <n v="0"/>
    <n v="0"/>
    <n v="0"/>
    <n v="0"/>
    <n v="0"/>
    <n v="0"/>
    <n v="25602.53"/>
    <n v="0"/>
    <n v="0"/>
    <n v="0"/>
    <n v="0"/>
    <n v="319.63877032258131"/>
    <n v="0"/>
    <n v="0"/>
    <n v="0"/>
    <n v="25282.891229677418"/>
    <n v="0"/>
    <n v="0"/>
  </r>
  <r>
    <x v="494"/>
    <s v="GOMUKH DADHIYA RAMKRISHANPUR"/>
    <s v="MPG"/>
    <s v="Direct"/>
    <n v="1701.33"/>
    <n v="69475.889999999985"/>
    <n v="551.70000000000005"/>
    <n v="19774.092238855505"/>
    <n v="1170.2999999999997"/>
    <n v="49613.713609192506"/>
    <n v="1721.9999999999998"/>
    <n v="69387.80584804801"/>
    <n v="69387.80584804801"/>
    <n v="0"/>
    <n v="1653.6419002482"/>
    <n v="0"/>
    <n v="0"/>
    <n v="0"/>
    <n v="0"/>
    <n v="19774"/>
    <n v="47959"/>
    <n v="0"/>
    <n v="89"/>
    <n v="0"/>
  </r>
  <r>
    <x v="496"/>
    <s v="GOMUKH BALTHARA"/>
    <s v="MPG"/>
    <s v="Direct"/>
    <n v="307.02"/>
    <n v="11783.439999999999"/>
    <n v="138.79000000000002"/>
    <n v="5538.1856857866005"/>
    <n v="157.88000000000002"/>
    <n v="6244.410075604801"/>
    <n v="296.67000000000007"/>
    <n v="11782.595761391402"/>
    <n v="11782.595761391402"/>
    <n v="0"/>
    <n v="0"/>
    <n v="0"/>
    <n v="0"/>
    <n v="0"/>
    <n v="0"/>
    <n v="5538"/>
    <n v="6245"/>
    <n v="0"/>
    <n v="0"/>
    <s v="Release2"/>
  </r>
  <r>
    <x v="497"/>
    <s v="GOMUKH BHASINGPUR"/>
    <s v="MPG"/>
    <s v="Direct"/>
    <n v="1309.7399999999998"/>
    <n v="54726.109999999993"/>
    <n v="328.47"/>
    <n v="15054.76916721634"/>
    <n v="886.84"/>
    <n v="37794.857518535231"/>
    <n v="1215.31"/>
    <n v="52849.626685751573"/>
    <n v="52849.626685751573"/>
    <n v="0"/>
    <n v="0"/>
    <n v="0"/>
    <n v="6750"/>
    <n v="0"/>
    <n v="0"/>
    <n v="13217"/>
    <n v="32881"/>
    <n v="0"/>
    <n v="1878"/>
    <n v="0"/>
  </r>
  <r>
    <x v="498"/>
    <s v="GOMUKH Chakhale Dad"/>
    <s v="MPG"/>
    <s v="Direct"/>
    <n v="753.62999999999988"/>
    <n v="28494.32"/>
    <n v="541.4799999999999"/>
    <n v="21296.261962706736"/>
    <n v="219.76000000000005"/>
    <n v="7755.0014860889605"/>
    <n v="761.24"/>
    <n v="29051.263448795697"/>
    <n v="28494.32"/>
    <n v="0"/>
    <n v="132.870970188"/>
    <n v="556.9434487956969"/>
    <n v="1350"/>
    <n v="0"/>
    <n v="0"/>
    <n v="19387"/>
    <n v="7624"/>
    <n v="0"/>
    <n v="0"/>
    <n v="0"/>
  </r>
  <r>
    <x v="499"/>
    <s v="GOMUKH BANGHARH KISHANPUR"/>
    <s v="MPG"/>
    <s v="Direct"/>
    <n v="730.2"/>
    <n v="25053.89"/>
    <n v="112.1"/>
    <n v="3897.7827558120007"/>
    <n v="611"/>
    <n v="21272.260216086004"/>
    <n v="723.1"/>
    <n v="25170.042971898005"/>
    <n v="25053.89"/>
    <n v="0"/>
    <n v="155.07931962600006"/>
    <n v="116.15297189800549"/>
    <n v="0"/>
    <n v="0"/>
    <n v="0"/>
    <n v="3782"/>
    <n v="21117"/>
    <n v="0"/>
    <n v="0"/>
    <n v="0"/>
  </r>
  <r>
    <x v="500"/>
    <s v="Gomukh Serpur Narsari"/>
    <s v="vlc"/>
    <s v="Indirect"/>
    <n v="109.89999999999999"/>
    <n v="3553.5"/>
    <n v="0"/>
    <n v="0"/>
    <n v="0"/>
    <n v="0"/>
    <n v="0"/>
    <n v="0"/>
    <n v="3553.5"/>
    <n v="0"/>
    <n v="0"/>
    <n v="0"/>
    <n v="0"/>
    <n v="0"/>
    <n v="0"/>
    <n v="0"/>
    <n v="0"/>
    <n v="3553.5"/>
    <n v="0"/>
    <n v="0"/>
  </r>
  <r>
    <x v="501"/>
    <s v="PARORIYA"/>
    <s v="MPG"/>
    <s v="Direct"/>
    <n v="88.600000000000009"/>
    <n v="2942.77"/>
    <n v="77.510000000000005"/>
    <n v="2602.9002926717999"/>
    <n v="0.4"/>
    <n v="13.860396"/>
    <n v="77.910000000000011"/>
    <n v="2616.7606886717999"/>
    <n v="2616.7606886717999"/>
    <n v="0"/>
    <n v="13.860396"/>
    <n v="0"/>
    <n v="0"/>
    <n v="75.983100000000022"/>
    <n v="0"/>
    <n v="2527"/>
    <n v="0"/>
    <n v="0"/>
    <n v="326"/>
    <n v="0"/>
  </r>
  <r>
    <x v="502"/>
    <s v="JHAKHRA"/>
    <s v="vlc"/>
    <s v="Indirect"/>
    <n v="41.8"/>
    <n v="1366.94"/>
    <n v="0"/>
    <n v="0"/>
    <n v="0"/>
    <n v="0"/>
    <n v="0"/>
    <n v="0"/>
    <n v="1366.94"/>
    <n v="0"/>
    <n v="0"/>
    <n v="0"/>
    <n v="0"/>
    <n v="0"/>
    <n v="0"/>
    <n v="0"/>
    <n v="0"/>
    <n v="1366.94"/>
    <n v="0"/>
    <n v="0"/>
  </r>
  <r>
    <x v="503"/>
    <s v="GOMUKH ANDAHA"/>
    <s v="MPG"/>
    <s v="Direct"/>
    <n v="500.7"/>
    <n v="17311.669999999998"/>
    <n v="481.32000000000005"/>
    <n v="17289.464886441001"/>
    <n v="0"/>
    <n v="0"/>
    <n v="481.32000000000005"/>
    <n v="17289.464886441001"/>
    <n v="17289.464886441001"/>
    <n v="0"/>
    <n v="0"/>
    <n v="0"/>
    <n v="0"/>
    <n v="0"/>
    <n v="0"/>
    <n v="17289"/>
    <n v="0"/>
    <n v="0"/>
    <n v="23"/>
    <n v="0"/>
  </r>
  <r>
    <x v="504"/>
    <s v="Gomukha Rohua"/>
    <s v="MPG"/>
    <s v="Direct"/>
    <n v="707.8"/>
    <n v="27490.769999999997"/>
    <n v="691"/>
    <n v="29052.554599764375"/>
    <n v="75.849999999999994"/>
    <n v="2911.5004998554405"/>
    <n v="766.85"/>
    <n v="31964.055099619814"/>
    <n v="27490.769999999997"/>
    <n v="0"/>
    <n v="304.44278061144007"/>
    <n v="4473.2850996198176"/>
    <n v="0"/>
    <n v="0"/>
    <n v="0"/>
    <n v="24578"/>
    <n v="2608"/>
    <n v="0"/>
    <n v="0"/>
    <n v="0"/>
  </r>
  <r>
    <x v="505"/>
    <s v="Gomukha Arniya Ganj"/>
    <s v="MPG"/>
    <s v="Direct"/>
    <n v="3453.3000000000006"/>
    <n v="124823.90999999999"/>
    <n v="1981.9999999999998"/>
    <n v="72821.360169360021"/>
    <n v="1498.0000000000002"/>
    <n v="54565.855941762013"/>
    <n v="3480"/>
    <n v="127387.21611112203"/>
    <n v="124823.90999999999"/>
    <n v="0"/>
    <n v="1262.6959197600002"/>
    <n v="2563.306111122045"/>
    <n v="0"/>
    <n v="0"/>
    <n v="0"/>
    <n v="70258"/>
    <n v="53303"/>
    <n v="0"/>
    <n v="0"/>
    <s v="Release1"/>
  </r>
  <r>
    <x v="506"/>
    <s v="Gomukha Vishanupatti II"/>
    <s v="vlc"/>
    <s v="Indirect"/>
    <n v="511.99999999999994"/>
    <n v="19926.649999999998"/>
    <n v="0"/>
    <n v="0"/>
    <n v="0"/>
    <n v="0"/>
    <n v="0"/>
    <n v="0"/>
    <n v="19926.649999999998"/>
    <n v="0"/>
    <n v="0"/>
    <n v="0"/>
    <n v="0"/>
    <n v="0"/>
    <n v="0"/>
    <n v="0"/>
    <n v="0"/>
    <n v="19926.649999999998"/>
    <n v="0"/>
    <n v="0"/>
  </r>
  <r>
    <x v="507"/>
    <s v="Gomukh Khesarhiya"/>
    <s v="vlc"/>
    <s v="Indirect"/>
    <n v="243.7"/>
    <n v="11174.1"/>
    <n v="0"/>
    <n v="0"/>
    <n v="0"/>
    <n v="0"/>
    <n v="0"/>
    <n v="0"/>
    <n v="11174.1"/>
    <n v="0"/>
    <n v="0"/>
    <n v="0"/>
    <n v="0"/>
    <n v="0"/>
    <n v="0"/>
    <n v="0"/>
    <n v="0"/>
    <n v="11174.1"/>
    <n v="0"/>
    <n v="0"/>
  </r>
  <r>
    <x v="508"/>
    <s v="Harsingpur"/>
    <s v="vlc"/>
    <s v="Indirect"/>
    <n v="215.79999999999998"/>
    <n v="6788.4"/>
    <n v="0"/>
    <n v="0"/>
    <n v="0"/>
    <n v="0"/>
    <n v="0"/>
    <n v="0"/>
    <n v="6788.4"/>
    <n v="0"/>
    <n v="0"/>
    <n v="0"/>
    <n v="1350"/>
    <n v="0"/>
    <n v="0"/>
    <n v="0"/>
    <n v="0"/>
    <n v="5438.4"/>
    <n v="0"/>
    <n v="0"/>
  </r>
  <r>
    <x v="509"/>
    <s v="Gomukh ID Mahathi"/>
    <s v="vlc"/>
    <s v="Indirect"/>
    <n v="638.69999999999993"/>
    <n v="23438.97"/>
    <n v="0"/>
    <n v="0"/>
    <n v="0"/>
    <n v="0"/>
    <n v="0"/>
    <n v="0"/>
    <n v="23438.97"/>
    <n v="0"/>
    <n v="0"/>
    <n v="0"/>
    <n v="0"/>
    <n v="0"/>
    <n v="0"/>
    <n v="0"/>
    <n v="0"/>
    <n v="23438.97"/>
    <n v="0"/>
    <n v="0"/>
  </r>
  <r>
    <x v="510"/>
    <s v="MURTUJAPUR"/>
    <s v="vlc"/>
    <s v="Indirect"/>
    <n v="406.4"/>
    <n v="16584.940000000002"/>
    <n v="0"/>
    <n v="0"/>
    <n v="0"/>
    <n v="0"/>
    <n v="0"/>
    <n v="0"/>
    <n v="16584.940000000002"/>
    <n v="0"/>
    <n v="0"/>
    <n v="0"/>
    <n v="0"/>
    <n v="0"/>
    <n v="0"/>
    <n v="0"/>
    <n v="0"/>
    <n v="16584.940000000002"/>
    <n v="0"/>
    <n v="0"/>
  </r>
  <r>
    <x v="511"/>
    <s v="Rasalpur"/>
    <s v="MPG"/>
    <s v="Direct"/>
    <n v="286.60000000000002"/>
    <n v="12268.969999999998"/>
    <n v="76.77000000000001"/>
    <n v="3872.3648532615607"/>
    <n v="223.39"/>
    <n v="9515.5785397024611"/>
    <n v="300.15999999999997"/>
    <n v="13387.943392964022"/>
    <n v="12268.969999999998"/>
    <n v="0"/>
    <n v="101.08413176580001"/>
    <n v="1118.9733929640242"/>
    <n v="0"/>
    <n v="0"/>
    <n v="0"/>
    <n v="2754"/>
    <n v="9414"/>
    <n v="0"/>
    <n v="0"/>
    <n v="0"/>
  </r>
  <r>
    <x v="512"/>
    <s v="Gomukh VISHNUPATTI"/>
    <s v="vlc"/>
    <s v="Indirect"/>
    <n v="51.199999999999996"/>
    <n v="1528.2299999999998"/>
    <n v="0"/>
    <n v="0"/>
    <n v="0"/>
    <n v="0"/>
    <n v="0"/>
    <n v="0"/>
    <n v="1528.2299999999998"/>
    <n v="0"/>
    <n v="0"/>
    <n v="0"/>
    <n v="0"/>
    <n v="597.79200000000003"/>
    <n v="0"/>
    <n v="0"/>
    <n v="0"/>
    <n v="930.43799999999976"/>
    <n v="0"/>
    <n v="0"/>
  </r>
  <r>
    <x v="513"/>
    <s v="Chhuchhipur                                                                                         "/>
    <s v="MPG"/>
    <s v="Direct"/>
    <n v="124.4"/>
    <n v="3907.3700000000003"/>
    <n v="141"/>
    <n v="5211.5088960000003"/>
    <n v="0"/>
    <n v="0"/>
    <n v="141"/>
    <n v="5211.5088960000003"/>
    <n v="3907.3700000000003"/>
    <n v="0"/>
    <n v="0"/>
    <n v="1304.1388959999999"/>
    <n v="0"/>
    <n v="485.33491578947354"/>
    <n v="0"/>
    <n v="3421"/>
    <n v="0"/>
    <n v="0"/>
    <n v="1"/>
    <n v="0"/>
  </r>
  <r>
    <x v="514"/>
    <s v="Gomukh ID Sararanjan"/>
    <s v="vlc"/>
    <s v="Indirect"/>
    <n v="123.80000000000001"/>
    <n v="4985.7700000000004"/>
    <n v="0"/>
    <n v="0"/>
    <n v="0"/>
    <n v="0"/>
    <n v="0"/>
    <n v="0"/>
    <n v="4985.7700000000004"/>
    <n v="0"/>
    <n v="0"/>
    <n v="0"/>
    <n v="0"/>
    <n v="0"/>
    <n v="0"/>
    <n v="0"/>
    <n v="0"/>
    <n v="4985.7700000000004"/>
    <n v="0"/>
    <n v="0"/>
  </r>
  <r>
    <x v="515"/>
    <s v="Gomukh Soharthi Purvi Tola                                                                          "/>
    <s v="MPG"/>
    <s v="Direct"/>
    <n v="37.1"/>
    <n v="1847.6699999999998"/>
    <n v="59"/>
    <n v="3010.3349228620004"/>
    <n v="0"/>
    <n v="0"/>
    <n v="59"/>
    <n v="3010.3349228620004"/>
    <n v="1847.6699999999998"/>
    <n v="0"/>
    <n v="0"/>
    <n v="1162.6649228620006"/>
    <n v="0"/>
    <n v="64.369413559321998"/>
    <n v="0"/>
    <n v="1783"/>
    <n v="0"/>
    <n v="0"/>
    <n v="0"/>
    <n v="0"/>
  </r>
  <r>
    <x v="516"/>
    <s v="Birnama"/>
    <s v="vlc"/>
    <s v="Indirect"/>
    <n v="785.8"/>
    <n v="20061.47"/>
    <n v="0"/>
    <n v="0"/>
    <n v="0"/>
    <n v="0"/>
    <n v="0"/>
    <n v="0"/>
    <n v="20061.47"/>
    <n v="0"/>
    <n v="0"/>
    <n v="0"/>
    <n v="0"/>
    <n v="955.78683870967689"/>
    <n v="0"/>
    <n v="0"/>
    <n v="0"/>
    <n v="19105.683161290326"/>
    <n v="0"/>
    <n v="0"/>
  </r>
  <r>
    <x v="517"/>
    <s v="Maraie - Rubi"/>
    <s v="vlc"/>
    <s v="Indirect"/>
    <n v="77.5"/>
    <n v="2737.0699999999997"/>
    <n v="0"/>
    <n v="0"/>
    <n v="0"/>
    <n v="0"/>
    <n v="0"/>
    <n v="0"/>
    <n v="2737.0699999999997"/>
    <n v="0"/>
    <n v="0"/>
    <n v="0"/>
    <n v="0"/>
    <n v="0"/>
    <n v="0"/>
    <n v="0"/>
    <n v="0"/>
    <n v="2737.0699999999997"/>
    <n v="0"/>
    <n v="0"/>
  </r>
  <r>
    <x v="519"/>
    <s v="Lakshmipur Western Tol - Rajeev"/>
    <s v="MPG"/>
    <s v="Indirect"/>
    <n v="2980.2999999999997"/>
    <n v="122513.73000000001"/>
    <n v="0"/>
    <n v="0"/>
    <n v="0"/>
    <n v="0"/>
    <n v="0"/>
    <n v="0"/>
    <n v="122513.73000000001"/>
    <n v="0"/>
    <n v="0"/>
    <n v="0"/>
    <n v="3000"/>
    <n v="0"/>
    <n v="0"/>
    <n v="0"/>
    <n v="0"/>
    <n v="119513.73000000001"/>
    <n v="0"/>
    <n v="0"/>
  </r>
  <r>
    <x v="520"/>
    <s v="Jahangipur Salkhanni"/>
    <s v="MPG"/>
    <s v="Direct"/>
    <n v="300.09999999999997"/>
    <n v="13086.18"/>
    <n v="268.59000000000003"/>
    <n v="11541.78759721274"/>
    <n v="65.830000000000013"/>
    <n v="3398.2487907897971"/>
    <n v="334.42000000000007"/>
    <n v="14940.036388002538"/>
    <n v="13086.18"/>
    <n v="0"/>
    <n v="0"/>
    <n v="1853.8563880025376"/>
    <n v="0"/>
    <n v="0"/>
    <n v="0"/>
    <n v="9689"/>
    <n v="3397"/>
    <n v="0"/>
    <n v="0"/>
    <n v="0"/>
  </r>
  <r>
    <x v="521"/>
    <s v="Sekhpura"/>
    <s v="MPG"/>
    <s v="Direct"/>
    <n v="250.4"/>
    <n v="8592.57"/>
    <n v="250.65"/>
    <n v="8923.3319683332029"/>
    <n v="2.7300000000000004"/>
    <n v="94.75750969740001"/>
    <n v="253.38"/>
    <n v="9018.0894780306025"/>
    <n v="8592.57"/>
    <n v="0"/>
    <n v="94.75750969740001"/>
    <n v="425.51947803060284"/>
    <n v="0"/>
    <n v="0"/>
    <n v="0"/>
    <n v="8498"/>
    <n v="0"/>
    <n v="0"/>
    <n v="0"/>
    <n v="0"/>
  </r>
  <r>
    <x v="936"/>
    <s v="Kamtaul"/>
    <s v="MPG"/>
    <s v="Direct"/>
    <n v="9.3000000000000007"/>
    <n v="397.02"/>
    <n v="9"/>
    <n v="392.04997920000011"/>
    <n v="0"/>
    <n v="0"/>
    <n v="9"/>
    <n v="392.04997920000011"/>
    <n v="392.04997920000011"/>
    <n v="0"/>
    <n v="0"/>
    <n v="0"/>
    <n v="0"/>
    <n v="392"/>
    <n v="0"/>
    <n v="0"/>
    <n v="0"/>
    <n v="0"/>
    <n v="5"/>
    <s v="Release1"/>
  </r>
  <r>
    <x v="522"/>
    <s v="Songar"/>
    <s v="MPG"/>
    <s v="Direct"/>
    <n v="1356.1"/>
    <n v="47534.709999999992"/>
    <n v="773.68"/>
    <n v="28606.900089199436"/>
    <n v="585.13999999999987"/>
    <n v="19796.250542732403"/>
    <n v="1358.8199999999997"/>
    <n v="48403.150631931843"/>
    <n v="47534.709999999992"/>
    <n v="0"/>
    <n v="554.82691568040013"/>
    <n v="868.44063193185139"/>
    <n v="0"/>
    <n v="0"/>
    <n v="0"/>
    <n v="27738"/>
    <n v="19242"/>
    <n v="0"/>
    <n v="0"/>
    <n v="0"/>
  </r>
  <r>
    <x v="523"/>
    <s v="Rampur Maheshpur"/>
    <s v="MPG"/>
    <s v="Direct"/>
    <n v="436.50000000000006"/>
    <n v="17337.53"/>
    <n v="262.58000000000004"/>
    <n v="11383.235300376011"/>
    <n v="182.04999999999998"/>
    <n v="6673.3556637528018"/>
    <n v="444.63"/>
    <n v="18056.590964128813"/>
    <n v="17337.53"/>
    <n v="0"/>
    <n v="38.093589863999995"/>
    <n v="719.06096412881379"/>
    <n v="0"/>
    <n v="149.08895409836038"/>
    <n v="0"/>
    <n v="10514"/>
    <n v="6636"/>
    <n v="0"/>
    <n v="0"/>
    <n v="0"/>
  </r>
  <r>
    <x v="524"/>
    <s v="Godhiyari"/>
    <s v="vlc"/>
    <s v="Indirect"/>
    <n v="276.09999999999997"/>
    <n v="8728.5999999999985"/>
    <n v="0"/>
    <n v="0"/>
    <n v="0"/>
    <n v="0"/>
    <n v="0"/>
    <n v="0"/>
    <n v="8728.5999999999985"/>
    <n v="0"/>
    <n v="0"/>
    <n v="0"/>
    <n v="0"/>
    <n v="0"/>
    <n v="0"/>
    <n v="0"/>
    <n v="0"/>
    <n v="8728.5999999999985"/>
    <n v="0"/>
    <n v="0"/>
  </r>
  <r>
    <x v="525"/>
    <s v="Jhakhra-Rambilash"/>
    <s v="vlc"/>
    <s v="Indirect"/>
    <n v="779.4"/>
    <n v="30495.49"/>
    <n v="0"/>
    <n v="0"/>
    <n v="0"/>
    <n v="0"/>
    <n v="0"/>
    <n v="0"/>
    <n v="30495.49"/>
    <n v="0"/>
    <n v="0"/>
    <n v="0"/>
    <n v="0"/>
    <n v="0"/>
    <n v="0"/>
    <n v="0"/>
    <n v="0"/>
    <n v="30495.49"/>
    <n v="0"/>
    <n v="0"/>
  </r>
  <r>
    <x v="527"/>
    <s v="Chakmilki"/>
    <s v="MPG"/>
    <s v="Direct"/>
    <n v="276.3"/>
    <n v="10023.41"/>
    <n v="118.60999999999999"/>
    <n v="4136.0691155058003"/>
    <n v="182.51000000000002"/>
    <n v="6290.0963365811403"/>
    <n v="301.12"/>
    <n v="10426.165452086942"/>
    <n v="10023.41"/>
    <n v="0"/>
    <n v="161.69630174280002"/>
    <n v="402.75545208694166"/>
    <n v="0"/>
    <n v="0"/>
    <n v="0"/>
    <n v="3735"/>
    <n v="6127"/>
    <n v="0"/>
    <n v="0"/>
    <n v="0"/>
  </r>
  <r>
    <x v="528"/>
    <s v="Gomukh Akaha"/>
    <s v="MPG"/>
    <s v="Direct"/>
    <n v="184.00000000000003"/>
    <n v="6454.6299999999992"/>
    <n v="136.96"/>
    <n v="4846.6175157972011"/>
    <n v="52.69"/>
    <n v="2189.6488912549003"/>
    <n v="189.65"/>
    <n v="7036.2664070521014"/>
    <n v="6454.6299999999992"/>
    <n v="0"/>
    <n v="37.293409018800006"/>
    <n v="581.63640705210219"/>
    <n v="0"/>
    <n v="0"/>
    <n v="0"/>
    <n v="4265"/>
    <n v="2152"/>
    <n v="0"/>
    <n v="0"/>
    <n v="0"/>
  </r>
  <r>
    <x v="529"/>
    <s v="Nauachak-Pankaj"/>
    <s v="vlc"/>
    <s v="Indirect"/>
    <n v="214.79999999999998"/>
    <n v="6326.76"/>
    <n v="0"/>
    <n v="0"/>
    <n v="0"/>
    <n v="0"/>
    <n v="0"/>
    <n v="0"/>
    <n v="6326.76"/>
    <n v="0"/>
    <n v="0"/>
    <n v="0"/>
    <n v="0"/>
    <n v="0"/>
    <n v="0"/>
    <n v="0"/>
    <n v="0"/>
    <n v="6326.76"/>
    <n v="0"/>
    <n v="0"/>
  </r>
  <r>
    <x v="530"/>
    <s v="Jitwarpur-Manisha"/>
    <s v="vlc"/>
    <s v="Indirect"/>
    <n v="75.599999999999994"/>
    <n v="2766.45"/>
    <n v="0"/>
    <n v="0"/>
    <n v="0"/>
    <n v="0"/>
    <n v="0"/>
    <n v="0"/>
    <n v="2766.45"/>
    <n v="0"/>
    <n v="0"/>
    <n v="0"/>
    <n v="0"/>
    <n v="19.173948387096758"/>
    <n v="0"/>
    <n v="0"/>
    <n v="0"/>
    <n v="2747.2760516129028"/>
    <n v="0"/>
    <n v="0"/>
  </r>
  <r>
    <x v="531"/>
    <s v="Gomukh Sirdulpur 2"/>
    <s v="vlc"/>
    <s v="Indirect"/>
    <n v="451.1"/>
    <n v="13678.079999999998"/>
    <n v="0"/>
    <n v="0"/>
    <n v="0"/>
    <n v="0"/>
    <n v="0"/>
    <n v="0"/>
    <n v="13678.079999999998"/>
    <n v="0"/>
    <n v="0"/>
    <n v="0"/>
    <n v="0"/>
    <n v="1058.6499483870971"/>
    <n v="0"/>
    <n v="0"/>
    <n v="0"/>
    <n v="12619.430051612901"/>
    <n v="0"/>
    <n v="0"/>
  </r>
  <r>
    <x v="532"/>
    <s v="Gomukh Repura"/>
    <s v="MPG"/>
    <s v="Direct"/>
    <n v="18.8"/>
    <n v="604.76"/>
    <n v="26.5"/>
    <n v="929.36006064000003"/>
    <n v="0"/>
    <n v="0"/>
    <n v="26.5"/>
    <n v="929.36006064000003"/>
    <n v="604.76"/>
    <n v="0"/>
    <n v="0"/>
    <n v="324.60006064000004"/>
    <n v="0"/>
    <n v="605"/>
    <n v="0"/>
    <n v="0"/>
    <n v="0"/>
    <n v="0"/>
    <n v="0"/>
    <s v="Release1"/>
  </r>
  <r>
    <x v="533"/>
    <s v="Gomukh Sherpur Narsari East"/>
    <s v="MPG"/>
    <s v="Direct"/>
    <n v="229.29999999999998"/>
    <n v="8446.8100000000013"/>
    <n v="191.22"/>
    <n v="7059.9974734080006"/>
    <n v="41.949999999999996"/>
    <n v="1575.2270719152"/>
    <n v="233.17"/>
    <n v="8635.2245453232008"/>
    <n v="8446.8100000000013"/>
    <n v="0"/>
    <n v="0"/>
    <n v="188.41454532319949"/>
    <n v="0"/>
    <n v="251.66754193548383"/>
    <n v="0"/>
    <n v="6620"/>
    <n v="1575"/>
    <n v="0"/>
    <n v="0"/>
    <n v="0"/>
  </r>
  <r>
    <x v="534"/>
    <s v="Gomukh Karhatti"/>
    <s v="MPG"/>
    <s v="Direct"/>
    <n v="70.800000000000011"/>
    <n v="2774.5800000000004"/>
    <n v="122"/>
    <n v="4563.104832"/>
    <n v="0"/>
    <n v="0"/>
    <n v="122"/>
    <n v="4563.104832"/>
    <n v="2774.5800000000004"/>
    <n v="0"/>
    <n v="0"/>
    <n v="1788.5248319999996"/>
    <n v="0"/>
    <n v="359.73884745762712"/>
    <n v="0"/>
    <n v="2415"/>
    <n v="0"/>
    <n v="0"/>
    <n v="0"/>
    <n v="0"/>
  </r>
  <r>
    <x v="535"/>
    <s v="Gomukh Gaopur Bhagwatpur"/>
    <s v="MPG"/>
    <s v="Direct"/>
    <n v="767.30000000000007"/>
    <n v="27847.809999999998"/>
    <n v="774.75"/>
    <n v="29065.106593353055"/>
    <n v="0"/>
    <n v="0"/>
    <n v="774.75"/>
    <n v="29065.106593353055"/>
    <n v="27847.809999999998"/>
    <n v="0"/>
    <n v="0"/>
    <n v="1217.2965933530577"/>
    <n v="0"/>
    <n v="431.41184516129022"/>
    <n v="0"/>
    <n v="27416"/>
    <n v="0"/>
    <n v="0"/>
    <n v="0"/>
    <n v="0"/>
  </r>
  <r>
    <x v="536"/>
    <s v="Gomukh Rajwara"/>
    <s v="MPG"/>
    <s v="Direct"/>
    <n v="141.20000000000002"/>
    <n v="5651.79"/>
    <n v="141.21999999999997"/>
    <n v="5650.1352152808004"/>
    <n v="0.2"/>
    <n v="7.3922112000000002"/>
    <n v="141.41999999999996"/>
    <n v="5657.5274264808004"/>
    <n v="5651.79"/>
    <n v="0"/>
    <n v="7.3922112000000002"/>
    <n v="5.7374264808004227"/>
    <n v="0"/>
    <n v="0"/>
    <n v="0"/>
    <n v="5644"/>
    <n v="0"/>
    <n v="0"/>
    <n v="0"/>
    <n v="0"/>
  </r>
  <r>
    <x v="537"/>
    <s v="GOMUKH Karhatiya Bujurg"/>
    <s v="vlc"/>
    <s v="Indirect"/>
    <n v="108.39999999999999"/>
    <n v="4592.1400000000003"/>
    <n v="0"/>
    <n v="0"/>
    <n v="0"/>
    <n v="0"/>
    <n v="0"/>
    <n v="0"/>
    <n v="4592.1400000000003"/>
    <n v="0"/>
    <n v="0"/>
    <n v="0"/>
    <n v="0"/>
    <n v="0"/>
    <n v="0"/>
    <n v="0"/>
    <n v="0"/>
    <n v="4592.1400000000003"/>
    <n v="0"/>
    <n v="0"/>
  </r>
  <r>
    <x v="538"/>
    <s v="GOMUKH NIKASPUR"/>
    <s v="vlc"/>
    <s v="Direct"/>
    <n v="339.2"/>
    <n v="12130.95"/>
    <n v="186.6"/>
    <n v="6686.8266708540004"/>
    <n v="152.6"/>
    <n v="5491.4924988000012"/>
    <n v="339.2"/>
    <n v="12178.319169654002"/>
    <n v="12130.95"/>
    <n v="0"/>
    <n v="0"/>
    <n v="47.369169654000871"/>
    <n v="0"/>
    <n v="0"/>
    <n v="0"/>
    <n v="6640"/>
    <n v="5491"/>
    <n v="0"/>
    <n v="0"/>
    <n v="0"/>
  </r>
  <r>
    <x v="539"/>
    <s v="Gomukh Morwa Mohanpur"/>
    <s v="vlc"/>
    <s v="Indirect"/>
    <n v="321.3"/>
    <n v="12429.03"/>
    <n v="0"/>
    <n v="0"/>
    <n v="0"/>
    <n v="0"/>
    <n v="0"/>
    <n v="0"/>
    <n v="12429.03"/>
    <n v="0"/>
    <n v="0"/>
    <n v="0"/>
    <n v="6750"/>
    <n v="686.70365806451593"/>
    <n v="0"/>
    <n v="0"/>
    <n v="0"/>
    <n v="4992.3263419354844"/>
    <n v="0"/>
    <n v="0"/>
  </r>
  <r>
    <x v="937"/>
    <s v="GOMUKH Laguniya"/>
    <s v="vlc"/>
    <s v="Indirect"/>
    <n v="76.3"/>
    <n v="2623.04"/>
    <n v="0"/>
    <n v="0"/>
    <n v="0"/>
    <n v="0"/>
    <n v="0"/>
    <n v="0"/>
    <n v="2623.04"/>
    <n v="0"/>
    <n v="0"/>
    <n v="0"/>
    <n v="0"/>
    <n v="645.35547096774189"/>
    <n v="0"/>
    <n v="0"/>
    <n v="0"/>
    <n v="1977.6845290322581"/>
    <n v="0"/>
    <n v="0"/>
  </r>
  <r>
    <x v="541"/>
    <s v="GOMUKH MAHINDWARA"/>
    <s v="vlc"/>
    <s v="Indirect"/>
    <n v="326.69999999999993"/>
    <n v="11808.340000000002"/>
    <n v="0"/>
    <n v="0"/>
    <n v="0"/>
    <n v="0"/>
    <n v="0"/>
    <n v="0"/>
    <n v="11808.340000000002"/>
    <n v="0"/>
    <n v="0"/>
    <n v="0"/>
    <n v="0"/>
    <n v="0"/>
    <n v="0"/>
    <n v="0"/>
    <n v="0"/>
    <n v="11808.340000000002"/>
    <n v="0"/>
    <n v="0"/>
  </r>
  <r>
    <x v="542"/>
    <s v="GOMUKH MISHRAULIA"/>
    <s v="MPG"/>
    <s v="Direct"/>
    <n v="392.4"/>
    <n v="17589.22"/>
    <n v="534.29999999999995"/>
    <n v="24048.09597854632"/>
    <n v="0"/>
    <n v="0"/>
    <n v="534.29999999999995"/>
    <n v="24048.09597854632"/>
    <n v="17589.22"/>
    <n v="0"/>
    <n v="0"/>
    <n v="6458.8759785463189"/>
    <n v="0"/>
    <n v="0"/>
    <n v="0"/>
    <n v="17589"/>
    <n v="0"/>
    <n v="0"/>
    <n v="0"/>
    <n v="0"/>
  </r>
  <r>
    <x v="543"/>
    <s v="GOMUKH CHAKIRDI"/>
    <s v="MPG"/>
    <s v="Direct"/>
    <n v="37.700000000000003"/>
    <n v="1292.1400000000001"/>
    <n v="34.4"/>
    <n v="1161.788740596"/>
    <n v="0"/>
    <n v="0"/>
    <n v="34.4"/>
    <n v="1161.788740596"/>
    <n v="1161.788740596"/>
    <n v="0"/>
    <n v="0"/>
    <n v="0"/>
    <n v="0"/>
    <n v="405.81"/>
    <n v="0"/>
    <n v="756"/>
    <n v="0"/>
    <n v="0"/>
    <n v="130"/>
    <s v="Release1"/>
  </r>
  <r>
    <x v="544"/>
    <s v="GOMUKH Bhagwatpur East"/>
    <s v="MPG"/>
    <s v="Direct"/>
    <n v="342.99999999999994"/>
    <n v="9956.409999999998"/>
    <n v="360.70000000000005"/>
    <n v="10908.248085900002"/>
    <n v="0"/>
    <n v="0"/>
    <n v="360.70000000000005"/>
    <n v="10908.248085900002"/>
    <n v="9956.409999999998"/>
    <n v="0"/>
    <n v="0"/>
    <n v="951.83808590000444"/>
    <n v="0"/>
    <n v="0"/>
    <n v="0"/>
    <n v="9956"/>
    <n v="0"/>
    <n v="0"/>
    <n v="0"/>
    <n v="0"/>
  </r>
  <r>
    <x v="545"/>
    <s v="Gomukh Rupauli Buzurg"/>
    <s v="vlc"/>
    <s v="Indirect"/>
    <n v="5829.2999999999993"/>
    <n v="202438.78"/>
    <n v="0"/>
    <n v="0"/>
    <n v="0"/>
    <n v="0"/>
    <n v="0"/>
    <n v="0"/>
    <n v="202438.78"/>
    <n v="0"/>
    <n v="0"/>
    <n v="0"/>
    <n v="0"/>
    <n v="0"/>
    <n v="0"/>
    <n v="0"/>
    <n v="0"/>
    <n v="202438.78"/>
    <n v="0"/>
    <n v="0"/>
  </r>
  <r>
    <x v="938"/>
    <s v="GOMUKH KAMTAUL"/>
    <s v="MPG"/>
    <s v="Direct"/>
    <n v="90.7"/>
    <n v="3698.1700000000005"/>
    <n v="98.000000000000014"/>
    <n v="3980.7066915000005"/>
    <n v="0"/>
    <n v="0"/>
    <n v="98.000000000000014"/>
    <n v="3980.7066915000005"/>
    <n v="3698.1700000000005"/>
    <n v="0"/>
    <n v="0"/>
    <n v="282.53669149999996"/>
    <n v="0"/>
    <n v="0"/>
    <n v="0"/>
    <n v="3698"/>
    <n v="0"/>
    <n v="0"/>
    <n v="0"/>
    <n v="0"/>
  </r>
  <r>
    <x v="547"/>
    <s v="Dumri Purvi Tola"/>
    <s v="MPG"/>
    <s v="Direct"/>
    <n v="424.80000000000007"/>
    <n v="14599.060000000001"/>
    <n v="418.7"/>
    <n v="14599.273457868301"/>
    <n v="0"/>
    <n v="0"/>
    <n v="418.7"/>
    <n v="14599.273457868301"/>
    <n v="14599.060000000001"/>
    <n v="0"/>
    <n v="0"/>
    <n v="0.21345786829988356"/>
    <n v="12962"/>
    <n v="0"/>
    <n v="0"/>
    <n v="1637"/>
    <n v="0"/>
    <n v="0"/>
    <n v="0"/>
    <s v="Release1"/>
  </r>
  <r>
    <x v="548"/>
    <s v="Simri"/>
    <s v="MPG"/>
    <s v="Direct"/>
    <n v="820.80000000000007"/>
    <n v="29511.870000000006"/>
    <n v="850.41999999999973"/>
    <n v="31586.986105884003"/>
    <n v="0"/>
    <n v="0"/>
    <n v="850.41999999999973"/>
    <n v="31586.986105884003"/>
    <n v="29511.870000000006"/>
    <n v="0"/>
    <n v="0"/>
    <n v="2075.1161058839971"/>
    <n v="0"/>
    <n v="0"/>
    <n v="0"/>
    <n v="29512"/>
    <n v="0"/>
    <n v="0"/>
    <n v="0"/>
    <n v="0"/>
  </r>
  <r>
    <x v="549"/>
    <s v="Sahiyar"/>
    <s v="MPG"/>
    <s v="Direct"/>
    <n v="1143.6999999999998"/>
    <n v="44761.81"/>
    <n v="1206.8000000000006"/>
    <n v="50694.675315293622"/>
    <n v="33.800000000000004"/>
    <n v="1333.4872280400004"/>
    <n v="1240.6000000000006"/>
    <n v="52028.162543333623"/>
    <n v="44761.81"/>
    <n v="0"/>
    <n v="1333.4872280400004"/>
    <n v="7266.3525433336254"/>
    <n v="0"/>
    <n v="0"/>
    <n v="0"/>
    <n v="43428"/>
    <n v="0"/>
    <n v="0"/>
    <n v="0"/>
    <n v="0"/>
  </r>
  <r>
    <x v="550"/>
    <s v="ENGLISH DUBAULI"/>
    <s v="MPG"/>
    <s v="Direct"/>
    <n v="747.30000000000007"/>
    <n v="26052.700000000004"/>
    <n v="868.33999999999992"/>
    <n v="34196.496973001726"/>
    <n v="25"/>
    <n v="1441.4541536330798"/>
    <n v="893.33999999999992"/>
    <n v="35637.951126634805"/>
    <n v="26052.700000000004"/>
    <n v="0"/>
    <n v="1441.4541536330798"/>
    <n v="9585.251126634801"/>
    <n v="0"/>
    <n v="0"/>
    <n v="0"/>
    <n v="24611"/>
    <n v="0"/>
    <n v="0"/>
    <n v="0"/>
    <s v="Release1"/>
  </r>
  <r>
    <x v="551"/>
    <s v="Ramo Bariya"/>
    <s v="MPG"/>
    <s v="Direct"/>
    <n v="1082.3000000000002"/>
    <n v="40140.909999999996"/>
    <n v="1075.6199999999997"/>
    <n v="39558.227265145193"/>
    <n v="12.11"/>
    <n v="544.7950561002001"/>
    <n v="1087.7299999999996"/>
    <n v="40103.022321245393"/>
    <n v="40103.022321245393"/>
    <n v="0"/>
    <n v="544.7950561002001"/>
    <n v="0"/>
    <n v="0"/>
    <n v="0"/>
    <n v="0"/>
    <n v="39557"/>
    <n v="0"/>
    <n v="0"/>
    <n v="39"/>
    <n v="0"/>
  </r>
  <r>
    <x v="552"/>
    <s v="HITAN PARARI"/>
    <s v="MPG"/>
    <s v="Direct"/>
    <n v="900.5"/>
    <n v="34255.140000000007"/>
    <n v="902.0100000000001"/>
    <n v="37595.823072094725"/>
    <n v="0"/>
    <n v="0"/>
    <n v="902.0100000000001"/>
    <n v="37595.823072094725"/>
    <n v="34255.140000000007"/>
    <n v="0"/>
    <n v="0"/>
    <n v="3340.6830720947182"/>
    <n v="0"/>
    <n v="0"/>
    <n v="0"/>
    <n v="34255"/>
    <n v="0"/>
    <n v="0"/>
    <n v="0"/>
    <n v="0"/>
  </r>
  <r>
    <x v="553"/>
    <s v="Gangauli"/>
    <s v="MPG"/>
    <s v="Direct"/>
    <n v="689.69999999999993"/>
    <n v="28237.73"/>
    <n v="693"/>
    <n v="29182.767021086103"/>
    <n v="1.3"/>
    <n v="51.283409760000012"/>
    <n v="694.3"/>
    <n v="29234.050430846102"/>
    <n v="28237.73"/>
    <n v="0"/>
    <n v="51.283409760000012"/>
    <n v="996.32043084610268"/>
    <n v="0"/>
    <n v="0"/>
    <n v="0"/>
    <n v="28186"/>
    <n v="0"/>
    <n v="0"/>
    <n v="0"/>
    <n v="0"/>
  </r>
  <r>
    <x v="554"/>
    <s v="MATHURA DERA"/>
    <s v="MPG"/>
    <s v="Direct"/>
    <n v="508.7"/>
    <n v="18047.34"/>
    <n v="482.4"/>
    <n v="17933.251459042003"/>
    <n v="2"/>
    <n v="70.226244000000008"/>
    <n v="484.4"/>
    <n v="18003.477703042005"/>
    <n v="18003.477703042005"/>
    <n v="0"/>
    <n v="70.226244000000008"/>
    <n v="0"/>
    <n v="0"/>
    <n v="0"/>
    <n v="0"/>
    <n v="17934"/>
    <n v="0"/>
    <n v="0"/>
    <n v="43"/>
    <n v="0"/>
  </r>
  <r>
    <x v="555"/>
    <s v="NANDAN"/>
    <s v="MPG"/>
    <s v="Direct"/>
    <n v="622"/>
    <n v="26210.219999999998"/>
    <n v="622.79999999999995"/>
    <n v="26143.343360640003"/>
    <n v="0"/>
    <n v="0"/>
    <n v="622.79999999999995"/>
    <n v="26143.343360640003"/>
    <n v="26143.343360640003"/>
    <n v="0"/>
    <n v="0"/>
    <n v="0"/>
    <n v="6400"/>
    <n v="0"/>
    <n v="0"/>
    <n v="19743"/>
    <n v="0"/>
    <n v="0"/>
    <n v="67"/>
    <n v="0"/>
  </r>
  <r>
    <x v="556"/>
    <s v="RAJAPUR"/>
    <s v="MPG"/>
    <s v="Direct"/>
    <n v="68.900000000000006"/>
    <n v="2476.54"/>
    <n v="84.5"/>
    <n v="3334.9786473540003"/>
    <n v="0"/>
    <n v="0"/>
    <n v="84.5"/>
    <n v="3334.9786473540003"/>
    <n v="2476.54"/>
    <n v="0"/>
    <n v="0"/>
    <n v="858.4386473540003"/>
    <n v="0"/>
    <n v="0"/>
    <n v="0"/>
    <n v="2477"/>
    <n v="0"/>
    <n v="0"/>
    <n v="0"/>
    <n v="0"/>
  </r>
  <r>
    <x v="557"/>
    <s v="HEMDAPUR"/>
    <s v="MPG"/>
    <s v="Direct"/>
    <n v="198"/>
    <n v="7077.6600000000008"/>
    <n v="206.1"/>
    <n v="7746.4516179600005"/>
    <n v="0"/>
    <n v="0"/>
    <n v="206.1"/>
    <n v="7746.4516179600005"/>
    <n v="7077.6600000000008"/>
    <n v="0"/>
    <n v="0"/>
    <n v="668.79161795999971"/>
    <n v="0"/>
    <n v="0"/>
    <n v="0"/>
    <n v="7078"/>
    <n v="0"/>
    <n v="0"/>
    <n v="0"/>
    <n v="0"/>
  </r>
  <r>
    <x v="558"/>
    <s v="Chaugain"/>
    <s v="MPG"/>
    <s v="Direct"/>
    <n v="131.80000000000001"/>
    <n v="4778.92"/>
    <n v="132"/>
    <n v="4774.3153920000004"/>
    <n v="0"/>
    <n v="0"/>
    <n v="132"/>
    <n v="4774.3153920000004"/>
    <n v="4774.3153920000004"/>
    <n v="0"/>
    <n v="0"/>
    <n v="0"/>
    <n v="0"/>
    <n v="0"/>
    <n v="0"/>
    <n v="4774"/>
    <n v="0"/>
    <n v="0"/>
    <n v="5"/>
    <n v="0"/>
  </r>
  <r>
    <x v="559"/>
    <s v="Akalupur"/>
    <s v="MPG"/>
    <s v="Direct"/>
    <n v="141.80000000000001"/>
    <n v="4729.17"/>
    <n v="142"/>
    <n v="4686.1499520000007"/>
    <n v="0"/>
    <n v="0"/>
    <n v="142"/>
    <n v="4686.1499520000007"/>
    <n v="4686.1499520000007"/>
    <n v="0"/>
    <n v="0"/>
    <n v="0"/>
    <n v="0"/>
    <n v="0"/>
    <n v="0"/>
    <n v="4686"/>
    <n v="0"/>
    <n v="0"/>
    <n v="43"/>
    <n v="0"/>
  </r>
  <r>
    <x v="560"/>
    <s v="Chhotka Sihanpura"/>
    <s v="MPG"/>
    <s v="Direct"/>
    <n v="537.70000000000005"/>
    <n v="17606.349999999999"/>
    <n v="523.1"/>
    <n v="20526.195055334476"/>
    <n v="4.5"/>
    <n v="172.27499229155001"/>
    <n v="527.6"/>
    <n v="20698.470047626026"/>
    <n v="17606.349999999999"/>
    <n v="0"/>
    <n v="172.27499229155001"/>
    <n v="3092.1200476260274"/>
    <n v="0"/>
    <n v="0"/>
    <n v="0"/>
    <n v="17434"/>
    <n v="0"/>
    <n v="0"/>
    <n v="0"/>
    <n v="0"/>
  </r>
  <r>
    <x v="561"/>
    <s v="Dharauli"/>
    <s v="MPG"/>
    <s v="Direct"/>
    <n v="381.3"/>
    <n v="15146.200000000003"/>
    <n v="388.00000000000006"/>
    <n v="14924.675704345262"/>
    <n v="5.6000000000000005"/>
    <n v="199.93012696800005"/>
    <n v="393.60000000000008"/>
    <n v="15124.605831313262"/>
    <n v="15124.605831313262"/>
    <n v="0"/>
    <n v="199.93012696800005"/>
    <n v="0"/>
    <n v="0"/>
    <n v="0"/>
    <n v="0"/>
    <n v="14925"/>
    <n v="0"/>
    <n v="0"/>
    <n v="21"/>
    <n v="0"/>
  </r>
  <r>
    <x v="562"/>
    <s v="Kaithi"/>
    <s v="MPG"/>
    <s v="Direct"/>
    <n v="296"/>
    <n v="9031.98"/>
    <n v="279"/>
    <n v="8978.8026240000017"/>
    <n v="0"/>
    <n v="0"/>
    <n v="279"/>
    <n v="8978.8026240000017"/>
    <n v="8978.8026240000017"/>
    <n v="0"/>
    <n v="0"/>
    <n v="0"/>
    <n v="0"/>
    <n v="0"/>
    <n v="0"/>
    <n v="8979"/>
    <n v="0"/>
    <n v="0"/>
    <n v="53"/>
    <n v="0"/>
  </r>
  <r>
    <x v="563"/>
    <s v="Rangi Dera"/>
    <s v="MPG"/>
    <s v="Direct"/>
    <n v="238.3"/>
    <n v="8519.7100000000009"/>
    <n v="237"/>
    <n v="8572.0662720000018"/>
    <n v="0"/>
    <n v="0"/>
    <n v="237"/>
    <n v="8572.0662720000018"/>
    <n v="8519.7100000000009"/>
    <n v="0"/>
    <n v="0"/>
    <n v="52.356272000000899"/>
    <n v="0"/>
    <n v="0"/>
    <n v="0"/>
    <n v="8520"/>
    <n v="0"/>
    <n v="0"/>
    <n v="0"/>
    <n v="0"/>
  </r>
  <r>
    <x v="564"/>
    <s v="Dubki"/>
    <s v="MPG"/>
    <s v="Direct"/>
    <n v="297.7"/>
    <n v="13643.61"/>
    <n v="322.09999999999997"/>
    <n v="16006.930182173463"/>
    <n v="1.28"/>
    <n v="57.961591116280012"/>
    <n v="323.37999999999994"/>
    <n v="16064.891773289743"/>
    <n v="13643.61"/>
    <n v="0"/>
    <n v="57.961591116280012"/>
    <n v="2421.281773289742"/>
    <n v="0"/>
    <n v="0"/>
    <n v="0"/>
    <n v="13586"/>
    <n v="0"/>
    <n v="0"/>
    <n v="0"/>
    <n v="0"/>
  </r>
  <r>
    <x v="939"/>
    <s v="Sonvarsa"/>
    <s v="MPG"/>
    <s v="Direct"/>
    <n v="19.5"/>
    <n v="715.22"/>
    <n v="21.590000000000003"/>
    <n v="845.96260636007992"/>
    <n v="0.33"/>
    <n v="13.601643660000002"/>
    <n v="21.92"/>
    <n v="859.56425002007995"/>
    <n v="715.22"/>
    <n v="0"/>
    <n v="13.601643660000002"/>
    <n v="144.34425002007993"/>
    <n v="0"/>
    <n v="0"/>
    <n v="0"/>
    <n v="702"/>
    <n v="0"/>
    <n v="0"/>
    <n v="0"/>
    <n v="0"/>
  </r>
  <r>
    <x v="565"/>
    <s v="Soan"/>
    <s v="MPG"/>
    <s v="Direct"/>
    <n v="461.90000000000003"/>
    <n v="18923.13"/>
    <n v="472.66999999999996"/>
    <n v="19154.84261148463"/>
    <n v="4.21"/>
    <n v="174.52001154753006"/>
    <n v="476.87999999999994"/>
    <n v="19329.362623032161"/>
    <n v="18923.13"/>
    <n v="0"/>
    <n v="174.52001154753006"/>
    <n v="406.23262303215961"/>
    <n v="6400"/>
    <n v="0"/>
    <n v="0"/>
    <n v="12349"/>
    <n v="0"/>
    <n v="0"/>
    <n v="0"/>
    <n v="0"/>
  </r>
  <r>
    <x v="566"/>
    <s v="PURANA BHOJPUR                                                                                      "/>
    <s v="MPG"/>
    <s v="Direct"/>
    <n v="389.70000000000005"/>
    <n v="15518.42"/>
    <n v="390"/>
    <n v="15392.95758"/>
    <n v="0"/>
    <n v="0"/>
    <n v="390"/>
    <n v="15392.95758"/>
    <n v="15392.95758"/>
    <n v="0"/>
    <n v="0"/>
    <n v="0"/>
    <n v="2540"/>
    <n v="0"/>
    <n v="0"/>
    <n v="12853"/>
    <n v="0"/>
    <n v="0"/>
    <n v="125"/>
    <n v="0"/>
  </r>
  <r>
    <x v="567"/>
    <s v="Gomukh Kant"/>
    <s v="MPG"/>
    <s v="Direct"/>
    <n v="232.60000000000002"/>
    <n v="10461.549999999999"/>
    <n v="247.9"/>
    <n v="13578.45869631694"/>
    <n v="1"/>
    <n v="55.000513470530002"/>
    <n v="248.9"/>
    <n v="13633.45920978747"/>
    <n v="10461.549999999999"/>
    <n v="0"/>
    <n v="55.000513470530002"/>
    <n v="3171.9092097874709"/>
    <n v="0"/>
    <n v="0"/>
    <n v="0"/>
    <n v="10407"/>
    <n v="0"/>
    <n v="0"/>
    <n v="0"/>
    <n v="0"/>
  </r>
  <r>
    <x v="568"/>
    <s v="Gomukh Naat"/>
    <s v="MPG"/>
    <s v="Direct"/>
    <n v="181.60000000000002"/>
    <n v="7192.24"/>
    <n v="188.77"/>
    <n v="7619.3921685693012"/>
    <n v="0"/>
    <n v="0"/>
    <n v="188.77"/>
    <n v="7619.3921685693012"/>
    <n v="7192.24"/>
    <n v="0"/>
    <n v="0"/>
    <n v="427.15216856930147"/>
    <n v="0"/>
    <n v="0"/>
    <n v="0"/>
    <n v="7192"/>
    <n v="0"/>
    <n v="0"/>
    <n v="0"/>
    <n v="0"/>
  </r>
  <r>
    <x v="569"/>
    <s v="Gomukh Raghunathpur"/>
    <s v="MPG"/>
    <s v="Direct"/>
    <n v="437.70000000000005"/>
    <n v="16073.39"/>
    <n v="432"/>
    <n v="15746.591579000802"/>
    <n v="7"/>
    <n v="246.71554380000003"/>
    <n v="439"/>
    <n v="15993.307122800803"/>
    <n v="15993.307122800803"/>
    <n v="0"/>
    <n v="246.71554380000003"/>
    <n v="0"/>
    <n v="0"/>
    <n v="0"/>
    <n v="0"/>
    <n v="15746"/>
    <n v="0"/>
    <n v="0"/>
    <n v="81"/>
    <n v="0"/>
  </r>
  <r>
    <x v="570"/>
    <s v="Gomukh Tilakraika Hata 1 - Manoj"/>
    <s v="vlc"/>
    <s v="Indirect"/>
    <n v="1619.8"/>
    <n v="52231.979999999996"/>
    <n v="0"/>
    <n v="0"/>
    <n v="0"/>
    <n v="0"/>
    <n v="0"/>
    <n v="0"/>
    <n v="52231.979999999996"/>
    <n v="0"/>
    <n v="0"/>
    <n v="0"/>
    <n v="0"/>
    <n v="0"/>
    <n v="0"/>
    <n v="0"/>
    <n v="0"/>
    <n v="52231.979999999996"/>
    <n v="0"/>
    <n v="0"/>
  </r>
  <r>
    <x v="571"/>
    <s v="Gomukh Murar"/>
    <s v="MPG"/>
    <s v="Direct"/>
    <n v="511.40000000000003"/>
    <n v="20027.600000000002"/>
    <n v="443.90000000000003"/>
    <n v="17431.6129674312"/>
    <n v="204.5"/>
    <n v="8737.2269089323217"/>
    <n v="648.40000000000009"/>
    <n v="26168.83987636352"/>
    <n v="20027.600000000002"/>
    <n v="0"/>
    <n v="197.59483249159999"/>
    <n v="6141.2398763635174"/>
    <n v="0"/>
    <n v="0"/>
    <n v="0"/>
    <n v="11289"/>
    <n v="8541"/>
    <n v="0"/>
    <n v="0"/>
    <n v="0"/>
  </r>
  <r>
    <x v="572"/>
    <s v="Gomukh Churamanpur                                                                                  "/>
    <s v="MPG"/>
    <s v="Direct"/>
    <n v="284.59999999999997"/>
    <n v="10777.57"/>
    <n v="284.70999999999998"/>
    <n v="11050.944959219729"/>
    <n v="0"/>
    <n v="0"/>
    <n v="284.70999999999998"/>
    <n v="11050.944959219729"/>
    <n v="10777.57"/>
    <n v="0"/>
    <n v="0"/>
    <n v="273.37495921972913"/>
    <n v="0"/>
    <n v="0"/>
    <n v="0"/>
    <n v="10778"/>
    <n v="0"/>
    <n v="0"/>
    <n v="0"/>
    <n v="0"/>
  </r>
  <r>
    <x v="573"/>
    <s v="Gomukh Ekauni Karuwaj"/>
    <s v="MPG"/>
    <s v="Direct"/>
    <n v="501.50000000000006"/>
    <n v="21013.870000000003"/>
    <n v="162.5"/>
    <n v="6612.2798731681014"/>
    <n v="324.5"/>
    <n v="14368.501272749001"/>
    <n v="487"/>
    <n v="20980.781145917103"/>
    <n v="20980.781145917103"/>
    <n v="0"/>
    <n v="0"/>
    <n v="0"/>
    <n v="0"/>
    <n v="0"/>
    <n v="0"/>
    <n v="6612"/>
    <n v="14367"/>
    <n v="0"/>
    <n v="35"/>
    <n v="0"/>
  </r>
  <r>
    <x v="574"/>
    <s v="Kulharia Agriculture Producer Company Limited"/>
    <s v="MPG"/>
    <s v="Direct"/>
    <n v="1905"/>
    <n v="73905.430000000008"/>
    <n v="1855.66"/>
    <n v="73403.589740400726"/>
    <n v="12.42"/>
    <n v="477.7252753680001"/>
    <n v="1868.0800000000002"/>
    <n v="73881.31501576872"/>
    <n v="73881.31501576872"/>
    <n v="0"/>
    <n v="477.7252753680001"/>
    <n v="0"/>
    <n v="0"/>
    <n v="0"/>
    <n v="0"/>
    <n v="73403"/>
    <n v="0"/>
    <n v="0"/>
    <n v="25"/>
    <n v="0"/>
  </r>
  <r>
    <x v="575"/>
    <s v="Gomukh Dhakaich"/>
    <s v="MPG"/>
    <s v="Direct"/>
    <n v="233.59999999999997"/>
    <n v="8031.0599999999995"/>
    <n v="296.67"/>
    <n v="10421.68290768"/>
    <n v="0"/>
    <n v="0"/>
    <n v="296.67"/>
    <n v="10421.68290768"/>
    <n v="8031.0599999999995"/>
    <n v="0"/>
    <n v="0"/>
    <n v="2390.6229076800009"/>
    <n v="0"/>
    <n v="0"/>
    <n v="0"/>
    <n v="8031"/>
    <n v="0"/>
    <n v="0"/>
    <n v="0"/>
    <s v="Release1"/>
  </r>
  <r>
    <x v="576"/>
    <s v="Gomukh Kajipura Chandan"/>
    <s v="vlc"/>
    <s v="Indirect"/>
    <n v="360.3"/>
    <n v="13485.239999999998"/>
    <n v="0"/>
    <n v="0"/>
    <n v="0"/>
    <n v="0"/>
    <n v="0"/>
    <n v="0"/>
    <n v="13485.239999999998"/>
    <n v="0"/>
    <n v="0"/>
    <n v="0"/>
    <n v="0"/>
    <n v="0"/>
    <n v="0"/>
    <n v="0"/>
    <n v="0"/>
    <n v="13485.239999999998"/>
    <n v="0"/>
    <n v="0"/>
  </r>
  <r>
    <x v="577"/>
    <s v="Gomukh Sikraul Lakh"/>
    <s v="MPG"/>
    <s v="Direct"/>
    <n v="483.20000000000005"/>
    <n v="19028.689999999999"/>
    <n v="475.25"/>
    <n v="19358.747050500002"/>
    <n v="6.87"/>
    <n v="260.33367729599996"/>
    <n v="482.12"/>
    <n v="19619.080727796001"/>
    <n v="19028.689999999999"/>
    <n v="0"/>
    <n v="260.33367729599996"/>
    <n v="590.39072779600247"/>
    <n v="0"/>
    <n v="0"/>
    <n v="0"/>
    <n v="18768"/>
    <n v="0"/>
    <n v="0"/>
    <n v="0"/>
    <n v="0"/>
  </r>
  <r>
    <x v="578"/>
    <s v="Gomukh Dafadihari"/>
    <s v="MPG"/>
    <s v="Direct"/>
    <n v="149.00000000000003"/>
    <n v="5331.9699999999993"/>
    <n v="144.60000000000002"/>
    <n v="5345.1163730562193"/>
    <n v="2.5"/>
    <n v="97.418684880000001"/>
    <n v="147.10000000000002"/>
    <n v="5442.5350579362193"/>
    <n v="5331.9699999999993"/>
    <n v="0"/>
    <n v="97.418684880000001"/>
    <n v="110.56505793622"/>
    <n v="0"/>
    <n v="0"/>
    <n v="0"/>
    <n v="5235"/>
    <n v="0"/>
    <n v="0"/>
    <n v="0"/>
    <s v="Release1"/>
  </r>
  <r>
    <x v="579"/>
    <s v="Gomukh Paharpur"/>
    <s v="MPG"/>
    <s v="Direct"/>
    <n v="183.6"/>
    <n v="6339.2500000000009"/>
    <n v="184"/>
    <n v="6290.7863040000011"/>
    <n v="0"/>
    <n v="0"/>
    <n v="184"/>
    <n v="6290.7863040000011"/>
    <n v="6290.7863040000011"/>
    <n v="0"/>
    <n v="0"/>
    <n v="0"/>
    <n v="0"/>
    <n v="0"/>
    <n v="0"/>
    <n v="6291"/>
    <n v="0"/>
    <n v="0"/>
    <n v="48"/>
    <n v="0"/>
  </r>
  <r>
    <x v="580"/>
    <s v="Gomukh Basaon Kalan"/>
    <s v="MPG"/>
    <s v="Direct"/>
    <n v="221.4"/>
    <n v="7655.42"/>
    <n v="198.10000000000002"/>
    <n v="7804.1782170000006"/>
    <n v="0"/>
    <n v="0"/>
    <n v="198.10000000000002"/>
    <n v="7804.1782170000006"/>
    <n v="7655.42"/>
    <n v="0"/>
    <n v="0"/>
    <n v="148.75821700000051"/>
    <n v="0"/>
    <n v="0"/>
    <n v="0"/>
    <n v="7655"/>
    <n v="0"/>
    <n v="0"/>
    <n v="0"/>
    <n v="0"/>
  </r>
  <r>
    <x v="581"/>
    <s v="Gomukh Mangolpur"/>
    <s v="MPG"/>
    <s v="Direct"/>
    <n v="252.99999999999997"/>
    <n v="9072.0399999999991"/>
    <n v="249.60000000000002"/>
    <n v="8642.0705636957991"/>
    <n v="4.2"/>
    <n v="142.57776852000001"/>
    <n v="253.8"/>
    <n v="8784.6483322157983"/>
    <n v="8784.6483322157983"/>
    <n v="0"/>
    <n v="142.57776852000001"/>
    <n v="0"/>
    <n v="0"/>
    <n v="0"/>
    <n v="0"/>
    <n v="8642"/>
    <n v="0"/>
    <n v="0"/>
    <n v="287"/>
    <n v="0"/>
  </r>
  <r>
    <x v="582"/>
    <s v="Gomukh Dhanipur"/>
    <s v="MPG"/>
    <s v="Direct"/>
    <n v="204.90000000000003"/>
    <n v="7893.420000000001"/>
    <n v="212.52"/>
    <n v="7342.1701740226408"/>
    <n v="0"/>
    <n v="0"/>
    <n v="212.52"/>
    <n v="7342.1701740226408"/>
    <n v="7342.1701740226408"/>
    <n v="0"/>
    <n v="0"/>
    <n v="0"/>
    <n v="0"/>
    <n v="0"/>
    <n v="0"/>
    <n v="7343"/>
    <n v="0"/>
    <n v="0"/>
    <n v="550"/>
    <n v="0"/>
  </r>
  <r>
    <x v="583"/>
    <s v="Gomukh Rakshanagar_tola"/>
    <s v="MPG"/>
    <s v="Direct"/>
    <n v="515.40000000000009"/>
    <n v="20448.98"/>
    <n v="549.5"/>
    <n v="22398.6823612148"/>
    <n v="0"/>
    <n v="0"/>
    <n v="549.5"/>
    <n v="22398.6823612148"/>
    <n v="20448.98"/>
    <n v="0"/>
    <n v="0"/>
    <n v="1949.7023612148005"/>
    <n v="0"/>
    <n v="0"/>
    <n v="0"/>
    <n v="20449"/>
    <n v="0"/>
    <n v="0"/>
    <n v="0"/>
    <n v="0"/>
  </r>
  <r>
    <x v="584"/>
    <s v="Gomukh Nadaon"/>
    <s v="MPG"/>
    <s v="Direct"/>
    <n v="105.9"/>
    <n v="3641.06"/>
    <n v="95"/>
    <n v="3937.6665900000003"/>
    <n v="5.2000000000000011"/>
    <n v="215.53543440000001"/>
    <n v="100.2"/>
    <n v="4153.2020244000005"/>
    <n v="3641.06"/>
    <n v="0"/>
    <n v="215.53543440000001"/>
    <n v="512.14202440000054"/>
    <n v="0"/>
    <n v="0"/>
    <n v="0"/>
    <n v="3426"/>
    <n v="0"/>
    <n v="0"/>
    <n v="0"/>
    <n v="0"/>
  </r>
  <r>
    <x v="585"/>
    <s v="Gomukh Bimhnath Girdhar Baraw"/>
    <s v="vlc"/>
    <s v="Indirect"/>
    <n v="447.7"/>
    <n v="19824.240000000002"/>
    <n v="0"/>
    <n v="0"/>
    <n v="0"/>
    <n v="0"/>
    <n v="0"/>
    <n v="0"/>
    <n v="19824.240000000002"/>
    <n v="0"/>
    <n v="0"/>
    <n v="0"/>
    <n v="0"/>
    <n v="0"/>
    <n v="0"/>
    <n v="0"/>
    <n v="0"/>
    <n v="19824.240000000002"/>
    <n v="0"/>
    <n v="0"/>
  </r>
  <r>
    <x v="586"/>
    <s v="Gomukh Mathuradera Upendra "/>
    <s v="vlc"/>
    <s v="Indirect"/>
    <n v="259.89999999999998"/>
    <n v="9083.5499999999993"/>
    <n v="0"/>
    <n v="0"/>
    <n v="0"/>
    <n v="0"/>
    <n v="0"/>
    <n v="0"/>
    <n v="9083.5499999999993"/>
    <n v="0"/>
    <n v="0"/>
    <n v="0"/>
    <n v="0"/>
    <n v="0"/>
    <n v="0"/>
    <n v="0"/>
    <n v="0"/>
    <n v="9083.5499999999993"/>
    <n v="0"/>
    <n v="0"/>
  </r>
  <r>
    <x v="587"/>
    <s v="Gomukh Badkagaon Yamunatola"/>
    <s v="MPG"/>
    <s v="Direct"/>
    <n v="45.400000000000006"/>
    <n v="1672.6399999999999"/>
    <n v="45"/>
    <n v="1663.2475199999999"/>
    <n v="0"/>
    <n v="0"/>
    <n v="45"/>
    <n v="1663.2475199999999"/>
    <n v="1663.2475199999999"/>
    <n v="0"/>
    <n v="0"/>
    <n v="0"/>
    <n v="0"/>
    <n v="0"/>
    <n v="0"/>
    <n v="1663"/>
    <n v="0"/>
    <n v="0"/>
    <n v="10"/>
    <n v="0"/>
  </r>
  <r>
    <x v="588"/>
    <s v="Gomukh Bramhpur"/>
    <s v="MPG"/>
    <s v="Direct"/>
    <n v="276.3"/>
    <n v="9325.3000000000011"/>
    <n v="295.25"/>
    <n v="11882.243126695526"/>
    <n v="0"/>
    <n v="0"/>
    <n v="295.25"/>
    <n v="11882.243126695526"/>
    <n v="9325.3000000000011"/>
    <n v="0"/>
    <n v="0"/>
    <n v="2556.9431266955253"/>
    <n v="0"/>
    <n v="0"/>
    <n v="0"/>
    <n v="9325"/>
    <n v="0"/>
    <n v="0"/>
    <n v="0"/>
    <n v="0"/>
  </r>
  <r>
    <x v="589"/>
    <s v="Gomukh Mashariya"/>
    <s v="MPG"/>
    <s v="Direct"/>
    <n v="380.90000000000003"/>
    <n v="15958.13"/>
    <n v="289.98"/>
    <n v="14331.987854984316"/>
    <n v="105.81"/>
    <n v="4517.5417063867626"/>
    <n v="395.79"/>
    <n v="18849.529561371077"/>
    <n v="15958.13"/>
    <n v="0"/>
    <n v="1380.8784051995194"/>
    <n v="2891.3995613710777"/>
    <n v="0"/>
    <n v="0"/>
    <n v="0"/>
    <n v="11440"/>
    <n v="3137"/>
    <n v="0"/>
    <n v="0"/>
    <n v="0"/>
  </r>
  <r>
    <x v="590"/>
    <s v="Gomukh Basawkala Sudhir Kumar"/>
    <s v="vlc"/>
    <s v="Indirect"/>
    <n v="143.70000000000002"/>
    <n v="5566.75"/>
    <n v="0"/>
    <n v="0"/>
    <n v="0"/>
    <n v="0"/>
    <n v="0"/>
    <n v="0"/>
    <n v="5566.75"/>
    <n v="0"/>
    <n v="0"/>
    <n v="0"/>
    <n v="0"/>
    <n v="0"/>
    <n v="0"/>
    <n v="0"/>
    <n v="0"/>
    <n v="5566.75"/>
    <n v="0"/>
    <n v="0"/>
  </r>
  <r>
    <x v="591"/>
    <s v="Gomukh KritSagar"/>
    <s v="MPG"/>
    <s v="Direct"/>
    <n v="386.2"/>
    <n v="15731.2"/>
    <n v="386.8"/>
    <n v="15726.174789600002"/>
    <n v="0"/>
    <n v="0"/>
    <n v="386.8"/>
    <n v="15726.174789600002"/>
    <n v="15726.174789600002"/>
    <n v="0"/>
    <n v="0"/>
    <n v="0"/>
    <n v="0"/>
    <n v="0"/>
    <n v="0"/>
    <n v="15726"/>
    <n v="0"/>
    <n v="0"/>
    <n v="5"/>
    <n v="0"/>
  </r>
  <r>
    <x v="592"/>
    <s v="Gomukh Navdera Jaipraksh"/>
    <s v="vlc"/>
    <s v="Indirect"/>
    <n v="977.2"/>
    <n v="45555.400000000009"/>
    <n v="0"/>
    <n v="0"/>
    <n v="0"/>
    <n v="0"/>
    <n v="0"/>
    <n v="0"/>
    <n v="45555.400000000009"/>
    <n v="0"/>
    <n v="0"/>
    <n v="0"/>
    <n v="0"/>
    <n v="0"/>
    <n v="0"/>
    <n v="0"/>
    <n v="0"/>
    <n v="45555.400000000009"/>
    <n v="0"/>
    <n v="0"/>
  </r>
  <r>
    <x v="593"/>
    <s v="Gomukh Ataon"/>
    <s v="MPG"/>
    <s v="Direct"/>
    <n v="610.40000000000009"/>
    <n v="25022.550000000003"/>
    <n v="666.51999999999987"/>
    <n v="27047.480944660118"/>
    <n v="0"/>
    <n v="0"/>
    <n v="666.51999999999987"/>
    <n v="27047.480944660118"/>
    <n v="25022.550000000003"/>
    <n v="0"/>
    <n v="0"/>
    <n v="2024.9309446601146"/>
    <n v="0"/>
    <n v="0"/>
    <n v="0"/>
    <n v="25023"/>
    <n v="0"/>
    <n v="0"/>
    <n v="0"/>
    <n v="0"/>
  </r>
  <r>
    <x v="594"/>
    <s v="Gumukh Gayghat"/>
    <s v="MPG"/>
    <s v="Direct"/>
    <n v="660.6"/>
    <n v="24209.42"/>
    <n v="746.43999999999994"/>
    <n v="31175.005643362798"/>
    <n v="0"/>
    <n v="0"/>
    <n v="746.43999999999994"/>
    <n v="31175.005643362798"/>
    <n v="24209.42"/>
    <n v="0"/>
    <n v="0"/>
    <n v="6965.5856433627996"/>
    <n v="0"/>
    <n v="0"/>
    <n v="0"/>
    <n v="24209"/>
    <n v="0"/>
    <n v="0"/>
    <n v="0"/>
    <n v="0"/>
  </r>
  <r>
    <x v="595"/>
    <s v="Gomukh Shivpur"/>
    <s v="MPG"/>
    <s v="Direct"/>
    <n v="17"/>
    <n v="659.19999999999993"/>
    <n v="17"/>
    <n v="628.33795199999997"/>
    <n v="0"/>
    <n v="0"/>
    <n v="17"/>
    <n v="628.33795199999997"/>
    <n v="628.33795199999997"/>
    <n v="0"/>
    <n v="0"/>
    <n v="0"/>
    <n v="0"/>
    <n v="0"/>
    <n v="0"/>
    <n v="628"/>
    <n v="0"/>
    <n v="0"/>
    <n v="31"/>
    <n v="0"/>
  </r>
  <r>
    <x v="596"/>
    <s v="Gomukh Chakki Janardan Yadav"/>
    <s v="vlc"/>
    <s v="Indirect"/>
    <n v="179.4"/>
    <n v="6210.3799999999992"/>
    <n v="0"/>
    <n v="0"/>
    <n v="0"/>
    <n v="0"/>
    <n v="0"/>
    <n v="0"/>
    <n v="6210.3799999999992"/>
    <n v="0"/>
    <n v="0"/>
    <n v="0"/>
    <n v="0"/>
    <n v="0"/>
    <n v="0"/>
    <n v="0"/>
    <n v="0"/>
    <n v="6210.3799999999992"/>
    <n v="0"/>
    <n v="0"/>
  </r>
  <r>
    <x v="597"/>
    <s v="Gomukh Rajpur"/>
    <s v="MPG"/>
    <s v="Direct"/>
    <n v="1307.5000000000002"/>
    <n v="49707.89"/>
    <n v="1296.9599999999996"/>
    <n v="50206.024334137124"/>
    <n v="15.89"/>
    <n v="622.6427176200001"/>
    <n v="1312.8499999999997"/>
    <n v="50828.667051757126"/>
    <n v="49707.89"/>
    <n v="0"/>
    <n v="622.6427176200001"/>
    <n v="1120.7770517571262"/>
    <n v="0"/>
    <n v="0"/>
    <n v="0"/>
    <n v="49085"/>
    <n v="0"/>
    <n v="0"/>
    <n v="0"/>
    <s v="Release1"/>
  </r>
  <r>
    <x v="598"/>
    <s v="Gomukh Gangauli Dubha"/>
    <s v="MPG"/>
    <s v="Direct"/>
    <n v="192.70000000000002"/>
    <n v="7209.56"/>
    <n v="192.6"/>
    <n v="7129.8097596000025"/>
    <n v="2.6999999999999997"/>
    <n v="100.46819772000002"/>
    <n v="195.29999999999998"/>
    <n v="7230.2779573200023"/>
    <n v="7209.56"/>
    <n v="0"/>
    <n v="100.46819772000002"/>
    <n v="20.717957320001915"/>
    <n v="0"/>
    <n v="0"/>
    <n v="0"/>
    <n v="7109"/>
    <n v="0"/>
    <n v="0"/>
    <n v="0"/>
    <s v="Release1"/>
  </r>
  <r>
    <x v="600"/>
    <s v="Gomukh Jagdishpur"/>
    <s v="MPG"/>
    <s v="Direct"/>
    <n v="1923.4999999999998"/>
    <n v="65256.97"/>
    <n v="1920"/>
    <n v="65136.158208000001"/>
    <n v="0"/>
    <n v="0"/>
    <n v="1920"/>
    <n v="65136.158208000001"/>
    <n v="65136.158208000001"/>
    <n v="0"/>
    <n v="0"/>
    <n v="0"/>
    <n v="6400"/>
    <n v="0"/>
    <n v="0"/>
    <n v="58736"/>
    <n v="0"/>
    <n v="0"/>
    <n v="121"/>
    <s v="Release1"/>
  </r>
  <r>
    <x v="601"/>
    <s v="Gumukh Orap Khurd"/>
    <s v="MPG"/>
    <s v="Direct"/>
    <n v="582.79999999999995"/>
    <n v="21718.719999999998"/>
    <n v="583"/>
    <n v="21702.215343600004"/>
    <n v="0"/>
    <n v="0"/>
    <n v="583"/>
    <n v="21702.215343600004"/>
    <n v="21702.215343600004"/>
    <n v="0"/>
    <n v="0"/>
    <n v="0"/>
    <n v="0"/>
    <n v="0"/>
    <n v="0"/>
    <n v="21702"/>
    <n v="0"/>
    <n v="0"/>
    <n v="17"/>
    <s v="Release1"/>
  </r>
  <r>
    <x v="602"/>
    <s v="Gomukh Daunpura Manendra"/>
    <s v="vlc"/>
    <s v="Indirect"/>
    <n v="78.599999999999994"/>
    <n v="2986.26"/>
    <n v="0"/>
    <n v="0"/>
    <n v="0"/>
    <n v="0"/>
    <n v="0"/>
    <n v="0"/>
    <n v="2986.26"/>
    <n v="0"/>
    <n v="0"/>
    <n v="0"/>
    <n v="0"/>
    <n v="0"/>
    <n v="0"/>
    <n v="0"/>
    <n v="0"/>
    <n v="2986.26"/>
    <n v="0"/>
    <n v="0"/>
  </r>
  <r>
    <x v="603"/>
    <s v="Gumukh Mathiyapur"/>
    <s v="MPG"/>
    <s v="Direct"/>
    <n v="282.40000000000003"/>
    <n v="10919.63"/>
    <n v="274.98"/>
    <n v="10903.255832304001"/>
    <n v="0"/>
    <n v="0"/>
    <n v="274.98"/>
    <n v="10903.255832304001"/>
    <n v="10903.255832304001"/>
    <n v="0"/>
    <n v="0"/>
    <n v="0"/>
    <n v="0"/>
    <n v="0"/>
    <n v="0"/>
    <n v="10903"/>
    <n v="0"/>
    <n v="0"/>
    <n v="17"/>
    <n v="0"/>
  </r>
  <r>
    <x v="604"/>
    <s v="Gomukh Raghunathpur Dasrath"/>
    <s v="vlc"/>
    <s v="Indirect"/>
    <n v="774.6"/>
    <n v="30537.180000000004"/>
    <n v="0"/>
    <n v="0"/>
    <n v="0"/>
    <n v="0"/>
    <n v="0"/>
    <n v="0"/>
    <n v="30537.180000000004"/>
    <n v="0"/>
    <n v="0"/>
    <n v="0"/>
    <n v="0"/>
    <n v="0"/>
    <n v="0"/>
    <n v="0"/>
    <n v="0"/>
    <n v="30537.180000000004"/>
    <n v="0"/>
    <n v="0"/>
  </r>
  <r>
    <x v="605"/>
    <s v="Gomukh Lakshman Dera Raja"/>
    <s v="vlc"/>
    <s v="Indirect"/>
    <n v="327.49999999999994"/>
    <n v="10922.839999999998"/>
    <n v="0"/>
    <n v="0"/>
    <n v="0"/>
    <n v="0"/>
    <n v="0"/>
    <n v="0"/>
    <n v="10922.839999999998"/>
    <n v="0"/>
    <n v="0"/>
    <n v="0"/>
    <n v="0"/>
    <n v="0"/>
    <n v="0"/>
    <n v="0"/>
    <n v="0"/>
    <n v="10922.839999999998"/>
    <n v="0"/>
    <n v="0"/>
  </r>
  <r>
    <x v="940"/>
    <s v="Sohan Narayan Farmer Dairy Producer Company Ltd"/>
    <s v="vlc"/>
    <s v="Indirect"/>
    <n v="2847.9"/>
    <n v="103034.96"/>
    <n v="0"/>
    <n v="0"/>
    <n v="0"/>
    <n v="0"/>
    <n v="0"/>
    <n v="0"/>
    <n v="103034.96"/>
    <n v="0"/>
    <n v="0"/>
    <n v="0"/>
    <n v="0"/>
    <n v="0"/>
    <n v="0"/>
    <n v="0"/>
    <n v="0"/>
    <n v="103034.96"/>
    <n v="0"/>
    <n v="0"/>
  </r>
  <r>
    <x v="606"/>
    <s v="Gomukh Arion Govind "/>
    <s v="vlc"/>
    <s v="Indirect"/>
    <n v="124.10000000000001"/>
    <n v="4780.8499999999995"/>
    <n v="0"/>
    <n v="0"/>
    <n v="0"/>
    <n v="0"/>
    <n v="0"/>
    <n v="0"/>
    <n v="4780.8499999999995"/>
    <n v="0"/>
    <n v="0"/>
    <n v="0"/>
    <n v="0"/>
    <n v="0"/>
    <n v="0"/>
    <n v="0"/>
    <n v="0"/>
    <n v="4780.8499999999995"/>
    <n v="0"/>
    <n v="0"/>
  </r>
  <r>
    <x v="607"/>
    <s v="Gumukh Niyajipur Nakchhedi Pathak Dera"/>
    <s v="MPG"/>
    <s v="Direct"/>
    <n v="322.3"/>
    <n v="14038.57"/>
    <n v="324.59999999999997"/>
    <n v="16011.6378209104"/>
    <n v="0"/>
    <n v="0"/>
    <n v="324.59999999999997"/>
    <n v="16011.6378209104"/>
    <n v="14038.57"/>
    <n v="0"/>
    <n v="0"/>
    <n v="1973.0678209104008"/>
    <n v="0"/>
    <n v="0"/>
    <n v="0"/>
    <n v="14039"/>
    <n v="0"/>
    <n v="0"/>
    <n v="0"/>
    <n v="0"/>
  </r>
  <r>
    <x v="608"/>
    <s v="Gumukh Basawkala Dahpura Tola"/>
    <s v="MPG"/>
    <s v="Direct"/>
    <n v="615.79999999999995"/>
    <n v="25798.819999999992"/>
    <n v="570.32000000000005"/>
    <n v="26131.751842815767"/>
    <n v="0"/>
    <n v="0"/>
    <n v="570.32000000000005"/>
    <n v="26131.751842815767"/>
    <n v="25798.819999999992"/>
    <n v="0"/>
    <n v="0"/>
    <n v="332.93184281577487"/>
    <n v="0"/>
    <n v="0"/>
    <n v="0"/>
    <n v="25799"/>
    <n v="0"/>
    <n v="0"/>
    <n v="0"/>
    <n v="0"/>
  </r>
  <r>
    <x v="609"/>
    <s v="Gaachhi Tola"/>
    <s v="vlc"/>
    <s v="Indirect"/>
    <n v="904.8"/>
    <n v="37693.859999999993"/>
    <n v="0"/>
    <n v="0"/>
    <n v="0"/>
    <n v="0"/>
    <n v="0"/>
    <n v="0"/>
    <n v="37693.859999999993"/>
    <n v="0"/>
    <n v="0"/>
    <n v="0"/>
    <n v="0"/>
    <n v="0"/>
    <n v="0"/>
    <n v="0"/>
    <n v="0"/>
    <n v="37693.859999999993"/>
    <n v="0"/>
    <n v="0"/>
  </r>
  <r>
    <x v="610"/>
    <s v="VISHWASHPUR"/>
    <s v="RMC"/>
    <s v="Direct"/>
    <n v="797"/>
    <n v="24722.94"/>
    <n v="776.89999999999986"/>
    <n v="26603.327702160001"/>
    <n v="6.6"/>
    <n v="225.41026464000001"/>
    <n v="783.49999999999989"/>
    <n v="26828.737966799999"/>
    <n v="24722.94"/>
    <n v="0"/>
    <n v="225.41026464000001"/>
    <n v="2105.7979668000007"/>
    <n v="0"/>
    <n v="0"/>
    <n v="0"/>
    <n v="24498"/>
    <n v="0"/>
    <n v="0"/>
    <n v="0"/>
    <n v="0"/>
  </r>
  <r>
    <x v="611"/>
    <s v="KUMARPUIR KATHARA"/>
    <s v="RMC"/>
    <s v="Direct"/>
    <n v="1255"/>
    <n v="43899.9"/>
    <n v="1237.2999999999997"/>
    <n v="43122.489326961309"/>
    <n v="16.400000000000002"/>
    <n v="753.21772079897005"/>
    <n v="1253.6999999999998"/>
    <n v="43875.707047760283"/>
    <n v="43875.707047760283"/>
    <n v="0"/>
    <n v="753.21772079897005"/>
    <n v="0"/>
    <n v="0"/>
    <n v="0"/>
    <n v="0"/>
    <n v="43124"/>
    <n v="0"/>
    <n v="0"/>
    <n v="23"/>
    <n v="0"/>
  </r>
  <r>
    <x v="612"/>
    <s v="KUDHIYA MPG"/>
    <s v="RMC"/>
    <s v="Direct"/>
    <n v="1025"/>
    <n v="46970.579999999994"/>
    <n v="1019.9000000000003"/>
    <n v="46824.738097773101"/>
    <n v="7.5"/>
    <n v="332.76723084000002"/>
    <n v="1027.4000000000003"/>
    <n v="47157.505328613101"/>
    <n v="46970.579999999994"/>
    <n v="0"/>
    <n v="332.76723084000002"/>
    <n v="186.9253286131061"/>
    <n v="0"/>
    <n v="0"/>
    <n v="0"/>
    <n v="46638"/>
    <n v="0"/>
    <n v="0"/>
    <n v="0"/>
    <n v="0"/>
  </r>
  <r>
    <x v="613"/>
    <s v="SHAHJADPUR MPG"/>
    <s v="RMC"/>
    <s v="Direct"/>
    <n v="904.35"/>
    <n v="33757.339999999997"/>
    <n v="982.3"/>
    <n v="42073.152646449686"/>
    <n v="5.0999999999999996"/>
    <n v="225.89403931210006"/>
    <n v="987.4"/>
    <n v="42299.046685761787"/>
    <n v="33757.339999999997"/>
    <n v="0"/>
    <n v="225.89403931210006"/>
    <n v="8541.7066857617901"/>
    <n v="0"/>
    <n v="0"/>
    <n v="0"/>
    <n v="33531"/>
    <n v="0"/>
    <n v="0"/>
    <n v="0"/>
    <s v="Release2"/>
  </r>
  <r>
    <x v="614"/>
    <s v="FARDA - 3"/>
    <s v="RMC"/>
    <s v="Direct"/>
    <n v="1856"/>
    <n v="66305.739999999991"/>
    <n v="799.6"/>
    <n v="28452.702274919997"/>
    <n v="867.49999999999989"/>
    <n v="31678.463183400003"/>
    <n v="1667.1"/>
    <n v="60131.16545832"/>
    <n v="60131.16545832"/>
    <n v="0"/>
    <n v="244.49769036000006"/>
    <n v="0"/>
    <n v="0"/>
    <n v="0"/>
    <n v="0"/>
    <n v="28453"/>
    <n v="31433"/>
    <n v="0"/>
    <n v="6175"/>
    <n v="0"/>
  </r>
  <r>
    <x v="615"/>
    <s v="CHANDANPURA"/>
    <s v="vlc"/>
    <s v="Indirect"/>
    <n v="563.69999999999993"/>
    <n v="31326.589999999997"/>
    <n v="0"/>
    <n v="0"/>
    <n v="0"/>
    <n v="0"/>
    <n v="0"/>
    <n v="0"/>
    <n v="31326.589999999997"/>
    <n v="0"/>
    <n v="0"/>
    <n v="0"/>
    <n v="0"/>
    <n v="0"/>
    <n v="0"/>
    <n v="0"/>
    <n v="0"/>
    <n v="31326.589999999997"/>
    <n v="0"/>
    <n v="0"/>
  </r>
  <r>
    <x v="616"/>
    <s v="MANIKPUR"/>
    <s v="RMC"/>
    <s v="Direct"/>
    <n v="992.10000000000014"/>
    <n v="38365.409999999996"/>
    <n v="9"/>
    <n v="369.47809800000005"/>
    <n v="995"/>
    <n v="38449.925276400005"/>
    <n v="1004"/>
    <n v="38819.403374400004"/>
    <n v="38365.409999999996"/>
    <n v="0"/>
    <n v="232.45861320000003"/>
    <n v="453.99337440000818"/>
    <n v="0"/>
    <n v="0"/>
    <n v="0"/>
    <n v="369"/>
    <n v="37764"/>
    <n v="0"/>
    <n v="0"/>
    <s v="Release1"/>
  </r>
  <r>
    <x v="617"/>
    <s v="JAKARPURA"/>
    <s v="vlc"/>
    <s v="Indirect"/>
    <n v="2371.6999999999998"/>
    <n v="88901.459999999992"/>
    <n v="0"/>
    <n v="0"/>
    <n v="0"/>
    <n v="0"/>
    <n v="0"/>
    <n v="0"/>
    <n v="88901.459999999992"/>
    <n v="0"/>
    <n v="0"/>
    <n v="0"/>
    <n v="0"/>
    <n v="0"/>
    <n v="0"/>
    <n v="0"/>
    <n v="0"/>
    <n v="88901.459999999992"/>
    <n v="0"/>
    <n v="0"/>
  </r>
  <r>
    <x v="619"/>
    <s v="NANDPUR"/>
    <s v="vlc"/>
    <s v="Indirect"/>
    <n v="1634.1000000000001"/>
    <n v="60812.750000000007"/>
    <n v="0"/>
    <n v="0"/>
    <n v="0"/>
    <n v="0"/>
    <n v="0"/>
    <n v="0"/>
    <n v="60812.750000000007"/>
    <n v="0"/>
    <n v="0"/>
    <n v="0"/>
    <n v="26000"/>
    <n v="0"/>
    <n v="0"/>
    <n v="0"/>
    <n v="0"/>
    <n v="34812.750000000007"/>
    <n v="0"/>
    <n v="0"/>
  </r>
  <r>
    <x v="620"/>
    <s v="NOWAGADHI"/>
    <s v="RMC"/>
    <s v="Direct"/>
    <n v="1718"/>
    <n v="64184.479999999996"/>
    <n v="1787.6000000000001"/>
    <n v="65439.793291418944"/>
    <n v="17.3"/>
    <n v="630.519098418"/>
    <n v="1804.9"/>
    <n v="66070.312389836938"/>
    <n v="64184.479999999996"/>
    <n v="0"/>
    <n v="630.519098418"/>
    <n v="1885.8323898369417"/>
    <n v="0"/>
    <n v="0"/>
    <n v="0"/>
    <n v="63554"/>
    <n v="0"/>
    <n v="0"/>
    <n v="0"/>
    <s v="Release2"/>
  </r>
  <r>
    <x v="621"/>
    <s v="MAHADAT PUR 2"/>
    <s v="RMC"/>
    <s v="Direct"/>
    <n v="2462.1"/>
    <n v="91353.639999999985"/>
    <n v="2429.1999999999998"/>
    <n v="90206.729498952016"/>
    <n v="32.900000000000006"/>
    <n v="1203.072930972"/>
    <n v="2462.1"/>
    <n v="91409.802429924021"/>
    <n v="91353.639999999985"/>
    <n v="0"/>
    <n v="1203.072930972"/>
    <n v="56.162429924035678"/>
    <n v="0"/>
    <n v="0"/>
    <n v="0"/>
    <n v="90151"/>
    <n v="0"/>
    <n v="0"/>
    <n v="0"/>
    <n v="0"/>
  </r>
  <r>
    <x v="623"/>
    <s v="SONBARSHA 1"/>
    <s v="RMC"/>
    <s v="Direct"/>
    <n v="1068"/>
    <n v="37080.18"/>
    <n v="1406"/>
    <n v="48766.376736000006"/>
    <n v="8"/>
    <n v="277.47244800000004"/>
    <n v="1414"/>
    <n v="49043.849184000006"/>
    <n v="37080.18"/>
    <n v="0"/>
    <n v="277.47244800000004"/>
    <n v="11963.669184000006"/>
    <n v="0"/>
    <n v="4896.21"/>
    <n v="0"/>
    <n v="31906"/>
    <n v="0"/>
    <n v="0"/>
    <n v="0"/>
    <s v="Release1"/>
  </r>
  <r>
    <x v="624"/>
    <s v="GANOUL"/>
    <s v="RMC"/>
    <s v="Indirect"/>
    <n v="591"/>
    <n v="20414.25"/>
    <n v="654"/>
    <n v="22499.826624000005"/>
    <n v="0"/>
    <n v="0"/>
    <n v="654"/>
    <n v="22499.826624000005"/>
    <n v="20414.25"/>
    <n v="0"/>
    <n v="55.177689600000008"/>
    <n v="2085.5766240000048"/>
    <n v="0"/>
    <n v="0"/>
    <n v="0"/>
    <n v="0"/>
    <n v="0"/>
    <n v="20359.072310399999"/>
    <n v="0"/>
    <n v="0"/>
  </r>
  <r>
    <x v="625"/>
    <s v="Gauripur"/>
    <s v="RMC"/>
    <s v="Direct"/>
    <n v="1862"/>
    <n v="65303.45"/>
    <n v="3151"/>
    <n v="110761.88745600001"/>
    <n v="12"/>
    <n v="422.14867200000003"/>
    <n v="3163"/>
    <n v="111184.03612800001"/>
    <n v="65303.45"/>
    <n v="0"/>
    <n v="422.14867200000003"/>
    <n v="45880.58612800001"/>
    <n v="0"/>
    <n v="11647.32"/>
    <n v="0"/>
    <n v="53234"/>
    <n v="0"/>
    <n v="0"/>
    <n v="0"/>
    <s v="Release1"/>
  </r>
  <r>
    <x v="626"/>
    <s v="Bhramarpur"/>
    <s v="RMC"/>
    <s v="Direct"/>
    <n v="3656"/>
    <n v="122217.16"/>
    <n v="5250"/>
    <n v="174621.74400000001"/>
    <n v="566"/>
    <n v="18882.141696000006"/>
    <n v="5816"/>
    <n v="193503.88569600001"/>
    <n v="122217.16"/>
    <n v="0"/>
    <n v="332.38656000000009"/>
    <n v="71286.725696000009"/>
    <n v="0"/>
    <n v="11153.05"/>
    <n v="0"/>
    <n v="92182"/>
    <n v="18550"/>
    <n v="0"/>
    <n v="0"/>
    <s v="Release1"/>
  </r>
  <r>
    <x v="627"/>
    <s v="Gomukh Sadananpur"/>
    <s v="MPG"/>
    <s v="Direct"/>
    <n v="145.09999999999997"/>
    <n v="4902.08"/>
    <n v="239.6"/>
    <n v="8364.8396339640003"/>
    <n v="0"/>
    <n v="0"/>
    <n v="239.6"/>
    <n v="8364.8396339640003"/>
    <n v="4902.08"/>
    <n v="0"/>
    <n v="0"/>
    <n v="3462.7596339640004"/>
    <n v="0"/>
    <n v="124.54"/>
    <n v="0"/>
    <n v="4778"/>
    <n v="0"/>
    <n v="0"/>
    <n v="0"/>
    <s v="Release1"/>
  </r>
  <r>
    <x v="628"/>
    <s v="TILAKPUR  2"/>
    <s v="RMC"/>
    <s v="Direct"/>
    <n v="294.20000000000005"/>
    <n v="10371.25"/>
    <n v="334.1"/>
    <n v="12012.698839877999"/>
    <n v="0.8"/>
    <n v="28.190725596"/>
    <n v="334.90000000000003"/>
    <n v="12040.889565473999"/>
    <n v="10371.25"/>
    <n v="0"/>
    <n v="28.190725596"/>
    <n v="1669.639565473999"/>
    <n v="0"/>
    <n v="0"/>
    <n v="0"/>
    <n v="10343"/>
    <n v="0"/>
    <n v="0"/>
    <n v="0"/>
    <n v="0"/>
  </r>
  <r>
    <x v="629"/>
    <s v="TILAKPUR"/>
    <s v="MPG"/>
    <s v="Direct"/>
    <n v="603.44999999999993"/>
    <n v="18231.379999999997"/>
    <n v="601.70000000000005"/>
    <n v="19246.669834392003"/>
    <n v="1.6"/>
    <n v="51.63207944400002"/>
    <n v="603.30000000000007"/>
    <n v="19298.301913836003"/>
    <n v="18231.379999999997"/>
    <n v="0"/>
    <n v="51.63207944400002"/>
    <n v="1066.9219138360058"/>
    <n v="0"/>
    <n v="0"/>
    <n v="0"/>
    <n v="18180"/>
    <n v="0"/>
    <n v="0"/>
    <n v="0"/>
    <n v="0"/>
  </r>
  <r>
    <x v="630"/>
    <s v="Prasharpur Kadwa Gomukh"/>
    <s v="MPG"/>
    <s v="Direct"/>
    <n v="400.59999999999991"/>
    <n v="12991.49"/>
    <n v="417.20000000000005"/>
    <n v="13654.935159822002"/>
    <n v="3.5000000000000004"/>
    <n v="113.55233353200001"/>
    <n v="420.70000000000005"/>
    <n v="13768.487493354001"/>
    <n v="12991.49"/>
    <n v="0"/>
    <n v="113.55233353200001"/>
    <n v="776.99749335400156"/>
    <n v="0"/>
    <n v="0"/>
    <n v="0"/>
    <n v="12878"/>
    <n v="0"/>
    <n v="0"/>
    <n v="0"/>
    <n v="0"/>
  </r>
  <r>
    <x v="631"/>
    <s v="Borwa Tola Gomukh"/>
    <s v="vlc"/>
    <s v="Indirect"/>
    <n v="285.20000000000005"/>
    <n v="8988.1200000000008"/>
    <n v="288.7"/>
    <n v="9198.5190065999996"/>
    <n v="0"/>
    <n v="0"/>
    <n v="288.7"/>
    <n v="9198.5190065999996"/>
    <n v="8988.1200000000008"/>
    <n v="0"/>
    <n v="0"/>
    <n v="210.39900659999876"/>
    <n v="0"/>
    <n v="0"/>
    <n v="0"/>
    <n v="0"/>
    <n v="0"/>
    <n v="8988.1200000000008"/>
    <n v="0"/>
    <n v="0"/>
  </r>
  <r>
    <x v="632"/>
    <s v="Sheela Devi"/>
    <s v="vlc"/>
    <s v="Indirect"/>
    <n v="561"/>
    <n v="18370.260000000002"/>
    <n v="0"/>
    <n v="0"/>
    <n v="0"/>
    <n v="0"/>
    <n v="0"/>
    <n v="0"/>
    <n v="18370.260000000002"/>
    <n v="0"/>
    <n v="0"/>
    <n v="0"/>
    <n v="0"/>
    <n v="0"/>
    <n v="0"/>
    <n v="0"/>
    <n v="0"/>
    <n v="18370.260000000002"/>
    <n v="0"/>
    <n v="0"/>
  </r>
  <r>
    <x v="633"/>
    <s v="Gomukh Vijay Lalganj"/>
    <s v="MPG"/>
    <s v="Direct"/>
    <n v="324.30000000000007"/>
    <n v="11987.34"/>
    <n v="363.59999999999997"/>
    <n v="13901.137180920003"/>
    <n v="1.4000000000000001"/>
    <n v="53.91030348000001"/>
    <n v="364.99999999999994"/>
    <n v="13955.047484400002"/>
    <n v="11987.34"/>
    <n v="0"/>
    <n v="53.91030348000001"/>
    <n v="1967.7074844000017"/>
    <n v="0"/>
    <n v="0"/>
    <n v="0"/>
    <n v="11933"/>
    <n v="0"/>
    <n v="0"/>
    <n v="0"/>
    <n v="0"/>
  </r>
  <r>
    <x v="634"/>
    <s v="Gomukh Sarswati Nagar Nakdahri"/>
    <s v="MPG"/>
    <s v="Direct"/>
    <n v="342.2"/>
    <n v="12648.8"/>
    <n v="239.09"/>
    <n v="9143.6354839367996"/>
    <n v="114.61999999999999"/>
    <n v="4483.0738255271408"/>
    <n v="353.71"/>
    <n v="13626.70930946394"/>
    <n v="12648.8"/>
    <n v="0"/>
    <n v="103.849979508"/>
    <n v="977.9093094639411"/>
    <n v="0"/>
    <n v="0"/>
    <n v="0"/>
    <n v="8166"/>
    <n v="4379"/>
    <n v="0"/>
    <n v="0"/>
    <n v="0"/>
  </r>
  <r>
    <x v="635"/>
    <s v="Gomukh Krishna Dairy Tulsipur"/>
    <s v="MPG"/>
    <s v="Direct"/>
    <n v="574.4"/>
    <n v="19300.650000000001"/>
    <n v="669.63000000000011"/>
    <n v="25426.429004870497"/>
    <n v="0"/>
    <n v="0"/>
    <n v="669.63000000000011"/>
    <n v="25426.429004870497"/>
    <n v="19300.650000000001"/>
    <n v="0"/>
    <n v="0"/>
    <n v="6125.7790048704956"/>
    <n v="0"/>
    <n v="0"/>
    <n v="0"/>
    <n v="19301"/>
    <n v="0"/>
    <n v="0"/>
    <n v="0"/>
    <n v="0"/>
  </r>
  <r>
    <x v="636"/>
    <s v="Gomukh Lauwalagam"/>
    <s v="MPG"/>
    <s v="Direct"/>
    <n v="66.399999999999991"/>
    <n v="2284.1999999999998"/>
    <n v="94.3"/>
    <n v="3183.8165401680008"/>
    <n v="0"/>
    <n v="0"/>
    <n v="94.3"/>
    <n v="3183.8165401680008"/>
    <n v="2284.1999999999998"/>
    <n v="0"/>
    <n v="0"/>
    <n v="899.61654016800094"/>
    <n v="0"/>
    <n v="0"/>
    <n v="0"/>
    <n v="2284"/>
    <n v="0"/>
    <n v="0"/>
    <n v="0"/>
    <n v="0"/>
  </r>
  <r>
    <x v="637"/>
    <s v="Dhobina Basa"/>
    <s v="MPG"/>
    <s v="Direct"/>
    <n v="501.3"/>
    <n v="17819.63"/>
    <n v="256"/>
    <n v="9945.9051129900017"/>
    <n v="258.3"/>
    <n v="10293.954243210002"/>
    <n v="514.29999999999995"/>
    <n v="20239.859356200002"/>
    <n v="17819.63"/>
    <n v="0"/>
    <n v="46.122112080000001"/>
    <n v="2420.2293562000013"/>
    <n v="0"/>
    <n v="0"/>
    <n v="0"/>
    <n v="7526"/>
    <n v="10248"/>
    <n v="0"/>
    <n v="0"/>
    <n v="0"/>
  </r>
  <r>
    <x v="638"/>
    <s v="Gomukh Shreepur Madhay"/>
    <s v="MPG"/>
    <s v="Direct"/>
    <n v="1133.8000000000002"/>
    <n v="43177.69999999999"/>
    <n v="1004.6"/>
    <n v="38755.603317023997"/>
    <n v="27.1"/>
    <n v="1043.3541979080001"/>
    <n v="1031.7"/>
    <n v="39798.957514932001"/>
    <n v="39798.957514932001"/>
    <n v="0"/>
    <n v="1043.3541979080001"/>
    <n v="0"/>
    <n v="0"/>
    <n v="0"/>
    <n v="0"/>
    <n v="38756"/>
    <n v="0"/>
    <n v="0"/>
    <n v="3378"/>
    <n v="0"/>
  </r>
  <r>
    <x v="639"/>
    <s v="Gomukh Dhoriya Dadpur -VLC"/>
    <s v="vlc"/>
    <s v="Indirect"/>
    <n v="60.1"/>
    <n v="2306.29"/>
    <n v="0"/>
    <n v="0"/>
    <n v="0"/>
    <n v="0"/>
    <n v="0"/>
    <n v="0"/>
    <n v="2306.29"/>
    <n v="0"/>
    <n v="0"/>
    <n v="0"/>
    <n v="0"/>
    <n v="0"/>
    <n v="0"/>
    <n v="0"/>
    <n v="0"/>
    <n v="2306.29"/>
    <n v="0"/>
    <n v="0"/>
  </r>
  <r>
    <x v="640"/>
    <s v="Gomukh Mohanpur  VLC"/>
    <s v="vlc"/>
    <s v="Indirect"/>
    <n v="296.79999999999995"/>
    <n v="9772.0300000000007"/>
    <n v="0"/>
    <n v="0"/>
    <n v="0"/>
    <n v="0"/>
    <n v="0"/>
    <n v="0"/>
    <n v="9772.0300000000007"/>
    <n v="0"/>
    <n v="0"/>
    <n v="0"/>
    <n v="0"/>
    <n v="0"/>
    <n v="0"/>
    <n v="0"/>
    <n v="0"/>
    <n v="9772.0300000000007"/>
    <n v="0"/>
    <n v="0"/>
  </r>
  <r>
    <x v="641"/>
    <s v="Gomukh Abhirampur VLC"/>
    <s v="vlc"/>
    <s v="Indirect"/>
    <n v="265.40000000000003"/>
    <n v="9795.7100000000009"/>
    <n v="0"/>
    <n v="0"/>
    <n v="0"/>
    <n v="0"/>
    <n v="0"/>
    <n v="0"/>
    <n v="9795.7100000000009"/>
    <n v="0"/>
    <n v="0"/>
    <n v="0"/>
    <n v="0"/>
    <n v="0"/>
    <n v="0"/>
    <n v="0"/>
    <n v="0"/>
    <n v="9795.7100000000009"/>
    <n v="0"/>
    <n v="0"/>
  </r>
  <r>
    <x v="642"/>
    <s v="Gomukh Pachgachhia Vlc"/>
    <s v="vlc"/>
    <s v="Indirect"/>
    <n v="159.5"/>
    <n v="5426.5299999999988"/>
    <n v="0"/>
    <n v="0"/>
    <n v="0"/>
    <n v="0"/>
    <n v="0"/>
    <n v="0"/>
    <n v="5426.5299999999988"/>
    <n v="0"/>
    <n v="0"/>
    <n v="0"/>
    <n v="0"/>
    <n v="0"/>
    <n v="0"/>
    <n v="0"/>
    <n v="0"/>
    <n v="5426.5299999999988"/>
    <n v="0"/>
    <n v="0"/>
  </r>
  <r>
    <x v="643"/>
    <s v="KUNTHA M"/>
    <s v="RMC"/>
    <s v="Direct"/>
    <n v="1241"/>
    <n v="38882.92"/>
    <n v="1413.5000000000002"/>
    <n v="47132.805456000009"/>
    <n v="16.600000000000001"/>
    <n v="548.53032960000019"/>
    <n v="1430.1000000000001"/>
    <n v="47681.335785600008"/>
    <n v="38882.92"/>
    <n v="0"/>
    <n v="548.53032960000019"/>
    <n v="8798.4157856000093"/>
    <n v="0"/>
    <n v="0"/>
    <n v="0"/>
    <n v="38334"/>
    <n v="0"/>
    <n v="0"/>
    <n v="0"/>
    <s v="Release2"/>
  </r>
  <r>
    <x v="644"/>
    <s v="ARAK"/>
    <s v="MPG"/>
    <s v="Direct"/>
    <n v="2124.9"/>
    <n v="77918.840000000011"/>
    <n v="2077.6000000000004"/>
    <n v="77911.480109453347"/>
    <n v="13.700000000000001"/>
    <n v="658.00719480377018"/>
    <n v="2091.3000000000002"/>
    <n v="78569.487304257113"/>
    <n v="77918.840000000011"/>
    <n v="0"/>
    <n v="658.00719480377018"/>
    <n v="650.6473042571015"/>
    <n v="0"/>
    <n v="0"/>
    <n v="0"/>
    <n v="77261"/>
    <n v="0"/>
    <n v="0"/>
    <n v="0"/>
    <n v="0"/>
  </r>
  <r>
    <x v="645"/>
    <s v="Diyaman"/>
    <s v="MPG"/>
    <s v="Direct"/>
    <n v="1589.3"/>
    <n v="64374.83"/>
    <n v="1578.03"/>
    <n v="64140.940660162581"/>
    <n v="6.57"/>
    <n v="266.39649550800004"/>
    <n v="1584.6"/>
    <n v="64407.337155670582"/>
    <n v="64374.83"/>
    <n v="0"/>
    <n v="266.39649550800004"/>
    <n v="32.507155670580687"/>
    <n v="0"/>
    <n v="0"/>
    <n v="0"/>
    <n v="64108"/>
    <n v="0"/>
    <n v="0"/>
    <n v="0"/>
    <n v="0"/>
  </r>
  <r>
    <x v="646"/>
    <s v="HENHA"/>
    <s v="MPG"/>
    <s v="Direct"/>
    <n v="2374"/>
    <n v="87451.77"/>
    <n v="2559.5"/>
    <n v="106547.11272188801"/>
    <n v="27.5"/>
    <n v="1565.1694710968002"/>
    <n v="2587"/>
    <n v="108112.28219298481"/>
    <n v="87451.77"/>
    <n v="0"/>
    <n v="1565.1694710968002"/>
    <n v="20660.51219298481"/>
    <n v="0"/>
    <n v="0"/>
    <n v="0"/>
    <n v="85887"/>
    <n v="0"/>
    <n v="0"/>
    <n v="0"/>
    <n v="0"/>
  </r>
  <r>
    <x v="647"/>
    <s v="Suddh Dairy"/>
    <s v="vlc"/>
    <s v="Indirect"/>
    <n v="21680"/>
    <n v="757270"/>
    <n v="0"/>
    <n v="0"/>
    <n v="0"/>
    <n v="0"/>
    <n v="0"/>
    <n v="0"/>
    <n v="757270"/>
    <n v="0"/>
    <n v="0"/>
    <n v="0"/>
    <n v="0"/>
    <n v="0"/>
    <n v="0"/>
    <n v="0"/>
    <n v="0"/>
    <n v="757270"/>
    <n v="0"/>
    <n v="0"/>
  </r>
  <r>
    <x v="941"/>
    <s v="Krishna Dairy"/>
    <s v="vlc"/>
    <s v="Indirect"/>
    <n v="2966"/>
    <n v="101482.36"/>
    <n v="0"/>
    <n v="0"/>
    <n v="0"/>
    <n v="0"/>
    <n v="0"/>
    <n v="0"/>
    <n v="101482.36"/>
    <n v="0"/>
    <n v="0"/>
    <n v="0"/>
    <n v="0"/>
    <n v="0"/>
    <n v="0"/>
    <n v="0"/>
    <n v="0"/>
    <n v="101482.36"/>
    <n v="0"/>
    <n v="0"/>
  </r>
  <r>
    <x v="648"/>
    <s v="Anik Kumar"/>
    <s v="vlc"/>
    <s v="Indirect"/>
    <n v="5433"/>
    <n v="215827.90999999997"/>
    <n v="0"/>
    <n v="0"/>
    <n v="0"/>
    <n v="0"/>
    <n v="0"/>
    <n v="0"/>
    <n v="215827.90999999997"/>
    <n v="0"/>
    <n v="0"/>
    <n v="0"/>
    <n v="0"/>
    <n v="0"/>
    <n v="0"/>
    <n v="0"/>
    <n v="0"/>
    <n v="215827.90999999997"/>
    <n v="0"/>
    <n v="0"/>
  </r>
  <r>
    <x v="649"/>
    <s v="Nand Kishor Kumar"/>
    <s v="vlc"/>
    <s v="Indirect"/>
    <n v="5160"/>
    <n v="168549.6"/>
    <n v="0"/>
    <n v="0"/>
    <n v="0"/>
    <n v="0"/>
    <n v="0"/>
    <n v="0"/>
    <n v="168549.6"/>
    <n v="0"/>
    <n v="0"/>
    <n v="0"/>
    <n v="0"/>
    <n v="0"/>
    <n v="0"/>
    <n v="0"/>
    <n v="0"/>
    <n v="168549.6"/>
    <n v="0"/>
    <n v="0"/>
  </r>
  <r>
    <x v="650"/>
    <s v="Gomukh CHANDAULI"/>
    <s v="MPG"/>
    <s v="Direct"/>
    <n v="1234.4999999999995"/>
    <n v="51804.960000000006"/>
    <n v="1229.77"/>
    <n v="51881.281317862107"/>
    <n v="12.43"/>
    <n v="520.02118198800008"/>
    <n v="1242.2"/>
    <n v="52401.302499850106"/>
    <n v="51804.960000000006"/>
    <n v="0"/>
    <n v="520.02118198800008"/>
    <n v="596.34249985009956"/>
    <n v="0"/>
    <n v="0"/>
    <n v="0"/>
    <n v="51285"/>
    <n v="0"/>
    <n v="0"/>
    <n v="0"/>
    <n v="0"/>
  </r>
  <r>
    <x v="651"/>
    <s v="GOMUKH HATHA"/>
    <s v="MPG"/>
    <s v="Direct"/>
    <n v="1338.8999999999999"/>
    <n v="56357.710000000006"/>
    <n v="1338.6400000000003"/>
    <n v="55705.413324240501"/>
    <n v="14.81"/>
    <n v="631.28024071200014"/>
    <n v="1353.4500000000003"/>
    <n v="56336.693564952504"/>
    <n v="56336.693564952504"/>
    <n v="0"/>
    <n v="631.28024071200014"/>
    <n v="0"/>
    <n v="937"/>
    <n v="0"/>
    <n v="0"/>
    <n v="54771"/>
    <n v="0"/>
    <n v="0"/>
    <n v="18"/>
    <n v="0"/>
  </r>
  <r>
    <x v="652"/>
    <s v="GOMUKH VADEYA"/>
    <s v="MPG"/>
    <s v="Direct"/>
    <n v="562.65"/>
    <n v="25170.28"/>
    <n v="562.9799999999999"/>
    <n v="24240.291853518342"/>
    <n v="5.46"/>
    <n v="226.53533319120004"/>
    <n v="568.43999999999994"/>
    <n v="24466.827186709543"/>
    <n v="24466.827186709543"/>
    <n v="0"/>
    <n v="226.53533319120004"/>
    <n v="0"/>
    <n v="73"/>
    <n v="0"/>
    <n v="0"/>
    <n v="24169"/>
    <n v="0"/>
    <n v="0"/>
    <n v="702"/>
    <n v="0"/>
  </r>
  <r>
    <x v="653"/>
    <s v="GOMUKH CHANDPURA"/>
    <s v="MPG"/>
    <s v="Direct"/>
    <n v="456.30000000000007"/>
    <n v="20597.939999999999"/>
    <n v="442.81"/>
    <n v="19805.910293256551"/>
    <n v="9.25"/>
    <n v="405.28726024591799"/>
    <n v="452.06"/>
    <n v="20211.197553502469"/>
    <n v="20211.197553502469"/>
    <n v="0"/>
    <n v="405.28726024591799"/>
    <n v="0"/>
    <n v="1687"/>
    <n v="0"/>
    <n v="0"/>
    <n v="18120"/>
    <n v="0"/>
    <n v="0"/>
    <n v="386"/>
    <n v="0"/>
  </r>
  <r>
    <x v="654"/>
    <s v="GOMUKH BARGAMA"/>
    <s v="MPG"/>
    <s v="Direct"/>
    <n v="1211.2000000000003"/>
    <n v="48907.12000000001"/>
    <n v="1207.1799999999998"/>
    <n v="47506.727592639669"/>
    <n v="25.83"/>
    <n v="1220.21974655901"/>
    <n v="1233.0099999999998"/>
    <n v="48726.947339198676"/>
    <n v="48726.947339198676"/>
    <n v="0"/>
    <n v="1220.21974655901"/>
    <n v="0"/>
    <n v="0"/>
    <n v="0"/>
    <n v="0"/>
    <n v="47509"/>
    <n v="0"/>
    <n v="0"/>
    <n v="178"/>
    <n v="0"/>
  </r>
  <r>
    <x v="655"/>
    <s v="Gomukh Gograha Tola"/>
    <s v="MPG"/>
    <s v="Direct"/>
    <n v="430.15000000000003"/>
    <n v="19125.420000000002"/>
    <n v="413.18"/>
    <n v="18440.620608529574"/>
    <n v="1.6099999999999999"/>
    <n v="86.618949812050005"/>
    <n v="414.79"/>
    <n v="18527.239558341626"/>
    <n v="18527.239558341626"/>
    <n v="0"/>
    <n v="86.618949812050005"/>
    <n v="0"/>
    <n v="0"/>
    <n v="0"/>
    <n v="0"/>
    <n v="18442"/>
    <n v="0"/>
    <n v="0"/>
    <n v="597"/>
    <n v="0"/>
  </r>
  <r>
    <x v="656"/>
    <s v="Gomukh Patsara"/>
    <s v="MPG"/>
    <s v="Direct"/>
    <n v="321.90000000000003"/>
    <n v="16052.41"/>
    <n v="321.10000000000002"/>
    <n v="15997.264291617852"/>
    <n v="3.35"/>
    <n v="147.05291437455"/>
    <n v="324.45000000000005"/>
    <n v="16144.317205992402"/>
    <n v="16052.41"/>
    <n v="0"/>
    <n v="147.05291437455"/>
    <n v="91.907205992401941"/>
    <n v="0"/>
    <n v="0"/>
    <n v="0"/>
    <n v="15905"/>
    <n v="0"/>
    <n v="0"/>
    <n v="0"/>
    <n v="0"/>
  </r>
  <r>
    <x v="657"/>
    <s v="Gomukh Singhiya"/>
    <s v="vlc"/>
    <s v="Indirect"/>
    <n v="6310.55"/>
    <n v="247429.51000000004"/>
    <n v="0"/>
    <n v="0"/>
    <n v="0"/>
    <n v="0"/>
    <n v="0"/>
    <n v="0"/>
    <n v="247429.51000000004"/>
    <n v="0"/>
    <n v="0"/>
    <n v="0"/>
    <n v="0"/>
    <n v="0"/>
    <n v="0"/>
    <n v="0"/>
    <n v="0"/>
    <n v="247429.51000000004"/>
    <n v="0"/>
    <n v="0"/>
  </r>
  <r>
    <x v="658"/>
    <s v="Gomukh BALHA "/>
    <s v="vlc"/>
    <s v="Indirect"/>
    <n v="3270.0499999999997"/>
    <n v="135403.66000000003"/>
    <n v="0"/>
    <n v="0"/>
    <n v="0"/>
    <n v="0"/>
    <n v="0"/>
    <n v="0"/>
    <n v="135403.66000000003"/>
    <n v="0"/>
    <n v="0"/>
    <n v="0"/>
    <n v="0"/>
    <n v="0"/>
    <n v="0"/>
    <n v="0"/>
    <n v="0"/>
    <n v="135403.66000000003"/>
    <n v="0"/>
    <n v="0"/>
  </r>
  <r>
    <x v="942"/>
    <s v="Gomukh Kalyanpur 2"/>
    <s v="vlc"/>
    <s v="Indirect"/>
    <n v="1240.8999999999999"/>
    <n v="50382.85"/>
    <n v="0"/>
    <n v="0"/>
    <n v="0"/>
    <n v="0"/>
    <n v="0"/>
    <n v="0"/>
    <n v="50382.85"/>
    <n v="0"/>
    <n v="0"/>
    <n v="0"/>
    <n v="0"/>
    <n v="0"/>
    <n v="0"/>
    <n v="0"/>
    <n v="0"/>
    <n v="50382.85"/>
    <n v="0"/>
    <n v="0"/>
  </r>
  <r>
    <x v="943"/>
    <s v="Gomukh Namapur 2"/>
    <s v="vlc"/>
    <s v="Indirect"/>
    <n v="1154.5999999999999"/>
    <n v="42743.45"/>
    <n v="0"/>
    <n v="0"/>
    <n v="0"/>
    <n v="0"/>
    <n v="0"/>
    <n v="0"/>
    <n v="42743.45"/>
    <n v="0"/>
    <n v="0"/>
    <n v="0"/>
    <n v="0"/>
    <n v="0"/>
    <n v="0"/>
    <n v="0"/>
    <n v="0"/>
    <n v="42743.45"/>
    <n v="0"/>
    <n v="0"/>
  </r>
  <r>
    <x v="659"/>
    <s v="Gomukh Madhopur"/>
    <s v="vlc"/>
    <s v="Indirect"/>
    <n v="131.6"/>
    <n v="5807.13"/>
    <n v="0"/>
    <n v="0"/>
    <n v="0"/>
    <n v="0"/>
    <n v="0"/>
    <n v="0"/>
    <n v="5807.13"/>
    <n v="0"/>
    <n v="0"/>
    <n v="0"/>
    <n v="2850"/>
    <n v="957.26007096774197"/>
    <n v="0"/>
    <n v="0"/>
    <n v="0"/>
    <n v="1999.8699290322581"/>
    <n v="0"/>
    <n v="0"/>
  </r>
  <r>
    <x v="660"/>
    <s v="Gomukh Kalyanpur East"/>
    <s v="vlc"/>
    <s v="Indirect"/>
    <n v="570"/>
    <n v="21662.879999999997"/>
    <n v="0"/>
    <n v="0"/>
    <n v="0"/>
    <n v="0"/>
    <n v="0"/>
    <n v="0"/>
    <n v="21662.879999999997"/>
    <n v="0"/>
    <n v="0"/>
    <n v="0"/>
    <n v="0"/>
    <n v="0"/>
    <n v="0"/>
    <n v="0"/>
    <n v="0"/>
    <n v="21662.879999999997"/>
    <n v="0"/>
    <n v="0"/>
  </r>
  <r>
    <x v="661"/>
    <s v="Gomukh Bazidpur"/>
    <s v="vlc"/>
    <s v="Indirect"/>
    <n v="1585.5"/>
    <n v="67478.820000000007"/>
    <n v="0"/>
    <n v="0"/>
    <n v="0"/>
    <n v="0"/>
    <n v="0"/>
    <n v="0"/>
    <n v="67478.820000000007"/>
    <n v="0"/>
    <n v="0"/>
    <n v="0"/>
    <n v="0"/>
    <n v="0"/>
    <n v="0"/>
    <n v="0"/>
    <n v="0"/>
    <n v="67478.820000000007"/>
    <n v="0"/>
    <n v="0"/>
  </r>
  <r>
    <x v="662"/>
    <s v="Gomukh Belsandi"/>
    <s v="vlc"/>
    <s v="Indirect"/>
    <n v="1059.5"/>
    <n v="44218.299999999996"/>
    <n v="0"/>
    <n v="0"/>
    <n v="0"/>
    <n v="0"/>
    <n v="0"/>
    <n v="0"/>
    <n v="44218.299999999996"/>
    <n v="0"/>
    <n v="0"/>
    <n v="0"/>
    <n v="1350"/>
    <n v="0"/>
    <n v="0"/>
    <n v="0"/>
    <n v="0"/>
    <n v="42868.299999999996"/>
    <n v="0"/>
    <n v="0"/>
  </r>
  <r>
    <x v="944"/>
    <s v="Gomukh Namapur Ward 8"/>
    <s v="vlc"/>
    <s v="Indirect"/>
    <n v="703.8"/>
    <n v="28957.34"/>
    <n v="0"/>
    <n v="0"/>
    <n v="0"/>
    <n v="0"/>
    <n v="0"/>
    <n v="0"/>
    <n v="28957.34"/>
    <n v="0"/>
    <n v="0"/>
    <n v="0"/>
    <n v="0"/>
    <n v="122.82450967741877"/>
    <n v="0"/>
    <n v="0"/>
    <n v="0"/>
    <n v="28834.515490322581"/>
    <n v="0"/>
    <n v="0"/>
  </r>
  <r>
    <x v="945"/>
    <s v="Belsandi"/>
    <s v="vlc"/>
    <s v="Indirect"/>
    <n v="58.1"/>
    <n v="2224.0700000000002"/>
    <n v="0"/>
    <n v="0"/>
    <n v="0"/>
    <n v="0"/>
    <n v="0"/>
    <n v="0"/>
    <n v="2224.0700000000002"/>
    <n v="0"/>
    <n v="0"/>
    <n v="0"/>
    <n v="0"/>
    <n v="2224"/>
    <n v="0"/>
    <n v="0"/>
    <n v="0"/>
    <n v="7.0000000000163709E-2"/>
    <n v="0"/>
    <n v="0"/>
  </r>
  <r>
    <x v="663"/>
    <s v="Gomukh Belsandi East"/>
    <s v="vlc"/>
    <s v="Indirect"/>
    <n v="1971.6"/>
    <n v="81887.710000000021"/>
    <n v="0"/>
    <n v="0"/>
    <n v="0"/>
    <n v="0"/>
    <n v="0"/>
    <n v="0"/>
    <n v="81887.710000000021"/>
    <n v="0"/>
    <n v="0"/>
    <n v="0"/>
    <n v="0"/>
    <n v="0"/>
    <n v="0"/>
    <n v="0"/>
    <n v="0"/>
    <n v="81887.710000000021"/>
    <n v="0"/>
    <n v="0"/>
  </r>
  <r>
    <x v="664"/>
    <s v="Gomukh Belsandi West Tola"/>
    <s v="vlc"/>
    <s v="Indirect"/>
    <n v="283.04999999999995"/>
    <n v="11143.23"/>
    <n v="0"/>
    <n v="0"/>
    <n v="0"/>
    <n v="0"/>
    <n v="0"/>
    <n v="0"/>
    <n v="11143.23"/>
    <n v="0"/>
    <n v="0"/>
    <n v="0"/>
    <n v="0"/>
    <n v="90.729377419355401"/>
    <n v="0"/>
    <n v="0"/>
    <n v="0"/>
    <n v="11052.500622580645"/>
    <n v="0"/>
    <n v="0"/>
  </r>
  <r>
    <x v="665"/>
    <s v="Gomukh Gopalpur"/>
    <s v="vlc"/>
    <s v="Indirect"/>
    <n v="2025.45"/>
    <n v="82639.040000000008"/>
    <n v="0"/>
    <n v="0"/>
    <n v="0"/>
    <n v="0"/>
    <n v="0"/>
    <n v="0"/>
    <n v="82639.040000000008"/>
    <n v="0"/>
    <n v="0"/>
    <n v="0"/>
    <n v="1350"/>
    <n v="0"/>
    <n v="0"/>
    <n v="0"/>
    <n v="0"/>
    <n v="81289.040000000008"/>
    <n v="0"/>
    <n v="0"/>
  </r>
  <r>
    <x v="666"/>
    <s v="Gomukh Bharav"/>
    <s v="MPG"/>
    <s v="Direct"/>
    <n v="478.8"/>
    <n v="24236.020000000004"/>
    <n v="482.56"/>
    <n v="23939.689860306356"/>
    <n v="5.35"/>
    <n v="245.70979296630006"/>
    <n v="487.91"/>
    <n v="24185.399653272656"/>
    <n v="24185.399653272656"/>
    <n v="0"/>
    <n v="245.70979296630006"/>
    <n v="0"/>
    <n v="1500"/>
    <n v="0"/>
    <n v="0"/>
    <n v="22440"/>
    <n v="0"/>
    <n v="0"/>
    <n v="50"/>
    <n v="0"/>
  </r>
  <r>
    <x v="667"/>
    <s v="Gomukh Harpur"/>
    <s v="MPG"/>
    <s v="Direct"/>
    <n v="961.25000000000011"/>
    <n v="40378.299999999996"/>
    <n v="951.40000000000009"/>
    <n v="39125.78270656064"/>
    <n v="24.540000000000003"/>
    <n v="1030.0427319600001"/>
    <n v="975.94"/>
    <n v="40155.825438520638"/>
    <n v="40155.825438520638"/>
    <n v="0"/>
    <n v="1030.0427319600001"/>
    <n v="0"/>
    <n v="0"/>
    <n v="0"/>
    <n v="0"/>
    <n v="39125"/>
    <n v="0"/>
    <n v="0"/>
    <n v="223"/>
    <n v="0"/>
  </r>
  <r>
    <x v="668"/>
    <s v="Gomukh Fulhatta"/>
    <s v="MPG"/>
    <s v="Direct"/>
    <n v="929.40000000000009"/>
    <n v="49178.5"/>
    <n v="944.20999999999981"/>
    <n v="49033.632736253036"/>
    <n v="0"/>
    <n v="0"/>
    <n v="944.20999999999981"/>
    <n v="49033.632736253036"/>
    <n v="49033.632736253036"/>
    <n v="0"/>
    <n v="0"/>
    <n v="0"/>
    <n v="0"/>
    <n v="0"/>
    <n v="0"/>
    <n v="49031"/>
    <n v="0"/>
    <n v="0"/>
    <n v="148"/>
    <n v="0"/>
  </r>
  <r>
    <x v="669"/>
    <s v="Gomukh Birauli Khurd"/>
    <s v="MPG"/>
    <s v="Direct"/>
    <n v="552.15"/>
    <n v="24110.950000000004"/>
    <n v="539.82000000000005"/>
    <n v="22127.556960780752"/>
    <n v="14.109999999999998"/>
    <n v="623.36912563728413"/>
    <n v="553.93000000000006"/>
    <n v="22750.926086418036"/>
    <n v="22750.926086418036"/>
    <n v="0"/>
    <n v="623.36912563728413"/>
    <n v="0"/>
    <n v="618"/>
    <n v="106.19233548387118"/>
    <n v="0"/>
    <n v="21401"/>
    <n v="0"/>
    <n v="0"/>
    <n v="1362"/>
    <s v="Release1"/>
  </r>
  <r>
    <x v="670"/>
    <s v="Gomukh Bedauliya"/>
    <s v="vlc"/>
    <s v="Indirect"/>
    <n v="553.79999999999995"/>
    <n v="22480.82"/>
    <n v="0"/>
    <n v="0"/>
    <n v="0"/>
    <n v="0"/>
    <n v="0"/>
    <n v="0"/>
    <n v="22480.82"/>
    <n v="0"/>
    <n v="0"/>
    <n v="0"/>
    <n v="0"/>
    <n v="0"/>
    <n v="0"/>
    <n v="0"/>
    <n v="0"/>
    <n v="22480.82"/>
    <n v="0"/>
    <n v="0"/>
  </r>
  <r>
    <x v="671"/>
    <s v="Gomukh Khanua"/>
    <s v="MPG"/>
    <s v="Direct"/>
    <n v="579.19999999999993"/>
    <n v="25519.060000000005"/>
    <n v="575.79000000000008"/>
    <n v="25214.653347360956"/>
    <n v="8.5900000000000016"/>
    <n v="369.35390246400004"/>
    <n v="584.38000000000011"/>
    <n v="25584.007249824957"/>
    <n v="25519.060000000005"/>
    <n v="0"/>
    <n v="369.35390246400004"/>
    <n v="64.947249824952451"/>
    <n v="0"/>
    <n v="0"/>
    <n v="0"/>
    <n v="25150"/>
    <n v="0"/>
    <n v="0"/>
    <n v="0"/>
    <n v="0"/>
  </r>
  <r>
    <x v="672"/>
    <s v="Gomukh Hiralalpur"/>
    <s v="vlc"/>
    <s v="Indirect"/>
    <n v="1799.2000000000003"/>
    <n v="71106.84"/>
    <n v="0"/>
    <n v="0"/>
    <n v="0"/>
    <n v="0"/>
    <n v="0"/>
    <n v="0"/>
    <n v="71106.84"/>
    <n v="0"/>
    <n v="0"/>
    <n v="0"/>
    <n v="0"/>
    <n v="0"/>
    <n v="0"/>
    <n v="0"/>
    <n v="0"/>
    <n v="71106.84"/>
    <n v="0"/>
    <n v="0"/>
  </r>
  <r>
    <x v="946"/>
    <s v="Gomukh Malipur"/>
    <s v="vlc"/>
    <s v="Indirect"/>
    <n v="113.1"/>
    <n v="3516.5"/>
    <n v="0"/>
    <n v="0"/>
    <n v="0"/>
    <n v="0"/>
    <n v="0"/>
    <n v="0"/>
    <n v="3516.5"/>
    <n v="0"/>
    <n v="0"/>
    <n v="0"/>
    <n v="0"/>
    <n v="0"/>
    <n v="0"/>
    <n v="0"/>
    <n v="0"/>
    <n v="3516.5"/>
    <n v="0"/>
    <n v="0"/>
  </r>
  <r>
    <x v="947"/>
    <s v="GOMUKH JATMALPUR"/>
    <s v="vlc"/>
    <s v="Indirect"/>
    <n v="317.42"/>
    <n v="11066.619999999999"/>
    <n v="0"/>
    <n v="0"/>
    <n v="0"/>
    <n v="0"/>
    <n v="0"/>
    <n v="0"/>
    <n v="11066.619999999999"/>
    <n v="0"/>
    <n v="0"/>
    <n v="0"/>
    <n v="0"/>
    <n v="0"/>
    <n v="0"/>
    <n v="0"/>
    <n v="0"/>
    <n v="11066.619999999999"/>
    <n v="0"/>
    <n v="0"/>
  </r>
  <r>
    <x v="673"/>
    <s v="Gomukh Punas"/>
    <s v="MPG"/>
    <s v="Direct"/>
    <n v="756.5"/>
    <n v="34150.229999999996"/>
    <n v="733.97999999999979"/>
    <n v="32494.372151231506"/>
    <n v="11.51"/>
    <n v="488.43577484400004"/>
    <n v="745.48999999999978"/>
    <n v="32982.807926075504"/>
    <n v="32982.807926075504"/>
    <n v="0"/>
    <n v="488.43577484400004"/>
    <n v="0"/>
    <n v="0"/>
    <n v="597.09664838709682"/>
    <n v="0"/>
    <n v="31896"/>
    <n v="0"/>
    <n v="0"/>
    <n v="1169"/>
    <n v="0"/>
  </r>
  <r>
    <x v="674"/>
    <s v="Gomukh Loharkha"/>
    <s v="MPG"/>
    <s v="Direct"/>
    <n v="394.05000000000007"/>
    <n v="19332.34"/>
    <n v="400.94000000000005"/>
    <n v="19175.931790001581"/>
    <n v="6.11"/>
    <n v="285.95724412496003"/>
    <n v="407.05000000000007"/>
    <n v="19461.88903412654"/>
    <n v="19332.34"/>
    <n v="0"/>
    <n v="285.95724412496003"/>
    <n v="129.54903412653948"/>
    <n v="0"/>
    <n v="98.103512903225436"/>
    <n v="0"/>
    <n v="18947"/>
    <n v="0"/>
    <n v="0"/>
    <n v="1"/>
    <n v="0"/>
  </r>
  <r>
    <x v="675"/>
    <s v="Gomukh Dighra"/>
    <s v="MPG"/>
    <s v="Direct"/>
    <n v="267.89999999999998"/>
    <n v="8854.619999999999"/>
    <n v="268.02"/>
    <n v="9532.8334790364006"/>
    <n v="0.66999999999999993"/>
    <n v="22.655952732599999"/>
    <n v="268.69"/>
    <n v="9555.4894317690014"/>
    <n v="8854.619999999999"/>
    <n v="0"/>
    <n v="22.655952732599999"/>
    <n v="700.8694317690024"/>
    <n v="1500"/>
    <n v="154.37241290322595"/>
    <n v="0"/>
    <n v="7177"/>
    <n v="0"/>
    <n v="0"/>
    <n v="1"/>
    <n v="0"/>
  </r>
  <r>
    <x v="676"/>
    <s v="Basuwari"/>
    <s v="MPG"/>
    <s v="Direct"/>
    <n v="360.55000000000007"/>
    <n v="13731.33"/>
    <n v="356.47"/>
    <n v="13457.207005078722"/>
    <n v="6.1599999999999993"/>
    <n v="241.33121391901801"/>
    <n v="362.63000000000005"/>
    <n v="13698.538218997741"/>
    <n v="13698.538218997741"/>
    <n v="0"/>
    <n v="241.33121391901801"/>
    <n v="0"/>
    <n v="0"/>
    <n v="0"/>
    <n v="0"/>
    <n v="13458"/>
    <n v="0"/>
    <n v="0"/>
    <n v="32"/>
    <n v="0"/>
  </r>
  <r>
    <x v="677"/>
    <s v="Belsandi 3"/>
    <s v="vlc"/>
    <s v="Indirect"/>
    <n v="1851.3"/>
    <n v="68425.03"/>
    <n v="0"/>
    <n v="0"/>
    <n v="0"/>
    <n v="0"/>
    <n v="0"/>
    <n v="0"/>
    <n v="68425.03"/>
    <n v="0"/>
    <n v="0"/>
    <n v="0"/>
    <n v="0"/>
    <n v="0"/>
    <n v="0"/>
    <n v="0"/>
    <n v="0"/>
    <n v="68425.03"/>
    <n v="0"/>
    <n v="0"/>
  </r>
  <r>
    <x v="678"/>
    <s v="Gomukh Bhagwanpur"/>
    <s v="vlc"/>
    <s v="Indirect"/>
    <n v="41.95"/>
    <n v="2314.38"/>
    <n v="0"/>
    <n v="0"/>
    <n v="0"/>
    <n v="0"/>
    <n v="0"/>
    <n v="0"/>
    <n v="2314.38"/>
    <n v="0"/>
    <n v="0"/>
    <n v="0"/>
    <n v="0"/>
    <n v="429.28672258064512"/>
    <n v="0"/>
    <n v="0"/>
    <n v="0"/>
    <n v="1885.093277419355"/>
    <n v="0"/>
    <n v="0"/>
  </r>
  <r>
    <x v="679"/>
    <s v="GOMUKH HARPUR W-13"/>
    <s v="MPG"/>
    <s v="Direct"/>
    <n v="1762.7500000000005"/>
    <n v="70735.839999999982"/>
    <n v="1746.53"/>
    <n v="68891.801364095823"/>
    <n v="32.06"/>
    <n v="1264.3762431960001"/>
    <n v="1778.59"/>
    <n v="70156.177607291829"/>
    <n v="70156.177607291829"/>
    <n v="0"/>
    <n v="1264.3762431960001"/>
    <n v="0"/>
    <n v="0"/>
    <n v="0"/>
    <n v="0"/>
    <n v="68892"/>
    <n v="0"/>
    <n v="0"/>
    <n v="579"/>
    <n v="0"/>
  </r>
  <r>
    <x v="948"/>
    <s v="GOMUKH MILKI"/>
    <s v="vlc"/>
    <s v="Indirect"/>
    <n v="112.15"/>
    <n v="4517.4000000000005"/>
    <n v="0"/>
    <n v="0"/>
    <n v="0"/>
    <n v="0"/>
    <n v="0"/>
    <n v="0"/>
    <n v="4517.4000000000005"/>
    <n v="0"/>
    <n v="0"/>
    <n v="0"/>
    <n v="0"/>
    <n v="0"/>
    <n v="0"/>
    <n v="0"/>
    <n v="0"/>
    <n v="4517.4000000000005"/>
    <n v="0"/>
    <n v="0"/>
  </r>
  <r>
    <x v="680"/>
    <s v="Gomukh Ratwara"/>
    <s v="MPG"/>
    <s v="Direct"/>
    <n v="146.79999999999998"/>
    <n v="5395.17"/>
    <n v="150.72"/>
    <n v="5392.8696973337992"/>
    <n v="0"/>
    <n v="0"/>
    <n v="150.72"/>
    <n v="5392.8696973337992"/>
    <n v="5392.8696973337992"/>
    <n v="0"/>
    <n v="0"/>
    <n v="0"/>
    <n v="0"/>
    <n v="5.62"/>
    <n v="0"/>
    <n v="5387"/>
    <n v="0"/>
    <n v="0"/>
    <n v="3"/>
    <s v="Release1"/>
  </r>
  <r>
    <x v="681"/>
    <s v="Gomukh Fulhara"/>
    <s v="vlc"/>
    <s v="Indirect"/>
    <n v="1857.25"/>
    <n v="88876.560000000012"/>
    <n v="0"/>
    <n v="0"/>
    <n v="0"/>
    <n v="0"/>
    <n v="0"/>
    <n v="0"/>
    <n v="88876.560000000012"/>
    <n v="0"/>
    <n v="0"/>
    <n v="0"/>
    <n v="2700"/>
    <n v="0"/>
    <n v="0"/>
    <n v="0"/>
    <n v="0"/>
    <n v="86176.560000000012"/>
    <n v="0"/>
    <n v="0"/>
  </r>
  <r>
    <x v="682"/>
    <s v="Gomukh Ranitola"/>
    <s v="vlc"/>
    <s v="Indirect"/>
    <n v="445.90000000000003"/>
    <n v="19501.72"/>
    <n v="0"/>
    <n v="0"/>
    <n v="0"/>
    <n v="0"/>
    <n v="0"/>
    <n v="0"/>
    <n v="19501.72"/>
    <n v="0"/>
    <n v="0"/>
    <n v="0"/>
    <n v="0"/>
    <n v="0"/>
    <n v="0"/>
    <n v="0"/>
    <n v="0"/>
    <n v="19501.72"/>
    <n v="0"/>
    <n v="0"/>
  </r>
  <r>
    <x v="683"/>
    <s v="Gomukh Malinagar East"/>
    <s v="MPG"/>
    <s v="Direct"/>
    <n v="826.69999999999982"/>
    <n v="34321.589999999997"/>
    <n v="826.92000000000007"/>
    <n v="34123.250615837933"/>
    <n v="5.72"/>
    <n v="260.30237974761997"/>
    <n v="832.6400000000001"/>
    <n v="34383.552995585553"/>
    <n v="34321.589999999997"/>
    <n v="0"/>
    <n v="260.30237974761997"/>
    <n v="61.9629955855562"/>
    <n v="0"/>
    <n v="0"/>
    <n v="0"/>
    <n v="34061"/>
    <n v="0"/>
    <n v="0"/>
    <n v="0"/>
    <n v="0"/>
  </r>
  <r>
    <x v="684"/>
    <s v="GOMUKH Singhiya Ward 11"/>
    <s v="vlc"/>
    <s v="Indirect"/>
    <n v="217.8"/>
    <n v="10955.09"/>
    <n v="0"/>
    <n v="0"/>
    <n v="0"/>
    <n v="0"/>
    <n v="0"/>
    <n v="0"/>
    <n v="10955.09"/>
    <n v="0"/>
    <n v="0"/>
    <n v="0"/>
    <n v="2850"/>
    <n v="253.77372580645147"/>
    <n v="0"/>
    <n v="0"/>
    <n v="0"/>
    <n v="7851.3162741935485"/>
    <n v="0"/>
    <n v="0"/>
  </r>
  <r>
    <x v="685"/>
    <s v="GOMUKH MANIYARPUR"/>
    <s v="MPG"/>
    <s v="Direct"/>
    <n v="896.1"/>
    <n v="38907.860000000008"/>
    <n v="896.53999999999985"/>
    <n v="37401.300163696797"/>
    <n v="33.99"/>
    <n v="1425.6221930279999"/>
    <n v="930.52999999999986"/>
    <n v="38826.922356724797"/>
    <n v="38826.922356724797"/>
    <n v="0"/>
    <n v="1425.6221930279999"/>
    <n v="0"/>
    <n v="0"/>
    <n v="50.16565161290319"/>
    <n v="0"/>
    <n v="37351"/>
    <n v="0"/>
    <n v="0"/>
    <n v="81"/>
    <n v="0"/>
  </r>
  <r>
    <x v="686"/>
    <s v="GOMUKH DIGHRA W-6"/>
    <s v="MPG"/>
    <s v="Direct"/>
    <n v="1292.3"/>
    <n v="48394.630000000005"/>
    <n v="1269.01"/>
    <n v="48777.929408450902"/>
    <n v="9.6"/>
    <n v="371.85467655600007"/>
    <n v="1278.6099999999999"/>
    <n v="49149.784085006904"/>
    <n v="48394.630000000005"/>
    <n v="1500"/>
    <n v="371.85467655600007"/>
    <n v="755.15408500689955"/>
    <n v="10689"/>
    <n v="0"/>
    <n v="0"/>
    <n v="35834"/>
    <n v="0"/>
    <n v="0"/>
    <n v="0"/>
    <n v="0"/>
  </r>
  <r>
    <x v="687"/>
    <s v="GOMUKH BANDRA W-6"/>
    <s v="MPG"/>
    <s v="Direct"/>
    <n v="575.20000000000005"/>
    <n v="23958.7"/>
    <n v="580.2299999999999"/>
    <n v="23698.464203397423"/>
    <n v="9.0699999999999985"/>
    <n v="369.99957654000002"/>
    <n v="589.29999999999995"/>
    <n v="24068.463779937425"/>
    <n v="23958.7"/>
    <n v="0"/>
    <n v="369.99957654000002"/>
    <n v="109.76377993742426"/>
    <n v="465"/>
    <n v="0"/>
    <n v="0"/>
    <n v="23124"/>
    <n v="0"/>
    <n v="0"/>
    <n v="0"/>
    <n v="0"/>
  </r>
  <r>
    <x v="688"/>
    <s v="GOMUKH PARAN 2"/>
    <s v="MPG"/>
    <s v="Direct"/>
    <n v="182"/>
    <n v="9844.0799999999981"/>
    <n v="188.41000000000003"/>
    <n v="9505.2568155972094"/>
    <n v="3.53"/>
    <n v="184.21329283929998"/>
    <n v="191.94000000000003"/>
    <n v="9689.4701084365097"/>
    <n v="9689.4701084365097"/>
    <n v="0"/>
    <n v="184.21329283929998"/>
    <n v="0"/>
    <n v="0"/>
    <n v="0"/>
    <n v="0"/>
    <n v="9505"/>
    <n v="0"/>
    <n v="0"/>
    <n v="155"/>
    <n v="0"/>
  </r>
  <r>
    <x v="689"/>
    <s v="GOMUKH KHARAGPUR"/>
    <s v="MPG"/>
    <s v="Direct"/>
    <n v="378.8"/>
    <n v="18917.099999999999"/>
    <n v="381.39"/>
    <n v="19716.085951250436"/>
    <n v="0"/>
    <n v="0"/>
    <n v="381.39"/>
    <n v="19716.085951250436"/>
    <n v="18917.099999999999"/>
    <n v="0"/>
    <n v="0"/>
    <n v="798.98595125043721"/>
    <n v="0"/>
    <n v="0"/>
    <n v="0"/>
    <n v="18917"/>
    <n v="0"/>
    <n v="0"/>
    <n v="0"/>
    <n v="0"/>
  </r>
  <r>
    <x v="690"/>
    <s v="KAMARGAMA"/>
    <s v="vlc"/>
    <s v="Indirect"/>
    <n v="488.05"/>
    <n v="27564.92"/>
    <n v="0"/>
    <n v="0"/>
    <n v="0"/>
    <n v="0"/>
    <n v="0"/>
    <n v="0"/>
    <n v="27564.92"/>
    <n v="0"/>
    <n v="0"/>
    <n v="0"/>
    <n v="0"/>
    <n v="0"/>
    <n v="0"/>
    <n v="0"/>
    <n v="0"/>
    <n v="27564.92"/>
    <n v="0"/>
    <n v="0"/>
  </r>
  <r>
    <x v="691"/>
    <s v="GOMUKH BALAHA W-9"/>
    <s v="MPG"/>
    <s v="Direct"/>
    <n v="908.64999999999975"/>
    <n v="34773.290000000008"/>
    <n v="896.7800000000002"/>
    <n v="34600.662985947376"/>
    <n v="11.99"/>
    <n v="457.20715550400001"/>
    <n v="908.77000000000021"/>
    <n v="35057.870141451378"/>
    <n v="34773.290000000008"/>
    <n v="1474"/>
    <n v="457.20715550400001"/>
    <n v="284.58014145136985"/>
    <n v="850"/>
    <n v="0"/>
    <n v="0"/>
    <n v="31992"/>
    <n v="0"/>
    <n v="0"/>
    <n v="0"/>
    <s v="Release2"/>
  </r>
  <r>
    <x v="949"/>
    <s v="Gomukh Namapur East"/>
    <s v="vlc"/>
    <s v="Indirect"/>
    <n v="337.85"/>
    <n v="12509.33"/>
    <n v="0"/>
    <n v="0"/>
    <n v="0"/>
    <n v="0"/>
    <n v="0"/>
    <n v="0"/>
    <n v="12509.33"/>
    <n v="0"/>
    <n v="0"/>
    <n v="0"/>
    <n v="0"/>
    <n v="0"/>
    <n v="0"/>
    <n v="0"/>
    <n v="0"/>
    <n v="12509.33"/>
    <n v="0"/>
    <n v="0"/>
  </r>
  <r>
    <x v="692"/>
    <s v="GOMUKH Madanpur W-3"/>
    <s v="MPG"/>
    <s v="Direct"/>
    <n v="1794.9"/>
    <n v="86045.280000000013"/>
    <n v="1799.1399999999999"/>
    <n v="83334.401867755791"/>
    <n v="26.09"/>
    <n v="1168.21930691019"/>
    <n v="1825.2299999999998"/>
    <n v="84502.621174665983"/>
    <n v="84502.621174665983"/>
    <n v="1038"/>
    <n v="1168.21930691019"/>
    <n v="0"/>
    <n v="0"/>
    <n v="0"/>
    <n v="0"/>
    <n v="82296"/>
    <n v="0"/>
    <n v="0"/>
    <n v="1543"/>
    <n v="0"/>
  </r>
  <r>
    <x v="693"/>
    <s v="Gomukh Namapur East (08)"/>
    <s v="vlc"/>
    <s v="Indirect"/>
    <n v="465.1"/>
    <n v="16927.189999999999"/>
    <n v="0"/>
    <n v="0"/>
    <n v="0"/>
    <n v="0"/>
    <n v="0"/>
    <n v="0"/>
    <n v="16927.189999999999"/>
    <n v="0"/>
    <n v="0"/>
    <n v="0"/>
    <n v="0"/>
    <n v="0"/>
    <n v="0"/>
    <n v="0"/>
    <n v="0"/>
    <n v="16927.189999999999"/>
    <n v="0"/>
    <n v="0"/>
  </r>
  <r>
    <x v="694"/>
    <s v="GOMUKH Kalaunjar"/>
    <s v="MPG"/>
    <s v="Direct"/>
    <n v="490.04999999999995"/>
    <n v="22774.959999999999"/>
    <n v="514.56000000000006"/>
    <n v="22696.371946036208"/>
    <n v="11.409999999999998"/>
    <n v="492.69719924370003"/>
    <n v="525.97"/>
    <n v="23189.069145279907"/>
    <n v="22774.959999999999"/>
    <n v="0"/>
    <n v="492.69719924370003"/>
    <n v="414.10914527990826"/>
    <n v="0"/>
    <n v="0"/>
    <n v="0"/>
    <n v="22282"/>
    <n v="0"/>
    <n v="0"/>
    <n v="0"/>
    <n v="0"/>
  </r>
  <r>
    <x v="695"/>
    <s v="Jitwariya W-11"/>
    <s v="vlc"/>
    <s v="Indirect"/>
    <n v="74.099999999999994"/>
    <n v="2875.2499999999995"/>
    <n v="0"/>
    <n v="0"/>
    <n v="0"/>
    <n v="0"/>
    <n v="0"/>
    <n v="0"/>
    <n v="2875.2499999999995"/>
    <n v="0"/>
    <n v="0"/>
    <n v="0"/>
    <n v="0"/>
    <n v="145.99053870967748"/>
    <n v="0"/>
    <n v="0"/>
    <n v="0"/>
    <n v="2729.2594612903222"/>
    <n v="0"/>
    <n v="0"/>
  </r>
  <r>
    <x v="696"/>
    <s v="Pastara Lakshman"/>
    <s v="vlc"/>
    <s v="Indirect"/>
    <n v="146.80000000000001"/>
    <n v="4972.33"/>
    <n v="0"/>
    <n v="0"/>
    <n v="0"/>
    <n v="0"/>
    <n v="0"/>
    <n v="0"/>
    <n v="4972.33"/>
    <n v="0"/>
    <n v="0"/>
    <n v="0"/>
    <n v="0"/>
    <n v="318.93484838709702"/>
    <n v="0"/>
    <n v="0"/>
    <n v="0"/>
    <n v="4653.3951516129027"/>
    <n v="0"/>
    <n v="0"/>
  </r>
  <r>
    <x v="697"/>
    <s v="GOMUKH DADHIYA-2"/>
    <s v="MPG"/>
    <s v="Direct"/>
    <n v="1663.3"/>
    <n v="73430.92"/>
    <n v="1683.9"/>
    <n v="72677.665092232201"/>
    <n v="21.97"/>
    <n v="994.40188830198008"/>
    <n v="1705.8700000000001"/>
    <n v="73672.066980534175"/>
    <n v="73430.92"/>
    <n v="0"/>
    <n v="994.40188830198008"/>
    <n v="241.14698053417669"/>
    <n v="0"/>
    <n v="0"/>
    <n v="0"/>
    <n v="72437"/>
    <n v="0"/>
    <n v="0"/>
    <n v="0"/>
    <n v="0"/>
  </r>
  <r>
    <x v="698"/>
    <s v="GOMUKH PREMNAGAR"/>
    <s v="MPG"/>
    <s v="Direct"/>
    <n v="1133"/>
    <n v="45730.79"/>
    <n v="1111.1799999999998"/>
    <n v="45450.355516098447"/>
    <n v="7.15"/>
    <n v="277.51932172800008"/>
    <n v="1118.33"/>
    <n v="45727.87483782645"/>
    <n v="45727.87483782645"/>
    <n v="0"/>
    <n v="277.51932172800008"/>
    <n v="0"/>
    <n v="3117"/>
    <n v="0"/>
    <n v="0"/>
    <n v="42333"/>
    <n v="0"/>
    <n v="0"/>
    <n v="3"/>
    <n v="0"/>
  </r>
  <r>
    <x v="699"/>
    <s v="GOMUKH JITWARIYA W-6"/>
    <s v="MPG"/>
    <s v="Direct"/>
    <n v="1885.1499999999999"/>
    <n v="78276.050000000017"/>
    <n v="1878.84"/>
    <n v="77230.456410752944"/>
    <n v="15.63"/>
    <n v="659.84995414800005"/>
    <n v="1894.47"/>
    <n v="77890.306364900942"/>
    <n v="77890.306364900942"/>
    <n v="0"/>
    <n v="659.84995414800005"/>
    <n v="0"/>
    <n v="3000"/>
    <n v="0"/>
    <n v="0"/>
    <n v="74230"/>
    <n v="0"/>
    <n v="0"/>
    <n v="386"/>
    <n v="0"/>
  </r>
  <r>
    <x v="700"/>
    <s v="GOMUKH SUSTA"/>
    <s v="MPG"/>
    <s v="Direct"/>
    <n v="706.8"/>
    <n v="34253.850000000006"/>
    <n v="707.47"/>
    <n v="33620.937787987044"/>
    <n v="4.79"/>
    <n v="187.28548375680001"/>
    <n v="712.26"/>
    <n v="33808.223271743846"/>
    <n v="33808.223271743846"/>
    <n v="0"/>
    <n v="187.28548375680001"/>
    <n v="0"/>
    <n v="1031"/>
    <n v="0"/>
    <n v="0"/>
    <n v="32589"/>
    <n v="0"/>
    <n v="0"/>
    <n v="447"/>
    <n v="0"/>
  </r>
  <r>
    <x v="950"/>
    <s v="DIH LAHI"/>
    <s v="vlc"/>
    <s v="Indirect"/>
    <n v="1998.6"/>
    <n v="90672.590000000011"/>
    <n v="0"/>
    <n v="0"/>
    <n v="0"/>
    <n v="0"/>
    <n v="0"/>
    <n v="0"/>
    <n v="90672.590000000011"/>
    <n v="0"/>
    <n v="0"/>
    <n v="0"/>
    <n v="0"/>
    <n v="0"/>
    <n v="0"/>
    <n v="0"/>
    <n v="0"/>
    <n v="90672.590000000011"/>
    <n v="0"/>
    <n v="0"/>
  </r>
  <r>
    <x v="702"/>
    <s v="BHATGAMA W-5"/>
    <s v="vlc"/>
    <s v="Indirect"/>
    <n v="237.32"/>
    <n v="8589.5400000000009"/>
    <n v="0"/>
    <n v="0"/>
    <n v="0"/>
    <n v="0"/>
    <n v="0"/>
    <n v="0"/>
    <n v="8589.5400000000009"/>
    <n v="0"/>
    <n v="0"/>
    <n v="0"/>
    <n v="0"/>
    <n v="0"/>
    <n v="0"/>
    <n v="0"/>
    <n v="0"/>
    <n v="8589.5400000000009"/>
    <n v="0"/>
    <n v="0"/>
  </r>
  <r>
    <x v="703"/>
    <s v="GOMUKH TOKE"/>
    <s v="MPG"/>
    <s v="Direct"/>
    <n v="275.5"/>
    <n v="12859.02"/>
    <n v="276.5"/>
    <n v="12838.547698979011"/>
    <n v="6.25"/>
    <n v="267.39758705760005"/>
    <n v="282.75"/>
    <n v="13105.945286036611"/>
    <n v="12859.02"/>
    <n v="0"/>
    <n v="267.39758705760005"/>
    <n v="246.92528603661049"/>
    <n v="0"/>
    <n v="15.091161290322447"/>
    <n v="0"/>
    <n v="12577"/>
    <n v="0"/>
    <n v="0"/>
    <n v="0"/>
    <n v="0"/>
  </r>
  <r>
    <x v="704"/>
    <s v="GOMUKH SHIVNAGAR"/>
    <s v="MPG"/>
    <s v="Direct"/>
    <n v="1127.1500000000003"/>
    <n v="46130.590000000004"/>
    <n v="893.75"/>
    <n v="35161.192284684119"/>
    <n v="251.3"/>
    <n v="10838.631326823348"/>
    <n v="1145.05"/>
    <n v="45999.823611507469"/>
    <n v="45999.823611507469"/>
    <n v="0"/>
    <n v="896.5882500852"/>
    <n v="0"/>
    <n v="3404"/>
    <n v="0"/>
    <n v="0"/>
    <n v="31756"/>
    <n v="9942"/>
    <n v="0"/>
    <n v="132"/>
    <n v="0"/>
  </r>
  <r>
    <x v="705"/>
    <s v="GOMUKH BAKHITIYARPUR"/>
    <s v="MPG"/>
    <s v="Direct"/>
    <n v="1096.8500000000001"/>
    <n v="50530.46"/>
    <n v="1080.4000000000001"/>
    <n v="49448.123500227593"/>
    <n v="18"/>
    <n v="797.47568505689992"/>
    <n v="1098.4000000000001"/>
    <n v="50245.599185284496"/>
    <n v="50245.599185284496"/>
    <n v="0"/>
    <n v="797.47568505689992"/>
    <n v="0"/>
    <n v="596"/>
    <n v="0"/>
    <n v="0"/>
    <n v="48851"/>
    <n v="0"/>
    <n v="0"/>
    <n v="286"/>
    <n v="0"/>
  </r>
  <r>
    <x v="706"/>
    <s v="GOMUKH BHARJA"/>
    <s v="MPG"/>
    <s v="Direct"/>
    <n v="386.15000000000003"/>
    <n v="21588.440000000002"/>
    <n v="393.2"/>
    <n v="20619.352055002604"/>
    <n v="0"/>
    <n v="0"/>
    <n v="393.2"/>
    <n v="20619.352055002604"/>
    <n v="20619.352055002604"/>
    <n v="0"/>
    <n v="0"/>
    <n v="0"/>
    <n v="19718"/>
    <n v="901.52942903225835"/>
    <n v="0"/>
    <n v="0"/>
    <n v="0"/>
    <n v="0"/>
    <n v="969"/>
    <n v="0"/>
  </r>
  <r>
    <x v="707"/>
    <s v="GOMUKH NAWABGANJ"/>
    <s v="MPG"/>
    <s v="Direct"/>
    <n v="624.30000000000007"/>
    <n v="26471.579999999998"/>
    <n v="617.09999999999991"/>
    <n v="25637.942240337161"/>
    <n v="7.4999999999999991"/>
    <n v="335.49671478599998"/>
    <n v="624.59999999999991"/>
    <n v="25973.438955123162"/>
    <n v="25973.438955123162"/>
    <n v="0"/>
    <n v="335.49671478599998"/>
    <n v="0"/>
    <n v="0"/>
    <n v="0"/>
    <n v="0"/>
    <n v="25637"/>
    <n v="0"/>
    <n v="0"/>
    <n v="499"/>
    <n v="0"/>
  </r>
  <r>
    <x v="708"/>
    <s v="GOMUKH CHAKKI"/>
    <s v="MPG"/>
    <s v="Direct"/>
    <n v="224.1"/>
    <n v="9389.6999999999989"/>
    <n v="194.60000000000002"/>
    <n v="8478.8495281385003"/>
    <n v="1.7000000000000002"/>
    <n v="73.248682320000015"/>
    <n v="196.3"/>
    <n v="8552.0982104585"/>
    <n v="8552.0982104585"/>
    <n v="0"/>
    <n v="73.248682320000015"/>
    <n v="0"/>
    <n v="700"/>
    <n v="113.1298838709677"/>
    <n v="0"/>
    <n v="7665"/>
    <n v="0"/>
    <n v="0"/>
    <n v="838"/>
    <n v="0"/>
  </r>
  <r>
    <x v="709"/>
    <s v="GOMUKH LAKSHMAN NAGAR"/>
    <s v="MPG"/>
    <s v="Direct"/>
    <n v="325.8"/>
    <n v="14445.650000000001"/>
    <n v="337.69999999999993"/>
    <n v="14685.876400095502"/>
    <n v="2.1"/>
    <n v="90.638206872840001"/>
    <n v="339.79999999999995"/>
    <n v="14776.514606968341"/>
    <n v="14445.650000000001"/>
    <n v="0"/>
    <n v="90.638206872840001"/>
    <n v="330.86460696834001"/>
    <n v="5296"/>
    <n v="0"/>
    <n v="0"/>
    <n v="9059"/>
    <n v="0"/>
    <n v="0"/>
    <n v="0"/>
    <n v="0"/>
  </r>
  <r>
    <x v="710"/>
    <s v="GOMUKH KOTHIYA"/>
    <s v="MPG"/>
    <s v="Direct"/>
    <n v="105.3"/>
    <n v="4341.7999999999993"/>
    <n v="100"/>
    <n v="3782.3094812660306"/>
    <n v="0"/>
    <n v="0"/>
    <n v="100"/>
    <n v="3782.3094812660306"/>
    <n v="3782.3094812660306"/>
    <n v="0"/>
    <n v="0"/>
    <n v="0"/>
    <n v="0"/>
    <n v="0"/>
    <n v="0"/>
    <n v="3782"/>
    <n v="0"/>
    <n v="0"/>
    <n v="560"/>
    <n v="0"/>
  </r>
  <r>
    <x v="711"/>
    <s v="GOMUKH JHAHURI"/>
    <s v="MPG"/>
    <s v="Direct"/>
    <n v="2423.7999999999997"/>
    <n v="107301.08"/>
    <n v="2405.7999999999997"/>
    <n v="106193.45859323822"/>
    <n v="26.999999999999996"/>
    <n v="1168.5203402400002"/>
    <n v="2432.7999999999997"/>
    <n v="107361.97893347821"/>
    <n v="107301.08"/>
    <n v="0"/>
    <n v="1168.5203402400002"/>
    <n v="60.898933478209074"/>
    <n v="22500"/>
    <n v="0"/>
    <n v="0"/>
    <n v="83633"/>
    <n v="0"/>
    <n v="0"/>
    <n v="0"/>
    <n v="0"/>
  </r>
  <r>
    <x v="712"/>
    <s v="GOMUKH Gopalpur Ward 1"/>
    <s v="MPG"/>
    <s v="Direct"/>
    <n v="151.35000000000002"/>
    <n v="6066.1799999999994"/>
    <n v="152.09"/>
    <n v="5708.613007152001"/>
    <n v="1.24"/>
    <n v="47.249453196000005"/>
    <n v="153.33000000000001"/>
    <n v="5755.8624603480012"/>
    <n v="5755.8624603480012"/>
    <n v="0"/>
    <n v="47.249453196000005"/>
    <n v="0"/>
    <n v="0"/>
    <n v="0"/>
    <n v="0"/>
    <n v="5709"/>
    <n v="0"/>
    <n v="0"/>
    <n v="310"/>
    <n v="0"/>
  </r>
  <r>
    <x v="713"/>
    <s v="GOMUKH Keotsa"/>
    <s v="MPG"/>
    <s v="Direct"/>
    <n v="416.05"/>
    <n v="15747.81"/>
    <n v="408.32000000000005"/>
    <n v="15076.67217967143"/>
    <n v="7.15"/>
    <n v="285.7099901040001"/>
    <n v="415.47"/>
    <n v="15362.38216977543"/>
    <n v="15362.38216977543"/>
    <n v="0"/>
    <n v="285.7099901040001"/>
    <n v="0"/>
    <n v="0"/>
    <n v="0"/>
    <n v="0"/>
    <n v="15077"/>
    <n v="0"/>
    <n v="0"/>
    <n v="385"/>
    <n v="0"/>
  </r>
  <r>
    <x v="714"/>
    <s v="Gomukh Namapur East"/>
    <s v="vlc"/>
    <s v="Indirect"/>
    <n v="263.2"/>
    <n v="14680.82"/>
    <n v="0"/>
    <n v="0"/>
    <n v="0"/>
    <n v="0"/>
    <n v="0"/>
    <n v="0"/>
    <n v="14680.82"/>
    <n v="0"/>
    <n v="0"/>
    <n v="0"/>
    <n v="0"/>
    <n v="0"/>
    <n v="0"/>
    <n v="0"/>
    <n v="0"/>
    <n v="14680.82"/>
    <n v="0"/>
    <n v="0"/>
  </r>
  <r>
    <x v="715"/>
    <s v="GOMUKH Waini"/>
    <s v="MPG"/>
    <s v="Direct"/>
    <n v="193.85000000000002"/>
    <n v="7741.3100000000013"/>
    <n v="190.68"/>
    <n v="7380.8999344708345"/>
    <n v="4.1899999999999995"/>
    <n v="157.76968917600001"/>
    <n v="194.87"/>
    <n v="7538.6696236468342"/>
    <n v="7538.6696236468342"/>
    <n v="0"/>
    <n v="157.76968917600001"/>
    <n v="0"/>
    <n v="0"/>
    <n v="0"/>
    <n v="0"/>
    <n v="7381"/>
    <n v="0"/>
    <n v="0"/>
    <n v="203"/>
    <n v="0"/>
  </r>
  <r>
    <x v="716"/>
    <s v="GOMUKH SAKARI"/>
    <s v="MPG"/>
    <s v="Direct"/>
    <n v="1561.5499999999997"/>
    <n v="64555.070000000014"/>
    <n v="1551.68"/>
    <n v="63770.731571584431"/>
    <n v="10.74"/>
    <n v="461.49474135599996"/>
    <n v="1562.42"/>
    <n v="64232.226312940431"/>
    <n v="64232.226312940431"/>
    <n v="0"/>
    <n v="461.49474135599996"/>
    <n v="0"/>
    <n v="15000"/>
    <n v="0"/>
    <n v="0"/>
    <n v="48771"/>
    <n v="0"/>
    <n v="0"/>
    <n v="323"/>
    <n v="0"/>
  </r>
  <r>
    <x v="717"/>
    <s v="GOMUKH DHOBGAMA"/>
    <s v="MPG"/>
    <s v="Direct"/>
    <n v="785.6"/>
    <n v="31173.41"/>
    <n v="762.43000000000006"/>
    <n v="29107.411301967826"/>
    <n v="18.52"/>
    <n v="705.6802803600001"/>
    <n v="780.95"/>
    <n v="29813.091582327826"/>
    <n v="29813.091582327826"/>
    <n v="0"/>
    <n v="705.6802803600001"/>
    <n v="0"/>
    <n v="0"/>
    <n v="0"/>
    <n v="0"/>
    <n v="29106"/>
    <n v="0"/>
    <n v="0"/>
    <n v="1362"/>
    <n v="0"/>
  </r>
  <r>
    <x v="718"/>
    <s v="GOMUKH BHUSKOUL"/>
    <s v="MPG"/>
    <s v="Direct"/>
    <n v="677.35"/>
    <n v="27028.33"/>
    <n v="671.10999999999967"/>
    <n v="26070.226043700313"/>
    <n v="12.330000000000002"/>
    <n v="495.14841486"/>
    <n v="683.43999999999971"/>
    <n v="26565.374458560313"/>
    <n v="26565.374458560313"/>
    <n v="0"/>
    <n v="495.14841486"/>
    <n v="0"/>
    <n v="1500"/>
    <n v="0"/>
    <n v="0"/>
    <n v="24571"/>
    <n v="0"/>
    <n v="0"/>
    <n v="462"/>
    <s v="Release2"/>
  </r>
  <r>
    <x v="719"/>
    <s v="GOMUKH BIRSINGHPUR"/>
    <s v="MPG"/>
    <s v="Direct"/>
    <n v="324.75"/>
    <n v="12805.150000000001"/>
    <n v="324.13"/>
    <n v="12770.88865866"/>
    <n v="0.54999999999999993"/>
    <n v="21.807015120000003"/>
    <n v="324.68"/>
    <n v="12792.695673780001"/>
    <n v="12792.695673780001"/>
    <n v="0"/>
    <n v="21.807015120000003"/>
    <n v="0"/>
    <n v="0"/>
    <n v="0"/>
    <n v="0"/>
    <n v="12771"/>
    <n v="0"/>
    <n v="0"/>
    <n v="12"/>
    <n v="0"/>
  </r>
  <r>
    <x v="720"/>
    <s v="GOMUKH GHOSRAWAN"/>
    <s v="MPG"/>
    <s v="Direct"/>
    <n v="511.74999999999994"/>
    <n v="20178.370000000003"/>
    <n v="509.02000000000004"/>
    <n v="19940.289717150004"/>
    <n v="4.04"/>
    <n v="156.14670915360003"/>
    <n v="513.06000000000006"/>
    <n v="20096.436426303604"/>
    <n v="20096.436426303604"/>
    <n v="0"/>
    <n v="156.14670915360003"/>
    <n v="0"/>
    <n v="0"/>
    <n v="0"/>
    <n v="0"/>
    <n v="19941"/>
    <n v="0"/>
    <n v="0"/>
    <n v="81"/>
    <n v="0"/>
  </r>
  <r>
    <x v="951"/>
    <s v="GOMUKH BANDRA W-9"/>
    <s v="MPG"/>
    <s v="Direct"/>
    <n v="47.15"/>
    <n v="2333.0500000000002"/>
    <n v="47.36"/>
    <n v="2330.9290936001598"/>
    <n v="0"/>
    <n v="0"/>
    <n v="47.36"/>
    <n v="2330.9290936001598"/>
    <n v="2330.9290936001598"/>
    <n v="0"/>
    <n v="0"/>
    <n v="0"/>
    <n v="0"/>
    <n v="0"/>
    <n v="0"/>
    <n v="2332"/>
    <n v="0"/>
    <n v="0"/>
    <n v="1"/>
    <n v="0"/>
  </r>
  <r>
    <x v="721"/>
    <s v="GOMUKH DHROOVGAMA W-12"/>
    <s v="vlc"/>
    <s v="Indirect"/>
    <n v="291.10000000000002"/>
    <n v="10856.06"/>
    <n v="0"/>
    <n v="0"/>
    <n v="0"/>
    <n v="0"/>
    <n v="0"/>
    <n v="0"/>
    <n v="10856.06"/>
    <n v="0"/>
    <n v="0"/>
    <n v="0"/>
    <n v="0"/>
    <n v="0"/>
    <n v="0"/>
    <n v="0"/>
    <n v="0"/>
    <n v="10856.06"/>
    <n v="0"/>
    <n v="0"/>
  </r>
  <r>
    <x v="722"/>
    <s v="GOMUKH ANANDPUR PARAS 2"/>
    <s v="MPG"/>
    <s v="Direct"/>
    <n v="2545.3000000000002"/>
    <n v="102602.26999999999"/>
    <n v="2545.2999999999997"/>
    <n v="102594.56718060002"/>
    <n v="0"/>
    <n v="0"/>
    <n v="2545.2999999999997"/>
    <n v="102594.56718060002"/>
    <n v="102594.56718060002"/>
    <n v="0"/>
    <n v="0"/>
    <n v="0"/>
    <n v="0"/>
    <n v="0"/>
    <n v="0"/>
    <n v="102595"/>
    <n v="0"/>
    <n v="0"/>
    <n v="7"/>
    <n v="0"/>
  </r>
  <r>
    <x v="723"/>
    <s v="GOMUKH GADBANNI"/>
    <s v="MPG"/>
    <s v="Direct"/>
    <n v="266"/>
    <n v="10787.94"/>
    <n v="302.8"/>
    <n v="12147.146230534683"/>
    <n v="0"/>
    <n v="0"/>
    <n v="302.8"/>
    <n v="12147.146230534683"/>
    <n v="10787.94"/>
    <n v="0"/>
    <n v="0"/>
    <n v="1359.2062305346826"/>
    <n v="0"/>
    <n v="155.61000000000001"/>
    <n v="0"/>
    <n v="10632"/>
    <n v="0"/>
    <n v="0"/>
    <n v="0"/>
    <s v="Release1"/>
  </r>
  <r>
    <x v="724"/>
    <s v="GOMUKH PARRI"/>
    <s v="MPG"/>
    <s v="Direct"/>
    <n v="154.90000000000003"/>
    <n v="7261.55"/>
    <n v="167.19"/>
    <n v="9157.8803913143693"/>
    <n v="0"/>
    <n v="0"/>
    <n v="167.19"/>
    <n v="9157.8803913143693"/>
    <n v="7261.55"/>
    <n v="0"/>
    <n v="0"/>
    <n v="1896.3303913143691"/>
    <n v="1008"/>
    <n v="97.89"/>
    <n v="0"/>
    <n v="6156"/>
    <n v="0"/>
    <n v="0"/>
    <n v="0"/>
    <s v="Release2"/>
  </r>
  <r>
    <x v="725"/>
    <s v="GOMUKH BHIKHARI GHAT"/>
    <s v="MPG"/>
    <s v="Direct"/>
    <n v="1008.1999999999998"/>
    <n v="41390.03"/>
    <n v="1041.7599999999998"/>
    <n v="42878.978346640557"/>
    <n v="0"/>
    <n v="0"/>
    <n v="1041.7599999999998"/>
    <n v="42878.978346640557"/>
    <n v="41390.03"/>
    <n v="0"/>
    <n v="0"/>
    <n v="1488.9483466405582"/>
    <n v="0"/>
    <n v="1048.48"/>
    <n v="0"/>
    <n v="40341"/>
    <n v="0"/>
    <n v="0"/>
    <n v="1"/>
    <s v="Release1"/>
  </r>
  <r>
    <x v="726"/>
    <s v="Vikash Kumar"/>
    <s v="vlc"/>
    <s v="Indirect"/>
    <n v="2709.2"/>
    <n v="109740.98"/>
    <n v="0"/>
    <n v="0"/>
    <n v="0"/>
    <n v="0"/>
    <n v="0"/>
    <n v="0"/>
    <n v="109740.98"/>
    <n v="0"/>
    <n v="0"/>
    <n v="0"/>
    <n v="0"/>
    <n v="0"/>
    <n v="0"/>
    <n v="0"/>
    <n v="0"/>
    <n v="109740.98"/>
    <n v="0"/>
    <n v="0"/>
  </r>
  <r>
    <x v="727"/>
    <s v="Rajkishore Yadav"/>
    <s v="vlc"/>
    <s v="Indirect"/>
    <n v="285.7"/>
    <n v="9714.73"/>
    <n v="0"/>
    <n v="0"/>
    <n v="0"/>
    <n v="0"/>
    <n v="0"/>
    <n v="0"/>
    <n v="9714.73"/>
    <n v="0"/>
    <n v="0"/>
    <n v="0"/>
    <n v="0"/>
    <n v="0"/>
    <n v="0"/>
    <n v="0"/>
    <n v="0"/>
    <n v="9714.73"/>
    <n v="0"/>
    <n v="0"/>
  </r>
  <r>
    <x v="728"/>
    <s v="BHADAS VLC"/>
    <s v="vlc"/>
    <s v="Indirect"/>
    <n v="55.100000000000009"/>
    <n v="2216.14"/>
    <n v="0"/>
    <n v="0"/>
    <n v="0"/>
    <n v="0"/>
    <n v="0"/>
    <n v="0"/>
    <n v="2216.14"/>
    <n v="0"/>
    <n v="0"/>
    <n v="0"/>
    <n v="0"/>
    <n v="0"/>
    <n v="0"/>
    <n v="0"/>
    <n v="0"/>
    <n v="2216.14"/>
    <n v="0"/>
    <n v="0"/>
  </r>
  <r>
    <x v="952"/>
    <s v="SUNIL KUMAR VLC"/>
    <s v="vlc"/>
    <s v="Indirect"/>
    <n v="71"/>
    <n v="2737.05"/>
    <n v="0"/>
    <n v="0"/>
    <n v="0"/>
    <n v="0"/>
    <n v="0"/>
    <n v="0"/>
    <n v="2737.05"/>
    <n v="0"/>
    <n v="0"/>
    <n v="0"/>
    <n v="0"/>
    <n v="873.31573548387109"/>
    <n v="0"/>
    <n v="0"/>
    <n v="0"/>
    <n v="1863.7342645161291"/>
    <n v="0"/>
    <n v="0"/>
  </r>
  <r>
    <x v="729"/>
    <s v="GOMUKH BENHER"/>
    <s v="MPG"/>
    <s v="Direct"/>
    <n v="322.89999999999998"/>
    <n v="16942.309999999998"/>
    <n v="329.63000000000005"/>
    <n v="16778.646396962697"/>
    <n v="0.8899999999999999"/>
    <n v="48.545026764397996"/>
    <n v="330.52000000000004"/>
    <n v="16827.191423727094"/>
    <n v="16827.191423727094"/>
    <n v="0"/>
    <n v="48.545026764397996"/>
    <n v="0"/>
    <n v="0"/>
    <n v="0"/>
    <n v="0"/>
    <n v="16778"/>
    <n v="0"/>
    <n v="0"/>
    <n v="116"/>
    <n v="0"/>
  </r>
  <r>
    <x v="730"/>
    <s v="GOMUKH LADORA"/>
    <s v="MPG"/>
    <s v="Direct"/>
    <n v="785"/>
    <n v="29143.05"/>
    <n v="887.40999999999985"/>
    <n v="40310.035271346482"/>
    <n v="0"/>
    <n v="0"/>
    <n v="887.40999999999985"/>
    <n v="40310.035271346482"/>
    <n v="29143.05"/>
    <n v="0"/>
    <n v="0"/>
    <n v="11166.985271346482"/>
    <n v="0"/>
    <n v="0"/>
    <n v="0"/>
    <n v="29143"/>
    <n v="0"/>
    <n v="0"/>
    <n v="0"/>
    <n v="0"/>
  </r>
  <r>
    <x v="731"/>
    <s v="GOMUKH SAHSI"/>
    <s v="MPG"/>
    <s v="Direct"/>
    <n v="185.49999999999997"/>
    <n v="8088.8799999999974"/>
    <n v="220.46"/>
    <n v="9486.2408229716857"/>
    <n v="0"/>
    <n v="0"/>
    <n v="220.46"/>
    <n v="9486.2408229716857"/>
    <n v="8088.8799999999974"/>
    <n v="0"/>
    <n v="0"/>
    <n v="1397.3608229716883"/>
    <n v="0"/>
    <n v="0"/>
    <n v="0"/>
    <n v="8089"/>
    <n v="0"/>
    <n v="0"/>
    <n v="0"/>
    <n v="0"/>
  </r>
  <r>
    <x v="732"/>
    <s v="Gomukh Chikni"/>
    <s v="MPG"/>
    <s v="Direct"/>
    <n v="178.20000000000002"/>
    <n v="6756.4799999999987"/>
    <n v="177.53000000000003"/>
    <n v="6597.0647404200017"/>
    <n v="0"/>
    <n v="0"/>
    <n v="177.53000000000003"/>
    <n v="6597.0647404200017"/>
    <n v="6597.0647404200017"/>
    <n v="0"/>
    <n v="0"/>
    <n v="0"/>
    <n v="0"/>
    <n v="0"/>
    <n v="0"/>
    <n v="6597"/>
    <n v="0"/>
    <n v="0"/>
    <n v="159"/>
    <n v="0"/>
  </r>
  <r>
    <x v="733"/>
    <s v="GOMUKH BUDWA"/>
    <s v="MPG"/>
    <s v="Direct"/>
    <n v="124.10000000000001"/>
    <n v="4410.2400000000007"/>
    <n v="126.38000000000001"/>
    <n v="4460.5991868325164"/>
    <n v="0"/>
    <n v="0"/>
    <n v="126.38000000000001"/>
    <n v="4460.5991868325164"/>
    <n v="4410.2400000000007"/>
    <n v="0"/>
    <n v="0"/>
    <n v="50.359186832515661"/>
    <n v="0"/>
    <n v="2.0699999999999998"/>
    <n v="0"/>
    <n v="4407"/>
    <n v="0"/>
    <n v="0"/>
    <n v="1"/>
    <s v="Release1"/>
  </r>
  <r>
    <x v="734"/>
    <s v="GOMUKH GANGIYA"/>
    <s v="MPG"/>
    <s v="Indirect"/>
    <n v="482.19999999999993"/>
    <n v="17917.27"/>
    <n v="0"/>
    <n v="0"/>
    <n v="0"/>
    <n v="0"/>
    <n v="0"/>
    <n v="0"/>
    <n v="17917.27"/>
    <n v="0"/>
    <n v="0"/>
    <n v="0"/>
    <n v="0"/>
    <n v="204.27990000000051"/>
    <n v="0"/>
    <n v="0"/>
    <n v="0"/>
    <n v="17712.990099999999"/>
    <n v="0"/>
    <n v="0"/>
  </r>
  <r>
    <x v="735"/>
    <s v="GOMUKH AMBA ICHARUA"/>
    <s v="MPG"/>
    <s v="Direct"/>
    <n v="568"/>
    <n v="23120.030000000002"/>
    <n v="266.89999999999998"/>
    <n v="11323.021672503002"/>
    <n v="425.76000000000005"/>
    <n v="18243.853628156601"/>
    <n v="692.66000000000008"/>
    <n v="29566.875300659602"/>
    <n v="23120.030000000002"/>
    <n v="0"/>
    <n v="0"/>
    <n v="6446.8453006595992"/>
    <n v="0"/>
    <n v="0"/>
    <n v="0"/>
    <n v="4876"/>
    <n v="18244"/>
    <n v="0"/>
    <n v="0"/>
    <n v="0"/>
  </r>
  <r>
    <x v="736"/>
    <s v="RAJAURA VLC"/>
    <s v="vlc"/>
    <s v="Indirect"/>
    <n v="343.20000000000005"/>
    <n v="13037.62"/>
    <n v="0"/>
    <n v="0"/>
    <n v="0"/>
    <n v="0"/>
    <n v="0"/>
    <n v="0"/>
    <n v="13037.62"/>
    <n v="0"/>
    <n v="0"/>
    <n v="0"/>
    <n v="0"/>
    <n v="0"/>
    <n v="0"/>
    <n v="0"/>
    <n v="0"/>
    <n v="13037.62"/>
    <n v="0"/>
    <n v="0"/>
  </r>
  <r>
    <x v="737"/>
    <s v="GOMUKH JWALAPUR"/>
    <s v="MPG"/>
    <s v="Direct"/>
    <n v="201.5"/>
    <n v="7558.97"/>
    <n v="265"/>
    <n v="10984.017330000002"/>
    <n v="0"/>
    <n v="0"/>
    <n v="265"/>
    <n v="10984.017330000002"/>
    <n v="7558.97"/>
    <n v="0"/>
    <n v="0"/>
    <n v="3425.0473300000021"/>
    <n v="0"/>
    <n v="0"/>
    <n v="0"/>
    <n v="7559"/>
    <n v="0"/>
    <n v="0"/>
    <n v="0"/>
    <n v="0"/>
  </r>
  <r>
    <x v="738"/>
    <s v="GOMUKH MATHURAPUR"/>
    <s v="MPG"/>
    <s v="Direct"/>
    <n v="319.7"/>
    <n v="12189.36"/>
    <n v="700"/>
    <n v="30908.590020000003"/>
    <n v="0"/>
    <n v="0"/>
    <n v="700"/>
    <n v="30908.590020000003"/>
    <n v="12189.36"/>
    <n v="0"/>
    <n v="0"/>
    <n v="18719.230020000003"/>
    <n v="0"/>
    <n v="0"/>
    <n v="0"/>
    <n v="12189"/>
    <n v="0"/>
    <n v="0"/>
    <n v="0"/>
    <n v="0"/>
  </r>
  <r>
    <x v="739"/>
    <s v="VLC Dhushmuri Bishanpur"/>
    <s v="vlc"/>
    <s v="Indirect"/>
    <n v="565.70000000000005"/>
    <n v="18449.849999999999"/>
    <n v="0"/>
    <n v="0"/>
    <n v="0"/>
    <n v="0"/>
    <n v="0"/>
    <n v="0"/>
    <n v="18449.849999999999"/>
    <n v="0"/>
    <n v="0"/>
    <n v="0"/>
    <n v="0"/>
    <n v="0"/>
    <n v="0"/>
    <n v="0"/>
    <n v="0"/>
    <n v="18449.849999999999"/>
    <n v="0"/>
    <n v="0"/>
  </r>
  <r>
    <x v="953"/>
    <s v="VLC Govindpur"/>
    <s v="vlc"/>
    <s v="Indirect"/>
    <n v="426.59999999999997"/>
    <n v="14973.080000000002"/>
    <n v="0"/>
    <n v="0"/>
    <n v="0"/>
    <n v="0"/>
    <n v="0"/>
    <n v="0"/>
    <n v="14973.080000000002"/>
    <n v="0"/>
    <n v="0"/>
    <n v="0"/>
    <n v="0"/>
    <n v="206.93032258064522"/>
    <n v="0"/>
    <n v="0"/>
    <n v="0"/>
    <n v="14766.149677419357"/>
    <n v="0"/>
    <n v="0"/>
  </r>
  <r>
    <x v="740"/>
    <s v="Gomukh Darhi Mor"/>
    <s v="MPG"/>
    <s v="Indirect"/>
    <n v="120.19999999999999"/>
    <n v="4229.95"/>
    <n v="0"/>
    <n v="0"/>
    <n v="0"/>
    <n v="0"/>
    <n v="0"/>
    <n v="0"/>
    <n v="4229.95"/>
    <n v="0"/>
    <n v="0"/>
    <n v="0"/>
    <n v="0"/>
    <n v="125.25769411764705"/>
    <n v="0"/>
    <n v="0"/>
    <n v="0"/>
    <n v="4104.6923058823531"/>
    <n v="0"/>
    <n v="0"/>
  </r>
  <r>
    <x v="741"/>
    <s v="Gomukh Balaur"/>
    <s v="MPG"/>
    <s v="Direct"/>
    <n v="1373.2000000000003"/>
    <n v="69517.67"/>
    <n v="700"/>
    <n v="44600.728249"/>
    <n v="0"/>
    <n v="0"/>
    <n v="700"/>
    <n v="44600.728249"/>
    <n v="44600.728249"/>
    <n v="0"/>
    <n v="0"/>
    <n v="0"/>
    <n v="0"/>
    <n v="0"/>
    <n v="0"/>
    <n v="44601"/>
    <n v="0"/>
    <n v="24917"/>
    <n v="0"/>
    <n v="0"/>
  </r>
  <r>
    <x v="742"/>
    <s v="Gomukh Hathwan - 2"/>
    <s v="MPG"/>
    <s v="Direct"/>
    <n v="421"/>
    <n v="15503.430000000002"/>
    <n v="466"/>
    <n v="19315.290852000002"/>
    <n v="0"/>
    <n v="0"/>
    <n v="466"/>
    <n v="19315.290852000002"/>
    <n v="15503.430000000002"/>
    <n v="0"/>
    <n v="0"/>
    <n v="3811.8608519999998"/>
    <n v="0"/>
    <n v="0"/>
    <n v="0"/>
    <n v="15503"/>
    <n v="0"/>
    <n v="0"/>
    <n v="0"/>
    <n v="0"/>
  </r>
  <r>
    <x v="743"/>
    <s v="VLC Sunil Khas"/>
    <s v="vlc"/>
    <s v="Indirect"/>
    <n v="387.4"/>
    <n v="16216.72"/>
    <n v="0"/>
    <n v="0"/>
    <n v="0"/>
    <n v="0"/>
    <n v="0"/>
    <n v="0"/>
    <n v="16216.72"/>
    <n v="0"/>
    <n v="0"/>
    <n v="0"/>
    <n v="0"/>
    <n v="0"/>
    <n v="0"/>
    <n v="0"/>
    <n v="0"/>
    <n v="16216.72"/>
    <n v="0"/>
    <n v="0"/>
  </r>
  <r>
    <x v="744"/>
    <s v="Gomukh Hathwan "/>
    <s v="MPG"/>
    <s v="Direct"/>
    <n v="167.79999999999998"/>
    <n v="7919.8600000000006"/>
    <n v="283.44000000000005"/>
    <n v="16604.650893717004"/>
    <n v="0"/>
    <n v="0"/>
    <n v="283.44000000000005"/>
    <n v="16604.650893717004"/>
    <n v="7919.8600000000006"/>
    <n v="0"/>
    <n v="0"/>
    <n v="8684.7908937170032"/>
    <n v="6750"/>
    <n v="0"/>
    <n v="0"/>
    <n v="1170"/>
    <n v="0"/>
    <n v="0"/>
    <n v="0"/>
    <s v="Release2"/>
  </r>
  <r>
    <x v="745"/>
    <s v="Gomukh Rahul VLC"/>
    <s v="vlc"/>
    <s v="Indirect"/>
    <n v="749.9"/>
    <n v="31453.479999999996"/>
    <n v="0"/>
    <n v="0"/>
    <n v="0"/>
    <n v="0"/>
    <n v="0"/>
    <n v="0"/>
    <n v="31453.479999999996"/>
    <n v="0"/>
    <n v="0"/>
    <n v="0"/>
    <n v="0"/>
    <n v="0"/>
    <n v="0"/>
    <n v="0"/>
    <n v="0"/>
    <n v="31453.479999999996"/>
    <n v="0"/>
    <n v="0"/>
  </r>
  <r>
    <x v="954"/>
    <s v="Gomukh Sachin VLC"/>
    <s v="vlc"/>
    <s v="Indirect"/>
    <n v="419.70000000000005"/>
    <n v="15164.75"/>
    <n v="0"/>
    <n v="0"/>
    <n v="0"/>
    <n v="0"/>
    <n v="0"/>
    <n v="0"/>
    <n v="15164.75"/>
    <n v="0"/>
    <n v="0"/>
    <n v="0"/>
    <n v="0"/>
    <n v="0"/>
    <n v="0"/>
    <n v="0"/>
    <n v="0"/>
    <n v="15164.75"/>
    <n v="0"/>
    <n v="0"/>
  </r>
  <r>
    <x v="746"/>
    <s v="Balahpur-Anil Yadav"/>
    <s v="vlc"/>
    <s v="Indirect"/>
    <n v="33020"/>
    <n v="1179602.6600000001"/>
    <n v="0"/>
    <n v="0"/>
    <n v="0"/>
    <n v="0"/>
    <n v="0"/>
    <n v="0"/>
    <n v="1179602.6600000001"/>
    <n v="0"/>
    <n v="0"/>
    <n v="0"/>
    <n v="0"/>
    <n v="0"/>
    <n v="0"/>
    <n v="0"/>
    <n v="0"/>
    <n v="1179602.6600000001"/>
    <n v="0"/>
    <n v="0"/>
  </r>
  <r>
    <x v="747"/>
    <s v="Bagdobh"/>
    <s v="vlc"/>
    <s v="Indirect"/>
    <n v="176.10000000000002"/>
    <n v="6283.9000000000005"/>
    <n v="0"/>
    <n v="0"/>
    <n v="0"/>
    <n v="0"/>
    <n v="0"/>
    <n v="0"/>
    <n v="6283.9000000000005"/>
    <n v="0"/>
    <n v="0"/>
    <n v="0"/>
    <n v="0"/>
    <n v="0"/>
    <n v="0"/>
    <n v="0"/>
    <n v="0"/>
    <n v="6283.9000000000005"/>
    <n v="0"/>
    <n v="0"/>
  </r>
  <r>
    <x v="955"/>
    <s v="Gokhle Nagar"/>
    <s v="MPG"/>
    <s v="Direct"/>
    <n v="24.700000000000003"/>
    <n v="866.47"/>
    <n v="19"/>
    <n v="667.14931800000011"/>
    <n v="0"/>
    <n v="0"/>
    <n v="19"/>
    <n v="667.14931800000011"/>
    <n v="667.14931800000011"/>
    <n v="0"/>
    <n v="0"/>
    <n v="0"/>
    <n v="0"/>
    <n v="41.284531034482768"/>
    <n v="0"/>
    <n v="626"/>
    <n v="0"/>
    <n v="0"/>
    <n v="199"/>
    <n v="0"/>
  </r>
  <r>
    <x v="748"/>
    <s v="Gomukh Matihani"/>
    <s v="MPG"/>
    <s v="Direct"/>
    <n v="218.6"/>
    <n v="8257.2899999999991"/>
    <n v="172.03"/>
    <n v="6745.2866860896011"/>
    <n v="49"/>
    <n v="1876.7855129760001"/>
    <n v="221.03"/>
    <n v="8622.072199065602"/>
    <n v="8257.2899999999991"/>
    <n v="0"/>
    <n v="1876.7855129760001"/>
    <n v="364.78219906560298"/>
    <n v="0"/>
    <n v="0"/>
    <n v="0"/>
    <n v="6381"/>
    <n v="0"/>
    <n v="0"/>
    <n v="0"/>
    <n v="0"/>
  </r>
  <r>
    <x v="749"/>
    <s v="Jalalpur"/>
    <s v="vlc"/>
    <s v="Indirect"/>
    <n v="1719.6"/>
    <n v="59984.13"/>
    <n v="0"/>
    <n v="0"/>
    <n v="0"/>
    <n v="0"/>
    <n v="0"/>
    <n v="0"/>
    <n v="59984.13"/>
    <n v="0"/>
    <n v="0"/>
    <n v="0"/>
    <n v="0"/>
    <n v="0"/>
    <n v="0"/>
    <n v="0"/>
    <n v="0"/>
    <n v="59984.13"/>
    <n v="0"/>
    <n v="0"/>
  </r>
  <r>
    <x v="956"/>
    <s v="Saidpur"/>
    <s v="vlc"/>
    <s v="Indirect"/>
    <n v="37.5"/>
    <n v="1415.63"/>
    <n v="0"/>
    <n v="0"/>
    <n v="0"/>
    <n v="0"/>
    <n v="0"/>
    <n v="0"/>
    <n v="1415.63"/>
    <n v="0"/>
    <n v="0"/>
    <n v="0"/>
    <n v="0"/>
    <n v="0"/>
    <n v="0"/>
    <n v="0"/>
    <n v="0"/>
    <n v="1415.63"/>
    <n v="0"/>
    <n v="0"/>
  </r>
  <r>
    <x v="750"/>
    <s v="Chak"/>
    <s v="vlc"/>
    <s v="Indirect"/>
    <n v="825"/>
    <n v="31056.769999999997"/>
    <n v="0"/>
    <n v="0"/>
    <n v="0"/>
    <n v="0"/>
    <n v="0"/>
    <n v="0"/>
    <n v="31056.769999999997"/>
    <n v="0"/>
    <n v="0"/>
    <n v="0"/>
    <n v="0"/>
    <n v="0"/>
    <n v="0"/>
    <n v="0"/>
    <n v="0"/>
    <n v="31056.769999999997"/>
    <n v="0"/>
    <n v="0"/>
  </r>
  <r>
    <x v="751"/>
    <s v="Gomukh Chautham(Mithun Kumar VLC)"/>
    <s v="vlc"/>
    <s v="Indirect"/>
    <n v="1235.1799999999998"/>
    <n v="46278.869999999995"/>
    <n v="0"/>
    <n v="0"/>
    <n v="0"/>
    <n v="0"/>
    <n v="0"/>
    <n v="0"/>
    <n v="46278.869999999995"/>
    <n v="0"/>
    <n v="0"/>
    <n v="0"/>
    <n v="1300"/>
    <n v="5478.0704167741942"/>
    <n v="0"/>
    <n v="0"/>
    <n v="0"/>
    <n v="39500.799583225802"/>
    <n v="0"/>
    <n v="0"/>
  </r>
  <r>
    <x v="752"/>
    <s v="Gomukh Pansalwa"/>
    <s v="vlc"/>
    <s v="Indirect"/>
    <n v="844.34"/>
    <n v="30325.95"/>
    <n v="0"/>
    <n v="0"/>
    <n v="0"/>
    <n v="0"/>
    <n v="0"/>
    <n v="0"/>
    <n v="30325.95"/>
    <n v="0"/>
    <n v="0"/>
    <n v="0"/>
    <n v="0"/>
    <n v="0"/>
    <n v="0"/>
    <n v="0"/>
    <n v="0"/>
    <n v="30325.95"/>
    <n v="0"/>
    <n v="0"/>
  </r>
  <r>
    <x v="753"/>
    <s v="Gomukh Nawada"/>
    <s v="MPG"/>
    <s v="Direct"/>
    <n v="811.64"/>
    <n v="28429.879999999997"/>
    <n v="811.64"/>
    <n v="28553.677045344"/>
    <n v="0"/>
    <n v="0"/>
    <n v="811.64"/>
    <n v="28553.677045344"/>
    <n v="28429.879999999997"/>
    <n v="0"/>
    <n v="0"/>
    <n v="123.79704534400298"/>
    <n v="0"/>
    <n v="0"/>
    <n v="0"/>
    <n v="28430"/>
    <n v="0"/>
    <n v="0"/>
    <n v="0"/>
    <n v="0"/>
  </r>
  <r>
    <x v="754"/>
    <s v="Gomukh Yadav Tol Kanauli"/>
    <s v="MPG"/>
    <s v="Direct"/>
    <n v="1973.9400000000003"/>
    <n v="78508.94"/>
    <n v="26.939999999999998"/>
    <n v="1072.2174153563999"/>
    <n v="1947"/>
    <n v="77433.496916790013"/>
    <n v="1973.94"/>
    <n v="78505.71433214641"/>
    <n v="78505.71433214641"/>
    <n v="0"/>
    <n v="0"/>
    <n v="0"/>
    <n v="0"/>
    <n v="0"/>
    <n v="0"/>
    <n v="1072"/>
    <n v="77434"/>
    <n v="0"/>
    <n v="3"/>
    <n v="0"/>
  </r>
  <r>
    <x v="755"/>
    <s v="Gomukh Hardia"/>
    <s v="MPG"/>
    <s v="Direct"/>
    <n v="214.59999999999997"/>
    <n v="9314.7999999999993"/>
    <n v="191.22"/>
    <n v="9009.881793734201"/>
    <n v="0"/>
    <n v="0"/>
    <n v="191.22"/>
    <n v="9009.881793734201"/>
    <n v="9009.881793734201"/>
    <n v="0"/>
    <n v="0"/>
    <n v="0"/>
    <n v="0"/>
    <n v="0"/>
    <n v="0"/>
    <n v="9010"/>
    <n v="0"/>
    <n v="0"/>
    <n v="305"/>
    <n v="0"/>
  </r>
  <r>
    <x v="756"/>
    <s v="Gomukh Ashatol Paharpur"/>
    <s v="MPG"/>
    <s v="Direct"/>
    <n v="1752.1"/>
    <n v="66645.400000000009"/>
    <n v="1752.1600000000005"/>
    <n v="69399.165509765793"/>
    <n v="0"/>
    <n v="0"/>
    <n v="1752.1600000000005"/>
    <n v="69399.165509765793"/>
    <n v="66645.400000000009"/>
    <n v="0"/>
    <n v="0"/>
    <n v="2753.7655097657844"/>
    <n v="2121"/>
    <n v="0"/>
    <n v="0"/>
    <n v="64524"/>
    <n v="0"/>
    <n v="0"/>
    <n v="0"/>
    <s v="Release2"/>
  </r>
  <r>
    <x v="757"/>
    <s v="Gomukh Kharawa"/>
    <s v="MPG"/>
    <s v="Direct"/>
    <n v="1198.6199999999999"/>
    <n v="45815.549999999996"/>
    <n v="1202.6399999999999"/>
    <n v="46293.230843660443"/>
    <n v="0"/>
    <n v="0"/>
    <n v="1202.6399999999999"/>
    <n v="46293.230843660443"/>
    <n v="45815.549999999996"/>
    <n v="0"/>
    <n v="0"/>
    <n v="477.68084366044786"/>
    <n v="6500"/>
    <n v="0"/>
    <n v="0"/>
    <n v="39316"/>
    <n v="0"/>
    <n v="0"/>
    <n v="0"/>
    <n v="0"/>
  </r>
  <r>
    <x v="758"/>
    <s v="Gomukh Patel Nagar"/>
    <s v="vlc"/>
    <s v="Indirect"/>
    <n v="293.04000000000002"/>
    <n v="10772.49"/>
    <n v="0"/>
    <n v="0"/>
    <n v="0"/>
    <n v="0"/>
    <n v="0"/>
    <n v="0"/>
    <n v="10772.49"/>
    <n v="0"/>
    <n v="0"/>
    <n v="0"/>
    <n v="5200"/>
    <n v="193.89371225806437"/>
    <n v="0"/>
    <n v="0"/>
    <n v="0"/>
    <n v="5378.5962877419352"/>
    <n v="0"/>
    <n v="0"/>
  </r>
  <r>
    <x v="759"/>
    <s v="Gomukh Pachout"/>
    <s v="MPG"/>
    <s v="Direct"/>
    <n v="910.94"/>
    <n v="34055.51"/>
    <n v="910.94"/>
    <n v="34948.5033466206"/>
    <n v="0"/>
    <n v="0"/>
    <n v="910.94"/>
    <n v="34948.5033466206"/>
    <n v="34055.51"/>
    <n v="0"/>
    <n v="0"/>
    <n v="892.99334662059846"/>
    <n v="13000"/>
    <n v="0"/>
    <n v="0"/>
    <n v="21056"/>
    <n v="0"/>
    <n v="0"/>
    <n v="0"/>
    <n v="0"/>
  </r>
  <r>
    <x v="760"/>
    <s v="Gomukh Telihar"/>
    <s v="MPG"/>
    <s v="Direct"/>
    <n v="1040.3400000000001"/>
    <n v="40309.060000000005"/>
    <n v="1040.3499999999999"/>
    <n v="41789.55300738263"/>
    <n v="0"/>
    <n v="0"/>
    <n v="1040.3499999999999"/>
    <n v="41789.55300738263"/>
    <n v="40309.060000000005"/>
    <n v="0"/>
    <n v="0"/>
    <n v="1480.4930073826254"/>
    <n v="13000"/>
    <n v="0"/>
    <n v="0"/>
    <n v="27309"/>
    <n v="0"/>
    <n v="0"/>
    <n v="0"/>
    <s v="Release1"/>
  </r>
  <r>
    <x v="761"/>
    <s v="Gomukh Pansalba Ward No 05"/>
    <s v="MPG"/>
    <s v="Indirect"/>
    <n v="1980.8599999999997"/>
    <n v="71043.69"/>
    <n v="0"/>
    <n v="0"/>
    <n v="0"/>
    <n v="0"/>
    <n v="0"/>
    <n v="0"/>
    <n v="71043.69"/>
    <n v="0"/>
    <n v="0"/>
    <n v="0"/>
    <n v="1300"/>
    <n v="0"/>
    <n v="0"/>
    <n v="0"/>
    <n v="0"/>
    <n v="69743.69"/>
    <n v="0"/>
    <n v="0"/>
  </r>
  <r>
    <x v="957"/>
    <s v="Gomukh Mungeria Tol Pakrail Vlc"/>
    <s v="vlc"/>
    <s v="Indirect"/>
    <n v="18.54"/>
    <n v="704.89"/>
    <n v="0"/>
    <n v="0"/>
    <n v="0"/>
    <n v="0"/>
    <n v="0"/>
    <n v="0"/>
    <n v="704.89"/>
    <n v="0"/>
    <n v="0"/>
    <n v="0"/>
    <n v="0"/>
    <n v="698.71139999999991"/>
    <n v="0"/>
    <n v="0"/>
    <n v="0"/>
    <n v="6.178600000000074"/>
    <n v="0"/>
    <n v="0"/>
  </r>
  <r>
    <x v="762"/>
    <s v="Gomukh Paharpur Jilebya "/>
    <s v="MPG"/>
    <s v="Direct"/>
    <n v="2011.1000000000001"/>
    <n v="85900.6"/>
    <n v="2016.1199999999997"/>
    <n v="85947.830317800006"/>
    <n v="0"/>
    <n v="0"/>
    <n v="2016.1199999999997"/>
    <n v="85947.830317800006"/>
    <n v="85900.6"/>
    <n v="0"/>
    <n v="0"/>
    <n v="47.230317800000194"/>
    <n v="0"/>
    <n v="0"/>
    <n v="0"/>
    <n v="85901"/>
    <n v="0"/>
    <n v="0"/>
    <n v="0"/>
    <n v="0"/>
  </r>
  <r>
    <x v="763"/>
    <s v="Gomukh Debka Vlc"/>
    <s v="vlc"/>
    <s v="Indirect"/>
    <n v="129.16"/>
    <n v="5303.87"/>
    <n v="0"/>
    <n v="0"/>
    <n v="0"/>
    <n v="0"/>
    <n v="0"/>
    <n v="0"/>
    <n v="5303.87"/>
    <n v="0"/>
    <n v="0"/>
    <n v="0"/>
    <n v="1300"/>
    <n v="0"/>
    <n v="0"/>
    <n v="0"/>
    <n v="0"/>
    <n v="4003.87"/>
    <n v="0"/>
    <n v="0"/>
  </r>
  <r>
    <x v="764"/>
    <s v="Gomukh Azad Nagar"/>
    <s v="MPG"/>
    <s v="Direct"/>
    <n v="1179.8"/>
    <n v="45591.24"/>
    <n v="1191.6399999999999"/>
    <n v="46960.264352140606"/>
    <n v="0"/>
    <n v="0"/>
    <n v="1191.6399999999999"/>
    <n v="46960.264352140606"/>
    <n v="45591.24"/>
    <n v="0"/>
    <n v="0"/>
    <n v="1369.0243521406082"/>
    <n v="2097"/>
    <n v="0"/>
    <n v="0"/>
    <n v="43494"/>
    <n v="0"/>
    <n v="0"/>
    <n v="0"/>
    <s v="Release2"/>
  </r>
  <r>
    <x v="765"/>
    <s v="Gomukh Purani Hrdia"/>
    <s v="MPG"/>
    <s v="Direct"/>
    <n v="278.68"/>
    <n v="10753.37"/>
    <n v="297.22000000000003"/>
    <n v="11457.9686993508"/>
    <n v="0"/>
    <n v="0"/>
    <n v="297.22000000000003"/>
    <n v="11457.9686993508"/>
    <n v="10753.37"/>
    <n v="0"/>
    <n v="0"/>
    <n v="704.59869935079951"/>
    <n v="0"/>
    <n v="0"/>
    <n v="0"/>
    <n v="10753"/>
    <n v="0"/>
    <n v="0"/>
    <n v="0"/>
    <n v="0"/>
  </r>
  <r>
    <x v="766"/>
    <s v="Gomukh Uttari Hardia"/>
    <s v="MPG"/>
    <s v="Direct"/>
    <n v="295.70000000000005"/>
    <n v="12449.16"/>
    <n v="295.96000000000004"/>
    <n v="12469.078935878402"/>
    <n v="0"/>
    <n v="0"/>
    <n v="295.96000000000004"/>
    <n v="12469.078935878402"/>
    <n v="12449.16"/>
    <n v="0"/>
    <n v="0"/>
    <n v="19.918935878402408"/>
    <n v="0"/>
    <n v="0"/>
    <n v="0"/>
    <n v="12449"/>
    <n v="0"/>
    <n v="0"/>
    <n v="0"/>
    <n v="0"/>
  </r>
  <r>
    <x v="767"/>
    <s v="Gomukh Murli"/>
    <s v="MPG"/>
    <s v="Direct"/>
    <n v="81.160000000000011"/>
    <n v="3250.71"/>
    <n v="131.44"/>
    <n v="5779.3856766274521"/>
    <n v="0"/>
    <n v="0"/>
    <n v="131.44"/>
    <n v="5779.3856766274521"/>
    <n v="3250.71"/>
    <n v="0"/>
    <n v="0"/>
    <n v="2528.675676627452"/>
    <n v="2600"/>
    <n v="0"/>
    <n v="0"/>
    <n v="651"/>
    <n v="0"/>
    <n v="0"/>
    <n v="0"/>
    <n v="0"/>
  </r>
  <r>
    <x v="768"/>
    <s v="Gomukh Nirpur Keshv Nagar"/>
    <s v="MPG"/>
    <s v="Direct"/>
    <n v="642.82000000000005"/>
    <n v="23454.02"/>
    <n v="653.49"/>
    <n v="23959.846511964002"/>
    <n v="0"/>
    <n v="0"/>
    <n v="653.49"/>
    <n v="23959.846511964002"/>
    <n v="23454.02"/>
    <n v="0"/>
    <n v="0"/>
    <n v="505.82651196400184"/>
    <n v="0"/>
    <n v="0"/>
    <n v="0"/>
    <n v="23454"/>
    <n v="0"/>
    <n v="0"/>
    <n v="0"/>
    <n v="0"/>
  </r>
  <r>
    <x v="769"/>
    <s v="Gomukh Thuthi Vlc"/>
    <s v="vlc"/>
    <s v="Indirect"/>
    <n v="236.32000000000002"/>
    <n v="9450.9500000000007"/>
    <n v="0"/>
    <n v="0"/>
    <n v="0"/>
    <n v="0"/>
    <n v="0"/>
    <n v="0"/>
    <n v="9450.9500000000007"/>
    <n v="0"/>
    <n v="0"/>
    <n v="0"/>
    <n v="0"/>
    <n v="0"/>
    <n v="0"/>
    <n v="0"/>
    <n v="0"/>
    <n v="9450.9500000000007"/>
    <n v="0"/>
    <s v="Release3"/>
  </r>
  <r>
    <x v="770"/>
    <s v="Gomukh Nawadai Vlc"/>
    <s v="vlc"/>
    <s v="Indirect"/>
    <n v="209.78"/>
    <n v="7415.4300000000012"/>
    <n v="0"/>
    <n v="0"/>
    <n v="0"/>
    <n v="0"/>
    <n v="0"/>
    <n v="0"/>
    <n v="7415.4300000000012"/>
    <n v="0"/>
    <n v="0"/>
    <n v="0"/>
    <n v="6500"/>
    <n v="0"/>
    <n v="0"/>
    <n v="0"/>
    <n v="0"/>
    <n v="915.4300000000012"/>
    <n v="0"/>
    <n v="0"/>
  </r>
  <r>
    <x v="771"/>
    <s v="Gomukh Kharra Basa"/>
    <s v="MPG"/>
    <s v="Direct"/>
    <n v="343.90000000000003"/>
    <n v="13495.63"/>
    <n v="355.88"/>
    <n v="14115.460798295999"/>
    <n v="0"/>
    <n v="0"/>
    <n v="355.88"/>
    <n v="14115.460798295999"/>
    <n v="13495.63"/>
    <n v="0"/>
    <n v="0"/>
    <n v="619.83079829599956"/>
    <n v="0"/>
    <n v="0"/>
    <n v="0"/>
    <n v="13496"/>
    <n v="0"/>
    <n v="0"/>
    <n v="0"/>
    <n v="0"/>
  </r>
  <r>
    <x v="772"/>
    <s v="Gomukh Bangalia"/>
    <s v="MPG"/>
    <s v="Direct"/>
    <n v="269.58"/>
    <n v="12051.41"/>
    <n v="269.58000000000004"/>
    <n v="12363.091581925499"/>
    <n v="0"/>
    <n v="0"/>
    <n v="269.58000000000004"/>
    <n v="12363.091581925499"/>
    <n v="12051.41"/>
    <n v="0"/>
    <n v="0"/>
    <n v="311.6815819254989"/>
    <n v="12051"/>
    <n v="0"/>
    <n v="0"/>
    <n v="0"/>
    <n v="0"/>
    <n v="0"/>
    <n v="0"/>
    <s v="Release2"/>
  </r>
  <r>
    <x v="773"/>
    <s v="Gomukh Soharba Purvi"/>
    <s v="MPG"/>
    <s v="Direct"/>
    <n v="212.12"/>
    <n v="8344.51"/>
    <n v="212.24999999999994"/>
    <n v="8171.677735452"/>
    <n v="0"/>
    <n v="0"/>
    <n v="212.24999999999994"/>
    <n v="8171.677735452"/>
    <n v="8171.677735452"/>
    <n v="0"/>
    <n v="0"/>
    <n v="0"/>
    <n v="6500"/>
    <n v="0"/>
    <n v="0"/>
    <n v="1672"/>
    <n v="0"/>
    <n v="0"/>
    <n v="173"/>
    <n v="0"/>
  </r>
  <r>
    <x v="774"/>
    <s v="Karian"/>
    <s v="MPG"/>
    <s v="Direct"/>
    <n v="86.199999999999989"/>
    <n v="3349.4"/>
    <n v="86.2"/>
    <n v="3343.4035945200003"/>
    <n v="0"/>
    <n v="0"/>
    <n v="86.2"/>
    <n v="3343.4035945200003"/>
    <n v="3343.4035945200003"/>
    <n v="0"/>
    <n v="0"/>
    <n v="0"/>
    <n v="0"/>
    <n v="41.066623728813454"/>
    <n v="0"/>
    <n v="3302"/>
    <n v="0"/>
    <n v="0"/>
    <n v="6"/>
    <n v="0"/>
  </r>
  <r>
    <x v="775"/>
    <s v="Teghara"/>
    <s v="MPG"/>
    <s v="Direct"/>
    <n v="212.70000000000002"/>
    <n v="8309.5"/>
    <n v="188"/>
    <n v="7251.7861695792026"/>
    <n v="24.7"/>
    <n v="1049.1637648260003"/>
    <n v="212.7"/>
    <n v="8300.9499344052019"/>
    <n v="8300.9499344052019"/>
    <n v="0"/>
    <n v="0"/>
    <n v="0"/>
    <n v="0"/>
    <n v="0"/>
    <n v="0"/>
    <n v="7252"/>
    <n v="1049"/>
    <n v="0"/>
    <n v="9"/>
    <n v="0"/>
  </r>
  <r>
    <x v="958"/>
    <s v="Khanpur"/>
    <s v="vlc"/>
    <s v="Indirect"/>
    <n v="133.30000000000001"/>
    <n v="5058.97"/>
    <n v="0"/>
    <n v="0"/>
    <n v="0"/>
    <n v="0"/>
    <n v="0"/>
    <n v="0"/>
    <n v="5058.97"/>
    <n v="0"/>
    <n v="0"/>
    <n v="0"/>
    <n v="0"/>
    <n v="0"/>
    <n v="0"/>
    <n v="0"/>
    <n v="0"/>
    <n v="0"/>
    <n v="5059"/>
    <s v="Yes"/>
  </r>
  <r>
    <x v="776"/>
    <s v="Basantpur"/>
    <s v="MPG"/>
    <s v="Direct"/>
    <n v="798.4"/>
    <n v="35205.26"/>
    <n v="798.4"/>
    <n v="35204.481814332605"/>
    <n v="0"/>
    <n v="0"/>
    <n v="798.4"/>
    <n v="35204.481814332605"/>
    <n v="35204.481814332605"/>
    <n v="0"/>
    <n v="0"/>
    <n v="0"/>
    <n v="0"/>
    <n v="709.3669436065577"/>
    <n v="0"/>
    <n v="34495"/>
    <n v="0"/>
    <n v="0"/>
    <n v="1"/>
    <n v="0"/>
  </r>
  <r>
    <x v="777"/>
    <s v="Chakoti"/>
    <s v="MPG"/>
    <s v="Direct"/>
    <n v="1422.1999999999998"/>
    <n v="53132.920000000006"/>
    <n v="85.300000000000011"/>
    <n v="3290.2357247895006"/>
    <n v="1340.3999999999999"/>
    <n v="50079.174780960522"/>
    <n v="1425.6999999999998"/>
    <n v="53369.41050575002"/>
    <n v="53132.920000000006"/>
    <n v="0"/>
    <n v="866.38354551057989"/>
    <n v="236.49050575001456"/>
    <n v="0"/>
    <n v="0"/>
    <n v="0"/>
    <n v="3055"/>
    <n v="49212"/>
    <n v="0"/>
    <n v="0"/>
    <n v="0"/>
  </r>
  <r>
    <x v="778"/>
    <s v="Nathudawar"/>
    <s v="MPG"/>
    <s v="Direct"/>
    <n v="761.3"/>
    <n v="28271.93"/>
    <n v="761.3"/>
    <n v="28344.854893829302"/>
    <n v="0"/>
    <n v="0"/>
    <n v="761.3"/>
    <n v="28344.854893829302"/>
    <n v="28271.93"/>
    <n v="0"/>
    <n v="0"/>
    <n v="72.924893829302164"/>
    <n v="0"/>
    <n v="0"/>
    <n v="0"/>
    <n v="28272"/>
    <n v="0"/>
    <n v="0"/>
    <n v="0"/>
    <n v="0"/>
  </r>
  <r>
    <x v="779"/>
    <s v="Purnahi"/>
    <s v="vlc"/>
    <s v="Indirect"/>
    <n v="930.29999999999984"/>
    <n v="30720.690000000002"/>
    <n v="0"/>
    <n v="0"/>
    <n v="0"/>
    <n v="0"/>
    <n v="0"/>
    <n v="0"/>
    <n v="30720.690000000002"/>
    <n v="0"/>
    <n v="0"/>
    <n v="0"/>
    <n v="0"/>
    <n v="0"/>
    <n v="0"/>
    <n v="0"/>
    <n v="0"/>
    <n v="30720.690000000002"/>
    <n v="0"/>
    <n v="0"/>
  </r>
  <r>
    <x v="780"/>
    <s v="Baghopur "/>
    <s v="vlc"/>
    <s v="Indirect"/>
    <n v="739"/>
    <n v="26837.610000000004"/>
    <n v="0"/>
    <n v="0"/>
    <n v="0"/>
    <n v="0"/>
    <n v="0"/>
    <n v="0"/>
    <n v="26837.610000000004"/>
    <n v="0"/>
    <n v="0"/>
    <n v="0"/>
    <n v="0"/>
    <n v="0"/>
    <n v="0"/>
    <n v="0"/>
    <n v="0"/>
    <n v="26837.610000000004"/>
    <n v="0"/>
    <n v="0"/>
  </r>
  <r>
    <x v="782"/>
    <s v="PARORIYA"/>
    <s v="vlc"/>
    <s v="Indirect"/>
    <n v="604.70000000000005"/>
    <n v="20429.870000000003"/>
    <n v="0"/>
    <n v="0"/>
    <n v="0"/>
    <n v="0"/>
    <n v="0"/>
    <n v="0"/>
    <n v="20429.870000000003"/>
    <n v="0"/>
    <n v="0"/>
    <n v="0"/>
    <n v="0"/>
    <n v="0"/>
    <n v="0"/>
    <n v="0"/>
    <n v="0"/>
    <n v="20429.870000000003"/>
    <n v="0"/>
    <n v="0"/>
  </r>
  <r>
    <x v="783"/>
    <s v="Dewanpur"/>
    <s v="MPG"/>
    <s v="Direct"/>
    <n v="80.899999999999991"/>
    <n v="3296.62"/>
    <n v="20.5"/>
    <n v="957.6855907800001"/>
    <n v="57.099999999999994"/>
    <n v="2349.8187771173007"/>
    <n v="77.599999999999994"/>
    <n v="3307.5043678973007"/>
    <n v="3296.62"/>
    <n v="0"/>
    <n v="0"/>
    <n v="10.884367897300763"/>
    <n v="0"/>
    <n v="162.46835016393436"/>
    <n v="0"/>
    <n v="784"/>
    <n v="2350"/>
    <n v="0"/>
    <n v="0"/>
    <n v="0"/>
  </r>
  <r>
    <x v="784"/>
    <s v="Gohi"/>
    <s v="MPG"/>
    <s v="Direct"/>
    <n v="379.9"/>
    <n v="14824.909999999998"/>
    <n v="126.49999999999999"/>
    <n v="4670.0389380570514"/>
    <n v="253.7"/>
    <n v="10293.555395739002"/>
    <n v="380.2"/>
    <n v="14963.594333796053"/>
    <n v="14824.909999999998"/>
    <n v="0"/>
    <n v="285.57688896000002"/>
    <n v="138.68433379605449"/>
    <n v="0"/>
    <n v="0"/>
    <n v="0"/>
    <n v="4530"/>
    <n v="10009"/>
    <n v="0"/>
    <n v="0"/>
    <n v="0"/>
  </r>
  <r>
    <x v="785"/>
    <s v="Matua"/>
    <s v="MPG"/>
    <s v="Direct"/>
    <n v="690.10000000000014"/>
    <n v="28877.249999999996"/>
    <n v="270.8"/>
    <n v="12185.669856784001"/>
    <n v="419.3"/>
    <n v="16692.280367598603"/>
    <n v="690.1"/>
    <n v="28877.950224382606"/>
    <n v="28877.249999999996"/>
    <n v="0"/>
    <n v="151.29389385059997"/>
    <n v="0.70022438261003117"/>
    <n v="0"/>
    <n v="0"/>
    <n v="0"/>
    <n v="12185"/>
    <n v="16541"/>
    <n v="0"/>
    <n v="0"/>
    <n v="0"/>
  </r>
  <r>
    <x v="786"/>
    <s v="Ratni Chouk"/>
    <s v="MPG"/>
    <s v="Direct"/>
    <n v="808.30000000000018"/>
    <n v="34638.180000000008"/>
    <n v="808.19999999999993"/>
    <n v="34633.312704936005"/>
    <n v="0"/>
    <n v="0"/>
    <n v="808.19999999999993"/>
    <n v="34633.312704936005"/>
    <n v="34633.312704936005"/>
    <n v="0"/>
    <n v="0"/>
    <n v="0"/>
    <n v="0"/>
    <n v="0"/>
    <n v="0"/>
    <n v="34633"/>
    <n v="0"/>
    <n v="0"/>
    <n v="5"/>
    <n v="0"/>
  </r>
  <r>
    <x v="787"/>
    <s v="Balahi 2"/>
    <s v="MPG"/>
    <s v="Direct"/>
    <n v="713.59999999999991"/>
    <n v="25119.250000000004"/>
    <n v="581.1"/>
    <n v="21600.037178364601"/>
    <n v="133.30000000000001"/>
    <n v="4670.5364354879994"/>
    <n v="714.40000000000009"/>
    <n v="26270.573613852601"/>
    <n v="25119.250000000004"/>
    <n v="0"/>
    <n v="127.56582748800002"/>
    <n v="1151.3236138525972"/>
    <n v="0"/>
    <n v="0"/>
    <n v="0"/>
    <n v="20449"/>
    <n v="4543"/>
    <n v="0"/>
    <n v="0"/>
    <n v="0"/>
  </r>
  <r>
    <x v="788"/>
    <s v="Chandauli"/>
    <s v="vlc"/>
    <s v="Indirect"/>
    <n v="562.79999999999995"/>
    <n v="24773.56"/>
    <n v="0"/>
    <n v="0"/>
    <n v="0"/>
    <n v="0"/>
    <n v="0"/>
    <n v="0"/>
    <n v="24773.56"/>
    <n v="0"/>
    <n v="0"/>
    <n v="0"/>
    <n v="0"/>
    <n v="0"/>
    <n v="0"/>
    <n v="0"/>
    <n v="0"/>
    <n v="24773.56"/>
    <n v="0"/>
    <n v="0"/>
  </r>
  <r>
    <x v="789"/>
    <s v="Gulabi Choak"/>
    <s v="vlc"/>
    <s v="Indirect"/>
    <n v="828.69999999999982"/>
    <n v="30102.050000000003"/>
    <n v="0"/>
    <n v="0"/>
    <n v="0"/>
    <n v="0"/>
    <n v="0"/>
    <n v="0"/>
    <n v="30102.050000000003"/>
    <n v="0"/>
    <n v="0"/>
    <n v="0"/>
    <n v="0"/>
    <n v="0"/>
    <n v="0"/>
    <n v="0"/>
    <n v="0"/>
    <n v="30102.050000000003"/>
    <n v="0"/>
    <n v="0"/>
  </r>
  <r>
    <x v="790"/>
    <s v="Satmalpur"/>
    <s v="vlc"/>
    <s v="Indirect"/>
    <n v="1095"/>
    <n v="41499.659999999996"/>
    <n v="0"/>
    <n v="0"/>
    <n v="0"/>
    <n v="0"/>
    <n v="0"/>
    <n v="0"/>
    <n v="41499.659999999996"/>
    <n v="0"/>
    <n v="0"/>
    <n v="0"/>
    <n v="0"/>
    <n v="0"/>
    <n v="0"/>
    <n v="0"/>
    <n v="0"/>
    <n v="41499.659999999996"/>
    <n v="0"/>
    <n v="0"/>
  </r>
  <r>
    <x v="791"/>
    <s v="Chhatnesar"/>
    <s v="vlc"/>
    <s v="Indirect"/>
    <n v="331.5"/>
    <n v="11766.76"/>
    <n v="0"/>
    <n v="0"/>
    <n v="0"/>
    <n v="0"/>
    <n v="0"/>
    <n v="0"/>
    <n v="11766.76"/>
    <n v="0"/>
    <n v="0"/>
    <n v="0"/>
    <n v="0"/>
    <n v="0"/>
    <n v="0"/>
    <n v="0"/>
    <n v="0"/>
    <n v="11766.76"/>
    <n v="0"/>
    <n v="0"/>
  </r>
  <r>
    <x v="792"/>
    <s v="Chhatnesar 2"/>
    <s v="MPG"/>
    <s v="Direct"/>
    <n v="277.10000000000002"/>
    <n v="10070.960000000001"/>
    <n v="277.09999999999997"/>
    <n v="10070.300433600001"/>
    <n v="0"/>
    <n v="0"/>
    <n v="277.09999999999997"/>
    <n v="10070.300433600001"/>
    <n v="10070.300433600001"/>
    <n v="0"/>
    <n v="0"/>
    <n v="0"/>
    <n v="0"/>
    <n v="0"/>
    <n v="0"/>
    <n v="10070"/>
    <n v="0"/>
    <n v="0"/>
    <n v="1"/>
    <n v="0"/>
  </r>
  <r>
    <x v="793"/>
    <s v="Hajpurwa"/>
    <s v="MPG"/>
    <s v="Direct"/>
    <n v="184.4"/>
    <n v="7772.1200000000008"/>
    <n v="184.29999999999998"/>
    <n v="7764.2620291960993"/>
    <n v="0"/>
    <n v="0"/>
    <n v="184.29999999999998"/>
    <n v="7764.2620291960993"/>
    <n v="7764.2620291960993"/>
    <n v="0"/>
    <n v="0"/>
    <n v="0"/>
    <n v="0"/>
    <n v="27.574957377049113"/>
    <n v="0"/>
    <n v="7737"/>
    <n v="0"/>
    <n v="0"/>
    <n v="8"/>
    <n v="0"/>
  </r>
  <r>
    <x v="794"/>
    <s v="Shekhopur"/>
    <s v="MPG"/>
    <s v="Direct"/>
    <n v="315.10000000000002"/>
    <n v="10906.8"/>
    <n v="315.09999999999997"/>
    <n v="10907.057145600002"/>
    <n v="0"/>
    <n v="0"/>
    <n v="315.09999999999997"/>
    <n v="10907.057145600002"/>
    <n v="10906.8"/>
    <n v="0"/>
    <n v="0"/>
    <n v="0.25714560000233178"/>
    <n v="0"/>
    <n v="71.261478688524676"/>
    <n v="0"/>
    <n v="10836"/>
    <n v="0"/>
    <n v="0"/>
    <n v="0"/>
    <n v="0"/>
  </r>
  <r>
    <x v="795"/>
    <s v="Dharampur"/>
    <s v="MPG"/>
    <s v="Direct"/>
    <n v="162.19999999999999"/>
    <n v="6465.95"/>
    <n v="163.30000000000001"/>
    <n v="6383.7683453700001"/>
    <n v="0.5"/>
    <n v="20.341751760000008"/>
    <n v="163.80000000000001"/>
    <n v="6404.1100971300002"/>
    <n v="6404.1100971300002"/>
    <n v="0"/>
    <n v="20.341751760000008"/>
    <n v="0"/>
    <n v="0"/>
    <n v="0"/>
    <n v="0"/>
    <n v="6384"/>
    <n v="0"/>
    <n v="0"/>
    <n v="62"/>
    <n v="0"/>
  </r>
  <r>
    <x v="796"/>
    <s v="Chatnesar Pachiam"/>
    <s v="vlc"/>
    <s v="Indirect"/>
    <n v="145.9"/>
    <n v="5415.7"/>
    <n v="0"/>
    <n v="0"/>
    <n v="0"/>
    <n v="0"/>
    <n v="0"/>
    <n v="0"/>
    <n v="5415.7"/>
    <n v="0"/>
    <n v="0"/>
    <n v="0"/>
    <n v="0"/>
    <n v="145.82208387096773"/>
    <n v="0"/>
    <n v="0"/>
    <n v="0"/>
    <n v="5269.8779161290322"/>
    <n v="0"/>
    <n v="0"/>
  </r>
  <r>
    <x v="797"/>
    <s v="Hajpurwa Pachim"/>
    <s v="MPG"/>
    <s v="Direct"/>
    <n v="289.2"/>
    <n v="11496.560000000001"/>
    <n v="288.70000000000005"/>
    <n v="11579.293267263156"/>
    <n v="0"/>
    <n v="0"/>
    <n v="288.70000000000005"/>
    <n v="11579.293267263156"/>
    <n v="11496.560000000001"/>
    <n v="0"/>
    <n v="0"/>
    <n v="82.73326726315463"/>
    <n v="0"/>
    <n v="0"/>
    <n v="0"/>
    <n v="11497"/>
    <n v="0"/>
    <n v="0"/>
    <n v="0"/>
    <n v="0"/>
  </r>
  <r>
    <x v="798"/>
    <s v="Almasnagar"/>
    <s v="vlc"/>
    <s v="Indirect"/>
    <n v="388.50000000000006"/>
    <n v="13047.060000000001"/>
    <n v="0"/>
    <n v="0"/>
    <n v="0"/>
    <n v="0"/>
    <n v="0"/>
    <n v="0"/>
    <n v="13047.060000000001"/>
    <n v="0"/>
    <n v="0"/>
    <n v="0"/>
    <n v="0"/>
    <n v="0"/>
    <n v="0"/>
    <n v="0"/>
    <n v="0"/>
    <n v="13047.060000000001"/>
    <n v="0"/>
    <n v="0"/>
  </r>
  <r>
    <x v="799"/>
    <s v="Kadarchak"/>
    <s v="vlc"/>
    <s v="Indirect"/>
    <n v="137.19999999999999"/>
    <n v="5014.9799999999996"/>
    <n v="0"/>
    <n v="0"/>
    <n v="0"/>
    <n v="0"/>
    <n v="0"/>
    <n v="0"/>
    <n v="5014.9799999999996"/>
    <n v="0"/>
    <n v="0"/>
    <n v="0"/>
    <n v="0"/>
    <n v="0"/>
    <n v="0"/>
    <n v="0"/>
    <n v="0"/>
    <n v="5014.9799999999996"/>
    <n v="0"/>
    <n v="0"/>
  </r>
  <r>
    <x v="800"/>
    <s v="Rahua"/>
    <s v="MPG"/>
    <s v="Direct"/>
    <n v="229"/>
    <n v="8950.24"/>
    <n v="229"/>
    <n v="8949.9505358511997"/>
    <n v="0"/>
    <n v="0"/>
    <n v="229"/>
    <n v="8949.9505358511997"/>
    <n v="8949.9505358511997"/>
    <n v="0"/>
    <n v="0"/>
    <n v="0"/>
    <n v="0"/>
    <n v="0"/>
    <n v="0"/>
    <n v="8950"/>
    <n v="0"/>
    <n v="0"/>
    <n v="0"/>
    <n v="0"/>
  </r>
  <r>
    <x v="801"/>
    <s v="Dagrua"/>
    <s v="MPG"/>
    <s v="Direct"/>
    <n v="104.9"/>
    <n v="4743.99"/>
    <n v="104.93"/>
    <n v="4741.1443320119997"/>
    <n v="0"/>
    <n v="0"/>
    <n v="104.93"/>
    <n v="4741.1443320119997"/>
    <n v="4741.1443320119997"/>
    <n v="0"/>
    <n v="0"/>
    <n v="0"/>
    <n v="0"/>
    <n v="0"/>
    <n v="0"/>
    <n v="4741"/>
    <n v="0"/>
    <n v="0"/>
    <n v="3"/>
    <n v="0"/>
  </r>
  <r>
    <x v="802"/>
    <s v="Buzurgdoar"/>
    <s v="MPG"/>
    <s v="Direct"/>
    <n v="1191.8000000000002"/>
    <n v="44767.1"/>
    <n v="1192.1000000000001"/>
    <n v="44961.90178901844"/>
    <n v="0"/>
    <n v="0"/>
    <n v="1192.1000000000001"/>
    <n v="44961.90178901844"/>
    <n v="44767.1"/>
    <n v="0"/>
    <n v="0"/>
    <n v="194.80178901844192"/>
    <n v="0"/>
    <n v="0"/>
    <n v="0"/>
    <n v="44767"/>
    <n v="0"/>
    <n v="0"/>
    <n v="0"/>
    <n v="0"/>
  </r>
  <r>
    <x v="803"/>
    <s v="Patpara"/>
    <s v="vlc"/>
    <s v="Indirect"/>
    <n v="598.39999999999986"/>
    <n v="20187.830000000005"/>
    <n v="0"/>
    <n v="0"/>
    <n v="0"/>
    <n v="0"/>
    <n v="0"/>
    <n v="0"/>
    <n v="20187.830000000005"/>
    <n v="0"/>
    <n v="0"/>
    <n v="0"/>
    <n v="0"/>
    <n v="0"/>
    <n v="0"/>
    <n v="0"/>
    <n v="0"/>
    <n v="20187.830000000005"/>
    <n v="0"/>
    <n v="0"/>
  </r>
  <r>
    <x v="804"/>
    <s v="Kamopur"/>
    <s v="MPG"/>
    <s v="Direct"/>
    <n v="353.8"/>
    <n v="13614.860000000002"/>
    <n v="280.7"/>
    <n v="10172.73480007225"/>
    <n v="73.100000000000009"/>
    <n v="3424.6054675643404"/>
    <n v="353.8"/>
    <n v="13597.340267636591"/>
    <n v="13597.340267636591"/>
    <n v="0"/>
    <n v="0"/>
    <n v="0"/>
    <n v="0"/>
    <n v="0"/>
    <n v="0"/>
    <n v="10173"/>
    <n v="3424"/>
    <n v="0"/>
    <n v="18"/>
    <n v="0"/>
  </r>
  <r>
    <x v="805"/>
    <s v="Kussaiya"/>
    <s v="MPG"/>
    <s v="Direct"/>
    <n v="241"/>
    <n v="12398.56"/>
    <n v="239.29999999999998"/>
    <n v="12367.313876696837"/>
    <n v="0"/>
    <n v="0"/>
    <n v="239.29999999999998"/>
    <n v="12367.313876696837"/>
    <n v="12367.313876696837"/>
    <n v="0"/>
    <n v="0"/>
    <n v="0"/>
    <n v="0"/>
    <n v="0"/>
    <n v="0"/>
    <n v="12367"/>
    <n v="0"/>
    <n v="0"/>
    <n v="32"/>
    <n v="0"/>
  </r>
  <r>
    <x v="806"/>
    <s v="Kanu Bisanpur"/>
    <s v="vlc"/>
    <s v="Indirect"/>
    <n v="343.90000000000003"/>
    <n v="12617.89"/>
    <n v="0"/>
    <n v="0"/>
    <n v="0"/>
    <n v="0"/>
    <n v="0"/>
    <n v="0"/>
    <n v="12617.89"/>
    <n v="0"/>
    <n v="0"/>
    <n v="0"/>
    <n v="0"/>
    <n v="0"/>
    <n v="0"/>
    <n v="0"/>
    <n v="0"/>
    <n v="12617.89"/>
    <n v="0"/>
    <n v="0"/>
  </r>
  <r>
    <x v="807"/>
    <s v="Raini 2"/>
    <s v="MPG"/>
    <s v="Direct"/>
    <n v="136.4"/>
    <n v="5393.58"/>
    <n v="138.30000000000001"/>
    <n v="5431.7768855349614"/>
    <n v="0"/>
    <n v="0"/>
    <n v="138.30000000000001"/>
    <n v="5431.7768855349614"/>
    <n v="5393.58"/>
    <n v="0"/>
    <n v="0"/>
    <n v="38.196885534961439"/>
    <n v="0"/>
    <n v="0"/>
    <n v="0"/>
    <n v="5394"/>
    <n v="0"/>
    <n v="0"/>
    <n v="0"/>
    <n v="0"/>
  </r>
  <r>
    <x v="808"/>
    <s v="Hasauli"/>
    <s v="vlc"/>
    <s v="Indirect"/>
    <n v="9.8000000000000007"/>
    <n v="371.8"/>
    <n v="0"/>
    <n v="0"/>
    <n v="0"/>
    <n v="0"/>
    <n v="0"/>
    <n v="0"/>
    <n v="371.8"/>
    <n v="0"/>
    <n v="0"/>
    <n v="0"/>
    <n v="0"/>
    <n v="0"/>
    <n v="0"/>
    <n v="0"/>
    <n v="0"/>
    <n v="371.8"/>
    <n v="0"/>
    <n v="0"/>
  </r>
  <r>
    <x v="809"/>
    <s v="Kusiya 2"/>
    <s v="vlc"/>
    <s v="Indirect"/>
    <n v="239.1"/>
    <n v="8624.5300000000007"/>
    <n v="0"/>
    <n v="0"/>
    <n v="0"/>
    <n v="0"/>
    <n v="0"/>
    <n v="0"/>
    <n v="8624.5300000000007"/>
    <n v="0"/>
    <n v="0"/>
    <n v="0"/>
    <n v="0"/>
    <n v="0"/>
    <n v="0"/>
    <n v="0"/>
    <n v="0"/>
    <n v="8624.5300000000007"/>
    <n v="0"/>
    <n v="0"/>
  </r>
  <r>
    <x v="810"/>
    <s v="Babupur"/>
    <s v="vlc"/>
    <s v="Indirect"/>
    <n v="279.5"/>
    <n v="10609.93"/>
    <n v="0"/>
    <n v="0"/>
    <n v="0"/>
    <n v="0"/>
    <n v="0"/>
    <n v="0"/>
    <n v="10609.93"/>
    <n v="0"/>
    <n v="0"/>
    <n v="0"/>
    <n v="0"/>
    <n v="0"/>
    <n v="0"/>
    <n v="0"/>
    <n v="0"/>
    <n v="10609.93"/>
    <n v="0"/>
    <n v="0"/>
  </r>
  <r>
    <x v="811"/>
    <s v="Rahua 2"/>
    <s v="vlc"/>
    <s v="Indirect"/>
    <n v="1456.6"/>
    <n v="62339.85"/>
    <n v="0"/>
    <n v="0"/>
    <n v="0"/>
    <n v="0"/>
    <n v="0"/>
    <n v="0"/>
    <n v="62339.85"/>
    <n v="0"/>
    <n v="0"/>
    <n v="0"/>
    <n v="0"/>
    <n v="0"/>
    <n v="0"/>
    <n v="0"/>
    <n v="0"/>
    <n v="62339.85"/>
    <n v="0"/>
    <n v="0"/>
  </r>
  <r>
    <x v="812"/>
    <s v="Madhopur"/>
    <s v="vlc"/>
    <s v="Indirect"/>
    <n v="748.5"/>
    <n v="29898.149999999998"/>
    <n v="0"/>
    <n v="0"/>
    <n v="0"/>
    <n v="0"/>
    <n v="0"/>
    <n v="0"/>
    <n v="29898.149999999998"/>
    <n v="0"/>
    <n v="0"/>
    <n v="0"/>
    <n v="0"/>
    <n v="0"/>
    <n v="0"/>
    <n v="0"/>
    <n v="0"/>
    <n v="29898.149999999998"/>
    <n v="0"/>
    <n v="0"/>
  </r>
  <r>
    <x v="813"/>
    <s v="Ekdara"/>
    <s v="vlc"/>
    <s v="Indirect"/>
    <n v="2355.4"/>
    <n v="84016.55"/>
    <n v="0"/>
    <n v="0"/>
    <n v="0"/>
    <n v="0"/>
    <n v="0"/>
    <n v="0"/>
    <n v="84016.55"/>
    <n v="0"/>
    <n v="0"/>
    <n v="0"/>
    <n v="0"/>
    <n v="0"/>
    <n v="0"/>
    <n v="0"/>
    <n v="0"/>
    <n v="84016.55"/>
    <n v="0"/>
    <n v="0"/>
  </r>
  <r>
    <x v="814"/>
    <s v="Mahuli"/>
    <s v="MPG"/>
    <s v="Direct"/>
    <n v="262.5"/>
    <n v="10990.39"/>
    <n v="258.20000000000005"/>
    <n v="11037.952570636022"/>
    <n v="9.4999999999999982"/>
    <n v="394.94592535440006"/>
    <n v="267.70000000000005"/>
    <n v="11432.898495990423"/>
    <n v="10990.39"/>
    <n v="0"/>
    <n v="394.94592535440006"/>
    <n v="442.5084959904234"/>
    <n v="0"/>
    <n v="0"/>
    <n v="0"/>
    <n v="10595"/>
    <n v="0"/>
    <n v="0"/>
    <n v="0"/>
    <n v="0"/>
  </r>
  <r>
    <x v="815"/>
    <s v="Sakhwa Ghat"/>
    <s v="MPG"/>
    <s v="Direct"/>
    <n v="435.9"/>
    <n v="17708.29"/>
    <n v="472.49999999999994"/>
    <n v="19325.893368582823"/>
    <n v="5.6999999999999993"/>
    <n v="227.39718711600005"/>
    <n v="478.19999999999993"/>
    <n v="19553.290555698823"/>
    <n v="17708.29"/>
    <n v="0"/>
    <n v="227.39718711600005"/>
    <n v="1845.0005556988217"/>
    <n v="0"/>
    <n v="0"/>
    <n v="0"/>
    <n v="17481"/>
    <n v="0"/>
    <n v="0"/>
    <n v="0"/>
    <n v="0"/>
  </r>
  <r>
    <x v="816"/>
    <s v="Patiya"/>
    <s v="MPG"/>
    <s v="Direct"/>
    <n v="293.40000000000003"/>
    <n v="10980.63"/>
    <n v="294.40000000000003"/>
    <n v="11804.2989293832"/>
    <n v="3.9"/>
    <n v="155.36546781600001"/>
    <n v="298.3"/>
    <n v="11959.6643971992"/>
    <n v="10980.63"/>
    <n v="0"/>
    <n v="155.36546781600001"/>
    <n v="979.03439719920061"/>
    <n v="0"/>
    <n v="0"/>
    <n v="0"/>
    <n v="10825"/>
    <n v="0"/>
    <n v="0"/>
    <n v="0"/>
    <n v="0"/>
  </r>
  <r>
    <x v="817"/>
    <s v="Kasiya"/>
    <s v="MPG"/>
    <s v="Direct"/>
    <n v="485.80000000000007"/>
    <n v="18823.78"/>
    <n v="481.6"/>
    <n v="19105.242402747797"/>
    <n v="3.8999999999999995"/>
    <n v="153.05826096000004"/>
    <n v="485.5"/>
    <n v="19258.300663707796"/>
    <n v="18823.78"/>
    <n v="0"/>
    <n v="153.05826096000004"/>
    <n v="434.52066370779721"/>
    <n v="0"/>
    <n v="0"/>
    <n v="0"/>
    <n v="18671"/>
    <n v="0"/>
    <n v="0"/>
    <n v="0"/>
    <s v="Release1"/>
  </r>
  <r>
    <x v="818"/>
    <s v="Belshandi"/>
    <s v="MPG"/>
    <s v="Direct"/>
    <n v="157.6"/>
    <n v="5934.8300000000008"/>
    <n v="144.5"/>
    <n v="5877.6332965009005"/>
    <n v="1.6"/>
    <n v="86.677377045"/>
    <n v="146.1"/>
    <n v="5964.3106735459005"/>
    <n v="5934.8300000000008"/>
    <n v="0"/>
    <n v="86.677377045"/>
    <n v="29.480673545899663"/>
    <n v="0"/>
    <n v="0"/>
    <n v="0"/>
    <n v="5848"/>
    <n v="0"/>
    <n v="0"/>
    <n v="0"/>
    <n v="0"/>
  </r>
  <r>
    <x v="819"/>
    <s v="Belshandi-2"/>
    <s v="MPG"/>
    <s v="Direct"/>
    <n v="142.1"/>
    <n v="6616.18"/>
    <n v="144.1"/>
    <n v="6738.9165641465197"/>
    <n v="1.7"/>
    <n v="70.59550212000002"/>
    <n v="145.79999999999998"/>
    <n v="6809.5120662665195"/>
    <n v="6616.18"/>
    <n v="0"/>
    <n v="70.59550212000002"/>
    <n v="193.33206626651918"/>
    <n v="0"/>
    <n v="558.12"/>
    <n v="0"/>
    <n v="5987"/>
    <n v="0"/>
    <n v="0"/>
    <n v="0"/>
    <s v="Release1"/>
  </r>
  <r>
    <x v="820"/>
    <s v="Godah"/>
    <s v="MPG"/>
    <s v="Direct"/>
    <n v="239.3"/>
    <n v="9077.65"/>
    <n v="309.10000000000002"/>
    <n v="11634.274508076003"/>
    <n v="0"/>
    <n v="0"/>
    <n v="309.10000000000002"/>
    <n v="11634.274508076003"/>
    <n v="9077.65"/>
    <n v="0"/>
    <n v="0"/>
    <n v="2556.6245080760036"/>
    <n v="0"/>
    <n v="0"/>
    <n v="0"/>
    <n v="9078"/>
    <n v="0"/>
    <n v="0"/>
    <n v="0"/>
    <n v="0"/>
  </r>
  <r>
    <x v="821"/>
    <s v="Ballahpur"/>
    <s v="MPG"/>
    <s v="Direct"/>
    <n v="85.9"/>
    <n v="3370.97"/>
    <n v="89.48"/>
    <n v="3463.7184489861447"/>
    <n v="0"/>
    <n v="0"/>
    <n v="89.48"/>
    <n v="3463.7184489861447"/>
    <n v="3370.97"/>
    <n v="0"/>
    <n v="0"/>
    <n v="92.748448986144922"/>
    <n v="0"/>
    <n v="0"/>
    <n v="0"/>
    <n v="3371"/>
    <n v="0"/>
    <n v="0"/>
    <n v="0"/>
    <n v="0"/>
  </r>
  <r>
    <x v="822"/>
    <s v="Laxmipur-VLC"/>
    <s v="vlc"/>
    <s v="Indirect"/>
    <n v="173.1"/>
    <n v="6237.19"/>
    <n v="0"/>
    <n v="0"/>
    <n v="0"/>
    <n v="0"/>
    <n v="0"/>
    <n v="0"/>
    <n v="6237.19"/>
    <n v="0"/>
    <n v="0"/>
    <n v="0"/>
    <n v="0"/>
    <n v="0"/>
    <n v="0"/>
    <n v="0"/>
    <n v="0"/>
    <n v="6237.19"/>
    <n v="0"/>
    <n v="0"/>
  </r>
  <r>
    <x v="823"/>
    <s v="Birpur"/>
    <s v="MPG"/>
    <s v="Direct"/>
    <n v="412.5"/>
    <n v="14199.67"/>
    <n v="360.51"/>
    <n v="12803.256761149802"/>
    <n v="0"/>
    <n v="0"/>
    <n v="360.51"/>
    <n v="12803.256761149802"/>
    <n v="12803.256761149802"/>
    <n v="0"/>
    <n v="0"/>
    <n v="0"/>
    <n v="0"/>
    <n v="0"/>
    <n v="0"/>
    <n v="12803"/>
    <n v="0"/>
    <n v="0"/>
    <n v="1397"/>
    <n v="0"/>
  </r>
  <r>
    <x v="824"/>
    <s v="Ahilwar"/>
    <s v="MPG"/>
    <s v="Direct"/>
    <n v="1256.4000000000001"/>
    <n v="50437"/>
    <n v="1166.8"/>
    <n v="48678.807372117255"/>
    <n v="5.5"/>
    <n v="206.81027928000003"/>
    <n v="1172.3"/>
    <n v="48885.617651397253"/>
    <n v="48885.617651397253"/>
    <n v="0"/>
    <n v="206.81027928000003"/>
    <n v="0"/>
    <n v="0"/>
    <n v="0"/>
    <n v="0"/>
    <n v="48679"/>
    <n v="0"/>
    <n v="0"/>
    <n v="1551"/>
    <n v="0"/>
  </r>
  <r>
    <x v="825"/>
    <s v="Paridah"/>
    <s v="MPG"/>
    <s v="Direct"/>
    <n v="182.1"/>
    <n v="7983.0199999999995"/>
    <n v="94.32"/>
    <n v="4105.393038979315"/>
    <n v="0"/>
    <n v="0"/>
    <n v="94.32"/>
    <n v="4105.393038979315"/>
    <n v="4105.393038979315"/>
    <n v="0"/>
    <n v="0"/>
    <n v="0"/>
    <n v="0"/>
    <n v="155.4"/>
    <n v="0"/>
    <n v="3950"/>
    <n v="0"/>
    <n v="0"/>
    <n v="3878"/>
    <s v="Release1"/>
  </r>
  <r>
    <x v="826"/>
    <s v="Pansalla"/>
    <s v="MPG"/>
    <s v="Direct"/>
    <n v="226.10000000000002"/>
    <n v="7880.28"/>
    <n v="289.3"/>
    <n v="10088.657236944"/>
    <n v="0"/>
    <n v="0"/>
    <n v="289.3"/>
    <n v="10088.657236944"/>
    <n v="7880.28"/>
    <n v="0"/>
    <n v="0"/>
    <n v="2208.3772369440003"/>
    <n v="0"/>
    <n v="0"/>
    <n v="0"/>
    <n v="7880"/>
    <n v="0"/>
    <n v="0"/>
    <n v="0"/>
    <s v="Release1"/>
  </r>
  <r>
    <x v="827"/>
    <s v="KOLAWARI"/>
    <s v="MPG"/>
    <s v="Direct"/>
    <n v="143.29999999999998"/>
    <n v="7344.4399999999987"/>
    <n v="109.89999999999999"/>
    <n v="5603.3127889171901"/>
    <n v="0"/>
    <n v="0"/>
    <n v="109.89999999999999"/>
    <n v="5603.3127889171901"/>
    <n v="5603.3127889171901"/>
    <n v="0"/>
    <n v="0"/>
    <n v="0"/>
    <n v="0"/>
    <n v="0"/>
    <n v="0"/>
    <n v="5604"/>
    <n v="0"/>
    <n v="0"/>
    <n v="1740"/>
    <n v="0"/>
  </r>
  <r>
    <x v="828"/>
    <s v="MALDAH"/>
    <s v="vlc"/>
    <s v="Indirect"/>
    <n v="791.40000000000009"/>
    <n v="31403.18"/>
    <n v="0"/>
    <n v="0"/>
    <n v="0"/>
    <n v="0"/>
    <n v="0"/>
    <n v="0"/>
    <n v="31403.18"/>
    <n v="0"/>
    <n v="0"/>
    <n v="0"/>
    <n v="0"/>
    <n v="0"/>
    <n v="0"/>
    <n v="0"/>
    <n v="0"/>
    <n v="31403.18"/>
    <n v="0"/>
    <n v="0"/>
  </r>
  <r>
    <x v="829"/>
    <s v="KARANCHI"/>
    <s v="MPG"/>
    <s v="Direct"/>
    <n v="161.1"/>
    <n v="6268.48"/>
    <n v="164"/>
    <n v="6275.5628499346221"/>
    <n v="0"/>
    <n v="0"/>
    <n v="164"/>
    <n v="6275.5628499346221"/>
    <n v="6268.48"/>
    <n v="0"/>
    <n v="0"/>
    <n v="7.0828499346225726"/>
    <n v="0"/>
    <n v="0"/>
    <n v="0"/>
    <n v="6268"/>
    <n v="0"/>
    <n v="0"/>
    <n v="0"/>
    <n v="0"/>
  </r>
  <r>
    <x v="830"/>
    <s v="MARTHUA"/>
    <s v="MPG"/>
    <s v="Direct"/>
    <n v="482.7"/>
    <n v="20238.829999999998"/>
    <n v="466.30999999999983"/>
    <n v="19417.674233692411"/>
    <n v="0"/>
    <n v="0"/>
    <n v="466.30999999999983"/>
    <n v="19417.674233692411"/>
    <n v="19417.674233692411"/>
    <n v="0"/>
    <n v="0"/>
    <n v="0"/>
    <n v="0"/>
    <n v="0"/>
    <n v="0"/>
    <n v="19418"/>
    <n v="0"/>
    <n v="0"/>
    <n v="821"/>
    <n v="0"/>
  </r>
  <r>
    <x v="831"/>
    <s v="GARHPURA "/>
    <s v="MPG"/>
    <s v="Direct"/>
    <n v="174"/>
    <n v="5625.0700000000006"/>
    <n v="176.2"/>
    <n v="6041.099002514401"/>
    <n v="0"/>
    <n v="0"/>
    <n v="176.2"/>
    <n v="6041.099002514401"/>
    <n v="5625.0700000000006"/>
    <n v="0"/>
    <n v="0"/>
    <n v="416.02900251440042"/>
    <n v="0"/>
    <n v="0"/>
    <n v="0"/>
    <n v="5625"/>
    <n v="0"/>
    <n v="0"/>
    <n v="0"/>
    <n v="0"/>
  </r>
  <r>
    <x v="832"/>
    <s v="KOKANI"/>
    <s v="MPG"/>
    <s v="Direct"/>
    <n v="118.7"/>
    <n v="4549.8900000000003"/>
    <n v="0"/>
    <n v="0"/>
    <n v="0"/>
    <n v="0"/>
    <n v="0"/>
    <n v="0"/>
    <n v="0"/>
    <n v="0"/>
    <n v="0"/>
    <n v="0"/>
    <n v="0"/>
    <n v="0"/>
    <n v="0"/>
    <n v="0"/>
    <n v="0"/>
    <n v="0"/>
    <n v="4550"/>
    <n v="0"/>
  </r>
  <r>
    <x v="833"/>
    <s v="DURGAPUR "/>
    <s v="MPG"/>
    <s v="Direct"/>
    <n v="393.2"/>
    <n v="16341.09"/>
    <n v="271.79999999999995"/>
    <n v="11903.972182025978"/>
    <n v="0"/>
    <n v="0"/>
    <n v="271.79999999999995"/>
    <n v="11903.972182025978"/>
    <n v="11903.972182025978"/>
    <n v="0"/>
    <n v="0"/>
    <n v="0"/>
    <n v="0"/>
    <n v="0"/>
    <n v="0"/>
    <n v="11904"/>
    <n v="0"/>
    <n v="0"/>
    <n v="4437"/>
    <n v="0"/>
  </r>
  <r>
    <x v="834"/>
    <s v="Chandauli"/>
    <s v="MPG"/>
    <s v="Direct"/>
    <n v="148.79999999999998"/>
    <n v="6353.3700000000017"/>
    <n v="164.2"/>
    <n v="7317.9070807111011"/>
    <n v="0"/>
    <n v="0"/>
    <n v="164.2"/>
    <n v="7317.9070807111011"/>
    <n v="6353.3700000000017"/>
    <n v="0"/>
    <n v="0"/>
    <n v="964.53708071109941"/>
    <n v="0"/>
    <n v="0"/>
    <n v="0"/>
    <n v="6353"/>
    <n v="0"/>
    <n v="0"/>
    <n v="0"/>
    <s v="Release1"/>
  </r>
  <r>
    <x v="835"/>
    <s v="Girdharpur"/>
    <s v="MPG"/>
    <s v="Direct"/>
    <n v="620.1"/>
    <n v="21683.5"/>
    <n v="620.1"/>
    <n v="21954.680058960002"/>
    <n v="0"/>
    <n v="0"/>
    <n v="620.1"/>
    <n v="21954.680058960002"/>
    <n v="21683.5"/>
    <n v="0"/>
    <n v="0"/>
    <n v="271.1800589600025"/>
    <n v="0"/>
    <n v="0"/>
    <n v="0"/>
    <n v="21683"/>
    <n v="0"/>
    <n v="0"/>
    <n v="1"/>
    <n v="0"/>
  </r>
  <r>
    <x v="836"/>
    <s v="MISHRBIGHA"/>
    <s v="MPG"/>
    <s v="Direct"/>
    <n v="747.50000000000011"/>
    <n v="40448.979999999996"/>
    <n v="864.45999999999981"/>
    <n v="46683.580223517798"/>
    <n v="0"/>
    <n v="0"/>
    <n v="864.45999999999981"/>
    <n v="46683.580223517798"/>
    <n v="40448.979999999996"/>
    <n v="0"/>
    <n v="0"/>
    <n v="6234.6002235178021"/>
    <n v="0"/>
    <n v="0"/>
    <n v="0"/>
    <n v="40449"/>
    <n v="0"/>
    <n v="0"/>
    <n v="0"/>
    <n v="0"/>
  </r>
  <r>
    <x v="837"/>
    <s v="DIGHOI"/>
    <s v="MPG"/>
    <s v="Direct"/>
    <n v="132.6"/>
    <n v="8106.93"/>
    <n v="126.45"/>
    <n v="8070.4248510123998"/>
    <n v="0"/>
    <n v="0"/>
    <n v="126.45"/>
    <n v="8070.4248510123998"/>
    <n v="8070.4248510123998"/>
    <n v="0"/>
    <n v="0"/>
    <n v="0"/>
    <n v="0"/>
    <n v="107.04158709677395"/>
    <n v="0"/>
    <n v="7963"/>
    <n v="0"/>
    <n v="0"/>
    <n v="37"/>
    <n v="0"/>
  </r>
  <r>
    <x v="838"/>
    <s v="PRATAPUR"/>
    <s v="MPG"/>
    <s v="Direct"/>
    <n v="1012.5000000000001"/>
    <n v="37986.86"/>
    <n v="1019.5000000000001"/>
    <n v="38455.824330791889"/>
    <n v="0"/>
    <n v="0"/>
    <n v="1019.5000000000001"/>
    <n v="38455.824330791889"/>
    <n v="37986.86"/>
    <n v="0"/>
    <n v="0"/>
    <n v="468.96433079188864"/>
    <n v="0"/>
    <n v="0"/>
    <n v="0"/>
    <n v="37987"/>
    <n v="0"/>
    <n v="0"/>
    <n v="0"/>
    <n v="0"/>
  </r>
  <r>
    <x v="839"/>
    <s v="GOPALPUR"/>
    <s v="MPG"/>
    <s v="Direct"/>
    <n v="448.70000000000005"/>
    <n v="18224.519999999997"/>
    <n v="431.89999999999992"/>
    <n v="18022.658192920302"/>
    <n v="0"/>
    <n v="0"/>
    <n v="431.89999999999992"/>
    <n v="18022.658192920302"/>
    <n v="18022.658192920302"/>
    <n v="0"/>
    <n v="0"/>
    <n v="0"/>
    <n v="0"/>
    <n v="0"/>
    <n v="0"/>
    <n v="18024"/>
    <n v="0"/>
    <n v="0"/>
    <n v="201"/>
    <n v="0"/>
  </r>
  <r>
    <x v="840"/>
    <s v="NARMDA"/>
    <s v="MPG"/>
    <s v="Direct"/>
    <n v="330.9"/>
    <n v="14654.560000000001"/>
    <n v="332.79999999999995"/>
    <n v="14665.169072412"/>
    <n v="0"/>
    <n v="0"/>
    <n v="332.79999999999995"/>
    <n v="14665.169072412"/>
    <n v="14654.560000000001"/>
    <n v="0"/>
    <n v="0"/>
    <n v="10.609072411998568"/>
    <n v="0"/>
    <n v="0"/>
    <n v="0"/>
    <n v="14655"/>
    <n v="0"/>
    <n v="0"/>
    <n v="0"/>
    <n v="0"/>
  </r>
  <r>
    <x v="841"/>
    <s v="AMRATH"/>
    <s v="MPG"/>
    <s v="Direct"/>
    <n v="1147.9000000000001"/>
    <n v="55022.879999999997"/>
    <n v="1147.9000000000001"/>
    <n v="54932.239160618301"/>
    <n v="0"/>
    <n v="0"/>
    <n v="1147.9000000000001"/>
    <n v="54932.239160618301"/>
    <n v="54932.239160618301"/>
    <n v="0"/>
    <n v="0"/>
    <n v="0"/>
    <n v="0"/>
    <n v="0"/>
    <n v="0"/>
    <n v="54932"/>
    <n v="0"/>
    <n v="0"/>
    <n v="91"/>
    <n v="0"/>
  </r>
  <r>
    <x v="842"/>
    <s v="PUTERIA"/>
    <s v="MPG"/>
    <s v="Direct"/>
    <n v="688.99999999999989"/>
    <n v="26282.320000000003"/>
    <n v="763.32999999999993"/>
    <n v="30616.194279430205"/>
    <n v="0"/>
    <n v="0"/>
    <n v="763.32999999999993"/>
    <n v="30616.194279430205"/>
    <n v="26282.320000000003"/>
    <n v="0"/>
    <n v="0"/>
    <n v="4333.8742794302016"/>
    <n v="0"/>
    <n v="0"/>
    <n v="0"/>
    <n v="26282"/>
    <n v="0"/>
    <n v="0"/>
    <n v="0"/>
    <n v="0"/>
  </r>
  <r>
    <x v="843"/>
    <s v="LAKHAPUR"/>
    <s v="MPG"/>
    <s v="Direct"/>
    <n v="684.09999999999991"/>
    <n v="28127.43"/>
    <n v="684.1"/>
    <n v="28127.097381533502"/>
    <n v="0"/>
    <n v="0"/>
    <n v="684.1"/>
    <n v="28127.097381533502"/>
    <n v="28127.097381533502"/>
    <n v="0"/>
    <n v="0"/>
    <n v="0"/>
    <n v="0"/>
    <n v="0"/>
    <n v="0"/>
    <n v="28127"/>
    <n v="0"/>
    <n v="0"/>
    <n v="0"/>
    <n v="0"/>
  </r>
  <r>
    <x v="844"/>
    <s v="BARIYARPUR"/>
    <s v="MPG"/>
    <s v="Direct"/>
    <n v="349.1"/>
    <n v="14521.34"/>
    <n v="349.09999999999997"/>
    <n v="14542.23750132"/>
    <n v="0"/>
    <n v="0"/>
    <n v="349.09999999999997"/>
    <n v="14542.23750132"/>
    <n v="14521.34"/>
    <n v="0"/>
    <n v="0"/>
    <n v="20.897501319999719"/>
    <n v="0"/>
    <n v="0"/>
    <n v="0"/>
    <n v="14521"/>
    <n v="0"/>
    <n v="0"/>
    <n v="0"/>
    <n v="0"/>
  </r>
  <r>
    <x v="845"/>
    <s v="BAGWANA"/>
    <s v="MPG"/>
    <s v="Direct"/>
    <n v="447.5"/>
    <n v="19366.689999999995"/>
    <n v="450.19999999999993"/>
    <n v="19453.225710336003"/>
    <n v="0"/>
    <n v="0"/>
    <n v="450.19999999999993"/>
    <n v="19453.225710336003"/>
    <n v="19366.689999999995"/>
    <n v="0"/>
    <n v="0"/>
    <n v="86.535710336007469"/>
    <n v="0"/>
    <n v="0"/>
    <n v="0"/>
    <n v="19367"/>
    <n v="0"/>
    <n v="0"/>
    <n v="0"/>
    <n v="0"/>
  </r>
  <r>
    <x v="846"/>
    <s v="REWATA"/>
    <s v="MPG"/>
    <s v="Direct"/>
    <n v="31.299999999999997"/>
    <n v="1573.85"/>
    <n v="31.3"/>
    <n v="1564.9429289736001"/>
    <n v="0"/>
    <n v="0"/>
    <n v="31.3"/>
    <n v="1564.9429289736001"/>
    <n v="1564.9429289736001"/>
    <n v="0"/>
    <n v="0"/>
    <n v="0"/>
    <n v="0"/>
    <n v="0"/>
    <n v="0"/>
    <n v="1565"/>
    <n v="0"/>
    <n v="0"/>
    <n v="9"/>
    <n v="0"/>
  </r>
  <r>
    <x v="847"/>
    <s v="GOMUKH DAND"/>
    <s v="vlc"/>
    <s v="Indirect"/>
    <n v="283.29999999999995"/>
    <n v="11736.43"/>
    <n v="0"/>
    <n v="0"/>
    <n v="0"/>
    <n v="0"/>
    <n v="0"/>
    <n v="0"/>
    <n v="11736.43"/>
    <n v="0"/>
    <n v="0"/>
    <n v="0"/>
    <n v="0"/>
    <n v="0"/>
    <n v="0"/>
    <n v="0"/>
    <n v="0"/>
    <n v="11736.43"/>
    <n v="0"/>
    <n v="0"/>
  </r>
  <r>
    <x v="848"/>
    <s v="Gomukh Karisath"/>
    <s v="MPG"/>
    <s v="Direct"/>
    <n v="315.60000000000002"/>
    <n v="11097.85"/>
    <n v="312.83999999999997"/>
    <n v="11175.947929080001"/>
    <n v="0"/>
    <n v="0"/>
    <n v="312.83999999999997"/>
    <n v="11175.947929080001"/>
    <n v="11097.85"/>
    <n v="0"/>
    <n v="0"/>
    <n v="78.09792908000054"/>
    <n v="8960"/>
    <n v="0"/>
    <n v="0"/>
    <n v="2138"/>
    <n v="0"/>
    <n v="0"/>
    <n v="0"/>
    <n v="0"/>
  </r>
  <r>
    <x v="849"/>
    <s v="Gomukh Ama"/>
    <s v="MPG"/>
    <s v="Direct"/>
    <n v="633.20000000000005"/>
    <n v="22217.670000000002"/>
    <n v="633.01"/>
    <n v="22168.05734694354"/>
    <n v="0"/>
    <n v="0"/>
    <n v="633.01"/>
    <n v="22168.05734694354"/>
    <n v="22168.05734694354"/>
    <n v="0"/>
    <n v="0"/>
    <n v="0"/>
    <n v="14080"/>
    <n v="0"/>
    <n v="0"/>
    <n v="8088"/>
    <n v="0"/>
    <n v="0"/>
    <n v="50"/>
    <n v="0"/>
  </r>
  <r>
    <x v="850"/>
    <s v="Gomukh Pawat"/>
    <s v="MPG"/>
    <s v="Direct"/>
    <n v="615.09999999999991"/>
    <n v="20969.54"/>
    <n v="706.4799999999999"/>
    <n v="29113.072820787751"/>
    <n v="0"/>
    <n v="0"/>
    <n v="706.4799999999999"/>
    <n v="29113.072820787751"/>
    <n v="20969.54"/>
    <n v="0"/>
    <n v="0"/>
    <n v="8143.5328207877501"/>
    <n v="15360"/>
    <n v="0"/>
    <n v="0"/>
    <n v="5610"/>
    <n v="0"/>
    <n v="0"/>
    <n v="0"/>
    <n v="0"/>
  </r>
  <r>
    <x v="851"/>
    <s v="Gomukh Barja"/>
    <s v="MPG"/>
    <s v="Direct"/>
    <n v="157.69999999999999"/>
    <n v="5830.28"/>
    <n v="155.44000000000003"/>
    <n v="5887.8558927000004"/>
    <n v="2.1"/>
    <n v="72.334666166400012"/>
    <n v="157.54000000000002"/>
    <n v="5960.1905588664004"/>
    <n v="5830.28"/>
    <n v="0"/>
    <n v="72.334666166400012"/>
    <n v="129.91055886640061"/>
    <n v="1280"/>
    <n v="0"/>
    <n v="0"/>
    <n v="4478"/>
    <n v="0"/>
    <n v="0"/>
    <n v="0"/>
    <s v="Release1"/>
  </r>
  <r>
    <x v="852"/>
    <s v="Gomukh Charghat"/>
    <s v="MPG"/>
    <s v="Direct"/>
    <n v="230.7"/>
    <n v="9281.4999999999982"/>
    <n v="236.83999999999997"/>
    <n v="9745.9683405480027"/>
    <n v="0"/>
    <n v="0"/>
    <n v="236.83999999999997"/>
    <n v="9745.9683405480027"/>
    <n v="9281.4999999999982"/>
    <n v="0"/>
    <n v="0"/>
    <n v="464.46834054800456"/>
    <n v="0"/>
    <n v="0"/>
    <n v="0"/>
    <n v="9281"/>
    <n v="0"/>
    <n v="0"/>
    <n v="0"/>
    <n v="0"/>
  </r>
  <r>
    <x v="853"/>
    <s v="Gomukh Ramdihra"/>
    <s v="MPG"/>
    <s v="Direct"/>
    <n v="113.99999999999999"/>
    <n v="3717.58"/>
    <n v="114"/>
    <n v="3762.1203840000007"/>
    <n v="0"/>
    <n v="0"/>
    <n v="114"/>
    <n v="3762.1203840000007"/>
    <n v="3717.58"/>
    <n v="0"/>
    <n v="0"/>
    <n v="44.540384000000813"/>
    <n v="3250"/>
    <n v="0"/>
    <n v="0"/>
    <n v="468"/>
    <n v="0"/>
    <n v="0"/>
    <n v="0"/>
    <s v="Release1"/>
  </r>
  <r>
    <x v="854"/>
    <s v="Gomukh Bara"/>
    <s v="MPG"/>
    <s v="Direct"/>
    <n v="426.69999999999993"/>
    <n v="15590.779999999997"/>
    <n v="438.36"/>
    <n v="18439.018775496006"/>
    <n v="0"/>
    <n v="0"/>
    <n v="438.36"/>
    <n v="18439.018775496006"/>
    <n v="15590.779999999997"/>
    <n v="0"/>
    <n v="0"/>
    <n v="2848.2387754960091"/>
    <n v="7680"/>
    <n v="0"/>
    <n v="0"/>
    <n v="7911"/>
    <n v="0"/>
    <n v="0"/>
    <n v="0"/>
    <s v="Release1"/>
  </r>
  <r>
    <x v="855"/>
    <s v="Gumukh Khajuriya"/>
    <s v="MPG"/>
    <s v="Direct"/>
    <n v="492"/>
    <n v="17737.310000000001"/>
    <n v="486.66999999999996"/>
    <n v="17557.068698848801"/>
    <n v="4.3500000000000005"/>
    <n v="165.51551412000003"/>
    <n v="491.02"/>
    <n v="17722.584212968803"/>
    <n v="17722.584212968803"/>
    <n v="0"/>
    <n v="165.51551412000003"/>
    <n v="0"/>
    <n v="2600"/>
    <n v="0"/>
    <n v="0"/>
    <n v="14957"/>
    <n v="0"/>
    <n v="0"/>
    <n v="15"/>
    <n v="0"/>
  </r>
  <r>
    <x v="857"/>
    <s v="GOMUKH BHATOLIYA"/>
    <s v="MPG"/>
    <s v="Direct"/>
    <n v="960.9000000000002"/>
    <n v="41682.960000000006"/>
    <n v="963.90000000000009"/>
    <n v="41709.248329037604"/>
    <n v="7.8"/>
    <n v="357.42707034649999"/>
    <n v="971.7"/>
    <n v="42066.675399384105"/>
    <n v="41682.960000000006"/>
    <n v="25028"/>
    <n v="357.42707034649999"/>
    <n v="383.71539938409842"/>
    <n v="0"/>
    <n v="0"/>
    <n v="0"/>
    <n v="16298"/>
    <n v="0"/>
    <n v="0"/>
    <n v="0"/>
    <n v="0"/>
  </r>
  <r>
    <x v="858"/>
    <s v="GOMUKH CHEHRAKALA"/>
    <s v="MPG"/>
    <s v="Direct"/>
    <n v="324.3"/>
    <n v="14864.53"/>
    <n v="314"/>
    <n v="14962.024067338822"/>
    <n v="0"/>
    <n v="0"/>
    <n v="314"/>
    <n v="14962.024067338822"/>
    <n v="14864.53"/>
    <n v="0"/>
    <n v="0"/>
    <n v="97.494067338820969"/>
    <n v="0"/>
    <n v="0"/>
    <n v="0"/>
    <n v="14865"/>
    <n v="0"/>
    <n v="0"/>
    <n v="0"/>
    <n v="0"/>
  </r>
  <r>
    <x v="859"/>
    <s v="GOMUKH KHAJECHAND"/>
    <s v="MPG"/>
    <s v="Direct"/>
    <n v="356.60000000000008"/>
    <n v="14396.53"/>
    <n v="379.7"/>
    <n v="15418.020380422"/>
    <n v="0"/>
    <n v="0"/>
    <n v="379.7"/>
    <n v="15418.020380422"/>
    <n v="14396.53"/>
    <n v="6389"/>
    <n v="0"/>
    <n v="1021.4903804219994"/>
    <n v="0"/>
    <n v="0"/>
    <n v="0"/>
    <n v="8008"/>
    <n v="0"/>
    <n v="0"/>
    <n v="0"/>
    <n v="0"/>
  </r>
  <r>
    <x v="860"/>
    <s v="GOMUKH SALEMPUR"/>
    <s v="MPG"/>
    <s v="Direct"/>
    <n v="173.1"/>
    <n v="7384.6100000000006"/>
    <n v="169.6"/>
    <n v="7402.2411970893008"/>
    <n v="3.2000000000000011"/>
    <n v="133.09638724800001"/>
    <n v="172.79999999999998"/>
    <n v="7535.3375843373005"/>
    <n v="7384.6100000000006"/>
    <n v="0"/>
    <n v="133.09638724800001"/>
    <n v="150.72758433729996"/>
    <n v="0"/>
    <n v="0"/>
    <n v="0"/>
    <n v="7252"/>
    <n v="0"/>
    <n v="0"/>
    <n v="0"/>
    <n v="0"/>
  </r>
  <r>
    <x v="861"/>
    <s v="Gomukh Paharpur"/>
    <s v="MPG"/>
    <s v="Direct"/>
    <n v="403.8"/>
    <n v="16975.249999999996"/>
    <n v="403.50000000000006"/>
    <n v="17624.384505675011"/>
    <n v="0"/>
    <n v="0"/>
    <n v="403.50000000000006"/>
    <n v="17624.384505675011"/>
    <n v="16975.249999999996"/>
    <n v="5257"/>
    <n v="0"/>
    <n v="649.13450567501422"/>
    <n v="0"/>
    <n v="0"/>
    <n v="0"/>
    <n v="11718"/>
    <n v="0"/>
    <n v="0"/>
    <n v="0"/>
    <n v="0"/>
  </r>
  <r>
    <x v="862"/>
    <s v="GOMUKH PREMRAJ"/>
    <s v="MPG"/>
    <s v="Direct"/>
    <n v="362.3"/>
    <n v="17338.28"/>
    <n v="387.6"/>
    <n v="18840.643799041001"/>
    <n v="3"/>
    <n v="132.84818316000002"/>
    <n v="390.6"/>
    <n v="18973.491982201002"/>
    <n v="17338.28"/>
    <n v="0"/>
    <n v="132.84818316000002"/>
    <n v="1635.2119822010027"/>
    <n v="0"/>
    <n v="0"/>
    <n v="0"/>
    <n v="17205"/>
    <n v="0"/>
    <n v="0"/>
    <n v="0"/>
    <n v="0"/>
  </r>
  <r>
    <x v="863"/>
    <s v="GOMUKH MAGURAHI"/>
    <s v="MPG"/>
    <s v="Direct"/>
    <n v="291.8"/>
    <n v="14135.87"/>
    <n v="273.60000000000002"/>
    <n v="13962.266154850939"/>
    <n v="5.4999999999999991"/>
    <n v="304.69156489379998"/>
    <n v="279.10000000000002"/>
    <n v="14266.957719744738"/>
    <n v="14135.87"/>
    <n v="0"/>
    <n v="304.69156489379998"/>
    <n v="131.08771974473711"/>
    <n v="0"/>
    <n v="0"/>
    <n v="0"/>
    <n v="13831"/>
    <n v="0"/>
    <n v="0"/>
    <n v="0"/>
    <n v="0"/>
  </r>
  <r>
    <x v="864"/>
    <s v="GOMUKH GANGATI"/>
    <s v="MPG"/>
    <s v="Direct"/>
    <n v="594.80000000000007"/>
    <n v="25589.989999999998"/>
    <n v="630.5"/>
    <n v="27175.192848405648"/>
    <n v="0"/>
    <n v="0"/>
    <n v="630.5"/>
    <n v="27175.192848405648"/>
    <n v="25589.989999999998"/>
    <n v="0"/>
    <n v="0"/>
    <n v="1585.20284840565"/>
    <n v="0"/>
    <n v="0"/>
    <n v="0"/>
    <n v="25590"/>
    <n v="0"/>
    <n v="0"/>
    <n v="0"/>
    <n v="0"/>
  </r>
  <r>
    <x v="865"/>
    <s v="GOMUKH Khanpatti"/>
    <s v="MPG"/>
    <s v="Direct"/>
    <n v="905.2"/>
    <n v="39930.439999999995"/>
    <n v="919.5"/>
    <n v="39746.249839732714"/>
    <n v="5.9"/>
    <n v="250.79847368399999"/>
    <n v="925.4"/>
    <n v="39997.048313416715"/>
    <n v="39930.439999999995"/>
    <n v="0"/>
    <n v="250.79847368399999"/>
    <n v="66.608313416720193"/>
    <n v="2600"/>
    <n v="0"/>
    <n v="0"/>
    <n v="37080"/>
    <n v="0"/>
    <n v="0"/>
    <n v="0"/>
    <s v="Release2"/>
  </r>
  <r>
    <x v="866"/>
    <s v="GOMUKH Bhagwatpur"/>
    <s v="MPG"/>
    <s v="Direct"/>
    <n v="474.00000000000006"/>
    <n v="19345.96"/>
    <n v="442.79999999999995"/>
    <n v="18451.718363213433"/>
    <n v="0"/>
    <n v="0"/>
    <n v="442.79999999999995"/>
    <n v="18451.718363213433"/>
    <n v="18451.718363213433"/>
    <n v="0"/>
    <n v="0"/>
    <n v="0"/>
    <n v="0"/>
    <n v="0"/>
    <n v="0"/>
    <n v="18451"/>
    <n v="0"/>
    <n v="0"/>
    <n v="895"/>
    <n v="0"/>
  </r>
  <r>
    <x v="867"/>
    <s v="GOMUKH JIRWARA"/>
    <s v="vlc"/>
    <s v="Indirect"/>
    <n v="244.9"/>
    <n v="9145.24"/>
    <n v="0"/>
    <n v="0"/>
    <n v="0"/>
    <n v="0"/>
    <n v="0"/>
    <n v="0"/>
    <n v="9145.24"/>
    <n v="0"/>
    <n v="0"/>
    <n v="0"/>
    <n v="0"/>
    <n v="0"/>
    <n v="0"/>
    <n v="0"/>
    <n v="0"/>
    <n v="9145.24"/>
    <n v="0"/>
    <n v="0"/>
  </r>
  <r>
    <x v="868"/>
    <s v="GOMUKH Karhatiya"/>
    <s v="vlc"/>
    <s v="Indirect"/>
    <n v="287.2"/>
    <n v="10611.400000000001"/>
    <n v="0"/>
    <n v="0"/>
    <n v="0"/>
    <n v="0"/>
    <n v="0"/>
    <n v="0"/>
    <n v="10611.400000000001"/>
    <n v="0"/>
    <n v="0"/>
    <n v="0"/>
    <n v="0"/>
    <n v="0"/>
    <n v="0"/>
    <n v="0"/>
    <n v="0"/>
    <n v="10611.400000000001"/>
    <n v="0"/>
    <n v="0"/>
  </r>
  <r>
    <x v="869"/>
    <s v="GOMUKH Karhatiya Bujurg"/>
    <s v="vlc"/>
    <s v="Indirect"/>
    <n v="254.69999999999996"/>
    <n v="8861.8000000000011"/>
    <n v="0"/>
    <n v="0"/>
    <n v="0"/>
    <n v="0"/>
    <n v="0"/>
    <n v="0"/>
    <n v="8861.8000000000011"/>
    <n v="0"/>
    <n v="0"/>
    <n v="0"/>
    <n v="0"/>
    <n v="0"/>
    <n v="0"/>
    <n v="0"/>
    <n v="0"/>
    <n v="8861.8000000000011"/>
    <n v="0"/>
    <n v="0"/>
  </r>
  <r>
    <x v="870"/>
    <s v="GOMUKH Bheraukhara"/>
    <s v="MPG"/>
    <s v="Direct"/>
    <n v="136"/>
    <n v="5036.82"/>
    <n v="141"/>
    <n v="5788.4813106530009"/>
    <n v="0"/>
    <n v="0"/>
    <n v="141"/>
    <n v="5788.4813106530009"/>
    <n v="5036.82"/>
    <n v="1015"/>
    <n v="0"/>
    <n v="751.66131065300124"/>
    <n v="0"/>
    <n v="0"/>
    <n v="0"/>
    <n v="4022"/>
    <n v="0"/>
    <n v="0"/>
    <n v="0"/>
    <s v="Release2"/>
  </r>
  <r>
    <x v="871"/>
    <s v="GOMUKH SUPOLTARIYA"/>
    <s v="MPG"/>
    <s v="Direct"/>
    <n v="513.69999999999993"/>
    <n v="22652.84"/>
    <n v="361.20000000000005"/>
    <n v="15529.845587518003"/>
    <n v="0"/>
    <n v="0"/>
    <n v="361.20000000000005"/>
    <n v="15529.845587518003"/>
    <n v="15529.845587518003"/>
    <n v="0"/>
    <n v="0"/>
    <n v="0"/>
    <n v="0"/>
    <n v="0"/>
    <n v="0"/>
    <n v="15530"/>
    <n v="0"/>
    <n v="0"/>
    <n v="7123"/>
    <n v="0"/>
  </r>
  <r>
    <x v="872"/>
    <s v="GOMUKH Shravanapatti"/>
    <s v="MPG"/>
    <s v="Direct"/>
    <n v="147.9"/>
    <n v="7394.81"/>
    <n v="96"/>
    <n v="5079.0639867623995"/>
    <n v="0"/>
    <n v="0"/>
    <n v="96"/>
    <n v="5079.0639867623995"/>
    <n v="5079.0639867623995"/>
    <n v="0"/>
    <n v="0"/>
    <n v="0"/>
    <n v="0"/>
    <n v="0"/>
    <n v="0"/>
    <n v="5079"/>
    <n v="0"/>
    <n v="0"/>
    <n v="2316"/>
    <n v="0"/>
  </r>
  <r>
    <x v="873"/>
    <s v="GOMUKH Jilwara"/>
    <s v="MPG"/>
    <s v="Direct"/>
    <n v="387.49999999999994"/>
    <n v="15184.140000000001"/>
    <n v="391.3"/>
    <n v="15575.9865650417"/>
    <n v="0"/>
    <n v="0"/>
    <n v="391.3"/>
    <n v="15575.9865650417"/>
    <n v="15184.140000000001"/>
    <n v="5182"/>
    <n v="0"/>
    <n v="391.84656504169834"/>
    <n v="0"/>
    <n v="0"/>
    <n v="0"/>
    <n v="10002"/>
    <n v="0"/>
    <n v="0"/>
    <n v="0"/>
    <n v="0"/>
  </r>
  <r>
    <x v="874"/>
    <s v="GOMUKH ABBUCHAK"/>
    <s v="MPG"/>
    <s v="Direct"/>
    <n v="276.10000000000002"/>
    <n v="11439.830000000002"/>
    <n v="287.59999999999997"/>
    <n v="12159.540021506004"/>
    <n v="0"/>
    <n v="0"/>
    <n v="287.59999999999997"/>
    <n v="12159.540021506004"/>
    <n v="11439.830000000002"/>
    <n v="2116"/>
    <n v="0"/>
    <n v="719.71002150600179"/>
    <n v="0"/>
    <n v="0"/>
    <n v="0"/>
    <n v="9324"/>
    <n v="0"/>
    <n v="0"/>
    <n v="0"/>
    <n v="0"/>
  </r>
  <r>
    <x v="875"/>
    <s v="GOMUKH KAILA JALALPUR"/>
    <s v="MPG"/>
    <s v="Direct"/>
    <n v="278.2"/>
    <n v="10518.790000000003"/>
    <n v="270.8"/>
    <n v="10223.977209210901"/>
    <n v="4.0999999999999996"/>
    <n v="161.21603520000002"/>
    <n v="274.90000000000003"/>
    <n v="10385.193244410901"/>
    <n v="10385.193244410901"/>
    <n v="0"/>
    <n v="161.21603520000002"/>
    <n v="0"/>
    <n v="0"/>
    <n v="0"/>
    <n v="0"/>
    <n v="10224"/>
    <n v="0"/>
    <n v="0"/>
    <n v="134"/>
    <n v="0"/>
  </r>
  <r>
    <x v="876"/>
    <s v="Gomukh Dumari"/>
    <s v="vlc"/>
    <s v="Indirect"/>
    <n v="116.10000000000001"/>
    <n v="4127.1900000000005"/>
    <n v="0"/>
    <n v="0"/>
    <n v="0"/>
    <n v="0"/>
    <n v="0"/>
    <n v="0"/>
    <n v="4127.1900000000005"/>
    <n v="0"/>
    <n v="0"/>
    <n v="0"/>
    <n v="0"/>
    <n v="0"/>
    <n v="0"/>
    <n v="0"/>
    <n v="0"/>
    <n v="4127.1900000000005"/>
    <n v="0"/>
    <n v="0"/>
  </r>
  <r>
    <x v="877"/>
    <s v="Gomukh Jhitkahi East"/>
    <s v="MPG"/>
    <s v="Direct"/>
    <n v="81.800000000000011"/>
    <n v="5289.75"/>
    <n v="66.8"/>
    <n v="4430.3134203828995"/>
    <n v="0"/>
    <n v="0"/>
    <n v="66.8"/>
    <n v="4430.3134203828995"/>
    <n v="4430.3134203828995"/>
    <n v="0"/>
    <n v="0"/>
    <n v="0"/>
    <n v="0"/>
    <n v="0"/>
    <n v="0"/>
    <n v="4429"/>
    <n v="0"/>
    <n v="0"/>
    <n v="861"/>
    <n v="0"/>
  </r>
  <r>
    <x v="878"/>
    <s v="GOMUKH UPHRAUL"/>
    <s v="vlc"/>
    <s v="Indirect"/>
    <n v="1077.3"/>
    <n v="38139.870000000003"/>
    <n v="0"/>
    <n v="0"/>
    <n v="0"/>
    <n v="0"/>
    <n v="0"/>
    <n v="0"/>
    <n v="38139.870000000003"/>
    <n v="0"/>
    <n v="0"/>
    <n v="0"/>
    <n v="0"/>
    <n v="0"/>
    <n v="0"/>
    <n v="0"/>
    <n v="0"/>
    <n v="38139.870000000003"/>
    <n v="0"/>
    <n v="0"/>
  </r>
  <r>
    <x v="879"/>
    <s v="GOMUKH SHERPUR"/>
    <s v="vlc"/>
    <s v="Indirect"/>
    <n v="135.89999999999998"/>
    <n v="4705.3899999999994"/>
    <n v="0"/>
    <n v="0"/>
    <n v="0"/>
    <n v="0"/>
    <n v="0"/>
    <n v="0"/>
    <n v="4705.3899999999994"/>
    <n v="0"/>
    <n v="0"/>
    <n v="0"/>
    <n v="0"/>
    <n v="0"/>
    <n v="0"/>
    <n v="0"/>
    <n v="0"/>
    <n v="4705.3899999999994"/>
    <n v="0"/>
    <n v="0"/>
  </r>
  <r>
    <x v="880"/>
    <s v="GOMUKH PACHAI"/>
    <s v="vlc"/>
    <s v="Indirect"/>
    <n v="431.70000000000005"/>
    <n v="15786.580000000002"/>
    <n v="0"/>
    <n v="0"/>
    <n v="0"/>
    <n v="0"/>
    <n v="0"/>
    <n v="0"/>
    <n v="15786.580000000002"/>
    <n v="0"/>
    <n v="0"/>
    <n v="0"/>
    <n v="0"/>
    <n v="0"/>
    <n v="0"/>
    <n v="0"/>
    <n v="0"/>
    <n v="15786.580000000002"/>
    <n v="0"/>
    <n v="0"/>
  </r>
  <r>
    <x v="881"/>
    <s v="GOMUKH GARAHI"/>
    <s v="vlc"/>
    <s v="Indirect"/>
    <n v="390.00000000000006"/>
    <n v="11934.070000000002"/>
    <n v="0"/>
    <n v="0"/>
    <n v="0"/>
    <n v="0"/>
    <n v="0"/>
    <n v="0"/>
    <n v="11934.070000000002"/>
    <n v="0"/>
    <n v="0"/>
    <n v="0"/>
    <n v="0"/>
    <n v="0"/>
    <n v="0"/>
    <n v="0"/>
    <n v="0"/>
    <n v="11934.070000000002"/>
    <n v="0"/>
    <n v="0"/>
  </r>
  <r>
    <x v="882"/>
    <s v="GOMUKH BAIKUNTHPUR"/>
    <s v="vlc"/>
    <s v="Indirect"/>
    <n v="129.69999999999999"/>
    <n v="4721.93"/>
    <n v="0"/>
    <n v="0"/>
    <n v="0"/>
    <n v="0"/>
    <n v="0"/>
    <n v="0"/>
    <n v="4721.93"/>
    <n v="0"/>
    <n v="0"/>
    <n v="0"/>
    <n v="0"/>
    <n v="0"/>
    <n v="0"/>
    <n v="0"/>
    <n v="0"/>
    <n v="4721.93"/>
    <n v="0"/>
    <n v="0"/>
  </r>
  <r>
    <x v="883"/>
    <s v="GOMUKH BAHASHI"/>
    <s v="vlc"/>
    <s v="Indirect"/>
    <n v="1103"/>
    <n v="41633.710000000006"/>
    <n v="0"/>
    <n v="0"/>
    <n v="0"/>
    <n v="0"/>
    <n v="0"/>
    <n v="0"/>
    <n v="41633.710000000006"/>
    <n v="0"/>
    <n v="0"/>
    <n v="0"/>
    <n v="0"/>
    <n v="0"/>
    <n v="0"/>
    <n v="0"/>
    <n v="0"/>
    <n v="41633.710000000006"/>
    <n v="0"/>
    <n v="0"/>
  </r>
  <r>
    <x v="959"/>
    <s v="GOMUKH RUSULPUR GANGATI"/>
    <s v="vlc"/>
    <s v="Indirect"/>
    <n v="62.9"/>
    <n v="2291.4499999999998"/>
    <n v="0"/>
    <n v="0"/>
    <n v="0"/>
    <n v="0"/>
    <n v="0"/>
    <n v="0"/>
    <n v="2291.4499999999998"/>
    <n v="0"/>
    <n v="0"/>
    <n v="0"/>
    <n v="0"/>
    <n v="0"/>
    <n v="0"/>
    <n v="0"/>
    <n v="0"/>
    <n v="2291.4499999999998"/>
    <n v="0"/>
    <n v="0"/>
  </r>
  <r>
    <x v="886"/>
    <s v="GOMUKH KHARIKA"/>
    <s v="vlc"/>
    <s v="Indirect"/>
    <n v="92.1"/>
    <n v="3284"/>
    <n v="0"/>
    <n v="0"/>
    <n v="0"/>
    <n v="0"/>
    <n v="0"/>
    <n v="0"/>
    <n v="3284"/>
    <n v="0"/>
    <n v="0"/>
    <n v="0"/>
    <n v="0"/>
    <n v="0"/>
    <n v="0"/>
    <n v="0"/>
    <n v="0"/>
    <n v="3284"/>
    <n v="0"/>
    <n v="0"/>
  </r>
  <r>
    <x v="887"/>
    <s v="GOMUKH KALYANPUR"/>
    <s v="vlc"/>
    <s v="Indirect"/>
    <n v="69.599999999999994"/>
    <n v="2351.4299999999998"/>
    <n v="0"/>
    <n v="0"/>
    <n v="0"/>
    <n v="0"/>
    <n v="0"/>
    <n v="0"/>
    <n v="2351.4299999999998"/>
    <n v="0"/>
    <n v="0"/>
    <n v="0"/>
    <n v="0"/>
    <n v="0"/>
    <n v="0"/>
    <n v="0"/>
    <n v="0"/>
    <n v="2351.4299999999998"/>
    <n v="0"/>
    <n v="0"/>
  </r>
  <r>
    <x v="888"/>
    <s v="GOMUKH HARPUR RAJESH"/>
    <s v="vlc"/>
    <s v="Indirect"/>
    <n v="144.99999999999997"/>
    <n v="6302.48"/>
    <n v="0"/>
    <n v="0"/>
    <n v="0"/>
    <n v="0"/>
    <n v="0"/>
    <n v="0"/>
    <n v="6302.48"/>
    <n v="0"/>
    <n v="0"/>
    <n v="0"/>
    <n v="0"/>
    <n v="0"/>
    <n v="0"/>
    <n v="0"/>
    <n v="0"/>
    <n v="6302.48"/>
    <n v="0"/>
    <n v="0"/>
  </r>
  <r>
    <x v="889"/>
    <s v="GOMUKH SANICHAR HATT"/>
    <s v="vlc"/>
    <s v="Indirect"/>
    <n v="333.5"/>
    <n v="13582.15"/>
    <n v="0"/>
    <n v="0"/>
    <n v="0"/>
    <n v="0"/>
    <n v="0"/>
    <n v="0"/>
    <n v="13582.15"/>
    <n v="0"/>
    <n v="0"/>
    <n v="0"/>
    <n v="0"/>
    <n v="0"/>
    <n v="0"/>
    <n v="0"/>
    <n v="0"/>
    <n v="13582.15"/>
    <n v="0"/>
    <n v="0"/>
  </r>
  <r>
    <x v="890"/>
    <s v="GOMUKH SAHARIYA"/>
    <s v="vlc"/>
    <s v="Indirect"/>
    <n v="297.39999999999998"/>
    <n v="11588.71"/>
    <n v="0"/>
    <n v="0"/>
    <n v="0"/>
    <n v="0"/>
    <n v="0"/>
    <n v="0"/>
    <n v="11588.71"/>
    <n v="0"/>
    <n v="0"/>
    <n v="0"/>
    <n v="0"/>
    <n v="0"/>
    <n v="0"/>
    <n v="0"/>
    <n v="0"/>
    <n v="11588.71"/>
    <n v="0"/>
    <n v="0"/>
  </r>
  <r>
    <x v="892"/>
    <s v="Karua"/>
    <s v="MPG"/>
    <s v="Direct"/>
    <n v="154.4"/>
    <n v="6419.5400000000009"/>
    <n v="150.4"/>
    <n v="6429.2795091280495"/>
    <n v="0"/>
    <n v="0"/>
    <n v="150.4"/>
    <n v="6429.2795091280495"/>
    <n v="6419.5400000000009"/>
    <n v="0"/>
    <n v="0"/>
    <n v="9.7395091280486668"/>
    <n v="0"/>
    <n v="0"/>
    <n v="0"/>
    <n v="6420"/>
    <n v="0"/>
    <n v="0"/>
    <n v="0"/>
    <n v="0"/>
  </r>
  <r>
    <x v="893"/>
    <s v="Erout"/>
    <s v="MPG"/>
    <s v="Direct"/>
    <n v="132.5"/>
    <n v="6470.4000000000005"/>
    <n v="132.49999999999997"/>
    <n v="6471.8744012004008"/>
    <n v="0"/>
    <n v="0"/>
    <n v="132.49999999999997"/>
    <n v="6471.8744012004008"/>
    <n v="6470.4000000000005"/>
    <n v="0"/>
    <n v="0"/>
    <n v="1.4744012004002798"/>
    <n v="0"/>
    <n v="0"/>
    <n v="0"/>
    <n v="6470"/>
    <n v="0"/>
    <n v="0"/>
    <n v="0"/>
    <n v="0"/>
  </r>
  <r>
    <x v="894"/>
    <s v="Murli"/>
    <s v="MPG"/>
    <s v="Direct"/>
    <n v="151.49999999999997"/>
    <n v="7771.6100000000006"/>
    <n v="146.89999999999995"/>
    <n v="7745.9961945254008"/>
    <n v="0.60000000000000009"/>
    <n v="28.228516147640008"/>
    <n v="147.49999999999994"/>
    <n v="7774.224710673041"/>
    <n v="7771.6100000000006"/>
    <n v="0"/>
    <n v="28.228516147640008"/>
    <n v="2.614710673040463"/>
    <n v="0"/>
    <n v="0"/>
    <n v="0"/>
    <n v="7743"/>
    <n v="0"/>
    <n v="0"/>
    <n v="0"/>
    <n v="0"/>
  </r>
  <r>
    <x v="895"/>
    <s v="Mahespur"/>
    <s v="MPG"/>
    <s v="Direct"/>
    <n v="84.100000000000009"/>
    <n v="3587.98"/>
    <n v="84.600000000000009"/>
    <n v="3571.9600884501601"/>
    <n v="0"/>
    <n v="0"/>
    <n v="84.600000000000009"/>
    <n v="3571.9600884501601"/>
    <n v="3571.9600884501601"/>
    <n v="0"/>
    <n v="0"/>
    <n v="0"/>
    <n v="0"/>
    <n v="0"/>
    <n v="0"/>
    <n v="3572"/>
    <n v="0"/>
    <n v="0"/>
    <n v="16"/>
    <n v="0"/>
  </r>
  <r>
    <x v="896"/>
    <s v="Raj Nagar"/>
    <s v="MPG"/>
    <s v="Direct"/>
    <n v="784.5"/>
    <n v="31108.919999999995"/>
    <n v="784.49999999999989"/>
    <n v="31107.63388392"/>
    <n v="0"/>
    <n v="0"/>
    <n v="784.49999999999989"/>
    <n v="31107.63388392"/>
    <n v="31107.63388392"/>
    <n v="0"/>
    <n v="0"/>
    <n v="0"/>
    <n v="0"/>
    <n v="0"/>
    <n v="0"/>
    <n v="31108"/>
    <n v="0"/>
    <n v="0"/>
    <n v="1"/>
    <n v="0"/>
  </r>
  <r>
    <x v="897"/>
    <s v="Nauapokhar"/>
    <s v="MPG"/>
    <s v="Direct"/>
    <n v="242.8"/>
    <n v="11455.929999999998"/>
    <n v="250.8"/>
    <n v="11401.851049541201"/>
    <n v="1.1000000000000001"/>
    <n v="50.122045933760013"/>
    <n v="251.9"/>
    <n v="11451.973095474961"/>
    <n v="11451.973095474961"/>
    <n v="0"/>
    <n v="50.122045933760013"/>
    <n v="0"/>
    <n v="0"/>
    <n v="0"/>
    <n v="0"/>
    <n v="11402"/>
    <n v="0"/>
    <n v="0"/>
    <n v="4"/>
    <n v="0"/>
  </r>
  <r>
    <x v="898"/>
    <s v="Erout 2"/>
    <s v="vlc"/>
    <s v="Indirect"/>
    <n v="383.50000000000006"/>
    <n v="13563.080000000002"/>
    <n v="0"/>
    <n v="0"/>
    <n v="0"/>
    <n v="0"/>
    <n v="0"/>
    <n v="0"/>
    <n v="13563.080000000002"/>
    <n v="0"/>
    <n v="0"/>
    <n v="0"/>
    <n v="0"/>
    <n v="0"/>
    <n v="0"/>
    <n v="0"/>
    <n v="0"/>
    <n v="13563.080000000002"/>
    <n v="0"/>
    <n v="0"/>
  </r>
  <r>
    <x v="899"/>
    <s v="Parsuram"/>
    <s v="vlc"/>
    <s v="Indirect"/>
    <n v="124.89999999999999"/>
    <n v="3905.6899999999996"/>
    <n v="0"/>
    <n v="0"/>
    <n v="0"/>
    <n v="0"/>
    <n v="0"/>
    <n v="0"/>
    <n v="3905.6899999999996"/>
    <n v="0"/>
    <n v="0"/>
    <n v="0"/>
    <n v="0"/>
    <n v="0"/>
    <n v="0"/>
    <n v="0"/>
    <n v="0"/>
    <n v="3905.6899999999996"/>
    <n v="0"/>
    <n v="0"/>
  </r>
  <r>
    <x v="900"/>
    <s v="Gudarghat"/>
    <s v="vlc"/>
    <s v="Indirect"/>
    <n v="280.59999999999997"/>
    <n v="10444.450000000001"/>
    <n v="0"/>
    <n v="0"/>
    <n v="0"/>
    <n v="0"/>
    <n v="0"/>
    <n v="0"/>
    <n v="10444.450000000001"/>
    <n v="0"/>
    <n v="0"/>
    <n v="0"/>
    <n v="0"/>
    <n v="0"/>
    <n v="0"/>
    <n v="0"/>
    <n v="0"/>
    <n v="10444.450000000001"/>
    <n v="0"/>
    <n v="0"/>
  </r>
  <r>
    <x v="901"/>
    <s v="Siripur Gohar"/>
    <s v="MPG"/>
    <s v="Direct"/>
    <n v="503.70000000000005"/>
    <n v="18357.480000000003"/>
    <n v="503.69999999999993"/>
    <n v="18357.397926120004"/>
    <n v="0"/>
    <n v="0"/>
    <n v="503.69999999999993"/>
    <n v="18357.397926120004"/>
    <n v="18357.397926120004"/>
    <n v="0"/>
    <n v="0"/>
    <n v="0"/>
    <n v="0"/>
    <n v="0"/>
    <n v="0"/>
    <n v="18357"/>
    <n v="0"/>
    <n v="0"/>
    <n v="0"/>
    <n v="0"/>
  </r>
  <r>
    <x v="902"/>
    <s v="Sedukha"/>
    <s v="MPG"/>
    <s v="Direct"/>
    <n v="210.3"/>
    <n v="7729.16"/>
    <n v="210.3"/>
    <n v="7721.0535164400007"/>
    <n v="0"/>
    <n v="0"/>
    <n v="210.3"/>
    <n v="7721.0535164400007"/>
    <n v="7721.0535164400007"/>
    <n v="0"/>
    <n v="0"/>
    <n v="0"/>
    <n v="0"/>
    <n v="0"/>
    <n v="0"/>
    <n v="7721"/>
    <n v="0"/>
    <n v="0"/>
    <n v="8"/>
    <n v="0"/>
  </r>
  <r>
    <x v="903"/>
    <s v="Maheshwara"/>
    <s v="MPG"/>
    <s v="Direct"/>
    <n v="173.1"/>
    <n v="6614.59"/>
    <n v="173.10000000000002"/>
    <n v="6616.3269506400002"/>
    <n v="0"/>
    <n v="0"/>
    <n v="173.10000000000002"/>
    <n v="6616.3269506400002"/>
    <n v="6614.59"/>
    <n v="0"/>
    <n v="0"/>
    <n v="1.7369506400000319"/>
    <n v="0"/>
    <n v="0"/>
    <n v="0"/>
    <n v="6615"/>
    <n v="0"/>
    <n v="0"/>
    <n v="0"/>
    <n v="0"/>
  </r>
  <r>
    <x v="904"/>
    <s v="Madhuban 2"/>
    <s v="vlc"/>
    <s v="Indirect"/>
    <n v="263.10000000000002"/>
    <n v="9318.1099999999988"/>
    <n v="0"/>
    <n v="0"/>
    <n v="0"/>
    <n v="0"/>
    <n v="0"/>
    <n v="0"/>
    <n v="9318.1099999999988"/>
    <n v="0"/>
    <n v="0"/>
    <n v="0"/>
    <n v="0"/>
    <n v="0"/>
    <n v="0"/>
    <n v="0"/>
    <n v="0"/>
    <n v="9318.1099999999988"/>
    <n v="0"/>
    <n v="0"/>
  </r>
  <r>
    <x v="906"/>
    <s v="Durgaashtan 2"/>
    <s v="vlc"/>
    <s v="Indirect"/>
    <n v="311.2"/>
    <n v="10732.54"/>
    <n v="0"/>
    <n v="0"/>
    <n v="0"/>
    <n v="0"/>
    <n v="0"/>
    <n v="0"/>
    <n v="10732.54"/>
    <n v="0"/>
    <n v="0"/>
    <n v="0"/>
    <n v="0"/>
    <n v="0"/>
    <n v="0"/>
    <n v="0"/>
    <n v="0"/>
    <n v="10732.54"/>
    <n v="0"/>
    <n v="0"/>
  </r>
  <r>
    <x v="907"/>
    <s v="Durgaashtan "/>
    <s v="vlc"/>
    <s v="Indirect"/>
    <n v="195.5"/>
    <n v="7107.45"/>
    <n v="0"/>
    <n v="0"/>
    <n v="0"/>
    <n v="0"/>
    <n v="0"/>
    <n v="0"/>
    <n v="7107.45"/>
    <n v="0"/>
    <n v="0"/>
    <n v="0"/>
    <n v="0"/>
    <n v="0"/>
    <n v="0"/>
    <n v="0"/>
    <n v="0"/>
    <n v="7107.45"/>
    <n v="0"/>
    <n v="0"/>
  </r>
  <r>
    <x v="908"/>
    <s v="DUMRA "/>
    <s v="MPG"/>
    <s v="Direct"/>
    <n v="913.89999999999964"/>
    <n v="35427.179999999993"/>
    <n v="888.19999999999993"/>
    <n v="33999.2762863682"/>
    <n v="8.3999999999999986"/>
    <n v="315.66082284000004"/>
    <n v="896.59999999999991"/>
    <n v="34314.9371092082"/>
    <n v="34314.9371092082"/>
    <n v="0"/>
    <n v="315.66082284000004"/>
    <n v="0"/>
    <n v="0"/>
    <n v="0"/>
    <n v="0"/>
    <n v="33999"/>
    <n v="0"/>
    <n v="0"/>
    <n v="1113"/>
    <n v="0"/>
  </r>
  <r>
    <x v="910"/>
    <s v="BALHA"/>
    <s v="MPG"/>
    <s v="Direct"/>
    <n v="880.56999999999994"/>
    <n v="37118.89"/>
    <n v="899.40000000000009"/>
    <n v="37997.223244627901"/>
    <n v="11.900000000000002"/>
    <n v="492.47879868000007"/>
    <n v="911.30000000000007"/>
    <n v="38489.702043307901"/>
    <n v="37118.89"/>
    <n v="0"/>
    <n v="492.47879868000007"/>
    <n v="1370.8120433079021"/>
    <n v="0"/>
    <n v="0"/>
    <n v="0"/>
    <n v="36626"/>
    <n v="0"/>
    <n v="0"/>
    <n v="0"/>
    <s v="Release2"/>
  </r>
  <r>
    <x v="911"/>
    <s v="BHARIHAR"/>
    <s v="MPG"/>
    <s v="Direct"/>
    <n v="147.86999999999998"/>
    <n v="5681.81"/>
    <n v="146.54999999999998"/>
    <n v="5630.558006700001"/>
    <n v="0.85"/>
    <n v="32.796349740000004"/>
    <n v="147.39999999999998"/>
    <n v="5663.3543564400006"/>
    <n v="5663.3543564400006"/>
    <n v="0"/>
    <n v="32.796349740000004"/>
    <n v="0"/>
    <n v="0"/>
    <n v="0"/>
    <n v="0"/>
    <n v="5631"/>
    <n v="0"/>
    <n v="0"/>
    <n v="18"/>
    <n v="0"/>
  </r>
  <r>
    <x v="912"/>
    <s v="BARA"/>
    <s v="MPG"/>
    <s v="Direct"/>
    <n v="169.83"/>
    <n v="7597.8200000000006"/>
    <n v="167.9"/>
    <n v="7507.3254287770014"/>
    <n v="1.2"/>
    <n v="56.281642334000004"/>
    <n v="169.1"/>
    <n v="7563.6070711110015"/>
    <n v="7563.6070711110015"/>
    <n v="0"/>
    <n v="56.281642334000004"/>
    <n v="0"/>
    <n v="0"/>
    <n v="0"/>
    <n v="0"/>
    <n v="7507"/>
    <n v="0"/>
    <n v="0"/>
    <n v="35"/>
    <n v="0"/>
  </r>
  <r>
    <x v="913"/>
    <s v="KABILASHI"/>
    <s v="MPG"/>
    <s v="Direct"/>
    <n v="195.17000000000002"/>
    <n v="10078.390000000001"/>
    <n v="124.6"/>
    <n v="6529.7538842277008"/>
    <n v="45.5"/>
    <n v="2529.9757132075001"/>
    <n v="170.1"/>
    <n v="9059.7295974352019"/>
    <n v="9059.7295974352019"/>
    <n v="0"/>
    <n v="228.24283905760004"/>
    <n v="0"/>
    <n v="0"/>
    <n v="0"/>
    <n v="0"/>
    <n v="6531"/>
    <n v="2302"/>
    <n v="0"/>
    <n v="1017"/>
    <n v="0"/>
  </r>
  <r>
    <x v="914"/>
    <s v="SULTANPUR"/>
    <s v="vlc"/>
    <s v="Indirect"/>
    <n v="260.49"/>
    <n v="10724.77"/>
    <n v="0"/>
    <n v="0"/>
    <n v="0"/>
    <n v="0"/>
    <n v="0"/>
    <n v="0"/>
    <n v="10724.77"/>
    <n v="0"/>
    <n v="0"/>
    <n v="0"/>
    <n v="0"/>
    <n v="0"/>
    <n v="0"/>
    <n v="0"/>
    <n v="0"/>
    <n v="10724.77"/>
    <n v="0"/>
    <n v="0"/>
  </r>
  <r>
    <x v="915"/>
    <s v="BHUSNA"/>
    <s v="MPG"/>
    <s v="Direct"/>
    <n v="119.86999999999999"/>
    <n v="5325.35"/>
    <n v="119.2"/>
    <n v="5296.0428717372015"/>
    <n v="0"/>
    <n v="0"/>
    <n v="119.2"/>
    <n v="5296.0428717372015"/>
    <n v="5296.0428717372015"/>
    <n v="0"/>
    <n v="0"/>
    <n v="0"/>
    <n v="0"/>
    <n v="0"/>
    <n v="0"/>
    <n v="5296"/>
    <n v="0"/>
    <n v="0"/>
    <n v="29"/>
    <n v="0"/>
  </r>
  <r>
    <x v="916"/>
    <s v="SUKUMARPUR"/>
    <s v="MPG"/>
    <s v="Direct"/>
    <n v="256.25"/>
    <n v="12557.65"/>
    <n v="269.2"/>
    <n v="13074.808753440002"/>
    <n v="0"/>
    <n v="0"/>
    <n v="269.2"/>
    <n v="13074.808753440002"/>
    <n v="12557.65"/>
    <n v="0"/>
    <n v="0"/>
    <n v="517.15875344000233"/>
    <n v="0"/>
    <n v="0"/>
    <n v="0"/>
    <n v="12558"/>
    <n v="0"/>
    <n v="0"/>
    <n v="0"/>
    <n v="0"/>
  </r>
  <r>
    <x v="917"/>
    <s v="SISAUNA VLC"/>
    <s v="vlc"/>
    <s v="Indirect"/>
    <n v="199.21"/>
    <n v="7878.84"/>
    <n v="0"/>
    <n v="0"/>
    <n v="0"/>
    <n v="0"/>
    <n v="0"/>
    <n v="0"/>
    <n v="7878.84"/>
    <n v="0"/>
    <n v="0"/>
    <n v="0"/>
    <n v="0"/>
    <n v="0"/>
    <n v="0"/>
    <n v="0"/>
    <n v="0"/>
    <n v="7878.84"/>
    <n v="0"/>
    <n v="0"/>
  </r>
  <r>
    <x v="918"/>
    <s v="Aditya Bishwas "/>
    <s v="vlc"/>
    <s v="Indirect"/>
    <n v="204.85999999999999"/>
    <n v="9161"/>
    <n v="0"/>
    <n v="0"/>
    <n v="0"/>
    <n v="0"/>
    <n v="0"/>
    <n v="0"/>
    <n v="9161"/>
    <n v="0"/>
    <n v="0"/>
    <n v="0"/>
    <n v="0"/>
    <n v="0"/>
    <n v="0"/>
    <n v="0"/>
    <n v="0"/>
    <n v="9161"/>
    <n v="0"/>
    <n v="0"/>
  </r>
  <r>
    <x v="919"/>
    <s v="Gomukh Vijaiya"/>
    <s v="MPG"/>
    <s v="Direct"/>
    <n v="173.89999999999998"/>
    <n v="6775.26"/>
    <n v="167.9"/>
    <n v="6873.2160323747994"/>
    <n v="0"/>
    <n v="0"/>
    <n v="167.9"/>
    <n v="6873.2160323747994"/>
    <n v="6775.26"/>
    <n v="0"/>
    <n v="0"/>
    <n v="97.956032374799179"/>
    <n v="0"/>
    <n v="0"/>
    <n v="0"/>
    <n v="6775"/>
    <n v="0"/>
    <n v="0"/>
    <n v="0"/>
    <n v="0"/>
  </r>
  <r>
    <x v="920"/>
    <s v="Gomukh Gangauli"/>
    <s v="MPG"/>
    <s v="Direct"/>
    <n v="1182.0999999999999"/>
    <n v="46966.960000000006"/>
    <n v="1079.8"/>
    <n v="43345.899408231999"/>
    <n v="0"/>
    <n v="0"/>
    <n v="1079.8"/>
    <n v="43345.899408231999"/>
    <n v="43345.899408231999"/>
    <n v="0"/>
    <n v="0"/>
    <n v="0"/>
    <n v="0"/>
    <n v="0"/>
    <n v="0"/>
    <n v="43345"/>
    <n v="0"/>
    <n v="0"/>
    <n v="3622"/>
    <n v="0"/>
  </r>
  <r>
    <x v="921"/>
    <s v="Gomukh KARRAKH"/>
    <s v="MPG"/>
    <s v="Direct"/>
    <n v="394.5"/>
    <n v="15085.789999999999"/>
    <n v="412.19999999999993"/>
    <n v="15967.492314494993"/>
    <n v="0"/>
    <n v="0"/>
    <n v="412.19999999999993"/>
    <n v="15967.492314494993"/>
    <n v="15085.789999999999"/>
    <n v="0"/>
    <n v="0"/>
    <n v="881.70231449499443"/>
    <n v="0"/>
    <n v="0"/>
    <n v="0"/>
    <n v="15086"/>
    <n v="0"/>
    <n v="0"/>
    <n v="0"/>
    <n v="0"/>
  </r>
  <r>
    <x v="922"/>
    <s v="MANDA"/>
    <s v="vlc"/>
    <s v="Indirect"/>
    <n v="139.80000000000004"/>
    <n v="5393.3899999999985"/>
    <n v="0"/>
    <n v="0"/>
    <n v="0"/>
    <n v="0"/>
    <n v="0"/>
    <n v="0"/>
    <n v="5393.3899999999985"/>
    <n v="0"/>
    <n v="0"/>
    <n v="0"/>
    <n v="0"/>
    <n v="0"/>
    <n v="0"/>
    <n v="0"/>
    <n v="0"/>
    <n v="5393.3899999999985"/>
    <n v="0"/>
    <n v="0"/>
  </r>
  <r>
    <x v="923"/>
    <s v="HAWASPUR"/>
    <s v="vlc"/>
    <s v="Indirect"/>
    <n v="107.80000000000001"/>
    <n v="3583.2200000000007"/>
    <n v="0"/>
    <n v="0"/>
    <n v="0"/>
    <n v="0"/>
    <n v="0"/>
    <n v="0"/>
    <n v="3583.2200000000007"/>
    <n v="0"/>
    <n v="0"/>
    <n v="0"/>
    <n v="0"/>
    <n v="0"/>
    <n v="0"/>
    <n v="0"/>
    <n v="0"/>
    <n v="3583.2200000000007"/>
    <n v="0"/>
    <n v="0"/>
  </r>
  <r>
    <x v="924"/>
    <s v="Gomukh Manda"/>
    <s v="MPG"/>
    <s v="Direct"/>
    <n v="339.8"/>
    <n v="13125.92"/>
    <n v="334.2"/>
    <n v="13334.364394543201"/>
    <n v="0"/>
    <n v="0"/>
    <n v="334.2"/>
    <n v="13334.364394543201"/>
    <n v="13125.92"/>
    <n v="0"/>
    <n v="0"/>
    <n v="208.44439454320127"/>
    <n v="0"/>
    <n v="0"/>
    <n v="0"/>
    <n v="13126"/>
    <n v="0"/>
    <n v="0"/>
    <n v="0"/>
    <n v="0"/>
  </r>
  <r>
    <x v="960"/>
    <s v="GOMUKH CHATAUNA W-2"/>
    <s v="MPG"/>
    <s v="Direct"/>
    <n v="208.70000000000002"/>
    <n v="10532.68"/>
    <n v="194.3"/>
    <n v="9961.476147124622"/>
    <n v="0"/>
    <n v="0"/>
    <n v="194.3"/>
    <n v="9961.476147124622"/>
    <n v="9961.476147124622"/>
    <n v="0"/>
    <n v="0"/>
    <n v="0"/>
    <n v="0"/>
    <n v="0"/>
    <n v="0"/>
    <n v="9962"/>
    <n v="0"/>
    <n v="0"/>
    <n v="571"/>
    <n v="0"/>
  </r>
  <r>
    <x v="961"/>
    <s v="GOMUKH TEERA JATMALPUR"/>
    <s v="MPG"/>
    <s v="Direct"/>
    <n v="267.60000000000002"/>
    <n v="10668.94"/>
    <n v="264.39999999999998"/>
    <n v="10515.494836711181"/>
    <n v="0.90000000000000013"/>
    <n v="40.348068871200006"/>
    <n v="265.29999999999995"/>
    <n v="10555.842905582382"/>
    <n v="10555.842905582382"/>
    <n v="0"/>
    <n v="40.348068871200006"/>
    <n v="0"/>
    <n v="0"/>
    <n v="0"/>
    <n v="0"/>
    <n v="10515"/>
    <n v="0"/>
    <n v="0"/>
    <n v="114"/>
    <n v="0"/>
  </r>
  <r>
    <x v="962"/>
    <s v="GOMUKH GOBARSITTHA"/>
    <s v="MPG"/>
    <s v="Direct"/>
    <n v="349.20000000000005"/>
    <n v="14358.33"/>
    <n v="344.9"/>
    <n v="14207.833482213598"/>
    <n v="0.89999999999999991"/>
    <n v="35.934797040000007"/>
    <n v="345.79999999999995"/>
    <n v="14243.768279253598"/>
    <n v="14243.768279253598"/>
    <n v="0"/>
    <n v="35.934797040000007"/>
    <n v="0"/>
    <n v="0"/>
    <n v="0"/>
    <n v="0"/>
    <n v="14208"/>
    <n v="0"/>
    <n v="0"/>
    <n v="114"/>
    <n v="0"/>
  </r>
  <r>
    <x v="963"/>
    <s v="GOMUKH UGHRA"/>
    <s v="MPG"/>
    <s v="Direct"/>
    <n v="136.79999999999998"/>
    <n v="5628.7800000000007"/>
    <n v="135.19999999999999"/>
    <n v="5610.2726352147001"/>
    <n v="0.79999999999999993"/>
    <n v="39.582251946799992"/>
    <n v="136"/>
    <n v="5649.8548871615003"/>
    <n v="5628.7800000000007"/>
    <n v="0"/>
    <n v="39.582251946799992"/>
    <n v="21.074887161499646"/>
    <n v="0"/>
    <n v="0"/>
    <n v="0"/>
    <n v="5589"/>
    <n v="0"/>
    <n v="0"/>
    <n v="0"/>
    <n v="0"/>
  </r>
  <r>
    <x v="964"/>
    <s v="GOMUKH BALUAHA"/>
    <s v="MPG"/>
    <s v="Direct"/>
    <n v="175.50000000000009"/>
    <n v="7462.9699999999984"/>
    <n v="175.69999999999996"/>
    <n v="7547.1608065612809"/>
    <n v="0.8"/>
    <n v="31.667696280000001"/>
    <n v="176.49999999999997"/>
    <n v="7578.8285028412811"/>
    <n v="7462.9699999999984"/>
    <n v="0"/>
    <n v="31.667696280000001"/>
    <n v="115.85850284128264"/>
    <n v="0"/>
    <n v="0"/>
    <n v="0"/>
    <n v="7431"/>
    <n v="0"/>
    <n v="0"/>
    <n v="0"/>
    <n v="0"/>
  </r>
  <r>
    <x v="965"/>
    <s v="GOMUKH DHAB WEST"/>
    <s v="vlc"/>
    <s v="Indirect"/>
    <n v="53.2"/>
    <n v="2011.58"/>
    <n v="0"/>
    <n v="0"/>
    <n v="0"/>
    <n v="0"/>
    <n v="0"/>
    <n v="0"/>
    <n v="2011.58"/>
    <n v="0"/>
    <n v="0"/>
    <n v="0"/>
    <n v="0"/>
    <n v="0"/>
    <n v="0"/>
    <n v="0"/>
    <n v="0"/>
    <n v="2011.58"/>
    <n v="0"/>
    <n v="0"/>
  </r>
  <r>
    <x v="966"/>
    <s v="GOMUKH JATMALPUR WEST"/>
    <s v="vlc"/>
    <s v="Indirect"/>
    <n v="72.8"/>
    <n v="2411.19"/>
    <n v="0"/>
    <n v="0"/>
    <n v="0"/>
    <n v="0"/>
    <n v="0"/>
    <n v="0"/>
    <n v="2411.19"/>
    <n v="0"/>
    <n v="0"/>
    <n v="0"/>
    <n v="0"/>
    <n v="0"/>
    <n v="0"/>
    <n v="0"/>
    <n v="0"/>
    <n v="2411.19"/>
    <n v="0"/>
    <n v="0"/>
  </r>
  <r>
    <x v="967"/>
    <s v="GOMUKH HAYAGHAT WEST"/>
    <s v="vlc"/>
    <s v="Indirect"/>
    <n v="1843.1999999999998"/>
    <n v="70073.440000000002"/>
    <n v="0"/>
    <n v="0"/>
    <n v="0"/>
    <n v="0"/>
    <n v="0"/>
    <n v="0"/>
    <n v="70073.440000000002"/>
    <n v="0"/>
    <n v="0"/>
    <n v="0"/>
    <n v="0"/>
    <n v="0"/>
    <n v="0"/>
    <n v="0"/>
    <n v="0"/>
    <n v="70073.440000000002"/>
    <n v="0"/>
    <n v="0"/>
  </r>
  <r>
    <x v="968"/>
    <s v="GOMUKH GHOGHARAHA"/>
    <s v="vlc"/>
    <s v="Indirect"/>
    <n v="631"/>
    <n v="23776.32"/>
    <n v="0"/>
    <n v="0"/>
    <n v="0"/>
    <n v="0"/>
    <n v="0"/>
    <n v="0"/>
    <n v="23776.32"/>
    <n v="0"/>
    <n v="0"/>
    <n v="0"/>
    <n v="0"/>
    <n v="0"/>
    <n v="0"/>
    <n v="0"/>
    <n v="0"/>
    <n v="23776.32"/>
    <n v="0"/>
    <n v="0"/>
  </r>
  <r>
    <x v="969"/>
    <s v="GOMUKH MORWARA"/>
    <s v="MPG"/>
    <s v="Direct"/>
    <n v="351.2"/>
    <n v="14016.88"/>
    <n v="351.70000000000005"/>
    <n v="13991.710987697597"/>
    <n v="0"/>
    <n v="0"/>
    <n v="351.70000000000005"/>
    <n v="13991.710987697597"/>
    <n v="13991.710987697597"/>
    <n v="0"/>
    <n v="0"/>
    <n v="0"/>
    <n v="0"/>
    <n v="0"/>
    <n v="0"/>
    <n v="13992"/>
    <n v="0"/>
    <n v="0"/>
    <n v="25"/>
    <n v="0"/>
  </r>
  <r>
    <x v="970"/>
    <s v="GOMUKH NIYAMCHAKHAIDAR"/>
    <s v="vlc"/>
    <s v="Indirect"/>
    <n v="413.59999999999991"/>
    <n v="13065.5"/>
    <n v="0"/>
    <n v="0"/>
    <n v="0"/>
    <n v="0"/>
    <n v="0"/>
    <n v="0"/>
    <n v="13065.5"/>
    <n v="0"/>
    <n v="0"/>
    <n v="0"/>
    <n v="0"/>
    <n v="0"/>
    <n v="0"/>
    <n v="0"/>
    <n v="0"/>
    <n v="13065.5"/>
    <n v="0"/>
    <n v="0"/>
  </r>
  <r>
    <x v="971"/>
    <s v="GOMUKH JATMAPUR WARD 1"/>
    <s v="vlc"/>
    <s v="Indirect"/>
    <n v="183.8"/>
    <n v="6200.07"/>
    <n v="0"/>
    <n v="0"/>
    <n v="0"/>
    <n v="0"/>
    <n v="0"/>
    <n v="0"/>
    <n v="6200.07"/>
    <n v="0"/>
    <n v="0"/>
    <n v="0"/>
    <n v="0"/>
    <n v="0"/>
    <n v="0"/>
    <n v="0"/>
    <n v="0"/>
    <n v="6200.07"/>
    <n v="0"/>
    <n v="0"/>
  </r>
  <r>
    <x v="972"/>
    <s v="GOMUKH JATMALPUR"/>
    <s v="MPG"/>
    <s v="Direct"/>
    <n v="154.80000000000004"/>
    <n v="6667.61"/>
    <n v="152.50000000000003"/>
    <n v="7016.4003729919214"/>
    <n v="0.8"/>
    <n v="33.733451070000001"/>
    <n v="153.30000000000004"/>
    <n v="7050.1338240619216"/>
    <n v="6667.61"/>
    <n v="0"/>
    <n v="33.733451070000001"/>
    <n v="382.52382406192191"/>
    <n v="0"/>
    <n v="0"/>
    <n v="0"/>
    <n v="6634"/>
    <n v="0"/>
    <n v="0"/>
    <n v="0"/>
    <n v="0"/>
  </r>
  <r>
    <x v="973"/>
    <s v="GOMUKH PURUSHOTTAMPUR WEST"/>
    <s v="vlc"/>
    <s v="Indirect"/>
    <n v="142.5"/>
    <n v="5309.68"/>
    <n v="0"/>
    <n v="0"/>
    <n v="0"/>
    <n v="0"/>
    <n v="0"/>
    <n v="0"/>
    <n v="5309.68"/>
    <n v="0"/>
    <n v="0"/>
    <n v="0"/>
    <n v="0"/>
    <n v="0"/>
    <n v="0"/>
    <n v="0"/>
    <n v="0"/>
    <n v="5309.68"/>
    <n v="0"/>
    <n v="0"/>
  </r>
  <r>
    <x v="974"/>
    <s v="GOMUKH NIMA CHAKHAIDER"/>
    <s v="vlc"/>
    <s v="Indirect"/>
    <n v="62.2"/>
    <n v="2369.06"/>
    <n v="0"/>
    <n v="0"/>
    <n v="0"/>
    <n v="0"/>
    <n v="0"/>
    <n v="0"/>
    <n v="2369.06"/>
    <n v="0"/>
    <n v="0"/>
    <n v="0"/>
    <n v="0"/>
    <n v="0"/>
    <n v="0"/>
    <n v="0"/>
    <n v="0"/>
    <n v="2369.06"/>
    <n v="0"/>
    <n v="0"/>
  </r>
  <r>
    <x v="975"/>
    <s v="Gomukh Barhetta"/>
    <s v="vlc"/>
    <s v="Indirect"/>
    <n v="838.6"/>
    <n v="30303.13"/>
    <n v="0"/>
    <n v="0"/>
    <n v="0"/>
    <n v="0"/>
    <n v="0"/>
    <n v="0"/>
    <n v="30303.13"/>
    <n v="0"/>
    <n v="0"/>
    <n v="0"/>
    <n v="0"/>
    <n v="0"/>
    <n v="0"/>
    <n v="0"/>
    <n v="0"/>
    <n v="30303.13"/>
    <n v="0"/>
    <n v="0"/>
  </r>
  <r>
    <x v="976"/>
    <s v="GOMUKH  MANORATHPUR"/>
    <s v="vlc"/>
    <s v="Indirect"/>
    <n v="142.5"/>
    <n v="4614.1499999999996"/>
    <n v="0"/>
    <n v="0"/>
    <n v="0"/>
    <n v="0"/>
    <n v="0"/>
    <n v="0"/>
    <n v="4614.1499999999996"/>
    <n v="0"/>
    <n v="0"/>
    <n v="0"/>
    <n v="0"/>
    <n v="0"/>
    <n v="0"/>
    <n v="0"/>
    <n v="0"/>
    <n v="4614.1499999999996"/>
    <n v="0"/>
    <n v="0"/>
  </r>
  <r>
    <x v="977"/>
    <s v="GOMUKH BHADOGHAT"/>
    <s v="vlc"/>
    <s v="Indirect"/>
    <n v="314.7"/>
    <n v="12698.32"/>
    <n v="0"/>
    <n v="0"/>
    <n v="0"/>
    <n v="0"/>
    <n v="0"/>
    <n v="0"/>
    <n v="12698.32"/>
    <n v="0"/>
    <n v="0"/>
    <n v="0"/>
    <n v="0"/>
    <n v="0"/>
    <n v="0"/>
    <n v="0"/>
    <n v="0"/>
    <n v="12698.32"/>
    <n v="0"/>
    <n v="0"/>
  </r>
  <r>
    <x v="978"/>
    <s v="GOMUKH BALUAHA"/>
    <s v="vlc"/>
    <s v="Indirect"/>
    <n v="75.7"/>
    <n v="2432.6400000000003"/>
    <n v="0"/>
    <n v="0"/>
    <n v="0"/>
    <n v="0"/>
    <n v="0"/>
    <n v="0"/>
    <n v="2432.6400000000003"/>
    <n v="0"/>
    <n v="0"/>
    <n v="0"/>
    <n v="0"/>
    <n v="0"/>
    <n v="0"/>
    <n v="0"/>
    <n v="0"/>
    <n v="2432.6400000000003"/>
    <n v="0"/>
    <n v="0"/>
  </r>
  <r>
    <x v="979"/>
    <s v="Gomukh Ghanharpur"/>
    <s v="MPG"/>
    <s v="Direct"/>
    <n v="1.6"/>
    <n v="54.19"/>
    <n v="0"/>
    <n v="0"/>
    <n v="0"/>
    <n v="0"/>
    <n v="0"/>
    <n v="0"/>
    <n v="0"/>
    <n v="0"/>
    <n v="0"/>
    <n v="0"/>
    <n v="0"/>
    <n v="0"/>
    <n v="0"/>
    <n v="0"/>
    <n v="0"/>
    <n v="0"/>
    <n v="54"/>
    <n v="0"/>
  </r>
  <r>
    <x v="0"/>
    <s v="Gomukh Kumbhi"/>
    <s v="MPG"/>
    <s v="Direct"/>
    <n v="679.4"/>
    <n v="25238.690000000002"/>
    <n v="667.49"/>
    <n v="24797.408795546984"/>
    <n v="8.11"/>
    <n v="316.78436334510008"/>
    <n v="675.6"/>
    <n v="25114.193158892085"/>
    <n v="25114.193158892085"/>
    <n v="0"/>
    <n v="316.78436334510008"/>
    <n v="0"/>
    <n v="0"/>
    <n v="0"/>
    <n v="0"/>
    <n v="24797"/>
    <n v="0"/>
    <n v="0"/>
    <n v="125"/>
    <n v="0"/>
  </r>
  <r>
    <x v="1"/>
    <s v="Gomukh Amba"/>
    <s v="MPG"/>
    <s v="Direct"/>
    <n v="29.099999999999998"/>
    <n v="908.66999999999985"/>
    <n v="29"/>
    <n v="861.32296800000006"/>
    <n v="0"/>
    <n v="0"/>
    <n v="29"/>
    <n v="861.32296800000006"/>
    <n v="861.32296800000006"/>
    <n v="0"/>
    <n v="0"/>
    <n v="0"/>
    <n v="0"/>
    <n v="25.220579999999995"/>
    <n v="0"/>
    <n v="836"/>
    <n v="0"/>
    <n v="0"/>
    <n v="47"/>
    <n v="0"/>
  </r>
  <r>
    <x v="2"/>
    <s v="Gomukh Jagdar                                                                                       "/>
    <s v="MPG"/>
    <s v="Direct"/>
    <n v="728.80000000000018"/>
    <n v="28814.5"/>
    <n v="737.05"/>
    <n v="29605.606748139457"/>
    <n v="9.1199999999999992"/>
    <n v="339.93486450000006"/>
    <n v="746.17"/>
    <n v="29945.541612639456"/>
    <n v="28814.5"/>
    <n v="0"/>
    <n v="339.93486450000006"/>
    <n v="1131.0416126394557"/>
    <n v="0"/>
    <n v="0"/>
    <n v="0"/>
    <n v="28475"/>
    <n v="0"/>
    <n v="0"/>
    <n v="0"/>
    <s v="Release1"/>
  </r>
  <r>
    <x v="3"/>
    <s v="Gomukh Goriyari"/>
    <s v="MPG"/>
    <s v="Direct"/>
    <n v="1204.7"/>
    <n v="47598.77"/>
    <n v="840"/>
    <n v="33161.953176000003"/>
    <n v="364.4"/>
    <n v="14381.796563640002"/>
    <n v="1204.4000000000001"/>
    <n v="47543.749739640007"/>
    <n v="47543.749739640007"/>
    <n v="0"/>
    <n v="204.60547800000001"/>
    <n v="0"/>
    <n v="0"/>
    <n v="0"/>
    <n v="0"/>
    <n v="33162"/>
    <n v="14178"/>
    <n v="0"/>
    <n v="54"/>
    <n v="0"/>
  </r>
  <r>
    <x v="4"/>
    <s v="Mohanpur - Chandan"/>
    <s v="vlc"/>
    <s v="Indirect"/>
    <n v="213.2"/>
    <n v="8476.4700000000012"/>
    <n v="0"/>
    <n v="0"/>
    <n v="0"/>
    <n v="0"/>
    <n v="0"/>
    <n v="0"/>
    <n v="8476.4700000000012"/>
    <n v="0"/>
    <n v="0"/>
    <n v="0"/>
    <n v="0"/>
    <n v="0"/>
    <n v="0"/>
    <n v="0"/>
    <n v="0"/>
    <n v="8476.4700000000012"/>
    <n v="0"/>
    <n v="0"/>
  </r>
  <r>
    <x v="5"/>
    <s v="Birpur-2 - Pankaj"/>
    <s v="vlc"/>
    <s v="Indirect"/>
    <n v="58"/>
    <n v="2465.58"/>
    <n v="0"/>
    <n v="0"/>
    <n v="0"/>
    <n v="0"/>
    <n v="0"/>
    <n v="0"/>
    <n v="2465.58"/>
    <n v="0"/>
    <n v="0"/>
    <n v="0"/>
    <n v="0"/>
    <n v="0"/>
    <n v="0"/>
    <n v="0"/>
    <n v="0"/>
    <n v="2465.58"/>
    <n v="0"/>
    <n v="0"/>
  </r>
  <r>
    <x v="6"/>
    <s v="Ekamba - Ashutosh"/>
    <s v="vlc"/>
    <s v="Indirect"/>
    <n v="974.20000000000039"/>
    <n v="36497.020000000004"/>
    <n v="0"/>
    <n v="0"/>
    <n v="0"/>
    <n v="0"/>
    <n v="0"/>
    <n v="0"/>
    <n v="36497.020000000004"/>
    <n v="0"/>
    <n v="0"/>
    <n v="0"/>
    <n v="0"/>
    <n v="0"/>
    <n v="0"/>
    <n v="0"/>
    <n v="0"/>
    <n v="36497.020000000004"/>
    <n v="0"/>
    <n v="0"/>
  </r>
  <r>
    <x v="925"/>
    <s v="Gomukh Dunahi"/>
    <s v="MPG"/>
    <s v="Direct"/>
    <n v="947.40000000000009"/>
    <n v="34908.569999999992"/>
    <n v="488.7"/>
    <n v="18162.837711018001"/>
    <n v="458.40000000000009"/>
    <n v="17043.970276080003"/>
    <n v="947.10000000000014"/>
    <n v="35206.807987098"/>
    <n v="34908.569999999992"/>
    <n v="0"/>
    <n v="236.81494980000002"/>
    <n v="298.23798709800758"/>
    <n v="0"/>
    <n v="59.835642857142773"/>
    <n v="0"/>
    <n v="17805"/>
    <n v="16807"/>
    <n v="0"/>
    <n v="0"/>
    <n v="0"/>
  </r>
  <r>
    <x v="7"/>
    <s v="GOMUKH BIRPUR PASCHIM                                                                               "/>
    <s v="MPG"/>
    <s v="Direct"/>
    <n v="140.30000000000001"/>
    <n v="5741.53"/>
    <n v="145"/>
    <n v="5865.3181620000005"/>
    <n v="0"/>
    <n v="0"/>
    <n v="145"/>
    <n v="5865.3181620000005"/>
    <n v="5741.53"/>
    <n v="0"/>
    <n v="0"/>
    <n v="123.78816200000074"/>
    <n v="0"/>
    <n v="0"/>
    <n v="0"/>
    <n v="5742"/>
    <n v="0"/>
    <n v="0"/>
    <n v="0"/>
    <n v="0"/>
  </r>
  <r>
    <x v="980"/>
    <s v="Gomukh Harigiridham                                                                                 "/>
    <s v="MPG"/>
    <s v="Direct"/>
    <n v="310.5"/>
    <n v="10255.82"/>
    <n v="20"/>
    <n v="668.46756240000002"/>
    <n v="290.5"/>
    <n v="9524.7562350600001"/>
    <n v="310.5"/>
    <n v="10193.223797459999"/>
    <n v="10193.223797459999"/>
    <n v="0"/>
    <n v="181.65057966000001"/>
    <n v="0"/>
    <n v="0"/>
    <n v="0"/>
    <n v="0"/>
    <n v="668"/>
    <n v="9348"/>
    <n v="0"/>
    <n v="58"/>
    <n v="0"/>
  </r>
  <r>
    <x v="8"/>
    <s v="Manish Dairy                                                                                        "/>
    <s v="vlc"/>
    <s v="Indirect"/>
    <n v="12715.6"/>
    <n v="452512.17"/>
    <n v="0"/>
    <n v="0"/>
    <n v="0"/>
    <n v="0"/>
    <n v="0"/>
    <n v="0"/>
    <n v="452512.17"/>
    <n v="0"/>
    <n v="0"/>
    <n v="0"/>
    <n v="0"/>
    <n v="0"/>
    <n v="0"/>
    <n v="0"/>
    <n v="0"/>
    <n v="452512.17"/>
    <n v="0"/>
    <n v="0"/>
  </r>
  <r>
    <x v="9"/>
    <s v="Gomukh Bhith-02"/>
    <s v="MPG"/>
    <s v="Direct"/>
    <n v="543.5"/>
    <n v="23414.389999999996"/>
    <n v="130.61999999999998"/>
    <n v="6280.2733442340377"/>
    <n v="460.72"/>
    <n v="22240.990058299849"/>
    <n v="591.34"/>
    <n v="28521.263402533885"/>
    <n v="23414.389999999996"/>
    <n v="0"/>
    <n v="0"/>
    <n v="5106.873402533889"/>
    <n v="0"/>
    <n v="200.99245423728811"/>
    <n v="0"/>
    <n v="973"/>
    <n v="22240"/>
    <n v="0"/>
    <n v="0"/>
    <n v="0"/>
  </r>
  <r>
    <x v="981"/>
    <s v="Gomukh Paguraha"/>
    <s v="MPG"/>
    <s v="Direct"/>
    <n v="109.79999999999998"/>
    <n v="3837.02"/>
    <n v="109.8"/>
    <n v="3810.459690576"/>
    <n v="0"/>
    <n v="0"/>
    <n v="109.8"/>
    <n v="3810.459690576"/>
    <n v="3810.459690576"/>
    <n v="0"/>
    <n v="0"/>
    <n v="0"/>
    <n v="0"/>
    <n v="0"/>
    <n v="0"/>
    <n v="3810"/>
    <n v="0"/>
    <n v="0"/>
    <n v="27"/>
    <n v="0"/>
  </r>
  <r>
    <x v="10"/>
    <s v="Gomukh Sharmatola Sahuri"/>
    <s v="MPG"/>
    <s v="Direct"/>
    <n v="1063.5"/>
    <n v="40713.340000000004"/>
    <n v="1041.8400000000001"/>
    <n v="39734.614175640301"/>
    <n v="23.6"/>
    <n v="885.14271133200009"/>
    <n v="1065.44"/>
    <n v="40619.756886972304"/>
    <n v="40619.756886972304"/>
    <n v="0"/>
    <n v="0"/>
    <n v="0"/>
    <n v="0"/>
    <n v="0"/>
    <n v="0"/>
    <n v="39735"/>
    <n v="885"/>
    <n v="0"/>
    <n v="93"/>
    <n v="0"/>
  </r>
  <r>
    <x v="11"/>
    <s v="Sangat- Sanjeev Kumar"/>
    <s v="vlc"/>
    <s v="Indirect"/>
    <n v="200.5"/>
    <n v="6895.5700000000006"/>
    <n v="0"/>
    <n v="0"/>
    <n v="0"/>
    <n v="0"/>
    <n v="0"/>
    <n v="0"/>
    <n v="6895.5700000000006"/>
    <n v="0"/>
    <n v="0"/>
    <n v="0"/>
    <n v="0"/>
    <n v="0"/>
    <n v="0"/>
    <n v="0"/>
    <n v="0"/>
    <n v="6895.5700000000006"/>
    <n v="0"/>
    <n v="0"/>
  </r>
  <r>
    <x v="12"/>
    <s v="Gomukh Garhi Bisanpur"/>
    <s v="MPG"/>
    <s v="Direct"/>
    <n v="187.9"/>
    <n v="7695.9799999999987"/>
    <n v="182.83999999999997"/>
    <n v="7622.5319240029676"/>
    <n v="3.71"/>
    <n v="151.56271733181998"/>
    <n v="186.54999999999998"/>
    <n v="7774.0946413347874"/>
    <n v="7695.9799999999987"/>
    <n v="0"/>
    <n v="151.56271733181998"/>
    <n v="78.114641334788757"/>
    <n v="0"/>
    <n v="0"/>
    <n v="0"/>
    <n v="7544"/>
    <n v="0"/>
    <n v="0"/>
    <n v="0"/>
    <n v="0"/>
  </r>
  <r>
    <x v="13"/>
    <s v="Bagaraha-Gopal Yadav"/>
    <s v="vlc"/>
    <s v="Indirect"/>
    <n v="147.6"/>
    <n v="4703.16"/>
    <n v="0"/>
    <n v="0"/>
    <n v="0"/>
    <n v="0"/>
    <n v="0"/>
    <n v="0"/>
    <n v="4703.16"/>
    <n v="0"/>
    <n v="0"/>
    <n v="0"/>
    <n v="0"/>
    <n v="13.52423225806449"/>
    <n v="0"/>
    <n v="0"/>
    <n v="0"/>
    <n v="4689.6357677419355"/>
    <n v="0"/>
    <n v="0"/>
  </r>
  <r>
    <x v="14"/>
    <s v="Gomukh Barkurwa"/>
    <s v="MPG"/>
    <s v="Direct"/>
    <n v="337.9"/>
    <n v="11904.32"/>
    <n v="173.9"/>
    <n v="6483.4100972388005"/>
    <n v="163.69999999999999"/>
    <n v="6568.8324887514946"/>
    <n v="337.6"/>
    <n v="13052.242585990294"/>
    <n v="11904.32"/>
    <n v="0"/>
    <n v="199.31271560640005"/>
    <n v="1147.9225859902945"/>
    <n v="0"/>
    <n v="0"/>
    <n v="0"/>
    <n v="5334"/>
    <n v="6371"/>
    <n v="0"/>
    <n v="0"/>
    <n v="0"/>
  </r>
  <r>
    <x v="15"/>
    <s v="Kamla- Amarjeet"/>
    <s v="vlc"/>
    <s v="Indirect"/>
    <n v="872.3"/>
    <n v="28434.49"/>
    <n v="0"/>
    <n v="0"/>
    <n v="0"/>
    <n v="0"/>
    <n v="0"/>
    <n v="0"/>
    <n v="28434.49"/>
    <n v="0"/>
    <n v="0"/>
    <n v="0"/>
    <n v="0"/>
    <n v="0"/>
    <n v="0"/>
    <n v="0"/>
    <n v="0"/>
    <n v="28434.49"/>
    <n v="0"/>
    <n v="0"/>
  </r>
  <r>
    <x v="16"/>
    <s v="Gomukh Goha-02"/>
    <s v="MPG"/>
    <s v="Direct"/>
    <n v="344.10000000000008"/>
    <n v="13782.68"/>
    <n v="338.9"/>
    <n v="13635.99274356"/>
    <n v="5"/>
    <n v="213.18561000000003"/>
    <n v="343.9"/>
    <n v="13849.178353560001"/>
    <n v="13782.68"/>
    <n v="0"/>
    <n v="213.18561000000003"/>
    <n v="66.498353560000396"/>
    <n v="0"/>
    <n v="0"/>
    <n v="0"/>
    <n v="13569"/>
    <n v="0"/>
    <n v="0"/>
    <n v="0"/>
    <n v="0"/>
  </r>
  <r>
    <x v="17"/>
    <s v="Gomukh Cheria Bariarpur"/>
    <s v="MPG"/>
    <s v="Direct"/>
    <n v="1286.7"/>
    <n v="49057.86"/>
    <n v="1311.75"/>
    <n v="49831.224095579273"/>
    <n v="1.2599999999999998"/>
    <n v="48.0554140176"/>
    <n v="1313.01"/>
    <n v="49879.279509596876"/>
    <n v="49057.86"/>
    <n v="0"/>
    <n v="48.0554140176"/>
    <n v="821.41950959687529"/>
    <n v="0"/>
    <n v="0"/>
    <n v="0"/>
    <n v="49010"/>
    <n v="0"/>
    <n v="0"/>
    <n v="0"/>
    <n v="0"/>
  </r>
  <r>
    <x v="18"/>
    <s v="Gomukh Rahul Nagar"/>
    <s v="MPG"/>
    <s v="Direct"/>
    <n v="451.2999999999999"/>
    <n v="15352.869999999999"/>
    <n v="450.54"/>
    <n v="18512.460211695561"/>
    <n v="25.04"/>
    <n v="991.95578835944013"/>
    <n v="475.58000000000004"/>
    <n v="19504.416000055"/>
    <n v="15352.869999999999"/>
    <n v="0"/>
    <n v="209.55984805544003"/>
    <n v="4151.5460000550011"/>
    <n v="0"/>
    <n v="0"/>
    <n v="0"/>
    <n v="14361"/>
    <n v="782"/>
    <n v="0"/>
    <n v="0"/>
    <s v="Release1"/>
  </r>
  <r>
    <x v="19"/>
    <s v="Gomukh Bagraha-01"/>
    <s v="MPG"/>
    <s v="Direct"/>
    <n v="118.19999999999999"/>
    <n v="5901.68"/>
    <n v="126"/>
    <n v="5147.7451739999997"/>
    <n v="0"/>
    <n v="0"/>
    <n v="126"/>
    <n v="5147.7451739999997"/>
    <n v="5147.7451739999997"/>
    <n v="0"/>
    <n v="0"/>
    <n v="0"/>
    <n v="0"/>
    <n v="0"/>
    <n v="0"/>
    <n v="5148"/>
    <n v="0"/>
    <n v="0"/>
    <n v="754"/>
    <n v="0"/>
  </r>
  <r>
    <x v="21"/>
    <s v="Gomukh Pirauna"/>
    <s v="MPG"/>
    <s v="Direct"/>
    <n v="186.79999999999998"/>
    <n v="7163.26"/>
    <n v="181.58"/>
    <n v="6883.172825740201"/>
    <n v="1.55"/>
    <n v="59.257793628000009"/>
    <n v="183.13000000000002"/>
    <n v="6942.4306193682014"/>
    <n v="6942.4306193682014"/>
    <n v="0"/>
    <n v="59.257793628000009"/>
    <n v="0"/>
    <n v="0"/>
    <n v="0"/>
    <n v="0"/>
    <n v="6883"/>
    <n v="0"/>
    <n v="0"/>
    <n v="221"/>
    <n v="0"/>
  </r>
  <r>
    <x v="22"/>
    <s v="Parra- Nagendra Kumar"/>
    <s v="vlc"/>
    <s v="Indirect"/>
    <n v="286.09999999999997"/>
    <n v="9229.61"/>
    <n v="0"/>
    <n v="0"/>
    <n v="0"/>
    <n v="0"/>
    <n v="0"/>
    <n v="0"/>
    <n v="9229.61"/>
    <n v="0"/>
    <n v="0"/>
    <n v="0"/>
    <n v="0"/>
    <n v="0"/>
    <n v="0"/>
    <n v="0"/>
    <n v="0"/>
    <n v="9229.61"/>
    <n v="0"/>
    <n v="0"/>
  </r>
  <r>
    <x v="23"/>
    <s v="Gomukh Basahi"/>
    <s v="MPG"/>
    <s v="Direct"/>
    <n v="780.49999999999989"/>
    <n v="30980.369999999995"/>
    <n v="772.46"/>
    <n v="31044.181737993596"/>
    <n v="7.2799999999999994"/>
    <n v="289.19549395440004"/>
    <n v="779.74"/>
    <n v="31333.377231947998"/>
    <n v="30980.369999999995"/>
    <n v="0"/>
    <n v="289.19549395440004"/>
    <n v="353.0072319480023"/>
    <n v="0"/>
    <n v="0"/>
    <n v="0"/>
    <n v="30691"/>
    <n v="0"/>
    <n v="0"/>
    <n v="0"/>
    <n v="0"/>
  </r>
  <r>
    <x v="24"/>
    <s v="Mohanpur- Mukesh Kumar"/>
    <s v="vlc"/>
    <s v="Indirect"/>
    <n v="1009.1000000000001"/>
    <n v="37529.67"/>
    <n v="0"/>
    <n v="0"/>
    <n v="0"/>
    <n v="0"/>
    <n v="0"/>
    <n v="0"/>
    <n v="37529.67"/>
    <n v="0"/>
    <n v="0"/>
    <n v="0"/>
    <n v="0"/>
    <n v="0"/>
    <n v="0"/>
    <n v="0"/>
    <n v="0"/>
    <n v="37529.67"/>
    <n v="0"/>
    <n v="0"/>
  </r>
  <r>
    <x v="25"/>
    <s v="Gomukh Sawantpur"/>
    <s v="MPG"/>
    <s v="Direct"/>
    <n v="1254.1999999999998"/>
    <n v="46437.560000000005"/>
    <n v="1407.48"/>
    <n v="51479.18975938861"/>
    <n v="5.96"/>
    <n v="212.27089959900005"/>
    <n v="1413.44"/>
    <n v="51691.460658987613"/>
    <n v="46437.560000000005"/>
    <n v="0"/>
    <n v="212.27089959900005"/>
    <n v="5253.900658987608"/>
    <n v="0"/>
    <n v="126.24017704918022"/>
    <n v="0"/>
    <n v="46099"/>
    <n v="0"/>
    <n v="0"/>
    <n v="0"/>
    <n v="0"/>
  </r>
  <r>
    <x v="26"/>
    <s v="Maida- Ram Kumar"/>
    <s v="vlc"/>
    <s v="Indirect"/>
    <n v="423.9"/>
    <n v="16806.739999999998"/>
    <n v="0"/>
    <n v="0"/>
    <n v="0"/>
    <n v="0"/>
    <n v="0"/>
    <n v="0"/>
    <n v="16806.739999999998"/>
    <n v="0"/>
    <n v="0"/>
    <n v="0"/>
    <n v="0"/>
    <n v="0"/>
    <n v="0"/>
    <n v="0"/>
    <n v="0"/>
    <n v="16806.739999999998"/>
    <n v="0"/>
    <n v="0"/>
  </r>
  <r>
    <x v="27"/>
    <s v="Gomukh Aure Bikrampur"/>
    <s v="MPG"/>
    <s v="Direct"/>
    <n v="1111"/>
    <n v="45445.2"/>
    <n v="1152.8900000000001"/>
    <n v="49208.598668330196"/>
    <n v="0"/>
    <n v="0"/>
    <n v="1152.8900000000001"/>
    <n v="49208.598668330196"/>
    <n v="45445.2"/>
    <n v="0"/>
    <n v="0"/>
    <n v="3763.3986683301991"/>
    <n v="0"/>
    <n v="98.16068852459"/>
    <n v="0"/>
    <n v="45347"/>
    <n v="0"/>
    <n v="0"/>
    <n v="0"/>
    <n v="0"/>
  </r>
  <r>
    <x v="28"/>
    <s v="Manjhaul- Gulshan Kumar"/>
    <s v="vlc"/>
    <s v="Indirect"/>
    <n v="893.30000000000007"/>
    <n v="32988.439999999995"/>
    <n v="0"/>
    <n v="0"/>
    <n v="0"/>
    <n v="0"/>
    <n v="0"/>
    <n v="0"/>
    <n v="32988.439999999995"/>
    <n v="0"/>
    <n v="0"/>
    <n v="0"/>
    <n v="0"/>
    <n v="0"/>
    <n v="0"/>
    <n v="0"/>
    <n v="0"/>
    <n v="32988.439999999995"/>
    <n v="0"/>
    <n v="0"/>
  </r>
  <r>
    <x v="29"/>
    <s v="Khaira Manjhaul"/>
    <s v="vlc"/>
    <s v="Indirect"/>
    <n v="404.09999999999997"/>
    <n v="14077.45"/>
    <n v="0"/>
    <n v="0"/>
    <n v="0"/>
    <n v="0"/>
    <n v="0"/>
    <n v="0"/>
    <n v="14077.45"/>
    <n v="0"/>
    <n v="0"/>
    <n v="0"/>
    <n v="0"/>
    <n v="0"/>
    <n v="0"/>
    <n v="0"/>
    <n v="0"/>
    <n v="14077.45"/>
    <n v="0"/>
    <n v="0"/>
  </r>
  <r>
    <x v="30"/>
    <s v="Mehda Shahpur"/>
    <s v="vlc"/>
    <s v="Indirect"/>
    <n v="731.5"/>
    <n v="26249.16"/>
    <n v="0"/>
    <n v="0"/>
    <n v="0"/>
    <n v="0"/>
    <n v="0"/>
    <n v="0"/>
    <n v="26249.16"/>
    <n v="0"/>
    <n v="0"/>
    <n v="0"/>
    <n v="0"/>
    <n v="0"/>
    <n v="0"/>
    <n v="0"/>
    <n v="0"/>
    <n v="26249.16"/>
    <n v="0"/>
    <n v="0"/>
  </r>
  <r>
    <x v="31"/>
    <s v="Shri Bhairav Laxmipur"/>
    <s v="MPG"/>
    <s v="Direct"/>
    <n v="272.59999999999997"/>
    <n v="10496.229999999998"/>
    <n v="212.07000000000005"/>
    <n v="8437.2041378434697"/>
    <n v="0"/>
    <n v="0"/>
    <n v="212.07000000000005"/>
    <n v="8437.2041378434697"/>
    <n v="8437.2041378434697"/>
    <n v="0"/>
    <n v="0"/>
    <n v="0"/>
    <n v="0"/>
    <n v="0"/>
    <n v="0"/>
    <n v="8438"/>
    <n v="0"/>
    <n v="0"/>
    <n v="2058"/>
    <n v="0"/>
  </r>
  <r>
    <x v="32"/>
    <s v="Goapalpur"/>
    <s v="MPG"/>
    <s v="Direct"/>
    <n v="145.70000000000002"/>
    <n v="5665.880000000001"/>
    <n v="146.26999999999998"/>
    <n v="5582.3396267109219"/>
    <n v="0"/>
    <n v="0"/>
    <n v="146.26999999999998"/>
    <n v="5582.3396267109219"/>
    <n v="5582.3396267109219"/>
    <n v="0"/>
    <n v="0"/>
    <n v="0"/>
    <n v="0"/>
    <n v="6.3289278688524142"/>
    <n v="0"/>
    <n v="5577"/>
    <n v="0"/>
    <n v="0"/>
    <n v="83"/>
    <n v="0"/>
  </r>
  <r>
    <x v="33"/>
    <s v="Gomukh Akaha"/>
    <s v="MPG"/>
    <s v="Direct"/>
    <n v="194.9"/>
    <n v="6928.56"/>
    <n v="195.88"/>
    <n v="7255.2769666850809"/>
    <n v="0"/>
    <n v="0"/>
    <n v="195.88"/>
    <n v="7255.2769666850809"/>
    <n v="6928.56"/>
    <n v="0"/>
    <n v="0"/>
    <n v="326.71696668508048"/>
    <n v="0"/>
    <n v="0"/>
    <n v="0"/>
    <n v="6929"/>
    <n v="0"/>
    <n v="0"/>
    <n v="0"/>
    <s v="Release1"/>
  </r>
  <r>
    <x v="34"/>
    <s v="Gomukh Rajakpur"/>
    <s v="MPG"/>
    <s v="Direct"/>
    <n v="33.099999999999994"/>
    <n v="1030.6099999999999"/>
    <n v="42"/>
    <n v="1394.3603519999999"/>
    <n v="0"/>
    <n v="0"/>
    <n v="42"/>
    <n v="1394.3603519999999"/>
    <n v="1030.6099999999999"/>
    <n v="0"/>
    <n v="0"/>
    <n v="363.75035200000002"/>
    <n v="0"/>
    <n v="0"/>
    <n v="0"/>
    <n v="1031"/>
    <n v="0"/>
    <n v="0"/>
    <n v="0"/>
    <s v="Release1"/>
  </r>
  <r>
    <x v="35"/>
    <s v="Gomukh Mohanpur"/>
    <s v="MPG"/>
    <s v="Direct"/>
    <n v="245.9"/>
    <n v="9294.130000000001"/>
    <n v="242.01"/>
    <n v="9013.4829288201799"/>
    <n v="5.0299999999999994"/>
    <n v="177.44456174940004"/>
    <n v="247.04"/>
    <n v="9190.9274905695802"/>
    <n v="9190.9274905695802"/>
    <n v="0"/>
    <n v="177.44456174940004"/>
    <n v="0"/>
    <n v="0"/>
    <n v="0"/>
    <n v="0"/>
    <n v="9013"/>
    <n v="0"/>
    <n v="0"/>
    <n v="104"/>
    <s v="Release2"/>
  </r>
  <r>
    <x v="36"/>
    <s v="Gomukh Chakka"/>
    <s v="MPG"/>
    <s v="Direct"/>
    <n v="223.89999999999998"/>
    <n v="7823.0099999999993"/>
    <n v="221.32000000000002"/>
    <n v="8054.9971981637609"/>
    <n v="0.73"/>
    <n v="26.106288575400004"/>
    <n v="222.05"/>
    <n v="8081.1034867391609"/>
    <n v="7823.0099999999993"/>
    <n v="0"/>
    <n v="26.106288575400004"/>
    <n v="258.09348673916156"/>
    <n v="0"/>
    <n v="0"/>
    <n v="0"/>
    <n v="7797"/>
    <n v="0"/>
    <n v="0"/>
    <n v="0"/>
    <n v="0"/>
  </r>
  <r>
    <x v="37"/>
    <s v="Gamharia"/>
    <s v="vlc"/>
    <s v="Indirect"/>
    <n v="84.6"/>
    <n v="3164.2400000000002"/>
    <n v="0"/>
    <n v="0"/>
    <n v="0"/>
    <n v="0"/>
    <n v="0"/>
    <n v="0"/>
    <n v="3164.2400000000002"/>
    <n v="0"/>
    <n v="0"/>
    <n v="0"/>
    <n v="0"/>
    <n v="0"/>
    <n v="0"/>
    <n v="0"/>
    <n v="0"/>
    <n v="3164.2400000000002"/>
    <n v="0"/>
    <n v="0"/>
  </r>
  <r>
    <x v="38"/>
    <s v="Gomukh Meghaul-02"/>
    <s v="MPG"/>
    <s v="Direct"/>
    <n v="497.1"/>
    <n v="21098.220000000005"/>
    <n v="462.8"/>
    <n v="20317.219950028782"/>
    <n v="6.1400000000000006"/>
    <n v="256.73896512000005"/>
    <n v="468.94"/>
    <n v="20573.958915148782"/>
    <n v="20573.958915148782"/>
    <n v="0"/>
    <n v="256.73896512000005"/>
    <n v="0"/>
    <n v="0"/>
    <n v="0"/>
    <n v="0"/>
    <n v="20318"/>
    <n v="0"/>
    <n v="0"/>
    <n v="523"/>
    <n v="0"/>
  </r>
  <r>
    <x v="39"/>
    <s v="Gomukh Meida"/>
    <s v="MPG"/>
    <s v="Direct"/>
    <n v="300.89999999999998"/>
    <n v="11288.910000000002"/>
    <n v="348.50000000000011"/>
    <n v="13436.396186399996"/>
    <n v="0"/>
    <n v="0"/>
    <n v="348.50000000000011"/>
    <n v="13436.396186399996"/>
    <n v="11288.910000000002"/>
    <n v="0"/>
    <n v="0"/>
    <n v="2147.486186399994"/>
    <n v="0"/>
    <n v="0"/>
    <n v="0"/>
    <n v="11289"/>
    <n v="0"/>
    <n v="0"/>
    <n v="0"/>
    <n v="0"/>
  </r>
  <r>
    <x v="40"/>
    <s v="PIPARIYA DIH -2"/>
    <s v="MPG"/>
    <s v="Direct"/>
    <n v="2680.4"/>
    <n v="115344.79"/>
    <n v="1507.1999999999998"/>
    <n v="65124.330731843998"/>
    <n v="1177.8"/>
    <n v="52412.300300256014"/>
    <n v="2685"/>
    <n v="117536.63103210001"/>
    <n v="115344.79"/>
    <n v="0"/>
    <n v="1271.9219052600006"/>
    <n v="2191.8410321000119"/>
    <n v="0"/>
    <n v="0"/>
    <n v="0"/>
    <n v="62932"/>
    <n v="51141"/>
    <n v="0"/>
    <n v="0"/>
    <n v="0"/>
  </r>
  <r>
    <x v="41"/>
    <s v="LAL DIYARA -1"/>
    <s v="MPG"/>
    <s v="Direct"/>
    <n v="557"/>
    <n v="21065.159999999996"/>
    <n v="552.79999999999995"/>
    <n v="20952.578809800005"/>
    <n v="0"/>
    <n v="0"/>
    <n v="552.79999999999995"/>
    <n v="20952.578809800005"/>
    <n v="20952.578809800005"/>
    <n v="0"/>
    <n v="0"/>
    <n v="0"/>
    <n v="0"/>
    <n v="0"/>
    <n v="0"/>
    <n v="20953"/>
    <n v="0"/>
    <n v="0"/>
    <n v="112"/>
    <s v="Release3"/>
  </r>
  <r>
    <x v="42"/>
    <s v="GANGA KINARE KHUTHA"/>
    <s v="vlc"/>
    <s v="Indirect"/>
    <n v="182.99999999999997"/>
    <n v="6690.9"/>
    <n v="0"/>
    <n v="0"/>
    <n v="0"/>
    <n v="0"/>
    <n v="0"/>
    <n v="0"/>
    <n v="6690.9"/>
    <n v="0"/>
    <n v="0"/>
    <n v="0"/>
    <n v="0"/>
    <n v="26.884993548387122"/>
    <n v="0"/>
    <n v="0"/>
    <n v="0"/>
    <n v="6664.0150064516129"/>
    <n v="0"/>
    <n v="0"/>
  </r>
  <r>
    <x v="982"/>
    <s v="Gomukh ID Khutaha Ganga"/>
    <s v="vlc"/>
    <s v="Indirect"/>
    <n v="312.80000000000007"/>
    <n v="11464.089999999998"/>
    <n v="0"/>
    <n v="0"/>
    <n v="0"/>
    <n v="0"/>
    <n v="0"/>
    <n v="0"/>
    <n v="11464.089999999998"/>
    <n v="0"/>
    <n v="0"/>
    <n v="0"/>
    <n v="0"/>
    <n v="15.709161290322562"/>
    <n v="0"/>
    <n v="0"/>
    <n v="0"/>
    <n v="11448.380838709676"/>
    <n v="0"/>
    <n v="0"/>
  </r>
  <r>
    <x v="43"/>
    <s v="Gomukh ID Khutaha Dhih"/>
    <s v="vlc"/>
    <s v="Indirect"/>
    <n v="1738.4999999999998"/>
    <n v="68368.070000000022"/>
    <n v="0"/>
    <n v="0"/>
    <n v="0"/>
    <n v="0"/>
    <n v="0"/>
    <n v="0"/>
    <n v="68368.070000000022"/>
    <n v="0"/>
    <n v="0"/>
    <n v="0"/>
    <n v="0"/>
    <n v="0"/>
    <n v="0"/>
    <n v="0"/>
    <n v="0"/>
    <n v="68368.070000000022"/>
    <n v="0"/>
    <n v="0"/>
  </r>
  <r>
    <x v="44"/>
    <s v="GOMUKH RAHATPUR"/>
    <s v="MPG"/>
    <s v="Direct"/>
    <n v="456.7"/>
    <n v="16222.73"/>
    <n v="517.29999999999995"/>
    <n v="19354.128579720003"/>
    <n v="1.4"/>
    <n v="49.211078400000019"/>
    <n v="518.69999999999993"/>
    <n v="19403.339658120003"/>
    <n v="16222.73"/>
    <n v="0"/>
    <n v="49.211078400000019"/>
    <n v="3180.6096581200036"/>
    <n v="0"/>
    <n v="0"/>
    <n v="0"/>
    <n v="16174"/>
    <n v="0"/>
    <n v="0"/>
    <n v="0"/>
    <n v="0"/>
  </r>
  <r>
    <x v="45"/>
    <s v="KANHAIYA YADAV"/>
    <s v="vlc"/>
    <s v="Indirect"/>
    <n v="198.60000000000002"/>
    <n v="7515.16"/>
    <n v="0"/>
    <n v="0"/>
    <n v="0"/>
    <n v="0"/>
    <n v="0"/>
    <n v="0"/>
    <n v="7515.16"/>
    <n v="0"/>
    <n v="0"/>
    <n v="0"/>
    <n v="0"/>
    <n v="0"/>
    <n v="0"/>
    <n v="0"/>
    <n v="0"/>
    <n v="7515.16"/>
    <n v="0"/>
    <n v="0"/>
  </r>
  <r>
    <x v="926"/>
    <s v="Vikash Kumar"/>
    <s v="vlc"/>
    <s v="Indirect"/>
    <n v="1197.6000000000001"/>
    <n v="47228.03"/>
    <n v="0"/>
    <n v="0"/>
    <n v="0"/>
    <n v="0"/>
    <n v="0"/>
    <n v="0"/>
    <n v="47228.03"/>
    <n v="0"/>
    <n v="0"/>
    <n v="0"/>
    <n v="0"/>
    <n v="0"/>
    <n v="0"/>
    <n v="0"/>
    <n v="0"/>
    <n v="47228.03"/>
    <n v="0"/>
    <n v="0"/>
  </r>
  <r>
    <x v="46"/>
    <s v="GOMUKH  LALDIYARA TIRASHI                                                                           "/>
    <s v="vlc"/>
    <s v="Indirect"/>
    <n v="26668.2"/>
    <n v="1033505.06"/>
    <n v="0"/>
    <n v="0"/>
    <n v="0"/>
    <n v="0"/>
    <n v="0"/>
    <n v="0"/>
    <n v="1033505.06"/>
    <n v="0"/>
    <n v="0"/>
    <n v="0"/>
    <n v="0"/>
    <n v="0"/>
    <n v="0"/>
    <n v="0"/>
    <n v="0"/>
    <n v="1033505.06"/>
    <n v="0"/>
    <n v="0"/>
  </r>
  <r>
    <x v="47"/>
    <s v="GOMUKH  LALDIYARA PURBI"/>
    <s v="vlc"/>
    <s v="Indirect"/>
    <n v="26459.800000000003"/>
    <n v="1048379.1600000001"/>
    <n v="0"/>
    <n v="0"/>
    <n v="0"/>
    <n v="0"/>
    <n v="0"/>
    <n v="0"/>
    <n v="1048379.1600000001"/>
    <n v="0"/>
    <n v="0"/>
    <n v="0"/>
    <n v="0"/>
    <n v="0"/>
    <n v="0"/>
    <n v="0"/>
    <n v="0"/>
    <n v="1048379.1600000001"/>
    <n v="0"/>
    <n v="0"/>
  </r>
  <r>
    <x v="48"/>
    <s v="GOMUKH RAMCHANDARPUR II"/>
    <s v="MPG"/>
    <s v="Direct"/>
    <n v="4680.3"/>
    <n v="197719.69"/>
    <n v="5785.4"/>
    <n v="197588.95919496246"/>
    <n v="31.999999999999996"/>
    <n v="1357.4827411200004"/>
    <n v="5817.4"/>
    <n v="198946.44193608247"/>
    <n v="197719.69"/>
    <n v="0"/>
    <n v="1357.4827411200004"/>
    <n v="1226.7519360824663"/>
    <n v="0"/>
    <n v="0"/>
    <n v="0"/>
    <n v="196362"/>
    <n v="0"/>
    <n v="0"/>
    <n v="0"/>
    <n v="0"/>
  </r>
  <r>
    <x v="49"/>
    <s v="MOHANPUR"/>
    <s v="MPG"/>
    <s v="Direct"/>
    <n v="5100.9000000000005"/>
    <n v="225328.99"/>
    <n v="4569.3"/>
    <n v="200349.47465243572"/>
    <n v="601.40000000000009"/>
    <n v="25325.3859313342"/>
    <n v="5170.7000000000007"/>
    <n v="225674.86058376991"/>
    <n v="225328.99"/>
    <n v="0"/>
    <n v="1973.5408213200003"/>
    <n v="345.87058376992354"/>
    <n v="0"/>
    <n v="0"/>
    <n v="0"/>
    <n v="200003"/>
    <n v="23352"/>
    <n v="0"/>
    <n v="0"/>
    <n v="0"/>
  </r>
  <r>
    <x v="50"/>
    <s v="Juwas"/>
    <s v="MPG"/>
    <s v="Direct"/>
    <n v="1025.3"/>
    <n v="38506.770000000004"/>
    <n v="1001.4000000000001"/>
    <n v="38039.144471518601"/>
    <n v="10.1"/>
    <n v="372.54127283999998"/>
    <n v="1011.5000000000001"/>
    <n v="38411.685744358598"/>
    <n v="38411.685744358598"/>
    <n v="0"/>
    <n v="372.54127283999998"/>
    <n v="0"/>
    <n v="0"/>
    <n v="0"/>
    <n v="0"/>
    <n v="38041"/>
    <n v="0"/>
    <n v="0"/>
    <n v="93"/>
    <n v="0"/>
  </r>
  <r>
    <x v="51"/>
    <s v="Morwariya"/>
    <s v="MPG"/>
    <s v="Direct"/>
    <n v="3282.2000000000003"/>
    <n v="129424.15"/>
    <n v="3278.599999999999"/>
    <n v="131791.41764085394"/>
    <n v="0"/>
    <n v="0"/>
    <n v="3278.599999999999"/>
    <n v="131791.41764085394"/>
    <n v="129424.15"/>
    <n v="0"/>
    <n v="0"/>
    <n v="2367.267640853941"/>
    <n v="0"/>
    <n v="0"/>
    <n v="0"/>
    <n v="129424"/>
    <n v="0"/>
    <n v="0"/>
    <n v="0"/>
    <s v="Release3"/>
  </r>
  <r>
    <x v="52"/>
    <s v="Dumri 2"/>
    <s v="MPG"/>
    <s v="Direct"/>
    <n v="869.20000000000016"/>
    <n v="32801.360000000001"/>
    <n v="854.43"/>
    <n v="32823.749569770596"/>
    <n v="9.8600000000000012"/>
    <n v="380.96035797600007"/>
    <n v="864.29"/>
    <n v="33204.709927746597"/>
    <n v="32801.360000000001"/>
    <n v="0"/>
    <n v="380.96035797600007"/>
    <n v="403.34992774659622"/>
    <n v="0"/>
    <n v="32.673660000000098"/>
    <n v="0"/>
    <n v="32387"/>
    <n v="0"/>
    <n v="0"/>
    <n v="1"/>
    <n v="0"/>
  </r>
  <r>
    <x v="53"/>
    <s v="Gomukh Jhakhaur"/>
    <s v="MPG"/>
    <s v="Direct"/>
    <n v="653.19999999999993"/>
    <n v="26556.68"/>
    <n v="645.52"/>
    <n v="26694.09059565053"/>
    <n v="1.5400000000000003"/>
    <n v="62.644968713700017"/>
    <n v="647.05999999999995"/>
    <n v="26756.73556436423"/>
    <n v="26556.68"/>
    <n v="0"/>
    <n v="62.644968713700017"/>
    <n v="200.05556436422921"/>
    <n v="0"/>
    <n v="0"/>
    <n v="0"/>
    <n v="26494"/>
    <n v="0"/>
    <n v="0"/>
    <n v="0"/>
    <n v="0"/>
  </r>
  <r>
    <x v="54"/>
    <s v="Gomukh Repura"/>
    <s v="MPG"/>
    <s v="Direct"/>
    <n v="635.89999999999986"/>
    <n v="22691.66"/>
    <n v="635.90000000000009"/>
    <n v="22729.071372480004"/>
    <n v="0"/>
    <n v="0"/>
    <n v="635.90000000000009"/>
    <n v="22729.071372480004"/>
    <n v="22691.66"/>
    <n v="0"/>
    <n v="0"/>
    <n v="37.411372480004502"/>
    <n v="0"/>
    <n v="0"/>
    <n v="0"/>
    <n v="22692"/>
    <n v="0"/>
    <n v="0"/>
    <n v="0"/>
    <n v="0"/>
  </r>
  <r>
    <x v="55"/>
    <s v="Gomukh Virupur"/>
    <s v="MPG"/>
    <s v="Direct"/>
    <n v="320.90000000000003"/>
    <n v="12688.95"/>
    <n v="319.17999999999995"/>
    <n v="12581.959179994701"/>
    <n v="2.6900000000000004"/>
    <n v="101.455458588"/>
    <n v="321.86999999999995"/>
    <n v="12683.414638582701"/>
    <n v="12683.414638582701"/>
    <n v="0"/>
    <n v="101.455458588"/>
    <n v="0"/>
    <n v="0"/>
    <n v="0"/>
    <n v="0"/>
    <n v="12582"/>
    <n v="0"/>
    <n v="0"/>
    <n v="5"/>
    <n v="0"/>
  </r>
  <r>
    <x v="56"/>
    <s v="Gomukh Diyarapipariya                                                                               "/>
    <s v="MPG"/>
    <s v="Direct"/>
    <n v="865.00000000000011"/>
    <n v="37538.400000000001"/>
    <n v="856.97000000000014"/>
    <n v="37336.750967788597"/>
    <n v="10.589999999999998"/>
    <n v="482.18514797428008"/>
    <n v="867.56000000000017"/>
    <n v="37818.936115762881"/>
    <n v="37538.400000000001"/>
    <n v="0"/>
    <n v="482.18514797428008"/>
    <n v="280.53611576287949"/>
    <n v="0"/>
    <n v="0"/>
    <n v="0"/>
    <n v="37056"/>
    <n v="0"/>
    <n v="0"/>
    <n v="0"/>
    <n v="0"/>
  </r>
  <r>
    <x v="57"/>
    <s v="TAJPUR"/>
    <s v="MPG"/>
    <s v="Direct"/>
    <n v="1020.0999999999999"/>
    <n v="41570.259999999995"/>
    <n v="1004.2700000000001"/>
    <n v="40422.259755151419"/>
    <n v="12.170000000000002"/>
    <n v="461.64503563200003"/>
    <n v="1016.44"/>
    <n v="40883.904790783417"/>
    <n v="40883.904790783417"/>
    <n v="0"/>
    <n v="461.64503563200003"/>
    <n v="0"/>
    <n v="0"/>
    <n v="0"/>
    <n v="0"/>
    <n v="40422"/>
    <n v="0"/>
    <n v="0"/>
    <n v="687"/>
    <n v="0"/>
  </r>
  <r>
    <x v="58"/>
    <s v="PATHUA"/>
    <s v="MPG"/>
    <s v="Direct"/>
    <n v="1356.6"/>
    <n v="56202.8"/>
    <n v="1381.3"/>
    <n v="58826.244611832"/>
    <n v="58"/>
    <n v="2514.0102445040002"/>
    <n v="1439.3"/>
    <n v="61340.254856336003"/>
    <n v="56202.8"/>
    <n v="0"/>
    <n v="1301.0848495340001"/>
    <n v="5137.4548563360004"/>
    <n v="0"/>
    <n v="0"/>
    <n v="0"/>
    <n v="53690"/>
    <n v="1212"/>
    <n v="0"/>
    <n v="0"/>
    <n v="0"/>
  </r>
  <r>
    <x v="59"/>
    <s v="LODIYA"/>
    <s v="MPG"/>
    <s v="Direct"/>
    <n v="627.4"/>
    <n v="24768.51"/>
    <n v="621.35"/>
    <n v="23929.435911529592"/>
    <n v="5.24"/>
    <n v="211.20718806000005"/>
    <n v="626.59"/>
    <n v="24140.643099589593"/>
    <n v="24140.643099589593"/>
    <n v="0"/>
    <n v="211.20718806000005"/>
    <n v="0"/>
    <n v="0"/>
    <n v="0"/>
    <n v="0"/>
    <n v="23930"/>
    <n v="0"/>
    <n v="0"/>
    <n v="627"/>
    <n v="0"/>
  </r>
  <r>
    <x v="60"/>
    <s v="ADARSH LAXMIPUR-3"/>
    <s v="MPG"/>
    <s v="Direct"/>
    <n v="317.39999999999998"/>
    <n v="13149.910000000002"/>
    <n v="322.39"/>
    <n v="13214.511937686082"/>
    <n v="0"/>
    <n v="0"/>
    <n v="322.39"/>
    <n v="13214.511937686082"/>
    <n v="13149.910000000002"/>
    <n v="0"/>
    <n v="0"/>
    <n v="64.601937686080419"/>
    <n v="0"/>
    <n v="0"/>
    <n v="0"/>
    <n v="13150"/>
    <n v="0"/>
    <n v="0"/>
    <n v="0"/>
    <n v="0"/>
  </r>
  <r>
    <x v="61"/>
    <s v="BHANPUR"/>
    <s v="MPG"/>
    <s v="Direct"/>
    <n v="474.8"/>
    <n v="17618.869999999995"/>
    <n v="474.5"/>
    <n v="17441.741267280002"/>
    <n v="0"/>
    <n v="0"/>
    <n v="474.5"/>
    <n v="17441.741267280002"/>
    <n v="17441.741267280002"/>
    <n v="0"/>
    <n v="0"/>
    <n v="0"/>
    <n v="0"/>
    <n v="39.104735593220362"/>
    <n v="0"/>
    <n v="17403"/>
    <n v="0"/>
    <n v="0"/>
    <n v="177"/>
    <n v="0"/>
  </r>
  <r>
    <x v="62"/>
    <s v="Karari Pipariya 2"/>
    <s v="MPG"/>
    <s v="Direct"/>
    <n v="1105.2"/>
    <n v="45297.89"/>
    <n v="1099.1300000000001"/>
    <n v="45371.361294491966"/>
    <n v="8.73"/>
    <n v="358.74887041800002"/>
    <n v="1107.8600000000001"/>
    <n v="45730.110164909966"/>
    <n v="45297.89"/>
    <n v="0"/>
    <n v="358.74887041800002"/>
    <n v="432.22016490996612"/>
    <n v="0"/>
    <n v="0"/>
    <n v="0"/>
    <n v="44939"/>
    <n v="0"/>
    <n v="0"/>
    <n v="0"/>
    <n v="0"/>
  </r>
  <r>
    <x v="63"/>
    <s v="DIYARA PIPARIYA-THANA                                                                               "/>
    <s v="MPG"/>
    <s v="Direct"/>
    <n v="1144.0999999999999"/>
    <n v="49884.030000000013"/>
    <n v="1139.0900000000001"/>
    <n v="49485.086592257845"/>
    <n v="6.61"/>
    <n v="280.82146672800002"/>
    <n v="1145.7"/>
    <n v="49765.908058985842"/>
    <n v="49765.908058985842"/>
    <n v="0"/>
    <n v="280.82146672800002"/>
    <n v="0"/>
    <n v="0"/>
    <n v="0"/>
    <n v="0"/>
    <n v="49485"/>
    <n v="0"/>
    <n v="0"/>
    <n v="118"/>
    <n v="0"/>
  </r>
  <r>
    <x v="64"/>
    <s v="SRI RAM SINGH(VLC)"/>
    <s v="vlc"/>
    <s v="Indirect"/>
    <n v="3757.6"/>
    <n v="151156.83999999997"/>
    <n v="0"/>
    <n v="0"/>
    <n v="0"/>
    <n v="0"/>
    <n v="0"/>
    <n v="0"/>
    <n v="151156.83999999997"/>
    <n v="0"/>
    <n v="0"/>
    <n v="0"/>
    <n v="0"/>
    <n v="0"/>
    <n v="0"/>
    <n v="0"/>
    <n v="0"/>
    <n v="151156.83999999997"/>
    <n v="0"/>
    <n v="0"/>
  </r>
  <r>
    <x v="65"/>
    <s v="GADHTOLA"/>
    <s v="MPG"/>
    <s v="Direct"/>
    <n v="1034.8999999999999"/>
    <n v="42238.920000000006"/>
    <n v="1022.99"/>
    <n v="41740.763901206745"/>
    <n v="4.43"/>
    <n v="169.71455556000004"/>
    <n v="1027.42"/>
    <n v="41910.478456766745"/>
    <n v="41910.478456766745"/>
    <n v="0"/>
    <n v="169.71455556000004"/>
    <n v="0"/>
    <n v="0"/>
    <n v="0"/>
    <n v="0"/>
    <n v="41740"/>
    <n v="0"/>
    <n v="0"/>
    <n v="329"/>
    <n v="0"/>
  </r>
  <r>
    <x v="927"/>
    <s v="Chetan Tola - Ravi"/>
    <s v="vlc"/>
    <s v="Indirect"/>
    <n v="281.60000000000002"/>
    <n v="16226.380000000001"/>
    <n v="0"/>
    <n v="0"/>
    <n v="0"/>
    <n v="0"/>
    <n v="0"/>
    <n v="0"/>
    <n v="16226.380000000001"/>
    <n v="0"/>
    <n v="0"/>
    <n v="0"/>
    <n v="0"/>
    <n v="0"/>
    <n v="0"/>
    <n v="0"/>
    <n v="0"/>
    <n v="16226.380000000001"/>
    <n v="0"/>
    <n v="0"/>
  </r>
  <r>
    <x v="66"/>
    <s v="Diyara-Pipariya-Utri - Chandan"/>
    <s v="vlc"/>
    <s v="Indirect"/>
    <n v="1451"/>
    <n v="57882.509999999995"/>
    <n v="0"/>
    <n v="0"/>
    <n v="0"/>
    <n v="0"/>
    <n v="0"/>
    <n v="0"/>
    <n v="57882.509999999995"/>
    <n v="0"/>
    <n v="0"/>
    <n v="0"/>
    <n v="0"/>
    <n v="0"/>
    <n v="0"/>
    <n v="0"/>
    <n v="0"/>
    <n v="57882.509999999995"/>
    <n v="0"/>
    <n v="0"/>
  </r>
  <r>
    <x v="67"/>
    <s v="KANHARPUR-2"/>
    <s v="MPG"/>
    <s v="Direct"/>
    <n v="2797.8"/>
    <n v="120947.41"/>
    <n v="2412.81"/>
    <n v="107232.76328955627"/>
    <n v="396.88999999999993"/>
    <n v="16112.077779391451"/>
    <n v="2809.7"/>
    <n v="123344.84106894772"/>
    <n v="120947.41"/>
    <n v="0"/>
    <n v="1633.8558960794501"/>
    <n v="2397.4310689477134"/>
    <n v="0"/>
    <n v="0"/>
    <n v="0"/>
    <n v="104836"/>
    <n v="14478"/>
    <n v="0"/>
    <n v="0"/>
    <n v="0"/>
  </r>
  <r>
    <x v="68"/>
    <s v="BASAUNA"/>
    <s v="MPG"/>
    <s v="Direct"/>
    <n v="934.9"/>
    <n v="36824.299999999996"/>
    <n v="291.58999999999997"/>
    <n v="12359.002803369591"/>
    <n v="647.82000000000005"/>
    <n v="24684.95990261664"/>
    <n v="939.41000000000008"/>
    <n v="37043.962705986232"/>
    <n v="36824.299999999996"/>
    <n v="0"/>
    <n v="222.99133469975999"/>
    <n v="219.66270598623669"/>
    <n v="0"/>
    <n v="0"/>
    <n v="0"/>
    <n v="12140"/>
    <n v="24461"/>
    <n v="0"/>
    <n v="0"/>
    <n v="0"/>
  </r>
  <r>
    <x v="69"/>
    <s v="GANGA-SARAI"/>
    <s v="MPG"/>
    <s v="Direct"/>
    <n v="1391"/>
    <n v="55393.540000000008"/>
    <n v="1373.3"/>
    <n v="54997.252935943747"/>
    <n v="16.04"/>
    <n v="616.25676023999995"/>
    <n v="1389.34"/>
    <n v="55613.509696183748"/>
    <n v="55393.540000000008"/>
    <n v="0"/>
    <n v="616.25676023999995"/>
    <n v="219.96969618373987"/>
    <n v="0"/>
    <n v="0"/>
    <n v="0"/>
    <n v="54777"/>
    <n v="0"/>
    <n v="0"/>
    <n v="0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359.7"/>
    <n v="13943.630000000001"/>
    <n v="358.82"/>
    <n v="14520.138505452367"/>
    <n v="5.09"/>
    <n v="193.17487376880001"/>
    <n v="363.90999999999997"/>
    <n v="14713.313379221167"/>
    <n v="13943.630000000001"/>
    <n v="0"/>
    <n v="193.17487376880001"/>
    <n v="769.68337922116552"/>
    <n v="0"/>
    <n v="0"/>
    <n v="0"/>
    <n v="13750"/>
    <n v="0"/>
    <n v="0"/>
    <n v="0"/>
    <s v="Release1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240.6999999999998"/>
    <n v="50524.409999999996"/>
    <n v="638.40000000000009"/>
    <n v="28565.10808537859"/>
    <n v="602.79"/>
    <n v="23820.099878519999"/>
    <n v="1241.19"/>
    <n v="52385.207963898589"/>
    <n v="50524.409999999996"/>
    <n v="0"/>
    <n v="263.50472332800007"/>
    <n v="1860.7979638985926"/>
    <n v="0"/>
    <n v="0"/>
    <n v="0"/>
    <n v="26705"/>
    <n v="23556"/>
    <n v="0"/>
    <n v="0"/>
    <n v="0"/>
  </r>
  <r>
    <x v="72"/>
    <s v="Gomukh Hasanpur"/>
    <s v="vlc"/>
    <s v="Indirect"/>
    <n v="1012.9000000000002"/>
    <n v="39928.6"/>
    <n v="0"/>
    <n v="0"/>
    <n v="0"/>
    <n v="0"/>
    <n v="0"/>
    <n v="0"/>
    <n v="39928.6"/>
    <n v="0"/>
    <n v="0"/>
    <n v="0"/>
    <n v="0"/>
    <n v="163.77797419354846"/>
    <n v="0"/>
    <n v="0"/>
    <n v="0"/>
    <n v="39764.822025806447"/>
    <n v="0"/>
    <n v="0"/>
  </r>
  <r>
    <x v="73"/>
    <s v="ADARSH LAXMIPUR-2"/>
    <s v="vlc"/>
    <s v="Indirect"/>
    <n v="1184.3"/>
    <n v="45918.780000000006"/>
    <n v="0"/>
    <n v="0"/>
    <n v="0"/>
    <n v="0"/>
    <n v="0"/>
    <n v="0"/>
    <n v="45918.780000000006"/>
    <n v="0"/>
    <n v="0"/>
    <n v="0"/>
    <n v="0"/>
    <n v="0"/>
    <n v="0"/>
    <n v="0"/>
    <n v="0"/>
    <n v="45918.780000000006"/>
    <n v="0"/>
    <n v="0"/>
  </r>
  <r>
    <x v="74"/>
    <s v="SABIKPUR"/>
    <s v="MPG"/>
    <s v="Direct"/>
    <n v="879.90000000000009"/>
    <n v="35511.94"/>
    <n v="915.11"/>
    <n v="39030.188232446882"/>
    <n v="0"/>
    <n v="0"/>
    <n v="915.11"/>
    <n v="39030.188232446882"/>
    <n v="35511.94"/>
    <n v="0"/>
    <n v="0"/>
    <n v="3518.2482324468801"/>
    <n v="0"/>
    <n v="0"/>
    <n v="0"/>
    <n v="35512"/>
    <n v="0"/>
    <n v="0"/>
    <n v="0"/>
    <n v="0"/>
  </r>
  <r>
    <x v="75"/>
    <s v="CHETAN-TOLA-KHUTHA"/>
    <s v="MPG"/>
    <s v="Direct"/>
    <n v="213.20000000000002"/>
    <n v="8477.2000000000007"/>
    <n v="205.42000000000002"/>
    <n v="8485.225579454911"/>
    <n v="0.04"/>
    <n v="1.6896432960000001"/>
    <n v="205.46"/>
    <n v="8486.9152227509112"/>
    <n v="8477.2000000000007"/>
    <n v="0"/>
    <n v="1.6896432960000001"/>
    <n v="9.7152227509104705"/>
    <n v="8476"/>
    <n v="0"/>
    <n v="0"/>
    <n v="0"/>
    <n v="0"/>
    <n v="0"/>
    <n v="0"/>
    <s v="Release1"/>
  </r>
  <r>
    <x v="76"/>
    <s v="LAXMIPUR"/>
    <s v="MPG"/>
    <s v="Direct"/>
    <n v="939.3"/>
    <n v="38264.01"/>
    <n v="906.9"/>
    <n v="40565.896963233798"/>
    <n v="0"/>
    <n v="0"/>
    <n v="906.9"/>
    <n v="40565.896963233798"/>
    <n v="38264.01"/>
    <n v="0"/>
    <n v="0"/>
    <n v="2301.8869632337955"/>
    <n v="0"/>
    <n v="0"/>
    <n v="0"/>
    <n v="38264"/>
    <n v="0"/>
    <n v="0"/>
    <n v="0"/>
    <s v="Release1"/>
  </r>
  <r>
    <x v="77"/>
    <s v="REHUA RK"/>
    <s v="vlc"/>
    <s v="Indirect"/>
    <n v="1274.1000000000001"/>
    <n v="52840.69000000001"/>
    <n v="0"/>
    <n v="0"/>
    <n v="0"/>
    <n v="0"/>
    <n v="0"/>
    <n v="0"/>
    <n v="52840.69000000001"/>
    <n v="0"/>
    <n v="0"/>
    <n v="0"/>
    <n v="0"/>
    <n v="0"/>
    <n v="0"/>
    <n v="0"/>
    <n v="0"/>
    <n v="52840.69000000001"/>
    <n v="0"/>
    <n v="0"/>
  </r>
  <r>
    <x v="78"/>
    <s v="RAMNAGAR"/>
    <s v="MPG"/>
    <s v="Direct"/>
    <n v="306.09999999999997"/>
    <n v="12518.850000000002"/>
    <n v="304.77999999999997"/>
    <n v="13570.30644802369"/>
    <n v="0"/>
    <n v="0"/>
    <n v="304.77999999999997"/>
    <n v="13570.30644802369"/>
    <n v="12518.850000000002"/>
    <n v="0"/>
    <n v="0"/>
    <n v="1051.4564480236877"/>
    <n v="0"/>
    <n v="0"/>
    <n v="0"/>
    <n v="12519"/>
    <n v="0"/>
    <n v="0"/>
    <n v="0"/>
    <s v="Release1"/>
  </r>
  <r>
    <x v="79"/>
    <s v="BANSIPUR"/>
    <s v="MPG"/>
    <s v="Direct"/>
    <n v="130.9"/>
    <n v="5625.2500000000009"/>
    <n v="130.90000000000003"/>
    <n v="5675.5378878299998"/>
    <n v="0"/>
    <n v="0"/>
    <n v="130.90000000000003"/>
    <n v="5675.5378878299998"/>
    <n v="5625.2500000000009"/>
    <n v="0"/>
    <n v="0"/>
    <n v="50.287887829998908"/>
    <n v="0"/>
    <n v="0"/>
    <n v="0"/>
    <n v="5625"/>
    <n v="0"/>
    <n v="0"/>
    <n v="0"/>
    <n v="0"/>
  </r>
  <r>
    <x v="80"/>
    <s v="GODIH"/>
    <s v="MPG"/>
    <s v="Direct"/>
    <n v="330.50000000000006"/>
    <n v="13557.059999999998"/>
    <n v="373.51"/>
    <n v="16978.153215695864"/>
    <n v="0"/>
    <n v="0"/>
    <n v="373.51"/>
    <n v="16978.153215695864"/>
    <n v="13557.059999999998"/>
    <n v="0"/>
    <n v="0"/>
    <n v="3421.0932156958661"/>
    <n v="0"/>
    <n v="33.926068965517274"/>
    <n v="0"/>
    <n v="13523"/>
    <n v="0"/>
    <n v="0"/>
    <n v="0"/>
    <n v="0"/>
  </r>
  <r>
    <x v="81"/>
    <s v="SINGARPUR"/>
    <s v="MPG"/>
    <s v="Direct"/>
    <n v="278.10000000000002"/>
    <n v="14000.200000000003"/>
    <n v="277.20999999999998"/>
    <n v="14705.781234423921"/>
    <n v="0"/>
    <n v="0"/>
    <n v="277.20999999999998"/>
    <n v="14705.781234423921"/>
    <n v="14000.200000000003"/>
    <n v="0"/>
    <n v="0"/>
    <n v="705.58123442391843"/>
    <n v="0"/>
    <n v="0"/>
    <n v="0"/>
    <n v="14000"/>
    <n v="0"/>
    <n v="0"/>
    <n v="0"/>
    <n v="0"/>
  </r>
  <r>
    <x v="83"/>
    <s v="G WOLIPUR"/>
    <s v="vlc"/>
    <s v="Indirect"/>
    <n v="2462.0000000000009"/>
    <n v="94911.739999999991"/>
    <n v="0"/>
    <n v="0"/>
    <n v="0"/>
    <n v="0"/>
    <n v="0"/>
    <n v="0"/>
    <n v="94911.739999999991"/>
    <n v="0"/>
    <n v="0"/>
    <n v="0"/>
    <n v="0"/>
    <n v="0"/>
    <n v="0"/>
    <n v="0"/>
    <n v="0"/>
    <n v="94911.739999999991"/>
    <n v="0"/>
    <n v="0"/>
  </r>
  <r>
    <x v="84"/>
    <s v="REHUA 3"/>
    <s v="vlc"/>
    <s v="Indirect"/>
    <n v="1799.9"/>
    <n v="74390.12"/>
    <n v="0"/>
    <n v="0"/>
    <n v="0"/>
    <n v="0"/>
    <n v="0"/>
    <n v="0"/>
    <n v="74390.12"/>
    <n v="0"/>
    <n v="0"/>
    <n v="0"/>
    <n v="0"/>
    <n v="0"/>
    <n v="0"/>
    <n v="0"/>
    <n v="0"/>
    <n v="74390.12"/>
    <n v="0"/>
    <n v="0"/>
  </r>
  <r>
    <x v="85"/>
    <s v="BICHWAY"/>
    <s v="MPG"/>
    <s v="Direct"/>
    <n v="499.99999999999994"/>
    <n v="18637.03"/>
    <n v="501.10000000000008"/>
    <n v="19477.715392080008"/>
    <n v="0"/>
    <n v="0"/>
    <n v="501.10000000000008"/>
    <n v="19477.715392080008"/>
    <n v="18637.03"/>
    <n v="0"/>
    <n v="0"/>
    <n v="840.68539208000948"/>
    <n v="0"/>
    <n v="0"/>
    <n v="0"/>
    <n v="18637"/>
    <n v="0"/>
    <n v="0"/>
    <n v="0"/>
    <n v="0"/>
  </r>
  <r>
    <x v="86"/>
    <s v="MANOHARPUR"/>
    <s v="MPG"/>
    <s v="Direct"/>
    <n v="1018.5"/>
    <n v="38562.05000000001"/>
    <n v="758.27"/>
    <n v="28643.07164551835"/>
    <n v="265.38"/>
    <n v="10428.046545756832"/>
    <n v="1023.65"/>
    <n v="39071.118191275178"/>
    <n v="38562.05000000001"/>
    <n v="0"/>
    <n v="0"/>
    <n v="509.06819127516792"/>
    <n v="0"/>
    <n v="0"/>
    <n v="0"/>
    <n v="28135"/>
    <n v="10427"/>
    <n v="0"/>
    <n v="0"/>
    <n v="0"/>
  </r>
  <r>
    <x v="928"/>
    <s v="HIRDANBIGHA"/>
    <s v="MPG"/>
    <s v="Direct"/>
    <n v="303.10000000000002"/>
    <n v="10796.86"/>
    <n v="308.47999999999996"/>
    <n v="10861.177515823802"/>
    <n v="0"/>
    <n v="0"/>
    <n v="308.47999999999996"/>
    <n v="10861.177515823802"/>
    <n v="10796.86"/>
    <n v="0"/>
    <n v="0"/>
    <n v="64.317515823800932"/>
    <n v="0"/>
    <n v="0"/>
    <n v="0"/>
    <n v="10797"/>
    <n v="0"/>
    <n v="0"/>
    <n v="0"/>
    <n v="0"/>
  </r>
  <r>
    <x v="87"/>
    <s v="MOHANPUR"/>
    <s v="vlc"/>
    <s v="Indirect"/>
    <n v="555.20000000000005"/>
    <n v="21580.960000000003"/>
    <n v="0"/>
    <n v="0"/>
    <n v="0"/>
    <n v="0"/>
    <n v="0"/>
    <n v="0"/>
    <n v="21580.960000000003"/>
    <n v="0"/>
    <n v="0"/>
    <n v="0"/>
    <n v="0"/>
    <n v="0"/>
    <n v="0"/>
    <n v="0"/>
    <n v="0"/>
    <n v="21580.960000000003"/>
    <n v="0"/>
    <n v="0"/>
  </r>
  <r>
    <x v="88"/>
    <s v="CHATMADIH"/>
    <s v="MPG"/>
    <s v="Direct"/>
    <n v="1749.6500000000003"/>
    <n v="75878.489999999991"/>
    <n v="1736"/>
    <n v="74840.745677915096"/>
    <n v="21.799999999999997"/>
    <n v="1283.6700974610999"/>
    <n v="1757.8"/>
    <n v="76124.415775376197"/>
    <n v="75878.489999999991"/>
    <n v="0"/>
    <n v="1283.6700974610999"/>
    <n v="245.92577537620673"/>
    <n v="0"/>
    <n v="0"/>
    <n v="0"/>
    <n v="74595"/>
    <n v="0"/>
    <n v="0"/>
    <n v="0"/>
    <n v="0"/>
  </r>
  <r>
    <x v="89"/>
    <s v="SIYADIH"/>
    <s v="vlc"/>
    <s v="Indirect"/>
    <n v="808.15"/>
    <n v="22437.61"/>
    <n v="0"/>
    <n v="0"/>
    <n v="0"/>
    <n v="0"/>
    <n v="0"/>
    <n v="0"/>
    <n v="22437.61"/>
    <n v="0"/>
    <n v="0"/>
    <n v="0"/>
    <n v="0"/>
    <n v="0"/>
    <n v="0"/>
    <n v="0"/>
    <n v="0"/>
    <n v="22437.61"/>
    <n v="0"/>
    <n v="0"/>
  </r>
  <r>
    <x v="90"/>
    <s v="Gomukh ID Laldiyara"/>
    <s v="vlc"/>
    <s v="Indirect"/>
    <n v="13924.2"/>
    <n v="538506.91"/>
    <n v="0"/>
    <n v="0"/>
    <n v="0"/>
    <n v="0"/>
    <n v="0"/>
    <n v="0"/>
    <n v="538506.91"/>
    <n v="0"/>
    <n v="0"/>
    <n v="0"/>
    <n v="0"/>
    <n v="0"/>
    <n v="0"/>
    <n v="0"/>
    <n v="0"/>
    <n v="538506.91"/>
    <n v="0"/>
    <n v="0"/>
  </r>
  <r>
    <x v="91"/>
    <s v="KATHNI"/>
    <s v="MPG"/>
    <s v="Direct"/>
    <n v="335.55"/>
    <n v="10922.820000000002"/>
    <n v="431"/>
    <n v="18258.245216640003"/>
    <n v="0"/>
    <n v="0"/>
    <n v="431"/>
    <n v="18258.245216640003"/>
    <n v="10922.820000000002"/>
    <n v="0"/>
    <n v="0"/>
    <n v="7335.425216640002"/>
    <n v="0"/>
    <n v="0"/>
    <n v="0"/>
    <n v="10923"/>
    <n v="0"/>
    <n v="0"/>
    <n v="0"/>
    <n v="0"/>
  </r>
  <r>
    <x v="92"/>
    <s v="DEVDHA GOMUKH MPG"/>
    <s v="MPG"/>
    <s v="Direct"/>
    <n v="1319.65"/>
    <n v="51812.99"/>
    <n v="967.40000000000009"/>
    <n v="37920.374176607998"/>
    <n v="352.1"/>
    <n v="13880.928952440001"/>
    <n v="1319.5"/>
    <n v="51801.303129047999"/>
    <n v="51801.303129047999"/>
    <n v="0"/>
    <n v="280.91706984000001"/>
    <n v="0"/>
    <n v="0"/>
    <n v="0"/>
    <n v="0"/>
    <n v="37921"/>
    <n v="13599"/>
    <n v="0"/>
    <n v="12"/>
    <n v="0"/>
  </r>
  <r>
    <x v="93"/>
    <s v="KASBA(MANGOAN)"/>
    <s v="vlc"/>
    <s v="Indirect"/>
    <n v="2064"/>
    <n v="67032.3"/>
    <n v="0"/>
    <n v="0"/>
    <n v="0"/>
    <n v="0"/>
    <n v="0"/>
    <n v="0"/>
    <n v="67032.3"/>
    <n v="0"/>
    <n v="0"/>
    <n v="0"/>
    <n v="0"/>
    <n v="0"/>
    <n v="0"/>
    <n v="0"/>
    <n v="0"/>
    <n v="67032.3"/>
    <n v="0"/>
    <n v="0"/>
  </r>
  <r>
    <x v="94"/>
    <s v="LOHRA"/>
    <s v="MPG"/>
    <s v="Direct"/>
    <n v="505.70000000000005"/>
    <n v="25541.229999999996"/>
    <n v="488.73999999999995"/>
    <n v="27191.0628602344"/>
    <n v="13.24"/>
    <n v="747.11610893320017"/>
    <n v="501.97999999999996"/>
    <n v="27938.178969167602"/>
    <n v="25541.229999999996"/>
    <n v="0"/>
    <n v="747.11610893320017"/>
    <n v="2396.9489691676063"/>
    <n v="0"/>
    <n v="0"/>
    <n v="0"/>
    <n v="24794"/>
    <n v="0"/>
    <n v="0"/>
    <n v="0"/>
    <s v="Release1"/>
  </r>
  <r>
    <x v="95"/>
    <s v="KAMATPUR"/>
    <s v="MPG"/>
    <s v="Direct"/>
    <n v="864.55000000000007"/>
    <n v="30512.69"/>
    <n v="905.33000000000015"/>
    <n v="34096.861390319784"/>
    <n v="9.0399999999999974"/>
    <n v="340.08835703880004"/>
    <n v="914.37000000000012"/>
    <n v="34436.949747358587"/>
    <n v="30512.69"/>
    <n v="0"/>
    <n v="340.08835703880004"/>
    <n v="3924.2597473585884"/>
    <n v="0"/>
    <n v="0"/>
    <n v="0"/>
    <n v="30173"/>
    <n v="0"/>
    <n v="0"/>
    <n v="0"/>
    <n v="0"/>
  </r>
  <r>
    <x v="96"/>
    <s v="GIRDHARA"/>
    <s v="MPG"/>
    <s v="Direct"/>
    <n v="1232.3"/>
    <n v="48581.070000000014"/>
    <n v="227.46"/>
    <n v="10625.209663542681"/>
    <n v="1001.6800000000001"/>
    <n v="40182.964327973947"/>
    <n v="1229.1400000000001"/>
    <n v="50808.173991516625"/>
    <n v="48581.070000000014"/>
    <n v="0"/>
    <n v="317.71080752400002"/>
    <n v="2227.1039915166111"/>
    <n v="0"/>
    <n v="0"/>
    <n v="0"/>
    <n v="8397"/>
    <n v="39866"/>
    <n v="0"/>
    <n v="0"/>
    <n v="0"/>
  </r>
  <r>
    <x v="97"/>
    <s v="RATNI"/>
    <s v="MPG"/>
    <s v="Direct"/>
    <n v="1076"/>
    <n v="53996.87000000001"/>
    <n v="1082.1500000000003"/>
    <n v="53407.125028397044"/>
    <n v="18.3"/>
    <n v="1021.0794991945002"/>
    <n v="1100.4500000000003"/>
    <n v="54428.204527591544"/>
    <n v="53996.87000000001"/>
    <n v="0"/>
    <n v="1021.0794991945002"/>
    <n v="431.33452759153442"/>
    <n v="0"/>
    <n v="0"/>
    <n v="0"/>
    <n v="52976"/>
    <n v="0"/>
    <n v="0"/>
    <n v="0"/>
    <n v="0"/>
  </r>
  <r>
    <x v="98"/>
    <s v="DHAPARI"/>
    <s v="MPG"/>
    <s v="Direct"/>
    <n v="891.40000000000009"/>
    <n v="34937.9"/>
    <n v="888.45999999999981"/>
    <n v="34637.195076257907"/>
    <n v="23.9"/>
    <n v="974.58725887304411"/>
    <n v="912.35999999999979"/>
    <n v="35611.782335130949"/>
    <n v="34937.9"/>
    <n v="0"/>
    <n v="974.58725887304411"/>
    <n v="673.88233513094747"/>
    <n v="0"/>
    <n v="0"/>
    <n v="0"/>
    <n v="33963"/>
    <n v="0"/>
    <n v="0"/>
    <n v="0"/>
    <n v="0"/>
  </r>
  <r>
    <x v="99"/>
    <s v="KHARUI"/>
    <s v="MPG"/>
    <s v="Direct"/>
    <n v="624.45000000000016"/>
    <n v="27228.210000000003"/>
    <n v="652.95000000000005"/>
    <n v="30024.529276813148"/>
    <n v="55.870000000000005"/>
    <n v="2868.4778147646402"/>
    <n v="708.82"/>
    <n v="32893.007091577791"/>
    <n v="27228.210000000003"/>
    <n v="0"/>
    <n v="1477.6132382646401"/>
    <n v="5664.7970915777878"/>
    <n v="0"/>
    <n v="0"/>
    <n v="0"/>
    <n v="24360"/>
    <n v="1391"/>
    <n v="0"/>
    <n v="0"/>
    <n v="0"/>
  </r>
  <r>
    <x v="100"/>
    <s v="KHAIRA"/>
    <s v="MPG"/>
    <s v="Direct"/>
    <n v="770.84999999999991"/>
    <n v="31214.6"/>
    <n v="789.13"/>
    <n v="33321.372236484705"/>
    <n v="27.740000000000002"/>
    <n v="1155.9369152430002"/>
    <n v="816.87"/>
    <n v="34477.309151727706"/>
    <n v="31214.6"/>
    <n v="0"/>
    <n v="1155.9369152430002"/>
    <n v="3262.7091517277076"/>
    <n v="0"/>
    <n v="0"/>
    <n v="0"/>
    <n v="30059"/>
    <n v="0"/>
    <n v="0"/>
    <n v="0"/>
    <n v="0"/>
  </r>
  <r>
    <x v="101"/>
    <s v="SISUA"/>
    <s v="MPG"/>
    <s v="Direct"/>
    <n v="1788.1000000000001"/>
    <n v="69399.520000000004"/>
    <n v="1643.5399999999995"/>
    <n v="63816.823121496542"/>
    <n v="171.59"/>
    <n v="6418.047986820955"/>
    <n v="1815.1299999999994"/>
    <n v="70234.8711083175"/>
    <n v="69399.520000000004"/>
    <n v="0"/>
    <n v="863.06742660600003"/>
    <n v="835.35110831749626"/>
    <n v="0"/>
    <n v="0"/>
    <n v="0"/>
    <n v="62981"/>
    <n v="5555"/>
    <n v="0"/>
    <n v="0"/>
    <n v="0"/>
  </r>
  <r>
    <x v="102"/>
    <s v="BISAI"/>
    <s v="MPG"/>
    <s v="Direct"/>
    <n v="243.04999999999998"/>
    <n v="10070.810000000001"/>
    <n v="235.94"/>
    <n v="10665.105993720603"/>
    <n v="11.32"/>
    <n v="495.45111689100003"/>
    <n v="247.26"/>
    <n v="11160.557110611602"/>
    <n v="10070.810000000001"/>
    <n v="0"/>
    <n v="495.45111689100003"/>
    <n v="1089.7471106116009"/>
    <n v="0"/>
    <n v="0"/>
    <n v="0"/>
    <n v="9575"/>
    <n v="0"/>
    <n v="0"/>
    <n v="0"/>
    <s v="Release1"/>
  </r>
  <r>
    <x v="103"/>
    <s v="SAJUA-1"/>
    <s v="MPG"/>
    <s v="Direct"/>
    <n v="798.75000000000011"/>
    <n v="29522.449999999997"/>
    <n v="775.02"/>
    <n v="28642.993021443435"/>
    <n v="8.07"/>
    <n v="283.23052534260006"/>
    <n v="783.09"/>
    <n v="28926.223546786034"/>
    <n v="28926.223546786034"/>
    <n v="0"/>
    <n v="283.23052534260006"/>
    <n v="0"/>
    <n v="0"/>
    <n v="0"/>
    <n v="0"/>
    <n v="28643"/>
    <n v="0"/>
    <n v="0"/>
    <n v="596"/>
    <n v="0"/>
  </r>
  <r>
    <x v="104"/>
    <s v="SAJUA-2"/>
    <s v="MPG"/>
    <s v="Direct"/>
    <n v="1261.5500000000002"/>
    <n v="46967.65"/>
    <n v="1264.1400000000001"/>
    <n v="48315.055951472663"/>
    <n v="0"/>
    <n v="0"/>
    <n v="1264.1400000000001"/>
    <n v="48315.055951472663"/>
    <n v="46967.65"/>
    <n v="0"/>
    <n v="0"/>
    <n v="1347.4059514726614"/>
    <n v="0"/>
    <n v="0"/>
    <n v="0"/>
    <n v="46968"/>
    <n v="0"/>
    <n v="0"/>
    <n v="0"/>
    <n v="0"/>
  </r>
  <r>
    <x v="105"/>
    <s v="CHORGAUN"/>
    <s v="MPG"/>
    <s v="Direct"/>
    <n v="791.99999999999989"/>
    <n v="29698.379999999994"/>
    <n v="747.79999999999984"/>
    <n v="27692.202884823306"/>
    <n v="23.299999999999997"/>
    <n v="941.87248452000006"/>
    <n v="771.0999999999998"/>
    <n v="28634.075369343307"/>
    <n v="28634.075369343307"/>
    <n v="0"/>
    <n v="941.87248452000006"/>
    <n v="0"/>
    <n v="0"/>
    <n v="0"/>
    <n v="0"/>
    <n v="27691"/>
    <n v="0"/>
    <n v="0"/>
    <n v="1066"/>
    <n v="0"/>
  </r>
  <r>
    <x v="106"/>
    <s v="PADARATHPUR"/>
    <s v="MPG"/>
    <s v="Direct"/>
    <n v="987.8"/>
    <n v="39160.540000000008"/>
    <n v="990.60000000000025"/>
    <n v="39750.146353391588"/>
    <n v="23.3"/>
    <n v="972.62746751300017"/>
    <n v="1013.9000000000002"/>
    <n v="40722.773820904586"/>
    <n v="39160.540000000008"/>
    <n v="0"/>
    <n v="972.62746751300017"/>
    <n v="1562.2338209045774"/>
    <n v="0"/>
    <n v="0"/>
    <n v="0"/>
    <n v="38188"/>
    <n v="0"/>
    <n v="0"/>
    <n v="0"/>
    <n v="0"/>
  </r>
  <r>
    <x v="107"/>
    <s v="BADARKHA"/>
    <s v="MPG"/>
    <s v="Direct"/>
    <n v="855.5"/>
    <n v="30623.62"/>
    <n v="823.12999999999988"/>
    <n v="30549.151623144371"/>
    <n v="0"/>
    <n v="0"/>
    <n v="823.12999999999988"/>
    <n v="30549.151623144371"/>
    <n v="30549.151623144371"/>
    <n v="0"/>
    <n v="0"/>
    <n v="0"/>
    <n v="0"/>
    <n v="0"/>
    <n v="0"/>
    <n v="30551"/>
    <n v="0"/>
    <n v="0"/>
    <n v="73"/>
    <n v="0"/>
  </r>
  <r>
    <x v="108"/>
    <s v="MAHDMADPUR                                                                                          "/>
    <s v="MPG"/>
    <s v="Direct"/>
    <n v="1819.8"/>
    <n v="67747.63"/>
    <n v="1781.0000000000005"/>
    <n v="67300.23435785585"/>
    <n v="13.100000000000001"/>
    <n v="532.79285400000003"/>
    <n v="1794.1000000000004"/>
    <n v="67833.02721185585"/>
    <n v="67747.63"/>
    <n v="0"/>
    <n v="532.79285400000003"/>
    <n v="85.397211855844944"/>
    <n v="0"/>
    <n v="0"/>
    <n v="0"/>
    <n v="67215"/>
    <n v="0"/>
    <n v="0"/>
    <n v="0"/>
    <n v="0"/>
  </r>
  <r>
    <x v="109"/>
    <s v="MUSKIPUR                                                                                            "/>
    <s v="MPG"/>
    <s v="Direct"/>
    <n v="1280.4499999999998"/>
    <n v="52025.51999999999"/>
    <n v="1321.6500000000003"/>
    <n v="53815.77619554408"/>
    <n v="0"/>
    <n v="0"/>
    <n v="1321.6500000000003"/>
    <n v="53815.77619554408"/>
    <n v="52025.51999999999"/>
    <n v="0"/>
    <n v="0"/>
    <n v="1790.2561955440906"/>
    <n v="0"/>
    <n v="0"/>
    <n v="0"/>
    <n v="52026"/>
    <n v="0"/>
    <n v="0"/>
    <n v="0"/>
    <n v="0"/>
  </r>
  <r>
    <x v="110"/>
    <s v="NAYAGAUN                                                                                            "/>
    <s v="MPG"/>
    <s v="Direct"/>
    <n v="573.75"/>
    <n v="23846.76"/>
    <n v="570.36"/>
    <n v="23712.611230607621"/>
    <n v="2.29"/>
    <n v="99.652211111010004"/>
    <n v="572.65"/>
    <n v="23812.263441718631"/>
    <n v="23812.263441718631"/>
    <n v="0"/>
    <n v="99.652211111010004"/>
    <n v="0"/>
    <n v="0"/>
    <n v="0"/>
    <n v="0"/>
    <n v="23713"/>
    <n v="0"/>
    <n v="0"/>
    <n v="34"/>
    <n v="0"/>
  </r>
  <r>
    <x v="111"/>
    <s v="LAUNA                                                                                               "/>
    <s v="MPG"/>
    <s v="Direct"/>
    <n v="1524.9"/>
    <n v="55069.030000000006"/>
    <n v="1500.8099999999997"/>
    <n v="56078.481221472604"/>
    <n v="23.02"/>
    <n v="874.96325611200007"/>
    <n v="1523.8299999999997"/>
    <n v="56953.444477584606"/>
    <n v="55069.030000000006"/>
    <n v="0"/>
    <n v="874.96325611200007"/>
    <n v="1884.4144775845998"/>
    <n v="0"/>
    <n v="0"/>
    <n v="0"/>
    <n v="54194"/>
    <n v="0"/>
    <n v="0"/>
    <n v="0"/>
    <n v="0"/>
  </r>
  <r>
    <x v="112"/>
    <s v="DULHAR"/>
    <s v="MPG"/>
    <s v="Direct"/>
    <n v="530.15000000000009"/>
    <n v="22951.42"/>
    <n v="528.1"/>
    <n v="25471.88581373421"/>
    <n v="0"/>
    <n v="0"/>
    <n v="528.1"/>
    <n v="25471.88581373421"/>
    <n v="22951.42"/>
    <n v="0"/>
    <n v="0"/>
    <n v="2520.4658137342121"/>
    <n v="0"/>
    <n v="0"/>
    <n v="0"/>
    <n v="22951"/>
    <n v="0"/>
    <n v="0"/>
    <n v="0"/>
    <s v="Release1"/>
  </r>
  <r>
    <x v="113"/>
    <s v="Ghorpithiya - Vikas"/>
    <s v="vlc"/>
    <s v="Indirect"/>
    <n v="467.4"/>
    <n v="19433.480000000003"/>
    <n v="0"/>
    <n v="0"/>
    <n v="0"/>
    <n v="0"/>
    <n v="0"/>
    <n v="0"/>
    <n v="19433.480000000003"/>
    <n v="0"/>
    <n v="0"/>
    <n v="0"/>
    <n v="0"/>
    <n v="0"/>
    <n v="0"/>
    <n v="0"/>
    <n v="0"/>
    <n v="19433.480000000003"/>
    <n v="0"/>
    <n v="0"/>
  </r>
  <r>
    <x v="114"/>
    <s v="Akbarnagar - Rakhi"/>
    <s v="vlc"/>
    <s v="Indirect"/>
    <n v="1124.45"/>
    <n v="41741.01"/>
    <n v="0"/>
    <n v="0"/>
    <n v="0"/>
    <n v="0"/>
    <n v="0"/>
    <n v="0"/>
    <n v="41741.01"/>
    <n v="0"/>
    <n v="0"/>
    <n v="0"/>
    <n v="0"/>
    <n v="0"/>
    <n v="0"/>
    <n v="0"/>
    <n v="0"/>
    <n v="41741.01"/>
    <n v="0"/>
    <n v="0"/>
  </r>
  <r>
    <x v="115"/>
    <s v="Maheshi - Chamcham"/>
    <s v="vlc"/>
    <s v="Indirect"/>
    <n v="900"/>
    <n v="34534"/>
    <n v="0"/>
    <n v="0"/>
    <n v="0"/>
    <n v="0"/>
    <n v="0"/>
    <n v="0"/>
    <n v="34534"/>
    <n v="0"/>
    <n v="0"/>
    <n v="0"/>
    <n v="0"/>
    <n v="0"/>
    <n v="0"/>
    <n v="0"/>
    <n v="0"/>
    <n v="34534"/>
    <n v="0"/>
    <n v="0"/>
  </r>
  <r>
    <x v="116"/>
    <s v="Ghorpithiya - Dheeraj"/>
    <s v="vlc"/>
    <s v="Indirect"/>
    <n v="13889.2"/>
    <n v="537224.41"/>
    <n v="0"/>
    <n v="0"/>
    <n v="0"/>
    <n v="0"/>
    <n v="0"/>
    <n v="0"/>
    <n v="537224.41"/>
    <n v="0"/>
    <n v="0"/>
    <n v="0"/>
    <n v="0"/>
    <n v="0"/>
    <n v="0"/>
    <n v="0"/>
    <n v="0"/>
    <n v="537224.41"/>
    <n v="0"/>
    <n v="0"/>
  </r>
  <r>
    <x v="117"/>
    <s v="Asarganj Chhotki Tola - Akash"/>
    <s v="vlc"/>
    <s v="Indirect"/>
    <n v="13907"/>
    <n v="537881.75"/>
    <n v="0"/>
    <n v="0"/>
    <n v="0"/>
    <n v="0"/>
    <n v="0"/>
    <n v="0"/>
    <n v="537881.75"/>
    <n v="0"/>
    <n v="0"/>
    <n v="0"/>
    <n v="0"/>
    <n v="0"/>
    <n v="0"/>
    <n v="0"/>
    <n v="0"/>
    <n v="537881.75"/>
    <n v="0"/>
    <n v="0"/>
  </r>
  <r>
    <x v="118"/>
    <s v="Manikpur - Golu"/>
    <s v="vlc"/>
    <s v="Indirect"/>
    <n v="900"/>
    <n v="34534"/>
    <n v="0"/>
    <n v="0"/>
    <n v="0"/>
    <n v="0"/>
    <n v="0"/>
    <n v="0"/>
    <n v="34534"/>
    <n v="0"/>
    <n v="0"/>
    <n v="0"/>
    <n v="0"/>
    <n v="0"/>
    <n v="0"/>
    <n v="0"/>
    <n v="0"/>
    <n v="34534"/>
    <n v="0"/>
    <n v="0"/>
  </r>
  <r>
    <x v="119"/>
    <s v="Rangaon - Jayram"/>
    <s v="vlc"/>
    <s v="Indirect"/>
    <n v="900"/>
    <n v="34534"/>
    <n v="0"/>
    <n v="0"/>
    <n v="0"/>
    <n v="0"/>
    <n v="0"/>
    <n v="0"/>
    <n v="34534"/>
    <n v="0"/>
    <n v="0"/>
    <n v="0"/>
    <n v="0"/>
    <n v="0"/>
    <n v="0"/>
    <n v="0"/>
    <n v="0"/>
    <n v="34534"/>
    <n v="0"/>
    <n v="0"/>
  </r>
  <r>
    <x v="120"/>
    <s v="Karso - Aparajita"/>
    <s v="vlc"/>
    <s v="Indirect"/>
    <n v="900"/>
    <n v="34534"/>
    <n v="0"/>
    <n v="0"/>
    <n v="0"/>
    <n v="0"/>
    <n v="0"/>
    <n v="0"/>
    <n v="34534"/>
    <n v="0"/>
    <n v="0"/>
    <n v="0"/>
    <n v="0"/>
    <n v="0"/>
    <n v="0"/>
    <n v="0"/>
    <n v="0"/>
    <n v="34534"/>
    <n v="0"/>
    <n v="0"/>
  </r>
  <r>
    <x v="121"/>
    <s v="Unchagaon - Niraj"/>
    <s v="vlc"/>
    <s v="Indirect"/>
    <n v="900"/>
    <n v="34534"/>
    <n v="0"/>
    <n v="0"/>
    <n v="0"/>
    <n v="0"/>
    <n v="0"/>
    <n v="0"/>
    <n v="34534"/>
    <n v="0"/>
    <n v="0"/>
    <n v="0"/>
    <n v="0"/>
    <n v="0"/>
    <n v="0"/>
    <n v="0"/>
    <n v="0"/>
    <n v="34534"/>
    <n v="0"/>
    <n v="0"/>
  </r>
  <r>
    <x v="122"/>
    <s v="SRIRAMPUR"/>
    <s v="MPG"/>
    <s v="Direct"/>
    <n v="300.00000000000006"/>
    <n v="8379.7999999999993"/>
    <n v="300.8"/>
    <n v="8801.3699136000014"/>
    <n v="0"/>
    <n v="0"/>
    <n v="300.8"/>
    <n v="8801.3699136000014"/>
    <n v="8379.7999999999993"/>
    <n v="0"/>
    <n v="0"/>
    <n v="421.56991360000211"/>
    <n v="6769"/>
    <n v="0"/>
    <n v="0"/>
    <n v="1611"/>
    <n v="0"/>
    <n v="0"/>
    <n v="0"/>
    <s v="Release1"/>
  </r>
  <r>
    <x v="123"/>
    <s v="PAIN"/>
    <s v="MPG"/>
    <s v="Direct"/>
    <n v="435.54999999999995"/>
    <n v="15008.870000000003"/>
    <n v="451.21"/>
    <n v="17037.632298962548"/>
    <n v="2.75"/>
    <n v="103.659908616"/>
    <n v="453.96"/>
    <n v="17141.292207578546"/>
    <n v="15008.870000000003"/>
    <n v="0"/>
    <n v="103.659908616"/>
    <n v="2132.4222075785437"/>
    <n v="0"/>
    <n v="0"/>
    <n v="0"/>
    <n v="14905"/>
    <n v="0"/>
    <n v="0"/>
    <n v="0"/>
    <n v="0"/>
  </r>
  <r>
    <x v="124"/>
    <s v="MOTICHAK"/>
    <s v="MPG"/>
    <s v="Direct"/>
    <n v="2551.4"/>
    <n v="89325.87000000001"/>
    <n v="2698.1"/>
    <n v="99176.703051888035"/>
    <n v="59.579999999999991"/>
    <n v="2148.8942202551998"/>
    <n v="2757.68"/>
    <n v="101325.59727214323"/>
    <n v="89325.87000000001"/>
    <n v="0"/>
    <n v="2148.8942202551998"/>
    <n v="11999.727272143224"/>
    <n v="0"/>
    <n v="0"/>
    <n v="0"/>
    <n v="87177"/>
    <n v="0"/>
    <n v="0"/>
    <n v="0"/>
    <n v="0"/>
  </r>
  <r>
    <x v="125"/>
    <s v="MIRATTHI"/>
    <s v="MPG"/>
    <s v="Direct"/>
    <n v="148.10000000000002"/>
    <n v="5973.97"/>
    <n v="145.54999999999998"/>
    <n v="5493.6210162865"/>
    <n v="0.84999999999999987"/>
    <n v="33.053737859999998"/>
    <n v="146.39999999999998"/>
    <n v="5526.6747541465002"/>
    <n v="5526.6747541465002"/>
    <n v="0"/>
    <n v="33.053737859999998"/>
    <n v="0"/>
    <n v="0"/>
    <n v="0"/>
    <n v="0"/>
    <n v="5494"/>
    <n v="0"/>
    <n v="0"/>
    <n v="447"/>
    <n v="0"/>
  </r>
  <r>
    <x v="126"/>
    <s v="DAULATPUR"/>
    <s v="MPG"/>
    <s v="Direct"/>
    <n v="283.34999999999997"/>
    <n v="11891.669999999998"/>
    <n v="271.33999999999997"/>
    <n v="11688.262755181282"/>
    <n v="5.1300000000000008"/>
    <n v="223.01780018928"/>
    <n v="276.46999999999997"/>
    <n v="11911.280555370562"/>
    <n v="11891.669999999998"/>
    <n v="0"/>
    <n v="223.01780018928"/>
    <n v="19.610555370563816"/>
    <n v="0"/>
    <n v="0"/>
    <n v="0"/>
    <n v="11669"/>
    <n v="0"/>
    <n v="0"/>
    <n v="0"/>
    <n v="0"/>
  </r>
  <r>
    <x v="127"/>
    <s v="MOHADDIPUR"/>
    <s v="MPG"/>
    <s v="Direct"/>
    <n v="104.89999999999998"/>
    <n v="3424.71"/>
    <n v="256"/>
    <n v="13765.031927904"/>
    <n v="0"/>
    <n v="0"/>
    <n v="256"/>
    <n v="13765.031927904"/>
    <n v="3424.71"/>
    <n v="0"/>
    <n v="0"/>
    <n v="10340.321927903999"/>
    <n v="0"/>
    <n v="0"/>
    <n v="0"/>
    <n v="3425"/>
    <n v="0"/>
    <n v="0"/>
    <n v="0"/>
    <s v="Release1"/>
  </r>
  <r>
    <x v="128"/>
    <s v="JHAJHA"/>
    <s v="MPG"/>
    <s v="Direct"/>
    <n v="551.84999999999991"/>
    <n v="23081.079999999998"/>
    <n v="549.71"/>
    <n v="24165.246740961367"/>
    <n v="0"/>
    <n v="0"/>
    <n v="549.71"/>
    <n v="24165.246740961367"/>
    <n v="23081.079999999998"/>
    <n v="0"/>
    <n v="0"/>
    <n v="1084.1667409613692"/>
    <n v="0"/>
    <n v="0"/>
    <n v="0"/>
    <n v="23081"/>
    <n v="0"/>
    <n v="0"/>
    <n v="0"/>
    <n v="0"/>
  </r>
  <r>
    <x v="129"/>
    <s v="KAMARDUH"/>
    <s v="MPG"/>
    <s v="Direct"/>
    <n v="762.15"/>
    <n v="31730.929999999997"/>
    <n v="761.99999999999989"/>
    <n v="31747.737189960008"/>
    <n v="7"/>
    <n v="291.52983419999998"/>
    <n v="768.99999999999989"/>
    <n v="32039.267024160006"/>
    <n v="31730.929999999997"/>
    <n v="0"/>
    <n v="291.52983419999998"/>
    <n v="308.33702416000961"/>
    <n v="0"/>
    <n v="0"/>
    <n v="0"/>
    <n v="31439"/>
    <n v="0"/>
    <n v="0"/>
    <n v="0"/>
    <n v="0"/>
  </r>
  <r>
    <x v="130"/>
    <s v="BARSABAD"/>
    <s v="MPG"/>
    <s v="Direct"/>
    <n v="529.99999999999989"/>
    <n v="16261.03"/>
    <n v="514.04999999999995"/>
    <n v="19495.577460662233"/>
    <n v="2.5700000000000003"/>
    <n v="95.702851332000009"/>
    <n v="516.62"/>
    <n v="19591.280311994233"/>
    <n v="16261.03"/>
    <n v="0"/>
    <n v="95.702851332000009"/>
    <n v="3330.2503119942321"/>
    <n v="0"/>
    <n v="0"/>
    <n v="0"/>
    <n v="16165"/>
    <n v="0"/>
    <n v="0"/>
    <n v="0"/>
    <n v="0"/>
  </r>
  <r>
    <x v="131"/>
    <s v="GONAI"/>
    <s v="MPG"/>
    <s v="Direct"/>
    <n v="1165.2000000000003"/>
    <n v="44096.729999999996"/>
    <n v="1151.2"/>
    <n v="43799.614113240721"/>
    <n v="3.9599999999999995"/>
    <n v="153.54609042959999"/>
    <n v="1155.1600000000001"/>
    <n v="43953.160203670319"/>
    <n v="43953.160203670319"/>
    <n v="0"/>
    <n v="153.54609042959999"/>
    <n v="0"/>
    <n v="0"/>
    <n v="0"/>
    <n v="0"/>
    <n v="43800"/>
    <n v="0"/>
    <n v="0"/>
    <n v="143"/>
    <n v="0"/>
  </r>
  <r>
    <x v="132"/>
    <s v="SHIKARITOLA"/>
    <s v="MPG"/>
    <s v="Direct"/>
    <n v="1047.0999999999999"/>
    <n v="41667.71"/>
    <n v="1039.1400000000001"/>
    <n v="45318.877025692818"/>
    <n v="0"/>
    <n v="0"/>
    <n v="1039.1400000000001"/>
    <n v="45318.877025692818"/>
    <n v="41667.71"/>
    <n v="0"/>
    <n v="0"/>
    <n v="3651.1670256928192"/>
    <n v="0"/>
    <n v="0"/>
    <n v="0"/>
    <n v="41668"/>
    <n v="0"/>
    <n v="0"/>
    <n v="0"/>
    <n v="0"/>
  </r>
  <r>
    <x v="133"/>
    <s v="BAIKUNTHPUR"/>
    <s v="MPG"/>
    <s v="Direct"/>
    <n v="103.24999999999999"/>
    <n v="3651.19"/>
    <n v="118.00999999999999"/>
    <n v="3819.7703676329998"/>
    <n v="1.8"/>
    <n v="57.382752794400005"/>
    <n v="119.80999999999999"/>
    <n v="3877.1531204273997"/>
    <n v="3651.19"/>
    <n v="0"/>
    <n v="57.382752794400005"/>
    <n v="225.96312042739964"/>
    <n v="0"/>
    <n v="0"/>
    <n v="0"/>
    <n v="3594"/>
    <n v="0"/>
    <n v="0"/>
    <n v="0"/>
    <n v="0"/>
  </r>
  <r>
    <x v="134"/>
    <s v="KAITHA"/>
    <s v="MPG"/>
    <s v="Direct"/>
    <n v="2331.8500000000004"/>
    <n v="92321.420000000013"/>
    <n v="1221.25"/>
    <n v="50642.384595518575"/>
    <n v="1147.01"/>
    <n v="45101.24380396081"/>
    <n v="2368.2600000000002"/>
    <n v="95743.628399479378"/>
    <n v="92321.420000000013"/>
    <n v="0"/>
    <n v="809.01143937900008"/>
    <n v="3422.2083994793647"/>
    <n v="0"/>
    <n v="0"/>
    <n v="0"/>
    <n v="47219"/>
    <n v="44293"/>
    <n v="0"/>
    <n v="0"/>
    <n v="0"/>
  </r>
  <r>
    <x v="135"/>
    <s v="DORAI"/>
    <s v="MPG"/>
    <s v="Direct"/>
    <n v="1137.1000000000001"/>
    <n v="41511.249999999993"/>
    <n v="1156.7000000000003"/>
    <n v="45852.953371236006"/>
    <n v="34.65"/>
    <n v="1353.5234409377999"/>
    <n v="1191.3500000000004"/>
    <n v="47206.476812173809"/>
    <n v="41511.249999999993"/>
    <n v="0"/>
    <n v="1353.5234409377999"/>
    <n v="5695.2268121738161"/>
    <n v="0"/>
    <n v="0"/>
    <n v="0"/>
    <n v="40158"/>
    <n v="0"/>
    <n v="0"/>
    <n v="0"/>
    <n v="0"/>
  </r>
  <r>
    <x v="136"/>
    <s v="RAGHUNATHPUR"/>
    <s v="vlc"/>
    <s v="Indirect"/>
    <n v="485.8"/>
    <n v="17187.11"/>
    <n v="0"/>
    <n v="0"/>
    <n v="0"/>
    <n v="0"/>
    <n v="0"/>
    <n v="0"/>
    <n v="17187.11"/>
    <n v="0"/>
    <n v="0"/>
    <n v="0"/>
    <n v="0"/>
    <n v="0"/>
    <n v="0"/>
    <n v="0"/>
    <n v="0"/>
    <n v="17187.11"/>
    <n v="0"/>
    <n v="0"/>
  </r>
  <r>
    <x v="137"/>
    <s v="BANGAMA"/>
    <s v="MPG"/>
    <s v="Direct"/>
    <n v="816.45000000000016"/>
    <n v="32010.76"/>
    <n v="848"/>
    <n v="34285.045330800007"/>
    <n v="44"/>
    <n v="1808.0528004000005"/>
    <n v="892"/>
    <n v="36093.098131200008"/>
    <n v="32010.76"/>
    <n v="0"/>
    <n v="548.73953640000013"/>
    <n v="4082.3381312000092"/>
    <n v="0"/>
    <n v="0"/>
    <n v="0"/>
    <n v="30203"/>
    <n v="1259"/>
    <n v="0"/>
    <n v="0"/>
    <n v="0"/>
  </r>
  <r>
    <x v="138"/>
    <s v="KORIYA"/>
    <s v="MPG"/>
    <s v="Direct"/>
    <n v="184.64999999999998"/>
    <n v="8336.6200000000008"/>
    <n v="182.70000000000005"/>
    <n v="8853.8643331073545"/>
    <n v="0"/>
    <n v="0"/>
    <n v="182.70000000000005"/>
    <n v="8853.8643331073545"/>
    <n v="8336.6200000000008"/>
    <n v="0"/>
    <n v="0"/>
    <n v="517.24433310735367"/>
    <n v="0"/>
    <n v="0"/>
    <n v="0"/>
    <n v="8337"/>
    <n v="0"/>
    <n v="0"/>
    <n v="0"/>
    <s v="Release1"/>
  </r>
  <r>
    <x v="139"/>
    <s v="HARLACHAK"/>
    <s v="MPG"/>
    <s v="Direct"/>
    <n v="951.90000000000009"/>
    <n v="36452.29"/>
    <n v="946.0300000000002"/>
    <n v="36384.345735432318"/>
    <n v="0"/>
    <n v="0"/>
    <n v="946.0300000000002"/>
    <n v="36384.345735432318"/>
    <n v="36384.345735432318"/>
    <n v="0"/>
    <n v="0"/>
    <n v="0"/>
    <n v="0"/>
    <n v="0"/>
    <n v="0"/>
    <n v="36384"/>
    <n v="0"/>
    <n v="0"/>
    <n v="68"/>
    <n v="0"/>
  </r>
  <r>
    <x v="140"/>
    <s v="Jangle Jhakra"/>
    <s v="MPG"/>
    <s v="Direct"/>
    <n v="1836.6999999999998"/>
    <n v="71029.87999999999"/>
    <n v="1833.05"/>
    <n v="73473.3356965938"/>
    <n v="26.25"/>
    <n v="1039.7572499160001"/>
    <n v="1859.3"/>
    <n v="74513.092946509802"/>
    <n v="71029.87999999999"/>
    <n v="0"/>
    <n v="1039.7572499160001"/>
    <n v="3483.2129465098114"/>
    <n v="0"/>
    <n v="0"/>
    <n v="0"/>
    <n v="69990"/>
    <n v="0"/>
    <n v="0"/>
    <n v="0"/>
    <n v="0"/>
  </r>
  <r>
    <x v="141"/>
    <s v="KATAHRA"/>
    <s v="MPG"/>
    <s v="Direct"/>
    <n v="423.0499999999999"/>
    <n v="18349.890000000003"/>
    <n v="459.45999999999992"/>
    <n v="20267.672029371799"/>
    <n v="0"/>
    <n v="0"/>
    <n v="459.45999999999992"/>
    <n v="20267.672029371799"/>
    <n v="18349.890000000003"/>
    <n v="0"/>
    <n v="0"/>
    <n v="1917.7820293717959"/>
    <n v="0"/>
    <n v="0"/>
    <n v="0"/>
    <n v="18350"/>
    <n v="0"/>
    <n v="0"/>
    <n v="0"/>
    <n v="0"/>
  </r>
  <r>
    <x v="142"/>
    <s v="KARHARIA V"/>
    <s v="vlc"/>
    <s v="Indirect"/>
    <n v="240.35000000000002"/>
    <n v="8642.85"/>
    <n v="0"/>
    <n v="0"/>
    <n v="0"/>
    <n v="0"/>
    <n v="0"/>
    <n v="0"/>
    <n v="8642.85"/>
    <n v="0"/>
    <n v="0"/>
    <n v="0"/>
    <n v="0"/>
    <n v="0"/>
    <n v="0"/>
    <n v="0"/>
    <n v="0"/>
    <n v="8642.85"/>
    <n v="0"/>
    <n v="0"/>
  </r>
  <r>
    <x v="143"/>
    <s v="BALADEV ITAHARI"/>
    <s v="MPG"/>
    <s v="Direct"/>
    <n v="505.75"/>
    <n v="18036.78"/>
    <n v="485.58"/>
    <n v="18596.437277999055"/>
    <n v="0"/>
    <n v="0"/>
    <n v="485.58"/>
    <n v="18596.437277999055"/>
    <n v="18036.78"/>
    <n v="0"/>
    <n v="0"/>
    <n v="559.65727799905653"/>
    <n v="0"/>
    <n v="0"/>
    <n v="0"/>
    <n v="18037"/>
    <n v="0"/>
    <n v="0"/>
    <n v="0"/>
    <n v="0"/>
  </r>
  <r>
    <x v="144"/>
    <s v="GOMUKH KODAND"/>
    <s v="vlc"/>
    <s v="Indirect"/>
    <n v="514.55000000000007"/>
    <n v="18374.960000000003"/>
    <n v="0"/>
    <n v="0"/>
    <n v="0"/>
    <n v="0"/>
    <n v="0"/>
    <n v="0"/>
    <n v="18374.960000000003"/>
    <n v="0"/>
    <n v="0"/>
    <n v="0"/>
    <n v="0"/>
    <n v="0"/>
    <n v="0"/>
    <n v="0"/>
    <n v="0"/>
    <n v="18374.960000000003"/>
    <n v="0"/>
    <n v="0"/>
  </r>
  <r>
    <x v="145"/>
    <s v="PAHALANPUR"/>
    <s v="MPG"/>
    <s v="Direct"/>
    <n v="889.3"/>
    <n v="34673.42"/>
    <n v="896.49"/>
    <n v="33551.767104652703"/>
    <n v="0"/>
    <n v="0"/>
    <n v="896.49"/>
    <n v="33551.767104652703"/>
    <n v="33551.767104652703"/>
    <n v="0"/>
    <n v="0"/>
    <n v="0"/>
    <n v="0"/>
    <n v="0"/>
    <n v="0"/>
    <n v="33552"/>
    <n v="0"/>
    <n v="0"/>
    <n v="1121"/>
    <n v="0"/>
  </r>
  <r>
    <x v="146"/>
    <s v="TETARIYA"/>
    <s v="vlc"/>
    <s v="Indirect"/>
    <n v="218.74999999999997"/>
    <n v="7362.94"/>
    <n v="0"/>
    <n v="0"/>
    <n v="0"/>
    <n v="0"/>
    <n v="0"/>
    <n v="0"/>
    <n v="7362.94"/>
    <n v="0"/>
    <n v="0"/>
    <n v="0"/>
    <n v="0"/>
    <n v="0"/>
    <n v="0"/>
    <n v="0"/>
    <n v="0"/>
    <n v="7362.94"/>
    <n v="0"/>
    <n v="0"/>
  </r>
  <r>
    <x v="147"/>
    <s v="RAMBRAN YADAV"/>
    <s v="MPG"/>
    <s v="Direct"/>
    <n v="175.75000000000003"/>
    <n v="6415.44"/>
    <n v="191.99999999999997"/>
    <n v="7238.8077640560014"/>
    <n v="0"/>
    <n v="0"/>
    <n v="191.99999999999997"/>
    <n v="7238.8077640560014"/>
    <n v="6415.44"/>
    <n v="0"/>
    <n v="0"/>
    <n v="823.36776405600176"/>
    <n v="0"/>
    <n v="0"/>
    <n v="0"/>
    <n v="6415"/>
    <n v="0"/>
    <n v="0"/>
    <n v="0"/>
    <n v="0"/>
  </r>
  <r>
    <x v="148"/>
    <s v="Gomukh Beldra"/>
    <s v="MPG"/>
    <s v="Direct"/>
    <n v="171.05"/>
    <n v="5828.42"/>
    <n v="159.20000000000002"/>
    <n v="5394.1132911600007"/>
    <n v="0"/>
    <n v="0"/>
    <n v="159.20000000000002"/>
    <n v="5394.1132911600007"/>
    <n v="5394.1132911600007"/>
    <n v="0"/>
    <n v="0"/>
    <n v="0"/>
    <n v="0"/>
    <n v="0"/>
    <n v="0"/>
    <n v="5394"/>
    <n v="0"/>
    <n v="0"/>
    <n v="434"/>
    <n v="0"/>
  </r>
  <r>
    <x v="149"/>
    <s v="Gomukh Chandanpura"/>
    <s v="MPG"/>
    <s v="Direct"/>
    <n v="453.8"/>
    <n v="18152.170000000002"/>
    <n v="505.79"/>
    <n v="23000.313793451263"/>
    <n v="0"/>
    <n v="0"/>
    <n v="505.79"/>
    <n v="23000.313793451263"/>
    <n v="18152.170000000002"/>
    <n v="0"/>
    <n v="0"/>
    <n v="4848.1437934512614"/>
    <n v="0"/>
    <n v="0"/>
    <n v="0"/>
    <n v="18152"/>
    <n v="0"/>
    <n v="0"/>
    <n v="0"/>
    <n v="0"/>
  </r>
  <r>
    <x v="150"/>
    <s v="BANOULI"/>
    <s v="MPG"/>
    <s v="Direct"/>
    <n v="46.800000000000004"/>
    <n v="1772.41"/>
    <n v="52.31"/>
    <n v="2039.3316810504002"/>
    <n v="0"/>
    <n v="0"/>
    <n v="52.31"/>
    <n v="2039.3316810504002"/>
    <n v="1772.41"/>
    <n v="0"/>
    <n v="0"/>
    <n v="266.92168105040014"/>
    <n v="0"/>
    <n v="0"/>
    <n v="0"/>
    <n v="1772"/>
    <n v="0"/>
    <n v="0"/>
    <n v="0"/>
    <n v="0"/>
  </r>
  <r>
    <x v="151"/>
    <s v="DARIYAPUR R"/>
    <s v="MPG"/>
    <s v="Direct"/>
    <n v="269.60000000000002"/>
    <n v="10419.84"/>
    <n v="264.60000000000002"/>
    <n v="10298.823622560003"/>
    <n v="0"/>
    <n v="0"/>
    <n v="264.60000000000002"/>
    <n v="10298.823622560003"/>
    <n v="10298.823622560003"/>
    <n v="0"/>
    <n v="0"/>
    <n v="0"/>
    <n v="0"/>
    <n v="0"/>
    <n v="0"/>
    <n v="10299"/>
    <n v="0"/>
    <n v="0"/>
    <n v="121"/>
    <n v="0"/>
  </r>
  <r>
    <x v="152"/>
    <s v="MUZAFFARGANJ"/>
    <s v="MPG"/>
    <s v="Direct"/>
    <n v="399.3"/>
    <n v="15408.720000000001"/>
    <n v="365.40000000000003"/>
    <n v="14063.727803640002"/>
    <n v="0"/>
    <n v="0"/>
    <n v="365.40000000000003"/>
    <n v="14063.727803640002"/>
    <n v="14063.727803640002"/>
    <n v="0"/>
    <n v="0"/>
    <n v="0"/>
    <n v="0"/>
    <n v="0"/>
    <n v="0"/>
    <n v="14064"/>
    <n v="0"/>
    <n v="0"/>
    <n v="1345"/>
    <n v="0"/>
  </r>
  <r>
    <x v="153"/>
    <s v="SARHA"/>
    <s v="MPG"/>
    <s v="Direct"/>
    <n v="677.6"/>
    <n v="30510.440000000002"/>
    <n v="707.05"/>
    <n v="31104.199556488144"/>
    <n v="0"/>
    <n v="0"/>
    <n v="707.05"/>
    <n v="31104.199556488144"/>
    <n v="30510.440000000002"/>
    <n v="0"/>
    <n v="0"/>
    <n v="593.75955648814124"/>
    <n v="0"/>
    <n v="0"/>
    <n v="0"/>
    <n v="30510"/>
    <n v="0"/>
    <n v="0"/>
    <n v="0"/>
    <n v="0"/>
  </r>
  <r>
    <x v="154"/>
    <s v="KUSUMBHA"/>
    <s v="MPG"/>
    <s v="Direct"/>
    <n v="135.55000000000001"/>
    <n v="5225.0199999999995"/>
    <n v="142.16999999999999"/>
    <n v="6663.6358401466005"/>
    <n v="0"/>
    <n v="0"/>
    <n v="142.16999999999999"/>
    <n v="6663.6358401466005"/>
    <n v="5225.0199999999995"/>
    <n v="0"/>
    <n v="0"/>
    <n v="1438.6158401466009"/>
    <n v="0"/>
    <n v="0"/>
    <n v="0"/>
    <n v="5225"/>
    <n v="0"/>
    <n v="0"/>
    <n v="0"/>
    <n v="0"/>
  </r>
  <r>
    <x v="156"/>
    <s v="MANO"/>
    <s v="vlc"/>
    <s v="Indirect"/>
    <n v="1407.6"/>
    <n v="53103.69"/>
    <n v="0"/>
    <n v="0"/>
    <n v="0"/>
    <n v="0"/>
    <n v="0"/>
    <n v="0"/>
    <n v="53103.69"/>
    <n v="0"/>
    <n v="0"/>
    <n v="0"/>
    <n v="0"/>
    <n v="0"/>
    <n v="0"/>
    <n v="0"/>
    <n v="0"/>
    <n v="53103.69"/>
    <n v="0"/>
    <n v="0"/>
  </r>
  <r>
    <x v="157"/>
    <s v="PURANI SALEMPUR"/>
    <s v="vlc"/>
    <s v="Indirect"/>
    <n v="1813.8"/>
    <n v="64936.740000000013"/>
    <n v="0"/>
    <n v="0"/>
    <n v="0"/>
    <n v="0"/>
    <n v="0"/>
    <n v="0"/>
    <n v="64936.740000000013"/>
    <n v="0"/>
    <n v="0"/>
    <n v="0"/>
    <n v="0"/>
    <n v="0"/>
    <n v="0"/>
    <n v="0"/>
    <n v="0"/>
    <n v="64936.740000000013"/>
    <n v="0"/>
    <n v="0"/>
  </r>
  <r>
    <x v="158"/>
    <s v="DHANDHHA"/>
    <s v="vlc"/>
    <s v="Indirect"/>
    <n v="2685.1"/>
    <n v="100882.44"/>
    <n v="0"/>
    <n v="0"/>
    <n v="0"/>
    <n v="0"/>
    <n v="0"/>
    <n v="0"/>
    <n v="100882.44"/>
    <n v="0"/>
    <n v="0"/>
    <n v="0"/>
    <n v="0"/>
    <n v="0"/>
    <n v="0"/>
    <n v="0"/>
    <n v="0"/>
    <n v="100882.44"/>
    <n v="0"/>
    <n v="0"/>
  </r>
  <r>
    <x v="159"/>
    <s v="CHALISH"/>
    <s v="vlc"/>
    <s v="Indirect"/>
    <n v="1293.8999999999999"/>
    <n v="48768.039999999986"/>
    <n v="0"/>
    <n v="0"/>
    <n v="0"/>
    <n v="0"/>
    <n v="0"/>
    <n v="0"/>
    <n v="48768.039999999986"/>
    <n v="0"/>
    <n v="0"/>
    <n v="0"/>
    <n v="0"/>
    <n v="0"/>
    <n v="0"/>
    <n v="0"/>
    <n v="0"/>
    <n v="48768.039999999986"/>
    <n v="0"/>
    <n v="0"/>
  </r>
  <r>
    <x v="160"/>
    <s v="MAA BHAGWATI"/>
    <s v="vlc"/>
    <s v="Indirect"/>
    <n v="957.00000000000011"/>
    <n v="33331.82"/>
    <n v="0"/>
    <n v="0"/>
    <n v="0"/>
    <n v="0"/>
    <n v="0"/>
    <n v="0"/>
    <n v="33331.82"/>
    <n v="0"/>
    <n v="0"/>
    <n v="0"/>
    <n v="0"/>
    <n v="0"/>
    <n v="0"/>
    <n v="0"/>
    <n v="0"/>
    <n v="33331.82"/>
    <n v="0"/>
    <n v="0"/>
  </r>
  <r>
    <x v="161"/>
    <s v="MAIDINICHOKI"/>
    <s v="vlc"/>
    <s v="Indirect"/>
    <n v="530.6"/>
    <n v="19090.460000000003"/>
    <n v="0"/>
    <n v="0"/>
    <n v="0"/>
    <n v="0"/>
    <n v="0"/>
    <n v="0"/>
    <n v="19090.460000000003"/>
    <n v="0"/>
    <n v="0"/>
    <n v="0"/>
    <n v="0"/>
    <n v="0"/>
    <n v="0"/>
    <n v="0"/>
    <n v="0"/>
    <n v="19090.460000000003"/>
    <n v="0"/>
    <n v="0"/>
  </r>
  <r>
    <x v="162"/>
    <s v="GOMUKH JAJWARA"/>
    <s v="vlc"/>
    <s v="Indirect"/>
    <n v="1833.2"/>
    <n v="73040.160000000003"/>
    <n v="0"/>
    <n v="0"/>
    <n v="0"/>
    <n v="0"/>
    <n v="0"/>
    <n v="0"/>
    <n v="73040.160000000003"/>
    <n v="0"/>
    <n v="0"/>
    <n v="0"/>
    <n v="0"/>
    <n v="0"/>
    <n v="0"/>
    <n v="0"/>
    <n v="0"/>
    <n v="73040.160000000003"/>
    <n v="0"/>
    <n v="0"/>
  </r>
  <r>
    <x v="163"/>
    <s v="Gomukh ID Sonvarsha"/>
    <s v="vlc"/>
    <s v="Indirect"/>
    <n v="1594.1000000000004"/>
    <n v="60459.450000000004"/>
    <n v="0"/>
    <n v="0"/>
    <n v="0"/>
    <n v="0"/>
    <n v="0"/>
    <n v="0"/>
    <n v="60459.450000000004"/>
    <n v="0"/>
    <n v="0"/>
    <n v="0"/>
    <n v="0"/>
    <n v="0"/>
    <n v="0"/>
    <n v="0"/>
    <n v="0"/>
    <n v="60459.450000000004"/>
    <n v="0"/>
    <n v="0"/>
  </r>
  <r>
    <x v="164"/>
    <s v="BALHAPUR"/>
    <s v="MPG"/>
    <s v="Direct"/>
    <n v="502.3"/>
    <n v="23086.69"/>
    <n v="487.11999999999989"/>
    <n v="22726.882762628604"/>
    <n v="9.9999999999999982"/>
    <n v="446.72684165099997"/>
    <n v="497.11999999999989"/>
    <n v="23173.609604279605"/>
    <n v="23086.69"/>
    <n v="0"/>
    <n v="446.72684165099997"/>
    <n v="86.919604279606574"/>
    <n v="0"/>
    <n v="0"/>
    <n v="0"/>
    <n v="22640"/>
    <n v="0"/>
    <n v="0"/>
    <n v="0"/>
    <n v="0"/>
  </r>
  <r>
    <x v="165"/>
    <s v="Gomukh ID Husaina"/>
    <s v="vlc"/>
    <s v="Indirect"/>
    <n v="169.2"/>
    <n v="5945.67"/>
    <n v="0"/>
    <n v="0"/>
    <n v="0"/>
    <n v="0"/>
    <n v="0"/>
    <n v="0"/>
    <n v="5945.67"/>
    <n v="0"/>
    <n v="0"/>
    <n v="0"/>
    <n v="0"/>
    <n v="0"/>
    <n v="0"/>
    <n v="0"/>
    <n v="0"/>
    <n v="5945.67"/>
    <n v="0"/>
    <n v="0"/>
  </r>
  <r>
    <x v="167"/>
    <s v="MAA SARDE"/>
    <s v="vlc"/>
    <s v="Indirect"/>
    <n v="776.2"/>
    <n v="26937.58"/>
    <n v="0"/>
    <n v="0"/>
    <n v="0"/>
    <n v="0"/>
    <n v="0"/>
    <n v="0"/>
    <n v="26937.58"/>
    <n v="0"/>
    <n v="0"/>
    <n v="0"/>
    <n v="0"/>
    <n v="371.08906451612904"/>
    <n v="0"/>
    <n v="0"/>
    <n v="0"/>
    <n v="26566.490935483871"/>
    <n v="0"/>
    <n v="0"/>
  </r>
  <r>
    <x v="168"/>
    <s v="PURANI DIH"/>
    <s v="vlc"/>
    <s v="Indirect"/>
    <n v="1219.2"/>
    <n v="47894.93"/>
    <n v="0"/>
    <n v="0"/>
    <n v="0"/>
    <n v="0"/>
    <n v="0"/>
    <n v="0"/>
    <n v="47894.93"/>
    <n v="0"/>
    <n v="0"/>
    <n v="0"/>
    <n v="0"/>
    <n v="323.57084516129021"/>
    <n v="0"/>
    <n v="0"/>
    <n v="0"/>
    <n v="47571.359154838712"/>
    <n v="0"/>
    <n v="0"/>
  </r>
  <r>
    <x v="169"/>
    <s v="Farda Ravi Tola"/>
    <s v="MPG"/>
    <s v="Direct"/>
    <n v="1336.1"/>
    <n v="47827.270000000011"/>
    <n v="1449.6"/>
    <n v="53018.495224200007"/>
    <n v="12.399999999999999"/>
    <n v="459.55833660000013"/>
    <n v="1462"/>
    <n v="53478.053560800006"/>
    <n v="47827.270000000011"/>
    <n v="0"/>
    <n v="459.55833660000013"/>
    <n v="5650.783560799995"/>
    <n v="24704"/>
    <n v="191.21538000000001"/>
    <n v="0"/>
    <n v="22472"/>
    <n v="0"/>
    <n v="0"/>
    <n v="0"/>
    <s v="Release3"/>
  </r>
  <r>
    <x v="170"/>
    <s v="Gomukh Puranidih 2"/>
    <s v="vlc"/>
    <s v="Indirect"/>
    <n v="97.100000000000009"/>
    <n v="4215.2900000000009"/>
    <n v="0"/>
    <n v="0"/>
    <n v="0"/>
    <n v="0"/>
    <n v="0"/>
    <n v="0"/>
    <n v="4215.2900000000009"/>
    <n v="0"/>
    <n v="0"/>
    <n v="0"/>
    <n v="0"/>
    <n v="20.80666451612904"/>
    <n v="0"/>
    <n v="0"/>
    <n v="0"/>
    <n v="4194.483335483872"/>
    <n v="0"/>
    <n v="0"/>
  </r>
  <r>
    <x v="171"/>
    <s v="Gomukh Arma"/>
    <s v="MPG"/>
    <s v="Direct"/>
    <n v="597.1"/>
    <n v="24322.92"/>
    <n v="588.04999999999995"/>
    <n v="24987.292344233101"/>
    <n v="1.95"/>
    <n v="84.084166376100001"/>
    <n v="590"/>
    <n v="25071.3765106092"/>
    <n v="24322.92"/>
    <n v="0"/>
    <n v="84.084166376100001"/>
    <n v="748.45651060920136"/>
    <n v="0"/>
    <n v="87.989466666666658"/>
    <n v="0"/>
    <n v="24151"/>
    <n v="0"/>
    <n v="0"/>
    <n v="0"/>
    <n v="0"/>
  </r>
  <r>
    <x v="172"/>
    <s v="Singhchak"/>
    <s v="MPG"/>
    <s v="Direct"/>
    <n v="1465.6999999999994"/>
    <n v="63397.3"/>
    <n v="1477.78"/>
    <n v="63250.858949727226"/>
    <n v="20.72"/>
    <n v="882.593772984"/>
    <n v="1498.5"/>
    <n v="64133.452722711227"/>
    <n v="63397.3"/>
    <n v="0"/>
    <n v="882.593772984"/>
    <n v="736.15272271122376"/>
    <n v="0"/>
    <n v="0"/>
    <n v="0"/>
    <n v="62515"/>
    <n v="0"/>
    <n v="0"/>
    <n v="0"/>
    <n v="0"/>
  </r>
  <r>
    <x v="173"/>
    <s v="MAHA-LAXMI"/>
    <s v="vlc"/>
    <s v="Indirect"/>
    <n v="698.19999999999993"/>
    <n v="24558.27"/>
    <n v="0"/>
    <n v="0"/>
    <n v="0"/>
    <n v="0"/>
    <n v="0"/>
    <n v="0"/>
    <n v="24558.27"/>
    <n v="0"/>
    <n v="0"/>
    <n v="0"/>
    <n v="0"/>
    <n v="0"/>
    <n v="0"/>
    <n v="0"/>
    <n v="0"/>
    <n v="24558.27"/>
    <n v="0"/>
    <n v="0"/>
  </r>
  <r>
    <x v="174"/>
    <s v="PAWAI"/>
    <s v="MPG"/>
    <s v="Direct"/>
    <n v="1887.3000000000006"/>
    <n v="84194.98"/>
    <n v="1786.6399999999999"/>
    <n v="80405.409238092645"/>
    <n v="103.85999999999999"/>
    <n v="4486.1681639190701"/>
    <n v="1890.4999999999998"/>
    <n v="84891.57740201171"/>
    <n v="84194.98"/>
    <n v="0"/>
    <n v="1076.1376802790701"/>
    <n v="696.59740201171371"/>
    <n v="0"/>
    <n v="0"/>
    <n v="0"/>
    <n v="79709"/>
    <n v="3410"/>
    <n v="0"/>
    <n v="0"/>
    <n v="0"/>
  </r>
  <r>
    <x v="175"/>
    <s v="LAKHOCHAK                                                                                           "/>
    <s v="MPG"/>
    <s v="Direct"/>
    <n v="369.2"/>
    <n v="15084.23"/>
    <n v="372.52"/>
    <n v="16144.216706714869"/>
    <n v="0"/>
    <n v="0"/>
    <n v="372.52"/>
    <n v="16144.216706714869"/>
    <n v="15084.23"/>
    <n v="0"/>
    <n v="0"/>
    <n v="1059.9867067148698"/>
    <n v="0"/>
    <n v="14.94"/>
    <n v="0"/>
    <n v="15069"/>
    <n v="0"/>
    <n v="0"/>
    <n v="0"/>
    <s v="Release2"/>
  </r>
  <r>
    <x v="176"/>
    <s v="BATTA RAMPUR                                                                                        "/>
    <s v="MPG"/>
    <s v="Direct"/>
    <n v="3190.4"/>
    <n v="156726.12999999998"/>
    <n v="3338.170000000001"/>
    <n v="164647.55991408796"/>
    <n v="26.639999999999997"/>
    <n v="1647.2099303613502"/>
    <n v="3364.8100000000009"/>
    <n v="166294.7698444493"/>
    <n v="156726.12999999998"/>
    <n v="0"/>
    <n v="1647.2099303613502"/>
    <n v="9568.6398444493243"/>
    <n v="0"/>
    <n v="0"/>
    <n v="0"/>
    <n v="155079"/>
    <n v="0"/>
    <n v="0"/>
    <n v="0"/>
    <n v="0"/>
  </r>
  <r>
    <x v="983"/>
    <s v="URAIN"/>
    <s v="MPG"/>
    <s v="Direct"/>
    <n v="36.5"/>
    <n v="1310.72"/>
    <n v="36"/>
    <n v="1292.5843920000002"/>
    <n v="0.5"/>
    <n v="17.820554400000002"/>
    <n v="36.5"/>
    <n v="1310.4049464000002"/>
    <n v="1310.4049464000002"/>
    <n v="0"/>
    <n v="17.820554400000002"/>
    <n v="0"/>
    <n v="0"/>
    <n v="0"/>
    <n v="0"/>
    <n v="1293"/>
    <n v="0"/>
    <n v="0"/>
    <n v="0"/>
    <n v="0"/>
  </r>
  <r>
    <x v="984"/>
    <s v="RANDHIR KUMAR(VLC)"/>
    <s v="vlc"/>
    <s v="Indirect"/>
    <n v="453.20000000000005"/>
    <n v="16638.920000000002"/>
    <n v="0"/>
    <n v="0"/>
    <n v="0"/>
    <n v="0"/>
    <n v="0"/>
    <n v="0"/>
    <n v="16638.920000000002"/>
    <n v="0"/>
    <n v="0"/>
    <n v="0"/>
    <n v="0"/>
    <n v="0"/>
    <n v="0"/>
    <n v="0"/>
    <n v="0"/>
    <n v="16638.920000000002"/>
    <n v="0"/>
    <n v="0"/>
  </r>
  <r>
    <x v="177"/>
    <s v="MALIYA"/>
    <s v="MPG"/>
    <s v="Direct"/>
    <n v="691.19999999999982"/>
    <n v="30194.370000000006"/>
    <n v="689.34"/>
    <n v="30485.008041938927"/>
    <n v="9.7999999999999989"/>
    <n v="396.17275718300004"/>
    <n v="699.14"/>
    <n v="30881.180799121928"/>
    <n v="30194.370000000006"/>
    <n v="0"/>
    <n v="396.17275718300004"/>
    <n v="686.81079912192217"/>
    <n v="0"/>
    <n v="0"/>
    <n v="0"/>
    <n v="29798"/>
    <n v="0"/>
    <n v="0"/>
    <n v="0"/>
    <n v="0"/>
  </r>
  <r>
    <x v="178"/>
    <s v="MAHULIYA"/>
    <s v="MPG"/>
    <s v="Direct"/>
    <n v="638"/>
    <n v="28543.980000000003"/>
    <n v="662.81999999999994"/>
    <n v="28249.227973368867"/>
    <n v="7.1"/>
    <n v="297.51729849258999"/>
    <n v="669.92"/>
    <n v="28546.745271861455"/>
    <n v="28543.980000000003"/>
    <n v="0"/>
    <n v="297.51729849258999"/>
    <n v="2.7652718614517653"/>
    <n v="0"/>
    <n v="0"/>
    <n v="0"/>
    <n v="28246"/>
    <n v="0"/>
    <n v="0"/>
    <n v="0"/>
    <n v="0"/>
  </r>
  <r>
    <x v="929"/>
    <s v="ABGIL RAMPUR"/>
    <s v="vlc"/>
    <s v="Indirect"/>
    <n v="108.1"/>
    <n v="3641.56"/>
    <n v="0"/>
    <n v="0"/>
    <n v="0"/>
    <n v="0"/>
    <n v="0"/>
    <n v="0"/>
    <n v="3641.56"/>
    <n v="0"/>
    <n v="0"/>
    <n v="0"/>
    <n v="0"/>
    <n v="72.573135483870971"/>
    <n v="0"/>
    <n v="0"/>
    <n v="0"/>
    <n v="3568.9868645161291"/>
    <n v="0"/>
    <n v="0"/>
  </r>
  <r>
    <x v="179"/>
    <s v="RUPESH KUMAR"/>
    <s v="vlc"/>
    <s v="Indirect"/>
    <n v="229.1"/>
    <n v="7920.43"/>
    <n v="0"/>
    <n v="0"/>
    <n v="0"/>
    <n v="0"/>
    <n v="0"/>
    <n v="0"/>
    <n v="7920.43"/>
    <n v="0"/>
    <n v="0"/>
    <n v="0"/>
    <n v="0"/>
    <n v="0"/>
    <n v="0"/>
    <n v="0"/>
    <n v="0"/>
    <n v="7920.43"/>
    <n v="0"/>
    <n v="0"/>
  </r>
  <r>
    <x v="180"/>
    <s v="ABGIL HUSSAINA-2                                                                                    "/>
    <s v="MPG"/>
    <s v="Direct"/>
    <n v="617.30000000000007"/>
    <n v="22461.190000000002"/>
    <n v="229.05999999999997"/>
    <n v="8664.2195490377999"/>
    <n v="388.77"/>
    <n v="14974.295522313601"/>
    <n v="617.82999999999993"/>
    <n v="23638.515071351401"/>
    <n v="22461.190000000002"/>
    <n v="0"/>
    <n v="185.23251909360002"/>
    <n v="1177.3250713513989"/>
    <n v="0"/>
    <n v="0"/>
    <n v="0"/>
    <n v="8244"/>
    <n v="14032"/>
    <n v="0"/>
    <n v="0"/>
    <s v="Release3"/>
  </r>
  <r>
    <x v="181"/>
    <s v="Manish Kumar                                                                                        "/>
    <s v="vlc"/>
    <s v="Indirect"/>
    <n v="172.70000000000002"/>
    <n v="5761.4"/>
    <n v="0"/>
    <n v="0"/>
    <n v="0"/>
    <n v="0"/>
    <n v="0"/>
    <n v="0"/>
    <n v="5761.4"/>
    <n v="0"/>
    <n v="0"/>
    <n v="0"/>
    <n v="0"/>
    <n v="0"/>
    <n v="0"/>
    <n v="0"/>
    <n v="0"/>
    <n v="5761.4"/>
    <n v="0"/>
    <n v="0"/>
  </r>
  <r>
    <x v="182"/>
    <s v="AKHA-KURHA"/>
    <s v="vlc"/>
    <s v="Indirect"/>
    <n v="404.50000000000006"/>
    <n v="15515.85"/>
    <n v="0"/>
    <n v="0"/>
    <n v="0"/>
    <n v="0"/>
    <n v="0"/>
    <n v="0"/>
    <n v="15515.85"/>
    <n v="0"/>
    <n v="0"/>
    <n v="0"/>
    <n v="0"/>
    <n v="0"/>
    <n v="0"/>
    <n v="0"/>
    <n v="0"/>
    <n v="15515.85"/>
    <n v="0"/>
    <n v="0"/>
  </r>
  <r>
    <x v="183"/>
    <s v="BHANDAR"/>
    <s v="MPG"/>
    <s v="Direct"/>
    <n v="282.09999999999997"/>
    <n v="12686.81"/>
    <n v="282.49999999999994"/>
    <n v="12703.986183303601"/>
    <n v="0"/>
    <n v="0"/>
    <n v="282.49999999999994"/>
    <n v="12703.986183303601"/>
    <n v="12686.81"/>
    <n v="0"/>
    <n v="0"/>
    <n v="17.176183303601647"/>
    <n v="0"/>
    <n v="0"/>
    <n v="0"/>
    <n v="12687"/>
    <n v="0"/>
    <n v="0"/>
    <n v="0"/>
    <s v="Release1"/>
  </r>
  <r>
    <x v="184"/>
    <s v="BASMATIYA"/>
    <s v="MPG"/>
    <s v="Direct"/>
    <n v="342.7"/>
    <n v="14499.54"/>
    <n v="333.63"/>
    <n v="15022.378281876809"/>
    <n v="5.41"/>
    <n v="228.08000341169998"/>
    <n v="339.04"/>
    <n v="15250.458285288509"/>
    <n v="14499.54"/>
    <n v="0"/>
    <n v="228.08000341169998"/>
    <n v="750.91828528850783"/>
    <n v="0"/>
    <n v="0"/>
    <n v="0"/>
    <n v="14271"/>
    <n v="0"/>
    <n v="0"/>
    <n v="0"/>
    <n v="0"/>
  </r>
  <r>
    <x v="185"/>
    <s v="TILATHI"/>
    <s v="MPG"/>
    <s v="Direct"/>
    <n v="1220.1000000000001"/>
    <n v="48258.150000000009"/>
    <n v="1151.0999999999999"/>
    <n v="45022.096652842331"/>
    <n v="99.2"/>
    <n v="4332.368812785201"/>
    <n v="1250.3"/>
    <n v="49354.465465627531"/>
    <n v="48258.150000000009"/>
    <n v="0"/>
    <n v="705.19109760000015"/>
    <n v="1096.3154656275219"/>
    <n v="2700"/>
    <n v="0"/>
    <n v="0"/>
    <n v="42020"/>
    <n v="2833"/>
    <n v="0"/>
    <n v="0"/>
    <s v="Release1"/>
  </r>
  <r>
    <x v="186"/>
    <s v="GOMUKH WESTOL"/>
    <s v="vlc"/>
    <s v="Indirect"/>
    <n v="1346.2"/>
    <n v="49489.94"/>
    <n v="0"/>
    <n v="0"/>
    <n v="0"/>
    <n v="0"/>
    <n v="0"/>
    <n v="0"/>
    <n v="49489.94"/>
    <n v="0"/>
    <n v="0"/>
    <n v="0"/>
    <n v="0"/>
    <n v="0"/>
    <n v="0"/>
    <n v="0"/>
    <n v="0"/>
    <n v="49489.94"/>
    <n v="0"/>
    <n v="0"/>
  </r>
  <r>
    <x v="985"/>
    <s v="GOMUKH NAWTOLIYA(OM PRAKASH)"/>
    <s v="vlc"/>
    <s v="Indirect"/>
    <n v="358.1"/>
    <n v="12250.63"/>
    <n v="0"/>
    <n v="0"/>
    <n v="0"/>
    <n v="0"/>
    <n v="0"/>
    <n v="0"/>
    <n v="12250.63"/>
    <n v="0"/>
    <n v="0"/>
    <n v="0"/>
    <n v="0"/>
    <n v="0"/>
    <n v="0"/>
    <n v="0"/>
    <n v="0"/>
    <n v="12250.63"/>
    <n v="0"/>
    <n v="0"/>
  </r>
  <r>
    <x v="187"/>
    <s v="SANGRAMPUR"/>
    <s v="MPG"/>
    <s v="Direct"/>
    <n v="691.59999999999991"/>
    <n v="30324.319999999989"/>
    <n v="691.59999999999991"/>
    <n v="30323.816443356402"/>
    <n v="0"/>
    <n v="0"/>
    <n v="691.59999999999991"/>
    <n v="30323.816443356402"/>
    <n v="30323.816443356402"/>
    <n v="0"/>
    <n v="0"/>
    <n v="0"/>
    <n v="0"/>
    <n v="0"/>
    <n v="0"/>
    <n v="30324"/>
    <n v="0"/>
    <n v="0"/>
    <n v="0"/>
    <n v="0"/>
  </r>
  <r>
    <x v="188"/>
    <s v="GOMUKH CHASMASKAN"/>
    <s v="vlc"/>
    <s v="Indirect"/>
    <n v="2429.5000000000005"/>
    <n v="86819.049999999988"/>
    <n v="0"/>
    <n v="0"/>
    <n v="0"/>
    <n v="0"/>
    <n v="0"/>
    <n v="0"/>
    <n v="86819.049999999988"/>
    <n v="0"/>
    <n v="0"/>
    <n v="0"/>
    <n v="0"/>
    <n v="0"/>
    <n v="0"/>
    <n v="0"/>
    <n v="0"/>
    <n v="86819.049999999988"/>
    <n v="0"/>
    <n v="0"/>
  </r>
  <r>
    <x v="189"/>
    <s v="GOMUKH KAJITOLA"/>
    <s v="vlc"/>
    <s v="Indirect"/>
    <n v="527"/>
    <n v="19245.100000000002"/>
    <n v="0"/>
    <n v="0"/>
    <n v="0"/>
    <n v="0"/>
    <n v="0"/>
    <n v="0"/>
    <n v="19245.100000000002"/>
    <n v="0"/>
    <n v="0"/>
    <n v="0"/>
    <n v="0"/>
    <n v="0"/>
    <n v="0"/>
    <n v="0"/>
    <n v="0"/>
    <n v="19245.100000000002"/>
    <n v="0"/>
    <n v="0"/>
  </r>
  <r>
    <x v="190"/>
    <s v="RAMDEV TOLA"/>
    <s v="MPG"/>
    <s v="Direct"/>
    <n v="2103.3000000000002"/>
    <n v="87293.41"/>
    <n v="1487.7900000000002"/>
    <n v="64166.334648049189"/>
    <n v="610.28"/>
    <n v="23483.45007558"/>
    <n v="2098.0700000000002"/>
    <n v="87649.784723629185"/>
    <n v="87293.41"/>
    <n v="0"/>
    <n v="374.20928859600002"/>
    <n v="356.37472362918197"/>
    <n v="0"/>
    <n v="0"/>
    <n v="0"/>
    <n v="63809"/>
    <n v="23110"/>
    <n v="0"/>
    <n v="0"/>
    <n v="0"/>
  </r>
  <r>
    <x v="191"/>
    <s v="GOMUKH KATEHAR"/>
    <s v="vlc"/>
    <s v="Indirect"/>
    <n v="1747.2000000000003"/>
    <n v="57416.87000000001"/>
    <n v="0"/>
    <n v="0"/>
    <n v="0"/>
    <n v="0"/>
    <n v="0"/>
    <n v="0"/>
    <n v="57416.87000000001"/>
    <n v="0"/>
    <n v="0"/>
    <n v="0"/>
    <n v="0"/>
    <n v="0"/>
    <n v="0"/>
    <n v="0"/>
    <n v="0"/>
    <n v="57416.87000000001"/>
    <n v="0"/>
    <n v="0"/>
  </r>
  <r>
    <x v="192"/>
    <s v="PIPARPATI"/>
    <s v="MPG"/>
    <s v="Direct"/>
    <n v="752.3"/>
    <n v="36054.32"/>
    <n v="662.31999999999994"/>
    <n v="33778.893774859418"/>
    <n v="7.8800000000000008"/>
    <n v="333.10912456800003"/>
    <n v="670.19999999999993"/>
    <n v="34112.002899427418"/>
    <n v="34112.002899427418"/>
    <n v="0"/>
    <n v="333.10912456800003"/>
    <n v="0"/>
    <n v="0"/>
    <n v="0"/>
    <n v="0"/>
    <n v="33780"/>
    <n v="0"/>
    <n v="0"/>
    <n v="1941"/>
    <n v="0"/>
  </r>
  <r>
    <x v="193"/>
    <s v="GOMUKH JAGMAGLA"/>
    <s v="vlc"/>
    <s v="Indirect"/>
    <n v="738"/>
    <n v="29199.25"/>
    <n v="0"/>
    <n v="0"/>
    <n v="0"/>
    <n v="0"/>
    <n v="0"/>
    <n v="0"/>
    <n v="29199.25"/>
    <n v="0"/>
    <n v="0"/>
    <n v="0"/>
    <n v="0"/>
    <n v="0"/>
    <n v="0"/>
    <n v="0"/>
    <n v="0"/>
    <n v="29199.25"/>
    <n v="0"/>
    <n v="0"/>
  </r>
  <r>
    <x v="930"/>
    <s v="PACHRUKHI"/>
    <s v="MPG"/>
    <s v="Direct"/>
    <n v="9.4"/>
    <n v="329.97"/>
    <n v="9.4"/>
    <n v="346.20073527600005"/>
    <n v="0"/>
    <n v="0"/>
    <n v="9.4"/>
    <n v="346.20073527600005"/>
    <n v="329.97"/>
    <n v="0"/>
    <n v="0"/>
    <n v="16.230735276000019"/>
    <n v="0"/>
    <n v="0"/>
    <n v="0"/>
    <n v="330"/>
    <n v="0"/>
    <n v="0"/>
    <n v="0"/>
    <n v="0"/>
  </r>
  <r>
    <x v="986"/>
    <s v="ORABAGICHA"/>
    <s v="MPG"/>
    <s v="Direct"/>
    <n v="121.70000000000002"/>
    <n v="4661.7099999999991"/>
    <n v="83.2"/>
    <n v="3281.7177476676006"/>
    <n v="43.93"/>
    <n v="1628.3372121719999"/>
    <n v="127.13"/>
    <n v="4910.054959839601"/>
    <n v="4661.7099999999991"/>
    <n v="0"/>
    <n v="22.308652080000002"/>
    <n v="248.34495983960187"/>
    <n v="0"/>
    <n v="0"/>
    <n v="0"/>
    <n v="3033"/>
    <n v="1606"/>
    <n v="0"/>
    <n v="0"/>
    <n v="0"/>
  </r>
  <r>
    <x v="194"/>
    <s v="KHAJURIYA"/>
    <s v="MPG"/>
    <s v="Direct"/>
    <n v="707"/>
    <n v="29459.590000000004"/>
    <n v="775.23"/>
    <n v="44311.421861761439"/>
    <n v="0"/>
    <n v="0"/>
    <n v="775.23"/>
    <n v="44311.421861761439"/>
    <n v="29459.590000000004"/>
    <n v="0"/>
    <n v="0"/>
    <n v="14851.831861761435"/>
    <n v="13000"/>
    <n v="0"/>
    <n v="0"/>
    <n v="16460"/>
    <n v="0"/>
    <n v="0"/>
    <n v="0"/>
    <s v="Release1"/>
  </r>
  <r>
    <x v="195"/>
    <s v="NAYA SALEMPUR"/>
    <s v="vlc"/>
    <s v="Indirect"/>
    <n v="606.9000000000002"/>
    <n v="23059.52"/>
    <n v="0"/>
    <n v="0"/>
    <n v="0"/>
    <n v="0"/>
    <n v="0"/>
    <n v="0"/>
    <n v="23059.52"/>
    <n v="0"/>
    <n v="0"/>
    <n v="0"/>
    <n v="0"/>
    <n v="0"/>
    <n v="0"/>
    <n v="0"/>
    <n v="0"/>
    <n v="23059.52"/>
    <n v="0"/>
    <n v="0"/>
  </r>
  <r>
    <x v="196"/>
    <s v="MANO 2"/>
    <s v="MPG"/>
    <s v="Direct"/>
    <n v="481.7"/>
    <n v="18684.87"/>
    <n v="481.59999999999997"/>
    <n v="18680.408437679998"/>
    <n v="0"/>
    <n v="0"/>
    <n v="481.59999999999997"/>
    <n v="18680.408437679998"/>
    <n v="18680.408437679998"/>
    <n v="0"/>
    <n v="0"/>
    <n v="0"/>
    <n v="0"/>
    <n v="94.232639999999989"/>
    <n v="0"/>
    <n v="18586"/>
    <n v="0"/>
    <n v="0"/>
    <n v="5"/>
    <n v="0"/>
  </r>
  <r>
    <x v="197"/>
    <s v="LOSDHANI"/>
    <s v="MPG"/>
    <s v="Direct"/>
    <n v="225.99999999999997"/>
    <n v="9354.4"/>
    <n v="229.4"/>
    <n v="9412.98341841"/>
    <n v="2.3000000000000003"/>
    <n v="91.333309320000012"/>
    <n v="231.70000000000002"/>
    <n v="9504.3167277299999"/>
    <n v="9354.4"/>
    <n v="0"/>
    <n v="91.333309320000012"/>
    <n v="149.91672773000028"/>
    <n v="0"/>
    <n v="26.19083999999998"/>
    <n v="0"/>
    <n v="9237"/>
    <n v="0"/>
    <n v="0"/>
    <n v="0"/>
    <n v="0"/>
  </r>
  <r>
    <x v="199"/>
    <s v="GOMUKH BAGALWA"/>
    <s v="MPG"/>
    <s v="Direct"/>
    <n v="260.10000000000002"/>
    <n v="11098.269999999999"/>
    <n v="18.3"/>
    <n v="1032.8055520563"/>
    <n v="320.64"/>
    <n v="13593.113898124608"/>
    <n v="338.94"/>
    <n v="14625.919450180907"/>
    <n v="11098.269999999999"/>
    <n v="0"/>
    <n v="0"/>
    <n v="3527.6494501809084"/>
    <n v="0"/>
    <n v="288.38"/>
    <n v="0"/>
    <n v="0"/>
    <n v="10810"/>
    <n v="0"/>
    <n v="0"/>
    <s v="Release1"/>
  </r>
  <r>
    <x v="200"/>
    <s v="GOMUKH LARYATAL"/>
    <s v="vlc"/>
    <s v="Indirect"/>
    <n v="150.1"/>
    <n v="6535.32"/>
    <n v="0"/>
    <n v="0"/>
    <n v="0"/>
    <n v="0"/>
    <n v="0"/>
    <n v="0"/>
    <n v="6535.32"/>
    <n v="0"/>
    <n v="0"/>
    <n v="0"/>
    <n v="0"/>
    <n v="91.079245161290373"/>
    <n v="0"/>
    <n v="0"/>
    <n v="0"/>
    <n v="6444.2407548387091"/>
    <n v="0"/>
    <n v="0"/>
  </r>
  <r>
    <x v="201"/>
    <s v="GOMUKH BHITAKITA"/>
    <s v="vlc"/>
    <s v="Indirect"/>
    <n v="226.50000000000003"/>
    <n v="8223.85"/>
    <n v="0"/>
    <n v="0"/>
    <n v="0"/>
    <n v="0"/>
    <n v="0"/>
    <n v="0"/>
    <n v="8223.85"/>
    <n v="0"/>
    <n v="0"/>
    <n v="0"/>
    <n v="0"/>
    <n v="0"/>
    <n v="0"/>
    <n v="0"/>
    <n v="0"/>
    <n v="8223.85"/>
    <n v="0"/>
    <n v="0"/>
  </r>
  <r>
    <x v="202"/>
    <s v="SINGHOL"/>
    <s v="MPG"/>
    <s v="Direct"/>
    <n v="2.2999999999999998"/>
    <n v="97.15"/>
    <n v="2.33"/>
    <n v="111.02171553816002"/>
    <n v="0"/>
    <n v="0"/>
    <n v="2.33"/>
    <n v="111.02171553816002"/>
    <n v="97.15"/>
    <n v="0"/>
    <n v="0"/>
    <n v="13.871715538160018"/>
    <n v="0"/>
    <n v="0"/>
    <n v="0"/>
    <n v="97"/>
    <n v="0"/>
    <n v="0"/>
    <n v="0"/>
    <n v="0"/>
  </r>
  <r>
    <x v="203"/>
    <s v="GOMUKH OJONTOLA"/>
    <s v="vlc"/>
    <s v="Indirect"/>
    <n v="157.6"/>
    <n v="6893.25"/>
    <n v="0"/>
    <n v="0"/>
    <n v="0"/>
    <n v="0"/>
    <n v="0"/>
    <n v="0"/>
    <n v="6893.25"/>
    <n v="0"/>
    <n v="0"/>
    <n v="0"/>
    <n v="0"/>
    <n v="0"/>
    <n v="0"/>
    <n v="0"/>
    <n v="0"/>
    <n v="6893.25"/>
    <n v="0"/>
    <n v="0"/>
  </r>
  <r>
    <x v="204"/>
    <s v="KHUDDIBAN SHIVNAGAR"/>
    <s v="MPG"/>
    <s v="Direct"/>
    <n v="958.20000000000016"/>
    <n v="31779.310000000005"/>
    <n v="989.59999999999991"/>
    <n v="33463.551850541997"/>
    <n v="0"/>
    <n v="0"/>
    <n v="989.59999999999991"/>
    <n v="33463.551850541997"/>
    <n v="31779.310000000005"/>
    <n v="0"/>
    <n v="0"/>
    <n v="1684.2418505419919"/>
    <n v="0"/>
    <n v="108.94721999999997"/>
    <n v="0"/>
    <n v="31670"/>
    <n v="0"/>
    <n v="0"/>
    <n v="0"/>
    <n v="0"/>
  </r>
  <r>
    <x v="205"/>
    <s v="BARIYARPUR"/>
    <s v="MPG"/>
    <s v="Direct"/>
    <n v="220.1"/>
    <n v="8688.57"/>
    <n v="216.69999999999996"/>
    <n v="8469.8723656800012"/>
    <n v="3.9000000000000004"/>
    <n v="152.02865700000001"/>
    <n v="220.59999999999997"/>
    <n v="8621.9010226800019"/>
    <n v="8621.9010226800019"/>
    <n v="0"/>
    <n v="152.02865700000001"/>
    <n v="0"/>
    <n v="0"/>
    <n v="0"/>
    <n v="0"/>
    <n v="8470"/>
    <n v="0"/>
    <n v="0"/>
    <n v="67"/>
    <n v="0"/>
  </r>
  <r>
    <x v="206"/>
    <s v="MASUDAN"/>
    <s v="MPG"/>
    <s v="Direct"/>
    <n v="767.50000000000011"/>
    <n v="30041.459999999995"/>
    <n v="536.46999999999991"/>
    <n v="20183.643586309896"/>
    <n v="245.32000000000005"/>
    <n v="10395.225058874899"/>
    <n v="781.79"/>
    <n v="30578.868645184797"/>
    <n v="30041.459999999995"/>
    <n v="0"/>
    <n v="0"/>
    <n v="537.40864518480157"/>
    <n v="0"/>
    <n v="0"/>
    <n v="0"/>
    <n v="19646"/>
    <n v="10395"/>
    <n v="0"/>
    <n v="0"/>
    <n v="0"/>
  </r>
  <r>
    <x v="207"/>
    <s v="GOMUKH LOKDHANI"/>
    <s v="vlc"/>
    <s v="Indirect"/>
    <n v="50.5"/>
    <n v="1991.12"/>
    <n v="0"/>
    <n v="0"/>
    <n v="0"/>
    <n v="0"/>
    <n v="0"/>
    <n v="0"/>
    <n v="1991.12"/>
    <n v="0"/>
    <n v="0"/>
    <n v="0"/>
    <n v="0"/>
    <n v="0"/>
    <n v="0"/>
    <n v="0"/>
    <n v="0"/>
    <n v="1991.12"/>
    <n v="0"/>
    <n v="0"/>
  </r>
  <r>
    <x v="208"/>
    <s v="GOMUKH BOHLA"/>
    <s v="vlc"/>
    <s v="Indirect"/>
    <n v="358.1"/>
    <n v="11398.65"/>
    <n v="0"/>
    <n v="0"/>
    <n v="0"/>
    <n v="0"/>
    <n v="0"/>
    <n v="0"/>
    <n v="11398.65"/>
    <n v="0"/>
    <n v="0"/>
    <n v="0"/>
    <n v="0"/>
    <n v="0"/>
    <n v="0"/>
    <n v="0"/>
    <n v="0"/>
    <n v="11398.65"/>
    <n v="0"/>
    <n v="0"/>
  </r>
  <r>
    <x v="209"/>
    <s v="Gomukh ID Araria"/>
    <s v="vlc"/>
    <s v="Indirect"/>
    <n v="4826.7"/>
    <n v="177084.03"/>
    <n v="0"/>
    <n v="0"/>
    <n v="0"/>
    <n v="0"/>
    <n v="0"/>
    <n v="0"/>
    <n v="177084.03"/>
    <n v="0"/>
    <n v="0"/>
    <n v="0"/>
    <n v="0"/>
    <n v="0"/>
    <n v="0"/>
    <n v="0"/>
    <n v="0"/>
    <n v="177084.03"/>
    <n v="0"/>
    <n v="0"/>
  </r>
  <r>
    <x v="210"/>
    <s v="Gomukh ID Chaidha"/>
    <s v="vlc"/>
    <s v="Indirect"/>
    <n v="1177.4000000000001"/>
    <n v="39899.08"/>
    <n v="0"/>
    <n v="0"/>
    <n v="0"/>
    <n v="0"/>
    <n v="0"/>
    <n v="0"/>
    <n v="39899.08"/>
    <n v="0"/>
    <n v="0"/>
    <n v="0"/>
    <n v="0"/>
    <n v="0"/>
    <n v="0"/>
    <n v="0"/>
    <n v="0"/>
    <n v="39899.08"/>
    <n v="0"/>
    <n v="0"/>
  </r>
  <r>
    <x v="211"/>
    <s v="Gomukh ID Pakrail"/>
    <s v="vlc"/>
    <s v="Indirect"/>
    <n v="595.79999999999995"/>
    <n v="19753"/>
    <n v="0"/>
    <n v="0"/>
    <n v="0"/>
    <n v="0"/>
    <n v="0"/>
    <n v="0"/>
    <n v="19753"/>
    <n v="0"/>
    <n v="0"/>
    <n v="0"/>
    <n v="0"/>
    <n v="86.066268387096713"/>
    <n v="0"/>
    <n v="0"/>
    <n v="0"/>
    <n v="19666.933731612902"/>
    <n v="0"/>
    <n v="0"/>
  </r>
  <r>
    <x v="212"/>
    <s v="Gomukh ID Pipra"/>
    <s v="vlc"/>
    <s v="Indirect"/>
    <n v="761.06"/>
    <n v="26299.01"/>
    <n v="0"/>
    <n v="0"/>
    <n v="0"/>
    <n v="0"/>
    <n v="0"/>
    <n v="0"/>
    <n v="26299.01"/>
    <n v="0"/>
    <n v="0"/>
    <n v="0"/>
    <n v="0"/>
    <n v="513.78247354838709"/>
    <n v="0"/>
    <n v="0"/>
    <n v="0"/>
    <n v="25785.22752645161"/>
    <n v="0"/>
    <n v="0"/>
  </r>
  <r>
    <x v="213"/>
    <s v="Gomukh Fatepur                                                                                      "/>
    <s v="MPG"/>
    <s v="Direct"/>
    <n v="193.4"/>
    <n v="7192.75"/>
    <n v="336.15"/>
    <n v="12539.315967591599"/>
    <n v="25.81"/>
    <n v="920.56585357440008"/>
    <n v="361.96"/>
    <n v="13459.881821166"/>
    <n v="7192.75"/>
    <n v="0"/>
    <n v="87.392311736400003"/>
    <n v="6267.131821166"/>
    <n v="0"/>
    <n v="46.031671698113186"/>
    <n v="0"/>
    <n v="6225"/>
    <n v="834"/>
    <n v="0"/>
    <n v="0"/>
    <n v="0"/>
  </r>
  <r>
    <x v="214"/>
    <s v="Gomukh Gauchhari"/>
    <s v="MPG"/>
    <s v="Direct"/>
    <n v="304.60000000000002"/>
    <n v="11701.410000000002"/>
    <n v="305.42"/>
    <n v="11604.879971784003"/>
    <n v="1.5100000000000005"/>
    <n v="57.449380428000005"/>
    <n v="306.93"/>
    <n v="11662.329352212002"/>
    <n v="11662.329352212002"/>
    <n v="0"/>
    <n v="57.449380428000005"/>
    <n v="0"/>
    <n v="0"/>
    <n v="0"/>
    <n v="0"/>
    <n v="11604"/>
    <n v="0"/>
    <n v="0"/>
    <n v="40"/>
    <n v="0"/>
  </r>
  <r>
    <x v="215"/>
    <s v="Gomukh Arariya Karjaniya"/>
    <s v="vlc"/>
    <s v="Indirect"/>
    <n v="11796.599999999999"/>
    <n v="442104.32000000012"/>
    <n v="0"/>
    <n v="0"/>
    <n v="0"/>
    <n v="0"/>
    <n v="0"/>
    <n v="0"/>
    <n v="442104.32000000012"/>
    <n v="0"/>
    <n v="0"/>
    <n v="0"/>
    <n v="0"/>
    <n v="0"/>
    <n v="0"/>
    <n v="0"/>
    <n v="0"/>
    <n v="442104.32000000012"/>
    <n v="0"/>
    <n v="0"/>
  </r>
  <r>
    <x v="216"/>
    <s v="Gomukh Aariya Dummer Kothi"/>
    <s v="vlc"/>
    <s v="Indirect"/>
    <n v="7773.0999999999985"/>
    <n v="289472.53000000003"/>
    <n v="0"/>
    <n v="0"/>
    <n v="0"/>
    <n v="0"/>
    <n v="0"/>
    <n v="0"/>
    <n v="289472.53000000003"/>
    <n v="0"/>
    <n v="0"/>
    <n v="0"/>
    <n v="0"/>
    <n v="0"/>
    <n v="0"/>
    <n v="0"/>
    <n v="0"/>
    <n v="289472.53000000003"/>
    <n v="0"/>
    <n v="0"/>
  </r>
  <r>
    <x v="217"/>
    <s v="Gomukh Balha"/>
    <s v="vlc"/>
    <s v="Indirect"/>
    <n v="5060.6000000000004"/>
    <n v="184967.44"/>
    <n v="0"/>
    <n v="0"/>
    <n v="0"/>
    <n v="0"/>
    <n v="0"/>
    <n v="0"/>
    <n v="184967.44"/>
    <n v="0"/>
    <n v="0"/>
    <n v="0"/>
    <n v="0"/>
    <n v="0"/>
    <n v="0"/>
    <n v="0"/>
    <n v="0"/>
    <n v="184967.44"/>
    <n v="0"/>
    <n v="0"/>
  </r>
  <r>
    <x v="218"/>
    <s v="Haripur - Sanjay"/>
    <s v="vlc"/>
    <s v="Indirect"/>
    <n v="826.7"/>
    <n v="30505.02"/>
    <n v="0"/>
    <n v="0"/>
    <n v="0"/>
    <n v="0"/>
    <n v="0"/>
    <n v="0"/>
    <n v="30505.02"/>
    <n v="0"/>
    <n v="0"/>
    <n v="0"/>
    <n v="0"/>
    <n v="0"/>
    <n v="0"/>
    <n v="0"/>
    <n v="0"/>
    <n v="30505.02"/>
    <n v="0"/>
    <n v="0"/>
  </r>
  <r>
    <x v="220"/>
    <s v="Gomukh Kabela                                                                                       "/>
    <s v="MPG"/>
    <s v="Direct"/>
    <n v="475.90000000000003"/>
    <n v="22715.64"/>
    <n v="501.29999999999995"/>
    <n v="22750.048268151204"/>
    <n v="0"/>
    <n v="0"/>
    <n v="501.29999999999995"/>
    <n v="22750.048268151204"/>
    <n v="22715.64"/>
    <n v="0"/>
    <n v="0"/>
    <n v="34.408268151204538"/>
    <n v="0"/>
    <n v="0"/>
    <n v="0"/>
    <n v="22716"/>
    <n v="0"/>
    <n v="0"/>
    <n v="0"/>
    <n v="0"/>
  </r>
  <r>
    <x v="221"/>
    <s v="Gomukh Malpa Uttari                                                                                 "/>
    <s v="vlc"/>
    <s v="Indirect"/>
    <n v="235.92"/>
    <n v="7560.9"/>
    <n v="0"/>
    <n v="0"/>
    <n v="0"/>
    <n v="0"/>
    <n v="0"/>
    <n v="0"/>
    <n v="7560.9"/>
    <n v="0"/>
    <n v="0"/>
    <n v="0"/>
    <n v="0"/>
    <n v="0"/>
    <n v="0"/>
    <n v="0"/>
    <n v="0"/>
    <n v="7560.9"/>
    <n v="0"/>
    <n v="0"/>
  </r>
  <r>
    <x v="222"/>
    <s v="Gomukh Sapha"/>
    <s v="MPG"/>
    <s v="Direct"/>
    <n v="190.7"/>
    <n v="7469.8999999999978"/>
    <n v="190.7"/>
    <n v="9631.5346512839988"/>
    <n v="0"/>
    <n v="0"/>
    <n v="190.7"/>
    <n v="9631.5346512839988"/>
    <n v="7469.8999999999978"/>
    <n v="0"/>
    <n v="0"/>
    <n v="2161.6346512840009"/>
    <n v="0"/>
    <n v="0"/>
    <n v="0"/>
    <n v="7470"/>
    <n v="0"/>
    <n v="0"/>
    <n v="0"/>
    <n v="0"/>
  </r>
  <r>
    <x v="223"/>
    <s v="Araria"/>
    <s v="vlc"/>
    <s v="Indirect"/>
    <n v="14342.199999999995"/>
    <n v="539600.12"/>
    <n v="0"/>
    <n v="0"/>
    <n v="0"/>
    <n v="0"/>
    <n v="0"/>
    <n v="0"/>
    <n v="539600.12"/>
    <n v="0"/>
    <n v="0"/>
    <n v="0"/>
    <n v="0"/>
    <n v="0"/>
    <n v="0"/>
    <n v="0"/>
    <n v="0"/>
    <n v="539600.12"/>
    <n v="0"/>
    <n v="0"/>
  </r>
  <r>
    <x v="224"/>
    <s v="Gomukh Gauchhari"/>
    <s v="MPG"/>
    <s v="Direct"/>
    <n v="142.80000000000001"/>
    <n v="5323.56"/>
    <n v="142.80000000000001"/>
    <n v="5655.038336640001"/>
    <n v="0"/>
    <n v="0"/>
    <n v="142.80000000000001"/>
    <n v="5655.038336640001"/>
    <n v="5323.56"/>
    <n v="0"/>
    <n v="0"/>
    <n v="331.47833664000063"/>
    <n v="0"/>
    <n v="360.82623673469379"/>
    <n v="0"/>
    <n v="4963"/>
    <n v="0"/>
    <n v="0"/>
    <n v="0"/>
    <n v="0"/>
  </r>
  <r>
    <x v="225"/>
    <s v="Telouch"/>
    <s v="MPG"/>
    <s v="Direct"/>
    <n v="2523.7599999999998"/>
    <n v="95376.510000000009"/>
    <n v="2529.1999999999998"/>
    <n v="98399.597687820002"/>
    <n v="6.8"/>
    <n v="234.70318080000001"/>
    <n v="2536"/>
    <n v="98634.300868620005"/>
    <n v="95376.510000000009"/>
    <n v="0"/>
    <n v="234.70318080000001"/>
    <n v="3257.7908686199953"/>
    <n v="0"/>
    <n v="0"/>
    <n v="0"/>
    <n v="95142"/>
    <n v="0"/>
    <n v="0"/>
    <n v="0"/>
    <n v="0"/>
  </r>
  <r>
    <x v="226"/>
    <s v="Gomukh Jhangara B"/>
    <s v="MPG"/>
    <s v="Direct"/>
    <n v="1534.2"/>
    <n v="59509.41"/>
    <n v="2144.98"/>
    <n v="87350.174098249685"/>
    <n v="0"/>
    <n v="0"/>
    <n v="2144.98"/>
    <n v="87350.174098249685"/>
    <n v="59509.41"/>
    <n v="0"/>
    <n v="0"/>
    <n v="27840.764098249681"/>
    <n v="0"/>
    <n v="0"/>
    <n v="0"/>
    <n v="59509"/>
    <n v="0"/>
    <n v="0"/>
    <n v="0"/>
    <n v="0"/>
  </r>
  <r>
    <x v="227"/>
    <s v="Gomukh Saraiya"/>
    <s v="vlc"/>
    <s v="Direct"/>
    <n v="284.68"/>
    <n v="9722.84"/>
    <n v="490.70000000000005"/>
    <n v="19949.896672992003"/>
    <n v="0"/>
    <n v="0"/>
    <n v="490.70000000000005"/>
    <n v="19949.896672992003"/>
    <n v="9722.84"/>
    <n v="0"/>
    <n v="0"/>
    <n v="10227.056672992003"/>
    <n v="0"/>
    <n v="0"/>
    <n v="0"/>
    <n v="9723"/>
    <n v="0"/>
    <n v="0"/>
    <n v="0"/>
    <s v="Release1"/>
  </r>
  <r>
    <x v="228"/>
    <s v=" Gomukh Nauranga"/>
    <s v="vlc"/>
    <s v="Indirect"/>
    <n v="259.58"/>
    <n v="10859.96"/>
    <n v="0"/>
    <n v="0"/>
    <n v="0"/>
    <n v="0"/>
    <n v="0"/>
    <n v="0"/>
    <n v="10859.96"/>
    <n v="0"/>
    <n v="0"/>
    <n v="0"/>
    <n v="0"/>
    <n v="45.60162193548382"/>
    <n v="0"/>
    <n v="0"/>
    <n v="0"/>
    <n v="10814.358378064515"/>
    <n v="0"/>
    <n v="0"/>
  </r>
  <r>
    <x v="229"/>
    <s v="Gomukh Malpa Dhutauli VLC"/>
    <s v="vlc"/>
    <s v="Indirect"/>
    <n v="66.959999999999994"/>
    <n v="2210.1699999999996"/>
    <n v="0"/>
    <n v="0"/>
    <n v="0"/>
    <n v="0"/>
    <n v="0"/>
    <n v="0"/>
    <n v="2210.1699999999996"/>
    <n v="0"/>
    <n v="0"/>
    <n v="0"/>
    <n v="0"/>
    <n v="0"/>
    <n v="0"/>
    <n v="0"/>
    <n v="0"/>
    <n v="2210.1699999999996"/>
    <n v="0"/>
    <n v="0"/>
  </r>
  <r>
    <x v="230"/>
    <s v="Gomukh Pakrail Vijay Nagar VLC"/>
    <s v="vlc"/>
    <s v="Indirect"/>
    <n v="1856.3799999999999"/>
    <n v="68950.559999999998"/>
    <n v="0"/>
    <n v="0"/>
    <n v="0"/>
    <n v="0"/>
    <n v="0"/>
    <n v="0"/>
    <n v="68950.559999999998"/>
    <n v="0"/>
    <n v="0"/>
    <n v="0"/>
    <n v="0"/>
    <n v="0"/>
    <n v="0"/>
    <n v="0"/>
    <n v="0"/>
    <n v="68950.559999999998"/>
    <n v="0"/>
    <n v="0"/>
  </r>
  <r>
    <x v="231"/>
    <s v="Gomukh Pakrail Shirnia VLC"/>
    <s v="vlc"/>
    <s v="Indirect"/>
    <n v="136.24"/>
    <n v="4742.37"/>
    <n v="0"/>
    <n v="0"/>
    <n v="0"/>
    <n v="0"/>
    <n v="0"/>
    <n v="0"/>
    <n v="4742.37"/>
    <n v="0"/>
    <n v="0"/>
    <n v="0"/>
    <n v="0"/>
    <n v="0"/>
    <n v="0"/>
    <n v="0"/>
    <n v="0"/>
    <n v="4742.37"/>
    <n v="0"/>
    <n v="0"/>
  </r>
  <r>
    <x v="232"/>
    <s v="Gomukh Godhiyasi Nayagow VLC"/>
    <s v="vlc"/>
    <s v="Indirect"/>
    <n v="196.8"/>
    <n v="6588.43"/>
    <n v="0"/>
    <n v="0"/>
    <n v="0"/>
    <n v="0"/>
    <n v="0"/>
    <n v="0"/>
    <n v="6588.43"/>
    <n v="0"/>
    <n v="0"/>
    <n v="0"/>
    <n v="6500"/>
    <n v="0"/>
    <n v="0"/>
    <n v="0"/>
    <n v="0"/>
    <n v="88.430000000000291"/>
    <n v="0"/>
    <n v="0"/>
  </r>
  <r>
    <x v="233"/>
    <s v="Gomukh Bandehra Purbi"/>
    <s v="MPG"/>
    <s v="Direct"/>
    <n v="257.40000000000003"/>
    <n v="10185.379999999999"/>
    <n v="341.4"/>
    <n v="14066.489254068001"/>
    <n v="0"/>
    <n v="0"/>
    <n v="341.4"/>
    <n v="14066.489254068001"/>
    <n v="10185.379999999999"/>
    <n v="0"/>
    <n v="0"/>
    <n v="3881.109254068002"/>
    <n v="0"/>
    <n v="142.51890491803272"/>
    <n v="0"/>
    <n v="10043"/>
    <n v="0"/>
    <n v="0"/>
    <n v="0"/>
    <n v="0"/>
  </r>
  <r>
    <x v="234"/>
    <s v="Gomukh Tila Tol"/>
    <s v="MPG"/>
    <s v="Direct"/>
    <n v="1243.0000000000002"/>
    <n v="46354.03"/>
    <n v="1238.9999999999998"/>
    <n v="46113.060130855207"/>
    <n v="3.9999999999999996"/>
    <n v="155.30632920000002"/>
    <n v="1242.9999999999998"/>
    <n v="46268.366460055207"/>
    <n v="46268.366460055207"/>
    <n v="0"/>
    <n v="155.30632920000002"/>
    <n v="0"/>
    <n v="0"/>
    <n v="0"/>
    <n v="0"/>
    <n v="46113"/>
    <n v="0"/>
    <n v="0"/>
    <n v="86"/>
    <n v="0"/>
  </r>
  <r>
    <x v="235"/>
    <s v="Gomukh Dina Chakla Vlc"/>
    <s v="vlc"/>
    <s v="Indirect"/>
    <n v="682.69999999999993"/>
    <n v="24412.239999999998"/>
    <n v="0"/>
    <n v="0"/>
    <n v="0"/>
    <n v="0"/>
    <n v="0"/>
    <n v="0"/>
    <n v="24412.239999999998"/>
    <n v="0"/>
    <n v="0"/>
    <n v="0"/>
    <n v="0"/>
    <n v="0"/>
    <n v="0"/>
    <n v="0"/>
    <n v="0"/>
    <n v="24412.239999999998"/>
    <n v="0"/>
    <n v="0"/>
  </r>
  <r>
    <x v="236"/>
    <s v="Gomukh Gogri VLC"/>
    <s v="vlc"/>
    <s v="Indirect"/>
    <n v="525.30000000000007"/>
    <n v="15839.96"/>
    <n v="0"/>
    <n v="0"/>
    <n v="0"/>
    <n v="0"/>
    <n v="0"/>
    <n v="0"/>
    <n v="15839.96"/>
    <n v="0"/>
    <n v="0"/>
    <n v="0"/>
    <n v="0"/>
    <n v="0"/>
    <n v="0"/>
    <n v="0"/>
    <n v="0"/>
    <n v="15839.96"/>
    <n v="0"/>
    <n v="0"/>
  </r>
  <r>
    <x v="237"/>
    <s v="Gomukh Sondiha Jay Prakash VLC"/>
    <s v="vlc"/>
    <s v="Indirect"/>
    <n v="388.79999999999995"/>
    <n v="12929.770000000002"/>
    <n v="0"/>
    <n v="0"/>
    <n v="0"/>
    <n v="0"/>
    <n v="0"/>
    <n v="0"/>
    <n v="12929.770000000002"/>
    <n v="0"/>
    <n v="0"/>
    <n v="0"/>
    <n v="0"/>
    <n v="0"/>
    <n v="0"/>
    <n v="0"/>
    <n v="0"/>
    <n v="12929.770000000002"/>
    <n v="0"/>
    <n v="0"/>
  </r>
  <r>
    <x v="238"/>
    <s v="Gomukh Bari Chak Gogri"/>
    <s v="MPG"/>
    <s v="Direct"/>
    <n v="219.2"/>
    <n v="7888.37"/>
    <n v="215.6"/>
    <n v="8636.5612230480001"/>
    <n v="3.65"/>
    <n v="136.44933013800002"/>
    <n v="219.25"/>
    <n v="8773.0105531860008"/>
    <n v="7888.37"/>
    <n v="0"/>
    <n v="0"/>
    <n v="884.64055318600094"/>
    <n v="0"/>
    <n v="0"/>
    <n v="0"/>
    <n v="7752"/>
    <n v="136"/>
    <n v="0"/>
    <n v="0"/>
    <n v="0"/>
  </r>
  <r>
    <x v="239"/>
    <s v="Gomukh Khatha"/>
    <s v="MPG"/>
    <s v="Direct"/>
    <n v="958.40000000000009"/>
    <n v="34951.889999999992"/>
    <n v="958.7"/>
    <n v="37965.583006560009"/>
    <n v="0"/>
    <n v="0"/>
    <n v="958.7"/>
    <n v="37965.583006560009"/>
    <n v="34951.889999999992"/>
    <n v="0"/>
    <n v="0"/>
    <n v="3013.6930065600172"/>
    <n v="0"/>
    <n v="0"/>
    <n v="0"/>
    <n v="34952"/>
    <n v="0"/>
    <n v="0"/>
    <n v="0"/>
    <n v="0"/>
  </r>
  <r>
    <x v="240"/>
    <s v="Chak Punervas"/>
    <s v="vlc"/>
    <s v="Indirect"/>
    <n v="827.19999999999993"/>
    <n v="30616.83"/>
    <n v="0"/>
    <n v="0"/>
    <n v="0"/>
    <n v="0"/>
    <n v="0"/>
    <n v="0"/>
    <n v="30616.83"/>
    <n v="0"/>
    <n v="0"/>
    <n v="0"/>
    <n v="0"/>
    <n v="0"/>
    <n v="0"/>
    <n v="0"/>
    <n v="0"/>
    <n v="30616.83"/>
    <n v="0"/>
    <n v="0"/>
  </r>
  <r>
    <x v="241"/>
    <s v="Labherchak"/>
    <s v="vlc"/>
    <s v="Indirect"/>
    <n v="282.35000000000002"/>
    <n v="9463.8900000000012"/>
    <n v="0"/>
    <n v="0"/>
    <n v="0"/>
    <n v="0"/>
    <n v="0"/>
    <n v="0"/>
    <n v="9463.8900000000012"/>
    <n v="0"/>
    <n v="0"/>
    <n v="0"/>
    <n v="9464"/>
    <n v="0"/>
    <n v="0"/>
    <n v="0"/>
    <n v="0"/>
    <n v="-0.10999999999876309"/>
    <n v="0"/>
    <s v="Release1"/>
  </r>
  <r>
    <x v="242"/>
    <s v="Paspura"/>
    <s v="vlc"/>
    <s v="Indirect"/>
    <n v="169.85"/>
    <n v="5830.09"/>
    <n v="0"/>
    <n v="0"/>
    <n v="0"/>
    <n v="0"/>
    <n v="0"/>
    <n v="0"/>
    <n v="5830.09"/>
    <n v="0"/>
    <n v="0"/>
    <n v="0"/>
    <n v="0"/>
    <n v="51.430558064516106"/>
    <n v="0"/>
    <n v="0"/>
    <n v="0"/>
    <n v="5778.6594419354842"/>
    <n v="0"/>
    <n v="0"/>
  </r>
  <r>
    <x v="243"/>
    <s v="Gomukh Godhna"/>
    <s v="vlc"/>
    <s v="Indirect"/>
    <n v="53.800000000000004"/>
    <n v="1926.52"/>
    <n v="0"/>
    <n v="0"/>
    <n v="0"/>
    <n v="0"/>
    <n v="0"/>
    <n v="0"/>
    <n v="1926.52"/>
    <n v="0"/>
    <n v="0"/>
    <n v="0"/>
    <n v="0"/>
    <n v="25.508448387096784"/>
    <n v="0"/>
    <n v="0"/>
    <n v="0"/>
    <n v="1901.0115516129033"/>
    <n v="0"/>
    <n v="0"/>
  </r>
  <r>
    <x v="244"/>
    <s v="Gomukh Sihma 2"/>
    <s v="vlc"/>
    <s v="Indirect"/>
    <n v="243.65"/>
    <n v="8179.6599999999989"/>
    <n v="0"/>
    <n v="0"/>
    <n v="0"/>
    <n v="0"/>
    <n v="0"/>
    <n v="0"/>
    <n v="8179.6599999999989"/>
    <n v="0"/>
    <n v="0"/>
    <n v="0"/>
    <n v="0"/>
    <n v="3.7040129032258449"/>
    <n v="0"/>
    <n v="0"/>
    <n v="0"/>
    <n v="8175.9559870967732"/>
    <n v="0"/>
    <n v="0"/>
  </r>
  <r>
    <x v="245"/>
    <s v="Gomukh ID Marsaito"/>
    <s v="vlc"/>
    <s v="Indirect"/>
    <n v="751.65"/>
    <n v="26233.279999999995"/>
    <n v="0"/>
    <n v="0"/>
    <n v="0"/>
    <n v="0"/>
    <n v="0"/>
    <n v="0"/>
    <n v="26233.279999999995"/>
    <n v="0"/>
    <n v="0"/>
    <n v="0"/>
    <n v="0"/>
    <n v="0"/>
    <n v="0"/>
    <n v="0"/>
    <n v="0"/>
    <n v="26233.279999999995"/>
    <n v="0"/>
    <n v="0"/>
  </r>
  <r>
    <x v="246"/>
    <s v="Gomukh ID Akashpur-2"/>
    <s v="vlc"/>
    <s v="Indirect"/>
    <n v="2281.15"/>
    <n v="83041.790000000008"/>
    <n v="0"/>
    <n v="0"/>
    <n v="0"/>
    <n v="0"/>
    <n v="0"/>
    <n v="0"/>
    <n v="83041.790000000008"/>
    <n v="0"/>
    <n v="0"/>
    <n v="0"/>
    <n v="0"/>
    <n v="0"/>
    <n v="0"/>
    <n v="0"/>
    <n v="0"/>
    <n v="83041.790000000008"/>
    <n v="0"/>
    <n v="0"/>
  </r>
  <r>
    <x v="247"/>
    <s v="Gomukh ID Akashpur"/>
    <s v="vlc"/>
    <s v="Indirect"/>
    <n v="678.40000000000009"/>
    <n v="25214.51"/>
    <n v="0"/>
    <n v="0"/>
    <n v="0"/>
    <n v="0"/>
    <n v="0"/>
    <n v="0"/>
    <n v="25214.51"/>
    <n v="0"/>
    <n v="0"/>
    <n v="0"/>
    <n v="0"/>
    <n v="0"/>
    <n v="0"/>
    <n v="0"/>
    <n v="0"/>
    <n v="25214.51"/>
    <n v="0"/>
    <n v="0"/>
  </r>
  <r>
    <x v="248"/>
    <s v="Gomukh ID Rachiyahi"/>
    <s v="vlc"/>
    <s v="Indirect"/>
    <n v="113.2"/>
    <n v="4372.49"/>
    <n v="0"/>
    <n v="0"/>
    <n v="0"/>
    <n v="0"/>
    <n v="0"/>
    <n v="0"/>
    <n v="4372.49"/>
    <n v="0"/>
    <n v="0"/>
    <n v="0"/>
    <n v="0"/>
    <n v="31.217970967741969"/>
    <n v="0"/>
    <n v="0"/>
    <n v="0"/>
    <n v="4341.2720290322577"/>
    <n v="0"/>
    <n v="0"/>
  </r>
  <r>
    <x v="249"/>
    <s v="GomukhBariyahi Chanan"/>
    <s v="MPG"/>
    <s v="Direct"/>
    <n v="3829.85"/>
    <n v="133477.79999999999"/>
    <n v="3867.2000000000007"/>
    <n v="135471.50439310761"/>
    <n v="4.5"/>
    <n v="152.95437174599999"/>
    <n v="3871.7000000000007"/>
    <n v="135624.4587648536"/>
    <n v="133477.79999999999"/>
    <n v="0"/>
    <n v="152.95437174599999"/>
    <n v="2146.6587648536079"/>
    <n v="0"/>
    <n v="0"/>
    <n v="0"/>
    <n v="133325"/>
    <n v="0"/>
    <n v="0"/>
    <n v="0"/>
    <n v="0"/>
  </r>
  <r>
    <x v="250"/>
    <s v="GomukhGehuni"/>
    <s v="MPG"/>
    <s v="Direct"/>
    <n v="78.149999999999991"/>
    <n v="2757.9099999999994"/>
    <n v="77"/>
    <n v="2746.831972896"/>
    <n v="1.3"/>
    <n v="43.350040800000002"/>
    <n v="78.3"/>
    <n v="2790.182013696"/>
    <n v="2757.9099999999994"/>
    <n v="0"/>
    <n v="43.350040800000002"/>
    <n v="32.272013696000613"/>
    <n v="2208"/>
    <n v="35.931182142857153"/>
    <n v="0"/>
    <n v="471"/>
    <n v="0"/>
    <n v="0"/>
    <n v="0"/>
    <s v="Release2"/>
  </r>
  <r>
    <x v="251"/>
    <s v="Gomukh Bakhatpur"/>
    <s v="MPG"/>
    <s v="Direct"/>
    <n v="253"/>
    <n v="10727.220000000003"/>
    <n v="266.76"/>
    <n v="11299.387424138575"/>
    <n v="4.6599999999999993"/>
    <n v="182.94177427020003"/>
    <n v="271.42"/>
    <n v="11482.329198408775"/>
    <n v="10727.220000000003"/>
    <n v="0"/>
    <n v="182.94177427020003"/>
    <n v="755.1091984087725"/>
    <n v="0"/>
    <n v="0"/>
    <n v="0"/>
    <n v="10544"/>
    <n v="0"/>
    <n v="0"/>
    <n v="0"/>
    <s v="Release1"/>
  </r>
  <r>
    <x v="987"/>
    <s v="Ananaya Dairy"/>
    <s v="vlc"/>
    <s v="Indirect"/>
    <n v="6497"/>
    <n v="241724.76"/>
    <n v="0"/>
    <n v="0"/>
    <n v="0"/>
    <n v="0"/>
    <n v="0"/>
    <n v="0"/>
    <n v="241724.76"/>
    <n v="0"/>
    <n v="0"/>
    <n v="0"/>
    <n v="0"/>
    <n v="0"/>
    <n v="0"/>
    <n v="0"/>
    <n v="0"/>
    <n v="241724.76"/>
    <n v="0"/>
    <n v="0"/>
  </r>
  <r>
    <x v="252"/>
    <s v="Gomukh Bishanpur"/>
    <s v="MPG"/>
    <s v="Direct"/>
    <n v="804.24999999999989"/>
    <n v="28310.46"/>
    <n v="894.28999999999974"/>
    <n v="33255.540187401813"/>
    <n v="14.280000000000001"/>
    <n v="550.44766814399998"/>
    <n v="908.56999999999971"/>
    <n v="33805.987855545813"/>
    <n v="28310.46"/>
    <n v="0"/>
    <n v="550.44766814399998"/>
    <n v="5495.5278555458135"/>
    <n v="0"/>
    <n v="0"/>
    <n v="0"/>
    <n v="27760"/>
    <n v="0"/>
    <n v="0"/>
    <n v="0"/>
    <s v="Release1"/>
  </r>
  <r>
    <x v="253"/>
    <s v="GOMUKH BEGAMSARAI"/>
    <s v="MPG"/>
    <s v="Direct"/>
    <n v="397.65"/>
    <n v="16273.680000000002"/>
    <n v="196.80999999999995"/>
    <n v="8512.0227462556104"/>
    <n v="202.94000000000003"/>
    <n v="8261.1252827609514"/>
    <n v="399.75"/>
    <n v="16773.148029016564"/>
    <n v="16273.680000000002"/>
    <n v="0"/>
    <n v="91.453702146250023"/>
    <n v="499.46802901656156"/>
    <n v="0"/>
    <n v="4.5392606557378201"/>
    <n v="0"/>
    <n v="8008"/>
    <n v="8170"/>
    <n v="0"/>
    <n v="0"/>
    <s v="Release1"/>
  </r>
  <r>
    <x v="255"/>
    <s v="Adharpur - Manish"/>
    <s v="vlc"/>
    <s v="Indirect"/>
    <n v="1034.45"/>
    <n v="40608.480000000003"/>
    <n v="0"/>
    <n v="0"/>
    <n v="0"/>
    <n v="0"/>
    <n v="0"/>
    <n v="0"/>
    <n v="40608.480000000003"/>
    <n v="0"/>
    <n v="0"/>
    <n v="0"/>
    <n v="0"/>
    <n v="0"/>
    <n v="0"/>
    <n v="0"/>
    <n v="0"/>
    <n v="40608.480000000003"/>
    <n v="0"/>
    <n v="0"/>
  </r>
  <r>
    <x v="931"/>
    <s v="Gangaprasad - Prashant"/>
    <s v="vlc"/>
    <s v="Indirect"/>
    <n v="812.30000000000018"/>
    <n v="29403.27"/>
    <n v="0"/>
    <n v="0"/>
    <n v="0"/>
    <n v="0"/>
    <n v="0"/>
    <n v="0"/>
    <n v="29403.27"/>
    <n v="0"/>
    <n v="0"/>
    <n v="0"/>
    <n v="0"/>
    <n v="0"/>
    <n v="0"/>
    <n v="0"/>
    <n v="0"/>
    <n v="29403.27"/>
    <n v="0"/>
    <n v="0"/>
  </r>
  <r>
    <x v="256"/>
    <s v="GOMUKH RANI 3"/>
    <s v="MPG"/>
    <s v="Direct"/>
    <n v="345.85"/>
    <n v="15320.3"/>
    <n v="345.28999999999996"/>
    <n v="14617.026701788393"/>
    <n v="2.64"/>
    <n v="119.99913876498002"/>
    <n v="347.92999999999995"/>
    <n v="14737.025840553373"/>
    <n v="14737.025840553373"/>
    <n v="0"/>
    <n v="119.99913876498002"/>
    <n v="0"/>
    <n v="0"/>
    <n v="0"/>
    <n v="0"/>
    <n v="14616"/>
    <n v="0"/>
    <n v="0"/>
    <n v="584"/>
    <n v="0"/>
  </r>
  <r>
    <x v="257"/>
    <s v="GOMUKH NONPUR"/>
    <s v="MPG"/>
    <s v="Direct"/>
    <n v="725.35000000000014"/>
    <n v="24880.1"/>
    <n v="725"/>
    <n v="21973.301856000002"/>
    <n v="0.1"/>
    <n v="3.0308002560000009"/>
    <n v="725.1"/>
    <n v="21976.332656256003"/>
    <n v="21976.332656256003"/>
    <n v="0"/>
    <n v="3.0308002560000009"/>
    <n v="0"/>
    <n v="0"/>
    <n v="0"/>
    <n v="0"/>
    <n v="21973"/>
    <n v="0"/>
    <n v="0"/>
    <n v="2904"/>
    <n v="0"/>
  </r>
  <r>
    <x v="258"/>
    <s v="GOMUKH FATEHA"/>
    <s v="MPG"/>
    <s v="Direct"/>
    <n v="585.35"/>
    <n v="20502.810000000001"/>
    <n v="575.24"/>
    <n v="20515.364259670514"/>
    <n v="0"/>
    <n v="0"/>
    <n v="575.24"/>
    <n v="20515.364259670514"/>
    <n v="20502.810000000001"/>
    <n v="0"/>
    <n v="0"/>
    <n v="12.554259670512693"/>
    <n v="0"/>
    <n v="0"/>
    <n v="0"/>
    <n v="20503"/>
    <n v="0"/>
    <n v="0"/>
    <n v="0"/>
    <n v="0"/>
  </r>
  <r>
    <x v="259"/>
    <s v="Bablu Singh"/>
    <s v="vlc"/>
    <s v="Indirect"/>
    <n v="847.85000000000014"/>
    <n v="30560.28"/>
    <n v="0"/>
    <n v="0"/>
    <n v="0"/>
    <n v="0"/>
    <n v="0"/>
    <n v="0"/>
    <n v="30560.28"/>
    <n v="0"/>
    <n v="0"/>
    <n v="0"/>
    <n v="0"/>
    <n v="749.3160290322578"/>
    <n v="0"/>
    <n v="0"/>
    <n v="0"/>
    <n v="29810.963970967739"/>
    <n v="0"/>
    <n v="0"/>
  </r>
  <r>
    <x v="260"/>
    <s v="Gomukh Rani                                                                                         "/>
    <s v="MPG"/>
    <s v="Direct"/>
    <n v="513.1"/>
    <n v="19368.259999999995"/>
    <n v="513.62"/>
    <n v="21090.972437172"/>
    <n v="0"/>
    <n v="0"/>
    <n v="513.62"/>
    <n v="21090.972437172"/>
    <n v="19368.259999999995"/>
    <n v="0"/>
    <n v="0"/>
    <n v="1722.7124371720056"/>
    <n v="0"/>
    <n v="79.912278947368364"/>
    <n v="0"/>
    <n v="19288"/>
    <n v="0"/>
    <n v="0"/>
    <n v="0"/>
    <n v="0"/>
  </r>
  <r>
    <x v="261"/>
    <s v="GOMUKH ROOPNAGAR"/>
    <s v="MPG"/>
    <s v="Direct"/>
    <n v="126.35000000000001"/>
    <n v="4415.92"/>
    <n v="126.30000000000001"/>
    <n v="4413.8030086260005"/>
    <n v="0"/>
    <n v="0"/>
    <n v="126.30000000000001"/>
    <n v="4413.8030086260005"/>
    <n v="4413.8030086260005"/>
    <n v="0"/>
    <n v="0"/>
    <n v="0"/>
    <n v="0"/>
    <n v="33.138925714285705"/>
    <n v="0"/>
    <n v="4381"/>
    <n v="0"/>
    <n v="0"/>
    <n v="2"/>
    <n v="0"/>
  </r>
  <r>
    <x v="262"/>
    <s v="GOMUKH SIBUTOL 2"/>
    <s v="MPG"/>
    <s v="Direct"/>
    <n v="41.850000000000009"/>
    <n v="1555.5100000000002"/>
    <n v="41"/>
    <n v="1548.9545029200001"/>
    <n v="0"/>
    <n v="0"/>
    <n v="41"/>
    <n v="1548.9545029200001"/>
    <n v="1548.9545029200001"/>
    <n v="0"/>
    <n v="0"/>
    <n v="0"/>
    <n v="0"/>
    <n v="58.556513114754125"/>
    <n v="0"/>
    <n v="1490"/>
    <n v="0"/>
    <n v="0"/>
    <n v="7"/>
    <n v="0"/>
  </r>
  <r>
    <x v="263"/>
    <s v="Gomukh Harichak"/>
    <s v="MPG"/>
    <s v="Direct"/>
    <n v="64"/>
    <n v="2215.7399999999998"/>
    <n v="68.010000000000005"/>
    <n v="2260.8915678953999"/>
    <n v="0"/>
    <n v="0"/>
    <n v="68.010000000000005"/>
    <n v="2260.8915678953999"/>
    <n v="2215.7399999999998"/>
    <n v="0"/>
    <n v="0"/>
    <n v="45.151567895400149"/>
    <n v="0"/>
    <n v="10.116659999999996"/>
    <n v="0"/>
    <n v="2206"/>
    <n v="0"/>
    <n v="0"/>
    <n v="0"/>
    <n v="0"/>
  </r>
  <r>
    <x v="988"/>
    <s v="PAWAN RAY"/>
    <s v="vlc"/>
    <s v="Indirect"/>
    <n v="359.45"/>
    <n v="15200.81"/>
    <n v="0"/>
    <n v="0"/>
    <n v="0"/>
    <n v="0"/>
    <n v="0"/>
    <n v="0"/>
    <n v="15200.81"/>
    <n v="0"/>
    <n v="0"/>
    <n v="0"/>
    <n v="0"/>
    <n v="0"/>
    <n v="0"/>
    <n v="0"/>
    <n v="0"/>
    <n v="15200.81"/>
    <n v="0"/>
    <n v="0"/>
  </r>
  <r>
    <x v="264"/>
    <s v="RAJ BHARDWAJ"/>
    <s v="vlc"/>
    <s v="Indirect"/>
    <n v="57.8"/>
    <n v="2076.52"/>
    <n v="0"/>
    <n v="0"/>
    <n v="0"/>
    <n v="0"/>
    <n v="0"/>
    <n v="0"/>
    <n v="2076.52"/>
    <n v="0"/>
    <n v="0"/>
    <n v="0"/>
    <n v="0"/>
    <n v="6.470061290322592"/>
    <n v="0"/>
    <n v="0"/>
    <n v="0"/>
    <n v="2070.0499387096775"/>
    <n v="0"/>
    <n v="0"/>
  </r>
  <r>
    <x v="265"/>
    <s v="Gomukh Amarpur"/>
    <s v="MPG"/>
    <s v="Direct"/>
    <n v="1195.0999999999999"/>
    <n v="43586.289999999994"/>
    <n v="1193.43"/>
    <n v="43331.380524232329"/>
    <n v="2.38"/>
    <n v="90.44313174824002"/>
    <n v="1195.8100000000002"/>
    <n v="43421.823655980566"/>
    <n v="43421.823655980566"/>
    <n v="0"/>
    <n v="90.44313174824002"/>
    <n v="0"/>
    <n v="0"/>
    <n v="0"/>
    <n v="0"/>
    <n v="43331"/>
    <n v="0"/>
    <n v="0"/>
    <n v="165"/>
    <n v="0"/>
  </r>
  <r>
    <x v="266"/>
    <s v="Prashant Kumar"/>
    <s v="vlc"/>
    <s v="Indirect"/>
    <n v="162.44999999999999"/>
    <n v="6057.78"/>
    <n v="0"/>
    <n v="0"/>
    <n v="0"/>
    <n v="0"/>
    <n v="0"/>
    <n v="0"/>
    <n v="6057.78"/>
    <n v="0"/>
    <n v="0"/>
    <n v="0"/>
    <n v="0"/>
    <n v="299.38910322580642"/>
    <n v="0"/>
    <n v="0"/>
    <n v="0"/>
    <n v="5758.3908967741936"/>
    <n v="0"/>
    <n v="0"/>
  </r>
  <r>
    <x v="267"/>
    <s v="Gomukh Barauni 3"/>
    <s v="MPG"/>
    <s v="Direct"/>
    <n v="170.25"/>
    <n v="6395.6"/>
    <n v="170.00000000000003"/>
    <n v="6385.8872386980001"/>
    <n v="0"/>
    <n v="0"/>
    <n v="170.00000000000003"/>
    <n v="6385.8872386980001"/>
    <n v="6385.8872386980001"/>
    <n v="0"/>
    <n v="0"/>
    <n v="0"/>
    <n v="0"/>
    <n v="7.0003451612903085"/>
    <n v="0"/>
    <n v="6379"/>
    <n v="0"/>
    <n v="0"/>
    <n v="10"/>
    <n v="0"/>
  </r>
  <r>
    <x v="268"/>
    <s v="CHANDAN YADAV"/>
    <s v="vlc"/>
    <s v="Indirect"/>
    <n v="130"/>
    <n v="4375.7000000000007"/>
    <n v="0"/>
    <n v="0"/>
    <n v="0"/>
    <n v="0"/>
    <n v="0"/>
    <n v="0"/>
    <n v="4375.7000000000007"/>
    <n v="0"/>
    <n v="0"/>
    <n v="0"/>
    <n v="0"/>
    <n v="73.210074193548394"/>
    <n v="0"/>
    <n v="0"/>
    <n v="0"/>
    <n v="4302.4899258064524"/>
    <n v="0"/>
    <n v="0"/>
  </r>
  <r>
    <x v="269"/>
    <s v="DINESH YADAV"/>
    <s v="vlc"/>
    <s v="Indirect"/>
    <n v="458.40000000000003"/>
    <n v="16513.84"/>
    <n v="0"/>
    <n v="0"/>
    <n v="0"/>
    <n v="0"/>
    <n v="0"/>
    <n v="0"/>
    <n v="16513.84"/>
    <n v="0"/>
    <n v="0"/>
    <n v="0"/>
    <n v="0"/>
    <n v="0"/>
    <n v="0"/>
    <n v="0"/>
    <n v="0"/>
    <n v="16513.84"/>
    <n v="0"/>
    <n v="0"/>
  </r>
  <r>
    <x v="270"/>
    <s v="ANITA DEVI"/>
    <s v="vlc"/>
    <s v="Indirect"/>
    <n v="150.79999999999998"/>
    <n v="5539.78"/>
    <n v="0"/>
    <n v="0"/>
    <n v="0"/>
    <n v="0"/>
    <n v="0"/>
    <n v="0"/>
    <n v="5539.78"/>
    <n v="0"/>
    <n v="0"/>
    <n v="0"/>
    <n v="0"/>
    <n v="0"/>
    <n v="0"/>
    <n v="0"/>
    <n v="0"/>
    <n v="5539.78"/>
    <n v="0"/>
    <n v="0"/>
  </r>
  <r>
    <x v="989"/>
    <s v="GOMUKH FATEHA SALEMPUR"/>
    <s v="MPG"/>
    <s v="Direct"/>
    <n v="100.50000000000001"/>
    <n v="3581.9900000000002"/>
    <n v="185.1"/>
    <n v="6851.2477106700007"/>
    <n v="30.5"/>
    <n v="1167.5277909899999"/>
    <n v="215.6"/>
    <n v="8018.7755016600004"/>
    <n v="3581.9900000000002"/>
    <n v="0"/>
    <n v="1167.5277909899999"/>
    <n v="4436.7855016600006"/>
    <n v="0"/>
    <n v="0"/>
    <n v="0"/>
    <n v="2414"/>
    <n v="0"/>
    <n v="0"/>
    <n v="0"/>
    <n v="0"/>
  </r>
  <r>
    <x v="271"/>
    <s v="GOMUKH GEHUNI 2"/>
    <s v="MPG"/>
    <s v="Direct"/>
    <n v="588.75"/>
    <n v="21769.649999999998"/>
    <n v="594.5"/>
    <n v="23282.06090332536"/>
    <n v="0.73000000000000009"/>
    <n v="28.289707380000003"/>
    <n v="595.23"/>
    <n v="23310.350610705362"/>
    <n v="21769.649999999998"/>
    <n v="0"/>
    <n v="28.289707380000003"/>
    <n v="1540.7006107053639"/>
    <n v="0"/>
    <n v="0"/>
    <n v="0"/>
    <n v="21741"/>
    <n v="0"/>
    <n v="0"/>
    <n v="0"/>
    <n v="0"/>
  </r>
  <r>
    <x v="272"/>
    <s v="GOMUKH MALHIPUR"/>
    <s v="MPG"/>
    <s v="Direct"/>
    <n v="1463.1000000000001"/>
    <n v="51589.350000000006"/>
    <n v="1475.5000000000002"/>
    <n v="53785.267895304009"/>
    <n v="2.25"/>
    <n v="79.296692409000016"/>
    <n v="1477.7500000000002"/>
    <n v="53864.564587713008"/>
    <n v="51589.350000000006"/>
    <n v="0"/>
    <n v="79.296692409000016"/>
    <n v="2275.2145877130024"/>
    <n v="0"/>
    <n v="9.9700000000000006"/>
    <n v="0"/>
    <n v="51500"/>
    <n v="0"/>
    <n v="0"/>
    <n v="0"/>
    <s v="Release1"/>
  </r>
  <r>
    <x v="273"/>
    <s v="Bihat - Sonu Kumar"/>
    <s v="vlc"/>
    <s v="Indirect"/>
    <n v="363.54999999999995"/>
    <n v="12236.240000000002"/>
    <n v="0"/>
    <n v="0"/>
    <n v="0"/>
    <n v="0"/>
    <n v="0"/>
    <n v="0"/>
    <n v="12236.240000000002"/>
    <n v="0"/>
    <n v="0"/>
    <n v="0"/>
    <n v="0"/>
    <n v="0"/>
    <n v="0"/>
    <n v="0"/>
    <n v="0"/>
    <n v="12236.240000000002"/>
    <n v="0"/>
    <n v="0"/>
  </r>
  <r>
    <x v="274"/>
    <s v="Rasalpur - Durgesh Kumar"/>
    <s v="vlc"/>
    <s v="Indirect"/>
    <n v="150.64999999999998"/>
    <n v="5036.9499999999989"/>
    <n v="0"/>
    <n v="0"/>
    <n v="0"/>
    <n v="0"/>
    <n v="0"/>
    <n v="0"/>
    <n v="5036.9499999999989"/>
    <n v="0"/>
    <n v="0"/>
    <n v="0"/>
    <n v="0"/>
    <n v="50.141729032258112"/>
    <n v="0"/>
    <n v="0"/>
    <n v="0"/>
    <n v="4986.808270967741"/>
    <n v="0"/>
    <n v="0"/>
  </r>
  <r>
    <x v="275"/>
    <s v="Barauni Bariyarpur"/>
    <s v="MPG"/>
    <s v="Direct"/>
    <n v="565.55000000000007"/>
    <n v="20232.719999999998"/>
    <n v="565.79999999999995"/>
    <n v="20241.065127492006"/>
    <n v="0"/>
    <n v="0"/>
    <n v="565.79999999999995"/>
    <n v="20241.065127492006"/>
    <n v="20232.719999999998"/>
    <n v="0"/>
    <n v="0"/>
    <n v="8.3451274920080323"/>
    <n v="0"/>
    <n v="0"/>
    <n v="0"/>
    <n v="20233"/>
    <n v="0"/>
    <n v="0"/>
    <n v="0"/>
    <n v="0"/>
  </r>
  <r>
    <x v="276"/>
    <s v="Jaynagar"/>
    <s v="MPG"/>
    <s v="Direct"/>
    <n v="201.95"/>
    <n v="6822.07"/>
    <n v="201.10000000000002"/>
    <n v="6936.3230428800007"/>
    <n v="0"/>
    <n v="0"/>
    <n v="201.10000000000002"/>
    <n v="6936.3230428800007"/>
    <n v="6822.07"/>
    <n v="0"/>
    <n v="0"/>
    <n v="114.25304288000098"/>
    <n v="0"/>
    <n v="0"/>
    <n v="0"/>
    <n v="6822"/>
    <n v="0"/>
    <n v="0"/>
    <n v="0"/>
    <s v="Release1"/>
  </r>
  <r>
    <x v="277"/>
    <s v="Fateha - Anil Yadav"/>
    <s v="vlc"/>
    <s v="Indirect"/>
    <n v="2471.15"/>
    <n v="87204.2"/>
    <n v="0"/>
    <n v="0"/>
    <n v="0"/>
    <n v="0"/>
    <n v="0"/>
    <n v="0"/>
    <n v="87204.2"/>
    <n v="0"/>
    <n v="0"/>
    <n v="0"/>
    <n v="0"/>
    <n v="0"/>
    <n v="0"/>
    <n v="0"/>
    <n v="0"/>
    <n v="87204.2"/>
    <n v="0"/>
    <n v="0"/>
  </r>
  <r>
    <x v="990"/>
    <s v="Rani Panchwati"/>
    <s v="MPG"/>
    <s v="Direct"/>
    <n v="21.2"/>
    <n v="878.74"/>
    <n v="21.45"/>
    <n v="915.0691869000002"/>
    <n v="0.1"/>
    <n v="4.3033122000000006"/>
    <n v="21.55"/>
    <n v="919.37249910000025"/>
    <n v="878.74"/>
    <n v="0"/>
    <n v="4.3033122000000006"/>
    <n v="40.632499100000246"/>
    <n v="0"/>
    <n v="0"/>
    <n v="0"/>
    <n v="874"/>
    <n v="0"/>
    <n v="0"/>
    <n v="0"/>
    <s v="Release1"/>
  </r>
  <r>
    <x v="278"/>
    <s v="Bihat - Chakballi"/>
    <s v="MPG"/>
    <s v="Direct"/>
    <n v="2025.5"/>
    <n v="64048.479999999996"/>
    <n v="2025.3000000000002"/>
    <n v="65417.57066889001"/>
    <n v="0"/>
    <n v="0"/>
    <n v="2025.3000000000002"/>
    <n v="65417.57066889001"/>
    <n v="64048.479999999996"/>
    <n v="0"/>
    <n v="0"/>
    <n v="1369.0906688900141"/>
    <n v="0"/>
    <n v="186.50577857142844"/>
    <n v="0"/>
    <n v="63862"/>
    <n v="0"/>
    <n v="0"/>
    <n v="0"/>
    <n v="0"/>
  </r>
  <r>
    <x v="280"/>
    <s v="Rasalpur"/>
    <s v="vlc"/>
    <s v="Indirect"/>
    <n v="512.6"/>
    <n v="17447.21"/>
    <n v="0"/>
    <n v="0"/>
    <n v="0"/>
    <n v="0"/>
    <n v="0"/>
    <n v="0"/>
    <n v="17447.21"/>
    <n v="0"/>
    <n v="0"/>
    <n v="0"/>
    <n v="0"/>
    <n v="0"/>
    <n v="0"/>
    <n v="0"/>
    <n v="0"/>
    <n v="17447.21"/>
    <n v="0"/>
    <n v="0"/>
  </r>
  <r>
    <x v="991"/>
    <s v="Rudauli"/>
    <s v="vlc"/>
    <s v="Indirect"/>
    <n v="60.15"/>
    <n v="2245.5299999999997"/>
    <n v="0"/>
    <n v="0"/>
    <n v="0"/>
    <n v="0"/>
    <n v="0"/>
    <n v="0"/>
    <n v="2245.5299999999997"/>
    <n v="0"/>
    <n v="0"/>
    <n v="0"/>
    <n v="0"/>
    <n v="0"/>
    <n v="0"/>
    <n v="0"/>
    <n v="0"/>
    <n v="2245.5299999999997"/>
    <n v="0"/>
    <n v="0"/>
  </r>
  <r>
    <x v="281"/>
    <s v="Samsa"/>
    <s v="vlc"/>
    <s v="Indirect"/>
    <n v="1134.1000000000001"/>
    <n v="43707.799999999996"/>
    <n v="0"/>
    <n v="0"/>
    <n v="0"/>
    <n v="0"/>
    <n v="0"/>
    <n v="0"/>
    <n v="43707.799999999996"/>
    <n v="0"/>
    <n v="0"/>
    <n v="0"/>
    <n v="0"/>
    <n v="0"/>
    <n v="0"/>
    <n v="0"/>
    <n v="0"/>
    <n v="43707.799999999996"/>
    <n v="0"/>
    <n v="0"/>
  </r>
  <r>
    <x v="282"/>
    <s v="Dahiya"/>
    <s v="vlc"/>
    <s v="Indirect"/>
    <n v="269.34999999999997"/>
    <n v="10170.890000000001"/>
    <n v="0"/>
    <n v="0"/>
    <n v="0"/>
    <n v="0"/>
    <n v="0"/>
    <n v="0"/>
    <n v="10170.890000000001"/>
    <n v="0"/>
    <n v="0"/>
    <n v="0"/>
    <n v="0"/>
    <n v="77.795235483870954"/>
    <n v="0"/>
    <n v="0"/>
    <n v="0"/>
    <n v="10093.09476451613"/>
    <n v="0"/>
    <n v="0"/>
  </r>
  <r>
    <x v="283"/>
    <s v="Gaura"/>
    <s v="MPG"/>
    <s v="Direct"/>
    <n v="420.85"/>
    <n v="15280.939999999999"/>
    <n v="420.60000000000008"/>
    <n v="15270.814175562004"/>
    <n v="0"/>
    <n v="0"/>
    <n v="420.60000000000008"/>
    <n v="15270.814175562004"/>
    <n v="15270.814175562004"/>
    <n v="0"/>
    <n v="0"/>
    <n v="0"/>
    <n v="0"/>
    <n v="140.62533818181822"/>
    <n v="0"/>
    <n v="15130"/>
    <n v="0"/>
    <n v="0"/>
    <n v="10"/>
    <n v="0"/>
  </r>
  <r>
    <x v="932"/>
    <s v="Nipania-VLC"/>
    <s v="vlc"/>
    <s v="Indirect"/>
    <n v="203.89999999999998"/>
    <n v="6880.1"/>
    <n v="0"/>
    <n v="0"/>
    <n v="0"/>
    <n v="0"/>
    <n v="0"/>
    <n v="0"/>
    <n v="6880.1"/>
    <n v="0"/>
    <n v="0"/>
    <n v="0"/>
    <n v="0"/>
    <n v="0"/>
    <n v="0"/>
    <n v="0"/>
    <n v="0"/>
    <n v="6880.1"/>
    <n v="0"/>
    <n v="0"/>
  </r>
  <r>
    <x v="284"/>
    <s v="Mukhtiyarpur"/>
    <s v="MPG"/>
    <s v="Direct"/>
    <n v="373.34999999999997"/>
    <n v="12872.230000000003"/>
    <n v="404.4"/>
    <n v="16177.735069848002"/>
    <n v="0"/>
    <n v="0"/>
    <n v="404.4"/>
    <n v="16177.735069848002"/>
    <n v="12872.230000000003"/>
    <n v="0"/>
    <n v="0"/>
    <n v="3305.505069847999"/>
    <n v="6500"/>
    <n v="152.66999999999999"/>
    <n v="0"/>
    <n v="6219"/>
    <n v="0"/>
    <n v="0"/>
    <n v="1"/>
    <s v="Release2"/>
  </r>
  <r>
    <x v="285"/>
    <s v="Gomukh Rudauli-02"/>
    <s v="MPG"/>
    <s v="Direct"/>
    <n v="352.49999999999994"/>
    <n v="13012.829999999998"/>
    <n v="355.78999999999996"/>
    <n v="12071.163377957642"/>
    <n v="20"/>
    <n v="736.58138400000007"/>
    <n v="375.78999999999996"/>
    <n v="12807.744761957641"/>
    <n v="12807.744761957641"/>
    <n v="0"/>
    <n v="0"/>
    <n v="0"/>
    <n v="0"/>
    <n v="0"/>
    <n v="0"/>
    <n v="12071"/>
    <n v="737"/>
    <n v="0"/>
    <n v="205"/>
    <n v="0"/>
  </r>
  <r>
    <x v="286"/>
    <s v="Gomukh Puranatol Raichiahi"/>
    <s v="MPG"/>
    <s v="Direct"/>
    <n v="621.94999999999993"/>
    <n v="23190.5"/>
    <n v="621.69999999999993"/>
    <n v="23180.108028264003"/>
    <n v="0"/>
    <n v="0"/>
    <n v="621.69999999999993"/>
    <n v="23180.108028264003"/>
    <n v="23180.108028264003"/>
    <n v="0"/>
    <n v="0"/>
    <n v="0"/>
    <n v="0"/>
    <n v="0"/>
    <n v="0"/>
    <n v="23180"/>
    <n v="0"/>
    <n v="0"/>
    <n v="11"/>
    <n v="0"/>
  </r>
  <r>
    <x v="287"/>
    <s v="Bihat-Gududaspur"/>
    <s v="MPG"/>
    <s v="Direct"/>
    <n v="200.85"/>
    <n v="8292.760000000002"/>
    <n v="200.50000000000003"/>
    <n v="8277.952171870802"/>
    <n v="0"/>
    <n v="0"/>
    <n v="200.50000000000003"/>
    <n v="8277.952171870802"/>
    <n v="8277.952171870802"/>
    <n v="0"/>
    <n v="0"/>
    <n v="0"/>
    <n v="0"/>
    <n v="0"/>
    <n v="0"/>
    <n v="8278"/>
    <n v="0"/>
    <n v="0"/>
    <n v="15"/>
    <n v="0"/>
  </r>
  <r>
    <x v="288"/>
    <s v="Labharchak-2"/>
    <s v="MPG"/>
    <s v="Direct"/>
    <n v="222.15"/>
    <n v="7359.59"/>
    <n v="222.09999999999997"/>
    <n v="7357.2388078860004"/>
    <n v="0"/>
    <n v="0"/>
    <n v="222.09999999999997"/>
    <n v="7357.2388078860004"/>
    <n v="7357.2388078860004"/>
    <n v="0"/>
    <n v="0"/>
    <n v="0"/>
    <n v="0"/>
    <n v="0"/>
    <n v="0"/>
    <n v="7357"/>
    <n v="0"/>
    <n v="0"/>
    <n v="3"/>
    <n v="0"/>
  </r>
  <r>
    <x v="289"/>
    <s v="POHE"/>
    <s v="vlc"/>
    <s v="Indirect"/>
    <n v="361.90000000000003"/>
    <n v="15133.859999999999"/>
    <n v="0"/>
    <n v="0"/>
    <n v="0"/>
    <n v="0"/>
    <n v="0"/>
    <n v="0"/>
    <n v="15133.859999999999"/>
    <n v="0"/>
    <n v="0"/>
    <n v="0"/>
    <n v="0"/>
    <n v="0"/>
    <n v="0"/>
    <n v="0"/>
    <n v="0"/>
    <n v="15133.859999999999"/>
    <n v="0"/>
    <n v="0"/>
  </r>
  <r>
    <x v="290"/>
    <s v="AURO"/>
    <s v="MPG"/>
    <s v="Direct"/>
    <n v="1850.7000000000003"/>
    <n v="77471.250000000015"/>
    <n v="1304.6199999999999"/>
    <n v="56566.752689009598"/>
    <n v="556.33000000000004"/>
    <n v="23822.654594208325"/>
    <n v="1860.9499999999998"/>
    <n v="80389.407283217923"/>
    <n v="77471.250000000015"/>
    <n v="0"/>
    <n v="599.79874331520023"/>
    <n v="2918.1572832179081"/>
    <n v="0"/>
    <n v="0"/>
    <n v="0"/>
    <n v="53648"/>
    <n v="23223"/>
    <n v="0"/>
    <n v="0"/>
    <n v="0"/>
  </r>
  <r>
    <x v="291"/>
    <s v="PARSHAMA"/>
    <s v="MPG"/>
    <s v="Direct"/>
    <n v="115.4"/>
    <n v="3850.1800000000003"/>
    <n v="114.6"/>
    <n v="3832.8467829299998"/>
    <n v="0.6"/>
    <n v="20.193963768"/>
    <n v="115.19999999999999"/>
    <n v="3853.0407466979996"/>
    <n v="3850.1800000000003"/>
    <n v="0"/>
    <n v="20.193963768"/>
    <n v="2.8607466979992751"/>
    <n v="0"/>
    <n v="0"/>
    <n v="0"/>
    <n v="3830"/>
    <n v="0"/>
    <n v="0"/>
    <n v="0"/>
    <n v="0"/>
  </r>
  <r>
    <x v="292"/>
    <s v="PRATAPUR 2"/>
    <s v="vlc"/>
    <s v="Indirect"/>
    <n v="297.00000000000006"/>
    <n v="12754.619999999999"/>
    <n v="0"/>
    <n v="0"/>
    <n v="0"/>
    <n v="0"/>
    <n v="0"/>
    <n v="0"/>
    <n v="12754.619999999999"/>
    <n v="0"/>
    <n v="0"/>
    <n v="0"/>
    <n v="0"/>
    <n v="78.828890322580662"/>
    <n v="0"/>
    <n v="0"/>
    <n v="0"/>
    <n v="12675.791109677419"/>
    <n v="0"/>
    <n v="0"/>
  </r>
  <r>
    <x v="293"/>
    <s v="BALLOPUR"/>
    <s v="MPG"/>
    <s v="Direct"/>
    <n v="1412.3000000000002"/>
    <n v="56181.490000000005"/>
    <n v="1416.3"/>
    <n v="60476.762809658103"/>
    <n v="0"/>
    <n v="0"/>
    <n v="1416.3"/>
    <n v="60476.762809658103"/>
    <n v="56181.490000000005"/>
    <n v="0"/>
    <n v="0"/>
    <n v="4295.2728096580977"/>
    <n v="0"/>
    <n v="0"/>
    <n v="0"/>
    <n v="56181"/>
    <n v="0"/>
    <n v="0"/>
    <n v="0"/>
    <n v="0"/>
  </r>
  <r>
    <x v="294"/>
    <s v="KHAIRMA"/>
    <s v="MPG"/>
    <s v="Direct"/>
    <n v="356.20000000000005"/>
    <n v="11724.57"/>
    <n v="443.3"/>
    <n v="15000.673832496001"/>
    <n v="0"/>
    <n v="0"/>
    <n v="443.3"/>
    <n v="15000.673832496001"/>
    <n v="11724.57"/>
    <n v="0"/>
    <n v="0"/>
    <n v="3276.1038324960009"/>
    <n v="0"/>
    <n v="4.8844071428571567"/>
    <n v="0"/>
    <n v="11720"/>
    <n v="0"/>
    <n v="0"/>
    <n v="0"/>
    <n v="0"/>
  </r>
  <r>
    <x v="295"/>
    <s v="MAHASONI"/>
    <s v="MPG"/>
    <s v="Direct"/>
    <n v="1082.5999999999999"/>
    <n v="40892.380000000005"/>
    <n v="1080.7999999999995"/>
    <n v="40422.311113141222"/>
    <n v="14.3"/>
    <n v="521.88319755000009"/>
    <n v="1095.0999999999995"/>
    <n v="40944.194310691222"/>
    <n v="40892.380000000005"/>
    <n v="0"/>
    <n v="521.88319755000009"/>
    <n v="51.814310691217543"/>
    <n v="0"/>
    <n v="0"/>
    <n v="0"/>
    <n v="40370"/>
    <n v="0"/>
    <n v="0"/>
    <n v="0"/>
    <n v="0"/>
  </r>
  <r>
    <x v="296"/>
    <s v="SONDHI"/>
    <s v="MPG"/>
    <s v="Direct"/>
    <n v="642.6"/>
    <n v="25001.26"/>
    <n v="631.69999999999993"/>
    <n v="24780.448199214999"/>
    <n v="5.4"/>
    <n v="209.18864419200003"/>
    <n v="637.09999999999991"/>
    <n v="24989.636843406999"/>
    <n v="24989.636843406999"/>
    <n v="0"/>
    <n v="209.18864419200003"/>
    <n v="0"/>
    <n v="0"/>
    <n v="0"/>
    <n v="0"/>
    <n v="24781"/>
    <n v="0"/>
    <n v="0"/>
    <n v="11"/>
    <n v="0"/>
  </r>
  <r>
    <x v="297"/>
    <s v="BELDARAYA"/>
    <s v="vlc"/>
    <s v="Indirect"/>
    <n v="800.80000000000007"/>
    <n v="29264.090000000004"/>
    <n v="0"/>
    <n v="0"/>
    <n v="0"/>
    <n v="0"/>
    <n v="0"/>
    <n v="0"/>
    <n v="29264.090000000004"/>
    <n v="0"/>
    <n v="0"/>
    <n v="0"/>
    <n v="0"/>
    <n v="0"/>
    <n v="0"/>
    <n v="0"/>
    <n v="0"/>
    <n v="29264.090000000004"/>
    <n v="0"/>
    <n v="0"/>
  </r>
  <r>
    <x v="298"/>
    <s v="Gomukh ID Aure-2"/>
    <s v="vlc"/>
    <s v="Indirect"/>
    <n v="1151.1000000000001"/>
    <n v="42106.04"/>
    <n v="0"/>
    <n v="0"/>
    <n v="0"/>
    <n v="0"/>
    <n v="0"/>
    <n v="0"/>
    <n v="42106.04"/>
    <n v="0"/>
    <n v="0"/>
    <n v="0"/>
    <n v="0"/>
    <n v="0"/>
    <n v="0"/>
    <n v="0"/>
    <n v="0"/>
    <n v="42106.04"/>
    <n v="0"/>
    <n v="0"/>
  </r>
  <r>
    <x v="299"/>
    <s v="Gomukh Karma"/>
    <s v="vlc"/>
    <s v="Indirect"/>
    <n v="985"/>
    <n v="37934.769999999997"/>
    <n v="0"/>
    <n v="0"/>
    <n v="0"/>
    <n v="0"/>
    <n v="0"/>
    <n v="0"/>
    <n v="37934.769999999997"/>
    <n v="0"/>
    <n v="0"/>
    <n v="0"/>
    <n v="0"/>
    <n v="0"/>
    <n v="0"/>
    <n v="0"/>
    <n v="0"/>
    <n v="37934.769999999997"/>
    <n v="0"/>
    <n v="0"/>
  </r>
  <r>
    <x v="300"/>
    <s v="GOMUKH UKSI"/>
    <s v="vlc"/>
    <s v="Indirect"/>
    <n v="463.4"/>
    <n v="19197.169999999998"/>
    <n v="0"/>
    <n v="0"/>
    <n v="0"/>
    <n v="0"/>
    <n v="0"/>
    <n v="0"/>
    <n v="19197.169999999998"/>
    <n v="0"/>
    <n v="0"/>
    <n v="0"/>
    <n v="0"/>
    <n v="0"/>
    <n v="0"/>
    <n v="0"/>
    <n v="0"/>
    <n v="19197.169999999998"/>
    <n v="0"/>
    <n v="0"/>
  </r>
  <r>
    <x v="301"/>
    <s v="Gomukh ID Halsi"/>
    <s v="vlc"/>
    <s v="Indirect"/>
    <n v="4777.9000000000005"/>
    <n v="168639.90000000002"/>
    <n v="0"/>
    <n v="0"/>
    <n v="0"/>
    <n v="0"/>
    <n v="0"/>
    <n v="0"/>
    <n v="168639.90000000002"/>
    <n v="0"/>
    <n v="0"/>
    <n v="0"/>
    <n v="0"/>
    <n v="0"/>
    <n v="0"/>
    <n v="0"/>
    <n v="0"/>
    <n v="168639.90000000002"/>
    <n v="0"/>
    <n v="0"/>
  </r>
  <r>
    <x v="302"/>
    <s v="Gomukh ID Lalpur"/>
    <s v="vlc"/>
    <s v="Indirect"/>
    <n v="311.89999999999998"/>
    <n v="11685.34"/>
    <n v="0"/>
    <n v="0"/>
    <n v="0"/>
    <n v="0"/>
    <n v="0"/>
    <n v="0"/>
    <n v="11685.34"/>
    <n v="0"/>
    <n v="0"/>
    <n v="0"/>
    <n v="0"/>
    <n v="0"/>
    <n v="0"/>
    <n v="0"/>
    <n v="0"/>
    <n v="11685.34"/>
    <n v="0"/>
    <n v="0"/>
  </r>
  <r>
    <x v="303"/>
    <s v="KHURIYARI"/>
    <s v="MPG"/>
    <s v="Direct"/>
    <n v="904.50000000000011"/>
    <n v="38643.86"/>
    <n v="1108"/>
    <n v="48343.833895397198"/>
    <n v="2.3000000000000003"/>
    <n v="100.9075512264"/>
    <n v="1110.3"/>
    <n v="48444.7414466236"/>
    <n v="38643.86"/>
    <n v="0"/>
    <n v="100.9075512264"/>
    <n v="9800.8814466235999"/>
    <n v="0"/>
    <n v="0"/>
    <n v="0"/>
    <n v="38543"/>
    <n v="0"/>
    <n v="0"/>
    <n v="0"/>
    <n v="0"/>
  </r>
  <r>
    <x v="304"/>
    <s v="BISANPUR"/>
    <s v="vlc"/>
    <s v="Indirect"/>
    <n v="542.90000000000009"/>
    <n v="21147.26"/>
    <n v="0"/>
    <n v="0"/>
    <n v="0"/>
    <n v="0"/>
    <n v="0"/>
    <n v="0"/>
    <n v="21147.26"/>
    <n v="0"/>
    <n v="0"/>
    <n v="0"/>
    <n v="0"/>
    <n v="0"/>
    <n v="0"/>
    <n v="0"/>
    <n v="0"/>
    <n v="21147.26"/>
    <n v="0"/>
    <n v="0"/>
  </r>
  <r>
    <x v="305"/>
    <s v="BEHRAMA"/>
    <s v="vlc"/>
    <s v="Indirect"/>
    <n v="317.60000000000002"/>
    <n v="11855.619999999999"/>
    <n v="0"/>
    <n v="0"/>
    <n v="0"/>
    <n v="0"/>
    <n v="0"/>
    <n v="0"/>
    <n v="11855.619999999999"/>
    <n v="0"/>
    <n v="0"/>
    <n v="0"/>
    <n v="0"/>
    <n v="0"/>
    <n v="0"/>
    <n v="0"/>
    <n v="0"/>
    <n v="11855.619999999999"/>
    <n v="0"/>
    <n v="0"/>
  </r>
  <r>
    <x v="306"/>
    <s v="Gomukh ID Mathurapur"/>
    <s v="vlc"/>
    <s v="Indirect"/>
    <n v="604.40000000000009"/>
    <n v="23398.94"/>
    <n v="0"/>
    <n v="0"/>
    <n v="0"/>
    <n v="0"/>
    <n v="0"/>
    <n v="0"/>
    <n v="23398.94"/>
    <n v="0"/>
    <n v="0"/>
    <n v="0"/>
    <n v="0"/>
    <n v="0"/>
    <n v="0"/>
    <n v="0"/>
    <n v="0"/>
    <n v="23398.94"/>
    <n v="0"/>
    <n v="0"/>
  </r>
  <r>
    <x v="307"/>
    <s v="Gomukh ID Kurha Dih"/>
    <s v="vlc"/>
    <s v="Indirect"/>
    <n v="1586.1000000000001"/>
    <n v="65605.179999999993"/>
    <n v="0"/>
    <n v="0"/>
    <n v="0"/>
    <n v="0"/>
    <n v="0"/>
    <n v="0"/>
    <n v="65605.179999999993"/>
    <n v="0"/>
    <n v="0"/>
    <n v="0"/>
    <n v="0"/>
    <n v="0"/>
    <n v="0"/>
    <n v="0"/>
    <n v="0"/>
    <n v="65605.179999999993"/>
    <n v="0"/>
    <n v="0"/>
  </r>
  <r>
    <x v="308"/>
    <s v="RAMNAGAR"/>
    <s v="MPG"/>
    <s v="Direct"/>
    <n v="747.3"/>
    <n v="30962.44"/>
    <n v="743.11999999999989"/>
    <n v="31574.922002486386"/>
    <n v="6.86"/>
    <n v="264.41935581600006"/>
    <n v="749.9799999999999"/>
    <n v="31839.341358302387"/>
    <n v="30962.44"/>
    <n v="0"/>
    <n v="264.41935581600006"/>
    <n v="876.90135830238796"/>
    <n v="0"/>
    <n v="0"/>
    <n v="0"/>
    <n v="30698"/>
    <n v="0"/>
    <n v="0"/>
    <n v="0"/>
    <n v="0"/>
  </r>
  <r>
    <x v="309"/>
    <s v="SANDH MAAF 2"/>
    <s v="MPG"/>
    <s v="Direct"/>
    <n v="1010.9"/>
    <n v="47865.68"/>
    <n v="1008.8100000000001"/>
    <n v="48920.489979086917"/>
    <n v="6.8600000000000012"/>
    <n v="349.17722395459998"/>
    <n v="1015.6700000000001"/>
    <n v="49269.667203041514"/>
    <n v="47865.68"/>
    <n v="0"/>
    <n v="349.17722395459998"/>
    <n v="1403.9872030415136"/>
    <n v="0"/>
    <n v="0"/>
    <n v="0"/>
    <n v="47517"/>
    <n v="0"/>
    <n v="0"/>
    <n v="0"/>
    <n v="0"/>
  </r>
  <r>
    <x v="311"/>
    <s v="TAAL-SHAHARSHA                                                                                      "/>
    <s v="MPG"/>
    <s v="Direct"/>
    <n v="68.500000000000014"/>
    <n v="2265.23"/>
    <n v="93.399999999999991"/>
    <n v="3507.9748506000001"/>
    <n v="0"/>
    <n v="0"/>
    <n v="93.399999999999991"/>
    <n v="3507.9748506000001"/>
    <n v="2265.23"/>
    <n v="0"/>
    <n v="0"/>
    <n v="1242.7448506000001"/>
    <n v="0"/>
    <n v="199.86119999999997"/>
    <n v="0"/>
    <n v="2065"/>
    <n v="0"/>
    <n v="0"/>
    <n v="0"/>
    <n v="0"/>
  </r>
  <r>
    <x v="312"/>
    <s v="Dhira"/>
    <s v="MPG"/>
    <s v="Direct"/>
    <n v="402.90000000000003"/>
    <n v="17585.27"/>
    <n v="403"/>
    <n v="17633.5464096"/>
    <n v="0"/>
    <n v="0"/>
    <n v="403"/>
    <n v="17633.5464096"/>
    <n v="17585.27"/>
    <n v="0"/>
    <n v="0"/>
    <n v="48.27640959999917"/>
    <n v="0"/>
    <n v="0"/>
    <n v="0"/>
    <n v="17585"/>
    <n v="0"/>
    <n v="0"/>
    <n v="0"/>
    <n v="0"/>
  </r>
  <r>
    <x v="313"/>
    <s v="AZADNAGAR(VLC)"/>
    <s v="vlc"/>
    <s v="Indirect"/>
    <n v="258.7"/>
    <n v="6994.0599999999995"/>
    <n v="0"/>
    <n v="0"/>
    <n v="0"/>
    <n v="0"/>
    <n v="0"/>
    <n v="0"/>
    <n v="6994.0599999999995"/>
    <n v="0"/>
    <n v="0"/>
    <n v="0"/>
    <n v="0"/>
    <n v="0"/>
    <n v="0"/>
    <n v="0"/>
    <n v="0"/>
    <n v="6994.0599999999995"/>
    <n v="0"/>
    <n v="0"/>
  </r>
  <r>
    <x v="314"/>
    <s v="REWAI"/>
    <s v="MPG"/>
    <s v="Direct"/>
    <n v="675.90000000000009"/>
    <n v="27761.5"/>
    <n v="709.02"/>
    <n v="29406.401937847691"/>
    <n v="2.2199999999999998"/>
    <n v="89.41012064100002"/>
    <n v="711.24"/>
    <n v="29495.812058488693"/>
    <n v="27761.5"/>
    <n v="0"/>
    <n v="89.41012064100002"/>
    <n v="1734.3120584886929"/>
    <n v="0"/>
    <n v="0"/>
    <n v="0"/>
    <n v="27672"/>
    <n v="0"/>
    <n v="0"/>
    <n v="0"/>
    <n v="0"/>
  </r>
  <r>
    <x v="316"/>
    <s v="MANJOS"/>
    <s v="MPG"/>
    <s v="Direct"/>
    <n v="858.59999999999991"/>
    <n v="34797.659999999996"/>
    <n v="858.7"/>
    <n v="35766.781520976001"/>
    <n v="0"/>
    <n v="0"/>
    <n v="858.7"/>
    <n v="35766.781520976001"/>
    <n v="34797.659999999996"/>
    <n v="0"/>
    <n v="0"/>
    <n v="969.12152097600483"/>
    <n v="0"/>
    <n v="0"/>
    <n v="0"/>
    <n v="34798"/>
    <n v="0"/>
    <n v="0"/>
    <n v="0"/>
    <n v="0"/>
  </r>
  <r>
    <x v="317"/>
    <s v="RATA"/>
    <s v="MPG"/>
    <s v="Direct"/>
    <n v="559.5"/>
    <n v="23397.649999999998"/>
    <n v="592.50999999999988"/>
    <n v="24575.209801610061"/>
    <n v="0"/>
    <n v="0"/>
    <n v="592.50999999999988"/>
    <n v="24575.209801610061"/>
    <n v="23397.649999999998"/>
    <n v="0"/>
    <n v="0"/>
    <n v="1177.559801610063"/>
    <n v="0"/>
    <n v="0"/>
    <n v="0"/>
    <n v="23398"/>
    <n v="0"/>
    <n v="0"/>
    <n v="0"/>
    <n v="0"/>
  </r>
  <r>
    <x v="318"/>
    <s v="BARUI"/>
    <s v="MPG"/>
    <s v="Direct"/>
    <n v="408.79999999999995"/>
    <n v="17455.86"/>
    <n v="414.69999999999993"/>
    <n v="19464.922068288583"/>
    <n v="5.9900000000000011"/>
    <n v="282.60717102630002"/>
    <n v="420.68999999999994"/>
    <n v="19747.529239314881"/>
    <n v="17455.86"/>
    <n v="0"/>
    <n v="282.60717102630002"/>
    <n v="2291.6692393148805"/>
    <n v="0"/>
    <n v="0"/>
    <n v="0"/>
    <n v="17173"/>
    <n v="0"/>
    <n v="0"/>
    <n v="0"/>
    <s v="Release3"/>
  </r>
  <r>
    <x v="319"/>
    <s v="LAHUARA                                                                                             "/>
    <s v="MPG"/>
    <s v="Direct"/>
    <n v="700.59999999999991"/>
    <n v="34753.530000000006"/>
    <n v="799.26"/>
    <n v="39724.784025502784"/>
    <n v="5.42"/>
    <n v="285.14275053068008"/>
    <n v="804.68"/>
    <n v="40009.926776033462"/>
    <n v="34753.530000000006"/>
    <n v="0"/>
    <n v="285.14275053068008"/>
    <n v="5256.3967760334563"/>
    <n v="0"/>
    <n v="0"/>
    <n v="0"/>
    <n v="34468"/>
    <n v="0"/>
    <n v="0"/>
    <n v="0"/>
    <n v="0"/>
  </r>
  <r>
    <x v="320"/>
    <s v="LACHHUAR"/>
    <s v="MPG"/>
    <s v="Direct"/>
    <n v="687.5"/>
    <n v="26996.2"/>
    <n v="721.58999999999992"/>
    <n v="30163.535481205698"/>
    <n v="2.29"/>
    <n v="100.55451990911901"/>
    <n v="723.87999999999988"/>
    <n v="30264.090001114815"/>
    <n v="26996.2"/>
    <n v="0"/>
    <n v="100.55451990911901"/>
    <n v="3267.8900011148144"/>
    <n v="0"/>
    <n v="0"/>
    <n v="0"/>
    <n v="26896"/>
    <n v="0"/>
    <n v="0"/>
    <n v="0"/>
    <n v="0"/>
  </r>
  <r>
    <x v="321"/>
    <s v="RAMDIH Ajit Kumar"/>
    <s v="vlc"/>
    <s v="Indirect"/>
    <n v="277.2"/>
    <n v="10708.02"/>
    <n v="0"/>
    <n v="0"/>
    <n v="0"/>
    <n v="0"/>
    <n v="0"/>
    <n v="0"/>
    <n v="10708.02"/>
    <n v="0"/>
    <n v="0"/>
    <n v="0"/>
    <n v="0"/>
    <n v="0"/>
    <n v="0"/>
    <n v="0"/>
    <n v="0"/>
    <n v="10708.02"/>
    <n v="0"/>
    <n v="0"/>
  </r>
  <r>
    <x v="322"/>
    <s v="NARAYANPUR"/>
    <s v="MPG"/>
    <s v="Direct"/>
    <n v="434.40000000000003"/>
    <n v="16865.839999999997"/>
    <n v="564.58999999999992"/>
    <n v="22046.622681090754"/>
    <n v="1.5100000000000002"/>
    <n v="61.380852746400002"/>
    <n v="566.09999999999991"/>
    <n v="22108.003533837153"/>
    <n v="16865.839999999997"/>
    <n v="0"/>
    <n v="61.380852746400002"/>
    <n v="5242.1635338371561"/>
    <n v="0"/>
    <n v="0"/>
    <n v="0"/>
    <n v="16804"/>
    <n v="0"/>
    <n v="0"/>
    <n v="0"/>
    <n v="0"/>
  </r>
  <r>
    <x v="323"/>
    <s v="NAWKADIH"/>
    <s v="MPG"/>
    <s v="Direct"/>
    <n v="1154.7000000000003"/>
    <n v="47150.79"/>
    <n v="1169.1200000000001"/>
    <n v="49929.726891610444"/>
    <n v="0"/>
    <n v="0"/>
    <n v="1169.1200000000001"/>
    <n v="49929.726891610444"/>
    <n v="47150.79"/>
    <n v="0"/>
    <n v="0"/>
    <n v="2778.9368916104431"/>
    <n v="0"/>
    <n v="0"/>
    <n v="0"/>
    <n v="47151"/>
    <n v="0"/>
    <n v="0"/>
    <n v="0"/>
    <n v="0"/>
  </r>
  <r>
    <x v="324"/>
    <s v="CHOTAHA"/>
    <s v="MPG"/>
    <s v="Direct"/>
    <n v="694.40000000000009"/>
    <n v="27030.73"/>
    <n v="721.19999999999993"/>
    <n v="28540.070892828007"/>
    <n v="0"/>
    <n v="0"/>
    <n v="721.19999999999993"/>
    <n v="28540.070892828007"/>
    <n v="27030.73"/>
    <n v="0"/>
    <n v="0"/>
    <n v="1509.3408928280078"/>
    <n v="0"/>
    <n v="0"/>
    <n v="0"/>
    <n v="27031"/>
    <n v="0"/>
    <n v="0"/>
    <n v="0"/>
    <n v="0"/>
  </r>
  <r>
    <x v="325"/>
    <s v="KHARAGWADA "/>
    <s v="MPG"/>
    <s v="Direct"/>
    <n v="205.99999999999997"/>
    <n v="8387.5"/>
    <n v="237.9"/>
    <n v="9793.2838532975002"/>
    <n v="0"/>
    <n v="0"/>
    <n v="237.9"/>
    <n v="9793.2838532975002"/>
    <n v="8387.5"/>
    <n v="0"/>
    <n v="0"/>
    <n v="1405.7838532975002"/>
    <n v="0"/>
    <n v="0"/>
    <n v="0"/>
    <n v="8387"/>
    <n v="0"/>
    <n v="0"/>
    <n v="1"/>
    <n v="0"/>
  </r>
  <r>
    <x v="326"/>
    <s v="UFFAPUR"/>
    <s v="MPG"/>
    <s v="Direct"/>
    <n v="168.99999999999997"/>
    <n v="7496.72"/>
    <n v="209.4"/>
    <n v="9368.7269011073986"/>
    <n v="0"/>
    <n v="0"/>
    <n v="209.4"/>
    <n v="9368.7269011073986"/>
    <n v="7496.72"/>
    <n v="0"/>
    <n v="0"/>
    <n v="1872.0069011073983"/>
    <n v="0"/>
    <n v="0"/>
    <n v="0"/>
    <n v="7497"/>
    <n v="0"/>
    <n v="0"/>
    <n v="0"/>
    <n v="0"/>
  </r>
  <r>
    <x v="327"/>
    <s v="BIHRAURA"/>
    <s v="MPG"/>
    <s v="Direct"/>
    <n v="171.8"/>
    <n v="7417.46"/>
    <n v="174.50000000000003"/>
    <n v="7608.318534080001"/>
    <n v="0"/>
    <n v="0"/>
    <n v="174.50000000000003"/>
    <n v="7608.318534080001"/>
    <n v="7417.46"/>
    <n v="0"/>
    <n v="0"/>
    <n v="190.85853408000094"/>
    <n v="0"/>
    <n v="0"/>
    <n v="0"/>
    <n v="7417"/>
    <n v="0"/>
    <n v="0"/>
    <n v="0"/>
    <n v="0"/>
  </r>
  <r>
    <x v="328"/>
    <s v="SHIJHORI"/>
    <s v="MPG"/>
    <s v="Direct"/>
    <n v="360.3"/>
    <n v="15033.579999999998"/>
    <n v="415.30000000000007"/>
    <n v="17168.538001023207"/>
    <n v="0"/>
    <n v="0"/>
    <n v="415.30000000000007"/>
    <n v="17168.538001023207"/>
    <n v="15033.579999999998"/>
    <n v="0"/>
    <n v="0"/>
    <n v="2134.9580010232094"/>
    <n v="0"/>
    <n v="68.048193103448256"/>
    <n v="0"/>
    <n v="14965"/>
    <n v="0"/>
    <n v="0"/>
    <n v="1"/>
    <n v="0"/>
  </r>
  <r>
    <x v="329"/>
    <s v="RAM PRAVESH YADAV"/>
    <s v="MPG"/>
    <s v="Direct"/>
    <n v="448.00000000000006"/>
    <n v="17317.16"/>
    <n v="429.63000000000005"/>
    <n v="17628.885333616163"/>
    <n v="0"/>
    <n v="0"/>
    <n v="429.63000000000005"/>
    <n v="17628.885333616163"/>
    <n v="17317.16"/>
    <n v="0"/>
    <n v="0"/>
    <n v="311.72533361616297"/>
    <n v="0"/>
    <n v="0"/>
    <n v="0"/>
    <n v="17317"/>
    <n v="0"/>
    <n v="0"/>
    <n v="0"/>
    <n v="0"/>
  </r>
  <r>
    <x v="330"/>
    <s v="BOUDHNAGAR"/>
    <s v="MPG"/>
    <s v="Direct"/>
    <n v="401.99999999999994"/>
    <n v="15515.09"/>
    <n v="556.17999999999995"/>
    <n v="21694.634673516"/>
    <n v="0"/>
    <n v="0"/>
    <n v="556.17999999999995"/>
    <n v="21694.634673516"/>
    <n v="15515.09"/>
    <n v="0"/>
    <n v="0"/>
    <n v="6179.5446735160003"/>
    <n v="0"/>
    <n v="0"/>
    <n v="0"/>
    <n v="15515"/>
    <n v="0"/>
    <n v="0"/>
    <n v="0"/>
    <n v="0"/>
  </r>
  <r>
    <x v="331"/>
    <s v="MOHADDINGAR"/>
    <s v="MPG"/>
    <s v="Direct"/>
    <n v="443.00000000000006"/>
    <n v="17610.190000000002"/>
    <n v="458.15"/>
    <n v="18434.760639226559"/>
    <n v="0"/>
    <n v="0"/>
    <n v="458.15"/>
    <n v="18434.760639226559"/>
    <n v="17610.190000000002"/>
    <n v="0"/>
    <n v="0"/>
    <n v="824.57063922655652"/>
    <n v="0"/>
    <n v="0"/>
    <n v="0"/>
    <n v="17610"/>
    <n v="0"/>
    <n v="0"/>
    <n v="0"/>
    <n v="0"/>
  </r>
  <r>
    <x v="332"/>
    <s v="PACHAUTA"/>
    <s v="MPG"/>
    <s v="Direct"/>
    <n v="639.69999999999993"/>
    <n v="24557.42"/>
    <n v="681.16999999999985"/>
    <n v="28058.086312740001"/>
    <n v="0"/>
    <n v="0"/>
    <n v="681.16999999999985"/>
    <n v="28058.086312740001"/>
    <n v="24557.42"/>
    <n v="0"/>
    <n v="0"/>
    <n v="3500.6663127400025"/>
    <n v="0"/>
    <n v="0"/>
    <n v="0"/>
    <n v="24557"/>
    <n v="0"/>
    <n v="0"/>
    <n v="0"/>
    <n v="0"/>
  </r>
  <r>
    <x v="333"/>
    <s v="Gomukh Champa"/>
    <s v="vlc"/>
    <s v="Indirect"/>
    <n v="12800"/>
    <n v="492452"/>
    <n v="0"/>
    <n v="0"/>
    <n v="0"/>
    <n v="0"/>
    <n v="0"/>
    <n v="0"/>
    <n v="492452"/>
    <n v="0"/>
    <n v="0"/>
    <n v="0"/>
    <n v="0"/>
    <n v="0"/>
    <n v="0"/>
    <n v="0"/>
    <n v="0"/>
    <n v="492452"/>
    <n v="0"/>
    <n v="0"/>
  </r>
  <r>
    <x v="334"/>
    <s v="GOMUKH DAKRA"/>
    <s v="vlc"/>
    <s v="Indirect"/>
    <n v="12900"/>
    <n v="495673"/>
    <n v="0"/>
    <n v="0"/>
    <n v="0"/>
    <n v="0"/>
    <n v="0"/>
    <n v="0"/>
    <n v="495673"/>
    <n v="0"/>
    <n v="0"/>
    <n v="0"/>
    <n v="0"/>
    <n v="0"/>
    <n v="0"/>
    <n v="0"/>
    <n v="0"/>
    <n v="495673"/>
    <n v="0"/>
    <n v="0"/>
  </r>
  <r>
    <x v="335"/>
    <s v="TIYAY"/>
    <s v="MPG"/>
    <s v="Direct"/>
    <n v="277.7"/>
    <n v="10087.69"/>
    <n v="278.5"/>
    <n v="10575.305987796"/>
    <n v="0"/>
    <n v="0"/>
    <n v="278.5"/>
    <n v="10575.305987796"/>
    <n v="10087.69"/>
    <n v="0"/>
    <n v="0"/>
    <n v="487.6159877959999"/>
    <n v="0"/>
    <n v="0"/>
    <n v="0"/>
    <n v="10088"/>
    <n v="0"/>
    <n v="0"/>
    <n v="0"/>
    <n v="0"/>
  </r>
  <r>
    <x v="336"/>
    <s v="BILLO 2"/>
    <s v="MPG"/>
    <s v="Direct"/>
    <n v="240.9"/>
    <n v="9235.34"/>
    <n v="302"/>
    <n v="11730.410524224002"/>
    <n v="0"/>
    <n v="0"/>
    <n v="302"/>
    <n v="11730.410524224002"/>
    <n v="9235.34"/>
    <n v="0"/>
    <n v="0"/>
    <n v="2495.0705242240019"/>
    <n v="0"/>
    <n v="0"/>
    <n v="0"/>
    <n v="9235"/>
    <n v="0"/>
    <n v="0"/>
    <n v="0"/>
    <n v="0"/>
  </r>
  <r>
    <x v="337"/>
    <s v="NAWADIH 2"/>
    <s v="MPG"/>
    <s v="Direct"/>
    <n v="405.7"/>
    <n v="17893.16"/>
    <n v="405.6"/>
    <n v="17976.145035708003"/>
    <n v="0"/>
    <n v="0"/>
    <n v="405.6"/>
    <n v="17976.145035708003"/>
    <n v="17893.16"/>
    <n v="0"/>
    <n v="0"/>
    <n v="82.985035708003124"/>
    <n v="0"/>
    <n v="0"/>
    <n v="0"/>
    <n v="17893"/>
    <n v="0"/>
    <n v="0"/>
    <n v="0"/>
    <n v="0"/>
  </r>
  <r>
    <x v="338"/>
    <s v="Vishan Pur"/>
    <s v="MPG"/>
    <s v="Direct"/>
    <n v="850.49999999999989"/>
    <n v="31016.350000000002"/>
    <n v="844.29000000000008"/>
    <n v="33014.603264458805"/>
    <n v="6.7"/>
    <n v="256.61788574400003"/>
    <n v="850.99000000000012"/>
    <n v="33271.221150202808"/>
    <n v="31016.350000000002"/>
    <n v="0"/>
    <n v="256.61788574400003"/>
    <n v="2254.8711502028054"/>
    <n v="0"/>
    <n v="0"/>
    <n v="0"/>
    <n v="30760"/>
    <n v="0"/>
    <n v="0"/>
    <n v="0"/>
    <s v="Release1"/>
  </r>
  <r>
    <x v="339"/>
    <s v="Gomukh Madhawpur"/>
    <s v="MPG"/>
    <s v="Direct"/>
    <n v="1659.6"/>
    <n v="63763.489999999991"/>
    <n v="2130"/>
    <n v="90575.35771329602"/>
    <n v="5"/>
    <n v="231.005808"/>
    <n v="2135"/>
    <n v="90806.363521296022"/>
    <n v="63763.489999999991"/>
    <n v="0"/>
    <n v="231.005808"/>
    <n v="27042.873521296031"/>
    <n v="13000"/>
    <n v="0"/>
    <n v="0"/>
    <n v="50532"/>
    <n v="0"/>
    <n v="0"/>
    <n v="0"/>
    <s v="Release1"/>
  </r>
  <r>
    <x v="340"/>
    <s v="Gomukh Muradpur"/>
    <s v="vlc"/>
    <s v="Indirect"/>
    <n v="132.30000000000001"/>
    <n v="4141.4600000000009"/>
    <n v="0"/>
    <n v="0"/>
    <n v="0"/>
    <n v="0"/>
    <n v="0"/>
    <n v="0"/>
    <n v="4141.4600000000009"/>
    <n v="0"/>
    <n v="0"/>
    <n v="0"/>
    <n v="0"/>
    <n v="0"/>
    <n v="0"/>
    <n v="0"/>
    <n v="0"/>
    <n v="4141.4600000000009"/>
    <n v="0"/>
    <n v="0"/>
  </r>
  <r>
    <x v="341"/>
    <s v="Gomukh Kanhaiyachak Pachhim"/>
    <s v="MPG"/>
    <s v="Direct"/>
    <n v="1149.8999999999999"/>
    <n v="45331.95"/>
    <n v="1146.82"/>
    <n v="49555.418685612931"/>
    <n v="0"/>
    <n v="0"/>
    <n v="1146.82"/>
    <n v="49555.418685612931"/>
    <n v="45331.95"/>
    <n v="0"/>
    <n v="0"/>
    <n v="4223.4686856129338"/>
    <n v="0"/>
    <n v="53.074238709677346"/>
    <n v="0"/>
    <n v="45279"/>
    <n v="0"/>
    <n v="0"/>
    <n v="0"/>
    <n v="0"/>
  </r>
  <r>
    <x v="342"/>
    <s v="Gomukh Srirampur Thuthi"/>
    <s v="MPG"/>
    <s v="Direct"/>
    <n v="272.3"/>
    <n v="10461.000000000002"/>
    <n v="273.30999999999995"/>
    <n v="10431.323192664"/>
    <n v="0"/>
    <n v="0"/>
    <n v="273.30999999999995"/>
    <n v="10431.323192664"/>
    <n v="10431.323192664"/>
    <n v="0"/>
    <n v="0"/>
    <n v="0"/>
    <n v="0"/>
    <n v="0"/>
    <n v="0"/>
    <n v="10431"/>
    <n v="0"/>
    <n v="0"/>
    <n v="30"/>
    <n v="0"/>
  </r>
  <r>
    <x v="343"/>
    <s v="Gomukh Dumariya Bujurg Madhay"/>
    <s v="MPG"/>
    <s v="Direct"/>
    <n v="135"/>
    <n v="5597.11"/>
    <n v="128.6"/>
    <n v="5682.752049711361"/>
    <n v="0"/>
    <n v="0"/>
    <n v="128.6"/>
    <n v="5682.752049711361"/>
    <n v="5597.11"/>
    <n v="0"/>
    <n v="0"/>
    <n v="85.642049711361324"/>
    <n v="0"/>
    <n v="0"/>
    <n v="0"/>
    <n v="5597"/>
    <n v="0"/>
    <n v="0"/>
    <n v="0"/>
    <s v="Release1"/>
  </r>
  <r>
    <x v="344"/>
    <s v="Gomukh Bandahera                                                                                    "/>
    <s v="MPG"/>
    <s v="Direct"/>
    <n v="455.2"/>
    <n v="16530.03"/>
    <n v="929.6"/>
    <n v="36198.844458480002"/>
    <n v="1.2"/>
    <n v="44.260912080000004"/>
    <n v="930.80000000000007"/>
    <n v="36243.105370559999"/>
    <n v="16530.03"/>
    <n v="0"/>
    <n v="44.260912080000004"/>
    <n v="19713.07537056"/>
    <n v="0"/>
    <n v="141.5"/>
    <n v="0"/>
    <n v="16344"/>
    <n v="0"/>
    <n v="0"/>
    <n v="0"/>
    <s v="Release1"/>
  </r>
  <r>
    <x v="345"/>
    <s v="Gomukh Badi Lagar-1 Kiran"/>
    <s v="vlc"/>
    <s v="Indirect"/>
    <n v="614.19999999999993"/>
    <n v="22696.2"/>
    <n v="0"/>
    <n v="0"/>
    <n v="0"/>
    <n v="0"/>
    <n v="0"/>
    <n v="0"/>
    <n v="22696.2"/>
    <n v="0"/>
    <n v="0"/>
    <n v="0"/>
    <n v="0"/>
    <n v="0"/>
    <n v="0"/>
    <n v="0"/>
    <n v="0"/>
    <n v="22696.2"/>
    <n v="0"/>
    <n v="0"/>
  </r>
  <r>
    <x v="933"/>
    <s v="Gomukh Muradpur Deepak"/>
    <s v="vlc"/>
    <s v="Indirect"/>
    <n v="380"/>
    <n v="12534.98"/>
    <n v="0"/>
    <n v="0"/>
    <n v="0"/>
    <n v="0"/>
    <n v="0"/>
    <n v="0"/>
    <n v="12534.98"/>
    <n v="0"/>
    <n v="0"/>
    <n v="0"/>
    <n v="0"/>
    <n v="28.898999999999987"/>
    <n v="0"/>
    <n v="0"/>
    <n v="0"/>
    <n v="12506.081"/>
    <n v="0"/>
    <n v="0"/>
  </r>
  <r>
    <x v="346"/>
    <s v="Gomukh Basudevpur"/>
    <s v="vlc"/>
    <s v="Indirect"/>
    <n v="10.4"/>
    <n v="472.26"/>
    <n v="0"/>
    <n v="0"/>
    <n v="0"/>
    <n v="0"/>
    <n v="0"/>
    <n v="0"/>
    <n v="472.26"/>
    <n v="0"/>
    <n v="0"/>
    <n v="0"/>
    <n v="0"/>
    <n v="0"/>
    <n v="0"/>
    <n v="0"/>
    <n v="0"/>
    <n v="472.26"/>
    <n v="0"/>
    <n v="0"/>
  </r>
  <r>
    <x v="992"/>
    <s v="Gomukh Fudkichak"/>
    <s v="MPG"/>
    <s v="Direct"/>
    <n v="72.3"/>
    <n v="3398.53"/>
    <n v="73"/>
    <n v="3686.9534847600003"/>
    <n v="0"/>
    <n v="0"/>
    <n v="73"/>
    <n v="3686.9534847600003"/>
    <n v="3398.53"/>
    <n v="0"/>
    <n v="0"/>
    <n v="288.42348476000006"/>
    <n v="0"/>
    <n v="0"/>
    <n v="0"/>
    <n v="3399"/>
    <n v="0"/>
    <n v="0"/>
    <n v="0"/>
    <n v="0"/>
  </r>
  <r>
    <x v="347"/>
    <s v="Gomukh Tehay"/>
    <s v="MPG"/>
    <s v="Direct"/>
    <n v="154.20000000000002"/>
    <n v="7584.7899999999981"/>
    <n v="154.49999999999997"/>
    <n v="7696.8076996280006"/>
    <n v="0"/>
    <n v="0"/>
    <n v="154.49999999999997"/>
    <n v="7696.8076996280006"/>
    <n v="7584.7899999999981"/>
    <n v="0"/>
    <n v="0"/>
    <n v="112.01769962800245"/>
    <n v="0"/>
    <n v="0"/>
    <n v="0"/>
    <n v="7585"/>
    <n v="0"/>
    <n v="0"/>
    <n v="0"/>
    <n v="0"/>
  </r>
  <r>
    <x v="348"/>
    <s v="Gomukh Buddhnagar"/>
    <s v="vlc"/>
    <s v="Indirect"/>
    <n v="1207.4000000000001"/>
    <n v="42952.54"/>
    <n v="0"/>
    <n v="0"/>
    <n v="0"/>
    <n v="0"/>
    <n v="0"/>
    <n v="0"/>
    <n v="42952.54"/>
    <n v="0"/>
    <n v="0"/>
    <n v="0"/>
    <n v="0"/>
    <n v="0"/>
    <n v="0"/>
    <n v="0"/>
    <n v="0"/>
    <n v="42952.54"/>
    <n v="0"/>
    <n v="0"/>
  </r>
  <r>
    <x v="934"/>
    <s v="Gomukh Krochaka Dudhela"/>
    <s v="MPG"/>
    <s v="Direct"/>
    <n v="1470.1999999999998"/>
    <n v="52929.03"/>
    <n v="1505.75"/>
    <n v="58387.139239112526"/>
    <n v="6.6199999999999992"/>
    <n v="247.884808644"/>
    <n v="1512.37"/>
    <n v="58635.024047756524"/>
    <n v="52929.03"/>
    <n v="0"/>
    <n v="247.884808644"/>
    <n v="5705.9940477565251"/>
    <n v="0"/>
    <n v="154.12008196721305"/>
    <n v="0"/>
    <n v="52526"/>
    <n v="0"/>
    <n v="0"/>
    <n v="1"/>
    <n v="0"/>
  </r>
  <r>
    <x v="349"/>
    <s v="Gomukh Govind Pur"/>
    <s v="MPG"/>
    <s v="Direct"/>
    <n v="490.70000000000005"/>
    <n v="18073.89"/>
    <n v="490.7"/>
    <n v="19820.898488160004"/>
    <n v="0.1"/>
    <n v="3.6829069200000006"/>
    <n v="490.8"/>
    <n v="19824.581395080004"/>
    <n v="18073.89"/>
    <n v="0"/>
    <n v="3.6829069200000006"/>
    <n v="1750.6913950800044"/>
    <n v="0"/>
    <n v="26.857427586206917"/>
    <n v="0"/>
    <n v="18043"/>
    <n v="0"/>
    <n v="0"/>
    <n v="0"/>
    <n v="0"/>
  </r>
  <r>
    <x v="350"/>
    <s v="Gomukh Sondiha"/>
    <s v="MPG"/>
    <s v="Direct"/>
    <n v="1340.6000000000001"/>
    <n v="50416.740000000005"/>
    <n v="1483"/>
    <n v="56460.556342049989"/>
    <n v="0"/>
    <n v="0"/>
    <n v="1483"/>
    <n v="56460.556342049989"/>
    <n v="50416.740000000005"/>
    <n v="0"/>
    <n v="0"/>
    <n v="6043.8163420499841"/>
    <n v="0"/>
    <n v="0"/>
    <n v="0"/>
    <n v="50417"/>
    <n v="0"/>
    <n v="0"/>
    <n v="0"/>
    <n v="0"/>
  </r>
  <r>
    <x v="351"/>
    <s v="Gomukh Thebhay B"/>
    <s v="MPG"/>
    <s v="Direct"/>
    <n v="152.10000000000002"/>
    <n v="6648.6799999999994"/>
    <n v="246.29999999999998"/>
    <n v="10198.557396645718"/>
    <n v="2.4300000000000002"/>
    <n v="99.708977550599997"/>
    <n v="248.73"/>
    <n v="10298.266374196317"/>
    <n v="6648.6799999999994"/>
    <n v="0"/>
    <n v="99.708977550599997"/>
    <n v="3649.5863741963176"/>
    <n v="0"/>
    <n v="28.687357377049175"/>
    <n v="0"/>
    <n v="6520"/>
    <n v="0"/>
    <n v="0"/>
    <n v="0"/>
    <n v="0"/>
  </r>
  <r>
    <x v="352"/>
    <s v="Gomukh Baisa"/>
    <s v="MPG"/>
    <s v="Direct"/>
    <n v="255.40000000000003"/>
    <n v="8847.83"/>
    <n v="255.4"/>
    <n v="12899.286575448001"/>
    <n v="0"/>
    <n v="0"/>
    <n v="255.4"/>
    <n v="12899.286575448001"/>
    <n v="8847.83"/>
    <n v="0"/>
    <n v="0"/>
    <n v="4051.4565754480009"/>
    <n v="0"/>
    <n v="0"/>
    <n v="0"/>
    <n v="8848"/>
    <n v="0"/>
    <n v="0"/>
    <n v="0"/>
    <n v="0"/>
  </r>
  <r>
    <x v="353"/>
    <s v="Gomukh Bhorkanth Purbi"/>
    <s v="MPG"/>
    <s v="Direct"/>
    <n v="109"/>
    <n v="3417.34"/>
    <n v="109"/>
    <n v="4431.6262980000001"/>
    <n v="0"/>
    <n v="0"/>
    <n v="109"/>
    <n v="4431.6262980000001"/>
    <n v="3417.34"/>
    <n v="0"/>
    <n v="0"/>
    <n v="1014.286298"/>
    <n v="0"/>
    <n v="0"/>
    <n v="0"/>
    <n v="3417"/>
    <n v="0"/>
    <n v="0"/>
    <n v="0"/>
    <n v="0"/>
  </r>
  <r>
    <x v="354"/>
    <s v="Gomukh Khutha VLC"/>
    <s v="vlc"/>
    <s v="Indirect"/>
    <n v="8354.3999999999978"/>
    <n v="334077.41000000003"/>
    <n v="0"/>
    <n v="0"/>
    <n v="0"/>
    <n v="0"/>
    <n v="0"/>
    <n v="0"/>
    <n v="334077.41000000003"/>
    <n v="0"/>
    <n v="0"/>
    <n v="0"/>
    <n v="0"/>
    <n v="0"/>
    <n v="0"/>
    <n v="0"/>
    <n v="0"/>
    <n v="334077.41000000003"/>
    <n v="0"/>
    <n v="0"/>
  </r>
  <r>
    <x v="993"/>
    <s v="Gomukh Jitendra Yadav Vlc"/>
    <s v="vlc"/>
    <s v="Indirect"/>
    <n v="584.5"/>
    <n v="25928.91"/>
    <n v="0"/>
    <n v="0"/>
    <n v="0"/>
    <n v="0"/>
    <n v="0"/>
    <n v="0"/>
    <n v="25928.91"/>
    <n v="0"/>
    <n v="0"/>
    <n v="0"/>
    <n v="0"/>
    <n v="0"/>
    <n v="0"/>
    <n v="0"/>
    <n v="0"/>
    <n v="25928.91"/>
    <n v="0"/>
    <n v="0"/>
  </r>
  <r>
    <x v="355"/>
    <s v="Gomukh Kabela Vlc"/>
    <s v="vlc"/>
    <s v="Indirect"/>
    <n v="967.1"/>
    <n v="31900.109999999997"/>
    <n v="0"/>
    <n v="0"/>
    <n v="0"/>
    <n v="0"/>
    <n v="0"/>
    <n v="0"/>
    <n v="31900.109999999997"/>
    <n v="0"/>
    <n v="0"/>
    <n v="0"/>
    <n v="0"/>
    <n v="0"/>
    <n v="0"/>
    <n v="0"/>
    <n v="0"/>
    <n v="31900.109999999997"/>
    <n v="0"/>
    <n v="0"/>
  </r>
  <r>
    <x v="356"/>
    <s v="Gomukh Madhabpur Purbi Vlc"/>
    <s v="vlc"/>
    <s v="Indirect"/>
    <n v="36.5"/>
    <n v="1120.8599999999999"/>
    <n v="0"/>
    <n v="0"/>
    <n v="0"/>
    <n v="0"/>
    <n v="0"/>
    <n v="0"/>
    <n v="1120.8599999999999"/>
    <n v="0"/>
    <n v="0"/>
    <n v="0"/>
    <n v="0"/>
    <n v="0"/>
    <n v="0"/>
    <n v="0"/>
    <n v="0"/>
    <n v="1120.8599999999999"/>
    <n v="0"/>
    <n v="0"/>
  </r>
  <r>
    <x v="994"/>
    <s v="Gomukh Lagar Wad-13 Vlc"/>
    <s v="vlc"/>
    <s v="Indirect"/>
    <n v="650.20000000000005"/>
    <n v="28062.35"/>
    <n v="0"/>
    <n v="0"/>
    <n v="0"/>
    <n v="0"/>
    <n v="0"/>
    <n v="0"/>
    <n v="28062.35"/>
    <n v="0"/>
    <n v="0"/>
    <n v="0"/>
    <n v="0"/>
    <n v="0"/>
    <n v="0"/>
    <n v="0"/>
    <n v="0"/>
    <n v="28062.35"/>
    <n v="0"/>
    <n v="0"/>
  </r>
  <r>
    <x v="357"/>
    <s v="Gomukh Manish Vlc"/>
    <s v="vlc"/>
    <s v="Indirect"/>
    <n v="2422.4"/>
    <n v="118067.63999999998"/>
    <n v="0"/>
    <n v="0"/>
    <n v="0"/>
    <n v="0"/>
    <n v="0"/>
    <n v="0"/>
    <n v="118067.63999999998"/>
    <n v="0"/>
    <n v="0"/>
    <n v="0"/>
    <n v="0"/>
    <n v="0"/>
    <n v="0"/>
    <n v="0"/>
    <n v="0"/>
    <n v="118067.63999999998"/>
    <n v="0"/>
    <n v="0"/>
  </r>
  <r>
    <x v="995"/>
    <s v="Gomukh Parbatta Vlc"/>
    <s v="vlc"/>
    <s v="Indirect"/>
    <n v="2475.2999999999997"/>
    <n v="112211.38"/>
    <n v="0"/>
    <n v="0"/>
    <n v="0"/>
    <n v="0"/>
    <n v="0"/>
    <n v="0"/>
    <n v="112211.38"/>
    <n v="0"/>
    <n v="0"/>
    <n v="0"/>
    <n v="0"/>
    <n v="0"/>
    <n v="0"/>
    <n v="0"/>
    <n v="0"/>
    <n v="112211.38"/>
    <n v="0"/>
    <n v="0"/>
  </r>
  <r>
    <x v="358"/>
    <s v="Gomukh Mahendrapur"/>
    <s v="MPG"/>
    <s v="Direct"/>
    <n v="1668.7"/>
    <n v="66253.16"/>
    <n v="1639.6000000000001"/>
    <n v="67068.495166132794"/>
    <n v="42.6"/>
    <n v="1790.6242500000003"/>
    <n v="1682.2"/>
    <n v="68859.119416132788"/>
    <n v="66253.16"/>
    <n v="0"/>
    <n v="1790.6242500000003"/>
    <n v="2605.9594161327841"/>
    <n v="2600"/>
    <n v="0"/>
    <n v="0"/>
    <n v="61863"/>
    <n v="0"/>
    <n v="0"/>
    <n v="0"/>
    <n v="0"/>
  </r>
  <r>
    <x v="359"/>
    <s v="Gomukh Balahpur"/>
    <s v="MPG"/>
    <s v="Direct"/>
    <n v="400.6"/>
    <n v="14329.660000000002"/>
    <n v="404.5"/>
    <n v="14840.648246160001"/>
    <n v="0"/>
    <n v="0"/>
    <n v="404.5"/>
    <n v="14840.648246160001"/>
    <n v="14329.660000000002"/>
    <n v="0"/>
    <n v="0"/>
    <n v="510.98824615999911"/>
    <n v="0"/>
    <n v="0"/>
    <n v="0"/>
    <n v="14330"/>
    <n v="0"/>
    <n v="0"/>
    <n v="0"/>
    <n v="0"/>
  </r>
  <r>
    <x v="360"/>
    <s v="Gomukh Danauli"/>
    <s v="MPG"/>
    <s v="Direct"/>
    <n v="478.4"/>
    <n v="18021.829999999998"/>
    <n v="478.2"/>
    <n v="18048.05959176"/>
    <n v="1.4000000000000001"/>
    <n v="52.736826186000023"/>
    <n v="479.59999999999997"/>
    <n v="18100.796417946"/>
    <n v="18021.829999999998"/>
    <n v="0"/>
    <n v="52.736826186000023"/>
    <n v="78.966417946001457"/>
    <n v="0"/>
    <n v="63.097799999999921"/>
    <n v="0"/>
    <n v="17906"/>
    <n v="0"/>
    <n v="0"/>
    <n v="0"/>
    <n v="0"/>
  </r>
  <r>
    <x v="361"/>
    <s v="NAYAGAW"/>
    <s v="MPG"/>
    <s v="Direct"/>
    <n v="4265.6000000000004"/>
    <n v="173557.25"/>
    <n v="4259.07"/>
    <n v="173099.40262111055"/>
    <n v="31.71"/>
    <n v="2358.6320044405597"/>
    <n v="4290.78"/>
    <n v="175458.03462555111"/>
    <n v="173557.25"/>
    <n v="0"/>
    <n v="2358.6320044405597"/>
    <n v="1900.7846255511104"/>
    <n v="0"/>
    <n v="0"/>
    <n v="0"/>
    <n v="171199"/>
    <n v="0"/>
    <n v="0"/>
    <n v="0"/>
    <n v="0"/>
  </r>
  <r>
    <x v="362"/>
    <s v="Dandari"/>
    <s v="MPG"/>
    <s v="Direct"/>
    <n v="1223.4999999999998"/>
    <n v="43535.970000000008"/>
    <n v="1219.3"/>
    <n v="43589.195118017997"/>
    <n v="2.6"/>
    <n v="94.195253988000019"/>
    <n v="1221.8999999999999"/>
    <n v="43683.390372005997"/>
    <n v="43535.970000000008"/>
    <n v="0"/>
    <n v="94.195253988000019"/>
    <n v="147.42037200598861"/>
    <n v="0"/>
    <n v="67.596413793103451"/>
    <n v="0"/>
    <n v="43374"/>
    <n v="0"/>
    <n v="0"/>
    <n v="0"/>
    <s v="Release1"/>
  </r>
  <r>
    <x v="363"/>
    <s v="Rahimpur Pachkhutti"/>
    <s v="vlc"/>
    <s v="Indirect"/>
    <n v="6913.3999999999987"/>
    <n v="265220.72000000003"/>
    <n v="0"/>
    <n v="0"/>
    <n v="0"/>
    <n v="0"/>
    <n v="0"/>
    <n v="0"/>
    <n v="265220.72000000003"/>
    <n v="16473"/>
    <n v="0"/>
    <n v="0"/>
    <n v="0"/>
    <n v="0"/>
    <n v="0"/>
    <n v="0"/>
    <n v="0"/>
    <n v="248747.72000000003"/>
    <n v="0"/>
    <n v="0"/>
  </r>
  <r>
    <x v="364"/>
    <s v="Gomukh Mohanpur                                                                                     "/>
    <s v="MPG"/>
    <s v="Direct"/>
    <n v="1051.1000000000001"/>
    <n v="37454.830000000009"/>
    <n v="1081"/>
    <n v="40396.451238000001"/>
    <n v="2.1"/>
    <n v="77.539025519999996"/>
    <n v="1083.0999999999999"/>
    <n v="40473.990263519998"/>
    <n v="37454.830000000009"/>
    <n v="0"/>
    <n v="77.539025519999996"/>
    <n v="3019.1602635199888"/>
    <n v="1300"/>
    <n v="0"/>
    <n v="0"/>
    <n v="36077"/>
    <n v="0"/>
    <n v="0"/>
    <n v="0"/>
    <n v="0"/>
  </r>
  <r>
    <x v="365"/>
    <s v="Gomukh Raghunathpur"/>
    <s v="MPG"/>
    <s v="Direct"/>
    <n v="956.5"/>
    <n v="41989.67"/>
    <n v="963.20000000000016"/>
    <n v="41233.200157196836"/>
    <n v="16.700000000000003"/>
    <n v="707.65353604800009"/>
    <n v="979.9000000000002"/>
    <n v="41940.853693244833"/>
    <n v="41940.853693244833"/>
    <n v="0"/>
    <n v="707.65353604800009"/>
    <n v="0"/>
    <n v="6750"/>
    <n v="12.162239999999912"/>
    <n v="0"/>
    <n v="34469"/>
    <n v="0"/>
    <n v="0"/>
    <n v="51"/>
    <s v="Release2"/>
  </r>
  <r>
    <x v="366"/>
    <s v="Gomukh Chhitraur"/>
    <s v="MPG"/>
    <s v="Direct"/>
    <n v="1014.8"/>
    <n v="41283.269999999997"/>
    <n v="1043.76"/>
    <n v="44413.537310590946"/>
    <n v="0"/>
    <n v="0"/>
    <n v="1043.76"/>
    <n v="44413.537310590946"/>
    <n v="41283.269999999997"/>
    <n v="0"/>
    <n v="0"/>
    <n v="3130.2673105909489"/>
    <n v="0"/>
    <n v="0"/>
    <n v="0"/>
    <n v="41283"/>
    <n v="0"/>
    <n v="0"/>
    <n v="0"/>
    <n v="0"/>
  </r>
  <r>
    <x v="367"/>
    <s v="Gomukh Khorampur Chakaur"/>
    <s v="MPG"/>
    <s v="Direct"/>
    <n v="676.19999999999993"/>
    <n v="27182.25"/>
    <n v="672.6"/>
    <n v="27350.415457199997"/>
    <n v="3.5"/>
    <n v="142.69592700000001"/>
    <n v="676.1"/>
    <n v="27493.111384199998"/>
    <n v="27182.25"/>
    <n v="0"/>
    <n v="142.69592700000001"/>
    <n v="310.8613841999977"/>
    <n v="0"/>
    <n v="0"/>
    <n v="0"/>
    <n v="27040"/>
    <n v="0"/>
    <n v="0"/>
    <n v="0"/>
    <n v="0"/>
  </r>
  <r>
    <x v="368"/>
    <s v="GOMUKH Mathar"/>
    <s v="MPG"/>
    <s v="Direct"/>
    <n v="72.300000000000011"/>
    <n v="2689.26"/>
    <n v="75.459999999999994"/>
    <n v="2805.9725464650001"/>
    <n v="1.1900000000000002"/>
    <n v="43.634989391400005"/>
    <n v="76.649999999999991"/>
    <n v="2849.6075358563999"/>
    <n v="2689.26"/>
    <n v="0"/>
    <n v="43.634989391400005"/>
    <n v="160.34753585639965"/>
    <n v="0"/>
    <n v="5.93"/>
    <n v="0"/>
    <n v="2640"/>
    <n v="0"/>
    <n v="0"/>
    <n v="0"/>
    <s v="Release1"/>
  </r>
  <r>
    <x v="369"/>
    <s v="Gomukh Kumar Chakki"/>
    <s v="MPG"/>
    <s v="Direct"/>
    <n v="281.40000000000003"/>
    <n v="9729.1"/>
    <n v="280.60000000000002"/>
    <n v="10501.134153840001"/>
    <n v="1"/>
    <n v="37.396656"/>
    <n v="281.60000000000002"/>
    <n v="10538.530809840002"/>
    <n v="9729.1"/>
    <n v="0"/>
    <n v="37.396656"/>
    <n v="809.43080984000153"/>
    <n v="0"/>
    <n v="30.660524999999971"/>
    <n v="0"/>
    <n v="9661"/>
    <n v="0"/>
    <n v="0"/>
    <n v="0"/>
    <s v="Release1"/>
  </r>
  <r>
    <x v="370"/>
    <s v="Gomukh Sonapur"/>
    <s v="vlc"/>
    <s v="Indirect"/>
    <n v="434.99999999999994"/>
    <n v="16526.64"/>
    <n v="0"/>
    <n v="0"/>
    <n v="0"/>
    <n v="0"/>
    <n v="0"/>
    <n v="0"/>
    <n v="16526.64"/>
    <n v="0"/>
    <n v="0"/>
    <n v="0"/>
    <n v="0"/>
    <n v="25.712787096774193"/>
    <n v="0"/>
    <n v="0"/>
    <n v="0"/>
    <n v="16500.927212903225"/>
    <n v="0"/>
    <n v="0"/>
  </r>
  <r>
    <x v="371"/>
    <s v="Gomukh Barkhandi 2"/>
    <s v="MPG"/>
    <s v="Indirect"/>
    <n v="486.79999999999995"/>
    <n v="17899.97"/>
    <n v="0"/>
    <n v="0"/>
    <n v="0"/>
    <n v="0"/>
    <n v="0"/>
    <n v="0"/>
    <n v="17899.97"/>
    <n v="0"/>
    <n v="0"/>
    <n v="0"/>
    <n v="6500"/>
    <n v="123.26707741935468"/>
    <n v="0"/>
    <n v="0"/>
    <n v="0"/>
    <n v="11276.702922580647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615"/>
    <n v="23380.649999999998"/>
    <n v="611.30000000000007"/>
    <n v="23539.211681040004"/>
    <n v="2.8"/>
    <n v="108.34868484000002"/>
    <n v="614.1"/>
    <n v="23647.560365880003"/>
    <n v="23380.649999999998"/>
    <n v="0"/>
    <n v="108.34868484000002"/>
    <n v="266.91036588000497"/>
    <n v="0"/>
    <n v="0"/>
    <n v="0"/>
    <n v="23272"/>
    <n v="0"/>
    <n v="0"/>
    <n v="0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807.30000000000007"/>
    <n v="33600"/>
    <n v="807"/>
    <n v="32810.265496799999"/>
    <n v="0"/>
    <n v="0"/>
    <n v="807"/>
    <n v="32810.265496799999"/>
    <n v="32810.265496799999"/>
    <n v="0"/>
    <n v="0"/>
    <n v="0"/>
    <n v="0"/>
    <n v="285.77999999999997"/>
    <n v="0"/>
    <n v="32524"/>
    <n v="0"/>
    <n v="0"/>
    <n v="790"/>
    <s v="Release1"/>
  </r>
  <r>
    <x v="374"/>
    <s v="GOMUKH KATAHRI"/>
    <s v="MPG"/>
    <s v="Direct"/>
    <n v="108.8"/>
    <n v="5238.28"/>
    <n v="106.6"/>
    <n v="5342.1948693395407"/>
    <n v="2.1999999999999997"/>
    <n v="118.65521015524001"/>
    <n v="108.8"/>
    <n v="5460.8500794947804"/>
    <n v="5238.28"/>
    <n v="0"/>
    <n v="118.65521015524001"/>
    <n v="222.57007949478066"/>
    <n v="4588"/>
    <n v="0"/>
    <n v="0"/>
    <n v="532"/>
    <n v="0"/>
    <n v="0"/>
    <n v="0"/>
    <n v="0"/>
  </r>
  <r>
    <x v="375"/>
    <s v="GOMUKH Mathar Ward 10"/>
    <s v="MPG"/>
    <s v="Direct"/>
    <n v="844.1"/>
    <n v="33591.14"/>
    <n v="732.1"/>
    <n v="30073.590500421604"/>
    <n v="216.67999999999998"/>
    <n v="8904.7538323919998"/>
    <n v="948.78"/>
    <n v="38978.344332813605"/>
    <n v="33591.14"/>
    <n v="0"/>
    <n v="0"/>
    <n v="5387.204332813606"/>
    <n v="8890"/>
    <n v="0"/>
    <n v="0"/>
    <n v="15796"/>
    <n v="8905"/>
    <n v="0"/>
    <n v="0"/>
    <n v="0"/>
  </r>
  <r>
    <x v="376"/>
    <s v="GOMUKH Tartor 2"/>
    <s v="MPG"/>
    <s v="Direct"/>
    <n v="287.39999999999998"/>
    <n v="11774.44"/>
    <n v="299.20000000000005"/>
    <n v="13460.096252249999"/>
    <n v="0"/>
    <n v="0"/>
    <n v="299.20000000000005"/>
    <n v="13460.096252249999"/>
    <n v="11774.44"/>
    <n v="0"/>
    <n v="0"/>
    <n v="1685.6562522499989"/>
    <n v="0"/>
    <n v="0"/>
    <n v="0"/>
    <n v="11774"/>
    <n v="0"/>
    <n v="0"/>
    <n v="0"/>
    <s v="Release1"/>
  </r>
  <r>
    <x v="377"/>
    <s v="Gomukh Chaidha"/>
    <s v="MPG"/>
    <s v="Direct"/>
    <n v="1169.5000000000002"/>
    <n v="45144"/>
    <n v="1152.3400000000001"/>
    <n v="45310.020062865005"/>
    <n v="6.3400000000000016"/>
    <n v="254.621875464"/>
    <n v="1158.68"/>
    <n v="45564.641938329005"/>
    <n v="45144"/>
    <n v="0"/>
    <n v="254.621875464"/>
    <n v="420.64193832900492"/>
    <n v="0"/>
    <n v="0"/>
    <n v="0"/>
    <n v="44889"/>
    <n v="0"/>
    <n v="0"/>
    <n v="0"/>
    <s v="Release2"/>
  </r>
  <r>
    <x v="378"/>
    <s v="Gomukh Bakiya"/>
    <s v="MPG"/>
    <s v="Direct"/>
    <n v="923.00000000000023"/>
    <n v="36686.670000000006"/>
    <n v="917.38000000000011"/>
    <n v="37001.236740618297"/>
    <n v="6.8000000000000007"/>
    <n v="264.22387833600004"/>
    <n v="924.18000000000006"/>
    <n v="37265.460618954297"/>
    <n v="36686.670000000006"/>
    <n v="0"/>
    <n v="264.22387833600004"/>
    <n v="578.79061895429186"/>
    <n v="5200"/>
    <n v="0"/>
    <n v="0"/>
    <n v="31222"/>
    <n v="0"/>
    <n v="0"/>
    <n v="0"/>
    <s v="Release2"/>
  </r>
  <r>
    <x v="379"/>
    <s v="Gomukh Sadpur"/>
    <s v="MPG"/>
    <s v="Direct"/>
    <n v="109.80000000000001"/>
    <n v="3978.5899999999992"/>
    <n v="110.9"/>
    <n v="4339.2674239200005"/>
    <n v="0"/>
    <n v="0"/>
    <n v="110.9"/>
    <n v="4339.2674239200005"/>
    <n v="3978.5899999999992"/>
    <n v="0"/>
    <n v="0"/>
    <n v="360.67742392000127"/>
    <n v="0"/>
    <n v="0"/>
    <n v="0"/>
    <n v="3979"/>
    <n v="0"/>
    <n v="0"/>
    <n v="0"/>
    <n v="0"/>
  </r>
  <r>
    <x v="380"/>
    <s v="GOMUKH Nista Tol"/>
    <s v="MPG"/>
    <s v="Direct"/>
    <n v="110.9"/>
    <n v="3925.79"/>
    <n v="139.95999999999998"/>
    <n v="5031.1527225498003"/>
    <n v="0"/>
    <n v="0"/>
    <n v="139.95999999999998"/>
    <n v="5031.1527225498003"/>
    <n v="3925.79"/>
    <n v="0"/>
    <n v="0"/>
    <n v="1105.3627225498003"/>
    <n v="0"/>
    <n v="80.239999999999995"/>
    <n v="0"/>
    <n v="3846"/>
    <n v="0"/>
    <n v="0"/>
    <n v="0"/>
    <s v="Release1"/>
  </r>
  <r>
    <x v="381"/>
    <s v="GOMUKH SRINAGAR"/>
    <s v="MPG"/>
    <s v="Direct"/>
    <n v="1518.1000000000001"/>
    <n v="60291.310000000005"/>
    <n v="1191.6600000000001"/>
    <n v="50327.013754988817"/>
    <n v="417.84000000000003"/>
    <n v="17702.058932395001"/>
    <n v="1609.5"/>
    <n v="68029.072687383814"/>
    <n v="60291.310000000005"/>
    <n v="0"/>
    <n v="132.47100583200003"/>
    <n v="7737.762687383809"/>
    <n v="14212"/>
    <n v="0"/>
    <n v="0"/>
    <n v="28377"/>
    <n v="17570"/>
    <n v="0"/>
    <n v="0"/>
    <n v="0"/>
  </r>
  <r>
    <x v="382"/>
    <s v="GOMUKH THATHA"/>
    <s v="MPG"/>
    <s v="Direct"/>
    <n v="389.09999999999991"/>
    <n v="13440.54"/>
    <n v="747.6"/>
    <n v="26050.722393168002"/>
    <n v="0"/>
    <n v="0"/>
    <n v="747.6"/>
    <n v="26050.722393168002"/>
    <n v="13440.54"/>
    <n v="0"/>
    <n v="0"/>
    <n v="12610.182393168001"/>
    <n v="0"/>
    <n v="0"/>
    <n v="0"/>
    <n v="13441"/>
    <n v="0"/>
    <n v="0"/>
    <n v="0"/>
    <n v="0"/>
  </r>
  <r>
    <x v="383"/>
    <s v="GOMUKH SANHA NAYATOLA"/>
    <s v="MPG"/>
    <s v="Direct"/>
    <n v="362.59999999999997"/>
    <n v="13101.750000000002"/>
    <n v="361"/>
    <n v="12866.4259812"/>
    <n v="0"/>
    <n v="0"/>
    <n v="361"/>
    <n v="12866.4259812"/>
    <n v="12866.4259812"/>
    <n v="0"/>
    <n v="0"/>
    <n v="0"/>
    <n v="1300"/>
    <n v="20.369280000000046"/>
    <n v="0"/>
    <n v="11546"/>
    <n v="0"/>
    <n v="0"/>
    <n v="235"/>
    <n v="0"/>
  </r>
  <r>
    <x v="384"/>
    <s v="Gomukh Durgapur"/>
    <s v="MPG"/>
    <s v="Direct"/>
    <n v="577.1"/>
    <n v="22944.560000000001"/>
    <n v="594.79999999999995"/>
    <n v="24695.610379704001"/>
    <n v="2.6999999999999997"/>
    <n v="110.92255020000003"/>
    <n v="597.5"/>
    <n v="24806.532929904002"/>
    <n v="22944.560000000001"/>
    <n v="0"/>
    <n v="110.92255020000003"/>
    <n v="1861.9729299040009"/>
    <n v="3900"/>
    <n v="0"/>
    <n v="0"/>
    <n v="18934"/>
    <n v="0"/>
    <n v="0"/>
    <n v="0"/>
    <n v="0"/>
  </r>
  <r>
    <x v="385"/>
    <s v="Gomukh Koniya"/>
    <s v="MPG"/>
    <s v="Direct"/>
    <n v="417.8"/>
    <n v="14348.44"/>
    <n v="486"/>
    <n v="18941.22106272"/>
    <n v="10"/>
    <n v="387.29892960000001"/>
    <n v="496"/>
    <n v="19328.519992320002"/>
    <n v="14348.44"/>
    <n v="0"/>
    <n v="387.29892960000001"/>
    <n v="4980.0799923200011"/>
    <n v="0"/>
    <n v="0"/>
    <n v="0"/>
    <n v="13961"/>
    <n v="0"/>
    <n v="0"/>
    <n v="0"/>
    <n v="0"/>
  </r>
  <r>
    <x v="386"/>
    <s v="GOMUKH ROHUA"/>
    <s v="MPG"/>
    <s v="Direct"/>
    <n v="372.09999999999997"/>
    <n v="13819.07"/>
    <n v="365.39"/>
    <n v="13572.343380100681"/>
    <n v="5.8200000000000012"/>
    <n v="217.51661913300001"/>
    <n v="371.21"/>
    <n v="13789.859999233682"/>
    <n v="13789.859999233682"/>
    <n v="0"/>
    <n v="217.51661913300001"/>
    <n v="0"/>
    <n v="0"/>
    <n v="0"/>
    <n v="0"/>
    <n v="13571"/>
    <n v="0"/>
    <n v="0"/>
    <n v="31"/>
    <n v="0"/>
  </r>
  <r>
    <x v="387"/>
    <s v="GOMUKH LAXMIPUR"/>
    <s v="MPG"/>
    <s v="Direct"/>
    <n v="459.2"/>
    <n v="19439.240000000002"/>
    <n v="458.65"/>
    <n v="20315.682885613594"/>
    <n v="8.1"/>
    <n v="351.59242584000003"/>
    <n v="466.75"/>
    <n v="20667.275311453595"/>
    <n v="19439.240000000002"/>
    <n v="0"/>
    <n v="351.59242584000003"/>
    <n v="1228.0353114535937"/>
    <n v="0"/>
    <n v="0"/>
    <n v="0"/>
    <n v="19088"/>
    <n v="0"/>
    <n v="0"/>
    <n v="0"/>
    <n v="0"/>
  </r>
  <r>
    <x v="388"/>
    <s v="GOMUKH BACHOTA"/>
    <s v="MPG"/>
    <s v="Direct"/>
    <n v="99.199999999999989"/>
    <n v="4525.8100000000004"/>
    <n v="105.31"/>
    <n v="4507.0980311412004"/>
    <n v="0.67999999999999994"/>
    <n v="28.568190024000003"/>
    <n v="105.99000000000001"/>
    <n v="4535.6662211652001"/>
    <n v="4525.8100000000004"/>
    <n v="0"/>
    <n v="28.568190024000003"/>
    <n v="9.8562211651997131"/>
    <n v="0"/>
    <n v="43.304142857142871"/>
    <n v="0"/>
    <n v="4454"/>
    <n v="0"/>
    <n v="0"/>
    <n v="0"/>
    <n v="0"/>
  </r>
  <r>
    <x v="389"/>
    <s v="GOMUKH CHATAR"/>
    <s v="MPG"/>
    <s v="Direct"/>
    <n v="155.60000000000002"/>
    <n v="6520.3"/>
    <n v="156.60000000000002"/>
    <n v="6643.36545363"/>
    <n v="0"/>
    <n v="0"/>
    <n v="156.60000000000002"/>
    <n v="6643.36545363"/>
    <n v="6520.3"/>
    <n v="0"/>
    <n v="0"/>
    <n v="123.06545362999987"/>
    <n v="0"/>
    <n v="0"/>
    <n v="0"/>
    <n v="6520"/>
    <n v="0"/>
    <n v="0"/>
    <n v="0"/>
    <n v="0"/>
  </r>
  <r>
    <x v="390"/>
    <s v="GOMUKH BATHNAMA"/>
    <s v="MPG"/>
    <s v="Direct"/>
    <n v="3609.4999999999995"/>
    <n v="146005.74000000002"/>
    <n v="3731.83"/>
    <n v="149847.32104366372"/>
    <n v="2.56"/>
    <n v="98.928859392000007"/>
    <n v="3734.39"/>
    <n v="149946.24990305572"/>
    <n v="146005.74000000002"/>
    <n v="0"/>
    <n v="98.928859392000007"/>
    <n v="3940.509903055703"/>
    <n v="0"/>
    <n v="0"/>
    <n v="0"/>
    <n v="145907"/>
    <n v="0"/>
    <n v="0"/>
    <n v="0"/>
    <n v="0"/>
  </r>
  <r>
    <x v="391"/>
    <s v="GOMUKH TILAK NAGAR"/>
    <s v="MPG"/>
    <s v="Direct"/>
    <n v="207.4"/>
    <n v="8813.7999999999993"/>
    <n v="199.62"/>
    <n v="9167.6109863073125"/>
    <n v="5.0399999999999991"/>
    <n v="206.26634844564003"/>
    <n v="204.66"/>
    <n v="9373.8773347529532"/>
    <n v="8813.7999999999993"/>
    <n v="0"/>
    <n v="206.26634844564003"/>
    <n v="560.0773347529539"/>
    <n v="0"/>
    <n v="0"/>
    <n v="0"/>
    <n v="8608"/>
    <n v="0"/>
    <n v="0"/>
    <n v="0"/>
    <n v="0"/>
  </r>
  <r>
    <x v="392"/>
    <s v="Gomukh Thatha Purvi"/>
    <s v="MPG"/>
    <s v="Direct"/>
    <n v="377.20000000000005"/>
    <n v="13410.51"/>
    <n v="424.95000000000005"/>
    <n v="16048.849208827562"/>
    <n v="0"/>
    <n v="0"/>
    <n v="424.95000000000005"/>
    <n v="16048.849208827562"/>
    <n v="13410.51"/>
    <n v="0"/>
    <n v="0"/>
    <n v="2638.3392088275614"/>
    <n v="0"/>
    <n v="10.147560000000041"/>
    <n v="0"/>
    <n v="13400"/>
    <n v="0"/>
    <n v="0"/>
    <n v="0"/>
    <s v="Release1"/>
  </r>
  <r>
    <x v="393"/>
    <s v="Gomukh Rahimpur Dakshin"/>
    <s v="MPG"/>
    <s v="Direct"/>
    <n v="7071.2"/>
    <n v="274547.35000000003"/>
    <n v="1484.7400000000002"/>
    <n v="66684.791978503286"/>
    <n v="5554.7"/>
    <n v="213879.21915491999"/>
    <n v="7039.4400000000005"/>
    <n v="280564.01113342331"/>
    <n v="274547.35000000003"/>
    <n v="0"/>
    <n v="292.50730872000003"/>
    <n v="6016.661133423273"/>
    <n v="0"/>
    <n v="0"/>
    <n v="0"/>
    <n v="60668"/>
    <n v="213587"/>
    <n v="0"/>
    <n v="0"/>
    <n v="0"/>
  </r>
  <r>
    <x v="394"/>
    <s v="GOMUKH MORKAHI"/>
    <s v="MPG"/>
    <s v="Direct"/>
    <n v="247.2"/>
    <n v="9958.43"/>
    <n v="261.27"/>
    <n v="10768.760451504"/>
    <n v="1.4400000000000004"/>
    <n v="59.103276011999995"/>
    <n v="262.70999999999998"/>
    <n v="10827.863727516"/>
    <n v="9958.43"/>
    <n v="0"/>
    <n v="59.103276011999995"/>
    <n v="869.43372751599964"/>
    <n v="0"/>
    <n v="56.12"/>
    <n v="0"/>
    <n v="9843"/>
    <n v="0"/>
    <n v="0"/>
    <n v="0"/>
    <s v="Release1"/>
  </r>
  <r>
    <x v="395"/>
    <s v="GOMUKH HANSPUR"/>
    <s v="MPG"/>
    <s v="Direct"/>
    <n v="169.9"/>
    <n v="7804.27"/>
    <n v="168.12"/>
    <n v="8198.3171117440234"/>
    <n v="1.81"/>
    <n v="118.2618747331"/>
    <n v="169.93"/>
    <n v="8316.5789864771232"/>
    <n v="7804.27"/>
    <n v="0"/>
    <n v="118.2618747331"/>
    <n v="512.30898647712274"/>
    <n v="2600"/>
    <n v="2.06"/>
    <n v="0"/>
    <n v="5084"/>
    <n v="0"/>
    <n v="0"/>
    <n v="0"/>
    <s v="Release1"/>
  </r>
  <r>
    <x v="396"/>
    <s v="GOMUKH NAYAGAON 2"/>
    <s v="MPG"/>
    <s v="Direct"/>
    <n v="222.89999999999998"/>
    <n v="12499.24"/>
    <n v="208.26000000000002"/>
    <n v="11688.641099513801"/>
    <n v="2.9200000000000008"/>
    <n v="193.55827884619998"/>
    <n v="211.18"/>
    <n v="11882.199378360001"/>
    <n v="11882.199378360001"/>
    <n v="0"/>
    <n v="193.55827884619998"/>
    <n v="0"/>
    <n v="0"/>
    <n v="2.118422950819614"/>
    <n v="0"/>
    <n v="11686"/>
    <n v="0"/>
    <n v="0"/>
    <n v="618"/>
    <n v="0"/>
  </r>
  <r>
    <x v="397"/>
    <s v="GOMUKH LABHGAON"/>
    <s v="MPG"/>
    <s v="Direct"/>
    <n v="547.6"/>
    <n v="20192"/>
    <n v="557.80999999999995"/>
    <n v="20196.019404217801"/>
    <n v="0"/>
    <n v="0"/>
    <n v="557.80999999999995"/>
    <n v="20196.019404217801"/>
    <n v="20192"/>
    <n v="0"/>
    <n v="0"/>
    <n v="4.0194042178009113"/>
    <n v="0"/>
    <n v="0"/>
    <n v="0"/>
    <n v="20192"/>
    <n v="0"/>
    <n v="0"/>
    <n v="0"/>
    <n v="0"/>
  </r>
  <r>
    <x v="398"/>
    <s v="GOMUKH CHANDPURA"/>
    <s v="MPG"/>
    <s v="Direct"/>
    <n v="770.09999999999991"/>
    <n v="27052.109999999997"/>
    <n v="771.1"/>
    <n v="27084.204852210009"/>
    <n v="0"/>
    <n v="0"/>
    <n v="771.1"/>
    <n v="27084.204852210009"/>
    <n v="27052.109999999997"/>
    <n v="0"/>
    <n v="0"/>
    <n v="32.094852210011595"/>
    <n v="0"/>
    <n v="0"/>
    <n v="0"/>
    <n v="27052"/>
    <n v="0"/>
    <n v="0"/>
    <n v="0"/>
    <n v="0"/>
  </r>
  <r>
    <x v="399"/>
    <s v="GOMUKH BADIL TOL"/>
    <s v="MPG"/>
    <s v="Direct"/>
    <n v="463.99999999999994"/>
    <n v="17601.830000000002"/>
    <n v="257.39"/>
    <n v="10769.789607603891"/>
    <n v="205.14"/>
    <n v="7735.1374909796878"/>
    <n v="462.53"/>
    <n v="18504.927098583579"/>
    <n v="17601.830000000002"/>
    <n v="0"/>
    <n v="472.20186270779999"/>
    <n v="903.09709858357746"/>
    <n v="0"/>
    <n v="71.224500000000049"/>
    <n v="0"/>
    <n v="9795"/>
    <n v="7263"/>
    <n v="0"/>
    <n v="0"/>
    <s v="Release1"/>
  </r>
  <r>
    <x v="400"/>
    <s v="GOMUKH TRIBHUVAN TOLA"/>
    <s v="MPG"/>
    <s v="Direct"/>
    <n v="321.19999999999993"/>
    <n v="11998.66"/>
    <n v="327.44"/>
    <n v="12679.92128161152"/>
    <n v="0"/>
    <n v="0"/>
    <n v="327.44"/>
    <n v="12679.92128161152"/>
    <n v="11998.66"/>
    <n v="0"/>
    <n v="0"/>
    <n v="681.26128161151973"/>
    <n v="0"/>
    <n v="0"/>
    <n v="0"/>
    <n v="11999"/>
    <n v="0"/>
    <n v="0"/>
    <n v="0"/>
    <n v="0"/>
  </r>
  <r>
    <x v="401"/>
    <s v="GOMUKH SANTOSHPUL"/>
    <s v="MPG"/>
    <s v="Direct"/>
    <n v="1200.5999999999999"/>
    <n v="53095.5"/>
    <n v="35.599999999999994"/>
    <n v="1551.8343374026801"/>
    <n v="1165"/>
    <n v="51569.441305878005"/>
    <n v="1200.5999999999999"/>
    <n v="53121.275643280685"/>
    <n v="53095.5"/>
    <n v="0"/>
    <n v="0"/>
    <n v="25.775643280685472"/>
    <n v="0"/>
    <n v="0"/>
    <n v="0"/>
    <n v="1526"/>
    <n v="51569"/>
    <n v="0"/>
    <n v="1"/>
    <n v="0"/>
  </r>
  <r>
    <x v="402"/>
    <s v="GOMUKH AHUNA"/>
    <s v="MPG"/>
    <s v="Direct"/>
    <n v="499.8"/>
    <n v="18403.919999999998"/>
    <n v="513.31999999999994"/>
    <n v="19092.3213975912"/>
    <n v="0"/>
    <n v="0"/>
    <n v="513.31999999999994"/>
    <n v="19092.3213975912"/>
    <n v="18403.919999999998"/>
    <n v="0"/>
    <n v="0"/>
    <n v="688.40139759120211"/>
    <n v="0"/>
    <n v="0"/>
    <n v="0"/>
    <n v="18404"/>
    <n v="0"/>
    <n v="0"/>
    <n v="0"/>
    <n v="0"/>
  </r>
  <r>
    <x v="403"/>
    <s v="GOMUKH SHADIPUR"/>
    <s v="MPG"/>
    <s v="Direct"/>
    <n v="879.69999999999993"/>
    <n v="35572.480000000003"/>
    <n v="889.52999999999986"/>
    <n v="34940.809142242804"/>
    <n v="8.8900000000000023"/>
    <n v="329.02740406800007"/>
    <n v="898.41999999999985"/>
    <n v="35269.836546310806"/>
    <n v="35269.836546310806"/>
    <n v="0"/>
    <n v="329.02740406800007"/>
    <n v="0"/>
    <n v="737"/>
    <n v="0"/>
    <n v="0"/>
    <n v="34204"/>
    <n v="0"/>
    <n v="0"/>
    <n v="302"/>
    <n v="0"/>
  </r>
  <r>
    <x v="404"/>
    <s v="GOMUKH ASHRAPHA DIYARA"/>
    <s v="MPG"/>
    <s v="Direct"/>
    <n v="584.9"/>
    <n v="23337.729999999996"/>
    <n v="572.11"/>
    <n v="22564.792908617699"/>
    <n v="8.67"/>
    <n v="343.11714346800011"/>
    <n v="580.78"/>
    <n v="22907.910052085699"/>
    <n v="22907.910052085699"/>
    <n v="0"/>
    <n v="343.11714346800011"/>
    <n v="0"/>
    <n v="0"/>
    <n v="0"/>
    <n v="0"/>
    <n v="22564"/>
    <n v="0"/>
    <n v="0"/>
    <n v="431"/>
    <n v="0"/>
  </r>
  <r>
    <x v="405"/>
    <s v="GOMUKH MANIAPPA"/>
    <s v="MPG"/>
    <s v="Direct"/>
    <n v="978.50000000000011"/>
    <n v="38630.83"/>
    <n v="974.23"/>
    <n v="38225.708625673804"/>
    <n v="7.3899999999999988"/>
    <n v="290.47872437099994"/>
    <n v="981.62"/>
    <n v="38516.187350044805"/>
    <n v="38516.187350044805"/>
    <n v="0"/>
    <n v="290.47872437099994"/>
    <n v="0"/>
    <n v="0"/>
    <n v="79.005538983050855"/>
    <n v="0"/>
    <n v="38147"/>
    <n v="0"/>
    <n v="0"/>
    <n v="114"/>
    <n v="0"/>
  </r>
  <r>
    <x v="406"/>
    <s v="GOMUKH D SANJHAUTI"/>
    <s v="MPG"/>
    <s v="Direct"/>
    <n v="759.60000000000014"/>
    <n v="27668.470000000005"/>
    <n v="935"/>
    <n v="37226.360556"/>
    <n v="0"/>
    <n v="0"/>
    <n v="935"/>
    <n v="37226.360556"/>
    <n v="27668.470000000005"/>
    <n v="0"/>
    <n v="0"/>
    <n v="9557.8905559999948"/>
    <n v="0"/>
    <n v="0"/>
    <n v="0"/>
    <n v="27668"/>
    <n v="0"/>
    <n v="0"/>
    <n v="0"/>
    <n v="0"/>
  </r>
  <r>
    <x v="407"/>
    <s v="GOMUKH DHUSMURI BISHANPUR"/>
    <s v="MPG"/>
    <s v="Direct"/>
    <n v="264.3"/>
    <n v="10501.939999999999"/>
    <n v="337.15000000000003"/>
    <n v="13574.156454540002"/>
    <n v="0"/>
    <n v="0"/>
    <n v="337.15000000000003"/>
    <n v="13574.156454540002"/>
    <n v="10501.939999999999"/>
    <n v="0"/>
    <n v="0"/>
    <n v="3072.2164545400028"/>
    <n v="0"/>
    <n v="0"/>
    <n v="0"/>
    <n v="10502"/>
    <n v="0"/>
    <n v="0"/>
    <n v="0"/>
    <n v="0"/>
  </r>
  <r>
    <x v="408"/>
    <s v="GOMUKH ANANDPUR PARAS"/>
    <s v="MPG"/>
    <s v="Direct"/>
    <n v="2450.6"/>
    <n v="92436.669999999984"/>
    <n v="2450.6000000000004"/>
    <n v="92436.579081396005"/>
    <n v="0"/>
    <n v="0"/>
    <n v="2450.6000000000004"/>
    <n v="92436.579081396005"/>
    <n v="92436.579081396005"/>
    <n v="0"/>
    <n v="0"/>
    <n v="0"/>
    <n v="0"/>
    <n v="0"/>
    <n v="0"/>
    <n v="92436"/>
    <n v="0"/>
    <n v="0"/>
    <n v="1"/>
    <n v="0"/>
  </r>
  <r>
    <x v="409"/>
    <s v="Gomukh Bishanpur"/>
    <s v="MPG"/>
    <s v="Direct"/>
    <n v="333.8"/>
    <n v="13069.38"/>
    <n v="338.6"/>
    <n v="13170.82873273625"/>
    <n v="0"/>
    <n v="0"/>
    <n v="338.6"/>
    <n v="13170.82873273625"/>
    <n v="13069.38"/>
    <n v="0"/>
    <n v="0"/>
    <n v="101.44873273625126"/>
    <n v="0"/>
    <n v="0"/>
    <n v="0"/>
    <n v="13069"/>
    <n v="0"/>
    <n v="0"/>
    <n v="0"/>
    <n v="0"/>
  </r>
  <r>
    <x v="410"/>
    <s v="GOMUKH BISHANPUR 2"/>
    <s v="MPG"/>
    <s v="Direct"/>
    <n v="759.10000000000014"/>
    <n v="28962.059999999994"/>
    <n v="770.82999999999993"/>
    <n v="28926.749229205481"/>
    <n v="0.84"/>
    <n v="32.15614248"/>
    <n v="771.67"/>
    <n v="28958.90537168548"/>
    <n v="28958.90537168548"/>
    <n v="0"/>
    <n v="32.15614248"/>
    <n v="0"/>
    <n v="0"/>
    <n v="0"/>
    <n v="0"/>
    <n v="28926"/>
    <n v="0"/>
    <n v="0"/>
    <n v="4"/>
    <n v="0"/>
  </r>
  <r>
    <x v="411"/>
    <s v="GOMUKH GHAMARIYA"/>
    <s v="MPG"/>
    <s v="Direct"/>
    <n v="156.30000000000001"/>
    <n v="7148.56"/>
    <n v="156.61999999999998"/>
    <n v="7336.2796463353516"/>
    <n v="3.0400000000000009"/>
    <n v="147.04870789950002"/>
    <n v="159.65999999999997"/>
    <n v="7483.3283542348518"/>
    <n v="7148.56"/>
    <n v="0"/>
    <n v="147.04870789950002"/>
    <n v="334.76835423485136"/>
    <n v="1729"/>
    <n v="12.98417999999997"/>
    <n v="0"/>
    <n v="5260"/>
    <n v="0"/>
    <n v="0"/>
    <n v="0"/>
    <s v="Release1"/>
  </r>
  <r>
    <x v="412"/>
    <s v="GOMUKH MEGHAUMA"/>
    <s v="MPG"/>
    <s v="Direct"/>
    <n v="806.69999999999993"/>
    <n v="32336.440000000002"/>
    <n v="794.7700000000001"/>
    <n v="32778.180904309527"/>
    <n v="11.9"/>
    <n v="531.62131366050005"/>
    <n v="806.67000000000007"/>
    <n v="33309.802217970027"/>
    <n v="32336.440000000002"/>
    <n v="0"/>
    <n v="531.62131366050005"/>
    <n v="973.36221797002509"/>
    <n v="0"/>
    <n v="0"/>
    <n v="0"/>
    <n v="31805"/>
    <n v="0"/>
    <n v="0"/>
    <n v="0"/>
    <n v="0"/>
  </r>
  <r>
    <x v="413"/>
    <s v="GOMUKH AURA"/>
    <s v="MPG"/>
    <s v="Direct"/>
    <n v="809.4"/>
    <n v="29039.98"/>
    <n v="1300"/>
    <n v="53883.858600000007"/>
    <n v="0"/>
    <n v="0"/>
    <n v="1300"/>
    <n v="53883.858600000007"/>
    <n v="29039.98"/>
    <n v="0"/>
    <n v="0"/>
    <n v="24843.878600000007"/>
    <n v="0"/>
    <n v="0"/>
    <n v="0"/>
    <n v="29040"/>
    <n v="0"/>
    <n v="0"/>
    <n v="0"/>
    <n v="0"/>
  </r>
  <r>
    <x v="414"/>
    <s v="GOMUKH BEHORBA"/>
    <s v="MPG"/>
    <s v="Direct"/>
    <n v="670.80000000000007"/>
    <n v="24957.089999999997"/>
    <n v="1072.54"/>
    <n v="43693.6633334586"/>
    <n v="0"/>
    <n v="0"/>
    <n v="1072.54"/>
    <n v="43693.6633334586"/>
    <n v="24957.089999999997"/>
    <n v="0"/>
    <n v="0"/>
    <n v="18736.573333458604"/>
    <n v="13500"/>
    <n v="0"/>
    <n v="0"/>
    <n v="11457"/>
    <n v="0"/>
    <n v="0"/>
    <n v="0"/>
    <s v="Release1"/>
  </r>
  <r>
    <x v="415"/>
    <s v="GOMUKH SAIDPUR SAMASTIPUR"/>
    <s v="MPG"/>
    <s v="Direct"/>
    <n v="682"/>
    <n v="26209.139999999996"/>
    <n v="682"/>
    <n v="26107.698196800004"/>
    <n v="0"/>
    <n v="0"/>
    <n v="682"/>
    <n v="26107.698196800004"/>
    <n v="26107.698196800004"/>
    <n v="0"/>
    <n v="0"/>
    <n v="0"/>
    <n v="0"/>
    <n v="1077.0484064516129"/>
    <n v="0"/>
    <n v="25031"/>
    <n v="0"/>
    <n v="0"/>
    <n v="101"/>
    <n v="0"/>
  </r>
  <r>
    <x v="416"/>
    <s v="GOMUKH PHULTAURA"/>
    <s v="MPG"/>
    <s v="Direct"/>
    <n v="383.3"/>
    <n v="13200.17"/>
    <n v="96.74"/>
    <n v="4692.9864526596994"/>
    <n v="297.34000000000003"/>
    <n v="11867.544859964002"/>
    <n v="394.08000000000004"/>
    <n v="16560.531312623702"/>
    <n v="13200.17"/>
    <n v="0"/>
    <n v="0"/>
    <n v="3360.3613126237015"/>
    <n v="0"/>
    <n v="0"/>
    <n v="0"/>
    <n v="1333"/>
    <n v="11867"/>
    <n v="0"/>
    <n v="0"/>
    <n v="0"/>
  </r>
  <r>
    <x v="417"/>
    <s v="Jangli Tol Vlc "/>
    <s v="vlc"/>
    <s v="Indirect"/>
    <n v="699.8"/>
    <n v="26076.32"/>
    <n v="0"/>
    <n v="0"/>
    <n v="0"/>
    <n v="0"/>
    <n v="0"/>
    <n v="0"/>
    <n v="26076.32"/>
    <n v="0"/>
    <n v="0"/>
    <n v="0"/>
    <n v="1300"/>
    <n v="253.95613548387095"/>
    <n v="0"/>
    <n v="0"/>
    <n v="0"/>
    <n v="24522.36386451613"/>
    <n v="0"/>
    <n v="0"/>
  </r>
  <r>
    <x v="418"/>
    <s v="DILKHUSH KUMAR "/>
    <s v="vlc"/>
    <s v="Indirect"/>
    <n v="260.29999999999995"/>
    <n v="9705.33"/>
    <n v="0"/>
    <n v="0"/>
    <n v="0"/>
    <n v="0"/>
    <n v="0"/>
    <n v="0"/>
    <n v="9705.33"/>
    <n v="0"/>
    <n v="0"/>
    <n v="0"/>
    <n v="0"/>
    <n v="0"/>
    <n v="0"/>
    <n v="0"/>
    <n v="0"/>
    <n v="9705.33"/>
    <n v="0"/>
    <n v="0"/>
  </r>
  <r>
    <x v="419"/>
    <s v="GOMUKH CHOWKI 2"/>
    <s v="MPG"/>
    <s v="Direct"/>
    <n v="5650.5999999999995"/>
    <n v="210244.23000000004"/>
    <n v="4959.420000000001"/>
    <n v="190359.63830599139"/>
    <n v="673.84"/>
    <n v="25779.705322168404"/>
    <n v="5633.2600000000011"/>
    <n v="216139.34362815978"/>
    <n v="210244.23000000004"/>
    <n v="0"/>
    <n v="0"/>
    <n v="5895.1136281597428"/>
    <n v="0"/>
    <n v="0"/>
    <n v="0"/>
    <n v="184465"/>
    <n v="25779"/>
    <n v="0"/>
    <n v="0"/>
    <n v="0"/>
  </r>
  <r>
    <x v="420"/>
    <s v="GOMUKH MOHABA"/>
    <s v="MPG"/>
    <s v="Direct"/>
    <n v="1455.8000000000002"/>
    <n v="54487.310000000005"/>
    <n v="1023"/>
    <n v="38291.667681960011"/>
    <n v="432.8"/>
    <n v="16186.889727360003"/>
    <n v="1455.8"/>
    <n v="54478.557409320012"/>
    <n v="54478.557409320012"/>
    <n v="0"/>
    <n v="104.86383336000002"/>
    <n v="0"/>
    <n v="0"/>
    <n v="0"/>
    <n v="0"/>
    <n v="38291"/>
    <n v="16082"/>
    <n v="0"/>
    <n v="9"/>
    <n v="0"/>
  </r>
  <r>
    <x v="421"/>
    <s v="SANHA VLC"/>
    <s v="vlc"/>
    <s v="Indirect"/>
    <n v="732.80000000000007"/>
    <n v="24746.089999999997"/>
    <n v="0"/>
    <n v="0"/>
    <n v="0"/>
    <n v="0"/>
    <n v="0"/>
    <n v="0"/>
    <n v="24746.089999999997"/>
    <n v="0"/>
    <n v="0"/>
    <n v="0"/>
    <n v="0"/>
    <n v="0"/>
    <n v="0"/>
    <n v="0"/>
    <n v="0"/>
    <n v="24746.089999999997"/>
    <n v="0"/>
    <n v="0"/>
  </r>
  <r>
    <x v="422"/>
    <s v="MOHANPUR VLC"/>
    <s v="vlc"/>
    <s v="Indirect"/>
    <n v="1120.8"/>
    <n v="41046.19"/>
    <n v="0"/>
    <n v="0"/>
    <n v="0"/>
    <n v="0"/>
    <n v="0"/>
    <n v="0"/>
    <n v="41046.19"/>
    <n v="0"/>
    <n v="0"/>
    <n v="0"/>
    <n v="0"/>
    <n v="0"/>
    <n v="0"/>
    <n v="0"/>
    <n v="0"/>
    <n v="41046.19"/>
    <n v="0"/>
    <n v="0"/>
  </r>
  <r>
    <x v="423"/>
    <s v="GOMUKH JANGLITOL"/>
    <s v="MPG"/>
    <s v="Direct"/>
    <n v="325.10000000000002"/>
    <n v="12917.900000000001"/>
    <n v="325"/>
    <n v="12827.451780000001"/>
    <n v="0"/>
    <n v="0"/>
    <n v="325"/>
    <n v="12827.451780000001"/>
    <n v="12827.451780000001"/>
    <n v="0"/>
    <n v="0"/>
    <n v="0"/>
    <n v="0"/>
    <n v="0"/>
    <n v="0"/>
    <n v="12828"/>
    <n v="0"/>
    <n v="0"/>
    <n v="90"/>
    <n v="0"/>
  </r>
  <r>
    <x v="425"/>
    <s v="Gomukh Raghunathpur 2 "/>
    <s v="MPG"/>
    <s v="Direct"/>
    <n v="29"/>
    <n v="1008.08"/>
    <n v="29.000000000000004"/>
    <n v="1014.526500768"/>
    <n v="0"/>
    <n v="0"/>
    <n v="29.000000000000004"/>
    <n v="1014.526500768"/>
    <n v="1008.08"/>
    <n v="0"/>
    <n v="0"/>
    <n v="6.4465007679999644"/>
    <n v="0"/>
    <n v="23.094020689655171"/>
    <n v="0"/>
    <n v="984"/>
    <n v="0"/>
    <n v="0"/>
    <n v="1"/>
    <n v="0"/>
  </r>
  <r>
    <x v="426"/>
    <s v="GOMUKH BARBIGHI"/>
    <s v="MPG"/>
    <s v="Direct"/>
    <n v="1362.4"/>
    <n v="49434.289999999994"/>
    <n v="1327.6000000000001"/>
    <n v="49924.951104599997"/>
    <n v="5.5999999999999988"/>
    <n v="212.97499344000005"/>
    <n v="1333.2"/>
    <n v="50137.926098039999"/>
    <n v="49434.289999999994"/>
    <n v="0"/>
    <n v="212.97499344000005"/>
    <n v="703.63609804000589"/>
    <n v="20250"/>
    <n v="0"/>
    <n v="0"/>
    <n v="28971"/>
    <n v="0"/>
    <n v="0"/>
    <n v="0"/>
    <s v="Release2"/>
  </r>
  <r>
    <x v="427"/>
    <s v="Dandari-2"/>
    <s v="MPG"/>
    <s v="Direct"/>
    <n v="329.69999999999993"/>
    <n v="11691.639999999998"/>
    <n v="329.5"/>
    <n v="11706.565993254002"/>
    <n v="0"/>
    <n v="0"/>
    <n v="329.5"/>
    <n v="11706.565993254002"/>
    <n v="11691.639999999998"/>
    <n v="0"/>
    <n v="0"/>
    <n v="14.925993254004425"/>
    <n v="0"/>
    <n v="0"/>
    <n v="0"/>
    <n v="11692"/>
    <n v="0"/>
    <n v="0"/>
    <n v="0"/>
    <n v="0"/>
  </r>
  <r>
    <x v="428"/>
    <s v="Barkhanditol"/>
    <s v="vlc"/>
    <s v="Indirect"/>
    <n v="545"/>
    <n v="22159.64"/>
    <n v="0"/>
    <n v="0"/>
    <n v="0"/>
    <n v="0"/>
    <n v="0"/>
    <n v="0"/>
    <n v="22159.64"/>
    <n v="0"/>
    <n v="0"/>
    <n v="0"/>
    <n v="0"/>
    <n v="107.30074838709685"/>
    <n v="0"/>
    <n v="0"/>
    <n v="0"/>
    <n v="22052.339251612902"/>
    <n v="0"/>
    <n v="0"/>
  </r>
  <r>
    <x v="429"/>
    <s v="Chauki-VLC"/>
    <s v="vlc"/>
    <s v="Indirect"/>
    <n v="92.799999999999983"/>
    <n v="3242.15"/>
    <n v="0"/>
    <n v="0"/>
    <n v="0"/>
    <n v="0"/>
    <n v="0"/>
    <n v="0"/>
    <n v="3242.15"/>
    <n v="0"/>
    <n v="0"/>
    <n v="0"/>
    <n v="0"/>
    <n v="140.26606451612909"/>
    <n v="0"/>
    <n v="0"/>
    <n v="0"/>
    <n v="3101.883935483871"/>
    <n v="0"/>
    <n v="0"/>
  </r>
  <r>
    <x v="430"/>
    <s v="Hardia"/>
    <s v="MPG"/>
    <s v="Direct"/>
    <n v="564.89999999999986"/>
    <n v="23111.3"/>
    <n v="548.00000000000011"/>
    <n v="22722.285137300998"/>
    <n v="4.6999999999999993"/>
    <n v="237.13852589660002"/>
    <n v="552.70000000000016"/>
    <n v="22959.423663197598"/>
    <n v="22959.423663197598"/>
    <n v="0"/>
    <n v="237.13852589660002"/>
    <n v="0"/>
    <n v="0"/>
    <n v="0"/>
    <n v="0"/>
    <n v="22722"/>
    <n v="0"/>
    <n v="0"/>
    <n v="152"/>
    <n v="0"/>
  </r>
  <r>
    <x v="431"/>
    <s v="Pachveer"/>
    <s v="vlc"/>
    <s v="Indirect"/>
    <n v="11857.3"/>
    <n v="443645.53000000009"/>
    <n v="0"/>
    <n v="0"/>
    <n v="0"/>
    <n v="0"/>
    <n v="0"/>
    <n v="0"/>
    <n v="443645.53000000009"/>
    <n v="0"/>
    <n v="0"/>
    <n v="0"/>
    <n v="0"/>
    <n v="0"/>
    <n v="0"/>
    <n v="0"/>
    <n v="0"/>
    <n v="443645.53000000009"/>
    <n v="0"/>
    <n v="0"/>
  </r>
  <r>
    <x v="433"/>
    <s v="Mathar-3"/>
    <s v="vlc"/>
    <s v="Indirect"/>
    <n v="2770.7000000000003"/>
    <n v="112543.15999999999"/>
    <n v="0"/>
    <n v="0"/>
    <n v="0"/>
    <n v="0"/>
    <n v="0"/>
    <n v="0"/>
    <n v="112543.15999999999"/>
    <n v="0"/>
    <n v="0"/>
    <n v="0"/>
    <n v="0"/>
    <n v="0"/>
    <n v="0"/>
    <n v="0"/>
    <n v="0"/>
    <n v="112543.15999999999"/>
    <n v="0"/>
    <n v="0"/>
  </r>
  <r>
    <x v="434"/>
    <s v="Ahoghat"/>
    <s v="vlc"/>
    <s v="Indirect"/>
    <n v="405.2"/>
    <n v="15192.05"/>
    <n v="0"/>
    <n v="0"/>
    <n v="0"/>
    <n v="0"/>
    <n v="0"/>
    <n v="0"/>
    <n v="15192.05"/>
    <n v="0"/>
    <n v="0"/>
    <n v="0"/>
    <n v="0"/>
    <n v="0"/>
    <n v="0"/>
    <n v="0"/>
    <n v="0"/>
    <n v="15192.05"/>
    <n v="0"/>
    <n v="0"/>
  </r>
  <r>
    <x v="435"/>
    <s v="Mathar-4"/>
    <s v="vlc"/>
    <s v="Indirect"/>
    <n v="356.49999999999994"/>
    <n v="12898.09"/>
    <n v="0"/>
    <n v="0"/>
    <n v="0"/>
    <n v="0"/>
    <n v="0"/>
    <n v="0"/>
    <n v="12898.09"/>
    <n v="0"/>
    <n v="0"/>
    <n v="0"/>
    <n v="2600"/>
    <n v="0"/>
    <n v="0"/>
    <n v="0"/>
    <n v="0"/>
    <n v="10298.09"/>
    <n v="0"/>
    <n v="0"/>
  </r>
  <r>
    <x v="436"/>
    <s v="Farid Nagar"/>
    <s v="MPG"/>
    <s v="Direct"/>
    <n v="286.3"/>
    <n v="10450.690000000002"/>
    <n v="286"/>
    <n v="10684.118016"/>
    <n v="0"/>
    <n v="0"/>
    <n v="286"/>
    <n v="10684.118016"/>
    <n v="10450.690000000002"/>
    <n v="0"/>
    <n v="0"/>
    <n v="233.42801599999802"/>
    <n v="0"/>
    <n v="0"/>
    <n v="0"/>
    <n v="10451"/>
    <n v="0"/>
    <n v="0"/>
    <n v="0"/>
    <n v="0"/>
  </r>
  <r>
    <x v="935"/>
    <s v="Sadpur-2"/>
    <s v="MPG"/>
    <s v="Direct"/>
    <n v="286.7"/>
    <n v="10292.650000000001"/>
    <n v="286"/>
    <n v="10083.84252876"/>
    <n v="0"/>
    <n v="0"/>
    <n v="286"/>
    <n v="10083.84252876"/>
    <n v="10083.84252876"/>
    <n v="0"/>
    <n v="0"/>
    <n v="0"/>
    <n v="0"/>
    <n v="0"/>
    <n v="0"/>
    <n v="10084"/>
    <n v="0"/>
    <n v="0"/>
    <n v="209"/>
    <n v="0"/>
  </r>
  <r>
    <x v="996"/>
    <s v="Phulmalik"/>
    <s v="vlc"/>
    <s v="Indirect"/>
    <n v="851.59999999999991"/>
    <n v="31973.760000000002"/>
    <n v="0"/>
    <n v="0"/>
    <n v="0"/>
    <n v="0"/>
    <n v="0"/>
    <n v="0"/>
    <n v="31973.760000000002"/>
    <n v="0"/>
    <n v="0"/>
    <n v="0"/>
    <n v="0"/>
    <n v="0"/>
    <n v="0"/>
    <n v="0"/>
    <n v="0"/>
    <n v="31973.760000000002"/>
    <n v="0"/>
    <n v="0"/>
  </r>
  <r>
    <x v="437"/>
    <s v="GOMUKH SUBHANPUR"/>
    <s v="vlc"/>
    <s v="Indirect"/>
    <n v="203.72000000000003"/>
    <n v="9323.83"/>
    <n v="0"/>
    <n v="0"/>
    <n v="0"/>
    <n v="0"/>
    <n v="0"/>
    <n v="0"/>
    <n v="9323.83"/>
    <n v="0"/>
    <n v="0"/>
    <n v="0"/>
    <n v="2328"/>
    <n v="0"/>
    <n v="0"/>
    <n v="0"/>
    <n v="0"/>
    <n v="6995.83"/>
    <n v="0"/>
    <n v="0"/>
  </r>
  <r>
    <x v="438"/>
    <s v="GOMUKH  BHAJANGAMA"/>
    <s v="vlc"/>
    <s v="Indirect"/>
    <n v="404.01999999999992"/>
    <n v="15407.620000000003"/>
    <n v="0"/>
    <n v="0"/>
    <n v="0"/>
    <n v="0"/>
    <n v="0"/>
    <n v="0"/>
    <n v="15407.620000000003"/>
    <n v="0"/>
    <n v="0"/>
    <n v="0"/>
    <n v="3000"/>
    <n v="40.219240645161214"/>
    <n v="0"/>
    <n v="0"/>
    <n v="0"/>
    <n v="12367.400759354841"/>
    <n v="0"/>
    <n v="0"/>
  </r>
  <r>
    <x v="439"/>
    <s v="Gomukh Basadhiya Kurni"/>
    <s v="MPG"/>
    <s v="Direct"/>
    <n v="364.74000000000007"/>
    <n v="13590.68"/>
    <n v="349.81"/>
    <n v="13849.548816230003"/>
    <n v="0"/>
    <n v="0"/>
    <n v="349.81"/>
    <n v="13849.548816230003"/>
    <n v="13590.68"/>
    <n v="0"/>
    <n v="0"/>
    <n v="258.86881623000227"/>
    <n v="0"/>
    <n v="0"/>
    <n v="0"/>
    <n v="13591"/>
    <n v="0"/>
    <n v="0"/>
    <n v="0"/>
    <n v="0"/>
  </r>
  <r>
    <x v="440"/>
    <s v="KHAJURI"/>
    <s v="MPG"/>
    <s v="Direct"/>
    <n v="412.26"/>
    <n v="14840.01"/>
    <n v="361.38"/>
    <n v="14138.968861290603"/>
    <n v="16.8"/>
    <n v="700.27998696449993"/>
    <n v="378.18"/>
    <n v="14839.248848255103"/>
    <n v="14839.248848255103"/>
    <n v="0"/>
    <n v="17.530048800000003"/>
    <n v="0"/>
    <n v="0"/>
    <n v="0"/>
    <n v="0"/>
    <n v="14139"/>
    <n v="683"/>
    <n v="0"/>
    <n v="0"/>
    <n v="0"/>
  </r>
  <r>
    <x v="441"/>
    <s v="ARMAULI-2"/>
    <s v="MPG"/>
    <s v="Direct"/>
    <n v="1240.1599999999996"/>
    <n v="48432.95"/>
    <n v="1234.7400000000002"/>
    <n v="48461.276195559942"/>
    <n v="15.399999999999999"/>
    <n v="602.90056530000015"/>
    <n v="1250.1400000000003"/>
    <n v="49064.17676085994"/>
    <n v="48432.95"/>
    <n v="0"/>
    <n v="602.90056530000015"/>
    <n v="631.22676085994317"/>
    <n v="4907"/>
    <n v="0"/>
    <n v="0"/>
    <n v="42923"/>
    <n v="0"/>
    <n v="0"/>
    <n v="0"/>
    <n v="0"/>
  </r>
  <r>
    <x v="442"/>
    <s v="MUSAPUR - 2"/>
    <s v="vlc"/>
    <s v="Indirect"/>
    <n v="62.690000000000005"/>
    <n v="2028.96"/>
    <n v="0"/>
    <n v="0"/>
    <n v="0"/>
    <n v="0"/>
    <n v="0"/>
    <n v="0"/>
    <n v="2028.96"/>
    <n v="0"/>
    <n v="0"/>
    <n v="0"/>
    <n v="0"/>
    <n v="0"/>
    <n v="0"/>
    <n v="0"/>
    <n v="0"/>
    <n v="2028.96"/>
    <n v="0"/>
    <n v="0"/>
  </r>
  <r>
    <x v="443"/>
    <s v="Janganath Pur"/>
    <s v="vlc"/>
    <s v="Indirect"/>
    <n v="1830.9099999999999"/>
    <n v="73732.87"/>
    <n v="0"/>
    <n v="0"/>
    <n v="0"/>
    <n v="0"/>
    <n v="0"/>
    <n v="0"/>
    <n v="73732.87"/>
    <n v="0"/>
    <n v="0"/>
    <n v="0"/>
    <n v="4050"/>
    <n v="0"/>
    <n v="0"/>
    <n v="0"/>
    <n v="0"/>
    <n v="69682.87"/>
    <n v="0"/>
    <n v="0"/>
  </r>
  <r>
    <x v="444"/>
    <s v="Nagargama"/>
    <s v="vlc"/>
    <s v="Indirect"/>
    <n v="431.67"/>
    <n v="16466.689999999999"/>
    <n v="0"/>
    <n v="0"/>
    <n v="0"/>
    <n v="0"/>
    <n v="0"/>
    <n v="0"/>
    <n v="16466.689999999999"/>
    <n v="0"/>
    <n v="0"/>
    <n v="0"/>
    <n v="0"/>
    <n v="0"/>
    <n v="0"/>
    <n v="0"/>
    <n v="0"/>
    <n v="16466.689999999999"/>
    <n v="0"/>
    <n v="0"/>
  </r>
  <r>
    <x v="445"/>
    <s v="Sato Ghachchhi"/>
    <s v="MPG"/>
    <s v="Direct"/>
    <n v="865.15"/>
    <n v="36547.029999999992"/>
    <n v="851.69999999999982"/>
    <n v="37097.625376276614"/>
    <n v="14.7"/>
    <n v="628.97004324"/>
    <n v="866.39999999999986"/>
    <n v="37726.595419516612"/>
    <n v="36547.029999999992"/>
    <n v="0"/>
    <n v="628.97004324"/>
    <n v="1179.5654195166208"/>
    <n v="0"/>
    <n v="0"/>
    <n v="0"/>
    <n v="35918"/>
    <n v="0"/>
    <n v="0"/>
    <n v="0"/>
    <n v="0"/>
  </r>
  <r>
    <x v="446"/>
    <s v="Bhatgama"/>
    <s v="vlc"/>
    <s v="Indirect"/>
    <n v="318.68"/>
    <n v="10547.53"/>
    <n v="0"/>
    <n v="0"/>
    <n v="0"/>
    <n v="0"/>
    <n v="0"/>
    <n v="0"/>
    <n v="10547.53"/>
    <n v="0"/>
    <n v="0"/>
    <n v="0"/>
    <n v="2700"/>
    <n v="0"/>
    <n v="0"/>
    <n v="0"/>
    <n v="0"/>
    <n v="7847.5300000000007"/>
    <n v="0"/>
    <n v="0"/>
  </r>
  <r>
    <x v="447"/>
    <s v="Borna Rasalpur"/>
    <s v="MPG"/>
    <s v="Direct"/>
    <n v="1019"/>
    <n v="40128.700000000004"/>
    <n v="690.69"/>
    <n v="29219.157393964906"/>
    <n v="462.6"/>
    <n v="18567.496720080002"/>
    <n v="1153.29"/>
    <n v="47786.654114044912"/>
    <n v="40128.700000000004"/>
    <n v="0"/>
    <n v="0"/>
    <n v="7657.9541140449073"/>
    <n v="0"/>
    <n v="0"/>
    <n v="0"/>
    <n v="21561"/>
    <n v="18568"/>
    <n v="0"/>
    <n v="0"/>
    <n v="0"/>
  </r>
  <r>
    <x v="448"/>
    <s v="Rasalpur"/>
    <s v="MPG"/>
    <s v="Direct"/>
    <n v="1364.07"/>
    <n v="51106.029999999984"/>
    <n v="1383.3700000000001"/>
    <n v="52051.476412686156"/>
    <n v="161.37"/>
    <n v="5967.6519309280802"/>
    <n v="1544.7400000000002"/>
    <n v="58019.128343614233"/>
    <n v="51106.029999999984"/>
    <n v="0"/>
    <n v="0"/>
    <n v="6913.0983436142487"/>
    <n v="1350"/>
    <n v="0"/>
    <n v="0"/>
    <n v="43788"/>
    <n v="5968"/>
    <n v="0"/>
    <n v="0"/>
    <n v="0"/>
  </r>
  <r>
    <x v="449"/>
    <s v="Narahan"/>
    <s v="MPG"/>
    <s v="Direct"/>
    <n v="268.84999999999997"/>
    <n v="9531.81"/>
    <n v="283.06"/>
    <n v="9953.2046450628004"/>
    <n v="4.7500000000000009"/>
    <n v="167.26294258740003"/>
    <n v="287.81"/>
    <n v="10120.467587650201"/>
    <n v="9531.81"/>
    <n v="0"/>
    <n v="167.26294258740003"/>
    <n v="588.65758765020109"/>
    <n v="4217"/>
    <n v="0"/>
    <n v="0"/>
    <n v="5148"/>
    <n v="0"/>
    <n v="0"/>
    <n v="0"/>
    <s v="Release1"/>
  </r>
  <r>
    <x v="450"/>
    <s v="Gomukh Dumduma"/>
    <s v="MPG"/>
    <s v="Direct"/>
    <n v="441.85000000000008"/>
    <n v="16736.54"/>
    <n v="457.94000000000005"/>
    <n v="17492.219314920003"/>
    <n v="0"/>
    <n v="0"/>
    <n v="457.94000000000005"/>
    <n v="17492.219314920003"/>
    <n v="16736.54"/>
    <n v="0"/>
    <n v="0"/>
    <n v="755.67931492000207"/>
    <n v="0"/>
    <n v="0"/>
    <n v="0"/>
    <n v="16737"/>
    <n v="0"/>
    <n v="0"/>
    <n v="0"/>
    <n v="0"/>
  </r>
  <r>
    <x v="451"/>
    <s v="SUPOL"/>
    <s v="MPG"/>
    <s v="Direct"/>
    <n v="208.88000000000002"/>
    <n v="7832.96"/>
    <n v="298"/>
    <n v="12351.838356"/>
    <n v="0"/>
    <n v="0"/>
    <n v="298"/>
    <n v="12351.838356"/>
    <n v="7832.96"/>
    <n v="0"/>
    <n v="0"/>
    <n v="4518.8783560000002"/>
    <n v="0"/>
    <n v="50.011949032258066"/>
    <n v="0"/>
    <n v="7783"/>
    <n v="0"/>
    <n v="0"/>
    <n v="0"/>
    <n v="0"/>
  </r>
  <r>
    <x v="452"/>
    <s v="BHUSARAI"/>
    <s v="MPG"/>
    <s v="Direct"/>
    <n v="234.58"/>
    <n v="8771.0300000000007"/>
    <n v="138.83000000000001"/>
    <n v="5092.2740296494012"/>
    <n v="103.88000000000001"/>
    <n v="3793.0193835930004"/>
    <n v="242.71000000000004"/>
    <n v="8885.2934132424016"/>
    <n v="8771.0300000000007"/>
    <n v="0"/>
    <n v="119.43377176500002"/>
    <n v="114.26341324240093"/>
    <n v="0"/>
    <n v="0"/>
    <n v="0"/>
    <n v="4978"/>
    <n v="3674"/>
    <n v="0"/>
    <n v="0"/>
    <n v="0"/>
  </r>
  <r>
    <x v="453"/>
    <s v="Gomukha Jounapur"/>
    <s v="vlc"/>
    <s v="Indirect"/>
    <n v="175.07"/>
    <n v="7735.6399999999994"/>
    <n v="0"/>
    <n v="0"/>
    <n v="0"/>
    <n v="0"/>
    <n v="0"/>
    <n v="0"/>
    <n v="7735.6399999999994"/>
    <n v="0"/>
    <n v="0"/>
    <n v="0"/>
    <n v="0"/>
    <n v="9.4137348387096615"/>
    <n v="0"/>
    <n v="0"/>
    <n v="0"/>
    <n v="7726.22626516129"/>
    <n v="0"/>
    <n v="0"/>
  </r>
  <r>
    <x v="454"/>
    <s v="Patailliya"/>
    <s v="vlc"/>
    <s v="Indirect"/>
    <n v="296.08"/>
    <n v="10276.16"/>
    <n v="0"/>
    <n v="0"/>
    <n v="0"/>
    <n v="0"/>
    <n v="0"/>
    <n v="0"/>
    <n v="10276.16"/>
    <n v="0"/>
    <n v="0"/>
    <n v="0"/>
    <n v="2700"/>
    <n v="0"/>
    <n v="0"/>
    <n v="0"/>
    <n v="0"/>
    <n v="7576.16"/>
    <n v="0"/>
    <n v="0"/>
  </r>
  <r>
    <x v="455"/>
    <s v="Badiya"/>
    <s v="vlc"/>
    <s v="Indirect"/>
    <n v="246.3"/>
    <n v="8358.73"/>
    <n v="0"/>
    <n v="0"/>
    <n v="0"/>
    <n v="0"/>
    <n v="0"/>
    <n v="0"/>
    <n v="8358.73"/>
    <n v="0"/>
    <n v="0"/>
    <n v="0"/>
    <n v="0"/>
    <n v="0"/>
    <n v="0"/>
    <n v="0"/>
    <n v="0"/>
    <n v="8358.73"/>
    <n v="0"/>
    <n v="0"/>
  </r>
  <r>
    <x v="456"/>
    <s v="Gomukh Tabhka"/>
    <s v="MPG"/>
    <s v="Direct"/>
    <n v="2733.9100000000003"/>
    <n v="108705.90999999999"/>
    <n v="1757.97"/>
    <n v="79649.098109782019"/>
    <n v="1049.48"/>
    <n v="41306.878149387652"/>
    <n v="2807.45"/>
    <n v="120955.97625916966"/>
    <n v="108705.90999999999"/>
    <n v="0"/>
    <n v="642.38641394399986"/>
    <n v="12250.066259169675"/>
    <n v="2700"/>
    <n v="0"/>
    <n v="0"/>
    <n v="64699"/>
    <n v="40665"/>
    <n v="0"/>
    <n v="0"/>
    <s v="Release1"/>
  </r>
  <r>
    <x v="457"/>
    <s v="Ghato"/>
    <s v="vlc"/>
    <s v="Indirect"/>
    <n v="41.83"/>
    <n v="1228.6199999999999"/>
    <n v="0"/>
    <n v="0"/>
    <n v="0"/>
    <n v="0"/>
    <n v="0"/>
    <n v="0"/>
    <n v="1228.6199999999999"/>
    <n v="0"/>
    <n v="0"/>
    <n v="0"/>
    <n v="0"/>
    <n v="0"/>
    <n v="0"/>
    <n v="0"/>
    <n v="0"/>
    <n v="1228.6199999999999"/>
    <n v="0"/>
    <n v="0"/>
  </r>
  <r>
    <x v="458"/>
    <s v="RAMNATHPUR                                                                                          "/>
    <s v="MPG"/>
    <s v="Direct"/>
    <n v="838.26999999999987"/>
    <n v="32337.420000000002"/>
    <n v="556.52"/>
    <n v="21034.601552058321"/>
    <n v="333.37"/>
    <n v="12001.742083187999"/>
    <n v="889.89"/>
    <n v="33036.343635246318"/>
    <n v="32337.420000000002"/>
    <n v="0"/>
    <n v="269.40256081200005"/>
    <n v="698.92363524631583"/>
    <n v="1350"/>
    <n v="0"/>
    <n v="0"/>
    <n v="18986"/>
    <n v="11732"/>
    <n v="0"/>
    <n v="0"/>
    <n v="0"/>
  </r>
  <r>
    <x v="459"/>
    <s v="DESUA"/>
    <s v="MPG"/>
    <s v="Direct"/>
    <n v="400.21"/>
    <n v="14989.380000000001"/>
    <n v="356.3"/>
    <n v="13497.383528521859"/>
    <n v="53.3"/>
    <n v="1936.5225660000006"/>
    <n v="409.6"/>
    <n v="15433.906094521859"/>
    <n v="14989.380000000001"/>
    <n v="0"/>
    <n v="10.850716800000001"/>
    <n v="444.52609452185789"/>
    <n v="2700"/>
    <n v="0"/>
    <n v="0"/>
    <n v="10353"/>
    <n v="1926"/>
    <n v="0"/>
    <n v="0"/>
    <n v="0"/>
  </r>
  <r>
    <x v="460"/>
    <s v="Matior"/>
    <s v="MPG"/>
    <s v="Direct"/>
    <n v="107.00999999999999"/>
    <n v="4110.74"/>
    <n v="107.00999999999999"/>
    <n v="4114.9743574676004"/>
    <n v="0"/>
    <n v="0"/>
    <n v="107.00999999999999"/>
    <n v="4114.9743574676004"/>
    <n v="4110.74"/>
    <n v="0"/>
    <n v="0"/>
    <n v="4.2343574676006028"/>
    <n v="3000"/>
    <n v="0"/>
    <n v="0"/>
    <n v="1111"/>
    <n v="0"/>
    <n v="0"/>
    <n v="0"/>
    <n v="0"/>
  </r>
  <r>
    <x v="461"/>
    <s v="TELGAMA"/>
    <s v="vlc"/>
    <s v="Indirect"/>
    <n v="427.35999999999996"/>
    <n v="16874.810000000001"/>
    <n v="0"/>
    <n v="0"/>
    <n v="0"/>
    <n v="0"/>
    <n v="0"/>
    <n v="0"/>
    <n v="16874.810000000001"/>
    <n v="0"/>
    <n v="0"/>
    <n v="0"/>
    <n v="0"/>
    <n v="0"/>
    <n v="0"/>
    <n v="0"/>
    <n v="0"/>
    <n v="16874.810000000001"/>
    <n v="0"/>
    <n v="0"/>
  </r>
  <r>
    <x v="462"/>
    <s v="GOMUKH TATARPUR"/>
    <s v="MPG"/>
    <s v="Direct"/>
    <n v="168.87"/>
    <n v="7592.1100000000006"/>
    <n v="168.79999999999995"/>
    <n v="7626.5650494696711"/>
    <n v="0"/>
    <n v="0"/>
    <n v="168.79999999999995"/>
    <n v="7626.5650494696711"/>
    <n v="7592.1100000000006"/>
    <n v="0"/>
    <n v="0"/>
    <n v="34.455049469670485"/>
    <n v="0"/>
    <n v="0"/>
    <n v="0"/>
    <n v="7592"/>
    <n v="0"/>
    <n v="0"/>
    <n v="0"/>
    <n v="0"/>
  </r>
  <r>
    <x v="463"/>
    <s v="Gomukh Ghataho"/>
    <s v="MPG"/>
    <s v="Direct"/>
    <n v="2017.76"/>
    <n v="73514.559999999998"/>
    <n v="1498.2"/>
    <n v="55893.636838904087"/>
    <n v="454.7"/>
    <n v="17612.75899553455"/>
    <n v="1952.9"/>
    <n v="73506.395834438634"/>
    <n v="73506.395834438634"/>
    <n v="0"/>
    <n v="557.24076144000014"/>
    <n v="0"/>
    <n v="0"/>
    <n v="0"/>
    <n v="0"/>
    <n v="55895"/>
    <n v="17053"/>
    <n v="0"/>
    <n v="9"/>
    <n v="0"/>
  </r>
  <r>
    <x v="464"/>
    <s v="Kacha - Amarjeet"/>
    <s v="vlc"/>
    <s v="Indirect"/>
    <n v="404.49000000000007"/>
    <n v="18563.429999999997"/>
    <n v="0"/>
    <n v="0"/>
    <n v="0"/>
    <n v="0"/>
    <n v="0"/>
    <n v="0"/>
    <n v="18563.429999999997"/>
    <n v="0"/>
    <n v="0"/>
    <n v="0"/>
    <n v="3000"/>
    <n v="92.03834129032262"/>
    <n v="0"/>
    <n v="0"/>
    <n v="0"/>
    <n v="15471.391658709674"/>
    <n v="0"/>
    <n v="0"/>
  </r>
  <r>
    <x v="465"/>
    <s v="Simri - Suman"/>
    <s v="vlc"/>
    <s v="Indirect"/>
    <n v="991.5999999999998"/>
    <n v="48414.460000000006"/>
    <n v="0"/>
    <n v="0"/>
    <n v="0"/>
    <n v="0"/>
    <n v="0"/>
    <n v="0"/>
    <n v="48414.460000000006"/>
    <n v="0"/>
    <n v="0"/>
    <n v="0"/>
    <n v="0"/>
    <n v="0"/>
    <n v="0"/>
    <n v="0"/>
    <n v="0"/>
    <n v="48414.460000000006"/>
    <n v="0"/>
    <n v="0"/>
  </r>
  <r>
    <x v="466"/>
    <s v="Narenpur"/>
    <s v="MPG"/>
    <s v="Direct"/>
    <n v="315.63000000000005"/>
    <n v="12660.2"/>
    <n v="83.62"/>
    <n v="3566.2825538401003"/>
    <n v="222.71"/>
    <n v="9090.7891385818602"/>
    <n v="306.33000000000004"/>
    <n v="12657.07169242196"/>
    <n v="12657.07169242196"/>
    <n v="0"/>
    <n v="0"/>
    <n v="0"/>
    <n v="0"/>
    <n v="37.209070819672128"/>
    <n v="0"/>
    <n v="3529"/>
    <n v="9091"/>
    <n v="0"/>
    <n v="3"/>
    <n v="0"/>
  </r>
  <r>
    <x v="467"/>
    <s v="Mordiba"/>
    <s v="MPG"/>
    <s v="Direct"/>
    <n v="1579.48"/>
    <n v="61831.130000000012"/>
    <n v="1026.5399999999997"/>
    <n v="40263.249241264697"/>
    <n v="552.83999999999992"/>
    <n v="20998.227712119231"/>
    <n v="1579.3799999999997"/>
    <n v="61261.476953383928"/>
    <n v="61261.476953383928"/>
    <n v="0"/>
    <n v="0"/>
    <n v="0"/>
    <n v="5400"/>
    <n v="0"/>
    <n v="0"/>
    <n v="34864"/>
    <n v="20999"/>
    <n v="0"/>
    <n v="568"/>
    <n v="0"/>
  </r>
  <r>
    <x v="468"/>
    <s v="Jagdispur"/>
    <s v="MPG"/>
    <s v="Direct"/>
    <n v="260.31"/>
    <n v="9547.4999999999982"/>
    <n v="265.43"/>
    <n v="9196.7644351762265"/>
    <n v="0"/>
    <n v="0"/>
    <n v="265.43"/>
    <n v="9196.7644351762265"/>
    <n v="9196.7644351762265"/>
    <n v="0"/>
    <n v="0"/>
    <n v="0"/>
    <n v="1350"/>
    <n v="0"/>
    <n v="0"/>
    <n v="7847"/>
    <n v="0"/>
    <n v="0"/>
    <n v="350"/>
    <s v="Release2"/>
  </r>
  <r>
    <x v="469"/>
    <s v="Chaklal Sahi_Vikrant"/>
    <s v="vlc"/>
    <s v="Indirect"/>
    <n v="1695"/>
    <n v="62406.05"/>
    <n v="0"/>
    <n v="0"/>
    <n v="0"/>
    <n v="0"/>
    <n v="0"/>
    <n v="0"/>
    <n v="62406.05"/>
    <n v="0"/>
    <n v="0"/>
    <n v="0"/>
    <n v="0"/>
    <n v="0"/>
    <n v="0"/>
    <n v="0"/>
    <n v="0"/>
    <n v="62406.05"/>
    <n v="0"/>
    <n v="0"/>
  </r>
  <r>
    <x v="470"/>
    <s v="Piparpaati"/>
    <s v="vlc"/>
    <s v="Indirect"/>
    <n v="164.4"/>
    <n v="6025.5300000000007"/>
    <n v="0"/>
    <n v="0"/>
    <n v="0"/>
    <n v="0"/>
    <n v="0"/>
    <n v="0"/>
    <n v="6025.5300000000007"/>
    <n v="0"/>
    <n v="0"/>
    <n v="0"/>
    <n v="0"/>
    <n v="0"/>
    <n v="0"/>
    <n v="0"/>
    <n v="0"/>
    <n v="6025.5300000000007"/>
    <n v="0"/>
    <n v="0"/>
  </r>
  <r>
    <x v="471"/>
    <s v="Suratpur"/>
    <s v="MPG"/>
    <s v="Direct"/>
    <n v="373.28000000000003"/>
    <n v="14157.369999999999"/>
    <n v="85.639999999999986"/>
    <n v="3266.8801364430005"/>
    <n v="300.03999999999996"/>
    <n v="11453.729090274159"/>
    <n v="385.67999999999995"/>
    <n v="14720.609226717159"/>
    <n v="14157.369999999999"/>
    <n v="0"/>
    <n v="0"/>
    <n v="563.23922671715991"/>
    <n v="0"/>
    <n v="34.846029677419324"/>
    <n v="0"/>
    <n v="2668"/>
    <n v="11454"/>
    <n v="0"/>
    <n v="1"/>
    <n v="0"/>
  </r>
  <r>
    <x v="997"/>
    <s v="Musapur Bichla Tol-Prashant"/>
    <s v="vlc"/>
    <s v="Indirect"/>
    <n v="75.069999999999993"/>
    <n v="2334.6799999999998"/>
    <n v="0"/>
    <n v="0"/>
    <n v="0"/>
    <n v="0"/>
    <n v="0"/>
    <n v="0"/>
    <n v="2334.6799999999998"/>
    <n v="0"/>
    <n v="0"/>
    <n v="0"/>
    <n v="0"/>
    <n v="0"/>
    <n v="0"/>
    <n v="0"/>
    <n v="0"/>
    <n v="2334.6799999999998"/>
    <n v="0"/>
    <n v="0"/>
  </r>
  <r>
    <x v="473"/>
    <s v="Beri"/>
    <s v="MPG"/>
    <s v="Direct"/>
    <n v="510.51"/>
    <n v="19120.889999999996"/>
    <n v="510.51"/>
    <n v="19120.414955194999"/>
    <n v="0"/>
    <n v="0"/>
    <n v="510.51"/>
    <n v="19120.414955194999"/>
    <n v="19120.414955194999"/>
    <n v="0"/>
    <n v="0"/>
    <n v="0"/>
    <n v="19120"/>
    <n v="0"/>
    <n v="0"/>
    <n v="0"/>
    <n v="0"/>
    <n v="0"/>
    <n v="1"/>
    <n v="0"/>
  </r>
  <r>
    <x v="474"/>
    <s v="Mahmmadipur"/>
    <s v="MPG"/>
    <s v="Direct"/>
    <n v="1729.7800000000002"/>
    <n v="83143.910000000018"/>
    <n v="503.27"/>
    <n v="24327.684446368901"/>
    <n v="1323.34"/>
    <n v="68604.28791990965"/>
    <n v="1826.61"/>
    <n v="92931.972366278555"/>
    <n v="83143.910000000018"/>
    <n v="0"/>
    <n v="0"/>
    <n v="9788.0623662785365"/>
    <n v="0"/>
    <n v="0"/>
    <n v="0"/>
    <n v="21072"/>
    <n v="62072"/>
    <n v="0"/>
    <n v="0"/>
    <s v="Release1"/>
  </r>
  <r>
    <x v="475"/>
    <s v="Simri-Rupesh"/>
    <s v="vlc"/>
    <s v="Indirect"/>
    <n v="1132.54"/>
    <n v="42708.109999999993"/>
    <n v="0"/>
    <n v="0"/>
    <n v="0"/>
    <n v="0"/>
    <n v="0"/>
    <n v="0"/>
    <n v="42708.109999999993"/>
    <n v="0"/>
    <n v="0"/>
    <n v="0"/>
    <n v="0"/>
    <n v="0"/>
    <n v="0"/>
    <n v="0"/>
    <n v="0"/>
    <n v="42708.109999999993"/>
    <n v="0"/>
    <n v="0"/>
  </r>
  <r>
    <x v="476"/>
    <s v="Mithilanchal Dairy Products"/>
    <s v="vlc"/>
    <s v="Indirect"/>
    <n v="4892.7999999999993"/>
    <n v="187117.62"/>
    <n v="0"/>
    <n v="0"/>
    <n v="0"/>
    <n v="0"/>
    <n v="0"/>
    <n v="0"/>
    <n v="187117.62"/>
    <n v="0"/>
    <n v="0"/>
    <n v="0"/>
    <n v="0"/>
    <n v="0"/>
    <n v="0"/>
    <n v="0"/>
    <n v="0"/>
    <n v="187117.62"/>
    <n v="0"/>
    <n v="0"/>
  </r>
  <r>
    <x v="477"/>
    <s v="Gomukh Jhaura Tabhka"/>
    <s v="MPG"/>
    <s v="Direct"/>
    <n v="778.68000000000006"/>
    <n v="27087.61"/>
    <n v="759.9"/>
    <n v="29021.794940160005"/>
    <n v="26.5"/>
    <n v="980.76201695999998"/>
    <n v="786.4"/>
    <n v="30002.556957120007"/>
    <n v="27087.61"/>
    <n v="0"/>
    <n v="45.580887000000011"/>
    <n v="2914.9469571200061"/>
    <n v="2700"/>
    <n v="0"/>
    <n v="0"/>
    <n v="23406"/>
    <n v="936"/>
    <n v="0"/>
    <n v="0"/>
    <n v="0"/>
  </r>
  <r>
    <x v="478"/>
    <s v="Gomukh Mohanpur"/>
    <s v="MPG"/>
    <s v="Direct"/>
    <n v="569.96"/>
    <n v="21646.62"/>
    <n v="191.56"/>
    <n v="7431.4102610286009"/>
    <n v="379.49000000000007"/>
    <n v="13383.989434710888"/>
    <n v="571.05000000000007"/>
    <n v="20815.399695739488"/>
    <n v="20815.399695739488"/>
    <n v="0"/>
    <n v="443.11599377100009"/>
    <n v="0"/>
    <n v="0"/>
    <n v="0"/>
    <n v="0"/>
    <n v="7431"/>
    <n v="12941"/>
    <n v="0"/>
    <n v="832"/>
    <n v="0"/>
  </r>
  <r>
    <x v="479"/>
    <s v="Gomukh Bochaha"/>
    <s v="MPG"/>
    <s v="Direct"/>
    <n v="792.02"/>
    <n v="35370.310000000005"/>
    <n v="129.1"/>
    <n v="5768.3117649285505"/>
    <n v="678.09000000000015"/>
    <n v="29380.325427554169"/>
    <n v="807.19000000000017"/>
    <n v="35148.637192482718"/>
    <n v="35148.637192482718"/>
    <n v="0"/>
    <n v="0"/>
    <n v="0"/>
    <n v="2514"/>
    <n v="0"/>
    <n v="0"/>
    <n v="3254"/>
    <n v="29381"/>
    <n v="0"/>
    <n v="221"/>
    <s v="Release1"/>
  </r>
  <r>
    <x v="480"/>
    <s v="Gomukh Terganj"/>
    <s v="MPG"/>
    <s v="Direct"/>
    <n v="199.37"/>
    <n v="8446.57"/>
    <n v="76"/>
    <n v="3150.1332719999996"/>
    <n v="152"/>
    <n v="6292.3465439999991"/>
    <n v="228"/>
    <n v="9442.4798159999991"/>
    <n v="8446.57"/>
    <n v="0"/>
    <n v="0"/>
    <n v="995.90981599999941"/>
    <n v="0"/>
    <n v="0"/>
    <n v="0"/>
    <n v="2154"/>
    <n v="6293"/>
    <n v="0"/>
    <n v="0"/>
    <n v="0"/>
  </r>
  <r>
    <x v="481"/>
    <s v="Gomukh Chapra"/>
    <s v="vlc"/>
    <s v="Indirect"/>
    <n v="1489.0700000000002"/>
    <n v="54799.679999999993"/>
    <n v="0"/>
    <n v="0"/>
    <n v="0"/>
    <n v="0"/>
    <n v="0"/>
    <n v="0"/>
    <n v="54799.679999999993"/>
    <n v="0"/>
    <n v="0"/>
    <n v="0"/>
    <n v="54800"/>
    <n v="0"/>
    <n v="0"/>
    <n v="0"/>
    <n v="0"/>
    <n v="-0.32000000000698492"/>
    <n v="0"/>
    <n v="0"/>
  </r>
  <r>
    <x v="482"/>
    <s v="GOMUKH Chiranjipur"/>
    <s v="vlc"/>
    <s v="Indirect"/>
    <n v="10171"/>
    <n v="385932.68"/>
    <n v="0"/>
    <n v="0"/>
    <n v="0"/>
    <n v="0"/>
    <n v="0"/>
    <n v="0"/>
    <n v="385932.68"/>
    <n v="0"/>
    <n v="0"/>
    <n v="0"/>
    <n v="0"/>
    <n v="0"/>
    <n v="0"/>
    <n v="0"/>
    <n v="0"/>
    <n v="385932.68"/>
    <n v="0"/>
    <n v="0"/>
  </r>
  <r>
    <x v="483"/>
    <s v="Gomukh Sahu Tol"/>
    <s v="vlc"/>
    <s v="Indirect"/>
    <n v="1182"/>
    <n v="44337.56"/>
    <n v="0"/>
    <n v="0"/>
    <n v="0"/>
    <n v="0"/>
    <n v="0"/>
    <n v="0"/>
    <n v="44337.56"/>
    <n v="0"/>
    <n v="0"/>
    <n v="0"/>
    <n v="0"/>
    <n v="0"/>
    <n v="0"/>
    <n v="0"/>
    <n v="0"/>
    <n v="44337.56"/>
    <n v="0"/>
    <n v="0"/>
  </r>
  <r>
    <x v="484"/>
    <s v="Gomukh Mordiwa East"/>
    <s v="MPG"/>
    <s v="Direct"/>
    <n v="801.82999999999993"/>
    <n v="31094.17"/>
    <n v="282"/>
    <n v="11114.709487200002"/>
    <n v="544.5"/>
    <n v="21482.144897400001"/>
    <n v="826.5"/>
    <n v="32596.854384600003"/>
    <n v="31094.17"/>
    <n v="0"/>
    <n v="0"/>
    <n v="1502.6843846000047"/>
    <n v="2700"/>
    <n v="0"/>
    <n v="0"/>
    <n v="6912"/>
    <n v="21482"/>
    <n v="0"/>
    <n v="0"/>
    <n v="0"/>
  </r>
  <r>
    <x v="485"/>
    <s v="Gomukh Belamegh"/>
    <s v="vlc"/>
    <s v="Indirect"/>
    <n v="1132"/>
    <n v="41320.28"/>
    <n v="0"/>
    <n v="0"/>
    <n v="0"/>
    <n v="0"/>
    <n v="0"/>
    <n v="0"/>
    <n v="41320.28"/>
    <n v="0"/>
    <n v="0"/>
    <n v="0"/>
    <n v="0"/>
    <n v="0"/>
    <n v="0"/>
    <n v="0"/>
    <n v="0"/>
    <n v="41320.28"/>
    <n v="0"/>
    <n v="0"/>
  </r>
  <r>
    <x v="486"/>
    <s v="Gomukh Ramaiya"/>
    <s v="MPG"/>
    <s v="Direct"/>
    <n v="898.18000000000006"/>
    <n v="32864.480000000003"/>
    <n v="898.87"/>
    <n v="33163.052191572606"/>
    <n v="0"/>
    <n v="0"/>
    <n v="898.87"/>
    <n v="33163.052191572606"/>
    <n v="32864.480000000003"/>
    <n v="0"/>
    <n v="0"/>
    <n v="298.57219157260261"/>
    <n v="0"/>
    <n v="0"/>
    <n v="0"/>
    <n v="32864"/>
    <n v="0"/>
    <n v="0"/>
    <n v="0"/>
    <n v="0"/>
  </r>
  <r>
    <x v="487"/>
    <s v="GOMUKH MANIKA EAST"/>
    <s v="MPG"/>
    <s v="Direct"/>
    <n v="1001.6299999999999"/>
    <n v="38032.159999999996"/>
    <n v="706.7"/>
    <n v="29032.905454024483"/>
    <n v="349"/>
    <n v="13711.263783147802"/>
    <n v="1055.7"/>
    <n v="42744.169237172289"/>
    <n v="38032.159999999996"/>
    <n v="0"/>
    <n v="0"/>
    <n v="4712.0092371722931"/>
    <n v="0"/>
    <n v="0"/>
    <n v="0"/>
    <n v="24322"/>
    <n v="13710"/>
    <n v="0"/>
    <n v="0"/>
    <n v="0"/>
  </r>
  <r>
    <x v="488"/>
    <s v="IMADPUR"/>
    <s v="vlc"/>
    <s v="Indirect"/>
    <n v="1330.8200000000002"/>
    <n v="47014.020000000004"/>
    <n v="0"/>
    <n v="0"/>
    <n v="0"/>
    <n v="0"/>
    <n v="0"/>
    <n v="0"/>
    <n v="47014.020000000004"/>
    <n v="0"/>
    <n v="0"/>
    <n v="0"/>
    <n v="4050"/>
    <n v="0"/>
    <n v="0"/>
    <n v="0"/>
    <n v="0"/>
    <n v="42964.020000000004"/>
    <n v="0"/>
    <n v="0"/>
  </r>
  <r>
    <x v="489"/>
    <s v="Gomukh MANIYAR EAST"/>
    <s v="vlc"/>
    <s v="Indirect"/>
    <n v="691.91000000000008"/>
    <n v="26981.79"/>
    <n v="0"/>
    <n v="0"/>
    <n v="0"/>
    <n v="0"/>
    <n v="0"/>
    <n v="0"/>
    <n v="26981.79"/>
    <n v="0"/>
    <n v="0"/>
    <n v="0"/>
    <n v="0"/>
    <n v="0"/>
    <n v="0"/>
    <n v="0"/>
    <n v="0"/>
    <n v="26981.79"/>
    <n v="0"/>
    <n v="0"/>
  </r>
  <r>
    <x v="490"/>
    <s v="GOMUKH Kisanpur Tabhka"/>
    <s v="MPG"/>
    <s v="Direct"/>
    <n v="1263.1200000000001"/>
    <n v="48026.79"/>
    <n v="246.56"/>
    <n v="9401.835214032566"/>
    <n v="1016.5600000000001"/>
    <n v="38618.573626458005"/>
    <n v="1263.1200000000001"/>
    <n v="48020.408840490571"/>
    <n v="48020.408840490571"/>
    <n v="0"/>
    <n v="0"/>
    <n v="0"/>
    <n v="0"/>
    <n v="0"/>
    <n v="0"/>
    <n v="9402"/>
    <n v="38618"/>
    <n v="0"/>
    <n v="7"/>
    <n v="0"/>
  </r>
  <r>
    <x v="491"/>
    <s v="GOMUKH BIBHUTIPUR"/>
    <s v="MPG"/>
    <s v="Direct"/>
    <n v="49.480000000000004"/>
    <n v="1864.7400000000002"/>
    <n v="49.97"/>
    <n v="2036.1943463400003"/>
    <n v="0.17"/>
    <n v="6.7770707400000019"/>
    <n v="50.14"/>
    <n v="2042.9714170800003"/>
    <n v="1864.7400000000002"/>
    <n v="0"/>
    <n v="6.7770707400000019"/>
    <n v="178.23141708000003"/>
    <n v="0"/>
    <n v="0"/>
    <n v="0"/>
    <n v="1858"/>
    <n v="0"/>
    <n v="0"/>
    <n v="0"/>
    <n v="0"/>
  </r>
  <r>
    <x v="492"/>
    <s v="GOMUKH PATHAKTOL"/>
    <s v="MPG"/>
    <s v="Direct"/>
    <n v="125.03999999999999"/>
    <n v="5093.4999999999991"/>
    <n v="93.199999999999989"/>
    <n v="3926.4820563600006"/>
    <n v="32.900000000000006"/>
    <n v="1319.1121696553998"/>
    <n v="126.1"/>
    <n v="5245.5942260154006"/>
    <n v="5093.4999999999991"/>
    <n v="0"/>
    <n v="0"/>
    <n v="152.09422601540155"/>
    <n v="0"/>
    <n v="0"/>
    <n v="0"/>
    <n v="3774"/>
    <n v="1319"/>
    <n v="0"/>
    <n v="0"/>
    <n v="0"/>
  </r>
  <r>
    <x v="493"/>
    <s v="Gomukh Musapur West"/>
    <s v="vlc"/>
    <s v="Indirect"/>
    <n v="1136.7900000000002"/>
    <n v="40396.339999999997"/>
    <n v="0"/>
    <n v="0"/>
    <n v="0"/>
    <n v="0"/>
    <n v="0"/>
    <n v="0"/>
    <n v="40396.339999999997"/>
    <n v="0"/>
    <n v="0"/>
    <n v="0"/>
    <n v="0"/>
    <n v="0"/>
    <n v="0"/>
    <n v="0"/>
    <n v="0"/>
    <n v="40396.339999999997"/>
    <n v="0"/>
    <n v="0"/>
  </r>
  <r>
    <x v="494"/>
    <s v="GOMUKH DADHIYA RAMKRISHANPUR"/>
    <s v="MPG"/>
    <s v="Direct"/>
    <n v="1654.37"/>
    <n v="66593.559999999983"/>
    <n v="508.79999999999995"/>
    <n v="18442.269039313207"/>
    <n v="1152.1000000000001"/>
    <n v="48328.348789483796"/>
    <n v="1660.9"/>
    <n v="66770.617828796996"/>
    <n v="66593.559999999983"/>
    <n v="0"/>
    <n v="937.50044039239992"/>
    <n v="177.05782879701292"/>
    <n v="0"/>
    <n v="0"/>
    <n v="0"/>
    <n v="18263"/>
    <n v="47393"/>
    <n v="0"/>
    <n v="0"/>
    <s v="Release1"/>
  </r>
  <r>
    <x v="495"/>
    <s v="Gomukh Simri Ward 4"/>
    <s v="vlc"/>
    <s v="Indirect"/>
    <n v="2095"/>
    <n v="80629.25"/>
    <n v="0"/>
    <n v="0"/>
    <n v="0"/>
    <n v="0"/>
    <n v="0"/>
    <n v="0"/>
    <n v="80629.25"/>
    <n v="0"/>
    <n v="0"/>
    <n v="0"/>
    <n v="0"/>
    <n v="0"/>
    <n v="0"/>
    <n v="0"/>
    <n v="0"/>
    <n v="80629.25"/>
    <n v="0"/>
    <n v="0"/>
  </r>
  <r>
    <x v="496"/>
    <s v="GOMUKH BALTHARA"/>
    <s v="MPG"/>
    <s v="Direct"/>
    <n v="286.14"/>
    <n v="10387.02"/>
    <n v="283.02999999999997"/>
    <n v="10274.1515784072"/>
    <n v="3.2"/>
    <n v="91.436260608000026"/>
    <n v="286.22999999999996"/>
    <n v="10365.587839015199"/>
    <n v="10365.587839015199"/>
    <n v="0"/>
    <n v="0"/>
    <n v="0"/>
    <n v="0"/>
    <n v="0"/>
    <n v="0"/>
    <n v="10274"/>
    <n v="92"/>
    <n v="0"/>
    <n v="21"/>
    <s v="Release1"/>
  </r>
  <r>
    <x v="497"/>
    <s v="GOMUKH BHASINGPUR"/>
    <s v="MPG"/>
    <s v="Direct"/>
    <n v="1154.3899999999996"/>
    <n v="49164.100000000006"/>
    <n v="620.71"/>
    <n v="30480.565154301079"/>
    <n v="553.68000000000006"/>
    <n v="22745.722643659399"/>
    <n v="1174.3900000000001"/>
    <n v="53226.287797960482"/>
    <n v="49164.100000000006"/>
    <n v="0"/>
    <n v="0"/>
    <n v="4062.187797960476"/>
    <n v="0"/>
    <n v="0"/>
    <n v="0"/>
    <n v="28946"/>
    <n v="20218"/>
    <n v="0"/>
    <n v="0"/>
    <s v="Release1"/>
  </r>
  <r>
    <x v="498"/>
    <s v="GOMUKH Chakhale Dad"/>
    <s v="MPG"/>
    <s v="Direct"/>
    <n v="746.28"/>
    <n v="26959.15"/>
    <n v="471.18"/>
    <n v="17971.13151063256"/>
    <n v="285.95999999999998"/>
    <n v="9865.465297023602"/>
    <n v="757.14"/>
    <n v="27836.596807656162"/>
    <n v="26959.15"/>
    <n v="0"/>
    <n v="111.29912964720002"/>
    <n v="877.44680765616067"/>
    <n v="1350"/>
    <n v="0"/>
    <n v="0"/>
    <n v="15744"/>
    <n v="9754"/>
    <n v="0"/>
    <n v="0"/>
    <n v="0"/>
  </r>
  <r>
    <x v="499"/>
    <s v="GOMUKH BANGHARH KISHANPUR"/>
    <s v="MPG"/>
    <s v="Direct"/>
    <n v="761.3"/>
    <n v="27729.18"/>
    <n v="110.49999999999999"/>
    <n v="3921.0686368919996"/>
    <n v="648.79999999999995"/>
    <n v="23565.084184422001"/>
    <n v="759.3"/>
    <n v="27486.152821314001"/>
    <n v="27486.152821314001"/>
    <n v="0"/>
    <n v="254.743296192"/>
    <n v="0"/>
    <n v="0"/>
    <n v="0"/>
    <n v="0"/>
    <n v="3921"/>
    <n v="23309"/>
    <n v="0"/>
    <n v="244"/>
    <n v="0"/>
  </r>
  <r>
    <x v="500"/>
    <s v="Gomukh Serpur Narsari"/>
    <s v="vlc"/>
    <s v="Indirect"/>
    <n v="116.69999999999999"/>
    <n v="3643.45"/>
    <n v="0"/>
    <n v="0"/>
    <n v="0"/>
    <n v="0"/>
    <n v="0"/>
    <n v="0"/>
    <n v="3643.45"/>
    <n v="0"/>
    <n v="0"/>
    <n v="0"/>
    <n v="0"/>
    <n v="0"/>
    <n v="0"/>
    <n v="0"/>
    <n v="0"/>
    <n v="3643.45"/>
    <n v="0"/>
    <n v="0"/>
  </r>
  <r>
    <x v="501"/>
    <s v="PARORIYA"/>
    <s v="MPG"/>
    <s v="Direct"/>
    <n v="135.79999999999998"/>
    <n v="4530.4100000000008"/>
    <n v="135.4"/>
    <n v="4535.5034128140005"/>
    <n v="0.8"/>
    <n v="27.673309224"/>
    <n v="136.20000000000002"/>
    <n v="4563.1767220380007"/>
    <n v="4530.4100000000008"/>
    <n v="0"/>
    <n v="27.673309224"/>
    <n v="32.766722037999898"/>
    <n v="0"/>
    <n v="0"/>
    <n v="0"/>
    <n v="4503"/>
    <n v="0"/>
    <n v="0"/>
    <n v="0"/>
    <n v="0"/>
  </r>
  <r>
    <x v="502"/>
    <s v="JHAKHRA"/>
    <s v="vlc"/>
    <s v="Indirect"/>
    <n v="45.3"/>
    <n v="1431.35"/>
    <n v="0"/>
    <n v="0"/>
    <n v="0"/>
    <n v="0"/>
    <n v="0"/>
    <n v="0"/>
    <n v="1431.35"/>
    <n v="0"/>
    <n v="0"/>
    <n v="0"/>
    <n v="0"/>
    <n v="0"/>
    <n v="0"/>
    <n v="0"/>
    <n v="0"/>
    <n v="1431.35"/>
    <n v="0"/>
    <n v="0"/>
  </r>
  <r>
    <x v="503"/>
    <s v="GOMUKH ANDAHA"/>
    <s v="MPG"/>
    <s v="Direct"/>
    <n v="510.29999999999995"/>
    <n v="17654.91"/>
    <n v="494.20000000000005"/>
    <n v="17685.416557512002"/>
    <n v="0"/>
    <n v="0"/>
    <n v="494.20000000000005"/>
    <n v="17685.416557512002"/>
    <n v="17654.91"/>
    <n v="0"/>
    <n v="0"/>
    <n v="30.506557512002473"/>
    <n v="0"/>
    <n v="0"/>
    <n v="0"/>
    <n v="17655"/>
    <n v="0"/>
    <n v="0"/>
    <n v="0"/>
    <s v="Release1"/>
  </r>
  <r>
    <x v="504"/>
    <s v="Gomukha Rohua"/>
    <s v="MPG"/>
    <s v="Direct"/>
    <n v="875.20000000000016"/>
    <n v="33069.71"/>
    <n v="845.99"/>
    <n v="34436.131801742064"/>
    <n v="53.730000000000004"/>
    <n v="2068.34344591838"/>
    <n v="899.72"/>
    <n v="36504.475247660441"/>
    <n v="33069.71"/>
    <n v="0"/>
    <n v="388.40242870238006"/>
    <n v="3434.7652476604417"/>
    <n v="1958"/>
    <n v="0"/>
    <n v="0"/>
    <n v="29043"/>
    <n v="1680"/>
    <n v="0"/>
    <n v="0"/>
    <n v="0"/>
  </r>
  <r>
    <x v="505"/>
    <s v="Gomukha Arniya Ganj"/>
    <s v="MPG"/>
    <s v="Direct"/>
    <n v="3602.3999999999996"/>
    <n v="131660.85999999996"/>
    <n v="2057.5"/>
    <n v="75666.641309820014"/>
    <n v="1573.5000000000002"/>
    <n v="57478.499465918263"/>
    <n v="3631"/>
    <n v="133145.14077573828"/>
    <n v="131660.85999999996"/>
    <n v="0"/>
    <n v="1265.2833877200001"/>
    <n v="1484.2807757383271"/>
    <n v="0"/>
    <n v="0"/>
    <n v="0"/>
    <n v="74180"/>
    <n v="56216"/>
    <n v="0"/>
    <n v="0"/>
    <s v="Release2"/>
  </r>
  <r>
    <x v="506"/>
    <s v="Gomukha Vishanupatti II"/>
    <s v="vlc"/>
    <s v="Indirect"/>
    <n v="604.79999999999995"/>
    <n v="21865.23"/>
    <n v="0"/>
    <n v="0"/>
    <n v="0"/>
    <n v="0"/>
    <n v="0"/>
    <n v="0"/>
    <n v="21865.23"/>
    <n v="0"/>
    <n v="0"/>
    <n v="0"/>
    <n v="2700"/>
    <n v="0"/>
    <n v="0"/>
    <n v="0"/>
    <n v="0"/>
    <n v="19165.23"/>
    <n v="0"/>
    <n v="0"/>
  </r>
  <r>
    <x v="507"/>
    <s v="Gomukh Khesarhiya"/>
    <s v="vlc"/>
    <s v="Indirect"/>
    <n v="266.60000000000002"/>
    <n v="12148.67"/>
    <n v="0"/>
    <n v="0"/>
    <n v="0"/>
    <n v="0"/>
    <n v="0"/>
    <n v="0"/>
    <n v="12148.67"/>
    <n v="0"/>
    <n v="0"/>
    <n v="0"/>
    <n v="0"/>
    <n v="0"/>
    <n v="0"/>
    <n v="0"/>
    <n v="0"/>
    <n v="12148.67"/>
    <n v="0"/>
    <n v="0"/>
  </r>
  <r>
    <x v="508"/>
    <s v="Harsingpur"/>
    <s v="vlc"/>
    <s v="Indirect"/>
    <n v="313.8"/>
    <n v="10389.16"/>
    <n v="0"/>
    <n v="0"/>
    <n v="0"/>
    <n v="0"/>
    <n v="0"/>
    <n v="0"/>
    <n v="10389.16"/>
    <n v="0"/>
    <n v="0"/>
    <n v="0"/>
    <n v="1350"/>
    <n v="0"/>
    <n v="0"/>
    <n v="0"/>
    <n v="0"/>
    <n v="9039.16"/>
    <n v="0"/>
    <n v="0"/>
  </r>
  <r>
    <x v="509"/>
    <s v="Gomukh ID Mahathi"/>
    <s v="vlc"/>
    <s v="Indirect"/>
    <n v="626.5"/>
    <n v="22548.2"/>
    <n v="0"/>
    <n v="0"/>
    <n v="0"/>
    <n v="0"/>
    <n v="0"/>
    <n v="0"/>
    <n v="22548.2"/>
    <n v="0"/>
    <n v="0"/>
    <n v="0"/>
    <n v="0"/>
    <n v="0"/>
    <n v="0"/>
    <n v="0"/>
    <n v="0"/>
    <n v="22548.2"/>
    <n v="0"/>
    <n v="0"/>
  </r>
  <r>
    <x v="510"/>
    <s v="MURTUJAPUR"/>
    <s v="vlc"/>
    <s v="Indirect"/>
    <n v="501.30000000000007"/>
    <n v="19860.870000000003"/>
    <n v="0"/>
    <n v="0"/>
    <n v="0"/>
    <n v="0"/>
    <n v="0"/>
    <n v="0"/>
    <n v="19860.870000000003"/>
    <n v="0"/>
    <n v="0"/>
    <n v="0"/>
    <n v="3000"/>
    <n v="0"/>
    <n v="0"/>
    <n v="0"/>
    <n v="0"/>
    <n v="16860.870000000003"/>
    <n v="0"/>
    <n v="0"/>
  </r>
  <r>
    <x v="511"/>
    <s v="Rasalpur"/>
    <s v="MPG"/>
    <s v="Direct"/>
    <n v="301.79999999999995"/>
    <n v="13154.96"/>
    <n v="69.290000000000006"/>
    <n v="3568.3693958236004"/>
    <n v="243.39999999999998"/>
    <n v="10960.237388854901"/>
    <n v="312.69"/>
    <n v="14528.606784678501"/>
    <n v="13154.96"/>
    <n v="0"/>
    <n v="124.6196787584"/>
    <n v="1373.6467846785017"/>
    <n v="0"/>
    <n v="0"/>
    <n v="0"/>
    <n v="2195"/>
    <n v="10835"/>
    <n v="0"/>
    <n v="0"/>
    <n v="0"/>
  </r>
  <r>
    <x v="512"/>
    <s v="Gomukh VISHNUPATTI"/>
    <s v="vlc"/>
    <s v="Indirect"/>
    <n v="29.2"/>
    <n v="828.56999999999994"/>
    <n v="0"/>
    <n v="0"/>
    <n v="0"/>
    <n v="0"/>
    <n v="0"/>
    <n v="0"/>
    <n v="828.56999999999994"/>
    <n v="0"/>
    <n v="0"/>
    <n v="0"/>
    <n v="0"/>
    <n v="167.94899999999998"/>
    <n v="0"/>
    <n v="0"/>
    <n v="0"/>
    <n v="660.62099999999998"/>
    <n v="0"/>
    <n v="0"/>
  </r>
  <r>
    <x v="513"/>
    <s v="Chhuchhipur                                                                                         "/>
    <s v="MPG"/>
    <s v="Direct"/>
    <n v="148.5"/>
    <n v="4654.59"/>
    <n v="148"/>
    <n v="5587.7176080000008"/>
    <n v="0"/>
    <n v="0"/>
    <n v="148"/>
    <n v="5587.7176080000008"/>
    <n v="4654.59"/>
    <n v="0"/>
    <n v="0"/>
    <n v="933.12760800000069"/>
    <n v="1350"/>
    <n v="19.4962736842105"/>
    <n v="0"/>
    <n v="3285"/>
    <n v="0"/>
    <n v="0"/>
    <n v="0"/>
    <s v="Release1"/>
  </r>
  <r>
    <x v="514"/>
    <s v="Gomukh ID Sararanjan"/>
    <s v="vlc"/>
    <s v="Indirect"/>
    <n v="204.60000000000002"/>
    <n v="8037.27"/>
    <n v="0"/>
    <n v="0"/>
    <n v="0"/>
    <n v="0"/>
    <n v="0"/>
    <n v="0"/>
    <n v="8037.27"/>
    <n v="0"/>
    <n v="0"/>
    <n v="0"/>
    <n v="2700"/>
    <n v="0"/>
    <n v="0"/>
    <n v="0"/>
    <n v="0"/>
    <n v="5337.27"/>
    <n v="0"/>
    <n v="0"/>
  </r>
  <r>
    <x v="515"/>
    <s v="Gomukh Soharthi Purvi Tola                                                                          "/>
    <s v="MPG"/>
    <s v="Direct"/>
    <n v="80.8"/>
    <n v="3440.47"/>
    <n v="128.4"/>
    <n v="5982.1621457694009"/>
    <n v="0"/>
    <n v="0"/>
    <n v="128.4"/>
    <n v="5982.1621457694009"/>
    <n v="3440.47"/>
    <n v="0"/>
    <n v="0"/>
    <n v="2541.6921457694011"/>
    <n v="0"/>
    <n v="0"/>
    <n v="0"/>
    <n v="3440"/>
    <n v="0"/>
    <n v="0"/>
    <n v="0"/>
    <n v="0"/>
  </r>
  <r>
    <x v="516"/>
    <s v="Birnama"/>
    <s v="vlc"/>
    <s v="Indirect"/>
    <n v="1047.8000000000002"/>
    <n v="26824.47"/>
    <n v="0"/>
    <n v="0"/>
    <n v="0"/>
    <n v="0"/>
    <n v="0"/>
    <n v="0"/>
    <n v="26824.47"/>
    <n v="0"/>
    <n v="0"/>
    <n v="0"/>
    <n v="0"/>
    <n v="0"/>
    <n v="0"/>
    <n v="0"/>
    <n v="0"/>
    <n v="26824.47"/>
    <n v="0"/>
    <n v="0"/>
  </r>
  <r>
    <x v="517"/>
    <s v="Maraie - Rubi"/>
    <s v="vlc"/>
    <s v="Indirect"/>
    <n v="73.8"/>
    <n v="2668.1600000000003"/>
    <n v="0"/>
    <n v="0"/>
    <n v="0"/>
    <n v="0"/>
    <n v="0"/>
    <n v="0"/>
    <n v="2668.1600000000003"/>
    <n v="0"/>
    <n v="0"/>
    <n v="0"/>
    <n v="1350"/>
    <n v="0"/>
    <n v="0"/>
    <n v="0"/>
    <n v="0"/>
    <n v="1318.1600000000003"/>
    <n v="0"/>
    <n v="0"/>
  </r>
  <r>
    <x v="518"/>
    <s v="Arniya East Tola - Seema"/>
    <s v="vlc"/>
    <s v="Indirect"/>
    <n v="25.5"/>
    <n v="808.35"/>
    <n v="0"/>
    <n v="0"/>
    <n v="0"/>
    <n v="0"/>
    <n v="0"/>
    <n v="0"/>
    <n v="808.35"/>
    <n v="0"/>
    <n v="0"/>
    <n v="0"/>
    <n v="0"/>
    <n v="0"/>
    <n v="0"/>
    <n v="0"/>
    <n v="0"/>
    <n v="808.35"/>
    <n v="0"/>
    <n v="0"/>
  </r>
  <r>
    <x v="519"/>
    <s v="Lakshmipur Western Tol - Rajeev"/>
    <s v="MPG"/>
    <s v="Indirect"/>
    <n v="3295.7000000000003"/>
    <n v="135325.12"/>
    <n v="0"/>
    <n v="0"/>
    <n v="0"/>
    <n v="0"/>
    <n v="0"/>
    <n v="0"/>
    <n v="135325.12"/>
    <n v="0"/>
    <n v="0"/>
    <n v="0"/>
    <n v="6000"/>
    <n v="0"/>
    <n v="0"/>
    <n v="0"/>
    <n v="0"/>
    <n v="129325.12"/>
    <n v="0"/>
    <n v="0"/>
  </r>
  <r>
    <x v="520"/>
    <s v="Jahangipur Salkhanni"/>
    <s v="MPG"/>
    <s v="Direct"/>
    <n v="305.99999999999994"/>
    <n v="13148.369999999997"/>
    <n v="177.35"/>
    <n v="7610.1785062520712"/>
    <n v="73.509999999999991"/>
    <n v="3574.3417449321655"/>
    <n v="250.85999999999999"/>
    <n v="11184.520251184236"/>
    <n v="11184.520251184236"/>
    <n v="0"/>
    <n v="0"/>
    <n v="0"/>
    <n v="177"/>
    <n v="0"/>
    <n v="0"/>
    <n v="7434"/>
    <n v="3576"/>
    <n v="0"/>
    <n v="1961"/>
    <n v="0"/>
  </r>
  <r>
    <x v="521"/>
    <s v="Sekhpura"/>
    <s v="MPG"/>
    <s v="Direct"/>
    <n v="241.10000000000005"/>
    <n v="8205.8900000000012"/>
    <n v="245.37999999999994"/>
    <n v="8985.4035173892007"/>
    <n v="2.7600000000000002"/>
    <n v="94.035427061399986"/>
    <n v="248.13999999999993"/>
    <n v="9079.4389444506014"/>
    <n v="8205.8900000000012"/>
    <n v="0"/>
    <n v="94.035427061399986"/>
    <n v="873.54894445060017"/>
    <n v="0"/>
    <n v="0"/>
    <n v="0"/>
    <n v="8112"/>
    <n v="0"/>
    <n v="0"/>
    <n v="0"/>
    <s v="Release1"/>
  </r>
  <r>
    <x v="522"/>
    <s v="Songar"/>
    <s v="MPG"/>
    <s v="Direct"/>
    <n v="1383.7"/>
    <n v="47866.54"/>
    <n v="825.69999999999993"/>
    <n v="29999.120566154896"/>
    <n v="554.79"/>
    <n v="18557.136797423398"/>
    <n v="1380.4899999999998"/>
    <n v="48556.25736357829"/>
    <n v="47866.54"/>
    <n v="0"/>
    <n v="585.30549015180009"/>
    <n v="689.71736357828922"/>
    <n v="2700"/>
    <n v="0"/>
    <n v="0"/>
    <n v="26610"/>
    <n v="17971"/>
    <n v="0"/>
    <n v="0"/>
    <n v="0"/>
  </r>
  <r>
    <x v="523"/>
    <s v="Rampur Maheshpur"/>
    <s v="MPG"/>
    <s v="Direct"/>
    <n v="468.90000000000003"/>
    <n v="19166.490000000002"/>
    <n v="286.26"/>
    <n v="12667.839305736501"/>
    <n v="199.63"/>
    <n v="7614.0923817618004"/>
    <n v="485.89"/>
    <n v="20281.931687498301"/>
    <n v="19166.490000000002"/>
    <n v="0"/>
    <n v="0"/>
    <n v="1115.4416874982999"/>
    <n v="0"/>
    <n v="2.9349934426228685"/>
    <n v="0"/>
    <n v="11549"/>
    <n v="7614"/>
    <n v="0"/>
    <n v="1"/>
    <n v="0"/>
  </r>
  <r>
    <x v="524"/>
    <s v="Godhiyari"/>
    <s v="vlc"/>
    <s v="Indirect"/>
    <n v="370.09999999999997"/>
    <n v="12321.349999999999"/>
    <n v="0"/>
    <n v="0"/>
    <n v="0"/>
    <n v="0"/>
    <n v="0"/>
    <n v="0"/>
    <n v="12321.349999999999"/>
    <n v="0"/>
    <n v="0"/>
    <n v="0"/>
    <n v="0"/>
    <n v="0"/>
    <n v="0"/>
    <n v="0"/>
    <n v="0"/>
    <n v="12321.349999999999"/>
    <n v="0"/>
    <n v="0"/>
  </r>
  <r>
    <x v="525"/>
    <s v="Jhakhra-Rambilash"/>
    <s v="vlc"/>
    <s v="Indirect"/>
    <n v="565.70000000000005"/>
    <n v="20338.469999999998"/>
    <n v="0"/>
    <n v="0"/>
    <n v="0"/>
    <n v="0"/>
    <n v="0"/>
    <n v="0"/>
    <n v="20338.469999999998"/>
    <n v="0"/>
    <n v="0"/>
    <n v="0"/>
    <n v="0"/>
    <n v="0"/>
    <n v="0"/>
    <n v="0"/>
    <n v="0"/>
    <n v="20338.469999999998"/>
    <n v="0"/>
    <n v="0"/>
  </r>
  <r>
    <x v="527"/>
    <s v="Chakmilki"/>
    <s v="MPG"/>
    <s v="Direct"/>
    <n v="256.8"/>
    <n v="9602.2999999999993"/>
    <n v="102.92"/>
    <n v="3652.9488147042002"/>
    <n v="185.91"/>
    <n v="6518.366382507792"/>
    <n v="288.83"/>
    <n v="10171.315197211992"/>
    <n v="9602.2999999999993"/>
    <n v="0"/>
    <n v="175.86843892200002"/>
    <n v="569.01519721199293"/>
    <n v="0"/>
    <n v="0"/>
    <n v="0"/>
    <n v="3085"/>
    <n v="6341"/>
    <n v="0"/>
    <n v="0"/>
    <n v="0"/>
  </r>
  <r>
    <x v="528"/>
    <s v="Gomukh Akaha"/>
    <s v="MPG"/>
    <s v="Direct"/>
    <n v="216.6"/>
    <n v="7434.9600000000009"/>
    <n v="149.76999999999998"/>
    <n v="5261.9671893492005"/>
    <n v="70.8"/>
    <n v="2677.3116082614001"/>
    <n v="220.57"/>
    <n v="7939.278797610601"/>
    <n v="7434.9600000000009"/>
    <n v="0"/>
    <n v="39.090144713400001"/>
    <n v="504.31879761060009"/>
    <n v="0"/>
    <n v="0"/>
    <n v="0"/>
    <n v="4758"/>
    <n v="2638"/>
    <n v="0"/>
    <n v="0"/>
    <n v="0"/>
  </r>
  <r>
    <x v="529"/>
    <s v="Nauachak-Pankaj"/>
    <s v="vlc"/>
    <s v="Indirect"/>
    <n v="138.5"/>
    <n v="4338.7199999999993"/>
    <n v="0"/>
    <n v="0"/>
    <n v="0"/>
    <n v="0"/>
    <n v="0"/>
    <n v="0"/>
    <n v="4338.7199999999993"/>
    <n v="0"/>
    <n v="0"/>
    <n v="0"/>
    <n v="1500"/>
    <n v="0"/>
    <n v="0"/>
    <n v="0"/>
    <n v="0"/>
    <n v="2838.7199999999993"/>
    <n v="0"/>
    <n v="0"/>
  </r>
  <r>
    <x v="530"/>
    <s v="Jitwarpur-Manisha"/>
    <s v="vlc"/>
    <s v="Indirect"/>
    <n v="81.100000000000009"/>
    <n v="3000.58"/>
    <n v="0"/>
    <n v="0"/>
    <n v="0"/>
    <n v="0"/>
    <n v="0"/>
    <n v="0"/>
    <n v="3000.58"/>
    <n v="0"/>
    <n v="0"/>
    <n v="0"/>
    <n v="0"/>
    <n v="0"/>
    <n v="0"/>
    <n v="0"/>
    <n v="0"/>
    <n v="3000.58"/>
    <n v="0"/>
    <n v="0"/>
  </r>
  <r>
    <x v="531"/>
    <s v="Gomukh Sirdulpur 2"/>
    <s v="vlc"/>
    <s v="Indirect"/>
    <n v="1362.4000000000003"/>
    <n v="44821.549999999996"/>
    <n v="0"/>
    <n v="0"/>
    <n v="0"/>
    <n v="0"/>
    <n v="0"/>
    <n v="0"/>
    <n v="44821.549999999996"/>
    <n v="0"/>
    <n v="0"/>
    <n v="0"/>
    <n v="0"/>
    <n v="0"/>
    <n v="0"/>
    <n v="0"/>
    <n v="0"/>
    <n v="44821.549999999996"/>
    <n v="0"/>
    <n v="0"/>
  </r>
  <r>
    <x v="533"/>
    <s v="Gomukh Sherpur Narsari East"/>
    <s v="MPG"/>
    <s v="Direct"/>
    <n v="227.10000000000002"/>
    <n v="8358.7800000000007"/>
    <n v="204.57999999999998"/>
    <n v="7565.7503852598802"/>
    <n v="24.400000000000002"/>
    <n v="952.8980825916002"/>
    <n v="228.98"/>
    <n v="8518.6484678514807"/>
    <n v="8358.7800000000007"/>
    <n v="0"/>
    <n v="0"/>
    <n v="159.86846785148009"/>
    <n v="0"/>
    <n v="48.180077419354838"/>
    <n v="0"/>
    <n v="7358"/>
    <n v="953"/>
    <n v="0"/>
    <n v="0"/>
    <n v="0"/>
  </r>
  <r>
    <x v="998"/>
    <s v="Gomukh Saidpur"/>
    <s v="MPG"/>
    <s v="Direct"/>
    <n v="0.1"/>
    <n v="4.09"/>
    <n v="0"/>
    <n v="0"/>
    <n v="0"/>
    <n v="0"/>
    <n v="0"/>
    <n v="0"/>
    <n v="0"/>
    <n v="0"/>
    <n v="0"/>
    <n v="0"/>
    <n v="0"/>
    <n v="0"/>
    <n v="0"/>
    <n v="0"/>
    <n v="0"/>
    <n v="0"/>
    <n v="4"/>
    <s v="Release1"/>
  </r>
  <r>
    <x v="534"/>
    <s v="Gomukh Karhatti"/>
    <s v="MPG"/>
    <s v="Direct"/>
    <n v="58.899999999999991"/>
    <n v="2131.33"/>
    <n v="115.2"/>
    <n v="4317.5512511999996"/>
    <n v="0"/>
    <n v="0"/>
    <n v="115.2"/>
    <n v="4317.5512511999996"/>
    <n v="2131.33"/>
    <n v="0"/>
    <n v="0"/>
    <n v="2186.2212511999996"/>
    <n v="0"/>
    <n v="59.778406779661026"/>
    <n v="0"/>
    <n v="2071"/>
    <n v="0"/>
    <n v="0"/>
    <n v="1"/>
    <n v="0"/>
  </r>
  <r>
    <x v="535"/>
    <s v="Gomukh Gaopur Bhagwatpur"/>
    <s v="MPG"/>
    <s v="Direct"/>
    <n v="1199.8"/>
    <n v="44174.939999999995"/>
    <n v="1213.7700000000002"/>
    <n v="45291.29964096925"/>
    <n v="0"/>
    <n v="0"/>
    <n v="1213.7700000000002"/>
    <n v="45291.29964096925"/>
    <n v="44174.939999999995"/>
    <n v="0"/>
    <n v="0"/>
    <n v="1116.3596409692545"/>
    <n v="0"/>
    <n v="0"/>
    <n v="0"/>
    <n v="44175"/>
    <n v="0"/>
    <n v="0"/>
    <n v="0"/>
    <n v="0"/>
  </r>
  <r>
    <x v="536"/>
    <s v="Gomukh Rajwara"/>
    <s v="MPG"/>
    <s v="Direct"/>
    <n v="121.89999999999999"/>
    <n v="4819.2899999999991"/>
    <n v="121.6"/>
    <n v="4804.245617292001"/>
    <n v="0.81"/>
    <n v="30.180015359999999"/>
    <n v="122.41"/>
    <n v="4834.4256326520008"/>
    <n v="4819.2899999999991"/>
    <n v="0"/>
    <n v="30.180015359999999"/>
    <n v="15.135632652001732"/>
    <n v="0"/>
    <n v="0"/>
    <n v="0"/>
    <n v="4789"/>
    <n v="0"/>
    <n v="0"/>
    <n v="0"/>
    <n v="0"/>
  </r>
  <r>
    <x v="537"/>
    <s v="GOMUKH Karhatiya Bujurg"/>
    <s v="vlc"/>
    <s v="Indirect"/>
    <n v="110.60000000000001"/>
    <n v="4447.04"/>
    <n v="0"/>
    <n v="0"/>
    <n v="0"/>
    <n v="0"/>
    <n v="0"/>
    <n v="0"/>
    <n v="4447.04"/>
    <n v="0"/>
    <n v="0"/>
    <n v="0"/>
    <n v="0"/>
    <n v="0"/>
    <n v="0"/>
    <n v="0"/>
    <n v="0"/>
    <n v="4447.04"/>
    <n v="0"/>
    <n v="0"/>
  </r>
  <r>
    <x v="538"/>
    <s v="GOMUKH NIKASPUR"/>
    <s v="vlc"/>
    <s v="Direct"/>
    <n v="23.6"/>
    <n v="687.23"/>
    <n v="23.6"/>
    <n v="687.23206041600008"/>
    <n v="0"/>
    <n v="0"/>
    <n v="23.6"/>
    <n v="687.23206041600008"/>
    <n v="687.23"/>
    <n v="0"/>
    <n v="0"/>
    <n v="2.0604160000630145E-3"/>
    <n v="0"/>
    <n v="0"/>
    <n v="0"/>
    <n v="687"/>
    <n v="0"/>
    <n v="0"/>
    <n v="0"/>
    <n v="0"/>
  </r>
  <r>
    <x v="539"/>
    <s v="Gomukh Morwa Mohanpur"/>
    <s v="vlc"/>
    <s v="Indirect"/>
    <n v="218.9"/>
    <n v="8987.3299999999981"/>
    <n v="0"/>
    <n v="0"/>
    <n v="0"/>
    <n v="0"/>
    <n v="0"/>
    <n v="0"/>
    <n v="8987.3299999999981"/>
    <n v="0"/>
    <n v="0"/>
    <n v="0"/>
    <n v="7500"/>
    <n v="133.32652258064513"/>
    <n v="0"/>
    <n v="0"/>
    <n v="0"/>
    <n v="1354.003477419353"/>
    <n v="0"/>
    <n v="0"/>
  </r>
  <r>
    <x v="540"/>
    <s v="Gomukh Gangapur East"/>
    <s v="vlc"/>
    <s v="Indirect"/>
    <n v="1890"/>
    <n v="55179.5"/>
    <n v="0"/>
    <n v="0"/>
    <n v="0"/>
    <n v="0"/>
    <n v="0"/>
    <n v="0"/>
    <n v="55179.5"/>
    <n v="0"/>
    <n v="0"/>
    <n v="0"/>
    <n v="0"/>
    <n v="0"/>
    <n v="0"/>
    <n v="0"/>
    <n v="0"/>
    <n v="55179.5"/>
    <n v="0"/>
    <n v="0"/>
  </r>
  <r>
    <x v="937"/>
    <s v="GOMUKH Laguniya"/>
    <s v="vlc"/>
    <s v="Indirect"/>
    <n v="619"/>
    <n v="22286.17"/>
    <n v="0"/>
    <n v="0"/>
    <n v="0"/>
    <n v="0"/>
    <n v="0"/>
    <n v="0"/>
    <n v="22286.17"/>
    <n v="0"/>
    <n v="0"/>
    <n v="0"/>
    <n v="0"/>
    <n v="0"/>
    <n v="0"/>
    <n v="0"/>
    <n v="0"/>
    <n v="22286.17"/>
    <n v="0"/>
    <n v="0"/>
  </r>
  <r>
    <x v="541"/>
    <s v="GOMUKH MAHINDWARA"/>
    <s v="vlc"/>
    <s v="Indirect"/>
    <n v="296.60000000000002"/>
    <n v="10311.859999999999"/>
    <n v="0"/>
    <n v="0"/>
    <n v="0"/>
    <n v="0"/>
    <n v="0"/>
    <n v="0"/>
    <n v="10311.859999999999"/>
    <n v="0"/>
    <n v="0"/>
    <n v="0"/>
    <n v="2700"/>
    <n v="0"/>
    <n v="0"/>
    <n v="0"/>
    <n v="0"/>
    <n v="7611.8599999999988"/>
    <n v="0"/>
    <n v="0"/>
  </r>
  <r>
    <x v="542"/>
    <s v="GOMUKH MISHRAULIA"/>
    <s v="MPG"/>
    <s v="Direct"/>
    <n v="534.5"/>
    <n v="25096.740000000005"/>
    <n v="553"/>
    <n v="24466.4117963922"/>
    <n v="0"/>
    <n v="0"/>
    <n v="553"/>
    <n v="24466.4117963922"/>
    <n v="24466.4117963922"/>
    <n v="0"/>
    <n v="0"/>
    <n v="0"/>
    <n v="0"/>
    <n v="0"/>
    <n v="0"/>
    <n v="24467"/>
    <n v="0"/>
    <n v="0"/>
    <n v="630"/>
    <n v="0"/>
  </r>
  <r>
    <x v="543"/>
    <s v="GOMUKH CHAKIRDI"/>
    <s v="MPG"/>
    <s v="Direct"/>
    <n v="73.400000000000006"/>
    <n v="2518.65"/>
    <n v="60.3"/>
    <n v="2046.4604233920002"/>
    <n v="0"/>
    <n v="0"/>
    <n v="60.3"/>
    <n v="2046.4604233920002"/>
    <n v="2046.4604233920002"/>
    <n v="0"/>
    <n v="0"/>
    <n v="0"/>
    <n v="2"/>
    <n v="35.680529032258072"/>
    <n v="0"/>
    <n v="2009"/>
    <n v="0"/>
    <n v="0"/>
    <n v="472"/>
    <s v="Release1"/>
  </r>
  <r>
    <x v="544"/>
    <s v="GOMUKH Bhagwatpur East"/>
    <s v="MPG"/>
    <s v="Direct"/>
    <n v="299.8"/>
    <n v="8545.1299999999992"/>
    <n v="303.99999999999994"/>
    <n v="9077.3051099940003"/>
    <n v="0"/>
    <n v="0"/>
    <n v="303.99999999999994"/>
    <n v="9077.3051099940003"/>
    <n v="8545.1299999999992"/>
    <n v="0"/>
    <n v="0"/>
    <n v="532.1751099940011"/>
    <n v="2700"/>
    <n v="0"/>
    <n v="0"/>
    <n v="5845"/>
    <n v="0"/>
    <n v="0"/>
    <n v="0"/>
    <n v="0"/>
  </r>
  <r>
    <x v="545"/>
    <s v="Gomukh Rupauli Buzurg"/>
    <s v="vlc"/>
    <s v="Indirect"/>
    <n v="5637.7"/>
    <n v="187890.07"/>
    <n v="0"/>
    <n v="0"/>
    <n v="0"/>
    <n v="0"/>
    <n v="0"/>
    <n v="0"/>
    <n v="187890.07"/>
    <n v="0"/>
    <n v="0"/>
    <n v="0"/>
    <n v="0"/>
    <n v="0"/>
    <n v="0"/>
    <n v="0"/>
    <n v="0"/>
    <n v="187890.07"/>
    <n v="0"/>
    <n v="0"/>
  </r>
  <r>
    <x v="938"/>
    <s v="GOMUKH KAMTAUL"/>
    <s v="MPG"/>
    <s v="Direct"/>
    <n v="109.69999999999997"/>
    <n v="4496.9299999999994"/>
    <n v="108.08"/>
    <n v="4527.8729548527599"/>
    <n v="0"/>
    <n v="0"/>
    <n v="108.08"/>
    <n v="4527.8729548527599"/>
    <n v="4496.9299999999994"/>
    <n v="0"/>
    <n v="0"/>
    <n v="30.942954852760522"/>
    <n v="0"/>
    <n v="0"/>
    <n v="0"/>
    <n v="4497"/>
    <n v="0"/>
    <n v="0"/>
    <n v="0"/>
    <n v="0"/>
  </r>
  <r>
    <x v="547"/>
    <s v="Dumri Purvi Tola"/>
    <s v="MPG"/>
    <s v="Direct"/>
    <n v="612.60000000000014"/>
    <n v="21246.189999999995"/>
    <n v="433.9"/>
    <n v="21024.9108257679"/>
    <n v="0"/>
    <n v="0"/>
    <n v="433.9"/>
    <n v="21024.9108257679"/>
    <n v="21024.9108257679"/>
    <n v="0"/>
    <n v="0"/>
    <n v="0"/>
    <n v="4460"/>
    <n v="0"/>
    <n v="0"/>
    <n v="16565"/>
    <n v="0"/>
    <n v="0"/>
    <n v="221"/>
    <s v="Release1"/>
  </r>
  <r>
    <x v="548"/>
    <s v="Simri"/>
    <s v="MPG"/>
    <s v="Direct"/>
    <n v="799.1"/>
    <n v="29239.66"/>
    <n v="1003.5399999999998"/>
    <n v="36795.071607624013"/>
    <n v="0"/>
    <n v="0"/>
    <n v="1003.5399999999998"/>
    <n v="36795.071607624013"/>
    <n v="29239.66"/>
    <n v="0"/>
    <n v="0"/>
    <n v="7555.4116076240134"/>
    <n v="0"/>
    <n v="0"/>
    <n v="0"/>
    <n v="29240"/>
    <n v="0"/>
    <n v="0"/>
    <n v="0"/>
    <n v="0"/>
  </r>
  <r>
    <x v="549"/>
    <s v="Sahiyar"/>
    <s v="MPG"/>
    <s v="Direct"/>
    <n v="1133.6000000000001"/>
    <n v="44156.959999999999"/>
    <n v="1016.5"/>
    <n v="43139.599950880598"/>
    <n v="32.5"/>
    <n v="1270.2181021199999"/>
    <n v="1049"/>
    <n v="44409.818053000599"/>
    <n v="44156.959999999999"/>
    <n v="0"/>
    <n v="1270.2181021199999"/>
    <n v="252.85805300060019"/>
    <n v="0"/>
    <n v="0"/>
    <n v="0"/>
    <n v="42887"/>
    <n v="0"/>
    <n v="0"/>
    <n v="0"/>
    <n v="0"/>
  </r>
  <r>
    <x v="550"/>
    <s v="ENGLISH DUBAULI"/>
    <s v="MPG"/>
    <s v="Direct"/>
    <n v="765.19999999999993"/>
    <n v="27191.810000000005"/>
    <n v="803.15000000000009"/>
    <n v="31754.034958060827"/>
    <n v="23.809999999999995"/>
    <n v="1437.3554162969001"/>
    <n v="826.96"/>
    <n v="33191.390374357725"/>
    <n v="27191.810000000005"/>
    <n v="0"/>
    <n v="1437.3554162969001"/>
    <n v="5999.5803743577198"/>
    <n v="0"/>
    <n v="0"/>
    <n v="0"/>
    <n v="25754"/>
    <n v="0"/>
    <n v="0"/>
    <n v="0"/>
    <s v="Release1"/>
  </r>
  <r>
    <x v="551"/>
    <s v="Ramo Bariya"/>
    <s v="MPG"/>
    <s v="Direct"/>
    <n v="825.4"/>
    <n v="30147.18"/>
    <n v="918.81"/>
    <n v="33086.009737836001"/>
    <n v="9.51"/>
    <n v="416.448215172"/>
    <n v="928.31999999999994"/>
    <n v="33502.457953008001"/>
    <n v="30147.18"/>
    <n v="0"/>
    <n v="416.448215172"/>
    <n v="3355.2779530080006"/>
    <n v="0"/>
    <n v="0"/>
    <n v="0"/>
    <n v="29731"/>
    <n v="0"/>
    <n v="0"/>
    <n v="0"/>
    <s v="Release1"/>
  </r>
  <r>
    <x v="552"/>
    <s v="HITAN PARARI"/>
    <s v="MPG"/>
    <s v="Direct"/>
    <n v="1100.2"/>
    <n v="43848.810000000005"/>
    <n v="1113.19"/>
    <n v="46950.108296503138"/>
    <n v="0"/>
    <n v="0"/>
    <n v="1113.19"/>
    <n v="46950.108296503138"/>
    <n v="43848.810000000005"/>
    <n v="0"/>
    <n v="0"/>
    <n v="3101.2982965031333"/>
    <n v="0"/>
    <n v="0"/>
    <n v="0"/>
    <n v="43849"/>
    <n v="0"/>
    <n v="0"/>
    <n v="0"/>
    <n v="0"/>
  </r>
  <r>
    <x v="553"/>
    <s v="Gangauli"/>
    <s v="MPG"/>
    <s v="Direct"/>
    <n v="1048.6000000000001"/>
    <n v="42590.52"/>
    <n v="1075.5999999999999"/>
    <n v="43728.601783505481"/>
    <n v="2.5"/>
    <n v="92.059498080000012"/>
    <n v="1078.0999999999999"/>
    <n v="43820.661281585482"/>
    <n v="42590.52"/>
    <n v="0"/>
    <n v="92.059498080000012"/>
    <n v="1230.1412815854856"/>
    <n v="0"/>
    <n v="0"/>
    <n v="0"/>
    <n v="42498"/>
    <n v="0"/>
    <n v="0"/>
    <n v="0"/>
    <n v="0"/>
  </r>
  <r>
    <x v="554"/>
    <s v="MATHURA DERA"/>
    <s v="MPG"/>
    <s v="Direct"/>
    <n v="999.8"/>
    <n v="35995.21"/>
    <n v="1099.5999999999999"/>
    <n v="41153.270365924014"/>
    <n v="1.5"/>
    <n v="52.669683000000006"/>
    <n v="1101.0999999999999"/>
    <n v="41205.940048924014"/>
    <n v="35995.21"/>
    <n v="0"/>
    <n v="52.669683000000006"/>
    <n v="5210.7300489240151"/>
    <n v="0"/>
    <n v="0"/>
    <n v="0"/>
    <n v="35943"/>
    <n v="0"/>
    <n v="0"/>
    <n v="0"/>
    <s v="Release1"/>
  </r>
  <r>
    <x v="555"/>
    <s v="NANDAN"/>
    <s v="MPG"/>
    <s v="Direct"/>
    <n v="503.19999999999993"/>
    <n v="20829.989999999991"/>
    <n v="504"/>
    <n v="20823.796224000002"/>
    <n v="0"/>
    <n v="0"/>
    <n v="504"/>
    <n v="20823.796224000002"/>
    <n v="20823.796224000002"/>
    <n v="0"/>
    <n v="0"/>
    <n v="0"/>
    <n v="0"/>
    <n v="0"/>
    <n v="0"/>
    <n v="20824"/>
    <n v="0"/>
    <n v="0"/>
    <n v="6"/>
    <n v="0"/>
  </r>
  <r>
    <x v="556"/>
    <s v="RAJAPUR"/>
    <s v="MPG"/>
    <s v="Direct"/>
    <n v="61.900000000000006"/>
    <n v="2221.7599999999998"/>
    <n v="60.099999999999994"/>
    <n v="2211.6539491200001"/>
    <n v="0"/>
    <n v="0"/>
    <n v="60.099999999999994"/>
    <n v="2211.6539491200001"/>
    <n v="2211.6539491200001"/>
    <n v="0"/>
    <n v="0"/>
    <n v="0"/>
    <n v="0"/>
    <n v="0"/>
    <n v="0"/>
    <n v="2212"/>
    <n v="0"/>
    <n v="0"/>
    <n v="10"/>
    <n v="0"/>
  </r>
  <r>
    <x v="557"/>
    <s v="HEMDAPUR"/>
    <s v="MPG"/>
    <s v="Direct"/>
    <n v="677.7"/>
    <n v="24400.55"/>
    <n v="679.3"/>
    <n v="25460.726116320002"/>
    <n v="0"/>
    <n v="0"/>
    <n v="679.3"/>
    <n v="25460.726116320002"/>
    <n v="24400.55"/>
    <n v="0"/>
    <n v="0"/>
    <n v="1060.1761163200026"/>
    <n v="0"/>
    <n v="0"/>
    <n v="0"/>
    <n v="24401"/>
    <n v="0"/>
    <n v="0"/>
    <n v="0"/>
    <n v="0"/>
  </r>
  <r>
    <x v="558"/>
    <s v="Chaugain"/>
    <s v="MPG"/>
    <s v="Direct"/>
    <n v="120.2"/>
    <n v="4234.87"/>
    <n v="119"/>
    <n v="4209.8696640000007"/>
    <n v="0"/>
    <n v="0"/>
    <n v="119"/>
    <n v="4209.8696640000007"/>
    <n v="4209.8696640000007"/>
    <n v="0"/>
    <n v="0"/>
    <n v="0"/>
    <n v="0"/>
    <n v="0"/>
    <n v="0"/>
    <n v="4210"/>
    <n v="0"/>
    <n v="0"/>
    <n v="25"/>
    <n v="0"/>
  </r>
  <r>
    <x v="559"/>
    <s v="Akalupur"/>
    <s v="MPG"/>
    <s v="Direct"/>
    <n v="164.9"/>
    <n v="5826.23"/>
    <n v="164"/>
    <n v="5801.8371840000009"/>
    <n v="0"/>
    <n v="0"/>
    <n v="164"/>
    <n v="5801.8371840000009"/>
    <n v="5801.8371840000009"/>
    <n v="0"/>
    <n v="0"/>
    <n v="0"/>
    <n v="0"/>
    <n v="0"/>
    <n v="0"/>
    <n v="5802"/>
    <n v="0"/>
    <n v="0"/>
    <n v="24"/>
    <n v="0"/>
  </r>
  <r>
    <x v="560"/>
    <s v="Chhotka Sihanpura"/>
    <s v="MPG"/>
    <s v="Direct"/>
    <n v="522.80000000000007"/>
    <n v="16925.75"/>
    <n v="565.09999999999991"/>
    <n v="21094.852531896002"/>
    <n v="23.1"/>
    <n v="835.74498902400001"/>
    <n v="588.19999999999993"/>
    <n v="21930.597520920001"/>
    <n v="16925.75"/>
    <n v="0"/>
    <n v="310.70456445599996"/>
    <n v="5004.8475209200005"/>
    <n v="0"/>
    <n v="0"/>
    <n v="0"/>
    <n v="16090"/>
    <n v="525"/>
    <n v="0"/>
    <n v="0"/>
    <n v="0"/>
  </r>
  <r>
    <x v="561"/>
    <s v="Dharauli"/>
    <s v="MPG"/>
    <s v="Direct"/>
    <n v="370.99999999999994"/>
    <n v="14148.639999999998"/>
    <n v="366.80000000000007"/>
    <n v="13915.052226575501"/>
    <n v="5.4000000000000012"/>
    <n v="202.20332220000003"/>
    <n v="372.20000000000005"/>
    <n v="14117.255548775502"/>
    <n v="14117.255548775502"/>
    <n v="0"/>
    <n v="202.20332220000003"/>
    <n v="0"/>
    <n v="0"/>
    <n v="0"/>
    <n v="0"/>
    <n v="13916"/>
    <n v="0"/>
    <n v="0"/>
    <n v="30"/>
    <n v="0"/>
  </r>
  <r>
    <x v="562"/>
    <s v="Kaithi"/>
    <s v="MPG"/>
    <s v="Direct"/>
    <n v="283.40000000000003"/>
    <n v="8916.1"/>
    <n v="239"/>
    <n v="8893.0923839999996"/>
    <n v="0"/>
    <n v="0"/>
    <n v="239"/>
    <n v="8893.0923839999996"/>
    <n v="8893.0923839999996"/>
    <n v="0"/>
    <n v="0"/>
    <n v="0"/>
    <n v="0"/>
    <n v="0"/>
    <n v="0"/>
    <n v="8893"/>
    <n v="0"/>
    <n v="0"/>
    <n v="23"/>
    <n v="0"/>
  </r>
  <r>
    <x v="563"/>
    <s v="Rangi Dera"/>
    <s v="MPG"/>
    <s v="Direct"/>
    <n v="236.3"/>
    <n v="8610.2800000000007"/>
    <n v="235"/>
    <n v="8592.7881600000019"/>
    <n v="0"/>
    <n v="0"/>
    <n v="235"/>
    <n v="8592.7881600000019"/>
    <n v="8592.7881600000019"/>
    <n v="0"/>
    <n v="0"/>
    <n v="0"/>
    <n v="0"/>
    <n v="0"/>
    <n v="0"/>
    <n v="8593"/>
    <n v="0"/>
    <n v="0"/>
    <n v="17"/>
    <n v="0"/>
  </r>
  <r>
    <x v="564"/>
    <s v="Dubki"/>
    <s v="MPG"/>
    <s v="Direct"/>
    <n v="378.70000000000005"/>
    <n v="16610.43"/>
    <n v="377.79999999999995"/>
    <n v="17850.576059536957"/>
    <n v="1.27"/>
    <n v="48.991888440000011"/>
    <n v="379.06999999999994"/>
    <n v="17899.567947976957"/>
    <n v="16610.43"/>
    <n v="0"/>
    <n v="48.991888440000011"/>
    <n v="1289.1379479769566"/>
    <n v="0"/>
    <n v="0"/>
    <n v="0"/>
    <n v="16561"/>
    <n v="0"/>
    <n v="0"/>
    <n v="0"/>
    <n v="0"/>
  </r>
  <r>
    <x v="939"/>
    <s v="Sonvarsa"/>
    <s v="MPG"/>
    <s v="Direct"/>
    <n v="65.400000000000006"/>
    <n v="2338.3900000000003"/>
    <n v="130.07"/>
    <n v="4800.0077921276552"/>
    <n v="0.41000000000000003"/>
    <n v="18.668129323919999"/>
    <n v="130.47999999999999"/>
    <n v="4818.6759214515751"/>
    <n v="2338.3900000000003"/>
    <n v="0"/>
    <n v="18.668129323919999"/>
    <n v="2480.2859214515747"/>
    <n v="0"/>
    <n v="0"/>
    <n v="0"/>
    <n v="2320"/>
    <n v="0"/>
    <n v="0"/>
    <n v="0"/>
    <n v="0"/>
  </r>
  <r>
    <x v="565"/>
    <s v="Soan"/>
    <s v="MPG"/>
    <s v="Direct"/>
    <n v="518.5"/>
    <n v="20980.590000000004"/>
    <n v="549.62999999999988"/>
    <n v="22963.555211002815"/>
    <n v="6.25"/>
    <n v="268.74228254705804"/>
    <n v="555.87999999999988"/>
    <n v="23232.297493549871"/>
    <n v="20980.590000000004"/>
    <n v="0"/>
    <n v="268.74228254705804"/>
    <n v="2251.7074935498676"/>
    <n v="0"/>
    <n v="0"/>
    <n v="0"/>
    <n v="20712"/>
    <n v="0"/>
    <n v="0"/>
    <n v="0"/>
    <n v="0"/>
  </r>
  <r>
    <x v="566"/>
    <s v="PURANA BHOJPUR                                                                                      "/>
    <s v="MPG"/>
    <s v="Direct"/>
    <n v="407.50000000000011"/>
    <n v="15308.490000000003"/>
    <n v="905.5"/>
    <n v="36165.412007999999"/>
    <n v="0"/>
    <n v="0"/>
    <n v="905.5"/>
    <n v="36165.412007999999"/>
    <n v="15308.490000000003"/>
    <n v="0"/>
    <n v="0"/>
    <n v="20856.922007999994"/>
    <n v="2540"/>
    <n v="0"/>
    <n v="0"/>
    <n v="12768"/>
    <n v="0"/>
    <n v="0"/>
    <n v="0"/>
    <s v="Release1"/>
  </r>
  <r>
    <x v="567"/>
    <s v="Gomukh Kant"/>
    <s v="MPG"/>
    <s v="Direct"/>
    <n v="290.5"/>
    <n v="13606.18"/>
    <n v="294.40000000000003"/>
    <n v="15988.575208989423"/>
    <n v="2.0000000000000004"/>
    <n v="105.55038600118003"/>
    <n v="296.40000000000003"/>
    <n v="16094.125594990603"/>
    <n v="13606.18"/>
    <n v="0"/>
    <n v="105.55038600118003"/>
    <n v="2487.9455949906023"/>
    <n v="0"/>
    <n v="0"/>
    <n v="0"/>
    <n v="13501"/>
    <n v="0"/>
    <n v="0"/>
    <n v="0"/>
    <n v="0"/>
  </r>
  <r>
    <x v="568"/>
    <s v="Gomukh Naat"/>
    <s v="MPG"/>
    <s v="Direct"/>
    <n v="268.2"/>
    <n v="10423.530000000001"/>
    <n v="288.22000000000003"/>
    <n v="11327.874172164"/>
    <n v="0"/>
    <n v="0"/>
    <n v="288.22000000000003"/>
    <n v="11327.874172164"/>
    <n v="10423.530000000001"/>
    <n v="0"/>
    <n v="0"/>
    <n v="904.34417216399925"/>
    <n v="0"/>
    <n v="0"/>
    <n v="0"/>
    <n v="10424"/>
    <n v="0"/>
    <n v="0"/>
    <n v="0"/>
    <n v="0"/>
  </r>
  <r>
    <x v="569"/>
    <s v="Gomukh Raghunathpur"/>
    <s v="MPG"/>
    <s v="Direct"/>
    <n v="419.50000000000006"/>
    <n v="15311.900000000001"/>
    <n v="414.9"/>
    <n v="14998.063297202001"/>
    <n v="7"/>
    <n v="250.213491"/>
    <n v="421.9"/>
    <n v="15248.276788202002"/>
    <n v="15248.276788202002"/>
    <n v="0"/>
    <n v="250.213491"/>
    <n v="0"/>
    <n v="0"/>
    <n v="0"/>
    <n v="0"/>
    <n v="14998"/>
    <n v="0"/>
    <n v="0"/>
    <n v="64"/>
    <n v="0"/>
  </r>
  <r>
    <x v="570"/>
    <s v="Gomukh Tilakraika Hata 1 - Manoj"/>
    <s v="vlc"/>
    <s v="Indirect"/>
    <n v="1768.9"/>
    <n v="60777.740000000005"/>
    <n v="0"/>
    <n v="0"/>
    <n v="0"/>
    <n v="0"/>
    <n v="0"/>
    <n v="0"/>
    <n v="60777.740000000005"/>
    <n v="0"/>
    <n v="0"/>
    <n v="0"/>
    <n v="0"/>
    <n v="0"/>
    <n v="0"/>
    <n v="0"/>
    <n v="0"/>
    <n v="60777.740000000005"/>
    <n v="0"/>
    <n v="0"/>
  </r>
  <r>
    <x v="571"/>
    <s v="Gomukh Murar"/>
    <s v="MPG"/>
    <s v="Direct"/>
    <n v="881.20000000000027"/>
    <n v="34049.339999999997"/>
    <n v="533.59999999999991"/>
    <n v="20811.143506626002"/>
    <n v="421.1"/>
    <n v="18341.308156656632"/>
    <n v="954.69999999999993"/>
    <n v="39152.451663282634"/>
    <n v="34049.339999999997"/>
    <n v="0"/>
    <n v="248.14256227199999"/>
    <n v="5103.1116632826379"/>
    <n v="0"/>
    <n v="0"/>
    <n v="0"/>
    <n v="15708"/>
    <n v="18093"/>
    <n v="0"/>
    <n v="0"/>
    <n v="0"/>
  </r>
  <r>
    <x v="572"/>
    <s v="Gomukh Churamanpur                                                                                  "/>
    <s v="MPG"/>
    <s v="Direct"/>
    <n v="275.3"/>
    <n v="10431.32"/>
    <n v="291.70999999999998"/>
    <n v="11385.675895662902"/>
    <n v="0"/>
    <n v="0"/>
    <n v="291.70999999999998"/>
    <n v="11385.675895662902"/>
    <n v="10431.32"/>
    <n v="0"/>
    <n v="0"/>
    <n v="954.35589566290218"/>
    <n v="0"/>
    <n v="0"/>
    <n v="0"/>
    <n v="10431"/>
    <n v="0"/>
    <n v="0"/>
    <n v="0"/>
    <s v="Release1"/>
  </r>
  <r>
    <x v="573"/>
    <s v="Gomukh Ekauni Karuwaj"/>
    <s v="MPG"/>
    <s v="Direct"/>
    <n v="322.59999999999997"/>
    <n v="13734.07"/>
    <n v="74.100000000000009"/>
    <n v="3727.6302756062005"/>
    <n v="346.70000000000005"/>
    <n v="16463.998365261901"/>
    <n v="420.80000000000007"/>
    <n v="20191.628640868101"/>
    <n v="13734.07"/>
    <n v="0"/>
    <n v="0"/>
    <n v="6457.5586408681011"/>
    <n v="0"/>
    <n v="0"/>
    <n v="0"/>
    <n v="0"/>
    <n v="13734"/>
    <n v="0"/>
    <n v="0"/>
    <s v="Release1"/>
  </r>
  <r>
    <x v="574"/>
    <s v="Kulharia Agriculture Producer Company Limited"/>
    <s v="MPG"/>
    <s v="Direct"/>
    <n v="1746.4"/>
    <n v="66573.049999999988"/>
    <n v="1698.0700000000002"/>
    <n v="66001.829450095305"/>
    <n v="14.74"/>
    <n v="558.84161757600009"/>
    <n v="1712.8100000000002"/>
    <n v="66560.671067671312"/>
    <n v="66560.671067671312"/>
    <n v="0"/>
    <n v="558.84161757600009"/>
    <n v="0"/>
    <n v="0"/>
    <n v="0"/>
    <n v="0"/>
    <n v="66003"/>
    <n v="0"/>
    <n v="0"/>
    <n v="11"/>
    <n v="0"/>
  </r>
  <r>
    <x v="575"/>
    <s v="Gomukh Dhakaich"/>
    <s v="MPG"/>
    <s v="Direct"/>
    <n v="259.7"/>
    <n v="8850.91"/>
    <n v="281.85000000000002"/>
    <n v="9958.3156167264024"/>
    <n v="0"/>
    <n v="0"/>
    <n v="281.85000000000002"/>
    <n v="9958.3156167264024"/>
    <n v="8850.91"/>
    <n v="0"/>
    <n v="0"/>
    <n v="1107.4056167264025"/>
    <n v="1300"/>
    <n v="0"/>
    <n v="0"/>
    <n v="7551"/>
    <n v="0"/>
    <n v="0"/>
    <n v="0"/>
    <s v="Release1"/>
  </r>
  <r>
    <x v="576"/>
    <s v="Gomukh Kajipura Chandan"/>
    <s v="vlc"/>
    <s v="Indirect"/>
    <n v="508.70000000000005"/>
    <n v="19068.330000000002"/>
    <n v="0"/>
    <n v="0"/>
    <n v="0"/>
    <n v="0"/>
    <n v="0"/>
    <n v="0"/>
    <n v="19068.330000000002"/>
    <n v="0"/>
    <n v="0"/>
    <n v="0"/>
    <n v="0"/>
    <n v="0"/>
    <n v="0"/>
    <n v="0"/>
    <n v="0"/>
    <n v="19068.330000000002"/>
    <n v="0"/>
    <n v="0"/>
  </r>
  <r>
    <x v="577"/>
    <s v="Gomukh Sikraul Lakh"/>
    <s v="MPG"/>
    <s v="Direct"/>
    <n v="423.7"/>
    <n v="16320.599999999999"/>
    <n v="419.25"/>
    <n v="16138.396659528"/>
    <n v="4.160000000000001"/>
    <n v="160.49778188400001"/>
    <n v="423.41"/>
    <n v="16298.894441412"/>
    <n v="16298.894441412"/>
    <n v="0"/>
    <n v="160.49778188400001"/>
    <n v="0"/>
    <n v="0"/>
    <n v="0"/>
    <n v="0"/>
    <n v="16139"/>
    <n v="0"/>
    <n v="0"/>
    <n v="21"/>
    <n v="0"/>
  </r>
  <r>
    <x v="578"/>
    <s v="Gomukh Dafadihari"/>
    <s v="MPG"/>
    <s v="Direct"/>
    <n v="141.4"/>
    <n v="4994.38"/>
    <n v="154.32999999999998"/>
    <n v="5586.36518046321"/>
    <n v="2.6"/>
    <n v="102.61961423999999"/>
    <n v="156.92999999999998"/>
    <n v="5688.9847947032104"/>
    <n v="4994.38"/>
    <n v="0"/>
    <n v="102.61961423999999"/>
    <n v="694.60479470321025"/>
    <n v="0"/>
    <n v="0"/>
    <n v="0"/>
    <n v="4892"/>
    <n v="0"/>
    <n v="0"/>
    <n v="0"/>
    <s v="Release1"/>
  </r>
  <r>
    <x v="579"/>
    <s v="Gomukh Paharpur"/>
    <s v="MPG"/>
    <s v="Direct"/>
    <n v="217.29999999999998"/>
    <n v="7495.4999999999991"/>
    <n v="216"/>
    <n v="7470.3720960000001"/>
    <n v="0"/>
    <n v="0"/>
    <n v="216"/>
    <n v="7470.3720960000001"/>
    <n v="7470.3720960000001"/>
    <n v="0"/>
    <n v="0"/>
    <n v="0"/>
    <n v="0"/>
    <n v="0"/>
    <n v="0"/>
    <n v="7470"/>
    <n v="0"/>
    <n v="0"/>
    <n v="25"/>
    <n v="0"/>
  </r>
  <r>
    <x v="580"/>
    <s v="Gomukh Basaon Kalan"/>
    <s v="MPG"/>
    <s v="Direct"/>
    <n v="160.5"/>
    <n v="5673.4000000000005"/>
    <n v="158.30000000000001"/>
    <n v="5670.2066058"/>
    <n v="0"/>
    <n v="0"/>
    <n v="158.30000000000001"/>
    <n v="5670.2066058"/>
    <n v="5670.2066058"/>
    <n v="0"/>
    <n v="0"/>
    <n v="0"/>
    <n v="0"/>
    <n v="0"/>
    <n v="0"/>
    <n v="5670"/>
    <n v="0"/>
    <n v="0"/>
    <n v="3"/>
    <n v="0"/>
  </r>
  <r>
    <x v="581"/>
    <s v="Gomukh Mangolpur"/>
    <s v="MPG"/>
    <s v="Direct"/>
    <n v="290.10000000000002"/>
    <n v="9682.5099999999984"/>
    <n v="289.2"/>
    <n v="9888.6990460943725"/>
    <n v="4.5"/>
    <n v="149.62686948000001"/>
    <n v="293.7"/>
    <n v="10038.325915574373"/>
    <n v="9682.5099999999984"/>
    <n v="0"/>
    <n v="149.62686948000001"/>
    <n v="355.81591557437423"/>
    <n v="0"/>
    <n v="0"/>
    <n v="0"/>
    <n v="9533"/>
    <n v="0"/>
    <n v="0"/>
    <n v="0"/>
    <n v="0"/>
  </r>
  <r>
    <x v="582"/>
    <s v="Gomukh Dhanipur"/>
    <s v="MPG"/>
    <s v="Direct"/>
    <n v="164.8"/>
    <n v="6291.2"/>
    <n v="158.93000000000004"/>
    <n v="6864.1279963833003"/>
    <n v="0"/>
    <n v="0"/>
    <n v="158.93000000000004"/>
    <n v="6864.1279963833003"/>
    <n v="6291.2"/>
    <n v="0"/>
    <n v="0"/>
    <n v="572.92799638330052"/>
    <n v="0"/>
    <n v="0"/>
    <n v="0"/>
    <n v="6291"/>
    <n v="0"/>
    <n v="0"/>
    <n v="0"/>
    <n v="0"/>
  </r>
  <r>
    <x v="583"/>
    <s v="Gomukh Rakshanagar_tola"/>
    <s v="MPG"/>
    <s v="Direct"/>
    <n v="483.10000000000008"/>
    <n v="18652.940000000002"/>
    <n v="607.70000000000005"/>
    <n v="24293.658097559604"/>
    <n v="0"/>
    <n v="0"/>
    <n v="607.70000000000005"/>
    <n v="24293.658097559604"/>
    <n v="18652.940000000002"/>
    <n v="0"/>
    <n v="0"/>
    <n v="5640.718097559602"/>
    <n v="0"/>
    <n v="0"/>
    <n v="0"/>
    <n v="18653"/>
    <n v="0"/>
    <n v="0"/>
    <n v="0"/>
    <n v="0"/>
  </r>
  <r>
    <x v="584"/>
    <s v="Gomukh Nadaon"/>
    <s v="MPG"/>
    <s v="Direct"/>
    <n v="202.1"/>
    <n v="6881.2000000000007"/>
    <n v="230"/>
    <n v="9533.298060000001"/>
    <n v="2"/>
    <n v="82.898244000000005"/>
    <n v="232"/>
    <n v="9616.196304000001"/>
    <n v="6881.2000000000007"/>
    <n v="0"/>
    <n v="82.898244000000005"/>
    <n v="2734.9963040000002"/>
    <n v="0"/>
    <n v="0"/>
    <n v="0"/>
    <n v="6798"/>
    <n v="0"/>
    <n v="0"/>
    <n v="0"/>
    <n v="0"/>
  </r>
  <r>
    <x v="585"/>
    <s v="Gomukh Bimhnath Girdhar Baraw"/>
    <s v="vlc"/>
    <s v="Indirect"/>
    <n v="390.1"/>
    <n v="16725.910000000003"/>
    <n v="0"/>
    <n v="0"/>
    <n v="0"/>
    <n v="0"/>
    <n v="0"/>
    <n v="0"/>
    <n v="16725.910000000003"/>
    <n v="0"/>
    <n v="0"/>
    <n v="0"/>
    <n v="0"/>
    <n v="0"/>
    <n v="0"/>
    <n v="0"/>
    <n v="0"/>
    <n v="16725.910000000003"/>
    <n v="0"/>
    <n v="0"/>
  </r>
  <r>
    <x v="586"/>
    <s v="Gomukh Mathuradera Upendra "/>
    <s v="vlc"/>
    <s v="Indirect"/>
    <n v="422.59999999999997"/>
    <n v="14785.53"/>
    <n v="0"/>
    <n v="0"/>
    <n v="0"/>
    <n v="0"/>
    <n v="0"/>
    <n v="0"/>
    <n v="14785.53"/>
    <n v="0"/>
    <n v="0"/>
    <n v="0"/>
    <n v="0"/>
    <n v="0"/>
    <n v="0"/>
    <n v="0"/>
    <n v="0"/>
    <n v="14785.53"/>
    <n v="0"/>
    <n v="0"/>
  </r>
  <r>
    <x v="999"/>
    <s v="Gomukh Dalsagar Pachhim"/>
    <s v="MPG"/>
    <s v="Direct"/>
    <n v="30"/>
    <n v="1061.4000000000001"/>
    <n v="30"/>
    <n v="1061.31168"/>
    <n v="0"/>
    <n v="0"/>
    <n v="30"/>
    <n v="1061.31168"/>
    <n v="1061.31168"/>
    <n v="0"/>
    <n v="0"/>
    <n v="0"/>
    <n v="0"/>
    <n v="0"/>
    <n v="0"/>
    <n v="1061"/>
    <n v="0"/>
    <n v="0"/>
    <n v="0"/>
    <n v="0"/>
  </r>
  <r>
    <x v="587"/>
    <s v="Gomukh Badkagaon Yamunatola"/>
    <s v="MPG"/>
    <s v="Direct"/>
    <n v="26.5"/>
    <n v="972.38999999999987"/>
    <n v="26.8"/>
    <n v="969.3317620800002"/>
    <n v="0"/>
    <n v="0"/>
    <n v="26.8"/>
    <n v="969.3317620800002"/>
    <n v="969.3317620800002"/>
    <n v="0"/>
    <n v="0"/>
    <n v="0"/>
    <n v="0"/>
    <n v="0"/>
    <n v="0"/>
    <n v="969"/>
    <n v="0"/>
    <n v="0"/>
    <n v="3"/>
    <n v="0"/>
  </r>
  <r>
    <x v="588"/>
    <s v="Gomukh Bramhpur"/>
    <s v="MPG"/>
    <s v="Direct"/>
    <n v="208.70000000000002"/>
    <n v="7111.38"/>
    <n v="210.7"/>
    <n v="8887.8390021082814"/>
    <n v="0"/>
    <n v="0"/>
    <n v="210.7"/>
    <n v="8887.8390021082814"/>
    <n v="7111.38"/>
    <n v="0"/>
    <n v="0"/>
    <n v="1776.4590021082813"/>
    <n v="0"/>
    <n v="0"/>
    <n v="0"/>
    <n v="7111"/>
    <n v="0"/>
    <n v="0"/>
    <n v="0"/>
    <n v="0"/>
  </r>
  <r>
    <x v="589"/>
    <s v="Gomukh Mashariya"/>
    <s v="MPG"/>
    <s v="Direct"/>
    <n v="719.9"/>
    <n v="26647.57"/>
    <n v="502.74"/>
    <n v="21671.038635152167"/>
    <n v="286"/>
    <n v="10974.345909024698"/>
    <n v="788.74"/>
    <n v="32645.384544176864"/>
    <n v="26647.57"/>
    <n v="0"/>
    <n v="1372.042640891"/>
    <n v="5997.8145441768647"/>
    <n v="0"/>
    <n v="0"/>
    <n v="0"/>
    <n v="15673"/>
    <n v="9603"/>
    <n v="0"/>
    <n v="0"/>
    <n v="0"/>
  </r>
  <r>
    <x v="590"/>
    <s v="Gomukh Basawkala Sudhir Kumar"/>
    <s v="vlc"/>
    <s v="Indirect"/>
    <n v="58.8"/>
    <n v="2014.4"/>
    <n v="0"/>
    <n v="0"/>
    <n v="0"/>
    <n v="0"/>
    <n v="0"/>
    <n v="0"/>
    <n v="2014.4"/>
    <n v="0"/>
    <n v="0"/>
    <n v="0"/>
    <n v="0"/>
    <n v="0"/>
    <n v="0"/>
    <n v="0"/>
    <n v="0"/>
    <n v="2014.4"/>
    <n v="0"/>
    <n v="0"/>
  </r>
  <r>
    <x v="591"/>
    <s v="Gomukh KritSagar"/>
    <s v="MPG"/>
    <s v="Direct"/>
    <n v="296.89999999999998"/>
    <n v="11995.779999999999"/>
    <n v="297"/>
    <n v="11957.553234000001"/>
    <n v="0"/>
    <n v="0"/>
    <n v="297"/>
    <n v="11957.553234000001"/>
    <n v="11957.553234000001"/>
    <n v="0"/>
    <n v="0"/>
    <n v="0"/>
    <n v="0"/>
    <n v="0"/>
    <n v="0"/>
    <n v="11958"/>
    <n v="0"/>
    <n v="0"/>
    <n v="38"/>
    <n v="0"/>
  </r>
  <r>
    <x v="592"/>
    <s v="Gomukh Navdera Jaipraksh"/>
    <s v="vlc"/>
    <s v="Indirect"/>
    <n v="1466.8"/>
    <n v="55366.689999999995"/>
    <n v="0"/>
    <n v="0"/>
    <n v="0"/>
    <n v="0"/>
    <n v="0"/>
    <n v="0"/>
    <n v="55366.689999999995"/>
    <n v="0"/>
    <n v="0"/>
    <n v="0"/>
    <n v="0"/>
    <n v="0"/>
    <n v="0"/>
    <n v="0"/>
    <n v="0"/>
    <n v="55366.689999999995"/>
    <n v="0"/>
    <n v="0"/>
  </r>
  <r>
    <x v="593"/>
    <s v="Gomukh Ataon"/>
    <s v="MPG"/>
    <s v="Direct"/>
    <n v="545.70000000000005"/>
    <n v="22957.040000000001"/>
    <n v="721.88000000000011"/>
    <n v="32781.096019542943"/>
    <n v="0"/>
    <n v="0"/>
    <n v="721.88000000000011"/>
    <n v="32781.096019542943"/>
    <n v="22957.040000000001"/>
    <n v="0"/>
    <n v="0"/>
    <n v="9824.0560195429425"/>
    <n v="0"/>
    <n v="0"/>
    <n v="0"/>
    <n v="22957"/>
    <n v="0"/>
    <n v="0"/>
    <n v="0"/>
    <s v="Release1"/>
  </r>
  <r>
    <x v="594"/>
    <s v="Gumukh Gayghat"/>
    <s v="MPG"/>
    <s v="Direct"/>
    <n v="787.9"/>
    <n v="29013.350000000006"/>
    <n v="793.01"/>
    <n v="32323.418538366965"/>
    <n v="0"/>
    <n v="0"/>
    <n v="793.01"/>
    <n v="32323.418538366965"/>
    <n v="29013.350000000006"/>
    <n v="0"/>
    <n v="0"/>
    <n v="3310.0685383669588"/>
    <n v="0"/>
    <n v="0"/>
    <n v="0"/>
    <n v="29013"/>
    <n v="0"/>
    <n v="0"/>
    <n v="0"/>
    <n v="0"/>
  </r>
  <r>
    <x v="596"/>
    <s v="Gomukh Chakki Janardan Yadav"/>
    <s v="vlc"/>
    <s v="Indirect"/>
    <n v="279.39999999999998"/>
    <n v="9577.43"/>
    <n v="0"/>
    <n v="0"/>
    <n v="0"/>
    <n v="0"/>
    <n v="0"/>
    <n v="0"/>
    <n v="9577.43"/>
    <n v="0"/>
    <n v="0"/>
    <n v="0"/>
    <n v="0"/>
    <n v="0"/>
    <n v="0"/>
    <n v="0"/>
    <n v="0"/>
    <n v="9577.43"/>
    <n v="0"/>
    <n v="0"/>
  </r>
  <r>
    <x v="597"/>
    <s v="Gomukh Rajpur"/>
    <s v="MPG"/>
    <s v="Direct"/>
    <n v="1260.2"/>
    <n v="47900.01"/>
    <n v="1248.9599999999998"/>
    <n v="48094.141852142697"/>
    <n v="15.790000000000001"/>
    <n v="614.47955429520005"/>
    <n v="1264.7499999999998"/>
    <n v="48708.621406437895"/>
    <n v="47900.01"/>
    <n v="0"/>
    <n v="614.47955429520005"/>
    <n v="808.61140643789258"/>
    <n v="0"/>
    <n v="0"/>
    <n v="0"/>
    <n v="47286"/>
    <n v="0"/>
    <n v="0"/>
    <n v="0"/>
    <s v="Release1"/>
  </r>
  <r>
    <x v="598"/>
    <s v="Gomukh Gangauli Dubha"/>
    <s v="MPG"/>
    <s v="Direct"/>
    <n v="125.6"/>
    <n v="4651.22"/>
    <n v="124.89999999999998"/>
    <n v="4717.06616304"/>
    <n v="2"/>
    <n v="74.687813640000016"/>
    <n v="126.89999999999998"/>
    <n v="4791.7539766800001"/>
    <n v="4651.22"/>
    <n v="0"/>
    <n v="74.687813640000016"/>
    <n v="140.5339766799998"/>
    <n v="3840"/>
    <n v="0"/>
    <n v="0"/>
    <n v="737"/>
    <n v="0"/>
    <n v="0"/>
    <n v="0"/>
    <s v="Release1"/>
  </r>
  <r>
    <x v="600"/>
    <s v="Gomukh Jagdishpur"/>
    <s v="MPG"/>
    <s v="Direct"/>
    <n v="1385.3999999999999"/>
    <n v="46804.499999999993"/>
    <n v="1385"/>
    <n v="46803.382560000013"/>
    <n v="0"/>
    <n v="0"/>
    <n v="1385"/>
    <n v="46803.382560000013"/>
    <n v="46803.382560000013"/>
    <n v="0"/>
    <n v="0"/>
    <n v="0"/>
    <n v="0"/>
    <n v="0"/>
    <n v="0"/>
    <n v="46803"/>
    <n v="0"/>
    <n v="0"/>
    <n v="1"/>
    <n v="0"/>
  </r>
  <r>
    <x v="1000"/>
    <s v="Gumukh Chakaura Rohit"/>
    <s v="vlc"/>
    <s v="Indirect"/>
    <n v="161.1"/>
    <n v="6402.37"/>
    <n v="0"/>
    <n v="0"/>
    <n v="0"/>
    <n v="0"/>
    <n v="0"/>
    <n v="0"/>
    <n v="6402.37"/>
    <n v="0"/>
    <n v="0"/>
    <n v="0"/>
    <n v="0"/>
    <n v="0"/>
    <n v="0"/>
    <n v="0"/>
    <n v="0"/>
    <n v="6402.37"/>
    <n v="0"/>
    <n v="0"/>
  </r>
  <r>
    <x v="1001"/>
    <s v="Gaya Jee Pathak"/>
    <s v="vlc"/>
    <s v="Indirect"/>
    <n v="81.099999999999994"/>
    <n v="2772.81"/>
    <n v="0"/>
    <n v="0"/>
    <n v="0"/>
    <n v="0"/>
    <n v="0"/>
    <n v="0"/>
    <n v="2772.81"/>
    <n v="0"/>
    <n v="0"/>
    <n v="0"/>
    <n v="0"/>
    <n v="0"/>
    <n v="0"/>
    <n v="0"/>
    <n v="0"/>
    <n v="2772.81"/>
    <n v="0"/>
    <n v="0"/>
  </r>
  <r>
    <x v="601"/>
    <s v="Gumukh Orap Khurd"/>
    <s v="MPG"/>
    <s v="Direct"/>
    <n v="519.70000000000005"/>
    <n v="18391.739999999994"/>
    <n v="1076.44"/>
    <n v="39156.178463820004"/>
    <n v="0"/>
    <n v="0"/>
    <n v="1076.44"/>
    <n v="39156.178463820004"/>
    <n v="18391.739999999994"/>
    <n v="0"/>
    <n v="0"/>
    <n v="20764.43846382001"/>
    <n v="541"/>
    <n v="0"/>
    <n v="0"/>
    <n v="17851"/>
    <n v="0"/>
    <n v="0"/>
    <n v="0"/>
    <s v="Release1"/>
  </r>
  <r>
    <x v="602"/>
    <s v="Gomukh Daunpura Manendra"/>
    <s v="vlc"/>
    <s v="Indirect"/>
    <n v="384.8"/>
    <n v="14395.029999999999"/>
    <n v="0"/>
    <n v="0"/>
    <n v="0"/>
    <n v="0"/>
    <n v="0"/>
    <n v="0"/>
    <n v="14395.029999999999"/>
    <n v="0"/>
    <n v="0"/>
    <n v="0"/>
    <n v="0"/>
    <n v="0"/>
    <n v="0"/>
    <n v="0"/>
    <n v="0"/>
    <n v="14395.029999999999"/>
    <n v="0"/>
    <n v="0"/>
  </r>
  <r>
    <x v="603"/>
    <s v="Gumukh Mathiyapur"/>
    <s v="MPG"/>
    <s v="Direct"/>
    <n v="246.6"/>
    <n v="9245.27"/>
    <n v="245.88"/>
    <n v="9243.1172845439996"/>
    <n v="0"/>
    <n v="0"/>
    <n v="245.88"/>
    <n v="9243.1172845439996"/>
    <n v="9243.1172845439996"/>
    <n v="0"/>
    <n v="0"/>
    <n v="0"/>
    <n v="0"/>
    <n v="0"/>
    <n v="0"/>
    <n v="9243"/>
    <n v="0"/>
    <n v="0"/>
    <n v="2"/>
    <n v="0"/>
  </r>
  <r>
    <x v="604"/>
    <s v="Gomukh Raghunathpur Dasrath"/>
    <s v="vlc"/>
    <s v="Indirect"/>
    <n v="963.4"/>
    <n v="37335.019999999997"/>
    <n v="0"/>
    <n v="0"/>
    <n v="0"/>
    <n v="0"/>
    <n v="0"/>
    <n v="0"/>
    <n v="37335.019999999997"/>
    <n v="0"/>
    <n v="0"/>
    <n v="0"/>
    <n v="0"/>
    <n v="0"/>
    <n v="0"/>
    <n v="0"/>
    <n v="0"/>
    <n v="37335.019999999997"/>
    <n v="0"/>
    <n v="0"/>
  </r>
  <r>
    <x v="605"/>
    <s v="Gomukh Lakshman Dera Raja"/>
    <s v="vlc"/>
    <s v="Indirect"/>
    <n v="261.8"/>
    <n v="9062.9399999999987"/>
    <n v="0"/>
    <n v="0"/>
    <n v="0"/>
    <n v="0"/>
    <n v="0"/>
    <n v="0"/>
    <n v="9062.9399999999987"/>
    <n v="0"/>
    <n v="0"/>
    <n v="0"/>
    <n v="0"/>
    <n v="0"/>
    <n v="0"/>
    <n v="0"/>
    <n v="0"/>
    <n v="9062.9399999999987"/>
    <n v="0"/>
    <n v="0"/>
  </r>
  <r>
    <x v="940"/>
    <s v="Sohan Narayan Farmer Dairy Producer Company Ltd"/>
    <s v="vlc"/>
    <s v="Indirect"/>
    <n v="3496.6"/>
    <n v="127159.17"/>
    <n v="0"/>
    <n v="0"/>
    <n v="0"/>
    <n v="0"/>
    <n v="0"/>
    <n v="0"/>
    <n v="127159.17"/>
    <n v="0"/>
    <n v="0"/>
    <n v="0"/>
    <n v="0"/>
    <n v="0"/>
    <n v="0"/>
    <n v="0"/>
    <n v="0"/>
    <n v="127159.17"/>
    <n v="0"/>
    <n v="0"/>
  </r>
  <r>
    <x v="606"/>
    <s v="Gomukh Arion Govind "/>
    <s v="vlc"/>
    <s v="Indirect"/>
    <n v="120.19999999999999"/>
    <n v="4688.3499999999995"/>
    <n v="0"/>
    <n v="0"/>
    <n v="0"/>
    <n v="0"/>
    <n v="0"/>
    <n v="0"/>
    <n v="4688.3499999999995"/>
    <n v="0"/>
    <n v="0"/>
    <n v="0"/>
    <n v="0"/>
    <n v="0"/>
    <n v="0"/>
    <n v="0"/>
    <n v="0"/>
    <n v="4688.3499999999995"/>
    <n v="0"/>
    <n v="0"/>
  </r>
  <r>
    <x v="607"/>
    <s v="Gumukh Niyajipur Nakchhedi Pathak Dera"/>
    <s v="MPG"/>
    <s v="Direct"/>
    <n v="347.40000000000003"/>
    <n v="15796.560000000001"/>
    <n v="351.8"/>
    <n v="17084.407027825102"/>
    <n v="0"/>
    <n v="0"/>
    <n v="351.8"/>
    <n v="17084.407027825102"/>
    <n v="15796.560000000001"/>
    <n v="0"/>
    <n v="0"/>
    <n v="1287.8470278251007"/>
    <n v="0"/>
    <n v="0"/>
    <n v="0"/>
    <n v="15797"/>
    <n v="0"/>
    <n v="0"/>
    <n v="0"/>
    <n v="0"/>
  </r>
  <r>
    <x v="608"/>
    <s v="Gumukh Basawkala Dahpura Tola"/>
    <s v="MPG"/>
    <s v="Direct"/>
    <n v="547.4"/>
    <n v="22265.82"/>
    <n v="547"/>
    <n v="22239.445734000001"/>
    <n v="0"/>
    <n v="0"/>
    <n v="547"/>
    <n v="22239.445734000001"/>
    <n v="22239.445734000001"/>
    <n v="0"/>
    <n v="0"/>
    <n v="0"/>
    <n v="0"/>
    <n v="0"/>
    <n v="0"/>
    <n v="22239"/>
    <n v="0"/>
    <n v="0"/>
    <n v="27"/>
    <n v="0"/>
  </r>
  <r>
    <x v="609"/>
    <s v="Gaachhi Tola"/>
    <s v="vlc"/>
    <s v="Indirect"/>
    <n v="1179.2"/>
    <n v="48904.85"/>
    <n v="0"/>
    <n v="0"/>
    <n v="0"/>
    <n v="0"/>
    <n v="0"/>
    <n v="0"/>
    <n v="48904.85"/>
    <n v="0"/>
    <n v="0"/>
    <n v="0"/>
    <n v="0"/>
    <n v="0"/>
    <n v="0"/>
    <n v="0"/>
    <n v="0"/>
    <n v="48904.85"/>
    <n v="0"/>
    <n v="0"/>
  </r>
  <r>
    <x v="1002"/>
    <s v="SHIVNAR-2"/>
    <s v="RMC"/>
    <s v="Direct"/>
    <n v="636"/>
    <n v="23004.12"/>
    <n v="636"/>
    <n v="23003.519616000001"/>
    <n v="0"/>
    <n v="0"/>
    <n v="636"/>
    <n v="23003.519616000001"/>
    <n v="23003.519616000001"/>
    <n v="0"/>
    <n v="0"/>
    <n v="0"/>
    <n v="0"/>
    <n v="0"/>
    <n v="0"/>
    <n v="23004"/>
    <n v="0"/>
    <n v="0"/>
    <n v="0"/>
    <n v="0"/>
  </r>
  <r>
    <x v="610"/>
    <s v="VISHWASHPUR"/>
    <s v="RMC"/>
    <s v="Direct"/>
    <n v="580"/>
    <n v="18681.8"/>
    <n v="567.1"/>
    <n v="19467.621864504003"/>
    <n v="4.8999999999999995"/>
    <n v="168.74342377200003"/>
    <n v="572"/>
    <n v="19636.365288276003"/>
    <n v="18681.8"/>
    <n v="0"/>
    <n v="168.74342377200003"/>
    <n v="954.56528827600414"/>
    <n v="0"/>
    <n v="0"/>
    <n v="0"/>
    <n v="18513"/>
    <n v="0"/>
    <n v="0"/>
    <n v="0"/>
    <n v="0"/>
  </r>
  <r>
    <x v="611"/>
    <s v="KUMARPUIR KATHARA"/>
    <s v="RMC"/>
    <s v="Direct"/>
    <n v="1773"/>
    <n v="62019.54"/>
    <n v="1760.2000000000003"/>
    <n v="60532.847680643928"/>
    <n v="21.7"/>
    <n v="1023.9750410548701"/>
    <n v="1781.9000000000003"/>
    <n v="61556.822721698802"/>
    <n v="61556.822721698802"/>
    <n v="0"/>
    <n v="1023.9750410548701"/>
    <n v="0"/>
    <n v="0"/>
    <n v="0"/>
    <n v="0"/>
    <n v="60536"/>
    <n v="0"/>
    <n v="0"/>
    <n v="460"/>
    <n v="0"/>
  </r>
  <r>
    <x v="612"/>
    <s v="KUDHIYA MPG"/>
    <s v="RMC"/>
    <s v="Direct"/>
    <n v="1609.0499999999997"/>
    <n v="72054.37"/>
    <n v="1604.1"/>
    <n v="71974.860330305019"/>
    <n v="6"/>
    <n v="259.78257360000003"/>
    <n v="1610.1"/>
    <n v="72234.642903905013"/>
    <n v="72054.37"/>
    <n v="0"/>
    <n v="259.78257360000003"/>
    <n v="180.2729039050173"/>
    <n v="0"/>
    <n v="0"/>
    <n v="0"/>
    <n v="71795"/>
    <n v="0"/>
    <n v="0"/>
    <n v="0"/>
    <n v="0"/>
  </r>
  <r>
    <x v="613"/>
    <s v="SHAHJADPUR MPG"/>
    <s v="RMC"/>
    <s v="Direct"/>
    <n v="1136.75"/>
    <n v="42675.660000000011"/>
    <n v="1185.8"/>
    <n v="50805.043569328402"/>
    <n v="11.299999999999999"/>
    <n v="487.58549232000001"/>
    <n v="1197.0999999999999"/>
    <n v="51292.629061648404"/>
    <n v="42675.660000000011"/>
    <n v="0"/>
    <n v="487.58549232000001"/>
    <n v="8616.9690616483931"/>
    <n v="0"/>
    <n v="0"/>
    <n v="0"/>
    <n v="0"/>
    <n v="0"/>
    <n v="0"/>
    <n v="42188"/>
    <s v="Yes"/>
  </r>
  <r>
    <x v="614"/>
    <s v="FARDA - 3"/>
    <s v="RMC"/>
    <s v="Direct"/>
    <n v="1666.3"/>
    <n v="56588.540000000008"/>
    <n v="864.6"/>
    <n v="30003.936351840002"/>
    <n v="810.79999999999984"/>
    <n v="27571.67656254"/>
    <n v="1675.3999999999999"/>
    <n v="57575.612914380006"/>
    <n v="56588.540000000008"/>
    <n v="0"/>
    <n v="253.74593415599998"/>
    <n v="987.07291437999811"/>
    <n v="0"/>
    <n v="672.16152000000011"/>
    <n v="0"/>
    <n v="28346"/>
    <n v="27317"/>
    <n v="0"/>
    <n v="0"/>
    <n v="0"/>
  </r>
  <r>
    <x v="615"/>
    <s v="CHANDANPURA"/>
    <s v="vlc"/>
    <s v="Indirect"/>
    <n v="764.8"/>
    <n v="33878.689999999995"/>
    <n v="0"/>
    <n v="0"/>
    <n v="0"/>
    <n v="0"/>
    <n v="0"/>
    <n v="0"/>
    <n v="33878.689999999995"/>
    <n v="0"/>
    <n v="0"/>
    <n v="0"/>
    <n v="0"/>
    <n v="0"/>
    <n v="0"/>
    <n v="0"/>
    <n v="0"/>
    <n v="33878.689999999995"/>
    <n v="0"/>
    <n v="0"/>
  </r>
  <r>
    <x v="616"/>
    <s v="MANIKPUR"/>
    <s v="RMC"/>
    <s v="Direct"/>
    <n v="922.30000000000007"/>
    <n v="35441.199999999997"/>
    <n v="0"/>
    <n v="0"/>
    <n v="950.2"/>
    <n v="36492.094746360002"/>
    <n v="950.2"/>
    <n v="36492.094746360002"/>
    <n v="35441.199999999997"/>
    <n v="0"/>
    <n v="199.37847996000005"/>
    <n v="1050.8947463600052"/>
    <n v="0"/>
    <n v="112.81"/>
    <n v="0"/>
    <n v="0"/>
    <n v="35129"/>
    <n v="0"/>
    <n v="0"/>
    <s v="Release1"/>
  </r>
  <r>
    <x v="617"/>
    <s v="JAKARPURA"/>
    <s v="vlc"/>
    <s v="Indirect"/>
    <n v="2296.3000000000002"/>
    <n v="85360.89"/>
    <n v="0"/>
    <n v="0"/>
    <n v="0"/>
    <n v="0"/>
    <n v="0"/>
    <n v="0"/>
    <n v="85360.89"/>
    <n v="0"/>
    <n v="0"/>
    <n v="0"/>
    <n v="0"/>
    <n v="0"/>
    <n v="0"/>
    <n v="0"/>
    <n v="0"/>
    <n v="85360.89"/>
    <n v="0"/>
    <n v="0"/>
  </r>
  <r>
    <x v="618"/>
    <s v="KISHANPUR"/>
    <s v="vlc"/>
    <s v="Indirect"/>
    <n v="4096.5"/>
    <n v="142135.06000000003"/>
    <n v="0"/>
    <n v="0"/>
    <n v="0"/>
    <n v="0"/>
    <n v="0"/>
    <n v="0"/>
    <n v="142135.06000000003"/>
    <n v="0"/>
    <n v="0"/>
    <n v="0"/>
    <n v="27694"/>
    <n v="0"/>
    <n v="0"/>
    <n v="0"/>
    <n v="0"/>
    <n v="114441.06000000003"/>
    <n v="0"/>
    <n v="0"/>
  </r>
  <r>
    <x v="619"/>
    <s v="NANDPUR"/>
    <s v="vlc"/>
    <s v="Indirect"/>
    <n v="1635.9"/>
    <n v="60068.329999999994"/>
    <n v="0"/>
    <n v="0"/>
    <n v="0"/>
    <n v="0"/>
    <n v="0"/>
    <n v="0"/>
    <n v="60068.329999999994"/>
    <n v="0"/>
    <n v="0"/>
    <n v="0"/>
    <n v="0"/>
    <n v="0"/>
    <n v="0"/>
    <n v="0"/>
    <n v="0"/>
    <n v="60068.329999999994"/>
    <n v="0"/>
    <n v="0"/>
  </r>
  <r>
    <x v="620"/>
    <s v="NOWAGADHI"/>
    <s v="RMC"/>
    <s v="Direct"/>
    <n v="1953.7"/>
    <n v="72612.23"/>
    <n v="2026.7000000000003"/>
    <n v="74701.462568818417"/>
    <n v="15"/>
    <n v="558.57285990000003"/>
    <n v="2041.7000000000003"/>
    <n v="75260.035428718416"/>
    <n v="72612.23"/>
    <n v="0"/>
    <n v="558.57285990000003"/>
    <n v="2647.8054287184204"/>
    <n v="0"/>
    <n v="0"/>
    <n v="0"/>
    <n v="72054"/>
    <n v="0"/>
    <n v="0"/>
    <n v="0"/>
    <n v="0"/>
  </r>
  <r>
    <x v="621"/>
    <s v="MAHADAT PUR 2"/>
    <s v="RMC"/>
    <s v="Direct"/>
    <n v="2575"/>
    <n v="93989.260000000009"/>
    <n v="2520.5"/>
    <n v="91984.880404494004"/>
    <n v="54.5"/>
    <n v="2002.1944456800002"/>
    <n v="2575"/>
    <n v="93987.074850174002"/>
    <n v="93987.074850174002"/>
    <n v="0"/>
    <n v="2002.1944456800002"/>
    <n v="0"/>
    <n v="0"/>
    <n v="0"/>
    <n v="0"/>
    <n v="91985"/>
    <n v="0"/>
    <n v="0"/>
    <n v="2"/>
    <n v="0"/>
  </r>
  <r>
    <x v="623"/>
    <s v="SONBARSHA 1"/>
    <s v="RMC"/>
    <s v="Direct"/>
    <n v="498"/>
    <n v="17225.82"/>
    <n v="495"/>
    <n v="17119.602720000003"/>
    <n v="5"/>
    <n v="172.92527999999999"/>
    <n v="500"/>
    <n v="17292.528000000002"/>
    <n v="17225.82"/>
    <n v="0"/>
    <n v="172.92527999999999"/>
    <n v="66.708000000002357"/>
    <n v="0"/>
    <n v="0"/>
    <n v="0"/>
    <n v="17053"/>
    <n v="0"/>
    <n v="0"/>
    <n v="0"/>
    <n v="0"/>
  </r>
  <r>
    <x v="624"/>
    <s v="GANOUL"/>
    <s v="RMC"/>
    <s v="Indirect"/>
    <n v="499"/>
    <n v="17051.739999999998"/>
    <n v="378"/>
    <n v="12920.015592"/>
    <n v="0"/>
    <n v="0"/>
    <n v="378"/>
    <n v="12920.015592"/>
    <n v="17051.739999999998"/>
    <n v="0"/>
    <n v="27.361773648000003"/>
    <n v="0"/>
    <n v="0"/>
    <n v="0"/>
    <n v="0"/>
    <n v="0"/>
    <n v="0"/>
    <n v="17024.378226351997"/>
    <n v="0"/>
    <n v="0"/>
  </r>
  <r>
    <x v="625"/>
    <s v="Gauripur"/>
    <s v="RMC"/>
    <s v="Direct"/>
    <n v="1867"/>
    <n v="65077.78"/>
    <n v="1862"/>
    <n v="64900.039129200006"/>
    <n v="5"/>
    <n v="174.64130640000002"/>
    <n v="1867"/>
    <n v="65074.680435600007"/>
    <n v="65074.680435600007"/>
    <n v="0"/>
    <n v="174.64130640000002"/>
    <n v="0"/>
    <n v="0"/>
    <n v="0"/>
    <n v="0"/>
    <n v="64901"/>
    <n v="0"/>
    <n v="0"/>
    <n v="2"/>
    <n v="0"/>
  </r>
  <r>
    <x v="626"/>
    <s v="Bhramarpur"/>
    <s v="RMC"/>
    <s v="Direct"/>
    <n v="2085"/>
    <n v="69923.600000000006"/>
    <n v="1000"/>
    <n v="33476.256000000008"/>
    <n v="1089"/>
    <n v="36582.045984000011"/>
    <n v="2089"/>
    <n v="70058.30198400002"/>
    <n v="69923.600000000006"/>
    <n v="0"/>
    <n v="134.38022400000003"/>
    <n v="134.70198400001391"/>
    <n v="0"/>
    <n v="0"/>
    <n v="0"/>
    <n v="33341"/>
    <n v="36448"/>
    <n v="0"/>
    <n v="0"/>
    <n v="0"/>
  </r>
  <r>
    <x v="1003"/>
    <s v="Gomukh Bariyarpur"/>
    <s v="MPG"/>
    <s v="Direct"/>
    <n v="1316.8000000000002"/>
    <n v="46084"/>
    <n v="1278"/>
    <n v="49907.654755200012"/>
    <n v="0"/>
    <n v="0"/>
    <n v="1278"/>
    <n v="49907.654755200012"/>
    <n v="46084"/>
    <n v="0"/>
    <n v="0"/>
    <n v="3823.654755200012"/>
    <n v="1300"/>
    <n v="0"/>
    <n v="0"/>
    <n v="44784"/>
    <n v="0"/>
    <n v="0"/>
    <n v="0"/>
    <n v="0"/>
  </r>
  <r>
    <x v="627"/>
    <s v="Gomukh Sadananpur"/>
    <s v="MPG"/>
    <s v="Direct"/>
    <n v="166.2"/>
    <n v="5820.25"/>
    <n v="165.79999999999998"/>
    <n v="5878.7051954400013"/>
    <n v="0"/>
    <n v="0"/>
    <n v="165.79999999999998"/>
    <n v="5878.7051954400013"/>
    <n v="5820.25"/>
    <n v="0"/>
    <n v="0"/>
    <n v="58.455195440001262"/>
    <n v="0"/>
    <n v="25.91"/>
    <n v="0"/>
    <n v="5794"/>
    <n v="0"/>
    <n v="0"/>
    <n v="0"/>
    <s v="Release1"/>
  </r>
  <r>
    <x v="628"/>
    <s v="TILAKPUR  2"/>
    <s v="MPG"/>
    <s v="Direct"/>
    <n v="387.3"/>
    <n v="13536.289999999999"/>
    <n v="372.6"/>
    <n v="13517.071160081501"/>
    <n v="0.89999999999999991"/>
    <n v="30.780645588000006"/>
    <n v="373.5"/>
    <n v="13547.851805669501"/>
    <n v="13536.289999999999"/>
    <n v="0"/>
    <n v="30.780645588000006"/>
    <n v="11.561805669502064"/>
    <n v="0"/>
    <n v="0"/>
    <n v="0"/>
    <n v="13506"/>
    <n v="0"/>
    <n v="0"/>
    <n v="0"/>
    <n v="0"/>
  </r>
  <r>
    <x v="629"/>
    <s v="TILAKPUR"/>
    <s v="MPG"/>
    <s v="Direct"/>
    <n v="612.34999999999991"/>
    <n v="18008.55"/>
    <n v="594.39999999999986"/>
    <n v="18301.235015250004"/>
    <n v="17.800000000000008"/>
    <n v="554.04088838999985"/>
    <n v="612.19999999999982"/>
    <n v="18855.275903640002"/>
    <n v="18008.55"/>
    <n v="0"/>
    <n v="554.04088838999985"/>
    <n v="846.7259036400028"/>
    <n v="0"/>
    <n v="0"/>
    <n v="0"/>
    <n v="17455"/>
    <n v="0"/>
    <n v="0"/>
    <n v="0"/>
    <n v="0"/>
  </r>
  <r>
    <x v="630"/>
    <s v="Prasharpur Kadwa Gomukh"/>
    <s v="MPG"/>
    <s v="Direct"/>
    <n v="335.3"/>
    <n v="10602.55"/>
    <n v="332.79999999999995"/>
    <n v="10642.773675402001"/>
    <n v="3"/>
    <n v="95.797752732000021"/>
    <n v="335.79999999999995"/>
    <n v="10738.571428134001"/>
    <n v="10602.55"/>
    <n v="0"/>
    <n v="95.797752732000021"/>
    <n v="136.02142813400133"/>
    <n v="0"/>
    <n v="0"/>
    <n v="0"/>
    <n v="10507"/>
    <n v="0"/>
    <n v="0"/>
    <n v="0"/>
    <n v="0"/>
  </r>
  <r>
    <x v="631"/>
    <s v="Borwa Tola Gomukh"/>
    <s v="vlc"/>
    <s v="Indirect"/>
    <n v="197.89999999999998"/>
    <n v="6473.8799999999992"/>
    <n v="197.89999999999998"/>
    <n v="6497.4990466980007"/>
    <n v="0"/>
    <n v="0"/>
    <n v="197.89999999999998"/>
    <n v="6497.4990466980007"/>
    <n v="6473.8799999999992"/>
    <n v="0"/>
    <n v="0"/>
    <n v="23.619046698001512"/>
    <n v="0"/>
    <n v="0"/>
    <n v="0"/>
    <n v="0"/>
    <n v="0"/>
    <n v="6473.8799999999992"/>
    <n v="0"/>
    <n v="0"/>
  </r>
  <r>
    <x v="632"/>
    <s v="Sheela Devi"/>
    <s v="vlc"/>
    <s v="Indirect"/>
    <n v="624"/>
    <n v="20348.64"/>
    <n v="0"/>
    <n v="0"/>
    <n v="0"/>
    <n v="0"/>
    <n v="0"/>
    <n v="0"/>
    <n v="20348.64"/>
    <n v="0"/>
    <n v="0"/>
    <n v="0"/>
    <n v="0"/>
    <n v="0"/>
    <n v="0"/>
    <n v="0"/>
    <n v="0"/>
    <n v="20348.64"/>
    <n v="0"/>
    <n v="0"/>
  </r>
  <r>
    <x v="633"/>
    <s v="Gomukh Vijay Lalganj"/>
    <s v="MPG"/>
    <s v="Direct"/>
    <n v="328.9"/>
    <n v="12039.84"/>
    <n v="377.20000000000005"/>
    <n v="14243.8627478587"/>
    <n v="1.4000000000000001"/>
    <n v="53.926878023040018"/>
    <n v="378.6"/>
    <n v="14297.78962588174"/>
    <n v="12039.84"/>
    <n v="0"/>
    <n v="53.926878023040018"/>
    <n v="2257.9496258817398"/>
    <n v="0"/>
    <n v="0"/>
    <n v="0"/>
    <n v="11986"/>
    <n v="0"/>
    <n v="0"/>
    <n v="0"/>
    <s v="Release3"/>
  </r>
  <r>
    <x v="634"/>
    <s v="Gomukh Sarswati Nagar Nakdahri"/>
    <s v="MPG"/>
    <s v="Direct"/>
    <n v="341.80000000000007"/>
    <n v="12459.04"/>
    <n v="217.45000000000002"/>
    <n v="8426.6901601488007"/>
    <n v="129.24"/>
    <n v="4965.7132242431999"/>
    <n v="346.69000000000005"/>
    <n v="13392.403384392001"/>
    <n v="12459.04"/>
    <n v="0"/>
    <n v="113.19707242800003"/>
    <n v="933.36338439199972"/>
    <n v="0"/>
    <n v="0"/>
    <n v="0"/>
    <n v="7493"/>
    <n v="4853"/>
    <n v="0"/>
    <n v="0"/>
    <n v="0"/>
  </r>
  <r>
    <x v="635"/>
    <s v="Gomukh Krishna Dairy Tulsipur"/>
    <s v="MPG"/>
    <s v="Direct"/>
    <n v="482.7999999999999"/>
    <n v="16994.29"/>
    <n v="477.59999999999991"/>
    <n v="18344.282184846998"/>
    <n v="0"/>
    <n v="0"/>
    <n v="477.59999999999991"/>
    <n v="18344.282184846998"/>
    <n v="16994.29"/>
    <n v="0"/>
    <n v="0"/>
    <n v="1349.9921848469967"/>
    <n v="0"/>
    <n v="0"/>
    <n v="0"/>
    <n v="16994"/>
    <n v="0"/>
    <n v="0"/>
    <n v="0"/>
    <n v="0"/>
  </r>
  <r>
    <x v="636"/>
    <s v="Gomukh Lauwalagam"/>
    <s v="MPG"/>
    <s v="Direct"/>
    <n v="82.500000000000014"/>
    <n v="2611.86"/>
    <n v="134"/>
    <n v="4541.8868827200004"/>
    <n v="0"/>
    <n v="0"/>
    <n v="134"/>
    <n v="4541.8868827200004"/>
    <n v="2611.86"/>
    <n v="0"/>
    <n v="0"/>
    <n v="1930.0268827200002"/>
    <n v="0"/>
    <n v="0"/>
    <n v="0"/>
    <n v="2612"/>
    <n v="0"/>
    <n v="0"/>
    <n v="0"/>
    <n v="0"/>
  </r>
  <r>
    <x v="637"/>
    <s v="Dhobina Basa"/>
    <s v="MPG"/>
    <s v="Direct"/>
    <n v="641.70000000000005"/>
    <n v="22662.469999999998"/>
    <n v="356.5"/>
    <n v="14323.982686200003"/>
    <n v="405.3"/>
    <n v="16073.813194560003"/>
    <n v="761.8"/>
    <n v="30397.795880760008"/>
    <n v="22662.469999999998"/>
    <n v="0"/>
    <n v="934.97283396000012"/>
    <n v="7735.3258807600105"/>
    <n v="0"/>
    <n v="0"/>
    <n v="0"/>
    <n v="6588"/>
    <n v="15139"/>
    <n v="0"/>
    <n v="0"/>
    <n v="0"/>
  </r>
  <r>
    <x v="638"/>
    <s v="Gomukh Shreepur Madhay"/>
    <s v="MPG"/>
    <s v="Direct"/>
    <n v="1266.4999999999998"/>
    <n v="47606.03"/>
    <n v="1224"/>
    <n v="46850.883987600013"/>
    <n v="34.699999999999996"/>
    <n v="1331.0328517199998"/>
    <n v="1258.7"/>
    <n v="48181.916839320016"/>
    <n v="47606.03"/>
    <n v="0"/>
    <n v="1331.0328517199998"/>
    <n v="575.88683932001732"/>
    <n v="0"/>
    <n v="0"/>
    <n v="0"/>
    <n v="46275"/>
    <n v="0"/>
    <n v="0"/>
    <n v="0"/>
    <n v="0"/>
  </r>
  <r>
    <x v="639"/>
    <s v="Gomukh Dhoriya Dadpur -VLC"/>
    <s v="vlc"/>
    <s v="Indirect"/>
    <n v="862.9"/>
    <n v="29723.11"/>
    <n v="0"/>
    <n v="0"/>
    <n v="0"/>
    <n v="0"/>
    <n v="0"/>
    <n v="0"/>
    <n v="29723.11"/>
    <n v="0"/>
    <n v="0"/>
    <n v="0"/>
    <n v="0"/>
    <n v="0"/>
    <n v="0"/>
    <n v="0"/>
    <n v="0"/>
    <n v="29723.11"/>
    <n v="0"/>
    <n v="0"/>
  </r>
  <r>
    <x v="640"/>
    <s v="Gomukh Mohanpur  VLC"/>
    <s v="vlc"/>
    <s v="Indirect"/>
    <n v="282.10000000000002"/>
    <n v="9184.4100000000017"/>
    <n v="0"/>
    <n v="0"/>
    <n v="0"/>
    <n v="0"/>
    <n v="0"/>
    <n v="0"/>
    <n v="9184.4100000000017"/>
    <n v="0"/>
    <n v="0"/>
    <n v="0"/>
    <n v="0"/>
    <n v="0"/>
    <n v="0"/>
    <n v="0"/>
    <n v="0"/>
    <n v="9184.4100000000017"/>
    <n v="0"/>
    <n v="0"/>
  </r>
  <r>
    <x v="641"/>
    <s v="Gomukh Abhirampur VLC"/>
    <s v="vlc"/>
    <s v="Indirect"/>
    <n v="306.10000000000002"/>
    <n v="10664.48"/>
    <n v="0"/>
    <n v="0"/>
    <n v="0"/>
    <n v="0"/>
    <n v="0"/>
    <n v="0"/>
    <n v="10664.48"/>
    <n v="0"/>
    <n v="0"/>
    <n v="0"/>
    <n v="0"/>
    <n v="0"/>
    <n v="0"/>
    <n v="0"/>
    <n v="0"/>
    <n v="10664.48"/>
    <n v="0"/>
    <n v="0"/>
  </r>
  <r>
    <x v="642"/>
    <s v="Gomukh Pachgachhia Vlc"/>
    <s v="vlc"/>
    <s v="Indirect"/>
    <n v="176.30000000000004"/>
    <n v="5994.5999999999995"/>
    <n v="0"/>
    <n v="0"/>
    <n v="0"/>
    <n v="0"/>
    <n v="0"/>
    <n v="0"/>
    <n v="5994.5999999999995"/>
    <n v="0"/>
    <n v="0"/>
    <n v="0"/>
    <n v="0"/>
    <n v="0"/>
    <n v="0"/>
    <n v="0"/>
    <n v="0"/>
    <n v="5994.5999999999995"/>
    <n v="0"/>
    <n v="0"/>
  </r>
  <r>
    <x v="643"/>
    <s v="KUNTHA M"/>
    <s v="RMC"/>
    <s v="Direct"/>
    <n v="902"/>
    <n v="29414.22"/>
    <n v="889.80000000000007"/>
    <n v="29328.699767400001"/>
    <n v="11.4"/>
    <n v="374.46963840000006"/>
    <n v="901.2"/>
    <n v="29703.169405800003"/>
    <n v="29414.22"/>
    <n v="0"/>
    <n v="374.46963840000006"/>
    <n v="288.94940580000184"/>
    <n v="0"/>
    <n v="0"/>
    <n v="0"/>
    <n v="29040"/>
    <n v="0"/>
    <n v="0"/>
    <n v="0"/>
    <n v="0"/>
  </r>
  <r>
    <x v="644"/>
    <s v="ARAK"/>
    <s v="MPG"/>
    <s v="Direct"/>
    <n v="2007.2999999999995"/>
    <n v="73836.069999999992"/>
    <n v="1986.4"/>
    <n v="74563.633475224822"/>
    <n v="13.399999999999999"/>
    <n v="654.47809882190018"/>
    <n v="1999.8000000000002"/>
    <n v="75218.111574046721"/>
    <n v="73836.069999999992"/>
    <n v="0"/>
    <n v="654.47809882190018"/>
    <n v="1382.0415740467288"/>
    <n v="0"/>
    <n v="0"/>
    <n v="0"/>
    <n v="73182"/>
    <n v="0"/>
    <n v="0"/>
    <n v="0"/>
    <n v="0"/>
  </r>
  <r>
    <x v="645"/>
    <s v="Diyaman"/>
    <s v="MPG"/>
    <s v="Direct"/>
    <n v="1500"/>
    <n v="60097.2"/>
    <n v="1491.1"/>
    <n v="60279.388285875793"/>
    <n v="6.1400000000000006"/>
    <n v="246.29895694800001"/>
    <n v="1497.24"/>
    <n v="60525.687242823791"/>
    <n v="60097.2"/>
    <n v="0"/>
    <n v="246.29895694800001"/>
    <n v="428.48724282379408"/>
    <n v="0"/>
    <n v="0"/>
    <n v="0"/>
    <n v="59851"/>
    <n v="0"/>
    <n v="0"/>
    <n v="0"/>
    <n v="0"/>
  </r>
  <r>
    <x v="646"/>
    <s v="HENHA"/>
    <s v="MPG"/>
    <s v="Direct"/>
    <n v="2404.8999999999996"/>
    <n v="89353.41"/>
    <n v="2578.8000000000002"/>
    <n v="107395.44000541247"/>
    <n v="25.300000000000004"/>
    <n v="1375.3047782264803"/>
    <n v="2604.1000000000004"/>
    <n v="108770.74478363895"/>
    <n v="89353.41"/>
    <n v="0"/>
    <n v="1375.3047782264803"/>
    <n v="19417.334783638944"/>
    <n v="0"/>
    <n v="0"/>
    <n v="0"/>
    <n v="87978"/>
    <n v="0"/>
    <n v="0"/>
    <n v="0"/>
    <n v="0"/>
  </r>
  <r>
    <x v="647"/>
    <s v="Suddh Dairy"/>
    <s v="vlc"/>
    <s v="Indirect"/>
    <n v="25170"/>
    <n v="905184"/>
    <n v="0"/>
    <n v="0"/>
    <n v="0"/>
    <n v="0"/>
    <n v="0"/>
    <n v="0"/>
    <n v="905184"/>
    <n v="0"/>
    <n v="0"/>
    <n v="0"/>
    <n v="0"/>
    <n v="0"/>
    <n v="0"/>
    <n v="0"/>
    <n v="0"/>
    <n v="905184"/>
    <n v="0"/>
    <n v="0"/>
  </r>
  <r>
    <x v="941"/>
    <s v="Krishna Dairy"/>
    <s v="vlc"/>
    <s v="Indirect"/>
    <n v="1310"/>
    <n v="47596.92"/>
    <n v="0"/>
    <n v="0"/>
    <n v="0"/>
    <n v="0"/>
    <n v="0"/>
    <n v="0"/>
    <n v="47596.92"/>
    <n v="0"/>
    <n v="0"/>
    <n v="0"/>
    <n v="0"/>
    <n v="0"/>
    <n v="0"/>
    <n v="0"/>
    <n v="0"/>
    <n v="47596.92"/>
    <n v="0"/>
    <n v="0"/>
  </r>
  <r>
    <x v="648"/>
    <s v="Anik Kumar"/>
    <s v="vlc"/>
    <s v="Indirect"/>
    <n v="5224"/>
    <n v="209026.84000000003"/>
    <n v="0"/>
    <n v="0"/>
    <n v="0"/>
    <n v="0"/>
    <n v="0"/>
    <n v="0"/>
    <n v="209026.84000000003"/>
    <n v="0"/>
    <n v="0"/>
    <n v="0"/>
    <n v="0"/>
    <n v="0"/>
    <n v="0"/>
    <n v="0"/>
    <n v="0"/>
    <n v="209026.84000000003"/>
    <n v="0"/>
    <n v="0"/>
  </r>
  <r>
    <x v="649"/>
    <s v="Nand Kishor Kumar"/>
    <s v="vlc"/>
    <s v="Indirect"/>
    <n v="15567"/>
    <n v="526260.87"/>
    <n v="0"/>
    <n v="0"/>
    <n v="0"/>
    <n v="0"/>
    <n v="0"/>
    <n v="0"/>
    <n v="526260.87"/>
    <n v="0"/>
    <n v="0"/>
    <n v="0"/>
    <n v="0"/>
    <n v="0"/>
    <n v="0"/>
    <n v="0"/>
    <n v="0"/>
    <n v="526260.87"/>
    <n v="0"/>
    <n v="0"/>
  </r>
  <r>
    <x v="650"/>
    <s v="Gomukh CHANDAULI"/>
    <s v="MPG"/>
    <s v="Direct"/>
    <n v="1292.7"/>
    <n v="53442.740000000005"/>
    <n v="1277.6500000000001"/>
    <n v="53089.633799014227"/>
    <n v="12.36"/>
    <n v="514.32258121200016"/>
    <n v="1290.01"/>
    <n v="53603.956380226227"/>
    <n v="53442.740000000005"/>
    <n v="0"/>
    <n v="514.32258121200016"/>
    <n v="161.2163802262221"/>
    <n v="0"/>
    <n v="0"/>
    <n v="0"/>
    <n v="52928"/>
    <n v="0"/>
    <n v="0"/>
    <n v="0"/>
    <n v="0"/>
  </r>
  <r>
    <x v="651"/>
    <s v="GOMUKH HATHA"/>
    <s v="MPG"/>
    <s v="Direct"/>
    <n v="1469.9000000000003"/>
    <n v="59738.689999999995"/>
    <n v="1461.4800000000002"/>
    <n v="59451.967929398728"/>
    <n v="17.03"/>
    <n v="707.69086027200001"/>
    <n v="1478.5100000000002"/>
    <n v="60159.658789670728"/>
    <n v="59738.689999999995"/>
    <n v="0"/>
    <n v="707.69086027200001"/>
    <n v="420.9687896707328"/>
    <n v="13500"/>
    <n v="0"/>
    <n v="0"/>
    <n v="45531"/>
    <n v="0"/>
    <n v="0"/>
    <n v="0"/>
    <n v="0"/>
  </r>
  <r>
    <x v="652"/>
    <s v="GOMUKH VADEYA"/>
    <s v="MPG"/>
    <s v="Direct"/>
    <n v="679.4"/>
    <n v="27277.11"/>
    <n v="688.66000000000008"/>
    <n v="27474.037497031386"/>
    <n v="1.1900000000000002"/>
    <n v="48.716029685999999"/>
    <n v="689.85000000000014"/>
    <n v="27522.753526717384"/>
    <n v="27277.11"/>
    <n v="0"/>
    <n v="48.716029685999999"/>
    <n v="245.64352671738379"/>
    <n v="3506"/>
    <n v="0"/>
    <n v="0"/>
    <n v="23722"/>
    <n v="0"/>
    <n v="0"/>
    <n v="0"/>
    <n v="0"/>
  </r>
  <r>
    <x v="653"/>
    <s v="GOMUKH CHANDPURA"/>
    <s v="MPG"/>
    <s v="Direct"/>
    <n v="475.9"/>
    <n v="20406.589999999993"/>
    <n v="466.61999999999995"/>
    <n v="19978.307492004282"/>
    <n v="11.37"/>
    <n v="487.73203984098001"/>
    <n v="477.98999999999995"/>
    <n v="20466.039531845261"/>
    <n v="20406.589999999993"/>
    <n v="0"/>
    <n v="487.73203984098001"/>
    <n v="59.449531845268211"/>
    <n v="0"/>
    <n v="29.79557419354834"/>
    <n v="0"/>
    <n v="19889"/>
    <n v="0"/>
    <n v="0"/>
    <n v="0"/>
    <s v="Release1"/>
  </r>
  <r>
    <x v="654"/>
    <s v="GOMUKH BARGAMA"/>
    <s v="MPG"/>
    <s v="Direct"/>
    <n v="1243.95"/>
    <n v="48499.17"/>
    <n v="1216.29"/>
    <n v="46767.002388191948"/>
    <n v="40.67"/>
    <n v="2117.0614560087606"/>
    <n v="1256.96"/>
    <n v="48884.063844200711"/>
    <n v="48499.17"/>
    <n v="0"/>
    <n v="2117.0614560087606"/>
    <n v="384.89384420071292"/>
    <n v="1264"/>
    <n v="0"/>
    <n v="0"/>
    <n v="45118"/>
    <n v="0"/>
    <n v="0"/>
    <n v="0"/>
    <n v="0"/>
  </r>
  <r>
    <x v="655"/>
    <s v="Gomukh Gograha Tola"/>
    <s v="MPG"/>
    <s v="Direct"/>
    <n v="425.20000000000005"/>
    <n v="18710.669999999998"/>
    <n v="413.76"/>
    <n v="18786.338890263272"/>
    <n v="0.49"/>
    <n v="29.9337619392"/>
    <n v="414.25"/>
    <n v="18816.272652202471"/>
    <n v="18710.669999999998"/>
    <n v="0"/>
    <n v="29.9337619392"/>
    <n v="105.60265220247311"/>
    <n v="1500"/>
    <n v="0"/>
    <n v="0"/>
    <n v="17181"/>
    <n v="0"/>
    <n v="0"/>
    <n v="0"/>
    <n v="0"/>
  </r>
  <r>
    <x v="656"/>
    <s v="Gomukh Patsara"/>
    <s v="MPG"/>
    <s v="Direct"/>
    <n v="334.25"/>
    <n v="16066.909999999998"/>
    <n v="332.55"/>
    <n v="16278.370421735981"/>
    <n v="3.6599999999999997"/>
    <n v="162.3610132158"/>
    <n v="336.21000000000004"/>
    <n v="16440.73143495178"/>
    <n v="16066.909999999998"/>
    <n v="0"/>
    <n v="162.3610132158"/>
    <n v="373.82143495178207"/>
    <n v="0"/>
    <n v="0"/>
    <n v="0"/>
    <n v="15905"/>
    <n v="0"/>
    <n v="0"/>
    <n v="0"/>
    <n v="0"/>
  </r>
  <r>
    <x v="657"/>
    <s v="Gomukh Singhiya"/>
    <s v="vlc"/>
    <s v="Indirect"/>
    <n v="9513"/>
    <n v="373680.81"/>
    <n v="0"/>
    <n v="0"/>
    <n v="0"/>
    <n v="0"/>
    <n v="0"/>
    <n v="0"/>
    <n v="373680.81"/>
    <n v="0"/>
    <n v="0"/>
    <n v="0"/>
    <n v="0"/>
    <n v="0"/>
    <n v="0"/>
    <n v="0"/>
    <n v="0"/>
    <n v="373680.81"/>
    <n v="0"/>
    <n v="0"/>
  </r>
  <r>
    <x v="658"/>
    <s v="Gomukh BALHA "/>
    <s v="vlc"/>
    <s v="Indirect"/>
    <n v="3384.5"/>
    <n v="138317.57999999996"/>
    <n v="0"/>
    <n v="0"/>
    <n v="0"/>
    <n v="0"/>
    <n v="0"/>
    <n v="0"/>
    <n v="138317.57999999996"/>
    <n v="0"/>
    <n v="0"/>
    <n v="0"/>
    <n v="0"/>
    <n v="0"/>
    <n v="0"/>
    <n v="0"/>
    <n v="0"/>
    <n v="138317.57999999996"/>
    <n v="0"/>
    <n v="0"/>
  </r>
  <r>
    <x v="942"/>
    <s v="Gomukh Kalyanpur 2"/>
    <s v="vlc"/>
    <s v="Indirect"/>
    <n v="795"/>
    <n v="38960.320000000007"/>
    <n v="0"/>
    <n v="0"/>
    <n v="0"/>
    <n v="0"/>
    <n v="0"/>
    <n v="0"/>
    <n v="38960.320000000007"/>
    <n v="0"/>
    <n v="0"/>
    <n v="0"/>
    <n v="0"/>
    <n v="0"/>
    <n v="0"/>
    <n v="0"/>
    <n v="0"/>
    <n v="38960.320000000007"/>
    <n v="0"/>
    <n v="0"/>
  </r>
  <r>
    <x v="943"/>
    <s v="Gomukh Namapur 2"/>
    <s v="vlc"/>
    <s v="Indirect"/>
    <n v="1996.05"/>
    <n v="73678.86"/>
    <n v="0"/>
    <n v="0"/>
    <n v="0"/>
    <n v="0"/>
    <n v="0"/>
    <n v="0"/>
    <n v="73678.86"/>
    <n v="0"/>
    <n v="0"/>
    <n v="0"/>
    <n v="0"/>
    <n v="0"/>
    <n v="0"/>
    <n v="0"/>
    <n v="0"/>
    <n v="73678.86"/>
    <n v="0"/>
    <n v="0"/>
  </r>
  <r>
    <x v="659"/>
    <s v="Gomukh Madhopur"/>
    <s v="vlc"/>
    <s v="Indirect"/>
    <n v="258.40000000000003"/>
    <n v="12136.759999999998"/>
    <n v="0"/>
    <n v="0"/>
    <n v="0"/>
    <n v="0"/>
    <n v="0"/>
    <n v="0"/>
    <n v="12136.759999999998"/>
    <n v="0"/>
    <n v="0"/>
    <n v="0"/>
    <n v="0"/>
    <n v="0"/>
    <n v="0"/>
    <n v="0"/>
    <n v="0"/>
    <n v="12136.759999999998"/>
    <n v="0"/>
    <n v="0"/>
  </r>
  <r>
    <x v="660"/>
    <s v="Gomukh Kalyanpur East"/>
    <s v="vlc"/>
    <s v="Indirect"/>
    <n v="777.54999999999984"/>
    <n v="29392.960000000003"/>
    <n v="0"/>
    <n v="0"/>
    <n v="0"/>
    <n v="0"/>
    <n v="0"/>
    <n v="0"/>
    <n v="29392.960000000003"/>
    <n v="0"/>
    <n v="0"/>
    <n v="0"/>
    <n v="0"/>
    <n v="0"/>
    <n v="0"/>
    <n v="0"/>
    <n v="0"/>
    <n v="29392.960000000003"/>
    <n v="0"/>
    <n v="0"/>
  </r>
  <r>
    <x v="661"/>
    <s v="Gomukh Bazidpur"/>
    <s v="vlc"/>
    <s v="Indirect"/>
    <n v="1876.8500000000004"/>
    <n v="79480.06"/>
    <n v="0"/>
    <n v="0"/>
    <n v="0"/>
    <n v="0"/>
    <n v="0"/>
    <n v="0"/>
    <n v="79480.06"/>
    <n v="0"/>
    <n v="0"/>
    <n v="0"/>
    <n v="9000"/>
    <n v="0"/>
    <n v="0"/>
    <n v="0"/>
    <n v="0"/>
    <n v="70480.06"/>
    <n v="0"/>
    <n v="0"/>
  </r>
  <r>
    <x v="662"/>
    <s v="Gomukh Belsandi"/>
    <s v="vlc"/>
    <s v="Indirect"/>
    <n v="985.84999999999991"/>
    <n v="40569.750000000007"/>
    <n v="0"/>
    <n v="0"/>
    <n v="0"/>
    <n v="0"/>
    <n v="0"/>
    <n v="0"/>
    <n v="40569.750000000007"/>
    <n v="0"/>
    <n v="0"/>
    <n v="0"/>
    <n v="1350"/>
    <n v="0"/>
    <n v="0"/>
    <n v="0"/>
    <n v="0"/>
    <n v="39219.750000000007"/>
    <n v="0"/>
    <n v="0"/>
  </r>
  <r>
    <x v="944"/>
    <s v="Gomukh Namapur Ward 8"/>
    <s v="vlc"/>
    <s v="Indirect"/>
    <n v="1474.7"/>
    <n v="60457.579999999994"/>
    <n v="0"/>
    <n v="0"/>
    <n v="0"/>
    <n v="0"/>
    <n v="0"/>
    <n v="0"/>
    <n v="60457.579999999994"/>
    <n v="0"/>
    <n v="0"/>
    <n v="0"/>
    <n v="0"/>
    <n v="0"/>
    <n v="0"/>
    <n v="0"/>
    <n v="0"/>
    <n v="60457.579999999994"/>
    <n v="0"/>
    <n v="0"/>
  </r>
  <r>
    <x v="945"/>
    <s v="Belsandi"/>
    <s v="vlc"/>
    <s v="Indirect"/>
    <n v="2308.6"/>
    <n v="88454.65"/>
    <n v="0"/>
    <n v="0"/>
    <n v="0"/>
    <n v="0"/>
    <n v="0"/>
    <n v="0"/>
    <n v="88454.65"/>
    <n v="0"/>
    <n v="0"/>
    <n v="0"/>
    <n v="0"/>
    <n v="0"/>
    <n v="0"/>
    <n v="0"/>
    <n v="0"/>
    <n v="88454.65"/>
    <n v="0"/>
    <n v="0"/>
  </r>
  <r>
    <x v="663"/>
    <s v="Gomukh Belsandi East"/>
    <s v="vlc"/>
    <s v="Indirect"/>
    <n v="1843.2500000000002"/>
    <n v="75050.669999999984"/>
    <n v="0"/>
    <n v="0"/>
    <n v="0"/>
    <n v="0"/>
    <n v="0"/>
    <n v="0"/>
    <n v="75050.669999999984"/>
    <n v="0"/>
    <n v="0"/>
    <n v="0"/>
    <n v="0"/>
    <n v="0"/>
    <n v="0"/>
    <n v="0"/>
    <n v="0"/>
    <n v="75050.669999999984"/>
    <n v="0"/>
    <n v="0"/>
  </r>
  <r>
    <x v="664"/>
    <s v="Gomukh Belsandi West Tola"/>
    <s v="vlc"/>
    <s v="Indirect"/>
    <n v="334"/>
    <n v="13012.710000000001"/>
    <n v="0"/>
    <n v="0"/>
    <n v="0"/>
    <n v="0"/>
    <n v="0"/>
    <n v="0"/>
    <n v="13012.710000000001"/>
    <n v="0"/>
    <n v="0"/>
    <n v="0"/>
    <n v="0"/>
    <n v="0"/>
    <n v="0"/>
    <n v="0"/>
    <n v="0"/>
    <n v="13012.710000000001"/>
    <n v="0"/>
    <n v="0"/>
  </r>
  <r>
    <x v="665"/>
    <s v="Gomukh Gopalpur"/>
    <s v="vlc"/>
    <s v="Indirect"/>
    <n v="1707.3999999999999"/>
    <n v="70367.56"/>
    <n v="0"/>
    <n v="0"/>
    <n v="0"/>
    <n v="0"/>
    <n v="0"/>
    <n v="0"/>
    <n v="70367.56"/>
    <n v="0"/>
    <n v="0"/>
    <n v="0"/>
    <n v="0"/>
    <n v="0"/>
    <n v="0"/>
    <n v="0"/>
    <n v="0"/>
    <n v="70367.56"/>
    <n v="0"/>
    <n v="0"/>
  </r>
  <r>
    <x v="666"/>
    <s v="Gomukh Bharav"/>
    <s v="MPG"/>
    <s v="Direct"/>
    <n v="415.24999999999989"/>
    <n v="20658.490000000002"/>
    <n v="418.80999999999995"/>
    <n v="20948.414254167183"/>
    <n v="5.33"/>
    <n v="226.65459125800004"/>
    <n v="424.13999999999993"/>
    <n v="21175.068845425183"/>
    <n v="20658.490000000002"/>
    <n v="0"/>
    <n v="226.65459125800004"/>
    <n v="516.5788454251815"/>
    <n v="1500"/>
    <n v="0"/>
    <n v="0"/>
    <n v="18932"/>
    <n v="0"/>
    <n v="0"/>
    <n v="0"/>
    <n v="0"/>
  </r>
  <r>
    <x v="667"/>
    <s v="Gomukh Harpur"/>
    <s v="MPG"/>
    <s v="Direct"/>
    <n v="1019.05"/>
    <n v="41694.369999999988"/>
    <n v="1009.8100000000002"/>
    <n v="41535.981448262741"/>
    <n v="14.259999999999998"/>
    <n v="568.90807172100006"/>
    <n v="1024.0700000000002"/>
    <n v="42104.889519983743"/>
    <n v="41694.369999999988"/>
    <n v="0"/>
    <n v="568.90807172100006"/>
    <n v="410.51951998375444"/>
    <n v="0"/>
    <n v="0"/>
    <n v="0"/>
    <n v="41125"/>
    <n v="0"/>
    <n v="0"/>
    <n v="0"/>
    <n v="0"/>
  </r>
  <r>
    <x v="668"/>
    <s v="Gomukh Fulhatta"/>
    <s v="MPG"/>
    <s v="Direct"/>
    <n v="925.49999999999989"/>
    <n v="47336.259999999995"/>
    <n v="933.78000000000031"/>
    <n v="48398.237388413334"/>
    <n v="0.01"/>
    <n v="0.48422067408000002"/>
    <n v="933.7900000000003"/>
    <n v="48398.721609087414"/>
    <n v="47336.259999999995"/>
    <n v="0"/>
    <n v="0.48422067408000002"/>
    <n v="1062.4616090874188"/>
    <n v="0"/>
    <n v="0"/>
    <n v="0"/>
    <n v="47336"/>
    <n v="0"/>
    <n v="0"/>
    <n v="0"/>
    <n v="0"/>
  </r>
  <r>
    <x v="669"/>
    <s v="Gomukh Birauli Khurd"/>
    <s v="MPG"/>
    <s v="Direct"/>
    <n v="649.39999999999986"/>
    <n v="26654.23"/>
    <n v="642.02999999999986"/>
    <n v="26251.315654275342"/>
    <n v="15.39"/>
    <n v="641.43005410257604"/>
    <n v="657.41999999999985"/>
    <n v="26892.745708377919"/>
    <n v="26654.23"/>
    <n v="0"/>
    <n v="641.43005410257604"/>
    <n v="238.51570837791951"/>
    <n v="0"/>
    <n v="0"/>
    <n v="0"/>
    <n v="26013"/>
    <n v="0"/>
    <n v="0"/>
    <n v="0"/>
    <s v="Release1"/>
  </r>
  <r>
    <x v="670"/>
    <s v="Gomukh Bedauliya"/>
    <s v="vlc"/>
    <s v="Indirect"/>
    <n v="651.5"/>
    <n v="25708.35"/>
    <n v="0"/>
    <n v="0"/>
    <n v="0"/>
    <n v="0"/>
    <n v="0"/>
    <n v="0"/>
    <n v="25708.35"/>
    <n v="0"/>
    <n v="0"/>
    <n v="0"/>
    <n v="1500"/>
    <n v="0"/>
    <n v="0"/>
    <n v="0"/>
    <n v="0"/>
    <n v="24208.35"/>
    <n v="0"/>
    <n v="0"/>
  </r>
  <r>
    <x v="671"/>
    <s v="Gomukh Khanua"/>
    <s v="MPG"/>
    <s v="Direct"/>
    <n v="607.34999999999991"/>
    <n v="25711.310000000005"/>
    <n v="595.66999999999996"/>
    <n v="25667.994634422561"/>
    <n v="8.09"/>
    <n v="345.90995077499997"/>
    <n v="603.76"/>
    <n v="26013.904585197561"/>
    <n v="25711.310000000005"/>
    <n v="0"/>
    <n v="345.90995077499997"/>
    <n v="302.59458519755572"/>
    <n v="0"/>
    <n v="0"/>
    <n v="0"/>
    <n v="25365"/>
    <n v="0"/>
    <n v="0"/>
    <n v="0"/>
    <n v="0"/>
  </r>
  <r>
    <x v="672"/>
    <s v="Gomukh Hiralalpur"/>
    <s v="vlc"/>
    <s v="Indirect"/>
    <n v="1092.5500000000002"/>
    <n v="43229.19000000001"/>
    <n v="0"/>
    <n v="0"/>
    <n v="0"/>
    <n v="0"/>
    <n v="0"/>
    <n v="0"/>
    <n v="43229.19000000001"/>
    <n v="0"/>
    <n v="0"/>
    <n v="0"/>
    <n v="0"/>
    <n v="0"/>
    <n v="0"/>
    <n v="0"/>
    <n v="0"/>
    <n v="43229.19000000001"/>
    <n v="0"/>
    <n v="0"/>
  </r>
  <r>
    <x v="673"/>
    <s v="Gomukh Punas"/>
    <s v="MPG"/>
    <s v="Direct"/>
    <n v="1103.25"/>
    <n v="49020.15"/>
    <n v="1088.7400000000002"/>
    <n v="48488.676988226798"/>
    <n v="12.499999999999998"/>
    <n v="534.28402763999998"/>
    <n v="1101.2400000000002"/>
    <n v="49022.9610158668"/>
    <n v="49020.15"/>
    <n v="0"/>
    <n v="534.28402763999998"/>
    <n v="2.811015866798698"/>
    <n v="0"/>
    <n v="42.260235483870972"/>
    <n v="0"/>
    <n v="48444"/>
    <n v="0"/>
    <n v="0"/>
    <n v="0"/>
    <n v="0"/>
  </r>
  <r>
    <x v="674"/>
    <s v="Gomukh Loharkha"/>
    <s v="MPG"/>
    <s v="Direct"/>
    <n v="390.50000000000006"/>
    <n v="18771.239999999998"/>
    <n v="371.89"/>
    <n v="17848.628883256006"/>
    <n v="14.68"/>
    <n v="730.10105291340005"/>
    <n v="386.57"/>
    <n v="18578.729936169406"/>
    <n v="18578.729936169406"/>
    <n v="0"/>
    <n v="730.10105291340005"/>
    <n v="0"/>
    <n v="0"/>
    <n v="66.368216129032191"/>
    <n v="0"/>
    <n v="17782"/>
    <n v="0"/>
    <n v="0"/>
    <n v="193"/>
    <n v="0"/>
  </r>
  <r>
    <x v="675"/>
    <s v="Gomukh Dighra"/>
    <s v="MPG"/>
    <s v="Direct"/>
    <n v="278.5"/>
    <n v="9557.44"/>
    <n v="279.62"/>
    <n v="10156.510509076803"/>
    <n v="0"/>
    <n v="0"/>
    <n v="279.62"/>
    <n v="10156.510509076803"/>
    <n v="9557.44"/>
    <n v="0"/>
    <n v="0"/>
    <n v="599.07050907680241"/>
    <n v="1500"/>
    <n v="24.127916129032258"/>
    <n v="0"/>
    <n v="8032"/>
    <n v="0"/>
    <n v="0"/>
    <n v="1"/>
    <n v="0"/>
  </r>
  <r>
    <x v="676"/>
    <s v="Basuwari"/>
    <s v="MPG"/>
    <s v="Direct"/>
    <n v="374.75"/>
    <n v="13955.669999999998"/>
    <n v="369.33"/>
    <n v="13716.074151282281"/>
    <n v="5.4700000000000006"/>
    <n v="228.92598414769202"/>
    <n v="374.8"/>
    <n v="13945.000135429973"/>
    <n v="13945.000135429973"/>
    <n v="0"/>
    <n v="228.92598414769202"/>
    <n v="0"/>
    <n v="0"/>
    <n v="0"/>
    <n v="0"/>
    <n v="13717"/>
    <n v="0"/>
    <n v="0"/>
    <n v="10"/>
    <n v="0"/>
  </r>
  <r>
    <x v="677"/>
    <s v="Belsandi 3"/>
    <s v="vlc"/>
    <s v="Indirect"/>
    <n v="1926.2"/>
    <n v="70977.31"/>
    <n v="0"/>
    <n v="0"/>
    <n v="0"/>
    <n v="0"/>
    <n v="0"/>
    <n v="0"/>
    <n v="70977.31"/>
    <n v="0"/>
    <n v="0"/>
    <n v="0"/>
    <n v="0"/>
    <n v="180.15397741935485"/>
    <n v="0"/>
    <n v="0"/>
    <n v="0"/>
    <n v="70797.156022580646"/>
    <n v="0"/>
    <n v="0"/>
  </r>
  <r>
    <x v="678"/>
    <s v="Gomukh Bhagwanpur"/>
    <s v="vlc"/>
    <s v="Indirect"/>
    <n v="193.3"/>
    <n v="8949.6"/>
    <n v="0"/>
    <n v="0"/>
    <n v="0"/>
    <n v="0"/>
    <n v="0"/>
    <n v="0"/>
    <n v="8949.6"/>
    <n v="0"/>
    <n v="0"/>
    <n v="0"/>
    <n v="0"/>
    <n v="0"/>
    <n v="0"/>
    <n v="0"/>
    <n v="0"/>
    <n v="8949.6"/>
    <n v="0"/>
    <n v="0"/>
  </r>
  <r>
    <x v="679"/>
    <s v="GOMUKH HARPUR W-13"/>
    <s v="MPG"/>
    <s v="Direct"/>
    <n v="1721.1500000000003"/>
    <n v="66653.2"/>
    <n v="1746.9400000000003"/>
    <n v="66789.421691790412"/>
    <n v="28.99"/>
    <n v="1125.6548367240002"/>
    <n v="1775.9300000000003"/>
    <n v="67915.076528514415"/>
    <n v="66653.2"/>
    <n v="0"/>
    <n v="1125.6548367240002"/>
    <n v="1261.8765285144182"/>
    <n v="2721"/>
    <n v="0"/>
    <n v="0"/>
    <n v="62807"/>
    <n v="0"/>
    <n v="0"/>
    <n v="0"/>
    <s v="Release2"/>
  </r>
  <r>
    <x v="948"/>
    <s v="GOMUKH MILKI"/>
    <s v="vlc"/>
    <s v="Indirect"/>
    <n v="72.2"/>
    <n v="3437.6799999999994"/>
    <n v="0"/>
    <n v="0"/>
    <n v="0"/>
    <n v="0"/>
    <n v="0"/>
    <n v="0"/>
    <n v="3437.6799999999994"/>
    <n v="0"/>
    <n v="0"/>
    <n v="0"/>
    <n v="0"/>
    <n v="0"/>
    <n v="0"/>
    <n v="0"/>
    <n v="0"/>
    <n v="3437.6799999999994"/>
    <n v="0"/>
    <n v="0"/>
  </r>
  <r>
    <x v="680"/>
    <s v="Gomukh Ratwara"/>
    <s v="MPG"/>
    <s v="Direct"/>
    <n v="142.25"/>
    <n v="5475.8"/>
    <n v="149.23000000000002"/>
    <n v="5531.6614012794007"/>
    <n v="0"/>
    <n v="0"/>
    <n v="149.23000000000002"/>
    <n v="5531.6614012794007"/>
    <n v="5475.8"/>
    <n v="0"/>
    <n v="0"/>
    <n v="55.861401279400525"/>
    <n v="0"/>
    <n v="1.023687096774168"/>
    <n v="0"/>
    <n v="5475"/>
    <n v="0"/>
    <n v="0"/>
    <n v="0"/>
    <n v="0"/>
  </r>
  <r>
    <x v="681"/>
    <s v="Gomukh Fulhara"/>
    <s v="vlc"/>
    <s v="Indirect"/>
    <n v="2164.75"/>
    <n v="99761.450000000012"/>
    <n v="0"/>
    <n v="0"/>
    <n v="0"/>
    <n v="0"/>
    <n v="0"/>
    <n v="0"/>
    <n v="99761.450000000012"/>
    <n v="0"/>
    <n v="0"/>
    <n v="0"/>
    <n v="5550"/>
    <n v="0"/>
    <n v="0"/>
    <n v="0"/>
    <n v="0"/>
    <n v="94211.450000000012"/>
    <n v="0"/>
    <n v="0"/>
  </r>
  <r>
    <x v="682"/>
    <s v="Gomukh Ranitola"/>
    <s v="vlc"/>
    <s v="Indirect"/>
    <n v="482.34999999999997"/>
    <n v="21534.45"/>
    <n v="0"/>
    <n v="0"/>
    <n v="0"/>
    <n v="0"/>
    <n v="0"/>
    <n v="0"/>
    <n v="21534.45"/>
    <n v="0"/>
    <n v="0"/>
    <n v="0"/>
    <n v="0"/>
    <n v="0"/>
    <n v="0"/>
    <n v="0"/>
    <n v="0"/>
    <n v="21534.45"/>
    <n v="0"/>
    <n v="0"/>
  </r>
  <r>
    <x v="683"/>
    <s v="Gomukh Malinagar East"/>
    <s v="MPG"/>
    <s v="Direct"/>
    <n v="893.7"/>
    <n v="36715.130000000005"/>
    <n v="890.83999999999992"/>
    <n v="36514.845398776197"/>
    <n v="5.4700000000000015"/>
    <n v="237.94308119233"/>
    <n v="896.31"/>
    <n v="36752.788479968527"/>
    <n v="36715.130000000005"/>
    <n v="0"/>
    <n v="237.94308119233"/>
    <n v="37.658479968522443"/>
    <n v="0"/>
    <n v="0"/>
    <n v="0"/>
    <n v="36477"/>
    <n v="0"/>
    <n v="0"/>
    <n v="0"/>
    <n v="0"/>
  </r>
  <r>
    <x v="684"/>
    <s v="GOMUKH Singhiya Ward 11"/>
    <s v="vlc"/>
    <s v="Indirect"/>
    <n v="430.4"/>
    <n v="22379.230000000003"/>
    <n v="0"/>
    <n v="0"/>
    <n v="0"/>
    <n v="0"/>
    <n v="0"/>
    <n v="0"/>
    <n v="22379.230000000003"/>
    <n v="0"/>
    <n v="0"/>
    <n v="0"/>
    <n v="0"/>
    <n v="16.0580322580645"/>
    <n v="0"/>
    <n v="0"/>
    <n v="0"/>
    <n v="22363.171967741939"/>
    <n v="0"/>
    <n v="0"/>
  </r>
  <r>
    <x v="685"/>
    <s v="GOMUKH MANIYARPUR"/>
    <s v="MPG"/>
    <s v="Direct"/>
    <n v="810"/>
    <n v="34393.210000000006"/>
    <n v="814.73999999999978"/>
    <n v="33623.742914051851"/>
    <n v="53.560000000000009"/>
    <n v="2260.6947930600004"/>
    <n v="868.29999999999984"/>
    <n v="35884.437707111851"/>
    <n v="34393.210000000006"/>
    <n v="0"/>
    <n v="2260.6947930600004"/>
    <n v="1491.2277071118442"/>
    <n v="1500"/>
    <n v="10.15"/>
    <n v="0"/>
    <n v="30622"/>
    <n v="0"/>
    <n v="0"/>
    <n v="0"/>
    <s v="Release2"/>
  </r>
  <r>
    <x v="686"/>
    <s v="GOMUKH DIGHRA W-6"/>
    <s v="MPG"/>
    <s v="Direct"/>
    <n v="1239.7000000000003"/>
    <n v="45418.75"/>
    <n v="1233.8799999999999"/>
    <n v="47797.857425829752"/>
    <n v="8.129999999999999"/>
    <n v="334.75203284586007"/>
    <n v="1242.01"/>
    <n v="48132.609458675615"/>
    <n v="45418.75"/>
    <n v="0"/>
    <n v="334.75203284586007"/>
    <n v="2713.8594586756153"/>
    <n v="15550"/>
    <n v="0"/>
    <n v="0"/>
    <n v="29534"/>
    <n v="0"/>
    <n v="0"/>
    <n v="0"/>
    <s v="Release1"/>
  </r>
  <r>
    <x v="687"/>
    <s v="GOMUKH BANDRA W-6"/>
    <s v="MPG"/>
    <s v="Direct"/>
    <n v="541.80000000000007"/>
    <n v="21843.209999999995"/>
    <n v="548.78"/>
    <n v="22267.525885653962"/>
    <n v="7.6400000000000006"/>
    <n v="312.79445208000004"/>
    <n v="556.41999999999996"/>
    <n v="22580.320337733963"/>
    <n v="21843.209999999995"/>
    <n v="0"/>
    <n v="312.79445208000004"/>
    <n v="737.11033773396775"/>
    <n v="1500"/>
    <n v="0"/>
    <n v="0"/>
    <n v="20030"/>
    <n v="0"/>
    <n v="0"/>
    <n v="0"/>
    <n v="0"/>
  </r>
  <r>
    <x v="1004"/>
    <s v="BELSANDI RAJO"/>
    <s v="vlc"/>
    <s v="Indirect"/>
    <n v="460.54999999999995"/>
    <n v="17463.329999999998"/>
    <n v="0"/>
    <n v="0"/>
    <n v="0"/>
    <n v="0"/>
    <n v="0"/>
    <n v="0"/>
    <n v="17463.329999999998"/>
    <n v="0"/>
    <n v="0"/>
    <n v="0"/>
    <n v="0"/>
    <n v="0"/>
    <n v="0"/>
    <n v="0"/>
    <n v="0"/>
    <n v="17463.329999999998"/>
    <n v="0"/>
    <n v="0"/>
  </r>
  <r>
    <x v="688"/>
    <s v="GOMUKH PARAN 2"/>
    <s v="MPG"/>
    <s v="Direct"/>
    <n v="174.3"/>
    <n v="9444.16"/>
    <n v="173.4"/>
    <n v="9178.9900297314998"/>
    <n v="4.46"/>
    <n v="241.69728643605296"/>
    <n v="177.86"/>
    <n v="9420.6873161675521"/>
    <n v="9420.6873161675521"/>
    <n v="0"/>
    <n v="241.69728643605296"/>
    <n v="0"/>
    <n v="0"/>
    <n v="0"/>
    <n v="0"/>
    <n v="9180"/>
    <n v="0"/>
    <n v="0"/>
    <n v="22"/>
    <n v="0"/>
  </r>
  <r>
    <x v="689"/>
    <s v="GOMUKH KHARAGPUR"/>
    <s v="MPG"/>
    <s v="Direct"/>
    <n v="330.09999999999997"/>
    <n v="16143.99"/>
    <n v="330.28"/>
    <n v="16966.715442876717"/>
    <n v="0"/>
    <n v="0"/>
    <n v="330.28"/>
    <n v="16966.715442876717"/>
    <n v="16143.99"/>
    <n v="0"/>
    <n v="0"/>
    <n v="822.72544287671735"/>
    <n v="0"/>
    <n v="0"/>
    <n v="0"/>
    <n v="16144"/>
    <n v="0"/>
    <n v="0"/>
    <n v="0"/>
    <n v="0"/>
  </r>
  <r>
    <x v="690"/>
    <s v="KAMARGAMA"/>
    <s v="vlc"/>
    <s v="Indirect"/>
    <n v="482.85"/>
    <n v="27045.89"/>
    <n v="0"/>
    <n v="0"/>
    <n v="0"/>
    <n v="0"/>
    <n v="0"/>
    <n v="0"/>
    <n v="27045.89"/>
    <n v="0"/>
    <n v="0"/>
    <n v="0"/>
    <n v="0"/>
    <n v="0"/>
    <n v="0"/>
    <n v="0"/>
    <n v="0"/>
    <n v="27045.89"/>
    <n v="0"/>
    <n v="0"/>
  </r>
  <r>
    <x v="1005"/>
    <s v="BELSANDI DIH"/>
    <s v="vlc"/>
    <s v="Indirect"/>
    <n v="39.200000000000003"/>
    <n v="1310.06"/>
    <n v="0"/>
    <n v="0"/>
    <n v="0"/>
    <n v="0"/>
    <n v="0"/>
    <n v="0"/>
    <n v="1310.06"/>
    <n v="0"/>
    <n v="0"/>
    <n v="0"/>
    <n v="0"/>
    <n v="0"/>
    <n v="0"/>
    <n v="0"/>
    <n v="0"/>
    <n v="1310.06"/>
    <n v="0"/>
    <n v="0"/>
  </r>
  <r>
    <x v="691"/>
    <s v="GOMUKH BALAHA W-9"/>
    <s v="MPG"/>
    <s v="Direct"/>
    <n v="986.99999999999989"/>
    <n v="37358.48000000001"/>
    <n v="976.7900000000003"/>
    <n v="37469.71353925376"/>
    <n v="13.78"/>
    <n v="525.54947979600001"/>
    <n v="990.57000000000028"/>
    <n v="37995.263019049758"/>
    <n v="37358.48000000001"/>
    <n v="0"/>
    <n v="525.54947979600001"/>
    <n v="636.78301904974796"/>
    <n v="1350"/>
    <n v="0"/>
    <n v="0"/>
    <n v="35483"/>
    <n v="0"/>
    <n v="0"/>
    <n v="0"/>
    <s v="Release1"/>
  </r>
  <r>
    <x v="949"/>
    <s v="Gomukh Namapur East"/>
    <s v="vlc"/>
    <s v="Indirect"/>
    <n v="823.30000000000007"/>
    <n v="30700.940000000002"/>
    <n v="0"/>
    <n v="0"/>
    <n v="0"/>
    <n v="0"/>
    <n v="0"/>
    <n v="0"/>
    <n v="30700.940000000002"/>
    <n v="0"/>
    <n v="0"/>
    <n v="0"/>
    <n v="0"/>
    <n v="0"/>
    <n v="0"/>
    <n v="0"/>
    <n v="0"/>
    <n v="30700.940000000002"/>
    <n v="0"/>
    <n v="0"/>
  </r>
  <r>
    <x v="692"/>
    <s v="GOMUKH Madanpur W-3"/>
    <s v="MPG"/>
    <s v="Direct"/>
    <n v="1866.3999999999999"/>
    <n v="88148.42"/>
    <n v="1819.5700000000002"/>
    <n v="86892.598859423713"/>
    <n v="27.430000000000003"/>
    <n v="1255.8641594257201"/>
    <n v="1847.0000000000002"/>
    <n v="88148.463018849434"/>
    <n v="88148.42"/>
    <n v="0"/>
    <n v="1255.8641594257201"/>
    <n v="4.3018849435611628E-2"/>
    <n v="0"/>
    <n v="0"/>
    <n v="0"/>
    <n v="86893"/>
    <n v="0"/>
    <n v="0"/>
    <n v="0"/>
    <n v="0"/>
  </r>
  <r>
    <x v="693"/>
    <s v="Gomukh Namapur East (08)"/>
    <s v="vlc"/>
    <s v="Indirect"/>
    <n v="569"/>
    <n v="20416.690000000002"/>
    <n v="0"/>
    <n v="0"/>
    <n v="0"/>
    <n v="0"/>
    <n v="0"/>
    <n v="0"/>
    <n v="20416.690000000002"/>
    <n v="0"/>
    <n v="0"/>
    <n v="0"/>
    <n v="0"/>
    <n v="0"/>
    <n v="0"/>
    <n v="0"/>
    <n v="0"/>
    <n v="20416.690000000002"/>
    <n v="0"/>
    <n v="0"/>
  </r>
  <r>
    <x v="694"/>
    <s v="GOMUKH Kalaunjar"/>
    <s v="MPG"/>
    <s v="Direct"/>
    <n v="629.34999999999991"/>
    <n v="28072.53"/>
    <n v="625.45000000000005"/>
    <n v="26449.485117085456"/>
    <n v="37.03"/>
    <n v="1585.3364581289404"/>
    <n v="662.48"/>
    <n v="28034.821575214395"/>
    <n v="28034.821575214395"/>
    <n v="0"/>
    <n v="1585.3364581289404"/>
    <n v="0"/>
    <n v="5314"/>
    <n v="0"/>
    <n v="0"/>
    <n v="21135"/>
    <n v="0"/>
    <n v="0"/>
    <n v="38"/>
    <s v="Release1"/>
  </r>
  <r>
    <x v="695"/>
    <s v="Jitwariya W-11"/>
    <s v="vlc"/>
    <s v="Indirect"/>
    <n v="131.69999999999999"/>
    <n v="4820.53"/>
    <n v="0"/>
    <n v="0"/>
    <n v="0"/>
    <n v="0"/>
    <n v="0"/>
    <n v="0"/>
    <n v="4820.53"/>
    <n v="0"/>
    <n v="0"/>
    <n v="0"/>
    <n v="0"/>
    <n v="0"/>
    <n v="0"/>
    <n v="0"/>
    <n v="0"/>
    <n v="4820.53"/>
    <n v="0"/>
    <n v="0"/>
  </r>
  <r>
    <x v="696"/>
    <s v="Pastara Lakshman"/>
    <s v="vlc"/>
    <s v="Indirect"/>
    <n v="157.35000000000002"/>
    <n v="4815.2199999999993"/>
    <n v="0"/>
    <n v="0"/>
    <n v="0"/>
    <n v="0"/>
    <n v="0"/>
    <n v="0"/>
    <n v="4815.2199999999993"/>
    <n v="0"/>
    <n v="0"/>
    <n v="0"/>
    <n v="0"/>
    <n v="37.439835483871008"/>
    <n v="0"/>
    <n v="0"/>
    <n v="0"/>
    <n v="4777.780164516128"/>
    <n v="0"/>
    <n v="0"/>
  </r>
  <r>
    <x v="697"/>
    <s v="GOMUKH DADHIYA-2"/>
    <s v="MPG"/>
    <s v="Direct"/>
    <n v="1849.5000000000002"/>
    <n v="79125.800000000017"/>
    <n v="1834.6000000000004"/>
    <n v="78716.391281183416"/>
    <n v="20.6"/>
    <n v="962.6144020032001"/>
    <n v="1855.2000000000003"/>
    <n v="79679.00568318661"/>
    <n v="79125.800000000017"/>
    <n v="0"/>
    <n v="962.6144020032001"/>
    <n v="553.20568318659207"/>
    <n v="0"/>
    <n v="0"/>
    <n v="0"/>
    <n v="78163"/>
    <n v="0"/>
    <n v="0"/>
    <n v="0"/>
    <n v="0"/>
  </r>
  <r>
    <x v="698"/>
    <s v="GOMUKH PREMNAGAR"/>
    <s v="MPG"/>
    <s v="Direct"/>
    <n v="1031.75"/>
    <n v="42207.58"/>
    <n v="1028.03"/>
    <n v="41882.47612606566"/>
    <n v="8.1000000000000014"/>
    <n v="322.85710551600005"/>
    <n v="1036.1299999999999"/>
    <n v="42205.333231581659"/>
    <n v="42205.333231581659"/>
    <n v="0"/>
    <n v="322.85710551600005"/>
    <n v="0"/>
    <n v="389"/>
    <n v="0"/>
    <n v="0"/>
    <n v="41492"/>
    <n v="0"/>
    <n v="0"/>
    <n v="4"/>
    <n v="0"/>
  </r>
  <r>
    <x v="699"/>
    <s v="GOMUKH JITWARIYA W-6"/>
    <s v="MPG"/>
    <s v="Direct"/>
    <n v="2114.4499999999998"/>
    <n v="84934.65"/>
    <n v="2104.2699999999995"/>
    <n v="84733.437249463575"/>
    <n v="17.55"/>
    <n v="715.71299817600016"/>
    <n v="2121.8199999999997"/>
    <n v="85449.150247639569"/>
    <n v="84934.65"/>
    <n v="0"/>
    <n v="715.71299817600016"/>
    <n v="514.50024763957481"/>
    <n v="3000"/>
    <n v="0"/>
    <n v="0"/>
    <n v="81219"/>
    <n v="0"/>
    <n v="0"/>
    <n v="0"/>
    <n v="0"/>
  </r>
  <r>
    <x v="700"/>
    <s v="GOMUKH SUSTA"/>
    <s v="MPG"/>
    <s v="Direct"/>
    <n v="813.49999999999977"/>
    <n v="36713.589999999997"/>
    <n v="818.33999999999992"/>
    <n v="36511.704507322676"/>
    <n v="3.9"/>
    <n v="196.97422726799999"/>
    <n v="822.2399999999999"/>
    <n v="36708.678734590678"/>
    <n v="36708.678734590678"/>
    <n v="0"/>
    <n v="196.97422726799999"/>
    <n v="0"/>
    <n v="1350"/>
    <n v="0"/>
    <n v="0"/>
    <n v="35160"/>
    <n v="0"/>
    <n v="0"/>
    <n v="7"/>
    <n v="0"/>
  </r>
  <r>
    <x v="950"/>
    <s v="DIH LAHI"/>
    <s v="vlc"/>
    <s v="Indirect"/>
    <n v="2514.3000000000006"/>
    <n v="121538.86"/>
    <n v="0"/>
    <n v="0"/>
    <n v="0"/>
    <n v="0"/>
    <n v="0"/>
    <n v="0"/>
    <n v="121538.86"/>
    <n v="0"/>
    <n v="0"/>
    <n v="0"/>
    <n v="0"/>
    <n v="0"/>
    <n v="0"/>
    <n v="0"/>
    <n v="0"/>
    <n v="121538.86"/>
    <n v="0"/>
    <n v="0"/>
  </r>
  <r>
    <x v="702"/>
    <s v="BHATGAMA W-5"/>
    <s v="vlc"/>
    <s v="Indirect"/>
    <n v="191.65000000000003"/>
    <n v="6508.8600000000006"/>
    <n v="0"/>
    <n v="0"/>
    <n v="0"/>
    <n v="0"/>
    <n v="0"/>
    <n v="0"/>
    <n v="6508.8600000000006"/>
    <n v="0"/>
    <n v="0"/>
    <n v="0"/>
    <n v="0"/>
    <n v="18.316323870967754"/>
    <n v="0"/>
    <n v="0"/>
    <n v="0"/>
    <n v="6490.543676129033"/>
    <n v="0"/>
    <n v="0"/>
  </r>
  <r>
    <x v="703"/>
    <s v="GOMUKH TOKE"/>
    <s v="MPG"/>
    <s v="Direct"/>
    <n v="248.45000000000002"/>
    <n v="10585.59"/>
    <n v="243.59999999999994"/>
    <n v="11175.491107656895"/>
    <n v="5.9"/>
    <n v="266.73483786765007"/>
    <n v="249.49999999999994"/>
    <n v="11442.225945524546"/>
    <n v="10585.59"/>
    <n v="0"/>
    <n v="266.73483786765007"/>
    <n v="856.6359455245456"/>
    <n v="0"/>
    <n v="42.038951612903219"/>
    <n v="0"/>
    <n v="10277"/>
    <n v="0"/>
    <n v="0"/>
    <n v="0"/>
    <n v="0"/>
  </r>
  <r>
    <x v="704"/>
    <s v="GOMUKH SHIVNAGAR"/>
    <s v="MPG"/>
    <s v="Direct"/>
    <n v="1097.3499999999999"/>
    <n v="44199.869999999995"/>
    <n v="870.7"/>
    <n v="33873.698858784468"/>
    <n v="233.29999999999998"/>
    <n v="10313.308064955299"/>
    <n v="1104"/>
    <n v="44187.006923739769"/>
    <n v="44187.006923739769"/>
    <n v="0"/>
    <n v="913.07713959"/>
    <n v="0"/>
    <n v="3000"/>
    <n v="0"/>
    <n v="0"/>
    <n v="30874"/>
    <n v="9400"/>
    <n v="0"/>
    <n v="13"/>
    <s v="Release1"/>
  </r>
  <r>
    <x v="705"/>
    <s v="GOMUKH BAKHITIYARPUR"/>
    <s v="MPG"/>
    <s v="Direct"/>
    <n v="1210.1999999999996"/>
    <n v="53479.310000000012"/>
    <n v="1193.7"/>
    <n v="52929.168468461146"/>
    <n v="17.8"/>
    <n v="778.07549771159995"/>
    <n v="1211.5"/>
    <n v="53707.243966172748"/>
    <n v="53479.310000000012"/>
    <n v="0"/>
    <n v="778.07549771159995"/>
    <n v="227.93396617273538"/>
    <n v="3000"/>
    <n v="0"/>
    <n v="0"/>
    <n v="49701"/>
    <n v="0"/>
    <n v="0"/>
    <n v="0"/>
    <n v="0"/>
  </r>
  <r>
    <x v="706"/>
    <s v="GOMUKH BHARJA"/>
    <s v="MPG"/>
    <s v="Direct"/>
    <n v="642.8499999999998"/>
    <n v="34935.429999999993"/>
    <n v="643.1"/>
    <n v="34372.61207510189"/>
    <n v="8.5"/>
    <n v="541.580271595"/>
    <n v="651.6"/>
    <n v="34914.192346696887"/>
    <n v="34914.192346696887"/>
    <n v="0"/>
    <n v="541.580271595"/>
    <n v="0"/>
    <n v="33"/>
    <n v="53.283561290322623"/>
    <n v="0"/>
    <n v="34286"/>
    <n v="0"/>
    <n v="0"/>
    <n v="22"/>
    <s v="Release1"/>
  </r>
  <r>
    <x v="707"/>
    <s v="GOMUKH NAWABGANJ"/>
    <s v="MPG"/>
    <s v="Direct"/>
    <n v="678.2"/>
    <n v="28097.120000000003"/>
    <n v="666.50000000000011"/>
    <n v="27131.865160880585"/>
    <n v="22.299999999999997"/>
    <n v="911.86438919400007"/>
    <n v="688.80000000000007"/>
    <n v="28043.729550074586"/>
    <n v="28043.729550074586"/>
    <n v="0"/>
    <n v="911.86438919400007"/>
    <n v="0"/>
    <n v="0"/>
    <n v="0"/>
    <n v="0"/>
    <n v="27133"/>
    <n v="0"/>
    <n v="0"/>
    <n v="52"/>
    <n v="0"/>
  </r>
  <r>
    <x v="708"/>
    <s v="GOMUKH CHAKKI"/>
    <s v="MPG"/>
    <s v="Direct"/>
    <n v="256.29999999999995"/>
    <n v="10573.360000000002"/>
    <n v="251.20000000000005"/>
    <n v="10457.884522747099"/>
    <n v="2"/>
    <n v="82.75817583396001"/>
    <n v="253.20000000000005"/>
    <n v="10540.642698581059"/>
    <n v="10540.642698581059"/>
    <n v="0"/>
    <n v="82.75817583396001"/>
    <n v="0"/>
    <n v="0"/>
    <n v="5.6995548387096591"/>
    <n v="0"/>
    <n v="10454"/>
    <n v="0"/>
    <n v="0"/>
    <n v="31"/>
    <n v="0"/>
  </r>
  <r>
    <x v="709"/>
    <s v="GOMUKH LAKSHMAN NAGAR"/>
    <s v="MPG"/>
    <s v="Direct"/>
    <n v="347.15"/>
    <n v="15247.52"/>
    <n v="357.40000000000003"/>
    <n v="15684.2405545932"/>
    <n v="3.4000000000000004"/>
    <n v="151.79213999249998"/>
    <n v="360.8"/>
    <n v="15836.0326945857"/>
    <n v="15247.52"/>
    <n v="0"/>
    <n v="151.79213999249998"/>
    <n v="588.51269458569914"/>
    <n v="1454"/>
    <n v="13.362940677966041"/>
    <n v="0"/>
    <n v="13628"/>
    <n v="0"/>
    <n v="0"/>
    <n v="0"/>
    <s v="Release1"/>
  </r>
  <r>
    <x v="710"/>
    <s v="GOMUKH KOTHIYA"/>
    <s v="MPG"/>
    <s v="Direct"/>
    <n v="97.750000000000014"/>
    <n v="3950.1000000000004"/>
    <n v="97.300000000000011"/>
    <n v="3625.4839009667107"/>
    <n v="0"/>
    <n v="0"/>
    <n v="97.300000000000011"/>
    <n v="3625.4839009667107"/>
    <n v="3625.4839009667107"/>
    <n v="0"/>
    <n v="0"/>
    <n v="0"/>
    <n v="1500"/>
    <n v="0"/>
    <n v="0"/>
    <n v="2126"/>
    <n v="0"/>
    <n v="0"/>
    <n v="324"/>
    <n v="0"/>
  </r>
  <r>
    <x v="711"/>
    <s v="GOMUKH JHAHURI"/>
    <s v="MPG"/>
    <s v="Direct"/>
    <n v="2539.0500000000006"/>
    <n v="109265.73999999999"/>
    <n v="2486.7000000000007"/>
    <n v="108374.79469630736"/>
    <n v="29.400000000000002"/>
    <n v="1251.4715017200003"/>
    <n v="2516.1000000000008"/>
    <n v="109626.26619802737"/>
    <n v="109265.73999999999"/>
    <n v="0"/>
    <n v="1251.4715017200003"/>
    <n v="360.526198027379"/>
    <n v="26997"/>
    <n v="0"/>
    <n v="0"/>
    <n v="81017"/>
    <n v="0"/>
    <n v="0"/>
    <n v="0"/>
    <n v="0"/>
  </r>
  <r>
    <x v="712"/>
    <s v="GOMUKH Gopalpur Ward 1"/>
    <s v="MPG"/>
    <s v="Direct"/>
    <n v="152.44999999999999"/>
    <n v="5699.9700000000012"/>
    <n v="153.16999999999999"/>
    <n v="5227.6700710673995"/>
    <n v="1.26"/>
    <n v="44.732957385600002"/>
    <n v="154.42999999999998"/>
    <n v="5272.4030284529999"/>
    <n v="5272.4030284529999"/>
    <n v="0"/>
    <n v="44.732957385600002"/>
    <n v="0"/>
    <n v="0"/>
    <n v="0"/>
    <n v="0"/>
    <n v="5228"/>
    <n v="0"/>
    <n v="0"/>
    <n v="427"/>
    <n v="0"/>
  </r>
  <r>
    <x v="713"/>
    <s v="GOMUKH Keotsa"/>
    <s v="MPG"/>
    <s v="Direct"/>
    <n v="416.05"/>
    <n v="15425.29"/>
    <n v="408.65"/>
    <n v="15066.127421136405"/>
    <n v="4.95"/>
    <n v="180.06105334931999"/>
    <n v="413.59999999999997"/>
    <n v="15246.188474485725"/>
    <n v="15246.188474485725"/>
    <n v="0"/>
    <n v="180.06105334931999"/>
    <n v="0"/>
    <n v="0"/>
    <n v="0"/>
    <n v="0"/>
    <n v="15066"/>
    <n v="0"/>
    <n v="0"/>
    <n v="179"/>
    <n v="0"/>
  </r>
  <r>
    <x v="714"/>
    <s v="Gomukh Namapur East"/>
    <s v="vlc"/>
    <s v="Indirect"/>
    <n v="238.60000000000002"/>
    <n v="12620.09"/>
    <n v="0"/>
    <n v="0"/>
    <n v="0"/>
    <n v="0"/>
    <n v="0"/>
    <n v="0"/>
    <n v="12620.09"/>
    <n v="0"/>
    <n v="0"/>
    <n v="0"/>
    <n v="0"/>
    <n v="0"/>
    <n v="0"/>
    <n v="0"/>
    <n v="0"/>
    <n v="12620.09"/>
    <n v="0"/>
    <n v="0"/>
  </r>
  <r>
    <x v="715"/>
    <s v="GOMUKH Waini"/>
    <s v="MPG"/>
    <s v="Direct"/>
    <n v="182.95"/>
    <n v="7084.41"/>
    <n v="179.42999999999998"/>
    <n v="6821.625325739401"/>
    <n v="4.8600000000000003"/>
    <n v="179.44598192400005"/>
    <n v="184.29"/>
    <n v="7001.0713076634011"/>
    <n v="7001.0713076634011"/>
    <n v="0"/>
    <n v="179.44598192400005"/>
    <n v="0"/>
    <n v="0"/>
    <n v="0"/>
    <n v="0"/>
    <n v="6821"/>
    <n v="0"/>
    <n v="0"/>
    <n v="84"/>
    <n v="0"/>
  </r>
  <r>
    <x v="716"/>
    <s v="GOMUKH SAKARI"/>
    <s v="MPG"/>
    <s v="Direct"/>
    <n v="1543.4500000000003"/>
    <n v="63751.86"/>
    <n v="1528.5299999999997"/>
    <n v="63467.211686923853"/>
    <n v="9.7700000000000014"/>
    <n v="408.15578905800004"/>
    <n v="1538.2999999999997"/>
    <n v="63875.367475981853"/>
    <n v="63751.86"/>
    <n v="0"/>
    <n v="408.15578905800004"/>
    <n v="123.50747598185262"/>
    <n v="16350"/>
    <n v="0"/>
    <n v="0"/>
    <n v="46994"/>
    <n v="0"/>
    <n v="0"/>
    <n v="0"/>
    <n v="0"/>
  </r>
  <r>
    <x v="717"/>
    <s v="GOMUKH DHOBGAMA"/>
    <s v="MPG"/>
    <s v="Direct"/>
    <n v="780.24999999999989"/>
    <n v="30248.940000000006"/>
    <n v="803.05"/>
    <n v="30415.476636522821"/>
    <n v="18.150000000000002"/>
    <n v="686.90133309600014"/>
    <n v="821.19999999999993"/>
    <n v="31102.377969618821"/>
    <n v="30248.940000000006"/>
    <n v="0"/>
    <n v="686.90133309600014"/>
    <n v="853.43796961881526"/>
    <n v="0"/>
    <n v="0"/>
    <n v="0"/>
    <n v="29562"/>
    <n v="0"/>
    <n v="0"/>
    <n v="0"/>
    <n v="0"/>
  </r>
  <r>
    <x v="718"/>
    <s v="GOMUKH BHUSKOUL"/>
    <s v="MPG"/>
    <s v="Direct"/>
    <n v="700.35"/>
    <n v="27810.02"/>
    <n v="699.0999999999998"/>
    <n v="27624.750144310834"/>
    <n v="13.71"/>
    <n v="540.65153498400014"/>
    <n v="712.80999999999983"/>
    <n v="28165.401679294835"/>
    <n v="27810.02"/>
    <n v="0"/>
    <n v="540.65153498400014"/>
    <n v="355.38167929483461"/>
    <n v="2726"/>
    <n v="0"/>
    <n v="0"/>
    <n v="24543"/>
    <n v="0"/>
    <n v="0"/>
    <n v="0"/>
    <n v="0"/>
  </r>
  <r>
    <x v="719"/>
    <s v="GOMUKH BIRSINGHPUR"/>
    <s v="MPG"/>
    <s v="Direct"/>
    <n v="319.60000000000002"/>
    <n v="12561.550000000003"/>
    <n v="319.24"/>
    <n v="12582.636730488"/>
    <n v="0.54999999999999993"/>
    <n v="21.272403240000003"/>
    <n v="319.79000000000002"/>
    <n v="12603.909133728001"/>
    <n v="12561.550000000003"/>
    <n v="0"/>
    <n v="21.272403240000003"/>
    <n v="42.359133727997687"/>
    <n v="3000"/>
    <n v="0"/>
    <n v="0"/>
    <n v="9540"/>
    <n v="0"/>
    <n v="0"/>
    <n v="0"/>
    <n v="0"/>
  </r>
  <r>
    <x v="720"/>
    <s v="GOMUKH GHOSRAWAN"/>
    <s v="MPG"/>
    <s v="Direct"/>
    <n v="590.1"/>
    <n v="22639.250000000004"/>
    <n v="585.67999999999995"/>
    <n v="22334.226058346398"/>
    <n v="4.1399999999999988"/>
    <n v="160.39241143200002"/>
    <n v="589.81999999999994"/>
    <n v="22494.618469778397"/>
    <n v="22494.618469778397"/>
    <n v="0"/>
    <n v="160.39241143200002"/>
    <n v="0"/>
    <n v="9000"/>
    <n v="0"/>
    <n v="0"/>
    <n v="13336"/>
    <n v="0"/>
    <n v="0"/>
    <n v="143"/>
    <n v="0"/>
  </r>
  <r>
    <x v="951"/>
    <s v="GOMUKH BANDRA W-9"/>
    <s v="MPG"/>
    <s v="Direct"/>
    <n v="111.49999999999999"/>
    <n v="5557.93"/>
    <n v="100.47000000000003"/>
    <n v="5522.683346121371"/>
    <n v="2.62"/>
    <n v="143.54079379133003"/>
    <n v="103.09000000000003"/>
    <n v="5666.2241399127006"/>
    <n v="5557.93"/>
    <n v="0"/>
    <n v="143.54079379133003"/>
    <n v="108.2941399127003"/>
    <n v="0"/>
    <n v="0"/>
    <n v="0"/>
    <n v="5414"/>
    <n v="0"/>
    <n v="0"/>
    <n v="0"/>
    <n v="0"/>
  </r>
  <r>
    <x v="721"/>
    <s v="GOMUKH DHROOVGAMA W-12"/>
    <s v="vlc"/>
    <s v="Indirect"/>
    <n v="297.39999999999998"/>
    <n v="11417.12"/>
    <n v="0"/>
    <n v="0"/>
    <n v="0"/>
    <n v="0"/>
    <n v="0"/>
    <n v="0"/>
    <n v="11417.12"/>
    <n v="0"/>
    <n v="0"/>
    <n v="0"/>
    <n v="0"/>
    <n v="0"/>
    <n v="0"/>
    <n v="0"/>
    <n v="0"/>
    <n v="11417.12"/>
    <n v="0"/>
    <n v="0"/>
  </r>
  <r>
    <x v="722"/>
    <s v="GOMUKH ANANDPUR PARAS 2"/>
    <s v="MPG"/>
    <s v="Direct"/>
    <n v="3044.5"/>
    <n v="121146.70000000001"/>
    <n v="3044.5"/>
    <n v="121141.17507888003"/>
    <n v="0"/>
    <n v="0"/>
    <n v="3044.5"/>
    <n v="121141.17507888003"/>
    <n v="121141.17507888003"/>
    <n v="0"/>
    <n v="0"/>
    <n v="0"/>
    <n v="0"/>
    <n v="0"/>
    <n v="0"/>
    <n v="121141"/>
    <n v="0"/>
    <n v="0"/>
    <n v="6"/>
    <n v="0"/>
  </r>
  <r>
    <x v="723"/>
    <s v="GOMUKH GADBANNI"/>
    <s v="MPG"/>
    <s v="Direct"/>
    <n v="234.79999999999998"/>
    <n v="9354.7500000000018"/>
    <n v="257.40999999999997"/>
    <n v="9948.6527827681857"/>
    <n v="0"/>
    <n v="0"/>
    <n v="257.40999999999997"/>
    <n v="9948.6527827681857"/>
    <n v="9354.7500000000018"/>
    <n v="0"/>
    <n v="0"/>
    <n v="593.9027827681839"/>
    <n v="0"/>
    <n v="40.770000000000003"/>
    <n v="0"/>
    <n v="9314"/>
    <n v="0"/>
    <n v="0"/>
    <n v="0"/>
    <s v="Release1"/>
  </r>
  <r>
    <x v="724"/>
    <s v="GOMUKH PARRI"/>
    <s v="MPG"/>
    <s v="Direct"/>
    <n v="152.30000000000001"/>
    <n v="7090.75"/>
    <n v="205.53"/>
    <n v="11061.588762487851"/>
    <n v="0"/>
    <n v="0"/>
    <n v="205.53"/>
    <n v="11061.588762487851"/>
    <n v="7090.75"/>
    <n v="0"/>
    <n v="0"/>
    <n v="3970.8387624878505"/>
    <n v="342"/>
    <n v="29.52"/>
    <n v="0"/>
    <n v="6719"/>
    <n v="0"/>
    <n v="0"/>
    <n v="0"/>
    <s v="Release1"/>
  </r>
  <r>
    <x v="725"/>
    <s v="GOMUKH BHIKHARI GHAT"/>
    <s v="MPG"/>
    <s v="Direct"/>
    <n v="1050.3"/>
    <n v="42840.290000000008"/>
    <n v="1069.07"/>
    <n v="43542.446061704119"/>
    <n v="10.44"/>
    <n v="511.06654233360001"/>
    <n v="1079.51"/>
    <n v="44053.512604037722"/>
    <n v="42840.290000000008"/>
    <n v="0"/>
    <n v="511.06654233360001"/>
    <n v="1213.2226040377136"/>
    <n v="0"/>
    <n v="127.93"/>
    <n v="0"/>
    <n v="42201"/>
    <n v="0"/>
    <n v="0"/>
    <n v="0"/>
    <s v="Release1"/>
  </r>
  <r>
    <x v="726"/>
    <s v="Vikash Kumar"/>
    <s v="vlc"/>
    <s v="Indirect"/>
    <n v="1860.1999999999998"/>
    <n v="75748.539999999994"/>
    <n v="0"/>
    <n v="0"/>
    <n v="0"/>
    <n v="0"/>
    <n v="0"/>
    <n v="0"/>
    <n v="75748.539999999994"/>
    <n v="0"/>
    <n v="0"/>
    <n v="0"/>
    <n v="0"/>
    <n v="0"/>
    <n v="0"/>
    <n v="0"/>
    <n v="0"/>
    <n v="75748.539999999994"/>
    <n v="0"/>
    <n v="0"/>
  </r>
  <r>
    <x v="727"/>
    <s v="Rajkishore Yadav"/>
    <s v="vlc"/>
    <s v="Indirect"/>
    <n v="368.69999999999993"/>
    <n v="12365.669999999996"/>
    <n v="0"/>
    <n v="0"/>
    <n v="0"/>
    <n v="0"/>
    <n v="0"/>
    <n v="0"/>
    <n v="12365.669999999996"/>
    <n v="0"/>
    <n v="0"/>
    <n v="0"/>
    <n v="0"/>
    <n v="0"/>
    <n v="0"/>
    <n v="0"/>
    <n v="0"/>
    <n v="12365.669999999996"/>
    <n v="0"/>
    <n v="0"/>
  </r>
  <r>
    <x v="728"/>
    <s v="BHADAS VLC"/>
    <s v="vlc"/>
    <s v="Indirect"/>
    <n v="60.000000000000007"/>
    <n v="2372.94"/>
    <n v="0"/>
    <n v="0"/>
    <n v="0"/>
    <n v="0"/>
    <n v="0"/>
    <n v="0"/>
    <n v="2372.94"/>
    <n v="0"/>
    <n v="0"/>
    <n v="0"/>
    <n v="0"/>
    <n v="0"/>
    <n v="0"/>
    <n v="0"/>
    <n v="0"/>
    <n v="2372.94"/>
    <n v="0"/>
    <n v="0"/>
  </r>
  <r>
    <x v="952"/>
    <s v="SUNIL KUMAR VLC"/>
    <s v="vlc"/>
    <s v="Indirect"/>
    <n v="387.6"/>
    <n v="14241.079999999998"/>
    <n v="0"/>
    <n v="0"/>
    <n v="0"/>
    <n v="0"/>
    <n v="0"/>
    <n v="0"/>
    <n v="14241.079999999998"/>
    <n v="0"/>
    <n v="0"/>
    <n v="0"/>
    <n v="0"/>
    <n v="0"/>
    <n v="0"/>
    <n v="0"/>
    <n v="0"/>
    <n v="14241.079999999998"/>
    <n v="0"/>
    <n v="0"/>
  </r>
  <r>
    <x v="729"/>
    <s v="GOMUKH BENHER"/>
    <s v="MPG"/>
    <s v="Direct"/>
    <n v="305.70000000000005"/>
    <n v="16230.609999999999"/>
    <n v="310.23999999999995"/>
    <n v="16382.807906739421"/>
    <n v="1.04"/>
    <n v="55.082295632780003"/>
    <n v="311.27999999999997"/>
    <n v="16437.8902023722"/>
    <n v="16230.609999999999"/>
    <n v="0"/>
    <n v="55.082295632780003"/>
    <n v="207.28020237220153"/>
    <n v="0"/>
    <n v="0"/>
    <n v="0"/>
    <n v="16176"/>
    <n v="0"/>
    <n v="0"/>
    <n v="0"/>
    <n v="0"/>
  </r>
  <r>
    <x v="730"/>
    <s v="GOMUKH LADORA"/>
    <s v="MPG"/>
    <s v="Direct"/>
    <n v="834.6"/>
    <n v="30887.349999999995"/>
    <n v="1129.01"/>
    <n v="48839.605548385174"/>
    <n v="0"/>
    <n v="0"/>
    <n v="1129.01"/>
    <n v="48839.605548385174"/>
    <n v="30887.349999999995"/>
    <n v="0"/>
    <n v="0"/>
    <n v="17952.255548385179"/>
    <n v="2600"/>
    <n v="0"/>
    <n v="0"/>
    <n v="28287"/>
    <n v="0"/>
    <n v="0"/>
    <n v="0"/>
    <s v="Release1"/>
  </r>
  <r>
    <x v="731"/>
    <s v="GOMUKH SAHSI"/>
    <s v="MPG"/>
    <s v="Direct"/>
    <n v="171.7"/>
    <n v="7568.36"/>
    <n v="196.54"/>
    <n v="8462.5800841610726"/>
    <n v="0"/>
    <n v="0"/>
    <n v="196.54"/>
    <n v="8462.5800841610726"/>
    <n v="7568.36"/>
    <n v="0"/>
    <n v="0"/>
    <n v="894.22008416107292"/>
    <n v="0"/>
    <n v="0"/>
    <n v="0"/>
    <n v="7568"/>
    <n v="0"/>
    <n v="0"/>
    <n v="0"/>
    <n v="0"/>
  </r>
  <r>
    <x v="732"/>
    <s v="Gomukh Chikni"/>
    <s v="MPG"/>
    <s v="Direct"/>
    <n v="168.50000000000003"/>
    <n v="6449.32"/>
    <n v="178.97"/>
    <n v="6572.6430824142008"/>
    <n v="0"/>
    <n v="0"/>
    <n v="178.97"/>
    <n v="6572.6430824142008"/>
    <n v="6449.32"/>
    <n v="0"/>
    <n v="0"/>
    <n v="123.32308241420105"/>
    <n v="0"/>
    <n v="0"/>
    <n v="0"/>
    <n v="6449"/>
    <n v="0"/>
    <n v="0"/>
    <n v="0"/>
    <s v="Release1"/>
  </r>
  <r>
    <x v="733"/>
    <s v="GOMUKH BUDWA"/>
    <s v="MPG"/>
    <s v="Direct"/>
    <n v="104.8"/>
    <n v="3896.3600000000006"/>
    <n v="111.58"/>
    <n v="4037.6356539646144"/>
    <n v="0"/>
    <n v="0"/>
    <n v="111.58"/>
    <n v="4037.6356539646144"/>
    <n v="3896.3600000000006"/>
    <n v="0"/>
    <n v="0"/>
    <n v="141.27565396461387"/>
    <n v="0"/>
    <n v="0"/>
    <n v="0"/>
    <n v="3896"/>
    <n v="0"/>
    <n v="0"/>
    <n v="0"/>
    <s v="Release1"/>
  </r>
  <r>
    <x v="734"/>
    <s v="GOMUKH GANGIYA"/>
    <s v="MPG"/>
    <s v="Indirect"/>
    <n v="468.7"/>
    <n v="17082.769999999997"/>
    <n v="0"/>
    <n v="0"/>
    <n v="0"/>
    <n v="0"/>
    <n v="0"/>
    <n v="0"/>
    <n v="17082.769999999997"/>
    <n v="0"/>
    <n v="0"/>
    <n v="0"/>
    <n v="0"/>
    <n v="90.93870000000004"/>
    <n v="0"/>
    <n v="0"/>
    <n v="0"/>
    <n v="16991.831299999998"/>
    <n v="0"/>
    <n v="0"/>
  </r>
  <r>
    <x v="735"/>
    <s v="GOMUKH AMBA ICHARUA"/>
    <s v="MPG"/>
    <s v="Direct"/>
    <n v="561.30000000000007"/>
    <n v="22371.94"/>
    <n v="77.06"/>
    <n v="3162.4869366288003"/>
    <n v="500.11999999999995"/>
    <n v="21246.896867325002"/>
    <n v="577.17999999999995"/>
    <n v="24409.383803953802"/>
    <n v="22371.94"/>
    <n v="0"/>
    <n v="0"/>
    <n v="2037.4438039538036"/>
    <n v="0"/>
    <n v="0"/>
    <n v="0"/>
    <n v="1125"/>
    <n v="21247"/>
    <n v="0"/>
    <n v="0"/>
    <n v="0"/>
  </r>
  <r>
    <x v="736"/>
    <s v="RAJAURA VLC"/>
    <s v="vlc"/>
    <s v="Indirect"/>
    <n v="532.1"/>
    <n v="19638.850000000002"/>
    <n v="0"/>
    <n v="0"/>
    <n v="0"/>
    <n v="0"/>
    <n v="0"/>
    <n v="0"/>
    <n v="19638.850000000002"/>
    <n v="0"/>
    <n v="0"/>
    <n v="0"/>
    <n v="0"/>
    <n v="0"/>
    <n v="0"/>
    <n v="0"/>
    <n v="0"/>
    <n v="19638.850000000002"/>
    <n v="0"/>
    <n v="0"/>
  </r>
  <r>
    <x v="737"/>
    <s v="GOMUKH JWALAPUR"/>
    <s v="MPG"/>
    <s v="Direct"/>
    <n v="246.9"/>
    <n v="9249.07"/>
    <n v="383"/>
    <n v="15875.013726000001"/>
    <n v="0"/>
    <n v="0"/>
    <n v="383"/>
    <n v="15875.013726000001"/>
    <n v="9249.07"/>
    <n v="0"/>
    <n v="0"/>
    <n v="6625.9437260000013"/>
    <n v="0"/>
    <n v="0"/>
    <n v="0"/>
    <n v="9249"/>
    <n v="0"/>
    <n v="0"/>
    <n v="0"/>
    <n v="0"/>
  </r>
  <r>
    <x v="738"/>
    <s v="GOMUKH MATHURAPUR"/>
    <s v="MPG"/>
    <s v="Direct"/>
    <n v="253.90000000000003"/>
    <n v="9738.18"/>
    <n v="255"/>
    <n v="11444.689476000001"/>
    <n v="0"/>
    <n v="0"/>
    <n v="255"/>
    <n v="11444.689476000001"/>
    <n v="9738.18"/>
    <n v="0"/>
    <n v="0"/>
    <n v="1706.5094760000011"/>
    <n v="0"/>
    <n v="0"/>
    <n v="0"/>
    <n v="9738"/>
    <n v="0"/>
    <n v="0"/>
    <n v="0"/>
    <n v="0"/>
  </r>
  <r>
    <x v="739"/>
    <s v="VLC Dhushmuri Bishanpur"/>
    <s v="vlc"/>
    <s v="Indirect"/>
    <n v="768.80000000000007"/>
    <n v="25928.44"/>
    <n v="0"/>
    <n v="0"/>
    <n v="0"/>
    <n v="0"/>
    <n v="0"/>
    <n v="0"/>
    <n v="25928.44"/>
    <n v="0"/>
    <n v="0"/>
    <n v="0"/>
    <n v="0"/>
    <n v="0"/>
    <n v="0"/>
    <n v="0"/>
    <n v="0"/>
    <n v="25928.44"/>
    <n v="0"/>
    <n v="0"/>
  </r>
  <r>
    <x v="953"/>
    <s v="VLC Govindpur"/>
    <s v="vlc"/>
    <s v="Indirect"/>
    <n v="677.89999999999986"/>
    <n v="23966.700000000004"/>
    <n v="0"/>
    <n v="0"/>
    <n v="0"/>
    <n v="0"/>
    <n v="0"/>
    <n v="0"/>
    <n v="23966.700000000004"/>
    <n v="0"/>
    <n v="0"/>
    <n v="0"/>
    <n v="0"/>
    <n v="0"/>
    <n v="0"/>
    <n v="0"/>
    <n v="0"/>
    <n v="23966.700000000004"/>
    <n v="0"/>
    <n v="0"/>
  </r>
  <r>
    <x v="740"/>
    <s v="Gomukh Darhi Mor"/>
    <s v="MPG"/>
    <s v="Indirect"/>
    <n v="141"/>
    <n v="4957.6699999999992"/>
    <n v="0"/>
    <n v="0"/>
    <n v="0"/>
    <n v="0"/>
    <n v="0"/>
    <n v="0"/>
    <n v="4957.6699999999992"/>
    <n v="0"/>
    <n v="0"/>
    <n v="0"/>
    <n v="0"/>
    <n v="0"/>
    <n v="0"/>
    <n v="0"/>
    <n v="0"/>
    <n v="4957.6699999999992"/>
    <n v="0"/>
    <n v="0"/>
  </r>
  <r>
    <x v="741"/>
    <s v="Gomukh Balaur"/>
    <s v="MPG"/>
    <s v="Direct"/>
    <n v="1380"/>
    <n v="71475.649999999994"/>
    <n v="2250"/>
    <n v="136425.66807424999"/>
    <n v="0"/>
    <n v="0"/>
    <n v="2250"/>
    <n v="136425.66807424999"/>
    <n v="71475.649999999994"/>
    <n v="0"/>
    <n v="0"/>
    <n v="64950.018074249994"/>
    <n v="13500"/>
    <n v="0"/>
    <n v="0"/>
    <n v="57976"/>
    <n v="0"/>
    <n v="0"/>
    <n v="0"/>
    <s v="Release1"/>
  </r>
  <r>
    <x v="742"/>
    <s v="Gomukh Hathwan - 2"/>
    <s v="MPG"/>
    <s v="Direct"/>
    <n v="360.89999999999992"/>
    <n v="12982.56"/>
    <n v="394"/>
    <n v="16094.542068000001"/>
    <n v="0"/>
    <n v="0"/>
    <n v="394"/>
    <n v="16094.542068000001"/>
    <n v="12982.56"/>
    <n v="0"/>
    <n v="0"/>
    <n v="3111.9820680000012"/>
    <n v="0"/>
    <n v="0"/>
    <n v="0"/>
    <n v="12983"/>
    <n v="0"/>
    <n v="0"/>
    <n v="0"/>
    <n v="0"/>
  </r>
  <r>
    <x v="743"/>
    <s v="VLC Sunil Khas"/>
    <s v="vlc"/>
    <s v="Indirect"/>
    <n v="682.89999999999986"/>
    <n v="29604.649999999998"/>
    <n v="0"/>
    <n v="0"/>
    <n v="0"/>
    <n v="0"/>
    <n v="0"/>
    <n v="0"/>
    <n v="29604.649999999998"/>
    <n v="0"/>
    <n v="0"/>
    <n v="0"/>
    <n v="0"/>
    <n v="0"/>
    <n v="0"/>
    <n v="0"/>
    <n v="0"/>
    <n v="29604.649999999998"/>
    <n v="0"/>
    <n v="0"/>
  </r>
  <r>
    <x v="744"/>
    <s v="Gomukh Hathwan "/>
    <s v="MPG"/>
    <s v="Direct"/>
    <n v="616.59999999999991"/>
    <n v="26059.940000000002"/>
    <n v="732.09999999999991"/>
    <n v="45185.262693502365"/>
    <n v="0"/>
    <n v="0"/>
    <n v="732.09999999999991"/>
    <n v="45185.262693502365"/>
    <n v="26059.940000000002"/>
    <n v="0"/>
    <n v="0"/>
    <n v="19125.322693502363"/>
    <n v="0"/>
    <n v="0"/>
    <n v="0"/>
    <n v="26060"/>
    <n v="0"/>
    <n v="0"/>
    <n v="0"/>
    <n v="0"/>
  </r>
  <r>
    <x v="745"/>
    <s v="Gomukh Rahul VLC"/>
    <s v="vlc"/>
    <s v="Indirect"/>
    <n v="1744.6000000000001"/>
    <n v="72315.87"/>
    <n v="0"/>
    <n v="0"/>
    <n v="0"/>
    <n v="0"/>
    <n v="0"/>
    <n v="0"/>
    <n v="72315.87"/>
    <n v="0"/>
    <n v="0"/>
    <n v="0"/>
    <n v="0"/>
    <n v="0"/>
    <n v="0"/>
    <n v="0"/>
    <n v="0"/>
    <n v="72315.87"/>
    <n v="0"/>
    <n v="0"/>
  </r>
  <r>
    <x v="954"/>
    <s v="Gomukh Sachin VLC"/>
    <s v="vlc"/>
    <s v="Indirect"/>
    <n v="861.10000000000014"/>
    <n v="29978.949999999997"/>
    <n v="0"/>
    <n v="0"/>
    <n v="0"/>
    <n v="0"/>
    <n v="0"/>
    <n v="0"/>
    <n v="29978.949999999997"/>
    <n v="0"/>
    <n v="0"/>
    <n v="0"/>
    <n v="0"/>
    <n v="0"/>
    <n v="0"/>
    <n v="0"/>
    <n v="0"/>
    <n v="29978.949999999997"/>
    <n v="0"/>
    <n v="0"/>
  </r>
  <r>
    <x v="746"/>
    <s v="Balahpur-Anil Yadav"/>
    <s v="vlc"/>
    <s v="Indirect"/>
    <n v="32509.7"/>
    <n v="1176649.9400000004"/>
    <n v="0"/>
    <n v="0"/>
    <n v="0"/>
    <n v="0"/>
    <n v="0"/>
    <n v="0"/>
    <n v="1176649.9400000004"/>
    <n v="0"/>
    <n v="0"/>
    <n v="0"/>
    <n v="0"/>
    <n v="0"/>
    <n v="0"/>
    <n v="0"/>
    <n v="0"/>
    <n v="1176649.9400000004"/>
    <n v="0"/>
    <n v="0"/>
  </r>
  <r>
    <x v="747"/>
    <s v="Bagdobh"/>
    <s v="vlc"/>
    <s v="Indirect"/>
    <n v="245.79999999999998"/>
    <n v="8327.7900000000009"/>
    <n v="0"/>
    <n v="0"/>
    <n v="0"/>
    <n v="0"/>
    <n v="0"/>
    <n v="0"/>
    <n v="8327.7900000000009"/>
    <n v="0"/>
    <n v="0"/>
    <n v="0"/>
    <n v="0"/>
    <n v="0"/>
    <n v="0"/>
    <n v="0"/>
    <n v="0"/>
    <n v="8327.7900000000009"/>
    <n v="0"/>
    <n v="0"/>
  </r>
  <r>
    <x v="955"/>
    <s v="Gokhle Nagar"/>
    <s v="MPG"/>
    <s v="Direct"/>
    <n v="55.400000000000006"/>
    <n v="1873.6599999999999"/>
    <n v="55.5"/>
    <n v="1888.4364475680002"/>
    <n v="0"/>
    <n v="0"/>
    <n v="55.5"/>
    <n v="1888.4364475680002"/>
    <n v="1873.6599999999999"/>
    <n v="0"/>
    <n v="0"/>
    <n v="14.776447568000322"/>
    <n v="0"/>
    <n v="0"/>
    <n v="0"/>
    <n v="1874"/>
    <n v="0"/>
    <n v="0"/>
    <n v="0"/>
    <n v="0"/>
  </r>
  <r>
    <x v="748"/>
    <s v="Gomukh Matihani"/>
    <s v="MPG"/>
    <s v="Direct"/>
    <n v="283.09999999999997"/>
    <n v="10729.36"/>
    <n v="198.88"/>
    <n v="7957.4726874852022"/>
    <n v="79.34"/>
    <n v="3155.5039803012"/>
    <n v="278.22000000000003"/>
    <n v="11112.976667786403"/>
    <n v="10729.36"/>
    <n v="0"/>
    <n v="3155.5039803012"/>
    <n v="383.6166677864021"/>
    <n v="0"/>
    <n v="0"/>
    <n v="0"/>
    <n v="7574"/>
    <n v="0"/>
    <n v="0"/>
    <n v="0"/>
    <n v="0"/>
  </r>
  <r>
    <x v="749"/>
    <s v="Jalalpur"/>
    <s v="vlc"/>
    <s v="Indirect"/>
    <n v="2092.9"/>
    <n v="68507.040000000008"/>
    <n v="0"/>
    <n v="0"/>
    <n v="0"/>
    <n v="0"/>
    <n v="0"/>
    <n v="0"/>
    <n v="68507.040000000008"/>
    <n v="0"/>
    <n v="0"/>
    <n v="0"/>
    <n v="0"/>
    <n v="0"/>
    <n v="0"/>
    <n v="0"/>
    <n v="0"/>
    <n v="68507.040000000008"/>
    <n v="0"/>
    <n v="0"/>
  </r>
  <r>
    <x v="956"/>
    <s v="Saidpur"/>
    <s v="vlc"/>
    <s v="Indirect"/>
    <n v="286.20000000000005"/>
    <n v="9478.2800000000007"/>
    <n v="0"/>
    <n v="0"/>
    <n v="0"/>
    <n v="0"/>
    <n v="0"/>
    <n v="0"/>
    <n v="9478.2800000000007"/>
    <n v="0"/>
    <n v="0"/>
    <n v="0"/>
    <n v="0"/>
    <n v="0"/>
    <n v="0"/>
    <n v="0"/>
    <n v="0"/>
    <n v="9478.2800000000007"/>
    <n v="0"/>
    <n v="0"/>
  </r>
  <r>
    <x v="750"/>
    <s v="Chak"/>
    <s v="vlc"/>
    <s v="Indirect"/>
    <n v="1193.3999999999999"/>
    <n v="44099.549999999996"/>
    <n v="0"/>
    <n v="0"/>
    <n v="0"/>
    <n v="0"/>
    <n v="0"/>
    <n v="0"/>
    <n v="44099.549999999996"/>
    <n v="0"/>
    <n v="0"/>
    <n v="0"/>
    <n v="0"/>
    <n v="0"/>
    <n v="0"/>
    <n v="0"/>
    <n v="0"/>
    <n v="44099.549999999996"/>
    <n v="0"/>
    <n v="0"/>
  </r>
  <r>
    <x v="751"/>
    <s v="Gomukh Chautham(Mithun Kumar VLC)"/>
    <s v="vlc"/>
    <s v="Indirect"/>
    <n v="2123.14"/>
    <n v="81372.91"/>
    <n v="0"/>
    <n v="0"/>
    <n v="0"/>
    <n v="0"/>
    <n v="0"/>
    <n v="0"/>
    <n v="81372.91"/>
    <n v="0"/>
    <n v="0"/>
    <n v="0"/>
    <n v="0"/>
    <n v="0"/>
    <n v="0"/>
    <n v="0"/>
    <n v="0"/>
    <n v="81372.91"/>
    <n v="0"/>
    <n v="0"/>
  </r>
  <r>
    <x v="752"/>
    <s v="Gomukh Pansalwa"/>
    <s v="vlc"/>
    <s v="Indirect"/>
    <n v="766.56"/>
    <n v="27466.48"/>
    <n v="0"/>
    <n v="0"/>
    <n v="0"/>
    <n v="0"/>
    <n v="0"/>
    <n v="0"/>
    <n v="27466.48"/>
    <n v="0"/>
    <n v="0"/>
    <n v="0"/>
    <n v="0"/>
    <n v="0"/>
    <n v="0"/>
    <n v="0"/>
    <n v="0"/>
    <n v="27466.48"/>
    <n v="0"/>
    <n v="0"/>
  </r>
  <r>
    <x v="753"/>
    <s v="Gomukh Nawada"/>
    <s v="MPG"/>
    <s v="Direct"/>
    <n v="868.56"/>
    <n v="29188.280000000006"/>
    <n v="927.06000000000006"/>
    <n v="31982.546304878393"/>
    <n v="0"/>
    <n v="0"/>
    <n v="927.06000000000006"/>
    <n v="31982.546304878393"/>
    <n v="29188.280000000006"/>
    <n v="0"/>
    <n v="0"/>
    <n v="2794.266304878387"/>
    <n v="0"/>
    <n v="0"/>
    <n v="0"/>
    <n v="29188"/>
    <n v="0"/>
    <n v="0"/>
    <n v="0"/>
    <n v="0"/>
  </r>
  <r>
    <x v="754"/>
    <s v="Gomukh Yadav Tol Kanauli"/>
    <s v="MPG"/>
    <s v="Direct"/>
    <n v="2030.0399999999997"/>
    <n v="82245.31"/>
    <n v="38.039999999999992"/>
    <n v="1614.3383744963999"/>
    <n v="1992"/>
    <n v="80652.010546800011"/>
    <n v="2030.04"/>
    <n v="82266.348921296405"/>
    <n v="82245.31"/>
    <n v="0"/>
    <n v="0"/>
    <n v="21.038921296407352"/>
    <n v="0"/>
    <n v="0"/>
    <n v="0"/>
    <n v="1593"/>
    <n v="80652"/>
    <n v="0"/>
    <n v="0"/>
    <n v="0"/>
  </r>
  <r>
    <x v="755"/>
    <s v="Gomukh Hardia"/>
    <s v="MPG"/>
    <s v="Direct"/>
    <n v="242.89999999999995"/>
    <n v="9345.24"/>
    <n v="244.82000000000005"/>
    <n v="10468.807914811559"/>
    <n v="0"/>
    <n v="0"/>
    <n v="244.82000000000005"/>
    <n v="10468.807914811559"/>
    <n v="9345.24"/>
    <n v="0"/>
    <n v="0"/>
    <n v="1123.5679148115596"/>
    <n v="0"/>
    <n v="0"/>
    <n v="0"/>
    <n v="9345"/>
    <n v="0"/>
    <n v="0"/>
    <n v="0"/>
    <n v="0"/>
  </r>
  <r>
    <x v="756"/>
    <s v="Gomukh Ashatol Paharpur"/>
    <s v="MPG"/>
    <s v="Direct"/>
    <n v="1777.1000000000004"/>
    <n v="67852.66"/>
    <n v="1778.54"/>
    <n v="70028.53863515766"/>
    <n v="0"/>
    <n v="0"/>
    <n v="1778.54"/>
    <n v="70028.53863515766"/>
    <n v="67852.66"/>
    <n v="0"/>
    <n v="0"/>
    <n v="2175.8786351576564"/>
    <n v="10012"/>
    <n v="0"/>
    <n v="0"/>
    <n v="57841"/>
    <n v="0"/>
    <n v="0"/>
    <n v="0"/>
    <s v="Release3"/>
  </r>
  <r>
    <x v="757"/>
    <s v="Gomukh Kharawa"/>
    <s v="MPG"/>
    <s v="Direct"/>
    <n v="1232.22"/>
    <n v="47129.039999999994"/>
    <n v="1232.2199999999993"/>
    <n v="47056.921575652894"/>
    <n v="0"/>
    <n v="0"/>
    <n v="1232.2199999999993"/>
    <n v="47056.921575652894"/>
    <n v="47056.921575652894"/>
    <n v="0"/>
    <n v="0"/>
    <n v="0"/>
    <n v="0"/>
    <n v="0"/>
    <n v="0"/>
    <n v="47057"/>
    <n v="0"/>
    <n v="0"/>
    <n v="72"/>
    <n v="0"/>
  </r>
  <r>
    <x v="758"/>
    <s v="Gomukh Patel Nagar"/>
    <s v="vlc"/>
    <s v="Indirect"/>
    <n v="741.06"/>
    <n v="24843.68"/>
    <n v="0"/>
    <n v="0"/>
    <n v="0"/>
    <n v="0"/>
    <n v="0"/>
    <n v="0"/>
    <n v="24843.68"/>
    <n v="0"/>
    <n v="0"/>
    <n v="0"/>
    <n v="1300"/>
    <n v="0"/>
    <n v="0"/>
    <n v="0"/>
    <n v="0"/>
    <n v="23543.68"/>
    <n v="0"/>
    <n v="0"/>
  </r>
  <r>
    <x v="759"/>
    <s v="Gomukh Pachout"/>
    <s v="MPG"/>
    <s v="Direct"/>
    <n v="972.83999999999992"/>
    <n v="36395.29"/>
    <n v="972.85"/>
    <n v="36818.142015511796"/>
    <n v="0"/>
    <n v="0"/>
    <n v="972.85"/>
    <n v="36818.142015511796"/>
    <n v="36395.29"/>
    <n v="0"/>
    <n v="0"/>
    <n v="422.85201551179489"/>
    <n v="0"/>
    <n v="0"/>
    <n v="0"/>
    <n v="36395"/>
    <n v="0"/>
    <n v="0"/>
    <n v="0"/>
    <n v="0"/>
  </r>
  <r>
    <x v="760"/>
    <s v="Gomukh Telihar"/>
    <s v="MPG"/>
    <s v="Direct"/>
    <n v="967.86"/>
    <n v="36758.449999999997"/>
    <n v="967.88"/>
    <n v="38167.107900333402"/>
    <n v="0"/>
    <n v="0"/>
    <n v="967.88"/>
    <n v="38167.107900333402"/>
    <n v="36758.449999999997"/>
    <n v="0"/>
    <n v="0"/>
    <n v="1408.6579003334045"/>
    <n v="0"/>
    <n v="0"/>
    <n v="0"/>
    <n v="36758"/>
    <n v="0"/>
    <n v="0"/>
    <n v="0"/>
    <s v="Release1"/>
  </r>
  <r>
    <x v="761"/>
    <s v="Gomukh Pansalba Ward No 05"/>
    <s v="MPG"/>
    <s v="Indirect"/>
    <n v="1952.2600000000002"/>
    <n v="69947.98"/>
    <n v="0"/>
    <n v="0"/>
    <n v="0"/>
    <n v="0"/>
    <n v="0"/>
    <n v="0"/>
    <n v="69947.98"/>
    <n v="0"/>
    <n v="0"/>
    <n v="0"/>
    <n v="0"/>
    <n v="0"/>
    <n v="0"/>
    <n v="0"/>
    <n v="0"/>
    <n v="69947.98"/>
    <n v="0"/>
    <n v="0"/>
  </r>
  <r>
    <x v="762"/>
    <s v="Gomukh Paharpur Jilebya "/>
    <s v="MPG"/>
    <s v="Direct"/>
    <n v="2040.3200000000002"/>
    <n v="85252.17"/>
    <n v="2049.5700000000002"/>
    <n v="85611.164041656026"/>
    <n v="0"/>
    <n v="0"/>
    <n v="2049.5700000000002"/>
    <n v="85611.164041656026"/>
    <n v="85252.17"/>
    <n v="0"/>
    <n v="0"/>
    <n v="358.99404165602755"/>
    <n v="0"/>
    <n v="0"/>
    <n v="0"/>
    <n v="85252"/>
    <n v="0"/>
    <n v="0"/>
    <n v="0"/>
    <n v="0"/>
  </r>
  <r>
    <x v="763"/>
    <s v="Gomukh Debka Vlc"/>
    <s v="vlc"/>
    <s v="Indirect"/>
    <n v="106.38"/>
    <n v="4316.2599999999993"/>
    <n v="0"/>
    <n v="0"/>
    <n v="0"/>
    <n v="0"/>
    <n v="0"/>
    <n v="0"/>
    <n v="4316.2599999999993"/>
    <n v="0"/>
    <n v="0"/>
    <n v="0"/>
    <n v="0"/>
    <n v="0"/>
    <n v="0"/>
    <n v="0"/>
    <n v="0"/>
    <n v="4316.2599999999993"/>
    <n v="0"/>
    <n v="0"/>
  </r>
  <r>
    <x v="764"/>
    <s v="Gomukh Azad Nagar"/>
    <s v="MPG"/>
    <s v="Direct"/>
    <n v="1221.96"/>
    <n v="46509.73"/>
    <n v="1267.3"/>
    <n v="50448.886278951722"/>
    <n v="0"/>
    <n v="0"/>
    <n v="1267.3"/>
    <n v="50448.886278951722"/>
    <n v="46509.73"/>
    <n v="0"/>
    <n v="0"/>
    <n v="3939.1562789517193"/>
    <n v="0"/>
    <n v="0"/>
    <n v="0"/>
    <n v="46510"/>
    <n v="0"/>
    <n v="0"/>
    <n v="0"/>
    <s v="Release1"/>
  </r>
  <r>
    <x v="765"/>
    <s v="Gomukh Purani Hrdia"/>
    <s v="MPG"/>
    <s v="Direct"/>
    <n v="102.04"/>
    <n v="3923.73"/>
    <n v="105"/>
    <n v="4211.577018"/>
    <n v="0"/>
    <n v="0"/>
    <n v="105"/>
    <n v="4211.577018"/>
    <n v="3923.73"/>
    <n v="0"/>
    <n v="0"/>
    <n v="287.84701799999993"/>
    <n v="0"/>
    <n v="0"/>
    <n v="0"/>
    <n v="3924"/>
    <n v="0"/>
    <n v="0"/>
    <n v="0"/>
    <n v="0"/>
  </r>
  <r>
    <x v="766"/>
    <s v="Gomukh Uttari Hardia"/>
    <s v="MPG"/>
    <s v="Direct"/>
    <n v="384.06"/>
    <n v="15875.21"/>
    <n v="383.86"/>
    <n v="15993.112171643641"/>
    <n v="0"/>
    <n v="0"/>
    <n v="383.86"/>
    <n v="15993.112171643641"/>
    <n v="15875.21"/>
    <n v="0"/>
    <n v="0"/>
    <n v="117.90217164364185"/>
    <n v="0"/>
    <n v="0"/>
    <n v="0"/>
    <n v="15875"/>
    <n v="0"/>
    <n v="0"/>
    <n v="0"/>
    <n v="0"/>
  </r>
  <r>
    <x v="767"/>
    <s v="Gomukh Murli"/>
    <s v="MPG"/>
    <s v="Direct"/>
    <n v="101.74"/>
    <n v="4304.7299999999996"/>
    <n v="129.24"/>
    <n v="5554.1158080516689"/>
    <n v="0"/>
    <n v="0"/>
    <n v="129.24"/>
    <n v="5554.1158080516689"/>
    <n v="4304.7299999999996"/>
    <n v="0"/>
    <n v="0"/>
    <n v="1249.3858080516693"/>
    <n v="0"/>
    <n v="0"/>
    <n v="0"/>
    <n v="4305"/>
    <n v="0"/>
    <n v="0"/>
    <n v="0"/>
    <n v="0"/>
  </r>
  <r>
    <x v="768"/>
    <s v="Gomukh Nirpur Keshv Nagar"/>
    <s v="MPG"/>
    <s v="Direct"/>
    <n v="707.93999999999994"/>
    <n v="25404.080000000002"/>
    <n v="856.06000000000006"/>
    <n v="31080.833492860802"/>
    <n v="0"/>
    <n v="0"/>
    <n v="856.06000000000006"/>
    <n v="31080.833492860802"/>
    <n v="25404.080000000002"/>
    <n v="0"/>
    <n v="0"/>
    <n v="5676.7534928608002"/>
    <n v="0"/>
    <n v="0"/>
    <n v="0"/>
    <n v="25404"/>
    <n v="0"/>
    <n v="0"/>
    <n v="0"/>
    <n v="0"/>
  </r>
  <r>
    <x v="769"/>
    <s v="Gomukh Thuthi Vlc"/>
    <s v="vlc"/>
    <s v="Indirect"/>
    <n v="193.22"/>
    <n v="7853.57"/>
    <n v="0"/>
    <n v="0"/>
    <n v="0"/>
    <n v="0"/>
    <n v="0"/>
    <n v="0"/>
    <n v="7853.57"/>
    <n v="0"/>
    <n v="0"/>
    <n v="0"/>
    <n v="6500"/>
    <n v="0"/>
    <n v="0"/>
    <n v="0"/>
    <n v="0"/>
    <n v="1353.5699999999997"/>
    <n v="0"/>
    <s v="Release3"/>
  </r>
  <r>
    <x v="770"/>
    <s v="Gomukh Nawadai Vlc"/>
    <s v="vlc"/>
    <s v="Indirect"/>
    <n v="175.2"/>
    <n v="5627.81"/>
    <n v="0"/>
    <n v="0"/>
    <n v="0"/>
    <n v="0"/>
    <n v="0"/>
    <n v="0"/>
    <n v="5627.81"/>
    <n v="0"/>
    <n v="0"/>
    <n v="0"/>
    <n v="0"/>
    <n v="0"/>
    <n v="0"/>
    <n v="0"/>
    <n v="0"/>
    <n v="5627.81"/>
    <n v="0"/>
    <n v="0"/>
  </r>
  <r>
    <x v="771"/>
    <s v="Gomukh Kharra Basa"/>
    <s v="MPG"/>
    <s v="Direct"/>
    <n v="427.72"/>
    <n v="15530.439999999997"/>
    <n v="428.76"/>
    <n v="15626.689349020202"/>
    <n v="0"/>
    <n v="0"/>
    <n v="428.76"/>
    <n v="15626.689349020202"/>
    <n v="15530.439999999997"/>
    <n v="0"/>
    <n v="0"/>
    <n v="96.249349020205045"/>
    <n v="0"/>
    <n v="0"/>
    <n v="0"/>
    <n v="15530"/>
    <n v="0"/>
    <n v="0"/>
    <n v="0"/>
    <n v="0"/>
  </r>
  <r>
    <x v="772"/>
    <s v="Gomukh Bangalia"/>
    <s v="MPG"/>
    <s v="Direct"/>
    <n v="266.56"/>
    <n v="11952.210000000001"/>
    <n v="266.59000000000003"/>
    <n v="12582.9820681356"/>
    <n v="0"/>
    <n v="0"/>
    <n v="266.59000000000003"/>
    <n v="12582.9820681356"/>
    <n v="11952.210000000001"/>
    <n v="0"/>
    <n v="0"/>
    <n v="630.7720681355986"/>
    <n v="4849"/>
    <n v="0"/>
    <n v="0"/>
    <n v="7103"/>
    <n v="0"/>
    <n v="0"/>
    <n v="0"/>
    <s v="Release3"/>
  </r>
  <r>
    <x v="773"/>
    <s v="Gomukh Soharba Purvi"/>
    <s v="MPG"/>
    <s v="Direct"/>
    <n v="291.80000000000007"/>
    <n v="11703.919999999998"/>
    <n v="292.06000000000012"/>
    <n v="11549.564225350503"/>
    <n v="0"/>
    <n v="0"/>
    <n v="292.06000000000012"/>
    <n v="11549.564225350503"/>
    <n v="11549.564225350503"/>
    <n v="0"/>
    <n v="0"/>
    <n v="0"/>
    <n v="0"/>
    <n v="0"/>
    <n v="0"/>
    <n v="11550"/>
    <n v="0"/>
    <n v="0"/>
    <n v="154"/>
    <n v="0"/>
  </r>
  <r>
    <x v="774"/>
    <s v="Karian"/>
    <s v="MPG"/>
    <s v="Direct"/>
    <n v="80.999999999999986"/>
    <n v="2861.9199999999996"/>
    <n v="80.999999999999986"/>
    <n v="2806.4124790020001"/>
    <n v="0"/>
    <n v="0"/>
    <n v="80.999999999999986"/>
    <n v="2806.4124790020001"/>
    <n v="2806.4124790020001"/>
    <n v="0"/>
    <n v="0"/>
    <n v="0"/>
    <n v="0"/>
    <n v="9.0008033898305015"/>
    <n v="0"/>
    <n v="2797"/>
    <n v="0"/>
    <n v="0"/>
    <n v="56"/>
    <n v="0"/>
  </r>
  <r>
    <x v="775"/>
    <s v="Teghara"/>
    <s v="MPG"/>
    <s v="Direct"/>
    <n v="218.5"/>
    <n v="8290.0099999999984"/>
    <n v="216.10000000000002"/>
    <n v="8223.5935809169005"/>
    <n v="2.4"/>
    <n v="90.924292800000003"/>
    <n v="218.50000000000003"/>
    <n v="8314.5178737169008"/>
    <n v="8290.0099999999984"/>
    <n v="0"/>
    <n v="0"/>
    <n v="24.507873716902395"/>
    <n v="6750"/>
    <n v="0"/>
    <n v="0"/>
    <n v="1449"/>
    <n v="91"/>
    <n v="0"/>
    <n v="0"/>
    <s v="Release1"/>
  </r>
  <r>
    <x v="776"/>
    <s v="Basantpur"/>
    <s v="MPG"/>
    <s v="Direct"/>
    <n v="766.6"/>
    <n v="35820.640000000007"/>
    <n v="766.60000000000014"/>
    <n v="35820.168205971328"/>
    <n v="0"/>
    <n v="0"/>
    <n v="766.60000000000014"/>
    <n v="35820.168205971328"/>
    <n v="35820.168205971328"/>
    <n v="0"/>
    <n v="0"/>
    <n v="0"/>
    <n v="0"/>
    <n v="146.93770622950825"/>
    <n v="0"/>
    <n v="35673"/>
    <n v="0"/>
    <n v="0"/>
    <n v="1"/>
    <n v="0"/>
  </r>
  <r>
    <x v="777"/>
    <s v="Chakoti"/>
    <s v="MPG"/>
    <s v="Direct"/>
    <n v="1368.2"/>
    <n v="50517.850000000006"/>
    <n v="47.9"/>
    <n v="1724.8411017090002"/>
    <n v="1319.6000000000001"/>
    <n v="48804.607362967472"/>
    <n v="1367.5000000000002"/>
    <n v="50529.448464676476"/>
    <n v="50517.850000000006"/>
    <n v="0"/>
    <n v="786.07989665700006"/>
    <n v="11.59846467647003"/>
    <n v="0"/>
    <n v="0"/>
    <n v="0"/>
    <n v="1713"/>
    <n v="48019"/>
    <n v="0"/>
    <n v="0"/>
    <n v="0"/>
  </r>
  <r>
    <x v="778"/>
    <s v="Nathudawar"/>
    <s v="MPG"/>
    <s v="Direct"/>
    <n v="1585.6999999999998"/>
    <n v="61337.58"/>
    <n v="1585.6000000000001"/>
    <n v="61331.029618320004"/>
    <n v="0"/>
    <n v="0"/>
    <n v="1585.6000000000001"/>
    <n v="61331.029618320004"/>
    <n v="61331.029618320004"/>
    <n v="0"/>
    <n v="0"/>
    <n v="0"/>
    <n v="3000"/>
    <n v="0"/>
    <n v="0"/>
    <n v="58331"/>
    <n v="0"/>
    <n v="0"/>
    <n v="7"/>
    <s v="Release1"/>
  </r>
  <r>
    <x v="779"/>
    <s v="Purnahi"/>
    <s v="vlc"/>
    <s v="Indirect"/>
    <n v="538.70000000000005"/>
    <n v="18030.299999999996"/>
    <n v="0"/>
    <n v="0"/>
    <n v="0"/>
    <n v="0"/>
    <n v="0"/>
    <n v="0"/>
    <n v="18030.299999999996"/>
    <n v="0"/>
    <n v="0"/>
    <n v="0"/>
    <n v="0"/>
    <n v="0"/>
    <n v="0"/>
    <n v="0"/>
    <n v="0"/>
    <n v="18030.299999999996"/>
    <n v="0"/>
    <n v="0"/>
  </r>
  <r>
    <x v="780"/>
    <s v="Baghopur "/>
    <s v="vlc"/>
    <s v="Indirect"/>
    <n v="650.6"/>
    <n v="23654"/>
    <n v="0"/>
    <n v="0"/>
    <n v="0"/>
    <n v="0"/>
    <n v="0"/>
    <n v="0"/>
    <n v="23654"/>
    <n v="0"/>
    <n v="0"/>
    <n v="0"/>
    <n v="0"/>
    <n v="0"/>
    <n v="0"/>
    <n v="0"/>
    <n v="0"/>
    <n v="23654"/>
    <n v="0"/>
    <n v="0"/>
  </r>
  <r>
    <x v="782"/>
    <s v="PARORIYA"/>
    <s v="vlc"/>
    <s v="Indirect"/>
    <n v="762.4"/>
    <n v="24371.48"/>
    <n v="0"/>
    <n v="0"/>
    <n v="0"/>
    <n v="0"/>
    <n v="0"/>
    <n v="0"/>
    <n v="24371.48"/>
    <n v="0"/>
    <n v="0"/>
    <n v="0"/>
    <n v="0"/>
    <n v="0"/>
    <n v="0"/>
    <n v="0"/>
    <n v="0"/>
    <n v="24371.48"/>
    <n v="0"/>
    <n v="0"/>
  </r>
  <r>
    <x v="783"/>
    <s v="Dewanpur"/>
    <s v="MPG"/>
    <s v="Direct"/>
    <n v="90.499999999999986"/>
    <n v="3703.2200000000003"/>
    <n v="7"/>
    <n v="253.18339200000003"/>
    <n v="80.7"/>
    <n v="3449.3359397898002"/>
    <n v="87.7"/>
    <n v="3702.5193317898002"/>
    <n v="3702.5193317898002"/>
    <n v="0"/>
    <n v="0"/>
    <n v="0"/>
    <n v="0"/>
    <n v="20.605335737704912"/>
    <n v="0"/>
    <n v="233"/>
    <n v="3450"/>
    <n v="0"/>
    <n v="0"/>
    <n v="0"/>
  </r>
  <r>
    <x v="784"/>
    <s v="Gohi"/>
    <s v="MPG"/>
    <s v="Direct"/>
    <n v="359.7"/>
    <n v="13947.46"/>
    <n v="112.2"/>
    <n v="4220.97656508"/>
    <n v="247.49999999999997"/>
    <n v="9822.1547515856018"/>
    <n v="359.7"/>
    <n v="14043.131316665602"/>
    <n v="13947.46"/>
    <n v="0"/>
    <n v="263.47508025000002"/>
    <n v="95.671316665602717"/>
    <n v="0"/>
    <n v="9.2017160655737271"/>
    <n v="0"/>
    <n v="4114"/>
    <n v="9561"/>
    <n v="0"/>
    <n v="0"/>
    <n v="0"/>
  </r>
  <r>
    <x v="785"/>
    <s v="Matua"/>
    <s v="MPG"/>
    <s v="Direct"/>
    <n v="757.6"/>
    <n v="31711.33"/>
    <n v="262.8"/>
    <n v="11553.582706082458"/>
    <n v="494.59999999999997"/>
    <n v="20147.005679197722"/>
    <n v="757.4"/>
    <n v="31700.588385280178"/>
    <n v="31700.588385280178"/>
    <n v="0"/>
    <n v="106.89409186672002"/>
    <n v="0"/>
    <n v="2700"/>
    <n v="0"/>
    <n v="0"/>
    <n v="8854"/>
    <n v="20040"/>
    <n v="0"/>
    <n v="10"/>
    <s v="Release1"/>
  </r>
  <r>
    <x v="786"/>
    <s v="Ratni Chouk"/>
    <s v="MPG"/>
    <s v="Direct"/>
    <n v="787.6"/>
    <n v="32939.340000000004"/>
    <n v="787.6"/>
    <n v="32940.251170199997"/>
    <n v="0"/>
    <n v="0"/>
    <n v="787.6"/>
    <n v="32940.251170199997"/>
    <n v="32939.340000000004"/>
    <n v="0"/>
    <n v="0"/>
    <n v="0.91117019999364857"/>
    <n v="0"/>
    <n v="0"/>
    <n v="0"/>
    <n v="32939"/>
    <n v="0"/>
    <n v="0"/>
    <n v="0"/>
    <n v="0"/>
  </r>
  <r>
    <x v="787"/>
    <s v="Balahi 2"/>
    <s v="MPG"/>
    <s v="Direct"/>
    <n v="680.1"/>
    <n v="22989.02"/>
    <n v="560.09999999999991"/>
    <n v="20708.832467174674"/>
    <n v="120.70000000000002"/>
    <n v="4081.5014613120002"/>
    <n v="680.8"/>
    <n v="24790.333928486674"/>
    <n v="22989.02"/>
    <n v="0"/>
    <n v="22.680928512000001"/>
    <n v="1801.3139284866738"/>
    <n v="0"/>
    <n v="0"/>
    <n v="0"/>
    <n v="18907"/>
    <n v="4059"/>
    <n v="0"/>
    <n v="0"/>
    <n v="0"/>
  </r>
  <r>
    <x v="788"/>
    <s v="Chandauli"/>
    <s v="vlc"/>
    <s v="Indirect"/>
    <n v="420.5"/>
    <n v="18635.89"/>
    <n v="0"/>
    <n v="0"/>
    <n v="0"/>
    <n v="0"/>
    <n v="0"/>
    <n v="0"/>
    <n v="18635.89"/>
    <n v="0"/>
    <n v="0"/>
    <n v="0"/>
    <n v="0"/>
    <n v="0"/>
    <n v="0"/>
    <n v="0"/>
    <n v="0"/>
    <n v="18635.89"/>
    <n v="0"/>
    <n v="0"/>
  </r>
  <r>
    <x v="789"/>
    <s v="Gulabi Choak"/>
    <s v="vlc"/>
    <s v="Indirect"/>
    <n v="826.4"/>
    <n v="30278.799999999996"/>
    <n v="0"/>
    <n v="0"/>
    <n v="0"/>
    <n v="0"/>
    <n v="0"/>
    <n v="0"/>
    <n v="30278.799999999996"/>
    <n v="0"/>
    <n v="0"/>
    <n v="0"/>
    <n v="0"/>
    <n v="0"/>
    <n v="0"/>
    <n v="0"/>
    <n v="0"/>
    <n v="30278.799999999996"/>
    <n v="0"/>
    <n v="0"/>
  </r>
  <r>
    <x v="790"/>
    <s v="Satmalpur"/>
    <s v="vlc"/>
    <s v="Indirect"/>
    <n v="450.99999999999994"/>
    <n v="15517.72"/>
    <n v="0"/>
    <n v="0"/>
    <n v="0"/>
    <n v="0"/>
    <n v="0"/>
    <n v="0"/>
    <n v="15517.72"/>
    <n v="0"/>
    <n v="0"/>
    <n v="0"/>
    <n v="0"/>
    <n v="280.55206451612901"/>
    <n v="0"/>
    <n v="0"/>
    <n v="0"/>
    <n v="15237.167935483871"/>
    <n v="0"/>
    <n v="0"/>
  </r>
  <r>
    <x v="791"/>
    <s v="Chhatnesar"/>
    <s v="vlc"/>
    <s v="Indirect"/>
    <n v="349.40000000000003"/>
    <n v="12024.279999999999"/>
    <n v="0"/>
    <n v="0"/>
    <n v="0"/>
    <n v="0"/>
    <n v="0"/>
    <n v="0"/>
    <n v="12024.279999999999"/>
    <n v="0"/>
    <n v="0"/>
    <n v="0"/>
    <n v="0"/>
    <n v="0"/>
    <n v="0"/>
    <n v="0"/>
    <n v="0"/>
    <n v="12024.279999999999"/>
    <n v="0"/>
    <n v="0"/>
  </r>
  <r>
    <x v="792"/>
    <s v="Chhatnesar 2"/>
    <s v="MPG"/>
    <s v="Direct"/>
    <n v="296.70000000000005"/>
    <n v="10583.300000000001"/>
    <n v="296.7"/>
    <n v="10583.215925040002"/>
    <n v="0"/>
    <n v="0"/>
    <n v="296.7"/>
    <n v="10583.215925040002"/>
    <n v="10583.215925040002"/>
    <n v="0"/>
    <n v="0"/>
    <n v="0"/>
    <n v="0"/>
    <n v="0"/>
    <n v="0"/>
    <n v="10583"/>
    <n v="0"/>
    <n v="0"/>
    <n v="0"/>
    <n v="0"/>
  </r>
  <r>
    <x v="793"/>
    <s v="Hajpurwa"/>
    <s v="MPG"/>
    <s v="Direct"/>
    <n v="203.3"/>
    <n v="8275.74"/>
    <n v="203.3"/>
    <n v="8268.6407809422799"/>
    <n v="0"/>
    <n v="0"/>
    <n v="203.3"/>
    <n v="8268.6407809422799"/>
    <n v="8268.6407809422799"/>
    <n v="0"/>
    <n v="0"/>
    <n v="0"/>
    <n v="0"/>
    <n v="0"/>
    <n v="0"/>
    <n v="8269"/>
    <n v="0"/>
    <n v="0"/>
    <n v="7"/>
    <n v="0"/>
  </r>
  <r>
    <x v="794"/>
    <s v="Shekhopur"/>
    <s v="MPG"/>
    <s v="Direct"/>
    <n v="326.8"/>
    <n v="10939.25"/>
    <n v="326.8"/>
    <n v="10938.789100800001"/>
    <n v="0"/>
    <n v="0"/>
    <n v="326.8"/>
    <n v="10938.789100800001"/>
    <n v="10938.789100800001"/>
    <n v="0"/>
    <n v="0"/>
    <n v="0"/>
    <n v="0"/>
    <n v="3.4263540983606475"/>
    <n v="0"/>
    <n v="10935"/>
    <n v="0"/>
    <n v="0"/>
    <n v="1"/>
    <n v="0"/>
  </r>
  <r>
    <x v="795"/>
    <s v="Dharampur"/>
    <s v="MPG"/>
    <s v="Direct"/>
    <n v="154.69999999999999"/>
    <n v="5895.48"/>
    <n v="153.30000000000001"/>
    <n v="5905.1600393536"/>
    <n v="0.5"/>
    <n v="19.483746480000001"/>
    <n v="153.80000000000001"/>
    <n v="5924.6437858336003"/>
    <n v="5895.48"/>
    <n v="0"/>
    <n v="19.483746480000001"/>
    <n v="29.163785833600741"/>
    <n v="0"/>
    <n v="0"/>
    <n v="0"/>
    <n v="5876"/>
    <n v="0"/>
    <n v="0"/>
    <n v="0"/>
    <n v="0"/>
  </r>
  <r>
    <x v="1006"/>
    <s v="Pauriya 2"/>
    <s v="vlc"/>
    <s v="Indirect"/>
    <n v="91.199999999999989"/>
    <n v="3731.46"/>
    <n v="0"/>
    <n v="0"/>
    <n v="0"/>
    <n v="0"/>
    <n v="0"/>
    <n v="0"/>
    <n v="3731.46"/>
    <n v="0"/>
    <n v="0"/>
    <n v="0"/>
    <n v="0"/>
    <n v="0"/>
    <n v="0"/>
    <n v="0"/>
    <n v="0"/>
    <n v="3731.46"/>
    <n v="0"/>
    <n v="0"/>
  </r>
  <r>
    <x v="796"/>
    <s v="Chatnesar Pachiam"/>
    <s v="vlc"/>
    <s v="Indirect"/>
    <n v="239.29999999999995"/>
    <n v="8879.7199999999993"/>
    <n v="0"/>
    <n v="0"/>
    <n v="0"/>
    <n v="0"/>
    <n v="0"/>
    <n v="0"/>
    <n v="8879.7199999999993"/>
    <n v="0"/>
    <n v="0"/>
    <n v="0"/>
    <n v="0"/>
    <n v="40.431154838709681"/>
    <n v="0"/>
    <n v="0"/>
    <n v="0"/>
    <n v="8839.2888451612889"/>
    <n v="0"/>
    <n v="0"/>
  </r>
  <r>
    <x v="797"/>
    <s v="Hajpurwa Pachim"/>
    <s v="MPG"/>
    <s v="Direct"/>
    <n v="269.20000000000005"/>
    <n v="10465.81"/>
    <n v="269.59999999999997"/>
    <n v="10559.006470366096"/>
    <n v="0"/>
    <n v="0"/>
    <n v="269.59999999999997"/>
    <n v="10559.006470366096"/>
    <n v="10465.81"/>
    <n v="0"/>
    <n v="0"/>
    <n v="93.196470366096037"/>
    <n v="0"/>
    <n v="0"/>
    <n v="0"/>
    <n v="10466"/>
    <n v="0"/>
    <n v="0"/>
    <n v="0"/>
    <n v="0"/>
  </r>
  <r>
    <x v="798"/>
    <s v="Almasnagar"/>
    <s v="vlc"/>
    <s v="Indirect"/>
    <n v="339"/>
    <n v="11440.869999999999"/>
    <n v="0"/>
    <n v="0"/>
    <n v="0"/>
    <n v="0"/>
    <n v="0"/>
    <n v="0"/>
    <n v="11440.869999999999"/>
    <n v="0"/>
    <n v="0"/>
    <n v="0"/>
    <n v="0"/>
    <n v="47.512238709677391"/>
    <n v="0"/>
    <n v="0"/>
    <n v="0"/>
    <n v="11393.357761290321"/>
    <n v="0"/>
    <n v="0"/>
  </r>
  <r>
    <x v="799"/>
    <s v="Kadarchak"/>
    <s v="vlc"/>
    <s v="Indirect"/>
    <n v="176.8"/>
    <n v="6120.32"/>
    <n v="0"/>
    <n v="0"/>
    <n v="0"/>
    <n v="0"/>
    <n v="0"/>
    <n v="0"/>
    <n v="6120.32"/>
    <n v="0"/>
    <n v="0"/>
    <n v="0"/>
    <n v="0"/>
    <n v="0"/>
    <n v="0"/>
    <n v="0"/>
    <n v="0"/>
    <n v="6120.32"/>
    <n v="0"/>
    <n v="0"/>
  </r>
  <r>
    <x v="800"/>
    <s v="Rahua"/>
    <s v="MPG"/>
    <s v="Direct"/>
    <n v="226.3"/>
    <n v="8724.4300000000021"/>
    <n v="226.29999999999998"/>
    <n v="8716.0947298722003"/>
    <n v="0"/>
    <n v="0"/>
    <n v="226.29999999999998"/>
    <n v="8716.0947298722003"/>
    <n v="8716.0947298722003"/>
    <n v="0"/>
    <n v="0"/>
    <n v="0"/>
    <n v="0"/>
    <n v="0"/>
    <n v="0"/>
    <n v="8716"/>
    <n v="0"/>
    <n v="0"/>
    <n v="8"/>
    <n v="0"/>
  </r>
  <r>
    <x v="801"/>
    <s v="Dagrua"/>
    <s v="MPG"/>
    <s v="Direct"/>
    <n v="101.49999999999999"/>
    <n v="4574.58"/>
    <n v="101.49999999999999"/>
    <n v="4599.9657546253202"/>
    <n v="0"/>
    <n v="0"/>
    <n v="101.49999999999999"/>
    <n v="4599.9657546253202"/>
    <n v="4574.58"/>
    <n v="0"/>
    <n v="0"/>
    <n v="25.38575462532026"/>
    <n v="0"/>
    <n v="0"/>
    <n v="0"/>
    <n v="4575"/>
    <n v="0"/>
    <n v="0"/>
    <n v="0"/>
    <n v="0"/>
  </r>
  <r>
    <x v="802"/>
    <s v="Buzurgdoar"/>
    <s v="MPG"/>
    <s v="Direct"/>
    <n v="1152"/>
    <n v="41754.539999999994"/>
    <n v="1152.7000000000003"/>
    <n v="41615.787996729108"/>
    <n v="0"/>
    <n v="0"/>
    <n v="1152.7000000000003"/>
    <n v="41615.787996729108"/>
    <n v="41615.787996729108"/>
    <n v="0"/>
    <n v="0"/>
    <n v="0"/>
    <n v="6750"/>
    <n v="0"/>
    <n v="0"/>
    <n v="34866"/>
    <n v="0"/>
    <n v="0"/>
    <n v="139"/>
    <s v="Release1"/>
  </r>
  <r>
    <x v="803"/>
    <s v="Patpara"/>
    <s v="vlc"/>
    <s v="Indirect"/>
    <n v="580.20000000000005"/>
    <n v="19189.089999999997"/>
    <n v="0"/>
    <n v="0"/>
    <n v="0"/>
    <n v="0"/>
    <n v="0"/>
    <n v="0"/>
    <n v="19189.089999999997"/>
    <n v="0"/>
    <n v="0"/>
    <n v="0"/>
    <n v="0"/>
    <n v="0"/>
    <n v="0"/>
    <n v="0"/>
    <n v="0"/>
    <n v="19189.089999999997"/>
    <n v="0"/>
    <n v="0"/>
  </r>
  <r>
    <x v="804"/>
    <s v="Kamopur"/>
    <s v="MPG"/>
    <s v="Direct"/>
    <n v="357"/>
    <n v="13614.93"/>
    <n v="268.50000000000006"/>
    <n v="9452.8512137535727"/>
    <n v="88.2"/>
    <n v="4149.5649844958307"/>
    <n v="356.70000000000005"/>
    <n v="13602.416198249404"/>
    <n v="13602.416198249404"/>
    <n v="0"/>
    <n v="0"/>
    <n v="0"/>
    <n v="0"/>
    <n v="0"/>
    <n v="0"/>
    <n v="9452"/>
    <n v="4149"/>
    <n v="0"/>
    <n v="14"/>
    <n v="0"/>
  </r>
  <r>
    <x v="805"/>
    <s v="Kussaiya"/>
    <s v="MPG"/>
    <s v="Direct"/>
    <n v="286.3"/>
    <n v="13738.71"/>
    <n v="283.50000000000006"/>
    <n v="13763.394456710404"/>
    <n v="0"/>
    <n v="0"/>
    <n v="283.50000000000006"/>
    <n v="13763.394456710404"/>
    <n v="13738.71"/>
    <n v="0"/>
    <n v="0"/>
    <n v="24.684456710405357"/>
    <n v="0"/>
    <n v="0"/>
    <n v="0"/>
    <n v="13739"/>
    <n v="0"/>
    <n v="0"/>
    <n v="0"/>
    <n v="0"/>
  </r>
  <r>
    <x v="806"/>
    <s v="Kanu Bisanpur"/>
    <s v="vlc"/>
    <s v="Indirect"/>
    <n v="229.20000000000002"/>
    <n v="8244.0199999999986"/>
    <n v="0"/>
    <n v="0"/>
    <n v="0"/>
    <n v="0"/>
    <n v="0"/>
    <n v="0"/>
    <n v="8244.0199999999986"/>
    <n v="0"/>
    <n v="0"/>
    <n v="0"/>
    <n v="0"/>
    <n v="0"/>
    <n v="0"/>
    <n v="0"/>
    <n v="0"/>
    <n v="8244.0199999999986"/>
    <n v="0"/>
    <n v="0"/>
  </r>
  <r>
    <x v="807"/>
    <s v="Raini 2"/>
    <s v="MPG"/>
    <s v="Direct"/>
    <n v="139.90000000000003"/>
    <n v="5775.16"/>
    <n v="137.30000000000001"/>
    <n v="5808.199248725582"/>
    <n v="0"/>
    <n v="0"/>
    <n v="137.30000000000001"/>
    <n v="5808.199248725582"/>
    <n v="5775.16"/>
    <n v="0"/>
    <n v="0"/>
    <n v="33.039248725582183"/>
    <n v="0"/>
    <n v="0"/>
    <n v="0"/>
    <n v="5775"/>
    <n v="0"/>
    <n v="0"/>
    <n v="0"/>
    <n v="0"/>
  </r>
  <r>
    <x v="808"/>
    <s v="Hasauli"/>
    <s v="vlc"/>
    <s v="Indirect"/>
    <n v="23.8"/>
    <n v="915.16000000000008"/>
    <n v="0"/>
    <n v="0"/>
    <n v="0"/>
    <n v="0"/>
    <n v="0"/>
    <n v="0"/>
    <n v="915.16000000000008"/>
    <n v="0"/>
    <n v="0"/>
    <n v="0"/>
    <n v="0"/>
    <n v="0"/>
    <n v="0"/>
    <n v="0"/>
    <n v="0"/>
    <n v="915.16000000000008"/>
    <n v="0"/>
    <n v="0"/>
  </r>
  <r>
    <x v="809"/>
    <s v="Kusiya 2"/>
    <s v="vlc"/>
    <s v="Indirect"/>
    <n v="263.5"/>
    <n v="9356.41"/>
    <n v="0"/>
    <n v="0"/>
    <n v="0"/>
    <n v="0"/>
    <n v="0"/>
    <n v="0"/>
    <n v="9356.41"/>
    <n v="0"/>
    <n v="0"/>
    <n v="0"/>
    <n v="0"/>
    <n v="0"/>
    <n v="0"/>
    <n v="0"/>
    <n v="0"/>
    <n v="9356.41"/>
    <n v="0"/>
    <n v="0"/>
  </r>
  <r>
    <x v="810"/>
    <s v="Babupur"/>
    <s v="vlc"/>
    <s v="Indirect"/>
    <n v="546"/>
    <n v="18734.240000000002"/>
    <n v="0"/>
    <n v="0"/>
    <n v="0"/>
    <n v="0"/>
    <n v="0"/>
    <n v="0"/>
    <n v="18734.240000000002"/>
    <n v="0"/>
    <n v="0"/>
    <n v="0"/>
    <n v="0"/>
    <n v="0"/>
    <n v="0"/>
    <n v="0"/>
    <n v="0"/>
    <n v="18734.240000000002"/>
    <n v="0"/>
    <n v="0"/>
  </r>
  <r>
    <x v="811"/>
    <s v="Rahua 2"/>
    <s v="vlc"/>
    <s v="Indirect"/>
    <n v="1438.5"/>
    <n v="59874.559999999998"/>
    <n v="0"/>
    <n v="0"/>
    <n v="0"/>
    <n v="0"/>
    <n v="0"/>
    <n v="0"/>
    <n v="59874.559999999998"/>
    <n v="0"/>
    <n v="0"/>
    <n v="0"/>
    <n v="0"/>
    <n v="0"/>
    <n v="0"/>
    <n v="0"/>
    <n v="0"/>
    <n v="59874.559999999998"/>
    <n v="0"/>
    <n v="0"/>
  </r>
  <r>
    <x v="812"/>
    <s v="Madhopur"/>
    <s v="vlc"/>
    <s v="Indirect"/>
    <n v="845.6"/>
    <n v="33813.240000000005"/>
    <n v="0"/>
    <n v="0"/>
    <n v="0"/>
    <n v="0"/>
    <n v="0"/>
    <n v="0"/>
    <n v="33813.240000000005"/>
    <n v="0"/>
    <n v="0"/>
    <n v="0"/>
    <n v="0"/>
    <n v="0"/>
    <n v="0"/>
    <n v="0"/>
    <n v="0"/>
    <n v="33813.240000000005"/>
    <n v="0"/>
    <n v="0"/>
  </r>
  <r>
    <x v="813"/>
    <s v="Ekdara"/>
    <s v="vlc"/>
    <s v="Indirect"/>
    <n v="4792.8999999999996"/>
    <n v="178269.06000000003"/>
    <n v="0"/>
    <n v="0"/>
    <n v="0"/>
    <n v="0"/>
    <n v="0"/>
    <n v="0"/>
    <n v="178269.06000000003"/>
    <n v="0"/>
    <n v="0"/>
    <n v="0"/>
    <n v="0"/>
    <n v="0"/>
    <n v="0"/>
    <n v="0"/>
    <n v="0"/>
    <n v="178269.06000000003"/>
    <n v="0"/>
    <n v="0"/>
  </r>
  <r>
    <x v="814"/>
    <s v="Mahuli"/>
    <s v="MPG"/>
    <s v="Direct"/>
    <n v="345.4"/>
    <n v="14190.070000000003"/>
    <n v="340.19999999999993"/>
    <n v="14129.507185061102"/>
    <n v="8.9999999999999982"/>
    <n v="373.16681279999995"/>
    <n v="349.19999999999993"/>
    <n v="14502.673997861102"/>
    <n v="14190.070000000003"/>
    <n v="0"/>
    <n v="373.16681279999995"/>
    <n v="312.60399786109883"/>
    <n v="0"/>
    <n v="0"/>
    <n v="0"/>
    <n v="13817"/>
    <n v="0"/>
    <n v="0"/>
    <n v="0"/>
    <n v="0"/>
  </r>
  <r>
    <x v="815"/>
    <s v="Sakhwa Ghat"/>
    <s v="MPG"/>
    <s v="Direct"/>
    <n v="407.39999999999992"/>
    <n v="16100.55"/>
    <n v="396.59999999999997"/>
    <n v="16315.992559460472"/>
    <n v="3.5999999999999996"/>
    <n v="150.84035208000003"/>
    <n v="400.2"/>
    <n v="16466.83291154047"/>
    <n v="16100.55"/>
    <n v="0"/>
    <n v="150.84035208000003"/>
    <n v="366.2829115404711"/>
    <n v="0"/>
    <n v="0"/>
    <n v="0"/>
    <n v="15950"/>
    <n v="0"/>
    <n v="0"/>
    <n v="0"/>
    <n v="0"/>
  </r>
  <r>
    <x v="816"/>
    <s v="Patiya"/>
    <s v="MPG"/>
    <s v="Direct"/>
    <n v="333.40000000000009"/>
    <n v="11820.349999999999"/>
    <n v="334.09999999999997"/>
    <n v="13882.009992708137"/>
    <n v="4.6999999999999993"/>
    <n v="193.16815775296001"/>
    <n v="338.79999999999995"/>
    <n v="14075.178150461097"/>
    <n v="11820.349999999999"/>
    <n v="0"/>
    <n v="193.16815775296001"/>
    <n v="2254.8281504610986"/>
    <n v="0"/>
    <n v="0"/>
    <n v="0"/>
    <n v="11627"/>
    <n v="0"/>
    <n v="0"/>
    <n v="0"/>
    <n v="0"/>
  </r>
  <r>
    <x v="817"/>
    <s v="Kasiya"/>
    <s v="MPG"/>
    <s v="Direct"/>
    <n v="616.4"/>
    <n v="22779.949999999997"/>
    <n v="587.4"/>
    <n v="23871.922469734003"/>
    <n v="9.8000000000000007"/>
    <n v="391.86593424000006"/>
    <n v="597.19999999999993"/>
    <n v="24263.788403974002"/>
    <n v="22779.949999999997"/>
    <n v="0"/>
    <n v="391.86593424000006"/>
    <n v="1483.8384039740049"/>
    <n v="0"/>
    <n v="0"/>
    <n v="0"/>
    <n v="22388"/>
    <n v="0"/>
    <n v="0"/>
    <n v="0"/>
    <s v="Release1"/>
  </r>
  <r>
    <x v="818"/>
    <s v="Belshandi"/>
    <s v="MPG"/>
    <s v="Direct"/>
    <n v="127.39999999999999"/>
    <n v="4721.6500000000005"/>
    <n v="127.3"/>
    <n v="4850.1482060425005"/>
    <n v="0.6"/>
    <n v="25.582273200000003"/>
    <n v="127.89999999999999"/>
    <n v="4875.7304792425002"/>
    <n v="4721.6500000000005"/>
    <n v="0"/>
    <n v="25.582273200000003"/>
    <n v="154.08047924249968"/>
    <n v="0"/>
    <n v="0"/>
    <n v="0"/>
    <n v="4696"/>
    <n v="0"/>
    <n v="0"/>
    <n v="0"/>
    <n v="0"/>
  </r>
  <r>
    <x v="819"/>
    <s v="Belshandi-2"/>
    <s v="MPG"/>
    <s v="Direct"/>
    <n v="193.10000000000002"/>
    <n v="7822.4400000000005"/>
    <n v="72.400000000000006"/>
    <n v="3423.6385711608004"/>
    <n v="0.8"/>
    <n v="35.060097600000006"/>
    <n v="73.2"/>
    <n v="3458.6986687608005"/>
    <n v="3458.6986687608005"/>
    <n v="0"/>
    <n v="35.060097600000006"/>
    <n v="0"/>
    <n v="0"/>
    <n v="0"/>
    <n v="0"/>
    <n v="3423"/>
    <n v="0"/>
    <n v="0"/>
    <n v="4364"/>
    <n v="0"/>
  </r>
  <r>
    <x v="820"/>
    <s v="Godah"/>
    <s v="MPG"/>
    <s v="Direct"/>
    <n v="287.89999999999998"/>
    <n v="10176.719999999999"/>
    <n v="266.60000000000002"/>
    <n v="9804.6968294880007"/>
    <n v="0"/>
    <n v="0"/>
    <n v="266.60000000000002"/>
    <n v="9804.6968294880007"/>
    <n v="9804.6968294880007"/>
    <n v="0"/>
    <n v="0"/>
    <n v="0"/>
    <n v="0"/>
    <n v="19.335020338983021"/>
    <n v="0"/>
    <n v="9785"/>
    <n v="0"/>
    <n v="0"/>
    <n v="372"/>
    <n v="0"/>
  </r>
  <r>
    <x v="821"/>
    <s v="Ballahpur"/>
    <s v="MPG"/>
    <s v="Direct"/>
    <n v="136.70000000000002"/>
    <n v="5265.54"/>
    <n v="138.59"/>
    <n v="5663.9029503302108"/>
    <n v="0"/>
    <n v="0"/>
    <n v="138.59"/>
    <n v="5663.9029503302108"/>
    <n v="5265.54"/>
    <n v="0"/>
    <n v="0"/>
    <n v="398.36295033021088"/>
    <n v="0"/>
    <n v="0"/>
    <n v="0"/>
    <n v="5266"/>
    <n v="0"/>
    <n v="0"/>
    <n v="0"/>
    <n v="0"/>
  </r>
  <r>
    <x v="822"/>
    <s v="Laxmipur-VLC"/>
    <s v="vlc"/>
    <s v="Indirect"/>
    <n v="179.89999999999998"/>
    <n v="6326.3"/>
    <n v="0"/>
    <n v="0"/>
    <n v="0"/>
    <n v="0"/>
    <n v="0"/>
    <n v="0"/>
    <n v="6326.3"/>
    <n v="0"/>
    <n v="0"/>
    <n v="0"/>
    <n v="0"/>
    <n v="0"/>
    <n v="0"/>
    <n v="0"/>
    <n v="0"/>
    <n v="6326.3"/>
    <n v="0"/>
    <n v="0"/>
  </r>
  <r>
    <x v="823"/>
    <s v="Birpur"/>
    <s v="MPG"/>
    <s v="Direct"/>
    <n v="567"/>
    <n v="18923.529999999995"/>
    <n v="530.82999999999993"/>
    <n v="17756.469217080004"/>
    <n v="0"/>
    <n v="0"/>
    <n v="530.82999999999993"/>
    <n v="17756.469217080004"/>
    <n v="17756.469217080004"/>
    <n v="0"/>
    <n v="0"/>
    <n v="0"/>
    <n v="0"/>
    <n v="0"/>
    <n v="0"/>
    <n v="17757"/>
    <n v="0"/>
    <n v="0"/>
    <n v="1167"/>
    <n v="0"/>
  </r>
  <r>
    <x v="824"/>
    <s v="Ahilwar"/>
    <s v="MPG"/>
    <s v="Direct"/>
    <n v="1196.7"/>
    <n v="48976.460000000014"/>
    <n v="1212.1299999999999"/>
    <n v="49794.790616629281"/>
    <n v="5"/>
    <n v="186.19095329999999"/>
    <n v="1217.1299999999999"/>
    <n v="49980.981569929281"/>
    <n v="48976.460000000014"/>
    <n v="0"/>
    <n v="186.19095329999999"/>
    <n v="1004.5215699292676"/>
    <n v="0"/>
    <n v="0"/>
    <n v="0"/>
    <n v="48790"/>
    <n v="0"/>
    <n v="0"/>
    <n v="0"/>
    <n v="0"/>
  </r>
  <r>
    <x v="825"/>
    <s v="Paridah"/>
    <s v="MPG"/>
    <s v="Direct"/>
    <n v="169.90000000000003"/>
    <n v="6951.97"/>
    <n v="173.68000000000004"/>
    <n v="7314.0605154469795"/>
    <n v="0"/>
    <n v="0"/>
    <n v="173.68000000000004"/>
    <n v="7314.0605154469795"/>
    <n v="6951.97"/>
    <n v="0"/>
    <n v="0"/>
    <n v="362.09051544697923"/>
    <n v="0"/>
    <n v="38"/>
    <n v="0"/>
    <n v="6914"/>
    <n v="0"/>
    <n v="0"/>
    <n v="0"/>
    <s v="Release1"/>
  </r>
  <r>
    <x v="826"/>
    <s v="Pansalla"/>
    <s v="MPG"/>
    <s v="Direct"/>
    <n v="287.79999999999995"/>
    <n v="10258.56"/>
    <n v="307.10000000000002"/>
    <n v="10883.591823852001"/>
    <n v="0"/>
    <n v="0"/>
    <n v="307.10000000000002"/>
    <n v="10883.591823852001"/>
    <n v="10258.56"/>
    <n v="0"/>
    <n v="0"/>
    <n v="625.03182385200125"/>
    <n v="0"/>
    <n v="0"/>
    <n v="0"/>
    <n v="10259"/>
    <n v="0"/>
    <n v="0"/>
    <n v="0"/>
    <s v="Release1"/>
  </r>
  <r>
    <x v="827"/>
    <s v="KOLAWARI"/>
    <s v="MPG"/>
    <s v="Direct"/>
    <n v="238.3"/>
    <n v="11127.129999999997"/>
    <n v="223.1"/>
    <n v="10478.020812130591"/>
    <n v="0"/>
    <n v="0"/>
    <n v="223.1"/>
    <n v="10478.020812130591"/>
    <n v="10478.020812130591"/>
    <n v="0"/>
    <n v="0"/>
    <n v="0"/>
    <n v="0"/>
    <n v="0"/>
    <n v="0"/>
    <n v="10478"/>
    <n v="0"/>
    <n v="0"/>
    <n v="649"/>
    <n v="0"/>
  </r>
  <r>
    <x v="828"/>
    <s v="MALDAH"/>
    <s v="vlc"/>
    <s v="Indirect"/>
    <n v="787.4000000000002"/>
    <n v="30897.79"/>
    <n v="0"/>
    <n v="0"/>
    <n v="0"/>
    <n v="0"/>
    <n v="0"/>
    <n v="0"/>
    <n v="30897.79"/>
    <n v="0"/>
    <n v="0"/>
    <n v="0"/>
    <n v="0"/>
    <n v="0"/>
    <n v="0"/>
    <n v="0"/>
    <n v="0"/>
    <n v="30897.79"/>
    <n v="0"/>
    <n v="0"/>
  </r>
  <r>
    <x v="829"/>
    <s v="KARANCHI"/>
    <s v="MPG"/>
    <s v="Direct"/>
    <n v="192.5"/>
    <n v="7320.7599999999984"/>
    <n v="198"/>
    <n v="7745.4199585521301"/>
    <n v="0"/>
    <n v="0"/>
    <n v="198"/>
    <n v="7745.4199585521301"/>
    <n v="7320.7599999999984"/>
    <n v="0"/>
    <n v="0"/>
    <n v="424.65995855213168"/>
    <n v="0"/>
    <n v="0"/>
    <n v="0"/>
    <n v="7321"/>
    <n v="0"/>
    <n v="0"/>
    <n v="0"/>
    <n v="0"/>
  </r>
  <r>
    <x v="830"/>
    <s v="MARTHUA"/>
    <s v="MPG"/>
    <s v="Direct"/>
    <n v="548"/>
    <n v="21541.55"/>
    <n v="433.7699999999997"/>
    <n v="17215.629245975102"/>
    <n v="0"/>
    <n v="0"/>
    <n v="433.7699999999997"/>
    <n v="17215.629245975102"/>
    <n v="17215.629245975102"/>
    <n v="0"/>
    <n v="0"/>
    <n v="0"/>
    <n v="0"/>
    <n v="0"/>
    <n v="0"/>
    <n v="17216"/>
    <n v="0"/>
    <n v="0"/>
    <n v="4326"/>
    <n v="0"/>
  </r>
  <r>
    <x v="831"/>
    <s v="GARHPURA "/>
    <s v="MPG"/>
    <s v="Direct"/>
    <n v="200.49999999999997"/>
    <n v="6663.0000000000009"/>
    <n v="220.9"/>
    <n v="7417.6236969120018"/>
    <n v="0"/>
    <n v="0"/>
    <n v="220.9"/>
    <n v="7417.6236969120018"/>
    <n v="6663.0000000000009"/>
    <n v="0"/>
    <n v="0"/>
    <n v="754.62369691200092"/>
    <n v="0"/>
    <n v="0"/>
    <n v="0"/>
    <n v="6663"/>
    <n v="0"/>
    <n v="0"/>
    <n v="0"/>
    <n v="0"/>
  </r>
  <r>
    <x v="832"/>
    <s v="KOKANI"/>
    <s v="MPG"/>
    <s v="Direct"/>
    <n v="119.4"/>
    <n v="4892.8"/>
    <n v="1.97"/>
    <n v="68.992873091999996"/>
    <n v="0"/>
    <n v="0"/>
    <n v="1.97"/>
    <n v="68.992873091999996"/>
    <n v="68.992873091999996"/>
    <n v="0"/>
    <n v="0"/>
    <n v="0"/>
    <n v="0"/>
    <n v="0"/>
    <n v="0"/>
    <n v="69"/>
    <n v="0"/>
    <n v="0"/>
    <n v="4824"/>
    <n v="0"/>
  </r>
  <r>
    <x v="833"/>
    <s v="DURGAPUR "/>
    <s v="MPG"/>
    <s v="Direct"/>
    <n v="410.4"/>
    <n v="16245.990000000002"/>
    <n v="447.3"/>
    <n v="18902.197986253999"/>
    <n v="0"/>
    <n v="0"/>
    <n v="447.3"/>
    <n v="18902.197986253999"/>
    <n v="16245.990000000002"/>
    <n v="0"/>
    <n v="0"/>
    <n v="2656.2079862539977"/>
    <n v="0"/>
    <n v="0"/>
    <n v="0"/>
    <n v="16246"/>
    <n v="0"/>
    <n v="0"/>
    <n v="0"/>
    <n v="0"/>
  </r>
  <r>
    <x v="834"/>
    <s v="Chandauli"/>
    <s v="MPG"/>
    <s v="Direct"/>
    <n v="195.69999999999996"/>
    <n v="8281.33"/>
    <n v="197.3"/>
    <n v="8816.0119112795001"/>
    <n v="0"/>
    <n v="0"/>
    <n v="197.3"/>
    <n v="8816.0119112795001"/>
    <n v="8281.33"/>
    <n v="0"/>
    <n v="0"/>
    <n v="534.68191127950013"/>
    <n v="0"/>
    <n v="0"/>
    <n v="0"/>
    <n v="8281"/>
    <n v="0"/>
    <n v="0"/>
    <n v="0"/>
    <s v="Release1"/>
  </r>
  <r>
    <x v="835"/>
    <s v="Girdharpur"/>
    <s v="MPG"/>
    <s v="Direct"/>
    <n v="621.5"/>
    <n v="20852.829999999998"/>
    <n v="622.19999999999993"/>
    <n v="20944.194455448"/>
    <n v="0"/>
    <n v="0"/>
    <n v="622.19999999999993"/>
    <n v="20944.194455448"/>
    <n v="20852.829999999998"/>
    <n v="0"/>
    <n v="0"/>
    <n v="91.364455448001536"/>
    <n v="0"/>
    <n v="0"/>
    <n v="0"/>
    <n v="20853"/>
    <n v="0"/>
    <n v="0"/>
    <n v="0"/>
    <n v="0"/>
  </r>
  <r>
    <x v="836"/>
    <s v="MISHRBIGHA"/>
    <s v="MPG"/>
    <s v="Direct"/>
    <n v="804.99999999999977"/>
    <n v="42858.630000000005"/>
    <n v="885.98"/>
    <n v="46408.471794294492"/>
    <n v="0"/>
    <n v="0"/>
    <n v="885.98"/>
    <n v="46408.471794294492"/>
    <n v="42858.630000000005"/>
    <n v="0"/>
    <n v="0"/>
    <n v="3549.841794294487"/>
    <n v="0"/>
    <n v="0"/>
    <n v="0"/>
    <n v="42859"/>
    <n v="0"/>
    <n v="0"/>
    <n v="0"/>
    <n v="0"/>
  </r>
  <r>
    <x v="837"/>
    <s v="DIGHOI"/>
    <s v="MPG"/>
    <s v="Direct"/>
    <n v="153.89999999999998"/>
    <n v="9559.2099999999991"/>
    <n v="159.73999999999998"/>
    <n v="10085.778701540901"/>
    <n v="0"/>
    <n v="0"/>
    <n v="159.73999999999998"/>
    <n v="10085.778701540901"/>
    <n v="9559.2099999999991"/>
    <n v="0"/>
    <n v="0"/>
    <n v="526.56870154090211"/>
    <n v="0"/>
    <n v="14.188083870967716"/>
    <n v="0"/>
    <n v="9545"/>
    <n v="0"/>
    <n v="0"/>
    <n v="0"/>
    <n v="0"/>
  </r>
  <r>
    <x v="838"/>
    <s v="PRATAPUR"/>
    <s v="MPG"/>
    <s v="Direct"/>
    <n v="1028.6999999999998"/>
    <n v="39108.69"/>
    <n v="1029.3"/>
    <n v="39237.966547560012"/>
    <n v="0"/>
    <n v="0"/>
    <n v="1029.3"/>
    <n v="39237.966547560012"/>
    <n v="39108.69"/>
    <n v="0"/>
    <n v="0"/>
    <n v="129.27654756000993"/>
    <n v="0"/>
    <n v="0"/>
    <n v="0"/>
    <n v="39109"/>
    <n v="0"/>
    <n v="0"/>
    <n v="0"/>
    <n v="0"/>
  </r>
  <r>
    <x v="839"/>
    <s v="GOPALPUR"/>
    <s v="MPG"/>
    <s v="Direct"/>
    <n v="561.19999999999993"/>
    <n v="24908.79"/>
    <n v="584.1"/>
    <n v="24691.883747136206"/>
    <n v="0"/>
    <n v="0"/>
    <n v="584.1"/>
    <n v="24691.883747136206"/>
    <n v="24691.883747136206"/>
    <n v="0"/>
    <n v="0"/>
    <n v="0"/>
    <n v="0"/>
    <n v="0"/>
    <n v="0"/>
    <n v="24692"/>
    <n v="0"/>
    <n v="0"/>
    <n v="217"/>
    <n v="0"/>
  </r>
  <r>
    <x v="840"/>
    <s v="NARMDA"/>
    <s v="MPG"/>
    <s v="Direct"/>
    <n v="332.09999999999997"/>
    <n v="15049.500000000002"/>
    <n v="332.80000000000013"/>
    <n v="15118.439292223"/>
    <n v="0"/>
    <n v="0"/>
    <n v="332.80000000000013"/>
    <n v="15118.439292223"/>
    <n v="15049.500000000002"/>
    <n v="0"/>
    <n v="0"/>
    <n v="68.93929222299812"/>
    <n v="0"/>
    <n v="0"/>
    <n v="0"/>
    <n v="15050"/>
    <n v="0"/>
    <n v="0"/>
    <n v="0"/>
    <n v="0"/>
  </r>
  <r>
    <x v="841"/>
    <s v="AMRATH"/>
    <s v="MPG"/>
    <s v="Direct"/>
    <n v="1396.8"/>
    <n v="66826.75999999998"/>
    <n v="1421"/>
    <n v="67426.695371478912"/>
    <n v="0"/>
    <n v="0"/>
    <n v="1421"/>
    <n v="67426.695371478912"/>
    <n v="66826.75999999998"/>
    <n v="0"/>
    <n v="0"/>
    <n v="599.93537147893221"/>
    <n v="0"/>
    <n v="0"/>
    <n v="0"/>
    <n v="66827"/>
    <n v="0"/>
    <n v="0"/>
    <n v="0"/>
    <n v="0"/>
  </r>
  <r>
    <x v="842"/>
    <s v="PUTERIA"/>
    <s v="MPG"/>
    <s v="Direct"/>
    <n v="626.70000000000005"/>
    <n v="23989.600000000002"/>
    <n v="609.12"/>
    <n v="23608.882026710504"/>
    <n v="0"/>
    <n v="0"/>
    <n v="609.12"/>
    <n v="23608.882026710504"/>
    <n v="23608.882026710504"/>
    <n v="0"/>
    <n v="0"/>
    <n v="0"/>
    <n v="0"/>
    <n v="0"/>
    <n v="0"/>
    <n v="23610"/>
    <n v="0"/>
    <n v="0"/>
    <n v="380"/>
    <n v="0"/>
  </r>
  <r>
    <x v="843"/>
    <s v="LAKHAPUR"/>
    <s v="MPG"/>
    <s v="Direct"/>
    <n v="710.4"/>
    <n v="29167.63"/>
    <n v="710.40000000000009"/>
    <n v="29032.649363885103"/>
    <n v="0"/>
    <n v="0"/>
    <n v="710.40000000000009"/>
    <n v="29032.649363885103"/>
    <n v="29032.649363885103"/>
    <n v="0"/>
    <n v="0"/>
    <n v="0"/>
    <n v="0"/>
    <n v="0"/>
    <n v="0"/>
    <n v="29033"/>
    <n v="0"/>
    <n v="0"/>
    <n v="135"/>
    <n v="0"/>
  </r>
  <r>
    <x v="844"/>
    <s v="BARIYARPUR"/>
    <s v="MPG"/>
    <s v="Direct"/>
    <n v="523.79999999999995"/>
    <n v="21819.949999999997"/>
    <n v="523.80000000000007"/>
    <n v="21480.013549709998"/>
    <n v="0"/>
    <n v="0"/>
    <n v="523.80000000000007"/>
    <n v="21480.013549709998"/>
    <n v="21480.013549709998"/>
    <n v="0"/>
    <n v="0"/>
    <n v="0"/>
    <n v="0"/>
    <n v="0"/>
    <n v="0"/>
    <n v="21480"/>
    <n v="0"/>
    <n v="0"/>
    <n v="340"/>
    <n v="0"/>
  </r>
  <r>
    <x v="845"/>
    <s v="BAGWANA"/>
    <s v="MPG"/>
    <s v="Direct"/>
    <n v="478.00000000000006"/>
    <n v="20361.18"/>
    <n v="477.99999999999989"/>
    <n v="20477.3741322186"/>
    <n v="0"/>
    <n v="0"/>
    <n v="477.99999999999989"/>
    <n v="20477.3741322186"/>
    <n v="20361.18"/>
    <n v="0"/>
    <n v="0"/>
    <n v="116.19413221859941"/>
    <n v="0"/>
    <n v="0"/>
    <n v="0"/>
    <n v="20361"/>
    <n v="0"/>
    <n v="0"/>
    <n v="0"/>
    <n v="0"/>
  </r>
  <r>
    <x v="846"/>
    <s v="REWATA"/>
    <s v="MPG"/>
    <s v="Direct"/>
    <n v="31.2"/>
    <n v="1675.2799999999997"/>
    <n v="31.3"/>
    <n v="1683.8104918456602"/>
    <n v="0"/>
    <n v="0"/>
    <n v="31.3"/>
    <n v="1683.8104918456602"/>
    <n v="1675.2799999999997"/>
    <n v="0"/>
    <n v="0"/>
    <n v="8.5304918456604355"/>
    <n v="0"/>
    <n v="0"/>
    <n v="0"/>
    <n v="1675"/>
    <n v="0"/>
    <n v="0"/>
    <n v="0"/>
    <n v="0"/>
  </r>
  <r>
    <x v="847"/>
    <s v="GOMUKH DAND"/>
    <s v="vlc"/>
    <s v="Indirect"/>
    <n v="319.79999999999995"/>
    <n v="13601.78"/>
    <n v="0"/>
    <n v="0"/>
    <n v="0"/>
    <n v="0"/>
    <n v="0"/>
    <n v="0"/>
    <n v="13601.78"/>
    <n v="0"/>
    <n v="0"/>
    <n v="0"/>
    <n v="0"/>
    <n v="0"/>
    <n v="0"/>
    <n v="0"/>
    <n v="0"/>
    <n v="13601.78"/>
    <n v="0"/>
    <n v="0"/>
  </r>
  <r>
    <x v="848"/>
    <s v="Gomukh Karisath"/>
    <s v="MPG"/>
    <s v="Direct"/>
    <n v="238.20000000000005"/>
    <n v="7980.73"/>
    <n v="236.46"/>
    <n v="8027.9591497776019"/>
    <n v="0"/>
    <n v="0"/>
    <n v="236.46"/>
    <n v="8027.9591497776019"/>
    <n v="7980.73"/>
    <n v="0"/>
    <n v="0"/>
    <n v="47.229149777602288"/>
    <n v="3200"/>
    <n v="0"/>
    <n v="0"/>
    <n v="4781"/>
    <n v="0"/>
    <n v="0"/>
    <n v="0"/>
    <s v="Release1"/>
  </r>
  <r>
    <x v="849"/>
    <s v="Gomukh Ama"/>
    <s v="MPG"/>
    <s v="Direct"/>
    <n v="583.9"/>
    <n v="20169.189999999999"/>
    <n v="583"/>
    <n v="20163.087648000001"/>
    <n v="0"/>
    <n v="0"/>
    <n v="583"/>
    <n v="20163.087648000001"/>
    <n v="20163.087648000001"/>
    <n v="0"/>
    <n v="0"/>
    <n v="0"/>
    <n v="0"/>
    <n v="0"/>
    <n v="0"/>
    <n v="20163"/>
    <n v="0"/>
    <n v="0"/>
    <n v="6"/>
    <n v="0"/>
  </r>
  <r>
    <x v="850"/>
    <s v="Gomukh Pawat"/>
    <s v="MPG"/>
    <s v="Direct"/>
    <n v="951.60000000000014"/>
    <n v="31395.480000000003"/>
    <n v="974.56000000000006"/>
    <n v="40183.895689952958"/>
    <n v="0"/>
    <n v="0"/>
    <n v="974.56000000000006"/>
    <n v="40183.895689952958"/>
    <n v="31395.480000000003"/>
    <n v="0"/>
    <n v="0"/>
    <n v="8788.4156899529553"/>
    <n v="0"/>
    <n v="0"/>
    <n v="0"/>
    <n v="31395"/>
    <n v="0"/>
    <n v="0"/>
    <n v="0"/>
    <n v="0"/>
  </r>
  <r>
    <x v="851"/>
    <s v="Gomukh Barja"/>
    <s v="MPG"/>
    <s v="Direct"/>
    <n v="340.20000000000005"/>
    <n v="12337.7"/>
    <n v="318.65000000000003"/>
    <n v="11791.678041000003"/>
    <n v="30.419999999999998"/>
    <n v="1102.7209073760002"/>
    <n v="349.07000000000005"/>
    <n v="12894.398948376003"/>
    <n v="12337.7"/>
    <n v="0"/>
    <n v="1102.7209073760002"/>
    <n v="556.69894837600259"/>
    <n v="0"/>
    <n v="0"/>
    <n v="0"/>
    <n v="11235"/>
    <n v="0"/>
    <n v="0"/>
    <n v="0"/>
    <s v="Release1"/>
  </r>
  <r>
    <x v="852"/>
    <s v="Gomukh Charghat"/>
    <s v="MPG"/>
    <s v="Direct"/>
    <n v="668.1"/>
    <n v="26371.43"/>
    <n v="677.2700000000001"/>
    <n v="27100.820621523613"/>
    <n v="0"/>
    <n v="0"/>
    <n v="677.2700000000001"/>
    <n v="27100.820621523613"/>
    <n v="26371.43"/>
    <n v="0"/>
    <n v="0"/>
    <n v="729.39062152361294"/>
    <n v="0"/>
    <n v="0"/>
    <n v="0"/>
    <n v="26371"/>
    <n v="0"/>
    <n v="0"/>
    <n v="0"/>
    <n v="0"/>
  </r>
  <r>
    <x v="853"/>
    <s v="Gomukh Ramdihra"/>
    <s v="MPG"/>
    <s v="Direct"/>
    <n v="103.5"/>
    <n v="3356.42"/>
    <n v="104"/>
    <n v="3349.7418240000006"/>
    <n v="0"/>
    <n v="0"/>
    <n v="104"/>
    <n v="3349.7418240000006"/>
    <n v="3349.7418240000006"/>
    <n v="0"/>
    <n v="0"/>
    <n v="0"/>
    <n v="3350"/>
    <n v="0"/>
    <n v="0"/>
    <n v="0"/>
    <n v="0"/>
    <n v="0"/>
    <n v="6"/>
    <s v="Release1"/>
  </r>
  <r>
    <x v="854"/>
    <s v="Gomukh Bara"/>
    <s v="MPG"/>
    <s v="Direct"/>
    <n v="354.2"/>
    <n v="12831.72"/>
    <n v="429.28000000000003"/>
    <n v="17258.016306009602"/>
    <n v="0"/>
    <n v="0"/>
    <n v="429.28000000000003"/>
    <n v="17258.016306009602"/>
    <n v="12831.72"/>
    <n v="0"/>
    <n v="0"/>
    <n v="4426.2963060096026"/>
    <n v="0"/>
    <n v="0"/>
    <n v="0"/>
    <n v="12832"/>
    <n v="0"/>
    <n v="0"/>
    <n v="0"/>
    <s v="Release1"/>
  </r>
  <r>
    <x v="855"/>
    <s v="Gumukh Khajuriya"/>
    <s v="MPG"/>
    <s v="Direct"/>
    <n v="485.8"/>
    <n v="17030.3"/>
    <n v="482.16999999999996"/>
    <n v="16936.302836772004"/>
    <n v="2.37"/>
    <n v="89.371836972000011"/>
    <n v="484.53999999999996"/>
    <n v="17025.674673744004"/>
    <n v="17025.674673744004"/>
    <n v="0"/>
    <n v="89.371836972000011"/>
    <n v="0"/>
    <n v="0"/>
    <n v="0"/>
    <n v="0"/>
    <n v="16936"/>
    <n v="0"/>
    <n v="0"/>
    <n v="5"/>
    <n v="0"/>
  </r>
  <r>
    <x v="857"/>
    <s v="GOMUKH BHATOLIYA"/>
    <s v="MPG"/>
    <s v="Direct"/>
    <n v="855.8000000000003"/>
    <n v="36781.279999999992"/>
    <n v="859.8"/>
    <n v="37251.009159133901"/>
    <n v="5.2"/>
    <n v="234.61181191650002"/>
    <n v="865"/>
    <n v="37485.620971050397"/>
    <n v="36781.279999999992"/>
    <n v="712"/>
    <n v="234.61181191650002"/>
    <n v="704.34097105040564"/>
    <n v="0"/>
    <n v="0"/>
    <n v="0"/>
    <n v="35835"/>
    <n v="0"/>
    <n v="0"/>
    <n v="0"/>
    <n v="0"/>
  </r>
  <r>
    <x v="858"/>
    <s v="GOMUKH CHEHRAKALA"/>
    <s v="MPG"/>
    <s v="Direct"/>
    <n v="349.1"/>
    <n v="16509.829999999998"/>
    <n v="349.4"/>
    <n v="17011.521964892403"/>
    <n v="0"/>
    <n v="0"/>
    <n v="349.4"/>
    <n v="17011.521964892403"/>
    <n v="16509.829999999998"/>
    <n v="0"/>
    <n v="0"/>
    <n v="501.69196489240494"/>
    <n v="0"/>
    <n v="0"/>
    <n v="0"/>
    <n v="16510"/>
    <n v="0"/>
    <n v="0"/>
    <n v="0"/>
    <n v="0"/>
  </r>
  <r>
    <x v="859"/>
    <s v="GOMUKH KHAJECHAND"/>
    <s v="MPG"/>
    <s v="Direct"/>
    <n v="424.9"/>
    <n v="16327.77"/>
    <n v="424.5"/>
    <n v="17061.655378130006"/>
    <n v="0"/>
    <n v="0"/>
    <n v="424.5"/>
    <n v="17061.655378130006"/>
    <n v="16327.77"/>
    <n v="0"/>
    <n v="0"/>
    <n v="733.88537813000585"/>
    <n v="0"/>
    <n v="0"/>
    <n v="0"/>
    <n v="16328"/>
    <n v="0"/>
    <n v="0"/>
    <n v="0"/>
    <n v="0"/>
  </r>
  <r>
    <x v="860"/>
    <s v="GOMUKH SALEMPUR"/>
    <s v="MPG"/>
    <s v="Direct"/>
    <n v="166.1"/>
    <n v="7305.16"/>
    <n v="163"/>
    <n v="6774.4252990243003"/>
    <n v="2.8000000000000003"/>
    <n v="112.88655294213"/>
    <n v="165.8"/>
    <n v="6887.3118519664304"/>
    <n v="6887.3118519664304"/>
    <n v="0"/>
    <n v="112.88655294213"/>
    <n v="0"/>
    <n v="0"/>
    <n v="0"/>
    <n v="0"/>
    <n v="6774"/>
    <n v="0"/>
    <n v="0"/>
    <n v="418"/>
    <s v="Release2"/>
  </r>
  <r>
    <x v="861"/>
    <s v="Gomukh Paharpur"/>
    <s v="MPG"/>
    <s v="Direct"/>
    <n v="485.10000000000008"/>
    <n v="20329.97"/>
    <n v="486.4"/>
    <n v="21573.233625806268"/>
    <n v="0"/>
    <n v="0"/>
    <n v="486.4"/>
    <n v="21573.233625806268"/>
    <n v="20329.97"/>
    <n v="174"/>
    <n v="0"/>
    <n v="1243.2636258062666"/>
    <n v="0"/>
    <n v="0"/>
    <n v="0"/>
    <n v="20156"/>
    <n v="0"/>
    <n v="0"/>
    <n v="0"/>
    <n v="0"/>
  </r>
  <r>
    <x v="862"/>
    <s v="GOMUKH PREMRAJ"/>
    <s v="MPG"/>
    <s v="Direct"/>
    <n v="386.29999999999995"/>
    <n v="18179.75"/>
    <n v="378.3"/>
    <n v="18345.149675495108"/>
    <n v="7.4"/>
    <n v="270.68726916000003"/>
    <n v="385.7"/>
    <n v="18615.836944655108"/>
    <n v="18179.75"/>
    <n v="0"/>
    <n v="270.68726916000003"/>
    <n v="436.0869446551078"/>
    <n v="0"/>
    <n v="0"/>
    <n v="0"/>
    <n v="17909"/>
    <n v="0"/>
    <n v="0"/>
    <n v="0"/>
    <n v="0"/>
  </r>
  <r>
    <x v="863"/>
    <s v="GOMUKH MAGURAHI"/>
    <s v="MPG"/>
    <s v="Direct"/>
    <n v="292"/>
    <n v="15498.72"/>
    <n v="288"/>
    <n v="15302.69202527412"/>
    <n v="5.8999999999999986"/>
    <n v="377.191858991"/>
    <n v="293.89999999999998"/>
    <n v="15679.88388426512"/>
    <n v="15498.72"/>
    <n v="0"/>
    <n v="377.191858991"/>
    <n v="181.16388426512094"/>
    <n v="0"/>
    <n v="0"/>
    <n v="0"/>
    <n v="15122"/>
    <n v="0"/>
    <n v="0"/>
    <n v="0"/>
    <n v="0"/>
  </r>
  <r>
    <x v="864"/>
    <s v="GOMUKH GANGATI"/>
    <s v="MPG"/>
    <s v="Direct"/>
    <n v="568.5"/>
    <n v="25283.66"/>
    <n v="601.1"/>
    <n v="26626.297063838145"/>
    <n v="0"/>
    <n v="0"/>
    <n v="601.1"/>
    <n v="26626.297063838145"/>
    <n v="25283.66"/>
    <n v="0"/>
    <n v="0"/>
    <n v="1342.637063838145"/>
    <n v="0"/>
    <n v="0"/>
    <n v="0"/>
    <n v="25284"/>
    <n v="0"/>
    <n v="0"/>
    <n v="0"/>
    <n v="0"/>
  </r>
  <r>
    <x v="865"/>
    <s v="GOMUKH Khanpatti"/>
    <s v="MPG"/>
    <s v="Direct"/>
    <n v="964.06000000000006"/>
    <n v="43219.460000000006"/>
    <n v="976.2"/>
    <n v="43525.592308619198"/>
    <n v="9.2000000000000011"/>
    <n v="362.905257726"/>
    <n v="985.40000000000009"/>
    <n v="43888.497566345199"/>
    <n v="43219.460000000006"/>
    <n v="0"/>
    <n v="362.905257726"/>
    <n v="669.03756634519232"/>
    <n v="0"/>
    <n v="0"/>
    <n v="0"/>
    <n v="42857"/>
    <n v="0"/>
    <n v="0"/>
    <n v="0"/>
    <s v="Release2"/>
  </r>
  <r>
    <x v="866"/>
    <s v="GOMUKH Bhagwatpur"/>
    <s v="MPG"/>
    <s v="Direct"/>
    <n v="495.70000000000005"/>
    <n v="20845.649999999998"/>
    <n v="495.2"/>
    <n v="20641.178334538305"/>
    <n v="0"/>
    <n v="0"/>
    <n v="495.2"/>
    <n v="20641.178334538305"/>
    <n v="20641.178334538305"/>
    <n v="0"/>
    <n v="0"/>
    <n v="0"/>
    <n v="0"/>
    <n v="0"/>
    <n v="0"/>
    <n v="20640"/>
    <n v="0"/>
    <n v="0"/>
    <n v="206"/>
    <n v="0"/>
  </r>
  <r>
    <x v="867"/>
    <s v="GOMUKH JIRWARA"/>
    <s v="vlc"/>
    <s v="Indirect"/>
    <n v="320.10000000000002"/>
    <n v="12335.619999999999"/>
    <n v="0"/>
    <n v="0"/>
    <n v="0"/>
    <n v="0"/>
    <n v="0"/>
    <n v="0"/>
    <n v="12335.619999999999"/>
    <n v="0"/>
    <n v="0"/>
    <n v="0"/>
    <n v="0"/>
    <n v="0"/>
    <n v="0"/>
    <n v="0"/>
    <n v="0"/>
    <n v="12335.619999999999"/>
    <n v="0"/>
    <n v="0"/>
  </r>
  <r>
    <x v="868"/>
    <s v="GOMUKH Karhatiya"/>
    <s v="vlc"/>
    <s v="Indirect"/>
    <n v="268"/>
    <n v="9761.08"/>
    <n v="0"/>
    <n v="0"/>
    <n v="0"/>
    <n v="0"/>
    <n v="0"/>
    <n v="0"/>
    <n v="9761.08"/>
    <n v="0"/>
    <n v="0"/>
    <n v="0"/>
    <n v="0"/>
    <n v="0"/>
    <n v="0"/>
    <n v="0"/>
    <n v="0"/>
    <n v="9761.08"/>
    <n v="0"/>
    <n v="0"/>
  </r>
  <r>
    <x v="869"/>
    <s v="GOMUKH Karhatiya Bujurg"/>
    <s v="vlc"/>
    <s v="Indirect"/>
    <n v="261.39999999999998"/>
    <n v="9562.7099999999991"/>
    <n v="0"/>
    <n v="0"/>
    <n v="0"/>
    <n v="0"/>
    <n v="0"/>
    <n v="0"/>
    <n v="9562.7099999999991"/>
    <n v="0"/>
    <n v="0"/>
    <n v="0"/>
    <n v="0"/>
    <n v="0"/>
    <n v="0"/>
    <n v="0"/>
    <n v="0"/>
    <n v="9562.7099999999991"/>
    <n v="0"/>
    <n v="0"/>
  </r>
  <r>
    <x v="870"/>
    <s v="GOMUKH Bheraukhara"/>
    <s v="MPG"/>
    <s v="Direct"/>
    <n v="334.99999999999994"/>
    <n v="14059.609999999999"/>
    <n v="335.8"/>
    <n v="14183.36816879563"/>
    <n v="0"/>
    <n v="0"/>
    <n v="335.8"/>
    <n v="14183.36816879563"/>
    <n v="14059.609999999999"/>
    <n v="1553"/>
    <n v="0"/>
    <n v="123.75816879563172"/>
    <n v="0"/>
    <n v="0"/>
    <n v="0"/>
    <n v="12507"/>
    <n v="0"/>
    <n v="0"/>
    <n v="0"/>
    <n v="0"/>
  </r>
  <r>
    <x v="871"/>
    <s v="GOMUKH SUPOLTARIYA"/>
    <s v="MPG"/>
    <s v="Direct"/>
    <n v="469.9"/>
    <n v="19987.169999999998"/>
    <n v="477.60000000000008"/>
    <n v="19619.4147601351"/>
    <n v="0"/>
    <n v="0"/>
    <n v="477.60000000000008"/>
    <n v="19619.4147601351"/>
    <n v="19619.4147601351"/>
    <n v="0"/>
    <n v="0"/>
    <n v="0"/>
    <n v="0"/>
    <n v="0"/>
    <n v="0"/>
    <n v="19619"/>
    <n v="0"/>
    <n v="0"/>
    <n v="368"/>
    <n v="0"/>
  </r>
  <r>
    <x v="872"/>
    <s v="GOMUKH Shravanapatti"/>
    <s v="MPG"/>
    <s v="Direct"/>
    <n v="150.79999999999998"/>
    <n v="6815.1400000000012"/>
    <n v="192.50000000000003"/>
    <n v="9566.766907993102"/>
    <n v="0"/>
    <n v="0"/>
    <n v="192.50000000000003"/>
    <n v="9566.766907993102"/>
    <n v="6815.1400000000012"/>
    <n v="0"/>
    <n v="0"/>
    <n v="2751.6269079931008"/>
    <n v="0"/>
    <n v="0"/>
    <n v="0"/>
    <n v="6815"/>
    <n v="0"/>
    <n v="0"/>
    <n v="0"/>
    <n v="0"/>
  </r>
  <r>
    <x v="873"/>
    <s v="GOMUKH Jilwara"/>
    <s v="MPG"/>
    <s v="Direct"/>
    <n v="390.8"/>
    <n v="16006.509999999997"/>
    <n v="389.79999999999995"/>
    <n v="16022.72349229383"/>
    <n v="0"/>
    <n v="0"/>
    <n v="389.79999999999995"/>
    <n v="16022.72349229383"/>
    <n v="16006.509999999997"/>
    <n v="379"/>
    <n v="0"/>
    <n v="16.213492293833042"/>
    <n v="0"/>
    <n v="0"/>
    <n v="0"/>
    <n v="15628"/>
    <n v="0"/>
    <n v="0"/>
    <n v="0"/>
    <n v="0"/>
  </r>
  <r>
    <x v="1007"/>
    <s v="GOMUKH KHANPATTI EAST"/>
    <s v="vlc"/>
    <s v="Indirect"/>
    <n v="25.1"/>
    <n v="1198.83"/>
    <n v="0"/>
    <n v="0"/>
    <n v="0"/>
    <n v="0"/>
    <n v="0"/>
    <n v="0"/>
    <n v="1198.83"/>
    <n v="0"/>
    <n v="0"/>
    <n v="0"/>
    <n v="0"/>
    <n v="0"/>
    <n v="0"/>
    <n v="0"/>
    <n v="0"/>
    <n v="1198.83"/>
    <n v="0"/>
    <n v="0"/>
  </r>
  <r>
    <x v="874"/>
    <s v="GOMUKH ABBUCHAK"/>
    <s v="MPG"/>
    <s v="Direct"/>
    <n v="239.80000000000004"/>
    <n v="10181.84"/>
    <n v="239.40000000000009"/>
    <n v="10304.67481499218"/>
    <n v="0"/>
    <n v="0"/>
    <n v="239.40000000000009"/>
    <n v="10304.67481499218"/>
    <n v="10181.84"/>
    <n v="26"/>
    <n v="0"/>
    <n v="122.83481499218033"/>
    <n v="0"/>
    <n v="0"/>
    <n v="0"/>
    <n v="10156"/>
    <n v="0"/>
    <n v="0"/>
    <n v="0"/>
    <n v="0"/>
  </r>
  <r>
    <x v="875"/>
    <s v="GOMUKH KAILA JALALPUR"/>
    <s v="MPG"/>
    <s v="Direct"/>
    <n v="263.79999999999995"/>
    <n v="10136.120000000001"/>
    <n v="265.8"/>
    <n v="9965.6243306019605"/>
    <n v="3.1"/>
    <n v="120.74899873327503"/>
    <n v="268.90000000000003"/>
    <n v="10086.373329335236"/>
    <n v="10086.373329335236"/>
    <n v="0"/>
    <n v="120.74899873327503"/>
    <n v="0"/>
    <n v="0"/>
    <n v="0"/>
    <n v="0"/>
    <n v="9967"/>
    <n v="0"/>
    <n v="0"/>
    <n v="48"/>
    <n v="0"/>
  </r>
  <r>
    <x v="877"/>
    <s v="Gomukh Jhitkahi East"/>
    <s v="MPG"/>
    <s v="Direct"/>
    <n v="75.100000000000009"/>
    <n v="4991.7799999999988"/>
    <n v="67.3"/>
    <n v="4362.7972304346004"/>
    <n v="0"/>
    <n v="0"/>
    <n v="67.3"/>
    <n v="4362.7972304346004"/>
    <n v="4362.7972304346004"/>
    <n v="0"/>
    <n v="0"/>
    <n v="0"/>
    <n v="0"/>
    <n v="0"/>
    <n v="0"/>
    <n v="4364"/>
    <n v="0"/>
    <n v="0"/>
    <n v="628"/>
    <n v="0"/>
  </r>
  <r>
    <x v="878"/>
    <s v="GOMUKH UPHRAUL"/>
    <s v="vlc"/>
    <s v="Indirect"/>
    <n v="1619.5000000000002"/>
    <n v="49531.64"/>
    <n v="0"/>
    <n v="0"/>
    <n v="0"/>
    <n v="0"/>
    <n v="0"/>
    <n v="0"/>
    <n v="49531.64"/>
    <n v="0"/>
    <n v="0"/>
    <n v="0"/>
    <n v="0"/>
    <n v="0"/>
    <n v="0"/>
    <n v="0"/>
    <n v="0"/>
    <n v="49531.64"/>
    <n v="0"/>
    <n v="0"/>
  </r>
  <r>
    <x v="1008"/>
    <s v="GOMUKH PANSALA"/>
    <s v="vlc"/>
    <s v="Indirect"/>
    <n v="102.3"/>
    <n v="3186.8100000000004"/>
    <n v="0"/>
    <n v="0"/>
    <n v="0"/>
    <n v="0"/>
    <n v="0"/>
    <n v="0"/>
    <n v="3186.8100000000004"/>
    <n v="0"/>
    <n v="0"/>
    <n v="0"/>
    <n v="0"/>
    <n v="0"/>
    <n v="0"/>
    <n v="0"/>
    <n v="0"/>
    <n v="3186.8100000000004"/>
    <n v="0"/>
    <n v="0"/>
  </r>
  <r>
    <x v="880"/>
    <s v="GOMUKH PACHAI"/>
    <s v="vlc"/>
    <s v="Indirect"/>
    <n v="398.69999999999993"/>
    <n v="14359.230000000001"/>
    <n v="0"/>
    <n v="0"/>
    <n v="0"/>
    <n v="0"/>
    <n v="0"/>
    <n v="0"/>
    <n v="14359.230000000001"/>
    <n v="0"/>
    <n v="0"/>
    <n v="0"/>
    <n v="0"/>
    <n v="0"/>
    <n v="0"/>
    <n v="0"/>
    <n v="0"/>
    <n v="14359.230000000001"/>
    <n v="0"/>
    <n v="0"/>
  </r>
  <r>
    <x v="881"/>
    <s v="GOMUKH GARAHI"/>
    <s v="vlc"/>
    <s v="Indirect"/>
    <n v="646"/>
    <n v="19123.21"/>
    <n v="0"/>
    <n v="0"/>
    <n v="0"/>
    <n v="0"/>
    <n v="0"/>
    <n v="0"/>
    <n v="19123.21"/>
    <n v="0"/>
    <n v="0"/>
    <n v="0"/>
    <n v="0"/>
    <n v="0"/>
    <n v="0"/>
    <n v="0"/>
    <n v="0"/>
    <n v="19123.21"/>
    <n v="0"/>
    <n v="0"/>
  </r>
  <r>
    <x v="882"/>
    <s v="GOMUKH BAIKUNTHPUR"/>
    <s v="vlc"/>
    <s v="Indirect"/>
    <n v="194"/>
    <n v="6694.79"/>
    <n v="0"/>
    <n v="0"/>
    <n v="0"/>
    <n v="0"/>
    <n v="0"/>
    <n v="0"/>
    <n v="6694.79"/>
    <n v="0"/>
    <n v="0"/>
    <n v="0"/>
    <n v="0"/>
    <n v="0"/>
    <n v="0"/>
    <n v="0"/>
    <n v="0"/>
    <n v="6694.79"/>
    <n v="0"/>
    <n v="0"/>
  </r>
  <r>
    <x v="883"/>
    <s v="GOMUKH BAHASHI"/>
    <s v="vlc"/>
    <s v="Indirect"/>
    <n v="546.29999999999995"/>
    <n v="18736.41"/>
    <n v="0"/>
    <n v="0"/>
    <n v="0"/>
    <n v="0"/>
    <n v="0"/>
    <n v="0"/>
    <n v="18736.41"/>
    <n v="0"/>
    <n v="0"/>
    <n v="0"/>
    <n v="0"/>
    <n v="0"/>
    <n v="0"/>
    <n v="0"/>
    <n v="0"/>
    <n v="18736.41"/>
    <n v="0"/>
    <n v="0"/>
  </r>
  <r>
    <x v="886"/>
    <s v="GOMUKH KHARIKA"/>
    <s v="vlc"/>
    <s v="Indirect"/>
    <n v="351.59999999999997"/>
    <n v="12866.269999999999"/>
    <n v="0"/>
    <n v="0"/>
    <n v="0"/>
    <n v="0"/>
    <n v="0"/>
    <n v="0"/>
    <n v="12866.269999999999"/>
    <n v="0"/>
    <n v="0"/>
    <n v="0"/>
    <n v="0"/>
    <n v="0"/>
    <n v="0"/>
    <n v="0"/>
    <n v="0"/>
    <n v="12866.269999999999"/>
    <n v="0"/>
    <n v="0"/>
  </r>
  <r>
    <x v="888"/>
    <s v="GOMUKH HARPUR RAJESH"/>
    <s v="vlc"/>
    <s v="Indirect"/>
    <n v="206"/>
    <n v="8497.73"/>
    <n v="0"/>
    <n v="0"/>
    <n v="0"/>
    <n v="0"/>
    <n v="0"/>
    <n v="0"/>
    <n v="8497.73"/>
    <n v="0"/>
    <n v="0"/>
    <n v="0"/>
    <n v="0"/>
    <n v="0"/>
    <n v="0"/>
    <n v="0"/>
    <n v="0"/>
    <n v="8497.73"/>
    <n v="0"/>
    <n v="0"/>
  </r>
  <r>
    <x v="889"/>
    <s v="GOMUKH SANICHAR HATT"/>
    <s v="vlc"/>
    <s v="Indirect"/>
    <n v="75.3"/>
    <n v="2612.54"/>
    <n v="0"/>
    <n v="0"/>
    <n v="0"/>
    <n v="0"/>
    <n v="0"/>
    <n v="0"/>
    <n v="2612.54"/>
    <n v="0"/>
    <n v="0"/>
    <n v="0"/>
    <n v="0"/>
    <n v="0"/>
    <n v="0"/>
    <n v="0"/>
    <n v="0"/>
    <n v="2612.54"/>
    <n v="0"/>
    <n v="0"/>
  </r>
  <r>
    <x v="890"/>
    <s v="GOMUKH SAHARIYA"/>
    <s v="vlc"/>
    <s v="Indirect"/>
    <n v="763.49999999999989"/>
    <n v="31266.1"/>
    <n v="0"/>
    <n v="0"/>
    <n v="0"/>
    <n v="0"/>
    <n v="0"/>
    <n v="0"/>
    <n v="31266.1"/>
    <n v="0"/>
    <n v="0"/>
    <n v="0"/>
    <n v="0"/>
    <n v="0"/>
    <n v="0"/>
    <n v="0"/>
    <n v="0"/>
    <n v="31266.1"/>
    <n v="0"/>
    <n v="0"/>
  </r>
  <r>
    <x v="1009"/>
    <s v="GOMUKH PAITRAPUR"/>
    <s v="vlc"/>
    <s v="Direct"/>
    <n v="81.800000000000011"/>
    <n v="3623.8900000000003"/>
    <n v="64"/>
    <n v="2899.391114384"/>
    <n v="0"/>
    <n v="0"/>
    <n v="64"/>
    <n v="2899.391114384"/>
    <n v="2899.391114384"/>
    <n v="0"/>
    <n v="0"/>
    <n v="0"/>
    <n v="0"/>
    <n v="0"/>
    <n v="0"/>
    <n v="2899"/>
    <n v="0"/>
    <n v="0"/>
    <n v="725"/>
    <n v="0"/>
  </r>
  <r>
    <x v="1010"/>
    <s v="GOMUKH JAI MATA DI MILK CENTER"/>
    <s v="vlc"/>
    <s v="Indirect"/>
    <n v="169.49999999999997"/>
    <n v="8559.7699999999986"/>
    <n v="0"/>
    <n v="0"/>
    <n v="0"/>
    <n v="0"/>
    <n v="0"/>
    <n v="0"/>
    <n v="8559.7699999999986"/>
    <n v="0"/>
    <n v="0"/>
    <n v="0"/>
    <n v="0"/>
    <n v="0"/>
    <n v="0"/>
    <n v="0"/>
    <n v="0"/>
    <n v="8559.7699999999986"/>
    <n v="0"/>
    <n v="0"/>
  </r>
  <r>
    <x v="892"/>
    <s v="Karua"/>
    <s v="MPG"/>
    <s v="Direct"/>
    <n v="164.2"/>
    <n v="6851.2300000000014"/>
    <n v="164.2"/>
    <n v="6854.5888376327994"/>
    <n v="0"/>
    <n v="0"/>
    <n v="164.2"/>
    <n v="6854.5888376327994"/>
    <n v="6851.2300000000014"/>
    <n v="0"/>
    <n v="0"/>
    <n v="3.3588376327979859"/>
    <n v="0"/>
    <n v="0"/>
    <n v="0"/>
    <n v="6851"/>
    <n v="0"/>
    <n v="0"/>
    <n v="0"/>
    <n v="0"/>
  </r>
  <r>
    <x v="893"/>
    <s v="Erout"/>
    <s v="MPG"/>
    <s v="Direct"/>
    <n v="120.29999999999997"/>
    <n v="5472.7800000000007"/>
    <n v="120.30000000000001"/>
    <n v="5464.5615680575211"/>
    <n v="0"/>
    <n v="0"/>
    <n v="120.30000000000001"/>
    <n v="5464.5615680575211"/>
    <n v="5464.5615680575211"/>
    <n v="0"/>
    <n v="0"/>
    <n v="0"/>
    <n v="0"/>
    <n v="0"/>
    <n v="0"/>
    <n v="5465"/>
    <n v="0"/>
    <n v="0"/>
    <n v="8"/>
    <n v="0"/>
  </r>
  <r>
    <x v="894"/>
    <s v="Murli"/>
    <s v="MPG"/>
    <s v="Direct"/>
    <n v="148.4"/>
    <n v="7220.4599999999991"/>
    <n v="140.80000000000001"/>
    <n v="7186.0572027718808"/>
    <n v="1"/>
    <n v="52.721142443410002"/>
    <n v="141.80000000000001"/>
    <n v="7238.7783452152908"/>
    <n v="7220.4599999999991"/>
    <n v="0"/>
    <n v="52.721142443410002"/>
    <n v="18.318345215291629"/>
    <n v="0"/>
    <n v="0"/>
    <n v="0"/>
    <n v="7168"/>
    <n v="0"/>
    <n v="0"/>
    <n v="0"/>
    <n v="0"/>
  </r>
  <r>
    <x v="895"/>
    <s v="Mahespur"/>
    <s v="MPG"/>
    <s v="Direct"/>
    <n v="52.400000000000006"/>
    <n v="2227.3000000000002"/>
    <n v="52.4"/>
    <n v="2220.1242091230001"/>
    <n v="0"/>
    <n v="0"/>
    <n v="52.4"/>
    <n v="2220.1242091230001"/>
    <n v="2220.1242091230001"/>
    <n v="0"/>
    <n v="0"/>
    <n v="0"/>
    <n v="0"/>
    <n v="0"/>
    <n v="0"/>
    <n v="2220"/>
    <n v="0"/>
    <n v="0"/>
    <n v="7"/>
    <n v="0"/>
  </r>
  <r>
    <x v="896"/>
    <s v="Raj Nagar"/>
    <s v="MPG"/>
    <s v="Direct"/>
    <n v="901.5999999999998"/>
    <n v="35346.450000000004"/>
    <n v="901.6"/>
    <n v="35345.955845772005"/>
    <n v="0"/>
    <n v="0"/>
    <n v="901.6"/>
    <n v="35345.955845772005"/>
    <n v="35345.955845772005"/>
    <n v="0"/>
    <n v="0"/>
    <n v="0"/>
    <n v="0"/>
    <n v="0"/>
    <n v="0"/>
    <n v="35346"/>
    <n v="0"/>
    <n v="0"/>
    <n v="0"/>
    <n v="0"/>
  </r>
  <r>
    <x v="897"/>
    <s v="Nauapokhar"/>
    <s v="MPG"/>
    <s v="Direct"/>
    <n v="249.9"/>
    <n v="12015.46"/>
    <n v="252.29999999999995"/>
    <n v="12006.694195494003"/>
    <n v="1.0999999999999999"/>
    <n v="53.413483327400002"/>
    <n v="253.39999999999995"/>
    <n v="12060.107678821403"/>
    <n v="12015.46"/>
    <n v="0"/>
    <n v="53.413483327400002"/>
    <n v="44.647678821404043"/>
    <n v="0"/>
    <n v="0"/>
    <n v="0"/>
    <n v="11962"/>
    <n v="0"/>
    <n v="0"/>
    <n v="0"/>
    <n v="0"/>
  </r>
  <r>
    <x v="898"/>
    <s v="Erout 2"/>
    <s v="vlc"/>
    <s v="Indirect"/>
    <n v="332.00000000000006"/>
    <n v="12051.04"/>
    <n v="0"/>
    <n v="0"/>
    <n v="0"/>
    <n v="0"/>
    <n v="0"/>
    <n v="0"/>
    <n v="12051.04"/>
    <n v="0"/>
    <n v="0"/>
    <n v="0"/>
    <n v="0"/>
    <n v="0"/>
    <n v="0"/>
    <n v="0"/>
    <n v="0"/>
    <n v="12051.04"/>
    <n v="0"/>
    <n v="0"/>
  </r>
  <r>
    <x v="899"/>
    <s v="Parsuram"/>
    <s v="vlc"/>
    <s v="Indirect"/>
    <n v="99.500000000000014"/>
    <n v="3142.23"/>
    <n v="0"/>
    <n v="0"/>
    <n v="0"/>
    <n v="0"/>
    <n v="0"/>
    <n v="0"/>
    <n v="3142.23"/>
    <n v="0"/>
    <n v="0"/>
    <n v="0"/>
    <n v="0"/>
    <n v="0"/>
    <n v="0"/>
    <n v="0"/>
    <n v="0"/>
    <n v="3142.23"/>
    <n v="0"/>
    <n v="0"/>
  </r>
  <r>
    <x v="900"/>
    <s v="Gudarghat"/>
    <s v="vlc"/>
    <s v="Indirect"/>
    <n v="240.89999999999995"/>
    <n v="8673.4500000000007"/>
    <n v="0"/>
    <n v="0"/>
    <n v="0"/>
    <n v="0"/>
    <n v="0"/>
    <n v="0"/>
    <n v="8673.4500000000007"/>
    <n v="0"/>
    <n v="0"/>
    <n v="0"/>
    <n v="0"/>
    <n v="0"/>
    <n v="0"/>
    <n v="0"/>
    <n v="0"/>
    <n v="8673.4500000000007"/>
    <n v="0"/>
    <n v="0"/>
  </r>
  <r>
    <x v="901"/>
    <s v="Siripur Gohar"/>
    <s v="MPG"/>
    <s v="Direct"/>
    <n v="613.6"/>
    <n v="23298.049999999996"/>
    <n v="613.59999999999991"/>
    <n v="23297.84050572"/>
    <n v="0"/>
    <n v="0"/>
    <n v="613.59999999999991"/>
    <n v="23297.84050572"/>
    <n v="23297.84050572"/>
    <n v="0"/>
    <n v="0"/>
    <n v="0"/>
    <n v="0"/>
    <n v="0"/>
    <n v="0"/>
    <n v="23298"/>
    <n v="0"/>
    <n v="0"/>
    <n v="0"/>
    <n v="0"/>
  </r>
  <r>
    <x v="902"/>
    <s v="Sedukha"/>
    <s v="MPG"/>
    <s v="Direct"/>
    <n v="30.099999999999998"/>
    <n v="1080.32"/>
    <n v="30.099999999999998"/>
    <n v="1080.2539202400001"/>
    <n v="0"/>
    <n v="0"/>
    <n v="30.099999999999998"/>
    <n v="1080.2539202400001"/>
    <n v="1080.2539202400001"/>
    <n v="0"/>
    <n v="0"/>
    <n v="0"/>
    <n v="0"/>
    <n v="0"/>
    <n v="0"/>
    <n v="1080"/>
    <n v="0"/>
    <n v="0"/>
    <n v="0"/>
    <n v="0"/>
  </r>
  <r>
    <x v="903"/>
    <s v="Maheshwara"/>
    <s v="MPG"/>
    <s v="Direct"/>
    <n v="216.7"/>
    <n v="7645.32"/>
    <n v="216.5"/>
    <n v="7631.7071937629999"/>
    <n v="0"/>
    <n v="0"/>
    <n v="216.5"/>
    <n v="7631.7071937629999"/>
    <n v="7631.7071937629999"/>
    <n v="0"/>
    <n v="0"/>
    <n v="0"/>
    <n v="0"/>
    <n v="0"/>
    <n v="0"/>
    <n v="7632"/>
    <n v="0"/>
    <n v="0"/>
    <n v="13"/>
    <n v="0"/>
  </r>
  <r>
    <x v="904"/>
    <s v="Madhuban 2"/>
    <s v="vlc"/>
    <s v="Indirect"/>
    <n v="514.70000000000005"/>
    <n v="17511.660000000003"/>
    <n v="0"/>
    <n v="0"/>
    <n v="0"/>
    <n v="0"/>
    <n v="0"/>
    <n v="0"/>
    <n v="17511.660000000003"/>
    <n v="0"/>
    <n v="0"/>
    <n v="0"/>
    <n v="0"/>
    <n v="0"/>
    <n v="0"/>
    <n v="0"/>
    <n v="0"/>
    <n v="17511.660000000003"/>
    <n v="0"/>
    <n v="0"/>
  </r>
  <r>
    <x v="906"/>
    <s v="Durgaashtan 2"/>
    <s v="vlc"/>
    <s v="Indirect"/>
    <n v="576.09999999999991"/>
    <n v="20741.22"/>
    <n v="0"/>
    <n v="0"/>
    <n v="0"/>
    <n v="0"/>
    <n v="0"/>
    <n v="0"/>
    <n v="20741.22"/>
    <n v="0"/>
    <n v="0"/>
    <n v="0"/>
    <n v="0"/>
    <n v="0"/>
    <n v="0"/>
    <n v="0"/>
    <n v="0"/>
    <n v="20741.22"/>
    <n v="0"/>
    <n v="0"/>
  </r>
  <r>
    <x v="907"/>
    <s v="Durgaashtan "/>
    <s v="vlc"/>
    <s v="Indirect"/>
    <n v="702.9"/>
    <n v="22376.700000000004"/>
    <n v="0"/>
    <n v="0"/>
    <n v="0"/>
    <n v="0"/>
    <n v="0"/>
    <n v="0"/>
    <n v="22376.700000000004"/>
    <n v="0"/>
    <n v="0"/>
    <n v="0"/>
    <n v="0"/>
    <n v="0"/>
    <n v="0"/>
    <n v="0"/>
    <n v="0"/>
    <n v="22376.700000000004"/>
    <n v="0"/>
    <n v="0"/>
  </r>
  <r>
    <x v="908"/>
    <s v="DUMRA "/>
    <s v="MPG"/>
    <s v="Direct"/>
    <n v="886.4899999999999"/>
    <n v="34000.480000000003"/>
    <n v="880.30000000000007"/>
    <n v="33900.429292018205"/>
    <n v="7.5"/>
    <n v="286.97624208000002"/>
    <n v="887.80000000000007"/>
    <n v="34187.405534098209"/>
    <n v="34000.480000000003"/>
    <n v="0"/>
    <n v="286.97624208000002"/>
    <n v="186.92553409820539"/>
    <n v="0"/>
    <n v="0"/>
    <n v="0"/>
    <n v="33714"/>
    <n v="0"/>
    <n v="0"/>
    <n v="0"/>
    <n v="0"/>
  </r>
  <r>
    <x v="910"/>
    <s v="BALHA"/>
    <s v="MPG"/>
    <s v="Direct"/>
    <n v="1008.3699999999999"/>
    <n v="42036.29"/>
    <n v="998.09999999999968"/>
    <n v="41977.001543767408"/>
    <n v="12.9"/>
    <n v="541.54430748000004"/>
    <n v="1010.9999999999997"/>
    <n v="42518.545851247407"/>
    <n v="42036.29"/>
    <n v="0"/>
    <n v="541.54430748000004"/>
    <n v="482.2558512474061"/>
    <n v="0"/>
    <n v="0"/>
    <n v="0"/>
    <n v="41495"/>
    <n v="0"/>
    <n v="0"/>
    <n v="0"/>
    <s v="Release1"/>
  </r>
  <r>
    <x v="911"/>
    <s v="BHARIHAR"/>
    <s v="MPG"/>
    <s v="Direct"/>
    <n v="172.13"/>
    <n v="6463.3499999999995"/>
    <n v="170.8"/>
    <n v="6475.6302690145003"/>
    <n v="0.7"/>
    <n v="25.925573520000007"/>
    <n v="171.5"/>
    <n v="6501.5558425345007"/>
    <n v="6463.3499999999995"/>
    <n v="0"/>
    <n v="25.925573520000007"/>
    <n v="38.205842534501244"/>
    <n v="0"/>
    <n v="0"/>
    <n v="0"/>
    <n v="6437"/>
    <n v="0"/>
    <n v="0"/>
    <n v="0"/>
    <n v="0"/>
  </r>
  <r>
    <x v="912"/>
    <s v="BARA"/>
    <s v="MPG"/>
    <s v="Direct"/>
    <n v="176.45"/>
    <n v="7732.0800000000017"/>
    <n v="175.00000000000003"/>
    <n v="7665.5798743612013"/>
    <n v="2"/>
    <n v="88.887811662500013"/>
    <n v="177.00000000000003"/>
    <n v="7754.4676860237014"/>
    <n v="7732.0800000000017"/>
    <n v="0"/>
    <n v="88.887811662500013"/>
    <n v="22.387686023699644"/>
    <n v="0"/>
    <n v="0"/>
    <n v="0"/>
    <n v="7643"/>
    <n v="0"/>
    <n v="0"/>
    <n v="0"/>
    <n v="0"/>
  </r>
  <r>
    <x v="913"/>
    <s v="KABILASHI"/>
    <s v="MPG"/>
    <s v="Direct"/>
    <n v="217.20999999999998"/>
    <n v="11393.89"/>
    <n v="132.10000000000002"/>
    <n v="6818.5705373883911"/>
    <n v="47.900000000000006"/>
    <n v="2801.47295272058"/>
    <n v="180.00000000000003"/>
    <n v="9620.043490108972"/>
    <n v="9620.043490108972"/>
    <n v="0"/>
    <n v="278.71378119378005"/>
    <n v="0"/>
    <n v="0"/>
    <n v="0"/>
    <n v="0"/>
    <n v="6819"/>
    <n v="2523"/>
    <n v="0"/>
    <n v="1773"/>
    <n v="0"/>
  </r>
  <r>
    <x v="914"/>
    <s v="SULTANPUR"/>
    <s v="vlc"/>
    <s v="Indirect"/>
    <n v="224.13"/>
    <n v="10009.400000000001"/>
    <n v="0"/>
    <n v="0"/>
    <n v="0"/>
    <n v="0"/>
    <n v="0"/>
    <n v="0"/>
    <n v="10009.400000000001"/>
    <n v="0"/>
    <n v="0"/>
    <n v="0"/>
    <n v="0"/>
    <n v="0"/>
    <n v="0"/>
    <n v="0"/>
    <n v="0"/>
    <n v="10009.400000000001"/>
    <n v="0"/>
    <n v="0"/>
  </r>
  <r>
    <x v="915"/>
    <s v="BHUSNA"/>
    <s v="MPG"/>
    <s v="Direct"/>
    <n v="162"/>
    <n v="7306.6400000000021"/>
    <n v="161.5"/>
    <n v="7283.6882392098014"/>
    <n v="0"/>
    <n v="0"/>
    <n v="161.5"/>
    <n v="7283.6882392098014"/>
    <n v="7283.6882392098014"/>
    <n v="0"/>
    <n v="0"/>
    <n v="0"/>
    <n v="0"/>
    <n v="0"/>
    <n v="0"/>
    <n v="7284"/>
    <n v="0"/>
    <n v="0"/>
    <n v="23"/>
    <n v="0"/>
  </r>
  <r>
    <x v="916"/>
    <s v="SUKUMARPUR"/>
    <s v="MPG"/>
    <s v="Direct"/>
    <n v="501.98999999999995"/>
    <n v="24604.620000000003"/>
    <n v="501.40000000000003"/>
    <n v="24306.823146271603"/>
    <n v="0"/>
    <n v="0"/>
    <n v="501.40000000000003"/>
    <n v="24306.823146271603"/>
    <n v="24306.823146271603"/>
    <n v="0"/>
    <n v="0"/>
    <n v="0"/>
    <n v="0"/>
    <n v="0"/>
    <n v="0"/>
    <n v="24307"/>
    <n v="0"/>
    <n v="0"/>
    <n v="298"/>
    <n v="0"/>
  </r>
  <r>
    <x v="917"/>
    <s v="SISAUNA VLC"/>
    <s v="vlc"/>
    <s v="Indirect"/>
    <n v="413.40999999999997"/>
    <n v="15986.170000000002"/>
    <n v="0"/>
    <n v="0"/>
    <n v="0"/>
    <n v="0"/>
    <n v="0"/>
    <n v="0"/>
    <n v="15986.170000000002"/>
    <n v="0"/>
    <n v="0"/>
    <n v="0"/>
    <n v="0"/>
    <n v="0"/>
    <n v="0"/>
    <n v="0"/>
    <n v="0"/>
    <n v="15986.170000000002"/>
    <n v="0"/>
    <n v="0"/>
  </r>
  <r>
    <x v="918"/>
    <s v="Aditya Bishwas "/>
    <s v="vlc"/>
    <s v="Indirect"/>
    <n v="216.77999999999997"/>
    <n v="9887.4599999999991"/>
    <n v="0"/>
    <n v="0"/>
    <n v="0"/>
    <n v="0"/>
    <n v="0"/>
    <n v="0"/>
    <n v="9887.4599999999991"/>
    <n v="0"/>
    <n v="0"/>
    <n v="0"/>
    <n v="0"/>
    <n v="0"/>
    <n v="0"/>
    <n v="0"/>
    <n v="0"/>
    <n v="9887.4599999999991"/>
    <n v="0"/>
    <n v="0"/>
  </r>
  <r>
    <x v="919"/>
    <s v="Gomukh Vijaiya"/>
    <s v="MPG"/>
    <s v="Direct"/>
    <n v="169.89999999999998"/>
    <n v="6415.1799999999994"/>
    <n v="168.8"/>
    <n v="6831.0559931759999"/>
    <n v="0"/>
    <n v="0"/>
    <n v="168.8"/>
    <n v="6831.0559931759999"/>
    <n v="6415.1799999999994"/>
    <n v="0"/>
    <n v="0"/>
    <n v="415.87599317600052"/>
    <n v="0"/>
    <n v="0"/>
    <n v="0"/>
    <n v="6415"/>
    <n v="0"/>
    <n v="0"/>
    <n v="0"/>
    <n v="0"/>
  </r>
  <r>
    <x v="920"/>
    <s v="Gomukh Gangauli"/>
    <s v="MPG"/>
    <s v="Direct"/>
    <n v="1090.9000000000001"/>
    <n v="44054.49"/>
    <n v="1091.2"/>
    <n v="43651.496792280093"/>
    <n v="0"/>
    <n v="0"/>
    <n v="1091.2"/>
    <n v="43651.496792280093"/>
    <n v="43651.496792280093"/>
    <n v="0"/>
    <n v="0"/>
    <n v="0"/>
    <n v="0"/>
    <n v="0"/>
    <n v="0"/>
    <n v="43654"/>
    <n v="0"/>
    <n v="0"/>
    <n v="400"/>
    <n v="0"/>
  </r>
  <r>
    <x v="921"/>
    <s v="Gomukh KARRAKH"/>
    <s v="MPG"/>
    <s v="Direct"/>
    <n v="391.09999999999997"/>
    <n v="15106.429999999998"/>
    <n v="404.30000000000013"/>
    <n v="15472.906818813675"/>
    <n v="0"/>
    <n v="0"/>
    <n v="404.30000000000013"/>
    <n v="15472.906818813675"/>
    <n v="15106.429999999998"/>
    <n v="0"/>
    <n v="0"/>
    <n v="366.4768188136768"/>
    <n v="0"/>
    <n v="0"/>
    <n v="0"/>
    <n v="15106"/>
    <n v="0"/>
    <n v="0"/>
    <n v="0"/>
    <n v="0"/>
  </r>
  <r>
    <x v="922"/>
    <s v="MANDA"/>
    <s v="vlc"/>
    <s v="Indirect"/>
    <n v="58.3"/>
    <n v="2292.0799999999995"/>
    <n v="0"/>
    <n v="0"/>
    <n v="0"/>
    <n v="0"/>
    <n v="0"/>
    <n v="0"/>
    <n v="2292.0799999999995"/>
    <n v="0"/>
    <n v="0"/>
    <n v="0"/>
    <n v="0"/>
    <n v="0"/>
    <n v="0"/>
    <n v="0"/>
    <n v="0"/>
    <n v="2292.0799999999995"/>
    <n v="0"/>
    <n v="0"/>
  </r>
  <r>
    <x v="923"/>
    <s v="HAWASPUR"/>
    <s v="vlc"/>
    <s v="Indirect"/>
    <n v="93.6"/>
    <n v="3356.5400000000004"/>
    <n v="0"/>
    <n v="0"/>
    <n v="0"/>
    <n v="0"/>
    <n v="0"/>
    <n v="0"/>
    <n v="3356.5400000000004"/>
    <n v="0"/>
    <n v="0"/>
    <n v="0"/>
    <n v="0"/>
    <n v="0"/>
    <n v="0"/>
    <n v="0"/>
    <n v="0"/>
    <n v="3356.5400000000004"/>
    <n v="0"/>
    <n v="0"/>
  </r>
  <r>
    <x v="924"/>
    <s v="Gomukh Manda"/>
    <s v="MPG"/>
    <s v="Direct"/>
    <n v="417.5"/>
    <n v="16619.68"/>
    <n v="410.29999999999995"/>
    <n v="16433.219357280002"/>
    <n v="0"/>
    <n v="0"/>
    <n v="410.29999999999995"/>
    <n v="16433.219357280002"/>
    <n v="16433.219357280002"/>
    <n v="0"/>
    <n v="0"/>
    <n v="0"/>
    <n v="0"/>
    <n v="0"/>
    <n v="0"/>
    <n v="16433"/>
    <n v="0"/>
    <n v="0"/>
    <n v="187"/>
    <n v="0"/>
  </r>
  <r>
    <x v="1011"/>
    <s v="Fateha"/>
    <s v="vlc"/>
    <s v="Indirect"/>
    <n v="572.79999999999995"/>
    <n v="20974.809999999998"/>
    <n v="0"/>
    <n v="0"/>
    <n v="0"/>
    <n v="0"/>
    <n v="0"/>
    <n v="0"/>
    <n v="20974.809999999998"/>
    <n v="0"/>
    <n v="0"/>
    <n v="0"/>
    <n v="0"/>
    <n v="0"/>
    <n v="0"/>
    <n v="0"/>
    <n v="0"/>
    <n v="20974.809999999998"/>
    <n v="0"/>
    <n v="0"/>
  </r>
  <r>
    <x v="960"/>
    <s v="GOMUKH CHATAUNA W-2"/>
    <s v="MPG"/>
    <s v="Direct"/>
    <n v="249.00000000000003"/>
    <n v="13667.319999999998"/>
    <n v="247.99999999999997"/>
    <n v="13880.637748025401"/>
    <n v="0"/>
    <n v="0"/>
    <n v="247.99999999999997"/>
    <n v="13880.637748025401"/>
    <n v="13667.319999999998"/>
    <n v="0"/>
    <n v="0"/>
    <n v="213.31774802540349"/>
    <n v="0"/>
    <n v="0"/>
    <n v="0"/>
    <n v="13667"/>
    <n v="0"/>
    <n v="0"/>
    <n v="0"/>
    <n v="0"/>
  </r>
  <r>
    <x v="961"/>
    <s v="GOMUKH TEERA JATMALPUR"/>
    <s v="MPG"/>
    <s v="Direct"/>
    <n v="220.60000000000008"/>
    <n v="9145.4499999999989"/>
    <n v="215.3"/>
    <n v="9034.2677000994809"/>
    <n v="5"/>
    <n v="204.55532341200001"/>
    <n v="220.3"/>
    <n v="9238.8230235114806"/>
    <n v="9145.4499999999989"/>
    <n v="0"/>
    <n v="204.55532341200001"/>
    <n v="93.373023511481733"/>
    <n v="0"/>
    <n v="0"/>
    <n v="0"/>
    <n v="8941"/>
    <n v="0"/>
    <n v="0"/>
    <n v="0"/>
    <n v="0"/>
  </r>
  <r>
    <x v="962"/>
    <s v="GOMUKH GOBARSITTHA"/>
    <s v="MPG"/>
    <s v="Direct"/>
    <n v="287.30000000000013"/>
    <n v="12099.079999999998"/>
    <n v="286.40000000000003"/>
    <n v="12095.384491115601"/>
    <n v="2.6000000000000005"/>
    <n v="106.09826717519999"/>
    <n v="289.00000000000006"/>
    <n v="12201.482758290802"/>
    <n v="12099.079999999998"/>
    <n v="0"/>
    <n v="106.09826717519999"/>
    <n v="102.40275829080383"/>
    <n v="0"/>
    <n v="0"/>
    <n v="0"/>
    <n v="11993"/>
    <n v="0"/>
    <n v="0"/>
    <n v="0"/>
    <n v="0"/>
  </r>
  <r>
    <x v="963"/>
    <s v="GOMUKH UGHRA"/>
    <s v="MPG"/>
    <s v="Direct"/>
    <n v="167"/>
    <n v="7664.4699999999993"/>
    <n v="165.59999999999997"/>
    <n v="7777.7642952581"/>
    <n v="0.7"/>
    <n v="42.218150461199997"/>
    <n v="166.29999999999995"/>
    <n v="7819.9824457192999"/>
    <n v="7664.4699999999993"/>
    <n v="0"/>
    <n v="42.218150461199997"/>
    <n v="155.51244571930056"/>
    <n v="0"/>
    <n v="0"/>
    <n v="0"/>
    <n v="7622"/>
    <n v="0"/>
    <n v="0"/>
    <n v="0"/>
    <n v="0"/>
  </r>
  <r>
    <x v="964"/>
    <s v="GOMUKH BALUAHA"/>
    <s v="MPG"/>
    <s v="Direct"/>
    <n v="175.99999999999994"/>
    <n v="7473.0699999999988"/>
    <n v="169.79999999999995"/>
    <n v="7143.4069517306907"/>
    <n v="2.4"/>
    <n v="96.270261120000015"/>
    <n v="172.19999999999996"/>
    <n v="7239.6772128506909"/>
    <n v="7239.6772128506909"/>
    <n v="0"/>
    <n v="96.270261120000015"/>
    <n v="0"/>
    <n v="0"/>
    <n v="0"/>
    <n v="0"/>
    <n v="7143"/>
    <n v="0"/>
    <n v="0"/>
    <n v="234"/>
    <n v="0"/>
  </r>
  <r>
    <x v="965"/>
    <s v="GOMUKH DHAB WEST"/>
    <s v="vlc"/>
    <s v="Indirect"/>
    <n v="75.800000000000011"/>
    <n v="3017.9700000000003"/>
    <n v="0"/>
    <n v="0"/>
    <n v="0"/>
    <n v="0"/>
    <n v="0"/>
    <n v="0"/>
    <n v="3017.9700000000003"/>
    <n v="0"/>
    <n v="0"/>
    <n v="0"/>
    <n v="0"/>
    <n v="0"/>
    <n v="0"/>
    <n v="0"/>
    <n v="0"/>
    <n v="3017.9700000000003"/>
    <n v="0"/>
    <n v="0"/>
  </r>
  <r>
    <x v="967"/>
    <s v="GOMUKH HAYAGHAT WEST"/>
    <s v="vlc"/>
    <s v="Indirect"/>
    <n v="5527.0000000000018"/>
    <n v="221747.33999999994"/>
    <n v="0"/>
    <n v="0"/>
    <n v="0"/>
    <n v="0"/>
    <n v="0"/>
    <n v="0"/>
    <n v="221747.33999999994"/>
    <n v="0"/>
    <n v="0"/>
    <n v="0"/>
    <n v="0"/>
    <n v="0"/>
    <n v="0"/>
    <n v="0"/>
    <n v="0"/>
    <n v="221747.33999999994"/>
    <n v="0"/>
    <n v="0"/>
  </r>
  <r>
    <x v="968"/>
    <s v="GOMUKH GHOGHARAHA"/>
    <s v="vlc"/>
    <s v="Indirect"/>
    <n v="964.89999999999986"/>
    <n v="38596"/>
    <n v="0"/>
    <n v="0"/>
    <n v="0"/>
    <n v="0"/>
    <n v="0"/>
    <n v="0"/>
    <n v="38596"/>
    <n v="0"/>
    <n v="0"/>
    <n v="0"/>
    <n v="0"/>
    <n v="0"/>
    <n v="0"/>
    <n v="0"/>
    <n v="0"/>
    <n v="38596"/>
    <n v="0"/>
    <n v="0"/>
  </r>
  <r>
    <x v="1012"/>
    <s v="Gomukh Jatmalpur Dhab"/>
    <s v="vlc"/>
    <s v="Indirect"/>
    <n v="93.9"/>
    <n v="4860.04"/>
    <n v="0"/>
    <n v="0"/>
    <n v="0"/>
    <n v="0"/>
    <n v="0"/>
    <n v="0"/>
    <n v="4860.04"/>
    <n v="0"/>
    <n v="0"/>
    <n v="0"/>
    <n v="0"/>
    <n v="0"/>
    <n v="0"/>
    <n v="0"/>
    <n v="0"/>
    <n v="4860.04"/>
    <n v="0"/>
    <n v="0"/>
  </r>
  <r>
    <x v="969"/>
    <s v="GOMUKH MORWARA"/>
    <s v="MPG"/>
    <s v="Direct"/>
    <n v="316.2"/>
    <n v="12932.26"/>
    <n v="311.99999999999994"/>
    <n v="12627.808141830808"/>
    <n v="0"/>
    <n v="0"/>
    <n v="311.99999999999994"/>
    <n v="12627.808141830808"/>
    <n v="12627.808141830808"/>
    <n v="0"/>
    <n v="0"/>
    <n v="0"/>
    <n v="0"/>
    <n v="0"/>
    <n v="0"/>
    <n v="12628"/>
    <n v="0"/>
    <n v="0"/>
    <n v="304"/>
    <n v="0"/>
  </r>
  <r>
    <x v="970"/>
    <s v="GOMUKH NIYAMCHAKHAIDAR"/>
    <s v="vlc"/>
    <s v="Indirect"/>
    <n v="316.20000000000005"/>
    <n v="11351.210000000001"/>
    <n v="0"/>
    <n v="0"/>
    <n v="0"/>
    <n v="0"/>
    <n v="0"/>
    <n v="0"/>
    <n v="11351.210000000001"/>
    <n v="0"/>
    <n v="0"/>
    <n v="0"/>
    <n v="0"/>
    <n v="0"/>
    <n v="0"/>
    <n v="0"/>
    <n v="0"/>
    <n v="11351.210000000001"/>
    <n v="0"/>
    <n v="0"/>
  </r>
  <r>
    <x v="971"/>
    <s v="GOMUKH JATMAPUR WARD 1"/>
    <s v="vlc"/>
    <s v="Indirect"/>
    <n v="820.09999999999991"/>
    <n v="29350.909999999996"/>
    <n v="0"/>
    <n v="0"/>
    <n v="0"/>
    <n v="0"/>
    <n v="0"/>
    <n v="0"/>
    <n v="29350.909999999996"/>
    <n v="0"/>
    <n v="0"/>
    <n v="0"/>
    <n v="0"/>
    <n v="0"/>
    <n v="0"/>
    <n v="0"/>
    <n v="0"/>
    <n v="29350.909999999996"/>
    <n v="0"/>
    <n v="0"/>
  </r>
  <r>
    <x v="972"/>
    <s v="GOMUKH JATMALPUR"/>
    <s v="MPG"/>
    <s v="Direct"/>
    <n v="143.9"/>
    <n v="6150.1599999999989"/>
    <n v="143.10000000000002"/>
    <n v="6438.8706294575986"/>
    <n v="3"/>
    <n v="126.83357643539001"/>
    <n v="146.10000000000002"/>
    <n v="6565.7042058929883"/>
    <n v="6150.1599999999989"/>
    <n v="0"/>
    <n v="126.83357643539001"/>
    <n v="415.54420589298934"/>
    <n v="0"/>
    <n v="0"/>
    <n v="0"/>
    <n v="6023"/>
    <n v="0"/>
    <n v="0"/>
    <n v="0"/>
    <n v="0"/>
  </r>
  <r>
    <x v="973"/>
    <s v="GOMUKH PURUSHOTTAMPUR WEST"/>
    <s v="vlc"/>
    <s v="Indirect"/>
    <n v="189.59999999999997"/>
    <n v="6873.9400000000005"/>
    <n v="0"/>
    <n v="0"/>
    <n v="0"/>
    <n v="0"/>
    <n v="0"/>
    <n v="0"/>
    <n v="6873.9400000000005"/>
    <n v="0"/>
    <n v="0"/>
    <n v="0"/>
    <n v="0"/>
    <n v="0"/>
    <n v="0"/>
    <n v="0"/>
    <n v="0"/>
    <n v="6873.9400000000005"/>
    <n v="0"/>
    <n v="0"/>
  </r>
  <r>
    <x v="974"/>
    <s v="GOMUKH NIMA CHAKHAIDER"/>
    <s v="vlc"/>
    <s v="Indirect"/>
    <n v="97.7"/>
    <n v="3216.61"/>
    <n v="0"/>
    <n v="0"/>
    <n v="0"/>
    <n v="0"/>
    <n v="0"/>
    <n v="0"/>
    <n v="3216.61"/>
    <n v="0"/>
    <n v="0"/>
    <n v="0"/>
    <n v="0"/>
    <n v="0"/>
    <n v="0"/>
    <n v="0"/>
    <n v="0"/>
    <n v="3216.61"/>
    <n v="0"/>
    <n v="0"/>
  </r>
  <r>
    <x v="975"/>
    <s v="Gomukh Barhetta"/>
    <s v="vlc"/>
    <s v="Indirect"/>
    <n v="1162.9999999999998"/>
    <n v="44752.889999999992"/>
    <n v="0"/>
    <n v="0"/>
    <n v="0"/>
    <n v="0"/>
    <n v="0"/>
    <n v="0"/>
    <n v="44752.889999999992"/>
    <n v="0"/>
    <n v="0"/>
    <n v="0"/>
    <n v="0"/>
    <n v="0"/>
    <n v="0"/>
    <n v="0"/>
    <n v="0"/>
    <n v="44752.889999999992"/>
    <n v="0"/>
    <n v="0"/>
  </r>
  <r>
    <x v="976"/>
    <s v="GOMUKH  MANORATHPUR"/>
    <s v="vlc"/>
    <s v="Indirect"/>
    <n v="149.19999999999999"/>
    <n v="6485.78"/>
    <n v="0"/>
    <n v="0"/>
    <n v="0"/>
    <n v="0"/>
    <n v="0"/>
    <n v="0"/>
    <n v="6485.78"/>
    <n v="0"/>
    <n v="0"/>
    <n v="0"/>
    <n v="0"/>
    <n v="0"/>
    <n v="0"/>
    <n v="0"/>
    <n v="0"/>
    <n v="6485.78"/>
    <n v="0"/>
    <n v="0"/>
  </r>
  <r>
    <x v="977"/>
    <s v="GOMUKH BHADOGHAT"/>
    <s v="vlc"/>
    <s v="Indirect"/>
    <n v="952.89999999999986"/>
    <n v="38837.42"/>
    <n v="0"/>
    <n v="0"/>
    <n v="0"/>
    <n v="0"/>
    <n v="0"/>
    <n v="0"/>
    <n v="38837.42"/>
    <n v="0"/>
    <n v="0"/>
    <n v="0"/>
    <n v="0"/>
    <n v="0"/>
    <n v="0"/>
    <n v="0"/>
    <n v="0"/>
    <n v="38837.42"/>
    <n v="0"/>
    <n v="0"/>
  </r>
  <r>
    <x v="978"/>
    <s v="GOMUKH BALUAHA"/>
    <s v="vlc"/>
    <s v="Indirect"/>
    <n v="189.79999999999998"/>
    <n v="6199.34"/>
    <n v="0"/>
    <n v="0"/>
    <n v="0"/>
    <n v="0"/>
    <n v="0"/>
    <n v="0"/>
    <n v="6199.34"/>
    <n v="0"/>
    <n v="0"/>
    <n v="0"/>
    <n v="0"/>
    <n v="0"/>
    <n v="0"/>
    <n v="0"/>
    <n v="0"/>
    <n v="6199.34"/>
    <n v="0"/>
    <n v="0"/>
  </r>
  <r>
    <x v="0"/>
    <s v="Gomukh Kumbhi"/>
    <s v="MPG"/>
    <s v="Direct"/>
    <n v="721.10000000000014"/>
    <n v="27875.420066730003"/>
    <n v="719.53999999999985"/>
    <n v="27877.28281201225"/>
    <n v="2.2699999999999996"/>
    <n v="84.469845837000008"/>
    <n v="721.80999999999983"/>
    <n v="27961.752657849251"/>
    <n v="27875.420066730003"/>
    <n v="0"/>
    <n v="84.469845837000008"/>
    <n v="86.332591119247809"/>
    <n v="0"/>
    <n v="0"/>
    <n v="0"/>
    <n v="27791"/>
    <n v="0"/>
    <n v="0"/>
    <n v="0"/>
    <n v="0"/>
  </r>
  <r>
    <x v="1"/>
    <s v="Gomukh Amba"/>
    <s v="MPG"/>
    <s v="Direct"/>
    <n v="30.2"/>
    <n v="947.54215127625025"/>
    <n v="30.000000000000004"/>
    <n v="940.73025225900017"/>
    <n v="0"/>
    <n v="0"/>
    <n v="30.000000000000004"/>
    <n v="940.73025225900017"/>
    <n v="940.73025225900017"/>
    <n v="0"/>
    <n v="0"/>
    <n v="0"/>
    <n v="0"/>
    <n v="500"/>
    <n v="0"/>
    <n v="441"/>
    <n v="0"/>
    <n v="0"/>
    <n v="7"/>
    <n v="0"/>
  </r>
  <r>
    <x v="2"/>
    <s v="Gomukh Jagdar                                                                                       "/>
    <s v="MPG"/>
    <s v="Direct"/>
    <n v="852.60000000000014"/>
    <n v="32957.983657092002"/>
    <n v="898.64999999999986"/>
    <n v="35214.811860860151"/>
    <n v="11.38"/>
    <n v="425.432357325"/>
    <n v="910.02999999999986"/>
    <n v="35640.244218185151"/>
    <n v="32957.983657092002"/>
    <n v="0"/>
    <n v="425.432357325"/>
    <n v="2682.2605610931496"/>
    <n v="0"/>
    <n v="0"/>
    <n v="0"/>
    <n v="32533"/>
    <n v="0"/>
    <n v="0"/>
    <n v="0"/>
    <s v="Release1"/>
  </r>
  <r>
    <x v="3"/>
    <s v="Gomukh Goriyari"/>
    <s v="MPG"/>
    <s v="Direct"/>
    <n v="1284.1000000000001"/>
    <n v="49635.276488418029"/>
    <n v="840"/>
    <n v="32155.951229999999"/>
    <n v="439.4"/>
    <n v="17832.826154789997"/>
    <n v="1279.4000000000001"/>
    <n v="49988.777384789995"/>
    <n v="49635.276488418029"/>
    <n v="0"/>
    <n v="252.70900560000004"/>
    <n v="353.50089637196652"/>
    <n v="0"/>
    <n v="0"/>
    <n v="0"/>
    <n v="31802"/>
    <n v="17580"/>
    <n v="0"/>
    <n v="1"/>
    <n v="0"/>
  </r>
  <r>
    <x v="4"/>
    <s v="Mohanpur - Chandan"/>
    <s v="vlc"/>
    <s v="Indirect"/>
    <n v="66.099999999999994"/>
    <n v="2945.624047497"/>
    <n v="0"/>
    <n v="0"/>
    <n v="0"/>
    <n v="0"/>
    <n v="0"/>
    <n v="0"/>
    <n v="2945.624047497"/>
    <n v="0"/>
    <n v="0"/>
    <n v="0"/>
    <n v="0"/>
    <n v="0"/>
    <n v="0"/>
    <n v="0"/>
    <n v="0"/>
    <n v="2945.624047497"/>
    <n v="0"/>
    <n v="0"/>
  </r>
  <r>
    <x v="5"/>
    <s v="Birpur-2 - Pankaj"/>
    <s v="vlc"/>
    <s v="Indirect"/>
    <n v="294.10000000000002"/>
    <n v="10271.459749351499"/>
    <n v="0"/>
    <n v="0"/>
    <n v="0"/>
    <n v="0"/>
    <n v="0"/>
    <n v="0"/>
    <n v="10271.459749351499"/>
    <n v="0"/>
    <n v="0"/>
    <n v="0"/>
    <n v="0"/>
    <n v="0"/>
    <n v="0"/>
    <n v="0"/>
    <n v="0"/>
    <n v="10271.459749351499"/>
    <n v="0"/>
    <n v="0"/>
  </r>
  <r>
    <x v="6"/>
    <s v="Ekamba - Ashutosh"/>
    <s v="vlc"/>
    <s v="Indirect"/>
    <n v="826.59999999999991"/>
    <n v="30985.636585648041"/>
    <n v="0"/>
    <n v="0"/>
    <n v="0"/>
    <n v="0"/>
    <n v="0"/>
    <n v="0"/>
    <n v="30985.636585648041"/>
    <n v="0"/>
    <n v="0"/>
    <n v="0"/>
    <n v="0"/>
    <n v="0"/>
    <n v="0"/>
    <n v="0"/>
    <n v="0"/>
    <n v="30985.636585648041"/>
    <n v="0"/>
    <n v="0"/>
  </r>
  <r>
    <x v="925"/>
    <s v="Gomukh Dunahi"/>
    <s v="MPG"/>
    <s v="Direct"/>
    <n v="873.3"/>
    <n v="32745.387152784002"/>
    <n v="960.30000000000007"/>
    <n v="36167.935553466006"/>
    <n v="5.6"/>
    <n v="189.38851747200002"/>
    <n v="965.90000000000009"/>
    <n v="36357.324070938004"/>
    <n v="32745.387152784002"/>
    <n v="0"/>
    <n v="189.38851747200002"/>
    <n v="3611.9369181540023"/>
    <n v="0"/>
    <n v="0"/>
    <n v="0"/>
    <n v="32556"/>
    <n v="0"/>
    <n v="0"/>
    <n v="0"/>
    <n v="0"/>
  </r>
  <r>
    <x v="7"/>
    <s v="GOMUKH BIRPUR PASCHIM                                                                               "/>
    <s v="MPG"/>
    <s v="Direct"/>
    <n v="118.89999999999998"/>
    <n v="4919.7166752000012"/>
    <n v="139"/>
    <n v="5671.0498773000008"/>
    <n v="0"/>
    <n v="0"/>
    <n v="139"/>
    <n v="5671.0498773000008"/>
    <n v="4919.7166752000012"/>
    <n v="0"/>
    <n v="0"/>
    <n v="751.33320209999965"/>
    <n v="0"/>
    <n v="500"/>
    <n v="0"/>
    <n v="4420"/>
    <n v="0"/>
    <n v="0"/>
    <n v="0"/>
    <n v="0"/>
  </r>
  <r>
    <x v="8"/>
    <s v="Manish Dairy                                                                                        "/>
    <s v="vlc"/>
    <s v="Indirect"/>
    <n v="9349.5"/>
    <n v="340668.10344630003"/>
    <n v="0"/>
    <n v="0"/>
    <n v="0"/>
    <n v="0"/>
    <n v="0"/>
    <n v="0"/>
    <n v="340668.10344630003"/>
    <n v="0"/>
    <n v="0"/>
    <n v="0"/>
    <n v="0"/>
    <n v="0"/>
    <n v="0"/>
    <n v="0"/>
    <n v="0"/>
    <n v="340668.10344630003"/>
    <n v="0"/>
    <n v="0"/>
  </r>
  <r>
    <x v="1013"/>
    <s v="Gomukh Tulsipur"/>
    <s v="MPG"/>
    <s v="Direct"/>
    <n v="182.2"/>
    <n v="5991.5445682980007"/>
    <n v="182.4"/>
    <n v="6292.314327600001"/>
    <n v="0"/>
    <n v="0"/>
    <n v="182.4"/>
    <n v="6292.314327600001"/>
    <n v="5991.5445682980007"/>
    <n v="0"/>
    <n v="0"/>
    <n v="300.76975930200024"/>
    <n v="0"/>
    <n v="0"/>
    <n v="0"/>
    <n v="5992"/>
    <n v="0"/>
    <n v="0"/>
    <n v="0"/>
    <n v="0"/>
  </r>
  <r>
    <x v="9"/>
    <s v="Gomukh Bhith-02"/>
    <s v="MPG"/>
    <s v="Direct"/>
    <n v="500.90000000000003"/>
    <n v="20422.3860382251"/>
    <n v="120.64"/>
    <n v="4985.9397297328796"/>
    <n v="422.24"/>
    <n v="18267.295254110883"/>
    <n v="542.88"/>
    <n v="23253.234983843762"/>
    <n v="20422.3860382251"/>
    <n v="0"/>
    <n v="0"/>
    <n v="2830.8489456186617"/>
    <n v="0"/>
    <n v="0"/>
    <n v="0"/>
    <n v="2154"/>
    <n v="18268"/>
    <n v="0"/>
    <n v="0"/>
    <n v="0"/>
  </r>
  <r>
    <x v="10"/>
    <s v="Gomukh Sharmatola Sahuri"/>
    <s v="MPG"/>
    <s v="Direct"/>
    <n v="1032"/>
    <n v="40402.855368779994"/>
    <n v="1045.7800000000002"/>
    <n v="40991.10838043323"/>
    <n v="20.32"/>
    <n v="1004.1015227024402"/>
    <n v="1066.1000000000001"/>
    <n v="41995.20990313567"/>
    <n v="40402.855368779994"/>
    <n v="0"/>
    <n v="0"/>
    <n v="1592.3545343556762"/>
    <n v="0"/>
    <n v="0"/>
    <n v="0"/>
    <n v="39399"/>
    <n v="1004"/>
    <n v="0"/>
    <n v="0"/>
    <s v="Release1"/>
  </r>
  <r>
    <x v="11"/>
    <s v="Sangat- Sanjeev Kumar"/>
    <s v="vlc"/>
    <s v="Indirect"/>
    <n v="150.5"/>
    <n v="5265.9447066254997"/>
    <n v="0"/>
    <n v="0"/>
    <n v="0"/>
    <n v="0"/>
    <n v="0"/>
    <n v="0"/>
    <n v="5265.9447066254997"/>
    <n v="0"/>
    <n v="0"/>
    <n v="0"/>
    <n v="0"/>
    <n v="0"/>
    <n v="0"/>
    <n v="0"/>
    <n v="0"/>
    <n v="5265.9447066254997"/>
    <n v="0"/>
    <n v="0"/>
  </r>
  <r>
    <x v="12"/>
    <s v="Gomukh Garhi Bisanpur"/>
    <s v="MPG"/>
    <s v="Direct"/>
    <n v="134.19999999999999"/>
    <n v="5396.5287246072994"/>
    <n v="154.39999999999998"/>
    <n v="6517.3479252909565"/>
    <n v="3.1099999999999994"/>
    <n v="129.30323247099403"/>
    <n v="157.51"/>
    <n v="6646.6511577619503"/>
    <n v="5396.5287246072994"/>
    <n v="0"/>
    <n v="129.30323247099403"/>
    <n v="1250.1224331546509"/>
    <n v="0"/>
    <n v="500"/>
    <n v="0"/>
    <n v="4767"/>
    <n v="0"/>
    <n v="0"/>
    <n v="0"/>
    <s v="Release1"/>
  </r>
  <r>
    <x v="14"/>
    <s v="Gomukh Barkurwa"/>
    <s v="MPG"/>
    <s v="Direct"/>
    <n v="335.1"/>
    <n v="12394.318006329002"/>
    <n v="185.54"/>
    <n v="6667.6561778214009"/>
    <n v="185.34000000000003"/>
    <n v="7721.0086314567088"/>
    <n v="370.88"/>
    <n v="14388.664809278111"/>
    <n v="12394.318006329002"/>
    <n v="0"/>
    <n v="289.72290355920001"/>
    <n v="1994.3468029491087"/>
    <n v="0"/>
    <n v="0"/>
    <n v="0"/>
    <n v="4672"/>
    <n v="7432"/>
    <n v="0"/>
    <n v="1"/>
    <n v="0"/>
  </r>
  <r>
    <x v="15"/>
    <s v="Kamla- Amarjeet"/>
    <s v="vlc"/>
    <s v="Indirect"/>
    <n v="856.39999999999986"/>
    <n v="27448.955198368501"/>
    <n v="0"/>
    <n v="0"/>
    <n v="0"/>
    <n v="0"/>
    <n v="0"/>
    <n v="0"/>
    <n v="27448.955198368501"/>
    <n v="0"/>
    <n v="0"/>
    <n v="0"/>
    <n v="0"/>
    <n v="0"/>
    <n v="0"/>
    <n v="0"/>
    <n v="0"/>
    <n v="27448.955198368501"/>
    <n v="0"/>
    <n v="0"/>
  </r>
  <r>
    <x v="16"/>
    <s v="Gomukh Goha-02"/>
    <s v="MPG"/>
    <s v="Direct"/>
    <n v="283.79999999999995"/>
    <n v="11512.760355046801"/>
    <n v="357.2"/>
    <n v="14501.47115763"/>
    <n v="0"/>
    <n v="0"/>
    <n v="357.2"/>
    <n v="14501.47115763"/>
    <n v="11512.760355046801"/>
    <n v="0"/>
    <n v="0"/>
    <n v="2988.7108025831985"/>
    <n v="0"/>
    <n v="0"/>
    <n v="0"/>
    <n v="11513"/>
    <n v="0"/>
    <n v="0"/>
    <n v="0"/>
    <n v="0"/>
  </r>
  <r>
    <x v="17"/>
    <s v="Gomukh Cheria Bariarpur"/>
    <s v="MPG"/>
    <s v="Direct"/>
    <n v="1447.3"/>
    <n v="55857.121558080005"/>
    <n v="1426.2700000000002"/>
    <n v="55919.112132388007"/>
    <n v="1.65"/>
    <n v="64.18206681960001"/>
    <n v="1427.9200000000003"/>
    <n v="55983.294199207608"/>
    <n v="55857.121558080005"/>
    <n v="0"/>
    <n v="64.18206681960001"/>
    <n v="126.17264112760313"/>
    <n v="0"/>
    <n v="0"/>
    <n v="0"/>
    <n v="55793"/>
    <n v="0"/>
    <n v="0"/>
    <n v="0"/>
    <n v="0"/>
  </r>
  <r>
    <x v="18"/>
    <s v="Gomukh Rahul Nagar"/>
    <s v="MPG"/>
    <s v="Direct"/>
    <n v="217.5"/>
    <n v="7552.5412534370007"/>
    <n v="295.58"/>
    <n v="12440.923624884203"/>
    <n v="4.0199999999999996"/>
    <n v="186.23076024380001"/>
    <n v="299.59999999999997"/>
    <n v="12627.154385128002"/>
    <n v="7552.5412534370007"/>
    <n v="0"/>
    <n v="186.23076024380001"/>
    <n v="5074.6131316910014"/>
    <n v="0"/>
    <n v="0"/>
    <n v="0"/>
    <n v="7366"/>
    <n v="0"/>
    <n v="0"/>
    <n v="0"/>
    <s v="Release1"/>
  </r>
  <r>
    <x v="19"/>
    <s v="Gomukh Bagraha-01"/>
    <s v="MPG"/>
    <s v="Direct"/>
    <n v="114.39999999999999"/>
    <n v="5110.2054372840012"/>
    <n v="112.1"/>
    <n v="4393.1033632110002"/>
    <n v="0"/>
    <n v="0"/>
    <n v="112.1"/>
    <n v="4393.1033632110002"/>
    <n v="4393.1033632110002"/>
    <n v="0"/>
    <n v="0"/>
    <n v="0"/>
    <n v="0"/>
    <n v="500"/>
    <n v="0"/>
    <n v="3893"/>
    <n v="0"/>
    <n v="0"/>
    <n v="717"/>
    <n v="0"/>
  </r>
  <r>
    <x v="21"/>
    <s v="Gomukh Pirauna"/>
    <s v="MPG"/>
    <s v="Direct"/>
    <n v="194.60000000000002"/>
    <n v="7240.0268635740013"/>
    <n v="207.7"/>
    <n v="7857.7177857411825"/>
    <n v="1.48"/>
    <n v="53.9992320108"/>
    <n v="209.17999999999998"/>
    <n v="7911.7170177519829"/>
    <n v="7240.0268635740013"/>
    <n v="0"/>
    <n v="53.9992320108"/>
    <n v="671.69015417798164"/>
    <n v="0"/>
    <n v="500"/>
    <n v="0"/>
    <n v="6686"/>
    <n v="0"/>
    <n v="0"/>
    <n v="0"/>
    <s v="Release1"/>
  </r>
  <r>
    <x v="22"/>
    <s v="Parra- Nagendra Kumar"/>
    <s v="vlc"/>
    <s v="Indirect"/>
    <n v="324.69999999999993"/>
    <n v="11215.605973408503"/>
    <n v="0"/>
    <n v="0"/>
    <n v="0"/>
    <n v="0"/>
    <n v="0"/>
    <n v="0"/>
    <n v="11215.605973408503"/>
    <n v="0"/>
    <n v="0"/>
    <n v="0"/>
    <n v="0"/>
    <n v="0"/>
    <n v="0"/>
    <n v="0"/>
    <n v="0"/>
    <n v="11215.605973408503"/>
    <n v="0"/>
    <n v="0"/>
  </r>
  <r>
    <x v="23"/>
    <s v="Gomukh Basahi"/>
    <s v="MPG"/>
    <s v="Direct"/>
    <n v="815.49999999999989"/>
    <n v="32832.788775000001"/>
    <n v="814.93999999999994"/>
    <n v="32373.140360127953"/>
    <n v="6.6100000000000012"/>
    <n v="264.086364291"/>
    <n v="821.55"/>
    <n v="32637.226724418953"/>
    <n v="32637.226724418953"/>
    <n v="0"/>
    <n v="264.086364291"/>
    <n v="0"/>
    <n v="0"/>
    <n v="0"/>
    <n v="0"/>
    <n v="32372"/>
    <n v="0"/>
    <n v="0"/>
    <n v="197"/>
    <n v="0"/>
  </r>
  <r>
    <x v="24"/>
    <s v="Mohanpur- Mukesh Kumar"/>
    <s v="vlc"/>
    <s v="Indirect"/>
    <n v="622.69999999999993"/>
    <n v="23021.566963365003"/>
    <n v="0"/>
    <n v="0"/>
    <n v="0"/>
    <n v="0"/>
    <n v="0"/>
    <n v="0"/>
    <n v="23021.566963365003"/>
    <n v="0"/>
    <n v="0"/>
    <n v="0"/>
    <n v="0"/>
    <n v="0"/>
    <n v="0"/>
    <n v="0"/>
    <n v="0"/>
    <n v="23021.566963365003"/>
    <n v="0"/>
    <n v="0"/>
  </r>
  <r>
    <x v="25"/>
    <s v="Gomukh Sawantpur"/>
    <s v="MPG"/>
    <s v="Direct"/>
    <n v="1562.9999999999998"/>
    <n v="58435.16179920001"/>
    <n v="1213.9400000000003"/>
    <n v="45230.618821106102"/>
    <n v="4.34"/>
    <n v="156.10938315300001"/>
    <n v="1218.2800000000002"/>
    <n v="45386.728204259103"/>
    <n v="45386.728204259103"/>
    <n v="0"/>
    <n v="156.10938315300001"/>
    <n v="0"/>
    <n v="0"/>
    <n v="0"/>
    <n v="0"/>
    <n v="45230"/>
    <n v="0"/>
    <n v="0"/>
    <n v="13049"/>
    <n v="0"/>
  </r>
  <r>
    <x v="26"/>
    <s v="Maida- Ram Kumar"/>
    <s v="vlc"/>
    <s v="Indirect"/>
    <n v="485.90000000000003"/>
    <n v="19893.516682912101"/>
    <n v="0"/>
    <n v="0"/>
    <n v="0"/>
    <n v="0"/>
    <n v="0"/>
    <n v="0"/>
    <n v="19893.516682912101"/>
    <n v="0"/>
    <n v="0"/>
    <n v="0"/>
    <n v="0"/>
    <n v="0"/>
    <n v="0"/>
    <n v="0"/>
    <n v="0"/>
    <n v="19893.516682912101"/>
    <n v="0"/>
    <n v="0"/>
  </r>
  <r>
    <x v="27"/>
    <s v="Gomukh Aure Bikrampur"/>
    <s v="MPG"/>
    <s v="Direct"/>
    <n v="1139"/>
    <n v="46837.053425130005"/>
    <n v="1149.0999999999997"/>
    <n v="49017.122420794149"/>
    <n v="0"/>
    <n v="0"/>
    <n v="1149.0999999999997"/>
    <n v="49017.122420794149"/>
    <n v="46837.053425130005"/>
    <n v="0"/>
    <n v="0"/>
    <n v="2180.0689956641436"/>
    <n v="0"/>
    <n v="0"/>
    <n v="0"/>
    <n v="46837"/>
    <n v="0"/>
    <n v="0"/>
    <n v="0"/>
    <n v="0"/>
  </r>
  <r>
    <x v="28"/>
    <s v="Manjhaul- Gulshan Kumar"/>
    <s v="vlc"/>
    <s v="Indirect"/>
    <n v="1157.0999999999999"/>
    <n v="43690.369201686"/>
    <n v="0"/>
    <n v="0"/>
    <n v="0"/>
    <n v="0"/>
    <n v="0"/>
    <n v="0"/>
    <n v="43690.369201686"/>
    <n v="0"/>
    <n v="0"/>
    <n v="0"/>
    <n v="0"/>
    <n v="0"/>
    <n v="0"/>
    <n v="0"/>
    <n v="0"/>
    <n v="43690.369201686"/>
    <n v="0"/>
    <n v="0"/>
  </r>
  <r>
    <x v="29"/>
    <s v="Khaira Manjhaul"/>
    <s v="vlc"/>
    <s v="Indirect"/>
    <n v="361.7"/>
    <n v="12664.276073298432"/>
    <n v="0"/>
    <n v="0"/>
    <n v="0"/>
    <n v="0"/>
    <n v="0"/>
    <n v="0"/>
    <n v="12664.276073298432"/>
    <n v="0"/>
    <n v="0"/>
    <n v="0"/>
    <n v="0"/>
    <n v="0"/>
    <n v="0"/>
    <n v="0"/>
    <n v="0"/>
    <n v="12664.276073298432"/>
    <n v="0"/>
    <n v="0"/>
  </r>
  <r>
    <x v="30"/>
    <s v="Mehda Shahpur"/>
    <s v="vlc"/>
    <s v="Indirect"/>
    <n v="561.20000000000005"/>
    <n v="20625.072957382003"/>
    <n v="0"/>
    <n v="0"/>
    <n v="0"/>
    <n v="0"/>
    <n v="0"/>
    <n v="0"/>
    <n v="20625.072957382003"/>
    <n v="0"/>
    <n v="0"/>
    <n v="0"/>
    <n v="0"/>
    <n v="0"/>
    <n v="0"/>
    <n v="0"/>
    <n v="0"/>
    <n v="20625.072957382003"/>
    <n v="0"/>
    <n v="0"/>
  </r>
  <r>
    <x v="31"/>
    <s v="Shri Bhairav Laxmipur"/>
    <s v="MPG"/>
    <s v="Direct"/>
    <n v="204.40000000000003"/>
    <n v="8672.9652766569325"/>
    <n v="171.70999999999998"/>
    <n v="7325.8064534582318"/>
    <n v="0"/>
    <n v="0"/>
    <n v="171.70999999999998"/>
    <n v="7325.8064534582318"/>
    <n v="7325.8064534582318"/>
    <n v="0"/>
    <n v="0"/>
    <n v="0"/>
    <n v="0"/>
    <n v="0"/>
    <n v="0"/>
    <n v="7326"/>
    <n v="0"/>
    <n v="0"/>
    <n v="1347"/>
    <n v="0"/>
  </r>
  <r>
    <x v="32"/>
    <s v="Goapalpur"/>
    <s v="MPG"/>
    <s v="Direct"/>
    <n v="127.10000000000001"/>
    <n v="5158.3426762500003"/>
    <n v="127.69999999999999"/>
    <n v="4979.0984911556106"/>
    <n v="0"/>
    <n v="0"/>
    <n v="127.69999999999999"/>
    <n v="4979.0984911556106"/>
    <n v="4979.0984911556106"/>
    <n v="0"/>
    <n v="0"/>
    <n v="0"/>
    <n v="0"/>
    <n v="500"/>
    <n v="0"/>
    <n v="4479"/>
    <n v="0"/>
    <n v="0"/>
    <n v="179"/>
    <s v="Release1"/>
  </r>
  <r>
    <x v="33"/>
    <s v="Gomukh Akaha"/>
    <s v="MPG"/>
    <s v="Direct"/>
    <n v="211.9"/>
    <n v="7552.8389348520013"/>
    <n v="213.75"/>
    <n v="8001.5697939841511"/>
    <n v="0"/>
    <n v="0"/>
    <n v="213.75"/>
    <n v="8001.5697939841511"/>
    <n v="7552.8389348520013"/>
    <n v="0"/>
    <n v="0"/>
    <n v="448.73085913214982"/>
    <n v="0"/>
    <n v="0"/>
    <n v="0"/>
    <n v="7553"/>
    <n v="0"/>
    <n v="0"/>
    <n v="0"/>
    <s v="Release1"/>
  </r>
  <r>
    <x v="34"/>
    <s v="Gomukh Rajakpur"/>
    <s v="MPG"/>
    <s v="Direct"/>
    <n v="38.6"/>
    <n v="1335.0034667880002"/>
    <n v="39"/>
    <n v="1261.1911091999998"/>
    <n v="0"/>
    <n v="0"/>
    <n v="39"/>
    <n v="1261.1911091999998"/>
    <n v="1261.1911091999998"/>
    <n v="0"/>
    <n v="0"/>
    <n v="0"/>
    <n v="0"/>
    <n v="0"/>
    <n v="0"/>
    <n v="1262"/>
    <n v="0"/>
    <n v="0"/>
    <n v="73"/>
    <n v="0"/>
  </r>
  <r>
    <x v="35"/>
    <s v="Gomukh Mohanpur"/>
    <s v="MPG"/>
    <s v="Direct"/>
    <n v="212.40000000000003"/>
    <n v="8369.2446298499999"/>
    <n v="209.46000000000004"/>
    <n v="8196.5068396502829"/>
    <n v="3.1799999999999997"/>
    <n v="107.47696971525001"/>
    <n v="212.64000000000004"/>
    <n v="8303.9838093655326"/>
    <n v="8303.9838093655326"/>
    <n v="0"/>
    <n v="107.47696971525001"/>
    <n v="0"/>
    <n v="1223"/>
    <n v="0"/>
    <n v="0"/>
    <n v="6974"/>
    <n v="0"/>
    <n v="0"/>
    <n v="65"/>
    <n v="0"/>
  </r>
  <r>
    <x v="36"/>
    <s v="Gomukh Chakka"/>
    <s v="MPG"/>
    <s v="Direct"/>
    <n v="229.8"/>
    <n v="8361.5046825900026"/>
    <n v="227.71999999999997"/>
    <n v="8438.3159550725195"/>
    <n v="1.3700000000000003"/>
    <n v="51.90794651400001"/>
    <n v="229.08999999999997"/>
    <n v="8490.2239015865198"/>
    <n v="8361.5046825900026"/>
    <n v="0"/>
    <n v="51.90794651400001"/>
    <n v="128.71921899651716"/>
    <n v="0"/>
    <n v="0"/>
    <n v="0"/>
    <n v="8310"/>
    <n v="0"/>
    <n v="0"/>
    <n v="0"/>
    <n v="0"/>
  </r>
  <r>
    <x v="37"/>
    <s v="Gamharia"/>
    <s v="vlc"/>
    <s v="Indirect"/>
    <n v="170.8"/>
    <n v="6690.7222785780014"/>
    <n v="0"/>
    <n v="0"/>
    <n v="0"/>
    <n v="0"/>
    <n v="0"/>
    <n v="0"/>
    <n v="6690.7222785780014"/>
    <n v="0"/>
    <n v="0"/>
    <n v="0"/>
    <n v="0"/>
    <n v="0"/>
    <n v="0"/>
    <n v="0"/>
    <n v="0"/>
    <n v="6690.7222785780014"/>
    <n v="0"/>
    <n v="0"/>
  </r>
  <r>
    <x v="38"/>
    <s v="Gomukh Meghaul-02"/>
    <s v="MPG"/>
    <s v="Direct"/>
    <n v="426.29999999999995"/>
    <n v="18712.100161920003"/>
    <n v="424.05"/>
    <n v="19281.729220173445"/>
    <n v="4.8800000000000008"/>
    <n v="201.02156130000006"/>
    <n v="428.93"/>
    <n v="19482.750781473445"/>
    <n v="18712.100161920003"/>
    <n v="0"/>
    <n v="201.02156130000006"/>
    <n v="770.65061955344208"/>
    <n v="0"/>
    <n v="0"/>
    <n v="0"/>
    <n v="18511"/>
    <n v="0"/>
    <n v="0"/>
    <n v="0"/>
    <n v="0"/>
  </r>
  <r>
    <x v="39"/>
    <s v="Gomukh Meida"/>
    <s v="MPG"/>
    <s v="Direct"/>
    <n v="243.3"/>
    <n v="9256.1417784480018"/>
    <n v="243.09999999999997"/>
    <n v="9402.2066178599962"/>
    <n v="0"/>
    <n v="0"/>
    <n v="243.09999999999997"/>
    <n v="9402.2066178599962"/>
    <n v="9256.1417784480018"/>
    <n v="0"/>
    <n v="0"/>
    <n v="146.0648394119944"/>
    <n v="0"/>
    <n v="0"/>
    <n v="0"/>
    <n v="9256"/>
    <n v="0"/>
    <n v="0"/>
    <n v="0"/>
    <n v="0"/>
  </r>
  <r>
    <x v="40"/>
    <s v="PIPARIYA DIH -2"/>
    <s v="MPG"/>
    <s v="Direct"/>
    <n v="2549.7000000000003"/>
    <n v="111168.308131521"/>
    <n v="1453.3999999999999"/>
    <n v="63547.574672538001"/>
    <n v="1100.2"/>
    <n v="48597.630714838007"/>
    <n v="2553.6"/>
    <n v="112145.20538737602"/>
    <n v="111168.308131521"/>
    <n v="0"/>
    <n v="1258.2584969999998"/>
    <n v="976.89725585501583"/>
    <n v="0"/>
    <n v="0"/>
    <n v="0"/>
    <n v="62571"/>
    <n v="47339"/>
    <n v="0"/>
    <n v="0"/>
    <n v="0"/>
  </r>
  <r>
    <x v="41"/>
    <s v="LAL DIYARA -1"/>
    <s v="MPG"/>
    <s v="Direct"/>
    <n v="446.49999999999989"/>
    <n v="17230.099827510003"/>
    <n v="444.40000000000003"/>
    <n v="17196.173534670004"/>
    <n v="0"/>
    <n v="0"/>
    <n v="444.40000000000003"/>
    <n v="17196.173534670004"/>
    <n v="17196.173534670004"/>
    <n v="0"/>
    <n v="0"/>
    <n v="0"/>
    <n v="0"/>
    <n v="0"/>
    <n v="0"/>
    <n v="17196"/>
    <n v="0"/>
    <n v="0"/>
    <n v="34"/>
    <n v="0"/>
  </r>
  <r>
    <x v="42"/>
    <s v="GANGA KINARE KHUTHA"/>
    <s v="vlc"/>
    <s v="Indirect"/>
    <n v="226.3"/>
    <n v="8471.3477834100013"/>
    <n v="0"/>
    <n v="0"/>
    <n v="0"/>
    <n v="0"/>
    <n v="0"/>
    <n v="0"/>
    <n v="8471.3477834100013"/>
    <n v="0"/>
    <n v="0"/>
    <n v="0"/>
    <n v="0"/>
    <n v="0"/>
    <n v="0"/>
    <n v="0"/>
    <n v="0"/>
    <n v="8471.3477834100013"/>
    <n v="0"/>
    <n v="0"/>
  </r>
  <r>
    <x v="982"/>
    <s v="Gomukh ID Khutaha Ganga"/>
    <s v="vlc"/>
    <s v="Indirect"/>
    <n v="122"/>
    <n v="4191.2212319999999"/>
    <n v="0"/>
    <n v="0"/>
    <n v="0"/>
    <n v="0"/>
    <n v="0"/>
    <n v="0"/>
    <n v="4191.2212319999999"/>
    <n v="0"/>
    <n v="0"/>
    <n v="0"/>
    <n v="0"/>
    <n v="0"/>
    <n v="0"/>
    <n v="0"/>
    <n v="0"/>
    <n v="4191.2212319999999"/>
    <n v="0"/>
    <n v="0"/>
  </r>
  <r>
    <x v="43"/>
    <s v="Gomukh ID Khutaha Dhih"/>
    <s v="vlc"/>
    <s v="Indirect"/>
    <n v="1385.4"/>
    <n v="55737.183087907797"/>
    <n v="0"/>
    <n v="0"/>
    <n v="0"/>
    <n v="0"/>
    <n v="0"/>
    <n v="0"/>
    <n v="55737.183087907797"/>
    <n v="0"/>
    <n v="0"/>
    <n v="0"/>
    <n v="0"/>
    <n v="0"/>
    <n v="0"/>
    <n v="0"/>
    <n v="0"/>
    <n v="55737.183087907797"/>
    <n v="0"/>
    <n v="0"/>
  </r>
  <r>
    <x v="44"/>
    <s v="GOMUKH RAHATPUR"/>
    <s v="MPG"/>
    <s v="Direct"/>
    <n v="418.49999999999994"/>
    <n v="15130.390201050002"/>
    <n v="477.4"/>
    <n v="18111.051527640004"/>
    <n v="1.4"/>
    <n v="49.598712000000006"/>
    <n v="478.79999999999995"/>
    <n v="18160.650239640003"/>
    <n v="15130.390201050002"/>
    <n v="0"/>
    <n v="49.598712000000006"/>
    <n v="3030.2600385900005"/>
    <n v="0"/>
    <n v="0"/>
    <n v="0"/>
    <n v="15080"/>
    <n v="0"/>
    <n v="0"/>
    <n v="1"/>
    <n v="0"/>
  </r>
  <r>
    <x v="45"/>
    <s v="KANHAIYA YADAV"/>
    <s v="vlc"/>
    <s v="Indirect"/>
    <n v="238.8"/>
    <n v="9452.0544745200004"/>
    <n v="0"/>
    <n v="0"/>
    <n v="0"/>
    <n v="0"/>
    <n v="0"/>
    <n v="0"/>
    <n v="9452.0544745200004"/>
    <n v="0"/>
    <n v="0"/>
    <n v="0"/>
    <n v="0"/>
    <n v="0"/>
    <n v="0"/>
    <n v="0"/>
    <n v="0"/>
    <n v="9452.0544745200004"/>
    <n v="0"/>
    <n v="0"/>
  </r>
  <r>
    <x v="926"/>
    <s v="Vikash Kumar"/>
    <s v="vlc"/>
    <s v="Indirect"/>
    <n v="346.4"/>
    <n v="14077.772265757201"/>
    <n v="0"/>
    <n v="0"/>
    <n v="0"/>
    <n v="0"/>
    <n v="0"/>
    <n v="0"/>
    <n v="14077.772265757201"/>
    <n v="0"/>
    <n v="0"/>
    <n v="0"/>
    <n v="0"/>
    <n v="0"/>
    <n v="0"/>
    <n v="0"/>
    <n v="0"/>
    <n v="14077.772265757201"/>
    <n v="0"/>
    <n v="0"/>
  </r>
  <r>
    <x v="46"/>
    <s v="GOMUKH  LALDIYARA TIRASHI                                                                           "/>
    <s v="vlc"/>
    <s v="Indirect"/>
    <n v="25114.6"/>
    <n v="991056.47571798018"/>
    <n v="0"/>
    <n v="0"/>
    <n v="0"/>
    <n v="0"/>
    <n v="0"/>
    <n v="0"/>
    <n v="991056.47571798018"/>
    <n v="0"/>
    <n v="0"/>
    <n v="0"/>
    <n v="0"/>
    <n v="0"/>
    <n v="0"/>
    <n v="0"/>
    <n v="0"/>
    <n v="991056.47571798018"/>
    <n v="0"/>
    <s v="Release1"/>
  </r>
  <r>
    <x v="47"/>
    <s v="GOMUKH  LALDIYARA PURBI"/>
    <s v="vlc"/>
    <s v="Indirect"/>
    <n v="25340.699999999997"/>
    <n v="1023992.7303672903"/>
    <n v="0"/>
    <n v="0"/>
    <n v="0"/>
    <n v="0"/>
    <n v="0"/>
    <n v="0"/>
    <n v="1023992.7303672903"/>
    <n v="0"/>
    <n v="0"/>
    <n v="0"/>
    <n v="0"/>
    <n v="0"/>
    <n v="0"/>
    <n v="0"/>
    <n v="0"/>
    <n v="1023992.7303672903"/>
    <n v="0"/>
    <s v="Release1"/>
  </r>
  <r>
    <x v="48"/>
    <s v="GOMUKH RAMCHANDARPUR II"/>
    <s v="MPG"/>
    <s v="Direct"/>
    <n v="4138.1000000000004"/>
    <n v="173906.59585368098"/>
    <n v="3146.0999999999985"/>
    <n v="134201.27966127143"/>
    <n v="34"/>
    <n v="1527.0537825000001"/>
    <n v="3180.0999999999985"/>
    <n v="135728.33344377144"/>
    <n v="135728.33344377144"/>
    <n v="0"/>
    <n v="1527.0537825000001"/>
    <n v="0"/>
    <n v="0"/>
    <n v="0"/>
    <n v="0"/>
    <n v="134199"/>
    <n v="0"/>
    <n v="0"/>
    <n v="38181"/>
    <n v="0"/>
  </r>
  <r>
    <x v="1014"/>
    <s v="WAKIL YADAV VLC"/>
    <s v="vlc"/>
    <s v="Indirect"/>
    <n v="293.5"/>
    <n v="14404.380359826"/>
    <n v="0"/>
    <n v="0"/>
    <n v="0"/>
    <n v="0"/>
    <n v="0"/>
    <n v="0"/>
    <n v="14404.380359826"/>
    <n v="0"/>
    <n v="0"/>
    <n v="0"/>
    <n v="0"/>
    <n v="0"/>
    <n v="0"/>
    <n v="0"/>
    <n v="0"/>
    <n v="14404.380359826"/>
    <n v="0"/>
    <n v="0"/>
  </r>
  <r>
    <x v="49"/>
    <s v="MOHANPUR"/>
    <s v="MPG"/>
    <s v="Direct"/>
    <n v="3927.0000000000005"/>
    <n v="176591.60052482205"/>
    <n v="3524.5"/>
    <n v="157638.63387062191"/>
    <n v="460.3"/>
    <n v="19945.7928372846"/>
    <n v="3984.8"/>
    <n v="177584.4267079065"/>
    <n v="176591.60052482205"/>
    <n v="0"/>
    <n v="1563.3401847214"/>
    <n v="992.82618308445672"/>
    <n v="0"/>
    <n v="0"/>
    <n v="0"/>
    <n v="156646"/>
    <n v="18382"/>
    <n v="0"/>
    <n v="0"/>
    <n v="0"/>
  </r>
  <r>
    <x v="50"/>
    <s v="Juwas"/>
    <s v="MPG"/>
    <s v="Direct"/>
    <n v="939.80000000000007"/>
    <n v="35892.255932610002"/>
    <n v="924.30000000000007"/>
    <n v="34802.997614927306"/>
    <n v="9.6000000000000014"/>
    <n v="354.61244889299996"/>
    <n v="933.90000000000009"/>
    <n v="35157.610063820306"/>
    <n v="35157.610063820306"/>
    <n v="0"/>
    <n v="354.61244889299996"/>
    <n v="0"/>
    <n v="0"/>
    <n v="0"/>
    <n v="0"/>
    <n v="34802"/>
    <n v="0"/>
    <n v="0"/>
    <n v="736"/>
    <n v="0"/>
  </r>
  <r>
    <x v="51"/>
    <s v="Morwariya"/>
    <s v="MPG"/>
    <s v="Direct"/>
    <n v="3343.2999999999997"/>
    <n v="134658.43282638231"/>
    <n v="3306.3100000000004"/>
    <n v="135365.01971257702"/>
    <n v="0"/>
    <n v="0"/>
    <n v="3306.3100000000004"/>
    <n v="135365.01971257702"/>
    <n v="134658.43282638231"/>
    <n v="0"/>
    <n v="0"/>
    <n v="706.58688619470922"/>
    <n v="0"/>
    <n v="0"/>
    <n v="0"/>
    <n v="134658"/>
    <n v="0"/>
    <n v="0"/>
    <n v="0"/>
    <n v="0"/>
  </r>
  <r>
    <x v="52"/>
    <s v="Dumri 2"/>
    <s v="MPG"/>
    <s v="Direct"/>
    <n v="822.39999999999986"/>
    <n v="31726.551618270005"/>
    <n v="819.42000000000007"/>
    <n v="30532.039032169356"/>
    <n v="9.0299999999999976"/>
    <n v="335.89362009299998"/>
    <n v="828.45"/>
    <n v="30867.932652262356"/>
    <n v="30867.932652262356"/>
    <n v="0"/>
    <n v="335.89362009299998"/>
    <n v="0"/>
    <n v="0"/>
    <n v="0"/>
    <n v="0"/>
    <n v="30532"/>
    <n v="0"/>
    <n v="0"/>
    <n v="859"/>
    <n v="0"/>
  </r>
  <r>
    <x v="53"/>
    <s v="Gomukh Jhakhaur"/>
    <s v="MPG"/>
    <s v="Direct"/>
    <n v="607.6"/>
    <n v="25669.721995170003"/>
    <n v="607.26"/>
    <n v="25069.97795080064"/>
    <n v="1.5699999999999998"/>
    <n v="63.819368652000009"/>
    <n v="608.83000000000004"/>
    <n v="25133.797319452638"/>
    <n v="25133.797319452638"/>
    <n v="0"/>
    <n v="63.819368652000009"/>
    <n v="0"/>
    <n v="0"/>
    <n v="0"/>
    <n v="0"/>
    <n v="25070"/>
    <n v="0"/>
    <n v="0"/>
    <n v="536"/>
    <n v="0"/>
  </r>
  <r>
    <x v="54"/>
    <s v="Gomukh Repura"/>
    <s v="MPG"/>
    <s v="Direct"/>
    <n v="736.2"/>
    <n v="27783.613023000005"/>
    <n v="736.19999999999993"/>
    <n v="27885.246707040005"/>
    <n v="0"/>
    <n v="0"/>
    <n v="736.19999999999993"/>
    <n v="27885.246707040005"/>
    <n v="27783.613023000005"/>
    <n v="0"/>
    <n v="0"/>
    <n v="101.63368403999993"/>
    <n v="0"/>
    <n v="0"/>
    <n v="0"/>
    <n v="27784"/>
    <n v="0"/>
    <n v="0"/>
    <n v="0"/>
    <n v="0"/>
  </r>
  <r>
    <x v="55"/>
    <s v="Gomukh Virupur"/>
    <s v="MPG"/>
    <s v="Direct"/>
    <n v="373.3"/>
    <n v="14720.914157250001"/>
    <n v="371.64"/>
    <n v="14867.444555124404"/>
    <n v="1.72"/>
    <n v="64.815133206000013"/>
    <n v="373.36"/>
    <n v="14932.259688330405"/>
    <n v="14720.914157250001"/>
    <n v="0"/>
    <n v="64.815133206000013"/>
    <n v="211.34553108040382"/>
    <n v="0"/>
    <n v="0"/>
    <n v="0"/>
    <n v="14656"/>
    <n v="0"/>
    <n v="0"/>
    <n v="0"/>
    <s v="Release1"/>
  </r>
  <r>
    <x v="56"/>
    <s v="Gomukh Diyarapipariya                                                                               "/>
    <s v="MPG"/>
    <s v="Direct"/>
    <n v="902.80000000000007"/>
    <n v="40049.705997254401"/>
    <n v="901.87000000000012"/>
    <n v="39930.953016703061"/>
    <n v="10.43"/>
    <n v="469.03949997797599"/>
    <n v="912.30000000000007"/>
    <n v="40399.992516681035"/>
    <n v="40049.705997254401"/>
    <n v="0"/>
    <n v="469.03949997797599"/>
    <n v="350.28651942663419"/>
    <n v="0"/>
    <n v="0"/>
    <n v="0"/>
    <n v="39581"/>
    <n v="0"/>
    <n v="0"/>
    <n v="0"/>
    <n v="0"/>
  </r>
  <r>
    <x v="57"/>
    <s v="TAJPUR"/>
    <s v="MPG"/>
    <s v="Direct"/>
    <n v="966.1"/>
    <n v="40964.703861777205"/>
    <n v="945.85"/>
    <n v="39167.005168259537"/>
    <n v="12.270000000000001"/>
    <n v="477.93535574400005"/>
    <n v="958.12"/>
    <n v="39644.940524003534"/>
    <n v="39644.940524003534"/>
    <n v="0"/>
    <n v="477.93535574400005"/>
    <n v="0"/>
    <n v="0"/>
    <n v="0"/>
    <n v="0"/>
    <n v="39169"/>
    <n v="0"/>
    <n v="0"/>
    <n v="1318"/>
    <n v="0"/>
  </r>
  <r>
    <x v="58"/>
    <s v="PATHUA"/>
    <s v="MPG"/>
    <s v="Direct"/>
    <n v="1503.8000000000004"/>
    <n v="65420.534220268608"/>
    <n v="1555"/>
    <n v="68999.17847115999"/>
    <n v="29.5"/>
    <n v="1542.9734124650001"/>
    <n v="1584.5"/>
    <n v="70542.151883624989"/>
    <n v="65420.534220268608"/>
    <n v="0"/>
    <n v="1506.012356465"/>
    <n v="5121.6176633563809"/>
    <n v="0"/>
    <n v="0"/>
    <n v="0"/>
    <n v="63878"/>
    <n v="37"/>
    <n v="0"/>
    <n v="0"/>
    <n v="0"/>
  </r>
  <r>
    <x v="59"/>
    <s v="LODIYA"/>
    <s v="MPG"/>
    <s v="Direct"/>
    <n v="641.1"/>
    <n v="25966.17890676"/>
    <n v="640.81999999999994"/>
    <n v="25110.268576808525"/>
    <n v="5.56"/>
    <n v="226.27550046600001"/>
    <n v="646.37999999999988"/>
    <n v="25336.544077274524"/>
    <n v="25336.544077274524"/>
    <n v="0"/>
    <n v="226.27550046600001"/>
    <n v="0"/>
    <n v="0"/>
    <n v="0"/>
    <n v="0"/>
    <n v="25111"/>
    <n v="0"/>
    <n v="0"/>
    <n v="629"/>
    <n v="0"/>
  </r>
  <r>
    <x v="60"/>
    <s v="ADARSH LAXMIPUR-3"/>
    <s v="MPG"/>
    <s v="Direct"/>
    <n v="205.89999999999998"/>
    <n v="8551.5651103079999"/>
    <n v="229.66"/>
    <n v="9610.022058332841"/>
    <n v="1.99"/>
    <n v="80.385183512249995"/>
    <n v="231.65"/>
    <n v="9690.4072418450905"/>
    <n v="8551.5651103079999"/>
    <n v="0"/>
    <n v="80.385183512249995"/>
    <n v="1138.8421315370906"/>
    <n v="0"/>
    <n v="500"/>
    <n v="0"/>
    <n v="7971"/>
    <n v="0"/>
    <n v="0"/>
    <n v="0"/>
    <s v="Release1"/>
  </r>
  <r>
    <x v="61"/>
    <s v="BHANPUR"/>
    <s v="MPG"/>
    <s v="Direct"/>
    <n v="461.5"/>
    <n v="17308.763677800001"/>
    <n v="460.90000000000003"/>
    <n v="17287.162410600002"/>
    <n v="0"/>
    <n v="0"/>
    <n v="460.90000000000003"/>
    <n v="17287.162410600002"/>
    <n v="17287.162410600002"/>
    <n v="0"/>
    <n v="0"/>
    <n v="0"/>
    <n v="0"/>
    <n v="0"/>
    <n v="0"/>
    <n v="17287"/>
    <n v="0"/>
    <n v="0"/>
    <n v="22"/>
    <n v="0"/>
  </r>
  <r>
    <x v="62"/>
    <s v="Karari Pipariya 2"/>
    <s v="MPG"/>
    <s v="Direct"/>
    <n v="956.59999999999991"/>
    <n v="41211.238780293002"/>
    <n v="954.1400000000001"/>
    <n v="41067.40128007227"/>
    <n v="10.86"/>
    <n v="452.23907675100014"/>
    <n v="965.00000000000011"/>
    <n v="41519.640356823271"/>
    <n v="41211.238780293002"/>
    <n v="0"/>
    <n v="452.23907675100014"/>
    <n v="308.40157653026836"/>
    <n v="0"/>
    <n v="0"/>
    <n v="0"/>
    <n v="40759"/>
    <n v="0"/>
    <n v="0"/>
    <n v="0"/>
    <n v="0"/>
  </r>
  <r>
    <x v="63"/>
    <s v="DIYARA PIPARIYA-THANA                                                                               "/>
    <s v="MPG"/>
    <s v="Direct"/>
    <n v="1175.2"/>
    <n v="52028.771909999006"/>
    <n v="1171.9299999999998"/>
    <n v="51021.162480186722"/>
    <n v="7.83"/>
    <n v="335.93201828100001"/>
    <n v="1179.7599999999998"/>
    <n v="51357.094498467719"/>
    <n v="51357.094498467719"/>
    <n v="0"/>
    <n v="335.93201828100001"/>
    <n v="0"/>
    <n v="0"/>
    <n v="0"/>
    <n v="0"/>
    <n v="51023"/>
    <n v="0"/>
    <n v="0"/>
    <n v="670"/>
    <n v="0"/>
  </r>
  <r>
    <x v="64"/>
    <s v="SRI RAM SINGH(VLC)"/>
    <s v="vlc"/>
    <s v="Indirect"/>
    <n v="3283.5000000000005"/>
    <n v="137240.10872719798"/>
    <n v="0"/>
    <n v="0"/>
    <n v="0"/>
    <n v="0"/>
    <n v="0"/>
    <n v="0"/>
    <n v="137240.10872719798"/>
    <n v="0"/>
    <n v="0"/>
    <n v="0"/>
    <n v="0"/>
    <n v="0"/>
    <n v="0"/>
    <n v="0"/>
    <n v="0"/>
    <n v="137240.10872719798"/>
    <n v="0"/>
    <n v="0"/>
  </r>
  <r>
    <x v="65"/>
    <s v="GADHTOLA"/>
    <s v="MPG"/>
    <s v="Direct"/>
    <n v="1520.8"/>
    <n v="62439.497939659595"/>
    <n v="1547.81"/>
    <n v="63040.95375325394"/>
    <n v="5.6499999999999995"/>
    <n v="224.24668943400005"/>
    <n v="1553.46"/>
    <n v="63265.200442687943"/>
    <n v="62439.497939659595"/>
    <n v="0"/>
    <n v="224.24668943400005"/>
    <n v="825.70250302834756"/>
    <n v="0"/>
    <n v="0"/>
    <n v="0"/>
    <n v="62215"/>
    <n v="0"/>
    <n v="0"/>
    <n v="0"/>
    <n v="0"/>
  </r>
  <r>
    <x v="927"/>
    <s v="Chetan Tola - Ravi"/>
    <s v="vlc"/>
    <s v="Indirect"/>
    <n v="566.90000000000009"/>
    <n v="31442.990120934999"/>
    <n v="0"/>
    <n v="0"/>
    <n v="0"/>
    <n v="0"/>
    <n v="0"/>
    <n v="0"/>
    <n v="31442.990120934999"/>
    <n v="0"/>
    <n v="0"/>
    <n v="0"/>
    <n v="0"/>
    <n v="0"/>
    <n v="0"/>
    <n v="0"/>
    <n v="0"/>
    <n v="31442.990120934999"/>
    <n v="0"/>
    <n v="0"/>
  </r>
  <r>
    <x v="66"/>
    <s v="Diyara-Pipariya-Utri - Chandan"/>
    <s v="vlc"/>
    <s v="Indirect"/>
    <n v="1552.6000000000001"/>
    <n v="64398.881751398505"/>
    <n v="0"/>
    <n v="0"/>
    <n v="0"/>
    <n v="0"/>
    <n v="0"/>
    <n v="0"/>
    <n v="64398.881751398505"/>
    <n v="0"/>
    <n v="0"/>
    <n v="0"/>
    <n v="0"/>
    <n v="0"/>
    <n v="0"/>
    <n v="0"/>
    <n v="0"/>
    <n v="64398.881751398505"/>
    <n v="0"/>
    <n v="0"/>
  </r>
  <r>
    <x v="67"/>
    <s v="KANHARPUR-2"/>
    <s v="MPG"/>
    <s v="Direct"/>
    <n v="2685"/>
    <n v="119038.50241686501"/>
    <n v="2364.1499999999996"/>
    <n v="106462.4214951406"/>
    <n v="341.11"/>
    <n v="14178.782493215951"/>
    <n v="2705.2599999999998"/>
    <n v="120641.20398835656"/>
    <n v="119038.50241686501"/>
    <n v="0"/>
    <n v="1637.6884569299502"/>
    <n v="1602.7015714915469"/>
    <n v="0"/>
    <n v="0"/>
    <n v="0"/>
    <n v="104859"/>
    <n v="12542"/>
    <n v="0"/>
    <n v="0"/>
    <n v="0"/>
  </r>
  <r>
    <x v="68"/>
    <s v="BASAUNA"/>
    <s v="MPG"/>
    <s v="Direct"/>
    <n v="918.50000000000011"/>
    <n v="37129.165756860006"/>
    <n v="328.7"/>
    <n v="13840.659457023778"/>
    <n v="594.6"/>
    <n v="23125.320514300656"/>
    <n v="923.3"/>
    <n v="36965.979971324436"/>
    <n v="36965.979971324436"/>
    <n v="0"/>
    <n v="238.272797664"/>
    <n v="0"/>
    <n v="0"/>
    <n v="0"/>
    <n v="0"/>
    <n v="13841"/>
    <n v="22887"/>
    <n v="0"/>
    <n v="163"/>
    <n v="0"/>
  </r>
  <r>
    <x v="69"/>
    <s v="GANGA-SARAI"/>
    <s v="MPG"/>
    <s v="Direct"/>
    <n v="1480.8"/>
    <n v="59607.254919840008"/>
    <n v="1449.38"/>
    <n v="59136.701921475782"/>
    <n v="12.52"/>
    <n v="463.61646271560005"/>
    <n v="1461.9"/>
    <n v="59600.318384191385"/>
    <n v="59600.318384191385"/>
    <n v="0"/>
    <n v="463.61646271560005"/>
    <n v="0"/>
    <n v="0"/>
    <n v="0"/>
    <n v="0"/>
    <n v="59136"/>
    <n v="0"/>
    <n v="0"/>
    <n v="8"/>
    <n v="0"/>
  </r>
  <r>
    <x v="70"/>
    <s v="GOVIND-BIGHA                                                                                        "/>
    <s v="MPG"/>
    <s v="Direct"/>
    <n v="376"/>
    <n v="15124.628652390002"/>
    <n v="377.79"/>
    <n v="14824.804356568182"/>
    <n v="5.7899999999999991"/>
    <n v="233.3753718822"/>
    <n v="383.58000000000004"/>
    <n v="15058.179728450383"/>
    <n v="15058.179728450383"/>
    <n v="0"/>
    <n v="233.3753718822"/>
    <n v="0"/>
    <n v="0"/>
    <n v="0"/>
    <n v="0"/>
    <n v="14827"/>
    <n v="0"/>
    <n v="0"/>
    <n v="64"/>
    <n v="0"/>
  </r>
  <r>
    <x v="71"/>
    <s v="MALPUR                                                                                              "/>
    <s v="MPG"/>
    <s v="Direct"/>
    <n v="1145.2"/>
    <n v="48407.837245033617"/>
    <n v="517.03"/>
    <n v="23784.283211028924"/>
    <n v="647.91"/>
    <n v="26353.194745041004"/>
    <n v="1164.94"/>
    <n v="50137.477956069924"/>
    <n v="48407.837245033617"/>
    <n v="0"/>
    <n v="316.92213180000005"/>
    <n v="1729.640711036307"/>
    <n v="0"/>
    <n v="0"/>
    <n v="0"/>
    <n v="22055"/>
    <n v="26036"/>
    <n v="0"/>
    <n v="0"/>
    <n v="0"/>
  </r>
  <r>
    <x v="72"/>
    <s v="Gomukh Hasanpur"/>
    <s v="vlc"/>
    <s v="Indirect"/>
    <n v="1142.1000000000001"/>
    <n v="45740.925687944014"/>
    <n v="0"/>
    <n v="0"/>
    <n v="0"/>
    <n v="0"/>
    <n v="0"/>
    <n v="0"/>
    <n v="45740.925687944014"/>
    <n v="0"/>
    <n v="0"/>
    <n v="0"/>
    <n v="0"/>
    <n v="0"/>
    <n v="0"/>
    <n v="0"/>
    <n v="0"/>
    <n v="45740.925687944014"/>
    <n v="0"/>
    <n v="0"/>
  </r>
  <r>
    <x v="73"/>
    <s v="ADARSH LAXMIPUR-2"/>
    <s v="vlc"/>
    <s v="Indirect"/>
    <n v="1284.8999999999999"/>
    <n v="50598.000653520015"/>
    <n v="0"/>
    <n v="0"/>
    <n v="0"/>
    <n v="0"/>
    <n v="0"/>
    <n v="0"/>
    <n v="50598.000653520015"/>
    <n v="0"/>
    <n v="0"/>
    <n v="0"/>
    <n v="0"/>
    <n v="0"/>
    <n v="0"/>
    <n v="0"/>
    <n v="0"/>
    <n v="50598.000653520015"/>
    <n v="0"/>
    <n v="0"/>
  </r>
  <r>
    <x v="74"/>
    <s v="SABIKPUR"/>
    <s v="MPG"/>
    <s v="Direct"/>
    <n v="787.5"/>
    <n v="31746.590302979999"/>
    <n v="841.9699999999998"/>
    <n v="35987.727858830411"/>
    <n v="0"/>
    <n v="0"/>
    <n v="841.9699999999998"/>
    <n v="35987.727858830411"/>
    <n v="31746.590302979999"/>
    <n v="0"/>
    <n v="0"/>
    <n v="4241.1375558504114"/>
    <n v="0"/>
    <n v="0"/>
    <n v="0"/>
    <n v="31747"/>
    <n v="0"/>
    <n v="0"/>
    <n v="0"/>
    <n v="0"/>
  </r>
  <r>
    <x v="75"/>
    <s v="CHETAN-TOLA-KHUTHA"/>
    <s v="MPG"/>
    <s v="Direct"/>
    <n v="217.4"/>
    <n v="8478.7615809300005"/>
    <n v="404.03000000000003"/>
    <n v="16880.77750149554"/>
    <n v="20.59"/>
    <n v="986.0802941246402"/>
    <n v="424.62"/>
    <n v="17866.857795620181"/>
    <n v="8478.7615809300005"/>
    <n v="0"/>
    <n v="986.0802941246402"/>
    <n v="9388.0962146901802"/>
    <n v="0"/>
    <n v="500"/>
    <n v="0"/>
    <n v="0"/>
    <n v="0"/>
    <n v="0"/>
    <n v="6993"/>
    <s v="Yes"/>
  </r>
  <r>
    <x v="76"/>
    <s v="LAXMIPUR"/>
    <s v="MPG"/>
    <s v="Direct"/>
    <n v="630.5"/>
    <n v="25041.162016194001"/>
    <n v="614.5"/>
    <n v="27983.272804465007"/>
    <n v="0"/>
    <n v="0"/>
    <n v="614.5"/>
    <n v="27983.272804465007"/>
    <n v="25041.162016194001"/>
    <n v="0"/>
    <n v="0"/>
    <n v="2942.1107882710057"/>
    <n v="0"/>
    <n v="0"/>
    <n v="0"/>
    <n v="25041"/>
    <n v="0"/>
    <n v="0"/>
    <n v="0"/>
    <s v="Release1"/>
  </r>
  <r>
    <x v="77"/>
    <s v="REHUA RK"/>
    <s v="vlc"/>
    <s v="Indirect"/>
    <n v="1065.1999999999998"/>
    <n v="44766.932968036999"/>
    <n v="0"/>
    <n v="0"/>
    <n v="0"/>
    <n v="0"/>
    <n v="0"/>
    <n v="0"/>
    <n v="44766.932968036999"/>
    <n v="0"/>
    <n v="0"/>
    <n v="0"/>
    <n v="0"/>
    <n v="0"/>
    <n v="0"/>
    <n v="0"/>
    <n v="0"/>
    <n v="44766.932968036999"/>
    <n v="0"/>
    <n v="0"/>
  </r>
  <r>
    <x v="78"/>
    <s v="RAMNAGAR"/>
    <s v="MPG"/>
    <s v="Direct"/>
    <n v="213.10000000000002"/>
    <n v="9280.2842490912008"/>
    <n v="231.41000000000003"/>
    <n v="11200.596444372322"/>
    <n v="0"/>
    <n v="0"/>
    <n v="231.41000000000003"/>
    <n v="11200.596444372322"/>
    <n v="9280.2842490912008"/>
    <n v="0"/>
    <n v="0"/>
    <n v="1920.3121952811216"/>
    <n v="0"/>
    <n v="0"/>
    <n v="0"/>
    <n v="9280"/>
    <n v="0"/>
    <n v="0"/>
    <n v="0"/>
    <s v="Release1"/>
  </r>
  <r>
    <x v="79"/>
    <s v="BANSIPUR"/>
    <s v="MPG"/>
    <s v="Direct"/>
    <n v="230.39999999999998"/>
    <n v="11531.593993211098"/>
    <n v="230.39999999999998"/>
    <n v="11637.967541591101"/>
    <n v="0"/>
    <n v="0"/>
    <n v="230.39999999999998"/>
    <n v="11637.967541591101"/>
    <n v="11531.593993211098"/>
    <n v="0"/>
    <n v="0"/>
    <n v="106.37354838000283"/>
    <n v="0"/>
    <n v="500"/>
    <n v="0"/>
    <n v="11032"/>
    <n v="0"/>
    <n v="0"/>
    <n v="0"/>
    <n v="0"/>
  </r>
  <r>
    <x v="80"/>
    <s v="GODIH"/>
    <s v="MPG"/>
    <s v="Direct"/>
    <n v="334.2"/>
    <n v="14239.82686929"/>
    <n v="327.03000000000003"/>
    <n v="15044.325759041018"/>
    <n v="0"/>
    <n v="0"/>
    <n v="327.03000000000003"/>
    <n v="15044.325759041018"/>
    <n v="14239.82686929"/>
    <n v="0"/>
    <n v="0"/>
    <n v="804.49888975101749"/>
    <n v="0"/>
    <n v="0"/>
    <n v="0"/>
    <n v="14240"/>
    <n v="0"/>
    <n v="0"/>
    <n v="0"/>
    <n v="0"/>
  </r>
  <r>
    <x v="81"/>
    <s v="SINGARPUR"/>
    <s v="MPG"/>
    <s v="Direct"/>
    <n v="223.20000000000002"/>
    <n v="11428.332917765003"/>
    <n v="222.46999999999997"/>
    <n v="11597.88812240778"/>
    <n v="0"/>
    <n v="0"/>
    <n v="222.46999999999997"/>
    <n v="11597.88812240778"/>
    <n v="11428.332917765003"/>
    <n v="0"/>
    <n v="0"/>
    <n v="169.55520464277652"/>
    <n v="0"/>
    <n v="500"/>
    <n v="0"/>
    <n v="10928"/>
    <n v="0"/>
    <n v="0"/>
    <n v="0"/>
    <n v="0"/>
  </r>
  <r>
    <x v="83"/>
    <s v="G WOLIPUR"/>
    <s v="vlc"/>
    <s v="Indirect"/>
    <n v="2172.8999999999996"/>
    <n v="86962.11662639401"/>
    <n v="0"/>
    <n v="0"/>
    <n v="0"/>
    <n v="0"/>
    <n v="0"/>
    <n v="0"/>
    <n v="86962.11662639401"/>
    <n v="0"/>
    <n v="0"/>
    <n v="0"/>
    <n v="0"/>
    <n v="0"/>
    <n v="0"/>
    <n v="0"/>
    <n v="0"/>
    <n v="86962.11662639401"/>
    <n v="0"/>
    <n v="0"/>
  </r>
  <r>
    <x v="84"/>
    <s v="REHUA 3"/>
    <s v="vlc"/>
    <s v="Indirect"/>
    <n v="1119.6000000000001"/>
    <n v="46897.636370467975"/>
    <n v="0"/>
    <n v="0"/>
    <n v="0"/>
    <n v="0"/>
    <n v="0"/>
    <n v="0"/>
    <n v="46897.636370467975"/>
    <n v="0"/>
    <n v="0"/>
    <n v="0"/>
    <n v="0"/>
    <n v="0"/>
    <n v="0"/>
    <n v="0"/>
    <n v="0"/>
    <n v="46897.636370467975"/>
    <n v="0"/>
    <n v="0"/>
  </r>
  <r>
    <x v="85"/>
    <s v="BICHWAY"/>
    <s v="MPG"/>
    <s v="Direct"/>
    <n v="459.6"/>
    <n v="17561.510897519998"/>
    <n v="463.1"/>
    <n v="18059.09447226"/>
    <n v="0"/>
    <n v="0"/>
    <n v="463.1"/>
    <n v="18059.09447226"/>
    <n v="17561.510897519998"/>
    <n v="0"/>
    <n v="0"/>
    <n v="497.5835747400015"/>
    <n v="0"/>
    <n v="0"/>
    <n v="0"/>
    <n v="17562"/>
    <n v="0"/>
    <n v="0"/>
    <n v="0"/>
    <n v="0"/>
  </r>
  <r>
    <x v="86"/>
    <s v="MANOHARPUR"/>
    <s v="MPG"/>
    <s v="Direct"/>
    <n v="916.69999999999993"/>
    <n v="35833.186726410007"/>
    <n v="482.15000000000009"/>
    <n v="18674.530588580401"/>
    <n v="513.1"/>
    <n v="20594.220743468788"/>
    <n v="995.25000000000011"/>
    <n v="39268.751332049185"/>
    <n v="35833.186726410007"/>
    <n v="0"/>
    <n v="0"/>
    <n v="3435.5646056391779"/>
    <n v="0"/>
    <n v="0"/>
    <n v="0"/>
    <n v="15238"/>
    <n v="20595"/>
    <n v="0"/>
    <n v="0"/>
    <n v="0"/>
  </r>
  <r>
    <x v="928"/>
    <s v="HIRDANBIGHA"/>
    <s v="MPG"/>
    <s v="Direct"/>
    <n v="317.2"/>
    <n v="11939.192092200001"/>
    <n v="321.78999999999996"/>
    <n v="11895.068983101601"/>
    <n v="0"/>
    <n v="0"/>
    <n v="321.78999999999996"/>
    <n v="11895.068983101601"/>
    <n v="11895.068983101601"/>
    <n v="0"/>
    <n v="0"/>
    <n v="0"/>
    <n v="0"/>
    <n v="0"/>
    <n v="0"/>
    <n v="11895"/>
    <n v="0"/>
    <n v="0"/>
    <n v="44"/>
    <n v="0"/>
  </r>
  <r>
    <x v="87"/>
    <s v="MOHANPUR"/>
    <s v="vlc"/>
    <s v="Indirect"/>
    <n v="498.65"/>
    <n v="19711.751035784997"/>
    <n v="0"/>
    <n v="0"/>
    <n v="0"/>
    <n v="0"/>
    <n v="0"/>
    <n v="0"/>
    <n v="19711.751035784997"/>
    <n v="0"/>
    <n v="0"/>
    <n v="0"/>
    <n v="0"/>
    <n v="0"/>
    <n v="0"/>
    <n v="0"/>
    <n v="0"/>
    <n v="19711.751035784997"/>
    <n v="0"/>
    <n v="0"/>
  </r>
  <r>
    <x v="88"/>
    <s v="CHATMADIH"/>
    <s v="MPG"/>
    <s v="Direct"/>
    <n v="1805.8500000000001"/>
    <n v="81089.122160517218"/>
    <n v="1789.7000000000003"/>
    <n v="79486.010986998546"/>
    <n v="25.9"/>
    <n v="1645.5448037861001"/>
    <n v="1815.6000000000004"/>
    <n v="81131.555790784652"/>
    <n v="81089.122160517218"/>
    <n v="0"/>
    <n v="1645.5448037861001"/>
    <n v="42.433630267434637"/>
    <n v="0"/>
    <n v="0"/>
    <n v="0"/>
    <n v="79443"/>
    <n v="0"/>
    <n v="0"/>
    <n v="1"/>
    <n v="0"/>
  </r>
  <r>
    <x v="89"/>
    <s v="SIYADIH"/>
    <s v="vlc"/>
    <s v="Indirect"/>
    <n v="826"/>
    <n v="25383.864777412502"/>
    <n v="0"/>
    <n v="0"/>
    <n v="0"/>
    <n v="0"/>
    <n v="0"/>
    <n v="0"/>
    <n v="25383.864777412502"/>
    <n v="0"/>
    <n v="0"/>
    <n v="0"/>
    <n v="0"/>
    <n v="0"/>
    <n v="0"/>
    <n v="0"/>
    <n v="0"/>
    <n v="25383.864777412502"/>
    <n v="0"/>
    <n v="0"/>
  </r>
  <r>
    <x v="1015"/>
    <s v="HARPUR M"/>
    <s v="RMC"/>
    <s v="Direct"/>
    <n v="947.55"/>
    <n v="30650.216030700005"/>
    <n v="936"/>
    <n v="33307.664832000002"/>
    <n v="0.4"/>
    <n v="14.234044800000001"/>
    <n v="936.4"/>
    <n v="33321.898876800005"/>
    <n v="30650.216030700005"/>
    <n v="0"/>
    <n v="14.234044800000001"/>
    <n v="2671.6828461000005"/>
    <n v="0"/>
    <n v="0"/>
    <n v="0"/>
    <n v="30636"/>
    <n v="0"/>
    <n v="0"/>
    <n v="0"/>
    <s v="Release1"/>
  </r>
  <r>
    <x v="90"/>
    <s v="Gomukh ID Laldiyara"/>
    <s v="vlc"/>
    <s v="Indirect"/>
    <n v="11938.75"/>
    <n v="465229.95739342505"/>
    <n v="0"/>
    <n v="0"/>
    <n v="0"/>
    <n v="0"/>
    <n v="0"/>
    <n v="0"/>
    <n v="465229.95739342505"/>
    <n v="0"/>
    <n v="0"/>
    <n v="0"/>
    <n v="0"/>
    <n v="0"/>
    <n v="0"/>
    <n v="0"/>
    <n v="0"/>
    <n v="465229.95739342505"/>
    <n v="0"/>
    <n v="0"/>
  </r>
  <r>
    <x v="91"/>
    <s v="KATHNI"/>
    <s v="MPG"/>
    <s v="Direct"/>
    <n v="298.54999999999995"/>
    <n v="10029.960411366001"/>
    <n v="408.8"/>
    <n v="17774.307987600005"/>
    <n v="0"/>
    <n v="0"/>
    <n v="408.8"/>
    <n v="17774.307987600005"/>
    <n v="10029.960411366001"/>
    <n v="0"/>
    <n v="0"/>
    <n v="7744.347576234004"/>
    <n v="0"/>
    <n v="0"/>
    <n v="0"/>
    <n v="10030"/>
    <n v="0"/>
    <n v="0"/>
    <n v="0"/>
    <n v="0"/>
  </r>
  <r>
    <x v="92"/>
    <s v="DEVDHA GOMUKH MPG"/>
    <s v="MPG"/>
    <s v="Direct"/>
    <n v="1366"/>
    <n v="54563.082139290018"/>
    <n v="1007"/>
    <n v="40189.913597160004"/>
    <n v="358.7"/>
    <n v="14360.77634463"/>
    <n v="1365.7"/>
    <n v="54550.689941790006"/>
    <n v="54550.689941790006"/>
    <n v="0"/>
    <n v="309.01737033000006"/>
    <n v="0"/>
    <n v="0"/>
    <n v="0"/>
    <n v="0"/>
    <n v="40189"/>
    <n v="14051"/>
    <n v="0"/>
    <n v="14"/>
    <n v="0"/>
  </r>
  <r>
    <x v="93"/>
    <s v="KASBA(MANGOAN)"/>
    <s v="vlc"/>
    <s v="Indirect"/>
    <n v="1708.55"/>
    <n v="56877.730834038754"/>
    <n v="0"/>
    <n v="0"/>
    <n v="0"/>
    <n v="0"/>
    <n v="0"/>
    <n v="0"/>
    <n v="56877.730834038754"/>
    <n v="0"/>
    <n v="0"/>
    <n v="0"/>
    <n v="0"/>
    <n v="0"/>
    <n v="0"/>
    <n v="0"/>
    <n v="0"/>
    <n v="56877.730834038754"/>
    <n v="0"/>
    <n v="0"/>
  </r>
  <r>
    <x v="94"/>
    <s v="LOHRA"/>
    <s v="MPG"/>
    <s v="Direct"/>
    <n v="656.95000000000016"/>
    <n v="34628.962405209"/>
    <n v="660.96"/>
    <n v="38047.374570357599"/>
    <n v="18.599999999999998"/>
    <n v="949.28180804620001"/>
    <n v="679.56000000000006"/>
    <n v="38996.656378403801"/>
    <n v="34628.962405209"/>
    <n v="0"/>
    <n v="949.28180804620001"/>
    <n v="4367.6939731948005"/>
    <n v="0"/>
    <n v="0"/>
    <n v="0"/>
    <n v="33680"/>
    <n v="0"/>
    <n v="0"/>
    <n v="0"/>
    <s v="Release1"/>
  </r>
  <r>
    <x v="95"/>
    <s v="KAMATPUR"/>
    <s v="MPG"/>
    <s v="Direct"/>
    <n v="861.50000000000011"/>
    <n v="31383.210937230007"/>
    <n v="929.1400000000001"/>
    <n v="35813.184790055646"/>
    <n v="8.8999999999999986"/>
    <n v="331.27843559999997"/>
    <n v="938.04000000000008"/>
    <n v="36144.463225655643"/>
    <n v="31383.210937230007"/>
    <n v="0"/>
    <n v="331.27843559999997"/>
    <n v="4761.2522884256359"/>
    <n v="0"/>
    <n v="0"/>
    <n v="0"/>
    <n v="31052"/>
    <n v="0"/>
    <n v="0"/>
    <n v="0"/>
    <n v="0"/>
  </r>
  <r>
    <x v="96"/>
    <s v="GIRDHARA"/>
    <s v="MPG"/>
    <s v="Direct"/>
    <n v="1197.9500000000003"/>
    <n v="47529.483049118404"/>
    <n v="168.46999999999997"/>
    <n v="8332.4560177686617"/>
    <n v="1030.08"/>
    <n v="42288.739226562902"/>
    <n v="1198.55"/>
    <n v="50621.195244331568"/>
    <n v="47529.483049118404"/>
    <n v="0"/>
    <n v="317.18700934200012"/>
    <n v="3091.7121952131638"/>
    <n v="0"/>
    <n v="0"/>
    <n v="0"/>
    <n v="5239"/>
    <n v="41973"/>
    <n v="0"/>
    <n v="0"/>
    <n v="0"/>
  </r>
  <r>
    <x v="97"/>
    <s v="RATNI"/>
    <s v="MPG"/>
    <s v="Direct"/>
    <n v="1135.75"/>
    <n v="60001.795195342995"/>
    <n v="1145.1799999999998"/>
    <n v="58759.372582742377"/>
    <n v="19.57"/>
    <n v="1128.1203900373"/>
    <n v="1164.7499999999998"/>
    <n v="59887.492972779677"/>
    <n v="59887.492972779677"/>
    <n v="0"/>
    <n v="1128.1203900373"/>
    <n v="0"/>
    <n v="0"/>
    <n v="0"/>
    <n v="0"/>
    <n v="58757"/>
    <n v="0"/>
    <n v="0"/>
    <n v="117"/>
    <n v="0"/>
  </r>
  <r>
    <x v="98"/>
    <s v="DHAPARI"/>
    <s v="MPG"/>
    <s v="Direct"/>
    <n v="942.75"/>
    <n v="36715.011535238256"/>
    <n v="939.69999999999993"/>
    <n v="36334.115201037705"/>
    <n v="27.669999999999995"/>
    <n v="1187.0196489692701"/>
    <n v="967.36999999999989"/>
    <n v="37521.134850006973"/>
    <n v="36715.011535238256"/>
    <n v="0"/>
    <n v="1187.0196489692701"/>
    <n v="806.12331476871623"/>
    <n v="0"/>
    <n v="0"/>
    <n v="0"/>
    <n v="35528"/>
    <n v="0"/>
    <n v="0"/>
    <n v="0"/>
    <n v="0"/>
  </r>
  <r>
    <x v="99"/>
    <s v="KHARUI"/>
    <s v="MPG"/>
    <s v="Direct"/>
    <n v="541.4"/>
    <n v="24645.571612986005"/>
    <n v="536.79"/>
    <n v="26200.699858857199"/>
    <n v="28.960000000000004"/>
    <n v="1555.2083111168402"/>
    <n v="565.75"/>
    <n v="27755.908169974038"/>
    <n v="24645.571612986005"/>
    <n v="0"/>
    <n v="1555.2083111168402"/>
    <n v="3110.3365569880334"/>
    <n v="0"/>
    <n v="0"/>
    <n v="0"/>
    <n v="23090"/>
    <n v="0"/>
    <n v="0"/>
    <n v="0"/>
    <n v="0"/>
  </r>
  <r>
    <x v="100"/>
    <s v="KHAIRA"/>
    <s v="MPG"/>
    <s v="Direct"/>
    <n v="739.39999999999986"/>
    <n v="30040.334009040005"/>
    <n v="764.48"/>
    <n v="33066.308356936199"/>
    <n v="26.639999999999993"/>
    <n v="1116.2028177299999"/>
    <n v="791.12"/>
    <n v="34182.511174666201"/>
    <n v="30040.334009040005"/>
    <n v="0"/>
    <n v="1116.2028177299999"/>
    <n v="4142.1771656261953"/>
    <n v="0"/>
    <n v="0"/>
    <n v="0"/>
    <n v="28924"/>
    <n v="0"/>
    <n v="0"/>
    <n v="0"/>
    <n v="0"/>
  </r>
  <r>
    <x v="101"/>
    <s v="SISUA"/>
    <s v="MPG"/>
    <s v="Direct"/>
    <n v="1819.3499999999997"/>
    <n v="72813.12297777702"/>
    <n v="1655.5600000000002"/>
    <n v="67895.688323257447"/>
    <n v="138.39000000000001"/>
    <n v="5496.1609198616998"/>
    <n v="1793.9500000000003"/>
    <n v="73391.849243119141"/>
    <n v="72813.12297777702"/>
    <n v="0"/>
    <n v="861.79357107600003"/>
    <n v="578.72626534212031"/>
    <n v="0"/>
    <n v="0"/>
    <n v="0"/>
    <n v="67316"/>
    <n v="4635"/>
    <n v="0"/>
    <n v="0"/>
    <n v="0"/>
  </r>
  <r>
    <x v="102"/>
    <s v="BISAI"/>
    <s v="MPG"/>
    <s v="Direct"/>
    <n v="230.94999999999996"/>
    <n v="10177.976473962"/>
    <n v="220.23999999999995"/>
    <n v="10802.026816883699"/>
    <n v="11.990000000000002"/>
    <n v="553.55184585730012"/>
    <n v="232.22999999999996"/>
    <n v="11355.578662741"/>
    <n v="10177.976473962"/>
    <n v="0"/>
    <n v="553.55184585730012"/>
    <n v="1177.6021887789993"/>
    <n v="0"/>
    <n v="0"/>
    <n v="0"/>
    <n v="9624"/>
    <n v="0"/>
    <n v="0"/>
    <n v="0"/>
    <s v="Release1"/>
  </r>
  <r>
    <x v="103"/>
    <s v="SAJUA-1"/>
    <s v="MPG"/>
    <s v="Direct"/>
    <n v="827.74999999999989"/>
    <n v="31510.872327690005"/>
    <n v="829.01"/>
    <n v="31172.791904964004"/>
    <n v="10.340000000000002"/>
    <n v="366.99958000079999"/>
    <n v="839.35"/>
    <n v="31539.791484964804"/>
    <n v="31510.872327690005"/>
    <n v="0"/>
    <n v="366.99958000079999"/>
    <n v="28.919157274798636"/>
    <n v="0"/>
    <n v="0"/>
    <n v="0"/>
    <n v="31144"/>
    <n v="0"/>
    <n v="0"/>
    <n v="0"/>
    <n v="0"/>
  </r>
  <r>
    <x v="104"/>
    <s v="SAJUA-2"/>
    <s v="MPG"/>
    <s v="Direct"/>
    <n v="1394.8000000000002"/>
    <n v="53541.558494310004"/>
    <n v="1421.0299999999997"/>
    <n v="55920.444132459583"/>
    <n v="0"/>
    <n v="0"/>
    <n v="1421.0299999999997"/>
    <n v="55920.444132459583"/>
    <n v="53541.558494310004"/>
    <n v="0"/>
    <n v="0"/>
    <n v="2378.8856381495789"/>
    <n v="0"/>
    <n v="0"/>
    <n v="0"/>
    <n v="53542"/>
    <n v="0"/>
    <n v="0"/>
    <n v="0"/>
    <n v="0"/>
  </r>
  <r>
    <x v="105"/>
    <s v="CHORGAUN"/>
    <s v="MPG"/>
    <s v="Direct"/>
    <n v="745.85"/>
    <n v="28389.151738035012"/>
    <n v="704.00000000000011"/>
    <n v="26373.300128467305"/>
    <n v="22.499999999999996"/>
    <n v="923.96861160000003"/>
    <n v="726.50000000000011"/>
    <n v="27297.268740067306"/>
    <n v="27297.268740067306"/>
    <n v="0"/>
    <n v="923.96861160000003"/>
    <n v="0"/>
    <n v="0"/>
    <n v="0"/>
    <n v="0"/>
    <n v="26375"/>
    <n v="0"/>
    <n v="0"/>
    <n v="1090"/>
    <n v="0"/>
  </r>
  <r>
    <x v="106"/>
    <s v="PADARATHPUR"/>
    <s v="MPG"/>
    <s v="Direct"/>
    <n v="996.6"/>
    <n v="40053.895645784993"/>
    <n v="998.6"/>
    <n v="40109.617392587563"/>
    <n v="20.100000000000001"/>
    <n v="830.85599628750003"/>
    <n v="1018.7"/>
    <n v="40940.473388875063"/>
    <n v="40053.895645784993"/>
    <n v="0"/>
    <n v="830.85599628750003"/>
    <n v="886.57774309007073"/>
    <n v="0"/>
    <n v="0"/>
    <n v="0"/>
    <n v="39223"/>
    <n v="0"/>
    <n v="0"/>
    <n v="0"/>
    <n v="0"/>
  </r>
  <r>
    <x v="107"/>
    <s v="BADARKHA"/>
    <s v="MPG"/>
    <s v="Direct"/>
    <n v="924.54999999999984"/>
    <n v="34521.891145500005"/>
    <n v="913.69"/>
    <n v="34529.104627245506"/>
    <n v="0"/>
    <n v="0"/>
    <n v="913.69"/>
    <n v="34529.104627245506"/>
    <n v="34521.891145500005"/>
    <n v="0"/>
    <n v="0"/>
    <n v="7.2134817455007578"/>
    <n v="0"/>
    <n v="0"/>
    <n v="0"/>
    <n v="34522"/>
    <n v="0"/>
    <n v="0"/>
    <n v="0"/>
    <n v="0"/>
  </r>
  <r>
    <x v="108"/>
    <s v="MAHDMADPUR                                                                                          "/>
    <s v="MPG"/>
    <s v="Direct"/>
    <n v="2135.3999999999996"/>
    <n v="80969.083579275"/>
    <n v="2080"/>
    <n v="80010.33092811238"/>
    <n v="52.8"/>
    <n v="1831.0112647860003"/>
    <n v="2132.8000000000002"/>
    <n v="81841.342192898373"/>
    <n v="80969.083579275"/>
    <n v="0"/>
    <n v="1831.0112647860003"/>
    <n v="872.25861362337309"/>
    <n v="0"/>
    <n v="0"/>
    <n v="0"/>
    <n v="79138"/>
    <n v="0"/>
    <n v="0"/>
    <n v="0"/>
    <n v="0"/>
  </r>
  <r>
    <x v="109"/>
    <s v="MUSKIPUR                                                                                            "/>
    <s v="MPG"/>
    <s v="Direct"/>
    <n v="1208.45"/>
    <n v="49242.777391848002"/>
    <n v="1238.7200000000003"/>
    <n v="50676.209388757554"/>
    <n v="0"/>
    <n v="0"/>
    <n v="1238.7200000000003"/>
    <n v="50676.209388757554"/>
    <n v="49242.777391848002"/>
    <n v="0"/>
    <n v="0"/>
    <n v="1433.4319969095523"/>
    <n v="0"/>
    <n v="0"/>
    <n v="0"/>
    <n v="49243"/>
    <n v="0"/>
    <n v="0"/>
    <n v="0"/>
    <s v="Release1"/>
  </r>
  <r>
    <x v="110"/>
    <s v="NAYAGAUN                                                                                            "/>
    <s v="MPG"/>
    <s v="Direct"/>
    <n v="702.1"/>
    <n v="28336.229599599006"/>
    <n v="699.06"/>
    <n v="28205.563589139743"/>
    <n v="2.29"/>
    <n v="94.451946483000015"/>
    <n v="701.34999999999991"/>
    <n v="28300.015535622744"/>
    <n v="28300.015535622744"/>
    <n v="0"/>
    <n v="94.451946483000015"/>
    <n v="0"/>
    <n v="0"/>
    <n v="0"/>
    <n v="0"/>
    <n v="28205"/>
    <n v="0"/>
    <n v="0"/>
    <n v="37"/>
    <n v="0"/>
  </r>
  <r>
    <x v="111"/>
    <s v="LAUNA                                                                                               "/>
    <s v="MPG"/>
    <s v="Direct"/>
    <n v="1555.3"/>
    <n v="57355.944563535013"/>
    <n v="1562.6100000000006"/>
    <n v="59961.907361619029"/>
    <n v="23.009999999999998"/>
    <n v="872.65025654040005"/>
    <n v="1585.6200000000006"/>
    <n v="60834.55761815943"/>
    <n v="57355.944563535013"/>
    <n v="0"/>
    <n v="872.65025654040005"/>
    <n v="3478.6130546244167"/>
    <n v="0"/>
    <n v="0"/>
    <n v="0"/>
    <n v="56483"/>
    <n v="0"/>
    <n v="0"/>
    <n v="0"/>
    <n v="0"/>
  </r>
  <r>
    <x v="112"/>
    <s v="DULHAR"/>
    <s v="MPG"/>
    <s v="Direct"/>
    <n v="579.75"/>
    <n v="25422.336005775003"/>
    <n v="622.31999999999982"/>
    <n v="31694.021114240837"/>
    <n v="0"/>
    <n v="0"/>
    <n v="622.31999999999982"/>
    <n v="31694.021114240837"/>
    <n v="25422.336005775003"/>
    <n v="0"/>
    <n v="0"/>
    <n v="6271.6851084658338"/>
    <n v="0"/>
    <n v="0"/>
    <n v="0"/>
    <n v="25422"/>
    <n v="0"/>
    <n v="0"/>
    <n v="0"/>
    <n v="0"/>
  </r>
  <r>
    <x v="113"/>
    <s v="Ghorpithiya - Vikas"/>
    <s v="vlc"/>
    <s v="Indirect"/>
    <n v="355.05"/>
    <n v="15561.052409475002"/>
    <n v="0"/>
    <n v="0"/>
    <n v="0"/>
    <n v="0"/>
    <n v="0"/>
    <n v="0"/>
    <n v="15561.052409475002"/>
    <n v="0"/>
    <n v="0"/>
    <n v="0"/>
    <n v="0"/>
    <n v="0"/>
    <n v="0"/>
    <n v="0"/>
    <n v="0"/>
    <n v="15561.052409475002"/>
    <n v="0"/>
    <s v="Release1"/>
  </r>
  <r>
    <x v="114"/>
    <s v="Akbarnagar - Rakhi"/>
    <s v="vlc"/>
    <s v="Indirect"/>
    <n v="1207.25"/>
    <n v="46366.062079230011"/>
    <n v="0"/>
    <n v="0"/>
    <n v="0"/>
    <n v="0"/>
    <n v="0"/>
    <n v="0"/>
    <n v="46366.062079230011"/>
    <n v="0"/>
    <n v="0"/>
    <n v="0"/>
    <n v="0"/>
    <n v="0"/>
    <n v="0"/>
    <n v="0"/>
    <n v="0"/>
    <n v="46366.062079230011"/>
    <n v="0"/>
    <s v="Release1"/>
  </r>
  <r>
    <x v="115"/>
    <s v="Maheshi - Chamcham"/>
    <s v="vlc"/>
    <s v="Indirect"/>
    <n v="700"/>
    <n v="26824.669020000005"/>
    <n v="0"/>
    <n v="0"/>
    <n v="0"/>
    <n v="0"/>
    <n v="0"/>
    <n v="0"/>
    <n v="26824.669020000005"/>
    <n v="0"/>
    <n v="0"/>
    <n v="0"/>
    <n v="0"/>
    <n v="0"/>
    <n v="0"/>
    <n v="0"/>
    <n v="0"/>
    <n v="26824.669020000005"/>
    <n v="0"/>
    <s v="Release1"/>
  </r>
  <r>
    <x v="116"/>
    <s v="Ghorpithiya - Dheeraj"/>
    <s v="vlc"/>
    <s v="Indirect"/>
    <n v="11898"/>
    <n v="463405.60649280006"/>
    <n v="0"/>
    <n v="0"/>
    <n v="0"/>
    <n v="0"/>
    <n v="0"/>
    <n v="0"/>
    <n v="463405.60649280006"/>
    <n v="0"/>
    <n v="0"/>
    <n v="0"/>
    <n v="0"/>
    <n v="0"/>
    <n v="0"/>
    <n v="0"/>
    <n v="0"/>
    <n v="463405.60649280006"/>
    <n v="0"/>
    <s v="Release1"/>
  </r>
  <r>
    <x v="117"/>
    <s v="Asarganj Chhotki Tola - Akash"/>
    <s v="vlc"/>
    <s v="Indirect"/>
    <n v="11898"/>
    <n v="463405.60649280006"/>
    <n v="0"/>
    <n v="0"/>
    <n v="0"/>
    <n v="0"/>
    <n v="0"/>
    <n v="0"/>
    <n v="463405.60649280006"/>
    <n v="0"/>
    <n v="0"/>
    <n v="0"/>
    <n v="0"/>
    <n v="0"/>
    <n v="0"/>
    <n v="0"/>
    <n v="0"/>
    <n v="463405.60649280006"/>
    <n v="0"/>
    <s v="Release1"/>
  </r>
  <r>
    <x v="118"/>
    <s v="Manikpur - Golu"/>
    <s v="vlc"/>
    <s v="Indirect"/>
    <n v="700"/>
    <n v="26824.669020000005"/>
    <n v="0"/>
    <n v="0"/>
    <n v="0"/>
    <n v="0"/>
    <n v="0"/>
    <n v="0"/>
    <n v="26824.669020000005"/>
    <n v="0"/>
    <n v="0"/>
    <n v="0"/>
    <n v="0"/>
    <n v="0"/>
    <n v="0"/>
    <n v="0"/>
    <n v="0"/>
    <n v="26824.669020000005"/>
    <n v="0"/>
    <s v="Release1"/>
  </r>
  <r>
    <x v="119"/>
    <s v="Rangaon - Jayram"/>
    <s v="vlc"/>
    <s v="Indirect"/>
    <n v="700"/>
    <n v="26824.669020000005"/>
    <n v="0"/>
    <n v="0"/>
    <n v="0"/>
    <n v="0"/>
    <n v="0"/>
    <n v="0"/>
    <n v="26824.669020000005"/>
    <n v="0"/>
    <n v="0"/>
    <n v="0"/>
    <n v="0"/>
    <n v="0"/>
    <n v="0"/>
    <n v="0"/>
    <n v="0"/>
    <n v="26824.669020000005"/>
    <n v="0"/>
    <s v="Release1"/>
  </r>
  <r>
    <x v="120"/>
    <s v="Karso - Aparajita"/>
    <s v="vlc"/>
    <s v="Indirect"/>
    <n v="700"/>
    <n v="26824.669020000005"/>
    <n v="0"/>
    <n v="0"/>
    <n v="0"/>
    <n v="0"/>
    <n v="0"/>
    <n v="0"/>
    <n v="26824.669020000005"/>
    <n v="0"/>
    <n v="0"/>
    <n v="0"/>
    <n v="0"/>
    <n v="0"/>
    <n v="0"/>
    <n v="0"/>
    <n v="0"/>
    <n v="26824.669020000005"/>
    <n v="0"/>
    <s v="Release1"/>
  </r>
  <r>
    <x v="121"/>
    <s v="Unchagaon - Niraj"/>
    <s v="vlc"/>
    <s v="Indirect"/>
    <n v="700"/>
    <n v="26824.669020000005"/>
    <n v="0"/>
    <n v="0"/>
    <n v="0"/>
    <n v="0"/>
    <n v="0"/>
    <n v="0"/>
    <n v="26824.669020000005"/>
    <n v="0"/>
    <n v="0"/>
    <n v="0"/>
    <n v="0"/>
    <n v="0"/>
    <n v="0"/>
    <n v="0"/>
    <n v="0"/>
    <n v="26824.669020000005"/>
    <n v="0"/>
    <s v="Release1"/>
  </r>
  <r>
    <x v="122"/>
    <s v="SRIRAMPUR"/>
    <s v="MPG"/>
    <s v="Direct"/>
    <n v="244.24999999999997"/>
    <n v="7575.3929560222514"/>
    <n v="240"/>
    <n v="7108.6273051200005"/>
    <n v="0"/>
    <n v="0"/>
    <n v="240"/>
    <n v="7108.6273051200005"/>
    <n v="7108.6273051200005"/>
    <n v="0"/>
    <n v="0"/>
    <n v="0"/>
    <n v="0"/>
    <n v="0"/>
    <n v="0"/>
    <n v="7109"/>
    <n v="0"/>
    <n v="0"/>
    <n v="466"/>
    <n v="0"/>
  </r>
  <r>
    <x v="123"/>
    <s v="PAIN"/>
    <s v="MPG"/>
    <s v="Direct"/>
    <n v="473.2999999999999"/>
    <n v="17007.425697923998"/>
    <n v="483.28999999999991"/>
    <n v="18740.454192064502"/>
    <n v="2.96"/>
    <n v="111.12751005599999"/>
    <n v="486.24999999999989"/>
    <n v="18851.581702120504"/>
    <n v="17007.425697923998"/>
    <n v="0"/>
    <n v="111.12751005599999"/>
    <n v="1844.1560041965058"/>
    <n v="0"/>
    <n v="0"/>
    <n v="0"/>
    <n v="16896"/>
    <n v="0"/>
    <n v="0"/>
    <n v="0"/>
    <n v="0"/>
  </r>
  <r>
    <x v="124"/>
    <s v="MOTICHAK"/>
    <s v="MPG"/>
    <s v="Direct"/>
    <n v="2981.7"/>
    <n v="110448.88812030002"/>
    <n v="3132.23"/>
    <n v="119929.36909051274"/>
    <n v="59.940000000000012"/>
    <n v="2283.2271930839997"/>
    <n v="3192.17"/>
    <n v="122212.59628359674"/>
    <n v="110448.88812030002"/>
    <n v="0"/>
    <n v="2283.2271930839997"/>
    <n v="11763.708163296717"/>
    <n v="0"/>
    <n v="0"/>
    <n v="0"/>
    <n v="108166"/>
    <n v="0"/>
    <n v="0"/>
    <n v="0"/>
    <n v="0"/>
  </r>
  <r>
    <x v="125"/>
    <s v="MIRATTHI"/>
    <s v="MPG"/>
    <s v="Direct"/>
    <n v="125.85000000000002"/>
    <n v="5010.8449921620004"/>
    <n v="124.15"/>
    <n v="4800.1607802059998"/>
    <n v="0.35"/>
    <n v="12.797783460000002"/>
    <n v="124.5"/>
    <n v="4812.9585636659995"/>
    <n v="4812.9585636659995"/>
    <n v="0"/>
    <n v="12.797783460000002"/>
    <n v="0"/>
    <n v="0"/>
    <n v="0"/>
    <n v="0"/>
    <n v="4800"/>
    <n v="0"/>
    <n v="0"/>
    <n v="198"/>
    <n v="0"/>
  </r>
  <r>
    <x v="126"/>
    <s v="DAULATPUR"/>
    <s v="MPG"/>
    <s v="Direct"/>
    <n v="275.15000000000003"/>
    <n v="11830.035422772604"/>
    <n v="273.57"/>
    <n v="12224.656566754351"/>
    <n v="3.09"/>
    <n v="141.53342250763004"/>
    <n v="276.65999999999997"/>
    <n v="12366.18998926198"/>
    <n v="11830.035422772604"/>
    <n v="0"/>
    <n v="141.53342250763004"/>
    <n v="536.15456648937652"/>
    <n v="0"/>
    <n v="0"/>
    <n v="0"/>
    <n v="11688"/>
    <n v="0"/>
    <n v="0"/>
    <n v="1"/>
    <n v="0"/>
  </r>
  <r>
    <x v="127"/>
    <s v="MOHADDIPUR"/>
    <s v="MPG"/>
    <s v="Direct"/>
    <n v="224.54999999999998"/>
    <n v="8724.8868903472503"/>
    <n v="463"/>
    <n v="25209.418068632003"/>
    <n v="0"/>
    <n v="0"/>
    <n v="463"/>
    <n v="25209.418068632003"/>
    <n v="8724.8868903472503"/>
    <n v="0"/>
    <n v="0"/>
    <n v="16484.531178284753"/>
    <n v="0"/>
    <n v="500"/>
    <n v="0"/>
    <n v="8225"/>
    <n v="0"/>
    <n v="0"/>
    <n v="0"/>
    <s v="Release1"/>
  </r>
  <r>
    <x v="128"/>
    <s v="JHAJHA"/>
    <s v="MPG"/>
    <s v="Direct"/>
    <n v="641.35"/>
    <n v="26619.837801255002"/>
    <n v="639.55999999999995"/>
    <n v="28012.139477144985"/>
    <n v="2.0499999999999998"/>
    <n v="91.863502111619994"/>
    <n v="641.6099999999999"/>
    <n v="28104.002979256606"/>
    <n v="26619.837801255002"/>
    <n v="0"/>
    <n v="91.863502111619994"/>
    <n v="1484.1651780016036"/>
    <n v="0"/>
    <n v="0"/>
    <n v="0"/>
    <n v="26528"/>
    <n v="0"/>
    <n v="0"/>
    <n v="0"/>
    <n v="0"/>
  </r>
  <r>
    <x v="129"/>
    <s v="KAMARDUH"/>
    <s v="MPG"/>
    <s v="Direct"/>
    <n v="826.94999999999993"/>
    <n v="33680.590748265"/>
    <n v="827.2"/>
    <n v="34120.828237830006"/>
    <n v="6"/>
    <n v="246.56782260000003"/>
    <n v="833.2"/>
    <n v="34367.396060430008"/>
    <n v="33680.590748265"/>
    <n v="0"/>
    <n v="246.56782260000003"/>
    <n v="686.80531216500822"/>
    <n v="0"/>
    <n v="0"/>
    <n v="0"/>
    <n v="33434"/>
    <n v="0"/>
    <n v="0"/>
    <n v="0"/>
    <n v="0"/>
  </r>
  <r>
    <x v="130"/>
    <s v="BARSABAD"/>
    <s v="MPG"/>
    <s v="Direct"/>
    <n v="427.40000000000003"/>
    <n v="15489.777049039503"/>
    <n v="414.29999999999995"/>
    <n v="15594.5192730321"/>
    <n v="4.4700000000000006"/>
    <n v="169.44653042400003"/>
    <n v="418.77"/>
    <n v="15763.9658034561"/>
    <n v="15489.777049039503"/>
    <n v="0"/>
    <n v="169.44653042400003"/>
    <n v="274.18875441659657"/>
    <n v="0"/>
    <n v="0"/>
    <n v="0"/>
    <n v="15320"/>
    <n v="0"/>
    <n v="0"/>
    <n v="0"/>
    <n v="0"/>
  </r>
  <r>
    <x v="131"/>
    <s v="GONAI"/>
    <s v="MPG"/>
    <s v="Direct"/>
    <n v="1412.7"/>
    <n v="54623.134664264995"/>
    <n v="1485.64"/>
    <n v="57364.087315568708"/>
    <n v="4.26"/>
    <n v="164.41606147200002"/>
    <n v="1489.9"/>
    <n v="57528.50337704071"/>
    <n v="54623.134664264995"/>
    <n v="0"/>
    <n v="164.41606147200002"/>
    <n v="2905.3687127757148"/>
    <n v="0"/>
    <n v="0"/>
    <n v="0"/>
    <n v="54459"/>
    <n v="0"/>
    <n v="0"/>
    <n v="0"/>
    <n v="0"/>
  </r>
  <r>
    <x v="132"/>
    <s v="SHIKARITOLA"/>
    <s v="MPG"/>
    <s v="Direct"/>
    <n v="1177.7"/>
    <n v="48023.601108989998"/>
    <n v="1191.3699999999999"/>
    <n v="54480.642919039463"/>
    <n v="0"/>
    <n v="0"/>
    <n v="1191.3699999999999"/>
    <n v="54480.642919039463"/>
    <n v="48023.601108989998"/>
    <n v="0"/>
    <n v="0"/>
    <n v="6457.0418100494644"/>
    <n v="0"/>
    <n v="0"/>
    <n v="0"/>
    <n v="48024"/>
    <n v="0"/>
    <n v="0"/>
    <n v="0"/>
    <n v="0"/>
  </r>
  <r>
    <x v="133"/>
    <s v="BAIKUNTHPUR"/>
    <s v="MPG"/>
    <s v="Direct"/>
    <n v="135"/>
    <n v="5051.8824981900007"/>
    <n v="151.66"/>
    <n v="5426.224067079901"/>
    <n v="1.74"/>
    <n v="62.034096408000003"/>
    <n v="153.4"/>
    <n v="5488.2581634879007"/>
    <n v="5051.8824981900007"/>
    <n v="0"/>
    <n v="62.034096408000003"/>
    <n v="436.37566529790001"/>
    <n v="0"/>
    <n v="500"/>
    <n v="0"/>
    <n v="4490"/>
    <n v="0"/>
    <n v="0"/>
    <n v="0"/>
    <n v="0"/>
  </r>
  <r>
    <x v="134"/>
    <s v="KAITHA"/>
    <s v="MPG"/>
    <s v="Direct"/>
    <n v="2428.6"/>
    <n v="97440.956522444016"/>
    <n v="1273.1299999999999"/>
    <n v="53277.896304538684"/>
    <n v="1193.6599999999996"/>
    <n v="47424.415233868356"/>
    <n v="2466.7899999999995"/>
    <n v="100702.31153840704"/>
    <n v="97440.956522444016"/>
    <n v="0"/>
    <n v="856.430949639"/>
    <n v="3261.3550159630249"/>
    <n v="0"/>
    <n v="0"/>
    <n v="0"/>
    <n v="50017"/>
    <n v="46568"/>
    <n v="0"/>
    <n v="0"/>
    <n v="0"/>
  </r>
  <r>
    <x v="135"/>
    <s v="DORAI"/>
    <s v="MPG"/>
    <s v="Direct"/>
    <n v="1165.5"/>
    <n v="43608.6163074"/>
    <n v="1219.82"/>
    <n v="48051.061550805003"/>
    <n v="38.070000000000007"/>
    <n v="1679.5516519643002"/>
    <n v="1257.8899999999999"/>
    <n v="49730.613202769302"/>
    <n v="43608.6163074"/>
    <n v="0"/>
    <n v="1679.5516519643002"/>
    <n v="6121.9968953693024"/>
    <n v="0"/>
    <n v="0"/>
    <n v="0"/>
    <n v="41929"/>
    <n v="0"/>
    <n v="0"/>
    <n v="0"/>
    <n v="0"/>
  </r>
  <r>
    <x v="136"/>
    <s v="RAGHUNATHPUR"/>
    <s v="vlc"/>
    <s v="Indirect"/>
    <n v="649.65"/>
    <n v="23160.135099960004"/>
    <n v="0"/>
    <n v="0"/>
    <n v="0"/>
    <n v="0"/>
    <n v="0"/>
    <n v="0"/>
    <n v="23160.135099960004"/>
    <n v="0"/>
    <n v="0"/>
    <n v="0"/>
    <n v="0"/>
    <n v="0"/>
    <n v="0"/>
    <n v="0"/>
    <n v="0"/>
    <n v="23160.135099960004"/>
    <n v="0"/>
    <n v="0"/>
  </r>
  <r>
    <x v="137"/>
    <s v="BANGAMA"/>
    <s v="MPG"/>
    <s v="Direct"/>
    <n v="819.25"/>
    <n v="32712.777002563504"/>
    <n v="844"/>
    <n v="34802.00369640001"/>
    <n v="37"/>
    <n v="1458.1184332950002"/>
    <n v="881"/>
    <n v="36260.12212969501"/>
    <n v="32712.777002563504"/>
    <n v="0"/>
    <n v="559.43662729500011"/>
    <n v="3547.3451271315062"/>
    <n v="0"/>
    <n v="0"/>
    <n v="0"/>
    <n v="31254"/>
    <n v="899"/>
    <n v="0"/>
    <n v="0"/>
    <n v="0"/>
  </r>
  <r>
    <x v="138"/>
    <s v="KORIYA"/>
    <s v="MPG"/>
    <s v="Direct"/>
    <n v="195.25"/>
    <n v="9335.3595290892008"/>
    <n v="195.64000000000004"/>
    <n v="10120.86862721342"/>
    <n v="0"/>
    <n v="0"/>
    <n v="195.64000000000004"/>
    <n v="10120.86862721342"/>
    <n v="9335.3595290892008"/>
    <n v="0"/>
    <n v="0"/>
    <n v="785.50909812421924"/>
    <n v="0"/>
    <n v="500"/>
    <n v="0"/>
    <n v="8835"/>
    <n v="0"/>
    <n v="0"/>
    <n v="0"/>
    <s v="Release1"/>
  </r>
  <r>
    <x v="139"/>
    <s v="HARLACHAK"/>
    <s v="MPG"/>
    <s v="Direct"/>
    <n v="979.69999999999982"/>
    <n v="38251.938619605011"/>
    <n v="975.84"/>
    <n v="38198.002413223097"/>
    <n v="0"/>
    <n v="0"/>
    <n v="975.84"/>
    <n v="38198.002413223097"/>
    <n v="38198.002413223097"/>
    <n v="0"/>
    <n v="0"/>
    <n v="0"/>
    <n v="0"/>
    <n v="0"/>
    <n v="0"/>
    <n v="38197"/>
    <n v="0"/>
    <n v="0"/>
    <n v="55"/>
    <n v="0"/>
  </r>
  <r>
    <x v="140"/>
    <s v="Jangle Jhakra"/>
    <s v="MPG"/>
    <s v="Direct"/>
    <n v="2064.4499999999998"/>
    <n v="82508.947416840005"/>
    <n v="2141.29"/>
    <n v="89519.989211915701"/>
    <n v="29.389999999999997"/>
    <n v="1248.6129602202002"/>
    <n v="2170.6799999999998"/>
    <n v="90768.602172135899"/>
    <n v="82508.947416840005"/>
    <n v="0"/>
    <n v="1248.6129602202002"/>
    <n v="8259.6547552958946"/>
    <n v="0"/>
    <n v="0"/>
    <n v="0"/>
    <n v="81260"/>
    <n v="0"/>
    <n v="0"/>
    <n v="0"/>
    <s v="Release1"/>
  </r>
  <r>
    <x v="141"/>
    <s v="KATAHRA"/>
    <s v="MPG"/>
    <s v="Direct"/>
    <n v="527.35"/>
    <n v="21484.687178460004"/>
    <n v="533.26"/>
    <n v="23561.394130289798"/>
    <n v="0"/>
    <n v="0"/>
    <n v="533.26"/>
    <n v="23561.394130289798"/>
    <n v="21484.687178460004"/>
    <n v="0"/>
    <n v="0"/>
    <n v="2076.706951829794"/>
    <n v="0"/>
    <n v="0"/>
    <n v="0"/>
    <n v="21485"/>
    <n v="0"/>
    <n v="0"/>
    <n v="0"/>
    <n v="0"/>
  </r>
  <r>
    <x v="142"/>
    <s v="KARHARIA V"/>
    <s v="vlc"/>
    <s v="Indirect"/>
    <n v="213.15"/>
    <n v="7801.3066620900017"/>
    <n v="0"/>
    <n v="0"/>
    <n v="0"/>
    <n v="0"/>
    <n v="0"/>
    <n v="0"/>
    <n v="7801.3066620900017"/>
    <n v="0"/>
    <n v="0"/>
    <n v="0"/>
    <n v="7801"/>
    <n v="0"/>
    <n v="0"/>
    <n v="0"/>
    <n v="0"/>
    <n v="0.30666209000173694"/>
    <n v="0"/>
    <n v="0"/>
  </r>
  <r>
    <x v="143"/>
    <s v="BALADEV ITAHARI"/>
    <s v="MPG"/>
    <s v="Direct"/>
    <n v="546.1"/>
    <n v="21004.279233720001"/>
    <n v="567.15000000000009"/>
    <n v="25094.142010766682"/>
    <n v="0"/>
    <n v="0"/>
    <n v="567.15000000000009"/>
    <n v="25094.142010766682"/>
    <n v="21004.279233720001"/>
    <n v="0"/>
    <n v="0"/>
    <n v="4089.862777046681"/>
    <n v="0"/>
    <n v="0"/>
    <n v="0"/>
    <n v="21004"/>
    <n v="0"/>
    <n v="0"/>
    <n v="0"/>
    <n v="0"/>
  </r>
  <r>
    <x v="144"/>
    <s v="GOMUKH KODAND"/>
    <s v="vlc"/>
    <s v="Indirect"/>
    <n v="473.05"/>
    <n v="17387.661555765004"/>
    <n v="0"/>
    <n v="0"/>
    <n v="0"/>
    <n v="0"/>
    <n v="0"/>
    <n v="0"/>
    <n v="17387.661555765004"/>
    <n v="0"/>
    <n v="0"/>
    <n v="0"/>
    <n v="0"/>
    <n v="0"/>
    <n v="0"/>
    <n v="0"/>
    <n v="0"/>
    <n v="17387.661555765004"/>
    <n v="0"/>
    <n v="0"/>
  </r>
  <r>
    <x v="145"/>
    <s v="PAHALANPUR"/>
    <s v="MPG"/>
    <s v="Direct"/>
    <n v="919.15"/>
    <n v="36384.151373130007"/>
    <n v="917.74999999999977"/>
    <n v="35083.705166592663"/>
    <n v="0"/>
    <n v="0"/>
    <n v="917.74999999999977"/>
    <n v="35083.705166592663"/>
    <n v="35083.705166592663"/>
    <n v="0"/>
    <n v="0"/>
    <n v="0"/>
    <n v="0"/>
    <n v="0"/>
    <n v="0"/>
    <n v="35083"/>
    <n v="0"/>
    <n v="0"/>
    <n v="1301"/>
    <n v="0"/>
  </r>
  <r>
    <x v="146"/>
    <s v="TETARIYA"/>
    <s v="vlc"/>
    <s v="Indirect"/>
    <n v="202.7"/>
    <n v="7031.9811184139999"/>
    <n v="0"/>
    <n v="0"/>
    <n v="0"/>
    <n v="0"/>
    <n v="0"/>
    <n v="0"/>
    <n v="7031.9811184139999"/>
    <n v="0"/>
    <n v="0"/>
    <n v="0"/>
    <n v="0"/>
    <n v="0"/>
    <n v="0"/>
    <n v="0"/>
    <n v="0"/>
    <n v="7031.9811184139999"/>
    <n v="0"/>
    <n v="0"/>
  </r>
  <r>
    <x v="147"/>
    <s v="RAMBRAN YADAV"/>
    <s v="MPG"/>
    <s v="Direct"/>
    <n v="397.64999999999992"/>
    <n v="15589.072106295002"/>
    <n v="405.11"/>
    <n v="15981.295694388002"/>
    <n v="0"/>
    <n v="0"/>
    <n v="405.11"/>
    <n v="15981.295694388002"/>
    <n v="15589.072106295002"/>
    <n v="0"/>
    <n v="0"/>
    <n v="392.22358809300022"/>
    <n v="0"/>
    <n v="500"/>
    <n v="0"/>
    <n v="15089"/>
    <n v="0"/>
    <n v="0"/>
    <n v="0"/>
    <n v="0"/>
  </r>
  <r>
    <x v="1016"/>
    <s v="Gomukh Bhavnathpur"/>
    <s v="vlc"/>
    <s v="Indirect"/>
    <n v="76.2"/>
    <n v="1945.3541057280004"/>
    <n v="0"/>
    <n v="0"/>
    <n v="0"/>
    <n v="0"/>
    <n v="0"/>
    <n v="0"/>
    <n v="1945.3541057280004"/>
    <n v="0"/>
    <n v="0"/>
    <n v="0"/>
    <n v="0"/>
    <n v="0"/>
    <n v="0"/>
    <n v="0"/>
    <n v="0"/>
    <n v="1945.3541057280004"/>
    <n v="0"/>
    <n v="0"/>
  </r>
  <r>
    <x v="148"/>
    <s v="Gomukh Beldra"/>
    <s v="MPG"/>
    <s v="Direct"/>
    <n v="234.84999999999997"/>
    <n v="8434.8799988250012"/>
    <n v="231.46"/>
    <n v="8262.5264529900014"/>
    <n v="0"/>
    <n v="0"/>
    <n v="231.46"/>
    <n v="8262.5264529900014"/>
    <n v="8262.5264529900014"/>
    <n v="0"/>
    <n v="0"/>
    <n v="0"/>
    <n v="0"/>
    <n v="0"/>
    <n v="0"/>
    <n v="8263"/>
    <n v="0"/>
    <n v="0"/>
    <n v="172"/>
    <n v="0"/>
  </r>
  <r>
    <x v="149"/>
    <s v="Gomukh Chandanpura"/>
    <s v="MPG"/>
    <s v="Direct"/>
    <n v="517.9"/>
    <n v="21997.736409690002"/>
    <n v="545.86000000000013"/>
    <n v="27575.921808273695"/>
    <n v="0"/>
    <n v="0"/>
    <n v="545.86000000000013"/>
    <n v="27575.921808273695"/>
    <n v="21997.736409690002"/>
    <n v="0"/>
    <n v="0"/>
    <n v="5578.1853985836933"/>
    <n v="0"/>
    <n v="0"/>
    <n v="0"/>
    <n v="21998"/>
    <n v="0"/>
    <n v="0"/>
    <n v="0"/>
    <n v="0"/>
  </r>
  <r>
    <x v="150"/>
    <s v="BANOULI"/>
    <s v="MPG"/>
    <s v="Direct"/>
    <n v="42.35"/>
    <n v="1890.5448845250005"/>
    <n v="43.84"/>
    <n v="2192.8272413094005"/>
    <n v="0"/>
    <n v="0"/>
    <n v="43.84"/>
    <n v="2192.8272413094005"/>
    <n v="1890.5448845250005"/>
    <n v="0"/>
    <n v="0"/>
    <n v="302.28235678440001"/>
    <n v="0"/>
    <n v="0"/>
    <n v="0"/>
    <n v="1891"/>
    <n v="0"/>
    <n v="0"/>
    <n v="0"/>
    <n v="0"/>
  </r>
  <r>
    <x v="151"/>
    <s v="DARIYAPUR R"/>
    <s v="MPG"/>
    <s v="Direct"/>
    <n v="321.20000000000005"/>
    <n v="13285.650922590003"/>
    <n v="347.44"/>
    <n v="14707.67437900394"/>
    <n v="0"/>
    <n v="0"/>
    <n v="347.44"/>
    <n v="14707.67437900394"/>
    <n v="13285.650922590003"/>
    <n v="0"/>
    <n v="0"/>
    <n v="1422.0234564139373"/>
    <n v="0"/>
    <n v="0"/>
    <n v="0"/>
    <n v="13286"/>
    <n v="0"/>
    <n v="0"/>
    <n v="0"/>
    <n v="0"/>
  </r>
  <r>
    <x v="152"/>
    <s v="MUZAFFARGANJ"/>
    <s v="MPG"/>
    <s v="Direct"/>
    <n v="472.45"/>
    <n v="18396.939422562002"/>
    <n v="472.3"/>
    <n v="18355.355613356998"/>
    <n v="0"/>
    <n v="0"/>
    <n v="472.3"/>
    <n v="18355.355613356998"/>
    <n v="18355.355613356998"/>
    <n v="0"/>
    <n v="0"/>
    <n v="0"/>
    <n v="0"/>
    <n v="0"/>
    <n v="0"/>
    <n v="18355"/>
    <n v="0"/>
    <n v="0"/>
    <n v="42"/>
    <n v="0"/>
  </r>
  <r>
    <x v="153"/>
    <s v="SARHA"/>
    <s v="MPG"/>
    <s v="Direct"/>
    <n v="846.4"/>
    <n v="38404.417277470609"/>
    <n v="864.35"/>
    <n v="38246.692399201755"/>
    <n v="0"/>
    <n v="0"/>
    <n v="864.35"/>
    <n v="38246.692399201755"/>
    <n v="38246.692399201755"/>
    <n v="0"/>
    <n v="0"/>
    <n v="0"/>
    <n v="0"/>
    <n v="0"/>
    <n v="0"/>
    <n v="38247"/>
    <n v="0"/>
    <n v="0"/>
    <n v="157"/>
    <n v="0"/>
  </r>
  <r>
    <x v="154"/>
    <s v="KUSUMBHA"/>
    <s v="MPG"/>
    <s v="Direct"/>
    <n v="208.45000000000002"/>
    <n v="8935.4801853033023"/>
    <n v="220.10000000000002"/>
    <n v="10914.048439444372"/>
    <n v="0"/>
    <n v="0"/>
    <n v="220.10000000000002"/>
    <n v="10914.048439444372"/>
    <n v="8935.4801853033023"/>
    <n v="0"/>
    <n v="0"/>
    <n v="1978.5682541410697"/>
    <n v="0"/>
    <n v="0"/>
    <n v="0"/>
    <n v="8935"/>
    <n v="0"/>
    <n v="0"/>
    <n v="0"/>
    <n v="0"/>
  </r>
  <r>
    <x v="156"/>
    <s v="MANO"/>
    <s v="vlc"/>
    <s v="Indirect"/>
    <n v="1250.4000000000001"/>
    <n v="49757.121704626807"/>
    <n v="0"/>
    <n v="0"/>
    <n v="0"/>
    <n v="0"/>
    <n v="0"/>
    <n v="0"/>
    <n v="49757.121704626807"/>
    <n v="0"/>
    <n v="0"/>
    <n v="0"/>
    <n v="0"/>
    <n v="0"/>
    <n v="0"/>
    <n v="0"/>
    <n v="0"/>
    <n v="49757.121704626807"/>
    <n v="0"/>
    <n v="0"/>
  </r>
  <r>
    <x v="157"/>
    <s v="PURANI SALEMPUR"/>
    <s v="vlc"/>
    <s v="Indirect"/>
    <n v="1836.1"/>
    <n v="66374.803009302006"/>
    <n v="0"/>
    <n v="0"/>
    <n v="0"/>
    <n v="0"/>
    <n v="0"/>
    <n v="0"/>
    <n v="66374.803009302006"/>
    <n v="0"/>
    <n v="0"/>
    <n v="0"/>
    <n v="0"/>
    <n v="0"/>
    <n v="0"/>
    <n v="0"/>
    <n v="0"/>
    <n v="66374.803009302006"/>
    <n v="0"/>
    <n v="0"/>
  </r>
  <r>
    <x v="158"/>
    <s v="DHANDHHA"/>
    <s v="vlc"/>
    <s v="Indirect"/>
    <n v="2254.2000000000003"/>
    <n v="86768.233760700008"/>
    <n v="0"/>
    <n v="0"/>
    <n v="0"/>
    <n v="0"/>
    <n v="0"/>
    <n v="0"/>
    <n v="86768.233760700008"/>
    <n v="0"/>
    <n v="0"/>
    <n v="0"/>
    <n v="10400"/>
    <n v="0"/>
    <n v="0"/>
    <n v="0"/>
    <n v="0"/>
    <n v="76368.233760700008"/>
    <n v="0"/>
    <n v="0"/>
  </r>
  <r>
    <x v="159"/>
    <s v="CHALISH"/>
    <s v="vlc"/>
    <s v="Indirect"/>
    <n v="1222.7"/>
    <n v="47413.325992230006"/>
    <n v="0"/>
    <n v="0"/>
    <n v="0"/>
    <n v="0"/>
    <n v="0"/>
    <n v="0"/>
    <n v="47413.325992230006"/>
    <n v="0"/>
    <n v="0"/>
    <n v="0"/>
    <n v="0"/>
    <n v="0"/>
    <n v="0"/>
    <n v="0"/>
    <n v="0"/>
    <n v="47413.325992230006"/>
    <n v="0"/>
    <n v="0"/>
  </r>
  <r>
    <x v="160"/>
    <s v="MAA BHAGWATI"/>
    <s v="vlc"/>
    <s v="Indirect"/>
    <n v="1005.6999999999999"/>
    <n v="35998.656709116003"/>
    <n v="0"/>
    <n v="0"/>
    <n v="0"/>
    <n v="0"/>
    <n v="0"/>
    <n v="0"/>
    <n v="35998.656709116003"/>
    <n v="0"/>
    <n v="0"/>
    <n v="0"/>
    <n v="0"/>
    <n v="0"/>
    <n v="0"/>
    <n v="0"/>
    <n v="0"/>
    <n v="35998.656709116003"/>
    <n v="0"/>
    <n v="0"/>
  </r>
  <r>
    <x v="161"/>
    <s v="MAIDINICHOKI"/>
    <s v="vlc"/>
    <s v="Indirect"/>
    <n v="560.6"/>
    <n v="20975.013878261998"/>
    <n v="0"/>
    <n v="0"/>
    <n v="0"/>
    <n v="0"/>
    <n v="0"/>
    <n v="0"/>
    <n v="20975.013878261998"/>
    <n v="0"/>
    <n v="0"/>
    <n v="0"/>
    <n v="0"/>
    <n v="0"/>
    <n v="0"/>
    <n v="0"/>
    <n v="0"/>
    <n v="20975.013878261998"/>
    <n v="0"/>
    <n v="0"/>
  </r>
  <r>
    <x v="162"/>
    <s v="GOMUKH JAJWARA"/>
    <s v="vlc"/>
    <s v="Indirect"/>
    <n v="1833.5"/>
    <n v="74817.386604584506"/>
    <n v="0"/>
    <n v="0"/>
    <n v="0"/>
    <n v="0"/>
    <n v="0"/>
    <n v="0"/>
    <n v="74817.386604584506"/>
    <n v="0"/>
    <n v="0"/>
    <n v="0"/>
    <n v="0"/>
    <n v="0"/>
    <n v="0"/>
    <n v="0"/>
    <n v="0"/>
    <n v="74817.386604584506"/>
    <n v="0"/>
    <n v="0"/>
  </r>
  <r>
    <x v="163"/>
    <s v="Gomukh ID Sonvarsha"/>
    <s v="vlc"/>
    <s v="Indirect"/>
    <n v="1845.7000000000005"/>
    <n v="72557.938405358989"/>
    <n v="0"/>
    <n v="0"/>
    <n v="0"/>
    <n v="0"/>
    <n v="0"/>
    <n v="0"/>
    <n v="72557.938405358989"/>
    <n v="0"/>
    <n v="0"/>
    <n v="0"/>
    <n v="0"/>
    <n v="0"/>
    <n v="0"/>
    <n v="0"/>
    <n v="0"/>
    <n v="72557.938405358989"/>
    <n v="0"/>
    <n v="0"/>
  </r>
  <r>
    <x v="164"/>
    <s v="BALHAPUR"/>
    <s v="MPG"/>
    <s v="Direct"/>
    <n v="474.2"/>
    <n v="23004.405040428308"/>
    <n v="481.88"/>
    <n v="22970.286428198844"/>
    <n v="9.740000000000002"/>
    <n v="450.28837207163008"/>
    <n v="491.62"/>
    <n v="23420.574800270475"/>
    <n v="23004.405040428308"/>
    <n v="0"/>
    <n v="450.28837207163008"/>
    <n v="416.16975984216697"/>
    <n v="0"/>
    <n v="0"/>
    <n v="0"/>
    <n v="22554"/>
    <n v="0"/>
    <n v="0"/>
    <n v="0"/>
    <n v="0"/>
  </r>
  <r>
    <x v="165"/>
    <s v="Gomukh ID Husaina"/>
    <s v="vlc"/>
    <s v="Indirect"/>
    <n v="353.4"/>
    <n v="12801.419626410003"/>
    <n v="0"/>
    <n v="0"/>
    <n v="0"/>
    <n v="0"/>
    <n v="0"/>
    <n v="0"/>
    <n v="12801.419626410003"/>
    <n v="0"/>
    <n v="0"/>
    <n v="0"/>
    <n v="0"/>
    <n v="0"/>
    <n v="0"/>
    <n v="0"/>
    <n v="0"/>
    <n v="12801.419626410003"/>
    <n v="0"/>
    <n v="0"/>
  </r>
  <r>
    <x v="167"/>
    <s v="MAA SARDE"/>
    <s v="vlc"/>
    <s v="Indirect"/>
    <n v="669.3"/>
    <n v="23029.2857661015"/>
    <n v="0"/>
    <n v="0"/>
    <n v="0"/>
    <n v="0"/>
    <n v="0"/>
    <n v="0"/>
    <n v="23029.2857661015"/>
    <n v="0"/>
    <n v="0"/>
    <n v="0"/>
    <n v="0"/>
    <n v="0"/>
    <n v="0"/>
    <n v="0"/>
    <n v="0"/>
    <n v="23029.2857661015"/>
    <n v="0"/>
    <n v="0"/>
  </r>
  <r>
    <x v="168"/>
    <s v="PURANI DIH"/>
    <s v="vlc"/>
    <s v="Indirect"/>
    <n v="1735.1000000000004"/>
    <n v="71589.442632865015"/>
    <n v="0"/>
    <n v="0"/>
    <n v="0"/>
    <n v="0"/>
    <n v="0"/>
    <n v="0"/>
    <n v="71589.442632865015"/>
    <n v="0"/>
    <n v="0"/>
    <n v="0"/>
    <n v="19500"/>
    <n v="0"/>
    <n v="0"/>
    <n v="0"/>
    <n v="0"/>
    <n v="52089.442632865015"/>
    <n v="0"/>
    <n v="0"/>
  </r>
  <r>
    <x v="169"/>
    <s v="Farda Ravi Tola"/>
    <s v="MPG"/>
    <s v="Direct"/>
    <n v="1002.9999999999998"/>
    <n v="35960.137238539501"/>
    <n v="1103.3000000000002"/>
    <n v="40842.355095239996"/>
    <n v="11.7"/>
    <n v="440.07789186000008"/>
    <n v="1115.0000000000002"/>
    <n v="41282.432987099994"/>
    <n v="35960.137238539501"/>
    <n v="0"/>
    <n v="440.07789186000008"/>
    <n v="5322.2957485604929"/>
    <n v="0"/>
    <n v="0"/>
    <n v="0"/>
    <n v="35520"/>
    <n v="0"/>
    <n v="0"/>
    <n v="0"/>
    <n v="0"/>
  </r>
  <r>
    <x v="170"/>
    <s v="Gomukh Puranidih 2"/>
    <s v="vlc"/>
    <s v="Indirect"/>
    <n v="133.69999999999999"/>
    <n v="5964.5909444400004"/>
    <n v="0"/>
    <n v="0"/>
    <n v="0"/>
    <n v="0"/>
    <n v="0"/>
    <n v="0"/>
    <n v="5964.5909444400004"/>
    <n v="0"/>
    <n v="0"/>
    <n v="0"/>
    <n v="0"/>
    <n v="0"/>
    <n v="0"/>
    <n v="0"/>
    <n v="0"/>
    <n v="5964.5909444400004"/>
    <n v="0"/>
    <n v="0"/>
  </r>
  <r>
    <x v="171"/>
    <s v="Gomukh Arma"/>
    <s v="MPG"/>
    <s v="Direct"/>
    <n v="661.8"/>
    <n v="28564.594020912005"/>
    <n v="663.75"/>
    <n v="30382.573606022655"/>
    <n v="5.1000000000000005"/>
    <n v="240.52873069275"/>
    <n v="668.85"/>
    <n v="30623.102336715405"/>
    <n v="28564.594020912005"/>
    <n v="0"/>
    <n v="240.52873069275"/>
    <n v="2058.5083158033995"/>
    <n v="0"/>
    <n v="0"/>
    <n v="0"/>
    <n v="28324"/>
    <n v="0"/>
    <n v="0"/>
    <n v="0"/>
    <n v="0"/>
  </r>
  <r>
    <x v="172"/>
    <s v="Singhchak"/>
    <s v="MPG"/>
    <s v="Direct"/>
    <n v="1447.7"/>
    <n v="62748.71053567202"/>
    <n v="1453.1000000000001"/>
    <n v="63090.937635610913"/>
    <n v="20.839999999999996"/>
    <n v="906.96820850400013"/>
    <n v="1473.94"/>
    <n v="63997.90584411491"/>
    <n v="62748.71053567202"/>
    <n v="0"/>
    <n v="906.96820850400013"/>
    <n v="1249.1953084428897"/>
    <n v="0"/>
    <n v="0"/>
    <n v="0"/>
    <n v="61842"/>
    <n v="0"/>
    <n v="0"/>
    <n v="0"/>
    <s v="Release1"/>
  </r>
  <r>
    <x v="173"/>
    <s v="MAHA-LAXMI"/>
    <s v="vlc"/>
    <s v="Indirect"/>
    <n v="667.40000000000009"/>
    <n v="23763.701943841505"/>
    <n v="0"/>
    <n v="0"/>
    <n v="0"/>
    <n v="0"/>
    <n v="0"/>
    <n v="0"/>
    <n v="23763.701943841505"/>
    <n v="0"/>
    <n v="0"/>
    <n v="0"/>
    <n v="0"/>
    <n v="0"/>
    <n v="0"/>
    <n v="0"/>
    <n v="0"/>
    <n v="23763.701943841505"/>
    <n v="0"/>
    <n v="0"/>
  </r>
  <r>
    <x v="174"/>
    <s v="PAWAI"/>
    <s v="MPG"/>
    <s v="Direct"/>
    <n v="1857.1999999999996"/>
    <n v="84119.681692793994"/>
    <n v="1712.58"/>
    <n v="78504.646866431605"/>
    <n v="146.30000000000001"/>
    <n v="6226.4805715540006"/>
    <n v="1858.8799999999999"/>
    <n v="84731.127437985604"/>
    <n v="84119.681692793994"/>
    <n v="0"/>
    <n v="1094.5950076210001"/>
    <n v="611.4457451916096"/>
    <n v="0"/>
    <n v="0"/>
    <n v="0"/>
    <n v="77893"/>
    <n v="5132"/>
    <n v="0"/>
    <n v="0"/>
    <n v="0"/>
  </r>
  <r>
    <x v="175"/>
    <s v="LAKHOCHAK                                                                                           "/>
    <s v="MPG"/>
    <s v="Direct"/>
    <n v="404.3"/>
    <n v="16474.778705370001"/>
    <n v="412.81"/>
    <n v="17608.313391790944"/>
    <n v="0"/>
    <n v="0"/>
    <n v="412.81"/>
    <n v="17608.313391790944"/>
    <n v="16474.778705370001"/>
    <n v="0"/>
    <n v="0"/>
    <n v="1133.5346864209423"/>
    <n v="0"/>
    <n v="0"/>
    <n v="0"/>
    <n v="0"/>
    <n v="0"/>
    <n v="0"/>
    <n v="16475"/>
    <s v="Yes"/>
  </r>
  <r>
    <x v="176"/>
    <s v="BATTA RAMPUR                                                                                        "/>
    <s v="MPG"/>
    <s v="Direct"/>
    <n v="3273.1999999999994"/>
    <n v="163001.67985303712"/>
    <n v="3316.51"/>
    <n v="163557.3273875899"/>
    <n v="27.450000000000003"/>
    <n v="1761.55556399939"/>
    <n v="3343.96"/>
    <n v="165318.8829515893"/>
    <n v="163001.67985303712"/>
    <n v="0"/>
    <n v="1761.55556399939"/>
    <n v="2317.2030985521851"/>
    <n v="0"/>
    <n v="0"/>
    <n v="0"/>
    <n v="161240"/>
    <n v="0"/>
    <n v="0"/>
    <n v="0"/>
    <n v="0"/>
  </r>
  <r>
    <x v="983"/>
    <s v="URAIN"/>
    <s v="MPG"/>
    <s v="Direct"/>
    <n v="939.2"/>
    <n v="42124.926055551005"/>
    <n v="105.4"/>
    <n v="5716.2041620440004"/>
    <n v="875"/>
    <n v="40569.835711654305"/>
    <n v="980.4"/>
    <n v="46286.039873698304"/>
    <n v="42124.926055551005"/>
    <n v="0"/>
    <n v="749.37629800950015"/>
    <n v="4161.1138181472998"/>
    <n v="0"/>
    <n v="0"/>
    <n v="0"/>
    <n v="1556"/>
    <n v="39820"/>
    <n v="0"/>
    <n v="0"/>
    <n v="0"/>
  </r>
  <r>
    <x v="984"/>
    <s v="RANDHIR KUMAR(VLC)"/>
    <s v="vlc"/>
    <s v="Indirect"/>
    <n v="245.5"/>
    <n v="8500.8630542175015"/>
    <n v="0"/>
    <n v="0"/>
    <n v="0"/>
    <n v="0"/>
    <n v="0"/>
    <n v="0"/>
    <n v="8500.8630542175015"/>
    <n v="0"/>
    <n v="0"/>
    <n v="0"/>
    <n v="0"/>
    <n v="0"/>
    <n v="0"/>
    <n v="0"/>
    <n v="0"/>
    <n v="8500.8630542175015"/>
    <n v="0"/>
    <n v="0"/>
  </r>
  <r>
    <x v="177"/>
    <s v="MALIYA"/>
    <s v="MPG"/>
    <s v="Direct"/>
    <n v="587.79999999999995"/>
    <n v="27848.137204036506"/>
    <n v="646.2600000000001"/>
    <n v="29828.055434659946"/>
    <n v="8.4"/>
    <n v="328.20997172949996"/>
    <n v="654.66000000000008"/>
    <n v="30156.265406389444"/>
    <n v="27848.137204036506"/>
    <n v="1600"/>
    <n v="328.20997172949996"/>
    <n v="2308.1282023529384"/>
    <n v="0"/>
    <n v="0"/>
    <n v="0"/>
    <n v="25920"/>
    <n v="0"/>
    <n v="0"/>
    <n v="0"/>
    <n v="0"/>
  </r>
  <r>
    <x v="178"/>
    <s v="MAHULIYA"/>
    <s v="MPG"/>
    <s v="Direct"/>
    <n v="665.1"/>
    <n v="30300.565196375403"/>
    <n v="705.92000000000019"/>
    <n v="30297.878873720292"/>
    <n v="7.6"/>
    <n v="310.40966258699996"/>
    <n v="713.52000000000021"/>
    <n v="30608.288536307293"/>
    <n v="30300.565196375403"/>
    <n v="0"/>
    <n v="310.40966258699996"/>
    <n v="307.72333993189022"/>
    <n v="0"/>
    <n v="0"/>
    <n v="0"/>
    <n v="29990"/>
    <n v="0"/>
    <n v="0"/>
    <n v="0"/>
    <n v="0"/>
  </r>
  <r>
    <x v="929"/>
    <s v="ABGIL RAMPUR"/>
    <s v="vlc"/>
    <s v="Indirect"/>
    <n v="278.09999999999997"/>
    <n v="10245.831608914499"/>
    <n v="0"/>
    <n v="0"/>
    <n v="0"/>
    <n v="0"/>
    <n v="0"/>
    <n v="0"/>
    <n v="10245.831608914499"/>
    <n v="0"/>
    <n v="0"/>
    <n v="0"/>
    <n v="0"/>
    <n v="0"/>
    <n v="0"/>
    <n v="0"/>
    <n v="0"/>
    <n v="10245.831608914499"/>
    <n v="0"/>
    <n v="0"/>
  </r>
  <r>
    <x v="179"/>
    <s v="RUPESH KUMAR"/>
    <s v="vlc"/>
    <s v="Indirect"/>
    <n v="372.59999999999997"/>
    <n v="13360.136283720001"/>
    <n v="0"/>
    <n v="0"/>
    <n v="0"/>
    <n v="0"/>
    <n v="0"/>
    <n v="0"/>
    <n v="13360.136283720001"/>
    <n v="0"/>
    <n v="0"/>
    <n v="0"/>
    <n v="0"/>
    <n v="0"/>
    <n v="0"/>
    <n v="0"/>
    <n v="0"/>
    <n v="13360.136283720001"/>
    <n v="0"/>
    <n v="0"/>
  </r>
  <r>
    <x v="180"/>
    <s v="ABGIL HUSSAINA-2                                                                                    "/>
    <s v="MPG"/>
    <s v="Direct"/>
    <n v="567.70000000000005"/>
    <n v="21392.629943340002"/>
    <n v="240.13"/>
    <n v="9238.4014944668997"/>
    <n v="328.9"/>
    <n v="12789.413069691449"/>
    <n v="569.03"/>
    <n v="22027.814564158347"/>
    <n v="21392.629943340002"/>
    <n v="0"/>
    <n v="147.2447560944"/>
    <n v="635.18462081834514"/>
    <n v="0"/>
    <n v="0"/>
    <n v="0"/>
    <n v="9065"/>
    <n v="12180"/>
    <n v="0"/>
    <n v="0"/>
    <s v="Release1"/>
  </r>
  <r>
    <x v="181"/>
    <s v="Manish Kumar                                                                                        "/>
    <s v="vlc"/>
    <s v="Indirect"/>
    <n v="259.7"/>
    <n v="9671.7589174920013"/>
    <n v="0"/>
    <n v="0"/>
    <n v="0"/>
    <n v="0"/>
    <n v="0"/>
    <n v="0"/>
    <n v="9671.7589174920013"/>
    <n v="0"/>
    <n v="0"/>
    <n v="0"/>
    <n v="0"/>
    <n v="0"/>
    <n v="0"/>
    <n v="0"/>
    <n v="0"/>
    <n v="9671.7589174920013"/>
    <n v="0"/>
    <n v="0"/>
  </r>
  <r>
    <x v="182"/>
    <s v="AKHA-KURHA"/>
    <s v="vlc"/>
    <s v="Indirect"/>
    <n v="403.1"/>
    <n v="16153.258199010002"/>
    <n v="0"/>
    <n v="0"/>
    <n v="0"/>
    <n v="0"/>
    <n v="0"/>
    <n v="0"/>
    <n v="16153.258199010002"/>
    <n v="0"/>
    <n v="0"/>
    <n v="0"/>
    <n v="0"/>
    <n v="0"/>
    <n v="0"/>
    <n v="0"/>
    <n v="0"/>
    <n v="16153.258199010002"/>
    <n v="0"/>
    <n v="0"/>
  </r>
  <r>
    <x v="183"/>
    <s v="BHANDAR"/>
    <s v="MPG"/>
    <s v="Direct"/>
    <n v="294.59999999999997"/>
    <n v="13375.874228111001"/>
    <n v="294.59999999999997"/>
    <n v="13375.874228111003"/>
    <n v="0"/>
    <n v="0"/>
    <n v="294.59999999999997"/>
    <n v="13375.874228111003"/>
    <n v="13375.874228111001"/>
    <n v="0"/>
    <n v="0"/>
    <n v="0"/>
    <n v="0"/>
    <n v="0"/>
    <n v="0"/>
    <n v="13376"/>
    <n v="0"/>
    <n v="0"/>
    <n v="0"/>
    <n v="0"/>
  </r>
  <r>
    <x v="184"/>
    <s v="BASMATIYA"/>
    <s v="MPG"/>
    <s v="Direct"/>
    <n v="308.2"/>
    <n v="13426.240033556001"/>
    <n v="307.07000000000005"/>
    <n v="14019.937893336235"/>
    <n v="5.1899999999999995"/>
    <n v="217.47183130380003"/>
    <n v="312.26000000000005"/>
    <n v="14237.409724640034"/>
    <n v="13426.240033556001"/>
    <n v="0"/>
    <n v="217.47183130380003"/>
    <n v="811.16969108403282"/>
    <n v="0"/>
    <n v="0"/>
    <n v="0"/>
    <n v="13209"/>
    <n v="0"/>
    <n v="0"/>
    <n v="0"/>
    <n v="0"/>
  </r>
  <r>
    <x v="1017"/>
    <s v="AKHA KURHA"/>
    <s v="MPG"/>
    <s v="Direct"/>
    <n v="30.8"/>
    <n v="1292.9587902000003"/>
    <n v="31"/>
    <n v="1301.3546265000002"/>
    <n v="0"/>
    <n v="0"/>
    <n v="31"/>
    <n v="1301.3546265000002"/>
    <n v="1292.9587902000003"/>
    <n v="0"/>
    <n v="0"/>
    <n v="8.3958362999999281"/>
    <n v="0"/>
    <n v="0"/>
    <n v="0"/>
    <n v="1293"/>
    <n v="0"/>
    <n v="0"/>
    <n v="0"/>
    <n v="0"/>
  </r>
  <r>
    <x v="185"/>
    <s v="TILATHI"/>
    <s v="MPG"/>
    <s v="Direct"/>
    <n v="1253.7000000000003"/>
    <n v="50566.37667055201"/>
    <n v="1160.8000000000002"/>
    <n v="45758.249720506945"/>
    <n v="112.92000000000002"/>
    <n v="4842.1122864110503"/>
    <n v="1273.7200000000003"/>
    <n v="50600.362006917996"/>
    <n v="50566.37667055201"/>
    <n v="0"/>
    <n v="704.13762671999996"/>
    <n v="33.985336365985859"/>
    <n v="0"/>
    <n v="0"/>
    <n v="0"/>
    <n v="45759"/>
    <n v="4103"/>
    <n v="0"/>
    <n v="0"/>
    <s v="Release1"/>
  </r>
  <r>
    <x v="1018"/>
    <s v="WHACHAUKI"/>
    <s v="vlc"/>
    <s v="Indirect"/>
    <n v="79.599999999999994"/>
    <n v="2668.8152672040001"/>
    <n v="0"/>
    <n v="0"/>
    <n v="0"/>
    <n v="0"/>
    <n v="0"/>
    <n v="0"/>
    <n v="2668.8152672040001"/>
    <n v="0"/>
    <n v="0"/>
    <n v="0"/>
    <n v="0"/>
    <n v="0"/>
    <n v="0"/>
    <n v="0"/>
    <n v="0"/>
    <n v="2668.8152672040001"/>
    <n v="0"/>
    <n v="0"/>
  </r>
  <r>
    <x v="186"/>
    <s v="GOMUKH WESTOL"/>
    <s v="vlc"/>
    <s v="Indirect"/>
    <n v="1173.3"/>
    <n v="44508.775168500011"/>
    <n v="0"/>
    <n v="0"/>
    <n v="0"/>
    <n v="0"/>
    <n v="0"/>
    <n v="0"/>
    <n v="44508.775168500011"/>
    <n v="0"/>
    <n v="0"/>
    <n v="0"/>
    <n v="0"/>
    <n v="0"/>
    <n v="0"/>
    <n v="0"/>
    <n v="0"/>
    <n v="44508.775168500011"/>
    <n v="0"/>
    <n v="0"/>
  </r>
  <r>
    <x v="985"/>
    <s v="GOMUKH NAWTOLIYA(OM PRAKASH)"/>
    <s v="vlc"/>
    <s v="Indirect"/>
    <n v="302.09999999999997"/>
    <n v="10500.844067754"/>
    <n v="0"/>
    <n v="0"/>
    <n v="0"/>
    <n v="0"/>
    <n v="0"/>
    <n v="0"/>
    <n v="10500.844067754"/>
    <n v="0"/>
    <n v="0"/>
    <n v="0"/>
    <n v="0"/>
    <n v="0"/>
    <n v="0"/>
    <n v="0"/>
    <n v="0"/>
    <n v="10500.844067754"/>
    <n v="0"/>
    <n v="0"/>
  </r>
  <r>
    <x v="187"/>
    <s v="SANGRAMPUR"/>
    <s v="MPG"/>
    <s v="Direct"/>
    <n v="743.2"/>
    <n v="33512.196753013799"/>
    <n v="746.87999999999988"/>
    <n v="33648.186684430584"/>
    <n v="0"/>
    <n v="0"/>
    <n v="746.87999999999988"/>
    <n v="33648.186684430584"/>
    <n v="33512.196753013799"/>
    <n v="0"/>
    <n v="0"/>
    <n v="135.98993141678511"/>
    <n v="0"/>
    <n v="0"/>
    <n v="0"/>
    <n v="33512"/>
    <n v="0"/>
    <n v="0"/>
    <n v="0"/>
    <n v="0"/>
  </r>
  <r>
    <x v="188"/>
    <s v="GOMUKH CHASMASKAN"/>
    <s v="vlc"/>
    <s v="Indirect"/>
    <n v="1603.8"/>
    <n v="58979.239017030013"/>
    <n v="0"/>
    <n v="0"/>
    <n v="0"/>
    <n v="0"/>
    <n v="0"/>
    <n v="0"/>
    <n v="58979.239017030013"/>
    <n v="0"/>
    <n v="0"/>
    <n v="0"/>
    <n v="0"/>
    <n v="0"/>
    <n v="0"/>
    <n v="0"/>
    <n v="0"/>
    <n v="58979.239017030013"/>
    <n v="0"/>
    <n v="0"/>
  </r>
  <r>
    <x v="189"/>
    <s v="GOMUKH KAJITOLA"/>
    <s v="vlc"/>
    <s v="Indirect"/>
    <n v="1475.3999999999999"/>
    <n v="55784.310402269999"/>
    <n v="0"/>
    <n v="0"/>
    <n v="0"/>
    <n v="0"/>
    <n v="0"/>
    <n v="0"/>
    <n v="55784.310402269999"/>
    <n v="0"/>
    <n v="0"/>
    <n v="0"/>
    <n v="0"/>
    <n v="0"/>
    <n v="0"/>
    <n v="0"/>
    <n v="0"/>
    <n v="55784.310402269999"/>
    <n v="0"/>
    <n v="0"/>
  </r>
  <r>
    <x v="190"/>
    <s v="RAMDEV TOLA"/>
    <s v="MPG"/>
    <s v="Direct"/>
    <n v="2001.1999999999998"/>
    <n v="84276.171531773027"/>
    <n v="1270.1900000000003"/>
    <n v="55580.144521893206"/>
    <n v="728.3900000000001"/>
    <n v="28709.866911420002"/>
    <n v="1998.5800000000004"/>
    <n v="84290.011433313208"/>
    <n v="84276.171531773027"/>
    <n v="0"/>
    <n v="415.42410816000006"/>
    <n v="13.839901540181017"/>
    <n v="6500"/>
    <n v="0"/>
    <n v="0"/>
    <n v="50367"/>
    <n v="26994"/>
    <n v="0"/>
    <n v="0"/>
    <s v="Release1"/>
  </r>
  <r>
    <x v="191"/>
    <s v="GOMUKH KATEHAR"/>
    <s v="vlc"/>
    <s v="Indirect"/>
    <n v="1817.6000000000001"/>
    <n v="64045.415535181506"/>
    <n v="0"/>
    <n v="0"/>
    <n v="0"/>
    <n v="0"/>
    <n v="0"/>
    <n v="0"/>
    <n v="64045.415535181506"/>
    <n v="0"/>
    <n v="0"/>
    <n v="0"/>
    <n v="0"/>
    <n v="0"/>
    <n v="0"/>
    <n v="0"/>
    <n v="0"/>
    <n v="64045.415535181506"/>
    <n v="0"/>
    <n v="0"/>
  </r>
  <r>
    <x v="192"/>
    <s v="PIPARPATI"/>
    <s v="MPG"/>
    <s v="Direct"/>
    <n v="711.80000000000007"/>
    <n v="35113.617462388997"/>
    <n v="698.78999999999985"/>
    <n v="36277.117412215594"/>
    <n v="8.26"/>
    <n v="362.60774670000001"/>
    <n v="707.04999999999984"/>
    <n v="36639.725158915593"/>
    <n v="35113.617462388997"/>
    <n v="0"/>
    <n v="362.60774670000001"/>
    <n v="1526.1076965265966"/>
    <n v="0"/>
    <n v="0"/>
    <n v="0"/>
    <n v="34751"/>
    <n v="0"/>
    <n v="0"/>
    <n v="0"/>
    <n v="0"/>
  </r>
  <r>
    <x v="193"/>
    <s v="GOMUKH JAGMAGLA"/>
    <s v="vlc"/>
    <s v="Indirect"/>
    <n v="557.29999999999995"/>
    <n v="22511.129968500001"/>
    <n v="0"/>
    <n v="0"/>
    <n v="0"/>
    <n v="0"/>
    <n v="0"/>
    <n v="0"/>
    <n v="22511.129968500001"/>
    <n v="0"/>
    <n v="0"/>
    <n v="0"/>
    <n v="0"/>
    <n v="0"/>
    <n v="0"/>
    <n v="0"/>
    <n v="0"/>
    <n v="22511.129968500001"/>
    <n v="0"/>
    <n v="0"/>
  </r>
  <r>
    <x v="930"/>
    <s v="PACHRUKHI"/>
    <s v="MPG"/>
    <s v="Direct"/>
    <n v="21.699999999999996"/>
    <n v="714.76913117700008"/>
    <n v="21.700000000000003"/>
    <n v="765.68629100249996"/>
    <n v="0"/>
    <n v="0"/>
    <n v="21.700000000000003"/>
    <n v="765.68629100249996"/>
    <n v="714.76913117700008"/>
    <n v="0"/>
    <n v="0"/>
    <n v="50.91715982549988"/>
    <n v="0"/>
    <n v="500"/>
    <n v="0"/>
    <n v="215"/>
    <n v="0"/>
    <n v="0"/>
    <n v="0"/>
    <n v="0"/>
  </r>
  <r>
    <x v="986"/>
    <s v="ORABAGICHA"/>
    <s v="MPG"/>
    <s v="Direct"/>
    <n v="232.89999999999998"/>
    <n v="9273.5803946100023"/>
    <n v="147.63999999999999"/>
    <n v="5964.0561679620005"/>
    <n v="97.51"/>
    <n v="3837.8716710060003"/>
    <n v="245.14999999999998"/>
    <n v="9801.9278389680003"/>
    <n v="9273.5803946100023"/>
    <n v="0"/>
    <n v="50.421851790000005"/>
    <n v="528.34744435799803"/>
    <n v="0"/>
    <n v="500"/>
    <n v="0"/>
    <n v="4935"/>
    <n v="3788"/>
    <n v="0"/>
    <n v="0"/>
    <n v="0"/>
  </r>
  <r>
    <x v="194"/>
    <s v="KHAJURIYA"/>
    <s v="MPG"/>
    <s v="Direct"/>
    <n v="773.4"/>
    <n v="32687.409846724804"/>
    <n v="759.83999999999992"/>
    <n v="47759.767932808238"/>
    <n v="0"/>
    <n v="0"/>
    <n v="759.83999999999992"/>
    <n v="47759.767932808238"/>
    <n v="32687.409846724804"/>
    <n v="0"/>
    <n v="0"/>
    <n v="15072.358086083434"/>
    <n v="0"/>
    <n v="0"/>
    <n v="0"/>
    <n v="32687"/>
    <n v="0"/>
    <n v="0"/>
    <n v="0"/>
    <s v="Release1"/>
  </r>
  <r>
    <x v="1019"/>
    <s v="ADALPUR"/>
    <s v="vlc"/>
    <s v="Indirect"/>
    <n v="13.6"/>
    <n v="447.19779297600007"/>
    <n v="0"/>
    <n v="0"/>
    <n v="0"/>
    <n v="0"/>
    <n v="0"/>
    <n v="0"/>
    <n v="447.19779297600007"/>
    <n v="0"/>
    <n v="0"/>
    <n v="0"/>
    <n v="0"/>
    <n v="0"/>
    <n v="0"/>
    <n v="0"/>
    <n v="0"/>
    <n v="447.19779297600007"/>
    <n v="0"/>
    <n v="0"/>
  </r>
  <r>
    <x v="195"/>
    <s v="NAYA SALEMPUR"/>
    <s v="vlc"/>
    <s v="Indirect"/>
    <n v="626.29999999999995"/>
    <n v="24449.989758480002"/>
    <n v="0"/>
    <n v="0"/>
    <n v="0"/>
    <n v="0"/>
    <n v="0"/>
    <n v="0"/>
    <n v="24449.989758480002"/>
    <n v="0"/>
    <n v="0"/>
    <n v="0"/>
    <n v="0"/>
    <n v="0"/>
    <n v="0"/>
    <n v="0"/>
    <n v="0"/>
    <n v="24449.989758480002"/>
    <n v="0"/>
    <n v="0"/>
  </r>
  <r>
    <x v="196"/>
    <s v="MANO 2"/>
    <s v="MPG"/>
    <s v="Direct"/>
    <n v="490.70000000000005"/>
    <n v="19411.598320290002"/>
    <n v="490.5"/>
    <n v="19436.847591630001"/>
    <n v="0"/>
    <n v="0"/>
    <n v="490.5"/>
    <n v="19436.847591630001"/>
    <n v="19411.598320290002"/>
    <n v="0"/>
    <n v="0"/>
    <n v="25.249271339998813"/>
    <n v="0"/>
    <n v="0"/>
    <n v="0"/>
    <n v="19317"/>
    <n v="0"/>
    <n v="0"/>
    <n v="95"/>
    <n v="0"/>
  </r>
  <r>
    <x v="197"/>
    <s v="LOSDHANI"/>
    <s v="MPG"/>
    <s v="Direct"/>
    <n v="88.899999999999991"/>
    <n v="3398.1539450400005"/>
    <n v="129.20000000000002"/>
    <n v="4944.5758280700002"/>
    <n v="11.4"/>
    <n v="446.4603396"/>
    <n v="140.60000000000002"/>
    <n v="5391.0361676700004"/>
    <n v="3398.1539450400005"/>
    <n v="0"/>
    <n v="33.410163600000004"/>
    <n v="1992.8822226299999"/>
    <n v="0"/>
    <n v="0"/>
    <n v="0"/>
    <n v="2952"/>
    <n v="413"/>
    <n v="0"/>
    <n v="0"/>
    <n v="0"/>
  </r>
  <r>
    <x v="199"/>
    <s v="GOMUKH BAGALWA"/>
    <s v="MPG"/>
    <s v="Direct"/>
    <n v="252.6"/>
    <n v="11775.344186254002"/>
    <n v="79"/>
    <n v="3785.0745180780004"/>
    <n v="376.66999999999996"/>
    <n v="19136.765336149656"/>
    <n v="455.66999999999996"/>
    <n v="22921.839854227655"/>
    <n v="11775.344186254002"/>
    <n v="0"/>
    <n v="0"/>
    <n v="11146.495667973653"/>
    <n v="0"/>
    <n v="0"/>
    <n v="0"/>
    <n v="0"/>
    <n v="11775"/>
    <n v="0"/>
    <n v="0"/>
    <s v="Release1"/>
  </r>
  <r>
    <x v="200"/>
    <s v="GOMUKH LARYATAL"/>
    <s v="vlc"/>
    <s v="Indirect"/>
    <n v="80.100000000000009"/>
    <n v="4178.3073246670001"/>
    <n v="0"/>
    <n v="0"/>
    <n v="0"/>
    <n v="0"/>
    <n v="0"/>
    <n v="0"/>
    <n v="4178.3073246670001"/>
    <n v="0"/>
    <n v="0"/>
    <n v="0"/>
    <n v="0"/>
    <n v="0"/>
    <n v="0"/>
    <n v="0"/>
    <n v="0"/>
    <n v="4178.3073246670001"/>
    <n v="0"/>
    <n v="0"/>
  </r>
  <r>
    <x v="201"/>
    <s v="GOMUKH BHITAKITA"/>
    <s v="vlc"/>
    <s v="Indirect"/>
    <n v="184.39999999999998"/>
    <n v="6710.8835713935014"/>
    <n v="0"/>
    <n v="0"/>
    <n v="0"/>
    <n v="0"/>
    <n v="0"/>
    <n v="0"/>
    <n v="6710.8835713935014"/>
    <n v="0"/>
    <n v="0"/>
    <n v="0"/>
    <n v="0"/>
    <n v="0"/>
    <n v="0"/>
    <n v="0"/>
    <n v="0"/>
    <n v="6710.8835713935014"/>
    <n v="0"/>
    <n v="0"/>
  </r>
  <r>
    <x v="203"/>
    <s v="GOMUKH OJONTOLA"/>
    <s v="vlc"/>
    <s v="Indirect"/>
    <n v="109.20000000000002"/>
    <n v="4962.9404443980002"/>
    <n v="0"/>
    <n v="0"/>
    <n v="0"/>
    <n v="0"/>
    <n v="0"/>
    <n v="0"/>
    <n v="4962.9404443980002"/>
    <n v="0"/>
    <n v="0"/>
    <n v="0"/>
    <n v="0"/>
    <n v="0"/>
    <n v="0"/>
    <n v="0"/>
    <n v="0"/>
    <n v="4962.9404443980002"/>
    <n v="0"/>
    <n v="0"/>
  </r>
  <r>
    <x v="204"/>
    <s v="KHUDDIBAN SHIVNAGAR"/>
    <s v="MPG"/>
    <s v="Direct"/>
    <n v="1327.6999999999998"/>
    <n v="43661.336351485501"/>
    <n v="1310.6999999999998"/>
    <n v="44889.17940353851"/>
    <n v="108"/>
    <n v="3873.1363956000005"/>
    <n v="1418.6999999999998"/>
    <n v="48762.315799138509"/>
    <n v="43661.336351485501"/>
    <n v="0"/>
    <n v="0"/>
    <n v="5100.9794476530078"/>
    <n v="0"/>
    <n v="0"/>
    <n v="0"/>
    <n v="39788"/>
    <n v="3873"/>
    <n v="0"/>
    <n v="0"/>
    <n v="0"/>
  </r>
  <r>
    <x v="205"/>
    <s v="BARIYARPUR"/>
    <s v="MPG"/>
    <s v="Direct"/>
    <n v="246.40000000000006"/>
    <n v="9820.5852834600028"/>
    <n v="249.1"/>
    <n v="9959.0190824100009"/>
    <n v="16.5"/>
    <n v="618.41294331000006"/>
    <n v="265.60000000000002"/>
    <n v="10577.432025720002"/>
    <n v="9820.5852834600028"/>
    <n v="0"/>
    <n v="126.83089851000001"/>
    <n v="756.84674225999879"/>
    <n v="0"/>
    <n v="0"/>
    <n v="0"/>
    <n v="9202"/>
    <n v="492"/>
    <n v="0"/>
    <n v="0"/>
    <n v="0"/>
  </r>
  <r>
    <x v="206"/>
    <s v="MASUDAN"/>
    <s v="MPG"/>
    <s v="Direct"/>
    <n v="928.59999999999991"/>
    <n v="36827.069875740002"/>
    <n v="655.22000000000014"/>
    <n v="25146.671884429004"/>
    <n v="276.35000000000002"/>
    <n v="11981.627327420079"/>
    <n v="931.57000000000016"/>
    <n v="37128.29921184908"/>
    <n v="36827.069875740002"/>
    <n v="0"/>
    <n v="0"/>
    <n v="301.22933610907785"/>
    <n v="6500"/>
    <n v="0"/>
    <n v="0"/>
    <n v="18346"/>
    <n v="11981"/>
    <n v="0"/>
    <n v="0"/>
    <s v="Release1"/>
  </r>
  <r>
    <x v="208"/>
    <s v="GOMUKH BOHLA"/>
    <s v="vlc"/>
    <s v="Indirect"/>
    <n v="602.5"/>
    <n v="19657.173031411501"/>
    <n v="0"/>
    <n v="0"/>
    <n v="0"/>
    <n v="0"/>
    <n v="0"/>
    <n v="0"/>
    <n v="19657.173031411501"/>
    <n v="0"/>
    <n v="0"/>
    <n v="0"/>
    <n v="0"/>
    <n v="0"/>
    <n v="0"/>
    <n v="0"/>
    <n v="0"/>
    <n v="19657.173031411501"/>
    <n v="0"/>
    <n v="0"/>
  </r>
  <r>
    <x v="209"/>
    <s v="Gomukh ID Araria"/>
    <s v="vlc"/>
    <s v="Indirect"/>
    <n v="4590.3"/>
    <n v="170065.41589065004"/>
    <n v="0"/>
    <n v="0"/>
    <n v="0"/>
    <n v="0"/>
    <n v="0"/>
    <n v="0"/>
    <n v="170065.41589065004"/>
    <n v="0"/>
    <n v="0"/>
    <n v="0"/>
    <n v="0"/>
    <n v="0"/>
    <n v="0"/>
    <n v="0"/>
    <n v="0"/>
    <n v="170065.41589065004"/>
    <n v="0"/>
    <n v="0"/>
  </r>
  <r>
    <x v="210"/>
    <s v="Gomukh ID Chaidha"/>
    <s v="vlc"/>
    <s v="Indirect"/>
    <n v="965.1"/>
    <n v="32825.090809068002"/>
    <n v="0"/>
    <n v="0"/>
    <n v="0"/>
    <n v="0"/>
    <n v="0"/>
    <n v="0"/>
    <n v="32825.090809068002"/>
    <n v="0"/>
    <n v="0"/>
    <n v="0"/>
    <n v="0"/>
    <n v="0"/>
    <n v="0"/>
    <n v="0"/>
    <n v="0"/>
    <n v="32825.090809068002"/>
    <n v="0"/>
    <n v="0"/>
  </r>
  <r>
    <x v="211"/>
    <s v="Gomukh ID Pakrail"/>
    <s v="vlc"/>
    <s v="Indirect"/>
    <n v="967.24"/>
    <n v="33813.973807968599"/>
    <n v="0"/>
    <n v="0"/>
    <n v="0"/>
    <n v="0"/>
    <n v="0"/>
    <n v="0"/>
    <n v="33813.973807968599"/>
    <n v="0"/>
    <n v="0"/>
    <n v="0"/>
    <n v="0"/>
    <n v="0"/>
    <n v="0"/>
    <n v="0"/>
    <n v="0"/>
    <n v="33813.973807968599"/>
    <n v="0"/>
    <n v="0"/>
  </r>
  <r>
    <x v="212"/>
    <s v="Gomukh ID Pipra"/>
    <s v="vlc"/>
    <s v="Indirect"/>
    <n v="1062.06"/>
    <n v="36004.819374146267"/>
    <n v="0"/>
    <n v="0"/>
    <n v="0"/>
    <n v="0"/>
    <n v="0"/>
    <n v="0"/>
    <n v="36004.819374146267"/>
    <n v="0"/>
    <n v="0"/>
    <n v="0"/>
    <n v="0"/>
    <n v="0"/>
    <n v="0"/>
    <n v="0"/>
    <n v="0"/>
    <n v="36004.819374146267"/>
    <n v="0"/>
    <n v="0"/>
  </r>
  <r>
    <x v="213"/>
    <s v="Gomukh Fatepur                                                                                      "/>
    <s v="MPG"/>
    <s v="Direct"/>
    <n v="163.79999999999998"/>
    <n v="6209.50647321"/>
    <n v="0"/>
    <n v="0"/>
    <n v="0"/>
    <n v="0"/>
    <n v="0"/>
    <n v="0"/>
    <n v="0"/>
    <n v="0"/>
    <n v="0"/>
    <n v="0"/>
    <n v="0"/>
    <n v="0"/>
    <n v="0"/>
    <n v="0"/>
    <n v="0"/>
    <n v="0"/>
    <n v="6210"/>
    <n v="0"/>
  </r>
  <r>
    <x v="214"/>
    <s v="Gomukh Gauchhari"/>
    <s v="MPG"/>
    <s v="Direct"/>
    <n v="265"/>
    <n v="10641.042403770003"/>
    <n v="264.99"/>
    <n v="10696.921369683001"/>
    <n v="1.4100000000000001"/>
    <n v="57.134991090000014"/>
    <n v="266.40000000000003"/>
    <n v="10754.056360773002"/>
    <n v="10641.042403770003"/>
    <n v="0"/>
    <n v="57.134991090000014"/>
    <n v="113.01395700299872"/>
    <n v="0"/>
    <n v="0"/>
    <n v="0"/>
    <n v="10584"/>
    <n v="0"/>
    <n v="0"/>
    <n v="0"/>
    <s v="Release1"/>
  </r>
  <r>
    <x v="215"/>
    <s v="Gomukh Arariya Karjaniya"/>
    <s v="vlc"/>
    <s v="Indirect"/>
    <n v="10570.300000000001"/>
    <n v="403699.77905730007"/>
    <n v="0"/>
    <n v="0"/>
    <n v="0"/>
    <n v="0"/>
    <n v="0"/>
    <n v="0"/>
    <n v="403699.77905730007"/>
    <n v="0"/>
    <n v="0"/>
    <n v="0"/>
    <n v="0"/>
    <n v="0"/>
    <n v="0"/>
    <n v="0"/>
    <n v="0"/>
    <n v="403699.77905730007"/>
    <n v="0"/>
    <n v="0"/>
  </r>
  <r>
    <x v="216"/>
    <s v="Gomukh Aariya Dummer Kothi"/>
    <s v="vlc"/>
    <s v="Indirect"/>
    <n v="6593.9000000000005"/>
    <n v="250817.34797385003"/>
    <n v="0"/>
    <n v="0"/>
    <n v="0"/>
    <n v="0"/>
    <n v="0"/>
    <n v="0"/>
    <n v="250817.34797385003"/>
    <n v="0"/>
    <n v="0"/>
    <n v="0"/>
    <n v="0"/>
    <n v="0"/>
    <n v="0"/>
    <n v="0"/>
    <n v="0"/>
    <n v="250817.34797385003"/>
    <n v="0"/>
    <n v="0"/>
  </r>
  <r>
    <x v="217"/>
    <s v="Gomukh Balha"/>
    <s v="vlc"/>
    <s v="Indirect"/>
    <n v="5015.8999999999996"/>
    <n v="186770.29658016004"/>
    <n v="0"/>
    <n v="0"/>
    <n v="0"/>
    <n v="0"/>
    <n v="0"/>
    <n v="0"/>
    <n v="186770.29658016004"/>
    <n v="0"/>
    <n v="0"/>
    <n v="0"/>
    <n v="0"/>
    <n v="0"/>
    <n v="0"/>
    <n v="0"/>
    <n v="0"/>
    <n v="186770.29658016004"/>
    <n v="0"/>
    <n v="0"/>
  </r>
  <r>
    <x v="218"/>
    <s v="Haripur - Sanjay"/>
    <s v="vlc"/>
    <s v="Indirect"/>
    <n v="831.69999999999993"/>
    <n v="30965.719522320011"/>
    <n v="0"/>
    <n v="0"/>
    <n v="0"/>
    <n v="0"/>
    <n v="0"/>
    <n v="0"/>
    <n v="30965.719522320011"/>
    <n v="0"/>
    <n v="0"/>
    <n v="0"/>
    <n v="0"/>
    <n v="0"/>
    <n v="0"/>
    <n v="0"/>
    <n v="0"/>
    <n v="30965.719522320011"/>
    <n v="0"/>
    <n v="0"/>
  </r>
  <r>
    <x v="219"/>
    <s v="Araria - Ankesh"/>
    <s v="vlc"/>
    <s v="Indirect"/>
    <n v="1466.9"/>
    <n v="57201.109408079996"/>
    <n v="0"/>
    <n v="0"/>
    <n v="0"/>
    <n v="0"/>
    <n v="0"/>
    <n v="0"/>
    <n v="57201.109408079996"/>
    <n v="0"/>
    <n v="0"/>
    <n v="0"/>
    <n v="57201"/>
    <n v="0"/>
    <n v="0"/>
    <n v="0"/>
    <n v="0"/>
    <n v="0.10940807999577373"/>
    <n v="0"/>
    <n v="0"/>
  </r>
  <r>
    <x v="220"/>
    <s v="Gomukh Kabela                                                                                       "/>
    <s v="MPG"/>
    <s v="Direct"/>
    <n v="483"/>
    <n v="24074.43754383695"/>
    <n v="488.7999999999999"/>
    <n v="22737.683766971808"/>
    <n v="0"/>
    <n v="0"/>
    <n v="488.7999999999999"/>
    <n v="22737.683766971808"/>
    <n v="22737.683766971808"/>
    <n v="0"/>
    <n v="0"/>
    <n v="0"/>
    <n v="0"/>
    <n v="0"/>
    <n v="0"/>
    <n v="22737"/>
    <n v="0"/>
    <n v="0"/>
    <n v="1337"/>
    <n v="0"/>
  </r>
  <r>
    <x v="221"/>
    <s v="Gomukh Malpa Uttari                                                                                 "/>
    <s v="vlc"/>
    <s v="Indirect"/>
    <n v="140.35999999999999"/>
    <n v="4377.4328821104009"/>
    <n v="0"/>
    <n v="0"/>
    <n v="0"/>
    <n v="0"/>
    <n v="0"/>
    <n v="0"/>
    <n v="4377.4328821104009"/>
    <n v="0"/>
    <n v="0"/>
    <n v="0"/>
    <n v="0"/>
    <n v="0"/>
    <n v="0"/>
    <n v="0"/>
    <n v="0"/>
    <n v="4377.4328821104009"/>
    <n v="0"/>
    <n v="0"/>
  </r>
  <r>
    <x v="222"/>
    <s v="Gomukh Sapha"/>
    <s v="MPG"/>
    <s v="Direct"/>
    <n v="150.99999999999997"/>
    <n v="5936.9121127500011"/>
    <n v="153.64000000000001"/>
    <n v="6117.3785380888812"/>
    <n v="6.01"/>
    <n v="240.867761688"/>
    <n v="159.65"/>
    <n v="6358.2462997768816"/>
    <n v="5936.9121127500011"/>
    <n v="0"/>
    <n v="240.867761688"/>
    <n v="421.3341870268805"/>
    <n v="0"/>
    <n v="0"/>
    <n v="0"/>
    <n v="5696"/>
    <n v="0"/>
    <n v="0"/>
    <n v="0"/>
    <n v="0"/>
  </r>
  <r>
    <x v="223"/>
    <s v="Araria"/>
    <s v="vlc"/>
    <s v="Indirect"/>
    <n v="10658.2"/>
    <n v="408060.67494960007"/>
    <n v="0"/>
    <n v="0"/>
    <n v="0"/>
    <n v="0"/>
    <n v="0"/>
    <n v="0"/>
    <n v="408060.67494960007"/>
    <n v="0"/>
    <n v="0"/>
    <n v="0"/>
    <n v="0"/>
    <n v="0"/>
    <n v="0"/>
    <n v="0"/>
    <n v="0"/>
    <n v="408060.67494960007"/>
    <n v="0"/>
    <n v="0"/>
  </r>
  <r>
    <x v="224"/>
    <s v="Gomukh Gauchhari"/>
    <s v="MPG"/>
    <s v="Direct"/>
    <n v="103.6"/>
    <n v="3663.9091672740005"/>
    <n v="0"/>
    <n v="0"/>
    <n v="0"/>
    <n v="0"/>
    <n v="0"/>
    <n v="0"/>
    <n v="0"/>
    <n v="0"/>
    <n v="0"/>
    <n v="0"/>
    <n v="0"/>
    <n v="0"/>
    <n v="0"/>
    <n v="0"/>
    <n v="0"/>
    <n v="0"/>
    <n v="3664"/>
    <n v="0"/>
  </r>
  <r>
    <x v="225"/>
    <s v="Telouch"/>
    <s v="MPG"/>
    <s v="Direct"/>
    <n v="2068.7399999999998"/>
    <n v="80421.923180100013"/>
    <n v="2070.66"/>
    <n v="82083.072358380014"/>
    <n v="6.7"/>
    <n v="238.77523200000007"/>
    <n v="2077.3599999999997"/>
    <n v="82321.847590380014"/>
    <n v="80421.923180100013"/>
    <n v="0"/>
    <n v="238.77523200000007"/>
    <n v="1899.9244102800003"/>
    <n v="0"/>
    <n v="0"/>
    <n v="0"/>
    <n v="80183"/>
    <n v="0"/>
    <n v="0"/>
    <n v="0"/>
    <n v="0"/>
  </r>
  <r>
    <x v="226"/>
    <s v="Gomukh Jhangara B"/>
    <s v="MPG"/>
    <s v="Direct"/>
    <n v="1530"/>
    <n v="60911.33579052001"/>
    <n v="1562.2199999999998"/>
    <n v="65101.607505096254"/>
    <n v="0"/>
    <n v="0"/>
    <n v="1562.2199999999998"/>
    <n v="65101.607505096254"/>
    <n v="60911.33579052001"/>
    <n v="0"/>
    <n v="0"/>
    <n v="4190.2717145762435"/>
    <n v="0"/>
    <n v="0"/>
    <n v="0"/>
    <n v="60911"/>
    <n v="0"/>
    <n v="0"/>
    <n v="0"/>
    <n v="0"/>
  </r>
  <r>
    <x v="227"/>
    <s v="Gomukh Saraiya"/>
    <s v="vlc"/>
    <s v="Direct"/>
    <n v="270.02"/>
    <n v="9802.9167969636001"/>
    <n v="272.57"/>
    <n v="15821.470207303599"/>
    <n v="0"/>
    <n v="0"/>
    <n v="272.57"/>
    <n v="15821.470207303599"/>
    <n v="9802.9167969636001"/>
    <n v="0"/>
    <n v="0"/>
    <n v="6018.5534103399987"/>
    <n v="0"/>
    <n v="0"/>
    <n v="0"/>
    <n v="9803"/>
    <n v="0"/>
    <n v="0"/>
    <n v="0"/>
    <s v="Release1"/>
  </r>
  <r>
    <x v="228"/>
    <s v=" Gomukh Nauranga"/>
    <s v="vlc"/>
    <s v="Indirect"/>
    <n v="507.59999999999997"/>
    <n v="21841.893442413002"/>
    <n v="0"/>
    <n v="0"/>
    <n v="0"/>
    <n v="0"/>
    <n v="0"/>
    <n v="0"/>
    <n v="21841.893442413002"/>
    <n v="0"/>
    <n v="0"/>
    <n v="0"/>
    <n v="0"/>
    <n v="0"/>
    <n v="0"/>
    <n v="0"/>
    <n v="0"/>
    <n v="21841.893442413002"/>
    <n v="0"/>
    <n v="0"/>
  </r>
  <r>
    <x v="229"/>
    <s v="Gomukh Malpa Dhutauli VLC"/>
    <s v="vlc"/>
    <s v="Indirect"/>
    <n v="19"/>
    <n v="660.52182009600017"/>
    <n v="0"/>
    <n v="0"/>
    <n v="0"/>
    <n v="0"/>
    <n v="0"/>
    <n v="0"/>
    <n v="660.52182009600017"/>
    <n v="0"/>
    <n v="0"/>
    <n v="0"/>
    <n v="0"/>
    <n v="0"/>
    <n v="0"/>
    <n v="0"/>
    <n v="0"/>
    <n v="660.52182009600017"/>
    <n v="0"/>
    <n v="0"/>
  </r>
  <r>
    <x v="230"/>
    <s v="Gomukh Pakrail Vijay Nagar VLC"/>
    <s v="vlc"/>
    <s v="Indirect"/>
    <n v="1202.6600000000001"/>
    <n v="45657.260887302"/>
    <n v="0"/>
    <n v="0"/>
    <n v="0"/>
    <n v="0"/>
    <n v="0"/>
    <n v="0"/>
    <n v="45657.260887302"/>
    <n v="0"/>
    <n v="0"/>
    <n v="0"/>
    <n v="0"/>
    <n v="0"/>
    <n v="0"/>
    <n v="0"/>
    <n v="0"/>
    <n v="45657.260887302"/>
    <n v="0"/>
    <n v="0"/>
  </r>
  <r>
    <x v="231"/>
    <s v="Gomukh Pakrail Shirnia VLC"/>
    <s v="vlc"/>
    <s v="Indirect"/>
    <n v="106.56"/>
    <n v="3856.5942217878001"/>
    <n v="0"/>
    <n v="0"/>
    <n v="0"/>
    <n v="0"/>
    <n v="0"/>
    <n v="0"/>
    <n v="3856.5942217878001"/>
    <n v="0"/>
    <n v="0"/>
    <n v="0"/>
    <n v="0"/>
    <n v="0"/>
    <n v="0"/>
    <n v="0"/>
    <n v="0"/>
    <n v="3856.5942217878001"/>
    <n v="0"/>
    <n v="0"/>
  </r>
  <r>
    <x v="232"/>
    <s v="Gomukh Godhiyasi Nayagow VLC"/>
    <s v="vlc"/>
    <s v="Indirect"/>
    <n v="196"/>
    <n v="6415.9101915480005"/>
    <n v="0"/>
    <n v="0"/>
    <n v="0"/>
    <n v="0"/>
    <n v="0"/>
    <n v="0"/>
    <n v="6415.9101915480005"/>
    <n v="0"/>
    <n v="0"/>
    <n v="0"/>
    <n v="0"/>
    <n v="0"/>
    <n v="0"/>
    <n v="0"/>
    <n v="0"/>
    <n v="6415.9101915480005"/>
    <n v="0"/>
    <n v="0"/>
  </r>
  <r>
    <x v="233"/>
    <s v="Gomukh Bandehra Purbi"/>
    <s v="MPG"/>
    <s v="Direct"/>
    <n v="285.89999999999998"/>
    <n v="11540.04867204"/>
    <n v="131.89999999999998"/>
    <n v="5291.1091613039998"/>
    <n v="0"/>
    <n v="0"/>
    <n v="131.89999999999998"/>
    <n v="5291.1091613039998"/>
    <n v="5291.1091613039998"/>
    <n v="0"/>
    <n v="0"/>
    <n v="0"/>
    <n v="0"/>
    <n v="0"/>
    <n v="0"/>
    <n v="5291"/>
    <n v="0"/>
    <n v="0"/>
    <n v="6249"/>
    <n v="0"/>
  </r>
  <r>
    <x v="234"/>
    <s v="Gomukh Tila Tol"/>
    <s v="MPG"/>
    <s v="Direct"/>
    <n v="1097.0400000000002"/>
    <n v="42176.57106018241"/>
    <n v="1098.0400000000002"/>
    <n v="42256.239940557905"/>
    <n v="4.0599999999999996"/>
    <n v="164.76023931900002"/>
    <n v="1102.1000000000001"/>
    <n v="42421.000179876908"/>
    <n v="42176.57106018241"/>
    <n v="0"/>
    <n v="164.76023931900002"/>
    <n v="244.42911969449779"/>
    <n v="0"/>
    <n v="0"/>
    <n v="0"/>
    <n v="42012"/>
    <n v="0"/>
    <n v="0"/>
    <n v="0"/>
    <n v="0"/>
  </r>
  <r>
    <x v="235"/>
    <s v="Gomukh Dina Chakla Vlc"/>
    <s v="vlc"/>
    <s v="Indirect"/>
    <n v="263"/>
    <n v="9610.4173740900023"/>
    <n v="0"/>
    <n v="0"/>
    <n v="0"/>
    <n v="0"/>
    <n v="0"/>
    <n v="0"/>
    <n v="9610.4173740900023"/>
    <n v="0"/>
    <n v="0"/>
    <n v="0"/>
    <n v="0"/>
    <n v="0"/>
    <n v="0"/>
    <n v="0"/>
    <n v="0"/>
    <n v="9610.4173740900023"/>
    <n v="0"/>
    <n v="0"/>
  </r>
  <r>
    <x v="1020"/>
    <s v="Gomukh Gulshan Kumar VLC"/>
    <s v="vlc"/>
    <s v="Indirect"/>
    <n v="1286.9000000000001"/>
    <n v="47460.446812023009"/>
    <n v="0"/>
    <n v="0"/>
    <n v="0"/>
    <n v="0"/>
    <n v="0"/>
    <n v="0"/>
    <n v="47460.446812023009"/>
    <n v="0"/>
    <n v="0"/>
    <n v="0"/>
    <n v="0"/>
    <n v="0"/>
    <n v="0"/>
    <n v="0"/>
    <n v="0"/>
    <n v="47460.446812023009"/>
    <n v="0"/>
    <n v="0"/>
  </r>
  <r>
    <x v="236"/>
    <s v="Gomukh Gogri VLC"/>
    <s v="vlc"/>
    <s v="Indirect"/>
    <n v="326.70000000000005"/>
    <n v="10041.914664642001"/>
    <n v="0"/>
    <n v="0"/>
    <n v="0"/>
    <n v="0"/>
    <n v="0"/>
    <n v="0"/>
    <n v="10041.914664642001"/>
    <n v="0"/>
    <n v="0"/>
    <n v="0"/>
    <n v="0"/>
    <n v="0"/>
    <n v="0"/>
    <n v="0"/>
    <n v="0"/>
    <n v="10041.914664642001"/>
    <n v="0"/>
    <n v="0"/>
  </r>
  <r>
    <x v="237"/>
    <s v="Gomukh Sondiha Jay Prakash VLC"/>
    <s v="vlc"/>
    <s v="Indirect"/>
    <n v="144.4"/>
    <n v="4997.7816308564998"/>
    <n v="0"/>
    <n v="0"/>
    <n v="0"/>
    <n v="0"/>
    <n v="0"/>
    <n v="0"/>
    <n v="4997.7816308564998"/>
    <n v="0"/>
    <n v="0"/>
    <n v="0"/>
    <n v="0"/>
    <n v="0"/>
    <n v="0"/>
    <n v="0"/>
    <n v="0"/>
    <n v="4997.7816308564998"/>
    <n v="0"/>
    <n v="0"/>
  </r>
  <r>
    <x v="238"/>
    <s v="Gomukh Bari Chak Gogri"/>
    <s v="MPG"/>
    <s v="Direct"/>
    <n v="185.4"/>
    <n v="6447.54793419"/>
    <n v="209.86"/>
    <n v="7160.6449194588004"/>
    <n v="40.01"/>
    <n v="1302.3088679608502"/>
    <n v="249.87"/>
    <n v="8462.9537874196503"/>
    <n v="6447.54793419"/>
    <n v="0"/>
    <n v="0"/>
    <n v="2015.4058532296503"/>
    <n v="0"/>
    <n v="500"/>
    <n v="0"/>
    <n v="4646"/>
    <n v="1302"/>
    <n v="0"/>
    <n v="0"/>
    <n v="0"/>
  </r>
  <r>
    <x v="239"/>
    <s v="Gomukh Khatha"/>
    <s v="MPG"/>
    <s v="Direct"/>
    <n v="936.2"/>
    <n v="33996.791530258502"/>
    <n v="0"/>
    <n v="0"/>
    <n v="0"/>
    <n v="0"/>
    <n v="0"/>
    <n v="0"/>
    <n v="0"/>
    <n v="0"/>
    <n v="0"/>
    <n v="0"/>
    <n v="0"/>
    <n v="0"/>
    <n v="0"/>
    <n v="0"/>
    <n v="0"/>
    <n v="0"/>
    <n v="33997"/>
    <n v="0"/>
  </r>
  <r>
    <x v="240"/>
    <s v="Chak Punervas"/>
    <s v="vlc"/>
    <s v="Indirect"/>
    <n v="2538.1"/>
    <n v="89031.534663665996"/>
    <n v="0"/>
    <n v="0"/>
    <n v="0"/>
    <n v="0"/>
    <n v="0"/>
    <n v="0"/>
    <n v="89031.534663665996"/>
    <n v="0"/>
    <n v="0"/>
    <n v="0"/>
    <n v="0"/>
    <n v="0"/>
    <n v="0"/>
    <n v="0"/>
    <n v="0"/>
    <n v="89031.534663665996"/>
    <n v="0"/>
    <n v="0"/>
  </r>
  <r>
    <x v="241"/>
    <s v="Labherchak"/>
    <s v="vlc"/>
    <s v="Indirect"/>
    <n v="272.40000000000003"/>
    <n v="10010.711226177002"/>
    <n v="0"/>
    <n v="0"/>
    <n v="0"/>
    <n v="0"/>
    <n v="0"/>
    <n v="0"/>
    <n v="10010.711226177002"/>
    <n v="0"/>
    <n v="0"/>
    <n v="0"/>
    <n v="10011"/>
    <n v="0"/>
    <n v="0"/>
    <n v="0"/>
    <n v="0"/>
    <n v="-0.28877382299833698"/>
    <n v="0"/>
    <n v="0"/>
  </r>
  <r>
    <x v="242"/>
    <s v="Paspura"/>
    <s v="vlc"/>
    <s v="Indirect"/>
    <n v="127.15"/>
    <n v="4485.9051912960012"/>
    <n v="0"/>
    <n v="0"/>
    <n v="0"/>
    <n v="0"/>
    <n v="0"/>
    <n v="0"/>
    <n v="4485.9051912960012"/>
    <n v="0"/>
    <n v="0"/>
    <n v="0"/>
    <n v="0"/>
    <n v="0"/>
    <n v="0"/>
    <n v="0"/>
    <n v="0"/>
    <n v="4485.9051912960012"/>
    <n v="0"/>
    <n v="0"/>
  </r>
  <r>
    <x v="243"/>
    <s v="Gomukh Godhna"/>
    <s v="vlc"/>
    <s v="Indirect"/>
    <n v="63.55"/>
    <n v="2430.7603145265007"/>
    <n v="0"/>
    <n v="0"/>
    <n v="0"/>
    <n v="0"/>
    <n v="0"/>
    <n v="0"/>
    <n v="2430.7603145265007"/>
    <n v="0"/>
    <n v="0"/>
    <n v="0"/>
    <n v="0"/>
    <n v="0"/>
    <n v="0"/>
    <n v="0"/>
    <n v="0"/>
    <n v="2430.7603145265007"/>
    <n v="0"/>
    <n v="0"/>
  </r>
  <r>
    <x v="244"/>
    <s v="Gomukh Sihma 2"/>
    <s v="vlc"/>
    <s v="Indirect"/>
    <n v="271.2"/>
    <n v="9471.0828151170008"/>
    <n v="0"/>
    <n v="0"/>
    <n v="0"/>
    <n v="0"/>
    <n v="0"/>
    <n v="0"/>
    <n v="9471.0828151170008"/>
    <n v="0"/>
    <n v="0"/>
    <n v="0"/>
    <n v="0"/>
    <n v="0"/>
    <n v="0"/>
    <n v="0"/>
    <n v="0"/>
    <n v="9471.0828151170008"/>
    <n v="0"/>
    <n v="0"/>
  </r>
  <r>
    <x v="245"/>
    <s v="Gomukh ID Marsaito"/>
    <s v="vlc"/>
    <s v="Indirect"/>
    <n v="818.74999999999989"/>
    <n v="30153.333497077503"/>
    <n v="0"/>
    <n v="0"/>
    <n v="0"/>
    <n v="0"/>
    <n v="0"/>
    <n v="0"/>
    <n v="30153.333497077503"/>
    <n v="0"/>
    <n v="0"/>
    <n v="0"/>
    <n v="0"/>
    <n v="0"/>
    <n v="0"/>
    <n v="0"/>
    <n v="0"/>
    <n v="30153.333497077503"/>
    <n v="0"/>
    <n v="0"/>
  </r>
  <r>
    <x v="246"/>
    <s v="Gomukh ID Akashpur-2"/>
    <s v="vlc"/>
    <s v="Indirect"/>
    <n v="1607.7000000000003"/>
    <n v="60649.202233224001"/>
    <n v="0"/>
    <n v="0"/>
    <n v="0"/>
    <n v="0"/>
    <n v="0"/>
    <n v="0"/>
    <n v="60649.202233224001"/>
    <n v="0"/>
    <n v="0"/>
    <n v="0"/>
    <n v="0"/>
    <n v="0"/>
    <n v="0"/>
    <n v="0"/>
    <n v="0"/>
    <n v="60649.202233224001"/>
    <n v="0"/>
    <n v="0"/>
  </r>
  <r>
    <x v="247"/>
    <s v="Gomukh ID Akashpur"/>
    <s v="vlc"/>
    <s v="Indirect"/>
    <n v="607.75"/>
    <n v="23844.799624272004"/>
    <n v="0"/>
    <n v="0"/>
    <n v="0"/>
    <n v="0"/>
    <n v="0"/>
    <n v="0"/>
    <n v="23844.799624272004"/>
    <n v="0"/>
    <n v="0"/>
    <n v="0"/>
    <n v="0"/>
    <n v="0"/>
    <n v="0"/>
    <n v="0"/>
    <n v="0"/>
    <n v="23844.799624272004"/>
    <n v="0"/>
    <n v="0"/>
  </r>
  <r>
    <x v="248"/>
    <s v="Gomukh ID Rachiyahi"/>
    <s v="vlc"/>
    <s v="Indirect"/>
    <n v="123.75000000000001"/>
    <n v="4873.7874187110001"/>
    <n v="0"/>
    <n v="0"/>
    <n v="0"/>
    <n v="0"/>
    <n v="0"/>
    <n v="0"/>
    <n v="4873.7874187110001"/>
    <n v="0"/>
    <n v="0"/>
    <n v="0"/>
    <n v="0"/>
    <n v="0"/>
    <n v="0"/>
    <n v="0"/>
    <n v="0"/>
    <n v="4873.7874187110001"/>
    <n v="0"/>
    <n v="0"/>
  </r>
  <r>
    <x v="249"/>
    <s v="GomukhBariyahi Chanan"/>
    <s v="MPG"/>
    <s v="Direct"/>
    <n v="3372.8999999999996"/>
    <n v="116246.1196733105"/>
    <n v="3417.7000000000003"/>
    <n v="120493.72314022553"/>
    <n v="4.5999999999999996"/>
    <n v="155.42521953000002"/>
    <n v="3422.3"/>
    <n v="120649.14835975553"/>
    <n v="116246.1196733105"/>
    <n v="0"/>
    <n v="155.42521953000002"/>
    <n v="4403.0286864450318"/>
    <n v="0"/>
    <n v="0"/>
    <n v="0"/>
    <n v="116091"/>
    <n v="0"/>
    <n v="0"/>
    <n v="0"/>
    <n v="0"/>
  </r>
  <r>
    <x v="250"/>
    <s v="GomukhGehuni"/>
    <s v="MPG"/>
    <s v="Direct"/>
    <n v="46.349999999999994"/>
    <n v="1717.22405864025"/>
    <n v="44.5"/>
    <n v="1697.4488527500002"/>
    <n v="0.1"/>
    <n v="3.4751112000000006"/>
    <n v="44.6"/>
    <n v="1700.9239639500001"/>
    <n v="1700.9239639500001"/>
    <n v="0"/>
    <n v="3.4751112000000006"/>
    <n v="0"/>
    <n v="392"/>
    <n v="500"/>
    <n v="0"/>
    <n v="806"/>
    <n v="0"/>
    <n v="0"/>
    <n v="16"/>
    <s v="Release1"/>
  </r>
  <r>
    <x v="251"/>
    <s v="Gomukh Bakhatpur"/>
    <s v="MPG"/>
    <s v="Direct"/>
    <n v="241.75"/>
    <n v="10523.784575640002"/>
    <n v="234.40000000000003"/>
    <n v="9772.1310695315915"/>
    <n v="4.09"/>
    <n v="162.27573168645"/>
    <n v="238.49000000000004"/>
    <n v="9934.4068012180414"/>
    <n v="9934.4068012180414"/>
    <n v="0"/>
    <n v="162.27573168645"/>
    <n v="0"/>
    <n v="0"/>
    <n v="0"/>
    <n v="0"/>
    <n v="9772"/>
    <n v="0"/>
    <n v="0"/>
    <n v="590"/>
    <n v="0"/>
  </r>
  <r>
    <x v="987"/>
    <s v="Ananaya Dairy"/>
    <s v="vlc"/>
    <s v="Indirect"/>
    <n v="4591"/>
    <n v="174022.7840559"/>
    <n v="0"/>
    <n v="0"/>
    <n v="0"/>
    <n v="0"/>
    <n v="0"/>
    <n v="0"/>
    <n v="174022.7840559"/>
    <n v="0"/>
    <n v="0"/>
    <n v="0"/>
    <n v="0"/>
    <n v="0"/>
    <n v="0"/>
    <n v="0"/>
    <n v="0"/>
    <n v="174022.7840559"/>
    <n v="0"/>
    <n v="0"/>
  </r>
  <r>
    <x v="252"/>
    <s v="Gomukh Bishanpur"/>
    <s v="MPG"/>
    <s v="Direct"/>
    <n v="875.94999999999993"/>
    <n v="33252.291177982508"/>
    <n v="906.74"/>
    <n v="34420.692963897432"/>
    <n v="13.269999999999998"/>
    <n v="505.77901568100003"/>
    <n v="920.01"/>
    <n v="34926.471979578433"/>
    <n v="33252.291177982508"/>
    <n v="0"/>
    <n v="505.77901568100003"/>
    <n v="1674.180801595925"/>
    <n v="0"/>
    <n v="0"/>
    <n v="0"/>
    <n v="32747"/>
    <n v="0"/>
    <n v="0"/>
    <n v="0"/>
    <s v="Release1"/>
  </r>
  <r>
    <x v="253"/>
    <s v="GOMUKH BEGAMSARAI"/>
    <s v="MPG"/>
    <s v="Direct"/>
    <n v="346"/>
    <n v="14905.243440125751"/>
    <n v="283.94"/>
    <n v="12609.607733153362"/>
    <n v="139.13"/>
    <n v="5670.3056390520596"/>
    <n v="423.07"/>
    <n v="18279.913372205421"/>
    <n v="14905.243440125751"/>
    <n v="0"/>
    <n v="66.825250996699992"/>
    <n v="3374.6699320796706"/>
    <n v="0"/>
    <n v="0"/>
    <n v="0"/>
    <n v="9234"/>
    <n v="5604"/>
    <n v="0"/>
    <n v="0"/>
    <n v="0"/>
  </r>
  <r>
    <x v="255"/>
    <s v="Adharpur - Manish"/>
    <s v="vlc"/>
    <s v="Indirect"/>
    <n v="818.65000000000009"/>
    <n v="33520.795833879005"/>
    <n v="0"/>
    <n v="0"/>
    <n v="0"/>
    <n v="0"/>
    <n v="0"/>
    <n v="0"/>
    <n v="33520.795833879005"/>
    <n v="0"/>
    <n v="0"/>
    <n v="0"/>
    <n v="0"/>
    <n v="0"/>
    <n v="0"/>
    <n v="0"/>
    <n v="0"/>
    <n v="33520.795833879005"/>
    <n v="0"/>
    <n v="0"/>
  </r>
  <r>
    <x v="931"/>
    <s v="Gangaprasad - Prashant"/>
    <s v="vlc"/>
    <s v="Indirect"/>
    <n v="369"/>
    <n v="13900.063814619003"/>
    <n v="0"/>
    <n v="0"/>
    <n v="0"/>
    <n v="0"/>
    <n v="0"/>
    <n v="0"/>
    <n v="13900.063814619003"/>
    <n v="0"/>
    <n v="0"/>
    <n v="0"/>
    <n v="0"/>
    <n v="0"/>
    <n v="0"/>
    <n v="0"/>
    <n v="0"/>
    <n v="13900.063814619003"/>
    <n v="0"/>
    <n v="0"/>
  </r>
  <r>
    <x v="256"/>
    <s v="GOMUKH RANI 3"/>
    <s v="MPG"/>
    <s v="Direct"/>
    <n v="306.05"/>
    <n v="14181.584630298701"/>
    <n v="309.22000000000003"/>
    <n v="13578.564579817552"/>
    <n v="2.3200000000000003"/>
    <n v="106.04205493134998"/>
    <n v="311.54000000000002"/>
    <n v="13684.606634748901"/>
    <n v="13684.606634748901"/>
    <n v="0"/>
    <n v="106.04205493134998"/>
    <n v="0"/>
    <n v="0"/>
    <n v="500"/>
    <n v="0"/>
    <n v="13078"/>
    <n v="0"/>
    <n v="0"/>
    <n v="498"/>
    <n v="0"/>
  </r>
  <r>
    <x v="257"/>
    <s v="GOMUKH NONPUR"/>
    <s v="MPG"/>
    <s v="Direct"/>
    <n v="602.99999999999989"/>
    <n v="22663.833068808002"/>
    <n v="602.6"/>
    <n v="22655.134894547999"/>
    <n v="0"/>
    <n v="0"/>
    <n v="602.6"/>
    <n v="22655.134894547999"/>
    <n v="22655.134894547999"/>
    <n v="0"/>
    <n v="0"/>
    <n v="0"/>
    <n v="0"/>
    <n v="0"/>
    <n v="0"/>
    <n v="22655"/>
    <n v="0"/>
    <n v="0"/>
    <n v="9"/>
    <n v="0"/>
  </r>
  <r>
    <x v="258"/>
    <s v="GOMUKH FATEHA"/>
    <s v="MPG"/>
    <s v="Direct"/>
    <n v="671.50000000000011"/>
    <n v="23498.87151323925"/>
    <n v="770.78000000000009"/>
    <n v="28812.609541470003"/>
    <n v="0"/>
    <n v="0"/>
    <n v="770.78000000000009"/>
    <n v="28812.609541470003"/>
    <n v="23498.87151323925"/>
    <n v="0"/>
    <n v="0"/>
    <n v="5313.7380282307531"/>
    <n v="0"/>
    <n v="0"/>
    <n v="0"/>
    <n v="23499"/>
    <n v="0"/>
    <n v="0"/>
    <n v="0"/>
    <n v="0"/>
  </r>
  <r>
    <x v="259"/>
    <s v="Bablu Singh"/>
    <s v="vlc"/>
    <s v="Indirect"/>
    <n v="930.55000000000007"/>
    <n v="35742.335065849504"/>
    <n v="0"/>
    <n v="0"/>
    <n v="0"/>
    <n v="0"/>
    <n v="0"/>
    <n v="0"/>
    <n v="35742.335065849504"/>
    <n v="0"/>
    <n v="0"/>
    <n v="0"/>
    <n v="0"/>
    <n v="0"/>
    <n v="0"/>
    <n v="0"/>
    <n v="0"/>
    <n v="35742.335065849504"/>
    <n v="0"/>
    <n v="0"/>
  </r>
  <r>
    <x v="260"/>
    <s v="Gomukh Rani                                                                                         "/>
    <s v="MPG"/>
    <s v="Direct"/>
    <n v="273.35000000000002"/>
    <n v="10453.082561060999"/>
    <n v="273.98"/>
    <n v="11357.540398134599"/>
    <n v="0"/>
    <n v="0"/>
    <n v="273.98"/>
    <n v="11357.540398134599"/>
    <n v="10453.082561060999"/>
    <n v="0"/>
    <n v="0"/>
    <n v="904.45783707359988"/>
    <n v="0"/>
    <n v="0"/>
    <n v="0"/>
    <n v="10453"/>
    <n v="0"/>
    <n v="0"/>
    <n v="0"/>
    <n v="0"/>
  </r>
  <r>
    <x v="261"/>
    <s v="GOMUKH ROOPNAGAR"/>
    <s v="MPG"/>
    <s v="Direct"/>
    <n v="163"/>
    <n v="5804.4919924455007"/>
    <n v="162.79999999999998"/>
    <n v="5798.177117980501"/>
    <n v="0"/>
    <n v="0"/>
    <n v="162.79999999999998"/>
    <n v="5798.177117980501"/>
    <n v="5798.177117980501"/>
    <n v="0"/>
    <n v="0"/>
    <n v="0"/>
    <n v="0"/>
    <n v="0"/>
    <n v="0"/>
    <n v="5798"/>
    <n v="0"/>
    <n v="0"/>
    <n v="6"/>
    <n v="0"/>
  </r>
  <r>
    <x v="262"/>
    <s v="GOMUKH SIBUTOL 2"/>
    <s v="MPG"/>
    <s v="Direct"/>
    <n v="15.55"/>
    <n v="637.47983686756004"/>
    <n v="15"/>
    <n v="554.80681079999999"/>
    <n v="0"/>
    <n v="0"/>
    <n v="15"/>
    <n v="554.80681079999999"/>
    <n v="554.80681079999999"/>
    <n v="0"/>
    <n v="0"/>
    <n v="0"/>
    <n v="0"/>
    <n v="0"/>
    <n v="0"/>
    <n v="555"/>
    <n v="0"/>
    <n v="0"/>
    <n v="82"/>
    <n v="0"/>
  </r>
  <r>
    <x v="263"/>
    <s v="Gomukh Harichak"/>
    <s v="MPG"/>
    <s v="Direct"/>
    <n v="53.199999999999989"/>
    <n v="2010.8486859600002"/>
    <n v="56.04"/>
    <n v="1912.6412589391502"/>
    <n v="0"/>
    <n v="0"/>
    <n v="56.04"/>
    <n v="1912.6412589391502"/>
    <n v="1912.6412589391502"/>
    <n v="0"/>
    <n v="0"/>
    <n v="0"/>
    <n v="0"/>
    <n v="500"/>
    <n v="0"/>
    <n v="1412"/>
    <n v="0"/>
    <n v="0"/>
    <n v="99"/>
    <s v="Release1"/>
  </r>
  <r>
    <x v="988"/>
    <s v="PAWAN RAY"/>
    <s v="vlc"/>
    <s v="Indirect"/>
    <n v="263.39999999999998"/>
    <n v="10979.654270793"/>
    <n v="0"/>
    <n v="0"/>
    <n v="0"/>
    <n v="0"/>
    <n v="0"/>
    <n v="0"/>
    <n v="10979.654270793"/>
    <n v="0"/>
    <n v="0"/>
    <n v="0"/>
    <n v="0"/>
    <n v="0"/>
    <n v="0"/>
    <n v="0"/>
    <n v="0"/>
    <n v="10979.654270793"/>
    <n v="0"/>
    <n v="0"/>
  </r>
  <r>
    <x v="264"/>
    <s v="RAJ BHARDWAJ"/>
    <s v="vlc"/>
    <s v="Indirect"/>
    <n v="77"/>
    <n v="3024.0619270500001"/>
    <n v="0"/>
    <n v="0"/>
    <n v="0"/>
    <n v="0"/>
    <n v="0"/>
    <n v="0"/>
    <n v="3024.0619270500001"/>
    <n v="0"/>
    <n v="0"/>
    <n v="0"/>
    <n v="0"/>
    <n v="0"/>
    <n v="0"/>
    <n v="0"/>
    <n v="0"/>
    <n v="3024.0619270500001"/>
    <n v="0"/>
    <n v="0"/>
  </r>
  <r>
    <x v="265"/>
    <s v="Gomukh Amarpur"/>
    <s v="MPG"/>
    <s v="Direct"/>
    <n v="615.84999999999991"/>
    <n v="23108.457747600001"/>
    <n v="621.66"/>
    <n v="22301.257904828555"/>
    <n v="2.0699999999999998"/>
    <n v="79.347271487699999"/>
    <n v="623.73"/>
    <n v="22380.605176316254"/>
    <n v="22380.605176316254"/>
    <n v="0"/>
    <n v="79.347271487699999"/>
    <n v="0"/>
    <n v="0"/>
    <n v="0"/>
    <n v="0"/>
    <n v="22301"/>
    <n v="0"/>
    <n v="0"/>
    <n v="728"/>
    <n v="0"/>
  </r>
  <r>
    <x v="267"/>
    <s v="Gomukh Barauni 3"/>
    <s v="MPG"/>
    <s v="Direct"/>
    <n v="140.05000000000001"/>
    <n v="5581.1934030900011"/>
    <n v="140"/>
    <n v="5701.9454100000003"/>
    <n v="0"/>
    <n v="0"/>
    <n v="140"/>
    <n v="5701.9454100000003"/>
    <n v="5581.1934030900011"/>
    <n v="0"/>
    <n v="0"/>
    <n v="120.75200690999918"/>
    <n v="0"/>
    <n v="500"/>
    <n v="0"/>
    <n v="5081"/>
    <n v="0"/>
    <n v="0"/>
    <n v="0"/>
    <n v="0"/>
  </r>
  <r>
    <x v="268"/>
    <s v="CHANDAN YADAV"/>
    <s v="vlc"/>
    <s v="Indirect"/>
    <n v="316.45"/>
    <n v="12025.182206661002"/>
    <n v="0"/>
    <n v="0"/>
    <n v="0"/>
    <n v="0"/>
    <n v="0"/>
    <n v="0"/>
    <n v="12025.182206661002"/>
    <n v="0"/>
    <n v="0"/>
    <n v="0"/>
    <n v="0"/>
    <n v="0"/>
    <n v="0"/>
    <n v="0"/>
    <n v="0"/>
    <n v="12025.182206661002"/>
    <n v="0"/>
    <n v="0"/>
  </r>
  <r>
    <x v="269"/>
    <s v="DINESH YADAV"/>
    <s v="vlc"/>
    <s v="Indirect"/>
    <n v="384.4"/>
    <n v="14774.704037383501"/>
    <n v="0"/>
    <n v="0"/>
    <n v="0"/>
    <n v="0"/>
    <n v="0"/>
    <n v="0"/>
    <n v="14774.704037383501"/>
    <n v="0"/>
    <n v="0"/>
    <n v="0"/>
    <n v="0"/>
    <n v="0"/>
    <n v="0"/>
    <n v="0"/>
    <n v="0"/>
    <n v="14774.704037383501"/>
    <n v="0"/>
    <n v="0"/>
  </r>
  <r>
    <x v="270"/>
    <s v="ANITA DEVI"/>
    <s v="vlc"/>
    <s v="Indirect"/>
    <n v="274.2"/>
    <n v="10255.380706199998"/>
    <n v="0"/>
    <n v="0"/>
    <n v="0"/>
    <n v="0"/>
    <n v="0"/>
    <n v="0"/>
    <n v="10255.380706199998"/>
    <n v="0"/>
    <n v="0"/>
    <n v="0"/>
    <n v="0"/>
    <n v="0"/>
    <n v="0"/>
    <n v="0"/>
    <n v="0"/>
    <n v="10255.380706199998"/>
    <n v="0"/>
    <n v="0"/>
  </r>
  <r>
    <x v="989"/>
    <s v="GOMUKH FATEHA SALEMPUR"/>
    <s v="MPG"/>
    <s v="Direct"/>
    <n v="66.2"/>
    <n v="2435.4728895779999"/>
    <n v="96"/>
    <n v="3529.5223789740003"/>
    <n v="6"/>
    <n v="221.69877903000005"/>
    <n v="102"/>
    <n v="3751.2211580040002"/>
    <n v="2435.4728895779999"/>
    <n v="0"/>
    <n v="221.69877903000005"/>
    <n v="1315.7482684260003"/>
    <n v="0"/>
    <n v="500"/>
    <n v="0"/>
    <n v="1713"/>
    <n v="0"/>
    <n v="0"/>
    <n v="1"/>
    <n v="0"/>
  </r>
  <r>
    <x v="271"/>
    <s v="GOMUKH GEHUNI 2"/>
    <s v="MPG"/>
    <s v="Direct"/>
    <n v="634"/>
    <n v="25290.363681219005"/>
    <n v="638.15000000000009"/>
    <n v="25375.112215927951"/>
    <n v="0.28999999999999998"/>
    <n v="11.842889184000002"/>
    <n v="638.44000000000005"/>
    <n v="25386.955105111952"/>
    <n v="25290.363681219005"/>
    <n v="0"/>
    <n v="11.842889184000002"/>
    <n v="96.591423892947205"/>
    <n v="0"/>
    <n v="0"/>
    <n v="0"/>
    <n v="25278"/>
    <n v="0"/>
    <n v="0"/>
    <n v="1"/>
    <n v="0"/>
  </r>
  <r>
    <x v="272"/>
    <s v="GOMUKH MALHIPUR"/>
    <s v="MPG"/>
    <s v="Direct"/>
    <n v="1399.9499999999998"/>
    <n v="49390.36654236076"/>
    <n v="1403.7000000000003"/>
    <n v="51494.619906973516"/>
    <n v="2.8499999999999996"/>
    <n v="101.33256057974999"/>
    <n v="1406.5500000000002"/>
    <n v="51595.952467553267"/>
    <n v="49390.36654236076"/>
    <n v="0"/>
    <n v="101.33256057974999"/>
    <n v="2205.5859251925067"/>
    <n v="0"/>
    <n v="0"/>
    <n v="0"/>
    <n v="49289"/>
    <n v="0"/>
    <n v="0"/>
    <n v="0"/>
    <s v="Release1"/>
  </r>
  <r>
    <x v="273"/>
    <s v="Bihat - Sonu Kumar"/>
    <s v="vlc"/>
    <s v="Indirect"/>
    <n v="561.25"/>
    <n v="19904.063665642498"/>
    <n v="0"/>
    <n v="0"/>
    <n v="0"/>
    <n v="0"/>
    <n v="0"/>
    <n v="0"/>
    <n v="19904.063665642498"/>
    <n v="0"/>
    <n v="0"/>
    <n v="0"/>
    <n v="0"/>
    <n v="0"/>
    <n v="0"/>
    <n v="0"/>
    <n v="0"/>
    <n v="19904.063665642498"/>
    <n v="0"/>
    <n v="0"/>
  </r>
  <r>
    <x v="274"/>
    <s v="Rasalpur - Durgesh Kumar"/>
    <s v="vlc"/>
    <s v="Indirect"/>
    <n v="152.35"/>
    <n v="5764.9012350750018"/>
    <n v="0"/>
    <n v="0"/>
    <n v="0"/>
    <n v="0"/>
    <n v="0"/>
    <n v="0"/>
    <n v="5764.9012350750018"/>
    <n v="0"/>
    <n v="0"/>
    <n v="0"/>
    <n v="0"/>
    <n v="0"/>
    <n v="0"/>
    <n v="0"/>
    <n v="0"/>
    <n v="5764.9012350750018"/>
    <n v="0"/>
    <n v="0"/>
  </r>
  <r>
    <x v="275"/>
    <s v="Barauni Bariyarpur"/>
    <s v="MPG"/>
    <s v="Direct"/>
    <n v="445.1"/>
    <n v="16238.335509300003"/>
    <n v="445"/>
    <n v="16234.929895320001"/>
    <n v="0"/>
    <n v="0"/>
    <n v="445"/>
    <n v="16234.929895320001"/>
    <n v="16234.929895320001"/>
    <n v="0"/>
    <n v="0"/>
    <n v="0"/>
    <n v="0"/>
    <n v="0"/>
    <n v="0"/>
    <n v="16235"/>
    <n v="0"/>
    <n v="0"/>
    <n v="3"/>
    <n v="0"/>
  </r>
  <r>
    <x v="276"/>
    <s v="Jaynagar"/>
    <s v="MPG"/>
    <s v="Direct"/>
    <n v="150.30000000000001"/>
    <n v="5424.7001700022511"/>
    <n v="150.19999999999999"/>
    <n v="5420.8623653595005"/>
    <n v="0"/>
    <n v="0"/>
    <n v="150.19999999999999"/>
    <n v="5420.8623653595005"/>
    <n v="5420.8623653595005"/>
    <n v="0"/>
    <n v="0"/>
    <n v="0"/>
    <n v="0"/>
    <n v="500"/>
    <n v="0"/>
    <n v="4921"/>
    <n v="0"/>
    <n v="0"/>
    <n v="4"/>
    <s v="Release1"/>
  </r>
  <r>
    <x v="277"/>
    <s v="Fateha - Anil Yadav"/>
    <s v="vlc"/>
    <s v="Indirect"/>
    <n v="2009.3999999999999"/>
    <n v="70461.721696638764"/>
    <n v="0"/>
    <n v="0"/>
    <n v="0"/>
    <n v="0"/>
    <n v="0"/>
    <n v="0"/>
    <n v="70461.721696638764"/>
    <n v="0"/>
    <n v="0"/>
    <n v="0"/>
    <n v="0"/>
    <n v="0"/>
    <n v="0"/>
    <n v="0"/>
    <n v="0"/>
    <n v="70461.721696638764"/>
    <n v="0"/>
    <n v="0"/>
  </r>
  <r>
    <x v="990"/>
    <s v="Rani Panchwati"/>
    <s v="MPG"/>
    <s v="Direct"/>
    <n v="10.35"/>
    <n v="381.18086622000004"/>
    <n v="10.61"/>
    <n v="567.41179203036017"/>
    <n v="0.1"/>
    <n v="5.2505324720000006"/>
    <n v="10.709999999999999"/>
    <n v="572.66232450236021"/>
    <n v="381.18086622000004"/>
    <n v="0"/>
    <n v="5.2505324720000006"/>
    <n v="191.48145828236017"/>
    <n v="0"/>
    <n v="0"/>
    <n v="0"/>
    <n v="376"/>
    <n v="0"/>
    <n v="0"/>
    <n v="0"/>
    <s v="Release1"/>
  </r>
  <r>
    <x v="278"/>
    <s v="Bihat - Chakballi"/>
    <s v="MPG"/>
    <s v="Direct"/>
    <n v="2211.9"/>
    <n v="78152.992068470252"/>
    <n v="2211.6999999999998"/>
    <n v="78146.400350449505"/>
    <n v="0"/>
    <n v="0"/>
    <n v="2211.6999999999998"/>
    <n v="78146.400350449505"/>
    <n v="78146.400350449505"/>
    <n v="0"/>
    <n v="0"/>
    <n v="0"/>
    <n v="0"/>
    <n v="0"/>
    <n v="0"/>
    <n v="78147"/>
    <n v="0"/>
    <n v="0"/>
    <n v="6"/>
    <n v="0"/>
  </r>
  <r>
    <x v="279"/>
    <s v="Sibutol- Naya Tola"/>
    <s v="MPG"/>
    <s v="Direct"/>
    <n v="338.75"/>
    <n v="12943.586760695249"/>
    <n v="359.70000000000005"/>
    <n v="13722.7245604044"/>
    <n v="0"/>
    <n v="0"/>
    <n v="359.70000000000005"/>
    <n v="13722.7245604044"/>
    <n v="12943.586760695249"/>
    <n v="0"/>
    <n v="0"/>
    <n v="779.1377997091513"/>
    <n v="0"/>
    <n v="500"/>
    <n v="0"/>
    <n v="12444"/>
    <n v="0"/>
    <n v="0"/>
    <n v="0"/>
    <n v="0"/>
  </r>
  <r>
    <x v="1021"/>
    <s v="Vaishnawi Dairy"/>
    <s v="vlc"/>
    <s v="Indirect"/>
    <n v="673.55"/>
    <n v="27215.85211914"/>
    <n v="0"/>
    <n v="0"/>
    <n v="0"/>
    <n v="0"/>
    <n v="0"/>
    <n v="0"/>
    <n v="27215.85211914"/>
    <n v="0"/>
    <n v="0"/>
    <n v="0"/>
    <n v="0"/>
    <n v="0"/>
    <n v="0"/>
    <n v="0"/>
    <n v="0"/>
    <n v="27215.85211914"/>
    <n v="0"/>
    <n v="0"/>
  </r>
  <r>
    <x v="280"/>
    <s v="Rasalpur"/>
    <s v="vlc"/>
    <s v="Indirect"/>
    <n v="490.44999999999993"/>
    <n v="18493.200476448001"/>
    <n v="0"/>
    <n v="0"/>
    <n v="0"/>
    <n v="0"/>
    <n v="0"/>
    <n v="0"/>
    <n v="18493.200476448001"/>
    <n v="0"/>
    <n v="0"/>
    <n v="0"/>
    <n v="0"/>
    <n v="0"/>
    <n v="0"/>
    <n v="0"/>
    <n v="0"/>
    <n v="18493.200476448001"/>
    <n v="0"/>
    <n v="0"/>
  </r>
  <r>
    <x v="281"/>
    <s v="Samsa"/>
    <s v="vlc"/>
    <s v="Indirect"/>
    <n v="1129.2000000000003"/>
    <n v="43590.252333240009"/>
    <n v="0"/>
    <n v="0"/>
    <n v="0"/>
    <n v="0"/>
    <n v="0"/>
    <n v="0"/>
    <n v="43590.252333240009"/>
    <n v="0"/>
    <n v="0"/>
    <n v="0"/>
    <n v="0"/>
    <n v="0"/>
    <n v="0"/>
    <n v="0"/>
    <n v="0"/>
    <n v="43590.252333240009"/>
    <n v="0"/>
    <n v="0"/>
  </r>
  <r>
    <x v="282"/>
    <s v="Dahiya"/>
    <s v="vlc"/>
    <s v="Indirect"/>
    <n v="414.74999999999994"/>
    <n v="16003.326218046001"/>
    <n v="0"/>
    <n v="0"/>
    <n v="0"/>
    <n v="0"/>
    <n v="0"/>
    <n v="0"/>
    <n v="16003.326218046001"/>
    <n v="0"/>
    <n v="0"/>
    <n v="0"/>
    <n v="0"/>
    <n v="0"/>
    <n v="0"/>
    <n v="0"/>
    <n v="0"/>
    <n v="16003.326218046001"/>
    <n v="0"/>
    <n v="0"/>
  </r>
  <r>
    <x v="283"/>
    <s v="Gaura"/>
    <s v="MPG"/>
    <s v="Direct"/>
    <n v="338.4"/>
    <n v="13228.383123074998"/>
    <n v="335.29999999999995"/>
    <n v="13102.353716699999"/>
    <n v="0"/>
    <n v="0"/>
    <n v="335.29999999999995"/>
    <n v="13102.353716699999"/>
    <n v="13102.353716699999"/>
    <n v="0"/>
    <n v="0"/>
    <n v="0"/>
    <n v="0"/>
    <n v="0"/>
    <n v="0"/>
    <n v="13102"/>
    <n v="0"/>
    <n v="0"/>
    <n v="126"/>
    <n v="0"/>
  </r>
  <r>
    <x v="932"/>
    <s v="Nipania-VLC"/>
    <s v="vlc"/>
    <s v="Indirect"/>
    <n v="98.800000000000011"/>
    <n v="3862.7492624850006"/>
    <n v="0"/>
    <n v="0"/>
    <n v="0"/>
    <n v="0"/>
    <n v="0"/>
    <n v="0"/>
    <n v="3862.7492624850006"/>
    <n v="0"/>
    <n v="0"/>
    <n v="0"/>
    <n v="0"/>
    <n v="0"/>
    <n v="0"/>
    <n v="0"/>
    <n v="0"/>
    <n v="3862.7492624850006"/>
    <n v="0"/>
    <n v="0"/>
  </r>
  <r>
    <x v="284"/>
    <s v="Mukhtiyarpur"/>
    <s v="MPG"/>
    <s v="Direct"/>
    <n v="282.5"/>
    <n v="10938.783801396003"/>
    <n v="299.34000000000003"/>
    <n v="12036.351832402801"/>
    <n v="0"/>
    <n v="0"/>
    <n v="299.34000000000003"/>
    <n v="12036.351832402801"/>
    <n v="10938.783801396003"/>
    <n v="0"/>
    <n v="0"/>
    <n v="1097.5680310067983"/>
    <n v="0"/>
    <n v="0"/>
    <n v="0"/>
    <n v="10939"/>
    <n v="0"/>
    <n v="0"/>
    <n v="0"/>
    <s v="Release1"/>
  </r>
  <r>
    <x v="285"/>
    <s v="Gomukh Rudauli-02"/>
    <s v="MPG"/>
    <s v="Direct"/>
    <n v="341.05000000000007"/>
    <n v="13327.957227075003"/>
    <n v="341.35"/>
    <n v="11829.02327551395"/>
    <n v="31.09"/>
    <n v="1164.1940190600001"/>
    <n v="372.44"/>
    <n v="12993.217294573949"/>
    <n v="12993.217294573949"/>
    <n v="0"/>
    <n v="0"/>
    <n v="0"/>
    <n v="0"/>
    <n v="0"/>
    <n v="0"/>
    <n v="11829"/>
    <n v="1164"/>
    <n v="0"/>
    <n v="335"/>
    <n v="0"/>
  </r>
  <r>
    <x v="286"/>
    <s v="Gomukh Puranatol Raichiahi"/>
    <s v="MPG"/>
    <s v="Direct"/>
    <n v="597.95000000000005"/>
    <n v="23172.607262700007"/>
    <n v="597.69999999999993"/>
    <n v="23152.041182490007"/>
    <n v="0"/>
    <n v="0"/>
    <n v="597.69999999999993"/>
    <n v="23152.041182490007"/>
    <n v="23152.041182490007"/>
    <n v="0"/>
    <n v="0"/>
    <n v="0"/>
    <n v="0"/>
    <n v="0"/>
    <n v="0"/>
    <n v="23152"/>
    <n v="0"/>
    <n v="0"/>
    <n v="21"/>
    <n v="0"/>
  </r>
  <r>
    <x v="287"/>
    <s v="Bihat-Gududaspur"/>
    <s v="MPG"/>
    <s v="Direct"/>
    <n v="187.65000000000003"/>
    <n v="7841.8026616005009"/>
    <n v="187.1"/>
    <n v="7819.2903768945016"/>
    <n v="0"/>
    <n v="0"/>
    <n v="187.1"/>
    <n v="7819.2903768945016"/>
    <n v="7819.2903768945016"/>
    <n v="0"/>
    <n v="0"/>
    <n v="0"/>
    <n v="0"/>
    <n v="0"/>
    <n v="0"/>
    <n v="7819"/>
    <n v="0"/>
    <n v="0"/>
    <n v="23"/>
    <n v="0"/>
  </r>
  <r>
    <x v="288"/>
    <s v="Labharchak-2"/>
    <s v="MPG"/>
    <s v="Direct"/>
    <n v="238.70000000000002"/>
    <n v="8745.4490384970013"/>
    <n v="238.29999999999998"/>
    <n v="8774.0769490665007"/>
    <n v="0"/>
    <n v="0"/>
    <n v="238.29999999999998"/>
    <n v="8774.0769490665007"/>
    <n v="8745.4490384970013"/>
    <n v="0"/>
    <n v="0"/>
    <n v="28.627910569499363"/>
    <n v="0"/>
    <n v="0"/>
    <n v="0"/>
    <n v="8745"/>
    <n v="0"/>
    <n v="0"/>
    <n v="0"/>
    <n v="0"/>
  </r>
  <r>
    <x v="289"/>
    <s v="POHE"/>
    <s v="vlc"/>
    <s v="Indirect"/>
    <n v="331.69999999999993"/>
    <n v="14210.869679280002"/>
    <n v="0"/>
    <n v="0"/>
    <n v="0"/>
    <n v="0"/>
    <n v="0"/>
    <n v="0"/>
    <n v="14210.869679280002"/>
    <n v="0"/>
    <n v="0"/>
    <n v="0"/>
    <n v="0"/>
    <n v="0"/>
    <n v="0"/>
    <n v="0"/>
    <n v="0"/>
    <n v="14210.869679280002"/>
    <n v="0"/>
    <n v="0"/>
  </r>
  <r>
    <x v="290"/>
    <s v="AURO"/>
    <s v="MPG"/>
    <s v="Direct"/>
    <n v="1847.8"/>
    <n v="78910.780013677228"/>
    <n v="1280.6600000000001"/>
    <n v="56026.180273512909"/>
    <n v="575.75"/>
    <n v="25174.987659279024"/>
    <n v="1856.41"/>
    <n v="81201.167932791926"/>
    <n v="78910.780013677228"/>
    <n v="0"/>
    <n v="589.67262589799998"/>
    <n v="2290.3879191146989"/>
    <n v="0"/>
    <n v="0"/>
    <n v="0"/>
    <n v="53735"/>
    <n v="24586"/>
    <n v="0"/>
    <n v="0"/>
    <n v="0"/>
  </r>
  <r>
    <x v="291"/>
    <s v="PARSHAMA"/>
    <s v="MPG"/>
    <s v="Direct"/>
    <n v="97.3"/>
    <n v="3219.1325459820005"/>
    <n v="98.800000000000011"/>
    <n v="3464.0295548940003"/>
    <n v="0.6"/>
    <n v="20.500472448000004"/>
    <n v="99.4"/>
    <n v="3484.5300273420003"/>
    <n v="3219.1325459820005"/>
    <n v="0"/>
    <n v="20.500472448000004"/>
    <n v="265.3974813599998"/>
    <n v="0"/>
    <n v="0"/>
    <n v="0"/>
    <n v="3198"/>
    <n v="0"/>
    <n v="0"/>
    <n v="1"/>
    <n v="0"/>
  </r>
  <r>
    <x v="292"/>
    <s v="PRATAPUR 2"/>
    <s v="vlc"/>
    <s v="Indirect"/>
    <n v="326.69999999999993"/>
    <n v="16045.164657434201"/>
    <n v="0"/>
    <n v="0"/>
    <n v="0"/>
    <n v="0"/>
    <n v="0"/>
    <n v="0"/>
    <n v="16045.164657434201"/>
    <n v="0"/>
    <n v="0"/>
    <n v="0"/>
    <n v="0"/>
    <n v="0"/>
    <n v="0"/>
    <n v="0"/>
    <n v="0"/>
    <n v="16045.164657434201"/>
    <n v="0"/>
    <n v="0"/>
  </r>
  <r>
    <x v="293"/>
    <s v="BALLOPUR"/>
    <s v="MPG"/>
    <s v="Direct"/>
    <n v="1357.7"/>
    <n v="56069.628243660016"/>
    <n v="1358.2999999999997"/>
    <n v="60060.607133202502"/>
    <n v="0"/>
    <n v="0"/>
    <n v="1358.2999999999997"/>
    <n v="60060.607133202502"/>
    <n v="56069.628243660016"/>
    <n v="0"/>
    <n v="0"/>
    <n v="3990.9788895424863"/>
    <n v="0"/>
    <n v="0"/>
    <n v="0"/>
    <n v="56070"/>
    <n v="0"/>
    <n v="0"/>
    <n v="0"/>
    <n v="0"/>
  </r>
  <r>
    <x v="294"/>
    <s v="KHAIRMA"/>
    <s v="MPG"/>
    <s v="Direct"/>
    <n v="409.1"/>
    <n v="14011.502066219104"/>
    <n v="389.70000000000005"/>
    <n v="13878.961473407999"/>
    <n v="0"/>
    <n v="0"/>
    <n v="389.70000000000005"/>
    <n v="13878.961473407999"/>
    <n v="13878.961473407999"/>
    <n v="0"/>
    <n v="0"/>
    <n v="0"/>
    <n v="0"/>
    <n v="0"/>
    <n v="0"/>
    <n v="13879"/>
    <n v="0"/>
    <n v="0"/>
    <n v="133"/>
    <n v="0"/>
  </r>
  <r>
    <x v="295"/>
    <s v="MAHASONI"/>
    <s v="MPG"/>
    <s v="Direct"/>
    <n v="1042"/>
    <n v="40658.873838210005"/>
    <n v="1050.3"/>
    <n v="39707.813972157048"/>
    <n v="12.7"/>
    <n v="468.02809504500004"/>
    <n v="1063"/>
    <n v="40175.842067202051"/>
    <n v="40175.842067202051"/>
    <n v="0"/>
    <n v="468.02809504500004"/>
    <n v="0"/>
    <n v="0"/>
    <n v="0"/>
    <n v="0"/>
    <n v="39707"/>
    <n v="0"/>
    <n v="0"/>
    <n v="484"/>
    <n v="0"/>
  </r>
  <r>
    <x v="296"/>
    <s v="SONDHI"/>
    <s v="MPG"/>
    <s v="Direct"/>
    <n v="551"/>
    <n v="22676.152428003003"/>
    <n v="546.5"/>
    <n v="22464.750000106604"/>
    <n v="4.8999999999999995"/>
    <n v="198.00238726800001"/>
    <n v="551.4"/>
    <n v="22662.752387374603"/>
    <n v="22662.752387374603"/>
    <n v="0"/>
    <n v="198.00238726800001"/>
    <n v="0"/>
    <n v="0"/>
    <n v="0"/>
    <n v="0"/>
    <n v="22465"/>
    <n v="0"/>
    <n v="0"/>
    <n v="13"/>
    <n v="0"/>
  </r>
  <r>
    <x v="297"/>
    <s v="BELDARAYA"/>
    <s v="vlc"/>
    <s v="Indirect"/>
    <n v="750.2"/>
    <n v="28240.988694389998"/>
    <n v="0"/>
    <n v="0"/>
    <n v="0"/>
    <n v="0"/>
    <n v="0"/>
    <n v="0"/>
    <n v="28240.988694389998"/>
    <n v="0"/>
    <n v="0"/>
    <n v="0"/>
    <n v="0"/>
    <n v="0"/>
    <n v="0"/>
    <n v="0"/>
    <n v="0"/>
    <n v="28240.988694389998"/>
    <n v="0"/>
    <n v="0"/>
  </r>
  <r>
    <x v="298"/>
    <s v="Gomukh ID Aure-2"/>
    <s v="vlc"/>
    <s v="Indirect"/>
    <n v="1050.4000000000001"/>
    <n v="39596.615845590008"/>
    <n v="0"/>
    <n v="0"/>
    <n v="0"/>
    <n v="0"/>
    <n v="0"/>
    <n v="0"/>
    <n v="39596.615845590008"/>
    <n v="0"/>
    <n v="0"/>
    <n v="0"/>
    <n v="0"/>
    <n v="0"/>
    <n v="0"/>
    <n v="0"/>
    <n v="0"/>
    <n v="39596.615845590008"/>
    <n v="0"/>
    <n v="0"/>
  </r>
  <r>
    <x v="299"/>
    <s v="Gomukh Karma"/>
    <s v="vlc"/>
    <s v="Indirect"/>
    <n v="921.89999999999986"/>
    <n v="37016.799758134199"/>
    <n v="0"/>
    <n v="0"/>
    <n v="0"/>
    <n v="0"/>
    <n v="0"/>
    <n v="0"/>
    <n v="37016.799758134199"/>
    <n v="0"/>
    <n v="0"/>
    <n v="0"/>
    <n v="0"/>
    <n v="0"/>
    <n v="0"/>
    <n v="0"/>
    <n v="0"/>
    <n v="37016.799758134199"/>
    <n v="0"/>
    <n v="0"/>
  </r>
  <r>
    <x v="300"/>
    <s v="GOMUKH UKSI"/>
    <s v="vlc"/>
    <s v="Indirect"/>
    <n v="444.9"/>
    <n v="18917.1509075904"/>
    <n v="0"/>
    <n v="0"/>
    <n v="0"/>
    <n v="0"/>
    <n v="0"/>
    <n v="0"/>
    <n v="18917.1509075904"/>
    <n v="0"/>
    <n v="0"/>
    <n v="0"/>
    <n v="0"/>
    <n v="0"/>
    <n v="0"/>
    <n v="0"/>
    <n v="0"/>
    <n v="18917.1509075904"/>
    <n v="0"/>
    <n v="0"/>
  </r>
  <r>
    <x v="301"/>
    <s v="Gomukh ID Halsi"/>
    <s v="vlc"/>
    <s v="Indirect"/>
    <n v="6138.3"/>
    <n v="217472.544295086"/>
    <n v="0"/>
    <n v="0"/>
    <n v="0"/>
    <n v="0"/>
    <n v="0"/>
    <n v="0"/>
    <n v="217472.544295086"/>
    <n v="0"/>
    <n v="0"/>
    <n v="0"/>
    <n v="0"/>
    <n v="0"/>
    <n v="0"/>
    <n v="0"/>
    <n v="0"/>
    <n v="217472.544295086"/>
    <n v="0"/>
    <n v="0"/>
  </r>
  <r>
    <x v="302"/>
    <s v="Gomukh ID Lalpur"/>
    <s v="vlc"/>
    <s v="Indirect"/>
    <n v="722.10000000000014"/>
    <n v="29185.3970285244"/>
    <n v="0"/>
    <n v="0"/>
    <n v="0"/>
    <n v="0"/>
    <n v="0"/>
    <n v="0"/>
    <n v="29185.3970285244"/>
    <n v="0"/>
    <n v="0"/>
    <n v="0"/>
    <n v="0"/>
    <n v="0"/>
    <n v="0"/>
    <n v="0"/>
    <n v="0"/>
    <n v="29185.3970285244"/>
    <n v="0"/>
    <n v="0"/>
  </r>
  <r>
    <x v="303"/>
    <s v="KHURIYARI"/>
    <s v="MPG"/>
    <s v="Direct"/>
    <n v="986.7"/>
    <n v="42048.556267680004"/>
    <n v="1104.5999999999999"/>
    <n v="48828.402703092303"/>
    <n v="1.5999999999999999"/>
    <n v="73.032159155500011"/>
    <n v="1106.1999999999998"/>
    <n v="48901.434862247799"/>
    <n v="42048.556267680004"/>
    <n v="0"/>
    <n v="73.032159155500011"/>
    <n v="6852.8785945677955"/>
    <n v="0"/>
    <n v="0"/>
    <n v="0"/>
    <n v="41976"/>
    <n v="0"/>
    <n v="0"/>
    <n v="0"/>
    <n v="0"/>
  </r>
  <r>
    <x v="304"/>
    <s v="BISANPUR"/>
    <s v="vlc"/>
    <s v="Indirect"/>
    <n v="451.2000000000001"/>
    <n v="18245.117509488005"/>
    <n v="0"/>
    <n v="0"/>
    <n v="0"/>
    <n v="0"/>
    <n v="0"/>
    <n v="0"/>
    <n v="18245.117509488005"/>
    <n v="0"/>
    <n v="0"/>
    <n v="0"/>
    <n v="0"/>
    <n v="0"/>
    <n v="0"/>
    <n v="0"/>
    <n v="0"/>
    <n v="18245.117509488005"/>
    <n v="0"/>
    <n v="0"/>
  </r>
  <r>
    <x v="305"/>
    <s v="BEHRAMA"/>
    <s v="vlc"/>
    <s v="Indirect"/>
    <n v="278.2"/>
    <n v="10379.611260618001"/>
    <n v="0"/>
    <n v="0"/>
    <n v="0"/>
    <n v="0"/>
    <n v="0"/>
    <n v="0"/>
    <n v="10379.611260618001"/>
    <n v="0"/>
    <n v="0"/>
    <n v="0"/>
    <n v="0"/>
    <n v="0"/>
    <n v="0"/>
    <n v="0"/>
    <n v="0"/>
    <n v="10379.611260618001"/>
    <n v="0"/>
    <n v="0"/>
  </r>
  <r>
    <x v="306"/>
    <s v="Gomukh ID Mathurapur"/>
    <s v="vlc"/>
    <s v="Indirect"/>
    <n v="512.90000000000009"/>
    <n v="19685.218219268005"/>
    <n v="0"/>
    <n v="0"/>
    <n v="0"/>
    <n v="0"/>
    <n v="0"/>
    <n v="0"/>
    <n v="19685.218219268005"/>
    <n v="0"/>
    <n v="0"/>
    <n v="0"/>
    <n v="0"/>
    <n v="0"/>
    <n v="0"/>
    <n v="0"/>
    <n v="0"/>
    <n v="19685.218219268005"/>
    <n v="0"/>
    <n v="0"/>
  </r>
  <r>
    <x v="307"/>
    <s v="Gomukh ID Kurha Dih"/>
    <s v="vlc"/>
    <s v="Indirect"/>
    <n v="1720.5"/>
    <n v="73654.853552535002"/>
    <n v="0"/>
    <n v="0"/>
    <n v="0"/>
    <n v="0"/>
    <n v="0"/>
    <n v="0"/>
    <n v="73654.853552535002"/>
    <n v="0"/>
    <n v="0"/>
    <n v="0"/>
    <n v="0"/>
    <n v="0"/>
    <n v="0"/>
    <n v="0"/>
    <n v="0"/>
    <n v="73654.853552535002"/>
    <n v="0"/>
    <n v="0"/>
  </r>
  <r>
    <x v="308"/>
    <s v="RAMNAGAR"/>
    <s v="MPG"/>
    <s v="Direct"/>
    <n v="735.30000000000007"/>
    <n v="32064.979258260006"/>
    <n v="745.25000000000011"/>
    <n v="31945.745624279152"/>
    <n v="11.16"/>
    <n v="451.42340504400005"/>
    <n v="756.41000000000008"/>
    <n v="32397.169029323151"/>
    <n v="32064.979258260006"/>
    <n v="0"/>
    <n v="451.42340504400005"/>
    <n v="332.1897710631456"/>
    <n v="0"/>
    <n v="0"/>
    <n v="0"/>
    <n v="31614"/>
    <n v="0"/>
    <n v="0"/>
    <n v="0"/>
    <n v="0"/>
  </r>
  <r>
    <x v="309"/>
    <s v="SANDH MAAF 2"/>
    <s v="MPG"/>
    <s v="Direct"/>
    <n v="888.70000000000016"/>
    <n v="41963.294318503999"/>
    <n v="893.88000000000022"/>
    <n v="43624.780380958837"/>
    <n v="6.5299999999999994"/>
    <n v="324.18501411170001"/>
    <n v="900.4100000000002"/>
    <n v="43948.96539507054"/>
    <n v="41963.294318503999"/>
    <n v="0"/>
    <n v="324.18501411170001"/>
    <n v="1985.6710765665412"/>
    <n v="0"/>
    <n v="0"/>
    <n v="0"/>
    <n v="41639"/>
    <n v="0"/>
    <n v="0"/>
    <n v="0"/>
    <n v="0"/>
  </r>
  <r>
    <x v="311"/>
    <s v="TAAL-SHAHARSHA                                                                                      "/>
    <s v="MPG"/>
    <s v="Direct"/>
    <n v="61"/>
    <n v="2268.274723086"/>
    <n v="65.600000000000009"/>
    <n v="2522.2057908300008"/>
    <n v="0"/>
    <n v="0"/>
    <n v="65.600000000000009"/>
    <n v="2522.2057908300008"/>
    <n v="2268.274723086"/>
    <n v="0"/>
    <n v="0"/>
    <n v="253.93106774400076"/>
    <n v="0"/>
    <n v="500"/>
    <n v="0"/>
    <n v="1768"/>
    <n v="0"/>
    <n v="0"/>
    <n v="0"/>
    <n v="0"/>
  </r>
  <r>
    <x v="312"/>
    <s v="Dhira"/>
    <s v="MPG"/>
    <s v="Direct"/>
    <n v="589.19999999999993"/>
    <n v="27237.144724000009"/>
    <n v="590.61"/>
    <n v="27822.727610310554"/>
    <n v="5.41"/>
    <n v="237.77652197099997"/>
    <n v="596.02"/>
    <n v="28060.504132281552"/>
    <n v="27237.144724000009"/>
    <n v="0"/>
    <n v="237.77652197099997"/>
    <n v="823.35940828154344"/>
    <n v="0"/>
    <n v="0"/>
    <n v="0"/>
    <n v="26999"/>
    <n v="0"/>
    <n v="0"/>
    <n v="0"/>
    <n v="0"/>
  </r>
  <r>
    <x v="313"/>
    <s v="AZADNAGAR(VLC)"/>
    <s v="vlc"/>
    <s v="Indirect"/>
    <n v="269.10000000000002"/>
    <n v="7244.1507971670007"/>
    <n v="0"/>
    <n v="0"/>
    <n v="0"/>
    <n v="0"/>
    <n v="0"/>
    <n v="0"/>
    <n v="7244.1507971670007"/>
    <n v="0"/>
    <n v="0"/>
    <n v="0"/>
    <n v="0"/>
    <n v="0"/>
    <n v="0"/>
    <n v="0"/>
    <n v="0"/>
    <n v="7244.1507971670007"/>
    <n v="0"/>
    <n v="0"/>
  </r>
  <r>
    <x v="314"/>
    <s v="REWAI"/>
    <s v="MPG"/>
    <s v="Direct"/>
    <n v="776.60000000000014"/>
    <n v="33167.963397480009"/>
    <n v="838.94999999999993"/>
    <n v="34264.486363887299"/>
    <n v="2.6300000000000003"/>
    <n v="106.29903153990003"/>
    <n v="841.57999999999993"/>
    <n v="34370.7853954272"/>
    <n v="33167.963397480009"/>
    <n v="0"/>
    <n v="106.29903153990003"/>
    <n v="1202.8219979471905"/>
    <n v="0"/>
    <n v="0"/>
    <n v="0"/>
    <n v="33062"/>
    <n v="0"/>
    <n v="0"/>
    <n v="0"/>
    <n v="0"/>
  </r>
  <r>
    <x v="316"/>
    <s v="MANJOS"/>
    <s v="MPG"/>
    <s v="Direct"/>
    <n v="954.9"/>
    <n v="40301.00865648"/>
    <n v="955"/>
    <n v="40626.668501010005"/>
    <n v="0"/>
    <n v="0"/>
    <n v="955"/>
    <n v="40626.668501010005"/>
    <n v="40301.00865648"/>
    <n v="0"/>
    <n v="0"/>
    <n v="325.65984453000419"/>
    <n v="0"/>
    <n v="0"/>
    <n v="0"/>
    <n v="40301"/>
    <n v="0"/>
    <n v="0"/>
    <n v="0"/>
    <n v="0"/>
  </r>
  <r>
    <x v="317"/>
    <s v="RATA"/>
    <s v="MPG"/>
    <s v="Direct"/>
    <n v="457.2"/>
    <n v="19961.466165898"/>
    <n v="466.37"/>
    <n v="19801.153837154983"/>
    <n v="0"/>
    <n v="0"/>
    <n v="466.37"/>
    <n v="19801.153837154983"/>
    <n v="19801.153837154983"/>
    <n v="0"/>
    <n v="0"/>
    <n v="0"/>
    <n v="0"/>
    <n v="0"/>
    <n v="0"/>
    <n v="19801"/>
    <n v="0"/>
    <n v="0"/>
    <n v="160"/>
    <n v="0"/>
  </r>
  <r>
    <x v="318"/>
    <s v="BARUI"/>
    <s v="MPG"/>
    <s v="Direct"/>
    <n v="393.70000000000005"/>
    <n v="17300.430053292002"/>
    <n v="404.8"/>
    <n v="16910.111409442503"/>
    <n v="5.95"/>
    <n v="273.07421932510005"/>
    <n v="410.75"/>
    <n v="17183.185628767602"/>
    <n v="17183.185628767602"/>
    <n v="0"/>
    <n v="273.07421932510005"/>
    <n v="0"/>
    <n v="0"/>
    <n v="0"/>
    <n v="0"/>
    <n v="16910"/>
    <n v="0"/>
    <n v="0"/>
    <n v="117"/>
    <n v="0"/>
  </r>
  <r>
    <x v="319"/>
    <s v="LAHUARA                                                                                             "/>
    <s v="MPG"/>
    <s v="Direct"/>
    <n v="721.7"/>
    <n v="34767.137574718705"/>
    <n v="721.93000000000006"/>
    <n v="37974.940383368499"/>
    <n v="5.7600000000000007"/>
    <n v="290.12103405570002"/>
    <n v="727.69"/>
    <n v="38265.0614174242"/>
    <n v="34767.137574718705"/>
    <n v="0"/>
    <n v="290.12103405570002"/>
    <n v="3497.9238427054952"/>
    <n v="0"/>
    <n v="0"/>
    <n v="0"/>
    <n v="34477"/>
    <n v="0"/>
    <n v="0"/>
    <n v="0"/>
    <n v="0"/>
  </r>
  <r>
    <x v="320"/>
    <s v="LACHHUAR"/>
    <s v="MPG"/>
    <s v="Direct"/>
    <n v="924.5"/>
    <n v="37609.481190747007"/>
    <n v="884.7700000000001"/>
    <n v="37772.648942869106"/>
    <n v="18.46"/>
    <n v="698.23940247592407"/>
    <n v="903.23000000000013"/>
    <n v="38470.888345345033"/>
    <n v="37609.481190747007"/>
    <n v="0"/>
    <n v="698.23940247592407"/>
    <n v="861.40715459802595"/>
    <n v="0"/>
    <n v="0"/>
    <n v="0"/>
    <n v="36911"/>
    <n v="0"/>
    <n v="0"/>
    <n v="0"/>
    <n v="0"/>
  </r>
  <r>
    <x v="321"/>
    <s v="RAMDIH Ajit Kumar"/>
    <s v="vlc"/>
    <s v="Indirect"/>
    <n v="278.20000000000005"/>
    <n v="10099.250037729"/>
    <n v="0"/>
    <n v="0"/>
    <n v="0"/>
    <n v="0"/>
    <n v="0"/>
    <n v="0"/>
    <n v="10099.250037729"/>
    <n v="0"/>
    <n v="0"/>
    <n v="0"/>
    <n v="0"/>
    <n v="0"/>
    <n v="0"/>
    <n v="0"/>
    <n v="0"/>
    <n v="10099.250037729"/>
    <n v="0"/>
    <n v="0"/>
  </r>
  <r>
    <x v="322"/>
    <s v="NARAYANPUR"/>
    <s v="MPG"/>
    <s v="Direct"/>
    <n v="493.2"/>
    <n v="20129.320810140001"/>
    <n v="572.29999999999995"/>
    <n v="24079.013818053842"/>
    <n v="1.55"/>
    <n v="66.213405398000006"/>
    <n v="573.84999999999991"/>
    <n v="24145.227223451842"/>
    <n v="20129.320810140001"/>
    <n v="0"/>
    <n v="66.213405398000006"/>
    <n v="4015.9064133118409"/>
    <n v="0"/>
    <n v="0"/>
    <n v="0"/>
    <n v="20063"/>
    <n v="0"/>
    <n v="0"/>
    <n v="0"/>
    <n v="0"/>
  </r>
  <r>
    <x v="323"/>
    <s v="NAWKADIH"/>
    <s v="MPG"/>
    <s v="Direct"/>
    <n v="1254.4999999999998"/>
    <n v="49173.986835206393"/>
    <n v="1254"/>
    <n v="49514.60909196001"/>
    <n v="0"/>
    <n v="0"/>
    <n v="1254"/>
    <n v="49514.60909196001"/>
    <n v="49173.986835206393"/>
    <n v="0"/>
    <n v="0"/>
    <n v="340.62225675361697"/>
    <n v="0"/>
    <n v="0"/>
    <n v="0"/>
    <n v="49174"/>
    <n v="0"/>
    <n v="0"/>
    <n v="0"/>
    <n v="0"/>
  </r>
  <r>
    <x v="324"/>
    <s v="CHOTAHA"/>
    <s v="MPG"/>
    <s v="Direct"/>
    <n v="632.99999999999989"/>
    <n v="26227.593617309503"/>
    <n v="554.12"/>
    <n v="39396.447861113957"/>
    <n v="0"/>
    <n v="0"/>
    <n v="554.12"/>
    <n v="39396.447861113957"/>
    <n v="26227.593617309503"/>
    <n v="0"/>
    <n v="0"/>
    <n v="13168.854243804453"/>
    <n v="0"/>
    <n v="0"/>
    <n v="0"/>
    <n v="26228"/>
    <n v="0"/>
    <n v="0"/>
    <n v="0"/>
    <n v="0"/>
  </r>
  <r>
    <x v="325"/>
    <s v="KHARAGWADA "/>
    <s v="MPG"/>
    <s v="Direct"/>
    <n v="254.50000000000003"/>
    <n v="10659.135035339999"/>
    <n v="261.10000000000002"/>
    <n v="11152.145469980003"/>
    <n v="0"/>
    <n v="0"/>
    <n v="261.10000000000002"/>
    <n v="11152.145469980003"/>
    <n v="10659.135035339999"/>
    <n v="0"/>
    <n v="0"/>
    <n v="493.01043464000395"/>
    <n v="0"/>
    <n v="500"/>
    <n v="0"/>
    <n v="10159"/>
    <n v="0"/>
    <n v="0"/>
    <n v="0"/>
    <n v="0"/>
  </r>
  <r>
    <x v="326"/>
    <s v="UFFAPUR"/>
    <s v="MPG"/>
    <s v="Direct"/>
    <n v="178.90000000000003"/>
    <n v="8531.2276383749013"/>
    <n v="408.08000000000004"/>
    <n v="18000.849169090499"/>
    <n v="0"/>
    <n v="0"/>
    <n v="408.08000000000004"/>
    <n v="18000.849169090499"/>
    <n v="8531.2276383749013"/>
    <n v="0"/>
    <n v="0"/>
    <n v="9469.6215307155981"/>
    <n v="0"/>
    <n v="500"/>
    <n v="0"/>
    <n v="8031"/>
    <n v="0"/>
    <n v="0"/>
    <n v="0"/>
    <n v="0"/>
  </r>
  <r>
    <x v="327"/>
    <s v="BIHRAURA"/>
    <s v="MPG"/>
    <s v="Direct"/>
    <n v="149.19999999999999"/>
    <n v="6545.1893080200016"/>
    <n v="150.4"/>
    <n v="6600.4484876100014"/>
    <n v="0"/>
    <n v="0"/>
    <n v="150.4"/>
    <n v="6600.4484876100014"/>
    <n v="6545.1893080200016"/>
    <n v="0"/>
    <n v="0"/>
    <n v="55.259179589999803"/>
    <n v="0"/>
    <n v="500"/>
    <n v="0"/>
    <n v="6045"/>
    <n v="0"/>
    <n v="0"/>
    <n v="0"/>
    <n v="0"/>
  </r>
  <r>
    <x v="328"/>
    <s v="SHIJHORI"/>
    <s v="MPG"/>
    <s v="Direct"/>
    <n v="472.3"/>
    <n v="20202.225366487601"/>
    <n v="471.57"/>
    <n v="20520.480198935715"/>
    <n v="0"/>
    <n v="0"/>
    <n v="471.57"/>
    <n v="20520.480198935715"/>
    <n v="20202.225366487601"/>
    <n v="0"/>
    <n v="0"/>
    <n v="318.25483244811403"/>
    <n v="0"/>
    <n v="0"/>
    <n v="0"/>
    <n v="20202"/>
    <n v="0"/>
    <n v="0"/>
    <n v="0"/>
    <n v="0"/>
  </r>
  <r>
    <x v="329"/>
    <s v="RAM PRAVESH YADAV"/>
    <s v="MPG"/>
    <s v="Direct"/>
    <n v="532.29999999999995"/>
    <n v="21101.089285546008"/>
    <n v="543.55000000000007"/>
    <n v="22413.46783440838"/>
    <n v="0"/>
    <n v="0"/>
    <n v="543.55000000000007"/>
    <n v="22413.46783440838"/>
    <n v="21101.089285546008"/>
    <n v="0"/>
    <n v="0"/>
    <n v="1312.3785488623726"/>
    <n v="0"/>
    <n v="0"/>
    <n v="0"/>
    <n v="21101"/>
    <n v="0"/>
    <n v="0"/>
    <n v="0"/>
    <n v="0"/>
  </r>
  <r>
    <x v="330"/>
    <s v="BOUDHNAGAR"/>
    <s v="MPG"/>
    <s v="Direct"/>
    <n v="429.00000000000011"/>
    <n v="16766.299238531999"/>
    <n v="485.97"/>
    <n v="19178.545466529002"/>
    <n v="0"/>
    <n v="0"/>
    <n v="485.97"/>
    <n v="19178.545466529002"/>
    <n v="16766.299238531999"/>
    <n v="0"/>
    <n v="0"/>
    <n v="2412.2462279970023"/>
    <n v="0"/>
    <n v="0"/>
    <n v="0"/>
    <n v="16766"/>
    <n v="0"/>
    <n v="0"/>
    <n v="0"/>
    <n v="0"/>
  </r>
  <r>
    <x v="331"/>
    <s v="MOHADDINGAR"/>
    <s v="MPG"/>
    <s v="Direct"/>
    <n v="377"/>
    <n v="15313.436132777002"/>
    <n v="387.05000000000007"/>
    <n v="16312.875794585023"/>
    <n v="0"/>
    <n v="0"/>
    <n v="387.05000000000007"/>
    <n v="16312.875794585023"/>
    <n v="15313.436132777002"/>
    <n v="0"/>
    <n v="0"/>
    <n v="999.4396618080209"/>
    <n v="0"/>
    <n v="0"/>
    <n v="0"/>
    <n v="15313"/>
    <n v="0"/>
    <n v="0"/>
    <n v="0"/>
    <n v="0"/>
  </r>
  <r>
    <x v="332"/>
    <s v="PACHAUTA"/>
    <s v="MPG"/>
    <s v="Direct"/>
    <n v="712.40000000000009"/>
    <n v="29068.364298721503"/>
    <n v="777.4799999999999"/>
    <n v="33770.9094229818"/>
    <n v="0"/>
    <n v="0"/>
    <n v="777.4799999999999"/>
    <n v="33770.9094229818"/>
    <n v="29068.364298721503"/>
    <n v="0"/>
    <n v="0"/>
    <n v="4702.5451242602976"/>
    <n v="0"/>
    <n v="0"/>
    <n v="0"/>
    <n v="29068"/>
    <n v="0"/>
    <n v="0"/>
    <n v="0"/>
    <n v="0"/>
  </r>
  <r>
    <x v="333"/>
    <s v="Gomukh Champa"/>
    <s v="vlc"/>
    <s v="Indirect"/>
    <n v="16000"/>
    <n v="645303.02009999985"/>
    <n v="0"/>
    <n v="0"/>
    <n v="0"/>
    <n v="0"/>
    <n v="0"/>
    <n v="0"/>
    <n v="645303.02009999985"/>
    <n v="0"/>
    <n v="0"/>
    <n v="0"/>
    <n v="0"/>
    <n v="0"/>
    <n v="0"/>
    <n v="0"/>
    <n v="0"/>
    <n v="645303.02009999985"/>
    <n v="0"/>
    <n v="0"/>
  </r>
  <r>
    <x v="334"/>
    <s v="GOMUKH DAKRA"/>
    <s v="vlc"/>
    <s v="Indirect"/>
    <n v="16500"/>
    <n v="662032.58235000004"/>
    <n v="0"/>
    <n v="0"/>
    <n v="0"/>
    <n v="0"/>
    <n v="0"/>
    <n v="0"/>
    <n v="662032.58235000004"/>
    <n v="0"/>
    <n v="0"/>
    <n v="0"/>
    <n v="0"/>
    <n v="0"/>
    <n v="0"/>
    <n v="0"/>
    <n v="0"/>
    <n v="662032.58235000004"/>
    <n v="0"/>
    <n v="0"/>
  </r>
  <r>
    <x v="335"/>
    <s v="TIYAY"/>
    <s v="MPG"/>
    <s v="Direct"/>
    <n v="325.39999999999998"/>
    <n v="12577.413440448003"/>
    <n v="336.40000000000003"/>
    <n v="13339.7235858"/>
    <n v="0"/>
    <n v="0"/>
    <n v="336.40000000000003"/>
    <n v="13339.7235858"/>
    <n v="12577.413440448003"/>
    <n v="0"/>
    <n v="0"/>
    <n v="762.31014535199756"/>
    <n v="0"/>
    <n v="0"/>
    <n v="0"/>
    <n v="12577"/>
    <n v="0"/>
    <n v="0"/>
    <n v="0"/>
    <n v="0"/>
  </r>
  <r>
    <x v="336"/>
    <s v="BILLO 2"/>
    <s v="MPG"/>
    <s v="Direct"/>
    <n v="208.7"/>
    <n v="8364.0382796100021"/>
    <n v="220.4"/>
    <n v="9000.4849795500013"/>
    <n v="0"/>
    <n v="0"/>
    <n v="220.4"/>
    <n v="9000.4849795500013"/>
    <n v="8364.0382796100021"/>
    <n v="0"/>
    <n v="0"/>
    <n v="636.44669993999923"/>
    <n v="0"/>
    <n v="0"/>
    <n v="0"/>
    <n v="8364"/>
    <n v="0"/>
    <n v="0"/>
    <n v="0"/>
    <n v="0"/>
  </r>
  <r>
    <x v="337"/>
    <s v="NAWADIH 2"/>
    <s v="MPG"/>
    <s v="Direct"/>
    <n v="413.70000000000005"/>
    <n v="19400.011296831599"/>
    <n v="413.7"/>
    <n v="18845.062650313201"/>
    <n v="0"/>
    <n v="0"/>
    <n v="413.7"/>
    <n v="18845.062650313201"/>
    <n v="18845.062650313201"/>
    <n v="0"/>
    <n v="0"/>
    <n v="0"/>
    <n v="0"/>
    <n v="0"/>
    <n v="0"/>
    <n v="18845"/>
    <n v="0"/>
    <n v="0"/>
    <n v="555"/>
    <n v="0"/>
  </r>
  <r>
    <x v="338"/>
    <s v="Vishan Pur"/>
    <s v="MPG"/>
    <s v="Direct"/>
    <n v="763.40000000000009"/>
    <n v="28995.594898320003"/>
    <n v="787.75"/>
    <n v="30962.626512275554"/>
    <n v="6.13"/>
    <n v="237.96160507200003"/>
    <n v="793.88"/>
    <n v="31200.588117347554"/>
    <n v="28995.594898320003"/>
    <n v="0"/>
    <n v="237.96160507200003"/>
    <n v="2204.9932190275504"/>
    <n v="0"/>
    <n v="0"/>
    <n v="0"/>
    <n v="28758"/>
    <n v="0"/>
    <n v="0"/>
    <n v="0"/>
    <s v="Release1"/>
  </r>
  <r>
    <x v="339"/>
    <s v="Gomukh Madhawpur"/>
    <s v="MPG"/>
    <s v="Direct"/>
    <n v="1857.5000000000002"/>
    <n v="72231.817841117198"/>
    <n v="1887.7"/>
    <n v="81442.834219145705"/>
    <n v="7"/>
    <n v="327.94029099449995"/>
    <n v="1894.7"/>
    <n v="81770.774510140211"/>
    <n v="72231.817841117198"/>
    <n v="0"/>
    <n v="327.94029099449995"/>
    <n v="9538.9566690230131"/>
    <n v="0"/>
    <n v="0"/>
    <n v="0"/>
    <n v="71904"/>
    <n v="0"/>
    <n v="0"/>
    <n v="0"/>
    <n v="0"/>
  </r>
  <r>
    <x v="340"/>
    <s v="Gomukh Muradpur"/>
    <s v="vlc"/>
    <s v="Indirect"/>
    <n v="123.3"/>
    <n v="4047.4852354560007"/>
    <n v="0"/>
    <n v="0"/>
    <n v="0"/>
    <n v="0"/>
    <n v="0"/>
    <n v="0"/>
    <n v="4047.4852354560007"/>
    <n v="0"/>
    <n v="0"/>
    <n v="0"/>
    <n v="0"/>
    <n v="0"/>
    <n v="0"/>
    <n v="0"/>
    <n v="0"/>
    <n v="4047.4852354560007"/>
    <n v="0"/>
    <n v="0"/>
  </r>
  <r>
    <x v="341"/>
    <s v="Gomukh Kanhaiyachak Pachhim"/>
    <s v="MPG"/>
    <s v="Direct"/>
    <n v="1214.7000000000005"/>
    <n v="48879.287354289008"/>
    <n v="1214.96"/>
    <n v="57770.338659890513"/>
    <n v="0"/>
    <n v="0"/>
    <n v="1214.96"/>
    <n v="57770.338659890513"/>
    <n v="48879.287354289008"/>
    <n v="0"/>
    <n v="0"/>
    <n v="8891.0513056015043"/>
    <n v="0"/>
    <n v="0"/>
    <n v="0"/>
    <n v="48879"/>
    <n v="0"/>
    <n v="0"/>
    <n v="0"/>
    <n v="0"/>
  </r>
  <r>
    <x v="342"/>
    <s v="Gomukh Srirampur Thuthi"/>
    <s v="MPG"/>
    <s v="Direct"/>
    <n v="333.9"/>
    <n v="13248.135661620001"/>
    <n v="335.08"/>
    <n v="13065.514205460004"/>
    <n v="0"/>
    <n v="0"/>
    <n v="335.08"/>
    <n v="13065.514205460004"/>
    <n v="13065.514205460004"/>
    <n v="0"/>
    <n v="0"/>
    <n v="0"/>
    <n v="0"/>
    <n v="0"/>
    <n v="0"/>
    <n v="13066"/>
    <n v="0"/>
    <n v="0"/>
    <n v="182"/>
    <n v="0"/>
  </r>
  <r>
    <x v="343"/>
    <s v="Gomukh Dumariya Bujurg Madhay"/>
    <s v="MPG"/>
    <s v="Direct"/>
    <n v="162"/>
    <n v="6721.629050562"/>
    <n v="176.2"/>
    <n v="7764.1087803"/>
    <n v="0"/>
    <n v="0"/>
    <n v="176.2"/>
    <n v="7764.1087803"/>
    <n v="6721.629050562"/>
    <n v="0"/>
    <n v="0"/>
    <n v="1042.4797297380001"/>
    <n v="0"/>
    <n v="0"/>
    <n v="0"/>
    <n v="6722"/>
    <n v="0"/>
    <n v="0"/>
    <n v="0"/>
    <s v="Release1"/>
  </r>
  <r>
    <x v="344"/>
    <s v="Gomukh Bandahera                                                                                    "/>
    <s v="MPG"/>
    <s v="Direct"/>
    <n v="453.4"/>
    <n v="17007.362933640004"/>
    <n v="452.29999999999995"/>
    <n v="16965.709216470001"/>
    <n v="1.4000000000000001"/>
    <n v="53.330063280000012"/>
    <n v="453.69999999999993"/>
    <n v="17019.039279749999"/>
    <n v="17007.362933640004"/>
    <n v="0"/>
    <n v="53.330063280000012"/>
    <n v="11.676346109994483"/>
    <n v="0"/>
    <n v="0"/>
    <n v="0"/>
    <n v="16954"/>
    <n v="0"/>
    <n v="0"/>
    <n v="0"/>
    <s v="Release1"/>
  </r>
  <r>
    <x v="345"/>
    <s v="Gomukh Badi Lagar-1 Kiran"/>
    <s v="vlc"/>
    <s v="Indirect"/>
    <n v="733.1"/>
    <n v="27290.888142699205"/>
    <n v="0"/>
    <n v="0"/>
    <n v="0"/>
    <n v="0"/>
    <n v="0"/>
    <n v="0"/>
    <n v="27290.888142699205"/>
    <n v="0"/>
    <n v="0"/>
    <n v="0"/>
    <n v="0"/>
    <n v="0"/>
    <n v="0"/>
    <n v="0"/>
    <n v="0"/>
    <n v="27290.888142699205"/>
    <n v="0"/>
    <n v="0"/>
  </r>
  <r>
    <x v="933"/>
    <s v="Gomukh Muradpur Deepak"/>
    <s v="vlc"/>
    <s v="Indirect"/>
    <n v="416.59999999999997"/>
    <n v="14986.695336717001"/>
    <n v="0"/>
    <n v="0"/>
    <n v="0"/>
    <n v="0"/>
    <n v="0"/>
    <n v="0"/>
    <n v="14986.695336717001"/>
    <n v="0"/>
    <n v="0"/>
    <n v="0"/>
    <n v="0"/>
    <n v="0"/>
    <n v="0"/>
    <n v="0"/>
    <n v="0"/>
    <n v="14986.695336717001"/>
    <n v="0"/>
    <n v="0"/>
  </r>
  <r>
    <x v="346"/>
    <s v="Gomukh Basudevpur"/>
    <s v="vlc"/>
    <s v="Indirect"/>
    <n v="186.8"/>
    <n v="7017.0253024260001"/>
    <n v="0"/>
    <n v="0"/>
    <n v="0"/>
    <n v="0"/>
    <n v="0"/>
    <n v="0"/>
    <n v="7017.0253024260001"/>
    <n v="0"/>
    <n v="0"/>
    <n v="0"/>
    <n v="0"/>
    <n v="0"/>
    <n v="0"/>
    <n v="0"/>
    <n v="0"/>
    <n v="7017.0253024260001"/>
    <n v="0"/>
    <n v="0"/>
  </r>
  <r>
    <x v="992"/>
    <s v="Gomukh Fudkichak"/>
    <s v="MPG"/>
    <s v="Direct"/>
    <n v="310.59999999999997"/>
    <n v="13436.7887528586"/>
    <n v="0"/>
    <n v="0"/>
    <n v="0"/>
    <n v="0"/>
    <n v="0"/>
    <n v="0"/>
    <n v="0"/>
    <n v="0"/>
    <n v="0"/>
    <n v="0"/>
    <n v="0"/>
    <n v="0"/>
    <n v="0"/>
    <n v="0"/>
    <n v="0"/>
    <n v="0"/>
    <n v="13437"/>
    <s v="Yes"/>
  </r>
  <r>
    <x v="347"/>
    <s v="Gomukh Tehay"/>
    <s v="MPG"/>
    <s v="Direct"/>
    <n v="177.7"/>
    <n v="8547.2213082415983"/>
    <n v="177.79999999999998"/>
    <n v="9274.3137577626003"/>
    <n v="0"/>
    <n v="0"/>
    <n v="177.79999999999998"/>
    <n v="9274.3137577626003"/>
    <n v="8547.2213082415983"/>
    <n v="0"/>
    <n v="0"/>
    <n v="727.09244952100198"/>
    <n v="0"/>
    <n v="500"/>
    <n v="0"/>
    <n v="8047"/>
    <n v="0"/>
    <n v="0"/>
    <n v="0"/>
    <n v="0"/>
  </r>
  <r>
    <x v="348"/>
    <s v="Gomukh Buddhnagar"/>
    <s v="vlc"/>
    <s v="Indirect"/>
    <n v="1178.5"/>
    <n v="40936.120700134503"/>
    <n v="0"/>
    <n v="0"/>
    <n v="0"/>
    <n v="0"/>
    <n v="0"/>
    <n v="0"/>
    <n v="40936.120700134503"/>
    <n v="0"/>
    <n v="0"/>
    <n v="0"/>
    <n v="0"/>
    <n v="0"/>
    <n v="0"/>
    <n v="0"/>
    <n v="0"/>
    <n v="40936.120700134503"/>
    <n v="0"/>
    <n v="0"/>
  </r>
  <r>
    <x v="934"/>
    <s v="Gomukh Krochaka Dudhela"/>
    <s v="MPG"/>
    <s v="Direct"/>
    <n v="3574.4999999999995"/>
    <n v="126754.11196699803"/>
    <n v="3570.79"/>
    <n v="151355.67621814201"/>
    <n v="3.9099999999999993"/>
    <n v="150.74578334700001"/>
    <n v="3574.7"/>
    <n v="151506.422001489"/>
    <n v="126754.11196699803"/>
    <n v="0"/>
    <n v="150.74578334700001"/>
    <n v="24752.310034490976"/>
    <n v="0"/>
    <n v="0"/>
    <n v="0"/>
    <n v="126603"/>
    <n v="0"/>
    <n v="0"/>
    <n v="0"/>
    <n v="0"/>
  </r>
  <r>
    <x v="349"/>
    <s v="Gomukh Govind Pur"/>
    <s v="MPG"/>
    <s v="Direct"/>
    <n v="1324.3000000000002"/>
    <n v="49019.855346035998"/>
    <n v="1524.6999999999998"/>
    <n v="56300.208807420007"/>
    <n v="0.30000000000000004"/>
    <n v="11.767934490000002"/>
    <n v="1524.9999999999998"/>
    <n v="56311.97674191001"/>
    <n v="49019.855346035998"/>
    <n v="0"/>
    <n v="11.767934490000002"/>
    <n v="7292.1213958740118"/>
    <n v="0"/>
    <n v="0"/>
    <n v="0"/>
    <n v="49008"/>
    <n v="0"/>
    <n v="0"/>
    <n v="0"/>
    <n v="0"/>
  </r>
  <r>
    <x v="350"/>
    <s v="Gomukh Sondiha"/>
    <s v="MPG"/>
    <s v="Direct"/>
    <n v="1509.6"/>
    <n v="56565.894166587001"/>
    <n v="1515.5"/>
    <n v="56991.107209095004"/>
    <n v="0"/>
    <n v="0"/>
    <n v="1515.5"/>
    <n v="56991.107209095004"/>
    <n v="56565.894166587001"/>
    <n v="0"/>
    <n v="0"/>
    <n v="425.21304250800313"/>
    <n v="0"/>
    <n v="0"/>
    <n v="0"/>
    <n v="56566"/>
    <n v="0"/>
    <n v="0"/>
    <n v="0"/>
    <n v="0"/>
  </r>
  <r>
    <x v="351"/>
    <s v="Gomukh Thebhay B"/>
    <s v="MPG"/>
    <s v="Direct"/>
    <n v="130.4"/>
    <n v="6145.0774324185013"/>
    <n v="271.60999999999996"/>
    <n v="11588.922323869503"/>
    <n v="1.89"/>
    <n v="81.124829301600016"/>
    <n v="273.49999999999994"/>
    <n v="11670.047153171103"/>
    <n v="6145.0774324185013"/>
    <n v="0"/>
    <n v="81.124829301600016"/>
    <n v="5524.9697207526015"/>
    <n v="0"/>
    <n v="0"/>
    <n v="0"/>
    <n v="6064"/>
    <n v="0"/>
    <n v="0"/>
    <n v="0"/>
    <n v="0"/>
  </r>
  <r>
    <x v="352"/>
    <s v="Gomukh Baisa"/>
    <s v="MPG"/>
    <s v="Direct"/>
    <n v="227.70000000000005"/>
    <n v="8038.5929218800011"/>
    <n v="286.8"/>
    <n v="10600.430860799999"/>
    <n v="0"/>
    <n v="0"/>
    <n v="286.8"/>
    <n v="10600.430860799999"/>
    <n v="8038.5929218800011"/>
    <n v="0"/>
    <n v="0"/>
    <n v="2561.8379389199981"/>
    <n v="0"/>
    <n v="0"/>
    <n v="0"/>
    <n v="8039"/>
    <n v="0"/>
    <n v="0"/>
    <n v="0"/>
    <n v="0"/>
  </r>
  <r>
    <x v="353"/>
    <s v="Gomukh Bhorkanth Purbi"/>
    <s v="MPG"/>
    <s v="Direct"/>
    <n v="509.7"/>
    <n v="17547.610604585701"/>
    <n v="0"/>
    <n v="0"/>
    <n v="0"/>
    <n v="0"/>
    <n v="0"/>
    <n v="0"/>
    <n v="0"/>
    <n v="0"/>
    <n v="0"/>
    <n v="0"/>
    <n v="0"/>
    <n v="0"/>
    <n v="0"/>
    <n v="0"/>
    <n v="0"/>
    <n v="0"/>
    <n v="17548"/>
    <n v="0"/>
  </r>
  <r>
    <x v="354"/>
    <s v="Gomukh Khutha VLC"/>
    <s v="vlc"/>
    <s v="Indirect"/>
    <n v="7919.1"/>
    <n v="325268.46702651004"/>
    <n v="0"/>
    <n v="0"/>
    <n v="0"/>
    <n v="0"/>
    <n v="0"/>
    <n v="0"/>
    <n v="325268.46702651004"/>
    <n v="0"/>
    <n v="0"/>
    <n v="0"/>
    <n v="0"/>
    <n v="0"/>
    <n v="0"/>
    <n v="0"/>
    <n v="0"/>
    <n v="325268.46702651004"/>
    <n v="0"/>
    <n v="0"/>
  </r>
  <r>
    <x v="993"/>
    <s v="Gomukh Jitendra Yadav Vlc"/>
    <s v="vlc"/>
    <s v="Indirect"/>
    <n v="457.20000000000005"/>
    <n v="18274.942040764501"/>
    <n v="0"/>
    <n v="0"/>
    <n v="0"/>
    <n v="0"/>
    <n v="0"/>
    <n v="0"/>
    <n v="18274.942040764501"/>
    <n v="0"/>
    <n v="0"/>
    <n v="0"/>
    <n v="0"/>
    <n v="0"/>
    <n v="0"/>
    <n v="0"/>
    <n v="0"/>
    <n v="18274.942040764501"/>
    <n v="0"/>
    <n v="0"/>
  </r>
  <r>
    <x v="355"/>
    <s v="Gomukh Kabela Vlc"/>
    <s v="vlc"/>
    <s v="Indirect"/>
    <n v="1111.8000000000002"/>
    <n v="38796.260608160985"/>
    <n v="0"/>
    <n v="0"/>
    <n v="0"/>
    <n v="0"/>
    <n v="0"/>
    <n v="0"/>
    <n v="38796.260608160985"/>
    <n v="0"/>
    <n v="0"/>
    <n v="0"/>
    <n v="0"/>
    <n v="0"/>
    <n v="0"/>
    <n v="0"/>
    <n v="0"/>
    <n v="38796.260608160985"/>
    <n v="0"/>
    <n v="0"/>
  </r>
  <r>
    <x v="356"/>
    <s v="Gomukh Madhabpur Purbi Vlc"/>
    <s v="vlc"/>
    <s v="Indirect"/>
    <n v="15.200000000000001"/>
    <n v="457.75057422600008"/>
    <n v="0"/>
    <n v="0"/>
    <n v="0"/>
    <n v="0"/>
    <n v="0"/>
    <n v="0"/>
    <n v="457.75057422600008"/>
    <n v="0"/>
    <n v="0"/>
    <n v="0"/>
    <n v="0"/>
    <n v="0"/>
    <n v="0"/>
    <n v="0"/>
    <n v="0"/>
    <n v="457.75057422600008"/>
    <n v="0"/>
    <n v="0"/>
  </r>
  <r>
    <x v="994"/>
    <s v="Gomukh Lagar Wad-13 Vlc"/>
    <s v="vlc"/>
    <s v="Indirect"/>
    <n v="657.2"/>
    <n v="29665.988285801504"/>
    <n v="0"/>
    <n v="0"/>
    <n v="0"/>
    <n v="0"/>
    <n v="0"/>
    <n v="0"/>
    <n v="29665.988285801504"/>
    <n v="0"/>
    <n v="0"/>
    <n v="0"/>
    <n v="0"/>
    <n v="0"/>
    <n v="0"/>
    <n v="0"/>
    <n v="0"/>
    <n v="29665.988285801504"/>
    <n v="0"/>
    <n v="0"/>
  </r>
  <r>
    <x v="357"/>
    <s v="Gomukh Manish Vlc"/>
    <s v="vlc"/>
    <s v="Indirect"/>
    <n v="3137.5"/>
    <n v="152517.16068973299"/>
    <n v="0"/>
    <n v="0"/>
    <n v="0"/>
    <n v="0"/>
    <n v="0"/>
    <n v="0"/>
    <n v="152517.16068973299"/>
    <n v="0"/>
    <n v="0"/>
    <n v="0"/>
    <n v="0"/>
    <n v="0"/>
    <n v="0"/>
    <n v="0"/>
    <n v="0"/>
    <n v="152517.16068973299"/>
    <n v="0"/>
    <n v="0"/>
  </r>
  <r>
    <x v="995"/>
    <s v="Gomukh Parbatta Vlc"/>
    <s v="vlc"/>
    <s v="Indirect"/>
    <n v="3827.6"/>
    <n v="186899.99225010644"/>
    <n v="0"/>
    <n v="0"/>
    <n v="0"/>
    <n v="0"/>
    <n v="0"/>
    <n v="0"/>
    <n v="186899.99225010644"/>
    <n v="0"/>
    <n v="0"/>
    <n v="0"/>
    <n v="0"/>
    <n v="0"/>
    <n v="0"/>
    <n v="0"/>
    <n v="0"/>
    <n v="186899.99225010644"/>
    <n v="0"/>
    <n v="0"/>
  </r>
  <r>
    <x v="1022"/>
    <s v="Gomukh Manjesh Kumar Temtha Karari"/>
    <s v="vlc"/>
    <s v="Indirect"/>
    <n v="5652.2"/>
    <n v="222159.84813319205"/>
    <n v="0"/>
    <n v="0"/>
    <n v="0"/>
    <n v="0"/>
    <n v="0"/>
    <n v="0"/>
    <n v="222159.84813319205"/>
    <n v="0"/>
    <n v="0"/>
    <n v="0"/>
    <n v="0"/>
    <n v="0"/>
    <n v="0"/>
    <n v="0"/>
    <n v="0"/>
    <n v="222159.84813319205"/>
    <n v="0"/>
    <n v="0"/>
  </r>
  <r>
    <x v="358"/>
    <s v="Gomukh Mahendrapur"/>
    <s v="MPG"/>
    <s v="Direct"/>
    <n v="1706.4"/>
    <n v="68448.640956210016"/>
    <n v="1660.6"/>
    <n v="72044.146312722805"/>
    <n v="42"/>
    <n v="1822.7223729000004"/>
    <n v="1702.6"/>
    <n v="73866.868685622801"/>
    <n v="68448.640956210016"/>
    <n v="0"/>
    <n v="1822.7223729000004"/>
    <n v="5418.2277294127853"/>
    <n v="0"/>
    <n v="0"/>
    <n v="0"/>
    <n v="66626"/>
    <n v="0"/>
    <n v="0"/>
    <n v="0"/>
    <n v="0"/>
  </r>
  <r>
    <x v="359"/>
    <s v="Gomukh Balahpur"/>
    <s v="MPG"/>
    <s v="Direct"/>
    <n v="458.80000000000013"/>
    <n v="17636.425420320003"/>
    <n v="459"/>
    <n v="17973.963766950004"/>
    <n v="0"/>
    <n v="0"/>
    <n v="459"/>
    <n v="17973.963766950004"/>
    <n v="17636.425420320003"/>
    <n v="0"/>
    <n v="0"/>
    <n v="337.53834663000089"/>
    <n v="0"/>
    <n v="0"/>
    <n v="0"/>
    <n v="17636"/>
    <n v="0"/>
    <n v="0"/>
    <n v="0"/>
    <n v="0"/>
  </r>
  <r>
    <x v="360"/>
    <s v="Gomukh Danauli"/>
    <s v="MPG"/>
    <s v="Direct"/>
    <n v="407"/>
    <n v="15624.229528710001"/>
    <n v="411"/>
    <n v="15796.628078790001"/>
    <n v="1.4000000000000001"/>
    <n v="53.951355360000001"/>
    <n v="412.4"/>
    <n v="15850.579434150002"/>
    <n v="15624.229528710001"/>
    <n v="0"/>
    <n v="53.951355360000001"/>
    <n v="226.34990544000175"/>
    <n v="0"/>
    <n v="0"/>
    <n v="0"/>
    <n v="15570"/>
    <n v="0"/>
    <n v="0"/>
    <n v="0"/>
    <n v="0"/>
  </r>
  <r>
    <x v="361"/>
    <s v="NAYAGAW"/>
    <s v="MPG"/>
    <s v="Direct"/>
    <n v="3785.8000000000006"/>
    <n v="155866.08409408951"/>
    <n v="3746.0099999999993"/>
    <n v="155076.33595485147"/>
    <n v="30.23"/>
    <n v="2303.1026592892404"/>
    <n v="3776.2399999999993"/>
    <n v="157379.4386141407"/>
    <n v="155866.08409408951"/>
    <n v="0"/>
    <n v="2303.1026592892404"/>
    <n v="1513.3545200511871"/>
    <n v="0"/>
    <n v="0"/>
    <n v="0"/>
    <n v="153563"/>
    <n v="0"/>
    <n v="0"/>
    <n v="0"/>
    <n v="0"/>
  </r>
  <r>
    <x v="362"/>
    <s v="Dandari"/>
    <s v="MPG"/>
    <s v="Direct"/>
    <n v="1288.5"/>
    <n v="46684.107586386002"/>
    <n v="1285.7"/>
    <n v="46924.639856133006"/>
    <n v="2.8000000000000003"/>
    <n v="103.41518553300003"/>
    <n v="1288.5"/>
    <n v="47028.055041666004"/>
    <n v="46684.107586386002"/>
    <n v="0"/>
    <n v="103.41518553300003"/>
    <n v="343.94745528000203"/>
    <n v="0"/>
    <n v="0"/>
    <n v="0"/>
    <n v="46581"/>
    <n v="0"/>
    <n v="0"/>
    <n v="0"/>
    <n v="0"/>
  </r>
  <r>
    <x v="363"/>
    <s v="Rahimpur Pachkhutti"/>
    <s v="vlc"/>
    <s v="Indirect"/>
    <n v="7484.6"/>
    <n v="290198.37777672004"/>
    <n v="0"/>
    <n v="0"/>
    <n v="0"/>
    <n v="0"/>
    <n v="0"/>
    <n v="0"/>
    <n v="290198.37777672004"/>
    <n v="0"/>
    <n v="0"/>
    <n v="0"/>
    <n v="0"/>
    <n v="0"/>
    <n v="0"/>
    <n v="0"/>
    <n v="0"/>
    <n v="290198.37777672004"/>
    <n v="0"/>
    <n v="0"/>
  </r>
  <r>
    <x v="364"/>
    <s v="Gomukh Mohanpur                                                                                     "/>
    <s v="MPG"/>
    <s v="Direct"/>
    <n v="891.19999999999993"/>
    <n v="32346.419896482003"/>
    <n v="941"/>
    <n v="35529.133614600003"/>
    <n v="1.5"/>
    <n v="56.580019920000012"/>
    <n v="942.5"/>
    <n v="35585.713634520005"/>
    <n v="32346.419896482003"/>
    <n v="0"/>
    <n v="56.580019920000012"/>
    <n v="3239.2937380380026"/>
    <n v="0"/>
    <n v="0"/>
    <n v="0"/>
    <n v="32289"/>
    <n v="0"/>
    <n v="0"/>
    <n v="1"/>
    <n v="0"/>
  </r>
  <r>
    <x v="365"/>
    <s v="Gomukh Raghunathpur"/>
    <s v="MPG"/>
    <s v="Direct"/>
    <n v="916.99999999999966"/>
    <n v="39987.012872691914"/>
    <n v="933.8"/>
    <n v="39569.584930019242"/>
    <n v="16.299999999999997"/>
    <n v="688.40884634772499"/>
    <n v="950.09999999999991"/>
    <n v="40257.993776366966"/>
    <n v="39987.012872691914"/>
    <n v="0"/>
    <n v="688.40884634772499"/>
    <n v="270.9809036750521"/>
    <n v="0"/>
    <n v="0"/>
    <n v="0"/>
    <n v="39299"/>
    <n v="0"/>
    <n v="0"/>
    <n v="0"/>
    <n v="0"/>
  </r>
  <r>
    <x v="366"/>
    <s v="Gomukh Chhitraur"/>
    <s v="MPG"/>
    <s v="Direct"/>
    <n v="902.9000000000002"/>
    <n v="38178.189871980001"/>
    <n v="924.47"/>
    <n v="40676.05893913129"/>
    <n v="0"/>
    <n v="0"/>
    <n v="924.47"/>
    <n v="40676.05893913129"/>
    <n v="38178.189871980001"/>
    <n v="0"/>
    <n v="0"/>
    <n v="2497.8690671512886"/>
    <n v="0"/>
    <n v="0"/>
    <n v="0"/>
    <n v="38178"/>
    <n v="0"/>
    <n v="0"/>
    <n v="0"/>
    <n v="0"/>
  </r>
  <r>
    <x v="367"/>
    <s v="Gomukh Khorampur Chakaur"/>
    <s v="MPG"/>
    <s v="Direct"/>
    <n v="663.50000000000011"/>
    <n v="27038.773187112005"/>
    <n v="650.95000000000005"/>
    <n v="27197.604154575001"/>
    <n v="3.25"/>
    <n v="135.72697087500001"/>
    <n v="654.20000000000005"/>
    <n v="27333.33112545"/>
    <n v="27038.773187112005"/>
    <n v="0"/>
    <n v="135.72697087500001"/>
    <n v="294.55793833799544"/>
    <n v="0"/>
    <n v="0"/>
    <n v="0"/>
    <n v="26903"/>
    <n v="0"/>
    <n v="0"/>
    <n v="0"/>
    <n v="0"/>
  </r>
  <r>
    <x v="368"/>
    <s v="GOMUKH Mathar"/>
    <s v="MPG"/>
    <s v="Direct"/>
    <n v="66.899999999999991"/>
    <n v="2615.1717902174996"/>
    <n v="65.95"/>
    <n v="2557.7517367929004"/>
    <n v="1.0899999999999999"/>
    <n v="41.561373534900007"/>
    <n v="67.040000000000006"/>
    <n v="2599.3131103278006"/>
    <n v="2599.3131103278006"/>
    <n v="0"/>
    <n v="41.561373534900007"/>
    <n v="0"/>
    <n v="0"/>
    <n v="0"/>
    <n v="0"/>
    <n v="2557"/>
    <n v="0"/>
    <n v="0"/>
    <n v="17"/>
    <n v="0"/>
  </r>
  <r>
    <x v="369"/>
    <s v="Gomukh Kumar Chakki"/>
    <s v="MPG"/>
    <s v="Direct"/>
    <n v="289.89999999999998"/>
    <n v="9692.6633938200011"/>
    <n v="288.60000000000002"/>
    <n v="10948.78012644"/>
    <n v="1.2999999999999998"/>
    <n v="49.531014000000006"/>
    <n v="289.90000000000003"/>
    <n v="10998.311140440001"/>
    <n v="9692.6633938200011"/>
    <n v="0"/>
    <n v="49.531014000000006"/>
    <n v="1305.6477466199995"/>
    <n v="0"/>
    <n v="500"/>
    <n v="0"/>
    <n v="9143"/>
    <n v="0"/>
    <n v="0"/>
    <n v="0"/>
    <n v="0"/>
  </r>
  <r>
    <x v="370"/>
    <s v="Gomukh Sonapur"/>
    <s v="vlc"/>
    <s v="Indirect"/>
    <n v="400.2"/>
    <n v="15797.936867460001"/>
    <n v="0"/>
    <n v="0"/>
    <n v="0"/>
    <n v="0"/>
    <n v="0"/>
    <n v="0"/>
    <n v="15797.936867460001"/>
    <n v="0"/>
    <n v="0"/>
    <n v="0"/>
    <n v="0"/>
    <n v="0"/>
    <n v="0"/>
    <n v="0"/>
    <n v="0"/>
    <n v="15797.936867460001"/>
    <n v="0"/>
    <n v="0"/>
  </r>
  <r>
    <x v="371"/>
    <s v="Gomukh Barkhandi 2"/>
    <s v="MPG"/>
    <s v="Indirect"/>
    <n v="463.6"/>
    <n v="17670.304405380004"/>
    <n v="0"/>
    <n v="0"/>
    <n v="0"/>
    <n v="0"/>
    <n v="0"/>
    <n v="0"/>
    <n v="17670.304405380004"/>
    <n v="0"/>
    <n v="0"/>
    <n v="0"/>
    <n v="0"/>
    <n v="0"/>
    <n v="0"/>
    <n v="0"/>
    <n v="0"/>
    <n v="17670.304405380004"/>
    <n v="0"/>
    <n v="0"/>
  </r>
  <r>
    <x v="372"/>
    <s v="Gomukh Kalyanpur                                                                                    "/>
    <s v="MPG"/>
    <s v="Direct"/>
    <n v="608"/>
    <n v="23460.385296300006"/>
    <n v="614.40000000000009"/>
    <n v="23796.146859270004"/>
    <n v="2.6"/>
    <n v="101.53592370000003"/>
    <n v="617.00000000000011"/>
    <n v="23897.682782970005"/>
    <n v="23460.385296300006"/>
    <n v="0"/>
    <n v="101.53592370000003"/>
    <n v="437.29748666999876"/>
    <n v="0"/>
    <n v="0"/>
    <n v="0"/>
    <n v="23358"/>
    <n v="0"/>
    <n v="0"/>
    <n v="1"/>
    <n v="0"/>
  </r>
  <r>
    <x v="373"/>
    <s v="Gomukh Fatehpur                                                                                     "/>
    <s v="MPG"/>
    <s v="Direct"/>
    <n v="814"/>
    <n v="33810.10242363"/>
    <n v="814"/>
    <n v="34849.929741"/>
    <n v="0"/>
    <n v="0"/>
    <n v="814"/>
    <n v="34849.929741"/>
    <n v="33810.10242363"/>
    <n v="0"/>
    <n v="0"/>
    <n v="1039.8273173699999"/>
    <n v="0"/>
    <n v="0"/>
    <n v="0"/>
    <n v="33810"/>
    <n v="0"/>
    <n v="0"/>
    <n v="0"/>
    <s v="Release1"/>
  </r>
  <r>
    <x v="374"/>
    <s v="GOMUKH KATAHRI"/>
    <s v="MPG"/>
    <s v="Direct"/>
    <n v="74.8"/>
    <n v="4063.2174185964009"/>
    <n v="75.599999999999994"/>
    <n v="3913.1459132480004"/>
    <n v="1.4"/>
    <n v="72.307735344000008"/>
    <n v="77"/>
    <n v="3985.4536485920003"/>
    <n v="3985.4536485920003"/>
    <n v="0"/>
    <n v="72.307735344000008"/>
    <n v="0"/>
    <n v="0"/>
    <n v="500"/>
    <n v="0"/>
    <n v="3414"/>
    <n v="0"/>
    <n v="0"/>
    <n v="77"/>
    <n v="0"/>
  </r>
  <r>
    <x v="375"/>
    <s v="GOMUKH Mathar Ward 10"/>
    <s v="MPG"/>
    <s v="Direct"/>
    <n v="1000.9999999999997"/>
    <n v="41612.78365333601"/>
    <n v="750.31999999999994"/>
    <n v="30951.742460008798"/>
    <n v="238.12"/>
    <n v="9946.2900036192004"/>
    <n v="988.43999999999994"/>
    <n v="40898.032463627998"/>
    <n v="40898.032463627998"/>
    <n v="0"/>
    <n v="0"/>
    <n v="0"/>
    <n v="0"/>
    <n v="0"/>
    <n v="0"/>
    <n v="30952"/>
    <n v="9946"/>
    <n v="0"/>
    <n v="715"/>
    <n v="0"/>
  </r>
  <r>
    <x v="376"/>
    <s v="GOMUKH Tartor 2"/>
    <s v="MPG"/>
    <s v="Direct"/>
    <n v="296.8"/>
    <n v="12654.71850666"/>
    <n v="308.19999999999993"/>
    <n v="14276.545252872003"/>
    <n v="0"/>
    <n v="0"/>
    <n v="308.19999999999993"/>
    <n v="14276.545252872003"/>
    <n v="12654.71850666"/>
    <n v="0"/>
    <n v="0"/>
    <n v="1621.8267462120039"/>
    <n v="0"/>
    <n v="0"/>
    <n v="0"/>
    <n v="12655"/>
    <n v="0"/>
    <n v="0"/>
    <n v="0"/>
    <s v="Release1"/>
  </r>
  <r>
    <x v="377"/>
    <s v="Gomukh Chaidha"/>
    <s v="MPG"/>
    <s v="Direct"/>
    <n v="1043.2"/>
    <n v="40926.591014370002"/>
    <n v="1027.1399999999999"/>
    <n v="40952.749909845879"/>
    <n v="3.36"/>
    <n v="124.79745358080001"/>
    <n v="1030.4999999999998"/>
    <n v="41077.547363426682"/>
    <n v="40926.591014370002"/>
    <n v="0"/>
    <n v="124.79745358080001"/>
    <n v="150.95634905667976"/>
    <n v="0"/>
    <n v="0"/>
    <n v="0"/>
    <n v="40802"/>
    <n v="0"/>
    <n v="0"/>
    <n v="0"/>
    <s v="Release1"/>
  </r>
  <r>
    <x v="378"/>
    <s v="Gomukh Bakiya"/>
    <s v="MPG"/>
    <s v="Direct"/>
    <n v="875.20000000000016"/>
    <n v="35821.978043220006"/>
    <n v="869.68000000000006"/>
    <n v="35895.123916752818"/>
    <n v="7.4200000000000008"/>
    <n v="299.40255468000004"/>
    <n v="877.1"/>
    <n v="36194.526471432815"/>
    <n v="35821.978043220006"/>
    <n v="0"/>
    <n v="299.40255468000004"/>
    <n v="372.54842821280909"/>
    <n v="0"/>
    <n v="0"/>
    <n v="0"/>
    <n v="35523"/>
    <n v="0"/>
    <n v="0"/>
    <n v="0"/>
    <s v="Release1"/>
  </r>
  <r>
    <x v="379"/>
    <s v="Gomukh Sadpur"/>
    <s v="MPG"/>
    <s v="Direct"/>
    <n v="170.69999999999996"/>
    <n v="6250.8606380399997"/>
    <n v="156.6"/>
    <n v="6043.0969479600008"/>
    <n v="0"/>
    <n v="0"/>
    <n v="156.6"/>
    <n v="6043.0969479600008"/>
    <n v="6043.0969479600008"/>
    <n v="0"/>
    <n v="0"/>
    <n v="0"/>
    <n v="0"/>
    <n v="500"/>
    <n v="0"/>
    <n v="5543"/>
    <n v="0"/>
    <n v="0"/>
    <n v="208"/>
    <n v="0"/>
  </r>
  <r>
    <x v="380"/>
    <s v="GOMUKH Nista Tol"/>
    <s v="MPG"/>
    <s v="Direct"/>
    <n v="168"/>
    <n v="5792.1306687975011"/>
    <n v="189.70999999999998"/>
    <n v="6494.5149413277004"/>
    <n v="0"/>
    <n v="0"/>
    <n v="189.70999999999998"/>
    <n v="6494.5149413277004"/>
    <n v="5792.1306687975011"/>
    <n v="0"/>
    <n v="0"/>
    <n v="702.38427253019927"/>
    <n v="0"/>
    <n v="500"/>
    <n v="0"/>
    <n v="5292"/>
    <n v="0"/>
    <n v="0"/>
    <n v="0"/>
    <s v="Release1"/>
  </r>
  <r>
    <x v="381"/>
    <s v="GOMUKH SRINAGAR"/>
    <s v="MPG"/>
    <s v="Direct"/>
    <n v="1547.3000000000004"/>
    <n v="62536.361876640018"/>
    <n v="1191.28"/>
    <n v="50775.088165380213"/>
    <n v="374.06"/>
    <n v="19074.409952247122"/>
    <n v="1565.34"/>
    <n v="69849.498117627343"/>
    <n v="62536.361876640018"/>
    <n v="0"/>
    <n v="160.44653096700003"/>
    <n v="7313.1362409873254"/>
    <n v="0"/>
    <n v="0"/>
    <n v="0"/>
    <n v="43462"/>
    <n v="18914"/>
    <n v="0"/>
    <n v="0"/>
    <n v="0"/>
  </r>
  <r>
    <x v="382"/>
    <s v="GOMUKH THATHA"/>
    <s v="MPG"/>
    <s v="Direct"/>
    <n v="353.00000000000006"/>
    <n v="12378.0798203745"/>
    <n v="670.40000000000009"/>
    <n v="23839.506506014506"/>
    <n v="0"/>
    <n v="0"/>
    <n v="670.40000000000009"/>
    <n v="23839.506506014506"/>
    <n v="12378.0798203745"/>
    <n v="0"/>
    <n v="0"/>
    <n v="11461.426685640006"/>
    <n v="0"/>
    <n v="0"/>
    <n v="0"/>
    <n v="12378"/>
    <n v="0"/>
    <n v="0"/>
    <n v="0"/>
    <n v="0"/>
  </r>
  <r>
    <x v="1023"/>
    <s v="GOMUKH GARHIYA"/>
    <s v="MPG"/>
    <s v="Direct"/>
    <n v="146.5"/>
    <n v="5339.8294974600012"/>
    <n v="146"/>
    <n v="5418.6623814000004"/>
    <n v="0"/>
    <n v="0"/>
    <n v="146"/>
    <n v="5418.6623814000004"/>
    <n v="5339.8294974600012"/>
    <n v="0"/>
    <n v="0"/>
    <n v="78.832883939999192"/>
    <n v="0"/>
    <n v="0"/>
    <n v="0"/>
    <n v="5340"/>
    <n v="0"/>
    <n v="0"/>
    <n v="0"/>
    <n v="0"/>
  </r>
  <r>
    <x v="383"/>
    <s v="GOMUKH SANHA NAYATOLA"/>
    <s v="MPG"/>
    <s v="Direct"/>
    <n v="213.6"/>
    <n v="7962.8757917310013"/>
    <n v="460.40000000000003"/>
    <n v="17426.770446210001"/>
    <n v="0"/>
    <n v="0"/>
    <n v="460.40000000000003"/>
    <n v="17426.770446210001"/>
    <n v="7962.8757917310013"/>
    <n v="0"/>
    <n v="0"/>
    <n v="9463.8946544789997"/>
    <n v="0"/>
    <n v="0"/>
    <n v="0"/>
    <n v="0"/>
    <n v="0"/>
    <n v="0"/>
    <n v="7963"/>
    <s v="Yes"/>
  </r>
  <r>
    <x v="384"/>
    <s v="Gomukh Durgapur"/>
    <s v="MPG"/>
    <s v="Direct"/>
    <n v="483.8"/>
    <n v="19261.496547960003"/>
    <n v="577.30000000000007"/>
    <n v="23868.083487250202"/>
    <n v="3.0999999999999996"/>
    <n v="127.61868021000001"/>
    <n v="580.40000000000009"/>
    <n v="23995.7021674602"/>
    <n v="19261.496547960003"/>
    <n v="0"/>
    <n v="127.61868021000001"/>
    <n v="4734.2056195001969"/>
    <n v="0"/>
    <n v="0"/>
    <n v="0"/>
    <n v="19133"/>
    <n v="0"/>
    <n v="0"/>
    <n v="1"/>
    <n v="0"/>
  </r>
  <r>
    <x v="385"/>
    <s v="Gomukh Koniya"/>
    <s v="MPG"/>
    <s v="Direct"/>
    <n v="428.96000000000004"/>
    <n v="14718.291750845099"/>
    <n v="450"/>
    <n v="18381.272505600002"/>
    <n v="10"/>
    <n v="405.16523340000003"/>
    <n v="460"/>
    <n v="18786.437739000001"/>
    <n v="14718.291750845099"/>
    <n v="0"/>
    <n v="405.16523340000003"/>
    <n v="4068.1459881549017"/>
    <n v="0"/>
    <n v="0"/>
    <n v="0"/>
    <n v="14313"/>
    <n v="0"/>
    <n v="0"/>
    <n v="0"/>
    <n v="0"/>
  </r>
  <r>
    <x v="386"/>
    <s v="GOMUKH ROHUA"/>
    <s v="MPG"/>
    <s v="Direct"/>
    <n v="368.59999999999997"/>
    <n v="14003.140790669999"/>
    <n v="365.4"/>
    <n v="13801.08413214615"/>
    <n v="5.74"/>
    <n v="218.846345163"/>
    <n v="371.14"/>
    <n v="14019.93047730915"/>
    <n v="14003.140790669999"/>
    <n v="0"/>
    <n v="218.846345163"/>
    <n v="16.789686639151114"/>
    <n v="0"/>
    <n v="0"/>
    <n v="0"/>
    <n v="13784"/>
    <n v="0"/>
    <n v="0"/>
    <n v="0"/>
    <n v="0"/>
  </r>
  <r>
    <x v="387"/>
    <s v="GOMUKH LAXMIPUR"/>
    <s v="MPG"/>
    <s v="Direct"/>
    <n v="445.19999999999987"/>
    <n v="20036.060972219999"/>
    <n v="438.95000000000005"/>
    <n v="20272.909765720451"/>
    <n v="7.3000000000000016"/>
    <n v="328.15282958300008"/>
    <n v="446.25000000000006"/>
    <n v="20601.062595303451"/>
    <n v="20036.060972219999"/>
    <n v="0"/>
    <n v="328.15282958300008"/>
    <n v="565.0016230834517"/>
    <n v="0"/>
    <n v="0"/>
    <n v="0"/>
    <n v="19708"/>
    <n v="0"/>
    <n v="0"/>
    <n v="0"/>
    <n v="0"/>
  </r>
  <r>
    <x v="388"/>
    <s v="GOMUKH BACHOTA"/>
    <s v="MPG"/>
    <s v="Direct"/>
    <n v="86.46"/>
    <n v="4149.5944643663997"/>
    <n v="92.359999999999985"/>
    <n v="4179.5012267156399"/>
    <n v="0.6399999999999999"/>
    <n v="26.872747005600004"/>
    <n v="92.999999999999986"/>
    <n v="4206.37397372124"/>
    <n v="4149.5944643663997"/>
    <n v="0"/>
    <n v="26.872747005600004"/>
    <n v="56.779509354840229"/>
    <n v="0"/>
    <n v="500"/>
    <n v="0"/>
    <n v="3623"/>
    <n v="0"/>
    <n v="0"/>
    <n v="0"/>
    <n v="0"/>
  </r>
  <r>
    <x v="389"/>
    <s v="GOMUKH CHATAR"/>
    <s v="MPG"/>
    <s v="Direct"/>
    <n v="187.88000000000002"/>
    <n v="7901.5869356579997"/>
    <n v="188.13"/>
    <n v="7869.8724641400004"/>
    <n v="0"/>
    <n v="0"/>
    <n v="188.13"/>
    <n v="7869.8724641400004"/>
    <n v="7869.8724641400004"/>
    <n v="0"/>
    <n v="0"/>
    <n v="0"/>
    <n v="0"/>
    <n v="500"/>
    <n v="0"/>
    <n v="7370"/>
    <n v="0"/>
    <n v="0"/>
    <n v="32"/>
    <n v="0"/>
  </r>
  <r>
    <x v="390"/>
    <s v="GOMUKH BATHNAMA"/>
    <s v="MPG"/>
    <s v="Direct"/>
    <n v="3818.0400000000004"/>
    <n v="157743.39828884398"/>
    <n v="4016.3799999999997"/>
    <n v="162391.16530293733"/>
    <n v="0.62"/>
    <n v="24.880039272000005"/>
    <n v="4016.9999999999995"/>
    <n v="162416.04534220931"/>
    <n v="157743.39828884398"/>
    <n v="0"/>
    <n v="24.880039272000005"/>
    <n v="4672.6470533653337"/>
    <n v="0"/>
    <n v="0"/>
    <n v="0"/>
    <n v="157719"/>
    <n v="0"/>
    <n v="0"/>
    <n v="0"/>
    <s v="Release1"/>
  </r>
  <r>
    <x v="391"/>
    <s v="GOMUKH TILAK NAGAR"/>
    <s v="MPG"/>
    <s v="Direct"/>
    <n v="196.02"/>
    <n v="8294.4195910755006"/>
    <n v="168.92"/>
    <n v="8169.5378214359325"/>
    <n v="0.72"/>
    <n v="43.507616543099999"/>
    <n v="169.64"/>
    <n v="8213.0454379790317"/>
    <n v="8213.0454379790317"/>
    <n v="0"/>
    <n v="43.507616543099999"/>
    <n v="0"/>
    <n v="0"/>
    <n v="0"/>
    <n v="0"/>
    <n v="8170"/>
    <n v="0"/>
    <n v="0"/>
    <n v="81"/>
    <n v="0"/>
  </r>
  <r>
    <x v="392"/>
    <s v="Gomukh Thatha Purvi"/>
    <s v="MPG"/>
    <s v="Direct"/>
    <n v="322.8"/>
    <n v="11624.632808961002"/>
    <n v="394.28999999999996"/>
    <n v="14990.105432762601"/>
    <n v="0"/>
    <n v="0"/>
    <n v="394.28999999999996"/>
    <n v="14990.105432762601"/>
    <n v="11624.632808961002"/>
    <n v="0"/>
    <n v="0"/>
    <n v="3365.4726238015992"/>
    <n v="0"/>
    <n v="0"/>
    <n v="0"/>
    <n v="11625"/>
    <n v="0"/>
    <n v="0"/>
    <n v="0"/>
    <s v="Release1"/>
  </r>
  <r>
    <x v="393"/>
    <s v="Gomukh Rahimpur Dakshin"/>
    <s v="MPG"/>
    <s v="Direct"/>
    <n v="7159.3"/>
    <n v="277286.18215865927"/>
    <n v="1444.3999999999999"/>
    <n v="64509.624902127303"/>
    <n v="5729.2"/>
    <n v="223463.61999935994"/>
    <n v="7173.5999999999995"/>
    <n v="287973.24490148725"/>
    <n v="277286.18215865927"/>
    <n v="0"/>
    <n v="309.63630696000001"/>
    <n v="10687.062742827984"/>
    <n v="0"/>
    <n v="0"/>
    <n v="0"/>
    <n v="53821"/>
    <n v="223155"/>
    <n v="0"/>
    <n v="1"/>
    <n v="0"/>
  </r>
  <r>
    <x v="394"/>
    <s v="GOMUKH MORKAHI"/>
    <s v="MPG"/>
    <s v="Direct"/>
    <n v="286.68"/>
    <n v="11362.839247458"/>
    <n v="285.89999999999998"/>
    <n v="11396.679960474003"/>
    <n v="0.31000000000000005"/>
    <n v="12.590502012"/>
    <n v="286.20999999999998"/>
    <n v="11409.270462486003"/>
    <n v="11362.839247458"/>
    <n v="0"/>
    <n v="12.590502012"/>
    <n v="46.431215028003862"/>
    <n v="0"/>
    <n v="0"/>
    <n v="0"/>
    <n v="11350"/>
    <n v="0"/>
    <n v="0"/>
    <n v="0"/>
    <s v="Release1"/>
  </r>
  <r>
    <x v="395"/>
    <s v="GOMUKH HANSPUR"/>
    <s v="MPG"/>
    <s v="Direct"/>
    <n v="131.30000000000001"/>
    <n v="5552.3011373685013"/>
    <n v="131.12"/>
    <n v="5545.251514946649"/>
    <n v="0.96000000000000008"/>
    <n v="56.6305971273"/>
    <n v="132.08000000000001"/>
    <n v="5601.8821120739485"/>
    <n v="5552.3011373685013"/>
    <n v="0"/>
    <n v="56.6305971273"/>
    <n v="49.580974705447261"/>
    <n v="2600"/>
    <n v="500"/>
    <n v="0"/>
    <n v="2396"/>
    <n v="0"/>
    <n v="0"/>
    <n v="0"/>
    <s v="Release1"/>
  </r>
  <r>
    <x v="396"/>
    <s v="GOMUKH NAYAGAON 2"/>
    <s v="MPG"/>
    <s v="Direct"/>
    <n v="192.49999999999997"/>
    <n v="10908.784056949997"/>
    <n v="189.57999999999998"/>
    <n v="10731.116874731299"/>
    <n v="3.0000000000000004"/>
    <n v="190.65648748344003"/>
    <n v="192.57999999999998"/>
    <n v="10921.773362214739"/>
    <n v="10908.784056949997"/>
    <n v="0"/>
    <n v="190.65648748344003"/>
    <n v="12.989305264742143"/>
    <n v="0"/>
    <n v="0"/>
    <n v="0"/>
    <n v="10718"/>
    <n v="0"/>
    <n v="0"/>
    <n v="0"/>
    <n v="0"/>
  </r>
  <r>
    <x v="397"/>
    <s v="GOMUKH LABHGAON"/>
    <s v="MPG"/>
    <s v="Direct"/>
    <n v="380.49999999999994"/>
    <n v="14283.463617437999"/>
    <n v="407"/>
    <n v="14891.250296977803"/>
    <n v="0"/>
    <n v="0"/>
    <n v="407"/>
    <n v="14891.250296977803"/>
    <n v="14283.463617437999"/>
    <n v="0"/>
    <n v="0"/>
    <n v="607.78667953980403"/>
    <n v="0"/>
    <n v="0"/>
    <n v="0"/>
    <n v="14283"/>
    <n v="0"/>
    <n v="0"/>
    <n v="0"/>
    <n v="0"/>
  </r>
  <r>
    <x v="398"/>
    <s v="GOMUKH CHANDPURA"/>
    <s v="MPG"/>
    <s v="Direct"/>
    <n v="674.54"/>
    <n v="24162.507032511003"/>
    <n v="675.5"/>
    <n v="24196.071533466002"/>
    <n v="0"/>
    <n v="0"/>
    <n v="675.5"/>
    <n v="24196.071533466002"/>
    <n v="24162.507032511003"/>
    <n v="0"/>
    <n v="0"/>
    <n v="33.564500954998948"/>
    <n v="0"/>
    <n v="0"/>
    <n v="0"/>
    <n v="24163"/>
    <n v="0"/>
    <n v="0"/>
    <n v="0"/>
    <n v="0"/>
  </r>
  <r>
    <x v="399"/>
    <s v="GOMUKH BADIL TOL"/>
    <s v="MPG"/>
    <s v="Direct"/>
    <n v="449.43999999999994"/>
    <n v="17592.693704553898"/>
    <n v="238.63"/>
    <n v="10221.238662493583"/>
    <n v="197.08"/>
    <n v="7532.3666215783805"/>
    <n v="435.71000000000004"/>
    <n v="17753.605284071964"/>
    <n v="17592.693704553898"/>
    <n v="0"/>
    <n v="395.84187718500004"/>
    <n v="160.91157951806599"/>
    <n v="0"/>
    <n v="0"/>
    <n v="0"/>
    <n v="10060"/>
    <n v="7137"/>
    <n v="0"/>
    <n v="0"/>
    <n v="0"/>
  </r>
  <r>
    <x v="400"/>
    <s v="GOMUKH TRIBHUVAN TOLA"/>
    <s v="MPG"/>
    <s v="Direct"/>
    <n v="333.28000000000003"/>
    <n v="12436.615939413001"/>
    <n v="337.02"/>
    <n v="12853.828994981053"/>
    <n v="0"/>
    <n v="0"/>
    <n v="337.02"/>
    <n v="12853.828994981053"/>
    <n v="12436.615939413001"/>
    <n v="0"/>
    <n v="0"/>
    <n v="417.21305556805237"/>
    <n v="0"/>
    <n v="0"/>
    <n v="0"/>
    <n v="12437"/>
    <n v="0"/>
    <n v="0"/>
    <n v="0"/>
    <n v="0"/>
  </r>
  <r>
    <x v="401"/>
    <s v="GOMUKH SANTOSHPUL"/>
    <s v="MPG"/>
    <s v="Direct"/>
    <n v="1202.76"/>
    <n v="54036.481274150989"/>
    <n v="35.9"/>
    <n v="1603.1768982929998"/>
    <n v="1168"/>
    <n v="52450.790178105002"/>
    <n v="1203.9000000000001"/>
    <n v="54053.967076398003"/>
    <n v="54036.481274150989"/>
    <n v="0"/>
    <n v="0"/>
    <n v="17.485802247014362"/>
    <n v="0"/>
    <n v="0"/>
    <n v="0"/>
    <n v="1584"/>
    <n v="52452"/>
    <n v="0"/>
    <n v="0"/>
    <n v="0"/>
  </r>
  <r>
    <x v="402"/>
    <s v="GOMUKH AHUNA"/>
    <s v="MPG"/>
    <s v="Direct"/>
    <n v="530.2399999999999"/>
    <n v="19347.211614928805"/>
    <n v="533.13999999999987"/>
    <n v="19681.246932597001"/>
    <n v="0"/>
    <n v="0"/>
    <n v="533.13999999999987"/>
    <n v="19681.246932597001"/>
    <n v="19347.211614928805"/>
    <n v="0"/>
    <n v="0"/>
    <n v="334.03531766819651"/>
    <n v="0"/>
    <n v="0"/>
    <n v="0"/>
    <n v="19347"/>
    <n v="0"/>
    <n v="0"/>
    <n v="0"/>
    <n v="0"/>
  </r>
  <r>
    <x v="403"/>
    <s v="GOMUKH SHADIPUR"/>
    <s v="MPG"/>
    <s v="Direct"/>
    <n v="830"/>
    <n v="33881.741699784005"/>
    <n v="844.81999999999994"/>
    <n v="33509.542773598354"/>
    <n v="9.5100000000000016"/>
    <n v="359.87921229645008"/>
    <n v="854.32999999999993"/>
    <n v="33869.421985894805"/>
    <n v="33869.421985894805"/>
    <n v="0"/>
    <n v="359.87921229645008"/>
    <n v="0"/>
    <n v="0"/>
    <n v="0"/>
    <n v="0"/>
    <n v="33508"/>
    <n v="0"/>
    <n v="0"/>
    <n v="14"/>
    <n v="0"/>
  </r>
  <r>
    <x v="404"/>
    <s v="GOMUKH ASHRAPHA DIYARA"/>
    <s v="MPG"/>
    <s v="Direct"/>
    <n v="525.5"/>
    <n v="21254.049727650003"/>
    <n v="519.19000000000005"/>
    <n v="20857.227474359152"/>
    <n v="7.67"/>
    <n v="311.34962779500006"/>
    <n v="526.86"/>
    <n v="21168.577102154151"/>
    <n v="21168.577102154151"/>
    <n v="0"/>
    <n v="311.34962779500006"/>
    <n v="0"/>
    <n v="2120"/>
    <n v="0"/>
    <n v="0"/>
    <n v="18738"/>
    <n v="0"/>
    <n v="0"/>
    <n v="85"/>
    <n v="0"/>
  </r>
  <r>
    <x v="405"/>
    <s v="GOMUKH MANIAPPA"/>
    <s v="MPG"/>
    <s v="Direct"/>
    <n v="781.1"/>
    <n v="30926.286068400004"/>
    <n v="806.29000000000008"/>
    <n v="30952.876015469854"/>
    <n v="3.28"/>
    <n v="115.31010577350001"/>
    <n v="809.57"/>
    <n v="31068.186121243354"/>
    <n v="30926.286068400004"/>
    <n v="0"/>
    <n v="115.31010577350001"/>
    <n v="141.90005284334984"/>
    <n v="0"/>
    <n v="0"/>
    <n v="0"/>
    <n v="30811"/>
    <n v="0"/>
    <n v="0"/>
    <n v="0"/>
    <n v="0"/>
  </r>
  <r>
    <x v="406"/>
    <s v="GOMUKH D SANJHAUTI"/>
    <s v="MPG"/>
    <s v="Direct"/>
    <n v="677.3399999999998"/>
    <n v="25426.868845443903"/>
    <n v="910"/>
    <n v="37378.778453999999"/>
    <n v="0"/>
    <n v="0"/>
    <n v="910"/>
    <n v="37378.778453999999"/>
    <n v="25426.868845443903"/>
    <n v="0"/>
    <n v="0"/>
    <n v="11951.909608556096"/>
    <n v="0"/>
    <n v="0"/>
    <n v="0"/>
    <n v="25427"/>
    <n v="0"/>
    <n v="0"/>
    <n v="0"/>
    <n v="0"/>
  </r>
  <r>
    <x v="407"/>
    <s v="GOMUKH DHUSMURI BISHANPUR"/>
    <s v="MPG"/>
    <s v="Direct"/>
    <n v="290.71999999999997"/>
    <n v="12099.180299436"/>
    <n v="364.63"/>
    <n v="15335.711366869531"/>
    <n v="0"/>
    <n v="0"/>
    <n v="364.63"/>
    <n v="15335.711366869531"/>
    <n v="12099.180299436"/>
    <n v="0"/>
    <n v="0"/>
    <n v="3236.5310674335306"/>
    <n v="0"/>
    <n v="500"/>
    <n v="0"/>
    <n v="11599"/>
    <n v="0"/>
    <n v="0"/>
    <n v="0"/>
    <n v="0"/>
  </r>
  <r>
    <x v="408"/>
    <s v="GOMUKH ANANDPUR PARAS"/>
    <s v="MPG"/>
    <s v="Direct"/>
    <n v="2386.1999999999998"/>
    <n v="93028.258442165999"/>
    <n v="2386.2000000000003"/>
    <n v="93313.947125886014"/>
    <n v="0"/>
    <n v="0"/>
    <n v="2386.2000000000003"/>
    <n v="93313.947125886014"/>
    <n v="93028.258442165999"/>
    <n v="0"/>
    <n v="0"/>
    <n v="285.68868372001452"/>
    <n v="0"/>
    <n v="0"/>
    <n v="0"/>
    <n v="93028"/>
    <n v="0"/>
    <n v="0"/>
    <n v="0"/>
    <n v="0"/>
  </r>
  <r>
    <x v="409"/>
    <s v="Gomukh Bishanpur"/>
    <s v="MPG"/>
    <s v="Direct"/>
    <n v="320.85999999999996"/>
    <n v="12861.703816368001"/>
    <n v="327.21000000000009"/>
    <n v="12851.531449337528"/>
    <n v="0"/>
    <n v="0"/>
    <n v="327.21000000000009"/>
    <n v="12851.531449337528"/>
    <n v="12851.531449337528"/>
    <n v="0"/>
    <n v="0"/>
    <n v="0"/>
    <n v="0"/>
    <n v="0"/>
    <n v="0"/>
    <n v="12850"/>
    <n v="0"/>
    <n v="0"/>
    <n v="12"/>
    <n v="0"/>
  </r>
  <r>
    <x v="410"/>
    <s v="GOMUKH BISHANPUR 2"/>
    <s v="MPG"/>
    <s v="Direct"/>
    <n v="772.39999999999986"/>
    <n v="29792.703239220002"/>
    <n v="778.9799999999999"/>
    <n v="29755.805368953821"/>
    <n v="0.85"/>
    <n v="26.771602176000002"/>
    <n v="779.82999999999993"/>
    <n v="29782.57697112982"/>
    <n v="29782.57697112982"/>
    <n v="0"/>
    <n v="26.771602176000002"/>
    <n v="0"/>
    <n v="0"/>
    <n v="0"/>
    <n v="0"/>
    <n v="29755"/>
    <n v="0"/>
    <n v="0"/>
    <n v="11"/>
    <n v="0"/>
  </r>
  <r>
    <x v="411"/>
    <s v="GOMUKH GHAMARIYA"/>
    <s v="MPG"/>
    <s v="Direct"/>
    <n v="169.4"/>
    <n v="7919.8722599564999"/>
    <n v="165.74"/>
    <n v="7924.2367026160864"/>
    <n v="3.57"/>
    <n v="170.98774360286001"/>
    <n v="169.31"/>
    <n v="8095.2244462189465"/>
    <n v="7919.8722599564999"/>
    <n v="0"/>
    <n v="170.98774360286001"/>
    <n v="175.35218626244659"/>
    <n v="649"/>
    <n v="0"/>
    <n v="0"/>
    <n v="7100"/>
    <n v="0"/>
    <n v="0"/>
    <n v="0"/>
    <s v="Release1"/>
  </r>
  <r>
    <x v="412"/>
    <s v="GOMUKH MEGHAUMA"/>
    <s v="MPG"/>
    <s v="Direct"/>
    <n v="827.71999999999991"/>
    <n v="33203.680350474002"/>
    <n v="818.31000000000006"/>
    <n v="33826.46234705294"/>
    <n v="11.470000000000002"/>
    <n v="515.7224890980001"/>
    <n v="829.78000000000009"/>
    <n v="34342.18483615094"/>
    <n v="33203.680350474002"/>
    <n v="0"/>
    <n v="515.7224890980001"/>
    <n v="1138.5044856769382"/>
    <n v="0"/>
    <n v="0"/>
    <n v="0"/>
    <n v="32688"/>
    <n v="0"/>
    <n v="0"/>
    <n v="0"/>
    <n v="0"/>
  </r>
  <r>
    <x v="413"/>
    <s v="GOMUKH AURA"/>
    <s v="MPG"/>
    <s v="Direct"/>
    <n v="742.92"/>
    <n v="27685.682617343704"/>
    <n v="1046.49"/>
    <n v="43681.739633014513"/>
    <n v="0"/>
    <n v="0"/>
    <n v="1046.49"/>
    <n v="43681.739633014513"/>
    <n v="27685.682617343704"/>
    <n v="0"/>
    <n v="0"/>
    <n v="15996.057015670809"/>
    <n v="1350"/>
    <n v="0"/>
    <n v="0"/>
    <n v="26336"/>
    <n v="0"/>
    <n v="0"/>
    <n v="0"/>
    <s v="Release1"/>
  </r>
  <r>
    <x v="414"/>
    <s v="GOMUKH BEHORBA"/>
    <s v="MPG"/>
    <s v="Direct"/>
    <n v="825.98"/>
    <n v="31482.609179691302"/>
    <n v="856.69000000000017"/>
    <n v="36567.889901362811"/>
    <n v="0"/>
    <n v="0"/>
    <n v="856.69000000000017"/>
    <n v="36567.889901362811"/>
    <n v="31482.609179691302"/>
    <n v="0"/>
    <n v="0"/>
    <n v="5085.2807216715082"/>
    <n v="0"/>
    <n v="0"/>
    <n v="0"/>
    <n v="31483"/>
    <n v="0"/>
    <n v="0"/>
    <n v="0"/>
    <n v="0"/>
  </r>
  <r>
    <x v="415"/>
    <s v="GOMUKH SAIDPUR SAMASTIPUR"/>
    <s v="MPG"/>
    <s v="Direct"/>
    <n v="751.6"/>
    <n v="27766.7255047014"/>
    <n v="766.5"/>
    <n v="28615.380913241403"/>
    <n v="0"/>
    <n v="0"/>
    <n v="766.5"/>
    <n v="28615.380913241403"/>
    <n v="27766.7255047014"/>
    <n v="0"/>
    <n v="0"/>
    <n v="848.6554085400021"/>
    <n v="0"/>
    <n v="0"/>
    <n v="0"/>
    <n v="27767"/>
    <n v="0"/>
    <n v="0"/>
    <n v="0"/>
    <n v="0"/>
  </r>
  <r>
    <x v="416"/>
    <s v="GOMUKH PHULTAURA"/>
    <s v="MPG"/>
    <s v="Direct"/>
    <n v="312.38"/>
    <n v="11482.583024714901"/>
    <n v="79.56"/>
    <n v="3753.9898173947008"/>
    <n v="238.51"/>
    <n v="10314.709548417903"/>
    <n v="318.07"/>
    <n v="14068.699365812603"/>
    <n v="11482.583024714901"/>
    <n v="0"/>
    <n v="0"/>
    <n v="2586.1163410977024"/>
    <n v="0"/>
    <n v="0"/>
    <n v="0"/>
    <n v="1168"/>
    <n v="10315"/>
    <n v="0"/>
    <n v="0"/>
    <n v="0"/>
  </r>
  <r>
    <x v="417"/>
    <s v="Jangli Tol Vlc "/>
    <s v="vlc"/>
    <s v="Indirect"/>
    <n v="747.4"/>
    <n v="29531.875846530002"/>
    <n v="0"/>
    <n v="0"/>
    <n v="0"/>
    <n v="0"/>
    <n v="0"/>
    <n v="0"/>
    <n v="29531.875846530002"/>
    <n v="0"/>
    <n v="0"/>
    <n v="0"/>
    <n v="0"/>
    <n v="0"/>
    <n v="0"/>
    <n v="0"/>
    <n v="0"/>
    <n v="29531.875846530002"/>
    <n v="0"/>
    <n v="0"/>
  </r>
  <r>
    <x v="418"/>
    <s v="DILKHUSH KUMAR "/>
    <s v="vlc"/>
    <s v="Indirect"/>
    <n v="280.39999999999998"/>
    <n v="10447.566597480001"/>
    <n v="0"/>
    <n v="0"/>
    <n v="0"/>
    <n v="0"/>
    <n v="0"/>
    <n v="0"/>
    <n v="10447.566597480001"/>
    <n v="0"/>
    <n v="0"/>
    <n v="0"/>
    <n v="0"/>
    <n v="0"/>
    <n v="0"/>
    <n v="0"/>
    <n v="0"/>
    <n v="10447.566597480001"/>
    <n v="0"/>
    <n v="0"/>
  </r>
  <r>
    <x v="419"/>
    <s v="GOMUKH CHOWKI 2"/>
    <s v="MPG"/>
    <s v="Direct"/>
    <n v="5970.4000000000005"/>
    <n v="228442.31911687352"/>
    <n v="5522.9800000000014"/>
    <n v="214819.45047940098"/>
    <n v="465.38"/>
    <n v="18291.667822251966"/>
    <n v="5988.3600000000015"/>
    <n v="233111.11830165295"/>
    <n v="228442.31911687352"/>
    <n v="0"/>
    <n v="0"/>
    <n v="4668.7991847794328"/>
    <n v="0"/>
    <n v="0"/>
    <n v="0"/>
    <n v="210151"/>
    <n v="18291"/>
    <n v="0"/>
    <n v="0"/>
    <n v="0"/>
  </r>
  <r>
    <x v="420"/>
    <s v="GOMUKH MOHABA"/>
    <s v="MPG"/>
    <s v="Direct"/>
    <n v="1358.4"/>
    <n v="51963.970047150011"/>
    <n v="941.80000000000018"/>
    <n v="36077.75581557001"/>
    <n v="416.9"/>
    <n v="15888.864732180002"/>
    <n v="1358.7000000000003"/>
    <n v="51966.620547750012"/>
    <n v="51963.970047150011"/>
    <n v="0"/>
    <n v="106.99250544"/>
    <n v="2.6505006000006688"/>
    <n v="0"/>
    <n v="0"/>
    <n v="0"/>
    <n v="36075"/>
    <n v="15782"/>
    <n v="0"/>
    <n v="0"/>
    <n v="0"/>
  </r>
  <r>
    <x v="421"/>
    <s v="SANHA VLC"/>
    <s v="vlc"/>
    <s v="Indirect"/>
    <n v="626.4"/>
    <n v="22516.373692039502"/>
    <n v="0"/>
    <n v="0"/>
    <n v="0"/>
    <n v="0"/>
    <n v="0"/>
    <n v="0"/>
    <n v="22516.373692039502"/>
    <n v="0"/>
    <n v="0"/>
    <n v="0"/>
    <n v="0"/>
    <n v="0"/>
    <n v="0"/>
    <n v="0"/>
    <n v="0"/>
    <n v="22516.373692039502"/>
    <n v="0"/>
    <n v="0"/>
  </r>
  <r>
    <x v="422"/>
    <s v="MOHANPUR VLC"/>
    <s v="vlc"/>
    <s v="Indirect"/>
    <n v="1230.9000000000001"/>
    <n v="42568.978167771005"/>
    <n v="0"/>
    <n v="0"/>
    <n v="0"/>
    <n v="0"/>
    <n v="0"/>
    <n v="0"/>
    <n v="42568.978167771005"/>
    <n v="0"/>
    <n v="0"/>
    <n v="0"/>
    <n v="0"/>
    <n v="0"/>
    <n v="0"/>
    <n v="0"/>
    <n v="0"/>
    <n v="42568.978167771005"/>
    <n v="0"/>
    <n v="0"/>
  </r>
  <r>
    <x v="423"/>
    <s v="GOMUKH JANGLITOL"/>
    <s v="MPG"/>
    <s v="Direct"/>
    <n v="319.49999999999994"/>
    <n v="13289.76399714"/>
    <n v="320"/>
    <n v="12925.794816000003"/>
    <n v="0"/>
    <n v="0"/>
    <n v="320"/>
    <n v="12925.794816000003"/>
    <n v="12925.794816000003"/>
    <n v="0"/>
    <n v="0"/>
    <n v="0"/>
    <n v="0"/>
    <n v="0"/>
    <n v="0"/>
    <n v="12926"/>
    <n v="0"/>
    <n v="0"/>
    <n v="364"/>
    <n v="0"/>
  </r>
  <r>
    <x v="425"/>
    <s v="Gomukh Raghunathpur 2 "/>
    <s v="MPG"/>
    <s v="Direct"/>
    <n v="5.6"/>
    <n v="195.85431360000001"/>
    <n v="5.6"/>
    <n v="195.85431360000001"/>
    <n v="0"/>
    <n v="0"/>
    <n v="5.6"/>
    <n v="195.85431360000001"/>
    <n v="195.85431360000001"/>
    <n v="0"/>
    <n v="0"/>
    <n v="0"/>
    <n v="0"/>
    <n v="196"/>
    <n v="0"/>
    <n v="0"/>
    <n v="0"/>
    <n v="0"/>
    <n v="0"/>
    <s v="Yes"/>
  </r>
  <r>
    <x v="426"/>
    <s v="GOMUKH BARBIGHI"/>
    <s v="MPG"/>
    <s v="Direct"/>
    <n v="1068"/>
    <n v="39148.378947048011"/>
    <n v="1066.5999999999999"/>
    <n v="38446.046873040003"/>
    <n v="1.2999999999999998"/>
    <n v="51.362974680000008"/>
    <n v="1067.8999999999999"/>
    <n v="38497.409847720002"/>
    <n v="38497.409847720002"/>
    <n v="0"/>
    <n v="51.362974680000008"/>
    <n v="0"/>
    <n v="13750"/>
    <n v="0"/>
    <n v="0"/>
    <n v="24696"/>
    <n v="0"/>
    <n v="0"/>
    <n v="651"/>
    <s v="Release1"/>
  </r>
  <r>
    <x v="427"/>
    <s v="Dandari-2"/>
    <s v="MPG"/>
    <s v="Direct"/>
    <n v="270.5"/>
    <n v="9629.8611578970012"/>
    <n v="270.60000000000002"/>
    <n v="9641.9001699030014"/>
    <n v="0"/>
    <n v="0"/>
    <n v="270.60000000000002"/>
    <n v="9641.9001699030014"/>
    <n v="9629.8611578970012"/>
    <n v="0"/>
    <n v="0"/>
    <n v="12.039012006000121"/>
    <n v="0"/>
    <n v="0"/>
    <n v="0"/>
    <n v="9630"/>
    <n v="0"/>
    <n v="0"/>
    <n v="0"/>
    <s v="Release1"/>
  </r>
  <r>
    <x v="428"/>
    <s v="Barkhanditol"/>
    <s v="vlc"/>
    <s v="Indirect"/>
    <n v="1171.6999999999998"/>
    <n v="48334.506150420006"/>
    <n v="0"/>
    <n v="0"/>
    <n v="0"/>
    <n v="0"/>
    <n v="0"/>
    <n v="0"/>
    <n v="48334.506150420006"/>
    <n v="0"/>
    <n v="0"/>
    <n v="0"/>
    <n v="0"/>
    <n v="0"/>
    <n v="0"/>
    <n v="0"/>
    <n v="0"/>
    <n v="48334.506150420006"/>
    <n v="0"/>
    <n v="0"/>
  </r>
  <r>
    <x v="429"/>
    <s v="Chauki-VLC"/>
    <s v="vlc"/>
    <s v="Indirect"/>
    <n v="86.600000000000009"/>
    <n v="3060.0896790780002"/>
    <n v="0"/>
    <n v="0"/>
    <n v="0"/>
    <n v="0"/>
    <n v="0"/>
    <n v="0"/>
    <n v="3060.0896790780002"/>
    <n v="0"/>
    <n v="0"/>
    <n v="0"/>
    <n v="0"/>
    <n v="0"/>
    <n v="0"/>
    <n v="0"/>
    <n v="0"/>
    <n v="3060.0896790780002"/>
    <n v="0"/>
    <n v="0"/>
  </r>
  <r>
    <x v="430"/>
    <s v="Hardia"/>
    <s v="MPG"/>
    <s v="Direct"/>
    <n v="565.79999999999995"/>
    <n v="24029.387063568003"/>
    <n v="576.00000000000011"/>
    <n v="24798.507411243001"/>
    <n v="4.2999999999999989"/>
    <n v="212.47895677319997"/>
    <n v="580.30000000000007"/>
    <n v="25010.986368016202"/>
    <n v="24029.387063568003"/>
    <n v="0"/>
    <n v="212.47895677319997"/>
    <n v="981.59930444819838"/>
    <n v="0"/>
    <n v="0"/>
    <n v="0"/>
    <n v="23817"/>
    <n v="0"/>
    <n v="0"/>
    <n v="0"/>
    <n v="0"/>
  </r>
  <r>
    <x v="431"/>
    <s v="Pachveer"/>
    <s v="vlc"/>
    <s v="Indirect"/>
    <n v="11781.599999999997"/>
    <n v="452009.92216032604"/>
    <n v="0"/>
    <n v="0"/>
    <n v="0"/>
    <n v="0"/>
    <n v="0"/>
    <n v="0"/>
    <n v="452009.92216032604"/>
    <n v="0"/>
    <n v="0"/>
    <n v="0"/>
    <n v="0"/>
    <n v="0"/>
    <n v="0"/>
    <n v="0"/>
    <n v="0"/>
    <n v="452009.92216032604"/>
    <n v="0"/>
    <n v="0"/>
  </r>
  <r>
    <x v="433"/>
    <s v="Mathar-3"/>
    <s v="vlc"/>
    <s v="Indirect"/>
    <n v="2288.6"/>
    <n v="90915.804959040019"/>
    <n v="0"/>
    <n v="0"/>
    <n v="0"/>
    <n v="0"/>
    <n v="0"/>
    <n v="0"/>
    <n v="90915.804959040019"/>
    <n v="0"/>
    <n v="0"/>
    <n v="0"/>
    <n v="0"/>
    <n v="0"/>
    <n v="0"/>
    <n v="0"/>
    <n v="0"/>
    <n v="90915.804959040019"/>
    <n v="0"/>
    <n v="0"/>
  </r>
  <r>
    <x v="434"/>
    <s v="Ahoghat"/>
    <s v="vlc"/>
    <s v="Indirect"/>
    <n v="488.40000000000003"/>
    <n v="19716.570898919999"/>
    <n v="0"/>
    <n v="0"/>
    <n v="0"/>
    <n v="0"/>
    <n v="0"/>
    <n v="0"/>
    <n v="19716.570898919999"/>
    <n v="0"/>
    <n v="0"/>
    <n v="0"/>
    <n v="0"/>
    <n v="0"/>
    <n v="0"/>
    <n v="0"/>
    <n v="0"/>
    <n v="19716.570898919999"/>
    <n v="0"/>
    <n v="0"/>
  </r>
  <r>
    <x v="435"/>
    <s v="Mathar-4"/>
    <s v="vlc"/>
    <s v="Indirect"/>
    <n v="355.7"/>
    <n v="13059.400651200003"/>
    <n v="0"/>
    <n v="0"/>
    <n v="0"/>
    <n v="0"/>
    <n v="0"/>
    <n v="0"/>
    <n v="13059.400651200003"/>
    <n v="0"/>
    <n v="0"/>
    <n v="0"/>
    <n v="0"/>
    <n v="0"/>
    <n v="0"/>
    <n v="0"/>
    <n v="0"/>
    <n v="13059.400651200003"/>
    <n v="0"/>
    <n v="0"/>
  </r>
  <r>
    <x v="436"/>
    <s v="Farid Nagar"/>
    <s v="MPG"/>
    <s v="Direct"/>
    <n v="323.5"/>
    <n v="11979.942123078001"/>
    <n v="323"/>
    <n v="11895.789351600002"/>
    <n v="0"/>
    <n v="0"/>
    <n v="323"/>
    <n v="11895.789351600002"/>
    <n v="11895.789351600002"/>
    <n v="0"/>
    <n v="0"/>
    <n v="0"/>
    <n v="0"/>
    <n v="0"/>
    <n v="0"/>
    <n v="11896"/>
    <n v="0"/>
    <n v="0"/>
    <n v="84"/>
    <n v="0"/>
  </r>
  <r>
    <x v="935"/>
    <s v="Sadpur-2"/>
    <s v="MPG"/>
    <s v="Direct"/>
    <n v="339.09999999999997"/>
    <n v="12707.327714604004"/>
    <n v="339"/>
    <n v="12350.810458800002"/>
    <n v="0"/>
    <n v="0"/>
    <n v="339"/>
    <n v="12350.810458800002"/>
    <n v="12350.810458800002"/>
    <n v="0"/>
    <n v="0"/>
    <n v="0"/>
    <n v="0"/>
    <n v="0"/>
    <n v="0"/>
    <n v="12351"/>
    <n v="0"/>
    <n v="0"/>
    <n v="356"/>
    <n v="0"/>
  </r>
  <r>
    <x v="996"/>
    <s v="Phulmalik"/>
    <s v="vlc"/>
    <s v="Indirect"/>
    <n v="316.60000000000002"/>
    <n v="12545.12423793"/>
    <n v="0"/>
    <n v="0"/>
    <n v="0"/>
    <n v="0"/>
    <n v="0"/>
    <n v="0"/>
    <n v="12545.12423793"/>
    <n v="0"/>
    <n v="0"/>
    <n v="0"/>
    <n v="0"/>
    <n v="0"/>
    <n v="0"/>
    <n v="0"/>
    <n v="0"/>
    <n v="12545.12423793"/>
    <n v="0"/>
    <n v="0"/>
  </r>
  <r>
    <x v="437"/>
    <s v="GOMUKH SUBHANPUR"/>
    <s v="vlc"/>
    <s v="Indirect"/>
    <n v="194.37"/>
    <n v="8930.3848438582809"/>
    <n v="0"/>
    <n v="0"/>
    <n v="0"/>
    <n v="0"/>
    <n v="0"/>
    <n v="0"/>
    <n v="8930.3848438582809"/>
    <n v="0"/>
    <n v="0"/>
    <n v="0"/>
    <n v="1350"/>
    <n v="0"/>
    <n v="0"/>
    <n v="0"/>
    <n v="0"/>
    <n v="7580.3848438582809"/>
    <n v="0"/>
    <n v="0"/>
  </r>
  <r>
    <x v="438"/>
    <s v="GOMUKH  BHAJANGAMA"/>
    <s v="vlc"/>
    <s v="Indirect"/>
    <n v="424.39"/>
    <n v="16764.661644123003"/>
    <n v="0"/>
    <n v="0"/>
    <n v="0"/>
    <n v="0"/>
    <n v="0"/>
    <n v="0"/>
    <n v="16764.661644123003"/>
    <n v="0"/>
    <n v="0"/>
    <n v="0"/>
    <n v="6750"/>
    <n v="0"/>
    <n v="0"/>
    <n v="0"/>
    <n v="0"/>
    <n v="10014.661644123003"/>
    <n v="0"/>
    <n v="0"/>
  </r>
  <r>
    <x v="439"/>
    <s v="Gomukh Basadhiya Kurni"/>
    <s v="MPG"/>
    <s v="Direct"/>
    <n v="407.36"/>
    <n v="14942.208530127002"/>
    <n v="437.48"/>
    <n v="16084.705723051502"/>
    <n v="0"/>
    <n v="0"/>
    <n v="437.48"/>
    <n v="16084.705723051502"/>
    <n v="14942.208530127002"/>
    <n v="0"/>
    <n v="0"/>
    <n v="1142.4971929245003"/>
    <n v="0"/>
    <n v="0"/>
    <n v="0"/>
    <n v="14942"/>
    <n v="0"/>
    <n v="0"/>
    <n v="0"/>
    <s v="Release1"/>
  </r>
  <r>
    <x v="440"/>
    <s v="KHAJURI"/>
    <s v="MPG"/>
    <s v="Direct"/>
    <n v="419.28"/>
    <n v="15351.998781496201"/>
    <n v="427.52000000000004"/>
    <n v="15795.104302224003"/>
    <n v="12.5"/>
    <n v="467.55455714999999"/>
    <n v="440.02000000000004"/>
    <n v="16262.658859374003"/>
    <n v="15351.998781496201"/>
    <n v="0"/>
    <n v="17.93156295"/>
    <n v="910.66007787780291"/>
    <n v="0"/>
    <n v="0"/>
    <n v="0"/>
    <n v="14884"/>
    <n v="450"/>
    <n v="0"/>
    <n v="0"/>
    <n v="0"/>
  </r>
  <r>
    <x v="441"/>
    <s v="ARMAULI-2"/>
    <s v="MPG"/>
    <s v="Direct"/>
    <n v="1165.0700000000002"/>
    <n v="46365.006769023013"/>
    <n v="1154.5399999999997"/>
    <n v="46001.055314899269"/>
    <n v="14.850000000000001"/>
    <n v="589.71370908000006"/>
    <n v="1169.3899999999996"/>
    <n v="46590.769023979272"/>
    <n v="46365.006769023013"/>
    <n v="0"/>
    <n v="589.71370908000006"/>
    <n v="225.7622549562584"/>
    <n v="7890"/>
    <n v="0"/>
    <n v="0"/>
    <n v="37885"/>
    <n v="0"/>
    <n v="0"/>
    <n v="0"/>
    <n v="0"/>
  </r>
  <r>
    <x v="442"/>
    <s v="MUSAPUR - 2"/>
    <s v="vlc"/>
    <s v="Indirect"/>
    <n v="72.389999999999986"/>
    <n v="2537.2685049868505"/>
    <n v="0"/>
    <n v="0"/>
    <n v="0"/>
    <n v="0"/>
    <n v="0"/>
    <n v="0"/>
    <n v="2537.2685049868505"/>
    <n v="0"/>
    <n v="0"/>
    <n v="0"/>
    <n v="0"/>
    <n v="0"/>
    <n v="0"/>
    <n v="0"/>
    <n v="0"/>
    <n v="2537.2685049868505"/>
    <n v="0"/>
    <n v="0"/>
  </r>
  <r>
    <x v="443"/>
    <s v="Janganath Pur"/>
    <s v="vlc"/>
    <s v="Indirect"/>
    <n v="1660.2400000000002"/>
    <n v="70604.099281507923"/>
    <n v="0"/>
    <n v="0"/>
    <n v="0"/>
    <n v="0"/>
    <n v="0"/>
    <n v="0"/>
    <n v="70604.099281507923"/>
    <n v="0"/>
    <n v="0"/>
    <n v="0"/>
    <n v="2700"/>
    <n v="0"/>
    <n v="0"/>
    <n v="0"/>
    <n v="0"/>
    <n v="67904.099281507923"/>
    <n v="0"/>
    <n v="0"/>
  </r>
  <r>
    <x v="444"/>
    <s v="Nagargama"/>
    <s v="vlc"/>
    <s v="Indirect"/>
    <n v="408.4"/>
    <n v="15988.768762713602"/>
    <n v="0"/>
    <n v="0"/>
    <n v="0"/>
    <n v="0"/>
    <n v="0"/>
    <n v="0"/>
    <n v="15988.768762713602"/>
    <n v="0"/>
    <n v="0"/>
    <n v="0"/>
    <n v="0"/>
    <n v="0"/>
    <n v="0"/>
    <n v="0"/>
    <n v="0"/>
    <n v="15988.768762713602"/>
    <n v="0"/>
    <n v="0"/>
  </r>
  <r>
    <x v="445"/>
    <s v="Sato Ghachchhi"/>
    <s v="MPG"/>
    <s v="Direct"/>
    <n v="830.96999999999991"/>
    <n v="36407.712069592482"/>
    <n v="811.99999999999989"/>
    <n v="35914.197078040175"/>
    <n v="14.6"/>
    <n v="636.19468875000018"/>
    <n v="826.59999999999991"/>
    <n v="36550.391766790177"/>
    <n v="36407.712069592482"/>
    <n v="0"/>
    <n v="636.19468875000018"/>
    <n v="142.67969719769462"/>
    <n v="0"/>
    <n v="0"/>
    <n v="0"/>
    <n v="35772"/>
    <n v="0"/>
    <n v="0"/>
    <n v="0"/>
    <n v="0"/>
  </r>
  <r>
    <x v="446"/>
    <s v="Bhatgama"/>
    <s v="vlc"/>
    <s v="Indirect"/>
    <n v="407.17999999999995"/>
    <n v="15261.50879725845"/>
    <n v="0"/>
    <n v="0"/>
    <n v="0"/>
    <n v="0"/>
    <n v="0"/>
    <n v="0"/>
    <n v="15261.50879725845"/>
    <n v="0"/>
    <n v="0"/>
    <n v="0"/>
    <n v="2700"/>
    <n v="0"/>
    <n v="0"/>
    <n v="0"/>
    <n v="0"/>
    <n v="12561.50879725845"/>
    <n v="0"/>
    <n v="0"/>
  </r>
  <r>
    <x v="447"/>
    <s v="Borna Rasalpur"/>
    <s v="MPG"/>
    <s v="Direct"/>
    <n v="1074.56"/>
    <n v="43346.762367426003"/>
    <n v="346.7"/>
    <n v="17477.1305423052"/>
    <n v="840.8"/>
    <n v="33846.31642750201"/>
    <n v="1187.5"/>
    <n v="51323.446969807206"/>
    <n v="43346.762367426003"/>
    <n v="0"/>
    <n v="0"/>
    <n v="7976.6846023812031"/>
    <n v="0"/>
    <n v="0"/>
    <n v="0"/>
    <n v="9502"/>
    <n v="33845"/>
    <n v="0"/>
    <n v="0"/>
    <s v="Release1"/>
  </r>
  <r>
    <x v="448"/>
    <s v="Rasalpur"/>
    <s v="MPG"/>
    <s v="Direct"/>
    <n v="1301.4600000000003"/>
    <n v="49270.226948501993"/>
    <n v="1389.9199999999998"/>
    <n v="51647.036929786853"/>
    <n v="146.51999999999998"/>
    <n v="5549.7263647570171"/>
    <n v="1536.4399999999998"/>
    <n v="57196.763294543867"/>
    <n v="49270.226948501993"/>
    <n v="0"/>
    <n v="0"/>
    <n v="7926.5363460418739"/>
    <n v="2700"/>
    <n v="0"/>
    <n v="0"/>
    <n v="41020"/>
    <n v="5550"/>
    <n v="0"/>
    <n v="0"/>
    <n v="0"/>
  </r>
  <r>
    <x v="449"/>
    <s v="Narahan"/>
    <s v="MPG"/>
    <s v="Direct"/>
    <n v="250.74"/>
    <n v="9221.9883328817996"/>
    <n v="254.69"/>
    <n v="8836.9642435304995"/>
    <n v="7.1799999999999988"/>
    <n v="257.45459325765"/>
    <n v="261.87"/>
    <n v="9094.4188367881488"/>
    <n v="9094.4188367881488"/>
    <n v="0"/>
    <n v="257.45459325765"/>
    <n v="0"/>
    <n v="2783"/>
    <n v="0"/>
    <n v="0"/>
    <n v="6054"/>
    <n v="0"/>
    <n v="0"/>
    <n v="128"/>
    <n v="0"/>
  </r>
  <r>
    <x v="450"/>
    <s v="Gomukh Dumduma"/>
    <s v="MPG"/>
    <s v="Direct"/>
    <n v="486.99"/>
    <n v="19390.867779576001"/>
    <n v="485.33"/>
    <n v="19358.562275400003"/>
    <n v="0"/>
    <n v="0"/>
    <n v="485.33"/>
    <n v="19358.562275400003"/>
    <n v="19358.562275400003"/>
    <n v="0"/>
    <n v="0"/>
    <n v="0"/>
    <n v="0"/>
    <n v="0"/>
    <n v="0"/>
    <n v="19358"/>
    <n v="0"/>
    <n v="0"/>
    <n v="33"/>
    <n v="0"/>
  </r>
  <r>
    <x v="451"/>
    <s v="SUPOL"/>
    <s v="MPG"/>
    <s v="Direct"/>
    <n v="182.95999999999998"/>
    <n v="7018.1185044416006"/>
    <n v="285"/>
    <n v="12076.766909999998"/>
    <n v="0"/>
    <n v="0"/>
    <n v="285"/>
    <n v="12076.766909999998"/>
    <n v="7018.1185044416006"/>
    <n v="0"/>
    <n v="0"/>
    <n v="5058.6484055583978"/>
    <n v="0"/>
    <n v="0"/>
    <n v="0"/>
    <n v="7018"/>
    <n v="0"/>
    <n v="0"/>
    <n v="0"/>
    <n v="0"/>
  </r>
  <r>
    <x v="452"/>
    <s v="BHUSARAI"/>
    <s v="MPG"/>
    <s v="Direct"/>
    <n v="222.06"/>
    <n v="8628.4421287559999"/>
    <n v="128.25"/>
    <n v="4836.4475422770001"/>
    <n v="100.95"/>
    <n v="3808.8478556310001"/>
    <n v="229.2"/>
    <n v="8645.2953979080012"/>
    <n v="8628.4421287559999"/>
    <n v="0"/>
    <n v="113.541556275"/>
    <n v="16.853269152001303"/>
    <n v="0"/>
    <n v="0"/>
    <n v="0"/>
    <n v="4819"/>
    <n v="3695"/>
    <n v="0"/>
    <n v="1"/>
    <n v="0"/>
  </r>
  <r>
    <x v="453"/>
    <s v="Gomukha Jounapur"/>
    <s v="vlc"/>
    <s v="Indirect"/>
    <n v="132.07999999999998"/>
    <n v="6702.9591973361003"/>
    <n v="0"/>
    <n v="0"/>
    <n v="0"/>
    <n v="0"/>
    <n v="0"/>
    <n v="0"/>
    <n v="6702.9591973361003"/>
    <n v="0"/>
    <n v="0"/>
    <n v="0"/>
    <n v="6703"/>
    <n v="0"/>
    <n v="0"/>
    <n v="0"/>
    <n v="0"/>
    <n v="-4.0802663899739855E-2"/>
    <n v="0"/>
    <n v="0"/>
  </r>
  <r>
    <x v="454"/>
    <s v="Patailliya"/>
    <s v="vlc"/>
    <s v="Indirect"/>
    <n v="244.87"/>
    <n v="9046.6091427930005"/>
    <n v="0"/>
    <n v="0"/>
    <n v="0"/>
    <n v="0"/>
    <n v="0"/>
    <n v="0"/>
    <n v="9046.6091427930005"/>
    <n v="0"/>
    <n v="0"/>
    <n v="0"/>
    <n v="0"/>
    <n v="0"/>
    <n v="0"/>
    <n v="0"/>
    <n v="0"/>
    <n v="9046.6091427930005"/>
    <n v="0"/>
    <n v="0"/>
  </r>
  <r>
    <x v="455"/>
    <s v="Badiya"/>
    <s v="vlc"/>
    <s v="Indirect"/>
    <n v="238.38"/>
    <n v="8882.0956442100014"/>
    <n v="0"/>
    <n v="0"/>
    <n v="0"/>
    <n v="0"/>
    <n v="0"/>
    <n v="0"/>
    <n v="8882.0956442100014"/>
    <n v="0"/>
    <n v="0"/>
    <n v="0"/>
    <n v="0"/>
    <n v="0"/>
    <n v="0"/>
    <n v="0"/>
    <n v="0"/>
    <n v="8882.0956442100014"/>
    <n v="0"/>
    <n v="0"/>
  </r>
  <r>
    <x v="456"/>
    <s v="Gomukh Tabhka"/>
    <s v="MPG"/>
    <s v="Direct"/>
    <n v="2637.8800000000006"/>
    <n v="106277.678213871"/>
    <n v="1752.96"/>
    <n v="78424.299084064856"/>
    <n v="931.45999999999992"/>
    <n v="37461.614592744976"/>
    <n v="2684.42"/>
    <n v="115885.91367680984"/>
    <n v="106277.678213871"/>
    <n v="0"/>
    <n v="558.44692678860008"/>
    <n v="9608.2354629388428"/>
    <n v="2700"/>
    <n v="0"/>
    <n v="0"/>
    <n v="66116"/>
    <n v="36903"/>
    <n v="0"/>
    <n v="0"/>
    <n v="0"/>
  </r>
  <r>
    <x v="457"/>
    <s v="Ghato"/>
    <s v="vlc"/>
    <s v="Indirect"/>
    <n v="40.74"/>
    <n v="1284.8032737396002"/>
    <n v="0"/>
    <n v="0"/>
    <n v="0"/>
    <n v="0"/>
    <n v="0"/>
    <n v="0"/>
    <n v="1284.8032737396002"/>
    <n v="0"/>
    <n v="0"/>
    <n v="0"/>
    <n v="0"/>
    <n v="0"/>
    <n v="0"/>
    <n v="0"/>
    <n v="0"/>
    <n v="1284.8032737396002"/>
    <n v="0"/>
    <n v="0"/>
  </r>
  <r>
    <x v="458"/>
    <s v="RAMNATHPUR                                                                                          "/>
    <s v="MPG"/>
    <s v="Direct"/>
    <n v="866.6099999999999"/>
    <n v="33186.773683335006"/>
    <n v="576.5"/>
    <n v="22046.281964168342"/>
    <n v="350.46"/>
    <n v="12998.647813814401"/>
    <n v="926.96"/>
    <n v="35044.929777982747"/>
    <n v="33186.773683335006"/>
    <n v="0"/>
    <n v="312.50249000640008"/>
    <n v="1858.1560946477402"/>
    <n v="1286"/>
    <n v="0"/>
    <n v="0"/>
    <n v="18903"/>
    <n v="12685"/>
    <n v="0"/>
    <n v="0"/>
    <n v="0"/>
  </r>
  <r>
    <x v="459"/>
    <s v="DESUA"/>
    <s v="MPG"/>
    <s v="Direct"/>
    <n v="346.48000000000008"/>
    <n v="13239.203118014999"/>
    <n v="346.3"/>
    <n v="13285.48397583"/>
    <n v="0"/>
    <n v="0"/>
    <n v="346.3"/>
    <n v="13285.48397583"/>
    <n v="13239.203118014999"/>
    <n v="0"/>
    <n v="0"/>
    <n v="46.280857815001582"/>
    <n v="2700"/>
    <n v="0"/>
    <n v="0"/>
    <n v="10539"/>
    <n v="0"/>
    <n v="0"/>
    <n v="0"/>
    <n v="0"/>
  </r>
  <r>
    <x v="460"/>
    <s v="Matior"/>
    <s v="MPG"/>
    <s v="Direct"/>
    <n v="84.87"/>
    <n v="3426.3981656400001"/>
    <n v="84.87"/>
    <n v="3427.9584056400004"/>
    <n v="0"/>
    <n v="0"/>
    <n v="84.87"/>
    <n v="3427.9584056400004"/>
    <n v="3426.3981656400001"/>
    <n v="0"/>
    <n v="0"/>
    <n v="1.560240000000249"/>
    <n v="3426"/>
    <n v="0"/>
    <n v="0"/>
    <n v="0"/>
    <n v="0"/>
    <n v="0"/>
    <n v="0"/>
    <n v="0"/>
  </r>
  <r>
    <x v="461"/>
    <s v="TELGAMA"/>
    <s v="vlc"/>
    <s v="Indirect"/>
    <n v="388.17999999999995"/>
    <n v="16033.3452251568"/>
    <n v="0"/>
    <n v="0"/>
    <n v="0"/>
    <n v="0"/>
    <n v="0"/>
    <n v="0"/>
    <n v="16033.3452251568"/>
    <n v="0"/>
    <n v="0"/>
    <n v="0"/>
    <n v="0"/>
    <n v="0"/>
    <n v="0"/>
    <n v="0"/>
    <n v="0"/>
    <n v="16033.3452251568"/>
    <n v="0"/>
    <n v="0"/>
  </r>
  <r>
    <x v="462"/>
    <s v="GOMUKH TATARPUR"/>
    <s v="MPG"/>
    <s v="Direct"/>
    <n v="208.64000000000004"/>
    <n v="9475.5546577392815"/>
    <n v="220.26000000000002"/>
    <n v="9932.9175830712811"/>
    <n v="0"/>
    <n v="0"/>
    <n v="220.26000000000002"/>
    <n v="9932.9175830712811"/>
    <n v="9475.5546577392815"/>
    <n v="0"/>
    <n v="0"/>
    <n v="457.36292533199958"/>
    <n v="0"/>
    <n v="500"/>
    <n v="0"/>
    <n v="8976"/>
    <n v="0"/>
    <n v="0"/>
    <n v="0"/>
    <n v="0"/>
  </r>
  <r>
    <x v="463"/>
    <s v="Gomukh Ghataho"/>
    <s v="MPG"/>
    <s v="Direct"/>
    <n v="1996.2999999999997"/>
    <n v="76514.241010980011"/>
    <n v="1461.5900000000004"/>
    <n v="56203.628881033059"/>
    <n v="523"/>
    <n v="20309.901052329402"/>
    <n v="1984.5900000000004"/>
    <n v="76513.529933362457"/>
    <n v="76513.529933362457"/>
    <n v="0"/>
    <n v="759.81973830000015"/>
    <n v="0"/>
    <n v="0"/>
    <n v="0"/>
    <n v="0"/>
    <n v="56204"/>
    <n v="19550"/>
    <n v="0"/>
    <n v="0"/>
    <n v="0"/>
  </r>
  <r>
    <x v="464"/>
    <s v="Kacha - Amarjeet"/>
    <s v="vlc"/>
    <s v="Indirect"/>
    <n v="439.86000000000007"/>
    <n v="20115.411178509654"/>
    <n v="0"/>
    <n v="0"/>
    <n v="0"/>
    <n v="0"/>
    <n v="0"/>
    <n v="0"/>
    <n v="20115.411178509654"/>
    <n v="0"/>
    <n v="0"/>
    <n v="0"/>
    <n v="6000"/>
    <n v="0"/>
    <n v="0"/>
    <n v="0"/>
    <n v="0"/>
    <n v="14115.411178509654"/>
    <n v="0"/>
    <n v="0"/>
  </r>
  <r>
    <x v="465"/>
    <s v="Simri - Suman"/>
    <s v="vlc"/>
    <s v="Indirect"/>
    <n v="1865.3"/>
    <n v="94960.850127758415"/>
    <n v="0"/>
    <n v="0"/>
    <n v="0"/>
    <n v="0"/>
    <n v="0"/>
    <n v="0"/>
    <n v="94960.850127758415"/>
    <n v="0"/>
    <n v="0"/>
    <n v="0"/>
    <n v="0"/>
    <n v="0"/>
    <n v="0"/>
    <n v="0"/>
    <n v="0"/>
    <n v="94960.850127758415"/>
    <n v="0"/>
    <n v="0"/>
  </r>
  <r>
    <x v="466"/>
    <s v="Narenpur"/>
    <s v="MPG"/>
    <s v="Direct"/>
    <n v="297.33"/>
    <n v="12110.798646597003"/>
    <n v="203.39000000000004"/>
    <n v="8671.0563907002052"/>
    <n v="144.82999999999998"/>
    <n v="6351.7660421386599"/>
    <n v="348.22"/>
    <n v="15022.822432838864"/>
    <n v="12110.798646597003"/>
    <n v="0"/>
    <n v="0"/>
    <n v="2912.0237862418617"/>
    <n v="0"/>
    <n v="0"/>
    <n v="0"/>
    <n v="5758"/>
    <n v="6353"/>
    <n v="0"/>
    <n v="0"/>
    <n v="0"/>
  </r>
  <r>
    <x v="467"/>
    <s v="Mordiba"/>
    <s v="MPG"/>
    <s v="Direct"/>
    <n v="1840.2600000000002"/>
    <n v="72812.389079760003"/>
    <n v="1077.21"/>
    <n v="43703.865304767802"/>
    <n v="797.58999999999992"/>
    <n v="30826.124307334361"/>
    <n v="1874.8"/>
    <n v="74529.989612102159"/>
    <n v="72812.389079760003"/>
    <n v="0"/>
    <n v="354.4874883"/>
    <n v="1717.6005323421559"/>
    <n v="2700"/>
    <n v="0"/>
    <n v="0"/>
    <n v="39287"/>
    <n v="30471"/>
    <n v="0"/>
    <n v="0"/>
    <n v="0"/>
  </r>
  <r>
    <x v="468"/>
    <s v="Jagdispur"/>
    <s v="MPG"/>
    <s v="Direct"/>
    <n v="241.78"/>
    <n v="9298.1494818720003"/>
    <n v="247.65000000000003"/>
    <n v="8651.7210386996594"/>
    <n v="0"/>
    <n v="0"/>
    <n v="247.65000000000003"/>
    <n v="8651.7210386996594"/>
    <n v="8651.7210386996594"/>
    <n v="0"/>
    <n v="0"/>
    <n v="0"/>
    <n v="750"/>
    <n v="0"/>
    <n v="0"/>
    <n v="7903"/>
    <n v="0"/>
    <n v="0"/>
    <n v="645"/>
    <s v="Release1"/>
  </r>
  <r>
    <x v="469"/>
    <s v="Chaklal Sahi_Vikrant"/>
    <s v="vlc"/>
    <s v="Indirect"/>
    <n v="965"/>
    <n v="35740.031778000004"/>
    <n v="0"/>
    <n v="0"/>
    <n v="0"/>
    <n v="0"/>
    <n v="0"/>
    <n v="0"/>
    <n v="35740.031778000004"/>
    <n v="0"/>
    <n v="0"/>
    <n v="0"/>
    <n v="0"/>
    <n v="0"/>
    <n v="0"/>
    <n v="0"/>
    <n v="0"/>
    <n v="35740.031778000004"/>
    <n v="0"/>
    <n v="0"/>
  </r>
  <r>
    <x v="470"/>
    <s v="Piparpaati"/>
    <s v="vlc"/>
    <s v="Indirect"/>
    <n v="134.32"/>
    <n v="5086.4348609220015"/>
    <n v="0"/>
    <n v="0"/>
    <n v="0"/>
    <n v="0"/>
    <n v="0"/>
    <n v="0"/>
    <n v="5086.4348609220015"/>
    <n v="0"/>
    <n v="0"/>
    <n v="0"/>
    <n v="0"/>
    <n v="0"/>
    <n v="0"/>
    <n v="0"/>
    <n v="0"/>
    <n v="5086.4348609220015"/>
    <n v="0"/>
    <n v="0"/>
  </r>
  <r>
    <x v="471"/>
    <s v="Suratpur"/>
    <s v="MPG"/>
    <s v="Direct"/>
    <n v="672.98"/>
    <n v="26722.529595636006"/>
    <n v="96.62"/>
    <n v="3739.9213407357001"/>
    <n v="589.56000000000006"/>
    <n v="23301.789936917015"/>
    <n v="686.18000000000006"/>
    <n v="27041.711277652714"/>
    <n v="26722.529595636006"/>
    <n v="0"/>
    <n v="0"/>
    <n v="319.18168201670778"/>
    <n v="0"/>
    <n v="0"/>
    <n v="0"/>
    <n v="3422"/>
    <n v="23301"/>
    <n v="0"/>
    <n v="0"/>
    <n v="0"/>
  </r>
  <r>
    <x v="473"/>
    <s v="Beri"/>
    <s v="MPG"/>
    <s v="Direct"/>
    <n v="631.92000000000007"/>
    <n v="24964.169144343003"/>
    <n v="631.84"/>
    <n v="24961.130415771"/>
    <n v="0"/>
    <n v="0"/>
    <n v="631.84"/>
    <n v="24961.130415771"/>
    <n v="24961.130415771"/>
    <n v="0"/>
    <n v="0"/>
    <n v="0"/>
    <n v="24961"/>
    <n v="0"/>
    <n v="0"/>
    <n v="0"/>
    <n v="0"/>
    <n v="0"/>
    <n v="3"/>
    <n v="0"/>
  </r>
  <r>
    <x v="474"/>
    <s v="Mahmmadipur"/>
    <s v="MPG"/>
    <s v="Direct"/>
    <n v="1757.81"/>
    <n v="87078.055736246693"/>
    <n v="773.15"/>
    <n v="38307.865198569314"/>
    <n v="1026.95"/>
    <n v="53740.782783567454"/>
    <n v="1800.1"/>
    <n v="92048.647982136768"/>
    <n v="87078.055736246693"/>
    <n v="0"/>
    <n v="0"/>
    <n v="4970.592245890075"/>
    <n v="0"/>
    <n v="0"/>
    <n v="0"/>
    <n v="33337"/>
    <n v="53741"/>
    <n v="0"/>
    <n v="0"/>
    <n v="0"/>
  </r>
  <r>
    <x v="475"/>
    <s v="Simri-Rupesh"/>
    <s v="vlc"/>
    <s v="Indirect"/>
    <n v="998.18"/>
    <n v="39898.892859751802"/>
    <n v="0"/>
    <n v="0"/>
    <n v="0"/>
    <n v="0"/>
    <n v="0"/>
    <n v="0"/>
    <n v="39898.892859751802"/>
    <n v="0"/>
    <n v="0"/>
    <n v="0"/>
    <n v="0"/>
    <n v="0"/>
    <n v="0"/>
    <n v="0"/>
    <n v="0"/>
    <n v="39898.892859751802"/>
    <n v="0"/>
    <n v="0"/>
  </r>
  <r>
    <x v="476"/>
    <s v="Mithilanchal Dairy Products"/>
    <s v="vlc"/>
    <s v="Indirect"/>
    <n v="3428.9"/>
    <n v="131868.83539731"/>
    <n v="0"/>
    <n v="0"/>
    <n v="0"/>
    <n v="0"/>
    <n v="0"/>
    <n v="0"/>
    <n v="131868.83539731"/>
    <n v="0"/>
    <n v="0"/>
    <n v="0"/>
    <n v="0"/>
    <n v="0"/>
    <n v="0"/>
    <n v="0"/>
    <n v="0"/>
    <n v="0"/>
    <n v="131869"/>
    <s v="Yes"/>
  </r>
  <r>
    <x v="477"/>
    <s v="Gomukh Jhaura Tabhka"/>
    <s v="MPG"/>
    <s v="Direct"/>
    <n v="710.0200000000001"/>
    <n v="25500.617658359704"/>
    <n v="695.3"/>
    <n v="27062.194654962004"/>
    <n v="15.2"/>
    <n v="578.32633066200003"/>
    <n v="710.5"/>
    <n v="27640.520985624004"/>
    <n v="25500.617658359704"/>
    <n v="0"/>
    <n v="54.832276872000008"/>
    <n v="2139.9033272642992"/>
    <n v="0"/>
    <n v="0"/>
    <n v="0"/>
    <n v="24922"/>
    <n v="524"/>
    <n v="0"/>
    <n v="0"/>
    <n v="0"/>
  </r>
  <r>
    <x v="478"/>
    <s v="Gomukh Mohanpur"/>
    <s v="MPG"/>
    <s v="Direct"/>
    <n v="508.49999999999994"/>
    <n v="19770.667682878502"/>
    <n v="188.94"/>
    <n v="7373.4665686146"/>
    <n v="320.13"/>
    <n v="11959.141220985672"/>
    <n v="509.07"/>
    <n v="19332.607789600272"/>
    <n v="19332.607789600272"/>
    <n v="0"/>
    <n v="416.71114894440001"/>
    <n v="0"/>
    <n v="0"/>
    <n v="0"/>
    <n v="0"/>
    <n v="7373"/>
    <n v="11542"/>
    <n v="0"/>
    <n v="439"/>
    <n v="0"/>
  </r>
  <r>
    <x v="479"/>
    <s v="Gomukh Bochaha"/>
    <s v="MPG"/>
    <s v="Direct"/>
    <n v="789.53"/>
    <n v="34675.061433699848"/>
    <n v="128.77000000000001"/>
    <n v="5305.5193374016308"/>
    <n v="696.04000000000008"/>
    <n v="30127.31926010182"/>
    <n v="824.81000000000006"/>
    <n v="35432.838597503447"/>
    <n v="34675.061433699848"/>
    <n v="0"/>
    <n v="0"/>
    <n v="757.77716380359925"/>
    <n v="757"/>
    <n v="0"/>
    <n v="0"/>
    <n v="3792"/>
    <n v="30126"/>
    <n v="0"/>
    <n v="0"/>
    <n v="0"/>
  </r>
  <r>
    <x v="480"/>
    <s v="Gomukh Terganj"/>
    <s v="MPG"/>
    <s v="Direct"/>
    <n v="181.51999999999998"/>
    <n v="7330.4813638382402"/>
    <n v="82"/>
    <n v="3431.5459079999996"/>
    <n v="126"/>
    <n v="5367.6612989999994"/>
    <n v="208"/>
    <n v="8799.2072069999995"/>
    <n v="7330.4813638382402"/>
    <n v="0"/>
    <n v="0"/>
    <n v="1468.7258431617593"/>
    <n v="0"/>
    <n v="500"/>
    <n v="0"/>
    <n v="1462"/>
    <n v="5368"/>
    <n v="0"/>
    <n v="0"/>
    <n v="0"/>
  </r>
  <r>
    <x v="481"/>
    <s v="Gomukh Chapra"/>
    <s v="vlc"/>
    <s v="Indirect"/>
    <n v="1364.6899999999998"/>
    <n v="54358.734554293798"/>
    <n v="0"/>
    <n v="0"/>
    <n v="0"/>
    <n v="0"/>
    <n v="0"/>
    <n v="0"/>
    <n v="54358.734554293798"/>
    <n v="0"/>
    <n v="0"/>
    <n v="0"/>
    <n v="54359"/>
    <n v="0"/>
    <n v="0"/>
    <n v="0"/>
    <n v="0"/>
    <n v="-0.26544570620171726"/>
    <n v="0"/>
    <n v="0"/>
  </r>
  <r>
    <x v="482"/>
    <s v="GOMUKH Chiranjipur"/>
    <s v="vlc"/>
    <s v="Indirect"/>
    <n v="5511"/>
    <n v="215850.77546400001"/>
    <n v="0"/>
    <n v="0"/>
    <n v="0"/>
    <n v="0"/>
    <n v="0"/>
    <n v="0"/>
    <n v="215850.77546400001"/>
    <n v="0"/>
    <n v="0"/>
    <n v="0"/>
    <n v="0"/>
    <n v="0"/>
    <n v="0"/>
    <n v="0"/>
    <n v="0"/>
    <n v="215850.77546400001"/>
    <n v="0"/>
    <n v="0"/>
  </r>
  <r>
    <x v="483"/>
    <s v="Gomukh Sahu Tol"/>
    <s v="vlc"/>
    <s v="Indirect"/>
    <n v="1178"/>
    <n v="47638.052286599996"/>
    <n v="0"/>
    <n v="0"/>
    <n v="0"/>
    <n v="0"/>
    <n v="0"/>
    <n v="0"/>
    <n v="47638.052286599996"/>
    <n v="0"/>
    <n v="0"/>
    <n v="0"/>
    <n v="0"/>
    <n v="0"/>
    <n v="0"/>
    <n v="0"/>
    <n v="0"/>
    <n v="47638.052286599996"/>
    <n v="0"/>
    <n v="0"/>
  </r>
  <r>
    <x v="484"/>
    <s v="Gomukh Mordiwa East"/>
    <s v="MPG"/>
    <s v="Direct"/>
    <n v="837.15"/>
    <n v="32163.706513986755"/>
    <n v="309"/>
    <n v="12205.7289339"/>
    <n v="537"/>
    <n v="21322.217393400002"/>
    <n v="846"/>
    <n v="33527.9463273"/>
    <n v="32163.706513986755"/>
    <n v="0"/>
    <n v="0"/>
    <n v="1364.2398133132447"/>
    <n v="1350"/>
    <n v="0"/>
    <n v="0"/>
    <n v="9492"/>
    <n v="21322"/>
    <n v="0"/>
    <n v="0"/>
    <n v="0"/>
  </r>
  <r>
    <x v="485"/>
    <s v="Gomukh Belamegh"/>
    <s v="vlc"/>
    <s v="Indirect"/>
    <n v="975"/>
    <n v="36104.362470000007"/>
    <n v="0"/>
    <n v="0"/>
    <n v="0"/>
    <n v="0"/>
    <n v="0"/>
    <n v="0"/>
    <n v="36104.362470000007"/>
    <n v="0"/>
    <n v="0"/>
    <n v="0"/>
    <n v="0"/>
    <n v="0"/>
    <n v="0"/>
    <n v="0"/>
    <n v="0"/>
    <n v="36104.362470000007"/>
    <n v="0"/>
    <n v="0"/>
  </r>
  <r>
    <x v="486"/>
    <s v="Gomukh Ramaiya"/>
    <s v="MPG"/>
    <s v="Direct"/>
    <n v="929.26999999999987"/>
    <n v="36542.247937434011"/>
    <n v="889.27"/>
    <n v="34996.522345434008"/>
    <n v="40"/>
    <n v="1545.725592"/>
    <n v="929.27"/>
    <n v="36542.247937434011"/>
    <n v="36542.247937434011"/>
    <n v="0"/>
    <n v="0"/>
    <n v="0"/>
    <n v="0"/>
    <n v="0"/>
    <n v="0"/>
    <n v="34996"/>
    <n v="1546"/>
    <n v="0"/>
    <n v="0"/>
    <n v="0"/>
  </r>
  <r>
    <x v="487"/>
    <s v="GOMUKH MANIKA EAST"/>
    <s v="MPG"/>
    <s v="Direct"/>
    <n v="973.99999999999989"/>
    <n v="38168.158906788005"/>
    <n v="692.7"/>
    <n v="28810.966880898297"/>
    <n v="314.50000000000006"/>
    <n v="13233.6049269736"/>
    <n v="1007.2"/>
    <n v="42044.571807871893"/>
    <n v="38168.158906788005"/>
    <n v="0"/>
    <n v="0"/>
    <n v="3876.4129010838878"/>
    <n v="0"/>
    <n v="0"/>
    <n v="0"/>
    <n v="24935"/>
    <n v="13233"/>
    <n v="0"/>
    <n v="0"/>
    <n v="0"/>
  </r>
  <r>
    <x v="488"/>
    <s v="IMADPUR"/>
    <s v="vlc"/>
    <s v="Indirect"/>
    <n v="1549.9199999999998"/>
    <n v="55725.715001254655"/>
    <n v="0"/>
    <n v="0"/>
    <n v="0"/>
    <n v="0"/>
    <n v="0"/>
    <n v="0"/>
    <n v="55725.715001254655"/>
    <n v="0"/>
    <n v="0"/>
    <n v="0"/>
    <n v="4050"/>
    <n v="0"/>
    <n v="0"/>
    <n v="0"/>
    <n v="0"/>
    <n v="51675.715001254655"/>
    <n v="0"/>
    <n v="0"/>
  </r>
  <r>
    <x v="489"/>
    <s v="Gomukh MANIYAR EAST"/>
    <s v="vlc"/>
    <s v="Indirect"/>
    <n v="455.33"/>
    <n v="18623.207932044003"/>
    <n v="0"/>
    <n v="0"/>
    <n v="0"/>
    <n v="0"/>
    <n v="0"/>
    <n v="0"/>
    <n v="18623.207932044003"/>
    <n v="0"/>
    <n v="0"/>
    <n v="0"/>
    <n v="0"/>
    <n v="0"/>
    <n v="0"/>
    <n v="0"/>
    <n v="0"/>
    <n v="18623.207932044003"/>
    <n v="0"/>
    <n v="0"/>
  </r>
  <r>
    <x v="490"/>
    <s v="GOMUKH Kisanpur Tabhka"/>
    <s v="MPG"/>
    <s v="Direct"/>
    <n v="1268.83"/>
    <n v="49418.474054376005"/>
    <n v="63.999999999999993"/>
    <n v="2541.6878683620002"/>
    <n v="1204.9099999999999"/>
    <n v="47022.766365985204"/>
    <n v="1268.9099999999999"/>
    <n v="49564.454234347206"/>
    <n v="49418.474054376005"/>
    <n v="0"/>
    <n v="0"/>
    <n v="145.98017997120041"/>
    <n v="0"/>
    <n v="0"/>
    <n v="0"/>
    <n v="2405"/>
    <n v="47013"/>
    <n v="0"/>
    <n v="0"/>
    <s v="Release1"/>
  </r>
  <r>
    <x v="491"/>
    <s v="GOMUKH BIBHUTIPUR"/>
    <s v="MPG"/>
    <s v="Direct"/>
    <n v="47.6"/>
    <n v="1892.7620343540002"/>
    <n v="49.36"/>
    <n v="2076.8898016980002"/>
    <n v="0"/>
    <n v="0"/>
    <n v="49.36"/>
    <n v="2076.8898016980002"/>
    <n v="1892.7620343540002"/>
    <n v="0"/>
    <n v="0"/>
    <n v="184.12776734399995"/>
    <n v="0"/>
    <n v="500"/>
    <n v="0"/>
    <n v="1393"/>
    <n v="0"/>
    <n v="0"/>
    <n v="0"/>
    <s v="Release1"/>
  </r>
  <r>
    <x v="492"/>
    <s v="GOMUKH PATHAKTOL"/>
    <s v="MPG"/>
    <s v="Direct"/>
    <n v="174.55999999999997"/>
    <n v="7117.2147267030014"/>
    <n v="114.3"/>
    <n v="4784.5013304600006"/>
    <n v="67.599999999999994"/>
    <n v="2538.4031667330005"/>
    <n v="181.89999999999998"/>
    <n v="7322.9044971930016"/>
    <n v="7117.2147267030014"/>
    <n v="0"/>
    <n v="0"/>
    <n v="205.68977049000023"/>
    <n v="0"/>
    <n v="500"/>
    <n v="0"/>
    <n v="4078"/>
    <n v="2539"/>
    <n v="0"/>
    <n v="0"/>
    <n v="0"/>
  </r>
  <r>
    <x v="493"/>
    <s v="Gomukh Musapur West"/>
    <s v="vlc"/>
    <s v="Indirect"/>
    <n v="1108.3400000000001"/>
    <n v="40408.382354674206"/>
    <n v="0"/>
    <n v="0"/>
    <n v="0"/>
    <n v="0"/>
    <n v="0"/>
    <n v="0"/>
    <n v="40408.382354674206"/>
    <n v="0"/>
    <n v="0"/>
    <n v="0"/>
    <n v="0"/>
    <n v="0"/>
    <n v="0"/>
    <n v="0"/>
    <n v="0"/>
    <n v="40408.382354674206"/>
    <n v="0"/>
    <n v="0"/>
  </r>
  <r>
    <x v="494"/>
    <s v="GOMUKH DADHIYA RAMKRISHANPUR"/>
    <s v="MPG"/>
    <s v="Direct"/>
    <n v="1567.27"/>
    <n v="65354.099843862998"/>
    <n v="519.58000000000015"/>
    <n v="18587.064515946"/>
    <n v="1098.1999999999998"/>
    <n v="46764.086540616008"/>
    <n v="1617.78"/>
    <n v="65351.151056562012"/>
    <n v="65351.151056562012"/>
    <n v="0"/>
    <n v="2721.3845849221989"/>
    <n v="0"/>
    <n v="0"/>
    <n v="0"/>
    <n v="0"/>
    <n v="18587"/>
    <n v="44046"/>
    <n v="0"/>
    <n v="0"/>
    <n v="0"/>
  </r>
  <r>
    <x v="495"/>
    <s v="Gomukh Simri Ward 4"/>
    <s v="vlc"/>
    <s v="Indirect"/>
    <n v="1685"/>
    <n v="66297.953883000009"/>
    <n v="0"/>
    <n v="0"/>
    <n v="0"/>
    <n v="0"/>
    <n v="0"/>
    <n v="0"/>
    <n v="66297.953883000009"/>
    <n v="0"/>
    <n v="0"/>
    <n v="0"/>
    <n v="0"/>
    <n v="0"/>
    <n v="0"/>
    <n v="0"/>
    <n v="0"/>
    <n v="66297.953883000009"/>
    <n v="0"/>
    <n v="0"/>
  </r>
  <r>
    <x v="496"/>
    <s v="GOMUKH BALTHARA"/>
    <s v="MPG"/>
    <s v="Direct"/>
    <n v="296.3"/>
    <n v="11504.1063333042"/>
    <n v="82.070000000000007"/>
    <n v="3705.4405250729992"/>
    <n v="209.99999999999997"/>
    <n v="8024.1217104172665"/>
    <n v="292.07"/>
    <n v="11729.562235490266"/>
    <n v="11504.1063333042"/>
    <n v="0"/>
    <n v="0"/>
    <n v="225.45590218606594"/>
    <n v="6750"/>
    <n v="0"/>
    <n v="0"/>
    <n v="0"/>
    <n v="4754"/>
    <n v="0"/>
    <n v="0"/>
    <n v="0"/>
  </r>
  <r>
    <x v="497"/>
    <s v="GOMUKH BHASINGPUR"/>
    <s v="MPG"/>
    <s v="Direct"/>
    <n v="1085.0200000000002"/>
    <n v="46950.436763028309"/>
    <n v="669.25999999999988"/>
    <n v="34295.399616249488"/>
    <n v="472.47"/>
    <n v="20423.115036111565"/>
    <n v="1141.73"/>
    <n v="54718.514652361053"/>
    <n v="46950.436763028309"/>
    <n v="0"/>
    <n v="0"/>
    <n v="7768.0778893327442"/>
    <n v="0"/>
    <n v="0"/>
    <n v="0"/>
    <n v="32866"/>
    <n v="14084"/>
    <n v="0"/>
    <n v="0"/>
    <s v="Release1"/>
  </r>
  <r>
    <x v="498"/>
    <s v="GOMUKH Chakhale Dad"/>
    <s v="MPG"/>
    <s v="Direct"/>
    <n v="749.80000000000007"/>
    <n v="28221.533022710999"/>
    <n v="459.90000000000003"/>
    <n v="17609.002939414193"/>
    <n v="300.41999999999996"/>
    <n v="10684.017934334699"/>
    <n v="760.31999999999994"/>
    <n v="28293.020873748894"/>
    <n v="28221.533022710999"/>
    <n v="0"/>
    <n v="104.58533890515"/>
    <n v="71.48785103789487"/>
    <n v="0"/>
    <n v="0"/>
    <n v="0"/>
    <n v="17537"/>
    <n v="10580"/>
    <n v="0"/>
    <n v="0"/>
    <n v="0"/>
  </r>
  <r>
    <x v="499"/>
    <s v="GOMUKH BANGHARH KISHANPUR"/>
    <s v="MPG"/>
    <s v="Direct"/>
    <n v="719.9"/>
    <n v="26194.177570329"/>
    <n v="130.69999999999999"/>
    <n v="4902.3706121865007"/>
    <n v="598.4"/>
    <n v="22388.913025158003"/>
    <n v="729.09999999999991"/>
    <n v="27291.283637344502"/>
    <n v="26194.177570329"/>
    <n v="0"/>
    <n v="223.8523074915"/>
    <n v="1097.106067015502"/>
    <n v="0"/>
    <n v="0"/>
    <n v="0"/>
    <n v="3805"/>
    <n v="22165"/>
    <n v="0"/>
    <n v="0"/>
    <n v="0"/>
  </r>
  <r>
    <x v="500"/>
    <s v="Gomukh Serpur Narsari"/>
    <s v="vlc"/>
    <s v="Indirect"/>
    <n v="115.7"/>
    <n v="3704.8421130600004"/>
    <n v="0"/>
    <n v="0"/>
    <n v="0"/>
    <n v="0"/>
    <n v="0"/>
    <n v="0"/>
    <n v="3704.8421130600004"/>
    <n v="0"/>
    <n v="0"/>
    <n v="0"/>
    <n v="0"/>
    <n v="0"/>
    <n v="0"/>
    <n v="0"/>
    <n v="0"/>
    <n v="3704.8421130600004"/>
    <n v="0"/>
    <n v="0"/>
  </r>
  <r>
    <x v="501"/>
    <s v="PARORIYA"/>
    <s v="MPG"/>
    <s v="Direct"/>
    <n v="133.6"/>
    <n v="4628.5173301124996"/>
    <n v="131.81"/>
    <n v="4620.5538293298005"/>
    <n v="0.7"/>
    <n v="26.014550400000001"/>
    <n v="132.51"/>
    <n v="4646.5683797298007"/>
    <n v="4628.5173301124996"/>
    <n v="0"/>
    <n v="26.014550400000001"/>
    <n v="18.051049617301032"/>
    <n v="0"/>
    <n v="0"/>
    <n v="0"/>
    <n v="4603"/>
    <n v="0"/>
    <n v="0"/>
    <n v="0"/>
    <n v="0"/>
  </r>
  <r>
    <x v="502"/>
    <s v="JHAKHRA"/>
    <s v="vlc"/>
    <s v="Indirect"/>
    <n v="49.300000000000004"/>
    <n v="1659.1698303779999"/>
    <n v="0"/>
    <n v="0"/>
    <n v="0"/>
    <n v="0"/>
    <n v="0"/>
    <n v="0"/>
    <n v="1659.1698303779999"/>
    <n v="0"/>
    <n v="0"/>
    <n v="0"/>
    <n v="0"/>
    <n v="0"/>
    <n v="0"/>
    <n v="0"/>
    <n v="0"/>
    <n v="1659.1698303779999"/>
    <n v="0"/>
    <n v="0"/>
  </r>
  <r>
    <x v="503"/>
    <s v="GOMUKH ANDAHA"/>
    <s v="MPG"/>
    <s v="Direct"/>
    <n v="494.30000000000007"/>
    <n v="17207.664181440006"/>
    <n v="481.56"/>
    <n v="17454.927949482601"/>
    <n v="0"/>
    <n v="0"/>
    <n v="481.56"/>
    <n v="17454.927949482601"/>
    <n v="17207.664181440006"/>
    <n v="0"/>
    <n v="0"/>
    <n v="247.26376804259417"/>
    <n v="0"/>
    <n v="0"/>
    <n v="0"/>
    <n v="17208"/>
    <n v="0"/>
    <n v="0"/>
    <n v="0"/>
    <s v="Release1"/>
  </r>
  <r>
    <x v="504"/>
    <s v="Gomukha Rohua"/>
    <s v="MPG"/>
    <s v="Direct"/>
    <n v="718.80000000000018"/>
    <n v="27954.526552021201"/>
    <n v="709.69"/>
    <n v="29822.149481843826"/>
    <n v="37.07"/>
    <n v="1473.1080415306803"/>
    <n v="746.7600000000001"/>
    <n v="31295.257523374505"/>
    <n v="27954.526552021201"/>
    <n v="0"/>
    <n v="323.45573415468004"/>
    <n v="3340.7309713533032"/>
    <n v="0"/>
    <n v="0"/>
    <n v="0"/>
    <n v="26482"/>
    <n v="1149"/>
    <n v="0"/>
    <n v="0"/>
    <n v="0"/>
  </r>
  <r>
    <x v="505"/>
    <s v="Gomukha Arniya Ganj"/>
    <s v="MPG"/>
    <s v="Direct"/>
    <n v="3366.4"/>
    <n v="124531.26088795204"/>
    <n v="1823.4"/>
    <n v="68549.063356400948"/>
    <n v="1564.1"/>
    <n v="58937.789501794949"/>
    <n v="3387.5"/>
    <n v="127486.8528581959"/>
    <n v="124531.26088795204"/>
    <n v="0"/>
    <n v="1324.60534641"/>
    <n v="2955.591970243855"/>
    <n v="0"/>
    <n v="0"/>
    <n v="0"/>
    <n v="65595"/>
    <n v="57611"/>
    <n v="0"/>
    <n v="1"/>
    <n v="0"/>
  </r>
  <r>
    <x v="506"/>
    <s v="Gomukha Vishanupatti II"/>
    <s v="vlc"/>
    <s v="Indirect"/>
    <n v="555.20000000000005"/>
    <n v="19505.845597425003"/>
    <n v="0"/>
    <n v="0"/>
    <n v="0"/>
    <n v="0"/>
    <n v="0"/>
    <n v="0"/>
    <n v="19505.845597425003"/>
    <n v="0"/>
    <n v="0"/>
    <n v="0"/>
    <n v="2700"/>
    <n v="0"/>
    <n v="0"/>
    <n v="0"/>
    <n v="0"/>
    <n v="16805.845597425003"/>
    <n v="0"/>
    <n v="0"/>
  </r>
  <r>
    <x v="507"/>
    <s v="Gomukh Khesarhiya"/>
    <s v="vlc"/>
    <s v="Indirect"/>
    <n v="204.20000000000002"/>
    <n v="9078.906653702501"/>
    <n v="0"/>
    <n v="0"/>
    <n v="0"/>
    <n v="0"/>
    <n v="0"/>
    <n v="0"/>
    <n v="9078.906653702501"/>
    <n v="0"/>
    <n v="0"/>
    <n v="0"/>
    <n v="1350"/>
    <n v="0"/>
    <n v="0"/>
    <n v="0"/>
    <n v="0"/>
    <n v="7728.906653702501"/>
    <n v="0"/>
    <n v="0"/>
  </r>
  <r>
    <x v="508"/>
    <s v="Harsingpur"/>
    <s v="vlc"/>
    <s v="Indirect"/>
    <n v="342.50000000000006"/>
    <n v="11804.178685044"/>
    <n v="0"/>
    <n v="0"/>
    <n v="0"/>
    <n v="0"/>
    <n v="0"/>
    <n v="0"/>
    <n v="11804.178685044"/>
    <n v="0"/>
    <n v="0"/>
    <n v="0"/>
    <n v="1500"/>
    <n v="0"/>
    <n v="0"/>
    <n v="0"/>
    <n v="0"/>
    <n v="10304.178685044"/>
    <n v="0"/>
    <n v="0"/>
  </r>
  <r>
    <x v="509"/>
    <s v="Gomukh ID Mahathi"/>
    <s v="vlc"/>
    <s v="Indirect"/>
    <n v="511.9"/>
    <n v="18690.992263695003"/>
    <n v="0"/>
    <n v="0"/>
    <n v="0"/>
    <n v="0"/>
    <n v="0"/>
    <n v="0"/>
    <n v="18690.992263695003"/>
    <n v="0"/>
    <n v="0"/>
    <n v="0"/>
    <n v="0"/>
    <n v="0"/>
    <n v="0"/>
    <n v="0"/>
    <n v="0"/>
    <n v="18690.992263695003"/>
    <n v="0"/>
    <n v="0"/>
  </r>
  <r>
    <x v="510"/>
    <s v="MURTUJAPUR"/>
    <s v="vlc"/>
    <s v="Indirect"/>
    <n v="530.4"/>
    <n v="21365.6266457118"/>
    <n v="0"/>
    <n v="0"/>
    <n v="0"/>
    <n v="0"/>
    <n v="0"/>
    <n v="0"/>
    <n v="21365.6266457118"/>
    <n v="0"/>
    <n v="0"/>
    <n v="0"/>
    <n v="3000"/>
    <n v="0"/>
    <n v="0"/>
    <n v="0"/>
    <n v="0"/>
    <n v="18365.6266457118"/>
    <n v="0"/>
    <n v="0"/>
  </r>
  <r>
    <x v="511"/>
    <s v="Rasalpur"/>
    <s v="MPG"/>
    <s v="Direct"/>
    <n v="298.3"/>
    <n v="13143.948135441204"/>
    <n v="79.02"/>
    <n v="4048.4375454687006"/>
    <n v="228.80000000000004"/>
    <n v="10377.626191091023"/>
    <n v="307.82000000000005"/>
    <n v="14426.063736559725"/>
    <n v="13143.948135441204"/>
    <n v="0"/>
    <n v="123.78428338740002"/>
    <n v="1282.1156011185212"/>
    <n v="0"/>
    <n v="500"/>
    <n v="0"/>
    <n v="2266"/>
    <n v="10254"/>
    <n v="0"/>
    <n v="0"/>
    <n v="0"/>
  </r>
  <r>
    <x v="513"/>
    <s v="Chhuchhipur                                                                                         "/>
    <s v="MPG"/>
    <s v="Direct"/>
    <n v="262.10000000000002"/>
    <n v="8666.2140290924999"/>
    <n v="172"/>
    <n v="6537.626784000001"/>
    <n v="70"/>
    <n v="2626.4750399999998"/>
    <n v="242"/>
    <n v="9164.1018240000012"/>
    <n v="8666.2140290924999"/>
    <n v="0"/>
    <n v="0"/>
    <n v="497.8877949075013"/>
    <n v="1500"/>
    <n v="0"/>
    <n v="0"/>
    <n v="4540"/>
    <n v="2626"/>
    <n v="0"/>
    <n v="0"/>
    <n v="0"/>
  </r>
  <r>
    <x v="514"/>
    <s v="Gomukh ID Sararanjan"/>
    <s v="vlc"/>
    <s v="Indirect"/>
    <n v="115.69999999999999"/>
    <n v="4676.7677678670007"/>
    <n v="0"/>
    <n v="0"/>
    <n v="0"/>
    <n v="0"/>
    <n v="0"/>
    <n v="0"/>
    <n v="4676.7677678670007"/>
    <n v="0"/>
    <n v="0"/>
    <n v="0"/>
    <n v="0"/>
    <n v="0"/>
    <n v="0"/>
    <n v="0"/>
    <n v="0"/>
    <n v="4676.7677678670007"/>
    <n v="0"/>
    <n v="0"/>
  </r>
  <r>
    <x v="515"/>
    <s v="Gomukh Soharthi Purvi Tola                                                                          "/>
    <s v="MPG"/>
    <s v="Direct"/>
    <n v="66.200000000000017"/>
    <n v="2822.0732000212001"/>
    <n v="114.5"/>
    <n v="5613.1258398024002"/>
    <n v="0"/>
    <n v="0"/>
    <n v="114.5"/>
    <n v="5613.1258398024002"/>
    <n v="2822.0732000212001"/>
    <n v="0"/>
    <n v="0"/>
    <n v="2791.0526397812"/>
    <n v="0"/>
    <n v="500"/>
    <n v="0"/>
    <n v="2322"/>
    <n v="0"/>
    <n v="0"/>
    <n v="0"/>
    <n v="0"/>
  </r>
  <r>
    <x v="516"/>
    <s v="Birnama"/>
    <s v="vlc"/>
    <s v="Indirect"/>
    <n v="1457"/>
    <n v="37954.314151920007"/>
    <n v="0"/>
    <n v="0"/>
    <n v="0"/>
    <n v="0"/>
    <n v="0"/>
    <n v="0"/>
    <n v="37954.314151920007"/>
    <n v="0"/>
    <n v="0"/>
    <n v="0"/>
    <n v="0"/>
    <n v="0"/>
    <n v="0"/>
    <n v="0"/>
    <n v="0"/>
    <n v="37954.314151920007"/>
    <n v="0"/>
    <n v="0"/>
  </r>
  <r>
    <x v="517"/>
    <s v="Maraie - Rubi"/>
    <s v="vlc"/>
    <s v="Indirect"/>
    <n v="48.3"/>
    <n v="1855.3625055000002"/>
    <n v="0"/>
    <n v="0"/>
    <n v="0"/>
    <n v="0"/>
    <n v="0"/>
    <n v="0"/>
    <n v="1855.3625055000002"/>
    <n v="0"/>
    <n v="0"/>
    <n v="0"/>
    <n v="1500"/>
    <n v="0"/>
    <n v="0"/>
    <n v="0"/>
    <n v="0"/>
    <n v="355.36250550000022"/>
    <n v="0"/>
    <n v="0"/>
  </r>
  <r>
    <x v="518"/>
    <s v="Arniya East Tola - Seema"/>
    <s v="vlc"/>
    <s v="Indirect"/>
    <n v="21"/>
    <n v="944.11480701120013"/>
    <n v="0"/>
    <n v="0"/>
    <n v="0"/>
    <n v="0"/>
    <n v="0"/>
    <n v="0"/>
    <n v="944.11480701120013"/>
    <n v="0"/>
    <n v="0"/>
    <n v="0"/>
    <n v="0"/>
    <n v="0"/>
    <n v="0"/>
    <n v="0"/>
    <n v="0"/>
    <n v="944.11480701120013"/>
    <n v="0"/>
    <n v="0"/>
  </r>
  <r>
    <x v="519"/>
    <s v="Lakshmipur Western Tol - Rajeev"/>
    <s v="MPG"/>
    <s v="Indirect"/>
    <n v="3005.7999999999997"/>
    <n v="128190.60373893"/>
    <n v="0"/>
    <n v="0"/>
    <n v="0"/>
    <n v="0"/>
    <n v="0"/>
    <n v="0"/>
    <n v="128190.60373893"/>
    <n v="0"/>
    <n v="44.617122000000002"/>
    <n v="0"/>
    <n v="0"/>
    <n v="0"/>
    <n v="0"/>
    <n v="0"/>
    <n v="0"/>
    <n v="128145.98661693001"/>
    <n v="0"/>
    <n v="0"/>
  </r>
  <r>
    <x v="520"/>
    <s v="Jahangipur Salkhanni"/>
    <s v="MPG"/>
    <s v="Direct"/>
    <n v="270"/>
    <n v="11689.4074443918"/>
    <n v="270.17"/>
    <n v="13309.199597694824"/>
    <n v="60.039999999999992"/>
    <n v="3193.2672883237497"/>
    <n v="330.21000000000004"/>
    <n v="16502.466886018574"/>
    <n v="11689.4074443918"/>
    <n v="0"/>
    <n v="0"/>
    <n v="4813.0594416267741"/>
    <n v="2700"/>
    <n v="0"/>
    <n v="0"/>
    <n v="5796"/>
    <n v="3193"/>
    <n v="0"/>
    <n v="0"/>
    <n v="0"/>
  </r>
  <r>
    <x v="521"/>
    <s v="Sekhpura"/>
    <s v="MPG"/>
    <s v="Direct"/>
    <n v="283.60000000000002"/>
    <n v="10328.204059351501"/>
    <n v="286.93"/>
    <n v="10842.875586559952"/>
    <n v="2.8300000000000005"/>
    <n v="103.21351442760003"/>
    <n v="289.76"/>
    <n v="10946.089100987552"/>
    <n v="10328.204059351501"/>
    <n v="0"/>
    <n v="103.21351442760003"/>
    <n v="617.88504163605103"/>
    <n v="2652"/>
    <n v="0"/>
    <n v="0"/>
    <n v="7573"/>
    <n v="0"/>
    <n v="0"/>
    <n v="0"/>
    <s v="Release1"/>
  </r>
  <r>
    <x v="522"/>
    <s v="Songar"/>
    <s v="MPG"/>
    <s v="Direct"/>
    <n v="1346.4999999999998"/>
    <n v="48991.765959888005"/>
    <n v="818.52"/>
    <n v="30332.192015694716"/>
    <n v="534.95000000000005"/>
    <n v="18674.516328114703"/>
    <n v="1353.47"/>
    <n v="49006.70834380942"/>
    <n v="48991.765959888005"/>
    <n v="0"/>
    <n v="554.49380008439994"/>
    <n v="14.942383921414148"/>
    <n v="2700"/>
    <n v="0"/>
    <n v="0"/>
    <n v="27618"/>
    <n v="18119"/>
    <n v="0"/>
    <n v="0"/>
    <n v="0"/>
  </r>
  <r>
    <x v="523"/>
    <s v="Rampur Maheshpur"/>
    <s v="MPG"/>
    <s v="Direct"/>
    <n v="482.3"/>
    <n v="18932.146229952599"/>
    <n v="265.14"/>
    <n v="11432.973397095782"/>
    <n v="227.93"/>
    <n v="8535.0418851374998"/>
    <n v="493.07"/>
    <n v="19968.015282233282"/>
    <n v="18932.146229952599"/>
    <n v="0"/>
    <n v="0"/>
    <n v="1035.8690522806828"/>
    <n v="0"/>
    <n v="0"/>
    <n v="0"/>
    <n v="10398"/>
    <n v="8534"/>
    <n v="0"/>
    <n v="0"/>
    <n v="0"/>
  </r>
  <r>
    <x v="524"/>
    <s v="Godhiyari"/>
    <s v="vlc"/>
    <s v="Indirect"/>
    <n v="409.3"/>
    <n v="13141.566757275001"/>
    <n v="0"/>
    <n v="0"/>
    <n v="0"/>
    <n v="0"/>
    <n v="0"/>
    <n v="0"/>
    <n v="13141.566757275001"/>
    <n v="0"/>
    <n v="0"/>
    <n v="0"/>
    <n v="1350"/>
    <n v="0"/>
    <n v="0"/>
    <n v="0"/>
    <n v="0"/>
    <n v="11791.566757275001"/>
    <n v="0"/>
    <n v="0"/>
  </r>
  <r>
    <x v="525"/>
    <s v="Jhakhra-Rambilash"/>
    <s v="vlc"/>
    <s v="Indirect"/>
    <n v="593.20000000000016"/>
    <n v="22877.432318970008"/>
    <n v="0"/>
    <n v="0"/>
    <n v="0"/>
    <n v="0"/>
    <n v="0"/>
    <n v="0"/>
    <n v="22877.432318970008"/>
    <n v="0"/>
    <n v="0"/>
    <n v="0"/>
    <n v="0"/>
    <n v="0"/>
    <n v="0"/>
    <n v="0"/>
    <n v="0"/>
    <n v="22877.432318970008"/>
    <n v="0"/>
    <n v="0"/>
  </r>
  <r>
    <x v="527"/>
    <s v="Chakmilki"/>
    <s v="MPG"/>
    <s v="Direct"/>
    <n v="279.2"/>
    <n v="10538.466038397"/>
    <n v="111.94999999999999"/>
    <n v="4210.2014588507"/>
    <n v="146.55000000000001"/>
    <n v="5304.2774679770073"/>
    <n v="258.5"/>
    <n v="9514.4789268277073"/>
    <n v="9514.4789268277073"/>
    <n v="0"/>
    <n v="126.28884418755003"/>
    <n v="0"/>
    <n v="0"/>
    <n v="0"/>
    <n v="0"/>
    <n v="4210"/>
    <n v="5178"/>
    <n v="0"/>
    <n v="1024"/>
    <n v="0"/>
  </r>
  <r>
    <x v="528"/>
    <s v="Gomukh Akaha"/>
    <s v="MPG"/>
    <s v="Direct"/>
    <n v="208.9"/>
    <n v="7321.3374847500008"/>
    <n v="141.6"/>
    <n v="5184.3772580263512"/>
    <n v="68.78"/>
    <n v="2613.8340203037005"/>
    <n v="210.38"/>
    <n v="7798.2112783300518"/>
    <n v="7321.3374847500008"/>
    <n v="0"/>
    <n v="37.525361470500002"/>
    <n v="476.87379358005091"/>
    <n v="1500"/>
    <n v="500"/>
    <n v="0"/>
    <n v="2706"/>
    <n v="2577"/>
    <n v="0"/>
    <n v="1"/>
    <n v="0"/>
  </r>
  <r>
    <x v="529"/>
    <s v="Nauachak-Pankaj"/>
    <s v="vlc"/>
    <s v="Indirect"/>
    <n v="166.1"/>
    <n v="4952.369582964001"/>
    <n v="0"/>
    <n v="0"/>
    <n v="0"/>
    <n v="0"/>
    <n v="0"/>
    <n v="0"/>
    <n v="4952.369582964001"/>
    <n v="0"/>
    <n v="0"/>
    <n v="0"/>
    <n v="0"/>
    <n v="0"/>
    <n v="0"/>
    <n v="0"/>
    <n v="0"/>
    <n v="4952.369582964001"/>
    <n v="0"/>
    <n v="0"/>
  </r>
  <r>
    <x v="530"/>
    <s v="Jitwarpur-Manisha"/>
    <s v="vlc"/>
    <s v="Indirect"/>
    <n v="162.79999999999998"/>
    <n v="5836.8112936125017"/>
    <n v="0"/>
    <n v="0"/>
    <n v="0"/>
    <n v="0"/>
    <n v="0"/>
    <n v="0"/>
    <n v="5836.8112936125017"/>
    <n v="0"/>
    <n v="0"/>
    <n v="0"/>
    <n v="0"/>
    <n v="0"/>
    <n v="0"/>
    <n v="0"/>
    <n v="0"/>
    <n v="5836.8112936125017"/>
    <n v="0"/>
    <n v="0"/>
  </r>
  <r>
    <x v="531"/>
    <s v="Gomukh Sirdulpur 2"/>
    <s v="vlc"/>
    <s v="Indirect"/>
    <n v="1341.3000000000002"/>
    <n v="41761.825243801504"/>
    <n v="0"/>
    <n v="0"/>
    <n v="0"/>
    <n v="0"/>
    <n v="0"/>
    <n v="0"/>
    <n v="41761.825243801504"/>
    <n v="0"/>
    <n v="0"/>
    <n v="0"/>
    <n v="0"/>
    <n v="0"/>
    <n v="0"/>
    <n v="0"/>
    <n v="0"/>
    <n v="41761.825243801504"/>
    <n v="0"/>
    <n v="0"/>
  </r>
  <r>
    <x v="1024"/>
    <s v="Gomukh Patepur"/>
    <s v="vlc"/>
    <s v="Indirect"/>
    <n v="84.9"/>
    <n v="2910.8575032930003"/>
    <n v="0"/>
    <n v="0"/>
    <n v="0"/>
    <n v="0"/>
    <n v="0"/>
    <n v="0"/>
    <n v="2910.8575032930003"/>
    <n v="0"/>
    <n v="0"/>
    <n v="0"/>
    <n v="0"/>
    <n v="0"/>
    <n v="0"/>
    <n v="0"/>
    <n v="0"/>
    <n v="2910.8575032930003"/>
    <n v="0"/>
    <n v="0"/>
  </r>
  <r>
    <x v="533"/>
    <s v="Gomukh Sherpur Narsari East"/>
    <s v="MPG"/>
    <s v="Direct"/>
    <n v="247.7"/>
    <n v="9126.1368034110001"/>
    <n v="242.48"/>
    <n v="8955.131661343652"/>
    <n v="10.01"/>
    <n v="418.34565867600008"/>
    <n v="252.48999999999998"/>
    <n v="9373.4773200196523"/>
    <n v="9126.1368034110001"/>
    <n v="0"/>
    <n v="0"/>
    <n v="247.34051660865225"/>
    <n v="0"/>
    <n v="0"/>
    <n v="0"/>
    <n v="8708"/>
    <n v="418"/>
    <n v="0"/>
    <n v="0"/>
    <n v="0"/>
  </r>
  <r>
    <x v="534"/>
    <s v="Gomukh Karhatti"/>
    <s v="MPG"/>
    <s v="Direct"/>
    <n v="46"/>
    <n v="1742.9494959720002"/>
    <n v="118"/>
    <n v="4545.4636656000011"/>
    <n v="0"/>
    <n v="0"/>
    <n v="118"/>
    <n v="4545.4636656000011"/>
    <n v="1742.9494959720002"/>
    <n v="0"/>
    <n v="0"/>
    <n v="2802.5141696280007"/>
    <n v="0"/>
    <n v="500"/>
    <n v="0"/>
    <n v="1243"/>
    <n v="0"/>
    <n v="0"/>
    <n v="0"/>
    <n v="0"/>
  </r>
  <r>
    <x v="535"/>
    <s v="Gomukh Gaopur Bhagwatpur"/>
    <s v="MPG"/>
    <s v="Direct"/>
    <n v="1049.4999999999998"/>
    <n v="39817.542674873992"/>
    <n v="1079.26"/>
    <n v="39875.320331763432"/>
    <n v="0"/>
    <n v="0"/>
    <n v="1079.26"/>
    <n v="39875.320331763432"/>
    <n v="39817.542674873992"/>
    <n v="0"/>
    <n v="0"/>
    <n v="57.77765688944055"/>
    <n v="0"/>
    <n v="0"/>
    <n v="0"/>
    <n v="39818"/>
    <n v="0"/>
    <n v="0"/>
    <n v="0"/>
    <n v="0"/>
  </r>
  <r>
    <x v="536"/>
    <s v="Gomukh Rajwara"/>
    <s v="MPG"/>
    <s v="Direct"/>
    <n v="132.79999999999998"/>
    <n v="5411.3179782555017"/>
    <n v="126.66999999999999"/>
    <n v="5581.6943194461537"/>
    <n v="0.2"/>
    <n v="9.8162453999999997"/>
    <n v="126.86999999999999"/>
    <n v="5591.510564846154"/>
    <n v="5411.3179782555017"/>
    <n v="0"/>
    <n v="9.8162453999999997"/>
    <n v="180.19258659065235"/>
    <n v="0"/>
    <n v="500"/>
    <n v="0"/>
    <n v="4901"/>
    <n v="0"/>
    <n v="0"/>
    <n v="1"/>
    <n v="0"/>
  </r>
  <r>
    <x v="537"/>
    <s v="GOMUKH Karhatiya Bujurg"/>
    <s v="vlc"/>
    <s v="Indirect"/>
    <n v="70.099999999999994"/>
    <n v="2734.7553607200002"/>
    <n v="0"/>
    <n v="0"/>
    <n v="0"/>
    <n v="0"/>
    <n v="0"/>
    <n v="0"/>
    <n v="2734.7553607200002"/>
    <n v="0"/>
    <n v="0"/>
    <n v="0"/>
    <n v="0"/>
    <n v="0"/>
    <n v="0"/>
    <n v="0"/>
    <n v="0"/>
    <n v="2734.7553607200002"/>
    <n v="0"/>
    <n v="0"/>
  </r>
  <r>
    <x v="538"/>
    <s v="GOMUKH NIKASPUR"/>
    <s v="vlc"/>
    <s v="Direct"/>
    <n v="39"/>
    <n v="1421.4014357399999"/>
    <n v="38.9"/>
    <n v="1468.5938784"/>
    <n v="0"/>
    <n v="0"/>
    <n v="38.9"/>
    <n v="1468.5938784"/>
    <n v="1421.4014357399999"/>
    <n v="0"/>
    <n v="0"/>
    <n v="47.192442660000097"/>
    <n v="0"/>
    <n v="500"/>
    <n v="0"/>
    <n v="921"/>
    <n v="0"/>
    <n v="0"/>
    <n v="0"/>
    <n v="0"/>
  </r>
  <r>
    <x v="539"/>
    <s v="Gomukh Morwa Mohanpur"/>
    <s v="vlc"/>
    <s v="Indirect"/>
    <n v="430.90000000000003"/>
    <n v="15498.635918652501"/>
    <n v="0"/>
    <n v="0"/>
    <n v="0"/>
    <n v="0"/>
    <n v="0"/>
    <n v="0"/>
    <n v="15498.635918652501"/>
    <n v="0"/>
    <n v="0"/>
    <n v="0"/>
    <n v="7500"/>
    <n v="0"/>
    <n v="0"/>
    <n v="0"/>
    <n v="0"/>
    <n v="7998.6359186525005"/>
    <n v="0"/>
    <n v="0"/>
  </r>
  <r>
    <x v="540"/>
    <s v="Gomukh Gangapur East"/>
    <s v="vlc"/>
    <s v="Indirect"/>
    <n v="1710.9"/>
    <n v="53405.327789471994"/>
    <n v="0"/>
    <n v="0"/>
    <n v="0"/>
    <n v="0"/>
    <n v="0"/>
    <n v="0"/>
    <n v="53405.327789471994"/>
    <n v="0"/>
    <n v="0"/>
    <n v="0"/>
    <n v="0"/>
    <n v="0"/>
    <n v="0"/>
    <n v="0"/>
    <n v="0"/>
    <n v="53405.327789471994"/>
    <n v="0"/>
    <n v="0"/>
  </r>
  <r>
    <x v="937"/>
    <s v="GOMUKH Laguniya"/>
    <s v="vlc"/>
    <s v="Indirect"/>
    <n v="155"/>
    <n v="5077.9855145399997"/>
    <n v="0"/>
    <n v="0"/>
    <n v="0"/>
    <n v="0"/>
    <n v="0"/>
    <n v="0"/>
    <n v="5077.9855145399997"/>
    <n v="0"/>
    <n v="0"/>
    <n v="0"/>
    <n v="1350"/>
    <n v="0"/>
    <n v="0"/>
    <n v="0"/>
    <n v="0"/>
    <n v="3727.9855145399997"/>
    <n v="0"/>
    <n v="0"/>
  </r>
  <r>
    <x v="541"/>
    <s v="GOMUKH MAHINDWARA"/>
    <s v="vlc"/>
    <s v="Indirect"/>
    <n v="295.89999999999998"/>
    <n v="10213.160503357502"/>
    <n v="0"/>
    <n v="0"/>
    <n v="0"/>
    <n v="0"/>
    <n v="0"/>
    <n v="0"/>
    <n v="10213.160503357502"/>
    <n v="0"/>
    <n v="0"/>
    <n v="0"/>
    <n v="0"/>
    <n v="0"/>
    <n v="0"/>
    <n v="0"/>
    <n v="0"/>
    <n v="10213.160503357502"/>
    <n v="0"/>
    <n v="0"/>
  </r>
  <r>
    <x v="542"/>
    <s v="GOMUKH MISHRAULIA"/>
    <s v="MPG"/>
    <s v="Direct"/>
    <n v="434.39999999999992"/>
    <n v="19762.108860168701"/>
    <n v="463.9"/>
    <n v="21576.865428809699"/>
    <n v="8.4"/>
    <n v="257.91362150400005"/>
    <n v="472.29999999999995"/>
    <n v="21834.7790503137"/>
    <n v="19762.108860168701"/>
    <n v="0"/>
    <n v="257.91362150400005"/>
    <n v="2072.6701901449997"/>
    <n v="0"/>
    <n v="0"/>
    <n v="0"/>
    <n v="19504"/>
    <n v="0"/>
    <n v="0"/>
    <n v="0"/>
    <n v="0"/>
  </r>
  <r>
    <x v="543"/>
    <s v="GOMUKH CHAKIRDI"/>
    <s v="MPG"/>
    <s v="Direct"/>
    <n v="52.000000000000007"/>
    <n v="1873.5358375695002"/>
    <n v="55.999999999999986"/>
    <n v="2000.8757738775003"/>
    <n v="0"/>
    <n v="0"/>
    <n v="55.999999999999986"/>
    <n v="2000.8757738775003"/>
    <n v="1873.5358375695002"/>
    <n v="0"/>
    <n v="0"/>
    <n v="127.33993630800001"/>
    <n v="2"/>
    <n v="500"/>
    <n v="0"/>
    <n v="1372"/>
    <n v="0"/>
    <n v="0"/>
    <n v="0"/>
    <s v="Release1"/>
  </r>
  <r>
    <x v="544"/>
    <s v="GOMUKH Bhagwatpur East"/>
    <s v="MPG"/>
    <s v="Direct"/>
    <n v="262.3"/>
    <n v="7965.8200784084993"/>
    <n v="310"/>
    <n v="11697.527088000001"/>
    <n v="0"/>
    <n v="0"/>
    <n v="310"/>
    <n v="11697.527088000001"/>
    <n v="7965.8200784084993"/>
    <n v="0"/>
    <n v="0"/>
    <n v="3731.7070095915014"/>
    <n v="2700"/>
    <n v="0"/>
    <n v="0"/>
    <n v="5266"/>
    <n v="0"/>
    <n v="0"/>
    <n v="0"/>
    <n v="0"/>
  </r>
  <r>
    <x v="545"/>
    <s v="Gomukh Rupauli Buzurg"/>
    <s v="vlc"/>
    <s v="Indirect"/>
    <n v="13955.7"/>
    <n v="474640.86248007906"/>
    <n v="0"/>
    <n v="0"/>
    <n v="0"/>
    <n v="0"/>
    <n v="0"/>
    <n v="0"/>
    <n v="474640.86248007906"/>
    <n v="0"/>
    <n v="0"/>
    <n v="0"/>
    <n v="0"/>
    <n v="0"/>
    <n v="0"/>
    <n v="0"/>
    <n v="0"/>
    <n v="474640.86248007906"/>
    <n v="0"/>
    <n v="0"/>
  </r>
  <r>
    <x v="1025"/>
    <s v="GOMUKH BAKHRI"/>
    <s v="vlc"/>
    <s v="Indirect"/>
    <n v="28.1"/>
    <n v="1072.2911472000003"/>
    <n v="0"/>
    <n v="0"/>
    <n v="0"/>
    <n v="0"/>
    <n v="0"/>
    <n v="0"/>
    <n v="1072.2911472000003"/>
    <n v="0"/>
    <n v="0"/>
    <n v="0"/>
    <n v="0"/>
    <n v="0"/>
    <n v="0"/>
    <n v="0"/>
    <n v="0"/>
    <n v="1072.2911472000003"/>
    <n v="0"/>
    <n v="0"/>
  </r>
  <r>
    <x v="938"/>
    <s v="GOMUKH KAMTAUL"/>
    <s v="MPG"/>
    <s v="Direct"/>
    <n v="151.39999999999998"/>
    <n v="6049.5233457732002"/>
    <n v="143.37"/>
    <n v="5758.3993087986501"/>
    <n v="2.69"/>
    <n v="109.28106815895001"/>
    <n v="146.06"/>
    <n v="5867.6803769575999"/>
    <n v="5867.6803769575999"/>
    <n v="0"/>
    <n v="109.28106815895001"/>
    <n v="0"/>
    <n v="0"/>
    <n v="0"/>
    <n v="0"/>
    <n v="5758"/>
    <n v="0"/>
    <n v="0"/>
    <n v="182"/>
    <n v="0"/>
  </r>
  <r>
    <x v="547"/>
    <s v="Dumri Purvi Tola"/>
    <s v="MPG"/>
    <s v="Direct"/>
    <n v="454.60000000000008"/>
    <n v="15637.082958820602"/>
    <n v="323.90000000000003"/>
    <n v="16168.062484794222"/>
    <n v="0"/>
    <n v="0"/>
    <n v="323.90000000000003"/>
    <n v="16168.062484794222"/>
    <n v="15637.082958820602"/>
    <n v="0"/>
    <n v="0"/>
    <n v="530.97952597362018"/>
    <n v="14898"/>
    <n v="0"/>
    <n v="0"/>
    <n v="739"/>
    <n v="0"/>
    <n v="0"/>
    <n v="0"/>
    <s v="Release1"/>
  </r>
  <r>
    <x v="548"/>
    <s v="Simri"/>
    <s v="MPG"/>
    <s v="Direct"/>
    <n v="685.60000000000014"/>
    <n v="25546.909150110005"/>
    <n v="725.67000000000007"/>
    <n v="27553.670587961398"/>
    <n v="0"/>
    <n v="0"/>
    <n v="725.67000000000007"/>
    <n v="27553.670587961398"/>
    <n v="25546.909150110005"/>
    <n v="0"/>
    <n v="0"/>
    <n v="2006.7614378513936"/>
    <n v="0"/>
    <n v="0"/>
    <n v="0"/>
    <n v="25547"/>
    <n v="0"/>
    <n v="0"/>
    <n v="0"/>
    <n v="0"/>
  </r>
  <r>
    <x v="549"/>
    <s v="Sahiyar"/>
    <s v="MPG"/>
    <s v="Direct"/>
    <n v="920.40000000000009"/>
    <n v="37478.620896210006"/>
    <n v="898.4"/>
    <n v="38863.954535525743"/>
    <n v="31.099999999999994"/>
    <n v="1277.3962615830001"/>
    <n v="929.5"/>
    <n v="40141.350797108746"/>
    <n v="37478.620896210006"/>
    <n v="0"/>
    <n v="1277.3962615830001"/>
    <n v="2662.7299008987393"/>
    <n v="0"/>
    <n v="0"/>
    <n v="0"/>
    <n v="36201"/>
    <n v="0"/>
    <n v="0"/>
    <n v="0"/>
    <n v="0"/>
  </r>
  <r>
    <x v="550"/>
    <s v="ENGLISH DUBAULI"/>
    <s v="MPG"/>
    <s v="Direct"/>
    <n v="735.4"/>
    <n v="25895.370602820003"/>
    <n v="745.22"/>
    <n v="29355.797665876962"/>
    <n v="23.03"/>
    <n v="1434.3286594998901"/>
    <n v="768.25"/>
    <n v="30790.126325376852"/>
    <n v="25895.370602820003"/>
    <n v="0"/>
    <n v="1434.3286594998901"/>
    <n v="4894.7557225568489"/>
    <n v="0"/>
    <n v="0"/>
    <n v="0"/>
    <n v="24461"/>
    <n v="0"/>
    <n v="0"/>
    <n v="0"/>
    <s v="Release1"/>
  </r>
  <r>
    <x v="551"/>
    <s v="Ramo Bariya"/>
    <s v="MPG"/>
    <s v="Direct"/>
    <n v="832.59999999999991"/>
    <n v="31290.334427820002"/>
    <n v="851.49999999999977"/>
    <n v="31002.447010011001"/>
    <n v="11.280000000000001"/>
    <n v="519.80578658088007"/>
    <n v="862.77999999999975"/>
    <n v="31522.252796591882"/>
    <n v="31290.334427820002"/>
    <n v="0"/>
    <n v="519.80578658088007"/>
    <n v="231.91836877187961"/>
    <n v="0"/>
    <n v="0"/>
    <n v="0"/>
    <n v="30770"/>
    <n v="0"/>
    <n v="0"/>
    <n v="1"/>
    <n v="0"/>
  </r>
  <r>
    <x v="552"/>
    <s v="HITAN PARARI"/>
    <s v="MPG"/>
    <s v="Direct"/>
    <n v="1070.8999999999999"/>
    <n v="44418.749171549985"/>
    <n v="1073.3200000000002"/>
    <n v="47465.394959697434"/>
    <n v="0"/>
    <n v="0"/>
    <n v="1073.3200000000002"/>
    <n v="47465.394959697434"/>
    <n v="44418.749171549985"/>
    <n v="0"/>
    <n v="0"/>
    <n v="3046.6457881474489"/>
    <n v="0"/>
    <n v="0"/>
    <n v="0"/>
    <n v="44419"/>
    <n v="0"/>
    <n v="0"/>
    <n v="0"/>
    <n v="0"/>
  </r>
  <r>
    <x v="553"/>
    <s v="Gangauli"/>
    <s v="MPG"/>
    <s v="Direct"/>
    <n v="1071.4000000000001"/>
    <n v="44371.420417560417"/>
    <n v="1127.2"/>
    <n v="46791.167126654895"/>
    <n v="2.8"/>
    <n v="101.534322237"/>
    <n v="1130"/>
    <n v="46892.701448891894"/>
    <n v="44371.420417560417"/>
    <n v="0"/>
    <n v="101.534322237"/>
    <n v="2521.2810313314767"/>
    <n v="169"/>
    <n v="0"/>
    <n v="0"/>
    <n v="44100"/>
    <n v="0"/>
    <n v="0"/>
    <n v="1"/>
    <n v="0"/>
  </r>
  <r>
    <x v="554"/>
    <s v="MATHURA DERA"/>
    <s v="MPG"/>
    <s v="Direct"/>
    <n v="3327.4"/>
    <n v="126287.23950069003"/>
    <n v="3491.6"/>
    <n v="125309.07775844201"/>
    <n v="8"/>
    <n v="289.12945200000001"/>
    <n v="3499.6"/>
    <n v="125598.20721044201"/>
    <n v="125598.20721044201"/>
    <n v="0"/>
    <n v="289.12945200000001"/>
    <n v="0"/>
    <n v="0"/>
    <n v="0"/>
    <n v="0"/>
    <n v="125308"/>
    <n v="0"/>
    <n v="0"/>
    <n v="690"/>
    <n v="0"/>
  </r>
  <r>
    <x v="555"/>
    <s v="NANDAN"/>
    <s v="MPG"/>
    <s v="Direct"/>
    <n v="451.59999999999997"/>
    <n v="19049.653620821202"/>
    <n v="446"/>
    <n v="19032.653952000004"/>
    <n v="0"/>
    <n v="0"/>
    <n v="446"/>
    <n v="19032.653952000004"/>
    <n v="19032.653952000004"/>
    <n v="0"/>
    <n v="0"/>
    <n v="0"/>
    <n v="6400"/>
    <n v="0"/>
    <n v="0"/>
    <n v="12633"/>
    <n v="0"/>
    <n v="0"/>
    <n v="17"/>
    <n v="0"/>
  </r>
  <r>
    <x v="556"/>
    <s v="RAJAPUR"/>
    <s v="MPG"/>
    <s v="Direct"/>
    <n v="29.5"/>
    <n v="1033.6603582800001"/>
    <n v="33.200000000000003"/>
    <n v="1362.1532624850001"/>
    <n v="0"/>
    <n v="0"/>
    <n v="33.200000000000003"/>
    <n v="1362.1532624850001"/>
    <n v="1033.6603582800001"/>
    <n v="0"/>
    <n v="0"/>
    <n v="328.49290420500006"/>
    <n v="0"/>
    <n v="500"/>
    <n v="0"/>
    <n v="534"/>
    <n v="0"/>
    <n v="0"/>
    <n v="0"/>
    <n v="0"/>
  </r>
  <r>
    <x v="557"/>
    <s v="HEMDAPUR"/>
    <s v="MPG"/>
    <s v="Direct"/>
    <n v="584.9"/>
    <n v="21413.060275383003"/>
    <n v="587.29999999999995"/>
    <n v="22489.903606778702"/>
    <n v="0"/>
    <n v="0"/>
    <n v="587.29999999999995"/>
    <n v="22489.903606778702"/>
    <n v="21413.060275383003"/>
    <n v="0"/>
    <n v="0"/>
    <n v="1076.8433313956994"/>
    <n v="0"/>
    <n v="0"/>
    <n v="0"/>
    <n v="21413"/>
    <n v="0"/>
    <n v="0"/>
    <n v="0"/>
    <n v="0"/>
  </r>
  <r>
    <x v="558"/>
    <s v="Chaugain"/>
    <s v="MPG"/>
    <s v="Direct"/>
    <n v="62.699999999999996"/>
    <n v="2212.7879488455001"/>
    <n v="62"/>
    <n v="2206.2769440000002"/>
    <n v="0"/>
    <n v="0"/>
    <n v="62"/>
    <n v="2206.2769440000002"/>
    <n v="2206.2769440000002"/>
    <n v="0"/>
    <n v="0"/>
    <n v="0"/>
    <n v="0"/>
    <n v="500"/>
    <n v="0"/>
    <n v="1706"/>
    <n v="0"/>
    <n v="0"/>
    <n v="7"/>
    <n v="0"/>
  </r>
  <r>
    <x v="559"/>
    <s v="Akalupur"/>
    <s v="MPG"/>
    <s v="Direct"/>
    <n v="122.5"/>
    <n v="4456.8110337600001"/>
    <n v="122"/>
    <n v="4443.1316640000005"/>
    <n v="0"/>
    <n v="0"/>
    <n v="122"/>
    <n v="4443.1316640000005"/>
    <n v="4443.1316640000005"/>
    <n v="0"/>
    <n v="0"/>
    <n v="0"/>
    <n v="0"/>
    <n v="0"/>
    <n v="0"/>
    <n v="4443"/>
    <n v="0"/>
    <n v="0"/>
    <n v="14"/>
    <n v="0"/>
  </r>
  <r>
    <x v="560"/>
    <s v="Chhotka Sihanpura"/>
    <s v="MPG"/>
    <s v="Direct"/>
    <n v="474.7"/>
    <n v="15311.163860265002"/>
    <n v="438.29999999999995"/>
    <n v="16847.330849193"/>
    <n v="14.899999999999999"/>
    <n v="597.87686558400003"/>
    <n v="453.19999999999993"/>
    <n v="17445.207714777"/>
    <n v="15311.163860265002"/>
    <n v="0"/>
    <n v="205.03510814399999"/>
    <n v="2134.0438545119978"/>
    <n v="0"/>
    <n v="0"/>
    <n v="0"/>
    <n v="14713"/>
    <n v="393"/>
    <n v="0"/>
    <n v="0"/>
    <n v="0"/>
  </r>
  <r>
    <x v="561"/>
    <s v="Dharauli"/>
    <s v="MPG"/>
    <s v="Direct"/>
    <n v="241.99999999999997"/>
    <n v="9486.3111161399993"/>
    <n v="235.59999999999997"/>
    <n v="9225.8584893247025"/>
    <n v="5.2"/>
    <n v="194.64439855649999"/>
    <n v="240.79999999999995"/>
    <n v="9420.5028878812027"/>
    <n v="9420.5028878812027"/>
    <n v="0"/>
    <n v="194.64439855649999"/>
    <n v="0"/>
    <n v="0"/>
    <n v="0"/>
    <n v="0"/>
    <n v="9224"/>
    <n v="0"/>
    <n v="0"/>
    <n v="68"/>
    <n v="0"/>
  </r>
  <r>
    <x v="562"/>
    <s v="Kaithi"/>
    <s v="MPG"/>
    <s v="Direct"/>
    <n v="218.20000000000002"/>
    <n v="6466.0445389545021"/>
    <n v="208.4"/>
    <n v="6410.7417779939997"/>
    <n v="0"/>
    <n v="0"/>
    <n v="208.4"/>
    <n v="6410.7417779939997"/>
    <n v="6410.7417779939997"/>
    <n v="0"/>
    <n v="0"/>
    <n v="0"/>
    <n v="0"/>
    <n v="500"/>
    <n v="0"/>
    <n v="5910"/>
    <n v="0"/>
    <n v="0"/>
    <n v="56"/>
    <n v="0"/>
  </r>
  <r>
    <x v="563"/>
    <s v="Rangi Dera"/>
    <s v="MPG"/>
    <s v="Direct"/>
    <n v="208.70000000000002"/>
    <n v="7750.705303662"/>
    <n v="207"/>
    <n v="7711.3941840000016"/>
    <n v="0"/>
    <n v="0"/>
    <n v="207"/>
    <n v="7711.3941840000016"/>
    <n v="7711.3941840000016"/>
    <n v="0"/>
    <n v="0"/>
    <n v="0"/>
    <n v="0"/>
    <n v="0"/>
    <n v="0"/>
    <n v="7711"/>
    <n v="0"/>
    <n v="0"/>
    <n v="40"/>
    <n v="0"/>
  </r>
  <r>
    <x v="564"/>
    <s v="Dubki"/>
    <s v="MPG"/>
    <s v="Direct"/>
    <n v="307.8"/>
    <n v="13653.401288969802"/>
    <n v="328.16999999999996"/>
    <n v="14955.470351109539"/>
    <n v="1.0900000000000001"/>
    <n v="46.371244789979997"/>
    <n v="329.25999999999993"/>
    <n v="15001.841595899519"/>
    <n v="13653.401288969802"/>
    <n v="0"/>
    <n v="46.371244789979997"/>
    <n v="1348.4403069297168"/>
    <n v="0"/>
    <n v="0"/>
    <n v="0"/>
    <n v="13607"/>
    <n v="0"/>
    <n v="0"/>
    <n v="0"/>
    <n v="0"/>
  </r>
  <r>
    <x v="939"/>
    <s v="Sonvarsa"/>
    <s v="MPG"/>
    <s v="Direct"/>
    <n v="279"/>
    <n v="10768.955659814799"/>
    <n v="276.55999999999995"/>
    <n v="10429.939304039055"/>
    <n v="0.47000000000000003"/>
    <n v="17.247670023000005"/>
    <n v="277.02999999999997"/>
    <n v="10447.186974062055"/>
    <n v="10447.186974062055"/>
    <n v="0"/>
    <n v="17.247670023000005"/>
    <n v="0"/>
    <n v="2560"/>
    <n v="0"/>
    <n v="0"/>
    <n v="7870"/>
    <n v="0"/>
    <n v="0"/>
    <n v="322"/>
    <n v="0"/>
  </r>
  <r>
    <x v="565"/>
    <s v="Soan"/>
    <s v="MPG"/>
    <s v="Direct"/>
    <n v="526.5"/>
    <n v="21660.280319519999"/>
    <n v="532.15"/>
    <n v="21988.809324349277"/>
    <n v="5.71"/>
    <n v="246.09034778134506"/>
    <n v="537.86"/>
    <n v="22234.899672130621"/>
    <n v="21660.280319519999"/>
    <n v="0"/>
    <n v="246.09034778134506"/>
    <n v="574.61935261062172"/>
    <n v="6400"/>
    <n v="0"/>
    <n v="0"/>
    <n v="15014"/>
    <n v="0"/>
    <n v="0"/>
    <n v="0"/>
    <n v="0"/>
  </r>
  <r>
    <x v="566"/>
    <s v="PURANA BHOJPUR                                                                                      "/>
    <s v="MPG"/>
    <s v="Direct"/>
    <n v="310.19999999999993"/>
    <n v="11626.822815420001"/>
    <n v="298"/>
    <n v="11598.491376000002"/>
    <n v="0"/>
    <n v="0"/>
    <n v="298"/>
    <n v="11598.491376000002"/>
    <n v="11598.491376000002"/>
    <n v="0"/>
    <n v="0"/>
    <n v="0"/>
    <n v="0"/>
    <n v="0"/>
    <n v="0"/>
    <n v="11598"/>
    <n v="0"/>
    <n v="0"/>
    <n v="29"/>
    <n v="0"/>
  </r>
  <r>
    <x v="567"/>
    <s v="Gomukh Kant"/>
    <s v="MPG"/>
    <s v="Direct"/>
    <n v="450.00000000000006"/>
    <n v="19814.826946362402"/>
    <n v="451.00000000000006"/>
    <n v="22541.041096938148"/>
    <n v="1.7999999999999998"/>
    <n v="84.735945601870014"/>
    <n v="452.80000000000007"/>
    <n v="22625.777042540019"/>
    <n v="19814.826946362402"/>
    <n v="0"/>
    <n v="84.735945601870014"/>
    <n v="2810.9500961776175"/>
    <n v="0"/>
    <n v="500"/>
    <n v="0"/>
    <n v="19230"/>
    <n v="0"/>
    <n v="0"/>
    <n v="0"/>
    <n v="0"/>
  </r>
  <r>
    <x v="568"/>
    <s v="Gomukh Naat"/>
    <s v="MPG"/>
    <s v="Direct"/>
    <n v="154.60000000000002"/>
    <n v="6289.2358490340002"/>
    <n v="160.85"/>
    <n v="6633.8130713750998"/>
    <n v="0"/>
    <n v="0"/>
    <n v="160.85"/>
    <n v="6633.8130713750998"/>
    <n v="6289.2358490340002"/>
    <n v="0"/>
    <n v="0"/>
    <n v="344.57722234109951"/>
    <n v="0"/>
    <n v="0"/>
    <n v="0"/>
    <n v="6289"/>
    <n v="0"/>
    <n v="0"/>
    <n v="0"/>
    <n v="0"/>
  </r>
  <r>
    <x v="569"/>
    <s v="Gomukh Raghunathpur"/>
    <s v="MPG"/>
    <s v="Direct"/>
    <n v="428.2"/>
    <n v="16112.121479430001"/>
    <n v="422.7"/>
    <n v="15797.328874634401"/>
    <n v="6.9"/>
    <n v="245.43134700750005"/>
    <n v="429.59999999999997"/>
    <n v="16042.7602216419"/>
    <n v="16042.7602216419"/>
    <n v="0"/>
    <n v="245.43134700750005"/>
    <n v="0"/>
    <n v="0"/>
    <n v="0"/>
    <n v="0"/>
    <n v="15797"/>
    <n v="0"/>
    <n v="0"/>
    <n v="70"/>
    <n v="0"/>
  </r>
  <r>
    <x v="570"/>
    <s v="Gomukh Tilakraika Hata 1 - Manoj"/>
    <s v="vlc"/>
    <s v="Indirect"/>
    <n v="2050.6999999999998"/>
    <n v="72135.166154760009"/>
    <n v="0"/>
    <n v="0"/>
    <n v="0"/>
    <n v="0"/>
    <n v="0"/>
    <n v="0"/>
    <n v="72135.166154760009"/>
    <n v="0"/>
    <n v="0"/>
    <n v="0"/>
    <n v="0"/>
    <n v="0"/>
    <n v="0"/>
    <n v="0"/>
    <n v="0"/>
    <n v="72135.166154760009"/>
    <n v="0"/>
    <n v="0"/>
  </r>
  <r>
    <x v="571"/>
    <s v="Gomukh Murar"/>
    <s v="MPG"/>
    <s v="Direct"/>
    <n v="704.40000000000009"/>
    <n v="28616.314017921006"/>
    <n v="503.59999999999997"/>
    <n v="20576.860070475999"/>
    <n v="272.39999999999998"/>
    <n v="12609.91852548259"/>
    <n v="776"/>
    <n v="33186.778595958589"/>
    <n v="28616.314017921006"/>
    <n v="0"/>
    <n v="193.64001715620003"/>
    <n v="4570.4645780375831"/>
    <n v="0"/>
    <n v="0"/>
    <n v="0"/>
    <n v="16006"/>
    <n v="12416"/>
    <n v="0"/>
    <n v="1"/>
    <n v="0"/>
  </r>
  <r>
    <x v="572"/>
    <s v="Gomukh Churamanpur                                                                                  "/>
    <s v="MPG"/>
    <s v="Direct"/>
    <n v="254.5"/>
    <n v="9477.5929015199999"/>
    <n v="280.08999999999997"/>
    <n v="10981.917592869351"/>
    <n v="0"/>
    <n v="0"/>
    <n v="280.08999999999997"/>
    <n v="10981.917592869351"/>
    <n v="9477.5929015199999"/>
    <n v="0"/>
    <n v="0"/>
    <n v="1504.3246913493513"/>
    <n v="0"/>
    <n v="0"/>
    <n v="0"/>
    <n v="9478"/>
    <n v="0"/>
    <n v="0"/>
    <n v="0"/>
    <s v="Release1"/>
  </r>
  <r>
    <x v="573"/>
    <s v="Gomukh Ekauni Karuwaj"/>
    <s v="MPG"/>
    <s v="Direct"/>
    <n v="628.90000000000009"/>
    <n v="27233.104456973702"/>
    <n v="163.20000000000002"/>
    <n v="6872.8008317978001"/>
    <n v="465.3"/>
    <n v="20704.798244659403"/>
    <n v="628.5"/>
    <n v="27577.599076457205"/>
    <n v="27233.104456973702"/>
    <n v="0"/>
    <n v="0"/>
    <n v="344.4946194835029"/>
    <n v="0"/>
    <n v="0"/>
    <n v="0"/>
    <n v="6528"/>
    <n v="20705"/>
    <n v="0"/>
    <n v="0"/>
    <n v="0"/>
  </r>
  <r>
    <x v="574"/>
    <s v="Kulharia Agriculture Producer Company Limited"/>
    <s v="MPG"/>
    <s v="Direct"/>
    <n v="1469.3"/>
    <n v="57793.736362821204"/>
    <n v="1448.7199999999998"/>
    <n v="57428.247861683216"/>
    <n v="13.139999999999999"/>
    <n v="505.88839888799998"/>
    <n v="1461.86"/>
    <n v="57934.136260571213"/>
    <n v="57793.736362821204"/>
    <n v="0"/>
    <n v="505.88839888799998"/>
    <n v="140.39989775000868"/>
    <n v="32400"/>
    <n v="0"/>
    <n v="0"/>
    <n v="24888"/>
    <n v="0"/>
    <n v="0"/>
    <n v="0"/>
    <n v="0"/>
  </r>
  <r>
    <x v="575"/>
    <s v="Gomukh Dhakaich"/>
    <s v="MPG"/>
    <s v="Direct"/>
    <n v="162.9"/>
    <n v="5759.7193438800014"/>
    <n v="189.08"/>
    <n v="6681.2445096141"/>
    <n v="0"/>
    <n v="0"/>
    <n v="189.08"/>
    <n v="6681.2445096141"/>
    <n v="5759.7193438800014"/>
    <n v="0"/>
    <n v="0"/>
    <n v="921.52516573409866"/>
    <n v="351"/>
    <n v="0"/>
    <n v="0"/>
    <n v="5409"/>
    <n v="0"/>
    <n v="0"/>
    <n v="0"/>
    <n v="0"/>
  </r>
  <r>
    <x v="576"/>
    <s v="Gomukh Kajipura Chandan"/>
    <s v="vlc"/>
    <s v="Indirect"/>
    <n v="485.2"/>
    <n v="18122.575211400006"/>
    <n v="0"/>
    <n v="0"/>
    <n v="0"/>
    <n v="0"/>
    <n v="0"/>
    <n v="0"/>
    <n v="18122.575211400006"/>
    <n v="0"/>
    <n v="0"/>
    <n v="0"/>
    <n v="0"/>
    <n v="0"/>
    <n v="0"/>
    <n v="0"/>
    <n v="0"/>
    <n v="18122.575211400006"/>
    <n v="0"/>
    <n v="0"/>
  </r>
  <r>
    <x v="577"/>
    <s v="Gomukh Sikraul Lakh"/>
    <s v="MPG"/>
    <s v="Direct"/>
    <n v="316.7"/>
    <n v="13001.356410150001"/>
    <n v="311.13"/>
    <n v="12946.917166587002"/>
    <n v="5.64"/>
    <n v="222.87306477915001"/>
    <n v="316.77"/>
    <n v="13169.790231366153"/>
    <n v="13001.356410150001"/>
    <n v="0"/>
    <n v="222.87306477915001"/>
    <n v="168.43382121615105"/>
    <n v="5120"/>
    <n v="0"/>
    <n v="0"/>
    <n v="7658"/>
    <n v="0"/>
    <n v="0"/>
    <n v="0"/>
    <n v="0"/>
  </r>
  <r>
    <x v="578"/>
    <s v="Gomukh Dafadihari"/>
    <s v="MPG"/>
    <s v="Direct"/>
    <n v="153.69999999999999"/>
    <n v="5324.3994175200014"/>
    <n v="194.70999999999998"/>
    <n v="7296.7245025656748"/>
    <n v="4.0000000000000018"/>
    <n v="151.11388562999997"/>
    <n v="198.70999999999998"/>
    <n v="7447.8383881956752"/>
    <n v="5324.3994175200014"/>
    <n v="0"/>
    <n v="151.11388562999997"/>
    <n v="2123.4389706756738"/>
    <n v="0"/>
    <n v="0"/>
    <n v="0"/>
    <n v="5173"/>
    <n v="0"/>
    <n v="0"/>
    <n v="0"/>
    <s v="Release1"/>
  </r>
  <r>
    <x v="579"/>
    <s v="Gomukh Paharpur"/>
    <s v="MPG"/>
    <s v="Direct"/>
    <n v="131.60000000000002"/>
    <n v="4415.6023378620002"/>
    <n v="130"/>
    <n v="4409.2245600000006"/>
    <n v="0"/>
    <n v="0"/>
    <n v="130"/>
    <n v="4409.2245600000006"/>
    <n v="4409.2245600000006"/>
    <n v="0"/>
    <n v="0"/>
    <n v="0"/>
    <n v="0"/>
    <n v="500"/>
    <n v="0"/>
    <n v="3909"/>
    <n v="0"/>
    <n v="0"/>
    <n v="7"/>
    <n v="0"/>
  </r>
  <r>
    <x v="580"/>
    <s v="Gomukh Basaon Kalan"/>
    <s v="MPG"/>
    <s v="Direct"/>
    <n v="137.6"/>
    <n v="4674.2841387495"/>
    <n v="137"/>
    <n v="4621.247604000001"/>
    <n v="0"/>
    <n v="0"/>
    <n v="137"/>
    <n v="4621.247604000001"/>
    <n v="4621.247604000001"/>
    <n v="0"/>
    <n v="0"/>
    <n v="0"/>
    <n v="0"/>
    <n v="0"/>
    <n v="0"/>
    <n v="4621"/>
    <n v="0"/>
    <n v="0"/>
    <n v="53"/>
    <n v="0"/>
  </r>
  <r>
    <x v="581"/>
    <s v="Gomukh Mangolpur"/>
    <s v="MPG"/>
    <s v="Direct"/>
    <n v="342.7"/>
    <n v="11620.792348500001"/>
    <n v="341.3"/>
    <n v="11991.530258475961"/>
    <n v="5.2"/>
    <n v="177.58636113000003"/>
    <n v="346.5"/>
    <n v="12169.11661960596"/>
    <n v="11620.792348500001"/>
    <n v="0"/>
    <n v="177.58636113000003"/>
    <n v="548.32427110595927"/>
    <n v="0"/>
    <n v="0"/>
    <n v="0"/>
    <n v="11443"/>
    <n v="0"/>
    <n v="0"/>
    <n v="0"/>
    <n v="0"/>
  </r>
  <r>
    <x v="582"/>
    <s v="Gomukh Dhanipur"/>
    <s v="MPG"/>
    <s v="Direct"/>
    <n v="164.20000000000005"/>
    <n v="6256.0677483000018"/>
    <n v="164.95"/>
    <n v="6906.0993398413502"/>
    <n v="0"/>
    <n v="0"/>
    <n v="164.95"/>
    <n v="6906.0993398413502"/>
    <n v="6256.0677483000018"/>
    <n v="0"/>
    <n v="0"/>
    <n v="650.03159154134846"/>
    <n v="0"/>
    <n v="0"/>
    <n v="0"/>
    <n v="6256"/>
    <n v="0"/>
    <n v="0"/>
    <n v="0"/>
    <n v="0"/>
  </r>
  <r>
    <x v="583"/>
    <s v="Gomukh Rakshanagar_tola"/>
    <s v="MPG"/>
    <s v="Direct"/>
    <n v="758.6"/>
    <n v="29757.436684562203"/>
    <n v="816.60000000000014"/>
    <n v="32118.034602805681"/>
    <n v="0"/>
    <n v="0"/>
    <n v="816.60000000000014"/>
    <n v="32118.034602805681"/>
    <n v="29757.436684562203"/>
    <n v="0"/>
    <n v="0"/>
    <n v="2360.5979182434785"/>
    <n v="0"/>
    <n v="0"/>
    <n v="0"/>
    <n v="29757"/>
    <n v="0"/>
    <n v="0"/>
    <n v="0"/>
    <n v="0"/>
  </r>
  <r>
    <x v="584"/>
    <s v="Gomukh Nadaon"/>
    <s v="MPG"/>
    <s v="Direct"/>
    <n v="221.5"/>
    <n v="6844.168354261501"/>
    <n v="140"/>
    <n v="5978.7218400000002"/>
    <n v="40.9"/>
    <n v="1783.4112757500002"/>
    <n v="180.9"/>
    <n v="7762.1331157500008"/>
    <n v="6844.168354261501"/>
    <n v="0"/>
    <n v="1783.4112757500002"/>
    <n v="917.96476148849979"/>
    <n v="0"/>
    <n v="500"/>
    <n v="0"/>
    <n v="4561"/>
    <n v="0"/>
    <n v="0"/>
    <n v="0"/>
    <n v="0"/>
  </r>
  <r>
    <x v="585"/>
    <s v="Gomukh Bimhnath Girdhar Baraw"/>
    <s v="vlc"/>
    <s v="Indirect"/>
    <n v="308.20000000000005"/>
    <n v="14672.646759474999"/>
    <n v="0"/>
    <n v="0"/>
    <n v="0"/>
    <n v="0"/>
    <n v="0"/>
    <n v="0"/>
    <n v="14672.646759474999"/>
    <n v="0"/>
    <n v="0"/>
    <n v="0"/>
    <n v="0"/>
    <n v="0"/>
    <n v="0"/>
    <n v="0"/>
    <n v="0"/>
    <n v="14672.646759474999"/>
    <n v="0"/>
    <n v="0"/>
  </r>
  <r>
    <x v="586"/>
    <s v="Gomukh Mathuradera Upendra "/>
    <s v="vlc"/>
    <s v="Indirect"/>
    <n v="355.89999999999992"/>
    <n v="14298.877196670002"/>
    <n v="0"/>
    <n v="0"/>
    <n v="0"/>
    <n v="0"/>
    <n v="0"/>
    <n v="0"/>
    <n v="14298.877196670002"/>
    <n v="0"/>
    <n v="0"/>
    <n v="0"/>
    <n v="0"/>
    <n v="0"/>
    <n v="0"/>
    <n v="0"/>
    <n v="0"/>
    <n v="14298.877196670002"/>
    <n v="0"/>
    <n v="0"/>
  </r>
  <r>
    <x v="587"/>
    <s v="Gomukh Badkagaon Yamunatola"/>
    <s v="MPG"/>
    <s v="Direct"/>
    <n v="25.200000000000003"/>
    <n v="938.24852994000003"/>
    <n v="24.3"/>
    <n v="899.44099845000017"/>
    <n v="0.4"/>
    <n v="16.2495726"/>
    <n v="24.7"/>
    <n v="915.69057105000013"/>
    <n v="915.69057105000013"/>
    <n v="0"/>
    <n v="16.2495726"/>
    <n v="0"/>
    <n v="0"/>
    <n v="500"/>
    <n v="0"/>
    <n v="399"/>
    <n v="0"/>
    <n v="0"/>
    <n v="23"/>
    <n v="0"/>
  </r>
  <r>
    <x v="588"/>
    <s v="Gomukh Bramhpur"/>
    <s v="MPG"/>
    <s v="Direct"/>
    <n v="175.10000000000002"/>
    <n v="5992.6146930000004"/>
    <n v="188.9"/>
    <n v="6851.8968967050005"/>
    <n v="0"/>
    <n v="0"/>
    <n v="188.9"/>
    <n v="6851.8968967050005"/>
    <n v="5992.6146930000004"/>
    <n v="0"/>
    <n v="0"/>
    <n v="859.28220370500003"/>
    <n v="0"/>
    <n v="500"/>
    <n v="0"/>
    <n v="5493"/>
    <n v="0"/>
    <n v="0"/>
    <n v="0"/>
    <n v="0"/>
  </r>
  <r>
    <x v="589"/>
    <s v="Gomukh Mashariya"/>
    <s v="MPG"/>
    <s v="Direct"/>
    <n v="891.80000000000007"/>
    <n v="36632.094522561696"/>
    <n v="614.01"/>
    <n v="26444.388982341596"/>
    <n v="353.9"/>
    <n v="14190.000648247864"/>
    <n v="967.91"/>
    <n v="40634.38963058946"/>
    <n v="36632.094522561696"/>
    <n v="0"/>
    <n v="1234.2247884905391"/>
    <n v="4002.2951080277635"/>
    <n v="0"/>
    <n v="0"/>
    <n v="0"/>
    <n v="22443"/>
    <n v="12955"/>
    <n v="0"/>
    <n v="0"/>
    <n v="0"/>
  </r>
  <r>
    <x v="590"/>
    <s v="Gomukh Basawkala Sudhir Kumar"/>
    <s v="vlc"/>
    <s v="Indirect"/>
    <n v="496.40000000000003"/>
    <n v="23255.093710387901"/>
    <n v="0"/>
    <n v="0"/>
    <n v="0"/>
    <n v="0"/>
    <n v="0"/>
    <n v="0"/>
    <n v="23255.093710387901"/>
    <n v="0"/>
    <n v="0"/>
    <n v="0"/>
    <n v="0"/>
    <n v="0"/>
    <n v="0"/>
    <n v="0"/>
    <n v="0"/>
    <n v="23255.093710387901"/>
    <n v="0"/>
    <n v="0"/>
  </r>
  <r>
    <x v="591"/>
    <s v="Gomukh KritSagar"/>
    <s v="MPG"/>
    <s v="Direct"/>
    <n v="344.3"/>
    <n v="14668.602653640002"/>
    <n v="344"/>
    <n v="14584.286436000002"/>
    <n v="0"/>
    <n v="0"/>
    <n v="344"/>
    <n v="14584.286436000002"/>
    <n v="14584.286436000002"/>
    <n v="0"/>
    <n v="0"/>
    <n v="0"/>
    <n v="0"/>
    <n v="0"/>
    <n v="0"/>
    <n v="14584"/>
    <n v="0"/>
    <n v="0"/>
    <n v="85"/>
    <n v="0"/>
  </r>
  <r>
    <x v="592"/>
    <s v="Gomukh Navdera Jaipraksh"/>
    <s v="vlc"/>
    <s v="Indirect"/>
    <n v="1275.9000000000001"/>
    <n v="49262.054544150298"/>
    <n v="0"/>
    <n v="0"/>
    <n v="0"/>
    <n v="0"/>
    <n v="0"/>
    <n v="0"/>
    <n v="49262.054544150298"/>
    <n v="0"/>
    <n v="0"/>
    <n v="0"/>
    <n v="0"/>
    <n v="0"/>
    <n v="0"/>
    <n v="0"/>
    <n v="0"/>
    <n v="49262.054544150298"/>
    <n v="0"/>
    <n v="0"/>
  </r>
  <r>
    <x v="593"/>
    <s v="Gomukh Ataon"/>
    <s v="MPG"/>
    <s v="Direct"/>
    <n v="546.50000000000011"/>
    <n v="24161.563180404803"/>
    <n v="602.41999999999996"/>
    <n v="26940.919970480158"/>
    <n v="0"/>
    <n v="0"/>
    <n v="602.41999999999996"/>
    <n v="26940.919970480158"/>
    <n v="24161.563180404803"/>
    <n v="0"/>
    <n v="0"/>
    <n v="2779.3567900753551"/>
    <n v="0"/>
    <n v="0"/>
    <n v="0"/>
    <n v="24162"/>
    <n v="0"/>
    <n v="0"/>
    <n v="0"/>
    <s v="Release1"/>
  </r>
  <r>
    <x v="1026"/>
    <s v="Gomukh Mukhiyadera "/>
    <s v="MPG"/>
    <s v="Direct"/>
    <n v="357.9"/>
    <n v="13408.112079300001"/>
    <n v="344"/>
    <n v="13388.862528000003"/>
    <n v="0"/>
    <n v="0"/>
    <n v="344"/>
    <n v="13388.862528000003"/>
    <n v="13388.862528000003"/>
    <n v="0"/>
    <n v="0"/>
    <n v="0"/>
    <n v="0"/>
    <n v="0"/>
    <n v="0"/>
    <n v="13389"/>
    <n v="0"/>
    <n v="0"/>
    <n v="19"/>
    <n v="0"/>
  </r>
  <r>
    <x v="594"/>
    <s v="Gumukh Gayghat"/>
    <s v="MPG"/>
    <s v="Direct"/>
    <n v="658.69999999999993"/>
    <n v="24452.497247340001"/>
    <n v="657.7600000000001"/>
    <n v="27225.654804343441"/>
    <n v="0"/>
    <n v="0"/>
    <n v="657.7600000000001"/>
    <n v="27225.654804343441"/>
    <n v="24452.497247340001"/>
    <n v="0"/>
    <n v="0"/>
    <n v="2773.1575570034402"/>
    <n v="0"/>
    <n v="0"/>
    <n v="0"/>
    <n v="24452"/>
    <n v="0"/>
    <n v="0"/>
    <n v="0"/>
    <s v="Release1"/>
  </r>
  <r>
    <x v="596"/>
    <s v="Gomukh Chakki Janardan Yadav"/>
    <s v="vlc"/>
    <s v="Indirect"/>
    <n v="286.39999999999998"/>
    <n v="10819.131339150001"/>
    <n v="0"/>
    <n v="0"/>
    <n v="0"/>
    <n v="0"/>
    <n v="0"/>
    <n v="0"/>
    <n v="10819.131339150001"/>
    <n v="0"/>
    <n v="0"/>
    <n v="0"/>
    <n v="0"/>
    <n v="0"/>
    <n v="0"/>
    <n v="0"/>
    <n v="0"/>
    <n v="10819.131339150001"/>
    <n v="0"/>
    <n v="0"/>
  </r>
  <r>
    <x v="597"/>
    <s v="Gomukh Rajpur"/>
    <s v="MPG"/>
    <s v="Direct"/>
    <n v="1156.8999999999999"/>
    <n v="45857.989285050004"/>
    <n v="1152.2099999999996"/>
    <n v="45296.700287778687"/>
    <n v="15.6"/>
    <n v="635.89686144300003"/>
    <n v="1167.8099999999995"/>
    <n v="45932.597149221685"/>
    <n v="45857.989285050004"/>
    <n v="0"/>
    <n v="635.89686144300003"/>
    <n v="74.607864171681285"/>
    <n v="0"/>
    <n v="0"/>
    <n v="0"/>
    <n v="45222"/>
    <n v="0"/>
    <n v="0"/>
    <n v="0"/>
    <n v="0"/>
  </r>
  <r>
    <x v="598"/>
    <s v="Gomukh Gangauli Dubha"/>
    <s v="MPG"/>
    <s v="Direct"/>
    <n v="138.5"/>
    <n v="5515.5150615300017"/>
    <n v="140.1"/>
    <n v="5442.5306529000009"/>
    <n v="2.5"/>
    <n v="100.02991866000001"/>
    <n v="142.6"/>
    <n v="5542.5605715600004"/>
    <n v="5515.5150615300017"/>
    <n v="0"/>
    <n v="100.02991866000001"/>
    <n v="27.045510029998695"/>
    <n v="2560"/>
    <n v="0"/>
    <n v="0"/>
    <n v="2855"/>
    <n v="0"/>
    <n v="0"/>
    <n v="0"/>
    <n v="0"/>
  </r>
  <r>
    <x v="600"/>
    <s v="Gomukh Jagdishpur"/>
    <s v="MPG"/>
    <s v="Direct"/>
    <n v="669.49999999999989"/>
    <n v="22968.441060658501"/>
    <n v="668"/>
    <n v="22935.186816000001"/>
    <n v="0"/>
    <n v="0"/>
    <n v="668"/>
    <n v="22935.186816000001"/>
    <n v="22935.186816000001"/>
    <n v="0"/>
    <n v="0"/>
    <n v="0"/>
    <n v="6400"/>
    <n v="0"/>
    <n v="0"/>
    <n v="16535"/>
    <n v="0"/>
    <n v="0"/>
    <n v="33"/>
    <n v="0"/>
  </r>
  <r>
    <x v="1000"/>
    <s v="Gumukh Chakaura Rohit"/>
    <s v="vlc"/>
    <s v="Indirect"/>
    <n v="393.40000000000003"/>
    <n v="14698.187738370005"/>
    <n v="0"/>
    <n v="0"/>
    <n v="0"/>
    <n v="0"/>
    <n v="0"/>
    <n v="0"/>
    <n v="14698.187738370005"/>
    <n v="0"/>
    <n v="0"/>
    <n v="0"/>
    <n v="0"/>
    <n v="0"/>
    <n v="0"/>
    <n v="0"/>
    <n v="0"/>
    <n v="14698.187738370005"/>
    <n v="0"/>
    <n v="0"/>
  </r>
  <r>
    <x v="1027"/>
    <s v="Gumukk JP Dera"/>
    <s v="vlc"/>
    <s v="Indirect"/>
    <n v="328"/>
    <n v="12633.054732060002"/>
    <n v="0"/>
    <n v="0"/>
    <n v="0"/>
    <n v="0"/>
    <n v="0"/>
    <n v="0"/>
    <n v="12633.054732060002"/>
    <n v="0"/>
    <n v="0"/>
    <n v="0"/>
    <n v="0"/>
    <n v="0"/>
    <n v="0"/>
    <n v="0"/>
    <n v="0"/>
    <n v="12633.054732060002"/>
    <n v="0"/>
    <n v="0"/>
  </r>
  <r>
    <x v="1001"/>
    <s v="Gaya Jee Pathak"/>
    <s v="vlc"/>
    <s v="Indirect"/>
    <n v="844.4"/>
    <n v="29178.809217720001"/>
    <n v="0"/>
    <n v="0"/>
    <n v="0"/>
    <n v="0"/>
    <n v="0"/>
    <n v="0"/>
    <n v="29178.809217720001"/>
    <n v="0"/>
    <n v="0"/>
    <n v="0"/>
    <n v="0"/>
    <n v="0"/>
    <n v="0"/>
    <n v="0"/>
    <n v="0"/>
    <n v="29178.809217720001"/>
    <n v="0"/>
    <n v="0"/>
  </r>
  <r>
    <x v="601"/>
    <s v="Gumukh Orap Khurd"/>
    <s v="MPG"/>
    <s v="Direct"/>
    <n v="528.5"/>
    <n v="20079.949709339999"/>
    <n v="527.19000000000005"/>
    <n v="20143.021951440001"/>
    <n v="0"/>
    <n v="0"/>
    <n v="527.19000000000005"/>
    <n v="20143.021951440001"/>
    <n v="20079.949709339999"/>
    <n v="0"/>
    <n v="0"/>
    <n v="63.072242100002768"/>
    <n v="0"/>
    <n v="0"/>
    <n v="0"/>
    <n v="20080"/>
    <n v="0"/>
    <n v="0"/>
    <n v="0"/>
    <n v="0"/>
  </r>
  <r>
    <x v="602"/>
    <s v="Gomukh Daunpura Manendra"/>
    <s v="vlc"/>
    <s v="Indirect"/>
    <n v="401.4"/>
    <n v="15343.070640270003"/>
    <n v="0"/>
    <n v="0"/>
    <n v="0"/>
    <n v="0"/>
    <n v="0"/>
    <n v="0"/>
    <n v="15343.070640270003"/>
    <n v="0"/>
    <n v="0"/>
    <n v="0"/>
    <n v="0"/>
    <n v="0"/>
    <n v="0"/>
    <n v="0"/>
    <n v="0"/>
    <n v="15343.070640270003"/>
    <n v="0"/>
    <n v="0"/>
  </r>
  <r>
    <x v="603"/>
    <s v="Gumukh Mathiyapur"/>
    <s v="MPG"/>
    <s v="Direct"/>
    <n v="224.4"/>
    <n v="8849.0874943200015"/>
    <n v="224.33999999999997"/>
    <n v="8850.8611254060015"/>
    <n v="0"/>
    <n v="0"/>
    <n v="224.33999999999997"/>
    <n v="8850.8611254060015"/>
    <n v="8849.0874943200015"/>
    <n v="0"/>
    <n v="0"/>
    <n v="1.7736310860000231"/>
    <n v="0"/>
    <n v="0"/>
    <n v="0"/>
    <n v="8849"/>
    <n v="0"/>
    <n v="0"/>
    <n v="0"/>
    <n v="0"/>
  </r>
  <r>
    <x v="604"/>
    <s v="Gomukh Raghunathpur Dasrath"/>
    <s v="vlc"/>
    <s v="Indirect"/>
    <n v="797.9"/>
    <n v="32178.729961450008"/>
    <n v="0"/>
    <n v="0"/>
    <n v="0"/>
    <n v="0"/>
    <n v="0"/>
    <n v="0"/>
    <n v="32178.729961450008"/>
    <n v="0"/>
    <n v="0"/>
    <n v="0"/>
    <n v="3800"/>
    <n v="0"/>
    <n v="0"/>
    <n v="0"/>
    <n v="0"/>
    <n v="28378.729961450008"/>
    <n v="0"/>
    <n v="0"/>
  </r>
  <r>
    <x v="605"/>
    <s v="Gomukh Lakshman Dera Raja"/>
    <s v="vlc"/>
    <s v="Indirect"/>
    <n v="228.59999999999997"/>
    <n v="7648.7275440000012"/>
    <n v="0"/>
    <n v="0"/>
    <n v="0"/>
    <n v="0"/>
    <n v="0"/>
    <n v="0"/>
    <n v="7648.7275440000012"/>
    <n v="0"/>
    <n v="0"/>
    <n v="0"/>
    <n v="0"/>
    <n v="0"/>
    <n v="0"/>
    <n v="0"/>
    <n v="0"/>
    <n v="7648.7275440000012"/>
    <n v="0"/>
    <n v="0"/>
  </r>
  <r>
    <x v="940"/>
    <s v="Sohan Narayan Farmer Dairy Producer Company Ltd"/>
    <s v="vlc"/>
    <s v="Indirect"/>
    <n v="2137.6999999999998"/>
    <n v="79229.131242060001"/>
    <n v="0"/>
    <n v="0"/>
    <n v="0"/>
    <n v="0"/>
    <n v="0"/>
    <n v="0"/>
    <n v="79229.131242060001"/>
    <n v="0"/>
    <n v="0"/>
    <n v="0"/>
    <n v="0"/>
    <n v="0"/>
    <n v="0"/>
    <n v="0"/>
    <n v="0"/>
    <n v="79229.131242060001"/>
    <n v="0"/>
    <n v="0"/>
  </r>
  <r>
    <x v="606"/>
    <s v="Gomukh Arion Govind "/>
    <s v="vlc"/>
    <s v="Indirect"/>
    <n v="39.5"/>
    <n v="1680.7928535000001"/>
    <n v="0"/>
    <n v="0"/>
    <n v="0"/>
    <n v="0"/>
    <n v="0"/>
    <n v="0"/>
    <n v="1680.7928535000001"/>
    <n v="0"/>
    <n v="0"/>
    <n v="0"/>
    <n v="0"/>
    <n v="0"/>
    <n v="0"/>
    <n v="0"/>
    <n v="0"/>
    <n v="1680.7928535000001"/>
    <n v="0"/>
    <n v="0"/>
  </r>
  <r>
    <x v="607"/>
    <s v="Gumukh Niyajipur Nakchhedi Pathak Dera"/>
    <s v="MPG"/>
    <s v="Direct"/>
    <n v="300.79999999999995"/>
    <n v="14654.628844125002"/>
    <n v="293.00000000000006"/>
    <n v="14692.876482410002"/>
    <n v="0"/>
    <n v="0"/>
    <n v="293.00000000000006"/>
    <n v="14692.876482410002"/>
    <n v="14654.628844125002"/>
    <n v="0"/>
    <n v="0"/>
    <n v="38.247638284999994"/>
    <n v="0"/>
    <n v="0"/>
    <n v="0"/>
    <n v="14655"/>
    <n v="0"/>
    <n v="0"/>
    <n v="0"/>
    <n v="0"/>
  </r>
  <r>
    <x v="608"/>
    <s v="Gumukh Basawkala Dahpura Tola"/>
    <s v="MPG"/>
    <s v="Direct"/>
    <n v="629.60000000000014"/>
    <n v="25839.70061641061"/>
    <n v="629"/>
    <n v="25792.870677299998"/>
    <n v="0"/>
    <n v="0"/>
    <n v="629"/>
    <n v="25792.870677299998"/>
    <n v="25792.870677299998"/>
    <n v="0"/>
    <n v="0"/>
    <n v="0"/>
    <n v="0"/>
    <n v="0"/>
    <n v="0"/>
    <n v="25793"/>
    <n v="0"/>
    <n v="0"/>
    <n v="47"/>
    <n v="0"/>
  </r>
  <r>
    <x v="609"/>
    <s v="Gaachhi Tola"/>
    <s v="vlc"/>
    <s v="Indirect"/>
    <n v="842.69999999999993"/>
    <n v="35213.774501850006"/>
    <n v="0"/>
    <n v="0"/>
    <n v="0"/>
    <n v="0"/>
    <n v="0"/>
    <n v="0"/>
    <n v="35213.774501850006"/>
    <n v="0"/>
    <n v="0"/>
    <n v="0"/>
    <n v="0"/>
    <n v="0"/>
    <n v="0"/>
    <n v="0"/>
    <n v="0"/>
    <n v="35213.774501850006"/>
    <n v="0"/>
    <n v="0"/>
  </r>
  <r>
    <x v="1002"/>
    <s v="SHIVNAR-2"/>
    <s v="RMC"/>
    <s v="Direct"/>
    <n v="437"/>
    <n v="15978.929472000002"/>
    <n v="437"/>
    <n v="15978.929472000002"/>
    <n v="0"/>
    <n v="0"/>
    <n v="437"/>
    <n v="15978.929472000002"/>
    <n v="15978.929472000002"/>
    <n v="0"/>
    <n v="0"/>
    <n v="0"/>
    <n v="0"/>
    <n v="0"/>
    <n v="0"/>
    <n v="15979"/>
    <n v="0"/>
    <n v="0"/>
    <n v="0"/>
    <n v="0"/>
  </r>
  <r>
    <x v="611"/>
    <s v="KUMARPUIR KATHARA"/>
    <s v="RMC"/>
    <s v="Direct"/>
    <n v="1637"/>
    <n v="60669.800616000008"/>
    <n v="1676.6"/>
    <n v="59544.053219532165"/>
    <n v="22.200000000000003"/>
    <n v="1106.58739883727"/>
    <n v="1698.8"/>
    <n v="60650.640618369434"/>
    <n v="60650.640618369434"/>
    <n v="0"/>
    <n v="1106.58739883727"/>
    <n v="0"/>
    <n v="0"/>
    <n v="0"/>
    <n v="0"/>
    <n v="59544"/>
    <n v="0"/>
    <n v="0"/>
    <n v="19"/>
    <n v="0"/>
  </r>
  <r>
    <x v="612"/>
    <s v="KUDHIYA MPG"/>
    <s v="RMC"/>
    <s v="Direct"/>
    <n v="1957.75"/>
    <n v="84599.549147241152"/>
    <n v="1954.8000000000002"/>
    <n v="84547.997653067025"/>
    <n v="10"/>
    <n v="418.42125180000005"/>
    <n v="1964.8000000000002"/>
    <n v="84966.418904867023"/>
    <n v="84599.549147241152"/>
    <n v="0"/>
    <n v="418.42125180000005"/>
    <n v="366.86975762587099"/>
    <n v="0"/>
    <n v="0"/>
    <n v="0"/>
    <n v="84181"/>
    <n v="0"/>
    <n v="0"/>
    <n v="0"/>
    <n v="0"/>
  </r>
  <r>
    <x v="613"/>
    <s v="SHAHJADPUR MPG"/>
    <s v="RMC"/>
    <s v="Direct"/>
    <n v="1425.4999999999998"/>
    <n v="54287.484371385006"/>
    <n v="1523.6000000000001"/>
    <n v="66146.415784012061"/>
    <n v="7.299999999999998"/>
    <n v="308.31499440000005"/>
    <n v="1530.9"/>
    <n v="66454.730778412064"/>
    <n v="54287.484371385006"/>
    <n v="0"/>
    <n v="308.31499440000005"/>
    <n v="12167.246407027058"/>
    <n v="0"/>
    <n v="0"/>
    <n v="0"/>
    <n v="53979"/>
    <n v="0"/>
    <n v="0"/>
    <n v="0"/>
    <s v="Release1"/>
  </r>
  <r>
    <x v="614"/>
    <s v="FARDA - 3"/>
    <s v="RMC"/>
    <s v="Direct"/>
    <n v="2254"/>
    <n v="76764.399909507003"/>
    <n v="1079.2"/>
    <n v="38330.741403888002"/>
    <n v="1174.7999999999997"/>
    <n v="39240.215111847006"/>
    <n v="2254"/>
    <n v="77570.956515735015"/>
    <n v="76764.399909507003"/>
    <n v="0"/>
    <n v="352.886444547"/>
    <n v="806.55660622801224"/>
    <n v="0"/>
    <n v="0"/>
    <n v="0"/>
    <n v="37524"/>
    <n v="38887"/>
    <n v="0"/>
    <n v="1"/>
    <n v="0"/>
  </r>
  <r>
    <x v="615"/>
    <s v="CHANDANPURA"/>
    <s v="vlc"/>
    <s v="Indirect"/>
    <n v="1253.1999999999998"/>
    <n v="49779.709609620004"/>
    <n v="0"/>
    <n v="0"/>
    <n v="0"/>
    <n v="0"/>
    <n v="0"/>
    <n v="0"/>
    <n v="49779.709609620004"/>
    <n v="0"/>
    <n v="0"/>
    <n v="0"/>
    <n v="0"/>
    <n v="0"/>
    <n v="0"/>
    <n v="0"/>
    <n v="0"/>
    <n v="49779.709609620004"/>
    <n v="0"/>
    <n v="0"/>
  </r>
  <r>
    <x v="616"/>
    <s v="MANIKPUR"/>
    <s v="RMC"/>
    <s v="Direct"/>
    <n v="967.69999999999993"/>
    <n v="37429.781795067007"/>
    <n v="0"/>
    <n v="0"/>
    <n v="992"/>
    <n v="38363.64718150501"/>
    <n v="992"/>
    <n v="38363.64718150501"/>
    <n v="37429.781795067007"/>
    <n v="0"/>
    <n v="231.96652861500004"/>
    <n v="933.86538643800304"/>
    <n v="0"/>
    <n v="0"/>
    <n v="0"/>
    <n v="0"/>
    <n v="37198"/>
    <n v="0"/>
    <n v="0"/>
    <s v="Release1"/>
  </r>
  <r>
    <x v="617"/>
    <s v="JAKARPURA"/>
    <s v="vlc"/>
    <s v="Indirect"/>
    <n v="2293.5"/>
    <n v="87054.79366488001"/>
    <n v="0"/>
    <n v="0"/>
    <n v="0"/>
    <n v="0"/>
    <n v="0"/>
    <n v="0"/>
    <n v="87054.79366488001"/>
    <n v="0"/>
    <n v="0"/>
    <n v="0"/>
    <n v="0"/>
    <n v="0"/>
    <n v="0"/>
    <n v="0"/>
    <n v="0"/>
    <n v="87054.79366488001"/>
    <n v="0"/>
    <n v="0"/>
  </r>
  <r>
    <x v="618"/>
    <s v="KISHANPUR"/>
    <s v="vlc"/>
    <s v="Indirect"/>
    <n v="2457.6999999999998"/>
    <n v="91240.079171002493"/>
    <n v="0"/>
    <n v="0"/>
    <n v="0"/>
    <n v="0"/>
    <n v="0"/>
    <n v="0"/>
    <n v="91240.079171002493"/>
    <n v="0"/>
    <n v="0"/>
    <n v="0"/>
    <n v="0"/>
    <n v="0"/>
    <n v="0"/>
    <n v="0"/>
    <n v="0"/>
    <n v="91240.079171002493"/>
    <n v="0"/>
    <n v="0"/>
  </r>
  <r>
    <x v="619"/>
    <s v="NANDPUR"/>
    <s v="vlc"/>
    <s v="Indirect"/>
    <n v="1523.6"/>
    <n v="56912.632028970009"/>
    <n v="0"/>
    <n v="0"/>
    <n v="0"/>
    <n v="0"/>
    <n v="0"/>
    <n v="0"/>
    <n v="56912.632028970009"/>
    <n v="0"/>
    <n v="0"/>
    <n v="0"/>
    <n v="0"/>
    <n v="0"/>
    <n v="0"/>
    <n v="0"/>
    <n v="0"/>
    <n v="56912.632028970009"/>
    <n v="0"/>
    <n v="0"/>
  </r>
  <r>
    <x v="620"/>
    <s v="NOWAGADHI"/>
    <s v="RMC"/>
    <s v="Direct"/>
    <n v="1783.5"/>
    <n v="69326.45591460001"/>
    <n v="1885.3"/>
    <n v="69757.719584552702"/>
    <n v="20.5"/>
    <n v="789.33429600000011"/>
    <n v="1905.8"/>
    <n v="70547.053880552703"/>
    <n v="69326.45591460001"/>
    <n v="0"/>
    <n v="789.33429600000011"/>
    <n v="1220.5979659526929"/>
    <n v="0"/>
    <n v="0"/>
    <n v="0"/>
    <n v="68537"/>
    <n v="0"/>
    <n v="0"/>
    <n v="0"/>
    <n v="0"/>
  </r>
  <r>
    <x v="621"/>
    <s v="MAHADAT PUR 2"/>
    <s v="RMC"/>
    <s v="Direct"/>
    <n v="2276"/>
    <n v="86736.287029464613"/>
    <n v="2232.7999999999997"/>
    <n v="84738.170847558606"/>
    <n v="43.2"/>
    <n v="1602.8717550600002"/>
    <n v="2275.9999999999995"/>
    <n v="86341.042602618603"/>
    <n v="86341.042602618603"/>
    <n v="0"/>
    <n v="1602.8717550600002"/>
    <n v="0"/>
    <n v="0"/>
    <n v="0"/>
    <n v="0"/>
    <n v="84738"/>
    <n v="0"/>
    <n v="0"/>
    <n v="395"/>
    <n v="0"/>
  </r>
  <r>
    <x v="622"/>
    <s v="KATHELA TOLA TELDHI"/>
    <s v="RMC"/>
    <s v="Direct"/>
    <n v="102"/>
    <n v="3368.79256824"/>
    <n v="102"/>
    <n v="3368.79256824"/>
    <n v="0"/>
    <n v="0"/>
    <n v="102"/>
    <n v="3368.79256824"/>
    <n v="3368.79256824"/>
    <n v="0"/>
    <n v="0"/>
    <n v="0"/>
    <n v="0"/>
    <n v="0"/>
    <n v="0"/>
    <n v="3369"/>
    <n v="0"/>
    <n v="0"/>
    <n v="0"/>
    <n v="0"/>
  </r>
  <r>
    <x v="623"/>
    <s v="SONBARSHA 1"/>
    <s v="RMC"/>
    <s v="Direct"/>
    <n v="276"/>
    <n v="9654.7714560000004"/>
    <n v="274"/>
    <n v="9584.8093439999993"/>
    <n v="2"/>
    <n v="69.962112000000005"/>
    <n v="276"/>
    <n v="9654.7714559999986"/>
    <n v="9654.7714559999986"/>
    <n v="0"/>
    <n v="69.962112000000005"/>
    <n v="0"/>
    <n v="0"/>
    <n v="0"/>
    <n v="0"/>
    <n v="9583"/>
    <n v="0"/>
    <n v="0"/>
    <n v="2"/>
    <n v="0"/>
  </r>
  <r>
    <x v="624"/>
    <s v="GANOUL"/>
    <s v="RMC"/>
    <s v="Indirect"/>
    <n v="182"/>
    <n v="6294.480192"/>
    <n v="150"/>
    <n v="5187.7583999999997"/>
    <n v="0"/>
    <n v="0"/>
    <n v="150"/>
    <n v="5187.7583999999997"/>
    <n v="6294.480192"/>
    <n v="0"/>
    <n v="13.834022400000002"/>
    <n v="0"/>
    <n v="0"/>
    <n v="0"/>
    <n v="0"/>
    <n v="0"/>
    <n v="0"/>
    <n v="6280.6461695999997"/>
    <n v="0"/>
    <n v="0"/>
  </r>
  <r>
    <x v="625"/>
    <s v="Gauripur"/>
    <s v="RMC"/>
    <s v="Direct"/>
    <n v="2398"/>
    <n v="83973.260832000014"/>
    <n v="2388"/>
    <n v="83623.366104000015"/>
    <n v="8"/>
    <n v="282.30861600000003"/>
    <n v="2396"/>
    <n v="83905.67472000001"/>
    <n v="83905.67472000001"/>
    <n v="0"/>
    <n v="282.30861600000003"/>
    <n v="0"/>
    <n v="0"/>
    <n v="0"/>
    <n v="0"/>
    <n v="83623"/>
    <n v="0"/>
    <n v="0"/>
    <n v="68"/>
    <n v="0"/>
  </r>
  <r>
    <x v="626"/>
    <s v="Bhramarpur"/>
    <s v="RMC"/>
    <s v="Direct"/>
    <n v="3492"/>
    <n v="117815.68068"/>
    <n v="2400"/>
    <n v="80436.168000000005"/>
    <n v="1092"/>
    <n v="37379.512680000007"/>
    <n v="3492"/>
    <n v="117815.68068000002"/>
    <n v="117815.68068"/>
    <n v="0"/>
    <n v="202.38244800000001"/>
    <n v="0"/>
    <n v="0"/>
    <n v="0"/>
    <n v="0"/>
    <n v="80435"/>
    <n v="37177"/>
    <n v="0"/>
    <n v="1"/>
    <n v="0"/>
  </r>
  <r>
    <x v="1003"/>
    <s v="Gomukh Bariyarpur"/>
    <s v="MPG"/>
    <s v="Direct"/>
    <n v="495.3"/>
    <n v="16871.738208234001"/>
    <n v="495"/>
    <n v="16472.7043767"/>
    <n v="0"/>
    <n v="0"/>
    <n v="495"/>
    <n v="16472.7043767"/>
    <n v="16472.7043767"/>
    <n v="0"/>
    <n v="0"/>
    <n v="0"/>
    <n v="0"/>
    <n v="0"/>
    <n v="0"/>
    <n v="16473"/>
    <n v="0"/>
    <n v="0"/>
    <n v="399"/>
    <n v="0"/>
  </r>
  <r>
    <x v="627"/>
    <s v="Gomukh Sadananpur"/>
    <s v="MPG"/>
    <s v="Direct"/>
    <n v="130.69999999999999"/>
    <n v="4591.2036386820009"/>
    <n v="130.79999999999998"/>
    <n v="4687.4966208000014"/>
    <n v="0"/>
    <n v="0"/>
    <n v="130.79999999999998"/>
    <n v="4687.4966208000014"/>
    <n v="4591.2036386820009"/>
    <n v="0"/>
    <n v="0"/>
    <n v="96.292982118000509"/>
    <n v="0"/>
    <n v="0"/>
    <n v="0"/>
    <n v="4591"/>
    <n v="0"/>
    <n v="0"/>
    <n v="0"/>
    <s v="Release1"/>
  </r>
  <r>
    <x v="628"/>
    <s v="TILAKPUR  2"/>
    <s v="MPG"/>
    <s v="Direct"/>
    <n v="407.35000000000008"/>
    <n v="14249.127615544503"/>
    <n v="403.60000000000008"/>
    <n v="14760.655315938"/>
    <n v="4.5"/>
    <n v="182.54384669100003"/>
    <n v="408.10000000000008"/>
    <n v="14943.199162629"/>
    <n v="14249.127615544503"/>
    <n v="0"/>
    <n v="182.54384669100003"/>
    <n v="694.07154708449707"/>
    <n v="0"/>
    <n v="0"/>
    <n v="0"/>
    <n v="14066"/>
    <n v="0"/>
    <n v="0"/>
    <n v="1"/>
    <n v="0"/>
  </r>
  <r>
    <x v="629"/>
    <s v="TILAKPUR"/>
    <s v="MPG"/>
    <s v="Direct"/>
    <n v="592.5"/>
    <n v="18482.165116022254"/>
    <n v="514.59999999999991"/>
    <n v="16294.8555077325"/>
    <n v="1.4000000000000001"/>
    <n v="44.569214523000007"/>
    <n v="515.99999999999989"/>
    <n v="16339.4247222555"/>
    <n v="16339.4247222555"/>
    <n v="0"/>
    <n v="44.569214523000007"/>
    <n v="0"/>
    <n v="0"/>
    <n v="0"/>
    <n v="0"/>
    <n v="16296"/>
    <n v="0"/>
    <n v="0"/>
    <n v="2142"/>
    <n v="0"/>
  </r>
  <r>
    <x v="630"/>
    <s v="Prasharpur Kadwa Gomukh"/>
    <s v="MPG"/>
    <s v="Direct"/>
    <n v="274.40000000000003"/>
    <n v="9358.0201141605012"/>
    <n v="267.14999999999998"/>
    <n v="9112.7729421825006"/>
    <n v="3.1"/>
    <n v="106.18269580800001"/>
    <n v="270.25"/>
    <n v="9218.9556379905007"/>
    <n v="9218.9556379905007"/>
    <n v="0"/>
    <n v="106.18269580800001"/>
    <n v="0"/>
    <n v="0"/>
    <n v="0"/>
    <n v="0"/>
    <n v="9113"/>
    <n v="0"/>
    <n v="0"/>
    <n v="139"/>
    <n v="0"/>
  </r>
  <r>
    <x v="631"/>
    <s v="Borwa Tola Gomukh"/>
    <s v="vlc"/>
    <s v="Indirect"/>
    <n v="187.39999999999998"/>
    <n v="6530.1216086204995"/>
    <n v="187.49999999999997"/>
    <n v="6566.3693952045014"/>
    <n v="0"/>
    <n v="0"/>
    <n v="187.49999999999997"/>
    <n v="6566.3693952045014"/>
    <n v="6530.1216086204995"/>
    <n v="0"/>
    <n v="0"/>
    <n v="36.247786584001915"/>
    <n v="0"/>
    <n v="0"/>
    <n v="0"/>
    <n v="0"/>
    <n v="0"/>
    <n v="6530.1216086204995"/>
    <n v="0"/>
    <n v="0"/>
  </r>
  <r>
    <x v="632"/>
    <s v="Sheela Devi"/>
    <s v="vlc"/>
    <s v="Indirect"/>
    <n v="2021"/>
    <n v="66796.514996040001"/>
    <n v="0"/>
    <n v="0"/>
    <n v="0"/>
    <n v="0"/>
    <n v="0"/>
    <n v="0"/>
    <n v="66796.514996040001"/>
    <n v="0"/>
    <n v="0"/>
    <n v="0"/>
    <n v="0"/>
    <n v="0"/>
    <n v="0"/>
    <n v="0"/>
    <n v="0"/>
    <n v="66796.514996040001"/>
    <n v="0"/>
    <n v="0"/>
  </r>
  <r>
    <x v="633"/>
    <s v="Gomukh Vijay Lalganj"/>
    <s v="MPG"/>
    <s v="Direct"/>
    <n v="366.4"/>
    <n v="14055.660556089002"/>
    <n v="371.1"/>
    <n v="14408.735004873999"/>
    <n v="1.4000000000000001"/>
    <n v="55.605424559000014"/>
    <n v="372.5"/>
    <n v="14464.340429432999"/>
    <n v="14055.660556089002"/>
    <n v="0"/>
    <n v="55.605424559000014"/>
    <n v="408.67987334399731"/>
    <n v="0"/>
    <n v="0"/>
    <n v="0"/>
    <n v="14000"/>
    <n v="0"/>
    <n v="0"/>
    <n v="0"/>
    <n v="0"/>
  </r>
  <r>
    <x v="634"/>
    <s v="Gomukh Sarswati Nagar Nakdahri"/>
    <s v="MPG"/>
    <s v="Direct"/>
    <n v="396.40000000000003"/>
    <n v="14877.639154788005"/>
    <n v="318.79999999999995"/>
    <n v="12457.349391195599"/>
    <n v="118.08"/>
    <n v="4613.6884708585412"/>
    <n v="436.87999999999994"/>
    <n v="17071.037862054141"/>
    <n v="14877.639154788005"/>
    <n v="0"/>
    <n v="105.10216571970001"/>
    <n v="2193.3987072661366"/>
    <n v="0"/>
    <n v="0"/>
    <n v="0"/>
    <n v="10265"/>
    <n v="4508"/>
    <n v="0"/>
    <n v="0"/>
    <n v="0"/>
  </r>
  <r>
    <x v="635"/>
    <s v="Gomukh Krishna Dairy Tulsipur"/>
    <s v="MPG"/>
    <s v="Direct"/>
    <n v="450.89999999999992"/>
    <n v="15986.497211832002"/>
    <n v="650.90000000000009"/>
    <n v="25271.779762949998"/>
    <n v="0"/>
    <n v="0"/>
    <n v="650.90000000000009"/>
    <n v="25271.779762949998"/>
    <n v="15986.497211832002"/>
    <n v="0"/>
    <n v="0"/>
    <n v="9285.2825511179963"/>
    <n v="0"/>
    <n v="0"/>
    <n v="0"/>
    <n v="15986"/>
    <n v="0"/>
    <n v="0"/>
    <n v="0"/>
    <n v="0"/>
  </r>
  <r>
    <x v="636"/>
    <s v="Gomukh Lauwalagam"/>
    <s v="MPG"/>
    <s v="Direct"/>
    <n v="44.4"/>
    <n v="1471.7785156245"/>
    <n v="26"/>
    <n v="908.7164064000001"/>
    <n v="0"/>
    <n v="0"/>
    <n v="26"/>
    <n v="908.7164064000001"/>
    <n v="908.7164064000001"/>
    <n v="0"/>
    <n v="0"/>
    <n v="0"/>
    <n v="0"/>
    <n v="500"/>
    <n v="0"/>
    <n v="409"/>
    <n v="0"/>
    <n v="0"/>
    <n v="563"/>
    <n v="0"/>
  </r>
  <r>
    <x v="637"/>
    <s v="Dhobina Basa"/>
    <s v="MPG"/>
    <s v="Direct"/>
    <n v="679.20000000000016"/>
    <n v="25376.443370017507"/>
    <n v="395.6"/>
    <n v="16721.730646349999"/>
    <n v="343.5"/>
    <n v="14500.929082500003"/>
    <n v="739.1"/>
    <n v="31222.659728850002"/>
    <n v="25376.443370017507"/>
    <n v="0"/>
    <n v="59.149606500000012"/>
    <n v="5846.2163588324947"/>
    <n v="0"/>
    <n v="0"/>
    <n v="0"/>
    <n v="10875"/>
    <n v="14442"/>
    <n v="0"/>
    <n v="0"/>
    <n v="0"/>
  </r>
  <r>
    <x v="638"/>
    <s v="Gomukh Shreepur Madhay"/>
    <s v="MPG"/>
    <s v="Direct"/>
    <n v="1236.7"/>
    <n v="48589.083103037112"/>
    <n v="1203.9000000000001"/>
    <n v="47221.776376020003"/>
    <n v="33.6"/>
    <n v="1312.7938479899999"/>
    <n v="1237.5"/>
    <n v="48534.57022401"/>
    <n v="48534.57022401"/>
    <n v="0"/>
    <n v="1312.7938479899999"/>
    <n v="0"/>
    <n v="0"/>
    <n v="0"/>
    <n v="0"/>
    <n v="47222"/>
    <n v="0"/>
    <n v="0"/>
    <n v="54"/>
    <n v="0"/>
  </r>
  <r>
    <x v="639"/>
    <s v="Gomukh Dhoriya Dadpur -VLC"/>
    <s v="vlc"/>
    <s v="Indirect"/>
    <n v="507.90000000000003"/>
    <n v="17248.377726253504"/>
    <n v="0"/>
    <n v="0"/>
    <n v="0"/>
    <n v="0"/>
    <n v="0"/>
    <n v="0"/>
    <n v="17248.377726253504"/>
    <n v="0"/>
    <n v="0"/>
    <n v="0"/>
    <n v="0"/>
    <n v="0"/>
    <n v="0"/>
    <n v="0"/>
    <n v="0"/>
    <n v="17248.377726253504"/>
    <n v="0"/>
    <n v="0"/>
  </r>
  <r>
    <x v="1028"/>
    <s v="Gomukh Tulsipur Jamunia VLC"/>
    <s v="vlc"/>
    <s v="Indirect"/>
    <n v="37.700000000000003"/>
    <n v="1358.5975088400003"/>
    <n v="0"/>
    <n v="0"/>
    <n v="0"/>
    <n v="0"/>
    <n v="0"/>
    <n v="0"/>
    <n v="1358.5975088400003"/>
    <n v="0"/>
    <n v="0"/>
    <n v="0"/>
    <n v="0"/>
    <n v="0"/>
    <n v="0"/>
    <n v="0"/>
    <n v="0"/>
    <n v="1358.5975088400003"/>
    <n v="0"/>
    <n v="0"/>
  </r>
  <r>
    <x v="640"/>
    <s v="Gomukh Mohanpur  VLC"/>
    <s v="vlc"/>
    <s v="Indirect"/>
    <n v="282.89999999999998"/>
    <n v="10791.8697769755"/>
    <n v="0"/>
    <n v="0"/>
    <n v="0"/>
    <n v="0"/>
    <n v="0"/>
    <n v="0"/>
    <n v="10791.8697769755"/>
    <n v="0"/>
    <n v="0"/>
    <n v="0"/>
    <n v="0"/>
    <n v="0"/>
    <n v="0"/>
    <n v="0"/>
    <n v="0"/>
    <n v="10791.8697769755"/>
    <n v="0"/>
    <n v="0"/>
  </r>
  <r>
    <x v="641"/>
    <s v="Gomukh Abhirampur VLC"/>
    <s v="vlc"/>
    <s v="Indirect"/>
    <n v="276.40000000000003"/>
    <n v="10468.493728069499"/>
    <n v="0"/>
    <n v="0"/>
    <n v="0"/>
    <n v="0"/>
    <n v="0"/>
    <n v="0"/>
    <n v="10468.493728069499"/>
    <n v="0"/>
    <n v="0"/>
    <n v="0"/>
    <n v="0"/>
    <n v="0"/>
    <n v="0"/>
    <n v="0"/>
    <n v="0"/>
    <n v="10468.493728069499"/>
    <n v="0"/>
    <n v="0"/>
  </r>
  <r>
    <x v="642"/>
    <s v="Gomukh Pachgachhia Vlc"/>
    <s v="vlc"/>
    <s v="Indirect"/>
    <n v="168.1"/>
    <n v="5756.5162996725012"/>
    <n v="0"/>
    <n v="0"/>
    <n v="0"/>
    <n v="0"/>
    <n v="0"/>
    <n v="0"/>
    <n v="5756.5162996725012"/>
    <n v="0"/>
    <n v="0"/>
    <n v="0"/>
    <n v="0"/>
    <n v="0"/>
    <n v="0"/>
    <n v="0"/>
    <n v="0"/>
    <n v="5756.5162996725012"/>
    <n v="0"/>
    <n v="0"/>
  </r>
  <r>
    <x v="643"/>
    <s v="KUNTHA M"/>
    <s v="RMC"/>
    <s v="Direct"/>
    <n v="886"/>
    <n v="30789.485232000006"/>
    <n v="905.99999999999989"/>
    <n v="30653.555078400004"/>
    <n v="12.400000000000002"/>
    <n v="420.02896320000008"/>
    <n v="918.39999999999986"/>
    <n v="31073.584041600003"/>
    <n v="30789.485232000006"/>
    <n v="0"/>
    <n v="420.02896320000008"/>
    <n v="284.09880959999646"/>
    <n v="0"/>
    <n v="0"/>
    <n v="0"/>
    <n v="30369"/>
    <n v="0"/>
    <n v="0"/>
    <n v="0"/>
    <n v="0"/>
  </r>
  <r>
    <x v="644"/>
    <s v="ARAK"/>
    <s v="MPG"/>
    <s v="Direct"/>
    <n v="1890.1999999999998"/>
    <n v="70837.120733970005"/>
    <n v="1858.1999999999994"/>
    <n v="70221.234545459563"/>
    <n v="22.099999999999998"/>
    <n v="949.95814571936012"/>
    <n v="1880.2999999999993"/>
    <n v="71171.19269117892"/>
    <n v="70837.120733970005"/>
    <n v="0"/>
    <n v="949.95814571936012"/>
    <n v="334.07195720891468"/>
    <n v="0"/>
    <n v="0"/>
    <n v="0"/>
    <n v="69887"/>
    <n v="0"/>
    <n v="0"/>
    <n v="0"/>
    <n v="0"/>
  </r>
  <r>
    <x v="645"/>
    <s v="Diyaman"/>
    <s v="MPG"/>
    <s v="Direct"/>
    <n v="1325.7"/>
    <n v="54326.12795934001"/>
    <n v="1315.24"/>
    <n v="54626.326011385936"/>
    <n v="6.2000000000000011"/>
    <n v="256.49686348800003"/>
    <n v="1321.44"/>
    <n v="54882.822874873935"/>
    <n v="54326.12795934001"/>
    <n v="0"/>
    <n v="256.49686348800003"/>
    <n v="556.69491553392436"/>
    <n v="5120"/>
    <n v="0"/>
    <n v="0"/>
    <n v="48950"/>
    <n v="0"/>
    <n v="0"/>
    <n v="0"/>
    <n v="0"/>
  </r>
  <r>
    <x v="646"/>
    <s v="HENHA"/>
    <s v="MPG"/>
    <s v="Direct"/>
    <n v="2183.6999999999998"/>
    <n v="82655.631890310004"/>
    <n v="2390.1999999999998"/>
    <n v="100545.35912718436"/>
    <n v="24.400000000000002"/>
    <n v="1284.57680006184"/>
    <n v="2414.6"/>
    <n v="101829.9359272462"/>
    <n v="82655.631890310004"/>
    <n v="0"/>
    <n v="1284.57680006184"/>
    <n v="19174.304036936199"/>
    <n v="0"/>
    <n v="0"/>
    <n v="0"/>
    <n v="81371"/>
    <n v="0"/>
    <n v="0"/>
    <n v="0"/>
    <n v="0"/>
  </r>
  <r>
    <x v="647"/>
    <s v="Suddh Dairy"/>
    <s v="vlc"/>
    <s v="Indirect"/>
    <n v="40346"/>
    <n v="1496370.9133680002"/>
    <n v="0"/>
    <n v="0"/>
    <n v="0"/>
    <n v="0"/>
    <n v="0"/>
    <n v="0"/>
    <n v="1496370.9133680002"/>
    <n v="0"/>
    <n v="0"/>
    <n v="0"/>
    <n v="0"/>
    <n v="0"/>
    <n v="0"/>
    <n v="0"/>
    <n v="0"/>
    <n v="1496370.9133680002"/>
    <n v="0"/>
    <n v="0"/>
  </r>
  <r>
    <x v="941"/>
    <s v="Krishna Dairy"/>
    <s v="vlc"/>
    <s v="Indirect"/>
    <n v="679"/>
    <n v="25903.235912400003"/>
    <n v="0"/>
    <n v="0"/>
    <n v="0"/>
    <n v="0"/>
    <n v="0"/>
    <n v="0"/>
    <n v="25903.235912400003"/>
    <n v="0"/>
    <n v="0"/>
    <n v="0"/>
    <n v="0"/>
    <n v="0"/>
    <n v="0"/>
    <n v="0"/>
    <n v="0"/>
    <n v="25903.235912400003"/>
    <n v="0"/>
    <n v="0"/>
  </r>
  <r>
    <x v="648"/>
    <s v="Anik Kumar"/>
    <s v="vlc"/>
    <s v="Indirect"/>
    <n v="3598"/>
    <n v="146460.17762969999"/>
    <n v="0"/>
    <n v="0"/>
    <n v="0"/>
    <n v="0"/>
    <n v="0"/>
    <n v="0"/>
    <n v="146460.17762969999"/>
    <n v="0"/>
    <n v="0"/>
    <n v="0"/>
    <n v="0"/>
    <n v="0"/>
    <n v="0"/>
    <n v="0"/>
    <n v="0"/>
    <n v="146460.17762969999"/>
    <n v="0"/>
    <n v="0"/>
  </r>
  <r>
    <x v="649"/>
    <s v="Nand Kishor Kumar"/>
    <s v="vlc"/>
    <s v="Indirect"/>
    <n v="19590"/>
    <n v="641993.63494860008"/>
    <n v="0"/>
    <n v="0"/>
    <n v="0"/>
    <n v="0"/>
    <n v="0"/>
    <n v="0"/>
    <n v="641993.63494860008"/>
    <n v="0"/>
    <n v="0"/>
    <n v="0"/>
    <n v="0"/>
    <n v="0"/>
    <n v="0"/>
    <n v="0"/>
    <n v="0"/>
    <n v="641993.63494860008"/>
    <n v="0"/>
    <n v="0"/>
  </r>
  <r>
    <x v="650"/>
    <s v="Gomukh CHANDAULI"/>
    <s v="MPG"/>
    <s v="Direct"/>
    <n v="1375.5500000000002"/>
    <n v="56389.298236459203"/>
    <n v="1368.16"/>
    <n v="56487.574811423518"/>
    <n v="11.39"/>
    <n v="473.33005733130005"/>
    <n v="1379.5500000000002"/>
    <n v="56960.90486875482"/>
    <n v="56389.298236459203"/>
    <n v="0"/>
    <n v="473.33005733130005"/>
    <n v="571.6066322956176"/>
    <n v="0"/>
    <n v="0"/>
    <n v="0"/>
    <n v="55916"/>
    <n v="0"/>
    <n v="0"/>
    <n v="0"/>
    <n v="0"/>
  </r>
  <r>
    <x v="651"/>
    <s v="GOMUKH HATHA"/>
    <s v="MPG"/>
    <s v="Direct"/>
    <n v="1418.2500000000002"/>
    <n v="58000.589287661809"/>
    <n v="1406.1499999999999"/>
    <n v="58277.444053939915"/>
    <n v="15.189999999999998"/>
    <n v="645.2625944130001"/>
    <n v="1421.34"/>
    <n v="58922.706648352912"/>
    <n v="58000.589287661809"/>
    <n v="0"/>
    <n v="645.2625944130001"/>
    <n v="922.11736069110339"/>
    <n v="0"/>
    <n v="0"/>
    <n v="0"/>
    <n v="57355"/>
    <n v="0"/>
    <n v="0"/>
    <n v="0"/>
    <n v="0"/>
  </r>
  <r>
    <x v="652"/>
    <s v="GOMUKH VADEYA"/>
    <s v="MPG"/>
    <s v="Direct"/>
    <n v="627.74999999999989"/>
    <n v="27064.016484141608"/>
    <n v="633.79"/>
    <n v="27039.380255279153"/>
    <n v="0.15000000000000002"/>
    <n v="6.8420218128000005"/>
    <n v="633.93999999999994"/>
    <n v="27046.222277091954"/>
    <n v="27046.222277091954"/>
    <n v="0"/>
    <n v="6.8420218128000005"/>
    <n v="0"/>
    <n v="0"/>
    <n v="0"/>
    <n v="0"/>
    <n v="27040"/>
    <n v="0"/>
    <n v="0"/>
    <n v="17"/>
    <n v="0"/>
  </r>
  <r>
    <x v="653"/>
    <s v="GOMUKH CHANDPURA"/>
    <s v="MPG"/>
    <s v="Direct"/>
    <n v="539.15"/>
    <n v="23597.759939276504"/>
    <n v="525.32999999999993"/>
    <n v="23364.90855411351"/>
    <n v="4.96"/>
    <n v="229.987332219"/>
    <n v="530.29"/>
    <n v="23594.89588633251"/>
    <n v="23594.89588633251"/>
    <n v="0"/>
    <n v="229.987332219"/>
    <n v="0"/>
    <n v="0"/>
    <n v="0"/>
    <n v="0"/>
    <n v="23366"/>
    <n v="0"/>
    <n v="0"/>
    <n v="2"/>
    <n v="0"/>
  </r>
  <r>
    <x v="654"/>
    <s v="GOMUKH BARGAMA"/>
    <s v="MPG"/>
    <s v="Direct"/>
    <n v="1179.2500000000002"/>
    <n v="47110.584155719152"/>
    <n v="1155.7599999999998"/>
    <n v="45680.826789856037"/>
    <n v="33.86"/>
    <n v="1602.77563516793"/>
    <n v="1189.6199999999997"/>
    <n v="47283.602425023964"/>
    <n v="47110.584155719152"/>
    <n v="0"/>
    <n v="1602.77563516793"/>
    <n v="173.01826930481184"/>
    <n v="0"/>
    <n v="0"/>
    <n v="0"/>
    <n v="45508"/>
    <n v="0"/>
    <n v="0"/>
    <n v="0"/>
    <n v="0"/>
  </r>
  <r>
    <x v="655"/>
    <s v="Gomukh Gograha Tola"/>
    <s v="MPG"/>
    <s v="Direct"/>
    <n v="414.65000000000003"/>
    <n v="18461.703842441802"/>
    <n v="422.40000000000003"/>
    <n v="18189.234607713144"/>
    <n v="6.1099999999999994"/>
    <n v="245.49245601000004"/>
    <n v="428.51000000000005"/>
    <n v="18434.727063723145"/>
    <n v="18434.727063723145"/>
    <n v="0"/>
    <n v="245.49245601000004"/>
    <n v="0"/>
    <n v="0"/>
    <n v="0"/>
    <n v="0"/>
    <n v="18190"/>
    <n v="0"/>
    <n v="0"/>
    <n v="26"/>
    <n v="0"/>
  </r>
  <r>
    <x v="656"/>
    <s v="Gomukh Patsara"/>
    <s v="MPG"/>
    <s v="Direct"/>
    <n v="346.64999999999992"/>
    <n v="16821.358122658399"/>
    <n v="344.92"/>
    <n v="16731.405653382244"/>
    <n v="4.24"/>
    <n v="185.00509699491201"/>
    <n v="349.16"/>
    <n v="16916.410750377156"/>
    <n v="16821.358122658399"/>
    <n v="0"/>
    <n v="185.00509699491201"/>
    <n v="95.052627718756412"/>
    <n v="0"/>
    <n v="0"/>
    <n v="0"/>
    <n v="16636"/>
    <n v="0"/>
    <n v="0"/>
    <n v="0"/>
    <n v="0"/>
  </r>
  <r>
    <x v="657"/>
    <s v="Gomukh Singhiya"/>
    <s v="vlc"/>
    <s v="Indirect"/>
    <n v="9334"/>
    <n v="374466.58954230003"/>
    <n v="0"/>
    <n v="0"/>
    <n v="0"/>
    <n v="0"/>
    <n v="0"/>
    <n v="0"/>
    <n v="374466.58954230003"/>
    <n v="0"/>
    <n v="0"/>
    <n v="0"/>
    <n v="0"/>
    <n v="0"/>
    <n v="0"/>
    <n v="0"/>
    <n v="0"/>
    <n v="374466.58954230003"/>
    <n v="0"/>
    <n v="0"/>
  </r>
  <r>
    <x v="658"/>
    <s v="Gomukh BALHA "/>
    <s v="vlc"/>
    <s v="Indirect"/>
    <n v="3577.75"/>
    <n v="148803.85035588223"/>
    <n v="0"/>
    <n v="0"/>
    <n v="0"/>
    <n v="0"/>
    <n v="0"/>
    <n v="0"/>
    <n v="148803.85035588223"/>
    <n v="0"/>
    <n v="0"/>
    <n v="0"/>
    <n v="0"/>
    <n v="0"/>
    <n v="0"/>
    <n v="0"/>
    <n v="0"/>
    <n v="148803.85035588223"/>
    <n v="0"/>
    <n v="0"/>
  </r>
  <r>
    <x v="942"/>
    <s v="Gomukh Kalyanpur 2"/>
    <s v="vlc"/>
    <s v="Indirect"/>
    <n v="310.04999999999995"/>
    <n v="17552.681760248001"/>
    <n v="0"/>
    <n v="0"/>
    <n v="0"/>
    <n v="0"/>
    <n v="0"/>
    <n v="0"/>
    <n v="17552.681760248001"/>
    <n v="0"/>
    <n v="0"/>
    <n v="0"/>
    <n v="0"/>
    <n v="0"/>
    <n v="0"/>
    <n v="0"/>
    <n v="0"/>
    <n v="17552.681760248001"/>
    <n v="0"/>
    <n v="0"/>
  </r>
  <r>
    <x v="943"/>
    <s v="Gomukh Namapur 2"/>
    <s v="vlc"/>
    <s v="Indirect"/>
    <n v="1667.35"/>
    <n v="61447.933149540004"/>
    <n v="0"/>
    <n v="0"/>
    <n v="0"/>
    <n v="0"/>
    <n v="0"/>
    <n v="0"/>
    <n v="61447.933149540004"/>
    <n v="0"/>
    <n v="0"/>
    <n v="0"/>
    <n v="0"/>
    <n v="0"/>
    <n v="0"/>
    <n v="0"/>
    <n v="0"/>
    <n v="61447.933149540004"/>
    <n v="0"/>
    <n v="0"/>
  </r>
  <r>
    <x v="659"/>
    <s v="Gomukh Madhopur"/>
    <s v="vlc"/>
    <s v="Indirect"/>
    <n v="249.99999999999997"/>
    <n v="10379.341265455501"/>
    <n v="0"/>
    <n v="0"/>
    <n v="0"/>
    <n v="0"/>
    <n v="0"/>
    <n v="0"/>
    <n v="10379.341265455501"/>
    <n v="0"/>
    <n v="0"/>
    <n v="0"/>
    <n v="0"/>
    <n v="0"/>
    <n v="0"/>
    <n v="0"/>
    <n v="0"/>
    <n v="10379.341265455501"/>
    <n v="0"/>
    <n v="0"/>
  </r>
  <r>
    <x v="660"/>
    <s v="Gomukh Kalyanpur East"/>
    <s v="vlc"/>
    <s v="Indirect"/>
    <n v="885.64999999999986"/>
    <n v="33314.917412110502"/>
    <n v="0"/>
    <n v="0"/>
    <n v="0"/>
    <n v="0"/>
    <n v="0"/>
    <n v="0"/>
    <n v="33314.917412110502"/>
    <n v="0"/>
    <n v="0"/>
    <n v="0"/>
    <n v="0"/>
    <n v="0"/>
    <n v="0"/>
    <n v="0"/>
    <n v="0"/>
    <n v="33314.917412110502"/>
    <n v="0"/>
    <n v="0"/>
  </r>
  <r>
    <x v="661"/>
    <s v="Gomukh Bazidpur"/>
    <s v="vlc"/>
    <s v="Indirect"/>
    <n v="2360.4999999999995"/>
    <n v="101213.89204243501"/>
    <n v="0"/>
    <n v="0"/>
    <n v="0"/>
    <n v="0"/>
    <n v="0"/>
    <n v="0"/>
    <n v="101213.89204243501"/>
    <n v="0"/>
    <n v="0"/>
    <n v="0"/>
    <n v="0"/>
    <n v="0"/>
    <n v="0"/>
    <n v="0"/>
    <n v="0"/>
    <n v="101213.89204243501"/>
    <n v="0"/>
    <n v="0"/>
  </r>
  <r>
    <x v="662"/>
    <s v="Gomukh Belsandi"/>
    <s v="vlc"/>
    <s v="Indirect"/>
    <n v="1034.1500000000001"/>
    <n v="42636.134011317699"/>
    <n v="0"/>
    <n v="0"/>
    <n v="0"/>
    <n v="0"/>
    <n v="0"/>
    <n v="0"/>
    <n v="42636.134011317699"/>
    <n v="0"/>
    <n v="0"/>
    <n v="0"/>
    <n v="0"/>
    <n v="0"/>
    <n v="0"/>
    <n v="0"/>
    <n v="0"/>
    <n v="42636.134011317699"/>
    <n v="0"/>
    <n v="0"/>
  </r>
  <r>
    <x v="944"/>
    <s v="Gomukh Namapur Ward 8"/>
    <s v="vlc"/>
    <s v="Indirect"/>
    <n v="1199.9000000000001"/>
    <n v="48492.2562578207"/>
    <n v="0"/>
    <n v="0"/>
    <n v="0"/>
    <n v="0"/>
    <n v="0"/>
    <n v="0"/>
    <n v="48492.2562578207"/>
    <n v="0"/>
    <n v="0"/>
    <n v="0"/>
    <n v="0"/>
    <n v="0"/>
    <n v="0"/>
    <n v="0"/>
    <n v="0"/>
    <n v="48492.2562578207"/>
    <n v="0"/>
    <n v="0"/>
  </r>
  <r>
    <x v="945"/>
    <s v="Belsandi"/>
    <s v="vlc"/>
    <s v="Indirect"/>
    <n v="2569.9499999999994"/>
    <n v="102868.68643875401"/>
    <n v="0"/>
    <n v="0"/>
    <n v="0"/>
    <n v="0"/>
    <n v="0"/>
    <n v="0"/>
    <n v="102868.68643875401"/>
    <n v="0"/>
    <n v="0"/>
    <n v="0"/>
    <n v="0"/>
    <n v="0"/>
    <n v="0"/>
    <n v="0"/>
    <n v="0"/>
    <n v="102868.68643875401"/>
    <n v="0"/>
    <n v="0"/>
  </r>
  <r>
    <x v="663"/>
    <s v="Gomukh Belsandi East"/>
    <s v="vlc"/>
    <s v="Indirect"/>
    <n v="1570.9499999999998"/>
    <n v="66828.174451646613"/>
    <n v="0"/>
    <n v="0"/>
    <n v="0"/>
    <n v="0"/>
    <n v="0"/>
    <n v="0"/>
    <n v="66828.174451646613"/>
    <n v="0"/>
    <n v="0"/>
    <n v="0"/>
    <n v="0"/>
    <n v="0"/>
    <n v="0"/>
    <n v="0"/>
    <n v="0"/>
    <n v="66828.174451646613"/>
    <n v="0"/>
    <n v="0"/>
  </r>
  <r>
    <x v="664"/>
    <s v="Gomukh Belsandi West Tola"/>
    <s v="vlc"/>
    <s v="Indirect"/>
    <n v="355.85"/>
    <n v="13416.720982296752"/>
    <n v="0"/>
    <n v="0"/>
    <n v="0"/>
    <n v="0"/>
    <n v="0"/>
    <n v="0"/>
    <n v="13416.720982296752"/>
    <n v="0"/>
    <n v="0"/>
    <n v="0"/>
    <n v="0"/>
    <n v="0"/>
    <n v="0"/>
    <n v="0"/>
    <n v="0"/>
    <n v="13416.720982296752"/>
    <n v="0"/>
    <n v="0"/>
  </r>
  <r>
    <x v="665"/>
    <s v="Gomukh Gopalpur"/>
    <s v="vlc"/>
    <s v="Indirect"/>
    <n v="1411.9"/>
    <n v="58222.499181996005"/>
    <n v="0"/>
    <n v="0"/>
    <n v="0"/>
    <n v="0"/>
    <n v="0"/>
    <n v="0"/>
    <n v="58222.499181996005"/>
    <n v="0"/>
    <n v="0"/>
    <n v="0"/>
    <n v="0"/>
    <n v="0"/>
    <n v="0"/>
    <n v="0"/>
    <n v="0"/>
    <n v="58222.499181996005"/>
    <n v="0"/>
    <n v="0"/>
  </r>
  <r>
    <x v="666"/>
    <s v="Gomukh Bharav"/>
    <s v="MPG"/>
    <s v="Direct"/>
    <n v="457.75000000000006"/>
    <n v="22418.2662017039"/>
    <n v="457.11999999999995"/>
    <n v="22406.371627022712"/>
    <n v="4.05"/>
    <n v="166.62748621800003"/>
    <n v="461.16999999999996"/>
    <n v="22572.999113240712"/>
    <n v="22418.2662017039"/>
    <n v="0"/>
    <n v="166.62748621800003"/>
    <n v="154.73291153681203"/>
    <n v="0"/>
    <n v="0"/>
    <n v="0"/>
    <n v="22251"/>
    <n v="0"/>
    <n v="0"/>
    <n v="1"/>
    <n v="0"/>
  </r>
  <r>
    <x v="667"/>
    <s v="Gomukh Harpur"/>
    <s v="MPG"/>
    <s v="Direct"/>
    <n v="915.44999999999993"/>
    <n v="37790.23473385231"/>
    <n v="909.51999999999987"/>
    <n v="38424.738380277806"/>
    <n v="13.780000000000001"/>
    <n v="564.41188417156195"/>
    <n v="923.29999999999984"/>
    <n v="38989.150264449367"/>
    <n v="37790.23473385231"/>
    <n v="0"/>
    <n v="564.41188417156195"/>
    <n v="1198.9155305970562"/>
    <n v="0"/>
    <n v="0"/>
    <n v="0"/>
    <n v="37226"/>
    <n v="0"/>
    <n v="0"/>
    <n v="0"/>
    <n v="0"/>
  </r>
  <r>
    <x v="668"/>
    <s v="Gomukh Fulhatta"/>
    <s v="MPG"/>
    <s v="Direct"/>
    <n v="974.70000000000016"/>
    <n v="50841.442464379492"/>
    <n v="984.2"/>
    <n v="52136.454882592698"/>
    <n v="0"/>
    <n v="0"/>
    <n v="984.2"/>
    <n v="52136.454882592698"/>
    <n v="50841.442464379492"/>
    <n v="0"/>
    <n v="0"/>
    <n v="1295.0124182132058"/>
    <n v="0"/>
    <n v="0"/>
    <n v="0"/>
    <n v="50841"/>
    <n v="0"/>
    <n v="0"/>
    <n v="0"/>
    <n v="0"/>
  </r>
  <r>
    <x v="669"/>
    <s v="Gomukh Birauli Khurd"/>
    <s v="MPG"/>
    <s v="Direct"/>
    <n v="630.5"/>
    <n v="26859.305536738349"/>
    <n v="624.17999999999984"/>
    <n v="26122.202588807744"/>
    <n v="15.060000000000002"/>
    <n v="644.36929011599989"/>
    <n v="639.23999999999978"/>
    <n v="26766.571878923743"/>
    <n v="26766.571878923743"/>
    <n v="0"/>
    <n v="644.36929011599989"/>
    <n v="0"/>
    <n v="284"/>
    <n v="0"/>
    <n v="0"/>
    <n v="25836"/>
    <n v="0"/>
    <n v="0"/>
    <n v="95"/>
    <n v="0"/>
  </r>
  <r>
    <x v="670"/>
    <s v="Gomukh Bedauliya"/>
    <s v="vlc"/>
    <s v="Indirect"/>
    <n v="791.95"/>
    <n v="31983.914812503004"/>
    <n v="0"/>
    <n v="0"/>
    <n v="0"/>
    <n v="0"/>
    <n v="0"/>
    <n v="0"/>
    <n v="31983.914812503004"/>
    <n v="0"/>
    <n v="0"/>
    <n v="0"/>
    <n v="0"/>
    <n v="0"/>
    <n v="0"/>
    <n v="0"/>
    <n v="0"/>
    <n v="31983.914812503004"/>
    <n v="0"/>
    <n v="0"/>
  </r>
  <r>
    <x v="671"/>
    <s v="Gomukh Khanua"/>
    <s v="MPG"/>
    <s v="Direct"/>
    <n v="584.40000000000009"/>
    <n v="24687.104818135354"/>
    <n v="573.75"/>
    <n v="24616.967168034316"/>
    <n v="10.310000000000002"/>
    <n v="445.38639441599997"/>
    <n v="584.05999999999995"/>
    <n v="25062.353562450317"/>
    <n v="24687.104818135354"/>
    <n v="0"/>
    <n v="445.38639441599997"/>
    <n v="375.2487443149621"/>
    <n v="0"/>
    <n v="0"/>
    <n v="0"/>
    <n v="24242"/>
    <n v="0"/>
    <n v="0"/>
    <n v="0"/>
    <n v="0"/>
  </r>
  <r>
    <x v="672"/>
    <s v="Gomukh Hiralalpur"/>
    <s v="vlc"/>
    <s v="Indirect"/>
    <n v="780.75000000000011"/>
    <n v="32020.929090420104"/>
    <n v="0"/>
    <n v="0"/>
    <n v="0"/>
    <n v="0"/>
    <n v="0"/>
    <n v="0"/>
    <n v="32020.929090420104"/>
    <n v="0"/>
    <n v="0"/>
    <n v="0"/>
    <n v="0"/>
    <n v="0"/>
    <n v="0"/>
    <n v="0"/>
    <n v="0"/>
    <n v="32020.929090420104"/>
    <n v="0"/>
    <n v="0"/>
  </r>
  <r>
    <x v="673"/>
    <s v="Gomukh Punas"/>
    <s v="MPG"/>
    <s v="Direct"/>
    <n v="919.64999999999975"/>
    <n v="40182.851056039704"/>
    <n v="907.21999999999969"/>
    <n v="39707.612604042813"/>
    <n v="12.729999999999999"/>
    <n v="548.73503031600012"/>
    <n v="919.9499999999997"/>
    <n v="40256.347634358812"/>
    <n v="40182.851056039704"/>
    <n v="0"/>
    <n v="548.73503031600012"/>
    <n v="73.496578319107357"/>
    <n v="0"/>
    <n v="0"/>
    <n v="0"/>
    <n v="39634"/>
    <n v="0"/>
    <n v="0"/>
    <n v="0"/>
    <n v="0"/>
  </r>
  <r>
    <x v="674"/>
    <s v="Gomukh Loharkha"/>
    <s v="MPG"/>
    <s v="Direct"/>
    <n v="337.6"/>
    <n v="16729.3242046005"/>
    <n v="366.36000000000007"/>
    <n v="18235.55767444507"/>
    <n v="5.78"/>
    <n v="239.27398927136403"/>
    <n v="372.14000000000004"/>
    <n v="18474.831663716435"/>
    <n v="16729.3242046005"/>
    <n v="0"/>
    <n v="239.27398927136403"/>
    <n v="1745.5074591159355"/>
    <n v="0"/>
    <n v="0"/>
    <n v="0"/>
    <n v="16490"/>
    <n v="0"/>
    <n v="0"/>
    <n v="0"/>
    <n v="0"/>
  </r>
  <r>
    <x v="675"/>
    <s v="Gomukh Dighra"/>
    <s v="MPG"/>
    <s v="Direct"/>
    <n v="272.10000000000002"/>
    <n v="9311.5178832007496"/>
    <n v="271.10000000000002"/>
    <n v="9873.7354628738995"/>
    <n v="0"/>
    <n v="0"/>
    <n v="271.10000000000002"/>
    <n v="9873.7354628738995"/>
    <n v="9311.5178832007496"/>
    <n v="0"/>
    <n v="0"/>
    <n v="562.21757967314988"/>
    <n v="0"/>
    <n v="0"/>
    <n v="0"/>
    <n v="9312"/>
    <n v="0"/>
    <n v="0"/>
    <n v="0"/>
    <n v="0"/>
  </r>
  <r>
    <x v="676"/>
    <s v="Basuwari"/>
    <s v="MPG"/>
    <s v="Direct"/>
    <n v="353.09999999999991"/>
    <n v="13352.542602393751"/>
    <n v="347.67999999999995"/>
    <n v="13199.674266977332"/>
    <n v="3.4000000000000004"/>
    <n v="151.08134072724002"/>
    <n v="351.07999999999993"/>
    <n v="13350.755607704572"/>
    <n v="13350.755607704572"/>
    <n v="0"/>
    <n v="151.08134072724002"/>
    <n v="0"/>
    <n v="0"/>
    <n v="0"/>
    <n v="0"/>
    <n v="13200"/>
    <n v="0"/>
    <n v="0"/>
    <n v="1"/>
    <n v="0"/>
  </r>
  <r>
    <x v="677"/>
    <s v="Belsandi 3"/>
    <s v="vlc"/>
    <s v="Indirect"/>
    <n v="1977.1000000000001"/>
    <n v="74792.203695287011"/>
    <n v="0"/>
    <n v="0"/>
    <n v="0"/>
    <n v="0"/>
    <n v="0"/>
    <n v="0"/>
    <n v="74792.203695287011"/>
    <n v="0"/>
    <n v="0"/>
    <n v="0"/>
    <n v="0"/>
    <n v="0"/>
    <n v="0"/>
    <n v="0"/>
    <n v="0"/>
    <n v="74792.203695287011"/>
    <n v="0"/>
    <n v="0"/>
  </r>
  <r>
    <x v="678"/>
    <s v="Gomukh Bhagwanpur"/>
    <s v="vlc"/>
    <s v="Indirect"/>
    <n v="454.94999999999993"/>
    <n v="20346.169246742964"/>
    <n v="0"/>
    <n v="0"/>
    <n v="0"/>
    <n v="0"/>
    <n v="0"/>
    <n v="0"/>
    <n v="20346.169246742964"/>
    <n v="0"/>
    <n v="0"/>
    <n v="0"/>
    <n v="0"/>
    <n v="0"/>
    <n v="0"/>
    <n v="0"/>
    <n v="0"/>
    <n v="20346.169246742964"/>
    <n v="0"/>
    <n v="0"/>
  </r>
  <r>
    <x v="679"/>
    <s v="GOMUKH HARPUR W-13"/>
    <s v="MPG"/>
    <s v="Direct"/>
    <n v="1610.35"/>
    <n v="62631.715299242249"/>
    <n v="1586.17"/>
    <n v="61594.047576736644"/>
    <n v="25.999999999999996"/>
    <n v="1033.2690424320001"/>
    <n v="1612.17"/>
    <n v="62627.316619168647"/>
    <n v="62627.316619168647"/>
    <n v="0"/>
    <n v="1033.2690424320001"/>
    <n v="0"/>
    <n v="0"/>
    <n v="0"/>
    <n v="0"/>
    <n v="61592"/>
    <n v="0"/>
    <n v="0"/>
    <n v="6"/>
    <n v="0"/>
  </r>
  <r>
    <x v="948"/>
    <s v="GOMUKH MILKI"/>
    <s v="vlc"/>
    <s v="Indirect"/>
    <n v="99.049999999999983"/>
    <n v="4792.9323188952494"/>
    <n v="0"/>
    <n v="0"/>
    <n v="0"/>
    <n v="0"/>
    <n v="0"/>
    <n v="0"/>
    <n v="4792.9323188952494"/>
    <n v="0"/>
    <n v="0"/>
    <n v="0"/>
    <n v="0"/>
    <n v="0"/>
    <n v="0"/>
    <n v="0"/>
    <n v="0"/>
    <n v="4792.9323188952494"/>
    <n v="0"/>
    <n v="0"/>
  </r>
  <r>
    <x v="680"/>
    <s v="Gomukh Ratwara"/>
    <s v="MPG"/>
    <s v="Direct"/>
    <n v="130.15"/>
    <n v="4786.8798321952509"/>
    <n v="131.84999999999997"/>
    <n v="4751.4105081799498"/>
    <n v="0"/>
    <n v="0"/>
    <n v="131.84999999999997"/>
    <n v="4751.4105081799498"/>
    <n v="4751.4105081799498"/>
    <n v="0"/>
    <n v="0"/>
    <n v="0"/>
    <n v="0"/>
    <n v="500"/>
    <n v="0"/>
    <n v="4251"/>
    <n v="0"/>
    <n v="0"/>
    <n v="36"/>
    <n v="0"/>
  </r>
  <r>
    <x v="681"/>
    <s v="Gomukh Fulhara"/>
    <s v="vlc"/>
    <s v="Indirect"/>
    <n v="1846.7000000000003"/>
    <n v="84829.789951662984"/>
    <n v="0"/>
    <n v="0"/>
    <n v="0"/>
    <n v="0"/>
    <n v="0"/>
    <n v="0"/>
    <n v="84829.789951662984"/>
    <n v="0"/>
    <n v="0"/>
    <n v="0"/>
    <n v="0"/>
    <n v="0"/>
    <n v="0"/>
    <n v="0"/>
    <n v="0"/>
    <n v="84829.789951662984"/>
    <n v="0"/>
    <n v="0"/>
  </r>
  <r>
    <x v="682"/>
    <s v="Gomukh Ranitola"/>
    <s v="vlc"/>
    <s v="Indirect"/>
    <n v="421.75"/>
    <n v="18789.928091415302"/>
    <n v="0"/>
    <n v="0"/>
    <n v="0"/>
    <n v="0"/>
    <n v="0"/>
    <n v="0"/>
    <n v="18789.928091415302"/>
    <n v="0"/>
    <n v="0"/>
    <n v="0"/>
    <n v="0"/>
    <n v="0"/>
    <n v="0"/>
    <n v="0"/>
    <n v="0"/>
    <n v="18789.928091415302"/>
    <n v="0"/>
    <n v="0"/>
  </r>
  <r>
    <x v="683"/>
    <s v="Gomukh Malinagar East"/>
    <s v="MPG"/>
    <s v="Direct"/>
    <n v="886.09999999999991"/>
    <n v="35893.451262242001"/>
    <n v="884.16000000000008"/>
    <n v="35886.857131029159"/>
    <n v="4.5500000000000007"/>
    <n v="203.84822978170004"/>
    <n v="888.71"/>
    <n v="36090.705360810862"/>
    <n v="35893.451262242001"/>
    <n v="0"/>
    <n v="203.84822978170004"/>
    <n v="197.25409856886108"/>
    <n v="0"/>
    <n v="0"/>
    <n v="0"/>
    <n v="35689"/>
    <n v="0"/>
    <n v="0"/>
    <n v="1"/>
    <n v="0"/>
  </r>
  <r>
    <x v="684"/>
    <s v="GOMUKH Singhiya Ward 11"/>
    <s v="vlc"/>
    <s v="Indirect"/>
    <n v="345.84999999999997"/>
    <n v="19553.103775872398"/>
    <n v="0"/>
    <n v="0"/>
    <n v="0"/>
    <n v="0"/>
    <n v="0"/>
    <n v="0"/>
    <n v="19553.103775872398"/>
    <n v="0"/>
    <n v="0"/>
    <n v="0"/>
    <n v="0"/>
    <n v="0"/>
    <n v="0"/>
    <n v="0"/>
    <n v="0"/>
    <n v="19553.103775872398"/>
    <n v="0"/>
    <n v="0"/>
  </r>
  <r>
    <x v="685"/>
    <s v="GOMUKH MANIYARPUR"/>
    <s v="MPG"/>
    <s v="Direct"/>
    <n v="844.65"/>
    <n v="34790.945155935005"/>
    <n v="836.39000000000021"/>
    <n v="34125.711756293334"/>
    <n v="13.979999999999999"/>
    <n v="569.39018053199993"/>
    <n v="850.37000000000023"/>
    <n v="34695.101936825333"/>
    <n v="34695.101936825333"/>
    <n v="0"/>
    <n v="569.39018053199993"/>
    <n v="0"/>
    <n v="0"/>
    <n v="0"/>
    <n v="0"/>
    <n v="34126"/>
    <n v="0"/>
    <n v="0"/>
    <n v="96"/>
    <n v="0"/>
  </r>
  <r>
    <x v="686"/>
    <s v="GOMUKH DIGHRA W-6"/>
    <s v="MPG"/>
    <s v="Direct"/>
    <n v="1072.0499999999997"/>
    <n v="40475.205086729999"/>
    <n v="1067.32"/>
    <n v="41527.783372219696"/>
    <n v="8.8000000000000007"/>
    <n v="376.92906210255001"/>
    <n v="1076.1199999999999"/>
    <n v="41904.712434322246"/>
    <n v="40475.205086729999"/>
    <n v="0"/>
    <n v="376.92906210255001"/>
    <n v="1429.5073475922472"/>
    <n v="6750"/>
    <n v="0"/>
    <n v="0"/>
    <n v="33348"/>
    <n v="0"/>
    <n v="0"/>
    <n v="0"/>
    <n v="0"/>
  </r>
  <r>
    <x v="687"/>
    <s v="GOMUKH BANDRA W-6"/>
    <s v="MPG"/>
    <s v="Direct"/>
    <n v="518.84999999999991"/>
    <n v="21393.165930574582"/>
    <n v="522.6"/>
    <n v="21874.735876771752"/>
    <n v="2.2999999999999998"/>
    <n v="99.404397450000005"/>
    <n v="524.9"/>
    <n v="21974.140274221751"/>
    <n v="21393.165930574582"/>
    <n v="0"/>
    <n v="99.404397450000005"/>
    <n v="580.97434364716901"/>
    <n v="0"/>
    <n v="0"/>
    <n v="0"/>
    <n v="21294"/>
    <n v="0"/>
    <n v="0"/>
    <n v="0"/>
    <n v="0"/>
  </r>
  <r>
    <x v="1004"/>
    <s v="BELSANDI RAJO"/>
    <s v="vlc"/>
    <s v="Indirect"/>
    <n v="619.84999999999991"/>
    <n v="23606.50437993"/>
    <n v="0"/>
    <n v="0"/>
    <n v="0"/>
    <n v="0"/>
    <n v="0"/>
    <n v="0"/>
    <n v="23606.50437993"/>
    <n v="0"/>
    <n v="0"/>
    <n v="0"/>
    <n v="0"/>
    <n v="0"/>
    <n v="0"/>
    <n v="0"/>
    <n v="0"/>
    <n v="23606.50437993"/>
    <n v="0"/>
    <n v="0"/>
  </r>
  <r>
    <x v="688"/>
    <s v="GOMUKH PARAN 2"/>
    <s v="MPG"/>
    <s v="Direct"/>
    <n v="176.75"/>
    <n v="9682.5521154834005"/>
    <n v="177.37000000000003"/>
    <n v="9692.8622724995203"/>
    <n v="6.0500000000000007"/>
    <n v="341.13435918183995"/>
    <n v="183.42000000000004"/>
    <n v="10033.996631681361"/>
    <n v="9682.5521154834005"/>
    <n v="0"/>
    <n v="341.13435918183995"/>
    <n v="351.44451619796018"/>
    <n v="0"/>
    <n v="500"/>
    <n v="0"/>
    <n v="8841"/>
    <n v="0"/>
    <n v="0"/>
    <n v="0"/>
    <n v="0"/>
  </r>
  <r>
    <x v="689"/>
    <s v="GOMUKH KHARAGPUR"/>
    <s v="MPG"/>
    <s v="Direct"/>
    <n v="302.10000000000002"/>
    <n v="15136.414854558903"/>
    <n v="308.10000000000002"/>
    <n v="16293.106095745126"/>
    <n v="0"/>
    <n v="0"/>
    <n v="308.10000000000002"/>
    <n v="16293.106095745126"/>
    <n v="15136.414854558903"/>
    <n v="0"/>
    <n v="0"/>
    <n v="1156.6912411862231"/>
    <n v="0"/>
    <n v="0"/>
    <n v="0"/>
    <n v="15136"/>
    <n v="0"/>
    <n v="0"/>
    <n v="0"/>
    <n v="0"/>
  </r>
  <r>
    <x v="690"/>
    <s v="KAMARGAMA"/>
    <s v="vlc"/>
    <s v="Indirect"/>
    <n v="259.14999999999998"/>
    <n v="15212.488673101499"/>
    <n v="0"/>
    <n v="0"/>
    <n v="0"/>
    <n v="0"/>
    <n v="0"/>
    <n v="0"/>
    <n v="15212.488673101499"/>
    <n v="0"/>
    <n v="0"/>
    <n v="0"/>
    <n v="0"/>
    <n v="0"/>
    <n v="0"/>
    <n v="0"/>
    <n v="0"/>
    <n v="15212.488673101499"/>
    <n v="0"/>
    <n v="0"/>
  </r>
  <r>
    <x v="1005"/>
    <s v="BELSANDI DIH"/>
    <s v="vlc"/>
    <s v="Indirect"/>
    <n v="157.05000000000001"/>
    <n v="5409.0437428920004"/>
    <n v="0"/>
    <n v="0"/>
    <n v="0"/>
    <n v="0"/>
    <n v="0"/>
    <n v="0"/>
    <n v="5409.0437428920004"/>
    <n v="0"/>
    <n v="0"/>
    <n v="0"/>
    <n v="0"/>
    <n v="0"/>
    <n v="0"/>
    <n v="0"/>
    <n v="0"/>
    <n v="5409.0437428920004"/>
    <n v="0"/>
    <n v="0"/>
  </r>
  <r>
    <x v="691"/>
    <s v="GOMUKH BALAHA W-9"/>
    <s v="MPG"/>
    <s v="Direct"/>
    <n v="918.14999999999975"/>
    <n v="35633.89185754631"/>
    <n v="923.5100000000001"/>
    <n v="35968.049425815145"/>
    <n v="12.71"/>
    <n v="488.86359144000005"/>
    <n v="936.22000000000014"/>
    <n v="36456.913017255145"/>
    <n v="35633.89185754631"/>
    <n v="0"/>
    <n v="488.86359144000005"/>
    <n v="823.0211597088346"/>
    <n v="144"/>
    <n v="0"/>
    <n v="0"/>
    <n v="35001"/>
    <n v="0"/>
    <n v="0"/>
    <n v="0"/>
    <n v="0"/>
  </r>
  <r>
    <x v="949"/>
    <s v="Gomukh NAMAPUR East"/>
    <s v="vlc"/>
    <s v="Indirect"/>
    <n v="781.79999999999984"/>
    <n v="29117.280786154504"/>
    <n v="0"/>
    <n v="0"/>
    <n v="0"/>
    <n v="0"/>
    <n v="0"/>
    <n v="0"/>
    <n v="29117.280786154504"/>
    <n v="0"/>
    <n v="0"/>
    <n v="0"/>
    <n v="0"/>
    <n v="0"/>
    <n v="0"/>
    <n v="0"/>
    <n v="0"/>
    <n v="29117.280786154504"/>
    <n v="0"/>
    <n v="0"/>
  </r>
  <r>
    <x v="692"/>
    <s v="GOMUKH Madanpur W-3"/>
    <s v="MPG"/>
    <s v="Direct"/>
    <n v="1983.1499999999999"/>
    <n v="93831.570590790812"/>
    <n v="1992.7699999999998"/>
    <n v="92601.229261745655"/>
    <n v="28.58"/>
    <n v="1282.274307164226"/>
    <n v="2021.3499999999997"/>
    <n v="93883.503568909888"/>
    <n v="93831.570590790812"/>
    <n v="0"/>
    <n v="1282.274307164226"/>
    <n v="51.932978119075415"/>
    <n v="0"/>
    <n v="0"/>
    <n v="0"/>
    <n v="92549"/>
    <n v="0"/>
    <n v="0"/>
    <n v="0"/>
    <n v="0"/>
  </r>
  <r>
    <x v="693"/>
    <s v="Gomukh Namapur East (08)"/>
    <s v="vlc"/>
    <s v="Indirect"/>
    <n v="409.20000000000005"/>
    <n v="14947.770437550003"/>
    <n v="0"/>
    <n v="0"/>
    <n v="0"/>
    <n v="0"/>
    <n v="0"/>
    <n v="0"/>
    <n v="14947.770437550003"/>
    <n v="0"/>
    <n v="0"/>
    <n v="0"/>
    <n v="0"/>
    <n v="0"/>
    <n v="0"/>
    <n v="0"/>
    <n v="0"/>
    <n v="14947.770437550003"/>
    <n v="0"/>
    <n v="0"/>
  </r>
  <r>
    <x v="694"/>
    <s v="GOMUKH Kalaunjar"/>
    <s v="MPG"/>
    <s v="Direct"/>
    <n v="629.75"/>
    <n v="27308.6803243043"/>
    <n v="637.96"/>
    <n v="25937.540320629978"/>
    <n v="35.699999999999996"/>
    <n v="1403.62796369532"/>
    <n v="673.66000000000008"/>
    <n v="27341.168284325297"/>
    <n v="27308.6803243043"/>
    <n v="0"/>
    <n v="1403.62796369532"/>
    <n v="32.487960020996979"/>
    <n v="0"/>
    <n v="0"/>
    <n v="0"/>
    <n v="25905"/>
    <n v="0"/>
    <n v="0"/>
    <n v="0"/>
    <n v="0"/>
  </r>
  <r>
    <x v="695"/>
    <s v="Jitwariya W-11"/>
    <s v="vlc"/>
    <s v="Indirect"/>
    <n v="160.75"/>
    <n v="6532.1943838139996"/>
    <n v="0"/>
    <n v="0"/>
    <n v="0"/>
    <n v="0"/>
    <n v="0"/>
    <n v="0"/>
    <n v="6532.1943838139996"/>
    <n v="0"/>
    <n v="0"/>
    <n v="0"/>
    <n v="0"/>
    <n v="0"/>
    <n v="0"/>
    <n v="0"/>
    <n v="0"/>
    <n v="6532.1943838139996"/>
    <n v="0"/>
    <n v="0"/>
  </r>
  <r>
    <x v="696"/>
    <s v="Pastara Lakshman"/>
    <s v="vlc"/>
    <s v="Indirect"/>
    <n v="153.14999999999998"/>
    <n v="5202.5703103229998"/>
    <n v="0"/>
    <n v="0"/>
    <n v="0"/>
    <n v="0"/>
    <n v="0"/>
    <n v="0"/>
    <n v="5202.5703103229998"/>
    <n v="0"/>
    <n v="0"/>
    <n v="0"/>
    <n v="0"/>
    <n v="0"/>
    <n v="0"/>
    <n v="0"/>
    <n v="0"/>
    <n v="5202.5703103229998"/>
    <n v="0"/>
    <n v="0"/>
  </r>
  <r>
    <x v="697"/>
    <s v="GOMUKH DADHIYA-2"/>
    <s v="MPG"/>
    <s v="Direct"/>
    <n v="1770.3999999999999"/>
    <n v="76530.407553480327"/>
    <n v="1750.98"/>
    <n v="74921.779546256876"/>
    <n v="28.479999999999993"/>
    <n v="1267.2133946965"/>
    <n v="1779.46"/>
    <n v="76188.99294095338"/>
    <n v="76188.99294095338"/>
    <n v="0"/>
    <n v="1267.2133946965"/>
    <n v="0"/>
    <n v="0"/>
    <n v="0"/>
    <n v="0"/>
    <n v="74922"/>
    <n v="0"/>
    <n v="0"/>
    <n v="341"/>
    <n v="0"/>
  </r>
  <r>
    <x v="698"/>
    <s v="GOMUKH PREMNAGAR"/>
    <s v="MPG"/>
    <s v="Direct"/>
    <n v="1014.4999999999999"/>
    <n v="40956.156402000001"/>
    <n v="984.99999999999989"/>
    <n v="40887.60992449629"/>
    <n v="5.81"/>
    <n v="227.51796142200004"/>
    <n v="990.80999999999983"/>
    <n v="41115.127885918293"/>
    <n v="40956.156402000001"/>
    <n v="0"/>
    <n v="226.75065890400003"/>
    <n v="158.97148391829251"/>
    <n v="0"/>
    <n v="0"/>
    <n v="0"/>
    <n v="40728"/>
    <n v="1"/>
    <n v="0"/>
    <n v="0"/>
    <n v="0"/>
  </r>
  <r>
    <x v="699"/>
    <s v="GOMUKH JITWARIYA W-6"/>
    <s v="MPG"/>
    <s v="Direct"/>
    <n v="2049.25"/>
    <n v="83101.751417114414"/>
    <n v="2033.47"/>
    <n v="83571.110337610866"/>
    <n v="19.470000000000002"/>
    <n v="827.26313332799998"/>
    <n v="2052.94"/>
    <n v="84398.373470938866"/>
    <n v="83101.751417114414"/>
    <n v="0"/>
    <n v="827.26313332799998"/>
    <n v="1296.6220538244525"/>
    <n v="0"/>
    <n v="0"/>
    <n v="0"/>
    <n v="82274"/>
    <n v="0"/>
    <n v="0"/>
    <n v="0"/>
    <n v="0"/>
  </r>
  <r>
    <x v="700"/>
    <s v="GOMUKH SUSTA"/>
    <s v="MPG"/>
    <s v="Direct"/>
    <n v="808.09999999999991"/>
    <n v="35528.143569655746"/>
    <n v="807.53999999999985"/>
    <n v="35687.272284650593"/>
    <n v="0.4"/>
    <n v="16.262832960000004"/>
    <n v="807.93999999999983"/>
    <n v="35703.535117610591"/>
    <n v="35528.143569655746"/>
    <n v="0"/>
    <n v="16.262832960000004"/>
    <n v="175.39154795484501"/>
    <n v="0"/>
    <n v="0"/>
    <n v="0"/>
    <n v="35512"/>
    <n v="0"/>
    <n v="0"/>
    <n v="0"/>
    <n v="0"/>
  </r>
  <r>
    <x v="950"/>
    <s v="DIH LAHI"/>
    <s v="vlc"/>
    <s v="Indirect"/>
    <n v="2560.2000000000003"/>
    <n v="116770.68601540738"/>
    <n v="0"/>
    <n v="0"/>
    <n v="0"/>
    <n v="0"/>
    <n v="0"/>
    <n v="0"/>
    <n v="116770.68601540738"/>
    <n v="0"/>
    <n v="0"/>
    <n v="0"/>
    <n v="0"/>
    <n v="0"/>
    <n v="0"/>
    <n v="0"/>
    <n v="0"/>
    <n v="116770.68601540738"/>
    <n v="0"/>
    <n v="0"/>
  </r>
  <r>
    <x v="702"/>
    <s v="BHATGAMA W-5"/>
    <s v="vlc"/>
    <s v="Indirect"/>
    <n v="205.3"/>
    <n v="7520.8001645988006"/>
    <n v="0"/>
    <n v="0"/>
    <n v="0"/>
    <n v="0"/>
    <n v="0"/>
    <n v="0"/>
    <n v="7520.8001645988006"/>
    <n v="0"/>
    <n v="0"/>
    <n v="0"/>
    <n v="0"/>
    <n v="0"/>
    <n v="0"/>
    <n v="0"/>
    <n v="0"/>
    <n v="7520.8001645988006"/>
    <n v="0"/>
    <n v="0"/>
  </r>
  <r>
    <x v="703"/>
    <s v="GOMUKH TOKE"/>
    <s v="MPG"/>
    <s v="Direct"/>
    <n v="229.24999999999997"/>
    <n v="10005.653201467099"/>
    <n v="226.39999999999998"/>
    <n v="9959.1719653139608"/>
    <n v="5.5"/>
    <n v="240.92435288063999"/>
    <n v="231.89999999999998"/>
    <n v="10200.096318194601"/>
    <n v="10005.653201467099"/>
    <n v="0"/>
    <n v="240.92435288063999"/>
    <n v="194.44311672750155"/>
    <n v="0"/>
    <n v="0"/>
    <n v="0"/>
    <n v="9765"/>
    <n v="0"/>
    <n v="0"/>
    <n v="0"/>
    <n v="0"/>
  </r>
  <r>
    <x v="704"/>
    <s v="GOMUKH SHIVNAGAR"/>
    <s v="MPG"/>
    <s v="Direct"/>
    <n v="1089.2000000000003"/>
    <n v="44344.651497455052"/>
    <n v="872.7"/>
    <n v="34460.333540908621"/>
    <n v="219.9"/>
    <n v="10079.0249536186"/>
    <n v="1092.6000000000001"/>
    <n v="44539.358494527223"/>
    <n v="44344.651497455052"/>
    <n v="0"/>
    <n v="219.96725176800004"/>
    <n v="194.70699707217136"/>
    <n v="950"/>
    <n v="0"/>
    <n v="0"/>
    <n v="33315"/>
    <n v="9860"/>
    <n v="0"/>
    <n v="0"/>
    <n v="0"/>
  </r>
  <r>
    <x v="705"/>
    <s v="GOMUKH BAKHITIYARPUR"/>
    <s v="MPG"/>
    <s v="Direct"/>
    <n v="1192.8500000000001"/>
    <n v="53058.69482841334"/>
    <n v="1176.1999999999998"/>
    <n v="52268.327396420325"/>
    <n v="18.499999999999996"/>
    <n v="797.17382400000008"/>
    <n v="1194.6999999999998"/>
    <n v="53065.501220420323"/>
    <n v="53058.69482841334"/>
    <n v="0"/>
    <n v="797.17382400000008"/>
    <n v="6.8063920069835149"/>
    <n v="0"/>
    <n v="0"/>
    <n v="0"/>
    <n v="52262"/>
    <n v="0"/>
    <n v="0"/>
    <n v="0"/>
    <n v="0"/>
  </r>
  <r>
    <x v="706"/>
    <s v="GOMUKH BHARJA"/>
    <s v="MPG"/>
    <s v="Direct"/>
    <n v="726.6"/>
    <n v="39071.282319207006"/>
    <n v="729.10000000000014"/>
    <n v="38405.315765429696"/>
    <n v="8.6"/>
    <n v="534.71135625000011"/>
    <n v="737.70000000000016"/>
    <n v="38940.027121679697"/>
    <n v="38940.027121679697"/>
    <n v="0"/>
    <n v="534.71135625000011"/>
    <n v="0"/>
    <n v="0"/>
    <n v="0"/>
    <n v="0"/>
    <n v="38405"/>
    <n v="0"/>
    <n v="0"/>
    <n v="132"/>
    <n v="0"/>
  </r>
  <r>
    <x v="707"/>
    <s v="GOMUKH NAWABGANJ"/>
    <s v="MPG"/>
    <s v="Direct"/>
    <n v="667.25"/>
    <n v="27798.415047957002"/>
    <n v="653.79999999999973"/>
    <n v="26843.049417626815"/>
    <n v="21.700000000000003"/>
    <n v="921.4847962834001"/>
    <n v="675.49999999999977"/>
    <n v="27764.534213910214"/>
    <n v="27764.534213910214"/>
    <n v="0"/>
    <n v="921.4847962834001"/>
    <n v="0"/>
    <n v="0"/>
    <n v="0"/>
    <n v="0"/>
    <n v="26845"/>
    <n v="0"/>
    <n v="0"/>
    <n v="32"/>
    <n v="0"/>
  </r>
  <r>
    <x v="708"/>
    <s v="GOMUKH CHAKKI"/>
    <s v="MPG"/>
    <s v="Direct"/>
    <n v="248.4"/>
    <n v="10121.225529760501"/>
    <n v="248.3"/>
    <n v="10739.246761235539"/>
    <n v="1.8"/>
    <n v="79.655470513400005"/>
    <n v="250.10000000000002"/>
    <n v="10818.90223174894"/>
    <n v="10121.225529760501"/>
    <n v="0"/>
    <n v="79.655470513400005"/>
    <n v="697.67670198843916"/>
    <n v="0"/>
    <n v="0"/>
    <n v="0"/>
    <n v="10041"/>
    <n v="0"/>
    <n v="0"/>
    <n v="1"/>
    <n v="0"/>
  </r>
  <r>
    <x v="709"/>
    <s v="GOMUKH LAKSHMAN NAGAR"/>
    <s v="MPG"/>
    <s v="Direct"/>
    <n v="351.90000000000003"/>
    <n v="15326.478783829902"/>
    <n v="363.70000000000005"/>
    <n v="15930.74461102402"/>
    <n v="3.7"/>
    <n v="149.00129253"/>
    <n v="367.40000000000003"/>
    <n v="16079.74590355402"/>
    <n v="15326.478783829902"/>
    <n v="0"/>
    <n v="149.00129253"/>
    <n v="753.26711972411795"/>
    <n v="0"/>
    <n v="0"/>
    <n v="0"/>
    <n v="15177"/>
    <n v="0"/>
    <n v="0"/>
    <n v="0"/>
    <n v="0"/>
  </r>
  <r>
    <x v="710"/>
    <s v="GOMUKH KOTHIYA"/>
    <s v="MPG"/>
    <s v="Direct"/>
    <n v="105.15"/>
    <n v="4206.1832073922506"/>
    <n v="103.30000000000001"/>
    <n v="4054.6028370341"/>
    <n v="0"/>
    <n v="0"/>
    <n v="103.30000000000001"/>
    <n v="4054.6028370341"/>
    <n v="4054.6028370341"/>
    <n v="0"/>
    <n v="0"/>
    <n v="0"/>
    <n v="0"/>
    <n v="500"/>
    <n v="0"/>
    <n v="3555"/>
    <n v="0"/>
    <n v="0"/>
    <n v="151"/>
    <n v="0"/>
  </r>
  <r>
    <x v="711"/>
    <s v="GOMUKH JHAHURI"/>
    <s v="MPG"/>
    <s v="Direct"/>
    <n v="2435.8500000000004"/>
    <n v="106695.13348276513"/>
    <n v="2407.3000000000002"/>
    <n v="107013.12368057622"/>
    <n v="29.9"/>
    <n v="1302.3995220300003"/>
    <n v="2437.2000000000003"/>
    <n v="108315.52320260621"/>
    <n v="106695.13348276513"/>
    <n v="0"/>
    <n v="1302.3995220300003"/>
    <n v="1620.389719841085"/>
    <n v="0"/>
    <n v="0"/>
    <n v="0"/>
    <n v="105393"/>
    <n v="0"/>
    <n v="0"/>
    <n v="0"/>
    <n v="0"/>
  </r>
  <r>
    <x v="712"/>
    <s v="GOMUKH Gopalpur Ward 1"/>
    <s v="MPG"/>
    <s v="Direct"/>
    <n v="138"/>
    <n v="5246.1671381790002"/>
    <n v="138.29000000000002"/>
    <n v="4827.7132067935509"/>
    <n v="1.31"/>
    <n v="47.979349078200016"/>
    <n v="139.60000000000002"/>
    <n v="4875.6925558717512"/>
    <n v="4875.6925558717512"/>
    <n v="0"/>
    <n v="47.979349078200016"/>
    <n v="0"/>
    <n v="0"/>
    <n v="0"/>
    <n v="0"/>
    <n v="4828"/>
    <n v="0"/>
    <n v="0"/>
    <n v="370"/>
    <n v="0"/>
  </r>
  <r>
    <x v="713"/>
    <s v="GOMUKH Keotsa"/>
    <s v="MPG"/>
    <s v="Direct"/>
    <n v="393.4"/>
    <n v="15102.725012654999"/>
    <n v="386.82000000000005"/>
    <n v="14678.591630796966"/>
    <n v="7.99"/>
    <n v="347.92251811856005"/>
    <n v="394.81000000000006"/>
    <n v="15026.514148915525"/>
    <n v="15026.514148915525"/>
    <n v="0"/>
    <n v="347.92251811856005"/>
    <n v="0"/>
    <n v="0"/>
    <n v="0"/>
    <n v="0"/>
    <n v="14678"/>
    <n v="0"/>
    <n v="0"/>
    <n v="77"/>
    <n v="0"/>
  </r>
  <r>
    <x v="714"/>
    <s v="Gomukh NAMAPUR East"/>
    <s v="vlc"/>
    <s v="Indirect"/>
    <n v="317.15000000000003"/>
    <n v="15609.358784971302"/>
    <n v="0"/>
    <n v="0"/>
    <n v="0"/>
    <n v="0"/>
    <n v="0"/>
    <n v="0"/>
    <n v="15609.358784971302"/>
    <n v="0"/>
    <n v="0"/>
    <n v="0"/>
    <n v="0"/>
    <n v="0"/>
    <n v="0"/>
    <n v="0"/>
    <n v="0"/>
    <n v="15609.358784971302"/>
    <n v="0"/>
    <n v="0"/>
  </r>
  <r>
    <x v="715"/>
    <s v="GOMUKH Waini"/>
    <s v="MPG"/>
    <s v="Direct"/>
    <n v="223.45"/>
    <n v="8740.4474300610018"/>
    <n v="219.30999999999995"/>
    <n v="8788.5380117895329"/>
    <n v="5.25"/>
    <n v="204.16308358500004"/>
    <n v="224.55999999999995"/>
    <n v="8992.7010953745321"/>
    <n v="8740.4474300610018"/>
    <n v="0"/>
    <n v="204.16308358500004"/>
    <n v="252.25366531353029"/>
    <n v="0"/>
    <n v="0"/>
    <n v="0"/>
    <n v="8536"/>
    <n v="0"/>
    <n v="0"/>
    <n v="0"/>
    <n v="0"/>
  </r>
  <r>
    <x v="716"/>
    <s v="GOMUKH SAKARI"/>
    <s v="MPG"/>
    <s v="Direct"/>
    <n v="1542.15"/>
    <n v="64301.909158724753"/>
    <n v="1534.3500000000001"/>
    <n v="64118.376797781806"/>
    <n v="11.04"/>
    <n v="478.81946269200006"/>
    <n v="1545.39"/>
    <n v="64597.196260473807"/>
    <n v="64301.909158724753"/>
    <n v="0"/>
    <n v="478.81946269200006"/>
    <n v="295.28710174905427"/>
    <n v="0"/>
    <n v="0"/>
    <n v="0"/>
    <n v="63823"/>
    <n v="0"/>
    <n v="0"/>
    <n v="0"/>
    <n v="0"/>
  </r>
  <r>
    <x v="717"/>
    <s v="GOMUKH DHOBGAMA"/>
    <s v="MPG"/>
    <s v="Direct"/>
    <n v="771.5"/>
    <n v="30162.869949330554"/>
    <n v="755.6099999999999"/>
    <n v="29176.673042313418"/>
    <n v="17.87"/>
    <n v="717.69346593300008"/>
    <n v="773.4799999999999"/>
    <n v="29894.366508246418"/>
    <n v="29894.366508246418"/>
    <n v="0"/>
    <n v="717.69346593300008"/>
    <n v="0"/>
    <n v="0"/>
    <n v="0"/>
    <n v="0"/>
    <n v="29177"/>
    <n v="0"/>
    <n v="0"/>
    <n v="268"/>
    <n v="0"/>
  </r>
  <r>
    <x v="718"/>
    <s v="GOMUKH BHUSKOUL"/>
    <s v="MPG"/>
    <s v="Direct"/>
    <n v="637.19999999999993"/>
    <n v="26234.876368964997"/>
    <n v="628.08000000000004"/>
    <n v="26088.276322655896"/>
    <n v="12.810000000000002"/>
    <n v="524.18030597280006"/>
    <n v="640.8900000000001"/>
    <n v="26612.456628628697"/>
    <n v="26234.876368964997"/>
    <n v="0"/>
    <n v="524.18030597280006"/>
    <n v="377.58025966370042"/>
    <n v="0"/>
    <n v="0"/>
    <n v="0"/>
    <n v="25711"/>
    <n v="0"/>
    <n v="0"/>
    <n v="0"/>
    <n v="0"/>
  </r>
  <r>
    <x v="719"/>
    <s v="GOMUKH BIRSINGHPUR"/>
    <s v="MPG"/>
    <s v="Direct"/>
    <n v="455.20000000000005"/>
    <n v="18296.646393555002"/>
    <n v="451.69000000000005"/>
    <n v="18181.173915413401"/>
    <n v="0"/>
    <n v="0"/>
    <n v="451.69000000000005"/>
    <n v="18181.173915413401"/>
    <n v="18181.173915413401"/>
    <n v="0"/>
    <n v="0"/>
    <n v="0"/>
    <n v="0"/>
    <n v="0"/>
    <n v="0"/>
    <n v="18181"/>
    <n v="0"/>
    <n v="0"/>
    <n v="116"/>
    <n v="0"/>
  </r>
  <r>
    <x v="720"/>
    <s v="GOMUKH GHOSRAWAN"/>
    <s v="MPG"/>
    <s v="Direct"/>
    <n v="571.45000000000005"/>
    <n v="21778.47294184575"/>
    <n v="566.41999999999996"/>
    <n v="22460.687231061002"/>
    <n v="4.7799999999999994"/>
    <n v="192.94772136"/>
    <n v="571.19999999999993"/>
    <n v="22653.634952421002"/>
    <n v="21778.47294184575"/>
    <n v="0"/>
    <n v="192.94772136"/>
    <n v="875.16201057525177"/>
    <n v="0"/>
    <n v="0"/>
    <n v="0"/>
    <n v="21585"/>
    <n v="0"/>
    <n v="0"/>
    <n v="1"/>
    <n v="0"/>
  </r>
  <r>
    <x v="951"/>
    <s v="GOMUKH BANDRA W-9"/>
    <s v="MPG"/>
    <s v="Direct"/>
    <n v="103.5"/>
    <n v="5416.3409782347499"/>
    <n v="97.38"/>
    <n v="5169.3524591287414"/>
    <n v="3.1099999999999994"/>
    <n v="165.48829598171005"/>
    <n v="100.49"/>
    <n v="5334.8407551104519"/>
    <n v="5334.8407551104519"/>
    <n v="0"/>
    <n v="165.48829598171005"/>
    <n v="0"/>
    <n v="0"/>
    <n v="0"/>
    <n v="0"/>
    <n v="5170"/>
    <n v="0"/>
    <n v="0"/>
    <n v="81"/>
    <n v="0"/>
  </r>
  <r>
    <x v="721"/>
    <s v="GOMUKH DHROOVGAMA W-12"/>
    <s v="vlc"/>
    <s v="Indirect"/>
    <n v="270.65000000000003"/>
    <n v="10351.935234210001"/>
    <n v="0"/>
    <n v="0"/>
    <n v="0"/>
    <n v="0"/>
    <n v="0"/>
    <n v="0"/>
    <n v="10351.935234210001"/>
    <n v="0"/>
    <n v="0"/>
    <n v="0"/>
    <n v="4050"/>
    <n v="0"/>
    <n v="0"/>
    <n v="0"/>
    <n v="0"/>
    <n v="6301.935234210001"/>
    <n v="0"/>
    <n v="0"/>
  </r>
  <r>
    <x v="722"/>
    <s v="GOMUKH ANANDPUR PARAS 2"/>
    <s v="MPG"/>
    <s v="Direct"/>
    <n v="3309.7"/>
    <n v="134853.31804761"/>
    <n v="3310.5000000000005"/>
    <n v="134885.21011353002"/>
    <n v="0"/>
    <n v="0"/>
    <n v="3310.5000000000005"/>
    <n v="134885.21011353002"/>
    <n v="134853.31804761"/>
    <n v="0"/>
    <n v="0"/>
    <n v="31.892065920023015"/>
    <n v="0"/>
    <n v="0"/>
    <n v="0"/>
    <n v="134853"/>
    <n v="0"/>
    <n v="0"/>
    <n v="0"/>
    <n v="0"/>
  </r>
  <r>
    <x v="723"/>
    <s v="GOMUKH GADBANNI"/>
    <s v="MPG"/>
    <s v="Direct"/>
    <n v="254.9"/>
    <n v="10139.075938380003"/>
    <n v="352.03000000000003"/>
    <n v="14011.454240058452"/>
    <n v="0"/>
    <n v="0"/>
    <n v="352.03000000000003"/>
    <n v="14011.454240058452"/>
    <n v="10139.075938380003"/>
    <n v="0"/>
    <n v="0"/>
    <n v="3872.3783016784491"/>
    <n v="0"/>
    <n v="0"/>
    <n v="0"/>
    <n v="0"/>
    <n v="0"/>
    <n v="0"/>
    <n v="10139"/>
    <s v="Yes"/>
  </r>
  <r>
    <x v="724"/>
    <s v="GOMUKH PARRI"/>
    <s v="MPG"/>
    <s v="Direct"/>
    <n v="189.8"/>
    <n v="9002.781454915561"/>
    <n v="198.39"/>
    <n v="10500.337758652606"/>
    <n v="0"/>
    <n v="0"/>
    <n v="198.39"/>
    <n v="10500.337758652606"/>
    <n v="9002.781454915561"/>
    <n v="0"/>
    <n v="0"/>
    <n v="1497.5563037370448"/>
    <n v="0"/>
    <n v="500"/>
    <n v="0"/>
    <n v="8503"/>
    <n v="0"/>
    <n v="0"/>
    <n v="0"/>
    <s v="Release1"/>
  </r>
  <r>
    <x v="725"/>
    <s v="GOMUKH BHIKHARI GHAT"/>
    <s v="MPG"/>
    <s v="Direct"/>
    <n v="1134.2"/>
    <n v="46706.148046950002"/>
    <n v="1151.48"/>
    <n v="47228.897116256638"/>
    <n v="0"/>
    <n v="0"/>
    <n v="1151.48"/>
    <n v="47228.897116256638"/>
    <n v="46706.148046950002"/>
    <n v="0"/>
    <n v="0"/>
    <n v="522.74906930663565"/>
    <n v="0"/>
    <n v="0"/>
    <n v="0"/>
    <n v="0"/>
    <n v="0"/>
    <n v="0"/>
    <n v="46706"/>
    <s v="Yes"/>
  </r>
  <r>
    <x v="726"/>
    <s v="Vikash Kumar"/>
    <s v="vlc"/>
    <s v="Indirect"/>
    <n v="2090.1"/>
    <n v="86642.321536050018"/>
    <n v="0"/>
    <n v="0"/>
    <n v="0"/>
    <n v="0"/>
    <n v="0"/>
    <n v="0"/>
    <n v="86642.321536050018"/>
    <n v="0"/>
    <n v="0"/>
    <n v="0"/>
    <n v="0"/>
    <n v="0"/>
    <n v="0"/>
    <n v="0"/>
    <n v="0"/>
    <n v="86642.321536050018"/>
    <n v="0"/>
    <n v="0"/>
  </r>
  <r>
    <x v="727"/>
    <s v="Rajkishore Yadav"/>
    <s v="vlc"/>
    <s v="Indirect"/>
    <n v="310.7999999999999"/>
    <n v="10406.140767148501"/>
    <n v="0"/>
    <n v="0"/>
    <n v="0"/>
    <n v="0"/>
    <n v="0"/>
    <n v="0"/>
    <n v="10406.140767148501"/>
    <n v="0"/>
    <n v="0"/>
    <n v="0"/>
    <n v="0"/>
    <n v="0"/>
    <n v="0"/>
    <n v="0"/>
    <n v="0"/>
    <n v="10406.140767148501"/>
    <n v="0"/>
    <n v="0"/>
  </r>
  <r>
    <x v="728"/>
    <s v="BHADAS VLC"/>
    <s v="vlc"/>
    <s v="Indirect"/>
    <n v="83.6"/>
    <n v="3345.4515130665"/>
    <n v="0"/>
    <n v="0"/>
    <n v="0"/>
    <n v="0"/>
    <n v="0"/>
    <n v="0"/>
    <n v="3345.4515130665"/>
    <n v="0"/>
    <n v="0"/>
    <n v="0"/>
    <n v="0"/>
    <n v="0"/>
    <n v="0"/>
    <n v="0"/>
    <n v="0"/>
    <n v="3345.4515130665"/>
    <n v="0"/>
    <n v="0"/>
  </r>
  <r>
    <x v="952"/>
    <s v="SUNIL KUMAR VLC"/>
    <s v="vlc"/>
    <s v="Indirect"/>
    <n v="595.64"/>
    <n v="23186.982511956001"/>
    <n v="0"/>
    <n v="0"/>
    <n v="0"/>
    <n v="0"/>
    <n v="0"/>
    <n v="0"/>
    <n v="23186.982511956001"/>
    <n v="0"/>
    <n v="0"/>
    <n v="0"/>
    <n v="0"/>
    <n v="0"/>
    <n v="0"/>
    <n v="0"/>
    <n v="0"/>
    <n v="23186.982511956001"/>
    <n v="0"/>
    <n v="0"/>
  </r>
  <r>
    <x v="729"/>
    <s v="GOMUKH BENHER"/>
    <s v="MPG"/>
    <s v="Direct"/>
    <n v="365.80000000000007"/>
    <n v="19787.797667389201"/>
    <n v="372.78000000000009"/>
    <n v="20091.544087816765"/>
    <n v="1.3000000000000003"/>
    <n v="70.218451141740019"/>
    <n v="374.0800000000001"/>
    <n v="20161.762538958505"/>
    <n v="19787.797667389201"/>
    <n v="0"/>
    <n v="70.218451141740019"/>
    <n v="373.9648715693038"/>
    <n v="0"/>
    <n v="0"/>
    <n v="0"/>
    <n v="19718"/>
    <n v="0"/>
    <n v="0"/>
    <n v="0"/>
    <n v="0"/>
  </r>
  <r>
    <x v="730"/>
    <s v="GOMUKH LADORA"/>
    <s v="MPG"/>
    <s v="Direct"/>
    <n v="981.16"/>
    <n v="37257.306756711005"/>
    <n v="967.84999999999991"/>
    <n v="41933.271921019936"/>
    <n v="0"/>
    <n v="0"/>
    <n v="967.84999999999991"/>
    <n v="41933.271921019936"/>
    <n v="37257.306756711005"/>
    <n v="0"/>
    <n v="0"/>
    <n v="4675.965164308931"/>
    <n v="0"/>
    <n v="0"/>
    <n v="0"/>
    <n v="37257"/>
    <n v="0"/>
    <n v="0"/>
    <n v="0"/>
    <n v="0"/>
  </r>
  <r>
    <x v="731"/>
    <s v="GOMUKH SAHSI"/>
    <s v="MPG"/>
    <s v="Direct"/>
    <n v="183.88000000000002"/>
    <n v="8189.4612328212006"/>
    <n v="192.97"/>
    <n v="8411.3875614196822"/>
    <n v="0"/>
    <n v="0"/>
    <n v="192.97"/>
    <n v="8411.3875614196822"/>
    <n v="8189.4612328212006"/>
    <n v="0"/>
    <n v="0"/>
    <n v="221.92632859848163"/>
    <n v="0"/>
    <n v="500"/>
    <n v="0"/>
    <n v="7689"/>
    <n v="0"/>
    <n v="0"/>
    <n v="0"/>
    <n v="0"/>
  </r>
  <r>
    <x v="732"/>
    <s v="Gomukh Chikni"/>
    <s v="MPG"/>
    <s v="Direct"/>
    <n v="225.95999999999998"/>
    <n v="8740.1896774200031"/>
    <n v="247.03999999999996"/>
    <n v="9395.9019152340024"/>
    <n v="0"/>
    <n v="0"/>
    <n v="247.03999999999996"/>
    <n v="9395.9019152340024"/>
    <n v="8740.1896774200031"/>
    <n v="0"/>
    <n v="0"/>
    <n v="655.71223781399931"/>
    <n v="0"/>
    <n v="500"/>
    <n v="0"/>
    <n v="8240"/>
    <n v="0"/>
    <n v="0"/>
    <n v="0"/>
    <s v="Release1"/>
  </r>
  <r>
    <x v="733"/>
    <s v="GOMUKH BUDWA"/>
    <s v="MPG"/>
    <s v="Direct"/>
    <n v="97.94"/>
    <n v="3566.3041801200002"/>
    <n v="103.56"/>
    <n v="3783.5999424618935"/>
    <n v="0"/>
    <n v="0"/>
    <n v="103.56"/>
    <n v="3783.5999424618935"/>
    <n v="3566.3041801200002"/>
    <n v="0"/>
    <n v="0"/>
    <n v="217.29576234189335"/>
    <n v="0"/>
    <n v="500"/>
    <n v="0"/>
    <n v="3066"/>
    <n v="0"/>
    <n v="0"/>
    <n v="0"/>
    <s v="Release1"/>
  </r>
  <r>
    <x v="734"/>
    <s v="GOMUKH GANGIYA"/>
    <s v="MPG"/>
    <s v="Indirect"/>
    <n v="463.7"/>
    <n v="16240.235968839001"/>
    <n v="0"/>
    <n v="0"/>
    <n v="0"/>
    <n v="0"/>
    <n v="0"/>
    <n v="0"/>
    <n v="16240.235968839001"/>
    <n v="0"/>
    <n v="0"/>
    <n v="0"/>
    <n v="0"/>
    <n v="0"/>
    <n v="0"/>
    <n v="0"/>
    <n v="0"/>
    <n v="16240.235968839001"/>
    <n v="0"/>
    <n v="0"/>
  </r>
  <r>
    <x v="735"/>
    <s v="GOMUKH AMBA ICHARUA"/>
    <s v="MPG"/>
    <s v="Direct"/>
    <n v="548.68000000000006"/>
    <n v="22884.896580001605"/>
    <n v="0"/>
    <n v="0"/>
    <n v="577.26"/>
    <n v="25313.871980052401"/>
    <n v="577.26"/>
    <n v="25313.871980052401"/>
    <n v="22884.896580001605"/>
    <n v="0"/>
    <n v="0"/>
    <n v="2428.9754000507965"/>
    <n v="0"/>
    <n v="0"/>
    <n v="0"/>
    <n v="0"/>
    <n v="0"/>
    <n v="0"/>
    <n v="22885"/>
    <s v="Yes"/>
  </r>
  <r>
    <x v="736"/>
    <s v="RAJAURA VLC"/>
    <s v="vlc"/>
    <s v="Indirect"/>
    <n v="651.38"/>
    <n v="23747.189542738808"/>
    <n v="0"/>
    <n v="0"/>
    <n v="0"/>
    <n v="0"/>
    <n v="0"/>
    <n v="0"/>
    <n v="23747.189542738808"/>
    <n v="0"/>
    <n v="0"/>
    <n v="0"/>
    <n v="0"/>
    <n v="0"/>
    <n v="0"/>
    <n v="0"/>
    <n v="0"/>
    <n v="23747.189542738808"/>
    <n v="0"/>
    <n v="0"/>
  </r>
  <r>
    <x v="737"/>
    <s v="GOMUKH JWALAPUR"/>
    <s v="MPG"/>
    <s v="Direct"/>
    <n v="297.18"/>
    <n v="10788.5559121194"/>
    <n v="503"/>
    <n v="21297.477904500003"/>
    <n v="0"/>
    <n v="0"/>
    <n v="503"/>
    <n v="21297.477904500003"/>
    <n v="10788.5559121194"/>
    <n v="0"/>
    <n v="0"/>
    <n v="10508.921992380603"/>
    <n v="0"/>
    <n v="500"/>
    <n v="0"/>
    <n v="10289"/>
    <n v="0"/>
    <n v="0"/>
    <n v="0"/>
    <n v="0"/>
  </r>
  <r>
    <x v="738"/>
    <s v="GOMUKH MATHURAPUR"/>
    <s v="MPG"/>
    <s v="Direct"/>
    <n v="165.35999999999999"/>
    <n v="6399.3056817150018"/>
    <n v="500"/>
    <n v="21879.564300000002"/>
    <n v="0"/>
    <n v="0"/>
    <n v="500"/>
    <n v="21879.564300000002"/>
    <n v="6399.3056817150018"/>
    <n v="0"/>
    <n v="0"/>
    <n v="15480.258618284999"/>
    <n v="0"/>
    <n v="0"/>
    <n v="0"/>
    <n v="6399"/>
    <n v="0"/>
    <n v="0"/>
    <n v="0"/>
    <n v="0"/>
  </r>
  <r>
    <x v="739"/>
    <s v="VLC Dhushmuri Bishanpur"/>
    <s v="vlc"/>
    <s v="Indirect"/>
    <n v="785.57999999999993"/>
    <n v="26346.2790657033"/>
    <n v="0"/>
    <n v="0"/>
    <n v="0"/>
    <n v="0"/>
    <n v="0"/>
    <n v="0"/>
    <n v="26346.2790657033"/>
    <n v="0"/>
    <n v="0"/>
    <n v="0"/>
    <n v="0"/>
    <n v="0"/>
    <n v="0"/>
    <n v="0"/>
    <n v="0"/>
    <n v="26346.2790657033"/>
    <n v="0"/>
    <n v="0"/>
  </r>
  <r>
    <x v="953"/>
    <s v="VLC Govindpur"/>
    <s v="vlc"/>
    <s v="Indirect"/>
    <n v="771.06"/>
    <n v="27220.302379993405"/>
    <n v="0"/>
    <n v="0"/>
    <n v="0"/>
    <n v="0"/>
    <n v="0"/>
    <n v="0"/>
    <n v="27220.302379993405"/>
    <n v="0"/>
    <n v="0"/>
    <n v="0"/>
    <n v="0"/>
    <n v="0"/>
    <n v="0"/>
    <n v="0"/>
    <n v="0"/>
    <n v="27220.302379993405"/>
    <n v="0"/>
    <n v="0"/>
  </r>
  <r>
    <x v="740"/>
    <s v="Gomukh Darhi Mor"/>
    <s v="MPG"/>
    <s v="Indirect"/>
    <n v="212.9"/>
    <n v="7248.2417231715008"/>
    <n v="0"/>
    <n v="0"/>
    <n v="0"/>
    <n v="0"/>
    <n v="0"/>
    <n v="0"/>
    <n v="7248.2417231715008"/>
    <n v="0"/>
    <n v="0"/>
    <n v="0"/>
    <n v="0"/>
    <n v="0"/>
    <n v="0"/>
    <n v="0"/>
    <n v="0"/>
    <n v="7248.2417231715008"/>
    <n v="0"/>
    <n v="0"/>
  </r>
  <r>
    <x v="741"/>
    <s v="Gomukh Balaur"/>
    <s v="MPG"/>
    <s v="Direct"/>
    <n v="1424.78"/>
    <n v="76418.510923618072"/>
    <n v="1800"/>
    <n v="106472.64014280002"/>
    <n v="0"/>
    <n v="0"/>
    <n v="1800"/>
    <n v="106472.64014280002"/>
    <n v="76418.510923618072"/>
    <n v="0"/>
    <n v="0"/>
    <n v="30054.129219181952"/>
    <n v="0"/>
    <n v="0"/>
    <n v="0"/>
    <n v="76419"/>
    <n v="0"/>
    <n v="0"/>
    <n v="0"/>
    <n v="0"/>
  </r>
  <r>
    <x v="742"/>
    <s v="Gomukh Hathwan - 2"/>
    <s v="MPG"/>
    <s v="Direct"/>
    <n v="377.98"/>
    <n v="14134.042225015803"/>
    <n v="653"/>
    <n v="28247.6565195"/>
    <n v="0"/>
    <n v="0"/>
    <n v="653"/>
    <n v="28247.6565195"/>
    <n v="14134.042225015803"/>
    <n v="0"/>
    <n v="0"/>
    <n v="14113.614294484198"/>
    <n v="0"/>
    <n v="0"/>
    <n v="0"/>
    <n v="14134"/>
    <n v="0"/>
    <n v="0"/>
    <n v="0"/>
    <n v="0"/>
  </r>
  <r>
    <x v="743"/>
    <s v="VLC Sunil Khas"/>
    <s v="vlc"/>
    <s v="Indirect"/>
    <n v="799.4"/>
    <n v="35623.921637311272"/>
    <n v="0"/>
    <n v="0"/>
    <n v="0"/>
    <n v="0"/>
    <n v="0"/>
    <n v="0"/>
    <n v="35623.921637311272"/>
    <n v="0"/>
    <n v="0"/>
    <n v="0"/>
    <n v="0"/>
    <n v="0"/>
    <n v="0"/>
    <n v="0"/>
    <n v="0"/>
    <n v="35623.921637311272"/>
    <n v="0"/>
    <n v="0"/>
  </r>
  <r>
    <x v="744"/>
    <s v="Gomukh Hathwan "/>
    <s v="MPG"/>
    <s v="Direct"/>
    <n v="610.09999999999991"/>
    <n v="26441.877323172557"/>
    <n v="676.23"/>
    <n v="43203.112924243302"/>
    <n v="0"/>
    <n v="0"/>
    <n v="676.23"/>
    <n v="43203.112924243302"/>
    <n v="26441.877323172557"/>
    <n v="0"/>
    <n v="0"/>
    <n v="16761.235601070744"/>
    <n v="0"/>
    <n v="0"/>
    <n v="0"/>
    <n v="26442"/>
    <n v="0"/>
    <n v="0"/>
    <n v="0"/>
    <n v="0"/>
  </r>
  <r>
    <x v="745"/>
    <s v="Gomukh Rahul VLC"/>
    <s v="vlc"/>
    <s v="Indirect"/>
    <n v="1700.2999999999997"/>
    <n v="73954.709190461173"/>
    <n v="0"/>
    <n v="0"/>
    <n v="0"/>
    <n v="0"/>
    <n v="0"/>
    <n v="0"/>
    <n v="73954.709190461173"/>
    <n v="0"/>
    <n v="0"/>
    <n v="0"/>
    <n v="0"/>
    <n v="0"/>
    <n v="0"/>
    <n v="0"/>
    <n v="0"/>
    <n v="73954.709190461173"/>
    <n v="0"/>
    <n v="0"/>
  </r>
  <r>
    <x v="954"/>
    <s v="Gomukh Sachin VLC"/>
    <s v="vlc"/>
    <s v="Indirect"/>
    <n v="939.7"/>
    <n v="32805.242650149004"/>
    <n v="0"/>
    <n v="0"/>
    <n v="0"/>
    <n v="0"/>
    <n v="0"/>
    <n v="0"/>
    <n v="32805.242650149004"/>
    <n v="0"/>
    <n v="0"/>
    <n v="0"/>
    <n v="0"/>
    <n v="0"/>
    <n v="0"/>
    <n v="0"/>
    <n v="0"/>
    <n v="32805.242650149004"/>
    <n v="0"/>
    <n v="0"/>
  </r>
  <r>
    <x v="746"/>
    <s v="Balahpur-Anil Yadav"/>
    <s v="vlc"/>
    <s v="Indirect"/>
    <n v="20536"/>
    <n v="719952.79065600003"/>
    <n v="0"/>
    <n v="0"/>
    <n v="0"/>
    <n v="0"/>
    <n v="0"/>
    <n v="0"/>
    <n v="719952.79065600003"/>
    <n v="0"/>
    <n v="0"/>
    <n v="0"/>
    <n v="0"/>
    <n v="0"/>
    <n v="0"/>
    <n v="0"/>
    <n v="0"/>
    <n v="719952.79065600003"/>
    <n v="0"/>
    <n v="0"/>
  </r>
  <r>
    <x v="747"/>
    <s v="Bagdobh"/>
    <s v="vlc"/>
    <s v="Indirect"/>
    <n v="216.9"/>
    <n v="7641.8855361659998"/>
    <n v="0"/>
    <n v="0"/>
    <n v="0"/>
    <n v="0"/>
    <n v="0"/>
    <n v="0"/>
    <n v="7641.8855361659998"/>
    <n v="0"/>
    <n v="0"/>
    <n v="0"/>
    <n v="0"/>
    <n v="0"/>
    <n v="0"/>
    <n v="0"/>
    <n v="0"/>
    <n v="7641.8855361659998"/>
    <n v="0"/>
    <n v="0"/>
  </r>
  <r>
    <x v="955"/>
    <s v="Gokhle Nagar"/>
    <s v="MPG"/>
    <s v="Direct"/>
    <n v="52.400000000000006"/>
    <n v="1765.3473452685"/>
    <n v="53.300000000000004"/>
    <n v="1795.4125171485002"/>
    <n v="0"/>
    <n v="0"/>
    <n v="53.300000000000004"/>
    <n v="1795.4125171485002"/>
    <n v="1765.3473452685"/>
    <n v="0"/>
    <n v="0"/>
    <n v="30.065171880000207"/>
    <n v="0"/>
    <n v="0"/>
    <n v="0"/>
    <n v="1765"/>
    <n v="0"/>
    <n v="0"/>
    <n v="0"/>
    <n v="0"/>
  </r>
  <r>
    <x v="748"/>
    <s v="Gomukh Matihani"/>
    <s v="MPG"/>
    <s v="Direct"/>
    <n v="225.09999999999997"/>
    <n v="8624.7162158130031"/>
    <n v="229.95999999999998"/>
    <n v="9283.1869517016003"/>
    <n v="0"/>
    <n v="0"/>
    <n v="229.95999999999998"/>
    <n v="9283.1869517016003"/>
    <n v="8624.7162158130031"/>
    <n v="0"/>
    <n v="0"/>
    <n v="658.47073588859712"/>
    <n v="0"/>
    <n v="0"/>
    <n v="0"/>
    <n v="8625"/>
    <n v="0"/>
    <n v="0"/>
    <n v="0"/>
    <n v="0"/>
  </r>
  <r>
    <x v="749"/>
    <s v="Jalalpur"/>
    <s v="vlc"/>
    <s v="Indirect"/>
    <n v="2414.5"/>
    <n v="83636.652397054524"/>
    <n v="0"/>
    <n v="0"/>
    <n v="0"/>
    <n v="0"/>
    <n v="0"/>
    <n v="0"/>
    <n v="83636.652397054524"/>
    <n v="0"/>
    <n v="0"/>
    <n v="0"/>
    <n v="0"/>
    <n v="0"/>
    <n v="0"/>
    <n v="0"/>
    <n v="0"/>
    <n v="83636.652397054524"/>
    <n v="0"/>
    <n v="0"/>
  </r>
  <r>
    <x v="750"/>
    <s v="Chak"/>
    <s v="vlc"/>
    <s v="Indirect"/>
    <n v="1796.5"/>
    <n v="67621.884309810019"/>
    <n v="0"/>
    <n v="0"/>
    <n v="0"/>
    <n v="0"/>
    <n v="0"/>
    <n v="0"/>
    <n v="67621.884309810019"/>
    <n v="0"/>
    <n v="0"/>
    <n v="0"/>
    <n v="0"/>
    <n v="0"/>
    <n v="0"/>
    <n v="0"/>
    <n v="0"/>
    <n v="67621.884309810019"/>
    <n v="0"/>
    <n v="0"/>
  </r>
  <r>
    <x v="751"/>
    <s v="Gomukh Chautham(Mithun Kumar VLC)"/>
    <s v="vlc"/>
    <s v="Indirect"/>
    <n v="1690.8600000000001"/>
    <n v="70626.930836562009"/>
    <n v="0"/>
    <n v="0"/>
    <n v="0"/>
    <n v="0"/>
    <n v="0"/>
    <n v="0"/>
    <n v="70626.930836562009"/>
    <n v="0"/>
    <n v="0"/>
    <n v="0"/>
    <n v="0"/>
    <n v="0"/>
    <n v="0"/>
    <n v="0"/>
    <n v="0"/>
    <n v="70626.930836562009"/>
    <n v="0"/>
    <n v="0"/>
  </r>
  <r>
    <x v="752"/>
    <s v="Gomukh Pansalwa"/>
    <s v="vlc"/>
    <s v="Indirect"/>
    <n v="637.2299999999999"/>
    <n v="23650.671665267106"/>
    <n v="0"/>
    <n v="0"/>
    <n v="0"/>
    <n v="0"/>
    <n v="0"/>
    <n v="0"/>
    <n v="23650.671665267106"/>
    <n v="0"/>
    <n v="0"/>
    <n v="0"/>
    <n v="0"/>
    <n v="0"/>
    <n v="0"/>
    <n v="0"/>
    <n v="0"/>
    <n v="23650.671665267106"/>
    <n v="0"/>
    <n v="0"/>
  </r>
  <r>
    <x v="753"/>
    <s v="Gomukh Nawada"/>
    <s v="MPG"/>
    <s v="Direct"/>
    <n v="858.05999999999983"/>
    <n v="30232.149287670007"/>
    <n v="858.06"/>
    <n v="30232.149287670007"/>
    <n v="0"/>
    <n v="0"/>
    <n v="858.06"/>
    <n v="30232.149287670007"/>
    <n v="30232.149287670007"/>
    <n v="0"/>
    <n v="0"/>
    <n v="0"/>
    <n v="0"/>
    <n v="0"/>
    <n v="0"/>
    <n v="30232"/>
    <n v="0"/>
    <n v="0"/>
    <n v="0"/>
    <n v="0"/>
  </r>
  <r>
    <x v="754"/>
    <s v="Gomukh Yadav Tol Kanauli"/>
    <s v="MPG"/>
    <s v="Direct"/>
    <n v="2012.84"/>
    <n v="82263.703541498704"/>
    <n v="202.14"/>
    <n v="8240.092915543999"/>
    <n v="1990"/>
    <n v="83108.301119800002"/>
    <n v="2192.14"/>
    <n v="91348.394035343998"/>
    <n v="82263.703541498704"/>
    <n v="0"/>
    <n v="0"/>
    <n v="9084.6904938452935"/>
    <n v="0"/>
    <n v="0"/>
    <n v="0"/>
    <n v="0"/>
    <n v="82264"/>
    <n v="0"/>
    <n v="0"/>
    <s v="Release1"/>
  </r>
  <r>
    <x v="755"/>
    <s v="Gomukh Hardia"/>
    <s v="MPG"/>
    <s v="Direct"/>
    <n v="231.16"/>
    <n v="9081.6824227079996"/>
    <n v="236.70000000000002"/>
    <n v="9315.3036561600002"/>
    <n v="0"/>
    <n v="0"/>
    <n v="236.70000000000002"/>
    <n v="9315.3036561600002"/>
    <n v="9081.6824227079996"/>
    <n v="0"/>
    <n v="0"/>
    <n v="233.62123345200052"/>
    <n v="0"/>
    <n v="500"/>
    <n v="0"/>
    <n v="8582"/>
    <n v="0"/>
    <n v="0"/>
    <n v="0"/>
    <n v="0"/>
  </r>
  <r>
    <x v="756"/>
    <s v="Gomukh Ashatol Paharpur"/>
    <s v="MPG"/>
    <s v="Direct"/>
    <n v="1806.84"/>
    <n v="69704.4641294139"/>
    <n v="1806.85"/>
    <n v="72489.644476773552"/>
    <n v="0"/>
    <n v="0"/>
    <n v="1806.85"/>
    <n v="72489.644476773552"/>
    <n v="69704.4641294139"/>
    <n v="0"/>
    <n v="0"/>
    <n v="2785.1803473596519"/>
    <n v="867"/>
    <n v="0"/>
    <n v="0"/>
    <n v="68837"/>
    <n v="0"/>
    <n v="0"/>
    <n v="0"/>
    <s v="Release1"/>
  </r>
  <r>
    <x v="757"/>
    <s v="Gomukh Kharawa"/>
    <s v="MPG"/>
    <s v="Direct"/>
    <n v="1132.28"/>
    <n v="44245.906747061992"/>
    <n v="1133.9099999999999"/>
    <n v="43798.611871755667"/>
    <n v="0"/>
    <n v="0"/>
    <n v="1133.9099999999999"/>
    <n v="43798.611871755667"/>
    <n v="43798.611871755667"/>
    <n v="0"/>
    <n v="0"/>
    <n v="0"/>
    <n v="0"/>
    <n v="0"/>
    <n v="0"/>
    <n v="43798"/>
    <n v="0"/>
    <n v="0"/>
    <n v="448"/>
    <n v="0"/>
  </r>
  <r>
    <x v="758"/>
    <s v="Gomukh Patel Nagar"/>
    <s v="vlc"/>
    <s v="Indirect"/>
    <n v="1081.1199999999999"/>
    <n v="38297.647167813011"/>
    <n v="0"/>
    <n v="0"/>
    <n v="0"/>
    <n v="0"/>
    <n v="0"/>
    <n v="0"/>
    <n v="38297.647167813011"/>
    <n v="0"/>
    <n v="0"/>
    <n v="0"/>
    <n v="0"/>
    <n v="0"/>
    <n v="0"/>
    <n v="0"/>
    <n v="0"/>
    <n v="38297.647167813011"/>
    <n v="0"/>
    <n v="0"/>
  </r>
  <r>
    <x v="759"/>
    <s v="Gomukh Pachout"/>
    <s v="MPG"/>
    <s v="Direct"/>
    <n v="1110.78"/>
    <n v="43065.436382606902"/>
    <n v="1862.7"/>
    <n v="81142.540493311128"/>
    <n v="0"/>
    <n v="0"/>
    <n v="1862.7"/>
    <n v="81142.540493311128"/>
    <n v="43065.436382606902"/>
    <n v="0"/>
    <n v="0"/>
    <n v="38077.104110704226"/>
    <n v="0"/>
    <n v="0"/>
    <n v="0"/>
    <n v="43065"/>
    <n v="0"/>
    <n v="0"/>
    <n v="0"/>
    <n v="0"/>
  </r>
  <r>
    <x v="760"/>
    <s v="Gomukh Telihar"/>
    <s v="MPG"/>
    <s v="Direct"/>
    <n v="891.53999999999985"/>
    <n v="34969.237731007503"/>
    <n v="941.1"/>
    <n v="37862.939666655584"/>
    <n v="0"/>
    <n v="0"/>
    <n v="941.1"/>
    <n v="37862.939666655584"/>
    <n v="34969.237731007503"/>
    <n v="0"/>
    <n v="0"/>
    <n v="2893.7019356480814"/>
    <n v="0"/>
    <n v="0"/>
    <n v="0"/>
    <n v="34969"/>
    <n v="0"/>
    <n v="0"/>
    <n v="0"/>
    <s v="Release1"/>
  </r>
  <r>
    <x v="761"/>
    <s v="Gomukh Pansalba Ward No 05"/>
    <s v="MPG"/>
    <s v="Indirect"/>
    <n v="1852.2400000000002"/>
    <n v="67422.032863539789"/>
    <n v="0"/>
    <n v="0"/>
    <n v="0"/>
    <n v="0"/>
    <n v="0"/>
    <n v="0"/>
    <n v="67422.032863539789"/>
    <n v="0"/>
    <n v="0"/>
    <n v="0"/>
    <n v="5200"/>
    <n v="0"/>
    <n v="0"/>
    <n v="0"/>
    <n v="0"/>
    <n v="62222.032863539789"/>
    <n v="0"/>
    <n v="0"/>
  </r>
  <r>
    <x v="762"/>
    <s v="Gomukh Paharpur Jilebya "/>
    <s v="MPG"/>
    <s v="Direct"/>
    <n v="2085.8799999999997"/>
    <n v="90236.644352315998"/>
    <n v="2206.2100000000005"/>
    <n v="95187.564496620005"/>
    <n v="0"/>
    <n v="0"/>
    <n v="2206.2100000000005"/>
    <n v="95187.564496620005"/>
    <n v="90236.644352315998"/>
    <n v="0"/>
    <n v="0"/>
    <n v="4950.9201443040074"/>
    <n v="0"/>
    <n v="0"/>
    <n v="0"/>
    <n v="90237"/>
    <n v="0"/>
    <n v="0"/>
    <n v="0"/>
    <n v="0"/>
  </r>
  <r>
    <x v="763"/>
    <s v="Gomukh Debka Vlc"/>
    <s v="vlc"/>
    <s v="Indirect"/>
    <n v="116.74"/>
    <n v="5190.8595861936001"/>
    <n v="0"/>
    <n v="0"/>
    <n v="0"/>
    <n v="0"/>
    <n v="0"/>
    <n v="0"/>
    <n v="5190.8595861936001"/>
    <n v="0"/>
    <n v="0"/>
    <n v="0"/>
    <n v="0"/>
    <n v="0"/>
    <n v="0"/>
    <n v="0"/>
    <n v="0"/>
    <n v="5190.8595861936001"/>
    <n v="0"/>
    <n v="0"/>
  </r>
  <r>
    <x v="764"/>
    <s v="Gomukh Azad Nagar"/>
    <s v="MPG"/>
    <s v="Direct"/>
    <n v="1192.7999999999997"/>
    <n v="47456.592506898"/>
    <n v="1221.1200000000001"/>
    <n v="49295.155282501772"/>
    <n v="0"/>
    <n v="0"/>
    <n v="1221.1200000000001"/>
    <n v="49295.155282501772"/>
    <n v="47456.592506898"/>
    <n v="0"/>
    <n v="0"/>
    <n v="1838.562775603772"/>
    <n v="0"/>
    <n v="0"/>
    <n v="0"/>
    <n v="47457"/>
    <n v="0"/>
    <n v="0"/>
    <n v="0"/>
    <n v="0"/>
  </r>
  <r>
    <x v="766"/>
    <s v="Gomukh Uttari Hardia"/>
    <s v="MPG"/>
    <s v="Direct"/>
    <n v="446.2"/>
    <n v="21599.651739397799"/>
    <n v="695.45999999999992"/>
    <n v="33225.486187022922"/>
    <n v="0"/>
    <n v="0"/>
    <n v="695.45999999999992"/>
    <n v="33225.486187022922"/>
    <n v="21599.651739397799"/>
    <n v="0"/>
    <n v="0"/>
    <n v="11625.834447625122"/>
    <n v="0"/>
    <n v="0"/>
    <n v="0"/>
    <n v="21600"/>
    <n v="0"/>
    <n v="0"/>
    <n v="0"/>
    <n v="0"/>
  </r>
  <r>
    <x v="767"/>
    <s v="Gomukh Murli"/>
    <s v="MPG"/>
    <s v="Direct"/>
    <n v="97.14"/>
    <n v="4250.6642478960002"/>
    <n v="147.30999999999995"/>
    <n v="6846.7233867250334"/>
    <n v="0"/>
    <n v="0"/>
    <n v="147.30999999999995"/>
    <n v="6846.7233867250334"/>
    <n v="4250.6642478960002"/>
    <n v="0"/>
    <n v="0"/>
    <n v="2596.0591388290331"/>
    <n v="0"/>
    <n v="0"/>
    <n v="0"/>
    <n v="4251"/>
    <n v="0"/>
    <n v="0"/>
    <n v="0"/>
    <n v="0"/>
  </r>
  <r>
    <x v="768"/>
    <s v="Gomukh Nirpur Keshv Nagar"/>
    <s v="MPG"/>
    <s v="Direct"/>
    <n v="655.74"/>
    <n v="24214.672423122"/>
    <n v="661.87"/>
    <n v="24375.366768158401"/>
    <n v="0"/>
    <n v="0"/>
    <n v="661.87"/>
    <n v="24375.366768158401"/>
    <n v="24214.672423122"/>
    <n v="0"/>
    <n v="0"/>
    <n v="160.6943450364015"/>
    <n v="0"/>
    <n v="0"/>
    <n v="0"/>
    <n v="24215"/>
    <n v="0"/>
    <n v="0"/>
    <n v="0"/>
    <n v="0"/>
  </r>
  <r>
    <x v="769"/>
    <s v="Gomukh Thuthi Vlc"/>
    <s v="vlc"/>
    <s v="Indirect"/>
    <n v="247.5"/>
    <n v="10227.442637326083"/>
    <n v="257.89999999999998"/>
    <n v="10179.07635096"/>
    <n v="0"/>
    <n v="0"/>
    <n v="257.89999999999998"/>
    <n v="10179.07635096"/>
    <n v="10227.442637326083"/>
    <n v="0"/>
    <n v="0"/>
    <n v="0"/>
    <n v="6500"/>
    <n v="0"/>
    <n v="0"/>
    <n v="0"/>
    <n v="0"/>
    <n v="3727.4426373260831"/>
    <n v="0"/>
    <n v="0"/>
  </r>
  <r>
    <x v="770"/>
    <s v="Gomukh Nawadai Vlc"/>
    <s v="vlc"/>
    <s v="Indirect"/>
    <n v="261.3"/>
    <n v="8769.9366251820011"/>
    <n v="0"/>
    <n v="0"/>
    <n v="0"/>
    <n v="0"/>
    <n v="0"/>
    <n v="0"/>
    <n v="8769.9366251820011"/>
    <n v="0"/>
    <n v="0"/>
    <n v="0"/>
    <n v="0"/>
    <n v="0"/>
    <n v="0"/>
    <n v="0"/>
    <n v="0"/>
    <n v="8769.9366251820011"/>
    <n v="0"/>
    <n v="0"/>
  </r>
  <r>
    <x v="771"/>
    <s v="Gomukh Kharra Basa"/>
    <s v="MPG"/>
    <s v="Direct"/>
    <n v="411.65999999999991"/>
    <n v="15111.011630748002"/>
    <n v="412.76000000000005"/>
    <n v="15049.727418581399"/>
    <n v="0"/>
    <n v="0"/>
    <n v="412.76000000000005"/>
    <n v="15049.727418581399"/>
    <n v="15049.727418581399"/>
    <n v="0"/>
    <n v="0"/>
    <n v="0"/>
    <n v="0"/>
    <n v="0"/>
    <n v="0"/>
    <n v="15050"/>
    <n v="0"/>
    <n v="0"/>
    <n v="61"/>
    <n v="0"/>
  </r>
  <r>
    <x v="772"/>
    <s v="Gomukh Bangalia"/>
    <s v="MPG"/>
    <s v="Direct"/>
    <n v="441.35999999999996"/>
    <n v="19582.124559732001"/>
    <n v="448.36"/>
    <n v="21898.737940560179"/>
    <n v="0"/>
    <n v="0"/>
    <n v="448.36"/>
    <n v="21898.737940560179"/>
    <n v="19582.124559732001"/>
    <n v="0"/>
    <n v="0"/>
    <n v="2316.6133808281775"/>
    <n v="0"/>
    <n v="0"/>
    <n v="0"/>
    <n v="0"/>
    <n v="0"/>
    <n v="0"/>
    <n v="19582"/>
    <s v="Yes"/>
  </r>
  <r>
    <x v="773"/>
    <s v="Gomukh Soharba Purvi"/>
    <s v="MPG"/>
    <s v="Direct"/>
    <n v="340.34"/>
    <n v="14144.057223169502"/>
    <n v="407.86999999999966"/>
    <n v="17063.348780434451"/>
    <n v="0"/>
    <n v="0"/>
    <n v="407.86999999999966"/>
    <n v="17063.348780434451"/>
    <n v="14144.057223169502"/>
    <n v="0"/>
    <n v="0"/>
    <n v="2919.291557264949"/>
    <n v="0"/>
    <n v="0"/>
    <n v="0"/>
    <n v="14144"/>
    <n v="0"/>
    <n v="0"/>
    <n v="0"/>
    <n v="0"/>
  </r>
  <r>
    <x v="774"/>
    <s v="Karian"/>
    <s v="MPG"/>
    <s v="Direct"/>
    <n v="63.399999999999991"/>
    <n v="2324.6894162940007"/>
    <n v="63.399999999999991"/>
    <n v="2300.0885377335003"/>
    <n v="0"/>
    <n v="0"/>
    <n v="63.399999999999991"/>
    <n v="2300.0885377335003"/>
    <n v="2300.0885377335003"/>
    <n v="0"/>
    <n v="0"/>
    <n v="0"/>
    <n v="0"/>
    <n v="500"/>
    <n v="0"/>
    <n v="1800"/>
    <n v="0"/>
    <n v="0"/>
    <n v="25"/>
    <n v="0"/>
  </r>
  <r>
    <x v="775"/>
    <s v="Teghara"/>
    <s v="MPG"/>
    <s v="Direct"/>
    <n v="225.89999999999998"/>
    <n v="9225.045101484"/>
    <n v="195.1"/>
    <n v="7935.3586477360004"/>
    <n v="35"/>
    <n v="1436.2162312400001"/>
    <n v="230.1"/>
    <n v="9371.574878976"/>
    <n v="9225.045101484"/>
    <n v="0"/>
    <n v="0"/>
    <n v="146.52977749199999"/>
    <n v="0"/>
    <n v="500"/>
    <n v="0"/>
    <n v="7289"/>
    <n v="1436"/>
    <n v="0"/>
    <n v="0"/>
    <n v="0"/>
  </r>
  <r>
    <x v="776"/>
    <s v="Basantpur"/>
    <s v="MPG"/>
    <s v="Direct"/>
    <n v="782.9"/>
    <n v="37107.041063383738"/>
    <n v="782.90000000000009"/>
    <n v="37107.041063383731"/>
    <n v="0"/>
    <n v="0"/>
    <n v="782.90000000000009"/>
    <n v="37107.041063383731"/>
    <n v="37107.041063383731"/>
    <n v="0"/>
    <n v="0"/>
    <n v="0"/>
    <n v="0"/>
    <n v="0"/>
    <n v="0"/>
    <n v="37107"/>
    <n v="0"/>
    <n v="0"/>
    <n v="0"/>
    <n v="0"/>
  </r>
  <r>
    <x v="777"/>
    <s v="Chakoti"/>
    <s v="MPG"/>
    <s v="Direct"/>
    <n v="1235.2"/>
    <n v="47301.183492090007"/>
    <n v="80.499999999999986"/>
    <n v="3613.9490949221999"/>
    <n v="1154.7"/>
    <n v="42983.655884898901"/>
    <n v="1235.2"/>
    <n v="46597.604979821102"/>
    <n v="46597.604979821102"/>
    <n v="0"/>
    <n v="733.88114252549997"/>
    <n v="0"/>
    <n v="0"/>
    <n v="0"/>
    <n v="0"/>
    <n v="3614"/>
    <n v="42250"/>
    <n v="0"/>
    <n v="703"/>
    <n v="0"/>
  </r>
  <r>
    <x v="778"/>
    <s v="Nathudawar"/>
    <s v="MPG"/>
    <s v="Direct"/>
    <n v="1699.6000000000004"/>
    <n v="66592.173852780004"/>
    <n v="1542.4"/>
    <n v="60228.643543080019"/>
    <n v="157.19999999999999"/>
    <n v="6233.4888174780008"/>
    <n v="1699.6000000000001"/>
    <n v="66462.132360558026"/>
    <n v="66462.132360558026"/>
    <n v="0"/>
    <n v="0"/>
    <n v="0"/>
    <n v="0"/>
    <n v="0"/>
    <n v="0"/>
    <n v="60229"/>
    <n v="6234"/>
    <n v="0"/>
    <n v="129"/>
    <n v="0"/>
  </r>
  <r>
    <x v="779"/>
    <s v="Purnahi"/>
    <s v="vlc"/>
    <s v="Indirect"/>
    <n v="511.59999999999997"/>
    <n v="17841.646807200003"/>
    <n v="0"/>
    <n v="0"/>
    <n v="0"/>
    <n v="0"/>
    <n v="0"/>
    <n v="0"/>
    <n v="17841.646807200003"/>
    <n v="0"/>
    <n v="0"/>
    <n v="0"/>
    <n v="0"/>
    <n v="0"/>
    <n v="0"/>
    <n v="0"/>
    <n v="0"/>
    <n v="17841.646807200003"/>
    <n v="0"/>
    <n v="0"/>
  </r>
  <r>
    <x v="780"/>
    <s v="Baghopur "/>
    <s v="vlc"/>
    <s v="Indirect"/>
    <n v="670.1"/>
    <n v="25752.90480489"/>
    <n v="0"/>
    <n v="0"/>
    <n v="0"/>
    <n v="0"/>
    <n v="0"/>
    <n v="0"/>
    <n v="25752.90480489"/>
    <n v="0"/>
    <n v="0"/>
    <n v="0"/>
    <n v="0"/>
    <n v="0"/>
    <n v="0"/>
    <n v="0"/>
    <n v="0"/>
    <n v="25752.90480489"/>
    <n v="0"/>
    <n v="0"/>
  </r>
  <r>
    <x v="782"/>
    <s v="PARORIYA"/>
    <s v="vlc"/>
    <s v="Indirect"/>
    <n v="116.5"/>
    <n v="3879.4311144000003"/>
    <n v="0"/>
    <n v="0"/>
    <n v="0"/>
    <n v="0"/>
    <n v="0"/>
    <n v="0"/>
    <n v="3879.4311144000003"/>
    <n v="0"/>
    <n v="0"/>
    <n v="0"/>
    <n v="0"/>
    <n v="0"/>
    <n v="0"/>
    <n v="0"/>
    <n v="0"/>
    <n v="3879.4311144000003"/>
    <n v="0"/>
    <n v="0"/>
  </r>
  <r>
    <x v="783"/>
    <s v="Dewanpur"/>
    <s v="MPG"/>
    <s v="Direct"/>
    <n v="110.9"/>
    <n v="4812.0340058879992"/>
    <n v="15"/>
    <n v="719.50942353000005"/>
    <n v="92.6"/>
    <n v="4080.87417625834"/>
    <n v="107.6"/>
    <n v="4800.3835997883398"/>
    <n v="4800.3835997883398"/>
    <n v="0"/>
    <n v="0"/>
    <n v="0"/>
    <n v="0"/>
    <n v="500"/>
    <n v="0"/>
    <n v="209"/>
    <n v="4082"/>
    <n v="0"/>
    <n v="21"/>
    <n v="0"/>
  </r>
  <r>
    <x v="784"/>
    <s v="Gohi"/>
    <s v="MPG"/>
    <s v="Direct"/>
    <n v="328.40000000000003"/>
    <n v="12955.741404467601"/>
    <n v="123.60000000000001"/>
    <n v="4815.1537463160003"/>
    <n v="204.8"/>
    <n v="8211.3646469685591"/>
    <n v="328.40000000000003"/>
    <n v="13026.518393284559"/>
    <n v="12955.741404467601"/>
    <n v="0"/>
    <n v="242.46060386160002"/>
    <n v="70.776988816958692"/>
    <n v="0"/>
    <n v="0"/>
    <n v="0"/>
    <n v="4743"/>
    <n v="7970"/>
    <n v="0"/>
    <n v="0"/>
    <n v="0"/>
  </r>
  <r>
    <x v="785"/>
    <s v="Matua"/>
    <s v="MPG"/>
    <s v="Direct"/>
    <n v="724.9000000000002"/>
    <n v="31351.811240430397"/>
    <n v="270.7"/>
    <n v="12273.037103154391"/>
    <n v="454"/>
    <n v="18892.514183450734"/>
    <n v="724.7"/>
    <n v="31165.551286605125"/>
    <n v="31165.551286605125"/>
    <n v="0"/>
    <n v="125.93890643473"/>
    <n v="0"/>
    <n v="0"/>
    <n v="0"/>
    <n v="0"/>
    <n v="12272"/>
    <n v="18766"/>
    <n v="0"/>
    <n v="188"/>
    <n v="0"/>
  </r>
  <r>
    <x v="786"/>
    <s v="Ratni Chouk"/>
    <s v="MPG"/>
    <s v="Direct"/>
    <n v="738.1"/>
    <n v="31511.535029936102"/>
    <n v="738.1"/>
    <n v="31511.535029936098"/>
    <n v="0"/>
    <n v="0"/>
    <n v="738.1"/>
    <n v="31511.535029936098"/>
    <n v="31511.535029936098"/>
    <n v="0"/>
    <n v="0"/>
    <n v="0"/>
    <n v="0"/>
    <n v="0"/>
    <n v="0"/>
    <n v="31512"/>
    <n v="0"/>
    <n v="0"/>
    <n v="0"/>
    <n v="0"/>
  </r>
  <r>
    <x v="787"/>
    <s v="Balahi 2"/>
    <s v="MPG"/>
    <s v="Direct"/>
    <n v="680.79999999999984"/>
    <n v="24860.218268520002"/>
    <n v="532.6"/>
    <n v="20227.847275625623"/>
    <n v="142.80000000000001"/>
    <n v="5232.9277196070016"/>
    <n v="675.40000000000009"/>
    <n v="25460.774995232627"/>
    <n v="24860.218268520002"/>
    <n v="0"/>
    <n v="27.864438057000001"/>
    <n v="600.55672671262437"/>
    <n v="0"/>
    <n v="0"/>
    <n v="0"/>
    <n v="19627"/>
    <n v="5205"/>
    <n v="0"/>
    <n v="0"/>
    <n v="0"/>
  </r>
  <r>
    <x v="788"/>
    <s v="Chandauli"/>
    <s v="vlc"/>
    <s v="Indirect"/>
    <n v="270.7"/>
    <n v="13576.374019073202"/>
    <n v="0"/>
    <n v="0"/>
    <n v="0"/>
    <n v="0"/>
    <n v="0"/>
    <n v="0"/>
    <n v="13576.374019073202"/>
    <n v="0"/>
    <n v="0"/>
    <n v="0"/>
    <n v="0"/>
    <n v="0"/>
    <n v="0"/>
    <n v="0"/>
    <n v="0"/>
    <n v="13576.374019073202"/>
    <n v="0"/>
    <n v="0"/>
  </r>
  <r>
    <x v="789"/>
    <s v="Gulabi Choak"/>
    <s v="vlc"/>
    <s v="Indirect"/>
    <n v="850.00000000000011"/>
    <n v="32175.81816006"/>
    <n v="0"/>
    <n v="0"/>
    <n v="0"/>
    <n v="0"/>
    <n v="0"/>
    <n v="0"/>
    <n v="32175.81816006"/>
    <n v="0"/>
    <n v="0"/>
    <n v="0"/>
    <n v="0"/>
    <n v="0"/>
    <n v="0"/>
    <n v="0"/>
    <n v="0"/>
    <n v="32175.81816006"/>
    <n v="0"/>
    <n v="0"/>
  </r>
  <r>
    <x v="790"/>
    <s v="Satmalpur"/>
    <s v="vlc"/>
    <s v="Indirect"/>
    <n v="773"/>
    <n v="29677.83187641"/>
    <n v="0"/>
    <n v="0"/>
    <n v="0"/>
    <n v="0"/>
    <n v="0"/>
    <n v="0"/>
    <n v="29677.83187641"/>
    <n v="0"/>
    <n v="0"/>
    <n v="0"/>
    <n v="0"/>
    <n v="0"/>
    <n v="0"/>
    <n v="0"/>
    <n v="0"/>
    <n v="29677.83187641"/>
    <n v="0"/>
    <n v="0"/>
  </r>
  <r>
    <x v="791"/>
    <s v="Chhatnesar"/>
    <s v="vlc"/>
    <s v="Indirect"/>
    <n v="311.69999999999993"/>
    <n v="10858.01573841"/>
    <n v="0"/>
    <n v="0"/>
    <n v="0"/>
    <n v="0"/>
    <n v="0"/>
    <n v="0"/>
    <n v="10858.01573841"/>
    <n v="0"/>
    <n v="0"/>
    <n v="0"/>
    <n v="0"/>
    <n v="0"/>
    <n v="0"/>
    <n v="0"/>
    <n v="0"/>
    <n v="10858.01573841"/>
    <n v="0"/>
    <n v="0"/>
  </r>
  <r>
    <x v="792"/>
    <s v="Chhatnesar 2"/>
    <s v="MPG"/>
    <s v="Direct"/>
    <n v="254.8"/>
    <n v="9608.6569788300021"/>
    <n v="246.29999999999998"/>
    <n v="9217.091205807601"/>
    <n v="0"/>
    <n v="0"/>
    <n v="246.29999999999998"/>
    <n v="9217.091205807601"/>
    <n v="9217.091205807601"/>
    <n v="0"/>
    <n v="0"/>
    <n v="0"/>
    <n v="0"/>
    <n v="0"/>
    <n v="0"/>
    <n v="9217"/>
    <n v="0"/>
    <n v="0"/>
    <n v="392"/>
    <n v="0"/>
  </r>
  <r>
    <x v="793"/>
    <s v="Hajpurwa"/>
    <s v="MPG"/>
    <s v="Direct"/>
    <n v="170.4"/>
    <n v="7119.3494387416204"/>
    <n v="170.39999999999998"/>
    <n v="7120.1828023555208"/>
    <n v="0"/>
    <n v="0"/>
    <n v="170.39999999999998"/>
    <n v="7120.1828023555208"/>
    <n v="7119.3494387416204"/>
    <n v="0"/>
    <n v="0"/>
    <n v="0.83336361390047387"/>
    <n v="0"/>
    <n v="0"/>
    <n v="0"/>
    <n v="7119"/>
    <n v="0"/>
    <n v="0"/>
    <n v="0"/>
    <n v="0"/>
  </r>
  <r>
    <x v="794"/>
    <s v="Shekhopur"/>
    <s v="MPG"/>
    <s v="Direct"/>
    <n v="259.60000000000002"/>
    <n v="9193.3948128000011"/>
    <n v="259.59999999999997"/>
    <n v="9193.3948127999993"/>
    <n v="0"/>
    <n v="0"/>
    <n v="259.59999999999997"/>
    <n v="9193.3948127999993"/>
    <n v="9193.3948127999993"/>
    <n v="0"/>
    <n v="0"/>
    <n v="0"/>
    <n v="0"/>
    <n v="0"/>
    <n v="0"/>
    <n v="9193"/>
    <n v="0"/>
    <n v="0"/>
    <n v="0"/>
    <n v="0"/>
  </r>
  <r>
    <x v="795"/>
    <s v="Dharampur"/>
    <s v="MPG"/>
    <s v="Direct"/>
    <n v="150.4"/>
    <n v="5955.5738586900006"/>
    <n v="152.19999999999999"/>
    <n v="5993.8231262890004"/>
    <n v="0.2"/>
    <n v="7.761817800000002"/>
    <n v="152.39999999999998"/>
    <n v="6001.5849440890006"/>
    <n v="5955.5738586900006"/>
    <n v="0"/>
    <n v="7.761817800000002"/>
    <n v="46.011085398999967"/>
    <n v="0"/>
    <n v="500"/>
    <n v="0"/>
    <n v="5448"/>
    <n v="0"/>
    <n v="0"/>
    <n v="0"/>
    <n v="0"/>
  </r>
  <r>
    <x v="1006"/>
    <s v="Pauriya 2"/>
    <s v="vlc"/>
    <s v="Indirect"/>
    <n v="39.299999999999997"/>
    <n v="1520.0093383200001"/>
    <n v="0"/>
    <n v="0"/>
    <n v="0"/>
    <n v="0"/>
    <n v="0"/>
    <n v="0"/>
    <n v="1520.0093383200001"/>
    <n v="0"/>
    <n v="0"/>
    <n v="0"/>
    <n v="0"/>
    <n v="0"/>
    <n v="0"/>
    <n v="0"/>
    <n v="0"/>
    <n v="1520.0093383200001"/>
    <n v="0"/>
    <n v="0"/>
  </r>
  <r>
    <x v="796"/>
    <s v="Chatnesar Pachiam"/>
    <s v="vlc"/>
    <s v="Indirect"/>
    <n v="161.79999999999998"/>
    <n v="6472.2190697100004"/>
    <n v="0"/>
    <n v="0"/>
    <n v="0"/>
    <n v="0"/>
    <n v="0"/>
    <n v="0"/>
    <n v="6472.2190697100004"/>
    <n v="0"/>
    <n v="0"/>
    <n v="0"/>
    <n v="0"/>
    <n v="0"/>
    <n v="0"/>
    <n v="0"/>
    <n v="0"/>
    <n v="6472.2190697100004"/>
    <n v="0"/>
    <n v="0"/>
  </r>
  <r>
    <x v="797"/>
    <s v="Hajpurwa Pachim"/>
    <s v="MPG"/>
    <s v="Direct"/>
    <n v="303.89999999999998"/>
    <n v="12451.622006808"/>
    <n v="303.90000000000009"/>
    <n v="12637.612673322223"/>
    <n v="0"/>
    <n v="0"/>
    <n v="303.90000000000009"/>
    <n v="12637.612673322223"/>
    <n v="12451.622006808"/>
    <n v="0"/>
    <n v="0"/>
    <n v="185.99066651422254"/>
    <n v="0"/>
    <n v="0"/>
    <n v="0"/>
    <n v="12452"/>
    <n v="0"/>
    <n v="0"/>
    <n v="0"/>
    <n v="0"/>
  </r>
  <r>
    <x v="798"/>
    <s v="Almasnagar"/>
    <s v="vlc"/>
    <s v="Indirect"/>
    <n v="318.59999999999997"/>
    <n v="10347.35160876"/>
    <n v="0"/>
    <n v="0"/>
    <n v="0"/>
    <n v="0"/>
    <n v="0"/>
    <n v="0"/>
    <n v="10347.35160876"/>
    <n v="0"/>
    <n v="0"/>
    <n v="0"/>
    <n v="0"/>
    <n v="0"/>
    <n v="0"/>
    <n v="0"/>
    <n v="0"/>
    <n v="10347.35160876"/>
    <n v="0"/>
    <n v="0"/>
  </r>
  <r>
    <x v="799"/>
    <s v="Kadarchak"/>
    <s v="vlc"/>
    <s v="Indirect"/>
    <n v="89.600000000000009"/>
    <n v="3112.6736578800005"/>
    <n v="0"/>
    <n v="0"/>
    <n v="0"/>
    <n v="0"/>
    <n v="0"/>
    <n v="0"/>
    <n v="3112.6736578800005"/>
    <n v="0"/>
    <n v="0"/>
    <n v="0"/>
    <n v="0"/>
    <n v="0"/>
    <n v="0"/>
    <n v="0"/>
    <n v="0"/>
    <n v="3112.6736578800005"/>
    <n v="0"/>
    <n v="0"/>
  </r>
  <r>
    <x v="800"/>
    <s v="Rahua"/>
    <s v="MPG"/>
    <s v="Direct"/>
    <n v="221"/>
    <n v="8754.3886187699991"/>
    <n v="220.99999999999997"/>
    <n v="8744.3425864934998"/>
    <n v="0"/>
    <n v="0"/>
    <n v="220.99999999999997"/>
    <n v="8744.3425864934998"/>
    <n v="8744.3425864934998"/>
    <n v="0"/>
    <n v="0"/>
    <n v="0"/>
    <n v="0"/>
    <n v="0"/>
    <n v="0"/>
    <n v="8744"/>
    <n v="0"/>
    <n v="0"/>
    <n v="10"/>
    <n v="0"/>
  </r>
  <r>
    <x v="801"/>
    <s v="Dagrua"/>
    <s v="MPG"/>
    <s v="Direct"/>
    <n v="91.6"/>
    <n v="4276.2785906682011"/>
    <n v="91.6"/>
    <n v="4288.2188151286"/>
    <n v="0"/>
    <n v="0"/>
    <n v="91.6"/>
    <n v="4288.2188151286"/>
    <n v="4276.2785906682011"/>
    <n v="0"/>
    <n v="0"/>
    <n v="11.940224460398895"/>
    <n v="0"/>
    <n v="0"/>
    <n v="0"/>
    <n v="4276"/>
    <n v="0"/>
    <n v="0"/>
    <n v="0"/>
    <n v="0"/>
  </r>
  <r>
    <x v="802"/>
    <s v="Buzurgdoar"/>
    <s v="MPG"/>
    <s v="Direct"/>
    <n v="955.9"/>
    <n v="36258.024555149997"/>
    <n v="955.8"/>
    <n v="36128.744050098328"/>
    <n v="0"/>
    <n v="0"/>
    <n v="955.8"/>
    <n v="36128.744050098328"/>
    <n v="36128.744050098328"/>
    <n v="0"/>
    <n v="0"/>
    <n v="0"/>
    <n v="0"/>
    <n v="0"/>
    <n v="0"/>
    <n v="36128"/>
    <n v="0"/>
    <n v="0"/>
    <n v="130"/>
    <n v="0"/>
  </r>
  <r>
    <x v="803"/>
    <s v="Patpara"/>
    <s v="vlc"/>
    <s v="Indirect"/>
    <n v="495.5"/>
    <n v="17019.489153696002"/>
    <n v="0"/>
    <n v="0"/>
    <n v="0"/>
    <n v="0"/>
    <n v="0"/>
    <n v="0"/>
    <n v="17019.489153696002"/>
    <n v="0"/>
    <n v="0"/>
    <n v="0"/>
    <n v="0"/>
    <n v="0"/>
    <n v="0"/>
    <n v="0"/>
    <n v="0"/>
    <n v="17019.489153696002"/>
    <n v="0"/>
    <n v="0"/>
  </r>
  <r>
    <x v="804"/>
    <s v="Kamopur"/>
    <s v="MPG"/>
    <s v="Direct"/>
    <n v="335.7999999999999"/>
    <n v="13614.628414230003"/>
    <n v="243.39999999999998"/>
    <n v="8996.5621433269007"/>
    <n v="91.7"/>
    <n v="4562.0071861902006"/>
    <n v="335.09999999999997"/>
    <n v="13558.5693295171"/>
    <n v="13558.5693295171"/>
    <n v="0"/>
    <n v="0"/>
    <n v="0"/>
    <n v="0"/>
    <n v="0"/>
    <n v="0"/>
    <n v="0"/>
    <n v="0"/>
    <n v="0"/>
    <n v="13615"/>
    <s v="Yes"/>
  </r>
  <r>
    <x v="805"/>
    <s v="Kussaiya"/>
    <s v="MPG"/>
    <s v="Direct"/>
    <n v="302.70000000000005"/>
    <n v="15253.808681069602"/>
    <n v="303.29999999999984"/>
    <n v="15190.647604487694"/>
    <n v="0"/>
    <n v="0"/>
    <n v="303.29999999999984"/>
    <n v="15190.647604487694"/>
    <n v="15190.647604487694"/>
    <n v="0"/>
    <n v="0"/>
    <n v="0"/>
    <n v="0"/>
    <n v="0"/>
    <n v="0"/>
    <n v="15191"/>
    <n v="0"/>
    <n v="0"/>
    <n v="63"/>
    <n v="0"/>
  </r>
  <r>
    <x v="806"/>
    <s v="Kanu Bisanpur"/>
    <s v="vlc"/>
    <s v="Indirect"/>
    <n v="178"/>
    <n v="6468.4772548500005"/>
    <n v="0"/>
    <n v="0"/>
    <n v="0"/>
    <n v="0"/>
    <n v="0"/>
    <n v="0"/>
    <n v="6468.4772548500005"/>
    <n v="0"/>
    <n v="0"/>
    <n v="0"/>
    <n v="0"/>
    <n v="0"/>
    <n v="0"/>
    <n v="0"/>
    <n v="0"/>
    <n v="6468.4772548500005"/>
    <n v="0"/>
    <n v="0"/>
  </r>
  <r>
    <x v="807"/>
    <s v="Raini 2"/>
    <s v="MPG"/>
    <s v="Direct"/>
    <n v="166.9"/>
    <n v="7205.5840331939999"/>
    <n v="166.29999999999998"/>
    <n v="7321.1467494236749"/>
    <n v="0"/>
    <n v="0"/>
    <n v="166.29999999999998"/>
    <n v="7321.1467494236749"/>
    <n v="7205.5840331939999"/>
    <n v="0"/>
    <n v="0"/>
    <n v="115.56271622967506"/>
    <n v="0"/>
    <n v="0"/>
    <n v="0"/>
    <n v="7206"/>
    <n v="0"/>
    <n v="0"/>
    <n v="0"/>
    <n v="0"/>
  </r>
  <r>
    <x v="809"/>
    <s v="Kusiya 2"/>
    <s v="vlc"/>
    <s v="Indirect"/>
    <n v="162.69999999999999"/>
    <n v="5959.766378886"/>
    <n v="0"/>
    <n v="0"/>
    <n v="0"/>
    <n v="0"/>
    <n v="0"/>
    <n v="0"/>
    <n v="5959.766378886"/>
    <n v="0"/>
    <n v="0"/>
    <n v="0"/>
    <n v="0"/>
    <n v="0"/>
    <n v="0"/>
    <n v="0"/>
    <n v="0"/>
    <n v="5959.766378886"/>
    <n v="0"/>
    <n v="0"/>
  </r>
  <r>
    <x v="810"/>
    <s v="Babupur"/>
    <s v="vlc"/>
    <s v="Indirect"/>
    <n v="1010.1999999999999"/>
    <n v="36441.317518614007"/>
    <n v="0"/>
    <n v="0"/>
    <n v="0"/>
    <n v="0"/>
    <n v="0"/>
    <n v="0"/>
    <n v="36441.317518614007"/>
    <n v="0"/>
    <n v="0"/>
    <n v="0"/>
    <n v="0"/>
    <n v="0"/>
    <n v="0"/>
    <n v="0"/>
    <n v="0"/>
    <n v="36441.317518614007"/>
    <n v="0"/>
    <n v="0"/>
  </r>
  <r>
    <x v="811"/>
    <s v="Rahua 2"/>
    <s v="vlc"/>
    <s v="Indirect"/>
    <n v="1431.6000000000001"/>
    <n v="63414.562489791417"/>
    <n v="0"/>
    <n v="0"/>
    <n v="0"/>
    <n v="0"/>
    <n v="0"/>
    <n v="0"/>
    <n v="63414.562489791417"/>
    <n v="0"/>
    <n v="0"/>
    <n v="0"/>
    <n v="0"/>
    <n v="0"/>
    <n v="0"/>
    <n v="0"/>
    <n v="0"/>
    <n v="63414.562489791417"/>
    <n v="0"/>
    <n v="0"/>
  </r>
  <r>
    <x v="812"/>
    <s v="Madhopur"/>
    <s v="vlc"/>
    <s v="Indirect"/>
    <n v="836.10000000000014"/>
    <n v="35013.441408298801"/>
    <n v="0"/>
    <n v="0"/>
    <n v="0"/>
    <n v="0"/>
    <n v="0"/>
    <n v="0"/>
    <n v="35013.441408298801"/>
    <n v="0"/>
    <n v="0"/>
    <n v="0"/>
    <n v="0"/>
    <n v="0"/>
    <n v="0"/>
    <n v="0"/>
    <n v="0"/>
    <n v="35013.441408298801"/>
    <n v="0"/>
    <n v="0"/>
  </r>
  <r>
    <x v="813"/>
    <s v="Ekdara"/>
    <s v="vlc"/>
    <s v="Indirect"/>
    <n v="3854.8"/>
    <n v="140448.37214443804"/>
    <n v="0"/>
    <n v="0"/>
    <n v="0"/>
    <n v="0"/>
    <n v="0"/>
    <n v="0"/>
    <n v="140448.37214443804"/>
    <n v="0"/>
    <n v="0"/>
    <n v="0"/>
    <n v="0"/>
    <n v="0"/>
    <n v="0"/>
    <n v="0"/>
    <n v="0"/>
    <n v="140448.37214443804"/>
    <n v="0"/>
    <n v="0"/>
  </r>
  <r>
    <x v="814"/>
    <s v="Mahuli"/>
    <s v="MPG"/>
    <s v="Direct"/>
    <n v="395.5"/>
    <n v="15896.536424370002"/>
    <n v="394.2000000000001"/>
    <n v="15781.89825588345"/>
    <n v="8.1"/>
    <n v="328.74225849000004"/>
    <n v="402.30000000000013"/>
    <n v="16110.64051437345"/>
    <n v="15896.536424370002"/>
    <n v="0"/>
    <n v="328.74225849000004"/>
    <n v="214.10409000344771"/>
    <n v="0"/>
    <n v="0"/>
    <n v="0"/>
    <n v="15568"/>
    <n v="0"/>
    <n v="0"/>
    <n v="0"/>
    <n v="0"/>
  </r>
  <r>
    <x v="815"/>
    <s v="Sakhwa Ghat"/>
    <s v="MPG"/>
    <s v="Direct"/>
    <n v="271.79999999999995"/>
    <n v="11070.057660753002"/>
    <n v="299.2"/>
    <n v="12993.731050546876"/>
    <n v="4.5"/>
    <n v="181.09186925100002"/>
    <n v="303.7"/>
    <n v="13174.822919797876"/>
    <n v="11070.057660753002"/>
    <n v="0"/>
    <n v="181.09186925100002"/>
    <n v="2104.7652590448743"/>
    <n v="0"/>
    <n v="0"/>
    <n v="0"/>
    <n v="10889"/>
    <n v="0"/>
    <n v="0"/>
    <n v="0"/>
    <n v="0"/>
  </r>
  <r>
    <x v="816"/>
    <s v="Patiya"/>
    <s v="MPG"/>
    <s v="Direct"/>
    <n v="278.7"/>
    <n v="10214.726434548002"/>
    <n v="307.10000000000002"/>
    <n v="12954.611561284139"/>
    <n v="3.6999999999999997"/>
    <n v="154.59829335443999"/>
    <n v="310.8"/>
    <n v="13109.209854638579"/>
    <n v="10214.726434548002"/>
    <n v="0"/>
    <n v="154.59829335443999"/>
    <n v="2894.4834200905771"/>
    <n v="0"/>
    <n v="0"/>
    <n v="0"/>
    <n v="10060"/>
    <n v="0"/>
    <n v="0"/>
    <n v="0"/>
    <n v="0"/>
  </r>
  <r>
    <x v="817"/>
    <s v="Kasiya"/>
    <s v="MPG"/>
    <s v="Direct"/>
    <n v="506.69999999999993"/>
    <n v="19459.987737611998"/>
    <n v="504.4"/>
    <n v="21086.964049143964"/>
    <n v="12.8"/>
    <n v="523.20269146500004"/>
    <n v="517.19999999999993"/>
    <n v="21610.166740608965"/>
    <n v="19459.987737611998"/>
    <n v="0"/>
    <n v="523.20269146500004"/>
    <n v="2150.179002996967"/>
    <n v="0"/>
    <n v="0"/>
    <n v="0"/>
    <n v="18937"/>
    <n v="0"/>
    <n v="0"/>
    <n v="0"/>
    <s v="Release1"/>
  </r>
  <r>
    <x v="818"/>
    <s v="Belshandi"/>
    <s v="MPG"/>
    <s v="Direct"/>
    <n v="87.499999999999986"/>
    <n v="3042.6525074880005"/>
    <n v="96.3"/>
    <n v="3335.351791869"/>
    <n v="0"/>
    <n v="0"/>
    <n v="96.3"/>
    <n v="3335.351791869"/>
    <n v="3042.6525074880005"/>
    <n v="0"/>
    <n v="0"/>
    <n v="292.69928438099942"/>
    <n v="0"/>
    <n v="0"/>
    <n v="0"/>
    <n v="3043"/>
    <n v="0"/>
    <n v="0"/>
    <n v="0"/>
    <n v="0"/>
  </r>
  <r>
    <x v="820"/>
    <s v="Godah"/>
    <s v="MPG"/>
    <s v="Direct"/>
    <n v="235.8"/>
    <n v="8315.3377682640021"/>
    <n v="318.99999999999994"/>
    <n v="12284.69946644232"/>
    <n v="0"/>
    <n v="0"/>
    <n v="318.99999999999994"/>
    <n v="12284.69946644232"/>
    <n v="8315.3377682640021"/>
    <n v="0"/>
    <n v="0"/>
    <n v="3969.361698178318"/>
    <n v="0"/>
    <n v="0"/>
    <n v="0"/>
    <n v="8315"/>
    <n v="0"/>
    <n v="0"/>
    <n v="0"/>
    <n v="0"/>
  </r>
  <r>
    <x v="821"/>
    <s v="Ballahpur"/>
    <s v="MPG"/>
    <s v="Direct"/>
    <n v="240.49999999999997"/>
    <n v="9391.7917203300003"/>
    <n v="227.25000000000003"/>
    <n v="9652.1733401258716"/>
    <n v="0"/>
    <n v="0"/>
    <n v="227.25000000000003"/>
    <n v="9652.1733401258716"/>
    <n v="9391.7917203300003"/>
    <n v="0"/>
    <n v="0"/>
    <n v="260.3816197958713"/>
    <n v="0"/>
    <n v="500"/>
    <n v="0"/>
    <n v="8892"/>
    <n v="0"/>
    <n v="0"/>
    <n v="0"/>
    <n v="0"/>
  </r>
  <r>
    <x v="822"/>
    <s v="Laxmipur-VLC"/>
    <s v="vlc"/>
    <s v="Indirect"/>
    <n v="170.99999999999997"/>
    <n v="5684.7464330760013"/>
    <n v="0"/>
    <n v="0"/>
    <n v="0"/>
    <n v="0"/>
    <n v="0"/>
    <n v="0"/>
    <n v="5684.7464330760013"/>
    <n v="0"/>
    <n v="0"/>
    <n v="0"/>
    <n v="0"/>
    <n v="0"/>
    <n v="0"/>
    <n v="0"/>
    <n v="0"/>
    <n v="5684.7464330760013"/>
    <n v="0"/>
    <n v="0"/>
  </r>
  <r>
    <x v="823"/>
    <s v="Birpur"/>
    <s v="MPG"/>
    <s v="Direct"/>
    <n v="592.9"/>
    <n v="19706.733330702002"/>
    <n v="636.29"/>
    <n v="22291.238378075406"/>
    <n v="0"/>
    <n v="0"/>
    <n v="636.29"/>
    <n v="22291.238378075406"/>
    <n v="19706.733330702002"/>
    <n v="0"/>
    <n v="0"/>
    <n v="2584.5050473734045"/>
    <n v="0"/>
    <n v="0"/>
    <n v="0"/>
    <n v="19707"/>
    <n v="0"/>
    <n v="0"/>
    <n v="0"/>
    <n v="0"/>
  </r>
  <r>
    <x v="824"/>
    <s v="Ahilwar"/>
    <s v="MPG"/>
    <s v="Direct"/>
    <n v="1257.6999999999998"/>
    <n v="47292.535785021952"/>
    <n v="1258.0999999999999"/>
    <n v="47509.503698962944"/>
    <n v="5"/>
    <n v="272.66353745000004"/>
    <n v="1263.0999999999999"/>
    <n v="47782.167236412941"/>
    <n v="47292.535785021952"/>
    <n v="0"/>
    <n v="272.66353745000004"/>
    <n v="489.63145139098924"/>
    <n v="0"/>
    <n v="0"/>
    <n v="0"/>
    <n v="47020"/>
    <n v="0"/>
    <n v="0"/>
    <n v="0"/>
    <n v="0"/>
  </r>
  <r>
    <x v="825"/>
    <s v="Paridah"/>
    <s v="MPG"/>
    <s v="Direct"/>
    <n v="146.69999999999999"/>
    <n v="6194.2526498699999"/>
    <n v="163.91"/>
    <n v="6974.30428399231"/>
    <n v="0"/>
    <n v="0"/>
    <n v="163.91"/>
    <n v="6974.30428399231"/>
    <n v="6194.2526498699999"/>
    <n v="0"/>
    <n v="0"/>
    <n v="780.05163412231013"/>
    <n v="0"/>
    <n v="500"/>
    <n v="0"/>
    <n v="5694"/>
    <n v="0"/>
    <n v="0"/>
    <n v="0"/>
    <s v="Release1"/>
  </r>
  <r>
    <x v="826"/>
    <s v="Pansalla"/>
    <s v="MPG"/>
    <s v="Direct"/>
    <n v="42.7"/>
    <n v="1380.531680154"/>
    <n v="42.3"/>
    <n v="1547.4542688000001"/>
    <n v="0"/>
    <n v="0"/>
    <n v="42.3"/>
    <n v="1547.4542688000001"/>
    <n v="1380.531680154"/>
    <n v="0"/>
    <n v="0"/>
    <n v="166.92258864600012"/>
    <n v="0"/>
    <n v="0"/>
    <n v="0"/>
    <n v="1381"/>
    <n v="0"/>
    <n v="0"/>
    <n v="0"/>
    <s v="Release1"/>
  </r>
  <r>
    <x v="827"/>
    <s v="KOLAWARI"/>
    <s v="MPG"/>
    <s v="Direct"/>
    <n v="280.09999999999997"/>
    <n v="13044.9402183276"/>
    <n v="314.09999999999991"/>
    <n v="14260.718173513797"/>
    <n v="0"/>
    <n v="0"/>
    <n v="314.09999999999991"/>
    <n v="14260.718173513797"/>
    <n v="13044.9402183276"/>
    <n v="0"/>
    <n v="0"/>
    <n v="1215.7779551861968"/>
    <n v="0"/>
    <n v="0"/>
    <n v="0"/>
    <n v="13045"/>
    <n v="0"/>
    <n v="0"/>
    <n v="0"/>
    <s v="Release1"/>
  </r>
  <r>
    <x v="828"/>
    <s v="MALDAH"/>
    <s v="vlc"/>
    <s v="Indirect"/>
    <n v="788.30000000000007"/>
    <n v="30165.116774286005"/>
    <n v="0"/>
    <n v="0"/>
    <n v="0"/>
    <n v="0"/>
    <n v="0"/>
    <n v="0"/>
    <n v="30165.116774286005"/>
    <n v="0"/>
    <n v="0"/>
    <n v="0"/>
    <n v="0"/>
    <n v="0"/>
    <n v="0"/>
    <n v="0"/>
    <n v="0"/>
    <n v="30165.116774286005"/>
    <n v="0"/>
    <n v="0"/>
  </r>
  <r>
    <x v="829"/>
    <s v="KARANCHI"/>
    <s v="MPG"/>
    <s v="Direct"/>
    <n v="170.39999999999998"/>
    <n v="6532.2028540440015"/>
    <n v="215.59999999999997"/>
    <n v="8761.0494942993919"/>
    <n v="0"/>
    <n v="0"/>
    <n v="215.59999999999997"/>
    <n v="8761.0494942993919"/>
    <n v="6532.2028540440015"/>
    <n v="0"/>
    <n v="0"/>
    <n v="2228.8466402553904"/>
    <n v="0"/>
    <n v="0"/>
    <n v="0"/>
    <n v="6532"/>
    <n v="0"/>
    <n v="0"/>
    <n v="0"/>
    <n v="0"/>
  </r>
  <r>
    <x v="830"/>
    <s v="MARTHUA"/>
    <s v="MPG"/>
    <s v="Direct"/>
    <n v="336.8"/>
    <n v="13489.597805106003"/>
    <n v="418.94"/>
    <n v="16517.820799250898"/>
    <n v="0"/>
    <n v="0"/>
    <n v="418.94"/>
    <n v="16517.820799250898"/>
    <n v="13489.597805106003"/>
    <n v="0"/>
    <n v="0"/>
    <n v="3028.222994144895"/>
    <n v="0"/>
    <n v="0"/>
    <n v="0"/>
    <n v="13490"/>
    <n v="0"/>
    <n v="0"/>
    <n v="0"/>
    <n v="0"/>
  </r>
  <r>
    <x v="831"/>
    <s v="GARHPURA "/>
    <s v="MPG"/>
    <s v="Direct"/>
    <n v="151.80000000000001"/>
    <n v="5126.3998720326008"/>
    <n v="137"/>
    <n v="3949.9539681870001"/>
    <n v="0"/>
    <n v="0"/>
    <n v="137"/>
    <n v="3949.9539681870001"/>
    <n v="3949.9539681870001"/>
    <n v="0"/>
    <n v="0"/>
    <n v="0"/>
    <n v="0"/>
    <n v="0"/>
    <n v="0"/>
    <n v="3950"/>
    <n v="0"/>
    <n v="0"/>
    <n v="1176"/>
    <n v="0"/>
  </r>
  <r>
    <x v="832"/>
    <s v="KOKANI"/>
    <s v="MPG"/>
    <s v="Direct"/>
    <n v="130.10000000000002"/>
    <n v="5579.9580208980005"/>
    <n v="69.92"/>
    <n v="3058.54555331544"/>
    <n v="0"/>
    <n v="0"/>
    <n v="69.92"/>
    <n v="3058.54555331544"/>
    <n v="3058.54555331544"/>
    <n v="0"/>
    <n v="0"/>
    <n v="0"/>
    <n v="0"/>
    <n v="0"/>
    <n v="0"/>
    <n v="3059"/>
    <n v="0"/>
    <n v="0"/>
    <n v="2521"/>
    <n v="0"/>
  </r>
  <r>
    <x v="833"/>
    <s v="DURGAPUR "/>
    <s v="MPG"/>
    <s v="Direct"/>
    <n v="289.2"/>
    <n v="12031.8180791256"/>
    <n v="434.19999999999993"/>
    <n v="18285.185091345276"/>
    <n v="0"/>
    <n v="0"/>
    <n v="434.19999999999993"/>
    <n v="18285.185091345276"/>
    <n v="12031.8180791256"/>
    <n v="0"/>
    <n v="0"/>
    <n v="6253.3670122196763"/>
    <n v="0"/>
    <n v="0"/>
    <n v="0"/>
    <n v="12032"/>
    <n v="0"/>
    <n v="0"/>
    <n v="0"/>
    <n v="0"/>
  </r>
  <r>
    <x v="834"/>
    <s v="Chandauli"/>
    <s v="MPG"/>
    <s v="Direct"/>
    <n v="172.4"/>
    <n v="7394.1478836702008"/>
    <n v="198.70000000000005"/>
    <n v="8844.5043337676016"/>
    <n v="0"/>
    <n v="0"/>
    <n v="198.70000000000005"/>
    <n v="8844.5043337676016"/>
    <n v="7394.1478836702008"/>
    <n v="0"/>
    <n v="0"/>
    <n v="1450.3564500974007"/>
    <n v="0"/>
    <n v="0"/>
    <n v="0"/>
    <n v="7394"/>
    <n v="0"/>
    <n v="0"/>
    <n v="0"/>
    <s v="Release1"/>
  </r>
  <r>
    <x v="835"/>
    <s v="Girdharpur"/>
    <s v="MPG"/>
    <s v="Direct"/>
    <n v="629.19999999999993"/>
    <n v="21533.570089123506"/>
    <n v="609.00000000000011"/>
    <n v="20298.614083347002"/>
    <n v="0"/>
    <n v="0"/>
    <n v="609.00000000000011"/>
    <n v="20298.614083347002"/>
    <n v="20298.614083347002"/>
    <n v="0"/>
    <n v="0"/>
    <n v="0"/>
    <n v="0"/>
    <n v="0"/>
    <n v="0"/>
    <n v="20299"/>
    <n v="0"/>
    <n v="0"/>
    <n v="1235"/>
    <n v="0"/>
  </r>
  <r>
    <x v="836"/>
    <s v="MISHRBIGHA"/>
    <s v="MPG"/>
    <s v="Direct"/>
    <n v="793.60000000000014"/>
    <n v="45186.113944386998"/>
    <n v="822.62000000000023"/>
    <n v="45748.763324923399"/>
    <n v="1.96"/>
    <n v="149.10925725360005"/>
    <n v="824.58000000000027"/>
    <n v="45897.872582176999"/>
    <n v="45186.113944386998"/>
    <n v="0"/>
    <n v="149.10925725360005"/>
    <n v="711.75863779000065"/>
    <n v="0"/>
    <n v="0"/>
    <n v="0"/>
    <n v="45037"/>
    <n v="0"/>
    <n v="0"/>
    <n v="0"/>
    <n v="0"/>
  </r>
  <r>
    <x v="837"/>
    <s v="DIGHOI"/>
    <s v="MPG"/>
    <s v="Direct"/>
    <n v="153.09999999999997"/>
    <n v="9367.0623690840002"/>
    <n v="154.62"/>
    <n v="10039.696428097441"/>
    <n v="0"/>
    <n v="0"/>
    <n v="154.62"/>
    <n v="10039.696428097441"/>
    <n v="9367.0623690840002"/>
    <n v="0"/>
    <n v="0"/>
    <n v="672.63405901344049"/>
    <n v="0"/>
    <n v="500"/>
    <n v="0"/>
    <n v="8867"/>
    <n v="0"/>
    <n v="0"/>
    <n v="0"/>
    <n v="0"/>
  </r>
  <r>
    <x v="838"/>
    <s v="PRATAPUR"/>
    <s v="MPG"/>
    <s v="Direct"/>
    <n v="1037.8"/>
    <n v="39435.154327620003"/>
    <n v="1033.2000000000003"/>
    <n v="39448.329509340008"/>
    <n v="0"/>
    <n v="0"/>
    <n v="1033.2000000000003"/>
    <n v="39448.329509340008"/>
    <n v="39435.154327620003"/>
    <n v="0"/>
    <n v="0"/>
    <n v="13.175181720005639"/>
    <n v="0"/>
    <n v="0"/>
    <n v="0"/>
    <n v="39435"/>
    <n v="0"/>
    <n v="0"/>
    <n v="0"/>
    <n v="0"/>
  </r>
  <r>
    <x v="839"/>
    <s v="GOPALPUR"/>
    <s v="MPG"/>
    <s v="Direct"/>
    <n v="1265.4000000000001"/>
    <n v="52893.952682700008"/>
    <n v="1210.4000000000001"/>
    <n v="52922.472267087702"/>
    <n v="0"/>
    <n v="0"/>
    <n v="1210.4000000000001"/>
    <n v="52922.472267087702"/>
    <n v="52893.952682700008"/>
    <n v="0"/>
    <n v="0"/>
    <n v="28.519584387693612"/>
    <n v="0"/>
    <n v="0"/>
    <n v="0"/>
    <n v="52894"/>
    <n v="0"/>
    <n v="0"/>
    <n v="0"/>
    <n v="0"/>
  </r>
  <r>
    <x v="840"/>
    <s v="NARMDA"/>
    <s v="MPG"/>
    <s v="Direct"/>
    <n v="306.89999999999998"/>
    <n v="14782.434222495998"/>
    <n v="307.29999999999995"/>
    <n v="14808.609174886002"/>
    <n v="0"/>
    <n v="0"/>
    <n v="307.29999999999995"/>
    <n v="14808.609174886002"/>
    <n v="14782.434222495998"/>
    <n v="0"/>
    <n v="0"/>
    <n v="26.174952390003455"/>
    <n v="0"/>
    <n v="0"/>
    <n v="0"/>
    <n v="14782"/>
    <n v="0"/>
    <n v="0"/>
    <n v="0"/>
    <n v="0"/>
  </r>
  <r>
    <x v="841"/>
    <s v="AMRATH"/>
    <s v="MPG"/>
    <s v="Direct"/>
    <n v="1476.9000000000003"/>
    <n v="72507.733862762703"/>
    <n v="1476.3"/>
    <n v="72649.877844632705"/>
    <n v="0"/>
    <n v="0"/>
    <n v="1476.3"/>
    <n v="72649.877844632705"/>
    <n v="72507.733862762703"/>
    <n v="0"/>
    <n v="0"/>
    <n v="142.14398187000188"/>
    <n v="0"/>
    <n v="0"/>
    <n v="0"/>
    <n v="72508"/>
    <n v="0"/>
    <n v="0"/>
    <n v="0"/>
    <n v="0"/>
  </r>
  <r>
    <x v="842"/>
    <s v="PUTERIA"/>
    <s v="MPG"/>
    <s v="Direct"/>
    <n v="584.29999999999995"/>
    <n v="23487.008405700006"/>
    <n v="566.22"/>
    <n v="22920.593887524952"/>
    <n v="0"/>
    <n v="0"/>
    <n v="566.22"/>
    <n v="22920.593887524952"/>
    <n v="22920.593887524952"/>
    <n v="0"/>
    <n v="0"/>
    <n v="0"/>
    <n v="0"/>
    <n v="0"/>
    <n v="0"/>
    <n v="22920"/>
    <n v="0"/>
    <n v="0"/>
    <n v="567"/>
    <n v="0"/>
  </r>
  <r>
    <x v="843"/>
    <s v="LAKHAPUR"/>
    <s v="MPG"/>
    <s v="Direct"/>
    <n v="691.80000000000007"/>
    <n v="28694.599769850309"/>
    <n v="691.8"/>
    <n v="28532.783527013107"/>
    <n v="0"/>
    <n v="0"/>
    <n v="691.8"/>
    <n v="28532.783527013107"/>
    <n v="28532.783527013107"/>
    <n v="0"/>
    <n v="0"/>
    <n v="0"/>
    <n v="0"/>
    <n v="0"/>
    <n v="0"/>
    <n v="28533"/>
    <n v="0"/>
    <n v="0"/>
    <n v="162"/>
    <n v="0"/>
  </r>
  <r>
    <x v="844"/>
    <s v="BARIYARPUR"/>
    <s v="MPG"/>
    <s v="Direct"/>
    <n v="543.50000000000011"/>
    <n v="25197.940265942005"/>
    <n v="543.4"/>
    <n v="24151.755968772104"/>
    <n v="0"/>
    <n v="0"/>
    <n v="543.4"/>
    <n v="24151.755968772104"/>
    <n v="24151.755968772104"/>
    <n v="0"/>
    <n v="0"/>
    <n v="0"/>
    <n v="0"/>
    <n v="0"/>
    <n v="0"/>
    <n v="24152"/>
    <n v="0"/>
    <n v="0"/>
    <n v="1046"/>
    <n v="0"/>
  </r>
  <r>
    <x v="845"/>
    <s v="BAGWANA"/>
    <s v="MPG"/>
    <s v="Direct"/>
    <n v="487.6"/>
    <n v="21090.5470491456"/>
    <n v="487.6"/>
    <n v="21085.768431426401"/>
    <n v="0"/>
    <n v="0"/>
    <n v="487.6"/>
    <n v="21085.768431426401"/>
    <n v="21085.768431426401"/>
    <n v="0"/>
    <n v="0"/>
    <n v="0"/>
    <n v="0"/>
    <n v="0"/>
    <n v="0"/>
    <n v="21086"/>
    <n v="0"/>
    <n v="0"/>
    <n v="5"/>
    <n v="0"/>
  </r>
  <r>
    <x v="846"/>
    <s v="REWATA"/>
    <s v="MPG"/>
    <s v="Direct"/>
    <n v="31.2"/>
    <n v="1785.3560788355001"/>
    <n v="31.2"/>
    <n v="1794.2160249564001"/>
    <n v="0"/>
    <n v="0"/>
    <n v="31.2"/>
    <n v="1794.2160249564001"/>
    <n v="1785.3560788355001"/>
    <n v="0"/>
    <n v="0"/>
    <n v="8.8599461209000765"/>
    <n v="0"/>
    <n v="0"/>
    <n v="0"/>
    <n v="1785"/>
    <n v="0"/>
    <n v="0"/>
    <n v="0"/>
    <n v="0"/>
  </r>
  <r>
    <x v="847"/>
    <s v="GOMUKH DAND"/>
    <s v="vlc"/>
    <s v="Indirect"/>
    <n v="368.9"/>
    <n v="16993.375751439005"/>
    <n v="0"/>
    <n v="0"/>
    <n v="0"/>
    <n v="0"/>
    <n v="0"/>
    <n v="0"/>
    <n v="16993.375751439005"/>
    <n v="0"/>
    <n v="0"/>
    <n v="0"/>
    <n v="0"/>
    <n v="0"/>
    <n v="0"/>
    <n v="0"/>
    <n v="0"/>
    <n v="16993.375751439005"/>
    <n v="0"/>
    <n v="0"/>
  </r>
  <r>
    <x v="848"/>
    <s v="Gomukh Karisath"/>
    <s v="MPG"/>
    <s v="Direct"/>
    <n v="279.39999999999998"/>
    <n v="9751.6683444600021"/>
    <n v="280.42"/>
    <n v="9853.1491054810504"/>
    <n v="0"/>
    <n v="0"/>
    <n v="280.42"/>
    <n v="9853.1491054810504"/>
    <n v="9751.6683444600021"/>
    <n v="0"/>
    <n v="0"/>
    <n v="101.48076102104824"/>
    <n v="0"/>
    <n v="0"/>
    <n v="0"/>
    <n v="9752"/>
    <n v="0"/>
    <n v="0"/>
    <n v="0"/>
    <s v="Release1"/>
  </r>
  <r>
    <x v="849"/>
    <s v="Gomukh Ama"/>
    <s v="MPG"/>
    <s v="Direct"/>
    <n v="604.69999999999993"/>
    <n v="21590.475915269999"/>
    <n v="599"/>
    <n v="21565.265088000004"/>
    <n v="0"/>
    <n v="0"/>
    <n v="599"/>
    <n v="21565.265088000004"/>
    <n v="21565.265088000004"/>
    <n v="0"/>
    <n v="0"/>
    <n v="0"/>
    <n v="1280"/>
    <n v="0"/>
    <n v="0"/>
    <n v="20285"/>
    <n v="0"/>
    <n v="0"/>
    <n v="25"/>
    <n v="0"/>
  </r>
  <r>
    <x v="850"/>
    <s v="Gomukh Pawat"/>
    <s v="MPG"/>
    <s v="Direct"/>
    <n v="799.3"/>
    <n v="27145.472563680003"/>
    <n v="679.47"/>
    <n v="27117.391756239471"/>
    <n v="0"/>
    <n v="0"/>
    <n v="679.47"/>
    <n v="27117.391756239471"/>
    <n v="27117.391756239471"/>
    <n v="0"/>
    <n v="0"/>
    <n v="0"/>
    <n v="0"/>
    <n v="0"/>
    <n v="0"/>
    <n v="27117"/>
    <n v="0"/>
    <n v="0"/>
    <n v="28"/>
    <n v="0"/>
  </r>
  <r>
    <x v="851"/>
    <s v="Gomukh Barja"/>
    <s v="MPG"/>
    <s v="Direct"/>
    <n v="173.5"/>
    <n v="6639.9345045600012"/>
    <n v="178.81"/>
    <n v="6908.2879382592009"/>
    <n v="2.74"/>
    <n v="106.38375141600001"/>
    <n v="181.55"/>
    <n v="7014.6716896752014"/>
    <n v="6639.9345045600012"/>
    <n v="0"/>
    <n v="106.38375141600001"/>
    <n v="374.73718511520019"/>
    <n v="0"/>
    <n v="0"/>
    <n v="0"/>
    <n v="6534"/>
    <n v="0"/>
    <n v="0"/>
    <n v="0"/>
    <n v="0"/>
  </r>
  <r>
    <x v="852"/>
    <s v="Gomukh Charghat"/>
    <s v="MPG"/>
    <s v="Direct"/>
    <n v="531.20000000000005"/>
    <n v="20495.146592880003"/>
    <n v="608.19000000000005"/>
    <n v="22597.97096283015"/>
    <n v="0"/>
    <n v="0"/>
    <n v="608.19000000000005"/>
    <n v="22597.97096283015"/>
    <n v="20495.146592880003"/>
    <n v="0"/>
    <n v="0"/>
    <n v="2102.8243699501472"/>
    <n v="0"/>
    <n v="0"/>
    <n v="0"/>
    <n v="20495"/>
    <n v="0"/>
    <n v="0"/>
    <n v="0"/>
    <n v="0"/>
  </r>
  <r>
    <x v="853"/>
    <s v="Gomukh Ramdihra"/>
    <s v="MPG"/>
    <s v="Direct"/>
    <n v="105"/>
    <n v="3479.9575646399999"/>
    <n v="99"/>
    <n v="3440.3600880000008"/>
    <n v="0"/>
    <n v="0"/>
    <n v="99"/>
    <n v="3440.3600880000008"/>
    <n v="3440.3600880000008"/>
    <n v="0"/>
    <n v="0"/>
    <n v="0"/>
    <n v="2940"/>
    <n v="500"/>
    <n v="0"/>
    <n v="0"/>
    <n v="0"/>
    <n v="0"/>
    <n v="40"/>
    <n v="0"/>
  </r>
  <r>
    <x v="854"/>
    <s v="Gomukh Bara"/>
    <s v="MPG"/>
    <s v="Direct"/>
    <n v="292.89999999999998"/>
    <n v="10821.34582353"/>
    <n v="384.61999999999995"/>
    <n v="15376.759331045554"/>
    <n v="0"/>
    <n v="0"/>
    <n v="384.61999999999995"/>
    <n v="15376.759331045554"/>
    <n v="10821.34582353"/>
    <n v="0"/>
    <n v="0"/>
    <n v="4555.4135075155536"/>
    <n v="0"/>
    <n v="0"/>
    <n v="0"/>
    <n v="10821"/>
    <n v="0"/>
    <n v="0"/>
    <n v="0"/>
    <s v="Release1"/>
  </r>
  <r>
    <x v="855"/>
    <s v="Gumukh Khajuriya"/>
    <s v="MPG"/>
    <s v="Direct"/>
    <n v="499.40000000000003"/>
    <n v="17967.48410238"/>
    <n v="464.57"/>
    <n v="17772.613337437051"/>
    <n v="1.02"/>
    <n v="37.870502058900001"/>
    <n v="465.59"/>
    <n v="17810.483839495952"/>
    <n v="17810.483839495952"/>
    <n v="0"/>
    <n v="37.870502058900001"/>
    <n v="0"/>
    <n v="0"/>
    <n v="0"/>
    <n v="0"/>
    <n v="17773"/>
    <n v="0"/>
    <n v="0"/>
    <n v="157"/>
    <n v="0"/>
  </r>
  <r>
    <x v="857"/>
    <s v="GOMUKH BHATOLIYA"/>
    <s v="MPG"/>
    <s v="Direct"/>
    <n v="812.80000000000007"/>
    <n v="35241.963889250008"/>
    <n v="819.70000000000016"/>
    <n v="35752.339827305208"/>
    <n v="5.1000000000000005"/>
    <n v="237.82597373150003"/>
    <n v="824.80000000000018"/>
    <n v="35990.16580103671"/>
    <n v="35241.963889250008"/>
    <n v="0"/>
    <n v="237.82597373150003"/>
    <n v="748.20191178670211"/>
    <n v="0"/>
    <n v="0"/>
    <n v="0"/>
    <n v="35004"/>
    <n v="0"/>
    <n v="0"/>
    <n v="0"/>
    <n v="0"/>
  </r>
  <r>
    <x v="858"/>
    <s v="GOMUKH CHEHRAKALA"/>
    <s v="MPG"/>
    <s v="Direct"/>
    <n v="363.2999999999999"/>
    <n v="17392.183491003001"/>
    <n v="368.80000000000007"/>
    <n v="17960.574717541524"/>
    <n v="0"/>
    <n v="0"/>
    <n v="368.80000000000007"/>
    <n v="17960.574717541524"/>
    <n v="17392.183491003001"/>
    <n v="0"/>
    <n v="0"/>
    <n v="568.39122653852246"/>
    <n v="0"/>
    <n v="0"/>
    <n v="0"/>
    <n v="17392"/>
    <n v="0"/>
    <n v="0"/>
    <n v="0"/>
    <n v="0"/>
  </r>
  <r>
    <x v="859"/>
    <s v="GOMUKH KHAJECHAND"/>
    <s v="MPG"/>
    <s v="Direct"/>
    <n v="358.7"/>
    <n v="13991.234748270001"/>
    <n v="358.3"/>
    <n v="14424.3530237102"/>
    <n v="0"/>
    <n v="0"/>
    <n v="358.3"/>
    <n v="14424.3530237102"/>
    <n v="13991.234748270001"/>
    <n v="0"/>
    <n v="0"/>
    <n v="433.1182754401998"/>
    <n v="0"/>
    <n v="0"/>
    <n v="0"/>
    <n v="13991"/>
    <n v="0"/>
    <n v="0"/>
    <n v="0"/>
    <n v="0"/>
  </r>
  <r>
    <x v="860"/>
    <s v="GOMUKH SALEMPUR"/>
    <s v="MPG"/>
    <s v="Direct"/>
    <n v="147.9"/>
    <n v="6240.1187489795002"/>
    <n v="147.80000000000001"/>
    <n v="6163.5928129003996"/>
    <n v="3.1000000000000005"/>
    <n v="126.73185315000001"/>
    <n v="150.9"/>
    <n v="6290.3246660503992"/>
    <n v="6240.1187489795002"/>
    <n v="0"/>
    <n v="126.73185315000001"/>
    <n v="50.205917070898977"/>
    <n v="3000"/>
    <n v="0"/>
    <n v="0"/>
    <n v="3113"/>
    <n v="0"/>
    <n v="0"/>
    <n v="0"/>
    <n v="0"/>
  </r>
  <r>
    <x v="861"/>
    <s v="Gomukh Paharpur"/>
    <s v="MPG"/>
    <s v="Direct"/>
    <n v="508.7000000000001"/>
    <n v="22157.174551143002"/>
    <n v="508.3"/>
    <n v="22089.776748307806"/>
    <n v="0"/>
    <n v="0"/>
    <n v="508.3"/>
    <n v="22089.776748307806"/>
    <n v="22089.776748307806"/>
    <n v="0"/>
    <n v="0"/>
    <n v="0"/>
    <n v="0"/>
    <n v="0"/>
    <n v="0"/>
    <n v="22090"/>
    <n v="0"/>
    <n v="0"/>
    <n v="67"/>
    <n v="0"/>
  </r>
  <r>
    <x v="862"/>
    <s v="GOMUKH PREMRAJ"/>
    <s v="MPG"/>
    <s v="Direct"/>
    <n v="258.59999999999997"/>
    <n v="12346.061461988002"/>
    <n v="258.09999999999997"/>
    <n v="13161.815341811478"/>
    <n v="0"/>
    <n v="0"/>
    <n v="258.09999999999997"/>
    <n v="13161.815341811478"/>
    <n v="12346.061461988002"/>
    <n v="0"/>
    <n v="0"/>
    <n v="815.75387982347638"/>
    <n v="0"/>
    <n v="0"/>
    <n v="0"/>
    <n v="12346"/>
    <n v="0"/>
    <n v="0"/>
    <n v="0"/>
    <n v="0"/>
  </r>
  <r>
    <x v="863"/>
    <s v="GOMUKH MAGURAHI"/>
    <s v="MPG"/>
    <s v="Direct"/>
    <n v="274.3"/>
    <n v="14311.748026329398"/>
    <n v="273.10000000000002"/>
    <n v="14536.19521269116"/>
    <n v="5.6"/>
    <n v="336.7428514627"/>
    <n v="278.70000000000005"/>
    <n v="14872.938064153861"/>
    <n v="14311.748026329398"/>
    <n v="0"/>
    <n v="336.7428514627"/>
    <n v="561.19003782446271"/>
    <n v="0"/>
    <n v="0"/>
    <n v="0"/>
    <n v="13975"/>
    <n v="0"/>
    <n v="0"/>
    <n v="0"/>
    <n v="0"/>
  </r>
  <r>
    <x v="864"/>
    <s v="GOMUKH GANGATI"/>
    <s v="MPG"/>
    <s v="Direct"/>
    <n v="343.20000000000005"/>
    <n v="14794.949857424122"/>
    <n v="349.5"/>
    <n v="15652.283578320743"/>
    <n v="0"/>
    <n v="0"/>
    <n v="349.5"/>
    <n v="15652.283578320743"/>
    <n v="14794.949857424122"/>
    <n v="0"/>
    <n v="0"/>
    <n v="857.33372089662043"/>
    <n v="0"/>
    <n v="0"/>
    <n v="0"/>
    <n v="14795"/>
    <n v="0"/>
    <n v="0"/>
    <n v="0"/>
    <n v="0"/>
  </r>
  <r>
    <x v="865"/>
    <s v="GOMUKH Khanpatti"/>
    <s v="MPG"/>
    <s v="Direct"/>
    <n v="954.5999999999998"/>
    <n v="44304.712244527997"/>
    <n v="966.50000000000011"/>
    <n v="44451.474728330912"/>
    <n v="5.7"/>
    <n v="229.29560886000004"/>
    <n v="972.20000000000016"/>
    <n v="44680.770337190908"/>
    <n v="44304.712244527997"/>
    <n v="0"/>
    <n v="229.29560886000004"/>
    <n v="376.0580926629118"/>
    <n v="0"/>
    <n v="0"/>
    <n v="0"/>
    <n v="44075"/>
    <n v="0"/>
    <n v="0"/>
    <n v="0"/>
    <n v="0"/>
  </r>
  <r>
    <x v="866"/>
    <s v="GOMUKH Bhagwatpur"/>
    <s v="MPG"/>
    <s v="Direct"/>
    <n v="590.29999999999995"/>
    <n v="25181.454707330799"/>
    <n v="589.19999999999993"/>
    <n v="25577.014117146002"/>
    <n v="0"/>
    <n v="0"/>
    <n v="589.19999999999993"/>
    <n v="25577.014117146002"/>
    <n v="25181.454707330799"/>
    <n v="0"/>
    <n v="0"/>
    <n v="395.55940981520325"/>
    <n v="0"/>
    <n v="0"/>
    <n v="0"/>
    <n v="25181"/>
    <n v="0"/>
    <n v="0"/>
    <n v="0"/>
    <n v="0"/>
  </r>
  <r>
    <x v="867"/>
    <s v="GOMUKH JIRWARA"/>
    <s v="vlc"/>
    <s v="Indirect"/>
    <n v="239"/>
    <n v="9777.3791239540806"/>
    <n v="0"/>
    <n v="0"/>
    <n v="0"/>
    <n v="0"/>
    <n v="0"/>
    <n v="0"/>
    <n v="9777.3791239540806"/>
    <n v="0"/>
    <n v="0"/>
    <n v="0"/>
    <n v="0"/>
    <n v="0"/>
    <n v="0"/>
    <n v="0"/>
    <n v="0"/>
    <n v="9777.3791239540806"/>
    <n v="0"/>
    <n v="0"/>
  </r>
  <r>
    <x v="868"/>
    <s v="GOMUKH Karhatiya"/>
    <s v="vlc"/>
    <s v="Indirect"/>
    <n v="277.70000000000005"/>
    <n v="10453.983585603"/>
    <n v="0"/>
    <n v="0"/>
    <n v="0"/>
    <n v="0"/>
    <n v="0"/>
    <n v="0"/>
    <n v="10453.983585603"/>
    <n v="0"/>
    <n v="0"/>
    <n v="0"/>
    <n v="0"/>
    <n v="0"/>
    <n v="0"/>
    <n v="0"/>
    <n v="0"/>
    <n v="10453.983585603"/>
    <n v="0"/>
    <n v="0"/>
  </r>
  <r>
    <x v="869"/>
    <s v="GOMUKH Karhatiya Bujurg"/>
    <s v="vlc"/>
    <s v="Indirect"/>
    <n v="224.5"/>
    <n v="7550.8137715500015"/>
    <n v="0"/>
    <n v="0"/>
    <n v="0"/>
    <n v="0"/>
    <n v="0"/>
    <n v="0"/>
    <n v="7550.8137715500015"/>
    <n v="0"/>
    <n v="0"/>
    <n v="0"/>
    <n v="0"/>
    <n v="0"/>
    <n v="0"/>
    <n v="0"/>
    <n v="0"/>
    <n v="7550.8137715500015"/>
    <n v="0"/>
    <n v="0"/>
  </r>
  <r>
    <x v="870"/>
    <s v="GOMUKH Bheraukhara"/>
    <s v="MPG"/>
    <s v="Direct"/>
    <n v="178.1"/>
    <n v="7452.8549890670001"/>
    <n v="175.60000000000002"/>
    <n v="7419.1749588776902"/>
    <n v="0"/>
    <n v="0"/>
    <n v="175.60000000000002"/>
    <n v="7419.1749588776902"/>
    <n v="7419.1749588776902"/>
    <n v="0"/>
    <n v="0"/>
    <n v="0"/>
    <n v="0"/>
    <n v="0"/>
    <n v="0"/>
    <n v="7418"/>
    <n v="0"/>
    <n v="0"/>
    <n v="35"/>
    <n v="0"/>
  </r>
  <r>
    <x v="871"/>
    <s v="GOMUKH SUPOLTARIYA"/>
    <s v="MPG"/>
    <s v="Direct"/>
    <n v="523.30000000000007"/>
    <n v="22390.723812514003"/>
    <n v="539.1"/>
    <n v="22530.542602931"/>
    <n v="0"/>
    <n v="0"/>
    <n v="539.1"/>
    <n v="22530.542602931"/>
    <n v="22390.723812514003"/>
    <n v="0"/>
    <n v="0"/>
    <n v="139.81879041699722"/>
    <n v="0"/>
    <n v="0"/>
    <n v="0"/>
    <n v="22391"/>
    <n v="0"/>
    <n v="0"/>
    <n v="0"/>
    <n v="0"/>
  </r>
  <r>
    <x v="872"/>
    <s v="GOMUKH Shravanapatti"/>
    <s v="MPG"/>
    <s v="Direct"/>
    <n v="117.29999999999998"/>
    <n v="5636.839694642601"/>
    <n v="117"/>
    <n v="6176.3221920593505"/>
    <n v="0"/>
    <n v="0"/>
    <n v="117"/>
    <n v="6176.3221920593505"/>
    <n v="5636.839694642601"/>
    <n v="0"/>
    <n v="0"/>
    <n v="539.48249741674954"/>
    <n v="0"/>
    <n v="0"/>
    <n v="0"/>
    <n v="5637"/>
    <n v="0"/>
    <n v="0"/>
    <n v="0"/>
    <n v="0"/>
  </r>
  <r>
    <x v="873"/>
    <s v="GOMUKH Jilwara"/>
    <s v="MPG"/>
    <s v="Direct"/>
    <n v="458"/>
    <n v="18867.885328003005"/>
    <n v="459.29999999999995"/>
    <n v="18952.933791602361"/>
    <n v="0"/>
    <n v="0"/>
    <n v="459.29999999999995"/>
    <n v="18952.933791602361"/>
    <n v="18867.885328003005"/>
    <n v="0"/>
    <n v="0"/>
    <n v="85.048463599356182"/>
    <n v="0"/>
    <n v="0"/>
    <n v="0"/>
    <n v="18868"/>
    <n v="0"/>
    <n v="0"/>
    <n v="0"/>
    <n v="0"/>
  </r>
  <r>
    <x v="1007"/>
    <s v="GOMUKH KHANPATTI EAST"/>
    <s v="vlc"/>
    <s v="Indirect"/>
    <n v="42.1"/>
    <n v="1864.5956596512001"/>
    <n v="0"/>
    <n v="0"/>
    <n v="0"/>
    <n v="0"/>
    <n v="0"/>
    <n v="0"/>
    <n v="1864.5956596512001"/>
    <n v="0"/>
    <n v="0"/>
    <n v="0"/>
    <n v="0"/>
    <n v="0"/>
    <n v="0"/>
    <n v="0"/>
    <n v="0"/>
    <n v="1864.5956596512001"/>
    <n v="0"/>
    <n v="0"/>
  </r>
  <r>
    <x v="874"/>
    <s v="GOMUKH ABBUCHAK"/>
    <s v="MPG"/>
    <s v="Direct"/>
    <n v="236.00000000000003"/>
    <n v="10433.747273500701"/>
    <n v="234.2"/>
    <n v="10438.3969286418"/>
    <n v="0"/>
    <n v="0"/>
    <n v="234.2"/>
    <n v="10438.3969286418"/>
    <n v="10433.747273500701"/>
    <n v="0"/>
    <n v="0"/>
    <n v="4.6496551410982647"/>
    <n v="0"/>
    <n v="0"/>
    <n v="0"/>
    <n v="10434"/>
    <n v="0"/>
    <n v="0"/>
    <n v="0"/>
    <n v="0"/>
  </r>
  <r>
    <x v="875"/>
    <s v="GOMUKH KAILA JALALPUR"/>
    <s v="MPG"/>
    <s v="Direct"/>
    <n v="250.10000000000005"/>
    <n v="9803.398837470002"/>
    <n v="245.59999999999997"/>
    <n v="9599.6484755865822"/>
    <n v="3.3"/>
    <n v="136.27015473000003"/>
    <n v="248.89999999999998"/>
    <n v="9735.9186303165825"/>
    <n v="9735.9186303165825"/>
    <n v="0"/>
    <n v="136.27015473000003"/>
    <n v="0"/>
    <n v="0"/>
    <n v="0"/>
    <n v="0"/>
    <n v="9600"/>
    <n v="0"/>
    <n v="0"/>
    <n v="67"/>
    <n v="0"/>
  </r>
  <r>
    <x v="877"/>
    <s v="Gomukh Jhitkahi East"/>
    <s v="MPG"/>
    <s v="Direct"/>
    <n v="81"/>
    <n v="4756.9279288910002"/>
    <n v="79.900000000000006"/>
    <n v="4872.8520646879006"/>
    <n v="0"/>
    <n v="0"/>
    <n v="79.900000000000006"/>
    <n v="4872.8520646879006"/>
    <n v="4756.9279288910002"/>
    <n v="0"/>
    <n v="0"/>
    <n v="115.92413579690037"/>
    <n v="0"/>
    <n v="0"/>
    <n v="0"/>
    <n v="4757"/>
    <n v="0"/>
    <n v="0"/>
    <n v="0"/>
    <n v="0"/>
  </r>
  <r>
    <x v="878"/>
    <s v="GOMUKH UPHRAUL"/>
    <s v="vlc"/>
    <s v="Indirect"/>
    <n v="1309.6000000000001"/>
    <n v="47386.184120634003"/>
    <n v="0"/>
    <n v="0"/>
    <n v="0"/>
    <n v="0"/>
    <n v="0"/>
    <n v="0"/>
    <n v="47386.184120634003"/>
    <n v="0"/>
    <n v="0"/>
    <n v="0"/>
    <n v="0"/>
    <n v="0"/>
    <n v="0"/>
    <n v="0"/>
    <n v="0"/>
    <n v="47386.184120634003"/>
    <n v="0"/>
    <n v="0"/>
  </r>
  <r>
    <x v="879"/>
    <s v="GOMUKH SHERPUR"/>
    <s v="vlc"/>
    <s v="Indirect"/>
    <n v="39.9"/>
    <n v="1482.3776297654999"/>
    <n v="0"/>
    <n v="0"/>
    <n v="0"/>
    <n v="0"/>
    <n v="0"/>
    <n v="0"/>
    <n v="1482.3776297654999"/>
    <n v="0"/>
    <n v="0"/>
    <n v="0"/>
    <n v="0"/>
    <n v="0"/>
    <n v="0"/>
    <n v="0"/>
    <n v="0"/>
    <n v="1482.3776297654999"/>
    <n v="0"/>
    <n v="0"/>
  </r>
  <r>
    <x v="1008"/>
    <s v="GOMUKH PANSALA"/>
    <s v="vlc"/>
    <s v="Indirect"/>
    <n v="294.89999999999998"/>
    <n v="10181.075854776002"/>
    <n v="0"/>
    <n v="0"/>
    <n v="0"/>
    <n v="0"/>
    <n v="0"/>
    <n v="0"/>
    <n v="10181.075854776002"/>
    <n v="0"/>
    <n v="0"/>
    <n v="0"/>
    <n v="0"/>
    <n v="0"/>
    <n v="0"/>
    <n v="0"/>
    <n v="0"/>
    <n v="10181.075854776002"/>
    <n v="0"/>
    <n v="0"/>
  </r>
  <r>
    <x v="880"/>
    <s v="GOMUKH PACHAI"/>
    <s v="vlc"/>
    <s v="Indirect"/>
    <n v="441.9"/>
    <n v="16468.591653390002"/>
    <n v="0"/>
    <n v="0"/>
    <n v="0"/>
    <n v="0"/>
    <n v="0"/>
    <n v="0"/>
    <n v="16468.591653390002"/>
    <n v="0"/>
    <n v="0"/>
    <n v="0"/>
    <n v="0"/>
    <n v="0"/>
    <n v="0"/>
    <n v="0"/>
    <n v="0"/>
    <n v="16468.591653390002"/>
    <n v="0"/>
    <n v="0"/>
  </r>
  <r>
    <x v="881"/>
    <s v="GOMUKH GARAHI"/>
    <s v="vlc"/>
    <s v="Indirect"/>
    <n v="403.7"/>
    <n v="13208.936442688502"/>
    <n v="0"/>
    <n v="0"/>
    <n v="0"/>
    <n v="0"/>
    <n v="0"/>
    <n v="0"/>
    <n v="13208.936442688502"/>
    <n v="0"/>
    <n v="0"/>
    <n v="0"/>
    <n v="0"/>
    <n v="0"/>
    <n v="0"/>
    <n v="0"/>
    <n v="0"/>
    <n v="13208.936442688502"/>
    <n v="0"/>
    <n v="0"/>
  </r>
  <r>
    <x v="882"/>
    <s v="GOMUKH BAIKUNTHPUR"/>
    <s v="vlc"/>
    <s v="Indirect"/>
    <n v="186.89999999999998"/>
    <n v="6720.1628767500015"/>
    <n v="0"/>
    <n v="0"/>
    <n v="0"/>
    <n v="0"/>
    <n v="0"/>
    <n v="0"/>
    <n v="6720.1628767500015"/>
    <n v="0"/>
    <n v="0"/>
    <n v="0"/>
    <n v="0"/>
    <n v="0"/>
    <n v="0"/>
    <n v="0"/>
    <n v="0"/>
    <n v="6720.1628767500015"/>
    <n v="0"/>
    <n v="0"/>
  </r>
  <r>
    <x v="883"/>
    <s v="GOMUKH BAHASHI"/>
    <s v="vlc"/>
    <s v="Indirect"/>
    <n v="695.1"/>
    <n v="24229.290036979502"/>
    <n v="0"/>
    <n v="0"/>
    <n v="0"/>
    <n v="0"/>
    <n v="0"/>
    <n v="0"/>
    <n v="24229.290036979502"/>
    <n v="0"/>
    <n v="0"/>
    <n v="0"/>
    <n v="0"/>
    <n v="0"/>
    <n v="0"/>
    <n v="0"/>
    <n v="0"/>
    <n v="24229.290036979502"/>
    <n v="0"/>
    <n v="0"/>
  </r>
  <r>
    <x v="959"/>
    <s v="GOMUKH RUSULPUR GANGATI"/>
    <s v="vlc"/>
    <s v="Indirect"/>
    <n v="9.6"/>
    <n v="356.42825467199998"/>
    <n v="0"/>
    <n v="0"/>
    <n v="0"/>
    <n v="0"/>
    <n v="0"/>
    <n v="0"/>
    <n v="356.42825467199998"/>
    <n v="0"/>
    <n v="0"/>
    <n v="0"/>
    <n v="0"/>
    <n v="0"/>
    <n v="0"/>
    <n v="0"/>
    <n v="0"/>
    <n v="356.42825467199998"/>
    <n v="0"/>
    <n v="0"/>
  </r>
  <r>
    <x v="886"/>
    <s v="GOMUKH KHARIKA"/>
    <s v="vlc"/>
    <s v="Indirect"/>
    <n v="537.59999999999991"/>
    <n v="20666.221273103998"/>
    <n v="0"/>
    <n v="0"/>
    <n v="0"/>
    <n v="0"/>
    <n v="0"/>
    <n v="0"/>
    <n v="20666.221273103998"/>
    <n v="0"/>
    <n v="0"/>
    <n v="0"/>
    <n v="0"/>
    <n v="0"/>
    <n v="0"/>
    <n v="0"/>
    <n v="0"/>
    <n v="20666.221273103998"/>
    <n v="0"/>
    <n v="0"/>
  </r>
  <r>
    <x v="888"/>
    <s v="GOMUKH HARPUR RAJESH"/>
    <s v="vlc"/>
    <s v="Indirect"/>
    <n v="200.20000000000002"/>
    <n v="8256.9164049600004"/>
    <n v="0"/>
    <n v="0"/>
    <n v="0"/>
    <n v="0"/>
    <n v="0"/>
    <n v="0"/>
    <n v="8256.9164049600004"/>
    <n v="0"/>
    <n v="0"/>
    <n v="0"/>
    <n v="0"/>
    <n v="0"/>
    <n v="0"/>
    <n v="0"/>
    <n v="0"/>
    <n v="8256.9164049600004"/>
    <n v="0"/>
    <n v="0"/>
  </r>
  <r>
    <x v="889"/>
    <s v="GOMUKH SANICHAR HATT"/>
    <s v="vlc"/>
    <s v="Indirect"/>
    <n v="282.89999999999998"/>
    <n v="10242.2466685785"/>
    <n v="0"/>
    <n v="0"/>
    <n v="0"/>
    <n v="0"/>
    <n v="0"/>
    <n v="0"/>
    <n v="10242.2466685785"/>
    <n v="0"/>
    <n v="0"/>
    <n v="0"/>
    <n v="0"/>
    <n v="0"/>
    <n v="0"/>
    <n v="0"/>
    <n v="0"/>
    <n v="10242.2466685785"/>
    <n v="0"/>
    <n v="0"/>
  </r>
  <r>
    <x v="890"/>
    <s v="GOMUKH SAHARIYA"/>
    <s v="vlc"/>
    <s v="Indirect"/>
    <n v="813.49999999999989"/>
    <n v="33870.736911119995"/>
    <n v="0"/>
    <n v="0"/>
    <n v="0"/>
    <n v="0"/>
    <n v="0"/>
    <n v="0"/>
    <n v="33870.736911119995"/>
    <n v="0"/>
    <n v="0"/>
    <n v="0"/>
    <n v="0"/>
    <n v="0"/>
    <n v="0"/>
    <n v="0"/>
    <n v="0"/>
    <n v="33870.736911119995"/>
    <n v="0"/>
    <n v="0"/>
  </r>
  <r>
    <x v="1009"/>
    <s v="GOMUKH PAITRAPUR"/>
    <s v="vlc"/>
    <s v="Direct"/>
    <n v="168.9"/>
    <n v="7591.9324872408997"/>
    <n v="166.29999999999995"/>
    <n v="7733.9964989165019"/>
    <n v="0"/>
    <n v="0"/>
    <n v="166.29999999999995"/>
    <n v="7733.9964989165019"/>
    <n v="7591.9324872408997"/>
    <n v="0"/>
    <n v="0"/>
    <n v="142.06401167560216"/>
    <n v="0"/>
    <n v="0"/>
    <n v="0"/>
    <n v="7592"/>
    <n v="0"/>
    <n v="0"/>
    <n v="0"/>
    <n v="0"/>
  </r>
  <r>
    <x v="1010"/>
    <s v="GOMUKH JAI MATA DI MILK CENTER"/>
    <s v="vlc"/>
    <s v="Indirect"/>
    <n v="262.2"/>
    <n v="11741.410970286202"/>
    <n v="0"/>
    <n v="0"/>
    <n v="0"/>
    <n v="0"/>
    <n v="0"/>
    <n v="0"/>
    <n v="11741.410970286202"/>
    <n v="0"/>
    <n v="0"/>
    <n v="0"/>
    <n v="0"/>
    <n v="0"/>
    <n v="0"/>
    <n v="0"/>
    <n v="0"/>
    <n v="11741.410970286202"/>
    <n v="0"/>
    <n v="0"/>
  </r>
  <r>
    <x v="892"/>
    <s v="Karua"/>
    <s v="MPG"/>
    <s v="Direct"/>
    <n v="181.20000000000002"/>
    <n v="8076.3546226950011"/>
    <n v="181.19999999999996"/>
    <n v="8078.8616920422"/>
    <n v="0"/>
    <n v="0"/>
    <n v="181.19999999999996"/>
    <n v="8078.8616920422"/>
    <n v="8076.3546226950011"/>
    <n v="0"/>
    <n v="0"/>
    <n v="2.5070693471989216"/>
    <n v="0"/>
    <n v="0"/>
    <n v="0"/>
    <n v="8076"/>
    <n v="0"/>
    <n v="0"/>
    <n v="0"/>
    <n v="0"/>
  </r>
  <r>
    <x v="893"/>
    <s v="Erout"/>
    <s v="MPG"/>
    <s v="Direct"/>
    <n v="110"/>
    <n v="5483.8112908533012"/>
    <n v="110.00000000000001"/>
    <n v="5490.0119061743007"/>
    <n v="0"/>
    <n v="0"/>
    <n v="110.00000000000001"/>
    <n v="5490.0119061743007"/>
    <n v="5483.8112908533012"/>
    <n v="0"/>
    <n v="0"/>
    <n v="6.2006153209995318"/>
    <n v="0"/>
    <n v="0"/>
    <n v="0"/>
    <n v="5484"/>
    <n v="0"/>
    <n v="0"/>
    <n v="0"/>
    <n v="0"/>
  </r>
  <r>
    <x v="894"/>
    <s v="Murli"/>
    <s v="MPG"/>
    <s v="Direct"/>
    <n v="114.99999999999999"/>
    <n v="5836.6981687849011"/>
    <n v="114.80000000000001"/>
    <n v="5835.9009110345005"/>
    <n v="0"/>
    <n v="0"/>
    <n v="114.80000000000001"/>
    <n v="5835.9009110345005"/>
    <n v="5835.9009110345005"/>
    <n v="0"/>
    <n v="0"/>
    <n v="0"/>
    <n v="0"/>
    <n v="0"/>
    <n v="0"/>
    <n v="5836"/>
    <n v="0"/>
    <n v="0"/>
    <n v="1"/>
    <n v="0"/>
  </r>
  <r>
    <x v="895"/>
    <s v="Mahespur"/>
    <s v="MPG"/>
    <s v="Direct"/>
    <n v="30.599999999999998"/>
    <n v="1409.7987169972002"/>
    <n v="30.599999999999998"/>
    <n v="1391.3989410004701"/>
    <n v="0"/>
    <n v="0"/>
    <n v="30.599999999999998"/>
    <n v="1391.3989410004701"/>
    <n v="1391.3989410004701"/>
    <n v="0"/>
    <n v="0"/>
    <n v="0"/>
    <n v="0"/>
    <n v="0"/>
    <n v="0"/>
    <n v="1391"/>
    <n v="0"/>
    <n v="0"/>
    <n v="19"/>
    <n v="0"/>
  </r>
  <r>
    <x v="896"/>
    <s v="Raj Nagar"/>
    <s v="MPG"/>
    <s v="Direct"/>
    <n v="510.9"/>
    <n v="19821.381004139996"/>
    <n v="510.90000000000003"/>
    <n v="19823.716320900006"/>
    <n v="0"/>
    <n v="0"/>
    <n v="510.90000000000003"/>
    <n v="19823.716320900006"/>
    <n v="19821.381004139996"/>
    <n v="0"/>
    <n v="0"/>
    <n v="2.3353167600107554"/>
    <n v="0"/>
    <n v="0"/>
    <n v="0"/>
    <n v="19821"/>
    <n v="0"/>
    <n v="0"/>
    <n v="0"/>
    <n v="0"/>
  </r>
  <r>
    <x v="897"/>
    <s v="Nauapokhar"/>
    <s v="MPG"/>
    <s v="Direct"/>
    <n v="273.8"/>
    <n v="14277.255990629601"/>
    <n v="280.09999999999997"/>
    <n v="14129.665434187522"/>
    <n v="1.4000000000000001"/>
    <n v="71.264072632700007"/>
    <n v="281.49999999999994"/>
    <n v="14200.929506820223"/>
    <n v="14200.929506820223"/>
    <n v="0"/>
    <n v="71.264072632700007"/>
    <n v="0"/>
    <n v="0"/>
    <n v="0"/>
    <n v="0"/>
    <n v="14130"/>
    <n v="0"/>
    <n v="0"/>
    <n v="76"/>
    <n v="0"/>
  </r>
  <r>
    <x v="898"/>
    <s v="Erout 2"/>
    <s v="vlc"/>
    <s v="Indirect"/>
    <n v="415.30000000000007"/>
    <n v="15680.748057929999"/>
    <n v="0"/>
    <n v="0"/>
    <n v="0"/>
    <n v="0"/>
    <n v="0"/>
    <n v="0"/>
    <n v="15680.748057929999"/>
    <n v="0"/>
    <n v="0"/>
    <n v="0"/>
    <n v="0"/>
    <n v="0"/>
    <n v="0"/>
    <n v="0"/>
    <n v="0"/>
    <n v="15680.748057929999"/>
    <n v="0"/>
    <n v="0"/>
  </r>
  <r>
    <x v="899"/>
    <s v="Parsuram"/>
    <s v="vlc"/>
    <s v="Indirect"/>
    <n v="85.5"/>
    <n v="2888.2495023689999"/>
    <n v="0"/>
    <n v="0"/>
    <n v="0"/>
    <n v="0"/>
    <n v="0"/>
    <n v="0"/>
    <n v="2888.2495023689999"/>
    <n v="0"/>
    <n v="0"/>
    <n v="0"/>
    <n v="0"/>
    <n v="0"/>
    <n v="0"/>
    <n v="0"/>
    <n v="0"/>
    <n v="2888.2495023689999"/>
    <n v="0"/>
    <n v="0"/>
  </r>
  <r>
    <x v="900"/>
    <s v="Gudarghat"/>
    <s v="vlc"/>
    <s v="Indirect"/>
    <n v="211.7"/>
    <n v="8047.4347021800013"/>
    <n v="0"/>
    <n v="0"/>
    <n v="0"/>
    <n v="0"/>
    <n v="0"/>
    <n v="0"/>
    <n v="8047.4347021800013"/>
    <n v="0"/>
    <n v="0"/>
    <n v="0"/>
    <n v="0"/>
    <n v="0"/>
    <n v="0"/>
    <n v="0"/>
    <n v="0"/>
    <n v="8047.4347021800013"/>
    <n v="0"/>
    <n v="0"/>
  </r>
  <r>
    <x v="901"/>
    <s v="Siripur Gohar"/>
    <s v="MPG"/>
    <s v="Direct"/>
    <n v="407.2"/>
    <n v="15137.870127480004"/>
    <n v="407.3"/>
    <n v="15129.443590806"/>
    <n v="0"/>
    <n v="0"/>
    <n v="407.3"/>
    <n v="15129.443590806"/>
    <n v="15129.443590806"/>
    <n v="0"/>
    <n v="0"/>
    <n v="0"/>
    <n v="0"/>
    <n v="0"/>
    <n v="0"/>
    <n v="15129"/>
    <n v="0"/>
    <n v="0"/>
    <n v="9"/>
    <n v="0"/>
  </r>
  <r>
    <x v="902"/>
    <s v="Sedukha"/>
    <s v="MPG"/>
    <s v="Direct"/>
    <n v="49.4"/>
    <n v="1770.0713839500004"/>
    <n v="49.4"/>
    <n v="1770.0713839500002"/>
    <n v="0"/>
    <n v="0"/>
    <n v="49.4"/>
    <n v="1770.0713839500002"/>
    <n v="1770.0713839500002"/>
    <n v="0"/>
    <n v="0"/>
    <n v="0"/>
    <n v="0"/>
    <n v="0"/>
    <n v="0"/>
    <n v="1770"/>
    <n v="0"/>
    <n v="0"/>
    <n v="0"/>
    <n v="0"/>
  </r>
  <r>
    <x v="903"/>
    <s v="Maheshwara"/>
    <s v="MPG"/>
    <s v="Direct"/>
    <n v="228.1"/>
    <n v="8893.7943508544013"/>
    <n v="228.90000000000003"/>
    <n v="8913.8018292964007"/>
    <n v="0"/>
    <n v="0"/>
    <n v="228.90000000000003"/>
    <n v="8913.8018292964007"/>
    <n v="8893.7943508544013"/>
    <n v="0"/>
    <n v="0"/>
    <n v="20.00747844199941"/>
    <n v="0"/>
    <n v="0"/>
    <n v="0"/>
    <n v="8894"/>
    <n v="0"/>
    <n v="0"/>
    <n v="0"/>
    <n v="0"/>
  </r>
  <r>
    <x v="904"/>
    <s v="Madhuban 2"/>
    <s v="vlc"/>
    <s v="Indirect"/>
    <n v="489"/>
    <n v="17157.817350894002"/>
    <n v="0"/>
    <n v="0"/>
    <n v="0"/>
    <n v="0"/>
    <n v="0"/>
    <n v="0"/>
    <n v="17157.817350894002"/>
    <n v="0"/>
    <n v="0"/>
    <n v="0"/>
    <n v="0"/>
    <n v="0"/>
    <n v="0"/>
    <n v="0"/>
    <n v="0"/>
    <n v="17157.817350894002"/>
    <n v="0"/>
    <n v="0"/>
  </r>
  <r>
    <x v="906"/>
    <s v="Durgaashtan 2"/>
    <s v="vlc"/>
    <s v="Indirect"/>
    <n v="439.2"/>
    <n v="16073.570420556003"/>
    <n v="0"/>
    <n v="0"/>
    <n v="0"/>
    <n v="0"/>
    <n v="0"/>
    <n v="0"/>
    <n v="16073.570420556003"/>
    <n v="0"/>
    <n v="0"/>
    <n v="0"/>
    <n v="0"/>
    <n v="0"/>
    <n v="0"/>
    <n v="0"/>
    <n v="0"/>
    <n v="16073.570420556003"/>
    <n v="0"/>
    <n v="0"/>
  </r>
  <r>
    <x v="907"/>
    <s v="Durgaashtan "/>
    <s v="vlc"/>
    <s v="Indirect"/>
    <n v="456.8"/>
    <n v="15523.910113980004"/>
    <n v="0"/>
    <n v="0"/>
    <n v="0"/>
    <n v="0"/>
    <n v="0"/>
    <n v="0"/>
    <n v="15523.910113980004"/>
    <n v="0"/>
    <n v="0"/>
    <n v="0"/>
    <n v="0"/>
    <n v="0"/>
    <n v="0"/>
    <n v="0"/>
    <n v="0"/>
    <n v="15523.910113980004"/>
    <n v="0"/>
    <n v="0"/>
  </r>
  <r>
    <x v="908"/>
    <s v="DUMRA "/>
    <s v="MPG"/>
    <s v="Direct"/>
    <n v="670.62"/>
    <n v="25509.401612229904"/>
    <n v="746"/>
    <n v="29247.5667963462"/>
    <n v="5.0999999999999996"/>
    <n v="191.10551799000004"/>
    <n v="751.1"/>
    <n v="29438.6723143362"/>
    <n v="25509.401612229904"/>
    <n v="0"/>
    <n v="191.10551799000004"/>
    <n v="3929.2707021062961"/>
    <n v="0"/>
    <n v="0"/>
    <n v="0"/>
    <n v="25318"/>
    <n v="0"/>
    <n v="0"/>
    <n v="0"/>
    <n v="0"/>
  </r>
  <r>
    <x v="910"/>
    <s v="BALHA"/>
    <s v="MPG"/>
    <s v="Direct"/>
    <n v="929.16999999999985"/>
    <n v="38041.732655754"/>
    <n v="920.60000000000014"/>
    <n v="39083.332682489206"/>
    <n v="11.000000000000002"/>
    <n v="458.97742828800011"/>
    <n v="931.60000000000014"/>
    <n v="39542.310110777209"/>
    <n v="38041.732655754"/>
    <n v="0"/>
    <n v="458.97742828800011"/>
    <n v="1500.577455023209"/>
    <n v="0"/>
    <n v="0"/>
    <n v="0"/>
    <n v="37583"/>
    <n v="0"/>
    <n v="0"/>
    <n v="0"/>
    <n v="0"/>
  </r>
  <r>
    <x v="911"/>
    <s v="BHARIHAR"/>
    <s v="MPG"/>
    <s v="Direct"/>
    <n v="225.3"/>
    <n v="8424.3646292640005"/>
    <n v="247.5"/>
    <n v="9213.068578458"/>
    <n v="2.6"/>
    <n v="96.031332867000003"/>
    <n v="250.1"/>
    <n v="9309.099911325"/>
    <n v="8424.3646292640005"/>
    <n v="0"/>
    <n v="96.031332867000003"/>
    <n v="884.73528206099945"/>
    <n v="0"/>
    <n v="0"/>
    <n v="0"/>
    <n v="8328"/>
    <n v="0"/>
    <n v="0"/>
    <n v="0"/>
    <n v="0"/>
  </r>
  <r>
    <x v="912"/>
    <s v="BARA"/>
    <s v="MPG"/>
    <s v="Direct"/>
    <n v="153.91"/>
    <n v="6584.4392555164195"/>
    <n v="163.79999999999998"/>
    <n v="6998.2178657017212"/>
    <n v="2.3000000000000007"/>
    <n v="101.49351037314"/>
    <n v="166.1"/>
    <n v="7099.7113760748616"/>
    <n v="6584.4392555164195"/>
    <n v="0"/>
    <n v="101.49351037314"/>
    <n v="515.27212055844211"/>
    <n v="0"/>
    <n v="0"/>
    <n v="0"/>
    <n v="6483"/>
    <n v="0"/>
    <n v="0"/>
    <n v="0"/>
    <n v="0"/>
  </r>
  <r>
    <x v="913"/>
    <s v="KABILASHI"/>
    <s v="MPG"/>
    <s v="Direct"/>
    <n v="159.17999999999998"/>
    <n v="7801.0280808351999"/>
    <n v="159.90000000000003"/>
    <n v="8758.7240525034285"/>
    <n v="49.3"/>
    <n v="2807.4251708327201"/>
    <n v="209.20000000000005"/>
    <n v="11566.14922333615"/>
    <n v="7801.0280808351999"/>
    <n v="0"/>
    <n v="305.80903451982005"/>
    <n v="3765.1211425009496"/>
    <n v="0"/>
    <n v="0"/>
    <n v="0"/>
    <n v="5565"/>
    <n v="1930"/>
    <n v="0"/>
    <n v="0"/>
    <s v="Release1"/>
  </r>
  <r>
    <x v="914"/>
    <s v="SULTANPUR"/>
    <s v="vlc"/>
    <s v="Indirect"/>
    <n v="237.48000000000002"/>
    <n v="9986.6569370833513"/>
    <n v="0"/>
    <n v="0"/>
    <n v="0"/>
    <n v="0"/>
    <n v="0"/>
    <n v="0"/>
    <n v="9986.6569370833513"/>
    <n v="0"/>
    <n v="0"/>
    <n v="0"/>
    <n v="0"/>
    <n v="0"/>
    <n v="0"/>
    <n v="0"/>
    <n v="0"/>
    <n v="9986.6569370833513"/>
    <n v="0"/>
    <n v="0"/>
  </r>
  <r>
    <x v="915"/>
    <s v="BHUSNA"/>
    <s v="MPG"/>
    <s v="Direct"/>
    <n v="205.17000000000002"/>
    <n v="8898.3162132217203"/>
    <n v="204.99999999999997"/>
    <n v="8979.8569281971995"/>
    <n v="0"/>
    <n v="0"/>
    <n v="204.99999999999997"/>
    <n v="8979.8569281971995"/>
    <n v="8898.3162132217203"/>
    <n v="0"/>
    <n v="0"/>
    <n v="81.540714975479204"/>
    <n v="0"/>
    <n v="0"/>
    <n v="0"/>
    <n v="8898"/>
    <n v="0"/>
    <n v="0"/>
    <n v="0"/>
    <n v="0"/>
  </r>
  <r>
    <x v="916"/>
    <s v="SUKUMARPUR"/>
    <s v="MPG"/>
    <s v="Direct"/>
    <n v="582.02"/>
    <n v="28513.4978184313"/>
    <n v="662.69999999999993"/>
    <n v="32518.976359803764"/>
    <n v="0"/>
    <n v="0"/>
    <n v="662.69999999999993"/>
    <n v="32518.976359803764"/>
    <n v="28513.4978184313"/>
    <n v="0"/>
    <n v="0"/>
    <n v="4005.478541372464"/>
    <n v="0"/>
    <n v="0"/>
    <n v="0"/>
    <n v="28513"/>
    <n v="0"/>
    <n v="0"/>
    <n v="0"/>
    <n v="0"/>
  </r>
  <r>
    <x v="917"/>
    <s v="SISAUNA VLC"/>
    <s v="vlc"/>
    <s v="Indirect"/>
    <n v="357.61"/>
    <n v="11971.519402705049"/>
    <n v="0"/>
    <n v="0"/>
    <n v="0"/>
    <n v="0"/>
    <n v="0"/>
    <n v="0"/>
    <n v="11971.519402705049"/>
    <n v="0"/>
    <n v="0"/>
    <n v="0"/>
    <n v="0"/>
    <n v="0"/>
    <n v="0"/>
    <n v="0"/>
    <n v="0"/>
    <n v="11971.519402705049"/>
    <n v="0"/>
    <n v="0"/>
  </r>
  <r>
    <x v="918"/>
    <s v="Aditya Bishwas "/>
    <s v="vlc"/>
    <s v="Indirect"/>
    <n v="227.95000000000002"/>
    <n v="9966.5408482726816"/>
    <n v="0"/>
    <n v="0"/>
    <n v="0"/>
    <n v="0"/>
    <n v="0"/>
    <n v="0"/>
    <n v="9966.5408482726816"/>
    <n v="0"/>
    <n v="0"/>
    <n v="0"/>
    <n v="0"/>
    <n v="0"/>
    <n v="0"/>
    <n v="0"/>
    <n v="0"/>
    <n v="9966.5408482726816"/>
    <n v="0"/>
    <n v="0"/>
  </r>
  <r>
    <x v="919"/>
    <s v="Gomukh Vijaiya"/>
    <s v="MPG"/>
    <s v="Direct"/>
    <n v="173.3"/>
    <n v="6854.3497246200013"/>
    <n v="174.6"/>
    <n v="7255.3473060900014"/>
    <n v="0"/>
    <n v="0"/>
    <n v="174.6"/>
    <n v="7255.3473060900014"/>
    <n v="6854.3497246200013"/>
    <n v="0"/>
    <n v="0"/>
    <n v="400.99758147000011"/>
    <n v="0"/>
    <n v="0"/>
    <n v="0"/>
    <n v="6854"/>
    <n v="0"/>
    <n v="0"/>
    <n v="0"/>
    <n v="0"/>
  </r>
  <r>
    <x v="920"/>
    <s v="Gomukh Gangauli"/>
    <s v="MPG"/>
    <s v="Direct"/>
    <n v="1061.9000000000001"/>
    <n v="43717.956679350005"/>
    <n v="1067.0999999999999"/>
    <n v="43479.246633745912"/>
    <n v="0"/>
    <n v="0"/>
    <n v="1067.0999999999999"/>
    <n v="43479.246633745912"/>
    <n v="43479.246633745912"/>
    <n v="0"/>
    <n v="0"/>
    <n v="0"/>
    <n v="0"/>
    <n v="0"/>
    <n v="0"/>
    <n v="43480"/>
    <n v="0"/>
    <n v="0"/>
    <n v="238"/>
    <n v="0"/>
  </r>
  <r>
    <x v="921"/>
    <s v="Gomukh KARRAKH"/>
    <s v="MPG"/>
    <s v="Direct"/>
    <n v="387.69999999999993"/>
    <n v="15525.006088320002"/>
    <n v="395.69999999999993"/>
    <n v="15463.500726108503"/>
    <n v="0"/>
    <n v="0"/>
    <n v="395.69999999999993"/>
    <n v="15463.500726108503"/>
    <n v="15463.500726108503"/>
    <n v="0"/>
    <n v="0"/>
    <n v="0"/>
    <n v="0"/>
    <n v="0"/>
    <n v="0"/>
    <n v="15464"/>
    <n v="0"/>
    <n v="0"/>
    <n v="61"/>
    <n v="0"/>
  </r>
  <r>
    <x v="923"/>
    <s v="HAWASPUR"/>
    <s v="vlc"/>
    <s v="Indirect"/>
    <n v="78.5"/>
    <n v="3478.3426561806004"/>
    <n v="0"/>
    <n v="0"/>
    <n v="0"/>
    <n v="0"/>
    <n v="0"/>
    <n v="0"/>
    <n v="3478.3426561806004"/>
    <n v="0"/>
    <n v="0"/>
    <n v="0"/>
    <n v="0"/>
    <n v="0"/>
    <n v="0"/>
    <n v="0"/>
    <n v="0"/>
    <n v="3478.3426561806004"/>
    <n v="0"/>
    <n v="0"/>
  </r>
  <r>
    <x v="924"/>
    <s v="Gomukh Manda"/>
    <s v="MPG"/>
    <s v="Direct"/>
    <n v="536.6"/>
    <n v="21477.173050200003"/>
    <n v="527.20000000000005"/>
    <n v="21712.562393905202"/>
    <n v="0"/>
    <n v="0"/>
    <n v="527.20000000000005"/>
    <n v="21712.562393905202"/>
    <n v="21477.173050200003"/>
    <n v="0"/>
    <n v="0"/>
    <n v="235.38934370519928"/>
    <n v="0"/>
    <n v="0"/>
    <n v="0"/>
    <n v="21477"/>
    <n v="0"/>
    <n v="0"/>
    <n v="0"/>
    <n v="0"/>
  </r>
  <r>
    <x v="1029"/>
    <s v="Gomukh KAIDRABAD"/>
    <s v="MPG"/>
    <s v="Direct"/>
    <n v="241.69999999999996"/>
    <n v="9013.9438874100015"/>
    <n v="239.80000000000004"/>
    <n v="8985.2917245809986"/>
    <n v="0"/>
    <n v="0"/>
    <n v="239.80000000000004"/>
    <n v="8985.2917245809986"/>
    <n v="8985.2917245809986"/>
    <n v="0"/>
    <n v="0"/>
    <n v="0"/>
    <n v="0"/>
    <n v="0"/>
    <n v="0"/>
    <n v="8985"/>
    <n v="0"/>
    <n v="0"/>
    <n v="29"/>
    <n v="0"/>
  </r>
  <r>
    <x v="1030"/>
    <s v="Gomukh KASTOLI"/>
    <s v="MPG"/>
    <s v="Direct"/>
    <n v="188.00000000000003"/>
    <n v="7554.5386242000004"/>
    <n v="188.90000000000006"/>
    <n v="7408.6017169980005"/>
    <n v="0"/>
    <n v="0"/>
    <n v="188.90000000000006"/>
    <n v="7408.6017169980005"/>
    <n v="7408.6017169980005"/>
    <n v="0"/>
    <n v="0"/>
    <n v="0"/>
    <n v="0"/>
    <n v="0"/>
    <n v="0"/>
    <n v="7409"/>
    <n v="0"/>
    <n v="0"/>
    <n v="146"/>
    <n v="0"/>
  </r>
  <r>
    <x v="960"/>
    <s v="GOMUKH CHATAUNA W-2"/>
    <s v="MPG"/>
    <s v="Direct"/>
    <n v="282.70000000000005"/>
    <n v="15668.361024424801"/>
    <n v="280.09999999999997"/>
    <n v="15897.146237080902"/>
    <n v="0"/>
    <n v="0"/>
    <n v="280.09999999999997"/>
    <n v="15897.146237080902"/>
    <n v="15668.361024424801"/>
    <n v="0"/>
    <n v="0"/>
    <n v="228.78521265610107"/>
    <n v="0"/>
    <n v="0"/>
    <n v="0"/>
    <n v="15668"/>
    <n v="0"/>
    <n v="0"/>
    <n v="0"/>
    <n v="0"/>
  </r>
  <r>
    <x v="961"/>
    <s v="GOMUKH TEERA JATMALPUR"/>
    <s v="MPG"/>
    <s v="Direct"/>
    <n v="233.59999999999997"/>
    <n v="10115.632002697161"/>
    <n v="228.1"/>
    <n v="9872.4331015018815"/>
    <n v="6.0000000000000009"/>
    <n v="257.95921908000003"/>
    <n v="234.1"/>
    <n v="10130.392320581881"/>
    <n v="10115.632002697161"/>
    <n v="0"/>
    <n v="257.95921908000003"/>
    <n v="14.76031788472028"/>
    <n v="0"/>
    <n v="0"/>
    <n v="0"/>
    <n v="9858"/>
    <n v="0"/>
    <n v="0"/>
    <n v="0"/>
    <n v="0"/>
  </r>
  <r>
    <x v="962"/>
    <s v="GOMUKH GOBARSITTHA"/>
    <s v="MPG"/>
    <s v="Direct"/>
    <n v="293.20000000000005"/>
    <n v="12783.567628318602"/>
    <n v="287"/>
    <n v="12438.117726890752"/>
    <n v="3.3"/>
    <n v="140.65902651900001"/>
    <n v="290.3"/>
    <n v="12578.776753409753"/>
    <n v="12578.776753409753"/>
    <n v="0"/>
    <n v="140.65902651900001"/>
    <n v="0"/>
    <n v="0"/>
    <n v="0"/>
    <n v="0"/>
    <n v="12438"/>
    <n v="0"/>
    <n v="0"/>
    <n v="205"/>
    <n v="0"/>
  </r>
  <r>
    <x v="963"/>
    <s v="GOMUKH UGHRA"/>
    <s v="MPG"/>
    <s v="Direct"/>
    <n v="223.3"/>
    <n v="10972.865200238999"/>
    <n v="217.09999999999997"/>
    <n v="10817.692764277765"/>
    <n v="0.7"/>
    <n v="38.203461137800005"/>
    <n v="217.79999999999995"/>
    <n v="10855.896225415565"/>
    <n v="10855.896225415565"/>
    <n v="0"/>
    <n v="38.203461137800005"/>
    <n v="0"/>
    <n v="0"/>
    <n v="0"/>
    <n v="0"/>
    <n v="10817"/>
    <n v="0"/>
    <n v="0"/>
    <n v="118"/>
    <n v="0"/>
  </r>
  <r>
    <x v="964"/>
    <s v="GOMUKH BALUAHA"/>
    <s v="MPG"/>
    <s v="Direct"/>
    <n v="234.4"/>
    <n v="9750.4802458938011"/>
    <n v="229.20000000000002"/>
    <n v="9366.7992525281024"/>
    <n v="4.0999999999999996"/>
    <n v="164.39616120000005"/>
    <n v="233.3"/>
    <n v="9531.1954137281027"/>
    <n v="9531.1954137281027"/>
    <n v="0"/>
    <n v="164.39616120000005"/>
    <n v="0"/>
    <n v="0"/>
    <n v="0"/>
    <n v="0"/>
    <n v="9366"/>
    <n v="0"/>
    <n v="0"/>
    <n v="220"/>
    <n v="0"/>
  </r>
  <r>
    <x v="965"/>
    <s v="GOMUKH DHAB WEST"/>
    <s v="vlc"/>
    <s v="Indirect"/>
    <n v="236.70000000000002"/>
    <n v="8970.227928864002"/>
    <n v="0"/>
    <n v="0"/>
    <n v="0"/>
    <n v="0"/>
    <n v="0"/>
    <n v="0"/>
    <n v="8970.227928864002"/>
    <n v="0"/>
    <n v="0"/>
    <n v="0"/>
    <n v="0"/>
    <n v="0"/>
    <n v="0"/>
    <n v="0"/>
    <n v="0"/>
    <n v="8970.227928864002"/>
    <n v="0"/>
    <n v="0"/>
  </r>
  <r>
    <x v="966"/>
    <s v="GOMUKH JATMALPUR WEST"/>
    <s v="vlc"/>
    <s v="Indirect"/>
    <n v="68.099999999999994"/>
    <n v="2553.092925768"/>
    <n v="0"/>
    <n v="0"/>
    <n v="0"/>
    <n v="0"/>
    <n v="0"/>
    <n v="0"/>
    <n v="2553.092925768"/>
    <n v="0"/>
    <n v="0"/>
    <n v="0"/>
    <n v="0"/>
    <n v="0"/>
    <n v="0"/>
    <n v="0"/>
    <n v="0"/>
    <n v="2553.092925768"/>
    <n v="0"/>
    <n v="0"/>
  </r>
  <r>
    <x v="967"/>
    <s v="GOMUKH HAYAGHAT WEST"/>
    <s v="vlc"/>
    <s v="Indirect"/>
    <n v="3096.1000000000004"/>
    <n v="132472.336938591"/>
    <n v="0"/>
    <n v="0"/>
    <n v="0"/>
    <n v="0"/>
    <n v="0"/>
    <n v="0"/>
    <n v="132472.336938591"/>
    <n v="0"/>
    <n v="0"/>
    <n v="0"/>
    <n v="0"/>
    <n v="0"/>
    <n v="0"/>
    <n v="0"/>
    <n v="0"/>
    <n v="132472.336938591"/>
    <n v="0"/>
    <n v="0"/>
  </r>
  <r>
    <x v="968"/>
    <s v="GOMUKH GHOGHARAHA"/>
    <s v="vlc"/>
    <s v="Indirect"/>
    <n v="1216.4000000000003"/>
    <n v="47991.930583875612"/>
    <n v="0"/>
    <n v="0"/>
    <n v="0"/>
    <n v="0"/>
    <n v="0"/>
    <n v="0"/>
    <n v="47991.930583875612"/>
    <n v="0"/>
    <n v="0"/>
    <n v="0"/>
    <n v="0"/>
    <n v="0"/>
    <n v="0"/>
    <n v="0"/>
    <n v="0"/>
    <n v="47991.930583875612"/>
    <n v="0"/>
    <n v="0"/>
  </r>
  <r>
    <x v="1012"/>
    <s v="Gomukh Jatmalpur Dhab"/>
    <s v="vlc"/>
    <s v="Indirect"/>
    <n v="100.6"/>
    <n v="3962.8051732619997"/>
    <n v="0"/>
    <n v="0"/>
    <n v="0"/>
    <n v="0"/>
    <n v="0"/>
    <n v="0"/>
    <n v="3962.8051732619997"/>
    <n v="0"/>
    <n v="0"/>
    <n v="0"/>
    <n v="0"/>
    <n v="0"/>
    <n v="0"/>
    <n v="0"/>
    <n v="0"/>
    <n v="3962.8051732619997"/>
    <n v="0"/>
    <n v="0"/>
  </r>
  <r>
    <x v="969"/>
    <s v="GOMUKH MORWARA"/>
    <s v="MPG"/>
    <s v="Direct"/>
    <n v="317.40000000000003"/>
    <n v="12828.958003170002"/>
    <n v="315.5"/>
    <n v="12444.925805619601"/>
    <n v="0"/>
    <n v="0"/>
    <n v="315.5"/>
    <n v="12444.925805619601"/>
    <n v="12444.925805619601"/>
    <n v="0"/>
    <n v="0"/>
    <n v="0"/>
    <n v="0"/>
    <n v="0"/>
    <n v="0"/>
    <n v="12444"/>
    <n v="0"/>
    <n v="0"/>
    <n v="385"/>
    <n v="0"/>
  </r>
  <r>
    <x v="970"/>
    <s v="GOMUKH NIYAMCHAKHAIDAR"/>
    <s v="vlc"/>
    <s v="Indirect"/>
    <n v="936.5"/>
    <n v="35786.084456115008"/>
    <n v="0"/>
    <n v="0"/>
    <n v="0"/>
    <n v="0"/>
    <n v="0"/>
    <n v="0"/>
    <n v="35786.084456115008"/>
    <n v="0"/>
    <n v="0"/>
    <n v="0"/>
    <n v="0"/>
    <n v="0"/>
    <n v="0"/>
    <n v="0"/>
    <n v="0"/>
    <n v="35786.084456115008"/>
    <n v="0"/>
    <n v="0"/>
  </r>
  <r>
    <x v="971"/>
    <s v="GOMUKH JATMAPUR WARD 1"/>
    <s v="vlc"/>
    <s v="Indirect"/>
    <n v="795.30000000000018"/>
    <n v="29197.378119352503"/>
    <n v="0"/>
    <n v="0"/>
    <n v="0"/>
    <n v="0"/>
    <n v="0"/>
    <n v="0"/>
    <n v="29197.378119352503"/>
    <n v="0"/>
    <n v="0"/>
    <n v="0"/>
    <n v="0"/>
    <n v="0"/>
    <n v="0"/>
    <n v="0"/>
    <n v="0"/>
    <n v="29197.378119352503"/>
    <n v="0"/>
    <n v="0"/>
  </r>
  <r>
    <x v="972"/>
    <s v="GOMUKH JATMALPUR"/>
    <s v="MPG"/>
    <s v="Direct"/>
    <n v="135.9"/>
    <n v="6420.7811437159999"/>
    <n v="133.29999999999998"/>
    <n v="6414.2305895736899"/>
    <n v="2.1"/>
    <n v="103.01249385195001"/>
    <n v="135.39999999999998"/>
    <n v="6517.2430834256402"/>
    <n v="6420.7811437159999"/>
    <n v="0"/>
    <n v="103.01249385195001"/>
    <n v="96.461939709640319"/>
    <n v="0"/>
    <n v="0"/>
    <n v="0"/>
    <n v="6318"/>
    <n v="0"/>
    <n v="0"/>
    <n v="0"/>
    <n v="0"/>
  </r>
  <r>
    <x v="1031"/>
    <s v="GOMUKH PURUSHOTTAMPUR"/>
    <s v="vlc"/>
    <s v="Indirect"/>
    <n v="26.7"/>
    <n v="1747.290781143"/>
    <n v="0"/>
    <n v="0"/>
    <n v="0"/>
    <n v="0"/>
    <n v="0"/>
    <n v="0"/>
    <n v="1747.290781143"/>
    <n v="0"/>
    <n v="0"/>
    <n v="0"/>
    <n v="0"/>
    <n v="0"/>
    <n v="0"/>
    <n v="0"/>
    <n v="0"/>
    <n v="1747.290781143"/>
    <n v="0"/>
    <n v="0"/>
  </r>
  <r>
    <x v="973"/>
    <s v="GOMUKH PURUSHOTTAMPUR WEST"/>
    <s v="vlc"/>
    <s v="Indirect"/>
    <n v="153"/>
    <n v="5621.51646936"/>
    <n v="0"/>
    <n v="0"/>
    <n v="0"/>
    <n v="0"/>
    <n v="0"/>
    <n v="0"/>
    <n v="5621.51646936"/>
    <n v="0"/>
    <n v="0"/>
    <n v="0"/>
    <n v="0"/>
    <n v="0"/>
    <n v="0"/>
    <n v="0"/>
    <n v="0"/>
    <n v="5621.51646936"/>
    <n v="0"/>
    <n v="0"/>
  </r>
  <r>
    <x v="974"/>
    <s v="GOMUKH NIMA CHAKHAIDER"/>
    <s v="vlc"/>
    <s v="Indirect"/>
    <n v="62.6"/>
    <n v="2313.7621055999998"/>
    <n v="0"/>
    <n v="0"/>
    <n v="0"/>
    <n v="0"/>
    <n v="0"/>
    <n v="0"/>
    <n v="2313.7621055999998"/>
    <n v="0"/>
    <n v="0"/>
    <n v="0"/>
    <n v="0"/>
    <n v="0"/>
    <n v="0"/>
    <n v="0"/>
    <n v="0"/>
    <n v="2313.7621055999998"/>
    <n v="0"/>
    <n v="0"/>
  </r>
  <r>
    <x v="975"/>
    <s v="Gomukh Barhetta"/>
    <s v="vlc"/>
    <s v="Indirect"/>
    <n v="1173.1999999999998"/>
    <n v="44883.929442810004"/>
    <n v="0"/>
    <n v="0"/>
    <n v="0"/>
    <n v="0"/>
    <n v="0"/>
    <n v="0"/>
    <n v="44883.929442810004"/>
    <n v="0"/>
    <n v="0"/>
    <n v="0"/>
    <n v="0"/>
    <n v="0"/>
    <n v="0"/>
    <n v="0"/>
    <n v="0"/>
    <n v="44883.929442810004"/>
    <n v="0"/>
    <n v="0"/>
  </r>
  <r>
    <x v="976"/>
    <s v="GOMUKH  MANORATHPUR"/>
    <s v="vlc"/>
    <s v="Indirect"/>
    <n v="345.59999999999997"/>
    <n v="14619.807917940001"/>
    <n v="0"/>
    <n v="0"/>
    <n v="0"/>
    <n v="0"/>
    <n v="0"/>
    <n v="0"/>
    <n v="14619.807917940001"/>
    <n v="0"/>
    <n v="0"/>
    <n v="0"/>
    <n v="0"/>
    <n v="0"/>
    <n v="0"/>
    <n v="0"/>
    <n v="0"/>
    <n v="14619.807917940001"/>
    <n v="0"/>
    <n v="0"/>
  </r>
  <r>
    <x v="977"/>
    <s v="GOMUKH BHADOGHAT"/>
    <s v="vlc"/>
    <s v="Indirect"/>
    <n v="1884"/>
    <n v="78136.758576977998"/>
    <n v="0"/>
    <n v="0"/>
    <n v="0"/>
    <n v="0"/>
    <n v="0"/>
    <n v="0"/>
    <n v="78136.758576977998"/>
    <n v="0"/>
    <n v="0"/>
    <n v="0"/>
    <n v="0"/>
    <n v="0"/>
    <n v="0"/>
    <n v="0"/>
    <n v="0"/>
    <n v="78136.758576977998"/>
    <n v="0"/>
    <n v="0"/>
  </r>
  <r>
    <x v="978"/>
    <s v="GOMUKH BALUAHA"/>
    <s v="vlc"/>
    <s v="Indirect"/>
    <n v="60.5"/>
    <n v="1941.4565349300003"/>
    <n v="0"/>
    <n v="0"/>
    <n v="0"/>
    <n v="0"/>
    <n v="0"/>
    <n v="0"/>
    <n v="1941.4565349300003"/>
    <n v="0"/>
    <n v="0"/>
    <n v="0"/>
    <n v="0"/>
    <n v="0"/>
    <n v="0"/>
    <n v="0"/>
    <n v="0"/>
    <n v="1941.4565349300003"/>
    <n v="0"/>
    <n v="0"/>
  </r>
  <r>
    <x v="1032"/>
    <s v="GOMUKH  JATMALPUR DHAB"/>
    <s v="vlc"/>
    <s v="Indirect"/>
    <n v="43.4"/>
    <n v="2183.4098546376599"/>
    <n v="0"/>
    <n v="0"/>
    <n v="0"/>
    <n v="0"/>
    <n v="0"/>
    <n v="0"/>
    <n v="2183.4098546376599"/>
    <n v="0"/>
    <n v="0"/>
    <n v="0"/>
    <n v="0"/>
    <n v="0"/>
    <n v="0"/>
    <n v="0"/>
    <n v="0"/>
    <n v="2183.4098546376599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3">
  <r>
    <n v="24146.670827364302"/>
    <n v="12800"/>
    <n v="36946.670827364302"/>
    <x v="0"/>
    <x v="0"/>
    <n v="0"/>
    <s v="MPG"/>
    <s v="Direct"/>
    <n v="1001"/>
    <x v="0"/>
    <s v="Old"/>
    <d v="2023-03-28T00:00:00"/>
    <n v="2891"/>
    <n v="109798.24006673001"/>
    <n v="2168.25"/>
    <n v="2746.45"/>
    <n v="795.52465266722004"/>
    <n v="3293.9472020019002"/>
    <n v="547.4972020019004"/>
    <n v="289.10000000000002"/>
    <n v="15.305181454224355"/>
    <n v="5406"/>
    <n v="2195.9648013346005"/>
    <n v="0"/>
    <n v="0"/>
    <n v="0"/>
    <n v="0"/>
    <n v="3210"/>
    <n v="0"/>
    <n v="3210"/>
    <s v="Release"/>
  </r>
  <r>
    <n v="64838"/>
    <n v="6400"/>
    <n v="71238"/>
    <x v="1"/>
    <x v="1"/>
    <n v="0"/>
    <s v="MPG"/>
    <s v="Direct"/>
    <n v="1008"/>
    <x v="1"/>
    <s v="Old"/>
    <d v="2023-03-31T00:00:00"/>
    <n v="158.25"/>
    <n v="5257.6121512762502"/>
    <n v="118.6875"/>
    <n v="150.33750000000001"/>
    <n v="0"/>
    <n v="157.72836453828751"/>
    <n v="7.3908645382875022"/>
    <n v="15.825000000000001"/>
    <n v="252.7673605342286"/>
    <n v="0"/>
    <n v="0"/>
    <n v="0"/>
    <n v="0"/>
    <n v="0"/>
    <n v="0"/>
    <n v="0"/>
    <n v="0"/>
    <n v="0"/>
    <s v="Release"/>
  </r>
  <r>
    <n v="30537.324836432716"/>
    <n v="6400"/>
    <n v="36937.324836432716"/>
    <x v="2"/>
    <x v="2"/>
    <n v="0"/>
    <s v="MPG"/>
    <s v="Direct"/>
    <n v="1001"/>
    <x v="0"/>
    <s v="Old"/>
    <d v="2023-04-24T00:00:00"/>
    <n v="3099.7000000000007"/>
    <n v="122858.963657092"/>
    <n v="2324.7750000000005"/>
    <n v="2944.7150000000006"/>
    <n v="1681.2057183209999"/>
    <n v="3685.76890971276"/>
    <n v="741.05390971275938"/>
    <n v="309.97000000000008"/>
    <n v="0"/>
    <n v="6641"/>
    <n v="2457.17927314184"/>
    <n v="0"/>
    <n v="0"/>
    <n v="0"/>
    <n v="0"/>
    <n v="4184"/>
    <n v="0"/>
    <n v="4184"/>
    <s v="Release"/>
  </r>
  <r>
    <n v="38140.00641594606"/>
    <n v="5744.9159999999993"/>
    <n v="43884.922415946057"/>
    <x v="3"/>
    <x v="3"/>
    <n v="0"/>
    <s v="MPG"/>
    <s v="Direct"/>
    <n v="1058"/>
    <x v="2"/>
    <s v="Old"/>
    <d v="2023-07-21T00:00:00"/>
    <n v="4882.3"/>
    <n v="189127.26648841801"/>
    <n v="3661.7250000000004"/>
    <n v="4638.1850000000004"/>
    <n v="830.22510960000011"/>
    <n v="5673.8179946525397"/>
    <n v="1035.6329946525393"/>
    <n v="488.23"/>
    <n v="0"/>
    <n v="8642"/>
    <n v="3782.5453297683603"/>
    <n v="0"/>
    <n v="0"/>
    <n v="0"/>
    <n v="0"/>
    <n v="4859"/>
    <n v="0"/>
    <n v="4859"/>
    <s v="Release"/>
  </r>
  <r>
    <n v="0"/>
    <n v="0"/>
    <n v="0"/>
    <x v="4"/>
    <x v="4"/>
    <n v="0"/>
    <s v="vlc"/>
    <s v="Indirect"/>
    <n v="1001"/>
    <x v="0"/>
    <s v="Old"/>
    <d v="2023-07-14T00:00:00"/>
    <n v="325"/>
    <n v="13308.744047497001"/>
    <n v="243.75"/>
    <n v="308.75"/>
    <n v="0"/>
    <n v="399.26232142491"/>
    <n v="90.512321424909999"/>
    <n v="32.5"/>
    <n v="520.48047575707187"/>
    <n v="0"/>
    <n v="0"/>
    <n v="0"/>
    <n v="0"/>
    <n v="0"/>
    <n v="0"/>
    <n v="0"/>
    <n v="0"/>
    <n v="0"/>
    <s v="Release"/>
  </r>
  <r>
    <n v="36739.688090752985"/>
    <n v="0"/>
    <n v="36739.688090752985"/>
    <x v="5"/>
    <x v="5"/>
    <n v="0"/>
    <s v="vlc"/>
    <s v="Indirect"/>
    <n v="1058"/>
    <x v="2"/>
    <s v="Old"/>
    <d v="2023-06-21T00:00:00"/>
    <n v="3298.4"/>
    <n v="123601.21658564804"/>
    <n v="2473.8000000000002"/>
    <n v="3133.48"/>
    <n v="0"/>
    <n v="3708.0364975694411"/>
    <n v="574.55649756944104"/>
    <n v="329.84000000000003"/>
    <n v="40.707069409217389"/>
    <n v="5237"/>
    <n v="2472.0243317129607"/>
    <n v="0"/>
    <n v="0"/>
    <n v="0"/>
    <n v="0"/>
    <n v="2765"/>
    <n v="0"/>
    <n v="2765"/>
    <s v="Release"/>
  </r>
  <r>
    <n v="27138.824735310642"/>
    <n v="570.15179999999964"/>
    <n v="27708.976535310641"/>
    <x v="6"/>
    <x v="6"/>
    <n v="0"/>
    <s v="MPG"/>
    <s v="Direct"/>
    <n v="1058"/>
    <x v="2"/>
    <s v="Old"/>
    <d v="2023-10-20T00:00:00"/>
    <n v="2234.8000000000002"/>
    <n v="83104.667152783994"/>
    <n v="1676.1000000000001"/>
    <n v="2123.06"/>
    <n v="618.92894527200008"/>
    <n v="2493.1400145835196"/>
    <n v="370.08001458351964"/>
    <n v="223.48000000000002"/>
    <n v="213.3474034774209"/>
    <n v="3981"/>
    <n v="1861"/>
    <n v="0"/>
    <n v="0"/>
    <n v="0"/>
    <n v="0"/>
    <n v="2120"/>
    <n v="0"/>
    <n v="2120"/>
    <s v="Release"/>
  </r>
  <r>
    <n v="82375.427423580782"/>
    <n v="6400"/>
    <n v="88775.427423580782"/>
    <x v="7"/>
    <x v="7"/>
    <n v="0"/>
    <s v="MPG"/>
    <s v="Direct"/>
    <n v="1001"/>
    <x v="0"/>
    <s v="Old"/>
    <d v="2023-11-01T00:00:00"/>
    <n v="526.70000000000005"/>
    <n v="21545.006675199998"/>
    <n v="395.02500000000003"/>
    <n v="500.36500000000001"/>
    <n v="0"/>
    <n v="646.35020025599988"/>
    <n v="145.98520025599987"/>
    <n v="52.670000000000009"/>
    <n v="842.25603918301522"/>
    <n v="0"/>
    <n v="0"/>
    <n v="0"/>
    <n v="0"/>
    <n v="0"/>
    <n v="0"/>
    <n v="0"/>
    <n v="0"/>
    <n v="0"/>
    <s v="Release"/>
  </r>
  <r>
    <n v="39104.976028902864"/>
    <n v="0"/>
    <n v="39104.976028902864"/>
    <x v="8"/>
    <x v="8"/>
    <n v="0"/>
    <s v="MPG"/>
    <s v="Direct"/>
    <n v="1058"/>
    <x v="2"/>
    <s v="Old"/>
    <d v="2024-01-06T00:00:00"/>
    <n v="310.5"/>
    <n v="10255.82"/>
    <n v="232.875"/>
    <n v="294.97499999999997"/>
    <n v="181.65057966000001"/>
    <n v="307.6746"/>
    <n v="12.699600000000032"/>
    <n v="31.05"/>
    <n v="257.30382544283412"/>
    <n v="421"/>
    <n v="421"/>
    <n v="0"/>
    <n v="0"/>
    <n v="0"/>
    <n v="0"/>
    <n v="0"/>
    <n v="0"/>
    <n v="0"/>
    <s v="Release"/>
  </r>
  <r>
    <n v="0"/>
    <n v="0"/>
    <n v="0"/>
    <x v="9"/>
    <x v="9"/>
    <n v="0"/>
    <s v="vlc"/>
    <s v="Indirect"/>
    <n v="1001"/>
    <x v="0"/>
    <s v="Old"/>
    <d v="2023-03-15T00:00:00"/>
    <n v="43651.7"/>
    <n v="1561069.5434463001"/>
    <n v="32738.774999999998"/>
    <n v="41469.114999999998"/>
    <n v="0"/>
    <n v="46832.086303388998"/>
    <n v="5362.9713033890002"/>
    <n v="4365.17"/>
    <n v="0"/>
    <n v="69843"/>
    <n v="0"/>
    <n v="0"/>
    <n v="0"/>
    <n v="0"/>
    <n v="0"/>
    <n v="69843"/>
    <n v="0"/>
    <n v="69843"/>
    <s v="Release"/>
  </r>
  <r>
    <n v="46072.586696898572"/>
    <n v="16599"/>
    <n v="62671.586696898572"/>
    <x v="10"/>
    <x v="10"/>
    <n v="0"/>
    <s v="MPG"/>
    <s v="Direct"/>
    <n v="1001"/>
    <x v="0"/>
    <s v="Old"/>
    <d v="2024-06-28T00:00:00"/>
    <n v="1377.5"/>
    <n v="56156.066038225094"/>
    <n v="1033.125"/>
    <n v="1308.625"/>
    <n v="0"/>
    <n v="1684.6819811467528"/>
    <n v="376.05698114675283"/>
    <n v="137.75"/>
    <n v="1086.5226865224713"/>
    <n v="1117"/>
    <n v="1117"/>
    <n v="0"/>
    <n v="0"/>
    <n v="0"/>
    <n v="0"/>
    <n v="0"/>
    <n v="0"/>
    <n v="0"/>
    <s v="Release"/>
  </r>
  <r>
    <n v="24636.831060232187"/>
    <n v="25600"/>
    <n v="50236.831060232187"/>
    <x v="11"/>
    <x v="11"/>
    <n v="0"/>
    <s v="MPG"/>
    <s v="Direct"/>
    <n v="1001"/>
    <x v="0"/>
    <s v="Old"/>
    <d v="2024-10-03T00:00:00"/>
    <n v="4217.7"/>
    <n v="161653.61536877998"/>
    <n v="3163.2749999999996"/>
    <n v="4006.8149999999996"/>
    <n v="0"/>
    <n v="4849.6084610633989"/>
    <n v="842.79346106339926"/>
    <n v="421.77"/>
    <n v="0"/>
    <n v="6748"/>
    <n v="3233.0723073755998"/>
    <n v="0"/>
    <n v="0"/>
    <n v="0"/>
    <n v="0"/>
    <n v="3515"/>
    <n v="0"/>
    <n v="3515"/>
    <s v="Release"/>
  </r>
  <r>
    <n v="0"/>
    <n v="0"/>
    <n v="0"/>
    <x v="12"/>
    <x v="12"/>
    <n v="0"/>
    <s v="vlc"/>
    <s v="Indirect"/>
    <n v="1001"/>
    <x v="0"/>
    <s v="Old"/>
    <d v="2024-10-02T00:00:00"/>
    <n v="695.8"/>
    <n v="24056.154706625501"/>
    <n v="521.84999999999991"/>
    <n v="661.00999999999988"/>
    <n v="0"/>
    <n v="721.68464119876501"/>
    <n v="60.67464119876513"/>
    <n v="69.58"/>
    <n v="1113.7437814007105"/>
    <n v="0"/>
    <n v="0"/>
    <n v="0"/>
    <n v="0"/>
    <n v="0"/>
    <n v="0"/>
    <n v="0"/>
    <n v="0"/>
    <n v="0"/>
    <s v="Release"/>
  </r>
  <r>
    <n v="69596"/>
    <n v="6400"/>
    <n v="75996"/>
    <x v="13"/>
    <x v="13"/>
    <n v="0"/>
    <s v="MPG"/>
    <s v="Direct"/>
    <n v="1058"/>
    <x v="2"/>
    <s v="Old"/>
    <d v="2024-12-05T00:00:00"/>
    <n v="667.8"/>
    <n v="27120.528724607298"/>
    <n v="500.84999999999997"/>
    <n v="634.41"/>
    <n v="687.72875301141903"/>
    <n v="813.61586173821888"/>
    <n v="179.20586173821891"/>
    <n v="66.78"/>
    <n v="1730.2540787224032"/>
    <n v="26"/>
    <n v="26"/>
    <n v="0"/>
    <n v="0"/>
    <n v="0"/>
    <n v="0"/>
    <n v="0"/>
    <n v="0"/>
    <n v="0"/>
    <s v="Release"/>
  </r>
  <r>
    <n v="0"/>
    <n v="0"/>
    <n v="0"/>
    <x v="14"/>
    <x v="14"/>
    <n v="0"/>
    <s v="vlc"/>
    <s v="Indirect"/>
    <n v="1058"/>
    <x v="2"/>
    <s v="Old"/>
    <d v="2024-11-01T00:00:00"/>
    <n v="369.19999999999993"/>
    <n v="11256.47"/>
    <n v="276.89999999999998"/>
    <n v="350.7399999999999"/>
    <n v="0"/>
    <n v="337.69409999999999"/>
    <n v="-13.045899999999904"/>
    <n v="36.919999999999995"/>
    <n v="590.61244805602155"/>
    <n v="0"/>
    <n v="0"/>
    <n v="0"/>
    <n v="0"/>
    <n v="0"/>
    <n v="0"/>
    <n v="0"/>
    <n v="0"/>
    <n v="0"/>
    <s v="Release"/>
  </r>
  <r>
    <n v="76509.046799999996"/>
    <n v="12099"/>
    <n v="88608.046799999996"/>
    <x v="15"/>
    <x v="15"/>
    <n v="0"/>
    <s v="MPG"/>
    <s v="Direct"/>
    <n v="1058"/>
    <x v="2"/>
    <s v="Old"/>
    <d v="2024-12-01T00:00:00"/>
    <n v="1480.6"/>
    <n v="54697.528006328997"/>
    <n v="1110.4499999999998"/>
    <n v="1406.57"/>
    <n v="1025.9871556320002"/>
    <n v="1640.9258401898699"/>
    <n v="234.35584018986992"/>
    <n v="148.06"/>
    <n v="970.92355696513687"/>
    <n v="2424"/>
    <n v="1861"/>
    <n v="0"/>
    <n v="0"/>
    <n v="0"/>
    <n v="0"/>
    <n v="563"/>
    <n v="0"/>
    <n v="563"/>
    <s v="Release"/>
  </r>
  <r>
    <n v="0"/>
    <n v="0"/>
    <n v="0"/>
    <x v="16"/>
    <x v="16"/>
    <n v="0"/>
    <s v="vlc"/>
    <s v="Indirect"/>
    <n v="1001"/>
    <x v="0"/>
    <s v="Old"/>
    <d v="2025-02-01T00:00:00"/>
    <n v="2502.6999999999998"/>
    <n v="80861.315198368509"/>
    <n v="1877.0249999999999"/>
    <n v="2377.5649999999996"/>
    <n v="0"/>
    <n v="2425.8394559510552"/>
    <n v="48.274455951055643"/>
    <n v="250.26999999999998"/>
    <n v="398.64749806301506"/>
    <n v="3606"/>
    <n v="0"/>
    <n v="0"/>
    <n v="0"/>
    <n v="0"/>
    <n v="0"/>
    <n v="3606"/>
    <n v="0"/>
    <n v="3606"/>
    <s v="Release"/>
  </r>
  <r>
    <n v="74949"/>
    <n v="3016.2027782248006"/>
    <n v="77965.202778224804"/>
    <x v="17"/>
    <x v="17"/>
    <n v="0"/>
    <s v="MPG"/>
    <s v="Direct"/>
    <n v="1058"/>
    <x v="2"/>
    <s v="Old"/>
    <d v="2025-02-12T00:00:00"/>
    <n v="1413.8000000000002"/>
    <n v="56374.500355046795"/>
    <n v="1060.3500000000001"/>
    <n v="1343.1100000000001"/>
    <n v="613.81682999999998"/>
    <n v="1691.2350106514039"/>
    <n v="348.12501065140373"/>
    <n v="141.38000000000002"/>
    <n v="1108.3636553088584"/>
    <n v="1768"/>
    <n v="1768"/>
    <n v="0"/>
    <n v="0"/>
    <n v="0"/>
    <n v="0"/>
    <n v="0"/>
    <n v="0"/>
    <n v="0"/>
    <s v="Release"/>
  </r>
  <r>
    <n v="53294.032769590398"/>
    <n v="1290.9666000000007"/>
    <n v="54584.999369590398"/>
    <x v="18"/>
    <x v="18"/>
    <n v="0"/>
    <s v="MPG"/>
    <s v="Direct"/>
    <n v="1001"/>
    <x v="0"/>
    <s v="Old"/>
    <d v="2025-02-20T00:00:00"/>
    <n v="5359.2"/>
    <n v="202797.15155807999"/>
    <n v="4019.3999999999996"/>
    <n v="5091.24"/>
    <n v="268.49370484020005"/>
    <n v="6083.9145467423996"/>
    <n v="992.6745467423998"/>
    <n v="535.91999999999996"/>
    <n v="0"/>
    <n v="8843"/>
    <n v="4055.9430311615997"/>
    <n v="0"/>
    <n v="0"/>
    <n v="0"/>
    <n v="0"/>
    <n v="4787"/>
    <n v="0"/>
    <n v="4787"/>
    <s v="Release"/>
  </r>
  <r>
    <n v="65590.140199999994"/>
    <n v="4832.8168000000005"/>
    <n v="70422.956999999995"/>
    <x v="19"/>
    <x v="19"/>
    <n v="0"/>
    <s v="MPG"/>
    <s v="Direct"/>
    <n v="1058"/>
    <x v="2"/>
    <s v="Old"/>
    <d v="2025-02-12T00:00:00"/>
    <n v="1460.8"/>
    <n v="54507.871253436999"/>
    <n v="1095.5999999999999"/>
    <n v="1387.76"/>
    <n v="918.93757448492011"/>
    <n v="1635.2361376031099"/>
    <n v="247.47613760310992"/>
    <n v="146.08000000000001"/>
    <n v="999.94028975072649"/>
    <n v="2256"/>
    <n v="1861"/>
    <n v="0"/>
    <n v="0"/>
    <n v="0"/>
    <n v="0"/>
    <n v="395"/>
    <n v="395"/>
    <n v="0"/>
    <s v="Yes"/>
  </r>
  <r>
    <n v="71985"/>
    <n v="0"/>
    <n v="71985"/>
    <x v="20"/>
    <x v="20"/>
    <n v="0"/>
    <s v="MPG"/>
    <s v="Direct"/>
    <n v="1058"/>
    <x v="2"/>
    <s v="Old"/>
    <d v="2025-03-20T00:00:00"/>
    <n v="465.4"/>
    <n v="20751.825437284002"/>
    <n v="349.04999999999995"/>
    <n v="442.12999999999994"/>
    <n v="205.92554400000006"/>
    <n v="622.55476311851999"/>
    <n v="180.42476311852005"/>
    <n v="46.54"/>
    <n v="951.06353261998083"/>
    <n v="0"/>
    <n v="0"/>
    <n v="0"/>
    <n v="0"/>
    <n v="0"/>
    <n v="0"/>
    <n v="0"/>
    <n v="0"/>
    <n v="0"/>
    <s v="Release"/>
  </r>
  <r>
    <n v="67263.302171239324"/>
    <n v="6400"/>
    <n v="73663.302171239324"/>
    <x v="21"/>
    <x v="21"/>
    <n v="0"/>
    <s v="MPG"/>
    <s v="Direct"/>
    <n v="1058"/>
    <x v="2"/>
    <s v="Old"/>
    <d v="2025-03-21T00:00:00"/>
    <n v="20.3"/>
    <n v="753.82"/>
    <n v="15.225000000000001"/>
    <n v="19.285"/>
    <n v="0"/>
    <n v="22.614599999999999"/>
    <n v="3.3295999999999992"/>
    <n v="2.0300000000000002"/>
    <n v="32.799462068965454"/>
    <n v="0"/>
    <n v="0"/>
    <n v="0"/>
    <n v="0"/>
    <n v="0"/>
    <n v="0"/>
    <n v="0"/>
    <n v="0"/>
    <n v="0"/>
    <s v="Release"/>
  </r>
  <r>
    <n v="91249"/>
    <n v="0"/>
    <n v="91249"/>
    <x v="22"/>
    <x v="22"/>
    <n v="0"/>
    <s v="MPG"/>
    <s v="Direct"/>
    <n v="1001"/>
    <x v="0"/>
    <s v="Old"/>
    <d v="2025-04-30T00:00:00"/>
    <n v="619.20000000000005"/>
    <n v="22612.026863573999"/>
    <n v="464.40000000000003"/>
    <n v="588.24"/>
    <n v="249.45331237080003"/>
    <n v="678.36080590721997"/>
    <n v="90.12080590721996"/>
    <n v="61.920000000000009"/>
    <n v="1240.5157975979096"/>
    <n v="0"/>
    <n v="0"/>
    <n v="0"/>
    <n v="0"/>
    <n v="0"/>
    <n v="0"/>
    <n v="0"/>
    <n v="0"/>
    <n v="0"/>
    <s v="Release"/>
  </r>
  <r>
    <n v="0"/>
    <n v="0"/>
    <n v="0"/>
    <x v="23"/>
    <x v="23"/>
    <n v="0"/>
    <s v="vlc"/>
    <s v="Indirect"/>
    <n v="1001"/>
    <x v="0"/>
    <s v="Old"/>
    <d v="2025-04-30T00:00:00"/>
    <n v="1161"/>
    <n v="39071.585973408502"/>
    <n v="870.75"/>
    <n v="1102.95"/>
    <n v="0"/>
    <n v="1172.147579202255"/>
    <n v="69.197579202254929"/>
    <n v="116.10000000000001"/>
    <n v="1102.2142822862006"/>
    <n v="755"/>
    <n v="0"/>
    <n v="0"/>
    <n v="0"/>
    <n v="0"/>
    <n v="0"/>
    <n v="755"/>
    <n v="0"/>
    <n v="755"/>
    <s v="Release"/>
  </r>
  <r>
    <n v="83878.194554151996"/>
    <n v="0"/>
    <n v="83878.194554151996"/>
    <x v="24"/>
    <x v="24"/>
    <n v="0"/>
    <s v="MPG"/>
    <s v="Direct"/>
    <n v="1001"/>
    <x v="0"/>
    <s v="Old"/>
    <d v="2025-06-02T00:00:00"/>
    <n v="3226.1"/>
    <n v="127677.228775"/>
    <n v="2419.5749999999998"/>
    <n v="3064.7949999999996"/>
    <n v="997.33555621740015"/>
    <n v="3830.3168632499996"/>
    <n v="765.52186325000002"/>
    <n v="322.61"/>
    <n v="0"/>
    <n v="6159"/>
    <n v="2553.5445755000001"/>
    <n v="0"/>
    <n v="0"/>
    <n v="0"/>
    <n v="0"/>
    <n v="3605"/>
    <n v="0"/>
    <n v="3605"/>
    <s v="Release"/>
  </r>
  <r>
    <n v="0"/>
    <n v="0"/>
    <n v="0"/>
    <x v="25"/>
    <x v="25"/>
    <n v="0"/>
    <s v="vlc"/>
    <s v="Indirect"/>
    <n v="1001"/>
    <x v="0"/>
    <s v="Old"/>
    <d v="2025-07-02T00:00:00"/>
    <n v="2983.6"/>
    <n v="110876.93696336501"/>
    <n v="2237.6999999999998"/>
    <n v="2834.4199999999996"/>
    <n v="0"/>
    <n v="3326.3081089009502"/>
    <n v="491.88810890095056"/>
    <n v="298.36"/>
    <n v="123.51309751390212"/>
    <n v="4650"/>
    <n v="0"/>
    <n v="0"/>
    <n v="0"/>
    <n v="0"/>
    <n v="0"/>
    <n v="4650"/>
    <n v="0"/>
    <n v="4650"/>
    <s v="Release"/>
  </r>
  <r>
    <n v="51333.458446130404"/>
    <n v="0"/>
    <n v="51333.458446130404"/>
    <x v="26"/>
    <x v="26"/>
    <n v="0"/>
    <s v="MPG"/>
    <s v="Direct"/>
    <n v="1001"/>
    <x v="0"/>
    <s v="Old"/>
    <d v="2025-07-04T00:00:00"/>
    <n v="4589.5"/>
    <n v="170904.69179920002"/>
    <n v="3442.125"/>
    <n v="4360.0249999999996"/>
    <n v="794.37707350560004"/>
    <n v="5127.1407539760003"/>
    <n v="767.11575397600063"/>
    <n v="458.95000000000005"/>
    <n v="0"/>
    <n v="8138"/>
    <n v="3418.0938359840006"/>
    <n v="0"/>
    <n v="0"/>
    <n v="0"/>
    <n v="0"/>
    <n v="4720"/>
    <n v="0"/>
    <n v="4720"/>
    <s v="Release"/>
  </r>
  <r>
    <n v="0"/>
    <n v="0"/>
    <n v="0"/>
    <x v="27"/>
    <x v="27"/>
    <n v="0"/>
    <s v="vlc"/>
    <s v="Indirect"/>
    <n v="1001"/>
    <x v="0"/>
    <s v="Old"/>
    <d v="2025-07-31T00:00:00"/>
    <n v="1231"/>
    <n v="48227.966682912098"/>
    <n v="923.25"/>
    <n v="1169.45"/>
    <n v="0"/>
    <n v="1446.8390004873629"/>
    <n v="277.38900048736286"/>
    <n v="123.10000000000001"/>
    <n v="1167.9390032950359"/>
    <n v="802"/>
    <n v="0"/>
    <n v="0"/>
    <n v="0"/>
    <n v="0"/>
    <n v="0"/>
    <n v="802"/>
    <n v="0"/>
    <n v="802"/>
    <s v="Release"/>
  </r>
  <r>
    <n v="50054.762623951799"/>
    <n v="0"/>
    <n v="50054.762623951799"/>
    <x v="28"/>
    <x v="28"/>
    <n v="0"/>
    <s v="MPG"/>
    <s v="Direct"/>
    <n v="1001"/>
    <x v="0"/>
    <s v="Old"/>
    <d v="2025-07-31T00:00:00"/>
    <n v="4687.5"/>
    <n v="191106.92342512999"/>
    <n v="3515.625"/>
    <n v="4453.125"/>
    <n v="44.648936640000009"/>
    <n v="5733.2077027538999"/>
    <n v="1280.0827027538999"/>
    <n v="468.75"/>
    <n v="0"/>
    <n v="7545"/>
    <n v="3822.1384685026001"/>
    <n v="0"/>
    <n v="0"/>
    <n v="0"/>
    <n v="0"/>
    <n v="3723"/>
    <n v="0"/>
    <n v="3723"/>
    <s v="Release"/>
  </r>
  <r>
    <n v="0"/>
    <n v="0"/>
    <n v="0"/>
    <x v="29"/>
    <x v="29"/>
    <n v="0"/>
    <s v="vlc"/>
    <s v="Indirect"/>
    <n v="1001"/>
    <x v="0"/>
    <s v="Old"/>
    <d v="2025-07-31T00:00:00"/>
    <n v="3536.2000000000003"/>
    <n v="133843.85920168599"/>
    <n v="2652.15"/>
    <n v="3359.3900000000003"/>
    <n v="0"/>
    <n v="4015.3157760505796"/>
    <n v="655.92577605057932"/>
    <n v="353.62000000000006"/>
    <n v="156.00271979311714"/>
    <n v="5502"/>
    <n v="0"/>
    <n v="0"/>
    <n v="0"/>
    <n v="0"/>
    <n v="0"/>
    <n v="5502"/>
    <n v="0"/>
    <n v="5502"/>
    <s v="Release"/>
  </r>
  <r>
    <n v="0"/>
    <n v="0"/>
    <n v="0"/>
    <x v="30"/>
    <x v="30"/>
    <n v="0"/>
    <s v="vlc"/>
    <s v="Indirect"/>
    <n v="1001"/>
    <x v="0"/>
    <s v="Old"/>
    <d v="2025-08-01T00:00:00"/>
    <n v="1914.6"/>
    <n v="68984.526073298432"/>
    <n v="1435.9499999999998"/>
    <n v="1818.87"/>
    <n v="0"/>
    <n v="2069.5357821989528"/>
    <n v="250.66578219895291"/>
    <n v="191.46"/>
    <n v="634.33163224722512"/>
    <n v="2429"/>
    <n v="0"/>
    <n v="0"/>
    <n v="0"/>
    <n v="0"/>
    <n v="0"/>
    <n v="2429"/>
    <n v="0"/>
    <n v="2429"/>
    <s v="Release"/>
  </r>
  <r>
    <n v="0"/>
    <n v="0"/>
    <n v="0"/>
    <x v="31"/>
    <x v="31"/>
    <n v="0"/>
    <s v="vlc"/>
    <s v="Indirect"/>
    <n v="1001"/>
    <x v="0"/>
    <s v="Old"/>
    <d v="2025-08-01T00:00:00"/>
    <n v="2295.6999999999998"/>
    <n v="83412.732957382002"/>
    <n v="1721.7749999999999"/>
    <n v="2180.9149999999995"/>
    <n v="0"/>
    <n v="2502.3819887214599"/>
    <n v="321.46698872146044"/>
    <n v="229.57"/>
    <n v="392.31252410837965"/>
    <n v="3281"/>
    <n v="0"/>
    <n v="0"/>
    <n v="0"/>
    <n v="0"/>
    <n v="0"/>
    <n v="3281"/>
    <n v="0"/>
    <n v="3281"/>
    <s v="Release"/>
  </r>
  <r>
    <n v="0"/>
    <n v="0"/>
    <n v="0"/>
    <x v="32"/>
    <x v="32"/>
    <n v="0"/>
    <s v="MPG"/>
    <s v="Direct"/>
    <n v="1002"/>
    <x v="3"/>
    <s v="Old"/>
    <d v="2017-09-01T00:00:00"/>
    <n v="10419.200000000001"/>
    <n v="455126.76813152095"/>
    <n v="7814.4000000000005"/>
    <n v="9898.24"/>
    <n v="4828.8558437030006"/>
    <n v="13653.803043945629"/>
    <n v="3755.563043945629"/>
    <n v="1041.92"/>
    <n v="0"/>
    <n v="21500"/>
    <n v="0"/>
    <n v="0"/>
    <n v="0"/>
    <n v="0"/>
    <n v="0"/>
    <n v="21500"/>
    <n v="0"/>
    <n v="21500"/>
    <s v="Release"/>
  </r>
  <r>
    <n v="0"/>
    <n v="0"/>
    <n v="0"/>
    <x v="33"/>
    <x v="33"/>
    <n v="0"/>
    <s v="MPG"/>
    <s v="Direct"/>
    <n v="1002"/>
    <x v="3"/>
    <s v="Old"/>
    <d v="2017-09-01T00:00:00"/>
    <n v="2219.6"/>
    <n v="83944.31982751"/>
    <n v="1664.6999999999998"/>
    <n v="2108.62"/>
    <n v="0"/>
    <n v="2518.3295948252999"/>
    <n v="409.70959482529997"/>
    <n v="221.96"/>
    <n v="442.40062223850373"/>
    <n v="3109"/>
    <n v="0"/>
    <n v="0"/>
    <n v="0"/>
    <n v="0"/>
    <n v="0"/>
    <n v="3109"/>
    <n v="0"/>
    <n v="3109"/>
    <s v="Release"/>
  </r>
  <r>
    <n v="0"/>
    <n v="0"/>
    <n v="0"/>
    <x v="34"/>
    <x v="34"/>
    <n v="0"/>
    <s v="vlc"/>
    <s v="Indirect"/>
    <n v="1002"/>
    <x v="3"/>
    <s v="Old"/>
    <d v="2017-09-01T00:00:00"/>
    <n v="723.7"/>
    <n v="27108.597783410001"/>
    <n v="542.77500000000009"/>
    <n v="687.51499999999999"/>
    <n v="0"/>
    <n v="813.25793350230003"/>
    <n v="125.74293350230005"/>
    <n v="72.37"/>
    <n v="1157.5274255403074"/>
    <n v="0"/>
    <n v="0"/>
    <n v="0"/>
    <n v="0"/>
    <n v="0"/>
    <n v="0"/>
    <n v="0"/>
    <n v="0"/>
    <n v="0"/>
    <s v="Release"/>
  </r>
  <r>
    <n v="0"/>
    <n v="0"/>
    <n v="0"/>
    <x v="35"/>
    <x v="35"/>
    <n v="0"/>
    <s v="vlc"/>
    <s v="Indirect"/>
    <n v="1002"/>
    <x v="3"/>
    <s v="Old"/>
    <d v="2017-09-01T00:00:00"/>
    <n v="434.80000000000007"/>
    <n v="15655.311231999998"/>
    <n v="326.10000000000002"/>
    <n v="413.06000000000006"/>
    <n v="0"/>
    <n v="469.65933695999991"/>
    <n v="56.599336959999846"/>
    <n v="43.480000000000011"/>
    <n v="680.95224615719917"/>
    <n v="15"/>
    <n v="0"/>
    <n v="0"/>
    <n v="0"/>
    <n v="0"/>
    <n v="0"/>
    <n v="15"/>
    <n v="0"/>
    <n v="15"/>
    <s v="Release"/>
  </r>
  <r>
    <n v="0"/>
    <n v="0"/>
    <n v="0"/>
    <x v="36"/>
    <x v="36"/>
    <n v="0"/>
    <s v="vlc"/>
    <s v="Indirect"/>
    <n v="1002"/>
    <x v="3"/>
    <s v="Old"/>
    <d v="2020-11-26T00:00:00"/>
    <n v="4735.8999999999996"/>
    <n v="188026.56308790779"/>
    <n v="3551.9249999999997"/>
    <n v="4499.1049999999996"/>
    <n v="0"/>
    <n v="5640.7968926372332"/>
    <n v="1141.6918926372337"/>
    <n v="473.59"/>
    <n v="146.06776058960435"/>
    <n v="7431"/>
    <n v="0"/>
    <n v="0"/>
    <n v="0"/>
    <n v="0"/>
    <n v="0"/>
    <n v="7431"/>
    <n v="0"/>
    <n v="7431"/>
    <s v="Release"/>
  </r>
  <r>
    <n v="0"/>
    <n v="0"/>
    <n v="0"/>
    <x v="37"/>
    <x v="37"/>
    <n v="0"/>
    <s v="vlc"/>
    <s v="Indirect"/>
    <n v="1002"/>
    <x v="3"/>
    <s v="Old"/>
    <d v="2021-08-27T00:00:00"/>
    <n v="950"/>
    <n v="37678.904474520001"/>
    <n v="712.5"/>
    <n v="902.5"/>
    <n v="0"/>
    <n v="1130.3671342355999"/>
    <n v="227.86713423559991"/>
    <n v="95"/>
    <n v="1464.094601735429"/>
    <n v="56"/>
    <n v="0"/>
    <n v="0"/>
    <n v="0"/>
    <n v="0"/>
    <n v="0"/>
    <n v="56"/>
    <n v="0"/>
    <n v="56"/>
    <s v="Release"/>
  </r>
  <r>
    <n v="0"/>
    <n v="0"/>
    <n v="0"/>
    <x v="38"/>
    <x v="38"/>
    <n v="0"/>
    <s v="vlc"/>
    <s v="Indirect"/>
    <n v="1002"/>
    <x v="3"/>
    <s v="Old"/>
    <d v="2022-04-01T00:00:00"/>
    <n v="102855.9"/>
    <n v="4044117.9357179804"/>
    <n v="77141.924999999988"/>
    <n v="97713.104999999996"/>
    <n v="0"/>
    <n v="121323.53807153941"/>
    <n v="23610.433071539417"/>
    <n v="10285.59"/>
    <n v="0"/>
    <n v="164569"/>
    <n v="0"/>
    <n v="0"/>
    <n v="0"/>
    <n v="0"/>
    <n v="0"/>
    <n v="164569"/>
    <n v="0"/>
    <n v="164569"/>
    <s v="Release"/>
  </r>
  <r>
    <n v="0"/>
    <n v="0"/>
    <n v="0"/>
    <x v="39"/>
    <x v="39"/>
    <n v="0"/>
    <s v="vlc"/>
    <s v="Indirect"/>
    <n v="1002"/>
    <x v="3"/>
    <s v="Old"/>
    <d v="2022-04-01T00:00:00"/>
    <n v="102504.9"/>
    <n v="4085618.2003672905"/>
    <n v="76878.674999999988"/>
    <n v="97379.654999999984"/>
    <n v="0"/>
    <n v="122568.54601101871"/>
    <n v="25188.891011018728"/>
    <n v="10250.49"/>
    <n v="0"/>
    <n v="164008"/>
    <n v="0"/>
    <n v="0"/>
    <n v="0"/>
    <n v="0"/>
    <n v="0"/>
    <n v="164008"/>
    <n v="0"/>
    <n v="164008"/>
    <s v="Release"/>
  </r>
  <r>
    <n v="0"/>
    <n v="0"/>
    <n v="0"/>
    <x v="40"/>
    <x v="40"/>
    <n v="0"/>
    <s v="MPG"/>
    <s v="Direct"/>
    <n v="1002"/>
    <x v="3"/>
    <s v="Old"/>
    <d v="2022-04-01T00:00:00"/>
    <n v="15404.800000000001"/>
    <n v="645130.95585368096"/>
    <n v="11553.6"/>
    <n v="14634.56"/>
    <n v="4745.9817901800006"/>
    <n v="19353.928675610427"/>
    <n v="4719.3686756104271"/>
    <n v="1540.4800000000002"/>
    <n v="0"/>
    <n v="29394"/>
    <n v="0"/>
    <n v="0"/>
    <n v="0"/>
    <n v="0"/>
    <n v="0"/>
    <n v="29394"/>
    <n v="0"/>
    <n v="29394"/>
    <s v="Release"/>
  </r>
  <r>
    <n v="0"/>
    <n v="0"/>
    <n v="0"/>
    <x v="41"/>
    <x v="41"/>
    <n v="0"/>
    <s v="MPG"/>
    <s v="Direct"/>
    <n v="1002"/>
    <x v="3"/>
    <s v="Old"/>
    <d v="2022-05-13T00:00:00"/>
    <n v="16199.4"/>
    <n v="715575.84052482201"/>
    <n v="12149.55"/>
    <n v="15389.429999999998"/>
    <n v="5954.2797766414014"/>
    <n v="21467.275215744659"/>
    <n v="6077.8452157446609"/>
    <n v="1619.94"/>
    <n v="0"/>
    <n v="31873"/>
    <n v="0"/>
    <n v="0"/>
    <n v="0"/>
    <n v="0"/>
    <n v="0"/>
    <n v="31873"/>
    <n v="0"/>
    <n v="31873"/>
    <s v="Release"/>
  </r>
  <r>
    <n v="0"/>
    <n v="0"/>
    <n v="0"/>
    <x v="42"/>
    <x v="42"/>
    <n v="0"/>
    <s v="MPG"/>
    <s v="Direct"/>
    <n v="1002"/>
    <x v="3"/>
    <s v="Old"/>
    <d v="2022-08-06T00:00:00"/>
    <n v="3662.6000000000004"/>
    <n v="138695.29593261"/>
    <n v="2746.9500000000003"/>
    <n v="3479.4700000000003"/>
    <n v="1315.158102543"/>
    <n v="4160.8588779782995"/>
    <n v="681.38887797829921"/>
    <n v="366.26000000000005"/>
    <n v="0"/>
    <n v="7175"/>
    <n v="0"/>
    <n v="0"/>
    <n v="0"/>
    <n v="0"/>
    <n v="0"/>
    <n v="7175"/>
    <n v="0"/>
    <n v="7175"/>
    <s v="Release"/>
  </r>
  <r>
    <n v="0"/>
    <n v="0"/>
    <n v="0"/>
    <x v="43"/>
    <x v="43"/>
    <n v="0"/>
    <s v="MPG"/>
    <s v="Direct"/>
    <n v="1002"/>
    <x v="3"/>
    <s v="Old"/>
    <d v="2022-08-28T00:00:00"/>
    <n v="13043.699999999999"/>
    <n v="519562.73282638227"/>
    <n v="9782.7749999999996"/>
    <n v="12391.514999999998"/>
    <n v="0"/>
    <n v="15586.881984791467"/>
    <n v="3195.3669847914698"/>
    <n v="1304.3699999999999"/>
    <n v="0"/>
    <n v="20870"/>
    <n v="0"/>
    <n v="0"/>
    <n v="0"/>
    <n v="0"/>
    <n v="0"/>
    <n v="20870"/>
    <n v="0"/>
    <n v="20870"/>
    <s v="Release"/>
  </r>
  <r>
    <n v="0"/>
    <n v="0"/>
    <n v="0"/>
    <x v="44"/>
    <x v="44"/>
    <n v="0"/>
    <s v="MPG"/>
    <s v="Direct"/>
    <n v="1002"/>
    <x v="3"/>
    <s v="Old"/>
    <d v="2022-11-01T00:00:00"/>
    <n v="3683"/>
    <n v="140205.46161827"/>
    <n v="2762.25"/>
    <n v="3498.85"/>
    <n v="1339.4604917850002"/>
    <n v="4206.1638485480998"/>
    <n v="707.31384854809994"/>
    <n v="368.3"/>
    <n v="0"/>
    <n v="7232"/>
    <n v="0"/>
    <n v="0"/>
    <n v="0"/>
    <n v="0"/>
    <n v="0"/>
    <n v="7232"/>
    <n v="0"/>
    <n v="7232"/>
    <s v="Release"/>
  </r>
  <r>
    <n v="0"/>
    <n v="0"/>
    <n v="0"/>
    <x v="45"/>
    <x v="45"/>
    <n v="0"/>
    <s v="MPG"/>
    <s v="Direct"/>
    <n v="1002"/>
    <x v="3"/>
    <s v="Old"/>
    <d v="2022-11-01T00:00:00"/>
    <n v="2735.8999999999996"/>
    <n v="111813.44199517"/>
    <n v="2051.9249999999997"/>
    <n v="2599.1049999999996"/>
    <n v="247.01509254990006"/>
    <n v="3354.4032598550998"/>
    <n v="755.29825985510024"/>
    <n v="273.58999999999997"/>
    <n v="116.12808390978228"/>
    <n v="4508"/>
    <n v="0"/>
    <n v="0"/>
    <n v="0"/>
    <n v="0"/>
    <n v="0"/>
    <n v="4508"/>
    <n v="0"/>
    <n v="4508"/>
    <s v="Release"/>
  </r>
  <r>
    <n v="0"/>
    <n v="0"/>
    <n v="0"/>
    <x v="46"/>
    <x v="46"/>
    <n v="0"/>
    <s v="MPG"/>
    <s v="Direct"/>
    <n v="1002"/>
    <x v="3"/>
    <s v="Old"/>
    <d v="2022-12-04T00:00:00"/>
    <n v="1406.2"/>
    <n v="55439.124157250008"/>
    <n v="1054.6500000000001"/>
    <n v="1335.8899999999999"/>
    <n v="374.02998051000009"/>
    <n v="1663.1737247175001"/>
    <n v="327.28372471750026"/>
    <n v="140.62"/>
    <n v="1099.4031902282588"/>
    <n v="1525"/>
    <n v="0"/>
    <n v="0"/>
    <n v="0"/>
    <n v="0"/>
    <n v="0"/>
    <n v="1525"/>
    <n v="0"/>
    <n v="1525"/>
    <s v="Release"/>
  </r>
  <r>
    <n v="0"/>
    <n v="0"/>
    <n v="0"/>
    <x v="47"/>
    <x v="47"/>
    <n v="0"/>
    <s v="MPG"/>
    <s v="Direct"/>
    <n v="1002"/>
    <x v="3"/>
    <s v="Old"/>
    <d v="2022-12-16T00:00:00"/>
    <n v="3481.8"/>
    <n v="151778.02599725442"/>
    <n v="2611.3500000000004"/>
    <n v="3307.71"/>
    <n v="1897.1719780807871"/>
    <n v="4553.3407799176321"/>
    <n v="1245.630779917632"/>
    <n v="348.18000000000006"/>
    <n v="0"/>
    <n v="7468"/>
    <n v="0"/>
    <n v="0"/>
    <n v="0"/>
    <n v="0"/>
    <n v="0"/>
    <n v="7468"/>
    <n v="0"/>
    <n v="7468"/>
    <s v="Release"/>
  </r>
  <r>
    <n v="0"/>
    <n v="0"/>
    <n v="0"/>
    <x v="48"/>
    <x v="48"/>
    <n v="0"/>
    <s v="MPG"/>
    <s v="Direct"/>
    <n v="1002"/>
    <x v="3"/>
    <s v="Old"/>
    <d v="2023-01-18T00:00:00"/>
    <n v="3947.4"/>
    <n v="162866.70386177721"/>
    <n v="2960.55"/>
    <n v="3750.0299999999997"/>
    <n v="1811.9831047560001"/>
    <n v="4886.0011158533162"/>
    <n v="1135.9711158533164"/>
    <n v="394.74"/>
    <n v="0"/>
    <n v="8128"/>
    <n v="0"/>
    <n v="0"/>
    <n v="0"/>
    <n v="0"/>
    <n v="0"/>
    <n v="8128"/>
    <n v="0"/>
    <n v="8128"/>
    <s v="Release"/>
  </r>
  <r>
    <n v="0"/>
    <n v="0"/>
    <n v="0"/>
    <x v="49"/>
    <x v="49"/>
    <n v="0"/>
    <s v="MPG"/>
    <s v="Direct"/>
    <n v="1002"/>
    <x v="3"/>
    <s v="Old"/>
    <d v="2023-01-24T00:00:00"/>
    <n v="4389.5"/>
    <n v="186666.8742202686"/>
    <n v="3292.125"/>
    <n v="4170.0249999999996"/>
    <n v="5058.9106667170008"/>
    <n v="5600.0062266080577"/>
    <n v="1429.981226608058"/>
    <n v="438.95000000000005"/>
    <n v="0"/>
    <n v="12082"/>
    <n v="0"/>
    <n v="0"/>
    <n v="0"/>
    <n v="0"/>
    <n v="0"/>
    <n v="12082"/>
    <n v="0"/>
    <n v="12082"/>
    <s v="Release"/>
  </r>
  <r>
    <n v="10665.353200000012"/>
    <n v="0"/>
    <n v="10665.353200000012"/>
    <x v="50"/>
    <x v="50"/>
    <n v="0"/>
    <s v="MPG"/>
    <s v="Direct"/>
    <n v="1002"/>
    <x v="3"/>
    <s v="Old"/>
    <d v="2023-02-10T00:00:00"/>
    <n v="2405"/>
    <n v="95619.188906759999"/>
    <n v="1803.75"/>
    <n v="2284.75"/>
    <n v="863.604062226"/>
    <n v="2868.5756672027997"/>
    <n v="583.82566720279965"/>
    <n v="240.5"/>
    <n v="313.06697252124258"/>
    <n v="4399"/>
    <n v="1912.3837781351999"/>
    <n v="0"/>
    <n v="0"/>
    <n v="0"/>
    <n v="0"/>
    <n v="2487"/>
    <n v="0"/>
    <n v="2487"/>
    <s v="Release"/>
  </r>
  <r>
    <n v="696.24801668761938"/>
    <n v="3752.676205136534"/>
    <n v="4448.9242218241534"/>
    <x v="51"/>
    <x v="51"/>
    <n v="0"/>
    <s v="MPG"/>
    <s v="Direct"/>
    <n v="1002"/>
    <x v="3"/>
    <s v="Old"/>
    <d v="2023-03-01T00:00:00"/>
    <n v="1054.5999999999999"/>
    <n v="44242.085110307999"/>
    <n v="790.94999999999993"/>
    <n v="1001.8699999999999"/>
    <n v="189.18909442905002"/>
    <n v="1327.2625533092398"/>
    <n v="325.39255330923993"/>
    <n v="105.46"/>
    <n v="1463.7010538205714"/>
    <n v="413"/>
    <n v="196.24801668761938"/>
    <n v="0"/>
    <n v="217"/>
    <n v="0"/>
    <n v="0"/>
    <n v="0"/>
    <n v="0"/>
    <n v="0"/>
    <s v="Release"/>
  </r>
  <r>
    <n v="7224.87592375245"/>
    <n v="8907"/>
    <n v="16131.87592375245"/>
    <x v="52"/>
    <x v="52"/>
    <n v="0"/>
    <s v="MPG"/>
    <s v="Direct"/>
    <n v="1002"/>
    <x v="3"/>
    <s v="Old"/>
    <d v="2023-03-24T00:00:00"/>
    <n v="1856"/>
    <n v="69698.653677800001"/>
    <n v="1392"/>
    <n v="1763.1999999999998"/>
    <n v="0"/>
    <n v="2090.959610334"/>
    <n v="327.75961033400017"/>
    <n v="185.60000000000002"/>
    <n v="709.28625903749435"/>
    <n v="2260"/>
    <n v="1861"/>
    <n v="0"/>
    <n v="0"/>
    <n v="0"/>
    <n v="0"/>
    <n v="399"/>
    <n v="0"/>
    <n v="399"/>
    <s v="Release"/>
  </r>
  <r>
    <n v="0"/>
    <n v="0"/>
    <n v="0"/>
    <x v="53"/>
    <x v="53"/>
    <n v="0"/>
    <s v="MPG"/>
    <s v="Direct"/>
    <n v="1002"/>
    <x v="3"/>
    <s v="Old"/>
    <d v="2023-03-27T00:00:00"/>
    <n v="4150.5"/>
    <n v="173231.81878029302"/>
    <n v="3112.875"/>
    <n v="3942.9749999999999"/>
    <n v="1547.3360633694003"/>
    <n v="5196.9545634087908"/>
    <n v="1253.9795634087909"/>
    <n v="415.05"/>
    <n v="0"/>
    <n v="8188"/>
    <n v="0"/>
    <n v="0"/>
    <n v="0"/>
    <n v="5600"/>
    <n v="0"/>
    <n v="2588"/>
    <n v="0"/>
    <n v="2588"/>
    <s v="Release"/>
  </r>
  <r>
    <n v="0"/>
    <n v="0"/>
    <n v="0"/>
    <x v="54"/>
    <x v="54"/>
    <n v="0"/>
    <s v="MPG"/>
    <s v="Direct"/>
    <n v="1002"/>
    <x v="3"/>
    <s v="Old"/>
    <d v="2023-05-18T00:00:00"/>
    <n v="4586.6000000000004"/>
    <n v="201372.12190999906"/>
    <n v="3439.9500000000003"/>
    <n v="4357.2700000000004"/>
    <n v="1376.2222414290002"/>
    <n v="6041.1636572999714"/>
    <n v="1683.893657299971"/>
    <n v="458.66000000000008"/>
    <n v="0"/>
    <n v="8715"/>
    <n v="0"/>
    <n v="0"/>
    <n v="0"/>
    <n v="0"/>
    <n v="0"/>
    <n v="8715"/>
    <n v="0"/>
    <n v="8715"/>
    <s v="Release"/>
  </r>
  <r>
    <n v="0"/>
    <n v="0"/>
    <n v="0"/>
    <x v="55"/>
    <x v="55"/>
    <n v="0"/>
    <s v="vlc"/>
    <s v="Indirect"/>
    <n v="1002"/>
    <x v="3"/>
    <s v="Old"/>
    <d v="2023-08-18T00:00:00"/>
    <n v="14198.7"/>
    <n v="573865.63872719789"/>
    <n v="10649.025000000001"/>
    <n v="13488.764999999999"/>
    <n v="0"/>
    <n v="17215.969161815938"/>
    <n v="3727.2041618159383"/>
    <n v="1419.8700000000001"/>
    <n v="0"/>
    <n v="22718"/>
    <n v="0"/>
    <n v="0"/>
    <n v="0"/>
    <n v="0"/>
    <n v="0"/>
    <n v="22718"/>
    <n v="0"/>
    <n v="22718"/>
    <s v="Release"/>
  </r>
  <r>
    <n v="0"/>
    <n v="0"/>
    <n v="0"/>
    <x v="56"/>
    <x v="56"/>
    <n v="0"/>
    <s v="MPG"/>
    <s v="Direct"/>
    <n v="1002"/>
    <x v="3"/>
    <s v="Old"/>
    <d v="2023-08-30T00:00:00"/>
    <n v="4232.5"/>
    <n v="171365.69793965961"/>
    <n v="3174.375"/>
    <n v="4020.875"/>
    <n v="749.27021193000007"/>
    <n v="5140.9709381897883"/>
    <n v="1120.0959381897883"/>
    <n v="423.25"/>
    <n v="0"/>
    <n v="7521"/>
    <n v="0"/>
    <n v="0"/>
    <n v="0"/>
    <n v="0"/>
    <n v="0"/>
    <n v="7521"/>
    <n v="0"/>
    <n v="7521"/>
    <s v="Release"/>
  </r>
  <r>
    <n v="0"/>
    <n v="0"/>
    <n v="0"/>
    <x v="57"/>
    <x v="57"/>
    <n v="0"/>
    <s v="vlc"/>
    <s v="Indirect"/>
    <n v="1002"/>
    <x v="3"/>
    <s v="Old"/>
    <d v="2022-05-29T00:00:00"/>
    <n v="4321.8"/>
    <n v="175498.89175139851"/>
    <n v="3241.3500000000004"/>
    <n v="4105.71"/>
    <n v="0"/>
    <n v="5264.9667525419554"/>
    <n v="1159.2567525419554"/>
    <n v="432.18000000000006"/>
    <n v="220.30490402981599"/>
    <n v="6695"/>
    <n v="0"/>
    <n v="0"/>
    <n v="0"/>
    <n v="0"/>
    <n v="0"/>
    <n v="6695"/>
    <n v="0"/>
    <n v="6695"/>
    <s v="Release"/>
  </r>
  <r>
    <n v="0"/>
    <n v="0"/>
    <n v="0"/>
    <x v="58"/>
    <x v="58"/>
    <n v="0"/>
    <s v="MPG"/>
    <s v="Direct"/>
    <n v="1002"/>
    <x v="3"/>
    <s v="Old"/>
    <d v="2023-11-18T00:00:00"/>
    <n v="11300.5"/>
    <n v="492448.50241686503"/>
    <n v="8475.375"/>
    <n v="10735.475"/>
    <n v="6391.6614125608003"/>
    <n v="14773.455072505951"/>
    <n v="4037.9800725059504"/>
    <n v="1130.05"/>
    <n v="0"/>
    <n v="24472"/>
    <n v="0"/>
    <n v="0"/>
    <n v="0"/>
    <n v="0"/>
    <n v="0"/>
    <n v="24472"/>
    <n v="0"/>
    <n v="24472"/>
    <s v="Release"/>
  </r>
  <r>
    <n v="0"/>
    <n v="5844.2936000000009"/>
    <n v="5844.2936000000009"/>
    <x v="59"/>
    <x v="59"/>
    <n v="0"/>
    <s v="MPG"/>
    <s v="Direct"/>
    <n v="1002"/>
    <x v="3"/>
    <s v="Old"/>
    <d v="2023-12-23T00:00:00"/>
    <n v="3914"/>
    <n v="156649.61575686"/>
    <n v="2935.5"/>
    <n v="3718.2999999999997"/>
    <n v="921.86856859222814"/>
    <n v="4699.4884727057997"/>
    <n v="981.1884727058"/>
    <n v="391.40000000000003"/>
    <n v="0"/>
    <n v="7184"/>
    <n v="0"/>
    <n v="3132.9923151372"/>
    <n v="0"/>
    <n v="0"/>
    <n v="0"/>
    <n v="4051"/>
    <n v="0"/>
    <n v="4051"/>
    <s v="Release"/>
  </r>
  <r>
    <n v="5297.5668450046069"/>
    <n v="12800"/>
    <n v="18097.566845004607"/>
    <x v="60"/>
    <x v="60"/>
    <n v="0"/>
    <s v="MPG"/>
    <s v="Direct"/>
    <n v="1002"/>
    <x v="3"/>
    <s v="Old"/>
    <d v="2023-12-08T00:00:00"/>
    <n v="5251.4"/>
    <n v="209452.65491984005"/>
    <n v="3938.5499999999997"/>
    <n v="4988.829999999999"/>
    <n v="1995.9258166536001"/>
    <n v="6283.5796475952011"/>
    <n v="1294.7496475952021"/>
    <n v="525.14"/>
    <n v="0"/>
    <n v="10398"/>
    <n v="4189.053098396801"/>
    <n v="0"/>
    <n v="0"/>
    <n v="0"/>
    <n v="0"/>
    <n v="6209"/>
    <n v="0"/>
    <n v="6209"/>
    <s v="Release"/>
  </r>
  <r>
    <n v="26623.521577673178"/>
    <n v="11212.327325161281"/>
    <n v="37835.848902834463"/>
    <x v="61"/>
    <x v="61"/>
    <n v="0"/>
    <s v="MPG"/>
    <s v="Direct"/>
    <n v="1002"/>
    <x v="3"/>
    <s v="Old"/>
    <d v="2023-10-06T00:00:00"/>
    <n v="1356.7"/>
    <n v="54309.50865239001"/>
    <n v="1017.5250000000001"/>
    <n v="1288.865"/>
    <n v="737.22626038800001"/>
    <n v="1629.2852595717002"/>
    <n v="340.42025957170017"/>
    <n v="135.67000000000002"/>
    <n v="1157.4706526670179"/>
    <n v="1750"/>
    <n v="1750"/>
    <n v="0"/>
    <n v="0"/>
    <n v="0"/>
    <n v="0"/>
    <n v="0"/>
    <n v="0"/>
    <n v="0"/>
    <s v="Release"/>
  </r>
  <r>
    <n v="0"/>
    <n v="0"/>
    <n v="0"/>
    <x v="62"/>
    <x v="62"/>
    <n v="0"/>
    <s v="MPG"/>
    <s v="Direct"/>
    <n v="1002"/>
    <x v="3"/>
    <s v="Old"/>
    <d v="2023-09-29T00:00:00"/>
    <n v="4637.6000000000004"/>
    <n v="193388.8772450336"/>
    <n v="3478.2000000000003"/>
    <n v="4405.72"/>
    <n v="1231.5259644480002"/>
    <n v="5801.6663173510078"/>
    <n v="1395.9463173510076"/>
    <n v="463.76000000000005"/>
    <n v="0"/>
    <n v="8652"/>
    <n v="0"/>
    <n v="0"/>
    <n v="0"/>
    <n v="0"/>
    <n v="0"/>
    <n v="8652"/>
    <n v="0"/>
    <n v="8652"/>
    <s v="Release"/>
  </r>
  <r>
    <n v="0"/>
    <n v="0"/>
    <n v="0"/>
    <x v="63"/>
    <x v="63"/>
    <n v="0"/>
    <s v="vlc"/>
    <s v="Indirect"/>
    <n v="1002"/>
    <x v="3"/>
    <s v="Old"/>
    <d v="2023-02-01T00:00:00"/>
    <n v="3248.9000000000005"/>
    <n v="129413.75568794401"/>
    <n v="2436.6750000000002"/>
    <n v="3086.4550000000004"/>
    <n v="0"/>
    <n v="3882.4126706383199"/>
    <n v="795.95767063831954"/>
    <n v="324.8900000000001"/>
    <n v="379.02660614334462"/>
    <n v="4819"/>
    <n v="0"/>
    <n v="0"/>
    <n v="0"/>
    <n v="0"/>
    <n v="0"/>
    <n v="4819"/>
    <n v="0"/>
    <n v="4819"/>
    <s v="Release"/>
  </r>
  <r>
    <n v="0"/>
    <n v="0"/>
    <n v="0"/>
    <x v="64"/>
    <x v="64"/>
    <n v="0"/>
    <s v="vlc"/>
    <s v="Indirect"/>
    <n v="1002"/>
    <x v="3"/>
    <s v="Old"/>
    <d v="2024-05-11T00:00:00"/>
    <n v="4946.2"/>
    <n v="194721.86065352004"/>
    <n v="3709.6499999999996"/>
    <n v="4698.8899999999994"/>
    <n v="0"/>
    <n v="5841.6558196056012"/>
    <n v="1142.7658196056018"/>
    <n v="494.62"/>
    <n v="0"/>
    <n v="7914"/>
    <n v="0"/>
    <n v="0"/>
    <n v="0"/>
    <n v="0"/>
    <n v="0"/>
    <n v="7914"/>
    <n v="0"/>
    <n v="7914"/>
    <s v="Release"/>
  </r>
  <r>
    <n v="24194.816766893302"/>
    <n v="9080.5223999999998"/>
    <n v="33275.339166893304"/>
    <x v="65"/>
    <x v="65"/>
    <n v="0"/>
    <s v="MPG"/>
    <s v="Direct"/>
    <n v="1002"/>
    <x v="3"/>
    <s v="Old"/>
    <d v="2024-07-18T00:00:00"/>
    <n v="2911.8"/>
    <n v="118342.20030298"/>
    <n v="2183.8500000000004"/>
    <n v="2766.21"/>
    <n v="0"/>
    <n v="3550.2660090893996"/>
    <n v="784.05600908939959"/>
    <n v="291.18"/>
    <n v="127.3881925986138"/>
    <n v="4531"/>
    <n v="2366.8440060595999"/>
    <n v="0"/>
    <n v="0"/>
    <n v="0"/>
    <n v="0"/>
    <n v="2164"/>
    <n v="2164"/>
    <n v="0"/>
    <s v="Yes"/>
  </r>
  <r>
    <n v="94478.602786046366"/>
    <n v="12800"/>
    <n v="107278.60278604637"/>
    <x v="66"/>
    <x v="66"/>
    <n v="0"/>
    <s v="MPG"/>
    <s v="Direct"/>
    <n v="1002"/>
    <x v="3"/>
    <s v="Old"/>
    <d v="2024-10-02T00:00:00"/>
    <n v="869"/>
    <n v="34181.951580929999"/>
    <n v="651.75"/>
    <n v="825.55"/>
    <n v="1005.0916704277902"/>
    <n v="1025.4585474278999"/>
    <n v="199.90854742789998"/>
    <n v="86.9"/>
    <n v="1518.033104352892"/>
    <n v="877"/>
    <n v="877"/>
    <n v="0"/>
    <n v="0"/>
    <n v="0"/>
    <n v="0"/>
    <n v="0"/>
    <n v="0"/>
    <n v="0"/>
    <s v="Release"/>
  </r>
  <r>
    <n v="36991.755423951559"/>
    <n v="6400"/>
    <n v="43391.755423951559"/>
    <x v="67"/>
    <x v="67"/>
    <n v="0"/>
    <s v="MPG"/>
    <s v="Direct"/>
    <n v="1002"/>
    <x v="3"/>
    <s v="Old"/>
    <d v="2024-11-22T00:00:00"/>
    <n v="3504.7"/>
    <n v="140680.34201619402"/>
    <n v="2628.5249999999996"/>
    <n v="3329.4649999999997"/>
    <n v="0"/>
    <n v="4220.4102604858199"/>
    <n v="890.9452604858202"/>
    <n v="350.47"/>
    <n v="55.205733865994716"/>
    <n v="5552"/>
    <n v="2813.6068403238805"/>
    <n v="0"/>
    <n v="2738"/>
    <n v="0"/>
    <n v="0"/>
    <n v="0"/>
    <n v="0"/>
    <n v="0"/>
    <s v="Release"/>
  </r>
  <r>
    <n v="0"/>
    <n v="0"/>
    <n v="0"/>
    <x v="68"/>
    <x v="68"/>
    <n v="0"/>
    <s v="vlc"/>
    <s v="Indirect"/>
    <n v="1002"/>
    <x v="3"/>
    <s v="Old"/>
    <d v="2024-12-12T00:00:00"/>
    <n v="4549.8999999999996"/>
    <n v="189915.70296803699"/>
    <n v="3412.4249999999997"/>
    <n v="4322.4049999999997"/>
    <n v="0"/>
    <n v="5697.4710890411097"/>
    <n v="1375.06608904111"/>
    <n v="454.99"/>
    <n v="0"/>
    <n v="7280"/>
    <n v="0"/>
    <n v="0"/>
    <n v="0"/>
    <n v="0"/>
    <n v="0"/>
    <n v="7280"/>
    <n v="0"/>
    <n v="7280"/>
    <s v="Release"/>
  </r>
  <r>
    <n v="79587.255999999994"/>
    <n v="0"/>
    <n v="79587.255999999994"/>
    <x v="69"/>
    <x v="69"/>
    <n v="0"/>
    <s v="MPG"/>
    <s v="Direct"/>
    <n v="1002"/>
    <x v="3"/>
    <s v="Old"/>
    <d v="2025-07-31T00:00:00"/>
    <n v="1083.6999999999998"/>
    <n v="45105.724249091203"/>
    <n v="812.77499999999986"/>
    <n v="1029.5149999999999"/>
    <n v="0"/>
    <n v="1353.1717274727359"/>
    <n v="323.65672747273607"/>
    <n v="108.36999999999999"/>
    <n v="1436.7718040016257"/>
    <n v="297"/>
    <n v="297"/>
    <n v="0"/>
    <n v="0"/>
    <n v="0"/>
    <n v="0"/>
    <n v="0"/>
    <n v="0"/>
    <n v="0"/>
    <s v="Release"/>
  </r>
  <r>
    <n v="77879.293873505172"/>
    <n v="0"/>
    <n v="77879.293873505172"/>
    <x v="70"/>
    <x v="70"/>
    <n v="0"/>
    <s v="MPG"/>
    <s v="Direct"/>
    <n v="1002"/>
    <x v="3"/>
    <s v="Old"/>
    <d v="2025-07-31T00:00:00"/>
    <n v="572.69999999999993"/>
    <n v="26486.903993211097"/>
    <n v="429.52499999999998"/>
    <n v="544.06499999999994"/>
    <n v="0"/>
    <n v="794.60711979633288"/>
    <n v="250.54211979633294"/>
    <n v="57.269999999999996"/>
    <n v="916.35733948772122"/>
    <n v="0"/>
    <n v="0"/>
    <n v="0"/>
    <n v="0"/>
    <n v="0"/>
    <n v="0"/>
    <n v="0"/>
    <n v="0"/>
    <n v="0"/>
    <s v="Release"/>
  </r>
  <r>
    <n v="91198"/>
    <n v="0"/>
    <n v="91198"/>
    <x v="71"/>
    <x v="71"/>
    <n v="0"/>
    <s v="MPG"/>
    <s v="Direct"/>
    <n v="1002"/>
    <x v="3"/>
    <s v="Old"/>
    <d v="2025-07-31T00:00:00"/>
    <n v="1485.7"/>
    <n v="60951.616869290003"/>
    <n v="1114.2750000000001"/>
    <n v="1411.415"/>
    <n v="0"/>
    <n v="1828.5485060787"/>
    <n v="417.13350607870007"/>
    <n v="148.57000000000002"/>
    <n v="1082.6273598609303"/>
    <n v="1294"/>
    <n v="1294"/>
    <n v="0"/>
    <n v="0"/>
    <n v="0"/>
    <n v="0"/>
    <n v="0"/>
    <n v="0"/>
    <n v="0"/>
    <s v="Release"/>
  </r>
  <r>
    <n v="94961"/>
    <n v="0"/>
    <n v="94961"/>
    <x v="72"/>
    <x v="72"/>
    <n v="0"/>
    <s v="MPG"/>
    <s v="Direct"/>
    <n v="1002"/>
    <x v="3"/>
    <s v="Old"/>
    <d v="2025-07-31T00:00:00"/>
    <n v="1075.8999999999999"/>
    <n v="55828.612917765"/>
    <n v="806.92499999999995"/>
    <n v="1022.1049999999998"/>
    <n v="0"/>
    <n v="1674.85838753295"/>
    <n v="652.75338753295023"/>
    <n v="107.58999999999999"/>
    <n v="1721.7927641454244"/>
    <n v="0"/>
    <n v="0"/>
    <n v="0"/>
    <n v="0"/>
    <n v="0"/>
    <n v="0"/>
    <n v="0"/>
    <n v="0"/>
    <n v="0"/>
    <s v="Release"/>
  </r>
  <r>
    <n v="0"/>
    <n v="0"/>
    <n v="0"/>
    <x v="73"/>
    <x v="41"/>
    <n v="0"/>
    <s v="vlc"/>
    <s v="Indirect"/>
    <n v="1003"/>
    <x v="4"/>
    <s v="Old"/>
    <d v="2017-09-01T00:00:00"/>
    <n v="2079.6"/>
    <n v="81551.521035785001"/>
    <n v="1559.6999999999998"/>
    <n v="1975.62"/>
    <n v="0"/>
    <n v="2446.5456310735499"/>
    <n v="470.92563107354999"/>
    <n v="207.96"/>
    <n v="565.3602619026899"/>
    <n v="2762"/>
    <n v="0"/>
    <n v="0"/>
    <n v="0"/>
    <n v="0"/>
    <n v="0"/>
    <n v="2762"/>
    <n v="0"/>
    <n v="2762"/>
    <s v="Release"/>
  </r>
  <r>
    <n v="0"/>
    <n v="0"/>
    <n v="0"/>
    <x v="74"/>
    <x v="73"/>
    <n v="0"/>
    <s v="MPG"/>
    <s v="Direct"/>
    <n v="1003"/>
    <x v="4"/>
    <s v="Old"/>
    <d v="2017-09-01T00:00:00"/>
    <n v="7050.3000000000011"/>
    <n v="306084.86216051719"/>
    <n v="5287.7250000000004"/>
    <n v="6697.7850000000008"/>
    <n v="5506.6014500241399"/>
    <n v="9182.5458648155163"/>
    <n v="2484.7608648155156"/>
    <n v="705.0300000000002"/>
    <n v="0"/>
    <n v="16787"/>
    <n v="0"/>
    <n v="0"/>
    <n v="0"/>
    <n v="0"/>
    <n v="0"/>
    <n v="16787"/>
    <n v="0"/>
    <n v="16787"/>
    <s v="Release"/>
  </r>
  <r>
    <n v="0"/>
    <n v="0"/>
    <n v="0"/>
    <x v="75"/>
    <x v="74"/>
    <n v="0"/>
    <s v="vlc"/>
    <s v="Indirect"/>
    <n v="1003"/>
    <x v="4"/>
    <s v="Old"/>
    <d v="2017-09-01T00:00:00"/>
    <n v="2855"/>
    <n v="85334.724777412499"/>
    <n v="2141.25"/>
    <n v="2712.25"/>
    <n v="0"/>
    <n v="2560.0417433223747"/>
    <n v="-152.20825667762529"/>
    <n v="285.5"/>
    <n v="109.32811981926886"/>
    <n v="4459"/>
    <n v="0"/>
    <n v="0"/>
    <n v="0"/>
    <n v="0"/>
    <n v="0"/>
    <n v="4459"/>
    <n v="0"/>
    <n v="4459"/>
    <s v="Release"/>
  </r>
  <r>
    <n v="0"/>
    <n v="0"/>
    <n v="0"/>
    <x v="76"/>
    <x v="75"/>
    <n v="0"/>
    <s v="RMC"/>
    <s v="Direct"/>
    <n v="1003"/>
    <x v="4"/>
    <s v="Old"/>
    <d v="2017-09-01T00:00:00"/>
    <n v="947.55"/>
    <n v="30650.216030700005"/>
    <n v="710.66249999999991"/>
    <n v="900.1724999999999"/>
    <n v="14.234044800000001"/>
    <n v="919.50648092100016"/>
    <n v="19.333980921000261"/>
    <n v="94.754999999999995"/>
    <n v="0"/>
    <n v="1530"/>
    <n v="0"/>
    <n v="0"/>
    <n v="0"/>
    <n v="0"/>
    <n v="0"/>
    <n v="1530"/>
    <n v="0"/>
    <n v="1530"/>
    <s v="Release"/>
  </r>
  <r>
    <n v="0"/>
    <n v="0"/>
    <n v="0"/>
    <x v="77"/>
    <x v="76"/>
    <n v="0"/>
    <s v="vlc"/>
    <s v="Indirect"/>
    <n v="1003"/>
    <x v="4"/>
    <s v="Old"/>
    <d v="2018-08-03T00:00:00"/>
    <n v="37762.949999999997"/>
    <n v="1434032.3673934252"/>
    <n v="28322.212499999998"/>
    <n v="35874.802499999998"/>
    <n v="0"/>
    <n v="43020.971021802754"/>
    <n v="7146.168521802756"/>
    <n v="3776.2950000000001"/>
    <n v="0"/>
    <n v="60421"/>
    <n v="0"/>
    <n v="0"/>
    <n v="0"/>
    <n v="0"/>
    <n v="0"/>
    <n v="60421"/>
    <n v="0"/>
    <n v="60421"/>
    <s v="Release"/>
  </r>
  <r>
    <n v="39837.522623289609"/>
    <n v="4335"/>
    <n v="44172.522623289609"/>
    <x v="78"/>
    <x v="77"/>
    <n v="0"/>
    <s v="MPG"/>
    <s v="Direct"/>
    <n v="1003"/>
    <x v="4"/>
    <s v="Old"/>
    <d v="2018-08-03T00:00:00"/>
    <n v="1364.6"/>
    <n v="46010.300411366006"/>
    <n v="1023.4499999999999"/>
    <n v="1296.3699999999999"/>
    <n v="0"/>
    <n v="1380.3090123409802"/>
    <n v="83.939012340980298"/>
    <n v="136.46"/>
    <n v="966.05531499255483"/>
    <n v="1217"/>
    <n v="1217"/>
    <n v="0"/>
    <n v="0"/>
    <n v="0"/>
    <n v="0"/>
    <n v="0"/>
    <n v="0"/>
    <n v="0"/>
    <s v="Release"/>
  </r>
  <r>
    <n v="0"/>
    <n v="0"/>
    <n v="0"/>
    <x v="79"/>
    <x v="78"/>
    <n v="0"/>
    <s v="MPG"/>
    <s v="Direct"/>
    <n v="1003"/>
    <x v="4"/>
    <s v="Old"/>
    <d v="2018-08-31T00:00:00"/>
    <n v="4931.3"/>
    <n v="192745.95213929002"/>
    <n v="3698.4750000000004"/>
    <n v="4684.7349999999997"/>
    <n v="1106.4273507960002"/>
    <n v="5782.3785641787008"/>
    <n v="1097.6435641787011"/>
    <n v="493.13000000000005"/>
    <n v="0"/>
    <n v="8997"/>
    <n v="0"/>
    <n v="0"/>
    <n v="0"/>
    <n v="0"/>
    <n v="0"/>
    <n v="8997"/>
    <n v="0"/>
    <n v="8997"/>
    <s v="Release"/>
  </r>
  <r>
    <n v="0"/>
    <n v="0"/>
    <n v="0"/>
    <x v="80"/>
    <x v="79"/>
    <n v="0"/>
    <s v="vlc"/>
    <s v="Indirect"/>
    <n v="1003"/>
    <x v="4"/>
    <s v="Old"/>
    <d v="2022-04-01T00:00:00"/>
    <n v="4605.2"/>
    <n v="153783.46083403876"/>
    <n v="3453.8999999999996"/>
    <n v="4374.9399999999996"/>
    <n v="0"/>
    <n v="4613.5038250211628"/>
    <n v="238.56382502116321"/>
    <n v="460.52"/>
    <n v="409.53400999051973"/>
    <n v="6959"/>
    <n v="0"/>
    <n v="0"/>
    <n v="0"/>
    <n v="0"/>
    <n v="0"/>
    <n v="6959"/>
    <n v="0"/>
    <n v="6959"/>
    <s v="Release"/>
  </r>
  <r>
    <n v="0"/>
    <n v="9877.5724169900859"/>
    <n v="9877.5724169900859"/>
    <x v="81"/>
    <x v="80"/>
    <n v="0"/>
    <s v="MPG"/>
    <s v="Direct"/>
    <n v="1003"/>
    <x v="4"/>
    <s v="Old"/>
    <d v="2023-01-01T00:00:00"/>
    <n v="2041"/>
    <n v="102984.93240520899"/>
    <n v="1530.75"/>
    <n v="1938.9499999999998"/>
    <n v="2877.5877786866004"/>
    <n v="3089.5479721562697"/>
    <n v="1150.5979721562699"/>
    <n v="204.10000000000002"/>
    <n v="750.65722126976334"/>
    <n v="5393"/>
    <n v="0"/>
    <n v="2059.6986481041799"/>
    <n v="0"/>
    <n v="0"/>
    <n v="0"/>
    <n v="3333"/>
    <n v="0"/>
    <n v="3333"/>
    <s v="Release"/>
  </r>
  <r>
    <n v="44253.95065287716"/>
    <n v="6400"/>
    <n v="50653.95065287716"/>
    <x v="82"/>
    <x v="81"/>
    <n v="0"/>
    <s v="MPG"/>
    <s v="Direct"/>
    <n v="1003"/>
    <x v="4"/>
    <s v="Old"/>
    <d v="2023-02-24T00:00:00"/>
    <n v="2268.1"/>
    <n v="81887.520937230001"/>
    <n v="1701.0749999999998"/>
    <n v="2154.6949999999997"/>
    <n v="1335.277961298"/>
    <n v="2456.6256281168999"/>
    <n v="301.93062811690015"/>
    <n v="226.81"/>
    <n v="634.54340562184711"/>
    <n v="4330"/>
    <n v="1861"/>
    <n v="0"/>
    <n v="0"/>
    <n v="0"/>
    <n v="0"/>
    <n v="2469"/>
    <n v="0"/>
    <n v="2469"/>
    <s v="Release"/>
  </r>
  <r>
    <n v="19851.727246080438"/>
    <n v="19200"/>
    <n v="39051.727246080438"/>
    <x v="83"/>
    <x v="82"/>
    <n v="0"/>
    <s v="MPG"/>
    <s v="Direct"/>
    <n v="1003"/>
    <x v="4"/>
    <s v="Old"/>
    <d v="2023-02-25T00:00:00"/>
    <n v="4581.6000000000004"/>
    <n v="180675.8630491184"/>
    <n v="3436.2000000000003"/>
    <n v="4352.5200000000004"/>
    <n v="1246.1545634940003"/>
    <n v="5420.2758914735514"/>
    <n v="1067.7558914735509"/>
    <n v="458.16000000000008"/>
    <n v="0"/>
    <n v="8577"/>
    <n v="3613.517260982368"/>
    <n v="0"/>
    <n v="0"/>
    <n v="0"/>
    <n v="0"/>
    <n v="4963"/>
    <n v="0"/>
    <n v="4963"/>
    <s v="Release"/>
  </r>
  <r>
    <n v="0"/>
    <n v="0"/>
    <n v="0"/>
    <x v="84"/>
    <x v="83"/>
    <n v="0"/>
    <s v="MPG"/>
    <s v="Direct"/>
    <n v="1003"/>
    <x v="4"/>
    <s v="Old"/>
    <d v="2023-03-10T00:00:00"/>
    <n v="4149.8500000000004"/>
    <n v="210186.72519534302"/>
    <n v="3112.3875000000003"/>
    <n v="3942.3575000000001"/>
    <n v="4153.6647777373009"/>
    <n v="6305.6017558602907"/>
    <n v="2363.2442558602907"/>
    <n v="414.98500000000007"/>
    <n v="0"/>
    <n v="10793"/>
    <n v="0"/>
    <n v="0"/>
    <n v="0"/>
    <n v="0"/>
    <n v="0"/>
    <n v="10793"/>
    <n v="0"/>
    <n v="10793"/>
    <s v="Release"/>
  </r>
  <r>
    <n v="0"/>
    <n v="0"/>
    <n v="0"/>
    <x v="85"/>
    <x v="84"/>
    <n v="0"/>
    <s v="MPG"/>
    <s v="Direct"/>
    <n v="1003"/>
    <x v="4"/>
    <s v="Old"/>
    <d v="2023-03-10T00:00:00"/>
    <n v="3407.05"/>
    <n v="133636.75153523829"/>
    <n v="2555.2875000000004"/>
    <n v="3236.6975000000002"/>
    <n v="4224.0741958636945"/>
    <n v="4009.1025460571486"/>
    <n v="772.40504605714841"/>
    <n v="340.70500000000004"/>
    <n v="0"/>
    <n v="9675"/>
    <n v="0"/>
    <n v="0"/>
    <n v="0"/>
    <n v="0"/>
    <n v="0"/>
    <n v="9675"/>
    <n v="0"/>
    <n v="9675"/>
    <s v="Release"/>
  </r>
  <r>
    <n v="0"/>
    <n v="0"/>
    <n v="0"/>
    <x v="86"/>
    <x v="85"/>
    <n v="0"/>
    <s v="MPG"/>
    <s v="Direct"/>
    <n v="1003"/>
    <x v="4"/>
    <s v="Old"/>
    <d v="2023-03-10T00:00:00"/>
    <n v="2422.3000000000002"/>
    <n v="107970.96161298601"/>
    <n v="1816.7250000000001"/>
    <n v="2301.1849999999999"/>
    <n v="5863.9311079681411"/>
    <n v="3239.1288483895801"/>
    <n v="937.94384838958013"/>
    <n v="242.23000000000002"/>
    <n v="338.18440413288761"/>
    <n v="9401"/>
    <n v="0"/>
    <n v="0"/>
    <n v="0"/>
    <n v="0"/>
    <n v="0"/>
    <n v="9401"/>
    <n v="0"/>
    <n v="9401"/>
    <s v="Release"/>
  </r>
  <r>
    <n v="0"/>
    <n v="0"/>
    <n v="0"/>
    <x v="87"/>
    <x v="86"/>
    <n v="0"/>
    <s v="MPG"/>
    <s v="Direct"/>
    <n v="1003"/>
    <x v="4"/>
    <s v="Old"/>
    <d v="2023-03-10T00:00:00"/>
    <n v="3130.5"/>
    <n v="124744.47400903999"/>
    <n v="2347.875"/>
    <n v="2973.9749999999999"/>
    <n v="4507.6998666809995"/>
    <n v="3742.3342202711992"/>
    <n v="768.35922027119932"/>
    <n v="313.05"/>
    <n v="0"/>
    <n v="9516"/>
    <n v="0"/>
    <n v="0"/>
    <n v="0"/>
    <n v="0"/>
    <n v="0"/>
    <n v="9516"/>
    <n v="0"/>
    <n v="9516"/>
    <s v="Release"/>
  </r>
  <r>
    <n v="0"/>
    <n v="0"/>
    <n v="0"/>
    <x v="88"/>
    <x v="87"/>
    <n v="0"/>
    <s v="MPG"/>
    <s v="Direct"/>
    <n v="1003"/>
    <x v="4"/>
    <s v="Old"/>
    <d v="2023-03-10T00:00:00"/>
    <n v="6464.05"/>
    <n v="253575.06297777704"/>
    <n v="4848.0375000000004"/>
    <n v="6140.8474999999999"/>
    <n v="3220.6154031249607"/>
    <n v="7607.2518893333108"/>
    <n v="1466.404389333311"/>
    <n v="646.40500000000009"/>
    <n v="0"/>
    <n v="13563"/>
    <n v="0"/>
    <n v="0"/>
    <n v="0"/>
    <n v="0"/>
    <n v="0"/>
    <n v="13563"/>
    <n v="0"/>
    <n v="13563"/>
    <s v="Release"/>
  </r>
  <r>
    <n v="33325.281400000007"/>
    <n v="3656.7740054142378"/>
    <n v="36982.055405414241"/>
    <x v="89"/>
    <x v="88"/>
    <n v="0"/>
    <s v="MPG"/>
    <s v="Direct"/>
    <n v="1003"/>
    <x v="4"/>
    <s v="Old"/>
    <d v="2023-03-10T00:00:00"/>
    <n v="977.14999999999986"/>
    <n v="40696.686473962007"/>
    <n v="732.86249999999995"/>
    <n v="928.29249999999979"/>
    <n v="2044.9576757323002"/>
    <n v="1220.9005942188601"/>
    <n v="292.60809421886029"/>
    <n v="97.714999999999989"/>
    <n v="1520.9041580065657"/>
    <n v="2087"/>
    <n v="1861"/>
    <n v="0"/>
    <n v="0"/>
    <n v="0"/>
    <n v="0"/>
    <n v="226"/>
    <n v="0"/>
    <n v="226"/>
    <s v="Release"/>
  </r>
  <r>
    <n v="0"/>
    <n v="0"/>
    <n v="0"/>
    <x v="90"/>
    <x v="89"/>
    <n v="0"/>
    <s v="MPG"/>
    <s v="Direct"/>
    <n v="1003"/>
    <x v="4"/>
    <s v="Old"/>
    <d v="2023-03-30T00:00:00"/>
    <n v="2904.8"/>
    <n v="108895.93232769001"/>
    <n v="2178.6000000000004"/>
    <n v="2759.56"/>
    <n v="1306.1892737574001"/>
    <n v="3266.8779698307003"/>
    <n v="507.31796983070035"/>
    <n v="290.48"/>
    <n v="91.155133302489517"/>
    <n v="5863"/>
    <n v="0"/>
    <n v="0"/>
    <n v="0"/>
    <n v="0"/>
    <n v="0"/>
    <n v="5863"/>
    <n v="0"/>
    <n v="5863"/>
    <s v="Release"/>
  </r>
  <r>
    <n v="0"/>
    <n v="0"/>
    <n v="0"/>
    <x v="91"/>
    <x v="90"/>
    <n v="0"/>
    <s v="MPG"/>
    <s v="Direct"/>
    <n v="1003"/>
    <x v="4"/>
    <s v="Old"/>
    <d v="2023-03-30T00:00:00"/>
    <n v="4982.9500000000007"/>
    <n v="187126.52849431001"/>
    <n v="3737.2125000000005"/>
    <n v="4733.8025000000007"/>
    <n v="0"/>
    <n v="5613.7958548293"/>
    <n v="879.99335482929928"/>
    <n v="498.29500000000007"/>
    <n v="0"/>
    <n v="7973"/>
    <n v="0"/>
    <n v="0"/>
    <n v="0"/>
    <n v="3000"/>
    <n v="0"/>
    <n v="4973"/>
    <n v="0"/>
    <n v="4973"/>
    <s v="Release"/>
  </r>
  <r>
    <n v="0"/>
    <n v="0"/>
    <n v="0"/>
    <x v="92"/>
    <x v="91"/>
    <n v="0"/>
    <s v="MPG"/>
    <s v="Direct"/>
    <n v="1003"/>
    <x v="4"/>
    <s v="Old"/>
    <d v="2023-03-30T00:00:00"/>
    <n v="2897"/>
    <n v="108729.54173803501"/>
    <n v="2172.75"/>
    <n v="2752.15"/>
    <n v="3572.2725666495999"/>
    <n v="3261.8862521410501"/>
    <n v="509.73625214105004"/>
    <n v="289.7"/>
    <n v="62.298054248843393"/>
    <n v="8145"/>
    <n v="0"/>
    <n v="0"/>
    <n v="0"/>
    <n v="0"/>
    <n v="0"/>
    <n v="8145"/>
    <n v="0"/>
    <n v="8145"/>
    <s v="Release"/>
  </r>
  <r>
    <n v="0"/>
    <n v="0"/>
    <n v="0"/>
    <x v="93"/>
    <x v="92"/>
    <n v="0"/>
    <s v="MPG"/>
    <s v="Direct"/>
    <n v="1003"/>
    <x v="4"/>
    <s v="Old"/>
    <d v="2023-03-30T00:00:00"/>
    <n v="3740.2999999999997"/>
    <n v="148808.90564578501"/>
    <n v="2805.2249999999999"/>
    <n v="3553.2849999999994"/>
    <n v="3244.1176830005006"/>
    <n v="4464.2671693735501"/>
    <n v="910.98216937355073"/>
    <n v="374.03"/>
    <n v="0"/>
    <n v="9229"/>
    <n v="0"/>
    <n v="0"/>
    <n v="0"/>
    <n v="0"/>
    <n v="0"/>
    <n v="9229"/>
    <n v="0"/>
    <n v="9229"/>
    <s v="Release"/>
  </r>
  <r>
    <n v="0"/>
    <n v="244.1599465554682"/>
    <n v="244.1599465554682"/>
    <x v="94"/>
    <x v="93"/>
    <n v="0"/>
    <s v="MPG"/>
    <s v="Direct"/>
    <n v="1003"/>
    <x v="4"/>
    <s v="Old"/>
    <d v="2023-03-31T00:00:00"/>
    <n v="3520.0499999999997"/>
    <n v="127216.9911455"/>
    <n v="2640.0374999999999"/>
    <n v="3344.0474999999997"/>
    <n v="0"/>
    <n v="3816.5097343649995"/>
    <n v="472.46223436499986"/>
    <n v="352.005"/>
    <n v="0"/>
    <n v="5632"/>
    <n v="0"/>
    <n v="244.1599465554682"/>
    <n v="0"/>
    <n v="0"/>
    <n v="0"/>
    <n v="5388"/>
    <n v="0"/>
    <n v="5388"/>
    <s v="Release"/>
  </r>
  <r>
    <n v="0"/>
    <n v="0"/>
    <n v="0"/>
    <x v="95"/>
    <x v="94"/>
    <n v="0"/>
    <s v="MPG"/>
    <s v="Direct"/>
    <n v="1003"/>
    <x v="4"/>
    <s v="Old"/>
    <d v="2023-04-01T00:00:00"/>
    <n v="6782.2"/>
    <n v="254064.81357927501"/>
    <n v="5086.6499999999996"/>
    <n v="6443.0899999999992"/>
    <n v="3683.3401639740005"/>
    <n v="7621.9444073782497"/>
    <n v="1178.8544073782505"/>
    <n v="678.22"/>
    <n v="0"/>
    <n v="14535"/>
    <n v="0"/>
    <n v="0"/>
    <n v="0"/>
    <n v="0"/>
    <n v="0"/>
    <n v="14535"/>
    <n v="0"/>
    <n v="14535"/>
    <s v="Release"/>
  </r>
  <r>
    <n v="0"/>
    <n v="0"/>
    <n v="0"/>
    <x v="96"/>
    <x v="95"/>
    <n v="0"/>
    <s v="MPG"/>
    <s v="Direct"/>
    <n v="1003"/>
    <x v="4"/>
    <s v="Old"/>
    <d v="2023-06-05T00:00:00"/>
    <n v="5076.05"/>
    <n v="205979.97739184802"/>
    <n v="3807.0375000000004"/>
    <n v="4822.2475000000004"/>
    <n v="78.416829216000011"/>
    <n v="6179.3993217554407"/>
    <n v="1357.1518217554403"/>
    <n v="507.60500000000002"/>
    <n v="0"/>
    <n v="8200"/>
    <n v="0"/>
    <n v="0"/>
    <n v="0"/>
    <n v="0"/>
    <n v="0"/>
    <n v="8200"/>
    <n v="0"/>
    <n v="8200"/>
    <s v="Release"/>
  </r>
  <r>
    <n v="27421.646294913386"/>
    <n v="0"/>
    <n v="27421.646294913386"/>
    <x v="97"/>
    <x v="96"/>
    <n v="0"/>
    <s v="MPG"/>
    <s v="Direct"/>
    <n v="1003"/>
    <x v="4"/>
    <s v="Old"/>
    <d v="2023-06-07T00:00:00"/>
    <n v="2389.75"/>
    <n v="97776.829599599005"/>
    <n v="1792.3125"/>
    <n v="2270.2624999999998"/>
    <n v="388.02501596701006"/>
    <n v="2933.3048879879702"/>
    <n v="663.04238798797041"/>
    <n v="238.97500000000002"/>
    <n v="339.61119655342475"/>
    <n v="3872"/>
    <n v="1955.5365919919802"/>
    <n v="0"/>
    <n v="0"/>
    <n v="0"/>
    <n v="0"/>
    <n v="1916"/>
    <n v="0"/>
    <n v="1916"/>
    <s v="Release"/>
  </r>
  <r>
    <n v="0"/>
    <n v="0"/>
    <n v="0"/>
    <x v="98"/>
    <x v="97"/>
    <n v="0"/>
    <s v="MPG"/>
    <s v="Direct"/>
    <n v="1003"/>
    <x v="4"/>
    <s v="Old"/>
    <d v="2023-06-14T00:00:00"/>
    <n v="5816.3499999999995"/>
    <n v="211254.17456353502"/>
    <n v="4362.2624999999998"/>
    <n v="5525.5324999999993"/>
    <n v="3130.5690749484002"/>
    <n v="6337.6252369060503"/>
    <n v="812.09273690605096"/>
    <n v="581.63499999999999"/>
    <n v="0"/>
    <n v="12437"/>
    <n v="0"/>
    <n v="0"/>
    <n v="0"/>
    <n v="0"/>
    <n v="0"/>
    <n v="12437"/>
    <n v="0"/>
    <n v="12437"/>
    <s v="Release"/>
  </r>
  <r>
    <n v="24073.084553281296"/>
    <n v="12800"/>
    <n v="36873.084553281296"/>
    <x v="99"/>
    <x v="98"/>
    <n v="0"/>
    <s v="MPG"/>
    <s v="Direct"/>
    <n v="1003"/>
    <x v="4"/>
    <s v="Old"/>
    <d v="2023-07-14T00:00:00"/>
    <n v="1922.45"/>
    <n v="82105.266005774989"/>
    <n v="1441.8375000000001"/>
    <n v="1826.3274999999999"/>
    <n v="1.1033596672000001"/>
    <n v="2463.1579801732496"/>
    <n v="636.83048017324973"/>
    <n v="192.245"/>
    <n v="740.07244004824986"/>
    <n v="2337"/>
    <n v="1861"/>
    <n v="0"/>
    <n v="0"/>
    <n v="0"/>
    <n v="0"/>
    <n v="476"/>
    <n v="0"/>
    <n v="476"/>
    <s v="Release"/>
  </r>
  <r>
    <n v="0"/>
    <n v="0"/>
    <n v="0"/>
    <x v="100"/>
    <x v="99"/>
    <n v="0"/>
    <s v="vlc"/>
    <s v="Indirect"/>
    <n v="1003"/>
    <x v="4"/>
    <s v="Old"/>
    <d v="2023-10-13T00:00:00"/>
    <n v="2536.4500000000003"/>
    <n v="101691.76240947499"/>
    <n v="1902.3375000000001"/>
    <n v="2409.6275000000001"/>
    <n v="0"/>
    <n v="3050.7528722842499"/>
    <n v="641.12537228424981"/>
    <n v="253.64500000000004"/>
    <n v="495.78792476361014"/>
    <n v="3563"/>
    <n v="0"/>
    <n v="0"/>
    <n v="0"/>
    <n v="0"/>
    <n v="0"/>
    <n v="3563"/>
    <n v="0"/>
    <n v="3563"/>
    <s v="Release"/>
  </r>
  <r>
    <n v="0"/>
    <n v="0"/>
    <n v="0"/>
    <x v="101"/>
    <x v="100"/>
    <n v="0"/>
    <s v="vlc"/>
    <s v="Indirect"/>
    <n v="1003"/>
    <x v="4"/>
    <s v="Old"/>
    <d v="2023-10-13T00:00:00"/>
    <n v="4665.45"/>
    <n v="174375.74207923003"/>
    <n v="3499.0874999999996"/>
    <n v="4432.1774999999998"/>
    <n v="0"/>
    <n v="5231.2722623769005"/>
    <n v="799.09476237690069"/>
    <n v="466.54500000000002"/>
    <n v="0"/>
    <n v="7465"/>
    <n v="0"/>
    <n v="0"/>
    <n v="0"/>
    <n v="0"/>
    <n v="0"/>
    <n v="7465"/>
    <n v="0"/>
    <n v="7465"/>
    <s v="Release"/>
  </r>
  <r>
    <n v="0"/>
    <n v="0"/>
    <n v="0"/>
    <x v="102"/>
    <x v="101"/>
    <n v="0"/>
    <s v="vlc"/>
    <s v="Indirect"/>
    <n v="1003"/>
    <x v="4"/>
    <s v="Old"/>
    <d v="2023-10-13T00:00:00"/>
    <n v="3000"/>
    <n v="111981.66902"/>
    <n v="2250"/>
    <n v="2850"/>
    <n v="0"/>
    <n v="3359.4500705999999"/>
    <n v="509.45007059999989"/>
    <n v="300"/>
    <n v="0"/>
    <n v="4800"/>
    <n v="0"/>
    <n v="0"/>
    <n v="0"/>
    <n v="0"/>
    <n v="0"/>
    <n v="4800"/>
    <n v="0"/>
    <n v="4800"/>
    <s v="Release"/>
  </r>
  <r>
    <n v="0"/>
    <n v="0"/>
    <n v="0"/>
    <x v="103"/>
    <x v="102"/>
    <n v="0"/>
    <s v="vlc"/>
    <s v="Indirect"/>
    <n v="1003"/>
    <x v="4"/>
    <s v="Old"/>
    <d v="2023-10-13T00:00:00"/>
    <n v="37267.199999999997"/>
    <n v="1415738.6164927999"/>
    <n v="27950.399999999998"/>
    <n v="35403.839999999997"/>
    <n v="0"/>
    <n v="42472.158494783995"/>
    <n v="7068.3184947839982"/>
    <n v="3726.72"/>
    <n v="0"/>
    <n v="59628"/>
    <n v="0"/>
    <n v="0"/>
    <n v="0"/>
    <n v="0"/>
    <n v="0"/>
    <n v="59628"/>
    <n v="0"/>
    <n v="59628"/>
    <s v="Release"/>
  </r>
  <r>
    <n v="0"/>
    <n v="0"/>
    <n v="0"/>
    <x v="104"/>
    <x v="103"/>
    <n v="0"/>
    <s v="vlc"/>
    <s v="Indirect"/>
    <n v="1003"/>
    <x v="4"/>
    <s v="Old"/>
    <d v="2023-10-13T00:00:00"/>
    <n v="37425"/>
    <n v="1421458.2564928001"/>
    <n v="28068.75"/>
    <n v="35553.75"/>
    <n v="0"/>
    <n v="42643.747694784004"/>
    <n v="7089.9976947840041"/>
    <n v="3742.5"/>
    <n v="0"/>
    <n v="59880"/>
    <n v="0"/>
    <n v="0"/>
    <n v="0"/>
    <n v="0"/>
    <n v="0"/>
    <n v="59880"/>
    <n v="0"/>
    <n v="59880"/>
    <s v="Release"/>
  </r>
  <r>
    <n v="0"/>
    <n v="0"/>
    <n v="0"/>
    <x v="105"/>
    <x v="104"/>
    <n v="0"/>
    <s v="vlc"/>
    <s v="Indirect"/>
    <n v="1003"/>
    <x v="4"/>
    <s v="Old"/>
    <d v="2023-10-13T00:00:00"/>
    <n v="3000"/>
    <n v="111981.66902"/>
    <n v="2250"/>
    <n v="2850"/>
    <n v="0"/>
    <n v="3359.4500705999999"/>
    <n v="509.45007059999989"/>
    <n v="300"/>
    <n v="0"/>
    <n v="4800"/>
    <n v="0"/>
    <n v="0"/>
    <n v="0"/>
    <n v="0"/>
    <n v="0"/>
    <n v="4800"/>
    <n v="0"/>
    <n v="4800"/>
    <s v="Release"/>
  </r>
  <r>
    <n v="0"/>
    <n v="0"/>
    <n v="0"/>
    <x v="106"/>
    <x v="105"/>
    <n v="0"/>
    <s v="vlc"/>
    <s v="Indirect"/>
    <n v="1003"/>
    <x v="4"/>
    <s v="Old"/>
    <d v="2023-10-13T00:00:00"/>
    <n v="3000"/>
    <n v="111981.66902"/>
    <n v="2250"/>
    <n v="2850"/>
    <n v="0"/>
    <n v="3359.4500705999999"/>
    <n v="509.45007059999989"/>
    <n v="300"/>
    <n v="0"/>
    <n v="4800"/>
    <n v="0"/>
    <n v="0"/>
    <n v="0"/>
    <n v="0"/>
    <n v="0"/>
    <n v="4800"/>
    <n v="0"/>
    <n v="4800"/>
    <s v="Release"/>
  </r>
  <r>
    <n v="0"/>
    <n v="0"/>
    <n v="0"/>
    <x v="107"/>
    <x v="106"/>
    <n v="0"/>
    <s v="vlc"/>
    <s v="Indirect"/>
    <n v="1003"/>
    <x v="4"/>
    <s v="Old"/>
    <d v="2023-10-13T00:00:00"/>
    <n v="3000"/>
    <n v="111981.66902"/>
    <n v="2250"/>
    <n v="2850"/>
    <n v="0"/>
    <n v="3359.4500705999999"/>
    <n v="509.45007059999989"/>
    <n v="300"/>
    <n v="0"/>
    <n v="4800"/>
    <n v="0"/>
    <n v="0"/>
    <n v="0"/>
    <n v="0"/>
    <n v="0"/>
    <n v="4800"/>
    <n v="0"/>
    <n v="4800"/>
    <s v="Release"/>
  </r>
  <r>
    <n v="0"/>
    <n v="0"/>
    <n v="0"/>
    <x v="108"/>
    <x v="107"/>
    <n v="0"/>
    <s v="vlc"/>
    <s v="Indirect"/>
    <n v="1003"/>
    <x v="4"/>
    <s v="Old"/>
    <d v="2023-10-13T00:00:00"/>
    <n v="3000"/>
    <n v="111981.66902"/>
    <n v="2250"/>
    <n v="2850"/>
    <n v="0"/>
    <n v="3359.4500705999999"/>
    <n v="509.45007059999989"/>
    <n v="300"/>
    <n v="0"/>
    <n v="4800"/>
    <n v="0"/>
    <n v="0"/>
    <n v="0"/>
    <n v="0"/>
    <n v="0"/>
    <n v="4800"/>
    <n v="0"/>
    <n v="4800"/>
    <s v="Release"/>
  </r>
  <r>
    <n v="453.25122876209207"/>
    <n v="19200"/>
    <n v="19653.251228762092"/>
    <x v="109"/>
    <x v="108"/>
    <n v="0"/>
    <s v="MPG"/>
    <s v="Direct"/>
    <n v="1003"/>
    <x v="4"/>
    <s v="Old"/>
    <d v="2023-11-06T00:00:00"/>
    <n v="1161.7"/>
    <n v="34736.582956022248"/>
    <n v="871.27500000000009"/>
    <n v="1103.615"/>
    <n v="0"/>
    <n v="1042.0974886806673"/>
    <n v="-61.517511319332698"/>
    <n v="116.17000000000002"/>
    <n v="982.13321659471887"/>
    <n v="877"/>
    <n v="453.25122876209207"/>
    <n v="0"/>
    <n v="0"/>
    <n v="0"/>
    <n v="0"/>
    <n v="424"/>
    <n v="0"/>
    <n v="424"/>
    <s v="Release"/>
  </r>
  <r>
    <n v="16907.885652264449"/>
    <n v="19200"/>
    <n v="36107.885652264449"/>
    <x v="110"/>
    <x v="109"/>
    <n v="0"/>
    <s v="MPG"/>
    <s v="Direct"/>
    <n v="1003"/>
    <x v="4"/>
    <s v="Old"/>
    <d v="2023-11-06T00:00:00"/>
    <n v="1780.2"/>
    <n v="62394.835697924005"/>
    <n v="1335.15"/>
    <n v="1691.19"/>
    <n v="350.48323749539998"/>
    <n v="1871.84507093772"/>
    <n v="180.65507093771998"/>
    <n v="178.02"/>
    <n v="713.00598383571617"/>
    <n v="2486"/>
    <n v="1861"/>
    <n v="0"/>
    <n v="0"/>
    <n v="0"/>
    <n v="0"/>
    <n v="625"/>
    <n v="0"/>
    <n v="625"/>
    <s v="Release"/>
  </r>
  <r>
    <n v="0"/>
    <n v="0"/>
    <n v="0"/>
    <x v="111"/>
    <x v="110"/>
    <n v="0"/>
    <s v="MPG"/>
    <s v="Direct"/>
    <n v="1003"/>
    <x v="4"/>
    <s v="Old"/>
    <d v="2023-11-06T00:00:00"/>
    <n v="9118.5999999999985"/>
    <n v="327051.90812030004"/>
    <n v="6838.9499999999989"/>
    <n v="8662.6699999999983"/>
    <n v="8675.2562978112001"/>
    <n v="9811.5572436090006"/>
    <n v="1148.8872436090023"/>
    <n v="911.8599999999999"/>
    <n v="0"/>
    <n v="23265"/>
    <n v="0"/>
    <n v="0"/>
    <n v="0"/>
    <n v="0"/>
    <n v="0"/>
    <n v="23265"/>
    <n v="0"/>
    <n v="23265"/>
    <s v="Release"/>
  </r>
  <r>
    <n v="33648.591486946869"/>
    <n v="12800"/>
    <n v="46448.591486946869"/>
    <x v="112"/>
    <x v="111"/>
    <n v="0"/>
    <s v="MPG"/>
    <s v="Direct"/>
    <n v="1003"/>
    <x v="4"/>
    <s v="Old"/>
    <d v="2023-11-06T00:00:00"/>
    <n v="552.85"/>
    <n v="21831.384992162002"/>
    <n v="414.63750000000005"/>
    <n v="525.20749999999998"/>
    <n v="70.846419600000004"/>
    <n v="654.94154976486004"/>
    <n v="129.73404976486006"/>
    <n v="55.285000000000004"/>
    <n v="955.4905265674397"/>
    <n v="0"/>
    <n v="0"/>
    <n v="0"/>
    <n v="0"/>
    <n v="0"/>
    <n v="0"/>
    <n v="0"/>
    <n v="0"/>
    <n v="0"/>
    <s v="Release"/>
  </r>
  <r>
    <n v="40460.601813169415"/>
    <n v="1108.3318379994362"/>
    <n v="41568.933651168853"/>
    <x v="113"/>
    <x v="112"/>
    <n v="0"/>
    <s v="MPG"/>
    <s v="Direct"/>
    <n v="1003"/>
    <x v="4"/>
    <s v="Old"/>
    <d v="2023-11-06T00:00:00"/>
    <n v="1188.95"/>
    <n v="49544.5454227726"/>
    <n v="891.71250000000009"/>
    <n v="1129.5025000000001"/>
    <n v="631.83418923539"/>
    <n v="1486.3363626831779"/>
    <n v="356.83386268317781"/>
    <n v="118.89500000000001"/>
    <n v="1345.456994356276"/>
    <n v="1189"/>
    <n v="1189"/>
    <n v="0"/>
    <n v="0"/>
    <n v="0"/>
    <n v="0"/>
    <n v="0"/>
    <n v="0"/>
    <n v="0"/>
    <s v="Release"/>
  </r>
  <r>
    <n v="47176.147644814017"/>
    <n v="3890.3617999999997"/>
    <n v="51066.509444814015"/>
    <x v="114"/>
    <x v="113"/>
    <n v="0"/>
    <s v="MPG"/>
    <s v="Direct"/>
    <n v="1003"/>
    <x v="4"/>
    <s v="Old"/>
    <d v="2023-10-20T00:00:00"/>
    <n v="487.04999999999995"/>
    <n v="17559.496890347251"/>
    <n v="365.28749999999997"/>
    <n v="462.69749999999993"/>
    <n v="54.93857088"/>
    <n v="526.78490671041754"/>
    <n v="64.087406710417611"/>
    <n v="48.704999999999998"/>
    <n v="834.6375218568935"/>
    <n v="0"/>
    <n v="0"/>
    <n v="0"/>
    <n v="0"/>
    <n v="0"/>
    <n v="0"/>
    <n v="0"/>
    <n v="0"/>
    <n v="0"/>
    <s v="Release"/>
  </r>
  <r>
    <n v="31266.887593961728"/>
    <n v="12800"/>
    <n v="44066.887593961728"/>
    <x v="115"/>
    <x v="114"/>
    <n v="0"/>
    <s v="MPG"/>
    <s v="Direct"/>
    <n v="1003"/>
    <x v="4"/>
    <s v="Old"/>
    <d v="2024-02-01T00:00:00"/>
    <n v="2152.8999999999996"/>
    <n v="89657.427801254991"/>
    <n v="1614.6749999999997"/>
    <n v="2045.2549999999997"/>
    <n v="257.48581980762003"/>
    <n v="2689.7228340376496"/>
    <n v="644.46783403764994"/>
    <n v="215.28999999999996"/>
    <n v="539.13675952634776"/>
    <n v="3163"/>
    <n v="1861"/>
    <n v="0"/>
    <n v="0"/>
    <n v="0"/>
    <n v="0"/>
    <n v="1302"/>
    <n v="0"/>
    <n v="1302"/>
    <s v="Release"/>
  </r>
  <r>
    <n v="38366.288626500318"/>
    <n v="6400"/>
    <n v="44766.288626500318"/>
    <x v="116"/>
    <x v="115"/>
    <n v="0"/>
    <s v="MPG"/>
    <s v="Direct"/>
    <n v="1003"/>
    <x v="4"/>
    <s v="Old"/>
    <d v="2024-02-01T00:00:00"/>
    <n v="3185.85"/>
    <n v="131405.020748265"/>
    <n v="2389.3874999999998"/>
    <n v="3026.5574999999999"/>
    <n v="1116.0753384000002"/>
    <n v="3942.1506224479499"/>
    <n v="915.59312244795001"/>
    <n v="318.58500000000004"/>
    <n v="0"/>
    <n v="6213"/>
    <n v="2628.1004149652999"/>
    <n v="0"/>
    <n v="0"/>
    <n v="0"/>
    <n v="0"/>
    <n v="3585"/>
    <n v="0"/>
    <n v="3585"/>
    <s v="Release"/>
  </r>
  <r>
    <n v="26998.489303577197"/>
    <n v="6400"/>
    <n v="33398.489303577197"/>
    <x v="117"/>
    <x v="116"/>
    <n v="0"/>
    <s v="MPG"/>
    <s v="Direct"/>
    <n v="1003"/>
    <x v="4"/>
    <s v="Old"/>
    <d v="2024-02-01T00:00:00"/>
    <n v="2298.3999999999996"/>
    <n v="76159.977049039517"/>
    <n v="1723.7999999999997"/>
    <n v="2183.4799999999996"/>
    <n v="305.86861596000006"/>
    <n v="2284.7993114711853"/>
    <n v="101.31931147118576"/>
    <n v="229.83999999999997"/>
    <n v="341.58171192806907"/>
    <n v="3642"/>
    <n v="1861"/>
    <n v="0"/>
    <n v="0"/>
    <n v="0"/>
    <n v="0"/>
    <n v="1781"/>
    <n v="0"/>
    <n v="1781"/>
    <s v="Release"/>
  </r>
  <r>
    <n v="42447.624188748858"/>
    <n v="6400"/>
    <n v="48847.624188748858"/>
    <x v="118"/>
    <x v="117"/>
    <n v="0"/>
    <s v="MPG"/>
    <s v="Direct"/>
    <n v="1003"/>
    <x v="4"/>
    <s v="Old"/>
    <d v="2024-09-06T00:00:00"/>
    <n v="4483.3"/>
    <n v="172428.80466426499"/>
    <n v="3362.4750000000004"/>
    <n v="4259.1350000000002"/>
    <n v="599.85724068240006"/>
    <n v="5172.8641399279495"/>
    <n v="913.72913992794929"/>
    <n v="448.33000000000004"/>
    <n v="0"/>
    <n v="7773"/>
    <n v="3448.5760932853"/>
    <n v="0"/>
    <n v="0"/>
    <n v="0"/>
    <n v="0"/>
    <n v="4324"/>
    <n v="0"/>
    <n v="4324"/>
    <s v="Release"/>
  </r>
  <r>
    <n v="23802.972273028819"/>
    <n v="16000"/>
    <n v="39802.972273028819"/>
    <x v="119"/>
    <x v="118"/>
    <n v="0"/>
    <s v="MPG"/>
    <s v="Direct"/>
    <n v="1003"/>
    <x v="4"/>
    <s v="Old"/>
    <d v="2024-08-01T00:00:00"/>
    <n v="4055.55"/>
    <n v="160249.53110898999"/>
    <n v="3041.6625000000004"/>
    <n v="3852.7725"/>
    <n v="0"/>
    <n v="4807.4859332696997"/>
    <n v="954.71343326969964"/>
    <n v="405.55500000000006"/>
    <n v="0"/>
    <n v="6489"/>
    <n v="3204.9906221798001"/>
    <n v="0"/>
    <n v="0"/>
    <n v="0"/>
    <n v="0"/>
    <n v="3284"/>
    <n v="0"/>
    <n v="3284"/>
    <s v="Release"/>
  </r>
  <r>
    <n v="67503"/>
    <n v="4526.3190178130099"/>
    <n v="72029.319017813017"/>
    <x v="120"/>
    <x v="119"/>
    <n v="0"/>
    <s v="MPG"/>
    <s v="Direct"/>
    <n v="1003"/>
    <x v="4"/>
    <s v="Old"/>
    <d v="2024-12-05T00:00:00"/>
    <n v="696.25"/>
    <n v="24918.482498189998"/>
    <n v="522.1875"/>
    <n v="661.4375"/>
    <n v="329.58049251839998"/>
    <n v="747.55447494569989"/>
    <n v="86.116974945699894"/>
    <n v="69.625"/>
    <n v="1443.2521158325653"/>
    <n v="0"/>
    <n v="0"/>
    <n v="0"/>
    <n v="0"/>
    <n v="0"/>
    <n v="0"/>
    <n v="0"/>
    <n v="0"/>
    <n v="0"/>
    <s v="Release"/>
  </r>
  <r>
    <n v="30117.493763227903"/>
    <n v="3200"/>
    <n v="33317.493763227903"/>
    <x v="121"/>
    <x v="120"/>
    <n v="0"/>
    <s v="MPG"/>
    <s v="Direct"/>
    <n v="1003"/>
    <x v="4"/>
    <s v="Old"/>
    <d v="2024-12-05T00:00:00"/>
    <n v="9070.7000000000007"/>
    <n v="355529.36652244406"/>
    <n v="6803.0250000000005"/>
    <n v="8617.1650000000009"/>
    <n v="3646.8471190656005"/>
    <n v="10665.880995673322"/>
    <n v="2048.7159956733212"/>
    <n v="907.07000000000016"/>
    <n v="0"/>
    <n v="18160"/>
    <n v="7110.5873304488814"/>
    <n v="0"/>
    <n v="0"/>
    <n v="0"/>
    <n v="0"/>
    <n v="11049"/>
    <n v="0"/>
    <n v="11049"/>
    <s v="Release"/>
  </r>
  <r>
    <n v="72887.670792341596"/>
    <n v="0"/>
    <n v="72887.670792341596"/>
    <x v="122"/>
    <x v="121"/>
    <n v="0"/>
    <s v="vlc"/>
    <s v="Indirect"/>
    <n v="1003"/>
    <x v="4"/>
    <s v="Old"/>
    <d v="2025-01-23T00:00:00"/>
    <n v="1885.35"/>
    <n v="66149.955099960003"/>
    <n v="1414.0124999999998"/>
    <n v="1791.0824999999998"/>
    <n v="0"/>
    <n v="1984.4986529988"/>
    <n v="193.41615299880027"/>
    <n v="188.535"/>
    <n v="634.9408013217062"/>
    <n v="2382"/>
    <n v="1861"/>
    <n v="0"/>
    <n v="0"/>
    <n v="0"/>
    <n v="0"/>
    <n v="521"/>
    <n v="521"/>
    <n v="0"/>
    <s v="Yes"/>
  </r>
  <r>
    <n v="56042.790524901298"/>
    <n v="6400"/>
    <n v="62442.790524901298"/>
    <x v="123"/>
    <x v="122"/>
    <n v="0"/>
    <s v="MPG"/>
    <s v="Direct"/>
    <n v="1003"/>
    <x v="4"/>
    <s v="Old"/>
    <d v="2025-03-22T00:00:00"/>
    <n v="3142.55"/>
    <n v="125497.67700256349"/>
    <n v="2356.9125000000004"/>
    <n v="2985.4225000000001"/>
    <n v="2232.4514080950003"/>
    <n v="3764.9303100769048"/>
    <n v="779.50781007690466"/>
    <n v="314.25500000000005"/>
    <n v="0"/>
    <n v="7261"/>
    <n v="2509.95354005127"/>
    <n v="0"/>
    <n v="0"/>
    <n v="0"/>
    <n v="0"/>
    <n v="4751"/>
    <n v="0"/>
    <n v="4751"/>
    <s v="Release"/>
  </r>
  <r>
    <n v="67064.274422470655"/>
    <n v="6400"/>
    <n v="73464.274422470655"/>
    <x v="124"/>
    <x v="123"/>
    <n v="0"/>
    <s v="MPG"/>
    <s v="Direct"/>
    <n v="1003"/>
    <x v="4"/>
    <s v="Old"/>
    <d v="2025-03-21T00:00:00"/>
    <n v="667.94999999999993"/>
    <n v="29993.779529089199"/>
    <n v="500.96249999999998"/>
    <n v="634.5524999999999"/>
    <n v="0"/>
    <n v="899.81338587267589"/>
    <n v="265.260885872676"/>
    <n v="66.795000000000002"/>
    <n v="1069.0784801574596"/>
    <n v="0"/>
    <n v="0"/>
    <n v="0"/>
    <n v="0"/>
    <n v="0"/>
    <n v="0"/>
    <n v="0"/>
    <n v="0"/>
    <n v="0"/>
    <s v="Release"/>
  </r>
  <r>
    <n v="68169.939914271992"/>
    <n v="0"/>
    <n v="68169.939914271992"/>
    <x v="125"/>
    <x v="124"/>
    <n v="0"/>
    <s v="MPG"/>
    <s v="Direct"/>
    <n v="1003"/>
    <x v="4"/>
    <s v="Old"/>
    <d v="2025-07-09T00:00:00"/>
    <n v="3945.45"/>
    <n v="151254.87861960501"/>
    <n v="2959.0874999999996"/>
    <n v="3748.1774999999998"/>
    <n v="266.71486248000002"/>
    <n v="4537.6463585881502"/>
    <n v="789.4688585881504"/>
    <n v="394.54500000000002"/>
    <n v="0"/>
    <n v="6579"/>
    <n v="3025.0975723921001"/>
    <n v="0"/>
    <n v="0"/>
    <n v="3554"/>
    <n v="0"/>
    <n v="0"/>
    <n v="0"/>
    <n v="0"/>
    <s v="Release"/>
  </r>
  <r>
    <n v="80156"/>
    <n v="0"/>
    <n v="80156"/>
    <x v="126"/>
    <x v="125"/>
    <n v="0"/>
    <s v="MPG"/>
    <s v="Direct"/>
    <n v="1003"/>
    <x v="4"/>
    <s v="Old"/>
    <d v="2025-07-31T00:00:00"/>
    <n v="1542.65"/>
    <n v="63974.247178460006"/>
    <n v="1156.9875000000002"/>
    <n v="1465.5174999999999"/>
    <n v="0"/>
    <n v="1919.2274153538001"/>
    <n v="453.70991535380017"/>
    <n v="154.26500000000001"/>
    <n v="1039.2726742071841"/>
    <n v="1429"/>
    <n v="1429"/>
    <n v="0"/>
    <n v="0"/>
    <n v="0"/>
    <n v="0"/>
    <n v="0"/>
    <n v="0"/>
    <n v="0"/>
    <s v="Release"/>
  </r>
  <r>
    <n v="0"/>
    <n v="0"/>
    <n v="0"/>
    <x v="127"/>
    <x v="126"/>
    <n v="0"/>
    <s v="vlc"/>
    <s v="Indirect"/>
    <n v="1006"/>
    <x v="5"/>
    <s v="Old"/>
    <d v="2017-09-01T00:00:00"/>
    <n v="5506.9"/>
    <n v="211520.16170462681"/>
    <n v="4130.1749999999993"/>
    <n v="5231.5549999999994"/>
    <n v="0"/>
    <n v="6345.6048511388044"/>
    <n v="1114.049851138805"/>
    <n v="550.68999999999994"/>
    <n v="0"/>
    <n v="8811"/>
    <n v="0"/>
    <n v="0"/>
    <n v="0"/>
    <n v="0"/>
    <n v="0"/>
    <n v="8811"/>
    <n v="0"/>
    <n v="8811"/>
    <s v="Release"/>
  </r>
  <r>
    <n v="0"/>
    <n v="0"/>
    <n v="0"/>
    <x v="128"/>
    <x v="127"/>
    <n v="0"/>
    <s v="vlc"/>
    <s v="Indirect"/>
    <n v="1006"/>
    <x v="5"/>
    <s v="Old"/>
    <d v="2017-09-01T00:00:00"/>
    <n v="7066.9"/>
    <n v="256875.38300930202"/>
    <n v="5300.1749999999993"/>
    <n v="6713.5549999999994"/>
    <n v="0"/>
    <n v="7706.2614902790601"/>
    <n v="992.70649027906074"/>
    <n v="706.69"/>
    <n v="0"/>
    <n v="11307"/>
    <n v="0"/>
    <n v="0"/>
    <n v="0"/>
    <n v="0"/>
    <n v="0"/>
    <n v="11307"/>
    <n v="0"/>
    <n v="11307"/>
    <s v="Release"/>
  </r>
  <r>
    <n v="0"/>
    <n v="0"/>
    <n v="0"/>
    <x v="129"/>
    <x v="128"/>
    <n v="0"/>
    <s v="vlc"/>
    <s v="Indirect"/>
    <n v="1006"/>
    <x v="5"/>
    <s v="Old"/>
    <d v="2017-09-01T00:00:00"/>
    <n v="11142.300000000001"/>
    <n v="422128.04376069992"/>
    <n v="8356.7250000000004"/>
    <n v="10585.185000000001"/>
    <n v="0"/>
    <n v="12663.841312820998"/>
    <n v="2078.6563128209964"/>
    <n v="1114.2300000000002"/>
    <n v="0"/>
    <n v="17828"/>
    <n v="0"/>
    <n v="0"/>
    <n v="0"/>
    <n v="0"/>
    <n v="0"/>
    <n v="17828"/>
    <n v="0"/>
    <n v="17828"/>
    <s v="Release"/>
  </r>
  <r>
    <n v="0"/>
    <n v="0"/>
    <n v="0"/>
    <x v="130"/>
    <x v="129"/>
    <n v="0"/>
    <s v="vlc"/>
    <s v="Indirect"/>
    <n v="1006"/>
    <x v="5"/>
    <s v="Old"/>
    <d v="2017-09-01T00:00:00"/>
    <n v="4937.9999999999991"/>
    <n v="188046.20599222998"/>
    <n v="3703.4999999999991"/>
    <n v="4691.0999999999985"/>
    <n v="0"/>
    <n v="5641.3861797668997"/>
    <n v="950.28617976690111"/>
    <n v="493.79999999999995"/>
    <n v="0"/>
    <n v="7901"/>
    <n v="0"/>
    <n v="0"/>
    <n v="0"/>
    <n v="0"/>
    <n v="0"/>
    <n v="7901"/>
    <n v="0"/>
    <n v="7901"/>
    <s v="Release"/>
  </r>
  <r>
    <n v="0"/>
    <n v="0"/>
    <n v="0"/>
    <x v="131"/>
    <x v="130"/>
    <n v="0"/>
    <s v="vlc"/>
    <s v="Indirect"/>
    <n v="1006"/>
    <x v="5"/>
    <s v="Old"/>
    <d v="2017-09-01T00:00:00"/>
    <n v="3438.3999999999996"/>
    <n v="122430.90670911601"/>
    <n v="2578.7999999999997"/>
    <n v="3266.4799999999996"/>
    <n v="0"/>
    <n v="3672.92720127348"/>
    <n v="406.44720127348046"/>
    <n v="343.84"/>
    <n v="134.15620270793045"/>
    <n v="5367"/>
    <n v="0"/>
    <n v="0"/>
    <n v="0"/>
    <n v="0"/>
    <n v="0"/>
    <n v="5367"/>
    <n v="0"/>
    <n v="5367"/>
    <s v="Release"/>
  </r>
  <r>
    <n v="0"/>
    <n v="0"/>
    <n v="0"/>
    <x v="132"/>
    <x v="131"/>
    <n v="0"/>
    <s v="vlc"/>
    <s v="Indirect"/>
    <n v="1006"/>
    <x v="5"/>
    <s v="Old"/>
    <d v="2017-09-01T00:00:00"/>
    <n v="2113.2999999999997"/>
    <n v="77647.543878261989"/>
    <n v="1584.9749999999999"/>
    <n v="2007.6349999999995"/>
    <n v="0"/>
    <n v="2329.4263163478595"/>
    <n v="321.79131634785995"/>
    <n v="211.32999999999998"/>
    <n v="503.34612308928149"/>
    <n v="2878"/>
    <n v="0"/>
    <n v="0"/>
    <n v="0"/>
    <n v="0"/>
    <n v="0"/>
    <n v="2878"/>
    <n v="0"/>
    <n v="2878"/>
    <s v="Release"/>
  </r>
  <r>
    <n v="0"/>
    <n v="0"/>
    <n v="0"/>
    <x v="133"/>
    <x v="132"/>
    <n v="0"/>
    <s v="vlc"/>
    <s v="Indirect"/>
    <n v="1006"/>
    <x v="5"/>
    <s v="Old"/>
    <d v="2019-11-30T00:00:00"/>
    <n v="7334.9"/>
    <n v="293743.45660458453"/>
    <n v="5501.1749999999993"/>
    <n v="6968.1549999999997"/>
    <n v="0"/>
    <n v="8812.3036981375353"/>
    <n v="1844.1486981375356"/>
    <n v="733.49"/>
    <n v="0"/>
    <n v="11736"/>
    <n v="0"/>
    <n v="0"/>
    <n v="0"/>
    <n v="0"/>
    <n v="0"/>
    <n v="11736"/>
    <n v="0"/>
    <n v="11736"/>
    <s v="Release"/>
  </r>
  <r>
    <n v="0"/>
    <n v="0"/>
    <n v="0"/>
    <x v="134"/>
    <x v="133"/>
    <n v="0"/>
    <s v="vlc"/>
    <s v="Indirect"/>
    <n v="1006"/>
    <x v="5"/>
    <s v="Old"/>
    <d v="2020-05-24T00:00:00"/>
    <n v="7057.4000000000015"/>
    <n v="273816.08840535901"/>
    <n v="5293.0500000000011"/>
    <n v="6704.5300000000007"/>
    <n v="0"/>
    <n v="8214.4826521607702"/>
    <n v="1509.9526521607695"/>
    <n v="705.74000000000024"/>
    <n v="0"/>
    <n v="11292"/>
    <n v="0"/>
    <n v="0"/>
    <n v="0"/>
    <n v="0"/>
    <n v="0"/>
    <n v="11292"/>
    <n v="0"/>
    <n v="11292"/>
    <s v="Release"/>
  </r>
  <r>
    <n v="9236.5241064584989"/>
    <n v="16000"/>
    <n v="25236.524106458499"/>
    <x v="135"/>
    <x v="134"/>
    <n v="0"/>
    <s v="MPG"/>
    <s v="Direct"/>
    <n v="1059"/>
    <x v="6"/>
    <s v="Old"/>
    <d v="2020-11-26T00:00:00"/>
    <n v="1855.3"/>
    <n v="87203.565040428308"/>
    <n v="1391.4749999999999"/>
    <n v="1762.5349999999999"/>
    <n v="1746.50121569769"/>
    <n v="2616.1069512128493"/>
    <n v="853.5719512128494"/>
    <n v="185.53"/>
    <n v="888.4722390962213"/>
    <n v="3827"/>
    <n v="1861"/>
    <n v="0"/>
    <n v="0"/>
    <n v="0"/>
    <n v="0"/>
    <n v="1966"/>
    <n v="0"/>
    <n v="1966"/>
    <s v="Release"/>
  </r>
  <r>
    <n v="0"/>
    <n v="0"/>
    <n v="0"/>
    <x v="136"/>
    <x v="135"/>
    <n v="0"/>
    <s v="vlc"/>
    <s v="Indirect"/>
    <n v="1006"/>
    <x v="5"/>
    <s v="Old"/>
    <d v="2021-03-01T00:00:00"/>
    <n v="812.2"/>
    <n v="29727.429626410005"/>
    <n v="609.15000000000009"/>
    <n v="771.59"/>
    <n v="0"/>
    <n v="891.82288879230009"/>
    <n v="120.23288879230006"/>
    <n v="81.220000000000013"/>
    <n v="1299.1498208857138"/>
    <n v="0"/>
    <n v="0"/>
    <n v="0"/>
    <n v="0"/>
    <n v="0"/>
    <n v="0"/>
    <n v="0"/>
    <n v="0"/>
    <n v="0"/>
    <s v="Release"/>
  </r>
  <r>
    <n v="0"/>
    <n v="0"/>
    <n v="0"/>
    <x v="137"/>
    <x v="136"/>
    <n v="0"/>
    <s v="vlc"/>
    <s v="Indirect"/>
    <n v="1006"/>
    <x v="5"/>
    <s v="Old"/>
    <d v="2021-03-05T00:00:00"/>
    <n v="10.3"/>
    <n v="366.39"/>
    <n v="7.7250000000000005"/>
    <n v="9.7850000000000001"/>
    <n v="0"/>
    <n v="10.9917"/>
    <n v="1.2066999999999997"/>
    <n v="1.03"/>
    <n v="16.678025242718377"/>
    <n v="0"/>
    <n v="0"/>
    <n v="0"/>
    <n v="0"/>
    <n v="0"/>
    <n v="0"/>
    <n v="0"/>
    <n v="0"/>
    <n v="0"/>
    <s v="Release"/>
  </r>
  <r>
    <n v="0"/>
    <n v="0"/>
    <n v="0"/>
    <x v="138"/>
    <x v="137"/>
    <n v="0"/>
    <s v="vlc"/>
    <s v="Indirect"/>
    <n v="1006"/>
    <x v="5"/>
    <s v="Old"/>
    <d v="2022-04-01T00:00:00"/>
    <n v="3063.6000000000004"/>
    <n v="109175.8757661015"/>
    <n v="2297.7000000000003"/>
    <n v="2910.42"/>
    <n v="0"/>
    <n v="3275.2762729830447"/>
    <n v="364.85627298304462"/>
    <n v="306.36000000000007"/>
    <n v="141.96171493635632"/>
    <n v="4760"/>
    <n v="0"/>
    <n v="0"/>
    <n v="0"/>
    <n v="0"/>
    <n v="0"/>
    <n v="4760"/>
    <n v="0"/>
    <n v="4760"/>
    <s v="Release"/>
  </r>
  <r>
    <n v="0"/>
    <n v="0"/>
    <n v="0"/>
    <x v="139"/>
    <x v="138"/>
    <n v="0"/>
    <s v="vlc"/>
    <s v="Indirect"/>
    <n v="1006"/>
    <x v="5"/>
    <s v="Old"/>
    <d v="2022-04-01T00:00:00"/>
    <n v="5277.6"/>
    <n v="217703.16263286502"/>
    <n v="3958.2000000000003"/>
    <n v="5013.72"/>
    <n v="0"/>
    <n v="6531.0948789859503"/>
    <n v="1517.3748789859501"/>
    <n v="527.7600000000001"/>
    <n v="295.26861019108287"/>
    <n v="8149"/>
    <n v="0"/>
    <n v="0"/>
    <n v="0"/>
    <n v="0"/>
    <n v="0"/>
    <n v="8149"/>
    <n v="0"/>
    <n v="8149"/>
    <s v="Release"/>
  </r>
  <r>
    <n v="0"/>
    <n v="0"/>
    <n v="0"/>
    <x v="140"/>
    <x v="139"/>
    <n v="0"/>
    <s v="MPG"/>
    <s v="Direct"/>
    <n v="1006"/>
    <x v="5"/>
    <s v="Old"/>
    <d v="2022-05-16T00:00:00"/>
    <n v="3590.3"/>
    <n v="129894.58723853951"/>
    <n v="2692.7250000000004"/>
    <n v="3410.7849999999999"/>
    <n v="1949.2382755800006"/>
    <n v="3896.8376171561849"/>
    <n v="486.05261715618508"/>
    <n v="359.03000000000003"/>
    <n v="177.38756818378849"/>
    <n v="7516"/>
    <n v="0"/>
    <n v="0"/>
    <n v="0"/>
    <n v="0"/>
    <n v="0"/>
    <n v="7516"/>
    <n v="0"/>
    <n v="7516"/>
    <s v="Release"/>
  </r>
  <r>
    <n v="0"/>
    <n v="0"/>
    <n v="0"/>
    <x v="141"/>
    <x v="140"/>
    <n v="0"/>
    <s v="vlc"/>
    <s v="Indirect"/>
    <n v="1006"/>
    <x v="5"/>
    <s v="Old"/>
    <d v="2022-06-05T00:00:00"/>
    <n v="423.8"/>
    <n v="19119.320944440002"/>
    <n v="317.85000000000002"/>
    <n v="402.61"/>
    <n v="0"/>
    <n v="573.57962833320005"/>
    <n v="170.96962833320003"/>
    <n v="42.38"/>
    <n v="678.54950032549186"/>
    <n v="0"/>
    <n v="0"/>
    <n v="0"/>
    <n v="0"/>
    <n v="0"/>
    <n v="0"/>
    <n v="0"/>
    <n v="0"/>
    <n v="0"/>
    <s v="Release"/>
  </r>
  <r>
    <n v="0"/>
    <n v="7572.8810774183294"/>
    <n v="7572.8810774183294"/>
    <x v="142"/>
    <x v="141"/>
    <n v="0"/>
    <s v="MPG"/>
    <s v="Direct"/>
    <n v="1006"/>
    <x v="5"/>
    <s v="Old"/>
    <d v="2022-11-01T00:00:00"/>
    <n v="2313.8000000000002"/>
    <n v="96162.574020911998"/>
    <n v="1735.3500000000001"/>
    <n v="2198.11"/>
    <n v="450.91925761365002"/>
    <n v="2884.8772206273597"/>
    <n v="686.76722062735962"/>
    <n v="231.38000000000002"/>
    <n v="398.71993637363562"/>
    <n v="3754"/>
    <n v="0"/>
    <n v="1923.2514804182399"/>
    <n v="0"/>
    <n v="0"/>
    <n v="0"/>
    <n v="1831"/>
    <n v="0"/>
    <n v="1831"/>
    <s v="Release"/>
  </r>
  <r>
    <n v="0"/>
    <n v="0"/>
    <n v="0"/>
    <x v="143"/>
    <x v="142"/>
    <n v="0"/>
    <s v="MPG"/>
    <s v="Direct"/>
    <n v="1059"/>
    <x v="6"/>
    <s v="Old"/>
    <d v="2022-11-01T00:00:00"/>
    <n v="5744.5999999999995"/>
    <n v="245934.55053567205"/>
    <n v="4308.45"/>
    <n v="5457.369999999999"/>
    <n v="3593.1735389280002"/>
    <n v="7378.0365160701613"/>
    <n v="1920.6665160701623"/>
    <n v="574.45999999999992"/>
    <n v="0"/>
    <n v="12785"/>
    <n v="0"/>
    <n v="0"/>
    <n v="0"/>
    <n v="0"/>
    <n v="0"/>
    <n v="12785"/>
    <n v="0"/>
    <n v="12785"/>
    <s v="Release"/>
  </r>
  <r>
    <n v="0"/>
    <n v="0"/>
    <n v="0"/>
    <x v="144"/>
    <x v="143"/>
    <n v="0"/>
    <s v="vlc"/>
    <s v="Indirect"/>
    <n v="1006"/>
    <x v="5"/>
    <s v="Old"/>
    <d v="2023-01-24T00:00:00"/>
    <n v="2773"/>
    <n v="98361.871943841499"/>
    <n v="2079.75"/>
    <n v="2634.35"/>
    <n v="0"/>
    <n v="2950.856158315245"/>
    <n v="316.5061583152451"/>
    <n v="277.3"/>
    <n v="33.146571525884553"/>
    <n v="4404"/>
    <n v="0"/>
    <n v="0"/>
    <n v="0"/>
    <n v="0"/>
    <n v="0"/>
    <n v="4404"/>
    <n v="0"/>
    <n v="4404"/>
    <s v="Release"/>
  </r>
  <r>
    <n v="0"/>
    <n v="0"/>
    <n v="0"/>
    <x v="145"/>
    <x v="144"/>
    <n v="0"/>
    <s v="MPG"/>
    <s v="Direct"/>
    <n v="1006"/>
    <x v="5"/>
    <s v="Old"/>
    <d v="2023-02-01T00:00:00"/>
    <n v="6055.3"/>
    <n v="270226.13169279404"/>
    <n v="4541.4750000000004"/>
    <n v="5752.5349999999999"/>
    <n v="3689.1874771676003"/>
    <n v="8106.7839507838207"/>
    <n v="2354.2489507838209"/>
    <n v="605.53000000000009"/>
    <n v="0"/>
    <n v="13378"/>
    <n v="0"/>
    <n v="0"/>
    <n v="0"/>
    <n v="0"/>
    <n v="0"/>
    <n v="13378"/>
    <n v="0"/>
    <n v="13378"/>
    <s v="Release"/>
  </r>
  <r>
    <n v="25878.589000000007"/>
    <n v="7769"/>
    <n v="33647.589000000007"/>
    <x v="146"/>
    <x v="145"/>
    <n v="0"/>
    <s v="MPG"/>
    <s v="Direct"/>
    <n v="1006"/>
    <x v="5"/>
    <s v="Old"/>
    <d v="2023-05-03T00:00:00"/>
    <n v="1313.3999999999999"/>
    <n v="53367.508705369997"/>
    <n v="985.05"/>
    <n v="1247.7299999999998"/>
    <n v="0"/>
    <n v="1601.0252611610999"/>
    <n v="353.29526116110014"/>
    <n v="131.34"/>
    <n v="1204.6581421920096"/>
    <n v="897"/>
    <n v="897"/>
    <n v="0"/>
    <n v="0"/>
    <n v="0"/>
    <n v="0"/>
    <n v="0"/>
    <n v="0"/>
    <n v="0"/>
    <s v="Release"/>
  </r>
  <r>
    <n v="0"/>
    <n v="0"/>
    <n v="0"/>
    <x v="147"/>
    <x v="146"/>
    <n v="0"/>
    <s v="MPG"/>
    <s v="Direct"/>
    <n v="1059"/>
    <x v="6"/>
    <s v="Old"/>
    <d v="2023-05-03T00:00:00"/>
    <n v="12380.799999999997"/>
    <n v="602401.67985303712"/>
    <n v="9285.5999999999985"/>
    <n v="11761.759999999997"/>
    <n v="6883.078231165191"/>
    <n v="18072.050395591112"/>
    <n v="6310.2903955911152"/>
    <n v="1238.08"/>
    <n v="0"/>
    <n v="26692"/>
    <n v="0"/>
    <n v="0"/>
    <n v="0"/>
    <n v="0"/>
    <n v="0"/>
    <n v="26692"/>
    <n v="0"/>
    <n v="26692"/>
    <s v="Release"/>
  </r>
  <r>
    <n v="0"/>
    <n v="0"/>
    <n v="0"/>
    <x v="148"/>
    <x v="147"/>
    <n v="0"/>
    <s v="vlc"/>
    <s v="Indirect"/>
    <n v="1006"/>
    <x v="5"/>
    <s v="Old"/>
    <d v="2023-08-18T00:00:00"/>
    <n v="698.7"/>
    <n v="25139.783054217503"/>
    <n v="524.02500000000009"/>
    <n v="663.76499999999999"/>
    <n v="0"/>
    <n v="754.19349162652509"/>
    <n v="90.428491626525101"/>
    <n v="69.87"/>
    <n v="495.97878329577372"/>
    <n v="622"/>
    <n v="0"/>
    <n v="0"/>
    <n v="0"/>
    <n v="0"/>
    <n v="0"/>
    <n v="622"/>
    <n v="0"/>
    <n v="622"/>
    <s v="Release"/>
  </r>
  <r>
    <n v="18792.170710837745"/>
    <n v="9600"/>
    <n v="28392.170710837745"/>
    <x v="149"/>
    <x v="148"/>
    <n v="0"/>
    <s v="MPG"/>
    <s v="Direct"/>
    <n v="1059"/>
    <x v="6"/>
    <s v="Old"/>
    <d v="2023-12-07T00:00:00"/>
    <n v="2498.2999999999997"/>
    <n v="109865.83720403651"/>
    <n v="1873.7249999999999"/>
    <n v="2373.3849999999998"/>
    <n v="1472.6163934403003"/>
    <n v="3295.9751161210952"/>
    <n v="922.59011612109543"/>
    <n v="249.82999999999998"/>
    <n v="267.65289901275406"/>
    <n v="5202"/>
    <n v="2197.3167440807301"/>
    <n v="0"/>
    <n v="3000"/>
    <n v="0"/>
    <n v="0"/>
    <n v="5"/>
    <n v="0"/>
    <n v="5"/>
    <s v="Release"/>
  </r>
  <r>
    <n v="27029.288543057351"/>
    <n v="12800"/>
    <n v="39829.288543057351"/>
    <x v="150"/>
    <x v="149"/>
    <n v="0"/>
    <s v="MPG"/>
    <s v="Direct"/>
    <n v="1059"/>
    <x v="6"/>
    <s v="Old"/>
    <d v="2023-12-07T00:00:00"/>
    <n v="2294.9"/>
    <n v="103628.28519637541"/>
    <n v="1721.1750000000002"/>
    <n v="2180.1550000000002"/>
    <n v="1159.1690077809101"/>
    <n v="3108.8485558912621"/>
    <n v="928.69355589126189"/>
    <n v="229.49"/>
    <n v="455.65487222439685"/>
    <n v="4375"/>
    <n v="2072.5657039275084"/>
    <n v="0"/>
    <n v="0"/>
    <n v="0"/>
    <n v="0"/>
    <n v="2302"/>
    <n v="0"/>
    <n v="2302"/>
    <s v="Release"/>
  </r>
  <r>
    <n v="24564.071432006662"/>
    <n v="0"/>
    <n v="24564.071432006662"/>
    <x v="151"/>
    <x v="150"/>
    <n v="0"/>
    <s v="MPG"/>
    <s v="Direct"/>
    <n v="1006"/>
    <x v="5"/>
    <s v="Old"/>
    <d v="2023-09-29T00:00:00"/>
    <n v="2880.5"/>
    <n v="107081.81994334"/>
    <n v="2160.375"/>
    <n v="2736.4749999999999"/>
    <n v="793.5869722404002"/>
    <n v="3212.4545983001999"/>
    <n v="475.9795983002"/>
    <n v="288.05"/>
    <n v="159.89191995144893"/>
    <n v="5242"/>
    <n v="2141.6363988667999"/>
    <n v="0"/>
    <n v="0"/>
    <n v="0"/>
    <n v="0"/>
    <n v="3100"/>
    <n v="0"/>
    <n v="3100"/>
    <s v="Release"/>
  </r>
  <r>
    <n v="0"/>
    <n v="0"/>
    <n v="0"/>
    <x v="152"/>
    <x v="151"/>
    <n v="0"/>
    <s v="vlc"/>
    <s v="Indirect"/>
    <n v="1006"/>
    <x v="5"/>
    <s v="Old"/>
    <d v="2024-02-01T00:00:00"/>
    <n v="1516.9"/>
    <n v="59234.348199009997"/>
    <n v="1137.6750000000002"/>
    <n v="1441.0550000000001"/>
    <n v="0"/>
    <n v="1777.0304459702998"/>
    <n v="335.97544597029969"/>
    <n v="151.69000000000003"/>
    <n v="1002.3218240351138"/>
    <n v="1425"/>
    <n v="0"/>
    <n v="0"/>
    <n v="0"/>
    <n v="0"/>
    <n v="0"/>
    <n v="1425"/>
    <n v="0"/>
    <n v="1425"/>
    <s v="Release"/>
  </r>
  <r>
    <n v="69765"/>
    <n v="5964"/>
    <n v="75729"/>
    <x v="153"/>
    <x v="152"/>
    <n v="0"/>
    <s v="MPG"/>
    <s v="Direct"/>
    <n v="1059"/>
    <x v="6"/>
    <s v="Old"/>
    <d v="2024-09-15T00:00:00"/>
    <n v="1129.6999999999998"/>
    <n v="49909.434228111"/>
    <n v="847.27499999999986"/>
    <n v="1073.2149999999997"/>
    <n v="0"/>
    <n v="1497.2830268433299"/>
    <n v="424.06802684333024"/>
    <n v="112.96999999999998"/>
    <n v="1474.6775589372678"/>
    <n v="333"/>
    <n v="333"/>
    <n v="0"/>
    <n v="0"/>
    <n v="0"/>
    <n v="0"/>
    <n v="0"/>
    <n v="0"/>
    <n v="0"/>
    <s v="Release"/>
  </r>
  <r>
    <n v="75679.654401205364"/>
    <n v="10644.76976373949"/>
    <n v="86324.424164944852"/>
    <x v="154"/>
    <x v="153"/>
    <n v="0"/>
    <s v="MPG"/>
    <s v="Direct"/>
    <n v="1059"/>
    <x v="6"/>
    <s v="Old"/>
    <d v="2024-12-05T00:00:00"/>
    <n v="1452.4"/>
    <n v="61806.180033556004"/>
    <n v="1089.3000000000002"/>
    <n v="1379.78"/>
    <n v="998.06517100381006"/>
    <n v="1854.18540100668"/>
    <n v="474.40540100667999"/>
    <n v="145.24"/>
    <n v="1150.0893693779324"/>
    <n v="2172"/>
    <n v="1861"/>
    <n v="0"/>
    <n v="0"/>
    <n v="0"/>
    <n v="0"/>
    <n v="311"/>
    <n v="311"/>
    <n v="0"/>
    <s v="Yes"/>
  </r>
  <r>
    <n v="36051.399116580811"/>
    <n v="6427.4183995715684"/>
    <n v="42478.817516152383"/>
    <x v="155"/>
    <x v="154"/>
    <n v="0"/>
    <s v="MPG"/>
    <s v="Direct"/>
    <n v="1006"/>
    <x v="5"/>
    <s v="Old"/>
    <d v="2024-12-27T00:00:00"/>
    <n v="4877.0000000000018"/>
    <n v="194765.96667055204"/>
    <n v="3657.7500000000014"/>
    <n v="4633.1500000000015"/>
    <n v="2759.0435888400002"/>
    <n v="5842.9790001165611"/>
    <n v="1209.8290001165597"/>
    <n v="487.70000000000022"/>
    <n v="0"/>
    <n v="10562"/>
    <n v="3895.3193334110406"/>
    <n v="0"/>
    <n v="0"/>
    <n v="0"/>
    <n v="0"/>
    <n v="6667"/>
    <n v="0"/>
    <n v="6667"/>
    <s v="Release"/>
  </r>
  <r>
    <n v="0"/>
    <n v="0"/>
    <n v="0"/>
    <x v="156"/>
    <x v="155"/>
    <n v="0"/>
    <s v="vlc"/>
    <s v="Indirect"/>
    <n v="1006"/>
    <x v="5"/>
    <s v="Old"/>
    <d v="2024-12-24T00:00:00"/>
    <n v="5181.5"/>
    <n v="193944.48516850005"/>
    <n v="3886.125"/>
    <n v="4922.4250000000002"/>
    <n v="0"/>
    <n v="5818.3345550550011"/>
    <n v="895.90955505500096"/>
    <n v="518.15"/>
    <n v="0"/>
    <n v="8290"/>
    <n v="0"/>
    <n v="0"/>
    <n v="0"/>
    <n v="0"/>
    <n v="0"/>
    <n v="8290"/>
    <n v="0"/>
    <n v="8290"/>
    <s v="Release"/>
  </r>
  <r>
    <n v="68971.534"/>
    <n v="0"/>
    <n v="68971.534"/>
    <x v="157"/>
    <x v="156"/>
    <n v="0"/>
    <s v="MPG"/>
    <s v="Direct"/>
    <n v="1059"/>
    <x v="6"/>
    <s v="Old"/>
    <d v="2025-02-14T00:00:00"/>
    <n v="2828.8999999999996"/>
    <n v="126312.22675301379"/>
    <n v="2121.6749999999997"/>
    <n v="2687.4549999999995"/>
    <n v="0"/>
    <n v="3789.3668025904135"/>
    <n v="1101.911802590414"/>
    <n v="282.89"/>
    <n v="63.781206225950882"/>
    <n v="4462"/>
    <n v="2526.2445350602757"/>
    <n v="0"/>
    <n v="0"/>
    <n v="0"/>
    <n v="0"/>
    <n v="1936"/>
    <n v="0"/>
    <n v="1936"/>
    <s v="Release"/>
  </r>
  <r>
    <n v="0"/>
    <n v="0"/>
    <n v="0"/>
    <x v="158"/>
    <x v="157"/>
    <n v="0"/>
    <s v="vlc"/>
    <s v="Indirect"/>
    <n v="1006"/>
    <x v="5"/>
    <s v="Old"/>
    <d v="2025-02-16T00:00:00"/>
    <n v="7725.2000000000007"/>
    <n v="280893.57901703002"/>
    <n v="5793.9000000000005"/>
    <n v="7338.9400000000005"/>
    <n v="0"/>
    <n v="8426.8073705109"/>
    <n v="1087.8673705108995"/>
    <n v="772.5200000000001"/>
    <n v="0"/>
    <n v="12360"/>
    <n v="0"/>
    <n v="0"/>
    <n v="0"/>
    <n v="0"/>
    <n v="0"/>
    <n v="12360"/>
    <n v="0"/>
    <n v="12360"/>
    <s v="Release"/>
  </r>
  <r>
    <n v="0"/>
    <n v="0"/>
    <n v="0"/>
    <x v="159"/>
    <x v="158"/>
    <n v="0"/>
    <s v="vlc"/>
    <s v="Indirect"/>
    <n v="1006"/>
    <x v="5"/>
    <s v="Old"/>
    <d v="2025-03-27T00:00:00"/>
    <n v="5552.6"/>
    <n v="207498.62040227"/>
    <n v="4164.4500000000007"/>
    <n v="5274.97"/>
    <n v="0"/>
    <n v="6224.9586120680997"/>
    <n v="949.98861206809943"/>
    <n v="555.2600000000001"/>
    <n v="126.35302846299808"/>
    <n v="8758"/>
    <n v="0"/>
    <n v="0"/>
    <n v="0"/>
    <n v="0"/>
    <n v="0"/>
    <n v="8758"/>
    <n v="0"/>
    <n v="8758"/>
    <s v="Release"/>
  </r>
  <r>
    <n v="45073.477038662721"/>
    <n v="0"/>
    <n v="45073.477038662721"/>
    <x v="160"/>
    <x v="159"/>
    <n v="0"/>
    <s v="MPG"/>
    <s v="Direct"/>
    <n v="1006"/>
    <x v="5"/>
    <s v="Old"/>
    <d v="2025-05-18T00:00:00"/>
    <n v="7843.8"/>
    <n v="322913.55153177306"/>
    <n v="5882.85"/>
    <n v="7451.61"/>
    <n v="1600.8960782160002"/>
    <n v="9687.4065459531921"/>
    <n v="2235.7965459531924"/>
    <n v="784.38000000000011"/>
    <n v="0"/>
    <n v="14151"/>
    <n v="6458.2710306354611"/>
    <n v="0"/>
    <n v="0"/>
    <n v="0"/>
    <n v="0"/>
    <n v="7693"/>
    <n v="0"/>
    <n v="7693"/>
    <s v="Release"/>
  </r>
  <r>
    <n v="0"/>
    <n v="0"/>
    <n v="0"/>
    <x v="161"/>
    <x v="160"/>
    <n v="0"/>
    <s v="vlc"/>
    <s v="Indirect"/>
    <n v="1006"/>
    <x v="5"/>
    <s v="Old"/>
    <d v="2025-05-23T00:00:00"/>
    <n v="5578.0000000000009"/>
    <n v="191961.86553518154"/>
    <n v="4183.5000000000009"/>
    <n v="5299.1"/>
    <n v="0"/>
    <n v="5758.8559660554456"/>
    <n v="459.75596605544524"/>
    <n v="557.80000000000007"/>
    <n v="203.57573592233007"/>
    <n v="8721"/>
    <n v="0"/>
    <n v="0"/>
    <n v="0"/>
    <n v="0"/>
    <n v="0"/>
    <n v="8721"/>
    <n v="0"/>
    <n v="8721"/>
    <s v="Release"/>
  </r>
  <r>
    <n v="0"/>
    <n v="0"/>
    <n v="0"/>
    <x v="162"/>
    <x v="161"/>
    <n v="0"/>
    <s v="vlc"/>
    <s v="Indirect"/>
    <n v="1006"/>
    <x v="5"/>
    <s v="Old"/>
    <d v="2025-05-14T00:00:00"/>
    <n v="2443.3999999999996"/>
    <n v="98051.229968499989"/>
    <n v="1832.5499999999997"/>
    <n v="2321.2299999999996"/>
    <n v="0"/>
    <n v="2941.5368990549996"/>
    <n v="620.30689905500003"/>
    <n v="244.33999999999997"/>
    <n v="318.5818944576788"/>
    <n v="3591"/>
    <n v="0"/>
    <n v="0"/>
    <n v="0"/>
    <n v="0"/>
    <n v="0"/>
    <n v="3591"/>
    <n v="0"/>
    <n v="3591"/>
    <s v="Release"/>
  </r>
  <r>
    <n v="83433.9666"/>
    <n v="0"/>
    <n v="83433.9666"/>
    <x v="163"/>
    <x v="162"/>
    <n v="0"/>
    <s v="MPG"/>
    <s v="Direct"/>
    <n v="1006"/>
    <x v="5"/>
    <s v="Old"/>
    <d v="2025-07-15T00:00:00"/>
    <n v="44.8"/>
    <n v="1450.7391311770002"/>
    <n v="33.599999999999994"/>
    <n v="42.559999999999995"/>
    <n v="6.8721131160000004"/>
    <n v="43.522173935310008"/>
    <n v="0.9621739353100125"/>
    <n v="4.4799999999999995"/>
    <n v="78.4617841293325"/>
    <n v="0"/>
    <n v="0"/>
    <n v="0"/>
    <n v="0"/>
    <n v="0"/>
    <n v="0"/>
    <n v="0"/>
    <n v="0"/>
    <n v="0"/>
    <s v="Release"/>
  </r>
  <r>
    <n v="87094"/>
    <n v="0"/>
    <n v="87094"/>
    <x v="164"/>
    <x v="163"/>
    <n v="0"/>
    <s v="MPG"/>
    <s v="Direct"/>
    <n v="1006"/>
    <x v="5"/>
    <s v="Old"/>
    <d v="2025-06-30T00:00:00"/>
    <n v="354.6"/>
    <n v="13935.290394610001"/>
    <n v="265.95000000000005"/>
    <n v="336.87"/>
    <n v="72.730503870000007"/>
    <n v="418.05871183830004"/>
    <n v="81.188711838300037"/>
    <n v="35.46"/>
    <n v="640.01330241947926"/>
    <n v="0"/>
    <n v="0"/>
    <n v="0"/>
    <n v="0"/>
    <n v="0"/>
    <n v="0"/>
    <n v="0"/>
    <n v="0"/>
    <n v="0"/>
    <s v="Release"/>
  </r>
  <r>
    <n v="71014.897982209601"/>
    <n v="0"/>
    <n v="71014.897982209601"/>
    <x v="165"/>
    <x v="164"/>
    <n v="0"/>
    <s v="MPG"/>
    <s v="Direct"/>
    <n v="1006"/>
    <x v="5"/>
    <s v="Old"/>
    <d v="2025-06-30T00:00:00"/>
    <n v="2660.3"/>
    <n v="110223.10984672481"/>
    <n v="1995.2250000000001"/>
    <n v="2527.2849999999999"/>
    <n v="0"/>
    <n v="3306.6932954017443"/>
    <n v="779.40829540174445"/>
    <n v="266.03000000000003"/>
    <n v="179.34104395478278"/>
    <n v="4077"/>
    <n v="2204.4621969344962"/>
    <n v="0"/>
    <n v="0"/>
    <n v="0"/>
    <n v="0"/>
    <n v="1873"/>
    <n v="0"/>
    <n v="1873"/>
    <s v="Release"/>
  </r>
  <r>
    <n v="0"/>
    <n v="0"/>
    <n v="0"/>
    <x v="166"/>
    <x v="165"/>
    <n v="0"/>
    <s v="vlc"/>
    <s v="Indirect"/>
    <n v="1006"/>
    <x v="5"/>
    <s v="Old"/>
    <d v="2025-06-30T00:00:00"/>
    <n v="2509"/>
    <n v="96017.739758480006"/>
    <n v="1881.75"/>
    <n v="2383.5499999999997"/>
    <n v="0"/>
    <n v="2880.5321927544001"/>
    <n v="496.98219275440033"/>
    <n v="250.9"/>
    <n v="222.81376931245566"/>
    <n v="3792"/>
    <n v="0"/>
    <n v="0"/>
    <n v="0"/>
    <n v="0"/>
    <n v="0"/>
    <n v="3792"/>
    <n v="0"/>
    <n v="3792"/>
    <s v="Release"/>
  </r>
  <r>
    <n v="85163"/>
    <n v="0"/>
    <n v="85163"/>
    <x v="167"/>
    <x v="166"/>
    <n v="0"/>
    <s v="MPG"/>
    <s v="Direct"/>
    <n v="1006"/>
    <x v="5"/>
    <s v="Old"/>
    <d v="2025-07-18T00:00:00"/>
    <n v="1690.8000000000002"/>
    <n v="66683.408320290007"/>
    <n v="1268.1000000000001"/>
    <n v="1606.26"/>
    <n v="0"/>
    <n v="2000.5022496087001"/>
    <n v="394.24224960870015"/>
    <n v="169.08000000000004"/>
    <n v="876.88671030564137"/>
    <n v="1828"/>
    <n v="1828"/>
    <n v="0"/>
    <n v="0"/>
    <n v="0"/>
    <n v="0"/>
    <n v="0"/>
    <n v="0"/>
    <n v="0"/>
    <s v="Release"/>
  </r>
  <r>
    <n v="0"/>
    <n v="0"/>
    <n v="0"/>
    <x v="168"/>
    <x v="167"/>
    <n v="0"/>
    <s v="vlc"/>
    <s v="Indirect"/>
    <n v="1007"/>
    <x v="7"/>
    <s v="Old"/>
    <d v="2019-10-15T00:00:00"/>
    <n v="18755"/>
    <n v="689066.76589064999"/>
    <n v="14066.25"/>
    <n v="17817.25"/>
    <n v="0"/>
    <n v="20672.002976719497"/>
    <n v="2854.7529767194974"/>
    <n v="1875.5"/>
    <n v="0"/>
    <n v="30008"/>
    <n v="0"/>
    <n v="0"/>
    <n v="0"/>
    <n v="0"/>
    <n v="0"/>
    <n v="30008"/>
    <n v="0"/>
    <n v="30008"/>
    <s v="Release"/>
  </r>
  <r>
    <n v="0"/>
    <n v="0"/>
    <n v="0"/>
    <x v="169"/>
    <x v="168"/>
    <n v="0"/>
    <s v="vlc"/>
    <s v="Indirect"/>
    <n v="1007"/>
    <x v="7"/>
    <s v="Old"/>
    <d v="2020-11-27T00:00:00"/>
    <n v="4013.3"/>
    <n v="136657.79080906801"/>
    <n v="3009.9750000000004"/>
    <n v="3812.6350000000002"/>
    <n v="0"/>
    <n v="4099.7337242720405"/>
    <n v="287.09872427204027"/>
    <n v="401.33000000000004"/>
    <n v="0"/>
    <n v="6421"/>
    <n v="0"/>
    <n v="0"/>
    <n v="0"/>
    <n v="0"/>
    <n v="0"/>
    <n v="6421"/>
    <n v="0"/>
    <n v="6421"/>
    <s v="Release"/>
  </r>
  <r>
    <n v="37718.166610008688"/>
    <n v="13625.346799999999"/>
    <n v="51343.513410008687"/>
    <x v="170"/>
    <x v="169"/>
    <n v="0"/>
    <s v="vlc"/>
    <s v="Indirect"/>
    <n v="1056"/>
    <x v="8"/>
    <s v="Old"/>
    <d v="2021-03-02T00:00:00"/>
    <n v="1993.58"/>
    <n v="68818.743807968596"/>
    <n v="1495.1849999999999"/>
    <n v="1893.9009999999998"/>
    <n v="0"/>
    <n v="2064.5623142390577"/>
    <n v="170.6613142390579"/>
    <n v="199.358"/>
    <n v="759.47433593751725"/>
    <n v="2430"/>
    <n v="1861"/>
    <n v="0"/>
    <n v="0"/>
    <n v="0"/>
    <n v="0"/>
    <n v="569"/>
    <n v="0"/>
    <n v="569"/>
    <s v="Release"/>
  </r>
  <r>
    <n v="0"/>
    <n v="0"/>
    <n v="0"/>
    <x v="171"/>
    <x v="170"/>
    <n v="0"/>
    <s v="vlc"/>
    <s v="Indirect"/>
    <n v="1056"/>
    <x v="8"/>
    <s v="Old"/>
    <d v="2022-09-12T00:00:00"/>
    <n v="3284.06"/>
    <n v="115927.48937414627"/>
    <n v="2463.0450000000001"/>
    <n v="3119.857"/>
    <n v="0"/>
    <n v="3477.8246812243879"/>
    <n v="357.96768122438789"/>
    <n v="328.40600000000001"/>
    <n v="27.461614609358492"/>
    <n v="5227"/>
    <n v="0"/>
    <n v="0"/>
    <n v="0"/>
    <n v="0"/>
    <n v="0"/>
    <n v="5227"/>
    <n v="0"/>
    <n v="5227"/>
    <s v="Release"/>
  </r>
  <r>
    <n v="42301.352906864005"/>
    <n v="5123.8451999999997"/>
    <n v="47425.198106864002"/>
    <x v="172"/>
    <x v="171"/>
    <n v="0"/>
    <s v="MPG"/>
    <s v="Direct"/>
    <n v="1007"/>
    <x v="7"/>
    <s v="Old"/>
    <d v="2023-06-06T00:00:00"/>
    <n v="879.09999999999991"/>
    <n v="32972.946473210002"/>
    <n v="659.32499999999993"/>
    <n v="835.14499999999987"/>
    <n v="350.41200697800008"/>
    <n v="989.18839419630001"/>
    <n v="154.04339419630014"/>
    <n v="87.91"/>
    <n v="1441.7628458955217"/>
    <n v="315"/>
    <n v="315"/>
    <n v="0"/>
    <n v="0"/>
    <n v="0"/>
    <n v="0"/>
    <n v="0"/>
    <n v="0"/>
    <n v="0"/>
    <s v="Release"/>
  </r>
  <r>
    <n v="66044"/>
    <n v="0"/>
    <n v="66044"/>
    <x v="173"/>
    <x v="172"/>
    <n v="0"/>
    <s v="MPG"/>
    <s v="Direct"/>
    <n v="1007"/>
    <x v="7"/>
    <s v="Old"/>
    <d v="2023-06-26T00:00:00"/>
    <n v="1149.4000000000001"/>
    <n v="44139.342403770002"/>
    <n v="862.05000000000007"/>
    <n v="1091.93"/>
    <n v="229.06469976600005"/>
    <n v="1324.1802721131"/>
    <n v="232.25027211309998"/>
    <n v="114.94000000000001"/>
    <n v="1269.7449391491027"/>
    <n v="798"/>
    <n v="798"/>
    <n v="0"/>
    <n v="0"/>
    <n v="0"/>
    <n v="0"/>
    <n v="0"/>
    <n v="0"/>
    <n v="0"/>
    <s v="Release"/>
  </r>
  <r>
    <n v="0"/>
    <n v="0"/>
    <n v="0"/>
    <x v="174"/>
    <x v="173"/>
    <n v="0"/>
    <s v="vlc"/>
    <s v="Indirect"/>
    <n v="1007"/>
    <x v="7"/>
    <s v="Old"/>
    <d v="2023-10-13T00:00:00"/>
    <n v="50128.7"/>
    <n v="1887149.5890573002"/>
    <n v="37596.524999999994"/>
    <n v="47622.264999999992"/>
    <n v="0"/>
    <n v="56614.487671719005"/>
    <n v="8992.2226717190133"/>
    <n v="5012.87"/>
    <n v="0"/>
    <n v="80206"/>
    <n v="0"/>
    <n v="0"/>
    <n v="0"/>
    <n v="0"/>
    <n v="0"/>
    <n v="80206"/>
    <n v="0"/>
    <n v="80206"/>
    <s v="Release"/>
  </r>
  <r>
    <n v="0"/>
    <n v="0"/>
    <n v="0"/>
    <x v="175"/>
    <x v="174"/>
    <n v="0"/>
    <s v="vlc"/>
    <s v="Indirect"/>
    <n v="1007"/>
    <x v="7"/>
    <s v="Old"/>
    <d v="2023-10-13T00:00:00"/>
    <n v="32029.699999999997"/>
    <n v="1196677.9879738502"/>
    <n v="24022.274999999998"/>
    <n v="30428.214999999997"/>
    <n v="0"/>
    <n v="35900.339639215505"/>
    <n v="5472.1246392155081"/>
    <n v="3202.97"/>
    <n v="0"/>
    <n v="51248"/>
    <n v="0"/>
    <n v="0"/>
    <n v="0"/>
    <n v="0"/>
    <n v="0"/>
    <n v="51248"/>
    <n v="0"/>
    <n v="51248"/>
    <s v="Release"/>
  </r>
  <r>
    <n v="0"/>
    <n v="0"/>
    <n v="0"/>
    <x v="176"/>
    <x v="175"/>
    <n v="0"/>
    <s v="vlc"/>
    <s v="Indirect"/>
    <n v="1007"/>
    <x v="7"/>
    <s v="Old"/>
    <d v="2023-10-13T00:00:00"/>
    <n v="19791.5"/>
    <n v="728676.59658016008"/>
    <n v="14843.625"/>
    <n v="18801.924999999999"/>
    <n v="0"/>
    <n v="21860.297897404802"/>
    <n v="3058.3728974048026"/>
    <n v="1979.15"/>
    <n v="0"/>
    <n v="31666"/>
    <n v="0"/>
    <n v="0"/>
    <n v="0"/>
    <n v="0"/>
    <n v="0"/>
    <n v="31666"/>
    <n v="0"/>
    <n v="31666"/>
    <s v="Release"/>
  </r>
  <r>
    <n v="0"/>
    <n v="0"/>
    <n v="0"/>
    <x v="177"/>
    <x v="176"/>
    <n v="0"/>
    <s v="vlc"/>
    <s v="Indirect"/>
    <n v="1007"/>
    <x v="7"/>
    <s v="Old"/>
    <d v="2023-10-13T00:00:00"/>
    <n v="3517.8"/>
    <n v="128359.16952232001"/>
    <n v="2638.3500000000004"/>
    <n v="3341.91"/>
    <n v="0"/>
    <n v="3850.7750856696002"/>
    <n v="508.86508566960038"/>
    <n v="351.78000000000003"/>
    <n v="0"/>
    <n v="5628"/>
    <n v="0"/>
    <n v="0"/>
    <n v="0"/>
    <n v="0"/>
    <n v="0"/>
    <n v="5628"/>
    <n v="0"/>
    <n v="5628"/>
    <s v="Release"/>
  </r>
  <r>
    <n v="0"/>
    <n v="0"/>
    <n v="0"/>
    <x v="178"/>
    <x v="177"/>
    <n v="0"/>
    <s v="vlc"/>
    <s v="Indirect"/>
    <n v="1007"/>
    <x v="7"/>
    <s v="Old"/>
    <d v="2023-10-13T00:00:00"/>
    <n v="4107.8999999999996"/>
    <n v="153833.89940808"/>
    <n v="3080.9249999999997"/>
    <n v="3902.5049999999997"/>
    <n v="0"/>
    <n v="4615.0169822423995"/>
    <n v="712.51198224239988"/>
    <n v="410.78999999999996"/>
    <n v="8.9512666472812086"/>
    <n v="6564"/>
    <n v="0"/>
    <n v="0"/>
    <n v="0"/>
    <n v="0"/>
    <n v="0"/>
    <n v="6564"/>
    <n v="0"/>
    <n v="6564"/>
    <s v="Release"/>
  </r>
  <r>
    <n v="30150.826565054449"/>
    <n v="4104.9205999999995"/>
    <n v="34255.747165054447"/>
    <x v="179"/>
    <x v="178"/>
    <n v="0"/>
    <s v="MPG"/>
    <s v="Direct"/>
    <n v="1010"/>
    <x v="9"/>
    <s v="Old"/>
    <d v="2023-09-29T00:00:00"/>
    <n v="2065.9"/>
    <n v="98788.21754383693"/>
    <n v="1549.4250000000002"/>
    <n v="1962.605"/>
    <n v="0"/>
    <n v="2963.6465263151076"/>
    <n v="1001.0415263151076"/>
    <n v="206.59000000000003"/>
    <n v="705.49508832752292"/>
    <n v="2600"/>
    <n v="1975.7643508767387"/>
    <n v="0"/>
    <n v="624"/>
    <n v="0"/>
    <n v="0"/>
    <n v="0"/>
    <n v="0"/>
    <n v="0"/>
    <s v="Release"/>
  </r>
  <r>
    <n v="0"/>
    <n v="10628.260848452479"/>
    <n v="10628.260848452479"/>
    <x v="180"/>
    <x v="179"/>
    <n v="0"/>
    <s v="vlc"/>
    <s v="Indirect"/>
    <n v="1056"/>
    <x v="8"/>
    <s v="Old"/>
    <d v="2023-10-06T00:00:00"/>
    <n v="1026.76"/>
    <n v="33382.4728821104"/>
    <n v="770.06999999999994"/>
    <n v="975.42199999999991"/>
    <n v="0"/>
    <n v="1001.474186463312"/>
    <n v="26.052186463312069"/>
    <n v="102.676"/>
    <n v="1140.3740908842776"/>
    <n v="502"/>
    <n v="0"/>
    <n v="502"/>
    <n v="0"/>
    <n v="0"/>
    <n v="0"/>
    <n v="0"/>
    <n v="0"/>
    <n v="0"/>
    <s v="Release"/>
  </r>
  <r>
    <n v="0"/>
    <n v="0"/>
    <n v="0"/>
    <x v="181"/>
    <x v="180"/>
    <n v="0"/>
    <s v="MPG"/>
    <s v="Direct"/>
    <n v="1007"/>
    <x v="7"/>
    <s v="Old"/>
    <d v="2024-02-01T00:00:00"/>
    <n v="676.40000000000009"/>
    <n v="27270.612112749997"/>
    <n v="507.30000000000007"/>
    <n v="642.58000000000004"/>
    <n v="240.867761688"/>
    <n v="818.11836338249987"/>
    <n v="175.53836338249982"/>
    <n v="67.640000000000015"/>
    <n v="1322.6471161269176"/>
    <n v="0"/>
    <n v="0"/>
    <n v="0"/>
    <n v="0"/>
    <n v="0"/>
    <n v="0"/>
    <n v="0"/>
    <n v="0"/>
    <n v="0"/>
    <s v="Release"/>
  </r>
  <r>
    <n v="0"/>
    <n v="0"/>
    <n v="0"/>
    <x v="182"/>
    <x v="181"/>
    <n v="0"/>
    <s v="vlc"/>
    <s v="Indirect"/>
    <n v="1007"/>
    <x v="7"/>
    <s v="Old"/>
    <d v="2024-12-10T00:00:00"/>
    <n v="57680.299999999988"/>
    <n v="2171844.8049495998"/>
    <n v="43260.224999999991"/>
    <n v="54796.284999999989"/>
    <n v="0"/>
    <n v="65155.344148487988"/>
    <n v="10359.059148487999"/>
    <n v="5768.0299999999988"/>
    <n v="0"/>
    <n v="92288"/>
    <n v="0"/>
    <n v="0"/>
    <n v="0"/>
    <n v="0"/>
    <n v="0"/>
    <n v="92288"/>
    <n v="0"/>
    <n v="92288"/>
    <s v="Release"/>
  </r>
  <r>
    <n v="30381.412602822849"/>
    <n v="21062.8194"/>
    <n v="51444.23200282285"/>
    <x v="183"/>
    <x v="172"/>
    <n v="0"/>
    <s v="MPG"/>
    <s v="Direct"/>
    <n v="1007"/>
    <x v="7"/>
    <s v="Old"/>
    <d v="2024-12-20T00:00:00"/>
    <n v="633.30000000000007"/>
    <n v="22874.009167274002"/>
    <n v="474.97500000000002"/>
    <n v="601.63499999999999"/>
    <n v="16.959842064000004"/>
    <n v="686.22027501822004"/>
    <n v="84.585275018220045"/>
    <n v="63.330000000000013"/>
    <n v="1029.8175677523043"/>
    <n v="0"/>
    <n v="0"/>
    <n v="0"/>
    <n v="0"/>
    <n v="0"/>
    <n v="0"/>
    <n v="0"/>
    <n v="0"/>
    <n v="0"/>
    <s v="Release"/>
  </r>
  <r>
    <n v="0"/>
    <n v="2318.2505999999994"/>
    <n v="2318.2505999999994"/>
    <x v="184"/>
    <x v="182"/>
    <n v="0"/>
    <s v="MPG"/>
    <s v="Direct"/>
    <n v="1056"/>
    <x v="8"/>
    <s v="Old"/>
    <d v="2024-12-21T00:00:00"/>
    <n v="9390.24"/>
    <n v="358330.65318010002"/>
    <n v="7042.68"/>
    <n v="8920.7279999999992"/>
    <n v="932.75984640000013"/>
    <n v="10749.919595403"/>
    <n v="1829.191595403001"/>
    <n v="939.024"/>
    <n v="0"/>
    <n v="15957"/>
    <n v="0"/>
    <n v="2318.2505999999994"/>
    <n v="0"/>
    <n v="0"/>
    <n v="0"/>
    <n v="13639"/>
    <n v="0"/>
    <n v="13639"/>
    <s v="Release"/>
  </r>
  <r>
    <n v="23614.228380001441"/>
    <n v="614.09939999999915"/>
    <n v="24228.32778000144"/>
    <x v="185"/>
    <x v="183"/>
    <n v="0"/>
    <s v="MPG"/>
    <s v="Direct"/>
    <n v="1007"/>
    <x v="7"/>
    <s v="Old"/>
    <d v="2025-01-24T00:00:00"/>
    <n v="6045.0999999999995"/>
    <n v="235850.53579052002"/>
    <n v="4533.8249999999998"/>
    <n v="5742.8449999999993"/>
    <n v="0"/>
    <n v="7075.5160737156002"/>
    <n v="1332.6710737156009"/>
    <n v="604.51"/>
    <n v="0"/>
    <n v="9672"/>
    <n v="4717.0107158104001"/>
    <n v="0"/>
    <n v="0"/>
    <n v="0"/>
    <n v="0"/>
    <n v="4955"/>
    <n v="0"/>
    <n v="4955"/>
    <s v="Release"/>
  </r>
  <r>
    <n v="0"/>
    <n v="0"/>
    <n v="0"/>
    <x v="186"/>
    <x v="184"/>
    <n v="0"/>
    <s v="vlc"/>
    <s v="Indirect"/>
    <n v="1056"/>
    <x v="8"/>
    <s v="Old"/>
    <d v="2025-02-21T00:00:00"/>
    <n v="2141.92"/>
    <n v="87885.553442413002"/>
    <n v="1606.44"/>
    <n v="2034.8240000000001"/>
    <n v="0"/>
    <n v="2636.5666032723898"/>
    <n v="601.74260327238972"/>
    <n v="214.19200000000001"/>
    <n v="554.37944952189866"/>
    <n v="2873"/>
    <n v="0"/>
    <n v="0"/>
    <n v="0"/>
    <n v="0"/>
    <n v="0"/>
    <n v="2873"/>
    <n v="0"/>
    <n v="2873"/>
    <s v="Release"/>
  </r>
  <r>
    <n v="0"/>
    <n v="0"/>
    <n v="0"/>
    <x v="187"/>
    <x v="185"/>
    <n v="0"/>
    <s v="vlc"/>
    <s v="Indirect"/>
    <n v="1056"/>
    <x v="8"/>
    <s v="Old"/>
    <d v="2025-03-10T00:00:00"/>
    <n v="6641.6399999999994"/>
    <n v="249286.82088730199"/>
    <n v="4981.2299999999996"/>
    <n v="6309.5579999999991"/>
    <n v="0"/>
    <n v="7478.6046266190597"/>
    <n v="1169.0466266190606"/>
    <n v="664.16399999999999"/>
    <n v="0"/>
    <n v="10627"/>
    <n v="0"/>
    <n v="0"/>
    <n v="0"/>
    <n v="0"/>
    <n v="0"/>
    <n v="10627"/>
    <n v="0"/>
    <n v="10627"/>
    <s v="Release"/>
  </r>
  <r>
    <n v="0"/>
    <n v="0"/>
    <n v="0"/>
    <x v="188"/>
    <x v="186"/>
    <n v="0"/>
    <s v="vlc"/>
    <s v="Indirect"/>
    <n v="1007"/>
    <x v="7"/>
    <s v="Old"/>
    <d v="2025-03-26T00:00:00"/>
    <n v="725.09999999999991"/>
    <n v="24588.220191548004"/>
    <n v="543.82499999999993"/>
    <n v="688.84499999999991"/>
    <n v="0"/>
    <n v="737.64660574644006"/>
    <n v="48.801605746440146"/>
    <n v="72.509999999999991"/>
    <n v="1159.958446838064"/>
    <n v="0"/>
    <n v="0"/>
    <n v="0"/>
    <n v="0"/>
    <n v="0"/>
    <n v="0"/>
    <n v="0"/>
    <n v="0"/>
    <n v="0"/>
    <s v="Release"/>
  </r>
  <r>
    <n v="65433.3257323176"/>
    <n v="0"/>
    <n v="65433.3257323176"/>
    <x v="189"/>
    <x v="187"/>
    <n v="0"/>
    <s v="MPG"/>
    <s v="Direct"/>
    <n v="1010"/>
    <x v="9"/>
    <s v="Old"/>
    <d v="2025-04-23T00:00:00"/>
    <n v="1532.8000000000002"/>
    <n v="58611.598672039996"/>
    <n v="1149.6000000000001"/>
    <n v="1456.16"/>
    <n v="0"/>
    <n v="1758.3479601611998"/>
    <n v="302.18796016119973"/>
    <n v="153.28000000000003"/>
    <n v="992.87405496594442"/>
    <n v="1460"/>
    <n v="1460"/>
    <n v="0"/>
    <n v="0"/>
    <n v="0"/>
    <n v="0"/>
    <n v="0"/>
    <n v="0"/>
    <n v="0"/>
    <s v="Release"/>
  </r>
  <r>
    <n v="60170.404455544798"/>
    <n v="0"/>
    <n v="60170.404455544798"/>
    <x v="190"/>
    <x v="188"/>
    <n v="0"/>
    <s v="MPG"/>
    <s v="Direct"/>
    <n v="1056"/>
    <x v="8"/>
    <s v="Old"/>
    <d v="2025-04-23T00:00:00"/>
    <n v="4851.66"/>
    <n v="182385.07106018241"/>
    <n v="3638.7449999999999"/>
    <n v="4609.0769999999993"/>
    <n v="620.50968318300011"/>
    <n v="5471.5521318054725"/>
    <n v="862.47513180547321"/>
    <n v="485.166"/>
    <n v="0"/>
    <n v="8383"/>
    <n v="3647.7014212036484"/>
    <n v="0"/>
    <n v="0"/>
    <n v="0"/>
    <n v="0"/>
    <n v="4735"/>
    <n v="0"/>
    <n v="4735"/>
    <s v="Release"/>
  </r>
  <r>
    <n v="0"/>
    <n v="0"/>
    <n v="0"/>
    <x v="191"/>
    <x v="189"/>
    <n v="0"/>
    <s v="vlc"/>
    <s v="Indirect"/>
    <n v="1007"/>
    <x v="7"/>
    <s v="Old"/>
    <d v="2025-04-22T00:00:00"/>
    <n v="1818"/>
    <n v="65503.027374090001"/>
    <n v="1363.5"/>
    <n v="1727.1"/>
    <n v="0"/>
    <n v="1965.0908212227"/>
    <n v="237.99082122270011"/>
    <n v="181.8"/>
    <n v="713.17549547033332"/>
    <n v="2196"/>
    <n v="0"/>
    <n v="0"/>
    <n v="0"/>
    <n v="0"/>
    <n v="0"/>
    <n v="2196"/>
    <n v="0"/>
    <n v="2196"/>
    <s v="Release"/>
  </r>
  <r>
    <n v="0"/>
    <n v="0"/>
    <n v="0"/>
    <x v="192"/>
    <x v="190"/>
    <n v="0"/>
    <s v="vlc"/>
    <s v="Indirect"/>
    <n v="1007"/>
    <x v="7"/>
    <s v="Old"/>
    <d v="2025-07-31T00:00:00"/>
    <n v="1293.5"/>
    <n v="39933.554664641997"/>
    <n v="970.125"/>
    <n v="1228.825"/>
    <n v="0"/>
    <n v="1198.0066399392599"/>
    <n v="-30.818360060740133"/>
    <n v="129.35"/>
    <n v="948.18114389990387"/>
    <n v="1121"/>
    <n v="0"/>
    <n v="0"/>
    <n v="0"/>
    <n v="0"/>
    <n v="0"/>
    <n v="1121"/>
    <n v="0"/>
    <n v="1121"/>
    <s v="Release"/>
  </r>
  <r>
    <n v="0"/>
    <n v="0"/>
    <n v="0"/>
    <x v="193"/>
    <x v="191"/>
    <n v="0"/>
    <s v="vlc"/>
    <s v="Indirect"/>
    <n v="1007"/>
    <x v="7"/>
    <s v="Old"/>
    <d v="2025-08-12T00:00:00"/>
    <n v="1662.2"/>
    <n v="56243.121630856505"/>
    <n v="1246.6500000000001"/>
    <n v="1579.09"/>
    <n v="0"/>
    <n v="1687.2936489256952"/>
    <n v="108.20364892569523"/>
    <n v="166.22000000000003"/>
    <n v="775.58333666327599"/>
    <n v="1884"/>
    <n v="0"/>
    <n v="0"/>
    <n v="0"/>
    <n v="0"/>
    <n v="0"/>
    <n v="1884"/>
    <n v="0"/>
    <n v="1884"/>
    <s v="Release"/>
  </r>
  <r>
    <n v="0"/>
    <n v="0"/>
    <n v="0"/>
    <x v="194"/>
    <x v="192"/>
    <n v="0"/>
    <s v="vlc"/>
    <s v="Indirect"/>
    <n v="1055"/>
    <x v="10"/>
    <s v="Old"/>
    <d v="2017-09-18T00:00:00"/>
    <n v="4794.1000000000004"/>
    <n v="172047.73466366599"/>
    <n v="3595.5750000000003"/>
    <n v="4554.3950000000004"/>
    <n v="0"/>
    <n v="5161.4320399099797"/>
    <n v="607.03703990997928"/>
    <n v="479.41000000000008"/>
    <n v="0"/>
    <n v="7671"/>
    <n v="0"/>
    <n v="0"/>
    <n v="0"/>
    <n v="0"/>
    <n v="0"/>
    <n v="7671"/>
    <n v="0"/>
    <n v="7671"/>
    <s v="Release"/>
  </r>
  <r>
    <n v="0"/>
    <n v="0"/>
    <n v="0"/>
    <x v="195"/>
    <x v="193"/>
    <n v="0"/>
    <s v="vlc"/>
    <s v="Indirect"/>
    <n v="1008"/>
    <x v="1"/>
    <s v="Old"/>
    <d v="2017-09-19T00:00:00"/>
    <n v="1112.3"/>
    <n v="40093.471226177004"/>
    <n v="834.22499999999991"/>
    <n v="1056.6849999999999"/>
    <n v="0"/>
    <n v="1202.80413678531"/>
    <n v="146.11913678531005"/>
    <n v="111.23"/>
    <n v="1217.5744036789285"/>
    <n v="562"/>
    <n v="0"/>
    <n v="0"/>
    <n v="0"/>
    <n v="0"/>
    <n v="0"/>
    <n v="562"/>
    <n v="0"/>
    <n v="562"/>
    <s v="Release"/>
  </r>
  <r>
    <n v="0"/>
    <n v="0"/>
    <n v="0"/>
    <x v="196"/>
    <x v="194"/>
    <n v="0"/>
    <s v="vlc"/>
    <s v="Indirect"/>
    <n v="1008"/>
    <x v="1"/>
    <s v="Old"/>
    <d v="2017-09-21T00:00:00"/>
    <n v="654.44999999999993"/>
    <n v="22855.125191296003"/>
    <n v="490.83749999999998"/>
    <n v="621.72749999999985"/>
    <n v="0"/>
    <n v="685.65375573888002"/>
    <n v="63.926255738880172"/>
    <n v="65.444999999999993"/>
    <n v="1047.6168318644918"/>
    <n v="0"/>
    <n v="0"/>
    <n v="0"/>
    <n v="0"/>
    <n v="0"/>
    <n v="0"/>
    <n v="0"/>
    <n v="0"/>
    <n v="0"/>
    <s v="Release"/>
  </r>
  <r>
    <n v="0"/>
    <n v="0"/>
    <n v="0"/>
    <x v="197"/>
    <x v="195"/>
    <n v="0"/>
    <s v="vlc"/>
    <s v="Indirect"/>
    <n v="1008"/>
    <x v="1"/>
    <s v="Old"/>
    <d v="2017-12-08T00:00:00"/>
    <n v="252.05"/>
    <n v="9451.2303145265014"/>
    <n v="189.03750000000002"/>
    <n v="239.44749999999999"/>
    <n v="0"/>
    <n v="283.53690943579505"/>
    <n v="44.089409435795062"/>
    <n v="25.205000000000002"/>
    <n v="403.31084130311228"/>
    <n v="0"/>
    <n v="0"/>
    <n v="0"/>
    <n v="0"/>
    <n v="0"/>
    <n v="0"/>
    <n v="0"/>
    <n v="0"/>
    <n v="0"/>
    <s v="Release"/>
  </r>
  <r>
    <n v="0"/>
    <n v="0"/>
    <n v="0"/>
    <x v="198"/>
    <x v="196"/>
    <n v="0"/>
    <s v="vlc"/>
    <s v="Indirect"/>
    <n v="1008"/>
    <x v="1"/>
    <s v="Old"/>
    <d v="2018-11-03T00:00:00"/>
    <n v="1087.45"/>
    <n v="37612.772815117001"/>
    <n v="815.58750000000009"/>
    <n v="1033.0775000000001"/>
    <n v="0"/>
    <n v="1128.38318445351"/>
    <n v="95.305684453509912"/>
    <n v="108.745"/>
    <n v="1182.777104250679"/>
    <n v="557"/>
    <n v="0"/>
    <n v="0"/>
    <n v="0"/>
    <n v="0"/>
    <n v="0"/>
    <n v="557"/>
    <n v="0"/>
    <n v="557"/>
    <s v="Release"/>
  </r>
  <r>
    <n v="0"/>
    <n v="0"/>
    <n v="0"/>
    <x v="199"/>
    <x v="197"/>
    <n v="0"/>
    <s v="vlc"/>
    <s v="Indirect"/>
    <n v="1008"/>
    <x v="1"/>
    <s v="Old"/>
    <d v="2019-11-16T00:00:00"/>
    <n v="3067.15"/>
    <n v="110525.3734970775"/>
    <n v="2300.3625000000002"/>
    <n v="2913.7925"/>
    <n v="0"/>
    <n v="3315.761204912325"/>
    <n v="401.96870491232494"/>
    <n v="306.71500000000003"/>
    <n v="0"/>
    <n v="4907"/>
    <n v="0"/>
    <n v="0"/>
    <n v="0"/>
    <n v="0"/>
    <n v="0"/>
    <n v="4907"/>
    <n v="0"/>
    <n v="4907"/>
    <s v="Release"/>
  </r>
  <r>
    <n v="0"/>
    <n v="0"/>
    <n v="0"/>
    <x v="200"/>
    <x v="198"/>
    <n v="0"/>
    <s v="vlc"/>
    <s v="Indirect"/>
    <n v="1008"/>
    <x v="1"/>
    <s v="Old"/>
    <d v="2021-06-26T00:00:00"/>
    <n v="2770"/>
    <n v="105137.60962427201"/>
    <n v="2077.5"/>
    <n v="2631.5"/>
    <n v="0"/>
    <n v="3154.12828872816"/>
    <n v="522.62828872815999"/>
    <n v="277"/>
    <n v="88.444160071755903"/>
    <n v="4344"/>
    <n v="0"/>
    <n v="0"/>
    <n v="0"/>
    <n v="0"/>
    <n v="0"/>
    <n v="4344"/>
    <n v="0"/>
    <n v="4344"/>
    <s v="Release"/>
  </r>
  <r>
    <n v="0"/>
    <n v="0"/>
    <n v="0"/>
    <x v="201"/>
    <x v="199"/>
    <n v="0"/>
    <s v="vlc"/>
    <s v="Indirect"/>
    <n v="1008"/>
    <x v="1"/>
    <s v="Old"/>
    <d v="2021-06-28T00:00:00"/>
    <n v="481.4"/>
    <n v="18835.327418711"/>
    <n v="361.04999999999995"/>
    <n v="457.33"/>
    <n v="0"/>
    <n v="565.05982256132995"/>
    <n v="107.72982256132997"/>
    <n v="48.14"/>
    <n v="769.99996944724103"/>
    <n v="0"/>
    <n v="0"/>
    <n v="0"/>
    <n v="0"/>
    <n v="0"/>
    <n v="0"/>
    <n v="0"/>
    <n v="0"/>
    <n v="0"/>
    <s v="Release"/>
  </r>
  <r>
    <n v="0"/>
    <n v="0"/>
    <n v="0"/>
    <x v="202"/>
    <x v="200"/>
    <n v="0"/>
    <s v="MPG"/>
    <s v="Direct"/>
    <n v="1008"/>
    <x v="1"/>
    <s v="Old"/>
    <d v="2022-05-12T00:00:00"/>
    <n v="13566.55"/>
    <n v="473162.57967331045"/>
    <n v="10174.912499999999"/>
    <n v="12888.222499999998"/>
    <n v="2584.5967693680009"/>
    <n v="14194.877390199314"/>
    <n v="1306.6548901993156"/>
    <n v="1356.655"/>
    <n v="0"/>
    <n v="24291"/>
    <n v="0"/>
    <n v="0"/>
    <n v="0"/>
    <n v="0"/>
    <n v="0"/>
    <n v="24291"/>
    <n v="0"/>
    <n v="24291"/>
    <s v="Release"/>
  </r>
  <r>
    <n v="75619"/>
    <n v="130.66422891840011"/>
    <n v="75749.664228918395"/>
    <x v="203"/>
    <x v="201"/>
    <n v="0"/>
    <s v="MPG"/>
    <s v="Direct"/>
    <n v="1008"/>
    <x v="1"/>
    <s v="Old"/>
    <d v="2022-05-13T00:00:00"/>
    <n v="325.29999999999995"/>
    <n v="11626.604058640249"/>
    <n v="243.97499999999997"/>
    <n v="309.03499999999997"/>
    <n v="146.96196167400001"/>
    <n v="348.79812175920745"/>
    <n v="39.763121759207479"/>
    <n v="32.529999999999994"/>
    <n v="666.97235620528863"/>
    <n v="0"/>
    <n v="0"/>
    <n v="0"/>
    <n v="0"/>
    <n v="0"/>
    <n v="0"/>
    <n v="0"/>
    <n v="0"/>
    <n v="0"/>
    <s v="Release"/>
  </r>
  <r>
    <n v="22275.466799999995"/>
    <n v="0"/>
    <n v="22275.466799999995"/>
    <x v="204"/>
    <x v="202"/>
    <n v="0"/>
    <s v="MPG"/>
    <s v="Direct"/>
    <n v="1008"/>
    <x v="1"/>
    <s v="Old"/>
    <d v="2023-02-22T00:00:00"/>
    <n v="1015.5500000000001"/>
    <n v="43187.324575639999"/>
    <n v="761.66250000000002"/>
    <n v="964.77250000000004"/>
    <n v="679.41424529684991"/>
    <n v="1295.6197372692"/>
    <n v="330.84723726919992"/>
    <n v="101.55500000000001"/>
    <n v="1518.4023820763896"/>
    <n v="786"/>
    <n v="786"/>
    <n v="0"/>
    <n v="0"/>
    <n v="0"/>
    <n v="0"/>
    <n v="0"/>
    <n v="0"/>
    <n v="0"/>
    <s v="Release"/>
  </r>
  <r>
    <n v="0"/>
    <n v="0"/>
    <n v="0"/>
    <x v="205"/>
    <x v="203"/>
    <n v="0"/>
    <s v="vlc"/>
    <s v="Indirect"/>
    <n v="1008"/>
    <x v="1"/>
    <s v="Old"/>
    <d v="2023-03-16T00:00:00"/>
    <n v="11088"/>
    <n v="415747.54405590001"/>
    <n v="8316"/>
    <n v="10533.6"/>
    <n v="0"/>
    <n v="12472.426321677"/>
    <n v="1938.8263216769992"/>
    <n v="1108.8"/>
    <n v="0"/>
    <n v="17741"/>
    <n v="0"/>
    <n v="0"/>
    <n v="0"/>
    <n v="0"/>
    <n v="0"/>
    <n v="17741"/>
    <n v="0"/>
    <n v="17741"/>
    <s v="Release"/>
  </r>
  <r>
    <n v="0"/>
    <n v="16324.609199999999"/>
    <n v="16324.609199999999"/>
    <x v="206"/>
    <x v="204"/>
    <n v="0"/>
    <s v="MPG"/>
    <s v="Direct"/>
    <n v="1008"/>
    <x v="1"/>
    <s v="Old"/>
    <d v="2023-03-18T00:00:00"/>
    <n v="3281.3999999999996"/>
    <n v="118391.45117798251"/>
    <n v="2461.0499999999997"/>
    <n v="3117.3299999999995"/>
    <n v="2025.9237999046504"/>
    <n v="3551.7435353394753"/>
    <n v="434.41353533947586"/>
    <n v="328.14"/>
    <n v="0"/>
    <n v="7276"/>
    <n v="0"/>
    <n v="2367.8290235596501"/>
    <n v="0"/>
    <n v="0"/>
    <n v="0"/>
    <n v="4908"/>
    <n v="0"/>
    <n v="4908"/>
    <s v="Release"/>
  </r>
  <r>
    <n v="41146.57693475837"/>
    <n v="3607.9609999999998"/>
    <n v="44754.537934758373"/>
    <x v="207"/>
    <x v="205"/>
    <n v="0"/>
    <s v="MPG"/>
    <s v="Direct"/>
    <n v="1008"/>
    <x v="1"/>
    <s v="Old"/>
    <d v="2023-08-10T00:00:00"/>
    <n v="1660.35"/>
    <n v="68658.863440125759"/>
    <n v="1245.2624999999998"/>
    <n v="1577.3324999999998"/>
    <n v="248.00176610295003"/>
    <n v="2059.7659032037727"/>
    <n v="482.43340320377297"/>
    <n v="166.035"/>
    <n v="947.70022662246356"/>
    <n v="1957"/>
    <n v="1861"/>
    <n v="0"/>
    <n v="0"/>
    <n v="0"/>
    <n v="0"/>
    <n v="96"/>
    <n v="0"/>
    <n v="96"/>
    <s v="Release"/>
  </r>
  <r>
    <n v="0"/>
    <n v="0"/>
    <n v="0"/>
    <x v="208"/>
    <x v="206"/>
    <n v="0"/>
    <s v="vlc"/>
    <s v="Indirect"/>
    <n v="1008"/>
    <x v="1"/>
    <s v="Old"/>
    <d v="2023-07-08T00:00:00"/>
    <n v="37.700000000000003"/>
    <n v="1215.45"/>
    <n v="28.275000000000002"/>
    <n v="35.814999999999998"/>
    <n v="0"/>
    <n v="36.463500000000003"/>
    <n v="0.64850000000000563"/>
    <n v="3.7700000000000005"/>
    <n v="60.051742705570234"/>
    <n v="0"/>
    <n v="0"/>
    <n v="0"/>
    <n v="0"/>
    <n v="0"/>
    <n v="0"/>
    <n v="0"/>
    <n v="0"/>
    <n v="0"/>
    <s v="Release"/>
  </r>
  <r>
    <n v="0"/>
    <n v="0"/>
    <n v="0"/>
    <x v="209"/>
    <x v="207"/>
    <n v="0"/>
    <s v="vlc"/>
    <s v="Indirect"/>
    <n v="1008"/>
    <x v="1"/>
    <s v="Old"/>
    <d v="2021-07-02T00:00:00"/>
    <n v="3683.6"/>
    <n v="146303.34583387899"/>
    <n v="2762.7"/>
    <n v="3499.4199999999996"/>
    <n v="0"/>
    <n v="4389.10037501637"/>
    <n v="889.68037501637036"/>
    <n v="368.36"/>
    <n v="0"/>
    <n v="5894"/>
    <n v="0"/>
    <n v="0"/>
    <n v="0"/>
    <n v="0"/>
    <n v="0"/>
    <n v="5894"/>
    <n v="0"/>
    <n v="5894"/>
    <s v="Release"/>
  </r>
  <r>
    <n v="0"/>
    <n v="0"/>
    <n v="0"/>
    <x v="210"/>
    <x v="208"/>
    <n v="0"/>
    <s v="vlc"/>
    <s v="Indirect"/>
    <n v="1008"/>
    <x v="1"/>
    <s v="Old"/>
    <d v="2023-07-04T00:00:00"/>
    <n v="1823.9500000000003"/>
    <n v="66130.603814619011"/>
    <n v="1367.9625000000001"/>
    <n v="1732.7525000000003"/>
    <n v="0"/>
    <n v="1983.9181144385702"/>
    <n v="251.16561443856995"/>
    <n v="182.39500000000004"/>
    <n v="290.11446897189825"/>
    <n v="2628"/>
    <n v="0"/>
    <n v="0"/>
    <n v="0"/>
    <n v="0"/>
    <n v="0"/>
    <n v="2628"/>
    <n v="0"/>
    <n v="2628"/>
    <s v="Release"/>
  </r>
  <r>
    <n v="49618.242423467644"/>
    <n v="6400"/>
    <n v="56018.242423467644"/>
    <x v="211"/>
    <x v="209"/>
    <n v="0"/>
    <s v="MPG"/>
    <s v="Direct"/>
    <n v="1008"/>
    <x v="1"/>
    <s v="Old"/>
    <d v="2023-12-04T00:00:00"/>
    <n v="1192.05"/>
    <n v="53068.444630298705"/>
    <n v="894.03749999999991"/>
    <n v="1132.4475"/>
    <n v="404.46127335375502"/>
    <n v="1592.053338908961"/>
    <n v="459.605838908961"/>
    <n v="119.205"/>
    <n v="1430.3380176564438"/>
    <n v="881"/>
    <n v="881"/>
    <n v="0"/>
    <n v="0"/>
    <n v="0"/>
    <n v="0"/>
    <n v="0"/>
    <n v="0"/>
    <n v="0"/>
    <s v="Release"/>
  </r>
  <r>
    <n v="56247.218762545679"/>
    <n v="0"/>
    <n v="56247.218762545679"/>
    <x v="212"/>
    <x v="210"/>
    <n v="0"/>
    <s v="MPG"/>
    <s v="Direct"/>
    <n v="1008"/>
    <x v="1"/>
    <s v="Old"/>
    <d v="2023-12-08T00:00:00"/>
    <n v="2778.8500000000004"/>
    <n v="99851.923068807999"/>
    <n v="2084.1375000000003"/>
    <n v="2639.9075000000003"/>
    <n v="61.429209336000007"/>
    <n v="2995.5576920642397"/>
    <n v="355.65019206423949"/>
    <n v="277.88500000000005"/>
    <n v="72.915151166646083"/>
    <n v="4435"/>
    <n v="1997.0384613761601"/>
    <n v="0"/>
    <n v="0"/>
    <n v="0"/>
    <n v="0"/>
    <n v="2438"/>
    <n v="0"/>
    <n v="2438"/>
    <s v="Release"/>
  </r>
  <r>
    <n v="0"/>
    <n v="4723"/>
    <n v="4723"/>
    <x v="213"/>
    <x v="211"/>
    <n v="0"/>
    <s v="MPG"/>
    <s v="Direct"/>
    <n v="1008"/>
    <x v="1"/>
    <s v="Old"/>
    <d v="2023-12-27T00:00:00"/>
    <n v="2265.65"/>
    <n v="79522.191513239246"/>
    <n v="1699.2375000000002"/>
    <n v="2152.3674999999998"/>
    <n v="0"/>
    <n v="2385.6657453971775"/>
    <n v="233.29824539717765"/>
    <n v="226.56500000000003"/>
    <n v="375.61269970429203"/>
    <n v="3249"/>
    <n v="0"/>
    <n v="1590.443830264785"/>
    <n v="0"/>
    <n v="0"/>
    <n v="0"/>
    <n v="1659"/>
    <n v="0"/>
    <n v="1659"/>
    <s v="Release"/>
  </r>
  <r>
    <n v="0"/>
    <n v="0"/>
    <n v="0"/>
    <x v="214"/>
    <x v="212"/>
    <n v="0"/>
    <s v="vlc"/>
    <s v="Indirect"/>
    <n v="1008"/>
    <x v="1"/>
    <s v="Old"/>
    <d v="2023-11-27T00:00:00"/>
    <n v="2406.0500000000002"/>
    <n v="88924.735065849498"/>
    <n v="1804.5375000000001"/>
    <n v="2285.7474999999999"/>
    <n v="0"/>
    <n v="2667.7420519754846"/>
    <n v="381.99455197548468"/>
    <n v="240.60500000000002"/>
    <n v="556.38378738662686"/>
    <n v="3293"/>
    <n v="0"/>
    <n v="0"/>
    <n v="0"/>
    <n v="0"/>
    <n v="0"/>
    <n v="3293"/>
    <n v="0"/>
    <n v="3293"/>
    <s v="Release"/>
  </r>
  <r>
    <n v="63444.218893332327"/>
    <n v="1126.9366186572806"/>
    <n v="64571.155511989607"/>
    <x v="215"/>
    <x v="213"/>
    <n v="0"/>
    <s v="MPG"/>
    <s v="Direct"/>
    <n v="1008"/>
    <x v="1"/>
    <s v="Old"/>
    <d v="2023-10-06T00:00:00"/>
    <n v="1234.45"/>
    <n v="46017.602561060994"/>
    <n v="925.83750000000009"/>
    <n v="1172.7275"/>
    <n v="0"/>
    <n v="1380.5280768318298"/>
    <n v="207.80057683182986"/>
    <n v="123.44500000000001"/>
    <n v="1155.1208301096522"/>
    <n v="820"/>
    <n v="820"/>
    <n v="0"/>
    <n v="0"/>
    <n v="0"/>
    <n v="0"/>
    <n v="0"/>
    <n v="0"/>
    <n v="0"/>
    <s v="Release"/>
  </r>
  <r>
    <n v="0"/>
    <n v="0"/>
    <n v="0"/>
    <x v="216"/>
    <x v="214"/>
    <n v="0"/>
    <s v="MPG"/>
    <s v="Direct"/>
    <n v="1008"/>
    <x v="1"/>
    <s v="Old"/>
    <d v="2024-04-12T00:00:00"/>
    <n v="600.25"/>
    <n v="20885.2119924455"/>
    <n v="450.1875"/>
    <n v="570.23749999999995"/>
    <n v="0"/>
    <n v="626.55635977336499"/>
    <n v="56.318859773365034"/>
    <n v="60.025000000000006"/>
    <n v="960.84806637111524"/>
    <n v="0"/>
    <n v="0"/>
    <n v="0"/>
    <n v="0"/>
    <n v="0"/>
    <n v="0"/>
    <n v="0"/>
    <n v="0"/>
    <n v="0"/>
    <s v="Release"/>
  </r>
  <r>
    <n v="81081"/>
    <n v="8935"/>
    <n v="90016"/>
    <x v="217"/>
    <x v="215"/>
    <n v="0"/>
    <s v="MPG"/>
    <s v="Direct"/>
    <n v="1008"/>
    <x v="1"/>
    <s v="Old"/>
    <d v="2024-02-01T00:00:00"/>
    <n v="157.25"/>
    <n v="6217.6898368675611"/>
    <n v="117.9375"/>
    <n v="149.38749999999999"/>
    <n v="0"/>
    <n v="186.53069510602683"/>
    <n v="37.143195106026837"/>
    <n v="15.725000000000001"/>
    <n v="251.24768108625358"/>
    <n v="0"/>
    <n v="0"/>
    <n v="0"/>
    <n v="0"/>
    <n v="0"/>
    <n v="0"/>
    <n v="0"/>
    <n v="0"/>
    <n v="0"/>
    <s v="Release"/>
  </r>
  <r>
    <n v="67432.880623203484"/>
    <n v="0"/>
    <n v="67432.880623203484"/>
    <x v="218"/>
    <x v="216"/>
    <n v="0"/>
    <s v="MPG"/>
    <s v="Direct"/>
    <n v="1008"/>
    <x v="1"/>
    <s v="Old"/>
    <d v="2024-02-01T00:00:00"/>
    <n v="272.14999999999998"/>
    <n v="9865.1886859599999"/>
    <n v="204.11249999999998"/>
    <n v="258.54249999999996"/>
    <n v="0"/>
    <n v="295.95566057880001"/>
    <n v="37.413160578800046"/>
    <n v="27.215"/>
    <n v="435.36970447141857"/>
    <n v="0"/>
    <n v="0"/>
    <n v="0"/>
    <n v="0"/>
    <n v="0"/>
    <n v="0"/>
    <n v="0"/>
    <n v="0"/>
    <n v="0"/>
    <s v="Release"/>
  </r>
  <r>
    <n v="0"/>
    <n v="0"/>
    <n v="0"/>
    <x v="219"/>
    <x v="217"/>
    <n v="0"/>
    <s v="vlc"/>
    <s v="Indirect"/>
    <n v="1008"/>
    <x v="1"/>
    <s v="Old"/>
    <d v="2024-11-03T00:00:00"/>
    <n v="256.3"/>
    <n v="9749.3519270500001"/>
    <n v="192.22500000000002"/>
    <n v="243.48499999999999"/>
    <n v="0"/>
    <n v="292.48055781149998"/>
    <n v="48.995557811499992"/>
    <n v="25.630000000000003"/>
    <n v="409.65906412889171"/>
    <n v="0"/>
    <n v="0"/>
    <n v="0"/>
    <n v="0"/>
    <n v="0"/>
    <n v="0"/>
    <n v="0"/>
    <n v="0"/>
    <n v="0"/>
    <s v="Release"/>
  </r>
  <r>
    <n v="61376.489328307907"/>
    <n v="0"/>
    <n v="61376.489328307907"/>
    <x v="220"/>
    <x v="218"/>
    <n v="0"/>
    <s v="MPG"/>
    <s v="Direct"/>
    <n v="1008"/>
    <x v="1"/>
    <s v="Old"/>
    <d v="2024-11-18T00:00:00"/>
    <n v="3886.5999999999995"/>
    <n v="143056.39774760001"/>
    <n v="2914.95"/>
    <n v="3692.2699999999995"/>
    <n v="337.61276872694009"/>
    <n v="4291.6919324280007"/>
    <n v="599.42193242800113"/>
    <n v="388.65999999999997"/>
    <n v="63.150985449721297"/>
    <n v="6493"/>
    <n v="2861.1279549520004"/>
    <n v="0"/>
    <n v="0"/>
    <n v="0"/>
    <n v="0"/>
    <n v="3632"/>
    <n v="3632"/>
    <n v="0"/>
    <s v="Yes"/>
  </r>
  <r>
    <n v="0"/>
    <n v="0"/>
    <n v="0"/>
    <x v="221"/>
    <x v="219"/>
    <n v="0"/>
    <s v="vlc"/>
    <s v="Indirect"/>
    <n v="1008"/>
    <x v="1"/>
    <s v="Old"/>
    <d v="2024-11-08T00:00:00"/>
    <n v="250.14999999999998"/>
    <n v="9511.98"/>
    <n v="187.61249999999998"/>
    <n v="237.64249999999996"/>
    <n v="0"/>
    <n v="285.35939999999999"/>
    <n v="47.716900000000038"/>
    <n v="25.015000000000001"/>
    <n v="400.12739336859295"/>
    <n v="0"/>
    <n v="0"/>
    <n v="0"/>
    <n v="0"/>
    <n v="0"/>
    <n v="0"/>
    <n v="0"/>
    <n v="0"/>
    <n v="0"/>
    <s v="Release"/>
  </r>
  <r>
    <n v="70278"/>
    <n v="3200"/>
    <n v="73478"/>
    <x v="222"/>
    <x v="220"/>
    <n v="0"/>
    <s v="MPG"/>
    <s v="Direct"/>
    <n v="1008"/>
    <x v="1"/>
    <s v="Old"/>
    <d v="2024-12-05T00:00:00"/>
    <n v="609.1"/>
    <n v="23271.613403089999"/>
    <n v="456.82500000000005"/>
    <n v="578.64499999999998"/>
    <n v="0"/>
    <n v="698.14840209269994"/>
    <n v="119.50340209269996"/>
    <n v="60.910000000000004"/>
    <n v="974.33978857009834"/>
    <n v="0"/>
    <n v="0"/>
    <n v="0"/>
    <n v="0"/>
    <n v="0"/>
    <n v="0"/>
    <n v="0"/>
    <n v="0"/>
    <n v="0"/>
    <s v="Release"/>
  </r>
  <r>
    <n v="0"/>
    <n v="0"/>
    <n v="0"/>
    <x v="223"/>
    <x v="221"/>
    <n v="0"/>
    <s v="vlc"/>
    <s v="Indirect"/>
    <n v="1008"/>
    <x v="1"/>
    <s v="Old"/>
    <d v="2024-12-18T00:00:00"/>
    <n v="771.05"/>
    <n v="27557.352206661002"/>
    <n v="578.28749999999991"/>
    <n v="732.49749999999995"/>
    <n v="0"/>
    <n v="826.72056619983005"/>
    <n v="94.2230661998301"/>
    <n v="77.105000000000004"/>
    <n v="1233.3612262486863"/>
    <n v="0"/>
    <n v="0"/>
    <n v="0"/>
    <n v="0"/>
    <n v="0"/>
    <n v="0"/>
    <n v="0"/>
    <n v="0"/>
    <n v="0"/>
    <s v="Release"/>
  </r>
  <r>
    <n v="0"/>
    <n v="0"/>
    <n v="0"/>
    <x v="224"/>
    <x v="222"/>
    <n v="0"/>
    <s v="vlc"/>
    <s v="Indirect"/>
    <n v="1008"/>
    <x v="1"/>
    <s v="Old"/>
    <d v="2024-12-18T00:00:00"/>
    <n v="1696.35"/>
    <n v="62419.614037383508"/>
    <n v="1272.2624999999998"/>
    <n v="1611.5324999999998"/>
    <n v="0"/>
    <n v="1872.5884211215052"/>
    <n v="261.05592112150543"/>
    <n v="169.63499999999999"/>
    <n v="815.19790417562001"/>
    <n v="1899"/>
    <n v="0"/>
    <n v="0"/>
    <n v="0"/>
    <n v="0"/>
    <n v="0"/>
    <n v="1899"/>
    <n v="0"/>
    <n v="1899"/>
    <s v="Release"/>
  </r>
  <r>
    <n v="0"/>
    <n v="0"/>
    <n v="0"/>
    <x v="225"/>
    <x v="223"/>
    <n v="0"/>
    <s v="vlc"/>
    <s v="Indirect"/>
    <n v="1008"/>
    <x v="1"/>
    <s v="Old"/>
    <d v="2024-12-17T00:00:00"/>
    <n v="560.25"/>
    <n v="20916.670706199999"/>
    <n v="420.1875"/>
    <n v="532.23749999999995"/>
    <n v="0"/>
    <n v="627.50012118599989"/>
    <n v="95.262621185999933"/>
    <n v="56.025000000000006"/>
    <n v="896.43930871269663"/>
    <n v="0"/>
    <n v="0"/>
    <n v="0"/>
    <n v="0"/>
    <n v="0"/>
    <n v="0"/>
    <n v="0"/>
    <n v="0"/>
    <n v="0"/>
    <s v="Release"/>
  </r>
  <r>
    <n v="66910.489150940324"/>
    <n v="12800"/>
    <n v="79710.489150940324"/>
    <x v="226"/>
    <x v="224"/>
    <n v="0"/>
    <s v="MPG"/>
    <s v="Direct"/>
    <n v="1008"/>
    <x v="1"/>
    <s v="Old"/>
    <d v="2025-02-28T00:00:00"/>
    <n v="166.70000000000002"/>
    <n v="6017.4628895780006"/>
    <n v="125.02500000000001"/>
    <n v="158.36500000000001"/>
    <n v="1389.2265700199998"/>
    <n v="180.52388668734002"/>
    <n v="22.158886687340015"/>
    <n v="16.670000000000002"/>
    <n v="893.68911343933166"/>
    <n v="762"/>
    <n v="762"/>
    <n v="0"/>
    <n v="0"/>
    <n v="0"/>
    <n v="0"/>
    <n v="0"/>
    <n v="0"/>
    <n v="0"/>
    <s v="Release"/>
  </r>
  <r>
    <n v="74177"/>
    <n v="4446.9805999999999"/>
    <n v="78623.980599999995"/>
    <x v="227"/>
    <x v="225"/>
    <n v="0"/>
    <s v="MPG"/>
    <s v="Direct"/>
    <n v="1008"/>
    <x v="1"/>
    <s v="Old"/>
    <d v="2025-03-29T00:00:00"/>
    <n v="2282.1"/>
    <n v="86890.553681219011"/>
    <n v="1711.5749999999998"/>
    <n v="2167.9949999999999"/>
    <n v="96.446676077999996"/>
    <n v="2606.7166104365701"/>
    <n v="438.72161043657024"/>
    <n v="228.21"/>
    <n v="391.57551771531735"/>
    <n v="3356"/>
    <n v="1861"/>
    <n v="0"/>
    <n v="0"/>
    <n v="0"/>
    <n v="0"/>
    <n v="1495"/>
    <n v="0"/>
    <n v="1495"/>
    <s v="Release"/>
  </r>
  <r>
    <n v="37880.84715093534"/>
    <n v="0"/>
    <n v="37880.84715093534"/>
    <x v="228"/>
    <x v="226"/>
    <n v="0"/>
    <s v="MPG"/>
    <s v="Direct"/>
    <n v="1008"/>
    <x v="1"/>
    <s v="Old"/>
    <d v="2025-03-29T00:00:00"/>
    <n v="5851.25"/>
    <n v="210517.11654236075"/>
    <n v="4388.4375"/>
    <n v="5558.6875"/>
    <n v="377.95800362535005"/>
    <n v="6315.5134962708225"/>
    <n v="756.82599627082254"/>
    <n v="585.125"/>
    <n v="0"/>
    <n v="9740"/>
    <n v="4210.3423308472147"/>
    <n v="0"/>
    <n v="0"/>
    <n v="0"/>
    <n v="0"/>
    <n v="5530"/>
    <n v="5530"/>
    <n v="0"/>
    <s v="Yes"/>
  </r>
  <r>
    <n v="0"/>
    <n v="0"/>
    <n v="0"/>
    <x v="229"/>
    <x v="227"/>
    <n v="0"/>
    <s v="vlc"/>
    <s v="Indirect"/>
    <n v="1008"/>
    <x v="1"/>
    <s v="Old"/>
    <d v="2025-05-25T00:00:00"/>
    <n v="562.79999999999995"/>
    <n v="19662.731235075"/>
    <n v="422.09999999999997"/>
    <n v="534.66"/>
    <n v="0"/>
    <n v="589.88193705225001"/>
    <n v="55.221937052250041"/>
    <n v="56.28"/>
    <n v="900.25600492890203"/>
    <n v="0"/>
    <n v="0"/>
    <n v="0"/>
    <n v="0"/>
    <n v="0"/>
    <n v="0"/>
    <n v="0"/>
    <n v="0"/>
    <n v="0"/>
    <s v="Release"/>
  </r>
  <r>
    <n v="78137.560200000007"/>
    <n v="0"/>
    <n v="78137.560200000007"/>
    <x v="230"/>
    <x v="228"/>
    <n v="0"/>
    <s v="MPG"/>
    <s v="Direct"/>
    <n v="1008"/>
    <x v="1"/>
    <s v="Old"/>
    <d v="2025-06-01T00:00:00"/>
    <n v="2210.5"/>
    <n v="80013.745509300003"/>
    <n v="1657.875"/>
    <n v="2099.9749999999999"/>
    <n v="0"/>
    <n v="2400.4123652789999"/>
    <n v="300.43736527900001"/>
    <n v="221.05"/>
    <n v="427.5872016025337"/>
    <n v="3109"/>
    <n v="1861"/>
    <n v="0"/>
    <n v="0"/>
    <n v="0"/>
    <n v="0"/>
    <n v="1248"/>
    <n v="0"/>
    <n v="1248"/>
    <s v="Release"/>
  </r>
  <r>
    <n v="89133"/>
    <n v="0"/>
    <n v="89133"/>
    <x v="231"/>
    <x v="229"/>
    <n v="0"/>
    <s v="MPG"/>
    <s v="Direct"/>
    <n v="1008"/>
    <x v="1"/>
    <s v="Old"/>
    <d v="2025-06-30T00:00:00"/>
    <n v="774.75"/>
    <n v="27051.770170002252"/>
    <n v="581.0625"/>
    <n v="736.01249999999993"/>
    <n v="0"/>
    <n v="811.55310510006757"/>
    <n v="75.540605100067637"/>
    <n v="77.475000000000009"/>
    <n v="1239.6783883818923"/>
    <n v="0"/>
    <n v="0"/>
    <n v="0"/>
    <n v="0"/>
    <n v="0"/>
    <n v="0"/>
    <n v="0"/>
    <n v="0"/>
    <n v="0"/>
    <s v="Release"/>
  </r>
  <r>
    <n v="0"/>
    <n v="0"/>
    <n v="0"/>
    <x v="232"/>
    <x v="230"/>
    <n v="0"/>
    <s v="vlc"/>
    <s v="Indirect"/>
    <n v="1008"/>
    <x v="1"/>
    <s v="Old"/>
    <d v="2025-05-09T00:00:00"/>
    <n v="6637.65"/>
    <n v="232351.02169663875"/>
    <n v="4978.2374999999993"/>
    <n v="6305.767499999999"/>
    <n v="0"/>
    <n v="6970.5306508991625"/>
    <n v="664.76315089916352"/>
    <n v="663.76499999999999"/>
    <n v="0"/>
    <n v="10620"/>
    <n v="0"/>
    <n v="0"/>
    <n v="0"/>
    <n v="0"/>
    <n v="0"/>
    <n v="10620"/>
    <n v="0"/>
    <n v="10620"/>
    <s v="Release"/>
  </r>
  <r>
    <n v="33786.581998222318"/>
    <n v="0"/>
    <n v="33786.581998222318"/>
    <x v="233"/>
    <x v="231"/>
    <n v="0"/>
    <s v="MPG"/>
    <s v="Direct"/>
    <n v="1008"/>
    <x v="1"/>
    <s v="Old"/>
    <d v="2025-06-02T00:00:00"/>
    <n v="7600.85"/>
    <n v="252854.30206847025"/>
    <n v="5700.6375000000007"/>
    <n v="7220.8074999999999"/>
    <n v="0"/>
    <n v="7585.6290620541076"/>
    <n v="364.82156205410774"/>
    <n v="760.08500000000004"/>
    <n v="0"/>
    <n v="12161"/>
    <n v="5057.0860413694054"/>
    <n v="0"/>
    <n v="0"/>
    <n v="0"/>
    <n v="0"/>
    <n v="7104"/>
    <n v="7104"/>
    <n v="0"/>
    <s v="Yes"/>
  </r>
  <r>
    <n v="86463"/>
    <n v="0"/>
    <n v="86463"/>
    <x v="234"/>
    <x v="232"/>
    <n v="0"/>
    <s v="MPG"/>
    <s v="Direct"/>
    <n v="1008"/>
    <x v="1"/>
    <s v="Old"/>
    <d v="2025-07-05T00:00:00"/>
    <n v="342.45"/>
    <n v="13066.726760695248"/>
    <n v="256.83749999999998"/>
    <n v="325.32749999999999"/>
    <n v="0"/>
    <n v="392.00180282085745"/>
    <n v="66.674302820857463"/>
    <n v="34.244999999999997"/>
    <n v="547.53850294627364"/>
    <n v="0"/>
    <n v="0"/>
    <n v="0"/>
    <n v="0"/>
    <n v="0"/>
    <n v="0"/>
    <n v="0"/>
    <n v="0"/>
    <n v="0"/>
    <s v="Release"/>
  </r>
  <r>
    <n v="0"/>
    <n v="0"/>
    <n v="0"/>
    <x v="235"/>
    <x v="233"/>
    <n v="0"/>
    <s v="vlc"/>
    <s v="Indirect"/>
    <n v="1008"/>
    <x v="1"/>
    <s v="Old"/>
    <d v="2025-08-01T00:00:00"/>
    <n v="1686.8999999999996"/>
    <n v="60560.300476447999"/>
    <n v="1265.1749999999997"/>
    <n v="1602.5549999999996"/>
    <n v="0"/>
    <n v="1816.80901429344"/>
    <n v="214.25401429344038"/>
    <n v="168.68999999999997"/>
    <n v="800.64652577131551"/>
    <n v="1898"/>
    <n v="0"/>
    <n v="0"/>
    <n v="0"/>
    <n v="0"/>
    <n v="0"/>
    <n v="1898"/>
    <n v="0"/>
    <n v="1898"/>
    <s v="Release"/>
  </r>
  <r>
    <n v="0"/>
    <n v="0"/>
    <n v="0"/>
    <x v="236"/>
    <x v="234"/>
    <n v="0"/>
    <s v="vlc"/>
    <s v="Indirect"/>
    <n v="1009"/>
    <x v="11"/>
    <s v="Old"/>
    <d v="2017-09-01T00:00:00"/>
    <n v="1427.9"/>
    <n v="60228.279679280007"/>
    <n v="1070.9250000000002"/>
    <n v="1356.5050000000001"/>
    <n v="0"/>
    <n v="1806.8483903784002"/>
    <n v="450.34339037840004"/>
    <n v="142.79000000000002"/>
    <n v="1158.0255514158473"/>
    <n v="1127"/>
    <n v="0"/>
    <n v="0"/>
    <n v="0"/>
    <n v="0"/>
    <n v="0"/>
    <n v="1127"/>
    <n v="0"/>
    <n v="1127"/>
    <s v="Release"/>
  </r>
  <r>
    <n v="0"/>
    <n v="0"/>
    <n v="0"/>
    <x v="237"/>
    <x v="235"/>
    <n v="0"/>
    <s v="MPG"/>
    <s v="Direct"/>
    <n v="1009"/>
    <x v="11"/>
    <s v="Old"/>
    <d v="2017-09-01T00:00:00"/>
    <n v="7419.7000000000007"/>
    <n v="311158.2800136772"/>
    <n v="5564.7750000000005"/>
    <n v="7048.7150000000001"/>
    <n v="2346.7439095932004"/>
    <n v="9334.7484004103153"/>
    <n v="2286.0334004103152"/>
    <n v="741.97000000000014"/>
    <n v="0"/>
    <n v="14218"/>
    <n v="0"/>
    <n v="0"/>
    <n v="0"/>
    <n v="0"/>
    <n v="0"/>
    <n v="14218"/>
    <n v="0"/>
    <n v="14218"/>
    <s v="Release"/>
  </r>
  <r>
    <n v="0"/>
    <n v="0"/>
    <n v="0"/>
    <x v="238"/>
    <x v="236"/>
    <n v="0"/>
    <s v="MPG"/>
    <s v="Direct"/>
    <n v="1009"/>
    <x v="11"/>
    <s v="Old"/>
    <d v="2017-09-01T00:00:00"/>
    <n v="432.90000000000003"/>
    <n v="14345.772545982001"/>
    <n v="324.67500000000001"/>
    <n v="411.255"/>
    <n v="87.250921290000008"/>
    <n v="430.37317637946001"/>
    <n v="19.11817637946001"/>
    <n v="43.290000000000006"/>
    <n v="780.00978719475734"/>
    <n v="0"/>
    <n v="0"/>
    <n v="0"/>
    <n v="0"/>
    <n v="0"/>
    <n v="0"/>
    <n v="0"/>
    <n v="0"/>
    <n v="0"/>
    <s v="Release"/>
  </r>
  <r>
    <n v="0"/>
    <n v="0"/>
    <n v="0"/>
    <x v="239"/>
    <x v="237"/>
    <n v="0"/>
    <s v="vlc"/>
    <s v="Indirect"/>
    <n v="1009"/>
    <x v="11"/>
    <s v="Old"/>
    <d v="2017-09-01T00:00:00"/>
    <n v="1039.5999999999999"/>
    <n v="46891.184657434205"/>
    <n v="779.69999999999993"/>
    <n v="987.61999999999989"/>
    <n v="0"/>
    <n v="1406.735539723026"/>
    <n v="419.11553972302613"/>
    <n v="103.96"/>
    <n v="1567.4034669198281"/>
    <n v="96"/>
    <n v="0"/>
    <n v="0"/>
    <n v="0"/>
    <n v="0"/>
    <n v="0"/>
    <n v="96"/>
    <n v="0"/>
    <n v="96"/>
    <s v="Release"/>
  </r>
  <r>
    <n v="0"/>
    <n v="0"/>
    <n v="0"/>
    <x v="240"/>
    <x v="238"/>
    <n v="0"/>
    <s v="MPG"/>
    <s v="Direct"/>
    <n v="1009"/>
    <x v="11"/>
    <s v="Old"/>
    <d v="2017-09-01T00:00:00"/>
    <n v="5706.0999999999995"/>
    <n v="227387.86824366002"/>
    <n v="4279.5749999999998"/>
    <n v="5420.7949999999992"/>
    <n v="0"/>
    <n v="6821.6360473098002"/>
    <n v="1400.8410473098011"/>
    <n v="570.61"/>
    <n v="0"/>
    <n v="9130"/>
    <n v="0"/>
    <n v="0"/>
    <n v="0"/>
    <n v="0"/>
    <n v="0"/>
    <n v="9130"/>
    <n v="0"/>
    <n v="9130"/>
    <s v="Release"/>
  </r>
  <r>
    <n v="0"/>
    <n v="0"/>
    <n v="0"/>
    <x v="241"/>
    <x v="239"/>
    <n v="0"/>
    <s v="MPG"/>
    <s v="Direct"/>
    <n v="1009"/>
    <x v="11"/>
    <s v="Old"/>
    <d v="2017-09-01T00:00:00"/>
    <n v="1573.1"/>
    <n v="53669.9220662191"/>
    <n v="1179.8249999999998"/>
    <n v="1494.4449999999999"/>
    <n v="0"/>
    <n v="1610.097661986573"/>
    <n v="115.65266198657309"/>
    <n v="157.31"/>
    <n v="835.41471981333564"/>
    <n v="1682"/>
    <n v="0"/>
    <n v="0"/>
    <n v="0"/>
    <n v="0"/>
    <n v="0"/>
    <n v="1682"/>
    <n v="0"/>
    <n v="1682"/>
    <s v="Release"/>
  </r>
  <r>
    <n v="0"/>
    <n v="0"/>
    <n v="0"/>
    <x v="242"/>
    <x v="240"/>
    <n v="0"/>
    <s v="MPG"/>
    <s v="Direct"/>
    <n v="1009"/>
    <x v="11"/>
    <s v="Old"/>
    <d v="2017-09-01T00:00:00"/>
    <n v="4107.2"/>
    <n v="157639.35383821002"/>
    <n v="3080.3999999999996"/>
    <n v="3901.8399999999997"/>
    <n v="1861.1070070830001"/>
    <n v="4729.1806151463006"/>
    <n v="827.34061514630093"/>
    <n v="410.72"/>
    <n v="0"/>
    <n v="8433"/>
    <n v="0"/>
    <n v="0"/>
    <n v="0"/>
    <n v="0"/>
    <n v="0"/>
    <n v="8433"/>
    <n v="0"/>
    <n v="8433"/>
    <s v="Release"/>
  </r>
  <r>
    <n v="0"/>
    <n v="0"/>
    <n v="0"/>
    <x v="243"/>
    <x v="241"/>
    <n v="0"/>
    <s v="MPG"/>
    <s v="Direct"/>
    <n v="1009"/>
    <x v="11"/>
    <s v="Old"/>
    <d v="2017-09-01T00:00:00"/>
    <n v="2411.7000000000003"/>
    <n v="95756.602428002996"/>
    <n v="1808.7750000000001"/>
    <n v="2291.1150000000002"/>
    <n v="888.86141089199998"/>
    <n v="2872.6980728400899"/>
    <n v="581.5830728400897"/>
    <n v="241.17000000000004"/>
    <n v="310.8847522842965"/>
    <n v="4437"/>
    <n v="0"/>
    <n v="0"/>
    <n v="3000"/>
    <n v="0"/>
    <n v="0"/>
    <n v="1437"/>
    <n v="0"/>
    <n v="1437"/>
    <s v="Release"/>
  </r>
  <r>
    <n v="0"/>
    <n v="0"/>
    <n v="0"/>
    <x v="244"/>
    <x v="242"/>
    <n v="0"/>
    <s v="vlc"/>
    <s v="Indirect"/>
    <n v="1009"/>
    <x v="11"/>
    <s v="Old"/>
    <d v="2017-09-01T00:00:00"/>
    <n v="3357.2000000000007"/>
    <n v="123853.90869439"/>
    <n v="2517.9000000000005"/>
    <n v="3189.3400000000006"/>
    <n v="0"/>
    <n v="3715.6172608317002"/>
    <n v="526.27726083169955"/>
    <n v="335.72000000000008"/>
    <n v="0"/>
    <n v="5372"/>
    <n v="0"/>
    <n v="0"/>
    <n v="0"/>
    <n v="0"/>
    <n v="0"/>
    <n v="5372"/>
    <n v="0"/>
    <n v="5372"/>
    <s v="Release"/>
  </r>
  <r>
    <n v="0"/>
    <n v="0"/>
    <n v="0"/>
    <x v="245"/>
    <x v="243"/>
    <n v="0"/>
    <s v="vlc"/>
    <s v="Indirect"/>
    <n v="1009"/>
    <x v="11"/>
    <s v="Old"/>
    <d v="2017-12-02T00:00:00"/>
    <n v="4519.7000000000007"/>
    <n v="166879.44584559003"/>
    <n v="3389.7750000000005"/>
    <n v="4293.7150000000001"/>
    <n v="0"/>
    <n v="5006.3833753677009"/>
    <n v="712.66837536770072"/>
    <n v="451.97000000000008"/>
    <n v="0"/>
    <n v="7232"/>
    <n v="0"/>
    <n v="0"/>
    <n v="0"/>
    <n v="0"/>
    <n v="0"/>
    <n v="7232"/>
    <n v="0"/>
    <n v="7232"/>
    <s v="Release"/>
  </r>
  <r>
    <n v="0"/>
    <n v="0"/>
    <n v="0"/>
    <x v="246"/>
    <x v="244"/>
    <n v="0"/>
    <s v="vlc"/>
    <s v="Indirect"/>
    <n v="1009"/>
    <x v="11"/>
    <s v="Old"/>
    <d v="2019-11-17T00:00:00"/>
    <n v="3624.6000000000004"/>
    <n v="141193.74975813419"/>
    <n v="2718.4500000000003"/>
    <n v="3443.3700000000003"/>
    <n v="0"/>
    <n v="4235.8124927440258"/>
    <n v="792.44249274402546"/>
    <n v="362.46000000000004"/>
    <n v="0"/>
    <n v="5799"/>
    <n v="0"/>
    <n v="0"/>
    <n v="0"/>
    <n v="0"/>
    <n v="0"/>
    <n v="5799"/>
    <n v="0"/>
    <n v="5799"/>
    <s v="Release"/>
  </r>
  <r>
    <n v="0"/>
    <n v="9666.1804000000011"/>
    <n v="9666.1804000000011"/>
    <x v="247"/>
    <x v="245"/>
    <n v="0"/>
    <s v="vlc"/>
    <s v="Indirect"/>
    <n v="1009"/>
    <x v="11"/>
    <s v="Old"/>
    <d v="2019-11-20T00:00:00"/>
    <n v="1847.5"/>
    <n v="76561.690907590397"/>
    <n v="1385.625"/>
    <n v="1755.125"/>
    <n v="0"/>
    <n v="2296.850727227712"/>
    <n v="541.72572722771201"/>
    <n v="184.75"/>
    <n v="789.26200580562556"/>
    <n v="2167"/>
    <n v="0"/>
    <n v="1531.233818151808"/>
    <n v="0"/>
    <n v="0"/>
    <n v="0"/>
    <n v="636"/>
    <n v="0"/>
    <n v="636"/>
    <s v="Release"/>
  </r>
  <r>
    <n v="0"/>
    <n v="0"/>
    <n v="0"/>
    <x v="248"/>
    <x v="246"/>
    <n v="0"/>
    <s v="vlc"/>
    <s v="Indirect"/>
    <n v="1009"/>
    <x v="11"/>
    <s v="Old"/>
    <d v="2021-05-05T00:00:00"/>
    <n v="21322.9"/>
    <n v="748456.55429508607"/>
    <n v="15992.175000000001"/>
    <n v="20256.755000000001"/>
    <n v="0"/>
    <n v="22453.69662885258"/>
    <n v="2196.941628852579"/>
    <n v="2132.2900000000004"/>
    <n v="0"/>
    <n v="34117"/>
    <n v="0"/>
    <n v="0"/>
    <n v="0"/>
    <n v="0"/>
    <n v="0"/>
    <n v="34117"/>
    <n v="0"/>
    <n v="34117"/>
    <s v="Release"/>
  </r>
  <r>
    <n v="0"/>
    <n v="0"/>
    <n v="0"/>
    <x v="249"/>
    <x v="247"/>
    <n v="0"/>
    <s v="MPG"/>
    <s v="Direct"/>
    <n v="1009"/>
    <x v="11"/>
    <s v="Old"/>
    <d v="2022-04-25T00:00:00"/>
    <n v="3540.8999999999996"/>
    <n v="148222.75626768"/>
    <n v="2655.6749999999997"/>
    <n v="3363.8549999999996"/>
    <n v="1150.5302205268001"/>
    <n v="4446.6826880303997"/>
    <n v="1082.8276880304002"/>
    <n v="354.09"/>
    <n v="0"/>
    <n v="6816"/>
    <n v="0"/>
    <n v="0"/>
    <n v="0"/>
    <n v="0"/>
    <n v="0"/>
    <n v="6816"/>
    <n v="0"/>
    <n v="6816"/>
    <s v="Release"/>
  </r>
  <r>
    <n v="0"/>
    <n v="1267.2506804474842"/>
    <n v="1267.2506804474842"/>
    <x v="250"/>
    <x v="248"/>
    <n v="0"/>
    <s v="vlc"/>
    <s v="Indirect"/>
    <n v="1009"/>
    <x v="11"/>
    <s v="Old"/>
    <d v="2022-04-29T00:00:00"/>
    <n v="1929.6000000000001"/>
    <n v="75792.057509488004"/>
    <n v="1447.2"/>
    <n v="1833.1200000000001"/>
    <n v="0"/>
    <n v="2273.7617252846399"/>
    <n v="440.64172528463973"/>
    <n v="192.96000000000004"/>
    <n v="685.06772826660892"/>
    <n v="2402"/>
    <n v="0"/>
    <n v="1267.2506804474842"/>
    <n v="0"/>
    <n v="0"/>
    <n v="0"/>
    <n v="1135"/>
    <n v="0"/>
    <n v="1135"/>
    <s v="Release"/>
  </r>
  <r>
    <n v="0"/>
    <n v="0"/>
    <n v="0"/>
    <x v="251"/>
    <x v="249"/>
    <n v="0"/>
    <s v="vlc"/>
    <s v="Indirect"/>
    <n v="1009"/>
    <x v="11"/>
    <s v="Old"/>
    <d v="2022-06-10T00:00:00"/>
    <n v="1311.8"/>
    <n v="49375.701260618"/>
    <n v="983.84999999999991"/>
    <n v="1246.2099999999998"/>
    <n v="0"/>
    <n v="1481.27103781854"/>
    <n v="235.06103781854017"/>
    <n v="131.18"/>
    <n v="1118.8636201869622"/>
    <n v="980"/>
    <n v="0"/>
    <n v="0"/>
    <n v="0"/>
    <n v="0"/>
    <n v="0"/>
    <n v="980"/>
    <n v="0"/>
    <n v="980"/>
    <s v="Release"/>
  </r>
  <r>
    <n v="0"/>
    <n v="0"/>
    <n v="0"/>
    <x v="252"/>
    <x v="250"/>
    <n v="0"/>
    <s v="vlc"/>
    <s v="Indirect"/>
    <n v="1009"/>
    <x v="11"/>
    <s v="Old"/>
    <d v="2022-10-01T00:00:00"/>
    <n v="3113.1"/>
    <n v="119108.84821926801"/>
    <n v="2334.8249999999998"/>
    <n v="2957.4449999999997"/>
    <n v="0"/>
    <n v="3573.2654465780402"/>
    <n v="615.82044657804045"/>
    <n v="311.31"/>
    <n v="217.64060354098245"/>
    <n v="4763"/>
    <n v="0"/>
    <n v="0"/>
    <n v="0"/>
    <n v="0"/>
    <n v="0"/>
    <n v="4763"/>
    <n v="0"/>
    <n v="4763"/>
    <s v="Release"/>
  </r>
  <r>
    <n v="0"/>
    <n v="0"/>
    <n v="0"/>
    <x v="253"/>
    <x v="251"/>
    <n v="0"/>
    <s v="vlc"/>
    <s v="Indirect"/>
    <n v="1009"/>
    <x v="11"/>
    <s v="Old"/>
    <d v="2022-11-01T00:00:00"/>
    <n v="5969.7000000000007"/>
    <n v="250720.64355253498"/>
    <n v="4477.2750000000005"/>
    <n v="5671.2150000000001"/>
    <n v="0"/>
    <n v="7521.619306576049"/>
    <n v="1850.4043065760488"/>
    <n v="596.97000000000014"/>
    <n v="0"/>
    <n v="9552"/>
    <n v="0"/>
    <n v="0"/>
    <n v="0"/>
    <n v="0"/>
    <n v="0"/>
    <n v="9552"/>
    <n v="0"/>
    <n v="9552"/>
    <s v="Release"/>
  </r>
  <r>
    <n v="0"/>
    <n v="7396.1422000000002"/>
    <n v="7396.1422000000002"/>
    <x v="254"/>
    <x v="69"/>
    <n v="0"/>
    <s v="MPG"/>
    <s v="Direct"/>
    <n v="1009"/>
    <x v="11"/>
    <s v="Old"/>
    <d v="2023-02-10T00:00:00"/>
    <n v="2943.7"/>
    <n v="123734.54925826001"/>
    <n v="2207.7749999999996"/>
    <n v="2796.5149999999999"/>
    <n v="1255.7884662360002"/>
    <n v="3712.0364777478003"/>
    <n v="915.52147774780042"/>
    <n v="294.37"/>
    <n v="5.1845511674834288"/>
    <n v="5961"/>
    <n v="0"/>
    <n v="2474.6909851652003"/>
    <n v="0"/>
    <n v="0"/>
    <n v="0"/>
    <n v="3486"/>
    <n v="0"/>
    <n v="3486"/>
    <s v="Release"/>
  </r>
  <r>
    <n v="0"/>
    <n v="0"/>
    <n v="0"/>
    <x v="255"/>
    <x v="252"/>
    <n v="0"/>
    <s v="MPG"/>
    <s v="Direct"/>
    <n v="1009"/>
    <x v="11"/>
    <s v="Old"/>
    <d v="2023-03-24T00:00:00"/>
    <n v="4136.5"/>
    <n v="195165.054318504"/>
    <n v="3102.375"/>
    <n v="3929.6749999999997"/>
    <n v="1297.8743101861601"/>
    <n v="5854.9516295551202"/>
    <n v="1925.2766295551205"/>
    <n v="413.65000000000003"/>
    <n v="0"/>
    <n v="7916"/>
    <n v="0"/>
    <n v="0"/>
    <n v="0"/>
    <n v="0"/>
    <n v="0"/>
    <n v="7916"/>
    <n v="0"/>
    <n v="7916"/>
    <s v="Release"/>
  </r>
  <r>
    <n v="0"/>
    <n v="0"/>
    <n v="0"/>
    <x v="256"/>
    <x v="253"/>
    <n v="0"/>
    <s v="MPG"/>
    <s v="Direct"/>
    <n v="1009"/>
    <x v="11"/>
    <s v="Old"/>
    <d v="2023-04-05T00:00:00"/>
    <n v="741"/>
    <n v="29879.719999999994"/>
    <n v="555.75"/>
    <n v="703.94999999999993"/>
    <n v="112.73107428"/>
    <n v="896.39159999999981"/>
    <n v="192.44159999999988"/>
    <n v="74.100000000000009"/>
    <n v="0"/>
    <n v="1298"/>
    <n v="0"/>
    <n v="0"/>
    <n v="0"/>
    <n v="0"/>
    <n v="0"/>
    <n v="1298"/>
    <n v="1298"/>
    <n v="0"/>
    <s v="Yes"/>
  </r>
  <r>
    <n v="1331.3646305343718"/>
    <n v="12724.555199999999"/>
    <n v="14055.919830534371"/>
    <x v="257"/>
    <x v="254"/>
    <n v="0"/>
    <s v="MPG"/>
    <s v="Direct"/>
    <n v="1009"/>
    <x v="11"/>
    <s v="Old"/>
    <d v="2023-05-06T00:00:00"/>
    <n v="299.83000000000004"/>
    <n v="10940.324723086002"/>
    <n v="224.87250000000003"/>
    <n v="284.83850000000001"/>
    <n v="0"/>
    <n v="328.20974169258005"/>
    <n v="43.371241692580043"/>
    <n v="29.983000000000004"/>
    <n v="479.77263725618855"/>
    <n v="0"/>
    <n v="0"/>
    <n v="0"/>
    <n v="0"/>
    <n v="0"/>
    <n v="0"/>
    <n v="0"/>
    <n v="0"/>
    <n v="0"/>
    <s v="Release"/>
  </r>
  <r>
    <n v="9008.6673556754249"/>
    <n v="18377"/>
    <n v="27385.667355675425"/>
    <x v="258"/>
    <x v="255"/>
    <n v="0"/>
    <s v="MPG"/>
    <s v="Direct"/>
    <n v="1009"/>
    <x v="11"/>
    <s v="Old"/>
    <d v="2023-06-01T00:00:00"/>
    <n v="1852.2999999999997"/>
    <n v="83192.364724000014"/>
    <n v="1389.2249999999999"/>
    <n v="1759.6849999999997"/>
    <n v="606.00183555900003"/>
    <n v="2495.7709417200003"/>
    <n v="736.08594172000062"/>
    <n v="185.23"/>
    <n v="842.96000730942308"/>
    <n v="2727"/>
    <n v="1861"/>
    <n v="0"/>
    <n v="866"/>
    <n v="0"/>
    <n v="0"/>
    <n v="0"/>
    <n v="0"/>
    <n v="0"/>
    <s v="Release"/>
  </r>
  <r>
    <n v="0"/>
    <n v="0"/>
    <n v="0"/>
    <x v="259"/>
    <x v="256"/>
    <n v="0"/>
    <s v="vlc"/>
    <s v="Indirect"/>
    <n v="1009"/>
    <x v="11"/>
    <s v="Old"/>
    <d v="2023-08-14T00:00:00"/>
    <n v="936.7"/>
    <n v="26969.390797166998"/>
    <n v="702.52500000000009"/>
    <n v="889.86500000000001"/>
    <n v="0"/>
    <n v="809.08172391500989"/>
    <n v="-80.783276084990121"/>
    <n v="93.670000000000016"/>
    <n v="1086.7640694004851"/>
    <n v="412"/>
    <n v="0"/>
    <n v="0"/>
    <n v="0"/>
    <n v="0"/>
    <n v="0"/>
    <n v="412"/>
    <n v="0"/>
    <n v="412"/>
    <s v="Release"/>
  </r>
  <r>
    <n v="16000.567738068872"/>
    <n v="11537.557799999999"/>
    <n v="27538.125538068871"/>
    <x v="260"/>
    <x v="257"/>
    <n v="0"/>
    <s v="MPG"/>
    <s v="Direct"/>
    <n v="1009"/>
    <x v="11"/>
    <s v="Old"/>
    <d v="2022-04-01T00:00:00"/>
    <n v="2452.3000000000002"/>
    <n v="100931.09339748001"/>
    <n v="1839.2250000000001"/>
    <n v="2329.6849999999999"/>
    <n v="296.56937124840005"/>
    <n v="3027.9328019244003"/>
    <n v="698.24780192440039"/>
    <n v="245.23000000000002"/>
    <n v="340.00423244444067"/>
    <n v="3880"/>
    <n v="2018.6218679496003"/>
    <n v="0"/>
    <n v="0"/>
    <n v="0"/>
    <n v="0"/>
    <n v="1861"/>
    <n v="0"/>
    <n v="1861"/>
    <s v="Release"/>
  </r>
  <r>
    <n v="43338"/>
    <n v="2616.1276175555313"/>
    <n v="45954.127617555532"/>
    <x v="261"/>
    <x v="258"/>
    <n v="0"/>
    <s v="MPG"/>
    <s v="Direct"/>
    <n v="1009"/>
    <x v="11"/>
    <s v="Old"/>
    <d v="2023-11-06T00:00:00"/>
    <n v="120.30000000000001"/>
    <n v="5479.8600000000006"/>
    <n v="90.225000000000009"/>
    <n v="114.28500000000001"/>
    <n v="0"/>
    <n v="164.39580000000001"/>
    <n v="50.110799999999998"/>
    <n v="12.030000000000001"/>
    <n v="192.1254932668329"/>
    <n v="0"/>
    <n v="0"/>
    <n v="0"/>
    <n v="0"/>
    <n v="0"/>
    <n v="0"/>
    <n v="0"/>
    <n v="0"/>
    <n v="0"/>
    <s v="Release"/>
  </r>
  <r>
    <n v="32168.819059631191"/>
    <n v="0"/>
    <n v="32168.819059631191"/>
    <x v="262"/>
    <x v="259"/>
    <n v="0"/>
    <s v="MPG"/>
    <s v="Direct"/>
    <n v="1009"/>
    <x v="11"/>
    <s v="Old"/>
    <d v="2023-10-27T00:00:00"/>
    <n v="3370.7000000000003"/>
    <n v="139606.47865648"/>
    <n v="2528.0250000000001"/>
    <n v="3202.165"/>
    <n v="0"/>
    <n v="4188.1943596944002"/>
    <n v="986.02935969440023"/>
    <n v="337.07000000000005"/>
    <n v="0"/>
    <n v="5393"/>
    <n v="2792.1295731296"/>
    <n v="0"/>
    <n v="2601"/>
    <n v="0"/>
    <n v="0"/>
    <n v="0"/>
    <n v="0"/>
    <n v="0"/>
    <s v="Release"/>
  </r>
  <r>
    <n v="36957.618600000002"/>
    <n v="6233.0370000000003"/>
    <n v="43190.655599999998"/>
    <x v="263"/>
    <x v="260"/>
    <n v="0"/>
    <s v="MPG"/>
    <s v="Direct"/>
    <n v="1009"/>
    <x v="11"/>
    <s v="Old"/>
    <d v="2023-10-27T00:00:00"/>
    <n v="1991.8"/>
    <n v="82906.486165897993"/>
    <n v="1493.85"/>
    <n v="1892.2099999999998"/>
    <n v="0"/>
    <n v="2487.1945849769395"/>
    <n v="594.98458497693969"/>
    <n v="199.18"/>
    <n v="674.17799316766752"/>
    <n v="2513"/>
    <n v="1861"/>
    <n v="0"/>
    <n v="652"/>
    <n v="0"/>
    <n v="0"/>
    <n v="0"/>
    <n v="0"/>
    <n v="0"/>
    <s v="Release"/>
  </r>
  <r>
    <n v="26064.458736028842"/>
    <n v="7346.9286000000002"/>
    <n v="33411.387336028842"/>
    <x v="264"/>
    <x v="261"/>
    <n v="0"/>
    <s v="MPG"/>
    <s v="Direct"/>
    <n v="1009"/>
    <x v="11"/>
    <s v="Old"/>
    <d v="2023-10-20T00:00:00"/>
    <n v="1550.7"/>
    <n v="68170.260053292004"/>
    <n v="1163.0250000000001"/>
    <n v="1473.165"/>
    <n v="1032.1650160310001"/>
    <n v="2045.10780159876"/>
    <n v="571.94280159876007"/>
    <n v="155.07000000000002"/>
    <n v="1100.4231373135035"/>
    <n v="2413"/>
    <n v="1861"/>
    <n v="0"/>
    <n v="0"/>
    <n v="0"/>
    <n v="0"/>
    <n v="552"/>
    <n v="0"/>
    <n v="552"/>
    <s v="Release"/>
  </r>
  <r>
    <n v="0"/>
    <n v="0"/>
    <n v="0"/>
    <x v="265"/>
    <x v="262"/>
    <n v="0"/>
    <s v="MPG"/>
    <s v="Direct"/>
    <n v="1009"/>
    <x v="11"/>
    <s v="Old"/>
    <d v="2023-09-29T00:00:00"/>
    <n v="2681"/>
    <n v="128855.51757471872"/>
    <n v="2010.75"/>
    <n v="2546.9499999999998"/>
    <n v="1135.5144747710801"/>
    <n v="3865.6655272415614"/>
    <n v="1318.7155272415616"/>
    <n v="268.10000000000002"/>
    <n v="132.83682705229421"/>
    <n v="5292"/>
    <n v="0"/>
    <n v="0"/>
    <n v="0"/>
    <n v="0"/>
    <n v="0"/>
    <n v="5292"/>
    <n v="0"/>
    <n v="5292"/>
    <s v="Release"/>
  </r>
  <r>
    <n v="14139.93108800867"/>
    <n v="9247"/>
    <n v="23386.93108800867"/>
    <x v="266"/>
    <x v="263"/>
    <n v="0"/>
    <s v="MPG"/>
    <s v="Direct"/>
    <n v="1009"/>
    <x v="11"/>
    <s v="Old"/>
    <d v="2024-02-01T00:00:00"/>
    <n v="2673.6"/>
    <n v="106545.72119074699"/>
    <n v="2005.1999999999998"/>
    <n v="2539.9199999999996"/>
    <n v="949.26595027711051"/>
    <n v="3196.3716357224098"/>
    <n v="656.45163572241017"/>
    <n v="267.36"/>
    <n v="271.41765189228028"/>
    <n v="4956"/>
    <n v="2130.9144238149397"/>
    <n v="0"/>
    <n v="0"/>
    <n v="0"/>
    <n v="0"/>
    <n v="2825"/>
    <n v="0"/>
    <n v="2825"/>
    <s v="Release"/>
  </r>
  <r>
    <n v="0"/>
    <n v="0"/>
    <n v="0"/>
    <x v="267"/>
    <x v="264"/>
    <n v="0"/>
    <s v="vlc"/>
    <s v="Indirect"/>
    <n v="1009"/>
    <x v="11"/>
    <s v="Old"/>
    <d v="2024-10-25T00:00:00"/>
    <n v="1026.9000000000001"/>
    <n v="38983.870037729001"/>
    <n v="770.17500000000007"/>
    <n v="975.55500000000006"/>
    <n v="0"/>
    <n v="1169.5161011318701"/>
    <n v="193.96110113187001"/>
    <n v="102.69000000000001"/>
    <n v="1348.6196248340802"/>
    <n v="294"/>
    <n v="0"/>
    <n v="0"/>
    <n v="0"/>
    <n v="0"/>
    <n v="0"/>
    <n v="294"/>
    <n v="0"/>
    <n v="294"/>
    <s v="Release"/>
  </r>
  <r>
    <n v="53929.21200134977"/>
    <n v="7182"/>
    <n v="61111.21200134977"/>
    <x v="268"/>
    <x v="265"/>
    <n v="0"/>
    <s v="MPG"/>
    <s v="Direct"/>
    <n v="1009"/>
    <x v="11"/>
    <s v="Old"/>
    <d v="2024-11-18T00:00:00"/>
    <n v="2308.9"/>
    <n v="91936.910810139991"/>
    <n v="1731.6750000000002"/>
    <n v="2193.4549999999999"/>
    <n v="265.50329061176001"/>
    <n v="2758.1073243041997"/>
    <n v="564.65232430419974"/>
    <n v="230.89000000000001"/>
    <n v="457.41278627731344"/>
    <n v="3502"/>
    <n v="1861"/>
    <n v="0"/>
    <n v="0"/>
    <n v="0"/>
    <n v="0"/>
    <n v="1641"/>
    <n v="0"/>
    <n v="1641"/>
    <s v="Release"/>
  </r>
  <r>
    <n v="56994.041321856959"/>
    <n v="3164.0036000000005"/>
    <n v="60158.044921856963"/>
    <x v="269"/>
    <x v="266"/>
    <n v="0"/>
    <s v="MPG"/>
    <s v="Direct"/>
    <n v="1009"/>
    <x v="11"/>
    <s v="Old"/>
    <d v="2025-01-24T00:00:00"/>
    <n v="3681.9000000000005"/>
    <n v="151762.9368352064"/>
    <n v="2761.4250000000002"/>
    <n v="3497.8050000000003"/>
    <n v="23.584316411040003"/>
    <n v="4552.8881050561922"/>
    <n v="1055.0831050561919"/>
    <n v="368.19000000000005"/>
    <n v="112.99714530553985"/>
    <n v="5802"/>
    <n v="3035.2587367041283"/>
    <n v="0"/>
    <n v="0"/>
    <n v="0"/>
    <n v="0"/>
    <n v="2767"/>
    <n v="2767"/>
    <n v="0"/>
    <s v="Yes"/>
  </r>
  <r>
    <n v="67102"/>
    <n v="4280.6896857994798"/>
    <n v="71382.689685799472"/>
    <x v="270"/>
    <x v="267"/>
    <n v="0"/>
    <s v="MPG"/>
    <s v="Direct"/>
    <n v="1009"/>
    <x v="11"/>
    <s v="Old"/>
    <d v="2025-02-19T00:00:00"/>
    <n v="855.9"/>
    <n v="35304.285035339999"/>
    <n v="641.92499999999995"/>
    <n v="813.1049999999999"/>
    <n v="0"/>
    <n v="1059.1285510601999"/>
    <n v="246.02355106020002"/>
    <n v="85.59"/>
    <n v="1369.7725571617023"/>
    <n v="0"/>
    <n v="0"/>
    <n v="0"/>
    <n v="0"/>
    <n v="0"/>
    <n v="0"/>
    <n v="0"/>
    <n v="0"/>
    <n v="0"/>
    <s v="Release"/>
  </r>
  <r>
    <n v="99620"/>
    <n v="0"/>
    <n v="99620"/>
    <x v="271"/>
    <x v="268"/>
    <n v="0"/>
    <s v="MPG"/>
    <s v="Direct"/>
    <n v="1009"/>
    <x v="11"/>
    <s v="Old"/>
    <d v="2025-03-06T00:00:00"/>
    <n v="678.90000000000009"/>
    <n v="30432.4876383749"/>
    <n v="509.17500000000007"/>
    <n v="644.95500000000004"/>
    <n v="0"/>
    <n v="912.97462915124697"/>
    <n v="268.01962915124693"/>
    <n v="67.890000000000015"/>
    <n v="1085.9433480010857"/>
    <n v="0"/>
    <n v="0"/>
    <n v="0"/>
    <n v="0"/>
    <n v="0"/>
    <n v="0"/>
    <n v="0"/>
    <n v="0"/>
    <n v="0"/>
    <s v="Release"/>
  </r>
  <r>
    <n v="74607"/>
    <n v="6400"/>
    <n v="81007"/>
    <x v="272"/>
    <x v="269"/>
    <n v="0"/>
    <s v="MPG"/>
    <s v="Direct"/>
    <n v="1009"/>
    <x v="11"/>
    <s v="Old"/>
    <d v="2025-03-29T00:00:00"/>
    <n v="566"/>
    <n v="24622.949308020001"/>
    <n v="424.5"/>
    <n v="537.69999999999993"/>
    <n v="0"/>
    <n v="738.68847924060003"/>
    <n v="200.9884792406001"/>
    <n v="56.6"/>
    <n v="905.90967608401002"/>
    <n v="0"/>
    <n v="0"/>
    <n v="0"/>
    <n v="0"/>
    <n v="0"/>
    <n v="0"/>
    <n v="0"/>
    <n v="0"/>
    <n v="0"/>
    <s v="Release"/>
  </r>
  <r>
    <n v="73099.335800000001"/>
    <n v="6108"/>
    <n v="79207.335800000001"/>
    <x v="273"/>
    <x v="270"/>
    <n v="0"/>
    <s v="MPG"/>
    <s v="Direct"/>
    <n v="1009"/>
    <x v="11"/>
    <s v="Old"/>
    <d v="2025-03-29T00:00:00"/>
    <n v="1664.6"/>
    <n v="68548.145366487603"/>
    <n v="1248.4499999999998"/>
    <n v="1581.37"/>
    <n v="0"/>
    <n v="2056.4443609946279"/>
    <n v="475.07436099462802"/>
    <n v="166.46"/>
    <n v="933.14849333478787"/>
    <n v="1730"/>
    <n v="1730"/>
    <n v="0"/>
    <n v="0"/>
    <n v="0"/>
    <n v="0"/>
    <n v="0"/>
    <n v="0"/>
    <n v="0"/>
    <s v="Release"/>
  </r>
  <r>
    <n v="69638.128400000001"/>
    <n v="0"/>
    <n v="69638.128400000001"/>
    <x v="274"/>
    <x v="271"/>
    <n v="0"/>
    <s v="MPG"/>
    <s v="Direct"/>
    <n v="1009"/>
    <x v="11"/>
    <s v="Old"/>
    <d v="2025-05-19T00:00:00"/>
    <n v="1853.3"/>
    <n v="73058.899285546009"/>
    <n v="1389.9749999999999"/>
    <n v="1760.6349999999998"/>
    <n v="0"/>
    <n v="2191.7669785663802"/>
    <n v="431.13197856638044"/>
    <n v="185.33"/>
    <n v="742.99374681302015"/>
    <n v="2222"/>
    <n v="1861"/>
    <n v="0"/>
    <n v="0"/>
    <n v="0"/>
    <n v="0"/>
    <n v="361"/>
    <n v="361"/>
    <n v="0"/>
    <s v="Yes"/>
  </r>
  <r>
    <n v="13833.472612801139"/>
    <n v="13444.929599999999"/>
    <n v="27278.402212801138"/>
    <x v="275"/>
    <x v="272"/>
    <n v="0"/>
    <s v="MPG"/>
    <s v="Direct"/>
    <n v="1010"/>
    <x v="9"/>
    <s v="Old"/>
    <d v="2017-10-12T00:00:00"/>
    <n v="3384.2"/>
    <n v="126041.19489832001"/>
    <n v="2538.1499999999996"/>
    <n v="3214.99"/>
    <n v="1130.8478853360002"/>
    <n v="3781.2358469496003"/>
    <n v="566.24584694960049"/>
    <n v="338.42"/>
    <n v="0"/>
    <n v="6546"/>
    <n v="2520.8238979664002"/>
    <n v="0"/>
    <n v="0"/>
    <n v="0"/>
    <n v="0"/>
    <n v="4025"/>
    <n v="0"/>
    <n v="4025"/>
    <s v="Release"/>
  </r>
  <r>
    <n v="0"/>
    <n v="0.25059999999939464"/>
    <n v="0.25059999999939464"/>
    <x v="276"/>
    <x v="273"/>
    <n v="0"/>
    <s v="MPG"/>
    <s v="Direct"/>
    <n v="1010"/>
    <x v="9"/>
    <s v="Old"/>
    <d v="2023-02-17T00:00:00"/>
    <n v="6290.7999999999993"/>
    <n v="240903.66784111719"/>
    <n v="4718.0999999999995"/>
    <n v="5976.2599999999993"/>
    <n v="1193.5424822544999"/>
    <n v="7227.1100352335152"/>
    <n v="1250.8500352335159"/>
    <n v="629.07999999999993"/>
    <n v="0"/>
    <n v="11259"/>
    <n v="0"/>
    <n v="0.25059999999939464"/>
    <n v="0"/>
    <n v="0"/>
    <n v="0"/>
    <n v="11259"/>
    <n v="0"/>
    <n v="11259"/>
    <s v="Release"/>
  </r>
  <r>
    <n v="0"/>
    <n v="2886.1269635973586"/>
    <n v="2886.1269635973586"/>
    <x v="277"/>
    <x v="274"/>
    <n v="0"/>
    <s v="MPG"/>
    <s v="Direct"/>
    <n v="1010"/>
    <x v="9"/>
    <s v="Old"/>
    <d v="2023-03-27T00:00:00"/>
    <n v="4632.8"/>
    <n v="183705.85735428901"/>
    <n v="3474.6000000000004"/>
    <n v="4401.16"/>
    <n v="0"/>
    <n v="5511.1757206286702"/>
    <n v="1110.0157206286704"/>
    <n v="463.28000000000003"/>
    <n v="0"/>
    <n v="7412"/>
    <n v="0"/>
    <n v="2886.1269635973586"/>
    <n v="0"/>
    <n v="0"/>
    <n v="0"/>
    <n v="4526"/>
    <n v="0"/>
    <n v="4526"/>
    <s v="Release"/>
  </r>
  <r>
    <n v="30971.18842726892"/>
    <n v="17788"/>
    <n v="48759.18842726892"/>
    <x v="278"/>
    <x v="275"/>
    <n v="0"/>
    <s v="MPG"/>
    <s v="Direct"/>
    <n v="1010"/>
    <x v="9"/>
    <s v="Old"/>
    <d v="2023-03-31T00:00:00"/>
    <n v="1333.8000000000002"/>
    <n v="51299.465661620001"/>
    <n v="1000.3500000000001"/>
    <n v="1267.1100000000001"/>
    <n v="0"/>
    <n v="1538.9839698486001"/>
    <n v="271.87396984859993"/>
    <n v="133.38000000000002"/>
    <n v="1128.6017671915035"/>
    <n v="1005"/>
    <n v="1005"/>
    <n v="0"/>
    <n v="0"/>
    <n v="0"/>
    <n v="0"/>
    <n v="0"/>
    <n v="0"/>
    <n v="0"/>
    <s v="Release"/>
  </r>
  <r>
    <n v="0"/>
    <n v="14531.984399999999"/>
    <n v="14531.984399999999"/>
    <x v="279"/>
    <x v="276"/>
    <n v="0"/>
    <s v="MPG"/>
    <s v="Direct"/>
    <n v="1010"/>
    <x v="9"/>
    <s v="Old"/>
    <d v="2023-04-01T00:00:00"/>
    <n v="1905.5"/>
    <n v="70057.062933640002"/>
    <n v="1429.125"/>
    <n v="1810.2249999999999"/>
    <n v="97.590975360000016"/>
    <n v="2101.7118880091998"/>
    <n v="291.4868880091999"/>
    <n v="190.55"/>
    <n v="657.60765398627723"/>
    <n v="2489"/>
    <n v="0"/>
    <n v="1401.1412586727999"/>
    <n v="429"/>
    <n v="0"/>
    <n v="0"/>
    <n v="659"/>
    <n v="0"/>
    <n v="659"/>
    <s v="Release"/>
  </r>
  <r>
    <n v="0"/>
    <n v="0"/>
    <n v="0"/>
    <x v="280"/>
    <x v="277"/>
    <n v="0"/>
    <s v="vlc"/>
    <s v="Indirect"/>
    <n v="1007"/>
    <x v="7"/>
    <s v="Old"/>
    <d v="2023-11-08T00:00:00"/>
    <n v="342.4"/>
    <n v="12794.045302426"/>
    <n v="256.79999999999995"/>
    <n v="325.27999999999997"/>
    <n v="0"/>
    <n v="383.82135907278001"/>
    <n v="58.54135907278004"/>
    <n v="34.24"/>
    <n v="547.61524509754736"/>
    <n v="0"/>
    <n v="0"/>
    <n v="0"/>
    <n v="0"/>
    <n v="0"/>
    <n v="0"/>
    <n v="0"/>
    <n v="0"/>
    <n v="0"/>
    <s v="Release"/>
  </r>
  <r>
    <n v="56425.692866156285"/>
    <n v="6330"/>
    <n v="62755.692866156285"/>
    <x v="281"/>
    <x v="278"/>
    <n v="0"/>
    <s v="MPG"/>
    <s v="Direct"/>
    <n v="1007"/>
    <x v="7"/>
    <s v="Old"/>
    <d v="2023-11-08T00:00:00"/>
    <n v="382.9"/>
    <n v="16835.318752858599"/>
    <n v="287.17499999999995"/>
    <n v="363.75499999999994"/>
    <n v="0"/>
    <n v="505.05956258575793"/>
    <n v="141.30456258575799"/>
    <n v="38.29"/>
    <n v="613.0273802339068"/>
    <n v="0"/>
    <n v="0"/>
    <n v="0"/>
    <n v="0"/>
    <n v="0"/>
    <n v="0"/>
    <n v="0"/>
    <n v="0"/>
    <n v="0"/>
    <s v="Release"/>
  </r>
  <r>
    <n v="67438.471268697962"/>
    <n v="6400"/>
    <n v="73838.471268697962"/>
    <x v="282"/>
    <x v="279"/>
    <n v="0"/>
    <s v="MPG"/>
    <s v="Direct"/>
    <n v="1007"/>
    <x v="7"/>
    <s v="Old"/>
    <d v="2023-11-30T00:00:00"/>
    <n v="687.3"/>
    <n v="33884.411308241601"/>
    <n v="515.47499999999991"/>
    <n v="652.93499999999995"/>
    <n v="0"/>
    <n v="1016.5323392472479"/>
    <n v="363.59733924724799"/>
    <n v="68.73"/>
    <n v="1099.4968107375885"/>
    <n v="0"/>
    <n v="0"/>
    <n v="0"/>
    <n v="0"/>
    <n v="0"/>
    <n v="0"/>
    <n v="0"/>
    <n v="0"/>
    <n v="0"/>
    <s v="Release"/>
  </r>
  <r>
    <n v="42030.077545566164"/>
    <n v="9304.5715999999993"/>
    <n v="51334.64914556616"/>
    <x v="283"/>
    <x v="280"/>
    <n v="0"/>
    <s v="MPG"/>
    <s v="Direct"/>
    <n v="1010"/>
    <x v="9"/>
    <s v="Old"/>
    <d v="2024-06-28T00:00:00"/>
    <n v="5363.9999999999991"/>
    <n v="191040.01196699802"/>
    <n v="4022.9999999999991"/>
    <n v="5095.7999999999993"/>
    <n v="494.32017455100004"/>
    <n v="5731.2003590099403"/>
    <n v="635.40035900994098"/>
    <n v="536.4"/>
    <n v="270.81493322893834"/>
    <n v="8806"/>
    <n v="3820.8002393399606"/>
    <n v="0"/>
    <n v="0"/>
    <n v="0"/>
    <n v="0"/>
    <n v="4985"/>
    <n v="0"/>
    <n v="4985"/>
    <s v="Release"/>
  </r>
  <r>
    <n v="52481.810372899534"/>
    <n v="11274"/>
    <n v="63755.810372899534"/>
    <x v="284"/>
    <x v="281"/>
    <n v="0"/>
    <s v="MPG"/>
    <s v="Direct"/>
    <n v="1007"/>
    <x v="7"/>
    <s v="Old"/>
    <d v="2024-09-27T00:00:00"/>
    <n v="2206.5"/>
    <n v="81152.645346036006"/>
    <n v="1654.875"/>
    <n v="2096.1749999999997"/>
    <n v="15.450841410000002"/>
    <n v="2434.5793603810803"/>
    <n v="338.40436038108055"/>
    <n v="220.65"/>
    <n v="877.36145251642586"/>
    <n v="2668"/>
    <n v="1861"/>
    <n v="0"/>
    <n v="0"/>
    <n v="0"/>
    <n v="0"/>
    <n v="807"/>
    <n v="0"/>
    <n v="807"/>
    <s v="Release"/>
  </r>
  <r>
    <n v="25294.163877020241"/>
    <n v="14430.109400000001"/>
    <n v="39724.273277020242"/>
    <x v="285"/>
    <x v="282"/>
    <n v="0"/>
    <s v="MPG"/>
    <s v="Direct"/>
    <n v="1007"/>
    <x v="7"/>
    <s v="Old"/>
    <d v="2024-09-21T00:00:00"/>
    <n v="5210.6000000000004"/>
    <n v="194470.31416658699"/>
    <n v="3907.9500000000003"/>
    <n v="4950.07"/>
    <n v="16.441095330000003"/>
    <n v="5834.1094249976095"/>
    <n v="884.03942499760979"/>
    <n v="521.06000000000006"/>
    <n v="0"/>
    <n v="8353"/>
    <n v="3889.4062833317398"/>
    <n v="0"/>
    <n v="0"/>
    <n v="0"/>
    <n v="0"/>
    <n v="4464"/>
    <n v="0"/>
    <n v="4464"/>
    <s v="Release"/>
  </r>
  <r>
    <n v="65370.279803818499"/>
    <n v="12126"/>
    <n v="77496.279803818499"/>
    <x v="286"/>
    <x v="283"/>
    <n v="0"/>
    <s v="MPG"/>
    <s v="Direct"/>
    <n v="1007"/>
    <x v="7"/>
    <s v="Old"/>
    <d v="2024-12-31T00:00:00"/>
    <n v="741.69999999999993"/>
    <n v="32613.457432418498"/>
    <n v="556.27499999999998"/>
    <n v="704.6149999999999"/>
    <n v="391.10256389340003"/>
    <n v="978.40372297255487"/>
    <n v="273.78872297255498"/>
    <n v="74.17"/>
    <n v="1577.6189609197827"/>
    <n v="0"/>
    <n v="0"/>
    <n v="0"/>
    <n v="0"/>
    <n v="0"/>
    <n v="0"/>
    <n v="0"/>
    <n v="0"/>
    <n v="0"/>
    <s v="Release"/>
  </r>
  <r>
    <n v="59025.944661673871"/>
    <n v="16000"/>
    <n v="75025.944661673871"/>
    <x v="287"/>
    <x v="284"/>
    <n v="0"/>
    <s v="MPG"/>
    <s v="Direct"/>
    <n v="1007"/>
    <x v="7"/>
    <s v="Old"/>
    <d v="2024-12-31T00:00:00"/>
    <n v="1039.8000000000002"/>
    <n v="36812.932921880005"/>
    <n v="779.85000000000014"/>
    <n v="987.81000000000017"/>
    <n v="0"/>
    <n v="1104.3879876564001"/>
    <n v="116.57798765639996"/>
    <n v="103.98000000000002"/>
    <n v="1245.2269663119359"/>
    <n v="418"/>
    <n v="418"/>
    <n v="0"/>
    <n v="0"/>
    <n v="0"/>
    <n v="0"/>
    <n v="0"/>
    <n v="0"/>
    <n v="0"/>
    <s v="Release"/>
  </r>
  <r>
    <n v="0"/>
    <n v="0"/>
    <n v="0"/>
    <x v="288"/>
    <x v="285"/>
    <n v="0"/>
    <s v="MPG"/>
    <s v="Direct"/>
    <n v="1055"/>
    <x v="10"/>
    <s v="Old"/>
    <d v="2017-09-01T00:00:00"/>
    <n v="7304"/>
    <n v="288872.70095621003"/>
    <n v="5478"/>
    <n v="6938.7999999999993"/>
    <n v="6856.4122641000004"/>
    <n v="8666.1810286863001"/>
    <n v="1727.3810286863009"/>
    <n v="730.40000000000009"/>
    <n v="0"/>
    <n v="18543"/>
    <n v="0"/>
    <n v="0"/>
    <n v="0"/>
    <n v="0"/>
    <n v="0"/>
    <n v="18543"/>
    <n v="0"/>
    <n v="18543"/>
    <s v="Release"/>
  </r>
  <r>
    <n v="3254.993093608311"/>
    <n v="0"/>
    <n v="3254.993093608311"/>
    <x v="289"/>
    <x v="286"/>
    <n v="0"/>
    <s v="MPG"/>
    <s v="Direct"/>
    <n v="1055"/>
    <x v="10"/>
    <s v="Old"/>
    <d v="2017-09-01T00:00:00"/>
    <n v="1539.0000000000005"/>
    <n v="56265.645420320005"/>
    <n v="1154.2500000000005"/>
    <n v="1462.0500000000004"/>
    <n v="0"/>
    <n v="1687.9693626096"/>
    <n v="225.9193626095996"/>
    <n v="153.90000000000006"/>
    <n v="915.58969185353669"/>
    <n v="1547"/>
    <n v="1547"/>
    <n v="0"/>
    <n v="0"/>
    <n v="0"/>
    <n v="0"/>
    <n v="0"/>
    <n v="0"/>
    <n v="0"/>
    <s v="Release"/>
  </r>
  <r>
    <n v="0"/>
    <n v="0"/>
    <n v="0"/>
    <x v="290"/>
    <x v="287"/>
    <n v="0"/>
    <s v="MPG"/>
    <s v="Direct"/>
    <n v="1011"/>
    <x v="12"/>
    <s v="Old"/>
    <d v="2017-09-01T00:00:00"/>
    <n v="1903.7999999999997"/>
    <n v="71262.319528709995"/>
    <n v="1427.85"/>
    <n v="1808.6099999999997"/>
    <n v="210.23200830600007"/>
    <n v="2137.8695858612996"/>
    <n v="329.25958586129991"/>
    <n v="190.38"/>
    <n v="673.31413996040146"/>
    <n v="2583"/>
    <n v="0"/>
    <n v="0"/>
    <n v="0"/>
    <n v="0"/>
    <n v="0"/>
    <n v="2583"/>
    <n v="0"/>
    <n v="2583"/>
    <s v="Release"/>
  </r>
  <r>
    <n v="0"/>
    <n v="0"/>
    <n v="0"/>
    <x v="291"/>
    <x v="288"/>
    <n v="0"/>
    <s v="MPG"/>
    <s v="Direct"/>
    <n v="1055"/>
    <x v="10"/>
    <s v="Old"/>
    <d v="2017-09-01T00:00:00"/>
    <n v="16984.400000000001"/>
    <n v="693374.70409408933"/>
    <n v="12738.300000000001"/>
    <n v="16135.18"/>
    <n v="9058.8885878176188"/>
    <n v="20801.241122822681"/>
    <n v="4666.0611228226808"/>
    <n v="1698.4400000000003"/>
    <n v="0"/>
    <n v="36234"/>
    <n v="0"/>
    <n v="0"/>
    <n v="0"/>
    <n v="0"/>
    <n v="0"/>
    <n v="36234"/>
    <n v="0"/>
    <n v="36234"/>
    <s v="Release"/>
  </r>
  <r>
    <n v="0"/>
    <n v="0"/>
    <n v="0"/>
    <x v="292"/>
    <x v="289"/>
    <n v="0"/>
    <s v="MPG"/>
    <s v="Direct"/>
    <n v="1011"/>
    <x v="12"/>
    <s v="Old"/>
    <d v="2017-09-01T00:00:00"/>
    <n v="4764.3999999999996"/>
    <n v="172224.67758638601"/>
    <n v="3573.2999999999997"/>
    <n v="4526.1799999999994"/>
    <n v="373.86187004100009"/>
    <n v="5166.7403275915804"/>
    <n v="640.56032759158097"/>
    <n v="476.44"/>
    <n v="0"/>
    <n v="7997"/>
    <n v="0"/>
    <n v="0"/>
    <n v="0"/>
    <n v="0"/>
    <n v="0"/>
    <n v="7997"/>
    <n v="0"/>
    <n v="7997"/>
    <s v="Release"/>
  </r>
  <r>
    <n v="0"/>
    <n v="0"/>
    <n v="0"/>
    <x v="293"/>
    <x v="290"/>
    <n v="0"/>
    <s v="vlc"/>
    <s v="Indirect"/>
    <n v="1011"/>
    <x v="12"/>
    <s v="Old"/>
    <d v="2017-09-01T00:00:00"/>
    <n v="27628.199999999997"/>
    <n v="1061926.4777767202"/>
    <n v="20721.149999999998"/>
    <n v="26246.789999999997"/>
    <n v="0"/>
    <n v="31857.794333301605"/>
    <n v="5611.0043333016074"/>
    <n v="2762.8199999999997"/>
    <n v="0"/>
    <n v="44205"/>
    <n v="0"/>
    <n v="0"/>
    <n v="0"/>
    <n v="0"/>
    <n v="0"/>
    <n v="44205"/>
    <n v="0"/>
    <n v="44205"/>
    <s v="Release"/>
  </r>
  <r>
    <n v="0"/>
    <n v="0"/>
    <n v="0"/>
    <x v="294"/>
    <x v="291"/>
    <n v="0"/>
    <s v="MPG"/>
    <s v="Direct"/>
    <n v="1011"/>
    <x v="12"/>
    <s v="Old"/>
    <d v="2022-04-30T00:00:00"/>
    <n v="3760"/>
    <n v="136867.11989648201"/>
    <n v="2820"/>
    <n v="3572"/>
    <n v="256.80335400000001"/>
    <n v="4106.0135968944596"/>
    <n v="534.01359689445962"/>
    <n v="376"/>
    <n v="0"/>
    <n v="6273"/>
    <n v="0"/>
    <n v="0"/>
    <n v="0"/>
    <n v="0"/>
    <n v="0"/>
    <n v="6273"/>
    <n v="0"/>
    <n v="6273"/>
    <s v="Release"/>
  </r>
  <r>
    <n v="0"/>
    <n v="0"/>
    <n v="0"/>
    <x v="295"/>
    <x v="292"/>
    <n v="0"/>
    <s v="MPG"/>
    <s v="Direct"/>
    <n v="1011"/>
    <x v="12"/>
    <s v="Old"/>
    <d v="2022-04-30T00:00:00"/>
    <n v="3854.2"/>
    <n v="170001.59287269192"/>
    <n v="2890.6499999999996"/>
    <n v="3661.49"/>
    <n v="2835.4736336814653"/>
    <n v="5100.0477861807576"/>
    <n v="1438.5577861807578"/>
    <n v="385.42"/>
    <n v="0"/>
    <n v="9002"/>
    <n v="0"/>
    <n v="0"/>
    <n v="0"/>
    <n v="0"/>
    <n v="0"/>
    <n v="9002"/>
    <n v="0"/>
    <n v="9002"/>
    <s v="Release"/>
  </r>
  <r>
    <n v="0"/>
    <n v="0"/>
    <n v="0"/>
    <x v="296"/>
    <x v="293"/>
    <n v="0"/>
    <s v="MPG"/>
    <s v="Direct"/>
    <n v="1055"/>
    <x v="10"/>
    <s v="Old"/>
    <d v="2022-05-13T00:00:00"/>
    <n v="4177.7000000000007"/>
    <n v="171482.27987197999"/>
    <n v="3133.2750000000005"/>
    <n v="3968.8150000000005"/>
    <n v="0"/>
    <n v="5144.4683961593992"/>
    <n v="1175.6533961593987"/>
    <n v="417.7700000000001"/>
    <n v="0"/>
    <n v="6684"/>
    <n v="0"/>
    <n v="0"/>
    <n v="0"/>
    <n v="0"/>
    <n v="0"/>
    <n v="6684"/>
    <n v="0"/>
    <n v="6684"/>
    <s v="Release"/>
  </r>
  <r>
    <n v="0"/>
    <n v="0"/>
    <n v="0"/>
    <x v="297"/>
    <x v="294"/>
    <n v="0"/>
    <s v="MPG"/>
    <s v="Direct"/>
    <n v="1055"/>
    <x v="10"/>
    <s v="Old"/>
    <d v="2022-05-13T00:00:00"/>
    <n v="2854.7"/>
    <n v="114746.71318711201"/>
    <n v="2141.0249999999996"/>
    <n v="2711.9649999999997"/>
    <n v="554.73293737500001"/>
    <n v="3442.4013956133599"/>
    <n v="730.43639561336022"/>
    <n v="285.46999999999997"/>
    <n v="48.883266370988267"/>
    <n v="5073"/>
    <n v="0"/>
    <n v="0"/>
    <n v="0"/>
    <n v="0"/>
    <n v="0"/>
    <n v="5073"/>
    <n v="0"/>
    <n v="5073"/>
    <s v="Release"/>
  </r>
  <r>
    <n v="0"/>
    <n v="6212.7274878963653"/>
    <n v="6212.7274878963653"/>
    <x v="298"/>
    <x v="295"/>
    <n v="0"/>
    <s v="MPG"/>
    <s v="Direct"/>
    <n v="1011"/>
    <x v="12"/>
    <s v="Old"/>
    <d v="2022-07-17T00:00:00"/>
    <n v="282.89999999999998"/>
    <n v="10953.211790217501"/>
    <n v="212.17499999999998"/>
    <n v="268.75499999999994"/>
    <n v="152.16073629846002"/>
    <n v="328.59635370652501"/>
    <n v="59.841353706525069"/>
    <n v="28.29"/>
    <n v="604.7062489102907"/>
    <n v="0"/>
    <n v="0"/>
    <n v="0"/>
    <n v="0"/>
    <n v="0"/>
    <n v="0"/>
    <n v="0"/>
    <n v="0"/>
    <n v="0"/>
    <s v="Release"/>
  </r>
  <r>
    <n v="0"/>
    <n v="0"/>
    <n v="0"/>
    <x v="299"/>
    <x v="296"/>
    <n v="0"/>
    <s v="vlc"/>
    <s v="Indirect"/>
    <n v="1055"/>
    <x v="10"/>
    <s v="Old"/>
    <d v="2023-10-27T00:00:00"/>
    <n v="1684.2"/>
    <n v="64637.566867460002"/>
    <n v="1263.1500000000001"/>
    <n v="1599.99"/>
    <n v="0"/>
    <n v="1939.1270060238"/>
    <n v="339.13700602380004"/>
    <n v="168.42000000000002"/>
    <n v="857.42629510611243"/>
    <n v="1837"/>
    <n v="0"/>
    <n v="0"/>
    <n v="0"/>
    <n v="0"/>
    <n v="0"/>
    <n v="1837"/>
    <n v="0"/>
    <n v="1837"/>
    <s v="Release"/>
  </r>
  <r>
    <n v="0"/>
    <n v="0"/>
    <n v="0"/>
    <x v="300"/>
    <x v="297"/>
    <n v="0"/>
    <s v="MPG"/>
    <s v="Indirect"/>
    <n v="1011"/>
    <x v="12"/>
    <s v="Old"/>
    <d v="2023-10-27T00:00:00"/>
    <n v="1997.2000000000003"/>
    <n v="75977.144405380008"/>
    <n v="1497.9"/>
    <n v="1897.3400000000001"/>
    <n v="0"/>
    <n v="2279.3143321614002"/>
    <n v="381.97433216140007"/>
    <n v="199.72000000000003"/>
    <n v="609.12565730341998"/>
    <n v="2586"/>
    <n v="0"/>
    <n v="0"/>
    <n v="2586"/>
    <n v="0"/>
    <n v="0"/>
    <n v="0"/>
    <n v="0"/>
    <n v="0"/>
    <s v="Release"/>
  </r>
  <r>
    <n v="0"/>
    <n v="0"/>
    <n v="0"/>
    <x v="301"/>
    <x v="298"/>
    <n v="0"/>
    <s v="MPG"/>
    <s v="Direct"/>
    <n v="1011"/>
    <x v="12"/>
    <s v="Old"/>
    <d v="2023-10-06T00:00:00"/>
    <n v="2929.3"/>
    <n v="118901.38242363"/>
    <n v="2196.9750000000004"/>
    <n v="2782.835"/>
    <n v="0"/>
    <n v="3567.0414727088996"/>
    <n v="784.20647270889958"/>
    <n v="292.93"/>
    <n v="73.96558476449411"/>
    <n v="4613"/>
    <n v="0"/>
    <n v="0"/>
    <n v="0"/>
    <n v="0"/>
    <n v="0"/>
    <n v="4613"/>
    <n v="0"/>
    <n v="4613"/>
    <s v="Release"/>
  </r>
  <r>
    <n v="77515.734166945098"/>
    <n v="6400"/>
    <n v="83915.734166945098"/>
    <x v="302"/>
    <x v="299"/>
    <n v="0"/>
    <s v="MPG"/>
    <s v="Direct"/>
    <n v="1011"/>
    <x v="12"/>
    <s v="Old"/>
    <d v="2024-02-01T00:00:00"/>
    <n v="379.40000000000003"/>
    <n v="18469.107418596399"/>
    <n v="284.55"/>
    <n v="360.43"/>
    <n v="406.3799063219401"/>
    <n v="554.073222557892"/>
    <n v="193.64322255789199"/>
    <n v="37.940000000000005"/>
    <n v="1013.0983449117898"/>
    <n v="0"/>
    <n v="0"/>
    <n v="0"/>
    <n v="0"/>
    <n v="0"/>
    <n v="0"/>
    <n v="0"/>
    <n v="0"/>
    <n v="0"/>
    <s v="Release"/>
  </r>
  <r>
    <n v="28286.175917460729"/>
    <n v="6400"/>
    <n v="34686.175917460729"/>
    <x v="303"/>
    <x v="300"/>
    <n v="0"/>
    <s v="MPG"/>
    <s v="Direct"/>
    <n v="1011"/>
    <x v="12"/>
    <s v="Old"/>
    <d v="2024-02-01T00:00:00"/>
    <n v="3241.0999999999995"/>
    <n v="133151.77365333601"/>
    <n v="2430.8249999999998"/>
    <n v="3079.0449999999992"/>
    <n v="0"/>
    <n v="3994.5532096000802"/>
    <n v="915.50820960008105"/>
    <n v="324.10999999999996"/>
    <n v="16.200474695256272"/>
    <n v="5170"/>
    <n v="2663.0354730667204"/>
    <n v="0"/>
    <n v="2404"/>
    <n v="0"/>
    <n v="0"/>
    <n v="103"/>
    <n v="0"/>
    <n v="103"/>
    <s v="Release"/>
  </r>
  <r>
    <n v="80614.125112166032"/>
    <n v="0"/>
    <n v="80614.125112166032"/>
    <x v="304"/>
    <x v="301"/>
    <n v="0"/>
    <s v="MPG"/>
    <s v="Direct"/>
    <n v="1011"/>
    <x v="12"/>
    <s v="Old"/>
    <d v="2024-02-01T00:00:00"/>
    <n v="1165.6999999999998"/>
    <n v="49653.318506659998"/>
    <n v="874.27499999999986"/>
    <n v="1107.4149999999997"/>
    <n v="0"/>
    <n v="1489.5995551997999"/>
    <n v="382.18455519980012"/>
    <n v="116.57"/>
    <n v="1392.2634792367669"/>
    <n v="473"/>
    <n v="473"/>
    <n v="0"/>
    <n v="0"/>
    <n v="0"/>
    <n v="0"/>
    <n v="0"/>
    <n v="0"/>
    <n v="0"/>
    <s v="Release"/>
  </r>
  <r>
    <n v="58098.617081603763"/>
    <n v="6400"/>
    <n v="64498.617081603763"/>
    <x v="305"/>
    <x v="302"/>
    <n v="0"/>
    <s v="MPG"/>
    <s v="Direct"/>
    <n v="1011"/>
    <x v="12"/>
    <s v="Old"/>
    <d v="2024-02-01T00:00:00"/>
    <n v="4351.8"/>
    <n v="169223.43101437"/>
    <n v="3263.8500000000004"/>
    <n v="4134.21"/>
    <n v="806.69998522080004"/>
    <n v="5076.7029304311"/>
    <n v="942.49293043109992"/>
    <n v="435.18000000000006"/>
    <n v="0"/>
    <n v="7770"/>
    <n v="3384.4686202874"/>
    <n v="0"/>
    <n v="0"/>
    <n v="0"/>
    <n v="0"/>
    <n v="4386"/>
    <n v="0"/>
    <n v="4386"/>
    <s v="Release"/>
  </r>
  <r>
    <n v="49388.271313132631"/>
    <n v="6400"/>
    <n v="55788.271313132631"/>
    <x v="306"/>
    <x v="303"/>
    <n v="0"/>
    <s v="MPG"/>
    <s v="Direct"/>
    <n v="1011"/>
    <x v="12"/>
    <s v="Old"/>
    <d v="2024-02-01T00:00:00"/>
    <n v="3696.7000000000003"/>
    <n v="148474.99804322002"/>
    <n v="2772.5250000000001"/>
    <n v="3511.8650000000002"/>
    <n v="1050.1758136080002"/>
    <n v="4454.2499412966008"/>
    <n v="942.38494129660057"/>
    <n v="369.67000000000007"/>
    <n v="0"/>
    <n v="6965"/>
    <n v="2969.4999608644007"/>
    <n v="0"/>
    <n v="0"/>
    <n v="0"/>
    <n v="0"/>
    <n v="3996"/>
    <n v="0"/>
    <n v="3996"/>
    <s v="Release"/>
  </r>
  <r>
    <n v="32571.203814253968"/>
    <n v="12800"/>
    <n v="45371.203814253968"/>
    <x v="307"/>
    <x v="304"/>
    <n v="0"/>
    <s v="MPG"/>
    <s v="Direct"/>
    <n v="1011"/>
    <x v="12"/>
    <s v="Old"/>
    <d v="2023-03-01T00:00:00"/>
    <n v="312.19999999999993"/>
    <n v="11374.580638039999"/>
    <n v="234.14999999999995"/>
    <n v="296.58999999999992"/>
    <n v="0"/>
    <n v="341.23741914119995"/>
    <n v="44.647419141200032"/>
    <n v="31.219999999999995"/>
    <n v="499.35654445250179"/>
    <n v="0"/>
    <n v="0"/>
    <n v="0"/>
    <n v="0"/>
    <n v="0"/>
    <n v="0"/>
    <n v="0"/>
    <n v="0"/>
    <n v="0"/>
    <s v="Release"/>
  </r>
  <r>
    <n v="54841.710735626293"/>
    <n v="5197"/>
    <n v="60038.710735626293"/>
    <x v="308"/>
    <x v="305"/>
    <n v="0"/>
    <s v="MPG"/>
    <s v="Direct"/>
    <n v="1011"/>
    <x v="12"/>
    <s v="Old"/>
    <d v="2024-02-01T00:00:00"/>
    <n v="410.1"/>
    <n v="14366.0706687975"/>
    <n v="307.57500000000005"/>
    <n v="389.59500000000003"/>
    <n v="0"/>
    <n v="430.98212006392498"/>
    <n v="41.387120063924954"/>
    <n v="41.010000000000005"/>
    <n v="655.82252901049765"/>
    <n v="0"/>
    <n v="0"/>
    <n v="0"/>
    <n v="0"/>
    <n v="0"/>
    <n v="0"/>
    <n v="0"/>
    <n v="0"/>
    <n v="0"/>
    <s v="Release"/>
  </r>
  <r>
    <n v="0"/>
    <n v="0"/>
    <n v="0"/>
    <x v="309"/>
    <x v="306"/>
    <n v="0"/>
    <s v="MPG"/>
    <s v="Direct"/>
    <n v="1011"/>
    <x v="12"/>
    <s v="Old"/>
    <d v="2024-05-17T00:00:00"/>
    <n v="6165.3"/>
    <n v="249283.75187664002"/>
    <n v="4623.9750000000004"/>
    <n v="5857.0349999999999"/>
    <n v="620.16714867648011"/>
    <n v="7478.5125562991998"/>
    <n v="1621.4775562991999"/>
    <n v="616.53000000000009"/>
    <n v="0"/>
    <n v="10485"/>
    <n v="0"/>
    <n v="0"/>
    <n v="0"/>
    <n v="0"/>
    <n v="0"/>
    <n v="10485"/>
    <n v="0"/>
    <n v="10485"/>
    <s v="Release"/>
  </r>
  <r>
    <n v="50462.167271201281"/>
    <n v="13072.128265076841"/>
    <n v="63534.295536278121"/>
    <x v="310"/>
    <x v="307"/>
    <n v="0"/>
    <s v="MPG"/>
    <s v="Direct"/>
    <n v="1011"/>
    <x v="12"/>
    <s v="Old"/>
    <d v="2024-05-17T00:00:00"/>
    <n v="1537"/>
    <n v="52954.139820374498"/>
    <n v="1152.75"/>
    <n v="1460.1499999999999"/>
    <n v="0"/>
    <n v="1588.6241946112348"/>
    <n v="128.47419461123491"/>
    <n v="153.70000000000002"/>
    <n v="874.85793638643315"/>
    <n v="1584"/>
    <n v="1584"/>
    <n v="0"/>
    <n v="0"/>
    <n v="0"/>
    <n v="0"/>
    <n v="0"/>
    <n v="0"/>
    <n v="0"/>
    <s v="Release"/>
  </r>
  <r>
    <n v="71880.801023811888"/>
    <n v="3200"/>
    <n v="75080.801023811888"/>
    <x v="311"/>
    <x v="308"/>
    <n v="0"/>
    <s v="MPG"/>
    <s v="Direct"/>
    <n v="1011"/>
    <x v="12"/>
    <s v="Old"/>
    <d v="2024-07-04T00:00:00"/>
    <n v="1162.6999999999998"/>
    <n v="42584.545791730998"/>
    <n v="872.02499999999986"/>
    <n v="1104.5649999999998"/>
    <n v="0"/>
    <n v="1277.5363737519299"/>
    <n v="172.97137375193006"/>
    <n v="116.26999999999998"/>
    <n v="1204.3000085168314"/>
    <n v="656"/>
    <n v="656"/>
    <n v="0"/>
    <n v="0"/>
    <n v="0"/>
    <n v="0"/>
    <n v="0"/>
    <n v="0"/>
    <n v="0"/>
    <s v="Release"/>
  </r>
  <r>
    <n v="55645.50429046026"/>
    <n v="0"/>
    <n v="55645.50429046026"/>
    <x v="312"/>
    <x v="309"/>
    <n v="0"/>
    <s v="MPG"/>
    <s v="Direct"/>
    <n v="1011"/>
    <x v="12"/>
    <s v="Old"/>
    <d v="2024-08-19T00:00:00"/>
    <n v="1804.3"/>
    <n v="70803.28654796"/>
    <n v="1353.2249999999999"/>
    <n v="1714.0849999999998"/>
    <n v="364.12953765000009"/>
    <n v="2124.0985964388001"/>
    <n v="410.01359643880028"/>
    <n v="180.43"/>
    <n v="775.0516682533912"/>
    <n v="2476"/>
    <n v="1861"/>
    <n v="0"/>
    <n v="0"/>
    <n v="0"/>
    <n v="0"/>
    <n v="615"/>
    <n v="0"/>
    <n v="615"/>
    <s v="Release"/>
  </r>
  <r>
    <n v="62474.494871608957"/>
    <n v="4576.2305999999999"/>
    <n v="67050.725471608952"/>
    <x v="313"/>
    <x v="310"/>
    <n v="0"/>
    <s v="MPG"/>
    <s v="Direct"/>
    <n v="1054"/>
    <x v="13"/>
    <s v="Old"/>
    <d v="2024-12-03T00:00:00"/>
    <n v="1733.96"/>
    <n v="60753.391750845105"/>
    <n v="1300.47"/>
    <n v="1647.2619999999999"/>
    <n v="1729.2942726000001"/>
    <n v="1822.601752525353"/>
    <n v="175.33975252535311"/>
    <n v="173.39600000000002"/>
    <n v="746.12955168123267"/>
    <n v="3758"/>
    <n v="1861"/>
    <n v="0"/>
    <n v="0"/>
    <n v="0"/>
    <n v="0"/>
    <n v="1897"/>
    <n v="1897"/>
    <n v="0"/>
    <s v="Yes"/>
  </r>
  <r>
    <n v="50902.409223911847"/>
    <n v="12800"/>
    <n v="63702.409223911847"/>
    <x v="314"/>
    <x v="311"/>
    <n v="0"/>
    <s v="MPG"/>
    <s v="Direct"/>
    <n v="1011"/>
    <x v="12"/>
    <s v="Old"/>
    <d v="2024-12-05T00:00:00"/>
    <n v="1509.1999999999998"/>
    <n v="56271.030790669996"/>
    <n v="1131.8999999999999"/>
    <n v="1433.7399999999998"/>
    <n v="856.4958592800001"/>
    <n v="1688.1309237200999"/>
    <n v="254.39092372010009"/>
    <n v="150.91999999999999"/>
    <n v="962.26845734220581"/>
    <n v="2309"/>
    <n v="1861"/>
    <n v="0"/>
    <n v="0"/>
    <n v="0"/>
    <n v="0"/>
    <n v="448"/>
    <n v="0"/>
    <n v="448"/>
    <s v="Release"/>
  </r>
  <r>
    <n v="62901.648000000001"/>
    <n v="6400"/>
    <n v="69301.648000000001"/>
    <x v="315"/>
    <x v="312"/>
    <n v="0"/>
    <s v="MPG"/>
    <s v="Direct"/>
    <n v="1011"/>
    <x v="12"/>
    <s v="Old"/>
    <d v="2024-12-03T00:00:00"/>
    <n v="1724.3"/>
    <n v="76192.220972220006"/>
    <n v="1293.2249999999999"/>
    <n v="1638.0849999999998"/>
    <n v="1286.2016373137001"/>
    <n v="2285.7666291666001"/>
    <n v="647.68162916660026"/>
    <n v="172.43"/>
    <n v="952.87789685416351"/>
    <n v="3092"/>
    <n v="1861"/>
    <n v="0"/>
    <n v="0"/>
    <n v="0"/>
    <n v="0"/>
    <n v="1231"/>
    <n v="1231"/>
    <n v="0"/>
    <s v="Yes"/>
  </r>
  <r>
    <n v="64627.038687220876"/>
    <n v="12800"/>
    <n v="77427.038687220876"/>
    <x v="316"/>
    <x v="313"/>
    <n v="0"/>
    <s v="MPG"/>
    <s v="Direct"/>
    <n v="1054"/>
    <x v="13"/>
    <s v="Old"/>
    <d v="2024-12-26T00:00:00"/>
    <n v="380.96"/>
    <n v="17479.354464366403"/>
    <n v="285.71999999999997"/>
    <n v="361.91199999999998"/>
    <n v="109.64482787070001"/>
    <n v="524.38063393099208"/>
    <n v="162.4686339309921"/>
    <n v="38.095999999999997"/>
    <n v="719.44811614709215"/>
    <n v="0"/>
    <n v="0"/>
    <n v="0"/>
    <n v="0"/>
    <n v="0"/>
    <n v="0"/>
    <n v="0"/>
    <n v="0"/>
    <n v="0"/>
    <s v="Release"/>
  </r>
  <r>
    <n v="71994"/>
    <n v="12800"/>
    <n v="84794"/>
    <x v="317"/>
    <x v="314"/>
    <n v="0"/>
    <s v="MPG"/>
    <s v="Direct"/>
    <n v="1054"/>
    <x v="13"/>
    <s v="Old"/>
    <d v="2024-12-27T00:00:00"/>
    <n v="668.98"/>
    <n v="27919.236935658002"/>
    <n v="501.73500000000001"/>
    <n v="635.53099999999995"/>
    <n v="0"/>
    <n v="837.57710806974001"/>
    <n v="202.04610806974006"/>
    <n v="66.89800000000001"/>
    <n v="1070.3546470817223"/>
    <n v="0"/>
    <n v="0"/>
    <n v="0"/>
    <n v="0"/>
    <n v="0"/>
    <n v="0"/>
    <n v="0"/>
    <n v="0"/>
    <n v="0"/>
    <s v="Release"/>
  </r>
  <r>
    <n v="0"/>
    <n v="0"/>
    <n v="0"/>
    <x v="318"/>
    <x v="315"/>
    <n v="0"/>
    <s v="MPG"/>
    <s v="Direct"/>
    <n v="1054"/>
    <x v="13"/>
    <s v="Old"/>
    <d v="2024-12-27T00:00:00"/>
    <n v="14419.54"/>
    <n v="584206.96828884399"/>
    <n v="10814.655000000001"/>
    <n v="13698.563"/>
    <n v="460.42844522400003"/>
    <n v="17526.209048665318"/>
    <n v="3827.6460486653177"/>
    <n v="1441.9540000000002"/>
    <n v="0"/>
    <n v="23532"/>
    <n v="0"/>
    <n v="0"/>
    <n v="0"/>
    <n v="0"/>
    <n v="0"/>
    <n v="23532"/>
    <n v="0"/>
    <n v="23532"/>
    <s v="Release"/>
  </r>
  <r>
    <n v="64355.002"/>
    <n v="12800"/>
    <n v="77155.002000000008"/>
    <x v="319"/>
    <x v="316"/>
    <n v="0"/>
    <s v="MPG"/>
    <s v="Direct"/>
    <n v="1054"/>
    <x v="13"/>
    <s v="Old"/>
    <d v="2025-01-15T00:00:00"/>
    <n v="939.21999999999991"/>
    <n v="39401.939591075497"/>
    <n v="704.41499999999996"/>
    <n v="892.2589999999999"/>
    <n v="918.53957037162002"/>
    <n v="1182.058187732265"/>
    <n v="289.79918773226507"/>
    <n v="93.921999999999997"/>
    <n v="1564.7281774346786"/>
    <n v="857"/>
    <n v="857"/>
    <n v="0"/>
    <n v="0"/>
    <n v="0"/>
    <n v="0"/>
    <n v="0"/>
    <n v="0"/>
    <n v="0"/>
    <s v="Release"/>
  </r>
  <r>
    <n v="67801.558569797548"/>
    <n v="9600"/>
    <n v="77401.558569797548"/>
    <x v="320"/>
    <x v="317"/>
    <n v="0"/>
    <s v="MPG"/>
    <s v="Direct"/>
    <n v="1011"/>
    <x v="12"/>
    <s v="Old"/>
    <d v="2025-02-12T00:00:00"/>
    <n v="1458"/>
    <n v="52670.012808961008"/>
    <n v="1093.5"/>
    <n v="1385.1"/>
    <n v="0"/>
    <n v="1580.1003842688301"/>
    <n v="195.0003842688302"/>
    <n v="145.80000000000001"/>
    <n v="969.03857700707522"/>
    <n v="1364"/>
    <n v="1364"/>
    <n v="0"/>
    <n v="0"/>
    <n v="0"/>
    <n v="0"/>
    <n v="0"/>
    <n v="0"/>
    <n v="0"/>
    <s v="Release"/>
  </r>
  <r>
    <n v="0"/>
    <n v="0"/>
    <n v="0"/>
    <x v="321"/>
    <x v="318"/>
    <n v="0"/>
    <s v="MPG"/>
    <s v="Direct"/>
    <n v="1011"/>
    <x v="12"/>
    <s v="Old"/>
    <d v="2025-02-04T00:00:00"/>
    <n v="25736.699999999997"/>
    <n v="997592.08215865935"/>
    <n v="19302.524999999998"/>
    <n v="24449.864999999994"/>
    <n v="1255.86620124"/>
    <n v="29927.76246475978"/>
    <n v="5477.8974647597861"/>
    <n v="2573.67"/>
    <n v="0"/>
    <n v="42435"/>
    <n v="0"/>
    <n v="0"/>
    <n v="0"/>
    <n v="0"/>
    <n v="0"/>
    <n v="42435"/>
    <n v="0"/>
    <n v="42435"/>
    <s v="Release"/>
  </r>
  <r>
    <n v="75406"/>
    <n v="0"/>
    <n v="75406"/>
    <x v="322"/>
    <x v="319"/>
    <n v="0"/>
    <s v="MPG"/>
    <s v="Direct"/>
    <n v="1054"/>
    <x v="13"/>
    <s v="Old"/>
    <d v="2025-02-14T00:00:00"/>
    <n v="1039.68"/>
    <n v="42598.099247457998"/>
    <n v="779.76"/>
    <n v="987.69600000000003"/>
    <n v="190.62647332110004"/>
    <n v="1277.9429774237399"/>
    <n v="290.24697742373985"/>
    <n v="103.96800000000002"/>
    <n v="1444.1965618123093"/>
    <n v="410"/>
    <n v="410"/>
    <n v="0"/>
    <n v="0"/>
    <n v="0"/>
    <n v="0"/>
    <n v="0"/>
    <n v="0"/>
    <n v="0"/>
    <s v="Release"/>
  </r>
  <r>
    <n v="67133"/>
    <n v="10305.2229682096"/>
    <n v="77438.222968209593"/>
    <x v="323"/>
    <x v="320"/>
    <n v="0"/>
    <s v="MPG"/>
    <s v="Direct"/>
    <n v="1055"/>
    <x v="10"/>
    <s v="Old"/>
    <d v="2025-03-29T00:00:00"/>
    <n v="598.90000000000009"/>
    <n v="27135.481137368501"/>
    <n v="449.17500000000007"/>
    <n v="568.95500000000004"/>
    <n v="373.98431547892005"/>
    <n v="814.064434121055"/>
    <n v="245.10943412105496"/>
    <n v="59.890000000000015"/>
    <n v="1332.348797517709"/>
    <n v="0"/>
    <n v="0"/>
    <n v="0"/>
    <n v="0"/>
    <n v="0"/>
    <n v="0"/>
    <n v="0"/>
    <n v="0"/>
    <n v="0"/>
    <s v="Release"/>
  </r>
  <r>
    <n v="64647.271935704208"/>
    <n v="0"/>
    <n v="64647.271935704208"/>
    <x v="324"/>
    <x v="321"/>
    <n v="0"/>
    <s v="MPG"/>
    <s v="Direct"/>
    <n v="1055"/>
    <x v="10"/>
    <s v="Old"/>
    <d v="2025-02-28T00:00:00"/>
    <n v="857.09999999999991"/>
    <n v="47125.584056949992"/>
    <n v="642.82499999999993"/>
    <n v="814.24499999999989"/>
    <n v="789.18474331636003"/>
    <n v="1413.7675217084998"/>
    <n v="599.52252170849988"/>
    <n v="85.71"/>
    <n v="2139.5724664162117"/>
    <n v="21"/>
    <n v="21"/>
    <n v="0"/>
    <n v="0"/>
    <n v="0"/>
    <n v="0"/>
    <n v="0"/>
    <n v="0"/>
    <n v="0"/>
    <s v="Release"/>
  </r>
  <r>
    <n v="77120.71160000001"/>
    <n v="0"/>
    <n v="77120.71160000001"/>
    <x v="325"/>
    <x v="322"/>
    <n v="0"/>
    <s v="MPG"/>
    <s v="Direct"/>
    <n v="1054"/>
    <x v="13"/>
    <s v="Old"/>
    <d v="2025-03-29T00:00:00"/>
    <n v="1978.1999999999998"/>
    <n v="73299.063617437991"/>
    <n v="1483.6499999999999"/>
    <n v="1879.2899999999997"/>
    <n v="0"/>
    <n v="2198.9719085231395"/>
    <n v="319.68190852313978"/>
    <n v="197.82"/>
    <n v="610.97463405222118"/>
    <n v="2554"/>
    <n v="1861"/>
    <n v="0"/>
    <n v="0"/>
    <n v="0"/>
    <n v="0"/>
    <n v="693"/>
    <n v="693"/>
    <n v="0"/>
    <s v="Yes"/>
  </r>
  <r>
    <n v="67384.6059190776"/>
    <n v="0"/>
    <n v="67384.6059190776"/>
    <x v="326"/>
    <x v="323"/>
    <n v="0"/>
    <s v="MPG"/>
    <s v="Direct"/>
    <n v="1054"/>
    <x v="13"/>
    <s v="Old"/>
    <d v="2025-03-29T00:00:00"/>
    <n v="2894.04"/>
    <n v="103888.677032511"/>
    <n v="2170.5299999999997"/>
    <n v="2749.3379999999997"/>
    <n v="0"/>
    <n v="3116.6603109753296"/>
    <n v="367.32231097532986"/>
    <n v="289.404"/>
    <n v="30.420291921973792"/>
    <n v="4600"/>
    <n v="2077.7735406502202"/>
    <n v="0"/>
    <n v="0"/>
    <n v="0"/>
    <n v="0"/>
    <n v="2522"/>
    <n v="2522"/>
    <n v="0"/>
    <s v="Yes"/>
  </r>
  <r>
    <n v="56613.591316453523"/>
    <n v="9468.7371999999996"/>
    <n v="66082.328516453519"/>
    <x v="327"/>
    <x v="324"/>
    <n v="0"/>
    <s v="MPG"/>
    <s v="Direct"/>
    <n v="1054"/>
    <x v="13"/>
    <s v="Old"/>
    <d v="2025-03-29T00:00:00"/>
    <n v="1957.8400000000001"/>
    <n v="75513.763704553901"/>
    <n v="1468.38"/>
    <n v="1859.9480000000001"/>
    <n v="2057.7549131294004"/>
    <n v="2265.4129111366169"/>
    <n v="405.46491113661682"/>
    <n v="195.78400000000002"/>
    <n v="649.66752753341825"/>
    <n v="4541"/>
    <n v="1861"/>
    <n v="0"/>
    <n v="0"/>
    <n v="0"/>
    <n v="0"/>
    <n v="2680"/>
    <n v="0"/>
    <n v="2680"/>
    <s v="Release"/>
  </r>
  <r>
    <n v="77402"/>
    <n v="12800"/>
    <n v="90202"/>
    <x v="328"/>
    <x v="325"/>
    <n v="0"/>
    <s v="MPG"/>
    <s v="Direct"/>
    <n v="1054"/>
    <x v="13"/>
    <s v="Old"/>
    <d v="2025-03-29T00:00:00"/>
    <n v="1270.58"/>
    <n v="47885.185939412993"/>
    <n v="952.93499999999995"/>
    <n v="1207.0509999999999"/>
    <n v="0"/>
    <n v="1436.5555781823898"/>
    <n v="229.50457818238988"/>
    <n v="127.05799999999999"/>
    <n v="1153.5276743324423"/>
    <n v="879"/>
    <n v="879"/>
    <n v="0"/>
    <n v="0"/>
    <n v="0"/>
    <n v="0"/>
    <n v="0"/>
    <n v="0"/>
    <n v="0"/>
    <s v="Release"/>
  </r>
  <r>
    <n v="51492.993321680988"/>
    <n v="14699"/>
    <n v="66191.993321680988"/>
    <x v="329"/>
    <x v="326"/>
    <n v="0"/>
    <s v="MPG"/>
    <s v="Direct"/>
    <n v="1054"/>
    <x v="13"/>
    <s v="Old"/>
    <d v="2025-06-11T00:00:00"/>
    <n v="4663.66"/>
    <n v="205853.21127415096"/>
    <n v="3497.7449999999999"/>
    <n v="4430.4769999999999"/>
    <n v="0"/>
    <n v="6175.5963382245291"/>
    <n v="1745.1193382245292"/>
    <n v="466.36599999999999"/>
    <n v="0"/>
    <n v="7462"/>
    <n v="4117.0642254830191"/>
    <n v="0"/>
    <n v="0"/>
    <n v="0"/>
    <n v="0"/>
    <n v="3345"/>
    <n v="0"/>
    <n v="3345"/>
    <s v="Release"/>
  </r>
  <r>
    <n v="75654"/>
    <n v="11353.4992"/>
    <n v="87007.499200000006"/>
    <x v="330"/>
    <x v="327"/>
    <n v="0"/>
    <s v="MPG"/>
    <s v="Direct"/>
    <n v="1054"/>
    <x v="13"/>
    <s v="Old"/>
    <d v="2025-03-29T00:00:00"/>
    <n v="1959.44"/>
    <n v="71532.531614928797"/>
    <n v="1469.58"/>
    <n v="1861.4680000000001"/>
    <n v="0"/>
    <n v="2145.9759484478636"/>
    <n v="284.50794844786355"/>
    <n v="195.94400000000002"/>
    <n v="612.92295581401129"/>
    <n v="2522"/>
    <n v="1861"/>
    <n v="0"/>
    <n v="0"/>
    <n v="0"/>
    <n v="0"/>
    <n v="661"/>
    <n v="0"/>
    <n v="661"/>
    <s v="Release"/>
  </r>
  <r>
    <n v="55872.329745475232"/>
    <n v="12800"/>
    <n v="68672.329745475232"/>
    <x v="331"/>
    <x v="328"/>
    <n v="0"/>
    <s v="MPG"/>
    <s v="Direct"/>
    <n v="1055"/>
    <x v="10"/>
    <s v="Old"/>
    <d v="2025-03-29T00:00:00"/>
    <n v="3520.7000000000003"/>
    <n v="142029.36169978403"/>
    <n v="2640.5250000000001"/>
    <n v="3344.665"/>
    <n v="1386.4649893924502"/>
    <n v="4260.8808509935207"/>
    <n v="916.21585099352069"/>
    <n v="352.07000000000005"/>
    <n v="0"/>
    <n v="7020"/>
    <n v="2840.5872339956804"/>
    <n v="0"/>
    <n v="0"/>
    <n v="0"/>
    <n v="0"/>
    <n v="4179"/>
    <n v="0"/>
    <n v="4179"/>
    <s v="Release"/>
  </r>
  <r>
    <n v="64917.959104465597"/>
    <n v="0"/>
    <n v="64917.959104465597"/>
    <x v="332"/>
    <x v="329"/>
    <n v="0"/>
    <s v="MPG"/>
    <s v="Direct"/>
    <n v="1055"/>
    <x v="10"/>
    <s v="Old"/>
    <d v="2025-03-29T00:00:00"/>
    <n v="2347.5"/>
    <n v="94449.249727649993"/>
    <n v="1760.625"/>
    <n v="2230.125"/>
    <n v="1342.5978605236203"/>
    <n v="2833.4774918294997"/>
    <n v="603.35249182949974"/>
    <n v="234.75"/>
    <n v="364.16805662691434"/>
    <n v="4734"/>
    <n v="1888.984994553"/>
    <n v="0"/>
    <n v="0"/>
    <n v="0"/>
    <n v="0"/>
    <n v="2845"/>
    <n v="2845"/>
    <n v="0"/>
    <s v="Yes"/>
  </r>
  <r>
    <n v="64128.762090341595"/>
    <n v="6096.7984000000006"/>
    <n v="70225.560490341595"/>
    <x v="333"/>
    <x v="330"/>
    <n v="0"/>
    <s v="MPG"/>
    <s v="Direct"/>
    <n v="1055"/>
    <x v="10"/>
    <s v="Old"/>
    <d v="2025-03-29T00:00:00"/>
    <n v="4029"/>
    <n v="157740.16606839999"/>
    <n v="3021.75"/>
    <n v="3827.5499999999997"/>
    <n v="705.58555737450001"/>
    <n v="4732.2049820519997"/>
    <n v="904.65498205199992"/>
    <n v="402.90000000000003"/>
    <n v="0"/>
    <n v="7152"/>
    <n v="3154.8033213680001"/>
    <n v="0"/>
    <n v="0"/>
    <n v="0"/>
    <n v="0"/>
    <n v="3997"/>
    <n v="3997"/>
    <n v="0"/>
    <s v="Yes"/>
  </r>
  <r>
    <n v="64599.511158120004"/>
    <n v="9862.2540000000008"/>
    <n v="74461.765158120004"/>
    <x v="334"/>
    <x v="331"/>
    <n v="0"/>
    <s v="MPG"/>
    <s v="Direct"/>
    <n v="1054"/>
    <x v="13"/>
    <s v="Old"/>
    <d v="2025-06-23T00:00:00"/>
    <n v="3076.8399999999997"/>
    <n v="114145.6688454439"/>
    <n v="2307.6299999999997"/>
    <n v="2922.9979999999996"/>
    <n v="0"/>
    <n v="3424.3700653633168"/>
    <n v="501.37206536331723"/>
    <n v="307.68399999999997"/>
    <n v="17.01281034746993"/>
    <n v="4906"/>
    <n v="2282.913376908878"/>
    <n v="0"/>
    <n v="0"/>
    <n v="0"/>
    <n v="0"/>
    <n v="2623"/>
    <n v="0"/>
    <n v="2623"/>
    <s v="Release"/>
  </r>
  <r>
    <n v="89735"/>
    <n v="0"/>
    <n v="89735"/>
    <x v="335"/>
    <x v="332"/>
    <n v="0"/>
    <s v="MPG"/>
    <s v="Direct"/>
    <n v="1054"/>
    <x v="13"/>
    <s v="Old"/>
    <d v="2025-04-25T00:00:00"/>
    <n v="1055.82"/>
    <n v="42308.260299435999"/>
    <n v="791.86500000000001"/>
    <n v="1003.0289999999999"/>
    <n v="0"/>
    <n v="1269.2478089830799"/>
    <n v="266.21880898308007"/>
    <n v="105.58199999999999"/>
    <n v="1396.8373583814334"/>
    <n v="292"/>
    <n v="292"/>
    <n v="0"/>
    <n v="0"/>
    <n v="0"/>
    <n v="0"/>
    <n v="0"/>
    <n v="0"/>
    <n v="0"/>
    <s v="Release"/>
  </r>
  <r>
    <n v="0"/>
    <n v="26735.537"/>
    <n v="26735.537"/>
    <x v="336"/>
    <x v="333"/>
    <n v="0"/>
    <s v="MPG"/>
    <s v="Direct"/>
    <n v="1054"/>
    <x v="13"/>
    <s v="Old"/>
    <d v="2025-05-09T00:00:00"/>
    <n v="9483.7000000000007"/>
    <n v="363715.92844216595"/>
    <n v="7112.7750000000005"/>
    <n v="9009.5149999999994"/>
    <n v="0"/>
    <n v="10911.477853264978"/>
    <n v="1901.9628532649785"/>
    <n v="948.37000000000012"/>
    <n v="0"/>
    <n v="15174"/>
    <n v="0"/>
    <n v="7274.3185688433196"/>
    <n v="0"/>
    <n v="0"/>
    <n v="0"/>
    <n v="7900"/>
    <n v="0"/>
    <n v="7900"/>
    <s v="Release"/>
  </r>
  <r>
    <n v="80401"/>
    <n v="0"/>
    <n v="80401"/>
    <x v="337"/>
    <x v="204"/>
    <n v="0"/>
    <s v="MPG"/>
    <s v="Direct"/>
    <n v="1054"/>
    <x v="13"/>
    <s v="Old"/>
    <d v="2025-04-23T00:00:00"/>
    <n v="1282.26"/>
    <n v="51057.373816367995"/>
    <n v="961.69499999999994"/>
    <n v="1218.1469999999999"/>
    <n v="0"/>
    <n v="1531.7212144910397"/>
    <n v="313.57421449103981"/>
    <n v="128.226"/>
    <n v="1208.6742215106656"/>
    <n v="843"/>
    <n v="843"/>
    <n v="0"/>
    <n v="0"/>
    <n v="0"/>
    <n v="0"/>
    <n v="0"/>
    <n v="0"/>
    <n v="0"/>
    <s v="Release"/>
  </r>
  <r>
    <n v="67905"/>
    <n v="11013.945599999999"/>
    <n v="78918.945600000006"/>
    <x v="338"/>
    <x v="334"/>
    <n v="0"/>
    <s v="MPG"/>
    <s v="Direct"/>
    <n v="1054"/>
    <x v="13"/>
    <s v="Old"/>
    <d v="2025-04-20T00:00:00"/>
    <n v="2817.6000000000004"/>
    <n v="108566.80323922"/>
    <n v="2113.2000000000003"/>
    <n v="2676.7200000000003"/>
    <n v="58.927744656000002"/>
    <n v="3257.0040971765998"/>
    <n v="580.28409717659952"/>
    <n v="281.76000000000005"/>
    <n v="87.822708402408637"/>
    <n v="4479"/>
    <n v="2171.3360647844002"/>
    <n v="0"/>
    <n v="0"/>
    <n v="0"/>
    <n v="0"/>
    <n v="2308"/>
    <n v="0"/>
    <n v="2308"/>
    <s v="Release"/>
  </r>
  <r>
    <n v="73934.354599999991"/>
    <n v="9600"/>
    <n v="83534.354599999991"/>
    <x v="339"/>
    <x v="335"/>
    <n v="0"/>
    <s v="MPG"/>
    <s v="Direct"/>
    <n v="1054"/>
    <x v="13"/>
    <s v="Old"/>
    <d v="2025-05-09T00:00:00"/>
    <n v="725.4"/>
    <n v="32682.872259956504"/>
    <n v="544.04999999999995"/>
    <n v="689.13"/>
    <n v="602.52829928741005"/>
    <n v="980.48616779869508"/>
    <n v="291.35616779869508"/>
    <n v="72.540000000000006"/>
    <n v="1762.8542354120227"/>
    <n v="0"/>
    <n v="0"/>
    <n v="0"/>
    <n v="0"/>
    <n v="0"/>
    <n v="0"/>
    <n v="0"/>
    <n v="0"/>
    <n v="0"/>
    <s v="Release"/>
  </r>
  <r>
    <n v="43452.409054434189"/>
    <n v="15057.386200000001"/>
    <n v="58509.79525443419"/>
    <x v="340"/>
    <x v="336"/>
    <n v="0"/>
    <s v="MPG"/>
    <s v="Direct"/>
    <n v="1054"/>
    <x v="13"/>
    <s v="Old"/>
    <d v="2025-05-09T00:00:00"/>
    <n v="3511.72"/>
    <n v="140838.220350474"/>
    <n v="2633.79"/>
    <n v="3336.1339999999996"/>
    <n v="2109.8517904425003"/>
    <n v="4225.1466105142199"/>
    <n v="889.01261051422034"/>
    <n v="351.17200000000003"/>
    <n v="0"/>
    <n v="7729"/>
    <n v="2816.7644070094802"/>
    <n v="0"/>
    <n v="0"/>
    <n v="0"/>
    <n v="0"/>
    <n v="4912"/>
    <n v="0"/>
    <n v="4912"/>
    <s v="Release"/>
  </r>
  <r>
    <n v="39351.76603904611"/>
    <n v="19200"/>
    <n v="58551.76603904611"/>
    <x v="341"/>
    <x v="337"/>
    <n v="0"/>
    <s v="MPG"/>
    <s v="Direct"/>
    <n v="1054"/>
    <x v="13"/>
    <s v="Old"/>
    <d v="2025-05-09T00:00:00"/>
    <n v="3569.02"/>
    <n v="130774.6226173437"/>
    <n v="2676.7649999999999"/>
    <n v="3390.569"/>
    <n v="0"/>
    <n v="3923.2386785203107"/>
    <n v="532.66967852031075"/>
    <n v="356.90200000000004"/>
    <n v="0"/>
    <n v="5710"/>
    <n v="2615.492452346874"/>
    <n v="0"/>
    <n v="0"/>
    <n v="0"/>
    <n v="0"/>
    <n v="3095"/>
    <n v="0"/>
    <n v="3095"/>
    <s v="Release"/>
  </r>
  <r>
    <n v="52728.359230474394"/>
    <n v="8799.2216000000008"/>
    <n v="61527.580830474399"/>
    <x v="342"/>
    <x v="338"/>
    <n v="0"/>
    <s v="MPG"/>
    <s v="Direct"/>
    <n v="1054"/>
    <x v="13"/>
    <s v="Old"/>
    <d v="2025-05-09T00:00:00"/>
    <n v="3337.88"/>
    <n v="124815.8991796913"/>
    <n v="2503.41"/>
    <n v="3170.9859999999999"/>
    <n v="0"/>
    <n v="3744.476975390739"/>
    <n v="573.4909753907391"/>
    <n v="333.78800000000001"/>
    <n v="21.727699105545572"/>
    <n v="5319"/>
    <n v="2496.3179835938263"/>
    <n v="0"/>
    <n v="0"/>
    <n v="0"/>
    <n v="0"/>
    <n v="2823"/>
    <n v="0"/>
    <n v="2823"/>
    <s v="Release"/>
  </r>
  <r>
    <n v="0"/>
    <n v="0"/>
    <n v="0"/>
    <x v="343"/>
    <x v="339"/>
    <n v="0"/>
    <s v="MPG"/>
    <s v="Direct"/>
    <n v="1011"/>
    <x v="12"/>
    <s v="Old"/>
    <d v="2025-04-21T00:00:00"/>
    <n v="4454.6000000000004"/>
    <n v="161799.7255047014"/>
    <n v="3340.9500000000003"/>
    <n v="4231.87"/>
    <n v="0"/>
    <n v="4853.9917651410424"/>
    <n v="622.12176514104249"/>
    <n v="445.46000000000004"/>
    <n v="13.834736656891483"/>
    <n v="7114"/>
    <n v="0"/>
    <n v="0"/>
    <n v="0"/>
    <n v="0"/>
    <n v="0"/>
    <n v="7114"/>
    <n v="0"/>
    <n v="7114"/>
    <s v="Release"/>
  </r>
  <r>
    <n v="82219"/>
    <n v="9600"/>
    <n v="91819"/>
    <x v="344"/>
    <x v="340"/>
    <n v="0"/>
    <s v="MPG"/>
    <s v="Direct"/>
    <n v="1054"/>
    <x v="13"/>
    <s v="Old"/>
    <d v="2025-05-28T00:00:00"/>
    <n v="1530.88"/>
    <n v="55746.443024714899"/>
    <n v="1148.1600000000001"/>
    <n v="1454.336"/>
    <n v="0"/>
    <n v="1672.3932907414469"/>
    <n v="218.05729074144688"/>
    <n v="153.08800000000002"/>
    <n v="923.69496758882656"/>
    <n v="1526"/>
    <n v="1526"/>
    <n v="0"/>
    <n v="0"/>
    <n v="0"/>
    <n v="0"/>
    <n v="0"/>
    <n v="0"/>
    <n v="0"/>
    <s v="Release"/>
  </r>
  <r>
    <n v="0"/>
    <n v="0"/>
    <n v="0"/>
    <x v="345"/>
    <x v="341"/>
    <n v="0"/>
    <s v="vlc"/>
    <s v="Indirect"/>
    <n v="1011"/>
    <x v="12"/>
    <s v="Old"/>
    <d v="2025-06-13T00:00:00"/>
    <n v="2583.1"/>
    <n v="99436.325846530002"/>
    <n v="1937.3249999999998"/>
    <n v="2453.9449999999997"/>
    <n v="0"/>
    <n v="2983.0897753958998"/>
    <n v="529.14477539590007"/>
    <n v="258.31"/>
    <n v="206.47798079929618"/>
    <n v="3926"/>
    <n v="0"/>
    <n v="0"/>
    <n v="0"/>
    <n v="0"/>
    <n v="0"/>
    <n v="3926"/>
    <n v="0"/>
    <n v="3926"/>
    <s v="Release"/>
  </r>
  <r>
    <n v="0"/>
    <n v="0"/>
    <n v="0"/>
    <x v="346"/>
    <x v="342"/>
    <n v="0"/>
    <s v="vlc"/>
    <s v="Indirect"/>
    <n v="1055"/>
    <x v="10"/>
    <s v="Old"/>
    <d v="2025-06-20T00:00:00"/>
    <n v="1233.8"/>
    <n v="45849.276597479999"/>
    <n v="925.34999999999991"/>
    <n v="1172.1099999999999"/>
    <n v="0"/>
    <n v="1375.4782979243998"/>
    <n v="203.36829792439994"/>
    <n v="123.38"/>
    <n v="1160.0701530893691"/>
    <n v="814"/>
    <n v="0"/>
    <n v="0"/>
    <n v="0"/>
    <n v="0"/>
    <n v="0"/>
    <n v="814"/>
    <n v="0"/>
    <n v="814"/>
    <s v="Release"/>
  </r>
  <r>
    <n v="0"/>
    <n v="32000"/>
    <n v="32000"/>
    <x v="347"/>
    <x v="343"/>
    <n v="0"/>
    <s v="MPG"/>
    <s v="Direct"/>
    <n v="1011"/>
    <x v="12"/>
    <s v="Old"/>
    <d v="2025-07-07T00:00:00"/>
    <n v="18270.400000000001"/>
    <n v="694783.47911687358"/>
    <n v="13702.800000000001"/>
    <n v="17356.88"/>
    <n v="0"/>
    <n v="20843.504373506206"/>
    <n v="3486.6243735062053"/>
    <n v="1827.0400000000002"/>
    <n v="0"/>
    <n v="29233"/>
    <n v="0"/>
    <n v="13895.669582337472"/>
    <n v="0"/>
    <n v="0"/>
    <n v="0"/>
    <n v="15337"/>
    <n v="0"/>
    <n v="15337"/>
    <s v="Release"/>
  </r>
  <r>
    <n v="61271.384350530396"/>
    <n v="12800"/>
    <n v="74071.384350530396"/>
    <x v="348"/>
    <x v="344"/>
    <n v="0"/>
    <s v="MPG"/>
    <s v="Direct"/>
    <n v="1011"/>
    <x v="12"/>
    <s v="Old"/>
    <d v="2025-07-01T00:00:00"/>
    <n v="5870.6"/>
    <n v="221532.40004715003"/>
    <n v="4402.9500000000007"/>
    <n v="5577.07"/>
    <n v="424.25050320000008"/>
    <n v="6645.9720014145005"/>
    <n v="1068.9020014145008"/>
    <n v="587.06000000000006"/>
    <n v="0"/>
    <n v="9817"/>
    <n v="4430.6480009430006"/>
    <n v="0"/>
    <n v="0"/>
    <n v="0"/>
    <n v="0"/>
    <n v="5386"/>
    <n v="0"/>
    <n v="5386"/>
    <s v="Release"/>
  </r>
  <r>
    <n v="0"/>
    <n v="0"/>
    <n v="0"/>
    <x v="349"/>
    <x v="345"/>
    <n v="0"/>
    <s v="vlc"/>
    <s v="Indirect"/>
    <n v="1011"/>
    <x v="12"/>
    <s v="Old"/>
    <d v="2025-07-12T00:00:00"/>
    <n v="2929.9000000000005"/>
    <n v="101988.4636920395"/>
    <n v="2197.4250000000002"/>
    <n v="2783.4050000000002"/>
    <n v="0"/>
    <n v="3059.6539107611848"/>
    <n v="276.24891076118456"/>
    <n v="292.99000000000007"/>
    <n v="52.912040349109468"/>
    <n v="4635"/>
    <n v="0"/>
    <n v="0"/>
    <n v="0"/>
    <n v="0"/>
    <n v="0"/>
    <n v="4635"/>
    <n v="0"/>
    <n v="4635"/>
    <s v="Release"/>
  </r>
  <r>
    <n v="0"/>
    <n v="0"/>
    <n v="0"/>
    <x v="350"/>
    <x v="346"/>
    <n v="0"/>
    <s v="vlc"/>
    <s v="Indirect"/>
    <n v="1011"/>
    <x v="12"/>
    <s v="Old"/>
    <d v="2025-07-11T00:00:00"/>
    <n v="4092.2999999999997"/>
    <n v="144452.98816777102"/>
    <n v="3069.2249999999999"/>
    <n v="3887.6849999999995"/>
    <n v="0"/>
    <n v="4333.5896450331302"/>
    <n v="445.90464503313069"/>
    <n v="409.23"/>
    <n v="0"/>
    <n v="6548"/>
    <n v="0"/>
    <n v="0"/>
    <n v="0"/>
    <n v="0"/>
    <n v="0"/>
    <n v="6548"/>
    <n v="0"/>
    <n v="6548"/>
    <s v="Release"/>
  </r>
  <r>
    <n v="0"/>
    <n v="0"/>
    <n v="0"/>
    <x v="351"/>
    <x v="347"/>
    <n v="0"/>
    <s v="vlc"/>
    <s v="Indirect"/>
    <n v="1011"/>
    <x v="12"/>
    <s v="Old"/>
    <d v="2025-07-25T00:00:00"/>
    <n v="631.59999999999991"/>
    <n v="22501.509999999995"/>
    <n v="473.69999999999993"/>
    <n v="600.01999999999987"/>
    <n v="0"/>
    <n v="675.04529999999977"/>
    <n v="75.025299999999902"/>
    <n v="63.16"/>
    <n v="542.49986613709495"/>
    <n v="468"/>
    <n v="0"/>
    <n v="0"/>
    <n v="0"/>
    <n v="0"/>
    <n v="0"/>
    <n v="468"/>
    <n v="468"/>
    <n v="0"/>
    <s v="Yes"/>
  </r>
  <r>
    <n v="0"/>
    <n v="0"/>
    <n v="0"/>
    <x v="352"/>
    <x v="348"/>
    <n v="0"/>
    <s v="vlc"/>
    <s v="Indirect"/>
    <n v="1012"/>
    <x v="14"/>
    <s v="Old"/>
    <d v="2019-06-06T00:00:00"/>
    <n v="673.87"/>
    <n v="30600.034843858281"/>
    <n v="505.40250000000003"/>
    <n v="640.17649999999992"/>
    <n v="0"/>
    <n v="918.00104531574834"/>
    <n v="277.82454531574842"/>
    <n v="67.387"/>
    <n v="1078.0219517257865"/>
    <n v="0"/>
    <n v="0"/>
    <n v="0"/>
    <n v="0"/>
    <n v="0"/>
    <n v="0"/>
    <n v="0"/>
    <n v="0"/>
    <n v="0"/>
    <s v="Release"/>
  </r>
  <r>
    <n v="0"/>
    <n v="0"/>
    <n v="0"/>
    <x v="353"/>
    <x v="349"/>
    <n v="0"/>
    <s v="vlc"/>
    <s v="Indirect"/>
    <n v="1012"/>
    <x v="14"/>
    <s v="Old"/>
    <d v="2019-06-06T00:00:00"/>
    <n v="1740.6799999999998"/>
    <n v="67625.53164412301"/>
    <n v="1305.5099999999998"/>
    <n v="1653.6459999999997"/>
    <n v="0"/>
    <n v="2028.7659493236902"/>
    <n v="375.11994932369043"/>
    <n v="174.06799999999998"/>
    <n v="823.67249923177314"/>
    <n v="1961"/>
    <n v="0"/>
    <n v="0"/>
    <n v="1961"/>
    <n v="0"/>
    <n v="0"/>
    <n v="0"/>
    <n v="0"/>
    <n v="0"/>
    <s v="Release"/>
  </r>
  <r>
    <n v="10793.436334753031"/>
    <n v="0"/>
    <n v="10793.436334753031"/>
    <x v="354"/>
    <x v="350"/>
    <n v="0"/>
    <s v="MPG"/>
    <s v="Direct"/>
    <n v="1012"/>
    <x v="14"/>
    <s v="Old"/>
    <d v="2019-08-01T00:00:00"/>
    <n v="1531.7200000000003"/>
    <n v="57369.698530127003"/>
    <n v="1148.7900000000002"/>
    <n v="1455.1340000000002"/>
    <n v="0"/>
    <n v="1721.09095590381"/>
    <n v="265.95695590380979"/>
    <n v="153.17200000000003"/>
    <n v="950.99718185006054"/>
    <n v="1500"/>
    <n v="1500"/>
    <n v="0"/>
    <n v="0"/>
    <n v="0"/>
    <n v="0"/>
    <n v="0"/>
    <n v="0"/>
    <n v="0"/>
    <s v="Release"/>
  </r>
  <r>
    <n v="0"/>
    <n v="0"/>
    <n v="0"/>
    <x v="355"/>
    <x v="351"/>
    <n v="0"/>
    <s v="MPG"/>
    <s v="Direct"/>
    <n v="1012"/>
    <x v="14"/>
    <s v="Old"/>
    <d v="2019-09-23T00:00:00"/>
    <n v="1573.84"/>
    <n v="57441.298781496203"/>
    <n v="1180.3799999999999"/>
    <n v="1495.1479999999999"/>
    <n v="221.82961031400004"/>
    <n v="1723.2389634448859"/>
    <n v="228.09096344488603"/>
    <n v="157.38400000000001"/>
    <n v="896.04518207535659"/>
    <n v="1844"/>
    <n v="0"/>
    <n v="0"/>
    <n v="0"/>
    <n v="0"/>
    <n v="0"/>
    <n v="1844"/>
    <n v="0"/>
    <n v="1844"/>
    <s v="Release"/>
  </r>
  <r>
    <n v="0"/>
    <n v="0"/>
    <n v="0"/>
    <x v="356"/>
    <x v="352"/>
    <n v="0"/>
    <s v="MPG"/>
    <s v="Direct"/>
    <n v="1012"/>
    <x v="14"/>
    <s v="Old"/>
    <d v="2019-09-23T00:00:00"/>
    <n v="5082.5300000000007"/>
    <n v="201283.01676902303"/>
    <n v="3811.8975000000005"/>
    <n v="4828.4035000000003"/>
    <n v="2466.0562019780004"/>
    <n v="6038.4905030706905"/>
    <n v="1210.0870030706901"/>
    <n v="508.2530000000001"/>
    <n v="0"/>
    <n v="10598"/>
    <n v="0"/>
    <n v="0"/>
    <n v="0"/>
    <n v="0"/>
    <n v="0"/>
    <n v="10598"/>
    <n v="0"/>
    <n v="10598"/>
    <s v="Release"/>
  </r>
  <r>
    <n v="0"/>
    <n v="0"/>
    <n v="0"/>
    <x v="357"/>
    <x v="353"/>
    <n v="0"/>
    <s v="vlc"/>
    <s v="Indirect"/>
    <n v="1012"/>
    <x v="14"/>
    <s v="Old"/>
    <d v="2019-10-18T00:00:00"/>
    <n v="254.11"/>
    <n v="8670.5285049868507"/>
    <n v="190.58250000000001"/>
    <n v="241.40450000000001"/>
    <n v="0"/>
    <n v="260.11585514960552"/>
    <n v="18.711355149605509"/>
    <n v="25.411000000000001"/>
    <n v="406.22242591402892"/>
    <n v="0"/>
    <n v="0"/>
    <n v="0"/>
    <n v="0"/>
    <n v="0"/>
    <n v="0"/>
    <n v="0"/>
    <n v="0"/>
    <n v="0"/>
    <s v="Release"/>
  </r>
  <r>
    <n v="0"/>
    <n v="0"/>
    <n v="0"/>
    <x v="358"/>
    <x v="354"/>
    <n v="0"/>
    <s v="vlc"/>
    <s v="Indirect"/>
    <n v="1012"/>
    <x v="14"/>
    <s v="Old"/>
    <d v="2020-03-13T00:00:00"/>
    <n v="7199.0399999999991"/>
    <n v="299267.56928150787"/>
    <n v="5399.2799999999988"/>
    <n v="6839.0879999999988"/>
    <n v="0"/>
    <n v="8978.027078445235"/>
    <n v="2138.9390784452362"/>
    <n v="719.904"/>
    <n v="0"/>
    <n v="11518"/>
    <n v="0"/>
    <n v="0"/>
    <n v="0"/>
    <n v="0"/>
    <n v="0"/>
    <n v="11518"/>
    <n v="0"/>
    <n v="11518"/>
    <s v="Release"/>
  </r>
  <r>
    <n v="0"/>
    <n v="0"/>
    <n v="0"/>
    <x v="359"/>
    <x v="355"/>
    <n v="0"/>
    <s v="vlc"/>
    <s v="Indirect"/>
    <n v="1012"/>
    <x v="14"/>
    <s v="Old"/>
    <d v="2020-03-27T00:00:00"/>
    <n v="1289.3000000000002"/>
    <n v="49407.988762713605"/>
    <n v="966.97500000000014"/>
    <n v="1224.835"/>
    <n v="0"/>
    <n v="1482.2396628814081"/>
    <n v="257.40466288140806"/>
    <n v="128.93000000000004"/>
    <n v="1152.3331301835135"/>
    <n v="911"/>
    <n v="0"/>
    <n v="0"/>
    <n v="0"/>
    <n v="0"/>
    <n v="0"/>
    <n v="911"/>
    <n v="0"/>
    <n v="911"/>
    <s v="Release"/>
  </r>
  <r>
    <n v="0"/>
    <n v="0"/>
    <n v="0"/>
    <x v="360"/>
    <x v="356"/>
    <n v="0"/>
    <s v="MPG"/>
    <s v="Direct"/>
    <n v="1012"/>
    <x v="14"/>
    <s v="Old"/>
    <d v="2020-04-03T00:00:00"/>
    <n v="3208.45"/>
    <n v="140423.55206959246"/>
    <n v="2406.3374999999996"/>
    <n v="3048.0274999999997"/>
    <n v="2492.7043499100005"/>
    <n v="4212.7065620877738"/>
    <n v="1164.6790620877741"/>
    <n v="320.84500000000003"/>
    <n v="0"/>
    <n v="7626"/>
    <n v="0"/>
    <n v="0"/>
    <n v="0"/>
    <n v="0"/>
    <n v="0"/>
    <n v="7626"/>
    <n v="0"/>
    <n v="7626"/>
    <s v="Release"/>
  </r>
  <r>
    <n v="0"/>
    <n v="0"/>
    <n v="0"/>
    <x v="361"/>
    <x v="357"/>
    <n v="0"/>
    <s v="vlc"/>
    <s v="Indirect"/>
    <n v="1012"/>
    <x v="14"/>
    <s v="Old"/>
    <d v="2020-04-14T00:00:00"/>
    <n v="1453.2200000000003"/>
    <n v="50077.328797258451"/>
    <n v="1089.9150000000002"/>
    <n v="1380.5590000000002"/>
    <n v="0"/>
    <n v="1502.3198639177535"/>
    <n v="121.76086391775334"/>
    <n v="145.32200000000003"/>
    <n v="920.38125296828457"/>
    <n v="1405"/>
    <n v="0"/>
    <n v="0"/>
    <n v="0"/>
    <n v="0"/>
    <n v="0"/>
    <n v="1405"/>
    <n v="0"/>
    <n v="1405"/>
    <s v="Release"/>
  </r>
  <r>
    <n v="0"/>
    <n v="0"/>
    <n v="0"/>
    <x v="362"/>
    <x v="358"/>
    <n v="0"/>
    <s v="MPG"/>
    <s v="Direct"/>
    <n v="1012"/>
    <x v="14"/>
    <s v="Old"/>
    <d v="2020-04-15T00:00:00"/>
    <n v="4006.61"/>
    <n v="160845.00236742603"/>
    <n v="3004.9575"/>
    <n v="3806.2795000000001"/>
    <n v="0"/>
    <n v="4825.3500710227809"/>
    <n v="1019.0705710227808"/>
    <n v="400.66100000000006"/>
    <n v="0"/>
    <n v="6411"/>
    <n v="0"/>
    <n v="0"/>
    <n v="0"/>
    <n v="0"/>
    <n v="0"/>
    <n v="6411"/>
    <n v="0"/>
    <n v="6411"/>
    <s v="Release"/>
  </r>
  <r>
    <n v="0"/>
    <n v="0"/>
    <n v="0"/>
    <x v="363"/>
    <x v="233"/>
    <n v="0"/>
    <s v="MPG"/>
    <s v="Direct"/>
    <n v="1012"/>
    <x v="14"/>
    <s v="Old"/>
    <d v="2020-04-21T00:00:00"/>
    <n v="5147.41"/>
    <n v="194773.596948502"/>
    <n v="3860.5574999999999"/>
    <n v="4890.0394999999999"/>
    <n v="0"/>
    <n v="5843.2079084550596"/>
    <n v="953.16840845505976"/>
    <n v="514.74099999999999"/>
    <n v="0"/>
    <n v="8236"/>
    <n v="0"/>
    <n v="0"/>
    <n v="0"/>
    <n v="0"/>
    <n v="0"/>
    <n v="8236"/>
    <n v="0"/>
    <n v="8236"/>
    <s v="Release"/>
  </r>
  <r>
    <n v="20026.451360650244"/>
    <n v="0"/>
    <n v="20026.451360650244"/>
    <x v="364"/>
    <x v="359"/>
    <n v="0"/>
    <s v="MPG"/>
    <s v="Direct"/>
    <n v="1012"/>
    <x v="14"/>
    <s v="Old"/>
    <d v="2020-10-16T00:00:00"/>
    <n v="1076.3499999999999"/>
    <n v="39722.628332881795"/>
    <n v="807.26249999999993"/>
    <n v="1022.5324999999999"/>
    <n v="798.45248585985007"/>
    <n v="1191.6788499864538"/>
    <n v="169.14634998645386"/>
    <n v="107.63499999999999"/>
    <n v="1270.6607876351222"/>
    <n v="1250"/>
    <n v="1250"/>
    <n v="0"/>
    <n v="0"/>
    <n v="0"/>
    <n v="0"/>
    <n v="0"/>
    <n v="0"/>
    <n v="0"/>
    <s v="Release"/>
  </r>
  <r>
    <n v="0"/>
    <n v="0"/>
    <n v="0"/>
    <x v="365"/>
    <x v="360"/>
    <n v="0"/>
    <s v="MPG"/>
    <s v="Direct"/>
    <n v="1012"/>
    <x v="14"/>
    <s v="Old"/>
    <d v="2020-10-31T00:00:00"/>
    <n v="1754.14"/>
    <n v="67410.657779575995"/>
    <n v="1315.605"/>
    <n v="1666.433"/>
    <n v="0"/>
    <n v="2022.3197333872797"/>
    <n v="355.88673338727972"/>
    <n v="175.41400000000002"/>
    <n v="800.90777615439015"/>
    <n v="2006"/>
    <n v="0"/>
    <n v="0"/>
    <n v="0"/>
    <n v="0"/>
    <n v="0"/>
    <n v="2006"/>
    <n v="0"/>
    <n v="2006"/>
    <s v="Release"/>
  </r>
  <r>
    <n v="0"/>
    <n v="7710.7308500784711"/>
    <n v="7710.7308500784711"/>
    <x v="366"/>
    <x v="361"/>
    <n v="0"/>
    <s v="MPG"/>
    <s v="Direct"/>
    <n v="1012"/>
    <x v="14"/>
    <s v="Old"/>
    <d v="2020-11-27T00:00:00"/>
    <n v="883.39999999999986"/>
    <n v="33629.798504441598"/>
    <n v="662.55"/>
    <n v="839.22999999999979"/>
    <n v="0"/>
    <n v="1008.8939551332479"/>
    <n v="169.66395513324812"/>
    <n v="88.339999999999989"/>
    <n v="1413.8261405720968"/>
    <n v="0"/>
    <n v="0"/>
    <n v="0"/>
    <n v="0"/>
    <n v="0"/>
    <n v="0"/>
    <n v="0"/>
    <n v="0"/>
    <n v="0"/>
    <s v="Release"/>
  </r>
  <r>
    <n v="27853"/>
    <n v="0"/>
    <n v="27853"/>
    <x v="367"/>
    <x v="362"/>
    <n v="0"/>
    <s v="MPG"/>
    <s v="Direct"/>
    <n v="1012"/>
    <x v="14"/>
    <s v="Old"/>
    <d v="2020-11-30T00:00:00"/>
    <n v="983.58000000000015"/>
    <n v="37623.802128755997"/>
    <n v="737.68500000000017"/>
    <n v="934.40100000000007"/>
    <n v="989.18702445600002"/>
    <n v="1128.71406386268"/>
    <n v="194.31306386267988"/>
    <n v="98.358000000000018"/>
    <n v="1389.57431847269"/>
    <n v="1173"/>
    <n v="1173"/>
    <n v="0"/>
    <n v="0"/>
    <n v="0"/>
    <n v="0"/>
    <n v="0"/>
    <n v="0"/>
    <n v="0"/>
    <s v="Release"/>
  </r>
  <r>
    <n v="0"/>
    <n v="0"/>
    <n v="0"/>
    <x v="368"/>
    <x v="363"/>
    <n v="0"/>
    <s v="vlc"/>
    <s v="Indirect"/>
    <n v="1012"/>
    <x v="14"/>
    <s v="Old"/>
    <d v="2020-12-19T00:00:00"/>
    <n v="780.61999999999989"/>
    <n v="34700.289197336097"/>
    <n v="585.46499999999992"/>
    <n v="741.58899999999983"/>
    <n v="0"/>
    <n v="1041.0086759200829"/>
    <n v="299.41967592008302"/>
    <n v="78.061999999999998"/>
    <n v="1249.1043933942685"/>
    <n v="0"/>
    <n v="0"/>
    <n v="0"/>
    <n v="0"/>
    <n v="0"/>
    <n v="0"/>
    <n v="0"/>
    <n v="0"/>
    <n v="0"/>
    <s v="Release"/>
  </r>
  <r>
    <n v="0"/>
    <n v="0"/>
    <n v="0"/>
    <x v="369"/>
    <x v="364"/>
    <n v="0"/>
    <s v="vlc"/>
    <s v="Indirect"/>
    <n v="1012"/>
    <x v="14"/>
    <s v="Old"/>
    <d v="2020-12-25T00:00:00"/>
    <n v="1120.83"/>
    <n v="40307.959142792999"/>
    <n v="840.62249999999995"/>
    <n v="1064.7884999999999"/>
    <n v="0"/>
    <n v="1209.23877428379"/>
    <n v="144.45027428379012"/>
    <n v="112.083"/>
    <n v="1209.7639331323726"/>
    <n v="584"/>
    <n v="0"/>
    <n v="0"/>
    <n v="0"/>
    <n v="0"/>
    <n v="0"/>
    <n v="584"/>
    <n v="0"/>
    <n v="584"/>
    <s v="Release"/>
  </r>
  <r>
    <n v="0"/>
    <n v="0"/>
    <n v="0"/>
    <x v="370"/>
    <x v="365"/>
    <n v="0"/>
    <s v="vlc"/>
    <s v="Indirect"/>
    <n v="1012"/>
    <x v="14"/>
    <s v="Old"/>
    <d v="2020-12-25T00:00:00"/>
    <n v="996.68"/>
    <n v="35599.245644210001"/>
    <n v="747.51"/>
    <n v="946.84599999999989"/>
    <n v="0"/>
    <n v="1067.9773693263"/>
    <n v="121.13136932630016"/>
    <n v="99.668000000000006"/>
    <n v="1286.4571035973968"/>
    <n v="308"/>
    <n v="0"/>
    <n v="0"/>
    <n v="0"/>
    <n v="0"/>
    <n v="0"/>
    <n v="308"/>
    <n v="0"/>
    <n v="308"/>
    <s v="Release"/>
  </r>
  <r>
    <n v="0"/>
    <n v="0"/>
    <n v="0"/>
    <x v="371"/>
    <x v="366"/>
    <n v="0"/>
    <s v="MPG"/>
    <s v="Direct"/>
    <n v="1012"/>
    <x v="14"/>
    <s v="Old"/>
    <d v="2021-09-14T00:00:00"/>
    <n v="9942.9800000000014"/>
    <n v="396379.64821387094"/>
    <n v="7457.2350000000006"/>
    <n v="9445.8310000000001"/>
    <n v="2399.4912699380402"/>
    <n v="11891.389446416128"/>
    <n v="2445.5584464161275"/>
    <n v="994.29800000000023"/>
    <n v="0"/>
    <n v="18308"/>
    <n v="0"/>
    <n v="0"/>
    <n v="0"/>
    <n v="0"/>
    <n v="0"/>
    <n v="18308"/>
    <n v="0"/>
    <n v="18308"/>
    <s v="Release"/>
  </r>
  <r>
    <n v="0"/>
    <n v="0"/>
    <n v="0"/>
    <x v="372"/>
    <x v="367"/>
    <n v="0"/>
    <s v="vlc"/>
    <s v="Indirect"/>
    <n v="1012"/>
    <x v="14"/>
    <s v="Old"/>
    <d v="2022-01-10T00:00:00"/>
    <n v="188.10000000000002"/>
    <n v="5925.9832737395991"/>
    <n v="141.07500000000002"/>
    <n v="178.69500000000002"/>
    <n v="0"/>
    <n v="177.77949821218797"/>
    <n v="-0.9155017878120475"/>
    <n v="18.810000000000002"/>
    <n v="300.65234422211734"/>
    <n v="0"/>
    <n v="0"/>
    <n v="0"/>
    <n v="0"/>
    <n v="0"/>
    <n v="0"/>
    <n v="0"/>
    <n v="0"/>
    <n v="0"/>
    <s v="Release"/>
  </r>
  <r>
    <n v="0"/>
    <n v="13773.207146635201"/>
    <n v="13773.207146635201"/>
    <x v="373"/>
    <x v="368"/>
    <n v="0"/>
    <s v="MPG"/>
    <s v="Direct"/>
    <n v="1012"/>
    <x v="14"/>
    <s v="Old"/>
    <d v="2022-06-17T00:00:00"/>
    <n v="3497.9399999999996"/>
    <n v="135081.783683335"/>
    <n v="2623.4549999999999"/>
    <n v="3323.0429999999997"/>
    <n v="1300.8572500254004"/>
    <n v="4052.45351050005"/>
    <n v="729.41051050005035"/>
    <n v="349.79399999999998"/>
    <n v="0"/>
    <n v="6898"/>
    <n v="0"/>
    <n v="2701.6356736666999"/>
    <n v="0"/>
    <n v="0"/>
    <n v="0"/>
    <n v="4196"/>
    <n v="0"/>
    <n v="4196"/>
    <s v="Release"/>
  </r>
  <r>
    <n v="0"/>
    <n v="5972.9479252635119"/>
    <n v="5972.9479252635119"/>
    <x v="374"/>
    <x v="369"/>
    <n v="0"/>
    <s v="MPG"/>
    <s v="Direct"/>
    <n v="1012"/>
    <x v="14"/>
    <s v="Old"/>
    <d v="2022-10-01T00:00:00"/>
    <n v="1580.88"/>
    <n v="59717.013118014998"/>
    <n v="1185.6600000000001"/>
    <n v="1501.836"/>
    <n v="90.346020731999999"/>
    <n v="1791.51039354045"/>
    <n v="289.67439354044996"/>
    <n v="158.08800000000002"/>
    <n v="921.92386666428183"/>
    <n v="1698"/>
    <n v="0"/>
    <n v="1194.3402623602999"/>
    <n v="0"/>
    <n v="0"/>
    <n v="68.000000000000114"/>
    <n v="436"/>
    <n v="0"/>
    <n v="436"/>
    <s v="Release"/>
  </r>
  <r>
    <n v="0"/>
    <n v="15208.8497711328"/>
    <n v="15208.8497711328"/>
    <x v="375"/>
    <x v="370"/>
    <n v="0"/>
    <s v="MPG"/>
    <s v="Direct"/>
    <n v="1012"/>
    <x v="14"/>
    <s v="Old"/>
    <d v="2023-01-16T00:00:00"/>
    <n v="426.49"/>
    <n v="16570.658165640001"/>
    <n v="319.86750000000001"/>
    <n v="405.16550000000001"/>
    <n v="0"/>
    <n v="497.11974496920004"/>
    <n v="91.954244969200033"/>
    <n v="42.649000000000001"/>
    <n v="682.41026317200021"/>
    <n v="0"/>
    <n v="0"/>
    <n v="0"/>
    <n v="0"/>
    <n v="0"/>
    <n v="0"/>
    <n v="0"/>
    <n v="0"/>
    <n v="0"/>
    <s v="Release"/>
  </r>
  <r>
    <n v="0"/>
    <n v="0"/>
    <n v="0"/>
    <x v="376"/>
    <x v="371"/>
    <n v="0"/>
    <s v="vlc"/>
    <s v="Indirect"/>
    <n v="1012"/>
    <x v="14"/>
    <s v="Old"/>
    <d v="2023-01-17T00:00:00"/>
    <n v="1623.1999999999998"/>
    <n v="66748.6952251568"/>
    <n v="1217.3999999999999"/>
    <n v="1542.0399999999997"/>
    <n v="0"/>
    <n v="2002.4608567547039"/>
    <n v="460.42085675470412"/>
    <n v="162.32"/>
    <n v="968.52193938960056"/>
    <n v="1629"/>
    <n v="0"/>
    <n v="0"/>
    <n v="1629"/>
    <n v="0"/>
    <n v="0"/>
    <n v="0"/>
    <n v="0"/>
    <n v="0"/>
    <s v="Release"/>
  </r>
  <r>
    <n v="61475.160600000003"/>
    <n v="6400"/>
    <n v="67875.160600000003"/>
    <x v="377"/>
    <x v="372"/>
    <n v="0"/>
    <s v="MPG"/>
    <s v="Direct"/>
    <n v="1012"/>
    <x v="14"/>
    <s v="Old"/>
    <d v="2023-07-19T00:00:00"/>
    <n v="710.87000000000012"/>
    <n v="31949.074657739278"/>
    <n v="533.15250000000015"/>
    <n v="675.32650000000012"/>
    <n v="0"/>
    <n v="958.47223973217831"/>
    <n v="283.14573973217819"/>
    <n v="71.087000000000018"/>
    <n v="1137.0865495907838"/>
    <n v="0"/>
    <n v="0"/>
    <n v="0"/>
    <n v="0"/>
    <n v="0"/>
    <n v="0"/>
    <n v="0"/>
    <n v="0"/>
    <n v="0"/>
    <s v="Release"/>
  </r>
  <r>
    <n v="0"/>
    <n v="0"/>
    <n v="0"/>
    <x v="378"/>
    <x v="373"/>
    <n v="0"/>
    <s v="MPG"/>
    <s v="Direct"/>
    <n v="1012"/>
    <x v="14"/>
    <s v="Old"/>
    <d v="2023-08-04T00:00:00"/>
    <n v="7850.9599999999991"/>
    <n v="293743.09101097996"/>
    <n v="5888.2199999999993"/>
    <n v="7458.4119999999984"/>
    <n v="2575.3290898020005"/>
    <n v="8812.2927303293982"/>
    <n v="1353.8807303293997"/>
    <n v="785.096"/>
    <n v="0"/>
    <n v="15137"/>
    <n v="0"/>
    <n v="0"/>
    <n v="0"/>
    <n v="0"/>
    <n v="0"/>
    <n v="15137"/>
    <n v="0"/>
    <n v="15137"/>
    <s v="Release"/>
  </r>
  <r>
    <n v="0"/>
    <n v="0"/>
    <n v="0"/>
    <x v="379"/>
    <x v="374"/>
    <n v="0"/>
    <s v="vlc"/>
    <s v="Indirect"/>
    <n v="1012"/>
    <x v="14"/>
    <s v="Old"/>
    <d v="2023-05-12T00:00:00"/>
    <n v="1831.67"/>
    <n v="83324.921178509656"/>
    <n v="1373.7525000000001"/>
    <n v="1740.0864999999999"/>
    <n v="0"/>
    <n v="2499.7476353552897"/>
    <n v="759.66113535528984"/>
    <n v="183.16700000000003"/>
    <n v="883.52841691618301"/>
    <n v="2047"/>
    <n v="0"/>
    <n v="0"/>
    <n v="0"/>
    <n v="0"/>
    <n v="0"/>
    <n v="2047"/>
    <n v="0"/>
    <n v="2047"/>
    <s v="Release"/>
  </r>
  <r>
    <n v="0"/>
    <n v="0"/>
    <n v="0"/>
    <x v="380"/>
    <x v="375"/>
    <n v="0"/>
    <s v="vlc"/>
    <s v="Indirect"/>
    <n v="1012"/>
    <x v="14"/>
    <s v="Old"/>
    <d v="2023-01-31T00:00:00"/>
    <n v="4489.7999999999993"/>
    <n v="223558.03012775842"/>
    <n v="3367.3499999999995"/>
    <n v="4265.3099999999995"/>
    <n v="0"/>
    <n v="6706.7409038327523"/>
    <n v="2441.4309038327528"/>
    <n v="448.97999999999996"/>
    <n v="0"/>
    <n v="7184"/>
    <n v="0"/>
    <n v="0"/>
    <n v="0"/>
    <n v="0"/>
    <n v="0"/>
    <n v="7184"/>
    <n v="0"/>
    <n v="7184"/>
    <s v="Release"/>
  </r>
  <r>
    <n v="46384.03284127354"/>
    <n v="10700"/>
    <n v="57084.03284127354"/>
    <x v="381"/>
    <x v="376"/>
    <n v="0"/>
    <s v="MPG"/>
    <s v="Direct"/>
    <n v="1012"/>
    <x v="14"/>
    <s v="Old"/>
    <d v="2023-10-27T00:00:00"/>
    <n v="1281.67"/>
    <n v="52213.328646597001"/>
    <n v="961.25250000000005"/>
    <n v="1217.5865000000001"/>
    <n v="0"/>
    <n v="1566.3998593979099"/>
    <n v="348.81335939790984"/>
    <n v="128.167"/>
    <n v="1236.4153124589977"/>
    <n v="814"/>
    <n v="814"/>
    <n v="0"/>
    <n v="0"/>
    <n v="0"/>
    <n v="0"/>
    <n v="0"/>
    <n v="0"/>
    <n v="0"/>
    <s v="Release"/>
  </r>
  <r>
    <n v="0"/>
    <n v="0"/>
    <n v="0"/>
    <x v="382"/>
    <x v="377"/>
    <n v="0"/>
    <s v="MPG"/>
    <s v="Direct"/>
    <n v="1012"/>
    <x v="14"/>
    <s v="Old"/>
    <d v="2023-11-10T00:00:00"/>
    <n v="6651.13"/>
    <n v="262381.11907976004"/>
    <n v="4988.3474999999999"/>
    <n v="6318.5734999999995"/>
    <n v="490.88900358111999"/>
    <n v="7871.4335723928007"/>
    <n v="1552.8600723928012"/>
    <n v="665.11300000000006"/>
    <n v="0"/>
    <n v="11133"/>
    <n v="0"/>
    <n v="0"/>
    <n v="0"/>
    <n v="0"/>
    <n v="0"/>
    <n v="11133"/>
    <n v="0"/>
    <n v="11133"/>
    <s v="Release"/>
  </r>
  <r>
    <n v="51844.627188145634"/>
    <n v="9600"/>
    <n v="61444.627188145634"/>
    <x v="383"/>
    <x v="378"/>
    <n v="0"/>
    <s v="MPG"/>
    <s v="Direct"/>
    <n v="1012"/>
    <x v="14"/>
    <s v="Old"/>
    <d v="2023-10-27T00:00:00"/>
    <n v="964.05"/>
    <n v="36522.939481872003"/>
    <n v="723.03749999999991"/>
    <n v="915.84749999999997"/>
    <n v="0"/>
    <n v="1095.6881844561601"/>
    <n v="179.84068445616015"/>
    <n v="96.405000000000001"/>
    <n v="1392.8390437045543"/>
    <n v="150"/>
    <n v="150"/>
    <n v="0"/>
    <n v="0"/>
    <n v="0"/>
    <n v="0"/>
    <n v="0"/>
    <n v="0"/>
    <n v="0"/>
    <s v="Release"/>
  </r>
  <r>
    <n v="0"/>
    <n v="0"/>
    <n v="0"/>
    <x v="384"/>
    <x v="379"/>
    <n v="0"/>
    <s v="vlc"/>
    <s v="Indirect"/>
    <n v="1012"/>
    <x v="14"/>
    <s v="Old"/>
    <d v="2023-11-30T00:00:00"/>
    <n v="6311.1"/>
    <n v="225189.41177800001"/>
    <n v="4733.3250000000007"/>
    <n v="5995.5450000000001"/>
    <n v="0"/>
    <n v="6755.6823533400002"/>
    <n v="760.13735334000012"/>
    <n v="631.11000000000013"/>
    <n v="0"/>
    <n v="10098"/>
    <n v="0"/>
    <n v="0"/>
    <n v="0"/>
    <n v="0"/>
    <n v="0"/>
    <n v="10098"/>
    <n v="0"/>
    <n v="10098"/>
    <s v="Release"/>
  </r>
  <r>
    <n v="0"/>
    <n v="0"/>
    <n v="0"/>
    <x v="385"/>
    <x v="380"/>
    <n v="0"/>
    <s v="vlc"/>
    <s v="Indirect"/>
    <n v="1012"/>
    <x v="14"/>
    <s v="Old"/>
    <d v="2024-02-01T00:00:00"/>
    <n v="669.33999999999992"/>
    <n v="24911.144860922002"/>
    <n v="502.00499999999994"/>
    <n v="635.87299999999993"/>
    <n v="0"/>
    <n v="747.33434582766006"/>
    <n v="111.46134582766012"/>
    <n v="66.933999999999997"/>
    <n v="1071.2010360651689"/>
    <n v="0"/>
    <n v="0"/>
    <n v="0"/>
    <n v="0"/>
    <n v="0"/>
    <n v="0"/>
    <n v="0"/>
    <n v="0"/>
    <n v="0"/>
    <s v="Release"/>
  </r>
  <r>
    <n v="43620.275498047442"/>
    <n v="0"/>
    <n v="43620.275498047442"/>
    <x v="386"/>
    <x v="381"/>
    <n v="0"/>
    <s v="MPG"/>
    <s v="Direct"/>
    <n v="1012"/>
    <x v="14"/>
    <s v="Old"/>
    <d v="2024-05-01T00:00:00"/>
    <n v="1835.5600000000002"/>
    <n v="72973.239595635998"/>
    <n v="1376.67"/>
    <n v="1743.7820000000002"/>
    <n v="44.258602033800003"/>
    <n v="2189.1971878690797"/>
    <n v="445.41518786907955"/>
    <n v="183.55600000000004"/>
    <n v="763.81320755534966"/>
    <n v="2217"/>
    <n v="1861"/>
    <n v="0"/>
    <n v="0"/>
    <n v="0"/>
    <n v="0"/>
    <n v="356"/>
    <n v="0"/>
    <n v="356"/>
    <s v="Release"/>
  </r>
  <r>
    <n v="49537.850566233596"/>
    <n v="18150"/>
    <n v="67687.850566233596"/>
    <x v="387"/>
    <x v="382"/>
    <n v="0"/>
    <s v="MPG"/>
    <s v="Direct"/>
    <n v="1012"/>
    <x v="14"/>
    <s v="Old"/>
    <d v="2024-06-19T00:00:00"/>
    <n v="108.55000000000001"/>
    <n v="3659.13"/>
    <n v="81.412500000000009"/>
    <n v="103.1225"/>
    <n v="0"/>
    <n v="109.7739"/>
    <n v="6.6513999999999953"/>
    <n v="10.855000000000002"/>
    <n v="173.50537318936608"/>
    <n v="0"/>
    <n v="0"/>
    <n v="0"/>
    <n v="0"/>
    <n v="0"/>
    <n v="0"/>
    <n v="0"/>
    <n v="0"/>
    <n v="0"/>
    <s v="Release"/>
  </r>
  <r>
    <n v="13462.324638938386"/>
    <n v="12800"/>
    <n v="26262.324638938386"/>
    <x v="388"/>
    <x v="383"/>
    <n v="0"/>
    <s v="MPG"/>
    <s v="Direct"/>
    <n v="1012"/>
    <x v="14"/>
    <s v="Old"/>
    <d v="2024-08-26T00:00:00"/>
    <n v="1680.3200000000002"/>
    <n v="64366.699144343002"/>
    <n v="1260.2400000000002"/>
    <n v="1596.3040000000001"/>
    <n v="0"/>
    <n v="1931.0009743302899"/>
    <n v="334.69697433028978"/>
    <n v="168.03200000000004"/>
    <n v="845.43349109217047"/>
    <n v="1843"/>
    <n v="1843"/>
    <n v="0"/>
    <n v="0"/>
    <n v="0"/>
    <n v="0"/>
    <n v="0"/>
    <n v="0"/>
    <n v="0"/>
    <s v="Release"/>
  </r>
  <r>
    <n v="0"/>
    <n v="14950"/>
    <n v="14950"/>
    <x v="389"/>
    <x v="384"/>
    <n v="0"/>
    <s v="MPG"/>
    <s v="Direct"/>
    <n v="1012"/>
    <x v="14"/>
    <s v="Old"/>
    <d v="2024-09-01T00:00:00"/>
    <n v="6228.58"/>
    <n v="308471.21573624673"/>
    <n v="4671.4349999999995"/>
    <n v="5917.1509999999998"/>
    <n v="41.607232304"/>
    <n v="9254.1364720874008"/>
    <n v="3336.9854720874009"/>
    <n v="622.85800000000006"/>
    <n v="0"/>
    <n v="10007"/>
    <n v="0"/>
    <n v="6169.4243147249344"/>
    <n v="0"/>
    <n v="0"/>
    <n v="0"/>
    <n v="3838"/>
    <n v="0"/>
    <n v="3838"/>
    <s v="Release"/>
  </r>
  <r>
    <n v="0"/>
    <n v="0"/>
    <n v="0"/>
    <x v="390"/>
    <x v="385"/>
    <n v="0"/>
    <s v="vlc"/>
    <s v="Indirect"/>
    <n v="1012"/>
    <x v="14"/>
    <s v="Old"/>
    <d v="2024-08-25T00:00:00"/>
    <n v="3950.87"/>
    <n v="152133.23285975179"/>
    <n v="2963.1525000000001"/>
    <n v="3753.3264999999997"/>
    <n v="0"/>
    <n v="4563.9969857925535"/>
    <n v="810.67048579255379"/>
    <n v="395.08699999999999"/>
    <n v="0"/>
    <n v="6321"/>
    <n v="0"/>
    <n v="0"/>
    <n v="0"/>
    <n v="0"/>
    <n v="0"/>
    <n v="6321"/>
    <n v="0"/>
    <n v="6321"/>
    <s v="Release"/>
  </r>
  <r>
    <n v="67045.658397648163"/>
    <n v="7500"/>
    <n v="74545.658397648163"/>
    <x v="391"/>
    <x v="386"/>
    <n v="0"/>
    <s v="MPG"/>
    <s v="Direct"/>
    <n v="1012"/>
    <x v="14"/>
    <s v="Old"/>
    <d v="2024-12-23T00:00:00"/>
    <n v="2817.64"/>
    <n v="101271.07765835969"/>
    <n v="2113.23"/>
    <n v="2676.7579999999998"/>
    <n v="206.92961492400002"/>
    <n v="3038.1323297507906"/>
    <n v="361.37432975079082"/>
    <n v="281.76400000000001"/>
    <n v="67.956247538155765"/>
    <n v="4647"/>
    <n v="2025.4215531671939"/>
    <n v="0"/>
    <n v="0"/>
    <n v="0"/>
    <n v="0"/>
    <n v="2622"/>
    <n v="0"/>
    <n v="2622"/>
    <s v="Release"/>
  </r>
  <r>
    <n v="61719.046870640646"/>
    <n v="4300"/>
    <n v="66019.046870640654"/>
    <x v="392"/>
    <x v="387"/>
    <n v="0"/>
    <s v="MPG"/>
    <s v="Direct"/>
    <n v="1012"/>
    <x v="14"/>
    <s v="Old"/>
    <d v="2024-12-27T00:00:00"/>
    <n v="2089.0100000000002"/>
    <n v="80234.487682878505"/>
    <n v="1566.7575000000002"/>
    <n v="1984.5595000000001"/>
    <n v="1539.6717482478002"/>
    <n v="2407.0346304863551"/>
    <n v="422.47513048635506"/>
    <n v="208.90100000000004"/>
    <n v="550.06289717270988"/>
    <n v="4332"/>
    <n v="1861"/>
    <n v="0"/>
    <n v="0"/>
    <n v="0"/>
    <n v="0"/>
    <n v="2471"/>
    <n v="0"/>
    <n v="2471"/>
    <s v="Release"/>
  </r>
  <r>
    <n v="43490.679150546101"/>
    <n v="6400"/>
    <n v="49890.679150546101"/>
    <x v="393"/>
    <x v="388"/>
    <n v="0"/>
    <s v="MPG"/>
    <s v="Direct"/>
    <n v="1012"/>
    <x v="14"/>
    <s v="Old"/>
    <d v="2025-01-09T00:00:00"/>
    <n v="3266.6099999999997"/>
    <n v="145532.68143369985"/>
    <n v="2449.9574999999995"/>
    <n v="3103.2794999999996"/>
    <n v="0"/>
    <n v="4365.9804430109953"/>
    <n v="1262.7009430109956"/>
    <n v="326.661"/>
    <n v="0"/>
    <n v="5227"/>
    <n v="2910.653628673997"/>
    <n v="0"/>
    <n v="0"/>
    <n v="0"/>
    <n v="0"/>
    <n v="2316"/>
    <n v="0"/>
    <n v="2316"/>
    <s v="Release"/>
  </r>
  <r>
    <n v="72493"/>
    <n v="4450.5474332718404"/>
    <n v="76943.547433271844"/>
    <x v="394"/>
    <x v="389"/>
    <n v="0"/>
    <s v="MPG"/>
    <s v="Direct"/>
    <n v="1012"/>
    <x v="14"/>
    <s v="Old"/>
    <d v="2025-02-17T00:00:00"/>
    <n v="767.98"/>
    <n v="32550.901363838242"/>
    <n v="575.98500000000001"/>
    <n v="729.58100000000002"/>
    <n v="0"/>
    <n v="976.52704091514727"/>
    <n v="246.94604091514725"/>
    <n v="76.798000000000002"/>
    <n v="1229.1252044680732"/>
    <n v="0"/>
    <n v="0"/>
    <n v="0"/>
    <n v="0"/>
    <n v="0"/>
    <n v="0"/>
    <n v="0"/>
    <n v="0"/>
    <n v="0"/>
    <s v="Release"/>
  </r>
  <r>
    <n v="0"/>
    <n v="0"/>
    <n v="0"/>
    <x v="395"/>
    <x v="390"/>
    <n v="0"/>
    <s v="vlc"/>
    <s v="Indirect"/>
    <n v="1012"/>
    <x v="14"/>
    <s v="Old"/>
    <d v="2025-01-07T00:00:00"/>
    <n v="3712.42"/>
    <n v="143839.68455429378"/>
    <n v="2784.3150000000001"/>
    <n v="3526.799"/>
    <n v="0"/>
    <n v="4315.1905366288129"/>
    <n v="788.3915366288129"/>
    <n v="371.24200000000002"/>
    <n v="431.68647824362176"/>
    <n v="5508"/>
    <n v="0"/>
    <n v="0"/>
    <n v="0"/>
    <n v="0"/>
    <n v="0"/>
    <n v="5508"/>
    <n v="0"/>
    <n v="5508"/>
    <s v="Release"/>
  </r>
  <r>
    <n v="0"/>
    <n v="0"/>
    <n v="0"/>
    <x v="396"/>
    <x v="391"/>
    <n v="0"/>
    <s v="vlc"/>
    <s v="Indirect"/>
    <n v="1012"/>
    <x v="14"/>
    <s v="Old"/>
    <d v="2025-02-27T00:00:00"/>
    <n v="22325.8"/>
    <n v="854512.20546399988"/>
    <n v="16744.349999999999"/>
    <n v="21209.51"/>
    <n v="0"/>
    <n v="25635.366163919996"/>
    <n v="4425.8561639199979"/>
    <n v="2232.58"/>
    <n v="0"/>
    <n v="35721"/>
    <n v="0"/>
    <n v="0"/>
    <n v="0"/>
    <n v="0"/>
    <n v="0"/>
    <n v="35721"/>
    <n v="0"/>
    <n v="35721"/>
    <s v="Release"/>
  </r>
  <r>
    <n v="0"/>
    <n v="0"/>
    <n v="0"/>
    <x v="397"/>
    <x v="392"/>
    <n v="0"/>
    <s v="vlc"/>
    <s v="Indirect"/>
    <n v="1012"/>
    <x v="14"/>
    <s v="Old"/>
    <d v="2025-03-27T00:00:00"/>
    <n v="4464"/>
    <n v="169641.76228659999"/>
    <n v="3348"/>
    <n v="4240.8"/>
    <n v="0"/>
    <n v="5089.2528685979996"/>
    <n v="848.45286859799944"/>
    <n v="446.40000000000003"/>
    <n v="0"/>
    <n v="7142"/>
    <n v="0"/>
    <n v="0"/>
    <n v="0"/>
    <n v="0"/>
    <n v="0"/>
    <n v="7142"/>
    <n v="0"/>
    <n v="7142"/>
    <s v="Release"/>
  </r>
  <r>
    <n v="50433.014471598406"/>
    <n v="0"/>
    <n v="50433.014471598406"/>
    <x v="398"/>
    <x v="393"/>
    <n v="0"/>
    <s v="MPG"/>
    <s v="Direct"/>
    <n v="1012"/>
    <x v="14"/>
    <s v="Old"/>
    <d v="2025-05-16T00:00:00"/>
    <n v="3198.15"/>
    <n v="122911.85651398674"/>
    <n v="2398.6125000000002"/>
    <n v="3038.2424999999998"/>
    <n v="0"/>
    <n v="3687.3556954196019"/>
    <n v="649.11319541960211"/>
    <n v="319.81500000000005"/>
    <n v="3.6002776804590844"/>
    <n v="5113"/>
    <n v="2458.2371302797351"/>
    <n v="0"/>
    <n v="0"/>
    <n v="0"/>
    <n v="0"/>
    <n v="2655"/>
    <n v="0"/>
    <n v="2655"/>
    <s v="Release"/>
  </r>
  <r>
    <n v="0"/>
    <n v="0"/>
    <n v="0"/>
    <x v="399"/>
    <x v="394"/>
    <n v="0"/>
    <s v="vlc"/>
    <s v="Indirect"/>
    <n v="1012"/>
    <x v="14"/>
    <s v="Old"/>
    <d v="2025-05-06T00:00:00"/>
    <n v="4502"/>
    <n v="160309.09247"/>
    <n v="3376.5"/>
    <n v="4276.8999999999996"/>
    <n v="0"/>
    <n v="4809.2727740999999"/>
    <n v="532.37277410000024"/>
    <n v="450.20000000000005"/>
    <n v="0"/>
    <n v="7203"/>
    <n v="0"/>
    <n v="0"/>
    <n v="0"/>
    <n v="0"/>
    <n v="0"/>
    <n v="7203"/>
    <n v="0"/>
    <n v="7203"/>
    <s v="Release"/>
  </r>
  <r>
    <n v="51727.410545246996"/>
    <n v="0"/>
    <n v="51727.410545246996"/>
    <x v="400"/>
    <x v="395"/>
    <n v="0"/>
    <s v="MPG"/>
    <s v="Direct"/>
    <n v="1012"/>
    <x v="14"/>
    <s v="Old"/>
    <d v="2025-05-21T00:00:00"/>
    <n v="3238.86"/>
    <n v="123534.28793743401"/>
    <n v="2429.145"/>
    <n v="3076.9169999999999"/>
    <n v="0"/>
    <n v="3706.0286381230203"/>
    <n v="629.11163812302038"/>
    <n v="323.88600000000002"/>
    <n v="0"/>
    <n v="5182"/>
    <n v="2470.6857587486802"/>
    <n v="0"/>
    <n v="2711"/>
    <n v="0"/>
    <n v="0"/>
    <n v="0"/>
    <n v="0"/>
    <n v="0"/>
    <s v="Release"/>
  </r>
  <r>
    <n v="82329.750979080956"/>
    <n v="0"/>
    <n v="82329.750979080956"/>
    <x v="401"/>
    <x v="396"/>
    <n v="0"/>
    <s v="MPG"/>
    <s v="Direct"/>
    <n v="1012"/>
    <x v="14"/>
    <s v="Old"/>
    <d v="2025-07-31T00:00:00"/>
    <n v="3834.0199999999995"/>
    <n v="148408.398906788"/>
    <n v="2875.5149999999994"/>
    <n v="3642.3189999999995"/>
    <n v="0"/>
    <n v="4452.2519672036397"/>
    <n v="809.93296720364015"/>
    <n v="383.40199999999999"/>
    <n v="0"/>
    <n v="6134"/>
    <n v="2968.1679781357602"/>
    <n v="0"/>
    <n v="0"/>
    <n v="0"/>
    <n v="0"/>
    <n v="3166"/>
    <n v="3166"/>
    <n v="0"/>
    <s v="Yes"/>
  </r>
  <r>
    <n v="64230.078664627203"/>
    <n v="0"/>
    <n v="64230.078664627203"/>
    <x v="402"/>
    <x v="397"/>
    <n v="0"/>
    <s v="MPG"/>
    <s v="Direct"/>
    <n v="1012"/>
    <x v="14"/>
    <s v="Old"/>
    <d v="2025-08-01T00:00:00"/>
    <n v="4578.4800000000005"/>
    <n v="177621.82405437602"/>
    <n v="3433.8600000000006"/>
    <n v="4349.5560000000005"/>
    <n v="309.60802818000002"/>
    <n v="5328.6547216312802"/>
    <n v="979.09872163127966"/>
    <n v="457.84800000000007"/>
    <n v="0"/>
    <n v="7635"/>
    <n v="3552.4364810875204"/>
    <n v="0"/>
    <n v="0"/>
    <n v="0"/>
    <n v="0"/>
    <n v="4083"/>
    <n v="0"/>
    <n v="4083"/>
    <s v="Release"/>
  </r>
  <r>
    <n v="4007.8813933388155"/>
    <n v="4162.4417999999987"/>
    <n v="8170.3231933388142"/>
    <x v="403"/>
    <x v="398"/>
    <n v="0"/>
    <s v="MPG"/>
    <s v="Direct"/>
    <n v="1013"/>
    <x v="15"/>
    <s v="Old"/>
    <d v="2019-06-06T00:00:00"/>
    <n v="2781.9"/>
    <n v="97695.227570328992"/>
    <n v="2086.4250000000002"/>
    <n v="2642.8049999999998"/>
    <n v="760.25613798150005"/>
    <n v="2930.8568271098698"/>
    <n v="288.05182710986992"/>
    <n v="278.19"/>
    <n v="84.977332515337423"/>
    <n v="5126"/>
    <n v="1953.9045514065799"/>
    <n v="0"/>
    <n v="0"/>
    <n v="0"/>
    <n v="0"/>
    <n v="3172"/>
    <n v="0"/>
    <n v="3172"/>
    <s v="Release"/>
  </r>
  <r>
    <n v="0"/>
    <n v="13576.075400000002"/>
    <n v="13576.075400000002"/>
    <x v="404"/>
    <x v="399"/>
    <n v="0"/>
    <s v="vlc"/>
    <s v="Indirect"/>
    <n v="1013"/>
    <x v="15"/>
    <s v="Old"/>
    <d v="2019-10-18T00:00:00"/>
    <n v="474.59999999999997"/>
    <n v="15087.34211306"/>
    <n v="355.95"/>
    <n v="450.86999999999995"/>
    <n v="0"/>
    <n v="452.62026339179999"/>
    <n v="1.750263391800047"/>
    <n v="47.46"/>
    <n v="759.22828029728885"/>
    <n v="0"/>
    <n v="0"/>
    <n v="0"/>
    <n v="0"/>
    <n v="0"/>
    <n v="0"/>
    <n v="0"/>
    <n v="0"/>
    <n v="0"/>
    <s v="Release"/>
  </r>
  <r>
    <n v="0"/>
    <n v="0"/>
    <n v="0"/>
    <x v="405"/>
    <x v="400"/>
    <n v="0"/>
    <s v="MPG"/>
    <s v="Direct"/>
    <n v="1013"/>
    <x v="15"/>
    <s v="Old"/>
    <d v="2019-10-18T00:00:00"/>
    <n v="381.79999999999995"/>
    <n v="12838.237330112501"/>
    <n v="286.34999999999997"/>
    <n v="362.70999999999992"/>
    <n v="67.548255624000006"/>
    <n v="385.14711990337503"/>
    <n v="22.437119903375105"/>
    <n v="38.18"/>
    <n v="678.56844229634498"/>
    <n v="0"/>
    <n v="0"/>
    <n v="0"/>
    <n v="0"/>
    <n v="0"/>
    <n v="0"/>
    <n v="0"/>
    <n v="0"/>
    <n v="0"/>
    <s v="Release"/>
  </r>
  <r>
    <n v="0"/>
    <n v="0"/>
    <n v="0"/>
    <x v="406"/>
    <x v="401"/>
    <n v="0"/>
    <s v="vlc"/>
    <s v="Indirect"/>
    <n v="1013"/>
    <x v="15"/>
    <s v="Old"/>
    <d v="2019-10-20T00:00:00"/>
    <n v="181.90000000000003"/>
    <n v="5911.5998303779998"/>
    <n v="136.42500000000001"/>
    <n v="172.80500000000004"/>
    <n v="0"/>
    <n v="177.34799491133998"/>
    <n v="4.5429949113399459"/>
    <n v="18.190000000000005"/>
    <n v="290.54615971287103"/>
    <n v="0"/>
    <n v="0"/>
    <n v="0"/>
    <n v="0"/>
    <n v="0"/>
    <n v="0"/>
    <n v="0"/>
    <n v="0"/>
    <n v="0"/>
    <s v="Release"/>
  </r>
  <r>
    <n v="2877.7067990284268"/>
    <n v="0"/>
    <n v="2877.7067990284268"/>
    <x v="407"/>
    <x v="402"/>
    <n v="0"/>
    <s v="MPG"/>
    <s v="Direct"/>
    <n v="1013"/>
    <x v="15"/>
    <s v="Old"/>
    <d v="2019-11-17T00:00:00"/>
    <n v="2044.1999999999998"/>
    <n v="71184.534181440002"/>
    <n v="1533.1499999999999"/>
    <n v="1941.9899999999998"/>
    <n v="4.9343096880000008"/>
    <n v="2135.5360254431998"/>
    <n v="193.54602544320005"/>
    <n v="204.42"/>
    <n v="525.95409306453985"/>
    <n v="2750"/>
    <n v="1861"/>
    <n v="0"/>
    <n v="0"/>
    <n v="0"/>
    <n v="0"/>
    <n v="889"/>
    <n v="0"/>
    <n v="889"/>
    <s v="Release"/>
  </r>
  <r>
    <n v="0"/>
    <n v="0"/>
    <n v="0"/>
    <x v="408"/>
    <x v="403"/>
    <n v="0"/>
    <s v="MPG"/>
    <s v="Direct"/>
    <n v="1013"/>
    <x v="15"/>
    <s v="Old"/>
    <d v="2020-03-23T00:00:00"/>
    <n v="3107.5000000000005"/>
    <n v="120023.2165520212"/>
    <n v="2330.6250000000005"/>
    <n v="2952.1250000000005"/>
    <n v="1327.8937514915001"/>
    <n v="3600.6964965606358"/>
    <n v="648.5714965606353"/>
    <n v="310.75000000000006"/>
    <n v="0"/>
    <n v="6300"/>
    <n v="0"/>
    <n v="0"/>
    <n v="0"/>
    <n v="0"/>
    <n v="0"/>
    <n v="6300"/>
    <n v="0"/>
    <n v="6300"/>
    <s v="Release"/>
  </r>
  <r>
    <n v="0"/>
    <n v="0"/>
    <n v="0"/>
    <x v="409"/>
    <x v="404"/>
    <n v="0"/>
    <s v="MPG"/>
    <s v="Direct"/>
    <n v="1013"/>
    <x v="15"/>
    <s v="Old"/>
    <d v="2020-09-28T00:00:00"/>
    <n v="14031.6"/>
    <n v="513444.03088795196"/>
    <n v="10523.7"/>
    <n v="13330.02"/>
    <n v="5226.2164096500001"/>
    <n v="15403.320926638558"/>
    <n v="2073.3009266385579"/>
    <n v="1403.16"/>
    <n v="0"/>
    <n v="27677"/>
    <n v="0"/>
    <n v="0"/>
    <n v="0"/>
    <n v="0"/>
    <n v="0"/>
    <n v="27677"/>
    <n v="0"/>
    <n v="27677"/>
    <s v="Release"/>
  </r>
  <r>
    <n v="0"/>
    <n v="0"/>
    <n v="0"/>
    <x v="410"/>
    <x v="405"/>
    <n v="0"/>
    <s v="vlc"/>
    <s v="Indirect"/>
    <n v="1013"/>
    <x v="15"/>
    <s v="Old"/>
    <d v="2021-01-29T00:00:00"/>
    <n v="2221.6999999999998"/>
    <n v="82559.10559742499"/>
    <n v="1666.2749999999999"/>
    <n v="2110.6149999999998"/>
    <n v="0"/>
    <n v="2476.7731679227495"/>
    <n v="366.15816792274973"/>
    <n v="222.17"/>
    <n v="433.18303218962836"/>
    <n v="3122"/>
    <n v="0"/>
    <n v="0"/>
    <n v="0"/>
    <n v="0"/>
    <n v="0"/>
    <n v="3122"/>
    <n v="0"/>
    <n v="3122"/>
    <s v="Release"/>
  </r>
  <r>
    <n v="0"/>
    <n v="902.83000872600496"/>
    <n v="902.83000872600496"/>
    <x v="411"/>
    <x v="406"/>
    <n v="0"/>
    <s v="vlc"/>
    <s v="Indirect"/>
    <n v="1013"/>
    <x v="15"/>
    <s v="Old"/>
    <d v="2021-03-01T00:00:00"/>
    <n v="843.1"/>
    <n v="38247.466653702497"/>
    <n v="632.32500000000005"/>
    <n v="800.94499999999994"/>
    <n v="0"/>
    <n v="1147.4239996110748"/>
    <n v="346.47899961107487"/>
    <n v="84.31"/>
    <n v="1348.7936016075023"/>
    <n v="0"/>
    <n v="0"/>
    <n v="0"/>
    <n v="0"/>
    <n v="0"/>
    <n v="0"/>
    <n v="0"/>
    <n v="0"/>
    <n v="0"/>
    <s v="Release"/>
  </r>
  <r>
    <n v="0"/>
    <n v="0"/>
    <n v="0"/>
    <x v="412"/>
    <x v="407"/>
    <n v="0"/>
    <s v="vlc"/>
    <s v="Indirect"/>
    <n v="1013"/>
    <x v="15"/>
    <s v="Old"/>
    <d v="2022-05-18T00:00:00"/>
    <n v="1127.5"/>
    <n v="36595.208685043996"/>
    <n v="845.625"/>
    <n v="1071.125"/>
    <n v="0"/>
    <n v="1097.8562605513198"/>
    <n v="26.731260551319792"/>
    <n v="112.75"/>
    <n v="1071.845026881515"/>
    <n v="732"/>
    <n v="0"/>
    <n v="0"/>
    <n v="0"/>
    <n v="0"/>
    <n v="0"/>
    <n v="732"/>
    <n v="0"/>
    <n v="732"/>
    <s v="Release"/>
  </r>
  <r>
    <n v="0"/>
    <n v="0"/>
    <n v="0"/>
    <x v="413"/>
    <x v="408"/>
    <n v="0"/>
    <s v="vlc"/>
    <s v="Indirect"/>
    <n v="1013"/>
    <x v="15"/>
    <s v="Old"/>
    <d v="2022-06-12T00:00:00"/>
    <n v="2387.3000000000002"/>
    <n v="86063.612263695017"/>
    <n v="1790.4750000000001"/>
    <n v="2267.9349999999999"/>
    <n v="0"/>
    <n v="2581.9083679108503"/>
    <n v="313.97336791085036"/>
    <n v="238.73000000000002"/>
    <n v="298.20360870178808"/>
    <n v="3521"/>
    <n v="0"/>
    <n v="0"/>
    <n v="0"/>
    <n v="0"/>
    <n v="0"/>
    <n v="3521"/>
    <n v="0"/>
    <n v="3521"/>
    <s v="Release"/>
  </r>
  <r>
    <n v="0"/>
    <n v="8142.7394000000004"/>
    <n v="8142.7394000000004"/>
    <x v="414"/>
    <x v="409"/>
    <n v="0"/>
    <s v="vlc"/>
    <s v="Indirect"/>
    <n v="1013"/>
    <x v="15"/>
    <s v="Old"/>
    <d v="2023-01-23T00:00:00"/>
    <n v="1772.5"/>
    <n v="71434.646645711808"/>
    <n v="1329.375"/>
    <n v="1683.875"/>
    <n v="0"/>
    <n v="2143.0393993713542"/>
    <n v="459.16439937135419"/>
    <n v="177.25"/>
    <n v="831.60002197852373"/>
    <n v="2004"/>
    <n v="0"/>
    <n v="1428.6929329142363"/>
    <n v="0"/>
    <n v="0"/>
    <n v="0"/>
    <n v="575"/>
    <n v="0"/>
    <n v="575"/>
    <s v="Release"/>
  </r>
  <r>
    <n v="17733.452000000005"/>
    <n v="9600"/>
    <n v="27333.452000000005"/>
    <x v="415"/>
    <x v="233"/>
    <n v="0"/>
    <s v="MPG"/>
    <s v="Direct"/>
    <n v="1013"/>
    <x v="15"/>
    <s v="Old"/>
    <d v="2023-02-25T00:00:00"/>
    <n v="1084"/>
    <n v="46232.518135441198"/>
    <n v="813"/>
    <n v="1029.8"/>
    <n v="407.48937998120005"/>
    <n v="1386.9755440632359"/>
    <n v="357.17554406323598"/>
    <n v="108.4"/>
    <n v="1445.6548869277074"/>
    <n v="696"/>
    <n v="696"/>
    <n v="0"/>
    <n v="0"/>
    <n v="0"/>
    <n v="0"/>
    <n v="0"/>
    <n v="0"/>
    <n v="0"/>
    <s v="Release"/>
  </r>
  <r>
    <n v="0"/>
    <n v="0"/>
    <n v="0"/>
    <x v="416"/>
    <x v="410"/>
    <n v="0"/>
    <s v="MPG"/>
    <s v="Direct"/>
    <n v="1013"/>
    <x v="15"/>
    <s v="Old"/>
    <d v="2023-04-22T00:00:00"/>
    <n v="613.1"/>
    <n v="19508.554029092498"/>
    <n v="459.82500000000005"/>
    <n v="582.44500000000005"/>
    <n v="0"/>
    <n v="585.25662087277487"/>
    <n v="2.8116208727748244"/>
    <n v="61.31"/>
    <n v="981.06002092731183"/>
    <n v="0"/>
    <n v="0"/>
    <n v="0"/>
    <n v="0"/>
    <n v="0"/>
    <n v="0"/>
    <n v="0"/>
    <n v="0"/>
    <n v="0"/>
    <s v="Release"/>
  </r>
  <r>
    <n v="0"/>
    <n v="0"/>
    <n v="0"/>
    <x v="417"/>
    <x v="411"/>
    <n v="0"/>
    <s v="vlc"/>
    <s v="Indirect"/>
    <n v="1013"/>
    <x v="15"/>
    <s v="Old"/>
    <d v="2023-05-28T00:00:00"/>
    <n v="686.3"/>
    <n v="26878.237767867002"/>
    <n v="514.72499999999991"/>
    <n v="651.9849999999999"/>
    <n v="0"/>
    <n v="806.34713303601006"/>
    <n v="154.36213303601016"/>
    <n v="68.63"/>
    <n v="1097.6600832112133"/>
    <n v="0"/>
    <n v="0"/>
    <n v="0"/>
    <n v="0"/>
    <n v="0"/>
    <n v="0"/>
    <n v="0"/>
    <n v="0"/>
    <n v="0"/>
    <s v="Release"/>
  </r>
  <r>
    <n v="18416"/>
    <n v="6229"/>
    <n v="24645"/>
    <x v="418"/>
    <x v="412"/>
    <n v="0"/>
    <s v="MPG"/>
    <s v="Direct"/>
    <n v="1013"/>
    <x v="15"/>
    <s v="Old"/>
    <d v="2023-05-30T00:00:00"/>
    <n v="222.9"/>
    <n v="10013.473200021199"/>
    <n v="167.17500000000001"/>
    <n v="211.755"/>
    <n v="0"/>
    <n v="300.40419600063598"/>
    <n v="88.649196000635982"/>
    <n v="22.290000000000003"/>
    <n v="356.64190028535177"/>
    <n v="0"/>
    <n v="0"/>
    <n v="0"/>
    <n v="0"/>
    <n v="0"/>
    <n v="0"/>
    <n v="0"/>
    <n v="0"/>
    <n v="0"/>
    <s v="Release"/>
  </r>
  <r>
    <n v="0"/>
    <n v="0"/>
    <n v="0"/>
    <x v="419"/>
    <x v="413"/>
    <n v="0"/>
    <s v="vlc"/>
    <s v="Indirect"/>
    <n v="1013"/>
    <x v="15"/>
    <s v="Old"/>
    <d v="2023-08-13T00:00:00"/>
    <n v="4154.2000000000007"/>
    <n v="106887.96415191999"/>
    <n v="3115.6500000000005"/>
    <n v="3946.4900000000007"/>
    <n v="0"/>
    <n v="3206.6389245575997"/>
    <n v="-739.851075442401"/>
    <n v="415.42000000000007"/>
    <n v="0"/>
    <n v="6647"/>
    <n v="0"/>
    <n v="0"/>
    <n v="0"/>
    <n v="0"/>
    <n v="0"/>
    <n v="6647"/>
    <n v="0"/>
    <n v="6647"/>
    <s v="Release"/>
  </r>
  <r>
    <n v="0"/>
    <n v="0"/>
    <n v="0"/>
    <x v="420"/>
    <x v="414"/>
    <n v="0"/>
    <s v="vlc"/>
    <s v="Indirect"/>
    <n v="1013"/>
    <x v="15"/>
    <s v="Old"/>
    <d v="2022-12-16T00:00:00"/>
    <n v="253.10000000000002"/>
    <n v="9244.0525054999998"/>
    <n v="189.82500000000002"/>
    <n v="240.44500000000002"/>
    <n v="0"/>
    <n v="277.32157516499996"/>
    <n v="36.876575164999934"/>
    <n v="25.310000000000002"/>
    <n v="404.53491021354284"/>
    <n v="0"/>
    <n v="0"/>
    <n v="0"/>
    <n v="0"/>
    <n v="0"/>
    <n v="0"/>
    <n v="0"/>
    <n v="0"/>
    <n v="0"/>
    <s v="Release"/>
  </r>
  <r>
    <n v="0"/>
    <n v="0"/>
    <n v="0"/>
    <x v="421"/>
    <x v="415"/>
    <n v="0"/>
    <s v="vlc"/>
    <s v="Indirect"/>
    <n v="1013"/>
    <x v="15"/>
    <s v="Old"/>
    <d v="2023-10-13T00:00:00"/>
    <n v="67.900000000000006"/>
    <n v="2542.5348070112004"/>
    <n v="50.925000000000004"/>
    <n v="64.504999999999995"/>
    <n v="0"/>
    <n v="76.276044210336011"/>
    <n v="11.771044210336015"/>
    <n v="6.7900000000000009"/>
    <n v="108.22739949964171"/>
    <n v="0"/>
    <n v="0"/>
    <n v="0"/>
    <n v="0"/>
    <n v="0"/>
    <n v="0"/>
    <n v="0"/>
    <n v="0"/>
    <n v="0"/>
    <s v="Release"/>
  </r>
  <r>
    <n v="0"/>
    <n v="0"/>
    <n v="0"/>
    <x v="422"/>
    <x v="416"/>
    <n v="0"/>
    <s v="MPG"/>
    <s v="Indirect"/>
    <n v="1013"/>
    <x v="15"/>
    <s v="Old"/>
    <d v="2022-12-20T00:00:00"/>
    <n v="11905.8"/>
    <n v="494824.83373893"/>
    <n v="8929.3499999999985"/>
    <n v="11310.509999999998"/>
    <n v="44.617122000000002"/>
    <n v="14844.745012167899"/>
    <n v="3534.235012167901"/>
    <n v="1190.58"/>
    <n v="0"/>
    <n v="19094"/>
    <n v="0"/>
    <n v="0"/>
    <n v="0"/>
    <n v="0"/>
    <n v="0"/>
    <n v="19094"/>
    <n v="0"/>
    <n v="19094"/>
    <s v="Release"/>
  </r>
  <r>
    <n v="37966.854616309371"/>
    <n v="14950"/>
    <n v="52916.854616309371"/>
    <x v="423"/>
    <x v="417"/>
    <n v="0"/>
    <s v="MPG"/>
    <s v="Direct"/>
    <n v="1013"/>
    <x v="15"/>
    <s v="Old"/>
    <d v="2023-11-08T00:00:00"/>
    <n v="1232"/>
    <n v="53247.337444391793"/>
    <n v="924"/>
    <n v="1170.3999999999999"/>
    <n v="0"/>
    <n v="1597.4201233317538"/>
    <n v="427.02012333175389"/>
    <n v="123.2"/>
    <n v="1355.9891409932106"/>
    <n v="615"/>
    <n v="615"/>
    <n v="0"/>
    <n v="0"/>
    <n v="0"/>
    <n v="0"/>
    <n v="0"/>
    <n v="0"/>
    <n v="0"/>
    <s v="Release"/>
  </r>
  <r>
    <n v="63020.551200000002"/>
    <n v="11750"/>
    <n v="74770.551200000002"/>
    <x v="424"/>
    <x v="418"/>
    <n v="0"/>
    <s v="MPG"/>
    <s v="Direct"/>
    <n v="1013"/>
    <x v="15"/>
    <s v="Old"/>
    <d v="2023-11-02T00:00:00"/>
    <n v="1032.2"/>
    <n v="36271.454059351498"/>
    <n v="774.15000000000009"/>
    <n v="980.59"/>
    <n v="399.3709785708001"/>
    <n v="1088.1436217805449"/>
    <n v="107.55362178054486"/>
    <n v="103.22000000000001"/>
    <n v="1239.3000956656231"/>
    <n v="812"/>
    <n v="812"/>
    <n v="0"/>
    <n v="0"/>
    <n v="0"/>
    <n v="0"/>
    <n v="0"/>
    <n v="0"/>
    <n v="0"/>
    <s v="Release"/>
  </r>
  <r>
    <n v="18078.379051454613"/>
    <n v="21350"/>
    <n v="39428.379051454613"/>
    <x v="425"/>
    <x v="419"/>
    <n v="0"/>
    <s v="MPG"/>
    <s v="Direct"/>
    <n v="1013"/>
    <x v="15"/>
    <s v="Old"/>
    <d v="2024-04-10T00:00:00"/>
    <n v="5475.2"/>
    <n v="192328.78595988799"/>
    <n v="4106.3999999999996"/>
    <n v="5201.4399999999996"/>
    <n v="2215.2869637822005"/>
    <n v="5769.8635787966396"/>
    <n v="568.42357879663996"/>
    <n v="547.52"/>
    <n v="0"/>
    <n v="10976"/>
    <n v="3846.57571919776"/>
    <n v="0"/>
    <n v="0"/>
    <n v="0"/>
    <n v="0"/>
    <n v="7129"/>
    <n v="0"/>
    <n v="7129"/>
    <s v="Release"/>
  </r>
  <r>
    <n v="23071.940051461424"/>
    <n v="11750"/>
    <n v="34821.940051461424"/>
    <x v="426"/>
    <x v="420"/>
    <n v="0"/>
    <s v="MPG"/>
    <s v="Direct"/>
    <n v="1013"/>
    <x v="15"/>
    <s v="Old"/>
    <d v="2024-04-10T00:00:00"/>
    <n v="2003.8"/>
    <n v="79292.566229952601"/>
    <n v="1502.85"/>
    <n v="1903.61"/>
    <n v="152.19096254999999"/>
    <n v="2378.7769868985779"/>
    <n v="475.16698689857799"/>
    <n v="200.38"/>
    <n v="634.13392578113746"/>
    <n v="2724"/>
    <n v="1861"/>
    <n v="0"/>
    <n v="0"/>
    <n v="0"/>
    <n v="0"/>
    <n v="863"/>
    <n v="0"/>
    <n v="863"/>
    <s v="Release"/>
  </r>
  <r>
    <n v="0"/>
    <n v="0"/>
    <n v="0"/>
    <x v="427"/>
    <x v="421"/>
    <n v="0"/>
    <s v="vlc"/>
    <s v="Indirect"/>
    <n v="1013"/>
    <x v="15"/>
    <s v="Old"/>
    <d v="2024-04-30T00:00:00"/>
    <n v="1276.8"/>
    <n v="41882.306757275001"/>
    <n v="957.59999999999991"/>
    <n v="1212.9599999999998"/>
    <n v="0"/>
    <n v="1256.46920271825"/>
    <n v="43.509202718250208"/>
    <n v="127.68"/>
    <n v="1007.0786285793986"/>
    <n v="1036"/>
    <n v="0"/>
    <n v="0"/>
    <n v="0"/>
    <n v="0"/>
    <n v="0"/>
    <n v="1036"/>
    <n v="0"/>
    <n v="1036"/>
    <s v="Release"/>
  </r>
  <r>
    <n v="0"/>
    <n v="0"/>
    <n v="0"/>
    <x v="428"/>
    <x v="422"/>
    <n v="0"/>
    <s v="vlc"/>
    <s v="Indirect"/>
    <n v="1013"/>
    <x v="15"/>
    <s v="Old"/>
    <d v="2024-05-28T00:00:00"/>
    <n v="2707.9"/>
    <n v="103949.84231897001"/>
    <n v="2030.9250000000002"/>
    <n v="2572.5050000000001"/>
    <n v="0"/>
    <n v="3118.4952695691004"/>
    <n v="545.99026956910029"/>
    <n v="270.79000000000002"/>
    <n v="178.94635138896365"/>
    <n v="4154"/>
    <n v="0"/>
    <n v="0"/>
    <n v="0"/>
    <n v="0"/>
    <n v="0"/>
    <n v="4154"/>
    <n v="0"/>
    <n v="4154"/>
    <s v="Release"/>
  </r>
  <r>
    <n v="47519.865962866592"/>
    <n v="13900"/>
    <n v="61419.865962866592"/>
    <x v="429"/>
    <x v="423"/>
    <n v="0"/>
    <s v="MPG"/>
    <s v="Direct"/>
    <n v="1013"/>
    <x v="15"/>
    <s v="Old"/>
    <d v="2024-11-03T00:00:00"/>
    <n v="64.900000000000006"/>
    <n v="2330.73"/>
    <n v="48.675000000000004"/>
    <n v="61.655000000000001"/>
    <n v="0"/>
    <n v="69.921899999999994"/>
    <n v="8.2668999999999926"/>
    <n v="6.4900000000000011"/>
    <n v="104.16228751926042"/>
    <n v="0"/>
    <n v="0"/>
    <n v="0"/>
    <n v="0"/>
    <n v="0"/>
    <n v="0"/>
    <n v="0"/>
    <n v="0"/>
    <n v="0"/>
    <s v="Release"/>
  </r>
  <r>
    <n v="53966.88801334225"/>
    <n v="10700"/>
    <n v="64666.88801334225"/>
    <x v="430"/>
    <x v="424"/>
    <n v="0"/>
    <s v="MPG"/>
    <s v="Direct"/>
    <n v="1013"/>
    <x v="15"/>
    <s v="Old"/>
    <d v="2024-10-18T00:00:00"/>
    <n v="1104.0999999999999"/>
    <n v="41063.656038396999"/>
    <n v="828.07499999999993"/>
    <n v="1048.8949999999998"/>
    <n v="650.80602298035001"/>
    <n v="1231.90968115191"/>
    <n v="183.01468115191028"/>
    <n v="110.41"/>
    <n v="1261.4676441299166"/>
    <n v="1156"/>
    <n v="1156"/>
    <n v="0"/>
    <n v="0"/>
    <n v="0"/>
    <n v="0"/>
    <n v="0"/>
    <n v="0"/>
    <n v="0"/>
    <s v="Release"/>
  </r>
  <r>
    <n v="74686"/>
    <n v="7500"/>
    <n v="82186"/>
    <x v="431"/>
    <x v="425"/>
    <n v="0"/>
    <s v="MPG"/>
    <s v="Direct"/>
    <n v="1013"/>
    <x v="15"/>
    <s v="Old"/>
    <d v="2024-12-05T00:00:00"/>
    <n v="783"/>
    <n v="27307.597484750004"/>
    <n v="587.25"/>
    <n v="743.84999999999991"/>
    <n v="135.09866647110002"/>
    <n v="819.22792454250009"/>
    <n v="75.377924542500182"/>
    <n v="78.300000000000011"/>
    <n v="1388.1314700197863"/>
    <n v="0"/>
    <n v="0"/>
    <n v="0"/>
    <n v="0"/>
    <n v="0"/>
    <n v="0"/>
    <n v="0"/>
    <n v="0"/>
    <n v="0"/>
    <s v="Release"/>
  </r>
  <r>
    <n v="0"/>
    <n v="0"/>
    <n v="0"/>
    <x v="432"/>
    <x v="426"/>
    <n v="0"/>
    <s v="vlc"/>
    <s v="Indirect"/>
    <n v="1013"/>
    <x v="15"/>
    <s v="Old"/>
    <d v="2024-12-04T00:00:00"/>
    <n v="680.80000000000007"/>
    <n v="20647.159582963999"/>
    <n v="510.6"/>
    <n v="646.76"/>
    <n v="0"/>
    <n v="619.41478748891996"/>
    <n v="-27.345212511080035"/>
    <n v="68.080000000000013"/>
    <n v="1089.6521690922625"/>
    <n v="0"/>
    <n v="0"/>
    <n v="0"/>
    <n v="0"/>
    <n v="0"/>
    <n v="0"/>
    <n v="0"/>
    <n v="0"/>
    <n v="0"/>
    <s v="Release"/>
  </r>
  <r>
    <n v="0"/>
    <n v="0"/>
    <n v="0"/>
    <x v="433"/>
    <x v="427"/>
    <n v="0"/>
    <s v="vlc"/>
    <s v="Indirect"/>
    <n v="1013"/>
    <x v="15"/>
    <s v="Old"/>
    <d v="2024-12-19T00:00:00"/>
    <n v="4479.8"/>
    <n v="143986.06524380151"/>
    <n v="3359.8500000000004"/>
    <n v="4255.8100000000004"/>
    <n v="0"/>
    <n v="4319.5819573140452"/>
    <n v="63.771957314044812"/>
    <n v="447.98"/>
    <n v="150.94099365994231"/>
    <n v="7017"/>
    <n v="0"/>
    <n v="0"/>
    <n v="0"/>
    <n v="0"/>
    <n v="0"/>
    <n v="7017"/>
    <n v="0"/>
    <n v="7017"/>
    <s v="Release"/>
  </r>
  <r>
    <n v="63386.147718643231"/>
    <n v="9650"/>
    <n v="73036.147718643231"/>
    <x v="434"/>
    <x v="428"/>
    <n v="0"/>
    <s v="MPG"/>
    <s v="Direct"/>
    <n v="1013"/>
    <x v="15"/>
    <s v="Old"/>
    <d v="2024-12-31T00:00:00"/>
    <n v="291.29999999999995"/>
    <n v="10025.49"/>
    <n v="218.47499999999997"/>
    <n v="276.73499999999996"/>
    <n v="0"/>
    <n v="300.7647"/>
    <n v="24.029700000000048"/>
    <n v="29.129999999999995"/>
    <n v="465.84419882881139"/>
    <n v="0"/>
    <n v="0"/>
    <n v="0"/>
    <n v="0"/>
    <n v="0"/>
    <n v="0"/>
    <n v="0"/>
    <n v="0"/>
    <n v="0"/>
    <s v="Release"/>
  </r>
  <r>
    <n v="72500"/>
    <n v="4586.4009999999998"/>
    <n v="77086.400999999998"/>
    <x v="435"/>
    <x v="429"/>
    <n v="0"/>
    <s v="MPG"/>
    <s v="Direct"/>
    <n v="1013"/>
    <x v="15"/>
    <s v="Old"/>
    <d v="2025-03-24T00:00:00"/>
    <n v="965"/>
    <n v="36031.056803410997"/>
    <n v="723.75"/>
    <n v="916.75"/>
    <n v="56.335619557800001"/>
    <n v="1080.9317041023298"/>
    <n v="164.18170410232983"/>
    <n v="96.5"/>
    <n v="1368.1378346373192"/>
    <n v="232"/>
    <n v="232"/>
    <n v="0"/>
    <n v="0"/>
    <n v="0"/>
    <n v="0"/>
    <n v="0"/>
    <n v="0"/>
    <n v="0"/>
    <s v="Release"/>
  </r>
  <r>
    <n v="92003"/>
    <n v="0"/>
    <n v="92003"/>
    <x v="436"/>
    <x v="430"/>
    <n v="0"/>
    <s v="MPG"/>
    <s v="Direct"/>
    <n v="1013"/>
    <x v="15"/>
    <s v="Old"/>
    <d v="2025-06-18T00:00:00"/>
    <n v="248.3"/>
    <n v="9486.6194959719996"/>
    <n v="186.22500000000002"/>
    <n v="235.88499999999999"/>
    <n v="0"/>
    <n v="284.59858487916"/>
    <n v="48.71358487916001"/>
    <n v="24.830000000000002"/>
    <n v="397.20067180040814"/>
    <n v="0"/>
    <n v="0"/>
    <n v="0"/>
    <n v="0"/>
    <n v="0"/>
    <n v="0"/>
    <n v="0"/>
    <n v="0"/>
    <n v="0"/>
    <s v="Release"/>
  </r>
  <r>
    <n v="42151.942098533822"/>
    <n v="0"/>
    <n v="42151.942098533822"/>
    <x v="437"/>
    <x v="431"/>
    <n v="0"/>
    <s v="MPG"/>
    <s v="Direct"/>
    <n v="1013"/>
    <x v="15"/>
    <s v="Old"/>
    <d v="2025-04-18T00:00:00"/>
    <n v="3728.7"/>
    <n v="138227.16267487398"/>
    <n v="2796.5249999999996"/>
    <n v="3542.2649999999999"/>
    <n v="0.57817584000000011"/>
    <n v="4146.8148802462192"/>
    <n v="604.54988024621935"/>
    <n v="372.87"/>
    <n v="0"/>
    <n v="5966"/>
    <n v="2764.5432534974798"/>
    <n v="0"/>
    <n v="0"/>
    <n v="0"/>
    <n v="0"/>
    <n v="3201"/>
    <n v="0"/>
    <n v="3201"/>
    <s v="Release"/>
  </r>
  <r>
    <n v="87735"/>
    <n v="0"/>
    <n v="87735"/>
    <x v="438"/>
    <x v="432"/>
    <n v="0"/>
    <s v="MPG"/>
    <s v="Direct"/>
    <n v="1013"/>
    <x v="15"/>
    <s v="Old"/>
    <d v="2025-06-01T00:00:00"/>
    <n v="542.5"/>
    <n v="21495.8079782555"/>
    <n v="406.875"/>
    <n v="515.375"/>
    <n v="80.785424999999989"/>
    <n v="644.87423934766491"/>
    <n v="129.49923934766491"/>
    <n v="54.25"/>
    <n v="948.48601258899885"/>
    <n v="0"/>
    <n v="0"/>
    <n v="0"/>
    <n v="0"/>
    <n v="0"/>
    <n v="0"/>
    <n v="0"/>
    <n v="0"/>
    <n v="0"/>
    <s v="Release"/>
  </r>
  <r>
    <n v="81361"/>
    <n v="0"/>
    <n v="81361"/>
    <x v="439"/>
    <x v="433"/>
    <n v="0"/>
    <s v="vlc"/>
    <s v="Direct"/>
    <n v="1013"/>
    <x v="15"/>
    <s v="Old"/>
    <d v="2025-07-09T00:00:00"/>
    <n v="523.5"/>
    <n v="17986.311435740001"/>
    <n v="392.625"/>
    <n v="497.32499999999999"/>
    <n v="0"/>
    <n v="539.58934307219999"/>
    <n v="42.264343072200006"/>
    <n v="52.35"/>
    <n v="837.89953862468428"/>
    <n v="0"/>
    <n v="0"/>
    <n v="0"/>
    <n v="0"/>
    <n v="0"/>
    <n v="0"/>
    <n v="0"/>
    <n v="0"/>
    <n v="0"/>
    <s v="Release"/>
  </r>
  <r>
    <n v="0"/>
    <n v="0"/>
    <n v="0"/>
    <x v="440"/>
    <x v="434"/>
    <n v="0"/>
    <s v="vlc"/>
    <s v="Indirect"/>
    <n v="1013"/>
    <x v="15"/>
    <s v="Old"/>
    <d v="2025-07-30T00:00:00"/>
    <n v="1317.9"/>
    <n v="49195.325918652503"/>
    <n v="988.42500000000007"/>
    <n v="1252.0050000000001"/>
    <n v="0"/>
    <n v="1475.8597775595749"/>
    <n v="223.85477755957481"/>
    <n v="131.79000000000002"/>
    <n v="1131.7569266648602"/>
    <n v="977"/>
    <n v="0"/>
    <n v="0"/>
    <n v="0"/>
    <n v="0"/>
    <n v="0"/>
    <n v="977"/>
    <n v="0"/>
    <n v="977"/>
    <s v="Release"/>
  </r>
  <r>
    <n v="0"/>
    <n v="4408.0451254147429"/>
    <n v="4408.0451254147429"/>
    <x v="441"/>
    <x v="435"/>
    <n v="0"/>
    <s v="MPG"/>
    <s v="Direct"/>
    <n v="1014"/>
    <x v="16"/>
    <s v="Old"/>
    <d v="2022-04-13T00:00:00"/>
    <n v="1527.5000000000002"/>
    <n v="52639.9929588206"/>
    <n v="1145.6250000000002"/>
    <n v="1451.1250000000002"/>
    <n v="0"/>
    <n v="1579.199788764618"/>
    <n v="128.07478876461778"/>
    <n v="152.75000000000003"/>
    <n v="851.9910359331252"/>
    <n v="1592"/>
    <n v="0"/>
    <n v="1052.7998591764119"/>
    <n v="539"/>
    <n v="0"/>
    <n v="0"/>
    <n v="0"/>
    <n v="0"/>
    <n v="0"/>
    <s v="Release"/>
  </r>
  <r>
    <n v="0"/>
    <n v="5996.7100985575998"/>
    <n v="5996.7100985575998"/>
    <x v="442"/>
    <x v="436"/>
    <n v="0"/>
    <s v="MPG"/>
    <s v="Direct"/>
    <n v="1014"/>
    <x v="16"/>
    <s v="Old"/>
    <d v="2022-04-13T00:00:00"/>
    <n v="3018.3"/>
    <n v="110852.61915011001"/>
    <n v="2263.7250000000004"/>
    <n v="2867.3850000000002"/>
    <n v="0"/>
    <n v="3325.5785745033004"/>
    <n v="458.19357450330017"/>
    <n v="301.83000000000004"/>
    <n v="10.731490424783551"/>
    <n v="4819"/>
    <n v="0"/>
    <n v="2217.0523830022003"/>
    <n v="2602"/>
    <n v="0"/>
    <n v="0"/>
    <n v="0"/>
    <n v="0"/>
    <n v="0"/>
    <s v="Release"/>
  </r>
  <r>
    <n v="0"/>
    <n v="0"/>
    <n v="0"/>
    <x v="443"/>
    <x v="437"/>
    <n v="0"/>
    <s v="MPG"/>
    <s v="Direct"/>
    <n v="1014"/>
    <x v="16"/>
    <s v="Old"/>
    <d v="2022-04-13T00:00:00"/>
    <n v="4070.5"/>
    <n v="160320.45089620998"/>
    <n v="3052.875"/>
    <n v="3866.9749999999999"/>
    <n v="5043.5384532630005"/>
    <n v="4809.613526886299"/>
    <n v="942.63852688629913"/>
    <n v="407.05"/>
    <n v="0"/>
    <n v="11556"/>
    <n v="0"/>
    <n v="0"/>
    <n v="0"/>
    <n v="0"/>
    <n v="806.83999999999992"/>
    <n v="10749"/>
    <n v="0"/>
    <n v="10749"/>
    <s v="Release"/>
  </r>
  <r>
    <n v="0"/>
    <n v="0"/>
    <n v="0"/>
    <x v="444"/>
    <x v="438"/>
    <n v="0"/>
    <s v="MPG"/>
    <s v="Direct"/>
    <n v="1014"/>
    <x v="16"/>
    <s v="Old"/>
    <d v="2022-04-13T00:00:00"/>
    <n v="2909.2000000000003"/>
    <n v="102122.47060282002"/>
    <n v="2181.9"/>
    <n v="2763.7400000000002"/>
    <n v="5657.2578423274799"/>
    <n v="3063.6741180846002"/>
    <n v="299.93411808459996"/>
    <n v="290.92"/>
    <n v="26.899326568879459"/>
    <n v="10285"/>
    <n v="0"/>
    <n v="0"/>
    <n v="0"/>
    <n v="0"/>
    <n v="165.82000000000002"/>
    <n v="10119"/>
    <n v="0"/>
    <n v="10119"/>
    <s v="Release"/>
  </r>
  <r>
    <n v="0"/>
    <n v="0"/>
    <n v="0"/>
    <x v="445"/>
    <x v="439"/>
    <n v="0"/>
    <s v="MPG"/>
    <s v="Direct"/>
    <n v="1014"/>
    <x v="16"/>
    <s v="Old"/>
    <d v="2022-04-14T00:00:00"/>
    <n v="3671.7000000000003"/>
    <n v="135687.86442781999"/>
    <n v="2753.7750000000001"/>
    <n v="3488.1150000000002"/>
    <n v="1906.0905095263802"/>
    <n v="4070.6359328345998"/>
    <n v="582.52093283459953"/>
    <n v="367.17000000000007"/>
    <n v="0"/>
    <n v="7781"/>
    <n v="0"/>
    <n v="0"/>
    <n v="0"/>
    <n v="0"/>
    <n v="753.06"/>
    <n v="7028"/>
    <n v="0"/>
    <n v="7028"/>
    <s v="Release"/>
  </r>
  <r>
    <n v="0"/>
    <n v="0"/>
    <n v="0"/>
    <x v="446"/>
    <x v="440"/>
    <n v="0"/>
    <s v="MPG"/>
    <s v="Direct"/>
    <n v="1014"/>
    <x v="16"/>
    <s v="Old"/>
    <d v="2022-04-18T00:00:00"/>
    <n v="3606.2999999999993"/>
    <n v="142353.47917154999"/>
    <n v="2704.7249999999995"/>
    <n v="3425.9849999999992"/>
    <n v="0"/>
    <n v="4270.6043751464995"/>
    <n v="844.61937514650026"/>
    <n v="360.62999999999994"/>
    <n v="122.61185464746592"/>
    <n v="5647"/>
    <n v="0"/>
    <n v="0"/>
    <n v="0"/>
    <n v="0"/>
    <n v="1552.4599999999998"/>
    <n v="4095"/>
    <n v="0"/>
    <n v="4095"/>
    <s v="Release"/>
  </r>
  <r>
    <n v="0"/>
    <n v="0"/>
    <n v="0"/>
    <x v="447"/>
    <x v="441"/>
    <n v="0"/>
    <s v="MPG"/>
    <s v="Direct"/>
    <n v="1014"/>
    <x v="16"/>
    <s v="Old"/>
    <d v="2022-05-22T00:00:00"/>
    <n v="3233.2000000000003"/>
    <n v="132558.7504175604"/>
    <n v="2424.9"/>
    <n v="3071.54"/>
    <n v="338.01901199700001"/>
    <n v="3976.7625125268119"/>
    <n v="905.2225125268119"/>
    <n v="323.32000000000005"/>
    <n v="235.10634603450768"/>
    <n v="5276"/>
    <n v="0"/>
    <n v="0"/>
    <n v="0"/>
    <n v="0"/>
    <n v="513.22"/>
    <n v="4763"/>
    <n v="0"/>
    <n v="4763"/>
    <s v="Release"/>
  </r>
  <r>
    <n v="0"/>
    <n v="0"/>
    <n v="0"/>
    <x v="448"/>
    <x v="442"/>
    <n v="0"/>
    <s v="MPG"/>
    <s v="Direct"/>
    <n v="1014"/>
    <x v="16"/>
    <s v="Old"/>
    <d v="2022-05-22T00:00:00"/>
    <n v="4858.3999999999996"/>
    <n v="181148.14950069005"/>
    <n v="3643.7999999999997"/>
    <n v="4615.4799999999996"/>
    <n v="451.09850100000006"/>
    <n v="5434.444485020701"/>
    <n v="818.96448502070143"/>
    <n v="485.84"/>
    <n v="628.57100954502766"/>
    <n v="7596"/>
    <n v="0"/>
    <n v="0"/>
    <n v="0"/>
    <n v="0"/>
    <n v="664.14"/>
    <n v="6932"/>
    <n v="0"/>
    <n v="6932"/>
    <s v="Release"/>
  </r>
  <r>
    <n v="0"/>
    <n v="0"/>
    <n v="0"/>
    <x v="449"/>
    <x v="443"/>
    <n v="0"/>
    <s v="MPG"/>
    <s v="Direct"/>
    <n v="1014"/>
    <x v="16"/>
    <s v="Old"/>
    <d v="2022-07-11T00:00:00"/>
    <n v="2195.9999999999995"/>
    <n v="91658.413620821186"/>
    <n v="1646.9999999999995"/>
    <n v="2086.1999999999994"/>
    <n v="0"/>
    <n v="2749.7524086246353"/>
    <n v="663.55240862463597"/>
    <n v="219.59999999999997"/>
    <n v="504.95952001639023"/>
    <n v="3009"/>
    <n v="0"/>
    <n v="0"/>
    <n v="3000"/>
    <n v="0"/>
    <n v="9"/>
    <n v="0"/>
    <n v="0"/>
    <n v="0"/>
    <s v="Release"/>
  </r>
  <r>
    <n v="10154.764494758943"/>
    <n v="13022.026456633601"/>
    <n v="23176.790951392544"/>
    <x v="450"/>
    <x v="444"/>
    <n v="0"/>
    <s v="MPG"/>
    <s v="Direct"/>
    <n v="1014"/>
    <x v="16"/>
    <s v="Old"/>
    <d v="2022-08-01T00:00:00"/>
    <n v="1588.8000000000002"/>
    <n v="57475.670275383003"/>
    <n v="1191.6000000000001"/>
    <n v="1509.3600000000001"/>
    <n v="0"/>
    <n v="1724.2701082614901"/>
    <n v="214.91010826149"/>
    <n v="158.88000000000002"/>
    <n v="868.1698295601833"/>
    <n v="1674"/>
    <n v="1674"/>
    <n v="0"/>
    <n v="0"/>
    <n v="0"/>
    <n v="0"/>
    <n v="0"/>
    <n v="0"/>
    <n v="0"/>
    <s v="Release"/>
  </r>
  <r>
    <n v="15930.021566305746"/>
    <n v="22400"/>
    <n v="38330.021566305746"/>
    <x v="451"/>
    <x v="445"/>
    <n v="0"/>
    <s v="MPG"/>
    <s v="Direct"/>
    <n v="1014"/>
    <x v="16"/>
    <s v="Old"/>
    <d v="2022-12-28T00:00:00"/>
    <n v="337.8"/>
    <n v="12061.567948845499"/>
    <n v="253.35000000000002"/>
    <n v="320.90999999999997"/>
    <n v="0"/>
    <n v="361.84703846536496"/>
    <n v="40.937038465364992"/>
    <n v="33.78"/>
    <n v="540.77698909282958"/>
    <n v="0"/>
    <n v="0"/>
    <n v="0"/>
    <n v="0"/>
    <n v="0"/>
    <n v="0"/>
    <n v="0"/>
    <n v="0"/>
    <n v="0"/>
    <s v="Release"/>
  </r>
  <r>
    <n v="23966.214297624058"/>
    <n v="11222.663"/>
    <n v="35188.877297624058"/>
    <x v="452"/>
    <x v="446"/>
    <n v="0"/>
    <s v="MPG"/>
    <s v="Direct"/>
    <n v="1014"/>
    <x v="16"/>
    <s v="Old"/>
    <d v="2022-12-28T00:00:00"/>
    <n v="601.6"/>
    <n v="20787.141033759999"/>
    <n v="451.20000000000005"/>
    <n v="571.52"/>
    <n v="0"/>
    <n v="623.61423101279991"/>
    <n v="52.094231012799924"/>
    <n v="60.160000000000004"/>
    <n v="962.12924066707706"/>
    <n v="0"/>
    <n v="0"/>
    <n v="0"/>
    <n v="0"/>
    <n v="0"/>
    <n v="0"/>
    <n v="0"/>
    <n v="0"/>
    <n v="0"/>
    <s v="Release"/>
  </r>
  <r>
    <n v="21606.029808731255"/>
    <n v="12800"/>
    <n v="34406.029808731255"/>
    <x v="453"/>
    <x v="447"/>
    <n v="0"/>
    <s v="MPG"/>
    <s v="Direct"/>
    <n v="1014"/>
    <x v="16"/>
    <s v="Old"/>
    <d v="2023-01-02T00:00:00"/>
    <n v="1910.0000000000002"/>
    <n v="62136.813860265"/>
    <n v="1432.5000000000002"/>
    <n v="1814.5000000000002"/>
    <n v="929.71771949554989"/>
    <n v="1864.1044158079499"/>
    <n v="49.604415807949636"/>
    <n v="191.00000000000003"/>
    <n v="579.69554241932019"/>
    <n v="3406"/>
    <n v="1861"/>
    <n v="0"/>
    <n v="0"/>
    <n v="0"/>
    <n v="539.99"/>
    <n v="1005"/>
    <n v="0"/>
    <n v="1005"/>
    <s v="Release"/>
  </r>
  <r>
    <n v="0"/>
    <n v="0"/>
    <n v="0"/>
    <x v="454"/>
    <x v="448"/>
    <n v="0"/>
    <s v="MPG"/>
    <s v="Direct"/>
    <n v="1014"/>
    <x v="16"/>
    <s v="Old"/>
    <d v="2023-02-17T00:00:00"/>
    <n v="1277.5"/>
    <n v="49860.781116140002"/>
    <n v="958.125"/>
    <n v="1213.625"/>
    <n v="785.96554884450006"/>
    <n v="1495.8234334842"/>
    <n v="282.1984334842"/>
    <n v="127.75"/>
    <n v="1189.3273957681713"/>
    <n v="1641"/>
    <n v="0"/>
    <n v="0"/>
    <n v="0"/>
    <n v="0"/>
    <n v="185.82000000000002"/>
    <n v="1455"/>
    <n v="0"/>
    <n v="1455"/>
    <s v="Release"/>
  </r>
  <r>
    <n v="12866.94532988088"/>
    <n v="22400"/>
    <n v="35266.94532988088"/>
    <x v="455"/>
    <x v="449"/>
    <n v="0"/>
    <s v="MPG"/>
    <s v="Direct"/>
    <n v="1014"/>
    <x v="16"/>
    <s v="Old"/>
    <d v="2023-02-27T00:00:00"/>
    <n v="1088.4000000000001"/>
    <n v="34092.6945389545"/>
    <n v="816.30000000000007"/>
    <n v="1033.98"/>
    <n v="0"/>
    <n v="1022.780836168635"/>
    <n v="-11.199163831365013"/>
    <n v="108.84000000000002"/>
    <n v="1066.6168177165032"/>
    <n v="675"/>
    <n v="675"/>
    <n v="0"/>
    <n v="0"/>
    <n v="0"/>
    <n v="0"/>
    <n v="0"/>
    <n v="0"/>
    <n v="0"/>
    <s v="Release"/>
  </r>
  <r>
    <n v="0"/>
    <n v="8291.2341514371255"/>
    <n v="8291.2341514371255"/>
    <x v="456"/>
    <x v="450"/>
    <n v="0"/>
    <s v="MPG"/>
    <s v="Direct"/>
    <n v="1014"/>
    <x v="16"/>
    <s v="Old"/>
    <d v="2023-03-10T00:00:00"/>
    <n v="885.3"/>
    <n v="32073.005303662001"/>
    <n v="663.97499999999991"/>
    <n v="841.03499999999997"/>
    <n v="0"/>
    <n v="962.19015910986002"/>
    <n v="121.15515910986005"/>
    <n v="88.53"/>
    <n v="1387.608484259802"/>
    <n v="29"/>
    <n v="0"/>
    <n v="29"/>
    <n v="0"/>
    <n v="0"/>
    <n v="0"/>
    <n v="0"/>
    <n v="0"/>
    <n v="0"/>
    <s v="Release"/>
  </r>
  <r>
    <n v="0"/>
    <n v="27797"/>
    <n v="27797"/>
    <x v="457"/>
    <x v="451"/>
    <n v="0"/>
    <s v="MPG"/>
    <s v="Direct"/>
    <n v="1014"/>
    <x v="16"/>
    <s v="Old"/>
    <d v="2023-03-11T00:00:00"/>
    <n v="1068.9000000000001"/>
    <n v="47669.771288969801"/>
    <n v="801.67500000000007"/>
    <n v="1015.455"/>
    <n v="171.16467599760003"/>
    <n v="1430.0931386690941"/>
    <n v="414.63813866909402"/>
    <n v="106.89000000000001"/>
    <n v="1545.1745549546215"/>
    <n v="336"/>
    <n v="0"/>
    <n v="336"/>
    <n v="0"/>
    <n v="0"/>
    <n v="0"/>
    <n v="0"/>
    <n v="0"/>
    <n v="0"/>
    <s v="Release"/>
  </r>
  <r>
    <n v="53531.069022970609"/>
    <n v="0"/>
    <n v="53531.069022970609"/>
    <x v="458"/>
    <x v="452"/>
    <n v="0"/>
    <s v="MPG"/>
    <s v="Direct"/>
    <n v="1014"/>
    <x v="16"/>
    <s v="Old"/>
    <d v="2023-03-13T00:00:00"/>
    <n v="363.9"/>
    <n v="13822.5656598148"/>
    <n v="272.92499999999995"/>
    <n v="345.70499999999998"/>
    <n v="49.517443006920004"/>
    <n v="414.67696979444401"/>
    <n v="68.971969794444021"/>
    <n v="36.39"/>
    <n v="631.9904550894862"/>
    <n v="0"/>
    <n v="0"/>
    <n v="0"/>
    <n v="0"/>
    <n v="0"/>
    <n v="0"/>
    <n v="0"/>
    <n v="0"/>
    <n v="0"/>
    <s v="Release"/>
  </r>
  <r>
    <n v="27821.742831443509"/>
    <n v="12800"/>
    <n v="40621.742831443509"/>
    <x v="459"/>
    <x v="453"/>
    <n v="0"/>
    <s v="MPG"/>
    <s v="Direct"/>
    <n v="1014"/>
    <x v="16"/>
    <s v="Old"/>
    <d v="2023-03-29T00:00:00"/>
    <n v="2013.4"/>
    <n v="81483.17031952001"/>
    <n v="1510.0500000000002"/>
    <n v="1912.73"/>
    <n v="912.86730672879514"/>
    <n v="2444.4951095856004"/>
    <n v="531.76510958560038"/>
    <n v="201.34000000000003"/>
    <n v="636.92618281362479"/>
    <n v="3497"/>
    <n v="1861"/>
    <n v="0"/>
    <n v="1636"/>
    <n v="0"/>
    <n v="0"/>
    <n v="0"/>
    <n v="0"/>
    <n v="0"/>
    <s v="Release"/>
  </r>
  <r>
    <n v="6906.0976870975574"/>
    <n v="6400"/>
    <n v="13306.097687097557"/>
    <x v="460"/>
    <x v="454"/>
    <n v="0"/>
    <s v="MPG"/>
    <s v="Direct"/>
    <n v="1014"/>
    <x v="16"/>
    <s v="Old"/>
    <d v="2023-05-30T00:00:00"/>
    <n v="1473.1999999999998"/>
    <n v="56212.012815420007"/>
    <n v="1104.8999999999999"/>
    <n v="1399.5399999999997"/>
    <n v="0"/>
    <n v="1686.3603844626002"/>
    <n v="286.82038446260049"/>
    <n v="147.32"/>
    <n v="1010.5004499425663"/>
    <n v="1347"/>
    <n v="1347"/>
    <n v="0"/>
    <n v="0"/>
    <n v="0"/>
    <n v="0"/>
    <n v="0"/>
    <n v="0"/>
    <n v="0"/>
    <s v="Release"/>
  </r>
  <r>
    <n v="26042.561313829894"/>
    <n v="10516.0602"/>
    <n v="36558.621513829894"/>
    <x v="461"/>
    <x v="455"/>
    <n v="0"/>
    <s v="MPG"/>
    <s v="Direct"/>
    <n v="1014"/>
    <x v="16"/>
    <s v="Old"/>
    <d v="2023-09-01T00:00:00"/>
    <n v="1094.7"/>
    <n v="49321.346946362406"/>
    <n v="821.02500000000009"/>
    <n v="1039.9649999999999"/>
    <n v="272.28175101254004"/>
    <n v="1479.6404083908722"/>
    <n v="439.67540839087224"/>
    <n v="109.47000000000001"/>
    <n v="1541.6023112294897"/>
    <n v="482"/>
    <n v="482"/>
    <n v="0"/>
    <n v="0"/>
    <n v="0"/>
    <n v="0"/>
    <n v="0"/>
    <n v="0"/>
    <n v="0"/>
    <s v="Release"/>
  </r>
  <r>
    <n v="40277.151818725833"/>
    <n v="9469.3031999999985"/>
    <n v="49746.455018725828"/>
    <x v="462"/>
    <x v="456"/>
    <n v="0"/>
    <s v="MPG"/>
    <s v="Direct"/>
    <n v="1014"/>
    <x v="16"/>
    <s v="Old"/>
    <d v="2023-09-01T00:00:00"/>
    <n v="817.19999999999993"/>
    <n v="32133.455849034002"/>
    <n v="612.9"/>
    <n v="776.33999999999992"/>
    <n v="0"/>
    <n v="964.00367547102007"/>
    <n v="187.66367547102016"/>
    <n v="81.72"/>
    <n v="1307.7805969819506"/>
    <n v="0"/>
    <n v="0"/>
    <n v="0"/>
    <n v="0"/>
    <n v="0"/>
    <n v="0"/>
    <n v="0"/>
    <n v="0"/>
    <n v="0"/>
    <s v="Release"/>
  </r>
  <r>
    <n v="21335.740524789057"/>
    <n v="20608.7408"/>
    <n v="41944.481324789056"/>
    <x v="463"/>
    <x v="292"/>
    <n v="0"/>
    <s v="MPG"/>
    <s v="Direct"/>
    <n v="1014"/>
    <x v="16"/>
    <s v="Old"/>
    <d v="2023-09-01T00:00:00"/>
    <n v="1737.8000000000002"/>
    <n v="64363.051479430003"/>
    <n v="1303.3500000000001"/>
    <n v="1650.91"/>
    <n v="986.96382000750009"/>
    <n v="1930.8915443829001"/>
    <n v="279.98154438289998"/>
    <n v="173.78000000000003"/>
    <n v="786.56848141289822"/>
    <n v="2981"/>
    <n v="1861"/>
    <n v="0"/>
    <n v="0"/>
    <n v="0"/>
    <n v="1020.12"/>
    <n v="100"/>
    <n v="0"/>
    <n v="100"/>
    <s v="Release"/>
  </r>
  <r>
    <n v="0"/>
    <n v="0"/>
    <n v="0"/>
    <x v="464"/>
    <x v="457"/>
    <n v="0"/>
    <s v="vlc"/>
    <s v="Indirect"/>
    <n v="1014"/>
    <x v="16"/>
    <s v="Old"/>
    <d v="2023-08-03T00:00:00"/>
    <n v="6365.4999999999991"/>
    <n v="215830.37615476002"/>
    <n v="4774.1249999999991"/>
    <n v="6047.2249999999985"/>
    <n v="0"/>
    <n v="6474.9112846428006"/>
    <n v="427.68628464280209"/>
    <n v="636.54999999999995"/>
    <n v="0"/>
    <n v="10185"/>
    <n v="0"/>
    <n v="0"/>
    <n v="0"/>
    <n v="0"/>
    <n v="0"/>
    <n v="10185"/>
    <n v="0"/>
    <n v="10185"/>
    <s v="Release"/>
  </r>
  <r>
    <n v="36360.627948746493"/>
    <n v="0"/>
    <n v="36360.627948746493"/>
    <x v="465"/>
    <x v="458"/>
    <n v="0"/>
    <s v="MPG"/>
    <s v="Direct"/>
    <n v="1014"/>
    <x v="16"/>
    <s v="Old"/>
    <d v="2023-12-31T00:00:00"/>
    <n v="2342.4000000000005"/>
    <n v="93283.35401792101"/>
    <n v="1756.8000000000004"/>
    <n v="2225.2800000000002"/>
    <n v="781.29157443789995"/>
    <n v="2798.5006205376303"/>
    <n v="573.22062053763011"/>
    <n v="234.24000000000007"/>
    <n v="540.08037816639626"/>
    <n v="3989"/>
    <n v="1865.6670803584202"/>
    <n v="0"/>
    <n v="0"/>
    <n v="0"/>
    <n v="697.04"/>
    <n v="1426"/>
    <n v="0"/>
    <n v="1426"/>
    <s v="Release"/>
  </r>
  <r>
    <n v="45558.462652943905"/>
    <n v="7070.1681213311995"/>
    <n v="52628.630774275101"/>
    <x v="466"/>
    <x v="459"/>
    <n v="0"/>
    <s v="MPG"/>
    <s v="Direct"/>
    <n v="1014"/>
    <x v="16"/>
    <s v="Old"/>
    <d v="2024-01-06T00:00:00"/>
    <n v="1061.5"/>
    <n v="40171.902901519999"/>
    <n v="796.125"/>
    <n v="1008.425"/>
    <n v="0"/>
    <n v="1205.1570870455998"/>
    <n v="196.73208704559988"/>
    <n v="106.15"/>
    <n v="1315.9791261942169"/>
    <n v="382"/>
    <n v="382"/>
    <n v="0"/>
    <n v="0"/>
    <n v="0"/>
    <n v="0"/>
    <n v="0"/>
    <n v="0"/>
    <n v="0"/>
    <s v="Release"/>
  </r>
  <r>
    <n v="78668.472600000008"/>
    <n v="6400"/>
    <n v="85068.472600000008"/>
    <x v="467"/>
    <x v="460"/>
    <n v="0"/>
    <s v="MPG"/>
    <s v="Direct"/>
    <n v="1014"/>
    <x v="16"/>
    <s v="Old"/>
    <d v="2024-03-01T00:00:00"/>
    <n v="1475.1000000000001"/>
    <n v="62764.764456973702"/>
    <n v="1106.325"/>
    <n v="1401.345"/>
    <n v="0"/>
    <n v="1882.942933709211"/>
    <n v="481.59793370921102"/>
    <n v="147.51000000000002"/>
    <n v="1030.0688811131647"/>
    <n v="1330"/>
    <n v="1330"/>
    <n v="0"/>
    <n v="0"/>
    <n v="0"/>
    <n v="0"/>
    <n v="0"/>
    <n v="0"/>
    <n v="0"/>
    <s v="Release"/>
  </r>
  <r>
    <n v="24655.292764168902"/>
    <n v="6944"/>
    <n v="31599.292764168902"/>
    <x v="468"/>
    <x v="461"/>
    <n v="0"/>
    <s v="MPG"/>
    <s v="Direct"/>
    <n v="1014"/>
    <x v="16"/>
    <s v="Old"/>
    <d v="2024-06-14T00:00:00"/>
    <n v="6628.0000000000009"/>
    <n v="256693.95636282122"/>
    <n v="4971.0000000000009"/>
    <n v="6296.6"/>
    <n v="2034.3460170480002"/>
    <n v="7700.8186908846365"/>
    <n v="1404.2186908846361"/>
    <n v="662.80000000000018"/>
    <n v="0"/>
    <n v="12639"/>
    <n v="5133.8791272564249"/>
    <n v="0"/>
    <n v="0"/>
    <n v="0"/>
    <n v="1227.06"/>
    <n v="6278"/>
    <n v="0"/>
    <n v="6278"/>
    <s v="Release"/>
  </r>
  <r>
    <n v="53630"/>
    <n v="2329.0893371431998"/>
    <n v="55959.089337143203"/>
    <x v="469"/>
    <x v="462"/>
    <n v="0"/>
    <s v="MPG"/>
    <s v="Direct"/>
    <n v="1014"/>
    <x v="16"/>
    <s v="Old"/>
    <d v="2024-04-26T00:00:00"/>
    <n v="858.4"/>
    <n v="29751.809343880002"/>
    <n v="643.79999999999995"/>
    <n v="815.4799999999999"/>
    <n v="0"/>
    <n v="892.55428031640008"/>
    <n v="77.074280316400177"/>
    <n v="85.84"/>
    <n v="1350.7120250627645"/>
    <n v="23"/>
    <n v="23"/>
    <n v="0"/>
    <n v="0"/>
    <n v="0"/>
    <n v="0"/>
    <n v="0"/>
    <n v="0"/>
    <n v="0"/>
    <s v="Release"/>
  </r>
  <r>
    <n v="0"/>
    <n v="0"/>
    <n v="0"/>
    <x v="470"/>
    <x v="463"/>
    <n v="0"/>
    <s v="vlc"/>
    <s v="Indirect"/>
    <n v="1014"/>
    <x v="16"/>
    <s v="Old"/>
    <d v="2024-06-01T00:00:00"/>
    <n v="1414.4"/>
    <n v="52849.395211400006"/>
    <n v="1060.8000000000002"/>
    <n v="1343.68"/>
    <n v="0"/>
    <n v="1585.4818563420001"/>
    <n v="241.80185634200006"/>
    <n v="141.44000000000003"/>
    <n v="1020.1006966616403"/>
    <n v="1243"/>
    <n v="0"/>
    <n v="0"/>
    <n v="0"/>
    <n v="0"/>
    <n v="109.80000000000001"/>
    <n v="1133"/>
    <n v="0"/>
    <n v="1133"/>
    <s v="Release"/>
  </r>
  <r>
    <n v="70690"/>
    <n v="0"/>
    <n v="70690"/>
    <x v="471"/>
    <x v="464"/>
    <n v="0"/>
    <s v="MPG"/>
    <s v="Direct"/>
    <n v="1014"/>
    <x v="16"/>
    <s v="Old"/>
    <d v="2024-10-25T00:00:00"/>
    <n v="1594.2"/>
    <n v="62750.70641015"/>
    <n v="1195.6500000000001"/>
    <n v="1514.49"/>
    <n v="827.27412357915"/>
    <n v="1882.5211923044999"/>
    <n v="368.03119230449988"/>
    <n v="159.42000000000002"/>
    <n v="954.30441330523399"/>
    <n v="2424"/>
    <n v="1861"/>
    <n v="0"/>
    <n v="0"/>
    <n v="0"/>
    <n v="348.52"/>
    <n v="214"/>
    <n v="0"/>
    <n v="214"/>
    <s v="Release"/>
  </r>
  <r>
    <n v="65439.065571768006"/>
    <n v="9600"/>
    <n v="75039.065571768006"/>
    <x v="472"/>
    <x v="465"/>
    <n v="0"/>
    <s v="MPG"/>
    <s v="Direct"/>
    <n v="1014"/>
    <x v="16"/>
    <s v="Old"/>
    <d v="2024-10-25T00:00:00"/>
    <n v="574.79999999999995"/>
    <n v="20385.719417520002"/>
    <n v="431.09999999999997"/>
    <n v="546.05999999999995"/>
    <n v="437.98416602999993"/>
    <n v="611.57158252560009"/>
    <n v="65.511582525600147"/>
    <n v="57.48"/>
    <n v="1357.939059154837"/>
    <n v="0"/>
    <n v="0"/>
    <n v="0"/>
    <n v="0"/>
    <n v="0"/>
    <n v="0"/>
    <n v="0"/>
    <n v="0"/>
    <n v="0"/>
    <s v="Release"/>
  </r>
  <r>
    <n v="46674.719413926781"/>
    <n v="9100"/>
    <n v="55774.719413926781"/>
    <x v="473"/>
    <x v="466"/>
    <n v="0"/>
    <s v="MPG"/>
    <s v="Direct"/>
    <n v="1014"/>
    <x v="16"/>
    <s v="Old"/>
    <d v="2024-10-25T00:00:00"/>
    <n v="691"/>
    <n v="23742.462337862002"/>
    <n v="518.25"/>
    <n v="656.44999999999993"/>
    <n v="0"/>
    <n v="712.27387013586008"/>
    <n v="55.823870135860147"/>
    <n v="69.100000000000009"/>
    <n v="1105.3012904115631"/>
    <n v="0"/>
    <n v="0"/>
    <n v="0"/>
    <n v="0"/>
    <n v="0"/>
    <n v="0"/>
    <n v="0"/>
    <n v="0"/>
    <n v="0"/>
    <s v="Release"/>
  </r>
  <r>
    <n v="90992.81877117914"/>
    <n v="8288.0897999999997"/>
    <n v="99280.908571179141"/>
    <x v="474"/>
    <x v="467"/>
    <n v="0"/>
    <s v="MPG"/>
    <s v="Direct"/>
    <n v="1014"/>
    <x v="16"/>
    <s v="Old"/>
    <d v="2024-10-25T00:00:00"/>
    <n v="758.6"/>
    <n v="26395.814138749498"/>
    <n v="568.95000000000005"/>
    <n v="720.67"/>
    <n v="0"/>
    <n v="791.87442416248496"/>
    <n v="71.204424162484997"/>
    <n v="75.86"/>
    <n v="1214.0410960975983"/>
    <n v="0"/>
    <n v="0"/>
    <n v="0"/>
    <n v="0"/>
    <n v="0"/>
    <n v="0"/>
    <n v="0"/>
    <n v="0"/>
    <n v="0"/>
    <s v="Release"/>
  </r>
  <r>
    <n v="60533"/>
    <n v="6400"/>
    <n v="66933"/>
    <x v="475"/>
    <x v="468"/>
    <n v="0"/>
    <s v="MPG"/>
    <s v="Direct"/>
    <n v="1014"/>
    <x v="16"/>
    <s v="Old"/>
    <d v="2024-10-25T00:00:00"/>
    <n v="1150.9000000000001"/>
    <n v="39537.422348500004"/>
    <n v="863.17500000000007"/>
    <n v="1093.355"/>
    <n v="624.75076101000002"/>
    <n v="1186.1226704550002"/>
    <n v="92.767670455000143"/>
    <n v="115.09000000000002"/>
    <n v="1137.1171642737377"/>
    <n v="1329"/>
    <n v="1329"/>
    <n v="0"/>
    <n v="0"/>
    <n v="0"/>
    <n v="0"/>
    <n v="0"/>
    <n v="0"/>
    <n v="0"/>
    <s v="Release"/>
  </r>
  <r>
    <n v="50708.601925478833"/>
    <n v="12800"/>
    <n v="63508.601925478833"/>
    <x v="476"/>
    <x v="469"/>
    <n v="0"/>
    <s v="MPG"/>
    <s v="Direct"/>
    <n v="1014"/>
    <x v="16"/>
    <s v="Old"/>
    <d v="2024-11-03T00:00:00"/>
    <n v="809.00000000000011"/>
    <n v="30497.497748300004"/>
    <n v="606.75000000000011"/>
    <n v="768.55000000000007"/>
    <n v="0"/>
    <n v="914.92493244900004"/>
    <n v="146.37493244899997"/>
    <n v="80.90000000000002"/>
    <n v="1294.0235797307826"/>
    <n v="0"/>
    <n v="0"/>
    <n v="0"/>
    <n v="0"/>
    <n v="0"/>
    <n v="0"/>
    <n v="0"/>
    <n v="0"/>
    <n v="0"/>
    <s v="Release"/>
  </r>
  <r>
    <n v="36049.769314641017"/>
    <n v="6400"/>
    <n v="42449.769314641017"/>
    <x v="477"/>
    <x v="470"/>
    <n v="0"/>
    <s v="MPG"/>
    <s v="Direct"/>
    <n v="1014"/>
    <x v="16"/>
    <s v="Old"/>
    <d v="2024-11-20T00:00:00"/>
    <n v="2280.5000000000005"/>
    <n v="89796.566684562204"/>
    <n v="1710.3750000000005"/>
    <n v="2166.4750000000004"/>
    <n v="0"/>
    <n v="2693.897000536866"/>
    <n v="527.42200053686565"/>
    <n v="228.05000000000007"/>
    <n v="455.26595133618707"/>
    <n v="3194"/>
    <n v="1861"/>
    <n v="0"/>
    <n v="1333"/>
    <n v="0"/>
    <n v="0"/>
    <n v="0"/>
    <n v="0"/>
    <n v="0"/>
    <s v="Release"/>
  </r>
  <r>
    <n v="60281.387351001598"/>
    <n v="6062.0788000000002"/>
    <n v="66343.466151001601"/>
    <x v="478"/>
    <x v="471"/>
    <n v="0"/>
    <s v="MPG"/>
    <s v="Direct"/>
    <n v="1014"/>
    <x v="16"/>
    <s v="Old"/>
    <d v="2024-11-29T00:00:00"/>
    <n v="635.70000000000005"/>
    <n v="20643.508354261503"/>
    <n v="476.77500000000003"/>
    <n v="603.91499999999996"/>
    <n v="2181.32284695"/>
    <n v="619.30525062784511"/>
    <n v="15.390250627845148"/>
    <n v="63.570000000000007"/>
    <n v="1409.7528230678204"/>
    <n v="1789"/>
    <n v="1361"/>
    <n v="0"/>
    <n v="0"/>
    <n v="0"/>
    <n v="428"/>
    <n v="0"/>
    <n v="0"/>
    <n v="0"/>
    <s v="Release"/>
  </r>
  <r>
    <n v="0"/>
    <n v="0"/>
    <n v="0"/>
    <x v="479"/>
    <x v="472"/>
    <n v="0"/>
    <s v="vlc"/>
    <s v="Indirect"/>
    <n v="1014"/>
    <x v="16"/>
    <s v="Old"/>
    <d v="2024-11-24T00:00:00"/>
    <n v="1563.0000000000002"/>
    <n v="68486.826759475007"/>
    <n v="1172.2500000000002"/>
    <n v="1484.8500000000001"/>
    <n v="0"/>
    <n v="2054.6048027842503"/>
    <n v="569.75480278425016"/>
    <n v="156.30000000000004"/>
    <n v="1096.5628749215123"/>
    <n v="1404"/>
    <n v="0"/>
    <n v="0"/>
    <n v="0"/>
    <n v="0"/>
    <n v="129.80000000000001"/>
    <n v="1274"/>
    <n v="0"/>
    <n v="1274"/>
    <s v="Release"/>
  </r>
  <r>
    <n v="80223"/>
    <n v="5087.1693999999998"/>
    <n v="85310.169399999999"/>
    <x v="480"/>
    <x v="473"/>
    <n v="0"/>
    <s v="MPG"/>
    <s v="Direct"/>
    <n v="1014"/>
    <x v="16"/>
    <s v="Old"/>
    <d v="2024-12-29T00:00:00"/>
    <n v="145.19999999999999"/>
    <n v="5386.6085299400002"/>
    <n v="108.89999999999999"/>
    <n v="137.93999999999997"/>
    <n v="16.2495726"/>
    <n v="161.59825589819999"/>
    <n v="23.658255898200025"/>
    <n v="14.52"/>
    <n v="248.90230956164942"/>
    <n v="0"/>
    <n v="0"/>
    <n v="0"/>
    <n v="0"/>
    <n v="0"/>
    <n v="0"/>
    <n v="0"/>
    <n v="0"/>
    <n v="0"/>
    <s v="Release"/>
  </r>
  <r>
    <n v="74044"/>
    <n v="4218.6918025240002"/>
    <n v="78262.691802524001"/>
    <x v="481"/>
    <x v="474"/>
    <n v="0"/>
    <s v="MPG"/>
    <s v="Direct"/>
    <n v="1014"/>
    <x v="16"/>
    <s v="Old"/>
    <d v="2025-01-23T00:00:00"/>
    <n v="788.2"/>
    <n v="26825.234693000002"/>
    <n v="591.15000000000009"/>
    <n v="748.79"/>
    <n v="0"/>
    <n v="804.75704079000002"/>
    <n v="55.967040790000055"/>
    <n v="78.820000000000007"/>
    <n v="1261.6152947580322"/>
    <n v="0"/>
    <n v="0"/>
    <n v="0"/>
    <n v="0"/>
    <n v="0"/>
    <n v="0"/>
    <n v="0"/>
    <n v="0"/>
    <n v="0"/>
    <s v="Release"/>
  </r>
  <r>
    <n v="47438.209441713865"/>
    <n v="12800"/>
    <n v="60238.209441713865"/>
    <x v="482"/>
    <x v="475"/>
    <n v="0"/>
    <s v="MPG"/>
    <s v="Direct"/>
    <n v="1014"/>
    <x v="16"/>
    <s v="Old"/>
    <d v="2025-01-27T00:00:00"/>
    <n v="2336"/>
    <n v="94508.614522561693"/>
    <n v="1752"/>
    <n v="2219.1999999999998"/>
    <n v="4323.8102518540582"/>
    <n v="2835.2584356768507"/>
    <n v="616.05843567685088"/>
    <n v="233.60000000000002"/>
    <n v="584.53567017163323"/>
    <n v="7477"/>
    <n v="1890.1722904512339"/>
    <n v="0"/>
    <n v="0"/>
    <n v="0"/>
    <n v="1666.1"/>
    <n v="3921"/>
    <n v="0"/>
    <n v="3921"/>
    <s v="Release"/>
  </r>
  <r>
    <n v="72798"/>
    <n v="5090.7209999999995"/>
    <n v="77888.721000000005"/>
    <x v="483"/>
    <x v="476"/>
    <n v="0"/>
    <s v="MPG"/>
    <s v="Direct"/>
    <n v="1014"/>
    <x v="16"/>
    <s v="Old"/>
    <d v="2025-03-29T00:00:00"/>
    <n v="1370.7"/>
    <n v="56331.632653640001"/>
    <n v="1028.0250000000001"/>
    <n v="1302.165"/>
    <n v="0"/>
    <n v="1689.9489796092"/>
    <n v="387.78397960920006"/>
    <n v="137.07000000000002"/>
    <n v="1174.0607688293094"/>
    <n v="1019"/>
    <n v="1019"/>
    <n v="0"/>
    <n v="0"/>
    <n v="0"/>
    <n v="0"/>
    <n v="0"/>
    <n v="0"/>
    <n v="0"/>
    <s v="Release"/>
  </r>
  <r>
    <n v="0"/>
    <n v="0"/>
    <n v="0"/>
    <x v="484"/>
    <x v="477"/>
    <n v="0"/>
    <s v="vlc"/>
    <s v="Indirect"/>
    <n v="1014"/>
    <x v="16"/>
    <s v="Old"/>
    <d v="2025-03-29T00:00:00"/>
    <n v="4030.2000000000003"/>
    <n v="162753.30454415031"/>
    <n v="3022.65"/>
    <n v="3828.69"/>
    <n v="0"/>
    <n v="4882.5991363245093"/>
    <n v="1053.9091363245093"/>
    <n v="403.02000000000004"/>
    <n v="315.70748643248464"/>
    <n v="6133"/>
    <n v="0"/>
    <n v="0"/>
    <n v="0"/>
    <n v="0"/>
    <n v="969.25"/>
    <n v="5164"/>
    <n v="0"/>
    <n v="5164"/>
    <s v="Release"/>
  </r>
  <r>
    <n v="72719.671489550383"/>
    <n v="6400"/>
    <n v="79119.671489550383"/>
    <x v="485"/>
    <x v="478"/>
    <n v="0"/>
    <s v="MPG"/>
    <s v="Direct"/>
    <n v="1014"/>
    <x v="16"/>
    <s v="Old"/>
    <d v="2025-04-16T00:00:00"/>
    <n v="2336.4"/>
    <n v="97715.703180404817"/>
    <n v="1752.3000000000002"/>
    <n v="2219.58"/>
    <n v="0"/>
    <n v="2931.4710954121442"/>
    <n v="711.8910954121443"/>
    <n v="233.64000000000001"/>
    <n v="392.4396439366385"/>
    <n v="3346"/>
    <n v="1954.3140636080964"/>
    <n v="0"/>
    <n v="0"/>
    <n v="0"/>
    <n v="697.04"/>
    <n v="695"/>
    <n v="695"/>
    <n v="0"/>
    <s v="Yes"/>
  </r>
  <r>
    <n v="59378.179760026396"/>
    <n v="12800"/>
    <n v="72178.179760026396"/>
    <x v="486"/>
    <x v="479"/>
    <n v="0"/>
    <s v="MPG"/>
    <s v="Direct"/>
    <n v="1014"/>
    <x v="16"/>
    <s v="Old"/>
    <d v="2025-04-30T00:00:00"/>
    <n v="2945.7999999999997"/>
    <n v="108264.65724734"/>
    <n v="2209.35"/>
    <n v="2798.5099999999998"/>
    <n v="7.8410265120000009"/>
    <n v="3247.9397174201999"/>
    <n v="449.42971742020018"/>
    <n v="294.58"/>
    <n v="59.541394966736355"/>
    <n v="4662"/>
    <n v="2165.2931449468001"/>
    <n v="0"/>
    <n v="0"/>
    <n v="0"/>
    <n v="1470.98"/>
    <n v="1026"/>
    <n v="0"/>
    <n v="1026"/>
    <s v="Release"/>
  </r>
  <r>
    <n v="82913"/>
    <n v="6400"/>
    <n v="89313"/>
    <x v="487"/>
    <x v="480"/>
    <n v="0"/>
    <s v="MPG"/>
    <s v="Direct"/>
    <n v="1014"/>
    <x v="16"/>
    <s v="Old"/>
    <d v="2025-04-28T00:00:00"/>
    <n v="65.099999999999994"/>
    <n v="2568.7299999999996"/>
    <n v="48.824999999999996"/>
    <n v="61.844999999999992"/>
    <n v="0"/>
    <n v="77.06189999999998"/>
    <n v="15.216899999999988"/>
    <n v="6.51"/>
    <n v="104.28434582365162"/>
    <n v="0"/>
    <n v="0"/>
    <n v="0"/>
    <n v="0"/>
    <n v="0"/>
    <n v="0"/>
    <n v="0"/>
    <n v="0"/>
    <n v="0"/>
    <s v="Release"/>
  </r>
  <r>
    <n v="0"/>
    <n v="0"/>
    <n v="0"/>
    <x v="488"/>
    <x v="481"/>
    <n v="0"/>
    <s v="vlc"/>
    <s v="Indirect"/>
    <n v="1014"/>
    <x v="16"/>
    <s v="Old"/>
    <d v="2025-05-09T00:00:00"/>
    <n v="812.49999999999989"/>
    <n v="28924.16133915"/>
    <n v="609.37499999999989"/>
    <n v="771.87499999999989"/>
    <n v="0"/>
    <n v="867.72484017449995"/>
    <n v="95.849840174500059"/>
    <n v="81.25"/>
    <n v="1299.9666710511569"/>
    <n v="0"/>
    <n v="0"/>
    <n v="0"/>
    <n v="0"/>
    <n v="0"/>
    <n v="0"/>
    <n v="0"/>
    <n v="0"/>
    <n v="0"/>
    <s v="Release"/>
  </r>
  <r>
    <n v="61116.346863492814"/>
    <n v="12800"/>
    <n v="73916.346863492814"/>
    <x v="489"/>
    <x v="482"/>
    <n v="0"/>
    <s v="MPG"/>
    <s v="Direct"/>
    <n v="1014"/>
    <x v="16"/>
    <s v="Old"/>
    <d v="2025-05-23T00:00:00"/>
    <n v="4894.7"/>
    <n v="187814.04928505002"/>
    <n v="3671.0249999999996"/>
    <n v="4649.9649999999992"/>
    <n v="2403.7186624542005"/>
    <n v="5634.4214785515005"/>
    <n v="984.45647855150128"/>
    <n v="489.47"/>
    <n v="0"/>
    <n v="10235"/>
    <n v="3756.2809857010002"/>
    <n v="0"/>
    <n v="0"/>
    <n v="0"/>
    <n v="2163.46"/>
    <n v="4315"/>
    <n v="0"/>
    <n v="4315"/>
    <s v="Release"/>
  </r>
  <r>
    <n v="81039.266399999993"/>
    <n v="6400"/>
    <n v="87439.266399999993"/>
    <x v="490"/>
    <x v="483"/>
    <n v="0"/>
    <s v="MPG"/>
    <s v="Direct"/>
    <n v="1014"/>
    <x v="16"/>
    <s v="Old"/>
    <d v="2025-06-01T00:00:00"/>
    <n v="603.80000000000007"/>
    <n v="22851.845061530003"/>
    <n v="452.85"/>
    <n v="573.61"/>
    <n v="368.64472182000003"/>
    <n v="685.55535184590008"/>
    <n v="111.94535184590006"/>
    <n v="60.38000000000001"/>
    <n v="1335.2045701105214"/>
    <n v="0"/>
    <n v="0"/>
    <n v="0"/>
    <n v="0"/>
    <n v="0"/>
    <n v="0"/>
    <n v="0"/>
    <n v="0"/>
    <n v="0"/>
    <s v="Release"/>
  </r>
  <r>
    <n v="0"/>
    <n v="0"/>
    <n v="0"/>
    <x v="491"/>
    <x v="484"/>
    <n v="0"/>
    <s v="vlc"/>
    <s v="Indirect"/>
    <n v="1014"/>
    <x v="16"/>
    <s v="Old"/>
    <d v="2025-06-01T00:00:00"/>
    <n v="59.5"/>
    <n v="2434.44"/>
    <n v="44.625"/>
    <n v="56.524999999999999"/>
    <n v="0"/>
    <n v="73.033199999999994"/>
    <n v="16.508199999999995"/>
    <n v="5.95"/>
    <n v="95.120611764705814"/>
    <n v="0"/>
    <n v="0"/>
    <n v="0"/>
    <n v="0"/>
    <n v="0"/>
    <n v="0"/>
    <n v="0"/>
    <n v="0"/>
    <n v="0"/>
    <s v="Release"/>
  </r>
  <r>
    <n v="52479.298490417597"/>
    <n v="6400"/>
    <n v="58879.298490417597"/>
    <x v="492"/>
    <x v="485"/>
    <n v="0"/>
    <s v="MPG"/>
    <s v="Direct"/>
    <n v="1014"/>
    <x v="16"/>
    <s v="Old"/>
    <d v="2025-07-30T00:00:00"/>
    <n v="5390.9999999999991"/>
    <n v="182367.68106065848"/>
    <n v="4043.2499999999991"/>
    <n v="5121.4499999999989"/>
    <n v="0"/>
    <n v="5471.0304318197541"/>
    <n v="349.58043181975518"/>
    <n v="539.09999999999991"/>
    <n v="20.927183042571691"/>
    <n v="8605"/>
    <n v="3647.3536212131694"/>
    <n v="0"/>
    <n v="0"/>
    <n v="0"/>
    <n v="1196.26"/>
    <n v="3761"/>
    <n v="0"/>
    <n v="3761"/>
    <s v="Release"/>
  </r>
  <r>
    <n v="0"/>
    <n v="0"/>
    <n v="0"/>
    <x v="493"/>
    <x v="486"/>
    <n v="0"/>
    <s v="vlc"/>
    <s v="Indirect"/>
    <n v="1002"/>
    <x v="3"/>
    <s v="Old"/>
    <d v="2019-02-14T00:00:00"/>
    <n v="3844.8999999999996"/>
    <n v="160555.43450185002"/>
    <n v="2883.6749999999997"/>
    <n v="3652.6549999999993"/>
    <n v="0"/>
    <n v="4816.6630350555006"/>
    <n v="1164.0080350555013"/>
    <n v="384.49"/>
    <n v="0"/>
    <n v="6152"/>
    <n v="0"/>
    <n v="0"/>
    <n v="0"/>
    <n v="0"/>
    <n v="0"/>
    <n v="6152"/>
    <n v="0"/>
    <n v="6152"/>
    <s v="Release"/>
  </r>
  <r>
    <n v="0"/>
    <n v="0"/>
    <n v="0"/>
    <x v="494"/>
    <x v="487"/>
    <n v="0"/>
    <s v="RMC"/>
    <s v="Direct"/>
    <n v="1003"/>
    <x v="4"/>
    <s v="Old"/>
    <d v="2017-09-01T00:00:00"/>
    <n v="1905"/>
    <n v="61039.94"/>
    <n v="1428.75"/>
    <n v="1809.75"/>
    <n v="578.45776705200001"/>
    <n v="1831.1982"/>
    <n v="21.448200000000043"/>
    <n v="190.5"/>
    <n v="192.2"/>
    <n v="3434"/>
    <n v="0"/>
    <n v="0"/>
    <n v="0"/>
    <n v="0"/>
    <n v="0"/>
    <n v="3434"/>
    <n v="3434"/>
    <n v="0"/>
    <s v="Yes"/>
  </r>
  <r>
    <n v="0"/>
    <n v="0"/>
    <n v="0"/>
    <x v="495"/>
    <x v="488"/>
    <n v="0"/>
    <s v="RMC"/>
    <s v="Direct"/>
    <n v="1003"/>
    <x v="4"/>
    <s v="Old"/>
    <d v="2017-09-01T00:00:00"/>
    <n v="5809"/>
    <n v="206160.20061599999"/>
    <n v="4356.75"/>
    <n v="5518.55"/>
    <n v="3590.1329852327904"/>
    <n v="6184.8060184799997"/>
    <n v="666.25601847999951"/>
    <n v="580.9"/>
    <n v="0"/>
    <n v="12885"/>
    <n v="0"/>
    <n v="0"/>
    <n v="0"/>
    <n v="0"/>
    <n v="0"/>
    <n v="12885"/>
    <n v="0"/>
    <n v="12885"/>
    <s v="Release"/>
  </r>
  <r>
    <n v="0"/>
    <n v="0"/>
    <n v="0"/>
    <x v="496"/>
    <x v="489"/>
    <n v="0"/>
    <s v="RMC"/>
    <s v="Direct"/>
    <n v="1003"/>
    <x v="4"/>
    <s v="Old"/>
    <d v="2017-09-01T00:00:00"/>
    <n v="4917.8999999999996"/>
    <n v="218353.54914724117"/>
    <n v="3688.4249999999997"/>
    <n v="4672.0049999999992"/>
    <n v="1166.2073330400003"/>
    <n v="6550.6064744172345"/>
    <n v="1878.6014744172353"/>
    <n v="491.78999999999996"/>
    <n v="337.76091965654706"/>
    <n v="8697"/>
    <n v="0"/>
    <n v="0"/>
    <n v="0"/>
    <n v="0"/>
    <n v="0"/>
    <n v="8697"/>
    <n v="0"/>
    <n v="8697"/>
    <s v="Release"/>
  </r>
  <r>
    <n v="0"/>
    <n v="0"/>
    <n v="0"/>
    <x v="497"/>
    <x v="490"/>
    <n v="0"/>
    <s v="RMC"/>
    <s v="Direct"/>
    <n v="1003"/>
    <x v="4"/>
    <s v="Old"/>
    <d v="2017-09-01T00:00:00"/>
    <n v="4396.8499999999995"/>
    <n v="164924.83437138502"/>
    <n v="3297.6374999999998"/>
    <n v="4177.0074999999997"/>
    <n v="1302.7860414477"/>
    <n v="4947.7450311415505"/>
    <n v="770.73753114155079"/>
    <n v="439.68499999999995"/>
    <n v="0"/>
    <n v="8338"/>
    <n v="0"/>
    <n v="0"/>
    <n v="0"/>
    <n v="0"/>
    <n v="0"/>
    <n v="8338"/>
    <n v="0"/>
    <n v="8338"/>
    <s v="Release"/>
  </r>
  <r>
    <n v="0"/>
    <n v="0"/>
    <n v="0"/>
    <x v="498"/>
    <x v="491"/>
    <n v="0"/>
    <s v="RMC"/>
    <s v="Direct"/>
    <n v="1006"/>
    <x v="5"/>
    <s v="Old"/>
    <d v="2017-09-01T00:00:00"/>
    <n v="7627"/>
    <n v="264571.17990950699"/>
    <n v="5720.25"/>
    <n v="7245.65"/>
    <n v="1043.0506612230001"/>
    <n v="7937.1353972852094"/>
    <n v="691.48539728520973"/>
    <n v="762.7"/>
    <n v="0"/>
    <n v="13246"/>
    <n v="0"/>
    <n v="0"/>
    <n v="0"/>
    <n v="0"/>
    <n v="0"/>
    <n v="13246"/>
    <n v="0"/>
    <n v="13246"/>
    <s v="Release"/>
  </r>
  <r>
    <n v="0"/>
    <n v="0"/>
    <n v="0"/>
    <x v="499"/>
    <x v="492"/>
    <n v="0"/>
    <s v="vlc"/>
    <s v="Indirect"/>
    <n v="1006"/>
    <x v="5"/>
    <s v="Old"/>
    <d v="2017-09-01T00:00:00"/>
    <n v="3139.8999999999996"/>
    <n v="146325.38960962"/>
    <n v="2354.9249999999997"/>
    <n v="2982.9049999999993"/>
    <n v="0"/>
    <n v="4389.7616882885995"/>
    <n v="1406.8566882886003"/>
    <n v="313.99"/>
    <n v="310.72097878876104"/>
    <n v="4713"/>
    <n v="0"/>
    <n v="0"/>
    <n v="0"/>
    <n v="0"/>
    <n v="0"/>
    <n v="4713"/>
    <n v="0"/>
    <n v="4713"/>
    <s v="Release"/>
  </r>
  <r>
    <n v="0"/>
    <n v="0"/>
    <n v="0"/>
    <x v="500"/>
    <x v="493"/>
    <n v="0"/>
    <s v="RMC"/>
    <s v="Direct"/>
    <n v="1006"/>
    <x v="5"/>
    <s v="Old"/>
    <d v="2017-09-01T00:00:00"/>
    <n v="3650.6"/>
    <n v="141169.261795067"/>
    <n v="2737.95"/>
    <n v="3468.0699999999997"/>
    <n v="868.60737697500008"/>
    <n v="4235.0778538520099"/>
    <n v="767.00785385201016"/>
    <n v="365.06"/>
    <n v="0"/>
    <n v="6710"/>
    <n v="0"/>
    <n v="0"/>
    <n v="0"/>
    <n v="0"/>
    <n v="0"/>
    <n v="6710"/>
    <n v="0"/>
    <n v="6710"/>
    <s v="Release"/>
  </r>
  <r>
    <n v="0"/>
    <n v="0"/>
    <n v="0"/>
    <x v="501"/>
    <x v="494"/>
    <n v="0"/>
    <s v="vlc"/>
    <s v="Indirect"/>
    <n v="1006"/>
    <x v="5"/>
    <s v="Old"/>
    <d v="2017-09-01T00:00:00"/>
    <n v="9274.7000000000007"/>
    <n v="348326.32366488001"/>
    <n v="6956.0250000000005"/>
    <n v="8810.9650000000001"/>
    <n v="0"/>
    <n v="10449.789709946401"/>
    <n v="1638.8247099464006"/>
    <n v="927.47000000000014"/>
    <n v="0"/>
    <n v="14840"/>
    <n v="0"/>
    <n v="0"/>
    <n v="0"/>
    <n v="0"/>
    <n v="0"/>
    <n v="14840"/>
    <n v="0"/>
    <n v="14840"/>
    <s v="Release"/>
  </r>
  <r>
    <n v="0"/>
    <n v="0"/>
    <n v="0"/>
    <x v="502"/>
    <x v="495"/>
    <n v="0"/>
    <s v="vlc"/>
    <s v="Indirect"/>
    <n v="1006"/>
    <x v="5"/>
    <s v="Old"/>
    <d v="2017-09-01T00:00:00"/>
    <n v="6501.2000000000007"/>
    <n v="240666.25202896999"/>
    <n v="4875.9000000000005"/>
    <n v="6176.14"/>
    <n v="0"/>
    <n v="7219.9875608690991"/>
    <n v="1043.8475608690987"/>
    <n v="650.12000000000012"/>
    <n v="0"/>
    <n v="10402"/>
    <n v="0"/>
    <n v="0"/>
    <n v="0"/>
    <n v="0"/>
    <n v="0"/>
    <n v="10402"/>
    <n v="0"/>
    <n v="10402"/>
    <s v="Release"/>
  </r>
  <r>
    <n v="0"/>
    <n v="0"/>
    <n v="0"/>
    <x v="503"/>
    <x v="496"/>
    <n v="0"/>
    <s v="RMC"/>
    <s v="Direct"/>
    <n v="1006"/>
    <x v="5"/>
    <s v="Old"/>
    <d v="2017-09-01T00:00:00"/>
    <n v="7322.2"/>
    <n v="274616.60591459996"/>
    <n v="5491.65"/>
    <n v="6956.0899999999992"/>
    <n v="2665.1889771179999"/>
    <n v="8238.4981774379994"/>
    <n v="1282.4081774380002"/>
    <n v="732.22"/>
    <n v="0"/>
    <n v="14381"/>
    <n v="0"/>
    <n v="0"/>
    <n v="0"/>
    <n v="0"/>
    <n v="0"/>
    <n v="14381"/>
    <n v="0"/>
    <n v="14381"/>
    <s v="Release"/>
  </r>
  <r>
    <n v="0"/>
    <n v="0"/>
    <n v="0"/>
    <x v="504"/>
    <x v="497"/>
    <n v="0"/>
    <s v="RMC"/>
    <s v="Direct"/>
    <n v="1036"/>
    <x v="17"/>
    <s v="Old"/>
    <d v="2017-09-01T00:00:00"/>
    <n v="9813.7000000000007"/>
    <n v="364937.7770294646"/>
    <n v="7360.2750000000005"/>
    <n v="9323.0149999999994"/>
    <n v="6621.6347145120008"/>
    <n v="10948.133310883937"/>
    <n v="1625.1183108839377"/>
    <n v="981.37000000000012"/>
    <n v="0"/>
    <n v="22324"/>
    <n v="0"/>
    <n v="0"/>
    <n v="400"/>
    <n v="0"/>
    <n v="0"/>
    <n v="21924"/>
    <n v="0"/>
    <n v="21924"/>
    <s v="Release"/>
  </r>
  <r>
    <n v="0"/>
    <n v="0"/>
    <n v="0"/>
    <x v="505"/>
    <x v="498"/>
    <n v="0"/>
    <s v="RMC"/>
    <s v="Direct"/>
    <n v="1007"/>
    <x v="7"/>
    <s v="Old"/>
    <d v="2017-09-01T00:00:00"/>
    <n v="235"/>
    <n v="7708.58256824"/>
    <n v="176.25"/>
    <n v="223.25"/>
    <n v="0"/>
    <n v="231.25747704719998"/>
    <n v="8.0074770471999841"/>
    <n v="23.5"/>
    <n v="376.03164231520009"/>
    <n v="0"/>
    <n v="0"/>
    <n v="0"/>
    <n v="0"/>
    <n v="0"/>
    <n v="0"/>
    <n v="0"/>
    <n v="0"/>
    <n v="0"/>
    <s v="Release"/>
  </r>
  <r>
    <n v="0"/>
    <n v="0"/>
    <n v="0"/>
    <x v="506"/>
    <x v="499"/>
    <n v="0"/>
    <s v="RMC"/>
    <s v="Direct"/>
    <n v="1007"/>
    <x v="7"/>
    <s v="Old"/>
    <d v="2017-09-01T00:00:00"/>
    <n v="2629"/>
    <n v="91038.701455999995"/>
    <n v="1971.75"/>
    <n v="2497.5499999999997"/>
    <n v="796.24828800000012"/>
    <n v="2731.1610436799997"/>
    <n v="233.61104367999997"/>
    <n v="262.90000000000003"/>
    <n v="436.38295488000006"/>
    <n v="4566"/>
    <n v="0"/>
    <n v="0"/>
    <n v="0"/>
    <n v="0"/>
    <n v="0"/>
    <n v="4566"/>
    <n v="0"/>
    <n v="4566"/>
    <s v="Release"/>
  </r>
  <r>
    <n v="0"/>
    <n v="0"/>
    <n v="0"/>
    <x v="507"/>
    <x v="500"/>
    <n v="0"/>
    <s v="RMC"/>
    <s v="Indirect"/>
    <n v="1007"/>
    <x v="7"/>
    <s v="Old"/>
    <d v="2023-01-20T00:00:00"/>
    <n v="1894"/>
    <n v="65067.050192000002"/>
    <n v="1420.5"/>
    <n v="1799.3"/>
    <n v="137.55875284800004"/>
    <n v="1952.0115057600001"/>
    <n v="152.71150576000014"/>
    <n v="189.4"/>
    <n v="624.41093039721022"/>
    <n v="2544"/>
    <n v="0"/>
    <n v="0"/>
    <n v="0"/>
    <n v="0"/>
    <n v="0"/>
    <n v="2544"/>
    <n v="0"/>
    <n v="2544"/>
    <s v="Release"/>
  </r>
  <r>
    <n v="0"/>
    <n v="0"/>
    <n v="0"/>
    <x v="508"/>
    <x v="501"/>
    <n v="0"/>
    <s v="RMC"/>
    <s v="Direct"/>
    <n v="1007"/>
    <x v="7"/>
    <s v="Old"/>
    <d v="2017-09-01T00:00:00"/>
    <n v="8112"/>
    <n v="281688.04083200003"/>
    <n v="6084"/>
    <n v="7706.4"/>
    <n v="1150.6310424000001"/>
    <n v="8450.6412249599998"/>
    <n v="744.24122496000018"/>
    <n v="811.2"/>
    <n v="0"/>
    <n v="14130"/>
    <n v="0"/>
    <n v="0"/>
    <n v="0"/>
    <n v="0"/>
    <n v="0"/>
    <n v="14130"/>
    <n v="0"/>
    <n v="14130"/>
    <s v="Release"/>
  </r>
  <r>
    <n v="0"/>
    <n v="0"/>
    <n v="0"/>
    <x v="509"/>
    <x v="502"/>
    <n v="0"/>
    <s v="RMC"/>
    <s v="Direct"/>
    <n v="1007"/>
    <x v="7"/>
    <s v="Old"/>
    <d v="2017-12-11T00:00:00"/>
    <n v="11974"/>
    <n v="402930.83068000001"/>
    <n v="8980.5"/>
    <n v="11375.3"/>
    <n v="872.69956800000023"/>
    <n v="12087.924920400001"/>
    <n v="712.62492040000143"/>
    <n v="1197.4000000000001"/>
    <n v="0"/>
    <n v="20031"/>
    <n v="0"/>
    <n v="0"/>
    <n v="0"/>
    <n v="0"/>
    <n v="0"/>
    <n v="20031"/>
    <n v="0"/>
    <n v="20031"/>
    <s v="Release"/>
  </r>
  <r>
    <n v="0"/>
    <n v="0"/>
    <n v="0"/>
    <x v="510"/>
    <x v="503"/>
    <n v="0"/>
    <s v="MPG"/>
    <s v="Direct"/>
    <n v="1011"/>
    <x v="12"/>
    <s v="Old"/>
    <d v="2017-09-01T00:00:00"/>
    <n v="590.49999999999989"/>
    <n v="20523.983638682002"/>
    <n v="442.87499999999989"/>
    <n v="560.97499999999991"/>
    <n v="0"/>
    <n v="615.71950916046001"/>
    <n v="54.744509160460098"/>
    <n v="59.04999999999999"/>
    <n v="944.78227241312788"/>
    <n v="0"/>
    <n v="0"/>
    <n v="0"/>
    <n v="0"/>
    <n v="0"/>
    <n v="0"/>
    <n v="0"/>
    <n v="0"/>
    <n v="0"/>
    <s v="Release"/>
  </r>
  <r>
    <n v="0"/>
    <n v="0"/>
    <n v="0"/>
    <x v="511"/>
    <x v="504"/>
    <n v="0"/>
    <s v="RMC"/>
    <s v="Direct"/>
    <n v="1003"/>
    <x v="4"/>
    <s v="Old"/>
    <d v="2017-09-01T00:00:00"/>
    <n v="1257.7000000000003"/>
    <n v="44041.737615544502"/>
    <n v="943.2750000000002"/>
    <n v="1194.8150000000003"/>
    <n v="289.24240745100008"/>
    <n v="1321.2521284663351"/>
    <n v="126.4371284663348"/>
    <n v="125.77000000000004"/>
    <n v="1079.6786939569411"/>
    <n v="1222"/>
    <n v="0"/>
    <n v="0"/>
    <n v="0"/>
    <n v="0"/>
    <n v="0"/>
    <n v="1222"/>
    <n v="0"/>
    <n v="1222"/>
    <s v="Release"/>
  </r>
  <r>
    <n v="26536.625360733524"/>
    <n v="8529.4035252083195"/>
    <n v="35066.028885941843"/>
    <x v="512"/>
    <x v="505"/>
    <n v="0"/>
    <s v="MPG"/>
    <s v="Direct"/>
    <n v="1003"/>
    <x v="4"/>
    <s v="Old"/>
    <d v="2023-03-03T00:00:00"/>
    <n v="2308.4499999999998"/>
    <n v="69547.225116022251"/>
    <n v="1731.3374999999999"/>
    <n v="2193.0274999999997"/>
    <n v="687.65344224299997"/>
    <n v="2086.4167534806675"/>
    <n v="-106.61074651933222"/>
    <n v="230.845"/>
    <n v="295.43566873753616"/>
    <n v="4086"/>
    <n v="1861"/>
    <n v="0"/>
    <n v="0"/>
    <n v="0"/>
    <n v="0"/>
    <n v="2225"/>
    <n v="0"/>
    <n v="2225"/>
    <s v="Release"/>
  </r>
  <r>
    <n v="39182.526400000002"/>
    <n v="24802"/>
    <n v="63984.526400000002"/>
    <x v="513"/>
    <x v="506"/>
    <n v="0"/>
    <s v="MPG"/>
    <s v="Direct"/>
    <n v="1036"/>
    <x v="17"/>
    <s v="Old"/>
    <d v="2019-10-18T00:00:00"/>
    <n v="1359"/>
    <n v="44476.210114160502"/>
    <n v="1019.25"/>
    <n v="1291.05"/>
    <n v="434.98697625000005"/>
    <n v="1334.2863034248151"/>
    <n v="43.236303424815105"/>
    <n v="135.9"/>
    <n v="947.3266627804262"/>
    <n v="1662"/>
    <n v="1662"/>
    <n v="0"/>
    <n v="0"/>
    <n v="0"/>
    <n v="0"/>
    <n v="0"/>
    <n v="0"/>
    <n v="0"/>
    <s v="Release"/>
  </r>
  <r>
    <n v="0"/>
    <n v="10665.781800000001"/>
    <n v="10665.781800000001"/>
    <x v="514"/>
    <x v="507"/>
    <n v="0"/>
    <s v="vlc"/>
    <s v="Indirect"/>
    <n v="1036"/>
    <x v="17"/>
    <s v="Old"/>
    <d v="2019-10-18T00:00:00"/>
    <n v="918.3"/>
    <n v="30612.071608620496"/>
    <n v="688.72499999999991"/>
    <n v="872.38499999999988"/>
    <n v="0"/>
    <n v="918.36214825861487"/>
    <n v="45.977148258614989"/>
    <n v="91.83"/>
    <n v="1261.7964446974975"/>
    <n v="207"/>
    <n v="0"/>
    <n v="207"/>
    <n v="0"/>
    <n v="0"/>
    <n v="0"/>
    <n v="0"/>
    <n v="0"/>
    <n v="0"/>
    <s v="Release"/>
  </r>
  <r>
    <n v="0"/>
    <n v="0"/>
    <n v="0"/>
    <x v="515"/>
    <x v="508"/>
    <n v="0"/>
    <s v="vlc"/>
    <s v="Indirect"/>
    <n v="1007"/>
    <x v="7"/>
    <s v="Old"/>
    <d v="2020-04-11T00:00:00"/>
    <n v="3500"/>
    <n v="115123.78499604001"/>
    <n v="2625"/>
    <n v="3325"/>
    <n v="0"/>
    <n v="3453.7135498811999"/>
    <n v="128.71354988119992"/>
    <n v="350"/>
    <n v="405.97388953399548"/>
    <n v="5194"/>
    <n v="0"/>
    <n v="0"/>
    <n v="0"/>
    <n v="0"/>
    <n v="0"/>
    <n v="5194"/>
    <n v="0"/>
    <n v="5194"/>
    <s v="Release"/>
  </r>
  <r>
    <n v="26987.025469606597"/>
    <n v="25993.087123998721"/>
    <n v="52980.112593605314"/>
    <x v="516"/>
    <x v="509"/>
    <n v="0"/>
    <s v="MPG"/>
    <s v="Direct"/>
    <n v="1036"/>
    <x v="17"/>
    <s v="Old"/>
    <d v="2023-02-17T00:00:00"/>
    <n v="1356.7"/>
    <n v="50928.720556089"/>
    <n v="1017.5250000000001"/>
    <n v="1288.865"/>
    <n v="213.86801450204007"/>
    <n v="1527.86161668267"/>
    <n v="238.99661668267004"/>
    <n v="135.67000000000002"/>
    <n v="1081.9669932300303"/>
    <n v="1303"/>
    <n v="1303"/>
    <n v="0"/>
    <n v="0"/>
    <n v="0"/>
    <n v="0"/>
    <n v="0"/>
    <n v="0"/>
    <n v="0"/>
    <s v="Release"/>
  </r>
  <r>
    <n v="18104.040572177153"/>
    <n v="15638.113473057279"/>
    <n v="33742.154045234434"/>
    <x v="517"/>
    <x v="510"/>
    <n v="0"/>
    <s v="MPG"/>
    <s v="Direct"/>
    <n v="1036"/>
    <x v="17"/>
    <s v="Old"/>
    <d v="2023-02-18T00:00:00"/>
    <n v="1481.6000000000001"/>
    <n v="55042.519154788009"/>
    <n v="1111.2"/>
    <n v="1407.52"/>
    <n v="453.54430495170004"/>
    <n v="1651.2755746436403"/>
    <n v="243.75557464364033"/>
    <n v="148.16000000000003"/>
    <n v="977.81826901452268"/>
    <n v="1846"/>
    <n v="1846"/>
    <n v="0"/>
    <n v="0"/>
    <n v="0"/>
    <n v="0"/>
    <n v="0"/>
    <n v="0"/>
    <n v="0"/>
    <s v="Release"/>
  </r>
  <r>
    <n v="24277.25213635093"/>
    <n v="23692"/>
    <n v="47969.25213635093"/>
    <x v="518"/>
    <x v="511"/>
    <n v="0"/>
    <s v="MPG"/>
    <s v="Direct"/>
    <n v="1036"/>
    <x v="17"/>
    <s v="Old"/>
    <d v="2024-02-01T00:00:00"/>
    <n v="1936.7999999999997"/>
    <n v="66403.657211832004"/>
    <n v="1452.6"/>
    <n v="1839.9599999999996"/>
    <n v="0"/>
    <n v="1992.10971635496"/>
    <n v="152.14971635496045"/>
    <n v="193.67999999999998"/>
    <n v="592.69122697103478"/>
    <n v="2506"/>
    <n v="1861"/>
    <n v="0"/>
    <n v="0"/>
    <n v="0"/>
    <n v="0"/>
    <n v="645"/>
    <n v="0"/>
    <n v="645"/>
    <s v="Release"/>
  </r>
  <r>
    <n v="33932.976281815849"/>
    <n v="22400"/>
    <n v="56332.976281815849"/>
    <x v="519"/>
    <x v="512"/>
    <n v="0"/>
    <s v="MPG"/>
    <s v="Direct"/>
    <n v="1036"/>
    <x v="17"/>
    <s v="Old"/>
    <d v="2024-06-17T00:00:00"/>
    <n v="299.79999999999995"/>
    <n v="9902.2285156245016"/>
    <n v="224.84999999999997"/>
    <n v="284.80999999999995"/>
    <n v="0"/>
    <n v="297.06685546873501"/>
    <n v="12.256855468735068"/>
    <n v="29.979999999999997"/>
    <n v="479.47754531094688"/>
    <n v="0"/>
    <n v="0"/>
    <n v="0"/>
    <n v="0"/>
    <n v="0"/>
    <n v="0"/>
    <n v="0"/>
    <n v="0"/>
    <n v="0"/>
    <s v="Release"/>
  </r>
  <r>
    <n v="70938"/>
    <n v="1945.8801999999998"/>
    <n v="72883.8802"/>
    <x v="520"/>
    <x v="513"/>
    <n v="0"/>
    <s v="MPG"/>
    <s v="Direct"/>
    <n v="1036"/>
    <x v="17"/>
    <s v="Old"/>
    <d v="2024-12-16T00:00:00"/>
    <n v="2397.4"/>
    <n v="87256.813370017509"/>
    <n v="1798.0500000000002"/>
    <n v="2277.5300000000002"/>
    <n v="1119.6448414200004"/>
    <n v="2617.704401100525"/>
    <n v="340.17440110052485"/>
    <n v="239.74"/>
    <n v="290.83944102628692"/>
    <n v="4665"/>
    <n v="1861"/>
    <n v="0"/>
    <n v="0"/>
    <n v="0"/>
    <n v="0"/>
    <n v="2804"/>
    <n v="0"/>
    <n v="2804"/>
    <s v="Release"/>
  </r>
  <r>
    <n v="48938.636370760949"/>
    <n v="0"/>
    <n v="48938.636370760949"/>
    <x v="521"/>
    <x v="514"/>
    <n v="0"/>
    <s v="MPG"/>
    <s v="Direct"/>
    <n v="1036"/>
    <x v="17"/>
    <s v="Old"/>
    <d v="2025-01-07T00:00:00"/>
    <n v="4920.6000000000004"/>
    <n v="189351.99310303709"/>
    <n v="3690.4500000000003"/>
    <n v="4674.57"/>
    <n v="4971.9061746179996"/>
    <n v="5680.5597930911126"/>
    <n v="1005.9897930911129"/>
    <n v="492.06000000000006"/>
    <n v="0"/>
    <n v="12845"/>
    <n v="3787.0398620607421"/>
    <n v="0"/>
    <n v="0"/>
    <n v="0"/>
    <n v="0"/>
    <n v="9058"/>
    <n v="0"/>
    <n v="9058"/>
    <s v="Release"/>
  </r>
  <r>
    <n v="0"/>
    <n v="0"/>
    <n v="0"/>
    <x v="522"/>
    <x v="515"/>
    <n v="0"/>
    <s v="vlc"/>
    <s v="Indirect"/>
    <n v="1036"/>
    <x v="17"/>
    <s v="Old"/>
    <d v="2025-02-23T00:00:00"/>
    <n v="1491.2"/>
    <n v="51469.457726253502"/>
    <n v="1118.4000000000001"/>
    <n v="1416.6399999999999"/>
    <n v="0"/>
    <n v="1544.0837317876051"/>
    <n v="127.4437317876052"/>
    <n v="149.12"/>
    <n v="1086.6023252926652"/>
    <n v="1299"/>
    <n v="0"/>
    <n v="0"/>
    <n v="0"/>
    <n v="0"/>
    <n v="0"/>
    <n v="1299"/>
    <n v="0"/>
    <n v="1299"/>
    <s v="Release"/>
  </r>
  <r>
    <n v="0"/>
    <n v="0"/>
    <n v="0"/>
    <x v="523"/>
    <x v="516"/>
    <n v="0"/>
    <s v="vlc"/>
    <s v="Indirect"/>
    <n v="1036"/>
    <x v="17"/>
    <s v="Old"/>
    <d v="2025-07-27T00:00:00"/>
    <n v="1102.5"/>
    <n v="40421.333728069498"/>
    <n v="826.875"/>
    <n v="1047.375"/>
    <n v="0"/>
    <n v="1212.640011842085"/>
    <n v="165.26501184208496"/>
    <n v="110.25"/>
    <n v="1248.2865328514924"/>
    <n v="516"/>
    <n v="0"/>
    <n v="0"/>
    <n v="0"/>
    <n v="0"/>
    <n v="0"/>
    <n v="516"/>
    <n v="0"/>
    <n v="516"/>
    <s v="Release"/>
  </r>
  <r>
    <n v="0"/>
    <n v="0"/>
    <n v="0"/>
    <x v="524"/>
    <x v="517"/>
    <n v="0"/>
    <s v="RMC"/>
    <s v="Direct"/>
    <n v="1003"/>
    <x v="4"/>
    <s v="Old"/>
    <d v="2017-09-01T00:00:00"/>
    <n v="3676"/>
    <n v="115999.20523200001"/>
    <n v="2757"/>
    <n v="3492.2"/>
    <n v="1758.0483360000005"/>
    <n v="3479.97615696"/>
    <n v="-12.223843039999792"/>
    <n v="367.6"/>
    <n v="27.708399999999997"/>
    <n v="7612"/>
    <n v="0"/>
    <n v="0"/>
    <n v="0"/>
    <n v="0"/>
    <n v="0"/>
    <n v="7612"/>
    <n v="0"/>
    <n v="7612"/>
    <s v="Release"/>
  </r>
  <r>
    <n v="0"/>
    <n v="0"/>
    <n v="0"/>
    <x v="525"/>
    <x v="518"/>
    <n v="0"/>
    <s v="MPG"/>
    <s v="Direct"/>
    <n v="1014"/>
    <x v="16"/>
    <s v="Old"/>
    <d v="2022-05-27T00:00:00"/>
    <n v="8000.8999999999987"/>
    <n v="295513.35073397006"/>
    <n v="6000.6749999999993"/>
    <n v="7600.8549999999987"/>
    <n v="2873.4728588541902"/>
    <n v="8865.4005220191011"/>
    <n v="1264.5455220191025"/>
    <n v="800.08999999999992"/>
    <n v="0"/>
    <n v="15675"/>
    <n v="0"/>
    <n v="0"/>
    <n v="0"/>
    <n v="0"/>
    <n v="1208.9900000000002"/>
    <n v="14466"/>
    <n v="0"/>
    <n v="14466"/>
    <s v="Release"/>
  </r>
  <r>
    <n v="0"/>
    <n v="0"/>
    <n v="0"/>
    <x v="526"/>
    <x v="519"/>
    <n v="0"/>
    <s v="MPG"/>
    <s v="Direct"/>
    <n v="1014"/>
    <x v="16"/>
    <s v="Old"/>
    <d v="2022-04-13T00:00:00"/>
    <n v="6102.9"/>
    <n v="245742.54795933998"/>
    <n v="4577.1749999999993"/>
    <n v="5797.7549999999992"/>
    <n v="1031.0809775279999"/>
    <n v="7372.276438780199"/>
    <n v="1574.5214387801998"/>
    <n v="610.29"/>
    <n v="0"/>
    <n v="10796"/>
    <n v="0"/>
    <n v="0"/>
    <n v="0"/>
    <n v="0"/>
    <n v="570.36"/>
    <n v="10226"/>
    <n v="0"/>
    <n v="10226"/>
    <s v="Release"/>
  </r>
  <r>
    <n v="0"/>
    <n v="0"/>
    <n v="0"/>
    <x v="527"/>
    <x v="520"/>
    <n v="0"/>
    <s v="MPG"/>
    <s v="Direct"/>
    <n v="1014"/>
    <x v="16"/>
    <s v="Old"/>
    <d v="2023-03-31T00:00:00"/>
    <n v="9105.2999999999993"/>
    <n v="338916.18189031002"/>
    <n v="6828.9749999999995"/>
    <n v="8650.034999999998"/>
    <n v="5682.8442591177209"/>
    <n v="10167.485456709301"/>
    <n v="1517.4504567093027"/>
    <n v="910.53"/>
    <n v="0"/>
    <n v="20251"/>
    <n v="0"/>
    <n v="0"/>
    <n v="0"/>
    <n v="0"/>
    <n v="404.53999999999996"/>
    <n v="19846"/>
    <n v="0"/>
    <n v="19846"/>
    <s v="Release"/>
  </r>
  <r>
    <n v="0"/>
    <n v="0"/>
    <n v="0"/>
    <x v="528"/>
    <x v="521"/>
    <n v="0"/>
    <s v="vlc"/>
    <s v="Indirect"/>
    <n v="1012"/>
    <x v="14"/>
    <s v="Old"/>
    <d v="2025-04-16T00:00:00"/>
    <n v="106447"/>
    <n v="3825128.9933680003"/>
    <n v="79835.25"/>
    <n v="101124.65"/>
    <n v="0"/>
    <n v="114753.86980104"/>
    <n v="13629.219801040002"/>
    <n v="0"/>
    <n v="0"/>
    <n v="180960"/>
    <n v="0"/>
    <n v="0"/>
    <n v="0"/>
    <n v="0"/>
    <n v="0"/>
    <n v="180960"/>
    <n v="180960"/>
    <n v="0"/>
    <s v="Yes"/>
  </r>
  <r>
    <n v="43017.687229891104"/>
    <n v="12800"/>
    <n v="55817.687229891104"/>
    <x v="529"/>
    <x v="522"/>
    <n v="0"/>
    <s v="MPG"/>
    <s v="Direct"/>
    <n v="1053"/>
    <x v="18"/>
    <s v="Old"/>
    <d v="2025-02-08T00:00:00"/>
    <n v="5013.25"/>
    <n v="207421.07823645923"/>
    <n v="3759.9375"/>
    <n v="4762.5874999999996"/>
    <n v="1945.7287500633001"/>
    <n v="6222.6323470937768"/>
    <n v="1460.0448470937772"/>
    <n v="501.32500000000005"/>
    <n v="0"/>
    <n v="9967"/>
    <n v="4148.4215647291849"/>
    <n v="0"/>
    <n v="0"/>
    <n v="0"/>
    <n v="0"/>
    <n v="5819"/>
    <n v="0"/>
    <n v="5819"/>
    <s v="Release"/>
  </r>
  <r>
    <n v="25817.484854811162"/>
    <n v="16000"/>
    <n v="41817.484854811162"/>
    <x v="530"/>
    <x v="523"/>
    <n v="0"/>
    <s v="MPG"/>
    <s v="Direct"/>
    <n v="1053"/>
    <x v="18"/>
    <s v="Old"/>
    <d v="2025-02-08T00:00:00"/>
    <n v="5342.4000000000005"/>
    <n v="220511.59928766181"/>
    <n v="4006.8"/>
    <n v="5075.2800000000007"/>
    <n v="2526.5752447290001"/>
    <n v="6615.347978629854"/>
    <n v="1540.0679786298533"/>
    <n v="534.24000000000012"/>
    <n v="0"/>
    <n v="11074"/>
    <n v="4410.2319857532366"/>
    <n v="0"/>
    <n v="0"/>
    <n v="0"/>
    <n v="0"/>
    <n v="6664"/>
    <n v="0"/>
    <n v="6664"/>
    <s v="Release"/>
  </r>
  <r>
    <n v="23141.551383928614"/>
    <n v="16000"/>
    <n v="39141.551383928614"/>
    <x v="531"/>
    <x v="524"/>
    <n v="0"/>
    <s v="MPG"/>
    <s v="Direct"/>
    <n v="1053"/>
    <x v="18"/>
    <s v="Old"/>
    <d v="2025-02-08T00:00:00"/>
    <n v="2402.65"/>
    <n v="102801.34648414161"/>
    <n v="1801.9875000000002"/>
    <n v="2282.5174999999999"/>
    <n v="961.40463511237976"/>
    <n v="3084.0403945242483"/>
    <n v="801.52289452424839"/>
    <n v="240.26500000000001"/>
    <n v="347.84357431356648"/>
    <n v="4458"/>
    <n v="2056.0269296828324"/>
    <n v="0"/>
    <n v="0"/>
    <n v="0"/>
    <n v="0"/>
    <n v="2402"/>
    <n v="0"/>
    <n v="2402"/>
    <s v="Release"/>
  </r>
  <r>
    <n v="57740.628753038036"/>
    <n v="16000"/>
    <n v="73740.628753038036"/>
    <x v="532"/>
    <x v="323"/>
    <n v="0"/>
    <s v="MPG"/>
    <s v="Direct"/>
    <n v="1053"/>
    <x v="18"/>
    <s v="Old"/>
    <d v="2025-02-08T00:00:00"/>
    <n v="1830.3000000000002"/>
    <n v="81202.409939276491"/>
    <n v="1372.7250000000001"/>
    <n v="1738.7850000000001"/>
    <n v="1434.9466369171382"/>
    <n v="2436.0722981782947"/>
    <n v="697.28729817829458"/>
    <n v="183.03000000000003"/>
    <n v="868.45577986940168"/>
    <n v="3495"/>
    <n v="1861"/>
    <n v="0"/>
    <n v="0"/>
    <n v="0"/>
    <n v="0"/>
    <n v="1634"/>
    <n v="0"/>
    <n v="1634"/>
    <s v="Release"/>
  </r>
  <r>
    <n v="37197.311179297365"/>
    <n v="12800"/>
    <n v="49997.311179297365"/>
    <x v="533"/>
    <x v="525"/>
    <n v="0"/>
    <s v="MPG"/>
    <s v="Direct"/>
    <n v="1053"/>
    <x v="18"/>
    <s v="Old"/>
    <d v="2025-02-08T00:00:00"/>
    <n v="4752.05"/>
    <n v="188887.02415571915"/>
    <n v="3564.0375000000004"/>
    <n v="4514.4475000000002"/>
    <n v="6821.0446822205004"/>
    <n v="5666.6107246715746"/>
    <n v="1152.1632246715744"/>
    <n v="475.20500000000004"/>
    <n v="0"/>
    <n v="14424"/>
    <n v="3777.7404831143831"/>
    <n v="0"/>
    <n v="0"/>
    <n v="0"/>
    <n v="0"/>
    <n v="10646"/>
    <n v="0"/>
    <n v="10646"/>
    <s v="Release"/>
  </r>
  <r>
    <n v="61251.577151588266"/>
    <n v="12800"/>
    <n v="74051.577151588266"/>
    <x v="534"/>
    <x v="526"/>
    <n v="0"/>
    <s v="MPG"/>
    <s v="Direct"/>
    <n v="1053"/>
    <x v="18"/>
    <s v="Old"/>
    <d v="2025-02-08T00:00:00"/>
    <n v="1688.4000000000003"/>
    <n v="74814.653842441796"/>
    <n v="1266.3000000000002"/>
    <n v="1603.9800000000002"/>
    <n v="460.25320420645005"/>
    <n v="2244.4396152732538"/>
    <n v="640.45961527325358"/>
    <n v="168.84000000000003"/>
    <n v="985.15861902107235"/>
    <n v="2177"/>
    <n v="1861"/>
    <n v="0"/>
    <n v="0"/>
    <n v="0"/>
    <n v="0"/>
    <n v="316"/>
    <n v="0"/>
    <n v="316"/>
    <s v="Release"/>
  </r>
  <r>
    <n v="66107.257347303326"/>
    <n v="12800"/>
    <n v="78907.257347303326"/>
    <x v="535"/>
    <x v="527"/>
    <n v="0"/>
    <s v="MPG"/>
    <s v="Direct"/>
    <n v="1053"/>
    <x v="18"/>
    <s v="Old"/>
    <d v="2025-02-08T00:00:00"/>
    <n v="1373.1999999999998"/>
    <n v="67153.0381226584"/>
    <n v="1029.8999999999999"/>
    <n v="1304.5399999999997"/>
    <n v="647.45801265106206"/>
    <n v="2014.5911436797519"/>
    <n v="710.05114367975216"/>
    <n v="137.32"/>
    <n v="1395.7753819563952"/>
    <n v="1449"/>
    <n v="1449"/>
    <n v="0"/>
    <n v="0"/>
    <n v="0"/>
    <n v="0"/>
    <n v="0"/>
    <n v="0"/>
    <n v="0"/>
    <s v="Release"/>
  </r>
  <r>
    <n v="0"/>
    <n v="0"/>
    <n v="0"/>
    <x v="536"/>
    <x v="528"/>
    <n v="0"/>
    <s v="vlc"/>
    <s v="Indirect"/>
    <n v="1053"/>
    <x v="18"/>
    <s v="Old"/>
    <d v="2025-02-08T00:00:00"/>
    <n v="33505.35"/>
    <n v="1318573.5695423"/>
    <n v="25129.012499999997"/>
    <n v="31830.082499999997"/>
    <n v="0"/>
    <n v="39557.207086268994"/>
    <n v="7727.1245862689975"/>
    <n v="3350.5349999999999"/>
    <n v="0"/>
    <n v="53609"/>
    <n v="0"/>
    <n v="0"/>
    <n v="0"/>
    <n v="0"/>
    <n v="0"/>
    <n v="53609"/>
    <n v="0"/>
    <n v="53609"/>
    <s v="Release"/>
  </r>
  <r>
    <n v="0"/>
    <n v="0"/>
    <n v="0"/>
    <x v="537"/>
    <x v="529"/>
    <n v="0"/>
    <s v="vlc"/>
    <s v="Indirect"/>
    <n v="1053"/>
    <x v="18"/>
    <s v="Old"/>
    <d v="2025-02-08T00:00:00"/>
    <n v="13217.599999999999"/>
    <n v="544584.68035588216"/>
    <n v="9913.1999999999989"/>
    <n v="12556.719999999998"/>
    <n v="0"/>
    <n v="16337.540410676464"/>
    <n v="3780.8204106764661"/>
    <n v="1321.76"/>
    <n v="0"/>
    <n v="21148"/>
    <n v="0"/>
    <n v="0"/>
    <n v="0"/>
    <n v="0"/>
    <n v="0"/>
    <n v="21148"/>
    <n v="0"/>
    <n v="21148"/>
    <s v="Release"/>
  </r>
  <r>
    <n v="0"/>
    <n v="0"/>
    <n v="0"/>
    <x v="538"/>
    <x v="530"/>
    <n v="0"/>
    <s v="vlc"/>
    <s v="Indirect"/>
    <n v="1053"/>
    <x v="18"/>
    <s v="Old"/>
    <d v="2025-02-09T00:00:00"/>
    <n v="2345.9499999999998"/>
    <n v="106895.85176024801"/>
    <n v="1759.4624999999999"/>
    <n v="2228.6524999999997"/>
    <n v="0"/>
    <n v="3206.8755528074403"/>
    <n v="978.22305280744058"/>
    <n v="234.595"/>
    <n v="441.52028720585128"/>
    <n v="3312"/>
    <n v="0"/>
    <n v="0"/>
    <n v="0"/>
    <n v="0"/>
    <n v="0"/>
    <n v="3312"/>
    <n v="0"/>
    <n v="3312"/>
    <s v="Release"/>
  </r>
  <r>
    <n v="0"/>
    <n v="0"/>
    <n v="0"/>
    <x v="539"/>
    <x v="531"/>
    <n v="0"/>
    <s v="vlc"/>
    <s v="Indirect"/>
    <n v="1053"/>
    <x v="18"/>
    <s v="Old"/>
    <d v="2025-02-08T00:00:00"/>
    <n v="4818"/>
    <n v="177870.24314954001"/>
    <n v="3613.5"/>
    <n v="4577.0999999999995"/>
    <n v="0"/>
    <n v="5336.1072944861999"/>
    <n v="759.00729448620041"/>
    <n v="481.8"/>
    <n v="0"/>
    <n v="7709"/>
    <n v="0"/>
    <n v="0"/>
    <n v="0"/>
    <n v="0"/>
    <n v="0"/>
    <n v="7709"/>
    <n v="0"/>
    <n v="7709"/>
    <s v="Release"/>
  </r>
  <r>
    <n v="0"/>
    <n v="0"/>
    <n v="0"/>
    <x v="540"/>
    <x v="532"/>
    <n v="0"/>
    <s v="vlc"/>
    <s v="Indirect"/>
    <n v="1053"/>
    <x v="18"/>
    <s v="Old"/>
    <d v="2025-02-08T00:00:00"/>
    <n v="984.75"/>
    <n v="42316.251265455503"/>
    <n v="738.5625"/>
    <n v="935.51249999999993"/>
    <n v="0"/>
    <n v="1269.4875379636651"/>
    <n v="333.97503796366516"/>
    <n v="98.475000000000009"/>
    <n v="1575.5067360803464"/>
    <n v="0"/>
    <n v="0"/>
    <n v="0"/>
    <n v="0"/>
    <n v="0"/>
    <n v="0"/>
    <n v="0"/>
    <n v="0"/>
    <n v="0"/>
    <s v="Release"/>
  </r>
  <r>
    <n v="0"/>
    <n v="0"/>
    <n v="0"/>
    <x v="541"/>
    <x v="533"/>
    <n v="0"/>
    <s v="vlc"/>
    <s v="Indirect"/>
    <n v="1053"/>
    <x v="18"/>
    <s v="Old"/>
    <d v="2025-02-09T00:00:00"/>
    <n v="2536.3999999999996"/>
    <n v="96181.857412110505"/>
    <n v="1902.2999999999997"/>
    <n v="2409.5799999999995"/>
    <n v="0"/>
    <n v="2885.4557223633151"/>
    <n v="475.87572236331562"/>
    <n v="253.64"/>
    <n v="407.95855109012643"/>
    <n v="3650"/>
    <n v="0"/>
    <n v="0"/>
    <n v="0"/>
    <n v="0"/>
    <n v="0"/>
    <n v="3650"/>
    <n v="0"/>
    <n v="3650"/>
    <s v="Release"/>
  </r>
  <r>
    <n v="0"/>
    <n v="0"/>
    <n v="0"/>
    <x v="542"/>
    <x v="534"/>
    <n v="0"/>
    <s v="vlc"/>
    <s v="Indirect"/>
    <n v="1053"/>
    <x v="18"/>
    <s v="Old"/>
    <d v="2025-02-11T00:00:00"/>
    <n v="7301.85"/>
    <n v="310643.87204243499"/>
    <n v="5476.3875000000007"/>
    <n v="6936.7574999999997"/>
    <n v="0"/>
    <n v="9319.3161612730491"/>
    <n v="2382.5586612730494"/>
    <n v="730.18500000000006"/>
    <n v="0"/>
    <n v="11683"/>
    <n v="0"/>
    <n v="0"/>
    <n v="0"/>
    <n v="0"/>
    <n v="0"/>
    <n v="11683"/>
    <n v="0"/>
    <n v="11683"/>
    <s v="Release"/>
  </r>
  <r>
    <n v="0"/>
    <n v="0"/>
    <n v="0"/>
    <x v="543"/>
    <x v="535"/>
    <n v="0"/>
    <s v="vlc"/>
    <s v="Indirect"/>
    <n v="1053"/>
    <x v="18"/>
    <s v="Old"/>
    <d v="2025-02-12T00:00:00"/>
    <n v="4053.4"/>
    <n v="169021.81401131768"/>
    <n v="3040.05"/>
    <n v="3850.73"/>
    <n v="0"/>
    <n v="5070.6544203395306"/>
    <n v="1219.9244203395306"/>
    <n v="405.34000000000003"/>
    <n v="0"/>
    <n v="6485"/>
    <n v="0"/>
    <n v="0"/>
    <n v="0"/>
    <n v="0"/>
    <n v="0"/>
    <n v="6485"/>
    <n v="0"/>
    <n v="6485"/>
    <s v="Release"/>
  </r>
  <r>
    <n v="0"/>
    <n v="0"/>
    <n v="0"/>
    <x v="544"/>
    <x v="536"/>
    <n v="0"/>
    <s v="vlc"/>
    <s v="Indirect"/>
    <n v="1053"/>
    <x v="18"/>
    <s v="Old"/>
    <d v="2025-02-13T00:00:00"/>
    <n v="3378.4"/>
    <n v="137907.17625782068"/>
    <n v="2533.8000000000002"/>
    <n v="3209.48"/>
    <n v="0"/>
    <n v="4137.2152877346207"/>
    <n v="927.73528773462067"/>
    <n v="337.84000000000003"/>
    <n v="0"/>
    <n v="5405"/>
    <n v="0"/>
    <n v="0"/>
    <n v="0"/>
    <n v="0"/>
    <n v="0"/>
    <n v="5405"/>
    <n v="0"/>
    <n v="5405"/>
    <s v="Release"/>
  </r>
  <r>
    <n v="0"/>
    <n v="0"/>
    <n v="0"/>
    <x v="545"/>
    <x v="537"/>
    <n v="0"/>
    <s v="vlc"/>
    <s v="Indirect"/>
    <n v="1053"/>
    <x v="18"/>
    <s v="Old"/>
    <d v="2025-02-23T00:00:00"/>
    <n v="4936.6499999999996"/>
    <n v="193547.406438754"/>
    <n v="3702.4874999999997"/>
    <n v="4689.8174999999992"/>
    <n v="0"/>
    <n v="5806.4221931626198"/>
    <n v="1116.6046931626206"/>
    <n v="493.66499999999996"/>
    <n v="491.4390819277109"/>
    <n v="7407"/>
    <n v="0"/>
    <n v="0"/>
    <n v="0"/>
    <n v="0"/>
    <n v="0"/>
    <n v="7407"/>
    <n v="0"/>
    <n v="7407"/>
    <s v="Release"/>
  </r>
  <r>
    <n v="0"/>
    <n v="0"/>
    <n v="0"/>
    <x v="546"/>
    <x v="538"/>
    <n v="0"/>
    <s v="vlc"/>
    <s v="Indirect"/>
    <n v="1053"/>
    <x v="18"/>
    <s v="Old"/>
    <d v="2025-03-01T00:00:00"/>
    <n v="6627.15"/>
    <n v="274739.42445164663"/>
    <n v="4970.3624999999993"/>
    <n v="6295.7924999999996"/>
    <n v="0"/>
    <n v="8242.1827335493981"/>
    <n v="1946.3902335493985"/>
    <n v="662.71500000000003"/>
    <n v="0"/>
    <n v="10603"/>
    <n v="0"/>
    <n v="0"/>
    <n v="0"/>
    <n v="0"/>
    <n v="0"/>
    <n v="10603"/>
    <n v="0"/>
    <n v="10603"/>
    <s v="Release"/>
  </r>
  <r>
    <n v="0"/>
    <n v="0"/>
    <n v="0"/>
    <x v="547"/>
    <x v="539"/>
    <n v="0"/>
    <s v="vlc"/>
    <s v="Indirect"/>
    <n v="1053"/>
    <x v="18"/>
    <s v="Old"/>
    <d v="2025-02-28T00:00:00"/>
    <n v="1191.0999999999999"/>
    <n v="45847.840982296751"/>
    <n v="893.32499999999993"/>
    <n v="1131.5449999999998"/>
    <n v="0"/>
    <n v="1375.4352294689024"/>
    <n v="243.89022946890259"/>
    <n v="119.11"/>
    <n v="1238.4366682422897"/>
    <n v="667"/>
    <n v="0"/>
    <n v="0"/>
    <n v="0"/>
    <n v="0"/>
    <n v="0"/>
    <n v="667"/>
    <n v="0"/>
    <n v="667"/>
    <s v="Release"/>
  </r>
  <r>
    <n v="0"/>
    <n v="0"/>
    <n v="0"/>
    <x v="548"/>
    <x v="540"/>
    <n v="0"/>
    <s v="vlc"/>
    <s v="Indirect"/>
    <n v="1053"/>
    <x v="18"/>
    <s v="Old"/>
    <d v="2025-03-04T00:00:00"/>
    <n v="6541.5"/>
    <n v="270454.56918199599"/>
    <n v="4906.125"/>
    <n v="6214.4249999999993"/>
    <n v="0"/>
    <n v="8113.6370754598793"/>
    <n v="1899.21207545988"/>
    <n v="654.15000000000009"/>
    <n v="0"/>
    <n v="10466"/>
    <n v="0"/>
    <n v="0"/>
    <n v="0"/>
    <n v="0"/>
    <n v="0"/>
    <n v="10466"/>
    <n v="0"/>
    <n v="10466"/>
    <s v="Release"/>
  </r>
  <r>
    <n v="54159.83600617067"/>
    <n v="10700"/>
    <n v="64859.83600617067"/>
    <x v="549"/>
    <x v="541"/>
    <n v="0"/>
    <s v="MPG"/>
    <s v="Direct"/>
    <n v="1053"/>
    <x v="18"/>
    <s v="Old"/>
    <d v="2025-03-23T00:00:00"/>
    <n v="1806.2999999999997"/>
    <n v="90830.186201703909"/>
    <n v="1354.7249999999999"/>
    <n v="1715.9849999999997"/>
    <n v="978.41007960638012"/>
    <n v="2724.9055860511171"/>
    <n v="1008.9205860511174"/>
    <n v="180.63"/>
    <n v="998.60261689667959"/>
    <n v="2870"/>
    <n v="1861"/>
    <n v="0"/>
    <n v="0"/>
    <n v="0"/>
    <n v="0"/>
    <n v="1009"/>
    <n v="0"/>
    <n v="1009"/>
    <s v="Release"/>
  </r>
  <r>
    <n v="48940.519870912147"/>
    <n v="10700"/>
    <n v="59640.519870912147"/>
    <x v="550"/>
    <x v="542"/>
    <n v="0"/>
    <s v="MPG"/>
    <s v="Direct"/>
    <n v="1053"/>
    <x v="18"/>
    <s v="Old"/>
    <d v="2025-03-29T00:00:00"/>
    <n v="3833.95"/>
    <n v="158244.8947338523"/>
    <n v="2875.4624999999996"/>
    <n v="3642.2524999999996"/>
    <n v="2711.0271171007616"/>
    <n v="4747.3468420155687"/>
    <n v="1105.0943420155691"/>
    <n v="383.39499999999998"/>
    <n v="0"/>
    <n v="8845"/>
    <n v="3164.8978946770462"/>
    <n v="0"/>
    <n v="0"/>
    <n v="0"/>
    <n v="0"/>
    <n v="5680"/>
    <n v="0"/>
    <n v="5680"/>
    <s v="Release"/>
  </r>
  <r>
    <n v="13939.251098152003"/>
    <n v="12800"/>
    <n v="26739.251098152003"/>
    <x v="551"/>
    <x v="543"/>
    <n v="0"/>
    <s v="MPG"/>
    <s v="Direct"/>
    <n v="1053"/>
    <x v="18"/>
    <s v="Old"/>
    <d v="2025-03-29T00:00:00"/>
    <n v="3686.3500000000004"/>
    <n v="191297.62246437947"/>
    <n v="2764.7625000000003"/>
    <n v="3502.0325000000003"/>
    <n v="0.48422067408000002"/>
    <n v="5738.9286739313839"/>
    <n v="2236.8961739313836"/>
    <n v="368.63500000000005"/>
    <n v="0"/>
    <n v="5899"/>
    <n v="3825.9524492875894"/>
    <n v="0"/>
    <n v="0"/>
    <n v="0"/>
    <n v="0"/>
    <n v="2073"/>
    <n v="0"/>
    <n v="2073"/>
    <s v="Release"/>
  </r>
  <r>
    <n v="42630.840987865638"/>
    <n v="10700"/>
    <n v="53330.840987865638"/>
    <x v="552"/>
    <x v="544"/>
    <n v="0"/>
    <s v="MPG"/>
    <s v="Direct"/>
    <n v="1053"/>
    <x v="18"/>
    <s v="Old"/>
    <d v="2025-03-29T00:00:00"/>
    <n v="2339.5"/>
    <n v="99718.885536738351"/>
    <n v="1754.625"/>
    <n v="2222.5250000000001"/>
    <n v="2522.6120559180758"/>
    <n v="2991.5665661021503"/>
    <n v="769.04156610215023"/>
    <n v="233.95000000000002"/>
    <n v="397.54816017601638"/>
    <n v="5868"/>
    <n v="1994.3777107347671"/>
    <n v="0"/>
    <n v="0"/>
    <n v="0"/>
    <n v="0"/>
    <n v="3874"/>
    <n v="0"/>
    <n v="3874"/>
    <s v="Release"/>
  </r>
  <r>
    <n v="0"/>
    <n v="0"/>
    <n v="0"/>
    <x v="553"/>
    <x v="545"/>
    <n v="0"/>
    <s v="vlc"/>
    <s v="Indirect"/>
    <n v="1053"/>
    <x v="18"/>
    <s v="Old"/>
    <d v="2025-03-29T00:00:00"/>
    <n v="2500.1"/>
    <n v="99940.154812502995"/>
    <n v="1875.0749999999998"/>
    <n v="2375.0949999999998"/>
    <n v="0"/>
    <n v="2998.2046443750896"/>
    <n v="623.10964437508983"/>
    <n v="250.01"/>
    <n v="311.97218602696569"/>
    <n v="3688"/>
    <n v="0"/>
    <n v="0"/>
    <n v="0"/>
    <n v="0"/>
    <n v="0"/>
    <n v="3688"/>
    <n v="0"/>
    <n v="3688"/>
    <s v="Release"/>
  </r>
  <r>
    <n v="37540.582792141824"/>
    <n v="10700"/>
    <n v="48240.582792141824"/>
    <x v="554"/>
    <x v="546"/>
    <n v="0"/>
    <s v="MPG"/>
    <s v="Direct"/>
    <n v="1053"/>
    <x v="18"/>
    <s v="Old"/>
    <d v="2025-03-29T00:00:00"/>
    <n v="2319.5"/>
    <n v="99833.404818135372"/>
    <n v="1739.625"/>
    <n v="2203.5250000000001"/>
    <n v="1419.551253975"/>
    <n v="2995.0021445440611"/>
    <n v="791.47714454406105"/>
    <n v="231.95000000000002"/>
    <n v="414.61775452199686"/>
    <n v="4716"/>
    <n v="1996.6680963627075"/>
    <n v="0"/>
    <n v="0"/>
    <n v="0"/>
    <n v="0"/>
    <n v="2719"/>
    <n v="0"/>
    <n v="2719"/>
    <s v="Release"/>
  </r>
  <r>
    <n v="0"/>
    <n v="0"/>
    <n v="0"/>
    <x v="555"/>
    <x v="547"/>
    <n v="0"/>
    <s v="vlc"/>
    <s v="Indirect"/>
    <n v="1053"/>
    <x v="18"/>
    <s v="Old"/>
    <d v="2025-03-21T00:00:00"/>
    <n v="6299.45"/>
    <n v="251829.72909042012"/>
    <n v="4724.5874999999996"/>
    <n v="5984.4775"/>
    <n v="0"/>
    <n v="7554.8918727126038"/>
    <n v="1570.4143727126038"/>
    <n v="629.94500000000005"/>
    <n v="0"/>
    <n v="10079"/>
    <n v="0"/>
    <n v="0"/>
    <n v="0"/>
    <n v="0"/>
    <n v="0"/>
    <n v="10079"/>
    <n v="0"/>
    <n v="10079"/>
    <s v="Release"/>
  </r>
  <r>
    <n v="39642.970908958057"/>
    <n v="10700"/>
    <n v="50342.970908958057"/>
    <x v="556"/>
    <x v="548"/>
    <n v="0"/>
    <s v="MPG"/>
    <s v="Direct"/>
    <n v="1053"/>
    <x v="18"/>
    <s v="Old"/>
    <d v="2025-03-29T00:00:00"/>
    <n v="3556.45"/>
    <n v="157359.79105603971"/>
    <n v="2667.3374999999996"/>
    <n v="3378.6274999999996"/>
    <n v="2064.6437667959999"/>
    <n v="4720.7937316811913"/>
    <n v="1342.1662316811917"/>
    <n v="355.64499999999998"/>
    <n v="0"/>
    <n v="7755"/>
    <n v="3147.1958211207943"/>
    <n v="0"/>
    <n v="0"/>
    <n v="0"/>
    <n v="0"/>
    <n v="4608"/>
    <n v="0"/>
    <n v="4608"/>
    <s v="Release"/>
  </r>
  <r>
    <n v="0"/>
    <n v="0"/>
    <n v="0"/>
    <x v="557"/>
    <x v="549"/>
    <n v="0"/>
    <s v="MPG"/>
    <s v="Direct"/>
    <n v="1053"/>
    <x v="18"/>
    <s v="Old"/>
    <d v="2025-04-04T00:00:00"/>
    <n v="1548.1"/>
    <n v="74305.924204600495"/>
    <n v="1161.0749999999998"/>
    <n v="1470.6949999999999"/>
    <n v="1340.555723119724"/>
    <n v="2229.1777261380148"/>
    <n v="758.48272613801487"/>
    <n v="154.81"/>
    <n v="1207.4920067781745"/>
    <n v="2610"/>
    <n v="0"/>
    <n v="0"/>
    <n v="0"/>
    <n v="0"/>
    <n v="0"/>
    <n v="2610"/>
    <n v="0"/>
    <n v="2610"/>
    <s v="Release"/>
  </r>
  <r>
    <n v="67447.312256515434"/>
    <n v="10700"/>
    <n v="78147.312256515434"/>
    <x v="558"/>
    <x v="550"/>
    <n v="0"/>
    <s v="MPG"/>
    <s v="Direct"/>
    <n v="1053"/>
    <x v="18"/>
    <s v="Old"/>
    <d v="2025-03-29T00:00:00"/>
    <n v="1105.6500000000001"/>
    <n v="37397.667883200753"/>
    <n v="829.23750000000007"/>
    <n v="1050.3675000000001"/>
    <n v="67.839453593999991"/>
    <n v="1121.9300364960225"/>
    <n v="0"/>
    <n v="110.56500000000001"/>
    <n v="1145.9733773485104"/>
    <n v="0"/>
    <n v="0"/>
    <n v="0"/>
    <n v="0"/>
    <n v="0"/>
    <n v="0"/>
    <n v="0"/>
    <n v="0"/>
    <n v="0"/>
    <s v="Release"/>
  </r>
  <r>
    <n v="68230"/>
    <n v="10700"/>
    <n v="78930"/>
    <x v="559"/>
    <x v="551"/>
    <n v="0"/>
    <s v="MPG"/>
    <s v="Direct"/>
    <n v="1053"/>
    <x v="18"/>
    <s v="Old"/>
    <d v="2025-04-08T00:00:00"/>
    <n v="1437"/>
    <n v="53876.72260239374"/>
    <n v="1077.75"/>
    <n v="1365.1499999999999"/>
    <n v="849.23131497045608"/>
    <n v="1616.3016780718121"/>
    <n v="251.15167807181228"/>
    <n v="143.70000000000002"/>
    <n v="1021.968402951514"/>
    <n v="2126"/>
    <n v="1861"/>
    <n v="0"/>
    <n v="0"/>
    <n v="0"/>
    <n v="0"/>
    <n v="265"/>
    <n v="0"/>
    <n v="265"/>
    <s v="Release"/>
  </r>
  <r>
    <n v="0"/>
    <n v="0"/>
    <n v="0"/>
    <x v="560"/>
    <x v="552"/>
    <n v="0"/>
    <s v="vlc"/>
    <s v="Indirect"/>
    <n v="1053"/>
    <x v="18"/>
    <s v="Old"/>
    <d v="2025-03-29T00:00:00"/>
    <n v="7561.4"/>
    <n v="283043.59369528701"/>
    <n v="5671.0499999999993"/>
    <n v="7183.329999999999"/>
    <n v="0"/>
    <n v="8491.3078108586105"/>
    <n v="1307.9778108586115"/>
    <n v="756.14"/>
    <n v="0"/>
    <n v="12098"/>
    <n v="0"/>
    <n v="0"/>
    <n v="0"/>
    <n v="0"/>
    <n v="0"/>
    <n v="12098"/>
    <n v="0"/>
    <n v="12098"/>
    <s v="Release"/>
  </r>
  <r>
    <n v="0"/>
    <n v="0"/>
    <n v="0"/>
    <x v="561"/>
    <x v="553"/>
    <n v="0"/>
    <s v="vlc"/>
    <s v="Indirect"/>
    <n v="1053"/>
    <x v="18"/>
    <s v="Old"/>
    <d v="2025-04-02T00:00:00"/>
    <n v="738.84999999999991"/>
    <n v="33896.209246742961"/>
    <n v="554.13749999999993"/>
    <n v="701.90749999999991"/>
    <n v="0"/>
    <n v="1016.8862774022888"/>
    <n v="314.97877740228887"/>
    <n v="73.884999999999991"/>
    <n v="1182.605325827561"/>
    <n v="0"/>
    <n v="0"/>
    <n v="0"/>
    <n v="0"/>
    <n v="0"/>
    <n v="0"/>
    <n v="0"/>
    <n v="0"/>
    <n v="0"/>
    <s v="Release"/>
  </r>
  <r>
    <n v="14257.794614783459"/>
    <n v="0"/>
    <n v="14257.794614783459"/>
    <x v="562"/>
    <x v="554"/>
    <n v="0"/>
    <s v="MPG"/>
    <s v="Direct"/>
    <n v="1053"/>
    <x v="18"/>
    <s v="Old"/>
    <d v="2025-05-01T00:00:00"/>
    <n v="7019.1500000000015"/>
    <n v="276027.03529924224"/>
    <n v="5264.3625000000011"/>
    <n v="6668.192500000001"/>
    <n v="4561.6863864000006"/>
    <n v="8280.8110589772677"/>
    <n v="1612.6185589772667"/>
    <n v="701.91500000000019"/>
    <n v="0"/>
    <n v="15792"/>
    <n v="5520.5407059848449"/>
    <n v="0"/>
    <n v="0"/>
    <n v="0"/>
    <n v="0"/>
    <n v="10271"/>
    <n v="0"/>
    <n v="10271"/>
    <s v="Release"/>
  </r>
  <r>
    <n v="0"/>
    <n v="0"/>
    <n v="0"/>
    <x v="563"/>
    <x v="555"/>
    <n v="0"/>
    <s v="vlc"/>
    <s v="Indirect"/>
    <n v="1053"/>
    <x v="18"/>
    <s v="Old"/>
    <d v="2025-04-28T00:00:00"/>
    <n v="283.39999999999998"/>
    <n v="12748.012318895249"/>
    <n v="212.54999999999998"/>
    <n v="269.22999999999996"/>
    <n v="0"/>
    <n v="382.44036956685744"/>
    <n v="113.21036956685748"/>
    <n v="28.34"/>
    <n v="452.99191769576169"/>
    <n v="0"/>
    <n v="0"/>
    <n v="0"/>
    <n v="0"/>
    <n v="0"/>
    <n v="0"/>
    <n v="0"/>
    <n v="0"/>
    <n v="0"/>
    <s v="Release"/>
  </r>
  <r>
    <n v="74170"/>
    <n v="0"/>
    <n v="74170"/>
    <x v="564"/>
    <x v="556"/>
    <n v="0"/>
    <s v="MPG"/>
    <s v="Direct"/>
    <n v="1053"/>
    <x v="18"/>
    <s v="Old"/>
    <d v="2025-05-02T00:00:00"/>
    <n v="588"/>
    <n v="21902.789832195253"/>
    <n v="441"/>
    <n v="558.6"/>
    <n v="0"/>
    <n v="657.0836949658576"/>
    <n v="98.48369496585758"/>
    <n v="58.800000000000004"/>
    <n v="941.25002018581381"/>
    <n v="0"/>
    <n v="0"/>
    <n v="0"/>
    <n v="0"/>
    <n v="0"/>
    <n v="0"/>
    <n v="0"/>
    <n v="0"/>
    <n v="0"/>
    <s v="Release"/>
  </r>
  <r>
    <n v="0"/>
    <n v="0"/>
    <n v="0"/>
    <x v="565"/>
    <x v="557"/>
    <n v="0"/>
    <s v="vlc"/>
    <s v="Indirect"/>
    <n v="1053"/>
    <x v="18"/>
    <s v="Old"/>
    <d v="2025-05-01T00:00:00"/>
    <n v="7594.15"/>
    <n v="355446.79995166301"/>
    <n v="5695.6124999999993"/>
    <n v="7214.4424999999992"/>
    <n v="0"/>
    <n v="10663.403998549889"/>
    <n v="3448.9614985498902"/>
    <n v="759.41499999999996"/>
    <n v="0"/>
    <n v="12151"/>
    <n v="0"/>
    <n v="0"/>
    <n v="0"/>
    <n v="0"/>
    <n v="0"/>
    <n v="12151"/>
    <n v="0"/>
    <n v="12151"/>
    <s v="Release"/>
  </r>
  <r>
    <n v="0"/>
    <n v="0"/>
    <n v="0"/>
    <x v="566"/>
    <x v="558"/>
    <n v="0"/>
    <s v="vlc"/>
    <s v="Indirect"/>
    <n v="1053"/>
    <x v="18"/>
    <s v="Old"/>
    <d v="2025-05-02T00:00:00"/>
    <n v="1827.25"/>
    <n v="79951.578091415315"/>
    <n v="1370.4375"/>
    <n v="1735.8874999999998"/>
    <n v="0"/>
    <n v="2398.5473427424595"/>
    <n v="662.65984274245966"/>
    <n v="182.72500000000002"/>
    <n v="852.40301018600485"/>
    <n v="2071"/>
    <n v="0"/>
    <n v="0"/>
    <n v="0"/>
    <n v="0"/>
    <n v="0"/>
    <n v="2071"/>
    <n v="0"/>
    <n v="2071"/>
    <s v="Release"/>
  </r>
  <r>
    <n v="57607.383894759798"/>
    <n v="6400"/>
    <n v="64007.383894759798"/>
    <x v="567"/>
    <x v="559"/>
    <n v="0"/>
    <s v="MPG"/>
    <s v="Direct"/>
    <n v="1053"/>
    <x v="18"/>
    <s v="Old"/>
    <d v="2025-05-19T00:00:00"/>
    <n v="3361.4500000000003"/>
    <n v="137958.67126224202"/>
    <n v="2521.0875000000001"/>
    <n v="3193.3775000000001"/>
    <n v="887.75562873027013"/>
    <n v="4138.7601378672607"/>
    <n v="945.38263786726066"/>
    <n v="336.14500000000004"/>
    <n v="0"/>
    <n v="6266"/>
    <n v="2759.1734252448405"/>
    <n v="0"/>
    <n v="0"/>
    <n v="0"/>
    <n v="0"/>
    <n v="3507"/>
    <n v="0"/>
    <n v="3507"/>
    <s v="Release"/>
  </r>
  <r>
    <n v="0"/>
    <n v="0"/>
    <n v="0"/>
    <x v="568"/>
    <x v="560"/>
    <n v="0"/>
    <s v="vlc"/>
    <s v="Indirect"/>
    <n v="1053"/>
    <x v="18"/>
    <s v="Old"/>
    <d v="2025-05-17T00:00:00"/>
    <n v="1101.3499999999999"/>
    <n v="58949.1137758724"/>
    <n v="826.01249999999993"/>
    <n v="1046.2824999999998"/>
    <n v="0"/>
    <n v="1768.4734132761719"/>
    <n v="722.19091327617207"/>
    <n v="110.13499999999999"/>
    <n v="1762.5606132466751"/>
    <n v="0"/>
    <n v="0"/>
    <n v="0"/>
    <n v="0"/>
    <n v="0"/>
    <n v="0"/>
    <n v="0"/>
    <n v="0"/>
    <n v="0"/>
    <s v="Release"/>
  </r>
  <r>
    <n v="52269.157585151988"/>
    <n v="6400"/>
    <n v="58669.157585151988"/>
    <x v="569"/>
    <x v="561"/>
    <n v="0"/>
    <s v="MPG"/>
    <s v="Direct"/>
    <n v="1053"/>
    <x v="18"/>
    <s v="Old"/>
    <d v="2025-06-01T00:00:00"/>
    <n v="3517.05"/>
    <n v="149078.31515593501"/>
    <n v="2637.7875000000004"/>
    <n v="3341.1975000000002"/>
    <n v="4884.9834734880005"/>
    <n v="4472.3494546780503"/>
    <n v="1131.1519546780501"/>
    <n v="351.70500000000004"/>
    <n v="0"/>
    <n v="10512"/>
    <n v="2981.5663031187"/>
    <n v="0"/>
    <n v="0"/>
    <n v="0"/>
    <n v="0"/>
    <n v="7530"/>
    <n v="0"/>
    <n v="7530"/>
    <s v="Release"/>
  </r>
  <r>
    <n v="52675.800540998331"/>
    <n v="12800"/>
    <n v="65475.800540998331"/>
    <x v="570"/>
    <x v="562"/>
    <n v="0"/>
    <s v="MPG"/>
    <s v="Direct"/>
    <n v="1053"/>
    <x v="18"/>
    <s v="Old"/>
    <d v="2025-06-08T00:00:00"/>
    <n v="4871.2999999999993"/>
    <n v="181638.72508673003"/>
    <n v="3653.4749999999995"/>
    <n v="4627.7349999999988"/>
    <n v="1444.7592206169104"/>
    <n v="5449.1617526019008"/>
    <n v="821.42675260190208"/>
    <n v="487.12999999999994"/>
    <n v="0"/>
    <n v="9239"/>
    <n v="3632.7745017346006"/>
    <n v="0"/>
    <n v="0"/>
    <n v="0"/>
    <n v="0"/>
    <n v="5606"/>
    <n v="0"/>
    <n v="5606"/>
    <s v="Release"/>
  </r>
  <r>
    <n v="71962.516336772518"/>
    <n v="0"/>
    <n v="71962.516336772518"/>
    <x v="571"/>
    <x v="563"/>
    <n v="0"/>
    <s v="MPG"/>
    <s v="Direct"/>
    <n v="1053"/>
    <x v="18"/>
    <s v="Old"/>
    <d v="2025-06-20T00:00:00"/>
    <n v="2185.4500000000003"/>
    <n v="89707.635930574586"/>
    <n v="1639.0875000000001"/>
    <n v="2076.1775000000002"/>
    <n v="1104.9868282194"/>
    <n v="2691.2290779172376"/>
    <n v="615.05157791723741"/>
    <n v="218.54500000000004"/>
    <n v="504.1212434525446"/>
    <n v="4098"/>
    <n v="1861"/>
    <n v="0"/>
    <n v="0"/>
    <n v="0"/>
    <n v="0"/>
    <n v="2237"/>
    <n v="0"/>
    <n v="2237"/>
    <s v="Release"/>
  </r>
  <r>
    <n v="0"/>
    <n v="0"/>
    <n v="0"/>
    <x v="572"/>
    <x v="564"/>
    <n v="0"/>
    <s v="vlc"/>
    <s v="Indirect"/>
    <n v="1053"/>
    <x v="18"/>
    <s v="Old"/>
    <d v="2025-06-06T00:00:00"/>
    <n v="1080.3999999999999"/>
    <n v="41069.834379929998"/>
    <n v="810.3"/>
    <n v="1026.3799999999999"/>
    <n v="0"/>
    <n v="1232.0950313978999"/>
    <n v="205.71503139790002"/>
    <n v="108.03999999999999"/>
    <n v="242.64033698009507"/>
    <n v="1486"/>
    <n v="0"/>
    <n v="0"/>
    <n v="0"/>
    <n v="0"/>
    <n v="0"/>
    <n v="1486"/>
    <n v="0"/>
    <n v="1486"/>
    <s v="Release"/>
  </r>
  <r>
    <n v="73719.429799999998"/>
    <n v="0"/>
    <n v="73719.429799999998"/>
    <x v="573"/>
    <x v="565"/>
    <n v="0"/>
    <s v="MPG"/>
    <s v="Direct"/>
    <n v="1053"/>
    <x v="18"/>
    <s v="Old"/>
    <d v="2025-06-30T00:00:00"/>
    <n v="667.8"/>
    <n v="36156.032115483402"/>
    <n v="500.84999999999997"/>
    <n v="634.41"/>
    <n v="924.94874523808892"/>
    <n v="1084.6809634645019"/>
    <n v="450.27096346450196"/>
    <n v="66.78"/>
    <n v="1993.136611627177"/>
    <n v="0"/>
    <n v="0"/>
    <n v="0"/>
    <n v="0"/>
    <n v="0"/>
    <n v="0"/>
    <n v="0"/>
    <n v="0"/>
    <n v="0"/>
    <s v="Release"/>
  </r>
  <r>
    <n v="73818.15570672162"/>
    <n v="0"/>
    <n v="73818.15570672162"/>
    <x v="574"/>
    <x v="566"/>
    <n v="0"/>
    <s v="MPG"/>
    <s v="Direct"/>
    <n v="1053"/>
    <x v="18"/>
    <s v="Old"/>
    <d v="2025-06-28T00:00:00"/>
    <n v="1330.5500000000002"/>
    <n v="66395.194854558897"/>
    <n v="997.91250000000014"/>
    <n v="1264.0225"/>
    <n v="0"/>
    <n v="1991.8558456367668"/>
    <n v="727.83334563676681"/>
    <n v="133.05500000000004"/>
    <n v="1467.0415240312579"/>
    <n v="662"/>
    <n v="662"/>
    <n v="0"/>
    <n v="0"/>
    <n v="0"/>
    <n v="0"/>
    <n v="0"/>
    <n v="0"/>
    <n v="0"/>
    <s v="Release"/>
  </r>
  <r>
    <n v="0"/>
    <n v="0"/>
    <n v="0"/>
    <x v="575"/>
    <x v="567"/>
    <n v="0"/>
    <s v="vlc"/>
    <s v="Indirect"/>
    <n v="1053"/>
    <x v="18"/>
    <s v="Old"/>
    <d v="2025-06-22T00:00:00"/>
    <n v="1688.75"/>
    <n v="96434.588673101505"/>
    <n v="1266.5625"/>
    <n v="1604.3125"/>
    <n v="0"/>
    <n v="2893.0376601930452"/>
    <n v="1288.7251601930452"/>
    <n v="168.875"/>
    <n v="1280.2313841173673"/>
    <n v="1422"/>
    <n v="0"/>
    <n v="0"/>
    <n v="0"/>
    <n v="0"/>
    <n v="0"/>
    <n v="1422"/>
    <n v="0"/>
    <n v="1422"/>
    <s v="Release"/>
  </r>
  <r>
    <n v="69863.099853213775"/>
    <n v="0"/>
    <n v="69863.099853213775"/>
    <x v="576"/>
    <x v="568"/>
    <n v="0"/>
    <s v="MPG"/>
    <s v="Direct"/>
    <n v="1053"/>
    <x v="18"/>
    <s v="Old"/>
    <d v="2025-07-11T00:00:00"/>
    <n v="3678.4999999999991"/>
    <n v="140752.60185754634"/>
    <n v="2758.8749999999991"/>
    <n v="3494.5749999999989"/>
    <n v="1927.8955681080001"/>
    <n v="4222.5780557263897"/>
    <n v="728.00305572639081"/>
    <n v="367.84999999999991"/>
    <n v="0"/>
    <n v="7813"/>
    <n v="2815.0520371509269"/>
    <n v="0"/>
    <n v="0"/>
    <n v="0"/>
    <n v="0"/>
    <n v="4998"/>
    <n v="0"/>
    <n v="4998"/>
    <s v="Release"/>
  </r>
  <r>
    <n v="0"/>
    <n v="0"/>
    <n v="0"/>
    <x v="577"/>
    <x v="569"/>
    <n v="0"/>
    <s v="vlc"/>
    <s v="Indirect"/>
    <n v="1053"/>
    <x v="18"/>
    <s v="Old"/>
    <d v="2025-06-22T00:00:00"/>
    <n v="1942.9499999999998"/>
    <n v="72327.550786154505"/>
    <n v="1457.2124999999999"/>
    <n v="1845.8024999999998"/>
    <n v="0"/>
    <n v="2169.8265235846352"/>
    <n v="324.02402358463542"/>
    <n v="194.29499999999999"/>
    <n v="268.18137395293763"/>
    <n v="2841"/>
    <n v="0"/>
    <n v="0"/>
    <n v="0"/>
    <n v="0"/>
    <n v="0"/>
    <n v="2841"/>
    <n v="0"/>
    <n v="2841"/>
    <s v="Release"/>
  </r>
  <r>
    <n v="33080.157438105758"/>
    <n v="0"/>
    <n v="33080.157438105758"/>
    <x v="578"/>
    <x v="570"/>
    <n v="0"/>
    <s v="MPG"/>
    <s v="Direct"/>
    <n v="1053"/>
    <x v="18"/>
    <s v="Old"/>
    <d v="2025-07-25T00:00:00"/>
    <n v="7439.9"/>
    <n v="355973.67059079086"/>
    <n v="5579.9249999999993"/>
    <n v="7067.9049999999997"/>
    <n v="4908.1272941493462"/>
    <n v="10679.210117723725"/>
    <n v="3611.3051177237257"/>
    <n v="743.99"/>
    <n v="0"/>
    <n v="16812"/>
    <n v="7119.4734118158176"/>
    <n v="0"/>
    <n v="0"/>
    <n v="0"/>
    <n v="0"/>
    <n v="9693"/>
    <n v="0"/>
    <n v="9693"/>
    <s v="Release"/>
  </r>
  <r>
    <n v="0"/>
    <n v="0"/>
    <n v="0"/>
    <x v="579"/>
    <x v="571"/>
    <n v="0"/>
    <s v="vlc"/>
    <s v="Indirect"/>
    <n v="1053"/>
    <x v="18"/>
    <s v="Old"/>
    <d v="2025-08-23T00:00:00"/>
    <n v="437.04999999999995"/>
    <n v="17191.364383813998"/>
    <n v="327.78749999999997"/>
    <n v="415.19749999999993"/>
    <n v="0"/>
    <n v="515.74093151441991"/>
    <n v="100.54343151441998"/>
    <n v="43.704999999999998"/>
    <n v="699.21268317531258"/>
    <n v="0"/>
    <n v="0"/>
    <n v="0"/>
    <n v="0"/>
    <n v="0"/>
    <n v="0"/>
    <n v="0"/>
    <n v="0"/>
    <n v="0"/>
    <s v="Release"/>
  </r>
  <r>
    <n v="69779.116200043718"/>
    <n v="0"/>
    <n v="69779.116200043718"/>
    <x v="580"/>
    <x v="572"/>
    <n v="0"/>
    <s v="MPG"/>
    <s v="Direct"/>
    <n v="1053"/>
    <x v="18"/>
    <s v="Old"/>
    <d v="2025-08-25T00:00:00"/>
    <n v="6813.15"/>
    <n v="297661.60755348031"/>
    <n v="5109.8624999999993"/>
    <n v="6472.4924999999994"/>
    <n v="4215.7881043331799"/>
    <n v="8929.8482266044084"/>
    <n v="2457.355726604409"/>
    <n v="681.31500000000005"/>
    <n v="0"/>
    <n v="15117"/>
    <n v="5953.2321510696065"/>
    <n v="0"/>
    <n v="0"/>
    <n v="0"/>
    <n v="0"/>
    <n v="9164"/>
    <n v="0"/>
    <n v="9164"/>
    <s v="Release"/>
  </r>
  <r>
    <n v="61622.155698583199"/>
    <n v="0"/>
    <n v="61622.155698583199"/>
    <x v="581"/>
    <x v="573"/>
    <n v="0"/>
    <s v="MPG"/>
    <s v="Direct"/>
    <n v="1053"/>
    <x v="18"/>
    <s v="Old"/>
    <d v="2025-08-25T00:00:00"/>
    <n v="4390.1499999999996"/>
    <n v="177365.506402"/>
    <n v="3292.6124999999997"/>
    <n v="4170.642499999999"/>
    <n v="1637.8594646040001"/>
    <n v="5320.9651920599999"/>
    <n v="1150.3226920600009"/>
    <n v="439.01499999999999"/>
    <n v="0"/>
    <n v="8662"/>
    <n v="3547.3101280400001"/>
    <n v="0"/>
    <n v="0"/>
    <n v="0"/>
    <n v="0"/>
    <n v="5115"/>
    <n v="0"/>
    <n v="5115"/>
    <s v="Release"/>
  </r>
  <r>
    <n v="0"/>
    <n v="22332.872200000002"/>
    <n v="22332.872200000002"/>
    <x v="582"/>
    <x v="574"/>
    <n v="0"/>
    <s v="MPG"/>
    <s v="Direct"/>
    <n v="1054"/>
    <x v="13"/>
    <s v="Old"/>
    <d v="2025-05-16T00:00:00"/>
    <n v="11652.5"/>
    <n v="468630.99804760999"/>
    <n v="8739.375"/>
    <n v="11069.875"/>
    <n v="0"/>
    <n v="14058.9299414283"/>
    <n v="2989.0549414282996"/>
    <n v="1165.25"/>
    <n v="0"/>
    <n v="18644"/>
    <n v="0"/>
    <n v="9372.6199609521991"/>
    <n v="0"/>
    <n v="0"/>
    <n v="0"/>
    <n v="9271"/>
    <n v="0"/>
    <n v="9271"/>
    <s v="Release"/>
  </r>
  <r>
    <n v="61518.713802710394"/>
    <n v="12132"/>
    <n v="73650.713802710394"/>
    <x v="583"/>
    <x v="575"/>
    <n v="0"/>
    <s v="MPG"/>
    <s v="Direct"/>
    <n v="1054"/>
    <x v="13"/>
    <s v="Old"/>
    <d v="2025-05-26T00:00:00"/>
    <n v="948.59999999999991"/>
    <n v="37990.095938380007"/>
    <n v="711.44999999999993"/>
    <n v="901.16999999999985"/>
    <n v="0"/>
    <n v="1139.7028781514002"/>
    <n v="238.53287815140038"/>
    <n v="94.86"/>
    <n v="1482.0802276920695"/>
    <n v="36"/>
    <n v="36"/>
    <n v="0"/>
    <n v="0"/>
    <n v="0"/>
    <n v="0"/>
    <n v="0"/>
    <n v="0"/>
    <n v="0"/>
    <s v="Release"/>
  </r>
  <r>
    <n v="81640"/>
    <n v="6051"/>
    <n v="87691"/>
    <x v="584"/>
    <x v="576"/>
    <n v="0"/>
    <s v="MPG"/>
    <s v="Direct"/>
    <n v="1054"/>
    <x v="13"/>
    <s v="Old"/>
    <d v="2025-07-11T00:00:00"/>
    <n v="672.30000000000007"/>
    <n v="31731.781454915559"/>
    <n v="504.22500000000002"/>
    <n v="638.68500000000006"/>
    <n v="0"/>
    <n v="951.95344364746677"/>
    <n v="313.26844364746671"/>
    <n v="67.23"/>
    <n v="1075.52967690579"/>
    <n v="0"/>
    <n v="0"/>
    <n v="0"/>
    <n v="0"/>
    <n v="0"/>
    <n v="0"/>
    <n v="0"/>
    <n v="0"/>
    <n v="0"/>
    <s v="Release"/>
  </r>
  <r>
    <n v="13704.623681106445"/>
    <n v="23784"/>
    <n v="37488.623681106445"/>
    <x v="585"/>
    <x v="577"/>
    <n v="0"/>
    <s v="MPG"/>
    <s v="Direct"/>
    <n v="1054"/>
    <x v="13"/>
    <s v="Old"/>
    <d v="2025-06-28T00:00:00"/>
    <n v="4279.3999999999996"/>
    <n v="176567.62804695001"/>
    <n v="3209.5499999999997"/>
    <n v="4065.4299999999994"/>
    <n v="511.06654233360001"/>
    <n v="5297.0288414084998"/>
    <n v="1231.5988414085004"/>
    <n v="427.94"/>
    <n v="0"/>
    <n v="7358"/>
    <n v="3531.3525609390003"/>
    <n v="0"/>
    <n v="0"/>
    <n v="0"/>
    <n v="0"/>
    <n v="3827"/>
    <n v="0"/>
    <n v="3827"/>
    <s v="Release"/>
  </r>
  <r>
    <n v="0"/>
    <n v="0"/>
    <n v="0"/>
    <x v="586"/>
    <x v="578"/>
    <n v="0"/>
    <s v="vlc"/>
    <s v="Indirect"/>
    <n v="1054"/>
    <x v="13"/>
    <s v="Old"/>
    <d v="2025-06-24T00:00:00"/>
    <n v="9236"/>
    <n v="376917.61153604998"/>
    <n v="6927"/>
    <n v="8774.1999999999989"/>
    <n v="0"/>
    <n v="11307.528346081499"/>
    <n v="2533.3283460815001"/>
    <n v="923.6"/>
    <n v="0"/>
    <n v="14778"/>
    <n v="0"/>
    <n v="0"/>
    <n v="0"/>
    <n v="0"/>
    <n v="0"/>
    <n v="14778"/>
    <n v="0"/>
    <n v="14778"/>
    <s v="Release"/>
  </r>
  <r>
    <n v="0"/>
    <n v="0"/>
    <n v="0"/>
    <x v="587"/>
    <x v="579"/>
    <n v="0"/>
    <s v="vlc"/>
    <s v="Indirect"/>
    <n v="1054"/>
    <x v="13"/>
    <s v="Old"/>
    <d v="2025-06-21T00:00:00"/>
    <n v="1241.1999999999998"/>
    <n v="42061.650767148494"/>
    <n v="930.89999999999986"/>
    <n v="1179.1399999999999"/>
    <n v="0"/>
    <n v="1261.8495230144547"/>
    <n v="82.709523014454817"/>
    <n v="124.11999999999999"/>
    <n v="1058.7915732239953"/>
    <n v="927"/>
    <n v="0"/>
    <n v="0"/>
    <n v="0"/>
    <n v="0"/>
    <n v="0"/>
    <n v="927"/>
    <n v="0"/>
    <n v="927"/>
    <s v="Release"/>
  </r>
  <r>
    <n v="0"/>
    <n v="0"/>
    <n v="0"/>
    <x v="588"/>
    <x v="580"/>
    <n v="0"/>
    <s v="vlc"/>
    <s v="Indirect"/>
    <n v="1054"/>
    <x v="13"/>
    <s v="Old"/>
    <d v="2025-07-11T00:00:00"/>
    <n v="274.89999999999998"/>
    <n v="11019.4515130665"/>
    <n v="206.17499999999998"/>
    <n v="261.15499999999997"/>
    <n v="0"/>
    <n v="330.58354539199502"/>
    <n v="69.428545391995044"/>
    <n v="27.49"/>
    <n v="439.40782169197928"/>
    <n v="0"/>
    <n v="0"/>
    <n v="0"/>
    <n v="0"/>
    <n v="0"/>
    <n v="0"/>
    <n v="0"/>
    <n v="0"/>
    <n v="0"/>
    <s v="Release"/>
  </r>
  <r>
    <n v="75035.622774293908"/>
    <n v="12075"/>
    <n v="87110.622774293908"/>
    <x v="589"/>
    <x v="581"/>
    <n v="0"/>
    <s v="MPG"/>
    <s v="Direct"/>
    <n v="1054"/>
    <x v="13"/>
    <s v="Old"/>
    <d v="2025-07-31T00:00:00"/>
    <n v="1271.2000000000003"/>
    <n v="67429.717667389195"/>
    <n v="953.4000000000002"/>
    <n v="1207.6400000000001"/>
    <n v="210.44027198785804"/>
    <n v="2022.8915300216759"/>
    <n v="815.25153002167576"/>
    <n v="127.12000000000003"/>
    <n v="1618.4180518812384"/>
    <n v="626"/>
    <n v="626"/>
    <n v="0"/>
    <n v="0"/>
    <n v="0"/>
    <n v="0"/>
    <n v="0"/>
    <n v="0"/>
    <n v="0"/>
    <s v="Release"/>
  </r>
  <r>
    <n v="75896.888399999996"/>
    <n v="10691"/>
    <n v="86587.888399999996"/>
    <x v="590"/>
    <x v="582"/>
    <n v="0"/>
    <s v="MPG"/>
    <s v="Direct"/>
    <n v="1054"/>
    <x v="13"/>
    <s v="Old"/>
    <d v="2025-07-31T00:00:00"/>
    <n v="3354.56"/>
    <n v="125829.96675671099"/>
    <n v="2515.92"/>
    <n v="3186.8319999999999"/>
    <n v="0"/>
    <n v="3774.8990027013297"/>
    <n v="588.06700270132978"/>
    <n v="335.45600000000002"/>
    <n v="0"/>
    <n v="5367"/>
    <n v="2516.5993351342199"/>
    <n v="0"/>
    <n v="0"/>
    <n v="0"/>
    <n v="0"/>
    <n v="2850"/>
    <n v="0"/>
    <n v="2850"/>
    <s v="Release"/>
  </r>
  <r>
    <n v="80500"/>
    <n v="6400"/>
    <n v="86900"/>
    <x v="591"/>
    <x v="583"/>
    <n v="0"/>
    <s v="MPG"/>
    <s v="Direct"/>
    <n v="1054"/>
    <x v="13"/>
    <s v="Old"/>
    <d v="2025-07-31T00:00:00"/>
    <n v="720.57999999999993"/>
    <n v="31888.741232821201"/>
    <n v="540.43499999999995"/>
    <n v="684.55099999999993"/>
    <n v="0"/>
    <n v="956.66223698463602"/>
    <n v="272.11123698463609"/>
    <n v="72.057999999999993"/>
    <n v="1152.5644745312466"/>
    <n v="0"/>
    <n v="0"/>
    <n v="0"/>
    <n v="0"/>
    <n v="0"/>
    <n v="0"/>
    <n v="0"/>
    <n v="0"/>
    <n v="0"/>
    <s v="Release"/>
  </r>
  <r>
    <n v="81952"/>
    <n v="9600"/>
    <n v="91552"/>
    <x v="592"/>
    <x v="584"/>
    <n v="0"/>
    <s v="MPG"/>
    <s v="Direct"/>
    <n v="1054"/>
    <x v="13"/>
    <s v="Old"/>
    <d v="2025-07-31T00:00:00"/>
    <n v="444.04"/>
    <n v="16049.96418012"/>
    <n v="333.03000000000003"/>
    <n v="421.83800000000002"/>
    <n v="0"/>
    <n v="481.49892540359997"/>
    <n v="59.660925403599947"/>
    <n v="44.404000000000003"/>
    <n v="710.78626278518823"/>
    <n v="0"/>
    <n v="0"/>
    <n v="0"/>
    <n v="0"/>
    <n v="0"/>
    <n v="0"/>
    <n v="0"/>
    <n v="0"/>
    <n v="0"/>
    <s v="Release"/>
  </r>
  <r>
    <n v="0"/>
    <n v="1931.0990000000002"/>
    <n v="1931.0990000000002"/>
    <x v="593"/>
    <x v="585"/>
    <n v="0"/>
    <s v="MPG"/>
    <s v="Indirect"/>
    <n v="1054"/>
    <x v="13"/>
    <s v="Old"/>
    <d v="2025-07-31T00:00:00"/>
    <n v="1966.9"/>
    <n v="71443.205968839"/>
    <n v="1475.1750000000002"/>
    <n v="1868.5550000000001"/>
    <n v="0"/>
    <n v="2143.2961790651698"/>
    <n v="274.74117906516972"/>
    <n v="196.69000000000003"/>
    <n v="604.03745316580921"/>
    <n v="2543"/>
    <n v="0"/>
    <n v="1428.8641193767801"/>
    <n v="0"/>
    <n v="0"/>
    <n v="0"/>
    <n v="1114"/>
    <n v="0"/>
    <n v="1114"/>
    <s v="Release"/>
  </r>
  <r>
    <n v="0"/>
    <n v="0"/>
    <n v="0"/>
    <x v="594"/>
    <x v="586"/>
    <n v="0"/>
    <s v="vlc"/>
    <s v="Indirect"/>
    <n v="1056"/>
    <x v="8"/>
    <s v="Old"/>
    <d v="2025-06-20T00:00:00"/>
    <n v="6136.2199999999993"/>
    <n v="238842.60083656199"/>
    <n v="4602.1649999999991"/>
    <n v="5829.4089999999987"/>
    <n v="0"/>
    <n v="7165.2780250968599"/>
    <n v="1335.8690250968612"/>
    <n v="613.62199999999996"/>
    <n v="0"/>
    <n v="9818"/>
    <n v="0"/>
    <n v="0"/>
    <n v="0"/>
    <n v="0"/>
    <n v="2920.4999999999995"/>
    <n v="6898"/>
    <n v="0"/>
    <n v="6898"/>
    <s v="Release"/>
  </r>
  <r>
    <n v="0"/>
    <n v="0"/>
    <n v="0"/>
    <x v="595"/>
    <x v="587"/>
    <n v="0"/>
    <s v="vlc"/>
    <s v="Indirect"/>
    <n v="1056"/>
    <x v="8"/>
    <s v="Old"/>
    <d v="2025-07-31T00:00:00"/>
    <n v="3106.67"/>
    <n v="112783.7116652671"/>
    <n v="2330.0025000000001"/>
    <n v="2951.3364999999999"/>
    <n v="0"/>
    <n v="3383.5113499580129"/>
    <n v="432.17484995801306"/>
    <n v="310.66700000000003"/>
    <n v="46.593935013380388"/>
    <n v="4924"/>
    <n v="0"/>
    <n v="0"/>
    <n v="0"/>
    <n v="0"/>
    <n v="0"/>
    <n v="4924"/>
    <n v="0"/>
    <n v="4924"/>
    <s v="Release"/>
  </r>
  <r>
    <n v="78467.163110127673"/>
    <n v="0"/>
    <n v="78467.163110127673"/>
    <x v="596"/>
    <x v="588"/>
    <n v="0"/>
    <s v="MPG"/>
    <s v="Direct"/>
    <n v="1056"/>
    <x v="8"/>
    <s v="Old"/>
    <d v="2025-08-25T00:00:00"/>
    <n v="3455.92"/>
    <n v="119971.05928767001"/>
    <n v="2591.94"/>
    <n v="3283.1239999999998"/>
    <n v="0"/>
    <n v="3599.1317786301001"/>
    <n v="316.00777863010035"/>
    <n v="345.59200000000004"/>
    <n v="0"/>
    <n v="5529"/>
    <n v="2399.4211857534001"/>
    <n v="0"/>
    <n v="0"/>
    <n v="0"/>
    <n v="0"/>
    <n v="3130"/>
    <n v="0"/>
    <n v="3130"/>
    <s v="Release"/>
  </r>
  <r>
    <n v="55235.547009993912"/>
    <n v="0"/>
    <n v="55235.547009993912"/>
    <x v="597"/>
    <x v="589"/>
    <n v="0"/>
    <s v="MPG"/>
    <s v="Direct"/>
    <n v="1056"/>
    <x v="8"/>
    <s v="Old"/>
    <d v="2025-08-24T00:00:00"/>
    <n v="8259.18"/>
    <n v="333202.81354149873"/>
    <n v="6194.3850000000002"/>
    <n v="7846.2209999999995"/>
    <n v="0"/>
    <n v="9996.0844062449614"/>
    <n v="2149.8634062449619"/>
    <n v="825.91800000000012"/>
    <n v="0"/>
    <n v="13215"/>
    <n v="6664.0562708299749"/>
    <n v="0"/>
    <n v="0"/>
    <n v="0"/>
    <n v="0"/>
    <n v="6551"/>
    <n v="0"/>
    <n v="6551"/>
    <s v="Release"/>
  </r>
  <r>
    <n v="80500"/>
    <n v="0"/>
    <n v="80500"/>
    <x v="598"/>
    <x v="590"/>
    <n v="0"/>
    <s v="MPG"/>
    <s v="Direct"/>
    <n v="1056"/>
    <x v="8"/>
    <s v="Old"/>
    <d v="2025-08-25T00:00:00"/>
    <n v="869.01999999999987"/>
    <n v="35772.582422708001"/>
    <n v="651.76499999999987"/>
    <n v="825.56899999999985"/>
    <n v="0"/>
    <n v="1073.17747268124"/>
    <n v="0"/>
    <n v="86.901999999999987"/>
    <n v="1390.2542941233719"/>
    <n v="0"/>
    <n v="0"/>
    <n v="0"/>
    <n v="0"/>
    <n v="0"/>
    <n v="0"/>
    <n v="0"/>
    <n v="0"/>
    <n v="0"/>
    <s v="Release"/>
  </r>
  <r>
    <n v="91011"/>
    <n v="0"/>
    <n v="91011"/>
    <x v="599"/>
    <x v="591"/>
    <n v="0"/>
    <s v="MPG"/>
    <s v="Direct"/>
    <n v="1002"/>
    <x v="3"/>
    <s v="Old"/>
    <d v="2025-08-31T00:00:00"/>
    <n v="28.599999999999994"/>
    <n v="1114.28"/>
    <n v="21.449999999999996"/>
    <n v="27.169999999999995"/>
    <n v="0"/>
    <n v="33.428399999999996"/>
    <n v="6.2584000000000017"/>
    <n v="2.8599999999999994"/>
    <n v="46.126815654521124"/>
    <n v="0"/>
    <n v="0"/>
    <n v="0"/>
    <n v="0"/>
    <n v="0"/>
    <n v="0"/>
    <n v="0"/>
    <n v="0"/>
    <n v="0"/>
    <s v="Release"/>
  </r>
  <r>
    <n v="74384.220002488"/>
    <n v="0"/>
    <n v="74384.220002488"/>
    <x v="600"/>
    <x v="592"/>
    <n v="0"/>
    <s v="MPG"/>
    <s v="Direct"/>
    <n v="1003"/>
    <x v="4"/>
    <s v="Old"/>
    <d v="2025-07-31T00:00:00"/>
    <n v="6839.45"/>
    <n v="268779.78741683997"/>
    <n v="5129.5874999999996"/>
    <n v="6497.4775"/>
    <n v="3217.7015595882003"/>
    <n v="8063.3936225051984"/>
    <n v="1565.9161225051985"/>
    <n v="683.94500000000005"/>
    <n v="0"/>
    <n v="14161"/>
    <n v="5375.5957483367993"/>
    <n v="0"/>
    <n v="0"/>
    <n v="0"/>
    <n v="0"/>
    <n v="8785"/>
    <n v="8785"/>
    <n v="0"/>
    <s v="Yes"/>
  </r>
  <r>
    <n v="80809"/>
    <n v="0"/>
    <n v="80809"/>
    <x v="601"/>
    <x v="593"/>
    <n v="0"/>
    <s v="MPG"/>
    <s v="Direct"/>
    <n v="1006"/>
    <x v="5"/>
    <s v="Old"/>
    <d v="2025-08-30T00:00:00"/>
    <n v="587.09999999999991"/>
    <n v="23064.923945039998"/>
    <n v="440.32499999999993"/>
    <n v="557.74499999999989"/>
    <n v="331.10499708000009"/>
    <n v="691.94771835119991"/>
    <n v="134.20271835120002"/>
    <n v="58.709999999999994"/>
    <n v="1270.7844856793702"/>
    <n v="0"/>
    <n v="0"/>
    <n v="0"/>
    <n v="0"/>
    <n v="0"/>
    <n v="0"/>
    <n v="0"/>
    <n v="0"/>
    <n v="0"/>
    <s v="Release"/>
  </r>
  <r>
    <n v="0"/>
    <n v="0"/>
    <n v="0"/>
    <x v="602"/>
    <x v="594"/>
    <n v="0"/>
    <s v="vlc"/>
    <s v="Indirect"/>
    <n v="1008"/>
    <x v="1"/>
    <s v="Old"/>
    <d v="2025-09-01T00:00:00"/>
    <n v="60.15"/>
    <n v="2245.5299999999997"/>
    <n v="45.112499999999997"/>
    <n v="57.142499999999998"/>
    <n v="0"/>
    <n v="67.365899999999996"/>
    <n v="10.223399999999998"/>
    <n v="6.0150000000000006"/>
    <n v="96.739774064837945"/>
    <n v="0"/>
    <n v="0"/>
    <n v="0"/>
    <n v="0"/>
    <n v="0"/>
    <n v="0"/>
    <n v="0"/>
    <n v="0"/>
    <n v="0"/>
    <s v="Release"/>
  </r>
  <r>
    <n v="72393.155530320524"/>
    <n v="0"/>
    <n v="72393.155530320524"/>
    <x v="603"/>
    <x v="595"/>
    <n v="0"/>
    <s v="MPG"/>
    <s v="Direct"/>
    <n v="1053"/>
    <x v="18"/>
    <s v="Old"/>
    <d v="2025-08-29T00:00:00"/>
    <n v="2216.5499999999997"/>
    <n v="99227.030324304287"/>
    <n v="1662.4124999999999"/>
    <n v="2105.7224999999999"/>
    <n v="4439.2037745991602"/>
    <n v="2976.8109097291285"/>
    <n v="871.08840972912867"/>
    <n v="221.65499999999997"/>
    <n v="528.81894047779508"/>
    <n v="7457"/>
    <n v="1984.5406064860858"/>
    <n v="0"/>
    <n v="0"/>
    <n v="0"/>
    <n v="0"/>
    <n v="5472"/>
    <n v="0"/>
    <n v="5472"/>
    <s v="Release"/>
  </r>
  <r>
    <n v="0"/>
    <n v="0"/>
    <n v="0"/>
    <x v="604"/>
    <x v="596"/>
    <n v="0"/>
    <s v="vlc"/>
    <s v="Indirect"/>
    <n v="1053"/>
    <x v="18"/>
    <s v="Old"/>
    <d v="2025-08-30T00:00:00"/>
    <n v="603.20000000000005"/>
    <n v="19926.560310322999"/>
    <n v="452.40000000000003"/>
    <n v="573.04"/>
    <n v="0"/>
    <n v="597.79680930968993"/>
    <n v="24.75680930968997"/>
    <n v="60.320000000000007"/>
    <n v="965.36440867919737"/>
    <n v="0"/>
    <n v="0"/>
    <n v="0"/>
    <n v="0"/>
    <n v="0"/>
    <n v="0"/>
    <n v="0"/>
    <n v="0"/>
    <n v="0"/>
    <s v="Release"/>
  </r>
  <r>
    <n v="80257"/>
    <n v="6400"/>
    <n v="86657"/>
    <x v="605"/>
    <x v="597"/>
    <n v="0"/>
    <s v="MPG"/>
    <s v="Direct"/>
    <n v="1054"/>
    <x v="13"/>
    <s v="Old"/>
    <d v="2025-07-31T00:00:00"/>
    <n v="762.46"/>
    <n v="28965.099677420003"/>
    <n v="571.84500000000003"/>
    <n v="724.33699999999999"/>
    <n v="0"/>
    <n v="868.95299032260004"/>
    <n v="144.61599032260006"/>
    <n v="76.246000000000009"/>
    <n v="1219.6247687890066"/>
    <n v="0"/>
    <n v="0"/>
    <n v="0"/>
    <n v="0"/>
    <n v="0"/>
    <n v="0"/>
    <n v="0"/>
    <n v="0"/>
    <n v="0"/>
    <s v="Release"/>
  </r>
  <r>
    <n v="0"/>
    <n v="0"/>
    <n v="0"/>
    <x v="606"/>
    <x v="598"/>
    <n v="0"/>
    <s v="vlc"/>
    <s v="Indirect"/>
    <n v="1006"/>
    <x v="5"/>
    <s v="Old"/>
    <d v="2025-09-06T00:00:00"/>
    <n v="26.700000000000003"/>
    <n v="1208.4000000000001"/>
    <n v="20.025000000000002"/>
    <n v="25.365000000000002"/>
    <n v="0"/>
    <n v="36.252000000000002"/>
    <n v="10.887"/>
    <n v="2.6700000000000004"/>
    <n v="42.449977528089903"/>
    <n v="0"/>
    <n v="0"/>
    <n v="0"/>
    <n v="0"/>
    <n v="0"/>
    <n v="0"/>
    <n v="0"/>
    <n v="0"/>
    <n v="0"/>
    <s v="Release"/>
  </r>
  <r>
    <n v="0"/>
    <n v="0"/>
    <n v="0"/>
    <x v="607"/>
    <x v="599"/>
    <n v="0"/>
    <s v="MPG"/>
    <s v="Direct"/>
    <n v="1006"/>
    <x v="5"/>
    <s v="Old"/>
    <d v="2025-09-06T00:00:00"/>
    <n v="1347"/>
    <n v="56612.794186254003"/>
    <n v="1010.25"/>
    <n v="1698.3838255876201"/>
    <n v="148.297141278"/>
    <n v="1698.3838255876201"/>
    <n v="0"/>
    <n v="134.70000000000002"/>
    <n v="1249.3768006845212"/>
    <n v="1473"/>
    <n v="0"/>
    <n v="0"/>
    <n v="0"/>
    <n v="0"/>
    <n v="0"/>
    <n v="1473"/>
    <n v="0"/>
    <n v="1473"/>
    <s v="Release"/>
  </r>
  <r>
    <n v="0"/>
    <n v="0"/>
    <n v="0"/>
    <x v="608"/>
    <x v="600"/>
    <n v="0"/>
    <s v="vlc"/>
    <s v="Indirect"/>
    <n v="1055"/>
    <x v="10"/>
    <s v="Old"/>
    <d v="2025-07-25T00:00:00"/>
    <n v="98180.7"/>
    <n v="3520493.2206560005"/>
    <n v="73635.524999999994"/>
    <n v="93271.664999999994"/>
    <n v="0"/>
    <n v="105614.79661968001"/>
    <n v="12343.131619680018"/>
    <n v="9818.07"/>
    <n v="0"/>
    <n v="157089"/>
    <n v="0"/>
    <n v="0"/>
    <n v="0"/>
    <n v="0"/>
    <n v="0"/>
    <n v="157089"/>
    <n v="0"/>
    <n v="157089"/>
    <s v="Release"/>
  </r>
  <r>
    <n v="0"/>
    <n v="0"/>
    <n v="0"/>
    <x v="609"/>
    <x v="601"/>
    <n v="0"/>
    <s v="vlc"/>
    <s v="Indirect"/>
    <n v="1002"/>
    <x v="3"/>
    <s v="Old"/>
    <d v="2025-09-15T00:00:00"/>
    <n v="8677.4"/>
    <n v="338774.66662639403"/>
    <n v="6508.0499999999993"/>
    <n v="8243.5299999999988"/>
    <n v="0"/>
    <n v="10163.23999879182"/>
    <n v="1919.7099987918209"/>
    <n v="867.74"/>
    <n v="0"/>
    <n v="13884"/>
    <n v="0"/>
    <n v="0"/>
    <n v="0"/>
    <n v="0"/>
    <n v="0"/>
    <n v="13884"/>
    <n v="0"/>
    <n v="13884"/>
    <s v="Release"/>
  </r>
  <r>
    <n v="0"/>
    <n v="0"/>
    <n v="0"/>
    <x v="610"/>
    <x v="602"/>
    <n v="0"/>
    <s v="vlc"/>
    <s v="Indirect"/>
    <n v="1002"/>
    <x v="3"/>
    <s v="Old"/>
    <d v="2025-09-15T00:00:00"/>
    <n v="5212.5"/>
    <n v="215790.79637046802"/>
    <n v="3909.375"/>
    <n v="4951.875"/>
    <n v="0"/>
    <n v="6473.7238911140403"/>
    <n v="1521.8488911140403"/>
    <n v="521.25"/>
    <n v="0"/>
    <n v="8340"/>
    <n v="0"/>
    <n v="0"/>
    <n v="0"/>
    <n v="0"/>
    <n v="0"/>
    <n v="8340"/>
    <n v="0"/>
    <n v="8340"/>
    <s v="Release"/>
  </r>
  <r>
    <n v="0"/>
    <n v="0"/>
    <n v="0"/>
    <x v="611"/>
    <x v="603"/>
    <n v="0"/>
    <s v="vlc"/>
    <s v="Indirect"/>
    <n v="1003"/>
    <x v="4"/>
    <s v="Old"/>
    <d v="2025-09-16T00:00:00"/>
    <n v="963.84999999999991"/>
    <n v="34370.16666209"/>
    <n v="722.88749999999993"/>
    <n v="915.65749999999991"/>
    <n v="0"/>
    <n v="1031.1049998627"/>
    <n v="115.44749986270006"/>
    <n v="96.384999999999991"/>
    <n v="1312.4793735946137"/>
    <n v="230"/>
    <n v="0"/>
    <n v="0"/>
    <n v="0"/>
    <n v="0"/>
    <n v="0"/>
    <n v="230"/>
    <n v="0"/>
    <n v="230"/>
    <s v="Release"/>
  </r>
  <r>
    <n v="0"/>
    <n v="0"/>
    <n v="0"/>
    <x v="612"/>
    <x v="604"/>
    <n v="0"/>
    <s v="vlc"/>
    <s v="Indirect"/>
    <n v="1009"/>
    <x v="11"/>
    <s v="Old"/>
    <d v="2021-06-14T00:00:00"/>
    <n v="1263.2"/>
    <n v="48854.7570285244"/>
    <n v="947.40000000000009"/>
    <n v="1200.04"/>
    <n v="0"/>
    <n v="1465.642710855732"/>
    <n v="265.60271085573208"/>
    <n v="126.32000000000001"/>
    <n v="1105.7931672257841"/>
    <n v="915"/>
    <n v="0"/>
    <n v="0"/>
    <n v="0"/>
    <n v="0"/>
    <n v="0"/>
    <n v="915"/>
    <n v="0"/>
    <n v="915"/>
    <s v="Release"/>
  </r>
  <r>
    <n v="0"/>
    <n v="0"/>
    <n v="0"/>
    <x v="613"/>
    <x v="605"/>
    <n v="0"/>
    <s v="vlc"/>
    <s v="Indirect"/>
    <n v="1012"/>
    <x v="14"/>
    <s v="Old"/>
    <d v="2025-09-12T00:00:00"/>
    <n v="909.87999999999988"/>
    <n v="32629.550164598801"/>
    <n v="682.40999999999985"/>
    <n v="864.38599999999985"/>
    <n v="0"/>
    <n v="978.88650493796399"/>
    <n v="114.50050493796414"/>
    <n v="90.988"/>
    <n v="1350.9499132402755"/>
    <n v="105"/>
    <n v="0"/>
    <n v="0"/>
    <n v="0"/>
    <n v="0"/>
    <n v="0"/>
    <n v="105"/>
    <n v="0"/>
    <n v="105"/>
    <s v="Release"/>
  </r>
  <r>
    <n v="107239"/>
    <n v="6400"/>
    <n v="113639"/>
    <x v="614"/>
    <x v="606"/>
    <n v="0"/>
    <s v="MPG"/>
    <s v="Direct"/>
    <n v="1057"/>
    <x v="19"/>
    <s v="Old"/>
    <d v="2025-09-15T00:00:00"/>
    <n v="302.79999999999995"/>
    <n v="11619.699416294001"/>
    <n v="227.09999999999997"/>
    <n v="287.65999999999997"/>
    <n v="0"/>
    <n v="348.59098248882003"/>
    <n v="60.930982488820064"/>
    <n v="30.279999999999998"/>
    <n v="484.52871633983182"/>
    <n v="0"/>
    <n v="0"/>
    <n v="0"/>
    <n v="0"/>
    <n v="0"/>
    <n v="0"/>
    <n v="0"/>
    <n v="0"/>
    <n v="0"/>
    <s v="Release"/>
  </r>
  <r>
    <n v="106854"/>
    <n v="6400"/>
    <n v="113254"/>
    <x v="615"/>
    <x v="607"/>
    <n v="0"/>
    <s v="MPG"/>
    <s v="Direct"/>
    <n v="1057"/>
    <x v="19"/>
    <s v="Old"/>
    <d v="2025-09-15T00:00:00"/>
    <n v="875.4"/>
    <n v="34343.285101483998"/>
    <n v="656.55"/>
    <n v="831.63"/>
    <n v="0"/>
    <n v="1030.2985530445198"/>
    <n v="198.66855304451985"/>
    <n v="87.54"/>
    <n v="1400.2751626438574"/>
    <n v="0"/>
    <n v="0"/>
    <n v="0"/>
    <n v="0"/>
    <n v="0"/>
    <n v="0"/>
    <n v="0"/>
    <n v="0"/>
    <n v="0"/>
    <s v="Release"/>
  </r>
  <r>
    <n v="63173.180474490393"/>
    <n v="6400"/>
    <n v="69573.180474490393"/>
    <x v="616"/>
    <x v="608"/>
    <n v="0"/>
    <s v="MPG"/>
    <s v="Direct"/>
    <n v="1057"/>
    <x v="19"/>
    <s v="Old"/>
    <d v="2025-09-15T00:00:00"/>
    <n v="5419.2999999999993"/>
    <n v="203556.42349209002"/>
    <n v="4064.4749999999995"/>
    <n v="5148.3349999999991"/>
    <n v="3130.2900220603001"/>
    <n v="6106.6927047627005"/>
    <n v="958.35770476270136"/>
    <n v="541.92999999999995"/>
    <n v="0"/>
    <n v="11801"/>
    <n v="4071.1284698418003"/>
    <n v="0"/>
    <n v="0"/>
    <n v="0"/>
    <n v="0"/>
    <n v="7730"/>
    <n v="0"/>
    <n v="7730"/>
    <s v="Release"/>
  </r>
  <r>
    <n v="75203.985225640805"/>
    <n v="6400"/>
    <n v="81603.985225640805"/>
    <x v="617"/>
    <x v="609"/>
    <n v="0"/>
    <s v="MPG"/>
    <s v="Direct"/>
    <n v="1057"/>
    <x v="19"/>
    <s v="Old"/>
    <d v="2025-09-15T00:00:00"/>
    <n v="4665"/>
    <n v="180345.69385278001"/>
    <n v="3498.75"/>
    <n v="4431.75"/>
    <n v="0"/>
    <n v="5410.3708155834001"/>
    <n v="978.62081558340014"/>
    <n v="466.5"/>
    <n v="63.7176978007762"/>
    <n v="7400"/>
    <n v="3606.9138770556001"/>
    <n v="0"/>
    <n v="0"/>
    <n v="0"/>
    <n v="0"/>
    <n v="3793"/>
    <n v="0"/>
    <n v="3793"/>
    <s v="Release"/>
  </r>
  <r>
    <n v="0"/>
    <n v="0"/>
    <n v="0"/>
    <x v="618"/>
    <x v="610"/>
    <n v="0"/>
    <s v="vlc"/>
    <s v="Indirect"/>
    <n v="1057"/>
    <x v="19"/>
    <s v="Old"/>
    <d v="2025-09-15T00:00:00"/>
    <n v="2989.4"/>
    <n v="100689.9268072"/>
    <n v="2242.0500000000002"/>
    <n v="2839.93"/>
    <n v="0"/>
    <n v="3020.6978042159999"/>
    <n v="180.76780421600006"/>
    <n v="298.94"/>
    <n v="239.3803163064122"/>
    <n v="4544"/>
    <n v="0"/>
    <n v="0"/>
    <n v="0"/>
    <n v="0"/>
    <n v="0"/>
    <n v="4544"/>
    <n v="0"/>
    <n v="4544"/>
    <s v="Release"/>
  </r>
  <r>
    <n v="89804"/>
    <n v="0"/>
    <n v="89804"/>
    <x v="619"/>
    <x v="611"/>
    <n v="0"/>
    <s v="MPG"/>
    <s v="Direct"/>
    <n v="1011"/>
    <x v="12"/>
    <s v="Old"/>
    <d v="2025-09-19T00:00:00"/>
    <n v="129.4"/>
    <n v="4956.2643135999997"/>
    <n v="97.050000000000011"/>
    <n v="122.92999999999999"/>
    <n v="0"/>
    <n v="148.68792940799997"/>
    <n v="25.757929407999981"/>
    <n v="12.940000000000001"/>
    <n v="207.41939058045364"/>
    <n v="0"/>
    <n v="0"/>
    <n v="0"/>
    <n v="0"/>
    <n v="0"/>
    <n v="0"/>
    <n v="0"/>
    <n v="0"/>
    <n v="0"/>
    <s v="Release"/>
  </r>
  <r>
    <n v="0"/>
    <n v="0"/>
    <n v="0"/>
    <x v="620"/>
    <x v="612"/>
    <n v="0"/>
    <s v="vlc"/>
    <s v="Indirect"/>
    <n v="1006"/>
    <x v="5"/>
    <s v="Old"/>
    <d v="2017-09-01T00:00:00"/>
    <n v="6921.5"/>
    <n v="246065.76917100252"/>
    <n v="5191.125"/>
    <n v="6575.4249999999993"/>
    <n v="0"/>
    <n v="7381.9730751300758"/>
    <n v="806.54807513007654"/>
    <n v="692.15000000000009"/>
    <n v="229.90321813231691"/>
    <n v="10844"/>
    <n v="0"/>
    <n v="0"/>
    <n v="0"/>
    <n v="0"/>
    <n v="0"/>
    <n v="10844"/>
    <n v="0"/>
    <n v="10844"/>
    <s v="Release"/>
  </r>
  <r>
    <n v="72963.745760897946"/>
    <n v="0"/>
    <n v="72963.745760897946"/>
    <x v="621"/>
    <x v="613"/>
    <n v="0"/>
    <s v="MPG"/>
    <s v="Direct"/>
    <n v="1053"/>
    <x v="18"/>
    <s v="Old"/>
    <d v="2025-09-24T00:00:00"/>
    <n v="3052.6499999999996"/>
    <n v="139201.56356965576"/>
    <n v="2289.4874999999997"/>
    <n v="2900.0174999999995"/>
    <n v="861.2327963424998"/>
    <n v="4176.0469070896725"/>
    <n v="1276.029407089673"/>
    <n v="305.26499999999999"/>
    <n v="0"/>
    <n v="5745"/>
    <n v="2784.0312713931153"/>
    <n v="0"/>
    <n v="0"/>
    <n v="0"/>
    <n v="0"/>
    <n v="2961"/>
    <n v="0"/>
    <n v="2961"/>
    <s v="Release"/>
  </r>
  <r>
    <n v="84331.321269226406"/>
    <n v="413"/>
    <n v="84744.321269226406"/>
    <x v="622"/>
    <x v="614"/>
    <n v="0"/>
    <s v="MPG"/>
    <s v="Direct"/>
    <n v="1057"/>
    <x v="19"/>
    <s v="Old"/>
    <d v="2025-09-26T00:00:00"/>
    <n v="3252.8"/>
    <n v="151329.61106338375"/>
    <n v="2439.6000000000004"/>
    <n v="3090.16"/>
    <n v="0"/>
    <n v="4539.8883319015122"/>
    <n v="1449.7283319015123"/>
    <n v="325.28000000000003"/>
    <n v="0"/>
    <n v="5204"/>
    <n v="3026.5922212676751"/>
    <n v="0"/>
    <n v="0"/>
    <n v="0"/>
    <n v="0"/>
    <n v="2177"/>
    <n v="2177"/>
    <n v="0"/>
    <s v="Yes"/>
  </r>
  <r>
    <n v="0"/>
    <n v="0"/>
    <n v="0"/>
    <x v="623"/>
    <x v="615"/>
    <n v="0"/>
    <s v="vlc"/>
    <s v="Indirect"/>
    <n v="1001"/>
    <x v="0"/>
    <s v="Old"/>
    <d v="2023-06-21T00:00:00"/>
    <n v="493.5"/>
    <n v="17548.629749351501"/>
    <n v="370.125"/>
    <n v="468.82499999999999"/>
    <n v="0"/>
    <n v="526.45889248054505"/>
    <n v="57.633892480545057"/>
    <n v="49.35"/>
    <n v="789.51327563631889"/>
    <n v="0"/>
    <n v="0"/>
    <n v="0"/>
    <n v="0"/>
    <n v="0"/>
    <n v="0"/>
    <n v="0"/>
    <n v="0"/>
    <n v="0"/>
    <s v="Release"/>
  </r>
  <r>
    <n v="0"/>
    <n v="0"/>
    <n v="0"/>
    <x v="624"/>
    <x v="616"/>
    <n v="0"/>
    <s v="vlc"/>
    <s v="Indirect"/>
    <n v="1002"/>
    <x v="3"/>
    <s v="Old"/>
    <d v="2022-04-01T00:00:00"/>
    <n v="293.5"/>
    <n v="14404.380359826"/>
    <n v="220.125"/>
    <n v="278.82499999999999"/>
    <n v="0"/>
    <n v="432.13141079477998"/>
    <n v="153.30641079477999"/>
    <n v="29.35"/>
    <n v="399.00378986502687"/>
    <n v="71"/>
    <n v="0"/>
    <n v="0"/>
    <n v="0"/>
    <n v="0"/>
    <n v="0"/>
    <n v="71"/>
    <n v="71"/>
    <n v="0"/>
    <s v="Yes"/>
  </r>
  <r>
    <n v="0"/>
    <n v="0"/>
    <n v="0"/>
    <x v="625"/>
    <x v="617"/>
    <n v="0"/>
    <s v="vlc"/>
    <s v="Indirect"/>
    <n v="1006"/>
    <x v="5"/>
    <s v="Old"/>
    <d v="2025-10-03T00:00:00"/>
    <n v="808.3"/>
    <n v="29335.463571393502"/>
    <n v="606.22499999999991"/>
    <n v="767.88499999999988"/>
    <n v="0"/>
    <n v="880.06390714180509"/>
    <n v="112.17890714180521"/>
    <n v="80.83"/>
    <n v="1292.9589525258134"/>
    <n v="0"/>
    <n v="0"/>
    <n v="0"/>
    <n v="0"/>
    <n v="0"/>
    <n v="0"/>
    <n v="0"/>
    <n v="0"/>
    <n v="0"/>
    <s v="Release"/>
  </r>
  <r>
    <n v="96474"/>
    <n v="0"/>
    <n v="96474"/>
    <x v="626"/>
    <x v="618"/>
    <n v="0"/>
    <s v="MPG"/>
    <s v="Direct"/>
    <n v="1012"/>
    <x v="14"/>
    <s v="Old"/>
    <d v="2025-10-09T00:00:00"/>
    <n v="638.67999999999995"/>
    <n v="26156.414726703002"/>
    <n v="479.01"/>
    <n v="606.74599999999998"/>
    <n v="0"/>
    <n v="784.69244180109001"/>
    <n v="177.94644180109003"/>
    <n v="63.867999999999995"/>
    <n v="1021.5419388610476"/>
    <n v="0"/>
    <n v="0"/>
    <n v="0"/>
    <n v="0"/>
    <n v="0"/>
    <n v="0"/>
    <n v="0"/>
    <n v="0"/>
    <n v="0"/>
    <s v="Release"/>
  </r>
  <r>
    <n v="0"/>
    <n v="0"/>
    <n v="0"/>
    <x v="627"/>
    <x v="619"/>
    <n v="0"/>
    <s v="vlc"/>
    <s v="Indirect"/>
    <n v="1055"/>
    <x v="10"/>
    <s v="Old"/>
    <d v="2025-10-07T00:00:00"/>
    <n v="891.3"/>
    <n v="31307.755536166002"/>
    <n v="668.47499999999991"/>
    <n v="846.7349999999999"/>
    <n v="0"/>
    <n v="939.23266608498"/>
    <n v="92.497666084980096"/>
    <n v="89.13"/>
    <n v="1343.0077407995479"/>
    <n v="83"/>
    <n v="0"/>
    <n v="0"/>
    <n v="0"/>
    <n v="0"/>
    <n v="0"/>
    <n v="83"/>
    <n v="0"/>
    <n v="83"/>
    <s v="Release"/>
  </r>
  <r>
    <n v="0"/>
    <n v="0"/>
    <n v="0"/>
    <x v="628"/>
    <x v="620"/>
    <n v="0"/>
    <s v="vlc"/>
    <s v="Indirect"/>
    <n v="1057"/>
    <x v="19"/>
    <s v="Old"/>
    <d v="2025-10-04T00:00:00"/>
    <n v="2529.7999999999997"/>
    <n v="94526.634804890011"/>
    <n v="1897.35"/>
    <n v="2403.3099999999995"/>
    <n v="0"/>
    <n v="2835.7990441467"/>
    <n v="432.48904414670051"/>
    <n v="252.98"/>
    <n v="237.71846566234311"/>
    <n v="3810"/>
    <n v="0"/>
    <n v="0"/>
    <n v="0"/>
    <n v="0"/>
    <n v="0"/>
    <n v="3810"/>
    <n v="0"/>
    <n v="3810"/>
    <s v="Release"/>
  </r>
  <r>
    <n v="0"/>
    <n v="3013.7457170187754"/>
    <n v="3013.7457170187754"/>
    <x v="629"/>
    <x v="621"/>
    <n v="0"/>
    <s v="vlc"/>
    <s v="Indirect"/>
    <n v="1057"/>
    <x v="19"/>
    <s v="Old"/>
    <d v="2025-10-06T00:00:00"/>
    <n v="69.2"/>
    <n v="2612.3000000000002"/>
    <n v="51.900000000000006"/>
    <n v="65.739999999999995"/>
    <n v="0"/>
    <n v="78.369"/>
    <n v="12.629000000000005"/>
    <n v="6.9200000000000008"/>
    <n v="110.25399999999996"/>
    <n v="0"/>
    <n v="0"/>
    <n v="0"/>
    <n v="0"/>
    <n v="0"/>
    <n v="0"/>
    <n v="0"/>
    <n v="0"/>
    <n v="0"/>
    <s v="Release"/>
  </r>
  <r>
    <n v="0"/>
    <n v="0"/>
    <n v="0"/>
    <x v="630"/>
    <x v="622"/>
    <n v="0"/>
    <s v="vlc"/>
    <s v="Indirect"/>
    <n v="1065"/>
    <x v="20"/>
    <s v="Old"/>
    <d v="2025-10-10T00:00:00"/>
    <n v="3865.6000000000008"/>
    <n v="150785.59233324"/>
    <n v="2899.2000000000007"/>
    <n v="3672.3200000000006"/>
    <n v="0"/>
    <n v="4523.5677699971993"/>
    <n v="851.2477699971987"/>
    <n v="386.56000000000012"/>
    <n v="0"/>
    <n v="6185"/>
    <n v="0"/>
    <n v="0"/>
    <n v="0"/>
    <n v="0"/>
    <n v="0"/>
    <n v="6185"/>
    <n v="0"/>
    <n v="6185"/>
    <s v="Release"/>
  </r>
  <r>
    <n v="0"/>
    <n v="0"/>
    <n v="0"/>
    <x v="631"/>
    <x v="623"/>
    <n v="0"/>
    <s v="vlc"/>
    <s v="Indirect"/>
    <n v="1008"/>
    <x v="1"/>
    <s v="Old"/>
    <d v="2025-10-10T00:00:00"/>
    <n v="1292.05"/>
    <n v="48941.916218046004"/>
    <n v="969.03749999999991"/>
    <n v="1227.4475"/>
    <n v="0"/>
    <n v="1468.2574865413801"/>
    <n v="240.80998654138011"/>
    <n v="129.20500000000001"/>
    <n v="1140.2531796708283"/>
    <n v="927"/>
    <n v="0"/>
    <n v="0"/>
    <n v="0"/>
    <n v="0"/>
    <n v="0"/>
    <n v="927"/>
    <n v="0"/>
    <n v="927"/>
    <s v="Release"/>
  </r>
  <r>
    <n v="0"/>
    <n v="0"/>
    <n v="0"/>
    <x v="632"/>
    <x v="624"/>
    <n v="0"/>
    <s v="vlc"/>
    <s v="Indirect"/>
    <n v="1012"/>
    <x v="14"/>
    <s v="Old"/>
    <d v="2025-10-13T00:00:00"/>
    <n v="3286.76"/>
    <n v="118858.4123546742"/>
    <n v="2465.0700000000002"/>
    <n v="3122.422"/>
    <n v="0"/>
    <n v="3565.7523706402262"/>
    <n v="443.33037064022619"/>
    <n v="328.67600000000004"/>
    <n v="262.34807434874432"/>
    <n v="4996"/>
    <n v="0"/>
    <n v="0"/>
    <n v="0"/>
    <n v="0"/>
    <n v="0"/>
    <n v="4996"/>
    <n v="0"/>
    <n v="4996"/>
    <s v="Release"/>
  </r>
  <r>
    <n v="77832.03363843642"/>
    <n v="0"/>
    <n v="77832.03363843642"/>
    <x v="633"/>
    <x v="625"/>
    <n v="0"/>
    <s v="MPG"/>
    <s v="Direct"/>
    <n v="1053"/>
    <x v="18"/>
    <s v="Old"/>
    <d v="2025-10-14T00:00:00"/>
    <n v="4403.1500000000005"/>
    <n v="177558.60149745506"/>
    <n v="3302.3625000000002"/>
    <n v="4182.9925000000003"/>
    <n v="2874.8170263522002"/>
    <n v="5326.7580449236521"/>
    <n v="1143.7655449236518"/>
    <n v="440.31500000000005"/>
    <n v="0"/>
    <n v="9920"/>
    <n v="3551.1720299491012"/>
    <n v="0"/>
    <n v="0"/>
    <n v="0"/>
    <n v="0"/>
    <n v="6369"/>
    <n v="0"/>
    <n v="6369"/>
    <s v="Release"/>
  </r>
  <r>
    <n v="69198.348125114542"/>
    <n v="0"/>
    <n v="69198.348125114542"/>
    <x v="634"/>
    <x v="626"/>
    <n v="0"/>
    <s v="MPG"/>
    <s v="Direct"/>
    <n v="1053"/>
    <x v="18"/>
    <s v="Old"/>
    <d v="2025-10-11T00:00:00"/>
    <n v="4542.2"/>
    <n v="203909.58482841335"/>
    <n v="3406.6499999999996"/>
    <n v="4315.0899999999992"/>
    <n v="3504.4177588484999"/>
    <n v="6117.2875448524001"/>
    <n v="1802.1975448524008"/>
    <n v="454.22"/>
    <n v="0"/>
    <n v="10772"/>
    <n v="4078.1916965682672"/>
    <n v="0"/>
    <n v="0"/>
    <n v="0"/>
    <n v="0"/>
    <n v="6694"/>
    <n v="0"/>
    <n v="6694"/>
    <s v="Release"/>
  </r>
  <r>
    <n v="86022"/>
    <n v="0"/>
    <n v="86022"/>
    <x v="635"/>
    <x v="627"/>
    <n v="0"/>
    <s v="MPG"/>
    <s v="Direct"/>
    <n v="1054"/>
    <x v="13"/>
    <s v="Old"/>
    <d v="2025-10-15T00:00:00"/>
    <n v="947.88000000000011"/>
    <n v="35149.525912119403"/>
    <n v="710.91000000000008"/>
    <n v="900.4860000000001"/>
    <n v="0"/>
    <n v="1054.485777363582"/>
    <n v="153.99977736358187"/>
    <n v="94.788000000000011"/>
    <n v="1377.5871266614386"/>
    <n v="139"/>
    <n v="139"/>
    <n v="0"/>
    <n v="0"/>
    <n v="0"/>
    <n v="0"/>
    <n v="0"/>
    <n v="0"/>
    <n v="0"/>
    <s v="Release"/>
  </r>
  <r>
    <n v="0"/>
    <n v="0"/>
    <n v="0"/>
    <x v="636"/>
    <x v="400"/>
    <n v="0"/>
    <s v="vlc"/>
    <s v="Indirect"/>
    <n v="1057"/>
    <x v="19"/>
    <s v="Old"/>
    <d v="2025-10-10T00:00:00"/>
    <n v="1982.6999999999998"/>
    <n v="64767.411114399998"/>
    <n v="1487.0249999999999"/>
    <n v="1883.5649999999998"/>
    <n v="0"/>
    <n v="1943.0223334319999"/>
    <n v="59.457333432000041"/>
    <n v="198.26999999999998"/>
    <n v="582.50884009461299"/>
    <n v="2590"/>
    <n v="0"/>
    <n v="0"/>
    <n v="0"/>
    <n v="0"/>
    <n v="0"/>
    <n v="2590"/>
    <n v="0"/>
    <n v="2590"/>
    <s v="Release"/>
  </r>
  <r>
    <n v="82690"/>
    <n v="6089"/>
    <n v="88779"/>
    <x v="637"/>
    <x v="628"/>
    <n v="0"/>
    <s v="MPG"/>
    <s v="Direct"/>
    <n v="1058"/>
    <x v="2"/>
    <s v="Old"/>
    <d v="2025-10-16T00:00:00"/>
    <n v="1316"/>
    <n v="53803.706424370001"/>
    <n v="987"/>
    <n v="1250.2"/>
    <n v="1465.9899408444001"/>
    <n v="1614.1111927310999"/>
    <n v="363.91119273109985"/>
    <n v="131.6"/>
    <n v="1217.9255480156214"/>
    <n v="2354"/>
    <n v="1861"/>
    <n v="0"/>
    <n v="0"/>
    <n v="0"/>
    <n v="0"/>
    <n v="493"/>
    <n v="0"/>
    <n v="493"/>
    <s v="Release"/>
  </r>
  <r>
    <n v="70314.753869784006"/>
    <n v="0"/>
    <n v="70314.753869784006"/>
    <x v="638"/>
    <x v="629"/>
    <n v="0"/>
    <s v="MPG"/>
    <s v="Direct"/>
    <n v="1009"/>
    <x v="11"/>
    <s v="Old"/>
    <d v="2025-01-29T00:00:00"/>
    <n v="2884"/>
    <n v="114934.96361730949"/>
    <n v="2163"/>
    <n v="2739.7999999999997"/>
    <n v="0"/>
    <n v="3448.0489085192844"/>
    <n v="708.24890851928467"/>
    <n v="288.40000000000003"/>
    <n v="59.881083387506322"/>
    <n v="4555"/>
    <n v="2298.6992723461899"/>
    <n v="0"/>
    <n v="0"/>
    <n v="0"/>
    <n v="0"/>
    <n v="2256"/>
    <n v="0"/>
    <n v="2256"/>
    <s v="Release"/>
  </r>
  <r>
    <n v="79695.792820073533"/>
    <n v="0"/>
    <n v="79695.792820073533"/>
    <x v="639"/>
    <x v="630"/>
    <n v="0"/>
    <s v="MPG"/>
    <s v="Direct"/>
    <n v="1053"/>
    <x v="18"/>
    <s v="Old"/>
    <d v="2025-10-18T00:00:00"/>
    <n v="1007.1500000000001"/>
    <n v="45583.503201467101"/>
    <n v="755.36250000000007"/>
    <n v="956.79250000000002"/>
    <n v="1055.38016959385"/>
    <n v="1367.505096044013"/>
    <n v="410.71259604401303"/>
    <n v="100.71500000000002"/>
    <n v="1618.1993321613711"/>
    <n v="1049"/>
    <n v="1049"/>
    <n v="0"/>
    <n v="0"/>
    <n v="0"/>
    <n v="0"/>
    <n v="0"/>
    <n v="0"/>
    <n v="0"/>
    <s v="Release"/>
  </r>
  <r>
    <n v="0"/>
    <n v="0"/>
    <n v="0"/>
    <x v="640"/>
    <x v="631"/>
    <n v="0"/>
    <s v="vlc"/>
    <s v="Indirect"/>
    <n v="1008"/>
    <x v="1"/>
    <s v="Old"/>
    <d v="2021-03-02T00:00:00"/>
    <n v="4875.2000000000007"/>
    <n v="181168.862233224"/>
    <n v="3656.4000000000005"/>
    <n v="4631.4400000000005"/>
    <n v="0"/>
    <n v="5435.0658669967197"/>
    <n v="803.6258669967192"/>
    <n v="487.5200000000001"/>
    <n v="338.99656597428287"/>
    <n v="7461"/>
    <n v="0"/>
    <n v="0"/>
    <n v="0"/>
    <n v="0"/>
    <n v="0"/>
    <n v="7461"/>
    <n v="0"/>
    <n v="7461"/>
    <s v="Release"/>
  </r>
  <r>
    <n v="0"/>
    <n v="0"/>
    <n v="0"/>
    <x v="641"/>
    <x v="632"/>
    <n v="0"/>
    <s v="vlc"/>
    <s v="Indirect"/>
    <n v="1053"/>
    <x v="18"/>
    <s v="Old"/>
    <d v="2025-11-04T00:00:00"/>
    <n v="135.44999999999999"/>
    <n v="5310.99"/>
    <n v="101.58749999999999"/>
    <n v="128.67749999999998"/>
    <n v="0"/>
    <n v="159.32969999999997"/>
    <n v="30.652199999999993"/>
    <n v="13.545"/>
    <n v="216.71973488372095"/>
    <n v="0"/>
    <n v="0"/>
    <n v="0"/>
    <n v="0"/>
    <n v="0"/>
    <n v="0"/>
    <n v="0"/>
    <n v="0"/>
    <n v="0"/>
    <s v="Release"/>
  </r>
  <r>
    <n v="103753.4976"/>
    <n v="0"/>
    <n v="103753.4976"/>
    <x v="642"/>
    <x v="633"/>
    <n v="0"/>
    <s v="vlc"/>
    <s v="Indirect"/>
    <n v="1056"/>
    <x v="8"/>
    <s v="Old"/>
    <d v="2025-11-05T00:00:00"/>
    <n v="2910.2999999999997"/>
    <n v="102828.25716781302"/>
    <n v="2182.7249999999999"/>
    <n v="2764.7849999999994"/>
    <n v="0"/>
    <n v="3084.8477150343906"/>
    <n v="320.0627150343912"/>
    <n v="291.02999999999997"/>
    <n v="299.20642440622436"/>
    <n v="4357"/>
    <n v="2056.5651433562603"/>
    <n v="0"/>
    <n v="0"/>
    <n v="0"/>
    <n v="0"/>
    <n v="2300"/>
    <n v="2300"/>
    <n v="0"/>
    <s v="Yes"/>
  </r>
  <r>
    <n v="88634"/>
    <n v="6400"/>
    <n v="95034"/>
    <x v="643"/>
    <x v="634"/>
    <n v="0"/>
    <s v="MPG"/>
    <s v="Direct"/>
    <n v="1058"/>
    <x v="2"/>
    <s v="Old"/>
    <d v="2025-11-01T00:00:00"/>
    <n v="1183.1000000000001"/>
    <n v="43212.916434547995"/>
    <n v="887.32500000000005"/>
    <n v="1123.9450000000002"/>
    <n v="630.40879018060002"/>
    <n v="1296.3874930364398"/>
    <n v="172.4424930364396"/>
    <n v="118.31000000000002"/>
    <n v="1183.4407161466715"/>
    <n v="1340"/>
    <n v="1340"/>
    <n v="0"/>
    <n v="0"/>
    <n v="0"/>
    <n v="0"/>
    <n v="0"/>
    <n v="0"/>
    <n v="0"/>
    <s v="Release"/>
  </r>
  <r>
    <n v="0"/>
    <n v="0"/>
    <n v="0"/>
    <x v="644"/>
    <x v="635"/>
    <n v="0"/>
    <s v="MPG"/>
    <s v="Direct"/>
    <n v="1002"/>
    <x v="3"/>
    <s v="Old"/>
    <d v="2021-03-22T00:00:00"/>
    <n v="1871.6000000000001"/>
    <n v="67619.080201050005"/>
    <n v="1403.7"/>
    <n v="1778.02"/>
    <n v="210.41906400000002"/>
    <n v="2028.5724060315001"/>
    <n v="250.55240603150014"/>
    <n v="187.16000000000003"/>
    <n v="670.58369679828013"/>
    <n v="2534"/>
    <n v="0"/>
    <n v="0"/>
    <n v="0"/>
    <n v="0"/>
    <n v="0"/>
    <n v="2534"/>
    <n v="0"/>
    <n v="2534"/>
    <s v="Release"/>
  </r>
  <r>
    <n v="75159.173815561444"/>
    <n v="0"/>
    <n v="75159.173815561444"/>
    <x v="645"/>
    <x v="636"/>
    <n v="0"/>
    <s v="MPG"/>
    <s v="Direct"/>
    <n v="1056"/>
    <x v="8"/>
    <s v="Old"/>
    <d v="2025-11-13T00:00:00"/>
    <n v="3997.0000000000005"/>
    <n v="153924.46773100749"/>
    <n v="2997.7500000000005"/>
    <n v="3797.15"/>
    <n v="0"/>
    <n v="4617.7340319302248"/>
    <n v="820.58403193022468"/>
    <n v="399.70000000000005"/>
    <n v="0"/>
    <n v="6395"/>
    <n v="3078.4893546201497"/>
    <n v="0"/>
    <n v="0"/>
    <n v="0"/>
    <n v="0"/>
    <n v="3317"/>
    <n v="0"/>
    <n v="3317"/>
    <s v="Release"/>
  </r>
  <r>
    <n v="0"/>
    <n v="0"/>
    <n v="0"/>
    <x v="646"/>
    <x v="637"/>
    <n v="0"/>
    <s v="MPG"/>
    <s v="Indirect"/>
    <n v="1056"/>
    <x v="8"/>
    <s v="Old"/>
    <d v="2025-11-12T00:00:00"/>
    <n v="7591.18"/>
    <n v="273005.50286353973"/>
    <n v="5693.3850000000002"/>
    <n v="7211.6210000000001"/>
    <n v="0"/>
    <n v="8190.165085906192"/>
    <n v="978.54408590619187"/>
    <n v="759.11800000000005"/>
    <n v="0"/>
    <n v="12146"/>
    <n v="0"/>
    <n v="0"/>
    <n v="0"/>
    <n v="0"/>
    <n v="0"/>
    <n v="12146"/>
    <n v="0"/>
    <n v="12146"/>
    <s v="Release"/>
  </r>
  <r>
    <n v="59061.962974483999"/>
    <n v="6400"/>
    <n v="65461.962974483999"/>
    <x v="647"/>
    <x v="638"/>
    <n v="0"/>
    <s v="MPG"/>
    <s v="Direct"/>
    <n v="1057"/>
    <x v="19"/>
    <s v="Old"/>
    <d v="2025-11-09T00:00:00"/>
    <n v="1457.4"/>
    <n v="57311.871404467602"/>
    <n v="1093.0500000000002"/>
    <n v="1384.53"/>
    <n v="1069.1031003516"/>
    <n v="1719.356142134028"/>
    <n v="334.82614213402803"/>
    <n v="145.74"/>
    <n v="1055.5352368528893"/>
    <n v="2345"/>
    <n v="1861"/>
    <n v="0"/>
    <n v="0"/>
    <n v="0"/>
    <n v="0"/>
    <n v="484"/>
    <n v="0"/>
    <n v="484"/>
    <s v="Release"/>
  </r>
  <r>
    <n v="76432.647076568595"/>
    <n v="4683"/>
    <n v="81115.647076568595"/>
    <x v="648"/>
    <x v="639"/>
    <n v="0"/>
    <s v="MPG"/>
    <s v="Direct"/>
    <n v="1057"/>
    <x v="19"/>
    <s v="Old"/>
    <d v="2025-11-09T00:00:00"/>
    <n v="2820.3"/>
    <n v="119134.2212404304"/>
    <n v="2115.2250000000004"/>
    <n v="2679.2849999999999"/>
    <n v="493.54109832095003"/>
    <n v="3574.0266372129117"/>
    <n v="894.74163721291188"/>
    <n v="282.03000000000003"/>
    <n v="52.201859421706558"/>
    <n v="4954"/>
    <n v="2382.6844248086081"/>
    <n v="0"/>
    <n v="0"/>
    <n v="0"/>
    <n v="0"/>
    <n v="2571"/>
    <n v="2571"/>
    <n v="0"/>
    <s v="Yes"/>
  </r>
  <r>
    <n v="77020.161626845482"/>
    <n v="6400"/>
    <n v="83420.161626845482"/>
    <x v="649"/>
    <x v="640"/>
    <n v="0"/>
    <s v="MPG"/>
    <s v="Direct"/>
    <n v="1057"/>
    <x v="19"/>
    <s v="Old"/>
    <d v="2025-11-09T00:00:00"/>
    <n v="3189.3"/>
    <n v="136190.69502993609"/>
    <n v="2391.9750000000004"/>
    <n v="3029.835"/>
    <n v="0"/>
    <n v="4085.7208508980825"/>
    <n v="1055.8858508980825"/>
    <n v="318.93000000000006"/>
    <n v="0"/>
    <n v="5103"/>
    <n v="2723.8139005987218"/>
    <n v="0"/>
    <n v="0"/>
    <n v="0"/>
    <n v="0"/>
    <n v="2379"/>
    <n v="2379"/>
    <n v="0"/>
    <s v="Yes"/>
  </r>
  <r>
    <n v="77127.6054"/>
    <n v="4305.6054000000004"/>
    <n v="81433.210800000001"/>
    <x v="650"/>
    <x v="641"/>
    <n v="0"/>
    <s v="MPG"/>
    <s v="Direct"/>
    <n v="1057"/>
    <x v="19"/>
    <s v="Old"/>
    <d v="2025-11-09T00:00:00"/>
    <n v="2730.2"/>
    <n v="96010.478268520004"/>
    <n v="2047.6499999999999"/>
    <n v="2593.6899999999996"/>
    <n v="254.04749313300005"/>
    <n v="2880.3143480556"/>
    <n v="286.62434805560042"/>
    <n v="273.02"/>
    <n v="58.610549560332856"/>
    <n v="4564"/>
    <n v="1920.2095653704"/>
    <n v="0"/>
    <n v="0"/>
    <n v="0"/>
    <n v="0"/>
    <n v="2644"/>
    <n v="2644"/>
    <n v="0"/>
    <s v="Yes"/>
  </r>
  <r>
    <n v="0"/>
    <n v="0"/>
    <n v="0"/>
    <x v="651"/>
    <x v="642"/>
    <n v="0"/>
    <s v="vlc"/>
    <s v="Indirect"/>
    <n v="1057"/>
    <x v="19"/>
    <s v="Old"/>
    <d v="2025-11-09T00:00:00"/>
    <n v="1738.8999999999999"/>
    <n v="79520.734019073207"/>
    <n v="1304.175"/>
    <n v="1651.9549999999997"/>
    <n v="0"/>
    <n v="2385.6220205721961"/>
    <n v="733.66702057219641"/>
    <n v="173.89"/>
    <n v="999.06689342956497"/>
    <n v="1783"/>
    <n v="0"/>
    <n v="0"/>
    <n v="0"/>
    <n v="0"/>
    <n v="0"/>
    <n v="1783"/>
    <n v="0"/>
    <n v="1783"/>
    <s v="Release"/>
  </r>
  <r>
    <n v="0"/>
    <n v="0"/>
    <n v="0"/>
    <x v="652"/>
    <x v="643"/>
    <n v="0"/>
    <s v="vlc"/>
    <s v="Indirect"/>
    <n v="1057"/>
    <x v="19"/>
    <s v="Old"/>
    <d v="2025-11-09T00:00:00"/>
    <n v="3321.9"/>
    <n v="122357.89816005999"/>
    <n v="2491.4250000000002"/>
    <n v="3155.8049999999998"/>
    <n v="0"/>
    <n v="3670.7369448017998"/>
    <n v="514.9319448018"/>
    <n v="332.19000000000005"/>
    <n v="0"/>
    <n v="5315"/>
    <n v="0"/>
    <n v="0"/>
    <n v="0"/>
    <n v="0"/>
    <n v="0"/>
    <n v="5315"/>
    <n v="0"/>
    <n v="5315"/>
    <s v="Release"/>
  </r>
  <r>
    <n v="85437"/>
    <n v="6400"/>
    <n v="91837"/>
    <x v="653"/>
    <x v="644"/>
    <n v="0"/>
    <s v="MPG"/>
    <s v="Direct"/>
    <n v="1058"/>
    <x v="2"/>
    <s v="Old"/>
    <d v="2025-11-07T00:00:00"/>
    <n v="1498.5999999999997"/>
    <n v="59978.407660753008"/>
    <n v="1123.9499999999998"/>
    <n v="1423.6699999999996"/>
    <n v="879.27962012700016"/>
    <n v="1799.3522298225901"/>
    <n v="375.68222982259044"/>
    <n v="149.85999999999999"/>
    <n v="1043.8829641696257"/>
    <n v="2233"/>
    <n v="1861"/>
    <n v="0"/>
    <n v="0"/>
    <n v="0"/>
    <n v="0"/>
    <n v="372"/>
    <n v="0"/>
    <n v="372"/>
    <s v="Release"/>
  </r>
  <r>
    <n v="0"/>
    <n v="0"/>
    <n v="0"/>
    <x v="654"/>
    <x v="578"/>
    <n v="0"/>
    <s v="vlc"/>
    <s v="Indirect"/>
    <n v="1002"/>
    <x v="3"/>
    <s v="Old"/>
    <d v="2021-09-18T00:00:00"/>
    <n v="2023.3000000000002"/>
    <n v="79953.242265757202"/>
    <n v="1517.4750000000001"/>
    <n v="1922.135"/>
    <n v="0"/>
    <n v="2398.5972679727161"/>
    <n v="476.46226797271606"/>
    <n v="202.33000000000004"/>
    <n v="459.13682575272378"/>
    <n v="2778"/>
    <n v="0"/>
    <n v="0"/>
    <n v="0"/>
    <n v="0"/>
    <n v="0"/>
    <n v="2778"/>
    <n v="0"/>
    <n v="2778"/>
    <s v="Release"/>
  </r>
  <r>
    <n v="83226.514972060002"/>
    <n v="0"/>
    <n v="83226.514972060002"/>
    <x v="655"/>
    <x v="645"/>
    <n v="0"/>
    <s v="MPG"/>
    <s v="Direct"/>
    <n v="1002"/>
    <x v="3"/>
    <s v="Old"/>
    <d v="2025-11-19T00:00:00"/>
    <n v="3901.4"/>
    <n v="148903.84672641003"/>
    <n v="2926.05"/>
    <n v="3706.33"/>
    <n v="0"/>
    <n v="4467.1154017923009"/>
    <n v="760.78540179230095"/>
    <n v="390.14000000000004"/>
    <n v="0"/>
    <n v="6242"/>
    <n v="2978.0769345282006"/>
    <n v="0"/>
    <n v="0"/>
    <n v="0"/>
    <n v="0"/>
    <n v="3264"/>
    <n v="0"/>
    <n v="3264"/>
    <s v="Release"/>
  </r>
  <r>
    <n v="86100"/>
    <n v="0"/>
    <n v="86100"/>
    <x v="656"/>
    <x v="646"/>
    <n v="0"/>
    <s v="MPG"/>
    <s v="Direct"/>
    <n v="1003"/>
    <x v="4"/>
    <s v="Old"/>
    <d v="2025-11-18T00:00:00"/>
    <n v="2028.85"/>
    <n v="73976.199233719992"/>
    <n v="1521.6374999999998"/>
    <n v="1927.4074999999998"/>
    <n v="0"/>
    <n v="2219.2859770115997"/>
    <n v="291.8784770115999"/>
    <n v="202.88499999999999"/>
    <n v="559.44172366999828"/>
    <n v="2687"/>
    <n v="1861"/>
    <n v="0"/>
    <n v="0"/>
    <n v="0"/>
    <n v="0"/>
    <n v="826"/>
    <n v="0"/>
    <n v="826"/>
    <s v="Release"/>
  </r>
  <r>
    <n v="92116.728000000003"/>
    <n v="0"/>
    <n v="92116.728000000003"/>
    <x v="657"/>
    <x v="647"/>
    <n v="0"/>
    <s v="MPG"/>
    <s v="Direct"/>
    <n v="1006"/>
    <x v="5"/>
    <s v="Old"/>
    <d v="2025-11-17T00:00:00"/>
    <n v="2569.8999999999996"/>
    <n v="123410.32746238899"/>
    <n v="1927.4249999999997"/>
    <n v="2441.4049999999997"/>
    <n v="1296.26148679432"/>
    <n v="3702.3098238716693"/>
    <n v="1260.9048238716696"/>
    <n v="256.98999999999995"/>
    <n v="277.99521969642041"/>
    <n v="5130"/>
    <n v="2468.20654924778"/>
    <n v="0"/>
    <n v="0"/>
    <n v="0"/>
    <n v="0"/>
    <n v="2662"/>
    <n v="0"/>
    <n v="2662"/>
    <s v="Release"/>
  </r>
  <r>
    <n v="81437"/>
    <n v="0"/>
    <n v="81437"/>
    <x v="658"/>
    <x v="648"/>
    <n v="0"/>
    <s v="MPG"/>
    <s v="Direct"/>
    <n v="1011"/>
    <x v="12"/>
    <s v="Old"/>
    <d v="2025-07-31T00:00:00"/>
    <n v="1170.0999999999999"/>
    <n v="48318.673997140002"/>
    <n v="877.57499999999993"/>
    <n v="1111.5949999999998"/>
    <n v="0"/>
    <n v="1449.5602199141999"/>
    <n v="337.96521991420013"/>
    <n v="117.00999999999999"/>
    <n v="1350.4762315546823"/>
    <n v="522"/>
    <n v="522"/>
    <n v="0"/>
    <n v="0"/>
    <n v="0"/>
    <n v="0"/>
    <n v="0"/>
    <n v="0"/>
    <n v="0"/>
    <s v="Release"/>
  </r>
  <r>
    <n v="71068.446043661592"/>
    <n v="6400"/>
    <n v="77468.446043661592"/>
    <x v="659"/>
    <x v="649"/>
    <n v="0"/>
    <s v="MPG"/>
    <s v="Direct"/>
    <n v="1011"/>
    <x v="12"/>
    <s v="Old"/>
    <d v="2025-11-14T00:00:00"/>
    <n v="5631.7000000000007"/>
    <n v="205251.88894704802"/>
    <n v="4223.7750000000005"/>
    <n v="5350.1150000000007"/>
    <n v="643.40013732000011"/>
    <n v="6157.5566684114401"/>
    <n v="807.44166841143942"/>
    <n v="563.17000000000007"/>
    <n v="0"/>
    <n v="9654"/>
    <n v="4105.0377789409604"/>
    <n v="0"/>
    <n v="0"/>
    <n v="0"/>
    <n v="0"/>
    <n v="5549"/>
    <n v="0"/>
    <n v="5549"/>
    <s v="Release"/>
  </r>
  <r>
    <n v="0"/>
    <n v="0"/>
    <n v="0"/>
    <x v="660"/>
    <x v="650"/>
    <n v="0"/>
    <s v="vlc"/>
    <s v="Indirect"/>
    <n v="1011"/>
    <x v="12"/>
    <s v="Old"/>
    <d v="2025-11-19T00:00:00"/>
    <n v="2311.1999999999998"/>
    <n v="94620.596150419995"/>
    <n v="1733.3999999999999"/>
    <n v="2195.64"/>
    <n v="0"/>
    <n v="2838.6178845125996"/>
    <n v="642.97788451259976"/>
    <n v="231.12"/>
    <n v="780.88890713766068"/>
    <n v="2917"/>
    <n v="0"/>
    <n v="0"/>
    <n v="0"/>
    <n v="0"/>
    <n v="0"/>
    <n v="2917"/>
    <n v="0"/>
    <n v="2917"/>
    <s v="Release"/>
  </r>
  <r>
    <n v="0"/>
    <n v="0"/>
    <n v="0"/>
    <x v="661"/>
    <x v="651"/>
    <n v="0"/>
    <s v="vlc"/>
    <s v="Indirect"/>
    <n v="1036"/>
    <x v="17"/>
    <s v="Old"/>
    <d v="2025-03-26T00:00:00"/>
    <n v="1172.3999999999999"/>
    <n v="40333.759776975508"/>
    <n v="879.3"/>
    <n v="1113.7799999999997"/>
    <n v="0"/>
    <n v="1210.0127933092651"/>
    <n v="96.232793309265389"/>
    <n v="117.24"/>
    <n v="1121.2628369138206"/>
    <n v="755"/>
    <n v="0"/>
    <n v="0"/>
    <n v="0"/>
    <n v="0"/>
    <n v="0"/>
    <n v="755"/>
    <n v="0"/>
    <n v="755"/>
    <s v="Release"/>
  </r>
  <r>
    <n v="0"/>
    <n v="0"/>
    <n v="0"/>
    <x v="662"/>
    <x v="652"/>
    <n v="0"/>
    <s v="vlc"/>
    <s v="Indirect"/>
    <n v="1057"/>
    <x v="19"/>
    <s v="Old"/>
    <d v="2025-11-20T00:00:00"/>
    <n v="3603.7"/>
    <n v="136185.58187641"/>
    <n v="2702.7749999999996"/>
    <n v="3423.5149999999999"/>
    <n v="0"/>
    <n v="4085.5674562922995"/>
    <n v="662.05245629229967"/>
    <n v="360.37"/>
    <n v="171.34865986696241"/>
    <n v="5595"/>
    <n v="0"/>
    <n v="0"/>
    <n v="0"/>
    <n v="0"/>
    <n v="0"/>
    <n v="5595"/>
    <n v="0"/>
    <n v="5595"/>
    <s v="Release"/>
  </r>
  <r>
    <n v="0"/>
    <n v="0"/>
    <n v="0"/>
    <x v="663"/>
    <x v="653"/>
    <n v="0"/>
    <s v="vlc"/>
    <s v="Indirect"/>
    <n v="1057"/>
    <x v="19"/>
    <s v="Old"/>
    <d v="2025-11-20T00:00:00"/>
    <n v="1343.3000000000002"/>
    <n v="47757.625738410003"/>
    <n v="1007.4750000000001"/>
    <n v="1276.1350000000002"/>
    <n v="0"/>
    <n v="1432.7287721523001"/>
    <n v="156.59377215229983"/>
    <n v="134.33000000000001"/>
    <n v="1034.5654899730225"/>
    <n v="1115"/>
    <n v="0"/>
    <n v="0"/>
    <n v="0"/>
    <n v="0"/>
    <n v="0"/>
    <n v="1115"/>
    <n v="0"/>
    <n v="1115"/>
    <s v="Release"/>
  </r>
  <r>
    <n v="108195"/>
    <n v="0"/>
    <n v="108195"/>
    <x v="664"/>
    <x v="654"/>
    <n v="0"/>
    <s v="MPG"/>
    <s v="Direct"/>
    <n v="1002"/>
    <x v="3"/>
    <s v="Old"/>
    <d v="2025-11-27T00:00:00"/>
    <n v="1793.2000000000003"/>
    <n v="68067.550897520006"/>
    <n v="1344.9"/>
    <n v="1703.5400000000002"/>
    <n v="0"/>
    <n v="2042.0265269256001"/>
    <n v="338.48652692559995"/>
    <n v="179.32000000000005"/>
    <n v="765.96777944818382"/>
    <n v="2103"/>
    <n v="1861"/>
    <n v="0"/>
    <n v="0"/>
    <n v="0"/>
    <n v="0"/>
    <n v="242"/>
    <n v="242"/>
    <n v="0"/>
    <s v="Yes"/>
  </r>
  <r>
    <n v="0"/>
    <n v="0"/>
    <n v="0"/>
    <x v="665"/>
    <x v="655"/>
    <n v="0"/>
    <s v="vlc"/>
    <s v="Indirect"/>
    <n v="1003"/>
    <x v="4"/>
    <s v="Old"/>
    <d v="2025-11-21T00:00:00"/>
    <n v="2046.8999999999999"/>
    <n v="73467.871555765014"/>
    <n v="1535.175"/>
    <n v="1944.5549999999998"/>
    <n v="0"/>
    <n v="2204.0361466729505"/>
    <n v="259.48114667295067"/>
    <n v="204.69"/>
    <n v="541.49854968604268"/>
    <n v="2734"/>
    <n v="0"/>
    <n v="0"/>
    <n v="0"/>
    <n v="0"/>
    <n v="0"/>
    <n v="2734"/>
    <n v="0"/>
    <n v="2734"/>
    <s v="Release"/>
  </r>
  <r>
    <n v="57283.8642297392"/>
    <n v="0"/>
    <n v="57283.8642297392"/>
    <x v="666"/>
    <x v="656"/>
    <n v="0"/>
    <s v="MPG"/>
    <s v="Direct"/>
    <n v="1003"/>
    <x v="4"/>
    <s v="Old"/>
    <d v="2025-11-26T00:00:00"/>
    <n v="3440.35"/>
    <n v="134010.65137312998"/>
    <n v="2580.2624999999998"/>
    <n v="3268.3325"/>
    <n v="0"/>
    <n v="4020.3195411938991"/>
    <n v="751.98704119389913"/>
    <n v="344.03500000000003"/>
    <n v="0"/>
    <n v="5505"/>
    <n v="2680.2130274625997"/>
    <n v="0"/>
    <n v="0"/>
    <n v="0"/>
    <n v="0"/>
    <n v="2825"/>
    <n v="2825"/>
    <n v="0"/>
    <s v="Yes"/>
  </r>
  <r>
    <n v="0"/>
    <n v="0"/>
    <n v="0"/>
    <x v="667"/>
    <x v="657"/>
    <n v="0"/>
    <s v="vlc"/>
    <s v="Indirect"/>
    <n v="1003"/>
    <x v="4"/>
    <s v="Old"/>
    <d v="2025-11-21T00:00:00"/>
    <n v="837.40000000000009"/>
    <n v="28743.841118413999"/>
    <n v="628.05000000000007"/>
    <n v="795.53000000000009"/>
    <n v="0"/>
    <n v="862.31523355241995"/>
    <n v="66.785233552419868"/>
    <n v="83.740000000000009"/>
    <n v="1339.8739059707016"/>
    <n v="0"/>
    <n v="0"/>
    <n v="0"/>
    <n v="0"/>
    <n v="0"/>
    <n v="0"/>
    <n v="0"/>
    <n v="0"/>
    <n v="0"/>
    <s v="Release"/>
  </r>
  <r>
    <n v="96922"/>
    <n v="0"/>
    <n v="96922"/>
    <x v="668"/>
    <x v="658"/>
    <n v="0"/>
    <s v="MPG"/>
    <s v="Direct"/>
    <n v="1012"/>
    <x v="14"/>
    <s v="Old"/>
    <d v="2025-11-25T00:00:00"/>
    <n v="215.67"/>
    <n v="8431.3120343539995"/>
    <n v="161.7525"/>
    <n v="204.88649999999998"/>
    <n v="6.7770707400000019"/>
    <n v="252.93936103061998"/>
    <n v="48.052861030619994"/>
    <n v="21.567"/>
    <n v="352.22752358772095"/>
    <n v="0"/>
    <n v="0"/>
    <n v="0"/>
    <n v="0"/>
    <n v="0"/>
    <n v="0"/>
    <n v="0"/>
    <n v="0"/>
    <n v="0"/>
    <s v="Release"/>
  </r>
  <r>
    <n v="70645.244744661963"/>
    <n v="0"/>
    <n v="70645.244744661963"/>
    <x v="669"/>
    <x v="659"/>
    <n v="0"/>
    <s v="MPG"/>
    <s v="Direct"/>
    <n v="1053"/>
    <x v="18"/>
    <s v="Old"/>
    <d v="2025-11-21T00:00:00"/>
    <n v="7914.25"/>
    <n v="323099.04141711444"/>
    <n v="5935.6875"/>
    <n v="7518.5374999999995"/>
    <n v="3589.9300563231009"/>
    <n v="9692.971242513433"/>
    <n v="2174.4337425134336"/>
    <n v="791.42500000000007"/>
    <n v="0"/>
    <n v="16253"/>
    <n v="6461.980828342289"/>
    <n v="0"/>
    <n v="0"/>
    <n v="0"/>
    <n v="0"/>
    <n v="9791"/>
    <n v="0"/>
    <n v="9791"/>
    <s v="Release"/>
  </r>
  <r>
    <n v="65240.812780763088"/>
    <n v="0"/>
    <n v="65240.812780763088"/>
    <x v="670"/>
    <x v="660"/>
    <n v="0"/>
    <s v="MPG"/>
    <s v="Direct"/>
    <n v="1003"/>
    <x v="4"/>
    <s v="Old"/>
    <d v="2024-12-28T00:00:00"/>
    <n v="4439.95"/>
    <n v="163673.85630739998"/>
    <n v="3329.9624999999996"/>
    <n v="4217.9524999999994"/>
    <n v="6145.3778785841932"/>
    <n v="4910.2156892219991"/>
    <n v="692.26318922199971"/>
    <n v="443.995"/>
    <n v="0"/>
    <n v="13249"/>
    <n v="3273.4771261479996"/>
    <n v="0"/>
    <n v="0"/>
    <n v="0"/>
    <n v="0"/>
    <n v="9976"/>
    <n v="0"/>
    <n v="9976"/>
    <s v="Release"/>
  </r>
  <r>
    <n v="69173"/>
    <n v="0"/>
    <n v="69173"/>
    <x v="671"/>
    <x v="661"/>
    <n v="0"/>
    <s v="MPG"/>
    <s v="Direct"/>
    <n v="1059"/>
    <x v="6"/>
    <s v="Old"/>
    <d v="2025-12-01T00:00:00"/>
    <n v="60.7"/>
    <n v="2509.9100000000003"/>
    <n v="45.525000000000006"/>
    <n v="57.664999999999999"/>
    <n v="0"/>
    <n v="75.297300000000007"/>
    <n v="17.632300000000008"/>
    <n v="6.07"/>
    <n v="97.533055435746974"/>
    <n v="0"/>
    <n v="0"/>
    <n v="0"/>
    <n v="0"/>
    <n v="0"/>
    <n v="0"/>
    <n v="0"/>
    <n v="0"/>
    <n v="0"/>
    <s v="Release"/>
  </r>
  <r>
    <n v="59788.036"/>
    <n v="0"/>
    <n v="59788.036"/>
    <x v="672"/>
    <x v="662"/>
    <n v="0"/>
    <s v="MPG"/>
    <s v="Direct"/>
    <n v="1008"/>
    <x v="1"/>
    <s v="Old"/>
    <d v="2025-12-01T00:00:00"/>
    <n v="1658.6"/>
    <n v="62388.923123075008"/>
    <n v="1243.9499999999998"/>
    <n v="1575.6699999999998"/>
    <n v="0"/>
    <n v="1871.6676936922502"/>
    <n v="295.99769369225032"/>
    <n v="165.86"/>
    <n v="862.90290500077845"/>
    <n v="1791"/>
    <n v="1791"/>
    <n v="0"/>
    <n v="0"/>
    <n v="0"/>
    <n v="0"/>
    <n v="0"/>
    <n v="0"/>
    <n v="0"/>
    <s v="Release"/>
  </r>
  <r>
    <n v="19909.754973523493"/>
    <n v="6400"/>
    <n v="26309.754973523493"/>
    <x v="673"/>
    <x v="663"/>
    <n v="0"/>
    <s v="MPG"/>
    <s v="Direct"/>
    <n v="1011"/>
    <x v="12"/>
    <s v="Old"/>
    <d v="2023-03-27T00:00:00"/>
    <n v="1023.3000000000001"/>
    <n v="35429.103393820005"/>
    <n v="767.47500000000002"/>
    <n v="972.13499999999999"/>
    <n v="135.32024808"/>
    <n v="1062.8731018146002"/>
    <n v="90.738101814600213"/>
    <n v="102.33000000000001"/>
    <n v="1228.7545093945841"/>
    <n v="544"/>
    <n v="544"/>
    <n v="0"/>
    <n v="0"/>
    <n v="0"/>
    <n v="0"/>
    <n v="0"/>
    <n v="0"/>
    <n v="0"/>
    <s v="Release"/>
  </r>
  <r>
    <n v="20588.989894811049"/>
    <n v="4822.3534"/>
    <n v="25411.343294811049"/>
    <x v="674"/>
    <x v="664"/>
    <n v="0"/>
    <s v="MPG"/>
    <s v="Direct"/>
    <n v="1011"/>
    <x v="12"/>
    <s v="Old"/>
    <d v="2023-10-13T00:00:00"/>
    <n v="2732.2"/>
    <n v="104273.08529630001"/>
    <n v="2049.1499999999996"/>
    <n v="2595.5899999999997"/>
    <n v="1233.79878906"/>
    <n v="3128.1925588889999"/>
    <n v="532.60255888900019"/>
    <n v="273.21999999999997"/>
    <n v="151.15469684040545"/>
    <n v="5454"/>
    <n v="2085.4617059260004"/>
    <n v="0"/>
    <n v="0"/>
    <n v="0"/>
    <n v="0"/>
    <n v="3369"/>
    <n v="0"/>
    <n v="3369"/>
    <s v="Release"/>
  </r>
  <r>
    <n v="60492"/>
    <n v="0"/>
    <n v="60492"/>
    <x v="675"/>
    <x v="665"/>
    <n v="0"/>
    <s v="MPG"/>
    <s v="Direct"/>
    <n v="1011"/>
    <x v="12"/>
    <s v="Old"/>
    <d v="2025-11-30T00:00:00"/>
    <n v="1245.4000000000001"/>
    <n v="44396.571157897"/>
    <n v="934.05000000000007"/>
    <n v="1183.1300000000001"/>
    <n v="0"/>
    <n v="1331.8971347369099"/>
    <n v="148.76713473690984"/>
    <n v="124.54000000000002"/>
    <n v="1107.7106163694395"/>
    <n v="885"/>
    <n v="885"/>
    <n v="0"/>
    <n v="0"/>
    <n v="0"/>
    <n v="0"/>
    <n v="0"/>
    <n v="0"/>
    <n v="0"/>
    <s v="Release"/>
  </r>
  <r>
    <n v="0"/>
    <n v="0"/>
    <n v="0"/>
    <x v="676"/>
    <x v="666"/>
    <n v="0"/>
    <s v="vlc"/>
    <s v="Indirect"/>
    <n v="1012"/>
    <x v="14"/>
    <s v="Old"/>
    <d v="2025-07-11T00:00:00"/>
    <n v="2406.04"/>
    <n v="97077.157932044007"/>
    <n v="1804.53"/>
    <n v="2285.7379999999998"/>
    <n v="0"/>
    <n v="2912.3147379613201"/>
    <n v="626.5767379613203"/>
    <n v="240.60400000000001"/>
    <n v="591.50274573408376"/>
    <n v="3258"/>
    <n v="0"/>
    <n v="0"/>
    <n v="0"/>
    <n v="0"/>
    <n v="0"/>
    <n v="3258"/>
    <n v="0"/>
    <n v="3258"/>
    <s v="Release"/>
  </r>
  <r>
    <n v="50828.164799999999"/>
    <n v="0"/>
    <n v="50828.164799999999"/>
    <x v="677"/>
    <x v="667"/>
    <n v="0"/>
    <s v="MPG"/>
    <s v="Direct"/>
    <n v="1012"/>
    <x v="14"/>
    <s v="Old"/>
    <d v="2025-12-01T00:00:00"/>
    <n v="6626.9400000000005"/>
    <n v="271187.30984386295"/>
    <n v="4970.2049999999999"/>
    <n v="6295.5929999999998"/>
    <n v="7819.1727059677987"/>
    <n v="8135.6192953158879"/>
    <n v="1840.0262953158881"/>
    <n v="662.69400000000007"/>
    <n v="0"/>
    <n v="18422"/>
    <n v="5423.7461968772595"/>
    <n v="0"/>
    <n v="0"/>
    <n v="0"/>
    <n v="0"/>
    <n v="12998"/>
    <n v="0"/>
    <n v="12998"/>
    <s v="Release"/>
  </r>
  <r>
    <n v="0"/>
    <n v="0"/>
    <n v="0"/>
    <x v="678"/>
    <x v="668"/>
    <n v="0"/>
    <s v="vlc"/>
    <s v="Indirect"/>
    <n v="1013"/>
    <x v="15"/>
    <s v="Old"/>
    <d v="2024-12-04T00:00:00"/>
    <n v="390.20000000000005"/>
    <n v="14215.011293612502"/>
    <n v="292.65000000000003"/>
    <n v="370.69"/>
    <n v="0"/>
    <n v="426.45033880837508"/>
    <n v="55.760338808375081"/>
    <n v="39.02000000000001"/>
    <n v="623.98506998477433"/>
    <n v="0"/>
    <n v="0"/>
    <n v="0"/>
    <n v="0"/>
    <n v="0"/>
    <n v="0"/>
    <n v="0"/>
    <n v="0"/>
    <n v="0"/>
    <s v="Release"/>
  </r>
  <r>
    <n v="0"/>
    <n v="0"/>
    <n v="0"/>
    <x v="679"/>
    <x v="669"/>
    <n v="0"/>
    <s v="vlc"/>
    <s v="Indirect"/>
    <n v="1013"/>
    <x v="15"/>
    <s v="Old"/>
    <d v="2025-10-12T00:00:00"/>
    <n v="4644.8999999999996"/>
    <n v="138460.10778947198"/>
    <n v="3483.6749999999997"/>
    <n v="4412.6549999999997"/>
    <n v="0"/>
    <n v="4153.8032336841588"/>
    <n v="-258.85176631584091"/>
    <n v="464.49"/>
    <n v="0"/>
    <n v="7432"/>
    <n v="0"/>
    <n v="0"/>
    <n v="0"/>
    <n v="0"/>
    <n v="0"/>
    <n v="7432"/>
    <n v="0"/>
    <n v="7432"/>
    <s v="Release"/>
  </r>
  <r>
    <n v="26139.532800000001"/>
    <n v="9600"/>
    <n v="35739.532800000001"/>
    <x v="680"/>
    <x v="670"/>
    <n v="0"/>
    <s v="MPG"/>
    <s v="Direct"/>
    <n v="1014"/>
    <x v="16"/>
    <s v="Old"/>
    <d v="2022-07-24T00:00:00"/>
    <n v="208.4"/>
    <n v="7364.0603582799995"/>
    <n v="156.30000000000001"/>
    <n v="197.98"/>
    <n v="0"/>
    <n v="220.92181074839996"/>
    <n v="22.941810748399973"/>
    <n v="20.840000000000003"/>
    <n v="333.02287021103666"/>
    <n v="0"/>
    <n v="0"/>
    <n v="0"/>
    <n v="0"/>
    <n v="0"/>
    <n v="0"/>
    <n v="0"/>
    <n v="0"/>
    <n v="0"/>
    <s v="Release"/>
  </r>
  <r>
    <n v="0"/>
    <n v="0"/>
    <n v="0"/>
    <x v="681"/>
    <x v="671"/>
    <n v="0"/>
    <s v="MPG"/>
    <s v="Direct"/>
    <n v="1011"/>
    <x v="12"/>
    <s v="Old"/>
    <d v="2017-09-01T00:00:00"/>
    <n v="1812.1000000000001"/>
    <n v="62955.738208234005"/>
    <n v="1359.075"/>
    <n v="1721.4950000000001"/>
    <n v="0"/>
    <n v="1888.67214624702"/>
    <n v="167.17714624701989"/>
    <n v="181.21000000000004"/>
    <n v="139.45668529075311"/>
    <n v="2760"/>
    <n v="0"/>
    <n v="0"/>
    <n v="0"/>
    <n v="0"/>
    <n v="0"/>
    <n v="2760"/>
    <n v="0"/>
    <n v="2760"/>
    <s v="Release"/>
  </r>
  <r>
    <n v="51381.705189579719"/>
    <n v="0"/>
    <n v="51381.705189579719"/>
    <x v="682"/>
    <x v="672"/>
    <n v="0"/>
    <s v="MPG"/>
    <s v="Direct"/>
    <n v="1053"/>
    <x v="18"/>
    <s v="Old"/>
    <d v="2025-11-30T00:00:00"/>
    <n v="2096.25"/>
    <n v="114960.56231920701"/>
    <n v="1572.1875"/>
    <n v="1991.4375"/>
    <n v="1076.2916278450002"/>
    <n v="3448.8168695762101"/>
    <n v="1457.3793695762101"/>
    <n v="209.625"/>
    <n v="821.61284703602166"/>
    <n v="3609"/>
    <n v="2299.2112463841399"/>
    <n v="0"/>
    <n v="0"/>
    <n v="0"/>
    <n v="0"/>
    <n v="1310"/>
    <n v="0"/>
    <n v="1310"/>
    <s v="Release"/>
  </r>
  <r>
    <n v="57318.154369462798"/>
    <n v="0"/>
    <n v="57318.154369462798"/>
    <x v="683"/>
    <x v="673"/>
    <n v="0"/>
    <s v="MPG"/>
    <s v="Direct"/>
    <n v="1053"/>
    <x v="18"/>
    <s v="Old"/>
    <d v="2025-11-30T00:00:00"/>
    <n v="2589.25"/>
    <n v="108742.625047957"/>
    <n v="1941.9375"/>
    <n v="2459.7874999999999"/>
    <n v="2723.8578227402804"/>
    <n v="3262.2787514387101"/>
    <n v="802.49125143871015"/>
    <n v="258.92500000000001"/>
    <n v="178.09427066525811"/>
    <n v="6689"/>
    <n v="2174.8525009591399"/>
    <n v="0"/>
    <n v="0"/>
    <n v="0"/>
    <n v="0"/>
    <n v="4514"/>
    <n v="0"/>
    <n v="4514"/>
    <s v="Release"/>
  </r>
  <r>
    <n v="60283.399400000002"/>
    <n v="0"/>
    <n v="60283.399400000002"/>
    <x v="684"/>
    <x v="674"/>
    <n v="0"/>
    <s v="MPG"/>
    <s v="Direct"/>
    <n v="1054"/>
    <x v="13"/>
    <s v="Old"/>
    <d v="2025-12-03T00:00:00"/>
    <n v="2261.2800000000007"/>
    <n v="92276.346580001598"/>
    <n v="1695.9600000000005"/>
    <n v="2148.2160000000003"/>
    <n v="0"/>
    <n v="2768.2903974000478"/>
    <n v="620.07439740004747"/>
    <n v="226.12800000000007"/>
    <n v="439.88245941591532"/>
    <n v="3178"/>
    <n v="1861"/>
    <n v="0"/>
    <n v="0"/>
    <n v="0"/>
    <n v="0"/>
    <n v="1317"/>
    <n v="0"/>
    <n v="1317"/>
    <s v="Release"/>
  </r>
  <r>
    <n v="88342"/>
    <n v="0"/>
    <n v="88342"/>
    <x v="685"/>
    <x v="675"/>
    <n v="0"/>
    <s v="MPG"/>
    <s v="Direct"/>
    <n v="1054"/>
    <x v="13"/>
    <s v="Old"/>
    <d v="2025-11-28T00:00:00"/>
    <n v="1021.5600000000001"/>
    <n v="38595.035681715002"/>
    <n v="766.17000000000007"/>
    <n v="970.48199999999997"/>
    <n v="0"/>
    <n v="1157.8510704514499"/>
    <n v="187.36907045144994"/>
    <n v="102.15600000000001"/>
    <n v="1349.3209833090348"/>
    <n v="285"/>
    <n v="285"/>
    <n v="0"/>
    <n v="0"/>
    <n v="0"/>
    <n v="0"/>
    <n v="0"/>
    <n v="0"/>
    <n v="0"/>
    <s v="Release"/>
  </r>
  <r>
    <n v="75422.401516568003"/>
    <n v="0"/>
    <n v="75422.401516568003"/>
    <x v="686"/>
    <x v="676"/>
    <n v="0"/>
    <s v="MPG"/>
    <s v="Direct"/>
    <n v="1056"/>
    <x v="8"/>
    <s v="Old"/>
    <d v="2025-11-28T00:00:00"/>
    <n v="7170.08"/>
    <n v="272854.95412941393"/>
    <n v="5377.5599999999995"/>
    <n v="6811.576"/>
    <n v="0"/>
    <n v="8185.6486238824182"/>
    <n v="1374.0726238824182"/>
    <n v="717.00800000000004"/>
    <n v="0"/>
    <n v="11472"/>
    <n v="5457.0990825882791"/>
    <n v="0"/>
    <n v="0"/>
    <n v="0"/>
    <n v="0"/>
    <n v="6015"/>
    <n v="0"/>
    <n v="6015"/>
    <s v="Release"/>
  </r>
  <r>
    <n v="83169.204800000007"/>
    <n v="0"/>
    <n v="83169.204800000007"/>
    <x v="687"/>
    <x v="677"/>
    <n v="0"/>
    <s v="MPG"/>
    <s v="Direct"/>
    <n v="1056"/>
    <x v="8"/>
    <s v="Old"/>
    <d v="2025-11-28T00:00:00"/>
    <n v="4611.9399999999996"/>
    <n v="176240.87674706196"/>
    <n v="3458.9549999999999"/>
    <n v="4381.3429999999998"/>
    <n v="0"/>
    <n v="5287.2263024118583"/>
    <n v="905.88330241185849"/>
    <n v="461.19399999999996"/>
    <n v="0"/>
    <n v="7379"/>
    <n v="3524.8175349412395"/>
    <n v="0"/>
    <n v="0"/>
    <n v="0"/>
    <n v="0"/>
    <n v="3854"/>
    <n v="0"/>
    <n v="3854"/>
    <s v="Release"/>
  </r>
  <r>
    <n v="86642"/>
    <n v="6400"/>
    <n v="93042"/>
    <x v="688"/>
    <x v="678"/>
    <n v="0"/>
    <s v="MPG"/>
    <s v="Direct"/>
    <n v="1057"/>
    <x v="19"/>
    <s v="Old"/>
    <d v="2025-11-28T00:00:00"/>
    <n v="396.4"/>
    <n v="16901.254005888"/>
    <n v="297.29999999999995"/>
    <n v="376.58"/>
    <n v="0"/>
    <n v="507.03762017664002"/>
    <n v="130.45762017664003"/>
    <n v="39.64"/>
    <n v="634.27349644588116"/>
    <n v="0"/>
    <n v="0"/>
    <n v="0"/>
    <n v="0"/>
    <n v="0"/>
    <n v="0"/>
    <n v="0"/>
    <n v="0"/>
    <n v="0"/>
    <s v="Release"/>
  </r>
  <r>
    <n v="59417"/>
    <n v="4648"/>
    <n v="64065"/>
    <x v="689"/>
    <x v="679"/>
    <n v="0"/>
    <s v="MPG"/>
    <s v="Direct"/>
    <n v="1058"/>
    <x v="2"/>
    <s v="Old"/>
    <d v="2025-11-29T00:00:00"/>
    <n v="2050.6999999999998"/>
    <n v="77542.69773761199"/>
    <n v="1538.0249999999999"/>
    <n v="1948.1649999999997"/>
    <n v="1192.5957759570001"/>
    <n v="2326.2809321283598"/>
    <n v="378.1159321283601"/>
    <n v="205.07"/>
    <n v="568.87800405499434"/>
    <n v="3905"/>
    <n v="1861"/>
    <n v="0"/>
    <n v="0"/>
    <n v="0"/>
    <n v="0"/>
    <n v="2044"/>
    <n v="0"/>
    <n v="2044"/>
    <s v="Release"/>
  </r>
  <r>
    <n v="60694"/>
    <n v="5512"/>
    <n v="66206"/>
    <x v="690"/>
    <x v="680"/>
    <n v="0"/>
    <s v="MPG"/>
    <s v="Direct"/>
    <n v="1058"/>
    <x v="2"/>
    <s v="Old"/>
    <d v="2025-11-30T00:00:00"/>
    <n v="529.09999999999991"/>
    <n v="19412.122507488002"/>
    <n v="396.82499999999993"/>
    <n v="502.64499999999987"/>
    <n v="338.56879448642007"/>
    <n v="582.36367522464002"/>
    <n v="79.718675224640151"/>
    <n v="52.91"/>
    <n v="1185.3901458141515"/>
    <n v="0"/>
    <n v="0"/>
    <n v="0"/>
    <n v="0"/>
    <n v="0"/>
    <n v="0"/>
    <n v="0"/>
    <n v="0"/>
    <n v="0"/>
    <s v="Release"/>
  </r>
  <r>
    <n v="61670"/>
    <n v="0"/>
    <n v="61670"/>
    <x v="691"/>
    <x v="681"/>
    <n v="0"/>
    <s v="MPG"/>
    <s v="Direct"/>
    <n v="1001"/>
    <x v="0"/>
    <s v="Old"/>
    <d v="2025-12-05T00:00:00"/>
    <n v="993.30000000000018"/>
    <n v="40152.685276656928"/>
    <n v="744.97500000000014"/>
    <n v="943.6350000000001"/>
    <n v="0"/>
    <n v="1204.5805582997077"/>
    <n v="260.94555829970761"/>
    <n v="99.330000000000027"/>
    <n v="1469.0498419004475"/>
    <n v="120"/>
    <n v="120"/>
    <n v="0"/>
    <n v="0"/>
    <n v="0"/>
    <n v="0"/>
    <n v="0"/>
    <n v="0"/>
    <n v="0"/>
    <s v="Release"/>
  </r>
  <r>
    <n v="0"/>
    <n v="0"/>
    <n v="0"/>
    <x v="692"/>
    <x v="682"/>
    <n v="0"/>
    <s v="vlc"/>
    <s v="Indirect"/>
    <n v="1008"/>
    <x v="1"/>
    <s v="Old"/>
    <d v="2025-05-25T00:00:00"/>
    <n v="1464.3999999999999"/>
    <n v="50812.1836656425"/>
    <n v="1098.3"/>
    <n v="1391.1799999999998"/>
    <n v="0"/>
    <n v="1524.3655099692749"/>
    <n v="133.18550996927502"/>
    <n v="146.44"/>
    <n v="917.98530291531051"/>
    <n v="1425"/>
    <n v="0"/>
    <n v="0"/>
    <n v="0"/>
    <n v="0"/>
    <n v="0"/>
    <n v="1425"/>
    <n v="0"/>
    <n v="1425"/>
    <s v="Release"/>
  </r>
  <r>
    <n v="56246.318094951719"/>
    <n v="12800"/>
    <n v="69046.318094951712"/>
    <x v="693"/>
    <x v="683"/>
    <n v="0"/>
    <s v="MPG"/>
    <s v="Direct"/>
    <n v="1010"/>
    <x v="9"/>
    <s v="Old"/>
    <d v="2023-03-31T00:00:00"/>
    <n v="537.4"/>
    <n v="22108.839050561997"/>
    <n v="403.04999999999995"/>
    <n v="510.53"/>
    <n v="0"/>
    <n v="663.26517151685994"/>
    <n v="152.73517151685996"/>
    <n v="53.74"/>
    <n v="859.42593327316354"/>
    <n v="0"/>
    <n v="0"/>
    <n v="0"/>
    <n v="0"/>
    <n v="0"/>
    <n v="0"/>
    <n v="0"/>
    <n v="0"/>
    <n v="0"/>
    <s v="Release"/>
  </r>
  <r>
    <n v="0"/>
    <n v="0"/>
    <n v="0"/>
    <x v="694"/>
    <x v="684"/>
    <n v="0"/>
    <s v="vlc"/>
    <s v="Indirect"/>
    <n v="1007"/>
    <x v="7"/>
    <s v="Old"/>
    <d v="2024-06-28T00:00:00"/>
    <n v="4710.2000000000007"/>
    <n v="168521.39070013451"/>
    <n v="3532.6500000000005"/>
    <n v="4474.6900000000005"/>
    <n v="0"/>
    <n v="5055.6417210040354"/>
    <n v="580.95172100403488"/>
    <n v="471.0200000000001"/>
    <n v="0"/>
    <n v="7536"/>
    <n v="0"/>
    <n v="3047"/>
    <n v="0"/>
    <n v="0"/>
    <n v="0"/>
    <n v="4489"/>
    <n v="4489"/>
    <n v="0"/>
    <s v="Yes"/>
  </r>
  <r>
    <n v="0"/>
    <n v="0"/>
    <n v="0"/>
    <x v="695"/>
    <x v="685"/>
    <n v="0"/>
    <s v="vlc"/>
    <s v="Indirect"/>
    <n v="1011"/>
    <x v="12"/>
    <s v="Old"/>
    <d v="2025-12-05T00:00:00"/>
    <n v="531.1"/>
    <n v="19043.549679078002"/>
    <n v="398.32500000000005"/>
    <n v="504.54500000000002"/>
    <n v="0"/>
    <n v="571.30649037234002"/>
    <n v="66.761490372340006"/>
    <n v="53.110000000000007"/>
    <n v="849.84483693234142"/>
    <n v="0"/>
    <n v="0"/>
    <n v="0"/>
    <n v="0"/>
    <n v="0"/>
    <n v="0"/>
    <n v="0"/>
    <n v="0"/>
    <n v="0"/>
    <s v="Release"/>
  </r>
  <r>
    <n v="0"/>
    <n v="0"/>
    <n v="0"/>
    <x v="696"/>
    <x v="686"/>
    <n v="0"/>
    <s v="vlc"/>
    <s v="Indirect"/>
    <n v="1013"/>
    <x v="15"/>
    <s v="Old"/>
    <d v="2025-02-02T00:00:00"/>
    <n v="84.9"/>
    <n v="2910.8575032930003"/>
    <n v="63.675000000000004"/>
    <n v="80.655000000000001"/>
    <n v="0"/>
    <n v="87.325725098790002"/>
    <n v="6.6707250987900011"/>
    <n v="8.49"/>
    <n v="135.7829093699703"/>
    <n v="0"/>
    <n v="0"/>
    <n v="0"/>
    <n v="0"/>
    <n v="0"/>
    <n v="0"/>
    <n v="0"/>
    <n v="0"/>
    <n v="0"/>
    <s v="Release"/>
  </r>
  <r>
    <n v="0"/>
    <n v="0"/>
    <n v="0"/>
    <x v="697"/>
    <x v="687"/>
    <n v="0"/>
    <s v="vlc"/>
    <s v="Indirect"/>
    <n v="1014"/>
    <x v="16"/>
    <s v="Old"/>
    <d v="2025-01-30T00:00:00"/>
    <n v="726.90000000000009"/>
    <n v="31866.613710387901"/>
    <n v="545.17500000000007"/>
    <n v="690.55500000000006"/>
    <n v="0"/>
    <n v="955.99841131163703"/>
    <n v="265.44341131163696"/>
    <n v="72.690000000000012"/>
    <n v="1162.6783082920538"/>
    <n v="0"/>
    <n v="0"/>
    <n v="0"/>
    <n v="0"/>
    <n v="0"/>
    <n v="0"/>
    <n v="0"/>
    <n v="0"/>
    <n v="0"/>
    <s v="Release"/>
  </r>
  <r>
    <n v="0"/>
    <n v="0"/>
    <n v="0"/>
    <x v="698"/>
    <x v="688"/>
    <n v="0"/>
    <s v="vlc"/>
    <s v="Indirect"/>
    <n v="1014"/>
    <x v="16"/>
    <s v="Old"/>
    <d v="2025-12-11T00:00:00"/>
    <n v="925.5"/>
    <n v="31951.619217720003"/>
    <n v="694.125"/>
    <n v="879.22499999999991"/>
    <n v="0"/>
    <n v="958.54857653160002"/>
    <n v="79.323576531600111"/>
    <n v="92.550000000000011"/>
    <n v="423.20397262638721"/>
    <n v="1058"/>
    <n v="0"/>
    <n v="0"/>
    <n v="0"/>
    <n v="0"/>
    <n v="0"/>
    <n v="1058"/>
    <n v="0"/>
    <n v="1058"/>
    <s v="Release"/>
  </r>
  <r>
    <n v="0"/>
    <n v="0"/>
    <n v="0"/>
    <x v="699"/>
    <x v="689"/>
    <n v="0"/>
    <s v="vlc"/>
    <s v="Indirect"/>
    <n v="1054"/>
    <x v="13"/>
    <s v="Old"/>
    <d v="2025-12-09T00:00:00"/>
    <n v="1928.08"/>
    <n v="71641.039542738814"/>
    <n v="1446.06"/>
    <n v="1831.6759999999999"/>
    <n v="0"/>
    <n v="2149.2311862821643"/>
    <n v="317.55518628216441"/>
    <n v="192.80799999999999"/>
    <n v="656.87656496338388"/>
    <n v="2428"/>
    <n v="0"/>
    <n v="0"/>
    <n v="0"/>
    <n v="0"/>
    <n v="0"/>
    <n v="2428"/>
    <n v="0"/>
    <n v="2428"/>
    <s v="Release"/>
  </r>
  <r>
    <n v="0"/>
    <n v="0"/>
    <n v="0"/>
    <x v="700"/>
    <x v="690"/>
    <n v="0"/>
    <s v="vlc"/>
    <s v="Indirect"/>
    <n v="1056"/>
    <x v="8"/>
    <s v="Old"/>
    <d v="2025-02-21T00:00:00"/>
    <n v="370.59999999999997"/>
    <n v="12252.751820096002"/>
    <n v="277.95"/>
    <n v="352.06999999999994"/>
    <n v="0"/>
    <n v="367.58255460288007"/>
    <n v="15.51255460288013"/>
    <n v="37.059999999999995"/>
    <n v="593.32657105125327"/>
    <n v="0"/>
    <n v="0"/>
    <n v="0"/>
    <n v="0"/>
    <n v="0"/>
    <n v="0"/>
    <n v="0"/>
    <n v="0"/>
    <n v="0"/>
    <s v="Release"/>
  </r>
  <r>
    <n v="0"/>
    <n v="0"/>
    <n v="0"/>
    <x v="701"/>
    <x v="691"/>
    <n v="0"/>
    <s v="vlc"/>
    <s v="Indirect"/>
    <n v="1008"/>
    <x v="1"/>
    <s v="Old"/>
    <d v="2025-12-17T00:00:00"/>
    <n v="467"/>
    <n v="16741.059262485"/>
    <n v="350.25"/>
    <n v="443.65"/>
    <n v="0"/>
    <n v="502.23177787454995"/>
    <n v="58.581777874549971"/>
    <n v="46.7"/>
    <n v="747.03460549722649"/>
    <n v="0"/>
    <n v="0"/>
    <n v="0"/>
    <n v="0"/>
    <n v="0"/>
    <n v="0"/>
    <n v="0"/>
    <n v="0"/>
    <n v="0"/>
    <s v="Release"/>
  </r>
  <r>
    <n v="87405"/>
    <n v="0"/>
    <n v="87405"/>
    <x v="702"/>
    <x v="692"/>
    <n v="0"/>
    <s v="MPG"/>
    <s v="Direct"/>
    <n v="1009"/>
    <x v="11"/>
    <s v="Old"/>
    <d v="2025-12-14T00:00:00"/>
    <n v="1651.3000000000002"/>
    <n v="63288.539238532001"/>
    <n v="1238.4750000000001"/>
    <n v="1568.7350000000001"/>
    <n v="0"/>
    <n v="1898.65617715596"/>
    <n v="329.92117715595987"/>
    <n v="165.13000000000002"/>
    <n v="880.24004748003529"/>
    <n v="1762"/>
    <n v="1762"/>
    <n v="0"/>
    <n v="0"/>
    <n v="0"/>
    <n v="0"/>
    <n v="0"/>
    <n v="0"/>
    <n v="0"/>
    <s v="Release"/>
  </r>
  <r>
    <n v="0"/>
    <n v="0"/>
    <n v="0"/>
    <x v="703"/>
    <x v="693"/>
    <n v="0"/>
    <s v="vlc"/>
    <s v="Indirect"/>
    <n v="1054"/>
    <x v="13"/>
    <s v="Old"/>
    <d v="2025-12-16T00:00:00"/>
    <n v="2725.98"/>
    <n v="89678.599065703311"/>
    <n v="2044.4850000000001"/>
    <n v="2589.681"/>
    <n v="0"/>
    <n v="2690.3579719710992"/>
    <n v="100.67697197109919"/>
    <n v="272.59800000000001"/>
    <n v="146.47527809056209"/>
    <n v="4215"/>
    <n v="0"/>
    <n v="0"/>
    <n v="0"/>
    <n v="0"/>
    <n v="0"/>
    <n v="4215"/>
    <n v="0"/>
    <n v="4215"/>
    <s v="Release"/>
  </r>
  <r>
    <n v="0"/>
    <n v="0"/>
    <n v="0"/>
    <x v="704"/>
    <x v="694"/>
    <n v="0"/>
    <s v="vlc"/>
    <s v="Indirect"/>
    <n v="1054"/>
    <x v="13"/>
    <s v="Old"/>
    <d v="2025-12-16T00:00:00"/>
    <n v="1875.5599999999997"/>
    <n v="66160.082379993415"/>
    <n v="1406.6699999999998"/>
    <n v="1781.7819999999997"/>
    <n v="0"/>
    <n v="1984.8024713998025"/>
    <n v="203.02047139980277"/>
    <n v="187.55599999999998"/>
    <n v="207.54597943573447"/>
    <n v="2793"/>
    <n v="0"/>
    <n v="0"/>
    <n v="0"/>
    <n v="0"/>
    <n v="0"/>
    <n v="2793"/>
    <n v="0"/>
    <n v="2793"/>
    <s v="Release"/>
  </r>
  <r>
    <n v="81347"/>
    <n v="0"/>
    <n v="81347"/>
    <x v="705"/>
    <x v="695"/>
    <n v="0"/>
    <s v="MPG"/>
    <s v="Direct"/>
    <n v="1057"/>
    <x v="19"/>
    <s v="Old"/>
    <d v="2025-12-14T00:00:00"/>
    <n v="1118.4000000000001"/>
    <n v="40666.666978830006"/>
    <n v="838.80000000000007"/>
    <n v="1062.48"/>
    <n v="0"/>
    <n v="1220.0000093649001"/>
    <n v="157.52000936490003"/>
    <n v="111.84000000000002"/>
    <n v="1225.4098831488996"/>
    <n v="564"/>
    <n v="564"/>
    <n v="0"/>
    <n v="0"/>
    <n v="0"/>
    <n v="0"/>
    <n v="0"/>
    <n v="0"/>
    <n v="0"/>
    <s v="Release"/>
  </r>
  <r>
    <n v="82571"/>
    <n v="0"/>
    <n v="82571"/>
    <x v="706"/>
    <x v="696"/>
    <n v="0"/>
    <s v="MPG"/>
    <s v="Direct"/>
    <n v="1057"/>
    <x v="19"/>
    <s v="Old"/>
    <d v="2025-12-14T00:00:00"/>
    <n v="720.19999999999993"/>
    <n v="29837.709438741622"/>
    <n v="540.15"/>
    <n v="684.18999999999994"/>
    <n v="0"/>
    <n v="895.13128316224868"/>
    <n v="210.94128316224874"/>
    <n v="72.02"/>
    <n v="1152.248890036396"/>
    <n v="0"/>
    <n v="0"/>
    <n v="0"/>
    <n v="0"/>
    <n v="0"/>
    <n v="0"/>
    <n v="0"/>
    <n v="0"/>
    <n v="0"/>
    <s v="Release"/>
  </r>
  <r>
    <n v="61457.873599999999"/>
    <n v="0"/>
    <n v="61457.873599999999"/>
    <x v="707"/>
    <x v="697"/>
    <n v="0"/>
    <s v="MPG"/>
    <s v="Direct"/>
    <n v="1057"/>
    <x v="19"/>
    <s v="Old"/>
    <d v="2025-12-15T00:00:00"/>
    <n v="1193"/>
    <n v="41457.084812800007"/>
    <n v="894.75"/>
    <n v="1133.3499999999999"/>
    <n v="0"/>
    <n v="1243.7125443840002"/>
    <n v="110.36254438400033"/>
    <n v="119.30000000000001"/>
    <n v="1120.2091846369658"/>
    <n v="789"/>
    <n v="789"/>
    <n v="0"/>
    <n v="0"/>
    <n v="0"/>
    <n v="0"/>
    <n v="0"/>
    <n v="0"/>
    <n v="0"/>
    <s v="Release"/>
  </r>
  <r>
    <n v="71099"/>
    <n v="0"/>
    <n v="71099"/>
    <x v="708"/>
    <x v="698"/>
    <n v="0"/>
    <s v="MPG"/>
    <s v="Direct"/>
    <n v="1057"/>
    <x v="19"/>
    <s v="Old"/>
    <d v="2025-12-14T00:00:00"/>
    <n v="630.79999999999995"/>
    <n v="24839.603858689999"/>
    <n v="473.09999999999997"/>
    <n v="599.25999999999988"/>
    <n v="67.018267800000004"/>
    <n v="745.18811576069993"/>
    <n v="145.92811576070005"/>
    <n v="63.08"/>
    <n v="1076.717636668501"/>
    <n v="0"/>
    <n v="0"/>
    <n v="0"/>
    <n v="0"/>
    <n v="0"/>
    <n v="0"/>
    <n v="0"/>
    <n v="0"/>
    <n v="0"/>
    <s v="Release"/>
  </r>
  <r>
    <n v="0"/>
    <n v="0"/>
    <n v="0"/>
    <x v="709"/>
    <x v="699"/>
    <n v="0"/>
    <s v="vlc"/>
    <s v="Indirect"/>
    <n v="1057"/>
    <x v="19"/>
    <s v="Old"/>
    <d v="2025-12-18T00:00:00"/>
    <n v="687.59999999999991"/>
    <n v="26236.99906971"/>
    <n v="515.69999999999993"/>
    <n v="653.21999999999991"/>
    <n v="0"/>
    <n v="787.10997209129994"/>
    <n v="133.88997209130002"/>
    <n v="68.759999999999991"/>
    <n v="1100.0494738695086"/>
    <n v="0"/>
    <n v="0"/>
    <n v="0"/>
    <n v="0"/>
    <n v="0"/>
    <n v="0"/>
    <n v="0"/>
    <n v="0"/>
    <n v="0"/>
    <s v="Release"/>
  </r>
  <r>
    <n v="62651.645400000001"/>
    <n v="5608"/>
    <n v="68259.645400000009"/>
    <x v="710"/>
    <x v="700"/>
    <n v="0"/>
    <s v="MPG"/>
    <s v="Direct"/>
    <n v="1058"/>
    <x v="2"/>
    <s v="Old"/>
    <d v="2025-12-14T00:00:00"/>
    <n v="455.20000000000005"/>
    <n v="19840.5"/>
    <n v="341.40000000000003"/>
    <n v="432.44"/>
    <n v="105.65559972000003"/>
    <n v="595.21500000000003"/>
    <n v="162.77500000000003"/>
    <n v="45.52000000000001"/>
    <n v="834.38675486892203"/>
    <n v="0"/>
    <n v="0"/>
    <n v="0"/>
    <n v="0"/>
    <n v="0"/>
    <n v="0"/>
    <n v="0"/>
    <n v="0"/>
    <n v="0"/>
    <s v="Release"/>
  </r>
  <r>
    <n v="0"/>
    <n v="0"/>
    <n v="0"/>
    <x v="711"/>
    <x v="701"/>
    <n v="0"/>
    <s v="vlc"/>
    <s v="Indirect"/>
    <n v="1004"/>
    <x v="21"/>
    <s v="Old"/>
    <d v="2018-10-03T00:00:00"/>
    <n v="436.9"/>
    <n v="15627.91"/>
    <n v="327.67499999999995"/>
    <n v="415.05499999999995"/>
    <n v="0"/>
    <n v="468.83729999999997"/>
    <n v="53.782300000000021"/>
    <n v="43.69"/>
    <n v="188.22170386816208"/>
    <n v="511"/>
    <n v="0"/>
    <n v="0"/>
    <n v="0"/>
    <n v="0"/>
    <n v="0"/>
    <n v="511"/>
    <n v="511"/>
    <n v="0"/>
    <s v="Yes"/>
  </r>
  <r>
    <n v="73196"/>
    <n v="0"/>
    <n v="73196"/>
    <x v="712"/>
    <x v="702"/>
    <n v="0"/>
    <s v="vlc"/>
    <s v="Direct"/>
    <n v="1056"/>
    <x v="8"/>
    <s v="Old"/>
    <d v="2025-02-18T00:00:00"/>
    <n v="1134.8400000000001"/>
    <n v="40178.726796963601"/>
    <n v="851.13000000000011"/>
    <n v="1078.0980000000002"/>
    <n v="0"/>
    <n v="1205.3618039089081"/>
    <n v="127.2638039089079"/>
    <n v="113.48400000000002"/>
    <n v="1180.0298901318363"/>
    <n v="636"/>
    <n v="636"/>
    <n v="0"/>
    <n v="0"/>
    <n v="0"/>
    <n v="0"/>
    <n v="0"/>
    <n v="0"/>
    <n v="0"/>
    <s v="Release"/>
  </r>
  <r>
    <n v="0"/>
    <n v="0"/>
    <n v="0"/>
    <x v="713"/>
    <x v="703"/>
    <n v="0"/>
    <s v="vlc"/>
    <s v="Indirect"/>
    <n v="1011"/>
    <x v="12"/>
    <s v="Old"/>
    <d v="2025-12-24T00:00:00"/>
    <n v="38831.199999999997"/>
    <n v="1462258.4821603261"/>
    <n v="29123.399999999998"/>
    <n v="36889.639999999992"/>
    <n v="0"/>
    <n v="43867.754464809783"/>
    <n v="6978.1144648097907"/>
    <n v="3883.12"/>
    <n v="0"/>
    <n v="62130"/>
    <n v="0"/>
    <n v="0"/>
    <n v="0"/>
    <n v="0"/>
    <n v="0"/>
    <n v="62130"/>
    <n v="0"/>
    <n v="62130"/>
    <s v="Release"/>
  </r>
  <r>
    <n v="0"/>
    <n v="0"/>
    <n v="0"/>
    <x v="714"/>
    <x v="704"/>
    <n v="0"/>
    <s v="vlc"/>
    <s v="Indirect"/>
    <n v="1013"/>
    <x v="15"/>
    <s v="Old"/>
    <d v="2025-12-20T00:00:00"/>
    <n v="850.3"/>
    <n v="29987.195514539999"/>
    <n v="637.72499999999991"/>
    <n v="807.78499999999997"/>
    <n v="0"/>
    <n v="899.6158654361999"/>
    <n v="91.830865436199929"/>
    <n v="85.03"/>
    <n v="844.25366814040137"/>
    <n v="516"/>
    <n v="0"/>
    <n v="0"/>
    <n v="0"/>
    <n v="0"/>
    <n v="0"/>
    <n v="516"/>
    <n v="0"/>
    <n v="516"/>
    <s v="Release"/>
  </r>
  <r>
    <n v="0"/>
    <n v="0"/>
    <n v="0"/>
    <x v="715"/>
    <x v="705"/>
    <n v="0"/>
    <s v="vlc"/>
    <s v="Indirect"/>
    <n v="1014"/>
    <x v="16"/>
    <s v="Old"/>
    <d v="2025-12-19T00:00:00"/>
    <n v="1028.0999999999999"/>
    <n v="38849.10064027"/>
    <n v="771.07499999999993"/>
    <n v="976.69499999999982"/>
    <n v="0"/>
    <n v="1165.4730192080999"/>
    <n v="188.77801920810009"/>
    <n v="102.81"/>
    <n v="1338.8688828090346"/>
    <n v="306"/>
    <n v="0"/>
    <n v="0"/>
    <n v="0"/>
    <n v="0"/>
    <n v="0"/>
    <n v="306"/>
    <n v="0"/>
    <n v="306"/>
    <s v="Release"/>
  </r>
  <r>
    <n v="0"/>
    <n v="0"/>
    <n v="0"/>
    <x v="716"/>
    <x v="706"/>
    <n v="0"/>
    <s v="vlc"/>
    <s v="Indirect"/>
    <n v="1053"/>
    <x v="18"/>
    <s v="Old"/>
    <d v="2025-12-21T00:00:00"/>
    <n v="1843.3"/>
    <n v="66800.350437550005"/>
    <n v="1382.4749999999999"/>
    <n v="1751.1349999999998"/>
    <n v="0"/>
    <n v="2004.0105131265"/>
    <n v="252.87551312650021"/>
    <n v="184.33"/>
    <n v="695.07715586190216"/>
    <n v="2254"/>
    <n v="0"/>
    <n v="0"/>
    <n v="0"/>
    <n v="0"/>
    <n v="0"/>
    <n v="2254"/>
    <n v="0"/>
    <n v="2254"/>
    <s v="Release"/>
  </r>
  <r>
    <n v="0"/>
    <n v="0"/>
    <n v="0"/>
    <x v="717"/>
    <x v="707"/>
    <n v="0"/>
    <s v="vlc"/>
    <s v="Indirect"/>
    <n v="1006"/>
    <x v="5"/>
    <s v="Old"/>
    <d v="2025-12-30T00:00:00"/>
    <n v="531.00000000000011"/>
    <n v="23785.200444398004"/>
    <n v="398.25000000000011"/>
    <n v="504.4500000000001"/>
    <n v="0"/>
    <n v="713.55601333194011"/>
    <n v="209.10601333194001"/>
    <n v="53.100000000000016"/>
    <n v="849.9911193270741"/>
    <n v="0"/>
    <n v="0"/>
    <n v="0"/>
    <n v="0"/>
    <n v="0"/>
    <n v="0"/>
    <n v="0"/>
    <n v="0"/>
    <n v="0"/>
    <s v="Release"/>
  </r>
  <r>
    <n v="66395"/>
    <n v="0"/>
    <n v="66395"/>
    <x v="718"/>
    <x v="708"/>
    <n v="0"/>
    <s v="MPG"/>
    <s v="Direct"/>
    <n v="1006"/>
    <x v="5"/>
    <s v="Old"/>
    <d v="2025-12-30T00:00:00"/>
    <n v="2530"/>
    <n v="83116.406351485508"/>
    <n v="1897.5"/>
    <n v="2403.5"/>
    <n v="0"/>
    <n v="2493.4921905445653"/>
    <n v="89.992190544565346"/>
    <n v="253"/>
    <n v="724.15551610412581"/>
    <n v="3324"/>
    <n v="1861"/>
    <n v="0"/>
    <n v="0"/>
    <n v="0"/>
    <n v="0"/>
    <n v="1463"/>
    <n v="1463"/>
    <n v="0"/>
    <s v="Yes"/>
  </r>
  <r>
    <n v="80632.724000000002"/>
    <n v="0"/>
    <n v="80632.724000000002"/>
    <x v="719"/>
    <x v="709"/>
    <n v="0"/>
    <s v="MPG"/>
    <s v="Direct"/>
    <n v="1009"/>
    <x v="11"/>
    <s v="Old"/>
    <d v="2025-12-26T00:00:00"/>
    <n v="1877.8"/>
    <n v="74290.36613277701"/>
    <n v="1408.35"/>
    <n v="1783.9099999999999"/>
    <n v="0"/>
    <n v="2228.7109839833101"/>
    <n v="444.80098398331029"/>
    <n v="187.78"/>
    <n v="735.02002595304987"/>
    <n v="2269"/>
    <n v="1861"/>
    <n v="0"/>
    <n v="0"/>
    <n v="0"/>
    <n v="0"/>
    <n v="408"/>
    <n v="408"/>
    <n v="0"/>
    <s v="Yes"/>
  </r>
  <r>
    <n v="0"/>
    <n v="0"/>
    <n v="0"/>
    <x v="720"/>
    <x v="710"/>
    <n v="0"/>
    <s v="vlc"/>
    <s v="Indirect"/>
    <n v="1012"/>
    <x v="14"/>
    <s v="Old"/>
    <d v="2025-12-30T00:00:00"/>
    <n v="4140"/>
    <n v="158951.20388300001"/>
    <n v="3105"/>
    <n v="3933"/>
    <n v="0"/>
    <n v="4768.5361164900005"/>
    <n v="835.5361164900005"/>
    <n v="414"/>
    <n v="227.12"/>
    <n v="6397"/>
    <n v="0"/>
    <n v="0"/>
    <n v="0"/>
    <n v="0"/>
    <n v="0"/>
    <n v="6397"/>
    <n v="0"/>
    <n v="6397"/>
    <s v="Release"/>
  </r>
  <r>
    <n v="70269"/>
    <n v="5511"/>
    <n v="75780"/>
    <x v="721"/>
    <x v="711"/>
    <n v="0"/>
    <s v="MPG"/>
    <s v="Direct"/>
    <n v="1014"/>
    <x v="16"/>
    <s v="Old"/>
    <d v="2025-12-29T00:00:00"/>
    <n v="1864.4"/>
    <n v="68127.989709339992"/>
    <n v="1398.3000000000002"/>
    <n v="1771.18"/>
    <n v="0"/>
    <n v="2043.8396912801998"/>
    <n v="272.6596912801997"/>
    <n v="186.44000000000003"/>
    <n v="662.65252256135409"/>
    <n v="2320"/>
    <n v="1861"/>
    <n v="0"/>
    <n v="0"/>
    <n v="0"/>
    <n v="459"/>
    <n v="0"/>
    <n v="0"/>
    <n v="0"/>
    <s v="Release"/>
  </r>
  <r>
    <n v="83762"/>
    <n v="6400"/>
    <n v="90162"/>
    <x v="722"/>
    <x v="712"/>
    <n v="0"/>
    <s v="MPG"/>
    <s v="Direct"/>
    <n v="1014"/>
    <x v="16"/>
    <s v="Old"/>
    <d v="2025-12-27T00:00:00"/>
    <n v="1013.8000000000001"/>
    <n v="39183.737494319997"/>
    <n v="760.35"/>
    <n v="963.11"/>
    <n v="0"/>
    <n v="1175.5121248295998"/>
    <n v="212.40212482959976"/>
    <n v="101.38000000000001"/>
    <n v="1381.382939101177"/>
    <n v="241"/>
    <n v="241"/>
    <n v="0"/>
    <n v="0"/>
    <n v="0"/>
    <n v="0"/>
    <n v="0"/>
    <n v="0"/>
    <n v="0"/>
    <s v="Release"/>
  </r>
  <r>
    <n v="0"/>
    <n v="0"/>
    <n v="0"/>
    <x v="723"/>
    <x v="713"/>
    <n v="0"/>
    <s v="vlc"/>
    <s v="Indirect"/>
    <n v="1014"/>
    <x v="16"/>
    <s v="Old"/>
    <d v="2025-12-26T00:00:00"/>
    <n v="2943.3"/>
    <n v="115672.55996145001"/>
    <n v="2207.4750000000004"/>
    <n v="2796.1350000000002"/>
    <n v="0"/>
    <n v="3470.1767988435004"/>
    <n v="674.04179884350015"/>
    <n v="294.33000000000004"/>
    <n v="224.3931731958763"/>
    <n v="4485"/>
    <n v="0"/>
    <n v="0"/>
    <n v="0"/>
    <n v="0"/>
    <n v="102.6"/>
    <n v="4382"/>
    <n v="0"/>
    <n v="4382"/>
    <s v="Release"/>
  </r>
  <r>
    <n v="0"/>
    <n v="0"/>
    <n v="0"/>
    <x v="724"/>
    <x v="714"/>
    <n v="0"/>
    <s v="vlc"/>
    <s v="Indirect"/>
    <n v="1056"/>
    <x v="8"/>
    <s v="Old"/>
    <d v="2025-12-29T00:00:00"/>
    <n v="485.1"/>
    <n v="20435.739586193602"/>
    <n v="363.82500000000005"/>
    <n v="460.84500000000003"/>
    <n v="0"/>
    <n v="613.07218758580802"/>
    <n v="152.227187585808"/>
    <n v="48.510000000000005"/>
    <n v="776.61487288755825"/>
    <n v="0"/>
    <n v="0"/>
    <n v="0"/>
    <n v="0"/>
    <n v="0"/>
    <n v="0"/>
    <n v="0"/>
    <n v="0"/>
    <n v="0"/>
    <s v="Release"/>
  </r>
  <r>
    <n v="0"/>
    <n v="0"/>
    <n v="0"/>
    <x v="725"/>
    <x v="715"/>
    <n v="0"/>
    <s v="vlc"/>
    <s v="Indirect"/>
    <n v="1057"/>
    <x v="19"/>
    <s v="Old"/>
    <d v="2025-12-27T00:00:00"/>
    <n v="1388.6"/>
    <n v="46422.581608759996"/>
    <n v="1041.4499999999998"/>
    <n v="1319.1699999999998"/>
    <n v="0"/>
    <n v="1392.6774482627998"/>
    <n v="73.507448262799926"/>
    <n v="138.85999999999999"/>
    <n v="942.52434241190508"/>
    <n v="1279"/>
    <n v="0"/>
    <n v="0"/>
    <n v="0"/>
    <n v="0"/>
    <n v="0"/>
    <n v="1279"/>
    <n v="0"/>
    <n v="1279"/>
    <s v="Release"/>
  </r>
  <r>
    <n v="0"/>
    <n v="0"/>
    <n v="0"/>
    <x v="726"/>
    <x v="716"/>
    <n v="0"/>
    <s v="vlc"/>
    <s v="Indirect"/>
    <n v="1057"/>
    <x v="19"/>
    <s v="Old"/>
    <d v="2025-12-27T00:00:00"/>
    <n v="490.8"/>
    <n v="17473.853657880001"/>
    <n v="368.1"/>
    <n v="466.26"/>
    <n v="0"/>
    <n v="524.21560973639998"/>
    <n v="57.955609736399992"/>
    <n v="49.080000000000005"/>
    <n v="785.16807669074296"/>
    <n v="0"/>
    <n v="0"/>
    <n v="0"/>
    <n v="0"/>
    <n v="0"/>
    <n v="0"/>
    <n v="0"/>
    <n v="0"/>
    <n v="0"/>
    <s v="Release"/>
  </r>
  <r>
    <n v="64000"/>
    <n v="0"/>
    <n v="64000"/>
    <x v="727"/>
    <x v="717"/>
    <n v="0"/>
    <s v="MPG"/>
    <s v="Direct"/>
    <n v="1003"/>
    <x v="4"/>
    <s v="Old"/>
    <d v="2026-01-02T00:00:00"/>
    <n v="950.64999999999986"/>
    <n v="35378.352106295002"/>
    <n v="712.98749999999995"/>
    <n v="903.11749999999984"/>
    <n v="0"/>
    <n v="1061.3505631888499"/>
    <n v="158.23306318885011"/>
    <n v="95.064999999999998"/>
    <n v="1344.9191087038266"/>
    <n v="176"/>
    <n v="176"/>
    <n v="0"/>
    <n v="0"/>
    <n v="0"/>
    <n v="0"/>
    <n v="0"/>
    <n v="0"/>
    <n v="0"/>
    <s v="Release"/>
  </r>
  <r>
    <n v="62287.422399999996"/>
    <n v="0"/>
    <n v="62287.422399999996"/>
    <x v="728"/>
    <x v="718"/>
    <n v="0"/>
    <s v="MPG"/>
    <s v="Direct"/>
    <n v="1008"/>
    <x v="1"/>
    <s v="Old"/>
    <d v="2026-01-05T00:00:00"/>
    <n v="1280.5"/>
    <n v="46535.753801396015"/>
    <n v="960.375"/>
    <n v="1216.4749999999999"/>
    <n v="0"/>
    <n v="1396.0726140418803"/>
    <n v="179.59761404188043"/>
    <n v="128.05000000000001"/>
    <n v="1113.7704329205817"/>
    <n v="935"/>
    <n v="935"/>
    <n v="0"/>
    <n v="0"/>
    <n v="0"/>
    <n v="0"/>
    <n v="0"/>
    <n v="0"/>
    <n v="0"/>
    <s v="Release"/>
  </r>
  <r>
    <n v="62866.569799999997"/>
    <n v="0"/>
    <n v="62866.569799999997"/>
    <x v="729"/>
    <x v="719"/>
    <n v="0"/>
    <s v="MPG"/>
    <s v="Direct"/>
    <n v="1009"/>
    <x v="11"/>
    <s v="Old"/>
    <d v="2026-01-04T00:00:00"/>
    <n v="2609"/>
    <n v="102685.8142987215"/>
    <n v="1956.75"/>
    <n v="2478.5499999999997"/>
    <n v="0"/>
    <n v="3080.5744289616446"/>
    <n v="602.02442896164484"/>
    <n v="260.90000000000003"/>
    <n v="158.12580424808309"/>
    <n v="4016"/>
    <n v="2053.7162859744299"/>
    <n v="0"/>
    <n v="0"/>
    <n v="0"/>
    <n v="0"/>
    <n v="1962"/>
    <n v="0"/>
    <n v="1962"/>
    <s v="Release"/>
  </r>
  <r>
    <n v="0"/>
    <n v="0"/>
    <n v="0"/>
    <x v="730"/>
    <x v="720"/>
    <n v="0"/>
    <s v="vlc"/>
    <s v="Indirect"/>
    <n v="1013"/>
    <x v="15"/>
    <s v="Old"/>
    <d v="2026-01-05T00:00:00"/>
    <n v="1341.6"/>
    <n v="47579.560503357505"/>
    <n v="1006.1999999999999"/>
    <n v="1274.5199999999998"/>
    <n v="0"/>
    <n v="1427.386815100725"/>
    <n v="152.86681510072526"/>
    <n v="134.16"/>
    <n v="1029.7026164556091"/>
    <n v="1117"/>
    <n v="0"/>
    <n v="0"/>
    <n v="0"/>
    <n v="0"/>
    <n v="0"/>
    <n v="1117"/>
    <n v="0"/>
    <n v="1117"/>
    <s v="Release"/>
  </r>
  <r>
    <n v="0"/>
    <n v="0"/>
    <n v="0"/>
    <x v="731"/>
    <x v="721"/>
    <n v="0"/>
    <s v="vlc"/>
    <s v="Indirect"/>
    <n v="1014"/>
    <x v="16"/>
    <s v="Old"/>
    <d v="2026-01-03T00:00:00"/>
    <n v="1210.2999999999997"/>
    <n v="44145.427196670003"/>
    <n v="907.7249999999998"/>
    <n v="1149.7849999999996"/>
    <n v="0"/>
    <n v="1324.3628159001"/>
    <n v="174.5778159001004"/>
    <n v="121.02999999999997"/>
    <n v="1145.5073534956985"/>
    <n v="791"/>
    <n v="0"/>
    <n v="0"/>
    <n v="0"/>
    <n v="0"/>
    <n v="0"/>
    <n v="791"/>
    <n v="0"/>
    <n v="791"/>
    <s v="Release"/>
  </r>
  <r>
    <n v="0"/>
    <n v="0"/>
    <n v="0"/>
    <x v="732"/>
    <x v="722"/>
    <n v="0"/>
    <s v="vlc"/>
    <s v="Indirect"/>
    <n v="1036"/>
    <x v="17"/>
    <s v="Old"/>
    <d v="2026-01-02T00:00:00"/>
    <n v="682.50000000000011"/>
    <n v="23634.516299672501"/>
    <n v="511.87500000000011"/>
    <n v="648.37500000000011"/>
    <n v="0"/>
    <n v="709.03548899017505"/>
    <n v="60.66048899017494"/>
    <n v="68.250000000000014"/>
    <n v="1092.2132273054674"/>
    <n v="0"/>
    <n v="0"/>
    <n v="0"/>
    <n v="0"/>
    <n v="0"/>
    <n v="0"/>
    <n v="0"/>
    <n v="0"/>
    <n v="0"/>
    <s v="Release"/>
  </r>
  <r>
    <n v="0"/>
    <n v="0"/>
    <n v="0"/>
    <x v="733"/>
    <x v="723"/>
    <n v="0"/>
    <s v="vlc"/>
    <s v="Indirect"/>
    <n v="1053"/>
    <x v="18"/>
    <s v="Old"/>
    <d v="2026-01-07T00:00:00"/>
    <n v="19649"/>
    <n v="785567.70762969996"/>
    <n v="14736.75"/>
    <n v="18666.55"/>
    <n v="0"/>
    <n v="23567.031228890999"/>
    <n v="4900.4812288909998"/>
    <n v="0"/>
    <n v="0"/>
    <n v="33403"/>
    <n v="0"/>
    <n v="0"/>
    <n v="0"/>
    <n v="0"/>
    <n v="0"/>
    <n v="33403"/>
    <n v="0"/>
    <n v="33403"/>
    <s v="Release"/>
  </r>
  <r>
    <n v="0"/>
    <n v="0"/>
    <n v="0"/>
    <x v="734"/>
    <x v="724"/>
    <n v="0"/>
    <s v="vlc"/>
    <s v="Indirect"/>
    <n v="1054"/>
    <x v="13"/>
    <s v="Old"/>
    <d v="2025-07-12T00:00:00"/>
    <n v="1054.24"/>
    <n v="40165.112511956002"/>
    <n v="790.68000000000006"/>
    <n v="1001.5279999999999"/>
    <n v="0"/>
    <n v="1204.95337535868"/>
    <n v="203.42537535868007"/>
    <n v="105.42400000000001"/>
    <n v="795.77129582477369"/>
    <n v="891"/>
    <n v="0"/>
    <n v="0"/>
    <n v="0"/>
    <n v="0"/>
    <n v="0"/>
    <n v="891"/>
    <n v="0"/>
    <n v="891"/>
    <s v="Release"/>
  </r>
  <r>
    <n v="0"/>
    <n v="0"/>
    <n v="0"/>
    <x v="735"/>
    <x v="725"/>
    <n v="0"/>
    <s v="MPG"/>
    <s v="Indirect"/>
    <n v="1054"/>
    <x v="13"/>
    <s v="Old"/>
    <d v="2026-01-05T00:00:00"/>
    <n v="604.9"/>
    <n v="21069.0217231715"/>
    <n v="453.67499999999995"/>
    <n v="574.65499999999997"/>
    <n v="0"/>
    <n v="632.07065169514499"/>
    <n v="57.415651695145016"/>
    <n v="60.49"/>
    <n v="968.08153393101588"/>
    <n v="0"/>
    <n v="0"/>
    <n v="0"/>
    <n v="0"/>
    <n v="0"/>
    <n v="0"/>
    <n v="0"/>
    <n v="0"/>
    <n v="0"/>
    <s v="Release"/>
  </r>
  <r>
    <n v="0"/>
    <n v="0"/>
    <n v="0"/>
    <x v="736"/>
    <x v="726"/>
    <n v="0"/>
    <s v="MPG"/>
    <s v="Direct"/>
    <n v="1003"/>
    <x v="4"/>
    <s v="Old"/>
    <d v="2026-01-10T00:00:00"/>
    <n v="816.2"/>
    <n v="27954.849998825004"/>
    <n v="612.15000000000009"/>
    <n v="775.39"/>
    <n v="0"/>
    <n v="838.64549996475012"/>
    <n v="63.255499964750129"/>
    <n v="81.62"/>
    <n v="1305.4419407774383"/>
    <n v="0"/>
    <n v="0"/>
    <n v="0"/>
    <n v="0"/>
    <n v="0"/>
    <n v="0"/>
    <n v="0"/>
    <n v="0"/>
    <n v="0"/>
    <s v="Release"/>
  </r>
  <r>
    <n v="0"/>
    <n v="0"/>
    <n v="0"/>
    <x v="737"/>
    <x v="727"/>
    <n v="0"/>
    <s v="MPG"/>
    <s v="Direct"/>
    <n v="1003"/>
    <x v="4"/>
    <s v="Old"/>
    <d v="2026-01-10T00:00:00"/>
    <n v="1784.85"/>
    <n v="70603.136409690007"/>
    <n v="1338.6374999999998"/>
    <n v="1695.6074999999998"/>
    <n v="0"/>
    <n v="2118.0940922907002"/>
    <n v="422.4865922907004"/>
    <n v="178.48500000000001"/>
    <n v="790.76412617981725"/>
    <n v="2065"/>
    <n v="0"/>
    <n v="0"/>
    <n v="0"/>
    <n v="0"/>
    <n v="0"/>
    <n v="2065"/>
    <n v="0"/>
    <n v="2065"/>
    <s v="Release"/>
  </r>
  <r>
    <n v="0"/>
    <n v="0"/>
    <n v="0"/>
    <x v="738"/>
    <x v="728"/>
    <n v="0"/>
    <s v="vlc"/>
    <s v="Indirect"/>
    <n v="1009"/>
    <x v="11"/>
    <s v="Old"/>
    <d v="2026-01-14T00:00:00"/>
    <n v="58520"/>
    <n v="2224983.2200999996"/>
    <n v="43890"/>
    <n v="55594"/>
    <n v="0"/>
    <n v="66749.496602999978"/>
    <n v="11155.496602999978"/>
    <n v="5852"/>
    <n v="0"/>
    <n v="93632"/>
    <n v="0"/>
    <n v="0"/>
    <n v="0"/>
    <n v="0"/>
    <n v="0"/>
    <n v="93632"/>
    <n v="0"/>
    <n v="93632"/>
    <s v="Release"/>
  </r>
  <r>
    <n v="0"/>
    <n v="0"/>
    <n v="0"/>
    <x v="739"/>
    <x v="729"/>
    <n v="0"/>
    <s v="vlc"/>
    <s v="Indirect"/>
    <n v="1009"/>
    <x v="11"/>
    <s v="Old"/>
    <d v="2026-01-14T00:00:00"/>
    <n v="59100.6"/>
    <n v="2245577.1223499998"/>
    <n v="44325.45"/>
    <n v="56145.569999999992"/>
    <n v="0"/>
    <n v="67367.313670499992"/>
    <n v="11221.7436705"/>
    <n v="5910.06"/>
    <n v="0"/>
    <n v="94561"/>
    <n v="0"/>
    <n v="0"/>
    <n v="0"/>
    <n v="0"/>
    <n v="0"/>
    <n v="94561"/>
    <n v="0"/>
    <n v="94561"/>
    <s v="Release"/>
  </r>
  <r>
    <n v="63139"/>
    <n v="0"/>
    <n v="63139"/>
    <x v="740"/>
    <x v="730"/>
    <n v="0"/>
    <s v="MPG"/>
    <s v="Direct"/>
    <n v="1053"/>
    <x v="18"/>
    <s v="Old"/>
    <d v="2026-01-14T00:00:00"/>
    <n v="1328.9499999999998"/>
    <n v="58424.158783829909"/>
    <n v="996.71249999999986"/>
    <n v="1262.5024999999998"/>
    <n v="509.05905123158999"/>
    <n v="1752.7247635148972"/>
    <n v="490.22226351489735"/>
    <n v="132.89499999999998"/>
    <n v="1294.0299435785114"/>
    <n v="1341"/>
    <n v="1341"/>
    <n v="0"/>
    <n v="0"/>
    <n v="0"/>
    <n v="0"/>
    <n v="0"/>
    <n v="0"/>
    <n v="0"/>
    <s v="Release"/>
  </r>
  <r>
    <n v="58054.9902"/>
    <n v="0"/>
    <n v="58054.9902"/>
    <x v="741"/>
    <x v="731"/>
    <n v="0"/>
    <s v="MPG"/>
    <s v="Direct"/>
    <n v="1053"/>
    <x v="18"/>
    <s v="Old"/>
    <d v="2026-01-15T00:00:00"/>
    <n v="9706.4000000000015"/>
    <n v="423754.71348276513"/>
    <n v="7279.8000000000011"/>
    <n v="9221.0800000000017"/>
    <n v="4974.109607280001"/>
    <n v="12712.641404482954"/>
    <n v="3491.5614044829526"/>
    <n v="970.64000000000021"/>
    <n v="0"/>
    <n v="20504"/>
    <n v="8475.0942696553029"/>
    <n v="0"/>
    <n v="0"/>
    <n v="0"/>
    <n v="0"/>
    <n v="12029"/>
    <n v="0"/>
    <n v="12029"/>
    <s v="Release"/>
  </r>
  <r>
    <n v="64696.5982"/>
    <n v="0"/>
    <n v="64696.5982"/>
    <x v="742"/>
    <x v="732"/>
    <n v="0"/>
    <s v="MPG"/>
    <s v="Direct"/>
    <n v="1056"/>
    <x v="8"/>
    <s v="Old"/>
    <d v="2026-01-15T00:00:00"/>
    <n v="8172.4400000000005"/>
    <n v="347697.44435231597"/>
    <n v="6129.33"/>
    <n v="7763.8180000000002"/>
    <n v="0"/>
    <n v="10430.923330569478"/>
    <n v="2667.1053305694777"/>
    <n v="817.24400000000014"/>
    <n v="0"/>
    <n v="13076"/>
    <n v="6953.9488870463192"/>
    <n v="0"/>
    <n v="0"/>
    <n v="0"/>
    <n v="0"/>
    <n v="6122"/>
    <n v="6122"/>
    <n v="0"/>
    <s v="Yes"/>
  </r>
  <r>
    <n v="70304.534"/>
    <n v="0"/>
    <n v="70304.534"/>
    <x v="743"/>
    <x v="733"/>
    <n v="0"/>
    <s v="MPG"/>
    <s v="Direct"/>
    <n v="1056"/>
    <x v="8"/>
    <s v="Old"/>
    <d v="2026-01-15T00:00:00"/>
    <n v="4695.3600000000006"/>
    <n v="181527.542506898"/>
    <n v="3521.5200000000004"/>
    <n v="4460.5920000000006"/>
    <n v="0"/>
    <n v="5445.8262752069395"/>
    <n v="985.23427520693895"/>
    <n v="469.53600000000006"/>
    <n v="0"/>
    <n v="7513"/>
    <n v="3630.55085013796"/>
    <n v="0"/>
    <n v="0"/>
    <n v="0"/>
    <n v="0"/>
    <n v="3882"/>
    <n v="0"/>
    <n v="3882"/>
    <s v="Release"/>
  </r>
  <r>
    <n v="64509.332200000004"/>
    <n v="0"/>
    <n v="64509.332200000004"/>
    <x v="744"/>
    <x v="734"/>
    <n v="0"/>
    <s v="MPG"/>
    <s v="Direct"/>
    <n v="1059"/>
    <x v="6"/>
    <s v="Old"/>
    <d v="2026-01-10T00:00:00"/>
    <n v="3111.4000000000005"/>
    <n v="167860.58394438701"/>
    <n v="2333.5500000000002"/>
    <n v="2955.8300000000004"/>
    <n v="156.18012373160005"/>
    <n v="5035.8175183316098"/>
    <n v="2079.9875183316094"/>
    <n v="311.1400000000001"/>
    <n v="0"/>
    <n v="5134"/>
    <n v="3357.2116788877402"/>
    <n v="0"/>
    <n v="0"/>
    <n v="0"/>
    <n v="0"/>
    <n v="1777"/>
    <n v="1777"/>
    <n v="0"/>
    <s v="Yes"/>
  </r>
  <r>
    <n v="82467"/>
    <n v="0"/>
    <n v="82467"/>
    <x v="745"/>
    <x v="735"/>
    <n v="0"/>
    <s v="MPG"/>
    <s v="Direct"/>
    <n v="1059"/>
    <x v="6"/>
    <s v="Old"/>
    <d v="2026-01-10T00:00:00"/>
    <n v="592.19999999999993"/>
    <n v="36329.942369084005"/>
    <n v="444.15"/>
    <n v="562.58999999999992"/>
    <n v="0"/>
    <n v="1089.8982710725202"/>
    <n v="527.30827107252026"/>
    <n v="59.22"/>
    <n v="947.38910595171137"/>
    <n v="0"/>
    <n v="0"/>
    <n v="0"/>
    <n v="0"/>
    <n v="0"/>
    <n v="0"/>
    <n v="0"/>
    <n v="0"/>
    <n v="0"/>
    <s v="Release"/>
  </r>
  <r>
    <n v="64623.726200000005"/>
    <n v="0"/>
    <n v="64623.726200000005"/>
    <x v="746"/>
    <x v="736"/>
    <n v="0"/>
    <s v="MPG"/>
    <s v="Direct"/>
    <n v="1059"/>
    <x v="6"/>
    <s v="Old"/>
    <d v="2026-01-10T00:00:00"/>
    <n v="4043"/>
    <n v="152447.44432762"/>
    <n v="3032.25"/>
    <n v="3840.85"/>
    <n v="0"/>
    <n v="4573.4233298285999"/>
    <n v="732.57332982859998"/>
    <n v="404.3"/>
    <n v="0"/>
    <n v="6469"/>
    <n v="3048.9488865523999"/>
    <n v="0"/>
    <n v="0"/>
    <n v="0"/>
    <n v="0"/>
    <n v="3420"/>
    <n v="3420"/>
    <n v="0"/>
    <s v="Yes"/>
  </r>
  <r>
    <n v="64000"/>
    <n v="0"/>
    <n v="64000"/>
    <x v="747"/>
    <x v="737"/>
    <n v="0"/>
    <s v="MPG"/>
    <s v="Direct"/>
    <n v="1001"/>
    <x v="0"/>
    <s v="Old"/>
    <d v="2026-01-20T00:00:00"/>
    <n v="564.80000000000007"/>
    <n v="21938.342676250002"/>
    <n v="423.6"/>
    <n v="536.56000000000006"/>
    <n v="0"/>
    <n v="658.1502802875001"/>
    <n v="121.59028028750004"/>
    <n v="56.480000000000011"/>
    <n v="903.44736238457472"/>
    <n v="0"/>
    <n v="0"/>
    <n v="0"/>
    <n v="0"/>
    <n v="0"/>
    <n v="0"/>
    <n v="0"/>
    <n v="0"/>
    <n v="0"/>
    <s v="Release"/>
  </r>
  <r>
    <n v="0"/>
    <n v="0"/>
    <n v="0"/>
    <x v="748"/>
    <x v="738"/>
    <n v="0"/>
    <s v="vlc"/>
    <s v="Indirect"/>
    <n v="1056"/>
    <x v="8"/>
    <s v="Old"/>
    <d v="2025-03-19T00:00:00"/>
    <n v="408.3"/>
    <n v="14693.134221787801"/>
    <n v="306.22500000000002"/>
    <n v="387.88499999999999"/>
    <n v="0"/>
    <n v="440.79402665363403"/>
    <n v="52.909026653634044"/>
    <n v="40.830000000000005"/>
    <n v="653.50939324054752"/>
    <n v="0"/>
    <n v="0"/>
    <n v="0"/>
    <n v="0"/>
    <n v="0"/>
    <n v="0"/>
    <n v="0"/>
    <n v="0"/>
    <n v="0"/>
    <s v="Release"/>
  </r>
  <r>
    <n v="78569"/>
    <n v="0"/>
    <n v="78569"/>
    <x v="749"/>
    <x v="739"/>
    <n v="0"/>
    <s v="MPG"/>
    <s v="Direct"/>
    <n v="1007"/>
    <x v="7"/>
    <s v="Old"/>
    <d v="2026-01-18T00:00:00"/>
    <n v="758.4"/>
    <n v="26600.057934190001"/>
    <n v="568.79999999999995"/>
    <n v="720.4799999999999"/>
    <n v="0"/>
    <n v="798.00173802569998"/>
    <n v="77.521738025700074"/>
    <n v="75.84"/>
    <n v="1212.9501583705442"/>
    <n v="0"/>
    <n v="0"/>
    <n v="0"/>
    <n v="0"/>
    <n v="0"/>
    <n v="0"/>
    <n v="0"/>
    <n v="0"/>
    <n v="0"/>
    <s v="Release"/>
  </r>
  <r>
    <n v="75733.464200000002"/>
    <n v="0"/>
    <n v="75733.464200000002"/>
    <x v="750"/>
    <x v="740"/>
    <n v="0"/>
    <s v="MPG"/>
    <s v="Direct"/>
    <n v="1007"/>
    <x v="7"/>
    <s v="Old"/>
    <d v="2026-01-16T00:00:00"/>
    <n v="3952.6000000000004"/>
    <n v="142753.38153025851"/>
    <n v="2964.4500000000003"/>
    <n v="3754.9700000000003"/>
    <n v="0"/>
    <n v="4282.6014459077551"/>
    <n v="527.63144590775482"/>
    <n v="395.26000000000005"/>
    <n v="0"/>
    <n v="6324"/>
    <n v="2855.0676306051705"/>
    <n v="0"/>
    <n v="0"/>
    <n v="0"/>
    <n v="0"/>
    <n v="3469"/>
    <n v="3469"/>
    <n v="0"/>
    <s v="Yes"/>
  </r>
  <r>
    <n v="0"/>
    <n v="0"/>
    <n v="0"/>
    <x v="751"/>
    <x v="741"/>
    <n v="0"/>
    <s v="vlc"/>
    <s v="Indirect"/>
    <n v="1014"/>
    <x v="16"/>
    <s v="Old"/>
    <d v="2026-01-20T00:00:00"/>
    <n v="1205.7999999999997"/>
    <n v="40607.727544000001"/>
    <n v="904.3499999999998"/>
    <n v="1145.5099999999998"/>
    <n v="0"/>
    <n v="1218.23182632"/>
    <n v="72.721826320000218"/>
    <n v="120.57999999999998"/>
    <n v="1076.0777739207267"/>
    <n v="853"/>
    <n v="0"/>
    <n v="0"/>
    <n v="0"/>
    <n v="0"/>
    <n v="54.900000000000006"/>
    <n v="798"/>
    <n v="0"/>
    <n v="798"/>
    <s v="Release"/>
  </r>
  <r>
    <n v="63139"/>
    <n v="0"/>
    <n v="63139"/>
    <x v="752"/>
    <x v="742"/>
    <n v="0"/>
    <s v="MPG"/>
    <s v="Direct"/>
    <n v="1053"/>
    <x v="18"/>
    <s v="Old"/>
    <d v="2026-01-16T00:00:00"/>
    <n v="991.44999999999993"/>
    <n v="40637.245529760505"/>
    <n v="743.58749999999998"/>
    <n v="941.87749999999994"/>
    <n v="367.55481648036005"/>
    <n v="1219.1173658928151"/>
    <n v="277.23986589281515"/>
    <n v="99.144999999999996"/>
    <n v="1484.3458161353792"/>
    <n v="470"/>
    <n v="470"/>
    <n v="0"/>
    <n v="0"/>
    <n v="0"/>
    <n v="0"/>
    <n v="0"/>
    <n v="0"/>
    <n v="0"/>
    <s v="Release"/>
  </r>
  <r>
    <n v="71966"/>
    <n v="0"/>
    <n v="71966"/>
    <x v="753"/>
    <x v="743"/>
    <n v="0"/>
    <s v="MPG"/>
    <s v="Direct"/>
    <n v="1053"/>
    <x v="18"/>
    <s v="Old"/>
    <d v="2026-01-21T00:00:00"/>
    <n v="402.15"/>
    <n v="16390.26320739225"/>
    <n v="301.61249999999995"/>
    <n v="382.04249999999996"/>
    <n v="7.7142756240000017"/>
    <n v="491.7078962217675"/>
    <n v="109.66539622176754"/>
    <n v="40.215000000000003"/>
    <n v="651.21460198742534"/>
    <n v="0"/>
    <n v="0"/>
    <n v="0"/>
    <n v="0"/>
    <n v="0"/>
    <n v="0"/>
    <n v="0"/>
    <n v="0"/>
    <n v="0"/>
    <s v="Release"/>
  </r>
  <r>
    <n v="64284"/>
    <n v="6400"/>
    <n v="70684"/>
    <x v="754"/>
    <x v="744"/>
    <n v="0"/>
    <s v="MPG"/>
    <s v="Direct"/>
    <n v="1058"/>
    <x v="2"/>
    <s v="Old"/>
    <d v="2026-01-17T00:00:00"/>
    <n v="1063.2"/>
    <n v="38706.397768263996"/>
    <n v="797.40000000000009"/>
    <n v="1010.04"/>
    <n v="0"/>
    <n v="1161.1919330479197"/>
    <n v="151.15193304791978"/>
    <n v="106.32000000000001"/>
    <n v="1264.8912006414091"/>
    <n v="436"/>
    <n v="436"/>
    <n v="0"/>
    <n v="0"/>
    <n v="0"/>
    <n v="0"/>
    <n v="0"/>
    <n v="0"/>
    <n v="0"/>
    <s v="Release"/>
  </r>
  <r>
    <n v="64000"/>
    <n v="6400"/>
    <n v="70400"/>
    <x v="755"/>
    <x v="745"/>
    <n v="0"/>
    <s v="MPG"/>
    <s v="Direct"/>
    <n v="1058"/>
    <x v="2"/>
    <s v="Old"/>
    <d v="2026-01-16T00:00:00"/>
    <n v="539.6"/>
    <n v="20837.42172033"/>
    <n v="404.70000000000005"/>
    <n v="512.62"/>
    <n v="0"/>
    <n v="625.1226516099"/>
    <n v="112.5026516099"/>
    <n v="53.960000000000008"/>
    <n v="863.7210615449078"/>
    <n v="0"/>
    <n v="0"/>
    <n v="0"/>
    <n v="0"/>
    <n v="0"/>
    <n v="0"/>
    <n v="0"/>
    <n v="0"/>
    <n v="0"/>
    <s v="Release"/>
  </r>
  <r>
    <n v="63139"/>
    <n v="6400"/>
    <n v="69539"/>
    <x v="756"/>
    <x v="746"/>
    <n v="0"/>
    <s v="MPG"/>
    <s v="Direct"/>
    <n v="1058"/>
    <x v="2"/>
    <s v="Old"/>
    <d v="2026-01-16T00:00:00"/>
    <n v="1956.6"/>
    <n v="65571.383330701996"/>
    <n v="1467.4499999999998"/>
    <n v="1858.7699999999998"/>
    <n v="0"/>
    <n v="1967.1414999210599"/>
    <n v="108.37149992106015"/>
    <n v="195.66"/>
    <n v="567.36857998126197"/>
    <n v="2563"/>
    <n v="1861"/>
    <n v="0"/>
    <n v="0"/>
    <n v="0"/>
    <n v="0"/>
    <n v="702"/>
    <n v="702"/>
    <n v="0"/>
    <s v="Yes"/>
  </r>
  <r>
    <n v="61971.521399999998"/>
    <n v="6400"/>
    <n v="68371.521399999998"/>
    <x v="757"/>
    <x v="747"/>
    <n v="0"/>
    <s v="MPG"/>
    <s v="Direct"/>
    <n v="1058"/>
    <x v="2"/>
    <s v="Old"/>
    <d v="2026-01-17T00:00:00"/>
    <n v="4824"/>
    <n v="194779.36578502198"/>
    <n v="3618"/>
    <n v="4582.8"/>
    <n v="876.24996683000006"/>
    <n v="5843.3809735506593"/>
    <n v="1260.5809735506591"/>
    <n v="482.40000000000003"/>
    <n v="0"/>
    <n v="8595"/>
    <n v="3895.5873157004394"/>
    <n v="0"/>
    <n v="0"/>
    <n v="0"/>
    <n v="0"/>
    <n v="4699"/>
    <n v="4699"/>
    <n v="0"/>
    <s v="Yes"/>
  </r>
  <r>
    <n v="66951"/>
    <n v="0"/>
    <n v="66951"/>
    <x v="758"/>
    <x v="748"/>
    <n v="0"/>
    <s v="MPG"/>
    <s v="Direct"/>
    <n v="1059"/>
    <x v="6"/>
    <s v="Old"/>
    <d v="2026-01-16T00:00:00"/>
    <n v="2626.9"/>
    <n v="111244.0726827"/>
    <n v="1970.1750000000002"/>
    <n v="2495.5549999999998"/>
    <n v="0"/>
    <n v="3337.322180481"/>
    <n v="841.7671804810002"/>
    <n v="262.69"/>
    <n v="628.91613268662206"/>
    <n v="3574"/>
    <n v="2224.8814536540003"/>
    <n v="0"/>
    <n v="0"/>
    <n v="0"/>
    <n v="0"/>
    <n v="1349"/>
    <n v="1349"/>
    <n v="0"/>
    <s v="Yes"/>
  </r>
  <r>
    <n v="0"/>
    <n v="6400"/>
    <n v="6400"/>
    <x v="759"/>
    <x v="749"/>
    <n v="0"/>
    <s v="vlc"/>
    <s v="Indirect"/>
    <n v="1010"/>
    <x v="9"/>
    <s v="Old"/>
    <d v="2023-03-02T00:00:00"/>
    <n v="516.20000000000005"/>
    <n v="16823.805235456002"/>
    <n v="387.15000000000003"/>
    <n v="490.39000000000004"/>
    <n v="0"/>
    <n v="504.71415706368003"/>
    <n v="14.324157063679991"/>
    <n v="51.620000000000005"/>
    <n v="825.89442615756752"/>
    <n v="0"/>
    <n v="0"/>
    <n v="0"/>
    <n v="0"/>
    <n v="0"/>
    <n v="0"/>
    <n v="0"/>
    <n v="0"/>
    <n v="0"/>
    <s v="Release"/>
  </r>
  <r>
    <n v="0"/>
    <n v="0"/>
    <n v="0"/>
    <x v="760"/>
    <x v="750"/>
    <n v="0"/>
    <s v="vlc"/>
    <s v="Indirect"/>
    <n v="1010"/>
    <x v="9"/>
    <s v="Old"/>
    <d v="2023-08-09T00:00:00"/>
    <n v="2170.3999999999996"/>
    <n v="77980.89814269921"/>
    <n v="1627.7999999999997"/>
    <n v="2061.8799999999997"/>
    <n v="0"/>
    <n v="2339.4269442809764"/>
    <n v="277.54694428097673"/>
    <n v="217.03999999999996"/>
    <n v="455.33429010836909"/>
    <n v="3017"/>
    <n v="0"/>
    <n v="0"/>
    <n v="0"/>
    <n v="0"/>
    <n v="0"/>
    <n v="3017"/>
    <n v="0"/>
    <n v="3017"/>
    <s v="Release"/>
  </r>
  <r>
    <n v="0"/>
    <n v="0"/>
    <n v="0"/>
    <x v="761"/>
    <x v="751"/>
    <n v="0"/>
    <s v="vlc"/>
    <s v="Indirect"/>
    <n v="1010"/>
    <x v="9"/>
    <s v="Old"/>
    <d v="2026-01-28T00:00:00"/>
    <n v="31768"/>
    <n v="1270989.12702651"/>
    <n v="23826"/>
    <n v="30179.599999999999"/>
    <n v="0"/>
    <n v="38129.673810795299"/>
    <n v="7950.0738107953002"/>
    <n v="3176.8"/>
    <n v="0"/>
    <n v="50829"/>
    <n v="0"/>
    <n v="0"/>
    <n v="0"/>
    <n v="0"/>
    <n v="0"/>
    <n v="50829"/>
    <n v="0"/>
    <n v="50829"/>
    <s v="Release"/>
  </r>
  <r>
    <n v="60988.977599999998"/>
    <n v="0"/>
    <n v="60988.977599999998"/>
    <x v="762"/>
    <x v="752"/>
    <n v="0"/>
    <s v="MPG"/>
    <s v="Direct"/>
    <n v="1012"/>
    <x v="14"/>
    <s v="Old"/>
    <d v="2026-01-23T00:00:00"/>
    <n v="4441.8499999999995"/>
    <n v="189343.9167630283"/>
    <n v="3331.3874999999998"/>
    <n v="4219.7574999999997"/>
    <n v="0"/>
    <n v="5680.317502890849"/>
    <n v="1460.5600028908493"/>
    <n v="444.18499999999995"/>
    <n v="0"/>
    <n v="7107"/>
    <n v="3786.878335260566"/>
    <n v="0"/>
    <n v="0"/>
    <n v="0"/>
    <n v="0"/>
    <n v="3320"/>
    <n v="0"/>
    <n v="3320"/>
    <s v="Release"/>
  </r>
  <r>
    <n v="61009.3226"/>
    <n v="0"/>
    <n v="61009.3226"/>
    <x v="763"/>
    <x v="753"/>
    <n v="0"/>
    <s v="MPG"/>
    <s v="Direct"/>
    <n v="1054"/>
    <x v="13"/>
    <s v="Old"/>
    <d v="2026-01-24T00:00:00"/>
    <n v="5436.4800000000005"/>
    <n v="275006.0109236181"/>
    <n v="4077.3600000000006"/>
    <n v="5164.6559999999999"/>
    <n v="0"/>
    <n v="8250.1803277085419"/>
    <n v="3085.5243277085419"/>
    <n v="543.64800000000002"/>
    <n v="0"/>
    <n v="8698"/>
    <n v="5500.1202184723625"/>
    <n v="0"/>
    <n v="0"/>
    <n v="0"/>
    <n v="0"/>
    <n v="3198"/>
    <n v="0"/>
    <n v="3198"/>
    <s v="Release"/>
  </r>
  <r>
    <n v="64500"/>
    <n v="6400"/>
    <n v="70900"/>
    <x v="764"/>
    <x v="754"/>
    <n v="0"/>
    <s v="MPG"/>
    <s v="Direct"/>
    <n v="1058"/>
    <x v="2"/>
    <s v="Old"/>
    <d v="2026-01-24T00:00:00"/>
    <n v="681.8"/>
    <n v="29080.90264987"/>
    <n v="511.34999999999997"/>
    <n v="647.70999999999992"/>
    <n v="0"/>
    <n v="872.42707949609996"/>
    <n v="224.71707949610004"/>
    <n v="68.179999999999993"/>
    <n v="1091.1020386768284"/>
    <n v="0"/>
    <n v="0"/>
    <n v="0"/>
    <n v="0"/>
    <n v="0"/>
    <n v="0"/>
    <n v="0"/>
    <n v="0"/>
    <n v="0"/>
    <s v="Release"/>
  </r>
  <r>
    <n v="65000"/>
    <n v="0"/>
    <n v="65000"/>
    <x v="765"/>
    <x v="755"/>
    <n v="0"/>
    <s v="MPG"/>
    <s v="Direct"/>
    <n v="1009"/>
    <x v="11"/>
    <s v="Old"/>
    <d v="2026-02-05T00:00:00"/>
    <n v="1235.1999999999998"/>
    <n v="46014.993440448001"/>
    <n v="926.39999999999986"/>
    <n v="1173.4399999999998"/>
    <n v="0"/>
    <n v="1380.44980321344"/>
    <n v="207.00980321344014"/>
    <n v="123.51999999999998"/>
    <n v="1163.799602597903"/>
    <n v="813"/>
    <n v="813"/>
    <n v="0"/>
    <n v="0"/>
    <n v="0"/>
    <n v="0"/>
    <n v="0"/>
    <n v="0"/>
    <n v="0"/>
    <s v="Release"/>
  </r>
  <r>
    <n v="75000"/>
    <n v="0"/>
    <n v="75000"/>
    <x v="766"/>
    <x v="756"/>
    <n v="0"/>
    <s v="MPG"/>
    <s v="Direct"/>
    <n v="1013"/>
    <x v="15"/>
    <s v="Old"/>
    <d v="2026-02-01T00:00:00"/>
    <n v="1741.8999999999999"/>
    <n v="80095.29886016871"/>
    <n v="1306.425"/>
    <n v="1654.8049999999998"/>
    <n v="257.91362150400005"/>
    <n v="2402.8589658050614"/>
    <n v="748.05396580506158"/>
    <n v="174.19"/>
    <n v="969.02809796383883"/>
    <n v="2076"/>
    <n v="1861"/>
    <n v="0"/>
    <n v="0"/>
    <n v="0"/>
    <n v="0"/>
    <n v="215"/>
    <n v="215"/>
    <n v="0"/>
    <s v="Yes"/>
  </r>
  <r>
    <n v="84067"/>
    <n v="0"/>
    <n v="84067"/>
    <x v="767"/>
    <x v="757"/>
    <n v="0"/>
    <s v="MPG"/>
    <s v="Direct"/>
    <n v="1013"/>
    <x v="15"/>
    <s v="Old"/>
    <d v="2026-01-31T00:00:00"/>
    <n v="253"/>
    <n v="8876.9758375695001"/>
    <n v="189.75"/>
    <n v="240.35"/>
    <n v="0"/>
    <n v="266.30927512708502"/>
    <n v="25.959275127085021"/>
    <n v="25.3"/>
    <n v="405.29709784771899"/>
    <n v="0"/>
    <n v="0"/>
    <n v="0"/>
    <n v="0"/>
    <n v="0"/>
    <n v="0"/>
    <n v="0"/>
    <n v="0"/>
    <n v="0"/>
    <s v="Release"/>
  </r>
  <r>
    <n v="0"/>
    <n v="0"/>
    <n v="0"/>
    <x v="768"/>
    <x v="758"/>
    <n v="0"/>
    <s v="vlc"/>
    <s v="Indirect"/>
    <n v="1053"/>
    <x v="18"/>
    <s v="Old"/>
    <d v="2026-02-04T00:00:00"/>
    <n v="196.25"/>
    <n v="6719.1037428920008"/>
    <n v="147.1875"/>
    <n v="186.4375"/>
    <n v="0"/>
    <n v="201.57311228676002"/>
    <n v="15.135612286760022"/>
    <n v="19.625"/>
    <n v="313.67804639873532"/>
    <n v="0"/>
    <n v="0"/>
    <n v="0"/>
    <n v="0"/>
    <n v="0"/>
    <n v="0"/>
    <n v="0"/>
    <n v="0"/>
    <n v="0"/>
    <s v="Release"/>
  </r>
  <r>
    <n v="63387"/>
    <n v="0"/>
    <n v="63387"/>
    <x v="769"/>
    <x v="759"/>
    <n v="0"/>
    <s v="MPG"/>
    <s v="Direct"/>
    <n v="1054"/>
    <x v="13"/>
    <s v="Old"/>
    <d v="2026-01-31T00:00:00"/>
    <n v="1592.48"/>
    <n v="58570.392225015799"/>
    <n v="1194.3600000000001"/>
    <n v="1512.856"/>
    <n v="0"/>
    <n v="1757.1117667504739"/>
    <n v="244.25576675047387"/>
    <n v="159.24800000000002"/>
    <n v="887.46755941148047"/>
    <n v="1661"/>
    <n v="1661"/>
    <n v="0"/>
    <n v="0"/>
    <n v="0"/>
    <n v="0"/>
    <n v="0"/>
    <n v="0"/>
    <n v="0"/>
    <s v="Release"/>
  </r>
  <r>
    <n v="75000"/>
    <n v="0"/>
    <n v="75000"/>
    <x v="770"/>
    <x v="760"/>
    <n v="0"/>
    <s v="MPG"/>
    <s v="Direct"/>
    <n v="1057"/>
    <x v="19"/>
    <s v="Old"/>
    <d v="2026-02-04T00:00:00"/>
    <n v="1183.4000000000001"/>
    <n v="47520.742006807995"/>
    <n v="887.55000000000007"/>
    <n v="1124.23"/>
    <n v="0"/>
    <n v="1425.6222602042399"/>
    <n v="301.39226020423985"/>
    <n v="118.34000000000002"/>
    <n v="1295.4856997919574"/>
    <n v="598"/>
    <n v="598"/>
    <n v="0"/>
    <n v="0"/>
    <n v="0"/>
    <n v="0"/>
    <n v="0"/>
    <n v="0"/>
    <n v="0"/>
    <s v="Release"/>
  </r>
  <r>
    <n v="62894.273000000001"/>
    <n v="0"/>
    <n v="62894.273000000001"/>
    <x v="771"/>
    <x v="761"/>
    <n v="0"/>
    <s v="MPG"/>
    <s v="Direct"/>
    <n v="1014"/>
    <x v="16"/>
    <s v="Old"/>
    <d v="2026-01-30T00:00:00"/>
    <n v="1214.0999999999999"/>
    <n v="42245.058344460005"/>
    <n v="910.57499999999993"/>
    <n v="1153.3949999999998"/>
    <n v="0"/>
    <n v="1267.3517503338001"/>
    <n v="113.9567503338003"/>
    <n v="121.41"/>
    <n v="1098.1519799221865"/>
    <n v="844"/>
    <n v="844"/>
    <n v="0"/>
    <n v="0"/>
    <n v="0"/>
    <n v="0"/>
    <n v="0"/>
    <n v="0"/>
    <n v="0"/>
    <s v="Release"/>
  </r>
  <r>
    <n v="61885.042600000001"/>
    <n v="0"/>
    <n v="61885.042600000001"/>
    <x v="772"/>
    <x v="762"/>
    <n v="0"/>
    <s v="MPG"/>
    <s v="Direct"/>
    <n v="1014"/>
    <x v="16"/>
    <s v="Old"/>
    <d v="2026-01-30T00:00:00"/>
    <n v="2140.4"/>
    <n v="75190.935915270005"/>
    <n v="1605.3000000000002"/>
    <n v="2033.3799999999999"/>
    <n v="0"/>
    <n v="2255.7280774581"/>
    <n v="222.34807745810008"/>
    <n v="214.04000000000002"/>
    <n v="463.61589584570481"/>
    <n v="2961"/>
    <n v="1861"/>
    <n v="0"/>
    <n v="0"/>
    <n v="0"/>
    <n v="310.90000000000003"/>
    <n v="789"/>
    <n v="0"/>
    <n v="789"/>
    <s v="Release"/>
  </r>
  <r>
    <n v="75000"/>
    <n v="0"/>
    <n v="75000"/>
    <x v="773"/>
    <x v="763"/>
    <n v="0"/>
    <s v="MPG"/>
    <s v="Direct"/>
    <n v="1014"/>
    <x v="16"/>
    <s v="Old"/>
    <d v="2026-02-01T00:00:00"/>
    <n v="2493.1999999999998"/>
    <n v="84146.772563680002"/>
    <n v="1869.8999999999999"/>
    <n v="2368.5399999999995"/>
    <n v="0"/>
    <n v="2524.4031769103999"/>
    <n v="155.8631769104004"/>
    <n v="249.32"/>
    <n v="475.44376590849373"/>
    <n v="3514"/>
    <n v="1861"/>
    <n v="0"/>
    <n v="0"/>
    <n v="0"/>
    <n v="259.60000000000002"/>
    <n v="1393"/>
    <n v="1393"/>
    <n v="0"/>
    <s v="Yes"/>
  </r>
  <r>
    <n v="63923"/>
    <n v="0"/>
    <n v="63923"/>
    <x v="774"/>
    <x v="764"/>
    <n v="0"/>
    <s v="MPG"/>
    <s v="Direct"/>
    <n v="1014"/>
    <x v="16"/>
    <s v="Old"/>
    <d v="2026-01-30T00:00:00"/>
    <n v="1539.9"/>
    <n v="60300.866592880004"/>
    <n v="1154.9250000000002"/>
    <n v="1462.905"/>
    <n v="0"/>
    <n v="1809.0259977864"/>
    <n v="346.12099778640004"/>
    <n v="153.99"/>
    <n v="979.01728856729119"/>
    <n v="1485"/>
    <n v="1485"/>
    <n v="0"/>
    <n v="0"/>
    <n v="0"/>
    <n v="0"/>
    <n v="0"/>
    <n v="0"/>
    <n v="0"/>
    <s v="Release"/>
  </r>
  <r>
    <n v="74000"/>
    <n v="0"/>
    <n v="74000"/>
    <x v="775"/>
    <x v="765"/>
    <n v="0"/>
    <s v="MPG"/>
    <s v="Direct"/>
    <n v="1014"/>
    <x v="16"/>
    <s v="Old"/>
    <d v="2026-01-30T00:00:00"/>
    <n v="466.2"/>
    <n v="15364.747564639998"/>
    <n v="349.65"/>
    <n v="442.89"/>
    <n v="0"/>
    <n v="460.94242693919995"/>
    <n v="18.052426939199961"/>
    <n v="46.620000000000005"/>
    <n v="745.94494175062846"/>
    <n v="0"/>
    <n v="0"/>
    <n v="0"/>
    <n v="0"/>
    <n v="0"/>
    <n v="0"/>
    <n v="0"/>
    <n v="0"/>
    <n v="0"/>
    <s v="Release"/>
  </r>
  <r>
    <n v="79000"/>
    <n v="0"/>
    <n v="79000"/>
    <x v="776"/>
    <x v="766"/>
    <n v="0"/>
    <s v="MPG"/>
    <s v="Direct"/>
    <n v="1014"/>
    <x v="16"/>
    <s v="Old"/>
    <d v="2026-02-04T00:00:00"/>
    <n v="1507.1999999999998"/>
    <n v="54903.755823529995"/>
    <n v="1130.3999999999999"/>
    <n v="1431.8399999999997"/>
    <n v="0"/>
    <n v="1647.1126747058997"/>
    <n v="215.27267470590004"/>
    <n v="150.72"/>
    <n v="943.73515121409332"/>
    <n v="1468"/>
    <n v="1468"/>
    <n v="0"/>
    <n v="0"/>
    <n v="0"/>
    <n v="0"/>
    <n v="0"/>
    <n v="0"/>
    <n v="0"/>
    <s v="Release"/>
  </r>
  <r>
    <n v="63393"/>
    <n v="0"/>
    <n v="63393"/>
    <x v="777"/>
    <x v="767"/>
    <n v="0"/>
    <s v="MPG"/>
    <s v="Direct"/>
    <n v="1061"/>
    <x v="22"/>
    <s v="Old"/>
    <d v="2026-01-31T00:00:00"/>
    <n v="1358.1999999999998"/>
    <n v="63779.783491003007"/>
    <n v="1018.6499999999999"/>
    <n v="1290.2899999999997"/>
    <n v="0"/>
    <n v="1913.3935047300902"/>
    <n v="623.10350473009044"/>
    <n v="135.82"/>
    <n v="1352.1841460866219"/>
    <n v="821"/>
    <n v="821"/>
    <n v="0"/>
    <n v="0"/>
    <n v="0"/>
    <n v="0"/>
    <n v="0"/>
    <n v="0"/>
    <n v="0"/>
    <s v="Release"/>
  </r>
  <r>
    <n v="73139"/>
    <n v="0"/>
    <n v="73139"/>
    <x v="778"/>
    <x v="768"/>
    <n v="0"/>
    <s v="MPG"/>
    <s v="Direct"/>
    <n v="1061"/>
    <x v="22"/>
    <s v="Old"/>
    <d v="2026-01-31T00:00:00"/>
    <n v="1421.8999999999999"/>
    <n v="67545.511461988004"/>
    <n v="1066.425"/>
    <n v="1350.8049999999998"/>
    <n v="507.52765998000007"/>
    <n v="2026.36534385964"/>
    <n v="675.56034385964017"/>
    <n v="142.19"/>
    <n v="1310.751616776241"/>
    <n v="1472"/>
    <n v="1472"/>
    <n v="0"/>
    <n v="0"/>
    <n v="0"/>
    <n v="0"/>
    <n v="0"/>
    <n v="0"/>
    <n v="0"/>
    <s v="Release"/>
  </r>
  <r>
    <n v="68139"/>
    <n v="0"/>
    <n v="68139"/>
    <x v="779"/>
    <x v="769"/>
    <n v="0"/>
    <s v="MPG"/>
    <s v="Direct"/>
    <n v="1061"/>
    <x v="22"/>
    <s v="Old"/>
    <d v="2026-01-31T00:00:00"/>
    <n v="1142.0999999999999"/>
    <n v="58621.038026329399"/>
    <n v="856.57499999999993"/>
    <n v="1084.9949999999999"/>
    <n v="1309.33278218394"/>
    <n v="1758.631140789882"/>
    <n v="0"/>
    <n v="114.21"/>
    <n v="1702.7384066432119"/>
    <n v="0"/>
    <n v="0"/>
    <n v="0"/>
    <n v="0"/>
    <n v="0"/>
    <n v="0"/>
    <n v="0"/>
    <n v="0"/>
    <n v="0"/>
    <s v="Release"/>
  </r>
  <r>
    <n v="63139"/>
    <n v="0"/>
    <n v="63139"/>
    <x v="780"/>
    <x v="770"/>
    <n v="0"/>
    <s v="MPG"/>
    <s v="Direct"/>
    <n v="1061"/>
    <x v="22"/>
    <s v="Old"/>
    <d v="2026-01-31T00:00:00"/>
    <n v="2003.5"/>
    <n v="87514.049857424136"/>
    <n v="1502.625"/>
    <n v="1903.3249999999998"/>
    <n v="0"/>
    <n v="2625.4214957227241"/>
    <n v="722.09649572272428"/>
    <n v="200.35000000000002"/>
    <n v="693.56796299842017"/>
    <n v="2512"/>
    <n v="1861"/>
    <n v="0"/>
    <n v="0"/>
    <n v="0"/>
    <n v="0"/>
    <n v="651"/>
    <n v="0"/>
    <n v="651"/>
    <s v="Release"/>
  </r>
  <r>
    <n v="74216"/>
    <n v="0"/>
    <n v="74216"/>
    <x v="781"/>
    <x v="771"/>
    <n v="0"/>
    <s v="MPG"/>
    <s v="Direct"/>
    <n v="1061"/>
    <x v="22"/>
    <s v="Old"/>
    <d v="2026-01-31T00:00:00"/>
    <n v="1837.6000000000001"/>
    <n v="77916.534707330793"/>
    <n v="1378.2"/>
    <n v="1745.72"/>
    <n v="0"/>
    <n v="2337.4960412199239"/>
    <n v="591.77604121992385"/>
    <n v="183.76000000000002"/>
    <n v="831.62846492280812"/>
    <n v="2109"/>
    <n v="1861"/>
    <n v="0"/>
    <n v="0"/>
    <n v="0"/>
    <n v="0"/>
    <n v="248"/>
    <n v="0"/>
    <n v="248"/>
    <s v="Release"/>
  </r>
  <r>
    <n v="75000"/>
    <n v="0"/>
    <n v="75000"/>
    <x v="782"/>
    <x v="772"/>
    <n v="0"/>
    <s v="MPG"/>
    <s v="Direct"/>
    <n v="1006"/>
    <x v="5"/>
    <s v="Old"/>
    <d v="2026-02-11T00:00:00"/>
    <n v="2802"/>
    <n v="110596.95987573999"/>
    <n v="2101.5"/>
    <n v="2661.9"/>
    <n v="16.83178002"/>
    <n v="3317.9087962721997"/>
    <n v="656.00879627219956"/>
    <n v="280.2"/>
    <n v="233.26530206805066"/>
    <n v="4267"/>
    <n v="2211.9391975148001"/>
    <n v="0"/>
    <n v="0"/>
    <n v="0"/>
    <n v="0"/>
    <n v="2055"/>
    <n v="2055"/>
    <n v="0"/>
    <s v="Yes"/>
  </r>
  <r>
    <n v="0"/>
    <n v="0"/>
    <n v="0"/>
    <x v="783"/>
    <x v="773"/>
    <n v="0"/>
    <s v="vlc"/>
    <s v="Indirect"/>
    <n v="1010"/>
    <x v="9"/>
    <s v="Old"/>
    <d v="2026-02-10T00:00:00"/>
    <n v="3802.6"/>
    <n v="131101.25060816098"/>
    <n v="2851.95"/>
    <n v="3612.47"/>
    <n v="0"/>
    <n v="3933.0375182448292"/>
    <n v="320.56751824482944"/>
    <n v="380.26"/>
    <n v="0"/>
    <n v="6084"/>
    <n v="0"/>
    <n v="0"/>
    <n v="0"/>
    <n v="0"/>
    <n v="0"/>
    <n v="6084"/>
    <n v="0"/>
    <n v="6084"/>
    <s v="Release"/>
  </r>
  <r>
    <n v="0"/>
    <n v="0"/>
    <n v="0"/>
    <x v="784"/>
    <x v="774"/>
    <n v="0"/>
    <s v="vlc"/>
    <s v="Indirect"/>
    <n v="1014"/>
    <x v="16"/>
    <s v="Old"/>
    <d v="2026-02-12T00:00:00"/>
    <n v="8482.2000000000007"/>
    <n v="309423.26124205999"/>
    <n v="6361.6500000000005"/>
    <n v="8058.09"/>
    <n v="0"/>
    <n v="9282.6978372617996"/>
    <n v="1224.6078372617994"/>
    <n v="848.22000000000014"/>
    <n v="0"/>
    <n v="13572"/>
    <n v="0"/>
    <n v="0"/>
    <n v="0"/>
    <n v="0"/>
    <n v="0"/>
    <n v="13572"/>
    <n v="0"/>
    <n v="13572"/>
    <s v="Release"/>
  </r>
  <r>
    <n v="65000"/>
    <n v="0"/>
    <n v="65000"/>
    <x v="785"/>
    <x v="775"/>
    <n v="0"/>
    <s v="MPG"/>
    <s v="Direct"/>
    <n v="1053"/>
    <x v="18"/>
    <s v="Old"/>
    <d v="2026-02-11T00:00:00"/>
    <n v="601.65000000000009"/>
    <n v="23287.347138179"/>
    <n v="451.23750000000007"/>
    <n v="571.56750000000011"/>
    <n v="185.08993629180003"/>
    <n v="698.62041414536998"/>
    <n v="127.05291414536987"/>
    <n v="60.165000000000013"/>
    <n v="1147.6274850539789"/>
    <n v="0"/>
    <n v="0"/>
    <n v="0"/>
    <n v="0"/>
    <n v="0"/>
    <n v="0"/>
    <n v="0"/>
    <n v="0"/>
    <n v="0"/>
    <s v="Release"/>
  </r>
  <r>
    <n v="65000"/>
    <n v="0"/>
    <n v="65000"/>
    <x v="786"/>
    <x v="776"/>
    <n v="0"/>
    <s v="MPG"/>
    <s v="Direct"/>
    <n v="1056"/>
    <x v="8"/>
    <s v="Old"/>
    <d v="2026-02-12T00:00:00"/>
    <n v="659.52"/>
    <n v="25437.8"/>
    <n v="494.64"/>
    <n v="626.54399999999998"/>
    <n v="0"/>
    <n v="763.1339999999999"/>
    <n v="136.58999999999992"/>
    <n v="65.951999999999998"/>
    <n v="1055.1500807530424"/>
    <n v="0"/>
    <n v="0"/>
    <n v="0"/>
    <n v="0"/>
    <n v="0"/>
    <n v="0"/>
    <n v="0"/>
    <n v="0"/>
    <n v="0"/>
    <s v="Release"/>
  </r>
  <r>
    <n v="75000"/>
    <n v="0"/>
    <n v="75000"/>
    <x v="787"/>
    <x v="777"/>
    <n v="0"/>
    <s v="MPG"/>
    <s v="Direct"/>
    <n v="1014"/>
    <x v="16"/>
    <s v="Old"/>
    <d v="2026-02-12T00:00:00"/>
    <n v="855"/>
    <n v="31695.644504560001"/>
    <n v="641.25"/>
    <n v="812.25"/>
    <n v="1281.4393249584002"/>
    <n v="950.86933513680003"/>
    <n v="138.61933513680003"/>
    <n v="85.5"/>
    <n v="1452.3966361022588"/>
    <n v="1197"/>
    <n v="1197"/>
    <n v="0"/>
    <n v="0"/>
    <n v="0"/>
    <n v="0"/>
    <n v="0"/>
    <n v="0"/>
    <n v="0"/>
    <s v="Release"/>
  </r>
  <r>
    <n v="49439.326399999998"/>
    <n v="6400"/>
    <n v="55839.326399999998"/>
    <x v="788"/>
    <x v="428"/>
    <n v="0"/>
    <s v="MPG"/>
    <s v="Direct"/>
    <n v="1002"/>
    <x v="3"/>
    <s v="Old"/>
    <d v="2022-11-01T00:00:00"/>
    <n v="2551.6999999999998"/>
    <n v="94115.343022999994"/>
    <n v="1913.7749999999999"/>
    <n v="2424.1149999999998"/>
    <n v="0"/>
    <n v="2823.4602906899995"/>
    <n v="399.34529068999973"/>
    <n v="255.17"/>
    <n v="210.84628096456001"/>
    <n v="3872"/>
    <n v="1882.3068604599998"/>
    <n v="0"/>
    <n v="0"/>
    <n v="0"/>
    <n v="0"/>
    <n v="1990"/>
    <n v="0"/>
    <n v="1990"/>
    <s v="Release"/>
  </r>
  <r>
    <n v="65000"/>
    <n v="0"/>
    <n v="65000"/>
    <x v="789"/>
    <x v="778"/>
    <n v="0"/>
    <s v="MPG"/>
    <s v="Direct"/>
    <n v="1008"/>
    <x v="1"/>
    <s v="Old"/>
    <d v="2026-02-13T00:00:00"/>
    <n v="1466.5500000000002"/>
    <n v="55195.357227075001"/>
    <n v="1099.9125000000001"/>
    <n v="1393.2225000000001"/>
    <n v="0"/>
    <n v="1655.8607168122501"/>
    <n v="262.63821681224999"/>
    <n v="146.65500000000003"/>
    <n v="1004.9561673368112"/>
    <n v="1342"/>
    <n v="1342"/>
    <n v="0"/>
    <n v="0"/>
    <n v="0"/>
    <n v="0"/>
    <n v="0"/>
    <n v="0"/>
    <n v="0"/>
    <s v="Release"/>
  </r>
  <r>
    <n v="65000"/>
    <n v="0"/>
    <n v="65000"/>
    <x v="790"/>
    <x v="779"/>
    <n v="0"/>
    <s v="MPG"/>
    <s v="Direct"/>
    <n v="1011"/>
    <x v="12"/>
    <s v="Old"/>
    <d v="2026-02-14T00:00:00"/>
    <n v="2287.5"/>
    <n v="95814.487063568013"/>
    <n v="1715.625"/>
    <n v="2173.125"/>
    <n v="1040.1622679925001"/>
    <n v="2874.4346119070401"/>
    <n v="701.30961190704011"/>
    <n v="228.75"/>
    <n v="429.73279310085707"/>
    <n v="4270"/>
    <n v="1916.2897412713603"/>
    <n v="0"/>
    <n v="0"/>
    <n v="0"/>
    <n v="0"/>
    <n v="2354"/>
    <n v="0"/>
    <n v="2354"/>
    <s v="Release"/>
  </r>
  <r>
    <n v="0"/>
    <n v="0"/>
    <n v="0"/>
    <x v="791"/>
    <x v="780"/>
    <n v="0"/>
    <s v="vlc"/>
    <s v="Indirect"/>
    <n v="1062"/>
    <x v="23"/>
    <s v="Old"/>
    <d v="2024-11-01T00:00:00"/>
    <n v="13231.099999999999"/>
    <n v="505113.21539730998"/>
    <n v="9923.3249999999989"/>
    <n v="12569.544999999998"/>
    <n v="0"/>
    <n v="15153.396461919299"/>
    <n v="2583.8514619193011"/>
    <n v="1323.11"/>
    <n v="0"/>
    <n v="21170"/>
    <n v="0"/>
    <n v="0"/>
    <n v="0"/>
    <n v="0"/>
    <n v="0"/>
    <n v="21170"/>
    <n v="0"/>
    <n v="21170"/>
    <s v="Release"/>
  </r>
  <r>
    <n v="75000"/>
    <n v="0"/>
    <n v="75000"/>
    <x v="792"/>
    <x v="781"/>
    <n v="0"/>
    <s v="MPG"/>
    <s v="Direct"/>
    <n v="1013"/>
    <x v="15"/>
    <s v="Old"/>
    <d v="2026-02-16T00:00:00"/>
    <n v="1260"/>
    <n v="38184.580078408493"/>
    <n v="945"/>
    <n v="1197"/>
    <n v="0"/>
    <n v="1145.5374023522547"/>
    <n v="-51.46259764774527"/>
    <n v="126"/>
    <n v="929.1166655077061"/>
    <n v="1087"/>
    <n v="1087"/>
    <n v="0"/>
    <n v="0"/>
    <n v="0"/>
    <n v="0"/>
    <n v="0"/>
    <n v="0"/>
    <n v="0"/>
    <s v="Release"/>
  </r>
  <r>
    <n v="0"/>
    <n v="0"/>
    <n v="0"/>
    <x v="793"/>
    <x v="569"/>
    <n v="0"/>
    <s v="vlc"/>
    <s v="Indirect"/>
    <n v="1053"/>
    <x v="18"/>
    <s v="Old"/>
    <d v="2026-02-14T00:00:00"/>
    <n v="1015.25"/>
    <n v="53569.228784971296"/>
    <n v="761.4375"/>
    <n v="964.48749999999995"/>
    <n v="0"/>
    <n v="1607.0768635491388"/>
    <n v="642.58936354913885"/>
    <n v="101.52500000000001"/>
    <n v="1624.2385488956024"/>
    <n v="0"/>
    <n v="0"/>
    <n v="0"/>
    <n v="0"/>
    <n v="0"/>
    <n v="0"/>
    <n v="0"/>
    <n v="0"/>
    <n v="0"/>
    <s v="Release"/>
  </r>
  <r>
    <n v="0"/>
    <n v="0"/>
    <n v="0"/>
    <x v="794"/>
    <x v="782"/>
    <n v="0"/>
    <s v="vlc"/>
    <s v="Indirect"/>
    <n v="1054"/>
    <x v="13"/>
    <s v="Old"/>
    <d v="2026-02-17T00:00:00"/>
    <n v="2342.1999999999998"/>
    <n v="102040.35163731128"/>
    <n v="1756.6499999999999"/>
    <n v="2225.0899999999997"/>
    <n v="0"/>
    <n v="3061.2105491193383"/>
    <n v="836.12054911933865"/>
    <n v="234.22"/>
    <n v="474.86020583693141"/>
    <n v="3273"/>
    <n v="0"/>
    <n v="0"/>
    <n v="0"/>
    <n v="0"/>
    <n v="0"/>
    <n v="3273"/>
    <n v="0"/>
    <n v="3273"/>
    <s v="Release"/>
  </r>
  <r>
    <n v="0"/>
    <n v="0"/>
    <n v="0"/>
    <x v="795"/>
    <x v="783"/>
    <n v="0"/>
    <s v="vlc"/>
    <s v="Indirect"/>
    <n v="1056"/>
    <x v="8"/>
    <s v="Old"/>
    <d v="2026-02-13T00:00:00"/>
    <n v="936.95999999999981"/>
    <n v="32102.346625182006"/>
    <n v="702.7199999999998"/>
    <n v="890.11199999999974"/>
    <n v="0"/>
    <n v="963.07039875546013"/>
    <n v="72.958398755460394"/>
    <n v="93.695999999999984"/>
    <n v="1267.9788823716399"/>
    <n v="231"/>
    <n v="0"/>
    <n v="0"/>
    <n v="0"/>
    <n v="0"/>
    <n v="0"/>
    <n v="231"/>
    <n v="0"/>
    <n v="231"/>
    <s v="Release"/>
  </r>
  <r>
    <n v="85000"/>
    <n v="0"/>
    <n v="85000"/>
    <x v="796"/>
    <x v="784"/>
    <n v="0"/>
    <s v="MPG"/>
    <s v="Direct"/>
    <n v="1057"/>
    <x v="19"/>
    <s v="Old"/>
    <d v="2026-02-13T00:00:00"/>
    <n v="4543.3"/>
    <n v="169966.35455514997"/>
    <n v="3407.4750000000004"/>
    <n v="4316.1350000000002"/>
    <n v="0"/>
    <n v="5098.9906366544992"/>
    <n v="782.85563665449899"/>
    <n v="454.33000000000004"/>
    <n v="0"/>
    <n v="7269"/>
    <n v="3399.3270911029995"/>
    <n v="0"/>
    <n v="0"/>
    <n v="0"/>
    <n v="0"/>
    <n v="3870"/>
    <n v="3870"/>
    <n v="0"/>
    <s v="Yes"/>
  </r>
  <r>
    <n v="0"/>
    <n v="0"/>
    <n v="0"/>
    <x v="797"/>
    <x v="785"/>
    <n v="0"/>
    <s v="vlc"/>
    <s v="Indirect"/>
    <n v="1057"/>
    <x v="19"/>
    <s v="Old"/>
    <d v="2026-02-13T00:00:00"/>
    <n v="2088.1"/>
    <n v="70622.939153696003"/>
    <n v="1566.0749999999998"/>
    <n v="1983.6949999999997"/>
    <n v="0"/>
    <n v="2118.6881746108802"/>
    <n v="134.99317461088049"/>
    <n v="208.81"/>
    <n v="484.83928582908453"/>
    <n v="2856"/>
    <n v="0"/>
    <n v="0"/>
    <n v="0"/>
    <n v="0"/>
    <n v="0"/>
    <n v="2856"/>
    <n v="0"/>
    <n v="2856"/>
    <s v="Release"/>
  </r>
  <r>
    <n v="85000"/>
    <n v="0"/>
    <n v="85000"/>
    <x v="798"/>
    <x v="786"/>
    <n v="0"/>
    <s v="MPG"/>
    <s v="Direct"/>
    <n v="1058"/>
    <x v="2"/>
    <s v="Old"/>
    <d v="2026-02-19T00:00:00"/>
    <n v="897.8"/>
    <n v="42955.510218327589"/>
    <n v="673.34999999999991"/>
    <n v="852.91"/>
    <n v="0"/>
    <n v="1288.6653065498276"/>
    <n v="435.75530654982765"/>
    <n v="89.78"/>
    <n v="1436.4451013680684"/>
    <n v="0"/>
    <n v="0"/>
    <n v="0"/>
    <n v="0"/>
    <n v="0"/>
    <n v="0"/>
    <n v="0"/>
    <n v="0"/>
    <n v="0"/>
    <s v="Release"/>
  </r>
  <r>
    <n v="0"/>
    <n v="0"/>
    <n v="0"/>
    <x v="799"/>
    <x v="787"/>
    <n v="0"/>
    <s v="vlc"/>
    <s v="Indirect"/>
    <n v="1058"/>
    <x v="2"/>
    <s v="Old"/>
    <d v="2026-02-13T00:00:00"/>
    <n v="3170.5000000000005"/>
    <n v="123940.70677428599"/>
    <n v="2377.8750000000005"/>
    <n v="3011.9750000000004"/>
    <n v="0"/>
    <n v="3718.2212032285797"/>
    <n v="706.24620322857936"/>
    <n v="317.05000000000007"/>
    <n v="0"/>
    <n v="5073"/>
    <n v="0"/>
    <n v="0"/>
    <n v="0"/>
    <n v="0"/>
    <n v="0"/>
    <n v="5073"/>
    <n v="0"/>
    <n v="5073"/>
    <s v="Release"/>
  </r>
  <r>
    <n v="75000"/>
    <n v="0"/>
    <n v="75000"/>
    <x v="800"/>
    <x v="788"/>
    <n v="0"/>
    <s v="MPG"/>
    <s v="Direct"/>
    <n v="1061"/>
    <x v="22"/>
    <s v="Old"/>
    <d v="2026-02-18T00:00:00"/>
    <n v="3795.06"/>
    <n v="170116.62224452797"/>
    <n v="2846.2950000000001"/>
    <n v="3605.3069999999998"/>
    <n v="979.39073105399996"/>
    <n v="5103.4986673358389"/>
    <n v="1498.1916673358392"/>
    <n v="379.50600000000003"/>
    <n v="0"/>
    <n v="7051"/>
    <n v="3402.3324448905596"/>
    <n v="0"/>
    <n v="0"/>
    <n v="0"/>
    <n v="0"/>
    <n v="3649"/>
    <n v="0"/>
    <n v="3649"/>
    <s v="Release"/>
  </r>
  <r>
    <n v="65000"/>
    <n v="0"/>
    <n v="65000"/>
    <x v="801"/>
    <x v="789"/>
    <n v="0"/>
    <s v="MPG"/>
    <s v="Direct"/>
    <n v="1006"/>
    <x v="5"/>
    <s v="Old"/>
    <d v="2026-02-20T00:00:00"/>
    <n v="996.30000000000007"/>
    <n v="39372.125283460002"/>
    <n v="747.22500000000002"/>
    <n v="946.48500000000001"/>
    <n v="545.50707423000006"/>
    <n v="1181.1637585038"/>
    <n v="234.67875850379994"/>
    <n v="99.63000000000001"/>
    <n v="1427.3993817854907"/>
    <n v="712"/>
    <n v="712"/>
    <n v="0"/>
    <n v="0"/>
    <n v="0"/>
    <n v="0"/>
    <n v="0"/>
    <n v="0"/>
    <n v="0"/>
    <s v="Release"/>
  </r>
  <r>
    <n v="70000"/>
    <n v="0"/>
    <n v="70000"/>
    <x v="802"/>
    <x v="790"/>
    <n v="0"/>
    <s v="MPG"/>
    <s v="Direct"/>
    <n v="1008"/>
    <x v="1"/>
    <s v="Old"/>
    <d v="2026-02-24T00:00:00"/>
    <n v="2609.1000000000004"/>
    <n v="98272.077262700011"/>
    <n v="1956.8250000000003"/>
    <n v="2478.6450000000004"/>
    <n v="0"/>
    <n v="2948.162317881"/>
    <n v="469.5173178809996"/>
    <n v="260.91000000000003"/>
    <n v="165.20498863538387"/>
    <n v="4009"/>
    <n v="1965.4415452540002"/>
    <n v="0"/>
    <n v="0"/>
    <n v="0"/>
    <n v="0"/>
    <n v="2044"/>
    <n v="2044"/>
    <n v="0"/>
    <s v="Yes"/>
  </r>
  <r>
    <n v="75000"/>
    <n v="0"/>
    <n v="75000"/>
    <x v="803"/>
    <x v="791"/>
    <n v="0"/>
    <s v="MPG"/>
    <s v="Direct"/>
    <n v="1011"/>
    <x v="12"/>
    <s v="Old"/>
    <d v="2026-02-22T00:00:00"/>
    <n v="87.7"/>
    <n v="3214.5200000000004"/>
    <n v="65.775000000000006"/>
    <n v="83.314999999999998"/>
    <n v="0"/>
    <n v="96.435600000000008"/>
    <n v="13.12060000000001"/>
    <n v="8.7700000000000014"/>
    <n v="140.63296678832126"/>
    <n v="0"/>
    <n v="0"/>
    <n v="0"/>
    <n v="0"/>
    <n v="0"/>
    <n v="0"/>
    <n v="0"/>
    <n v="0"/>
    <n v="0"/>
    <s v="Release"/>
  </r>
  <r>
    <n v="0"/>
    <n v="0"/>
    <n v="0"/>
    <x v="804"/>
    <x v="792"/>
    <n v="0"/>
    <s v="vlc"/>
    <s v="Indirect"/>
    <n v="1011"/>
    <x v="12"/>
    <s v="Old"/>
    <d v="2026-02-20T00:00:00"/>
    <n v="7296.8000000000011"/>
    <n v="294197.41495904"/>
    <n v="5472.6"/>
    <n v="6931.9600000000009"/>
    <n v="0"/>
    <n v="8825.9224487711999"/>
    <n v="1893.962448771199"/>
    <n v="729.68000000000018"/>
    <n v="0"/>
    <n v="11675"/>
    <n v="0"/>
    <n v="0"/>
    <n v="0"/>
    <n v="0"/>
    <n v="0"/>
    <n v="11675"/>
    <n v="0"/>
    <n v="11675"/>
    <s v="Release"/>
  </r>
  <r>
    <n v="0"/>
    <n v="0"/>
    <n v="0"/>
    <x v="805"/>
    <x v="793"/>
    <n v="0"/>
    <s v="vlc"/>
    <s v="Indirect"/>
    <n v="1011"/>
    <x v="12"/>
    <s v="Old"/>
    <d v="2026-02-20T00:00:00"/>
    <n v="1794.2000000000003"/>
    <n v="70474.300898919988"/>
    <n v="1345.65"/>
    <n v="1704.4900000000002"/>
    <n v="0"/>
    <n v="2114.2290269675996"/>
    <n v="409.73902696759933"/>
    <n v="179.42000000000004"/>
    <n v="785.65396726370705"/>
    <n v="2085"/>
    <n v="0"/>
    <n v="0"/>
    <n v="0"/>
    <n v="0"/>
    <n v="0"/>
    <n v="2085"/>
    <n v="0"/>
    <n v="2085"/>
    <s v="Release"/>
  </r>
  <r>
    <n v="0"/>
    <n v="0"/>
    <n v="0"/>
    <x v="806"/>
    <x v="794"/>
    <n v="0"/>
    <s v="vlc"/>
    <s v="Indirect"/>
    <n v="1013"/>
    <x v="15"/>
    <s v="Old"/>
    <d v="2026-02-23T00:00:00"/>
    <n v="32521.7"/>
    <n v="1117667.7024800791"/>
    <n v="24391.275000000001"/>
    <n v="30895.614999999998"/>
    <n v="0"/>
    <n v="33530.031074402374"/>
    <n v="2634.4160744023757"/>
    <n v="3252.17"/>
    <n v="0"/>
    <n v="52035"/>
    <n v="0"/>
    <n v="0"/>
    <n v="0"/>
    <n v="0"/>
    <n v="0"/>
    <n v="52035"/>
    <n v="0"/>
    <n v="52035"/>
    <s v="Release"/>
  </r>
  <r>
    <n v="65000"/>
    <n v="0"/>
    <n v="65000"/>
    <x v="807"/>
    <x v="795"/>
    <n v="0"/>
    <s v="MPG"/>
    <s v="Direct"/>
    <n v="1053"/>
    <x v="18"/>
    <s v="Old"/>
    <d v="2026-02-24T00:00:00"/>
    <n v="6172.0499999999993"/>
    <n v="256238.30915872479"/>
    <n v="4629.0374999999995"/>
    <n v="5863.4474999999993"/>
    <n v="1712.1440031809002"/>
    <n v="7687.1492747617431"/>
    <n v="1823.7017747617438"/>
    <n v="617.20499999999993"/>
    <n v="0"/>
    <n v="11587"/>
    <n v="5124.7661831744963"/>
    <n v="0"/>
    <n v="0"/>
    <n v="0"/>
    <n v="0"/>
    <n v="6462"/>
    <n v="0"/>
    <n v="6462"/>
    <s v="Release"/>
  </r>
  <r>
    <n v="85000"/>
    <n v="0"/>
    <n v="85000"/>
    <x v="808"/>
    <x v="796"/>
    <n v="0"/>
    <s v="MPG"/>
    <s v="Direct"/>
    <n v="1057"/>
    <x v="19"/>
    <s v="Old"/>
    <d v="2026-02-20T00:00:00"/>
    <n v="0.01"/>
    <n v="0.33"/>
    <n v="7.4999999999999997E-3"/>
    <n v="9.4999999999999998E-3"/>
    <n v="0"/>
    <n v="9.9000000000000008E-3"/>
    <n v="4.0000000000000105E-4"/>
    <n v="1E-3"/>
    <n v="-6.5999999999348802E-3"/>
    <n v="0"/>
    <n v="0"/>
    <n v="0"/>
    <n v="0"/>
    <n v="0"/>
    <n v="0"/>
    <n v="0"/>
    <n v="0"/>
    <n v="0"/>
    <s v="Release"/>
  </r>
  <r>
    <n v="85000"/>
    <n v="0"/>
    <n v="85000"/>
    <x v="809"/>
    <x v="797"/>
    <n v="0"/>
    <s v="MPG"/>
    <s v="Direct"/>
    <n v="1057"/>
    <x v="19"/>
    <s v="Old"/>
    <d v="2026-02-20T00:00:00"/>
    <n v="499.19999999999993"/>
    <n v="24244.421290853301"/>
    <n v="374.4"/>
    <n v="474.2399999999999"/>
    <n v="9.9717518263500011"/>
    <n v="727.33263872559905"/>
    <n v="253.09263872559916"/>
    <n v="49.919999999999995"/>
    <n v="808.35106880519106"/>
    <n v="0"/>
    <n v="0"/>
    <n v="0"/>
    <n v="0"/>
    <n v="0"/>
    <n v="0"/>
    <n v="0"/>
    <n v="0"/>
    <n v="0"/>
    <s v="Release"/>
  </r>
  <r>
    <n v="85000"/>
    <n v="0"/>
    <n v="85000"/>
    <x v="810"/>
    <x v="798"/>
    <n v="0"/>
    <s v="MPG"/>
    <s v="Direct"/>
    <n v="1057"/>
    <x v="19"/>
    <s v="Old"/>
    <d v="2026-02-20T00:00:00"/>
    <n v="242.39999999999998"/>
    <n v="10722.128716997202"/>
    <n v="181.79999999999998"/>
    <n v="230.27999999999997"/>
    <n v="0"/>
    <n v="321.66386150991605"/>
    <n v="91.383861509916073"/>
    <n v="24.24"/>
    <n v="388.11107856203307"/>
    <n v="0"/>
    <n v="0"/>
    <n v="0"/>
    <n v="0"/>
    <n v="0"/>
    <n v="0"/>
    <n v="0"/>
    <n v="0"/>
    <n v="0"/>
    <s v="Release"/>
  </r>
  <r>
    <n v="85000"/>
    <n v="0"/>
    <n v="85000"/>
    <x v="811"/>
    <x v="799"/>
    <n v="0"/>
    <s v="MPG"/>
    <s v="Direct"/>
    <n v="1057"/>
    <x v="19"/>
    <s v="Old"/>
    <d v="2026-02-20T00:00:00"/>
    <n v="2882.6"/>
    <n v="112342.65100413999"/>
    <n v="2161.9499999999998"/>
    <n v="2738.47"/>
    <n v="0"/>
    <n v="3370.2795301241995"/>
    <n v="631.80953012419968"/>
    <n v="288.26"/>
    <n v="157.67971031127587"/>
    <n v="4454"/>
    <n v="2246.8530200828"/>
    <n v="0"/>
    <n v="0"/>
    <n v="0"/>
    <n v="0"/>
    <n v="2207"/>
    <n v="2207"/>
    <n v="0"/>
    <s v="Yes"/>
  </r>
  <r>
    <n v="85000"/>
    <n v="0"/>
    <n v="85000"/>
    <x v="812"/>
    <x v="800"/>
    <n v="0"/>
    <s v="MPG"/>
    <s v="Direct"/>
    <n v="1057"/>
    <x v="19"/>
    <s v="Old"/>
    <d v="2026-02-20T00:00:00"/>
    <n v="991.2"/>
    <n v="48364.485990629597"/>
    <n v="743.40000000000009"/>
    <n v="941.64"/>
    <n v="236.53251833996001"/>
    <n v="1450.9345797188878"/>
    <n v="509.2945797188878"/>
    <n v="99.12"/>
    <n v="1757.8521412756791"/>
    <n v="65"/>
    <n v="65"/>
    <n v="0"/>
    <n v="0"/>
    <n v="0"/>
    <n v="0"/>
    <n v="0"/>
    <n v="0"/>
    <n v="0"/>
    <s v="Release"/>
  </r>
  <r>
    <n v="0"/>
    <n v="0"/>
    <n v="0"/>
    <x v="813"/>
    <x v="801"/>
    <n v="0"/>
    <s v="vlc"/>
    <s v="Indirect"/>
    <n v="1057"/>
    <x v="19"/>
    <s v="Old"/>
    <d v="2026-02-20T00:00:00"/>
    <n v="1409.7000000000003"/>
    <n v="51985.088057929999"/>
    <n v="1057.2750000000001"/>
    <n v="1339.2150000000001"/>
    <n v="0"/>
    <n v="1559.5526417378999"/>
    <n v="220.33764173789973"/>
    <n v="140.97000000000003"/>
    <n v="1028.8327314095836"/>
    <n v="1227"/>
    <n v="0"/>
    <n v="0"/>
    <n v="0"/>
    <n v="0"/>
    <n v="0"/>
    <n v="1227"/>
    <n v="0"/>
    <n v="1227"/>
    <s v="Release"/>
  </r>
  <r>
    <n v="0"/>
    <n v="0"/>
    <n v="0"/>
    <x v="814"/>
    <x v="802"/>
    <n v="0"/>
    <s v="vlc"/>
    <s v="Indirect"/>
    <n v="1057"/>
    <x v="19"/>
    <s v="Old"/>
    <d v="2026-02-20T00:00:00"/>
    <n v="462.6"/>
    <n v="14774.139502368998"/>
    <n v="346.95000000000005"/>
    <n v="439.47"/>
    <n v="0"/>
    <n v="443.22418507106994"/>
    <n v="3.7541850710699123"/>
    <n v="46.260000000000005"/>
    <n v="739.91706754771167"/>
    <n v="0"/>
    <n v="0"/>
    <n v="0"/>
    <n v="0"/>
    <n v="0"/>
    <n v="0"/>
    <n v="0"/>
    <n v="0"/>
    <n v="0"/>
    <s v="Release"/>
  </r>
  <r>
    <n v="0"/>
    <n v="0"/>
    <n v="0"/>
    <x v="815"/>
    <x v="803"/>
    <n v="0"/>
    <s v="vlc"/>
    <s v="Indirect"/>
    <n v="1057"/>
    <x v="19"/>
    <s v="Old"/>
    <d v="2026-02-20T00:00:00"/>
    <n v="1079.3999999999999"/>
    <n v="40114.604702180004"/>
    <n v="809.55"/>
    <n v="1025.4299999999998"/>
    <n v="0"/>
    <n v="1203.4381410654"/>
    <n v="178.0081410654002"/>
    <n v="107.94"/>
    <n v="1278.7184446197832"/>
    <n v="448"/>
    <n v="0"/>
    <n v="0"/>
    <n v="0"/>
    <n v="0"/>
    <n v="0"/>
    <n v="448"/>
    <n v="0"/>
    <n v="448"/>
    <s v="Release"/>
  </r>
  <r>
    <n v="0"/>
    <n v="0"/>
    <n v="0"/>
    <x v="816"/>
    <x v="804"/>
    <n v="0"/>
    <s v="vlc"/>
    <s v="Indirect"/>
    <n v="1006"/>
    <x v="5"/>
    <s v="Old"/>
    <d v="2023-11-24T00:00:00"/>
    <n v="477.49999999999994"/>
    <n v="17281.231608914499"/>
    <n v="358.12499999999994"/>
    <n v="453.62499999999994"/>
    <n v="0"/>
    <n v="518.4369482674349"/>
    <n v="64.811948267434957"/>
    <n v="47.75"/>
    <n v="764.19793556445916"/>
    <n v="0"/>
    <n v="0"/>
    <n v="0"/>
    <n v="0"/>
    <n v="0"/>
    <n v="0"/>
    <n v="0"/>
    <n v="0"/>
    <n v="0"/>
    <s v="Release"/>
  </r>
  <r>
    <n v="0"/>
    <n v="0"/>
    <n v="0"/>
    <x v="817"/>
    <x v="805"/>
    <n v="0"/>
    <s v="vlc"/>
    <s v="Indirect"/>
    <n v="1006"/>
    <x v="5"/>
    <s v="Old"/>
    <d v="2025-09-25T00:00:00"/>
    <n v="667.5"/>
    <n v="30762.597324667"/>
    <n v="500.625"/>
    <n v="634.125"/>
    <n v="0"/>
    <n v="922.87791974000993"/>
    <n v="288.75291974000993"/>
    <n v="66.75"/>
    <n v="1068.2854832095045"/>
    <n v="0"/>
    <n v="0"/>
    <n v="0"/>
    <n v="0"/>
    <n v="0"/>
    <n v="0"/>
    <n v="0"/>
    <n v="0"/>
    <n v="0"/>
    <s v="Release"/>
  </r>
  <r>
    <n v="65000"/>
    <n v="0"/>
    <n v="65000"/>
    <x v="818"/>
    <x v="806"/>
    <n v="0"/>
    <s v="MPG"/>
    <s v="Direct"/>
    <n v="1008"/>
    <x v="1"/>
    <s v="Old"/>
    <d v="2026-02-28T00:00:00"/>
    <n v="1004.3"/>
    <n v="41102.8326616005"/>
    <n v="753.22499999999991"/>
    <n v="954.08499999999992"/>
    <n v="0"/>
    <n v="1233.0849798480149"/>
    <n v="278.99997984801496"/>
    <n v="100.43"/>
    <n v="1477.6115357080694"/>
    <n v="129"/>
    <n v="129"/>
    <n v="0"/>
    <n v="0"/>
    <n v="0"/>
    <n v="0"/>
    <n v="0"/>
    <n v="0"/>
    <n v="0"/>
    <s v="Release"/>
  </r>
  <r>
    <n v="0"/>
    <n v="0"/>
    <n v="0"/>
    <x v="819"/>
    <x v="807"/>
    <n v="0"/>
    <s v="vlc"/>
    <s v="Indirect"/>
    <n v="1011"/>
    <x v="12"/>
    <s v="New"/>
    <d v="2026-03-05T00:00:00"/>
    <n v="1326"/>
    <n v="48851.580651199998"/>
    <n v="994.5"/>
    <n v="1259.7"/>
    <n v="0"/>
    <n v="1465.5474195359998"/>
    <n v="205.84741953599973"/>
    <n v="132.6"/>
    <n v="0"/>
    <n v="2122"/>
    <n v="0"/>
    <n v="0"/>
    <n v="0"/>
    <n v="0"/>
    <n v="0"/>
    <n v="2122"/>
    <n v="0"/>
    <n v="2122"/>
    <s v="Release"/>
  </r>
  <r>
    <n v="75000"/>
    <n v="0"/>
    <n v="75000"/>
    <x v="820"/>
    <x v="808"/>
    <n v="0"/>
    <s v="MPG"/>
    <s v="Direct"/>
    <n v="1012"/>
    <x v="14"/>
    <s v="New"/>
    <d v="2026-03-01T00:00:00"/>
    <n v="1203.6600000000001"/>
    <n v="45547.64633330419"/>
    <n v="902.74500000000012"/>
    <n v="1143.4770000000001"/>
    <n v="0"/>
    <n v="1366.4293899991258"/>
    <n v="222.95238999912567"/>
    <n v="120.36600000000001"/>
    <n v="0"/>
    <n v="1926"/>
    <n v="0"/>
    <n v="0"/>
    <n v="0"/>
    <n v="0"/>
    <n v="0"/>
    <n v="1926"/>
    <n v="1926"/>
    <n v="0"/>
    <s v="Yes"/>
  </r>
  <r>
    <n v="65000"/>
    <n v="0"/>
    <n v="65000"/>
    <x v="821"/>
    <x v="809"/>
    <n v="0"/>
    <s v="MPG"/>
    <s v="Direct"/>
    <n v="1012"/>
    <x v="14"/>
    <s v="New"/>
    <d v="2026-03-02T00:00:00"/>
    <n v="2993.3999999999996"/>
    <n v="112519.74302271099"/>
    <n v="2245.0499999999997"/>
    <n v="2843.7299999999996"/>
    <n v="453.29374218135001"/>
    <n v="3375.5922906813294"/>
    <n v="531.8622906813298"/>
    <n v="299.33999999999997"/>
    <n v="0"/>
    <n v="5243"/>
    <n v="0"/>
    <n v="0"/>
    <n v="0"/>
    <n v="0"/>
    <n v="0"/>
    <n v="5243"/>
    <n v="0"/>
    <n v="5243"/>
    <s v="Release"/>
  </r>
  <r>
    <n v="65000"/>
    <n v="0"/>
    <n v="65000"/>
    <x v="822"/>
    <x v="810"/>
    <n v="0"/>
    <s v="MPG"/>
    <s v="Direct"/>
    <n v="1014"/>
    <x v="16"/>
    <s v="New"/>
    <d v="2026-03-02T00:00:00"/>
    <n v="1239.2"/>
    <n v="56607.058844125007"/>
    <n v="929.40000000000009"/>
    <n v="1177.24"/>
    <n v="0"/>
    <n v="1698.2117653237501"/>
    <n v="520.97176532375011"/>
    <n v="123.92000000000002"/>
    <n v="0"/>
    <n v="1983"/>
    <n v="0"/>
    <n v="0"/>
    <n v="0"/>
    <n v="0"/>
    <n v="590.36"/>
    <n v="1393"/>
    <n v="1393"/>
    <n v="0"/>
    <s v="Yes"/>
  </r>
  <r>
    <n v="75000"/>
    <n v="0"/>
    <n v="75000"/>
    <x v="823"/>
    <x v="811"/>
    <n v="0"/>
    <s v="MPG"/>
    <s v="Direct"/>
    <n v="1055"/>
    <x v="10"/>
    <s v="Old"/>
    <d v="2026-02-27T00:00:00"/>
    <n v="921.69999999999982"/>
    <n v="34895.886215813"/>
    <n v="691.27499999999986"/>
    <n v="875.61499999999978"/>
    <n v="5936.2939804212001"/>
    <n v="1046.87658647439"/>
    <n v="171.26158647439024"/>
    <n v="92.169999999999987"/>
    <n v="1421.1751545596549"/>
    <n v="5990"/>
    <n v="1861"/>
    <n v="0"/>
    <n v="0"/>
    <n v="0"/>
    <n v="0"/>
    <n v="4129"/>
    <n v="4129"/>
    <n v="0"/>
    <s v="Yes"/>
  </r>
  <r>
    <n v="0"/>
    <n v="0"/>
    <n v="0"/>
    <x v="824"/>
    <x v="812"/>
    <n v="0"/>
    <s v="vlc"/>
    <s v="Indirect"/>
    <n v="1055"/>
    <x v="10"/>
    <s v="Old"/>
    <d v="2026-02-27T00:00:00"/>
    <n v="7344.1"/>
    <n v="252943.16239705455"/>
    <n v="5508.0750000000007"/>
    <n v="6976.8950000000004"/>
    <n v="0"/>
    <n v="7588.2948719116357"/>
    <n v="611.39987191163527"/>
    <n v="734.41000000000008"/>
    <n v="0"/>
    <n v="11751"/>
    <n v="0"/>
    <n v="0"/>
    <n v="0"/>
    <n v="0"/>
    <n v="0"/>
    <n v="11751"/>
    <n v="0"/>
    <n v="11751"/>
    <s v="Release"/>
  </r>
  <r>
    <n v="65000"/>
    <n v="0"/>
    <n v="65000"/>
    <x v="825"/>
    <x v="813"/>
    <n v="0"/>
    <s v="MPG"/>
    <s v="Direct"/>
    <n v="1059"/>
    <x v="6"/>
    <s v="New"/>
    <d v="2026-03-05T00:00:00"/>
    <n v="1275.9000000000001"/>
    <n v="57847.084222496"/>
    <n v="956.92500000000007"/>
    <n v="1212.105"/>
    <n v="0"/>
    <n v="1735.4125266748799"/>
    <n v="523.30752667487991"/>
    <n v="127.59000000000002"/>
    <n v="0"/>
    <n v="2041"/>
    <n v="0"/>
    <n v="0"/>
    <n v="0"/>
    <n v="0"/>
    <n v="0"/>
    <n v="2041"/>
    <n v="0"/>
    <n v="2041"/>
    <s v="Release"/>
  </r>
  <r>
    <n v="65000"/>
    <n v="0"/>
    <n v="65000"/>
    <x v="826"/>
    <x v="814"/>
    <n v="0"/>
    <s v="MPG"/>
    <s v="Direct"/>
    <n v="1059"/>
    <x v="6"/>
    <s v="New"/>
    <d v="2026-03-05T00:00:00"/>
    <n v="5242.9000000000005"/>
    <n v="253448.44386276265"/>
    <n v="3932.1750000000002"/>
    <n v="4980.7550000000001"/>
    <n v="0"/>
    <n v="7603.453315882879"/>
    <n v="2622.6983158828789"/>
    <n v="524.29000000000008"/>
    <n v="0"/>
    <n v="8389"/>
    <n v="0"/>
    <n v="0"/>
    <n v="0"/>
    <n v="0"/>
    <n v="0"/>
    <n v="8389"/>
    <n v="0"/>
    <n v="8389"/>
    <s v="Release"/>
  </r>
  <r>
    <n v="65000"/>
    <n v="0"/>
    <n v="65000"/>
    <x v="827"/>
    <x v="815"/>
    <n v="0"/>
    <s v="MPG"/>
    <s v="Direct"/>
    <n v="1059"/>
    <x v="6"/>
    <s v="New"/>
    <d v="2026-03-04T00:00:00"/>
    <n v="2570.6"/>
    <n v="99485.508405700006"/>
    <n v="1927.9499999999998"/>
    <n v="2442.0699999999997"/>
    <n v="0"/>
    <n v="2984.5652521709999"/>
    <n v="542.49525217100017"/>
    <n v="257.06"/>
    <n v="0"/>
    <n v="4113"/>
    <n v="0"/>
    <n v="0"/>
    <n v="0"/>
    <n v="0"/>
    <n v="0"/>
    <n v="4113"/>
    <n v="0"/>
    <n v="4113"/>
    <s v="Release"/>
  </r>
  <r>
    <n v="65000"/>
    <n v="0"/>
    <n v="65000"/>
    <x v="828"/>
    <x v="816"/>
    <n v="0"/>
    <s v="MPG"/>
    <s v="Direct"/>
    <n v="1059"/>
    <x v="6"/>
    <s v="New"/>
    <d v="2026-03-05T00:00:00"/>
    <n v="2630.3"/>
    <n v="108333.08976985031"/>
    <n v="1972.7250000000001"/>
    <n v="2498.7849999999999"/>
    <n v="0"/>
    <n v="3249.9926930955094"/>
    <n v="751.20769309550951"/>
    <n v="263.03000000000003"/>
    <n v="0"/>
    <n v="4208"/>
    <n v="0"/>
    <n v="0"/>
    <n v="0"/>
    <n v="0"/>
    <n v="0"/>
    <n v="4208"/>
    <n v="0"/>
    <n v="4208"/>
    <s v="Release"/>
  </r>
  <r>
    <n v="0"/>
    <n v="0"/>
    <n v="0"/>
    <x v="829"/>
    <x v="817"/>
    <n v="0"/>
    <s v="vlc"/>
    <s v="Indirect"/>
    <n v="1006"/>
    <x v="5"/>
    <s v="Old"/>
    <d v="2021-06-14T00:00:00"/>
    <n v="1171.2"/>
    <n v="41476.726283719996"/>
    <n v="878.40000000000009"/>
    <n v="1112.6400000000001"/>
    <n v="0"/>
    <n v="1244.3017885115999"/>
    <n v="131.66178851159975"/>
    <n v="117.12"/>
    <n v="1145.1429163761632"/>
    <n v="729"/>
    <n v="0"/>
    <n v="0"/>
    <n v="0"/>
    <n v="0"/>
    <n v="0"/>
    <n v="729"/>
    <n v="0"/>
    <n v="729"/>
    <s v="Release"/>
  </r>
  <r>
    <n v="65000"/>
    <n v="0"/>
    <n v="65000"/>
    <x v="830"/>
    <x v="818"/>
    <n v="0"/>
    <s v="MPG"/>
    <s v="Direct"/>
    <n v="1014"/>
    <x v="16"/>
    <s v="New"/>
    <d v="2026-03-11T00:00:00"/>
    <n v="2209.9000000000005"/>
    <n v="92063.930616410609"/>
    <n v="1657.4250000000004"/>
    <n v="2099.4050000000002"/>
    <n v="0"/>
    <n v="2761.9179184923182"/>
    <n v="662.51291849231802"/>
    <n v="220.99000000000007"/>
    <n v="0"/>
    <n v="3536"/>
    <n v="0"/>
    <n v="0"/>
    <n v="0"/>
    <n v="0"/>
    <n v="115.02000000000001"/>
    <n v="3421"/>
    <n v="3421"/>
    <n v="0"/>
    <s v="Yes"/>
  </r>
  <r>
    <n v="65000"/>
    <n v="0"/>
    <n v="65000"/>
    <x v="831"/>
    <x v="819"/>
    <n v="0"/>
    <s v="MPG"/>
    <s v="Direct"/>
    <n v="1053"/>
    <x v="18"/>
    <s v="New"/>
    <d v="2026-03-10T00:00:00"/>
    <n v="1643.8000000000002"/>
    <n v="61091.125012655"/>
    <n v="1232.8500000000001"/>
    <n v="1561.6100000000001"/>
    <n v="1022.8030138026802"/>
    <n v="1832.73375037965"/>
    <n v="271.12375037964989"/>
    <n v="164.38000000000002"/>
    <n v="0"/>
    <n v="3653"/>
    <n v="0"/>
    <n v="0"/>
    <n v="0"/>
    <n v="0"/>
    <n v="0"/>
    <n v="3653"/>
    <n v="0"/>
    <n v="3653"/>
    <s v="Release"/>
  </r>
  <r>
    <n v="65000"/>
    <n v="0"/>
    <n v="65000"/>
    <x v="832"/>
    <x v="820"/>
    <n v="0"/>
    <s v="MPG"/>
    <s v="Direct"/>
    <n v="1053"/>
    <x v="18"/>
    <s v="New"/>
    <d v="2026-03-09T00:00:00"/>
    <n v="804.45"/>
    <n v="31827.537430061002"/>
    <n v="603.33750000000009"/>
    <n v="764.22749999999996"/>
    <n v="725.50273600980017"/>
    <n v="954.82612290182999"/>
    <n v="190.59862290183003"/>
    <n v="80.445000000000007"/>
    <n v="0"/>
    <n v="2013"/>
    <n v="0"/>
    <n v="0"/>
    <n v="0"/>
    <n v="0"/>
    <n v="0"/>
    <n v="2013"/>
    <n v="0"/>
    <n v="2013"/>
    <s v="Release"/>
  </r>
  <r>
    <n v="65000"/>
    <n v="0"/>
    <n v="65000"/>
    <x v="833"/>
    <x v="821"/>
    <n v="0"/>
    <s v="MPG"/>
    <s v="Direct"/>
    <n v="1053"/>
    <x v="18"/>
    <s v="New"/>
    <d v="2026-03-11T00:00:00"/>
    <n v="3055.0499999999997"/>
    <n v="120244.40994933055"/>
    <n v="2291.2874999999999"/>
    <n v="2902.2974999999997"/>
    <n v="3504.1198643370003"/>
    <n v="3607.3322984799165"/>
    <n v="705.03479847991684"/>
    <n v="305.505"/>
    <n v="0"/>
    <n v="8392"/>
    <n v="0"/>
    <n v="0"/>
    <n v="0"/>
    <n v="0"/>
    <n v="0"/>
    <n v="8392"/>
    <n v="0"/>
    <n v="8392"/>
    <s v="Release"/>
  </r>
  <r>
    <n v="84280.039600000004"/>
    <n v="0"/>
    <n v="84280.039600000004"/>
    <x v="834"/>
    <x v="822"/>
    <n v="0"/>
    <s v="MPG"/>
    <s v="Direct"/>
    <n v="1056"/>
    <x v="8"/>
    <s v="Old"/>
    <d v="2025-12-08T00:00:00"/>
    <n v="3984.16"/>
    <n v="150583.13638260693"/>
    <n v="2988.12"/>
    <n v="3784.9519999999998"/>
    <n v="0"/>
    <n v="4517.4940914782073"/>
    <n v="732.54209147820757"/>
    <n v="398.416"/>
    <n v="0"/>
    <n v="6375"/>
    <n v="3011.6627276521385"/>
    <n v="0"/>
    <n v="0"/>
    <n v="0"/>
    <n v="0"/>
    <n v="3363"/>
    <n v="0"/>
    <n v="3363"/>
    <s v="Release"/>
  </r>
  <r>
    <n v="75000"/>
    <n v="0"/>
    <n v="75000"/>
    <x v="835"/>
    <x v="823"/>
    <n v="0"/>
    <s v="MPG"/>
    <s v="Direct"/>
    <n v="1056"/>
    <x v="8"/>
    <s v="New"/>
    <d v="2026-03-07T00:00:00"/>
    <n v="431.16"/>
    <n v="18283.574247896002"/>
    <n v="323.37"/>
    <n v="409.60200000000003"/>
    <n v="0"/>
    <n v="548.50722743688004"/>
    <n v="138.90522743688001"/>
    <n v="43.116000000000007"/>
    <n v="0"/>
    <n v="690"/>
    <n v="0"/>
    <n v="0"/>
    <n v="0"/>
    <n v="0"/>
    <n v="0"/>
    <n v="690"/>
    <n v="690"/>
    <n v="0"/>
    <s v="Yes"/>
  </r>
  <r>
    <n v="85000"/>
    <n v="0"/>
    <n v="85000"/>
    <x v="836"/>
    <x v="824"/>
    <n v="0"/>
    <s v="MPG"/>
    <s v="Direct"/>
    <n v="1057"/>
    <x v="19"/>
    <s v="New"/>
    <d v="2026-03-11T00:00:00"/>
    <n v="1423.6"/>
    <n v="55519.698414230006"/>
    <n v="1067.6999999999998"/>
    <n v="1352.4199999999998"/>
    <n v="0"/>
    <n v="1665.5909524269002"/>
    <n v="313.17095242690039"/>
    <n v="142.35999999999999"/>
    <n v="0"/>
    <n v="2278"/>
    <n v="0"/>
    <n v="0"/>
    <n v="0"/>
    <n v="0"/>
    <n v="0"/>
    <n v="2278"/>
    <n v="2278"/>
    <n v="0"/>
    <s v="Yes"/>
  </r>
  <r>
    <n v="85000"/>
    <n v="0"/>
    <n v="85000"/>
    <x v="837"/>
    <x v="825"/>
    <n v="0"/>
    <s v="MPG"/>
    <s v="Direct"/>
    <n v="1057"/>
    <x v="19"/>
    <s v="New"/>
    <d v="2026-03-06T00:00:00"/>
    <n v="534.79999999999995"/>
    <n v="27185.0881687849"/>
    <n v="401.09999999999997"/>
    <n v="508.05999999999995"/>
    <n v="123.44283275793001"/>
    <n v="815.55264506354695"/>
    <n v="307.492645063547"/>
    <n v="53.48"/>
    <n v="0"/>
    <n v="979"/>
    <n v="0"/>
    <n v="0"/>
    <n v="0"/>
    <n v="0"/>
    <n v="0"/>
    <n v="979"/>
    <n v="979"/>
    <n v="0"/>
    <s v="Yes"/>
  </r>
  <r>
    <n v="65000"/>
    <n v="0"/>
    <n v="65000"/>
    <x v="838"/>
    <x v="826"/>
    <n v="0"/>
    <s v="MPG"/>
    <s v="Direct"/>
    <n v="1062"/>
    <x v="23"/>
    <s v="New"/>
    <d v="2026-03-09T00:00:00"/>
    <n v="3232.119999999999"/>
    <n v="124510.51161222989"/>
    <n v="2424.0899999999992"/>
    <n v="3070.5139999999988"/>
    <n v="1124.87430999"/>
    <n v="3735.3153483668966"/>
    <n v="664.80134836689786"/>
    <n v="323.21199999999993"/>
    <n v="0"/>
    <n v="6296"/>
    <n v="0"/>
    <n v="0"/>
    <n v="0"/>
    <n v="0"/>
    <n v="0"/>
    <n v="6296"/>
    <n v="6296"/>
    <n v="0"/>
    <s v="Yes"/>
  </r>
  <r>
    <n v="65000"/>
    <n v="0"/>
    <n v="65000"/>
    <x v="839"/>
    <x v="827"/>
    <n v="0"/>
    <s v="MPG"/>
    <s v="Direct"/>
    <n v="1062"/>
    <x v="23"/>
    <s v="New"/>
    <d v="2026-03-09T00:00:00"/>
    <n v="3704.13"/>
    <n v="153695.302655754"/>
    <n v="2778.0974999999999"/>
    <n v="3518.9234999999999"/>
    <n v="1921.9674655440001"/>
    <n v="4610.8590796726194"/>
    <n v="1091.9355796726195"/>
    <n v="370.41300000000001"/>
    <n v="0"/>
    <n v="7849"/>
    <n v="0"/>
    <n v="0"/>
    <n v="0"/>
    <n v="0"/>
    <n v="0"/>
    <n v="7849"/>
    <n v="7849"/>
    <n v="0"/>
    <s v="Yes"/>
  </r>
  <r>
    <n v="75000"/>
    <n v="0"/>
    <n v="75000"/>
    <x v="840"/>
    <x v="828"/>
    <n v="0"/>
    <s v="MPG"/>
    <s v="Direct"/>
    <n v="1062"/>
    <x v="23"/>
    <s v="New"/>
    <d v="2026-03-10T00:00:00"/>
    <n v="677.58999999999992"/>
    <n v="25753.504629264"/>
    <n v="508.19249999999994"/>
    <n v="643.71049999999991"/>
    <n v="174.32941712700003"/>
    <n v="772.60513887792001"/>
    <n v="128.8946388779201"/>
    <n v="67.759"/>
    <n v="0"/>
    <n v="1258"/>
    <n v="0"/>
    <n v="0"/>
    <n v="0"/>
    <n v="0"/>
    <n v="0"/>
    <n v="1258"/>
    <n v="1258"/>
    <n v="0"/>
    <s v="Yes"/>
  </r>
  <r>
    <n v="80000"/>
    <n v="0"/>
    <n v="80000"/>
    <x v="841"/>
    <x v="829"/>
    <n v="0"/>
    <s v="MPG"/>
    <s v="Direct"/>
    <n v="1062"/>
    <x v="23"/>
    <s v="New"/>
    <d v="2026-03-09T00:00:00"/>
    <n v="702.4899999999999"/>
    <n v="30765.789255516422"/>
    <n v="526.86749999999995"/>
    <n v="667.36549999999988"/>
    <n v="287.18791532864003"/>
    <n v="922.97367766549257"/>
    <n v="255.60817766549269"/>
    <n v="70.248999999999995"/>
    <n v="0"/>
    <n v="1411"/>
    <n v="0"/>
    <n v="0"/>
    <n v="0"/>
    <n v="0"/>
    <n v="0"/>
    <n v="1411"/>
    <n v="1411"/>
    <n v="0"/>
    <s v="Yes"/>
  </r>
  <r>
    <n v="80000"/>
    <n v="0"/>
    <n v="80000"/>
    <x v="842"/>
    <x v="830"/>
    <n v="0"/>
    <s v="MPG"/>
    <s v="Direct"/>
    <n v="1062"/>
    <x v="23"/>
    <s v="New"/>
    <d v="2026-03-09T00:00:00"/>
    <n v="697.67"/>
    <n v="36030.748080835197"/>
    <n v="523.25249999999994"/>
    <n v="662.78649999999993"/>
    <n v="1026.4075138392002"/>
    <n v="1080.9224424250558"/>
    <n v="418.13594242505587"/>
    <n v="69.766999999999996"/>
    <n v="0"/>
    <n v="2143"/>
    <n v="0"/>
    <n v="0"/>
    <n v="0"/>
    <n v="0"/>
    <n v="0"/>
    <n v="2143"/>
    <n v="2143"/>
    <n v="0"/>
    <s v="Yes"/>
  </r>
  <r>
    <n v="0"/>
    <n v="0"/>
    <n v="0"/>
    <x v="843"/>
    <x v="831"/>
    <n v="0"/>
    <s v="vlc"/>
    <s v="Indirect"/>
    <n v="1062"/>
    <x v="23"/>
    <s v="New"/>
    <d v="2026-03-11T00:00:00"/>
    <n v="921.34"/>
    <n v="39351.176937083357"/>
    <n v="691.005"/>
    <n v="875.27300000000002"/>
    <n v="0"/>
    <n v="1180.5353081125006"/>
    <n v="305.26230811250059"/>
    <n v="92.134000000000015"/>
    <n v="0"/>
    <n v="1474"/>
    <n v="0"/>
    <n v="0"/>
    <n v="0"/>
    <n v="0"/>
    <n v="0"/>
    <n v="1474"/>
    <n v="0"/>
    <n v="1474"/>
    <s v="Release"/>
  </r>
  <r>
    <n v="0"/>
    <n v="0"/>
    <n v="0"/>
    <x v="844"/>
    <x v="832"/>
    <n v="0"/>
    <s v="vlc"/>
    <s v="Indirect"/>
    <n v="1006"/>
    <x v="5"/>
    <s v="Old"/>
    <d v="2023-10-06T00:00:00"/>
    <n v="900.5"/>
    <n v="31579.108917491998"/>
    <n v="675.375"/>
    <n v="855.47499999999991"/>
    <n v="0"/>
    <n v="947.37326752475985"/>
    <n v="91.898267524759945"/>
    <n v="90.050000000000011"/>
    <n v="1322.7103691173954"/>
    <n v="118"/>
    <n v="0"/>
    <n v="0"/>
    <n v="0"/>
    <n v="0"/>
    <n v="0"/>
    <n v="118"/>
    <n v="0"/>
    <n v="118"/>
    <s v="Release"/>
  </r>
  <r>
    <n v="75000"/>
    <n v="0"/>
    <n v="75000"/>
    <x v="845"/>
    <x v="833"/>
    <n v="0"/>
    <s v="MPG"/>
    <s v="Direct"/>
    <n v="1010"/>
    <x v="9"/>
    <s v="New"/>
    <d v="2026-03-17T00:00:00"/>
    <n v="675.6"/>
    <n v="22967.5706045857"/>
    <n v="506.70000000000005"/>
    <n v="641.81999999999994"/>
    <n v="0"/>
    <n v="689.02711813757094"/>
    <n v="47.207118137571001"/>
    <n v="67.56"/>
    <n v="0"/>
    <n v="1081"/>
    <n v="0"/>
    <n v="0"/>
    <n v="0"/>
    <n v="0"/>
    <n v="0"/>
    <n v="1081"/>
    <n v="1081"/>
    <n v="0"/>
    <s v="Yes"/>
  </r>
  <r>
    <n v="0"/>
    <n v="0"/>
    <n v="0"/>
    <x v="846"/>
    <x v="834"/>
    <n v="0"/>
    <s v="vlc"/>
    <s v="Indirect"/>
    <n v="1061"/>
    <x v="22"/>
    <s v="Old"/>
    <d v="2025-05-11T00:00:00"/>
    <n v="340.4"/>
    <n v="13995.795360720002"/>
    <n v="255.29999999999998"/>
    <n v="323.37999999999994"/>
    <n v="0"/>
    <n v="419.87386082160003"/>
    <n v="96.493860821600094"/>
    <n v="34.04"/>
    <n v="544.60774394932787"/>
    <n v="0"/>
    <n v="0"/>
    <n v="0"/>
    <n v="0"/>
    <n v="0"/>
    <n v="0"/>
    <n v="0"/>
    <n v="0"/>
    <n v="0"/>
    <s v="Release"/>
  </r>
  <r>
    <n v="75000"/>
    <n v="0"/>
    <n v="75000"/>
    <x v="847"/>
    <x v="835"/>
    <n v="0"/>
    <s v="MPG"/>
    <s v="Direct"/>
    <n v="1056"/>
    <x v="8"/>
    <s v="New"/>
    <d v="2026-03-14T00:00:00"/>
    <n v="1497.74"/>
    <n v="65085.711739397797"/>
    <n v="1123.3050000000001"/>
    <n v="1422.8529999999998"/>
    <n v="0"/>
    <n v="1952.5713521819339"/>
    <n v="529.71835218193405"/>
    <n v="149.774"/>
    <n v="0"/>
    <n v="2396"/>
    <n v="0"/>
    <n v="0"/>
    <n v="0"/>
    <n v="0"/>
    <n v="0"/>
    <n v="2396"/>
    <n v="2396"/>
    <n v="0"/>
    <s v="Yes"/>
  </r>
  <r>
    <n v="75000"/>
    <n v="0"/>
    <n v="75000"/>
    <x v="848"/>
    <x v="836"/>
    <n v="0"/>
    <s v="MPG"/>
    <s v="Direct"/>
    <n v="1056"/>
    <x v="8"/>
    <s v="New"/>
    <d v="2026-03-16T00:00:00"/>
    <n v="2589.84"/>
    <n v="94049.142423122001"/>
    <n v="1942.38"/>
    <n v="2460.348"/>
    <n v="0"/>
    <n v="2821.4742726936597"/>
    <n v="361.12627269365976"/>
    <n v="258.98400000000004"/>
    <n v="0"/>
    <n v="4144"/>
    <n v="0"/>
    <n v="0"/>
    <n v="0"/>
    <n v="0"/>
    <n v="0"/>
    <n v="4144"/>
    <n v="4144"/>
    <n v="0"/>
    <s v="Yes"/>
  </r>
  <r>
    <n v="85000"/>
    <n v="0"/>
    <n v="85000"/>
    <x v="849"/>
    <x v="837"/>
    <n v="0"/>
    <s v="MPG"/>
    <s v="Direct"/>
    <n v="1057"/>
    <x v="19"/>
    <s v="New"/>
    <d v="2026-03-16T00:00:00"/>
    <n v="389.5"/>
    <n v="17660.148590668203"/>
    <n v="292.125"/>
    <n v="370.02499999999998"/>
    <n v="0"/>
    <n v="529.80445772004612"/>
    <n v="159.77945772004614"/>
    <n v="38.950000000000003"/>
    <n v="0"/>
    <n v="623"/>
    <n v="0"/>
    <n v="0"/>
    <n v="0"/>
    <n v="0"/>
    <n v="0"/>
    <n v="623"/>
    <n v="623"/>
    <n v="0"/>
    <s v="Yes"/>
  </r>
  <r>
    <n v="85000"/>
    <n v="0"/>
    <n v="85000"/>
    <x v="850"/>
    <x v="838"/>
    <n v="0"/>
    <s v="MPG"/>
    <s v="Direct"/>
    <n v="1057"/>
    <x v="19"/>
    <s v="New"/>
    <d v="2026-03-17T00:00:00"/>
    <n v="1074.4000000000001"/>
    <n v="54050.1086810696"/>
    <n v="805.80000000000007"/>
    <n v="1020.6800000000001"/>
    <n v="0"/>
    <n v="1621.5032604320879"/>
    <n v="600.82326043208786"/>
    <n v="107.44000000000001"/>
    <n v="0"/>
    <n v="1719"/>
    <n v="0"/>
    <n v="0"/>
    <n v="0"/>
    <n v="0"/>
    <n v="0"/>
    <n v="1719"/>
    <n v="1719"/>
    <n v="0"/>
    <s v="Yes"/>
  </r>
  <r>
    <n v="75000"/>
    <n v="0"/>
    <n v="75000"/>
    <x v="851"/>
    <x v="839"/>
    <n v="0"/>
    <s v="MPG"/>
    <s v="Direct"/>
    <n v="1014"/>
    <x v="16"/>
    <s v="New"/>
    <d v="2026-03-17T00:00:00"/>
    <n v="1935.3000000000002"/>
    <n v="68828.204102379997"/>
    <n v="1451.4750000000001"/>
    <n v="1838.5350000000001"/>
    <n v="292.75785315090002"/>
    <n v="2064.8461230713997"/>
    <n v="226.31112307139961"/>
    <n v="193.53000000000003"/>
    <n v="0"/>
    <n v="3389"/>
    <n v="0"/>
    <n v="0"/>
    <n v="0"/>
    <n v="0"/>
    <n v="285.25"/>
    <n v="3104"/>
    <n v="3104"/>
    <n v="0"/>
    <s v="Yes"/>
  </r>
  <r>
    <n v="75000"/>
    <n v="0"/>
    <n v="75000"/>
    <x v="852"/>
    <x v="840"/>
    <n v="0"/>
    <s v="MPG"/>
    <s v="Direct"/>
    <n v="1014"/>
    <x v="16"/>
    <s v="New"/>
    <d v="2026-03-19T00:00:00"/>
    <n v="267.8"/>
    <n v="11654.23"/>
    <n v="200.85000000000002"/>
    <n v="254.41"/>
    <n v="34.126761990600002"/>
    <n v="349.62689999999998"/>
    <n v="95.216899999999981"/>
    <n v="26.78"/>
    <n v="0"/>
    <n v="463"/>
    <n v="0"/>
    <n v="0"/>
    <n v="0"/>
    <n v="0"/>
    <n v="259.60000000000002"/>
    <n v="203"/>
    <n v="203"/>
    <n v="0"/>
    <s v="Yes"/>
  </r>
  <r>
    <n v="65000"/>
    <n v="0"/>
    <n v="65000"/>
    <x v="853"/>
    <x v="841"/>
    <n v="0"/>
    <s v="MPG"/>
    <s v="Direct"/>
    <n v="1061"/>
    <x v="22"/>
    <s v="New"/>
    <d v="2026-03-16T00:00:00"/>
    <n v="3502.2000000000007"/>
    <n v="152429.46388925001"/>
    <n v="2626.6500000000005"/>
    <n v="3327.0900000000006"/>
    <n v="1130.4824961265001"/>
    <n v="4572.8839166774997"/>
    <n v="1245.7939166774991"/>
    <n v="350.22000000000008"/>
    <n v="0"/>
    <n v="6734"/>
    <n v="0"/>
    <n v="0"/>
    <n v="0"/>
    <n v="0"/>
    <n v="0"/>
    <n v="6734"/>
    <n v="0"/>
    <n v="6734"/>
    <s v="Release"/>
  </r>
  <r>
    <n v="65000"/>
    <n v="0"/>
    <n v="65000"/>
    <x v="854"/>
    <x v="842"/>
    <n v="0"/>
    <s v="MPG"/>
    <s v="Direct"/>
    <n v="1061"/>
    <x v="22"/>
    <s v="New"/>
    <d v="2026-03-16T00:00:00"/>
    <n v="1637.5000000000002"/>
    <n v="64818.104748269994"/>
    <n v="1228.1250000000002"/>
    <n v="1555.6250000000002"/>
    <n v="0"/>
    <n v="1944.5431424480998"/>
    <n v="388.91814244809962"/>
    <n v="163.75000000000003"/>
    <n v="0"/>
    <n v="2620"/>
    <n v="0"/>
    <n v="0"/>
    <n v="0"/>
    <n v="0"/>
    <n v="0"/>
    <n v="2620"/>
    <n v="0"/>
    <n v="2620"/>
    <s v="Release"/>
  </r>
  <r>
    <n v="75000"/>
    <n v="0"/>
    <n v="75000"/>
    <x v="855"/>
    <x v="843"/>
    <n v="0"/>
    <s v="MPG"/>
    <s v="Direct"/>
    <n v="1061"/>
    <x v="22"/>
    <s v="New"/>
    <d v="2026-03-16T00:00:00"/>
    <n v="651.9"/>
    <n v="27768.048748979501"/>
    <n v="488.92499999999995"/>
    <n v="619.30499999999995"/>
    <n v="609.17569023213014"/>
    <n v="833.04146246938501"/>
    <n v="213.73646246938506"/>
    <n v="65.19"/>
    <n v="0"/>
    <n v="1652"/>
    <n v="0"/>
    <n v="0"/>
    <n v="0"/>
    <n v="0"/>
    <n v="0"/>
    <n v="1652"/>
    <n v="0"/>
    <n v="1652"/>
    <s v="Release"/>
  </r>
  <r>
    <n v="65000"/>
    <n v="0"/>
    <n v="65000"/>
    <x v="856"/>
    <x v="466"/>
    <n v="0"/>
    <s v="MPG"/>
    <s v="Direct"/>
    <n v="1061"/>
    <x v="22"/>
    <s v="New"/>
    <d v="2026-03-16T00:00:00"/>
    <n v="1786.0000000000002"/>
    <n v="75963.544551143001"/>
    <n v="1339.5000000000002"/>
    <n v="1696.7"/>
    <n v="0"/>
    <n v="2278.9063365342899"/>
    <n v="582.2063365342899"/>
    <n v="178.60000000000002"/>
    <n v="0"/>
    <n v="2858"/>
    <n v="0"/>
    <n v="0"/>
    <n v="0"/>
    <n v="0"/>
    <n v="0"/>
    <n v="2858"/>
    <n v="0"/>
    <n v="2858"/>
    <s v="Release"/>
  </r>
  <r>
    <n v="0"/>
    <n v="0"/>
    <n v="0"/>
    <x v="857"/>
    <x v="844"/>
    <n v="0"/>
    <s v="vlc"/>
    <s v="Indirect"/>
    <n v="1061"/>
    <x v="22"/>
    <s v="New"/>
    <d v="2026-03-16T00:00:00"/>
    <n v="1217.5999999999999"/>
    <n v="48086.76912395408"/>
    <n v="913.19999999999993"/>
    <n v="1156.7199999999998"/>
    <n v="0"/>
    <n v="1442.6030737186225"/>
    <n v="285.88307371862265"/>
    <n v="121.75999999999999"/>
    <n v="0"/>
    <n v="1948"/>
    <n v="0"/>
    <n v="0"/>
    <n v="0"/>
    <n v="0"/>
    <n v="0"/>
    <n v="1948"/>
    <n v="0"/>
    <n v="1948"/>
    <s v="Release"/>
  </r>
  <r>
    <n v="0"/>
    <n v="0"/>
    <n v="0"/>
    <x v="858"/>
    <x v="845"/>
    <n v="0"/>
    <s v="vlc"/>
    <s v="Indirect"/>
    <n v="1061"/>
    <x v="22"/>
    <s v="New"/>
    <d v="2026-03-16T00:00:00"/>
    <n v="1083.8"/>
    <n v="39638.403585602995"/>
    <n v="812.84999999999991"/>
    <n v="1029.6099999999999"/>
    <n v="0"/>
    <n v="1189.1521075680898"/>
    <n v="159.54210756808993"/>
    <n v="108.38"/>
    <n v="0"/>
    <n v="1734"/>
    <n v="0"/>
    <n v="0"/>
    <n v="0"/>
    <n v="0"/>
    <n v="0"/>
    <n v="1734"/>
    <n v="0"/>
    <n v="1734"/>
    <s v="Release"/>
  </r>
  <r>
    <n v="0"/>
    <n v="0"/>
    <n v="0"/>
    <x v="859"/>
    <x v="834"/>
    <n v="0"/>
    <s v="vlc"/>
    <s v="Indirect"/>
    <n v="1061"/>
    <x v="22"/>
    <s v="New"/>
    <d v="2026-03-16T00:00:00"/>
    <n v="1024.5999999999999"/>
    <n v="36365.173771550006"/>
    <n v="768.44999999999993"/>
    <n v="973.36999999999989"/>
    <n v="0"/>
    <n v="1090.9552131465002"/>
    <n v="117.58521314650034"/>
    <n v="102.46"/>
    <n v="0"/>
    <n v="1639"/>
    <n v="0"/>
    <n v="0"/>
    <n v="0"/>
    <n v="0"/>
    <n v="0"/>
    <n v="1639"/>
    <n v="0"/>
    <n v="1639"/>
    <s v="Release"/>
  </r>
  <r>
    <n v="75000"/>
    <n v="0"/>
    <n v="75000"/>
    <x v="860"/>
    <x v="846"/>
    <n v="0"/>
    <s v="MPG"/>
    <s v="Direct"/>
    <n v="1061"/>
    <x v="22"/>
    <s v="New"/>
    <d v="2026-03-16T00:00:00"/>
    <n v="810.19999999999993"/>
    <n v="32818.884989066995"/>
    <n v="607.65"/>
    <n v="769.68999999999994"/>
    <n v="0"/>
    <n v="984.56654967200984"/>
    <n v="214.8765496720099"/>
    <n v="81.02"/>
    <n v="0"/>
    <n v="1296"/>
    <n v="0"/>
    <n v="0"/>
    <n v="0"/>
    <n v="0"/>
    <n v="0"/>
    <n v="1296"/>
    <n v="0"/>
    <n v="1296"/>
    <s v="Release"/>
  </r>
  <r>
    <n v="75000"/>
    <n v="0"/>
    <n v="75000"/>
    <x v="861"/>
    <x v="847"/>
    <n v="0"/>
    <s v="MPG"/>
    <s v="Direct"/>
    <n v="1061"/>
    <x v="22"/>
    <s v="New"/>
    <d v="2026-03-16T00:00:00"/>
    <n v="1931.5"/>
    <n v="85431.683812514006"/>
    <n v="1448.625"/>
    <n v="1834.925"/>
    <n v="0"/>
    <n v="2562.95051437542"/>
    <n v="728.02551437542002"/>
    <n v="193.15"/>
    <n v="0"/>
    <n v="3090"/>
    <n v="0"/>
    <n v="0"/>
    <n v="0"/>
    <n v="0"/>
    <n v="0"/>
    <n v="3090"/>
    <n v="0"/>
    <n v="3090"/>
    <s v="Release"/>
  </r>
  <r>
    <n v="65000"/>
    <n v="0"/>
    <n v="65000"/>
    <x v="862"/>
    <x v="848"/>
    <n v="0"/>
    <s v="MPG"/>
    <s v="Direct"/>
    <n v="1061"/>
    <x v="22"/>
    <s v="New"/>
    <d v="2026-03-16T00:00:00"/>
    <n v="1607.4999999999998"/>
    <n v="65022.825328003004"/>
    <n v="1205.6249999999998"/>
    <n v="1527.1249999999998"/>
    <n v="0"/>
    <n v="1950.68475984009"/>
    <n v="423.55975984009024"/>
    <n v="160.75"/>
    <n v="0"/>
    <n v="2572"/>
    <n v="0"/>
    <n v="0"/>
    <n v="0"/>
    <n v="0"/>
    <n v="0"/>
    <n v="2572"/>
    <n v="0"/>
    <n v="2572"/>
    <s v="Release"/>
  </r>
  <r>
    <n v="85000"/>
    <n v="0"/>
    <n v="85000"/>
    <x v="863"/>
    <x v="849"/>
    <n v="0"/>
    <s v="MPG"/>
    <s v="Direct"/>
    <n v="1061"/>
    <x v="22"/>
    <s v="New"/>
    <d v="2026-03-16T00:00:00"/>
    <n v="924.90000000000009"/>
    <n v="39161.727273500699"/>
    <n v="693.67500000000007"/>
    <n v="878.65500000000009"/>
    <n v="0"/>
    <n v="1174.8518182050209"/>
    <n v="296.1968182050208"/>
    <n v="92.490000000000009"/>
    <n v="0"/>
    <n v="1480"/>
    <n v="0"/>
    <n v="0"/>
    <n v="0"/>
    <n v="0"/>
    <n v="0"/>
    <n v="1480"/>
    <n v="0"/>
    <n v="1480"/>
    <s v="Release"/>
  </r>
  <r>
    <n v="0"/>
    <n v="0"/>
    <n v="0"/>
    <x v="864"/>
    <x v="850"/>
    <n v="0"/>
    <s v="vlc"/>
    <s v="Indirect"/>
    <n v="1061"/>
    <x v="22"/>
    <s v="New"/>
    <d v="2026-03-16T00:00:00"/>
    <n v="153.20000000000002"/>
    <n v="5588.22"/>
    <n v="114.9"/>
    <n v="145.54000000000002"/>
    <n v="0"/>
    <n v="167.64660000000001"/>
    <n v="22.106599999999986"/>
    <n v="15.320000000000002"/>
    <n v="0"/>
    <n v="245"/>
    <n v="0"/>
    <n v="0"/>
    <n v="0"/>
    <n v="0"/>
    <n v="0"/>
    <n v="245"/>
    <n v="0"/>
    <n v="245"/>
    <s v="Release"/>
  </r>
  <r>
    <n v="0"/>
    <n v="0"/>
    <n v="0"/>
    <x v="865"/>
    <x v="851"/>
    <n v="0"/>
    <s v="vlc"/>
    <s v="Indirect"/>
    <n v="1057"/>
    <x v="19"/>
    <s v="New"/>
    <d v="2026-03-19T00:00:00"/>
    <n v="1596.5"/>
    <n v="55668.357350894003"/>
    <n v="1197.375"/>
    <n v="1516.675"/>
    <n v="0"/>
    <n v="1670.05072052682"/>
    <n v="153.37572052682003"/>
    <n v="159.65"/>
    <n v="0"/>
    <n v="2554"/>
    <n v="0"/>
    <n v="0"/>
    <n v="0"/>
    <n v="0"/>
    <n v="0"/>
    <n v="2554"/>
    <n v="0"/>
    <n v="2554"/>
    <s v="Release"/>
  </r>
  <r>
    <n v="0"/>
    <n v="0"/>
    <n v="0"/>
    <x v="866"/>
    <x v="852"/>
    <n v="0"/>
    <s v="vlc"/>
    <s v="Indirect"/>
    <n v="1057"/>
    <x v="19"/>
    <s v="New"/>
    <d v="2026-03-19T00:00:00"/>
    <n v="62.9"/>
    <n v="2070.4700000000003"/>
    <n v="47.174999999999997"/>
    <n v="59.754999999999995"/>
    <n v="0"/>
    <n v="62.114100000000008"/>
    <n v="2.3591000000000122"/>
    <n v="6.29"/>
    <n v="0"/>
    <n v="101"/>
    <n v="0"/>
    <n v="0"/>
    <n v="0"/>
    <n v="0"/>
    <n v="0"/>
    <n v="101"/>
    <n v="101"/>
    <n v="0"/>
    <s v="Yes"/>
  </r>
  <r>
    <n v="0"/>
    <n v="0"/>
    <n v="0"/>
    <x v="867"/>
    <x v="853"/>
    <n v="0"/>
    <s v="vlc"/>
    <s v="Indirect"/>
    <n v="1057"/>
    <x v="19"/>
    <s v="New"/>
    <d v="2026-03-18T00:00:00"/>
    <n v="1633.3"/>
    <n v="55591.430113980008"/>
    <n v="1224.9749999999999"/>
    <n v="1551.635"/>
    <n v="0"/>
    <n v="1667.7429034194001"/>
    <n v="116.10790341940015"/>
    <n v="163.33000000000001"/>
    <n v="0"/>
    <n v="2613"/>
    <n v="0"/>
    <n v="0"/>
    <n v="0"/>
    <n v="0"/>
    <n v="0"/>
    <n v="2613"/>
    <n v="0"/>
    <n v="2613"/>
    <s v="Release"/>
  </r>
  <r>
    <n v="65000"/>
    <n v="0"/>
    <n v="65000"/>
    <x v="868"/>
    <x v="854"/>
    <n v="0"/>
    <s v="MPG"/>
    <s v="Direct"/>
    <n v="1065"/>
    <x v="20"/>
    <s v="New"/>
    <d v="2026-03-16T00:00:00"/>
    <n v="614.29999999999995"/>
    <n v="24021.049724620003"/>
    <n v="460.72499999999997"/>
    <n v="583.58499999999992"/>
    <n v="0"/>
    <n v="720.63149173860006"/>
    <n v="137.04649173860014"/>
    <n v="61.43"/>
    <n v="0"/>
    <n v="983"/>
    <n v="0"/>
    <n v="0"/>
    <n v="0"/>
    <n v="0"/>
    <n v="0"/>
    <n v="983"/>
    <n v="983"/>
    <n v="0"/>
    <s v="Yes"/>
  </r>
  <r>
    <n v="65000"/>
    <n v="0"/>
    <n v="65000"/>
    <x v="869"/>
    <x v="855"/>
    <n v="0"/>
    <s v="MPG"/>
    <s v="Direct"/>
    <n v="1065"/>
    <x v="20"/>
    <s v="New"/>
    <d v="2026-03-16T00:00:00"/>
    <n v="4451.7000000000007"/>
    <n v="179219.23667935"/>
    <n v="3338.7750000000005"/>
    <n v="4229.1150000000007"/>
    <n v="0"/>
    <n v="5376.5771003804994"/>
    <n v="1147.4621003804987"/>
    <n v="445.17000000000007"/>
    <n v="0"/>
    <n v="7123"/>
    <n v="0"/>
    <n v="0"/>
    <n v="0"/>
    <n v="0"/>
    <n v="0"/>
    <n v="7123"/>
    <n v="7123"/>
    <n v="0"/>
    <s v="Yes"/>
  </r>
  <r>
    <n v="0"/>
    <n v="0"/>
    <n v="0"/>
    <x v="870"/>
    <x v="856"/>
    <n v="0"/>
    <s v="vlc"/>
    <s v="Indirect"/>
    <n v="1065"/>
    <x v="20"/>
    <s v="New"/>
    <d v="2026-03-16T00:00:00"/>
    <n v="437.3"/>
    <n v="16671.119999999995"/>
    <n v="327.97500000000002"/>
    <n v="415.435"/>
    <n v="0"/>
    <n v="500.13359999999983"/>
    <n v="84.698599999999828"/>
    <n v="43.730000000000004"/>
    <n v="0"/>
    <n v="700"/>
    <n v="0"/>
    <n v="0"/>
    <n v="0"/>
    <n v="0"/>
    <n v="0"/>
    <n v="700"/>
    <n v="700"/>
    <n v="0"/>
    <s v="Yes"/>
  </r>
  <r>
    <n v="0"/>
    <n v="0"/>
    <n v="0"/>
    <x v="871"/>
    <x v="857"/>
    <n v="0"/>
    <s v="vlc"/>
    <s v="Indirect"/>
    <n v="1011"/>
    <x v="12"/>
    <s v="New"/>
    <d v="2026-03-21T00:00:00"/>
    <n v="1168.1999999999998"/>
    <n v="44518.884237930004"/>
    <n v="876.14999999999986"/>
    <n v="1109.7899999999997"/>
    <n v="0"/>
    <n v="1335.5665271379"/>
    <n v="225.7765271379003"/>
    <n v="116.82"/>
    <n v="0"/>
    <n v="1869"/>
    <n v="0"/>
    <n v="0"/>
    <n v="0"/>
    <n v="0"/>
    <n v="0"/>
    <n v="1869"/>
    <n v="0"/>
    <n v="1869"/>
    <s v="Release"/>
  </r>
  <r>
    <n v="65000"/>
    <n v="0"/>
    <n v="65000"/>
    <x v="872"/>
    <x v="858"/>
    <n v="0"/>
    <s v="MPG"/>
    <s v="Direct"/>
    <n v="1054"/>
    <x v="13"/>
    <s v="New"/>
    <d v="2026-03-20T00:00:00"/>
    <n v="1654.1999999999998"/>
    <n v="72162.587323172571"/>
    <n v="1240.6499999999999"/>
    <n v="1571.4899999999998"/>
    <n v="0"/>
    <n v="2164.8776196951771"/>
    <n v="593.38761969517736"/>
    <n v="165.42"/>
    <n v="0"/>
    <n v="2647"/>
    <n v="0"/>
    <n v="0"/>
    <n v="0"/>
    <n v="0"/>
    <n v="0"/>
    <n v="2647"/>
    <n v="0"/>
    <n v="2647"/>
    <s v="Release"/>
  </r>
  <r>
    <n v="0"/>
    <n v="0"/>
    <n v="0"/>
    <x v="873"/>
    <x v="859"/>
    <n v="0"/>
    <s v="vlc"/>
    <s v="Indirect"/>
    <n v="1055"/>
    <x v="10"/>
    <s v="New"/>
    <d v="2026-03-21T00:00:00"/>
    <n v="323.70000000000005"/>
    <n v="10893.91"/>
    <n v="242.77500000000003"/>
    <n v="307.51500000000004"/>
    <n v="0"/>
    <n v="326.81729999999999"/>
    <n v="19.302299999999946"/>
    <n v="32.370000000000005"/>
    <n v="0"/>
    <n v="518"/>
    <n v="0"/>
    <n v="0"/>
    <n v="0"/>
    <n v="0"/>
    <n v="0"/>
    <n v="518"/>
    <n v="518"/>
    <n v="0"/>
    <s v="Yes"/>
  </r>
  <r>
    <n v="0"/>
    <n v="0"/>
    <n v="0"/>
    <x v="874"/>
    <x v="860"/>
    <n v="0"/>
    <s v="vlc"/>
    <s v="Indirect"/>
    <n v="1057"/>
    <x v="19"/>
    <s v="New"/>
    <d v="2026-03-26T00:00:00"/>
    <n v="1031.8000000000002"/>
    <n v="38018.197254850005"/>
    <n v="773.85000000000014"/>
    <n v="980.21000000000015"/>
    <n v="0"/>
    <n v="1140.5459176455001"/>
    <n v="160.33591764549999"/>
    <n v="103.18000000000002"/>
    <n v="0"/>
    <n v="1651"/>
    <n v="0"/>
    <n v="0"/>
    <n v="0"/>
    <n v="0"/>
    <n v="0"/>
    <n v="1651"/>
    <n v="0"/>
    <n v="1651"/>
    <s v="Release"/>
  </r>
  <r>
    <n v="75000"/>
    <n v="0"/>
    <n v="75000"/>
    <x v="875"/>
    <x v="861"/>
    <n v="0"/>
    <s v="MPG"/>
    <s v="Direct"/>
    <n v="1061"/>
    <x v="22"/>
    <s v="New"/>
    <d v="2026-03-22T00:00:00"/>
    <n v="583.29999999999995"/>
    <n v="27719.239694642602"/>
    <n v="437.47499999999997"/>
    <n v="554.13499999999988"/>
    <n v="0"/>
    <n v="831.57719083927805"/>
    <n v="277.44219083927817"/>
    <n v="58.33"/>
    <n v="0"/>
    <n v="933"/>
    <n v="0"/>
    <n v="0"/>
    <n v="0"/>
    <n v="0"/>
    <n v="0"/>
    <n v="933"/>
    <n v="0"/>
    <n v="933"/>
    <s v="Release"/>
  </r>
  <r>
    <n v="0"/>
    <n v="0"/>
    <n v="0"/>
    <x v="876"/>
    <x v="862"/>
    <n v="0"/>
    <s v="vlc"/>
    <s v="Indirect"/>
    <n v="1061"/>
    <x v="22"/>
    <s v="New"/>
    <d v="2026-03-21T00:00:00"/>
    <n v="67.2"/>
    <n v="3063.4256596512"/>
    <n v="50.400000000000006"/>
    <n v="63.839999999999996"/>
    <n v="0"/>
    <n v="91.902769789535995"/>
    <n v="28.062769789535999"/>
    <n v="6.7200000000000006"/>
    <n v="0"/>
    <n v="108"/>
    <n v="0"/>
    <n v="0"/>
    <n v="0"/>
    <n v="0"/>
    <n v="0"/>
    <n v="108"/>
    <n v="0"/>
    <n v="108"/>
    <s v="Release"/>
  </r>
  <r>
    <n v="65000"/>
    <n v="0"/>
    <n v="65000"/>
    <x v="877"/>
    <x v="863"/>
    <n v="0"/>
    <s v="MPG"/>
    <s v="Direct"/>
    <n v="1061"/>
    <x v="22"/>
    <s v="New"/>
    <d v="2026-03-26T00:00:00"/>
    <n v="1017.0999999999999"/>
    <n v="38892.768837470008"/>
    <n v="762.82499999999993"/>
    <n v="966.24499999999989"/>
    <n v="517.77916990327503"/>
    <n v="1166.7830651241002"/>
    <n v="200.53806512410029"/>
    <n v="101.71"/>
    <n v="0"/>
    <n v="2145"/>
    <n v="0"/>
    <n v="0"/>
    <n v="0"/>
    <n v="0"/>
    <n v="0"/>
    <n v="2145"/>
    <n v="0"/>
    <n v="2145"/>
    <s v="Release"/>
  </r>
  <r>
    <n v="85000"/>
    <n v="0"/>
    <n v="85000"/>
    <x v="878"/>
    <x v="864"/>
    <n v="0"/>
    <s v="MPG"/>
    <s v="Direct"/>
    <n v="1057"/>
    <x v="19"/>
    <s v="New"/>
    <d v="2026-03-20T00:00:00"/>
    <n v="809.00000000000011"/>
    <n v="30175.434350854401"/>
    <n v="606.75000000000011"/>
    <n v="768.55000000000007"/>
    <n v="0"/>
    <n v="905.26303052563196"/>
    <n v="136.71303052563189"/>
    <n v="80.90000000000002"/>
    <n v="0"/>
    <n v="1294"/>
    <n v="0"/>
    <n v="0"/>
    <n v="0"/>
    <n v="0"/>
    <n v="0"/>
    <n v="1294"/>
    <n v="1294"/>
    <n v="0"/>
    <s v="Yes"/>
  </r>
  <r>
    <n v="0"/>
    <n v="0"/>
    <n v="0"/>
    <x v="879"/>
    <x v="865"/>
    <n v="0"/>
    <s v="vlc"/>
    <s v="Indirect"/>
    <n v="1062"/>
    <x v="23"/>
    <s v="New"/>
    <d v="2026-03-23T00:00:00"/>
    <n v="1102.46"/>
    <n v="41108.689402705051"/>
    <n v="826.84500000000003"/>
    <n v="1047.337"/>
    <n v="0"/>
    <n v="1233.2606820811516"/>
    <n v="185.92368208115158"/>
    <n v="110.24600000000001"/>
    <n v="0"/>
    <n v="1764"/>
    <n v="0"/>
    <n v="0"/>
    <n v="0"/>
    <n v="0"/>
    <n v="0"/>
    <n v="1764"/>
    <n v="0"/>
    <n v="1764"/>
    <s v="Release"/>
  </r>
  <r>
    <n v="0"/>
    <n v="0"/>
    <n v="0"/>
    <x v="880"/>
    <x v="866"/>
    <n v="0"/>
    <s v="vlc"/>
    <s v="Indirect"/>
    <n v="1062"/>
    <x v="23"/>
    <s v="New"/>
    <d v="2026-03-23T00:00:00"/>
    <n v="860.44999999999993"/>
    <n v="38408.87084827268"/>
    <n v="645.33749999999998"/>
    <n v="817.4274999999999"/>
    <n v="0"/>
    <n v="1152.2661254481804"/>
    <n v="334.83862544818055"/>
    <n v="86.045000000000002"/>
    <n v="0"/>
    <n v="1377"/>
    <n v="0"/>
    <n v="0"/>
    <n v="0"/>
    <n v="0"/>
    <n v="0"/>
    <n v="1377"/>
    <n v="0"/>
    <n v="1377"/>
    <s v="Release"/>
  </r>
  <r>
    <n v="75000"/>
    <n v="0"/>
    <n v="75000"/>
    <x v="881"/>
    <x v="425"/>
    <n v="0"/>
    <s v="MPG"/>
    <s v="Direct"/>
    <n v="1001"/>
    <x v="0"/>
    <s v="New"/>
    <d v="2026-03-31T00:00:00"/>
    <n v="671.69999999999993"/>
    <n v="23568.178934852003"/>
    <n v="503.77499999999998"/>
    <n v="638.1149999999999"/>
    <n v="0"/>
    <n v="707.04536804556005"/>
    <n v="68.930368045560158"/>
    <n v="67.17"/>
    <n v="0"/>
    <n v="1075"/>
    <n v="0"/>
    <n v="0"/>
    <n v="0"/>
    <n v="0"/>
    <n v="0"/>
    <n v="1075"/>
    <n v="1075"/>
    <n v="0"/>
    <s v="Yes"/>
  </r>
  <r>
    <n v="75000"/>
    <n v="0"/>
    <n v="75000"/>
    <x v="882"/>
    <x v="867"/>
    <n v="0"/>
    <s v="MPG"/>
    <s v="Direct"/>
    <n v="1001"/>
    <x v="0"/>
    <s v="New"/>
    <d v="2026-03-31T00:00:00"/>
    <n v="143.19999999999999"/>
    <n v="4419.4834667879995"/>
    <n v="107.39999999999999"/>
    <n v="136.04"/>
    <n v="0"/>
    <n v="132.58450400363998"/>
    <n v="-3.455495996360014"/>
    <n v="14.32"/>
    <n v="0"/>
    <n v="229"/>
    <n v="0"/>
    <n v="0"/>
    <n v="0"/>
    <n v="0"/>
    <n v="0"/>
    <n v="229"/>
    <n v="229"/>
    <n v="0"/>
    <s v="Yes"/>
  </r>
  <r>
    <n v="75000"/>
    <n v="0"/>
    <n v="75000"/>
    <x v="883"/>
    <x v="387"/>
    <n v="0"/>
    <s v="MPG"/>
    <s v="Direct"/>
    <n v="1001"/>
    <x v="0"/>
    <s v="New"/>
    <d v="2026-03-31T00:00:00"/>
    <n v="1082.3"/>
    <n v="41368.664629849998"/>
    <n v="811.72499999999991"/>
    <n v="1028.1849999999999"/>
    <n v="554.16436898325003"/>
    <n v="1241.0599388955"/>
    <n v="212.87493889550001"/>
    <n v="108.23"/>
    <n v="0"/>
    <n v="2286"/>
    <n v="0"/>
    <n v="0"/>
    <n v="0"/>
    <n v="0"/>
    <n v="0"/>
    <n v="2286"/>
    <n v="2286"/>
    <n v="0"/>
    <s v="Yes"/>
  </r>
  <r>
    <n v="75000"/>
    <n v="0"/>
    <n v="75000"/>
    <x v="884"/>
    <x v="868"/>
    <n v="0"/>
    <s v="MPG"/>
    <s v="Direct"/>
    <n v="1001"/>
    <x v="0"/>
    <s v="New"/>
    <d v="2026-03-31T00:00:00"/>
    <n v="851.40000000000009"/>
    <n v="30923.804682590002"/>
    <n v="638.55000000000007"/>
    <n v="808.83"/>
    <n v="83.318152169400008"/>
    <n v="927.71414047769997"/>
    <n v="118.88414047769993"/>
    <n v="85.140000000000015"/>
    <n v="0"/>
    <n v="1446"/>
    <n v="0"/>
    <n v="0"/>
    <n v="0"/>
    <n v="0"/>
    <n v="0"/>
    <n v="1446"/>
    <n v="1446"/>
    <n v="0"/>
    <s v="Yes"/>
  </r>
  <r>
    <n v="85000"/>
    <n v="0"/>
    <n v="85000"/>
    <x v="885"/>
    <x v="869"/>
    <n v="0"/>
    <s v="vlc"/>
    <s v="Indirect"/>
    <n v="1001"/>
    <x v="0"/>
    <s v="New"/>
    <d v="2026-03-31T00:00:00"/>
    <n v="425"/>
    <n v="16465.022278578002"/>
    <n v="318.75"/>
    <n v="403.75"/>
    <n v="0"/>
    <n v="493.95066835734008"/>
    <n v="90.200668357340078"/>
    <n v="42.5"/>
    <n v="0"/>
    <n v="680"/>
    <n v="0"/>
    <n v="0"/>
    <n v="0"/>
    <n v="0"/>
    <n v="0"/>
    <n v="680"/>
    <n v="680"/>
    <n v="0"/>
    <s v="Yes"/>
  </r>
  <r>
    <n v="65000"/>
    <n v="0"/>
    <n v="65000"/>
    <x v="886"/>
    <x v="870"/>
    <n v="0"/>
    <s v="MPG"/>
    <s v="Direct"/>
    <n v="1001"/>
    <x v="0"/>
    <s v="New"/>
    <d v="2026-03-31T00:00:00"/>
    <n v="1747.2"/>
    <n v="72958.820161920012"/>
    <n v="1310.4000000000001"/>
    <n v="1659.84"/>
    <n v="829.55954240400013"/>
    <n v="2188.7646048576003"/>
    <n v="528.92460485760034"/>
    <n v="174.72000000000003"/>
    <n v="0"/>
    <n v="3625"/>
    <n v="0"/>
    <n v="0"/>
    <n v="0"/>
    <n v="0"/>
    <n v="0"/>
    <n v="3625"/>
    <n v="0"/>
    <n v="3625"/>
    <s v="Release"/>
  </r>
  <r>
    <n v="0"/>
    <n v="0"/>
    <n v="0"/>
    <x v="887"/>
    <x v="871"/>
    <n v="0"/>
    <s v="MPG"/>
    <s v="Direct"/>
    <n v="1001"/>
    <x v="0"/>
    <s v="New"/>
    <d v="2026-03-31T00:00:00"/>
    <n v="1158.4000000000001"/>
    <n v="42837.491778448006"/>
    <n v="868.80000000000007"/>
    <n v="1100.48"/>
    <n v="0"/>
    <n v="1285.1247533534402"/>
    <n v="184.64475335344014"/>
    <n v="115.84000000000002"/>
    <n v="0"/>
    <n v="1853"/>
    <n v="0"/>
    <n v="0"/>
    <n v="0"/>
    <n v="0"/>
    <n v="0"/>
    <n v="1853"/>
    <n v="0"/>
    <n v="1853"/>
    <s v="Release"/>
  </r>
  <r>
    <n v="65000"/>
    <n v="0"/>
    <n v="65000"/>
    <x v="888"/>
    <x v="872"/>
    <n v="0"/>
    <s v="MPG"/>
    <s v="Direct"/>
    <n v="1008"/>
    <x v="1"/>
    <s v="New"/>
    <d v="2026-03-28T00:00:00"/>
    <n v="970.45"/>
    <n v="34928.249038497001"/>
    <n v="727.83750000000009"/>
    <n v="921.92750000000001"/>
    <n v="0"/>
    <n v="1047.84747115491"/>
    <n v="125.91997115490994"/>
    <n v="97.045000000000016"/>
    <n v="0"/>
    <n v="1553"/>
    <n v="0"/>
    <n v="0"/>
    <n v="0"/>
    <n v="0"/>
    <n v="0"/>
    <n v="1553"/>
    <n v="1553"/>
    <n v="0"/>
    <s v="Yes"/>
  </r>
  <r>
    <n v="65000"/>
    <n v="0"/>
    <n v="65000"/>
    <x v="889"/>
    <x v="873"/>
    <n v="0"/>
    <s v="MPG"/>
    <s v="Direct"/>
    <n v="1009"/>
    <x v="11"/>
    <s v="New"/>
    <d v="2026-03-31T00:00:00"/>
    <n v="1034"/>
    <n v="39353.488279609999"/>
    <n v="775.5"/>
    <n v="982.3"/>
    <n v="0"/>
    <n v="1180.6046483882999"/>
    <n v="198.30464838829994"/>
    <n v="103.4"/>
    <n v="0"/>
    <n v="1654"/>
    <n v="0"/>
    <n v="0"/>
    <n v="0"/>
    <n v="0"/>
    <n v="0"/>
    <n v="1654"/>
    <n v="1654"/>
    <n v="0"/>
    <s v="Yes"/>
  </r>
  <r>
    <n v="0"/>
    <n v="0"/>
    <n v="0"/>
    <x v="890"/>
    <x v="874"/>
    <n v="0"/>
    <s v="vlc"/>
    <s v="Indirect"/>
    <n v="1010"/>
    <x v="9"/>
    <s v="New"/>
    <d v="2026-03-27T00:00:00"/>
    <n v="1307.4000000000001"/>
    <n v="57728.338285801503"/>
    <n v="980.55000000000007"/>
    <n v="1242.03"/>
    <n v="0"/>
    <n v="1731.8501485740451"/>
    <n v="489.82014857404511"/>
    <n v="130.74"/>
    <n v="0"/>
    <n v="2092"/>
    <n v="0"/>
    <n v="0"/>
    <n v="0"/>
    <n v="0"/>
    <n v="0"/>
    <n v="2092"/>
    <n v="0"/>
    <n v="2092"/>
    <s v="Release"/>
  </r>
  <r>
    <n v="0"/>
    <n v="0"/>
    <n v="0"/>
    <x v="891"/>
    <x v="875"/>
    <n v="0"/>
    <s v="vlc"/>
    <s v="Indirect"/>
    <n v="1010"/>
    <x v="9"/>
    <s v="New"/>
    <d v="2026-03-27T00:00:00"/>
    <n v="11060.5"/>
    <n v="523431.88068973296"/>
    <n v="8295.375"/>
    <n v="10507.475"/>
    <n v="0"/>
    <n v="15702.956420691988"/>
    <n v="5195.4814206919873"/>
    <n v="1106.05"/>
    <n v="0"/>
    <n v="17697"/>
    <n v="0"/>
    <n v="0"/>
    <n v="0"/>
    <n v="0"/>
    <n v="0"/>
    <n v="17697"/>
    <n v="0"/>
    <n v="17697"/>
    <s v="Release"/>
  </r>
  <r>
    <n v="65000"/>
    <n v="0"/>
    <n v="65000"/>
    <x v="892"/>
    <x v="876"/>
    <n v="0"/>
    <s v="MPG"/>
    <s v="Direct"/>
    <n v="1011"/>
    <x v="12"/>
    <s v="New"/>
    <d v="2026-03-31T00:00:00"/>
    <n v="1037.9000000000001"/>
    <n v="38324.182123078004"/>
    <n v="778.42500000000007"/>
    <n v="986.005"/>
    <n v="0"/>
    <n v="1149.7254636923401"/>
    <n v="163.7204636923401"/>
    <n v="103.79000000000002"/>
    <n v="0"/>
    <n v="1661"/>
    <n v="0"/>
    <n v="0"/>
    <n v="0"/>
    <n v="0"/>
    <n v="0"/>
    <n v="1661"/>
    <n v="1661"/>
    <n v="0"/>
    <s v="Yes"/>
  </r>
  <r>
    <n v="75000"/>
    <n v="0"/>
    <n v="75000"/>
    <x v="893"/>
    <x v="877"/>
    <n v="0"/>
    <s v="MPG"/>
    <s v="Direct"/>
    <n v="1011"/>
    <x v="12"/>
    <s v="New"/>
    <d v="2026-03-31T00:00:00"/>
    <n v="699.39999999999986"/>
    <n v="25738.897714604005"/>
    <n v="524.54999999999995"/>
    <n v="664.42999999999984"/>
    <n v="0"/>
    <n v="772.16693143812017"/>
    <n v="107.73693143812034"/>
    <n v="69.939999999999984"/>
    <n v="0"/>
    <n v="1119"/>
    <n v="0"/>
    <n v="0"/>
    <n v="0"/>
    <n v="0"/>
    <n v="0"/>
    <n v="1119"/>
    <n v="1119"/>
    <n v="0"/>
    <s v="Yes"/>
  </r>
  <r>
    <n v="0"/>
    <n v="0"/>
    <n v="0"/>
    <x v="894"/>
    <x v="878"/>
    <n v="0"/>
    <s v="vlc"/>
    <s v="Indirect"/>
    <n v="1012"/>
    <x v="14"/>
    <s v="Old"/>
    <d v="2025-06-21T00:00:00"/>
    <n v="4539.18"/>
    <n v="159446.32500125468"/>
    <n v="3404.3850000000002"/>
    <n v="4312.2210000000005"/>
    <n v="0"/>
    <n v="4783.3897500376397"/>
    <n v="471.16875003763926"/>
    <n v="453.91800000000006"/>
    <n v="337.86037307831981"/>
    <n v="6925"/>
    <n v="0"/>
    <n v="0"/>
    <n v="0"/>
    <n v="0"/>
    <n v="0"/>
    <n v="6925"/>
    <n v="0"/>
    <n v="6925"/>
    <s v="Release"/>
  </r>
  <r>
    <n v="0"/>
    <n v="0"/>
    <n v="0"/>
    <x v="895"/>
    <x v="879"/>
    <n v="0"/>
    <s v="vlc"/>
    <s v="Indirect"/>
    <n v="1066"/>
    <x v="24"/>
    <s v="Old"/>
    <d v="2025-03-21T00:00:00"/>
    <n v="113.1"/>
    <n v="3516.5"/>
    <n v="84.824999999999989"/>
    <n v="107.44499999999999"/>
    <n v="0"/>
    <n v="105.49499999999999"/>
    <n v="-1.9500000000000028"/>
    <n v="11.31"/>
    <n v="180.95735632183909"/>
    <n v="0"/>
    <n v="0"/>
    <n v="0"/>
    <n v="0"/>
    <n v="0"/>
    <n v="0"/>
    <n v="0"/>
    <n v="0"/>
    <n v="0"/>
    <s v="Release"/>
  </r>
  <r>
    <n v="65000"/>
    <n v="0"/>
    <n v="65000"/>
    <x v="896"/>
    <x v="880"/>
    <n v="0"/>
    <s v="MPG"/>
    <s v="Direct"/>
    <n v="1053"/>
    <x v="18"/>
    <s v="New"/>
    <d v="2026-03-31T00:00:00"/>
    <n v="2733.1499999999996"/>
    <n v="110096.76636896499"/>
    <n v="2049.8624999999997"/>
    <n v="2596.4924999999994"/>
    <n v="2039.6763142848004"/>
    <n v="3302.9029910689496"/>
    <n v="706.41049106895025"/>
    <n v="273.315"/>
    <n v="0"/>
    <n v="6413"/>
    <n v="0"/>
    <n v="0"/>
    <n v="0"/>
    <n v="0"/>
    <n v="0"/>
    <n v="6413"/>
    <n v="0"/>
    <n v="6413"/>
    <s v="Release"/>
  </r>
  <r>
    <n v="75000"/>
    <n v="0"/>
    <n v="75000"/>
    <x v="897"/>
    <x v="881"/>
    <n v="0"/>
    <s v="MPG"/>
    <s v="Direct"/>
    <n v="1053"/>
    <x v="18"/>
    <s v="New"/>
    <d v="2026-03-31T00:00:00"/>
    <n v="1418.5"/>
    <n v="55906.336393555001"/>
    <n v="1063.875"/>
    <n v="1347.575"/>
    <n v="45.066073140000007"/>
    <n v="1677.1900918066499"/>
    <n v="329.61509180664984"/>
    <n v="141.85"/>
    <n v="0"/>
    <n v="2315"/>
    <n v="0"/>
    <n v="0"/>
    <n v="0"/>
    <n v="0"/>
    <n v="0"/>
    <n v="2315"/>
    <n v="2315"/>
    <n v="0"/>
    <s v="Yes"/>
  </r>
  <r>
    <n v="0"/>
    <n v="0"/>
    <n v="0"/>
    <x v="898"/>
    <x v="882"/>
    <n v="0"/>
    <s v="vlc"/>
    <s v="Indirect"/>
    <n v="1054"/>
    <x v="13"/>
    <s v="New"/>
    <d v="2026-03-31T00:00:00"/>
    <n v="4761.5"/>
    <n v="200842.67919046117"/>
    <n v="3571.125"/>
    <n v="4523.4250000000002"/>
    <n v="0"/>
    <n v="6025.2803757138354"/>
    <n v="1501.8553757138352"/>
    <n v="476.15000000000003"/>
    <n v="0"/>
    <n v="7618"/>
    <n v="0"/>
    <n v="0"/>
    <n v="0"/>
    <n v="0"/>
    <n v="0"/>
    <n v="7618"/>
    <n v="0"/>
    <n v="7618"/>
    <s v="Release"/>
  </r>
  <r>
    <n v="0"/>
    <n v="0"/>
    <n v="0"/>
    <x v="899"/>
    <x v="883"/>
    <n v="0"/>
    <s v="vlc"/>
    <s v="Indirect"/>
    <n v="1054"/>
    <x v="13"/>
    <s v="New"/>
    <d v="2026-03-31T00:00:00"/>
    <n v="2220.5"/>
    <n v="77948.942650148994"/>
    <n v="1665.375"/>
    <n v="2109.4749999999999"/>
    <n v="0"/>
    <n v="2338.4682795044696"/>
    <n v="228.99327950446968"/>
    <n v="222.05"/>
    <n v="0"/>
    <n v="3553"/>
    <n v="0"/>
    <n v="0"/>
    <n v="0"/>
    <n v="0"/>
    <n v="0"/>
    <n v="3553"/>
    <n v="0"/>
    <n v="3553"/>
    <s v="Release"/>
  </r>
  <r>
    <n v="0"/>
    <n v="0"/>
    <n v="0"/>
    <x v="900"/>
    <x v="884"/>
    <n v="0"/>
    <s v="vlc"/>
    <s v="Direct"/>
    <n v="1056"/>
    <x v="8"/>
    <s v="New"/>
    <d v="2026-03-31T00:00:00"/>
    <n v="861.68000000000006"/>
    <n v="34977.722637326078"/>
    <n v="646.26"/>
    <n v="818.596"/>
    <n v="0"/>
    <n v="1049.3316791197824"/>
    <n v="230.73567911978239"/>
    <n v="86.168000000000006"/>
    <n v="0"/>
    <n v="1379"/>
    <n v="0"/>
    <n v="0"/>
    <n v="0"/>
    <n v="0"/>
    <n v="0"/>
    <n v="1379"/>
    <n v="0"/>
    <n v="1379"/>
    <s v="Release"/>
  </r>
  <r>
    <n v="75000"/>
    <n v="0"/>
    <n v="75000"/>
    <x v="901"/>
    <x v="885"/>
    <n v="0"/>
    <s v="MPG"/>
    <s v="Direct"/>
    <n v="1056"/>
    <x v="8"/>
    <s v="New"/>
    <d v="2026-03-31T00:00:00"/>
    <n v="1301.2199999999998"/>
    <n v="58361.844559732002"/>
    <n v="975.91499999999985"/>
    <n v="1236.1589999999997"/>
    <n v="0"/>
    <n v="1750.8553367919601"/>
    <n v="514.69633679196045"/>
    <n v="130.12199999999999"/>
    <n v="0"/>
    <n v="2082"/>
    <n v="0"/>
    <n v="0"/>
    <n v="0"/>
    <n v="0"/>
    <n v="0"/>
    <n v="2082"/>
    <n v="2082"/>
    <n v="0"/>
    <s v="Yes"/>
  </r>
  <r>
    <n v="75000"/>
    <n v="0"/>
    <n v="75000"/>
    <x v="902"/>
    <x v="886"/>
    <n v="0"/>
    <s v="MPG"/>
    <s v="Direct"/>
    <n v="1056"/>
    <x v="8"/>
    <s v="New"/>
    <d v="2026-03-31T00:00:00"/>
    <n v="1085.08"/>
    <n v="43443.437223169502"/>
    <n v="813.81"/>
    <n v="1030.8259999999998"/>
    <n v="0"/>
    <n v="1303.303116695085"/>
    <n v="272.47711669508521"/>
    <n v="108.508"/>
    <n v="0"/>
    <n v="1736"/>
    <n v="0"/>
    <n v="0"/>
    <n v="0"/>
    <n v="0"/>
    <n v="0"/>
    <n v="1736"/>
    <n v="1736"/>
    <n v="0"/>
    <s v="Yes"/>
  </r>
  <r>
    <n v="85000"/>
    <n v="0"/>
    <n v="85000"/>
    <x v="903"/>
    <x v="887"/>
    <n v="0"/>
    <s v="MPG"/>
    <s v="Direct"/>
    <n v="1057"/>
    <x v="19"/>
    <s v="New"/>
    <d v="2026-03-27T00:00:00"/>
    <n v="611.90000000000009"/>
    <n v="25171.114033193997"/>
    <n v="458.92500000000007"/>
    <n v="581.30500000000006"/>
    <n v="0"/>
    <n v="755.13342099581985"/>
    <n v="173.82842099581978"/>
    <n v="61.190000000000012"/>
    <n v="0"/>
    <n v="979"/>
    <n v="0"/>
    <n v="0"/>
    <n v="0"/>
    <n v="0"/>
    <n v="0"/>
    <n v="979"/>
    <n v="979"/>
    <n v="0"/>
    <s v="Yes"/>
  </r>
  <r>
    <n v="0"/>
    <n v="0"/>
    <n v="0"/>
    <x v="904"/>
    <x v="888"/>
    <n v="0"/>
    <s v="vlc"/>
    <s v="Indirect"/>
    <n v="1057"/>
    <x v="19"/>
    <s v="New"/>
    <d v="2026-03-27T00:00:00"/>
    <n v="109.19999999999999"/>
    <n v="3949.6100000000006"/>
    <n v="81.899999999999991"/>
    <n v="103.73999999999998"/>
    <n v="0"/>
    <n v="118.48830000000001"/>
    <n v="14.748300000000029"/>
    <n v="10.92"/>
    <n v="0"/>
    <n v="175"/>
    <n v="0"/>
    <n v="0"/>
    <n v="0"/>
    <n v="0"/>
    <n v="0"/>
    <n v="175"/>
    <n v="175"/>
    <n v="0"/>
    <s v="Yes"/>
  </r>
  <r>
    <n v="0"/>
    <n v="0"/>
    <n v="0"/>
    <x v="905"/>
    <x v="889"/>
    <n v="0"/>
    <s v="vlc"/>
    <s v="Indirect"/>
    <n v="1057"/>
    <x v="19"/>
    <s v="New"/>
    <d v="2026-03-27T00:00:00"/>
    <n v="916.3"/>
    <n v="33044.556378885994"/>
    <n v="687.22499999999991"/>
    <n v="870.4849999999999"/>
    <n v="0"/>
    <n v="991.33669136657977"/>
    <n v="120.85169136657987"/>
    <n v="91.63"/>
    <n v="0"/>
    <n v="1466"/>
    <n v="0"/>
    <n v="0"/>
    <n v="0"/>
    <n v="0"/>
    <n v="0"/>
    <n v="1466"/>
    <n v="0"/>
    <n v="1466"/>
    <s v="Release"/>
  </r>
  <r>
    <n v="70000"/>
    <n v="5436.7451999999994"/>
    <n v="75436.745200000005"/>
    <x v="906"/>
    <x v="890"/>
    <n v="0"/>
    <s v="MPG"/>
    <s v="Direct"/>
    <n v="1058"/>
    <x v="2"/>
    <s v="New"/>
    <d v="2026-03-31T00:00:00"/>
    <n v="847.5"/>
    <n v="29277.371680153996"/>
    <n v="635.625"/>
    <n v="805.125"/>
    <n v="0"/>
    <n v="878.32115040461986"/>
    <n v="73.196150404619857"/>
    <n v="84.75"/>
    <n v="0"/>
    <n v="1356"/>
    <n v="0"/>
    <n v="0"/>
    <n v="0"/>
    <n v="0"/>
    <n v="0"/>
    <n v="1356"/>
    <n v="1356"/>
    <n v="0"/>
    <s v="Yes"/>
  </r>
  <r>
    <n v="75000"/>
    <n v="0"/>
    <n v="75000"/>
    <x v="907"/>
    <x v="891"/>
    <n v="0"/>
    <s v="MPG"/>
    <s v="Direct"/>
    <n v="1058"/>
    <x v="2"/>
    <s v="New"/>
    <d v="2026-03-31T00:00:00"/>
    <n v="667.3"/>
    <n v="25742.022854044"/>
    <n v="500.47499999999997"/>
    <n v="633.93499999999995"/>
    <n v="0"/>
    <n v="772.26068562132002"/>
    <n v="138.32568562132008"/>
    <n v="66.73"/>
    <n v="0"/>
    <n v="1068"/>
    <n v="0"/>
    <n v="0"/>
    <n v="0"/>
    <n v="0"/>
    <n v="0"/>
    <n v="1068"/>
    <n v="1068"/>
    <n v="0"/>
    <s v="Yes"/>
  </r>
  <r>
    <n v="70000"/>
    <n v="0"/>
    <n v="70000"/>
    <x v="908"/>
    <x v="892"/>
    <n v="0"/>
    <s v="MPG"/>
    <s v="Direct"/>
    <n v="1058"/>
    <x v="2"/>
    <s v="New"/>
    <d v="2026-03-31T00:00:00"/>
    <n v="1722"/>
    <n v="70265.117805106012"/>
    <n v="1291.5"/>
    <n v="1635.8999999999999"/>
    <n v="0"/>
    <n v="2107.9535341531805"/>
    <n v="472.05353415318064"/>
    <n v="172.20000000000002"/>
    <n v="0"/>
    <n v="2755"/>
    <n v="0"/>
    <n v="0"/>
    <n v="0"/>
    <n v="0"/>
    <n v="0"/>
    <n v="2755"/>
    <n v="2755"/>
    <n v="0"/>
    <s v="Yes"/>
  </r>
  <r>
    <n v="65000"/>
    <n v="0"/>
    <n v="65000"/>
    <x v="909"/>
    <x v="893"/>
    <n v="0"/>
    <s v="MPG"/>
    <s v="Direct"/>
    <n v="1058"/>
    <x v="2"/>
    <s v="New"/>
    <d v="2026-03-31T00:00:00"/>
    <n v="711.40000000000009"/>
    <n v="23676.329872032602"/>
    <n v="533.55000000000007"/>
    <n v="675.83"/>
    <n v="0"/>
    <n v="710.28989616097806"/>
    <n v="34.459896160978019"/>
    <n v="71.140000000000015"/>
    <n v="0"/>
    <n v="1138"/>
    <n v="0"/>
    <n v="0"/>
    <n v="0"/>
    <n v="0"/>
    <n v="0"/>
    <n v="1138"/>
    <n v="1138"/>
    <n v="0"/>
    <s v="Yes"/>
  </r>
  <r>
    <n v="65000"/>
    <n v="0"/>
    <n v="65000"/>
    <x v="910"/>
    <x v="894"/>
    <n v="0"/>
    <s v="MPG"/>
    <s v="Direct"/>
    <n v="1058"/>
    <x v="2"/>
    <s v="New"/>
    <d v="2026-03-31T00:00:00"/>
    <n v="497.80000000000007"/>
    <n v="19718.048020898001"/>
    <n v="373.35"/>
    <n v="472.91"/>
    <n v="0"/>
    <n v="591.54144062694002"/>
    <n v="118.63144062693999"/>
    <n v="49.780000000000008"/>
    <n v="0"/>
    <n v="796"/>
    <n v="0"/>
    <n v="0"/>
    <n v="0"/>
    <n v="0"/>
    <n v="0"/>
    <n v="796"/>
    <n v="796"/>
    <n v="0"/>
    <s v="Yes"/>
  </r>
  <r>
    <n v="65000"/>
    <n v="0"/>
    <n v="65000"/>
    <x v="911"/>
    <x v="895"/>
    <n v="0"/>
    <s v="MPG"/>
    <s v="Direct"/>
    <n v="1058"/>
    <x v="2"/>
    <s v="New"/>
    <d v="2026-03-30T00:00:00"/>
    <n v="1432.3999999999999"/>
    <n v="58838.438079125604"/>
    <n v="1074.3"/>
    <n v="1360.7799999999997"/>
    <n v="0"/>
    <n v="1765.1531423737681"/>
    <n v="404.37314237376836"/>
    <n v="143.23999999999998"/>
    <n v="0"/>
    <n v="2292"/>
    <n v="0"/>
    <n v="0"/>
    <n v="0"/>
    <n v="0"/>
    <n v="0"/>
    <n v="2292"/>
    <n v="2292"/>
    <n v="0"/>
    <s v="Yes"/>
  </r>
  <r>
    <n v="75000"/>
    <n v="0"/>
    <n v="75000"/>
    <x v="912"/>
    <x v="642"/>
    <n v="0"/>
    <s v="MPG"/>
    <s v="Direct"/>
    <n v="1058"/>
    <x v="2"/>
    <s v="New"/>
    <d v="2026-03-31T00:00:00"/>
    <n v="711.29999999999984"/>
    <n v="30353.697883670204"/>
    <n v="533.47499999999991"/>
    <n v="675.73499999999979"/>
    <n v="0"/>
    <n v="910.61093651010606"/>
    <n v="234.87593651010627"/>
    <n v="71.129999999999981"/>
    <n v="0"/>
    <n v="1138"/>
    <n v="0"/>
    <n v="0"/>
    <n v="0"/>
    <n v="0"/>
    <n v="0"/>
    <n v="1138"/>
    <n v="1138"/>
    <n v="0"/>
    <s v="Yes"/>
  </r>
  <r>
    <n v="65000"/>
    <n v="0"/>
    <n v="65000"/>
    <x v="913"/>
    <x v="896"/>
    <n v="0"/>
    <s v="MPG"/>
    <s v="Direct"/>
    <n v="1058"/>
    <x v="2"/>
    <s v="New"/>
    <d v="2026-03-31T00:00:00"/>
    <n v="2369.4"/>
    <n v="81318.7700891235"/>
    <n v="1777.0500000000002"/>
    <n v="2250.9299999999998"/>
    <n v="0"/>
    <n v="2439.5631026737051"/>
    <n v="188.63310267370525"/>
    <n v="236.94000000000003"/>
    <n v="0"/>
    <n v="3791"/>
    <n v="0"/>
    <n v="0"/>
    <n v="0"/>
    <n v="0"/>
    <n v="0"/>
    <n v="3791"/>
    <n v="3791"/>
    <n v="0"/>
    <s v="Yes"/>
  </r>
  <r>
    <n v="70000"/>
    <n v="0"/>
    <n v="70000"/>
    <x v="914"/>
    <x v="789"/>
    <n v="0"/>
    <s v="MPG"/>
    <s v="Direct"/>
    <n v="1059"/>
    <x v="6"/>
    <s v="New"/>
    <d v="2026-03-29T00:00:00"/>
    <n v="1735.3000000000002"/>
    <n v="75585.290265942007"/>
    <n v="1301.4750000000001"/>
    <n v="1648.5350000000001"/>
    <n v="0"/>
    <n v="2267.5587079782599"/>
    <n v="619.02370797825984"/>
    <n v="173.53000000000003"/>
    <n v="0"/>
    <n v="2776"/>
    <n v="0"/>
    <n v="0"/>
    <n v="0"/>
    <n v="0"/>
    <n v="0"/>
    <n v="2776"/>
    <n v="2776"/>
    <n v="0"/>
    <s v="Yes"/>
  </r>
  <r>
    <n v="70000"/>
    <n v="0"/>
    <n v="70000"/>
    <x v="915"/>
    <x v="897"/>
    <n v="0"/>
    <s v="MPG"/>
    <s v="Direct"/>
    <n v="1059"/>
    <x v="6"/>
    <s v="New"/>
    <d v="2026-03-31T00:00:00"/>
    <n v="1808.7000000000003"/>
    <n v="78001.517049145594"/>
    <n v="1356.5250000000001"/>
    <n v="1718.2650000000001"/>
    <n v="0"/>
    <n v="2340.0455114743677"/>
    <n v="621.78051147436759"/>
    <n v="180.87000000000003"/>
    <n v="0"/>
    <n v="2894"/>
    <n v="0"/>
    <n v="0"/>
    <n v="0"/>
    <n v="0"/>
    <n v="0"/>
    <n v="2894"/>
    <n v="2894"/>
    <n v="0"/>
    <s v="Yes"/>
  </r>
  <r>
    <n v="65000"/>
    <n v="0"/>
    <n v="65000"/>
    <x v="916"/>
    <x v="898"/>
    <n v="0"/>
    <s v="MPG"/>
    <s v="Direct"/>
    <n v="1059"/>
    <x v="6"/>
    <s v="New"/>
    <d v="2026-03-31T00:00:00"/>
    <n v="126.10000000000001"/>
    <n v="6627.4960788354992"/>
    <n v="94.575000000000003"/>
    <n v="119.795"/>
    <n v="0"/>
    <n v="198.82488236506498"/>
    <n v="79.029882365064978"/>
    <n v="12.610000000000001"/>
    <n v="0"/>
    <n v="202"/>
    <n v="0"/>
    <n v="0"/>
    <n v="0"/>
    <n v="0"/>
    <n v="0"/>
    <n v="202"/>
    <n v="202"/>
    <n v="0"/>
    <s v="Yes"/>
  </r>
  <r>
    <n v="75000"/>
    <n v="0"/>
    <n v="75000"/>
    <x v="917"/>
    <x v="899"/>
    <n v="0"/>
    <s v="MPG"/>
    <s v="Direct"/>
    <n v="1061"/>
    <x v="22"/>
    <s v="New"/>
    <d v="2026-03-31T00:00:00"/>
    <n v="297.5"/>
    <n v="18858.177928891"/>
    <n v="223.125"/>
    <n v="282.625"/>
    <n v="0"/>
    <n v="565.74533786672998"/>
    <n v="283.12033786672998"/>
    <n v="29.75"/>
    <n v="0"/>
    <n v="476"/>
    <n v="0"/>
    <n v="0"/>
    <n v="0"/>
    <n v="0"/>
    <n v="0"/>
    <n v="476"/>
    <n v="0"/>
    <n v="476"/>
    <s v="Release"/>
  </r>
  <r>
    <n v="0"/>
    <n v="0"/>
    <n v="0"/>
    <x v="918"/>
    <x v="900"/>
    <n v="0"/>
    <s v="vlc"/>
    <s v="Indirect"/>
    <n v="1061"/>
    <x v="22"/>
    <s v="New"/>
    <d v="2026-03-27T00:00:00"/>
    <n v="5524.5"/>
    <n v="186236.98412063398"/>
    <n v="4143.375"/>
    <n v="5248.2749999999996"/>
    <n v="0"/>
    <n v="5587.1095236190195"/>
    <n v="338.83452361901982"/>
    <n v="552.45000000000005"/>
    <n v="0"/>
    <n v="8839"/>
    <n v="0"/>
    <n v="0"/>
    <n v="0"/>
    <n v="0"/>
    <n v="0"/>
    <n v="8839"/>
    <n v="0"/>
    <n v="8839"/>
    <s v="Release"/>
  </r>
  <r>
    <n v="0"/>
    <n v="0"/>
    <n v="0"/>
    <x v="919"/>
    <x v="901"/>
    <n v="0"/>
    <s v="vlc"/>
    <s v="Indirect"/>
    <n v="1061"/>
    <x v="22"/>
    <s v="New"/>
    <d v="2026-03-28T00:00:00"/>
    <n v="372.4"/>
    <n v="13280.407629765501"/>
    <n v="279.29999999999995"/>
    <n v="353.78"/>
    <n v="0"/>
    <n v="398.412228892965"/>
    <n v="44.632228892965031"/>
    <n v="37.24"/>
    <n v="0"/>
    <n v="596"/>
    <n v="0"/>
    <n v="0"/>
    <n v="0"/>
    <n v="0"/>
    <n v="0"/>
    <n v="596"/>
    <n v="0"/>
    <n v="596"/>
    <s v="Release"/>
  </r>
  <r>
    <n v="0"/>
    <n v="0"/>
    <n v="0"/>
    <x v="920"/>
    <x v="902"/>
    <n v="0"/>
    <s v="vlc"/>
    <s v="Indirect"/>
    <n v="1061"/>
    <x v="22"/>
    <s v="New"/>
    <d v="2026-03-27T00:00:00"/>
    <n v="397.2"/>
    <n v="13367.885854776003"/>
    <n v="297.89999999999998"/>
    <n v="377.34"/>
    <n v="0"/>
    <n v="401.03657564328006"/>
    <n v="23.696575643280084"/>
    <n v="39.72"/>
    <n v="0"/>
    <n v="636"/>
    <n v="0"/>
    <n v="0"/>
    <n v="0"/>
    <n v="0"/>
    <n v="0"/>
    <n v="636"/>
    <n v="0"/>
    <n v="636"/>
    <s v="Release"/>
  </r>
  <r>
    <n v="0"/>
    <n v="0"/>
    <n v="0"/>
    <x v="921"/>
    <x v="903"/>
    <n v="0"/>
    <s v="vlc"/>
    <s v="Indirect"/>
    <n v="1061"/>
    <x v="22"/>
    <s v="New"/>
    <d v="2026-03-27T00:00:00"/>
    <n v="1584.6"/>
    <n v="58568.041653390006"/>
    <n v="1188.4499999999998"/>
    <n v="1505.37"/>
    <n v="0"/>
    <n v="1757.0412496017002"/>
    <n v="251.67124960170031"/>
    <n v="158.46"/>
    <n v="0"/>
    <n v="2535"/>
    <n v="0"/>
    <n v="0"/>
    <n v="0"/>
    <n v="0"/>
    <n v="0"/>
    <n v="2535"/>
    <n v="0"/>
    <n v="2535"/>
    <s v="Release"/>
  </r>
  <r>
    <n v="0"/>
    <n v="0"/>
    <n v="0"/>
    <x v="922"/>
    <x v="904"/>
    <n v="0"/>
    <s v="vlc"/>
    <s v="Indirect"/>
    <n v="1061"/>
    <x v="22"/>
    <s v="New"/>
    <d v="2026-03-27T00:00:00"/>
    <n v="1787.4"/>
    <n v="54657.386442688497"/>
    <n v="1340.5500000000002"/>
    <n v="1698.03"/>
    <n v="0"/>
    <n v="1639.7215932806548"/>
    <n v="-58.308406719345157"/>
    <n v="178.74"/>
    <n v="0"/>
    <n v="2860"/>
    <n v="0"/>
    <n v="0"/>
    <n v="0"/>
    <n v="0"/>
    <n v="0"/>
    <n v="2860"/>
    <n v="0"/>
    <n v="2860"/>
    <s v="Release"/>
  </r>
  <r>
    <n v="0"/>
    <n v="0"/>
    <n v="0"/>
    <x v="923"/>
    <x v="905"/>
    <n v="0"/>
    <s v="vlc"/>
    <s v="Indirect"/>
    <n v="1061"/>
    <x v="22"/>
    <s v="New"/>
    <d v="2026-03-27T00:00:00"/>
    <n v="529.09999999999991"/>
    <n v="18823.05287675"/>
    <n v="396.82499999999993"/>
    <n v="502.64499999999987"/>
    <n v="0"/>
    <n v="564.69158630250001"/>
    <n v="62.046586302500145"/>
    <n v="52.91"/>
    <n v="0"/>
    <n v="847"/>
    <n v="0"/>
    <n v="0"/>
    <n v="0"/>
    <n v="0"/>
    <n v="0"/>
    <n v="847"/>
    <n v="0"/>
    <n v="847"/>
    <s v="Release"/>
  </r>
  <r>
    <n v="0"/>
    <n v="0"/>
    <n v="0"/>
    <x v="924"/>
    <x v="906"/>
    <n v="0"/>
    <s v="vlc"/>
    <s v="Indirect"/>
    <n v="1061"/>
    <x v="22"/>
    <s v="New"/>
    <d v="2026-03-27T00:00:00"/>
    <n v="3480.7999999999997"/>
    <n v="124560.21003697952"/>
    <n v="2610.6"/>
    <n v="3306.7599999999998"/>
    <n v="0"/>
    <n v="3736.8063011093855"/>
    <n v="430.04630110938569"/>
    <n v="348.08"/>
    <n v="0"/>
    <n v="5569"/>
    <n v="0"/>
    <n v="0"/>
    <n v="0"/>
    <n v="0"/>
    <n v="0"/>
    <n v="5569"/>
    <n v="0"/>
    <n v="5569"/>
    <s v="Release"/>
  </r>
  <r>
    <n v="0"/>
    <n v="0"/>
    <n v="0"/>
    <x v="925"/>
    <x v="907"/>
    <n v="0"/>
    <s v="vlc"/>
    <s v="Indirect"/>
    <n v="1061"/>
    <x v="22"/>
    <s v="New"/>
    <d v="2026-03-27T00:00:00"/>
    <n v="768.4"/>
    <n v="28187.77"/>
    <n v="576.29999999999995"/>
    <n v="729.9799999999999"/>
    <n v="0"/>
    <n v="845.63310000000001"/>
    <n v="115.65310000000011"/>
    <n v="76.84"/>
    <n v="0"/>
    <n v="1229"/>
    <n v="0"/>
    <n v="0"/>
    <n v="0"/>
    <n v="0"/>
    <n v="0"/>
    <n v="1229"/>
    <n v="0"/>
    <n v="1229"/>
    <s v="Release"/>
  </r>
  <r>
    <n v="85000"/>
    <n v="0"/>
    <n v="85000"/>
    <x v="926"/>
    <x v="908"/>
    <n v="0"/>
    <s v="MPG"/>
    <s v="Direct"/>
    <n v="1057"/>
    <x v="19"/>
    <s v="New"/>
    <d v="2026-03-28T00:00:00"/>
    <n v="638.80000000000007"/>
    <n v="27183.724622695005"/>
    <n v="479.1"/>
    <n v="606.86"/>
    <n v="0"/>
    <n v="815.51173868085016"/>
    <n v="208.65173868085014"/>
    <n v="63.88000000000001"/>
    <n v="0"/>
    <n v="1022"/>
    <n v="0"/>
    <n v="0"/>
    <n v="0"/>
    <n v="0"/>
    <n v="0"/>
    <n v="1022"/>
    <n v="1022"/>
    <n v="0"/>
    <s v="Yes"/>
  </r>
  <r>
    <n v="85000"/>
    <n v="0"/>
    <n v="85000"/>
    <x v="927"/>
    <x v="909"/>
    <n v="0"/>
    <s v="MPG"/>
    <s v="Direct"/>
    <n v="1062"/>
    <x v="23"/>
    <s v="New"/>
    <d v="2026-03-31T00:00:00"/>
    <n v="1678.1299999999999"/>
    <n v="80725.367818431303"/>
    <n v="1258.5974999999999"/>
    <n v="1594.2234999999998"/>
    <n v="0"/>
    <n v="2421.7610345529388"/>
    <n v="827.53753455293895"/>
    <n v="167.81299999999999"/>
    <n v="0"/>
    <n v="2685"/>
    <n v="0"/>
    <n v="0"/>
    <n v="0"/>
    <n v="0"/>
    <n v="0"/>
    <n v="2685"/>
    <n v="2685"/>
    <n v="0"/>
    <s v="Yes"/>
  </r>
  <r>
    <n v="70000"/>
    <n v="0"/>
    <n v="70000"/>
    <x v="928"/>
    <x v="910"/>
    <n v="0"/>
    <s v="MPG"/>
    <s v="Direct"/>
    <n v="1065"/>
    <x v="20"/>
    <s v="New"/>
    <d v="2026-03-31T00:00:00"/>
    <n v="1578.6"/>
    <n v="61276.036088320005"/>
    <n v="1183.9499999999998"/>
    <n v="1499.6699999999998"/>
    <n v="0"/>
    <n v="1838.2810826496"/>
    <n v="338.61108264960012"/>
    <n v="157.86000000000001"/>
    <n v="0"/>
    <n v="2526"/>
    <n v="0"/>
    <n v="0"/>
    <n v="0"/>
    <n v="0"/>
    <n v="0"/>
    <n v="2526"/>
    <n v="2526"/>
    <n v="0"/>
    <s v="Yes"/>
  </r>
  <r>
    <n v="0"/>
    <n v="0"/>
    <n v="0"/>
    <x v="929"/>
    <x v="911"/>
    <n v="0"/>
    <s v="vlc"/>
    <s v="Indirect"/>
    <n v="1006"/>
    <x v="5"/>
    <s v="New"/>
    <d v="2026-04-09T00:00:00"/>
    <n v="247.9"/>
    <n v="9362.9399999999987"/>
    <n v="185.92500000000001"/>
    <n v="235.505"/>
    <n v="0"/>
    <n v="280.88819999999993"/>
    <n v="45.383199999999931"/>
    <n v="24.790000000000003"/>
    <n v="0"/>
    <n v="397"/>
    <n v="0"/>
    <n v="0"/>
    <n v="0"/>
    <n v="0"/>
    <n v="0"/>
    <n v="397"/>
    <n v="397"/>
    <n v="0"/>
    <s v="Yes"/>
  </r>
  <r>
    <n v="0"/>
    <n v="0"/>
    <n v="0"/>
    <x v="930"/>
    <x v="907"/>
    <n v="0"/>
    <s v="vlc"/>
    <s v="Indirect"/>
    <n v="1013"/>
    <x v="15"/>
    <s v="New"/>
    <d v="2026-04-08T00:00:00"/>
    <n v="28.1"/>
    <n v="1072.2911472000003"/>
    <n v="21.075000000000003"/>
    <n v="26.695"/>
    <n v="0"/>
    <n v="32.168734416000007"/>
    <n v="5.4737344160000063"/>
    <n v="2.8100000000000005"/>
    <n v="0"/>
    <n v="45"/>
    <n v="0"/>
    <n v="0"/>
    <n v="0"/>
    <n v="0"/>
    <n v="0"/>
    <n v="45"/>
    <n v="0"/>
    <n v="45"/>
    <s v="Release"/>
  </r>
  <r>
    <n v="75000"/>
    <n v="0"/>
    <n v="75000"/>
    <x v="931"/>
    <x v="912"/>
    <n v="0"/>
    <s v="MPG"/>
    <s v="Direct"/>
    <n v="1056"/>
    <x v="8"/>
    <s v="New"/>
    <d v="2026-04-07T00:00:00"/>
    <n v="1413"/>
    <n v="52874.911630748"/>
    <n v="1059.75"/>
    <n v="1342.35"/>
    <n v="0"/>
    <n v="1586.2473489224399"/>
    <n v="243.89734892243996"/>
    <n v="141.30000000000001"/>
    <n v="0"/>
    <n v="2261"/>
    <n v="0"/>
    <n v="0"/>
    <n v="0"/>
    <n v="0"/>
    <n v="0"/>
    <n v="2261"/>
    <n v="2261"/>
    <n v="0"/>
    <s v="Yes"/>
  </r>
  <r>
    <n v="85000"/>
    <n v="0"/>
    <n v="85000"/>
    <x v="932"/>
    <x v="913"/>
    <n v="0"/>
    <s v="MPG"/>
    <s v="Direct"/>
    <n v="1057"/>
    <x v="19"/>
    <s v="New"/>
    <d v="2026-04-04T00:00:00"/>
    <n v="831.8"/>
    <n v="32859.878618770003"/>
    <n v="623.84999999999991"/>
    <n v="790.20999999999992"/>
    <n v="0"/>
    <n v="985.79635856310006"/>
    <n v="195.58635856310013"/>
    <n v="83.18"/>
    <n v="0"/>
    <n v="1331"/>
    <n v="0"/>
    <n v="0"/>
    <n v="0"/>
    <n v="0"/>
    <n v="0"/>
    <n v="1331"/>
    <n v="1331"/>
    <n v="0"/>
    <s v="Yes"/>
  </r>
  <r>
    <n v="0"/>
    <n v="0"/>
    <n v="0"/>
    <x v="933"/>
    <x v="914"/>
    <n v="0"/>
    <s v="vlc"/>
    <s v="Indirect"/>
    <n v="1061"/>
    <x v="22"/>
    <s v="New"/>
    <d v="2026-04-03T00:00:00"/>
    <n v="49.3"/>
    <n v="1741.74"/>
    <n v="36.974999999999994"/>
    <n v="46.834999999999994"/>
    <n v="0"/>
    <n v="52.252199999999995"/>
    <n v="5.4172000000000011"/>
    <n v="4.93"/>
    <n v="0"/>
    <n v="79"/>
    <n v="0"/>
    <n v="0"/>
    <n v="0"/>
    <n v="0"/>
    <n v="0"/>
    <n v="79"/>
    <n v="0"/>
    <n v="79"/>
    <s v="Release"/>
  </r>
  <r>
    <n v="0"/>
    <n v="0"/>
    <n v="0"/>
    <x v="934"/>
    <x v="915"/>
    <n v="0"/>
    <s v="vlc"/>
    <s v="Indirect"/>
    <n v="1061"/>
    <x v="22"/>
    <s v="New"/>
    <d v="2026-04-03T00:00:00"/>
    <n v="1451.3"/>
    <n v="53654.781273103996"/>
    <n v="1088.4749999999999"/>
    <n v="1378.7349999999999"/>
    <n v="0"/>
    <n v="1609.6434381931199"/>
    <n v="230.90843819311999"/>
    <n v="145.13"/>
    <n v="0"/>
    <n v="2322"/>
    <n v="0"/>
    <n v="0"/>
    <n v="0"/>
    <n v="0"/>
    <n v="0"/>
    <n v="2322"/>
    <n v="0"/>
    <n v="2322"/>
    <s v="Release"/>
  </r>
  <r>
    <n v="0"/>
    <n v="0"/>
    <n v="0"/>
    <x v="935"/>
    <x v="916"/>
    <n v="0"/>
    <s v="vlc"/>
    <s v="Indirect"/>
    <n v="1061"/>
    <x v="22"/>
    <s v="New"/>
    <d v="2026-04-03T00:00:00"/>
    <n v="315.8"/>
    <n v="11073.130000000001"/>
    <n v="236.85000000000002"/>
    <n v="300.01"/>
    <n v="0"/>
    <n v="332.19390000000004"/>
    <n v="32.183900000000051"/>
    <n v="31.580000000000002"/>
    <n v="0"/>
    <n v="505"/>
    <n v="0"/>
    <n v="0"/>
    <n v="0"/>
    <n v="0"/>
    <n v="0"/>
    <n v="505"/>
    <n v="0"/>
    <n v="505"/>
    <s v="Release"/>
  </r>
  <r>
    <n v="85000"/>
    <n v="0"/>
    <n v="85000"/>
    <x v="936"/>
    <x v="917"/>
    <n v="0"/>
    <s v="MPG"/>
    <s v="Direct"/>
    <n v="1057"/>
    <x v="19"/>
    <s v="New"/>
    <d v="2026-04-03T00:00:00"/>
    <n v="1856.6000000000001"/>
    <n v="68866.590127480013"/>
    <n v="1392.45"/>
    <n v="1763.77"/>
    <n v="0"/>
    <n v="2065.9977038244001"/>
    <n v="302.22770382440012"/>
    <n v="185.66000000000003"/>
    <n v="0"/>
    <n v="2971"/>
    <n v="0"/>
    <n v="0"/>
    <n v="0"/>
    <n v="0"/>
    <n v="0"/>
    <n v="2971"/>
    <n v="2971"/>
    <n v="0"/>
    <s v="Yes"/>
  </r>
  <r>
    <n v="85000"/>
    <n v="0"/>
    <n v="85000"/>
    <x v="937"/>
    <x v="918"/>
    <n v="0"/>
    <s v="MPG"/>
    <s v="Direct"/>
    <n v="1057"/>
    <x v="19"/>
    <s v="New"/>
    <d v="2026-04-03T00:00:00"/>
    <n v="447.1"/>
    <n v="16369.89138395"/>
    <n v="335.32500000000005"/>
    <n v="424.745"/>
    <n v="10.787359572000003"/>
    <n v="491.09674151849998"/>
    <n v="66.351741518499978"/>
    <n v="44.710000000000008"/>
    <n v="0"/>
    <n v="726"/>
    <n v="0"/>
    <n v="0"/>
    <n v="0"/>
    <n v="0"/>
    <n v="0"/>
    <n v="726"/>
    <n v="726"/>
    <n v="0"/>
    <s v="Yes"/>
  </r>
  <r>
    <n v="0"/>
    <n v="0"/>
    <n v="0"/>
    <x v="938"/>
    <x v="919"/>
    <n v="0"/>
    <s v="vlc"/>
    <s v="Indirect"/>
    <n v="1065"/>
    <x v="20"/>
    <s v="New"/>
    <d v="2026-04-09T00:00:00"/>
    <n v="572.79999999999995"/>
    <n v="20974.809999999998"/>
    <n v="429.59999999999997"/>
    <n v="544.16"/>
    <n v="0"/>
    <n v="629.24429999999995"/>
    <n v="85.084299999999985"/>
    <n v="57.28"/>
    <n v="0"/>
    <n v="916"/>
    <n v="0"/>
    <n v="0"/>
    <n v="0"/>
    <n v="0"/>
    <n v="0"/>
    <n v="916"/>
    <n v="916"/>
    <n v="0"/>
    <s v="Yes"/>
  </r>
  <r>
    <n v="0"/>
    <n v="0"/>
    <n v="0"/>
    <x v="939"/>
    <x v="920"/>
    <n v="0"/>
    <s v="MPG"/>
    <s v="Direct"/>
    <n v="1058"/>
    <x v="2"/>
    <s v="Old"/>
    <d v="2024-08-09T00:00:00"/>
    <n v="109.79999999999998"/>
    <n v="3837.02"/>
    <n v="82.35"/>
    <n v="104.30999999999997"/>
    <n v="0"/>
    <n v="115.11059999999999"/>
    <n v="10.800600000000017"/>
    <n v="10.979999999999999"/>
    <n v="175.49712276867041"/>
    <n v="0"/>
    <n v="0"/>
    <n v="0"/>
    <n v="0"/>
    <n v="0"/>
    <n v="0"/>
    <n v="0"/>
    <n v="0"/>
    <n v="0"/>
    <s v="Release"/>
  </r>
  <r>
    <n v="0"/>
    <n v="0"/>
    <n v="0"/>
    <x v="940"/>
    <x v="921"/>
    <n v="0"/>
    <s v="vlc"/>
    <s v="Indirect"/>
    <n v="1006"/>
    <x v="5"/>
    <s v="New"/>
    <d v="2026-04-14T00:00:00"/>
    <n v="1646.9"/>
    <n v="54424.803031411502"/>
    <n v="1235.1750000000002"/>
    <n v="1564.5550000000001"/>
    <n v="0"/>
    <n v="1632.7440909423451"/>
    <n v="68.189090942345047"/>
    <n v="164.69000000000003"/>
    <n v="0"/>
    <n v="2635"/>
    <n v="0"/>
    <n v="0"/>
    <n v="0"/>
    <n v="0"/>
    <n v="0"/>
    <n v="2635"/>
    <n v="0"/>
    <n v="2635"/>
    <s v="Release"/>
  </r>
  <r>
    <n v="0"/>
    <n v="0"/>
    <n v="0"/>
    <x v="941"/>
    <x v="922"/>
    <n v="0"/>
    <s v="vlc"/>
    <s v="Indirect"/>
    <n v="1014"/>
    <x v="16"/>
    <s v="New"/>
    <d v="2026-04-11T00:00:00"/>
    <n v="487.6"/>
    <n v="18785.862853499999"/>
    <n v="365.70000000000005"/>
    <n v="463.22"/>
    <n v="0"/>
    <n v="563.57588560499994"/>
    <n v="100.35588560499991"/>
    <n v="48.760000000000005"/>
    <n v="0"/>
    <n v="780"/>
    <n v="0"/>
    <n v="0"/>
    <n v="0"/>
    <n v="0"/>
    <n v="0"/>
    <n v="780"/>
    <n v="0"/>
    <n v="780"/>
    <s v="Release"/>
  </r>
  <r>
    <n v="0"/>
    <n v="0"/>
    <n v="0"/>
    <x v="942"/>
    <x v="923"/>
    <n v="0"/>
    <s v="vlc"/>
    <s v="Indirect"/>
    <n v="1010"/>
    <x v="9"/>
    <s v="New"/>
    <d v="2026-04-12T00:00:00"/>
    <n v="44417"/>
    <n v="1463904.6049486001"/>
    <n v="33312.75"/>
    <n v="42196.15"/>
    <n v="0"/>
    <n v="43917.138148457998"/>
    <n v="1720.9881484579964"/>
    <n v="0"/>
    <n v="0"/>
    <n v="75509"/>
    <n v="0"/>
    <n v="0"/>
    <n v="0"/>
    <n v="0"/>
    <n v="2781.8999999999996"/>
    <n v="72727"/>
    <n v="0"/>
    <n v="72727"/>
    <s v="Release"/>
  </r>
  <r>
    <n v="0"/>
    <n v="0"/>
    <n v="0"/>
    <x v="943"/>
    <x v="924"/>
    <n v="0"/>
    <s v="vlc"/>
    <s v="Indirect"/>
    <n v="1053"/>
    <x v="18"/>
    <s v="New"/>
    <d v="2026-04-15T00:00:00"/>
    <n v="1178.5"/>
    <n v="44612.125234210005"/>
    <n v="883.875"/>
    <n v="1119.575"/>
    <n v="0"/>
    <n v="1338.3637570263002"/>
    <n v="218.78875702630012"/>
    <n v="117.85000000000001"/>
    <n v="0"/>
    <n v="1886"/>
    <n v="0"/>
    <n v="0"/>
    <n v="0"/>
    <n v="0"/>
    <n v="0"/>
    <n v="1886"/>
    <n v="0"/>
    <n v="1886"/>
    <s v="Release"/>
  </r>
  <r>
    <n v="0"/>
    <n v="0"/>
    <n v="0"/>
    <x v="944"/>
    <x v="925"/>
    <n v="0"/>
    <s v="vlc"/>
    <s v="Indirect"/>
    <n v="1055"/>
    <x v="10"/>
    <s v="New"/>
    <d v="2026-04-10T00:00:00"/>
    <n v="4410.2"/>
    <n v="164982.16430981003"/>
    <n v="3307.6499999999996"/>
    <n v="4189.6899999999996"/>
    <n v="0"/>
    <n v="4949.4649292943004"/>
    <n v="759.77492929430082"/>
    <n v="441.02"/>
    <n v="0"/>
    <n v="7056"/>
    <n v="0"/>
    <n v="0"/>
    <n v="0"/>
    <n v="0"/>
    <n v="0"/>
    <n v="7056"/>
    <n v="0"/>
    <n v="7056"/>
    <s v="Release"/>
  </r>
  <r>
    <n v="0"/>
    <n v="0"/>
    <n v="0"/>
    <x v="945"/>
    <x v="926"/>
    <n v="0"/>
    <s v="vlc"/>
    <s v="Indirect"/>
    <n v="1057"/>
    <x v="19"/>
    <s v="New"/>
    <d v="2026-04-10T00:00:00"/>
    <n v="2096.4"/>
    <n v="75208.197518614004"/>
    <n v="1572.3000000000002"/>
    <n v="1991.58"/>
    <n v="0"/>
    <n v="2256.2459255584199"/>
    <n v="264.66592555841999"/>
    <n v="209.64000000000001"/>
    <n v="0"/>
    <n v="3354"/>
    <n v="0"/>
    <n v="0"/>
    <n v="0"/>
    <n v="0"/>
    <n v="0"/>
    <n v="3354"/>
    <n v="0"/>
    <n v="3354"/>
    <s v="Release"/>
  </r>
  <r>
    <n v="0"/>
    <n v="0"/>
    <n v="0"/>
    <x v="946"/>
    <x v="927"/>
    <n v="0"/>
    <s v="vlc"/>
    <s v="Indirect"/>
    <n v="1057"/>
    <x v="19"/>
    <s v="New"/>
    <d v="2026-04-10T00:00:00"/>
    <n v="5880.7000000000007"/>
    <n v="252231.04248979143"/>
    <n v="4410.5250000000005"/>
    <n v="5586.6650000000009"/>
    <n v="0"/>
    <n v="7566.931274693743"/>
    <n v="1980.2662746937422"/>
    <n v="588.07000000000005"/>
    <n v="0"/>
    <n v="9409"/>
    <n v="0"/>
    <n v="0"/>
    <n v="0"/>
    <n v="0"/>
    <n v="0"/>
    <n v="9409"/>
    <n v="0"/>
    <n v="9409"/>
    <s v="Release"/>
  </r>
  <r>
    <n v="0"/>
    <n v="0"/>
    <n v="0"/>
    <x v="947"/>
    <x v="928"/>
    <n v="0"/>
    <s v="vlc"/>
    <s v="Indirect"/>
    <n v="1057"/>
    <x v="19"/>
    <s v="New"/>
    <d v="2026-04-10T00:00:00"/>
    <n v="2701.6000000000004"/>
    <n v="109463.99140829881"/>
    <n v="2026.2000000000003"/>
    <n v="2566.5200000000004"/>
    <n v="0"/>
    <n v="3283.9197422489642"/>
    <n v="717.39974224896378"/>
    <n v="270.16000000000003"/>
    <n v="0"/>
    <n v="4323"/>
    <n v="0"/>
    <n v="0"/>
    <n v="0"/>
    <n v="0"/>
    <n v="0"/>
    <n v="4323"/>
    <n v="0"/>
    <n v="4323"/>
    <s v="Release"/>
  </r>
  <r>
    <n v="0"/>
    <n v="0"/>
    <n v="0"/>
    <x v="948"/>
    <x v="929"/>
    <n v="0"/>
    <s v="vlc"/>
    <s v="Indirect"/>
    <n v="1059"/>
    <x v="6"/>
    <s v="New"/>
    <d v="2026-04-14T00:00:00"/>
    <n v="1238.0999999999999"/>
    <n v="53083.365751439007"/>
    <n v="928.57499999999993"/>
    <n v="1176.1949999999999"/>
    <n v="0"/>
    <n v="1592.5009725431701"/>
    <n v="416.30597254317013"/>
    <n v="123.81"/>
    <n v="0"/>
    <n v="1981"/>
    <n v="0"/>
    <n v="0"/>
    <n v="0"/>
    <n v="0"/>
    <n v="0"/>
    <n v="1981"/>
    <n v="0"/>
    <n v="1981"/>
    <s v="Release"/>
  </r>
  <r>
    <n v="0"/>
    <n v="0"/>
    <n v="0"/>
    <x v="949"/>
    <x v="930"/>
    <n v="0"/>
    <s v="vlc"/>
    <s v="Indirect"/>
    <n v="1057"/>
    <x v="19"/>
    <s v="New"/>
    <d v="2026-04-11T00:00:00"/>
    <n v="1624"/>
    <n v="58705.280420556002"/>
    <n v="1218"/>
    <n v="1542.8"/>
    <n v="0"/>
    <n v="1761.1584126166799"/>
    <n v="218.35841261667997"/>
    <n v="162.4"/>
    <n v="0"/>
    <n v="2598"/>
    <n v="0"/>
    <n v="0"/>
    <n v="0"/>
    <n v="0"/>
    <n v="0"/>
    <n v="2598"/>
    <n v="0"/>
    <n v="2598"/>
    <s v="Release"/>
  </r>
  <r>
    <n v="80000"/>
    <n v="0"/>
    <n v="80000"/>
    <x v="950"/>
    <x v="931"/>
    <n v="0"/>
    <s v="MPG"/>
    <s v="Direct"/>
    <n v="1062"/>
    <x v="23"/>
    <s v="New"/>
    <d v="2026-04-10T00:00:00"/>
    <n v="8.34"/>
    <n v="280.02"/>
    <n v="6.2549999999999999"/>
    <n v="7.9229999999999992"/>
    <n v="0"/>
    <n v="8.400599999999999"/>
    <n v="0.4775999999999998"/>
    <n v="0.83400000000000007"/>
    <n v="0"/>
    <n v="13"/>
    <n v="0"/>
    <n v="0"/>
    <n v="0"/>
    <n v="0"/>
    <n v="0"/>
    <n v="13"/>
    <n v="13"/>
    <n v="0"/>
    <s v="Yes"/>
  </r>
  <r>
    <n v="0"/>
    <n v="0"/>
    <n v="0"/>
    <x v="951"/>
    <x v="932"/>
    <n v="0"/>
    <s v="vlc"/>
    <s v="Indirect"/>
    <n v="1065"/>
    <x v="20"/>
    <s v="New"/>
    <d v="2026-04-10T00:00:00"/>
    <n v="327.3"/>
    <n v="11940.392656180602"/>
    <n v="245.47500000000002"/>
    <n v="310.935"/>
    <n v="0"/>
    <n v="358.21177968541804"/>
    <n v="47.276779685418035"/>
    <n v="32.730000000000004"/>
    <n v="0"/>
    <n v="524"/>
    <n v="0"/>
    <n v="0"/>
    <n v="0"/>
    <n v="0"/>
    <n v="0"/>
    <n v="524"/>
    <n v="0"/>
    <n v="524"/>
    <s v="Release"/>
  </r>
  <r>
    <n v="0"/>
    <n v="0"/>
    <n v="0"/>
    <x v="952"/>
    <x v="933"/>
    <n v="0"/>
    <s v="vlc"/>
    <s v="Indirect"/>
    <n v="1010"/>
    <x v="9"/>
    <s v="New"/>
    <d v="2026-04-17T00:00:00"/>
    <n v="109.60000000000001"/>
    <n v="3513.4305742259999"/>
    <n v="82.2"/>
    <n v="104.12"/>
    <n v="0"/>
    <n v="105.40291722677999"/>
    <n v="1.2829172267799862"/>
    <n v="10.96"/>
    <n v="0"/>
    <n v="175"/>
    <n v="0"/>
    <n v="0"/>
    <n v="0"/>
    <n v="0"/>
    <n v="0"/>
    <n v="175"/>
    <n v="175"/>
    <n v="0"/>
    <s v="Yes"/>
  </r>
  <r>
    <n v="90371"/>
    <n v="6400"/>
    <n v="96771"/>
    <x v="953"/>
    <x v="934"/>
    <n v="0"/>
    <s v="MPG"/>
    <s v="Direct"/>
    <n v="1014"/>
    <x v="16"/>
    <s v="Old"/>
    <d v="2024-12-28T00:00:00"/>
    <n v="30"/>
    <n v="1061.4000000000001"/>
    <n v="22.5"/>
    <n v="28.5"/>
    <n v="0"/>
    <n v="31.842000000000002"/>
    <n v="3.3420000000000023"/>
    <n v="3"/>
    <n v="48.092000000000041"/>
    <n v="0"/>
    <n v="0"/>
    <n v="0"/>
    <n v="0"/>
    <n v="0"/>
    <n v="0"/>
    <n v="0"/>
    <n v="0"/>
    <n v="0"/>
    <s v="Release"/>
  </r>
  <r>
    <n v="85000"/>
    <n v="0"/>
    <n v="85000"/>
    <x v="954"/>
    <x v="935"/>
    <n v="0"/>
    <s v="MPG"/>
    <s v="Direct"/>
    <n v="1053"/>
    <x v="18"/>
    <s v="New"/>
    <d v="2026-04-22T00:00:00"/>
    <n v="2160.0500000000002"/>
    <n v="83388.972941845743"/>
    <n v="1620.0375000000001"/>
    <n v="2052.0475000000001"/>
    <n v="663.50186852640013"/>
    <n v="2501.6691882553723"/>
    <n v="449.62168825537219"/>
    <n v="216.00500000000002"/>
    <n v="0"/>
    <n v="4120"/>
    <n v="0"/>
    <n v="0"/>
    <n v="0"/>
    <n v="0"/>
    <n v="0"/>
    <n v="4120"/>
    <n v="0"/>
    <n v="4120"/>
    <s v="Release"/>
  </r>
  <r>
    <n v="0"/>
    <n v="0"/>
    <n v="0"/>
    <x v="955"/>
    <x v="936"/>
    <n v="0"/>
    <s v="vlc"/>
    <s v="Indirect"/>
    <n v="1061"/>
    <x v="22"/>
    <s v="New"/>
    <d v="2026-04-18T00:00:00"/>
    <n v="683.4"/>
    <n v="28512.566404959998"/>
    <n v="512.54999999999995"/>
    <n v="649.2299999999999"/>
    <n v="0"/>
    <n v="855.3769921487999"/>
    <n v="206.1469921488"/>
    <n v="68.34"/>
    <n v="0"/>
    <n v="1093"/>
    <n v="0"/>
    <n v="0"/>
    <n v="0"/>
    <n v="0"/>
    <n v="0"/>
    <n v="1093"/>
    <n v="0"/>
    <n v="1093"/>
    <s v="Release"/>
  </r>
  <r>
    <n v="0"/>
    <n v="0"/>
    <n v="0"/>
    <x v="956"/>
    <x v="937"/>
    <n v="0"/>
    <s v="vlc"/>
    <s v="Indirect"/>
    <n v="1061"/>
    <x v="22"/>
    <s v="New"/>
    <d v="2026-04-19T00:00:00"/>
    <n v="793.9"/>
    <n v="30173.6366685785"/>
    <n v="595.42499999999995"/>
    <n v="754.20499999999993"/>
    <n v="0"/>
    <n v="905.20910005735493"/>
    <n v="151.004100057355"/>
    <n v="79.39"/>
    <n v="0"/>
    <n v="1270"/>
    <n v="0"/>
    <n v="0"/>
    <n v="0"/>
    <n v="0"/>
    <n v="0"/>
    <n v="1270"/>
    <n v="0"/>
    <n v="1270"/>
    <s v="Release"/>
  </r>
  <r>
    <n v="75000"/>
    <n v="0"/>
    <n v="75000"/>
    <x v="957"/>
    <x v="938"/>
    <n v="0"/>
    <s v="MPG"/>
    <s v="Direct"/>
    <n v="1065"/>
    <x v="20"/>
    <s v="New"/>
    <d v="2026-04-17T00:00:00"/>
    <n v="1682.3000000000002"/>
    <n v="66436.193050200003"/>
    <n v="1261.7250000000001"/>
    <n v="1598.1850000000002"/>
    <n v="0"/>
    <n v="1993.0857915060001"/>
    <n v="394.9007915059999"/>
    <n v="168.23000000000002"/>
    <n v="0"/>
    <n v="2692"/>
    <n v="0"/>
    <n v="0"/>
    <n v="0"/>
    <n v="0"/>
    <n v="0"/>
    <n v="2692"/>
    <n v="2692"/>
    <n v="0"/>
    <s v="Yes"/>
  </r>
  <r>
    <n v="0"/>
    <n v="0"/>
    <n v="0"/>
    <x v="958"/>
    <x v="939"/>
    <n v="0"/>
    <s v="vlc"/>
    <s v="Indirect"/>
    <n v="1013"/>
    <x v="15"/>
    <s v="Old"/>
    <d v="2020-01-16T00:00:00"/>
    <n v="122.9"/>
    <n v="3852.0599999999995"/>
    <n v="92.175000000000011"/>
    <n v="116.755"/>
    <n v="0"/>
    <n v="115.56179999999998"/>
    <n v="-1.1932000000000187"/>
    <n v="12.290000000000001"/>
    <n v="196.65001496021341"/>
    <n v="0"/>
    <n v="0"/>
    <n v="0"/>
    <n v="0"/>
    <n v="0"/>
    <n v="0"/>
    <n v="0"/>
    <n v="0"/>
    <n v="0"/>
    <s v="Release"/>
  </r>
  <r>
    <n v="0"/>
    <n v="0"/>
    <n v="0"/>
    <x v="959"/>
    <x v="940"/>
    <n v="0"/>
    <s v="vlc"/>
    <s v="Indirect"/>
    <n v="1061"/>
    <x v="22"/>
    <s v="New"/>
    <d v="2026-04-26T00:00:00"/>
    <n v="2454.6"/>
    <n v="99733.776911120003"/>
    <n v="1840.9499999999998"/>
    <n v="2331.87"/>
    <n v="0"/>
    <n v="2992.0133073336001"/>
    <n v="660.14330733360021"/>
    <n v="245.46"/>
    <n v="0"/>
    <n v="3927"/>
    <n v="0"/>
    <n v="0"/>
    <n v="0"/>
    <n v="0"/>
    <n v="0"/>
    <n v="3927"/>
    <n v="0"/>
    <n v="3927"/>
    <s v="Release"/>
  </r>
  <r>
    <n v="75000"/>
    <n v="0"/>
    <n v="75000"/>
    <x v="960"/>
    <x v="941"/>
    <n v="0"/>
    <s v="MPG"/>
    <s v="Direct"/>
    <n v="1003"/>
    <x v="4"/>
    <s v="New"/>
    <d v="2026-03-31T00:00:00"/>
    <n v="133.80000000000001"/>
    <n v="5351.1048845250007"/>
    <n v="100.35000000000001"/>
    <n v="127.11"/>
    <n v="0"/>
    <n v="160.53314653575001"/>
    <n v="33.423146535750007"/>
    <n v="13.380000000000003"/>
    <n v="0"/>
    <n v="214"/>
    <n v="0"/>
    <n v="0"/>
    <n v="0"/>
    <n v="0"/>
    <n v="0"/>
    <n v="214"/>
    <n v="214"/>
    <n v="0"/>
    <s v="Yes"/>
  </r>
  <r>
    <n v="75000"/>
    <n v="0"/>
    <n v="75000"/>
    <x v="961"/>
    <x v="942"/>
    <n v="0"/>
    <s v="MPG"/>
    <s v="Direct"/>
    <n v="1003"/>
    <x v="4"/>
    <s v="New"/>
    <d v="2026-03-31T00:00:00"/>
    <n v="905.15000000000009"/>
    <n v="35701.060922590004"/>
    <n v="678.86250000000007"/>
    <n v="859.89250000000004"/>
    <n v="0"/>
    <n v="1071.0318276777"/>
    <n v="211.13932767769995"/>
    <n v="90.515000000000015"/>
    <n v="0"/>
    <n v="1448"/>
    <n v="0"/>
    <n v="0"/>
    <n v="0"/>
    <n v="0"/>
    <n v="0"/>
    <n v="1448"/>
    <n v="1448"/>
    <n v="0"/>
    <s v="Yes"/>
  </r>
  <r>
    <n v="75000"/>
    <n v="0"/>
    <n v="75000"/>
    <x v="962"/>
    <x v="943"/>
    <n v="0"/>
    <s v="MPG"/>
    <s v="Direct"/>
    <n v="1003"/>
    <x v="4"/>
    <s v="New"/>
    <d v="2026-03-31T00:00:00"/>
    <n v="1276.9000000000001"/>
    <n v="50006.209422562002"/>
    <n v="957.67500000000007"/>
    <n v="1213.0550000000001"/>
    <n v="0"/>
    <n v="1500.1862826768599"/>
    <n v="287.13128267685988"/>
    <n v="127.69000000000001"/>
    <n v="0"/>
    <n v="2043"/>
    <n v="0"/>
    <n v="0"/>
    <n v="0"/>
    <n v="0"/>
    <n v="0"/>
    <n v="2043"/>
    <n v="2043"/>
    <n v="0"/>
    <s v="Yes"/>
  </r>
  <r>
    <n v="70000"/>
    <n v="0"/>
    <n v="70000"/>
    <x v="963"/>
    <x v="944"/>
    <n v="0"/>
    <s v="MPG"/>
    <s v="Direct"/>
    <n v="1003"/>
    <x v="4"/>
    <s v="New"/>
    <d v="2026-03-31T00:00:00"/>
    <n v="2731.15"/>
    <n v="121000.31727747062"/>
    <n v="2048.3625000000002"/>
    <n v="2594.5924999999997"/>
    <n v="0"/>
    <n v="3630.0095183241183"/>
    <n v="1035.4170183241185"/>
    <n v="273.11500000000001"/>
    <n v="0"/>
    <n v="4370"/>
    <n v="0"/>
    <n v="0"/>
    <n v="0"/>
    <n v="0"/>
    <n v="0"/>
    <n v="4370"/>
    <n v="4370"/>
    <n v="0"/>
    <s v="Yes"/>
  </r>
  <r>
    <n v="75000"/>
    <n v="0"/>
    <n v="75000"/>
    <x v="964"/>
    <x v="945"/>
    <n v="0"/>
    <s v="MPG"/>
    <s v="Direct"/>
    <n v="1003"/>
    <x v="4"/>
    <s v="New"/>
    <d v="2026-03-31T00:00:00"/>
    <n v="466.75"/>
    <n v="18597.890185303302"/>
    <n v="350.0625"/>
    <n v="443.41249999999997"/>
    <n v="0"/>
    <n v="557.9367055590991"/>
    <n v="114.52420555909913"/>
    <n v="46.675000000000004"/>
    <n v="0"/>
    <n v="747"/>
    <n v="0"/>
    <n v="0"/>
    <n v="0"/>
    <n v="0"/>
    <n v="0"/>
    <n v="747"/>
    <n v="747"/>
    <n v="0"/>
    <s v="Yes"/>
  </r>
  <r>
    <n v="65000"/>
    <n v="0"/>
    <n v="65000"/>
    <x v="965"/>
    <x v="946"/>
    <n v="0"/>
    <s v="MPG"/>
    <s v="Direct"/>
    <n v="1009"/>
    <x v="11"/>
    <s v="New"/>
    <d v="2026-03-31T00:00:00"/>
    <n v="1338.8"/>
    <n v="60238.27129683159"/>
    <n v="1004.0999999999999"/>
    <n v="1271.8599999999999"/>
    <n v="0"/>
    <n v="1807.1481389049477"/>
    <n v="535.2881389049478"/>
    <n v="133.88"/>
    <n v="0"/>
    <n v="2142"/>
    <n v="0"/>
    <n v="0"/>
    <n v="0"/>
    <n v="0"/>
    <n v="0"/>
    <n v="2142"/>
    <n v="2142"/>
    <n v="0"/>
    <s v="Yes"/>
  </r>
  <r>
    <n v="0"/>
    <n v="0"/>
    <n v="0"/>
    <x v="966"/>
    <x v="947"/>
    <n v="0"/>
    <s v="vlc"/>
    <s v="Indirect"/>
    <n v="1013"/>
    <x v="15"/>
    <s v="New"/>
    <d v="2026-05-02T00:00:00"/>
    <n v="41.8"/>
    <n v="1295.6600000000001"/>
    <n v="31.349999999999998"/>
    <n v="39.709999999999994"/>
    <n v="0"/>
    <n v="38.869799999999998"/>
    <n v="-0.84019999999999584"/>
    <n v="4.18"/>
    <n v="0"/>
    <n v="67"/>
    <n v="0"/>
    <n v="0"/>
    <n v="0"/>
    <n v="0"/>
    <n v="0"/>
    <n v="67"/>
    <n v="67"/>
    <n v="0"/>
    <s v="Yes"/>
  </r>
  <r>
    <n v="0"/>
    <n v="0"/>
    <n v="0"/>
    <x v="967"/>
    <x v="948"/>
    <n v="0"/>
    <s v="vlc"/>
    <s v="Indirect"/>
    <n v="1057"/>
    <x v="19"/>
    <s v="New"/>
    <d v="2026-05-07T00:00:00"/>
    <n v="11241"/>
    <n v="411150.88214443804"/>
    <n v="8430.75"/>
    <n v="10678.949999999999"/>
    <n v="0"/>
    <n v="12334.526464333141"/>
    <n v="1655.5764643331422"/>
    <n v="1124.1000000000001"/>
    <n v="0"/>
    <n v="17986"/>
    <n v="0"/>
    <n v="0"/>
    <n v="0"/>
    <n v="0"/>
    <n v="0"/>
    <n v="17986"/>
    <n v="0"/>
    <n v="17986"/>
    <s v="Release"/>
  </r>
  <r>
    <n v="0"/>
    <n v="0"/>
    <n v="0"/>
    <x v="968"/>
    <x v="949"/>
    <n v="0"/>
    <s v="vlc"/>
    <s v="Indirect"/>
    <n v="1058"/>
    <x v="2"/>
    <s v="Old"/>
    <d v="2026-02-02T00:00:00"/>
    <n v="687.6"/>
    <n v="23910.816433076001"/>
    <n v="515.70000000000005"/>
    <n v="653.22"/>
    <n v="0"/>
    <n v="717.32449299228006"/>
    <n v="64.104492992280029"/>
    <n v="68.760000000000005"/>
    <n v="1100.5455433558836"/>
    <n v="0"/>
    <n v="0"/>
    <n v="0"/>
    <n v="0"/>
    <n v="0"/>
    <n v="0"/>
    <n v="0"/>
    <n v="0"/>
    <n v="0"/>
    <s v="Release"/>
  </r>
  <r>
    <n v="85000"/>
    <n v="0"/>
    <n v="85000"/>
    <x v="969"/>
    <x v="950"/>
    <n v="0"/>
    <s v="MPG"/>
    <s v="Direct"/>
    <n v="1062"/>
    <x v="23"/>
    <s v="New"/>
    <d v="2026-03-31T00:00:00"/>
    <n v="588.63"/>
    <n v="26193.776213221725"/>
    <n v="441.47249999999997"/>
    <n v="559.19849999999997"/>
    <n v="0"/>
    <n v="785.81328639665173"/>
    <n v="226.61478639665177"/>
    <n v="58.863"/>
    <n v="0"/>
    <n v="942"/>
    <n v="0"/>
    <n v="0"/>
    <n v="0"/>
    <n v="0"/>
    <n v="0"/>
    <n v="942"/>
    <n v="942"/>
    <n v="0"/>
    <s v="Yes"/>
  </r>
  <r>
    <n v="0"/>
    <n v="0"/>
    <n v="0"/>
    <x v="970"/>
    <x v="951"/>
    <n v="0"/>
    <s v="vlc"/>
    <s v="Indirect"/>
    <n v="1002"/>
    <x v="3"/>
    <s v="Old"/>
    <d v="2022-04-01T00:00:00"/>
    <n v="1069.5"/>
    <n v="61018.080120935003"/>
    <n v="802.125"/>
    <n v="1016.025"/>
    <n v="0"/>
    <n v="1830.5424036280501"/>
    <n v="814.51740362805015"/>
    <n v="106.95"/>
    <n v="1208.4743450894182"/>
    <n v="503"/>
    <n v="0"/>
    <n v="0"/>
    <n v="0"/>
    <n v="0"/>
    <n v="0"/>
    <n v="503"/>
    <n v="0"/>
    <n v="503"/>
    <s v="Release"/>
  </r>
  <r>
    <n v="65000"/>
    <n v="0"/>
    <n v="65000"/>
    <x v="971"/>
    <x v="952"/>
    <n v="0"/>
    <s v="MPG"/>
    <s v="Direct"/>
    <n v="1002"/>
    <x v="3"/>
    <s v="New"/>
    <d v="2026-05-10T00:00:00"/>
    <n v="837.2"/>
    <n v="30521.682092200004"/>
    <n v="627.90000000000009"/>
    <n v="795.34"/>
    <n v="0"/>
    <n v="915.65046276600015"/>
    <n v="120.31046276600011"/>
    <n v="83.720000000000013"/>
    <n v="0"/>
    <n v="1340"/>
    <n v="0"/>
    <n v="0"/>
    <n v="0"/>
    <n v="0"/>
    <n v="0"/>
    <n v="1340"/>
    <n v="1340"/>
    <n v="0"/>
    <s v="Yes"/>
  </r>
  <r>
    <n v="0"/>
    <n v="0"/>
    <n v="0"/>
    <x v="972"/>
    <x v="953"/>
    <n v="0"/>
    <s v="vlc"/>
    <s v="Indirect"/>
    <n v="1010"/>
    <x v="9"/>
    <s v="Old"/>
    <d v="2023-08-11T00:00:00"/>
    <n v="1232.3999999999999"/>
    <n v="41717.925336717002"/>
    <n v="924.3"/>
    <n v="1170.7799999999997"/>
    <n v="0"/>
    <n v="1251.53776010151"/>
    <n v="80.757760101510257"/>
    <n v="123.24"/>
    <n v="587.14217869189292"/>
    <n v="1385"/>
    <n v="0"/>
    <n v="0"/>
    <n v="0"/>
    <n v="0"/>
    <n v="0"/>
    <n v="1385"/>
    <n v="0"/>
    <n v="1385"/>
    <s v="Release"/>
  </r>
  <r>
    <n v="0"/>
    <n v="6400"/>
    <n v="6400"/>
    <x v="973"/>
    <x v="954"/>
    <n v="0"/>
    <s v="MPG"/>
    <s v="Direct"/>
    <n v="1013"/>
    <x v="15"/>
    <s v="Old"/>
    <d v="2024-04-10T00:00:00"/>
    <n v="9.3000000000000007"/>
    <n v="397.02"/>
    <n v="6.9750000000000005"/>
    <n v="8.8350000000000009"/>
    <n v="0"/>
    <n v="11.910599999999999"/>
    <n v="3.0755999999999979"/>
    <n v="0.93000000000000016"/>
    <n v="14.724116129032268"/>
    <n v="0"/>
    <n v="0"/>
    <n v="0"/>
    <n v="0"/>
    <n v="0"/>
    <n v="0"/>
    <n v="0"/>
    <n v="0"/>
    <n v="0"/>
    <s v="Release"/>
  </r>
  <r>
    <n v="85000"/>
    <n v="0"/>
    <n v="85000"/>
    <x v="974"/>
    <x v="955"/>
    <n v="0"/>
    <s v="MPG"/>
    <s v="Direct"/>
    <n v="1013"/>
    <x v="15"/>
    <s v="New"/>
    <d v="2026-05-08T00:00:00"/>
    <n v="351.79999999999995"/>
    <n v="14244.623345773201"/>
    <n v="263.84999999999997"/>
    <n v="334.20999999999992"/>
    <n v="109.28106815895001"/>
    <n v="427.33870037319605"/>
    <n v="93.128700373196125"/>
    <n v="35.18"/>
    <n v="0"/>
    <n v="672"/>
    <n v="0"/>
    <n v="0"/>
    <n v="0"/>
    <n v="0"/>
    <n v="0"/>
    <n v="672"/>
    <n v="672"/>
    <n v="0"/>
    <s v="Yes"/>
  </r>
  <r>
    <n v="0"/>
    <n v="0"/>
    <n v="0"/>
    <x v="975"/>
    <x v="956"/>
    <n v="0"/>
    <s v="vlc"/>
    <s v="Indirect"/>
    <n v="1012"/>
    <x v="14"/>
    <s v="Old"/>
    <d v="2025-04-21T00:00:00"/>
    <n v="4955"/>
    <n v="174982.51591240001"/>
    <n v="3716.25"/>
    <n v="4707.25"/>
    <n v="0"/>
    <n v="5249.4754773719997"/>
    <n v="542.22547737199966"/>
    <n v="0"/>
    <n v="16.022620152000002"/>
    <n v="8407"/>
    <n v="0"/>
    <n v="0"/>
    <n v="0"/>
    <n v="0"/>
    <n v="0"/>
    <n v="8407"/>
    <n v="0"/>
    <n v="8407"/>
    <s v="Release"/>
  </r>
  <r>
    <n v="0"/>
    <n v="0"/>
    <n v="0"/>
    <x v="976"/>
    <x v="957"/>
    <n v="0"/>
    <s v="vlc"/>
    <s v="Indirect"/>
    <n v="1066"/>
    <x v="24"/>
    <s v="Old"/>
    <d v="2025-03-29T00:00:00"/>
    <n v="317.42"/>
    <n v="11066.619999999999"/>
    <n v="238.065"/>
    <n v="301.54899999999998"/>
    <n v="0"/>
    <n v="331.99859999999995"/>
    <n v="30.449599999999975"/>
    <n v="31.742000000000004"/>
    <n v="266.76753069119775"/>
    <n v="241"/>
    <n v="0"/>
    <n v="0"/>
    <n v="0"/>
    <n v="0"/>
    <n v="0"/>
    <n v="241"/>
    <n v="241"/>
    <n v="0"/>
    <s v="Yes"/>
  </r>
  <r>
    <n v="0"/>
    <n v="0"/>
    <n v="0"/>
    <x v="977"/>
    <x v="958"/>
    <n v="0"/>
    <s v="vlc"/>
    <s v="Indirect"/>
    <n v="1066"/>
    <x v="24"/>
    <s v="Old"/>
    <d v="2025-09-17T00:00:00"/>
    <n v="7073.1"/>
    <n v="328982.13601540739"/>
    <n v="5304.8250000000007"/>
    <n v="6719.4449999999997"/>
    <n v="0"/>
    <n v="9869.4640804622213"/>
    <n v="3150.0190804622216"/>
    <n v="707.31000000000006"/>
    <n v="0"/>
    <n v="11317"/>
    <n v="0"/>
    <n v="0"/>
    <n v="0"/>
    <n v="0"/>
    <n v="0"/>
    <n v="11317"/>
    <n v="0"/>
    <n v="11317"/>
    <s v="Release"/>
  </r>
  <r>
    <n v="85000"/>
    <n v="0"/>
    <n v="85000"/>
    <x v="978"/>
    <x v="959"/>
    <n v="0"/>
    <s v="MPG"/>
    <s v="Direct"/>
    <n v="1053"/>
    <x v="18"/>
    <s v="New"/>
    <d v="2026-05-11T00:00:00"/>
    <n v="262.14999999999998"/>
    <n v="13307.320978234751"/>
    <n v="196.61249999999998"/>
    <n v="249.04249999999996"/>
    <n v="309.02908977304008"/>
    <n v="399.21962934704254"/>
    <n v="150.17712934704258"/>
    <n v="26.215"/>
    <n v="0"/>
    <n v="728"/>
    <n v="0"/>
    <n v="0"/>
    <n v="0"/>
    <n v="0"/>
    <n v="0"/>
    <n v="728"/>
    <n v="0"/>
    <n v="728"/>
    <s v="Release"/>
  </r>
  <r>
    <n v="69953"/>
    <n v="0"/>
    <n v="69953"/>
    <x v="979"/>
    <x v="960"/>
    <n v="0"/>
    <s v="MPG"/>
    <s v="Direct"/>
    <n v="1055"/>
    <x v="10"/>
    <s v="Old"/>
    <d v="2026-01-21T00:00:00"/>
    <n v="132.5"/>
    <n v="4505.4773452685004"/>
    <n v="99.375"/>
    <n v="125.875"/>
    <n v="0"/>
    <n v="135.16432035805499"/>
    <n v="9.2893203580549937"/>
    <n v="13.25"/>
    <n v="212.15282659466925"/>
    <n v="0"/>
    <n v="0"/>
    <n v="0"/>
    <n v="0"/>
    <n v="0"/>
    <n v="0"/>
    <n v="0"/>
    <n v="0"/>
    <n v="0"/>
    <s v="Release"/>
  </r>
  <r>
    <n v="0"/>
    <n v="0"/>
    <n v="0"/>
    <x v="980"/>
    <x v="961"/>
    <n v="0"/>
    <s v="vlc"/>
    <s v="Indirect"/>
    <n v="1056"/>
    <x v="8"/>
    <s v="Old"/>
    <d v="2025-11-11T00:00:00"/>
    <n v="18.54"/>
    <n v="704.89"/>
    <n v="13.904999999999999"/>
    <n v="17.613"/>
    <n v="0"/>
    <n v="21.146699999999999"/>
    <n v="3.5336999999999996"/>
    <n v="1.8540000000000001"/>
    <n v="29.181595900755156"/>
    <n v="0"/>
    <n v="0"/>
    <n v="0"/>
    <n v="0"/>
    <n v="0"/>
    <n v="0"/>
    <n v="0"/>
    <n v="0"/>
    <n v="0"/>
    <s v="Release"/>
  </r>
  <r>
    <n v="0"/>
    <n v="0"/>
    <n v="0"/>
    <x v="981"/>
    <x v="962"/>
    <n v="0"/>
    <s v="vlc"/>
    <s v="Indirect"/>
    <n v="1057"/>
    <x v="19"/>
    <s v="Old"/>
    <d v="2025-09-15T00:00:00"/>
    <n v="133.30000000000001"/>
    <n v="5058.97"/>
    <n v="99.975000000000009"/>
    <n v="126.63500000000001"/>
    <n v="0"/>
    <n v="151.76910000000001"/>
    <n v="25.134100000000004"/>
    <n v="13.330000000000002"/>
    <n v="213.14528117029261"/>
    <n v="0"/>
    <n v="0"/>
    <n v="0"/>
    <n v="0"/>
    <n v="0"/>
    <n v="0"/>
    <n v="0"/>
    <n v="0"/>
    <n v="0"/>
    <s v="Release"/>
  </r>
  <r>
    <n v="0"/>
    <n v="0"/>
    <n v="0"/>
    <x v="982"/>
    <x v="963"/>
    <n v="0"/>
    <s v="vlc"/>
    <s v="Indirect"/>
    <n v="1061"/>
    <x v="22"/>
    <s v="New"/>
    <d v="2026-05-10T00:00:00"/>
    <n v="72.5"/>
    <n v="2647.8782546719999"/>
    <n v="54.375"/>
    <n v="68.875"/>
    <n v="0"/>
    <n v="79.436347640159994"/>
    <n v="10.561347640159994"/>
    <n v="7.25"/>
    <n v="0"/>
    <n v="116"/>
    <n v="0"/>
    <n v="0"/>
    <n v="0"/>
    <n v="0"/>
    <n v="0"/>
    <n v="116"/>
    <n v="0"/>
    <n v="116"/>
    <s v="Release"/>
  </r>
  <r>
    <n v="65000"/>
    <n v="0"/>
    <n v="65000"/>
    <x v="983"/>
    <x v="964"/>
    <n v="0"/>
    <s v="MPG"/>
    <s v="Direct"/>
    <n v="1066"/>
    <x v="24"/>
    <s v="New"/>
    <d v="2026-05-08T00:00:00"/>
    <n v="740.40000000000009"/>
    <n v="39868.361024424798"/>
    <n v="555.30000000000007"/>
    <n v="703.38000000000011"/>
    <n v="0"/>
    <n v="1196.0508307327439"/>
    <n v="492.67083073274375"/>
    <n v="74.040000000000006"/>
    <n v="0"/>
    <n v="1185"/>
    <n v="0"/>
    <n v="0"/>
    <n v="0"/>
    <n v="0"/>
    <n v="0"/>
    <n v="1185"/>
    <n v="0"/>
    <n v="1185"/>
    <s v="Release"/>
  </r>
  <r>
    <n v="65000"/>
    <n v="0"/>
    <n v="65000"/>
    <x v="984"/>
    <x v="965"/>
    <n v="0"/>
    <s v="MPG"/>
    <s v="Direct"/>
    <n v="1066"/>
    <x v="24"/>
    <s v="New"/>
    <d v="2026-05-08T00:00:00"/>
    <n v="721.80000000000007"/>
    <n v="29930.022002697158"/>
    <n v="541.35"/>
    <n v="685.71"/>
    <n v="502.86261136320002"/>
    <n v="897.90066008091469"/>
    <n v="212.19066008091465"/>
    <n v="72.180000000000007"/>
    <n v="0"/>
    <n v="1658"/>
    <n v="0"/>
    <n v="0"/>
    <n v="0"/>
    <n v="0"/>
    <n v="0"/>
    <n v="1658"/>
    <n v="0"/>
    <n v="1658"/>
    <s v="Release"/>
  </r>
  <r>
    <n v="65000"/>
    <n v="0"/>
    <n v="65000"/>
    <x v="985"/>
    <x v="966"/>
    <n v="0"/>
    <s v="MPG"/>
    <s v="Direct"/>
    <n v="1066"/>
    <x v="24"/>
    <s v="New"/>
    <d v="2026-05-08T00:00:00"/>
    <n v="929.70000000000027"/>
    <n v="39240.9776283186"/>
    <n v="697.2750000000002"/>
    <n v="883.21500000000026"/>
    <n v="282.69209073420001"/>
    <n v="1177.229328849558"/>
    <n v="294.01432884955773"/>
    <n v="92.970000000000027"/>
    <n v="0"/>
    <n v="1770"/>
    <n v="0"/>
    <n v="0"/>
    <n v="0"/>
    <n v="0"/>
    <n v="0"/>
    <n v="1770"/>
    <n v="0"/>
    <n v="1770"/>
    <s v="Release"/>
  </r>
  <r>
    <n v="65000"/>
    <n v="0"/>
    <n v="65000"/>
    <x v="986"/>
    <x v="967"/>
    <n v="0"/>
    <s v="MPG"/>
    <s v="Direct"/>
    <n v="1066"/>
    <x v="24"/>
    <s v="New"/>
    <d v="2026-05-08T00:00:00"/>
    <n v="527.09999999999991"/>
    <n v="24266.115200239001"/>
    <n v="395.32499999999993"/>
    <n v="500.74499999999989"/>
    <n v="120.0038635458"/>
    <n v="727.98345600717005"/>
    <n v="227.23845600717016"/>
    <n v="52.709999999999994"/>
    <n v="0"/>
    <n v="963"/>
    <n v="0"/>
    <n v="0"/>
    <n v="0"/>
    <n v="0"/>
    <n v="0"/>
    <n v="963"/>
    <n v="0"/>
    <n v="963"/>
    <s v="Release"/>
  </r>
  <r>
    <n v="65000"/>
    <n v="0"/>
    <n v="65000"/>
    <x v="987"/>
    <x v="968"/>
    <n v="0"/>
    <s v="MPG"/>
    <s v="Direct"/>
    <n v="1066"/>
    <x v="24"/>
    <s v="New"/>
    <d v="2026-05-08T00:00:00"/>
    <n v="585.9"/>
    <n v="24686.5202458938"/>
    <n v="439.42499999999995"/>
    <n v="556.6049999999999"/>
    <n v="292.33411860000007"/>
    <n v="740.59560737681397"/>
    <n v="183.99060737681407"/>
    <n v="58.59"/>
    <n v="0"/>
    <n v="1230"/>
    <n v="0"/>
    <n v="0"/>
    <n v="0"/>
    <n v="0"/>
    <n v="0"/>
    <n v="1230"/>
    <n v="0"/>
    <n v="1230"/>
    <s v="Release"/>
  </r>
  <r>
    <n v="0"/>
    <n v="0"/>
    <n v="0"/>
    <x v="988"/>
    <x v="969"/>
    <n v="0"/>
    <s v="vlc"/>
    <s v="Indirect"/>
    <n v="1066"/>
    <x v="24"/>
    <s v="New"/>
    <d v="2026-05-09T00:00:00"/>
    <n v="365.70000000000005"/>
    <n v="13999.777928864001"/>
    <n v="274.27500000000003"/>
    <n v="347.41500000000002"/>
    <n v="0"/>
    <n v="419.99333786592001"/>
    <n v="72.578337865919991"/>
    <n v="36.570000000000007"/>
    <n v="0"/>
    <n v="585"/>
    <n v="0"/>
    <n v="0"/>
    <n v="0"/>
    <n v="0"/>
    <n v="0"/>
    <n v="585"/>
    <n v="0"/>
    <n v="585"/>
    <s v="Release"/>
  </r>
  <r>
    <n v="0"/>
    <n v="0"/>
    <n v="0"/>
    <x v="989"/>
    <x v="970"/>
    <n v="0"/>
    <s v="vlc"/>
    <s v="Indirect"/>
    <n v="1066"/>
    <x v="24"/>
    <s v="New"/>
    <d v="2026-05-08T00:00:00"/>
    <n v="140.89999999999998"/>
    <n v="4964.2829257680005"/>
    <n v="105.67499999999998"/>
    <n v="133.85499999999996"/>
    <n v="0"/>
    <n v="148.92848777304002"/>
    <n v="15.073487773040057"/>
    <n v="14.089999999999998"/>
    <n v="0"/>
    <n v="225"/>
    <n v="0"/>
    <n v="0"/>
    <n v="0"/>
    <n v="0"/>
    <n v="0"/>
    <n v="225"/>
    <n v="225"/>
    <n v="0"/>
    <s v="Yes"/>
  </r>
  <r>
    <n v="0"/>
    <n v="0"/>
    <n v="0"/>
    <x v="990"/>
    <x v="971"/>
    <n v="0"/>
    <s v="vlc"/>
    <s v="Indirect"/>
    <n v="1066"/>
    <x v="24"/>
    <s v="New"/>
    <d v="2026-05-08T00:00:00"/>
    <n v="10466.300000000003"/>
    <n v="424293.11693859089"/>
    <n v="7849.7250000000022"/>
    <n v="9942.9850000000024"/>
    <n v="0"/>
    <n v="12728.793508157727"/>
    <n v="2785.8085081577246"/>
    <n v="1046.6300000000003"/>
    <n v="0"/>
    <n v="16746"/>
    <n v="0"/>
    <n v="0"/>
    <n v="0"/>
    <n v="0"/>
    <n v="0"/>
    <n v="16746"/>
    <n v="0"/>
    <n v="16746"/>
    <s v="Release"/>
  </r>
  <r>
    <n v="0"/>
    <n v="0"/>
    <n v="0"/>
    <x v="991"/>
    <x v="972"/>
    <n v="0"/>
    <s v="vlc"/>
    <s v="Indirect"/>
    <n v="1066"/>
    <x v="24"/>
    <s v="New"/>
    <d v="2026-05-08T00:00:00"/>
    <n v="2812.3"/>
    <n v="110364.2505838756"/>
    <n v="2109.2250000000004"/>
    <n v="2671.6849999999999"/>
    <n v="0"/>
    <n v="3310.9275175162679"/>
    <n v="639.24251751626798"/>
    <n v="281.23"/>
    <n v="0"/>
    <n v="4500"/>
    <n v="0"/>
    <n v="0"/>
    <n v="0"/>
    <n v="0"/>
    <n v="0"/>
    <n v="4500"/>
    <n v="0"/>
    <n v="4500"/>
    <s v="Release"/>
  </r>
  <r>
    <n v="65000"/>
    <n v="0"/>
    <n v="65000"/>
    <x v="992"/>
    <x v="973"/>
    <n v="0"/>
    <s v="MPG"/>
    <s v="Direct"/>
    <n v="1066"/>
    <x v="24"/>
    <s v="New"/>
    <d v="2026-05-08T00:00:00"/>
    <n v="984.8"/>
    <n v="39778.098003170002"/>
    <n v="738.59999999999991"/>
    <n v="935.56"/>
    <n v="0"/>
    <n v="1193.3429400950999"/>
    <n v="257.7829400951"/>
    <n v="98.48"/>
    <n v="0"/>
    <n v="1576"/>
    <n v="0"/>
    <n v="0"/>
    <n v="0"/>
    <n v="0"/>
    <n v="0"/>
    <n v="1576"/>
    <n v="0"/>
    <n v="1576"/>
    <s v="Release"/>
  </r>
  <r>
    <n v="0"/>
    <n v="0"/>
    <n v="0"/>
    <x v="993"/>
    <x v="974"/>
    <n v="0"/>
    <s v="vlc"/>
    <s v="Indirect"/>
    <n v="1066"/>
    <x v="24"/>
    <s v="New"/>
    <d v="2026-05-08T00:00:00"/>
    <n v="1666.3"/>
    <n v="60202.794456115007"/>
    <n v="1249.7249999999999"/>
    <n v="1582.9849999999999"/>
    <n v="0"/>
    <n v="1806.0838336834502"/>
    <n v="223.09883368345027"/>
    <n v="166.63"/>
    <n v="0"/>
    <n v="2666"/>
    <n v="0"/>
    <n v="0"/>
    <n v="0"/>
    <n v="0"/>
    <n v="0"/>
    <n v="2666"/>
    <n v="0"/>
    <n v="2666"/>
    <s v="Release"/>
  </r>
  <r>
    <n v="0"/>
    <n v="0"/>
    <n v="0"/>
    <x v="994"/>
    <x v="975"/>
    <n v="0"/>
    <s v="vlc"/>
    <s v="Indirect"/>
    <n v="1066"/>
    <x v="24"/>
    <s v="New"/>
    <d v="2026-05-13T00:00:00"/>
    <n v="1799.2"/>
    <n v="64748.358119352502"/>
    <n v="1349.4"/>
    <n v="1709.24"/>
    <n v="0"/>
    <n v="1942.4507435805749"/>
    <n v="233.2107435805749"/>
    <n v="179.92000000000002"/>
    <n v="0"/>
    <n v="2879"/>
    <n v="0"/>
    <n v="0"/>
    <n v="0"/>
    <n v="0"/>
    <n v="0"/>
    <n v="2879"/>
    <n v="0"/>
    <n v="2879"/>
    <s v="Release"/>
  </r>
  <r>
    <n v="85000"/>
    <n v="0"/>
    <n v="85000"/>
    <x v="995"/>
    <x v="957"/>
    <n v="0"/>
    <s v="MPG"/>
    <s v="Direct"/>
    <n v="1066"/>
    <x v="24"/>
    <s v="New"/>
    <d v="2026-05-08T00:00:00"/>
    <n v="434.6"/>
    <n v="19238.551143715998"/>
    <n v="325.95000000000005"/>
    <n v="412.87"/>
    <n v="263.57952135734001"/>
    <n v="577.15653431147996"/>
    <n v="164.28653431147995"/>
    <n v="43.460000000000008"/>
    <n v="0"/>
    <n v="959"/>
    <n v="0"/>
    <n v="0"/>
    <n v="0"/>
    <n v="0"/>
    <n v="0"/>
    <n v="959"/>
    <n v="959"/>
    <n v="0"/>
    <s v="Yes"/>
  </r>
  <r>
    <n v="0"/>
    <n v="0"/>
    <n v="0"/>
    <x v="996"/>
    <x v="976"/>
    <n v="0"/>
    <s v="vlc"/>
    <s v="Indirect"/>
    <n v="1066"/>
    <x v="24"/>
    <s v="New"/>
    <d v="2026-05-08T00:00:00"/>
    <n v="485.09999999999997"/>
    <n v="17805.136469360001"/>
    <n v="363.82499999999999"/>
    <n v="460.84499999999997"/>
    <n v="0"/>
    <n v="534.15409408079995"/>
    <n v="73.30909408079998"/>
    <n v="48.51"/>
    <n v="0"/>
    <n v="776"/>
    <n v="0"/>
    <n v="0"/>
    <n v="0"/>
    <n v="0"/>
    <n v="0"/>
    <n v="776"/>
    <n v="0"/>
    <n v="776"/>
    <s v="Release"/>
  </r>
  <r>
    <n v="0"/>
    <n v="0"/>
    <n v="0"/>
    <x v="997"/>
    <x v="977"/>
    <n v="0"/>
    <s v="vlc"/>
    <s v="Indirect"/>
    <n v="1066"/>
    <x v="24"/>
    <s v="New"/>
    <d v="2026-05-08T00:00:00"/>
    <n v="222.5"/>
    <n v="7899.4321055999999"/>
    <n v="166.875"/>
    <n v="211.375"/>
    <n v="0"/>
    <n v="236.982963168"/>
    <n v="25.607963167999998"/>
    <n v="22.25"/>
    <n v="0"/>
    <n v="356"/>
    <n v="0"/>
    <n v="0"/>
    <n v="0"/>
    <n v="0"/>
    <n v="0"/>
    <n v="356"/>
    <n v="356"/>
    <n v="0"/>
    <s v="Yes"/>
  </r>
  <r>
    <n v="0"/>
    <n v="0"/>
    <n v="0"/>
    <x v="998"/>
    <x v="978"/>
    <n v="0"/>
    <s v="vlc"/>
    <s v="Indirect"/>
    <n v="1066"/>
    <x v="24"/>
    <s v="New"/>
    <d v="2026-05-08T00:00:00"/>
    <n v="3174.7999999999997"/>
    <n v="119939.94944281"/>
    <n v="2381.1"/>
    <n v="3016.0599999999995"/>
    <n v="0"/>
    <n v="3598.1984832843"/>
    <n v="582.13848328430049"/>
    <n v="317.48"/>
    <n v="0"/>
    <n v="5080"/>
    <n v="0"/>
    <n v="0"/>
    <n v="0"/>
    <n v="0"/>
    <n v="0"/>
    <n v="5080"/>
    <n v="0"/>
    <n v="5080"/>
    <s v="Release"/>
  </r>
  <r>
    <n v="0"/>
    <n v="0"/>
    <n v="0"/>
    <x v="999"/>
    <x v="979"/>
    <n v="0"/>
    <s v="vlc"/>
    <s v="Indirect"/>
    <n v="1066"/>
    <x v="24"/>
    <s v="New"/>
    <d v="2026-05-14T00:00:00"/>
    <n v="637.29999999999995"/>
    <n v="25719.737917940001"/>
    <n v="477.97499999999997"/>
    <n v="605.43499999999995"/>
    <n v="0"/>
    <n v="771.59213753820006"/>
    <n v="166.15713753820012"/>
    <n v="63.73"/>
    <n v="0"/>
    <n v="1020"/>
    <n v="0"/>
    <n v="0"/>
    <n v="0"/>
    <n v="0"/>
    <n v="0"/>
    <n v="1020"/>
    <n v="0"/>
    <n v="1020"/>
    <s v="Release"/>
  </r>
  <r>
    <n v="0"/>
    <n v="0"/>
    <n v="0"/>
    <x v="1000"/>
    <x v="980"/>
    <n v="0"/>
    <s v="vlc"/>
    <s v="Indirect"/>
    <n v="1066"/>
    <x v="24"/>
    <s v="New"/>
    <d v="2026-05-12T00:00:00"/>
    <n v="3151.6"/>
    <n v="129672.49857697799"/>
    <n v="2363.6999999999998"/>
    <n v="2994.02"/>
    <n v="0"/>
    <n v="3890.1749573093393"/>
    <n v="896.15495730933935"/>
    <n v="315.16000000000003"/>
    <n v="0"/>
    <n v="5043"/>
    <n v="0"/>
    <n v="0"/>
    <n v="0"/>
    <n v="0"/>
    <n v="0"/>
    <n v="5043"/>
    <n v="0"/>
    <n v="5043"/>
    <s v="Release"/>
  </r>
  <r>
    <n v="0"/>
    <n v="0"/>
    <n v="0"/>
    <x v="1001"/>
    <x v="968"/>
    <n v="0"/>
    <s v="vlc"/>
    <s v="Indirect"/>
    <n v="1066"/>
    <x v="24"/>
    <s v="New"/>
    <d v="2026-05-12T00:00:00"/>
    <n v="326"/>
    <n v="10573.436534930001"/>
    <n v="244.5"/>
    <n v="309.7"/>
    <n v="0"/>
    <n v="317.20309604790003"/>
    <n v="7.5030960479000441"/>
    <n v="32.6"/>
    <n v="0"/>
    <n v="522"/>
    <n v="0"/>
    <n v="0"/>
    <n v="0"/>
    <n v="0"/>
    <n v="0"/>
    <n v="522"/>
    <n v="0"/>
    <n v="522"/>
    <s v="Release"/>
  </r>
  <r>
    <n v="33479.945321720821"/>
    <n v="7108.3907181823997"/>
    <n v="40588.336039903224"/>
    <x v="1002"/>
    <x v="981"/>
    <n v="0"/>
    <s v="MPG"/>
    <s v="Direct"/>
    <n v="1008"/>
    <x v="1"/>
    <s v="Old"/>
    <d v="2023-03-22T00:00:00"/>
    <n v="1.6"/>
    <n v="54.19"/>
    <n v="1.2000000000000002"/>
    <n v="1.52"/>
    <n v="0"/>
    <n v="1.6256999999999999"/>
    <n v="0.10569999999999991"/>
    <n v="0.16000000000000003"/>
    <n v="2.0786999999999694"/>
    <n v="0"/>
    <n v="0"/>
    <n v="0"/>
    <n v="0"/>
    <n v="0"/>
    <n v="0"/>
    <n v="0"/>
    <n v="0"/>
    <n v="0"/>
    <s v="Release"/>
  </r>
  <r>
    <n v="24811.770302897698"/>
    <n v="13203.0506"/>
    <n v="38014.8209028977"/>
    <x v="1003"/>
    <x v="982"/>
    <n v="0"/>
    <s v="MPG"/>
    <s v="Direct"/>
    <n v="1006"/>
    <x v="5"/>
    <s v="Old"/>
    <d v="2023-07-14T00:00:00"/>
    <n v="975.7"/>
    <n v="43435.646055551006"/>
    <n v="731.77500000000009"/>
    <n v="926.91499999999996"/>
    <n v="767.19685240950014"/>
    <n v="1303.06938166653"/>
    <n v="376.15438166653007"/>
    <n v="97.570000000000007"/>
    <n v="476.52751780821916"/>
    <n v="1852"/>
    <n v="1852"/>
    <n v="0"/>
    <n v="0"/>
    <n v="0"/>
    <n v="0"/>
    <n v="0"/>
    <n v="0"/>
    <n v="0"/>
    <s v="Release"/>
  </r>
  <r>
    <n v="0"/>
    <n v="0"/>
    <n v="0"/>
    <x v="1004"/>
    <x v="983"/>
    <n v="0"/>
    <s v="vlc"/>
    <s v="Indirect"/>
    <n v="1006"/>
    <x v="5"/>
    <s v="Old"/>
    <d v="2025-01-02T00:00:00"/>
    <n v="660.2"/>
    <n v="22751.474067753999"/>
    <n v="495.15000000000003"/>
    <n v="627.19000000000005"/>
    <n v="0"/>
    <n v="682.54422203261993"/>
    <n v="55.354222032619873"/>
    <n v="66.02000000000001"/>
    <n v="510.54461152115618"/>
    <n v="546"/>
    <n v="0"/>
    <n v="0"/>
    <n v="0"/>
    <n v="0"/>
    <n v="0"/>
    <n v="546"/>
    <n v="0"/>
    <n v="546"/>
    <s v="Release"/>
  </r>
  <r>
    <n v="0"/>
    <n v="0"/>
    <n v="0"/>
    <x v="1005"/>
    <x v="984"/>
    <n v="0"/>
    <s v="vlc"/>
    <s v="Indirect"/>
    <n v="1008"/>
    <x v="1"/>
    <s v="Old"/>
    <d v="2024-08-26T00:00:00"/>
    <n v="622.84999999999991"/>
    <n v="26180.464270793"/>
    <n v="467.13749999999993"/>
    <n v="591.70749999999987"/>
    <n v="0"/>
    <n v="785.41392812379001"/>
    <n v="193.70642812379015"/>
    <n v="62.284999999999997"/>
    <n v="652.01855509040183"/>
    <n v="345"/>
    <n v="0"/>
    <n v="0"/>
    <n v="0"/>
    <n v="0"/>
    <n v="0"/>
    <n v="345"/>
    <n v="0"/>
    <n v="345"/>
    <s v="Release"/>
  </r>
  <r>
    <n v="87675"/>
    <n v="0"/>
    <n v="87675"/>
    <x v="1006"/>
    <x v="985"/>
    <n v="0"/>
    <s v="MPG"/>
    <s v="Direct"/>
    <n v="1008"/>
    <x v="1"/>
    <s v="Old"/>
    <d v="2025-06-07T00:00:00"/>
    <n v="31.549999999999997"/>
    <n v="1259.9208662200001"/>
    <n v="23.662499999999998"/>
    <n v="29.972499999999997"/>
    <n v="9.5538446720000003"/>
    <n v="37.797625986600004"/>
    <n v="7.8251259866000069"/>
    <n v="3.1549999999999998"/>
    <n v="59.708551475600188"/>
    <n v="0"/>
    <n v="0"/>
    <n v="0"/>
    <n v="0"/>
    <n v="0"/>
    <n v="0"/>
    <n v="0"/>
    <n v="0"/>
    <n v="0"/>
    <s v="Release"/>
  </r>
  <r>
    <n v="0"/>
    <n v="0"/>
    <n v="0"/>
    <x v="1007"/>
    <x v="986"/>
    <n v="0"/>
    <s v="vlc"/>
    <s v="Indirect"/>
    <n v="1010"/>
    <x v="9"/>
    <s v="Old"/>
    <d v="2026-02-05T00:00:00"/>
    <n v="1041.7"/>
    <n v="44203.852040764497"/>
    <n v="781.27500000000009"/>
    <n v="989.61500000000001"/>
    <n v="0"/>
    <n v="1326.115561222935"/>
    <n v="336.50056122293495"/>
    <n v="104.17000000000002"/>
    <n v="296.57484569132146"/>
    <n v="1370"/>
    <n v="0"/>
    <n v="0"/>
    <n v="0"/>
    <n v="0"/>
    <n v="0"/>
    <n v="1370"/>
    <n v="1370"/>
    <n v="0"/>
    <s v="Yes"/>
  </r>
  <r>
    <n v="0"/>
    <n v="0"/>
    <n v="0"/>
    <x v="1008"/>
    <x v="987"/>
    <n v="0"/>
    <s v="vlc"/>
    <s v="Indirect"/>
    <n v="1010"/>
    <x v="9"/>
    <s v="New"/>
    <d v="2026-05-17T00:00:00"/>
    <n v="6302.9"/>
    <n v="299111.37225010642"/>
    <n v="4727.1749999999993"/>
    <n v="5987.7549999999992"/>
    <n v="0"/>
    <n v="8973.341167503193"/>
    <n v="2985.5861675031938"/>
    <n v="630.29"/>
    <n v="0"/>
    <n v="10085"/>
    <n v="0"/>
    <n v="0"/>
    <n v="0"/>
    <n v="0"/>
    <n v="0"/>
    <n v="10085"/>
    <n v="0"/>
    <n v="10085"/>
    <s v="Release"/>
  </r>
  <r>
    <n v="0"/>
    <n v="0"/>
    <n v="0"/>
    <x v="1009"/>
    <x v="988"/>
    <n v="0"/>
    <s v="vlc"/>
    <s v="Indirect"/>
    <n v="1012"/>
    <x v="14"/>
    <s v="Old"/>
    <d v="2024-08-22T00:00:00"/>
    <n v="75.069999999999993"/>
    <n v="2334.6799999999998"/>
    <n v="56.302499999999995"/>
    <n v="71.316499999999991"/>
    <n v="0"/>
    <n v="70.040399999999991"/>
    <n v="-1.2760999999999996"/>
    <n v="7.5069999999999997"/>
    <n v="119.70695947782082"/>
    <n v="0"/>
    <n v="0"/>
    <n v="0"/>
    <n v="0"/>
    <n v="0"/>
    <n v="0"/>
    <n v="0"/>
    <n v="0"/>
    <n v="0"/>
    <s v="Release"/>
  </r>
  <r>
    <n v="103615"/>
    <n v="8550"/>
    <n v="112165"/>
    <x v="1010"/>
    <x v="989"/>
    <n v="0"/>
    <s v="MPG"/>
    <s v="Direct"/>
    <n v="1013"/>
    <x v="15"/>
    <s v="Old"/>
    <d v="2025-03-24T00:00:00"/>
    <n v="0.1"/>
    <n v="4.09"/>
    <n v="7.5000000000000011E-2"/>
    <n v="9.5000000000000001E-2"/>
    <n v="0"/>
    <n v="0.12269999999999999"/>
    <n v="2.7699999999999989E-2"/>
    <n v="1.0000000000000002E-2"/>
    <n v="0.5181999999999789"/>
    <n v="0"/>
    <n v="0"/>
    <n v="0"/>
    <n v="0"/>
    <n v="0"/>
    <n v="0"/>
    <n v="0"/>
    <n v="0"/>
    <n v="0"/>
    <s v="Release"/>
  </r>
  <r>
    <n v="0"/>
    <n v="0"/>
    <n v="0"/>
    <x v="1011"/>
    <x v="990"/>
    <n v="0"/>
    <s v="vlc"/>
    <s v="Indirect"/>
    <n v="1014"/>
    <x v="16"/>
    <s v="Old"/>
    <d v="2025-11-17T00:00:00"/>
    <n v="554.5"/>
    <n v="21100.557738370004"/>
    <n v="415.875"/>
    <n v="526.77499999999998"/>
    <n v="0"/>
    <n v="633.01673215110009"/>
    <n v="106.24173215110011"/>
    <n v="55.45"/>
    <n v="657.43827158554438"/>
    <n v="230"/>
    <n v="0"/>
    <n v="0"/>
    <n v="0"/>
    <n v="0"/>
    <n v="0"/>
    <n v="230"/>
    <n v="0"/>
    <n v="230"/>
    <s v="Release"/>
  </r>
  <r>
    <n v="0"/>
    <n v="0"/>
    <n v="0"/>
    <x v="1012"/>
    <x v="991"/>
    <n v="0"/>
    <s v="RMC"/>
    <s v="Direct"/>
    <n v="1002"/>
    <x v="3"/>
    <s v="Old"/>
    <d v="2017-09-01T00:00:00"/>
    <n v="1073"/>
    <n v="38983.049471999999"/>
    <n v="804.75"/>
    <n v="1019.3499999999999"/>
    <n v="0"/>
    <n v="1169.49148416"/>
    <n v="150.14148416000012"/>
    <n v="107.30000000000001"/>
    <n v="238.62979456000002"/>
    <n v="1478"/>
    <n v="0"/>
    <n v="0"/>
    <n v="0"/>
    <n v="0"/>
    <n v="0"/>
    <n v="1478"/>
    <n v="0"/>
    <n v="1478"/>
    <s v="Release"/>
  </r>
  <r>
    <n v="0"/>
    <n v="0"/>
    <n v="0"/>
    <x v="1013"/>
    <x v="992"/>
    <n v="0"/>
    <s v="vlc"/>
    <s v="Indirect"/>
    <n v="1057"/>
    <x v="19"/>
    <s v="New"/>
    <d v="2026-05-18T00:00:00"/>
    <n v="130.5"/>
    <n v="5251.4693383200001"/>
    <n v="97.875"/>
    <n v="123.97499999999999"/>
    <n v="0"/>
    <n v="157.54408014960001"/>
    <n v="33.569080149600012"/>
    <n v="13.05"/>
    <n v="0"/>
    <n v="209"/>
    <n v="0"/>
    <n v="0"/>
    <n v="0"/>
    <n v="0"/>
    <n v="0"/>
    <n v="209"/>
    <n v="0"/>
    <n v="209"/>
    <s v="Release"/>
  </r>
  <r>
    <n v="85000"/>
    <n v="0"/>
    <n v="85000"/>
    <x v="1014"/>
    <x v="993"/>
    <n v="0"/>
    <s v="vlc"/>
    <s v="Direct"/>
    <n v="1061"/>
    <x v="22"/>
    <s v="New"/>
    <d v="2026-05-17T00:00:00"/>
    <n v="250.70000000000002"/>
    <n v="11215.822487240901"/>
    <n v="188.02500000000001"/>
    <n v="238.16499999999999"/>
    <n v="0"/>
    <n v="336.47467461722704"/>
    <n v="98.309674617227046"/>
    <n v="25.070000000000004"/>
    <n v="0"/>
    <n v="401"/>
    <n v="0"/>
    <n v="0"/>
    <n v="0"/>
    <n v="0"/>
    <n v="0"/>
    <n v="401"/>
    <n v="0"/>
    <n v="401"/>
    <s v="Release"/>
  </r>
  <r>
    <n v="0"/>
    <n v="0"/>
    <n v="0"/>
    <x v="1015"/>
    <x v="994"/>
    <n v="0"/>
    <s v="vlc"/>
    <s v="Indirect"/>
    <n v="1061"/>
    <x v="22"/>
    <s v="New"/>
    <d v="2026-05-18T00:00:00"/>
    <n v="431.69999999999993"/>
    <n v="20301.180970286201"/>
    <n v="323.77499999999998"/>
    <n v="410.1149999999999"/>
    <n v="0"/>
    <n v="609.03542910858596"/>
    <n v="198.92042910858606"/>
    <n v="43.169999999999995"/>
    <n v="0"/>
    <n v="691"/>
    <n v="0"/>
    <n v="0"/>
    <n v="0"/>
    <n v="0"/>
    <n v="0"/>
    <n v="691"/>
    <n v="0"/>
    <n v="691"/>
    <s v="Release"/>
  </r>
  <r>
    <n v="0"/>
    <n v="0"/>
    <n v="0"/>
    <x v="1016"/>
    <x v="995"/>
    <n v="0"/>
    <s v="vlc"/>
    <s v="Indirect"/>
    <n v="1066"/>
    <x v="24"/>
    <s v="New"/>
    <d v="2026-05-15T00:00:00"/>
    <n v="194.5"/>
    <n v="8822.8451732619997"/>
    <n v="145.875"/>
    <n v="184.77499999999998"/>
    <n v="0"/>
    <n v="264.68535519785996"/>
    <n v="79.910355197859985"/>
    <n v="19.450000000000003"/>
    <n v="0"/>
    <n v="311"/>
    <n v="0"/>
    <n v="0"/>
    <n v="0"/>
    <n v="0"/>
    <n v="0"/>
    <n v="311"/>
    <n v="0"/>
    <n v="311"/>
    <s v="Release"/>
  </r>
  <r>
    <n v="0"/>
    <n v="0"/>
    <n v="0"/>
    <x v="1017"/>
    <x v="996"/>
    <n v="0"/>
    <s v="MPG"/>
    <s v="Direct"/>
    <n v="1001"/>
    <x v="0"/>
    <s v="New"/>
    <d v="2026-05-28T00:00:00"/>
    <n v="182.2"/>
    <n v="5991.5445682980007"/>
    <n v="136.64999999999998"/>
    <n v="173.08999999999997"/>
    <n v="0"/>
    <n v="179.74633704894001"/>
    <n v="6.6563370489400313"/>
    <n v="18.22"/>
    <n v="0"/>
    <n v="292"/>
    <n v="0"/>
    <n v="0"/>
    <n v="0"/>
    <n v="0"/>
    <n v="0"/>
    <n v="292"/>
    <n v="0"/>
    <n v="292"/>
    <s v="Release"/>
  </r>
  <r>
    <n v="0"/>
    <n v="0"/>
    <n v="0"/>
    <x v="1018"/>
    <x v="997"/>
    <n v="0"/>
    <s v="vlc"/>
    <s v="Indirect"/>
    <n v="1003"/>
    <x v="4"/>
    <s v="Old"/>
    <d v="2025-12-19T00:00:00"/>
    <n v="76.2"/>
    <n v="1945.3541057280004"/>
    <n v="57.150000000000006"/>
    <n v="72.39"/>
    <n v="0"/>
    <n v="58.360623171840011"/>
    <n v="-14.02937682815999"/>
    <n v="7.620000000000001"/>
    <n v="121.50705804544003"/>
    <n v="0"/>
    <n v="0"/>
    <n v="0"/>
    <n v="0"/>
    <n v="0"/>
    <n v="0"/>
    <n v="0"/>
    <n v="0"/>
    <n v="0"/>
    <s v="Release"/>
  </r>
  <r>
    <n v="55391.838494397765"/>
    <n v="2453.0201150835856"/>
    <n v="57844.858609481351"/>
    <x v="1019"/>
    <x v="998"/>
    <n v="0"/>
    <s v="MPG"/>
    <s v="Direct"/>
    <n v="1006"/>
    <x v="5"/>
    <s v="Old"/>
    <d v="2025-01-07T00:00:00"/>
    <n v="30.8"/>
    <n v="1292.9587902000003"/>
    <n v="23.1"/>
    <n v="29.259999999999998"/>
    <n v="0"/>
    <n v="38.788763706000005"/>
    <n v="9.5287637060000066"/>
    <n v="3.08"/>
    <n v="48.849365196000122"/>
    <n v="0"/>
    <n v="0"/>
    <n v="0"/>
    <n v="0"/>
    <n v="0"/>
    <n v="0"/>
    <n v="0"/>
    <n v="0"/>
    <n v="0"/>
    <s v="Release"/>
  </r>
  <r>
    <n v="0"/>
    <n v="0"/>
    <n v="0"/>
    <x v="1020"/>
    <x v="999"/>
    <n v="0"/>
    <s v="vlc"/>
    <s v="Indirect"/>
    <n v="1006"/>
    <x v="5"/>
    <s v="Old"/>
    <d v="2024-12-20T00:00:00"/>
    <n v="79.599999999999994"/>
    <n v="2668.8152672040001"/>
    <n v="59.699999999999996"/>
    <n v="75.61999999999999"/>
    <n v="0"/>
    <n v="80.06445801612"/>
    <n v="4.4444580161200093"/>
    <n v="7.96"/>
    <n v="127.01331451592006"/>
    <n v="0"/>
    <n v="0"/>
    <n v="0"/>
    <n v="0"/>
    <n v="0"/>
    <n v="0"/>
    <n v="0"/>
    <n v="0"/>
    <n v="0"/>
    <s v="Release"/>
  </r>
  <r>
    <n v="0"/>
    <n v="0"/>
    <n v="0"/>
    <x v="1021"/>
    <x v="1000"/>
    <n v="0"/>
    <s v="vlc"/>
    <s v="Indirect"/>
    <n v="1006"/>
    <x v="5"/>
    <s v="New"/>
    <d v="2026-05-22T00:00:00"/>
    <n v="13.6"/>
    <n v="447.19779297600007"/>
    <n v="10.199999999999999"/>
    <n v="12.92"/>
    <n v="0"/>
    <n v="13.415933789280002"/>
    <n v="0.4959337892800022"/>
    <n v="1.36"/>
    <n v="0"/>
    <n v="22"/>
    <n v="0"/>
    <n v="0"/>
    <n v="0"/>
    <n v="0"/>
    <n v="0"/>
    <n v="22"/>
    <n v="22"/>
    <n v="0"/>
    <s v="Yes"/>
  </r>
  <r>
    <n v="0"/>
    <n v="0"/>
    <n v="0"/>
    <x v="1022"/>
    <x v="1001"/>
    <n v="0"/>
    <s v="vlc"/>
    <s v="Indirect"/>
    <n v="1007"/>
    <x v="7"/>
    <s v="Old"/>
    <d v="2025-06-17T00:00:00"/>
    <n v="1286.9000000000001"/>
    <n v="47460.446812023009"/>
    <n v="965.17500000000007"/>
    <n v="1222.5550000000001"/>
    <n v="0"/>
    <n v="1423.8134043606901"/>
    <n v="201.25840436069007"/>
    <n v="128.69000000000003"/>
    <n v="0"/>
    <n v="2059"/>
    <n v="0"/>
    <n v="0"/>
    <n v="0"/>
    <n v="0"/>
    <n v="0"/>
    <n v="2059"/>
    <n v="0"/>
    <n v="2059"/>
    <s v="Release"/>
  </r>
  <r>
    <n v="0"/>
    <n v="0"/>
    <n v="0"/>
    <x v="1023"/>
    <x v="1002"/>
    <n v="0"/>
    <s v="vlc"/>
    <s v="Indirect"/>
    <n v="1008"/>
    <x v="1"/>
    <s v="Old"/>
    <d v="2025-12-19T00:00:00"/>
    <n v="673.55"/>
    <n v="27215.85211914"/>
    <n v="505.16249999999997"/>
    <n v="639.87249999999995"/>
    <n v="0"/>
    <n v="816.47556357420001"/>
    <n v="176.60306357420006"/>
    <n v="67.355000000000004"/>
    <n v="21.375080945772549"/>
    <n v="1056"/>
    <n v="0"/>
    <n v="0"/>
    <n v="0"/>
    <n v="0"/>
    <n v="0"/>
    <n v="1056"/>
    <n v="0"/>
    <n v="1056"/>
    <s v="Release"/>
  </r>
  <r>
    <n v="0"/>
    <n v="0"/>
    <n v="0"/>
    <x v="1024"/>
    <x v="1003"/>
    <n v="0"/>
    <s v="vlc"/>
    <s v="Indirect"/>
    <n v="1010"/>
    <x v="9"/>
    <s v="New"/>
    <d v="2026-05-26T00:00:00"/>
    <n v="5652.2"/>
    <n v="222159.84813319205"/>
    <n v="4239.1499999999996"/>
    <n v="5369.5899999999992"/>
    <n v="0"/>
    <n v="6664.7954439957612"/>
    <n v="1295.2054439957619"/>
    <n v="565.22"/>
    <n v="0"/>
    <n v="9044"/>
    <n v="0"/>
    <n v="0"/>
    <n v="0"/>
    <n v="0"/>
    <n v="0"/>
    <n v="9044"/>
    <n v="0"/>
    <n v="9044"/>
    <s v="Release"/>
  </r>
  <r>
    <n v="74382.888583716529"/>
    <n v="0"/>
    <n v="74382.888583716529"/>
    <x v="1025"/>
    <x v="1004"/>
    <n v="0"/>
    <s v="MPG"/>
    <s v="Direct"/>
    <n v="1011"/>
    <x v="12"/>
    <s v="Old"/>
    <d v="2024-05-17T00:00:00"/>
    <n v="146.5"/>
    <n v="5339.8294974600012"/>
    <n v="109.875"/>
    <n v="139.17499999999998"/>
    <n v="0"/>
    <n v="160.19488492380003"/>
    <n v="21.019884923800049"/>
    <n v="14.65"/>
    <n v="234.49428352820621"/>
    <n v="0"/>
    <n v="0"/>
    <n v="0"/>
    <n v="0"/>
    <n v="0"/>
    <n v="0"/>
    <n v="0"/>
    <n v="0"/>
    <n v="0"/>
    <s v="Release"/>
  </r>
  <r>
    <n v="76787.376122859001"/>
    <n v="6400"/>
    <n v="83187.376122859001"/>
    <x v="1026"/>
    <x v="1005"/>
    <n v="0"/>
    <s v="MPG"/>
    <s v="Direct"/>
    <n v="1014"/>
    <x v="16"/>
    <s v="Old"/>
    <d v="2025-04-30T00:00:00"/>
    <n v="357.9"/>
    <n v="13408.112079300001"/>
    <n v="268.42499999999995"/>
    <n v="340.00499999999994"/>
    <n v="0"/>
    <n v="402.24336237900002"/>
    <n v="62.23836237900008"/>
    <n v="35.79"/>
    <n v="256.32384142657338"/>
    <n v="316"/>
    <n v="316"/>
    <n v="0"/>
    <n v="0"/>
    <n v="0"/>
    <n v="0"/>
    <n v="0"/>
    <n v="0"/>
    <n v="0"/>
    <s v="Release"/>
  </r>
  <r>
    <n v="99080"/>
    <n v="2800"/>
    <n v="101880"/>
    <x v="1027"/>
    <x v="1006"/>
    <n v="0"/>
    <s v="vlc"/>
    <s v="Indirect"/>
    <n v="1014"/>
    <x v="16"/>
    <s v="Old"/>
    <d v="2025-12-12T00:00:00"/>
    <n v="328"/>
    <n v="12633.054732060002"/>
    <n v="246"/>
    <n v="311.59999999999997"/>
    <n v="0"/>
    <n v="378.99164196180004"/>
    <n v="67.391641961800076"/>
    <n v="32.800000000000004"/>
    <n v="286.55465611745865"/>
    <n v="238"/>
    <n v="238"/>
    <n v="0"/>
    <n v="0"/>
    <n v="0"/>
    <n v="0"/>
    <n v="0"/>
    <n v="0"/>
    <n v="0"/>
    <s v="Release"/>
  </r>
  <r>
    <n v="0"/>
    <n v="0"/>
    <n v="0"/>
    <x v="1028"/>
    <x v="1007"/>
    <n v="0"/>
    <s v="vlc"/>
    <s v="Indirect"/>
    <n v="1036"/>
    <x v="17"/>
    <s v="Old"/>
    <d v="2025-04-14T00:00:00"/>
    <n v="37.700000000000003"/>
    <n v="1358.5975088400003"/>
    <n v="28.275000000000002"/>
    <n v="35.814999999999998"/>
    <n v="0"/>
    <n v="40.757925265200008"/>
    <n v="4.9429252652000102"/>
    <n v="3.7700000000000005"/>
    <n v="60.347018623200086"/>
    <n v="0"/>
    <n v="0"/>
    <n v="0"/>
    <n v="0"/>
    <n v="0"/>
    <n v="0"/>
    <n v="0"/>
    <n v="0"/>
    <n v="0"/>
    <s v="Release"/>
  </r>
  <r>
    <n v="80000"/>
    <n v="0"/>
    <n v="80000"/>
    <x v="1029"/>
    <x v="1008"/>
    <n v="0"/>
    <s v="MPG"/>
    <s v="Direct"/>
    <n v="1065"/>
    <x v="20"/>
    <s v="New"/>
    <d v="2026-05-23T00:00:00"/>
    <n v="241.69999999999996"/>
    <n v="9013.9438874100015"/>
    <n v="181.27499999999998"/>
    <n v="229.61499999999995"/>
    <n v="0"/>
    <n v="270.41831662230004"/>
    <n v="40.803316622300088"/>
    <n v="24.169999999999998"/>
    <n v="0"/>
    <n v="387"/>
    <n v="0"/>
    <n v="0"/>
    <n v="0"/>
    <n v="0"/>
    <n v="0"/>
    <n v="387"/>
    <n v="387"/>
    <n v="0"/>
    <s v="Yes"/>
  </r>
  <r>
    <n v="75000"/>
    <n v="0"/>
    <n v="75000"/>
    <x v="1030"/>
    <x v="1009"/>
    <n v="0"/>
    <s v="MPG"/>
    <s v="Direct"/>
    <n v="1065"/>
    <x v="20"/>
    <s v="New"/>
    <d v="2026-05-22T00:00:00"/>
    <n v="188.00000000000003"/>
    <n v="7554.5386242000004"/>
    <n v="141.00000000000003"/>
    <n v="178.60000000000002"/>
    <n v="0"/>
    <n v="226.63615872599999"/>
    <n v="48.036158725999968"/>
    <n v="18.800000000000004"/>
    <n v="0"/>
    <n v="301"/>
    <n v="0"/>
    <n v="0"/>
    <n v="0"/>
    <n v="0"/>
    <n v="0"/>
    <n v="301"/>
    <n v="301"/>
    <n v="0"/>
    <s v="Yes"/>
  </r>
  <r>
    <n v="0"/>
    <n v="0"/>
    <n v="0"/>
    <x v="1031"/>
    <x v="1010"/>
    <n v="0"/>
    <s v="vlc"/>
    <s v="Indirect"/>
    <n v="1066"/>
    <x v="24"/>
    <s v="New"/>
    <d v="2026-05-28T00:00:00"/>
    <n v="26.7"/>
    <n v="1747.290781143"/>
    <n v="20.024999999999999"/>
    <n v="25.364999999999998"/>
    <n v="0"/>
    <n v="52.418723434290001"/>
    <n v="27.053723434290003"/>
    <n v="2.67"/>
    <n v="0"/>
    <n v="43"/>
    <n v="0"/>
    <n v="0"/>
    <n v="0"/>
    <n v="0"/>
    <n v="0"/>
    <n v="43"/>
    <n v="0"/>
    <n v="43"/>
    <s v="Release"/>
  </r>
  <r>
    <n v="0"/>
    <n v="0"/>
    <n v="0"/>
    <x v="1032"/>
    <x v="1011"/>
    <n v="0"/>
    <s v="vlc"/>
    <s v="Indirect"/>
    <n v="1066"/>
    <x v="24"/>
    <s v="New"/>
    <d v="2026-05-23T00:00:00"/>
    <n v="43.4"/>
    <n v="2183.4098546376599"/>
    <n v="32.549999999999997"/>
    <n v="41.23"/>
    <n v="0"/>
    <n v="65.502295639129798"/>
    <n v="24.272295639129801"/>
    <n v="4.34"/>
    <n v="0"/>
    <n v="69"/>
    <n v="0"/>
    <n v="0"/>
    <n v="0"/>
    <n v="0"/>
    <n v="0"/>
    <n v="69"/>
    <n v="69"/>
    <n v="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D438E-017D-4B19-8D16-7E48160E8FBC}" name="PivotTable3" cacheId="14" applyNumberFormats="0" applyBorderFormats="0" applyFontFormats="0" applyPatternFormats="0" applyAlignmentFormats="0" applyWidthHeightFormats="1" dataCaption="Values" updatedVersion="8" itemPrintTitles="1" createdVersion="8" indent="0" compact="0" compactData="0" gridDropZones="1" multipleFieldFilters="0">
  <location ref="A3:R125" firstHeaderRow="1" firstDataRow="2" firstDataCol="2" rowPageCount="1" colPageCount="1"/>
  <pivotFields count="31">
    <pivotField compact="0" numFmtId="166" outline="0" showAll="0"/>
    <pivotField compact="0" numFmtId="166" outline="0" showAll="0"/>
    <pivotField compact="0" numFmtId="166" outline="0" showAll="0"/>
    <pivotField axis="axisRow" compact="0" outline="0" showAll="0" insertBlankRow="1" insertPageBreak="1">
      <items count="1503">
        <item x="1002"/>
        <item x="0"/>
        <item m="1" x="1471"/>
        <item x="1"/>
        <item x="2"/>
        <item m="1" x="1033"/>
        <item m="1" x="1351"/>
        <item m="1" x="1460"/>
        <item m="1" x="1382"/>
        <item m="1" x="1287"/>
        <item x="3"/>
        <item m="1" x="1352"/>
        <item m="1" x="1034"/>
        <item m="1" x="1459"/>
        <item x="4"/>
        <item x="5"/>
        <item x="6"/>
        <item x="7"/>
        <item x="8"/>
        <item x="9"/>
        <item m="1" x="1465"/>
        <item m="1" x="1035"/>
        <item m="1" x="1383"/>
        <item m="1" x="1036"/>
        <item m="1" x="1461"/>
        <item x="10"/>
        <item m="1" x="1474"/>
        <item m="1" x="1199"/>
        <item x="939"/>
        <item m="1" x="1353"/>
        <item x="11"/>
        <item m="1" x="1462"/>
        <item x="12"/>
        <item x="13"/>
        <item x="14"/>
        <item m="1" x="1354"/>
        <item x="15"/>
        <item m="1" x="1258"/>
        <item m="1" x="1463"/>
        <item x="16"/>
        <item m="1" x="1384"/>
        <item m="1" x="1037"/>
        <item x="17"/>
        <item m="1" x="1321"/>
        <item x="18"/>
        <item x="19"/>
        <item x="20"/>
        <item m="1" x="1322"/>
        <item m="1" x="1197"/>
        <item m="1" x="1038"/>
        <item x="21"/>
        <item m="1" x="1355"/>
        <item m="1" x="1323"/>
        <item m="1" x="1288"/>
        <item m="1" x="1324"/>
        <item x="22"/>
        <item x="23"/>
        <item m="1" x="1356"/>
        <item m="1" x="1259"/>
        <item m="1" x="1039"/>
        <item x="24"/>
        <item x="25"/>
        <item m="1" x="1040"/>
        <item m="1" x="1376"/>
        <item x="32"/>
        <item m="1" x="1450"/>
        <item x="33"/>
        <item x="34"/>
        <item x="35"/>
        <item x="36"/>
        <item m="1" x="1416"/>
        <item x="644"/>
        <item x="37"/>
        <item x="654"/>
        <item m="1" x="1042"/>
        <item x="38"/>
        <item x="39"/>
        <item x="40"/>
        <item x="624"/>
        <item m="1" x="1043"/>
        <item x="41"/>
        <item m="1" x="1292"/>
        <item x="42"/>
        <item x="43"/>
        <item x="44"/>
        <item x="45"/>
        <item x="788"/>
        <item m="1" x="1044"/>
        <item x="46"/>
        <item x="47"/>
        <item x="48"/>
        <item x="49"/>
        <item m="1" x="1045"/>
        <item x="50"/>
        <item m="1" x="1261"/>
        <item x="51"/>
        <item x="52"/>
        <item x="53"/>
        <item x="54"/>
        <item x="55"/>
        <item x="56"/>
        <item m="1" x="1046"/>
        <item x="970"/>
        <item x="57"/>
        <item m="1" x="1202"/>
        <item x="58"/>
        <item x="59"/>
        <item x="60"/>
        <item m="1" x="1385"/>
        <item x="61"/>
        <item x="62"/>
        <item x="63"/>
        <item x="64"/>
        <item x="65"/>
        <item x="66"/>
        <item x="67"/>
        <item x="68"/>
        <item x="73"/>
        <item x="74"/>
        <item m="1" x="1048"/>
        <item x="75"/>
        <item x="76"/>
        <item x="77"/>
        <item x="78"/>
        <item x="79"/>
        <item x="80"/>
        <item x="81"/>
        <item m="1" x="1493"/>
        <item x="82"/>
        <item x="83"/>
        <item x="84"/>
        <item x="85"/>
        <item x="86"/>
        <item x="87"/>
        <item x="88"/>
        <item x="89"/>
        <item m="1" x="1492"/>
        <item x="90"/>
        <item x="91"/>
        <item x="92"/>
        <item x="93"/>
        <item m="1" x="1049"/>
        <item x="94"/>
        <item x="95"/>
        <item x="96"/>
        <item x="97"/>
        <item m="1" x="1490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m="1" x="1262"/>
        <item x="115"/>
        <item x="116"/>
        <item x="117"/>
        <item m="1" x="1050"/>
        <item x="118"/>
        <item x="119"/>
        <item x="120"/>
        <item x="121"/>
        <item m="1" x="1051"/>
        <item x="670"/>
        <item x="122"/>
        <item x="123"/>
        <item x="124"/>
        <item x="711"/>
        <item m="1" x="1325"/>
        <item x="127"/>
        <item x="128"/>
        <item x="129"/>
        <item x="130"/>
        <item x="131"/>
        <item x="132"/>
        <item x="133"/>
        <item x="134"/>
        <item x="135"/>
        <item m="1" x="1180"/>
        <item x="136"/>
        <item x="137"/>
        <item x="138"/>
        <item x="139"/>
        <item x="140"/>
        <item x="141"/>
        <item m="1" x="1417"/>
        <item m="1" x="1053"/>
        <item x="142"/>
        <item x="143"/>
        <item x="144"/>
        <item x="145"/>
        <item m="1" x="1293"/>
        <item x="146"/>
        <item x="147"/>
        <item m="1" x="1054"/>
        <item m="1" x="1263"/>
        <item m="1" x="1476"/>
        <item x="1003"/>
        <item m="1" x="1055"/>
        <item m="1" x="1486"/>
        <item m="1" x="1326"/>
        <item m="1" x="1294"/>
        <item x="148"/>
        <item m="1" x="1203"/>
        <item m="1" x="1056"/>
        <item m="1" x="1057"/>
        <item m="1" x="1058"/>
        <item x="149"/>
        <item x="150"/>
        <item x="816"/>
        <item m="1" x="1059"/>
        <item m="1" x="1357"/>
        <item x="829"/>
        <item m="1" x="1060"/>
        <item x="151"/>
        <item x="844"/>
        <item x="152"/>
        <item m="1" x="1061"/>
        <item m="1" x="1386"/>
        <item x="153"/>
        <item m="1" x="1295"/>
        <item m="1" x="1062"/>
        <item m="1" x="1063"/>
        <item x="154"/>
        <item x="1019"/>
        <item x="155"/>
        <item m="1" x="1487"/>
        <item x="1020"/>
        <item m="1" x="1204"/>
        <item m="1" x="1064"/>
        <item x="156"/>
        <item m="1" x="1065"/>
        <item m="1" x="1066"/>
        <item m="1" x="1067"/>
        <item m="1" x="1327"/>
        <item x="1004"/>
        <item x="157"/>
        <item m="1" x="1205"/>
        <item m="1" x="1358"/>
        <item m="1" x="1328"/>
        <item m="1" x="1068"/>
        <item x="158"/>
        <item x="159"/>
        <item x="160"/>
        <item m="1" x="1206"/>
        <item m="1" x="1069"/>
        <item m="1" x="1207"/>
        <item m="1" x="1264"/>
        <item x="161"/>
        <item m="1" x="1208"/>
        <item x="162"/>
        <item m="1" x="1265"/>
        <item x="164"/>
        <item x="165"/>
        <item x="166"/>
        <item m="1" x="1296"/>
        <item x="168"/>
        <item x="169"/>
        <item x="170"/>
        <item x="171"/>
        <item m="1" x="1387"/>
        <item m="1" x="1329"/>
        <item x="172"/>
        <item m="1" x="1454"/>
        <item m="1" x="1182"/>
        <item x="173"/>
        <item m="1" x="1388"/>
        <item x="174"/>
        <item x="175"/>
        <item x="176"/>
        <item m="1" x="1071"/>
        <item x="177"/>
        <item m="1" x="1452"/>
        <item x="178"/>
        <item m="1" x="1072"/>
        <item m="1" x="1389"/>
        <item x="179"/>
        <item m="1" x="1073"/>
        <item x="180"/>
        <item x="181"/>
        <item x="182"/>
        <item m="1" x="1074"/>
        <item x="183"/>
        <item x="184"/>
        <item m="1" x="1418"/>
        <item x="185"/>
        <item m="1" x="1075"/>
        <item m="1" x="1419"/>
        <item m="1" x="1451"/>
        <item m="1" x="1297"/>
        <item x="712"/>
        <item m="1" x="1390"/>
        <item m="1" x="1420"/>
        <item x="186"/>
        <item m="1" x="1076"/>
        <item x="187"/>
        <item x="748"/>
        <item x="188"/>
        <item m="1" x="1330"/>
        <item x="189"/>
        <item x="190"/>
        <item x="191"/>
        <item m="1" x="1209"/>
        <item x="1022"/>
        <item m="1" x="1266"/>
        <item x="194"/>
        <item x="195"/>
        <item x="196"/>
        <item x="197"/>
        <item m="1" x="1196"/>
        <item x="198"/>
        <item x="199"/>
        <item m="1" x="1298"/>
        <item m="1" x="1391"/>
        <item x="640"/>
        <item x="200"/>
        <item x="201"/>
        <item x="202"/>
        <item x="203"/>
        <item m="1" x="1377"/>
        <item m="1" x="1359"/>
        <item m="1" x="1077"/>
        <item x="204"/>
        <item m="1" x="1360"/>
        <item x="205"/>
        <item x="206"/>
        <item m="1" x="1211"/>
        <item m="1" x="1331"/>
        <item x="207"/>
        <item m="1" x="1332"/>
        <item m="1" x="1333"/>
        <item x="208"/>
        <item x="209"/>
        <item m="1" x="1078"/>
        <item m="1" x="1079"/>
        <item x="210"/>
        <item m="1" x="1497"/>
        <item x="211"/>
        <item m="1" x="1080"/>
        <item x="212"/>
        <item x="213"/>
        <item x="214"/>
        <item x="215"/>
        <item m="1" x="1496"/>
        <item m="1" x="1212"/>
        <item m="1" x="1494"/>
        <item m="1" x="1421"/>
        <item x="216"/>
        <item x="217"/>
        <item m="1" x="1498"/>
        <item m="1" x="1392"/>
        <item m="1" x="1081"/>
        <item m="1" x="1334"/>
        <item x="218"/>
        <item m="1" x="1082"/>
        <item m="1" x="1499"/>
        <item m="1" x="1083"/>
        <item x="1005"/>
        <item m="1" x="1495"/>
        <item m="1" x="1213"/>
        <item x="219"/>
        <item x="220"/>
        <item x="221"/>
        <item x="222"/>
        <item x="223"/>
        <item m="1" x="1361"/>
        <item x="224"/>
        <item x="225"/>
        <item m="1" x="1335"/>
        <item m="1" x="1362"/>
        <item x="226"/>
        <item x="227"/>
        <item x="228"/>
        <item x="692"/>
        <item x="229"/>
        <item m="1" x="1393"/>
        <item x="230"/>
        <item m="1" x="1336"/>
        <item x="231"/>
        <item m="1" x="1084"/>
        <item x="232"/>
        <item x="1006"/>
        <item x="233"/>
        <item x="236"/>
        <item x="237"/>
        <item x="238"/>
        <item m="1" x="1086"/>
        <item x="239"/>
        <item x="240"/>
        <item x="241"/>
        <item x="242"/>
        <item x="243"/>
        <item m="1" x="1087"/>
        <item x="244"/>
        <item x="245"/>
        <item m="1" x="1422"/>
        <item x="246"/>
        <item x="247"/>
        <item x="248"/>
        <item x="612"/>
        <item x="249"/>
        <item x="250"/>
        <item m="1" x="1394"/>
        <item x="251"/>
        <item x="252"/>
        <item m="1" x="1088"/>
        <item x="253"/>
        <item m="1" x="1089"/>
        <item x="254"/>
        <item m="1" x="1090"/>
        <item m="1" x="1464"/>
        <item m="1" x="1301"/>
        <item x="255"/>
        <item x="256"/>
        <item m="1" x="1457"/>
        <item x="257"/>
        <item x="258"/>
        <item m="1" x="1189"/>
        <item m="1" x="1091"/>
        <item x="259"/>
        <item x="260"/>
        <item x="261"/>
        <item m="1" x="1395"/>
        <item x="262"/>
        <item x="263"/>
        <item x="264"/>
        <item m="1" x="1423"/>
        <item x="265"/>
        <item m="1" x="1458"/>
        <item x="266"/>
        <item m="1" x="1092"/>
        <item x="267"/>
        <item x="268"/>
        <item m="1" x="1093"/>
        <item x="269"/>
        <item x="638"/>
        <item x="270"/>
        <item x="271"/>
        <item m="1" x="1302"/>
        <item x="272"/>
        <item x="273"/>
        <item x="274"/>
        <item x="275"/>
        <item x="276"/>
        <item x="759"/>
        <item m="1" x="1216"/>
        <item m="1" x="1256"/>
        <item x="277"/>
        <item x="278"/>
        <item m="1" x="1217"/>
        <item x="693"/>
        <item m="1" x="1096"/>
        <item x="279"/>
        <item m="1" x="1097"/>
        <item m="1" x="1396"/>
        <item m="1" x="1303"/>
        <item x="280"/>
        <item x="281"/>
        <item m="1" x="1448"/>
        <item x="282"/>
        <item x="694"/>
        <item x="283"/>
        <item m="1" x="1098"/>
        <item x="284"/>
        <item m="1" x="1449"/>
        <item x="285"/>
        <item m="1" x="1363"/>
        <item m="1" x="1447"/>
        <item x="286"/>
        <item m="1" x="1218"/>
        <item m="1" x="1177"/>
        <item m="1" x="1099"/>
        <item x="287"/>
        <item x="288"/>
        <item x="289"/>
        <item m="1" x="1268"/>
        <item x="290"/>
        <item x="291"/>
        <item m="1" x="1397"/>
        <item x="292"/>
        <item x="293"/>
        <item m="1" x="1381"/>
        <item m="1" x="1100"/>
        <item x="294"/>
        <item x="295"/>
        <item x="296"/>
        <item x="297"/>
        <item m="1" x="1424"/>
        <item x="298"/>
        <item m="1" x="1304"/>
        <item m="1" x="1337"/>
        <item x="673"/>
        <item m="1" x="1101"/>
        <item m="1" x="1488"/>
        <item m="1" x="1425"/>
        <item m="1" x="1338"/>
        <item m="1" x="1398"/>
        <item x="299"/>
        <item x="300"/>
        <item m="1" x="1269"/>
        <item m="1" x="1305"/>
        <item m="1" x="1183"/>
        <item x="674"/>
        <item x="301"/>
        <item m="1" x="1399"/>
        <item x="302"/>
        <item x="303"/>
        <item m="1" x="1219"/>
        <item x="304"/>
        <item m="1" x="1102"/>
        <item m="1" x="1307"/>
        <item x="305"/>
        <item x="306"/>
        <item x="307"/>
        <item x="308"/>
        <item m="1" x="1339"/>
        <item x="309"/>
        <item x="310"/>
        <item x="1025"/>
        <item x="311"/>
        <item m="1" x="1400"/>
        <item x="312"/>
        <item m="1" x="1401"/>
        <item m="1" x="1491"/>
        <item m="1" x="1340"/>
        <item m="1" x="1489"/>
        <item m="1" x="1103"/>
        <item x="313"/>
        <item x="314"/>
        <item x="315"/>
        <item x="316"/>
        <item x="317"/>
        <item m="1" x="1426"/>
        <item x="318"/>
        <item x="319"/>
        <item m="1" x="1308"/>
        <item m="1" x="1270"/>
        <item x="320"/>
        <item x="321"/>
        <item x="322"/>
        <item x="323"/>
        <item x="324"/>
        <item m="1" x="1104"/>
        <item m="1" x="1105"/>
        <item x="325"/>
        <item m="1" x="1106"/>
        <item x="326"/>
        <item m="1" x="1341"/>
        <item x="327"/>
        <item x="328"/>
        <item x="329"/>
        <item x="330"/>
        <item m="1" x="1364"/>
        <item x="331"/>
        <item x="332"/>
        <item m="1" x="1365"/>
        <item m="1" x="1366"/>
        <item m="1" x="1107"/>
        <item x="333"/>
        <item x="334"/>
        <item m="1" x="1108"/>
        <item x="335"/>
        <item x="336"/>
        <item x="337"/>
        <item x="338"/>
        <item m="1" x="1310"/>
        <item m="1" x="1402"/>
        <item x="339"/>
        <item x="340"/>
        <item m="1" x="1109"/>
        <item x="341"/>
        <item x="342"/>
        <item m="1" x="1110"/>
        <item x="343"/>
        <item m="1" x="1111"/>
        <item x="344"/>
        <item x="345"/>
        <item x="346"/>
        <item m="1" x="1311"/>
        <item m="1" x="1220"/>
        <item x="348"/>
        <item x="352"/>
        <item x="353"/>
        <item m="1" x="1455"/>
        <item m="1" x="1113"/>
        <item x="354"/>
        <item x="355"/>
        <item x="356"/>
        <item x="357"/>
        <item m="1" x="1403"/>
        <item x="358"/>
        <item x="359"/>
        <item x="360"/>
        <item x="361"/>
        <item x="362"/>
        <item x="363"/>
        <item x="364"/>
        <item x="365"/>
        <item x="366"/>
        <item x="367"/>
        <item m="1" x="1114"/>
        <item x="368"/>
        <item x="369"/>
        <item x="370"/>
        <item x="371"/>
        <item x="372"/>
        <item x="373"/>
        <item m="1" x="1115"/>
        <item x="374"/>
        <item m="1" x="1367"/>
        <item x="375"/>
        <item x="376"/>
        <item m="1" x="1453"/>
        <item m="1" x="1198"/>
        <item x="377"/>
        <item x="378"/>
        <item m="1" x="1116"/>
        <item x="379"/>
        <item x="380"/>
        <item x="381"/>
        <item x="382"/>
        <item x="383"/>
        <item m="1" x="1117"/>
        <item m="1" x="1404"/>
        <item x="384"/>
        <item m="1" x="1271"/>
        <item m="1" x="1118"/>
        <item x="385"/>
        <item m="1" x="1221"/>
        <item m="1" x="1427"/>
        <item m="1" x="1222"/>
        <item x="386"/>
        <item m="1" x="1223"/>
        <item m="1" x="1272"/>
        <item m="1" x="1456"/>
        <item x="387"/>
        <item x="1009"/>
        <item m="1" x="1224"/>
        <item x="388"/>
        <item x="389"/>
        <item m="1" x="1184"/>
        <item x="390"/>
        <item m="1" x="1273"/>
        <item x="791"/>
        <item x="391"/>
        <item m="1" x="1119"/>
        <item x="392"/>
        <item m="1" x="1428"/>
        <item x="393"/>
        <item x="394"/>
        <item x="395"/>
        <item m="1" x="1190"/>
        <item m="1" x="1274"/>
        <item x="396"/>
        <item m="1" x="1429"/>
        <item m="1" x="1342"/>
        <item m="1" x="1430"/>
        <item x="397"/>
        <item x="398"/>
        <item m="1" x="1120"/>
        <item x="399"/>
        <item x="400"/>
        <item x="894"/>
        <item x="403"/>
        <item x="404"/>
        <item x="405"/>
        <item m="1" x="1225"/>
        <item x="406"/>
        <item x="407"/>
        <item m="1" x="1226"/>
        <item x="408"/>
        <item m="1" x="1227"/>
        <item x="409"/>
        <item m="1" x="1122"/>
        <item m="1" x="1123"/>
        <item x="410"/>
        <item x="411"/>
        <item x="412"/>
        <item x="413"/>
        <item m="1" x="1343"/>
        <item m="1" x="1228"/>
        <item x="414"/>
        <item x="415"/>
        <item x="958"/>
        <item m="1" x="1368"/>
        <item x="416"/>
        <item x="417"/>
        <item x="418"/>
        <item m="1" x="1501"/>
        <item m="1" x="1344"/>
        <item x="419"/>
        <item x="420"/>
        <item x="421"/>
        <item x="422"/>
        <item x="423"/>
        <item x="424"/>
        <item m="1" x="1443"/>
        <item x="973"/>
        <item x="425"/>
        <item m="1" x="1405"/>
        <item x="426"/>
        <item m="1" x="1445"/>
        <item x="427"/>
        <item m="1" x="1500"/>
        <item m="1" x="1124"/>
        <item x="428"/>
        <item m="1" x="1406"/>
        <item m="1" x="1407"/>
        <item m="1" x="1125"/>
        <item m="1" x="1444"/>
        <item x="429"/>
        <item x="430"/>
        <item m="1" x="1431"/>
        <item m="1" x="1275"/>
        <item x="431"/>
        <item m="1" x="1408"/>
        <item m="1" x="1229"/>
        <item x="432"/>
        <item x="678"/>
        <item m="1" x="1257"/>
        <item x="433"/>
        <item m="1" x="1345"/>
        <item x="434"/>
        <item m="1" x="1446"/>
        <item m="1" x="1276"/>
        <item x="696"/>
        <item m="1" x="1277"/>
        <item m="1" x="1126"/>
        <item m="1" x="1409"/>
        <item x="435"/>
        <item m="1" x="1127"/>
        <item x="1010"/>
        <item m="1" x="1314"/>
        <item x="436"/>
        <item x="437"/>
        <item x="438"/>
        <item x="846"/>
        <item m="1" x="1128"/>
        <item x="441"/>
        <item x="442"/>
        <item x="443"/>
        <item m="1" x="1130"/>
        <item m="1" x="1131"/>
        <item x="444"/>
        <item x="445"/>
        <item x="446"/>
        <item m="1" x="1132"/>
        <item m="1" x="1167"/>
        <item x="447"/>
        <item x="448"/>
        <item x="449"/>
        <item m="1" x="1279"/>
        <item x="680"/>
        <item m="1" x="1369"/>
        <item x="450"/>
        <item m="1" x="1410"/>
        <item m="1" x="1472"/>
        <item m="1" x="1231"/>
        <item m="1" x="1432"/>
        <item m="1" x="1232"/>
        <item x="451"/>
        <item x="452"/>
        <item x="453"/>
        <item m="1" x="1346"/>
        <item m="1" x="1466"/>
        <item m="1" x="1133"/>
        <item x="454"/>
        <item m="1" x="1134"/>
        <item x="455"/>
        <item x="456"/>
        <item x="457"/>
        <item x="458"/>
        <item m="1" x="1473"/>
        <item m="1" x="1315"/>
        <item m="1" x="1233"/>
        <item x="459"/>
        <item x="460"/>
        <item m="1" x="1135"/>
        <item m="1" x="1470"/>
        <item m="1" x="1467"/>
        <item x="461"/>
        <item m="1" x="1234"/>
        <item x="462"/>
        <item x="463"/>
        <item m="1" x="1481"/>
        <item x="464"/>
        <item m="1" x="1482"/>
        <item x="465"/>
        <item m="1" x="1483"/>
        <item x="466"/>
        <item x="467"/>
        <item x="468"/>
        <item x="469"/>
        <item m="1" x="1316"/>
        <item m="1" x="1477"/>
        <item m="1" x="1433"/>
        <item m="1" x="1136"/>
        <item x="470"/>
        <item m="1" x="1434"/>
        <item m="1" x="1478"/>
        <item m="1" x="1435"/>
        <item m="1" x="1137"/>
        <item m="1" x="1347"/>
        <item m="1" x="1138"/>
        <item x="471"/>
        <item m="1" x="1139"/>
        <item m="1" x="1468"/>
        <item x="472"/>
        <item m="1" x="1479"/>
        <item x="473"/>
        <item m="1" x="1140"/>
        <item x="474"/>
        <item x="475"/>
        <item m="1" x="1484"/>
        <item x="476"/>
        <item m="1" x="1370"/>
        <item x="477"/>
        <item m="1" x="1141"/>
        <item x="478"/>
        <item m="1" x="1469"/>
        <item x="479"/>
        <item m="1" x="1485"/>
        <item m="1" x="1411"/>
        <item m="1" x="1142"/>
        <item m="1" x="1436"/>
        <item x="953"/>
        <item m="1" x="1437"/>
        <item m="1" x="1371"/>
        <item m="1" x="1372"/>
        <item x="480"/>
        <item x="481"/>
        <item m="1" x="1373"/>
        <item m="1" x="1143"/>
        <item x="482"/>
        <item x="697"/>
        <item m="1" x="1144"/>
        <item m="1" x="1280"/>
        <item m="1" x="1438"/>
        <item m="1" x="1412"/>
        <item m="1" x="1374"/>
        <item m="1" x="1375"/>
        <item x="483"/>
        <item x="484"/>
        <item m="1" x="1281"/>
        <item m="1" x="1235"/>
        <item x="485"/>
        <item x="1026"/>
        <item m="1" x="1145"/>
        <item x="486"/>
        <item x="487"/>
        <item m="1" x="1146"/>
        <item x="488"/>
        <item m="1" x="1348"/>
        <item m="1" x="1147"/>
        <item x="489"/>
        <item x="490"/>
        <item x="491"/>
        <item m="1" x="1282"/>
        <item m="1" x="1148"/>
        <item m="1" x="1236"/>
        <item x="493"/>
        <item m="1" x="1237"/>
        <item x="1012"/>
        <item x="494"/>
        <item m="1" x="1149"/>
        <item x="495"/>
        <item x="496"/>
        <item x="497"/>
        <item m="1" x="1439"/>
        <item x="498"/>
        <item x="499"/>
        <item x="500"/>
        <item x="501"/>
        <item x="620"/>
        <item x="502"/>
        <item x="503"/>
        <item x="504"/>
        <item x="505"/>
        <item x="506"/>
        <item x="507"/>
        <item x="508"/>
        <item x="509"/>
        <item x="681"/>
        <item x="510"/>
        <item x="511"/>
        <item x="512"/>
        <item m="1" x="1440"/>
        <item x="513"/>
        <item x="514"/>
        <item x="515"/>
        <item m="1" x="1441"/>
        <item x="516"/>
        <item m="1" x="1245"/>
        <item x="517"/>
        <item x="518"/>
        <item m="1" x="1150"/>
        <item x="519"/>
        <item m="1" x="1480"/>
        <item m="1" x="1475"/>
        <item x="520"/>
        <item x="521"/>
        <item m="1" x="1413"/>
        <item m="1" x="1318"/>
        <item x="522"/>
        <item x="1028"/>
        <item m="1" x="1414"/>
        <item x="661"/>
        <item x="524"/>
        <item x="525"/>
        <item x="526"/>
        <item m="1" x="1283"/>
        <item x="527"/>
        <item x="528"/>
        <item x="975"/>
        <item m="1" x="1349"/>
        <item m="1" x="1319"/>
        <item x="529"/>
        <item x="530"/>
        <item x="531"/>
        <item m="1" x="1238"/>
        <item x="532"/>
        <item x="533"/>
        <item x="534"/>
        <item x="535"/>
        <item x="536"/>
        <item x="537"/>
        <item m="1" x="1246"/>
        <item m="1" x="1239"/>
        <item x="538"/>
        <item x="539"/>
        <item x="540"/>
        <item x="541"/>
        <item x="542"/>
        <item x="543"/>
        <item x="544"/>
        <item m="1" x="1152"/>
        <item m="1" x="1153"/>
        <item m="1" x="1442"/>
        <item m="1" x="1154"/>
        <item m="1" x="1155"/>
        <item x="545"/>
        <item m="1" x="1156"/>
        <item x="546"/>
        <item x="547"/>
        <item x="548"/>
        <item x="549"/>
        <item x="550"/>
        <item x="551"/>
        <item x="552"/>
        <item m="1" x="1320"/>
        <item m="1" x="1157"/>
        <item x="553"/>
        <item m="1" x="1253"/>
        <item x="554"/>
        <item x="555"/>
        <item x="895"/>
        <item x="976"/>
        <item x="556"/>
        <item m="1" x="1284"/>
        <item x="557"/>
        <item x="558"/>
        <item x="559"/>
        <item x="560"/>
        <item x="561"/>
        <item m="1" x="1415"/>
        <item m="1" x="1350"/>
        <item m="1" x="1158"/>
        <item m="1" x="1159"/>
        <item x="562"/>
        <item m="1" x="1285"/>
        <item x="563"/>
        <item x="564"/>
        <item x="565"/>
        <item x="566"/>
        <item m="1" x="1378"/>
        <item x="567"/>
        <item x="568"/>
        <item x="569"/>
        <item x="570"/>
        <item x="571"/>
        <item x="572"/>
        <item m="1" x="1160"/>
        <item x="573"/>
        <item x="574"/>
        <item x="575"/>
        <item x="577"/>
        <item m="1" x="1379"/>
        <item m="1" x="1380"/>
        <item x="582"/>
        <item x="583"/>
        <item m="1" x="1161"/>
        <item x="585"/>
        <item x="586"/>
        <item x="587"/>
        <item m="1" x="1240"/>
        <item x="594"/>
        <item m="1" x="1286"/>
        <item m="1" x="1289"/>
        <item m="1" x="1290"/>
        <item x="26"/>
        <item m="1" x="1260"/>
        <item m="1" x="1200"/>
        <item m="1" x="1041"/>
        <item x="27"/>
        <item m="1" x="1249"/>
        <item m="1" x="1291"/>
        <item x="28"/>
        <item x="29"/>
        <item x="69"/>
        <item m="1" x="1047"/>
        <item x="70"/>
        <item x="71"/>
        <item x="72"/>
        <item x="125"/>
        <item m="1" x="1052"/>
        <item x="600"/>
        <item x="126"/>
        <item x="163"/>
        <item x="167"/>
        <item m="1" x="1070"/>
        <item m="1" x="1210"/>
        <item x="192"/>
        <item x="234"/>
        <item m="1" x="1299"/>
        <item m="1" x="1300"/>
        <item m="1" x="1306"/>
        <item m="1" x="1309"/>
        <item x="347"/>
        <item x="349"/>
        <item x="350"/>
        <item m="1" x="1244"/>
        <item m="1" x="1312"/>
        <item x="658"/>
        <item m="1" x="1112"/>
        <item x="351"/>
        <item x="401"/>
        <item x="676"/>
        <item m="1" x="1121"/>
        <item m="1" x="1313"/>
        <item x="439"/>
        <item m="1" x="1278"/>
        <item m="1" x="1230"/>
        <item m="1" x="1129"/>
        <item x="440"/>
        <item m="1" x="1317"/>
        <item x="492"/>
        <item x="523"/>
        <item m="1" x="1151"/>
        <item x="576"/>
        <item x="578"/>
        <item x="584"/>
        <item x="588"/>
        <item x="734"/>
        <item x="589"/>
        <item x="590"/>
        <item x="591"/>
        <item x="605"/>
        <item x="592"/>
        <item x="593"/>
        <item m="1" x="1241"/>
        <item m="1" x="1162"/>
        <item x="608"/>
        <item x="595"/>
        <item m="1" x="1164"/>
        <item x="30"/>
        <item x="31"/>
        <item m="1" x="1201"/>
        <item m="1" x="1267"/>
        <item x="193"/>
        <item m="1" x="1214"/>
        <item x="235"/>
        <item m="1" x="1085"/>
        <item m="1" x="1094"/>
        <item m="1" x="1095"/>
        <item m="1" x="1215"/>
        <item x="402"/>
        <item x="579"/>
        <item x="580"/>
        <item x="581"/>
        <item m="1" x="1163"/>
        <item x="596"/>
        <item x="597"/>
        <item m="1" x="1242"/>
        <item x="598"/>
        <item x="599"/>
        <item m="1" x="1165"/>
        <item x="601"/>
        <item m="1" x="1166"/>
        <item x="602"/>
        <item m="1" x="1168"/>
        <item m="1" x="1243"/>
        <item x="603"/>
        <item x="604"/>
        <item m="1" x="1169"/>
        <item x="606"/>
        <item x="607"/>
        <item m="1" x="1170"/>
        <item m="1" x="1171"/>
        <item m="1" x="1172"/>
        <item m="1" x="1247"/>
        <item x="609"/>
        <item x="610"/>
        <item x="611"/>
        <item x="977"/>
        <item x="613"/>
        <item x="614"/>
        <item m="1" x="1173"/>
        <item x="615"/>
        <item m="1" x="1174"/>
        <item x="981"/>
        <item x="616"/>
        <item x="617"/>
        <item x="618"/>
        <item m="1" x="1175"/>
        <item m="1" x="1248"/>
        <item m="1" x="1250"/>
        <item m="1" x="1251"/>
        <item m="1" x="1176"/>
        <item m="1" x="1252"/>
        <item x="817"/>
        <item x="619"/>
        <item x="621"/>
        <item m="1" x="1254"/>
        <item m="1" x="1178"/>
        <item m="1" x="1179"/>
        <item m="1" x="1255"/>
        <item x="622"/>
        <item x="623"/>
        <item m="1" x="1181"/>
        <item x="625"/>
        <item x="626"/>
        <item x="627"/>
        <item x="628"/>
        <item m="1" x="1185"/>
        <item x="629"/>
        <item m="1" x="1186"/>
        <item m="1" x="1187"/>
        <item m="1" x="1188"/>
        <item x="630"/>
        <item x="631"/>
        <item x="632"/>
        <item m="1" x="1191"/>
        <item m="1" x="1192"/>
        <item m="1" x="1193"/>
        <item x="679"/>
        <item m="1" x="1194"/>
        <item x="633"/>
        <item x="634"/>
        <item m="1" x="1195"/>
        <item x="635"/>
        <item x="636"/>
        <item x="637"/>
        <item x="639"/>
        <item x="641"/>
        <item x="642"/>
        <item x="643"/>
        <item x="645"/>
        <item x="646"/>
        <item x="647"/>
        <item x="648"/>
        <item x="649"/>
        <item x="650"/>
        <item x="651"/>
        <item x="652"/>
        <item x="653"/>
        <item x="655"/>
        <item x="656"/>
        <item x="657"/>
        <item x="659"/>
        <item x="660"/>
        <item x="662"/>
        <item x="663"/>
        <item x="664"/>
        <item x="665"/>
        <item x="666"/>
        <item x="667"/>
        <item x="668"/>
        <item x="669"/>
        <item x="671"/>
        <item x="672"/>
        <item x="675"/>
        <item x="677"/>
        <item x="682"/>
        <item x="683"/>
        <item x="684"/>
        <item x="685"/>
        <item x="686"/>
        <item x="687"/>
        <item x="688"/>
        <item x="689"/>
        <item x="690"/>
        <item x="691"/>
        <item x="695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4"/>
        <item x="955"/>
        <item x="956"/>
        <item x="957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1"/>
        <item x="972"/>
        <item x="974"/>
        <item x="978"/>
        <item x="979"/>
        <item x="980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7"/>
        <item x="1008"/>
        <item x="1011"/>
        <item x="1013"/>
        <item x="1014"/>
        <item x="1015"/>
        <item x="1016"/>
        <item x="1017"/>
        <item x="1018"/>
        <item x="1021"/>
        <item x="1023"/>
        <item x="1024"/>
        <item x="1027"/>
        <item x="1029"/>
        <item x="1030"/>
        <item x="1031"/>
        <item x="1032"/>
        <item t="default"/>
      </items>
    </pivotField>
    <pivotField axis="axisRow" compact="0" outline="0" showAll="0">
      <items count="1466">
        <item x="184"/>
        <item m="1" x="1393"/>
        <item m="1" x="1037"/>
        <item x="150"/>
        <item x="804"/>
        <item m="1" x="1034"/>
        <item m="1" x="1035"/>
        <item x="1000"/>
        <item x="64"/>
        <item x="51"/>
        <item x="207"/>
        <item x="446"/>
        <item x="100"/>
        <item x="998"/>
        <item x="151"/>
        <item m="1" x="1060"/>
        <item m="1" x="1415"/>
        <item x="203"/>
        <item x="223"/>
        <item x="518"/>
        <item x="181"/>
        <item x="177"/>
        <item m="1" x="1050"/>
        <item m="1" x="1108"/>
        <item x="352"/>
        <item x="415"/>
        <item x="103"/>
        <item x="235"/>
        <item x="256"/>
        <item m="1" x="1038"/>
        <item x="212"/>
        <item x="93"/>
        <item x="365"/>
        <item m="1" x="1017"/>
        <item m="1" x="1369"/>
        <item x="14"/>
        <item m="1" x="1400"/>
        <item m="1" x="1062"/>
        <item x="119"/>
        <item x="258"/>
        <item m="1" x="1418"/>
        <item x="134"/>
        <item m="1" x="1191"/>
        <item x="238"/>
        <item x="122"/>
        <item m="1" x="1410"/>
        <item m="1" x="1463"/>
        <item m="1" x="1055"/>
        <item x="228"/>
        <item m="1" x="1067"/>
        <item m="1" x="1298"/>
        <item x="116"/>
        <item x="261"/>
        <item m="1" x="1093"/>
        <item x="59"/>
        <item x="153"/>
        <item m="1" x="1457"/>
        <item m="1" x="1347"/>
        <item x="551"/>
        <item x="146"/>
        <item x="249"/>
        <item x="242"/>
        <item m="1" x="1039"/>
        <item m="1" x="1069"/>
        <item x="537"/>
        <item x="552"/>
        <item x="564"/>
        <item m="1" x="1135"/>
        <item x="383"/>
        <item x="152"/>
        <item x="52"/>
        <item x="357"/>
        <item x="253"/>
        <item m="1" x="1229"/>
        <item m="1" x="1362"/>
        <item x="502"/>
        <item x="362"/>
        <item x="231"/>
        <item x="682"/>
        <item x="269"/>
        <item m="1" x="1413"/>
        <item x="413"/>
        <item m="1" x="1167"/>
        <item x="88"/>
        <item x="248"/>
        <item m="1" x="1238"/>
        <item m="1" x="1190"/>
        <item x="358"/>
        <item x="507"/>
        <item m="1" x="1166"/>
        <item x="192"/>
        <item x="379"/>
        <item x="424"/>
        <item m="1" x="1364"/>
        <item m="1" x="1366"/>
        <item m="1" x="1365"/>
        <item m="1" x="1101"/>
        <item x="129"/>
        <item m="1" x="1169"/>
        <item x="221"/>
        <item x="492"/>
        <item m="1" x="1294"/>
        <item x="73"/>
        <item m="1" x="1199"/>
        <item x="445"/>
        <item x="951"/>
        <item m="1" x="1172"/>
        <item x="66"/>
        <item m="1" x="1420"/>
        <item x="447"/>
        <item x="410"/>
        <item m="1" x="1391"/>
        <item m="1" x="1274"/>
        <item x="91"/>
        <item x="629"/>
        <item x="423"/>
        <item m="1" x="1431"/>
        <item x="289"/>
        <item m="1" x="1032"/>
        <item x="112"/>
        <item m="1" x="1192"/>
        <item x="369"/>
        <item x="78"/>
        <item m="1" x="1230"/>
        <item x="128"/>
        <item x="84"/>
        <item x="698"/>
        <item x="448"/>
        <item m="1" x="1268"/>
        <item x="255"/>
        <item x="513"/>
        <item x="342"/>
        <item x="222"/>
        <item x="519"/>
        <item x="54"/>
        <item x="57"/>
        <item x="660"/>
        <item x="451"/>
        <item x="98"/>
        <item m="1" x="1141"/>
        <item x="44"/>
        <item x="435"/>
        <item x="5"/>
        <item m="1" x="1107"/>
        <item x="438"/>
        <item x="491"/>
        <item x="139"/>
        <item x="230"/>
        <item x="486"/>
        <item x="56"/>
        <item x="34"/>
        <item x="208"/>
        <item x="60"/>
        <item x="441"/>
        <item x="500"/>
        <item m="1" x="1299"/>
        <item x="501"/>
        <item m="1" x="1094"/>
        <item x="367"/>
        <item x="102"/>
        <item x="99"/>
        <item x="82"/>
        <item x="421"/>
        <item m="1" x="1024"/>
        <item x="349"/>
        <item x="39"/>
        <item x="38"/>
        <item m="1" x="1043"/>
        <item x="174"/>
        <item m="1" x="1378"/>
        <item m="1" x="1181"/>
        <item m="1" x="1073"/>
        <item m="1" x="1351"/>
        <item m="1" x="1458"/>
        <item m="1" x="1078"/>
        <item x="327"/>
        <item x="425"/>
        <item m="1" x="1042"/>
        <item m="1" x="1243"/>
        <item m="1" x="1080"/>
        <item x="218"/>
        <item m="1" x="1300"/>
        <item x="1"/>
        <item m="1" x="1126"/>
        <item x="333"/>
        <item x="574"/>
        <item x="402"/>
        <item m="1" x="1348"/>
        <item m="1" x="1295"/>
        <item x="173"/>
        <item m="1" x="1349"/>
        <item x="141"/>
        <item x="329"/>
        <item x="478"/>
        <item x="337"/>
        <item m="1" x="1044"/>
        <item m="1" x="1328"/>
        <item m="1" x="1332"/>
        <item m="1" x="1408"/>
        <item m="1" x="1338"/>
        <item x="313"/>
        <item m="1" x="1072"/>
        <item x="324"/>
        <item m="1" x="1116"/>
        <item x="473"/>
        <item m="1" x="1412"/>
        <item m="1" x="1386"/>
        <item x="20"/>
        <item x="284"/>
        <item m="1" x="1358"/>
        <item x="202"/>
        <item x="303"/>
        <item m="1" x="1133"/>
        <item x="286"/>
        <item x="175"/>
        <item x="529"/>
        <item m="1" x="1359"/>
        <item x="276"/>
        <item x="187"/>
        <item m="1" x="1251"/>
        <item x="563"/>
        <item x="398"/>
        <item m="1" x="1114"/>
        <item m="1" x="1429"/>
        <item x="220"/>
        <item m="1" x="1195"/>
        <item x="525"/>
        <item m="1" x="1048"/>
        <item x="671"/>
        <item x="297"/>
        <item m="1" x="1360"/>
        <item x="15"/>
        <item m="1" x="1394"/>
        <item x="350"/>
        <item m="1" x="1280"/>
        <item x="24"/>
        <item x="467"/>
        <item x="687"/>
        <item x="277"/>
        <item x="315"/>
        <item x="534"/>
        <item x="545"/>
        <item x="205"/>
        <item x="338"/>
        <item x="394"/>
        <item x="535"/>
        <item x="538"/>
        <item x="539"/>
        <item m="1" x="1395"/>
        <item m="1" x="1372"/>
        <item x="553"/>
        <item m="1" x="1293"/>
        <item m="1" x="1235"/>
        <item m="1" x="1052"/>
        <item x="541"/>
        <item m="1" x="1336"/>
        <item m="1" x="1459"/>
        <item m="1" x="1344"/>
        <item m="1" x="1436"/>
        <item x="577"/>
        <item x="10"/>
        <item m="1" x="1379"/>
        <item m="1" x="1389"/>
        <item m="1" x="1282"/>
        <item m="1" x="1041"/>
        <item x="472"/>
        <item m="1" x="1388"/>
        <item x="544"/>
        <item m="1" x="1428"/>
        <item x="7"/>
        <item x="204"/>
        <item x="334"/>
        <item m="1" x="1451"/>
        <item m="1" x="1075"/>
        <item m="1" x="1425"/>
        <item x="388"/>
        <item m="1" x="1373"/>
        <item m="1" x="1460"/>
        <item x="474"/>
        <item m="1" x="1398"/>
        <item x="684"/>
        <item x="302"/>
        <item m="1" x="1430"/>
        <item x="481"/>
        <item x="522"/>
        <item x="323"/>
        <item m="1" x="1287"/>
        <item m="1" x="1411"/>
        <item x="390"/>
        <item x="157"/>
        <item x="314"/>
        <item m="1" x="1314"/>
        <item x="586"/>
        <item x="18"/>
        <item m="1" x="1112"/>
        <item m="1" x="1370"/>
        <item m="1" x="1307"/>
        <item x="293"/>
        <item x="391"/>
        <item m="1" x="1059"/>
        <item m="1" x="1089"/>
        <item m="1" x="1187"/>
        <item x="459"/>
        <item x="331"/>
        <item x="465"/>
        <item m="1" x="1246"/>
        <item x="934"/>
        <item x="287"/>
        <item m="1" x="1259"/>
        <item m="1" x="1438"/>
        <item x="462"/>
        <item x="469"/>
        <item m="1" x="1317"/>
        <item x="515"/>
        <item x="332"/>
        <item x="550"/>
        <item x="562"/>
        <item m="1" x="1449"/>
        <item x="189"/>
        <item x="47"/>
        <item m="1" x="1416"/>
        <item m="1" x="1186"/>
        <item x="683"/>
        <item m="1" x="1350"/>
        <item x="360"/>
        <item x="6"/>
        <item x="309"/>
        <item m="1" x="1201"/>
        <item x="460"/>
        <item m="1" x="1113"/>
        <item m="1" x="1255"/>
        <item x="211"/>
        <item x="224"/>
        <item x="298"/>
        <item x="171"/>
        <item x="278"/>
        <item x="557"/>
        <item x="543"/>
        <item x="575"/>
        <item m="1" x="1153"/>
        <item m="1" x="1074"/>
        <item m="1" x="1439"/>
        <item x="701"/>
        <item m="1" x="1310"/>
        <item x="483"/>
        <item x="431"/>
        <item x="13"/>
        <item x="1004"/>
        <item m="1" x="1456"/>
        <item m="1" x="1407"/>
        <item m="1" x="1335"/>
        <item x="172"/>
        <item x="225"/>
        <item x="335"/>
        <item x="981"/>
        <item x="373"/>
        <item m="1" x="1313"/>
        <item x="186"/>
        <item x="195"/>
        <item x="526"/>
        <item m="1" x="1296"/>
        <item m="1" x="1254"/>
        <item x="17"/>
        <item x="540"/>
        <item m="1" x="1339"/>
        <item m="1" x="1205"/>
        <item m="1" x="1206"/>
        <item m="1" x="1128"/>
        <item m="1" x="1136"/>
        <item x="3"/>
        <item m="1" x="1284"/>
        <item x="281"/>
        <item m="1" x="1318"/>
        <item x="1001"/>
        <item m="1" x="1057"/>
        <item m="1" x="1053"/>
        <item x="320"/>
        <item m="1" x="1096"/>
        <item x="216"/>
        <item x="8"/>
        <item x="542"/>
        <item x="554"/>
        <item x="63"/>
        <item m="1" x="1432"/>
        <item x="523"/>
        <item m="1" x="1286"/>
        <item x="547"/>
        <item m="1" x="1385"/>
        <item x="198"/>
        <item x="631"/>
        <item x="167"/>
        <item m="1" x="1381"/>
        <item x="243"/>
        <item x="168"/>
        <item m="1" x="1454"/>
        <item x="246"/>
        <item x="135"/>
        <item m="1" x="1352"/>
        <item m="1" x="1151"/>
        <item x="36"/>
        <item x="35"/>
        <item m="1" x="1376"/>
        <item x="251"/>
        <item x="76"/>
        <item x="604"/>
        <item m="1" x="1461"/>
        <item x="408"/>
        <item x="197"/>
        <item x="250"/>
        <item m="1" x="1422"/>
        <item m="1" x="1064"/>
        <item x="169"/>
        <item m="1" x="1265"/>
        <item x="170"/>
        <item x="136"/>
        <item x="199"/>
        <item x="411"/>
        <item m="1" x="1331"/>
        <item x="133"/>
        <item m="1" x="1322"/>
        <item x="2"/>
        <item m="1" x="1447"/>
        <item x="161"/>
        <item x="132"/>
        <item m="1" x="1241"/>
        <item m="1" x="1180"/>
        <item m="1" x="1132"/>
        <item x="957"/>
        <item x="995"/>
        <item m="1" x="1405"/>
        <item m="1" x="1321"/>
        <item x="731"/>
        <item x="45"/>
        <item x="183"/>
        <item x="386"/>
        <item m="1" x="1333"/>
        <item m="1" x="1129"/>
        <item x="178"/>
        <item m="1" x="1149"/>
        <item x="463"/>
        <item x="158"/>
        <item x="530"/>
        <item x="533"/>
        <item x="664"/>
        <item m="1" x="1084"/>
        <item m="1" x="1013"/>
        <item x="274"/>
        <item x="455"/>
        <item x="834"/>
        <item x="430"/>
        <item x="244"/>
        <item m="1" x="1306"/>
        <item m="1" x="1304"/>
        <item x="299"/>
        <item x="160"/>
        <item m="1" x="1120"/>
        <item m="1" x="1297"/>
        <item m="1" x="1312"/>
        <item m="1" x="1095"/>
        <item m="1" x="1016"/>
        <item x="546"/>
        <item x="566"/>
        <item m="1" x="1289"/>
        <item m="1" x="1353"/>
        <item m="1" x="1130"/>
        <item x="406"/>
        <item x="294"/>
        <item m="1" x="1122"/>
        <item m="1" x="1131"/>
        <item x="310"/>
        <item m="1" x="1396"/>
        <item x="511"/>
        <item x="476"/>
        <item x="280"/>
        <item x="663"/>
        <item x="0"/>
        <item m="1" x="1437"/>
        <item m="1" x="1334"/>
        <item x="322"/>
        <item x="512"/>
        <item m="1" x="1423"/>
        <item m="1" x="1121"/>
        <item x="312"/>
        <item m="1" x="1111"/>
        <item x="549"/>
        <item m="1" x="1409"/>
        <item x="273"/>
        <item x="532"/>
        <item m="1" x="1252"/>
        <item m="1" x="1117"/>
        <item x="285"/>
        <item m="1" x="1194"/>
        <item m="1" x="1288"/>
        <item m="1" x="1426"/>
        <item m="1" x="1440"/>
        <item x="226"/>
        <item m="1" x="1403"/>
        <item x="559"/>
        <item x="879"/>
        <item x="179"/>
        <item x="468"/>
        <item x="330"/>
        <item m="1" x="1450"/>
        <item x="561"/>
        <item m="1" x="1273"/>
        <item m="1" x="1058"/>
        <item x="475"/>
        <item x="295"/>
        <item m="1" x="1271"/>
        <item x="300"/>
        <item m="1" x="1397"/>
        <item x="336"/>
        <item m="1" x="1014"/>
        <item x="555"/>
        <item x="344"/>
        <item x="387"/>
        <item x="291"/>
        <item x="651"/>
        <item m="1" x="1402"/>
        <item m="1" x="1272"/>
        <item m="1" x="1012"/>
        <item x="393"/>
        <item x="319"/>
        <item x="434"/>
        <item m="1" x="1390"/>
        <item x="1005"/>
        <item m="1" x="1226"/>
        <item x="749"/>
        <item x="458"/>
        <item m="1" x="1168"/>
        <item x="456"/>
        <item x="471"/>
        <item x="531"/>
        <item x="569"/>
        <item x="536"/>
        <item m="1" x="1103"/>
        <item m="1" x="1441"/>
        <item m="1" x="1115"/>
        <item x="477"/>
        <item m="1" x="1049"/>
        <item x="983"/>
        <item x="321"/>
        <item m="1" x="1022"/>
        <item m="1" x="1102"/>
        <item x="305"/>
        <item m="1" x="1404"/>
        <item x="210"/>
        <item m="1" x="1464"/>
        <item m="1" x="1264"/>
        <item m="1" x="1302"/>
        <item x="920"/>
        <item x="466"/>
        <item x="738"/>
        <item x="185"/>
        <item m="1" x="1375"/>
        <item m="1" x="1248"/>
        <item m="1" x="1134"/>
        <item x="565"/>
        <item m="1" x="1315"/>
        <item m="1" x="1442"/>
        <item m="1" x="1076"/>
        <item x="686"/>
        <item x="527"/>
        <item m="1" x="1343"/>
        <item x="340"/>
        <item x="22"/>
        <item m="1" x="1118"/>
        <item m="1" x="1031"/>
        <item x="548"/>
        <item x="140"/>
        <item m="1" x="1421"/>
        <item x="292"/>
        <item x="635"/>
        <item x="318"/>
        <item m="1" x="1434"/>
        <item x="19"/>
        <item m="1" x="1435"/>
        <item x="482"/>
        <item m="1" x="1119"/>
        <item m="1" x="1212"/>
        <item x="432"/>
        <item x="470"/>
        <item x="395"/>
        <item m="1" x="1056"/>
        <item x="40"/>
        <item m="1" x="1323"/>
        <item m="1" x="1443"/>
        <item m="1" x="1371"/>
        <item m="1" x="1290"/>
        <item m="1" x="1154"/>
        <item x="209"/>
        <item x="213"/>
        <item x="558"/>
        <item m="1" x="1178"/>
        <item m="1" x="1232"/>
        <item x="556"/>
        <item m="1" x="1045"/>
        <item x="428"/>
        <item x="311"/>
        <item m="1" x="1237"/>
        <item x="214"/>
        <item x="503"/>
        <item x="304"/>
        <item m="1" x="1087"/>
        <item m="1" x="1236"/>
        <item x="392"/>
        <item m="1" x="1316"/>
        <item x="989"/>
        <item x="339"/>
        <item m="1" x="1175"/>
        <item m="1" x="1377"/>
        <item m="1" x="1185"/>
        <item m="1" x="1433"/>
        <item x="843"/>
        <item m="1" x="1384"/>
        <item x="308"/>
        <item m="1" x="1077"/>
        <item m="1" x="1083"/>
        <item x="326"/>
        <item x="180"/>
        <item x="702"/>
        <item m="1" x="1098"/>
        <item x="510"/>
        <item m="1" x="1326"/>
        <item m="1" x="1202"/>
        <item x="399"/>
        <item m="1" x="1303"/>
        <item x="328"/>
        <item m="1" x="1305"/>
        <item m="1" x="1176"/>
        <item x="11"/>
        <item x="901"/>
        <item x="429"/>
        <item x="480"/>
        <item x="21"/>
        <item x="514"/>
        <item m="1" x="1327"/>
        <item x="215"/>
        <item m="1" x="1319"/>
        <item x="196"/>
        <item x="464"/>
        <item x="528"/>
        <item x="560"/>
        <item m="1" x="1079"/>
        <item x="427"/>
        <item x="412"/>
        <item m="1" x="1213"/>
        <item x="296"/>
        <item m="1" x="1086"/>
        <item x="282"/>
        <item m="1" x="1051"/>
        <item m="1" x="1081"/>
        <item x="306"/>
        <item x="275"/>
        <item m="1" x="1160"/>
        <item x="348"/>
        <item m="1" x="1368"/>
        <item m="1" x="1448"/>
        <item m="1" x="1233"/>
        <item m="1" x="1247"/>
        <item m="1" x="1015"/>
        <item x="366"/>
        <item m="1" x="1380"/>
        <item m="1" x="1099"/>
        <item m="1" x="1342"/>
        <item x="301"/>
        <item x="372"/>
        <item m="1" x="1082"/>
        <item m="1" x="1406"/>
        <item x="279"/>
        <item m="1" x="1223"/>
        <item x="389"/>
        <item m="1" x="1220"/>
        <item x="307"/>
        <item x="317"/>
        <item x="283"/>
        <item x="188"/>
        <item x="316"/>
        <item x="457"/>
        <item m="1" x="1123"/>
        <item m="1" x="1177"/>
        <item x="325"/>
        <item x="1007"/>
        <item m="1" x="1401"/>
        <item x="245"/>
        <item m="1" x="1124"/>
        <item x="524"/>
        <item x="509"/>
        <item x="46"/>
        <item x="939"/>
        <item m="1" x="1325"/>
        <item m="1" x="1204"/>
        <item x="155"/>
        <item x="404"/>
        <item m="1" x="1090"/>
        <item x="363"/>
        <item x="403"/>
        <item x="405"/>
        <item x="200"/>
        <item x="201"/>
        <item x="117"/>
        <item m="1" x="1085"/>
        <item m="1" x="1383"/>
        <item x="61"/>
        <item x="479"/>
        <item m="1" x="1066"/>
        <item m="1" x="1245"/>
        <item m="1" x="1018"/>
        <item m="1" x="1311"/>
        <item x="176"/>
        <item m="1" x="1200"/>
        <item m="1" x="1392"/>
        <item x="75"/>
        <item x="407"/>
        <item x="206"/>
        <item x="444"/>
        <item x="520"/>
        <item x="440"/>
        <item m="1" x="1291"/>
        <item m="1" x="1419"/>
        <item x="878"/>
        <item m="1" x="1109"/>
        <item m="1" x="1262"/>
        <item x="378"/>
        <item x="417"/>
        <item m="1" x="1023"/>
        <item x="494"/>
        <item m="1" x="1356"/>
        <item m="1" x="1207"/>
        <item x="354"/>
        <item x="341"/>
        <item m="1" x="1040"/>
        <item x="229"/>
        <item x="114"/>
        <item x="401"/>
        <item x="422"/>
        <item x="668"/>
        <item x="42"/>
        <item x="374"/>
        <item x="120"/>
        <item x="449"/>
        <item m="1" x="1281"/>
        <item m="1" x="1301"/>
        <item x="115"/>
        <item x="567"/>
        <item x="81"/>
        <item x="16"/>
        <item x="954"/>
        <item m="1" x="1446"/>
        <item x="37"/>
        <item x="58"/>
        <item x="53"/>
        <item x="106"/>
        <item x="79"/>
        <item m="1" x="1249"/>
        <item x="498"/>
        <item x="77"/>
        <item m="1" x="1091"/>
        <item x="86"/>
        <item x="239"/>
        <item x="351"/>
        <item x="164"/>
        <item x="267"/>
        <item m="1" x="1399"/>
        <item m="1" x="1125"/>
        <item x="85"/>
        <item x="247"/>
        <item x="612"/>
        <item x="123"/>
        <item x="956"/>
        <item x="489"/>
        <item x="461"/>
        <item m="1" x="1065"/>
        <item x="488"/>
        <item m="1" x="1026"/>
        <item x="517"/>
        <item m="1" x="1240"/>
        <item x="193"/>
        <item x="263"/>
        <item m="1" x="1231"/>
        <item x="262"/>
        <item x="145"/>
        <item m="1" x="1452"/>
        <item x="416"/>
        <item x="33"/>
        <item m="1" x="1346"/>
        <item m="1" x="1188"/>
        <item x="97"/>
        <item x="67"/>
        <item x="50"/>
        <item x="80"/>
        <item x="130"/>
        <item x="137"/>
        <item m="1" x="1027"/>
        <item m="1" x="1092"/>
        <item x="497"/>
        <item x="143"/>
        <item x="240"/>
        <item x="94"/>
        <item x="101"/>
        <item x="798"/>
        <item x="384"/>
        <item x="149"/>
        <item x="131"/>
        <item m="1" x="1106"/>
        <item x="148"/>
        <item x="62"/>
        <item x="382"/>
        <item x="493"/>
        <item x="104"/>
        <item x="9"/>
        <item x="832"/>
        <item m="1" x="1285"/>
        <item x="259"/>
        <item x="126"/>
        <item m="1" x="1427"/>
        <item x="414"/>
        <item x="442"/>
        <item x="370"/>
        <item m="1" x="1173"/>
        <item m="1" x="1029"/>
        <item x="111"/>
        <item m="1" x="1210"/>
        <item x="113"/>
        <item x="41"/>
        <item x="4"/>
        <item x="25"/>
        <item x="377"/>
        <item m="1" x="1329"/>
        <item x="43"/>
        <item x="110"/>
        <item m="1" x="1357"/>
        <item m="1" x="1263"/>
        <item m="1" x="1021"/>
        <item m="1" x="1047"/>
        <item x="409"/>
        <item x="353"/>
        <item x="988"/>
        <item x="95"/>
        <item x="355"/>
        <item x="443"/>
        <item m="1" x="1063"/>
        <item m="1" x="1068"/>
        <item x="495"/>
        <item x="359"/>
        <item x="265"/>
        <item x="376"/>
        <item m="1" x="1414"/>
        <item m="1" x="1453"/>
        <item x="426"/>
        <item m="1" x="1104"/>
        <item x="266"/>
        <item x="165"/>
        <item x="96"/>
        <item x="288"/>
        <item m="1" x="1033"/>
        <item m="1" x="1382"/>
        <item x="496"/>
        <item x="163"/>
        <item m="1" x="1193"/>
        <item x="92"/>
        <item x="109"/>
        <item m="1" x="1354"/>
        <item m="1" x="1341"/>
        <item x="400"/>
        <item x="23"/>
        <item x="236"/>
        <item x="194"/>
        <item x="364"/>
        <item x="49"/>
        <item x="144"/>
        <item x="984"/>
        <item m="1" x="1242"/>
        <item x="32"/>
        <item x="380"/>
        <item m="1" x="1337"/>
        <item x="234"/>
        <item m="1" x="1320"/>
        <item x="219"/>
        <item m="1" x="1361"/>
        <item x="506"/>
        <item x="237"/>
        <item m="1" x="1417"/>
        <item x="454"/>
        <item x="138"/>
        <item x="127"/>
        <item x="121"/>
        <item x="290"/>
        <item x="217"/>
        <item m="1" x="1292"/>
        <item x="670"/>
        <item x="579"/>
        <item m="1" x="1345"/>
        <item m="1" x="1182"/>
        <item x="271"/>
        <item x="159"/>
        <item x="264"/>
        <item x="69"/>
        <item x="368"/>
        <item x="439"/>
        <item m="1" x="1110"/>
        <item x="420"/>
        <item m="1" x="1100"/>
        <item m="1" x="1260"/>
        <item x="147"/>
        <item x="105"/>
        <item m="1" x="1028"/>
        <item x="450"/>
        <item m="1" x="1054"/>
        <item x="985"/>
        <item x="233"/>
        <item x="227"/>
        <item x="260"/>
        <item x="83"/>
        <item m="1" x="1174"/>
        <item m="1" x="1340"/>
        <item m="1" x="1203"/>
        <item x="68"/>
        <item m="1" x="1224"/>
        <item x="257"/>
        <item m="1" x="1155"/>
        <item m="1" x="1239"/>
        <item x="817"/>
        <item m="1" x="1261"/>
        <item x="65"/>
        <item m="1" x="1146"/>
        <item m="1" x="1276"/>
        <item x="437"/>
        <item m="1" x="1269"/>
        <item x="89"/>
        <item x="90"/>
        <item m="1" x="1444"/>
        <item m="1" x="1367"/>
        <item m="1" x="1308"/>
        <item m="1" x="1387"/>
        <item x="252"/>
        <item x="12"/>
        <item x="156"/>
        <item m="1" x="1277"/>
        <item m="1" x="1189"/>
        <item m="1" x="1445"/>
        <item x="356"/>
        <item m="1" x="1374"/>
        <item x="418"/>
        <item x="490"/>
        <item m="1" x="1159"/>
        <item x="508"/>
        <item x="270"/>
        <item x="118"/>
        <item m="1" x="1196"/>
        <item x="991"/>
        <item m="1" x="1270"/>
        <item m="1" x="1309"/>
        <item x="436"/>
        <item x="375"/>
        <item x="385"/>
        <item x="142"/>
        <item x="87"/>
        <item m="1" x="1363"/>
        <item x="74"/>
        <item x="453"/>
        <item x="499"/>
        <item x="241"/>
        <item x="419"/>
        <item m="1" x="1225"/>
        <item x="452"/>
        <item x="55"/>
        <item x="108"/>
        <item m="1" x="1250"/>
        <item m="1" x="1330"/>
        <item x="361"/>
        <item x="381"/>
        <item m="1" x="1324"/>
        <item x="254"/>
        <item x="48"/>
        <item x="371"/>
        <item x="182"/>
        <item m="1" x="1355"/>
        <item x="505"/>
        <item x="504"/>
        <item x="154"/>
        <item m="1" x="1036"/>
        <item m="1" x="1462"/>
        <item x="484"/>
        <item m="1" x="1424"/>
        <item x="268"/>
        <item m="1" x="1228"/>
        <item x="107"/>
        <item x="982"/>
        <item x="578"/>
        <item x="272"/>
        <item m="1" x="1455"/>
        <item m="1" x="1197"/>
        <item x="487"/>
        <item x="616"/>
        <item m="1" x="1020"/>
        <item x="999"/>
        <item m="1" x="1253"/>
        <item m="1" x="1256"/>
        <item m="1" x="1257"/>
        <item x="26"/>
        <item m="1" x="1227"/>
        <item m="1" x="1170"/>
        <item m="1" x="1019"/>
        <item x="27"/>
        <item m="1" x="1216"/>
        <item m="1" x="1258"/>
        <item x="28"/>
        <item x="29"/>
        <item m="1" x="1025"/>
        <item x="70"/>
        <item x="71"/>
        <item x="72"/>
        <item x="124"/>
        <item m="1" x="1030"/>
        <item x="592"/>
        <item x="125"/>
        <item x="162"/>
        <item x="166"/>
        <item m="1" x="1046"/>
        <item m="1" x="1179"/>
        <item x="190"/>
        <item x="232"/>
        <item m="1" x="1266"/>
        <item m="1" x="1267"/>
        <item x="742"/>
        <item m="1" x="1275"/>
        <item x="343"/>
        <item x="345"/>
        <item x="346"/>
        <item m="1" x="1211"/>
        <item m="1" x="1278"/>
        <item x="648"/>
        <item m="1" x="1088"/>
        <item x="347"/>
        <item x="396"/>
        <item x="666"/>
        <item m="1" x="1097"/>
        <item m="1" x="1279"/>
        <item x="433"/>
        <item m="1" x="1244"/>
        <item m="1" x="1198"/>
        <item m="1" x="1105"/>
        <item m="1" x="1283"/>
        <item x="485"/>
        <item x="516"/>
        <item m="1" x="1127"/>
        <item x="568"/>
        <item x="570"/>
        <item x="576"/>
        <item x="580"/>
        <item x="724"/>
        <item x="581"/>
        <item x="582"/>
        <item x="583"/>
        <item x="597"/>
        <item x="584"/>
        <item x="585"/>
        <item m="1" x="1208"/>
        <item m="1" x="1137"/>
        <item x="600"/>
        <item x="587"/>
        <item m="1" x="1139"/>
        <item x="30"/>
        <item x="31"/>
        <item m="1" x="1171"/>
        <item m="1" x="1234"/>
        <item x="191"/>
        <item m="1" x="1183"/>
        <item m="1" x="1061"/>
        <item m="1" x="1070"/>
        <item m="1" x="1071"/>
        <item m="1" x="1184"/>
        <item x="397"/>
        <item x="571"/>
        <item x="572"/>
        <item x="573"/>
        <item m="1" x="1138"/>
        <item x="588"/>
        <item x="589"/>
        <item m="1" x="1209"/>
        <item x="590"/>
        <item x="521"/>
        <item x="591"/>
        <item x="736"/>
        <item x="593"/>
        <item m="1" x="1140"/>
        <item x="594"/>
        <item m="1" x="1142"/>
        <item x="595"/>
        <item x="596"/>
        <item m="1" x="1143"/>
        <item x="598"/>
        <item x="599"/>
        <item m="1" x="1144"/>
        <item m="1" x="1145"/>
        <item m="1" x="1214"/>
        <item x="601"/>
        <item x="602"/>
        <item x="603"/>
        <item x="958"/>
        <item x="605"/>
        <item x="606"/>
        <item x="607"/>
        <item m="1" x="1147"/>
        <item x="962"/>
        <item x="608"/>
        <item x="609"/>
        <item x="610"/>
        <item m="1" x="1148"/>
        <item m="1" x="1215"/>
        <item m="1" x="1217"/>
        <item m="1" x="1218"/>
        <item m="1" x="1219"/>
        <item x="805"/>
        <item x="611"/>
        <item x="613"/>
        <item m="1" x="1221"/>
        <item m="1" x="1150"/>
        <item m="1" x="1222"/>
        <item x="614"/>
        <item x="615"/>
        <item m="1" x="1152"/>
        <item x="617"/>
        <item x="618"/>
        <item x="619"/>
        <item x="620"/>
        <item m="1" x="1156"/>
        <item x="621"/>
        <item m="1" x="1157"/>
        <item m="1" x="1158"/>
        <item x="622"/>
        <item x="623"/>
        <item x="624"/>
        <item m="1" x="1161"/>
        <item m="1" x="1162"/>
        <item m="1" x="1163"/>
        <item x="669"/>
        <item m="1" x="1164"/>
        <item x="625"/>
        <item x="626"/>
        <item m="1" x="1165"/>
        <item x="627"/>
        <item x="628"/>
        <item x="630"/>
        <item x="632"/>
        <item x="633"/>
        <item x="634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2"/>
        <item x="653"/>
        <item x="654"/>
        <item x="655"/>
        <item x="656"/>
        <item x="657"/>
        <item x="658"/>
        <item x="659"/>
        <item x="661"/>
        <item x="662"/>
        <item x="665"/>
        <item x="667"/>
        <item x="672"/>
        <item x="673"/>
        <item x="674"/>
        <item x="675"/>
        <item x="676"/>
        <item x="677"/>
        <item x="678"/>
        <item x="679"/>
        <item x="680"/>
        <item x="681"/>
        <item x="685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2"/>
        <item x="733"/>
        <item x="734"/>
        <item x="735"/>
        <item x="737"/>
        <item x="739"/>
        <item x="740"/>
        <item x="741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9"/>
        <item x="800"/>
        <item x="801"/>
        <item x="802"/>
        <item x="803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3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5"/>
        <item x="936"/>
        <item x="937"/>
        <item x="938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2"/>
        <item x="953"/>
        <item x="955"/>
        <item x="959"/>
        <item x="960"/>
        <item x="961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6"/>
        <item x="987"/>
        <item x="990"/>
        <item x="992"/>
        <item x="993"/>
        <item x="994"/>
        <item x="996"/>
        <item x="997"/>
        <item x="1002"/>
        <item x="1003"/>
        <item x="1006"/>
        <item x="1008"/>
        <item x="1009"/>
        <item x="1010"/>
        <item x="1011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3"/>
        <item m="1" x="25"/>
        <item h="1" x="7"/>
        <item h="1" x="4"/>
        <item h="1" x="8"/>
        <item h="1" x="14"/>
        <item h="1" x="16"/>
        <item h="1" x="11"/>
        <item m="1" x="26"/>
        <item h="1" x="18"/>
        <item h="1" x="3"/>
        <item h="1" x="17"/>
        <item h="1" x="0"/>
        <item h="1" x="10"/>
        <item h="1" x="15"/>
        <item h="1" x="9"/>
        <item h="1" x="12"/>
        <item h="1" x="5"/>
        <item h="1" x="1"/>
        <item h="1" x="21"/>
        <item m="1" x="27"/>
        <item h="1" x="19"/>
        <item h="1" x="2"/>
        <item h="1" x="6"/>
        <item h="1" x="20"/>
        <item x="22"/>
        <item h="1" x="23"/>
        <item h="1" x="24"/>
        <item t="default"/>
      </items>
    </pivotField>
    <pivotField compact="0" outline="0" showAll="0"/>
    <pivotField compact="0" numFmtId="14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outline="0" showAll="0"/>
  </pivotFields>
  <rowFields count="2">
    <field x="3"/>
    <field x="4"/>
  </rowFields>
  <rowItems count="121">
    <i>
      <x v="747"/>
      <x v="448"/>
    </i>
    <i t="default">
      <x v="747"/>
    </i>
    <i t="blank">
      <x v="747"/>
    </i>
    <i>
      <x v="1278"/>
      <x v="1255"/>
    </i>
    <i t="default">
      <x v="1278"/>
    </i>
    <i t="blank">
      <x v="1278"/>
    </i>
    <i>
      <x v="1279"/>
      <x v="1256"/>
    </i>
    <i t="default">
      <x v="1279"/>
    </i>
    <i t="blank">
      <x v="1279"/>
    </i>
    <i>
      <x v="1280"/>
      <x v="1257"/>
    </i>
    <i t="default">
      <x v="1280"/>
    </i>
    <i t="blank">
      <x v="1280"/>
    </i>
    <i>
      <x v="1281"/>
      <x v="1258"/>
    </i>
    <i t="default">
      <x v="1281"/>
    </i>
    <i t="blank">
      <x v="1281"/>
    </i>
    <i>
      <x v="1282"/>
      <x v="1259"/>
    </i>
    <i t="default">
      <x v="1282"/>
    </i>
    <i t="blank">
      <x v="1282"/>
    </i>
    <i>
      <x v="1299"/>
      <x v="1276"/>
    </i>
    <i t="default">
      <x v="1299"/>
    </i>
    <i t="blank">
      <x v="1299"/>
    </i>
    <i>
      <x v="1347"/>
      <x v="1323"/>
    </i>
    <i t="default">
      <x v="1347"/>
    </i>
    <i t="blank">
      <x v="1347"/>
    </i>
    <i>
      <x v="1348"/>
      <x v="1324"/>
    </i>
    <i t="default">
      <x v="1348"/>
    </i>
    <i t="blank">
      <x v="1348"/>
    </i>
    <i>
      <x v="1349"/>
      <x v="613"/>
    </i>
    <i t="default">
      <x v="1349"/>
    </i>
    <i t="blank">
      <x v="1349"/>
    </i>
    <i>
      <x v="1350"/>
      <x v="551"/>
    </i>
    <i t="default">
      <x v="1350"/>
    </i>
    <i t="blank">
      <x v="1350"/>
    </i>
    <i>
      <x v="1351"/>
      <x v="1325"/>
    </i>
    <i t="default">
      <x v="1351"/>
    </i>
    <i t="blank">
      <x v="1351"/>
    </i>
    <i>
      <x v="1352"/>
      <x v="1326"/>
    </i>
    <i t="default">
      <x v="1352"/>
    </i>
    <i t="blank">
      <x v="1352"/>
    </i>
    <i>
      <x v="1353"/>
      <x v="448"/>
    </i>
    <i t="default">
      <x v="1353"/>
    </i>
    <i t="blank">
      <x v="1353"/>
    </i>
    <i>
      <x v="1354"/>
      <x v="1327"/>
    </i>
    <i t="default">
      <x v="1354"/>
    </i>
    <i t="blank">
      <x v="1354"/>
    </i>
    <i>
      <x v="1355"/>
      <x v="1328"/>
    </i>
    <i t="default">
      <x v="1355"/>
    </i>
    <i t="blank">
      <x v="1355"/>
    </i>
    <i>
      <x v="1356"/>
      <x v="1329"/>
    </i>
    <i t="default">
      <x v="1356"/>
    </i>
    <i t="blank">
      <x v="1356"/>
    </i>
    <i>
      <x v="1357"/>
      <x v="1330"/>
    </i>
    <i t="default">
      <x v="1357"/>
    </i>
    <i t="blank">
      <x v="1357"/>
    </i>
    <i>
      <x v="1358"/>
      <x v="1331"/>
    </i>
    <i t="default">
      <x v="1358"/>
    </i>
    <i t="blank">
      <x v="1358"/>
    </i>
    <i>
      <x v="1369"/>
      <x v="1342"/>
    </i>
    <i t="default">
      <x v="1369"/>
    </i>
    <i t="blank">
      <x v="1369"/>
    </i>
    <i>
      <x v="1370"/>
      <x v="1343"/>
    </i>
    <i t="default">
      <x v="1370"/>
    </i>
    <i t="blank">
      <x v="1370"/>
    </i>
    <i>
      <x v="1371"/>
      <x v="1344"/>
    </i>
    <i t="default">
      <x v="1371"/>
    </i>
    <i t="blank">
      <x v="1371"/>
    </i>
    <i>
      <x v="1409"/>
      <x v="1378"/>
    </i>
    <i t="default">
      <x v="1409"/>
    </i>
    <i t="blank">
      <x v="1409"/>
    </i>
    <i>
      <x v="1410"/>
      <x v="1379"/>
    </i>
    <i t="default">
      <x v="1410"/>
    </i>
    <i t="blank">
      <x v="1410"/>
    </i>
    <i>
      <x v="1411"/>
      <x v="631"/>
    </i>
    <i t="default">
      <x v="1411"/>
    </i>
    <i t="blank">
      <x v="1411"/>
    </i>
    <i>
      <x v="1412"/>
      <x v="1380"/>
    </i>
    <i t="default">
      <x v="1412"/>
    </i>
    <i t="blank">
      <x v="1412"/>
    </i>
    <i>
      <x v="1413"/>
      <x v="1381"/>
    </i>
    <i t="default">
      <x v="1413"/>
    </i>
    <i t="blank">
      <x v="1413"/>
    </i>
    <i>
      <x v="1414"/>
      <x v="1382"/>
    </i>
    <i t="default">
      <x v="1414"/>
    </i>
    <i t="blank">
      <x v="1414"/>
    </i>
    <i>
      <x v="1415"/>
      <x v="1383"/>
    </i>
    <i t="default">
      <x v="1415"/>
    </i>
    <i t="blank">
      <x v="1415"/>
    </i>
    <i>
      <x v="1416"/>
      <x v="1384"/>
    </i>
    <i t="default">
      <x v="1416"/>
    </i>
    <i t="blank">
      <x v="1416"/>
    </i>
    <i>
      <x v="1417"/>
      <x v="1385"/>
    </i>
    <i t="default">
      <x v="1417"/>
    </i>
    <i t="blank">
      <x v="1417"/>
    </i>
    <i>
      <x v="1425"/>
      <x v="1392"/>
    </i>
    <i t="default">
      <x v="1425"/>
    </i>
    <i t="blank">
      <x v="1425"/>
    </i>
    <i>
      <x v="1426"/>
      <x v="1393"/>
    </i>
    <i t="default">
      <x v="1426"/>
    </i>
    <i t="blank">
      <x v="1426"/>
    </i>
    <i>
      <x v="1427"/>
      <x v="1394"/>
    </i>
    <i t="default">
      <x v="1427"/>
    </i>
    <i t="blank">
      <x v="1427"/>
    </i>
    <i>
      <x v="1445"/>
      <x v="1412"/>
    </i>
    <i t="default">
      <x v="1445"/>
    </i>
    <i t="blank">
      <x v="1445"/>
    </i>
    <i>
      <x v="1446"/>
      <x v="1413"/>
    </i>
    <i t="default">
      <x v="1446"/>
    </i>
    <i t="blank">
      <x v="1446"/>
    </i>
    <i>
      <x v="1448"/>
      <x v="1415"/>
    </i>
    <i t="default">
      <x v="1448"/>
    </i>
    <i t="blank">
      <x v="1448"/>
    </i>
    <i>
      <x v="1465"/>
      <x v="1432"/>
    </i>
    <i t="default">
      <x v="1465"/>
    </i>
    <i t="blank">
      <x v="1465"/>
    </i>
    <i>
      <x v="1489"/>
      <x v="1454"/>
    </i>
    <i t="default">
      <x v="1489"/>
    </i>
    <i t="blank">
      <x v="1489"/>
    </i>
    <i>
      <x v="1490"/>
      <x v="1455"/>
    </i>
    <i t="default">
      <x v="1490"/>
    </i>
    <i t="blank">
      <x v="1490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9" hier="-1"/>
  </pageFields>
  <dataFields count="16">
    <dataField name=" BMC Volume" fld="12" baseField="0" baseItem="0" numFmtId="165"/>
    <dataField name=" BMC Amount" fld="13" baseField="0" baseItem="0" numFmtId="165"/>
    <dataField name=" Sahayak Comission @ 0.75/-" fld="14" baseField="0" baseItem="0" numFmtId="165"/>
    <dataField name=" Std gain @ 0.95/-" fld="15" baseField="0" baseItem="0" numFmtId="165"/>
    <dataField name=" Farmer Sample Milk" fld="16" baseField="0" baseItem="0" numFmtId="165"/>
    <dataField name="AMC from MPG @ 0.10/- " fld="19" baseField="0" baseItem="0" numFmtId="165"/>
    <dataField name=" Actual Volume Penalty" fld="20" baseField="0" baseItem="0" numFmtId="166"/>
    <dataField name=" Net Sahayak Income" fld="21" baseField="0" baseItem="0" numFmtId="165"/>
    <dataField name=" New Assets EMI" fld="22" baseField="0" baseItem="0" numFmtId="166"/>
    <dataField name=" Can Deduction" fld="23" baseField="0" baseItem="0" numFmtId="166"/>
    <dataField name=" PCB Ded" fld="24" baseField="0" baseItem="0" numFmtId="166"/>
    <dataField name=" Other" fld="25" baseField="0" baseItem="0" numFmtId="166"/>
    <dataField name=" Consumables" fld="26" baseField="0" baseItem="0" numFmtId="165"/>
    <dataField name=" Payble to Sahyak" fld="27" baseField="0" baseItem="0" numFmtId="166"/>
    <dataField name=" Hold" fld="28" baseField="0" baseItem="0" numFmtId="166"/>
    <dataField name=" Net Payble" fld="29" baseField="0" baseItem="0" numFmtId="166"/>
  </dataFields>
  <formats count="2">
    <format dxfId="107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F00C1-43C2-4663-AFE1-1E1ECB309861}" name="PivotTable1" cacheId="13" applyNumberFormats="0" applyBorderFormats="0" applyFontFormats="0" applyPatternFormats="0" applyAlignmentFormats="0" applyWidthHeightFormats="1" dataCaption="Values" updatedVersion="8" useAutoFormatting="1" itemPrintTitles="1" createdVersion="8" indent="0" compact="0" compactData="0" gridDropZones="1" multipleFieldFilters="0">
  <location ref="A3:C1038" firstHeaderRow="1" firstDataRow="2" firstDataCol="1"/>
  <pivotFields count="24">
    <pivotField axis="axisRow" compact="0" outline="0" showAll="0">
      <items count="1034">
        <item x="0"/>
        <item x="1"/>
        <item x="2"/>
        <item x="3"/>
        <item x="4"/>
        <item x="6"/>
        <item x="925"/>
        <item x="7"/>
        <item x="98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0"/>
        <item x="41"/>
        <item x="42"/>
        <item x="98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7"/>
        <item x="88"/>
        <item x="89"/>
        <item x="1015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1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984"/>
        <item x="177"/>
        <item x="178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3"/>
        <item x="930"/>
        <item x="986"/>
        <item x="194"/>
        <item x="195"/>
        <item x="196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30"/>
        <item x="232"/>
        <item x="233"/>
        <item x="234"/>
        <item x="235"/>
        <item x="236"/>
        <item x="237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987"/>
        <item x="252"/>
        <item x="253"/>
        <item x="254"/>
        <item x="255"/>
        <item x="931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989"/>
        <item x="271"/>
        <item x="272"/>
        <item x="274"/>
        <item x="275"/>
        <item x="276"/>
        <item x="277"/>
        <item x="278"/>
        <item x="279"/>
        <item x="280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8"/>
        <item x="339"/>
        <item x="341"/>
        <item x="342"/>
        <item x="344"/>
        <item x="346"/>
        <item x="992"/>
        <item x="347"/>
        <item x="934"/>
        <item x="349"/>
        <item x="350"/>
        <item x="351"/>
        <item x="352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4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1"/>
        <item x="532"/>
        <item x="533"/>
        <item x="534"/>
        <item x="535"/>
        <item x="536"/>
        <item x="538"/>
        <item x="539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4"/>
        <item x="939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7"/>
        <item x="588"/>
        <item x="589"/>
        <item x="591"/>
        <item x="592"/>
        <item x="593"/>
        <item x="594"/>
        <item x="595"/>
        <item x="596"/>
        <item x="597"/>
        <item x="598"/>
        <item x="599"/>
        <item x="600"/>
        <item x="609"/>
        <item x="610"/>
        <item x="611"/>
        <item x="612"/>
        <item x="613"/>
        <item x="614"/>
        <item x="615"/>
        <item x="616"/>
        <item x="617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1"/>
        <item x="643"/>
        <item x="644"/>
        <item x="645"/>
        <item x="646"/>
        <item x="647"/>
        <item x="650"/>
        <item x="651"/>
        <item x="652"/>
        <item x="653"/>
        <item x="654"/>
        <item x="655"/>
        <item x="656"/>
        <item x="657"/>
        <item x="658"/>
        <item x="942"/>
        <item x="943"/>
        <item x="659"/>
        <item x="660"/>
        <item x="661"/>
        <item x="662"/>
        <item x="944"/>
        <item x="945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948"/>
        <item x="680"/>
        <item x="681"/>
        <item x="682"/>
        <item x="683"/>
        <item x="684"/>
        <item x="685"/>
        <item x="686"/>
        <item x="687"/>
        <item x="1004"/>
        <item x="688"/>
        <item x="689"/>
        <item x="690"/>
        <item x="691"/>
        <item x="949"/>
        <item x="692"/>
        <item x="695"/>
        <item x="697"/>
        <item x="698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51"/>
        <item x="752"/>
        <item x="753"/>
        <item x="754"/>
        <item x="755"/>
        <item x="82"/>
        <item x="140"/>
        <item x="197"/>
        <item x="991"/>
        <item x="694"/>
        <item x="696"/>
        <item x="732"/>
        <item x="198"/>
        <item x="199"/>
        <item x="746"/>
        <item x="83"/>
        <item x="84"/>
        <item x="142"/>
        <item x="302"/>
        <item x="702"/>
        <item x="774"/>
        <item x="775"/>
        <item x="777"/>
        <item x="778"/>
        <item x="779"/>
        <item x="425"/>
        <item x="618"/>
        <item x="700"/>
        <item x="776"/>
        <item x="5"/>
        <item x="1014"/>
        <item x="201"/>
        <item x="492"/>
        <item x="747"/>
        <item x="780"/>
        <item x="781"/>
        <item x="281"/>
        <item x="282"/>
        <item x="493"/>
        <item x="704"/>
        <item x="705"/>
        <item x="737"/>
        <item x="782"/>
        <item x="814"/>
        <item x="324"/>
        <item x="703"/>
        <item x="246"/>
        <item x="701"/>
        <item x="758"/>
        <item x="816"/>
        <item x="44"/>
        <item x="760"/>
        <item x="761"/>
        <item x="784"/>
        <item x="785"/>
        <item x="786"/>
        <item x="787"/>
        <item x="788"/>
        <item x="789"/>
        <item x="815"/>
        <item x="926"/>
        <item x="86"/>
        <item x="143"/>
        <item x="192"/>
        <item x="423"/>
        <item x="426"/>
        <item x="428"/>
        <item x="640"/>
        <item x="790"/>
        <item x="791"/>
        <item x="85"/>
        <item x="144"/>
        <item x="145"/>
        <item x="146"/>
        <item x="491"/>
        <item x="699"/>
        <item x="135"/>
        <item x="202"/>
        <item x="283"/>
        <item x="369"/>
        <item x="372"/>
        <item x="427"/>
        <item x="489"/>
        <item x="494"/>
        <item x="530"/>
        <item x="540"/>
        <item x="556"/>
        <item x="1003"/>
        <item x="706"/>
        <item x="707"/>
        <item x="735"/>
        <item x="738"/>
        <item x="756"/>
        <item x="757"/>
        <item x="783"/>
        <item x="817"/>
        <item x="818"/>
        <item x="31"/>
        <item x="273"/>
        <item x="343"/>
        <item x="348"/>
        <item x="429"/>
        <item x="1024"/>
        <item x="590"/>
        <item x="1001"/>
        <item x="736"/>
        <item x="229"/>
        <item x="932"/>
        <item x="330"/>
        <item x="739"/>
        <item x="953"/>
        <item x="792"/>
        <item x="793"/>
        <item x="794"/>
        <item x="795"/>
        <item x="796"/>
        <item x="819"/>
        <item x="155"/>
        <item x="227"/>
        <item x="431"/>
        <item x="937"/>
        <item x="602"/>
        <item x="693"/>
        <item x="203"/>
        <item x="204"/>
        <item x="331"/>
        <item x="495"/>
        <item x="601"/>
        <item x="603"/>
        <item x="604"/>
        <item x="763"/>
        <item x="798"/>
        <item x="799"/>
        <item x="147"/>
        <item x="284"/>
        <item x="332"/>
        <item x="541"/>
        <item x="586"/>
        <item x="642"/>
        <item x="648"/>
        <item x="952"/>
        <item x="740"/>
        <item x="148"/>
        <item x="149"/>
        <item x="333"/>
        <item x="334"/>
        <item x="709"/>
        <item x="711"/>
        <item x="762"/>
        <item x="764"/>
        <item x="836"/>
        <item x="837"/>
        <item x="838"/>
        <item x="32"/>
        <item x="231"/>
        <item x="238"/>
        <item x="239"/>
        <item x="605"/>
        <item x="708"/>
        <item x="710"/>
        <item x="820"/>
        <item x="821"/>
        <item x="823"/>
        <item x="824"/>
        <item x="839"/>
        <item x="340"/>
        <item x="345"/>
        <item x="354"/>
        <item x="497"/>
        <item x="741"/>
        <item x="825"/>
        <item x="335"/>
        <item x="542"/>
        <item x="543"/>
        <item x="1005"/>
        <item x="742"/>
        <item x="797"/>
        <item x="848"/>
        <item x="849"/>
        <item x="850"/>
        <item x="852"/>
        <item x="853"/>
        <item x="854"/>
        <item x="858"/>
        <item x="862"/>
        <item x="863"/>
        <item x="864"/>
        <item x="866"/>
        <item x="206"/>
        <item x="355"/>
        <item x="940"/>
        <item x="712"/>
        <item x="765"/>
        <item x="851"/>
        <item x="54"/>
        <item x="285"/>
        <item x="430"/>
        <item x="476"/>
        <item x="544"/>
        <item x="714"/>
        <item x="743"/>
        <item x="770"/>
        <item x="802"/>
        <item x="803"/>
        <item x="827"/>
        <item x="828"/>
        <item x="865"/>
        <item x="205"/>
        <item x="286"/>
        <item x="432"/>
        <item x="433"/>
        <item x="434"/>
        <item x="545"/>
        <item x="716"/>
        <item x="891"/>
        <item x="893"/>
        <item x="895"/>
        <item x="896"/>
        <item x="897"/>
        <item x="898"/>
        <item x="899"/>
        <item x="900"/>
        <item x="929"/>
        <item x="200"/>
        <item x="287"/>
        <item x="435"/>
        <item x="496"/>
        <item x="498"/>
        <item x="607"/>
        <item x="748"/>
        <item x="749"/>
        <item x="840"/>
        <item x="841"/>
        <item x="842"/>
        <item x="843"/>
        <item x="179"/>
        <item x="608"/>
        <item x="713"/>
        <item x="715"/>
        <item x="717"/>
        <item x="759"/>
        <item x="767"/>
        <item x="804"/>
        <item x="894"/>
        <item x="908"/>
        <item x="910"/>
        <item x="911"/>
        <item x="912"/>
        <item x="913"/>
        <item x="914"/>
        <item x="181"/>
        <item x="353"/>
        <item x="537"/>
        <item x="766"/>
        <item x="768"/>
        <item x="801"/>
        <item x="805"/>
        <item x="855"/>
        <item x="856"/>
        <item x="857"/>
        <item x="859"/>
        <item x="860"/>
        <item x="861"/>
        <item x="867"/>
        <item x="868"/>
        <item x="869"/>
        <item x="870"/>
        <item x="871"/>
        <item x="873"/>
        <item x="874"/>
        <item x="876"/>
        <item x="904"/>
        <item x="905"/>
        <item x="907"/>
        <item x="919"/>
        <item x="920"/>
        <item x="922"/>
        <item x="996"/>
        <item x="744"/>
        <item x="956"/>
        <item x="806"/>
        <item x="872"/>
        <item x="1007"/>
        <item x="875"/>
        <item x="903"/>
        <item x="917"/>
        <item x="918"/>
        <item x="33"/>
        <item x="34"/>
        <item x="35"/>
        <item x="36"/>
        <item x="37"/>
        <item x="38"/>
        <item x="39"/>
        <item x="288"/>
        <item x="336"/>
        <item x="994"/>
        <item x="357"/>
        <item x="436"/>
        <item x="935"/>
        <item x="488"/>
        <item x="946"/>
        <item x="718"/>
        <item x="719"/>
        <item x="745"/>
        <item x="954"/>
        <item x="769"/>
        <item x="772"/>
        <item x="773"/>
        <item x="807"/>
        <item x="808"/>
        <item x="809"/>
        <item x="826"/>
        <item x="829"/>
        <item x="830"/>
        <item x="831"/>
        <item x="832"/>
        <item x="833"/>
        <item x="834"/>
        <item x="835"/>
        <item x="844"/>
        <item x="845"/>
        <item x="846"/>
        <item x="877"/>
        <item x="878"/>
        <item x="879"/>
        <item x="1008"/>
        <item x="880"/>
        <item x="881"/>
        <item x="882"/>
        <item x="883"/>
        <item x="884"/>
        <item x="892"/>
        <item x="916"/>
        <item x="921"/>
        <item x="207"/>
        <item x="1025"/>
        <item x="771"/>
        <item x="800"/>
        <item x="885"/>
        <item x="886"/>
        <item x="887"/>
        <item x="901"/>
        <item x="902"/>
        <item x="1011"/>
        <item x="981"/>
        <item x="208"/>
        <item x="606"/>
        <item x="649"/>
        <item x="721"/>
        <item x="750"/>
        <item x="810"/>
        <item x="811"/>
        <item x="812"/>
        <item x="847"/>
        <item x="906"/>
        <item x="909"/>
        <item x="923"/>
        <item x="356"/>
        <item x="999"/>
        <item x="720"/>
        <item x="888"/>
        <item x="889"/>
        <item x="924"/>
        <item x="512"/>
        <item x="890"/>
        <item x="150"/>
        <item x="151"/>
        <item x="152"/>
        <item x="153"/>
        <item x="154"/>
        <item x="337"/>
        <item x="546"/>
        <item x="813"/>
        <item x="822"/>
        <item x="915"/>
        <item x="927"/>
        <item x="928"/>
        <item x="933"/>
        <item x="936"/>
        <item x="938"/>
        <item x="941"/>
        <item x="947"/>
        <item x="950"/>
        <item x="951"/>
        <item x="955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3"/>
        <item x="985"/>
        <item x="988"/>
        <item x="990"/>
        <item x="993"/>
        <item x="995"/>
        <item x="997"/>
        <item x="998"/>
        <item x="1000"/>
        <item x="1002"/>
        <item x="1006"/>
        <item x="1009"/>
        <item x="1010"/>
        <item x="1012"/>
        <item x="1013"/>
        <item x="1016"/>
        <item x="1017"/>
        <item x="1018"/>
        <item x="1019"/>
        <item x="1020"/>
        <item x="1021"/>
        <item x="1022"/>
        <item x="1023"/>
        <item x="1026"/>
        <item x="1027"/>
        <item x="1028"/>
        <item x="1029"/>
        <item x="1030"/>
        <item x="1031"/>
        <item x="103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0"/>
  </rowFields>
  <rowItems count="10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C Volume" fld="4" baseField="0" baseItem="0" numFmtId="1"/>
    <dataField name="Sum of BMC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5B52-0787-4DC0-BFC6-A56EC31409A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74" firstHeaderRow="1" firstDataRow="1" firstDataCol="1"/>
  <pivotFields count="36">
    <pivotField showAll="0"/>
    <pivotField showAll="0"/>
    <pivotField showAll="0"/>
    <pivotField showAll="0"/>
    <pivotField axis="axisRow" showAll="0">
      <items count="1071">
        <item x="0"/>
        <item x="1"/>
        <item x="2"/>
        <item x="3"/>
        <item x="4"/>
        <item x="952"/>
        <item x="5"/>
        <item x="6"/>
        <item x="7"/>
        <item x="8"/>
        <item x="9"/>
        <item x="10"/>
        <item x="11"/>
        <item x="1053"/>
        <item x="10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31"/>
        <item x="40"/>
        <item x="953"/>
        <item x="41"/>
        <item x="42"/>
        <item x="43"/>
        <item x="44"/>
        <item x="45"/>
        <item x="46"/>
        <item x="95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955"/>
        <item x="73"/>
        <item x="74"/>
        <item x="75"/>
        <item x="76"/>
        <item x="77"/>
        <item x="78"/>
        <item x="1054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956"/>
        <item x="957"/>
        <item x="958"/>
        <item x="959"/>
        <item x="960"/>
        <item x="961"/>
        <item x="962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6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032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033"/>
        <item x="210"/>
        <item x="211"/>
        <item x="964"/>
        <item x="1034"/>
        <item x="212"/>
        <item x="213"/>
        <item x="214"/>
        <item x="215"/>
        <item x="216"/>
        <item x="217"/>
        <item x="218"/>
        <item x="1055"/>
        <item x="219"/>
        <item x="220"/>
        <item x="105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965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1035"/>
        <item x="1036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1064"/>
        <item x="365"/>
        <item x="966"/>
        <item x="366"/>
        <item x="367"/>
        <item x="368"/>
        <item x="369"/>
        <item x="1057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058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967"/>
        <item x="968"/>
        <item x="969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970"/>
        <item x="479"/>
        <item x="480"/>
        <item x="481"/>
        <item x="482"/>
        <item x="483"/>
        <item x="484"/>
        <item x="485"/>
        <item x="486"/>
        <item x="487"/>
        <item x="971"/>
        <item x="488"/>
        <item x="489"/>
        <item x="490"/>
        <item x="1065"/>
        <item x="972"/>
        <item x="491"/>
        <item x="973"/>
        <item x="974"/>
        <item x="492"/>
        <item x="975"/>
        <item x="493"/>
        <item x="494"/>
        <item x="495"/>
        <item x="496"/>
        <item x="976"/>
        <item x="497"/>
        <item x="498"/>
        <item x="499"/>
        <item x="977"/>
        <item x="500"/>
        <item x="501"/>
        <item x="502"/>
        <item x="503"/>
        <item x="504"/>
        <item x="505"/>
        <item x="978"/>
        <item x="979"/>
        <item x="506"/>
        <item x="507"/>
        <item x="508"/>
        <item x="509"/>
        <item x="510"/>
        <item x="511"/>
        <item x="512"/>
        <item x="513"/>
        <item x="514"/>
        <item x="980"/>
        <item x="981"/>
        <item x="982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1066"/>
        <item x="531"/>
        <item x="532"/>
        <item x="533"/>
        <item x="983"/>
        <item x="534"/>
        <item x="535"/>
        <item x="536"/>
        <item x="537"/>
        <item x="538"/>
        <item x="539"/>
        <item x="540"/>
        <item x="541"/>
        <item x="542"/>
        <item x="984"/>
        <item x="543"/>
        <item x="544"/>
        <item x="545"/>
        <item x="546"/>
        <item x="547"/>
        <item x="548"/>
        <item x="549"/>
        <item x="550"/>
        <item x="551"/>
        <item x="985"/>
        <item x="986"/>
        <item x="552"/>
        <item x="553"/>
        <item x="554"/>
        <item x="555"/>
        <item x="556"/>
        <item x="557"/>
        <item x="558"/>
        <item x="1037"/>
        <item x="987"/>
        <item x="988"/>
        <item x="989"/>
        <item x="559"/>
        <item x="990"/>
        <item x="560"/>
        <item x="991"/>
        <item x="561"/>
        <item x="562"/>
        <item x="563"/>
        <item x="564"/>
        <item x="565"/>
        <item x="566"/>
        <item x="992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1059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103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993"/>
        <item x="994"/>
        <item x="995"/>
        <item x="996"/>
        <item x="997"/>
        <item x="649"/>
        <item x="650"/>
        <item x="651"/>
        <item x="652"/>
        <item x="653"/>
        <item x="654"/>
        <item x="998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999"/>
        <item x="1039"/>
        <item x="670"/>
        <item x="671"/>
        <item x="672"/>
        <item x="673"/>
        <item x="674"/>
        <item x="675"/>
        <item x="676"/>
        <item x="677"/>
        <item x="678"/>
        <item x="1000"/>
        <item x="1001"/>
        <item x="679"/>
        <item x="680"/>
        <item x="681"/>
        <item x="682"/>
        <item x="683"/>
        <item x="684"/>
        <item x="685"/>
        <item x="1002"/>
        <item x="686"/>
        <item x="1003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004"/>
        <item x="698"/>
        <item x="699"/>
        <item x="700"/>
        <item x="701"/>
        <item x="702"/>
        <item x="1005"/>
        <item x="1006"/>
        <item x="1007"/>
        <item x="703"/>
        <item x="704"/>
        <item x="100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1009"/>
        <item x="736"/>
        <item x="737"/>
        <item x="738"/>
        <item x="739"/>
        <item x="740"/>
        <item x="741"/>
        <item x="742"/>
        <item x="743"/>
        <item x="744"/>
        <item x="745"/>
        <item x="1010"/>
        <item x="746"/>
        <item x="747"/>
        <item x="748"/>
        <item x="1011"/>
        <item x="749"/>
        <item x="1060"/>
        <item x="1040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1012"/>
        <item x="765"/>
        <item x="766"/>
        <item x="767"/>
        <item x="768"/>
        <item x="1013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104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1014"/>
        <item x="803"/>
        <item x="1015"/>
        <item x="1016"/>
        <item x="1017"/>
        <item x="804"/>
        <item x="805"/>
        <item x="1067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042"/>
        <item x="827"/>
        <item x="828"/>
        <item x="829"/>
        <item x="1018"/>
        <item x="830"/>
        <item x="831"/>
        <item x="832"/>
        <item x="833"/>
        <item x="834"/>
        <item x="835"/>
        <item x="836"/>
        <item x="837"/>
        <item x="838"/>
        <item x="839"/>
        <item x="1043"/>
        <item x="1044"/>
        <item x="1045"/>
        <item x="840"/>
        <item x="841"/>
        <item x="842"/>
        <item x="843"/>
        <item x="844"/>
        <item x="845"/>
        <item x="846"/>
        <item x="847"/>
        <item x="1046"/>
        <item x="848"/>
        <item x="849"/>
        <item x="850"/>
        <item x="851"/>
        <item x="1019"/>
        <item x="852"/>
        <item x="853"/>
        <item x="1068"/>
        <item x="854"/>
        <item x="1047"/>
        <item x="855"/>
        <item x="856"/>
        <item x="857"/>
        <item x="1048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1049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02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1021"/>
        <item x="1022"/>
        <item x="1023"/>
        <item x="1024"/>
        <item x="1025"/>
        <item x="1026"/>
        <item x="1061"/>
        <item x="1062"/>
        <item x="1069"/>
        <item x="922"/>
        <item x="923"/>
        <item x="924"/>
        <item x="925"/>
        <item x="926"/>
        <item x="927"/>
        <item x="928"/>
        <item x="929"/>
        <item x="930"/>
        <item x="931"/>
        <item x="1027"/>
        <item x="1028"/>
        <item x="932"/>
        <item x="933"/>
        <item x="934"/>
        <item x="1050"/>
        <item x="935"/>
        <item x="936"/>
        <item x="937"/>
        <item x="1051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52"/>
        <item x="951"/>
        <item x="1063"/>
        <item x="1029"/>
        <item t="default"/>
      </items>
    </pivotField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dataField="1" numFmtId="166" showAll="0"/>
  </pivotFields>
  <rowFields count="1">
    <field x="4"/>
  </rowFields>
  <rowItems count="10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 t="grand">
      <x/>
    </i>
  </rowItems>
  <colItems count="1">
    <i/>
  </colItems>
  <dataFields count="1">
    <dataField name="Sum of EMI Recovery" fld="3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DFC-757A-43C5-8C36-52D9FA71593F}">
  <dimension ref="A1:R125"/>
  <sheetViews>
    <sheetView zoomScale="80" zoomScaleNormal="80" workbookViewId="0">
      <pane xSplit="2" ySplit="4" topLeftCell="C106" activePane="bottomRight" state="frozen"/>
      <selection pane="topRight" activeCell="C1" sqref="C1"/>
      <selection pane="bottomLeft" activeCell="A5" sqref="A5"/>
      <selection pane="bottomRight" activeCell="W137" sqref="W137"/>
    </sheetView>
  </sheetViews>
  <sheetFormatPr defaultRowHeight="15" x14ac:dyDescent="0.25"/>
  <cols>
    <col min="1" max="1" width="15.5703125" bestFit="1" customWidth="1"/>
    <col min="2" max="2" width="33" customWidth="1"/>
    <col min="3" max="3" width="12" customWidth="1"/>
    <col min="4" max="4" width="12.7109375" customWidth="1"/>
    <col min="5" max="5" width="12.5703125" customWidth="1"/>
    <col min="6" max="6" width="11.42578125" customWidth="1"/>
    <col min="7" max="7" width="12.42578125" customWidth="1"/>
    <col min="8" max="8" width="10.42578125" customWidth="1"/>
    <col min="9" max="9" width="11" customWidth="1"/>
    <col min="10" max="10" width="12" customWidth="1"/>
    <col min="11" max="11" width="10.42578125" customWidth="1"/>
    <col min="12" max="12" width="10.5703125" customWidth="1"/>
    <col min="13" max="13" width="9.28515625" customWidth="1"/>
    <col min="14" max="14" width="8.5703125" bestFit="1" customWidth="1"/>
    <col min="15" max="15" width="12.85546875" customWidth="1"/>
    <col min="16" max="16" width="11.28515625" customWidth="1"/>
    <col min="17" max="17" width="10" customWidth="1"/>
    <col min="18" max="18" width="11.7109375" bestFit="1" customWidth="1"/>
  </cols>
  <sheetData>
    <row r="1" spans="1:18" x14ac:dyDescent="0.25">
      <c r="A1" s="190" t="s">
        <v>79</v>
      </c>
      <c r="B1" t="s">
        <v>1452</v>
      </c>
      <c r="C1" s="243" t="s">
        <v>1702</v>
      </c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186"/>
    </row>
    <row r="3" spans="1:18" hidden="1" x14ac:dyDescent="0.25">
      <c r="C3" s="190" t="s">
        <v>78</v>
      </c>
    </row>
    <row r="4" spans="1:18" ht="41.25" customHeight="1" x14ac:dyDescent="0.25">
      <c r="A4" s="190" t="s">
        <v>0</v>
      </c>
      <c r="B4" s="190" t="s">
        <v>1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1173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1170</v>
      </c>
      <c r="O4" s="3" t="s">
        <v>90</v>
      </c>
      <c r="P4" s="3" t="s">
        <v>1171</v>
      </c>
      <c r="Q4" s="3" t="s">
        <v>1172</v>
      </c>
      <c r="R4" s="3" t="s">
        <v>91</v>
      </c>
    </row>
    <row r="5" spans="1:18" x14ac:dyDescent="0.25">
      <c r="A5">
        <v>10130101</v>
      </c>
      <c r="B5" t="s">
        <v>1453</v>
      </c>
      <c r="C5" s="6">
        <v>340.4</v>
      </c>
      <c r="D5" s="6">
        <v>13995.795360720002</v>
      </c>
      <c r="E5" s="6">
        <v>255.29999999999998</v>
      </c>
      <c r="F5" s="6">
        <v>323.37999999999994</v>
      </c>
      <c r="G5" s="6">
        <v>0</v>
      </c>
      <c r="H5" s="6">
        <v>34.04</v>
      </c>
      <c r="I5" s="92">
        <v>544.60774394932787</v>
      </c>
      <c r="J5" s="6">
        <v>0</v>
      </c>
      <c r="K5" s="92">
        <v>0</v>
      </c>
      <c r="L5" s="92">
        <v>0</v>
      </c>
      <c r="M5" s="92">
        <v>0</v>
      </c>
      <c r="N5" s="92">
        <v>0</v>
      </c>
      <c r="O5" s="6">
        <v>0</v>
      </c>
      <c r="P5" s="92">
        <v>0</v>
      </c>
      <c r="Q5" s="92">
        <v>0</v>
      </c>
      <c r="R5" s="92">
        <v>0</v>
      </c>
    </row>
    <row r="6" spans="1:18" x14ac:dyDescent="0.25">
      <c r="A6" t="s">
        <v>1662</v>
      </c>
      <c r="C6" s="6">
        <v>340.4</v>
      </c>
      <c r="D6" s="6">
        <v>13995.795360720002</v>
      </c>
      <c r="E6" s="6">
        <v>255.29999999999998</v>
      </c>
      <c r="F6" s="6">
        <v>323.37999999999994</v>
      </c>
      <c r="G6" s="6">
        <v>0</v>
      </c>
      <c r="H6" s="6">
        <v>34.04</v>
      </c>
      <c r="I6" s="92">
        <v>544.60774394932787</v>
      </c>
      <c r="J6" s="6">
        <v>0</v>
      </c>
      <c r="K6" s="92">
        <v>0</v>
      </c>
      <c r="L6" s="92">
        <v>0</v>
      </c>
      <c r="M6" s="92">
        <v>0</v>
      </c>
      <c r="N6" s="92">
        <v>0</v>
      </c>
      <c r="O6" s="6">
        <v>0</v>
      </c>
      <c r="P6" s="92">
        <v>0</v>
      </c>
      <c r="Q6" s="92">
        <v>0</v>
      </c>
      <c r="R6" s="92">
        <v>0</v>
      </c>
    </row>
    <row r="7" spans="1:18" x14ac:dyDescent="0.25">
      <c r="C7" s="6"/>
      <c r="D7" s="6"/>
      <c r="E7" s="6"/>
      <c r="F7" s="6"/>
      <c r="G7" s="6"/>
      <c r="H7" s="6"/>
      <c r="I7" s="92"/>
      <c r="J7" s="6"/>
      <c r="K7" s="92"/>
      <c r="L7" s="92"/>
      <c r="M7" s="92"/>
      <c r="N7" s="92"/>
      <c r="O7" s="6"/>
      <c r="P7" s="92"/>
      <c r="Q7" s="92"/>
      <c r="R7" s="92"/>
    </row>
    <row r="8" spans="1:18" x14ac:dyDescent="0.25">
      <c r="A8">
        <v>10610002</v>
      </c>
      <c r="B8" t="s">
        <v>1378</v>
      </c>
      <c r="C8" s="6">
        <v>1358.1999999999998</v>
      </c>
      <c r="D8" s="6">
        <v>63779.783491003007</v>
      </c>
      <c r="E8" s="6">
        <v>1018.6499999999999</v>
      </c>
      <c r="F8" s="6">
        <v>1290.2899999999997</v>
      </c>
      <c r="G8" s="6">
        <v>0</v>
      </c>
      <c r="H8" s="6">
        <v>135.82</v>
      </c>
      <c r="I8" s="92">
        <v>1352.1841460866219</v>
      </c>
      <c r="J8" s="6">
        <v>821</v>
      </c>
      <c r="K8" s="92">
        <v>821</v>
      </c>
      <c r="L8" s="92">
        <v>0</v>
      </c>
      <c r="M8" s="92">
        <v>0</v>
      </c>
      <c r="N8" s="92">
        <v>0</v>
      </c>
      <c r="O8" s="6">
        <v>0</v>
      </c>
      <c r="P8" s="92">
        <v>0</v>
      </c>
      <c r="Q8" s="92">
        <v>0</v>
      </c>
      <c r="R8" s="92">
        <v>0</v>
      </c>
    </row>
    <row r="9" spans="1:18" x14ac:dyDescent="0.25">
      <c r="A9" t="s">
        <v>1663</v>
      </c>
      <c r="C9" s="6">
        <v>1358.1999999999998</v>
      </c>
      <c r="D9" s="6">
        <v>63779.783491003007</v>
      </c>
      <c r="E9" s="6">
        <v>1018.6499999999999</v>
      </c>
      <c r="F9" s="6">
        <v>1290.2899999999997</v>
      </c>
      <c r="G9" s="6">
        <v>0</v>
      </c>
      <c r="H9" s="6">
        <v>135.82</v>
      </c>
      <c r="I9" s="92">
        <v>1352.1841460866219</v>
      </c>
      <c r="J9" s="6">
        <v>821</v>
      </c>
      <c r="K9" s="92">
        <v>821</v>
      </c>
      <c r="L9" s="92">
        <v>0</v>
      </c>
      <c r="M9" s="92">
        <v>0</v>
      </c>
      <c r="N9" s="92">
        <v>0</v>
      </c>
      <c r="O9" s="6">
        <v>0</v>
      </c>
      <c r="P9" s="92">
        <v>0</v>
      </c>
      <c r="Q9" s="92">
        <v>0</v>
      </c>
      <c r="R9" s="92">
        <v>0</v>
      </c>
    </row>
    <row r="10" spans="1:18" x14ac:dyDescent="0.25">
      <c r="C10" s="6"/>
      <c r="D10" s="6"/>
      <c r="E10" s="6"/>
      <c r="F10" s="6"/>
      <c r="G10" s="6"/>
      <c r="H10" s="6"/>
      <c r="I10" s="92"/>
      <c r="J10" s="6"/>
      <c r="K10" s="92"/>
      <c r="L10" s="92"/>
      <c r="M10" s="92"/>
      <c r="N10" s="92"/>
      <c r="O10" s="6"/>
      <c r="P10" s="92"/>
      <c r="Q10" s="92"/>
      <c r="R10" s="92"/>
    </row>
    <row r="11" spans="1:18" x14ac:dyDescent="0.25">
      <c r="A11">
        <v>10610006</v>
      </c>
      <c r="B11" t="s">
        <v>1379</v>
      </c>
      <c r="C11" s="6">
        <v>1421.8999999999999</v>
      </c>
      <c r="D11" s="6">
        <v>67545.511461988004</v>
      </c>
      <c r="E11" s="6">
        <v>1066.425</v>
      </c>
      <c r="F11" s="6">
        <v>1350.8049999999998</v>
      </c>
      <c r="G11" s="6">
        <v>507.52765998000007</v>
      </c>
      <c r="H11" s="6">
        <v>142.19</v>
      </c>
      <c r="I11" s="92">
        <v>1310.751616776241</v>
      </c>
      <c r="J11" s="6">
        <v>1472</v>
      </c>
      <c r="K11" s="92">
        <v>1472</v>
      </c>
      <c r="L11" s="92">
        <v>0</v>
      </c>
      <c r="M11" s="92">
        <v>0</v>
      </c>
      <c r="N11" s="92">
        <v>0</v>
      </c>
      <c r="O11" s="6">
        <v>0</v>
      </c>
      <c r="P11" s="92">
        <v>0</v>
      </c>
      <c r="Q11" s="92">
        <v>0</v>
      </c>
      <c r="R11" s="92">
        <v>0</v>
      </c>
    </row>
    <row r="12" spans="1:18" x14ac:dyDescent="0.25">
      <c r="A12" t="s">
        <v>1664</v>
      </c>
      <c r="C12" s="6">
        <v>1421.8999999999999</v>
      </c>
      <c r="D12" s="6">
        <v>67545.511461988004</v>
      </c>
      <c r="E12" s="6">
        <v>1066.425</v>
      </c>
      <c r="F12" s="6">
        <v>1350.8049999999998</v>
      </c>
      <c r="G12" s="6">
        <v>507.52765998000007</v>
      </c>
      <c r="H12" s="6">
        <v>142.19</v>
      </c>
      <c r="I12" s="92">
        <v>1310.751616776241</v>
      </c>
      <c r="J12" s="6">
        <v>1472</v>
      </c>
      <c r="K12" s="92">
        <v>1472</v>
      </c>
      <c r="L12" s="92">
        <v>0</v>
      </c>
      <c r="M12" s="92">
        <v>0</v>
      </c>
      <c r="N12" s="92">
        <v>0</v>
      </c>
      <c r="O12" s="6">
        <v>0</v>
      </c>
      <c r="P12" s="92">
        <v>0</v>
      </c>
      <c r="Q12" s="92">
        <v>0</v>
      </c>
      <c r="R12" s="92">
        <v>0</v>
      </c>
    </row>
    <row r="13" spans="1:18" x14ac:dyDescent="0.25">
      <c r="C13" s="6"/>
      <c r="D13" s="6"/>
      <c r="E13" s="6"/>
      <c r="F13" s="6"/>
      <c r="G13" s="6"/>
      <c r="H13" s="6"/>
      <c r="I13" s="92"/>
      <c r="J13" s="6"/>
      <c r="K13" s="92"/>
      <c r="L13" s="92"/>
      <c r="M13" s="92"/>
      <c r="N13" s="92"/>
      <c r="O13" s="6"/>
      <c r="P13" s="92"/>
      <c r="Q13" s="92"/>
      <c r="R13" s="92"/>
    </row>
    <row r="14" spans="1:18" x14ac:dyDescent="0.25">
      <c r="A14">
        <v>10610007</v>
      </c>
      <c r="B14" t="s">
        <v>1380</v>
      </c>
      <c r="C14" s="6">
        <v>1142.0999999999999</v>
      </c>
      <c r="D14" s="6">
        <v>58621.038026329399</v>
      </c>
      <c r="E14" s="6">
        <v>856.57499999999993</v>
      </c>
      <c r="F14" s="6">
        <v>1084.9949999999999</v>
      </c>
      <c r="G14" s="6">
        <v>1309.33278218394</v>
      </c>
      <c r="H14" s="6">
        <v>114.21</v>
      </c>
      <c r="I14" s="92">
        <v>1702.7384066432119</v>
      </c>
      <c r="J14" s="6">
        <v>0</v>
      </c>
      <c r="K14" s="92">
        <v>0</v>
      </c>
      <c r="L14" s="92">
        <v>0</v>
      </c>
      <c r="M14" s="92">
        <v>0</v>
      </c>
      <c r="N14" s="92">
        <v>0</v>
      </c>
      <c r="O14" s="6">
        <v>0</v>
      </c>
      <c r="P14" s="92">
        <v>0</v>
      </c>
      <c r="Q14" s="92">
        <v>0</v>
      </c>
      <c r="R14" s="92">
        <v>0</v>
      </c>
    </row>
    <row r="15" spans="1:18" x14ac:dyDescent="0.25">
      <c r="A15" t="s">
        <v>1665</v>
      </c>
      <c r="C15" s="6">
        <v>1142.0999999999999</v>
      </c>
      <c r="D15" s="6">
        <v>58621.038026329399</v>
      </c>
      <c r="E15" s="6">
        <v>856.57499999999993</v>
      </c>
      <c r="F15" s="6">
        <v>1084.9949999999999</v>
      </c>
      <c r="G15" s="6">
        <v>1309.33278218394</v>
      </c>
      <c r="H15" s="6">
        <v>114.21</v>
      </c>
      <c r="I15" s="92">
        <v>1702.7384066432119</v>
      </c>
      <c r="J15" s="6">
        <v>0</v>
      </c>
      <c r="K15" s="92">
        <v>0</v>
      </c>
      <c r="L15" s="92">
        <v>0</v>
      </c>
      <c r="M15" s="92">
        <v>0</v>
      </c>
      <c r="N15" s="92">
        <v>0</v>
      </c>
      <c r="O15" s="6">
        <v>0</v>
      </c>
      <c r="P15" s="92">
        <v>0</v>
      </c>
      <c r="Q15" s="92">
        <v>0</v>
      </c>
      <c r="R15" s="92">
        <v>0</v>
      </c>
    </row>
    <row r="16" spans="1:18" x14ac:dyDescent="0.25">
      <c r="C16" s="6"/>
      <c r="D16" s="6"/>
      <c r="E16" s="6"/>
      <c r="F16" s="6"/>
      <c r="G16" s="6"/>
      <c r="H16" s="6"/>
      <c r="I16" s="92"/>
      <c r="J16" s="6"/>
      <c r="K16" s="92"/>
      <c r="L16" s="92"/>
      <c r="M16" s="92"/>
      <c r="N16" s="92"/>
      <c r="O16" s="6"/>
      <c r="P16" s="92"/>
      <c r="Q16" s="92"/>
      <c r="R16" s="92"/>
    </row>
    <row r="17" spans="1:18" x14ac:dyDescent="0.25">
      <c r="A17">
        <v>10610008</v>
      </c>
      <c r="B17" t="s">
        <v>1381</v>
      </c>
      <c r="C17" s="6">
        <v>2003.5</v>
      </c>
      <c r="D17" s="6">
        <v>87514.049857424136</v>
      </c>
      <c r="E17" s="6">
        <v>1502.625</v>
      </c>
      <c r="F17" s="6">
        <v>1903.3249999999998</v>
      </c>
      <c r="G17" s="6">
        <v>0</v>
      </c>
      <c r="H17" s="6">
        <v>200.35000000000002</v>
      </c>
      <c r="I17" s="92">
        <v>693.56796299842017</v>
      </c>
      <c r="J17" s="6">
        <v>2512</v>
      </c>
      <c r="K17" s="92">
        <v>1861</v>
      </c>
      <c r="L17" s="92">
        <v>0</v>
      </c>
      <c r="M17" s="92">
        <v>0</v>
      </c>
      <c r="N17" s="92">
        <v>0</v>
      </c>
      <c r="O17" s="6">
        <v>0</v>
      </c>
      <c r="P17" s="92">
        <v>651</v>
      </c>
      <c r="Q17" s="92">
        <v>0</v>
      </c>
      <c r="R17" s="92">
        <v>651</v>
      </c>
    </row>
    <row r="18" spans="1:18" x14ac:dyDescent="0.25">
      <c r="A18" t="s">
        <v>1666</v>
      </c>
      <c r="C18" s="6">
        <v>2003.5</v>
      </c>
      <c r="D18" s="6">
        <v>87514.049857424136</v>
      </c>
      <c r="E18" s="6">
        <v>1502.625</v>
      </c>
      <c r="F18" s="6">
        <v>1903.3249999999998</v>
      </c>
      <c r="G18" s="6">
        <v>0</v>
      </c>
      <c r="H18" s="6">
        <v>200.35000000000002</v>
      </c>
      <c r="I18" s="92">
        <v>693.56796299842017</v>
      </c>
      <c r="J18" s="6">
        <v>2512</v>
      </c>
      <c r="K18" s="92">
        <v>1861</v>
      </c>
      <c r="L18" s="92">
        <v>0</v>
      </c>
      <c r="M18" s="92">
        <v>0</v>
      </c>
      <c r="N18" s="92">
        <v>0</v>
      </c>
      <c r="O18" s="6">
        <v>0</v>
      </c>
      <c r="P18" s="92">
        <v>651</v>
      </c>
      <c r="Q18" s="92">
        <v>0</v>
      </c>
      <c r="R18" s="92">
        <v>651</v>
      </c>
    </row>
    <row r="19" spans="1:18" x14ac:dyDescent="0.25">
      <c r="C19" s="6"/>
      <c r="D19" s="6"/>
      <c r="E19" s="6"/>
      <c r="F19" s="6"/>
      <c r="G19" s="6"/>
      <c r="H19" s="6"/>
      <c r="I19" s="92"/>
      <c r="J19" s="6"/>
      <c r="K19" s="92"/>
      <c r="L19" s="92"/>
      <c r="M19" s="92"/>
      <c r="N19" s="92"/>
      <c r="O19" s="6"/>
      <c r="P19" s="92"/>
      <c r="Q19" s="92"/>
      <c r="R19" s="92"/>
    </row>
    <row r="20" spans="1:18" x14ac:dyDescent="0.25">
      <c r="A20">
        <v>10610010</v>
      </c>
      <c r="B20" t="s">
        <v>1382</v>
      </c>
      <c r="C20" s="6">
        <v>1837.6000000000001</v>
      </c>
      <c r="D20" s="6">
        <v>77916.534707330793</v>
      </c>
      <c r="E20" s="6">
        <v>1378.2</v>
      </c>
      <c r="F20" s="6">
        <v>1745.72</v>
      </c>
      <c r="G20" s="6">
        <v>0</v>
      </c>
      <c r="H20" s="6">
        <v>183.76000000000002</v>
      </c>
      <c r="I20" s="92">
        <v>831.62846492280812</v>
      </c>
      <c r="J20" s="6">
        <v>2109</v>
      </c>
      <c r="K20" s="92">
        <v>1861</v>
      </c>
      <c r="L20" s="92">
        <v>0</v>
      </c>
      <c r="M20" s="92">
        <v>0</v>
      </c>
      <c r="N20" s="92">
        <v>0</v>
      </c>
      <c r="O20" s="6">
        <v>0</v>
      </c>
      <c r="P20" s="92">
        <v>248</v>
      </c>
      <c r="Q20" s="92">
        <v>0</v>
      </c>
      <c r="R20" s="92">
        <v>248</v>
      </c>
    </row>
    <row r="21" spans="1:18" x14ac:dyDescent="0.25">
      <c r="A21" t="s">
        <v>1667</v>
      </c>
      <c r="C21" s="6">
        <v>1837.6000000000001</v>
      </c>
      <c r="D21" s="6">
        <v>77916.534707330793</v>
      </c>
      <c r="E21" s="6">
        <v>1378.2</v>
      </c>
      <c r="F21" s="6">
        <v>1745.72</v>
      </c>
      <c r="G21" s="6">
        <v>0</v>
      </c>
      <c r="H21" s="6">
        <v>183.76000000000002</v>
      </c>
      <c r="I21" s="92">
        <v>831.62846492280812</v>
      </c>
      <c r="J21" s="6">
        <v>2109</v>
      </c>
      <c r="K21" s="92">
        <v>1861</v>
      </c>
      <c r="L21" s="92">
        <v>0</v>
      </c>
      <c r="M21" s="92">
        <v>0</v>
      </c>
      <c r="N21" s="92">
        <v>0</v>
      </c>
      <c r="O21" s="6">
        <v>0</v>
      </c>
      <c r="P21" s="92">
        <v>248</v>
      </c>
      <c r="Q21" s="92">
        <v>0</v>
      </c>
      <c r="R21" s="92">
        <v>248</v>
      </c>
    </row>
    <row r="22" spans="1:18" x14ac:dyDescent="0.25">
      <c r="C22" s="6"/>
      <c r="D22" s="6"/>
      <c r="E22" s="6"/>
      <c r="F22" s="6"/>
      <c r="G22" s="6"/>
      <c r="H22" s="6"/>
      <c r="I22" s="92"/>
      <c r="J22" s="6"/>
      <c r="K22" s="92"/>
      <c r="L22" s="92"/>
      <c r="M22" s="92"/>
      <c r="N22" s="92"/>
      <c r="O22" s="6"/>
      <c r="P22" s="92"/>
      <c r="Q22" s="92"/>
      <c r="R22" s="92"/>
    </row>
    <row r="23" spans="1:18" x14ac:dyDescent="0.25">
      <c r="A23">
        <v>10610009</v>
      </c>
      <c r="B23" t="s">
        <v>1399</v>
      </c>
      <c r="C23" s="6">
        <v>3795.06</v>
      </c>
      <c r="D23" s="6">
        <v>170116.62224452797</v>
      </c>
      <c r="E23" s="6">
        <v>2846.2950000000001</v>
      </c>
      <c r="F23" s="6">
        <v>3605.3069999999998</v>
      </c>
      <c r="G23" s="6">
        <v>979.39073105399996</v>
      </c>
      <c r="H23" s="6">
        <v>379.50600000000003</v>
      </c>
      <c r="I23" s="92">
        <v>0</v>
      </c>
      <c r="J23" s="6">
        <v>7051</v>
      </c>
      <c r="K23" s="92">
        <v>3402.3324448905596</v>
      </c>
      <c r="L23" s="92">
        <v>0</v>
      </c>
      <c r="M23" s="92">
        <v>0</v>
      </c>
      <c r="N23" s="92">
        <v>0</v>
      </c>
      <c r="O23" s="6">
        <v>0</v>
      </c>
      <c r="P23" s="92">
        <v>3649</v>
      </c>
      <c r="Q23" s="92">
        <v>0</v>
      </c>
      <c r="R23" s="92">
        <v>3649</v>
      </c>
    </row>
    <row r="24" spans="1:18" x14ac:dyDescent="0.25">
      <c r="A24" t="s">
        <v>1668</v>
      </c>
      <c r="C24" s="6">
        <v>3795.06</v>
      </c>
      <c r="D24" s="6">
        <v>170116.62224452797</v>
      </c>
      <c r="E24" s="6">
        <v>2846.2950000000001</v>
      </c>
      <c r="F24" s="6">
        <v>3605.3069999999998</v>
      </c>
      <c r="G24" s="6">
        <v>979.39073105399996</v>
      </c>
      <c r="H24" s="6">
        <v>379.50600000000003</v>
      </c>
      <c r="I24" s="92">
        <v>0</v>
      </c>
      <c r="J24" s="6">
        <v>7051</v>
      </c>
      <c r="K24" s="92">
        <v>3402.3324448905596</v>
      </c>
      <c r="L24" s="92">
        <v>0</v>
      </c>
      <c r="M24" s="92">
        <v>0</v>
      </c>
      <c r="N24" s="92">
        <v>0</v>
      </c>
      <c r="O24" s="6">
        <v>0</v>
      </c>
      <c r="P24" s="92">
        <v>3649</v>
      </c>
      <c r="Q24" s="92">
        <v>0</v>
      </c>
      <c r="R24" s="92">
        <v>3649</v>
      </c>
    </row>
    <row r="25" spans="1:18" x14ac:dyDescent="0.25">
      <c r="C25" s="6"/>
      <c r="D25" s="6"/>
      <c r="E25" s="6"/>
      <c r="F25" s="6"/>
      <c r="G25" s="6"/>
      <c r="H25" s="6"/>
      <c r="I25" s="92"/>
      <c r="J25" s="6"/>
      <c r="K25" s="92"/>
      <c r="L25" s="92"/>
      <c r="M25" s="92"/>
      <c r="N25" s="92"/>
      <c r="O25" s="6"/>
      <c r="P25" s="92"/>
      <c r="Q25" s="92"/>
      <c r="R25" s="92"/>
    </row>
    <row r="26" spans="1:18" x14ac:dyDescent="0.25">
      <c r="A26">
        <v>10610001</v>
      </c>
      <c r="B26" t="s">
        <v>1460</v>
      </c>
      <c r="C26" s="6">
        <v>3502.2000000000007</v>
      </c>
      <c r="D26" s="6">
        <v>152429.46388925001</v>
      </c>
      <c r="E26" s="6">
        <v>2626.6500000000005</v>
      </c>
      <c r="F26" s="6">
        <v>3327.0900000000006</v>
      </c>
      <c r="G26" s="6">
        <v>1130.4824961265001</v>
      </c>
      <c r="H26" s="6">
        <v>350.22000000000008</v>
      </c>
      <c r="I26" s="92">
        <v>0</v>
      </c>
      <c r="J26" s="6">
        <v>6734</v>
      </c>
      <c r="K26" s="92">
        <v>0</v>
      </c>
      <c r="L26" s="92">
        <v>0</v>
      </c>
      <c r="M26" s="92">
        <v>0</v>
      </c>
      <c r="N26" s="92">
        <v>0</v>
      </c>
      <c r="O26" s="6">
        <v>0</v>
      </c>
      <c r="P26" s="92">
        <v>6734</v>
      </c>
      <c r="Q26" s="92">
        <v>0</v>
      </c>
      <c r="R26" s="92">
        <v>6734</v>
      </c>
    </row>
    <row r="27" spans="1:18" x14ac:dyDescent="0.25">
      <c r="A27" t="s">
        <v>1669</v>
      </c>
      <c r="C27" s="6">
        <v>3502.2000000000007</v>
      </c>
      <c r="D27" s="6">
        <v>152429.46388925001</v>
      </c>
      <c r="E27" s="6">
        <v>2626.6500000000005</v>
      </c>
      <c r="F27" s="6">
        <v>3327.0900000000006</v>
      </c>
      <c r="G27" s="6">
        <v>1130.4824961265001</v>
      </c>
      <c r="H27" s="6">
        <v>350.22000000000008</v>
      </c>
      <c r="I27" s="92">
        <v>0</v>
      </c>
      <c r="J27" s="6">
        <v>6734</v>
      </c>
      <c r="K27" s="92">
        <v>0</v>
      </c>
      <c r="L27" s="92">
        <v>0</v>
      </c>
      <c r="M27" s="92">
        <v>0</v>
      </c>
      <c r="N27" s="92">
        <v>0</v>
      </c>
      <c r="O27" s="6">
        <v>0</v>
      </c>
      <c r="P27" s="92">
        <v>6734</v>
      </c>
      <c r="Q27" s="92">
        <v>0</v>
      </c>
      <c r="R27" s="92">
        <v>6734</v>
      </c>
    </row>
    <row r="28" spans="1:18" x14ac:dyDescent="0.25">
      <c r="C28" s="6"/>
      <c r="D28" s="6"/>
      <c r="E28" s="6"/>
      <c r="F28" s="6"/>
      <c r="G28" s="6"/>
      <c r="H28" s="6"/>
      <c r="I28" s="92"/>
      <c r="J28" s="6"/>
      <c r="K28" s="92"/>
      <c r="L28" s="92"/>
      <c r="M28" s="92"/>
      <c r="N28" s="92"/>
      <c r="O28" s="6"/>
      <c r="P28" s="92"/>
      <c r="Q28" s="92"/>
      <c r="R28" s="92"/>
    </row>
    <row r="29" spans="1:18" x14ac:dyDescent="0.25">
      <c r="A29">
        <v>10610003</v>
      </c>
      <c r="B29" t="s">
        <v>1461</v>
      </c>
      <c r="C29" s="6">
        <v>1637.5000000000002</v>
      </c>
      <c r="D29" s="6">
        <v>64818.104748269994</v>
      </c>
      <c r="E29" s="6">
        <v>1228.1250000000002</v>
      </c>
      <c r="F29" s="6">
        <v>1555.6250000000002</v>
      </c>
      <c r="G29" s="6">
        <v>0</v>
      </c>
      <c r="H29" s="6">
        <v>163.75000000000003</v>
      </c>
      <c r="I29" s="92">
        <v>0</v>
      </c>
      <c r="J29" s="6">
        <v>2620</v>
      </c>
      <c r="K29" s="92">
        <v>0</v>
      </c>
      <c r="L29" s="92">
        <v>0</v>
      </c>
      <c r="M29" s="92">
        <v>0</v>
      </c>
      <c r="N29" s="92">
        <v>0</v>
      </c>
      <c r="O29" s="6">
        <v>0</v>
      </c>
      <c r="P29" s="92">
        <v>2620</v>
      </c>
      <c r="Q29" s="92">
        <v>0</v>
      </c>
      <c r="R29" s="92">
        <v>2620</v>
      </c>
    </row>
    <row r="30" spans="1:18" x14ac:dyDescent="0.25">
      <c r="A30" t="s">
        <v>1670</v>
      </c>
      <c r="C30" s="6">
        <v>1637.5000000000002</v>
      </c>
      <c r="D30" s="6">
        <v>64818.104748269994</v>
      </c>
      <c r="E30" s="6">
        <v>1228.1250000000002</v>
      </c>
      <c r="F30" s="6">
        <v>1555.6250000000002</v>
      </c>
      <c r="G30" s="6">
        <v>0</v>
      </c>
      <c r="H30" s="6">
        <v>163.75000000000003</v>
      </c>
      <c r="I30" s="92">
        <v>0</v>
      </c>
      <c r="J30" s="6">
        <v>2620</v>
      </c>
      <c r="K30" s="92">
        <v>0</v>
      </c>
      <c r="L30" s="92">
        <v>0</v>
      </c>
      <c r="M30" s="92">
        <v>0</v>
      </c>
      <c r="N30" s="92">
        <v>0</v>
      </c>
      <c r="O30" s="6">
        <v>0</v>
      </c>
      <c r="P30" s="92">
        <v>2620</v>
      </c>
      <c r="Q30" s="92">
        <v>0</v>
      </c>
      <c r="R30" s="92">
        <v>2620</v>
      </c>
    </row>
    <row r="31" spans="1:18" x14ac:dyDescent="0.25">
      <c r="C31" s="6"/>
      <c r="D31" s="6"/>
      <c r="E31" s="6"/>
      <c r="F31" s="6"/>
      <c r="G31" s="6"/>
      <c r="H31" s="6"/>
      <c r="I31" s="92"/>
      <c r="J31" s="6"/>
      <c r="K31" s="92"/>
      <c r="L31" s="92"/>
      <c r="M31" s="92"/>
      <c r="N31" s="92"/>
      <c r="O31" s="6"/>
      <c r="P31" s="92"/>
      <c r="Q31" s="92"/>
      <c r="R31" s="92"/>
    </row>
    <row r="32" spans="1:18" x14ac:dyDescent="0.25">
      <c r="A32">
        <v>10610004</v>
      </c>
      <c r="B32" t="s">
        <v>1462</v>
      </c>
      <c r="C32" s="6">
        <v>651.9</v>
      </c>
      <c r="D32" s="6">
        <v>27768.048748979501</v>
      </c>
      <c r="E32" s="6">
        <v>488.92499999999995</v>
      </c>
      <c r="F32" s="6">
        <v>619.30499999999995</v>
      </c>
      <c r="G32" s="6">
        <v>609.17569023213014</v>
      </c>
      <c r="H32" s="6">
        <v>65.19</v>
      </c>
      <c r="I32" s="92">
        <v>0</v>
      </c>
      <c r="J32" s="6">
        <v>1652</v>
      </c>
      <c r="K32" s="92">
        <v>0</v>
      </c>
      <c r="L32" s="92">
        <v>0</v>
      </c>
      <c r="M32" s="92">
        <v>0</v>
      </c>
      <c r="N32" s="92">
        <v>0</v>
      </c>
      <c r="O32" s="6">
        <v>0</v>
      </c>
      <c r="P32" s="92">
        <v>1652</v>
      </c>
      <c r="Q32" s="92">
        <v>0</v>
      </c>
      <c r="R32" s="92">
        <v>1652</v>
      </c>
    </row>
    <row r="33" spans="1:18" x14ac:dyDescent="0.25">
      <c r="A33" t="s">
        <v>1671</v>
      </c>
      <c r="C33" s="6">
        <v>651.9</v>
      </c>
      <c r="D33" s="6">
        <v>27768.048748979501</v>
      </c>
      <c r="E33" s="6">
        <v>488.92499999999995</v>
      </c>
      <c r="F33" s="6">
        <v>619.30499999999995</v>
      </c>
      <c r="G33" s="6">
        <v>609.17569023213014</v>
      </c>
      <c r="H33" s="6">
        <v>65.19</v>
      </c>
      <c r="I33" s="92">
        <v>0</v>
      </c>
      <c r="J33" s="6">
        <v>1652</v>
      </c>
      <c r="K33" s="92">
        <v>0</v>
      </c>
      <c r="L33" s="92">
        <v>0</v>
      </c>
      <c r="M33" s="92">
        <v>0</v>
      </c>
      <c r="N33" s="92">
        <v>0</v>
      </c>
      <c r="O33" s="6">
        <v>0</v>
      </c>
      <c r="P33" s="92">
        <v>1652</v>
      </c>
      <c r="Q33" s="92">
        <v>0</v>
      </c>
      <c r="R33" s="92">
        <v>1652</v>
      </c>
    </row>
    <row r="34" spans="1:18" x14ac:dyDescent="0.25">
      <c r="C34" s="6"/>
      <c r="D34" s="6"/>
      <c r="E34" s="6"/>
      <c r="F34" s="6"/>
      <c r="G34" s="6"/>
      <c r="H34" s="6"/>
      <c r="I34" s="92"/>
      <c r="J34" s="6"/>
      <c r="K34" s="92"/>
      <c r="L34" s="92"/>
      <c r="M34" s="92"/>
      <c r="N34" s="92"/>
      <c r="O34" s="6"/>
      <c r="P34" s="92"/>
      <c r="Q34" s="92"/>
      <c r="R34" s="92"/>
    </row>
    <row r="35" spans="1:18" x14ac:dyDescent="0.25">
      <c r="A35">
        <v>10610005</v>
      </c>
      <c r="B35" t="s">
        <v>467</v>
      </c>
      <c r="C35" s="6">
        <v>1786.0000000000002</v>
      </c>
      <c r="D35" s="6">
        <v>75963.544551143001</v>
      </c>
      <c r="E35" s="6">
        <v>1339.5000000000002</v>
      </c>
      <c r="F35" s="6">
        <v>1696.7</v>
      </c>
      <c r="G35" s="6">
        <v>0</v>
      </c>
      <c r="H35" s="6">
        <v>178.60000000000002</v>
      </c>
      <c r="I35" s="92">
        <v>0</v>
      </c>
      <c r="J35" s="6">
        <v>2858</v>
      </c>
      <c r="K35" s="92">
        <v>0</v>
      </c>
      <c r="L35" s="92">
        <v>0</v>
      </c>
      <c r="M35" s="92">
        <v>0</v>
      </c>
      <c r="N35" s="92">
        <v>0</v>
      </c>
      <c r="O35" s="6">
        <v>0</v>
      </c>
      <c r="P35" s="92">
        <v>2858</v>
      </c>
      <c r="Q35" s="92">
        <v>0</v>
      </c>
      <c r="R35" s="92">
        <v>2858</v>
      </c>
    </row>
    <row r="36" spans="1:18" x14ac:dyDescent="0.25">
      <c r="A36" t="s">
        <v>1672</v>
      </c>
      <c r="C36" s="6">
        <v>1786.0000000000002</v>
      </c>
      <c r="D36" s="6">
        <v>75963.544551143001</v>
      </c>
      <c r="E36" s="6">
        <v>1339.5000000000002</v>
      </c>
      <c r="F36" s="6">
        <v>1696.7</v>
      </c>
      <c r="G36" s="6">
        <v>0</v>
      </c>
      <c r="H36" s="6">
        <v>178.60000000000002</v>
      </c>
      <c r="I36" s="92">
        <v>0</v>
      </c>
      <c r="J36" s="6">
        <v>2858</v>
      </c>
      <c r="K36" s="92">
        <v>0</v>
      </c>
      <c r="L36" s="92">
        <v>0</v>
      </c>
      <c r="M36" s="92">
        <v>0</v>
      </c>
      <c r="N36" s="92">
        <v>0</v>
      </c>
      <c r="O36" s="6">
        <v>0</v>
      </c>
      <c r="P36" s="92">
        <v>2858</v>
      </c>
      <c r="Q36" s="92">
        <v>0</v>
      </c>
      <c r="R36" s="92">
        <v>2858</v>
      </c>
    </row>
    <row r="37" spans="1:18" x14ac:dyDescent="0.25">
      <c r="C37" s="6"/>
      <c r="D37" s="6"/>
      <c r="E37" s="6"/>
      <c r="F37" s="6"/>
      <c r="G37" s="6"/>
      <c r="H37" s="6"/>
      <c r="I37" s="92"/>
      <c r="J37" s="6"/>
      <c r="K37" s="92"/>
      <c r="L37" s="92"/>
      <c r="M37" s="92"/>
      <c r="N37" s="92"/>
      <c r="O37" s="6"/>
      <c r="P37" s="92"/>
      <c r="Q37" s="92"/>
      <c r="R37" s="92"/>
    </row>
    <row r="38" spans="1:18" x14ac:dyDescent="0.25">
      <c r="A38">
        <v>10610011</v>
      </c>
      <c r="B38" t="s">
        <v>1463</v>
      </c>
      <c r="C38" s="6">
        <v>1217.5999999999999</v>
      </c>
      <c r="D38" s="6">
        <v>48086.76912395408</v>
      </c>
      <c r="E38" s="6">
        <v>913.19999999999993</v>
      </c>
      <c r="F38" s="6">
        <v>1156.7199999999998</v>
      </c>
      <c r="G38" s="6">
        <v>0</v>
      </c>
      <c r="H38" s="6">
        <v>121.75999999999999</v>
      </c>
      <c r="I38" s="92">
        <v>0</v>
      </c>
      <c r="J38" s="6">
        <v>1948</v>
      </c>
      <c r="K38" s="92">
        <v>0</v>
      </c>
      <c r="L38" s="92">
        <v>0</v>
      </c>
      <c r="M38" s="92">
        <v>0</v>
      </c>
      <c r="N38" s="92">
        <v>0</v>
      </c>
      <c r="O38" s="6">
        <v>0</v>
      </c>
      <c r="P38" s="92">
        <v>1948</v>
      </c>
      <c r="Q38" s="92">
        <v>0</v>
      </c>
      <c r="R38" s="92">
        <v>1948</v>
      </c>
    </row>
    <row r="39" spans="1:18" x14ac:dyDescent="0.25">
      <c r="A39" t="s">
        <v>1673</v>
      </c>
      <c r="C39" s="6">
        <v>1217.5999999999999</v>
      </c>
      <c r="D39" s="6">
        <v>48086.76912395408</v>
      </c>
      <c r="E39" s="6">
        <v>913.19999999999993</v>
      </c>
      <c r="F39" s="6">
        <v>1156.7199999999998</v>
      </c>
      <c r="G39" s="6">
        <v>0</v>
      </c>
      <c r="H39" s="6">
        <v>121.75999999999999</v>
      </c>
      <c r="I39" s="92">
        <v>0</v>
      </c>
      <c r="J39" s="6">
        <v>1948</v>
      </c>
      <c r="K39" s="92">
        <v>0</v>
      </c>
      <c r="L39" s="92">
        <v>0</v>
      </c>
      <c r="M39" s="92">
        <v>0</v>
      </c>
      <c r="N39" s="92">
        <v>0</v>
      </c>
      <c r="O39" s="6">
        <v>0</v>
      </c>
      <c r="P39" s="92">
        <v>1948</v>
      </c>
      <c r="Q39" s="92">
        <v>0</v>
      </c>
      <c r="R39" s="92">
        <v>1948</v>
      </c>
    </row>
    <row r="40" spans="1:18" x14ac:dyDescent="0.25">
      <c r="C40" s="6"/>
      <c r="D40" s="6"/>
      <c r="E40" s="6"/>
      <c r="F40" s="6"/>
      <c r="G40" s="6"/>
      <c r="H40" s="6"/>
      <c r="I40" s="92"/>
      <c r="J40" s="6"/>
      <c r="K40" s="92"/>
      <c r="L40" s="92"/>
      <c r="M40" s="92"/>
      <c r="N40" s="92"/>
      <c r="O40" s="6"/>
      <c r="P40" s="92"/>
      <c r="Q40" s="92"/>
      <c r="R40" s="92"/>
    </row>
    <row r="41" spans="1:18" x14ac:dyDescent="0.25">
      <c r="A41">
        <v>10610013</v>
      </c>
      <c r="B41" t="s">
        <v>1464</v>
      </c>
      <c r="C41" s="6">
        <v>1083.8</v>
      </c>
      <c r="D41" s="6">
        <v>39638.403585602995</v>
      </c>
      <c r="E41" s="6">
        <v>812.84999999999991</v>
      </c>
      <c r="F41" s="6">
        <v>1029.6099999999999</v>
      </c>
      <c r="G41" s="6">
        <v>0</v>
      </c>
      <c r="H41" s="6">
        <v>108.38</v>
      </c>
      <c r="I41" s="92">
        <v>0</v>
      </c>
      <c r="J41" s="6">
        <v>1734</v>
      </c>
      <c r="K41" s="92">
        <v>0</v>
      </c>
      <c r="L41" s="92">
        <v>0</v>
      </c>
      <c r="M41" s="92">
        <v>0</v>
      </c>
      <c r="N41" s="92">
        <v>0</v>
      </c>
      <c r="O41" s="6">
        <v>0</v>
      </c>
      <c r="P41" s="92">
        <v>1734</v>
      </c>
      <c r="Q41" s="92">
        <v>0</v>
      </c>
      <c r="R41" s="92">
        <v>1734</v>
      </c>
    </row>
    <row r="42" spans="1:18" x14ac:dyDescent="0.25">
      <c r="A42" t="s">
        <v>1674</v>
      </c>
      <c r="C42" s="6">
        <v>1083.8</v>
      </c>
      <c r="D42" s="6">
        <v>39638.403585602995</v>
      </c>
      <c r="E42" s="6">
        <v>812.84999999999991</v>
      </c>
      <c r="F42" s="6">
        <v>1029.6099999999999</v>
      </c>
      <c r="G42" s="6">
        <v>0</v>
      </c>
      <c r="H42" s="6">
        <v>108.38</v>
      </c>
      <c r="I42" s="92">
        <v>0</v>
      </c>
      <c r="J42" s="6">
        <v>1734</v>
      </c>
      <c r="K42" s="92">
        <v>0</v>
      </c>
      <c r="L42" s="92">
        <v>0</v>
      </c>
      <c r="M42" s="92">
        <v>0</v>
      </c>
      <c r="N42" s="92">
        <v>0</v>
      </c>
      <c r="O42" s="6">
        <v>0</v>
      </c>
      <c r="P42" s="92">
        <v>1734</v>
      </c>
      <c r="Q42" s="92">
        <v>0</v>
      </c>
      <c r="R42" s="92">
        <v>1734</v>
      </c>
    </row>
    <row r="43" spans="1:18" x14ac:dyDescent="0.25">
      <c r="C43" s="6"/>
      <c r="D43" s="6"/>
      <c r="E43" s="6"/>
      <c r="F43" s="6"/>
      <c r="G43" s="6"/>
      <c r="H43" s="6"/>
      <c r="I43" s="92"/>
      <c r="J43" s="6"/>
      <c r="K43" s="92"/>
      <c r="L43" s="92"/>
      <c r="M43" s="92"/>
      <c r="N43" s="92"/>
      <c r="O43" s="6"/>
      <c r="P43" s="92"/>
      <c r="Q43" s="92"/>
      <c r="R43" s="92"/>
    </row>
    <row r="44" spans="1:18" x14ac:dyDescent="0.25">
      <c r="A44">
        <v>10610015</v>
      </c>
      <c r="B44" t="s">
        <v>1453</v>
      </c>
      <c r="C44" s="6">
        <v>1024.5999999999999</v>
      </c>
      <c r="D44" s="6">
        <v>36365.173771550006</v>
      </c>
      <c r="E44" s="6">
        <v>768.44999999999993</v>
      </c>
      <c r="F44" s="6">
        <v>973.36999999999989</v>
      </c>
      <c r="G44" s="6">
        <v>0</v>
      </c>
      <c r="H44" s="6">
        <v>102.46</v>
      </c>
      <c r="I44" s="92">
        <v>0</v>
      </c>
      <c r="J44" s="6">
        <v>1639</v>
      </c>
      <c r="K44" s="92">
        <v>0</v>
      </c>
      <c r="L44" s="92">
        <v>0</v>
      </c>
      <c r="M44" s="92">
        <v>0</v>
      </c>
      <c r="N44" s="92">
        <v>0</v>
      </c>
      <c r="O44" s="6">
        <v>0</v>
      </c>
      <c r="P44" s="92">
        <v>1639</v>
      </c>
      <c r="Q44" s="92">
        <v>0</v>
      </c>
      <c r="R44" s="92">
        <v>1639</v>
      </c>
    </row>
    <row r="45" spans="1:18" x14ac:dyDescent="0.25">
      <c r="A45" t="s">
        <v>1675</v>
      </c>
      <c r="C45" s="6">
        <v>1024.5999999999999</v>
      </c>
      <c r="D45" s="6">
        <v>36365.173771550006</v>
      </c>
      <c r="E45" s="6">
        <v>768.44999999999993</v>
      </c>
      <c r="F45" s="6">
        <v>973.36999999999989</v>
      </c>
      <c r="G45" s="6">
        <v>0</v>
      </c>
      <c r="H45" s="6">
        <v>102.46</v>
      </c>
      <c r="I45" s="92">
        <v>0</v>
      </c>
      <c r="J45" s="6">
        <v>1639</v>
      </c>
      <c r="K45" s="92">
        <v>0</v>
      </c>
      <c r="L45" s="92">
        <v>0</v>
      </c>
      <c r="M45" s="92">
        <v>0</v>
      </c>
      <c r="N45" s="92">
        <v>0</v>
      </c>
      <c r="O45" s="6">
        <v>0</v>
      </c>
      <c r="P45" s="92">
        <v>1639</v>
      </c>
      <c r="Q45" s="92">
        <v>0</v>
      </c>
      <c r="R45" s="92">
        <v>1639</v>
      </c>
    </row>
    <row r="46" spans="1:18" x14ac:dyDescent="0.25">
      <c r="C46" s="6"/>
      <c r="D46" s="6"/>
      <c r="E46" s="6"/>
      <c r="F46" s="6"/>
      <c r="G46" s="6"/>
      <c r="H46" s="6"/>
      <c r="I46" s="92"/>
      <c r="J46" s="6"/>
      <c r="K46" s="92"/>
      <c r="L46" s="92"/>
      <c r="M46" s="92"/>
      <c r="N46" s="92"/>
      <c r="O46" s="6"/>
      <c r="P46" s="92"/>
      <c r="Q46" s="92"/>
      <c r="R46" s="92"/>
    </row>
    <row r="47" spans="1:18" x14ac:dyDescent="0.25">
      <c r="A47">
        <v>10610017</v>
      </c>
      <c r="B47" t="s">
        <v>1465</v>
      </c>
      <c r="C47" s="6">
        <v>810.19999999999993</v>
      </c>
      <c r="D47" s="6">
        <v>32818.884989066995</v>
      </c>
      <c r="E47" s="6">
        <v>607.65</v>
      </c>
      <c r="F47" s="6">
        <v>769.68999999999994</v>
      </c>
      <c r="G47" s="6">
        <v>0</v>
      </c>
      <c r="H47" s="6">
        <v>81.02</v>
      </c>
      <c r="I47" s="92">
        <v>0</v>
      </c>
      <c r="J47" s="6">
        <v>1296</v>
      </c>
      <c r="K47" s="92">
        <v>0</v>
      </c>
      <c r="L47" s="92">
        <v>0</v>
      </c>
      <c r="M47" s="92">
        <v>0</v>
      </c>
      <c r="N47" s="92">
        <v>0</v>
      </c>
      <c r="O47" s="6">
        <v>0</v>
      </c>
      <c r="P47" s="92">
        <v>1296</v>
      </c>
      <c r="Q47" s="92">
        <v>0</v>
      </c>
      <c r="R47" s="92">
        <v>1296</v>
      </c>
    </row>
    <row r="48" spans="1:18" x14ac:dyDescent="0.25">
      <c r="A48" t="s">
        <v>1676</v>
      </c>
      <c r="C48" s="6">
        <v>810.19999999999993</v>
      </c>
      <c r="D48" s="6">
        <v>32818.884989066995</v>
      </c>
      <c r="E48" s="6">
        <v>607.65</v>
      </c>
      <c r="F48" s="6">
        <v>769.68999999999994</v>
      </c>
      <c r="G48" s="6">
        <v>0</v>
      </c>
      <c r="H48" s="6">
        <v>81.02</v>
      </c>
      <c r="I48" s="92">
        <v>0</v>
      </c>
      <c r="J48" s="6">
        <v>1296</v>
      </c>
      <c r="K48" s="92">
        <v>0</v>
      </c>
      <c r="L48" s="92">
        <v>0</v>
      </c>
      <c r="M48" s="92">
        <v>0</v>
      </c>
      <c r="N48" s="92">
        <v>0</v>
      </c>
      <c r="O48" s="6">
        <v>0</v>
      </c>
      <c r="P48" s="92">
        <v>1296</v>
      </c>
      <c r="Q48" s="92">
        <v>0</v>
      </c>
      <c r="R48" s="92">
        <v>1296</v>
      </c>
    </row>
    <row r="49" spans="1:18" x14ac:dyDescent="0.25">
      <c r="C49" s="6"/>
      <c r="D49" s="6"/>
      <c r="E49" s="6"/>
      <c r="F49" s="6"/>
      <c r="G49" s="6"/>
      <c r="H49" s="6"/>
      <c r="I49" s="92"/>
      <c r="J49" s="6"/>
      <c r="K49" s="92"/>
      <c r="L49" s="92"/>
      <c r="M49" s="92"/>
      <c r="N49" s="92"/>
      <c r="O49" s="6"/>
      <c r="P49" s="92"/>
      <c r="Q49" s="92"/>
      <c r="R49" s="92"/>
    </row>
    <row r="50" spans="1:18" x14ac:dyDescent="0.25">
      <c r="A50">
        <v>10610018</v>
      </c>
      <c r="B50" t="s">
        <v>1466</v>
      </c>
      <c r="C50" s="6">
        <v>1931.5</v>
      </c>
      <c r="D50" s="6">
        <v>85431.683812514006</v>
      </c>
      <c r="E50" s="6">
        <v>1448.625</v>
      </c>
      <c r="F50" s="6">
        <v>1834.925</v>
      </c>
      <c r="G50" s="6">
        <v>0</v>
      </c>
      <c r="H50" s="6">
        <v>193.15</v>
      </c>
      <c r="I50" s="92">
        <v>0</v>
      </c>
      <c r="J50" s="6">
        <v>3090</v>
      </c>
      <c r="K50" s="92">
        <v>0</v>
      </c>
      <c r="L50" s="92">
        <v>0</v>
      </c>
      <c r="M50" s="92">
        <v>0</v>
      </c>
      <c r="N50" s="92">
        <v>0</v>
      </c>
      <c r="O50" s="6">
        <v>0</v>
      </c>
      <c r="P50" s="92">
        <v>3090</v>
      </c>
      <c r="Q50" s="92">
        <v>0</v>
      </c>
      <c r="R50" s="92">
        <v>3090</v>
      </c>
    </row>
    <row r="51" spans="1:18" x14ac:dyDescent="0.25">
      <c r="A51" t="s">
        <v>1677</v>
      </c>
      <c r="C51" s="6">
        <v>1931.5</v>
      </c>
      <c r="D51" s="6">
        <v>85431.683812514006</v>
      </c>
      <c r="E51" s="6">
        <v>1448.625</v>
      </c>
      <c r="F51" s="6">
        <v>1834.925</v>
      </c>
      <c r="G51" s="6">
        <v>0</v>
      </c>
      <c r="H51" s="6">
        <v>193.15</v>
      </c>
      <c r="I51" s="92">
        <v>0</v>
      </c>
      <c r="J51" s="6">
        <v>3090</v>
      </c>
      <c r="K51" s="92">
        <v>0</v>
      </c>
      <c r="L51" s="92">
        <v>0</v>
      </c>
      <c r="M51" s="92">
        <v>0</v>
      </c>
      <c r="N51" s="92">
        <v>0</v>
      </c>
      <c r="O51" s="6">
        <v>0</v>
      </c>
      <c r="P51" s="92">
        <v>3090</v>
      </c>
      <c r="Q51" s="92">
        <v>0</v>
      </c>
      <c r="R51" s="92">
        <v>3090</v>
      </c>
    </row>
    <row r="52" spans="1:18" x14ac:dyDescent="0.25">
      <c r="C52" s="6"/>
      <c r="D52" s="6"/>
      <c r="E52" s="6"/>
      <c r="F52" s="6"/>
      <c r="G52" s="6"/>
      <c r="H52" s="6"/>
      <c r="I52" s="92"/>
      <c r="J52" s="6"/>
      <c r="K52" s="92"/>
      <c r="L52" s="92"/>
      <c r="M52" s="92"/>
      <c r="N52" s="92"/>
      <c r="O52" s="6"/>
      <c r="P52" s="92"/>
      <c r="Q52" s="92"/>
      <c r="R52" s="92"/>
    </row>
    <row r="53" spans="1:18" x14ac:dyDescent="0.25">
      <c r="A53">
        <v>10610020</v>
      </c>
      <c r="B53" t="s">
        <v>1467</v>
      </c>
      <c r="C53" s="6">
        <v>1607.4999999999998</v>
      </c>
      <c r="D53" s="6">
        <v>65022.825328003004</v>
      </c>
      <c r="E53" s="6">
        <v>1205.6249999999998</v>
      </c>
      <c r="F53" s="6">
        <v>1527.1249999999998</v>
      </c>
      <c r="G53" s="6">
        <v>0</v>
      </c>
      <c r="H53" s="6">
        <v>160.75</v>
      </c>
      <c r="I53" s="92">
        <v>0</v>
      </c>
      <c r="J53" s="6">
        <v>2572</v>
      </c>
      <c r="K53" s="92">
        <v>0</v>
      </c>
      <c r="L53" s="92">
        <v>0</v>
      </c>
      <c r="M53" s="92">
        <v>0</v>
      </c>
      <c r="N53" s="92">
        <v>0</v>
      </c>
      <c r="O53" s="6">
        <v>0</v>
      </c>
      <c r="P53" s="92">
        <v>2572</v>
      </c>
      <c r="Q53" s="92">
        <v>0</v>
      </c>
      <c r="R53" s="92">
        <v>2572</v>
      </c>
    </row>
    <row r="54" spans="1:18" x14ac:dyDescent="0.25">
      <c r="A54" t="s">
        <v>1678</v>
      </c>
      <c r="C54" s="6">
        <v>1607.4999999999998</v>
      </c>
      <c r="D54" s="6">
        <v>65022.825328003004</v>
      </c>
      <c r="E54" s="6">
        <v>1205.6249999999998</v>
      </c>
      <c r="F54" s="6">
        <v>1527.1249999999998</v>
      </c>
      <c r="G54" s="6">
        <v>0</v>
      </c>
      <c r="H54" s="6">
        <v>160.75</v>
      </c>
      <c r="I54" s="92">
        <v>0</v>
      </c>
      <c r="J54" s="6">
        <v>2572</v>
      </c>
      <c r="K54" s="92">
        <v>0</v>
      </c>
      <c r="L54" s="92">
        <v>0</v>
      </c>
      <c r="M54" s="92">
        <v>0</v>
      </c>
      <c r="N54" s="92">
        <v>0</v>
      </c>
      <c r="O54" s="6">
        <v>0</v>
      </c>
      <c r="P54" s="92">
        <v>2572</v>
      </c>
      <c r="Q54" s="92">
        <v>0</v>
      </c>
      <c r="R54" s="92">
        <v>2572</v>
      </c>
    </row>
    <row r="55" spans="1:18" x14ac:dyDescent="0.25">
      <c r="C55" s="6"/>
      <c r="D55" s="6"/>
      <c r="E55" s="6"/>
      <c r="F55" s="6"/>
      <c r="G55" s="6"/>
      <c r="H55" s="6"/>
      <c r="I55" s="92"/>
      <c r="J55" s="6"/>
      <c r="K55" s="92"/>
      <c r="L55" s="92"/>
      <c r="M55" s="92"/>
      <c r="N55" s="92"/>
      <c r="O55" s="6"/>
      <c r="P55" s="92"/>
      <c r="Q55" s="92"/>
      <c r="R55" s="92"/>
    </row>
    <row r="56" spans="1:18" x14ac:dyDescent="0.25">
      <c r="A56">
        <v>10610022</v>
      </c>
      <c r="B56" t="s">
        <v>1468</v>
      </c>
      <c r="C56" s="6">
        <v>924.90000000000009</v>
      </c>
      <c r="D56" s="6">
        <v>39161.727273500699</v>
      </c>
      <c r="E56" s="6">
        <v>693.67500000000007</v>
      </c>
      <c r="F56" s="6">
        <v>878.65500000000009</v>
      </c>
      <c r="G56" s="6">
        <v>0</v>
      </c>
      <c r="H56" s="6">
        <v>92.490000000000009</v>
      </c>
      <c r="I56" s="92">
        <v>0</v>
      </c>
      <c r="J56" s="6">
        <v>1480</v>
      </c>
      <c r="K56" s="92">
        <v>0</v>
      </c>
      <c r="L56" s="92">
        <v>0</v>
      </c>
      <c r="M56" s="92">
        <v>0</v>
      </c>
      <c r="N56" s="92">
        <v>0</v>
      </c>
      <c r="O56" s="6">
        <v>0</v>
      </c>
      <c r="P56" s="92">
        <v>1480</v>
      </c>
      <c r="Q56" s="92">
        <v>0</v>
      </c>
      <c r="R56" s="92">
        <v>1480</v>
      </c>
    </row>
    <row r="57" spans="1:18" x14ac:dyDescent="0.25">
      <c r="A57" t="s">
        <v>1679</v>
      </c>
      <c r="C57" s="6">
        <v>924.90000000000009</v>
      </c>
      <c r="D57" s="6">
        <v>39161.727273500699</v>
      </c>
      <c r="E57" s="6">
        <v>693.67500000000007</v>
      </c>
      <c r="F57" s="6">
        <v>878.65500000000009</v>
      </c>
      <c r="G57" s="6">
        <v>0</v>
      </c>
      <c r="H57" s="6">
        <v>92.490000000000009</v>
      </c>
      <c r="I57" s="92">
        <v>0</v>
      </c>
      <c r="J57" s="6">
        <v>1480</v>
      </c>
      <c r="K57" s="92">
        <v>0</v>
      </c>
      <c r="L57" s="92">
        <v>0</v>
      </c>
      <c r="M57" s="92">
        <v>0</v>
      </c>
      <c r="N57" s="92">
        <v>0</v>
      </c>
      <c r="O57" s="6">
        <v>0</v>
      </c>
      <c r="P57" s="92">
        <v>1480</v>
      </c>
      <c r="Q57" s="92">
        <v>0</v>
      </c>
      <c r="R57" s="92">
        <v>1480</v>
      </c>
    </row>
    <row r="58" spans="1:18" x14ac:dyDescent="0.25">
      <c r="C58" s="6"/>
      <c r="D58" s="6"/>
      <c r="E58" s="6"/>
      <c r="F58" s="6"/>
      <c r="G58" s="6"/>
      <c r="H58" s="6"/>
      <c r="I58" s="92"/>
      <c r="J58" s="6"/>
      <c r="K58" s="92"/>
      <c r="L58" s="92"/>
      <c r="M58" s="92"/>
      <c r="N58" s="92"/>
      <c r="O58" s="6"/>
      <c r="P58" s="92"/>
      <c r="Q58" s="92"/>
      <c r="R58" s="92"/>
    </row>
    <row r="59" spans="1:18" x14ac:dyDescent="0.25">
      <c r="A59">
        <v>10610025</v>
      </c>
      <c r="B59" t="s">
        <v>1469</v>
      </c>
      <c r="C59" s="6">
        <v>153.20000000000002</v>
      </c>
      <c r="D59" s="6">
        <v>5588.22</v>
      </c>
      <c r="E59" s="6">
        <v>114.9</v>
      </c>
      <c r="F59" s="6">
        <v>145.54000000000002</v>
      </c>
      <c r="G59" s="6">
        <v>0</v>
      </c>
      <c r="H59" s="6">
        <v>15.320000000000002</v>
      </c>
      <c r="I59" s="92">
        <v>0</v>
      </c>
      <c r="J59" s="6">
        <v>245</v>
      </c>
      <c r="K59" s="92">
        <v>0</v>
      </c>
      <c r="L59" s="92">
        <v>0</v>
      </c>
      <c r="M59" s="92">
        <v>0</v>
      </c>
      <c r="N59" s="92">
        <v>0</v>
      </c>
      <c r="O59" s="6">
        <v>0</v>
      </c>
      <c r="P59" s="92">
        <v>245</v>
      </c>
      <c r="Q59" s="92">
        <v>0</v>
      </c>
      <c r="R59" s="92">
        <v>245</v>
      </c>
    </row>
    <row r="60" spans="1:18" x14ac:dyDescent="0.25">
      <c r="A60" t="s">
        <v>1680</v>
      </c>
      <c r="C60" s="6">
        <v>153.20000000000002</v>
      </c>
      <c r="D60" s="6">
        <v>5588.22</v>
      </c>
      <c r="E60" s="6">
        <v>114.9</v>
      </c>
      <c r="F60" s="6">
        <v>145.54000000000002</v>
      </c>
      <c r="G60" s="6">
        <v>0</v>
      </c>
      <c r="H60" s="6">
        <v>15.320000000000002</v>
      </c>
      <c r="I60" s="92">
        <v>0</v>
      </c>
      <c r="J60" s="6">
        <v>245</v>
      </c>
      <c r="K60" s="92">
        <v>0</v>
      </c>
      <c r="L60" s="92">
        <v>0</v>
      </c>
      <c r="M60" s="92">
        <v>0</v>
      </c>
      <c r="N60" s="92">
        <v>0</v>
      </c>
      <c r="O60" s="6">
        <v>0</v>
      </c>
      <c r="P60" s="92">
        <v>245</v>
      </c>
      <c r="Q60" s="92">
        <v>0</v>
      </c>
      <c r="R60" s="92">
        <v>245</v>
      </c>
    </row>
    <row r="61" spans="1:18" x14ac:dyDescent="0.25">
      <c r="C61" s="6"/>
      <c r="D61" s="6"/>
      <c r="E61" s="6"/>
      <c r="F61" s="6"/>
      <c r="G61" s="6"/>
      <c r="H61" s="6"/>
      <c r="I61" s="92"/>
      <c r="J61" s="6"/>
      <c r="K61" s="92"/>
      <c r="L61" s="92"/>
      <c r="M61" s="92"/>
      <c r="N61" s="92"/>
      <c r="O61" s="6"/>
      <c r="P61" s="92"/>
      <c r="Q61" s="92"/>
      <c r="R61" s="92"/>
    </row>
    <row r="62" spans="1:18" x14ac:dyDescent="0.25">
      <c r="A62">
        <v>10610019</v>
      </c>
      <c r="B62" t="s">
        <v>1481</v>
      </c>
      <c r="C62" s="6">
        <v>583.29999999999995</v>
      </c>
      <c r="D62" s="6">
        <v>27719.239694642602</v>
      </c>
      <c r="E62" s="6">
        <v>437.47499999999997</v>
      </c>
      <c r="F62" s="6">
        <v>554.13499999999988</v>
      </c>
      <c r="G62" s="6">
        <v>0</v>
      </c>
      <c r="H62" s="6">
        <v>58.33</v>
      </c>
      <c r="I62" s="92">
        <v>0</v>
      </c>
      <c r="J62" s="6">
        <v>933</v>
      </c>
      <c r="K62" s="92">
        <v>0</v>
      </c>
      <c r="L62" s="92">
        <v>0</v>
      </c>
      <c r="M62" s="92">
        <v>0</v>
      </c>
      <c r="N62" s="92">
        <v>0</v>
      </c>
      <c r="O62" s="6">
        <v>0</v>
      </c>
      <c r="P62" s="92">
        <v>933</v>
      </c>
      <c r="Q62" s="92">
        <v>0</v>
      </c>
      <c r="R62" s="92">
        <v>933</v>
      </c>
    </row>
    <row r="63" spans="1:18" x14ac:dyDescent="0.25">
      <c r="A63" t="s">
        <v>1681</v>
      </c>
      <c r="C63" s="6">
        <v>583.29999999999995</v>
      </c>
      <c r="D63" s="6">
        <v>27719.239694642602</v>
      </c>
      <c r="E63" s="6">
        <v>437.47499999999997</v>
      </c>
      <c r="F63" s="6">
        <v>554.13499999999988</v>
      </c>
      <c r="G63" s="6">
        <v>0</v>
      </c>
      <c r="H63" s="6">
        <v>58.33</v>
      </c>
      <c r="I63" s="92">
        <v>0</v>
      </c>
      <c r="J63" s="6">
        <v>933</v>
      </c>
      <c r="K63" s="92">
        <v>0</v>
      </c>
      <c r="L63" s="92">
        <v>0</v>
      </c>
      <c r="M63" s="92">
        <v>0</v>
      </c>
      <c r="N63" s="92">
        <v>0</v>
      </c>
      <c r="O63" s="6">
        <v>0</v>
      </c>
      <c r="P63" s="92">
        <v>933</v>
      </c>
      <c r="Q63" s="92">
        <v>0</v>
      </c>
      <c r="R63" s="92">
        <v>933</v>
      </c>
    </row>
    <row r="64" spans="1:18" x14ac:dyDescent="0.25">
      <c r="C64" s="6"/>
      <c r="D64" s="6"/>
      <c r="E64" s="6"/>
      <c r="F64" s="6"/>
      <c r="G64" s="6"/>
      <c r="H64" s="6"/>
      <c r="I64" s="92"/>
      <c r="J64" s="6"/>
      <c r="K64" s="92"/>
      <c r="L64" s="92"/>
      <c r="M64" s="92"/>
      <c r="N64" s="92"/>
      <c r="O64" s="6"/>
      <c r="P64" s="92"/>
      <c r="Q64" s="92"/>
      <c r="R64" s="92"/>
    </row>
    <row r="65" spans="1:18" x14ac:dyDescent="0.25">
      <c r="A65">
        <v>10610021</v>
      </c>
      <c r="B65" t="s">
        <v>1482</v>
      </c>
      <c r="C65" s="6">
        <v>67.2</v>
      </c>
      <c r="D65" s="6">
        <v>3063.4256596512</v>
      </c>
      <c r="E65" s="6">
        <v>50.400000000000006</v>
      </c>
      <c r="F65" s="6">
        <v>63.839999999999996</v>
      </c>
      <c r="G65" s="6">
        <v>0</v>
      </c>
      <c r="H65" s="6">
        <v>6.7200000000000006</v>
      </c>
      <c r="I65" s="92">
        <v>0</v>
      </c>
      <c r="J65" s="6">
        <v>108</v>
      </c>
      <c r="K65" s="92">
        <v>0</v>
      </c>
      <c r="L65" s="92">
        <v>0</v>
      </c>
      <c r="M65" s="92">
        <v>0</v>
      </c>
      <c r="N65" s="92">
        <v>0</v>
      </c>
      <c r="O65" s="6">
        <v>0</v>
      </c>
      <c r="P65" s="92">
        <v>108</v>
      </c>
      <c r="Q65" s="92">
        <v>0</v>
      </c>
      <c r="R65" s="92">
        <v>108</v>
      </c>
    </row>
    <row r="66" spans="1:18" x14ac:dyDescent="0.25">
      <c r="A66" t="s">
        <v>1682</v>
      </c>
      <c r="C66" s="6">
        <v>67.2</v>
      </c>
      <c r="D66" s="6">
        <v>3063.4256596512</v>
      </c>
      <c r="E66" s="6">
        <v>50.400000000000006</v>
      </c>
      <c r="F66" s="6">
        <v>63.839999999999996</v>
      </c>
      <c r="G66" s="6">
        <v>0</v>
      </c>
      <c r="H66" s="6">
        <v>6.7200000000000006</v>
      </c>
      <c r="I66" s="92">
        <v>0</v>
      </c>
      <c r="J66" s="6">
        <v>108</v>
      </c>
      <c r="K66" s="92">
        <v>0</v>
      </c>
      <c r="L66" s="92">
        <v>0</v>
      </c>
      <c r="M66" s="92">
        <v>0</v>
      </c>
      <c r="N66" s="92">
        <v>0</v>
      </c>
      <c r="O66" s="6">
        <v>0</v>
      </c>
      <c r="P66" s="92">
        <v>108</v>
      </c>
      <c r="Q66" s="92">
        <v>0</v>
      </c>
      <c r="R66" s="92">
        <v>108</v>
      </c>
    </row>
    <row r="67" spans="1:18" x14ac:dyDescent="0.25">
      <c r="C67" s="6"/>
      <c r="D67" s="6"/>
      <c r="E67" s="6"/>
      <c r="F67" s="6"/>
      <c r="G67" s="6"/>
      <c r="H67" s="6"/>
      <c r="I67" s="92"/>
      <c r="J67" s="6"/>
      <c r="K67" s="92"/>
      <c r="L67" s="92"/>
      <c r="M67" s="92"/>
      <c r="N67" s="92"/>
      <c r="O67" s="6"/>
      <c r="P67" s="92"/>
      <c r="Q67" s="92"/>
      <c r="R67" s="92"/>
    </row>
    <row r="68" spans="1:18" x14ac:dyDescent="0.25">
      <c r="A68">
        <v>10610024</v>
      </c>
      <c r="B68" t="s">
        <v>1483</v>
      </c>
      <c r="C68" s="6">
        <v>1017.0999999999999</v>
      </c>
      <c r="D68" s="6">
        <v>38892.768837470008</v>
      </c>
      <c r="E68" s="6">
        <v>762.82499999999993</v>
      </c>
      <c r="F68" s="6">
        <v>966.24499999999989</v>
      </c>
      <c r="G68" s="6">
        <v>517.77916990327503</v>
      </c>
      <c r="H68" s="6">
        <v>101.71</v>
      </c>
      <c r="I68" s="92">
        <v>0</v>
      </c>
      <c r="J68" s="6">
        <v>2145</v>
      </c>
      <c r="K68" s="92">
        <v>0</v>
      </c>
      <c r="L68" s="92">
        <v>0</v>
      </c>
      <c r="M68" s="92">
        <v>0</v>
      </c>
      <c r="N68" s="92">
        <v>0</v>
      </c>
      <c r="O68" s="6">
        <v>0</v>
      </c>
      <c r="P68" s="92">
        <v>2145</v>
      </c>
      <c r="Q68" s="92">
        <v>0</v>
      </c>
      <c r="R68" s="92">
        <v>2145</v>
      </c>
    </row>
    <row r="69" spans="1:18" x14ac:dyDescent="0.25">
      <c r="A69" t="s">
        <v>1683</v>
      </c>
      <c r="C69" s="6">
        <v>1017.0999999999999</v>
      </c>
      <c r="D69" s="6">
        <v>38892.768837470008</v>
      </c>
      <c r="E69" s="6">
        <v>762.82499999999993</v>
      </c>
      <c r="F69" s="6">
        <v>966.24499999999989</v>
      </c>
      <c r="G69" s="6">
        <v>517.77916990327503</v>
      </c>
      <c r="H69" s="6">
        <v>101.71</v>
      </c>
      <c r="I69" s="92">
        <v>0</v>
      </c>
      <c r="J69" s="6">
        <v>2145</v>
      </c>
      <c r="K69" s="92">
        <v>0</v>
      </c>
      <c r="L69" s="92">
        <v>0</v>
      </c>
      <c r="M69" s="92">
        <v>0</v>
      </c>
      <c r="N69" s="92">
        <v>0</v>
      </c>
      <c r="O69" s="6">
        <v>0</v>
      </c>
      <c r="P69" s="92">
        <v>2145</v>
      </c>
      <c r="Q69" s="92">
        <v>0</v>
      </c>
      <c r="R69" s="92">
        <v>2145</v>
      </c>
    </row>
    <row r="70" spans="1:18" x14ac:dyDescent="0.25">
      <c r="C70" s="6"/>
      <c r="D70" s="6"/>
      <c r="E70" s="6"/>
      <c r="F70" s="6"/>
      <c r="G70" s="6"/>
      <c r="H70" s="6"/>
      <c r="I70" s="92"/>
      <c r="J70" s="6"/>
      <c r="K70" s="92"/>
      <c r="L70" s="92"/>
      <c r="M70" s="92"/>
      <c r="N70" s="92"/>
      <c r="O70" s="6"/>
      <c r="P70" s="92"/>
      <c r="Q70" s="92"/>
      <c r="R70" s="92"/>
    </row>
    <row r="71" spans="1:18" x14ac:dyDescent="0.25">
      <c r="A71">
        <v>10610026</v>
      </c>
      <c r="B71" t="s">
        <v>1519</v>
      </c>
      <c r="C71" s="6">
        <v>297.5</v>
      </c>
      <c r="D71" s="6">
        <v>18858.177928891</v>
      </c>
      <c r="E71" s="6">
        <v>223.125</v>
      </c>
      <c r="F71" s="6">
        <v>282.625</v>
      </c>
      <c r="G71" s="6">
        <v>0</v>
      </c>
      <c r="H71" s="6">
        <v>29.75</v>
      </c>
      <c r="I71" s="92">
        <v>0</v>
      </c>
      <c r="J71" s="6">
        <v>476</v>
      </c>
      <c r="K71" s="92">
        <v>0</v>
      </c>
      <c r="L71" s="92">
        <v>0</v>
      </c>
      <c r="M71" s="92">
        <v>0</v>
      </c>
      <c r="N71" s="92">
        <v>0</v>
      </c>
      <c r="O71" s="6">
        <v>0</v>
      </c>
      <c r="P71" s="92">
        <v>476</v>
      </c>
      <c r="Q71" s="92">
        <v>0</v>
      </c>
      <c r="R71" s="92">
        <v>476</v>
      </c>
    </row>
    <row r="72" spans="1:18" x14ac:dyDescent="0.25">
      <c r="A72" t="s">
        <v>1684</v>
      </c>
      <c r="C72" s="6">
        <v>297.5</v>
      </c>
      <c r="D72" s="6">
        <v>18858.177928891</v>
      </c>
      <c r="E72" s="6">
        <v>223.125</v>
      </c>
      <c r="F72" s="6">
        <v>282.625</v>
      </c>
      <c r="G72" s="6">
        <v>0</v>
      </c>
      <c r="H72" s="6">
        <v>29.75</v>
      </c>
      <c r="I72" s="92">
        <v>0</v>
      </c>
      <c r="J72" s="6">
        <v>476</v>
      </c>
      <c r="K72" s="92">
        <v>0</v>
      </c>
      <c r="L72" s="92">
        <v>0</v>
      </c>
      <c r="M72" s="92">
        <v>0</v>
      </c>
      <c r="N72" s="92">
        <v>0</v>
      </c>
      <c r="O72" s="6">
        <v>0</v>
      </c>
      <c r="P72" s="92">
        <v>476</v>
      </c>
      <c r="Q72" s="92">
        <v>0</v>
      </c>
      <c r="R72" s="92">
        <v>476</v>
      </c>
    </row>
    <row r="73" spans="1:18" x14ac:dyDescent="0.25">
      <c r="C73" s="6"/>
      <c r="D73" s="6"/>
      <c r="E73" s="6"/>
      <c r="F73" s="6"/>
      <c r="G73" s="6"/>
      <c r="H73" s="6"/>
      <c r="I73" s="92"/>
      <c r="J73" s="6"/>
      <c r="K73" s="92"/>
      <c r="L73" s="92"/>
      <c r="M73" s="92"/>
      <c r="N73" s="92"/>
      <c r="O73" s="6"/>
      <c r="P73" s="92"/>
      <c r="Q73" s="92"/>
      <c r="R73" s="92"/>
    </row>
    <row r="74" spans="1:18" x14ac:dyDescent="0.25">
      <c r="A74">
        <v>10610027</v>
      </c>
      <c r="B74" t="s">
        <v>1520</v>
      </c>
      <c r="C74" s="6">
        <v>5524.5</v>
      </c>
      <c r="D74" s="6">
        <v>186236.98412063398</v>
      </c>
      <c r="E74" s="6">
        <v>4143.375</v>
      </c>
      <c r="F74" s="6">
        <v>5248.2749999999996</v>
      </c>
      <c r="G74" s="6">
        <v>0</v>
      </c>
      <c r="H74" s="6">
        <v>552.45000000000005</v>
      </c>
      <c r="I74" s="92">
        <v>0</v>
      </c>
      <c r="J74" s="6">
        <v>8839</v>
      </c>
      <c r="K74" s="92">
        <v>0</v>
      </c>
      <c r="L74" s="92">
        <v>0</v>
      </c>
      <c r="M74" s="92">
        <v>0</v>
      </c>
      <c r="N74" s="92">
        <v>0</v>
      </c>
      <c r="O74" s="6">
        <v>0</v>
      </c>
      <c r="P74" s="92">
        <v>8839</v>
      </c>
      <c r="Q74" s="92">
        <v>0</v>
      </c>
      <c r="R74" s="92">
        <v>8839</v>
      </c>
    </row>
    <row r="75" spans="1:18" x14ac:dyDescent="0.25">
      <c r="A75" t="s">
        <v>1685</v>
      </c>
      <c r="C75" s="6">
        <v>5524.5</v>
      </c>
      <c r="D75" s="6">
        <v>186236.98412063398</v>
      </c>
      <c r="E75" s="6">
        <v>4143.375</v>
      </c>
      <c r="F75" s="6">
        <v>5248.2749999999996</v>
      </c>
      <c r="G75" s="6">
        <v>0</v>
      </c>
      <c r="H75" s="6">
        <v>552.45000000000005</v>
      </c>
      <c r="I75" s="92">
        <v>0</v>
      </c>
      <c r="J75" s="6">
        <v>8839</v>
      </c>
      <c r="K75" s="92">
        <v>0</v>
      </c>
      <c r="L75" s="92">
        <v>0</v>
      </c>
      <c r="M75" s="92">
        <v>0</v>
      </c>
      <c r="N75" s="92">
        <v>0</v>
      </c>
      <c r="O75" s="6">
        <v>0</v>
      </c>
      <c r="P75" s="92">
        <v>8839</v>
      </c>
      <c r="Q75" s="92">
        <v>0</v>
      </c>
      <c r="R75" s="92">
        <v>8839</v>
      </c>
    </row>
    <row r="76" spans="1:18" x14ac:dyDescent="0.25">
      <c r="C76" s="6"/>
      <c r="D76" s="6"/>
      <c r="E76" s="6"/>
      <c r="F76" s="6"/>
      <c r="G76" s="6"/>
      <c r="H76" s="6"/>
      <c r="I76" s="92"/>
      <c r="J76" s="6"/>
      <c r="K76" s="92"/>
      <c r="L76" s="92"/>
      <c r="M76" s="92"/>
      <c r="N76" s="92"/>
      <c r="O76" s="6"/>
      <c r="P76" s="92"/>
      <c r="Q76" s="92"/>
      <c r="R76" s="92"/>
    </row>
    <row r="77" spans="1:18" x14ac:dyDescent="0.25">
      <c r="A77">
        <v>10610028</v>
      </c>
      <c r="B77" t="s">
        <v>1521</v>
      </c>
      <c r="C77" s="6">
        <v>372.4</v>
      </c>
      <c r="D77" s="6">
        <v>13280.407629765501</v>
      </c>
      <c r="E77" s="6">
        <v>279.29999999999995</v>
      </c>
      <c r="F77" s="6">
        <v>353.78</v>
      </c>
      <c r="G77" s="6">
        <v>0</v>
      </c>
      <c r="H77" s="6">
        <v>37.24</v>
      </c>
      <c r="I77" s="92">
        <v>0</v>
      </c>
      <c r="J77" s="6">
        <v>596</v>
      </c>
      <c r="K77" s="92">
        <v>0</v>
      </c>
      <c r="L77" s="92">
        <v>0</v>
      </c>
      <c r="M77" s="92">
        <v>0</v>
      </c>
      <c r="N77" s="92">
        <v>0</v>
      </c>
      <c r="O77" s="6">
        <v>0</v>
      </c>
      <c r="P77" s="92">
        <v>596</v>
      </c>
      <c r="Q77" s="92">
        <v>0</v>
      </c>
      <c r="R77" s="92">
        <v>596</v>
      </c>
    </row>
    <row r="78" spans="1:18" x14ac:dyDescent="0.25">
      <c r="A78" t="s">
        <v>1686</v>
      </c>
      <c r="C78" s="6">
        <v>372.4</v>
      </c>
      <c r="D78" s="6">
        <v>13280.407629765501</v>
      </c>
      <c r="E78" s="6">
        <v>279.29999999999995</v>
      </c>
      <c r="F78" s="6">
        <v>353.78</v>
      </c>
      <c r="G78" s="6">
        <v>0</v>
      </c>
      <c r="H78" s="6">
        <v>37.24</v>
      </c>
      <c r="I78" s="92">
        <v>0</v>
      </c>
      <c r="J78" s="6">
        <v>596</v>
      </c>
      <c r="K78" s="92">
        <v>0</v>
      </c>
      <c r="L78" s="92">
        <v>0</v>
      </c>
      <c r="M78" s="92">
        <v>0</v>
      </c>
      <c r="N78" s="92">
        <v>0</v>
      </c>
      <c r="O78" s="6">
        <v>0</v>
      </c>
      <c r="P78" s="92">
        <v>596</v>
      </c>
      <c r="Q78" s="92">
        <v>0</v>
      </c>
      <c r="R78" s="92">
        <v>596</v>
      </c>
    </row>
    <row r="79" spans="1:18" x14ac:dyDescent="0.25">
      <c r="C79" s="6"/>
      <c r="D79" s="6"/>
      <c r="E79" s="6"/>
      <c r="F79" s="6"/>
      <c r="G79" s="6"/>
      <c r="H79" s="6"/>
      <c r="I79" s="92"/>
      <c r="J79" s="6"/>
      <c r="K79" s="92"/>
      <c r="L79" s="92"/>
      <c r="M79" s="92"/>
      <c r="N79" s="92"/>
      <c r="O79" s="6"/>
      <c r="P79" s="92"/>
      <c r="Q79" s="92"/>
      <c r="R79" s="92"/>
    </row>
    <row r="80" spans="1:18" x14ac:dyDescent="0.25">
      <c r="A80">
        <v>10610031</v>
      </c>
      <c r="B80" t="s">
        <v>1522</v>
      </c>
      <c r="C80" s="6">
        <v>397.2</v>
      </c>
      <c r="D80" s="6">
        <v>13367.885854776003</v>
      </c>
      <c r="E80" s="6">
        <v>297.89999999999998</v>
      </c>
      <c r="F80" s="6">
        <v>377.34</v>
      </c>
      <c r="G80" s="6">
        <v>0</v>
      </c>
      <c r="H80" s="6">
        <v>39.72</v>
      </c>
      <c r="I80" s="92">
        <v>0</v>
      </c>
      <c r="J80" s="6">
        <v>636</v>
      </c>
      <c r="K80" s="92">
        <v>0</v>
      </c>
      <c r="L80" s="92">
        <v>0</v>
      </c>
      <c r="M80" s="92">
        <v>0</v>
      </c>
      <c r="N80" s="92">
        <v>0</v>
      </c>
      <c r="O80" s="6">
        <v>0</v>
      </c>
      <c r="P80" s="92">
        <v>636</v>
      </c>
      <c r="Q80" s="92">
        <v>0</v>
      </c>
      <c r="R80" s="92">
        <v>636</v>
      </c>
    </row>
    <row r="81" spans="1:18" x14ac:dyDescent="0.25">
      <c r="A81" t="s">
        <v>1687</v>
      </c>
      <c r="C81" s="6">
        <v>397.2</v>
      </c>
      <c r="D81" s="6">
        <v>13367.885854776003</v>
      </c>
      <c r="E81" s="6">
        <v>297.89999999999998</v>
      </c>
      <c r="F81" s="6">
        <v>377.34</v>
      </c>
      <c r="G81" s="6">
        <v>0</v>
      </c>
      <c r="H81" s="6">
        <v>39.72</v>
      </c>
      <c r="I81" s="92">
        <v>0</v>
      </c>
      <c r="J81" s="6">
        <v>636</v>
      </c>
      <c r="K81" s="92">
        <v>0</v>
      </c>
      <c r="L81" s="92">
        <v>0</v>
      </c>
      <c r="M81" s="92">
        <v>0</v>
      </c>
      <c r="N81" s="92">
        <v>0</v>
      </c>
      <c r="O81" s="6">
        <v>0</v>
      </c>
      <c r="P81" s="92">
        <v>636</v>
      </c>
      <c r="Q81" s="92">
        <v>0</v>
      </c>
      <c r="R81" s="92">
        <v>636</v>
      </c>
    </row>
    <row r="82" spans="1:18" x14ac:dyDescent="0.25">
      <c r="C82" s="6"/>
      <c r="D82" s="6"/>
      <c r="E82" s="6"/>
      <c r="F82" s="6"/>
      <c r="G82" s="6"/>
      <c r="H82" s="6"/>
      <c r="I82" s="92"/>
      <c r="J82" s="6"/>
      <c r="K82" s="92"/>
      <c r="L82" s="92"/>
      <c r="M82" s="92"/>
      <c r="N82" s="92"/>
      <c r="O82" s="6"/>
      <c r="P82" s="92"/>
      <c r="Q82" s="92"/>
      <c r="R82" s="92"/>
    </row>
    <row r="83" spans="1:18" x14ac:dyDescent="0.25">
      <c r="A83">
        <v>10610034</v>
      </c>
      <c r="B83" t="s">
        <v>1523</v>
      </c>
      <c r="C83" s="6">
        <v>1584.6</v>
      </c>
      <c r="D83" s="6">
        <v>58568.041653390006</v>
      </c>
      <c r="E83" s="6">
        <v>1188.4499999999998</v>
      </c>
      <c r="F83" s="6">
        <v>1505.37</v>
      </c>
      <c r="G83" s="6">
        <v>0</v>
      </c>
      <c r="H83" s="6">
        <v>158.46</v>
      </c>
      <c r="I83" s="92">
        <v>0</v>
      </c>
      <c r="J83" s="6">
        <v>2535</v>
      </c>
      <c r="K83" s="92">
        <v>0</v>
      </c>
      <c r="L83" s="92">
        <v>0</v>
      </c>
      <c r="M83" s="92">
        <v>0</v>
      </c>
      <c r="N83" s="92">
        <v>0</v>
      </c>
      <c r="O83" s="6">
        <v>0</v>
      </c>
      <c r="P83" s="92">
        <v>2535</v>
      </c>
      <c r="Q83" s="92">
        <v>0</v>
      </c>
      <c r="R83" s="92">
        <v>2535</v>
      </c>
    </row>
    <row r="84" spans="1:18" x14ac:dyDescent="0.25">
      <c r="A84" t="s">
        <v>1688</v>
      </c>
      <c r="C84" s="6">
        <v>1584.6</v>
      </c>
      <c r="D84" s="6">
        <v>58568.041653390006</v>
      </c>
      <c r="E84" s="6">
        <v>1188.4499999999998</v>
      </c>
      <c r="F84" s="6">
        <v>1505.37</v>
      </c>
      <c r="G84" s="6">
        <v>0</v>
      </c>
      <c r="H84" s="6">
        <v>158.46</v>
      </c>
      <c r="I84" s="92">
        <v>0</v>
      </c>
      <c r="J84" s="6">
        <v>2535</v>
      </c>
      <c r="K84" s="92">
        <v>0</v>
      </c>
      <c r="L84" s="92">
        <v>0</v>
      </c>
      <c r="M84" s="92">
        <v>0</v>
      </c>
      <c r="N84" s="92">
        <v>0</v>
      </c>
      <c r="O84" s="6">
        <v>0</v>
      </c>
      <c r="P84" s="92">
        <v>2535</v>
      </c>
      <c r="Q84" s="92">
        <v>0</v>
      </c>
      <c r="R84" s="92">
        <v>2535</v>
      </c>
    </row>
    <row r="85" spans="1:18" x14ac:dyDescent="0.25">
      <c r="C85" s="6"/>
      <c r="D85" s="6"/>
      <c r="E85" s="6"/>
      <c r="F85" s="6"/>
      <c r="G85" s="6"/>
      <c r="H85" s="6"/>
      <c r="I85" s="92"/>
      <c r="J85" s="6"/>
      <c r="K85" s="92"/>
      <c r="L85" s="92"/>
      <c r="M85" s="92"/>
      <c r="N85" s="92"/>
      <c r="O85" s="6"/>
      <c r="P85" s="92"/>
      <c r="Q85" s="92"/>
      <c r="R85" s="92"/>
    </row>
    <row r="86" spans="1:18" x14ac:dyDescent="0.25">
      <c r="A86">
        <v>10610035</v>
      </c>
      <c r="B86" t="s">
        <v>1524</v>
      </c>
      <c r="C86" s="6">
        <v>1787.4</v>
      </c>
      <c r="D86" s="6">
        <v>54657.386442688497</v>
      </c>
      <c r="E86" s="6">
        <v>1340.5500000000002</v>
      </c>
      <c r="F86" s="6">
        <v>1698.03</v>
      </c>
      <c r="G86" s="6">
        <v>0</v>
      </c>
      <c r="H86" s="6">
        <v>178.74</v>
      </c>
      <c r="I86" s="92">
        <v>0</v>
      </c>
      <c r="J86" s="6">
        <v>2860</v>
      </c>
      <c r="K86" s="92">
        <v>0</v>
      </c>
      <c r="L86" s="92">
        <v>0</v>
      </c>
      <c r="M86" s="92">
        <v>0</v>
      </c>
      <c r="N86" s="92">
        <v>0</v>
      </c>
      <c r="O86" s="6">
        <v>0</v>
      </c>
      <c r="P86" s="92">
        <v>2860</v>
      </c>
      <c r="Q86" s="92">
        <v>0</v>
      </c>
      <c r="R86" s="92">
        <v>2860</v>
      </c>
    </row>
    <row r="87" spans="1:18" x14ac:dyDescent="0.25">
      <c r="A87" t="s">
        <v>1689</v>
      </c>
      <c r="C87" s="6">
        <v>1787.4</v>
      </c>
      <c r="D87" s="6">
        <v>54657.386442688497</v>
      </c>
      <c r="E87" s="6">
        <v>1340.5500000000002</v>
      </c>
      <c r="F87" s="6">
        <v>1698.03</v>
      </c>
      <c r="G87" s="6">
        <v>0</v>
      </c>
      <c r="H87" s="6">
        <v>178.74</v>
      </c>
      <c r="I87" s="92">
        <v>0</v>
      </c>
      <c r="J87" s="6">
        <v>2860</v>
      </c>
      <c r="K87" s="92">
        <v>0</v>
      </c>
      <c r="L87" s="92">
        <v>0</v>
      </c>
      <c r="M87" s="92">
        <v>0</v>
      </c>
      <c r="N87" s="92">
        <v>0</v>
      </c>
      <c r="O87" s="6">
        <v>0</v>
      </c>
      <c r="P87" s="92">
        <v>2860</v>
      </c>
      <c r="Q87" s="92">
        <v>0</v>
      </c>
      <c r="R87" s="92">
        <v>2860</v>
      </c>
    </row>
    <row r="88" spans="1:18" x14ac:dyDescent="0.25">
      <c r="C88" s="6"/>
      <c r="D88" s="6"/>
      <c r="E88" s="6"/>
      <c r="F88" s="6"/>
      <c r="G88" s="6"/>
      <c r="H88" s="6"/>
      <c r="I88" s="92"/>
      <c r="J88" s="6"/>
      <c r="K88" s="92"/>
      <c r="L88" s="92"/>
      <c r="M88" s="92"/>
      <c r="N88" s="92"/>
      <c r="O88" s="6"/>
      <c r="P88" s="92"/>
      <c r="Q88" s="92"/>
      <c r="R88" s="92"/>
    </row>
    <row r="89" spans="1:18" x14ac:dyDescent="0.25">
      <c r="A89">
        <v>10610036</v>
      </c>
      <c r="B89" t="s">
        <v>1525</v>
      </c>
      <c r="C89" s="6">
        <v>529.09999999999991</v>
      </c>
      <c r="D89" s="6">
        <v>18823.05287675</v>
      </c>
      <c r="E89" s="6">
        <v>396.82499999999993</v>
      </c>
      <c r="F89" s="6">
        <v>502.64499999999987</v>
      </c>
      <c r="G89" s="6">
        <v>0</v>
      </c>
      <c r="H89" s="6">
        <v>52.91</v>
      </c>
      <c r="I89" s="92">
        <v>0</v>
      </c>
      <c r="J89" s="6">
        <v>847</v>
      </c>
      <c r="K89" s="92">
        <v>0</v>
      </c>
      <c r="L89" s="92">
        <v>0</v>
      </c>
      <c r="M89" s="92">
        <v>0</v>
      </c>
      <c r="N89" s="92">
        <v>0</v>
      </c>
      <c r="O89" s="6">
        <v>0</v>
      </c>
      <c r="P89" s="92">
        <v>847</v>
      </c>
      <c r="Q89" s="92">
        <v>0</v>
      </c>
      <c r="R89" s="92">
        <v>847</v>
      </c>
    </row>
    <row r="90" spans="1:18" x14ac:dyDescent="0.25">
      <c r="A90" t="s">
        <v>1690</v>
      </c>
      <c r="C90" s="6">
        <v>529.09999999999991</v>
      </c>
      <c r="D90" s="6">
        <v>18823.05287675</v>
      </c>
      <c r="E90" s="6">
        <v>396.82499999999993</v>
      </c>
      <c r="F90" s="6">
        <v>502.64499999999987</v>
      </c>
      <c r="G90" s="6">
        <v>0</v>
      </c>
      <c r="H90" s="6">
        <v>52.91</v>
      </c>
      <c r="I90" s="92">
        <v>0</v>
      </c>
      <c r="J90" s="6">
        <v>847</v>
      </c>
      <c r="K90" s="92">
        <v>0</v>
      </c>
      <c r="L90" s="92">
        <v>0</v>
      </c>
      <c r="M90" s="92">
        <v>0</v>
      </c>
      <c r="N90" s="92">
        <v>0</v>
      </c>
      <c r="O90" s="6">
        <v>0</v>
      </c>
      <c r="P90" s="92">
        <v>847</v>
      </c>
      <c r="Q90" s="92">
        <v>0</v>
      </c>
      <c r="R90" s="92">
        <v>847</v>
      </c>
    </row>
    <row r="91" spans="1:18" x14ac:dyDescent="0.25">
      <c r="C91" s="6"/>
      <c r="D91" s="6"/>
      <c r="E91" s="6"/>
      <c r="F91" s="6"/>
      <c r="G91" s="6"/>
      <c r="H91" s="6"/>
      <c r="I91" s="92"/>
      <c r="J91" s="6"/>
      <c r="K91" s="92"/>
      <c r="L91" s="92"/>
      <c r="M91" s="92"/>
      <c r="N91" s="92"/>
      <c r="O91" s="6"/>
      <c r="P91" s="92"/>
      <c r="Q91" s="92"/>
      <c r="R91" s="92"/>
    </row>
    <row r="92" spans="1:18" x14ac:dyDescent="0.25">
      <c r="A92">
        <v>10610038</v>
      </c>
      <c r="B92" t="s">
        <v>1526</v>
      </c>
      <c r="C92" s="6">
        <v>3480.7999999999997</v>
      </c>
      <c r="D92" s="6">
        <v>124560.21003697952</v>
      </c>
      <c r="E92" s="6">
        <v>2610.6</v>
      </c>
      <c r="F92" s="6">
        <v>3306.7599999999998</v>
      </c>
      <c r="G92" s="6">
        <v>0</v>
      </c>
      <c r="H92" s="6">
        <v>348.08</v>
      </c>
      <c r="I92" s="92">
        <v>0</v>
      </c>
      <c r="J92" s="6">
        <v>5569</v>
      </c>
      <c r="K92" s="92">
        <v>0</v>
      </c>
      <c r="L92" s="92">
        <v>0</v>
      </c>
      <c r="M92" s="92">
        <v>0</v>
      </c>
      <c r="N92" s="92">
        <v>0</v>
      </c>
      <c r="O92" s="6">
        <v>0</v>
      </c>
      <c r="P92" s="92">
        <v>5569</v>
      </c>
      <c r="Q92" s="92">
        <v>0</v>
      </c>
      <c r="R92" s="92">
        <v>5569</v>
      </c>
    </row>
    <row r="93" spans="1:18" x14ac:dyDescent="0.25">
      <c r="A93" t="s">
        <v>1691</v>
      </c>
      <c r="C93" s="6">
        <v>3480.7999999999997</v>
      </c>
      <c r="D93" s="6">
        <v>124560.21003697952</v>
      </c>
      <c r="E93" s="6">
        <v>2610.6</v>
      </c>
      <c r="F93" s="6">
        <v>3306.7599999999998</v>
      </c>
      <c r="G93" s="6">
        <v>0</v>
      </c>
      <c r="H93" s="6">
        <v>348.08</v>
      </c>
      <c r="I93" s="92">
        <v>0</v>
      </c>
      <c r="J93" s="6">
        <v>5569</v>
      </c>
      <c r="K93" s="92">
        <v>0</v>
      </c>
      <c r="L93" s="92">
        <v>0</v>
      </c>
      <c r="M93" s="92">
        <v>0</v>
      </c>
      <c r="N93" s="92">
        <v>0</v>
      </c>
      <c r="O93" s="6">
        <v>0</v>
      </c>
      <c r="P93" s="92">
        <v>5569</v>
      </c>
      <c r="Q93" s="92">
        <v>0</v>
      </c>
      <c r="R93" s="92">
        <v>5569</v>
      </c>
    </row>
    <row r="94" spans="1:18" x14ac:dyDescent="0.25">
      <c r="C94" s="6"/>
      <c r="D94" s="6"/>
      <c r="E94" s="6"/>
      <c r="F94" s="6"/>
      <c r="G94" s="6"/>
      <c r="H94" s="6"/>
      <c r="I94" s="92"/>
      <c r="J94" s="6"/>
      <c r="K94" s="92"/>
      <c r="L94" s="92"/>
      <c r="M94" s="92"/>
      <c r="N94" s="92"/>
      <c r="O94" s="6"/>
      <c r="P94" s="92"/>
      <c r="Q94" s="92"/>
      <c r="R94" s="92"/>
    </row>
    <row r="95" spans="1:18" x14ac:dyDescent="0.25">
      <c r="A95">
        <v>10610039</v>
      </c>
      <c r="B95" t="s">
        <v>1527</v>
      </c>
      <c r="C95" s="6">
        <v>768.4</v>
      </c>
      <c r="D95" s="6">
        <v>28187.77</v>
      </c>
      <c r="E95" s="6">
        <v>576.29999999999995</v>
      </c>
      <c r="F95" s="6">
        <v>729.9799999999999</v>
      </c>
      <c r="G95" s="6">
        <v>0</v>
      </c>
      <c r="H95" s="6">
        <v>76.84</v>
      </c>
      <c r="I95" s="92">
        <v>0</v>
      </c>
      <c r="J95" s="6">
        <v>1229</v>
      </c>
      <c r="K95" s="92">
        <v>0</v>
      </c>
      <c r="L95" s="92">
        <v>0</v>
      </c>
      <c r="M95" s="92">
        <v>0</v>
      </c>
      <c r="N95" s="92">
        <v>0</v>
      </c>
      <c r="O95" s="6">
        <v>0</v>
      </c>
      <c r="P95" s="92">
        <v>1229</v>
      </c>
      <c r="Q95" s="92">
        <v>0</v>
      </c>
      <c r="R95" s="92">
        <v>1229</v>
      </c>
    </row>
    <row r="96" spans="1:18" x14ac:dyDescent="0.25">
      <c r="A96" t="s">
        <v>1692</v>
      </c>
      <c r="C96" s="6">
        <v>768.4</v>
      </c>
      <c r="D96" s="6">
        <v>28187.77</v>
      </c>
      <c r="E96" s="6">
        <v>576.29999999999995</v>
      </c>
      <c r="F96" s="6">
        <v>729.9799999999999</v>
      </c>
      <c r="G96" s="6">
        <v>0</v>
      </c>
      <c r="H96" s="6">
        <v>76.84</v>
      </c>
      <c r="I96" s="92">
        <v>0</v>
      </c>
      <c r="J96" s="6">
        <v>1229</v>
      </c>
      <c r="K96" s="92">
        <v>0</v>
      </c>
      <c r="L96" s="92">
        <v>0</v>
      </c>
      <c r="M96" s="92">
        <v>0</v>
      </c>
      <c r="N96" s="92">
        <v>0</v>
      </c>
      <c r="O96" s="6">
        <v>0</v>
      </c>
      <c r="P96" s="92">
        <v>1229</v>
      </c>
      <c r="Q96" s="92">
        <v>0</v>
      </c>
      <c r="R96" s="92">
        <v>1229</v>
      </c>
    </row>
    <row r="97" spans="1:18" x14ac:dyDescent="0.25">
      <c r="C97" s="6"/>
      <c r="D97" s="6"/>
      <c r="E97" s="6"/>
      <c r="F97" s="6"/>
      <c r="G97" s="6"/>
      <c r="H97" s="6"/>
      <c r="I97" s="92"/>
      <c r="J97" s="6"/>
      <c r="K97" s="92"/>
      <c r="L97" s="92"/>
      <c r="M97" s="92"/>
      <c r="N97" s="92"/>
      <c r="O97" s="6"/>
      <c r="P97" s="92"/>
      <c r="Q97" s="92"/>
      <c r="R97" s="92"/>
    </row>
    <row r="98" spans="1:18" x14ac:dyDescent="0.25">
      <c r="A98">
        <v>10610044</v>
      </c>
      <c r="B98" t="s">
        <v>1536</v>
      </c>
      <c r="C98" s="6">
        <v>49.3</v>
      </c>
      <c r="D98" s="6">
        <v>1741.74</v>
      </c>
      <c r="E98" s="6">
        <v>36.974999999999994</v>
      </c>
      <c r="F98" s="6">
        <v>46.834999999999994</v>
      </c>
      <c r="G98" s="6">
        <v>0</v>
      </c>
      <c r="H98" s="6">
        <v>4.93</v>
      </c>
      <c r="I98" s="92">
        <v>0</v>
      </c>
      <c r="J98" s="6">
        <v>79</v>
      </c>
      <c r="K98" s="92">
        <v>0</v>
      </c>
      <c r="L98" s="92">
        <v>0</v>
      </c>
      <c r="M98" s="92">
        <v>0</v>
      </c>
      <c r="N98" s="92">
        <v>0</v>
      </c>
      <c r="O98" s="6">
        <v>0</v>
      </c>
      <c r="P98" s="92">
        <v>79</v>
      </c>
      <c r="Q98" s="92">
        <v>0</v>
      </c>
      <c r="R98" s="92">
        <v>79</v>
      </c>
    </row>
    <row r="99" spans="1:18" x14ac:dyDescent="0.25">
      <c r="A99" t="s">
        <v>1693</v>
      </c>
      <c r="C99" s="6">
        <v>49.3</v>
      </c>
      <c r="D99" s="6">
        <v>1741.74</v>
      </c>
      <c r="E99" s="6">
        <v>36.974999999999994</v>
      </c>
      <c r="F99" s="6">
        <v>46.834999999999994</v>
      </c>
      <c r="G99" s="6">
        <v>0</v>
      </c>
      <c r="H99" s="6">
        <v>4.93</v>
      </c>
      <c r="I99" s="92">
        <v>0</v>
      </c>
      <c r="J99" s="6">
        <v>79</v>
      </c>
      <c r="K99" s="92">
        <v>0</v>
      </c>
      <c r="L99" s="92">
        <v>0</v>
      </c>
      <c r="M99" s="92">
        <v>0</v>
      </c>
      <c r="N99" s="92">
        <v>0</v>
      </c>
      <c r="O99" s="6">
        <v>0</v>
      </c>
      <c r="P99" s="92">
        <v>79</v>
      </c>
      <c r="Q99" s="92">
        <v>0</v>
      </c>
      <c r="R99" s="92">
        <v>79</v>
      </c>
    </row>
    <row r="100" spans="1:18" x14ac:dyDescent="0.25">
      <c r="C100" s="6"/>
      <c r="D100" s="6"/>
      <c r="E100" s="6"/>
      <c r="F100" s="6"/>
      <c r="G100" s="6"/>
      <c r="H100" s="6"/>
      <c r="I100" s="92"/>
      <c r="J100" s="6"/>
      <c r="K100" s="92"/>
      <c r="L100" s="92"/>
      <c r="M100" s="92"/>
      <c r="N100" s="92"/>
      <c r="O100" s="6"/>
      <c r="P100" s="92"/>
      <c r="Q100" s="92"/>
      <c r="R100" s="92"/>
    </row>
    <row r="101" spans="1:18" x14ac:dyDescent="0.25">
      <c r="A101">
        <v>10610045</v>
      </c>
      <c r="B101" t="s">
        <v>1537</v>
      </c>
      <c r="C101" s="6">
        <v>1451.3</v>
      </c>
      <c r="D101" s="6">
        <v>53654.781273103996</v>
      </c>
      <c r="E101" s="6">
        <v>1088.4749999999999</v>
      </c>
      <c r="F101" s="6">
        <v>1378.7349999999999</v>
      </c>
      <c r="G101" s="6">
        <v>0</v>
      </c>
      <c r="H101" s="6">
        <v>145.13</v>
      </c>
      <c r="I101" s="92">
        <v>0</v>
      </c>
      <c r="J101" s="6">
        <v>2322</v>
      </c>
      <c r="K101" s="92">
        <v>0</v>
      </c>
      <c r="L101" s="92">
        <v>0</v>
      </c>
      <c r="M101" s="92">
        <v>0</v>
      </c>
      <c r="N101" s="92">
        <v>0</v>
      </c>
      <c r="O101" s="6">
        <v>0</v>
      </c>
      <c r="P101" s="92">
        <v>2322</v>
      </c>
      <c r="Q101" s="92">
        <v>0</v>
      </c>
      <c r="R101" s="92">
        <v>2322</v>
      </c>
    </row>
    <row r="102" spans="1:18" x14ac:dyDescent="0.25">
      <c r="A102" t="s">
        <v>1694</v>
      </c>
      <c r="C102" s="6">
        <v>1451.3</v>
      </c>
      <c r="D102" s="6">
        <v>53654.781273103996</v>
      </c>
      <c r="E102" s="6">
        <v>1088.4749999999999</v>
      </c>
      <c r="F102" s="6">
        <v>1378.7349999999999</v>
      </c>
      <c r="G102" s="6">
        <v>0</v>
      </c>
      <c r="H102" s="6">
        <v>145.13</v>
      </c>
      <c r="I102" s="92">
        <v>0</v>
      </c>
      <c r="J102" s="6">
        <v>2322</v>
      </c>
      <c r="K102" s="92">
        <v>0</v>
      </c>
      <c r="L102" s="92">
        <v>0</v>
      </c>
      <c r="M102" s="92">
        <v>0</v>
      </c>
      <c r="N102" s="92">
        <v>0</v>
      </c>
      <c r="O102" s="6">
        <v>0</v>
      </c>
      <c r="P102" s="92">
        <v>2322</v>
      </c>
      <c r="Q102" s="92">
        <v>0</v>
      </c>
      <c r="R102" s="92">
        <v>2322</v>
      </c>
    </row>
    <row r="103" spans="1:18" x14ac:dyDescent="0.25">
      <c r="C103" s="6"/>
      <c r="D103" s="6"/>
      <c r="E103" s="6"/>
      <c r="F103" s="6"/>
      <c r="G103" s="6"/>
      <c r="H103" s="6"/>
      <c r="I103" s="92"/>
      <c r="J103" s="6"/>
      <c r="K103" s="92"/>
      <c r="L103" s="92"/>
      <c r="M103" s="92"/>
      <c r="N103" s="92"/>
      <c r="O103" s="6"/>
      <c r="P103" s="92"/>
      <c r="Q103" s="92"/>
      <c r="R103" s="92"/>
    </row>
    <row r="104" spans="1:18" x14ac:dyDescent="0.25">
      <c r="A104">
        <v>10610046</v>
      </c>
      <c r="B104" t="s">
        <v>1538</v>
      </c>
      <c r="C104" s="6">
        <v>315.8</v>
      </c>
      <c r="D104" s="6">
        <v>11073.130000000001</v>
      </c>
      <c r="E104" s="6">
        <v>236.85000000000002</v>
      </c>
      <c r="F104" s="6">
        <v>300.01</v>
      </c>
      <c r="G104" s="6">
        <v>0</v>
      </c>
      <c r="H104" s="6">
        <v>31.580000000000002</v>
      </c>
      <c r="I104" s="92">
        <v>0</v>
      </c>
      <c r="J104" s="6">
        <v>505</v>
      </c>
      <c r="K104" s="92">
        <v>0</v>
      </c>
      <c r="L104" s="92">
        <v>0</v>
      </c>
      <c r="M104" s="92">
        <v>0</v>
      </c>
      <c r="N104" s="92">
        <v>0</v>
      </c>
      <c r="O104" s="6">
        <v>0</v>
      </c>
      <c r="P104" s="92">
        <v>505</v>
      </c>
      <c r="Q104" s="92">
        <v>0</v>
      </c>
      <c r="R104" s="92">
        <v>505</v>
      </c>
    </row>
    <row r="105" spans="1:18" x14ac:dyDescent="0.25">
      <c r="A105" t="s">
        <v>1695</v>
      </c>
      <c r="C105" s="6">
        <v>315.8</v>
      </c>
      <c r="D105" s="6">
        <v>11073.130000000001</v>
      </c>
      <c r="E105" s="6">
        <v>236.85000000000002</v>
      </c>
      <c r="F105" s="6">
        <v>300.01</v>
      </c>
      <c r="G105" s="6">
        <v>0</v>
      </c>
      <c r="H105" s="6">
        <v>31.580000000000002</v>
      </c>
      <c r="I105" s="92">
        <v>0</v>
      </c>
      <c r="J105" s="6">
        <v>505</v>
      </c>
      <c r="K105" s="92">
        <v>0</v>
      </c>
      <c r="L105" s="92">
        <v>0</v>
      </c>
      <c r="M105" s="92">
        <v>0</v>
      </c>
      <c r="N105" s="92">
        <v>0</v>
      </c>
      <c r="O105" s="6">
        <v>0</v>
      </c>
      <c r="P105" s="92">
        <v>505</v>
      </c>
      <c r="Q105" s="92">
        <v>0</v>
      </c>
      <c r="R105" s="92">
        <v>505</v>
      </c>
    </row>
    <row r="106" spans="1:18" x14ac:dyDescent="0.25">
      <c r="C106" s="6"/>
      <c r="D106" s="6"/>
      <c r="E106" s="6"/>
      <c r="F106" s="6"/>
      <c r="G106" s="6"/>
      <c r="H106" s="6"/>
      <c r="I106" s="92"/>
      <c r="J106" s="6"/>
      <c r="K106" s="92"/>
      <c r="L106" s="92"/>
      <c r="M106" s="92"/>
      <c r="N106" s="92"/>
      <c r="O106" s="6"/>
      <c r="P106" s="92"/>
      <c r="Q106" s="92"/>
      <c r="R106" s="92"/>
    </row>
    <row r="107" spans="1:18" x14ac:dyDescent="0.25">
      <c r="A107">
        <v>10610050</v>
      </c>
      <c r="B107" t="s">
        <v>1558</v>
      </c>
      <c r="C107" s="6">
        <v>683.4</v>
      </c>
      <c r="D107" s="6">
        <v>28512.566404959998</v>
      </c>
      <c r="E107" s="6">
        <v>512.54999999999995</v>
      </c>
      <c r="F107" s="6">
        <v>649.2299999999999</v>
      </c>
      <c r="G107" s="6">
        <v>0</v>
      </c>
      <c r="H107" s="6">
        <v>68.34</v>
      </c>
      <c r="I107" s="92">
        <v>0</v>
      </c>
      <c r="J107" s="6">
        <v>1093</v>
      </c>
      <c r="K107" s="92">
        <v>0</v>
      </c>
      <c r="L107" s="92">
        <v>0</v>
      </c>
      <c r="M107" s="92">
        <v>0</v>
      </c>
      <c r="N107" s="92">
        <v>0</v>
      </c>
      <c r="O107" s="6">
        <v>0</v>
      </c>
      <c r="P107" s="92">
        <v>1093</v>
      </c>
      <c r="Q107" s="92">
        <v>0</v>
      </c>
      <c r="R107" s="92">
        <v>1093</v>
      </c>
    </row>
    <row r="108" spans="1:18" x14ac:dyDescent="0.25">
      <c r="A108" t="s">
        <v>1696</v>
      </c>
      <c r="C108" s="6">
        <v>683.4</v>
      </c>
      <c r="D108" s="6">
        <v>28512.566404959998</v>
      </c>
      <c r="E108" s="6">
        <v>512.54999999999995</v>
      </c>
      <c r="F108" s="6">
        <v>649.2299999999999</v>
      </c>
      <c r="G108" s="6">
        <v>0</v>
      </c>
      <c r="H108" s="6">
        <v>68.34</v>
      </c>
      <c r="I108" s="92">
        <v>0</v>
      </c>
      <c r="J108" s="6">
        <v>1093</v>
      </c>
      <c r="K108" s="92">
        <v>0</v>
      </c>
      <c r="L108" s="92">
        <v>0</v>
      </c>
      <c r="M108" s="92">
        <v>0</v>
      </c>
      <c r="N108" s="92">
        <v>0</v>
      </c>
      <c r="O108" s="6">
        <v>0</v>
      </c>
      <c r="P108" s="92">
        <v>1093</v>
      </c>
      <c r="Q108" s="92">
        <v>0</v>
      </c>
      <c r="R108" s="92">
        <v>1093</v>
      </c>
    </row>
    <row r="109" spans="1:18" x14ac:dyDescent="0.25">
      <c r="C109" s="6"/>
      <c r="D109" s="6"/>
      <c r="E109" s="6"/>
      <c r="F109" s="6"/>
      <c r="G109" s="6"/>
      <c r="H109" s="6"/>
      <c r="I109" s="92"/>
      <c r="J109" s="6"/>
      <c r="K109" s="92"/>
      <c r="L109" s="92"/>
      <c r="M109" s="92"/>
      <c r="N109" s="92"/>
      <c r="O109" s="6"/>
      <c r="P109" s="92"/>
      <c r="Q109" s="92"/>
      <c r="R109" s="92"/>
    </row>
    <row r="110" spans="1:18" x14ac:dyDescent="0.25">
      <c r="A110">
        <v>10610051</v>
      </c>
      <c r="B110" t="s">
        <v>1559</v>
      </c>
      <c r="C110" s="6">
        <v>793.9</v>
      </c>
      <c r="D110" s="6">
        <v>30173.6366685785</v>
      </c>
      <c r="E110" s="6">
        <v>595.42499999999995</v>
      </c>
      <c r="F110" s="6">
        <v>754.20499999999993</v>
      </c>
      <c r="G110" s="6">
        <v>0</v>
      </c>
      <c r="H110" s="6">
        <v>79.39</v>
      </c>
      <c r="I110" s="92">
        <v>0</v>
      </c>
      <c r="J110" s="6">
        <v>1270</v>
      </c>
      <c r="K110" s="92">
        <v>0</v>
      </c>
      <c r="L110" s="92">
        <v>0</v>
      </c>
      <c r="M110" s="92">
        <v>0</v>
      </c>
      <c r="N110" s="92">
        <v>0</v>
      </c>
      <c r="O110" s="6">
        <v>0</v>
      </c>
      <c r="P110" s="92">
        <v>1270</v>
      </c>
      <c r="Q110" s="92">
        <v>0</v>
      </c>
      <c r="R110" s="92">
        <v>1270</v>
      </c>
    </row>
    <row r="111" spans="1:18" x14ac:dyDescent="0.25">
      <c r="A111" t="s">
        <v>1697</v>
      </c>
      <c r="C111" s="6">
        <v>793.9</v>
      </c>
      <c r="D111" s="6">
        <v>30173.6366685785</v>
      </c>
      <c r="E111" s="6">
        <v>595.42499999999995</v>
      </c>
      <c r="F111" s="6">
        <v>754.20499999999993</v>
      </c>
      <c r="G111" s="6">
        <v>0</v>
      </c>
      <c r="H111" s="6">
        <v>79.39</v>
      </c>
      <c r="I111" s="92">
        <v>0</v>
      </c>
      <c r="J111" s="6">
        <v>1270</v>
      </c>
      <c r="K111" s="92">
        <v>0</v>
      </c>
      <c r="L111" s="92">
        <v>0</v>
      </c>
      <c r="M111" s="92">
        <v>0</v>
      </c>
      <c r="N111" s="92">
        <v>0</v>
      </c>
      <c r="O111" s="6">
        <v>0</v>
      </c>
      <c r="P111" s="92">
        <v>1270</v>
      </c>
      <c r="Q111" s="92">
        <v>0</v>
      </c>
      <c r="R111" s="92">
        <v>1270</v>
      </c>
    </row>
    <row r="112" spans="1:18" x14ac:dyDescent="0.25">
      <c r="C112" s="6"/>
      <c r="D112" s="6"/>
      <c r="E112" s="6"/>
      <c r="F112" s="6"/>
      <c r="G112" s="6"/>
      <c r="H112" s="6"/>
      <c r="I112" s="92"/>
      <c r="J112" s="6"/>
      <c r="K112" s="92"/>
      <c r="L112" s="92"/>
      <c r="M112" s="92"/>
      <c r="N112" s="92"/>
      <c r="O112" s="6"/>
      <c r="P112" s="92"/>
      <c r="Q112" s="92"/>
      <c r="R112" s="92"/>
    </row>
    <row r="113" spans="1:18" x14ac:dyDescent="0.25">
      <c r="A113">
        <v>10610052</v>
      </c>
      <c r="B113" t="s">
        <v>1563</v>
      </c>
      <c r="C113" s="6">
        <v>2454.6</v>
      </c>
      <c r="D113" s="6">
        <v>99733.776911120003</v>
      </c>
      <c r="E113" s="6">
        <v>1840.9499999999998</v>
      </c>
      <c r="F113" s="6">
        <v>2331.87</v>
      </c>
      <c r="G113" s="6">
        <v>0</v>
      </c>
      <c r="H113" s="6">
        <v>245.46</v>
      </c>
      <c r="I113" s="92">
        <v>0</v>
      </c>
      <c r="J113" s="6">
        <v>3927</v>
      </c>
      <c r="K113" s="92">
        <v>0</v>
      </c>
      <c r="L113" s="92">
        <v>0</v>
      </c>
      <c r="M113" s="92">
        <v>0</v>
      </c>
      <c r="N113" s="92">
        <v>0</v>
      </c>
      <c r="O113" s="6">
        <v>0</v>
      </c>
      <c r="P113" s="92">
        <v>3927</v>
      </c>
      <c r="Q113" s="92">
        <v>0</v>
      </c>
      <c r="R113" s="92">
        <v>3927</v>
      </c>
    </row>
    <row r="114" spans="1:18" x14ac:dyDescent="0.25">
      <c r="A114" t="s">
        <v>1698</v>
      </c>
      <c r="C114" s="6">
        <v>2454.6</v>
      </c>
      <c r="D114" s="6">
        <v>99733.776911120003</v>
      </c>
      <c r="E114" s="6">
        <v>1840.9499999999998</v>
      </c>
      <c r="F114" s="6">
        <v>2331.87</v>
      </c>
      <c r="G114" s="6">
        <v>0</v>
      </c>
      <c r="H114" s="6">
        <v>245.46</v>
      </c>
      <c r="I114" s="92">
        <v>0</v>
      </c>
      <c r="J114" s="6">
        <v>3927</v>
      </c>
      <c r="K114" s="92">
        <v>0</v>
      </c>
      <c r="L114" s="92">
        <v>0</v>
      </c>
      <c r="M114" s="92">
        <v>0</v>
      </c>
      <c r="N114" s="92">
        <v>0</v>
      </c>
      <c r="O114" s="6">
        <v>0</v>
      </c>
      <c r="P114" s="92">
        <v>3927</v>
      </c>
      <c r="Q114" s="92">
        <v>0</v>
      </c>
      <c r="R114" s="92">
        <v>3927</v>
      </c>
    </row>
    <row r="115" spans="1:18" x14ac:dyDescent="0.25">
      <c r="C115" s="6"/>
      <c r="D115" s="6"/>
      <c r="E115" s="6"/>
      <c r="F115" s="6"/>
      <c r="G115" s="6"/>
      <c r="H115" s="6"/>
      <c r="I115" s="92"/>
      <c r="J115" s="6"/>
      <c r="K115" s="92"/>
      <c r="L115" s="92"/>
      <c r="M115" s="92"/>
      <c r="N115" s="92"/>
      <c r="O115" s="6"/>
      <c r="P115" s="92"/>
      <c r="Q115" s="92"/>
      <c r="R115" s="92"/>
    </row>
    <row r="116" spans="1:18" x14ac:dyDescent="0.25">
      <c r="A116">
        <v>10610041</v>
      </c>
      <c r="B116" t="s">
        <v>1597</v>
      </c>
      <c r="C116" s="6">
        <v>72.5</v>
      </c>
      <c r="D116" s="6">
        <v>2647.8782546719999</v>
      </c>
      <c r="E116" s="6">
        <v>54.375</v>
      </c>
      <c r="F116" s="6">
        <v>68.875</v>
      </c>
      <c r="G116" s="6">
        <v>0</v>
      </c>
      <c r="H116" s="6">
        <v>7.25</v>
      </c>
      <c r="I116" s="92">
        <v>0</v>
      </c>
      <c r="J116" s="6">
        <v>116</v>
      </c>
      <c r="K116" s="92">
        <v>0</v>
      </c>
      <c r="L116" s="92">
        <v>0</v>
      </c>
      <c r="M116" s="92">
        <v>0</v>
      </c>
      <c r="N116" s="92">
        <v>0</v>
      </c>
      <c r="O116" s="6">
        <v>0</v>
      </c>
      <c r="P116" s="92">
        <v>116</v>
      </c>
      <c r="Q116" s="92">
        <v>0</v>
      </c>
      <c r="R116" s="92">
        <v>116</v>
      </c>
    </row>
    <row r="117" spans="1:18" x14ac:dyDescent="0.25">
      <c r="A117" t="s">
        <v>1699</v>
      </c>
      <c r="C117" s="6">
        <v>72.5</v>
      </c>
      <c r="D117" s="6">
        <v>2647.8782546719999</v>
      </c>
      <c r="E117" s="6">
        <v>54.375</v>
      </c>
      <c r="F117" s="6">
        <v>68.875</v>
      </c>
      <c r="G117" s="6">
        <v>0</v>
      </c>
      <c r="H117" s="6">
        <v>7.25</v>
      </c>
      <c r="I117" s="92">
        <v>0</v>
      </c>
      <c r="J117" s="6">
        <v>116</v>
      </c>
      <c r="K117" s="92">
        <v>0</v>
      </c>
      <c r="L117" s="92">
        <v>0</v>
      </c>
      <c r="M117" s="92">
        <v>0</v>
      </c>
      <c r="N117" s="92">
        <v>0</v>
      </c>
      <c r="O117" s="6">
        <v>0</v>
      </c>
      <c r="P117" s="92">
        <v>116</v>
      </c>
      <c r="Q117" s="92">
        <v>0</v>
      </c>
      <c r="R117" s="92">
        <v>116</v>
      </c>
    </row>
    <row r="118" spans="1:18" x14ac:dyDescent="0.25">
      <c r="C118" s="6"/>
      <c r="D118" s="6"/>
      <c r="E118" s="6"/>
      <c r="F118" s="6"/>
      <c r="G118" s="6"/>
      <c r="H118" s="6"/>
      <c r="I118" s="92"/>
      <c r="J118" s="6"/>
      <c r="K118" s="92"/>
      <c r="L118" s="92"/>
      <c r="M118" s="92"/>
      <c r="N118" s="92"/>
      <c r="O118" s="6"/>
      <c r="P118" s="92"/>
      <c r="Q118" s="92"/>
      <c r="R118" s="92"/>
    </row>
    <row r="119" spans="1:18" x14ac:dyDescent="0.25">
      <c r="A119">
        <v>10610055</v>
      </c>
      <c r="B119" t="s">
        <v>1626</v>
      </c>
      <c r="C119" s="6">
        <v>250.70000000000002</v>
      </c>
      <c r="D119" s="6">
        <v>11215.822487240901</v>
      </c>
      <c r="E119" s="6">
        <v>188.02500000000001</v>
      </c>
      <c r="F119" s="6">
        <v>238.16499999999999</v>
      </c>
      <c r="G119" s="6">
        <v>0</v>
      </c>
      <c r="H119" s="6">
        <v>25.070000000000004</v>
      </c>
      <c r="I119" s="92">
        <v>0</v>
      </c>
      <c r="J119" s="6">
        <v>401</v>
      </c>
      <c r="K119" s="92">
        <v>0</v>
      </c>
      <c r="L119" s="92">
        <v>0</v>
      </c>
      <c r="M119" s="92">
        <v>0</v>
      </c>
      <c r="N119" s="92">
        <v>0</v>
      </c>
      <c r="O119" s="6">
        <v>0</v>
      </c>
      <c r="P119" s="92">
        <v>401</v>
      </c>
      <c r="Q119" s="92">
        <v>0</v>
      </c>
      <c r="R119" s="92">
        <v>401</v>
      </c>
    </row>
    <row r="120" spans="1:18" x14ac:dyDescent="0.25">
      <c r="A120" t="s">
        <v>1700</v>
      </c>
      <c r="C120" s="6">
        <v>250.70000000000002</v>
      </c>
      <c r="D120" s="6">
        <v>11215.822487240901</v>
      </c>
      <c r="E120" s="6">
        <v>188.02500000000001</v>
      </c>
      <c r="F120" s="6">
        <v>238.16499999999999</v>
      </c>
      <c r="G120" s="6">
        <v>0</v>
      </c>
      <c r="H120" s="6">
        <v>25.070000000000004</v>
      </c>
      <c r="I120" s="92">
        <v>0</v>
      </c>
      <c r="J120" s="6">
        <v>401</v>
      </c>
      <c r="K120" s="92">
        <v>0</v>
      </c>
      <c r="L120" s="92">
        <v>0</v>
      </c>
      <c r="M120" s="92">
        <v>0</v>
      </c>
      <c r="N120" s="92">
        <v>0</v>
      </c>
      <c r="O120" s="6">
        <v>0</v>
      </c>
      <c r="P120" s="92">
        <v>401</v>
      </c>
      <c r="Q120" s="92">
        <v>0</v>
      </c>
      <c r="R120" s="92">
        <v>401</v>
      </c>
    </row>
    <row r="121" spans="1:18" x14ac:dyDescent="0.25">
      <c r="C121" s="6"/>
      <c r="D121" s="6"/>
      <c r="E121" s="6"/>
      <c r="F121" s="6"/>
      <c r="G121" s="6"/>
      <c r="H121" s="6"/>
      <c r="I121" s="92"/>
      <c r="J121" s="6"/>
      <c r="K121" s="92"/>
      <c r="L121" s="92"/>
      <c r="M121" s="92"/>
      <c r="N121" s="92"/>
      <c r="O121" s="6"/>
      <c r="P121" s="92"/>
      <c r="Q121" s="92"/>
      <c r="R121" s="92"/>
    </row>
    <row r="122" spans="1:18" x14ac:dyDescent="0.25">
      <c r="A122">
        <v>10610056</v>
      </c>
      <c r="B122" t="s">
        <v>1627</v>
      </c>
      <c r="C122" s="6">
        <v>431.69999999999993</v>
      </c>
      <c r="D122" s="6">
        <v>20301.180970286201</v>
      </c>
      <c r="E122" s="6">
        <v>323.77499999999998</v>
      </c>
      <c r="F122" s="6">
        <v>410.1149999999999</v>
      </c>
      <c r="G122" s="6">
        <v>0</v>
      </c>
      <c r="H122" s="6">
        <v>43.169999999999995</v>
      </c>
      <c r="I122" s="92">
        <v>0</v>
      </c>
      <c r="J122" s="6">
        <v>691</v>
      </c>
      <c r="K122" s="92">
        <v>0</v>
      </c>
      <c r="L122" s="92">
        <v>0</v>
      </c>
      <c r="M122" s="92">
        <v>0</v>
      </c>
      <c r="N122" s="92">
        <v>0</v>
      </c>
      <c r="O122" s="6">
        <v>0</v>
      </c>
      <c r="P122" s="92">
        <v>691</v>
      </c>
      <c r="Q122" s="92">
        <v>0</v>
      </c>
      <c r="R122" s="92">
        <v>691</v>
      </c>
    </row>
    <row r="123" spans="1:18" x14ac:dyDescent="0.25">
      <c r="A123" t="s">
        <v>1701</v>
      </c>
      <c r="C123" s="6">
        <v>431.69999999999993</v>
      </c>
      <c r="D123" s="6">
        <v>20301.180970286201</v>
      </c>
      <c r="E123" s="6">
        <v>323.77499999999998</v>
      </c>
      <c r="F123" s="6">
        <v>410.1149999999999</v>
      </c>
      <c r="G123" s="6">
        <v>0</v>
      </c>
      <c r="H123" s="6">
        <v>43.169999999999995</v>
      </c>
      <c r="I123" s="92">
        <v>0</v>
      </c>
      <c r="J123" s="6">
        <v>691</v>
      </c>
      <c r="K123" s="92">
        <v>0</v>
      </c>
      <c r="L123" s="92">
        <v>0</v>
      </c>
      <c r="M123" s="92">
        <v>0</v>
      </c>
      <c r="N123" s="92">
        <v>0</v>
      </c>
      <c r="O123" s="6">
        <v>0</v>
      </c>
      <c r="P123" s="92">
        <v>691</v>
      </c>
      <c r="Q123" s="92">
        <v>0</v>
      </c>
      <c r="R123" s="92">
        <v>691</v>
      </c>
    </row>
    <row r="124" spans="1:18" x14ac:dyDescent="0.25">
      <c r="C124" s="6"/>
      <c r="D124" s="6"/>
      <c r="E124" s="6"/>
      <c r="F124" s="6"/>
      <c r="G124" s="6"/>
      <c r="H124" s="6"/>
      <c r="I124" s="92"/>
      <c r="J124" s="6"/>
      <c r="K124" s="92"/>
      <c r="L124" s="92"/>
      <c r="M124" s="92"/>
      <c r="N124" s="92"/>
      <c r="O124" s="6"/>
      <c r="P124" s="92"/>
      <c r="Q124" s="92"/>
      <c r="R124" s="92"/>
    </row>
    <row r="125" spans="1:18" x14ac:dyDescent="0.25">
      <c r="A125" t="s">
        <v>77</v>
      </c>
      <c r="C125" s="6">
        <v>51142.360000000008</v>
      </c>
      <c r="D125" s="6">
        <v>2057852.0486767574</v>
      </c>
      <c r="E125" s="6">
        <v>38356.770000000011</v>
      </c>
      <c r="F125" s="6">
        <v>48585.242000000006</v>
      </c>
      <c r="G125" s="6">
        <v>5053.6885294798458</v>
      </c>
      <c r="H125" s="6">
        <v>5114.2359999999999</v>
      </c>
      <c r="I125" s="92">
        <v>6435.4783413766318</v>
      </c>
      <c r="J125" s="6">
        <v>79010</v>
      </c>
      <c r="K125" s="92">
        <v>9417.3324448905587</v>
      </c>
      <c r="L125" s="92">
        <v>0</v>
      </c>
      <c r="M125" s="92">
        <v>0</v>
      </c>
      <c r="N125" s="92">
        <v>0</v>
      </c>
      <c r="O125" s="6">
        <v>0</v>
      </c>
      <c r="P125" s="92">
        <v>69593</v>
      </c>
      <c r="Q125" s="92">
        <v>0</v>
      </c>
      <c r="R125" s="92">
        <v>69593</v>
      </c>
    </row>
  </sheetData>
  <mergeCells count="1">
    <mergeCell ref="C1:Q1"/>
  </mergeCells>
  <pageMargins left="0.118110236220472" right="0.15748031496063" top="0.39370078740157499" bottom="0.74803149606299202" header="0.196850393700787" footer="0.31496062992126"/>
  <pageSetup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V1062"/>
  <sheetViews>
    <sheetView tabSelected="1" topLeftCell="A2" zoomScale="88" zoomScaleNormal="80" workbookViewId="0">
      <pane xSplit="5" ySplit="2" topLeftCell="F4" activePane="bottomRight" state="frozen"/>
      <selection activeCell="A2" sqref="A2"/>
      <selection pane="topRight" activeCell="F1" sqref="F1"/>
      <selection pane="bottomLeft" activeCell="A4" sqref="A4"/>
      <selection pane="bottomRight" activeCell="D3" sqref="D3"/>
    </sheetView>
  </sheetViews>
  <sheetFormatPr defaultColWidth="6.28515625" defaultRowHeight="15" x14ac:dyDescent="0.25"/>
  <cols>
    <col min="1" max="1" width="12.140625" bestFit="1" customWidth="1"/>
    <col min="2" max="2" width="15.140625" bestFit="1" customWidth="1"/>
    <col min="3" max="3" width="13.7109375" customWidth="1"/>
    <col min="4" max="4" width="11.7109375" style="15" bestFit="1" customWidth="1"/>
    <col min="5" max="5" width="43" customWidth="1"/>
    <col min="6" max="6" width="16.85546875" style="15" customWidth="1"/>
    <col min="7" max="9" width="12.42578125" customWidth="1"/>
    <col min="10" max="10" width="16.7109375" bestFit="1" customWidth="1"/>
    <col min="11" max="11" width="12.42578125" style="15" customWidth="1"/>
    <col min="12" max="13" width="12.42578125" customWidth="1"/>
    <col min="14" max="14" width="19.140625" bestFit="1" customWidth="1"/>
    <col min="15" max="15" width="12.42578125" customWidth="1"/>
    <col min="16" max="17" width="14.5703125" customWidth="1"/>
    <col min="18" max="18" width="13" customWidth="1"/>
    <col min="19" max="19" width="13.85546875" customWidth="1"/>
    <col min="20" max="20" width="15.85546875" customWidth="1"/>
    <col min="21" max="21" width="12" customWidth="1"/>
    <col min="22" max="22" width="14.42578125" customWidth="1"/>
    <col min="23" max="23" width="13.5703125" customWidth="1"/>
    <col min="24" max="24" width="13" customWidth="1"/>
    <col min="25" max="25" width="11.28515625" customWidth="1"/>
    <col min="26" max="26" width="12.42578125" bestFit="1" customWidth="1"/>
    <col min="27" max="27" width="13" customWidth="1"/>
    <col min="28" max="28" width="13.140625" customWidth="1"/>
    <col min="29" max="29" width="18.85546875" bestFit="1" customWidth="1"/>
    <col min="30" max="30" width="17.140625" bestFit="1" customWidth="1"/>
    <col min="31" max="31" width="13" customWidth="1"/>
    <col min="32" max="32" width="9.85546875" customWidth="1"/>
    <col min="33" max="33" width="10.7109375" style="99" customWidth="1"/>
    <col min="34" max="34" width="55.5703125" style="99" bestFit="1" customWidth="1"/>
    <col min="35" max="35" width="10.7109375" style="99" customWidth="1"/>
    <col min="36" max="36" width="46" style="99" customWidth="1"/>
    <col min="37" max="39" width="10.7109375" style="20" customWidth="1"/>
    <col min="40" max="40" width="11.28515625" bestFit="1" customWidth="1"/>
    <col min="41" max="42" width="10.7109375" customWidth="1"/>
    <col min="43" max="43" width="20.140625" bestFit="1" customWidth="1"/>
    <col min="44" max="44" width="10.140625" bestFit="1" customWidth="1"/>
    <col min="45" max="45" width="8.5703125" bestFit="1" customWidth="1"/>
    <col min="46" max="46" width="9.140625" bestFit="1" customWidth="1"/>
    <col min="47" max="47" width="10.28515625" bestFit="1" customWidth="1"/>
    <col min="48" max="48" width="12" bestFit="1" customWidth="1"/>
    <col min="126" max="126" width="7.7109375" bestFit="1" customWidth="1"/>
    <col min="127" max="127" width="37.7109375" bestFit="1" customWidth="1"/>
    <col min="128" max="128" width="12" customWidth="1"/>
    <col min="129" max="129" width="11.28515625" customWidth="1"/>
    <col min="130" max="130" width="8.42578125" bestFit="1" customWidth="1"/>
    <col min="131" max="131" width="6.28515625" customWidth="1"/>
    <col min="132" max="132" width="15.28515625" customWidth="1"/>
    <col min="133" max="133" width="12.7109375" customWidth="1"/>
    <col min="134" max="134" width="15.7109375" customWidth="1"/>
    <col min="135" max="144" width="12.7109375" customWidth="1"/>
    <col min="382" max="382" width="7.7109375" bestFit="1" customWidth="1"/>
    <col min="383" max="383" width="37.7109375" bestFit="1" customWidth="1"/>
    <col min="384" max="384" width="12" customWidth="1"/>
    <col min="385" max="385" width="11.28515625" customWidth="1"/>
    <col min="386" max="386" width="8.42578125" bestFit="1" customWidth="1"/>
    <col min="387" max="387" width="6.28515625" customWidth="1"/>
    <col min="388" max="388" width="15.28515625" customWidth="1"/>
    <col min="389" max="389" width="12.7109375" customWidth="1"/>
    <col min="390" max="390" width="15.7109375" customWidth="1"/>
    <col min="391" max="400" width="12.7109375" customWidth="1"/>
    <col min="638" max="638" width="7.7109375" bestFit="1" customWidth="1"/>
    <col min="639" max="639" width="37.7109375" bestFit="1" customWidth="1"/>
    <col min="640" max="640" width="12" customWidth="1"/>
    <col min="641" max="641" width="11.28515625" customWidth="1"/>
    <col min="642" max="642" width="8.42578125" bestFit="1" customWidth="1"/>
    <col min="643" max="643" width="6.28515625" customWidth="1"/>
    <col min="644" max="644" width="15.28515625" customWidth="1"/>
    <col min="645" max="645" width="12.7109375" customWidth="1"/>
    <col min="646" max="646" width="15.7109375" customWidth="1"/>
    <col min="647" max="656" width="12.7109375" customWidth="1"/>
    <col min="894" max="894" width="7.7109375" bestFit="1" customWidth="1"/>
    <col min="895" max="895" width="37.7109375" bestFit="1" customWidth="1"/>
    <col min="896" max="896" width="12" customWidth="1"/>
    <col min="897" max="897" width="11.28515625" customWidth="1"/>
    <col min="898" max="898" width="8.42578125" bestFit="1" customWidth="1"/>
    <col min="899" max="899" width="6.28515625" customWidth="1"/>
    <col min="900" max="900" width="15.28515625" customWidth="1"/>
    <col min="901" max="901" width="12.7109375" customWidth="1"/>
    <col min="902" max="902" width="15.7109375" customWidth="1"/>
    <col min="903" max="912" width="12.7109375" customWidth="1"/>
    <col min="1150" max="1150" width="7.7109375" bestFit="1" customWidth="1"/>
    <col min="1151" max="1151" width="37.7109375" bestFit="1" customWidth="1"/>
    <col min="1152" max="1152" width="12" customWidth="1"/>
    <col min="1153" max="1153" width="11.28515625" customWidth="1"/>
    <col min="1154" max="1154" width="8.42578125" bestFit="1" customWidth="1"/>
    <col min="1155" max="1155" width="6.28515625" customWidth="1"/>
    <col min="1156" max="1156" width="15.28515625" customWidth="1"/>
    <col min="1157" max="1157" width="12.7109375" customWidth="1"/>
    <col min="1158" max="1158" width="15.7109375" customWidth="1"/>
    <col min="1159" max="1168" width="12.7109375" customWidth="1"/>
    <col min="1406" max="1406" width="7.7109375" bestFit="1" customWidth="1"/>
    <col min="1407" max="1407" width="37.7109375" bestFit="1" customWidth="1"/>
    <col min="1408" max="1408" width="12" customWidth="1"/>
    <col min="1409" max="1409" width="11.28515625" customWidth="1"/>
    <col min="1410" max="1410" width="8.42578125" bestFit="1" customWidth="1"/>
    <col min="1411" max="1411" width="6.28515625" customWidth="1"/>
    <col min="1412" max="1412" width="15.28515625" customWidth="1"/>
    <col min="1413" max="1413" width="12.7109375" customWidth="1"/>
    <col min="1414" max="1414" width="15.7109375" customWidth="1"/>
    <col min="1415" max="1424" width="12.7109375" customWidth="1"/>
    <col min="1662" max="1662" width="7.7109375" bestFit="1" customWidth="1"/>
    <col min="1663" max="1663" width="37.7109375" bestFit="1" customWidth="1"/>
    <col min="1664" max="1664" width="12" customWidth="1"/>
    <col min="1665" max="1665" width="11.28515625" customWidth="1"/>
    <col min="1666" max="1666" width="8.42578125" bestFit="1" customWidth="1"/>
    <col min="1667" max="1667" width="6.28515625" customWidth="1"/>
    <col min="1668" max="1668" width="15.28515625" customWidth="1"/>
    <col min="1669" max="1669" width="12.7109375" customWidth="1"/>
    <col min="1670" max="1670" width="15.7109375" customWidth="1"/>
    <col min="1671" max="1680" width="12.7109375" customWidth="1"/>
    <col min="1918" max="1918" width="7.7109375" bestFit="1" customWidth="1"/>
    <col min="1919" max="1919" width="37.7109375" bestFit="1" customWidth="1"/>
    <col min="1920" max="1920" width="12" customWidth="1"/>
    <col min="1921" max="1921" width="11.28515625" customWidth="1"/>
    <col min="1922" max="1922" width="8.42578125" bestFit="1" customWidth="1"/>
    <col min="1923" max="1923" width="6.28515625" customWidth="1"/>
    <col min="1924" max="1924" width="15.28515625" customWidth="1"/>
    <col min="1925" max="1925" width="12.7109375" customWidth="1"/>
    <col min="1926" max="1926" width="15.7109375" customWidth="1"/>
    <col min="1927" max="1936" width="12.7109375" customWidth="1"/>
    <col min="2174" max="2174" width="7.7109375" bestFit="1" customWidth="1"/>
    <col min="2175" max="2175" width="37.7109375" bestFit="1" customWidth="1"/>
    <col min="2176" max="2176" width="12" customWidth="1"/>
    <col min="2177" max="2177" width="11.28515625" customWidth="1"/>
    <col min="2178" max="2178" width="8.42578125" bestFit="1" customWidth="1"/>
    <col min="2179" max="2179" width="6.28515625" customWidth="1"/>
    <col min="2180" max="2180" width="15.28515625" customWidth="1"/>
    <col min="2181" max="2181" width="12.7109375" customWidth="1"/>
    <col min="2182" max="2182" width="15.7109375" customWidth="1"/>
    <col min="2183" max="2192" width="12.7109375" customWidth="1"/>
    <col min="2430" max="2430" width="7.7109375" bestFit="1" customWidth="1"/>
    <col min="2431" max="2431" width="37.7109375" bestFit="1" customWidth="1"/>
    <col min="2432" max="2432" width="12" customWidth="1"/>
    <col min="2433" max="2433" width="11.28515625" customWidth="1"/>
    <col min="2434" max="2434" width="8.42578125" bestFit="1" customWidth="1"/>
    <col min="2435" max="2435" width="6.28515625" customWidth="1"/>
    <col min="2436" max="2436" width="15.28515625" customWidth="1"/>
    <col min="2437" max="2437" width="12.7109375" customWidth="1"/>
    <col min="2438" max="2438" width="15.7109375" customWidth="1"/>
    <col min="2439" max="2448" width="12.7109375" customWidth="1"/>
    <col min="2686" max="2686" width="7.7109375" bestFit="1" customWidth="1"/>
    <col min="2687" max="2687" width="37.7109375" bestFit="1" customWidth="1"/>
    <col min="2688" max="2688" width="12" customWidth="1"/>
    <col min="2689" max="2689" width="11.28515625" customWidth="1"/>
    <col min="2690" max="2690" width="8.42578125" bestFit="1" customWidth="1"/>
    <col min="2691" max="2691" width="6.28515625" customWidth="1"/>
    <col min="2692" max="2692" width="15.28515625" customWidth="1"/>
    <col min="2693" max="2693" width="12.7109375" customWidth="1"/>
    <col min="2694" max="2694" width="15.7109375" customWidth="1"/>
    <col min="2695" max="2704" width="12.7109375" customWidth="1"/>
    <col min="2942" max="2942" width="7.7109375" bestFit="1" customWidth="1"/>
    <col min="2943" max="2943" width="37.7109375" bestFit="1" customWidth="1"/>
    <col min="2944" max="2944" width="12" customWidth="1"/>
    <col min="2945" max="2945" width="11.28515625" customWidth="1"/>
    <col min="2946" max="2946" width="8.42578125" bestFit="1" customWidth="1"/>
    <col min="2947" max="2947" width="6.28515625" customWidth="1"/>
    <col min="2948" max="2948" width="15.28515625" customWidth="1"/>
    <col min="2949" max="2949" width="12.7109375" customWidth="1"/>
    <col min="2950" max="2950" width="15.7109375" customWidth="1"/>
    <col min="2951" max="2960" width="12.7109375" customWidth="1"/>
    <col min="3198" max="3198" width="7.7109375" bestFit="1" customWidth="1"/>
    <col min="3199" max="3199" width="37.7109375" bestFit="1" customWidth="1"/>
    <col min="3200" max="3200" width="12" customWidth="1"/>
    <col min="3201" max="3201" width="11.28515625" customWidth="1"/>
    <col min="3202" max="3202" width="8.42578125" bestFit="1" customWidth="1"/>
    <col min="3203" max="3203" width="6.28515625" customWidth="1"/>
    <col min="3204" max="3204" width="15.28515625" customWidth="1"/>
    <col min="3205" max="3205" width="12.7109375" customWidth="1"/>
    <col min="3206" max="3206" width="15.7109375" customWidth="1"/>
    <col min="3207" max="3216" width="12.7109375" customWidth="1"/>
    <col min="3454" max="3454" width="7.7109375" bestFit="1" customWidth="1"/>
    <col min="3455" max="3455" width="37.7109375" bestFit="1" customWidth="1"/>
    <col min="3456" max="3456" width="12" customWidth="1"/>
    <col min="3457" max="3457" width="11.28515625" customWidth="1"/>
    <col min="3458" max="3458" width="8.42578125" bestFit="1" customWidth="1"/>
    <col min="3459" max="3459" width="6.28515625" customWidth="1"/>
    <col min="3460" max="3460" width="15.28515625" customWidth="1"/>
    <col min="3461" max="3461" width="12.7109375" customWidth="1"/>
    <col min="3462" max="3462" width="15.7109375" customWidth="1"/>
    <col min="3463" max="3472" width="12.7109375" customWidth="1"/>
    <col min="3710" max="3710" width="7.7109375" bestFit="1" customWidth="1"/>
    <col min="3711" max="3711" width="37.7109375" bestFit="1" customWidth="1"/>
    <col min="3712" max="3712" width="12" customWidth="1"/>
    <col min="3713" max="3713" width="11.28515625" customWidth="1"/>
    <col min="3714" max="3714" width="8.42578125" bestFit="1" customWidth="1"/>
    <col min="3715" max="3715" width="6.28515625" customWidth="1"/>
    <col min="3716" max="3716" width="15.28515625" customWidth="1"/>
    <col min="3717" max="3717" width="12.7109375" customWidth="1"/>
    <col min="3718" max="3718" width="15.7109375" customWidth="1"/>
    <col min="3719" max="3728" width="12.7109375" customWidth="1"/>
    <col min="3966" max="3966" width="7.7109375" bestFit="1" customWidth="1"/>
    <col min="3967" max="3967" width="37.7109375" bestFit="1" customWidth="1"/>
    <col min="3968" max="3968" width="12" customWidth="1"/>
    <col min="3969" max="3969" width="11.28515625" customWidth="1"/>
    <col min="3970" max="3970" width="8.42578125" bestFit="1" customWidth="1"/>
    <col min="3971" max="3971" width="6.28515625" customWidth="1"/>
    <col min="3972" max="3972" width="15.28515625" customWidth="1"/>
    <col min="3973" max="3973" width="12.7109375" customWidth="1"/>
    <col min="3974" max="3974" width="15.7109375" customWidth="1"/>
    <col min="3975" max="3984" width="12.7109375" customWidth="1"/>
    <col min="4222" max="4222" width="7.7109375" bestFit="1" customWidth="1"/>
    <col min="4223" max="4223" width="37.7109375" bestFit="1" customWidth="1"/>
    <col min="4224" max="4224" width="12" customWidth="1"/>
    <col min="4225" max="4225" width="11.28515625" customWidth="1"/>
    <col min="4226" max="4226" width="8.42578125" bestFit="1" customWidth="1"/>
    <col min="4227" max="4227" width="6.28515625" customWidth="1"/>
    <col min="4228" max="4228" width="15.28515625" customWidth="1"/>
    <col min="4229" max="4229" width="12.7109375" customWidth="1"/>
    <col min="4230" max="4230" width="15.7109375" customWidth="1"/>
    <col min="4231" max="4240" width="12.7109375" customWidth="1"/>
    <col min="4478" max="4478" width="7.7109375" bestFit="1" customWidth="1"/>
    <col min="4479" max="4479" width="37.7109375" bestFit="1" customWidth="1"/>
    <col min="4480" max="4480" width="12" customWidth="1"/>
    <col min="4481" max="4481" width="11.28515625" customWidth="1"/>
    <col min="4482" max="4482" width="8.42578125" bestFit="1" customWidth="1"/>
    <col min="4483" max="4483" width="6.28515625" customWidth="1"/>
    <col min="4484" max="4484" width="15.28515625" customWidth="1"/>
    <col min="4485" max="4485" width="12.7109375" customWidth="1"/>
    <col min="4486" max="4486" width="15.7109375" customWidth="1"/>
    <col min="4487" max="4496" width="12.7109375" customWidth="1"/>
    <col min="4734" max="4734" width="7.7109375" bestFit="1" customWidth="1"/>
    <col min="4735" max="4735" width="37.7109375" bestFit="1" customWidth="1"/>
    <col min="4736" max="4736" width="12" customWidth="1"/>
    <col min="4737" max="4737" width="11.28515625" customWidth="1"/>
    <col min="4738" max="4738" width="8.42578125" bestFit="1" customWidth="1"/>
    <col min="4739" max="4739" width="6.28515625" customWidth="1"/>
    <col min="4740" max="4740" width="15.28515625" customWidth="1"/>
    <col min="4741" max="4741" width="12.7109375" customWidth="1"/>
    <col min="4742" max="4742" width="15.7109375" customWidth="1"/>
    <col min="4743" max="4752" width="12.7109375" customWidth="1"/>
    <col min="4990" max="4990" width="7.7109375" bestFit="1" customWidth="1"/>
    <col min="4991" max="4991" width="37.7109375" bestFit="1" customWidth="1"/>
    <col min="4992" max="4992" width="12" customWidth="1"/>
    <col min="4993" max="4993" width="11.28515625" customWidth="1"/>
    <col min="4994" max="4994" width="8.42578125" bestFit="1" customWidth="1"/>
    <col min="4995" max="4995" width="6.28515625" customWidth="1"/>
    <col min="4996" max="4996" width="15.28515625" customWidth="1"/>
    <col min="4997" max="4997" width="12.7109375" customWidth="1"/>
    <col min="4998" max="4998" width="15.7109375" customWidth="1"/>
    <col min="4999" max="5008" width="12.7109375" customWidth="1"/>
    <col min="5246" max="5246" width="7.7109375" bestFit="1" customWidth="1"/>
    <col min="5247" max="5247" width="37.7109375" bestFit="1" customWidth="1"/>
    <col min="5248" max="5248" width="12" customWidth="1"/>
    <col min="5249" max="5249" width="11.28515625" customWidth="1"/>
    <col min="5250" max="5250" width="8.42578125" bestFit="1" customWidth="1"/>
    <col min="5251" max="5251" width="6.28515625" customWidth="1"/>
    <col min="5252" max="5252" width="15.28515625" customWidth="1"/>
    <col min="5253" max="5253" width="12.7109375" customWidth="1"/>
    <col min="5254" max="5254" width="15.7109375" customWidth="1"/>
    <col min="5255" max="5264" width="12.7109375" customWidth="1"/>
    <col min="5502" max="5502" width="7.7109375" bestFit="1" customWidth="1"/>
    <col min="5503" max="5503" width="37.7109375" bestFit="1" customWidth="1"/>
    <col min="5504" max="5504" width="12" customWidth="1"/>
    <col min="5505" max="5505" width="11.28515625" customWidth="1"/>
    <col min="5506" max="5506" width="8.42578125" bestFit="1" customWidth="1"/>
    <col min="5507" max="5507" width="6.28515625" customWidth="1"/>
    <col min="5508" max="5508" width="15.28515625" customWidth="1"/>
    <col min="5509" max="5509" width="12.7109375" customWidth="1"/>
    <col min="5510" max="5510" width="15.7109375" customWidth="1"/>
    <col min="5511" max="5520" width="12.7109375" customWidth="1"/>
    <col min="5758" max="5758" width="7.7109375" bestFit="1" customWidth="1"/>
    <col min="5759" max="5759" width="37.7109375" bestFit="1" customWidth="1"/>
    <col min="5760" max="5760" width="12" customWidth="1"/>
    <col min="5761" max="5761" width="11.28515625" customWidth="1"/>
    <col min="5762" max="5762" width="8.42578125" bestFit="1" customWidth="1"/>
    <col min="5763" max="5763" width="6.28515625" customWidth="1"/>
    <col min="5764" max="5764" width="15.28515625" customWidth="1"/>
    <col min="5765" max="5765" width="12.7109375" customWidth="1"/>
    <col min="5766" max="5766" width="15.7109375" customWidth="1"/>
    <col min="5767" max="5776" width="12.7109375" customWidth="1"/>
    <col min="6014" max="6014" width="7.7109375" bestFit="1" customWidth="1"/>
    <col min="6015" max="6015" width="37.7109375" bestFit="1" customWidth="1"/>
    <col min="6016" max="6016" width="12" customWidth="1"/>
    <col min="6017" max="6017" width="11.28515625" customWidth="1"/>
    <col min="6018" max="6018" width="8.42578125" bestFit="1" customWidth="1"/>
    <col min="6019" max="6019" width="6.28515625" customWidth="1"/>
    <col min="6020" max="6020" width="15.28515625" customWidth="1"/>
    <col min="6021" max="6021" width="12.7109375" customWidth="1"/>
    <col min="6022" max="6022" width="15.7109375" customWidth="1"/>
    <col min="6023" max="6032" width="12.7109375" customWidth="1"/>
    <col min="6270" max="6270" width="7.7109375" bestFit="1" customWidth="1"/>
    <col min="6271" max="6271" width="37.7109375" bestFit="1" customWidth="1"/>
    <col min="6272" max="6272" width="12" customWidth="1"/>
    <col min="6273" max="6273" width="11.28515625" customWidth="1"/>
    <col min="6274" max="6274" width="8.42578125" bestFit="1" customWidth="1"/>
    <col min="6275" max="6275" width="6.28515625" customWidth="1"/>
    <col min="6276" max="6276" width="15.28515625" customWidth="1"/>
    <col min="6277" max="6277" width="12.7109375" customWidth="1"/>
    <col min="6278" max="6278" width="15.7109375" customWidth="1"/>
    <col min="6279" max="6288" width="12.7109375" customWidth="1"/>
    <col min="6526" max="6526" width="7.7109375" bestFit="1" customWidth="1"/>
    <col min="6527" max="6527" width="37.7109375" bestFit="1" customWidth="1"/>
    <col min="6528" max="6528" width="12" customWidth="1"/>
    <col min="6529" max="6529" width="11.28515625" customWidth="1"/>
    <col min="6530" max="6530" width="8.42578125" bestFit="1" customWidth="1"/>
    <col min="6531" max="6531" width="6.28515625" customWidth="1"/>
    <col min="6532" max="6532" width="15.28515625" customWidth="1"/>
    <col min="6533" max="6533" width="12.7109375" customWidth="1"/>
    <col min="6534" max="6534" width="15.7109375" customWidth="1"/>
    <col min="6535" max="6544" width="12.7109375" customWidth="1"/>
    <col min="6782" max="6782" width="7.7109375" bestFit="1" customWidth="1"/>
    <col min="6783" max="6783" width="37.7109375" bestFit="1" customWidth="1"/>
    <col min="6784" max="6784" width="12" customWidth="1"/>
    <col min="6785" max="6785" width="11.28515625" customWidth="1"/>
    <col min="6786" max="6786" width="8.42578125" bestFit="1" customWidth="1"/>
    <col min="6787" max="6787" width="6.28515625" customWidth="1"/>
    <col min="6788" max="6788" width="15.28515625" customWidth="1"/>
    <col min="6789" max="6789" width="12.7109375" customWidth="1"/>
    <col min="6790" max="6790" width="15.7109375" customWidth="1"/>
    <col min="6791" max="6800" width="12.7109375" customWidth="1"/>
    <col min="7038" max="7038" width="7.7109375" bestFit="1" customWidth="1"/>
    <col min="7039" max="7039" width="37.7109375" bestFit="1" customWidth="1"/>
    <col min="7040" max="7040" width="12" customWidth="1"/>
    <col min="7041" max="7041" width="11.28515625" customWidth="1"/>
    <col min="7042" max="7042" width="8.42578125" bestFit="1" customWidth="1"/>
    <col min="7043" max="7043" width="6.28515625" customWidth="1"/>
    <col min="7044" max="7044" width="15.28515625" customWidth="1"/>
    <col min="7045" max="7045" width="12.7109375" customWidth="1"/>
    <col min="7046" max="7046" width="15.7109375" customWidth="1"/>
    <col min="7047" max="7056" width="12.7109375" customWidth="1"/>
    <col min="7294" max="7294" width="7.7109375" bestFit="1" customWidth="1"/>
    <col min="7295" max="7295" width="37.7109375" bestFit="1" customWidth="1"/>
    <col min="7296" max="7296" width="12" customWidth="1"/>
    <col min="7297" max="7297" width="11.28515625" customWidth="1"/>
    <col min="7298" max="7298" width="8.42578125" bestFit="1" customWidth="1"/>
    <col min="7299" max="7299" width="6.28515625" customWidth="1"/>
    <col min="7300" max="7300" width="15.28515625" customWidth="1"/>
    <col min="7301" max="7301" width="12.7109375" customWidth="1"/>
    <col min="7302" max="7302" width="15.7109375" customWidth="1"/>
    <col min="7303" max="7312" width="12.7109375" customWidth="1"/>
    <col min="7550" max="7550" width="7.7109375" bestFit="1" customWidth="1"/>
    <col min="7551" max="7551" width="37.7109375" bestFit="1" customWidth="1"/>
    <col min="7552" max="7552" width="12" customWidth="1"/>
    <col min="7553" max="7553" width="11.28515625" customWidth="1"/>
    <col min="7554" max="7554" width="8.42578125" bestFit="1" customWidth="1"/>
    <col min="7555" max="7555" width="6.28515625" customWidth="1"/>
    <col min="7556" max="7556" width="15.28515625" customWidth="1"/>
    <col min="7557" max="7557" width="12.7109375" customWidth="1"/>
    <col min="7558" max="7558" width="15.7109375" customWidth="1"/>
    <col min="7559" max="7568" width="12.7109375" customWidth="1"/>
    <col min="7806" max="7806" width="7.7109375" bestFit="1" customWidth="1"/>
    <col min="7807" max="7807" width="37.7109375" bestFit="1" customWidth="1"/>
    <col min="7808" max="7808" width="12" customWidth="1"/>
    <col min="7809" max="7809" width="11.28515625" customWidth="1"/>
    <col min="7810" max="7810" width="8.42578125" bestFit="1" customWidth="1"/>
    <col min="7811" max="7811" width="6.28515625" customWidth="1"/>
    <col min="7812" max="7812" width="15.28515625" customWidth="1"/>
    <col min="7813" max="7813" width="12.7109375" customWidth="1"/>
    <col min="7814" max="7814" width="15.7109375" customWidth="1"/>
    <col min="7815" max="7824" width="12.7109375" customWidth="1"/>
    <col min="8062" max="8062" width="7.7109375" bestFit="1" customWidth="1"/>
    <col min="8063" max="8063" width="37.7109375" bestFit="1" customWidth="1"/>
    <col min="8064" max="8064" width="12" customWidth="1"/>
    <col min="8065" max="8065" width="11.28515625" customWidth="1"/>
    <col min="8066" max="8066" width="8.42578125" bestFit="1" customWidth="1"/>
    <col min="8067" max="8067" width="6.28515625" customWidth="1"/>
    <col min="8068" max="8068" width="15.28515625" customWidth="1"/>
    <col min="8069" max="8069" width="12.7109375" customWidth="1"/>
    <col min="8070" max="8070" width="15.7109375" customWidth="1"/>
    <col min="8071" max="8080" width="12.7109375" customWidth="1"/>
    <col min="8318" max="8318" width="7.7109375" bestFit="1" customWidth="1"/>
    <col min="8319" max="8319" width="37.7109375" bestFit="1" customWidth="1"/>
    <col min="8320" max="8320" width="12" customWidth="1"/>
    <col min="8321" max="8321" width="11.28515625" customWidth="1"/>
    <col min="8322" max="8322" width="8.42578125" bestFit="1" customWidth="1"/>
    <col min="8323" max="8323" width="6.28515625" customWidth="1"/>
    <col min="8324" max="8324" width="15.28515625" customWidth="1"/>
    <col min="8325" max="8325" width="12.7109375" customWidth="1"/>
    <col min="8326" max="8326" width="15.7109375" customWidth="1"/>
    <col min="8327" max="8336" width="12.7109375" customWidth="1"/>
    <col min="8574" max="8574" width="7.7109375" bestFit="1" customWidth="1"/>
    <col min="8575" max="8575" width="37.7109375" bestFit="1" customWidth="1"/>
    <col min="8576" max="8576" width="12" customWidth="1"/>
    <col min="8577" max="8577" width="11.28515625" customWidth="1"/>
    <col min="8578" max="8578" width="8.42578125" bestFit="1" customWidth="1"/>
    <col min="8579" max="8579" width="6.28515625" customWidth="1"/>
    <col min="8580" max="8580" width="15.28515625" customWidth="1"/>
    <col min="8581" max="8581" width="12.7109375" customWidth="1"/>
    <col min="8582" max="8582" width="15.7109375" customWidth="1"/>
    <col min="8583" max="8592" width="12.7109375" customWidth="1"/>
    <col min="8830" max="8830" width="7.7109375" bestFit="1" customWidth="1"/>
    <col min="8831" max="8831" width="37.7109375" bestFit="1" customWidth="1"/>
    <col min="8832" max="8832" width="12" customWidth="1"/>
    <col min="8833" max="8833" width="11.28515625" customWidth="1"/>
    <col min="8834" max="8834" width="8.42578125" bestFit="1" customWidth="1"/>
    <col min="8835" max="8835" width="6.28515625" customWidth="1"/>
    <col min="8836" max="8836" width="15.28515625" customWidth="1"/>
    <col min="8837" max="8837" width="12.7109375" customWidth="1"/>
    <col min="8838" max="8838" width="15.7109375" customWidth="1"/>
    <col min="8839" max="8848" width="12.7109375" customWidth="1"/>
    <col min="9086" max="9086" width="7.7109375" bestFit="1" customWidth="1"/>
    <col min="9087" max="9087" width="37.7109375" bestFit="1" customWidth="1"/>
    <col min="9088" max="9088" width="12" customWidth="1"/>
    <col min="9089" max="9089" width="11.28515625" customWidth="1"/>
    <col min="9090" max="9090" width="8.42578125" bestFit="1" customWidth="1"/>
    <col min="9091" max="9091" width="6.28515625" customWidth="1"/>
    <col min="9092" max="9092" width="15.28515625" customWidth="1"/>
    <col min="9093" max="9093" width="12.7109375" customWidth="1"/>
    <col min="9094" max="9094" width="15.7109375" customWidth="1"/>
    <col min="9095" max="9104" width="12.7109375" customWidth="1"/>
    <col min="9342" max="9342" width="7.7109375" bestFit="1" customWidth="1"/>
    <col min="9343" max="9343" width="37.7109375" bestFit="1" customWidth="1"/>
    <col min="9344" max="9344" width="12" customWidth="1"/>
    <col min="9345" max="9345" width="11.28515625" customWidth="1"/>
    <col min="9346" max="9346" width="8.42578125" bestFit="1" customWidth="1"/>
    <col min="9347" max="9347" width="6.28515625" customWidth="1"/>
    <col min="9348" max="9348" width="15.28515625" customWidth="1"/>
    <col min="9349" max="9349" width="12.7109375" customWidth="1"/>
    <col min="9350" max="9350" width="15.7109375" customWidth="1"/>
    <col min="9351" max="9360" width="12.7109375" customWidth="1"/>
    <col min="9598" max="9598" width="7.7109375" bestFit="1" customWidth="1"/>
    <col min="9599" max="9599" width="37.7109375" bestFit="1" customWidth="1"/>
    <col min="9600" max="9600" width="12" customWidth="1"/>
    <col min="9601" max="9601" width="11.28515625" customWidth="1"/>
    <col min="9602" max="9602" width="8.42578125" bestFit="1" customWidth="1"/>
    <col min="9603" max="9603" width="6.28515625" customWidth="1"/>
    <col min="9604" max="9604" width="15.28515625" customWidth="1"/>
    <col min="9605" max="9605" width="12.7109375" customWidth="1"/>
    <col min="9606" max="9606" width="15.7109375" customWidth="1"/>
    <col min="9607" max="9616" width="12.7109375" customWidth="1"/>
    <col min="9854" max="9854" width="7.7109375" bestFit="1" customWidth="1"/>
    <col min="9855" max="9855" width="37.7109375" bestFit="1" customWidth="1"/>
    <col min="9856" max="9856" width="12" customWidth="1"/>
    <col min="9857" max="9857" width="11.28515625" customWidth="1"/>
    <col min="9858" max="9858" width="8.42578125" bestFit="1" customWidth="1"/>
    <col min="9859" max="9859" width="6.28515625" customWidth="1"/>
    <col min="9860" max="9860" width="15.28515625" customWidth="1"/>
    <col min="9861" max="9861" width="12.7109375" customWidth="1"/>
    <col min="9862" max="9862" width="15.7109375" customWidth="1"/>
    <col min="9863" max="9872" width="12.7109375" customWidth="1"/>
    <col min="10110" max="10110" width="7.7109375" bestFit="1" customWidth="1"/>
    <col min="10111" max="10111" width="37.7109375" bestFit="1" customWidth="1"/>
    <col min="10112" max="10112" width="12" customWidth="1"/>
    <col min="10113" max="10113" width="11.28515625" customWidth="1"/>
    <col min="10114" max="10114" width="8.42578125" bestFit="1" customWidth="1"/>
    <col min="10115" max="10115" width="6.28515625" customWidth="1"/>
    <col min="10116" max="10116" width="15.28515625" customWidth="1"/>
    <col min="10117" max="10117" width="12.7109375" customWidth="1"/>
    <col min="10118" max="10118" width="15.7109375" customWidth="1"/>
    <col min="10119" max="10128" width="12.7109375" customWidth="1"/>
    <col min="10366" max="10366" width="7.7109375" bestFit="1" customWidth="1"/>
    <col min="10367" max="10367" width="37.7109375" bestFit="1" customWidth="1"/>
    <col min="10368" max="10368" width="12" customWidth="1"/>
    <col min="10369" max="10369" width="11.28515625" customWidth="1"/>
    <col min="10370" max="10370" width="8.42578125" bestFit="1" customWidth="1"/>
    <col min="10371" max="10371" width="6.28515625" customWidth="1"/>
    <col min="10372" max="10372" width="15.28515625" customWidth="1"/>
    <col min="10373" max="10373" width="12.7109375" customWidth="1"/>
    <col min="10374" max="10374" width="15.7109375" customWidth="1"/>
    <col min="10375" max="10384" width="12.7109375" customWidth="1"/>
    <col min="10622" max="10622" width="7.7109375" bestFit="1" customWidth="1"/>
    <col min="10623" max="10623" width="37.7109375" bestFit="1" customWidth="1"/>
    <col min="10624" max="10624" width="12" customWidth="1"/>
    <col min="10625" max="10625" width="11.28515625" customWidth="1"/>
    <col min="10626" max="10626" width="8.42578125" bestFit="1" customWidth="1"/>
    <col min="10627" max="10627" width="6.28515625" customWidth="1"/>
    <col min="10628" max="10628" width="15.28515625" customWidth="1"/>
    <col min="10629" max="10629" width="12.7109375" customWidth="1"/>
    <col min="10630" max="10630" width="15.7109375" customWidth="1"/>
    <col min="10631" max="10640" width="12.7109375" customWidth="1"/>
    <col min="10878" max="10878" width="7.7109375" bestFit="1" customWidth="1"/>
    <col min="10879" max="10879" width="37.7109375" bestFit="1" customWidth="1"/>
    <col min="10880" max="10880" width="12" customWidth="1"/>
    <col min="10881" max="10881" width="11.28515625" customWidth="1"/>
    <col min="10882" max="10882" width="8.42578125" bestFit="1" customWidth="1"/>
    <col min="10883" max="10883" width="6.28515625" customWidth="1"/>
    <col min="10884" max="10884" width="15.28515625" customWidth="1"/>
    <col min="10885" max="10885" width="12.7109375" customWidth="1"/>
    <col min="10886" max="10886" width="15.7109375" customWidth="1"/>
    <col min="10887" max="10896" width="12.7109375" customWidth="1"/>
    <col min="11134" max="11134" width="7.7109375" bestFit="1" customWidth="1"/>
    <col min="11135" max="11135" width="37.7109375" bestFit="1" customWidth="1"/>
    <col min="11136" max="11136" width="12" customWidth="1"/>
    <col min="11137" max="11137" width="11.28515625" customWidth="1"/>
    <col min="11138" max="11138" width="8.42578125" bestFit="1" customWidth="1"/>
    <col min="11139" max="11139" width="6.28515625" customWidth="1"/>
    <col min="11140" max="11140" width="15.28515625" customWidth="1"/>
    <col min="11141" max="11141" width="12.7109375" customWidth="1"/>
    <col min="11142" max="11142" width="15.7109375" customWidth="1"/>
    <col min="11143" max="11152" width="12.7109375" customWidth="1"/>
    <col min="11390" max="11390" width="7.7109375" bestFit="1" customWidth="1"/>
    <col min="11391" max="11391" width="37.7109375" bestFit="1" customWidth="1"/>
    <col min="11392" max="11392" width="12" customWidth="1"/>
    <col min="11393" max="11393" width="11.28515625" customWidth="1"/>
    <col min="11394" max="11394" width="8.42578125" bestFit="1" customWidth="1"/>
    <col min="11395" max="11395" width="6.28515625" customWidth="1"/>
    <col min="11396" max="11396" width="15.28515625" customWidth="1"/>
    <col min="11397" max="11397" width="12.7109375" customWidth="1"/>
    <col min="11398" max="11398" width="15.7109375" customWidth="1"/>
    <col min="11399" max="11408" width="12.7109375" customWidth="1"/>
    <col min="11646" max="11646" width="7.7109375" bestFit="1" customWidth="1"/>
    <col min="11647" max="11647" width="37.7109375" bestFit="1" customWidth="1"/>
    <col min="11648" max="11648" width="12" customWidth="1"/>
    <col min="11649" max="11649" width="11.28515625" customWidth="1"/>
    <col min="11650" max="11650" width="8.42578125" bestFit="1" customWidth="1"/>
    <col min="11651" max="11651" width="6.28515625" customWidth="1"/>
    <col min="11652" max="11652" width="15.28515625" customWidth="1"/>
    <col min="11653" max="11653" width="12.7109375" customWidth="1"/>
    <col min="11654" max="11654" width="15.7109375" customWidth="1"/>
    <col min="11655" max="11664" width="12.7109375" customWidth="1"/>
    <col min="11902" max="11902" width="7.7109375" bestFit="1" customWidth="1"/>
    <col min="11903" max="11903" width="37.7109375" bestFit="1" customWidth="1"/>
    <col min="11904" max="11904" width="12" customWidth="1"/>
    <col min="11905" max="11905" width="11.28515625" customWidth="1"/>
    <col min="11906" max="11906" width="8.42578125" bestFit="1" customWidth="1"/>
    <col min="11907" max="11907" width="6.28515625" customWidth="1"/>
    <col min="11908" max="11908" width="15.28515625" customWidth="1"/>
    <col min="11909" max="11909" width="12.7109375" customWidth="1"/>
    <col min="11910" max="11910" width="15.7109375" customWidth="1"/>
    <col min="11911" max="11920" width="12.7109375" customWidth="1"/>
    <col min="12158" max="12158" width="7.7109375" bestFit="1" customWidth="1"/>
    <col min="12159" max="12159" width="37.7109375" bestFit="1" customWidth="1"/>
    <col min="12160" max="12160" width="12" customWidth="1"/>
    <col min="12161" max="12161" width="11.28515625" customWidth="1"/>
    <col min="12162" max="12162" width="8.42578125" bestFit="1" customWidth="1"/>
    <col min="12163" max="12163" width="6.28515625" customWidth="1"/>
    <col min="12164" max="12164" width="15.28515625" customWidth="1"/>
    <col min="12165" max="12165" width="12.7109375" customWidth="1"/>
    <col min="12166" max="12166" width="15.7109375" customWidth="1"/>
    <col min="12167" max="12176" width="12.7109375" customWidth="1"/>
    <col min="12414" max="12414" width="7.7109375" bestFit="1" customWidth="1"/>
    <col min="12415" max="12415" width="37.7109375" bestFit="1" customWidth="1"/>
    <col min="12416" max="12416" width="12" customWidth="1"/>
    <col min="12417" max="12417" width="11.28515625" customWidth="1"/>
    <col min="12418" max="12418" width="8.42578125" bestFit="1" customWidth="1"/>
    <col min="12419" max="12419" width="6.28515625" customWidth="1"/>
    <col min="12420" max="12420" width="15.28515625" customWidth="1"/>
    <col min="12421" max="12421" width="12.7109375" customWidth="1"/>
    <col min="12422" max="12422" width="15.7109375" customWidth="1"/>
    <col min="12423" max="12432" width="12.7109375" customWidth="1"/>
    <col min="12670" max="12670" width="7.7109375" bestFit="1" customWidth="1"/>
    <col min="12671" max="12671" width="37.7109375" bestFit="1" customWidth="1"/>
    <col min="12672" max="12672" width="12" customWidth="1"/>
    <col min="12673" max="12673" width="11.28515625" customWidth="1"/>
    <col min="12674" max="12674" width="8.42578125" bestFit="1" customWidth="1"/>
    <col min="12675" max="12675" width="6.28515625" customWidth="1"/>
    <col min="12676" max="12676" width="15.28515625" customWidth="1"/>
    <col min="12677" max="12677" width="12.7109375" customWidth="1"/>
    <col min="12678" max="12678" width="15.7109375" customWidth="1"/>
    <col min="12679" max="12688" width="12.7109375" customWidth="1"/>
    <col min="12926" max="12926" width="7.7109375" bestFit="1" customWidth="1"/>
    <col min="12927" max="12927" width="37.7109375" bestFit="1" customWidth="1"/>
    <col min="12928" max="12928" width="12" customWidth="1"/>
    <col min="12929" max="12929" width="11.28515625" customWidth="1"/>
    <col min="12930" max="12930" width="8.42578125" bestFit="1" customWidth="1"/>
    <col min="12931" max="12931" width="6.28515625" customWidth="1"/>
    <col min="12932" max="12932" width="15.28515625" customWidth="1"/>
    <col min="12933" max="12933" width="12.7109375" customWidth="1"/>
    <col min="12934" max="12934" width="15.7109375" customWidth="1"/>
    <col min="12935" max="12944" width="12.7109375" customWidth="1"/>
    <col min="13182" max="13182" width="7.7109375" bestFit="1" customWidth="1"/>
    <col min="13183" max="13183" width="37.7109375" bestFit="1" customWidth="1"/>
    <col min="13184" max="13184" width="12" customWidth="1"/>
    <col min="13185" max="13185" width="11.28515625" customWidth="1"/>
    <col min="13186" max="13186" width="8.42578125" bestFit="1" customWidth="1"/>
    <col min="13187" max="13187" width="6.28515625" customWidth="1"/>
    <col min="13188" max="13188" width="15.28515625" customWidth="1"/>
    <col min="13189" max="13189" width="12.7109375" customWidth="1"/>
    <col min="13190" max="13190" width="15.7109375" customWidth="1"/>
    <col min="13191" max="13200" width="12.7109375" customWidth="1"/>
    <col min="13438" max="13438" width="7.7109375" bestFit="1" customWidth="1"/>
    <col min="13439" max="13439" width="37.7109375" bestFit="1" customWidth="1"/>
    <col min="13440" max="13440" width="12" customWidth="1"/>
    <col min="13441" max="13441" width="11.28515625" customWidth="1"/>
    <col min="13442" max="13442" width="8.42578125" bestFit="1" customWidth="1"/>
    <col min="13443" max="13443" width="6.28515625" customWidth="1"/>
    <col min="13444" max="13444" width="15.28515625" customWidth="1"/>
    <col min="13445" max="13445" width="12.7109375" customWidth="1"/>
    <col min="13446" max="13446" width="15.7109375" customWidth="1"/>
    <col min="13447" max="13456" width="12.7109375" customWidth="1"/>
    <col min="13694" max="13694" width="7.7109375" bestFit="1" customWidth="1"/>
    <col min="13695" max="13695" width="37.7109375" bestFit="1" customWidth="1"/>
    <col min="13696" max="13696" width="12" customWidth="1"/>
    <col min="13697" max="13697" width="11.28515625" customWidth="1"/>
    <col min="13698" max="13698" width="8.42578125" bestFit="1" customWidth="1"/>
    <col min="13699" max="13699" width="6.28515625" customWidth="1"/>
    <col min="13700" max="13700" width="15.28515625" customWidth="1"/>
    <col min="13701" max="13701" width="12.7109375" customWidth="1"/>
    <col min="13702" max="13702" width="15.7109375" customWidth="1"/>
    <col min="13703" max="13712" width="12.7109375" customWidth="1"/>
    <col min="13950" max="13950" width="7.7109375" bestFit="1" customWidth="1"/>
    <col min="13951" max="13951" width="37.7109375" bestFit="1" customWidth="1"/>
    <col min="13952" max="13952" width="12" customWidth="1"/>
    <col min="13953" max="13953" width="11.28515625" customWidth="1"/>
    <col min="13954" max="13954" width="8.42578125" bestFit="1" customWidth="1"/>
    <col min="13955" max="13955" width="6.28515625" customWidth="1"/>
    <col min="13956" max="13956" width="15.28515625" customWidth="1"/>
    <col min="13957" max="13957" width="12.7109375" customWidth="1"/>
    <col min="13958" max="13958" width="15.7109375" customWidth="1"/>
    <col min="13959" max="13968" width="12.7109375" customWidth="1"/>
    <col min="14206" max="14206" width="7.7109375" bestFit="1" customWidth="1"/>
    <col min="14207" max="14207" width="37.7109375" bestFit="1" customWidth="1"/>
    <col min="14208" max="14208" width="12" customWidth="1"/>
    <col min="14209" max="14209" width="11.28515625" customWidth="1"/>
    <col min="14210" max="14210" width="8.42578125" bestFit="1" customWidth="1"/>
    <col min="14211" max="14211" width="6.28515625" customWidth="1"/>
    <col min="14212" max="14212" width="15.28515625" customWidth="1"/>
    <col min="14213" max="14213" width="12.7109375" customWidth="1"/>
    <col min="14214" max="14214" width="15.7109375" customWidth="1"/>
    <col min="14215" max="14224" width="12.7109375" customWidth="1"/>
    <col min="14462" max="14462" width="7.7109375" bestFit="1" customWidth="1"/>
    <col min="14463" max="14463" width="37.7109375" bestFit="1" customWidth="1"/>
    <col min="14464" max="14464" width="12" customWidth="1"/>
    <col min="14465" max="14465" width="11.28515625" customWidth="1"/>
    <col min="14466" max="14466" width="8.42578125" bestFit="1" customWidth="1"/>
    <col min="14467" max="14467" width="6.28515625" customWidth="1"/>
    <col min="14468" max="14468" width="15.28515625" customWidth="1"/>
    <col min="14469" max="14469" width="12.7109375" customWidth="1"/>
    <col min="14470" max="14470" width="15.7109375" customWidth="1"/>
    <col min="14471" max="14480" width="12.7109375" customWidth="1"/>
    <col min="14718" max="14718" width="7.7109375" bestFit="1" customWidth="1"/>
    <col min="14719" max="14719" width="37.7109375" bestFit="1" customWidth="1"/>
    <col min="14720" max="14720" width="12" customWidth="1"/>
    <col min="14721" max="14721" width="11.28515625" customWidth="1"/>
    <col min="14722" max="14722" width="8.42578125" bestFit="1" customWidth="1"/>
    <col min="14723" max="14723" width="6.28515625" customWidth="1"/>
    <col min="14724" max="14724" width="15.28515625" customWidth="1"/>
    <col min="14725" max="14725" width="12.7109375" customWidth="1"/>
    <col min="14726" max="14726" width="15.7109375" customWidth="1"/>
    <col min="14727" max="14736" width="12.7109375" customWidth="1"/>
    <col min="14974" max="14974" width="7.7109375" bestFit="1" customWidth="1"/>
    <col min="14975" max="14975" width="37.7109375" bestFit="1" customWidth="1"/>
    <col min="14976" max="14976" width="12" customWidth="1"/>
    <col min="14977" max="14977" width="11.28515625" customWidth="1"/>
    <col min="14978" max="14978" width="8.42578125" bestFit="1" customWidth="1"/>
    <col min="14979" max="14979" width="6.28515625" customWidth="1"/>
    <col min="14980" max="14980" width="15.28515625" customWidth="1"/>
    <col min="14981" max="14981" width="12.7109375" customWidth="1"/>
    <col min="14982" max="14982" width="15.7109375" customWidth="1"/>
    <col min="14983" max="14992" width="12.7109375" customWidth="1"/>
    <col min="15230" max="15230" width="7.7109375" bestFit="1" customWidth="1"/>
    <col min="15231" max="15231" width="37.7109375" bestFit="1" customWidth="1"/>
    <col min="15232" max="15232" width="12" customWidth="1"/>
    <col min="15233" max="15233" width="11.28515625" customWidth="1"/>
    <col min="15234" max="15234" width="8.42578125" bestFit="1" customWidth="1"/>
    <col min="15235" max="15235" width="6.28515625" customWidth="1"/>
    <col min="15236" max="15236" width="15.28515625" customWidth="1"/>
    <col min="15237" max="15237" width="12.7109375" customWidth="1"/>
    <col min="15238" max="15238" width="15.7109375" customWidth="1"/>
    <col min="15239" max="15248" width="12.7109375" customWidth="1"/>
    <col min="15486" max="15486" width="7.7109375" bestFit="1" customWidth="1"/>
    <col min="15487" max="15487" width="37.7109375" bestFit="1" customWidth="1"/>
    <col min="15488" max="15488" width="12" customWidth="1"/>
    <col min="15489" max="15489" width="11.28515625" customWidth="1"/>
    <col min="15490" max="15490" width="8.42578125" bestFit="1" customWidth="1"/>
    <col min="15491" max="15491" width="6.28515625" customWidth="1"/>
    <col min="15492" max="15492" width="15.28515625" customWidth="1"/>
    <col min="15493" max="15493" width="12.7109375" customWidth="1"/>
    <col min="15494" max="15494" width="15.7109375" customWidth="1"/>
    <col min="15495" max="15504" width="12.7109375" customWidth="1"/>
    <col min="15742" max="15742" width="7.7109375" bestFit="1" customWidth="1"/>
    <col min="15743" max="15743" width="37.7109375" bestFit="1" customWidth="1"/>
    <col min="15744" max="15744" width="12" customWidth="1"/>
    <col min="15745" max="15745" width="11.28515625" customWidth="1"/>
    <col min="15746" max="15746" width="8.42578125" bestFit="1" customWidth="1"/>
    <col min="15747" max="15747" width="6.28515625" customWidth="1"/>
    <col min="15748" max="15748" width="15.28515625" customWidth="1"/>
    <col min="15749" max="15749" width="12.7109375" customWidth="1"/>
    <col min="15750" max="15750" width="15.7109375" customWidth="1"/>
    <col min="15751" max="15760" width="12.7109375" customWidth="1"/>
    <col min="15998" max="15998" width="7.7109375" bestFit="1" customWidth="1"/>
    <col min="15999" max="15999" width="37.7109375" bestFit="1" customWidth="1"/>
    <col min="16000" max="16000" width="12" customWidth="1"/>
    <col min="16001" max="16001" width="11.28515625" customWidth="1"/>
    <col min="16002" max="16002" width="8.42578125" bestFit="1" customWidth="1"/>
    <col min="16003" max="16003" width="6.28515625" customWidth="1"/>
    <col min="16004" max="16004" width="15.28515625" customWidth="1"/>
    <col min="16005" max="16005" width="12.7109375" customWidth="1"/>
    <col min="16006" max="16006" width="15.7109375" customWidth="1"/>
    <col min="16007" max="16016" width="12.7109375" customWidth="1"/>
  </cols>
  <sheetData>
    <row r="1" spans="1:48" s="148" customFormat="1" hidden="1" x14ac:dyDescent="0.25">
      <c r="A1" s="147"/>
      <c r="B1" s="147"/>
      <c r="C1" s="147"/>
      <c r="D1" s="2"/>
      <c r="E1" s="147"/>
      <c r="F1" s="2"/>
      <c r="G1" s="147"/>
      <c r="H1" s="147"/>
      <c r="I1" s="147"/>
      <c r="J1" s="147"/>
      <c r="K1" s="2"/>
      <c r="L1" s="147"/>
      <c r="M1" s="239" t="s">
        <v>46</v>
      </c>
      <c r="N1" s="239"/>
      <c r="O1" s="147"/>
      <c r="P1" s="147"/>
      <c r="Q1" s="147" t="s">
        <v>45</v>
      </c>
      <c r="R1" s="239" t="s">
        <v>31</v>
      </c>
      <c r="S1" s="239"/>
      <c r="T1" s="239" t="s">
        <v>32</v>
      </c>
      <c r="U1" s="239"/>
      <c r="V1" s="147"/>
      <c r="W1" s="239" t="s">
        <v>33</v>
      </c>
      <c r="X1" s="239"/>
      <c r="Y1" s="147"/>
      <c r="Z1" s="147"/>
      <c r="AA1" s="147"/>
      <c r="AB1" s="147"/>
      <c r="AC1" s="147"/>
      <c r="AD1" s="147"/>
      <c r="AE1" s="147"/>
      <c r="AG1" s="149">
        <v>-1</v>
      </c>
      <c r="AH1" s="149"/>
      <c r="AI1" s="149"/>
      <c r="AJ1" s="149"/>
    </row>
    <row r="2" spans="1:48" s="5" customFormat="1" ht="15.75" thickBot="1" x14ac:dyDescent="0.3">
      <c r="A2" s="241" t="s">
        <v>686</v>
      </c>
      <c r="B2" s="241"/>
      <c r="C2" s="1"/>
      <c r="D2" s="2"/>
      <c r="E2" s="147"/>
      <c r="F2" s="2"/>
      <c r="G2" s="147"/>
      <c r="H2" s="147"/>
      <c r="I2" s="147"/>
      <c r="J2" s="147"/>
      <c r="K2" s="2"/>
      <c r="L2" s="147"/>
      <c r="M2" s="168">
        <f>SUBTOTAL(9,M4:M1036)</f>
        <v>3651113.1199999973</v>
      </c>
      <c r="N2" s="168">
        <f>SUBTOTAL(9,N4:N1036)</f>
        <v>141315963.30015045</v>
      </c>
      <c r="O2" s="242" t="s">
        <v>30</v>
      </c>
      <c r="P2" s="242"/>
      <c r="Q2" s="242"/>
      <c r="R2" s="239"/>
      <c r="S2" s="239"/>
      <c r="T2" s="239"/>
      <c r="U2" s="239"/>
      <c r="V2" s="163"/>
      <c r="W2" s="164">
        <f t="shared" ref="W2:AD2" si="0">SUBTOTAL(9,W4:W1036)</f>
        <v>667970.20814635046</v>
      </c>
      <c r="X2" s="164">
        <f t="shared" si="0"/>
        <v>74053.737807428726</v>
      </c>
      <c r="Y2" s="164">
        <f t="shared" si="0"/>
        <v>34928</v>
      </c>
      <c r="Z2" s="164">
        <f t="shared" si="0"/>
        <v>17372</v>
      </c>
      <c r="AA2" s="164">
        <f t="shared" si="0"/>
        <v>27705.299999999996</v>
      </c>
      <c r="AB2" s="164">
        <f t="shared" si="0"/>
        <v>5051093</v>
      </c>
      <c r="AC2" s="164">
        <f t="shared" si="0"/>
        <v>406958</v>
      </c>
      <c r="AD2" s="164">
        <f t="shared" si="0"/>
        <v>4644135</v>
      </c>
      <c r="AE2" s="150"/>
      <c r="AG2" s="100">
        <v>-1</v>
      </c>
      <c r="AH2" s="100"/>
      <c r="AI2" s="100"/>
      <c r="AJ2" s="100"/>
      <c r="AN2" s="164">
        <f>SUBTOTAL(9,AN4:AN1036)</f>
        <v>1146908.2114952144</v>
      </c>
      <c r="AO2" s="164">
        <f>SUBTOTAL(9,AO4:AO1036)</f>
        <v>37196</v>
      </c>
      <c r="AP2" s="164">
        <f>SUBTOTAL(9,AP4:AP1036)</f>
        <v>667970.20814635046</v>
      </c>
      <c r="AQ2" s="164">
        <f>SUBTOTAL(9,AQ4:AQ1036)</f>
        <v>705166.20814635034</v>
      </c>
    </row>
    <row r="3" spans="1:48" s="142" customFormat="1" ht="29.1" customHeight="1" thickBot="1" x14ac:dyDescent="0.3">
      <c r="A3" s="135" t="s">
        <v>432</v>
      </c>
      <c r="B3" s="136" t="s">
        <v>431</v>
      </c>
      <c r="C3" s="136" t="s">
        <v>443</v>
      </c>
      <c r="D3" s="137" t="s">
        <v>0</v>
      </c>
      <c r="E3" s="137" t="s">
        <v>1</v>
      </c>
      <c r="F3" s="137" t="s">
        <v>61</v>
      </c>
      <c r="G3" s="137" t="s">
        <v>17</v>
      </c>
      <c r="H3" s="137" t="s">
        <v>19</v>
      </c>
      <c r="I3" s="137" t="s">
        <v>2</v>
      </c>
      <c r="J3" s="137" t="s">
        <v>79</v>
      </c>
      <c r="K3" s="137" t="s">
        <v>3</v>
      </c>
      <c r="L3" s="137" t="s">
        <v>11</v>
      </c>
      <c r="M3" s="137" t="s">
        <v>4</v>
      </c>
      <c r="N3" s="137" t="s">
        <v>5</v>
      </c>
      <c r="O3" s="138" t="s">
        <v>15</v>
      </c>
      <c r="P3" s="138" t="s">
        <v>69</v>
      </c>
      <c r="Q3" s="138" t="s">
        <v>12</v>
      </c>
      <c r="R3" s="139" t="s">
        <v>16</v>
      </c>
      <c r="S3" s="139" t="s">
        <v>10</v>
      </c>
      <c r="T3" s="140" t="s">
        <v>76</v>
      </c>
      <c r="U3" s="140" t="s">
        <v>36</v>
      </c>
      <c r="V3" s="138" t="s">
        <v>7</v>
      </c>
      <c r="W3" s="140" t="s">
        <v>13</v>
      </c>
      <c r="X3" s="140" t="s">
        <v>14</v>
      </c>
      <c r="Y3" s="140" t="s">
        <v>57</v>
      </c>
      <c r="Z3" s="140" t="s">
        <v>514</v>
      </c>
      <c r="AA3" s="140" t="s">
        <v>64</v>
      </c>
      <c r="AB3" s="138" t="s">
        <v>8</v>
      </c>
      <c r="AC3" s="141" t="s">
        <v>67</v>
      </c>
      <c r="AD3" s="138" t="s">
        <v>58</v>
      </c>
      <c r="AE3" s="165" t="s">
        <v>52</v>
      </c>
      <c r="AF3" s="160"/>
      <c r="AG3" s="162" t="s">
        <v>44</v>
      </c>
      <c r="AH3" s="156" t="s">
        <v>444</v>
      </c>
      <c r="AI3" s="156" t="s">
        <v>1169</v>
      </c>
      <c r="AJ3" s="156" t="s">
        <v>614</v>
      </c>
      <c r="AK3" s="157" t="s">
        <v>1647</v>
      </c>
      <c r="AL3" s="158" t="s">
        <v>469</v>
      </c>
      <c r="AM3" s="156" t="s">
        <v>470</v>
      </c>
      <c r="AN3" s="156" t="s">
        <v>452</v>
      </c>
      <c r="AO3" s="156" t="s">
        <v>453</v>
      </c>
      <c r="AP3" s="156" t="s">
        <v>461</v>
      </c>
      <c r="AQ3" s="159" t="s">
        <v>460</v>
      </c>
      <c r="AT3" s="143" t="s">
        <v>515</v>
      </c>
      <c r="AU3" s="144" t="s">
        <v>516</v>
      </c>
      <c r="AV3" s="145" t="s">
        <v>444</v>
      </c>
    </row>
    <row r="4" spans="1:48" s="20" customFormat="1" x14ac:dyDescent="0.25">
      <c r="A4" s="121">
        <f>IFERROR(VLOOKUP(D4,'Monthly Deduction'!$I$3:$J$957,2,0),0)</f>
        <v>24146.670827364302</v>
      </c>
      <c r="B4" s="121">
        <f>IFERROR(VLOOKUP(D4,'Monthly Deduction'!$E$3:$F$957,2,0),0)</f>
        <v>12800</v>
      </c>
      <c r="C4" s="121">
        <f>A4+B4</f>
        <v>36946.670827364302</v>
      </c>
      <c r="D4" s="47">
        <v>10010013</v>
      </c>
      <c r="E4" s="122" t="str">
        <f>VLOOKUP(D4,'MPG Payment '!$E$3:$G$498218,2,0)</f>
        <v>Gomukh Kumbhi</v>
      </c>
      <c r="F4" s="146">
        <f>IFERROR(_xlfn.XLOOKUP(D4,'Monthly Deduction'!$I$3:$I$957,'Monthly Deduction'!$H$3:$H$957),0)</f>
        <v>0</v>
      </c>
      <c r="G4" s="123" t="str">
        <f>VLOOKUP(D4,'MPG Payment '!$E$3:$G$334579,3,0)</f>
        <v>MPG</v>
      </c>
      <c r="H4" s="124" t="str">
        <f>VLOOKUP(D4,'MPG Payment '!$E$3:$H$334579,4,0)</f>
        <v>Direct</v>
      </c>
      <c r="I4" s="124">
        <f>INDEX('MPG Payment '!$C:$C,MATCH('Shayak Income '!D4,'MPG Payment '!E:E,0))</f>
        <v>1001</v>
      </c>
      <c r="J4" s="124" t="str">
        <f>INDEX('MPG Payment '!$D:$D,MATCH('Shayak Income '!D4,'MPG Payment '!E:E,0))</f>
        <v>Majhaul</v>
      </c>
      <c r="K4" s="125" t="s">
        <v>1322</v>
      </c>
      <c r="L4" s="125">
        <v>45013</v>
      </c>
      <c r="M4" s="126">
        <f>SUMIF('MPG Payment '!$E$3:$E$34579,'Shayak Income '!D4,'MPG Payment '!$I$3:$I$34579)</f>
        <v>2891</v>
      </c>
      <c r="N4" s="126">
        <f>SUMIF('MPG Payment '!$E$3:$E$34579,'Shayak Income '!D4,'MPG Payment '!$J$3:$J$34579)</f>
        <v>109798.24006673001</v>
      </c>
      <c r="O4" s="126">
        <f>+M4*0.75</f>
        <v>2168.25</v>
      </c>
      <c r="P4" s="126">
        <f>+M4*0.95</f>
        <v>2746.45</v>
      </c>
      <c r="Q4" s="126">
        <f>SUMIF('MPG Payment '!$E$3:$E$34579,'Shayak Income '!D4,'MPG Payment '!$S$3:$S$34579)</f>
        <v>795.52465266722004</v>
      </c>
      <c r="R4" s="126">
        <f t="shared" ref="R4:R67" si="1">+N4*3%</f>
        <v>3293.9472020019002</v>
      </c>
      <c r="S4" s="126">
        <f t="shared" ref="S4:S67" si="2">R4-P4</f>
        <v>547.4972020019004</v>
      </c>
      <c r="T4" s="126">
        <f>M4*0.1</f>
        <v>289.10000000000002</v>
      </c>
      <c r="U4" s="127">
        <f>(((IF(K4="New",0,SUMIF('MPG Payment '!$E$3:$E$34579,'Shayak Income '!D4,'MPG Payment '!$AC$3:$AC$34579))))+0)+0</f>
        <v>15.305181454224355</v>
      </c>
      <c r="V4" s="127">
        <f>ROUND((SUM(O4:Q4)-SUM(T4:U4)),0)</f>
        <v>5406</v>
      </c>
      <c r="W4" s="19">
        <f>(((AN4-AO4)))+0</f>
        <v>2195.9648013346005</v>
      </c>
      <c r="X4" s="19">
        <v>0</v>
      </c>
      <c r="Y4" s="128">
        <f>IFERROR(VLOOKUP(D4,'Monthly Deduction'!$M$2:$N$64,2,0),0)</f>
        <v>0</v>
      </c>
      <c r="Z4" s="128">
        <v>0</v>
      </c>
      <c r="AA4" s="126">
        <f>IFERROR(VLOOKUP(D4,'Monthly Deduction'!A:B,2,0),0)</f>
        <v>0</v>
      </c>
      <c r="AB4" s="129">
        <f t="shared" ref="AB4:AB67" si="3">ROUND(IFERROR(V4-SUM(W4:AA4),0),0)</f>
        <v>3210</v>
      </c>
      <c r="AC4" s="130">
        <v>0</v>
      </c>
      <c r="AD4" s="131">
        <f>ROUND(AB4-AC4,0)</f>
        <v>3210</v>
      </c>
      <c r="AE4" s="166" t="str">
        <f>IF(AC4&lt;&gt;0,"Yes","Release")</f>
        <v>Release</v>
      </c>
      <c r="AF4" s="127"/>
      <c r="AG4" s="127">
        <v>0</v>
      </c>
      <c r="AH4" s="132"/>
      <c r="AI4" s="238">
        <v>0</v>
      </c>
      <c r="AJ4" s="132"/>
      <c r="AK4" s="151">
        <v>720.89999999999986</v>
      </c>
      <c r="AL4" s="152">
        <f t="shared" ref="AL4:AL67" si="4">COUNTIF(AK4:AK4,"=NA")</f>
        <v>0</v>
      </c>
      <c r="AM4" s="153"/>
      <c r="AN4" s="128">
        <f t="shared" ref="AN4:AN67" si="5">((MIN(IF(A4&gt;0,MAX(N4*2%,1861),0),A4)))+0</f>
        <v>2195.9648013346005</v>
      </c>
      <c r="AO4" s="133">
        <f>SUMIF('MPG Payment '!E:E,'Shayak Income '!D4,'MPG Payment '!AJ:AJ)</f>
        <v>0</v>
      </c>
      <c r="AP4" s="128">
        <f t="shared" ref="AP4:AP67" si="6">W4</f>
        <v>2195.9648013346005</v>
      </c>
      <c r="AQ4" s="134">
        <f>AO4+AP4</f>
        <v>2195.9648013346005</v>
      </c>
      <c r="AR4" s="91" t="s">
        <v>1168</v>
      </c>
      <c r="AS4" s="91">
        <f t="shared" ref="AS4:AS67" si="7">B4-X4</f>
        <v>12800</v>
      </c>
      <c r="AT4" s="133"/>
      <c r="AU4" s="133"/>
      <c r="AV4" s="133"/>
    </row>
    <row r="5" spans="1:48" s="20" customFormat="1" x14ac:dyDescent="0.25">
      <c r="A5" s="121">
        <f>IFERROR(VLOOKUP(D5,'Monthly Deduction'!$I$3:$J$957,2,0),0)</f>
        <v>64838</v>
      </c>
      <c r="B5" s="121">
        <f>IFERROR(VLOOKUP(D5,'Monthly Deduction'!$E$3:$F$957,2,0),0)</f>
        <v>6400</v>
      </c>
      <c r="C5" s="121">
        <f t="shared" ref="C5:C8" si="8">A5+B5</f>
        <v>71238</v>
      </c>
      <c r="D5" s="41">
        <v>10010017</v>
      </c>
      <c r="E5" s="122" t="str">
        <f>VLOOKUP(D5,'MPG Payment '!$E$3:$G$498218,2,0)</f>
        <v>Gomukh Amba</v>
      </c>
      <c r="F5" s="146">
        <f>IFERROR(_xlfn.XLOOKUP(D5,'Monthly Deduction'!$I$3:$I$957,'Monthly Deduction'!$H$3:$H$957),0)</f>
        <v>0</v>
      </c>
      <c r="G5" s="123" t="str">
        <f>VLOOKUP(D5,'MPG Payment '!$E$3:$G$334579,3,0)</f>
        <v>MPG</v>
      </c>
      <c r="H5" s="124" t="str">
        <f>VLOOKUP(D5,'MPG Payment '!$E$3:$H$334579,4,0)</f>
        <v>Direct</v>
      </c>
      <c r="I5" s="88">
        <f>INDEX('MPG Payment '!$C:$C,MATCH('Shayak Income '!D5,'MPG Payment '!E:E,0))</f>
        <v>1008</v>
      </c>
      <c r="J5" s="88" t="str">
        <f>INDEX('MPG Payment '!$D:$D,MATCH('Shayak Income '!D5,'MPG Payment '!E:E,0))</f>
        <v>Teghra</v>
      </c>
      <c r="K5" s="125" t="s">
        <v>1322</v>
      </c>
      <c r="L5" s="125">
        <v>45016</v>
      </c>
      <c r="M5" s="126">
        <f>SUMIF('MPG Payment '!$E$3:$E$34579,'Shayak Income '!D5,'MPG Payment '!$I$3:$I$34579)</f>
        <v>158.25</v>
      </c>
      <c r="N5" s="126">
        <f>SUMIF('MPG Payment '!$E$3:$E$34579,'Shayak Income '!D5,'MPG Payment '!$J$3:$J$34579)</f>
        <v>5257.6121512762502</v>
      </c>
      <c r="O5" s="126">
        <f t="shared" ref="O5:O68" si="9">+M5*0.75</f>
        <v>118.6875</v>
      </c>
      <c r="P5" s="126">
        <f t="shared" ref="P5:P68" si="10">+M5*0.95</f>
        <v>150.33750000000001</v>
      </c>
      <c r="Q5" s="126">
        <f>SUMIF('MPG Payment '!$E$3:$E$34579,'Shayak Income '!D5,'MPG Payment '!$S$3:$S$34579)</f>
        <v>0</v>
      </c>
      <c r="R5" s="126">
        <f t="shared" si="1"/>
        <v>157.72836453828751</v>
      </c>
      <c r="S5" s="126">
        <f>R5-P5</f>
        <v>7.3908645382875022</v>
      </c>
      <c r="T5" s="126">
        <f t="shared" ref="T5:T68" si="11">M5*0.1</f>
        <v>15.825000000000001</v>
      </c>
      <c r="U5" s="127">
        <f>(((IF(K5="New",0,SUMIF('MPG Payment '!$E$3:$E$34579,'Shayak Income '!D5,'MPG Payment '!$AC$3:$AC$34579))))+0)+-1481</f>
        <v>252.7673605342286</v>
      </c>
      <c r="V5" s="127">
        <f t="shared" ref="V5:V68" si="12">ROUND((SUM(O5:Q5)-SUM(T5:U5)),0)</f>
        <v>0</v>
      </c>
      <c r="W5" s="19">
        <v>0</v>
      </c>
      <c r="X5" s="19">
        <v>0</v>
      </c>
      <c r="Y5" s="128">
        <f>IFERROR(VLOOKUP(D5,'Monthly Deduction'!$M$2:$N$64,2,0),0)</f>
        <v>0</v>
      </c>
      <c r="Z5" s="128">
        <v>0</v>
      </c>
      <c r="AA5" s="126">
        <f>IFERROR(VLOOKUP(D5,'Monthly Deduction'!A:B,2,0),0)</f>
        <v>0</v>
      </c>
      <c r="AB5" s="129">
        <f t="shared" si="3"/>
        <v>0</v>
      </c>
      <c r="AC5" s="130">
        <v>0</v>
      </c>
      <c r="AD5" s="35">
        <f t="shared" ref="AD5:AD68" si="13">ROUND(AB5-AC5,0)</f>
        <v>0</v>
      </c>
      <c r="AE5" s="166" t="str">
        <f t="shared" ref="AE5:AE68" si="14">IF(AC5&lt;&gt;0,"Yes","Release")</f>
        <v>Release</v>
      </c>
      <c r="AF5" s="127"/>
      <c r="AG5" s="18">
        <v>0</v>
      </c>
      <c r="AH5" s="132"/>
      <c r="AI5" s="238">
        <v>0</v>
      </c>
      <c r="AJ5" s="132"/>
      <c r="AK5" s="151">
        <v>28.499999999999996</v>
      </c>
      <c r="AL5" s="154">
        <f>COUNTIF(AK5:AK5,"=NA")</f>
        <v>0</v>
      </c>
      <c r="AM5" s="155"/>
      <c r="AN5" s="19">
        <f t="shared" si="5"/>
        <v>1861</v>
      </c>
      <c r="AO5" s="118">
        <f>SUMIF('MPG Payment '!E:E,'Shayak Income '!D5,'MPG Payment '!AJ:AJ)</f>
        <v>500</v>
      </c>
      <c r="AP5" s="19">
        <f t="shared" si="6"/>
        <v>0</v>
      </c>
      <c r="AQ5" s="119">
        <f>AO5+AP5</f>
        <v>500</v>
      </c>
      <c r="AR5" s="91" t="s">
        <v>1168</v>
      </c>
      <c r="AS5" s="91">
        <f t="shared" si="7"/>
        <v>6400</v>
      </c>
      <c r="AT5" s="118"/>
      <c r="AU5" s="118"/>
      <c r="AV5" s="118"/>
    </row>
    <row r="6" spans="1:48" s="20" customFormat="1" x14ac:dyDescent="0.25">
      <c r="A6" s="121">
        <f>IFERROR(VLOOKUP(D6,'Monthly Deduction'!$I$3:$J$957,2,0),0)</f>
        <v>30537.324836432716</v>
      </c>
      <c r="B6" s="121">
        <f>IFERROR(VLOOKUP(D6,'Monthly Deduction'!$E$3:$F$957,2,0),0)</f>
        <v>6400</v>
      </c>
      <c r="C6" s="121">
        <f t="shared" si="8"/>
        <v>36937.324836432716</v>
      </c>
      <c r="D6" s="41">
        <v>10010019</v>
      </c>
      <c r="E6" s="122" t="str">
        <f>VLOOKUP(D6,'MPG Payment '!$E$3:$G$498218,2,0)</f>
        <v xml:space="preserve">Gomukh Jagdar                                                                                       </v>
      </c>
      <c r="F6" s="146">
        <f>IFERROR(_xlfn.XLOOKUP(D6,'Monthly Deduction'!$I$3:$I$957,'Monthly Deduction'!$H$3:$H$957),0)</f>
        <v>0</v>
      </c>
      <c r="G6" s="123" t="str">
        <f>VLOOKUP(D6,'MPG Payment '!$E$3:$G$334579,3,0)</f>
        <v>MPG</v>
      </c>
      <c r="H6" s="124" t="str">
        <f>VLOOKUP(D6,'MPG Payment '!$E$3:$H$334579,4,0)</f>
        <v>Direct</v>
      </c>
      <c r="I6" s="88">
        <f>INDEX('MPG Payment '!$C:$C,MATCH('Shayak Income '!D6,'MPG Payment '!E:E,0))</f>
        <v>1001</v>
      </c>
      <c r="J6" s="88" t="str">
        <f>INDEX('MPG Payment '!$D:$D,MATCH('Shayak Income '!D6,'MPG Payment '!E:E,0))</f>
        <v>Majhaul</v>
      </c>
      <c r="K6" s="125" t="s">
        <v>1322</v>
      </c>
      <c r="L6" s="125">
        <v>45040</v>
      </c>
      <c r="M6" s="126">
        <f>SUMIF('MPG Payment '!$E$3:$E$34579,'Shayak Income '!D6,'MPG Payment '!$I$3:$I$34579)</f>
        <v>3099.7000000000007</v>
      </c>
      <c r="N6" s="126">
        <f>SUMIF('MPG Payment '!$E$3:$E$34579,'Shayak Income '!D6,'MPG Payment '!$J$3:$J$34579)</f>
        <v>122858.963657092</v>
      </c>
      <c r="O6" s="126">
        <f t="shared" si="9"/>
        <v>2324.7750000000005</v>
      </c>
      <c r="P6" s="126">
        <f t="shared" si="10"/>
        <v>2944.7150000000006</v>
      </c>
      <c r="Q6" s="126">
        <f>SUMIF('MPG Payment '!$E$3:$E$34579,'Shayak Income '!D6,'MPG Payment '!$S$3:$S$34579)</f>
        <v>1681.2057183209999</v>
      </c>
      <c r="R6" s="126">
        <f t="shared" si="1"/>
        <v>3685.76890971276</v>
      </c>
      <c r="S6" s="126">
        <f>R6-P6</f>
        <v>741.05390971275938</v>
      </c>
      <c r="T6" s="126">
        <f t="shared" si="11"/>
        <v>309.97000000000008</v>
      </c>
      <c r="U6" s="127">
        <f>(((IF(K6="New",0,SUMIF('MPG Payment '!$E$3:$E$34579,'Shayak Income '!D6,'MPG Payment '!$AC$3:$AC$34579))))+0)+0</f>
        <v>0</v>
      </c>
      <c r="V6" s="127">
        <f t="shared" si="12"/>
        <v>6641</v>
      </c>
      <c r="W6" s="19">
        <f t="shared" ref="W6:W68" si="15">(((AN6-AO6)))+0</f>
        <v>2457.17927314184</v>
      </c>
      <c r="X6" s="19">
        <v>0</v>
      </c>
      <c r="Y6" s="128">
        <f>IFERROR(VLOOKUP(D6,'Monthly Deduction'!$M$2:$N$64,2,0),0)</f>
        <v>0</v>
      </c>
      <c r="Z6" s="128">
        <v>0</v>
      </c>
      <c r="AA6" s="126">
        <f>IFERROR(VLOOKUP(D6,'Monthly Deduction'!A:B,2,0),0)</f>
        <v>0</v>
      </c>
      <c r="AB6" s="129">
        <f t="shared" si="3"/>
        <v>4184</v>
      </c>
      <c r="AC6" s="130">
        <v>0</v>
      </c>
      <c r="AD6" s="35">
        <f t="shared" si="13"/>
        <v>4184</v>
      </c>
      <c r="AE6" s="166" t="str">
        <f t="shared" si="14"/>
        <v>Release</v>
      </c>
      <c r="AF6" s="127"/>
      <c r="AG6" s="127">
        <v>0</v>
      </c>
      <c r="AH6" s="132"/>
      <c r="AI6" s="238">
        <v>0</v>
      </c>
      <c r="AJ6" s="132"/>
      <c r="AK6" s="151">
        <v>1007.2</v>
      </c>
      <c r="AL6" s="154">
        <f t="shared" si="4"/>
        <v>0</v>
      </c>
      <c r="AM6" s="155"/>
      <c r="AN6" s="19">
        <f t="shared" si="5"/>
        <v>2457.17927314184</v>
      </c>
      <c r="AO6" s="118">
        <f>SUMIF('MPG Payment '!E:E,'Shayak Income '!D6,'MPG Payment '!AJ:AJ)</f>
        <v>0</v>
      </c>
      <c r="AP6" s="19">
        <f t="shared" si="6"/>
        <v>2457.17927314184</v>
      </c>
      <c r="AQ6" s="119">
        <f t="shared" ref="AQ6:AQ68" si="16">AO6+AP6</f>
        <v>2457.17927314184</v>
      </c>
      <c r="AR6" s="91"/>
      <c r="AS6" s="91">
        <f t="shared" si="7"/>
        <v>6400</v>
      </c>
      <c r="AT6" s="118"/>
      <c r="AU6" s="118"/>
      <c r="AV6" s="118"/>
    </row>
    <row r="7" spans="1:48" s="20" customFormat="1" x14ac:dyDescent="0.25">
      <c r="A7" s="121">
        <f>IFERROR(VLOOKUP(D7,'Monthly Deduction'!$I$3:$J$957,2,0),0)</f>
        <v>38140.00641594606</v>
      </c>
      <c r="B7" s="121">
        <f>IFERROR(VLOOKUP(D7,'Monthly Deduction'!$E$3:$F$957,2,0),0)</f>
        <v>5744.9159999999993</v>
      </c>
      <c r="C7" s="121">
        <f t="shared" si="8"/>
        <v>43884.922415946057</v>
      </c>
      <c r="D7" s="41">
        <v>10010038</v>
      </c>
      <c r="E7" s="122" t="str">
        <f>VLOOKUP(D7,'MPG Payment '!$E$3:$G$498218,2,0)</f>
        <v>Gomukh Goriyari</v>
      </c>
      <c r="F7" s="146">
        <f>IFERROR(_xlfn.XLOOKUP(D7,'Monthly Deduction'!$I$3:$I$957,'Monthly Deduction'!$H$3:$H$957),0)</f>
        <v>0</v>
      </c>
      <c r="G7" s="123" t="str">
        <f>VLOOKUP(D7,'MPG Payment '!$E$3:$G$334579,3,0)</f>
        <v>MPG</v>
      </c>
      <c r="H7" s="124" t="str">
        <f>VLOOKUP(D7,'MPG Payment '!$E$3:$H$334579,4,0)</f>
        <v>Direct</v>
      </c>
      <c r="I7" s="88">
        <f>INDEX('MPG Payment '!$C:$C,MATCH('Shayak Income '!D7,'MPG Payment '!E:E,0))</f>
        <v>1058</v>
      </c>
      <c r="J7" s="88" t="str">
        <f>INDEX('MPG Payment '!$D:$D,MATCH('Shayak Income '!D7,'MPG Payment '!E:E,0))</f>
        <v>Hasanpur</v>
      </c>
      <c r="K7" s="125" t="s">
        <v>1322</v>
      </c>
      <c r="L7" s="125">
        <v>45128</v>
      </c>
      <c r="M7" s="126">
        <f>SUMIF('MPG Payment '!$E$3:$E$34579,'Shayak Income '!D7,'MPG Payment '!$I$3:$I$34579)</f>
        <v>4882.3</v>
      </c>
      <c r="N7" s="126">
        <f>SUMIF('MPG Payment '!$E$3:$E$34579,'Shayak Income '!D7,'MPG Payment '!$J$3:$J$34579)</f>
        <v>189127.26648841801</v>
      </c>
      <c r="O7" s="126">
        <f t="shared" si="9"/>
        <v>3661.7250000000004</v>
      </c>
      <c r="P7" s="126">
        <f t="shared" si="10"/>
        <v>4638.1850000000004</v>
      </c>
      <c r="Q7" s="126">
        <f>SUMIF('MPG Payment '!$E$3:$E$34579,'Shayak Income '!D7,'MPG Payment '!$S$3:$S$34579)</f>
        <v>830.22510960000011</v>
      </c>
      <c r="R7" s="126">
        <f t="shared" si="1"/>
        <v>5673.8179946525397</v>
      </c>
      <c r="S7" s="126">
        <f t="shared" si="2"/>
        <v>1035.6329946525393</v>
      </c>
      <c r="T7" s="126">
        <f t="shared" si="11"/>
        <v>488.23</v>
      </c>
      <c r="U7" s="127">
        <f>(((IF(K7="New",0,SUMIF('MPG Payment '!$E$3:$E$34579,'Shayak Income '!D7,'MPG Payment '!$AC$3:$AC$34579))))+0)+0</f>
        <v>0</v>
      </c>
      <c r="V7" s="127">
        <f t="shared" si="12"/>
        <v>8642</v>
      </c>
      <c r="W7" s="19">
        <f t="shared" si="15"/>
        <v>3782.5453297683603</v>
      </c>
      <c r="X7" s="19">
        <v>0</v>
      </c>
      <c r="Y7" s="128">
        <f>IFERROR(VLOOKUP(D7,'Monthly Deduction'!$M$2:$N$64,2,0),0)</f>
        <v>0</v>
      </c>
      <c r="Z7" s="128">
        <v>0</v>
      </c>
      <c r="AA7" s="126">
        <f>IFERROR(VLOOKUP(D7,'Monthly Deduction'!A:B,2,0),0)</f>
        <v>0</v>
      </c>
      <c r="AB7" s="129">
        <f t="shared" si="3"/>
        <v>4859</v>
      </c>
      <c r="AC7" s="130">
        <v>0</v>
      </c>
      <c r="AD7" s="35">
        <f t="shared" si="13"/>
        <v>4859</v>
      </c>
      <c r="AE7" s="166" t="str">
        <f t="shared" si="14"/>
        <v>Release</v>
      </c>
      <c r="AF7" s="127"/>
      <c r="AG7" s="18">
        <v>0</v>
      </c>
      <c r="AH7" s="132"/>
      <c r="AI7" s="238">
        <v>0</v>
      </c>
      <c r="AJ7" s="132"/>
      <c r="AK7" s="151">
        <v>1382.3000000000002</v>
      </c>
      <c r="AL7" s="154">
        <f t="shared" si="4"/>
        <v>0</v>
      </c>
      <c r="AM7" s="155"/>
      <c r="AN7" s="19">
        <f t="shared" si="5"/>
        <v>3782.5453297683603</v>
      </c>
      <c r="AO7" s="118">
        <f>SUMIF('MPG Payment '!E:E,'Shayak Income '!D7,'MPG Payment '!AJ:AJ)</f>
        <v>0</v>
      </c>
      <c r="AP7" s="19">
        <f t="shared" si="6"/>
        <v>3782.5453297683603</v>
      </c>
      <c r="AQ7" s="119">
        <f t="shared" si="16"/>
        <v>3782.5453297683603</v>
      </c>
      <c r="AR7" s="91"/>
      <c r="AS7" s="91">
        <f t="shared" si="7"/>
        <v>5744.9159999999993</v>
      </c>
      <c r="AT7" s="118"/>
      <c r="AU7" s="118"/>
      <c r="AV7" s="118"/>
    </row>
    <row r="8" spans="1:48" s="20" customFormat="1" x14ac:dyDescent="0.25">
      <c r="A8" s="121">
        <f>IFERROR(VLOOKUP(D8,'Monthly Deduction'!$I$3:$J$957,2,0),0)</f>
        <v>0</v>
      </c>
      <c r="B8" s="121">
        <f>IFERROR(VLOOKUP(D8,'Monthly Deduction'!$E$3:$F$957,2,0),0)</f>
        <v>0</v>
      </c>
      <c r="C8" s="121">
        <f t="shared" si="8"/>
        <v>0</v>
      </c>
      <c r="D8" s="41">
        <v>10010047</v>
      </c>
      <c r="E8" s="122" t="str">
        <f>VLOOKUP(D8,'MPG Payment '!$E$3:$G$498218,2,0)</f>
        <v>Mohanpur - Chandan</v>
      </c>
      <c r="F8" s="146">
        <f>IFERROR(_xlfn.XLOOKUP(D8,'Monthly Deduction'!$I$3:$I$957,'Monthly Deduction'!$H$3:$H$957),0)</f>
        <v>0</v>
      </c>
      <c r="G8" s="123" t="str">
        <f>VLOOKUP(D8,'MPG Payment '!$E$3:$G$334579,3,0)</f>
        <v>vlc</v>
      </c>
      <c r="H8" s="124" t="str">
        <f>VLOOKUP(D8,'MPG Payment '!$E$3:$H$334579,4,0)</f>
        <v>Indirect</v>
      </c>
      <c r="I8" s="88">
        <f>INDEX('MPG Payment '!$C:$C,MATCH('Shayak Income '!D8,'MPG Payment '!E:E,0))</f>
        <v>1001</v>
      </c>
      <c r="J8" s="88" t="str">
        <f>INDEX('MPG Payment '!$D:$D,MATCH('Shayak Income '!D8,'MPG Payment '!E:E,0))</f>
        <v>Majhaul</v>
      </c>
      <c r="K8" s="125" t="s">
        <v>1322</v>
      </c>
      <c r="L8" s="125">
        <v>45121</v>
      </c>
      <c r="M8" s="126">
        <f>SUMIF('MPG Payment '!$E$3:$E$34579,'Shayak Income '!D8,'MPG Payment '!$I$3:$I$34579)</f>
        <v>325</v>
      </c>
      <c r="N8" s="126">
        <f>SUMIF('MPG Payment '!$E$3:$E$34579,'Shayak Income '!D8,'MPG Payment '!$J$3:$J$34579)</f>
        <v>13308.744047497001</v>
      </c>
      <c r="O8" s="126">
        <f t="shared" si="9"/>
        <v>243.75</v>
      </c>
      <c r="P8" s="126">
        <f t="shared" si="10"/>
        <v>308.75</v>
      </c>
      <c r="Q8" s="126">
        <f>SUMIF('MPG Payment '!$E$3:$E$34579,'Shayak Income '!D8,'MPG Payment '!$S$3:$S$34579)</f>
        <v>0</v>
      </c>
      <c r="R8" s="126">
        <f t="shared" si="1"/>
        <v>399.26232142491</v>
      </c>
      <c r="S8" s="126">
        <f t="shared" si="2"/>
        <v>90.512321424909999</v>
      </c>
      <c r="T8" s="126">
        <f t="shared" si="11"/>
        <v>32.5</v>
      </c>
      <c r="U8" s="127">
        <f>(((IF(K8="New",0,SUMIF('MPG Payment '!$E$3:$E$34579,'Shayak Income '!D8,'MPG Payment '!$AC$3:$AC$34579))))+0)+-1591</f>
        <v>520.48047575707187</v>
      </c>
      <c r="V8" s="127">
        <f t="shared" si="12"/>
        <v>0</v>
      </c>
      <c r="W8" s="19">
        <v>0</v>
      </c>
      <c r="X8" s="19">
        <v>0</v>
      </c>
      <c r="Y8" s="128">
        <f>IFERROR(VLOOKUP(D8,'Monthly Deduction'!$M$2:$N$64,2,0),0)</f>
        <v>0</v>
      </c>
      <c r="Z8" s="128">
        <v>0</v>
      </c>
      <c r="AA8" s="126">
        <f>IFERROR(VLOOKUP(D8,'Monthly Deduction'!A:B,2,0),0)</f>
        <v>0</v>
      </c>
      <c r="AB8" s="129">
        <f t="shared" si="3"/>
        <v>0</v>
      </c>
      <c r="AC8" s="130">
        <v>0</v>
      </c>
      <c r="AD8" s="35">
        <f t="shared" si="13"/>
        <v>0</v>
      </c>
      <c r="AE8" s="166" t="str">
        <f t="shared" si="14"/>
        <v>Release</v>
      </c>
      <c r="AF8" s="127"/>
      <c r="AG8" s="127">
        <v>0</v>
      </c>
      <c r="AH8" s="132"/>
      <c r="AI8" s="238">
        <v>0</v>
      </c>
      <c r="AJ8" s="132"/>
      <c r="AK8" s="151">
        <v>115.9</v>
      </c>
      <c r="AL8" s="154">
        <f t="shared" si="4"/>
        <v>0</v>
      </c>
      <c r="AM8" s="155"/>
      <c r="AN8" s="19">
        <f t="shared" si="5"/>
        <v>0</v>
      </c>
      <c r="AO8" s="118">
        <f>SUMIF('MPG Payment '!E:E,'Shayak Income '!D8,'MPG Payment '!AJ:AJ)</f>
        <v>0</v>
      </c>
      <c r="AP8" s="19">
        <f t="shared" si="6"/>
        <v>0</v>
      </c>
      <c r="AQ8" s="119">
        <f t="shared" si="16"/>
        <v>0</v>
      </c>
      <c r="AR8" s="91"/>
      <c r="AS8" s="91">
        <f t="shared" si="7"/>
        <v>0</v>
      </c>
      <c r="AT8" s="118"/>
      <c r="AU8" s="118"/>
      <c r="AV8" s="118"/>
    </row>
    <row r="9" spans="1:48" s="20" customFormat="1" x14ac:dyDescent="0.25">
      <c r="A9" s="17">
        <f>IFERROR(VLOOKUP(D9,'Monthly Deduction'!$I$3:$J$957,2,0),0)</f>
        <v>36739.688090752985</v>
      </c>
      <c r="B9" s="17">
        <f>IFERROR(VLOOKUP(D9,'Monthly Deduction'!$E$3:$F$957,2,0),0)</f>
        <v>0</v>
      </c>
      <c r="C9" s="17">
        <f t="shared" ref="C9:C68" si="17">A9+B9</f>
        <v>36739.688090752985</v>
      </c>
      <c r="D9" s="41">
        <v>10010050</v>
      </c>
      <c r="E9" s="122" t="str">
        <f>VLOOKUP(D9,'MPG Payment '!$E$3:$G$498218,2,0)</f>
        <v>Ekamba - Ashutosh</v>
      </c>
      <c r="F9" s="146">
        <f>IFERROR(_xlfn.XLOOKUP(D9,'Monthly Deduction'!$I$3:$I$957,'Monthly Deduction'!$H$3:$H$957),0)</f>
        <v>0</v>
      </c>
      <c r="G9" s="123" t="str">
        <f>VLOOKUP(D9,'MPG Payment '!$E$3:$G$334579,3,0)</f>
        <v>vlc</v>
      </c>
      <c r="H9" s="124" t="str">
        <f>VLOOKUP(D9,'MPG Payment '!$E$3:$H$334579,4,0)</f>
        <v>Indirect</v>
      </c>
      <c r="I9" s="88">
        <f>INDEX('MPG Payment '!$C:$C,MATCH('Shayak Income '!D9,'MPG Payment '!E:E,0))</f>
        <v>1058</v>
      </c>
      <c r="J9" s="88" t="str">
        <f>INDEX('MPG Payment '!$D:$D,MATCH('Shayak Income '!D9,'MPG Payment '!E:E,0))</f>
        <v>Hasanpur</v>
      </c>
      <c r="K9" s="125" t="s">
        <v>1322</v>
      </c>
      <c r="L9" s="125">
        <v>45098</v>
      </c>
      <c r="M9" s="126">
        <f>SUMIF('MPG Payment '!$E$3:$E$34579,'Shayak Income '!D9,'MPG Payment '!$I$3:$I$34579)</f>
        <v>3298.4</v>
      </c>
      <c r="N9" s="126">
        <f>SUMIF('MPG Payment '!$E$3:$E$34579,'Shayak Income '!D9,'MPG Payment '!$J$3:$J$34579)</f>
        <v>123601.21658564804</v>
      </c>
      <c r="O9" s="126">
        <f t="shared" si="9"/>
        <v>2473.8000000000002</v>
      </c>
      <c r="P9" s="126">
        <f t="shared" si="10"/>
        <v>3133.48</v>
      </c>
      <c r="Q9" s="126">
        <f>SUMIF('MPG Payment '!$E$3:$E$34579,'Shayak Income '!D9,'MPG Payment '!$S$3:$S$34579)</f>
        <v>0</v>
      </c>
      <c r="R9" s="126">
        <f t="shared" si="1"/>
        <v>3708.0364975694411</v>
      </c>
      <c r="S9" s="126">
        <f t="shared" si="2"/>
        <v>574.55649756944104</v>
      </c>
      <c r="T9" s="126">
        <f t="shared" si="11"/>
        <v>329.84000000000003</v>
      </c>
      <c r="U9" s="127">
        <f>(((IF(K9="New",0,SUMIF('MPG Payment '!$E$3:$E$34579,'Shayak Income '!D9,'MPG Payment '!$AC$3:$AC$34579))))+0)+0</f>
        <v>40.707069409217389</v>
      </c>
      <c r="V9" s="127">
        <f t="shared" si="12"/>
        <v>5237</v>
      </c>
      <c r="W9" s="19">
        <f t="shared" si="15"/>
        <v>2472.0243317129607</v>
      </c>
      <c r="X9" s="19">
        <v>0</v>
      </c>
      <c r="Y9" s="128">
        <f>IFERROR(VLOOKUP(D9,'Monthly Deduction'!$M$2:$N$64,2,0),0)</f>
        <v>0</v>
      </c>
      <c r="Z9" s="128">
        <v>0</v>
      </c>
      <c r="AA9" s="126">
        <f>IFERROR(VLOOKUP(D9,'Monthly Deduction'!A:B,2,0),0)</f>
        <v>0</v>
      </c>
      <c r="AB9" s="129">
        <f t="shared" si="3"/>
        <v>2765</v>
      </c>
      <c r="AC9" s="130">
        <v>0</v>
      </c>
      <c r="AD9" s="35">
        <f t="shared" si="13"/>
        <v>2765</v>
      </c>
      <c r="AE9" s="166" t="str">
        <f t="shared" si="14"/>
        <v>Release</v>
      </c>
      <c r="AF9" s="127"/>
      <c r="AG9" s="127">
        <v>0</v>
      </c>
      <c r="AH9" s="215"/>
      <c r="AI9" s="238">
        <v>0</v>
      </c>
      <c r="AJ9" s="132"/>
      <c r="AK9" s="151">
        <v>1008.9000000000001</v>
      </c>
      <c r="AL9" s="154">
        <f t="shared" si="4"/>
        <v>0</v>
      </c>
      <c r="AM9" s="155"/>
      <c r="AN9" s="19">
        <f t="shared" si="5"/>
        <v>2472.0243317129607</v>
      </c>
      <c r="AO9" s="118">
        <f>SUMIF('MPG Payment '!E:E,'Shayak Income '!D9,'MPG Payment '!AJ:AJ)</f>
        <v>0</v>
      </c>
      <c r="AP9" s="19">
        <f t="shared" si="6"/>
        <v>2472.0243317129607</v>
      </c>
      <c r="AQ9" s="119">
        <f t="shared" si="16"/>
        <v>2472.0243317129607</v>
      </c>
      <c r="AR9" s="91"/>
      <c r="AS9" s="91">
        <f t="shared" si="7"/>
        <v>0</v>
      </c>
      <c r="AT9" s="118"/>
      <c r="AU9" s="118"/>
      <c r="AV9" s="118"/>
    </row>
    <row r="10" spans="1:48" s="20" customFormat="1" x14ac:dyDescent="0.25">
      <c r="A10" s="17">
        <f>IFERROR(VLOOKUP(D10,'Monthly Deduction'!$I$3:$J$957,2,0),0)</f>
        <v>27138.824735310642</v>
      </c>
      <c r="B10" s="17">
        <f>IFERROR(VLOOKUP(D10,'Monthly Deduction'!$E$3:$F$957,2,0),0)</f>
        <v>570.15179999999964</v>
      </c>
      <c r="C10" s="17">
        <f t="shared" si="17"/>
        <v>27708.976535310641</v>
      </c>
      <c r="D10" s="41">
        <v>10010051</v>
      </c>
      <c r="E10" s="122" t="str">
        <f>VLOOKUP(D10,'MPG Payment '!$E$3:$G$498218,2,0)</f>
        <v>Gomukh Dunahi</v>
      </c>
      <c r="F10" s="146">
        <f>IFERROR(_xlfn.XLOOKUP(D10,'Monthly Deduction'!$I$3:$I$957,'Monthly Deduction'!$H$3:$H$957),0)</f>
        <v>0</v>
      </c>
      <c r="G10" s="123" t="str">
        <f>VLOOKUP(D10,'MPG Payment '!$E$3:$G$334579,3,0)</f>
        <v>MPG</v>
      </c>
      <c r="H10" s="124" t="str">
        <f>VLOOKUP(D10,'MPG Payment '!$E$3:$H$334579,4,0)</f>
        <v>Direct</v>
      </c>
      <c r="I10" s="88">
        <f>INDEX('MPG Payment '!$C:$C,MATCH('Shayak Income '!D10,'MPG Payment '!E:E,0))</f>
        <v>1058</v>
      </c>
      <c r="J10" s="88" t="str">
        <f>INDEX('MPG Payment '!$D:$D,MATCH('Shayak Income '!D10,'MPG Payment '!E:E,0))</f>
        <v>Hasanpur</v>
      </c>
      <c r="K10" s="125" t="s">
        <v>1322</v>
      </c>
      <c r="L10" s="125">
        <v>45219</v>
      </c>
      <c r="M10" s="126">
        <f>SUMIF('MPG Payment '!$E$3:$E$34579,'Shayak Income '!D10,'MPG Payment '!$I$3:$I$34579)</f>
        <v>2234.8000000000002</v>
      </c>
      <c r="N10" s="126">
        <f>SUMIF('MPG Payment '!$E$3:$E$34579,'Shayak Income '!D10,'MPG Payment '!$J$3:$J$34579)</f>
        <v>83104.667152783994</v>
      </c>
      <c r="O10" s="126">
        <f t="shared" si="9"/>
        <v>1676.1000000000001</v>
      </c>
      <c r="P10" s="126">
        <f t="shared" si="10"/>
        <v>2123.06</v>
      </c>
      <c r="Q10" s="126">
        <f>SUMIF('MPG Payment '!$E$3:$E$34579,'Shayak Income '!D10,'MPG Payment '!$S$3:$S$34579)</f>
        <v>618.92894527200008</v>
      </c>
      <c r="R10" s="126">
        <f t="shared" si="1"/>
        <v>2493.1400145835196</v>
      </c>
      <c r="S10" s="126">
        <f t="shared" si="2"/>
        <v>370.08001458351964</v>
      </c>
      <c r="T10" s="126">
        <f t="shared" si="11"/>
        <v>223.48000000000002</v>
      </c>
      <c r="U10" s="127">
        <f>(((IF(K10="New",0,SUMIF('MPG Payment '!$E$3:$E$34579,'Shayak Income '!D10,'MPG Payment '!$AC$3:$AC$34579))))+0)+0</f>
        <v>213.3474034774209</v>
      </c>
      <c r="V10" s="127">
        <f t="shared" si="12"/>
        <v>3981</v>
      </c>
      <c r="W10" s="19">
        <f t="shared" si="15"/>
        <v>1861</v>
      </c>
      <c r="X10" s="19">
        <v>0</v>
      </c>
      <c r="Y10" s="128">
        <f>IFERROR(VLOOKUP(D10,'Monthly Deduction'!$M$2:$N$64,2,0),0)</f>
        <v>0</v>
      </c>
      <c r="Z10" s="128">
        <v>0</v>
      </c>
      <c r="AA10" s="126">
        <f>IFERROR(VLOOKUP(D10,'Monthly Deduction'!A:B,2,0),0)</f>
        <v>0</v>
      </c>
      <c r="AB10" s="129">
        <f t="shared" si="3"/>
        <v>2120</v>
      </c>
      <c r="AC10" s="130">
        <v>0</v>
      </c>
      <c r="AD10" s="35">
        <f t="shared" si="13"/>
        <v>2120</v>
      </c>
      <c r="AE10" s="166" t="str">
        <f t="shared" si="14"/>
        <v>Release</v>
      </c>
      <c r="AF10" s="127"/>
      <c r="AG10" s="18">
        <v>0</v>
      </c>
      <c r="AH10" s="120"/>
      <c r="AI10" s="238">
        <v>0</v>
      </c>
      <c r="AJ10" s="132"/>
      <c r="AK10" s="151">
        <v>1132.5999999999999</v>
      </c>
      <c r="AL10" s="154">
        <f t="shared" si="4"/>
        <v>0</v>
      </c>
      <c r="AM10" s="155"/>
      <c r="AN10" s="19">
        <f t="shared" si="5"/>
        <v>1861</v>
      </c>
      <c r="AO10" s="118">
        <f>SUMIF('MPG Payment '!E:E,'Shayak Income '!D10,'MPG Payment '!AJ:AJ)</f>
        <v>0</v>
      </c>
      <c r="AP10" s="19">
        <f t="shared" si="6"/>
        <v>1861</v>
      </c>
      <c r="AQ10" s="119">
        <f t="shared" si="16"/>
        <v>1861</v>
      </c>
      <c r="AR10" s="91" t="s">
        <v>1168</v>
      </c>
      <c r="AS10" s="91">
        <f t="shared" si="7"/>
        <v>570.15179999999964</v>
      </c>
      <c r="AT10" s="118"/>
      <c r="AU10" s="118"/>
      <c r="AV10" s="118"/>
    </row>
    <row r="11" spans="1:48" s="20" customFormat="1" x14ac:dyDescent="0.25">
      <c r="A11" s="17">
        <f>IFERROR(VLOOKUP(D11,'Monthly Deduction'!$I$3:$J$957,2,0),0)</f>
        <v>82375.427423580782</v>
      </c>
      <c r="B11" s="17">
        <f>IFERROR(VLOOKUP(D11,'Monthly Deduction'!$E$3:$F$957,2,0),0)</f>
        <v>6400</v>
      </c>
      <c r="C11" s="17">
        <f t="shared" si="17"/>
        <v>88775.427423580782</v>
      </c>
      <c r="D11" s="41">
        <v>10010055</v>
      </c>
      <c r="E11" s="122" t="str">
        <f>VLOOKUP(D11,'MPG Payment '!$E$3:$G$498218,2,0)</f>
        <v xml:space="preserve">GOMUKH BIRPUR PASCHIM                                                                               </v>
      </c>
      <c r="F11" s="146">
        <f>IFERROR(_xlfn.XLOOKUP(D11,'Monthly Deduction'!$I$3:$I$957,'Monthly Deduction'!$H$3:$H$957),0)</f>
        <v>0</v>
      </c>
      <c r="G11" s="123" t="str">
        <f>VLOOKUP(D11,'MPG Payment '!$E$3:$G$334579,3,0)</f>
        <v>MPG</v>
      </c>
      <c r="H11" s="124" t="str">
        <f>VLOOKUP(D11,'MPG Payment '!$E$3:$H$334579,4,0)</f>
        <v>Direct</v>
      </c>
      <c r="I11" s="88">
        <f>INDEX('MPG Payment '!$C:$C,MATCH('Shayak Income '!D11,'MPG Payment '!E:E,0))</f>
        <v>1001</v>
      </c>
      <c r="J11" s="88" t="str">
        <f>INDEX('MPG Payment '!$D:$D,MATCH('Shayak Income '!D11,'MPG Payment '!E:E,0))</f>
        <v>Majhaul</v>
      </c>
      <c r="K11" s="125" t="s">
        <v>1322</v>
      </c>
      <c r="L11" s="125">
        <v>45231</v>
      </c>
      <c r="M11" s="126">
        <f>SUMIF('MPG Payment '!$E$3:$E$34579,'Shayak Income '!D11,'MPG Payment '!$I$3:$I$34579)</f>
        <v>526.70000000000005</v>
      </c>
      <c r="N11" s="126">
        <f>SUMIF('MPG Payment '!$E$3:$E$34579,'Shayak Income '!D11,'MPG Payment '!$J$3:$J$34579)</f>
        <v>21545.006675199998</v>
      </c>
      <c r="O11" s="126">
        <f t="shared" si="9"/>
        <v>395.02500000000003</v>
      </c>
      <c r="P11" s="126">
        <f t="shared" si="10"/>
        <v>500.36500000000001</v>
      </c>
      <c r="Q11" s="126">
        <f>SUMIF('MPG Payment '!$E$3:$E$34579,'Shayak Income '!D11,'MPG Payment '!$S$3:$S$34579)</f>
        <v>0</v>
      </c>
      <c r="R11" s="126">
        <f t="shared" si="1"/>
        <v>646.35020025599988</v>
      </c>
      <c r="S11" s="126">
        <f t="shared" si="2"/>
        <v>145.98520025599987</v>
      </c>
      <c r="T11" s="126">
        <f t="shared" si="11"/>
        <v>52.670000000000009</v>
      </c>
      <c r="U11" s="127">
        <f>(((IF(K11="New",0,SUMIF('MPG Payment '!$E$3:$E$34579,'Shayak Income '!D11,'MPG Payment '!$AC$3:$AC$34579))))+0)+-1018</f>
        <v>842.25603918301522</v>
      </c>
      <c r="V11" s="127">
        <f t="shared" si="12"/>
        <v>0</v>
      </c>
      <c r="W11" s="19">
        <v>0</v>
      </c>
      <c r="X11" s="19">
        <v>0</v>
      </c>
      <c r="Y11" s="128">
        <f>IFERROR(VLOOKUP(D11,'Monthly Deduction'!$M$2:$N$64,2,0),0)</f>
        <v>0</v>
      </c>
      <c r="Z11" s="128">
        <v>0</v>
      </c>
      <c r="AA11" s="126">
        <f>IFERROR(VLOOKUP(D11,'Monthly Deduction'!A:B,2,0),0)</f>
        <v>0</v>
      </c>
      <c r="AB11" s="129">
        <f t="shared" si="3"/>
        <v>0</v>
      </c>
      <c r="AC11" s="130">
        <v>0</v>
      </c>
      <c r="AD11" s="35">
        <f t="shared" si="13"/>
        <v>0</v>
      </c>
      <c r="AE11" s="166" t="str">
        <f t="shared" si="14"/>
        <v>Release</v>
      </c>
      <c r="AF11" s="127"/>
      <c r="AG11" s="18">
        <v>0</v>
      </c>
      <c r="AH11" s="132"/>
      <c r="AI11" s="238">
        <v>0</v>
      </c>
      <c r="AJ11" s="132"/>
      <c r="AK11" s="151">
        <v>115.8</v>
      </c>
      <c r="AL11" s="154">
        <f t="shared" si="4"/>
        <v>0</v>
      </c>
      <c r="AM11" s="155"/>
      <c r="AN11" s="19">
        <f t="shared" si="5"/>
        <v>1861</v>
      </c>
      <c r="AO11" s="118">
        <f>SUMIF('MPG Payment '!E:E,'Shayak Income '!D11,'MPG Payment '!AJ:AJ)</f>
        <v>500</v>
      </c>
      <c r="AP11" s="19">
        <f t="shared" si="6"/>
        <v>0</v>
      </c>
      <c r="AQ11" s="119">
        <f t="shared" si="16"/>
        <v>500</v>
      </c>
      <c r="AR11" s="91" t="s">
        <v>1168</v>
      </c>
      <c r="AS11" s="91">
        <f t="shared" si="7"/>
        <v>6400</v>
      </c>
      <c r="AT11" s="118"/>
      <c r="AU11" s="118"/>
      <c r="AV11" s="118"/>
    </row>
    <row r="12" spans="1:48" s="20" customFormat="1" x14ac:dyDescent="0.25">
      <c r="A12" s="17">
        <f>IFERROR(VLOOKUP(D12,'Monthly Deduction'!$I$3:$J$957,2,0),0)</f>
        <v>39104.976028902864</v>
      </c>
      <c r="B12" s="17">
        <f>IFERROR(VLOOKUP(D12,'Monthly Deduction'!$E$3:$F$957,2,0),0)</f>
        <v>0</v>
      </c>
      <c r="C12" s="17">
        <f t="shared" si="17"/>
        <v>39104.976028902864</v>
      </c>
      <c r="D12" s="41">
        <v>10010056</v>
      </c>
      <c r="E12" s="122" t="str">
        <f>VLOOKUP(D12,'MPG Payment '!$E$3:$G$498218,2,0)</f>
        <v xml:space="preserve">Gomukh Harigiridham                                                                                 </v>
      </c>
      <c r="F12" s="146">
        <f>IFERROR(_xlfn.XLOOKUP(D12,'Monthly Deduction'!$I$3:$I$957,'Monthly Deduction'!$H$3:$H$957),0)</f>
        <v>0</v>
      </c>
      <c r="G12" s="123" t="str">
        <f>VLOOKUP(D12,'MPG Payment '!$E$3:$G$334579,3,0)</f>
        <v>MPG</v>
      </c>
      <c r="H12" s="124" t="str">
        <f>VLOOKUP(D12,'MPG Payment '!$E$3:$H$334579,4,0)</f>
        <v>Direct</v>
      </c>
      <c r="I12" s="88">
        <f>INDEX('MPG Payment '!$C:$C,MATCH('Shayak Income '!D12,'MPG Payment '!E:E,0))</f>
        <v>1058</v>
      </c>
      <c r="J12" s="88" t="str">
        <f>INDEX('MPG Payment '!$D:$D,MATCH('Shayak Income '!D12,'MPG Payment '!E:E,0))</f>
        <v>Hasanpur</v>
      </c>
      <c r="K12" s="125" t="s">
        <v>1322</v>
      </c>
      <c r="L12" s="125">
        <v>45297</v>
      </c>
      <c r="M12" s="126">
        <f>SUMIF('MPG Payment '!$E$3:$E$34579,'Shayak Income '!D12,'MPG Payment '!$I$3:$I$34579)</f>
        <v>310.5</v>
      </c>
      <c r="N12" s="126">
        <f>SUMIF('MPG Payment '!$E$3:$E$34579,'Shayak Income '!D12,'MPG Payment '!$J$3:$J$34579)</f>
        <v>10255.82</v>
      </c>
      <c r="O12" s="126">
        <f t="shared" si="9"/>
        <v>232.875</v>
      </c>
      <c r="P12" s="126">
        <f t="shared" si="10"/>
        <v>294.97499999999997</v>
      </c>
      <c r="Q12" s="126">
        <f>SUMIF('MPG Payment '!$E$3:$E$34579,'Shayak Income '!D12,'MPG Payment '!$S$3:$S$34579)</f>
        <v>181.65057966000001</v>
      </c>
      <c r="R12" s="126">
        <f t="shared" si="1"/>
        <v>307.6746</v>
      </c>
      <c r="S12" s="126">
        <f t="shared" si="2"/>
        <v>12.699600000000032</v>
      </c>
      <c r="T12" s="126">
        <f t="shared" si="11"/>
        <v>31.05</v>
      </c>
      <c r="U12" s="127">
        <f>(((IF(K12="New",0,SUMIF('MPG Payment '!$E$3:$E$34579,'Shayak Income '!D12,'MPG Payment '!$AC$3:$AC$34579))))+0)+0</f>
        <v>257.30382544283412</v>
      </c>
      <c r="V12" s="127">
        <f t="shared" si="12"/>
        <v>421</v>
      </c>
      <c r="W12" s="19">
        <v>421</v>
      </c>
      <c r="X12" s="19">
        <v>0</v>
      </c>
      <c r="Y12" s="128">
        <f>IFERROR(VLOOKUP(D12,'Monthly Deduction'!$M$2:$N$64,2,0),0)</f>
        <v>0</v>
      </c>
      <c r="Z12" s="128">
        <v>0</v>
      </c>
      <c r="AA12" s="126">
        <f>IFERROR(VLOOKUP(D12,'Monthly Deduction'!A:B,2,0),0)</f>
        <v>0</v>
      </c>
      <c r="AB12" s="129">
        <f t="shared" si="3"/>
        <v>0</v>
      </c>
      <c r="AC12" s="130">
        <f>AB12</f>
        <v>0</v>
      </c>
      <c r="AD12" s="35">
        <f t="shared" si="13"/>
        <v>0</v>
      </c>
      <c r="AE12" s="166" t="str">
        <f t="shared" si="14"/>
        <v>Release</v>
      </c>
      <c r="AF12" s="127"/>
      <c r="AG12" s="18">
        <v>0</v>
      </c>
      <c r="AH12" s="132" t="s">
        <v>1648</v>
      </c>
      <c r="AI12" s="238">
        <v>0</v>
      </c>
      <c r="AJ12" s="132"/>
      <c r="AK12" s="151">
        <v>0</v>
      </c>
      <c r="AL12" s="154">
        <f t="shared" si="4"/>
        <v>0</v>
      </c>
      <c r="AM12" s="155"/>
      <c r="AN12" s="19">
        <f t="shared" si="5"/>
        <v>1861</v>
      </c>
      <c r="AO12" s="118">
        <f>SUMIF('MPG Payment '!E:E,'Shayak Income '!D12,'MPG Payment '!AJ:AJ)</f>
        <v>0</v>
      </c>
      <c r="AP12" s="19">
        <f t="shared" si="6"/>
        <v>421</v>
      </c>
      <c r="AQ12" s="119">
        <f t="shared" si="16"/>
        <v>421</v>
      </c>
      <c r="AR12" s="91" t="s">
        <v>1168</v>
      </c>
      <c r="AS12" s="91">
        <f t="shared" si="7"/>
        <v>0</v>
      </c>
      <c r="AT12" s="118"/>
      <c r="AU12" s="118"/>
      <c r="AV12" s="118"/>
    </row>
    <row r="13" spans="1:48" s="20" customFormat="1" x14ac:dyDescent="0.25">
      <c r="A13" s="17">
        <f>IFERROR(VLOOKUP(D13,'Monthly Deduction'!$I$3:$J$957,2,0),0)</f>
        <v>0</v>
      </c>
      <c r="B13" s="17">
        <f>IFERROR(VLOOKUP(D13,'Monthly Deduction'!$E$3:$F$957,2,0),0)</f>
        <v>0</v>
      </c>
      <c r="C13" s="17">
        <f t="shared" si="17"/>
        <v>0</v>
      </c>
      <c r="D13" s="41">
        <v>10010057</v>
      </c>
      <c r="E13" s="122" t="str">
        <f>VLOOKUP(D13,'MPG Payment '!$E$3:$G$498218,2,0)</f>
        <v xml:space="preserve">Manish Dairy                                                                                        </v>
      </c>
      <c r="F13" s="146">
        <f>IFERROR(_xlfn.XLOOKUP(D13,'Monthly Deduction'!$I$3:$I$957,'Monthly Deduction'!$H$3:$H$957),0)</f>
        <v>0</v>
      </c>
      <c r="G13" s="123" t="str">
        <f>VLOOKUP(D13,'MPG Payment '!$E$3:$G$334579,3,0)</f>
        <v>vlc</v>
      </c>
      <c r="H13" s="124" t="str">
        <f>VLOOKUP(D13,'MPG Payment '!$E$3:$H$334579,4,0)</f>
        <v>Indirect</v>
      </c>
      <c r="I13" s="88">
        <f>INDEX('MPG Payment '!$C:$C,MATCH('Shayak Income '!D13,'MPG Payment '!E:E,0))</f>
        <v>1001</v>
      </c>
      <c r="J13" s="88" t="str">
        <f>INDEX('MPG Payment '!$D:$D,MATCH('Shayak Income '!D13,'MPG Payment '!E:E,0))</f>
        <v>Majhaul</v>
      </c>
      <c r="K13" s="125" t="s">
        <v>1322</v>
      </c>
      <c r="L13" s="125">
        <v>45000</v>
      </c>
      <c r="M13" s="126">
        <f>SUMIF('MPG Payment '!$E$3:$E$34579,'Shayak Income '!D13,'MPG Payment '!$I$3:$I$34579)</f>
        <v>43651.7</v>
      </c>
      <c r="N13" s="126">
        <f>SUMIF('MPG Payment '!$E$3:$E$34579,'Shayak Income '!D13,'MPG Payment '!$J$3:$J$34579)</f>
        <v>1561069.5434463001</v>
      </c>
      <c r="O13" s="126">
        <f t="shared" si="9"/>
        <v>32738.774999999998</v>
      </c>
      <c r="P13" s="126">
        <f t="shared" si="10"/>
        <v>41469.114999999998</v>
      </c>
      <c r="Q13" s="126">
        <f>SUMIF('MPG Payment '!$E$3:$E$34579,'Shayak Income '!D13,'MPG Payment '!$S$3:$S$34579)</f>
        <v>0</v>
      </c>
      <c r="R13" s="126">
        <f t="shared" si="1"/>
        <v>46832.086303388998</v>
      </c>
      <c r="S13" s="126">
        <f t="shared" si="2"/>
        <v>5362.9713033890002</v>
      </c>
      <c r="T13" s="126">
        <f t="shared" si="11"/>
        <v>4365.17</v>
      </c>
      <c r="U13" s="127">
        <f>(((IF(K13="New",0,SUMIF('MPG Payment '!$E$3:$E$34579,'Shayak Income '!D13,'MPG Payment '!$AC$3:$AC$34579))))+0)+0</f>
        <v>0</v>
      </c>
      <c r="V13" s="127">
        <f t="shared" si="12"/>
        <v>69843</v>
      </c>
      <c r="W13" s="19">
        <f t="shared" si="15"/>
        <v>0</v>
      </c>
      <c r="X13" s="19">
        <f t="shared" ref="X13:X67" si="18">((MIN(IF(B13&gt;0,MAX(N13*2%),0),B13)))+0</f>
        <v>0</v>
      </c>
      <c r="Y13" s="128">
        <f>IFERROR(VLOOKUP(D13,'Monthly Deduction'!$M$2:$N$64,2,0),0)</f>
        <v>0</v>
      </c>
      <c r="Z13" s="128">
        <v>0</v>
      </c>
      <c r="AA13" s="126">
        <f>IFERROR(VLOOKUP(D13,'Monthly Deduction'!A:B,2,0),0)</f>
        <v>0</v>
      </c>
      <c r="AB13" s="129">
        <f t="shared" si="3"/>
        <v>69843</v>
      </c>
      <c r="AC13" s="130">
        <v>0</v>
      </c>
      <c r="AD13" s="35">
        <f t="shared" si="13"/>
        <v>69843</v>
      </c>
      <c r="AE13" s="166" t="str">
        <f t="shared" si="14"/>
        <v>Release</v>
      </c>
      <c r="AF13" s="127"/>
      <c r="AG13" s="127">
        <v>0</v>
      </c>
      <c r="AH13" s="132"/>
      <c r="AI13" s="238">
        <v>0</v>
      </c>
      <c r="AJ13" s="132"/>
      <c r="AK13" s="151">
        <v>15240.5</v>
      </c>
      <c r="AL13" s="154">
        <f t="shared" si="4"/>
        <v>0</v>
      </c>
      <c r="AM13" s="155"/>
      <c r="AN13" s="19">
        <f t="shared" si="5"/>
        <v>0</v>
      </c>
      <c r="AO13" s="118">
        <f>SUMIF('MPG Payment '!E:E,'Shayak Income '!D13,'MPG Payment '!AJ:AJ)</f>
        <v>0</v>
      </c>
      <c r="AP13" s="19">
        <f t="shared" si="6"/>
        <v>0</v>
      </c>
      <c r="AQ13" s="119">
        <f t="shared" si="16"/>
        <v>0</v>
      </c>
      <c r="AR13" s="91" t="s">
        <v>1168</v>
      </c>
      <c r="AS13" s="91">
        <f t="shared" si="7"/>
        <v>0</v>
      </c>
      <c r="AT13" s="118"/>
      <c r="AU13" s="118"/>
      <c r="AV13" s="118"/>
    </row>
    <row r="14" spans="1:48" s="20" customFormat="1" x14ac:dyDescent="0.25">
      <c r="A14" s="17">
        <f>IFERROR(VLOOKUP(D14,'Monthly Deduction'!$I$3:$J$957,2,0),0)</f>
        <v>46072.586696898572</v>
      </c>
      <c r="B14" s="17">
        <f>IFERROR(VLOOKUP(D14,'Monthly Deduction'!$E$3:$F$957,2,0),0)</f>
        <v>16599</v>
      </c>
      <c r="C14" s="17">
        <f t="shared" si="17"/>
        <v>62671.586696898572</v>
      </c>
      <c r="D14" s="41">
        <v>10010076</v>
      </c>
      <c r="E14" s="122" t="str">
        <f>VLOOKUP(D14,'MPG Payment '!$E$3:$G$498218,2,0)</f>
        <v>Gomukh Bhith-02</v>
      </c>
      <c r="F14" s="146">
        <f>IFERROR(_xlfn.XLOOKUP(D14,'Monthly Deduction'!$I$3:$I$957,'Monthly Deduction'!$H$3:$H$957),0)</f>
        <v>0</v>
      </c>
      <c r="G14" s="123" t="str">
        <f>VLOOKUP(D14,'MPG Payment '!$E$3:$G$334579,3,0)</f>
        <v>MPG</v>
      </c>
      <c r="H14" s="124" t="str">
        <f>VLOOKUP(D14,'MPG Payment '!$E$3:$H$334579,4,0)</f>
        <v>Direct</v>
      </c>
      <c r="I14" s="88">
        <f>INDEX('MPG Payment '!$C:$C,MATCH('Shayak Income '!D14,'MPG Payment '!E:E,0))</f>
        <v>1001</v>
      </c>
      <c r="J14" s="88" t="str">
        <f>INDEX('MPG Payment '!$D:$D,MATCH('Shayak Income '!D14,'MPG Payment '!E:E,0))</f>
        <v>Majhaul</v>
      </c>
      <c r="K14" s="125" t="s">
        <v>1322</v>
      </c>
      <c r="L14" s="125">
        <v>45471</v>
      </c>
      <c r="M14" s="126">
        <f>SUMIF('MPG Payment '!$E$3:$E$34579,'Shayak Income '!D14,'MPG Payment '!$I$3:$I$34579)</f>
        <v>1377.5</v>
      </c>
      <c r="N14" s="126">
        <f>SUMIF('MPG Payment '!$E$3:$E$34579,'Shayak Income '!D14,'MPG Payment '!$J$3:$J$34579)</f>
        <v>56156.066038225094</v>
      </c>
      <c r="O14" s="126">
        <f t="shared" si="9"/>
        <v>1033.125</v>
      </c>
      <c r="P14" s="126">
        <f t="shared" si="10"/>
        <v>1308.625</v>
      </c>
      <c r="Q14" s="126">
        <f>SUMIF('MPG Payment '!$E$3:$E$34579,'Shayak Income '!D14,'MPG Payment '!$S$3:$S$34579)</f>
        <v>0</v>
      </c>
      <c r="R14" s="126">
        <f t="shared" si="1"/>
        <v>1684.6819811467528</v>
      </c>
      <c r="S14" s="126">
        <f t="shared" si="2"/>
        <v>376.05698114675283</v>
      </c>
      <c r="T14" s="126">
        <f t="shared" si="11"/>
        <v>137.75</v>
      </c>
      <c r="U14" s="127">
        <f>(((IF(K14="New",0,SUMIF('MPG Payment '!$E$3:$E$34579,'Shayak Income '!D14,'MPG Payment '!$AC$3:$AC$34579))))+0)+0</f>
        <v>1086.5226865224713</v>
      </c>
      <c r="V14" s="127">
        <f t="shared" si="12"/>
        <v>1117</v>
      </c>
      <c r="W14" s="19">
        <v>1117</v>
      </c>
      <c r="X14" s="19">
        <v>0</v>
      </c>
      <c r="Y14" s="128">
        <v>0</v>
      </c>
      <c r="Z14" s="128">
        <v>0</v>
      </c>
      <c r="AA14" s="126">
        <f>IFERROR(VLOOKUP(D14,'Monthly Deduction'!A:B,2,0),0)</f>
        <v>0</v>
      </c>
      <c r="AB14" s="129">
        <f t="shared" si="3"/>
        <v>0</v>
      </c>
      <c r="AC14" s="130">
        <v>0</v>
      </c>
      <c r="AD14" s="35">
        <f t="shared" si="13"/>
        <v>0</v>
      </c>
      <c r="AE14" s="166" t="str">
        <f t="shared" si="14"/>
        <v>Release</v>
      </c>
      <c r="AF14" s="127"/>
      <c r="AG14" s="18">
        <v>0</v>
      </c>
      <c r="AH14" s="120"/>
      <c r="AI14" s="238">
        <v>0</v>
      </c>
      <c r="AJ14" s="132"/>
      <c r="AK14" s="151">
        <v>721.19999999999993</v>
      </c>
      <c r="AL14" s="154">
        <f t="shared" si="4"/>
        <v>0</v>
      </c>
      <c r="AM14" s="155"/>
      <c r="AN14" s="19">
        <f t="shared" si="5"/>
        <v>1861</v>
      </c>
      <c r="AO14" s="118">
        <f>SUMIF('MPG Payment '!E:E,'Shayak Income '!D14,'MPG Payment '!AJ:AJ)</f>
        <v>0</v>
      </c>
      <c r="AP14" s="19">
        <f t="shared" si="6"/>
        <v>1117</v>
      </c>
      <c r="AQ14" s="119">
        <f t="shared" si="16"/>
        <v>1117</v>
      </c>
      <c r="AR14" s="91" t="s">
        <v>1168</v>
      </c>
      <c r="AS14" s="91">
        <f t="shared" si="7"/>
        <v>16599</v>
      </c>
      <c r="AT14" s="118"/>
      <c r="AU14" s="118"/>
      <c r="AV14" s="118"/>
    </row>
    <row r="15" spans="1:48" s="20" customFormat="1" x14ac:dyDescent="0.25">
      <c r="A15" s="17">
        <f>IFERROR(VLOOKUP(D15,'Monthly Deduction'!$I$3:$J$957,2,0),0)</f>
        <v>24636.831060232187</v>
      </c>
      <c r="B15" s="17">
        <f>IFERROR(VLOOKUP(D15,'Monthly Deduction'!$E$3:$F$957,2,0),0)</f>
        <v>25600</v>
      </c>
      <c r="C15" s="17">
        <f t="shared" si="17"/>
        <v>50236.831060232187</v>
      </c>
      <c r="D15" s="41">
        <v>10010082</v>
      </c>
      <c r="E15" s="122" t="str">
        <f>VLOOKUP(D15,'MPG Payment '!$E$3:$G$498218,2,0)</f>
        <v>Gomukh Sharmatola Sahuri</v>
      </c>
      <c r="F15" s="146">
        <f>IFERROR(_xlfn.XLOOKUP(D15,'Monthly Deduction'!$I$3:$I$957,'Monthly Deduction'!$H$3:$H$957),0)</f>
        <v>0</v>
      </c>
      <c r="G15" s="123" t="str">
        <f>VLOOKUP(D15,'MPG Payment '!$E$3:$G$334579,3,0)</f>
        <v>MPG</v>
      </c>
      <c r="H15" s="124" t="str">
        <f>VLOOKUP(D15,'MPG Payment '!$E$3:$H$334579,4,0)</f>
        <v>Direct</v>
      </c>
      <c r="I15" s="88">
        <f>INDEX('MPG Payment '!$C:$C,MATCH('Shayak Income '!D15,'MPG Payment '!E:E,0))</f>
        <v>1001</v>
      </c>
      <c r="J15" s="88" t="str">
        <f>INDEX('MPG Payment '!$D:$D,MATCH('Shayak Income '!D15,'MPG Payment '!E:E,0))</f>
        <v>Majhaul</v>
      </c>
      <c r="K15" s="125" t="s">
        <v>1322</v>
      </c>
      <c r="L15" s="125">
        <v>45568</v>
      </c>
      <c r="M15" s="126">
        <f>SUMIF('MPG Payment '!$E$3:$E$34579,'Shayak Income '!D15,'MPG Payment '!$I$3:$I$34579)</f>
        <v>4217.7</v>
      </c>
      <c r="N15" s="126">
        <f>SUMIF('MPG Payment '!$E$3:$E$34579,'Shayak Income '!D15,'MPG Payment '!$J$3:$J$34579)</f>
        <v>161653.61536877998</v>
      </c>
      <c r="O15" s="126">
        <f t="shared" si="9"/>
        <v>3163.2749999999996</v>
      </c>
      <c r="P15" s="126">
        <f t="shared" si="10"/>
        <v>4006.8149999999996</v>
      </c>
      <c r="Q15" s="126">
        <f>SUMIF('MPG Payment '!$E$3:$E$34579,'Shayak Income '!D15,'MPG Payment '!$S$3:$S$34579)</f>
        <v>0</v>
      </c>
      <c r="R15" s="126">
        <f t="shared" si="1"/>
        <v>4849.6084610633989</v>
      </c>
      <c r="S15" s="126">
        <f t="shared" si="2"/>
        <v>842.79346106339926</v>
      </c>
      <c r="T15" s="126">
        <f t="shared" si="11"/>
        <v>421.77</v>
      </c>
      <c r="U15" s="127">
        <f>(((IF(K15="New",0,SUMIF('MPG Payment '!$E$3:$E$34579,'Shayak Income '!D15,'MPG Payment '!$AC$3:$AC$34579))))+0)+0</f>
        <v>0</v>
      </c>
      <c r="V15" s="127">
        <f t="shared" si="12"/>
        <v>6748</v>
      </c>
      <c r="W15" s="19">
        <f t="shared" si="15"/>
        <v>3233.0723073755998</v>
      </c>
      <c r="X15" s="19">
        <v>0</v>
      </c>
      <c r="Y15" s="128">
        <f>IFERROR(VLOOKUP(D15,'Monthly Deduction'!$M$2:$N$64,2,0),0)</f>
        <v>0</v>
      </c>
      <c r="Z15" s="128">
        <v>0</v>
      </c>
      <c r="AA15" s="126">
        <f>IFERROR(VLOOKUP(D15,'Monthly Deduction'!A:B,2,0),0)</f>
        <v>0</v>
      </c>
      <c r="AB15" s="129">
        <f t="shared" si="3"/>
        <v>3515</v>
      </c>
      <c r="AC15" s="130">
        <v>0</v>
      </c>
      <c r="AD15" s="35">
        <f t="shared" si="13"/>
        <v>3515</v>
      </c>
      <c r="AE15" s="166" t="str">
        <f t="shared" si="14"/>
        <v>Release</v>
      </c>
      <c r="AF15" s="127"/>
      <c r="AG15" s="18">
        <v>0</v>
      </c>
      <c r="AH15" s="120"/>
      <c r="AI15" s="238">
        <v>0</v>
      </c>
      <c r="AJ15" s="132"/>
      <c r="AK15" s="151">
        <v>1098.4000000000001</v>
      </c>
      <c r="AL15" s="154">
        <f t="shared" si="4"/>
        <v>0</v>
      </c>
      <c r="AM15" s="155"/>
      <c r="AN15" s="19">
        <f t="shared" si="5"/>
        <v>3233.0723073755998</v>
      </c>
      <c r="AO15" s="118">
        <f>SUMIF('MPG Payment '!E:E,'Shayak Income '!D15,'MPG Payment '!AJ:AJ)</f>
        <v>0</v>
      </c>
      <c r="AP15" s="19">
        <f t="shared" si="6"/>
        <v>3233.0723073755998</v>
      </c>
      <c r="AQ15" s="119">
        <f t="shared" si="16"/>
        <v>3233.0723073755998</v>
      </c>
      <c r="AR15" s="91" t="s">
        <v>1168</v>
      </c>
      <c r="AS15" s="91">
        <f t="shared" si="7"/>
        <v>25600</v>
      </c>
      <c r="AT15" s="118"/>
      <c r="AU15" s="118"/>
      <c r="AV15" s="118"/>
    </row>
    <row r="16" spans="1:48" s="20" customFormat="1" x14ac:dyDescent="0.25">
      <c r="A16" s="17">
        <f>IFERROR(VLOOKUP(D16,'Monthly Deduction'!$I$3:$J$957,2,0),0)</f>
        <v>0</v>
      </c>
      <c r="B16" s="17">
        <f>IFERROR(VLOOKUP(D16,'Monthly Deduction'!$E$3:$F$957,2,0),0)</f>
        <v>0</v>
      </c>
      <c r="C16" s="17">
        <f t="shared" si="17"/>
        <v>0</v>
      </c>
      <c r="D16" s="41">
        <v>10010084</v>
      </c>
      <c r="E16" s="122" t="str">
        <f>VLOOKUP(D16,'MPG Payment '!$E$3:$G$498218,2,0)</f>
        <v>Sangat- Sanjeev Kumar</v>
      </c>
      <c r="F16" s="146">
        <f>IFERROR(_xlfn.XLOOKUP(D16,'Monthly Deduction'!$I$3:$I$957,'Monthly Deduction'!$H$3:$H$957),0)</f>
        <v>0</v>
      </c>
      <c r="G16" s="123" t="str">
        <f>VLOOKUP(D16,'MPG Payment '!$E$3:$G$334579,3,0)</f>
        <v>vlc</v>
      </c>
      <c r="H16" s="124" t="str">
        <f>VLOOKUP(D16,'MPG Payment '!$E$3:$H$334579,4,0)</f>
        <v>Indirect</v>
      </c>
      <c r="I16" s="88">
        <f>INDEX('MPG Payment '!$C:$C,MATCH('Shayak Income '!D16,'MPG Payment '!E:E,0))</f>
        <v>1001</v>
      </c>
      <c r="J16" s="88" t="str">
        <f>INDEX('MPG Payment '!$D:$D,MATCH('Shayak Income '!D16,'MPG Payment '!E:E,0))</f>
        <v>Majhaul</v>
      </c>
      <c r="K16" s="125" t="s">
        <v>1322</v>
      </c>
      <c r="L16" s="125">
        <v>45567</v>
      </c>
      <c r="M16" s="126">
        <f>SUMIF('MPG Payment '!$E$3:$E$34579,'Shayak Income '!D16,'MPG Payment '!$I$3:$I$34579)</f>
        <v>695.8</v>
      </c>
      <c r="N16" s="126">
        <f>SUMIF('MPG Payment '!$E$3:$E$34579,'Shayak Income '!D16,'MPG Payment '!$J$3:$J$34579)</f>
        <v>24056.154706625501</v>
      </c>
      <c r="O16" s="126">
        <f t="shared" si="9"/>
        <v>521.84999999999991</v>
      </c>
      <c r="P16" s="126">
        <f t="shared" si="10"/>
        <v>661.00999999999988</v>
      </c>
      <c r="Q16" s="126">
        <f>SUMIF('MPG Payment '!$E$3:$E$34579,'Shayak Income '!D16,'MPG Payment '!$S$3:$S$34579)</f>
        <v>0</v>
      </c>
      <c r="R16" s="126">
        <f t="shared" si="1"/>
        <v>721.68464119876501</v>
      </c>
      <c r="S16" s="126">
        <f t="shared" si="2"/>
        <v>60.67464119876513</v>
      </c>
      <c r="T16" s="126">
        <f t="shared" si="11"/>
        <v>69.58</v>
      </c>
      <c r="U16" s="127">
        <f>(((IF(K16="New",0,SUMIF('MPG Payment '!$E$3:$E$34579,'Shayak Income '!D16,'MPG Payment '!$AC$3:$AC$34579))))+0)+-348</f>
        <v>1113.7437814007105</v>
      </c>
      <c r="V16" s="127">
        <f t="shared" si="12"/>
        <v>0</v>
      </c>
      <c r="W16" s="19">
        <v>0</v>
      </c>
      <c r="X16" s="19">
        <v>0</v>
      </c>
      <c r="Y16" s="128">
        <f>IFERROR(VLOOKUP(D16,'Monthly Deduction'!$M$2:$N$64,2,0),0)</f>
        <v>0</v>
      </c>
      <c r="Z16" s="128">
        <v>0</v>
      </c>
      <c r="AA16" s="126">
        <f>IFERROR(VLOOKUP(D16,'Monthly Deduction'!A:B,2,0),0)</f>
        <v>0</v>
      </c>
      <c r="AB16" s="129">
        <f t="shared" si="3"/>
        <v>0</v>
      </c>
      <c r="AC16" s="130">
        <v>0</v>
      </c>
      <c r="AD16" s="35">
        <f t="shared" si="13"/>
        <v>0</v>
      </c>
      <c r="AE16" s="166" t="str">
        <f t="shared" si="14"/>
        <v>Release</v>
      </c>
      <c r="AF16" s="127"/>
      <c r="AG16" s="18">
        <v>0</v>
      </c>
      <c r="AH16" s="132"/>
      <c r="AI16" s="238">
        <v>0</v>
      </c>
      <c r="AJ16" s="132"/>
      <c r="AK16" s="151">
        <v>212.4</v>
      </c>
      <c r="AL16" s="154">
        <f t="shared" si="4"/>
        <v>0</v>
      </c>
      <c r="AM16" s="155"/>
      <c r="AN16" s="19">
        <f t="shared" si="5"/>
        <v>0</v>
      </c>
      <c r="AO16" s="118">
        <f>SUMIF('MPG Payment '!E:E,'Shayak Income '!D16,'MPG Payment '!AJ:AJ)</f>
        <v>0</v>
      </c>
      <c r="AP16" s="19">
        <f t="shared" si="6"/>
        <v>0</v>
      </c>
      <c r="AQ16" s="119">
        <f t="shared" si="16"/>
        <v>0</v>
      </c>
      <c r="AR16" s="91" t="s">
        <v>1168</v>
      </c>
      <c r="AS16" s="91">
        <f t="shared" si="7"/>
        <v>0</v>
      </c>
      <c r="AT16" s="118"/>
      <c r="AU16" s="118"/>
      <c r="AV16" s="118"/>
    </row>
    <row r="17" spans="1:48" s="20" customFormat="1" x14ac:dyDescent="0.25">
      <c r="A17" s="17">
        <f>IFERROR(VLOOKUP(D17,'Monthly Deduction'!$I$3:$J$957,2,0),0)</f>
        <v>69596</v>
      </c>
      <c r="B17" s="17">
        <f>IFERROR(VLOOKUP(D17,'Monthly Deduction'!$E$3:$F$957,2,0),0)</f>
        <v>6400</v>
      </c>
      <c r="C17" s="17">
        <f t="shared" si="17"/>
        <v>75996</v>
      </c>
      <c r="D17" s="41">
        <v>10010086</v>
      </c>
      <c r="E17" s="122" t="str">
        <f>VLOOKUP(D17,'MPG Payment '!$E$3:$G$498218,2,0)</f>
        <v>Gomukh Garhi Bisanpur</v>
      </c>
      <c r="F17" s="146">
        <f>IFERROR(_xlfn.XLOOKUP(D17,'Monthly Deduction'!$I$3:$I$957,'Monthly Deduction'!$H$3:$H$957),0)</f>
        <v>0</v>
      </c>
      <c r="G17" s="123" t="str">
        <f>VLOOKUP(D17,'MPG Payment '!$E$3:$G$334579,3,0)</f>
        <v>MPG</v>
      </c>
      <c r="H17" s="124" t="str">
        <f>VLOOKUP(D17,'MPG Payment '!$E$3:$H$334579,4,0)</f>
        <v>Direct</v>
      </c>
      <c r="I17" s="88">
        <f>INDEX('MPG Payment '!$C:$C,MATCH('Shayak Income '!D17,'MPG Payment '!E:E,0))</f>
        <v>1058</v>
      </c>
      <c r="J17" s="88" t="str">
        <f>INDEX('MPG Payment '!$D:$D,MATCH('Shayak Income '!D17,'MPG Payment '!E:E,0))</f>
        <v>Hasanpur</v>
      </c>
      <c r="K17" s="125" t="s">
        <v>1322</v>
      </c>
      <c r="L17" s="125">
        <v>45631</v>
      </c>
      <c r="M17" s="126">
        <f>SUMIF('MPG Payment '!$E$3:$E$34579,'Shayak Income '!D17,'MPG Payment '!$I$3:$I$34579)</f>
        <v>667.8</v>
      </c>
      <c r="N17" s="126">
        <f>SUMIF('MPG Payment '!$E$3:$E$34579,'Shayak Income '!D17,'MPG Payment '!$J$3:$J$34579)</f>
        <v>27120.528724607298</v>
      </c>
      <c r="O17" s="126">
        <f t="shared" si="9"/>
        <v>500.84999999999997</v>
      </c>
      <c r="P17" s="126">
        <f t="shared" si="10"/>
        <v>634.41</v>
      </c>
      <c r="Q17" s="126">
        <f>SUMIF('MPG Payment '!$E$3:$E$34579,'Shayak Income '!D17,'MPG Payment '!$S$3:$S$34579)</f>
        <v>687.72875301141903</v>
      </c>
      <c r="R17" s="126">
        <f t="shared" si="1"/>
        <v>813.61586173821888</v>
      </c>
      <c r="S17" s="126">
        <f t="shared" si="2"/>
        <v>179.20586173821891</v>
      </c>
      <c r="T17" s="126">
        <f t="shared" si="11"/>
        <v>66.78</v>
      </c>
      <c r="U17" s="127">
        <f>(((IF(K17="New",0,SUMIF('MPG Payment '!$E$3:$E$34579,'Shayak Income '!D17,'MPG Payment '!$AC$3:$AC$34579))))+0)+0</f>
        <v>1730.2540787224032</v>
      </c>
      <c r="V17" s="127">
        <f t="shared" si="12"/>
        <v>26</v>
      </c>
      <c r="W17" s="19">
        <v>26</v>
      </c>
      <c r="X17" s="19">
        <v>0</v>
      </c>
      <c r="Y17" s="128">
        <f>IFERROR(VLOOKUP(D17,'Monthly Deduction'!$M$2:$N$64,2,0),0)</f>
        <v>0</v>
      </c>
      <c r="Z17" s="128">
        <v>0</v>
      </c>
      <c r="AA17" s="126">
        <f>IFERROR(VLOOKUP(D17,'Monthly Deduction'!A:B,2,0),0)</f>
        <v>0</v>
      </c>
      <c r="AB17" s="129">
        <f t="shared" si="3"/>
        <v>0</v>
      </c>
      <c r="AC17" s="130">
        <v>0</v>
      </c>
      <c r="AD17" s="35">
        <f t="shared" si="13"/>
        <v>0</v>
      </c>
      <c r="AE17" s="166" t="str">
        <f t="shared" si="14"/>
        <v>Release</v>
      </c>
      <c r="AF17" s="127"/>
      <c r="AG17" s="18">
        <v>0</v>
      </c>
      <c r="AH17" s="120"/>
      <c r="AI17" s="238">
        <v>0</v>
      </c>
      <c r="AJ17" s="132"/>
      <c r="AK17" s="151">
        <v>171.9</v>
      </c>
      <c r="AL17" s="154">
        <f t="shared" si="4"/>
        <v>0</v>
      </c>
      <c r="AM17" s="155"/>
      <c r="AN17" s="19">
        <f t="shared" si="5"/>
        <v>1861</v>
      </c>
      <c r="AO17" s="118">
        <f>SUMIF('MPG Payment '!E:E,'Shayak Income '!D17,'MPG Payment '!AJ:AJ)</f>
        <v>500</v>
      </c>
      <c r="AP17" s="19">
        <f t="shared" si="6"/>
        <v>26</v>
      </c>
      <c r="AQ17" s="119">
        <f t="shared" si="16"/>
        <v>526</v>
      </c>
      <c r="AR17" s="91" t="s">
        <v>1168</v>
      </c>
      <c r="AS17" s="91">
        <f t="shared" si="7"/>
        <v>6400</v>
      </c>
      <c r="AT17" s="118"/>
      <c r="AU17" s="118"/>
      <c r="AV17" s="118"/>
    </row>
    <row r="18" spans="1:48" s="20" customFormat="1" x14ac:dyDescent="0.25">
      <c r="A18" s="17">
        <f>IFERROR(VLOOKUP(D18,'Monthly Deduction'!$I$3:$J$957,2,0),0)</f>
        <v>0</v>
      </c>
      <c r="B18" s="17">
        <f>IFERROR(VLOOKUP(D18,'Monthly Deduction'!$E$3:$F$957,2,0),0)</f>
        <v>0</v>
      </c>
      <c r="C18" s="17">
        <f t="shared" si="17"/>
        <v>0</v>
      </c>
      <c r="D18" s="41">
        <v>10010087</v>
      </c>
      <c r="E18" s="122" t="str">
        <f>VLOOKUP(D18,'MPG Payment '!$E$3:$G$498218,2,0)</f>
        <v>Bagaraha-Gopal Yadav</v>
      </c>
      <c r="F18" s="146">
        <f>IFERROR(_xlfn.XLOOKUP(D18,'Monthly Deduction'!$I$3:$I$957,'Monthly Deduction'!$H$3:$H$957),0)</f>
        <v>0</v>
      </c>
      <c r="G18" s="123" t="str">
        <f>VLOOKUP(D18,'MPG Payment '!$E$3:$G$334579,3,0)</f>
        <v>vlc</v>
      </c>
      <c r="H18" s="124" t="str">
        <f>VLOOKUP(D18,'MPG Payment '!$E$3:$H$334579,4,0)</f>
        <v>Indirect</v>
      </c>
      <c r="I18" s="88">
        <f>INDEX('MPG Payment '!$C:$C,MATCH('Shayak Income '!D18,'MPG Payment '!E:E,0))</f>
        <v>1058</v>
      </c>
      <c r="J18" s="88" t="str">
        <f>INDEX('MPG Payment '!$D:$D,MATCH('Shayak Income '!D18,'MPG Payment '!E:E,0))</f>
        <v>Hasanpur</v>
      </c>
      <c r="K18" s="125" t="s">
        <v>1322</v>
      </c>
      <c r="L18" s="125">
        <v>45597</v>
      </c>
      <c r="M18" s="126">
        <f>SUMIF('MPG Payment '!$E$3:$E$34579,'Shayak Income '!D18,'MPG Payment '!$I$3:$I$34579)</f>
        <v>369.19999999999993</v>
      </c>
      <c r="N18" s="126">
        <f>SUMIF('MPG Payment '!$E$3:$E$34579,'Shayak Income '!D18,'MPG Payment '!$J$3:$J$34579)</f>
        <v>11256.47</v>
      </c>
      <c r="O18" s="126">
        <f t="shared" si="9"/>
        <v>276.89999999999998</v>
      </c>
      <c r="P18" s="126">
        <f t="shared" si="10"/>
        <v>350.7399999999999</v>
      </c>
      <c r="Q18" s="126">
        <f>SUMIF('MPG Payment '!$E$3:$E$34579,'Shayak Income '!D18,'MPG Payment '!$S$3:$S$34579)</f>
        <v>0</v>
      </c>
      <c r="R18" s="126">
        <f t="shared" si="1"/>
        <v>337.69409999999999</v>
      </c>
      <c r="S18" s="126">
        <f t="shared" si="2"/>
        <v>-13.045899999999904</v>
      </c>
      <c r="T18" s="126">
        <f t="shared" si="11"/>
        <v>36.919999999999995</v>
      </c>
      <c r="U18" s="127">
        <f>(((IF(K18="New",0,SUMIF('MPG Payment '!$E$3:$E$34579,'Shayak Income '!D18,'MPG Payment '!$AC$3:$AC$34579))))+0)+-459</f>
        <v>590.61244805602155</v>
      </c>
      <c r="V18" s="127">
        <f t="shared" si="12"/>
        <v>0</v>
      </c>
      <c r="W18" s="19">
        <v>0</v>
      </c>
      <c r="X18" s="19">
        <v>0</v>
      </c>
      <c r="Y18" s="128">
        <f>IFERROR(VLOOKUP(D18,'Monthly Deduction'!$M$2:$N$64,2,0),0)</f>
        <v>0</v>
      </c>
      <c r="Z18" s="128">
        <v>0</v>
      </c>
      <c r="AA18" s="126">
        <f>IFERROR(VLOOKUP(D18,'Monthly Deduction'!A:B,2,0),0)</f>
        <v>0</v>
      </c>
      <c r="AB18" s="129">
        <f t="shared" si="3"/>
        <v>0</v>
      </c>
      <c r="AC18" s="130">
        <f>AB18</f>
        <v>0</v>
      </c>
      <c r="AD18" s="35">
        <f t="shared" si="13"/>
        <v>0</v>
      </c>
      <c r="AE18" s="166" t="str">
        <f t="shared" si="14"/>
        <v>Release</v>
      </c>
      <c r="AF18" s="127"/>
      <c r="AG18" s="18">
        <v>0</v>
      </c>
      <c r="AH18" s="132" t="s">
        <v>1648</v>
      </c>
      <c r="AI18" s="238">
        <v>0</v>
      </c>
      <c r="AJ18" s="132"/>
      <c r="AK18" s="151">
        <v>0</v>
      </c>
      <c r="AL18" s="154">
        <f t="shared" si="4"/>
        <v>0</v>
      </c>
      <c r="AM18" s="155"/>
      <c r="AN18" s="19">
        <f t="shared" si="5"/>
        <v>0</v>
      </c>
      <c r="AO18" s="118">
        <f>SUMIF('MPG Payment '!E:E,'Shayak Income '!D18,'MPG Payment '!AJ:AJ)</f>
        <v>0</v>
      </c>
      <c r="AP18" s="19">
        <f t="shared" si="6"/>
        <v>0</v>
      </c>
      <c r="AQ18" s="119">
        <f t="shared" si="16"/>
        <v>0</v>
      </c>
      <c r="AR18" s="91" t="s">
        <v>1168</v>
      </c>
      <c r="AS18" s="91">
        <f t="shared" si="7"/>
        <v>0</v>
      </c>
      <c r="AT18" s="118"/>
      <c r="AU18" s="118"/>
      <c r="AV18" s="118"/>
    </row>
    <row r="19" spans="1:48" s="20" customFormat="1" x14ac:dyDescent="0.25">
      <c r="A19" s="17">
        <f>IFERROR(VLOOKUP(D19,'Monthly Deduction'!$I$3:$J$957,2,0),0)</f>
        <v>76509.046799999996</v>
      </c>
      <c r="B19" s="17">
        <f>IFERROR(VLOOKUP(D19,'Monthly Deduction'!$E$3:$F$957,2,0),0)</f>
        <v>12099</v>
      </c>
      <c r="C19" s="17">
        <f t="shared" si="17"/>
        <v>88608.046799999996</v>
      </c>
      <c r="D19" s="41">
        <v>10010089</v>
      </c>
      <c r="E19" s="122" t="str">
        <f>VLOOKUP(D19,'MPG Payment '!$E$3:$G$498218,2,0)</f>
        <v>Gomukh Barkurwa</v>
      </c>
      <c r="F19" s="146">
        <f>IFERROR(_xlfn.XLOOKUP(D19,'Monthly Deduction'!$I$3:$I$957,'Monthly Deduction'!$H$3:$H$957),0)</f>
        <v>0</v>
      </c>
      <c r="G19" s="123" t="str">
        <f>VLOOKUP(D19,'MPG Payment '!$E$3:$G$334579,3,0)</f>
        <v>MPG</v>
      </c>
      <c r="H19" s="124" t="str">
        <f>VLOOKUP(D19,'MPG Payment '!$E$3:$H$334579,4,0)</f>
        <v>Direct</v>
      </c>
      <c r="I19" s="88">
        <f>INDEX('MPG Payment '!$C:$C,MATCH('Shayak Income '!D19,'MPG Payment '!E:E,0))</f>
        <v>1058</v>
      </c>
      <c r="J19" s="88" t="str">
        <f>INDEX('MPG Payment '!$D:$D,MATCH('Shayak Income '!D19,'MPG Payment '!E:E,0))</f>
        <v>Hasanpur</v>
      </c>
      <c r="K19" s="125" t="s">
        <v>1322</v>
      </c>
      <c r="L19" s="125">
        <v>45627</v>
      </c>
      <c r="M19" s="126">
        <f>SUMIF('MPG Payment '!$E$3:$E$34579,'Shayak Income '!D19,'MPG Payment '!$I$3:$I$34579)</f>
        <v>1480.6</v>
      </c>
      <c r="N19" s="126">
        <f>SUMIF('MPG Payment '!$E$3:$E$34579,'Shayak Income '!D19,'MPG Payment '!$J$3:$J$34579)</f>
        <v>54697.528006328997</v>
      </c>
      <c r="O19" s="126">
        <f t="shared" si="9"/>
        <v>1110.4499999999998</v>
      </c>
      <c r="P19" s="126">
        <f t="shared" si="10"/>
        <v>1406.57</v>
      </c>
      <c r="Q19" s="126">
        <f>SUMIF('MPG Payment '!$E$3:$E$34579,'Shayak Income '!D19,'MPG Payment '!$S$3:$S$34579)</f>
        <v>1025.9871556320002</v>
      </c>
      <c r="R19" s="126">
        <f t="shared" si="1"/>
        <v>1640.9258401898699</v>
      </c>
      <c r="S19" s="126">
        <f t="shared" si="2"/>
        <v>234.35584018986992</v>
      </c>
      <c r="T19" s="126">
        <f t="shared" si="11"/>
        <v>148.06</v>
      </c>
      <c r="U19" s="127">
        <f>(((IF(K19="New",0,SUMIF('MPG Payment '!$E$3:$E$34579,'Shayak Income '!D19,'MPG Payment '!$AC$3:$AC$34579))))+0)+0</f>
        <v>970.92355696513687</v>
      </c>
      <c r="V19" s="127">
        <f t="shared" si="12"/>
        <v>2424</v>
      </c>
      <c r="W19" s="19">
        <f t="shared" si="15"/>
        <v>1861</v>
      </c>
      <c r="X19" s="19">
        <v>0</v>
      </c>
      <c r="Y19" s="128">
        <f>IFERROR(VLOOKUP(D19,'Monthly Deduction'!$M$2:$N$64,2,0),0)</f>
        <v>0</v>
      </c>
      <c r="Z19" s="128">
        <v>0</v>
      </c>
      <c r="AA19" s="126">
        <f>IFERROR(VLOOKUP(D19,'Monthly Deduction'!A:B,2,0),0)</f>
        <v>0</v>
      </c>
      <c r="AB19" s="129">
        <f t="shared" si="3"/>
        <v>563</v>
      </c>
      <c r="AC19" s="130">
        <v>0</v>
      </c>
      <c r="AD19" s="35">
        <f t="shared" si="13"/>
        <v>563</v>
      </c>
      <c r="AE19" s="166" t="str">
        <f t="shared" si="14"/>
        <v>Release</v>
      </c>
      <c r="AF19" s="127"/>
      <c r="AG19" s="127">
        <v>0</v>
      </c>
      <c r="AH19" s="120"/>
      <c r="AI19" s="238">
        <v>0</v>
      </c>
      <c r="AJ19" s="132"/>
      <c r="AK19" s="151">
        <v>385</v>
      </c>
      <c r="AL19" s="154">
        <f t="shared" si="4"/>
        <v>0</v>
      </c>
      <c r="AM19" s="155"/>
      <c r="AN19" s="19">
        <f t="shared" si="5"/>
        <v>1861</v>
      </c>
      <c r="AO19" s="118">
        <f>SUMIF('MPG Payment '!E:E,'Shayak Income '!D19,'MPG Payment '!AJ:AJ)</f>
        <v>0</v>
      </c>
      <c r="AP19" s="19">
        <f t="shared" si="6"/>
        <v>1861</v>
      </c>
      <c r="AQ19" s="119">
        <f t="shared" si="16"/>
        <v>1861</v>
      </c>
      <c r="AR19" s="91" t="s">
        <v>1168</v>
      </c>
      <c r="AS19" s="91">
        <f t="shared" si="7"/>
        <v>12099</v>
      </c>
      <c r="AT19" s="118"/>
      <c r="AU19" s="118"/>
      <c r="AV19" s="118"/>
    </row>
    <row r="20" spans="1:48" s="20" customFormat="1" x14ac:dyDescent="0.25">
      <c r="A20" s="17">
        <f>IFERROR(VLOOKUP(D20,'Monthly Deduction'!$I$3:$J$957,2,0),0)</f>
        <v>0</v>
      </c>
      <c r="B20" s="17">
        <f>IFERROR(VLOOKUP(D20,'Monthly Deduction'!$E$3:$F$957,2,0),0)</f>
        <v>0</v>
      </c>
      <c r="C20" s="17">
        <f t="shared" si="17"/>
        <v>0</v>
      </c>
      <c r="D20" s="41">
        <v>10010092</v>
      </c>
      <c r="E20" s="122" t="str">
        <f>VLOOKUP(D20,'MPG Payment '!$E$3:$G$498218,2,0)</f>
        <v>Kamla- Amarjeet</v>
      </c>
      <c r="F20" s="146">
        <f>IFERROR(_xlfn.XLOOKUP(D20,'Monthly Deduction'!$I$3:$I$957,'Monthly Deduction'!$H$3:$H$957),0)</f>
        <v>0</v>
      </c>
      <c r="G20" s="123" t="str">
        <f>VLOOKUP(D20,'MPG Payment '!$E$3:$G$334579,3,0)</f>
        <v>vlc</v>
      </c>
      <c r="H20" s="124" t="str">
        <f>VLOOKUP(D20,'MPG Payment '!$E$3:$H$334579,4,0)</f>
        <v>Indirect</v>
      </c>
      <c r="I20" s="88">
        <f>INDEX('MPG Payment '!$C:$C,MATCH('Shayak Income '!D20,'MPG Payment '!E:E,0))</f>
        <v>1001</v>
      </c>
      <c r="J20" s="88" t="str">
        <f>INDEX('MPG Payment '!$D:$D,MATCH('Shayak Income '!D20,'MPG Payment '!E:E,0))</f>
        <v>Majhaul</v>
      </c>
      <c r="K20" s="125" t="s">
        <v>1322</v>
      </c>
      <c r="L20" s="125">
        <v>45689</v>
      </c>
      <c r="M20" s="126">
        <f>SUMIF('MPG Payment '!$E$3:$E$34579,'Shayak Income '!D20,'MPG Payment '!$I$3:$I$34579)</f>
        <v>2502.6999999999998</v>
      </c>
      <c r="N20" s="126">
        <f>SUMIF('MPG Payment '!$E$3:$E$34579,'Shayak Income '!D20,'MPG Payment '!$J$3:$J$34579)</f>
        <v>80861.315198368509</v>
      </c>
      <c r="O20" s="126">
        <f t="shared" si="9"/>
        <v>1877.0249999999999</v>
      </c>
      <c r="P20" s="126">
        <f t="shared" si="10"/>
        <v>2377.5649999999996</v>
      </c>
      <c r="Q20" s="126">
        <f>SUMIF('MPG Payment '!$E$3:$E$34579,'Shayak Income '!D20,'MPG Payment '!$S$3:$S$34579)</f>
        <v>0</v>
      </c>
      <c r="R20" s="126">
        <f t="shared" si="1"/>
        <v>2425.8394559510552</v>
      </c>
      <c r="S20" s="126">
        <f t="shared" si="2"/>
        <v>48.274455951055643</v>
      </c>
      <c r="T20" s="126">
        <f t="shared" si="11"/>
        <v>250.26999999999998</v>
      </c>
      <c r="U20" s="127">
        <f>(((IF(K20="New",0,SUMIF('MPG Payment '!$E$3:$E$34579,'Shayak Income '!D20,'MPG Payment '!$AC$3:$AC$34579))))+0)+0</f>
        <v>398.64749806301506</v>
      </c>
      <c r="V20" s="127">
        <f t="shared" si="12"/>
        <v>3606</v>
      </c>
      <c r="W20" s="19">
        <f t="shared" si="15"/>
        <v>0</v>
      </c>
      <c r="X20" s="19">
        <f t="shared" si="18"/>
        <v>0</v>
      </c>
      <c r="Y20" s="128">
        <f>IFERROR(VLOOKUP(D20,'Monthly Deduction'!$M$2:$N$64,2,0),0)</f>
        <v>0</v>
      </c>
      <c r="Z20" s="128">
        <v>0</v>
      </c>
      <c r="AA20" s="126">
        <f>IFERROR(VLOOKUP(D20,'Monthly Deduction'!A:B,2,0),0)</f>
        <v>0</v>
      </c>
      <c r="AB20" s="129">
        <f t="shared" si="3"/>
        <v>3606</v>
      </c>
      <c r="AC20" s="130">
        <v>0</v>
      </c>
      <c r="AD20" s="35">
        <f t="shared" si="13"/>
        <v>3606</v>
      </c>
      <c r="AE20" s="166" t="str">
        <f t="shared" si="14"/>
        <v>Release</v>
      </c>
      <c r="AF20" s="127"/>
      <c r="AG20" s="18">
        <v>0</v>
      </c>
      <c r="AH20" s="120"/>
      <c r="AI20" s="238">
        <v>0</v>
      </c>
      <c r="AJ20" s="132"/>
      <c r="AK20" s="151">
        <v>924.6</v>
      </c>
      <c r="AL20" s="154">
        <f t="shared" si="4"/>
        <v>0</v>
      </c>
      <c r="AM20" s="155"/>
      <c r="AN20" s="19">
        <f t="shared" si="5"/>
        <v>0</v>
      </c>
      <c r="AO20" s="118">
        <f>SUMIF('MPG Payment '!E:E,'Shayak Income '!D20,'MPG Payment '!AJ:AJ)</f>
        <v>0</v>
      </c>
      <c r="AP20" s="19">
        <f t="shared" si="6"/>
        <v>0</v>
      </c>
      <c r="AQ20" s="119">
        <f t="shared" si="16"/>
        <v>0</v>
      </c>
      <c r="AR20" s="91" t="s">
        <v>1168</v>
      </c>
      <c r="AS20" s="91">
        <f t="shared" si="7"/>
        <v>0</v>
      </c>
      <c r="AT20" s="118"/>
      <c r="AU20" s="118"/>
      <c r="AV20" s="118"/>
    </row>
    <row r="21" spans="1:48" s="20" customFormat="1" x14ac:dyDescent="0.25">
      <c r="A21" s="17">
        <f>IFERROR(VLOOKUP(D21,'Monthly Deduction'!$I$3:$J$957,2,0),0)</f>
        <v>74949</v>
      </c>
      <c r="B21" s="17">
        <f>IFERROR(VLOOKUP(D21,'Monthly Deduction'!$E$3:$F$957,2,0),0)</f>
        <v>3016.2027782248006</v>
      </c>
      <c r="C21" s="17">
        <f t="shared" si="17"/>
        <v>77965.202778224804</v>
      </c>
      <c r="D21" s="41">
        <v>10010095</v>
      </c>
      <c r="E21" s="122" t="str">
        <f>VLOOKUP(D21,'MPG Payment '!$E$3:$G$498218,2,0)</f>
        <v>Gomukh Goha-02</v>
      </c>
      <c r="F21" s="146">
        <f>IFERROR(_xlfn.XLOOKUP(D21,'Monthly Deduction'!$I$3:$I$957,'Monthly Deduction'!$H$3:$H$957),0)</f>
        <v>0</v>
      </c>
      <c r="G21" s="123" t="str">
        <f>VLOOKUP(D21,'MPG Payment '!$E$3:$G$334579,3,0)</f>
        <v>MPG</v>
      </c>
      <c r="H21" s="124" t="str">
        <f>VLOOKUP(D21,'MPG Payment '!$E$3:$H$334579,4,0)</f>
        <v>Direct</v>
      </c>
      <c r="I21" s="88">
        <f>INDEX('MPG Payment '!$C:$C,MATCH('Shayak Income '!D21,'MPG Payment '!E:E,0))</f>
        <v>1058</v>
      </c>
      <c r="J21" s="88" t="str">
        <f>INDEX('MPG Payment '!$D:$D,MATCH('Shayak Income '!D21,'MPG Payment '!E:E,0))</f>
        <v>Hasanpur</v>
      </c>
      <c r="K21" s="125" t="s">
        <v>1322</v>
      </c>
      <c r="L21" s="125">
        <v>45700</v>
      </c>
      <c r="M21" s="126">
        <f>SUMIF('MPG Payment '!$E$3:$E$34579,'Shayak Income '!D21,'MPG Payment '!$I$3:$I$34579)</f>
        <v>1413.8000000000002</v>
      </c>
      <c r="N21" s="126">
        <f>SUMIF('MPG Payment '!$E$3:$E$34579,'Shayak Income '!D21,'MPG Payment '!$J$3:$J$34579)</f>
        <v>56374.500355046795</v>
      </c>
      <c r="O21" s="126">
        <f t="shared" si="9"/>
        <v>1060.3500000000001</v>
      </c>
      <c r="P21" s="126">
        <f t="shared" si="10"/>
        <v>1343.1100000000001</v>
      </c>
      <c r="Q21" s="126">
        <f>SUMIF('MPG Payment '!$E$3:$E$34579,'Shayak Income '!D21,'MPG Payment '!$S$3:$S$34579)</f>
        <v>613.81682999999998</v>
      </c>
      <c r="R21" s="126">
        <f t="shared" si="1"/>
        <v>1691.2350106514039</v>
      </c>
      <c r="S21" s="126">
        <f t="shared" si="2"/>
        <v>348.12501065140373</v>
      </c>
      <c r="T21" s="126">
        <f t="shared" si="11"/>
        <v>141.38000000000002</v>
      </c>
      <c r="U21" s="127">
        <f>(((IF(K21="New",0,SUMIF('MPG Payment '!$E$3:$E$34579,'Shayak Income '!D21,'MPG Payment '!$AC$3:$AC$34579))))+0)+0</f>
        <v>1108.3636553088584</v>
      </c>
      <c r="V21" s="127">
        <f t="shared" si="12"/>
        <v>1768</v>
      </c>
      <c r="W21" s="19">
        <v>1768</v>
      </c>
      <c r="X21" s="19">
        <v>0</v>
      </c>
      <c r="Y21" s="128">
        <f>IFERROR(VLOOKUP(D21,'Monthly Deduction'!$M$2:$N$64,2,0),0)</f>
        <v>0</v>
      </c>
      <c r="Z21" s="128">
        <v>0</v>
      </c>
      <c r="AA21" s="126">
        <f>IFERROR(VLOOKUP(D21,'Monthly Deduction'!A:B,2,0),0)</f>
        <v>0</v>
      </c>
      <c r="AB21" s="129">
        <f t="shared" si="3"/>
        <v>0</v>
      </c>
      <c r="AC21" s="130">
        <v>0</v>
      </c>
      <c r="AD21" s="35">
        <f t="shared" si="13"/>
        <v>0</v>
      </c>
      <c r="AE21" s="166" t="str">
        <f t="shared" si="14"/>
        <v>Release</v>
      </c>
      <c r="AF21" s="127"/>
      <c r="AG21" s="127">
        <v>0</v>
      </c>
      <c r="AH21" s="120"/>
      <c r="AI21" s="238">
        <v>0</v>
      </c>
      <c r="AJ21" s="132"/>
      <c r="AK21" s="151">
        <v>364.80000000000007</v>
      </c>
      <c r="AL21" s="154">
        <f t="shared" si="4"/>
        <v>0</v>
      </c>
      <c r="AM21" s="155"/>
      <c r="AN21" s="19">
        <f t="shared" si="5"/>
        <v>1861</v>
      </c>
      <c r="AO21" s="118">
        <f>SUMIF('MPG Payment '!E:E,'Shayak Income '!D21,'MPG Payment '!AJ:AJ)</f>
        <v>0</v>
      </c>
      <c r="AP21" s="19">
        <f t="shared" si="6"/>
        <v>1768</v>
      </c>
      <c r="AQ21" s="119">
        <f t="shared" si="16"/>
        <v>1768</v>
      </c>
      <c r="AR21" s="91"/>
      <c r="AS21" s="91">
        <f t="shared" si="7"/>
        <v>3016.2027782248006</v>
      </c>
      <c r="AT21" s="118"/>
      <c r="AU21" s="118"/>
      <c r="AV21" s="118"/>
    </row>
    <row r="22" spans="1:48" s="20" customFormat="1" x14ac:dyDescent="0.25">
      <c r="A22" s="17">
        <f>IFERROR(VLOOKUP(D22,'Monthly Deduction'!$I$3:$J$957,2,0),0)</f>
        <v>53294.032769590398</v>
      </c>
      <c r="B22" s="17">
        <f>IFERROR(VLOOKUP(D22,'Monthly Deduction'!$E$3:$F$957,2,0),0)</f>
        <v>1290.9666000000007</v>
      </c>
      <c r="C22" s="17">
        <f t="shared" si="17"/>
        <v>54584.999369590398</v>
      </c>
      <c r="D22" s="41">
        <v>10010097</v>
      </c>
      <c r="E22" s="122" t="str">
        <f>VLOOKUP(D22,'MPG Payment '!$E$3:$G$498218,2,0)</f>
        <v>Gomukh Cheria Bariarpur</v>
      </c>
      <c r="F22" s="146">
        <f>IFERROR(_xlfn.XLOOKUP(D22,'Monthly Deduction'!$I$3:$I$957,'Monthly Deduction'!$H$3:$H$957),0)</f>
        <v>0</v>
      </c>
      <c r="G22" s="123" t="str">
        <f>VLOOKUP(D22,'MPG Payment '!$E$3:$G$334579,3,0)</f>
        <v>MPG</v>
      </c>
      <c r="H22" s="124" t="str">
        <f>VLOOKUP(D22,'MPG Payment '!$E$3:$H$334579,4,0)</f>
        <v>Direct</v>
      </c>
      <c r="I22" s="88">
        <f>INDEX('MPG Payment '!$C:$C,MATCH('Shayak Income '!D22,'MPG Payment '!E:E,0))</f>
        <v>1001</v>
      </c>
      <c r="J22" s="88" t="str">
        <f>INDEX('MPG Payment '!$D:$D,MATCH('Shayak Income '!D22,'MPG Payment '!E:E,0))</f>
        <v>Majhaul</v>
      </c>
      <c r="K22" s="125" t="s">
        <v>1322</v>
      </c>
      <c r="L22" s="125">
        <v>45708</v>
      </c>
      <c r="M22" s="126">
        <f>SUMIF('MPG Payment '!$E$3:$E$34579,'Shayak Income '!D22,'MPG Payment '!$I$3:$I$34579)</f>
        <v>5359.2</v>
      </c>
      <c r="N22" s="126">
        <f>SUMIF('MPG Payment '!$E$3:$E$34579,'Shayak Income '!D22,'MPG Payment '!$J$3:$J$34579)</f>
        <v>202797.15155807999</v>
      </c>
      <c r="O22" s="126">
        <f t="shared" si="9"/>
        <v>4019.3999999999996</v>
      </c>
      <c r="P22" s="126">
        <f t="shared" si="10"/>
        <v>5091.24</v>
      </c>
      <c r="Q22" s="126">
        <f>SUMIF('MPG Payment '!$E$3:$E$34579,'Shayak Income '!D22,'MPG Payment '!$S$3:$S$34579)</f>
        <v>268.49370484020005</v>
      </c>
      <c r="R22" s="126">
        <f t="shared" si="1"/>
        <v>6083.9145467423996</v>
      </c>
      <c r="S22" s="126">
        <f t="shared" si="2"/>
        <v>992.6745467423998</v>
      </c>
      <c r="T22" s="126">
        <f t="shared" si="11"/>
        <v>535.91999999999996</v>
      </c>
      <c r="U22" s="127">
        <f>(((IF(K22="New",0,SUMIF('MPG Payment '!$E$3:$E$34579,'Shayak Income '!D22,'MPG Payment '!$AC$3:$AC$34579))))+0)+0</f>
        <v>0</v>
      </c>
      <c r="V22" s="127">
        <f t="shared" si="12"/>
        <v>8843</v>
      </c>
      <c r="W22" s="19">
        <f t="shared" si="15"/>
        <v>4055.9430311615997</v>
      </c>
      <c r="X22" s="19">
        <v>0</v>
      </c>
      <c r="Y22" s="128">
        <f>IFERROR(VLOOKUP(D22,'Monthly Deduction'!$M$2:$N$64,2,0),0)</f>
        <v>0</v>
      </c>
      <c r="Z22" s="128">
        <v>0</v>
      </c>
      <c r="AA22" s="126">
        <f>IFERROR(VLOOKUP(D22,'Monthly Deduction'!A:B,2,0),0)</f>
        <v>0</v>
      </c>
      <c r="AB22" s="129">
        <f t="shared" si="3"/>
        <v>4787</v>
      </c>
      <c r="AC22" s="130">
        <v>0</v>
      </c>
      <c r="AD22" s="35">
        <f t="shared" si="13"/>
        <v>4787</v>
      </c>
      <c r="AE22" s="166" t="str">
        <f t="shared" si="14"/>
        <v>Release</v>
      </c>
      <c r="AF22" s="127"/>
      <c r="AG22" s="18">
        <v>0</v>
      </c>
      <c r="AH22" s="120"/>
      <c r="AI22" s="238">
        <v>0</v>
      </c>
      <c r="AJ22" s="132"/>
      <c r="AK22" s="151">
        <v>1354.1</v>
      </c>
      <c r="AL22" s="154">
        <f t="shared" si="4"/>
        <v>0</v>
      </c>
      <c r="AM22" s="155"/>
      <c r="AN22" s="19">
        <f t="shared" si="5"/>
        <v>4055.9430311615997</v>
      </c>
      <c r="AO22" s="118">
        <f>SUMIF('MPG Payment '!E:E,'Shayak Income '!D22,'MPG Payment '!AJ:AJ)</f>
        <v>0</v>
      </c>
      <c r="AP22" s="19">
        <f t="shared" si="6"/>
        <v>4055.9430311615997</v>
      </c>
      <c r="AQ22" s="119">
        <f t="shared" si="16"/>
        <v>4055.9430311615997</v>
      </c>
      <c r="AR22" s="91" t="s">
        <v>1168</v>
      </c>
      <c r="AS22" s="91">
        <f t="shared" si="7"/>
        <v>1290.9666000000007</v>
      </c>
      <c r="AT22" s="118"/>
      <c r="AU22" s="118"/>
      <c r="AV22" s="118"/>
    </row>
    <row r="23" spans="1:48" s="20" customFormat="1" x14ac:dyDescent="0.25">
      <c r="A23" s="17">
        <f>IFERROR(VLOOKUP(D23,'Monthly Deduction'!$I$3:$J$957,2,0),0)</f>
        <v>65590.140199999994</v>
      </c>
      <c r="B23" s="17">
        <f>IFERROR(VLOOKUP(D23,'Monthly Deduction'!$E$3:$F$957,2,0),0)</f>
        <v>4832.8168000000005</v>
      </c>
      <c r="C23" s="17">
        <f t="shared" si="17"/>
        <v>70422.956999999995</v>
      </c>
      <c r="D23" s="41">
        <v>10010098</v>
      </c>
      <c r="E23" s="122" t="str">
        <f>VLOOKUP(D23,'MPG Payment '!$E$3:$G$498218,2,0)</f>
        <v>Gomukh Rahul Nagar</v>
      </c>
      <c r="F23" s="146">
        <f>IFERROR(_xlfn.XLOOKUP(D23,'Monthly Deduction'!$I$3:$I$957,'Monthly Deduction'!$H$3:$H$957),0)</f>
        <v>0</v>
      </c>
      <c r="G23" s="123" t="str">
        <f>VLOOKUP(D23,'MPG Payment '!$E$3:$G$334579,3,0)</f>
        <v>MPG</v>
      </c>
      <c r="H23" s="124" t="str">
        <f>VLOOKUP(D23,'MPG Payment '!$E$3:$H$334579,4,0)</f>
        <v>Direct</v>
      </c>
      <c r="I23" s="88">
        <f>INDEX('MPG Payment '!$C:$C,MATCH('Shayak Income '!D23,'MPG Payment '!E:E,0))</f>
        <v>1058</v>
      </c>
      <c r="J23" s="88" t="str">
        <f>INDEX('MPG Payment '!$D:$D,MATCH('Shayak Income '!D23,'MPG Payment '!E:E,0))</f>
        <v>Hasanpur</v>
      </c>
      <c r="K23" s="125" t="s">
        <v>1322</v>
      </c>
      <c r="L23" s="125">
        <v>45700</v>
      </c>
      <c r="M23" s="126">
        <f>SUMIF('MPG Payment '!$E$3:$E$34579,'Shayak Income '!D23,'MPG Payment '!$I$3:$I$34579)</f>
        <v>1460.8</v>
      </c>
      <c r="N23" s="126">
        <f>SUMIF('MPG Payment '!$E$3:$E$34579,'Shayak Income '!D23,'MPG Payment '!$J$3:$J$34579)</f>
        <v>54507.871253436999</v>
      </c>
      <c r="O23" s="126">
        <f t="shared" si="9"/>
        <v>1095.5999999999999</v>
      </c>
      <c r="P23" s="126">
        <f t="shared" si="10"/>
        <v>1387.76</v>
      </c>
      <c r="Q23" s="126">
        <f>SUMIF('MPG Payment '!$E$3:$E$34579,'Shayak Income '!D23,'MPG Payment '!$S$3:$S$34579)</f>
        <v>918.93757448492011</v>
      </c>
      <c r="R23" s="126">
        <f t="shared" si="1"/>
        <v>1635.2361376031099</v>
      </c>
      <c r="S23" s="126">
        <f t="shared" si="2"/>
        <v>247.47613760310992</v>
      </c>
      <c r="T23" s="126">
        <f t="shared" si="11"/>
        <v>146.08000000000001</v>
      </c>
      <c r="U23" s="127">
        <f>(((IF(K23="New",0,SUMIF('MPG Payment '!$E$3:$E$34579,'Shayak Income '!D23,'MPG Payment '!$AC$3:$AC$34579))))+0)+0</f>
        <v>999.94028975072649</v>
      </c>
      <c r="V23" s="127">
        <f t="shared" si="12"/>
        <v>2256</v>
      </c>
      <c r="W23" s="19">
        <f t="shared" si="15"/>
        <v>1861</v>
      </c>
      <c r="X23" s="19">
        <v>0</v>
      </c>
      <c r="Y23" s="128">
        <f>IFERROR(VLOOKUP(D23,'Monthly Deduction'!$M$2:$N$64,2,0),0)</f>
        <v>0</v>
      </c>
      <c r="Z23" s="128">
        <v>0</v>
      </c>
      <c r="AA23" s="126">
        <f>IFERROR(VLOOKUP(D23,'Monthly Deduction'!A:B,2,0),0)</f>
        <v>0</v>
      </c>
      <c r="AB23" s="129">
        <f t="shared" si="3"/>
        <v>395</v>
      </c>
      <c r="AC23" s="130">
        <f>AB23</f>
        <v>395</v>
      </c>
      <c r="AD23" s="35">
        <f t="shared" si="13"/>
        <v>0</v>
      </c>
      <c r="AE23" s="166" t="str">
        <f t="shared" si="14"/>
        <v>Yes</v>
      </c>
      <c r="AF23" s="127"/>
      <c r="AG23" s="127">
        <v>0</v>
      </c>
      <c r="AH23" s="132" t="s">
        <v>1648</v>
      </c>
      <c r="AI23" s="238">
        <v>0</v>
      </c>
      <c r="AJ23" s="132"/>
      <c r="AK23" s="151">
        <v>0</v>
      </c>
      <c r="AL23" s="154">
        <f t="shared" si="4"/>
        <v>0</v>
      </c>
      <c r="AM23" s="155"/>
      <c r="AN23" s="19">
        <f t="shared" si="5"/>
        <v>1861</v>
      </c>
      <c r="AO23" s="118">
        <f>SUMIF('MPG Payment '!E:E,'Shayak Income '!D23,'MPG Payment '!AJ:AJ)</f>
        <v>0</v>
      </c>
      <c r="AP23" s="19">
        <f t="shared" si="6"/>
        <v>1861</v>
      </c>
      <c r="AQ23" s="119">
        <f t="shared" si="16"/>
        <v>1861</v>
      </c>
      <c r="AR23" s="91" t="s">
        <v>1168</v>
      </c>
      <c r="AS23" s="91">
        <f t="shared" si="7"/>
        <v>4832.8168000000005</v>
      </c>
      <c r="AT23" s="118"/>
      <c r="AU23" s="118"/>
      <c r="AV23" s="118"/>
    </row>
    <row r="24" spans="1:48" s="20" customFormat="1" x14ac:dyDescent="0.25">
      <c r="A24" s="17">
        <f>IFERROR(VLOOKUP(D24,'Monthly Deduction'!$I$3:$J$957,2,0),0)</f>
        <v>71985</v>
      </c>
      <c r="B24" s="17">
        <f>IFERROR(VLOOKUP(D24,'Monthly Deduction'!$E$3:$F$957,2,0),0)</f>
        <v>0</v>
      </c>
      <c r="C24" s="17">
        <f t="shared" si="17"/>
        <v>71985</v>
      </c>
      <c r="D24" s="41">
        <v>10010099</v>
      </c>
      <c r="E24" s="122" t="str">
        <f>VLOOKUP(D24,'MPG Payment '!$E$3:$G$498218,2,0)</f>
        <v>Gomukh Bagraha-01</v>
      </c>
      <c r="F24" s="146">
        <f>IFERROR(_xlfn.XLOOKUP(D24,'Monthly Deduction'!$I$3:$I$957,'Monthly Deduction'!$H$3:$H$957),0)</f>
        <v>0</v>
      </c>
      <c r="G24" s="123" t="str">
        <f>VLOOKUP(D24,'MPG Payment '!$E$3:$G$334579,3,0)</f>
        <v>MPG</v>
      </c>
      <c r="H24" s="124" t="str">
        <f>VLOOKUP(D24,'MPG Payment '!$E$3:$H$334579,4,0)</f>
        <v>Direct</v>
      </c>
      <c r="I24" s="88">
        <f>INDEX('MPG Payment '!$C:$C,MATCH('Shayak Income '!D24,'MPG Payment '!E:E,0))</f>
        <v>1058</v>
      </c>
      <c r="J24" s="88" t="str">
        <f>INDEX('MPG Payment '!$D:$D,MATCH('Shayak Income '!D24,'MPG Payment '!E:E,0))</f>
        <v>Hasanpur</v>
      </c>
      <c r="K24" s="125" t="s">
        <v>1322</v>
      </c>
      <c r="L24" s="125">
        <v>45736</v>
      </c>
      <c r="M24" s="126">
        <f>SUMIF('MPG Payment '!$E$3:$E$34579,'Shayak Income '!D24,'MPG Payment '!$I$3:$I$34579)</f>
        <v>465.4</v>
      </c>
      <c r="N24" s="126">
        <f>SUMIF('MPG Payment '!$E$3:$E$34579,'Shayak Income '!D24,'MPG Payment '!$J$3:$J$34579)</f>
        <v>20751.825437284002</v>
      </c>
      <c r="O24" s="126">
        <f t="shared" si="9"/>
        <v>349.04999999999995</v>
      </c>
      <c r="P24" s="126">
        <f t="shared" si="10"/>
        <v>442.12999999999994</v>
      </c>
      <c r="Q24" s="126">
        <f>SUMIF('MPG Payment '!$E$3:$E$34579,'Shayak Income '!D24,'MPG Payment '!$S$3:$S$34579)</f>
        <v>205.92554400000006</v>
      </c>
      <c r="R24" s="126">
        <f t="shared" si="1"/>
        <v>622.55476311851999</v>
      </c>
      <c r="S24" s="126">
        <f t="shared" si="2"/>
        <v>180.42476311852005</v>
      </c>
      <c r="T24" s="126">
        <f t="shared" si="11"/>
        <v>46.54</v>
      </c>
      <c r="U24" s="127">
        <f>(((IF(K24="New",0,SUMIF('MPG Payment '!$E$3:$E$34579,'Shayak Income '!D24,'MPG Payment '!$AC$3:$AC$34579))))+0)+-1146</f>
        <v>951.06353261998083</v>
      </c>
      <c r="V24" s="127">
        <f t="shared" si="12"/>
        <v>0</v>
      </c>
      <c r="W24" s="19">
        <v>0</v>
      </c>
      <c r="X24" s="19">
        <v>0</v>
      </c>
      <c r="Y24" s="128">
        <f>IFERROR(VLOOKUP(D24,'Monthly Deduction'!$M$2:$N$64,2,0),0)</f>
        <v>0</v>
      </c>
      <c r="Z24" s="128">
        <v>0</v>
      </c>
      <c r="AA24" s="126">
        <f>IFERROR(VLOOKUP(D24,'Monthly Deduction'!A:B,2,0),0)</f>
        <v>0</v>
      </c>
      <c r="AB24" s="129">
        <f t="shared" si="3"/>
        <v>0</v>
      </c>
      <c r="AC24" s="130">
        <v>0</v>
      </c>
      <c r="AD24" s="35">
        <f t="shared" si="13"/>
        <v>0</v>
      </c>
      <c r="AE24" s="166" t="str">
        <f t="shared" si="14"/>
        <v>Release</v>
      </c>
      <c r="AF24" s="127"/>
      <c r="AG24" s="18">
        <v>0</v>
      </c>
      <c r="AH24" s="120"/>
      <c r="AI24" s="238">
        <v>0</v>
      </c>
      <c r="AJ24" s="132"/>
      <c r="AK24" s="151">
        <v>201.79999999999998</v>
      </c>
      <c r="AL24" s="154">
        <f t="shared" si="4"/>
        <v>0</v>
      </c>
      <c r="AM24" s="155"/>
      <c r="AN24" s="19">
        <f t="shared" si="5"/>
        <v>1861</v>
      </c>
      <c r="AO24" s="118">
        <f>SUMIF('MPG Payment '!E:E,'Shayak Income '!D24,'MPG Payment '!AJ:AJ)</f>
        <v>500</v>
      </c>
      <c r="AP24" s="19">
        <f t="shared" si="6"/>
        <v>0</v>
      </c>
      <c r="AQ24" s="119">
        <f t="shared" si="16"/>
        <v>500</v>
      </c>
      <c r="AR24" s="91" t="s">
        <v>1168</v>
      </c>
      <c r="AS24" s="91">
        <f t="shared" si="7"/>
        <v>0</v>
      </c>
      <c r="AT24" s="118"/>
      <c r="AU24" s="118"/>
      <c r="AV24" s="118"/>
    </row>
    <row r="25" spans="1:48" s="20" customFormat="1" x14ac:dyDescent="0.25">
      <c r="A25" s="17">
        <f>IFERROR(VLOOKUP(D25,'Monthly Deduction'!$I$3:$J$957,2,0),0)</f>
        <v>67263.302171239324</v>
      </c>
      <c r="B25" s="17">
        <f>IFERROR(VLOOKUP(D25,'Monthly Deduction'!$E$3:$F$957,2,0),0)</f>
        <v>6400</v>
      </c>
      <c r="C25" s="17">
        <f t="shared" si="17"/>
        <v>73663.302171239324</v>
      </c>
      <c r="D25" s="41">
        <v>10010103</v>
      </c>
      <c r="E25" s="122" t="str">
        <f>VLOOKUP(D25,'MPG Payment '!$E$3:$G$498218,2,0)</f>
        <v>Gomukh Shobhaipura</v>
      </c>
      <c r="F25" s="146">
        <f>IFERROR(_xlfn.XLOOKUP(D25,'Monthly Deduction'!$I$3:$I$957,'Monthly Deduction'!$H$3:$H$957),0)</f>
        <v>0</v>
      </c>
      <c r="G25" s="123" t="str">
        <f>VLOOKUP(D25,'MPG Payment '!$E$3:$G$334579,3,0)</f>
        <v>MPG</v>
      </c>
      <c r="H25" s="124" t="str">
        <f>VLOOKUP(D25,'MPG Payment '!$E$3:$H$334579,4,0)</f>
        <v>Direct</v>
      </c>
      <c r="I25" s="88">
        <f>INDEX('MPG Payment '!$C:$C,MATCH('Shayak Income '!D25,'MPG Payment '!E:E,0))</f>
        <v>1058</v>
      </c>
      <c r="J25" s="88" t="str">
        <f>INDEX('MPG Payment '!$D:$D,MATCH('Shayak Income '!D25,'MPG Payment '!E:E,0))</f>
        <v>Hasanpur</v>
      </c>
      <c r="K25" s="125" t="s">
        <v>1322</v>
      </c>
      <c r="L25" s="125">
        <v>45737</v>
      </c>
      <c r="M25" s="126">
        <f>SUMIF('MPG Payment '!$E$3:$E$34579,'Shayak Income '!D25,'MPG Payment '!$I$3:$I$34579)</f>
        <v>20.3</v>
      </c>
      <c r="N25" s="126">
        <f>SUMIF('MPG Payment '!$E$3:$E$34579,'Shayak Income '!D25,'MPG Payment '!$J$3:$J$34579)</f>
        <v>753.82</v>
      </c>
      <c r="O25" s="126">
        <f t="shared" si="9"/>
        <v>15.225000000000001</v>
      </c>
      <c r="P25" s="126">
        <f t="shared" si="10"/>
        <v>19.285</v>
      </c>
      <c r="Q25" s="126">
        <f>SUMIF('MPG Payment '!$E$3:$E$34579,'Shayak Income '!D25,'MPG Payment '!$S$3:$S$34579)</f>
        <v>0</v>
      </c>
      <c r="R25" s="126">
        <f t="shared" si="1"/>
        <v>22.614599999999999</v>
      </c>
      <c r="S25" s="126">
        <f t="shared" si="2"/>
        <v>3.3295999999999992</v>
      </c>
      <c r="T25" s="126">
        <f t="shared" si="11"/>
        <v>2.0300000000000002</v>
      </c>
      <c r="U25" s="127">
        <f>(((IF(K25="New",0,SUMIF('MPG Payment '!$E$3:$E$34579,'Shayak Income '!D25,'MPG Payment '!$AC$3:$AC$34579))))+0)+-472</f>
        <v>32.799462068965454</v>
      </c>
      <c r="V25" s="127">
        <f t="shared" si="12"/>
        <v>0</v>
      </c>
      <c r="W25" s="19">
        <v>0</v>
      </c>
      <c r="X25" s="19">
        <v>0</v>
      </c>
      <c r="Y25" s="128">
        <f>IFERROR(VLOOKUP(D25,'Monthly Deduction'!$M$2:$N$64,2,0),0)</f>
        <v>0</v>
      </c>
      <c r="Z25" s="128">
        <v>0</v>
      </c>
      <c r="AA25" s="126">
        <f>IFERROR(VLOOKUP(D25,'Monthly Deduction'!A:B,2,0),0)</f>
        <v>0</v>
      </c>
      <c r="AB25" s="129">
        <f t="shared" si="3"/>
        <v>0</v>
      </c>
      <c r="AC25" s="130">
        <f t="shared" ref="AC25:AC26" si="19">AB25</f>
        <v>0</v>
      </c>
      <c r="AD25" s="35">
        <f t="shared" si="13"/>
        <v>0</v>
      </c>
      <c r="AE25" s="166" t="str">
        <f t="shared" si="14"/>
        <v>Release</v>
      </c>
      <c r="AF25" s="127"/>
      <c r="AG25" s="18">
        <v>0</v>
      </c>
      <c r="AH25" s="132" t="s">
        <v>1648</v>
      </c>
      <c r="AI25" s="238">
        <v>0</v>
      </c>
      <c r="AJ25" s="132"/>
      <c r="AK25" s="151">
        <v>0</v>
      </c>
      <c r="AL25" s="154">
        <f t="shared" si="4"/>
        <v>0</v>
      </c>
      <c r="AM25" s="155"/>
      <c r="AN25" s="19">
        <f t="shared" si="5"/>
        <v>1861</v>
      </c>
      <c r="AO25" s="118">
        <f>SUMIF('MPG Payment '!E:E,'Shayak Income '!D25,'MPG Payment '!AJ:AJ)</f>
        <v>0</v>
      </c>
      <c r="AP25" s="19">
        <f t="shared" si="6"/>
        <v>0</v>
      </c>
      <c r="AQ25" s="119">
        <f t="shared" si="16"/>
        <v>0</v>
      </c>
      <c r="AR25" s="91" t="s">
        <v>1168</v>
      </c>
      <c r="AS25" s="91">
        <f t="shared" si="7"/>
        <v>6400</v>
      </c>
      <c r="AT25" s="118"/>
      <c r="AU25" s="118"/>
      <c r="AV25" s="118"/>
    </row>
    <row r="26" spans="1:48" s="20" customFormat="1" x14ac:dyDescent="0.25">
      <c r="A26" s="17">
        <f>IFERROR(VLOOKUP(D26,'Monthly Deduction'!$I$3:$J$957,2,0),0)</f>
        <v>91249</v>
      </c>
      <c r="B26" s="17">
        <f>IFERROR(VLOOKUP(D26,'Monthly Deduction'!$E$3:$F$957,2,0),0)</f>
        <v>0</v>
      </c>
      <c r="C26" s="17">
        <f t="shared" si="17"/>
        <v>91249</v>
      </c>
      <c r="D26" s="41">
        <v>10010108</v>
      </c>
      <c r="E26" s="122" t="str">
        <f>VLOOKUP(D26,'MPG Payment '!$E$3:$G$498218,2,0)</f>
        <v>Gomukh Pirauna</v>
      </c>
      <c r="F26" s="146">
        <f>IFERROR(_xlfn.XLOOKUP(D26,'Monthly Deduction'!$I$3:$I$957,'Monthly Deduction'!$H$3:$H$957),0)</f>
        <v>0</v>
      </c>
      <c r="G26" s="123" t="str">
        <f>VLOOKUP(D26,'MPG Payment '!$E$3:$G$334579,3,0)</f>
        <v>MPG</v>
      </c>
      <c r="H26" s="124" t="str">
        <f>VLOOKUP(D26,'MPG Payment '!$E$3:$H$334579,4,0)</f>
        <v>Direct</v>
      </c>
      <c r="I26" s="88">
        <f>INDEX('MPG Payment '!$C:$C,MATCH('Shayak Income '!D26,'MPG Payment '!E:E,0))</f>
        <v>1001</v>
      </c>
      <c r="J26" s="88" t="str">
        <f>INDEX('MPG Payment '!$D:$D,MATCH('Shayak Income '!D26,'MPG Payment '!E:E,0))</f>
        <v>Majhaul</v>
      </c>
      <c r="K26" s="125" t="s">
        <v>1322</v>
      </c>
      <c r="L26" s="125">
        <v>45777</v>
      </c>
      <c r="M26" s="126">
        <f>SUMIF('MPG Payment '!$E$3:$E$34579,'Shayak Income '!D26,'MPG Payment '!$I$3:$I$34579)</f>
        <v>619.20000000000005</v>
      </c>
      <c r="N26" s="126">
        <f>SUMIF('MPG Payment '!$E$3:$E$34579,'Shayak Income '!D26,'MPG Payment '!$J$3:$J$34579)</f>
        <v>22612.026863573999</v>
      </c>
      <c r="O26" s="126">
        <f t="shared" si="9"/>
        <v>464.40000000000003</v>
      </c>
      <c r="P26" s="126">
        <f t="shared" si="10"/>
        <v>588.24</v>
      </c>
      <c r="Q26" s="126">
        <f>SUMIF('MPG Payment '!$E$3:$E$34579,'Shayak Income '!D26,'MPG Payment '!$S$3:$S$34579)</f>
        <v>249.45331237080003</v>
      </c>
      <c r="R26" s="126">
        <f t="shared" si="1"/>
        <v>678.36080590721997</v>
      </c>
      <c r="S26" s="126">
        <f t="shared" si="2"/>
        <v>90.12080590721996</v>
      </c>
      <c r="T26" s="126">
        <f t="shared" si="11"/>
        <v>61.920000000000009</v>
      </c>
      <c r="U26" s="127">
        <f>(((IF(K26="New",0,SUMIF('MPG Payment '!$E$3:$E$34579,'Shayak Income '!D26,'MPG Payment '!$AC$3:$AC$34579))))+0)+-332</f>
        <v>1240.5157975979096</v>
      </c>
      <c r="V26" s="127">
        <f t="shared" si="12"/>
        <v>0</v>
      </c>
      <c r="W26" s="19">
        <v>0</v>
      </c>
      <c r="X26" s="19">
        <v>0</v>
      </c>
      <c r="Y26" s="128">
        <f>IFERROR(VLOOKUP(D26,'Monthly Deduction'!$M$2:$N$64,2,0),0)</f>
        <v>0</v>
      </c>
      <c r="Z26" s="128">
        <v>0</v>
      </c>
      <c r="AA26" s="126">
        <v>0</v>
      </c>
      <c r="AB26" s="129">
        <f t="shared" si="3"/>
        <v>0</v>
      </c>
      <c r="AC26" s="130">
        <f t="shared" si="19"/>
        <v>0</v>
      </c>
      <c r="AD26" s="35">
        <f t="shared" si="13"/>
        <v>0</v>
      </c>
      <c r="AE26" s="166" t="str">
        <f t="shared" si="14"/>
        <v>Release</v>
      </c>
      <c r="AF26" s="127"/>
      <c r="AG26" s="18">
        <v>0</v>
      </c>
      <c r="AH26" s="120" t="s">
        <v>1650</v>
      </c>
      <c r="AI26" s="238">
        <v>9803</v>
      </c>
      <c r="AJ26" s="132"/>
      <c r="AK26" s="151">
        <v>280.3</v>
      </c>
      <c r="AL26" s="154">
        <f t="shared" si="4"/>
        <v>0</v>
      </c>
      <c r="AM26" s="155"/>
      <c r="AN26" s="19">
        <f t="shared" si="5"/>
        <v>1861</v>
      </c>
      <c r="AO26" s="118">
        <f>SUMIF('MPG Payment '!E:E,'Shayak Income '!D26,'MPG Payment '!AJ:AJ)</f>
        <v>500</v>
      </c>
      <c r="AP26" s="19">
        <f t="shared" si="6"/>
        <v>0</v>
      </c>
      <c r="AQ26" s="119">
        <f t="shared" si="16"/>
        <v>500</v>
      </c>
      <c r="AR26" s="91" t="s">
        <v>1168</v>
      </c>
      <c r="AS26" s="91">
        <f t="shared" si="7"/>
        <v>0</v>
      </c>
      <c r="AT26" s="118"/>
      <c r="AU26" s="118"/>
      <c r="AV26" s="118"/>
    </row>
    <row r="27" spans="1:48" s="20" customFormat="1" x14ac:dyDescent="0.25">
      <c r="A27" s="17">
        <f>IFERROR(VLOOKUP(D27,'Monthly Deduction'!$I$3:$J$957,2,0),0)</f>
        <v>0</v>
      </c>
      <c r="B27" s="17">
        <f>IFERROR(VLOOKUP(D27,'Monthly Deduction'!$E$3:$F$957,2,0),0)</f>
        <v>0</v>
      </c>
      <c r="C27" s="17">
        <f t="shared" si="17"/>
        <v>0</v>
      </c>
      <c r="D27" s="41">
        <v>10010109</v>
      </c>
      <c r="E27" s="122" t="str">
        <f>VLOOKUP(D27,'MPG Payment '!$E$3:$G$498218,2,0)</f>
        <v>Parra- Nagendra Kumar</v>
      </c>
      <c r="F27" s="146">
        <f>IFERROR(_xlfn.XLOOKUP(D27,'Monthly Deduction'!$I$3:$I$957,'Monthly Deduction'!$H$3:$H$957),0)</f>
        <v>0</v>
      </c>
      <c r="G27" s="123" t="str">
        <f>VLOOKUP(D27,'MPG Payment '!$E$3:$G$334579,3,0)</f>
        <v>vlc</v>
      </c>
      <c r="H27" s="124" t="str">
        <f>VLOOKUP(D27,'MPG Payment '!$E$3:$H$334579,4,0)</f>
        <v>Indirect</v>
      </c>
      <c r="I27" s="88">
        <f>INDEX('MPG Payment '!$C:$C,MATCH('Shayak Income '!D27,'MPG Payment '!E:E,0))</f>
        <v>1001</v>
      </c>
      <c r="J27" s="88" t="str">
        <f>INDEX('MPG Payment '!$D:$D,MATCH('Shayak Income '!D27,'MPG Payment '!E:E,0))</f>
        <v>Majhaul</v>
      </c>
      <c r="K27" s="125" t="s">
        <v>1322</v>
      </c>
      <c r="L27" s="125">
        <v>45777</v>
      </c>
      <c r="M27" s="126">
        <f>SUMIF('MPG Payment '!$E$3:$E$34579,'Shayak Income '!D27,'MPG Payment '!$I$3:$I$34579)</f>
        <v>1161</v>
      </c>
      <c r="N27" s="126">
        <f>SUMIF('MPG Payment '!$E$3:$E$34579,'Shayak Income '!D27,'MPG Payment '!$J$3:$J$34579)</f>
        <v>39071.585973408502</v>
      </c>
      <c r="O27" s="126">
        <f t="shared" si="9"/>
        <v>870.75</v>
      </c>
      <c r="P27" s="126">
        <f t="shared" si="10"/>
        <v>1102.95</v>
      </c>
      <c r="Q27" s="126">
        <f>SUMIF('MPG Payment '!$E$3:$E$34579,'Shayak Income '!D27,'MPG Payment '!$S$3:$S$34579)</f>
        <v>0</v>
      </c>
      <c r="R27" s="126">
        <f t="shared" si="1"/>
        <v>1172.147579202255</v>
      </c>
      <c r="S27" s="126">
        <f t="shared" si="2"/>
        <v>69.197579202254929</v>
      </c>
      <c r="T27" s="126">
        <f t="shared" si="11"/>
        <v>116.10000000000001</v>
      </c>
      <c r="U27" s="127">
        <f>(((IF(K27="New",0,SUMIF('MPG Payment '!$E$3:$E$34579,'Shayak Income '!D27,'MPG Payment '!$AC$3:$AC$34579))))+0)+0</f>
        <v>1102.2142822862006</v>
      </c>
      <c r="V27" s="127">
        <f t="shared" si="12"/>
        <v>755</v>
      </c>
      <c r="W27" s="19">
        <f t="shared" si="15"/>
        <v>0</v>
      </c>
      <c r="X27" s="19">
        <f t="shared" si="18"/>
        <v>0</v>
      </c>
      <c r="Y27" s="128">
        <f>IFERROR(VLOOKUP(D27,'Monthly Deduction'!$M$2:$N$64,2,0),0)</f>
        <v>0</v>
      </c>
      <c r="Z27" s="128">
        <v>0</v>
      </c>
      <c r="AA27" s="126">
        <f>IFERROR(VLOOKUP(D27,'Monthly Deduction'!A:B,2,0),0)</f>
        <v>0</v>
      </c>
      <c r="AB27" s="129">
        <f t="shared" si="3"/>
        <v>755</v>
      </c>
      <c r="AC27" s="130">
        <v>0</v>
      </c>
      <c r="AD27" s="35">
        <f t="shared" si="13"/>
        <v>755</v>
      </c>
      <c r="AE27" s="166" t="str">
        <f t="shared" si="14"/>
        <v>Release</v>
      </c>
      <c r="AF27" s="127"/>
      <c r="AG27" s="127">
        <v>0</v>
      </c>
      <c r="AH27" s="120"/>
      <c r="AI27" s="238">
        <v>0</v>
      </c>
      <c r="AJ27" s="132"/>
      <c r="AK27" s="151">
        <v>285.5</v>
      </c>
      <c r="AL27" s="154">
        <f t="shared" si="4"/>
        <v>0</v>
      </c>
      <c r="AM27" s="155"/>
      <c r="AN27" s="19">
        <f t="shared" si="5"/>
        <v>0</v>
      </c>
      <c r="AO27" s="118">
        <f>SUMIF('MPG Payment '!E:E,'Shayak Income '!D27,'MPG Payment '!AJ:AJ)</f>
        <v>0</v>
      </c>
      <c r="AP27" s="19">
        <f t="shared" si="6"/>
        <v>0</v>
      </c>
      <c r="AQ27" s="119">
        <f t="shared" si="16"/>
        <v>0</v>
      </c>
      <c r="AR27" s="91" t="s">
        <v>1168</v>
      </c>
      <c r="AS27" s="91">
        <f t="shared" si="7"/>
        <v>0</v>
      </c>
      <c r="AT27" s="118"/>
      <c r="AU27" s="118"/>
      <c r="AV27" s="118"/>
    </row>
    <row r="28" spans="1:48" s="20" customFormat="1" x14ac:dyDescent="0.25">
      <c r="A28" s="17">
        <f>IFERROR(VLOOKUP(D28,'Monthly Deduction'!$I$3:$J$957,2,0),0)</f>
        <v>83878.194554151996</v>
      </c>
      <c r="B28" s="17">
        <f>IFERROR(VLOOKUP(D28,'Monthly Deduction'!$E$3:$F$957,2,0),0)</f>
        <v>0</v>
      </c>
      <c r="C28" s="17">
        <f t="shared" si="17"/>
        <v>83878.194554151996</v>
      </c>
      <c r="D28" s="41">
        <v>10010113</v>
      </c>
      <c r="E28" s="122" t="str">
        <f>VLOOKUP(D28,'MPG Payment '!$E$3:$G$498218,2,0)</f>
        <v>Gomukh Basahi</v>
      </c>
      <c r="F28" s="146">
        <f>IFERROR(_xlfn.XLOOKUP(D28,'Monthly Deduction'!$I$3:$I$957,'Monthly Deduction'!$H$3:$H$957),0)</f>
        <v>0</v>
      </c>
      <c r="G28" s="123" t="str">
        <f>VLOOKUP(D28,'MPG Payment '!$E$3:$G$334579,3,0)</f>
        <v>MPG</v>
      </c>
      <c r="H28" s="124" t="str">
        <f>VLOOKUP(D28,'MPG Payment '!$E$3:$H$334579,4,0)</f>
        <v>Direct</v>
      </c>
      <c r="I28" s="88">
        <f>INDEX('MPG Payment '!$C:$C,MATCH('Shayak Income '!D28,'MPG Payment '!E:E,0))</f>
        <v>1001</v>
      </c>
      <c r="J28" s="88" t="str">
        <f>INDEX('MPG Payment '!$D:$D,MATCH('Shayak Income '!D28,'MPG Payment '!E:E,0))</f>
        <v>Majhaul</v>
      </c>
      <c r="K28" s="125" t="s">
        <v>1322</v>
      </c>
      <c r="L28" s="125">
        <v>45810</v>
      </c>
      <c r="M28" s="126">
        <f>SUMIF('MPG Payment '!$E$3:$E$34579,'Shayak Income '!D28,'MPG Payment '!$I$3:$I$34579)</f>
        <v>3226.1</v>
      </c>
      <c r="N28" s="126">
        <f>SUMIF('MPG Payment '!$E$3:$E$34579,'Shayak Income '!D28,'MPG Payment '!$J$3:$J$34579)</f>
        <v>127677.228775</v>
      </c>
      <c r="O28" s="126">
        <f t="shared" si="9"/>
        <v>2419.5749999999998</v>
      </c>
      <c r="P28" s="126">
        <f t="shared" si="10"/>
        <v>3064.7949999999996</v>
      </c>
      <c r="Q28" s="126">
        <f>SUMIF('MPG Payment '!$E$3:$E$34579,'Shayak Income '!D28,'MPG Payment '!$S$3:$S$34579)</f>
        <v>997.33555621740015</v>
      </c>
      <c r="R28" s="126">
        <f t="shared" si="1"/>
        <v>3830.3168632499996</v>
      </c>
      <c r="S28" s="126">
        <f t="shared" si="2"/>
        <v>765.52186325000002</v>
      </c>
      <c r="T28" s="126">
        <f t="shared" si="11"/>
        <v>322.61</v>
      </c>
      <c r="U28" s="127">
        <f>(((IF(K28="New",0,SUMIF('MPG Payment '!$E$3:$E$34579,'Shayak Income '!D28,'MPG Payment '!$AC$3:$AC$34579))))+0)+0</f>
        <v>0</v>
      </c>
      <c r="V28" s="127">
        <f t="shared" si="12"/>
        <v>6159</v>
      </c>
      <c r="W28" s="19">
        <f t="shared" si="15"/>
        <v>2553.5445755000001</v>
      </c>
      <c r="X28" s="19">
        <v>0</v>
      </c>
      <c r="Y28" s="128">
        <f>IFERROR(VLOOKUP(D28,'Monthly Deduction'!$M$2:$N$64,2,0),0)</f>
        <v>0</v>
      </c>
      <c r="Z28" s="128">
        <v>0</v>
      </c>
      <c r="AA28" s="126">
        <f>IFERROR(VLOOKUP(D28,'Monthly Deduction'!A:B,2,0),0)</f>
        <v>0</v>
      </c>
      <c r="AB28" s="129">
        <f t="shared" si="3"/>
        <v>3605</v>
      </c>
      <c r="AC28" s="130">
        <v>0</v>
      </c>
      <c r="AD28" s="35">
        <f t="shared" si="13"/>
        <v>3605</v>
      </c>
      <c r="AE28" s="166" t="str">
        <f t="shared" si="14"/>
        <v>Release</v>
      </c>
      <c r="AF28" s="127"/>
      <c r="AG28" s="18">
        <v>0</v>
      </c>
      <c r="AH28" s="132"/>
      <c r="AI28" s="238">
        <v>0</v>
      </c>
      <c r="AJ28" s="132"/>
      <c r="AK28" s="151">
        <v>858.69999999999993</v>
      </c>
      <c r="AL28" s="154">
        <f t="shared" si="4"/>
        <v>0</v>
      </c>
      <c r="AM28" s="155"/>
      <c r="AN28" s="19">
        <f t="shared" si="5"/>
        <v>2553.5445755000001</v>
      </c>
      <c r="AO28" s="118">
        <f>SUMIF('MPG Payment '!E:E,'Shayak Income '!D28,'MPG Payment '!AJ:AJ)</f>
        <v>0</v>
      </c>
      <c r="AP28" s="19">
        <f t="shared" si="6"/>
        <v>2553.5445755000001</v>
      </c>
      <c r="AQ28" s="119">
        <f t="shared" si="16"/>
        <v>2553.5445755000001</v>
      </c>
      <c r="AR28" s="91" t="s">
        <v>1168</v>
      </c>
      <c r="AS28" s="91">
        <f t="shared" si="7"/>
        <v>0</v>
      </c>
      <c r="AT28" s="118"/>
      <c r="AU28" s="118"/>
      <c r="AV28" s="118"/>
    </row>
    <row r="29" spans="1:48" s="20" customFormat="1" x14ac:dyDescent="0.25">
      <c r="A29" s="17">
        <f>IFERROR(VLOOKUP(D29,'Monthly Deduction'!$I$3:$J$957,2,0),0)</f>
        <v>0</v>
      </c>
      <c r="B29" s="17">
        <f>IFERROR(VLOOKUP(D29,'Monthly Deduction'!$E$3:$F$957,2,0),0)</f>
        <v>0</v>
      </c>
      <c r="C29" s="17">
        <f t="shared" si="17"/>
        <v>0</v>
      </c>
      <c r="D29" s="41">
        <v>10010116</v>
      </c>
      <c r="E29" s="122" t="str">
        <f>VLOOKUP(D29,'MPG Payment '!$E$3:$G$498218,2,0)</f>
        <v>Mohanpur- Mukesh Kumar</v>
      </c>
      <c r="F29" s="146">
        <f>IFERROR(_xlfn.XLOOKUP(D29,'Monthly Deduction'!$I$3:$I$957,'Monthly Deduction'!$H$3:$H$957),0)</f>
        <v>0</v>
      </c>
      <c r="G29" s="123" t="str">
        <f>VLOOKUP(D29,'MPG Payment '!$E$3:$G$334579,3,0)</f>
        <v>vlc</v>
      </c>
      <c r="H29" s="124" t="str">
        <f>VLOOKUP(D29,'MPG Payment '!$E$3:$H$334579,4,0)</f>
        <v>Indirect</v>
      </c>
      <c r="I29" s="88">
        <f>INDEX('MPG Payment '!$C:$C,MATCH('Shayak Income '!D29,'MPG Payment '!E:E,0))</f>
        <v>1001</v>
      </c>
      <c r="J29" s="88" t="str">
        <f>INDEX('MPG Payment '!$D:$D,MATCH('Shayak Income '!D29,'MPG Payment '!E:E,0))</f>
        <v>Majhaul</v>
      </c>
      <c r="K29" s="125" t="s">
        <v>1322</v>
      </c>
      <c r="L29" s="125">
        <v>45840</v>
      </c>
      <c r="M29" s="126">
        <f>SUMIF('MPG Payment '!$E$3:$E$34579,'Shayak Income '!D29,'MPG Payment '!$I$3:$I$34579)</f>
        <v>2983.6</v>
      </c>
      <c r="N29" s="126">
        <f>SUMIF('MPG Payment '!$E$3:$E$34579,'Shayak Income '!D29,'MPG Payment '!$J$3:$J$34579)</f>
        <v>110876.93696336501</v>
      </c>
      <c r="O29" s="126">
        <f t="shared" si="9"/>
        <v>2237.6999999999998</v>
      </c>
      <c r="P29" s="126">
        <f t="shared" si="10"/>
        <v>2834.4199999999996</v>
      </c>
      <c r="Q29" s="126">
        <f>SUMIF('MPG Payment '!$E$3:$E$34579,'Shayak Income '!D29,'MPG Payment '!$S$3:$S$34579)</f>
        <v>0</v>
      </c>
      <c r="R29" s="126">
        <f t="shared" si="1"/>
        <v>3326.3081089009502</v>
      </c>
      <c r="S29" s="126">
        <f t="shared" si="2"/>
        <v>491.88810890095056</v>
      </c>
      <c r="T29" s="126">
        <f t="shared" si="11"/>
        <v>298.36</v>
      </c>
      <c r="U29" s="127">
        <f>(((IF(K29="New",0,SUMIF('MPG Payment '!$E$3:$E$34579,'Shayak Income '!D29,'MPG Payment '!$AC$3:$AC$34579))))+0)+0</f>
        <v>123.51309751390212</v>
      </c>
      <c r="V29" s="127">
        <f t="shared" si="12"/>
        <v>4650</v>
      </c>
      <c r="W29" s="19">
        <f t="shared" si="15"/>
        <v>0</v>
      </c>
      <c r="X29" s="19">
        <f t="shared" si="18"/>
        <v>0</v>
      </c>
      <c r="Y29" s="128">
        <f>IFERROR(VLOOKUP(D29,'Monthly Deduction'!$M$2:$N$64,2,0),0)</f>
        <v>0</v>
      </c>
      <c r="Z29" s="128">
        <v>0</v>
      </c>
      <c r="AA29" s="126">
        <f>IFERROR(VLOOKUP(D29,'Monthly Deduction'!A:B,2,0),0)</f>
        <v>0</v>
      </c>
      <c r="AB29" s="129">
        <f t="shared" si="3"/>
        <v>4650</v>
      </c>
      <c r="AC29" s="130">
        <v>0</v>
      </c>
      <c r="AD29" s="35">
        <f t="shared" si="13"/>
        <v>4650</v>
      </c>
      <c r="AE29" s="166" t="str">
        <f t="shared" si="14"/>
        <v>Release</v>
      </c>
      <c r="AF29" s="127"/>
      <c r="AG29" s="127">
        <v>0</v>
      </c>
      <c r="AH29" s="120"/>
      <c r="AI29" s="238">
        <v>0</v>
      </c>
      <c r="AJ29" s="132"/>
      <c r="AK29" s="151">
        <v>326.8</v>
      </c>
      <c r="AL29" s="154">
        <f t="shared" si="4"/>
        <v>0</v>
      </c>
      <c r="AM29" s="155"/>
      <c r="AN29" s="19">
        <f t="shared" si="5"/>
        <v>0</v>
      </c>
      <c r="AO29" s="118">
        <f>SUMIF('MPG Payment '!E:E,'Shayak Income '!D29,'MPG Payment '!AJ:AJ)</f>
        <v>0</v>
      </c>
      <c r="AP29" s="19">
        <f t="shared" si="6"/>
        <v>0</v>
      </c>
      <c r="AQ29" s="119">
        <f t="shared" si="16"/>
        <v>0</v>
      </c>
      <c r="AR29" s="91" t="s">
        <v>1168</v>
      </c>
      <c r="AS29" s="91">
        <f t="shared" si="7"/>
        <v>0</v>
      </c>
      <c r="AT29" s="118"/>
      <c r="AU29" s="118"/>
      <c r="AV29" s="118"/>
    </row>
    <row r="30" spans="1:48" s="20" customFormat="1" x14ac:dyDescent="0.25">
      <c r="A30" s="17">
        <f>IFERROR(VLOOKUP(D30,'Monthly Deduction'!$I$3:$J$957,2,0),0)</f>
        <v>51333.458446130404</v>
      </c>
      <c r="B30" s="17">
        <f>IFERROR(VLOOKUP(D30,'Monthly Deduction'!$E$3:$F$957,2,0),0)</f>
        <v>0</v>
      </c>
      <c r="C30" s="17">
        <f t="shared" si="17"/>
        <v>51333.458446130404</v>
      </c>
      <c r="D30" s="41">
        <v>10010121</v>
      </c>
      <c r="E30" s="122" t="str">
        <f>VLOOKUP(D30,'MPG Payment '!$E$3:$G$498218,2,0)</f>
        <v>Gomukh Sawantpur</v>
      </c>
      <c r="F30" s="146">
        <f>IFERROR(_xlfn.XLOOKUP(D30,'Monthly Deduction'!$I$3:$I$957,'Monthly Deduction'!$H$3:$H$957),0)</f>
        <v>0</v>
      </c>
      <c r="G30" s="123" t="str">
        <f>VLOOKUP(D30,'MPG Payment '!$E$3:$G$334579,3,0)</f>
        <v>MPG</v>
      </c>
      <c r="H30" s="124" t="str">
        <f>VLOOKUP(D30,'MPG Payment '!$E$3:$H$334579,4,0)</f>
        <v>Direct</v>
      </c>
      <c r="I30" s="88">
        <f>INDEX('MPG Payment '!$C:$C,MATCH('Shayak Income '!D30,'MPG Payment '!E:E,0))</f>
        <v>1001</v>
      </c>
      <c r="J30" s="88" t="str">
        <f>INDEX('MPG Payment '!$D:$D,MATCH('Shayak Income '!D30,'MPG Payment '!E:E,0))</f>
        <v>Majhaul</v>
      </c>
      <c r="K30" s="125" t="s">
        <v>1322</v>
      </c>
      <c r="L30" s="125">
        <v>45842</v>
      </c>
      <c r="M30" s="126">
        <f>SUMIF('MPG Payment '!$E$3:$E$34579,'Shayak Income '!D30,'MPG Payment '!$I$3:$I$34579)</f>
        <v>4589.5</v>
      </c>
      <c r="N30" s="126">
        <f>SUMIF('MPG Payment '!$E$3:$E$34579,'Shayak Income '!D30,'MPG Payment '!$J$3:$J$34579)</f>
        <v>170904.69179920002</v>
      </c>
      <c r="O30" s="126">
        <f t="shared" si="9"/>
        <v>3442.125</v>
      </c>
      <c r="P30" s="126">
        <f t="shared" si="10"/>
        <v>4360.0249999999996</v>
      </c>
      <c r="Q30" s="126">
        <f>SUMIF('MPG Payment '!$E$3:$E$34579,'Shayak Income '!D30,'MPG Payment '!$S$3:$S$34579)</f>
        <v>794.37707350560004</v>
      </c>
      <c r="R30" s="126">
        <f t="shared" si="1"/>
        <v>5127.1407539760003</v>
      </c>
      <c r="S30" s="126">
        <f t="shared" si="2"/>
        <v>767.11575397600063</v>
      </c>
      <c r="T30" s="126">
        <f t="shared" si="11"/>
        <v>458.95000000000005</v>
      </c>
      <c r="U30" s="127">
        <f>(((IF(K30="New",0,SUMIF('MPG Payment '!$E$3:$E$34579,'Shayak Income '!D30,'MPG Payment '!$AC$3:$AC$34579))))+0)+0</f>
        <v>0</v>
      </c>
      <c r="V30" s="127">
        <f t="shared" si="12"/>
        <v>8138</v>
      </c>
      <c r="W30" s="19">
        <f t="shared" si="15"/>
        <v>3418.0938359840006</v>
      </c>
      <c r="X30" s="19">
        <v>0</v>
      </c>
      <c r="Y30" s="128">
        <f>IFERROR(VLOOKUP(D30,'Monthly Deduction'!$M$2:$N$64,2,0),0)</f>
        <v>0</v>
      </c>
      <c r="Z30" s="128">
        <v>0</v>
      </c>
      <c r="AA30" s="126">
        <f>IFERROR(VLOOKUP(D30,'Monthly Deduction'!A:B,2,0),0)</f>
        <v>0</v>
      </c>
      <c r="AB30" s="129">
        <f t="shared" si="3"/>
        <v>4720</v>
      </c>
      <c r="AC30" s="130">
        <v>0</v>
      </c>
      <c r="AD30" s="35">
        <f t="shared" si="13"/>
        <v>4720</v>
      </c>
      <c r="AE30" s="166" t="str">
        <f t="shared" si="14"/>
        <v>Release</v>
      </c>
      <c r="AF30" s="127"/>
      <c r="AG30" s="18">
        <v>0</v>
      </c>
      <c r="AH30" s="132"/>
      <c r="AI30" s="238">
        <v>0</v>
      </c>
      <c r="AJ30" s="132"/>
      <c r="AK30" s="151">
        <v>1551.5999999999997</v>
      </c>
      <c r="AL30" s="154">
        <f t="shared" si="4"/>
        <v>0</v>
      </c>
      <c r="AM30" s="155"/>
      <c r="AN30" s="19">
        <f t="shared" si="5"/>
        <v>3418.0938359840006</v>
      </c>
      <c r="AO30" s="118">
        <f>SUMIF('MPG Payment '!E:E,'Shayak Income '!D30,'MPG Payment '!AJ:AJ)</f>
        <v>0</v>
      </c>
      <c r="AP30" s="19">
        <f t="shared" si="6"/>
        <v>3418.0938359840006</v>
      </c>
      <c r="AQ30" s="119">
        <f t="shared" si="16"/>
        <v>3418.0938359840006</v>
      </c>
      <c r="AR30" s="91"/>
      <c r="AS30" s="91">
        <f t="shared" si="7"/>
        <v>0</v>
      </c>
      <c r="AT30" s="118"/>
      <c r="AU30" s="118"/>
      <c r="AV30" s="118"/>
    </row>
    <row r="31" spans="1:48" s="20" customFormat="1" x14ac:dyDescent="0.25">
      <c r="A31" s="17">
        <f>IFERROR(VLOOKUP(D31,'Monthly Deduction'!$I$3:$J$957,2,0),0)</f>
        <v>0</v>
      </c>
      <c r="B31" s="17">
        <f>IFERROR(VLOOKUP(D31,'Monthly Deduction'!$E$3:$F$957,2,0),0)</f>
        <v>0</v>
      </c>
      <c r="C31" s="17">
        <f t="shared" si="17"/>
        <v>0</v>
      </c>
      <c r="D31" s="41">
        <v>10010125</v>
      </c>
      <c r="E31" s="122" t="str">
        <f>VLOOKUP(D31,'MPG Payment '!$E$3:$G$498218,2,0)</f>
        <v>Maida- Ram Kumar</v>
      </c>
      <c r="F31" s="146">
        <f>IFERROR(_xlfn.XLOOKUP(D31,'Monthly Deduction'!$I$3:$I$957,'Monthly Deduction'!$H$3:$H$957),0)</f>
        <v>0</v>
      </c>
      <c r="G31" s="123" t="str">
        <f>VLOOKUP(D31,'MPG Payment '!$E$3:$G$334579,3,0)</f>
        <v>vlc</v>
      </c>
      <c r="H31" s="124" t="str">
        <f>VLOOKUP(D31,'MPG Payment '!$E$3:$H$334579,4,0)</f>
        <v>Indirect</v>
      </c>
      <c r="I31" s="88">
        <f>INDEX('MPG Payment '!$C:$C,MATCH('Shayak Income '!D31,'MPG Payment '!E:E,0))</f>
        <v>1001</v>
      </c>
      <c r="J31" s="88" t="str">
        <f>INDEX('MPG Payment '!$D:$D,MATCH('Shayak Income '!D31,'MPG Payment '!E:E,0))</f>
        <v>Majhaul</v>
      </c>
      <c r="K31" s="125" t="s">
        <v>1322</v>
      </c>
      <c r="L31" s="125">
        <v>45869</v>
      </c>
      <c r="M31" s="126">
        <f>SUMIF('MPG Payment '!$E$3:$E$34579,'Shayak Income '!D31,'MPG Payment '!$I$3:$I$34579)</f>
        <v>1231</v>
      </c>
      <c r="N31" s="126">
        <f>SUMIF('MPG Payment '!$E$3:$E$34579,'Shayak Income '!D31,'MPG Payment '!$J$3:$J$34579)</f>
        <v>48227.966682912098</v>
      </c>
      <c r="O31" s="126">
        <f t="shared" si="9"/>
        <v>923.25</v>
      </c>
      <c r="P31" s="126">
        <f t="shared" si="10"/>
        <v>1169.45</v>
      </c>
      <c r="Q31" s="126">
        <f>SUMIF('MPG Payment '!$E$3:$E$34579,'Shayak Income '!D31,'MPG Payment '!$S$3:$S$34579)</f>
        <v>0</v>
      </c>
      <c r="R31" s="126">
        <f t="shared" si="1"/>
        <v>1446.8390004873629</v>
      </c>
      <c r="S31" s="126">
        <f t="shared" si="2"/>
        <v>277.38900048736286</v>
      </c>
      <c r="T31" s="126">
        <f t="shared" si="11"/>
        <v>123.10000000000001</v>
      </c>
      <c r="U31" s="127">
        <f>(((IF(K31="New",0,SUMIF('MPG Payment '!$E$3:$E$34579,'Shayak Income '!D31,'MPG Payment '!$AC$3:$AC$34579))))+0)+0</f>
        <v>1167.9390032950359</v>
      </c>
      <c r="V31" s="127">
        <f t="shared" si="12"/>
        <v>802</v>
      </c>
      <c r="W31" s="19">
        <f t="shared" si="15"/>
        <v>0</v>
      </c>
      <c r="X31" s="19">
        <f t="shared" si="18"/>
        <v>0</v>
      </c>
      <c r="Y31" s="128">
        <f>IFERROR(VLOOKUP(D31,'Monthly Deduction'!$M$2:$N$64,2,0),0)</f>
        <v>0</v>
      </c>
      <c r="Z31" s="128">
        <v>0</v>
      </c>
      <c r="AA31" s="126">
        <f>IFERROR(VLOOKUP(D31,'Monthly Deduction'!A:B,2,0),0)</f>
        <v>0</v>
      </c>
      <c r="AB31" s="129">
        <f t="shared" si="3"/>
        <v>802</v>
      </c>
      <c r="AC31" s="130">
        <v>0</v>
      </c>
      <c r="AD31" s="35">
        <f t="shared" si="13"/>
        <v>802</v>
      </c>
      <c r="AE31" s="166" t="str">
        <f t="shared" si="14"/>
        <v>Release</v>
      </c>
      <c r="AF31" s="127"/>
      <c r="AG31" s="127">
        <v>0</v>
      </c>
      <c r="AH31" s="120"/>
      <c r="AI31" s="238">
        <v>0</v>
      </c>
      <c r="AJ31" s="132"/>
      <c r="AK31" s="151">
        <v>717.09999999999991</v>
      </c>
      <c r="AL31" s="154">
        <f t="shared" si="4"/>
        <v>0</v>
      </c>
      <c r="AM31" s="155"/>
      <c r="AN31" s="19">
        <f t="shared" si="5"/>
        <v>0</v>
      </c>
      <c r="AO31" s="118">
        <f>SUMIF('MPG Payment '!E:E,'Shayak Income '!D31,'MPG Payment '!AJ:AJ)</f>
        <v>0</v>
      </c>
      <c r="AP31" s="19">
        <f t="shared" si="6"/>
        <v>0</v>
      </c>
      <c r="AQ31" s="119">
        <f t="shared" si="16"/>
        <v>0</v>
      </c>
      <c r="AR31" s="91" t="s">
        <v>1168</v>
      </c>
      <c r="AS31" s="91">
        <f t="shared" si="7"/>
        <v>0</v>
      </c>
      <c r="AT31" s="118"/>
      <c r="AU31" s="118"/>
      <c r="AV31" s="118"/>
    </row>
    <row r="32" spans="1:48" s="20" customFormat="1" x14ac:dyDescent="0.25">
      <c r="A32" s="17">
        <f>IFERROR(VLOOKUP(D32,'Monthly Deduction'!$I$3:$J$957,2,0),0)</f>
        <v>50054.762623951799</v>
      </c>
      <c r="B32" s="17">
        <f>IFERROR(VLOOKUP(D32,'Monthly Deduction'!$E$3:$F$957,2,0),0)</f>
        <v>0</v>
      </c>
      <c r="C32" s="17">
        <f t="shared" si="17"/>
        <v>50054.762623951799</v>
      </c>
      <c r="D32" s="41">
        <v>10010128</v>
      </c>
      <c r="E32" s="122" t="str">
        <f>VLOOKUP(D32,'MPG Payment '!$E$3:$G$498218,2,0)</f>
        <v>Gomukh Aure Bikrampur</v>
      </c>
      <c r="F32" s="146">
        <f>IFERROR(_xlfn.XLOOKUP(D32,'Monthly Deduction'!$I$3:$I$957,'Monthly Deduction'!$H$3:$H$957),0)</f>
        <v>0</v>
      </c>
      <c r="G32" s="123" t="str">
        <f>VLOOKUP(D32,'MPG Payment '!$E$3:$G$334579,3,0)</f>
        <v>MPG</v>
      </c>
      <c r="H32" s="124" t="str">
        <f>VLOOKUP(D32,'MPG Payment '!$E$3:$H$334579,4,0)</f>
        <v>Direct</v>
      </c>
      <c r="I32" s="88">
        <f>INDEX('MPG Payment '!$C:$C,MATCH('Shayak Income '!D32,'MPG Payment '!E:E,0))</f>
        <v>1001</v>
      </c>
      <c r="J32" s="88" t="str">
        <f>INDEX('MPG Payment '!$D:$D,MATCH('Shayak Income '!D32,'MPG Payment '!E:E,0))</f>
        <v>Majhaul</v>
      </c>
      <c r="K32" s="125" t="s">
        <v>1322</v>
      </c>
      <c r="L32" s="125">
        <v>45869</v>
      </c>
      <c r="M32" s="126">
        <f>SUMIF('MPG Payment '!$E$3:$E$34579,'Shayak Income '!D32,'MPG Payment '!$I$3:$I$34579)</f>
        <v>4687.5</v>
      </c>
      <c r="N32" s="126">
        <f>SUMIF('MPG Payment '!$E$3:$E$34579,'Shayak Income '!D32,'MPG Payment '!$J$3:$J$34579)</f>
        <v>191106.92342512999</v>
      </c>
      <c r="O32" s="126">
        <f t="shared" si="9"/>
        <v>3515.625</v>
      </c>
      <c r="P32" s="126">
        <f t="shared" si="10"/>
        <v>4453.125</v>
      </c>
      <c r="Q32" s="126">
        <f>SUMIF('MPG Payment '!$E$3:$E$34579,'Shayak Income '!D32,'MPG Payment '!$S$3:$S$34579)</f>
        <v>44.648936640000009</v>
      </c>
      <c r="R32" s="126">
        <f t="shared" si="1"/>
        <v>5733.2077027538999</v>
      </c>
      <c r="S32" s="126">
        <f t="shared" si="2"/>
        <v>1280.0827027538999</v>
      </c>
      <c r="T32" s="126">
        <f t="shared" si="11"/>
        <v>468.75</v>
      </c>
      <c r="U32" s="127">
        <f>(((IF(K32="New",0,SUMIF('MPG Payment '!$E$3:$E$34579,'Shayak Income '!D32,'MPG Payment '!$AC$3:$AC$34579))))+0)+0</f>
        <v>0</v>
      </c>
      <c r="V32" s="127">
        <f t="shared" si="12"/>
        <v>7545</v>
      </c>
      <c r="W32" s="19">
        <f t="shared" si="15"/>
        <v>3822.1384685026001</v>
      </c>
      <c r="X32" s="19">
        <v>0</v>
      </c>
      <c r="Y32" s="128">
        <f>IFERROR(VLOOKUP(D32,'Monthly Deduction'!$M$2:$N$64,2,0),0)</f>
        <v>0</v>
      </c>
      <c r="Z32" s="128">
        <v>0</v>
      </c>
      <c r="AA32" s="126">
        <f>IFERROR(VLOOKUP(D32,'Monthly Deduction'!A:B,2,0),0)</f>
        <v>0</v>
      </c>
      <c r="AB32" s="129">
        <f t="shared" si="3"/>
        <v>3723</v>
      </c>
      <c r="AC32" s="130">
        <v>0</v>
      </c>
      <c r="AD32" s="35">
        <f t="shared" si="13"/>
        <v>3723</v>
      </c>
      <c r="AE32" s="166" t="str">
        <f t="shared" si="14"/>
        <v>Release</v>
      </c>
      <c r="AF32" s="127"/>
      <c r="AG32" s="18">
        <v>0</v>
      </c>
      <c r="AH32" s="132"/>
      <c r="AI32" s="238">
        <v>0</v>
      </c>
      <c r="AJ32" s="132"/>
      <c r="AK32" s="151">
        <v>1079.0000000000002</v>
      </c>
      <c r="AL32" s="154">
        <f t="shared" si="4"/>
        <v>0</v>
      </c>
      <c r="AM32" s="155"/>
      <c r="AN32" s="19">
        <f t="shared" si="5"/>
        <v>3822.1384685026001</v>
      </c>
      <c r="AO32" s="118">
        <f>SUMIF('MPG Payment '!E:E,'Shayak Income '!D32,'MPG Payment '!AJ:AJ)</f>
        <v>0</v>
      </c>
      <c r="AP32" s="19">
        <f t="shared" si="6"/>
        <v>3822.1384685026001</v>
      </c>
      <c r="AQ32" s="119">
        <f t="shared" si="16"/>
        <v>3822.1384685026001</v>
      </c>
      <c r="AR32" s="91" t="s">
        <v>1168</v>
      </c>
      <c r="AS32" s="91">
        <f t="shared" si="7"/>
        <v>0</v>
      </c>
      <c r="AT32" s="118"/>
      <c r="AU32" s="118"/>
      <c r="AV32" s="118"/>
    </row>
    <row r="33" spans="1:48" s="20" customFormat="1" x14ac:dyDescent="0.25">
      <c r="A33" s="17">
        <f>IFERROR(VLOOKUP(D33,'Monthly Deduction'!$I$3:$J$957,2,0),0)</f>
        <v>0</v>
      </c>
      <c r="B33" s="17">
        <f>IFERROR(VLOOKUP(D33,'Monthly Deduction'!$E$3:$F$957,2,0),0)</f>
        <v>0</v>
      </c>
      <c r="C33" s="17">
        <f t="shared" si="17"/>
        <v>0</v>
      </c>
      <c r="D33" s="41">
        <v>10010129</v>
      </c>
      <c r="E33" s="122" t="str">
        <f>VLOOKUP(D33,'MPG Payment '!$E$3:$G$498218,2,0)</f>
        <v>Manjhaul- Gulshan Kumar</v>
      </c>
      <c r="F33" s="146">
        <f>IFERROR(_xlfn.XLOOKUP(D33,'Monthly Deduction'!$I$3:$I$957,'Monthly Deduction'!$H$3:$H$957),0)</f>
        <v>0</v>
      </c>
      <c r="G33" s="123" t="str">
        <f>VLOOKUP(D33,'MPG Payment '!$E$3:$G$334579,3,0)</f>
        <v>vlc</v>
      </c>
      <c r="H33" s="124" t="str">
        <f>VLOOKUP(D33,'MPG Payment '!$E$3:$H$334579,4,0)</f>
        <v>Indirect</v>
      </c>
      <c r="I33" s="88">
        <f>INDEX('MPG Payment '!$C:$C,MATCH('Shayak Income '!D33,'MPG Payment '!E:E,0))</f>
        <v>1001</v>
      </c>
      <c r="J33" s="88" t="str">
        <f>INDEX('MPG Payment '!$D:$D,MATCH('Shayak Income '!D33,'MPG Payment '!E:E,0))</f>
        <v>Majhaul</v>
      </c>
      <c r="K33" s="125" t="s">
        <v>1322</v>
      </c>
      <c r="L33" s="125">
        <v>45869</v>
      </c>
      <c r="M33" s="126">
        <f>SUMIF('MPG Payment '!$E$3:$E$34579,'Shayak Income '!D33,'MPG Payment '!$I$3:$I$34579)</f>
        <v>3536.2000000000003</v>
      </c>
      <c r="N33" s="126">
        <f>SUMIF('MPG Payment '!$E$3:$E$34579,'Shayak Income '!D33,'MPG Payment '!$J$3:$J$34579)</f>
        <v>133843.85920168599</v>
      </c>
      <c r="O33" s="126">
        <f t="shared" si="9"/>
        <v>2652.15</v>
      </c>
      <c r="P33" s="126">
        <f t="shared" si="10"/>
        <v>3359.3900000000003</v>
      </c>
      <c r="Q33" s="126">
        <f>SUMIF('MPG Payment '!$E$3:$E$34579,'Shayak Income '!D33,'MPG Payment '!$S$3:$S$34579)</f>
        <v>0</v>
      </c>
      <c r="R33" s="126">
        <f t="shared" si="1"/>
        <v>4015.3157760505796</v>
      </c>
      <c r="S33" s="126">
        <f t="shared" si="2"/>
        <v>655.92577605057932</v>
      </c>
      <c r="T33" s="126">
        <f t="shared" si="11"/>
        <v>353.62000000000006</v>
      </c>
      <c r="U33" s="127">
        <f>(((IF(K33="New",0,SUMIF('MPG Payment '!$E$3:$E$34579,'Shayak Income '!D33,'MPG Payment '!$AC$3:$AC$34579))))+0)+0</f>
        <v>156.00271979311714</v>
      </c>
      <c r="V33" s="127">
        <f t="shared" si="12"/>
        <v>5502</v>
      </c>
      <c r="W33" s="19">
        <f t="shared" si="15"/>
        <v>0</v>
      </c>
      <c r="X33" s="19">
        <f t="shared" si="18"/>
        <v>0</v>
      </c>
      <c r="Y33" s="128">
        <f>IFERROR(VLOOKUP(D33,'Monthly Deduction'!$M$2:$N$64,2,0),0)</f>
        <v>0</v>
      </c>
      <c r="Z33" s="128">
        <v>0</v>
      </c>
      <c r="AA33" s="126">
        <f>IFERROR(VLOOKUP(D33,'Monthly Deduction'!A:B,2,0),0)</f>
        <v>0</v>
      </c>
      <c r="AB33" s="129">
        <f t="shared" si="3"/>
        <v>5502</v>
      </c>
      <c r="AC33" s="130">
        <v>0</v>
      </c>
      <c r="AD33" s="35">
        <f t="shared" si="13"/>
        <v>5502</v>
      </c>
      <c r="AE33" s="166" t="str">
        <f t="shared" si="14"/>
        <v>Release</v>
      </c>
      <c r="AF33" s="127"/>
      <c r="AG33" s="18">
        <v>0</v>
      </c>
      <c r="AH33" s="120"/>
      <c r="AI33" s="238">
        <v>0</v>
      </c>
      <c r="AJ33" s="132"/>
      <c r="AK33" s="151">
        <v>931.99999999999989</v>
      </c>
      <c r="AL33" s="154">
        <f t="shared" si="4"/>
        <v>0</v>
      </c>
      <c r="AM33" s="155"/>
      <c r="AN33" s="19">
        <f t="shared" si="5"/>
        <v>0</v>
      </c>
      <c r="AO33" s="118">
        <f>SUMIF('MPG Payment '!E:E,'Shayak Income '!D33,'MPG Payment '!AJ:AJ)</f>
        <v>0</v>
      </c>
      <c r="AP33" s="19">
        <f t="shared" si="6"/>
        <v>0</v>
      </c>
      <c r="AQ33" s="119">
        <f t="shared" si="16"/>
        <v>0</v>
      </c>
      <c r="AR33" s="91" t="s">
        <v>1168</v>
      </c>
      <c r="AS33" s="91">
        <f t="shared" si="7"/>
        <v>0</v>
      </c>
      <c r="AT33" s="118"/>
      <c r="AU33" s="118"/>
      <c r="AV33" s="118"/>
    </row>
    <row r="34" spans="1:48" s="20" customFormat="1" x14ac:dyDescent="0.25">
      <c r="A34" s="17">
        <f>IFERROR(VLOOKUP(D34,'Monthly Deduction'!$I$3:$J$957,2,0),0)</f>
        <v>0</v>
      </c>
      <c r="B34" s="17">
        <f>IFERROR(VLOOKUP(D34,'Monthly Deduction'!$E$3:$F$957,2,0),0)</f>
        <v>0</v>
      </c>
      <c r="C34" s="17">
        <f t="shared" si="17"/>
        <v>0</v>
      </c>
      <c r="D34" s="41">
        <v>10010130</v>
      </c>
      <c r="E34" s="122" t="str">
        <f>VLOOKUP(D34,'MPG Payment '!$E$3:$G$498218,2,0)</f>
        <v>Khaira Manjhaul</v>
      </c>
      <c r="F34" s="146">
        <f>IFERROR(_xlfn.XLOOKUP(D34,'Monthly Deduction'!$I$3:$I$957,'Monthly Deduction'!$H$3:$H$957),0)</f>
        <v>0</v>
      </c>
      <c r="G34" s="123" t="str">
        <f>VLOOKUP(D34,'MPG Payment '!$E$3:$G$334579,3,0)</f>
        <v>vlc</v>
      </c>
      <c r="H34" s="124" t="str">
        <f>VLOOKUP(D34,'MPG Payment '!$E$3:$H$334579,4,0)</f>
        <v>Indirect</v>
      </c>
      <c r="I34" s="88">
        <f>INDEX('MPG Payment '!$C:$C,MATCH('Shayak Income '!D34,'MPG Payment '!E:E,0))</f>
        <v>1001</v>
      </c>
      <c r="J34" s="88" t="str">
        <f>INDEX('MPG Payment '!$D:$D,MATCH('Shayak Income '!D34,'MPG Payment '!E:E,0))</f>
        <v>Majhaul</v>
      </c>
      <c r="K34" s="125" t="s">
        <v>1322</v>
      </c>
      <c r="L34" s="125">
        <v>45870</v>
      </c>
      <c r="M34" s="126">
        <f>SUMIF('MPG Payment '!$E$3:$E$34579,'Shayak Income '!D34,'MPG Payment '!$I$3:$I$34579)</f>
        <v>1914.6</v>
      </c>
      <c r="N34" s="126">
        <f>SUMIF('MPG Payment '!$E$3:$E$34579,'Shayak Income '!D34,'MPG Payment '!$J$3:$J$34579)</f>
        <v>68984.526073298432</v>
      </c>
      <c r="O34" s="126">
        <f t="shared" si="9"/>
        <v>1435.9499999999998</v>
      </c>
      <c r="P34" s="126">
        <f t="shared" si="10"/>
        <v>1818.87</v>
      </c>
      <c r="Q34" s="126">
        <f>SUMIF('MPG Payment '!$E$3:$E$34579,'Shayak Income '!D34,'MPG Payment '!$S$3:$S$34579)</f>
        <v>0</v>
      </c>
      <c r="R34" s="126">
        <f t="shared" si="1"/>
        <v>2069.5357821989528</v>
      </c>
      <c r="S34" s="126">
        <f t="shared" si="2"/>
        <v>250.66578219895291</v>
      </c>
      <c r="T34" s="126">
        <f t="shared" si="11"/>
        <v>191.46</v>
      </c>
      <c r="U34" s="127">
        <f>(((IF(K34="New",0,SUMIF('MPG Payment '!$E$3:$E$34579,'Shayak Income '!D34,'MPG Payment '!$AC$3:$AC$34579))))+0)+0</f>
        <v>634.33163224722512</v>
      </c>
      <c r="V34" s="127">
        <f t="shared" si="12"/>
        <v>2429</v>
      </c>
      <c r="W34" s="19">
        <f t="shared" si="15"/>
        <v>0</v>
      </c>
      <c r="X34" s="19">
        <f t="shared" si="18"/>
        <v>0</v>
      </c>
      <c r="Y34" s="128">
        <f>IFERROR(VLOOKUP(D34,'Monthly Deduction'!$M$2:$N$64,2,0),0)</f>
        <v>0</v>
      </c>
      <c r="Z34" s="128">
        <v>0</v>
      </c>
      <c r="AA34" s="126">
        <f>IFERROR(VLOOKUP(D34,'Monthly Deduction'!A:B,2,0),0)</f>
        <v>0</v>
      </c>
      <c r="AB34" s="129">
        <f t="shared" si="3"/>
        <v>2429</v>
      </c>
      <c r="AC34" s="130">
        <v>0</v>
      </c>
      <c r="AD34" s="35">
        <f t="shared" si="13"/>
        <v>2429</v>
      </c>
      <c r="AE34" s="166" t="str">
        <f t="shared" si="14"/>
        <v>Release</v>
      </c>
      <c r="AF34" s="127"/>
      <c r="AG34" s="18">
        <v>0</v>
      </c>
      <c r="AH34" s="120"/>
      <c r="AI34" s="238">
        <v>0</v>
      </c>
      <c r="AJ34" s="132"/>
      <c r="AK34" s="151">
        <v>347.1</v>
      </c>
      <c r="AL34" s="154">
        <f t="shared" si="4"/>
        <v>0</v>
      </c>
      <c r="AM34" s="155"/>
      <c r="AN34" s="19">
        <f t="shared" si="5"/>
        <v>0</v>
      </c>
      <c r="AO34" s="118">
        <f>SUMIF('MPG Payment '!E:E,'Shayak Income '!D34,'MPG Payment '!AJ:AJ)</f>
        <v>0</v>
      </c>
      <c r="AP34" s="19">
        <f t="shared" si="6"/>
        <v>0</v>
      </c>
      <c r="AQ34" s="119">
        <f t="shared" si="16"/>
        <v>0</v>
      </c>
      <c r="AR34" s="91"/>
      <c r="AS34" s="91">
        <f t="shared" si="7"/>
        <v>0</v>
      </c>
      <c r="AT34" s="118"/>
      <c r="AU34" s="118"/>
      <c r="AV34" s="118"/>
    </row>
    <row r="35" spans="1:48" s="20" customFormat="1" x14ac:dyDescent="0.25">
      <c r="A35" s="17">
        <f>IFERROR(VLOOKUP(D35,'Monthly Deduction'!$I$3:$J$957,2,0),0)</f>
        <v>0</v>
      </c>
      <c r="B35" s="17">
        <f>IFERROR(VLOOKUP(D35,'Monthly Deduction'!$E$3:$F$957,2,0),0)</f>
        <v>0</v>
      </c>
      <c r="C35" s="17">
        <f t="shared" si="17"/>
        <v>0</v>
      </c>
      <c r="D35" s="41">
        <v>10010131</v>
      </c>
      <c r="E35" s="122" t="str">
        <f>VLOOKUP(D35,'MPG Payment '!$E$3:$G$498218,2,0)</f>
        <v>Mehda Shahpur</v>
      </c>
      <c r="F35" s="146">
        <f>IFERROR(_xlfn.XLOOKUP(D35,'Monthly Deduction'!$I$3:$I$957,'Monthly Deduction'!$H$3:$H$957),0)</f>
        <v>0</v>
      </c>
      <c r="G35" s="123" t="str">
        <f>VLOOKUP(D35,'MPG Payment '!$E$3:$G$334579,3,0)</f>
        <v>vlc</v>
      </c>
      <c r="H35" s="124" t="str">
        <f>VLOOKUP(D35,'MPG Payment '!$E$3:$H$334579,4,0)</f>
        <v>Indirect</v>
      </c>
      <c r="I35" s="88">
        <f>INDEX('MPG Payment '!$C:$C,MATCH('Shayak Income '!D35,'MPG Payment '!E:E,0))</f>
        <v>1001</v>
      </c>
      <c r="J35" s="88" t="str">
        <f>INDEX('MPG Payment '!$D:$D,MATCH('Shayak Income '!D35,'MPG Payment '!E:E,0))</f>
        <v>Majhaul</v>
      </c>
      <c r="K35" s="125" t="s">
        <v>1322</v>
      </c>
      <c r="L35" s="125">
        <v>45870</v>
      </c>
      <c r="M35" s="126">
        <f>SUMIF('MPG Payment '!$E$3:$E$34579,'Shayak Income '!D35,'MPG Payment '!$I$3:$I$34579)</f>
        <v>2295.6999999999998</v>
      </c>
      <c r="N35" s="126">
        <f>SUMIF('MPG Payment '!$E$3:$E$34579,'Shayak Income '!D35,'MPG Payment '!$J$3:$J$34579)</f>
        <v>83412.732957382002</v>
      </c>
      <c r="O35" s="126">
        <f t="shared" si="9"/>
        <v>1721.7749999999999</v>
      </c>
      <c r="P35" s="126">
        <f t="shared" si="10"/>
        <v>2180.9149999999995</v>
      </c>
      <c r="Q35" s="126">
        <f>SUMIF('MPG Payment '!$E$3:$E$34579,'Shayak Income '!D35,'MPG Payment '!$S$3:$S$34579)</f>
        <v>0</v>
      </c>
      <c r="R35" s="126">
        <f t="shared" si="1"/>
        <v>2502.3819887214599</v>
      </c>
      <c r="S35" s="126">
        <f t="shared" si="2"/>
        <v>321.46698872146044</v>
      </c>
      <c r="T35" s="126">
        <f t="shared" si="11"/>
        <v>229.57</v>
      </c>
      <c r="U35" s="127">
        <f>(((IF(K35="New",0,SUMIF('MPG Payment '!$E$3:$E$34579,'Shayak Income '!D35,'MPG Payment '!$AC$3:$AC$34579))))+0)+0</f>
        <v>392.31252410837965</v>
      </c>
      <c r="V35" s="127">
        <f t="shared" si="12"/>
        <v>3281</v>
      </c>
      <c r="W35" s="19">
        <f t="shared" si="15"/>
        <v>0</v>
      </c>
      <c r="X35" s="19">
        <f t="shared" si="18"/>
        <v>0</v>
      </c>
      <c r="Y35" s="128">
        <f>IFERROR(VLOOKUP(D35,'Monthly Deduction'!$M$2:$N$64,2,0),0)</f>
        <v>0</v>
      </c>
      <c r="Z35" s="128">
        <v>0</v>
      </c>
      <c r="AA35" s="126">
        <f>IFERROR(VLOOKUP(D35,'Monthly Deduction'!A:B,2,0),0)</f>
        <v>0</v>
      </c>
      <c r="AB35" s="129">
        <f t="shared" si="3"/>
        <v>3281</v>
      </c>
      <c r="AC35" s="130">
        <v>0</v>
      </c>
      <c r="AD35" s="35">
        <f t="shared" si="13"/>
        <v>3281</v>
      </c>
      <c r="AE35" s="166" t="str">
        <f t="shared" si="14"/>
        <v>Release</v>
      </c>
      <c r="AF35" s="127"/>
      <c r="AG35" s="127">
        <v>0</v>
      </c>
      <c r="AH35" s="120"/>
      <c r="AI35" s="238">
        <v>0</v>
      </c>
      <c r="AJ35" s="132"/>
      <c r="AK35" s="151">
        <v>677</v>
      </c>
      <c r="AL35" s="154">
        <f t="shared" si="4"/>
        <v>0</v>
      </c>
      <c r="AM35" s="155"/>
      <c r="AN35" s="19">
        <f t="shared" si="5"/>
        <v>0</v>
      </c>
      <c r="AO35" s="118">
        <f>SUMIF('MPG Payment '!E:E,'Shayak Income '!D35,'MPG Payment '!AJ:AJ)</f>
        <v>0</v>
      </c>
      <c r="AP35" s="19">
        <f t="shared" si="6"/>
        <v>0</v>
      </c>
      <c r="AQ35" s="119">
        <f t="shared" si="16"/>
        <v>0</v>
      </c>
      <c r="AR35" s="91" t="s">
        <v>1168</v>
      </c>
      <c r="AS35" s="91">
        <f t="shared" si="7"/>
        <v>0</v>
      </c>
      <c r="AT35" s="118"/>
      <c r="AU35" s="118"/>
      <c r="AV35" s="118"/>
    </row>
    <row r="36" spans="1:48" s="20" customFormat="1" x14ac:dyDescent="0.25">
      <c r="A36" s="17">
        <f>IFERROR(VLOOKUP(D36,'Monthly Deduction'!$I$3:$J$957,2,0),0)</f>
        <v>0</v>
      </c>
      <c r="B36" s="17">
        <f>IFERROR(VLOOKUP(D36,'Monthly Deduction'!$E$3:$F$957,2,0),0)</f>
        <v>0</v>
      </c>
      <c r="C36" s="17">
        <f t="shared" si="17"/>
        <v>0</v>
      </c>
      <c r="D36" s="41">
        <v>10020002</v>
      </c>
      <c r="E36" s="122" t="str">
        <f>VLOOKUP(D36,'MPG Payment '!$E$3:$G$498218,2,0)</f>
        <v>PIPARIYA DIH -2</v>
      </c>
      <c r="F36" s="146">
        <f>IFERROR(_xlfn.XLOOKUP(D36,'Monthly Deduction'!$I$3:$I$957,'Monthly Deduction'!$H$3:$H$957),0)</f>
        <v>0</v>
      </c>
      <c r="G36" s="123" t="str">
        <f>VLOOKUP(D36,'MPG Payment '!$E$3:$G$334579,3,0)</f>
        <v>MPG</v>
      </c>
      <c r="H36" s="124" t="str">
        <f>VLOOKUP(D36,'MPG Payment '!$E$3:$H$334579,4,0)</f>
        <v>Direct</v>
      </c>
      <c r="I36" s="88">
        <f>INDEX('MPG Payment '!$C:$C,MATCH('Shayak Income '!D36,'MPG Payment '!E:E,0))</f>
        <v>1002</v>
      </c>
      <c r="J36" s="88" t="str">
        <f>INDEX('MPG Payment '!$D:$D,MATCH('Shayak Income '!D36,'MPG Payment '!E:E,0))</f>
        <v>Laldiyara</v>
      </c>
      <c r="K36" s="125" t="s">
        <v>1322</v>
      </c>
      <c r="L36" s="125">
        <v>42979</v>
      </c>
      <c r="M36" s="126">
        <f>SUMIF('MPG Payment '!$E$3:$E$34579,'Shayak Income '!D36,'MPG Payment '!$I$3:$I$34579)</f>
        <v>10419.200000000001</v>
      </c>
      <c r="N36" s="126">
        <f>SUMIF('MPG Payment '!$E$3:$E$34579,'Shayak Income '!D36,'MPG Payment '!$J$3:$J$34579)</f>
        <v>455126.76813152095</v>
      </c>
      <c r="O36" s="126">
        <f t="shared" si="9"/>
        <v>7814.4000000000005</v>
      </c>
      <c r="P36" s="126">
        <f t="shared" si="10"/>
        <v>9898.24</v>
      </c>
      <c r="Q36" s="126">
        <f>SUMIF('MPG Payment '!$E$3:$E$34579,'Shayak Income '!D36,'MPG Payment '!$S$3:$S$34579)</f>
        <v>4828.8558437030006</v>
      </c>
      <c r="R36" s="126">
        <f t="shared" si="1"/>
        <v>13653.803043945629</v>
      </c>
      <c r="S36" s="126">
        <f t="shared" si="2"/>
        <v>3755.563043945629</v>
      </c>
      <c r="T36" s="126">
        <f t="shared" si="11"/>
        <v>1041.92</v>
      </c>
      <c r="U36" s="127">
        <f>(((IF(K36="New",0,SUMIF('MPG Payment '!$E$3:$E$34579,'Shayak Income '!D36,'MPG Payment '!$AC$3:$AC$34579))))+0)+0</f>
        <v>0</v>
      </c>
      <c r="V36" s="127">
        <f t="shared" si="12"/>
        <v>21500</v>
      </c>
      <c r="W36" s="19">
        <f t="shared" si="15"/>
        <v>0</v>
      </c>
      <c r="X36" s="19">
        <f t="shared" si="18"/>
        <v>0</v>
      </c>
      <c r="Y36" s="128">
        <f>IFERROR(VLOOKUP(D36,'Monthly Deduction'!$M$2:$N$64,2,0),0)</f>
        <v>0</v>
      </c>
      <c r="Z36" s="128">
        <v>0</v>
      </c>
      <c r="AA36" s="126">
        <f>IFERROR(VLOOKUP(D36,'Monthly Deduction'!A:B,2,0),0)</f>
        <v>0</v>
      </c>
      <c r="AB36" s="129">
        <f t="shared" si="3"/>
        <v>21500</v>
      </c>
      <c r="AC36" s="130">
        <v>0</v>
      </c>
      <c r="AD36" s="35">
        <f t="shared" si="13"/>
        <v>21500</v>
      </c>
      <c r="AE36" s="166" t="str">
        <f t="shared" si="14"/>
        <v>Release</v>
      </c>
      <c r="AF36" s="127"/>
      <c r="AG36" s="18">
        <v>0</v>
      </c>
      <c r="AH36" s="120"/>
      <c r="AI36" s="238">
        <v>0</v>
      </c>
      <c r="AJ36" s="132"/>
      <c r="AK36" s="151">
        <v>2676.8999999999996</v>
      </c>
      <c r="AL36" s="154">
        <f t="shared" si="4"/>
        <v>0</v>
      </c>
      <c r="AM36" s="155"/>
      <c r="AN36" s="19">
        <f t="shared" si="5"/>
        <v>0</v>
      </c>
      <c r="AO36" s="118">
        <f>SUMIF('MPG Payment '!E:E,'Shayak Income '!D36,'MPG Payment '!AJ:AJ)</f>
        <v>0</v>
      </c>
      <c r="AP36" s="19">
        <f t="shared" si="6"/>
        <v>0</v>
      </c>
      <c r="AQ36" s="119">
        <f t="shared" si="16"/>
        <v>0</v>
      </c>
      <c r="AR36" s="91" t="s">
        <v>1168</v>
      </c>
      <c r="AS36" s="91">
        <f t="shared" si="7"/>
        <v>0</v>
      </c>
      <c r="AT36" s="118"/>
      <c r="AU36" s="118"/>
      <c r="AV36" s="118"/>
    </row>
    <row r="37" spans="1:48" s="20" customFormat="1" x14ac:dyDescent="0.25">
      <c r="A37" s="17">
        <f>IFERROR(VLOOKUP(D37,'Monthly Deduction'!$I$3:$J$957,2,0),0)</f>
        <v>0</v>
      </c>
      <c r="B37" s="17">
        <f>IFERROR(VLOOKUP(D37,'Monthly Deduction'!$E$3:$F$957,2,0),0)</f>
        <v>0</v>
      </c>
      <c r="C37" s="17">
        <f t="shared" si="17"/>
        <v>0</v>
      </c>
      <c r="D37" s="41">
        <v>10020004</v>
      </c>
      <c r="E37" s="122" t="str">
        <f>VLOOKUP(D37,'MPG Payment '!$E$3:$G$498218,2,0)</f>
        <v>LAL DIYARA -1</v>
      </c>
      <c r="F37" s="146">
        <f>IFERROR(_xlfn.XLOOKUP(D37,'Monthly Deduction'!$I$3:$I$957,'Monthly Deduction'!$H$3:$H$957),0)</f>
        <v>0</v>
      </c>
      <c r="G37" s="123" t="str">
        <f>VLOOKUP(D37,'MPG Payment '!$E$3:$G$334579,3,0)</f>
        <v>MPG</v>
      </c>
      <c r="H37" s="124" t="str">
        <f>VLOOKUP(D37,'MPG Payment '!$E$3:$H$334579,4,0)</f>
        <v>Direct</v>
      </c>
      <c r="I37" s="88">
        <f>INDEX('MPG Payment '!$C:$C,MATCH('Shayak Income '!D37,'MPG Payment '!E:E,0))</f>
        <v>1002</v>
      </c>
      <c r="J37" s="88" t="str">
        <f>INDEX('MPG Payment '!$D:$D,MATCH('Shayak Income '!D37,'MPG Payment '!E:E,0))</f>
        <v>Laldiyara</v>
      </c>
      <c r="K37" s="125" t="s">
        <v>1322</v>
      </c>
      <c r="L37" s="125">
        <v>42979</v>
      </c>
      <c r="M37" s="126">
        <f>SUMIF('MPG Payment '!$E$3:$E$34579,'Shayak Income '!D37,'MPG Payment '!$I$3:$I$34579)</f>
        <v>2219.6</v>
      </c>
      <c r="N37" s="126">
        <f>SUMIF('MPG Payment '!$E$3:$E$34579,'Shayak Income '!D37,'MPG Payment '!$J$3:$J$34579)</f>
        <v>83944.31982751</v>
      </c>
      <c r="O37" s="126">
        <f t="shared" si="9"/>
        <v>1664.6999999999998</v>
      </c>
      <c r="P37" s="126">
        <f t="shared" si="10"/>
        <v>2108.62</v>
      </c>
      <c r="Q37" s="126">
        <f>SUMIF('MPG Payment '!$E$3:$E$34579,'Shayak Income '!D37,'MPG Payment '!$S$3:$S$34579)</f>
        <v>0</v>
      </c>
      <c r="R37" s="126">
        <f t="shared" si="1"/>
        <v>2518.3295948252999</v>
      </c>
      <c r="S37" s="126">
        <f t="shared" si="2"/>
        <v>409.70959482529997</v>
      </c>
      <c r="T37" s="126">
        <f t="shared" si="11"/>
        <v>221.96</v>
      </c>
      <c r="U37" s="127">
        <f>(((IF(K37="New",0,SUMIF('MPG Payment '!$E$3:$E$34579,'Shayak Income '!D37,'MPG Payment '!$AC$3:$AC$34579))))+0)+0</f>
        <v>442.40062223850373</v>
      </c>
      <c r="V37" s="127">
        <f t="shared" si="12"/>
        <v>3109</v>
      </c>
      <c r="W37" s="19">
        <f t="shared" si="15"/>
        <v>0</v>
      </c>
      <c r="X37" s="19">
        <f t="shared" si="18"/>
        <v>0</v>
      </c>
      <c r="Y37" s="128">
        <f>IFERROR(VLOOKUP(D37,'Monthly Deduction'!$M$2:$N$64,2,0),0)</f>
        <v>0</v>
      </c>
      <c r="Z37" s="128">
        <v>0</v>
      </c>
      <c r="AA37" s="126">
        <f>IFERROR(VLOOKUP(D37,'Monthly Deduction'!A:B,2,0),0)</f>
        <v>0</v>
      </c>
      <c r="AB37" s="129">
        <f t="shared" si="3"/>
        <v>3109</v>
      </c>
      <c r="AC37" s="130">
        <v>0</v>
      </c>
      <c r="AD37" s="35">
        <f t="shared" si="13"/>
        <v>3109</v>
      </c>
      <c r="AE37" s="166" t="str">
        <f t="shared" si="14"/>
        <v>Release</v>
      </c>
      <c r="AF37" s="127"/>
      <c r="AG37" s="18">
        <v>0</v>
      </c>
      <c r="AH37" s="120"/>
      <c r="AI37" s="238">
        <v>0</v>
      </c>
      <c r="AJ37" s="132"/>
      <c r="AK37" s="151">
        <v>376.90000000000003</v>
      </c>
      <c r="AL37" s="154">
        <f t="shared" si="4"/>
        <v>0</v>
      </c>
      <c r="AM37" s="155"/>
      <c r="AN37" s="19">
        <f t="shared" si="5"/>
        <v>0</v>
      </c>
      <c r="AO37" s="118">
        <f>SUMIF('MPG Payment '!E:E,'Shayak Income '!D37,'MPG Payment '!AJ:AJ)</f>
        <v>0</v>
      </c>
      <c r="AP37" s="19">
        <f t="shared" si="6"/>
        <v>0</v>
      </c>
      <c r="AQ37" s="119">
        <f t="shared" si="16"/>
        <v>0</v>
      </c>
      <c r="AR37" s="91"/>
      <c r="AS37" s="91">
        <f t="shared" si="7"/>
        <v>0</v>
      </c>
      <c r="AT37" s="118"/>
      <c r="AU37" s="118"/>
      <c r="AV37" s="118"/>
    </row>
    <row r="38" spans="1:48" s="20" customFormat="1" x14ac:dyDescent="0.25">
      <c r="A38" s="17">
        <f>IFERROR(VLOOKUP(D38,'Monthly Deduction'!$I$3:$J$957,2,0),0)</f>
        <v>0</v>
      </c>
      <c r="B38" s="17">
        <f>IFERROR(VLOOKUP(D38,'Monthly Deduction'!$E$3:$F$957,2,0),0)</f>
        <v>0</v>
      </c>
      <c r="C38" s="17">
        <f t="shared" si="17"/>
        <v>0</v>
      </c>
      <c r="D38" s="41">
        <v>10020006</v>
      </c>
      <c r="E38" s="122" t="str">
        <f>VLOOKUP(D38,'MPG Payment '!$E$3:$G$498218,2,0)</f>
        <v>GANGA KINARE KHUTHA</v>
      </c>
      <c r="F38" s="146">
        <f>IFERROR(_xlfn.XLOOKUP(D38,'Monthly Deduction'!$I$3:$I$957,'Monthly Deduction'!$H$3:$H$957),0)</f>
        <v>0</v>
      </c>
      <c r="G38" s="123" t="str">
        <f>VLOOKUP(D38,'MPG Payment '!$E$3:$G$334579,3,0)</f>
        <v>vlc</v>
      </c>
      <c r="H38" s="124" t="str">
        <f>VLOOKUP(D38,'MPG Payment '!$E$3:$H$334579,4,0)</f>
        <v>Indirect</v>
      </c>
      <c r="I38" s="88">
        <f>INDEX('MPG Payment '!$C:$C,MATCH('Shayak Income '!D38,'MPG Payment '!E:E,0))</f>
        <v>1002</v>
      </c>
      <c r="J38" s="88" t="str">
        <f>INDEX('MPG Payment '!$D:$D,MATCH('Shayak Income '!D38,'MPG Payment '!E:E,0))</f>
        <v>Laldiyara</v>
      </c>
      <c r="K38" s="125" t="s">
        <v>1322</v>
      </c>
      <c r="L38" s="125">
        <v>42979</v>
      </c>
      <c r="M38" s="126">
        <f>SUMIF('MPG Payment '!$E$3:$E$34579,'Shayak Income '!D38,'MPG Payment '!$I$3:$I$34579)</f>
        <v>723.7</v>
      </c>
      <c r="N38" s="126">
        <f>SUMIF('MPG Payment '!$E$3:$E$34579,'Shayak Income '!D38,'MPG Payment '!$J$3:$J$34579)</f>
        <v>27108.597783410001</v>
      </c>
      <c r="O38" s="126">
        <f t="shared" si="9"/>
        <v>542.77500000000009</v>
      </c>
      <c r="P38" s="126">
        <f t="shared" si="10"/>
        <v>687.51499999999999</v>
      </c>
      <c r="Q38" s="126">
        <f>SUMIF('MPG Payment '!$E$3:$E$34579,'Shayak Income '!D38,'MPG Payment '!$S$3:$S$34579)</f>
        <v>0</v>
      </c>
      <c r="R38" s="126">
        <f t="shared" si="1"/>
        <v>813.25793350230003</v>
      </c>
      <c r="S38" s="126">
        <f t="shared" si="2"/>
        <v>125.74293350230005</v>
      </c>
      <c r="T38" s="126">
        <f t="shared" si="11"/>
        <v>72.37</v>
      </c>
      <c r="U38" s="127">
        <f>(((IF(K38="New",0,SUMIF('MPG Payment '!$E$3:$E$34579,'Shayak Income '!D38,'MPG Payment '!$AC$3:$AC$34579))))+0)+-399</f>
        <v>1157.5274255403074</v>
      </c>
      <c r="V38" s="127">
        <f t="shared" si="12"/>
        <v>0</v>
      </c>
      <c r="W38" s="19">
        <v>0</v>
      </c>
      <c r="X38" s="19">
        <v>0</v>
      </c>
      <c r="Y38" s="128">
        <f>IFERROR(VLOOKUP(D38,'Monthly Deduction'!$M$2:$N$64,2,0),0)</f>
        <v>0</v>
      </c>
      <c r="Z38" s="128">
        <v>0</v>
      </c>
      <c r="AA38" s="126">
        <f>IFERROR(VLOOKUP(D38,'Monthly Deduction'!A:B,2,0),0)</f>
        <v>0</v>
      </c>
      <c r="AB38" s="129">
        <f t="shared" si="3"/>
        <v>0</v>
      </c>
      <c r="AC38" s="130">
        <v>0</v>
      </c>
      <c r="AD38" s="35">
        <f t="shared" si="13"/>
        <v>0</v>
      </c>
      <c r="AE38" s="166" t="str">
        <f t="shared" si="14"/>
        <v>Release</v>
      </c>
      <c r="AF38" s="127"/>
      <c r="AG38" s="127">
        <v>0</v>
      </c>
      <c r="AH38" s="120"/>
      <c r="AI38" s="238">
        <v>0</v>
      </c>
      <c r="AJ38" s="132"/>
      <c r="AK38" s="151">
        <v>189.79999999999998</v>
      </c>
      <c r="AL38" s="154">
        <f t="shared" si="4"/>
        <v>0</v>
      </c>
      <c r="AM38" s="155"/>
      <c r="AN38" s="19">
        <f t="shared" si="5"/>
        <v>0</v>
      </c>
      <c r="AO38" s="118">
        <f>SUMIF('MPG Payment '!E:E,'Shayak Income '!D38,'MPG Payment '!AJ:AJ)</f>
        <v>0</v>
      </c>
      <c r="AP38" s="19">
        <f t="shared" si="6"/>
        <v>0</v>
      </c>
      <c r="AQ38" s="119">
        <f t="shared" si="16"/>
        <v>0</v>
      </c>
      <c r="AR38" s="91" t="s">
        <v>1168</v>
      </c>
      <c r="AS38" s="91">
        <f t="shared" si="7"/>
        <v>0</v>
      </c>
      <c r="AT38" s="118"/>
      <c r="AU38" s="118"/>
      <c r="AV38" s="118"/>
    </row>
    <row r="39" spans="1:48" s="20" customFormat="1" x14ac:dyDescent="0.25">
      <c r="A39" s="17">
        <f>IFERROR(VLOOKUP(D39,'Monthly Deduction'!$I$3:$J$957,2,0),0)</f>
        <v>0</v>
      </c>
      <c r="B39" s="17">
        <f>IFERROR(VLOOKUP(D39,'Monthly Deduction'!$E$3:$F$957,2,0),0)</f>
        <v>0</v>
      </c>
      <c r="C39" s="17">
        <f t="shared" si="17"/>
        <v>0</v>
      </c>
      <c r="D39" s="41">
        <v>10020007</v>
      </c>
      <c r="E39" s="122" t="str">
        <f>VLOOKUP(D39,'MPG Payment '!$E$3:$G$498218,2,0)</f>
        <v>Gomukh ID Khutaha Ganga</v>
      </c>
      <c r="F39" s="146">
        <f>IFERROR(_xlfn.XLOOKUP(D39,'Monthly Deduction'!$I$3:$I$957,'Monthly Deduction'!$H$3:$H$957),0)</f>
        <v>0</v>
      </c>
      <c r="G39" s="123" t="str">
        <f>VLOOKUP(D39,'MPG Payment '!$E$3:$G$334579,3,0)</f>
        <v>vlc</v>
      </c>
      <c r="H39" s="124" t="str">
        <f>VLOOKUP(D39,'MPG Payment '!$E$3:$H$334579,4,0)</f>
        <v>Indirect</v>
      </c>
      <c r="I39" s="88">
        <f>INDEX('MPG Payment '!$C:$C,MATCH('Shayak Income '!D39,'MPG Payment '!E:E,0))</f>
        <v>1002</v>
      </c>
      <c r="J39" s="88" t="str">
        <f>INDEX('MPG Payment '!$D:$D,MATCH('Shayak Income '!D39,'MPG Payment '!E:E,0))</f>
        <v>Laldiyara</v>
      </c>
      <c r="K39" s="125" t="s">
        <v>1322</v>
      </c>
      <c r="L39" s="125">
        <v>42979</v>
      </c>
      <c r="M39" s="126">
        <f>SUMIF('MPG Payment '!$E$3:$E$34579,'Shayak Income '!D39,'MPG Payment '!$I$3:$I$34579)</f>
        <v>434.80000000000007</v>
      </c>
      <c r="N39" s="126">
        <f>SUMIF('MPG Payment '!$E$3:$E$34579,'Shayak Income '!D39,'MPG Payment '!$J$3:$J$34579)</f>
        <v>15655.311231999998</v>
      </c>
      <c r="O39" s="126">
        <f t="shared" si="9"/>
        <v>326.10000000000002</v>
      </c>
      <c r="P39" s="126">
        <f t="shared" si="10"/>
        <v>413.06000000000006</v>
      </c>
      <c r="Q39" s="126">
        <f>SUMIF('MPG Payment '!$E$3:$E$34579,'Shayak Income '!D39,'MPG Payment '!$S$3:$S$34579)</f>
        <v>0</v>
      </c>
      <c r="R39" s="126">
        <f t="shared" si="1"/>
        <v>469.65933695999991</v>
      </c>
      <c r="S39" s="126">
        <f t="shared" si="2"/>
        <v>56.599336959999846</v>
      </c>
      <c r="T39" s="126">
        <f t="shared" si="11"/>
        <v>43.480000000000011</v>
      </c>
      <c r="U39" s="127">
        <f>(((IF(K39="New",0,SUMIF('MPG Payment '!$E$3:$E$34579,'Shayak Income '!D39,'MPG Payment '!$AC$3:$AC$34579))))+0)+0</f>
        <v>680.95224615719917</v>
      </c>
      <c r="V39" s="127">
        <f t="shared" si="12"/>
        <v>15</v>
      </c>
      <c r="W39" s="19">
        <f t="shared" si="15"/>
        <v>0</v>
      </c>
      <c r="X39" s="19">
        <f t="shared" si="18"/>
        <v>0</v>
      </c>
      <c r="Y39" s="128">
        <f>IFERROR(VLOOKUP(D39,'Monthly Deduction'!$M$2:$N$64,2,0),0)</f>
        <v>0</v>
      </c>
      <c r="Z39" s="128">
        <v>0</v>
      </c>
      <c r="AA39" s="126">
        <f>IFERROR(VLOOKUP(D39,'Monthly Deduction'!A:B,2,0),0)</f>
        <v>0</v>
      </c>
      <c r="AB39" s="129">
        <f t="shared" si="3"/>
        <v>15</v>
      </c>
      <c r="AC39" s="130">
        <v>0</v>
      </c>
      <c r="AD39" s="35">
        <f t="shared" si="13"/>
        <v>15</v>
      </c>
      <c r="AE39" s="166" t="str">
        <f t="shared" si="14"/>
        <v>Release</v>
      </c>
      <c r="AF39" s="127"/>
      <c r="AG39" s="18">
        <v>0</v>
      </c>
      <c r="AH39" s="120"/>
      <c r="AI39" s="238">
        <v>0</v>
      </c>
      <c r="AJ39" s="132"/>
      <c r="AK39" s="151">
        <v>105.5</v>
      </c>
      <c r="AL39" s="154">
        <f t="shared" si="4"/>
        <v>0</v>
      </c>
      <c r="AM39" s="155"/>
      <c r="AN39" s="19">
        <f t="shared" si="5"/>
        <v>0</v>
      </c>
      <c r="AO39" s="118">
        <f>SUMIF('MPG Payment '!E:E,'Shayak Income '!D39,'MPG Payment '!AJ:AJ)</f>
        <v>0</v>
      </c>
      <c r="AP39" s="19">
        <f t="shared" si="6"/>
        <v>0</v>
      </c>
      <c r="AQ39" s="119">
        <f t="shared" si="16"/>
        <v>0</v>
      </c>
      <c r="AR39" s="91" t="s">
        <v>1168</v>
      </c>
      <c r="AS39" s="91">
        <f t="shared" si="7"/>
        <v>0</v>
      </c>
      <c r="AT39" s="118"/>
      <c r="AU39" s="118"/>
      <c r="AV39" s="118"/>
    </row>
    <row r="40" spans="1:48" s="20" customFormat="1" x14ac:dyDescent="0.25">
      <c r="A40" s="17">
        <f>IFERROR(VLOOKUP(D40,'Monthly Deduction'!$I$3:$J$957,2,0),0)</f>
        <v>0</v>
      </c>
      <c r="B40" s="17">
        <f>IFERROR(VLOOKUP(D40,'Monthly Deduction'!$E$3:$F$957,2,0),0)</f>
        <v>0</v>
      </c>
      <c r="C40" s="17">
        <f t="shared" si="17"/>
        <v>0</v>
      </c>
      <c r="D40" s="41">
        <v>10020008</v>
      </c>
      <c r="E40" s="122" t="str">
        <f>VLOOKUP(D40,'MPG Payment '!$E$3:$G$498218,2,0)</f>
        <v>Gomukh ID Khutaha Dhih</v>
      </c>
      <c r="F40" s="146">
        <f>IFERROR(_xlfn.XLOOKUP(D40,'Monthly Deduction'!$I$3:$I$957,'Monthly Deduction'!$H$3:$H$957),0)</f>
        <v>0</v>
      </c>
      <c r="G40" s="123" t="str">
        <f>VLOOKUP(D40,'MPG Payment '!$E$3:$G$334579,3,0)</f>
        <v>vlc</v>
      </c>
      <c r="H40" s="124" t="str">
        <f>VLOOKUP(D40,'MPG Payment '!$E$3:$H$334579,4,0)</f>
        <v>Indirect</v>
      </c>
      <c r="I40" s="88">
        <f>INDEX('MPG Payment '!$C:$C,MATCH('Shayak Income '!D40,'MPG Payment '!E:E,0))</f>
        <v>1002</v>
      </c>
      <c r="J40" s="88" t="str">
        <f>INDEX('MPG Payment '!$D:$D,MATCH('Shayak Income '!D40,'MPG Payment '!E:E,0))</f>
        <v>Laldiyara</v>
      </c>
      <c r="K40" s="125" t="s">
        <v>1322</v>
      </c>
      <c r="L40" s="125">
        <v>44161</v>
      </c>
      <c r="M40" s="126">
        <f>SUMIF('MPG Payment '!$E$3:$E$34579,'Shayak Income '!D40,'MPG Payment '!$I$3:$I$34579)</f>
        <v>4735.8999999999996</v>
      </c>
      <c r="N40" s="126">
        <f>SUMIF('MPG Payment '!$E$3:$E$34579,'Shayak Income '!D40,'MPG Payment '!$J$3:$J$34579)</f>
        <v>188026.56308790779</v>
      </c>
      <c r="O40" s="126">
        <f t="shared" si="9"/>
        <v>3551.9249999999997</v>
      </c>
      <c r="P40" s="126">
        <f t="shared" si="10"/>
        <v>4499.1049999999996</v>
      </c>
      <c r="Q40" s="126">
        <f>SUMIF('MPG Payment '!$E$3:$E$34579,'Shayak Income '!D40,'MPG Payment '!$S$3:$S$34579)</f>
        <v>0</v>
      </c>
      <c r="R40" s="126">
        <f t="shared" si="1"/>
        <v>5640.7968926372332</v>
      </c>
      <c r="S40" s="126">
        <f t="shared" si="2"/>
        <v>1141.6918926372337</v>
      </c>
      <c r="T40" s="126">
        <f t="shared" si="11"/>
        <v>473.59</v>
      </c>
      <c r="U40" s="127">
        <f>(((IF(K40="New",0,SUMIF('MPG Payment '!$E$3:$E$34579,'Shayak Income '!D40,'MPG Payment '!$AC$3:$AC$34579))))+0)+0</f>
        <v>146.06776058960435</v>
      </c>
      <c r="V40" s="127">
        <f t="shared" si="12"/>
        <v>7431</v>
      </c>
      <c r="W40" s="19">
        <f t="shared" si="15"/>
        <v>0</v>
      </c>
      <c r="X40" s="19">
        <f t="shared" si="18"/>
        <v>0</v>
      </c>
      <c r="Y40" s="128">
        <f>IFERROR(VLOOKUP(D40,'Monthly Deduction'!$M$2:$N$64,2,0),0)</f>
        <v>0</v>
      </c>
      <c r="Z40" s="128">
        <v>0</v>
      </c>
      <c r="AA40" s="126">
        <f>IFERROR(VLOOKUP(D40,'Monthly Deduction'!A:B,2,0),0)</f>
        <v>0</v>
      </c>
      <c r="AB40" s="129">
        <f t="shared" si="3"/>
        <v>7431</v>
      </c>
      <c r="AC40" s="130">
        <v>0</v>
      </c>
      <c r="AD40" s="35">
        <f t="shared" si="13"/>
        <v>7431</v>
      </c>
      <c r="AE40" s="166" t="str">
        <f t="shared" si="14"/>
        <v>Release</v>
      </c>
      <c r="AF40" s="127"/>
      <c r="AG40" s="18">
        <v>0</v>
      </c>
      <c r="AH40" s="132"/>
      <c r="AI40" s="238">
        <v>0</v>
      </c>
      <c r="AJ40" s="132"/>
      <c r="AK40" s="151">
        <v>1668.7</v>
      </c>
      <c r="AL40" s="154">
        <f t="shared" si="4"/>
        <v>0</v>
      </c>
      <c r="AM40" s="155"/>
      <c r="AN40" s="19">
        <f t="shared" si="5"/>
        <v>0</v>
      </c>
      <c r="AO40" s="118">
        <f>SUMIF('MPG Payment '!E:E,'Shayak Income '!D40,'MPG Payment '!AJ:AJ)</f>
        <v>0</v>
      </c>
      <c r="AP40" s="19">
        <f t="shared" si="6"/>
        <v>0</v>
      </c>
      <c r="AQ40" s="119">
        <f t="shared" si="16"/>
        <v>0</v>
      </c>
      <c r="AR40" s="91" t="s">
        <v>1168</v>
      </c>
      <c r="AS40" s="91">
        <f t="shared" si="7"/>
        <v>0</v>
      </c>
      <c r="AT40" s="118"/>
      <c r="AU40" s="118"/>
      <c r="AV40" s="118"/>
    </row>
    <row r="41" spans="1:48" s="20" customFormat="1" x14ac:dyDescent="0.25">
      <c r="A41" s="17">
        <f>IFERROR(VLOOKUP(D41,'Monthly Deduction'!$I$3:$J$957,2,0),0)</f>
        <v>0</v>
      </c>
      <c r="B41" s="17">
        <f>IFERROR(VLOOKUP(D41,'Monthly Deduction'!$E$3:$F$957,2,0),0)</f>
        <v>0</v>
      </c>
      <c r="C41" s="17">
        <f t="shared" si="17"/>
        <v>0</v>
      </c>
      <c r="D41" s="41">
        <v>10020012</v>
      </c>
      <c r="E41" s="122" t="str">
        <f>VLOOKUP(D41,'MPG Payment '!$E$3:$G$498218,2,0)</f>
        <v>KANHAIYA YADAV</v>
      </c>
      <c r="F41" s="146">
        <f>IFERROR(_xlfn.XLOOKUP(D41,'Monthly Deduction'!$I$3:$I$957,'Monthly Deduction'!$H$3:$H$957),0)</f>
        <v>0</v>
      </c>
      <c r="G41" s="123" t="str">
        <f>VLOOKUP(D41,'MPG Payment '!$E$3:$G$334579,3,0)</f>
        <v>vlc</v>
      </c>
      <c r="H41" s="124" t="str">
        <f>VLOOKUP(D41,'MPG Payment '!$E$3:$H$334579,4,0)</f>
        <v>Indirect</v>
      </c>
      <c r="I41" s="88">
        <f>INDEX('MPG Payment '!$C:$C,MATCH('Shayak Income '!D41,'MPG Payment '!E:E,0))</f>
        <v>1002</v>
      </c>
      <c r="J41" s="88" t="str">
        <f>INDEX('MPG Payment '!$D:$D,MATCH('Shayak Income '!D41,'MPG Payment '!E:E,0))</f>
        <v>Laldiyara</v>
      </c>
      <c r="K41" s="125" t="s">
        <v>1322</v>
      </c>
      <c r="L41" s="125">
        <v>44435</v>
      </c>
      <c r="M41" s="126">
        <f>SUMIF('MPG Payment '!$E$3:$E$34579,'Shayak Income '!D41,'MPG Payment '!$I$3:$I$34579)</f>
        <v>950</v>
      </c>
      <c r="N41" s="126">
        <f>SUMIF('MPG Payment '!$E$3:$E$34579,'Shayak Income '!D41,'MPG Payment '!$J$3:$J$34579)</f>
        <v>37678.904474520001</v>
      </c>
      <c r="O41" s="126">
        <f t="shared" si="9"/>
        <v>712.5</v>
      </c>
      <c r="P41" s="126">
        <f t="shared" si="10"/>
        <v>902.5</v>
      </c>
      <c r="Q41" s="126">
        <f>SUMIF('MPG Payment '!$E$3:$E$34579,'Shayak Income '!D41,'MPG Payment '!$S$3:$S$34579)</f>
        <v>0</v>
      </c>
      <c r="R41" s="126">
        <f t="shared" si="1"/>
        <v>1130.3671342355999</v>
      </c>
      <c r="S41" s="126">
        <f t="shared" si="2"/>
        <v>227.86713423559991</v>
      </c>
      <c r="T41" s="126">
        <f t="shared" si="11"/>
        <v>95</v>
      </c>
      <c r="U41" s="127">
        <f>(((IF(K41="New",0,SUMIF('MPG Payment '!$E$3:$E$34579,'Shayak Income '!D41,'MPG Payment '!$AC$3:$AC$34579))))+0)+0</f>
        <v>1464.094601735429</v>
      </c>
      <c r="V41" s="127">
        <f t="shared" si="12"/>
        <v>56</v>
      </c>
      <c r="W41" s="19">
        <f t="shared" si="15"/>
        <v>0</v>
      </c>
      <c r="X41" s="19">
        <f t="shared" ref="X41" si="20">((MIN(IF(B41&gt;0,MAX(N41*2%),0),B41)))+0</f>
        <v>0</v>
      </c>
      <c r="Y41" s="128">
        <f>IFERROR(VLOOKUP(D41,'Monthly Deduction'!$M$2:$N$64,2,0),0)</f>
        <v>0</v>
      </c>
      <c r="Z41" s="128">
        <v>0</v>
      </c>
      <c r="AA41" s="126">
        <f>IFERROR(VLOOKUP(D41,'Monthly Deduction'!A:B,2,0),0)</f>
        <v>0</v>
      </c>
      <c r="AB41" s="129">
        <f t="shared" si="3"/>
        <v>56</v>
      </c>
      <c r="AC41" s="130">
        <v>0</v>
      </c>
      <c r="AD41" s="35">
        <f t="shared" si="13"/>
        <v>56</v>
      </c>
      <c r="AE41" s="166" t="str">
        <f t="shared" si="14"/>
        <v>Release</v>
      </c>
      <c r="AF41" s="127"/>
      <c r="AG41" s="18">
        <v>0</v>
      </c>
      <c r="AH41" s="120"/>
      <c r="AI41" s="238">
        <v>0</v>
      </c>
      <c r="AJ41" s="132"/>
      <c r="AK41" s="151">
        <v>234.3</v>
      </c>
      <c r="AL41" s="154">
        <f t="shared" si="4"/>
        <v>0</v>
      </c>
      <c r="AM41" s="155"/>
      <c r="AN41" s="19">
        <f t="shared" si="5"/>
        <v>0</v>
      </c>
      <c r="AO41" s="118">
        <f>SUMIF('MPG Payment '!E:E,'Shayak Income '!D41,'MPG Payment '!AJ:AJ)</f>
        <v>0</v>
      </c>
      <c r="AP41" s="19">
        <f t="shared" si="6"/>
        <v>0</v>
      </c>
      <c r="AQ41" s="119">
        <f t="shared" si="16"/>
        <v>0</v>
      </c>
      <c r="AR41" s="91" t="s">
        <v>1168</v>
      </c>
      <c r="AS41" s="91">
        <f t="shared" si="7"/>
        <v>0</v>
      </c>
      <c r="AT41" s="118"/>
      <c r="AU41" s="118"/>
      <c r="AV41" s="118"/>
    </row>
    <row r="42" spans="1:48" s="20" customFormat="1" x14ac:dyDescent="0.25">
      <c r="A42" s="17">
        <f>IFERROR(VLOOKUP(D42,'Monthly Deduction'!$I$3:$J$957,2,0),0)</f>
        <v>0</v>
      </c>
      <c r="B42" s="17">
        <f>IFERROR(VLOOKUP(D42,'Monthly Deduction'!$E$3:$F$957,2,0),0)</f>
        <v>0</v>
      </c>
      <c r="C42" s="17">
        <f t="shared" si="17"/>
        <v>0</v>
      </c>
      <c r="D42" s="41">
        <v>10020015</v>
      </c>
      <c r="E42" s="122" t="str">
        <f>VLOOKUP(D42,'MPG Payment '!$E$3:$G$498218,2,0)</f>
        <v xml:space="preserve">GOMUKH  LALDIYARA TIRASHI                                                                           </v>
      </c>
      <c r="F42" s="146">
        <f>IFERROR(_xlfn.XLOOKUP(D42,'Monthly Deduction'!$I$3:$I$957,'Monthly Deduction'!$H$3:$H$957),0)</f>
        <v>0</v>
      </c>
      <c r="G42" s="123" t="str">
        <f>VLOOKUP(D42,'MPG Payment '!$E$3:$G$334579,3,0)</f>
        <v>vlc</v>
      </c>
      <c r="H42" s="124" t="str">
        <f>VLOOKUP(D42,'MPG Payment '!$E$3:$H$334579,4,0)</f>
        <v>Indirect</v>
      </c>
      <c r="I42" s="88">
        <f>INDEX('MPG Payment '!$C:$C,MATCH('Shayak Income '!D42,'MPG Payment '!E:E,0))</f>
        <v>1002</v>
      </c>
      <c r="J42" s="88" t="str">
        <f>INDEX('MPG Payment '!$D:$D,MATCH('Shayak Income '!D42,'MPG Payment '!E:E,0))</f>
        <v>Laldiyara</v>
      </c>
      <c r="K42" s="125" t="s">
        <v>1322</v>
      </c>
      <c r="L42" s="125">
        <v>44652</v>
      </c>
      <c r="M42" s="126">
        <f>SUMIF('MPG Payment '!$E$3:$E$34579,'Shayak Income '!D42,'MPG Payment '!$I$3:$I$34579)</f>
        <v>102855.9</v>
      </c>
      <c r="N42" s="126">
        <f>SUMIF('MPG Payment '!$E$3:$E$34579,'Shayak Income '!D42,'MPG Payment '!$J$3:$J$34579)</f>
        <v>4044117.9357179804</v>
      </c>
      <c r="O42" s="126">
        <f t="shared" si="9"/>
        <v>77141.924999999988</v>
      </c>
      <c r="P42" s="126">
        <f t="shared" si="10"/>
        <v>97713.104999999996</v>
      </c>
      <c r="Q42" s="126">
        <f>SUMIF('MPG Payment '!$E$3:$E$34579,'Shayak Income '!D42,'MPG Payment '!$S$3:$S$34579)</f>
        <v>0</v>
      </c>
      <c r="R42" s="126">
        <f t="shared" si="1"/>
        <v>121323.53807153941</v>
      </c>
      <c r="S42" s="126">
        <f t="shared" si="2"/>
        <v>23610.433071539417</v>
      </c>
      <c r="T42" s="126">
        <f t="shared" si="11"/>
        <v>10285.59</v>
      </c>
      <c r="U42" s="127">
        <f>(((IF(K42="New",0,SUMIF('MPG Payment '!$E$3:$E$34579,'Shayak Income '!D42,'MPG Payment '!$AC$3:$AC$34579))))+0)+0</f>
        <v>0</v>
      </c>
      <c r="V42" s="127">
        <f t="shared" si="12"/>
        <v>164569</v>
      </c>
      <c r="W42" s="19">
        <f t="shared" si="15"/>
        <v>0</v>
      </c>
      <c r="X42" s="19">
        <f t="shared" si="18"/>
        <v>0</v>
      </c>
      <c r="Y42" s="128">
        <f>IFERROR(VLOOKUP(D42,'Monthly Deduction'!$M$2:$N$64,2,0),0)</f>
        <v>0</v>
      </c>
      <c r="Z42" s="128">
        <v>0</v>
      </c>
      <c r="AA42" s="126">
        <f>IFERROR(VLOOKUP(D42,'Monthly Deduction'!A:B,2,0),0)</f>
        <v>0</v>
      </c>
      <c r="AB42" s="129">
        <f t="shared" si="3"/>
        <v>164569</v>
      </c>
      <c r="AC42" s="130">
        <v>0</v>
      </c>
      <c r="AD42" s="35">
        <f t="shared" si="13"/>
        <v>164569</v>
      </c>
      <c r="AE42" s="166" t="str">
        <f t="shared" si="14"/>
        <v>Release</v>
      </c>
      <c r="AF42" s="127"/>
      <c r="AG42" s="18">
        <v>0</v>
      </c>
      <c r="AH42" s="120"/>
      <c r="AI42" s="238">
        <v>0</v>
      </c>
      <c r="AJ42" s="132"/>
      <c r="AK42" s="151">
        <v>28618.2</v>
      </c>
      <c r="AL42" s="154">
        <f t="shared" si="4"/>
        <v>0</v>
      </c>
      <c r="AM42" s="155"/>
      <c r="AN42" s="19">
        <f t="shared" si="5"/>
        <v>0</v>
      </c>
      <c r="AO42" s="118">
        <f>SUMIF('MPG Payment '!E:E,'Shayak Income '!D42,'MPG Payment '!AJ:AJ)</f>
        <v>0</v>
      </c>
      <c r="AP42" s="19">
        <f t="shared" si="6"/>
        <v>0</v>
      </c>
      <c r="AQ42" s="119">
        <f t="shared" si="16"/>
        <v>0</v>
      </c>
      <c r="AR42" s="91" t="s">
        <v>1168</v>
      </c>
      <c r="AS42" s="91">
        <f t="shared" si="7"/>
        <v>0</v>
      </c>
      <c r="AT42" s="118"/>
      <c r="AU42" s="118"/>
      <c r="AV42" s="118"/>
    </row>
    <row r="43" spans="1:48" s="20" customFormat="1" x14ac:dyDescent="0.25">
      <c r="A43" s="17">
        <f>IFERROR(VLOOKUP(D43,'Monthly Deduction'!$I$3:$J$957,2,0),0)</f>
        <v>0</v>
      </c>
      <c r="B43" s="17">
        <f>IFERROR(VLOOKUP(D43,'Monthly Deduction'!$E$3:$F$957,2,0),0)</f>
        <v>0</v>
      </c>
      <c r="C43" s="17">
        <f t="shared" si="17"/>
        <v>0</v>
      </c>
      <c r="D43" s="41">
        <v>10020016</v>
      </c>
      <c r="E43" s="122" t="str">
        <f>VLOOKUP(D43,'MPG Payment '!$E$3:$G$498218,2,0)</f>
        <v>GOMUKH  LALDIYARA PURBI</v>
      </c>
      <c r="F43" s="146">
        <f>IFERROR(_xlfn.XLOOKUP(D43,'Monthly Deduction'!$I$3:$I$957,'Monthly Deduction'!$H$3:$H$957),0)</f>
        <v>0</v>
      </c>
      <c r="G43" s="123" t="str">
        <f>VLOOKUP(D43,'MPG Payment '!$E$3:$G$334579,3,0)</f>
        <v>vlc</v>
      </c>
      <c r="H43" s="124" t="str">
        <f>VLOOKUP(D43,'MPG Payment '!$E$3:$H$334579,4,0)</f>
        <v>Indirect</v>
      </c>
      <c r="I43" s="88">
        <f>INDEX('MPG Payment '!$C:$C,MATCH('Shayak Income '!D43,'MPG Payment '!E:E,0))</f>
        <v>1002</v>
      </c>
      <c r="J43" s="88" t="str">
        <f>INDEX('MPG Payment '!$D:$D,MATCH('Shayak Income '!D43,'MPG Payment '!E:E,0))</f>
        <v>Laldiyara</v>
      </c>
      <c r="K43" s="125" t="s">
        <v>1322</v>
      </c>
      <c r="L43" s="125">
        <v>44652</v>
      </c>
      <c r="M43" s="126">
        <f>SUMIF('MPG Payment '!$E$3:$E$34579,'Shayak Income '!D43,'MPG Payment '!$I$3:$I$34579)</f>
        <v>102504.9</v>
      </c>
      <c r="N43" s="126">
        <f>SUMIF('MPG Payment '!$E$3:$E$34579,'Shayak Income '!D43,'MPG Payment '!$J$3:$J$34579)</f>
        <v>4085618.2003672905</v>
      </c>
      <c r="O43" s="126">
        <f t="shared" si="9"/>
        <v>76878.674999999988</v>
      </c>
      <c r="P43" s="126">
        <f t="shared" si="10"/>
        <v>97379.654999999984</v>
      </c>
      <c r="Q43" s="126">
        <f>SUMIF('MPG Payment '!$E$3:$E$34579,'Shayak Income '!D43,'MPG Payment '!$S$3:$S$34579)</f>
        <v>0</v>
      </c>
      <c r="R43" s="126">
        <f t="shared" si="1"/>
        <v>122568.54601101871</v>
      </c>
      <c r="S43" s="126">
        <f t="shared" si="2"/>
        <v>25188.891011018728</v>
      </c>
      <c r="T43" s="126">
        <f t="shared" si="11"/>
        <v>10250.49</v>
      </c>
      <c r="U43" s="127">
        <f>(((IF(K43="New",0,SUMIF('MPG Payment '!$E$3:$E$34579,'Shayak Income '!D43,'MPG Payment '!$AC$3:$AC$34579))))+0)+0</f>
        <v>0</v>
      </c>
      <c r="V43" s="127">
        <f t="shared" si="12"/>
        <v>164008</v>
      </c>
      <c r="W43" s="19">
        <f t="shared" si="15"/>
        <v>0</v>
      </c>
      <c r="X43" s="19">
        <f t="shared" si="18"/>
        <v>0</v>
      </c>
      <c r="Y43" s="128">
        <f>IFERROR(VLOOKUP(D43,'Monthly Deduction'!$M$2:$N$64,2,0),0)</f>
        <v>0</v>
      </c>
      <c r="Z43" s="128">
        <v>0</v>
      </c>
      <c r="AA43" s="126">
        <f>IFERROR(VLOOKUP(D43,'Monthly Deduction'!A:B,2,0),0)</f>
        <v>0</v>
      </c>
      <c r="AB43" s="129">
        <f t="shared" si="3"/>
        <v>164008</v>
      </c>
      <c r="AC43" s="130">
        <v>0</v>
      </c>
      <c r="AD43" s="35">
        <f t="shared" si="13"/>
        <v>164008</v>
      </c>
      <c r="AE43" s="166" t="str">
        <f t="shared" si="14"/>
        <v>Release</v>
      </c>
      <c r="AF43" s="127"/>
      <c r="AG43" s="18">
        <v>0</v>
      </c>
      <c r="AH43" s="120"/>
      <c r="AI43" s="238">
        <v>0</v>
      </c>
      <c r="AJ43" s="132"/>
      <c r="AK43" s="151">
        <v>26534.3</v>
      </c>
      <c r="AL43" s="154">
        <f t="shared" si="4"/>
        <v>0</v>
      </c>
      <c r="AM43" s="155"/>
      <c r="AN43" s="19">
        <f t="shared" si="5"/>
        <v>0</v>
      </c>
      <c r="AO43" s="118">
        <f>SUMIF('MPG Payment '!E:E,'Shayak Income '!D43,'MPG Payment '!AJ:AJ)</f>
        <v>0</v>
      </c>
      <c r="AP43" s="19">
        <f t="shared" si="6"/>
        <v>0</v>
      </c>
      <c r="AQ43" s="119">
        <f t="shared" si="16"/>
        <v>0</v>
      </c>
      <c r="AR43" s="91" t="s">
        <v>1168</v>
      </c>
      <c r="AS43" s="91">
        <f t="shared" si="7"/>
        <v>0</v>
      </c>
      <c r="AT43" s="118"/>
      <c r="AU43" s="118"/>
      <c r="AV43" s="118"/>
    </row>
    <row r="44" spans="1:48" s="20" customFormat="1" x14ac:dyDescent="0.25">
      <c r="A44" s="17">
        <f>IFERROR(VLOOKUP(D44,'Monthly Deduction'!$I$3:$J$957,2,0),0)</f>
        <v>0</v>
      </c>
      <c r="B44" s="17">
        <f>IFERROR(VLOOKUP(D44,'Monthly Deduction'!$E$3:$F$957,2,0),0)</f>
        <v>0</v>
      </c>
      <c r="C44" s="17">
        <f t="shared" si="17"/>
        <v>0</v>
      </c>
      <c r="D44" s="41">
        <v>10020017</v>
      </c>
      <c r="E44" s="122" t="str">
        <f>VLOOKUP(D44,'MPG Payment '!$E$3:$G$498218,2,0)</f>
        <v>GOMUKH RAMCHANDARPUR II</v>
      </c>
      <c r="F44" s="146">
        <f>IFERROR(_xlfn.XLOOKUP(D44,'Monthly Deduction'!$I$3:$I$957,'Monthly Deduction'!$H$3:$H$957),0)</f>
        <v>0</v>
      </c>
      <c r="G44" s="123" t="str">
        <f>VLOOKUP(D44,'MPG Payment '!$E$3:$G$334579,3,0)</f>
        <v>MPG</v>
      </c>
      <c r="H44" s="124" t="str">
        <f>VLOOKUP(D44,'MPG Payment '!$E$3:$H$334579,4,0)</f>
        <v>Direct</v>
      </c>
      <c r="I44" s="88">
        <f>INDEX('MPG Payment '!$C:$C,MATCH('Shayak Income '!D44,'MPG Payment '!E:E,0))</f>
        <v>1002</v>
      </c>
      <c r="J44" s="88" t="str">
        <f>INDEX('MPG Payment '!$D:$D,MATCH('Shayak Income '!D44,'MPG Payment '!E:E,0))</f>
        <v>Laldiyara</v>
      </c>
      <c r="K44" s="125" t="s">
        <v>1322</v>
      </c>
      <c r="L44" s="125">
        <v>44652</v>
      </c>
      <c r="M44" s="126">
        <f>SUMIF('MPG Payment '!$E$3:$E$34579,'Shayak Income '!D44,'MPG Payment '!$I$3:$I$34579)</f>
        <v>15404.800000000001</v>
      </c>
      <c r="N44" s="126">
        <f>SUMIF('MPG Payment '!$E$3:$E$34579,'Shayak Income '!D44,'MPG Payment '!$J$3:$J$34579)</f>
        <v>645130.95585368096</v>
      </c>
      <c r="O44" s="126">
        <f t="shared" si="9"/>
        <v>11553.6</v>
      </c>
      <c r="P44" s="126">
        <f t="shared" si="10"/>
        <v>14634.56</v>
      </c>
      <c r="Q44" s="126">
        <f>SUMIF('MPG Payment '!$E$3:$E$34579,'Shayak Income '!D44,'MPG Payment '!$S$3:$S$34579)</f>
        <v>4745.9817901800006</v>
      </c>
      <c r="R44" s="126">
        <f t="shared" si="1"/>
        <v>19353.928675610427</v>
      </c>
      <c r="S44" s="126">
        <f t="shared" si="2"/>
        <v>4719.3686756104271</v>
      </c>
      <c r="T44" s="126">
        <f t="shared" si="11"/>
        <v>1540.4800000000002</v>
      </c>
      <c r="U44" s="127">
        <f>(((IF(K44="New",0,SUMIF('MPG Payment '!$E$3:$E$34579,'Shayak Income '!D44,'MPG Payment '!$AC$3:$AC$34579))))+0)+0</f>
        <v>0</v>
      </c>
      <c r="V44" s="127">
        <f t="shared" si="12"/>
        <v>29394</v>
      </c>
      <c r="W44" s="19">
        <f t="shared" si="15"/>
        <v>0</v>
      </c>
      <c r="X44" s="19">
        <f t="shared" si="18"/>
        <v>0</v>
      </c>
      <c r="Y44" s="128">
        <f>IFERROR(VLOOKUP(D44,'Monthly Deduction'!$M$2:$N$64,2,0),0)</f>
        <v>0</v>
      </c>
      <c r="Z44" s="128">
        <v>0</v>
      </c>
      <c r="AA44" s="126">
        <f>IFERROR(VLOOKUP(D44,'Monthly Deduction'!A:B,2,0),0)</f>
        <v>0</v>
      </c>
      <c r="AB44" s="129">
        <f t="shared" si="3"/>
        <v>29394</v>
      </c>
      <c r="AC44" s="130">
        <v>0</v>
      </c>
      <c r="AD44" s="35">
        <f t="shared" si="13"/>
        <v>29394</v>
      </c>
      <c r="AE44" s="166" t="str">
        <f t="shared" si="14"/>
        <v>Release</v>
      </c>
      <c r="AF44" s="127"/>
      <c r="AG44" s="18">
        <v>0</v>
      </c>
      <c r="AH44" s="120"/>
      <c r="AI44" s="238">
        <v>0</v>
      </c>
      <c r="AJ44" s="132"/>
      <c r="AK44" s="151">
        <v>4246.6000000000004</v>
      </c>
      <c r="AL44" s="154">
        <f t="shared" si="4"/>
        <v>0</v>
      </c>
      <c r="AM44" s="155"/>
      <c r="AN44" s="19">
        <f t="shared" si="5"/>
        <v>0</v>
      </c>
      <c r="AO44" s="118">
        <f>SUMIF('MPG Payment '!E:E,'Shayak Income '!D44,'MPG Payment '!AJ:AJ)</f>
        <v>0</v>
      </c>
      <c r="AP44" s="19">
        <f t="shared" si="6"/>
        <v>0</v>
      </c>
      <c r="AQ44" s="119">
        <f t="shared" si="16"/>
        <v>0</v>
      </c>
      <c r="AR44" s="91" t="s">
        <v>1168</v>
      </c>
      <c r="AS44" s="91">
        <f t="shared" si="7"/>
        <v>0</v>
      </c>
      <c r="AT44" s="118"/>
      <c r="AU44" s="118"/>
      <c r="AV44" s="118"/>
    </row>
    <row r="45" spans="1:48" s="20" customFormat="1" x14ac:dyDescent="0.25">
      <c r="A45" s="17">
        <f>IFERROR(VLOOKUP(D45,'Monthly Deduction'!$I$3:$J$957,2,0),0)</f>
        <v>0</v>
      </c>
      <c r="B45" s="17">
        <f>IFERROR(VLOOKUP(D45,'Monthly Deduction'!$E$3:$F$957,2,0),0)</f>
        <v>0</v>
      </c>
      <c r="C45" s="17">
        <f t="shared" si="17"/>
        <v>0</v>
      </c>
      <c r="D45" s="41">
        <v>10020021</v>
      </c>
      <c r="E45" s="122" t="str">
        <f>VLOOKUP(D45,'MPG Payment '!$E$3:$G$498218,2,0)</f>
        <v>MOHANPUR</v>
      </c>
      <c r="F45" s="146">
        <f>IFERROR(_xlfn.XLOOKUP(D45,'Monthly Deduction'!$I$3:$I$957,'Monthly Deduction'!$H$3:$H$957),0)</f>
        <v>0</v>
      </c>
      <c r="G45" s="123" t="str">
        <f>VLOOKUP(D45,'MPG Payment '!$E$3:$G$334579,3,0)</f>
        <v>MPG</v>
      </c>
      <c r="H45" s="124" t="str">
        <f>VLOOKUP(D45,'MPG Payment '!$E$3:$H$334579,4,0)</f>
        <v>Direct</v>
      </c>
      <c r="I45" s="88">
        <f>INDEX('MPG Payment '!$C:$C,MATCH('Shayak Income '!D45,'MPG Payment '!E:E,0))</f>
        <v>1002</v>
      </c>
      <c r="J45" s="88" t="str">
        <f>INDEX('MPG Payment '!$D:$D,MATCH('Shayak Income '!D45,'MPG Payment '!E:E,0))</f>
        <v>Laldiyara</v>
      </c>
      <c r="K45" s="125" t="s">
        <v>1322</v>
      </c>
      <c r="L45" s="125">
        <v>44694</v>
      </c>
      <c r="M45" s="126">
        <f>SUMIF('MPG Payment '!$E$3:$E$34579,'Shayak Income '!D45,'MPG Payment '!$I$3:$I$34579)</f>
        <v>16199.4</v>
      </c>
      <c r="N45" s="126">
        <f>SUMIF('MPG Payment '!$E$3:$E$34579,'Shayak Income '!D45,'MPG Payment '!$J$3:$J$34579)</f>
        <v>715575.84052482201</v>
      </c>
      <c r="O45" s="126">
        <f t="shared" si="9"/>
        <v>12149.55</v>
      </c>
      <c r="P45" s="126">
        <f t="shared" si="10"/>
        <v>15389.429999999998</v>
      </c>
      <c r="Q45" s="126">
        <f>SUMIF('MPG Payment '!$E$3:$E$34579,'Shayak Income '!D45,'MPG Payment '!$S$3:$S$34579)</f>
        <v>5954.2797766414014</v>
      </c>
      <c r="R45" s="126">
        <f t="shared" si="1"/>
        <v>21467.275215744659</v>
      </c>
      <c r="S45" s="126">
        <f t="shared" si="2"/>
        <v>6077.8452157446609</v>
      </c>
      <c r="T45" s="126">
        <f t="shared" si="11"/>
        <v>1619.94</v>
      </c>
      <c r="U45" s="127">
        <f>(((IF(K45="New",0,SUMIF('MPG Payment '!$E$3:$E$34579,'Shayak Income '!D45,'MPG Payment '!$AC$3:$AC$34579))))+0)+0</f>
        <v>0</v>
      </c>
      <c r="V45" s="127">
        <f t="shared" si="12"/>
        <v>31873</v>
      </c>
      <c r="W45" s="19">
        <f t="shared" si="15"/>
        <v>0</v>
      </c>
      <c r="X45" s="19">
        <f t="shared" si="18"/>
        <v>0</v>
      </c>
      <c r="Y45" s="128">
        <f>IFERROR(VLOOKUP(D45,'Monthly Deduction'!$M$2:$N$64,2,0),0)</f>
        <v>0</v>
      </c>
      <c r="Z45" s="128">
        <v>0</v>
      </c>
      <c r="AA45" s="126">
        <f>IFERROR(VLOOKUP(D45,'Monthly Deduction'!A:B,2,0),0)</f>
        <v>0</v>
      </c>
      <c r="AB45" s="129">
        <f t="shared" si="3"/>
        <v>31873</v>
      </c>
      <c r="AC45" s="130">
        <v>0</v>
      </c>
      <c r="AD45" s="35">
        <f t="shared" si="13"/>
        <v>31873</v>
      </c>
      <c r="AE45" s="166" t="str">
        <f t="shared" si="14"/>
        <v>Release</v>
      </c>
      <c r="AF45" s="127"/>
      <c r="AG45" s="18">
        <v>0</v>
      </c>
      <c r="AH45" s="120"/>
      <c r="AI45" s="238">
        <v>0</v>
      </c>
      <c r="AJ45" s="132"/>
      <c r="AK45" s="151">
        <v>5236.2000000000007</v>
      </c>
      <c r="AL45" s="154">
        <f t="shared" si="4"/>
        <v>0</v>
      </c>
      <c r="AM45" s="155"/>
      <c r="AN45" s="19">
        <f t="shared" si="5"/>
        <v>0</v>
      </c>
      <c r="AO45" s="118">
        <f>SUMIF('MPG Payment '!E:E,'Shayak Income '!D45,'MPG Payment '!AJ:AJ)</f>
        <v>0</v>
      </c>
      <c r="AP45" s="19">
        <f t="shared" si="6"/>
        <v>0</v>
      </c>
      <c r="AQ45" s="119">
        <f t="shared" si="16"/>
        <v>0</v>
      </c>
      <c r="AR45" s="91" t="s">
        <v>1168</v>
      </c>
      <c r="AS45" s="91">
        <f t="shared" si="7"/>
        <v>0</v>
      </c>
      <c r="AT45" s="118"/>
      <c r="AU45" s="118"/>
      <c r="AV45" s="118"/>
    </row>
    <row r="46" spans="1:48" s="20" customFormat="1" x14ac:dyDescent="0.25">
      <c r="A46" s="17">
        <f>IFERROR(VLOOKUP(D46,'Monthly Deduction'!$I$3:$J$957,2,0),0)</f>
        <v>0</v>
      </c>
      <c r="B46" s="17">
        <f>IFERROR(VLOOKUP(D46,'Monthly Deduction'!$E$3:$F$957,2,0),0)</f>
        <v>0</v>
      </c>
      <c r="C46" s="17">
        <f t="shared" si="17"/>
        <v>0</v>
      </c>
      <c r="D46" s="41">
        <v>10020023</v>
      </c>
      <c r="E46" s="122" t="str">
        <f>VLOOKUP(D46,'MPG Payment '!$E$3:$G$498218,2,0)</f>
        <v>Juwas</v>
      </c>
      <c r="F46" s="146">
        <f>IFERROR(_xlfn.XLOOKUP(D46,'Monthly Deduction'!$I$3:$I$957,'Monthly Deduction'!$H$3:$H$957),0)</f>
        <v>0</v>
      </c>
      <c r="G46" s="123" t="str">
        <f>VLOOKUP(D46,'MPG Payment '!$E$3:$G$334579,3,0)</f>
        <v>MPG</v>
      </c>
      <c r="H46" s="124" t="str">
        <f>VLOOKUP(D46,'MPG Payment '!$E$3:$H$334579,4,0)</f>
        <v>Direct</v>
      </c>
      <c r="I46" s="88">
        <f>INDEX('MPG Payment '!$C:$C,MATCH('Shayak Income '!D46,'MPG Payment '!E:E,0))</f>
        <v>1002</v>
      </c>
      <c r="J46" s="88" t="str">
        <f>INDEX('MPG Payment '!$D:$D,MATCH('Shayak Income '!D46,'MPG Payment '!E:E,0))</f>
        <v>Laldiyara</v>
      </c>
      <c r="K46" s="125" t="s">
        <v>1322</v>
      </c>
      <c r="L46" s="125">
        <v>44779</v>
      </c>
      <c r="M46" s="126">
        <f>SUMIF('MPG Payment '!$E$3:$E$34579,'Shayak Income '!D46,'MPG Payment '!$I$3:$I$34579)</f>
        <v>3662.6000000000004</v>
      </c>
      <c r="N46" s="126">
        <f>SUMIF('MPG Payment '!$E$3:$E$34579,'Shayak Income '!D46,'MPG Payment '!$J$3:$J$34579)</f>
        <v>138695.29593261</v>
      </c>
      <c r="O46" s="126">
        <f t="shared" si="9"/>
        <v>2746.9500000000003</v>
      </c>
      <c r="P46" s="126">
        <f t="shared" si="10"/>
        <v>3479.4700000000003</v>
      </c>
      <c r="Q46" s="126">
        <f>SUMIF('MPG Payment '!$E$3:$E$34579,'Shayak Income '!D46,'MPG Payment '!$S$3:$S$34579)</f>
        <v>1315.158102543</v>
      </c>
      <c r="R46" s="126">
        <f t="shared" si="1"/>
        <v>4160.8588779782995</v>
      </c>
      <c r="S46" s="126">
        <f t="shared" si="2"/>
        <v>681.38887797829921</v>
      </c>
      <c r="T46" s="126">
        <f t="shared" si="11"/>
        <v>366.26000000000005</v>
      </c>
      <c r="U46" s="127">
        <f>(((IF(K46="New",0,SUMIF('MPG Payment '!$E$3:$E$34579,'Shayak Income '!D46,'MPG Payment '!$AC$3:$AC$34579))))+0)+0</f>
        <v>0</v>
      </c>
      <c r="V46" s="127">
        <f t="shared" si="12"/>
        <v>7175</v>
      </c>
      <c r="W46" s="19">
        <f t="shared" si="15"/>
        <v>0</v>
      </c>
      <c r="X46" s="19">
        <f t="shared" si="18"/>
        <v>0</v>
      </c>
      <c r="Y46" s="128">
        <f>IFERROR(VLOOKUP(D46,'Monthly Deduction'!$M$2:$N$64,2,0),0)</f>
        <v>0</v>
      </c>
      <c r="Z46" s="128">
        <v>0</v>
      </c>
      <c r="AA46" s="126">
        <f>IFERROR(VLOOKUP(D46,'Monthly Deduction'!A:B,2,0),0)</f>
        <v>0</v>
      </c>
      <c r="AB46" s="129">
        <f t="shared" si="3"/>
        <v>7175</v>
      </c>
      <c r="AC46" s="130">
        <v>0</v>
      </c>
      <c r="AD46" s="35">
        <f t="shared" si="13"/>
        <v>7175</v>
      </c>
      <c r="AE46" s="166" t="str">
        <f t="shared" si="14"/>
        <v>Release</v>
      </c>
      <c r="AF46" s="127"/>
      <c r="AG46" s="18">
        <v>0</v>
      </c>
      <c r="AH46" s="120"/>
      <c r="AI46" s="238">
        <v>0</v>
      </c>
      <c r="AJ46" s="132"/>
      <c r="AK46" s="151">
        <v>991.80000000000007</v>
      </c>
      <c r="AL46" s="154">
        <f t="shared" si="4"/>
        <v>0</v>
      </c>
      <c r="AM46" s="155"/>
      <c r="AN46" s="19">
        <f t="shared" si="5"/>
        <v>0</v>
      </c>
      <c r="AO46" s="118">
        <f>SUMIF('MPG Payment '!E:E,'Shayak Income '!D46,'MPG Payment '!AJ:AJ)</f>
        <v>0</v>
      </c>
      <c r="AP46" s="19">
        <f t="shared" si="6"/>
        <v>0</v>
      </c>
      <c r="AQ46" s="119">
        <f t="shared" si="16"/>
        <v>0</v>
      </c>
      <c r="AR46" s="91" t="s">
        <v>1168</v>
      </c>
      <c r="AS46" s="91">
        <f t="shared" si="7"/>
        <v>0</v>
      </c>
      <c r="AT46" s="118"/>
      <c r="AU46" s="118"/>
      <c r="AV46" s="118"/>
    </row>
    <row r="47" spans="1:48" s="20" customFormat="1" x14ac:dyDescent="0.25">
      <c r="A47" s="17">
        <f>IFERROR(VLOOKUP(D47,'Monthly Deduction'!$I$3:$J$957,2,0),0)</f>
        <v>0</v>
      </c>
      <c r="B47" s="17">
        <f>IFERROR(VLOOKUP(D47,'Monthly Deduction'!$E$3:$F$957,2,0),0)</f>
        <v>0</v>
      </c>
      <c r="C47" s="17">
        <f t="shared" si="17"/>
        <v>0</v>
      </c>
      <c r="D47" s="41">
        <v>10020024</v>
      </c>
      <c r="E47" s="122" t="str">
        <f>VLOOKUP(D47,'MPG Payment '!$E$3:$G$498218,2,0)</f>
        <v>Morwariya</v>
      </c>
      <c r="F47" s="146">
        <f>IFERROR(_xlfn.XLOOKUP(D47,'Monthly Deduction'!$I$3:$I$957,'Monthly Deduction'!$H$3:$H$957),0)</f>
        <v>0</v>
      </c>
      <c r="G47" s="123" t="str">
        <f>VLOOKUP(D47,'MPG Payment '!$E$3:$G$334579,3,0)</f>
        <v>MPG</v>
      </c>
      <c r="H47" s="124" t="str">
        <f>VLOOKUP(D47,'MPG Payment '!$E$3:$H$334579,4,0)</f>
        <v>Direct</v>
      </c>
      <c r="I47" s="88">
        <f>INDEX('MPG Payment '!$C:$C,MATCH('Shayak Income '!D47,'MPG Payment '!E:E,0))</f>
        <v>1002</v>
      </c>
      <c r="J47" s="88" t="str">
        <f>INDEX('MPG Payment '!$D:$D,MATCH('Shayak Income '!D47,'MPG Payment '!E:E,0))</f>
        <v>Laldiyara</v>
      </c>
      <c r="K47" s="125" t="s">
        <v>1322</v>
      </c>
      <c r="L47" s="125">
        <v>44801</v>
      </c>
      <c r="M47" s="126">
        <f>SUMIF('MPG Payment '!$E$3:$E$34579,'Shayak Income '!D47,'MPG Payment '!$I$3:$I$34579)</f>
        <v>13043.699999999999</v>
      </c>
      <c r="N47" s="126">
        <f>SUMIF('MPG Payment '!$E$3:$E$34579,'Shayak Income '!D47,'MPG Payment '!$J$3:$J$34579)</f>
        <v>519562.73282638227</v>
      </c>
      <c r="O47" s="126">
        <f t="shared" si="9"/>
        <v>9782.7749999999996</v>
      </c>
      <c r="P47" s="126">
        <f t="shared" si="10"/>
        <v>12391.514999999998</v>
      </c>
      <c r="Q47" s="126">
        <f>SUMIF('MPG Payment '!$E$3:$E$34579,'Shayak Income '!D47,'MPG Payment '!$S$3:$S$34579)</f>
        <v>0</v>
      </c>
      <c r="R47" s="126">
        <f t="shared" si="1"/>
        <v>15586.881984791467</v>
      </c>
      <c r="S47" s="126">
        <f t="shared" si="2"/>
        <v>3195.3669847914698</v>
      </c>
      <c r="T47" s="126">
        <f t="shared" si="11"/>
        <v>1304.3699999999999</v>
      </c>
      <c r="U47" s="127">
        <f>(((IF(K47="New",0,SUMIF('MPG Payment '!$E$3:$E$34579,'Shayak Income '!D47,'MPG Payment '!$AC$3:$AC$34579))))+0)+0</f>
        <v>0</v>
      </c>
      <c r="V47" s="127">
        <f t="shared" si="12"/>
        <v>20870</v>
      </c>
      <c r="W47" s="19">
        <f t="shared" si="15"/>
        <v>0</v>
      </c>
      <c r="X47" s="19">
        <f t="shared" si="18"/>
        <v>0</v>
      </c>
      <c r="Y47" s="128">
        <f>IFERROR(VLOOKUP(D47,'Monthly Deduction'!$M$2:$N$64,2,0),0)</f>
        <v>0</v>
      </c>
      <c r="Z47" s="128">
        <v>0</v>
      </c>
      <c r="AA47" s="126">
        <f>IFERROR(VLOOKUP(D47,'Monthly Deduction'!A:B,2,0),0)</f>
        <v>0</v>
      </c>
      <c r="AB47" s="129">
        <f t="shared" si="3"/>
        <v>20870</v>
      </c>
      <c r="AC47" s="130">
        <v>0</v>
      </c>
      <c r="AD47" s="35">
        <f t="shared" si="13"/>
        <v>20870</v>
      </c>
      <c r="AE47" s="166" t="str">
        <f t="shared" si="14"/>
        <v>Release</v>
      </c>
      <c r="AF47" s="127"/>
      <c r="AG47" s="127">
        <v>0</v>
      </c>
      <c r="AH47" s="120"/>
      <c r="AI47" s="238">
        <v>0</v>
      </c>
      <c r="AJ47" s="132"/>
      <c r="AK47" s="151">
        <v>3029.4999999999995</v>
      </c>
      <c r="AL47" s="154">
        <f t="shared" si="4"/>
        <v>0</v>
      </c>
      <c r="AM47" s="155"/>
      <c r="AN47" s="19">
        <f t="shared" si="5"/>
        <v>0</v>
      </c>
      <c r="AO47" s="118">
        <f>SUMIF('MPG Payment '!E:E,'Shayak Income '!D47,'MPG Payment '!AJ:AJ)</f>
        <v>0</v>
      </c>
      <c r="AP47" s="19">
        <f t="shared" si="6"/>
        <v>0</v>
      </c>
      <c r="AQ47" s="119">
        <f t="shared" si="16"/>
        <v>0</v>
      </c>
      <c r="AR47" s="91" t="s">
        <v>1168</v>
      </c>
      <c r="AS47" s="91">
        <f t="shared" si="7"/>
        <v>0</v>
      </c>
      <c r="AT47" s="118"/>
      <c r="AU47" s="118"/>
      <c r="AV47" s="118"/>
    </row>
    <row r="48" spans="1:48" s="20" customFormat="1" x14ac:dyDescent="0.25">
      <c r="A48" s="17">
        <f>IFERROR(VLOOKUP(D48,'Monthly Deduction'!$I$3:$J$957,2,0),0)</f>
        <v>0</v>
      </c>
      <c r="B48" s="17">
        <f>IFERROR(VLOOKUP(D48,'Monthly Deduction'!$E$3:$F$957,2,0),0)</f>
        <v>0</v>
      </c>
      <c r="C48" s="17">
        <f t="shared" si="17"/>
        <v>0</v>
      </c>
      <c r="D48" s="41">
        <v>10020025</v>
      </c>
      <c r="E48" s="122" t="str">
        <f>VLOOKUP(D48,'MPG Payment '!$E$3:$G$498218,2,0)</f>
        <v>Dumri 2</v>
      </c>
      <c r="F48" s="146">
        <f>IFERROR(_xlfn.XLOOKUP(D48,'Monthly Deduction'!$I$3:$I$957,'Monthly Deduction'!$H$3:$H$957),0)</f>
        <v>0</v>
      </c>
      <c r="G48" s="123" t="str">
        <f>VLOOKUP(D48,'MPG Payment '!$E$3:$G$334579,3,0)</f>
        <v>MPG</v>
      </c>
      <c r="H48" s="124" t="str">
        <f>VLOOKUP(D48,'MPG Payment '!$E$3:$H$334579,4,0)</f>
        <v>Direct</v>
      </c>
      <c r="I48" s="88">
        <f>INDEX('MPG Payment '!$C:$C,MATCH('Shayak Income '!D48,'MPG Payment '!E:E,0))</f>
        <v>1002</v>
      </c>
      <c r="J48" s="88" t="str">
        <f>INDEX('MPG Payment '!$D:$D,MATCH('Shayak Income '!D48,'MPG Payment '!E:E,0))</f>
        <v>Laldiyara</v>
      </c>
      <c r="K48" s="125" t="s">
        <v>1322</v>
      </c>
      <c r="L48" s="125">
        <v>44866</v>
      </c>
      <c r="M48" s="126">
        <f>SUMIF('MPG Payment '!$E$3:$E$34579,'Shayak Income '!D48,'MPG Payment '!$I$3:$I$34579)</f>
        <v>3683</v>
      </c>
      <c r="N48" s="126">
        <f>SUMIF('MPG Payment '!$E$3:$E$34579,'Shayak Income '!D48,'MPG Payment '!$J$3:$J$34579)</f>
        <v>140205.46161827</v>
      </c>
      <c r="O48" s="126">
        <f t="shared" si="9"/>
        <v>2762.25</v>
      </c>
      <c r="P48" s="126">
        <f t="shared" si="10"/>
        <v>3498.85</v>
      </c>
      <c r="Q48" s="126">
        <f>SUMIF('MPG Payment '!$E$3:$E$34579,'Shayak Income '!D48,'MPG Payment '!$S$3:$S$34579)</f>
        <v>1339.4604917850002</v>
      </c>
      <c r="R48" s="126">
        <f t="shared" si="1"/>
        <v>4206.1638485480998</v>
      </c>
      <c r="S48" s="126">
        <f t="shared" si="2"/>
        <v>707.31384854809994</v>
      </c>
      <c r="T48" s="126">
        <f t="shared" si="11"/>
        <v>368.3</v>
      </c>
      <c r="U48" s="127">
        <f>(((IF(K48="New",0,SUMIF('MPG Payment '!$E$3:$E$34579,'Shayak Income '!D48,'MPG Payment '!$AC$3:$AC$34579))))+0)+0</f>
        <v>0</v>
      </c>
      <c r="V48" s="127">
        <f t="shared" si="12"/>
        <v>7232</v>
      </c>
      <c r="W48" s="19">
        <f t="shared" si="15"/>
        <v>0</v>
      </c>
      <c r="X48" s="19">
        <f t="shared" si="18"/>
        <v>0</v>
      </c>
      <c r="Y48" s="128">
        <f>IFERROR(VLOOKUP(D48,'Monthly Deduction'!$M$2:$N$64,2,0),0)</f>
        <v>0</v>
      </c>
      <c r="Z48" s="128">
        <v>0</v>
      </c>
      <c r="AA48" s="126">
        <f>IFERROR(VLOOKUP(D48,'Monthly Deduction'!A:B,2,0),0)</f>
        <v>0</v>
      </c>
      <c r="AB48" s="129">
        <f t="shared" si="3"/>
        <v>7232</v>
      </c>
      <c r="AC48" s="130">
        <v>0</v>
      </c>
      <c r="AD48" s="35">
        <f t="shared" si="13"/>
        <v>7232</v>
      </c>
      <c r="AE48" s="166" t="str">
        <f t="shared" si="14"/>
        <v>Release</v>
      </c>
      <c r="AF48" s="127"/>
      <c r="AG48" s="18">
        <v>0</v>
      </c>
      <c r="AH48" s="120"/>
      <c r="AI48" s="238">
        <v>0</v>
      </c>
      <c r="AJ48" s="132"/>
      <c r="AK48" s="151">
        <v>914.5</v>
      </c>
      <c r="AL48" s="154">
        <f t="shared" si="4"/>
        <v>0</v>
      </c>
      <c r="AM48" s="155"/>
      <c r="AN48" s="19">
        <f t="shared" si="5"/>
        <v>0</v>
      </c>
      <c r="AO48" s="118">
        <f>SUMIF('MPG Payment '!E:E,'Shayak Income '!D48,'MPG Payment '!AJ:AJ)</f>
        <v>0</v>
      </c>
      <c r="AP48" s="19">
        <f t="shared" si="6"/>
        <v>0</v>
      </c>
      <c r="AQ48" s="119">
        <f t="shared" si="16"/>
        <v>0</v>
      </c>
      <c r="AR48" s="91" t="s">
        <v>1168</v>
      </c>
      <c r="AS48" s="91">
        <f t="shared" si="7"/>
        <v>0</v>
      </c>
      <c r="AT48" s="118"/>
      <c r="AU48" s="118"/>
      <c r="AV48" s="118"/>
    </row>
    <row r="49" spans="1:48" s="20" customFormat="1" x14ac:dyDescent="0.25">
      <c r="A49" s="17">
        <f>IFERROR(VLOOKUP(D49,'Monthly Deduction'!$I$3:$J$957,2,0),0)</f>
        <v>0</v>
      </c>
      <c r="B49" s="17">
        <f>IFERROR(VLOOKUP(D49,'Monthly Deduction'!$E$3:$F$957,2,0),0)</f>
        <v>0</v>
      </c>
      <c r="C49" s="17">
        <f t="shared" si="17"/>
        <v>0</v>
      </c>
      <c r="D49" s="41">
        <v>10020026</v>
      </c>
      <c r="E49" s="122" t="str">
        <f>VLOOKUP(D49,'MPG Payment '!$E$3:$G$498218,2,0)</f>
        <v>Gomukh Jhakhaur</v>
      </c>
      <c r="F49" s="146">
        <f>IFERROR(_xlfn.XLOOKUP(D49,'Monthly Deduction'!$I$3:$I$957,'Monthly Deduction'!$H$3:$H$957),0)</f>
        <v>0</v>
      </c>
      <c r="G49" s="123" t="str">
        <f>VLOOKUP(D49,'MPG Payment '!$E$3:$G$334579,3,0)</f>
        <v>MPG</v>
      </c>
      <c r="H49" s="124" t="str">
        <f>VLOOKUP(D49,'MPG Payment '!$E$3:$H$334579,4,0)</f>
        <v>Direct</v>
      </c>
      <c r="I49" s="88">
        <f>INDEX('MPG Payment '!$C:$C,MATCH('Shayak Income '!D49,'MPG Payment '!E:E,0))</f>
        <v>1002</v>
      </c>
      <c r="J49" s="88" t="str">
        <f>INDEX('MPG Payment '!$D:$D,MATCH('Shayak Income '!D49,'MPG Payment '!E:E,0))</f>
        <v>Laldiyara</v>
      </c>
      <c r="K49" s="125" t="s">
        <v>1322</v>
      </c>
      <c r="L49" s="125">
        <v>44866</v>
      </c>
      <c r="M49" s="126">
        <f>SUMIF('MPG Payment '!$E$3:$E$34579,'Shayak Income '!D49,'MPG Payment '!$I$3:$I$34579)</f>
        <v>2735.8999999999996</v>
      </c>
      <c r="N49" s="126">
        <f>SUMIF('MPG Payment '!$E$3:$E$34579,'Shayak Income '!D49,'MPG Payment '!$J$3:$J$34579)</f>
        <v>111813.44199517</v>
      </c>
      <c r="O49" s="126">
        <f t="shared" si="9"/>
        <v>2051.9249999999997</v>
      </c>
      <c r="P49" s="126">
        <f t="shared" si="10"/>
        <v>2599.1049999999996</v>
      </c>
      <c r="Q49" s="126">
        <f>SUMIF('MPG Payment '!$E$3:$E$34579,'Shayak Income '!D49,'MPG Payment '!$S$3:$S$34579)</f>
        <v>247.01509254990006</v>
      </c>
      <c r="R49" s="126">
        <f t="shared" si="1"/>
        <v>3354.4032598550998</v>
      </c>
      <c r="S49" s="126">
        <f t="shared" si="2"/>
        <v>755.29825985510024</v>
      </c>
      <c r="T49" s="126">
        <f t="shared" si="11"/>
        <v>273.58999999999997</v>
      </c>
      <c r="U49" s="127">
        <f>(((IF(K49="New",0,SUMIF('MPG Payment '!$E$3:$E$34579,'Shayak Income '!D49,'MPG Payment '!$AC$3:$AC$34579))))+0)+0</f>
        <v>116.12808390978228</v>
      </c>
      <c r="V49" s="127">
        <f t="shared" si="12"/>
        <v>4508</v>
      </c>
      <c r="W49" s="19">
        <f t="shared" si="15"/>
        <v>0</v>
      </c>
      <c r="X49" s="19">
        <f t="shared" si="18"/>
        <v>0</v>
      </c>
      <c r="Y49" s="128">
        <f>IFERROR(VLOOKUP(D49,'Monthly Deduction'!$M$2:$N$64,2,0),0)</f>
        <v>0</v>
      </c>
      <c r="Z49" s="128">
        <v>0</v>
      </c>
      <c r="AA49" s="126">
        <f>IFERROR(VLOOKUP(D49,'Monthly Deduction'!A:B,2,0),0)</f>
        <v>0</v>
      </c>
      <c r="AB49" s="129">
        <f t="shared" si="3"/>
        <v>4508</v>
      </c>
      <c r="AC49" s="130">
        <v>0</v>
      </c>
      <c r="AD49" s="35">
        <f t="shared" si="13"/>
        <v>4508</v>
      </c>
      <c r="AE49" s="166" t="str">
        <f t="shared" si="14"/>
        <v>Release</v>
      </c>
      <c r="AF49" s="127"/>
      <c r="AG49" s="18">
        <v>0</v>
      </c>
      <c r="AH49" s="120"/>
      <c r="AI49" s="238">
        <v>0</v>
      </c>
      <c r="AJ49" s="132"/>
      <c r="AK49" s="151">
        <v>576.49999999999989</v>
      </c>
      <c r="AL49" s="154">
        <f t="shared" si="4"/>
        <v>0</v>
      </c>
      <c r="AM49" s="155"/>
      <c r="AN49" s="19">
        <f t="shared" si="5"/>
        <v>0</v>
      </c>
      <c r="AO49" s="118">
        <f>SUMIF('MPG Payment '!E:E,'Shayak Income '!D49,'MPG Payment '!AJ:AJ)</f>
        <v>0</v>
      </c>
      <c r="AP49" s="19">
        <f t="shared" si="6"/>
        <v>0</v>
      </c>
      <c r="AQ49" s="119">
        <f t="shared" si="16"/>
        <v>0</v>
      </c>
      <c r="AR49" s="91" t="s">
        <v>1168</v>
      </c>
      <c r="AS49" s="91">
        <f t="shared" si="7"/>
        <v>0</v>
      </c>
      <c r="AT49" s="118"/>
      <c r="AU49" s="118"/>
      <c r="AV49" s="118"/>
    </row>
    <row r="50" spans="1:48" s="20" customFormat="1" x14ac:dyDescent="0.25">
      <c r="A50" s="17">
        <f>IFERROR(VLOOKUP(D50,'Monthly Deduction'!$I$3:$J$957,2,0),0)</f>
        <v>0</v>
      </c>
      <c r="B50" s="17">
        <f>IFERROR(VLOOKUP(D50,'Monthly Deduction'!$E$3:$F$957,2,0),0)</f>
        <v>0</v>
      </c>
      <c r="C50" s="17">
        <f t="shared" si="17"/>
        <v>0</v>
      </c>
      <c r="D50" s="41">
        <v>10020029</v>
      </c>
      <c r="E50" s="122" t="str">
        <f>VLOOKUP(D50,'MPG Payment '!$E$3:$G$498218,2,0)</f>
        <v>Gomukh Virupur</v>
      </c>
      <c r="F50" s="146">
        <f>IFERROR(_xlfn.XLOOKUP(D50,'Monthly Deduction'!$I$3:$I$957,'Monthly Deduction'!$H$3:$H$957),0)</f>
        <v>0</v>
      </c>
      <c r="G50" s="123" t="str">
        <f>VLOOKUP(D50,'MPG Payment '!$E$3:$G$334579,3,0)</f>
        <v>MPG</v>
      </c>
      <c r="H50" s="124" t="str">
        <f>VLOOKUP(D50,'MPG Payment '!$E$3:$H$334579,4,0)</f>
        <v>Direct</v>
      </c>
      <c r="I50" s="88">
        <f>INDEX('MPG Payment '!$C:$C,MATCH('Shayak Income '!D50,'MPG Payment '!E:E,0))</f>
        <v>1002</v>
      </c>
      <c r="J50" s="88" t="str">
        <f>INDEX('MPG Payment '!$D:$D,MATCH('Shayak Income '!D50,'MPG Payment '!E:E,0))</f>
        <v>Laldiyara</v>
      </c>
      <c r="K50" s="125" t="s">
        <v>1322</v>
      </c>
      <c r="L50" s="125">
        <v>44899</v>
      </c>
      <c r="M50" s="126">
        <f>SUMIF('MPG Payment '!$E$3:$E$34579,'Shayak Income '!D50,'MPG Payment '!$I$3:$I$34579)</f>
        <v>1406.2</v>
      </c>
      <c r="N50" s="126">
        <f>SUMIF('MPG Payment '!$E$3:$E$34579,'Shayak Income '!D50,'MPG Payment '!$J$3:$J$34579)</f>
        <v>55439.124157250008</v>
      </c>
      <c r="O50" s="126">
        <f t="shared" si="9"/>
        <v>1054.6500000000001</v>
      </c>
      <c r="P50" s="126">
        <f t="shared" si="10"/>
        <v>1335.8899999999999</v>
      </c>
      <c r="Q50" s="126">
        <f>SUMIF('MPG Payment '!$E$3:$E$34579,'Shayak Income '!D50,'MPG Payment '!$S$3:$S$34579)</f>
        <v>374.02998051000009</v>
      </c>
      <c r="R50" s="126">
        <f t="shared" si="1"/>
        <v>1663.1737247175001</v>
      </c>
      <c r="S50" s="126">
        <f t="shared" si="2"/>
        <v>327.28372471750026</v>
      </c>
      <c r="T50" s="126">
        <f t="shared" si="11"/>
        <v>140.62</v>
      </c>
      <c r="U50" s="127">
        <f>(((IF(K50="New",0,SUMIF('MPG Payment '!$E$3:$E$34579,'Shayak Income '!D50,'MPG Payment '!$AC$3:$AC$34579))))+0)+0</f>
        <v>1099.4031902282588</v>
      </c>
      <c r="V50" s="127">
        <f t="shared" si="12"/>
        <v>1525</v>
      </c>
      <c r="W50" s="19">
        <f t="shared" si="15"/>
        <v>0</v>
      </c>
      <c r="X50" s="19">
        <f t="shared" si="18"/>
        <v>0</v>
      </c>
      <c r="Y50" s="128">
        <f>IFERROR(VLOOKUP(D50,'Monthly Deduction'!$M$2:$N$64,2,0),0)</f>
        <v>0</v>
      </c>
      <c r="Z50" s="128">
        <v>0</v>
      </c>
      <c r="AA50" s="126">
        <f>IFERROR(VLOOKUP(D50,'Monthly Deduction'!A:B,2,0),0)</f>
        <v>0</v>
      </c>
      <c r="AB50" s="129">
        <f t="shared" si="3"/>
        <v>1525</v>
      </c>
      <c r="AC50" s="130">
        <v>0</v>
      </c>
      <c r="AD50" s="35">
        <f t="shared" si="13"/>
        <v>1525</v>
      </c>
      <c r="AE50" s="166" t="str">
        <f t="shared" si="14"/>
        <v>Release</v>
      </c>
      <c r="AF50" s="127"/>
      <c r="AG50" s="18">
        <v>0</v>
      </c>
      <c r="AH50" s="120"/>
      <c r="AI50" s="238">
        <v>0</v>
      </c>
      <c r="AJ50" s="132"/>
      <c r="AK50" s="151">
        <v>311.09999999999991</v>
      </c>
      <c r="AL50" s="154">
        <f t="shared" si="4"/>
        <v>0</v>
      </c>
      <c r="AM50" s="155"/>
      <c r="AN50" s="19">
        <f t="shared" si="5"/>
        <v>0</v>
      </c>
      <c r="AO50" s="118">
        <f>SUMIF('MPG Payment '!E:E,'Shayak Income '!D50,'MPG Payment '!AJ:AJ)</f>
        <v>0</v>
      </c>
      <c r="AP50" s="19">
        <f t="shared" si="6"/>
        <v>0</v>
      </c>
      <c r="AQ50" s="119">
        <f t="shared" si="16"/>
        <v>0</v>
      </c>
      <c r="AR50" s="91" t="s">
        <v>1168</v>
      </c>
      <c r="AS50" s="91">
        <f t="shared" si="7"/>
        <v>0</v>
      </c>
      <c r="AT50" s="118"/>
      <c r="AU50" s="118"/>
      <c r="AV50" s="118"/>
    </row>
    <row r="51" spans="1:48" s="20" customFormat="1" x14ac:dyDescent="0.25">
      <c r="A51" s="17">
        <f>IFERROR(VLOOKUP(D51,'Monthly Deduction'!$I$3:$J$957,2,0),0)</f>
        <v>0</v>
      </c>
      <c r="B51" s="17">
        <f>IFERROR(VLOOKUP(D51,'Monthly Deduction'!$E$3:$F$957,2,0),0)</f>
        <v>0</v>
      </c>
      <c r="C51" s="17">
        <f t="shared" si="17"/>
        <v>0</v>
      </c>
      <c r="D51" s="41">
        <v>10020032</v>
      </c>
      <c r="E51" s="122" t="str">
        <f>VLOOKUP(D51,'MPG Payment '!$E$3:$G$498218,2,0)</f>
        <v xml:space="preserve">Gomukh Diyarapipariya                                                                               </v>
      </c>
      <c r="F51" s="146">
        <f>IFERROR(_xlfn.XLOOKUP(D51,'Monthly Deduction'!$I$3:$I$957,'Monthly Deduction'!$H$3:$H$957),0)</f>
        <v>0</v>
      </c>
      <c r="G51" s="123" t="str">
        <f>VLOOKUP(D51,'MPG Payment '!$E$3:$G$334579,3,0)</f>
        <v>MPG</v>
      </c>
      <c r="H51" s="124" t="str">
        <f>VLOOKUP(D51,'MPG Payment '!$E$3:$H$334579,4,0)</f>
        <v>Direct</v>
      </c>
      <c r="I51" s="88">
        <f>INDEX('MPG Payment '!$C:$C,MATCH('Shayak Income '!D51,'MPG Payment '!E:E,0))</f>
        <v>1002</v>
      </c>
      <c r="J51" s="88" t="str">
        <f>INDEX('MPG Payment '!$D:$D,MATCH('Shayak Income '!D51,'MPG Payment '!E:E,0))</f>
        <v>Laldiyara</v>
      </c>
      <c r="K51" s="125" t="s">
        <v>1322</v>
      </c>
      <c r="L51" s="125">
        <v>44911</v>
      </c>
      <c r="M51" s="126">
        <f>SUMIF('MPG Payment '!$E$3:$E$34579,'Shayak Income '!D51,'MPG Payment '!$I$3:$I$34579)</f>
        <v>3481.8</v>
      </c>
      <c r="N51" s="126">
        <f>SUMIF('MPG Payment '!$E$3:$E$34579,'Shayak Income '!D51,'MPG Payment '!$J$3:$J$34579)</f>
        <v>151778.02599725442</v>
      </c>
      <c r="O51" s="126">
        <f t="shared" si="9"/>
        <v>2611.3500000000004</v>
      </c>
      <c r="P51" s="126">
        <f t="shared" si="10"/>
        <v>3307.71</v>
      </c>
      <c r="Q51" s="126">
        <f>SUMIF('MPG Payment '!$E$3:$E$34579,'Shayak Income '!D51,'MPG Payment '!$S$3:$S$34579)</f>
        <v>1897.1719780807871</v>
      </c>
      <c r="R51" s="126">
        <f t="shared" si="1"/>
        <v>4553.3407799176321</v>
      </c>
      <c r="S51" s="126">
        <f t="shared" si="2"/>
        <v>1245.630779917632</v>
      </c>
      <c r="T51" s="126">
        <f t="shared" si="11"/>
        <v>348.18000000000006</v>
      </c>
      <c r="U51" s="127">
        <f>(((IF(K51="New",0,SUMIF('MPG Payment '!$E$3:$E$34579,'Shayak Income '!D51,'MPG Payment '!$AC$3:$AC$34579))))+0)+0</f>
        <v>0</v>
      </c>
      <c r="V51" s="127">
        <f t="shared" si="12"/>
        <v>7468</v>
      </c>
      <c r="W51" s="19">
        <f t="shared" si="15"/>
        <v>0</v>
      </c>
      <c r="X51" s="19">
        <f t="shared" si="18"/>
        <v>0</v>
      </c>
      <c r="Y51" s="128">
        <f>IFERROR(VLOOKUP(D51,'Monthly Deduction'!$M$2:$N$64,2,0),0)</f>
        <v>0</v>
      </c>
      <c r="Z51" s="128">
        <v>0</v>
      </c>
      <c r="AA51" s="126">
        <f>IFERROR(VLOOKUP(D51,'Monthly Deduction'!A:B,2,0),0)</f>
        <v>0</v>
      </c>
      <c r="AB51" s="129">
        <f t="shared" si="3"/>
        <v>7468</v>
      </c>
      <c r="AC51" s="130">
        <v>0</v>
      </c>
      <c r="AD51" s="35">
        <f t="shared" si="13"/>
        <v>7468</v>
      </c>
      <c r="AE51" s="166" t="str">
        <f t="shared" si="14"/>
        <v>Release</v>
      </c>
      <c r="AF51" s="127"/>
      <c r="AG51" s="18">
        <v>0</v>
      </c>
      <c r="AH51" s="132"/>
      <c r="AI51" s="238">
        <v>0</v>
      </c>
      <c r="AJ51" s="132"/>
      <c r="AK51" s="151">
        <v>1140.1999999999998</v>
      </c>
      <c r="AL51" s="154">
        <f t="shared" si="4"/>
        <v>0</v>
      </c>
      <c r="AM51" s="155"/>
      <c r="AN51" s="19">
        <f t="shared" si="5"/>
        <v>0</v>
      </c>
      <c r="AO51" s="118">
        <f>SUMIF('MPG Payment '!E:E,'Shayak Income '!D51,'MPG Payment '!AJ:AJ)</f>
        <v>0</v>
      </c>
      <c r="AP51" s="19">
        <f t="shared" si="6"/>
        <v>0</v>
      </c>
      <c r="AQ51" s="119">
        <f t="shared" si="16"/>
        <v>0</v>
      </c>
      <c r="AR51" s="91"/>
      <c r="AS51" s="91">
        <f t="shared" si="7"/>
        <v>0</v>
      </c>
      <c r="AT51" s="118"/>
      <c r="AU51" s="118"/>
      <c r="AV51" s="118"/>
    </row>
    <row r="52" spans="1:48" s="20" customFormat="1" x14ac:dyDescent="0.25">
      <c r="A52" s="17">
        <f>IFERROR(VLOOKUP(D52,'Monthly Deduction'!$I$3:$J$957,2,0),0)</f>
        <v>0</v>
      </c>
      <c r="B52" s="17">
        <f>IFERROR(VLOOKUP(D52,'Monthly Deduction'!$E$3:$F$957,2,0),0)</f>
        <v>0</v>
      </c>
      <c r="C52" s="17">
        <f t="shared" si="17"/>
        <v>0</v>
      </c>
      <c r="D52" s="41">
        <v>10020034</v>
      </c>
      <c r="E52" s="122" t="str">
        <f>VLOOKUP(D52,'MPG Payment '!$E$3:$G$498218,2,0)</f>
        <v>TAJPUR</v>
      </c>
      <c r="F52" s="146">
        <f>IFERROR(_xlfn.XLOOKUP(D52,'Monthly Deduction'!$I$3:$I$957,'Monthly Deduction'!$H$3:$H$957),0)</f>
        <v>0</v>
      </c>
      <c r="G52" s="123" t="str">
        <f>VLOOKUP(D52,'MPG Payment '!$E$3:$G$334579,3,0)</f>
        <v>MPG</v>
      </c>
      <c r="H52" s="124" t="str">
        <f>VLOOKUP(D52,'MPG Payment '!$E$3:$H$334579,4,0)</f>
        <v>Direct</v>
      </c>
      <c r="I52" s="88">
        <f>INDEX('MPG Payment '!$C:$C,MATCH('Shayak Income '!D52,'MPG Payment '!E:E,0))</f>
        <v>1002</v>
      </c>
      <c r="J52" s="88" t="str">
        <f>INDEX('MPG Payment '!$D:$D,MATCH('Shayak Income '!D52,'MPG Payment '!E:E,0))</f>
        <v>Laldiyara</v>
      </c>
      <c r="K52" s="125" t="s">
        <v>1322</v>
      </c>
      <c r="L52" s="125">
        <v>44944</v>
      </c>
      <c r="M52" s="126">
        <f>SUMIF('MPG Payment '!$E$3:$E$34579,'Shayak Income '!D52,'MPG Payment '!$I$3:$I$34579)</f>
        <v>3947.4</v>
      </c>
      <c r="N52" s="126">
        <f>SUMIF('MPG Payment '!$E$3:$E$34579,'Shayak Income '!D52,'MPG Payment '!$J$3:$J$34579)</f>
        <v>162866.70386177721</v>
      </c>
      <c r="O52" s="126">
        <f t="shared" si="9"/>
        <v>2960.55</v>
      </c>
      <c r="P52" s="126">
        <f t="shared" si="10"/>
        <v>3750.0299999999997</v>
      </c>
      <c r="Q52" s="126">
        <f>SUMIF('MPG Payment '!$E$3:$E$34579,'Shayak Income '!D52,'MPG Payment '!$S$3:$S$34579)</f>
        <v>1811.9831047560001</v>
      </c>
      <c r="R52" s="126">
        <f t="shared" si="1"/>
        <v>4886.0011158533162</v>
      </c>
      <c r="S52" s="126">
        <f t="shared" si="2"/>
        <v>1135.9711158533164</v>
      </c>
      <c r="T52" s="126">
        <f t="shared" si="11"/>
        <v>394.74</v>
      </c>
      <c r="U52" s="127">
        <f>(((IF(K52="New",0,SUMIF('MPG Payment '!$E$3:$E$34579,'Shayak Income '!D52,'MPG Payment '!$AC$3:$AC$34579))))+0)+0</f>
        <v>0</v>
      </c>
      <c r="V52" s="127">
        <f t="shared" si="12"/>
        <v>8128</v>
      </c>
      <c r="W52" s="19">
        <f t="shared" si="15"/>
        <v>0</v>
      </c>
      <c r="X52" s="19">
        <f t="shared" si="18"/>
        <v>0</v>
      </c>
      <c r="Y52" s="128">
        <f>IFERROR(VLOOKUP(D52,'Monthly Deduction'!$M$2:$N$64,2,0),0)</f>
        <v>0</v>
      </c>
      <c r="Z52" s="128">
        <v>0</v>
      </c>
      <c r="AA52" s="126">
        <f>IFERROR(VLOOKUP(D52,'Monthly Deduction'!A:B,2,0),0)</f>
        <v>0</v>
      </c>
      <c r="AB52" s="129">
        <f t="shared" si="3"/>
        <v>8128</v>
      </c>
      <c r="AC52" s="130">
        <v>0</v>
      </c>
      <c r="AD52" s="35">
        <f t="shared" si="13"/>
        <v>8128</v>
      </c>
      <c r="AE52" s="166" t="str">
        <f t="shared" si="14"/>
        <v>Release</v>
      </c>
      <c r="AF52" s="127"/>
      <c r="AG52" s="18">
        <v>0</v>
      </c>
      <c r="AH52" s="132"/>
      <c r="AI52" s="238">
        <v>0</v>
      </c>
      <c r="AJ52" s="132"/>
      <c r="AK52" s="151">
        <v>1084.9999999999998</v>
      </c>
      <c r="AL52" s="154">
        <f t="shared" si="4"/>
        <v>0</v>
      </c>
      <c r="AM52" s="155"/>
      <c r="AN52" s="19">
        <f t="shared" si="5"/>
        <v>0</v>
      </c>
      <c r="AO52" s="118">
        <f>SUMIF('MPG Payment '!E:E,'Shayak Income '!D52,'MPG Payment '!AJ:AJ)</f>
        <v>0</v>
      </c>
      <c r="AP52" s="19">
        <f t="shared" si="6"/>
        <v>0</v>
      </c>
      <c r="AQ52" s="119">
        <f t="shared" si="16"/>
        <v>0</v>
      </c>
      <c r="AR52" s="91"/>
      <c r="AS52" s="91">
        <f t="shared" si="7"/>
        <v>0</v>
      </c>
      <c r="AT52" s="118"/>
      <c r="AU52" s="118"/>
      <c r="AV52" s="118"/>
    </row>
    <row r="53" spans="1:48" s="20" customFormat="1" x14ac:dyDescent="0.25">
      <c r="A53" s="17">
        <f>IFERROR(VLOOKUP(D53,'Monthly Deduction'!$I$3:$J$957,2,0),0)</f>
        <v>0</v>
      </c>
      <c r="B53" s="17">
        <f>IFERROR(VLOOKUP(D53,'Monthly Deduction'!$E$3:$F$957,2,0),0)</f>
        <v>0</v>
      </c>
      <c r="C53" s="17">
        <f t="shared" si="17"/>
        <v>0</v>
      </c>
      <c r="D53" s="41">
        <v>10020035</v>
      </c>
      <c r="E53" s="122" t="str">
        <f>VLOOKUP(D53,'MPG Payment '!$E$3:$G$498218,2,0)</f>
        <v>PATHUA</v>
      </c>
      <c r="F53" s="146">
        <f>IFERROR(_xlfn.XLOOKUP(D53,'Monthly Deduction'!$I$3:$I$957,'Monthly Deduction'!$H$3:$H$957),0)</f>
        <v>0</v>
      </c>
      <c r="G53" s="123" t="str">
        <f>VLOOKUP(D53,'MPG Payment '!$E$3:$G$334579,3,0)</f>
        <v>MPG</v>
      </c>
      <c r="H53" s="124" t="str">
        <f>VLOOKUP(D53,'MPG Payment '!$E$3:$H$334579,4,0)</f>
        <v>Direct</v>
      </c>
      <c r="I53" s="88">
        <f>INDEX('MPG Payment '!$C:$C,MATCH('Shayak Income '!D53,'MPG Payment '!E:E,0))</f>
        <v>1002</v>
      </c>
      <c r="J53" s="88" t="str">
        <f>INDEX('MPG Payment '!$D:$D,MATCH('Shayak Income '!D53,'MPG Payment '!E:E,0))</f>
        <v>Laldiyara</v>
      </c>
      <c r="K53" s="125" t="s">
        <v>1322</v>
      </c>
      <c r="L53" s="125">
        <v>44950</v>
      </c>
      <c r="M53" s="126">
        <f>SUMIF('MPG Payment '!$E$3:$E$34579,'Shayak Income '!D53,'MPG Payment '!$I$3:$I$34579)</f>
        <v>4389.5</v>
      </c>
      <c r="N53" s="126">
        <f>SUMIF('MPG Payment '!$E$3:$E$34579,'Shayak Income '!D53,'MPG Payment '!$J$3:$J$34579)</f>
        <v>186666.8742202686</v>
      </c>
      <c r="O53" s="126">
        <f t="shared" si="9"/>
        <v>3292.125</v>
      </c>
      <c r="P53" s="126">
        <f t="shared" si="10"/>
        <v>4170.0249999999996</v>
      </c>
      <c r="Q53" s="126">
        <f>SUMIF('MPG Payment '!$E$3:$E$34579,'Shayak Income '!D53,'MPG Payment '!$S$3:$S$34579)</f>
        <v>5058.9106667170008</v>
      </c>
      <c r="R53" s="126">
        <f t="shared" si="1"/>
        <v>5600.0062266080577</v>
      </c>
      <c r="S53" s="126">
        <f t="shared" si="2"/>
        <v>1429.981226608058</v>
      </c>
      <c r="T53" s="126">
        <f t="shared" si="11"/>
        <v>438.95000000000005</v>
      </c>
      <c r="U53" s="127">
        <f>(((IF(K53="New",0,SUMIF('MPG Payment '!$E$3:$E$34579,'Shayak Income '!D53,'MPG Payment '!$AC$3:$AC$34579))))+0)+0</f>
        <v>0</v>
      </c>
      <c r="V53" s="127">
        <f t="shared" si="12"/>
        <v>12082</v>
      </c>
      <c r="W53" s="19">
        <f t="shared" si="15"/>
        <v>0</v>
      </c>
      <c r="X53" s="19">
        <f t="shared" si="18"/>
        <v>0</v>
      </c>
      <c r="Y53" s="128">
        <f>IFERROR(VLOOKUP(D53,'Monthly Deduction'!$M$2:$N$64,2,0),0)</f>
        <v>0</v>
      </c>
      <c r="Z53" s="128">
        <v>0</v>
      </c>
      <c r="AA53" s="126">
        <f>IFERROR(VLOOKUP(D53,'Monthly Deduction'!A:B,2,0),0)</f>
        <v>0</v>
      </c>
      <c r="AB53" s="129">
        <f t="shared" si="3"/>
        <v>12082</v>
      </c>
      <c r="AC53" s="130">
        <v>0</v>
      </c>
      <c r="AD53" s="35">
        <f t="shared" si="13"/>
        <v>12082</v>
      </c>
      <c r="AE53" s="166" t="str">
        <f t="shared" si="14"/>
        <v>Release</v>
      </c>
      <c r="AF53" s="127"/>
      <c r="AG53" s="18">
        <v>0</v>
      </c>
      <c r="AH53" s="120"/>
      <c r="AI53" s="238">
        <v>0</v>
      </c>
      <c r="AJ53" s="132"/>
      <c r="AK53" s="151">
        <v>1328.2</v>
      </c>
      <c r="AL53" s="154">
        <f t="shared" si="4"/>
        <v>0</v>
      </c>
      <c r="AM53" s="155"/>
      <c r="AN53" s="19">
        <f t="shared" si="5"/>
        <v>0</v>
      </c>
      <c r="AO53" s="118">
        <f>SUMIF('MPG Payment '!E:E,'Shayak Income '!D53,'MPG Payment '!AJ:AJ)</f>
        <v>0</v>
      </c>
      <c r="AP53" s="19">
        <f t="shared" si="6"/>
        <v>0</v>
      </c>
      <c r="AQ53" s="119">
        <f t="shared" si="16"/>
        <v>0</v>
      </c>
      <c r="AR53" s="91" t="s">
        <v>1168</v>
      </c>
      <c r="AS53" s="91">
        <f t="shared" si="7"/>
        <v>0</v>
      </c>
      <c r="AT53" s="118"/>
      <c r="AU53" s="118"/>
      <c r="AV53" s="118"/>
    </row>
    <row r="54" spans="1:48" s="20" customFormat="1" x14ac:dyDescent="0.25">
      <c r="A54" s="17">
        <f>IFERROR(VLOOKUP(D54,'Monthly Deduction'!$I$3:$J$957,2,0),0)</f>
        <v>10665.353200000012</v>
      </c>
      <c r="B54" s="17">
        <f>IFERROR(VLOOKUP(D54,'Monthly Deduction'!$E$3:$F$957,2,0),0)</f>
        <v>0</v>
      </c>
      <c r="C54" s="17">
        <f t="shared" si="17"/>
        <v>10665.353200000012</v>
      </c>
      <c r="D54" s="41">
        <v>10020038</v>
      </c>
      <c r="E54" s="122" t="str">
        <f>VLOOKUP(D54,'MPG Payment '!$E$3:$G$498218,2,0)</f>
        <v>LODIYA</v>
      </c>
      <c r="F54" s="146">
        <f>IFERROR(_xlfn.XLOOKUP(D54,'Monthly Deduction'!$I$3:$I$957,'Monthly Deduction'!$H$3:$H$957),0)</f>
        <v>0</v>
      </c>
      <c r="G54" s="123" t="str">
        <f>VLOOKUP(D54,'MPG Payment '!$E$3:$G$334579,3,0)</f>
        <v>MPG</v>
      </c>
      <c r="H54" s="124" t="str">
        <f>VLOOKUP(D54,'MPG Payment '!$E$3:$H$334579,4,0)</f>
        <v>Direct</v>
      </c>
      <c r="I54" s="88">
        <f>INDEX('MPG Payment '!$C:$C,MATCH('Shayak Income '!D54,'MPG Payment '!E:E,0))</f>
        <v>1002</v>
      </c>
      <c r="J54" s="88" t="str">
        <f>INDEX('MPG Payment '!$D:$D,MATCH('Shayak Income '!D54,'MPG Payment '!E:E,0))</f>
        <v>Laldiyara</v>
      </c>
      <c r="K54" s="125" t="s">
        <v>1322</v>
      </c>
      <c r="L54" s="125">
        <v>44967</v>
      </c>
      <c r="M54" s="126">
        <f>SUMIF('MPG Payment '!$E$3:$E$34579,'Shayak Income '!D54,'MPG Payment '!$I$3:$I$34579)</f>
        <v>2405</v>
      </c>
      <c r="N54" s="126">
        <f>SUMIF('MPG Payment '!$E$3:$E$34579,'Shayak Income '!D54,'MPG Payment '!$J$3:$J$34579)</f>
        <v>95619.188906759999</v>
      </c>
      <c r="O54" s="126">
        <f t="shared" si="9"/>
        <v>1803.75</v>
      </c>
      <c r="P54" s="126">
        <f t="shared" si="10"/>
        <v>2284.75</v>
      </c>
      <c r="Q54" s="126">
        <f>SUMIF('MPG Payment '!$E$3:$E$34579,'Shayak Income '!D54,'MPG Payment '!$S$3:$S$34579)</f>
        <v>863.604062226</v>
      </c>
      <c r="R54" s="126">
        <f t="shared" si="1"/>
        <v>2868.5756672027997</v>
      </c>
      <c r="S54" s="126">
        <f t="shared" si="2"/>
        <v>583.82566720279965</v>
      </c>
      <c r="T54" s="126">
        <f t="shared" si="11"/>
        <v>240.5</v>
      </c>
      <c r="U54" s="127">
        <f>(((IF(K54="New",0,SUMIF('MPG Payment '!$E$3:$E$34579,'Shayak Income '!D54,'MPG Payment '!$AC$3:$AC$34579))))+0)+0</f>
        <v>313.06697252124258</v>
      </c>
      <c r="V54" s="127">
        <f t="shared" si="12"/>
        <v>4399</v>
      </c>
      <c r="W54" s="19">
        <f t="shared" si="15"/>
        <v>1912.3837781351999</v>
      </c>
      <c r="X54" s="19">
        <v>0</v>
      </c>
      <c r="Y54" s="128">
        <f>IFERROR(VLOOKUP(D54,'Monthly Deduction'!$M$2:$N$64,2,0),0)</f>
        <v>0</v>
      </c>
      <c r="Z54" s="128">
        <v>0</v>
      </c>
      <c r="AA54" s="126">
        <f>IFERROR(VLOOKUP(D54,'Monthly Deduction'!A:B,2,0),0)</f>
        <v>0</v>
      </c>
      <c r="AB54" s="129">
        <f t="shared" si="3"/>
        <v>2487</v>
      </c>
      <c r="AC54" s="130">
        <v>0</v>
      </c>
      <c r="AD54" s="35">
        <f t="shared" si="13"/>
        <v>2487</v>
      </c>
      <c r="AE54" s="166" t="str">
        <f t="shared" si="14"/>
        <v>Release</v>
      </c>
      <c r="AF54" s="127"/>
      <c r="AG54" s="127">
        <v>0</v>
      </c>
      <c r="AH54" s="120"/>
      <c r="AI54" s="238">
        <v>0</v>
      </c>
      <c r="AJ54" s="132"/>
      <c r="AK54" s="151">
        <v>654.70000000000016</v>
      </c>
      <c r="AL54" s="154">
        <f t="shared" si="4"/>
        <v>0</v>
      </c>
      <c r="AM54" s="155"/>
      <c r="AN54" s="19">
        <f t="shared" si="5"/>
        <v>1912.3837781351999</v>
      </c>
      <c r="AO54" s="118">
        <f>SUMIF('MPG Payment '!E:E,'Shayak Income '!D54,'MPG Payment '!AJ:AJ)</f>
        <v>0</v>
      </c>
      <c r="AP54" s="19">
        <f t="shared" si="6"/>
        <v>1912.3837781351999</v>
      </c>
      <c r="AQ54" s="119">
        <f t="shared" si="16"/>
        <v>1912.3837781351999</v>
      </c>
      <c r="AR54" s="91" t="s">
        <v>1168</v>
      </c>
      <c r="AS54" s="91">
        <f t="shared" si="7"/>
        <v>0</v>
      </c>
      <c r="AT54" s="118"/>
      <c r="AU54" s="118"/>
      <c r="AV54" s="118"/>
    </row>
    <row r="55" spans="1:48" s="20" customFormat="1" x14ac:dyDescent="0.25">
      <c r="A55" s="17">
        <f>IFERROR(VLOOKUP(D55,'Monthly Deduction'!$I$3:$J$957,2,0),0)</f>
        <v>696.24801668761938</v>
      </c>
      <c r="B55" s="17">
        <f>IFERROR(VLOOKUP(D55,'Monthly Deduction'!$E$3:$F$957,2,0),0)</f>
        <v>3752.676205136534</v>
      </c>
      <c r="C55" s="17">
        <f t="shared" si="17"/>
        <v>4448.9242218241534</v>
      </c>
      <c r="D55" s="41">
        <v>10020041</v>
      </c>
      <c r="E55" s="122" t="str">
        <f>VLOOKUP(D55,'MPG Payment '!$E$3:$G$498218,2,0)</f>
        <v>ADARSH LAXMIPUR-3</v>
      </c>
      <c r="F55" s="146">
        <f>IFERROR(_xlfn.XLOOKUP(D55,'Monthly Deduction'!$I$3:$I$957,'Monthly Deduction'!$H$3:$H$957),0)</f>
        <v>0</v>
      </c>
      <c r="G55" s="123" t="str">
        <f>VLOOKUP(D55,'MPG Payment '!$E$3:$G$334579,3,0)</f>
        <v>MPG</v>
      </c>
      <c r="H55" s="124" t="str">
        <f>VLOOKUP(D55,'MPG Payment '!$E$3:$H$334579,4,0)</f>
        <v>Direct</v>
      </c>
      <c r="I55" s="88">
        <f>INDEX('MPG Payment '!$C:$C,MATCH('Shayak Income '!D55,'MPG Payment '!E:E,0))</f>
        <v>1002</v>
      </c>
      <c r="J55" s="88" t="str">
        <f>INDEX('MPG Payment '!$D:$D,MATCH('Shayak Income '!D55,'MPG Payment '!E:E,0))</f>
        <v>Laldiyara</v>
      </c>
      <c r="K55" s="125" t="s">
        <v>1322</v>
      </c>
      <c r="L55" s="125">
        <v>44986</v>
      </c>
      <c r="M55" s="126">
        <f>SUMIF('MPG Payment '!$E$3:$E$34579,'Shayak Income '!D55,'MPG Payment '!$I$3:$I$34579)</f>
        <v>1054.5999999999999</v>
      </c>
      <c r="N55" s="126">
        <f>SUMIF('MPG Payment '!$E$3:$E$34579,'Shayak Income '!D55,'MPG Payment '!$J$3:$J$34579)</f>
        <v>44242.085110307999</v>
      </c>
      <c r="O55" s="126">
        <f t="shared" si="9"/>
        <v>790.94999999999993</v>
      </c>
      <c r="P55" s="126">
        <f t="shared" si="10"/>
        <v>1001.8699999999999</v>
      </c>
      <c r="Q55" s="126">
        <f>SUMIF('MPG Payment '!$E$3:$E$34579,'Shayak Income '!D55,'MPG Payment '!$S$3:$S$34579)</f>
        <v>189.18909442905002</v>
      </c>
      <c r="R55" s="126">
        <f t="shared" si="1"/>
        <v>1327.2625533092398</v>
      </c>
      <c r="S55" s="126">
        <f t="shared" si="2"/>
        <v>325.39255330923993</v>
      </c>
      <c r="T55" s="126">
        <f t="shared" si="11"/>
        <v>105.46</v>
      </c>
      <c r="U55" s="127">
        <f>(((IF(K55="New",0,SUMIF('MPG Payment '!$E$3:$E$34579,'Shayak Income '!D55,'MPG Payment '!$AC$3:$AC$34579))))+0)+0</f>
        <v>1463.7010538205714</v>
      </c>
      <c r="V55" s="127">
        <f t="shared" si="12"/>
        <v>413</v>
      </c>
      <c r="W55" s="19">
        <f t="shared" si="15"/>
        <v>196.24801668761938</v>
      </c>
      <c r="X55" s="19">
        <v>0</v>
      </c>
      <c r="Y55" s="128">
        <v>217</v>
      </c>
      <c r="Z55" s="128">
        <v>0</v>
      </c>
      <c r="AA55" s="126">
        <v>0</v>
      </c>
      <c r="AB55" s="129">
        <f t="shared" si="3"/>
        <v>0</v>
      </c>
      <c r="AC55" s="130">
        <v>0</v>
      </c>
      <c r="AD55" s="35">
        <f t="shared" si="13"/>
        <v>0</v>
      </c>
      <c r="AE55" s="166" t="str">
        <f t="shared" si="14"/>
        <v>Release</v>
      </c>
      <c r="AF55" s="127"/>
      <c r="AG55" s="18">
        <v>0</v>
      </c>
      <c r="AH55" s="120"/>
      <c r="AI55" s="238">
        <v>0</v>
      </c>
      <c r="AJ55" s="132"/>
      <c r="AK55" s="151">
        <v>257.60000000000002</v>
      </c>
      <c r="AL55" s="154">
        <f t="shared" si="4"/>
        <v>0</v>
      </c>
      <c r="AM55" s="155"/>
      <c r="AN55" s="19">
        <f t="shared" si="5"/>
        <v>696.24801668761938</v>
      </c>
      <c r="AO55" s="118">
        <f>SUMIF('MPG Payment '!E:E,'Shayak Income '!D55,'MPG Payment '!AJ:AJ)</f>
        <v>500</v>
      </c>
      <c r="AP55" s="19">
        <f t="shared" si="6"/>
        <v>196.24801668761938</v>
      </c>
      <c r="AQ55" s="119">
        <f t="shared" si="16"/>
        <v>696.24801668761938</v>
      </c>
      <c r="AR55" s="91" t="s">
        <v>1168</v>
      </c>
      <c r="AS55" s="91">
        <f t="shared" si="7"/>
        <v>3752.676205136534</v>
      </c>
      <c r="AT55" s="118"/>
      <c r="AU55" s="118"/>
      <c r="AV55" s="118"/>
    </row>
    <row r="56" spans="1:48" s="20" customFormat="1" x14ac:dyDescent="0.25">
      <c r="A56" s="17">
        <f>IFERROR(VLOOKUP(D56,'Monthly Deduction'!$I$3:$J$957,2,0),0)</f>
        <v>7224.87592375245</v>
      </c>
      <c r="B56" s="17">
        <f>IFERROR(VLOOKUP(D56,'Monthly Deduction'!$E$3:$F$957,2,0),0)</f>
        <v>8907</v>
      </c>
      <c r="C56" s="17">
        <f t="shared" si="17"/>
        <v>16131.87592375245</v>
      </c>
      <c r="D56" s="41">
        <v>10020042</v>
      </c>
      <c r="E56" s="122" t="str">
        <f>VLOOKUP(D56,'MPG Payment '!$E$3:$G$498218,2,0)</f>
        <v>BHANPUR</v>
      </c>
      <c r="F56" s="146">
        <f>IFERROR(_xlfn.XLOOKUP(D56,'Monthly Deduction'!$I$3:$I$957,'Monthly Deduction'!$H$3:$H$957),0)</f>
        <v>0</v>
      </c>
      <c r="G56" s="123" t="str">
        <f>VLOOKUP(D56,'MPG Payment '!$E$3:$G$334579,3,0)</f>
        <v>MPG</v>
      </c>
      <c r="H56" s="124" t="str">
        <f>VLOOKUP(D56,'MPG Payment '!$E$3:$H$334579,4,0)</f>
        <v>Direct</v>
      </c>
      <c r="I56" s="88">
        <f>INDEX('MPG Payment '!$C:$C,MATCH('Shayak Income '!D56,'MPG Payment '!E:E,0))</f>
        <v>1002</v>
      </c>
      <c r="J56" s="88" t="str">
        <f>INDEX('MPG Payment '!$D:$D,MATCH('Shayak Income '!D56,'MPG Payment '!E:E,0))</f>
        <v>Laldiyara</v>
      </c>
      <c r="K56" s="125" t="s">
        <v>1322</v>
      </c>
      <c r="L56" s="125">
        <v>45009</v>
      </c>
      <c r="M56" s="126">
        <f>SUMIF('MPG Payment '!$E$3:$E$34579,'Shayak Income '!D56,'MPG Payment '!$I$3:$I$34579)</f>
        <v>1856</v>
      </c>
      <c r="N56" s="126">
        <f>SUMIF('MPG Payment '!$E$3:$E$34579,'Shayak Income '!D56,'MPG Payment '!$J$3:$J$34579)</f>
        <v>69698.653677800001</v>
      </c>
      <c r="O56" s="126">
        <f t="shared" si="9"/>
        <v>1392</v>
      </c>
      <c r="P56" s="126">
        <f t="shared" si="10"/>
        <v>1763.1999999999998</v>
      </c>
      <c r="Q56" s="126">
        <f>SUMIF('MPG Payment '!$E$3:$E$34579,'Shayak Income '!D56,'MPG Payment '!$S$3:$S$34579)</f>
        <v>0</v>
      </c>
      <c r="R56" s="126">
        <f t="shared" si="1"/>
        <v>2090.959610334</v>
      </c>
      <c r="S56" s="126">
        <f t="shared" si="2"/>
        <v>327.75961033400017</v>
      </c>
      <c r="T56" s="126">
        <f t="shared" si="11"/>
        <v>185.60000000000002</v>
      </c>
      <c r="U56" s="127">
        <f>(((IF(K56="New",0,SUMIF('MPG Payment '!$E$3:$E$34579,'Shayak Income '!D56,'MPG Payment '!$AC$3:$AC$34579))))+0)+0</f>
        <v>709.28625903749435</v>
      </c>
      <c r="V56" s="127">
        <f t="shared" si="12"/>
        <v>2260</v>
      </c>
      <c r="W56" s="19">
        <f t="shared" si="15"/>
        <v>1861</v>
      </c>
      <c r="X56" s="19">
        <v>0</v>
      </c>
      <c r="Y56" s="128">
        <f>IFERROR(VLOOKUP(D56,'Monthly Deduction'!$M$2:$N$64,2,0),0)</f>
        <v>0</v>
      </c>
      <c r="Z56" s="128">
        <v>0</v>
      </c>
      <c r="AA56" s="126">
        <f>IFERROR(VLOOKUP(D56,'Monthly Deduction'!A:B,2,0),0)</f>
        <v>0</v>
      </c>
      <c r="AB56" s="129">
        <f t="shared" si="3"/>
        <v>399</v>
      </c>
      <c r="AC56" s="130">
        <v>0</v>
      </c>
      <c r="AD56" s="35">
        <f t="shared" si="13"/>
        <v>399</v>
      </c>
      <c r="AE56" s="166" t="str">
        <f t="shared" si="14"/>
        <v>Release</v>
      </c>
      <c r="AF56" s="127"/>
      <c r="AG56" s="127">
        <v>0</v>
      </c>
      <c r="AH56" s="120"/>
      <c r="AI56" s="238">
        <v>0</v>
      </c>
      <c r="AJ56" s="132"/>
      <c r="AK56" s="151">
        <v>494.7</v>
      </c>
      <c r="AL56" s="154">
        <f t="shared" si="4"/>
        <v>0</v>
      </c>
      <c r="AM56" s="155"/>
      <c r="AN56" s="19">
        <f t="shared" si="5"/>
        <v>1861</v>
      </c>
      <c r="AO56" s="118">
        <f>SUMIF('MPG Payment '!E:E,'Shayak Income '!D56,'MPG Payment '!AJ:AJ)</f>
        <v>0</v>
      </c>
      <c r="AP56" s="19">
        <f t="shared" si="6"/>
        <v>1861</v>
      </c>
      <c r="AQ56" s="119">
        <f t="shared" si="16"/>
        <v>1861</v>
      </c>
      <c r="AR56" s="91" t="s">
        <v>1168</v>
      </c>
      <c r="AS56" s="91">
        <f t="shared" si="7"/>
        <v>8907</v>
      </c>
      <c r="AT56" s="118"/>
      <c r="AU56" s="118"/>
      <c r="AV56" s="118"/>
    </row>
    <row r="57" spans="1:48" s="20" customFormat="1" x14ac:dyDescent="0.25">
      <c r="A57" s="17">
        <f>IFERROR(VLOOKUP(D57,'Monthly Deduction'!$I$3:$J$957,2,0),0)</f>
        <v>0</v>
      </c>
      <c r="B57" s="17">
        <f>IFERROR(VLOOKUP(D57,'Monthly Deduction'!$E$3:$F$957,2,0),0)</f>
        <v>0</v>
      </c>
      <c r="C57" s="17">
        <f t="shared" si="17"/>
        <v>0</v>
      </c>
      <c r="D57" s="41">
        <v>10020043</v>
      </c>
      <c r="E57" s="122" t="str">
        <f>VLOOKUP(D57,'MPG Payment '!$E$3:$G$498218,2,0)</f>
        <v>Karari Pipariya 2</v>
      </c>
      <c r="F57" s="146">
        <f>IFERROR(_xlfn.XLOOKUP(D57,'Monthly Deduction'!$I$3:$I$957,'Monthly Deduction'!$H$3:$H$957),0)</f>
        <v>0</v>
      </c>
      <c r="G57" s="123" t="str">
        <f>VLOOKUP(D57,'MPG Payment '!$E$3:$G$334579,3,0)</f>
        <v>MPG</v>
      </c>
      <c r="H57" s="124" t="str">
        <f>VLOOKUP(D57,'MPG Payment '!$E$3:$H$334579,4,0)</f>
        <v>Direct</v>
      </c>
      <c r="I57" s="88">
        <f>INDEX('MPG Payment '!$C:$C,MATCH('Shayak Income '!D57,'MPG Payment '!E:E,0))</f>
        <v>1002</v>
      </c>
      <c r="J57" s="88" t="str">
        <f>INDEX('MPG Payment '!$D:$D,MATCH('Shayak Income '!D57,'MPG Payment '!E:E,0))</f>
        <v>Laldiyara</v>
      </c>
      <c r="K57" s="125" t="s">
        <v>1322</v>
      </c>
      <c r="L57" s="125">
        <v>45012</v>
      </c>
      <c r="M57" s="126">
        <f>SUMIF('MPG Payment '!$E$3:$E$34579,'Shayak Income '!D57,'MPG Payment '!$I$3:$I$34579)</f>
        <v>4150.5</v>
      </c>
      <c r="N57" s="126">
        <f>SUMIF('MPG Payment '!$E$3:$E$34579,'Shayak Income '!D57,'MPG Payment '!$J$3:$J$34579)</f>
        <v>173231.81878029302</v>
      </c>
      <c r="O57" s="126">
        <f t="shared" si="9"/>
        <v>3112.875</v>
      </c>
      <c r="P57" s="126">
        <f t="shared" si="10"/>
        <v>3942.9749999999999</v>
      </c>
      <c r="Q57" s="126">
        <f>SUMIF('MPG Payment '!$E$3:$E$34579,'Shayak Income '!D57,'MPG Payment '!$S$3:$S$34579)</f>
        <v>1547.3360633694003</v>
      </c>
      <c r="R57" s="126">
        <f t="shared" si="1"/>
        <v>5196.9545634087908</v>
      </c>
      <c r="S57" s="126">
        <f t="shared" si="2"/>
        <v>1253.9795634087909</v>
      </c>
      <c r="T57" s="126">
        <f t="shared" si="11"/>
        <v>415.05</v>
      </c>
      <c r="U57" s="127">
        <f>(((IF(K57="New",0,SUMIF('MPG Payment '!$E$3:$E$34579,'Shayak Income '!D57,'MPG Payment '!$AC$3:$AC$34579))))+0)+0</f>
        <v>0</v>
      </c>
      <c r="V57" s="127">
        <f t="shared" si="12"/>
        <v>8188</v>
      </c>
      <c r="W57" s="19">
        <f t="shared" si="15"/>
        <v>0</v>
      </c>
      <c r="X57" s="19">
        <f t="shared" si="18"/>
        <v>0</v>
      </c>
      <c r="Y57" s="128">
        <f>IFERROR(VLOOKUP(D57,'Monthly Deduction'!$M$2:$N$64,2,0),0)</f>
        <v>0</v>
      </c>
      <c r="Z57" s="128">
        <v>5600</v>
      </c>
      <c r="AA57" s="126">
        <f>IFERROR(VLOOKUP(D57,'Monthly Deduction'!A:B,2,0),0)</f>
        <v>0</v>
      </c>
      <c r="AB57" s="129">
        <f t="shared" si="3"/>
        <v>2588</v>
      </c>
      <c r="AC57" s="130">
        <v>0</v>
      </c>
      <c r="AD57" s="35">
        <f t="shared" si="13"/>
        <v>2588</v>
      </c>
      <c r="AE57" s="166" t="str">
        <f t="shared" si="14"/>
        <v>Release</v>
      </c>
      <c r="AF57" s="127"/>
      <c r="AG57" s="18">
        <v>0</v>
      </c>
      <c r="AH57" s="120" t="s">
        <v>1657</v>
      </c>
      <c r="AI57" s="238">
        <v>0</v>
      </c>
      <c r="AJ57" s="132"/>
      <c r="AK57" s="151">
        <v>1159.1000000000001</v>
      </c>
      <c r="AL57" s="154">
        <f t="shared" si="4"/>
        <v>0</v>
      </c>
      <c r="AM57" s="155"/>
      <c r="AN57" s="19">
        <f t="shared" si="5"/>
        <v>0</v>
      </c>
      <c r="AO57" s="118">
        <f>SUMIF('MPG Payment '!E:E,'Shayak Income '!D57,'MPG Payment '!AJ:AJ)</f>
        <v>0</v>
      </c>
      <c r="AP57" s="19">
        <f t="shared" si="6"/>
        <v>0</v>
      </c>
      <c r="AQ57" s="119">
        <f t="shared" si="16"/>
        <v>0</v>
      </c>
      <c r="AR57" s="91" t="s">
        <v>1168</v>
      </c>
      <c r="AS57" s="91">
        <f t="shared" si="7"/>
        <v>0</v>
      </c>
      <c r="AT57" s="118"/>
      <c r="AU57" s="118"/>
      <c r="AV57" s="118"/>
    </row>
    <row r="58" spans="1:48" s="20" customFormat="1" x14ac:dyDescent="0.25">
      <c r="A58" s="17">
        <f>IFERROR(VLOOKUP(D58,'Monthly Deduction'!$I$3:$J$957,2,0),0)</f>
        <v>0</v>
      </c>
      <c r="B58" s="17">
        <f>IFERROR(VLOOKUP(D58,'Monthly Deduction'!$E$3:$F$957,2,0),0)</f>
        <v>0</v>
      </c>
      <c r="C58" s="17">
        <f t="shared" si="17"/>
        <v>0</v>
      </c>
      <c r="D58" s="41">
        <v>10020044</v>
      </c>
      <c r="E58" s="122" t="str">
        <f>VLOOKUP(D58,'MPG Payment '!$E$3:$G$498218,2,0)</f>
        <v xml:space="preserve">DIYARA PIPARIYA-THANA                                                                               </v>
      </c>
      <c r="F58" s="146">
        <f>IFERROR(_xlfn.XLOOKUP(D58,'Monthly Deduction'!$I$3:$I$957,'Monthly Deduction'!$H$3:$H$957),0)</f>
        <v>0</v>
      </c>
      <c r="G58" s="123" t="str">
        <f>VLOOKUP(D58,'MPG Payment '!$E$3:$G$334579,3,0)</f>
        <v>MPG</v>
      </c>
      <c r="H58" s="124" t="str">
        <f>VLOOKUP(D58,'MPG Payment '!$E$3:$H$334579,4,0)</f>
        <v>Direct</v>
      </c>
      <c r="I58" s="88">
        <f>INDEX('MPG Payment '!$C:$C,MATCH('Shayak Income '!D58,'MPG Payment '!E:E,0))</f>
        <v>1002</v>
      </c>
      <c r="J58" s="88" t="str">
        <f>INDEX('MPG Payment '!$D:$D,MATCH('Shayak Income '!D58,'MPG Payment '!E:E,0))</f>
        <v>Laldiyara</v>
      </c>
      <c r="K58" s="125" t="s">
        <v>1322</v>
      </c>
      <c r="L58" s="125">
        <v>45064</v>
      </c>
      <c r="M58" s="126">
        <f>SUMIF('MPG Payment '!$E$3:$E$34579,'Shayak Income '!D58,'MPG Payment '!$I$3:$I$34579)</f>
        <v>4586.6000000000004</v>
      </c>
      <c r="N58" s="126">
        <f>SUMIF('MPG Payment '!$E$3:$E$34579,'Shayak Income '!D58,'MPG Payment '!$J$3:$J$34579)</f>
        <v>201372.12190999906</v>
      </c>
      <c r="O58" s="126">
        <f t="shared" si="9"/>
        <v>3439.9500000000003</v>
      </c>
      <c r="P58" s="126">
        <f t="shared" si="10"/>
        <v>4357.2700000000004</v>
      </c>
      <c r="Q58" s="126">
        <f>SUMIF('MPG Payment '!$E$3:$E$34579,'Shayak Income '!D58,'MPG Payment '!$S$3:$S$34579)</f>
        <v>1376.2222414290002</v>
      </c>
      <c r="R58" s="126">
        <f t="shared" si="1"/>
        <v>6041.1636572999714</v>
      </c>
      <c r="S58" s="126">
        <f t="shared" si="2"/>
        <v>1683.893657299971</v>
      </c>
      <c r="T58" s="126">
        <f t="shared" si="11"/>
        <v>458.66000000000008</v>
      </c>
      <c r="U58" s="127">
        <f>(((IF(K58="New",0,SUMIF('MPG Payment '!$E$3:$E$34579,'Shayak Income '!D58,'MPG Payment '!$AC$3:$AC$34579))))+0)+0</f>
        <v>0</v>
      </c>
      <c r="V58" s="127">
        <f t="shared" si="12"/>
        <v>8715</v>
      </c>
      <c r="W58" s="19">
        <f t="shared" si="15"/>
        <v>0</v>
      </c>
      <c r="X58" s="19">
        <f t="shared" si="18"/>
        <v>0</v>
      </c>
      <c r="Y58" s="128">
        <f>IFERROR(VLOOKUP(D58,'Monthly Deduction'!$M$2:$N$64,2,0),0)</f>
        <v>0</v>
      </c>
      <c r="Z58" s="128">
        <v>0</v>
      </c>
      <c r="AA58" s="126">
        <f>IFERROR(VLOOKUP(D58,'Monthly Deduction'!A:B,2,0),0)</f>
        <v>0</v>
      </c>
      <c r="AB58" s="129">
        <f t="shared" si="3"/>
        <v>8715</v>
      </c>
      <c r="AC58" s="130">
        <v>0</v>
      </c>
      <c r="AD58" s="35">
        <f t="shared" si="13"/>
        <v>8715</v>
      </c>
      <c r="AE58" s="166" t="str">
        <f t="shared" si="14"/>
        <v>Release</v>
      </c>
      <c r="AF58" s="127"/>
      <c r="AG58" s="18">
        <v>0</v>
      </c>
      <c r="AH58" s="120"/>
      <c r="AI58" s="238">
        <v>0</v>
      </c>
      <c r="AJ58" s="132"/>
      <c r="AK58" s="151">
        <v>1165.8000000000002</v>
      </c>
      <c r="AL58" s="154">
        <f t="shared" si="4"/>
        <v>0</v>
      </c>
      <c r="AM58" s="155"/>
      <c r="AN58" s="19">
        <f t="shared" si="5"/>
        <v>0</v>
      </c>
      <c r="AO58" s="118">
        <f>SUMIF('MPG Payment '!E:E,'Shayak Income '!D58,'MPG Payment '!AJ:AJ)</f>
        <v>0</v>
      </c>
      <c r="AP58" s="19">
        <f t="shared" si="6"/>
        <v>0</v>
      </c>
      <c r="AQ58" s="119">
        <f t="shared" si="16"/>
        <v>0</v>
      </c>
      <c r="AR58" s="91" t="s">
        <v>1168</v>
      </c>
      <c r="AS58" s="91">
        <f t="shared" si="7"/>
        <v>0</v>
      </c>
      <c r="AT58" s="118"/>
      <c r="AU58" s="118"/>
      <c r="AV58" s="118"/>
    </row>
    <row r="59" spans="1:48" s="20" customFormat="1" x14ac:dyDescent="0.25">
      <c r="A59" s="17">
        <f>IFERROR(VLOOKUP(D59,'Monthly Deduction'!$I$3:$J$957,2,0),0)</f>
        <v>0</v>
      </c>
      <c r="B59" s="17">
        <f>IFERROR(VLOOKUP(D59,'Monthly Deduction'!$E$3:$F$957,2,0),0)</f>
        <v>0</v>
      </c>
      <c r="C59" s="17">
        <f t="shared" si="17"/>
        <v>0</v>
      </c>
      <c r="D59" s="41">
        <v>10020047</v>
      </c>
      <c r="E59" s="122" t="str">
        <f>VLOOKUP(D59,'MPG Payment '!$E$3:$G$498218,2,0)</f>
        <v>SRI RAM SINGH(VLC)</v>
      </c>
      <c r="F59" s="146">
        <f>IFERROR(_xlfn.XLOOKUP(D59,'Monthly Deduction'!$I$3:$I$957,'Monthly Deduction'!$H$3:$H$957),0)</f>
        <v>0</v>
      </c>
      <c r="G59" s="123" t="str">
        <f>VLOOKUP(D59,'MPG Payment '!$E$3:$G$334579,3,0)</f>
        <v>vlc</v>
      </c>
      <c r="H59" s="124" t="str">
        <f>VLOOKUP(D59,'MPG Payment '!$E$3:$H$334579,4,0)</f>
        <v>Indirect</v>
      </c>
      <c r="I59" s="88">
        <f>INDEX('MPG Payment '!$C:$C,MATCH('Shayak Income '!D59,'MPG Payment '!E:E,0))</f>
        <v>1002</v>
      </c>
      <c r="J59" s="88" t="str">
        <f>INDEX('MPG Payment '!$D:$D,MATCH('Shayak Income '!D59,'MPG Payment '!E:E,0))</f>
        <v>Laldiyara</v>
      </c>
      <c r="K59" s="125" t="s">
        <v>1322</v>
      </c>
      <c r="L59" s="125">
        <v>45156</v>
      </c>
      <c r="M59" s="126">
        <f>SUMIF('MPG Payment '!$E$3:$E$34579,'Shayak Income '!D59,'MPG Payment '!$I$3:$I$34579)</f>
        <v>14198.7</v>
      </c>
      <c r="N59" s="126">
        <f>SUMIF('MPG Payment '!$E$3:$E$34579,'Shayak Income '!D59,'MPG Payment '!$J$3:$J$34579)</f>
        <v>573865.63872719789</v>
      </c>
      <c r="O59" s="126">
        <f t="shared" si="9"/>
        <v>10649.025000000001</v>
      </c>
      <c r="P59" s="126">
        <f t="shared" si="10"/>
        <v>13488.764999999999</v>
      </c>
      <c r="Q59" s="126">
        <f>SUMIF('MPG Payment '!$E$3:$E$34579,'Shayak Income '!D59,'MPG Payment '!$S$3:$S$34579)</f>
        <v>0</v>
      </c>
      <c r="R59" s="126">
        <f t="shared" si="1"/>
        <v>17215.969161815938</v>
      </c>
      <c r="S59" s="126">
        <f t="shared" si="2"/>
        <v>3727.2041618159383</v>
      </c>
      <c r="T59" s="126">
        <f t="shared" si="11"/>
        <v>1419.8700000000001</v>
      </c>
      <c r="U59" s="127">
        <f>(((IF(K59="New",0,SUMIF('MPG Payment '!$E$3:$E$34579,'Shayak Income '!D59,'MPG Payment '!$AC$3:$AC$34579))))+0)+0</f>
        <v>0</v>
      </c>
      <c r="V59" s="127">
        <f t="shared" si="12"/>
        <v>22718</v>
      </c>
      <c r="W59" s="19">
        <f t="shared" si="15"/>
        <v>0</v>
      </c>
      <c r="X59" s="19">
        <f t="shared" si="18"/>
        <v>0</v>
      </c>
      <c r="Y59" s="128">
        <f>IFERROR(VLOOKUP(D59,'Monthly Deduction'!$M$2:$N$64,2,0),0)</f>
        <v>0</v>
      </c>
      <c r="Z59" s="128">
        <v>0</v>
      </c>
      <c r="AA59" s="126">
        <f>IFERROR(VLOOKUP(D59,'Monthly Deduction'!A:B,2,0),0)</f>
        <v>0</v>
      </c>
      <c r="AB59" s="129">
        <f t="shared" si="3"/>
        <v>22718</v>
      </c>
      <c r="AC59" s="130">
        <v>0</v>
      </c>
      <c r="AD59" s="35">
        <f t="shared" si="13"/>
        <v>22718</v>
      </c>
      <c r="AE59" s="166" t="str">
        <f t="shared" si="14"/>
        <v>Release</v>
      </c>
      <c r="AF59" s="127"/>
      <c r="AG59" s="18">
        <v>0</v>
      </c>
      <c r="AH59" s="132"/>
      <c r="AI59" s="238">
        <v>0</v>
      </c>
      <c r="AJ59" s="132"/>
      <c r="AK59" s="151">
        <v>2819.2999999999997</v>
      </c>
      <c r="AL59" s="154">
        <f t="shared" si="4"/>
        <v>0</v>
      </c>
      <c r="AM59" s="155"/>
      <c r="AN59" s="19">
        <f t="shared" si="5"/>
        <v>0</v>
      </c>
      <c r="AO59" s="118">
        <f>SUMIF('MPG Payment '!E:E,'Shayak Income '!D59,'MPG Payment '!AJ:AJ)</f>
        <v>0</v>
      </c>
      <c r="AP59" s="19">
        <f t="shared" si="6"/>
        <v>0</v>
      </c>
      <c r="AQ59" s="119">
        <f t="shared" si="16"/>
        <v>0</v>
      </c>
      <c r="AR59" s="91" t="s">
        <v>1168</v>
      </c>
      <c r="AS59" s="91">
        <f t="shared" si="7"/>
        <v>0</v>
      </c>
      <c r="AT59" s="118"/>
      <c r="AU59" s="118"/>
      <c r="AV59" s="118"/>
    </row>
    <row r="60" spans="1:48" s="20" customFormat="1" x14ac:dyDescent="0.25">
      <c r="A60" s="17">
        <f>IFERROR(VLOOKUP(D60,'Monthly Deduction'!$I$3:$J$957,2,0),0)</f>
        <v>0</v>
      </c>
      <c r="B60" s="17">
        <f>IFERROR(VLOOKUP(D60,'Monthly Deduction'!$E$3:$F$957,2,0),0)</f>
        <v>0</v>
      </c>
      <c r="C60" s="17">
        <f t="shared" si="17"/>
        <v>0</v>
      </c>
      <c r="D60" s="41">
        <v>10020050</v>
      </c>
      <c r="E60" s="122" t="str">
        <f>VLOOKUP(D60,'MPG Payment '!$E$3:$G$498218,2,0)</f>
        <v>GADHTOLA</v>
      </c>
      <c r="F60" s="146">
        <f>IFERROR(_xlfn.XLOOKUP(D60,'Monthly Deduction'!$I$3:$I$957,'Monthly Deduction'!$H$3:$H$957),0)</f>
        <v>0</v>
      </c>
      <c r="G60" s="123" t="str">
        <f>VLOOKUP(D60,'MPG Payment '!$E$3:$G$334579,3,0)</f>
        <v>MPG</v>
      </c>
      <c r="H60" s="124" t="str">
        <f>VLOOKUP(D60,'MPG Payment '!$E$3:$H$334579,4,0)</f>
        <v>Direct</v>
      </c>
      <c r="I60" s="88">
        <f>INDEX('MPG Payment '!$C:$C,MATCH('Shayak Income '!D60,'MPG Payment '!E:E,0))</f>
        <v>1002</v>
      </c>
      <c r="J60" s="88" t="str">
        <f>INDEX('MPG Payment '!$D:$D,MATCH('Shayak Income '!D60,'MPG Payment '!E:E,0))</f>
        <v>Laldiyara</v>
      </c>
      <c r="K60" s="125" t="s">
        <v>1322</v>
      </c>
      <c r="L60" s="125">
        <v>45168</v>
      </c>
      <c r="M60" s="126">
        <f>SUMIF('MPG Payment '!$E$3:$E$34579,'Shayak Income '!D60,'MPG Payment '!$I$3:$I$34579)</f>
        <v>4232.5</v>
      </c>
      <c r="N60" s="126">
        <f>SUMIF('MPG Payment '!$E$3:$E$34579,'Shayak Income '!D60,'MPG Payment '!$J$3:$J$34579)</f>
        <v>171365.69793965961</v>
      </c>
      <c r="O60" s="126">
        <f t="shared" si="9"/>
        <v>3174.375</v>
      </c>
      <c r="P60" s="126">
        <f t="shared" si="10"/>
        <v>4020.875</v>
      </c>
      <c r="Q60" s="126">
        <f>SUMIF('MPG Payment '!$E$3:$E$34579,'Shayak Income '!D60,'MPG Payment '!$S$3:$S$34579)</f>
        <v>749.27021193000007</v>
      </c>
      <c r="R60" s="126">
        <f t="shared" si="1"/>
        <v>5140.9709381897883</v>
      </c>
      <c r="S60" s="126">
        <f t="shared" si="2"/>
        <v>1120.0959381897883</v>
      </c>
      <c r="T60" s="126">
        <f t="shared" si="11"/>
        <v>423.25</v>
      </c>
      <c r="U60" s="127">
        <f>(((IF(K60="New",0,SUMIF('MPG Payment '!$E$3:$E$34579,'Shayak Income '!D60,'MPG Payment '!$AC$3:$AC$34579))))+0)+0</f>
        <v>0</v>
      </c>
      <c r="V60" s="127">
        <f t="shared" si="12"/>
        <v>7521</v>
      </c>
      <c r="W60" s="19">
        <f t="shared" si="15"/>
        <v>0</v>
      </c>
      <c r="X60" s="19">
        <f t="shared" si="18"/>
        <v>0</v>
      </c>
      <c r="Y60" s="128">
        <f>IFERROR(VLOOKUP(D60,'Monthly Deduction'!$M$2:$N$64,2,0),0)</f>
        <v>0</v>
      </c>
      <c r="Z60" s="128">
        <v>0</v>
      </c>
      <c r="AA60" s="126">
        <f>IFERROR(VLOOKUP(D60,'Monthly Deduction'!A:B,2,0),0)</f>
        <v>0</v>
      </c>
      <c r="AB60" s="129">
        <f t="shared" si="3"/>
        <v>7521</v>
      </c>
      <c r="AC60" s="130">
        <v>0</v>
      </c>
      <c r="AD60" s="35">
        <f t="shared" si="13"/>
        <v>7521</v>
      </c>
      <c r="AE60" s="166" t="str">
        <f t="shared" si="14"/>
        <v>Release</v>
      </c>
      <c r="AF60" s="127"/>
      <c r="AG60" s="18">
        <v>0</v>
      </c>
      <c r="AH60" s="120"/>
      <c r="AI60" s="238">
        <v>0</v>
      </c>
      <c r="AJ60" s="132"/>
      <c r="AK60" s="151">
        <v>1614.3999999999999</v>
      </c>
      <c r="AL60" s="154">
        <f t="shared" si="4"/>
        <v>0</v>
      </c>
      <c r="AM60" s="155"/>
      <c r="AN60" s="19">
        <f t="shared" si="5"/>
        <v>0</v>
      </c>
      <c r="AO60" s="118">
        <f>SUMIF('MPG Payment '!E:E,'Shayak Income '!D60,'MPG Payment '!AJ:AJ)</f>
        <v>0</v>
      </c>
      <c r="AP60" s="19">
        <f t="shared" si="6"/>
        <v>0</v>
      </c>
      <c r="AQ60" s="119">
        <f t="shared" si="16"/>
        <v>0</v>
      </c>
      <c r="AR60" s="91" t="s">
        <v>1168</v>
      </c>
      <c r="AS60" s="91">
        <f t="shared" si="7"/>
        <v>0</v>
      </c>
      <c r="AT60" s="118"/>
      <c r="AU60" s="118"/>
      <c r="AV60" s="118"/>
    </row>
    <row r="61" spans="1:48" s="20" customFormat="1" x14ac:dyDescent="0.25">
      <c r="A61" s="17">
        <f>IFERROR(VLOOKUP(D61,'Monthly Deduction'!$I$3:$J$957,2,0),0)</f>
        <v>0</v>
      </c>
      <c r="B61" s="17">
        <f>IFERROR(VLOOKUP(D61,'Monthly Deduction'!$E$3:$F$957,2,0),0)</f>
        <v>0</v>
      </c>
      <c r="C61" s="17">
        <f t="shared" si="17"/>
        <v>0</v>
      </c>
      <c r="D61" s="41">
        <v>10020054</v>
      </c>
      <c r="E61" s="122" t="str">
        <f>VLOOKUP(D61,'MPG Payment '!$E$3:$G$498218,2,0)</f>
        <v>Diyara-Pipariya-Utri - Chandan</v>
      </c>
      <c r="F61" s="146">
        <f>IFERROR(_xlfn.XLOOKUP(D61,'Monthly Deduction'!$I$3:$I$957,'Monthly Deduction'!$H$3:$H$957),0)</f>
        <v>0</v>
      </c>
      <c r="G61" s="123" t="str">
        <f>VLOOKUP(D61,'MPG Payment '!$E$3:$G$334579,3,0)</f>
        <v>vlc</v>
      </c>
      <c r="H61" s="124" t="str">
        <f>VLOOKUP(D61,'MPG Payment '!$E$3:$H$334579,4,0)</f>
        <v>Indirect</v>
      </c>
      <c r="I61" s="88">
        <f>INDEX('MPG Payment '!$C:$C,MATCH('Shayak Income '!D61,'MPG Payment '!E:E,0))</f>
        <v>1002</v>
      </c>
      <c r="J61" s="88" t="str">
        <f>INDEX('MPG Payment '!$D:$D,MATCH('Shayak Income '!D61,'MPG Payment '!E:E,0))</f>
        <v>Laldiyara</v>
      </c>
      <c r="K61" s="125" t="s">
        <v>1322</v>
      </c>
      <c r="L61" s="125">
        <v>44710</v>
      </c>
      <c r="M61" s="126">
        <f>SUMIF('MPG Payment '!$E$3:$E$34579,'Shayak Income '!D61,'MPG Payment '!$I$3:$I$34579)</f>
        <v>4321.8</v>
      </c>
      <c r="N61" s="126">
        <f>SUMIF('MPG Payment '!$E$3:$E$34579,'Shayak Income '!D61,'MPG Payment '!$J$3:$J$34579)</f>
        <v>175498.89175139851</v>
      </c>
      <c r="O61" s="126">
        <f t="shared" si="9"/>
        <v>3241.3500000000004</v>
      </c>
      <c r="P61" s="126">
        <f t="shared" si="10"/>
        <v>4105.71</v>
      </c>
      <c r="Q61" s="126">
        <f>SUMIF('MPG Payment '!$E$3:$E$34579,'Shayak Income '!D61,'MPG Payment '!$S$3:$S$34579)</f>
        <v>0</v>
      </c>
      <c r="R61" s="126">
        <f t="shared" si="1"/>
        <v>5264.9667525419554</v>
      </c>
      <c r="S61" s="126">
        <f t="shared" si="2"/>
        <v>1159.2567525419554</v>
      </c>
      <c r="T61" s="126">
        <f t="shared" si="11"/>
        <v>432.18000000000006</v>
      </c>
      <c r="U61" s="127">
        <f>(((IF(K61="New",0,SUMIF('MPG Payment '!$E$3:$E$34579,'Shayak Income '!D61,'MPG Payment '!$AC$3:$AC$34579))))+0)+0</f>
        <v>220.30490402981599</v>
      </c>
      <c r="V61" s="127">
        <f t="shared" si="12"/>
        <v>6695</v>
      </c>
      <c r="W61" s="19">
        <f t="shared" si="15"/>
        <v>0</v>
      </c>
      <c r="X61" s="19">
        <f t="shared" si="18"/>
        <v>0</v>
      </c>
      <c r="Y61" s="128">
        <f>IFERROR(VLOOKUP(D61,'Monthly Deduction'!$M$2:$N$64,2,0),0)</f>
        <v>0</v>
      </c>
      <c r="Z61" s="128">
        <v>0</v>
      </c>
      <c r="AA61" s="126">
        <f>IFERROR(VLOOKUP(D61,'Monthly Deduction'!A:B,2,0),0)</f>
        <v>0</v>
      </c>
      <c r="AB61" s="129">
        <f t="shared" si="3"/>
        <v>6695</v>
      </c>
      <c r="AC61" s="130">
        <v>0</v>
      </c>
      <c r="AD61" s="35">
        <f t="shared" si="13"/>
        <v>6695</v>
      </c>
      <c r="AE61" s="166" t="str">
        <f t="shared" si="14"/>
        <v>Release</v>
      </c>
      <c r="AF61" s="127"/>
      <c r="AG61" s="127">
        <v>0</v>
      </c>
      <c r="AH61" s="120"/>
      <c r="AI61" s="238">
        <v>0</v>
      </c>
      <c r="AJ61" s="132"/>
      <c r="AK61" s="151">
        <v>1619.2000000000003</v>
      </c>
      <c r="AL61" s="154">
        <f t="shared" si="4"/>
        <v>0</v>
      </c>
      <c r="AM61" s="155"/>
      <c r="AN61" s="19">
        <f t="shared" si="5"/>
        <v>0</v>
      </c>
      <c r="AO61" s="118">
        <f>SUMIF('MPG Payment '!E:E,'Shayak Income '!D61,'MPG Payment '!AJ:AJ)</f>
        <v>0</v>
      </c>
      <c r="AP61" s="19">
        <f t="shared" si="6"/>
        <v>0</v>
      </c>
      <c r="AQ61" s="119">
        <f t="shared" si="16"/>
        <v>0</v>
      </c>
      <c r="AR61" s="91" t="s">
        <v>1168</v>
      </c>
      <c r="AS61" s="91">
        <f t="shared" si="7"/>
        <v>0</v>
      </c>
      <c r="AT61" s="118"/>
      <c r="AU61" s="118"/>
      <c r="AV61" s="118"/>
    </row>
    <row r="62" spans="1:48" s="20" customFormat="1" x14ac:dyDescent="0.25">
      <c r="A62" s="17">
        <f>IFERROR(VLOOKUP(D62,'Monthly Deduction'!$I$3:$J$957,2,0),0)</f>
        <v>0</v>
      </c>
      <c r="B62" s="17">
        <f>IFERROR(VLOOKUP(D62,'Monthly Deduction'!$E$3:$F$957,2,0),0)</f>
        <v>0</v>
      </c>
      <c r="C62" s="17">
        <f t="shared" si="17"/>
        <v>0</v>
      </c>
      <c r="D62" s="41">
        <v>10020057</v>
      </c>
      <c r="E62" s="122" t="str">
        <f>VLOOKUP(D62,'MPG Payment '!$E$3:$G$498218,2,0)</f>
        <v>KANHARPUR-2</v>
      </c>
      <c r="F62" s="146">
        <f>IFERROR(_xlfn.XLOOKUP(D62,'Monthly Deduction'!$I$3:$I$957,'Monthly Deduction'!$H$3:$H$957),0)</f>
        <v>0</v>
      </c>
      <c r="G62" s="123" t="str">
        <f>VLOOKUP(D62,'MPG Payment '!$E$3:$G$334579,3,0)</f>
        <v>MPG</v>
      </c>
      <c r="H62" s="124" t="str">
        <f>VLOOKUP(D62,'MPG Payment '!$E$3:$H$334579,4,0)</f>
        <v>Direct</v>
      </c>
      <c r="I62" s="88">
        <f>INDEX('MPG Payment '!$C:$C,MATCH('Shayak Income '!D62,'MPG Payment '!E:E,0))</f>
        <v>1002</v>
      </c>
      <c r="J62" s="88" t="str">
        <f>INDEX('MPG Payment '!$D:$D,MATCH('Shayak Income '!D62,'MPG Payment '!E:E,0))</f>
        <v>Laldiyara</v>
      </c>
      <c r="K62" s="125" t="s">
        <v>1322</v>
      </c>
      <c r="L62" s="125">
        <v>45248</v>
      </c>
      <c r="M62" s="126">
        <f>SUMIF('MPG Payment '!$E$3:$E$34579,'Shayak Income '!D62,'MPG Payment '!$I$3:$I$34579)</f>
        <v>11300.5</v>
      </c>
      <c r="N62" s="126">
        <f>SUMIF('MPG Payment '!$E$3:$E$34579,'Shayak Income '!D62,'MPG Payment '!$J$3:$J$34579)</f>
        <v>492448.50241686503</v>
      </c>
      <c r="O62" s="126">
        <f t="shared" si="9"/>
        <v>8475.375</v>
      </c>
      <c r="P62" s="126">
        <f t="shared" si="10"/>
        <v>10735.475</v>
      </c>
      <c r="Q62" s="126">
        <f>SUMIF('MPG Payment '!$E$3:$E$34579,'Shayak Income '!D62,'MPG Payment '!$S$3:$S$34579)</f>
        <v>6391.6614125608003</v>
      </c>
      <c r="R62" s="126">
        <f t="shared" si="1"/>
        <v>14773.455072505951</v>
      </c>
      <c r="S62" s="126">
        <f t="shared" si="2"/>
        <v>4037.9800725059504</v>
      </c>
      <c r="T62" s="126">
        <f t="shared" si="11"/>
        <v>1130.05</v>
      </c>
      <c r="U62" s="127">
        <f>(((IF(K62="New",0,SUMIF('MPG Payment '!$E$3:$E$34579,'Shayak Income '!D62,'MPG Payment '!$AC$3:$AC$34579))))+0)+0</f>
        <v>0</v>
      </c>
      <c r="V62" s="127">
        <f t="shared" si="12"/>
        <v>24472</v>
      </c>
      <c r="W62" s="19">
        <f t="shared" si="15"/>
        <v>0</v>
      </c>
      <c r="X62" s="19">
        <f t="shared" si="18"/>
        <v>0</v>
      </c>
      <c r="Y62" s="128">
        <f>IFERROR(VLOOKUP(D62,'Monthly Deduction'!$M$2:$N$64,2,0),0)</f>
        <v>0</v>
      </c>
      <c r="Z62" s="128">
        <v>0</v>
      </c>
      <c r="AA62" s="126">
        <f>IFERROR(VLOOKUP(D62,'Monthly Deduction'!A:B,2,0),0)</f>
        <v>0</v>
      </c>
      <c r="AB62" s="129">
        <f t="shared" si="3"/>
        <v>24472</v>
      </c>
      <c r="AC62" s="130">
        <v>0</v>
      </c>
      <c r="AD62" s="35">
        <f t="shared" si="13"/>
        <v>24472</v>
      </c>
      <c r="AE62" s="166" t="str">
        <f t="shared" si="14"/>
        <v>Release</v>
      </c>
      <c r="AF62" s="127"/>
      <c r="AG62" s="18">
        <v>0</v>
      </c>
      <c r="AH62" s="132"/>
      <c r="AI62" s="238">
        <v>0</v>
      </c>
      <c r="AJ62" s="132"/>
      <c r="AK62" s="151">
        <v>2837.7000000000003</v>
      </c>
      <c r="AL62" s="154">
        <f t="shared" si="4"/>
        <v>0</v>
      </c>
      <c r="AM62" s="155"/>
      <c r="AN62" s="19">
        <f t="shared" si="5"/>
        <v>0</v>
      </c>
      <c r="AO62" s="118">
        <f>SUMIF('MPG Payment '!E:E,'Shayak Income '!D62,'MPG Payment '!AJ:AJ)</f>
        <v>0</v>
      </c>
      <c r="AP62" s="19">
        <f t="shared" si="6"/>
        <v>0</v>
      </c>
      <c r="AQ62" s="119">
        <f t="shared" si="16"/>
        <v>0</v>
      </c>
      <c r="AR62" s="91" t="s">
        <v>1168</v>
      </c>
      <c r="AS62" s="91">
        <f t="shared" si="7"/>
        <v>0</v>
      </c>
      <c r="AT62" s="118"/>
      <c r="AU62" s="118"/>
      <c r="AV62" s="118"/>
    </row>
    <row r="63" spans="1:48" s="20" customFormat="1" x14ac:dyDescent="0.25">
      <c r="A63" s="17">
        <f>IFERROR(VLOOKUP(D63,'Monthly Deduction'!$I$3:$J$957,2,0),0)</f>
        <v>0</v>
      </c>
      <c r="B63" s="17">
        <f>IFERROR(VLOOKUP(D63,'Monthly Deduction'!$E$3:$F$957,2,0),0)</f>
        <v>5844.2936000000009</v>
      </c>
      <c r="C63" s="17">
        <f t="shared" si="17"/>
        <v>5844.2936000000009</v>
      </c>
      <c r="D63" s="41">
        <v>10020058</v>
      </c>
      <c r="E63" s="122" t="str">
        <f>VLOOKUP(D63,'MPG Payment '!$E$3:$G$498218,2,0)</f>
        <v>BASAUNA</v>
      </c>
      <c r="F63" s="146">
        <f>IFERROR(_xlfn.XLOOKUP(D63,'Monthly Deduction'!$I$3:$I$957,'Monthly Deduction'!$H$3:$H$957),0)</f>
        <v>0</v>
      </c>
      <c r="G63" s="123" t="str">
        <f>VLOOKUP(D63,'MPG Payment '!$E$3:$G$334579,3,0)</f>
        <v>MPG</v>
      </c>
      <c r="H63" s="124" t="str">
        <f>VLOOKUP(D63,'MPG Payment '!$E$3:$H$334579,4,0)</f>
        <v>Direct</v>
      </c>
      <c r="I63" s="88">
        <f>INDEX('MPG Payment '!$C:$C,MATCH('Shayak Income '!D63,'MPG Payment '!E:E,0))</f>
        <v>1002</v>
      </c>
      <c r="J63" s="88" t="str">
        <f>INDEX('MPG Payment '!$D:$D,MATCH('Shayak Income '!D63,'MPG Payment '!E:E,0))</f>
        <v>Laldiyara</v>
      </c>
      <c r="K63" s="125" t="s">
        <v>1322</v>
      </c>
      <c r="L63" s="125">
        <v>45283</v>
      </c>
      <c r="M63" s="126">
        <f>SUMIF('MPG Payment '!$E$3:$E$34579,'Shayak Income '!D63,'MPG Payment '!$I$3:$I$34579)</f>
        <v>3914</v>
      </c>
      <c r="N63" s="126">
        <f>SUMIF('MPG Payment '!$E$3:$E$34579,'Shayak Income '!D63,'MPG Payment '!$J$3:$J$34579)</f>
        <v>156649.61575686</v>
      </c>
      <c r="O63" s="126">
        <f t="shared" si="9"/>
        <v>2935.5</v>
      </c>
      <c r="P63" s="126">
        <f t="shared" si="10"/>
        <v>3718.2999999999997</v>
      </c>
      <c r="Q63" s="126">
        <f>SUMIF('MPG Payment '!$E$3:$E$34579,'Shayak Income '!D63,'MPG Payment '!$S$3:$S$34579)</f>
        <v>921.86856859222814</v>
      </c>
      <c r="R63" s="126">
        <f t="shared" si="1"/>
        <v>4699.4884727057997</v>
      </c>
      <c r="S63" s="126">
        <f t="shared" si="2"/>
        <v>981.1884727058</v>
      </c>
      <c r="T63" s="126">
        <f t="shared" si="11"/>
        <v>391.40000000000003</v>
      </c>
      <c r="U63" s="127">
        <f>(((IF(K63="New",0,SUMIF('MPG Payment '!$E$3:$E$34579,'Shayak Income '!D63,'MPG Payment '!$AC$3:$AC$34579))))+0)+0</f>
        <v>0</v>
      </c>
      <c r="V63" s="127">
        <f t="shared" si="12"/>
        <v>7184</v>
      </c>
      <c r="W63" s="19">
        <f t="shared" si="15"/>
        <v>0</v>
      </c>
      <c r="X63" s="19">
        <f t="shared" si="18"/>
        <v>3132.9923151372</v>
      </c>
      <c r="Y63" s="128">
        <f>IFERROR(VLOOKUP(D63,'Monthly Deduction'!$M$2:$N$64,2,0),0)</f>
        <v>0</v>
      </c>
      <c r="Z63" s="128">
        <v>0</v>
      </c>
      <c r="AA63" s="126">
        <f>IFERROR(VLOOKUP(D63,'Monthly Deduction'!A:B,2,0),0)</f>
        <v>0</v>
      </c>
      <c r="AB63" s="129">
        <f t="shared" si="3"/>
        <v>4051</v>
      </c>
      <c r="AC63" s="130">
        <v>0</v>
      </c>
      <c r="AD63" s="35">
        <f t="shared" si="13"/>
        <v>4051</v>
      </c>
      <c r="AE63" s="166" t="str">
        <f t="shared" si="14"/>
        <v>Release</v>
      </c>
      <c r="AF63" s="127"/>
      <c r="AG63" s="18">
        <v>0</v>
      </c>
      <c r="AH63" s="120"/>
      <c r="AI63" s="238">
        <v>0</v>
      </c>
      <c r="AJ63" s="132"/>
      <c r="AK63" s="151">
        <v>1040.1000000000001</v>
      </c>
      <c r="AL63" s="154">
        <f t="shared" si="4"/>
        <v>0</v>
      </c>
      <c r="AM63" s="155"/>
      <c r="AN63" s="19">
        <f t="shared" si="5"/>
        <v>0</v>
      </c>
      <c r="AO63" s="118">
        <f>SUMIF('MPG Payment '!E:E,'Shayak Income '!D63,'MPG Payment '!AJ:AJ)</f>
        <v>0</v>
      </c>
      <c r="AP63" s="19">
        <f t="shared" si="6"/>
        <v>0</v>
      </c>
      <c r="AQ63" s="119">
        <f t="shared" si="16"/>
        <v>0</v>
      </c>
      <c r="AR63" s="91" t="s">
        <v>1168</v>
      </c>
      <c r="AS63" s="91">
        <f t="shared" si="7"/>
        <v>2711.3012848628009</v>
      </c>
      <c r="AT63" s="118"/>
      <c r="AU63" s="118"/>
      <c r="AV63" s="118"/>
    </row>
    <row r="64" spans="1:48" s="20" customFormat="1" x14ac:dyDescent="0.25">
      <c r="A64" s="17">
        <f>IFERROR(VLOOKUP(D64,'Monthly Deduction'!$I$3:$J$957,2,0),0)</f>
        <v>5297.5668450046069</v>
      </c>
      <c r="B64" s="17">
        <f>IFERROR(VLOOKUP(D64,'Monthly Deduction'!$E$3:$F$957,2,0),0)</f>
        <v>12800</v>
      </c>
      <c r="C64" s="17">
        <f t="shared" si="17"/>
        <v>18097.566845004607</v>
      </c>
      <c r="D64" s="41">
        <v>10020059</v>
      </c>
      <c r="E64" s="122" t="str">
        <f>VLOOKUP(D64,'MPG Payment '!$E$3:$G$498218,2,0)</f>
        <v>GANGA-SARAI</v>
      </c>
      <c r="F64" s="146">
        <f>IFERROR(_xlfn.XLOOKUP(D64,'Monthly Deduction'!$I$3:$I$957,'Monthly Deduction'!$H$3:$H$957),0)</f>
        <v>0</v>
      </c>
      <c r="G64" s="123" t="str">
        <f>VLOOKUP(D64,'MPG Payment '!$E$3:$G$334579,3,0)</f>
        <v>MPG</v>
      </c>
      <c r="H64" s="124" t="str">
        <f>VLOOKUP(D64,'MPG Payment '!$E$3:$H$334579,4,0)</f>
        <v>Direct</v>
      </c>
      <c r="I64" s="88">
        <f>INDEX('MPG Payment '!$C:$C,MATCH('Shayak Income '!D64,'MPG Payment '!E:E,0))</f>
        <v>1002</v>
      </c>
      <c r="J64" s="88" t="str">
        <f>INDEX('MPG Payment '!$D:$D,MATCH('Shayak Income '!D64,'MPG Payment '!E:E,0))</f>
        <v>Laldiyara</v>
      </c>
      <c r="K64" s="125" t="s">
        <v>1322</v>
      </c>
      <c r="L64" s="125">
        <v>45268</v>
      </c>
      <c r="M64" s="126">
        <f>SUMIF('MPG Payment '!$E$3:$E$34579,'Shayak Income '!D64,'MPG Payment '!$I$3:$I$34579)</f>
        <v>5251.4</v>
      </c>
      <c r="N64" s="126">
        <f>SUMIF('MPG Payment '!$E$3:$E$34579,'Shayak Income '!D64,'MPG Payment '!$J$3:$J$34579)</f>
        <v>209452.65491984005</v>
      </c>
      <c r="O64" s="126">
        <f t="shared" si="9"/>
        <v>3938.5499999999997</v>
      </c>
      <c r="P64" s="126">
        <f t="shared" si="10"/>
        <v>4988.829999999999</v>
      </c>
      <c r="Q64" s="126">
        <f>SUMIF('MPG Payment '!$E$3:$E$34579,'Shayak Income '!D64,'MPG Payment '!$S$3:$S$34579)</f>
        <v>1995.9258166536001</v>
      </c>
      <c r="R64" s="126">
        <f t="shared" si="1"/>
        <v>6283.5796475952011</v>
      </c>
      <c r="S64" s="126">
        <f t="shared" si="2"/>
        <v>1294.7496475952021</v>
      </c>
      <c r="T64" s="126">
        <f t="shared" si="11"/>
        <v>525.14</v>
      </c>
      <c r="U64" s="127">
        <f>(((IF(K64="New",0,SUMIF('MPG Payment '!$E$3:$E$34579,'Shayak Income '!D64,'MPG Payment '!$AC$3:$AC$34579))))+0)+0</f>
        <v>0</v>
      </c>
      <c r="V64" s="127">
        <f t="shared" si="12"/>
        <v>10398</v>
      </c>
      <c r="W64" s="19">
        <f t="shared" si="15"/>
        <v>4189.053098396801</v>
      </c>
      <c r="X64" s="19">
        <v>0</v>
      </c>
      <c r="Y64" s="128">
        <f>IFERROR(VLOOKUP(D64,'Monthly Deduction'!$M$2:$N$64,2,0),0)</f>
        <v>0</v>
      </c>
      <c r="Z64" s="128">
        <v>0</v>
      </c>
      <c r="AA64" s="126">
        <f>IFERROR(VLOOKUP(D64,'Monthly Deduction'!A:B,2,0),0)</f>
        <v>0</v>
      </c>
      <c r="AB64" s="129">
        <f t="shared" si="3"/>
        <v>6209</v>
      </c>
      <c r="AC64" s="130">
        <v>0</v>
      </c>
      <c r="AD64" s="35">
        <f t="shared" si="13"/>
        <v>6209</v>
      </c>
      <c r="AE64" s="166" t="str">
        <f t="shared" si="14"/>
        <v>Release</v>
      </c>
      <c r="AF64" s="127"/>
      <c r="AG64" s="18">
        <v>0</v>
      </c>
      <c r="AH64" s="120"/>
      <c r="AI64" s="238">
        <v>0</v>
      </c>
      <c r="AJ64" s="132"/>
      <c r="AK64" s="151">
        <v>1541.6</v>
      </c>
      <c r="AL64" s="154">
        <f t="shared" si="4"/>
        <v>0</v>
      </c>
      <c r="AM64" s="155"/>
      <c r="AN64" s="19">
        <f t="shared" si="5"/>
        <v>4189.053098396801</v>
      </c>
      <c r="AO64" s="118">
        <f>SUMIF('MPG Payment '!E:E,'Shayak Income '!D64,'MPG Payment '!AJ:AJ)</f>
        <v>0</v>
      </c>
      <c r="AP64" s="19">
        <f t="shared" si="6"/>
        <v>4189.053098396801</v>
      </c>
      <c r="AQ64" s="119">
        <f t="shared" si="16"/>
        <v>4189.053098396801</v>
      </c>
      <c r="AR64" s="91" t="s">
        <v>1168</v>
      </c>
      <c r="AS64" s="91">
        <f t="shared" si="7"/>
        <v>12800</v>
      </c>
      <c r="AT64" s="118"/>
      <c r="AU64" s="118"/>
      <c r="AV64" s="118"/>
    </row>
    <row r="65" spans="1:48" s="20" customFormat="1" x14ac:dyDescent="0.25">
      <c r="A65" s="17">
        <f>IFERROR(VLOOKUP(D65,'Monthly Deduction'!$I$3:$J$957,2,0),0)</f>
        <v>26623.521577673178</v>
      </c>
      <c r="B65" s="17">
        <f>IFERROR(VLOOKUP(D65,'Monthly Deduction'!$E$3:$F$957,2,0),0)</f>
        <v>11212.327325161281</v>
      </c>
      <c r="C65" s="17">
        <f t="shared" si="17"/>
        <v>37835.848902834463</v>
      </c>
      <c r="D65" s="41">
        <v>10020062</v>
      </c>
      <c r="E65" s="122" t="str">
        <f>VLOOKUP(D65,'MPG Payment '!$E$3:$G$498218,2,0)</f>
        <v xml:space="preserve">GOVIND-BIGHA                                                                                        </v>
      </c>
      <c r="F65" s="146">
        <f>IFERROR(_xlfn.XLOOKUP(D65,'Monthly Deduction'!$I$3:$I$957,'Monthly Deduction'!$H$3:$H$957),0)</f>
        <v>0</v>
      </c>
      <c r="G65" s="123" t="str">
        <f>VLOOKUP(D65,'MPG Payment '!$E$3:$G$334579,3,0)</f>
        <v>MPG</v>
      </c>
      <c r="H65" s="124" t="str">
        <f>VLOOKUP(D65,'MPG Payment '!$E$3:$H$334579,4,0)</f>
        <v>Direct</v>
      </c>
      <c r="I65" s="88">
        <f>INDEX('MPG Payment '!$C:$C,MATCH('Shayak Income '!D65,'MPG Payment '!E:E,0))</f>
        <v>1002</v>
      </c>
      <c r="J65" s="88" t="str">
        <f>INDEX('MPG Payment '!$D:$D,MATCH('Shayak Income '!D65,'MPG Payment '!E:E,0))</f>
        <v>Laldiyara</v>
      </c>
      <c r="K65" s="125" t="s">
        <v>1322</v>
      </c>
      <c r="L65" s="125">
        <v>45205</v>
      </c>
      <c r="M65" s="126">
        <f>SUMIF('MPG Payment '!$E$3:$E$34579,'Shayak Income '!D65,'MPG Payment '!$I$3:$I$34579)</f>
        <v>1356.7</v>
      </c>
      <c r="N65" s="126">
        <f>SUMIF('MPG Payment '!$E$3:$E$34579,'Shayak Income '!D65,'MPG Payment '!$J$3:$J$34579)</f>
        <v>54309.50865239001</v>
      </c>
      <c r="O65" s="126">
        <f t="shared" si="9"/>
        <v>1017.5250000000001</v>
      </c>
      <c r="P65" s="126">
        <f t="shared" si="10"/>
        <v>1288.865</v>
      </c>
      <c r="Q65" s="126">
        <f>SUMIF('MPG Payment '!$E$3:$E$34579,'Shayak Income '!D65,'MPG Payment '!$S$3:$S$34579)</f>
        <v>737.22626038800001</v>
      </c>
      <c r="R65" s="126">
        <f t="shared" si="1"/>
        <v>1629.2852595717002</v>
      </c>
      <c r="S65" s="126">
        <f t="shared" si="2"/>
        <v>340.42025957170017</v>
      </c>
      <c r="T65" s="126">
        <f t="shared" si="11"/>
        <v>135.67000000000002</v>
      </c>
      <c r="U65" s="127">
        <f>(((IF(K65="New",0,SUMIF('MPG Payment '!$E$3:$E$34579,'Shayak Income '!D65,'MPG Payment '!$AC$3:$AC$34579))))+0)+0</f>
        <v>1157.4706526670179</v>
      </c>
      <c r="V65" s="127">
        <f t="shared" si="12"/>
        <v>1750</v>
      </c>
      <c r="W65" s="19">
        <v>1750</v>
      </c>
      <c r="X65" s="19">
        <v>0</v>
      </c>
      <c r="Y65" s="128">
        <f>IFERROR(VLOOKUP(D65,'Monthly Deduction'!$M$2:$N$64,2,0),0)</f>
        <v>0</v>
      </c>
      <c r="Z65" s="128">
        <v>0</v>
      </c>
      <c r="AA65" s="126">
        <f>IFERROR(VLOOKUP(D65,'Monthly Deduction'!A:B,2,0),0)</f>
        <v>0</v>
      </c>
      <c r="AB65" s="129">
        <f t="shared" si="3"/>
        <v>0</v>
      </c>
      <c r="AC65" s="130">
        <v>0</v>
      </c>
      <c r="AD65" s="35">
        <f t="shared" si="13"/>
        <v>0</v>
      </c>
      <c r="AE65" s="166" t="str">
        <f t="shared" si="14"/>
        <v>Release</v>
      </c>
      <c r="AF65" s="127"/>
      <c r="AG65" s="18">
        <v>0</v>
      </c>
      <c r="AH65" s="120"/>
      <c r="AI65" s="238">
        <v>0</v>
      </c>
      <c r="AJ65" s="132"/>
      <c r="AK65" s="151">
        <v>352.50000000000006</v>
      </c>
      <c r="AL65" s="154">
        <f t="shared" si="4"/>
        <v>0</v>
      </c>
      <c r="AM65" s="155"/>
      <c r="AN65" s="19">
        <f t="shared" si="5"/>
        <v>1861</v>
      </c>
      <c r="AO65" s="118">
        <f>SUMIF('MPG Payment '!E:E,'Shayak Income '!D65,'MPG Payment '!AJ:AJ)</f>
        <v>0</v>
      </c>
      <c r="AP65" s="19">
        <f t="shared" si="6"/>
        <v>1750</v>
      </c>
      <c r="AQ65" s="119">
        <f t="shared" si="16"/>
        <v>1750</v>
      </c>
      <c r="AR65" s="91" t="s">
        <v>1168</v>
      </c>
      <c r="AS65" s="91">
        <f t="shared" si="7"/>
        <v>11212.327325161281</v>
      </c>
      <c r="AT65" s="118"/>
      <c r="AU65" s="118"/>
      <c r="AV65" s="118"/>
    </row>
    <row r="66" spans="1:48" s="20" customFormat="1" x14ac:dyDescent="0.25">
      <c r="A66" s="17">
        <f>IFERROR(VLOOKUP(D66,'Monthly Deduction'!$I$3:$J$957,2,0),0)</f>
        <v>0</v>
      </c>
      <c r="B66" s="17">
        <f>IFERROR(VLOOKUP(D66,'Monthly Deduction'!$E$3:$F$957,2,0),0)</f>
        <v>0</v>
      </c>
      <c r="C66" s="17">
        <f t="shared" si="17"/>
        <v>0</v>
      </c>
      <c r="D66" s="41">
        <v>10020063</v>
      </c>
      <c r="E66" s="122" t="str">
        <f>VLOOKUP(D66,'MPG Payment '!$E$3:$G$498218,2,0)</f>
        <v>MALPUR                                                                                              </v>
      </c>
      <c r="F66" s="146">
        <f>IFERROR(_xlfn.XLOOKUP(D66,'Monthly Deduction'!$I$3:$I$957,'Monthly Deduction'!$H$3:$H$957),0)</f>
        <v>0</v>
      </c>
      <c r="G66" s="123" t="str">
        <f>VLOOKUP(D66,'MPG Payment '!$E$3:$G$334579,3,0)</f>
        <v>MPG</v>
      </c>
      <c r="H66" s="124" t="str">
        <f>VLOOKUP(D66,'MPG Payment '!$E$3:$H$334579,4,0)</f>
        <v>Direct</v>
      </c>
      <c r="I66" s="88">
        <f>INDEX('MPG Payment '!$C:$C,MATCH('Shayak Income '!D66,'MPG Payment '!E:E,0))</f>
        <v>1002</v>
      </c>
      <c r="J66" s="88" t="str">
        <f>INDEX('MPG Payment '!$D:$D,MATCH('Shayak Income '!D66,'MPG Payment '!E:E,0))</f>
        <v>Laldiyara</v>
      </c>
      <c r="K66" s="125" t="s">
        <v>1322</v>
      </c>
      <c r="L66" s="125">
        <v>45198</v>
      </c>
      <c r="M66" s="126">
        <f>SUMIF('MPG Payment '!$E$3:$E$34579,'Shayak Income '!D66,'MPG Payment '!$I$3:$I$34579)</f>
        <v>4637.6000000000004</v>
      </c>
      <c r="N66" s="126">
        <f>SUMIF('MPG Payment '!$E$3:$E$34579,'Shayak Income '!D66,'MPG Payment '!$J$3:$J$34579)</f>
        <v>193388.8772450336</v>
      </c>
      <c r="O66" s="126">
        <f t="shared" si="9"/>
        <v>3478.2000000000003</v>
      </c>
      <c r="P66" s="126">
        <f t="shared" si="10"/>
        <v>4405.72</v>
      </c>
      <c r="Q66" s="126">
        <f>SUMIF('MPG Payment '!$E$3:$E$34579,'Shayak Income '!D66,'MPG Payment '!$S$3:$S$34579)</f>
        <v>1231.5259644480002</v>
      </c>
      <c r="R66" s="126">
        <f t="shared" si="1"/>
        <v>5801.6663173510078</v>
      </c>
      <c r="S66" s="126">
        <f t="shared" si="2"/>
        <v>1395.9463173510076</v>
      </c>
      <c r="T66" s="126">
        <f t="shared" si="11"/>
        <v>463.76000000000005</v>
      </c>
      <c r="U66" s="127">
        <f>(((IF(K66="New",0,SUMIF('MPG Payment '!$E$3:$E$34579,'Shayak Income '!D66,'MPG Payment '!$AC$3:$AC$34579))))+0)+0</f>
        <v>0</v>
      </c>
      <c r="V66" s="127">
        <f t="shared" si="12"/>
        <v>8652</v>
      </c>
      <c r="W66" s="19">
        <f t="shared" si="15"/>
        <v>0</v>
      </c>
      <c r="X66" s="19">
        <f t="shared" si="18"/>
        <v>0</v>
      </c>
      <c r="Y66" s="128">
        <f>IFERROR(VLOOKUP(D66,'Monthly Deduction'!$M$2:$N$64,2,0),0)</f>
        <v>0</v>
      </c>
      <c r="Z66" s="128">
        <v>0</v>
      </c>
      <c r="AA66" s="126">
        <f>IFERROR(VLOOKUP(D66,'Monthly Deduction'!A:B,2,0),0)</f>
        <v>0</v>
      </c>
      <c r="AB66" s="129">
        <f t="shared" si="3"/>
        <v>8652</v>
      </c>
      <c r="AC66" s="130">
        <v>0</v>
      </c>
      <c r="AD66" s="35">
        <f t="shared" si="13"/>
        <v>8652</v>
      </c>
      <c r="AE66" s="166" t="str">
        <f t="shared" si="14"/>
        <v>Release</v>
      </c>
      <c r="AF66" s="127"/>
      <c r="AG66" s="18">
        <v>0</v>
      </c>
      <c r="AH66" s="120"/>
      <c r="AI66" s="238">
        <v>0</v>
      </c>
      <c r="AJ66" s="132"/>
      <c r="AK66" s="151">
        <v>1122.5999999999997</v>
      </c>
      <c r="AL66" s="154">
        <f t="shared" si="4"/>
        <v>0</v>
      </c>
      <c r="AM66" s="155"/>
      <c r="AN66" s="19">
        <f t="shared" si="5"/>
        <v>0</v>
      </c>
      <c r="AO66" s="118">
        <f>SUMIF('MPG Payment '!E:E,'Shayak Income '!D66,'MPG Payment '!AJ:AJ)</f>
        <v>0</v>
      </c>
      <c r="AP66" s="19">
        <f t="shared" si="6"/>
        <v>0</v>
      </c>
      <c r="AQ66" s="119">
        <f t="shared" si="16"/>
        <v>0</v>
      </c>
      <c r="AR66" s="91" t="s">
        <v>1168</v>
      </c>
      <c r="AS66" s="91">
        <f t="shared" si="7"/>
        <v>0</v>
      </c>
      <c r="AT66" s="118"/>
      <c r="AU66" s="118"/>
      <c r="AV66" s="118"/>
    </row>
    <row r="67" spans="1:48" s="20" customFormat="1" x14ac:dyDescent="0.25">
      <c r="A67" s="17">
        <f>IFERROR(VLOOKUP(D67,'Monthly Deduction'!$I$3:$J$957,2,0),0)</f>
        <v>0</v>
      </c>
      <c r="B67" s="17">
        <f>IFERROR(VLOOKUP(D67,'Monthly Deduction'!$E$3:$F$957,2,0),0)</f>
        <v>0</v>
      </c>
      <c r="C67" s="17">
        <f t="shared" si="17"/>
        <v>0</v>
      </c>
      <c r="D67" s="41">
        <v>10020064</v>
      </c>
      <c r="E67" s="122" t="str">
        <f>VLOOKUP(D67,'MPG Payment '!$E$3:$G$498218,2,0)</f>
        <v>Gomukh Hasanpur</v>
      </c>
      <c r="F67" s="146">
        <f>IFERROR(_xlfn.XLOOKUP(D67,'Monthly Deduction'!$I$3:$I$957,'Monthly Deduction'!$H$3:$H$957),0)</f>
        <v>0</v>
      </c>
      <c r="G67" s="123" t="str">
        <f>VLOOKUP(D67,'MPG Payment '!$E$3:$G$334579,3,0)</f>
        <v>vlc</v>
      </c>
      <c r="H67" s="124" t="str">
        <f>VLOOKUP(D67,'MPG Payment '!$E$3:$H$334579,4,0)</f>
        <v>Indirect</v>
      </c>
      <c r="I67" s="88">
        <f>INDEX('MPG Payment '!$C:$C,MATCH('Shayak Income '!D67,'MPG Payment '!E:E,0))</f>
        <v>1002</v>
      </c>
      <c r="J67" s="88" t="str">
        <f>INDEX('MPG Payment '!$D:$D,MATCH('Shayak Income '!D67,'MPG Payment '!E:E,0))</f>
        <v>Laldiyara</v>
      </c>
      <c r="K67" s="125" t="s">
        <v>1322</v>
      </c>
      <c r="L67" s="125">
        <v>44958</v>
      </c>
      <c r="M67" s="126">
        <f>SUMIF('MPG Payment '!$E$3:$E$34579,'Shayak Income '!D67,'MPG Payment '!$I$3:$I$34579)</f>
        <v>3248.9000000000005</v>
      </c>
      <c r="N67" s="126">
        <f>SUMIF('MPG Payment '!$E$3:$E$34579,'Shayak Income '!D67,'MPG Payment '!$J$3:$J$34579)</f>
        <v>129413.75568794401</v>
      </c>
      <c r="O67" s="126">
        <f t="shared" si="9"/>
        <v>2436.6750000000002</v>
      </c>
      <c r="P67" s="126">
        <f t="shared" si="10"/>
        <v>3086.4550000000004</v>
      </c>
      <c r="Q67" s="126">
        <f>SUMIF('MPG Payment '!$E$3:$E$34579,'Shayak Income '!D67,'MPG Payment '!$S$3:$S$34579)</f>
        <v>0</v>
      </c>
      <c r="R67" s="126">
        <f t="shared" si="1"/>
        <v>3882.4126706383199</v>
      </c>
      <c r="S67" s="126">
        <f t="shared" si="2"/>
        <v>795.95767063831954</v>
      </c>
      <c r="T67" s="126">
        <f t="shared" si="11"/>
        <v>324.8900000000001</v>
      </c>
      <c r="U67" s="127">
        <f>(((IF(K67="New",0,SUMIF('MPG Payment '!$E$3:$E$34579,'Shayak Income '!D67,'MPG Payment '!$AC$3:$AC$34579))))+0)+0</f>
        <v>379.02660614334462</v>
      </c>
      <c r="V67" s="127">
        <f t="shared" si="12"/>
        <v>4819</v>
      </c>
      <c r="W67" s="19">
        <f t="shared" si="15"/>
        <v>0</v>
      </c>
      <c r="X67" s="19">
        <f t="shared" si="18"/>
        <v>0</v>
      </c>
      <c r="Y67" s="128">
        <f>IFERROR(VLOOKUP(D67,'Monthly Deduction'!$M$2:$N$64,2,0),0)</f>
        <v>0</v>
      </c>
      <c r="Z67" s="128">
        <v>0</v>
      </c>
      <c r="AA67" s="126">
        <f>IFERROR(VLOOKUP(D67,'Monthly Deduction'!A:B,2,0),0)</f>
        <v>0</v>
      </c>
      <c r="AB67" s="129">
        <f t="shared" si="3"/>
        <v>4819</v>
      </c>
      <c r="AC67" s="130">
        <v>0</v>
      </c>
      <c r="AD67" s="35">
        <f t="shared" si="13"/>
        <v>4819</v>
      </c>
      <c r="AE67" s="166" t="str">
        <f t="shared" si="14"/>
        <v>Release</v>
      </c>
      <c r="AF67" s="127"/>
      <c r="AG67" s="18">
        <v>0</v>
      </c>
      <c r="AH67" s="120"/>
      <c r="AI67" s="238">
        <v>0</v>
      </c>
      <c r="AJ67" s="132"/>
      <c r="AK67" s="151">
        <v>1256.6199999999999</v>
      </c>
      <c r="AL67" s="154">
        <f t="shared" si="4"/>
        <v>0</v>
      </c>
      <c r="AM67" s="155"/>
      <c r="AN67" s="19">
        <f t="shared" si="5"/>
        <v>0</v>
      </c>
      <c r="AO67" s="118">
        <f>SUMIF('MPG Payment '!E:E,'Shayak Income '!D67,'MPG Payment '!AJ:AJ)</f>
        <v>0</v>
      </c>
      <c r="AP67" s="19">
        <f t="shared" si="6"/>
        <v>0</v>
      </c>
      <c r="AQ67" s="119">
        <f t="shared" si="16"/>
        <v>0</v>
      </c>
      <c r="AR67" s="91" t="s">
        <v>1168</v>
      </c>
      <c r="AS67" s="91">
        <f t="shared" si="7"/>
        <v>0</v>
      </c>
      <c r="AT67" s="118"/>
      <c r="AU67" s="118"/>
      <c r="AV67" s="118"/>
    </row>
    <row r="68" spans="1:48" s="20" customFormat="1" x14ac:dyDescent="0.25">
      <c r="A68" s="17">
        <f>IFERROR(VLOOKUP(D68,'Monthly Deduction'!$I$3:$J$957,2,0),0)</f>
        <v>0</v>
      </c>
      <c r="B68" s="17">
        <f>IFERROR(VLOOKUP(D68,'Monthly Deduction'!$E$3:$F$957,2,0),0)</f>
        <v>0</v>
      </c>
      <c r="C68" s="17">
        <f t="shared" si="17"/>
        <v>0</v>
      </c>
      <c r="D68" s="41">
        <v>10020067</v>
      </c>
      <c r="E68" s="122" t="str">
        <f>VLOOKUP(D68,'MPG Payment '!$E$3:$G$498218,2,0)</f>
        <v>ADARSH LAXMIPUR-2</v>
      </c>
      <c r="F68" s="146">
        <f>IFERROR(_xlfn.XLOOKUP(D68,'Monthly Deduction'!$I$3:$I$957,'Monthly Deduction'!$H$3:$H$957),0)</f>
        <v>0</v>
      </c>
      <c r="G68" s="123" t="str">
        <f>VLOOKUP(D68,'MPG Payment '!$E$3:$G$334579,3,0)</f>
        <v>vlc</v>
      </c>
      <c r="H68" s="124" t="str">
        <f>VLOOKUP(D68,'MPG Payment '!$E$3:$H$334579,4,0)</f>
        <v>Indirect</v>
      </c>
      <c r="I68" s="88">
        <f>INDEX('MPG Payment '!$C:$C,MATCH('Shayak Income '!D68,'MPG Payment '!E:E,0))</f>
        <v>1002</v>
      </c>
      <c r="J68" s="88" t="str">
        <f>INDEX('MPG Payment '!$D:$D,MATCH('Shayak Income '!D68,'MPG Payment '!E:E,0))</f>
        <v>Laldiyara</v>
      </c>
      <c r="K68" s="125" t="s">
        <v>1322</v>
      </c>
      <c r="L68" s="125">
        <v>45423</v>
      </c>
      <c r="M68" s="126">
        <f>SUMIF('MPG Payment '!$E$3:$E$34579,'Shayak Income '!D68,'MPG Payment '!$I$3:$I$34579)</f>
        <v>4946.2</v>
      </c>
      <c r="N68" s="126">
        <f>SUMIF('MPG Payment '!$E$3:$E$34579,'Shayak Income '!D68,'MPG Payment '!$J$3:$J$34579)</f>
        <v>194721.86065352004</v>
      </c>
      <c r="O68" s="126">
        <f t="shared" si="9"/>
        <v>3709.6499999999996</v>
      </c>
      <c r="P68" s="126">
        <f t="shared" si="10"/>
        <v>4698.8899999999994</v>
      </c>
      <c r="Q68" s="126">
        <f>SUMIF('MPG Payment '!$E$3:$E$34579,'Shayak Income '!D68,'MPG Payment '!$S$3:$S$34579)</f>
        <v>0</v>
      </c>
      <c r="R68" s="126">
        <f t="shared" ref="R68:R131" si="21">+N68*3%</f>
        <v>5841.6558196056012</v>
      </c>
      <c r="S68" s="126">
        <f t="shared" ref="S68:S131" si="22">R68-P68</f>
        <v>1142.7658196056018</v>
      </c>
      <c r="T68" s="126">
        <f t="shared" si="11"/>
        <v>494.62</v>
      </c>
      <c r="U68" s="127">
        <f>(((IF(K68="New",0,SUMIF('MPG Payment '!$E$3:$E$34579,'Shayak Income '!D68,'MPG Payment '!$AC$3:$AC$34579))))+0)+0</f>
        <v>0</v>
      </c>
      <c r="V68" s="127">
        <f t="shared" si="12"/>
        <v>7914</v>
      </c>
      <c r="W68" s="19">
        <f t="shared" si="15"/>
        <v>0</v>
      </c>
      <c r="X68" s="19">
        <f t="shared" ref="X68:X131" si="23">((MIN(IF(B68&gt;0,MAX(N68*2%),0),B68)))+0</f>
        <v>0</v>
      </c>
      <c r="Y68" s="128">
        <f>IFERROR(VLOOKUP(D68,'Monthly Deduction'!$M$2:$N$64,2,0),0)</f>
        <v>0</v>
      </c>
      <c r="Z68" s="128">
        <v>0</v>
      </c>
      <c r="AA68" s="126">
        <f>IFERROR(VLOOKUP(D68,'Monthly Deduction'!A:B,2,0),0)</f>
        <v>0</v>
      </c>
      <c r="AB68" s="129">
        <f t="shared" ref="AB68:AB131" si="24">ROUND(IFERROR(V68-SUM(W68:AA68),0),0)</f>
        <v>7914</v>
      </c>
      <c r="AC68" s="130">
        <v>0</v>
      </c>
      <c r="AD68" s="35">
        <f t="shared" si="13"/>
        <v>7914</v>
      </c>
      <c r="AE68" s="166" t="str">
        <f t="shared" si="14"/>
        <v>Release</v>
      </c>
      <c r="AF68" s="127"/>
      <c r="AG68" s="18">
        <v>0</v>
      </c>
      <c r="AH68" s="120"/>
      <c r="AI68" s="238">
        <v>0</v>
      </c>
      <c r="AJ68" s="132"/>
      <c r="AK68" s="151">
        <v>1385.54</v>
      </c>
      <c r="AL68" s="154">
        <f t="shared" ref="AL68:AL131" si="25">COUNTIF(AK68:AK68,"=NA")</f>
        <v>0</v>
      </c>
      <c r="AM68" s="155"/>
      <c r="AN68" s="19">
        <f t="shared" ref="AN68:AN131" si="26">((MIN(IF(A68&gt;0,MAX(N68*2%,1861),0),A68)))+0</f>
        <v>0</v>
      </c>
      <c r="AO68" s="118">
        <f>SUMIF('MPG Payment '!E:E,'Shayak Income '!D68,'MPG Payment '!AJ:AJ)</f>
        <v>0</v>
      </c>
      <c r="AP68" s="19">
        <f t="shared" ref="AP68:AP131" si="27">W68</f>
        <v>0</v>
      </c>
      <c r="AQ68" s="119">
        <f t="shared" si="16"/>
        <v>0</v>
      </c>
      <c r="AR68" s="91" t="s">
        <v>1168</v>
      </c>
      <c r="AS68" s="91">
        <f t="shared" ref="AS68:AS131" si="28">B68-X68</f>
        <v>0</v>
      </c>
      <c r="AT68" s="118"/>
      <c r="AU68" s="118"/>
      <c r="AV68" s="118"/>
    </row>
    <row r="69" spans="1:48" s="20" customFormat="1" x14ac:dyDescent="0.25">
      <c r="A69" s="17">
        <f>IFERROR(VLOOKUP(D69,'Monthly Deduction'!$I$3:$J$957,2,0),0)</f>
        <v>24194.816766893302</v>
      </c>
      <c r="B69" s="17">
        <f>IFERROR(VLOOKUP(D69,'Monthly Deduction'!$E$3:$F$957,2,0),0)</f>
        <v>9080.5223999999998</v>
      </c>
      <c r="C69" s="17">
        <f t="shared" ref="C69:C132" si="29">A69+B69</f>
        <v>33275.339166893304</v>
      </c>
      <c r="D69" s="41">
        <v>10020068</v>
      </c>
      <c r="E69" s="122" t="str">
        <f>VLOOKUP(D69,'MPG Payment '!$E$3:$G$498218,2,0)</f>
        <v>SABIKPUR</v>
      </c>
      <c r="F69" s="146">
        <f>IFERROR(_xlfn.XLOOKUP(D69,'Monthly Deduction'!$I$3:$I$957,'Monthly Deduction'!$H$3:$H$957),0)</f>
        <v>0</v>
      </c>
      <c r="G69" s="123" t="str">
        <f>VLOOKUP(D69,'MPG Payment '!$E$3:$G$334579,3,0)</f>
        <v>MPG</v>
      </c>
      <c r="H69" s="124" t="str">
        <f>VLOOKUP(D69,'MPG Payment '!$E$3:$H$334579,4,0)</f>
        <v>Direct</v>
      </c>
      <c r="I69" s="88">
        <f>INDEX('MPG Payment '!$C:$C,MATCH('Shayak Income '!D69,'MPG Payment '!E:E,0))</f>
        <v>1002</v>
      </c>
      <c r="J69" s="88" t="str">
        <f>INDEX('MPG Payment '!$D:$D,MATCH('Shayak Income '!D69,'MPG Payment '!E:E,0))</f>
        <v>Laldiyara</v>
      </c>
      <c r="K69" s="125" t="s">
        <v>1322</v>
      </c>
      <c r="L69" s="125">
        <v>45491</v>
      </c>
      <c r="M69" s="126">
        <f>SUMIF('MPG Payment '!$E$3:$E$34579,'Shayak Income '!D69,'MPG Payment '!$I$3:$I$34579)</f>
        <v>2911.8</v>
      </c>
      <c r="N69" s="126">
        <f>SUMIF('MPG Payment '!$E$3:$E$34579,'Shayak Income '!D69,'MPG Payment '!$J$3:$J$34579)</f>
        <v>118342.20030298</v>
      </c>
      <c r="O69" s="126">
        <f t="shared" ref="O69:O132" si="30">+M69*0.75</f>
        <v>2183.8500000000004</v>
      </c>
      <c r="P69" s="126">
        <f t="shared" ref="P69:P132" si="31">+M69*0.95</f>
        <v>2766.21</v>
      </c>
      <c r="Q69" s="126">
        <f>SUMIF('MPG Payment '!$E$3:$E$34579,'Shayak Income '!D69,'MPG Payment '!$S$3:$S$34579)</f>
        <v>0</v>
      </c>
      <c r="R69" s="126">
        <f t="shared" si="21"/>
        <v>3550.2660090893996</v>
      </c>
      <c r="S69" s="126">
        <f t="shared" si="22"/>
        <v>784.05600908939959</v>
      </c>
      <c r="T69" s="126">
        <f t="shared" ref="T69:T132" si="32">M69*0.1</f>
        <v>291.18</v>
      </c>
      <c r="U69" s="127">
        <f>(((IF(K69="New",0,SUMIF('MPG Payment '!$E$3:$E$34579,'Shayak Income '!D69,'MPG Payment '!$AC$3:$AC$34579))))+0)+0</f>
        <v>127.3881925986138</v>
      </c>
      <c r="V69" s="127">
        <f t="shared" ref="V69:V132" si="33">ROUND((SUM(O69:Q69)-SUM(T69:U69)),0)</f>
        <v>4531</v>
      </c>
      <c r="W69" s="19">
        <f t="shared" ref="W69:W132" si="34">(((AN69-AO69)))+0</f>
        <v>2366.8440060595999</v>
      </c>
      <c r="X69" s="19">
        <v>0</v>
      </c>
      <c r="Y69" s="128">
        <f>IFERROR(VLOOKUP(D69,'Monthly Deduction'!$M$2:$N$64,2,0),0)</f>
        <v>0</v>
      </c>
      <c r="Z69" s="128">
        <v>0</v>
      </c>
      <c r="AA69" s="126">
        <f>IFERROR(VLOOKUP(D69,'Monthly Deduction'!A:B,2,0),0)</f>
        <v>0</v>
      </c>
      <c r="AB69" s="129">
        <f t="shared" si="24"/>
        <v>2164</v>
      </c>
      <c r="AC69" s="130">
        <f t="shared" ref="AC69:AC70" si="35">AB69</f>
        <v>2164</v>
      </c>
      <c r="AD69" s="35">
        <f t="shared" ref="AD69:AD132" si="36">ROUND(AB69-AC69,0)</f>
        <v>0</v>
      </c>
      <c r="AE69" s="166" t="str">
        <f t="shared" ref="AE69:AE132" si="37">IF(AC69&lt;&gt;0,"Yes","Release")</f>
        <v>Yes</v>
      </c>
      <c r="AF69" s="127"/>
      <c r="AG69" s="18">
        <v>0</v>
      </c>
      <c r="AH69" s="120" t="s">
        <v>1653</v>
      </c>
      <c r="AI69" s="238">
        <v>0</v>
      </c>
      <c r="AJ69" s="132"/>
      <c r="AK69" s="151">
        <v>937.9</v>
      </c>
      <c r="AL69" s="154">
        <f t="shared" si="25"/>
        <v>0</v>
      </c>
      <c r="AM69" s="155"/>
      <c r="AN69" s="19">
        <f t="shared" si="26"/>
        <v>2366.8440060595999</v>
      </c>
      <c r="AO69" s="118">
        <f>SUMIF('MPG Payment '!E:E,'Shayak Income '!D69,'MPG Payment '!AJ:AJ)</f>
        <v>0</v>
      </c>
      <c r="AP69" s="19">
        <f t="shared" si="27"/>
        <v>2366.8440060595999</v>
      </c>
      <c r="AQ69" s="119">
        <f t="shared" ref="AQ69:AQ132" si="38">AO69+AP69</f>
        <v>2366.8440060595999</v>
      </c>
      <c r="AR69" s="91" t="s">
        <v>1168</v>
      </c>
      <c r="AS69" s="91">
        <f t="shared" si="28"/>
        <v>9080.5223999999998</v>
      </c>
      <c r="AT69" s="118"/>
      <c r="AU69" s="118"/>
      <c r="AV69" s="118"/>
    </row>
    <row r="70" spans="1:48" s="20" customFormat="1" x14ac:dyDescent="0.25">
      <c r="A70" s="17">
        <f>IFERROR(VLOOKUP(D70,'Monthly Deduction'!$I$3:$J$957,2,0),0)</f>
        <v>94478.602786046366</v>
      </c>
      <c r="B70" s="17">
        <f>IFERROR(VLOOKUP(D70,'Monthly Deduction'!$E$3:$F$957,2,0),0)</f>
        <v>12800</v>
      </c>
      <c r="C70" s="17">
        <f t="shared" si="29"/>
        <v>107278.60278604637</v>
      </c>
      <c r="D70" s="41">
        <v>10020069</v>
      </c>
      <c r="E70" s="122" t="str">
        <f>VLOOKUP(D70,'MPG Payment '!$E$3:$G$498218,2,0)</f>
        <v>CHETAN-TOLA-KHUTHA</v>
      </c>
      <c r="F70" s="146">
        <f>IFERROR(_xlfn.XLOOKUP(D70,'Monthly Deduction'!$I$3:$I$957,'Monthly Deduction'!$H$3:$H$957),0)</f>
        <v>0</v>
      </c>
      <c r="G70" s="123" t="str">
        <f>VLOOKUP(D70,'MPG Payment '!$E$3:$G$334579,3,0)</f>
        <v>MPG</v>
      </c>
      <c r="H70" s="124" t="str">
        <f>VLOOKUP(D70,'MPG Payment '!$E$3:$H$334579,4,0)</f>
        <v>Direct</v>
      </c>
      <c r="I70" s="88">
        <f>INDEX('MPG Payment '!$C:$C,MATCH('Shayak Income '!D70,'MPG Payment '!E:E,0))</f>
        <v>1002</v>
      </c>
      <c r="J70" s="88" t="str">
        <f>INDEX('MPG Payment '!$D:$D,MATCH('Shayak Income '!D70,'MPG Payment '!E:E,0))</f>
        <v>Laldiyara</v>
      </c>
      <c r="K70" s="125" t="s">
        <v>1322</v>
      </c>
      <c r="L70" s="125">
        <v>45567</v>
      </c>
      <c r="M70" s="126">
        <f>SUMIF('MPG Payment '!$E$3:$E$34579,'Shayak Income '!D70,'MPG Payment '!$I$3:$I$34579)</f>
        <v>869</v>
      </c>
      <c r="N70" s="126">
        <f>SUMIF('MPG Payment '!$E$3:$E$34579,'Shayak Income '!D70,'MPG Payment '!$J$3:$J$34579)</f>
        <v>34181.951580929999</v>
      </c>
      <c r="O70" s="126">
        <f t="shared" si="30"/>
        <v>651.75</v>
      </c>
      <c r="P70" s="126">
        <f t="shared" si="31"/>
        <v>825.55</v>
      </c>
      <c r="Q70" s="126">
        <f>SUMIF('MPG Payment '!$E$3:$E$34579,'Shayak Income '!D70,'MPG Payment '!$S$3:$S$34579)</f>
        <v>1005.0916704277902</v>
      </c>
      <c r="R70" s="126">
        <f t="shared" si="21"/>
        <v>1025.4585474278999</v>
      </c>
      <c r="S70" s="126">
        <f t="shared" si="22"/>
        <v>199.90854742789998</v>
      </c>
      <c r="T70" s="126">
        <f t="shared" si="32"/>
        <v>86.9</v>
      </c>
      <c r="U70" s="127">
        <f>(((IF(K70="New",0,SUMIF('MPG Payment '!$E$3:$E$34579,'Shayak Income '!D70,'MPG Payment '!$AC$3:$AC$34579))))+0)+0</f>
        <v>1518.033104352892</v>
      </c>
      <c r="V70" s="127">
        <f t="shared" si="33"/>
        <v>877</v>
      </c>
      <c r="W70" s="19">
        <v>877</v>
      </c>
      <c r="X70" s="19">
        <v>0</v>
      </c>
      <c r="Y70" s="128">
        <f>IFERROR(VLOOKUP(D70,'Monthly Deduction'!$M$2:$N$64,2,0),0)</f>
        <v>0</v>
      </c>
      <c r="Z70" s="128">
        <v>0</v>
      </c>
      <c r="AA70" s="126">
        <v>0</v>
      </c>
      <c r="AB70" s="129">
        <f t="shared" si="24"/>
        <v>0</v>
      </c>
      <c r="AC70" s="130">
        <f t="shared" si="35"/>
        <v>0</v>
      </c>
      <c r="AD70" s="35">
        <f t="shared" si="36"/>
        <v>0</v>
      </c>
      <c r="AE70" s="166" t="str">
        <f t="shared" si="37"/>
        <v>Release</v>
      </c>
      <c r="AF70" s="127"/>
      <c r="AG70" s="18">
        <v>0</v>
      </c>
      <c r="AH70" s="120" t="s">
        <v>1650</v>
      </c>
      <c r="AI70" s="238">
        <v>20000</v>
      </c>
      <c r="AJ70" s="132"/>
      <c r="AK70" s="151">
        <v>212.90000000000003</v>
      </c>
      <c r="AL70" s="154">
        <f t="shared" si="25"/>
        <v>0</v>
      </c>
      <c r="AM70" s="155"/>
      <c r="AN70" s="19">
        <f t="shared" si="26"/>
        <v>1861</v>
      </c>
      <c r="AO70" s="118">
        <f>SUMIF('MPG Payment '!E:E,'Shayak Income '!D70,'MPG Payment '!AJ:AJ)</f>
        <v>500</v>
      </c>
      <c r="AP70" s="19">
        <f t="shared" si="27"/>
        <v>877</v>
      </c>
      <c r="AQ70" s="119">
        <f t="shared" si="38"/>
        <v>1377</v>
      </c>
      <c r="AR70" s="91" t="s">
        <v>1168</v>
      </c>
      <c r="AS70" s="91">
        <f t="shared" si="28"/>
        <v>12800</v>
      </c>
      <c r="AT70" s="118"/>
      <c r="AU70" s="118"/>
      <c r="AV70" s="118"/>
    </row>
    <row r="71" spans="1:48" s="20" customFormat="1" x14ac:dyDescent="0.25">
      <c r="A71" s="17">
        <f>IFERROR(VLOOKUP(D71,'Monthly Deduction'!$I$3:$J$957,2,0),0)</f>
        <v>36991.755423951559</v>
      </c>
      <c r="B71" s="17">
        <f>IFERROR(VLOOKUP(D71,'Monthly Deduction'!$E$3:$F$957,2,0),0)</f>
        <v>6400</v>
      </c>
      <c r="C71" s="17">
        <f t="shared" si="29"/>
        <v>43391.755423951559</v>
      </c>
      <c r="D71" s="41">
        <v>10020070</v>
      </c>
      <c r="E71" s="122" t="str">
        <f>VLOOKUP(D71,'MPG Payment '!$E$3:$G$498218,2,0)</f>
        <v>LAXMIPUR</v>
      </c>
      <c r="F71" s="146">
        <f>IFERROR(_xlfn.XLOOKUP(D71,'Monthly Deduction'!$I$3:$I$957,'Monthly Deduction'!$H$3:$H$957),0)</f>
        <v>0</v>
      </c>
      <c r="G71" s="123" t="str">
        <f>VLOOKUP(D71,'MPG Payment '!$E$3:$G$334579,3,0)</f>
        <v>MPG</v>
      </c>
      <c r="H71" s="124" t="str">
        <f>VLOOKUP(D71,'MPG Payment '!$E$3:$H$334579,4,0)</f>
        <v>Direct</v>
      </c>
      <c r="I71" s="88">
        <f>INDEX('MPG Payment '!$C:$C,MATCH('Shayak Income '!D71,'MPG Payment '!E:E,0))</f>
        <v>1002</v>
      </c>
      <c r="J71" s="88" t="str">
        <f>INDEX('MPG Payment '!$D:$D,MATCH('Shayak Income '!D71,'MPG Payment '!E:E,0))</f>
        <v>Laldiyara</v>
      </c>
      <c r="K71" s="125" t="s">
        <v>1322</v>
      </c>
      <c r="L71" s="125">
        <v>45618</v>
      </c>
      <c r="M71" s="126">
        <f>SUMIF('MPG Payment '!$E$3:$E$34579,'Shayak Income '!D71,'MPG Payment '!$I$3:$I$34579)</f>
        <v>3504.7</v>
      </c>
      <c r="N71" s="126">
        <f>SUMIF('MPG Payment '!$E$3:$E$34579,'Shayak Income '!D71,'MPG Payment '!$J$3:$J$34579)</f>
        <v>140680.34201619402</v>
      </c>
      <c r="O71" s="126">
        <f t="shared" si="30"/>
        <v>2628.5249999999996</v>
      </c>
      <c r="P71" s="126">
        <f t="shared" si="31"/>
        <v>3329.4649999999997</v>
      </c>
      <c r="Q71" s="126">
        <f>SUMIF('MPG Payment '!$E$3:$E$34579,'Shayak Income '!D71,'MPG Payment '!$S$3:$S$34579)</f>
        <v>0</v>
      </c>
      <c r="R71" s="126">
        <f t="shared" si="21"/>
        <v>4220.4102604858199</v>
      </c>
      <c r="S71" s="126">
        <f t="shared" si="22"/>
        <v>890.9452604858202</v>
      </c>
      <c r="T71" s="126">
        <f t="shared" si="32"/>
        <v>350.47</v>
      </c>
      <c r="U71" s="127">
        <f>(((IF(K71="New",0,SUMIF('MPG Payment '!$E$3:$E$34579,'Shayak Income '!D71,'MPG Payment '!$AC$3:$AC$34579))))+0)+0</f>
        <v>55.205733865994716</v>
      </c>
      <c r="V71" s="127">
        <f t="shared" si="33"/>
        <v>5552</v>
      </c>
      <c r="W71" s="19">
        <f t="shared" si="34"/>
        <v>2813.6068403238805</v>
      </c>
      <c r="X71" s="19">
        <v>0</v>
      </c>
      <c r="Y71" s="128">
        <v>2738</v>
      </c>
      <c r="Z71" s="128">
        <v>0</v>
      </c>
      <c r="AA71" s="126">
        <f>IFERROR(VLOOKUP(D71,'Monthly Deduction'!A:B,2,0),0)</f>
        <v>0</v>
      </c>
      <c r="AB71" s="129">
        <f t="shared" si="24"/>
        <v>0</v>
      </c>
      <c r="AC71" s="130">
        <v>0</v>
      </c>
      <c r="AD71" s="35">
        <f t="shared" si="36"/>
        <v>0</v>
      </c>
      <c r="AE71" s="166" t="str">
        <f t="shared" si="37"/>
        <v>Release</v>
      </c>
      <c r="AF71" s="127"/>
      <c r="AG71" s="18">
        <v>0</v>
      </c>
      <c r="AH71" s="120"/>
      <c r="AI71" s="238">
        <v>0</v>
      </c>
      <c r="AJ71" s="132"/>
      <c r="AK71" s="151">
        <v>623.00000000000011</v>
      </c>
      <c r="AL71" s="154">
        <f t="shared" si="25"/>
        <v>0</v>
      </c>
      <c r="AM71" s="155"/>
      <c r="AN71" s="19">
        <f t="shared" si="26"/>
        <v>2813.6068403238805</v>
      </c>
      <c r="AO71" s="118">
        <f>SUMIF('MPG Payment '!E:E,'Shayak Income '!D71,'MPG Payment '!AJ:AJ)</f>
        <v>0</v>
      </c>
      <c r="AP71" s="19">
        <f t="shared" si="27"/>
        <v>2813.6068403238805</v>
      </c>
      <c r="AQ71" s="119">
        <f t="shared" si="38"/>
        <v>2813.6068403238805</v>
      </c>
      <c r="AR71" s="91" t="s">
        <v>1168</v>
      </c>
      <c r="AS71" s="91">
        <f t="shared" si="28"/>
        <v>6400</v>
      </c>
      <c r="AT71" s="118"/>
      <c r="AU71" s="118"/>
      <c r="AV71" s="118"/>
    </row>
    <row r="72" spans="1:48" s="20" customFormat="1" x14ac:dyDescent="0.25">
      <c r="A72" s="17">
        <f>IFERROR(VLOOKUP(D72,'Monthly Deduction'!$I$3:$J$957,2,0),0)</f>
        <v>0</v>
      </c>
      <c r="B72" s="17">
        <f>IFERROR(VLOOKUP(D72,'Monthly Deduction'!$E$3:$F$957,2,0),0)</f>
        <v>0</v>
      </c>
      <c r="C72" s="17">
        <f t="shared" si="29"/>
        <v>0</v>
      </c>
      <c r="D72" s="41">
        <v>10020073</v>
      </c>
      <c r="E72" s="122" t="str">
        <f>VLOOKUP(D72,'MPG Payment '!$E$3:$G$498218,2,0)</f>
        <v>REHUA RK</v>
      </c>
      <c r="F72" s="146">
        <f>IFERROR(_xlfn.XLOOKUP(D72,'Monthly Deduction'!$I$3:$I$957,'Monthly Deduction'!$H$3:$H$957),0)</f>
        <v>0</v>
      </c>
      <c r="G72" s="123" t="str">
        <f>VLOOKUP(D72,'MPG Payment '!$E$3:$G$334579,3,0)</f>
        <v>vlc</v>
      </c>
      <c r="H72" s="124" t="str">
        <f>VLOOKUP(D72,'MPG Payment '!$E$3:$H$334579,4,0)</f>
        <v>Indirect</v>
      </c>
      <c r="I72" s="88">
        <f>INDEX('MPG Payment '!$C:$C,MATCH('Shayak Income '!D72,'MPG Payment '!E:E,0))</f>
        <v>1002</v>
      </c>
      <c r="J72" s="88" t="str">
        <f>INDEX('MPG Payment '!$D:$D,MATCH('Shayak Income '!D72,'MPG Payment '!E:E,0))</f>
        <v>Laldiyara</v>
      </c>
      <c r="K72" s="125" t="s">
        <v>1322</v>
      </c>
      <c r="L72" s="125">
        <v>45638</v>
      </c>
      <c r="M72" s="126">
        <f>SUMIF('MPG Payment '!$E$3:$E$34579,'Shayak Income '!D72,'MPG Payment '!$I$3:$I$34579)</f>
        <v>4549.8999999999996</v>
      </c>
      <c r="N72" s="126">
        <f>SUMIF('MPG Payment '!$E$3:$E$34579,'Shayak Income '!D72,'MPG Payment '!$J$3:$J$34579)</f>
        <v>189915.70296803699</v>
      </c>
      <c r="O72" s="126">
        <f t="shared" si="30"/>
        <v>3412.4249999999997</v>
      </c>
      <c r="P72" s="126">
        <f t="shared" si="31"/>
        <v>4322.4049999999997</v>
      </c>
      <c r="Q72" s="126">
        <f>SUMIF('MPG Payment '!$E$3:$E$34579,'Shayak Income '!D72,'MPG Payment '!$S$3:$S$34579)</f>
        <v>0</v>
      </c>
      <c r="R72" s="126">
        <f t="shared" si="21"/>
        <v>5697.4710890411097</v>
      </c>
      <c r="S72" s="126">
        <f t="shared" si="22"/>
        <v>1375.06608904111</v>
      </c>
      <c r="T72" s="126">
        <f t="shared" si="32"/>
        <v>454.99</v>
      </c>
      <c r="U72" s="127">
        <f>(((IF(K72="New",0,SUMIF('MPG Payment '!$E$3:$E$34579,'Shayak Income '!D72,'MPG Payment '!$AC$3:$AC$34579))))+0)+0</f>
        <v>0</v>
      </c>
      <c r="V72" s="127">
        <f t="shared" si="33"/>
        <v>7280</v>
      </c>
      <c r="W72" s="19">
        <f t="shared" si="34"/>
        <v>0</v>
      </c>
      <c r="X72" s="19">
        <f t="shared" si="23"/>
        <v>0</v>
      </c>
      <c r="Y72" s="128">
        <f>IFERROR(VLOOKUP(D72,'Monthly Deduction'!$M$2:$N$64,2,0),0)</f>
        <v>0</v>
      </c>
      <c r="Z72" s="128">
        <v>0</v>
      </c>
      <c r="AA72" s="126">
        <f>IFERROR(VLOOKUP(D72,'Monthly Deduction'!A:B,2,0),0)</f>
        <v>0</v>
      </c>
      <c r="AB72" s="129">
        <f t="shared" si="24"/>
        <v>7280</v>
      </c>
      <c r="AC72" s="130">
        <v>0</v>
      </c>
      <c r="AD72" s="35">
        <f t="shared" si="36"/>
        <v>7280</v>
      </c>
      <c r="AE72" s="166" t="str">
        <f t="shared" si="37"/>
        <v>Release</v>
      </c>
      <c r="AF72" s="127"/>
      <c r="AG72" s="18">
        <v>0</v>
      </c>
      <c r="AH72" s="120"/>
      <c r="AI72" s="238">
        <v>0</v>
      </c>
      <c r="AJ72" s="132"/>
      <c r="AK72" s="151">
        <v>1190.5</v>
      </c>
      <c r="AL72" s="154">
        <f t="shared" si="25"/>
        <v>0</v>
      </c>
      <c r="AM72" s="155"/>
      <c r="AN72" s="19">
        <f t="shared" si="26"/>
        <v>0</v>
      </c>
      <c r="AO72" s="118">
        <f>SUMIF('MPG Payment '!E:E,'Shayak Income '!D72,'MPG Payment '!AJ:AJ)</f>
        <v>0</v>
      </c>
      <c r="AP72" s="19">
        <f t="shared" si="27"/>
        <v>0</v>
      </c>
      <c r="AQ72" s="119">
        <f t="shared" si="38"/>
        <v>0</v>
      </c>
      <c r="AR72" s="91" t="s">
        <v>1168</v>
      </c>
      <c r="AS72" s="91">
        <f t="shared" si="28"/>
        <v>0</v>
      </c>
      <c r="AT72" s="118"/>
      <c r="AU72" s="118"/>
      <c r="AV72" s="118"/>
    </row>
    <row r="73" spans="1:48" s="20" customFormat="1" x14ac:dyDescent="0.25">
      <c r="A73" s="17">
        <f>IFERROR(VLOOKUP(D73,'Monthly Deduction'!$I$3:$J$957,2,0),0)</f>
        <v>79587.255999999994</v>
      </c>
      <c r="B73" s="17">
        <f>IFERROR(VLOOKUP(D73,'Monthly Deduction'!$E$3:$F$957,2,0),0)</f>
        <v>0</v>
      </c>
      <c r="C73" s="17">
        <f t="shared" si="29"/>
        <v>79587.255999999994</v>
      </c>
      <c r="D73" s="41">
        <v>10020075</v>
      </c>
      <c r="E73" s="122" t="str">
        <f>VLOOKUP(D73,'MPG Payment '!$E$3:$G$498218,2,0)</f>
        <v>RAMNAGAR</v>
      </c>
      <c r="F73" s="146">
        <f>IFERROR(_xlfn.XLOOKUP(D73,'Monthly Deduction'!$I$3:$I$957,'Monthly Deduction'!$H$3:$H$957),0)</f>
        <v>0</v>
      </c>
      <c r="G73" s="123" t="str">
        <f>VLOOKUP(D73,'MPG Payment '!$E$3:$G$334579,3,0)</f>
        <v>MPG</v>
      </c>
      <c r="H73" s="124" t="str">
        <f>VLOOKUP(D73,'MPG Payment '!$E$3:$H$334579,4,0)</f>
        <v>Direct</v>
      </c>
      <c r="I73" s="88">
        <f>INDEX('MPG Payment '!$C:$C,MATCH('Shayak Income '!D73,'MPG Payment '!E:E,0))</f>
        <v>1002</v>
      </c>
      <c r="J73" s="88" t="str">
        <f>INDEX('MPG Payment '!$D:$D,MATCH('Shayak Income '!D73,'MPG Payment '!E:E,0))</f>
        <v>Laldiyara</v>
      </c>
      <c r="K73" s="125" t="s">
        <v>1322</v>
      </c>
      <c r="L73" s="125">
        <v>45869</v>
      </c>
      <c r="M73" s="126">
        <f>SUMIF('MPG Payment '!$E$3:$E$34579,'Shayak Income '!D73,'MPG Payment '!$I$3:$I$34579)</f>
        <v>1083.6999999999998</v>
      </c>
      <c r="N73" s="126">
        <f>SUMIF('MPG Payment '!$E$3:$E$34579,'Shayak Income '!D73,'MPG Payment '!$J$3:$J$34579)</f>
        <v>45105.724249091203</v>
      </c>
      <c r="O73" s="126">
        <f t="shared" si="30"/>
        <v>812.77499999999986</v>
      </c>
      <c r="P73" s="126">
        <f t="shared" si="31"/>
        <v>1029.5149999999999</v>
      </c>
      <c r="Q73" s="126">
        <f>SUMIF('MPG Payment '!$E$3:$E$34579,'Shayak Income '!D73,'MPG Payment '!$S$3:$S$34579)</f>
        <v>0</v>
      </c>
      <c r="R73" s="126">
        <f t="shared" si="21"/>
        <v>1353.1717274727359</v>
      </c>
      <c r="S73" s="126">
        <f t="shared" si="22"/>
        <v>323.65672747273607</v>
      </c>
      <c r="T73" s="126">
        <f t="shared" si="32"/>
        <v>108.36999999999999</v>
      </c>
      <c r="U73" s="127">
        <f>(((IF(K73="New",0,SUMIF('MPG Payment '!$E$3:$E$34579,'Shayak Income '!D73,'MPG Payment '!$AC$3:$AC$34579))))+0)+0</f>
        <v>1436.7718040016257</v>
      </c>
      <c r="V73" s="127">
        <f t="shared" si="33"/>
        <v>297</v>
      </c>
      <c r="W73" s="19">
        <v>297</v>
      </c>
      <c r="X73" s="19">
        <v>0</v>
      </c>
      <c r="Y73" s="128">
        <f>IFERROR(VLOOKUP(D73,'Monthly Deduction'!$M$2:$N$64,2,0),0)</f>
        <v>0</v>
      </c>
      <c r="Z73" s="128">
        <v>0</v>
      </c>
      <c r="AA73" s="126">
        <v>0</v>
      </c>
      <c r="AB73" s="129">
        <f t="shared" si="24"/>
        <v>0</v>
      </c>
      <c r="AC73" s="130">
        <v>0</v>
      </c>
      <c r="AD73" s="35">
        <f t="shared" si="36"/>
        <v>0</v>
      </c>
      <c r="AE73" s="166" t="str">
        <f t="shared" si="37"/>
        <v>Release</v>
      </c>
      <c r="AF73" s="127"/>
      <c r="AG73" s="127">
        <v>0</v>
      </c>
      <c r="AH73" s="132"/>
      <c r="AI73" s="238">
        <v>0</v>
      </c>
      <c r="AJ73" s="132"/>
      <c r="AK73" s="151">
        <v>253.4</v>
      </c>
      <c r="AL73" s="154">
        <f t="shared" si="25"/>
        <v>0</v>
      </c>
      <c r="AM73" s="155"/>
      <c r="AN73" s="19">
        <f t="shared" si="26"/>
        <v>1861</v>
      </c>
      <c r="AO73" s="118">
        <f>SUMIF('MPG Payment '!E:E,'Shayak Income '!D73,'MPG Payment '!AJ:AJ)</f>
        <v>0</v>
      </c>
      <c r="AP73" s="19">
        <f t="shared" si="27"/>
        <v>297</v>
      </c>
      <c r="AQ73" s="119">
        <f t="shared" si="38"/>
        <v>297</v>
      </c>
      <c r="AR73" s="91" t="s">
        <v>1168</v>
      </c>
      <c r="AS73" s="91">
        <f t="shared" si="28"/>
        <v>0</v>
      </c>
      <c r="AT73" s="118"/>
      <c r="AU73" s="118"/>
      <c r="AV73" s="118"/>
    </row>
    <row r="74" spans="1:48" s="20" customFormat="1" x14ac:dyDescent="0.25">
      <c r="A74" s="17">
        <f>IFERROR(VLOOKUP(D74,'Monthly Deduction'!$I$3:$J$957,2,0),0)</f>
        <v>77879.293873505172</v>
      </c>
      <c r="B74" s="17">
        <f>IFERROR(VLOOKUP(D74,'Monthly Deduction'!$E$3:$F$957,2,0),0)</f>
        <v>0</v>
      </c>
      <c r="C74" s="17">
        <f t="shared" si="29"/>
        <v>77879.293873505172</v>
      </c>
      <c r="D74" s="41">
        <v>10020077</v>
      </c>
      <c r="E74" s="122" t="str">
        <f>VLOOKUP(D74,'MPG Payment '!$E$3:$G$498218,2,0)</f>
        <v>BANSIPUR</v>
      </c>
      <c r="F74" s="146">
        <f>IFERROR(_xlfn.XLOOKUP(D74,'Monthly Deduction'!$I$3:$I$957,'Monthly Deduction'!$H$3:$H$957),0)</f>
        <v>0</v>
      </c>
      <c r="G74" s="123" t="str">
        <f>VLOOKUP(D74,'MPG Payment '!$E$3:$G$334579,3,0)</f>
        <v>MPG</v>
      </c>
      <c r="H74" s="124" t="str">
        <f>VLOOKUP(D74,'MPG Payment '!$E$3:$H$334579,4,0)</f>
        <v>Direct</v>
      </c>
      <c r="I74" s="88">
        <f>INDEX('MPG Payment '!$C:$C,MATCH('Shayak Income '!D74,'MPG Payment '!E:E,0))</f>
        <v>1002</v>
      </c>
      <c r="J74" s="88" t="str">
        <f>INDEX('MPG Payment '!$D:$D,MATCH('Shayak Income '!D74,'MPG Payment '!E:E,0))</f>
        <v>Laldiyara</v>
      </c>
      <c r="K74" s="125" t="s">
        <v>1322</v>
      </c>
      <c r="L74" s="125">
        <v>45869</v>
      </c>
      <c r="M74" s="126">
        <f>SUMIF('MPG Payment '!$E$3:$E$34579,'Shayak Income '!D74,'MPG Payment '!$I$3:$I$34579)</f>
        <v>572.69999999999993</v>
      </c>
      <c r="N74" s="126">
        <f>SUMIF('MPG Payment '!$E$3:$E$34579,'Shayak Income '!D74,'MPG Payment '!$J$3:$J$34579)</f>
        <v>26486.903993211097</v>
      </c>
      <c r="O74" s="126">
        <f t="shared" si="30"/>
        <v>429.52499999999998</v>
      </c>
      <c r="P74" s="126">
        <f t="shared" si="31"/>
        <v>544.06499999999994</v>
      </c>
      <c r="Q74" s="126">
        <f>SUMIF('MPG Payment '!$E$3:$E$34579,'Shayak Income '!D74,'MPG Payment '!$S$3:$S$34579)</f>
        <v>0</v>
      </c>
      <c r="R74" s="126">
        <f t="shared" si="21"/>
        <v>794.60711979633288</v>
      </c>
      <c r="S74" s="126">
        <f t="shared" si="22"/>
        <v>250.54211979633294</v>
      </c>
      <c r="T74" s="126">
        <f t="shared" si="32"/>
        <v>57.269999999999996</v>
      </c>
      <c r="U74" s="127">
        <f>(((IF(K74="New",0,SUMIF('MPG Payment '!$E$3:$E$34579,'Shayak Income '!D74,'MPG Payment '!$AC$3:$AC$34579))))+0)+-1092</f>
        <v>916.35733948772122</v>
      </c>
      <c r="V74" s="127">
        <f t="shared" si="33"/>
        <v>0</v>
      </c>
      <c r="W74" s="19">
        <v>0</v>
      </c>
      <c r="X74" s="19">
        <v>0</v>
      </c>
      <c r="Y74" s="128">
        <f>IFERROR(VLOOKUP(D74,'Monthly Deduction'!$M$2:$N$64,2,0),0)</f>
        <v>0</v>
      </c>
      <c r="Z74" s="128">
        <v>0</v>
      </c>
      <c r="AA74" s="126">
        <f>IFERROR(VLOOKUP(D74,'Monthly Deduction'!A:B,2,0),0)</f>
        <v>0</v>
      </c>
      <c r="AB74" s="129">
        <f t="shared" si="24"/>
        <v>0</v>
      </c>
      <c r="AC74" s="130">
        <v>0</v>
      </c>
      <c r="AD74" s="35">
        <f t="shared" si="36"/>
        <v>0</v>
      </c>
      <c r="AE74" s="166" t="str">
        <f t="shared" si="37"/>
        <v>Release</v>
      </c>
      <c r="AF74" s="127"/>
      <c r="AG74" s="18">
        <v>0</v>
      </c>
      <c r="AH74" s="120"/>
      <c r="AI74" s="238">
        <v>0</v>
      </c>
      <c r="AJ74" s="132"/>
      <c r="AK74" s="151">
        <v>193.01000000000002</v>
      </c>
      <c r="AL74" s="154">
        <f t="shared" si="25"/>
        <v>0</v>
      </c>
      <c r="AM74" s="155"/>
      <c r="AN74" s="19">
        <f t="shared" si="26"/>
        <v>1861</v>
      </c>
      <c r="AO74" s="118">
        <f>SUMIF('MPG Payment '!E:E,'Shayak Income '!D74,'MPG Payment '!AJ:AJ)</f>
        <v>500</v>
      </c>
      <c r="AP74" s="19">
        <f t="shared" si="27"/>
        <v>0</v>
      </c>
      <c r="AQ74" s="119">
        <f t="shared" si="38"/>
        <v>500</v>
      </c>
      <c r="AR74" s="91" t="s">
        <v>1168</v>
      </c>
      <c r="AS74" s="91">
        <f t="shared" si="28"/>
        <v>0</v>
      </c>
      <c r="AT74" s="118"/>
      <c r="AU74" s="118"/>
      <c r="AV74" s="118"/>
    </row>
    <row r="75" spans="1:48" s="20" customFormat="1" x14ac:dyDescent="0.25">
      <c r="A75" s="17">
        <f>IFERROR(VLOOKUP(D75,'Monthly Deduction'!$I$3:$J$957,2,0),0)</f>
        <v>91198</v>
      </c>
      <c r="B75" s="17">
        <f>IFERROR(VLOOKUP(D75,'Monthly Deduction'!$E$3:$F$957,2,0),0)</f>
        <v>0</v>
      </c>
      <c r="C75" s="17">
        <f t="shared" si="29"/>
        <v>91198</v>
      </c>
      <c r="D75" s="41">
        <v>10020078</v>
      </c>
      <c r="E75" s="122" t="str">
        <f>VLOOKUP(D75,'MPG Payment '!$E$3:$G$498218,2,0)</f>
        <v>GODIH</v>
      </c>
      <c r="F75" s="146">
        <f>IFERROR(_xlfn.XLOOKUP(D75,'Monthly Deduction'!$I$3:$I$957,'Monthly Deduction'!$H$3:$H$957),0)</f>
        <v>0</v>
      </c>
      <c r="G75" s="123" t="str">
        <f>VLOOKUP(D75,'MPG Payment '!$E$3:$G$334579,3,0)</f>
        <v>MPG</v>
      </c>
      <c r="H75" s="124" t="str">
        <f>VLOOKUP(D75,'MPG Payment '!$E$3:$H$334579,4,0)</f>
        <v>Direct</v>
      </c>
      <c r="I75" s="88">
        <f>INDEX('MPG Payment '!$C:$C,MATCH('Shayak Income '!D75,'MPG Payment '!E:E,0))</f>
        <v>1002</v>
      </c>
      <c r="J75" s="88" t="str">
        <f>INDEX('MPG Payment '!$D:$D,MATCH('Shayak Income '!D75,'MPG Payment '!E:E,0))</f>
        <v>Laldiyara</v>
      </c>
      <c r="K75" s="125" t="s">
        <v>1322</v>
      </c>
      <c r="L75" s="125">
        <v>45869</v>
      </c>
      <c r="M75" s="126">
        <f>SUMIF('MPG Payment '!$E$3:$E$34579,'Shayak Income '!D75,'MPG Payment '!$I$3:$I$34579)</f>
        <v>1485.7</v>
      </c>
      <c r="N75" s="126">
        <f>SUMIF('MPG Payment '!$E$3:$E$34579,'Shayak Income '!D75,'MPG Payment '!$J$3:$J$34579)</f>
        <v>60951.616869290003</v>
      </c>
      <c r="O75" s="126">
        <f t="shared" si="30"/>
        <v>1114.2750000000001</v>
      </c>
      <c r="P75" s="126">
        <f t="shared" si="31"/>
        <v>1411.415</v>
      </c>
      <c r="Q75" s="126">
        <f>SUMIF('MPG Payment '!$E$3:$E$34579,'Shayak Income '!D75,'MPG Payment '!$S$3:$S$34579)</f>
        <v>0</v>
      </c>
      <c r="R75" s="126">
        <f t="shared" si="21"/>
        <v>1828.5485060787</v>
      </c>
      <c r="S75" s="126">
        <f t="shared" si="22"/>
        <v>417.13350607870007</v>
      </c>
      <c r="T75" s="126">
        <f t="shared" si="32"/>
        <v>148.57000000000002</v>
      </c>
      <c r="U75" s="127">
        <f>(((IF(K75="New",0,SUMIF('MPG Payment '!$E$3:$E$34579,'Shayak Income '!D75,'MPG Payment '!$AC$3:$AC$34579))))+0)+0</f>
        <v>1082.6273598609303</v>
      </c>
      <c r="V75" s="127">
        <f t="shared" si="33"/>
        <v>1294</v>
      </c>
      <c r="W75" s="19">
        <v>1294</v>
      </c>
      <c r="X75" s="19">
        <v>0</v>
      </c>
      <c r="Y75" s="128">
        <f>IFERROR(VLOOKUP(D75,'Monthly Deduction'!$M$2:$N$64,2,0),0)</f>
        <v>0</v>
      </c>
      <c r="Z75" s="128">
        <v>0</v>
      </c>
      <c r="AA75" s="126">
        <f>IFERROR(VLOOKUP(D75,'Monthly Deduction'!A:B,2,0),0)</f>
        <v>0</v>
      </c>
      <c r="AB75" s="129">
        <f t="shared" si="24"/>
        <v>0</v>
      </c>
      <c r="AC75" s="130">
        <f t="shared" ref="AC75:AC76" si="39">AB75</f>
        <v>0</v>
      </c>
      <c r="AD75" s="35">
        <f t="shared" si="36"/>
        <v>0</v>
      </c>
      <c r="AE75" s="166" t="str">
        <f t="shared" si="37"/>
        <v>Release</v>
      </c>
      <c r="AF75" s="127"/>
      <c r="AG75" s="18">
        <v>0</v>
      </c>
      <c r="AH75" s="120" t="s">
        <v>1646</v>
      </c>
      <c r="AI75" s="238">
        <v>9637</v>
      </c>
      <c r="AJ75" s="132"/>
      <c r="AK75" s="151">
        <v>334.99999999999994</v>
      </c>
      <c r="AL75" s="154">
        <f t="shared" si="25"/>
        <v>0</v>
      </c>
      <c r="AM75" s="155"/>
      <c r="AN75" s="19">
        <f t="shared" si="26"/>
        <v>1861</v>
      </c>
      <c r="AO75" s="118">
        <f>SUMIF('MPG Payment '!E:E,'Shayak Income '!D75,'MPG Payment '!AJ:AJ)</f>
        <v>0</v>
      </c>
      <c r="AP75" s="19">
        <f t="shared" si="27"/>
        <v>1294</v>
      </c>
      <c r="AQ75" s="119">
        <f t="shared" si="38"/>
        <v>1294</v>
      </c>
      <c r="AR75" s="91" t="s">
        <v>1168</v>
      </c>
      <c r="AS75" s="91">
        <f t="shared" si="28"/>
        <v>0</v>
      </c>
      <c r="AT75" s="118"/>
      <c r="AU75" s="118"/>
      <c r="AV75" s="118"/>
    </row>
    <row r="76" spans="1:48" s="20" customFormat="1" x14ac:dyDescent="0.25">
      <c r="A76" s="17">
        <f>IFERROR(VLOOKUP(D76,'Monthly Deduction'!$I$3:$J$957,2,0),0)</f>
        <v>94961</v>
      </c>
      <c r="B76" s="17">
        <f>IFERROR(VLOOKUP(D76,'Monthly Deduction'!$E$3:$F$957,2,0),0)</f>
        <v>0</v>
      </c>
      <c r="C76" s="17">
        <f t="shared" si="29"/>
        <v>94961</v>
      </c>
      <c r="D76" s="41">
        <v>10020079</v>
      </c>
      <c r="E76" s="122" t="str">
        <f>VLOOKUP(D76,'MPG Payment '!$E$3:$G$498218,2,0)</f>
        <v>SINGARPUR</v>
      </c>
      <c r="F76" s="146">
        <f>IFERROR(_xlfn.XLOOKUP(D76,'Monthly Deduction'!$I$3:$I$957,'Monthly Deduction'!$H$3:$H$957),0)</f>
        <v>0</v>
      </c>
      <c r="G76" s="123" t="str">
        <f>VLOOKUP(D76,'MPG Payment '!$E$3:$G$334579,3,0)</f>
        <v>MPG</v>
      </c>
      <c r="H76" s="124" t="str">
        <f>VLOOKUP(D76,'MPG Payment '!$E$3:$H$334579,4,0)</f>
        <v>Direct</v>
      </c>
      <c r="I76" s="88">
        <f>INDEX('MPG Payment '!$C:$C,MATCH('Shayak Income '!D76,'MPG Payment '!E:E,0))</f>
        <v>1002</v>
      </c>
      <c r="J76" s="88" t="str">
        <f>INDEX('MPG Payment '!$D:$D,MATCH('Shayak Income '!D76,'MPG Payment '!E:E,0))</f>
        <v>Laldiyara</v>
      </c>
      <c r="K76" s="125" t="s">
        <v>1322</v>
      </c>
      <c r="L76" s="125">
        <v>45869</v>
      </c>
      <c r="M76" s="126">
        <f>SUMIF('MPG Payment '!$E$3:$E$34579,'Shayak Income '!D76,'MPG Payment '!$I$3:$I$34579)</f>
        <v>1075.8999999999999</v>
      </c>
      <c r="N76" s="126">
        <f>SUMIF('MPG Payment '!$E$3:$E$34579,'Shayak Income '!D76,'MPG Payment '!$J$3:$J$34579)</f>
        <v>55828.612917765</v>
      </c>
      <c r="O76" s="126">
        <f t="shared" si="30"/>
        <v>806.92499999999995</v>
      </c>
      <c r="P76" s="126">
        <f t="shared" si="31"/>
        <v>1022.1049999999998</v>
      </c>
      <c r="Q76" s="126">
        <f>SUMIF('MPG Payment '!$E$3:$E$34579,'Shayak Income '!D76,'MPG Payment '!$S$3:$S$34579)</f>
        <v>0</v>
      </c>
      <c r="R76" s="126">
        <f t="shared" si="21"/>
        <v>1674.85838753295</v>
      </c>
      <c r="S76" s="126">
        <f t="shared" si="22"/>
        <v>652.75338753295023</v>
      </c>
      <c r="T76" s="126">
        <f t="shared" si="32"/>
        <v>107.58999999999999</v>
      </c>
      <c r="U76" s="127">
        <f>(((IF(K76="New",0,SUMIF('MPG Payment '!$E$3:$E$34579,'Shayak Income '!D76,'MPG Payment '!$AC$3:$AC$34579))))+0)+-78</f>
        <v>1721.7927641454244</v>
      </c>
      <c r="V76" s="127">
        <f t="shared" si="33"/>
        <v>0</v>
      </c>
      <c r="W76" s="19">
        <v>0</v>
      </c>
      <c r="X76" s="19">
        <v>0</v>
      </c>
      <c r="Y76" s="128">
        <f>IFERROR(VLOOKUP(D76,'Monthly Deduction'!$M$2:$N$64,2,0),0)</f>
        <v>0</v>
      </c>
      <c r="Z76" s="128">
        <v>0</v>
      </c>
      <c r="AA76" s="126">
        <v>0</v>
      </c>
      <c r="AB76" s="129">
        <f t="shared" si="24"/>
        <v>0</v>
      </c>
      <c r="AC76" s="130">
        <f t="shared" si="39"/>
        <v>0</v>
      </c>
      <c r="AD76" s="35">
        <f t="shared" si="36"/>
        <v>0</v>
      </c>
      <c r="AE76" s="166" t="str">
        <f t="shared" si="37"/>
        <v>Release</v>
      </c>
      <c r="AF76" s="127"/>
      <c r="AG76" s="18">
        <v>0</v>
      </c>
      <c r="AH76" s="120" t="s">
        <v>1646</v>
      </c>
      <c r="AI76" s="238">
        <v>9580</v>
      </c>
      <c r="AJ76" s="132"/>
      <c r="AK76" s="151">
        <v>192.29999999999998</v>
      </c>
      <c r="AL76" s="154">
        <f t="shared" si="25"/>
        <v>0</v>
      </c>
      <c r="AM76" s="155"/>
      <c r="AN76" s="19">
        <f t="shared" si="26"/>
        <v>1861</v>
      </c>
      <c r="AO76" s="118">
        <f>SUMIF('MPG Payment '!E:E,'Shayak Income '!D76,'MPG Payment '!AJ:AJ)</f>
        <v>500</v>
      </c>
      <c r="AP76" s="19">
        <f t="shared" si="27"/>
        <v>0</v>
      </c>
      <c r="AQ76" s="119">
        <f t="shared" si="38"/>
        <v>500</v>
      </c>
      <c r="AR76" s="91" t="s">
        <v>1168</v>
      </c>
      <c r="AS76" s="91">
        <f t="shared" si="28"/>
        <v>0</v>
      </c>
      <c r="AT76" s="118"/>
      <c r="AU76" s="118"/>
      <c r="AV76" s="118"/>
    </row>
    <row r="77" spans="1:48" s="20" customFormat="1" x14ac:dyDescent="0.25">
      <c r="A77" s="17">
        <f>IFERROR(VLOOKUP(D77,'Monthly Deduction'!$I$3:$J$957,2,0),0)</f>
        <v>0</v>
      </c>
      <c r="B77" s="17">
        <f>IFERROR(VLOOKUP(D77,'Monthly Deduction'!$E$3:$F$957,2,0),0)</f>
        <v>0</v>
      </c>
      <c r="C77" s="17">
        <f t="shared" si="29"/>
        <v>0</v>
      </c>
      <c r="D77" s="41">
        <v>10030002</v>
      </c>
      <c r="E77" s="122" t="str">
        <f>VLOOKUP(D77,'MPG Payment '!$E$3:$G$498218,2,0)</f>
        <v>MOHANPUR</v>
      </c>
      <c r="F77" s="146">
        <f>IFERROR(_xlfn.XLOOKUP(D77,'Monthly Deduction'!$I$3:$I$957,'Monthly Deduction'!$H$3:$H$957),0)</f>
        <v>0</v>
      </c>
      <c r="G77" s="123" t="str">
        <f>VLOOKUP(D77,'MPG Payment '!$E$3:$G$334579,3,0)</f>
        <v>vlc</v>
      </c>
      <c r="H77" s="124" t="str">
        <f>VLOOKUP(D77,'MPG Payment '!$E$3:$H$334579,4,0)</f>
        <v>Indirect</v>
      </c>
      <c r="I77" s="88">
        <f>INDEX('MPG Payment '!$C:$C,MATCH('Shayak Income '!D77,'MPG Payment '!E:E,0))</f>
        <v>1003</v>
      </c>
      <c r="J77" s="88" t="str">
        <f>INDEX('MPG Payment '!$D:$D,MATCH('Shayak Income '!D77,'MPG Payment '!E:E,0))</f>
        <v>Asarganj</v>
      </c>
      <c r="K77" s="125" t="s">
        <v>1322</v>
      </c>
      <c r="L77" s="125">
        <v>42979</v>
      </c>
      <c r="M77" s="126">
        <f>SUMIF('MPG Payment '!$E$3:$E$34579,'Shayak Income '!D77,'MPG Payment '!$I$3:$I$34579)</f>
        <v>2079.6</v>
      </c>
      <c r="N77" s="126">
        <f>SUMIF('MPG Payment '!$E$3:$E$34579,'Shayak Income '!D77,'MPG Payment '!$J$3:$J$34579)</f>
        <v>81551.521035785001</v>
      </c>
      <c r="O77" s="126">
        <f t="shared" si="30"/>
        <v>1559.6999999999998</v>
      </c>
      <c r="P77" s="126">
        <f t="shared" si="31"/>
        <v>1975.62</v>
      </c>
      <c r="Q77" s="126">
        <f>SUMIF('MPG Payment '!$E$3:$E$34579,'Shayak Income '!D77,'MPG Payment '!$S$3:$S$34579)</f>
        <v>0</v>
      </c>
      <c r="R77" s="126">
        <f t="shared" si="21"/>
        <v>2446.5456310735499</v>
      </c>
      <c r="S77" s="126">
        <f t="shared" si="22"/>
        <v>470.92563107354999</v>
      </c>
      <c r="T77" s="126">
        <f t="shared" si="32"/>
        <v>207.96</v>
      </c>
      <c r="U77" s="127">
        <f>(((IF(K77="New",0,SUMIF('MPG Payment '!$E$3:$E$34579,'Shayak Income '!D77,'MPG Payment '!$AC$3:$AC$34579))))+0)+0</f>
        <v>565.3602619026899</v>
      </c>
      <c r="V77" s="127">
        <f t="shared" si="33"/>
        <v>2762</v>
      </c>
      <c r="W77" s="19">
        <f t="shared" si="34"/>
        <v>0</v>
      </c>
      <c r="X77" s="19">
        <f t="shared" si="23"/>
        <v>0</v>
      </c>
      <c r="Y77" s="128">
        <f>IFERROR(VLOOKUP(D77,'Monthly Deduction'!$M$2:$N$64,2,0),0)</f>
        <v>0</v>
      </c>
      <c r="Z77" s="128">
        <v>0</v>
      </c>
      <c r="AA77" s="126">
        <f>IFERROR(VLOOKUP(D77,'Monthly Deduction'!A:B,2,0),0)</f>
        <v>0</v>
      </c>
      <c r="AB77" s="129">
        <f t="shared" si="24"/>
        <v>2762</v>
      </c>
      <c r="AC77" s="130">
        <v>0</v>
      </c>
      <c r="AD77" s="35">
        <f t="shared" si="36"/>
        <v>2762</v>
      </c>
      <c r="AE77" s="166" t="str">
        <f t="shared" si="37"/>
        <v>Release</v>
      </c>
      <c r="AF77" s="127"/>
      <c r="AG77" s="18">
        <v>0</v>
      </c>
      <c r="AH77" s="132"/>
      <c r="AI77" s="238">
        <v>0</v>
      </c>
      <c r="AJ77" s="132"/>
      <c r="AK77" s="151">
        <v>507.44999999999993</v>
      </c>
      <c r="AL77" s="154">
        <f t="shared" si="25"/>
        <v>0</v>
      </c>
      <c r="AM77" s="155"/>
      <c r="AN77" s="19">
        <f t="shared" si="26"/>
        <v>0</v>
      </c>
      <c r="AO77" s="118">
        <f>SUMIF('MPG Payment '!E:E,'Shayak Income '!D77,'MPG Payment '!AJ:AJ)</f>
        <v>0</v>
      </c>
      <c r="AP77" s="19">
        <f t="shared" si="27"/>
        <v>0</v>
      </c>
      <c r="AQ77" s="119">
        <f t="shared" si="38"/>
        <v>0</v>
      </c>
      <c r="AR77" s="91" t="s">
        <v>1168</v>
      </c>
      <c r="AS77" s="91">
        <f t="shared" si="28"/>
        <v>0</v>
      </c>
      <c r="AT77" s="118"/>
      <c r="AU77" s="118"/>
      <c r="AV77" s="118"/>
    </row>
    <row r="78" spans="1:48" s="20" customFormat="1" x14ac:dyDescent="0.25">
      <c r="A78" s="17">
        <f>IFERROR(VLOOKUP(D78,'Monthly Deduction'!$I$3:$J$957,2,0),0)</f>
        <v>0</v>
      </c>
      <c r="B78" s="17">
        <f>IFERROR(VLOOKUP(D78,'Monthly Deduction'!$E$3:$F$957,2,0),0)</f>
        <v>0</v>
      </c>
      <c r="C78" s="17">
        <f t="shared" si="29"/>
        <v>0</v>
      </c>
      <c r="D78" s="41">
        <v>10030003</v>
      </c>
      <c r="E78" s="122" t="str">
        <f>VLOOKUP(D78,'MPG Payment '!$E$3:$G$498218,2,0)</f>
        <v>CHATMADIH</v>
      </c>
      <c r="F78" s="146">
        <f>IFERROR(_xlfn.XLOOKUP(D78,'Monthly Deduction'!$I$3:$I$957,'Monthly Deduction'!$H$3:$H$957),0)</f>
        <v>0</v>
      </c>
      <c r="G78" s="123" t="str">
        <f>VLOOKUP(D78,'MPG Payment '!$E$3:$G$334579,3,0)</f>
        <v>MPG</v>
      </c>
      <c r="H78" s="124" t="str">
        <f>VLOOKUP(D78,'MPG Payment '!$E$3:$H$334579,4,0)</f>
        <v>Direct</v>
      </c>
      <c r="I78" s="88">
        <f>INDEX('MPG Payment '!$C:$C,MATCH('Shayak Income '!D78,'MPG Payment '!E:E,0))</f>
        <v>1003</v>
      </c>
      <c r="J78" s="88" t="str">
        <f>INDEX('MPG Payment '!$D:$D,MATCH('Shayak Income '!D78,'MPG Payment '!E:E,0))</f>
        <v>Asarganj</v>
      </c>
      <c r="K78" s="125" t="s">
        <v>1322</v>
      </c>
      <c r="L78" s="125">
        <v>42979</v>
      </c>
      <c r="M78" s="126">
        <f>SUMIF('MPG Payment '!$E$3:$E$34579,'Shayak Income '!D78,'MPG Payment '!$I$3:$I$34579)</f>
        <v>7050.3000000000011</v>
      </c>
      <c r="N78" s="126">
        <f>SUMIF('MPG Payment '!$E$3:$E$34579,'Shayak Income '!D78,'MPG Payment '!$J$3:$J$34579)</f>
        <v>306084.86216051719</v>
      </c>
      <c r="O78" s="126">
        <f t="shared" si="30"/>
        <v>5287.7250000000004</v>
      </c>
      <c r="P78" s="126">
        <f t="shared" si="31"/>
        <v>6697.7850000000008</v>
      </c>
      <c r="Q78" s="126">
        <f>SUMIF('MPG Payment '!$E$3:$E$34579,'Shayak Income '!D78,'MPG Payment '!$S$3:$S$34579)</f>
        <v>5506.6014500241399</v>
      </c>
      <c r="R78" s="126">
        <f t="shared" si="21"/>
        <v>9182.5458648155163</v>
      </c>
      <c r="S78" s="126">
        <f t="shared" si="22"/>
        <v>2484.7608648155156</v>
      </c>
      <c r="T78" s="126">
        <f t="shared" si="32"/>
        <v>705.0300000000002</v>
      </c>
      <c r="U78" s="127">
        <f>(((IF(K78="New",0,SUMIF('MPG Payment '!$E$3:$E$34579,'Shayak Income '!D78,'MPG Payment '!$AC$3:$AC$34579))))+0)+0</f>
        <v>0</v>
      </c>
      <c r="V78" s="127">
        <f t="shared" si="33"/>
        <v>16787</v>
      </c>
      <c r="W78" s="19">
        <f t="shared" si="34"/>
        <v>0</v>
      </c>
      <c r="X78" s="19">
        <f t="shared" si="23"/>
        <v>0</v>
      </c>
      <c r="Y78" s="128">
        <f>IFERROR(VLOOKUP(D78,'Monthly Deduction'!$M$2:$N$64,2,0),0)</f>
        <v>0</v>
      </c>
      <c r="Z78" s="128">
        <v>0</v>
      </c>
      <c r="AA78" s="126">
        <f>IFERROR(VLOOKUP(D78,'Monthly Deduction'!A:B,2,0),0)</f>
        <v>0</v>
      </c>
      <c r="AB78" s="129">
        <f t="shared" si="24"/>
        <v>16787</v>
      </c>
      <c r="AC78" s="130">
        <v>0</v>
      </c>
      <c r="AD78" s="35">
        <f t="shared" si="36"/>
        <v>16787</v>
      </c>
      <c r="AE78" s="166" t="str">
        <f t="shared" si="37"/>
        <v>Release</v>
      </c>
      <c r="AF78" s="127"/>
      <c r="AG78" s="18">
        <v>0</v>
      </c>
      <c r="AH78" s="120"/>
      <c r="AI78" s="238">
        <v>0</v>
      </c>
      <c r="AJ78" s="132"/>
      <c r="AK78" s="151">
        <v>1998.4</v>
      </c>
      <c r="AL78" s="154">
        <f t="shared" si="25"/>
        <v>0</v>
      </c>
      <c r="AM78" s="155"/>
      <c r="AN78" s="19">
        <f t="shared" si="26"/>
        <v>0</v>
      </c>
      <c r="AO78" s="118">
        <f>SUMIF('MPG Payment '!E:E,'Shayak Income '!D78,'MPG Payment '!AJ:AJ)</f>
        <v>0</v>
      </c>
      <c r="AP78" s="19">
        <f t="shared" si="27"/>
        <v>0</v>
      </c>
      <c r="AQ78" s="119">
        <f t="shared" si="38"/>
        <v>0</v>
      </c>
      <c r="AR78" s="91" t="s">
        <v>1168</v>
      </c>
      <c r="AS78" s="91">
        <f t="shared" si="28"/>
        <v>0</v>
      </c>
      <c r="AT78" s="118"/>
      <c r="AU78" s="118"/>
      <c r="AV78" s="118"/>
    </row>
    <row r="79" spans="1:48" s="20" customFormat="1" x14ac:dyDescent="0.25">
      <c r="A79" s="17">
        <f>IFERROR(VLOOKUP(D79,'Monthly Deduction'!$I$3:$J$957,2,0),0)</f>
        <v>0</v>
      </c>
      <c r="B79" s="17">
        <f>IFERROR(VLOOKUP(D79,'Monthly Deduction'!$E$3:$F$957,2,0),0)</f>
        <v>0</v>
      </c>
      <c r="C79" s="17">
        <f t="shared" si="29"/>
        <v>0</v>
      </c>
      <c r="D79" s="41">
        <v>10030007</v>
      </c>
      <c r="E79" s="122" t="str">
        <f>VLOOKUP(D79,'MPG Payment '!$E$3:$G$498218,2,0)</f>
        <v>SIYADIH</v>
      </c>
      <c r="F79" s="146">
        <f>IFERROR(_xlfn.XLOOKUP(D79,'Monthly Deduction'!$I$3:$I$957,'Monthly Deduction'!$H$3:$H$957),0)</f>
        <v>0</v>
      </c>
      <c r="G79" s="123" t="str">
        <f>VLOOKUP(D79,'MPG Payment '!$E$3:$G$334579,3,0)</f>
        <v>vlc</v>
      </c>
      <c r="H79" s="124" t="str">
        <f>VLOOKUP(D79,'MPG Payment '!$E$3:$H$334579,4,0)</f>
        <v>Indirect</v>
      </c>
      <c r="I79" s="88">
        <f>INDEX('MPG Payment '!$C:$C,MATCH('Shayak Income '!D79,'MPG Payment '!E:E,0))</f>
        <v>1003</v>
      </c>
      <c r="J79" s="88" t="str">
        <f>INDEX('MPG Payment '!$D:$D,MATCH('Shayak Income '!D79,'MPG Payment '!E:E,0))</f>
        <v>Asarganj</v>
      </c>
      <c r="K79" s="125" t="s">
        <v>1322</v>
      </c>
      <c r="L79" s="125">
        <v>42979</v>
      </c>
      <c r="M79" s="126">
        <f>SUMIF('MPG Payment '!$E$3:$E$34579,'Shayak Income '!D79,'MPG Payment '!$I$3:$I$34579)</f>
        <v>2855</v>
      </c>
      <c r="N79" s="126">
        <f>SUMIF('MPG Payment '!$E$3:$E$34579,'Shayak Income '!D79,'MPG Payment '!$J$3:$J$34579)</f>
        <v>85334.724777412499</v>
      </c>
      <c r="O79" s="126">
        <f t="shared" si="30"/>
        <v>2141.25</v>
      </c>
      <c r="P79" s="126">
        <f t="shared" si="31"/>
        <v>2712.25</v>
      </c>
      <c r="Q79" s="126">
        <f>SUMIF('MPG Payment '!$E$3:$E$34579,'Shayak Income '!D79,'MPG Payment '!$S$3:$S$34579)</f>
        <v>0</v>
      </c>
      <c r="R79" s="126">
        <f t="shared" si="21"/>
        <v>2560.0417433223747</v>
      </c>
      <c r="S79" s="126">
        <f t="shared" si="22"/>
        <v>-152.20825667762529</v>
      </c>
      <c r="T79" s="126">
        <f t="shared" si="32"/>
        <v>285.5</v>
      </c>
      <c r="U79" s="127">
        <f>(((IF(K79="New",0,SUMIF('MPG Payment '!$E$3:$E$34579,'Shayak Income '!D79,'MPG Payment '!$AC$3:$AC$34579))))+0)+0</f>
        <v>109.32811981926886</v>
      </c>
      <c r="V79" s="127">
        <f t="shared" si="33"/>
        <v>4459</v>
      </c>
      <c r="W79" s="19">
        <f t="shared" si="34"/>
        <v>0</v>
      </c>
      <c r="X79" s="19">
        <f t="shared" si="23"/>
        <v>0</v>
      </c>
      <c r="Y79" s="128">
        <f>IFERROR(VLOOKUP(D79,'Monthly Deduction'!$M$2:$N$64,2,0),0)</f>
        <v>0</v>
      </c>
      <c r="Z79" s="128">
        <v>0</v>
      </c>
      <c r="AA79" s="126">
        <f>IFERROR(VLOOKUP(D79,'Monthly Deduction'!A:B,2,0),0)</f>
        <v>0</v>
      </c>
      <c r="AB79" s="129">
        <f t="shared" si="24"/>
        <v>4459</v>
      </c>
      <c r="AC79" s="130">
        <v>0</v>
      </c>
      <c r="AD79" s="35">
        <f t="shared" si="36"/>
        <v>4459</v>
      </c>
      <c r="AE79" s="166" t="str">
        <f t="shared" si="37"/>
        <v>Release</v>
      </c>
      <c r="AF79" s="127"/>
      <c r="AG79" s="18">
        <v>0</v>
      </c>
      <c r="AH79" s="120"/>
      <c r="AI79" s="238">
        <v>0</v>
      </c>
      <c r="AJ79" s="132"/>
      <c r="AK79" s="151">
        <v>790.44999999999993</v>
      </c>
      <c r="AL79" s="154">
        <f t="shared" si="25"/>
        <v>0</v>
      </c>
      <c r="AM79" s="155"/>
      <c r="AN79" s="19">
        <f t="shared" si="26"/>
        <v>0</v>
      </c>
      <c r="AO79" s="118">
        <f>SUMIF('MPG Payment '!E:E,'Shayak Income '!D79,'MPG Payment '!AJ:AJ)</f>
        <v>0</v>
      </c>
      <c r="AP79" s="19">
        <f t="shared" si="27"/>
        <v>0</v>
      </c>
      <c r="AQ79" s="119">
        <f t="shared" si="38"/>
        <v>0</v>
      </c>
      <c r="AR79" s="91" t="s">
        <v>1168</v>
      </c>
      <c r="AS79" s="91">
        <f t="shared" si="28"/>
        <v>0</v>
      </c>
      <c r="AT79" s="118"/>
      <c r="AU79" s="118"/>
      <c r="AV79" s="118"/>
    </row>
    <row r="80" spans="1:48" s="20" customFormat="1" x14ac:dyDescent="0.25">
      <c r="A80" s="17">
        <f>IFERROR(VLOOKUP(D80,'Monthly Deduction'!$I$3:$J$957,2,0),0)</f>
        <v>0</v>
      </c>
      <c r="B80" s="17">
        <f>IFERROR(VLOOKUP(D80,'Monthly Deduction'!$E$3:$F$957,2,0),0)</f>
        <v>0</v>
      </c>
      <c r="C80" s="17">
        <f t="shared" si="29"/>
        <v>0</v>
      </c>
      <c r="D80" s="41">
        <v>10030008</v>
      </c>
      <c r="E80" s="122" t="str">
        <f>VLOOKUP(D80,'MPG Payment '!$E$3:$G$498218,2,0)</f>
        <v>HARPUR M</v>
      </c>
      <c r="F80" s="146">
        <f>IFERROR(_xlfn.XLOOKUP(D80,'Monthly Deduction'!$I$3:$I$957,'Monthly Deduction'!$H$3:$H$957),0)</f>
        <v>0</v>
      </c>
      <c r="G80" s="123" t="str">
        <f>VLOOKUP(D80,'MPG Payment '!$E$3:$G$334579,3,0)</f>
        <v>RMC</v>
      </c>
      <c r="H80" s="124" t="str">
        <f>VLOOKUP(D80,'MPG Payment '!$E$3:$H$334579,4,0)</f>
        <v>Direct</v>
      </c>
      <c r="I80" s="88">
        <f>INDEX('MPG Payment '!$C:$C,MATCH('Shayak Income '!D80,'MPG Payment '!E:E,0))</f>
        <v>1003</v>
      </c>
      <c r="J80" s="88" t="str">
        <f>INDEX('MPG Payment '!$D:$D,MATCH('Shayak Income '!D80,'MPG Payment '!E:E,0))</f>
        <v>Asarganj</v>
      </c>
      <c r="K80" s="125" t="s">
        <v>1322</v>
      </c>
      <c r="L80" s="125">
        <v>42979</v>
      </c>
      <c r="M80" s="126">
        <f>SUMIF('MPG Payment '!$E$3:$E$34579,'Shayak Income '!D80,'MPG Payment '!$I$3:$I$34579)</f>
        <v>947.55</v>
      </c>
      <c r="N80" s="126">
        <f>SUMIF('MPG Payment '!$E$3:$E$34579,'Shayak Income '!D80,'MPG Payment '!$J$3:$J$34579)</f>
        <v>30650.216030700005</v>
      </c>
      <c r="O80" s="126">
        <f t="shared" si="30"/>
        <v>710.66249999999991</v>
      </c>
      <c r="P80" s="126">
        <f t="shared" si="31"/>
        <v>900.1724999999999</v>
      </c>
      <c r="Q80" s="126">
        <f>SUMIF('MPG Payment '!$E$3:$E$34579,'Shayak Income '!D80,'MPG Payment '!$S$3:$S$34579)</f>
        <v>14.234044800000001</v>
      </c>
      <c r="R80" s="126">
        <f t="shared" si="21"/>
        <v>919.50648092100016</v>
      </c>
      <c r="S80" s="126">
        <f t="shared" si="22"/>
        <v>19.333980921000261</v>
      </c>
      <c r="T80" s="126">
        <f t="shared" si="32"/>
        <v>94.754999999999995</v>
      </c>
      <c r="U80" s="127">
        <f>(((IF(K80="New",0,SUMIF('MPG Payment '!$E$3:$E$34579,'Shayak Income '!D80,'MPG Payment '!$AC$3:$AC$34579))))+0)+0</f>
        <v>0</v>
      </c>
      <c r="V80" s="127">
        <f t="shared" si="33"/>
        <v>1530</v>
      </c>
      <c r="W80" s="19">
        <f t="shared" si="34"/>
        <v>0</v>
      </c>
      <c r="X80" s="19">
        <f t="shared" si="23"/>
        <v>0</v>
      </c>
      <c r="Y80" s="128">
        <f>IFERROR(VLOOKUP(D80,'Monthly Deduction'!$M$2:$N$64,2,0),0)</f>
        <v>0</v>
      </c>
      <c r="Z80" s="128">
        <v>0</v>
      </c>
      <c r="AA80" s="126">
        <f>IFERROR(VLOOKUP(D80,'Monthly Deduction'!A:B,2,0),0)</f>
        <v>0</v>
      </c>
      <c r="AB80" s="129">
        <f t="shared" si="24"/>
        <v>1530</v>
      </c>
      <c r="AC80" s="130">
        <v>0</v>
      </c>
      <c r="AD80" s="35">
        <f t="shared" si="36"/>
        <v>1530</v>
      </c>
      <c r="AE80" s="166" t="str">
        <f t="shared" si="37"/>
        <v>Release</v>
      </c>
      <c r="AF80" s="127"/>
      <c r="AG80" s="18">
        <v>0</v>
      </c>
      <c r="AH80" s="132"/>
      <c r="AI80" s="238">
        <v>0</v>
      </c>
      <c r="AJ80" s="132"/>
      <c r="AK80" s="151">
        <v>816</v>
      </c>
      <c r="AL80" s="154">
        <f t="shared" si="25"/>
        <v>0</v>
      </c>
      <c r="AM80" s="155"/>
      <c r="AN80" s="19">
        <f t="shared" si="26"/>
        <v>0</v>
      </c>
      <c r="AO80" s="118">
        <f>SUMIF('MPG Payment '!E:E,'Shayak Income '!D80,'MPG Payment '!AJ:AJ)</f>
        <v>0</v>
      </c>
      <c r="AP80" s="19">
        <f t="shared" si="27"/>
        <v>0</v>
      </c>
      <c r="AQ80" s="119">
        <f t="shared" si="38"/>
        <v>0</v>
      </c>
      <c r="AR80" s="91"/>
      <c r="AS80" s="91">
        <f t="shared" si="28"/>
        <v>0</v>
      </c>
      <c r="AT80" s="118"/>
      <c r="AU80" s="118"/>
      <c r="AV80" s="118"/>
    </row>
    <row r="81" spans="1:48" s="20" customFormat="1" x14ac:dyDescent="0.25">
      <c r="A81" s="17">
        <f>IFERROR(VLOOKUP(D81,'Monthly Deduction'!$I$3:$J$957,2,0),0)</f>
        <v>0</v>
      </c>
      <c r="B81" s="17">
        <f>IFERROR(VLOOKUP(D81,'Monthly Deduction'!$E$3:$F$957,2,0),0)</f>
        <v>0</v>
      </c>
      <c r="C81" s="17">
        <f t="shared" si="29"/>
        <v>0</v>
      </c>
      <c r="D81" s="41">
        <v>10030009</v>
      </c>
      <c r="E81" s="122" t="str">
        <f>VLOOKUP(D81,'MPG Payment '!$E$3:$G$498218,2,0)</f>
        <v>Gomukh ID Laldiyara</v>
      </c>
      <c r="F81" s="146">
        <f>IFERROR(_xlfn.XLOOKUP(D81,'Monthly Deduction'!$I$3:$I$957,'Monthly Deduction'!$H$3:$H$957),0)</f>
        <v>0</v>
      </c>
      <c r="G81" s="123" t="str">
        <f>VLOOKUP(D81,'MPG Payment '!$E$3:$G$334579,3,0)</f>
        <v>vlc</v>
      </c>
      <c r="H81" s="124" t="str">
        <f>VLOOKUP(D81,'MPG Payment '!$E$3:$H$334579,4,0)</f>
        <v>Indirect</v>
      </c>
      <c r="I81" s="88">
        <f>INDEX('MPG Payment '!$C:$C,MATCH('Shayak Income '!D81,'MPG Payment '!E:E,0))</f>
        <v>1003</v>
      </c>
      <c r="J81" s="88" t="str">
        <f>INDEX('MPG Payment '!$D:$D,MATCH('Shayak Income '!D81,'MPG Payment '!E:E,0))</f>
        <v>Asarganj</v>
      </c>
      <c r="K81" s="125" t="s">
        <v>1322</v>
      </c>
      <c r="L81" s="125">
        <v>43315</v>
      </c>
      <c r="M81" s="126">
        <f>SUMIF('MPG Payment '!$E$3:$E$34579,'Shayak Income '!D81,'MPG Payment '!$I$3:$I$34579)</f>
        <v>37762.949999999997</v>
      </c>
      <c r="N81" s="126">
        <f>SUMIF('MPG Payment '!$E$3:$E$34579,'Shayak Income '!D81,'MPG Payment '!$J$3:$J$34579)</f>
        <v>1434032.3673934252</v>
      </c>
      <c r="O81" s="126">
        <f t="shared" si="30"/>
        <v>28322.212499999998</v>
      </c>
      <c r="P81" s="126">
        <f t="shared" si="31"/>
        <v>35874.802499999998</v>
      </c>
      <c r="Q81" s="126">
        <f>SUMIF('MPG Payment '!$E$3:$E$34579,'Shayak Income '!D81,'MPG Payment '!$S$3:$S$34579)</f>
        <v>0</v>
      </c>
      <c r="R81" s="126">
        <f t="shared" si="21"/>
        <v>43020.971021802754</v>
      </c>
      <c r="S81" s="126">
        <f t="shared" si="22"/>
        <v>7146.168521802756</v>
      </c>
      <c r="T81" s="126">
        <f t="shared" si="32"/>
        <v>3776.2950000000001</v>
      </c>
      <c r="U81" s="127">
        <f>(((IF(K81="New",0,SUMIF('MPG Payment '!$E$3:$E$34579,'Shayak Income '!D81,'MPG Payment '!$AC$3:$AC$34579))))+0)+0</f>
        <v>0</v>
      </c>
      <c r="V81" s="127">
        <f t="shared" si="33"/>
        <v>60421</v>
      </c>
      <c r="W81" s="19">
        <f t="shared" si="34"/>
        <v>0</v>
      </c>
      <c r="X81" s="19">
        <f t="shared" si="23"/>
        <v>0</v>
      </c>
      <c r="Y81" s="128">
        <f>IFERROR(VLOOKUP(D81,'Monthly Deduction'!$M$2:$N$64,2,0),0)</f>
        <v>0</v>
      </c>
      <c r="Z81" s="128">
        <v>0</v>
      </c>
      <c r="AA81" s="126">
        <f>IFERROR(VLOOKUP(D81,'Monthly Deduction'!A:B,2,0),0)</f>
        <v>0</v>
      </c>
      <c r="AB81" s="129">
        <f t="shared" si="24"/>
        <v>60421</v>
      </c>
      <c r="AC81" s="130">
        <v>0</v>
      </c>
      <c r="AD81" s="35">
        <f t="shared" si="36"/>
        <v>60421</v>
      </c>
      <c r="AE81" s="166" t="str">
        <f t="shared" si="37"/>
        <v>Release</v>
      </c>
      <c r="AF81" s="127"/>
      <c r="AG81" s="18">
        <v>0</v>
      </c>
      <c r="AH81" s="120"/>
      <c r="AI81" s="238">
        <v>0</v>
      </c>
      <c r="AJ81" s="132"/>
      <c r="AK81" s="151">
        <v>10917</v>
      </c>
      <c r="AL81" s="154">
        <f t="shared" si="25"/>
        <v>0</v>
      </c>
      <c r="AM81" s="155"/>
      <c r="AN81" s="19">
        <f t="shared" si="26"/>
        <v>0</v>
      </c>
      <c r="AO81" s="118">
        <f>SUMIF('MPG Payment '!E:E,'Shayak Income '!D81,'MPG Payment '!AJ:AJ)</f>
        <v>0</v>
      </c>
      <c r="AP81" s="19">
        <f t="shared" si="27"/>
        <v>0</v>
      </c>
      <c r="AQ81" s="119">
        <f t="shared" si="38"/>
        <v>0</v>
      </c>
      <c r="AR81" s="91"/>
      <c r="AS81" s="91">
        <f t="shared" si="28"/>
        <v>0</v>
      </c>
      <c r="AT81" s="118"/>
      <c r="AU81" s="118"/>
      <c r="AV81" s="118"/>
    </row>
    <row r="82" spans="1:48" s="20" customFormat="1" x14ac:dyDescent="0.25">
      <c r="A82" s="17">
        <f>IFERROR(VLOOKUP(D82,'Monthly Deduction'!$I$3:$J$957,2,0),0)</f>
        <v>39837.522623289609</v>
      </c>
      <c r="B82" s="17">
        <f>IFERROR(VLOOKUP(D82,'Monthly Deduction'!$E$3:$F$957,2,0),0)</f>
        <v>4335</v>
      </c>
      <c r="C82" s="17">
        <f t="shared" si="29"/>
        <v>44172.522623289609</v>
      </c>
      <c r="D82" s="41">
        <v>10030010</v>
      </c>
      <c r="E82" s="122" t="str">
        <f>VLOOKUP(D82,'MPG Payment '!$E$3:$G$498218,2,0)</f>
        <v>KATHNI</v>
      </c>
      <c r="F82" s="146">
        <f>IFERROR(_xlfn.XLOOKUP(D82,'Monthly Deduction'!$I$3:$I$957,'Monthly Deduction'!$H$3:$H$957),0)</f>
        <v>0</v>
      </c>
      <c r="G82" s="123" t="str">
        <f>VLOOKUP(D82,'MPG Payment '!$E$3:$G$334579,3,0)</f>
        <v>MPG</v>
      </c>
      <c r="H82" s="124" t="str">
        <f>VLOOKUP(D82,'MPG Payment '!$E$3:$H$334579,4,0)</f>
        <v>Direct</v>
      </c>
      <c r="I82" s="88">
        <f>INDEX('MPG Payment '!$C:$C,MATCH('Shayak Income '!D82,'MPG Payment '!E:E,0))</f>
        <v>1003</v>
      </c>
      <c r="J82" s="88" t="str">
        <f>INDEX('MPG Payment '!$D:$D,MATCH('Shayak Income '!D82,'MPG Payment '!E:E,0))</f>
        <v>Asarganj</v>
      </c>
      <c r="K82" s="125" t="s">
        <v>1322</v>
      </c>
      <c r="L82" s="125">
        <v>43315</v>
      </c>
      <c r="M82" s="126">
        <f>SUMIF('MPG Payment '!$E$3:$E$34579,'Shayak Income '!D82,'MPG Payment '!$I$3:$I$34579)</f>
        <v>1364.6</v>
      </c>
      <c r="N82" s="126">
        <f>SUMIF('MPG Payment '!$E$3:$E$34579,'Shayak Income '!D82,'MPG Payment '!$J$3:$J$34579)</f>
        <v>46010.300411366006</v>
      </c>
      <c r="O82" s="126">
        <f t="shared" si="30"/>
        <v>1023.4499999999999</v>
      </c>
      <c r="P82" s="126">
        <f t="shared" si="31"/>
        <v>1296.3699999999999</v>
      </c>
      <c r="Q82" s="126">
        <f>SUMIF('MPG Payment '!$E$3:$E$34579,'Shayak Income '!D82,'MPG Payment '!$S$3:$S$34579)</f>
        <v>0</v>
      </c>
      <c r="R82" s="126">
        <f t="shared" si="21"/>
        <v>1380.3090123409802</v>
      </c>
      <c r="S82" s="126">
        <f t="shared" si="22"/>
        <v>83.939012340980298</v>
      </c>
      <c r="T82" s="126">
        <f t="shared" si="32"/>
        <v>136.46</v>
      </c>
      <c r="U82" s="127">
        <f>(((IF(K82="New",0,SUMIF('MPG Payment '!$E$3:$E$34579,'Shayak Income '!D82,'MPG Payment '!$AC$3:$AC$34579))))+0)+0</f>
        <v>966.05531499255483</v>
      </c>
      <c r="V82" s="127">
        <f t="shared" si="33"/>
        <v>1217</v>
      </c>
      <c r="W82" s="19">
        <v>1217</v>
      </c>
      <c r="X82" s="19">
        <v>0</v>
      </c>
      <c r="Y82" s="128">
        <f>IFERROR(VLOOKUP(D82,'Monthly Deduction'!$M$2:$N$64,2,0),0)</f>
        <v>0</v>
      </c>
      <c r="Z82" s="128">
        <v>0</v>
      </c>
      <c r="AA82" s="126">
        <f>IFERROR(VLOOKUP(D82,'Monthly Deduction'!A:B,2,0),0)</f>
        <v>0</v>
      </c>
      <c r="AB82" s="129">
        <f t="shared" si="24"/>
        <v>0</v>
      </c>
      <c r="AC82" s="130">
        <v>0</v>
      </c>
      <c r="AD82" s="35">
        <f t="shared" si="36"/>
        <v>0</v>
      </c>
      <c r="AE82" s="166" t="str">
        <f t="shared" si="37"/>
        <v>Release</v>
      </c>
      <c r="AF82" s="127"/>
      <c r="AG82" s="18">
        <v>0</v>
      </c>
      <c r="AH82" s="120"/>
      <c r="AI82" s="238">
        <v>0</v>
      </c>
      <c r="AJ82" s="132"/>
      <c r="AK82" s="151">
        <v>293.64999999999998</v>
      </c>
      <c r="AL82" s="154">
        <f t="shared" si="25"/>
        <v>0</v>
      </c>
      <c r="AM82" s="155"/>
      <c r="AN82" s="19">
        <f t="shared" si="26"/>
        <v>1861</v>
      </c>
      <c r="AO82" s="118">
        <f>SUMIF('MPG Payment '!E:E,'Shayak Income '!D82,'MPG Payment '!AJ:AJ)</f>
        <v>0</v>
      </c>
      <c r="AP82" s="19">
        <f t="shared" si="27"/>
        <v>1217</v>
      </c>
      <c r="AQ82" s="119">
        <f t="shared" si="38"/>
        <v>1217</v>
      </c>
      <c r="AR82" s="91" t="s">
        <v>1168</v>
      </c>
      <c r="AS82" s="91">
        <f t="shared" si="28"/>
        <v>4335</v>
      </c>
      <c r="AT82" s="118"/>
      <c r="AU82" s="118"/>
      <c r="AV82" s="118"/>
    </row>
    <row r="83" spans="1:48" s="20" customFormat="1" x14ac:dyDescent="0.25">
      <c r="A83" s="17">
        <f>IFERROR(VLOOKUP(D83,'Monthly Deduction'!$I$3:$J$957,2,0),0)</f>
        <v>0</v>
      </c>
      <c r="B83" s="17">
        <f>IFERROR(VLOOKUP(D83,'Monthly Deduction'!$E$3:$F$957,2,0),0)</f>
        <v>0</v>
      </c>
      <c r="C83" s="17">
        <f t="shared" si="29"/>
        <v>0</v>
      </c>
      <c r="D83" s="41">
        <v>10030011</v>
      </c>
      <c r="E83" s="122" t="str">
        <f>VLOOKUP(D83,'MPG Payment '!$E$3:$G$498218,2,0)</f>
        <v>DEVDHA GOMUKH MPG</v>
      </c>
      <c r="F83" s="146">
        <f>IFERROR(_xlfn.XLOOKUP(D83,'Monthly Deduction'!$I$3:$I$957,'Monthly Deduction'!$H$3:$H$957),0)</f>
        <v>0</v>
      </c>
      <c r="G83" s="123" t="str">
        <f>VLOOKUP(D83,'MPG Payment '!$E$3:$G$334579,3,0)</f>
        <v>MPG</v>
      </c>
      <c r="H83" s="124" t="str">
        <f>VLOOKUP(D83,'MPG Payment '!$E$3:$H$334579,4,0)</f>
        <v>Direct</v>
      </c>
      <c r="I83" s="88">
        <f>INDEX('MPG Payment '!$C:$C,MATCH('Shayak Income '!D83,'MPG Payment '!E:E,0))</f>
        <v>1003</v>
      </c>
      <c r="J83" s="88" t="str">
        <f>INDEX('MPG Payment '!$D:$D,MATCH('Shayak Income '!D83,'MPG Payment '!E:E,0))</f>
        <v>Asarganj</v>
      </c>
      <c r="K83" s="125" t="s">
        <v>1322</v>
      </c>
      <c r="L83" s="125">
        <v>43343</v>
      </c>
      <c r="M83" s="126">
        <f>SUMIF('MPG Payment '!$E$3:$E$34579,'Shayak Income '!D83,'MPG Payment '!$I$3:$I$34579)</f>
        <v>4931.3</v>
      </c>
      <c r="N83" s="126">
        <f>SUMIF('MPG Payment '!$E$3:$E$34579,'Shayak Income '!D83,'MPG Payment '!$J$3:$J$34579)</f>
        <v>192745.95213929002</v>
      </c>
      <c r="O83" s="126">
        <f t="shared" si="30"/>
        <v>3698.4750000000004</v>
      </c>
      <c r="P83" s="126">
        <f t="shared" si="31"/>
        <v>4684.7349999999997</v>
      </c>
      <c r="Q83" s="126">
        <f>SUMIF('MPG Payment '!$E$3:$E$34579,'Shayak Income '!D83,'MPG Payment '!$S$3:$S$34579)</f>
        <v>1106.4273507960002</v>
      </c>
      <c r="R83" s="126">
        <f t="shared" si="21"/>
        <v>5782.3785641787008</v>
      </c>
      <c r="S83" s="126">
        <f t="shared" si="22"/>
        <v>1097.6435641787011</v>
      </c>
      <c r="T83" s="126">
        <f t="shared" si="32"/>
        <v>493.13000000000005</v>
      </c>
      <c r="U83" s="127">
        <f>(((IF(K83="New",0,SUMIF('MPG Payment '!$E$3:$E$34579,'Shayak Income '!D83,'MPG Payment '!$AC$3:$AC$34579))))+0)+0</f>
        <v>0</v>
      </c>
      <c r="V83" s="127">
        <f t="shared" si="33"/>
        <v>8997</v>
      </c>
      <c r="W83" s="19">
        <f t="shared" si="34"/>
        <v>0</v>
      </c>
      <c r="X83" s="19">
        <f t="shared" si="23"/>
        <v>0</v>
      </c>
      <c r="Y83" s="128">
        <f>IFERROR(VLOOKUP(D83,'Monthly Deduction'!$M$2:$N$64,2,0),0)</f>
        <v>0</v>
      </c>
      <c r="Z83" s="128">
        <v>0</v>
      </c>
      <c r="AA83" s="126">
        <f>IFERROR(VLOOKUP(D83,'Monthly Deduction'!A:B,2,0),0)</f>
        <v>0</v>
      </c>
      <c r="AB83" s="129">
        <f t="shared" si="24"/>
        <v>8997</v>
      </c>
      <c r="AC83" s="130">
        <v>0</v>
      </c>
      <c r="AD83" s="35">
        <f t="shared" si="36"/>
        <v>8997</v>
      </c>
      <c r="AE83" s="166" t="str">
        <f t="shared" si="37"/>
        <v>Release</v>
      </c>
      <c r="AF83" s="127"/>
      <c r="AG83" s="18">
        <v>0</v>
      </c>
      <c r="AH83" s="132"/>
      <c r="AI83" s="238">
        <v>0</v>
      </c>
      <c r="AJ83" s="132"/>
      <c r="AK83" s="151">
        <v>1716.1000000000001</v>
      </c>
      <c r="AL83" s="154">
        <f t="shared" si="25"/>
        <v>0</v>
      </c>
      <c r="AM83" s="155"/>
      <c r="AN83" s="19">
        <f t="shared" si="26"/>
        <v>0</v>
      </c>
      <c r="AO83" s="118">
        <f>SUMIF('MPG Payment '!E:E,'Shayak Income '!D83,'MPG Payment '!AJ:AJ)</f>
        <v>0</v>
      </c>
      <c r="AP83" s="19">
        <f t="shared" si="27"/>
        <v>0</v>
      </c>
      <c r="AQ83" s="119">
        <f t="shared" si="38"/>
        <v>0</v>
      </c>
      <c r="AR83" s="91" t="s">
        <v>1168</v>
      </c>
      <c r="AS83" s="91">
        <f t="shared" si="28"/>
        <v>0</v>
      </c>
      <c r="AT83" s="118"/>
      <c r="AU83" s="118"/>
      <c r="AV83" s="118"/>
    </row>
    <row r="84" spans="1:48" s="20" customFormat="1" x14ac:dyDescent="0.25">
      <c r="A84" s="17">
        <f>IFERROR(VLOOKUP(D84,'Monthly Deduction'!$I$3:$J$957,2,0),0)</f>
        <v>0</v>
      </c>
      <c r="B84" s="17">
        <f>IFERROR(VLOOKUP(D84,'Monthly Deduction'!$E$3:$F$957,2,0),0)</f>
        <v>0</v>
      </c>
      <c r="C84" s="17">
        <f t="shared" si="29"/>
        <v>0</v>
      </c>
      <c r="D84" s="41">
        <v>10030012</v>
      </c>
      <c r="E84" s="122" t="str">
        <f>VLOOKUP(D84,'MPG Payment '!$E$3:$G$498218,2,0)</f>
        <v>KASBA(MANGOAN)</v>
      </c>
      <c r="F84" s="146">
        <f>IFERROR(_xlfn.XLOOKUP(D84,'Monthly Deduction'!$I$3:$I$957,'Monthly Deduction'!$H$3:$H$957),0)</f>
        <v>0</v>
      </c>
      <c r="G84" s="123" t="str">
        <f>VLOOKUP(D84,'MPG Payment '!$E$3:$G$334579,3,0)</f>
        <v>vlc</v>
      </c>
      <c r="H84" s="124" t="str">
        <f>VLOOKUP(D84,'MPG Payment '!$E$3:$H$334579,4,0)</f>
        <v>Indirect</v>
      </c>
      <c r="I84" s="88">
        <f>INDEX('MPG Payment '!$C:$C,MATCH('Shayak Income '!D84,'MPG Payment '!E:E,0))</f>
        <v>1003</v>
      </c>
      <c r="J84" s="88" t="str">
        <f>INDEX('MPG Payment '!$D:$D,MATCH('Shayak Income '!D84,'MPG Payment '!E:E,0))</f>
        <v>Asarganj</v>
      </c>
      <c r="K84" s="125" t="s">
        <v>1322</v>
      </c>
      <c r="L84" s="125">
        <v>44652</v>
      </c>
      <c r="M84" s="126">
        <f>SUMIF('MPG Payment '!$E$3:$E$34579,'Shayak Income '!D84,'MPG Payment '!$I$3:$I$34579)</f>
        <v>4605.2</v>
      </c>
      <c r="N84" s="126">
        <f>SUMIF('MPG Payment '!$E$3:$E$34579,'Shayak Income '!D84,'MPG Payment '!$J$3:$J$34579)</f>
        <v>153783.46083403876</v>
      </c>
      <c r="O84" s="126">
        <f t="shared" si="30"/>
        <v>3453.8999999999996</v>
      </c>
      <c r="P84" s="126">
        <f t="shared" si="31"/>
        <v>4374.9399999999996</v>
      </c>
      <c r="Q84" s="126">
        <f>SUMIF('MPG Payment '!$E$3:$E$34579,'Shayak Income '!D84,'MPG Payment '!$S$3:$S$34579)</f>
        <v>0</v>
      </c>
      <c r="R84" s="126">
        <f t="shared" si="21"/>
        <v>4613.5038250211628</v>
      </c>
      <c r="S84" s="126">
        <f t="shared" si="22"/>
        <v>238.56382502116321</v>
      </c>
      <c r="T84" s="126">
        <f t="shared" si="32"/>
        <v>460.52</v>
      </c>
      <c r="U84" s="127">
        <f>(((IF(K84="New",0,SUMIF('MPG Payment '!$E$3:$E$34579,'Shayak Income '!D84,'MPG Payment '!$AC$3:$AC$34579))))+0)+0</f>
        <v>409.53400999051973</v>
      </c>
      <c r="V84" s="127">
        <f t="shared" si="33"/>
        <v>6959</v>
      </c>
      <c r="W84" s="19">
        <f t="shared" si="34"/>
        <v>0</v>
      </c>
      <c r="X84" s="19">
        <f t="shared" si="23"/>
        <v>0</v>
      </c>
      <c r="Y84" s="128">
        <f>IFERROR(VLOOKUP(D84,'Monthly Deduction'!$M$2:$N$64,2,0),0)</f>
        <v>0</v>
      </c>
      <c r="Z84" s="128">
        <v>0</v>
      </c>
      <c r="AA84" s="126">
        <f>IFERROR(VLOOKUP(D84,'Monthly Deduction'!A:B,2,0),0)</f>
        <v>0</v>
      </c>
      <c r="AB84" s="129">
        <f t="shared" si="24"/>
        <v>6959</v>
      </c>
      <c r="AC84" s="130">
        <v>0</v>
      </c>
      <c r="AD84" s="35">
        <f t="shared" si="36"/>
        <v>6959</v>
      </c>
      <c r="AE84" s="166" t="str">
        <f t="shared" si="37"/>
        <v>Release</v>
      </c>
      <c r="AF84" s="127"/>
      <c r="AG84" s="18">
        <v>0</v>
      </c>
      <c r="AH84" s="132"/>
      <c r="AI84" s="238">
        <v>0</v>
      </c>
      <c r="AJ84" s="132"/>
      <c r="AK84" s="151">
        <v>1454.4999999999995</v>
      </c>
      <c r="AL84" s="154">
        <f t="shared" si="25"/>
        <v>0</v>
      </c>
      <c r="AM84" s="155"/>
      <c r="AN84" s="19">
        <f t="shared" si="26"/>
        <v>0</v>
      </c>
      <c r="AO84" s="118">
        <f>SUMIF('MPG Payment '!E:E,'Shayak Income '!D84,'MPG Payment '!AJ:AJ)</f>
        <v>0</v>
      </c>
      <c r="AP84" s="19">
        <f t="shared" si="27"/>
        <v>0</v>
      </c>
      <c r="AQ84" s="119">
        <f t="shared" si="38"/>
        <v>0</v>
      </c>
      <c r="AR84" s="91" t="s">
        <v>1168</v>
      </c>
      <c r="AS84" s="91">
        <f t="shared" si="28"/>
        <v>0</v>
      </c>
      <c r="AT84" s="118"/>
      <c r="AU84" s="118"/>
      <c r="AV84" s="118"/>
    </row>
    <row r="85" spans="1:48" s="20" customFormat="1" x14ac:dyDescent="0.25">
      <c r="A85" s="17">
        <f>IFERROR(VLOOKUP(D85,'Monthly Deduction'!$I$3:$J$957,2,0),0)</f>
        <v>0</v>
      </c>
      <c r="B85" s="17">
        <f>IFERROR(VLOOKUP(D85,'Monthly Deduction'!$E$3:$F$957,2,0),0)</f>
        <v>9877.5724169900859</v>
      </c>
      <c r="C85" s="17">
        <f t="shared" si="29"/>
        <v>9877.5724169900859</v>
      </c>
      <c r="D85" s="41">
        <v>10030013</v>
      </c>
      <c r="E85" s="122" t="str">
        <f>VLOOKUP(D85,'MPG Payment '!$E$3:$G$498218,2,0)</f>
        <v>LOHRA</v>
      </c>
      <c r="F85" s="146">
        <f>IFERROR(_xlfn.XLOOKUP(D85,'Monthly Deduction'!$I$3:$I$957,'Monthly Deduction'!$H$3:$H$957),0)</f>
        <v>0</v>
      </c>
      <c r="G85" s="123" t="str">
        <f>VLOOKUP(D85,'MPG Payment '!$E$3:$G$334579,3,0)</f>
        <v>MPG</v>
      </c>
      <c r="H85" s="124" t="str">
        <f>VLOOKUP(D85,'MPG Payment '!$E$3:$H$334579,4,0)</f>
        <v>Direct</v>
      </c>
      <c r="I85" s="88">
        <f>INDEX('MPG Payment '!$C:$C,MATCH('Shayak Income '!D85,'MPG Payment '!E:E,0))</f>
        <v>1003</v>
      </c>
      <c r="J85" s="88" t="str">
        <f>INDEX('MPG Payment '!$D:$D,MATCH('Shayak Income '!D85,'MPG Payment '!E:E,0))</f>
        <v>Asarganj</v>
      </c>
      <c r="K85" s="125" t="s">
        <v>1322</v>
      </c>
      <c r="L85" s="125">
        <v>44927</v>
      </c>
      <c r="M85" s="126">
        <f>SUMIF('MPG Payment '!$E$3:$E$34579,'Shayak Income '!D85,'MPG Payment '!$I$3:$I$34579)</f>
        <v>2041</v>
      </c>
      <c r="N85" s="126">
        <f>SUMIF('MPG Payment '!$E$3:$E$34579,'Shayak Income '!D85,'MPG Payment '!$J$3:$J$34579)</f>
        <v>102984.93240520899</v>
      </c>
      <c r="O85" s="126">
        <f t="shared" si="30"/>
        <v>1530.75</v>
      </c>
      <c r="P85" s="126">
        <f t="shared" si="31"/>
        <v>1938.9499999999998</v>
      </c>
      <c r="Q85" s="126">
        <f>SUMIF('MPG Payment '!$E$3:$E$34579,'Shayak Income '!D85,'MPG Payment '!$S$3:$S$34579)</f>
        <v>2877.5877786866004</v>
      </c>
      <c r="R85" s="126">
        <f t="shared" si="21"/>
        <v>3089.5479721562697</v>
      </c>
      <c r="S85" s="126">
        <f t="shared" si="22"/>
        <v>1150.5979721562699</v>
      </c>
      <c r="T85" s="126">
        <f t="shared" si="32"/>
        <v>204.10000000000002</v>
      </c>
      <c r="U85" s="127">
        <f>(((IF(K85="New",0,SUMIF('MPG Payment '!$E$3:$E$34579,'Shayak Income '!D85,'MPG Payment '!$AC$3:$AC$34579))))+0)+0</f>
        <v>750.65722126976334</v>
      </c>
      <c r="V85" s="127">
        <f t="shared" si="33"/>
        <v>5393</v>
      </c>
      <c r="W85" s="19">
        <f t="shared" si="34"/>
        <v>0</v>
      </c>
      <c r="X85" s="19">
        <f t="shared" si="23"/>
        <v>2059.6986481041799</v>
      </c>
      <c r="Y85" s="128">
        <f>IFERROR(VLOOKUP(D85,'Monthly Deduction'!$M$2:$N$64,2,0),0)</f>
        <v>0</v>
      </c>
      <c r="Z85" s="128">
        <v>0</v>
      </c>
      <c r="AA85" s="126">
        <f>IFERROR(VLOOKUP(D85,'Monthly Deduction'!A:B,2,0),0)</f>
        <v>0</v>
      </c>
      <c r="AB85" s="129">
        <f t="shared" si="24"/>
        <v>3333</v>
      </c>
      <c r="AC85" s="130">
        <v>0</v>
      </c>
      <c r="AD85" s="35">
        <f t="shared" si="36"/>
        <v>3333</v>
      </c>
      <c r="AE85" s="166" t="str">
        <f t="shared" si="37"/>
        <v>Release</v>
      </c>
      <c r="AF85" s="127"/>
      <c r="AG85" s="18">
        <v>0</v>
      </c>
      <c r="AH85" s="120"/>
      <c r="AI85" s="238">
        <v>0</v>
      </c>
      <c r="AJ85" s="132"/>
      <c r="AK85" s="151">
        <v>700.74999999999989</v>
      </c>
      <c r="AL85" s="154">
        <f t="shared" si="25"/>
        <v>0</v>
      </c>
      <c r="AM85" s="155"/>
      <c r="AN85" s="19">
        <f t="shared" si="26"/>
        <v>0</v>
      </c>
      <c r="AO85" s="118">
        <f>SUMIF('MPG Payment '!E:E,'Shayak Income '!D85,'MPG Payment '!AJ:AJ)</f>
        <v>0</v>
      </c>
      <c r="AP85" s="19">
        <f t="shared" si="27"/>
        <v>0</v>
      </c>
      <c r="AQ85" s="119">
        <f t="shared" si="38"/>
        <v>0</v>
      </c>
      <c r="AR85" s="91" t="s">
        <v>1168</v>
      </c>
      <c r="AS85" s="91">
        <f t="shared" si="28"/>
        <v>7817.8737688859055</v>
      </c>
      <c r="AT85" s="118"/>
      <c r="AU85" s="118"/>
      <c r="AV85" s="118"/>
    </row>
    <row r="86" spans="1:48" s="20" customFormat="1" x14ac:dyDescent="0.25">
      <c r="A86" s="17">
        <f>IFERROR(VLOOKUP(D86,'Monthly Deduction'!$I$3:$J$957,2,0),0)</f>
        <v>44253.95065287716</v>
      </c>
      <c r="B86" s="17">
        <f>IFERROR(VLOOKUP(D86,'Monthly Deduction'!$E$3:$F$957,2,0),0)</f>
        <v>6400</v>
      </c>
      <c r="C86" s="17">
        <f t="shared" si="29"/>
        <v>50653.95065287716</v>
      </c>
      <c r="D86" s="41">
        <v>10030015</v>
      </c>
      <c r="E86" s="122" t="str">
        <f>VLOOKUP(D86,'MPG Payment '!$E$3:$G$498218,2,0)</f>
        <v>KAMATPUR</v>
      </c>
      <c r="F86" s="146">
        <f>IFERROR(_xlfn.XLOOKUP(D86,'Monthly Deduction'!$I$3:$I$957,'Monthly Deduction'!$H$3:$H$957),0)</f>
        <v>0</v>
      </c>
      <c r="G86" s="123" t="str">
        <f>VLOOKUP(D86,'MPG Payment '!$E$3:$G$334579,3,0)</f>
        <v>MPG</v>
      </c>
      <c r="H86" s="124" t="str">
        <f>VLOOKUP(D86,'MPG Payment '!$E$3:$H$334579,4,0)</f>
        <v>Direct</v>
      </c>
      <c r="I86" s="88">
        <f>INDEX('MPG Payment '!$C:$C,MATCH('Shayak Income '!D86,'MPG Payment '!E:E,0))</f>
        <v>1003</v>
      </c>
      <c r="J86" s="88" t="str">
        <f>INDEX('MPG Payment '!$D:$D,MATCH('Shayak Income '!D86,'MPG Payment '!E:E,0))</f>
        <v>Asarganj</v>
      </c>
      <c r="K86" s="125" t="s">
        <v>1322</v>
      </c>
      <c r="L86" s="125">
        <v>44981</v>
      </c>
      <c r="M86" s="126">
        <f>SUMIF('MPG Payment '!$E$3:$E$34579,'Shayak Income '!D86,'MPG Payment '!$I$3:$I$34579)</f>
        <v>2268.1</v>
      </c>
      <c r="N86" s="126">
        <f>SUMIF('MPG Payment '!$E$3:$E$34579,'Shayak Income '!D86,'MPG Payment '!$J$3:$J$34579)</f>
        <v>81887.520937230001</v>
      </c>
      <c r="O86" s="126">
        <f t="shared" si="30"/>
        <v>1701.0749999999998</v>
      </c>
      <c r="P86" s="126">
        <f t="shared" si="31"/>
        <v>2154.6949999999997</v>
      </c>
      <c r="Q86" s="126">
        <f>SUMIF('MPG Payment '!$E$3:$E$34579,'Shayak Income '!D86,'MPG Payment '!$S$3:$S$34579)</f>
        <v>1335.277961298</v>
      </c>
      <c r="R86" s="126">
        <f t="shared" si="21"/>
        <v>2456.6256281168999</v>
      </c>
      <c r="S86" s="126">
        <f t="shared" si="22"/>
        <v>301.93062811690015</v>
      </c>
      <c r="T86" s="126">
        <f t="shared" si="32"/>
        <v>226.81</v>
      </c>
      <c r="U86" s="127">
        <f>(((IF(K86="New",0,SUMIF('MPG Payment '!$E$3:$E$34579,'Shayak Income '!D86,'MPG Payment '!$AC$3:$AC$34579))))+0)+0</f>
        <v>634.54340562184711</v>
      </c>
      <c r="V86" s="127">
        <f t="shared" si="33"/>
        <v>4330</v>
      </c>
      <c r="W86" s="19">
        <f t="shared" si="34"/>
        <v>1861</v>
      </c>
      <c r="X86" s="19">
        <v>0</v>
      </c>
      <c r="Y86" s="128">
        <f>IFERROR(VLOOKUP(D86,'Monthly Deduction'!$M$2:$N$64,2,0),0)</f>
        <v>0</v>
      </c>
      <c r="Z86" s="128">
        <v>0</v>
      </c>
      <c r="AA86" s="126">
        <f>IFERROR(VLOOKUP(D86,'Monthly Deduction'!A:B,2,0),0)</f>
        <v>0</v>
      </c>
      <c r="AB86" s="129">
        <f t="shared" si="24"/>
        <v>2469</v>
      </c>
      <c r="AC86" s="130">
        <v>0</v>
      </c>
      <c r="AD86" s="35">
        <f t="shared" si="36"/>
        <v>2469</v>
      </c>
      <c r="AE86" s="166" t="str">
        <f t="shared" si="37"/>
        <v>Release</v>
      </c>
      <c r="AF86" s="127"/>
      <c r="AG86" s="18">
        <v>0</v>
      </c>
      <c r="AH86" s="120"/>
      <c r="AI86" s="238">
        <v>0</v>
      </c>
      <c r="AJ86" s="132"/>
      <c r="AK86" s="151">
        <v>893.2</v>
      </c>
      <c r="AL86" s="154">
        <f t="shared" si="25"/>
        <v>0</v>
      </c>
      <c r="AM86" s="155"/>
      <c r="AN86" s="19">
        <f t="shared" si="26"/>
        <v>1861</v>
      </c>
      <c r="AO86" s="118">
        <f>SUMIF('MPG Payment '!E:E,'Shayak Income '!D86,'MPG Payment '!AJ:AJ)</f>
        <v>0</v>
      </c>
      <c r="AP86" s="19">
        <f t="shared" si="27"/>
        <v>1861</v>
      </c>
      <c r="AQ86" s="119">
        <f t="shared" si="38"/>
        <v>1861</v>
      </c>
      <c r="AR86" s="91" t="s">
        <v>1168</v>
      </c>
      <c r="AS86" s="91">
        <f t="shared" si="28"/>
        <v>6400</v>
      </c>
      <c r="AT86" s="118"/>
      <c r="AU86" s="118"/>
      <c r="AV86" s="118"/>
    </row>
    <row r="87" spans="1:48" s="20" customFormat="1" x14ac:dyDescent="0.25">
      <c r="A87" s="17">
        <f>IFERROR(VLOOKUP(D87,'Monthly Deduction'!$I$3:$J$957,2,0),0)</f>
        <v>19851.727246080438</v>
      </c>
      <c r="B87" s="17">
        <f>IFERROR(VLOOKUP(D87,'Monthly Deduction'!$E$3:$F$957,2,0),0)</f>
        <v>19200</v>
      </c>
      <c r="C87" s="17">
        <f t="shared" si="29"/>
        <v>39051.727246080438</v>
      </c>
      <c r="D87" s="41">
        <v>10030016</v>
      </c>
      <c r="E87" s="122" t="str">
        <f>VLOOKUP(D87,'MPG Payment '!$E$3:$G$498218,2,0)</f>
        <v>GIRDHARA</v>
      </c>
      <c r="F87" s="146">
        <f>IFERROR(_xlfn.XLOOKUP(D87,'Monthly Deduction'!$I$3:$I$957,'Monthly Deduction'!$H$3:$H$957),0)</f>
        <v>0</v>
      </c>
      <c r="G87" s="123" t="str">
        <f>VLOOKUP(D87,'MPG Payment '!$E$3:$G$334579,3,0)</f>
        <v>MPG</v>
      </c>
      <c r="H87" s="124" t="str">
        <f>VLOOKUP(D87,'MPG Payment '!$E$3:$H$334579,4,0)</f>
        <v>Direct</v>
      </c>
      <c r="I87" s="88">
        <f>INDEX('MPG Payment '!$C:$C,MATCH('Shayak Income '!D87,'MPG Payment '!E:E,0))</f>
        <v>1003</v>
      </c>
      <c r="J87" s="88" t="str">
        <f>INDEX('MPG Payment '!$D:$D,MATCH('Shayak Income '!D87,'MPG Payment '!E:E,0))</f>
        <v>Asarganj</v>
      </c>
      <c r="K87" s="125" t="s">
        <v>1322</v>
      </c>
      <c r="L87" s="125">
        <v>44982</v>
      </c>
      <c r="M87" s="126">
        <f>SUMIF('MPG Payment '!$E$3:$E$34579,'Shayak Income '!D87,'MPG Payment '!$I$3:$I$34579)</f>
        <v>4581.6000000000004</v>
      </c>
      <c r="N87" s="126">
        <f>SUMIF('MPG Payment '!$E$3:$E$34579,'Shayak Income '!D87,'MPG Payment '!$J$3:$J$34579)</f>
        <v>180675.8630491184</v>
      </c>
      <c r="O87" s="126">
        <f t="shared" si="30"/>
        <v>3436.2000000000003</v>
      </c>
      <c r="P87" s="126">
        <f t="shared" si="31"/>
        <v>4352.5200000000004</v>
      </c>
      <c r="Q87" s="126">
        <f>SUMIF('MPG Payment '!$E$3:$E$34579,'Shayak Income '!D87,'MPG Payment '!$S$3:$S$34579)</f>
        <v>1246.1545634940003</v>
      </c>
      <c r="R87" s="126">
        <f t="shared" si="21"/>
        <v>5420.2758914735514</v>
      </c>
      <c r="S87" s="126">
        <f t="shared" si="22"/>
        <v>1067.7558914735509</v>
      </c>
      <c r="T87" s="126">
        <f t="shared" si="32"/>
        <v>458.16000000000008</v>
      </c>
      <c r="U87" s="127">
        <f>(((IF(K87="New",0,SUMIF('MPG Payment '!$E$3:$E$34579,'Shayak Income '!D87,'MPG Payment '!$AC$3:$AC$34579))))+0)+0</f>
        <v>0</v>
      </c>
      <c r="V87" s="127">
        <f t="shared" si="33"/>
        <v>8577</v>
      </c>
      <c r="W87" s="19">
        <f t="shared" si="34"/>
        <v>3613.517260982368</v>
      </c>
      <c r="X87" s="19">
        <v>0</v>
      </c>
      <c r="Y87" s="128">
        <f>IFERROR(VLOOKUP(D87,'Monthly Deduction'!$M$2:$N$64,2,0),0)</f>
        <v>0</v>
      </c>
      <c r="Z87" s="128">
        <v>0</v>
      </c>
      <c r="AA87" s="126">
        <f>IFERROR(VLOOKUP(D87,'Monthly Deduction'!A:B,2,0),0)</f>
        <v>0</v>
      </c>
      <c r="AB87" s="129">
        <f t="shared" si="24"/>
        <v>4963</v>
      </c>
      <c r="AC87" s="130">
        <v>0</v>
      </c>
      <c r="AD87" s="35">
        <f t="shared" si="36"/>
        <v>4963</v>
      </c>
      <c r="AE87" s="166" t="str">
        <f t="shared" si="37"/>
        <v>Release</v>
      </c>
      <c r="AF87" s="127"/>
      <c r="AG87" s="18">
        <v>0</v>
      </c>
      <c r="AH87" s="120"/>
      <c r="AI87" s="238">
        <v>0</v>
      </c>
      <c r="AJ87" s="132"/>
      <c r="AK87" s="151">
        <v>1263.3499999999999</v>
      </c>
      <c r="AL87" s="154">
        <f t="shared" si="25"/>
        <v>0</v>
      </c>
      <c r="AM87" s="155"/>
      <c r="AN87" s="19">
        <f t="shared" si="26"/>
        <v>3613.517260982368</v>
      </c>
      <c r="AO87" s="118">
        <f>SUMIF('MPG Payment '!E:E,'Shayak Income '!D87,'MPG Payment '!AJ:AJ)</f>
        <v>0</v>
      </c>
      <c r="AP87" s="19">
        <f t="shared" si="27"/>
        <v>3613.517260982368</v>
      </c>
      <c r="AQ87" s="119">
        <f t="shared" si="38"/>
        <v>3613.517260982368</v>
      </c>
      <c r="AR87" s="91" t="s">
        <v>1168</v>
      </c>
      <c r="AS87" s="91">
        <f t="shared" si="28"/>
        <v>19200</v>
      </c>
      <c r="AT87" s="118"/>
      <c r="AU87" s="118"/>
      <c r="AV87" s="118"/>
    </row>
    <row r="88" spans="1:48" s="20" customFormat="1" x14ac:dyDescent="0.25">
      <c r="A88" s="17">
        <f>IFERROR(VLOOKUP(D88,'Monthly Deduction'!$I$3:$J$957,2,0),0)</f>
        <v>0</v>
      </c>
      <c r="B88" s="17">
        <f>IFERROR(VLOOKUP(D88,'Monthly Deduction'!$E$3:$F$957,2,0),0)</f>
        <v>0</v>
      </c>
      <c r="C88" s="17">
        <f t="shared" si="29"/>
        <v>0</v>
      </c>
      <c r="D88" s="41">
        <v>10030017</v>
      </c>
      <c r="E88" s="122" t="str">
        <f>VLOOKUP(D88,'MPG Payment '!$E$3:$G$498218,2,0)</f>
        <v>RATNI</v>
      </c>
      <c r="F88" s="146">
        <f>IFERROR(_xlfn.XLOOKUP(D88,'Monthly Deduction'!$I$3:$I$957,'Monthly Deduction'!$H$3:$H$957),0)</f>
        <v>0</v>
      </c>
      <c r="G88" s="123" t="str">
        <f>VLOOKUP(D88,'MPG Payment '!$E$3:$G$334579,3,0)</f>
        <v>MPG</v>
      </c>
      <c r="H88" s="124" t="str">
        <f>VLOOKUP(D88,'MPG Payment '!$E$3:$H$334579,4,0)</f>
        <v>Direct</v>
      </c>
      <c r="I88" s="88">
        <f>INDEX('MPG Payment '!$C:$C,MATCH('Shayak Income '!D88,'MPG Payment '!E:E,0))</f>
        <v>1003</v>
      </c>
      <c r="J88" s="88" t="str">
        <f>INDEX('MPG Payment '!$D:$D,MATCH('Shayak Income '!D88,'MPG Payment '!E:E,0))</f>
        <v>Asarganj</v>
      </c>
      <c r="K88" s="125" t="s">
        <v>1322</v>
      </c>
      <c r="L88" s="125">
        <v>44995</v>
      </c>
      <c r="M88" s="126">
        <f>SUMIF('MPG Payment '!$E$3:$E$34579,'Shayak Income '!D88,'MPG Payment '!$I$3:$I$34579)</f>
        <v>4149.8500000000004</v>
      </c>
      <c r="N88" s="126">
        <f>SUMIF('MPG Payment '!$E$3:$E$34579,'Shayak Income '!D88,'MPG Payment '!$J$3:$J$34579)</f>
        <v>210186.72519534302</v>
      </c>
      <c r="O88" s="126">
        <f t="shared" si="30"/>
        <v>3112.3875000000003</v>
      </c>
      <c r="P88" s="126">
        <f t="shared" si="31"/>
        <v>3942.3575000000001</v>
      </c>
      <c r="Q88" s="126">
        <f>SUMIF('MPG Payment '!$E$3:$E$34579,'Shayak Income '!D88,'MPG Payment '!$S$3:$S$34579)</f>
        <v>4153.6647777373009</v>
      </c>
      <c r="R88" s="126">
        <f t="shared" si="21"/>
        <v>6305.6017558602907</v>
      </c>
      <c r="S88" s="126">
        <f t="shared" si="22"/>
        <v>2363.2442558602907</v>
      </c>
      <c r="T88" s="126">
        <f t="shared" si="32"/>
        <v>414.98500000000007</v>
      </c>
      <c r="U88" s="127">
        <f>(((IF(K88="New",0,SUMIF('MPG Payment '!$E$3:$E$34579,'Shayak Income '!D88,'MPG Payment '!$AC$3:$AC$34579))))+0)+0</f>
        <v>0</v>
      </c>
      <c r="V88" s="127">
        <f t="shared" si="33"/>
        <v>10793</v>
      </c>
      <c r="W88" s="19">
        <f t="shared" si="34"/>
        <v>0</v>
      </c>
      <c r="X88" s="19">
        <f t="shared" si="23"/>
        <v>0</v>
      </c>
      <c r="Y88" s="128">
        <f>IFERROR(VLOOKUP(D88,'Monthly Deduction'!$M$2:$N$64,2,0),0)</f>
        <v>0</v>
      </c>
      <c r="Z88" s="128">
        <v>0</v>
      </c>
      <c r="AA88" s="126">
        <f>IFERROR(VLOOKUP(D88,'Monthly Deduction'!A:B,2,0),0)</f>
        <v>0</v>
      </c>
      <c r="AB88" s="129">
        <f t="shared" si="24"/>
        <v>10793</v>
      </c>
      <c r="AC88" s="130">
        <v>0</v>
      </c>
      <c r="AD88" s="35">
        <f t="shared" si="36"/>
        <v>10793</v>
      </c>
      <c r="AE88" s="166" t="str">
        <f t="shared" si="37"/>
        <v>Release</v>
      </c>
      <c r="AF88" s="127"/>
      <c r="AG88" s="18">
        <v>0</v>
      </c>
      <c r="AH88" s="120"/>
      <c r="AI88" s="238">
        <v>0</v>
      </c>
      <c r="AJ88" s="132"/>
      <c r="AK88" s="151">
        <v>1403.2</v>
      </c>
      <c r="AL88" s="154">
        <f t="shared" si="25"/>
        <v>0</v>
      </c>
      <c r="AM88" s="155"/>
      <c r="AN88" s="19">
        <f t="shared" si="26"/>
        <v>0</v>
      </c>
      <c r="AO88" s="118">
        <f>SUMIF('MPG Payment '!E:E,'Shayak Income '!D88,'MPG Payment '!AJ:AJ)</f>
        <v>0</v>
      </c>
      <c r="AP88" s="19">
        <f t="shared" si="27"/>
        <v>0</v>
      </c>
      <c r="AQ88" s="119">
        <f t="shared" si="38"/>
        <v>0</v>
      </c>
      <c r="AR88" s="91" t="s">
        <v>1168</v>
      </c>
      <c r="AS88" s="91">
        <f t="shared" si="28"/>
        <v>0</v>
      </c>
      <c r="AT88" s="118"/>
      <c r="AU88" s="118"/>
      <c r="AV88" s="118"/>
    </row>
    <row r="89" spans="1:48" s="20" customFormat="1" x14ac:dyDescent="0.25">
      <c r="A89" s="17">
        <f>IFERROR(VLOOKUP(D89,'Monthly Deduction'!$I$3:$J$957,2,0),0)</f>
        <v>0</v>
      </c>
      <c r="B89" s="17">
        <f>IFERROR(VLOOKUP(D89,'Monthly Deduction'!$E$3:$F$957,2,0),0)</f>
        <v>0</v>
      </c>
      <c r="C89" s="17">
        <f t="shared" si="29"/>
        <v>0</v>
      </c>
      <c r="D89" s="41">
        <v>10030018</v>
      </c>
      <c r="E89" s="122" t="str">
        <f>VLOOKUP(D89,'MPG Payment '!$E$3:$G$498218,2,0)</f>
        <v>DHAPARI</v>
      </c>
      <c r="F89" s="146">
        <f>IFERROR(_xlfn.XLOOKUP(D89,'Monthly Deduction'!$I$3:$I$957,'Monthly Deduction'!$H$3:$H$957),0)</f>
        <v>0</v>
      </c>
      <c r="G89" s="123" t="str">
        <f>VLOOKUP(D89,'MPG Payment '!$E$3:$G$334579,3,0)</f>
        <v>MPG</v>
      </c>
      <c r="H89" s="124" t="str">
        <f>VLOOKUP(D89,'MPG Payment '!$E$3:$H$334579,4,0)</f>
        <v>Direct</v>
      </c>
      <c r="I89" s="88">
        <f>INDEX('MPG Payment '!$C:$C,MATCH('Shayak Income '!D89,'MPG Payment '!E:E,0))</f>
        <v>1003</v>
      </c>
      <c r="J89" s="88" t="str">
        <f>INDEX('MPG Payment '!$D:$D,MATCH('Shayak Income '!D89,'MPG Payment '!E:E,0))</f>
        <v>Asarganj</v>
      </c>
      <c r="K89" s="125" t="s">
        <v>1322</v>
      </c>
      <c r="L89" s="125">
        <v>44995</v>
      </c>
      <c r="M89" s="126">
        <f>SUMIF('MPG Payment '!$E$3:$E$34579,'Shayak Income '!D89,'MPG Payment '!$I$3:$I$34579)</f>
        <v>3407.05</v>
      </c>
      <c r="N89" s="126">
        <f>SUMIF('MPG Payment '!$E$3:$E$34579,'Shayak Income '!D89,'MPG Payment '!$J$3:$J$34579)</f>
        <v>133636.75153523829</v>
      </c>
      <c r="O89" s="126">
        <f t="shared" si="30"/>
        <v>2555.2875000000004</v>
      </c>
      <c r="P89" s="126">
        <f t="shared" si="31"/>
        <v>3236.6975000000002</v>
      </c>
      <c r="Q89" s="126">
        <f>SUMIF('MPG Payment '!$E$3:$E$34579,'Shayak Income '!D89,'MPG Payment '!$S$3:$S$34579)</f>
        <v>4224.0741958636945</v>
      </c>
      <c r="R89" s="126">
        <f t="shared" si="21"/>
        <v>4009.1025460571486</v>
      </c>
      <c r="S89" s="126">
        <f t="shared" si="22"/>
        <v>772.40504605714841</v>
      </c>
      <c r="T89" s="126">
        <f t="shared" si="32"/>
        <v>340.70500000000004</v>
      </c>
      <c r="U89" s="127">
        <f>(((IF(K89="New",0,SUMIF('MPG Payment '!$E$3:$E$34579,'Shayak Income '!D89,'MPG Payment '!$AC$3:$AC$34579))))+0)+0</f>
        <v>0</v>
      </c>
      <c r="V89" s="127">
        <f t="shared" si="33"/>
        <v>9675</v>
      </c>
      <c r="W89" s="19">
        <f t="shared" si="34"/>
        <v>0</v>
      </c>
      <c r="X89" s="19">
        <f t="shared" si="23"/>
        <v>0</v>
      </c>
      <c r="Y89" s="128">
        <f>IFERROR(VLOOKUP(D89,'Monthly Deduction'!$M$2:$N$64,2,0),0)</f>
        <v>0</v>
      </c>
      <c r="Z89" s="128">
        <v>0</v>
      </c>
      <c r="AA89" s="126">
        <f>IFERROR(VLOOKUP(D89,'Monthly Deduction'!A:B,2,0),0)</f>
        <v>0</v>
      </c>
      <c r="AB89" s="129">
        <f t="shared" si="24"/>
        <v>9675</v>
      </c>
      <c r="AC89" s="130">
        <v>0</v>
      </c>
      <c r="AD89" s="35">
        <f t="shared" si="36"/>
        <v>9675</v>
      </c>
      <c r="AE89" s="166" t="str">
        <f t="shared" si="37"/>
        <v>Release</v>
      </c>
      <c r="AF89" s="127"/>
      <c r="AG89" s="18">
        <v>0</v>
      </c>
      <c r="AH89" s="120"/>
      <c r="AI89" s="238">
        <v>0</v>
      </c>
      <c r="AJ89" s="132"/>
      <c r="AK89" s="151">
        <v>999.65</v>
      </c>
      <c r="AL89" s="154">
        <f t="shared" si="25"/>
        <v>0</v>
      </c>
      <c r="AM89" s="155"/>
      <c r="AN89" s="19">
        <f t="shared" si="26"/>
        <v>0</v>
      </c>
      <c r="AO89" s="118">
        <f>SUMIF('MPG Payment '!E:E,'Shayak Income '!D89,'MPG Payment '!AJ:AJ)</f>
        <v>0</v>
      </c>
      <c r="AP89" s="19">
        <f t="shared" si="27"/>
        <v>0</v>
      </c>
      <c r="AQ89" s="119">
        <f t="shared" si="38"/>
        <v>0</v>
      </c>
      <c r="AR89" s="91" t="s">
        <v>1168</v>
      </c>
      <c r="AS89" s="91">
        <f t="shared" si="28"/>
        <v>0</v>
      </c>
      <c r="AT89" s="118"/>
      <c r="AU89" s="118"/>
      <c r="AV89" s="118"/>
    </row>
    <row r="90" spans="1:48" s="20" customFormat="1" x14ac:dyDescent="0.25">
      <c r="A90" s="17">
        <f>IFERROR(VLOOKUP(D90,'Monthly Deduction'!$I$3:$J$957,2,0),0)</f>
        <v>0</v>
      </c>
      <c r="B90" s="17">
        <f>IFERROR(VLOOKUP(D90,'Monthly Deduction'!$E$3:$F$957,2,0),0)</f>
        <v>0</v>
      </c>
      <c r="C90" s="17">
        <f t="shared" si="29"/>
        <v>0</v>
      </c>
      <c r="D90" s="41">
        <v>10030019</v>
      </c>
      <c r="E90" s="122" t="str">
        <f>VLOOKUP(D90,'MPG Payment '!$E$3:$G$498218,2,0)</f>
        <v>KHARUI</v>
      </c>
      <c r="F90" s="146">
        <f>IFERROR(_xlfn.XLOOKUP(D90,'Monthly Deduction'!$I$3:$I$957,'Monthly Deduction'!$H$3:$H$957),0)</f>
        <v>0</v>
      </c>
      <c r="G90" s="123" t="str">
        <f>VLOOKUP(D90,'MPG Payment '!$E$3:$G$334579,3,0)</f>
        <v>MPG</v>
      </c>
      <c r="H90" s="124" t="str">
        <f>VLOOKUP(D90,'MPG Payment '!$E$3:$H$334579,4,0)</f>
        <v>Direct</v>
      </c>
      <c r="I90" s="88">
        <f>INDEX('MPG Payment '!$C:$C,MATCH('Shayak Income '!D90,'MPG Payment '!E:E,0))</f>
        <v>1003</v>
      </c>
      <c r="J90" s="88" t="str">
        <f>INDEX('MPG Payment '!$D:$D,MATCH('Shayak Income '!D90,'MPG Payment '!E:E,0))</f>
        <v>Asarganj</v>
      </c>
      <c r="K90" s="125" t="s">
        <v>1322</v>
      </c>
      <c r="L90" s="125">
        <v>44995</v>
      </c>
      <c r="M90" s="126">
        <f>SUMIF('MPG Payment '!$E$3:$E$34579,'Shayak Income '!D90,'MPG Payment '!$I$3:$I$34579)</f>
        <v>2422.3000000000002</v>
      </c>
      <c r="N90" s="126">
        <f>SUMIF('MPG Payment '!$E$3:$E$34579,'Shayak Income '!D90,'MPG Payment '!$J$3:$J$34579)</f>
        <v>107970.96161298601</v>
      </c>
      <c r="O90" s="126">
        <f t="shared" si="30"/>
        <v>1816.7250000000001</v>
      </c>
      <c r="P90" s="126">
        <f t="shared" si="31"/>
        <v>2301.1849999999999</v>
      </c>
      <c r="Q90" s="126">
        <f>SUMIF('MPG Payment '!$E$3:$E$34579,'Shayak Income '!D90,'MPG Payment '!$S$3:$S$34579)</f>
        <v>5863.9311079681411</v>
      </c>
      <c r="R90" s="126">
        <f t="shared" si="21"/>
        <v>3239.1288483895801</v>
      </c>
      <c r="S90" s="126">
        <f t="shared" si="22"/>
        <v>937.94384838958013</v>
      </c>
      <c r="T90" s="126">
        <f t="shared" si="32"/>
        <v>242.23000000000002</v>
      </c>
      <c r="U90" s="127">
        <f>(((IF(K90="New",0,SUMIF('MPG Payment '!$E$3:$E$34579,'Shayak Income '!D90,'MPG Payment '!$AC$3:$AC$34579))))+0)+0</f>
        <v>338.18440413288761</v>
      </c>
      <c r="V90" s="127">
        <f t="shared" si="33"/>
        <v>9401</v>
      </c>
      <c r="W90" s="19">
        <f t="shared" si="34"/>
        <v>0</v>
      </c>
      <c r="X90" s="19">
        <f t="shared" si="23"/>
        <v>0</v>
      </c>
      <c r="Y90" s="128">
        <f>IFERROR(VLOOKUP(D90,'Monthly Deduction'!$M$2:$N$64,2,0),0)</f>
        <v>0</v>
      </c>
      <c r="Z90" s="128">
        <v>0</v>
      </c>
      <c r="AA90" s="126">
        <f>IFERROR(VLOOKUP(D90,'Monthly Deduction'!A:B,2,0),0)</f>
        <v>0</v>
      </c>
      <c r="AB90" s="129">
        <f t="shared" si="24"/>
        <v>9401</v>
      </c>
      <c r="AC90" s="130">
        <v>0</v>
      </c>
      <c r="AD90" s="35">
        <f t="shared" si="36"/>
        <v>9401</v>
      </c>
      <c r="AE90" s="166" t="str">
        <f t="shared" si="37"/>
        <v>Release</v>
      </c>
      <c r="AF90" s="127"/>
      <c r="AG90" s="18">
        <v>0</v>
      </c>
      <c r="AH90" s="132"/>
      <c r="AI90" s="238">
        <v>0</v>
      </c>
      <c r="AJ90" s="132"/>
      <c r="AK90" s="151">
        <v>524.20000000000005</v>
      </c>
      <c r="AL90" s="154">
        <f t="shared" si="25"/>
        <v>0</v>
      </c>
      <c r="AM90" s="155"/>
      <c r="AN90" s="19">
        <f t="shared" si="26"/>
        <v>0</v>
      </c>
      <c r="AO90" s="118">
        <f>SUMIF('MPG Payment '!E:E,'Shayak Income '!D90,'MPG Payment '!AJ:AJ)</f>
        <v>0</v>
      </c>
      <c r="AP90" s="19">
        <f t="shared" si="27"/>
        <v>0</v>
      </c>
      <c r="AQ90" s="119">
        <f t="shared" si="38"/>
        <v>0</v>
      </c>
      <c r="AR90" s="91" t="s">
        <v>1168</v>
      </c>
      <c r="AS90" s="91">
        <f t="shared" si="28"/>
        <v>0</v>
      </c>
      <c r="AT90" s="118"/>
      <c r="AU90" s="118"/>
      <c r="AV90" s="118"/>
    </row>
    <row r="91" spans="1:48" s="20" customFormat="1" x14ac:dyDescent="0.25">
      <c r="A91" s="17">
        <f>IFERROR(VLOOKUP(D91,'Monthly Deduction'!$I$3:$J$957,2,0),0)</f>
        <v>0</v>
      </c>
      <c r="B91" s="17">
        <f>IFERROR(VLOOKUP(D91,'Monthly Deduction'!$E$3:$F$957,2,0),0)</f>
        <v>0</v>
      </c>
      <c r="C91" s="17">
        <f t="shared" si="29"/>
        <v>0</v>
      </c>
      <c r="D91" s="41">
        <v>10030021</v>
      </c>
      <c r="E91" s="122" t="str">
        <f>VLOOKUP(D91,'MPG Payment '!$E$3:$G$498218,2,0)</f>
        <v>KHAIRA</v>
      </c>
      <c r="F91" s="146">
        <f>IFERROR(_xlfn.XLOOKUP(D91,'Monthly Deduction'!$I$3:$I$957,'Monthly Deduction'!$H$3:$H$957),0)</f>
        <v>0</v>
      </c>
      <c r="G91" s="123" t="str">
        <f>VLOOKUP(D91,'MPG Payment '!$E$3:$G$334579,3,0)</f>
        <v>MPG</v>
      </c>
      <c r="H91" s="124" t="str">
        <f>VLOOKUP(D91,'MPG Payment '!$E$3:$H$334579,4,0)</f>
        <v>Direct</v>
      </c>
      <c r="I91" s="88">
        <f>INDEX('MPG Payment '!$C:$C,MATCH('Shayak Income '!D91,'MPG Payment '!E:E,0))</f>
        <v>1003</v>
      </c>
      <c r="J91" s="88" t="str">
        <f>INDEX('MPG Payment '!$D:$D,MATCH('Shayak Income '!D91,'MPG Payment '!E:E,0))</f>
        <v>Asarganj</v>
      </c>
      <c r="K91" s="125" t="s">
        <v>1322</v>
      </c>
      <c r="L91" s="125">
        <v>44995</v>
      </c>
      <c r="M91" s="126">
        <f>SUMIF('MPG Payment '!$E$3:$E$34579,'Shayak Income '!D91,'MPG Payment '!$I$3:$I$34579)</f>
        <v>3130.5</v>
      </c>
      <c r="N91" s="126">
        <f>SUMIF('MPG Payment '!$E$3:$E$34579,'Shayak Income '!D91,'MPG Payment '!$J$3:$J$34579)</f>
        <v>124744.47400903999</v>
      </c>
      <c r="O91" s="126">
        <f t="shared" si="30"/>
        <v>2347.875</v>
      </c>
      <c r="P91" s="126">
        <f t="shared" si="31"/>
        <v>2973.9749999999999</v>
      </c>
      <c r="Q91" s="126">
        <f>SUMIF('MPG Payment '!$E$3:$E$34579,'Shayak Income '!D91,'MPG Payment '!$S$3:$S$34579)</f>
        <v>4507.6998666809995</v>
      </c>
      <c r="R91" s="126">
        <f t="shared" si="21"/>
        <v>3742.3342202711992</v>
      </c>
      <c r="S91" s="126">
        <f t="shared" si="22"/>
        <v>768.35922027119932</v>
      </c>
      <c r="T91" s="126">
        <f t="shared" si="32"/>
        <v>313.05</v>
      </c>
      <c r="U91" s="127">
        <f>(((IF(K91="New",0,SUMIF('MPG Payment '!$E$3:$E$34579,'Shayak Income '!D91,'MPG Payment '!$AC$3:$AC$34579))))+0)+0</f>
        <v>0</v>
      </c>
      <c r="V91" s="127">
        <f t="shared" si="33"/>
        <v>9516</v>
      </c>
      <c r="W91" s="19">
        <f t="shared" si="34"/>
        <v>0</v>
      </c>
      <c r="X91" s="19">
        <f t="shared" si="23"/>
        <v>0</v>
      </c>
      <c r="Y91" s="128">
        <f>IFERROR(VLOOKUP(D91,'Monthly Deduction'!$M$2:$N$64,2,0),0)</f>
        <v>0</v>
      </c>
      <c r="Z91" s="128">
        <v>0</v>
      </c>
      <c r="AA91" s="126">
        <f>IFERROR(VLOOKUP(D91,'Monthly Deduction'!A:B,2,0),0)</f>
        <v>0</v>
      </c>
      <c r="AB91" s="129">
        <f t="shared" si="24"/>
        <v>9516</v>
      </c>
      <c r="AC91" s="130">
        <v>0</v>
      </c>
      <c r="AD91" s="35">
        <f t="shared" si="36"/>
        <v>9516</v>
      </c>
      <c r="AE91" s="166" t="str">
        <f t="shared" si="37"/>
        <v>Release</v>
      </c>
      <c r="AF91" s="127"/>
      <c r="AG91" s="18">
        <v>0</v>
      </c>
      <c r="AH91" s="132"/>
      <c r="AI91" s="238">
        <v>0</v>
      </c>
      <c r="AJ91" s="132"/>
      <c r="AK91" s="151">
        <v>772.99999999999989</v>
      </c>
      <c r="AL91" s="154">
        <f t="shared" si="25"/>
        <v>0</v>
      </c>
      <c r="AM91" s="155"/>
      <c r="AN91" s="19">
        <f t="shared" si="26"/>
        <v>0</v>
      </c>
      <c r="AO91" s="118">
        <f>SUMIF('MPG Payment '!E:E,'Shayak Income '!D91,'MPG Payment '!AJ:AJ)</f>
        <v>0</v>
      </c>
      <c r="AP91" s="19">
        <f t="shared" si="27"/>
        <v>0</v>
      </c>
      <c r="AQ91" s="119">
        <f t="shared" si="38"/>
        <v>0</v>
      </c>
      <c r="AR91" s="91" t="s">
        <v>1168</v>
      </c>
      <c r="AS91" s="91">
        <f t="shared" si="28"/>
        <v>0</v>
      </c>
      <c r="AT91" s="118"/>
      <c r="AU91" s="118"/>
      <c r="AV91" s="118"/>
    </row>
    <row r="92" spans="1:48" s="20" customFormat="1" x14ac:dyDescent="0.25">
      <c r="A92" s="17">
        <f>IFERROR(VLOOKUP(D92,'Monthly Deduction'!$I$3:$J$957,2,0),0)</f>
        <v>0</v>
      </c>
      <c r="B92" s="17">
        <f>IFERROR(VLOOKUP(D92,'Monthly Deduction'!$E$3:$F$957,2,0),0)</f>
        <v>0</v>
      </c>
      <c r="C92" s="17">
        <f t="shared" si="29"/>
        <v>0</v>
      </c>
      <c r="D92" s="41">
        <v>10030022</v>
      </c>
      <c r="E92" s="122" t="str">
        <f>VLOOKUP(D92,'MPG Payment '!$E$3:$G$498218,2,0)</f>
        <v>SISUA</v>
      </c>
      <c r="F92" s="146">
        <f>IFERROR(_xlfn.XLOOKUP(D92,'Monthly Deduction'!$I$3:$I$957,'Monthly Deduction'!$H$3:$H$957),0)</f>
        <v>0</v>
      </c>
      <c r="G92" s="123" t="str">
        <f>VLOOKUP(D92,'MPG Payment '!$E$3:$G$334579,3,0)</f>
        <v>MPG</v>
      </c>
      <c r="H92" s="124" t="str">
        <f>VLOOKUP(D92,'MPG Payment '!$E$3:$H$334579,4,0)</f>
        <v>Direct</v>
      </c>
      <c r="I92" s="88">
        <f>INDEX('MPG Payment '!$C:$C,MATCH('Shayak Income '!D92,'MPG Payment '!E:E,0))</f>
        <v>1003</v>
      </c>
      <c r="J92" s="88" t="str">
        <f>INDEX('MPG Payment '!$D:$D,MATCH('Shayak Income '!D92,'MPG Payment '!E:E,0))</f>
        <v>Asarganj</v>
      </c>
      <c r="K92" s="125" t="s">
        <v>1322</v>
      </c>
      <c r="L92" s="125">
        <v>44995</v>
      </c>
      <c r="M92" s="126">
        <f>SUMIF('MPG Payment '!$E$3:$E$34579,'Shayak Income '!D92,'MPG Payment '!$I$3:$I$34579)</f>
        <v>6464.05</v>
      </c>
      <c r="N92" s="126">
        <f>SUMIF('MPG Payment '!$E$3:$E$34579,'Shayak Income '!D92,'MPG Payment '!$J$3:$J$34579)</f>
        <v>253575.06297777704</v>
      </c>
      <c r="O92" s="126">
        <f t="shared" si="30"/>
        <v>4848.0375000000004</v>
      </c>
      <c r="P92" s="126">
        <f t="shared" si="31"/>
        <v>6140.8474999999999</v>
      </c>
      <c r="Q92" s="126">
        <f>SUMIF('MPG Payment '!$E$3:$E$34579,'Shayak Income '!D92,'MPG Payment '!$S$3:$S$34579)</f>
        <v>3220.6154031249607</v>
      </c>
      <c r="R92" s="126">
        <f t="shared" si="21"/>
        <v>7607.2518893333108</v>
      </c>
      <c r="S92" s="126">
        <f t="shared" si="22"/>
        <v>1466.404389333311</v>
      </c>
      <c r="T92" s="126">
        <f t="shared" si="32"/>
        <v>646.40500000000009</v>
      </c>
      <c r="U92" s="127">
        <f>(((IF(K92="New",0,SUMIF('MPG Payment '!$E$3:$E$34579,'Shayak Income '!D92,'MPG Payment '!$AC$3:$AC$34579))))+0)+0</f>
        <v>0</v>
      </c>
      <c r="V92" s="127">
        <f t="shared" si="33"/>
        <v>13563</v>
      </c>
      <c r="W92" s="19">
        <f t="shared" si="34"/>
        <v>0</v>
      </c>
      <c r="X92" s="19">
        <f t="shared" si="23"/>
        <v>0</v>
      </c>
      <c r="Y92" s="128">
        <f>IFERROR(VLOOKUP(D92,'Monthly Deduction'!$M$2:$N$64,2,0),0)</f>
        <v>0</v>
      </c>
      <c r="Z92" s="128">
        <v>0</v>
      </c>
      <c r="AA92" s="126">
        <f>IFERROR(VLOOKUP(D92,'Monthly Deduction'!A:B,2,0),0)</f>
        <v>0</v>
      </c>
      <c r="AB92" s="129">
        <f t="shared" si="24"/>
        <v>13563</v>
      </c>
      <c r="AC92" s="130">
        <v>0</v>
      </c>
      <c r="AD92" s="35">
        <f t="shared" si="36"/>
        <v>13563</v>
      </c>
      <c r="AE92" s="166" t="str">
        <f t="shared" si="37"/>
        <v>Release</v>
      </c>
      <c r="AF92" s="127"/>
      <c r="AG92" s="18">
        <v>0</v>
      </c>
      <c r="AH92" s="215"/>
      <c r="AI92" s="238">
        <v>0</v>
      </c>
      <c r="AJ92" s="132"/>
      <c r="AK92" s="151">
        <v>1827.3999999999999</v>
      </c>
      <c r="AL92" s="154">
        <f t="shared" si="25"/>
        <v>0</v>
      </c>
      <c r="AM92" s="155"/>
      <c r="AN92" s="19">
        <f t="shared" si="26"/>
        <v>0</v>
      </c>
      <c r="AO92" s="118">
        <f>SUMIF('MPG Payment '!E:E,'Shayak Income '!D92,'MPG Payment '!AJ:AJ)</f>
        <v>0</v>
      </c>
      <c r="AP92" s="19">
        <f t="shared" si="27"/>
        <v>0</v>
      </c>
      <c r="AQ92" s="119">
        <f t="shared" si="38"/>
        <v>0</v>
      </c>
      <c r="AR92" s="91" t="s">
        <v>1168</v>
      </c>
      <c r="AS92" s="91">
        <f t="shared" si="28"/>
        <v>0</v>
      </c>
      <c r="AT92" s="118"/>
      <c r="AU92" s="118"/>
      <c r="AV92" s="118"/>
    </row>
    <row r="93" spans="1:48" s="20" customFormat="1" x14ac:dyDescent="0.25">
      <c r="A93" s="17">
        <f>IFERROR(VLOOKUP(D93,'Monthly Deduction'!$I$3:$J$957,2,0),0)</f>
        <v>33325.281400000007</v>
      </c>
      <c r="B93" s="17">
        <f>IFERROR(VLOOKUP(D93,'Monthly Deduction'!$E$3:$F$957,2,0),0)</f>
        <v>3656.7740054142378</v>
      </c>
      <c r="C93" s="17">
        <f t="shared" si="29"/>
        <v>36982.055405414241</v>
      </c>
      <c r="D93" s="41">
        <v>10030023</v>
      </c>
      <c r="E93" s="122" t="str">
        <f>VLOOKUP(D93,'MPG Payment '!$E$3:$G$498218,2,0)</f>
        <v>BISAI</v>
      </c>
      <c r="F93" s="146">
        <f>IFERROR(_xlfn.XLOOKUP(D93,'Monthly Deduction'!$I$3:$I$957,'Monthly Deduction'!$H$3:$H$957),0)</f>
        <v>0</v>
      </c>
      <c r="G93" s="123" t="str">
        <f>VLOOKUP(D93,'MPG Payment '!$E$3:$G$334579,3,0)</f>
        <v>MPG</v>
      </c>
      <c r="H93" s="124" t="str">
        <f>VLOOKUP(D93,'MPG Payment '!$E$3:$H$334579,4,0)</f>
        <v>Direct</v>
      </c>
      <c r="I93" s="88">
        <f>INDEX('MPG Payment '!$C:$C,MATCH('Shayak Income '!D93,'MPG Payment '!E:E,0))</f>
        <v>1003</v>
      </c>
      <c r="J93" s="88" t="str">
        <f>INDEX('MPG Payment '!$D:$D,MATCH('Shayak Income '!D93,'MPG Payment '!E:E,0))</f>
        <v>Asarganj</v>
      </c>
      <c r="K93" s="125" t="s">
        <v>1322</v>
      </c>
      <c r="L93" s="125">
        <v>44995</v>
      </c>
      <c r="M93" s="126">
        <f>SUMIF('MPG Payment '!$E$3:$E$34579,'Shayak Income '!D93,'MPG Payment '!$I$3:$I$34579)</f>
        <v>977.14999999999986</v>
      </c>
      <c r="N93" s="126">
        <f>SUMIF('MPG Payment '!$E$3:$E$34579,'Shayak Income '!D93,'MPG Payment '!$J$3:$J$34579)</f>
        <v>40696.686473962007</v>
      </c>
      <c r="O93" s="126">
        <f t="shared" si="30"/>
        <v>732.86249999999995</v>
      </c>
      <c r="P93" s="126">
        <f t="shared" si="31"/>
        <v>928.29249999999979</v>
      </c>
      <c r="Q93" s="126">
        <f>SUMIF('MPG Payment '!$E$3:$E$34579,'Shayak Income '!D93,'MPG Payment '!$S$3:$S$34579)</f>
        <v>2044.9576757323002</v>
      </c>
      <c r="R93" s="126">
        <f t="shared" si="21"/>
        <v>1220.9005942188601</v>
      </c>
      <c r="S93" s="126">
        <f t="shared" si="22"/>
        <v>292.60809421886029</v>
      </c>
      <c r="T93" s="126">
        <f t="shared" si="32"/>
        <v>97.714999999999989</v>
      </c>
      <c r="U93" s="127">
        <f>(((IF(K93="New",0,SUMIF('MPG Payment '!$E$3:$E$34579,'Shayak Income '!D93,'MPG Payment '!$AC$3:$AC$34579))))+0)+0</f>
        <v>1520.9041580065657</v>
      </c>
      <c r="V93" s="127">
        <f t="shared" si="33"/>
        <v>2087</v>
      </c>
      <c r="W93" s="19">
        <f t="shared" si="34"/>
        <v>1861</v>
      </c>
      <c r="X93" s="19">
        <v>0</v>
      </c>
      <c r="Y93" s="128">
        <f>IFERROR(VLOOKUP(D93,'Monthly Deduction'!$M$2:$N$64,2,0),0)</f>
        <v>0</v>
      </c>
      <c r="Z93" s="128">
        <v>0</v>
      </c>
      <c r="AA93" s="126">
        <f>IFERROR(VLOOKUP(D93,'Monthly Deduction'!A:B,2,0),0)</f>
        <v>0</v>
      </c>
      <c r="AB93" s="129">
        <f t="shared" si="24"/>
        <v>226</v>
      </c>
      <c r="AC93" s="130">
        <v>0</v>
      </c>
      <c r="AD93" s="35">
        <f t="shared" si="36"/>
        <v>226</v>
      </c>
      <c r="AE93" s="166" t="str">
        <f t="shared" si="37"/>
        <v>Release</v>
      </c>
      <c r="AF93" s="127"/>
      <c r="AG93" s="18">
        <v>0</v>
      </c>
      <c r="AH93" s="215"/>
      <c r="AI93" s="238">
        <v>0</v>
      </c>
      <c r="AJ93" s="132"/>
      <c r="AK93" s="151">
        <v>316.64999999999998</v>
      </c>
      <c r="AL93" s="154">
        <f t="shared" si="25"/>
        <v>0</v>
      </c>
      <c r="AM93" s="155"/>
      <c r="AN93" s="19">
        <f t="shared" si="26"/>
        <v>1861</v>
      </c>
      <c r="AO93" s="118">
        <f>SUMIF('MPG Payment '!E:E,'Shayak Income '!D93,'MPG Payment '!AJ:AJ)</f>
        <v>0</v>
      </c>
      <c r="AP93" s="19">
        <f t="shared" si="27"/>
        <v>1861</v>
      </c>
      <c r="AQ93" s="119">
        <f t="shared" si="38"/>
        <v>1861</v>
      </c>
      <c r="AR93" s="91" t="s">
        <v>1168</v>
      </c>
      <c r="AS93" s="91">
        <f t="shared" si="28"/>
        <v>3656.7740054142378</v>
      </c>
      <c r="AT93" s="118"/>
      <c r="AU93" s="118"/>
      <c r="AV93" s="118"/>
    </row>
    <row r="94" spans="1:48" s="20" customFormat="1" x14ac:dyDescent="0.25">
      <c r="A94" s="17">
        <f>IFERROR(VLOOKUP(D94,'Monthly Deduction'!$I$3:$J$957,2,0),0)</f>
        <v>0</v>
      </c>
      <c r="B94" s="17">
        <f>IFERROR(VLOOKUP(D94,'Monthly Deduction'!$E$3:$F$957,2,0),0)</f>
        <v>0</v>
      </c>
      <c r="C94" s="17">
        <f t="shared" si="29"/>
        <v>0</v>
      </c>
      <c r="D94" s="41">
        <v>10030025</v>
      </c>
      <c r="E94" s="122" t="str">
        <f>VLOOKUP(D94,'MPG Payment '!$E$3:$G$498218,2,0)</f>
        <v>SAJUA-1</v>
      </c>
      <c r="F94" s="146">
        <f>IFERROR(_xlfn.XLOOKUP(D94,'Monthly Deduction'!$I$3:$I$957,'Monthly Deduction'!$H$3:$H$957),0)</f>
        <v>0</v>
      </c>
      <c r="G94" s="123" t="str">
        <f>VLOOKUP(D94,'MPG Payment '!$E$3:$G$334579,3,0)</f>
        <v>MPG</v>
      </c>
      <c r="H94" s="124" t="str">
        <f>VLOOKUP(D94,'MPG Payment '!$E$3:$H$334579,4,0)</f>
        <v>Direct</v>
      </c>
      <c r="I94" s="88">
        <f>INDEX('MPG Payment '!$C:$C,MATCH('Shayak Income '!D94,'MPG Payment '!E:E,0))</f>
        <v>1003</v>
      </c>
      <c r="J94" s="88" t="str">
        <f>INDEX('MPG Payment '!$D:$D,MATCH('Shayak Income '!D94,'MPG Payment '!E:E,0))</f>
        <v>Asarganj</v>
      </c>
      <c r="K94" s="125" t="s">
        <v>1322</v>
      </c>
      <c r="L94" s="125">
        <v>45015</v>
      </c>
      <c r="M94" s="126">
        <f>SUMIF('MPG Payment '!$E$3:$E$34579,'Shayak Income '!D94,'MPG Payment '!$I$3:$I$34579)</f>
        <v>2904.8</v>
      </c>
      <c r="N94" s="126">
        <f>SUMIF('MPG Payment '!$E$3:$E$34579,'Shayak Income '!D94,'MPG Payment '!$J$3:$J$34579)</f>
        <v>108895.93232769001</v>
      </c>
      <c r="O94" s="126">
        <f t="shared" si="30"/>
        <v>2178.6000000000004</v>
      </c>
      <c r="P94" s="126">
        <f t="shared" si="31"/>
        <v>2759.56</v>
      </c>
      <c r="Q94" s="126">
        <f>SUMIF('MPG Payment '!$E$3:$E$34579,'Shayak Income '!D94,'MPG Payment '!$S$3:$S$34579)</f>
        <v>1306.1892737574001</v>
      </c>
      <c r="R94" s="126">
        <f t="shared" si="21"/>
        <v>3266.8779698307003</v>
      </c>
      <c r="S94" s="126">
        <f t="shared" si="22"/>
        <v>507.31796983070035</v>
      </c>
      <c r="T94" s="126">
        <f t="shared" si="32"/>
        <v>290.48</v>
      </c>
      <c r="U94" s="127">
        <f>(((IF(K94="New",0,SUMIF('MPG Payment '!$E$3:$E$34579,'Shayak Income '!D94,'MPG Payment '!$AC$3:$AC$34579))))+0)+0</f>
        <v>91.155133302489517</v>
      </c>
      <c r="V94" s="127">
        <f t="shared" si="33"/>
        <v>5863</v>
      </c>
      <c r="W94" s="19">
        <f t="shared" si="34"/>
        <v>0</v>
      </c>
      <c r="X94" s="19">
        <f t="shared" si="23"/>
        <v>0</v>
      </c>
      <c r="Y94" s="128">
        <f>IFERROR(VLOOKUP(D94,'Monthly Deduction'!$M$2:$N$64,2,0),0)</f>
        <v>0</v>
      </c>
      <c r="Z94" s="128">
        <v>0</v>
      </c>
      <c r="AA94" s="126">
        <f>IFERROR(VLOOKUP(D94,'Monthly Deduction'!A:B,2,0),0)</f>
        <v>0</v>
      </c>
      <c r="AB94" s="129">
        <f t="shared" si="24"/>
        <v>5863</v>
      </c>
      <c r="AC94" s="130">
        <v>0</v>
      </c>
      <c r="AD94" s="35">
        <f t="shared" si="36"/>
        <v>5863</v>
      </c>
      <c r="AE94" s="166" t="str">
        <f t="shared" si="37"/>
        <v>Release</v>
      </c>
      <c r="AF94" s="127"/>
      <c r="AG94" s="18">
        <v>0</v>
      </c>
      <c r="AH94" s="120"/>
      <c r="AI94" s="238">
        <v>0</v>
      </c>
      <c r="AJ94" s="132"/>
      <c r="AK94" s="151">
        <v>812.74999999999989</v>
      </c>
      <c r="AL94" s="154">
        <f t="shared" si="25"/>
        <v>0</v>
      </c>
      <c r="AM94" s="155"/>
      <c r="AN94" s="19">
        <f t="shared" si="26"/>
        <v>0</v>
      </c>
      <c r="AO94" s="118">
        <f>SUMIF('MPG Payment '!E:E,'Shayak Income '!D94,'MPG Payment '!AJ:AJ)</f>
        <v>0</v>
      </c>
      <c r="AP94" s="19">
        <f t="shared" si="27"/>
        <v>0</v>
      </c>
      <c r="AQ94" s="119">
        <f t="shared" si="38"/>
        <v>0</v>
      </c>
      <c r="AR94" s="91" t="s">
        <v>1168</v>
      </c>
      <c r="AS94" s="91">
        <f t="shared" si="28"/>
        <v>0</v>
      </c>
      <c r="AT94" s="118"/>
      <c r="AU94" s="118"/>
      <c r="AV94" s="118"/>
    </row>
    <row r="95" spans="1:48" s="20" customFormat="1" x14ac:dyDescent="0.25">
      <c r="A95" s="17">
        <f>IFERROR(VLOOKUP(D95,'Monthly Deduction'!$I$3:$J$957,2,0),0)</f>
        <v>0</v>
      </c>
      <c r="B95" s="17">
        <f>IFERROR(VLOOKUP(D95,'Monthly Deduction'!$E$3:$F$957,2,0),0)</f>
        <v>0</v>
      </c>
      <c r="C95" s="17">
        <f t="shared" si="29"/>
        <v>0</v>
      </c>
      <c r="D95" s="41">
        <v>10030026</v>
      </c>
      <c r="E95" s="122" t="str">
        <f>VLOOKUP(D95,'MPG Payment '!$E$3:$G$498218,2,0)</f>
        <v>SAJUA-2</v>
      </c>
      <c r="F95" s="146">
        <f>IFERROR(_xlfn.XLOOKUP(D95,'Monthly Deduction'!$I$3:$I$957,'Monthly Deduction'!$H$3:$H$957),0)</f>
        <v>0</v>
      </c>
      <c r="G95" s="123" t="str">
        <f>VLOOKUP(D95,'MPG Payment '!$E$3:$G$334579,3,0)</f>
        <v>MPG</v>
      </c>
      <c r="H95" s="124" t="str">
        <f>VLOOKUP(D95,'MPG Payment '!$E$3:$H$334579,4,0)</f>
        <v>Direct</v>
      </c>
      <c r="I95" s="88">
        <f>INDEX('MPG Payment '!$C:$C,MATCH('Shayak Income '!D95,'MPG Payment '!E:E,0))</f>
        <v>1003</v>
      </c>
      <c r="J95" s="88" t="str">
        <f>INDEX('MPG Payment '!$D:$D,MATCH('Shayak Income '!D95,'MPG Payment '!E:E,0))</f>
        <v>Asarganj</v>
      </c>
      <c r="K95" s="125" t="s">
        <v>1322</v>
      </c>
      <c r="L95" s="125">
        <v>45015</v>
      </c>
      <c r="M95" s="126">
        <f>SUMIF('MPG Payment '!$E$3:$E$34579,'Shayak Income '!D95,'MPG Payment '!$I$3:$I$34579)</f>
        <v>4982.9500000000007</v>
      </c>
      <c r="N95" s="126">
        <f>SUMIF('MPG Payment '!$E$3:$E$34579,'Shayak Income '!D95,'MPG Payment '!$J$3:$J$34579)</f>
        <v>187126.52849431001</v>
      </c>
      <c r="O95" s="126">
        <f t="shared" si="30"/>
        <v>3737.2125000000005</v>
      </c>
      <c r="P95" s="126">
        <f t="shared" si="31"/>
        <v>4733.8025000000007</v>
      </c>
      <c r="Q95" s="126">
        <f>SUMIF('MPG Payment '!$E$3:$E$34579,'Shayak Income '!D95,'MPG Payment '!$S$3:$S$34579)</f>
        <v>0</v>
      </c>
      <c r="R95" s="126">
        <f t="shared" si="21"/>
        <v>5613.7958548293</v>
      </c>
      <c r="S95" s="126">
        <f t="shared" si="22"/>
        <v>879.99335482929928</v>
      </c>
      <c r="T95" s="126">
        <f t="shared" si="32"/>
        <v>498.29500000000007</v>
      </c>
      <c r="U95" s="127">
        <f>(((IF(K95="New",0,SUMIF('MPG Payment '!$E$3:$E$34579,'Shayak Income '!D95,'MPG Payment '!$AC$3:$AC$34579))))+0)+0</f>
        <v>0</v>
      </c>
      <c r="V95" s="127">
        <f t="shared" si="33"/>
        <v>7973</v>
      </c>
      <c r="W95" s="19">
        <f t="shared" si="34"/>
        <v>0</v>
      </c>
      <c r="X95" s="19">
        <f t="shared" si="23"/>
        <v>0</v>
      </c>
      <c r="Y95" s="128">
        <f>IFERROR(VLOOKUP(D95,'Monthly Deduction'!$M$2:$N$64,2,0),0)</f>
        <v>0</v>
      </c>
      <c r="Z95" s="128">
        <v>3000</v>
      </c>
      <c r="AA95" s="126">
        <f>IFERROR(VLOOKUP(D95,'Monthly Deduction'!A:B,2,0),0)</f>
        <v>0</v>
      </c>
      <c r="AB95" s="129">
        <f t="shared" si="24"/>
        <v>4973</v>
      </c>
      <c r="AC95" s="130">
        <v>0</v>
      </c>
      <c r="AD95" s="35">
        <f t="shared" si="36"/>
        <v>4973</v>
      </c>
      <c r="AE95" s="166" t="str">
        <f t="shared" si="37"/>
        <v>Release</v>
      </c>
      <c r="AF95" s="127"/>
      <c r="AG95" s="18">
        <v>0</v>
      </c>
      <c r="AH95" s="120" t="s">
        <v>1657</v>
      </c>
      <c r="AI95" s="238">
        <v>0</v>
      </c>
      <c r="AJ95" s="132"/>
      <c r="AK95" s="151">
        <v>1546.5000000000002</v>
      </c>
      <c r="AL95" s="154">
        <f t="shared" si="25"/>
        <v>0</v>
      </c>
      <c r="AM95" s="155"/>
      <c r="AN95" s="19">
        <f t="shared" si="26"/>
        <v>0</v>
      </c>
      <c r="AO95" s="118">
        <f>SUMIF('MPG Payment '!E:E,'Shayak Income '!D95,'MPG Payment '!AJ:AJ)</f>
        <v>0</v>
      </c>
      <c r="AP95" s="19">
        <f t="shared" si="27"/>
        <v>0</v>
      </c>
      <c r="AQ95" s="119">
        <f t="shared" si="38"/>
        <v>0</v>
      </c>
      <c r="AR95" s="91" t="s">
        <v>1168</v>
      </c>
      <c r="AS95" s="91">
        <f t="shared" si="28"/>
        <v>0</v>
      </c>
      <c r="AT95" s="118"/>
      <c r="AU95" s="118"/>
      <c r="AV95" s="118"/>
    </row>
    <row r="96" spans="1:48" s="20" customFormat="1" x14ac:dyDescent="0.25">
      <c r="A96" s="17">
        <f>IFERROR(VLOOKUP(D96,'Monthly Deduction'!$I$3:$J$957,2,0),0)</f>
        <v>0</v>
      </c>
      <c r="B96" s="17">
        <f>IFERROR(VLOOKUP(D96,'Monthly Deduction'!$E$3:$F$957,2,0),0)</f>
        <v>0</v>
      </c>
      <c r="C96" s="17">
        <f t="shared" si="29"/>
        <v>0</v>
      </c>
      <c r="D96" s="41">
        <v>10030027</v>
      </c>
      <c r="E96" s="122" t="str">
        <f>VLOOKUP(D96,'MPG Payment '!$E$3:$G$498218,2,0)</f>
        <v>CHORGAUN</v>
      </c>
      <c r="F96" s="146">
        <f>IFERROR(_xlfn.XLOOKUP(D96,'Monthly Deduction'!$I$3:$I$957,'Monthly Deduction'!$H$3:$H$957),0)</f>
        <v>0</v>
      </c>
      <c r="G96" s="123" t="str">
        <f>VLOOKUP(D96,'MPG Payment '!$E$3:$G$334579,3,0)</f>
        <v>MPG</v>
      </c>
      <c r="H96" s="124" t="str">
        <f>VLOOKUP(D96,'MPG Payment '!$E$3:$H$334579,4,0)</f>
        <v>Direct</v>
      </c>
      <c r="I96" s="88">
        <f>INDEX('MPG Payment '!$C:$C,MATCH('Shayak Income '!D96,'MPG Payment '!E:E,0))</f>
        <v>1003</v>
      </c>
      <c r="J96" s="88" t="str">
        <f>INDEX('MPG Payment '!$D:$D,MATCH('Shayak Income '!D96,'MPG Payment '!E:E,0))</f>
        <v>Asarganj</v>
      </c>
      <c r="K96" s="125" t="s">
        <v>1322</v>
      </c>
      <c r="L96" s="125">
        <v>45015</v>
      </c>
      <c r="M96" s="126">
        <f>SUMIF('MPG Payment '!$E$3:$E$34579,'Shayak Income '!D96,'MPG Payment '!$I$3:$I$34579)</f>
        <v>2897</v>
      </c>
      <c r="N96" s="126">
        <f>SUMIF('MPG Payment '!$E$3:$E$34579,'Shayak Income '!D96,'MPG Payment '!$J$3:$J$34579)</f>
        <v>108729.54173803501</v>
      </c>
      <c r="O96" s="126">
        <f t="shared" si="30"/>
        <v>2172.75</v>
      </c>
      <c r="P96" s="126">
        <f t="shared" si="31"/>
        <v>2752.15</v>
      </c>
      <c r="Q96" s="126">
        <f>SUMIF('MPG Payment '!$E$3:$E$34579,'Shayak Income '!D96,'MPG Payment '!$S$3:$S$34579)</f>
        <v>3572.2725666495999</v>
      </c>
      <c r="R96" s="126">
        <f t="shared" si="21"/>
        <v>3261.8862521410501</v>
      </c>
      <c r="S96" s="126">
        <f t="shared" si="22"/>
        <v>509.73625214105004</v>
      </c>
      <c r="T96" s="126">
        <f t="shared" si="32"/>
        <v>289.7</v>
      </c>
      <c r="U96" s="127">
        <f>(((IF(K96="New",0,SUMIF('MPG Payment '!$E$3:$E$34579,'Shayak Income '!D96,'MPG Payment '!$AC$3:$AC$34579))))+0)+0</f>
        <v>62.298054248843393</v>
      </c>
      <c r="V96" s="127">
        <f t="shared" si="33"/>
        <v>8145</v>
      </c>
      <c r="W96" s="19">
        <f t="shared" si="34"/>
        <v>0</v>
      </c>
      <c r="X96" s="19">
        <f t="shared" si="23"/>
        <v>0</v>
      </c>
      <c r="Y96" s="128">
        <f>IFERROR(VLOOKUP(D96,'Monthly Deduction'!$M$2:$N$64,2,0),0)</f>
        <v>0</v>
      </c>
      <c r="Z96" s="128">
        <v>0</v>
      </c>
      <c r="AA96" s="126">
        <f>IFERROR(VLOOKUP(D96,'Monthly Deduction'!A:B,2,0),0)</f>
        <v>0</v>
      </c>
      <c r="AB96" s="129">
        <f t="shared" si="24"/>
        <v>8145</v>
      </c>
      <c r="AC96" s="130">
        <v>0</v>
      </c>
      <c r="AD96" s="35">
        <f t="shared" si="36"/>
        <v>8145</v>
      </c>
      <c r="AE96" s="166" t="str">
        <f t="shared" si="37"/>
        <v>Release</v>
      </c>
      <c r="AF96" s="127"/>
      <c r="AG96" s="18">
        <v>0</v>
      </c>
      <c r="AH96" s="120"/>
      <c r="AI96" s="238">
        <v>0</v>
      </c>
      <c r="AJ96" s="132"/>
      <c r="AK96" s="151">
        <v>827.7</v>
      </c>
      <c r="AL96" s="154">
        <f t="shared" si="25"/>
        <v>0</v>
      </c>
      <c r="AM96" s="155"/>
      <c r="AN96" s="19">
        <f t="shared" si="26"/>
        <v>0</v>
      </c>
      <c r="AO96" s="118">
        <f>SUMIF('MPG Payment '!E:E,'Shayak Income '!D96,'MPG Payment '!AJ:AJ)</f>
        <v>0</v>
      </c>
      <c r="AP96" s="19">
        <f t="shared" si="27"/>
        <v>0</v>
      </c>
      <c r="AQ96" s="119">
        <f t="shared" si="38"/>
        <v>0</v>
      </c>
      <c r="AR96" s="91" t="s">
        <v>1168</v>
      </c>
      <c r="AS96" s="91">
        <f t="shared" si="28"/>
        <v>0</v>
      </c>
      <c r="AT96" s="118"/>
      <c r="AU96" s="118"/>
      <c r="AV96" s="118"/>
    </row>
    <row r="97" spans="1:48" s="20" customFormat="1" x14ac:dyDescent="0.25">
      <c r="A97" s="17">
        <f>IFERROR(VLOOKUP(D97,'Monthly Deduction'!$I$3:$J$957,2,0),0)</f>
        <v>0</v>
      </c>
      <c r="B97" s="17">
        <f>IFERROR(VLOOKUP(D97,'Monthly Deduction'!$E$3:$F$957,2,0),0)</f>
        <v>0</v>
      </c>
      <c r="C97" s="17">
        <f t="shared" si="29"/>
        <v>0</v>
      </c>
      <c r="D97" s="41">
        <v>10030028</v>
      </c>
      <c r="E97" s="122" t="str">
        <f>VLOOKUP(D97,'MPG Payment '!$E$3:$G$498218,2,0)</f>
        <v>PADARATHPUR</v>
      </c>
      <c r="F97" s="146">
        <f>IFERROR(_xlfn.XLOOKUP(D97,'Monthly Deduction'!$I$3:$I$957,'Monthly Deduction'!$H$3:$H$957),0)</f>
        <v>0</v>
      </c>
      <c r="G97" s="123" t="str">
        <f>VLOOKUP(D97,'MPG Payment '!$E$3:$G$334579,3,0)</f>
        <v>MPG</v>
      </c>
      <c r="H97" s="124" t="str">
        <f>VLOOKUP(D97,'MPG Payment '!$E$3:$H$334579,4,0)</f>
        <v>Direct</v>
      </c>
      <c r="I97" s="88">
        <f>INDEX('MPG Payment '!$C:$C,MATCH('Shayak Income '!D97,'MPG Payment '!E:E,0))</f>
        <v>1003</v>
      </c>
      <c r="J97" s="88" t="str">
        <f>INDEX('MPG Payment '!$D:$D,MATCH('Shayak Income '!D97,'MPG Payment '!E:E,0))</f>
        <v>Asarganj</v>
      </c>
      <c r="K97" s="125" t="s">
        <v>1322</v>
      </c>
      <c r="L97" s="125">
        <v>45015</v>
      </c>
      <c r="M97" s="126">
        <f>SUMIF('MPG Payment '!$E$3:$E$34579,'Shayak Income '!D97,'MPG Payment '!$I$3:$I$34579)</f>
        <v>3740.2999999999997</v>
      </c>
      <c r="N97" s="126">
        <f>SUMIF('MPG Payment '!$E$3:$E$34579,'Shayak Income '!D97,'MPG Payment '!$J$3:$J$34579)</f>
        <v>148808.90564578501</v>
      </c>
      <c r="O97" s="126">
        <f t="shared" si="30"/>
        <v>2805.2249999999999</v>
      </c>
      <c r="P97" s="126">
        <f t="shared" si="31"/>
        <v>3553.2849999999994</v>
      </c>
      <c r="Q97" s="126">
        <f>SUMIF('MPG Payment '!$E$3:$E$34579,'Shayak Income '!D97,'MPG Payment '!$S$3:$S$34579)</f>
        <v>3244.1176830005006</v>
      </c>
      <c r="R97" s="126">
        <f t="shared" si="21"/>
        <v>4464.2671693735501</v>
      </c>
      <c r="S97" s="126">
        <f t="shared" si="22"/>
        <v>910.98216937355073</v>
      </c>
      <c r="T97" s="126">
        <f t="shared" si="32"/>
        <v>374.03</v>
      </c>
      <c r="U97" s="127">
        <f>(((IF(K97="New",0,SUMIF('MPG Payment '!$E$3:$E$34579,'Shayak Income '!D97,'MPG Payment '!$AC$3:$AC$34579))))+0)+0</f>
        <v>0</v>
      </c>
      <c r="V97" s="127">
        <f t="shared" si="33"/>
        <v>9229</v>
      </c>
      <c r="W97" s="19">
        <f t="shared" si="34"/>
        <v>0</v>
      </c>
      <c r="X97" s="19">
        <f t="shared" si="23"/>
        <v>0</v>
      </c>
      <c r="Y97" s="128">
        <f>IFERROR(VLOOKUP(D97,'Monthly Deduction'!$M$2:$N$64,2,0),0)</f>
        <v>0</v>
      </c>
      <c r="Z97" s="128">
        <v>0</v>
      </c>
      <c r="AA97" s="126">
        <f>IFERROR(VLOOKUP(D97,'Monthly Deduction'!A:B,2,0),0)</f>
        <v>0</v>
      </c>
      <c r="AB97" s="129">
        <f t="shared" si="24"/>
        <v>9229</v>
      </c>
      <c r="AC97" s="130">
        <v>0</v>
      </c>
      <c r="AD97" s="35">
        <f t="shared" si="36"/>
        <v>9229</v>
      </c>
      <c r="AE97" s="166" t="str">
        <f t="shared" si="37"/>
        <v>Release</v>
      </c>
      <c r="AF97" s="127"/>
      <c r="AG97" s="18">
        <v>0</v>
      </c>
      <c r="AH97" s="120"/>
      <c r="AI97" s="238">
        <v>0</v>
      </c>
      <c r="AJ97" s="132"/>
      <c r="AK97" s="151">
        <v>1031.6499999999999</v>
      </c>
      <c r="AL97" s="154">
        <f t="shared" si="25"/>
        <v>0</v>
      </c>
      <c r="AM97" s="155"/>
      <c r="AN97" s="19">
        <f t="shared" si="26"/>
        <v>0</v>
      </c>
      <c r="AO97" s="118">
        <f>SUMIF('MPG Payment '!E:E,'Shayak Income '!D97,'MPG Payment '!AJ:AJ)</f>
        <v>0</v>
      </c>
      <c r="AP97" s="19">
        <f t="shared" si="27"/>
        <v>0</v>
      </c>
      <c r="AQ97" s="119">
        <f t="shared" si="38"/>
        <v>0</v>
      </c>
      <c r="AR97" s="91"/>
      <c r="AS97" s="91">
        <f t="shared" si="28"/>
        <v>0</v>
      </c>
      <c r="AT97" s="118"/>
      <c r="AU97" s="118"/>
      <c r="AV97" s="118"/>
    </row>
    <row r="98" spans="1:48" s="20" customFormat="1" x14ac:dyDescent="0.25">
      <c r="A98" s="17">
        <f>IFERROR(VLOOKUP(D98,'Monthly Deduction'!$I$3:$J$957,2,0),0)</f>
        <v>0</v>
      </c>
      <c r="B98" s="17">
        <f>IFERROR(VLOOKUP(D98,'Monthly Deduction'!$E$3:$F$957,2,0),0)</f>
        <v>244.1599465554682</v>
      </c>
      <c r="C98" s="17">
        <f t="shared" si="29"/>
        <v>244.1599465554682</v>
      </c>
      <c r="D98" s="41">
        <v>10030031</v>
      </c>
      <c r="E98" s="122" t="str">
        <f>VLOOKUP(D98,'MPG Payment '!$E$3:$G$498218,2,0)</f>
        <v>BADARKHA</v>
      </c>
      <c r="F98" s="146">
        <f>IFERROR(_xlfn.XLOOKUP(D98,'Monthly Deduction'!$I$3:$I$957,'Monthly Deduction'!$H$3:$H$957),0)</f>
        <v>0</v>
      </c>
      <c r="G98" s="123" t="str">
        <f>VLOOKUP(D98,'MPG Payment '!$E$3:$G$334579,3,0)</f>
        <v>MPG</v>
      </c>
      <c r="H98" s="124" t="str">
        <f>VLOOKUP(D98,'MPG Payment '!$E$3:$H$334579,4,0)</f>
        <v>Direct</v>
      </c>
      <c r="I98" s="88">
        <f>INDEX('MPG Payment '!$C:$C,MATCH('Shayak Income '!D98,'MPG Payment '!E:E,0))</f>
        <v>1003</v>
      </c>
      <c r="J98" s="88" t="str">
        <f>INDEX('MPG Payment '!$D:$D,MATCH('Shayak Income '!D98,'MPG Payment '!E:E,0))</f>
        <v>Asarganj</v>
      </c>
      <c r="K98" s="125" t="s">
        <v>1322</v>
      </c>
      <c r="L98" s="125">
        <v>45016</v>
      </c>
      <c r="M98" s="126">
        <f>SUMIF('MPG Payment '!$E$3:$E$34579,'Shayak Income '!D98,'MPG Payment '!$I$3:$I$34579)</f>
        <v>3520.0499999999997</v>
      </c>
      <c r="N98" s="126">
        <f>SUMIF('MPG Payment '!$E$3:$E$34579,'Shayak Income '!D98,'MPG Payment '!$J$3:$J$34579)</f>
        <v>127216.9911455</v>
      </c>
      <c r="O98" s="126">
        <f t="shared" si="30"/>
        <v>2640.0374999999999</v>
      </c>
      <c r="P98" s="126">
        <f t="shared" si="31"/>
        <v>3344.0474999999997</v>
      </c>
      <c r="Q98" s="126">
        <f>SUMIF('MPG Payment '!$E$3:$E$34579,'Shayak Income '!D98,'MPG Payment '!$S$3:$S$34579)</f>
        <v>0</v>
      </c>
      <c r="R98" s="126">
        <f t="shared" si="21"/>
        <v>3816.5097343649995</v>
      </c>
      <c r="S98" s="126">
        <f t="shared" si="22"/>
        <v>472.46223436499986</v>
      </c>
      <c r="T98" s="126">
        <f t="shared" si="32"/>
        <v>352.005</v>
      </c>
      <c r="U98" s="127">
        <f>(((IF(K98="New",0,SUMIF('MPG Payment '!$E$3:$E$34579,'Shayak Income '!D98,'MPG Payment '!$AC$3:$AC$34579))))+0)+0</f>
        <v>0</v>
      </c>
      <c r="V98" s="127">
        <f t="shared" si="33"/>
        <v>5632</v>
      </c>
      <c r="W98" s="19">
        <f t="shared" si="34"/>
        <v>0</v>
      </c>
      <c r="X98" s="19">
        <f t="shared" si="23"/>
        <v>244.1599465554682</v>
      </c>
      <c r="Y98" s="128">
        <f>IFERROR(VLOOKUP(D98,'Monthly Deduction'!$M$2:$N$64,2,0),0)</f>
        <v>0</v>
      </c>
      <c r="Z98" s="128">
        <v>0</v>
      </c>
      <c r="AA98" s="126">
        <f>IFERROR(VLOOKUP(D98,'Monthly Deduction'!A:B,2,0),0)</f>
        <v>0</v>
      </c>
      <c r="AB98" s="129">
        <f t="shared" si="24"/>
        <v>5388</v>
      </c>
      <c r="AC98" s="130">
        <v>0</v>
      </c>
      <c r="AD98" s="35">
        <f t="shared" si="36"/>
        <v>5388</v>
      </c>
      <c r="AE98" s="166" t="str">
        <f t="shared" si="37"/>
        <v>Release</v>
      </c>
      <c r="AF98" s="127"/>
      <c r="AG98" s="18">
        <v>0</v>
      </c>
      <c r="AH98" s="120"/>
      <c r="AI98" s="238">
        <v>0</v>
      </c>
      <c r="AJ98" s="132"/>
      <c r="AK98" s="151">
        <v>970.65</v>
      </c>
      <c r="AL98" s="154">
        <f t="shared" si="25"/>
        <v>0</v>
      </c>
      <c r="AM98" s="155"/>
      <c r="AN98" s="19">
        <f t="shared" si="26"/>
        <v>0</v>
      </c>
      <c r="AO98" s="118">
        <f>SUMIF('MPG Payment '!E:E,'Shayak Income '!D98,'MPG Payment '!AJ:AJ)</f>
        <v>0</v>
      </c>
      <c r="AP98" s="19">
        <f t="shared" si="27"/>
        <v>0</v>
      </c>
      <c r="AQ98" s="119">
        <f t="shared" si="38"/>
        <v>0</v>
      </c>
      <c r="AR98" s="91" t="s">
        <v>1168</v>
      </c>
      <c r="AS98" s="91">
        <f t="shared" si="28"/>
        <v>0</v>
      </c>
      <c r="AT98" s="118"/>
      <c r="AU98" s="118"/>
      <c r="AV98" s="118"/>
    </row>
    <row r="99" spans="1:48" s="20" customFormat="1" x14ac:dyDescent="0.25">
      <c r="A99" s="17">
        <f>IFERROR(VLOOKUP(D99,'Monthly Deduction'!$I$3:$J$957,2,0),0)</f>
        <v>0</v>
      </c>
      <c r="B99" s="17">
        <f>IFERROR(VLOOKUP(D99,'Monthly Deduction'!$E$3:$F$957,2,0),0)</f>
        <v>0</v>
      </c>
      <c r="C99" s="17">
        <f t="shared" si="29"/>
        <v>0</v>
      </c>
      <c r="D99" s="41">
        <v>10030032</v>
      </c>
      <c r="E99" s="122" t="str">
        <f>VLOOKUP(D99,'MPG Payment '!$E$3:$G$498218,2,0)</f>
        <v xml:space="preserve">MAHDMADPUR                                                                                          </v>
      </c>
      <c r="F99" s="146">
        <f>IFERROR(_xlfn.XLOOKUP(D99,'Monthly Deduction'!$I$3:$I$957,'Monthly Deduction'!$H$3:$H$957),0)</f>
        <v>0</v>
      </c>
      <c r="G99" s="123" t="str">
        <f>VLOOKUP(D99,'MPG Payment '!$E$3:$G$334579,3,0)</f>
        <v>MPG</v>
      </c>
      <c r="H99" s="124" t="str">
        <f>VLOOKUP(D99,'MPG Payment '!$E$3:$H$334579,4,0)</f>
        <v>Direct</v>
      </c>
      <c r="I99" s="88">
        <f>INDEX('MPG Payment '!$C:$C,MATCH('Shayak Income '!D99,'MPG Payment '!E:E,0))</f>
        <v>1003</v>
      </c>
      <c r="J99" s="88" t="str">
        <f>INDEX('MPG Payment '!$D:$D,MATCH('Shayak Income '!D99,'MPG Payment '!E:E,0))</f>
        <v>Asarganj</v>
      </c>
      <c r="K99" s="125" t="s">
        <v>1322</v>
      </c>
      <c r="L99" s="125">
        <v>45017</v>
      </c>
      <c r="M99" s="126">
        <f>SUMIF('MPG Payment '!$E$3:$E$34579,'Shayak Income '!D99,'MPG Payment '!$I$3:$I$34579)</f>
        <v>6782.2</v>
      </c>
      <c r="N99" s="126">
        <f>SUMIF('MPG Payment '!$E$3:$E$34579,'Shayak Income '!D99,'MPG Payment '!$J$3:$J$34579)</f>
        <v>254064.81357927501</v>
      </c>
      <c r="O99" s="126">
        <f t="shared" si="30"/>
        <v>5086.6499999999996</v>
      </c>
      <c r="P99" s="126">
        <f t="shared" si="31"/>
        <v>6443.0899999999992</v>
      </c>
      <c r="Q99" s="126">
        <f>SUMIF('MPG Payment '!$E$3:$E$34579,'Shayak Income '!D99,'MPG Payment '!$S$3:$S$34579)</f>
        <v>3683.3401639740005</v>
      </c>
      <c r="R99" s="126">
        <f t="shared" si="21"/>
        <v>7621.9444073782497</v>
      </c>
      <c r="S99" s="126">
        <f t="shared" si="22"/>
        <v>1178.8544073782505</v>
      </c>
      <c r="T99" s="126">
        <f t="shared" si="32"/>
        <v>678.22</v>
      </c>
      <c r="U99" s="127">
        <f>(((IF(K99="New",0,SUMIF('MPG Payment '!$E$3:$E$34579,'Shayak Income '!D99,'MPG Payment '!$AC$3:$AC$34579))))+0)+0</f>
        <v>0</v>
      </c>
      <c r="V99" s="127">
        <f t="shared" si="33"/>
        <v>14535</v>
      </c>
      <c r="W99" s="19">
        <f t="shared" si="34"/>
        <v>0</v>
      </c>
      <c r="X99" s="19">
        <f t="shared" si="23"/>
        <v>0</v>
      </c>
      <c r="Y99" s="128">
        <f>IFERROR(VLOOKUP(D99,'Monthly Deduction'!$M$2:$N$64,2,0),0)</f>
        <v>0</v>
      </c>
      <c r="Z99" s="128">
        <v>0</v>
      </c>
      <c r="AA99" s="126">
        <f>IFERROR(VLOOKUP(D99,'Monthly Deduction'!A:B,2,0),0)</f>
        <v>0</v>
      </c>
      <c r="AB99" s="129">
        <f t="shared" si="24"/>
        <v>14535</v>
      </c>
      <c r="AC99" s="130">
        <v>0</v>
      </c>
      <c r="AD99" s="35">
        <f t="shared" si="36"/>
        <v>14535</v>
      </c>
      <c r="AE99" s="166" t="str">
        <f t="shared" si="37"/>
        <v>Release</v>
      </c>
      <c r="AF99" s="127"/>
      <c r="AG99" s="127">
        <v>0</v>
      </c>
      <c r="AH99" s="120"/>
      <c r="AI99" s="238">
        <v>0</v>
      </c>
      <c r="AJ99" s="132"/>
      <c r="AK99" s="151">
        <v>2177.1</v>
      </c>
      <c r="AL99" s="154">
        <f t="shared" si="25"/>
        <v>0</v>
      </c>
      <c r="AM99" s="155"/>
      <c r="AN99" s="19">
        <f t="shared" si="26"/>
        <v>0</v>
      </c>
      <c r="AO99" s="118">
        <f>SUMIF('MPG Payment '!E:E,'Shayak Income '!D99,'MPG Payment '!AJ:AJ)</f>
        <v>0</v>
      </c>
      <c r="AP99" s="19">
        <f t="shared" si="27"/>
        <v>0</v>
      </c>
      <c r="AQ99" s="119">
        <f t="shared" si="38"/>
        <v>0</v>
      </c>
      <c r="AR99" s="91" t="s">
        <v>1168</v>
      </c>
      <c r="AS99" s="91">
        <f t="shared" si="28"/>
        <v>0</v>
      </c>
      <c r="AT99" s="118"/>
      <c r="AU99" s="118"/>
      <c r="AV99" s="118"/>
    </row>
    <row r="100" spans="1:48" s="20" customFormat="1" x14ac:dyDescent="0.25">
      <c r="A100" s="17">
        <f>IFERROR(VLOOKUP(D100,'Monthly Deduction'!$I$3:$J$957,2,0),0)</f>
        <v>0</v>
      </c>
      <c r="B100" s="17">
        <f>IFERROR(VLOOKUP(D100,'Monthly Deduction'!$E$3:$F$957,2,0),0)</f>
        <v>0</v>
      </c>
      <c r="C100" s="17">
        <f t="shared" si="29"/>
        <v>0</v>
      </c>
      <c r="D100" s="41">
        <v>10030034</v>
      </c>
      <c r="E100" s="122" t="str">
        <f>VLOOKUP(D100,'MPG Payment '!$E$3:$G$498218,2,0)</f>
        <v xml:space="preserve">MUSKIPUR                                                                                            </v>
      </c>
      <c r="F100" s="146">
        <f>IFERROR(_xlfn.XLOOKUP(D100,'Monthly Deduction'!$I$3:$I$957,'Monthly Deduction'!$H$3:$H$957),0)</f>
        <v>0</v>
      </c>
      <c r="G100" s="123" t="str">
        <f>VLOOKUP(D100,'MPG Payment '!$E$3:$G$334579,3,0)</f>
        <v>MPG</v>
      </c>
      <c r="H100" s="124" t="str">
        <f>VLOOKUP(D100,'MPG Payment '!$E$3:$H$334579,4,0)</f>
        <v>Direct</v>
      </c>
      <c r="I100" s="88">
        <f>INDEX('MPG Payment '!$C:$C,MATCH('Shayak Income '!D100,'MPG Payment '!E:E,0))</f>
        <v>1003</v>
      </c>
      <c r="J100" s="88" t="str">
        <f>INDEX('MPG Payment '!$D:$D,MATCH('Shayak Income '!D100,'MPG Payment '!E:E,0))</f>
        <v>Asarganj</v>
      </c>
      <c r="K100" s="125" t="s">
        <v>1322</v>
      </c>
      <c r="L100" s="125">
        <v>45082</v>
      </c>
      <c r="M100" s="126">
        <f>SUMIF('MPG Payment '!$E$3:$E$34579,'Shayak Income '!D100,'MPG Payment '!$I$3:$I$34579)</f>
        <v>5076.05</v>
      </c>
      <c r="N100" s="126">
        <f>SUMIF('MPG Payment '!$E$3:$E$34579,'Shayak Income '!D100,'MPG Payment '!$J$3:$J$34579)</f>
        <v>205979.97739184802</v>
      </c>
      <c r="O100" s="126">
        <f t="shared" si="30"/>
        <v>3807.0375000000004</v>
      </c>
      <c r="P100" s="126">
        <f t="shared" si="31"/>
        <v>4822.2475000000004</v>
      </c>
      <c r="Q100" s="126">
        <f>SUMIF('MPG Payment '!$E$3:$E$34579,'Shayak Income '!D100,'MPG Payment '!$S$3:$S$34579)</f>
        <v>78.416829216000011</v>
      </c>
      <c r="R100" s="126">
        <f t="shared" si="21"/>
        <v>6179.3993217554407</v>
      </c>
      <c r="S100" s="126">
        <f t="shared" si="22"/>
        <v>1357.1518217554403</v>
      </c>
      <c r="T100" s="126">
        <f t="shared" si="32"/>
        <v>507.60500000000002</v>
      </c>
      <c r="U100" s="127">
        <f>(((IF(K100="New",0,SUMIF('MPG Payment '!$E$3:$E$34579,'Shayak Income '!D100,'MPG Payment '!$AC$3:$AC$34579))))+0)+0</f>
        <v>0</v>
      </c>
      <c r="V100" s="127">
        <f t="shared" si="33"/>
        <v>8200</v>
      </c>
      <c r="W100" s="19">
        <f t="shared" si="34"/>
        <v>0</v>
      </c>
      <c r="X100" s="19">
        <f t="shared" si="23"/>
        <v>0</v>
      </c>
      <c r="Y100" s="128">
        <f>IFERROR(VLOOKUP(D100,'Monthly Deduction'!$M$2:$N$64,2,0),0)</f>
        <v>0</v>
      </c>
      <c r="Z100" s="128">
        <v>0</v>
      </c>
      <c r="AA100" s="126">
        <f>IFERROR(VLOOKUP(D100,'Monthly Deduction'!A:B,2,0),0)</f>
        <v>0</v>
      </c>
      <c r="AB100" s="129">
        <f t="shared" si="24"/>
        <v>8200</v>
      </c>
      <c r="AC100" s="130">
        <v>0</v>
      </c>
      <c r="AD100" s="35">
        <f t="shared" si="36"/>
        <v>8200</v>
      </c>
      <c r="AE100" s="166" t="str">
        <f t="shared" si="37"/>
        <v>Release</v>
      </c>
      <c r="AF100" s="127"/>
      <c r="AG100" s="18">
        <v>0</v>
      </c>
      <c r="AH100" s="120"/>
      <c r="AI100" s="238">
        <v>0</v>
      </c>
      <c r="AJ100" s="132"/>
      <c r="AK100" s="151">
        <v>1220.5</v>
      </c>
      <c r="AL100" s="154">
        <f t="shared" si="25"/>
        <v>0</v>
      </c>
      <c r="AM100" s="155"/>
      <c r="AN100" s="19">
        <f t="shared" si="26"/>
        <v>0</v>
      </c>
      <c r="AO100" s="118">
        <f>SUMIF('MPG Payment '!E:E,'Shayak Income '!D100,'MPG Payment '!AJ:AJ)</f>
        <v>0</v>
      </c>
      <c r="AP100" s="19">
        <f t="shared" si="27"/>
        <v>0</v>
      </c>
      <c r="AQ100" s="119">
        <f t="shared" si="38"/>
        <v>0</v>
      </c>
      <c r="AR100" s="91" t="s">
        <v>1168</v>
      </c>
      <c r="AS100" s="91">
        <f t="shared" si="28"/>
        <v>0</v>
      </c>
      <c r="AT100" s="118"/>
      <c r="AU100" s="118"/>
      <c r="AV100" s="118"/>
    </row>
    <row r="101" spans="1:48" s="20" customFormat="1" x14ac:dyDescent="0.25">
      <c r="A101" s="17">
        <f>IFERROR(VLOOKUP(D101,'Monthly Deduction'!$I$3:$J$957,2,0),0)</f>
        <v>27421.646294913386</v>
      </c>
      <c r="B101" s="17">
        <f>IFERROR(VLOOKUP(D101,'Monthly Deduction'!$E$3:$F$957,2,0),0)</f>
        <v>0</v>
      </c>
      <c r="C101" s="17">
        <f t="shared" si="29"/>
        <v>27421.646294913386</v>
      </c>
      <c r="D101" s="41">
        <v>10030035</v>
      </c>
      <c r="E101" s="122" t="str">
        <f>VLOOKUP(D101,'MPG Payment '!$E$3:$G$498218,2,0)</f>
        <v xml:space="preserve">NAYAGAUN                                                                                            </v>
      </c>
      <c r="F101" s="146">
        <f>IFERROR(_xlfn.XLOOKUP(D101,'Monthly Deduction'!$I$3:$I$957,'Monthly Deduction'!$H$3:$H$957),0)</f>
        <v>0</v>
      </c>
      <c r="G101" s="123" t="str">
        <f>VLOOKUP(D101,'MPG Payment '!$E$3:$G$334579,3,0)</f>
        <v>MPG</v>
      </c>
      <c r="H101" s="124" t="str">
        <f>VLOOKUP(D101,'MPG Payment '!$E$3:$H$334579,4,0)</f>
        <v>Direct</v>
      </c>
      <c r="I101" s="88">
        <f>INDEX('MPG Payment '!$C:$C,MATCH('Shayak Income '!D101,'MPG Payment '!E:E,0))</f>
        <v>1003</v>
      </c>
      <c r="J101" s="88" t="str">
        <f>INDEX('MPG Payment '!$D:$D,MATCH('Shayak Income '!D101,'MPG Payment '!E:E,0))</f>
        <v>Asarganj</v>
      </c>
      <c r="K101" s="125" t="s">
        <v>1322</v>
      </c>
      <c r="L101" s="125">
        <v>45084</v>
      </c>
      <c r="M101" s="126">
        <f>SUMIF('MPG Payment '!$E$3:$E$34579,'Shayak Income '!D101,'MPG Payment '!$I$3:$I$34579)</f>
        <v>2389.75</v>
      </c>
      <c r="N101" s="126">
        <f>SUMIF('MPG Payment '!$E$3:$E$34579,'Shayak Income '!D101,'MPG Payment '!$J$3:$J$34579)</f>
        <v>97776.829599599005</v>
      </c>
      <c r="O101" s="126">
        <f t="shared" si="30"/>
        <v>1792.3125</v>
      </c>
      <c r="P101" s="126">
        <f t="shared" si="31"/>
        <v>2270.2624999999998</v>
      </c>
      <c r="Q101" s="126">
        <f>SUMIF('MPG Payment '!$E$3:$E$34579,'Shayak Income '!D101,'MPG Payment '!$S$3:$S$34579)</f>
        <v>388.02501596701006</v>
      </c>
      <c r="R101" s="126">
        <f t="shared" si="21"/>
        <v>2933.3048879879702</v>
      </c>
      <c r="S101" s="126">
        <f t="shared" si="22"/>
        <v>663.04238798797041</v>
      </c>
      <c r="T101" s="126">
        <f t="shared" si="32"/>
        <v>238.97500000000002</v>
      </c>
      <c r="U101" s="127">
        <f>(((IF(K101="New",0,SUMIF('MPG Payment '!$E$3:$E$34579,'Shayak Income '!D101,'MPG Payment '!$AC$3:$AC$34579))))+0)+0</f>
        <v>339.61119655342475</v>
      </c>
      <c r="V101" s="127">
        <f t="shared" si="33"/>
        <v>3872</v>
      </c>
      <c r="W101" s="19">
        <f t="shared" si="34"/>
        <v>1955.5365919919802</v>
      </c>
      <c r="X101" s="19">
        <v>0</v>
      </c>
      <c r="Y101" s="128">
        <f>IFERROR(VLOOKUP(D101,'Monthly Deduction'!$M$2:$N$64,2,0),0)</f>
        <v>0</v>
      </c>
      <c r="Z101" s="128">
        <v>0</v>
      </c>
      <c r="AA101" s="126">
        <f>IFERROR(VLOOKUP(D101,'Monthly Deduction'!A:B,2,0),0)</f>
        <v>0</v>
      </c>
      <c r="AB101" s="129">
        <f t="shared" si="24"/>
        <v>1916</v>
      </c>
      <c r="AC101" s="130">
        <v>0</v>
      </c>
      <c r="AD101" s="35">
        <f t="shared" si="36"/>
        <v>1916</v>
      </c>
      <c r="AE101" s="166" t="str">
        <f t="shared" si="37"/>
        <v>Release</v>
      </c>
      <c r="AF101" s="127"/>
      <c r="AG101" s="18">
        <v>0</v>
      </c>
      <c r="AH101" s="120"/>
      <c r="AI101" s="238">
        <v>0</v>
      </c>
      <c r="AJ101" s="132"/>
      <c r="AK101" s="151">
        <v>724.80000000000007</v>
      </c>
      <c r="AL101" s="154">
        <f t="shared" si="25"/>
        <v>0</v>
      </c>
      <c r="AM101" s="155"/>
      <c r="AN101" s="19">
        <f t="shared" si="26"/>
        <v>1955.5365919919802</v>
      </c>
      <c r="AO101" s="118">
        <f>SUMIF('MPG Payment '!E:E,'Shayak Income '!D101,'MPG Payment '!AJ:AJ)</f>
        <v>0</v>
      </c>
      <c r="AP101" s="19">
        <f t="shared" si="27"/>
        <v>1955.5365919919802</v>
      </c>
      <c r="AQ101" s="119">
        <f t="shared" si="38"/>
        <v>1955.5365919919802</v>
      </c>
      <c r="AR101" s="91"/>
      <c r="AS101" s="91">
        <f t="shared" si="28"/>
        <v>0</v>
      </c>
      <c r="AT101" s="118"/>
      <c r="AU101" s="118"/>
      <c r="AV101" s="118"/>
    </row>
    <row r="102" spans="1:48" s="20" customFormat="1" x14ac:dyDescent="0.25">
      <c r="A102" s="17">
        <f>IFERROR(VLOOKUP(D102,'Monthly Deduction'!$I$3:$J$957,2,0),0)</f>
        <v>0</v>
      </c>
      <c r="B102" s="17">
        <f>IFERROR(VLOOKUP(D102,'Monthly Deduction'!$E$3:$F$957,2,0),0)</f>
        <v>0</v>
      </c>
      <c r="C102" s="17">
        <f t="shared" si="29"/>
        <v>0</v>
      </c>
      <c r="D102" s="41">
        <v>10030037</v>
      </c>
      <c r="E102" s="122" t="str">
        <f>VLOOKUP(D102,'MPG Payment '!$E$3:$G$498218,2,0)</f>
        <v xml:space="preserve">LAUNA                                                                                               </v>
      </c>
      <c r="F102" s="146">
        <f>IFERROR(_xlfn.XLOOKUP(D102,'Monthly Deduction'!$I$3:$I$957,'Monthly Deduction'!$H$3:$H$957),0)</f>
        <v>0</v>
      </c>
      <c r="G102" s="123" t="str">
        <f>VLOOKUP(D102,'MPG Payment '!$E$3:$G$334579,3,0)</f>
        <v>MPG</v>
      </c>
      <c r="H102" s="124" t="str">
        <f>VLOOKUP(D102,'MPG Payment '!$E$3:$H$334579,4,0)</f>
        <v>Direct</v>
      </c>
      <c r="I102" s="88">
        <f>INDEX('MPG Payment '!$C:$C,MATCH('Shayak Income '!D102,'MPG Payment '!E:E,0))</f>
        <v>1003</v>
      </c>
      <c r="J102" s="88" t="str">
        <f>INDEX('MPG Payment '!$D:$D,MATCH('Shayak Income '!D102,'MPG Payment '!E:E,0))</f>
        <v>Asarganj</v>
      </c>
      <c r="K102" s="125" t="s">
        <v>1322</v>
      </c>
      <c r="L102" s="125">
        <v>45091</v>
      </c>
      <c r="M102" s="126">
        <f>SUMIF('MPG Payment '!$E$3:$E$34579,'Shayak Income '!D102,'MPG Payment '!$I$3:$I$34579)</f>
        <v>5816.3499999999995</v>
      </c>
      <c r="N102" s="126">
        <f>SUMIF('MPG Payment '!$E$3:$E$34579,'Shayak Income '!D102,'MPG Payment '!$J$3:$J$34579)</f>
        <v>211254.17456353502</v>
      </c>
      <c r="O102" s="126">
        <f t="shared" si="30"/>
        <v>4362.2624999999998</v>
      </c>
      <c r="P102" s="126">
        <f t="shared" si="31"/>
        <v>5525.5324999999993</v>
      </c>
      <c r="Q102" s="126">
        <f>SUMIF('MPG Payment '!$E$3:$E$34579,'Shayak Income '!D102,'MPG Payment '!$S$3:$S$34579)</f>
        <v>3130.5690749484002</v>
      </c>
      <c r="R102" s="126">
        <f t="shared" si="21"/>
        <v>6337.6252369060503</v>
      </c>
      <c r="S102" s="126">
        <f t="shared" si="22"/>
        <v>812.09273690605096</v>
      </c>
      <c r="T102" s="126">
        <f t="shared" si="32"/>
        <v>581.63499999999999</v>
      </c>
      <c r="U102" s="127">
        <f>(((IF(K102="New",0,SUMIF('MPG Payment '!$E$3:$E$34579,'Shayak Income '!D102,'MPG Payment '!$AC$3:$AC$34579))))+0)+0</f>
        <v>0</v>
      </c>
      <c r="V102" s="127">
        <f t="shared" si="33"/>
        <v>12437</v>
      </c>
      <c r="W102" s="19">
        <f t="shared" si="34"/>
        <v>0</v>
      </c>
      <c r="X102" s="19">
        <f t="shared" si="23"/>
        <v>0</v>
      </c>
      <c r="Y102" s="128">
        <f>IFERROR(VLOOKUP(D102,'Monthly Deduction'!$M$2:$N$64,2,0),0)</f>
        <v>0</v>
      </c>
      <c r="Z102" s="128">
        <v>0</v>
      </c>
      <c r="AA102" s="126">
        <f>IFERROR(VLOOKUP(D102,'Monthly Deduction'!A:B,2,0),0)</f>
        <v>0</v>
      </c>
      <c r="AB102" s="129">
        <f t="shared" si="24"/>
        <v>12437</v>
      </c>
      <c r="AC102" s="130">
        <v>0</v>
      </c>
      <c r="AD102" s="35">
        <f t="shared" si="36"/>
        <v>12437</v>
      </c>
      <c r="AE102" s="166" t="str">
        <f t="shared" si="37"/>
        <v>Release</v>
      </c>
      <c r="AF102" s="127"/>
      <c r="AG102" s="18">
        <v>0</v>
      </c>
      <c r="AH102" s="132"/>
      <c r="AI102" s="238">
        <v>0</v>
      </c>
      <c r="AJ102" s="132"/>
      <c r="AK102" s="151">
        <v>1504.6</v>
      </c>
      <c r="AL102" s="154">
        <f t="shared" si="25"/>
        <v>0</v>
      </c>
      <c r="AM102" s="155"/>
      <c r="AN102" s="19">
        <f t="shared" si="26"/>
        <v>0</v>
      </c>
      <c r="AO102" s="118">
        <f>SUMIF('MPG Payment '!E:E,'Shayak Income '!D102,'MPG Payment '!AJ:AJ)</f>
        <v>0</v>
      </c>
      <c r="AP102" s="19">
        <f t="shared" si="27"/>
        <v>0</v>
      </c>
      <c r="AQ102" s="119">
        <f t="shared" si="38"/>
        <v>0</v>
      </c>
      <c r="AR102" s="91"/>
      <c r="AS102" s="91">
        <f t="shared" si="28"/>
        <v>0</v>
      </c>
      <c r="AT102" s="118"/>
      <c r="AU102" s="118"/>
      <c r="AV102" s="118"/>
    </row>
    <row r="103" spans="1:48" s="20" customFormat="1" x14ac:dyDescent="0.25">
      <c r="A103" s="17">
        <f>IFERROR(VLOOKUP(D103,'Monthly Deduction'!$I$3:$J$957,2,0),0)</f>
        <v>24073.084553281296</v>
      </c>
      <c r="B103" s="17">
        <f>IFERROR(VLOOKUP(D103,'Monthly Deduction'!$E$3:$F$957,2,0),0)</f>
        <v>12800</v>
      </c>
      <c r="C103" s="17">
        <f t="shared" si="29"/>
        <v>36873.084553281296</v>
      </c>
      <c r="D103" s="41">
        <v>10030038</v>
      </c>
      <c r="E103" s="122" t="str">
        <f>VLOOKUP(D103,'MPG Payment '!$E$3:$G$498218,2,0)</f>
        <v>DULHAR</v>
      </c>
      <c r="F103" s="146">
        <f>IFERROR(_xlfn.XLOOKUP(D103,'Monthly Deduction'!$I$3:$I$957,'Monthly Deduction'!$H$3:$H$957),0)</f>
        <v>0</v>
      </c>
      <c r="G103" s="123" t="str">
        <f>VLOOKUP(D103,'MPG Payment '!$E$3:$G$334579,3,0)</f>
        <v>MPG</v>
      </c>
      <c r="H103" s="124" t="str">
        <f>VLOOKUP(D103,'MPG Payment '!$E$3:$H$334579,4,0)</f>
        <v>Direct</v>
      </c>
      <c r="I103" s="88">
        <f>INDEX('MPG Payment '!$C:$C,MATCH('Shayak Income '!D103,'MPG Payment '!E:E,0))</f>
        <v>1003</v>
      </c>
      <c r="J103" s="88" t="str">
        <f>INDEX('MPG Payment '!$D:$D,MATCH('Shayak Income '!D103,'MPG Payment '!E:E,0))</f>
        <v>Asarganj</v>
      </c>
      <c r="K103" s="125" t="s">
        <v>1322</v>
      </c>
      <c r="L103" s="125">
        <v>45121</v>
      </c>
      <c r="M103" s="126">
        <f>SUMIF('MPG Payment '!$E$3:$E$34579,'Shayak Income '!D103,'MPG Payment '!$I$3:$I$34579)</f>
        <v>1922.45</v>
      </c>
      <c r="N103" s="126">
        <f>SUMIF('MPG Payment '!$E$3:$E$34579,'Shayak Income '!D103,'MPG Payment '!$J$3:$J$34579)</f>
        <v>82105.266005774989</v>
      </c>
      <c r="O103" s="126">
        <f t="shared" si="30"/>
        <v>1441.8375000000001</v>
      </c>
      <c r="P103" s="126">
        <f t="shared" si="31"/>
        <v>1826.3274999999999</v>
      </c>
      <c r="Q103" s="126">
        <f>SUMIF('MPG Payment '!$E$3:$E$34579,'Shayak Income '!D103,'MPG Payment '!$S$3:$S$34579)</f>
        <v>1.1033596672000001</v>
      </c>
      <c r="R103" s="126">
        <f t="shared" si="21"/>
        <v>2463.1579801732496</v>
      </c>
      <c r="S103" s="126">
        <f t="shared" si="22"/>
        <v>636.83048017324973</v>
      </c>
      <c r="T103" s="126">
        <f t="shared" si="32"/>
        <v>192.245</v>
      </c>
      <c r="U103" s="127">
        <f>(((IF(K103="New",0,SUMIF('MPG Payment '!$E$3:$E$34579,'Shayak Income '!D103,'MPG Payment '!$AC$3:$AC$34579))))+0)+0</f>
        <v>740.07244004824986</v>
      </c>
      <c r="V103" s="127">
        <f t="shared" si="33"/>
        <v>2337</v>
      </c>
      <c r="W103" s="19">
        <f t="shared" si="34"/>
        <v>1861</v>
      </c>
      <c r="X103" s="19">
        <v>0</v>
      </c>
      <c r="Y103" s="128">
        <f>IFERROR(VLOOKUP(D103,'Monthly Deduction'!$M$2:$N$64,2,0),0)</f>
        <v>0</v>
      </c>
      <c r="Z103" s="128">
        <v>0</v>
      </c>
      <c r="AA103" s="126">
        <f>IFERROR(VLOOKUP(D103,'Monthly Deduction'!A:B,2,0),0)</f>
        <v>0</v>
      </c>
      <c r="AB103" s="129">
        <f t="shared" si="24"/>
        <v>476</v>
      </c>
      <c r="AC103" s="130">
        <v>0</v>
      </c>
      <c r="AD103" s="35">
        <f t="shared" si="36"/>
        <v>476</v>
      </c>
      <c r="AE103" s="166" t="str">
        <f t="shared" si="37"/>
        <v>Release</v>
      </c>
      <c r="AF103" s="127"/>
      <c r="AG103" s="18">
        <v>0</v>
      </c>
      <c r="AH103" s="24"/>
      <c r="AI103" s="238">
        <v>0</v>
      </c>
      <c r="AJ103" s="132"/>
      <c r="AK103" s="151">
        <v>679.40000000000009</v>
      </c>
      <c r="AL103" s="154">
        <f t="shared" si="25"/>
        <v>0</v>
      </c>
      <c r="AM103" s="155"/>
      <c r="AN103" s="19">
        <f t="shared" si="26"/>
        <v>1861</v>
      </c>
      <c r="AO103" s="118">
        <f>SUMIF('MPG Payment '!E:E,'Shayak Income '!D103,'MPG Payment '!AJ:AJ)</f>
        <v>0</v>
      </c>
      <c r="AP103" s="19">
        <f t="shared" si="27"/>
        <v>1861</v>
      </c>
      <c r="AQ103" s="119">
        <f t="shared" si="38"/>
        <v>1861</v>
      </c>
      <c r="AR103" s="91"/>
      <c r="AS103" s="91">
        <f t="shared" si="28"/>
        <v>12800</v>
      </c>
      <c r="AT103" s="118"/>
      <c r="AU103" s="118"/>
      <c r="AV103" s="118"/>
    </row>
    <row r="104" spans="1:48" s="20" customFormat="1" x14ac:dyDescent="0.25">
      <c r="A104" s="17">
        <f>IFERROR(VLOOKUP(D104,'Monthly Deduction'!$I$3:$J$957,2,0),0)</f>
        <v>0</v>
      </c>
      <c r="B104" s="17">
        <f>IFERROR(VLOOKUP(D104,'Monthly Deduction'!$E$3:$F$957,2,0),0)</f>
        <v>0</v>
      </c>
      <c r="C104" s="17">
        <f t="shared" si="29"/>
        <v>0</v>
      </c>
      <c r="D104" s="41">
        <v>10030040</v>
      </c>
      <c r="E104" s="122" t="str">
        <f>VLOOKUP(D104,'MPG Payment '!$E$3:$G$498218,2,0)</f>
        <v>Ghorpithiya - Vikas</v>
      </c>
      <c r="F104" s="146">
        <f>IFERROR(_xlfn.XLOOKUP(D104,'Monthly Deduction'!$I$3:$I$957,'Monthly Deduction'!$H$3:$H$957),0)</f>
        <v>0</v>
      </c>
      <c r="G104" s="123" t="str">
        <f>VLOOKUP(D104,'MPG Payment '!$E$3:$G$334579,3,0)</f>
        <v>vlc</v>
      </c>
      <c r="H104" s="124" t="str">
        <f>VLOOKUP(D104,'MPG Payment '!$E$3:$H$334579,4,0)</f>
        <v>Indirect</v>
      </c>
      <c r="I104" s="88">
        <f>INDEX('MPG Payment '!$C:$C,MATCH('Shayak Income '!D104,'MPG Payment '!E:E,0))</f>
        <v>1003</v>
      </c>
      <c r="J104" s="88" t="str">
        <f>INDEX('MPG Payment '!$D:$D,MATCH('Shayak Income '!D104,'MPG Payment '!E:E,0))</f>
        <v>Asarganj</v>
      </c>
      <c r="K104" s="125" t="s">
        <v>1322</v>
      </c>
      <c r="L104" s="125">
        <v>45212</v>
      </c>
      <c r="M104" s="126">
        <f>SUMIF('MPG Payment '!$E$3:$E$34579,'Shayak Income '!D104,'MPG Payment '!$I$3:$I$34579)</f>
        <v>2536.4500000000003</v>
      </c>
      <c r="N104" s="126">
        <f>SUMIF('MPG Payment '!$E$3:$E$34579,'Shayak Income '!D104,'MPG Payment '!$J$3:$J$34579)</f>
        <v>101691.76240947499</v>
      </c>
      <c r="O104" s="126">
        <f t="shared" si="30"/>
        <v>1902.3375000000001</v>
      </c>
      <c r="P104" s="126">
        <f t="shared" si="31"/>
        <v>2409.6275000000001</v>
      </c>
      <c r="Q104" s="126">
        <f>SUMIF('MPG Payment '!$E$3:$E$34579,'Shayak Income '!D104,'MPG Payment '!$S$3:$S$34579)</f>
        <v>0</v>
      </c>
      <c r="R104" s="126">
        <f t="shared" si="21"/>
        <v>3050.7528722842499</v>
      </c>
      <c r="S104" s="126">
        <f t="shared" si="22"/>
        <v>641.12537228424981</v>
      </c>
      <c r="T104" s="126">
        <f t="shared" si="32"/>
        <v>253.64500000000004</v>
      </c>
      <c r="U104" s="127">
        <f>(((IF(K104="New",0,SUMIF('MPG Payment '!$E$3:$E$34579,'Shayak Income '!D104,'MPG Payment '!$AC$3:$AC$34579))))+0)+0</f>
        <v>495.78792476361014</v>
      </c>
      <c r="V104" s="127">
        <f t="shared" si="33"/>
        <v>3563</v>
      </c>
      <c r="W104" s="19">
        <f t="shared" si="34"/>
        <v>0</v>
      </c>
      <c r="X104" s="19">
        <f t="shared" si="23"/>
        <v>0</v>
      </c>
      <c r="Y104" s="128">
        <f>IFERROR(VLOOKUP(D104,'Monthly Deduction'!$M$2:$N$64,2,0),0)</f>
        <v>0</v>
      </c>
      <c r="Z104" s="128">
        <v>0</v>
      </c>
      <c r="AA104" s="126">
        <f>IFERROR(VLOOKUP(D104,'Monthly Deduction'!A:B,2,0),0)</f>
        <v>0</v>
      </c>
      <c r="AB104" s="129">
        <f t="shared" si="24"/>
        <v>3563</v>
      </c>
      <c r="AC104" s="130">
        <v>0</v>
      </c>
      <c r="AD104" s="35">
        <f t="shared" si="36"/>
        <v>3563</v>
      </c>
      <c r="AE104" s="166" t="str">
        <f t="shared" si="37"/>
        <v>Release</v>
      </c>
      <c r="AF104" s="127"/>
      <c r="AG104" s="18">
        <v>0</v>
      </c>
      <c r="AH104" s="215"/>
      <c r="AI104" s="238">
        <v>0</v>
      </c>
      <c r="AJ104" s="132"/>
      <c r="AK104" s="151">
        <v>354.79999999999995</v>
      </c>
      <c r="AL104" s="154">
        <f t="shared" si="25"/>
        <v>0</v>
      </c>
      <c r="AM104" s="155"/>
      <c r="AN104" s="19">
        <f t="shared" si="26"/>
        <v>0</v>
      </c>
      <c r="AO104" s="118">
        <f>SUMIF('MPG Payment '!E:E,'Shayak Income '!D104,'MPG Payment '!AJ:AJ)</f>
        <v>0</v>
      </c>
      <c r="AP104" s="19">
        <f t="shared" si="27"/>
        <v>0</v>
      </c>
      <c r="AQ104" s="119">
        <f t="shared" si="38"/>
        <v>0</v>
      </c>
      <c r="AR104" s="91"/>
      <c r="AS104" s="91">
        <f t="shared" si="28"/>
        <v>0</v>
      </c>
      <c r="AT104" s="118"/>
      <c r="AU104" s="118"/>
      <c r="AV104" s="118"/>
    </row>
    <row r="105" spans="1:48" s="20" customFormat="1" x14ac:dyDescent="0.25">
      <c r="A105" s="17">
        <f>IFERROR(VLOOKUP(D105,'Monthly Deduction'!$I$3:$J$957,2,0),0)</f>
        <v>0</v>
      </c>
      <c r="B105" s="17">
        <f>IFERROR(VLOOKUP(D105,'Monthly Deduction'!$E$3:$F$957,2,0),0)</f>
        <v>0</v>
      </c>
      <c r="C105" s="17">
        <f t="shared" si="29"/>
        <v>0</v>
      </c>
      <c r="D105" s="41">
        <v>10030041</v>
      </c>
      <c r="E105" s="122" t="str">
        <f>VLOOKUP(D105,'MPG Payment '!$E$3:$G$498218,2,0)</f>
        <v>Akbarnagar - Rakhi</v>
      </c>
      <c r="F105" s="146">
        <f>IFERROR(_xlfn.XLOOKUP(D105,'Monthly Deduction'!$I$3:$I$957,'Monthly Deduction'!$H$3:$H$957),0)</f>
        <v>0</v>
      </c>
      <c r="G105" s="123" t="str">
        <f>VLOOKUP(D105,'MPG Payment '!$E$3:$G$334579,3,0)</f>
        <v>vlc</v>
      </c>
      <c r="H105" s="124" t="str">
        <f>VLOOKUP(D105,'MPG Payment '!$E$3:$H$334579,4,0)</f>
        <v>Indirect</v>
      </c>
      <c r="I105" s="88">
        <f>INDEX('MPG Payment '!$C:$C,MATCH('Shayak Income '!D105,'MPG Payment '!E:E,0))</f>
        <v>1003</v>
      </c>
      <c r="J105" s="88" t="str">
        <f>INDEX('MPG Payment '!$D:$D,MATCH('Shayak Income '!D105,'MPG Payment '!E:E,0))</f>
        <v>Asarganj</v>
      </c>
      <c r="K105" s="125" t="s">
        <v>1322</v>
      </c>
      <c r="L105" s="125">
        <v>45212</v>
      </c>
      <c r="M105" s="126">
        <f>SUMIF('MPG Payment '!$E$3:$E$34579,'Shayak Income '!D105,'MPG Payment '!$I$3:$I$34579)</f>
        <v>4665.45</v>
      </c>
      <c r="N105" s="126">
        <f>SUMIF('MPG Payment '!$E$3:$E$34579,'Shayak Income '!D105,'MPG Payment '!$J$3:$J$34579)</f>
        <v>174375.74207923003</v>
      </c>
      <c r="O105" s="126">
        <f t="shared" si="30"/>
        <v>3499.0874999999996</v>
      </c>
      <c r="P105" s="126">
        <f t="shared" si="31"/>
        <v>4432.1774999999998</v>
      </c>
      <c r="Q105" s="126">
        <f>SUMIF('MPG Payment '!$E$3:$E$34579,'Shayak Income '!D105,'MPG Payment '!$S$3:$S$34579)</f>
        <v>0</v>
      </c>
      <c r="R105" s="126">
        <f t="shared" si="21"/>
        <v>5231.2722623769005</v>
      </c>
      <c r="S105" s="126">
        <f t="shared" si="22"/>
        <v>799.09476237690069</v>
      </c>
      <c r="T105" s="126">
        <f t="shared" si="32"/>
        <v>466.54500000000002</v>
      </c>
      <c r="U105" s="127">
        <f>(((IF(K105="New",0,SUMIF('MPG Payment '!$E$3:$E$34579,'Shayak Income '!D105,'MPG Payment '!$AC$3:$AC$34579))))+0)+0</f>
        <v>0</v>
      </c>
      <c r="V105" s="127">
        <f t="shared" si="33"/>
        <v>7465</v>
      </c>
      <c r="W105" s="19">
        <f t="shared" si="34"/>
        <v>0</v>
      </c>
      <c r="X105" s="19">
        <f t="shared" si="23"/>
        <v>0</v>
      </c>
      <c r="Y105" s="128">
        <f>IFERROR(VLOOKUP(D105,'Monthly Deduction'!$M$2:$N$64,2,0),0)</f>
        <v>0</v>
      </c>
      <c r="Z105" s="128">
        <v>0</v>
      </c>
      <c r="AA105" s="126">
        <f>IFERROR(VLOOKUP(D105,'Monthly Deduction'!A:B,2,0),0)</f>
        <v>0</v>
      </c>
      <c r="AB105" s="129">
        <f t="shared" si="24"/>
        <v>7465</v>
      </c>
      <c r="AC105" s="130">
        <v>0</v>
      </c>
      <c r="AD105" s="35">
        <f t="shared" si="36"/>
        <v>7465</v>
      </c>
      <c r="AE105" s="166" t="str">
        <f t="shared" si="37"/>
        <v>Release</v>
      </c>
      <c r="AF105" s="127"/>
      <c r="AG105" s="18">
        <v>0</v>
      </c>
      <c r="AH105" s="120"/>
      <c r="AI105" s="238">
        <v>0</v>
      </c>
      <c r="AJ105" s="132"/>
      <c r="AK105" s="151">
        <v>1152.95</v>
      </c>
      <c r="AL105" s="154">
        <f t="shared" si="25"/>
        <v>0</v>
      </c>
      <c r="AM105" s="155"/>
      <c r="AN105" s="19">
        <f t="shared" si="26"/>
        <v>0</v>
      </c>
      <c r="AO105" s="118">
        <f>SUMIF('MPG Payment '!E:E,'Shayak Income '!D105,'MPG Payment '!AJ:AJ)</f>
        <v>0</v>
      </c>
      <c r="AP105" s="19">
        <f t="shared" si="27"/>
        <v>0</v>
      </c>
      <c r="AQ105" s="119">
        <f t="shared" si="38"/>
        <v>0</v>
      </c>
      <c r="AR105" s="91" t="s">
        <v>1168</v>
      </c>
      <c r="AS105" s="91">
        <f t="shared" si="28"/>
        <v>0</v>
      </c>
      <c r="AT105" s="118"/>
      <c r="AU105" s="118"/>
      <c r="AV105" s="118"/>
    </row>
    <row r="106" spans="1:48" s="20" customFormat="1" x14ac:dyDescent="0.25">
      <c r="A106" s="17">
        <f>IFERROR(VLOOKUP(D106,'Monthly Deduction'!$I$3:$J$957,2,0),0)</f>
        <v>0</v>
      </c>
      <c r="B106" s="17">
        <f>IFERROR(VLOOKUP(D106,'Monthly Deduction'!$E$3:$F$957,2,0),0)</f>
        <v>0</v>
      </c>
      <c r="C106" s="17">
        <f t="shared" si="29"/>
        <v>0</v>
      </c>
      <c r="D106" s="41">
        <v>10030042</v>
      </c>
      <c r="E106" s="122" t="str">
        <f>VLOOKUP(D106,'MPG Payment '!$E$3:$G$498218,2,0)</f>
        <v>Maheshi - Chamcham</v>
      </c>
      <c r="F106" s="146">
        <f>IFERROR(_xlfn.XLOOKUP(D106,'Monthly Deduction'!$I$3:$I$957,'Monthly Deduction'!$H$3:$H$957),0)</f>
        <v>0</v>
      </c>
      <c r="G106" s="123" t="str">
        <f>VLOOKUP(D106,'MPG Payment '!$E$3:$G$334579,3,0)</f>
        <v>vlc</v>
      </c>
      <c r="H106" s="124" t="str">
        <f>VLOOKUP(D106,'MPG Payment '!$E$3:$H$334579,4,0)</f>
        <v>Indirect</v>
      </c>
      <c r="I106" s="88">
        <f>INDEX('MPG Payment '!$C:$C,MATCH('Shayak Income '!D106,'MPG Payment '!E:E,0))</f>
        <v>1003</v>
      </c>
      <c r="J106" s="88" t="str">
        <f>INDEX('MPG Payment '!$D:$D,MATCH('Shayak Income '!D106,'MPG Payment '!E:E,0))</f>
        <v>Asarganj</v>
      </c>
      <c r="K106" s="125" t="s">
        <v>1322</v>
      </c>
      <c r="L106" s="125">
        <v>45212</v>
      </c>
      <c r="M106" s="126">
        <f>SUMIF('MPG Payment '!$E$3:$E$34579,'Shayak Income '!D106,'MPG Payment '!$I$3:$I$34579)</f>
        <v>3000</v>
      </c>
      <c r="N106" s="126">
        <f>SUMIF('MPG Payment '!$E$3:$E$34579,'Shayak Income '!D106,'MPG Payment '!$J$3:$J$34579)</f>
        <v>111981.66902</v>
      </c>
      <c r="O106" s="126">
        <f t="shared" si="30"/>
        <v>2250</v>
      </c>
      <c r="P106" s="126">
        <f t="shared" si="31"/>
        <v>2850</v>
      </c>
      <c r="Q106" s="126">
        <f>SUMIF('MPG Payment '!$E$3:$E$34579,'Shayak Income '!D106,'MPG Payment '!$S$3:$S$34579)</f>
        <v>0</v>
      </c>
      <c r="R106" s="126">
        <f t="shared" si="21"/>
        <v>3359.4500705999999</v>
      </c>
      <c r="S106" s="126">
        <f t="shared" si="22"/>
        <v>509.45007059999989</v>
      </c>
      <c r="T106" s="126">
        <f t="shared" si="32"/>
        <v>300</v>
      </c>
      <c r="U106" s="127">
        <f>(((IF(K106="New",0,SUMIF('MPG Payment '!$E$3:$E$34579,'Shayak Income '!D106,'MPG Payment '!$AC$3:$AC$34579))))+0)+0</f>
        <v>0</v>
      </c>
      <c r="V106" s="127">
        <f t="shared" si="33"/>
        <v>4800</v>
      </c>
      <c r="W106" s="19">
        <f t="shared" si="34"/>
        <v>0</v>
      </c>
      <c r="X106" s="19">
        <f t="shared" si="23"/>
        <v>0</v>
      </c>
      <c r="Y106" s="128">
        <f>IFERROR(VLOOKUP(D106,'Monthly Deduction'!$M$2:$N$64,2,0),0)</f>
        <v>0</v>
      </c>
      <c r="Z106" s="128">
        <v>0</v>
      </c>
      <c r="AA106" s="126">
        <f>IFERROR(VLOOKUP(D106,'Monthly Deduction'!A:B,2,0),0)</f>
        <v>0</v>
      </c>
      <c r="AB106" s="129">
        <f t="shared" si="24"/>
        <v>4800</v>
      </c>
      <c r="AC106" s="130">
        <v>0</v>
      </c>
      <c r="AD106" s="35">
        <f t="shared" si="36"/>
        <v>4800</v>
      </c>
      <c r="AE106" s="166" t="str">
        <f t="shared" si="37"/>
        <v>Release</v>
      </c>
      <c r="AF106" s="127"/>
      <c r="AG106" s="18">
        <v>0</v>
      </c>
      <c r="AH106" s="120"/>
      <c r="AI106" s="238">
        <v>0</v>
      </c>
      <c r="AJ106" s="132"/>
      <c r="AK106" s="151">
        <v>800</v>
      </c>
      <c r="AL106" s="154">
        <f t="shared" si="25"/>
        <v>0</v>
      </c>
      <c r="AM106" s="155"/>
      <c r="AN106" s="19">
        <f t="shared" si="26"/>
        <v>0</v>
      </c>
      <c r="AO106" s="118">
        <f>SUMIF('MPG Payment '!E:E,'Shayak Income '!D106,'MPG Payment '!AJ:AJ)</f>
        <v>0</v>
      </c>
      <c r="AP106" s="19">
        <f t="shared" si="27"/>
        <v>0</v>
      </c>
      <c r="AQ106" s="119">
        <f t="shared" si="38"/>
        <v>0</v>
      </c>
      <c r="AR106" s="91" t="s">
        <v>1168</v>
      </c>
      <c r="AS106" s="91">
        <f t="shared" si="28"/>
        <v>0</v>
      </c>
      <c r="AT106" s="118"/>
      <c r="AU106" s="118"/>
      <c r="AV106" s="118"/>
    </row>
    <row r="107" spans="1:48" s="20" customFormat="1" x14ac:dyDescent="0.25">
      <c r="A107" s="17">
        <f>IFERROR(VLOOKUP(D107,'Monthly Deduction'!$I$3:$J$957,2,0),0)</f>
        <v>0</v>
      </c>
      <c r="B107" s="17">
        <f>IFERROR(VLOOKUP(D107,'Monthly Deduction'!$E$3:$F$957,2,0),0)</f>
        <v>0</v>
      </c>
      <c r="C107" s="17">
        <f t="shared" si="29"/>
        <v>0</v>
      </c>
      <c r="D107" s="41">
        <v>10030043</v>
      </c>
      <c r="E107" s="122" t="str">
        <f>VLOOKUP(D107,'MPG Payment '!$E$3:$G$498218,2,0)</f>
        <v>Ghorpithiya - Dheeraj</v>
      </c>
      <c r="F107" s="146">
        <f>IFERROR(_xlfn.XLOOKUP(D107,'Monthly Deduction'!$I$3:$I$957,'Monthly Deduction'!$H$3:$H$957),0)</f>
        <v>0</v>
      </c>
      <c r="G107" s="123" t="str">
        <f>VLOOKUP(D107,'MPG Payment '!$E$3:$G$334579,3,0)</f>
        <v>vlc</v>
      </c>
      <c r="H107" s="124" t="str">
        <f>VLOOKUP(D107,'MPG Payment '!$E$3:$H$334579,4,0)</f>
        <v>Indirect</v>
      </c>
      <c r="I107" s="88">
        <f>INDEX('MPG Payment '!$C:$C,MATCH('Shayak Income '!D107,'MPG Payment '!E:E,0))</f>
        <v>1003</v>
      </c>
      <c r="J107" s="88" t="str">
        <f>INDEX('MPG Payment '!$D:$D,MATCH('Shayak Income '!D107,'MPG Payment '!E:E,0))</f>
        <v>Asarganj</v>
      </c>
      <c r="K107" s="125" t="s">
        <v>1322</v>
      </c>
      <c r="L107" s="125">
        <v>45212</v>
      </c>
      <c r="M107" s="126">
        <f>SUMIF('MPG Payment '!$E$3:$E$34579,'Shayak Income '!D107,'MPG Payment '!$I$3:$I$34579)</f>
        <v>37267.199999999997</v>
      </c>
      <c r="N107" s="126">
        <f>SUMIF('MPG Payment '!$E$3:$E$34579,'Shayak Income '!D107,'MPG Payment '!$J$3:$J$34579)</f>
        <v>1415738.6164927999</v>
      </c>
      <c r="O107" s="126">
        <f t="shared" si="30"/>
        <v>27950.399999999998</v>
      </c>
      <c r="P107" s="126">
        <f t="shared" si="31"/>
        <v>35403.839999999997</v>
      </c>
      <c r="Q107" s="126">
        <f>SUMIF('MPG Payment '!$E$3:$E$34579,'Shayak Income '!D107,'MPG Payment '!$S$3:$S$34579)</f>
        <v>0</v>
      </c>
      <c r="R107" s="126">
        <f t="shared" si="21"/>
        <v>42472.158494783995</v>
      </c>
      <c r="S107" s="126">
        <f t="shared" si="22"/>
        <v>7068.3184947839982</v>
      </c>
      <c r="T107" s="126">
        <f t="shared" si="32"/>
        <v>3726.72</v>
      </c>
      <c r="U107" s="127">
        <f>(((IF(K107="New",0,SUMIF('MPG Payment '!$E$3:$E$34579,'Shayak Income '!D107,'MPG Payment '!$AC$3:$AC$34579))))+0)+0</f>
        <v>0</v>
      </c>
      <c r="V107" s="127">
        <f t="shared" si="33"/>
        <v>59628</v>
      </c>
      <c r="W107" s="19">
        <f t="shared" si="34"/>
        <v>0</v>
      </c>
      <c r="X107" s="19">
        <f t="shared" si="23"/>
        <v>0</v>
      </c>
      <c r="Y107" s="128">
        <f>IFERROR(VLOOKUP(D107,'Monthly Deduction'!$M$2:$N$64,2,0),0)</f>
        <v>0</v>
      </c>
      <c r="Z107" s="128">
        <v>0</v>
      </c>
      <c r="AA107" s="126">
        <f>IFERROR(VLOOKUP(D107,'Monthly Deduction'!A:B,2,0),0)</f>
        <v>0</v>
      </c>
      <c r="AB107" s="129">
        <f t="shared" si="24"/>
        <v>59628</v>
      </c>
      <c r="AC107" s="130">
        <v>0</v>
      </c>
      <c r="AD107" s="35">
        <f t="shared" si="36"/>
        <v>59628</v>
      </c>
      <c r="AE107" s="166" t="str">
        <f t="shared" si="37"/>
        <v>Release</v>
      </c>
      <c r="AF107" s="127"/>
      <c r="AG107" s="18">
        <v>0</v>
      </c>
      <c r="AH107" s="120"/>
      <c r="AI107" s="238">
        <v>0</v>
      </c>
      <c r="AJ107" s="132"/>
      <c r="AK107" s="151">
        <v>10130</v>
      </c>
      <c r="AL107" s="154">
        <f t="shared" si="25"/>
        <v>0</v>
      </c>
      <c r="AM107" s="155"/>
      <c r="AN107" s="19">
        <f t="shared" si="26"/>
        <v>0</v>
      </c>
      <c r="AO107" s="118">
        <f>SUMIF('MPG Payment '!E:E,'Shayak Income '!D107,'MPG Payment '!AJ:AJ)</f>
        <v>0</v>
      </c>
      <c r="AP107" s="19">
        <f t="shared" si="27"/>
        <v>0</v>
      </c>
      <c r="AQ107" s="119">
        <f t="shared" si="38"/>
        <v>0</v>
      </c>
      <c r="AR107" s="91" t="s">
        <v>1168</v>
      </c>
      <c r="AS107" s="91">
        <f t="shared" si="28"/>
        <v>0</v>
      </c>
      <c r="AT107" s="118"/>
      <c r="AU107" s="118"/>
      <c r="AV107" s="118"/>
    </row>
    <row r="108" spans="1:48" s="20" customFormat="1" x14ac:dyDescent="0.25">
      <c r="A108" s="17">
        <f>IFERROR(VLOOKUP(D108,'Monthly Deduction'!$I$3:$J$957,2,0),0)</f>
        <v>0</v>
      </c>
      <c r="B108" s="17">
        <f>IFERROR(VLOOKUP(D108,'Monthly Deduction'!$E$3:$F$957,2,0),0)</f>
        <v>0</v>
      </c>
      <c r="C108" s="17">
        <f t="shared" si="29"/>
        <v>0</v>
      </c>
      <c r="D108" s="41">
        <v>10030044</v>
      </c>
      <c r="E108" s="122" t="str">
        <f>VLOOKUP(D108,'MPG Payment '!$E$3:$G$498218,2,0)</f>
        <v>Asarganj Chhotki Tola - Akash</v>
      </c>
      <c r="F108" s="146">
        <f>IFERROR(_xlfn.XLOOKUP(D108,'Monthly Deduction'!$I$3:$I$957,'Monthly Deduction'!$H$3:$H$957),0)</f>
        <v>0</v>
      </c>
      <c r="G108" s="123" t="str">
        <f>VLOOKUP(D108,'MPG Payment '!$E$3:$G$334579,3,0)</f>
        <v>vlc</v>
      </c>
      <c r="H108" s="124" t="str">
        <f>VLOOKUP(D108,'MPG Payment '!$E$3:$H$334579,4,0)</f>
        <v>Indirect</v>
      </c>
      <c r="I108" s="88">
        <f>INDEX('MPG Payment '!$C:$C,MATCH('Shayak Income '!D108,'MPG Payment '!E:E,0))</f>
        <v>1003</v>
      </c>
      <c r="J108" s="88" t="str">
        <f>INDEX('MPG Payment '!$D:$D,MATCH('Shayak Income '!D108,'MPG Payment '!E:E,0))</f>
        <v>Asarganj</v>
      </c>
      <c r="K108" s="125" t="s">
        <v>1322</v>
      </c>
      <c r="L108" s="125">
        <v>45212</v>
      </c>
      <c r="M108" s="126">
        <f>SUMIF('MPG Payment '!$E$3:$E$34579,'Shayak Income '!D108,'MPG Payment '!$I$3:$I$34579)</f>
        <v>37425</v>
      </c>
      <c r="N108" s="126">
        <f>SUMIF('MPG Payment '!$E$3:$E$34579,'Shayak Income '!D108,'MPG Payment '!$J$3:$J$34579)</f>
        <v>1421458.2564928001</v>
      </c>
      <c r="O108" s="126">
        <f t="shared" si="30"/>
        <v>28068.75</v>
      </c>
      <c r="P108" s="126">
        <f t="shared" si="31"/>
        <v>35553.75</v>
      </c>
      <c r="Q108" s="126">
        <f>SUMIF('MPG Payment '!$E$3:$E$34579,'Shayak Income '!D108,'MPG Payment '!$S$3:$S$34579)</f>
        <v>0</v>
      </c>
      <c r="R108" s="126">
        <f t="shared" si="21"/>
        <v>42643.747694784004</v>
      </c>
      <c r="S108" s="126">
        <f t="shared" si="22"/>
        <v>7089.9976947840041</v>
      </c>
      <c r="T108" s="126">
        <f t="shared" si="32"/>
        <v>3742.5</v>
      </c>
      <c r="U108" s="127">
        <f>(((IF(K108="New",0,SUMIF('MPG Payment '!$E$3:$E$34579,'Shayak Income '!D108,'MPG Payment '!$AC$3:$AC$34579))))+0)+0</f>
        <v>0</v>
      </c>
      <c r="V108" s="127">
        <f t="shared" si="33"/>
        <v>59880</v>
      </c>
      <c r="W108" s="19">
        <f t="shared" si="34"/>
        <v>0</v>
      </c>
      <c r="X108" s="19">
        <f t="shared" si="23"/>
        <v>0</v>
      </c>
      <c r="Y108" s="128">
        <f>IFERROR(VLOOKUP(D108,'Monthly Deduction'!$M$2:$N$64,2,0),0)</f>
        <v>0</v>
      </c>
      <c r="Z108" s="128">
        <v>0</v>
      </c>
      <c r="AA108" s="126">
        <f>IFERROR(VLOOKUP(D108,'Monthly Deduction'!A:B,2,0),0)</f>
        <v>0</v>
      </c>
      <c r="AB108" s="129">
        <f t="shared" si="24"/>
        <v>59880</v>
      </c>
      <c r="AC108" s="130">
        <v>0</v>
      </c>
      <c r="AD108" s="35">
        <f t="shared" si="36"/>
        <v>59880</v>
      </c>
      <c r="AE108" s="166" t="str">
        <f t="shared" si="37"/>
        <v>Release</v>
      </c>
      <c r="AF108" s="127"/>
      <c r="AG108" s="18">
        <v>0</v>
      </c>
      <c r="AH108" s="120"/>
      <c r="AI108" s="238">
        <v>0</v>
      </c>
      <c r="AJ108" s="132"/>
      <c r="AK108" s="151">
        <v>10130</v>
      </c>
      <c r="AL108" s="154">
        <f t="shared" si="25"/>
        <v>0</v>
      </c>
      <c r="AM108" s="155"/>
      <c r="AN108" s="19">
        <f t="shared" si="26"/>
        <v>0</v>
      </c>
      <c r="AO108" s="118">
        <f>SUMIF('MPG Payment '!E:E,'Shayak Income '!D108,'MPG Payment '!AJ:AJ)</f>
        <v>0</v>
      </c>
      <c r="AP108" s="19">
        <f t="shared" si="27"/>
        <v>0</v>
      </c>
      <c r="AQ108" s="119">
        <f t="shared" si="38"/>
        <v>0</v>
      </c>
      <c r="AR108" s="91" t="s">
        <v>1168</v>
      </c>
      <c r="AS108" s="91">
        <f t="shared" si="28"/>
        <v>0</v>
      </c>
      <c r="AT108" s="118"/>
      <c r="AU108" s="118"/>
      <c r="AV108" s="118"/>
    </row>
    <row r="109" spans="1:48" s="20" customFormat="1" x14ac:dyDescent="0.25">
      <c r="A109" s="17">
        <f>IFERROR(VLOOKUP(D109,'Monthly Deduction'!$I$3:$J$957,2,0),0)</f>
        <v>0</v>
      </c>
      <c r="B109" s="17">
        <f>IFERROR(VLOOKUP(D109,'Monthly Deduction'!$E$3:$F$957,2,0),0)</f>
        <v>0</v>
      </c>
      <c r="C109" s="17">
        <f t="shared" si="29"/>
        <v>0</v>
      </c>
      <c r="D109" s="41">
        <v>10030045</v>
      </c>
      <c r="E109" s="122" t="str">
        <f>VLOOKUP(D109,'MPG Payment '!$E$3:$G$498218,2,0)</f>
        <v>Manikpur - Golu</v>
      </c>
      <c r="F109" s="146">
        <f>IFERROR(_xlfn.XLOOKUP(D109,'Monthly Deduction'!$I$3:$I$957,'Monthly Deduction'!$H$3:$H$957),0)</f>
        <v>0</v>
      </c>
      <c r="G109" s="123" t="str">
        <f>VLOOKUP(D109,'MPG Payment '!$E$3:$G$334579,3,0)</f>
        <v>vlc</v>
      </c>
      <c r="H109" s="124" t="str">
        <f>VLOOKUP(D109,'MPG Payment '!$E$3:$H$334579,4,0)</f>
        <v>Indirect</v>
      </c>
      <c r="I109" s="88">
        <f>INDEX('MPG Payment '!$C:$C,MATCH('Shayak Income '!D109,'MPG Payment '!E:E,0))</f>
        <v>1003</v>
      </c>
      <c r="J109" s="88" t="str">
        <f>INDEX('MPG Payment '!$D:$D,MATCH('Shayak Income '!D109,'MPG Payment '!E:E,0))</f>
        <v>Asarganj</v>
      </c>
      <c r="K109" s="125" t="s">
        <v>1322</v>
      </c>
      <c r="L109" s="125">
        <v>45212</v>
      </c>
      <c r="M109" s="126">
        <f>SUMIF('MPG Payment '!$E$3:$E$34579,'Shayak Income '!D109,'MPG Payment '!$I$3:$I$34579)</f>
        <v>3000</v>
      </c>
      <c r="N109" s="126">
        <f>SUMIF('MPG Payment '!$E$3:$E$34579,'Shayak Income '!D109,'MPG Payment '!$J$3:$J$34579)</f>
        <v>111981.66902</v>
      </c>
      <c r="O109" s="126">
        <f t="shared" si="30"/>
        <v>2250</v>
      </c>
      <c r="P109" s="126">
        <f t="shared" si="31"/>
        <v>2850</v>
      </c>
      <c r="Q109" s="126">
        <f>SUMIF('MPG Payment '!$E$3:$E$34579,'Shayak Income '!D109,'MPG Payment '!$S$3:$S$34579)</f>
        <v>0</v>
      </c>
      <c r="R109" s="126">
        <f t="shared" si="21"/>
        <v>3359.4500705999999</v>
      </c>
      <c r="S109" s="126">
        <f t="shared" si="22"/>
        <v>509.45007059999989</v>
      </c>
      <c r="T109" s="126">
        <f t="shared" si="32"/>
        <v>300</v>
      </c>
      <c r="U109" s="127">
        <f>(((IF(K109="New",0,SUMIF('MPG Payment '!$E$3:$E$34579,'Shayak Income '!D109,'MPG Payment '!$AC$3:$AC$34579))))+0)+0</f>
        <v>0</v>
      </c>
      <c r="V109" s="127">
        <f t="shared" si="33"/>
        <v>4800</v>
      </c>
      <c r="W109" s="19">
        <f t="shared" si="34"/>
        <v>0</v>
      </c>
      <c r="X109" s="19">
        <f t="shared" si="23"/>
        <v>0</v>
      </c>
      <c r="Y109" s="128">
        <f>IFERROR(VLOOKUP(D109,'Monthly Deduction'!$M$2:$N$64,2,0),0)</f>
        <v>0</v>
      </c>
      <c r="Z109" s="128">
        <v>0</v>
      </c>
      <c r="AA109" s="126">
        <f>IFERROR(VLOOKUP(D109,'Monthly Deduction'!A:B,2,0),0)</f>
        <v>0</v>
      </c>
      <c r="AB109" s="129">
        <f t="shared" si="24"/>
        <v>4800</v>
      </c>
      <c r="AC109" s="130">
        <v>0</v>
      </c>
      <c r="AD109" s="35">
        <f t="shared" si="36"/>
        <v>4800</v>
      </c>
      <c r="AE109" s="166" t="str">
        <f t="shared" si="37"/>
        <v>Release</v>
      </c>
      <c r="AF109" s="127"/>
      <c r="AG109" s="18">
        <v>0</v>
      </c>
      <c r="AH109" s="120"/>
      <c r="AI109" s="238">
        <v>0</v>
      </c>
      <c r="AJ109" s="132"/>
      <c r="AK109" s="151">
        <v>800</v>
      </c>
      <c r="AL109" s="154">
        <f t="shared" si="25"/>
        <v>0</v>
      </c>
      <c r="AM109" s="155"/>
      <c r="AN109" s="19">
        <f t="shared" si="26"/>
        <v>0</v>
      </c>
      <c r="AO109" s="118">
        <f>SUMIF('MPG Payment '!E:E,'Shayak Income '!D109,'MPG Payment '!AJ:AJ)</f>
        <v>0</v>
      </c>
      <c r="AP109" s="19">
        <f t="shared" si="27"/>
        <v>0</v>
      </c>
      <c r="AQ109" s="119">
        <f t="shared" si="38"/>
        <v>0</v>
      </c>
      <c r="AR109" s="91" t="s">
        <v>1168</v>
      </c>
      <c r="AS109" s="91">
        <f t="shared" si="28"/>
        <v>0</v>
      </c>
      <c r="AT109" s="118"/>
      <c r="AU109" s="118"/>
      <c r="AV109" s="118"/>
    </row>
    <row r="110" spans="1:48" s="20" customFormat="1" x14ac:dyDescent="0.25">
      <c r="A110" s="17">
        <f>IFERROR(VLOOKUP(D110,'Monthly Deduction'!$I$3:$J$957,2,0),0)</f>
        <v>0</v>
      </c>
      <c r="B110" s="17">
        <f>IFERROR(VLOOKUP(D110,'Monthly Deduction'!$E$3:$F$957,2,0),0)</f>
        <v>0</v>
      </c>
      <c r="C110" s="17">
        <f t="shared" si="29"/>
        <v>0</v>
      </c>
      <c r="D110" s="41">
        <v>10030046</v>
      </c>
      <c r="E110" s="122" t="str">
        <f>VLOOKUP(D110,'MPG Payment '!$E$3:$G$498218,2,0)</f>
        <v>Rangaon - Jayram</v>
      </c>
      <c r="F110" s="146">
        <f>IFERROR(_xlfn.XLOOKUP(D110,'Monthly Deduction'!$I$3:$I$957,'Monthly Deduction'!$H$3:$H$957),0)</f>
        <v>0</v>
      </c>
      <c r="G110" s="123" t="str">
        <f>VLOOKUP(D110,'MPG Payment '!$E$3:$G$334579,3,0)</f>
        <v>vlc</v>
      </c>
      <c r="H110" s="124" t="str">
        <f>VLOOKUP(D110,'MPG Payment '!$E$3:$H$334579,4,0)</f>
        <v>Indirect</v>
      </c>
      <c r="I110" s="88">
        <f>INDEX('MPG Payment '!$C:$C,MATCH('Shayak Income '!D110,'MPG Payment '!E:E,0))</f>
        <v>1003</v>
      </c>
      <c r="J110" s="88" t="str">
        <f>INDEX('MPG Payment '!$D:$D,MATCH('Shayak Income '!D110,'MPG Payment '!E:E,0))</f>
        <v>Asarganj</v>
      </c>
      <c r="K110" s="125" t="s">
        <v>1322</v>
      </c>
      <c r="L110" s="125">
        <v>45212</v>
      </c>
      <c r="M110" s="126">
        <f>SUMIF('MPG Payment '!$E$3:$E$34579,'Shayak Income '!D110,'MPG Payment '!$I$3:$I$34579)</f>
        <v>3000</v>
      </c>
      <c r="N110" s="126">
        <f>SUMIF('MPG Payment '!$E$3:$E$34579,'Shayak Income '!D110,'MPG Payment '!$J$3:$J$34579)</f>
        <v>111981.66902</v>
      </c>
      <c r="O110" s="126">
        <f t="shared" si="30"/>
        <v>2250</v>
      </c>
      <c r="P110" s="126">
        <f t="shared" si="31"/>
        <v>2850</v>
      </c>
      <c r="Q110" s="126">
        <f>SUMIF('MPG Payment '!$E$3:$E$34579,'Shayak Income '!D110,'MPG Payment '!$S$3:$S$34579)</f>
        <v>0</v>
      </c>
      <c r="R110" s="126">
        <f t="shared" si="21"/>
        <v>3359.4500705999999</v>
      </c>
      <c r="S110" s="126">
        <f t="shared" si="22"/>
        <v>509.45007059999989</v>
      </c>
      <c r="T110" s="126">
        <f t="shared" si="32"/>
        <v>300</v>
      </c>
      <c r="U110" s="127">
        <f>(((IF(K110="New",0,SUMIF('MPG Payment '!$E$3:$E$34579,'Shayak Income '!D110,'MPG Payment '!$AC$3:$AC$34579))))+0)+0</f>
        <v>0</v>
      </c>
      <c r="V110" s="127">
        <f t="shared" si="33"/>
        <v>4800</v>
      </c>
      <c r="W110" s="19">
        <f t="shared" si="34"/>
        <v>0</v>
      </c>
      <c r="X110" s="19">
        <f t="shared" si="23"/>
        <v>0</v>
      </c>
      <c r="Y110" s="128">
        <f>IFERROR(VLOOKUP(D110,'Monthly Deduction'!$M$2:$N$64,2,0),0)</f>
        <v>0</v>
      </c>
      <c r="Z110" s="128">
        <v>0</v>
      </c>
      <c r="AA110" s="126">
        <f>IFERROR(VLOOKUP(D110,'Monthly Deduction'!A:B,2,0),0)</f>
        <v>0</v>
      </c>
      <c r="AB110" s="129">
        <f t="shared" si="24"/>
        <v>4800</v>
      </c>
      <c r="AC110" s="130">
        <v>0</v>
      </c>
      <c r="AD110" s="35">
        <f t="shared" si="36"/>
        <v>4800</v>
      </c>
      <c r="AE110" s="166" t="str">
        <f t="shared" si="37"/>
        <v>Release</v>
      </c>
      <c r="AF110" s="127"/>
      <c r="AG110" s="18">
        <v>0</v>
      </c>
      <c r="AH110" s="120"/>
      <c r="AI110" s="238">
        <v>0</v>
      </c>
      <c r="AJ110" s="132"/>
      <c r="AK110" s="151">
        <v>800</v>
      </c>
      <c r="AL110" s="154">
        <f t="shared" si="25"/>
        <v>0</v>
      </c>
      <c r="AM110" s="155"/>
      <c r="AN110" s="19">
        <f t="shared" si="26"/>
        <v>0</v>
      </c>
      <c r="AO110" s="118">
        <f>SUMIF('MPG Payment '!E:E,'Shayak Income '!D110,'MPG Payment '!AJ:AJ)</f>
        <v>0</v>
      </c>
      <c r="AP110" s="19">
        <f t="shared" si="27"/>
        <v>0</v>
      </c>
      <c r="AQ110" s="119">
        <f t="shared" si="38"/>
        <v>0</v>
      </c>
      <c r="AR110" s="91" t="s">
        <v>1168</v>
      </c>
      <c r="AS110" s="91">
        <f t="shared" si="28"/>
        <v>0</v>
      </c>
      <c r="AT110" s="118"/>
      <c r="AU110" s="118"/>
      <c r="AV110" s="118"/>
    </row>
    <row r="111" spans="1:48" s="20" customFormat="1" x14ac:dyDescent="0.25">
      <c r="A111" s="17">
        <f>IFERROR(VLOOKUP(D111,'Monthly Deduction'!$I$3:$J$957,2,0),0)</f>
        <v>0</v>
      </c>
      <c r="B111" s="17">
        <f>IFERROR(VLOOKUP(D111,'Monthly Deduction'!$E$3:$F$957,2,0),0)</f>
        <v>0</v>
      </c>
      <c r="C111" s="17">
        <f t="shared" si="29"/>
        <v>0</v>
      </c>
      <c r="D111" s="41">
        <v>10030047</v>
      </c>
      <c r="E111" s="122" t="str">
        <f>VLOOKUP(D111,'MPG Payment '!$E$3:$G$498218,2,0)</f>
        <v>Karso - Aparajita</v>
      </c>
      <c r="F111" s="146">
        <f>IFERROR(_xlfn.XLOOKUP(D111,'Monthly Deduction'!$I$3:$I$957,'Monthly Deduction'!$H$3:$H$957),0)</f>
        <v>0</v>
      </c>
      <c r="G111" s="123" t="str">
        <f>VLOOKUP(D111,'MPG Payment '!$E$3:$G$334579,3,0)</f>
        <v>vlc</v>
      </c>
      <c r="H111" s="124" t="str">
        <f>VLOOKUP(D111,'MPG Payment '!$E$3:$H$334579,4,0)</f>
        <v>Indirect</v>
      </c>
      <c r="I111" s="88">
        <f>INDEX('MPG Payment '!$C:$C,MATCH('Shayak Income '!D111,'MPG Payment '!E:E,0))</f>
        <v>1003</v>
      </c>
      <c r="J111" s="88" t="str">
        <f>INDEX('MPG Payment '!$D:$D,MATCH('Shayak Income '!D111,'MPG Payment '!E:E,0))</f>
        <v>Asarganj</v>
      </c>
      <c r="K111" s="125" t="s">
        <v>1322</v>
      </c>
      <c r="L111" s="125">
        <v>45212</v>
      </c>
      <c r="M111" s="126">
        <f>SUMIF('MPG Payment '!$E$3:$E$34579,'Shayak Income '!D111,'MPG Payment '!$I$3:$I$34579)</f>
        <v>3000</v>
      </c>
      <c r="N111" s="126">
        <f>SUMIF('MPG Payment '!$E$3:$E$34579,'Shayak Income '!D111,'MPG Payment '!$J$3:$J$34579)</f>
        <v>111981.66902</v>
      </c>
      <c r="O111" s="126">
        <f t="shared" si="30"/>
        <v>2250</v>
      </c>
      <c r="P111" s="126">
        <f t="shared" si="31"/>
        <v>2850</v>
      </c>
      <c r="Q111" s="126">
        <f>SUMIF('MPG Payment '!$E$3:$E$34579,'Shayak Income '!D111,'MPG Payment '!$S$3:$S$34579)</f>
        <v>0</v>
      </c>
      <c r="R111" s="126">
        <f t="shared" si="21"/>
        <v>3359.4500705999999</v>
      </c>
      <c r="S111" s="126">
        <f t="shared" si="22"/>
        <v>509.45007059999989</v>
      </c>
      <c r="T111" s="126">
        <f t="shared" si="32"/>
        <v>300</v>
      </c>
      <c r="U111" s="127">
        <f>(((IF(K111="New",0,SUMIF('MPG Payment '!$E$3:$E$34579,'Shayak Income '!D111,'MPG Payment '!$AC$3:$AC$34579))))+0)+0</f>
        <v>0</v>
      </c>
      <c r="V111" s="127">
        <f t="shared" si="33"/>
        <v>4800</v>
      </c>
      <c r="W111" s="19">
        <f t="shared" si="34"/>
        <v>0</v>
      </c>
      <c r="X111" s="19">
        <f t="shared" si="23"/>
        <v>0</v>
      </c>
      <c r="Y111" s="128">
        <f>IFERROR(VLOOKUP(D111,'Monthly Deduction'!$M$2:$N$64,2,0),0)</f>
        <v>0</v>
      </c>
      <c r="Z111" s="128">
        <v>0</v>
      </c>
      <c r="AA111" s="126">
        <f>IFERROR(VLOOKUP(D111,'Monthly Deduction'!A:B,2,0),0)</f>
        <v>0</v>
      </c>
      <c r="AB111" s="129">
        <f t="shared" si="24"/>
        <v>4800</v>
      </c>
      <c r="AC111" s="130">
        <v>0</v>
      </c>
      <c r="AD111" s="35">
        <f t="shared" si="36"/>
        <v>4800</v>
      </c>
      <c r="AE111" s="166" t="str">
        <f t="shared" si="37"/>
        <v>Release</v>
      </c>
      <c r="AF111" s="127"/>
      <c r="AG111" s="18">
        <v>0</v>
      </c>
      <c r="AH111" s="120"/>
      <c r="AI111" s="238">
        <v>0</v>
      </c>
      <c r="AJ111" s="132"/>
      <c r="AK111" s="151">
        <v>800</v>
      </c>
      <c r="AL111" s="154">
        <f t="shared" si="25"/>
        <v>0</v>
      </c>
      <c r="AM111" s="155"/>
      <c r="AN111" s="19">
        <f t="shared" si="26"/>
        <v>0</v>
      </c>
      <c r="AO111" s="118">
        <f>SUMIF('MPG Payment '!E:E,'Shayak Income '!D111,'MPG Payment '!AJ:AJ)</f>
        <v>0</v>
      </c>
      <c r="AP111" s="19">
        <f t="shared" si="27"/>
        <v>0</v>
      </c>
      <c r="AQ111" s="119">
        <f t="shared" si="38"/>
        <v>0</v>
      </c>
      <c r="AR111" s="91" t="s">
        <v>1168</v>
      </c>
      <c r="AS111" s="91">
        <f t="shared" si="28"/>
        <v>0</v>
      </c>
      <c r="AT111" s="118"/>
      <c r="AU111" s="118"/>
      <c r="AV111" s="118"/>
    </row>
    <row r="112" spans="1:48" s="20" customFormat="1" x14ac:dyDescent="0.25">
      <c r="A112" s="17">
        <f>IFERROR(VLOOKUP(D112,'Monthly Deduction'!$I$3:$J$957,2,0),0)</f>
        <v>0</v>
      </c>
      <c r="B112" s="17">
        <f>IFERROR(VLOOKUP(D112,'Monthly Deduction'!$E$3:$F$957,2,0),0)</f>
        <v>0</v>
      </c>
      <c r="C112" s="17">
        <f t="shared" si="29"/>
        <v>0</v>
      </c>
      <c r="D112" s="41">
        <v>10030048</v>
      </c>
      <c r="E112" s="122" t="str">
        <f>VLOOKUP(D112,'MPG Payment '!$E$3:$G$498218,2,0)</f>
        <v>Unchagaon - Niraj</v>
      </c>
      <c r="F112" s="146">
        <f>IFERROR(_xlfn.XLOOKUP(D112,'Monthly Deduction'!$I$3:$I$957,'Monthly Deduction'!$H$3:$H$957),0)</f>
        <v>0</v>
      </c>
      <c r="G112" s="123" t="str">
        <f>VLOOKUP(D112,'MPG Payment '!$E$3:$G$334579,3,0)</f>
        <v>vlc</v>
      </c>
      <c r="H112" s="124" t="str">
        <f>VLOOKUP(D112,'MPG Payment '!$E$3:$H$334579,4,0)</f>
        <v>Indirect</v>
      </c>
      <c r="I112" s="88">
        <f>INDEX('MPG Payment '!$C:$C,MATCH('Shayak Income '!D112,'MPG Payment '!E:E,0))</f>
        <v>1003</v>
      </c>
      <c r="J112" s="88" t="str">
        <f>INDEX('MPG Payment '!$D:$D,MATCH('Shayak Income '!D112,'MPG Payment '!E:E,0))</f>
        <v>Asarganj</v>
      </c>
      <c r="K112" s="125" t="s">
        <v>1322</v>
      </c>
      <c r="L112" s="125">
        <v>45212</v>
      </c>
      <c r="M112" s="126">
        <f>SUMIF('MPG Payment '!$E$3:$E$34579,'Shayak Income '!D112,'MPG Payment '!$I$3:$I$34579)</f>
        <v>3000</v>
      </c>
      <c r="N112" s="126">
        <f>SUMIF('MPG Payment '!$E$3:$E$34579,'Shayak Income '!D112,'MPG Payment '!$J$3:$J$34579)</f>
        <v>111981.66902</v>
      </c>
      <c r="O112" s="126">
        <f t="shared" si="30"/>
        <v>2250</v>
      </c>
      <c r="P112" s="126">
        <f t="shared" si="31"/>
        <v>2850</v>
      </c>
      <c r="Q112" s="126">
        <f>SUMIF('MPG Payment '!$E$3:$E$34579,'Shayak Income '!D112,'MPG Payment '!$S$3:$S$34579)</f>
        <v>0</v>
      </c>
      <c r="R112" s="126">
        <f t="shared" si="21"/>
        <v>3359.4500705999999</v>
      </c>
      <c r="S112" s="126">
        <f t="shared" si="22"/>
        <v>509.45007059999989</v>
      </c>
      <c r="T112" s="126">
        <f t="shared" si="32"/>
        <v>300</v>
      </c>
      <c r="U112" s="127">
        <f>(((IF(K112="New",0,SUMIF('MPG Payment '!$E$3:$E$34579,'Shayak Income '!D112,'MPG Payment '!$AC$3:$AC$34579))))+0)+0</f>
        <v>0</v>
      </c>
      <c r="V112" s="127">
        <f t="shared" si="33"/>
        <v>4800</v>
      </c>
      <c r="W112" s="19">
        <f t="shared" si="34"/>
        <v>0</v>
      </c>
      <c r="X112" s="19">
        <f t="shared" si="23"/>
        <v>0</v>
      </c>
      <c r="Y112" s="128">
        <f>IFERROR(VLOOKUP(D112,'Monthly Deduction'!$M$2:$N$64,2,0),0)</f>
        <v>0</v>
      </c>
      <c r="Z112" s="128">
        <v>0</v>
      </c>
      <c r="AA112" s="126">
        <f>IFERROR(VLOOKUP(D112,'Monthly Deduction'!A:B,2,0),0)</f>
        <v>0</v>
      </c>
      <c r="AB112" s="129">
        <f t="shared" si="24"/>
        <v>4800</v>
      </c>
      <c r="AC112" s="130">
        <v>0</v>
      </c>
      <c r="AD112" s="35">
        <f t="shared" si="36"/>
        <v>4800</v>
      </c>
      <c r="AE112" s="166" t="str">
        <f t="shared" si="37"/>
        <v>Release</v>
      </c>
      <c r="AF112" s="127"/>
      <c r="AG112" s="18">
        <v>0</v>
      </c>
      <c r="AH112" s="120"/>
      <c r="AI112" s="238">
        <v>0</v>
      </c>
      <c r="AJ112" s="132"/>
      <c r="AK112" s="151">
        <v>800</v>
      </c>
      <c r="AL112" s="154">
        <f t="shared" si="25"/>
        <v>0</v>
      </c>
      <c r="AM112" s="155"/>
      <c r="AN112" s="19">
        <f t="shared" si="26"/>
        <v>0</v>
      </c>
      <c r="AO112" s="118">
        <f>SUMIF('MPG Payment '!E:E,'Shayak Income '!D112,'MPG Payment '!AJ:AJ)</f>
        <v>0</v>
      </c>
      <c r="AP112" s="19">
        <f t="shared" si="27"/>
        <v>0</v>
      </c>
      <c r="AQ112" s="119">
        <f t="shared" si="38"/>
        <v>0</v>
      </c>
      <c r="AR112" s="91" t="s">
        <v>1168</v>
      </c>
      <c r="AS112" s="91">
        <f t="shared" si="28"/>
        <v>0</v>
      </c>
      <c r="AT112" s="118"/>
      <c r="AU112" s="118"/>
      <c r="AV112" s="118"/>
    </row>
    <row r="113" spans="1:48" s="20" customFormat="1" x14ac:dyDescent="0.25">
      <c r="A113" s="17">
        <f>IFERROR(VLOOKUP(D113,'Monthly Deduction'!$I$3:$J$957,2,0),0)</f>
        <v>453.25122876209207</v>
      </c>
      <c r="B113" s="17">
        <f>IFERROR(VLOOKUP(D113,'Monthly Deduction'!$E$3:$F$957,2,0),0)</f>
        <v>19200</v>
      </c>
      <c r="C113" s="17">
        <f t="shared" si="29"/>
        <v>19653.251228762092</v>
      </c>
      <c r="D113" s="41">
        <v>10030049</v>
      </c>
      <c r="E113" s="122" t="str">
        <f>VLOOKUP(D113,'MPG Payment '!$E$3:$G$498218,2,0)</f>
        <v>SRIRAMPUR</v>
      </c>
      <c r="F113" s="146">
        <f>IFERROR(_xlfn.XLOOKUP(D113,'Monthly Deduction'!$I$3:$I$957,'Monthly Deduction'!$H$3:$H$957),0)</f>
        <v>0</v>
      </c>
      <c r="G113" s="123" t="str">
        <f>VLOOKUP(D113,'MPG Payment '!$E$3:$G$334579,3,0)</f>
        <v>MPG</v>
      </c>
      <c r="H113" s="124" t="str">
        <f>VLOOKUP(D113,'MPG Payment '!$E$3:$H$334579,4,0)</f>
        <v>Direct</v>
      </c>
      <c r="I113" s="88">
        <f>INDEX('MPG Payment '!$C:$C,MATCH('Shayak Income '!D113,'MPG Payment '!E:E,0))</f>
        <v>1003</v>
      </c>
      <c r="J113" s="88" t="str">
        <f>INDEX('MPG Payment '!$D:$D,MATCH('Shayak Income '!D113,'MPG Payment '!E:E,0))</f>
        <v>Asarganj</v>
      </c>
      <c r="K113" s="125" t="s">
        <v>1322</v>
      </c>
      <c r="L113" s="125">
        <v>45236</v>
      </c>
      <c r="M113" s="126">
        <f>SUMIF('MPG Payment '!$E$3:$E$34579,'Shayak Income '!D113,'MPG Payment '!$I$3:$I$34579)</f>
        <v>1161.7</v>
      </c>
      <c r="N113" s="126">
        <f>SUMIF('MPG Payment '!$E$3:$E$34579,'Shayak Income '!D113,'MPG Payment '!$J$3:$J$34579)</f>
        <v>34736.582956022248</v>
      </c>
      <c r="O113" s="126">
        <f t="shared" si="30"/>
        <v>871.27500000000009</v>
      </c>
      <c r="P113" s="126">
        <f t="shared" si="31"/>
        <v>1103.615</v>
      </c>
      <c r="Q113" s="126">
        <f>SUMIF('MPG Payment '!$E$3:$E$34579,'Shayak Income '!D113,'MPG Payment '!$S$3:$S$34579)</f>
        <v>0</v>
      </c>
      <c r="R113" s="126">
        <f t="shared" si="21"/>
        <v>1042.0974886806673</v>
      </c>
      <c r="S113" s="126">
        <f t="shared" si="22"/>
        <v>-61.517511319332698</v>
      </c>
      <c r="T113" s="126">
        <f t="shared" si="32"/>
        <v>116.17000000000002</v>
      </c>
      <c r="U113" s="127">
        <f>(((IF(K113="New",0,SUMIF('MPG Payment '!$E$3:$E$34579,'Shayak Income '!D113,'MPG Payment '!$AC$3:$AC$34579))))+0)+0</f>
        <v>982.13321659471887</v>
      </c>
      <c r="V113" s="127">
        <f t="shared" si="33"/>
        <v>877</v>
      </c>
      <c r="W113" s="19">
        <f t="shared" si="34"/>
        <v>453.25122876209207</v>
      </c>
      <c r="X113" s="19">
        <v>0</v>
      </c>
      <c r="Y113" s="128">
        <f>IFERROR(VLOOKUP(D113,'Monthly Deduction'!$M$2:$N$64,2,0),0)</f>
        <v>0</v>
      </c>
      <c r="Z113" s="128">
        <v>0</v>
      </c>
      <c r="AA113" s="126">
        <f>IFERROR(VLOOKUP(D113,'Monthly Deduction'!A:B,2,0),0)</f>
        <v>0</v>
      </c>
      <c r="AB113" s="129">
        <f t="shared" si="24"/>
        <v>424</v>
      </c>
      <c r="AC113" s="130">
        <v>0</v>
      </c>
      <c r="AD113" s="35">
        <f t="shared" si="36"/>
        <v>424</v>
      </c>
      <c r="AE113" s="166" t="str">
        <f t="shared" si="37"/>
        <v>Release</v>
      </c>
      <c r="AF113" s="127"/>
      <c r="AG113" s="18">
        <v>0</v>
      </c>
      <c r="AH113" s="120"/>
      <c r="AI113" s="238">
        <v>0</v>
      </c>
      <c r="AJ113" s="132"/>
      <c r="AK113" s="151">
        <v>244.64999999999998</v>
      </c>
      <c r="AL113" s="154">
        <f t="shared" si="25"/>
        <v>0</v>
      </c>
      <c r="AM113" s="155"/>
      <c r="AN113" s="19">
        <f t="shared" si="26"/>
        <v>453.25122876209207</v>
      </c>
      <c r="AO113" s="118">
        <f>SUMIF('MPG Payment '!E:E,'Shayak Income '!D113,'MPG Payment '!AJ:AJ)</f>
        <v>0</v>
      </c>
      <c r="AP113" s="19">
        <f t="shared" si="27"/>
        <v>453.25122876209207</v>
      </c>
      <c r="AQ113" s="119">
        <f t="shared" si="38"/>
        <v>453.25122876209207</v>
      </c>
      <c r="AR113" s="91" t="s">
        <v>1168</v>
      </c>
      <c r="AS113" s="91">
        <f t="shared" si="28"/>
        <v>19200</v>
      </c>
      <c r="AT113" s="118"/>
      <c r="AU113" s="118"/>
      <c r="AV113" s="118"/>
    </row>
    <row r="114" spans="1:48" s="20" customFormat="1" x14ac:dyDescent="0.25">
      <c r="A114" s="17">
        <f>IFERROR(VLOOKUP(D114,'Monthly Deduction'!$I$3:$J$957,2,0),0)</f>
        <v>16907.885652264449</v>
      </c>
      <c r="B114" s="17">
        <f>IFERROR(VLOOKUP(D114,'Monthly Deduction'!$E$3:$F$957,2,0),0)</f>
        <v>19200</v>
      </c>
      <c r="C114" s="17">
        <f t="shared" si="29"/>
        <v>36107.885652264449</v>
      </c>
      <c r="D114" s="41">
        <v>10030050</v>
      </c>
      <c r="E114" s="122" t="str">
        <f>VLOOKUP(D114,'MPG Payment '!$E$3:$G$498218,2,0)</f>
        <v>PAIN</v>
      </c>
      <c r="F114" s="146">
        <f>IFERROR(_xlfn.XLOOKUP(D114,'Monthly Deduction'!$I$3:$I$957,'Monthly Deduction'!$H$3:$H$957),0)</f>
        <v>0</v>
      </c>
      <c r="G114" s="123" t="str">
        <f>VLOOKUP(D114,'MPG Payment '!$E$3:$G$334579,3,0)</f>
        <v>MPG</v>
      </c>
      <c r="H114" s="124" t="str">
        <f>VLOOKUP(D114,'MPG Payment '!$E$3:$H$334579,4,0)</f>
        <v>Direct</v>
      </c>
      <c r="I114" s="88">
        <f>INDEX('MPG Payment '!$C:$C,MATCH('Shayak Income '!D114,'MPG Payment '!E:E,0))</f>
        <v>1003</v>
      </c>
      <c r="J114" s="88" t="str">
        <f>INDEX('MPG Payment '!$D:$D,MATCH('Shayak Income '!D114,'MPG Payment '!E:E,0))</f>
        <v>Asarganj</v>
      </c>
      <c r="K114" s="125" t="s">
        <v>1322</v>
      </c>
      <c r="L114" s="125">
        <v>45236</v>
      </c>
      <c r="M114" s="126">
        <f>SUMIF('MPG Payment '!$E$3:$E$34579,'Shayak Income '!D114,'MPG Payment '!$I$3:$I$34579)</f>
        <v>1780.2</v>
      </c>
      <c r="N114" s="126">
        <f>SUMIF('MPG Payment '!$E$3:$E$34579,'Shayak Income '!D114,'MPG Payment '!$J$3:$J$34579)</f>
        <v>62394.835697924005</v>
      </c>
      <c r="O114" s="126">
        <f t="shared" si="30"/>
        <v>1335.15</v>
      </c>
      <c r="P114" s="126">
        <f t="shared" si="31"/>
        <v>1691.19</v>
      </c>
      <c r="Q114" s="126">
        <f>SUMIF('MPG Payment '!$E$3:$E$34579,'Shayak Income '!D114,'MPG Payment '!$S$3:$S$34579)</f>
        <v>350.48323749539998</v>
      </c>
      <c r="R114" s="126">
        <f t="shared" si="21"/>
        <v>1871.84507093772</v>
      </c>
      <c r="S114" s="126">
        <f t="shared" si="22"/>
        <v>180.65507093771998</v>
      </c>
      <c r="T114" s="126">
        <f t="shared" si="32"/>
        <v>178.02</v>
      </c>
      <c r="U114" s="127">
        <f>(((IF(K114="New",0,SUMIF('MPG Payment '!$E$3:$E$34579,'Shayak Income '!D114,'MPG Payment '!$AC$3:$AC$34579))))+0)+0</f>
        <v>713.00598383571617</v>
      </c>
      <c r="V114" s="127">
        <f t="shared" si="33"/>
        <v>2486</v>
      </c>
      <c r="W114" s="19">
        <f t="shared" si="34"/>
        <v>1861</v>
      </c>
      <c r="X114" s="19">
        <v>0</v>
      </c>
      <c r="Y114" s="128">
        <f>IFERROR(VLOOKUP(D114,'Monthly Deduction'!$M$2:$N$64,2,0),0)</f>
        <v>0</v>
      </c>
      <c r="Z114" s="128">
        <v>0</v>
      </c>
      <c r="AA114" s="126">
        <f>IFERROR(VLOOKUP(D114,'Monthly Deduction'!A:B,2,0),0)</f>
        <v>0</v>
      </c>
      <c r="AB114" s="129">
        <f t="shared" si="24"/>
        <v>625</v>
      </c>
      <c r="AC114" s="130">
        <v>0</v>
      </c>
      <c r="AD114" s="35">
        <f t="shared" si="36"/>
        <v>625</v>
      </c>
      <c r="AE114" s="166" t="str">
        <f t="shared" si="37"/>
        <v>Release</v>
      </c>
      <c r="AF114" s="127"/>
      <c r="AG114" s="18">
        <v>0</v>
      </c>
      <c r="AH114" s="120"/>
      <c r="AI114" s="238">
        <v>0</v>
      </c>
      <c r="AJ114" s="132"/>
      <c r="AK114" s="151">
        <v>636.15</v>
      </c>
      <c r="AL114" s="154">
        <f t="shared" si="25"/>
        <v>0</v>
      </c>
      <c r="AM114" s="155"/>
      <c r="AN114" s="19">
        <f t="shared" si="26"/>
        <v>1861</v>
      </c>
      <c r="AO114" s="118">
        <f>SUMIF('MPG Payment '!E:E,'Shayak Income '!D114,'MPG Payment '!AJ:AJ)</f>
        <v>0</v>
      </c>
      <c r="AP114" s="19">
        <f t="shared" si="27"/>
        <v>1861</v>
      </c>
      <c r="AQ114" s="119">
        <f t="shared" si="38"/>
        <v>1861</v>
      </c>
      <c r="AR114" s="91" t="s">
        <v>1168</v>
      </c>
      <c r="AS114" s="91">
        <f t="shared" si="28"/>
        <v>19200</v>
      </c>
      <c r="AT114" s="118"/>
      <c r="AU114" s="118"/>
      <c r="AV114" s="118"/>
    </row>
    <row r="115" spans="1:48" s="20" customFormat="1" x14ac:dyDescent="0.25">
      <c r="A115" s="17">
        <f>IFERROR(VLOOKUP(D115,'Monthly Deduction'!$I$3:$J$957,2,0),0)</f>
        <v>0</v>
      </c>
      <c r="B115" s="17">
        <f>IFERROR(VLOOKUP(D115,'Monthly Deduction'!$E$3:$F$957,2,0),0)</f>
        <v>0</v>
      </c>
      <c r="C115" s="17">
        <f t="shared" si="29"/>
        <v>0</v>
      </c>
      <c r="D115" s="41">
        <v>10030051</v>
      </c>
      <c r="E115" s="122" t="str">
        <f>VLOOKUP(D115,'MPG Payment '!$E$3:$G$498218,2,0)</f>
        <v>MOTICHAK</v>
      </c>
      <c r="F115" s="146">
        <f>IFERROR(_xlfn.XLOOKUP(D115,'Monthly Deduction'!$I$3:$I$957,'Monthly Deduction'!$H$3:$H$957),0)</f>
        <v>0</v>
      </c>
      <c r="G115" s="123" t="str">
        <f>VLOOKUP(D115,'MPG Payment '!$E$3:$G$334579,3,0)</f>
        <v>MPG</v>
      </c>
      <c r="H115" s="124" t="str">
        <f>VLOOKUP(D115,'MPG Payment '!$E$3:$H$334579,4,0)</f>
        <v>Direct</v>
      </c>
      <c r="I115" s="88">
        <f>INDEX('MPG Payment '!$C:$C,MATCH('Shayak Income '!D115,'MPG Payment '!E:E,0))</f>
        <v>1003</v>
      </c>
      <c r="J115" s="88" t="str">
        <f>INDEX('MPG Payment '!$D:$D,MATCH('Shayak Income '!D115,'MPG Payment '!E:E,0))</f>
        <v>Asarganj</v>
      </c>
      <c r="K115" s="125" t="s">
        <v>1322</v>
      </c>
      <c r="L115" s="125">
        <v>45236</v>
      </c>
      <c r="M115" s="126">
        <f>SUMIF('MPG Payment '!$E$3:$E$34579,'Shayak Income '!D115,'MPG Payment '!$I$3:$I$34579)</f>
        <v>9118.5999999999985</v>
      </c>
      <c r="N115" s="126">
        <f>SUMIF('MPG Payment '!$E$3:$E$34579,'Shayak Income '!D115,'MPG Payment '!$J$3:$J$34579)</f>
        <v>327051.90812030004</v>
      </c>
      <c r="O115" s="126">
        <f t="shared" si="30"/>
        <v>6838.9499999999989</v>
      </c>
      <c r="P115" s="126">
        <f t="shared" si="31"/>
        <v>8662.6699999999983</v>
      </c>
      <c r="Q115" s="126">
        <f>SUMIF('MPG Payment '!$E$3:$E$34579,'Shayak Income '!D115,'MPG Payment '!$S$3:$S$34579)</f>
        <v>8675.2562978112001</v>
      </c>
      <c r="R115" s="126">
        <f t="shared" si="21"/>
        <v>9811.5572436090006</v>
      </c>
      <c r="S115" s="126">
        <f t="shared" si="22"/>
        <v>1148.8872436090023</v>
      </c>
      <c r="T115" s="126">
        <f t="shared" si="32"/>
        <v>911.8599999999999</v>
      </c>
      <c r="U115" s="127">
        <f>(((IF(K115="New",0,SUMIF('MPG Payment '!$E$3:$E$34579,'Shayak Income '!D115,'MPG Payment '!$AC$3:$AC$34579))))+0)+0</f>
        <v>0</v>
      </c>
      <c r="V115" s="127">
        <f t="shared" si="33"/>
        <v>23265</v>
      </c>
      <c r="W115" s="19">
        <f t="shared" si="34"/>
        <v>0</v>
      </c>
      <c r="X115" s="19">
        <f t="shared" si="23"/>
        <v>0</v>
      </c>
      <c r="Y115" s="128">
        <f>IFERROR(VLOOKUP(D115,'Monthly Deduction'!$M$2:$N$64,2,0),0)</f>
        <v>0</v>
      </c>
      <c r="Z115" s="128">
        <v>0</v>
      </c>
      <c r="AA115" s="126">
        <f>IFERROR(VLOOKUP(D115,'Monthly Deduction'!A:B,2,0),0)</f>
        <v>0</v>
      </c>
      <c r="AB115" s="129">
        <f t="shared" si="24"/>
        <v>23265</v>
      </c>
      <c r="AC115" s="130">
        <v>0</v>
      </c>
      <c r="AD115" s="35">
        <f t="shared" si="36"/>
        <v>23265</v>
      </c>
      <c r="AE115" s="166" t="str">
        <f t="shared" si="37"/>
        <v>Release</v>
      </c>
      <c r="AF115" s="127"/>
      <c r="AG115" s="18">
        <v>0</v>
      </c>
      <c r="AH115" s="120"/>
      <c r="AI115" s="238">
        <v>0</v>
      </c>
      <c r="AJ115" s="132"/>
      <c r="AK115" s="151">
        <v>2955.2000000000003</v>
      </c>
      <c r="AL115" s="154">
        <f t="shared" si="25"/>
        <v>0</v>
      </c>
      <c r="AM115" s="155"/>
      <c r="AN115" s="19">
        <f t="shared" si="26"/>
        <v>0</v>
      </c>
      <c r="AO115" s="118">
        <f>SUMIF('MPG Payment '!E:E,'Shayak Income '!D115,'MPG Payment '!AJ:AJ)</f>
        <v>0</v>
      </c>
      <c r="AP115" s="19">
        <f t="shared" si="27"/>
        <v>0</v>
      </c>
      <c r="AQ115" s="119">
        <f t="shared" si="38"/>
        <v>0</v>
      </c>
      <c r="AR115" s="91"/>
      <c r="AS115" s="91">
        <f t="shared" si="28"/>
        <v>0</v>
      </c>
      <c r="AT115" s="118"/>
      <c r="AU115" s="118"/>
      <c r="AV115" s="118"/>
    </row>
    <row r="116" spans="1:48" s="20" customFormat="1" x14ac:dyDescent="0.25">
      <c r="A116" s="17">
        <f>IFERROR(VLOOKUP(D116,'Monthly Deduction'!$I$3:$J$957,2,0),0)</f>
        <v>33648.591486946869</v>
      </c>
      <c r="B116" s="17">
        <f>IFERROR(VLOOKUP(D116,'Monthly Deduction'!$E$3:$F$957,2,0),0)</f>
        <v>12800</v>
      </c>
      <c r="C116" s="17">
        <f t="shared" si="29"/>
        <v>46448.591486946869</v>
      </c>
      <c r="D116" s="41">
        <v>10030053</v>
      </c>
      <c r="E116" s="122" t="str">
        <f>VLOOKUP(D116,'MPG Payment '!$E$3:$G$498218,2,0)</f>
        <v>MIRATTHI</v>
      </c>
      <c r="F116" s="146">
        <f>IFERROR(_xlfn.XLOOKUP(D116,'Monthly Deduction'!$I$3:$I$957,'Monthly Deduction'!$H$3:$H$957),0)</f>
        <v>0</v>
      </c>
      <c r="G116" s="123" t="str">
        <f>VLOOKUP(D116,'MPG Payment '!$E$3:$G$334579,3,0)</f>
        <v>MPG</v>
      </c>
      <c r="H116" s="124" t="str">
        <f>VLOOKUP(D116,'MPG Payment '!$E$3:$H$334579,4,0)</f>
        <v>Direct</v>
      </c>
      <c r="I116" s="88">
        <f>INDEX('MPG Payment '!$C:$C,MATCH('Shayak Income '!D116,'MPG Payment '!E:E,0))</f>
        <v>1003</v>
      </c>
      <c r="J116" s="88" t="str">
        <f>INDEX('MPG Payment '!$D:$D,MATCH('Shayak Income '!D116,'MPG Payment '!E:E,0))</f>
        <v>Asarganj</v>
      </c>
      <c r="K116" s="125" t="s">
        <v>1322</v>
      </c>
      <c r="L116" s="125">
        <v>45236</v>
      </c>
      <c r="M116" s="126">
        <f>SUMIF('MPG Payment '!$E$3:$E$34579,'Shayak Income '!D116,'MPG Payment '!$I$3:$I$34579)</f>
        <v>552.85</v>
      </c>
      <c r="N116" s="126">
        <f>SUMIF('MPG Payment '!$E$3:$E$34579,'Shayak Income '!D116,'MPG Payment '!$J$3:$J$34579)</f>
        <v>21831.384992162002</v>
      </c>
      <c r="O116" s="126">
        <f t="shared" si="30"/>
        <v>414.63750000000005</v>
      </c>
      <c r="P116" s="126">
        <f t="shared" si="31"/>
        <v>525.20749999999998</v>
      </c>
      <c r="Q116" s="126">
        <f>SUMIF('MPG Payment '!$E$3:$E$34579,'Shayak Income '!D116,'MPG Payment '!$S$3:$S$34579)</f>
        <v>70.846419600000004</v>
      </c>
      <c r="R116" s="126">
        <f t="shared" si="21"/>
        <v>654.94154976486004</v>
      </c>
      <c r="S116" s="126">
        <f t="shared" si="22"/>
        <v>129.73404976486006</v>
      </c>
      <c r="T116" s="126">
        <f t="shared" si="32"/>
        <v>55.285000000000004</v>
      </c>
      <c r="U116" s="127">
        <f>(((IF(K116="New",0,SUMIF('MPG Payment '!$E$3:$E$34579,'Shayak Income '!D116,'MPG Payment '!$AC$3:$AC$34579))))+0)+-823</f>
        <v>955.4905265674397</v>
      </c>
      <c r="V116" s="127">
        <f t="shared" si="33"/>
        <v>0</v>
      </c>
      <c r="W116" s="19">
        <v>0</v>
      </c>
      <c r="X116" s="19">
        <v>0</v>
      </c>
      <c r="Y116" s="128">
        <f>IFERROR(VLOOKUP(D116,'Monthly Deduction'!$M$2:$N$64,2,0),0)</f>
        <v>0</v>
      </c>
      <c r="Z116" s="128">
        <v>0</v>
      </c>
      <c r="AA116" s="126">
        <f>IFERROR(VLOOKUP(D116,'Monthly Deduction'!A:B,2,0),0)</f>
        <v>0</v>
      </c>
      <c r="AB116" s="129">
        <f t="shared" si="24"/>
        <v>0</v>
      </c>
      <c r="AC116" s="130">
        <v>0</v>
      </c>
      <c r="AD116" s="35">
        <f t="shared" si="36"/>
        <v>0</v>
      </c>
      <c r="AE116" s="166" t="str">
        <f t="shared" si="37"/>
        <v>Release</v>
      </c>
      <c r="AF116" s="127"/>
      <c r="AG116" s="18">
        <v>0</v>
      </c>
      <c r="AH116" s="24"/>
      <c r="AI116" s="238">
        <v>0</v>
      </c>
      <c r="AJ116" s="132"/>
      <c r="AK116" s="151">
        <v>230.55000000000004</v>
      </c>
      <c r="AL116" s="154">
        <f t="shared" si="25"/>
        <v>0</v>
      </c>
      <c r="AM116" s="155"/>
      <c r="AN116" s="19">
        <f t="shared" si="26"/>
        <v>1861</v>
      </c>
      <c r="AO116" s="118">
        <f>SUMIF('MPG Payment '!E:E,'Shayak Income '!D116,'MPG Payment '!AJ:AJ)</f>
        <v>0</v>
      </c>
      <c r="AP116" s="19">
        <f t="shared" si="27"/>
        <v>0</v>
      </c>
      <c r="AQ116" s="119">
        <f t="shared" si="38"/>
        <v>0</v>
      </c>
      <c r="AR116" s="91"/>
      <c r="AS116" s="91">
        <f t="shared" si="28"/>
        <v>12800</v>
      </c>
      <c r="AT116" s="118"/>
      <c r="AU116" s="118"/>
      <c r="AV116" s="118"/>
    </row>
    <row r="117" spans="1:48" s="20" customFormat="1" x14ac:dyDescent="0.25">
      <c r="A117" s="17">
        <f>IFERROR(VLOOKUP(D117,'Monthly Deduction'!$I$3:$J$957,2,0),0)</f>
        <v>40460.601813169415</v>
      </c>
      <c r="B117" s="17">
        <f>IFERROR(VLOOKUP(D117,'Monthly Deduction'!$E$3:$F$957,2,0),0)</f>
        <v>1108.3318379994362</v>
      </c>
      <c r="C117" s="17">
        <f t="shared" si="29"/>
        <v>41568.933651168853</v>
      </c>
      <c r="D117" s="41">
        <v>10030055</v>
      </c>
      <c r="E117" s="122" t="str">
        <f>VLOOKUP(D117,'MPG Payment '!$E$3:$G$498218,2,0)</f>
        <v>DAULATPUR</v>
      </c>
      <c r="F117" s="146">
        <f>IFERROR(_xlfn.XLOOKUP(D117,'Monthly Deduction'!$I$3:$I$957,'Monthly Deduction'!$H$3:$H$957),0)</f>
        <v>0</v>
      </c>
      <c r="G117" s="123" t="str">
        <f>VLOOKUP(D117,'MPG Payment '!$E$3:$G$334579,3,0)</f>
        <v>MPG</v>
      </c>
      <c r="H117" s="124" t="str">
        <f>VLOOKUP(D117,'MPG Payment '!$E$3:$H$334579,4,0)</f>
        <v>Direct</v>
      </c>
      <c r="I117" s="88">
        <f>INDEX('MPG Payment '!$C:$C,MATCH('Shayak Income '!D117,'MPG Payment '!E:E,0))</f>
        <v>1003</v>
      </c>
      <c r="J117" s="88" t="str">
        <f>INDEX('MPG Payment '!$D:$D,MATCH('Shayak Income '!D117,'MPG Payment '!E:E,0))</f>
        <v>Asarganj</v>
      </c>
      <c r="K117" s="125" t="s">
        <v>1322</v>
      </c>
      <c r="L117" s="125">
        <v>45236</v>
      </c>
      <c r="M117" s="126">
        <f>SUMIF('MPG Payment '!$E$3:$E$34579,'Shayak Income '!D117,'MPG Payment '!$I$3:$I$34579)</f>
        <v>1188.95</v>
      </c>
      <c r="N117" s="126">
        <f>SUMIF('MPG Payment '!$E$3:$E$34579,'Shayak Income '!D117,'MPG Payment '!$J$3:$J$34579)</f>
        <v>49544.5454227726</v>
      </c>
      <c r="O117" s="126">
        <f t="shared" si="30"/>
        <v>891.71250000000009</v>
      </c>
      <c r="P117" s="126">
        <f t="shared" si="31"/>
        <v>1129.5025000000001</v>
      </c>
      <c r="Q117" s="126">
        <f>SUMIF('MPG Payment '!$E$3:$E$34579,'Shayak Income '!D117,'MPG Payment '!$S$3:$S$34579)</f>
        <v>631.83418923539</v>
      </c>
      <c r="R117" s="126">
        <f t="shared" si="21"/>
        <v>1486.3363626831779</v>
      </c>
      <c r="S117" s="126">
        <f t="shared" si="22"/>
        <v>356.83386268317781</v>
      </c>
      <c r="T117" s="126">
        <f t="shared" si="32"/>
        <v>118.89500000000001</v>
      </c>
      <c r="U117" s="127">
        <f>(((IF(K117="New",0,SUMIF('MPG Payment '!$E$3:$E$34579,'Shayak Income '!D117,'MPG Payment '!$AC$3:$AC$34579))))+0)+0</f>
        <v>1345.456994356276</v>
      </c>
      <c r="V117" s="127">
        <f t="shared" si="33"/>
        <v>1189</v>
      </c>
      <c r="W117" s="19">
        <v>1189</v>
      </c>
      <c r="X117" s="19">
        <v>0</v>
      </c>
      <c r="Y117" s="128">
        <f>IFERROR(VLOOKUP(D117,'Monthly Deduction'!$M$2:$N$64,2,0),0)</f>
        <v>0</v>
      </c>
      <c r="Z117" s="128">
        <v>0</v>
      </c>
      <c r="AA117" s="126">
        <f>IFERROR(VLOOKUP(D117,'Monthly Deduction'!A:B,2,0),0)</f>
        <v>0</v>
      </c>
      <c r="AB117" s="129">
        <f t="shared" si="24"/>
        <v>0</v>
      </c>
      <c r="AC117" s="130">
        <v>0</v>
      </c>
      <c r="AD117" s="35">
        <f t="shared" si="36"/>
        <v>0</v>
      </c>
      <c r="AE117" s="166" t="str">
        <f t="shared" si="37"/>
        <v>Release</v>
      </c>
      <c r="AF117" s="127"/>
      <c r="AG117" s="18">
        <v>0</v>
      </c>
      <c r="AH117" s="120"/>
      <c r="AI117" s="238">
        <v>0</v>
      </c>
      <c r="AJ117" s="132"/>
      <c r="AK117" s="151">
        <v>296.64999999999992</v>
      </c>
      <c r="AL117" s="154">
        <f t="shared" si="25"/>
        <v>0</v>
      </c>
      <c r="AM117" s="155"/>
      <c r="AN117" s="19">
        <f t="shared" si="26"/>
        <v>1861</v>
      </c>
      <c r="AO117" s="118">
        <f>SUMIF('MPG Payment '!E:E,'Shayak Income '!D117,'MPG Payment '!AJ:AJ)</f>
        <v>0</v>
      </c>
      <c r="AP117" s="19">
        <f t="shared" si="27"/>
        <v>1189</v>
      </c>
      <c r="AQ117" s="119">
        <f t="shared" si="38"/>
        <v>1189</v>
      </c>
      <c r="AR117" s="91" t="s">
        <v>1168</v>
      </c>
      <c r="AS117" s="91">
        <f t="shared" si="28"/>
        <v>1108.3318379994362</v>
      </c>
      <c r="AT117" s="118"/>
      <c r="AU117" s="118"/>
      <c r="AV117" s="118"/>
    </row>
    <row r="118" spans="1:48" s="20" customFormat="1" x14ac:dyDescent="0.25">
      <c r="A118" s="17">
        <f>IFERROR(VLOOKUP(D118,'Monthly Deduction'!$I$3:$J$957,2,0),0)</f>
        <v>47176.147644814017</v>
      </c>
      <c r="B118" s="17">
        <f>IFERROR(VLOOKUP(D118,'Monthly Deduction'!$E$3:$F$957,2,0),0)</f>
        <v>3890.3617999999997</v>
      </c>
      <c r="C118" s="17">
        <f t="shared" si="29"/>
        <v>51066.509444814015</v>
      </c>
      <c r="D118" s="41">
        <v>10030056</v>
      </c>
      <c r="E118" s="122" t="str">
        <f>VLOOKUP(D118,'MPG Payment '!$E$3:$G$498218,2,0)</f>
        <v>MOHADDIPUR</v>
      </c>
      <c r="F118" s="146">
        <f>IFERROR(_xlfn.XLOOKUP(D118,'Monthly Deduction'!$I$3:$I$957,'Monthly Deduction'!$H$3:$H$957),0)</f>
        <v>0</v>
      </c>
      <c r="G118" s="123" t="str">
        <f>VLOOKUP(D118,'MPG Payment '!$E$3:$G$334579,3,0)</f>
        <v>MPG</v>
      </c>
      <c r="H118" s="124" t="str">
        <f>VLOOKUP(D118,'MPG Payment '!$E$3:$H$334579,4,0)</f>
        <v>Direct</v>
      </c>
      <c r="I118" s="88">
        <f>INDEX('MPG Payment '!$C:$C,MATCH('Shayak Income '!D118,'MPG Payment '!E:E,0))</f>
        <v>1003</v>
      </c>
      <c r="J118" s="88" t="str">
        <f>INDEX('MPG Payment '!$D:$D,MATCH('Shayak Income '!D118,'MPG Payment '!E:E,0))</f>
        <v>Asarganj</v>
      </c>
      <c r="K118" s="125" t="s">
        <v>1322</v>
      </c>
      <c r="L118" s="125">
        <v>45219</v>
      </c>
      <c r="M118" s="126">
        <f>SUMIF('MPG Payment '!$E$3:$E$34579,'Shayak Income '!D118,'MPG Payment '!$I$3:$I$34579)</f>
        <v>487.04999999999995</v>
      </c>
      <c r="N118" s="126">
        <f>SUMIF('MPG Payment '!$E$3:$E$34579,'Shayak Income '!D118,'MPG Payment '!$J$3:$J$34579)</f>
        <v>17559.496890347251</v>
      </c>
      <c r="O118" s="126">
        <f t="shared" si="30"/>
        <v>365.28749999999997</v>
      </c>
      <c r="P118" s="126">
        <f t="shared" si="31"/>
        <v>462.69749999999993</v>
      </c>
      <c r="Q118" s="126">
        <f>SUMIF('MPG Payment '!$E$3:$E$34579,'Shayak Income '!D118,'MPG Payment '!$S$3:$S$34579)</f>
        <v>54.93857088</v>
      </c>
      <c r="R118" s="126">
        <f t="shared" si="21"/>
        <v>526.78490671041754</v>
      </c>
      <c r="S118" s="126">
        <f t="shared" si="22"/>
        <v>64.087406710417611</v>
      </c>
      <c r="T118" s="126">
        <f t="shared" si="32"/>
        <v>48.704999999999998</v>
      </c>
      <c r="U118" s="127">
        <f>(((IF(K118="New",0,SUMIF('MPG Payment '!$E$3:$E$34579,'Shayak Income '!D118,'MPG Payment '!$AC$3:$AC$34579))))+0)+-771</f>
        <v>834.6375218568935</v>
      </c>
      <c r="V118" s="127">
        <f t="shared" si="33"/>
        <v>0</v>
      </c>
      <c r="W118" s="19">
        <v>0</v>
      </c>
      <c r="X118" s="19">
        <v>0</v>
      </c>
      <c r="Y118" s="128">
        <f>IFERROR(VLOOKUP(D118,'Monthly Deduction'!$M$2:$N$64,2,0),0)</f>
        <v>0</v>
      </c>
      <c r="Z118" s="128">
        <v>0</v>
      </c>
      <c r="AA118" s="126">
        <f>IFERROR(VLOOKUP(D118,'Monthly Deduction'!A:B,2,0),0)</f>
        <v>0</v>
      </c>
      <c r="AB118" s="129">
        <f t="shared" si="24"/>
        <v>0</v>
      </c>
      <c r="AC118" s="130">
        <v>0</v>
      </c>
      <c r="AD118" s="35">
        <f t="shared" si="36"/>
        <v>0</v>
      </c>
      <c r="AE118" s="166" t="str">
        <f t="shared" si="37"/>
        <v>Release</v>
      </c>
      <c r="AF118" s="127"/>
      <c r="AG118" s="18">
        <v>0</v>
      </c>
      <c r="AH118" s="120"/>
      <c r="AI118" s="238">
        <v>0</v>
      </c>
      <c r="AJ118" s="132"/>
      <c r="AK118" s="151">
        <v>235.29999999999998</v>
      </c>
      <c r="AL118" s="154">
        <f t="shared" si="25"/>
        <v>0</v>
      </c>
      <c r="AM118" s="155"/>
      <c r="AN118" s="19">
        <f t="shared" si="26"/>
        <v>1861</v>
      </c>
      <c r="AO118" s="118">
        <f>SUMIF('MPG Payment '!E:E,'Shayak Income '!D118,'MPG Payment '!AJ:AJ)</f>
        <v>500</v>
      </c>
      <c r="AP118" s="19">
        <f t="shared" si="27"/>
        <v>0</v>
      </c>
      <c r="AQ118" s="119">
        <f t="shared" si="38"/>
        <v>500</v>
      </c>
      <c r="AR118" s="91" t="s">
        <v>1168</v>
      </c>
      <c r="AS118" s="91">
        <f t="shared" si="28"/>
        <v>3890.3617999999997</v>
      </c>
      <c r="AT118" s="118"/>
      <c r="AU118" s="118"/>
      <c r="AV118" s="118"/>
    </row>
    <row r="119" spans="1:48" s="20" customFormat="1" x14ac:dyDescent="0.25">
      <c r="A119" s="17">
        <f>IFERROR(VLOOKUP(D119,'Monthly Deduction'!$I$3:$J$957,2,0),0)</f>
        <v>31266.887593961728</v>
      </c>
      <c r="B119" s="17">
        <f>IFERROR(VLOOKUP(D119,'Monthly Deduction'!$E$3:$F$957,2,0),0)</f>
        <v>12800</v>
      </c>
      <c r="C119" s="17">
        <f t="shared" si="29"/>
        <v>44066.887593961728</v>
      </c>
      <c r="D119" s="41">
        <v>10030059</v>
      </c>
      <c r="E119" s="122" t="str">
        <f>VLOOKUP(D119,'MPG Payment '!$E$3:$G$498218,2,0)</f>
        <v>JHAJHA</v>
      </c>
      <c r="F119" s="146">
        <f>IFERROR(_xlfn.XLOOKUP(D119,'Monthly Deduction'!$I$3:$I$957,'Monthly Deduction'!$H$3:$H$957),0)</f>
        <v>0</v>
      </c>
      <c r="G119" s="123" t="str">
        <f>VLOOKUP(D119,'MPG Payment '!$E$3:$G$334579,3,0)</f>
        <v>MPG</v>
      </c>
      <c r="H119" s="124" t="str">
        <f>VLOOKUP(D119,'MPG Payment '!$E$3:$H$334579,4,0)</f>
        <v>Direct</v>
      </c>
      <c r="I119" s="88">
        <f>INDEX('MPG Payment '!$C:$C,MATCH('Shayak Income '!D119,'MPG Payment '!E:E,0))</f>
        <v>1003</v>
      </c>
      <c r="J119" s="88" t="str">
        <f>INDEX('MPG Payment '!$D:$D,MATCH('Shayak Income '!D119,'MPG Payment '!E:E,0))</f>
        <v>Asarganj</v>
      </c>
      <c r="K119" s="125" t="s">
        <v>1322</v>
      </c>
      <c r="L119" s="125">
        <v>45323</v>
      </c>
      <c r="M119" s="126">
        <f>SUMIF('MPG Payment '!$E$3:$E$34579,'Shayak Income '!D119,'MPG Payment '!$I$3:$I$34579)</f>
        <v>2152.8999999999996</v>
      </c>
      <c r="N119" s="126">
        <f>SUMIF('MPG Payment '!$E$3:$E$34579,'Shayak Income '!D119,'MPG Payment '!$J$3:$J$34579)</f>
        <v>89657.427801254991</v>
      </c>
      <c r="O119" s="126">
        <f t="shared" si="30"/>
        <v>1614.6749999999997</v>
      </c>
      <c r="P119" s="126">
        <f t="shared" si="31"/>
        <v>2045.2549999999997</v>
      </c>
      <c r="Q119" s="126">
        <f>SUMIF('MPG Payment '!$E$3:$E$34579,'Shayak Income '!D119,'MPG Payment '!$S$3:$S$34579)</f>
        <v>257.48581980762003</v>
      </c>
      <c r="R119" s="126">
        <f t="shared" si="21"/>
        <v>2689.7228340376496</v>
      </c>
      <c r="S119" s="126">
        <f t="shared" si="22"/>
        <v>644.46783403764994</v>
      </c>
      <c r="T119" s="126">
        <f t="shared" si="32"/>
        <v>215.28999999999996</v>
      </c>
      <c r="U119" s="127">
        <f>(((IF(K119="New",0,SUMIF('MPG Payment '!$E$3:$E$34579,'Shayak Income '!D119,'MPG Payment '!$AC$3:$AC$34579))))+0)+0</f>
        <v>539.13675952634776</v>
      </c>
      <c r="V119" s="127">
        <f t="shared" si="33"/>
        <v>3163</v>
      </c>
      <c r="W119" s="19">
        <f t="shared" si="34"/>
        <v>1861</v>
      </c>
      <c r="X119" s="19">
        <v>0</v>
      </c>
      <c r="Y119" s="128">
        <f>IFERROR(VLOOKUP(D119,'Monthly Deduction'!$M$2:$N$64,2,0),0)</f>
        <v>0</v>
      </c>
      <c r="Z119" s="128">
        <v>0</v>
      </c>
      <c r="AA119" s="126">
        <f>IFERROR(VLOOKUP(D119,'Monthly Deduction'!A:B,2,0),0)</f>
        <v>0</v>
      </c>
      <c r="AB119" s="129">
        <f t="shared" si="24"/>
        <v>1302</v>
      </c>
      <c r="AC119" s="130">
        <v>0</v>
      </c>
      <c r="AD119" s="35">
        <f t="shared" si="36"/>
        <v>1302</v>
      </c>
      <c r="AE119" s="166" t="str">
        <f t="shared" si="37"/>
        <v>Release</v>
      </c>
      <c r="AF119" s="127"/>
      <c r="AG119" s="18">
        <v>0</v>
      </c>
      <c r="AH119" s="120"/>
      <c r="AI119" s="238">
        <v>0</v>
      </c>
      <c r="AJ119" s="132"/>
      <c r="AK119" s="151">
        <v>697.64999999999986</v>
      </c>
      <c r="AL119" s="154">
        <f t="shared" si="25"/>
        <v>0</v>
      </c>
      <c r="AM119" s="155"/>
      <c r="AN119" s="19">
        <f t="shared" si="26"/>
        <v>1861</v>
      </c>
      <c r="AO119" s="118">
        <f>SUMIF('MPG Payment '!E:E,'Shayak Income '!D119,'MPG Payment '!AJ:AJ)</f>
        <v>0</v>
      </c>
      <c r="AP119" s="19">
        <f t="shared" si="27"/>
        <v>1861</v>
      </c>
      <c r="AQ119" s="119">
        <f t="shared" si="38"/>
        <v>1861</v>
      </c>
      <c r="AR119" s="91" t="s">
        <v>1168</v>
      </c>
      <c r="AS119" s="91">
        <f t="shared" si="28"/>
        <v>12800</v>
      </c>
      <c r="AT119" s="118"/>
      <c r="AU119" s="118"/>
      <c r="AV119" s="118"/>
    </row>
    <row r="120" spans="1:48" s="20" customFormat="1" x14ac:dyDescent="0.25">
      <c r="A120" s="17">
        <f>IFERROR(VLOOKUP(D120,'Monthly Deduction'!$I$3:$J$957,2,0),0)</f>
        <v>38366.288626500318</v>
      </c>
      <c r="B120" s="17">
        <f>IFERROR(VLOOKUP(D120,'Monthly Deduction'!$E$3:$F$957,2,0),0)</f>
        <v>6400</v>
      </c>
      <c r="C120" s="17">
        <f t="shared" si="29"/>
        <v>44766.288626500318</v>
      </c>
      <c r="D120" s="41">
        <v>10030060</v>
      </c>
      <c r="E120" s="122" t="str">
        <f>VLOOKUP(D120,'MPG Payment '!$E$3:$G$498218,2,0)</f>
        <v>KAMARDUH</v>
      </c>
      <c r="F120" s="146">
        <f>IFERROR(_xlfn.XLOOKUP(D120,'Monthly Deduction'!$I$3:$I$957,'Monthly Deduction'!$H$3:$H$957),0)</f>
        <v>0</v>
      </c>
      <c r="G120" s="123" t="str">
        <f>VLOOKUP(D120,'MPG Payment '!$E$3:$G$334579,3,0)</f>
        <v>MPG</v>
      </c>
      <c r="H120" s="124" t="str">
        <f>VLOOKUP(D120,'MPG Payment '!$E$3:$H$334579,4,0)</f>
        <v>Direct</v>
      </c>
      <c r="I120" s="88">
        <f>INDEX('MPG Payment '!$C:$C,MATCH('Shayak Income '!D120,'MPG Payment '!E:E,0))</f>
        <v>1003</v>
      </c>
      <c r="J120" s="88" t="str">
        <f>INDEX('MPG Payment '!$D:$D,MATCH('Shayak Income '!D120,'MPG Payment '!E:E,0))</f>
        <v>Asarganj</v>
      </c>
      <c r="K120" s="125" t="s">
        <v>1322</v>
      </c>
      <c r="L120" s="125">
        <v>45323</v>
      </c>
      <c r="M120" s="126">
        <f>SUMIF('MPG Payment '!$E$3:$E$34579,'Shayak Income '!D120,'MPG Payment '!$I$3:$I$34579)</f>
        <v>3185.85</v>
      </c>
      <c r="N120" s="126">
        <f>SUMIF('MPG Payment '!$E$3:$E$34579,'Shayak Income '!D120,'MPG Payment '!$J$3:$J$34579)</f>
        <v>131405.020748265</v>
      </c>
      <c r="O120" s="126">
        <f t="shared" si="30"/>
        <v>2389.3874999999998</v>
      </c>
      <c r="P120" s="126">
        <f t="shared" si="31"/>
        <v>3026.5574999999999</v>
      </c>
      <c r="Q120" s="126">
        <f>SUMIF('MPG Payment '!$E$3:$E$34579,'Shayak Income '!D120,'MPG Payment '!$S$3:$S$34579)</f>
        <v>1116.0753384000002</v>
      </c>
      <c r="R120" s="126">
        <f t="shared" si="21"/>
        <v>3942.1506224479499</v>
      </c>
      <c r="S120" s="126">
        <f t="shared" si="22"/>
        <v>915.59312244795001</v>
      </c>
      <c r="T120" s="126">
        <f t="shared" si="32"/>
        <v>318.58500000000004</v>
      </c>
      <c r="U120" s="127">
        <f>(((IF(K120="New",0,SUMIF('MPG Payment '!$E$3:$E$34579,'Shayak Income '!D120,'MPG Payment '!$AC$3:$AC$34579))))+0)+0</f>
        <v>0</v>
      </c>
      <c r="V120" s="127">
        <f t="shared" si="33"/>
        <v>6213</v>
      </c>
      <c r="W120" s="19">
        <f t="shared" si="34"/>
        <v>2628.1004149652999</v>
      </c>
      <c r="X120" s="19">
        <v>0</v>
      </c>
      <c r="Y120" s="128">
        <f>IFERROR(VLOOKUP(D120,'Monthly Deduction'!$M$2:$N$64,2,0),0)</f>
        <v>0</v>
      </c>
      <c r="Z120" s="128">
        <v>0</v>
      </c>
      <c r="AA120" s="126">
        <f>IFERROR(VLOOKUP(D120,'Monthly Deduction'!A:B,2,0),0)</f>
        <v>0</v>
      </c>
      <c r="AB120" s="129">
        <f t="shared" si="24"/>
        <v>3585</v>
      </c>
      <c r="AC120" s="130">
        <v>0</v>
      </c>
      <c r="AD120" s="35">
        <f t="shared" si="36"/>
        <v>3585</v>
      </c>
      <c r="AE120" s="166" t="str">
        <f t="shared" si="37"/>
        <v>Release</v>
      </c>
      <c r="AF120" s="127"/>
      <c r="AG120" s="18">
        <v>0</v>
      </c>
      <c r="AH120" s="120"/>
      <c r="AI120" s="238">
        <v>0</v>
      </c>
      <c r="AJ120" s="132"/>
      <c r="AK120" s="151">
        <v>556.79999999999995</v>
      </c>
      <c r="AL120" s="154">
        <f t="shared" si="25"/>
        <v>0</v>
      </c>
      <c r="AM120" s="155"/>
      <c r="AN120" s="19">
        <f t="shared" si="26"/>
        <v>2628.1004149652999</v>
      </c>
      <c r="AO120" s="118">
        <f>SUMIF('MPG Payment '!E:E,'Shayak Income '!D120,'MPG Payment '!AJ:AJ)</f>
        <v>0</v>
      </c>
      <c r="AP120" s="19">
        <f t="shared" si="27"/>
        <v>2628.1004149652999</v>
      </c>
      <c r="AQ120" s="119">
        <f t="shared" si="38"/>
        <v>2628.1004149652999</v>
      </c>
      <c r="AR120" s="91" t="s">
        <v>1168</v>
      </c>
      <c r="AS120" s="91">
        <f t="shared" si="28"/>
        <v>6400</v>
      </c>
      <c r="AT120" s="118"/>
      <c r="AU120" s="118"/>
      <c r="AV120" s="118"/>
    </row>
    <row r="121" spans="1:48" s="20" customFormat="1" x14ac:dyDescent="0.25">
      <c r="A121" s="17">
        <f>IFERROR(VLOOKUP(D121,'Monthly Deduction'!$I$3:$J$957,2,0),0)</f>
        <v>26998.489303577197</v>
      </c>
      <c r="B121" s="17">
        <f>IFERROR(VLOOKUP(D121,'Monthly Deduction'!$E$3:$F$957,2,0),0)</f>
        <v>6400</v>
      </c>
      <c r="C121" s="17">
        <f t="shared" si="29"/>
        <v>33398.489303577197</v>
      </c>
      <c r="D121" s="41">
        <v>10030061</v>
      </c>
      <c r="E121" s="122" t="str">
        <f>VLOOKUP(D121,'MPG Payment '!$E$3:$G$498218,2,0)</f>
        <v>BARSABAD</v>
      </c>
      <c r="F121" s="146">
        <f>IFERROR(_xlfn.XLOOKUP(D121,'Monthly Deduction'!$I$3:$I$957,'Monthly Deduction'!$H$3:$H$957),0)</f>
        <v>0</v>
      </c>
      <c r="G121" s="123" t="str">
        <f>VLOOKUP(D121,'MPG Payment '!$E$3:$G$334579,3,0)</f>
        <v>MPG</v>
      </c>
      <c r="H121" s="124" t="str">
        <f>VLOOKUP(D121,'MPG Payment '!$E$3:$H$334579,4,0)</f>
        <v>Direct</v>
      </c>
      <c r="I121" s="88">
        <f>INDEX('MPG Payment '!$C:$C,MATCH('Shayak Income '!D121,'MPG Payment '!E:E,0))</f>
        <v>1003</v>
      </c>
      <c r="J121" s="88" t="str">
        <f>INDEX('MPG Payment '!$D:$D,MATCH('Shayak Income '!D121,'MPG Payment '!E:E,0))</f>
        <v>Asarganj</v>
      </c>
      <c r="K121" s="125" t="s">
        <v>1322</v>
      </c>
      <c r="L121" s="125">
        <v>45323</v>
      </c>
      <c r="M121" s="126">
        <f>SUMIF('MPG Payment '!$E$3:$E$34579,'Shayak Income '!D121,'MPG Payment '!$I$3:$I$34579)</f>
        <v>2298.3999999999996</v>
      </c>
      <c r="N121" s="126">
        <f>SUMIF('MPG Payment '!$E$3:$E$34579,'Shayak Income '!D121,'MPG Payment '!$J$3:$J$34579)</f>
        <v>76159.977049039517</v>
      </c>
      <c r="O121" s="126">
        <f t="shared" si="30"/>
        <v>1723.7999999999997</v>
      </c>
      <c r="P121" s="126">
        <f t="shared" si="31"/>
        <v>2183.4799999999996</v>
      </c>
      <c r="Q121" s="126">
        <f>SUMIF('MPG Payment '!$E$3:$E$34579,'Shayak Income '!D121,'MPG Payment '!$S$3:$S$34579)</f>
        <v>305.86861596000006</v>
      </c>
      <c r="R121" s="126">
        <f t="shared" si="21"/>
        <v>2284.7993114711853</v>
      </c>
      <c r="S121" s="126">
        <f t="shared" si="22"/>
        <v>101.31931147118576</v>
      </c>
      <c r="T121" s="126">
        <f t="shared" si="32"/>
        <v>229.83999999999997</v>
      </c>
      <c r="U121" s="127">
        <f>(((IF(K121="New",0,SUMIF('MPG Payment '!$E$3:$E$34579,'Shayak Income '!D121,'MPG Payment '!$AC$3:$AC$34579))))+0)+0</f>
        <v>341.58171192806907</v>
      </c>
      <c r="V121" s="127">
        <f t="shared" si="33"/>
        <v>3642</v>
      </c>
      <c r="W121" s="19">
        <f t="shared" si="34"/>
        <v>1861</v>
      </c>
      <c r="X121" s="19">
        <v>0</v>
      </c>
      <c r="Y121" s="128">
        <f>IFERROR(VLOOKUP(D121,'Monthly Deduction'!$M$2:$N$64,2,0),0)</f>
        <v>0</v>
      </c>
      <c r="Z121" s="128">
        <v>0</v>
      </c>
      <c r="AA121" s="126">
        <f>IFERROR(VLOOKUP(D121,'Monthly Deduction'!A:B,2,0),0)</f>
        <v>0</v>
      </c>
      <c r="AB121" s="129">
        <f t="shared" si="24"/>
        <v>1781</v>
      </c>
      <c r="AC121" s="130">
        <v>0</v>
      </c>
      <c r="AD121" s="35">
        <f t="shared" si="36"/>
        <v>1781</v>
      </c>
      <c r="AE121" s="166" t="str">
        <f t="shared" si="37"/>
        <v>Release</v>
      </c>
      <c r="AF121" s="127"/>
      <c r="AG121" s="18">
        <v>0</v>
      </c>
      <c r="AH121" s="120"/>
      <c r="AI121" s="238">
        <v>0</v>
      </c>
      <c r="AJ121" s="132"/>
      <c r="AK121" s="151">
        <v>422.85</v>
      </c>
      <c r="AL121" s="154">
        <f t="shared" si="25"/>
        <v>0</v>
      </c>
      <c r="AM121" s="155"/>
      <c r="AN121" s="19">
        <f t="shared" si="26"/>
        <v>1861</v>
      </c>
      <c r="AO121" s="118">
        <f>SUMIF('MPG Payment '!E:E,'Shayak Income '!D121,'MPG Payment '!AJ:AJ)</f>
        <v>0</v>
      </c>
      <c r="AP121" s="19">
        <f t="shared" si="27"/>
        <v>1861</v>
      </c>
      <c r="AQ121" s="119">
        <f t="shared" si="38"/>
        <v>1861</v>
      </c>
      <c r="AR121" s="91" t="s">
        <v>1168</v>
      </c>
      <c r="AS121" s="91">
        <f t="shared" si="28"/>
        <v>6400</v>
      </c>
      <c r="AT121" s="118"/>
      <c r="AU121" s="118"/>
      <c r="AV121" s="118"/>
    </row>
    <row r="122" spans="1:48" s="20" customFormat="1" x14ac:dyDescent="0.25">
      <c r="A122" s="17">
        <f>IFERROR(VLOOKUP(D122,'Monthly Deduction'!$I$3:$J$957,2,0),0)</f>
        <v>42447.624188748858</v>
      </c>
      <c r="B122" s="17">
        <f>IFERROR(VLOOKUP(D122,'Monthly Deduction'!$E$3:$F$957,2,0),0)</f>
        <v>6400</v>
      </c>
      <c r="C122" s="17">
        <f t="shared" si="29"/>
        <v>48847.624188748858</v>
      </c>
      <c r="D122" s="41">
        <v>10030063</v>
      </c>
      <c r="E122" s="122" t="str">
        <f>VLOOKUP(D122,'MPG Payment '!$E$3:$G$498218,2,0)</f>
        <v>GONAI</v>
      </c>
      <c r="F122" s="146">
        <f>IFERROR(_xlfn.XLOOKUP(D122,'Monthly Deduction'!$I$3:$I$957,'Monthly Deduction'!$H$3:$H$957),0)</f>
        <v>0</v>
      </c>
      <c r="G122" s="123" t="str">
        <f>VLOOKUP(D122,'MPG Payment '!$E$3:$G$334579,3,0)</f>
        <v>MPG</v>
      </c>
      <c r="H122" s="124" t="str">
        <f>VLOOKUP(D122,'MPG Payment '!$E$3:$H$334579,4,0)</f>
        <v>Direct</v>
      </c>
      <c r="I122" s="88">
        <f>INDEX('MPG Payment '!$C:$C,MATCH('Shayak Income '!D122,'MPG Payment '!E:E,0))</f>
        <v>1003</v>
      </c>
      <c r="J122" s="88" t="str">
        <f>INDEX('MPG Payment '!$D:$D,MATCH('Shayak Income '!D122,'MPG Payment '!E:E,0))</f>
        <v>Asarganj</v>
      </c>
      <c r="K122" s="125" t="s">
        <v>1322</v>
      </c>
      <c r="L122" s="125">
        <v>45541</v>
      </c>
      <c r="M122" s="126">
        <f>SUMIF('MPG Payment '!$E$3:$E$34579,'Shayak Income '!D122,'MPG Payment '!$I$3:$I$34579)</f>
        <v>4483.3</v>
      </c>
      <c r="N122" s="126">
        <f>SUMIF('MPG Payment '!$E$3:$E$34579,'Shayak Income '!D122,'MPG Payment '!$J$3:$J$34579)</f>
        <v>172428.80466426499</v>
      </c>
      <c r="O122" s="126">
        <f t="shared" si="30"/>
        <v>3362.4750000000004</v>
      </c>
      <c r="P122" s="126">
        <f t="shared" si="31"/>
        <v>4259.1350000000002</v>
      </c>
      <c r="Q122" s="126">
        <f>SUMIF('MPG Payment '!$E$3:$E$34579,'Shayak Income '!D122,'MPG Payment '!$S$3:$S$34579)</f>
        <v>599.85724068240006</v>
      </c>
      <c r="R122" s="126">
        <f t="shared" si="21"/>
        <v>5172.8641399279495</v>
      </c>
      <c r="S122" s="126">
        <f t="shared" si="22"/>
        <v>913.72913992794929</v>
      </c>
      <c r="T122" s="126">
        <f t="shared" si="32"/>
        <v>448.33000000000004</v>
      </c>
      <c r="U122" s="127">
        <f>(((IF(K122="New",0,SUMIF('MPG Payment '!$E$3:$E$34579,'Shayak Income '!D122,'MPG Payment '!$AC$3:$AC$34579))))+0)+0</f>
        <v>0</v>
      </c>
      <c r="V122" s="127">
        <f t="shared" si="33"/>
        <v>7773</v>
      </c>
      <c r="W122" s="19">
        <f t="shared" si="34"/>
        <v>3448.5760932853</v>
      </c>
      <c r="X122" s="19">
        <v>0</v>
      </c>
      <c r="Y122" s="128">
        <f>IFERROR(VLOOKUP(D122,'Monthly Deduction'!$M$2:$N$64,2,0),0)</f>
        <v>0</v>
      </c>
      <c r="Z122" s="128">
        <v>0</v>
      </c>
      <c r="AA122" s="126">
        <f>IFERROR(VLOOKUP(D122,'Monthly Deduction'!A:B,2,0),0)</f>
        <v>0</v>
      </c>
      <c r="AB122" s="129">
        <f t="shared" si="24"/>
        <v>4324</v>
      </c>
      <c r="AC122" s="130">
        <v>0</v>
      </c>
      <c r="AD122" s="35">
        <f t="shared" si="36"/>
        <v>4324</v>
      </c>
      <c r="AE122" s="166" t="str">
        <f t="shared" si="37"/>
        <v>Release</v>
      </c>
      <c r="AF122" s="127"/>
      <c r="AG122" s="18">
        <v>0</v>
      </c>
      <c r="AH122" s="120"/>
      <c r="AI122" s="238">
        <v>0</v>
      </c>
      <c r="AJ122" s="132"/>
      <c r="AK122" s="151">
        <v>1782.9</v>
      </c>
      <c r="AL122" s="154">
        <f t="shared" si="25"/>
        <v>0</v>
      </c>
      <c r="AM122" s="155"/>
      <c r="AN122" s="19">
        <f t="shared" si="26"/>
        <v>3448.5760932853</v>
      </c>
      <c r="AO122" s="118">
        <f>SUMIF('MPG Payment '!E:E,'Shayak Income '!D122,'MPG Payment '!AJ:AJ)</f>
        <v>0</v>
      </c>
      <c r="AP122" s="19">
        <f t="shared" si="27"/>
        <v>3448.5760932853</v>
      </c>
      <c r="AQ122" s="119">
        <f t="shared" si="38"/>
        <v>3448.5760932853</v>
      </c>
      <c r="AR122" s="91" t="s">
        <v>1168</v>
      </c>
      <c r="AS122" s="91">
        <f t="shared" si="28"/>
        <v>6400</v>
      </c>
      <c r="AT122" s="118"/>
      <c r="AU122" s="118"/>
      <c r="AV122" s="118"/>
    </row>
    <row r="123" spans="1:48" s="20" customFormat="1" x14ac:dyDescent="0.25">
      <c r="A123" s="17">
        <f>IFERROR(VLOOKUP(D123,'Monthly Deduction'!$I$3:$J$957,2,0),0)</f>
        <v>23802.972273028819</v>
      </c>
      <c r="B123" s="17">
        <f>IFERROR(VLOOKUP(D123,'Monthly Deduction'!$E$3:$F$957,2,0),0)</f>
        <v>16000</v>
      </c>
      <c r="C123" s="17">
        <f t="shared" si="29"/>
        <v>39802.972273028819</v>
      </c>
      <c r="D123" s="41">
        <v>10030064</v>
      </c>
      <c r="E123" s="122" t="str">
        <f>VLOOKUP(D123,'MPG Payment '!$E$3:$G$498218,2,0)</f>
        <v>SHIKARITOLA</v>
      </c>
      <c r="F123" s="146">
        <f>IFERROR(_xlfn.XLOOKUP(D123,'Monthly Deduction'!$I$3:$I$957,'Monthly Deduction'!$H$3:$H$957),0)</f>
        <v>0</v>
      </c>
      <c r="G123" s="123" t="str">
        <f>VLOOKUP(D123,'MPG Payment '!$E$3:$G$334579,3,0)</f>
        <v>MPG</v>
      </c>
      <c r="H123" s="124" t="str">
        <f>VLOOKUP(D123,'MPG Payment '!$E$3:$H$334579,4,0)</f>
        <v>Direct</v>
      </c>
      <c r="I123" s="88">
        <f>INDEX('MPG Payment '!$C:$C,MATCH('Shayak Income '!D123,'MPG Payment '!E:E,0))</f>
        <v>1003</v>
      </c>
      <c r="J123" s="88" t="str">
        <f>INDEX('MPG Payment '!$D:$D,MATCH('Shayak Income '!D123,'MPG Payment '!E:E,0))</f>
        <v>Asarganj</v>
      </c>
      <c r="K123" s="125" t="s">
        <v>1322</v>
      </c>
      <c r="L123" s="125">
        <v>45505</v>
      </c>
      <c r="M123" s="126">
        <f>SUMIF('MPG Payment '!$E$3:$E$34579,'Shayak Income '!D123,'MPG Payment '!$I$3:$I$34579)</f>
        <v>4055.55</v>
      </c>
      <c r="N123" s="126">
        <f>SUMIF('MPG Payment '!$E$3:$E$34579,'Shayak Income '!D123,'MPG Payment '!$J$3:$J$34579)</f>
        <v>160249.53110898999</v>
      </c>
      <c r="O123" s="126">
        <f t="shared" si="30"/>
        <v>3041.6625000000004</v>
      </c>
      <c r="P123" s="126">
        <f t="shared" si="31"/>
        <v>3852.7725</v>
      </c>
      <c r="Q123" s="126">
        <f>SUMIF('MPG Payment '!$E$3:$E$34579,'Shayak Income '!D123,'MPG Payment '!$S$3:$S$34579)</f>
        <v>0</v>
      </c>
      <c r="R123" s="126">
        <f t="shared" si="21"/>
        <v>4807.4859332696997</v>
      </c>
      <c r="S123" s="126">
        <f t="shared" si="22"/>
        <v>954.71343326969964</v>
      </c>
      <c r="T123" s="126">
        <f t="shared" si="32"/>
        <v>405.55500000000006</v>
      </c>
      <c r="U123" s="127">
        <f>(((IF(K123="New",0,SUMIF('MPG Payment '!$E$3:$E$34579,'Shayak Income '!D123,'MPG Payment '!$AC$3:$AC$34579))))+0)+0</f>
        <v>0</v>
      </c>
      <c r="V123" s="127">
        <f t="shared" si="33"/>
        <v>6489</v>
      </c>
      <c r="W123" s="19">
        <f t="shared" si="34"/>
        <v>3204.9906221798001</v>
      </c>
      <c r="X123" s="19">
        <v>0</v>
      </c>
      <c r="Y123" s="128">
        <f>IFERROR(VLOOKUP(D123,'Monthly Deduction'!$M$2:$N$64,2,0),0)</f>
        <v>0</v>
      </c>
      <c r="Z123" s="128">
        <v>0</v>
      </c>
      <c r="AA123" s="126">
        <f>IFERROR(VLOOKUP(D123,'Monthly Deduction'!A:B,2,0),0)</f>
        <v>0</v>
      </c>
      <c r="AB123" s="129">
        <f t="shared" si="24"/>
        <v>3284</v>
      </c>
      <c r="AC123" s="130">
        <v>0</v>
      </c>
      <c r="AD123" s="35">
        <f t="shared" si="36"/>
        <v>3284</v>
      </c>
      <c r="AE123" s="166" t="str">
        <f t="shared" si="37"/>
        <v>Release</v>
      </c>
      <c r="AF123" s="127"/>
      <c r="AG123" s="18">
        <v>0</v>
      </c>
      <c r="AH123" s="120"/>
      <c r="AI123" s="238">
        <v>0</v>
      </c>
      <c r="AJ123" s="132"/>
      <c r="AK123" s="151">
        <v>1100.6000000000001</v>
      </c>
      <c r="AL123" s="154">
        <f t="shared" si="25"/>
        <v>0</v>
      </c>
      <c r="AM123" s="155"/>
      <c r="AN123" s="19">
        <f t="shared" si="26"/>
        <v>3204.9906221798001</v>
      </c>
      <c r="AO123" s="118">
        <f>SUMIF('MPG Payment '!E:E,'Shayak Income '!D123,'MPG Payment '!AJ:AJ)</f>
        <v>0</v>
      </c>
      <c r="AP123" s="19">
        <f t="shared" si="27"/>
        <v>3204.9906221798001</v>
      </c>
      <c r="AQ123" s="119">
        <f t="shared" si="38"/>
        <v>3204.9906221798001</v>
      </c>
      <c r="AR123" s="91" t="s">
        <v>1168</v>
      </c>
      <c r="AS123" s="91">
        <f t="shared" si="28"/>
        <v>16000</v>
      </c>
      <c r="AT123" s="118"/>
      <c r="AU123" s="118"/>
      <c r="AV123" s="118"/>
    </row>
    <row r="124" spans="1:48" s="20" customFormat="1" x14ac:dyDescent="0.25">
      <c r="A124" s="17">
        <f>IFERROR(VLOOKUP(D124,'Monthly Deduction'!$I$3:$J$957,2,0),0)</f>
        <v>67503</v>
      </c>
      <c r="B124" s="17">
        <f>IFERROR(VLOOKUP(D124,'Monthly Deduction'!$E$3:$F$957,2,0),0)</f>
        <v>4526.3190178130099</v>
      </c>
      <c r="C124" s="17">
        <f t="shared" si="29"/>
        <v>72029.319017813017</v>
      </c>
      <c r="D124" s="41">
        <v>10030065</v>
      </c>
      <c r="E124" s="122" t="str">
        <f>VLOOKUP(D124,'MPG Payment '!$E$3:$G$498218,2,0)</f>
        <v>BAIKUNTHPUR</v>
      </c>
      <c r="F124" s="146">
        <f>IFERROR(_xlfn.XLOOKUP(D124,'Monthly Deduction'!$I$3:$I$957,'Monthly Deduction'!$H$3:$H$957),0)</f>
        <v>0</v>
      </c>
      <c r="G124" s="123" t="str">
        <f>VLOOKUP(D124,'MPG Payment '!$E$3:$G$334579,3,0)</f>
        <v>MPG</v>
      </c>
      <c r="H124" s="124" t="str">
        <f>VLOOKUP(D124,'MPG Payment '!$E$3:$H$334579,4,0)</f>
        <v>Direct</v>
      </c>
      <c r="I124" s="88">
        <f>INDEX('MPG Payment '!$C:$C,MATCH('Shayak Income '!D124,'MPG Payment '!E:E,0))</f>
        <v>1003</v>
      </c>
      <c r="J124" s="88" t="str">
        <f>INDEX('MPG Payment '!$D:$D,MATCH('Shayak Income '!D124,'MPG Payment '!E:E,0))</f>
        <v>Asarganj</v>
      </c>
      <c r="K124" s="125" t="s">
        <v>1322</v>
      </c>
      <c r="L124" s="125">
        <v>45631</v>
      </c>
      <c r="M124" s="126">
        <f>SUMIF('MPG Payment '!$E$3:$E$34579,'Shayak Income '!D124,'MPG Payment '!$I$3:$I$34579)</f>
        <v>696.25</v>
      </c>
      <c r="N124" s="126">
        <f>SUMIF('MPG Payment '!$E$3:$E$34579,'Shayak Income '!D124,'MPG Payment '!$J$3:$J$34579)</f>
        <v>24918.482498189998</v>
      </c>
      <c r="O124" s="126">
        <f t="shared" si="30"/>
        <v>522.1875</v>
      </c>
      <c r="P124" s="126">
        <f t="shared" si="31"/>
        <v>661.4375</v>
      </c>
      <c r="Q124" s="126">
        <f>SUMIF('MPG Payment '!$E$3:$E$34579,'Shayak Income '!D124,'MPG Payment '!$S$3:$S$34579)</f>
        <v>329.58049251839998</v>
      </c>
      <c r="R124" s="126">
        <f t="shared" si="21"/>
        <v>747.55447494569989</v>
      </c>
      <c r="S124" s="126">
        <f t="shared" si="22"/>
        <v>86.116974945699894</v>
      </c>
      <c r="T124" s="126">
        <f t="shared" si="32"/>
        <v>69.625</v>
      </c>
      <c r="U124" s="127">
        <f>(((IF(K124="New",0,SUMIF('MPG Payment '!$E$3:$E$34579,'Shayak Income '!D124,'MPG Payment '!$AC$3:$AC$34579))))+0)+-69</f>
        <v>1443.2521158325653</v>
      </c>
      <c r="V124" s="127">
        <f t="shared" si="33"/>
        <v>0</v>
      </c>
      <c r="W124" s="19">
        <v>0</v>
      </c>
      <c r="X124" s="19">
        <v>0</v>
      </c>
      <c r="Y124" s="128">
        <f>IFERROR(VLOOKUP(D124,'Monthly Deduction'!$M$2:$N$64,2,0),0)</f>
        <v>0</v>
      </c>
      <c r="Z124" s="128">
        <v>0</v>
      </c>
      <c r="AA124" s="126">
        <f>IFERROR(VLOOKUP(D124,'Monthly Deduction'!A:B,2,0),0)</f>
        <v>0</v>
      </c>
      <c r="AB124" s="129">
        <f t="shared" si="24"/>
        <v>0</v>
      </c>
      <c r="AC124" s="130">
        <f>AB124</f>
        <v>0</v>
      </c>
      <c r="AD124" s="35">
        <f t="shared" si="36"/>
        <v>0</v>
      </c>
      <c r="AE124" s="166" t="str">
        <f t="shared" si="37"/>
        <v>Release</v>
      </c>
      <c r="AF124" s="127"/>
      <c r="AG124" s="18">
        <v>0</v>
      </c>
      <c r="AH124" s="120" t="s">
        <v>1653</v>
      </c>
      <c r="AI124" s="238">
        <v>0</v>
      </c>
      <c r="AJ124" s="132"/>
      <c r="AK124" s="151">
        <v>215.85</v>
      </c>
      <c r="AL124" s="154">
        <f t="shared" si="25"/>
        <v>0</v>
      </c>
      <c r="AM124" s="155"/>
      <c r="AN124" s="19">
        <f t="shared" si="26"/>
        <v>1861</v>
      </c>
      <c r="AO124" s="118">
        <f>SUMIF('MPG Payment '!E:E,'Shayak Income '!D124,'MPG Payment '!AJ:AJ)</f>
        <v>500</v>
      </c>
      <c r="AP124" s="19">
        <f t="shared" si="27"/>
        <v>0</v>
      </c>
      <c r="AQ124" s="119">
        <f t="shared" si="38"/>
        <v>500</v>
      </c>
      <c r="AR124" s="91" t="s">
        <v>1168</v>
      </c>
      <c r="AS124" s="91">
        <f t="shared" si="28"/>
        <v>4526.3190178130099</v>
      </c>
      <c r="AT124" s="118"/>
      <c r="AU124" s="118"/>
      <c r="AV124" s="118"/>
    </row>
    <row r="125" spans="1:48" s="20" customFormat="1" x14ac:dyDescent="0.25">
      <c r="A125" s="17">
        <f>IFERROR(VLOOKUP(D125,'Monthly Deduction'!$I$3:$J$957,2,0),0)</f>
        <v>30117.493763227903</v>
      </c>
      <c r="B125" s="17">
        <f>IFERROR(VLOOKUP(D125,'Monthly Deduction'!$E$3:$F$957,2,0),0)</f>
        <v>3200</v>
      </c>
      <c r="C125" s="17">
        <f t="shared" si="29"/>
        <v>33317.493763227903</v>
      </c>
      <c r="D125" s="41">
        <v>10030066</v>
      </c>
      <c r="E125" s="122" t="str">
        <f>VLOOKUP(D125,'MPG Payment '!$E$3:$G$498218,2,0)</f>
        <v>KAITHA</v>
      </c>
      <c r="F125" s="146">
        <f>IFERROR(_xlfn.XLOOKUP(D125,'Monthly Deduction'!$I$3:$I$957,'Monthly Deduction'!$H$3:$H$957),0)</f>
        <v>0</v>
      </c>
      <c r="G125" s="123" t="str">
        <f>VLOOKUP(D125,'MPG Payment '!$E$3:$G$334579,3,0)</f>
        <v>MPG</v>
      </c>
      <c r="H125" s="124" t="str">
        <f>VLOOKUP(D125,'MPG Payment '!$E$3:$H$334579,4,0)</f>
        <v>Direct</v>
      </c>
      <c r="I125" s="88">
        <f>INDEX('MPG Payment '!$C:$C,MATCH('Shayak Income '!D125,'MPG Payment '!E:E,0))</f>
        <v>1003</v>
      </c>
      <c r="J125" s="88" t="str">
        <f>INDEX('MPG Payment '!$D:$D,MATCH('Shayak Income '!D125,'MPG Payment '!E:E,0))</f>
        <v>Asarganj</v>
      </c>
      <c r="K125" s="125" t="s">
        <v>1322</v>
      </c>
      <c r="L125" s="125">
        <v>45631</v>
      </c>
      <c r="M125" s="126">
        <f>SUMIF('MPG Payment '!$E$3:$E$34579,'Shayak Income '!D125,'MPG Payment '!$I$3:$I$34579)</f>
        <v>9070.7000000000007</v>
      </c>
      <c r="N125" s="126">
        <f>SUMIF('MPG Payment '!$E$3:$E$34579,'Shayak Income '!D125,'MPG Payment '!$J$3:$J$34579)</f>
        <v>355529.36652244406</v>
      </c>
      <c r="O125" s="126">
        <f t="shared" si="30"/>
        <v>6803.0250000000005</v>
      </c>
      <c r="P125" s="126">
        <f t="shared" si="31"/>
        <v>8617.1650000000009</v>
      </c>
      <c r="Q125" s="126">
        <f>SUMIF('MPG Payment '!$E$3:$E$34579,'Shayak Income '!D125,'MPG Payment '!$S$3:$S$34579)</f>
        <v>3646.8471190656005</v>
      </c>
      <c r="R125" s="126">
        <f t="shared" si="21"/>
        <v>10665.880995673322</v>
      </c>
      <c r="S125" s="126">
        <f t="shared" si="22"/>
        <v>2048.7159956733212</v>
      </c>
      <c r="T125" s="126">
        <f t="shared" si="32"/>
        <v>907.07000000000016</v>
      </c>
      <c r="U125" s="127">
        <f>(((IF(K125="New",0,SUMIF('MPG Payment '!$E$3:$E$34579,'Shayak Income '!D125,'MPG Payment '!$AC$3:$AC$34579))))+0)+0</f>
        <v>0</v>
      </c>
      <c r="V125" s="127">
        <f t="shared" si="33"/>
        <v>18160</v>
      </c>
      <c r="W125" s="19">
        <f t="shared" si="34"/>
        <v>7110.5873304488814</v>
      </c>
      <c r="X125" s="19">
        <v>0</v>
      </c>
      <c r="Y125" s="128">
        <f>IFERROR(VLOOKUP(D125,'Monthly Deduction'!$M$2:$N$64,2,0),0)</f>
        <v>0</v>
      </c>
      <c r="Z125" s="128">
        <v>0</v>
      </c>
      <c r="AA125" s="126">
        <f>IFERROR(VLOOKUP(D125,'Monthly Deduction'!A:B,2,0),0)</f>
        <v>0</v>
      </c>
      <c r="AB125" s="129">
        <f t="shared" si="24"/>
        <v>11049</v>
      </c>
      <c r="AC125" s="130">
        <v>0</v>
      </c>
      <c r="AD125" s="35">
        <f t="shared" si="36"/>
        <v>11049</v>
      </c>
      <c r="AE125" s="166" t="str">
        <f t="shared" si="37"/>
        <v>Release</v>
      </c>
      <c r="AF125" s="127"/>
      <c r="AG125" s="18">
        <v>0</v>
      </c>
      <c r="AH125" s="120"/>
      <c r="AI125" s="238">
        <v>0</v>
      </c>
      <c r="AJ125" s="132"/>
      <c r="AK125" s="151">
        <v>2613.2000000000003</v>
      </c>
      <c r="AL125" s="154">
        <f t="shared" si="25"/>
        <v>0</v>
      </c>
      <c r="AM125" s="155"/>
      <c r="AN125" s="19">
        <f t="shared" si="26"/>
        <v>7110.5873304488814</v>
      </c>
      <c r="AO125" s="118">
        <f>SUMIF('MPG Payment '!E:E,'Shayak Income '!D125,'MPG Payment '!AJ:AJ)</f>
        <v>0</v>
      </c>
      <c r="AP125" s="19">
        <f t="shared" si="27"/>
        <v>7110.5873304488814</v>
      </c>
      <c r="AQ125" s="119">
        <f t="shared" si="38"/>
        <v>7110.5873304488814</v>
      </c>
      <c r="AR125" s="91" t="s">
        <v>1168</v>
      </c>
      <c r="AS125" s="91">
        <f t="shared" si="28"/>
        <v>3200</v>
      </c>
      <c r="AT125" s="118"/>
      <c r="AU125" s="118"/>
      <c r="AV125" s="118"/>
    </row>
    <row r="126" spans="1:48" s="20" customFormat="1" x14ac:dyDescent="0.25">
      <c r="A126" s="17">
        <f>IFERROR(VLOOKUP(D126,'Monthly Deduction'!$I$3:$J$957,2,0),0)</f>
        <v>72887.670792341596</v>
      </c>
      <c r="B126" s="17">
        <f>IFERROR(VLOOKUP(D126,'Monthly Deduction'!$E$3:$F$957,2,0),0)</f>
        <v>0</v>
      </c>
      <c r="C126" s="17">
        <f t="shared" si="29"/>
        <v>72887.670792341596</v>
      </c>
      <c r="D126" s="41">
        <v>10030069</v>
      </c>
      <c r="E126" s="122" t="str">
        <f>VLOOKUP(D126,'MPG Payment '!$E$3:$G$498218,2,0)</f>
        <v>RAGHUNATHPUR</v>
      </c>
      <c r="F126" s="146">
        <f>IFERROR(_xlfn.XLOOKUP(D126,'Monthly Deduction'!$I$3:$I$957,'Monthly Deduction'!$H$3:$H$957),0)</f>
        <v>0</v>
      </c>
      <c r="G126" s="123" t="str">
        <f>VLOOKUP(D126,'MPG Payment '!$E$3:$G$334579,3,0)</f>
        <v>vlc</v>
      </c>
      <c r="H126" s="124" t="str">
        <f>VLOOKUP(D126,'MPG Payment '!$E$3:$H$334579,4,0)</f>
        <v>Indirect</v>
      </c>
      <c r="I126" s="88">
        <f>INDEX('MPG Payment '!$C:$C,MATCH('Shayak Income '!D126,'MPG Payment '!E:E,0))</f>
        <v>1003</v>
      </c>
      <c r="J126" s="88" t="str">
        <f>INDEX('MPG Payment '!$D:$D,MATCH('Shayak Income '!D126,'MPG Payment '!E:E,0))</f>
        <v>Asarganj</v>
      </c>
      <c r="K126" s="125" t="s">
        <v>1322</v>
      </c>
      <c r="L126" s="125">
        <v>45680</v>
      </c>
      <c r="M126" s="126">
        <f>SUMIF('MPG Payment '!$E$3:$E$34579,'Shayak Income '!D126,'MPG Payment '!$I$3:$I$34579)</f>
        <v>1885.35</v>
      </c>
      <c r="N126" s="126">
        <f>SUMIF('MPG Payment '!$E$3:$E$34579,'Shayak Income '!D126,'MPG Payment '!$J$3:$J$34579)</f>
        <v>66149.955099960003</v>
      </c>
      <c r="O126" s="126">
        <f t="shared" si="30"/>
        <v>1414.0124999999998</v>
      </c>
      <c r="P126" s="126">
        <f t="shared" si="31"/>
        <v>1791.0824999999998</v>
      </c>
      <c r="Q126" s="126">
        <f>SUMIF('MPG Payment '!$E$3:$E$34579,'Shayak Income '!D126,'MPG Payment '!$S$3:$S$34579)</f>
        <v>0</v>
      </c>
      <c r="R126" s="126">
        <f t="shared" si="21"/>
        <v>1984.4986529988</v>
      </c>
      <c r="S126" s="126">
        <f t="shared" si="22"/>
        <v>193.41615299880027</v>
      </c>
      <c r="T126" s="126">
        <f t="shared" si="32"/>
        <v>188.535</v>
      </c>
      <c r="U126" s="127">
        <f>(((IF(K126="New",0,SUMIF('MPG Payment '!$E$3:$E$34579,'Shayak Income '!D126,'MPG Payment '!$AC$3:$AC$34579))))+0)+0</f>
        <v>634.9408013217062</v>
      </c>
      <c r="V126" s="127">
        <f t="shared" si="33"/>
        <v>2382</v>
      </c>
      <c r="W126" s="19">
        <f t="shared" si="34"/>
        <v>1861</v>
      </c>
      <c r="X126" s="19">
        <v>0</v>
      </c>
      <c r="Y126" s="128">
        <f>IFERROR(VLOOKUP(D126,'Monthly Deduction'!$M$2:$N$64,2,0),0)</f>
        <v>0</v>
      </c>
      <c r="Z126" s="128">
        <v>0</v>
      </c>
      <c r="AA126" s="126">
        <f>IFERROR(VLOOKUP(D126,'Monthly Deduction'!A:B,2,0),0)</f>
        <v>0</v>
      </c>
      <c r="AB126" s="129">
        <f t="shared" si="24"/>
        <v>521</v>
      </c>
      <c r="AC126" s="130">
        <f>AB126</f>
        <v>521</v>
      </c>
      <c r="AD126" s="35">
        <f t="shared" si="36"/>
        <v>0</v>
      </c>
      <c r="AE126" s="166" t="str">
        <f t="shared" si="37"/>
        <v>Yes</v>
      </c>
      <c r="AF126" s="127"/>
      <c r="AG126" s="18">
        <v>0</v>
      </c>
      <c r="AH126" s="120" t="s">
        <v>1653</v>
      </c>
      <c r="AI126" s="238">
        <v>0</v>
      </c>
      <c r="AJ126" s="132"/>
      <c r="AK126" s="151">
        <v>546.45000000000005</v>
      </c>
      <c r="AL126" s="154">
        <f t="shared" si="25"/>
        <v>0</v>
      </c>
      <c r="AM126" s="155"/>
      <c r="AN126" s="19">
        <f t="shared" si="26"/>
        <v>1861</v>
      </c>
      <c r="AO126" s="118">
        <f>SUMIF('MPG Payment '!E:E,'Shayak Income '!D126,'MPG Payment '!AJ:AJ)</f>
        <v>0</v>
      </c>
      <c r="AP126" s="19">
        <f t="shared" si="27"/>
        <v>1861</v>
      </c>
      <c r="AQ126" s="119">
        <f t="shared" si="38"/>
        <v>1861</v>
      </c>
      <c r="AR126" s="91" t="s">
        <v>1168</v>
      </c>
      <c r="AS126" s="91">
        <f t="shared" si="28"/>
        <v>0</v>
      </c>
      <c r="AT126" s="118"/>
      <c r="AU126" s="118"/>
      <c r="AV126" s="118"/>
    </row>
    <row r="127" spans="1:48" s="20" customFormat="1" x14ac:dyDescent="0.25">
      <c r="A127" s="17">
        <f>IFERROR(VLOOKUP(D127,'Monthly Deduction'!$I$3:$J$957,2,0),0)</f>
        <v>56042.790524901298</v>
      </c>
      <c r="B127" s="17">
        <f>IFERROR(VLOOKUP(D127,'Monthly Deduction'!$E$3:$F$957,2,0),0)</f>
        <v>6400</v>
      </c>
      <c r="C127" s="17">
        <f t="shared" si="29"/>
        <v>62442.790524901298</v>
      </c>
      <c r="D127" s="41">
        <v>10030070</v>
      </c>
      <c r="E127" s="122" t="str">
        <f>VLOOKUP(D127,'MPG Payment '!$E$3:$G$498218,2,0)</f>
        <v>BANGAMA</v>
      </c>
      <c r="F127" s="146">
        <f>IFERROR(_xlfn.XLOOKUP(D127,'Monthly Deduction'!$I$3:$I$957,'Monthly Deduction'!$H$3:$H$957),0)</f>
        <v>0</v>
      </c>
      <c r="G127" s="123" t="str">
        <f>VLOOKUP(D127,'MPG Payment '!$E$3:$G$334579,3,0)</f>
        <v>MPG</v>
      </c>
      <c r="H127" s="124" t="str">
        <f>VLOOKUP(D127,'MPG Payment '!$E$3:$H$334579,4,0)</f>
        <v>Direct</v>
      </c>
      <c r="I127" s="88">
        <f>INDEX('MPG Payment '!$C:$C,MATCH('Shayak Income '!D127,'MPG Payment '!E:E,0))</f>
        <v>1003</v>
      </c>
      <c r="J127" s="88" t="str">
        <f>INDEX('MPG Payment '!$D:$D,MATCH('Shayak Income '!D127,'MPG Payment '!E:E,0))</f>
        <v>Asarganj</v>
      </c>
      <c r="K127" s="125" t="s">
        <v>1322</v>
      </c>
      <c r="L127" s="125">
        <v>45738</v>
      </c>
      <c r="M127" s="126">
        <f>SUMIF('MPG Payment '!$E$3:$E$34579,'Shayak Income '!D127,'MPG Payment '!$I$3:$I$34579)</f>
        <v>3142.55</v>
      </c>
      <c r="N127" s="126">
        <f>SUMIF('MPG Payment '!$E$3:$E$34579,'Shayak Income '!D127,'MPG Payment '!$J$3:$J$34579)</f>
        <v>125497.67700256349</v>
      </c>
      <c r="O127" s="126">
        <f t="shared" si="30"/>
        <v>2356.9125000000004</v>
      </c>
      <c r="P127" s="126">
        <f t="shared" si="31"/>
        <v>2985.4225000000001</v>
      </c>
      <c r="Q127" s="126">
        <f>SUMIF('MPG Payment '!$E$3:$E$34579,'Shayak Income '!D127,'MPG Payment '!$S$3:$S$34579)</f>
        <v>2232.4514080950003</v>
      </c>
      <c r="R127" s="126">
        <f t="shared" si="21"/>
        <v>3764.9303100769048</v>
      </c>
      <c r="S127" s="126">
        <f t="shared" si="22"/>
        <v>779.50781007690466</v>
      </c>
      <c r="T127" s="126">
        <f t="shared" si="32"/>
        <v>314.25500000000005</v>
      </c>
      <c r="U127" s="127">
        <f>(((IF(K127="New",0,SUMIF('MPG Payment '!$E$3:$E$34579,'Shayak Income '!D127,'MPG Payment '!$AC$3:$AC$34579))))+0)+0</f>
        <v>0</v>
      </c>
      <c r="V127" s="127">
        <f t="shared" si="33"/>
        <v>7261</v>
      </c>
      <c r="W127" s="19">
        <f t="shared" si="34"/>
        <v>2509.95354005127</v>
      </c>
      <c r="X127" s="19">
        <v>0</v>
      </c>
      <c r="Y127" s="128">
        <f>IFERROR(VLOOKUP(D127,'Monthly Deduction'!$M$2:$N$64,2,0),0)</f>
        <v>0</v>
      </c>
      <c r="Z127" s="128">
        <v>0</v>
      </c>
      <c r="AA127" s="126">
        <f>IFERROR(VLOOKUP(D127,'Monthly Deduction'!A:B,2,0),0)</f>
        <v>0</v>
      </c>
      <c r="AB127" s="129">
        <f t="shared" si="24"/>
        <v>4751</v>
      </c>
      <c r="AC127" s="130">
        <v>0</v>
      </c>
      <c r="AD127" s="35">
        <f t="shared" si="36"/>
        <v>4751</v>
      </c>
      <c r="AE127" s="166" t="str">
        <f t="shared" si="37"/>
        <v>Release</v>
      </c>
      <c r="AF127" s="127"/>
      <c r="AG127" s="18">
        <v>0</v>
      </c>
      <c r="AH127" s="120"/>
      <c r="AI127" s="238">
        <v>0</v>
      </c>
      <c r="AJ127" s="132"/>
      <c r="AK127" s="151">
        <v>875.7</v>
      </c>
      <c r="AL127" s="154">
        <f t="shared" si="25"/>
        <v>0</v>
      </c>
      <c r="AM127" s="155"/>
      <c r="AN127" s="19">
        <f t="shared" si="26"/>
        <v>2509.95354005127</v>
      </c>
      <c r="AO127" s="118">
        <f>SUMIF('MPG Payment '!E:E,'Shayak Income '!D127,'MPG Payment '!AJ:AJ)</f>
        <v>0</v>
      </c>
      <c r="AP127" s="19">
        <f t="shared" si="27"/>
        <v>2509.95354005127</v>
      </c>
      <c r="AQ127" s="119">
        <f t="shared" si="38"/>
        <v>2509.95354005127</v>
      </c>
      <c r="AR127" s="91" t="s">
        <v>1168</v>
      </c>
      <c r="AS127" s="91">
        <f t="shared" si="28"/>
        <v>6400</v>
      </c>
      <c r="AT127" s="118"/>
      <c r="AU127" s="118"/>
      <c r="AV127" s="118"/>
    </row>
    <row r="128" spans="1:48" s="20" customFormat="1" x14ac:dyDescent="0.25">
      <c r="A128" s="17">
        <f>IFERROR(VLOOKUP(D128,'Monthly Deduction'!$I$3:$J$957,2,0),0)</f>
        <v>67064.274422470655</v>
      </c>
      <c r="B128" s="17">
        <f>IFERROR(VLOOKUP(D128,'Monthly Deduction'!$E$3:$F$957,2,0),0)</f>
        <v>6400</v>
      </c>
      <c r="C128" s="17">
        <f t="shared" si="29"/>
        <v>73464.274422470655</v>
      </c>
      <c r="D128" s="41">
        <v>10030071</v>
      </c>
      <c r="E128" s="122" t="str">
        <f>VLOOKUP(D128,'MPG Payment '!$E$3:$G$498218,2,0)</f>
        <v>KORIYA</v>
      </c>
      <c r="F128" s="146">
        <f>IFERROR(_xlfn.XLOOKUP(D128,'Monthly Deduction'!$I$3:$I$957,'Monthly Deduction'!$H$3:$H$957),0)</f>
        <v>0</v>
      </c>
      <c r="G128" s="123" t="str">
        <f>VLOOKUP(D128,'MPG Payment '!$E$3:$G$334579,3,0)</f>
        <v>MPG</v>
      </c>
      <c r="H128" s="124" t="str">
        <f>VLOOKUP(D128,'MPG Payment '!$E$3:$H$334579,4,0)</f>
        <v>Direct</v>
      </c>
      <c r="I128" s="88">
        <f>INDEX('MPG Payment '!$C:$C,MATCH('Shayak Income '!D128,'MPG Payment '!E:E,0))</f>
        <v>1003</v>
      </c>
      <c r="J128" s="88" t="str">
        <f>INDEX('MPG Payment '!$D:$D,MATCH('Shayak Income '!D128,'MPG Payment '!E:E,0))</f>
        <v>Asarganj</v>
      </c>
      <c r="K128" s="125" t="s">
        <v>1322</v>
      </c>
      <c r="L128" s="125">
        <v>45737</v>
      </c>
      <c r="M128" s="126">
        <f>SUMIF('MPG Payment '!$E$3:$E$34579,'Shayak Income '!D128,'MPG Payment '!$I$3:$I$34579)</f>
        <v>667.94999999999993</v>
      </c>
      <c r="N128" s="126">
        <f>SUMIF('MPG Payment '!$E$3:$E$34579,'Shayak Income '!D128,'MPG Payment '!$J$3:$J$34579)</f>
        <v>29993.779529089199</v>
      </c>
      <c r="O128" s="126">
        <f t="shared" si="30"/>
        <v>500.96249999999998</v>
      </c>
      <c r="P128" s="126">
        <f t="shared" si="31"/>
        <v>634.5524999999999</v>
      </c>
      <c r="Q128" s="126">
        <f>SUMIF('MPG Payment '!$E$3:$E$34579,'Shayak Income '!D128,'MPG Payment '!$S$3:$S$34579)</f>
        <v>0</v>
      </c>
      <c r="R128" s="126">
        <f t="shared" si="21"/>
        <v>899.81338587267589</v>
      </c>
      <c r="S128" s="126">
        <f t="shared" si="22"/>
        <v>265.260885872676</v>
      </c>
      <c r="T128" s="126">
        <f t="shared" si="32"/>
        <v>66.795000000000002</v>
      </c>
      <c r="U128" s="127">
        <f>(((IF(K128="New",0,SUMIF('MPG Payment '!$E$3:$E$34579,'Shayak Income '!D128,'MPG Payment '!$AC$3:$AC$34579))))+0)+-835</f>
        <v>1069.0784801574596</v>
      </c>
      <c r="V128" s="127">
        <f t="shared" si="33"/>
        <v>0</v>
      </c>
      <c r="W128" s="19">
        <v>0</v>
      </c>
      <c r="X128" s="19">
        <v>0</v>
      </c>
      <c r="Y128" s="128">
        <f>IFERROR(VLOOKUP(D128,'Monthly Deduction'!$M$2:$N$64,2,0),0)</f>
        <v>0</v>
      </c>
      <c r="Z128" s="128">
        <v>0</v>
      </c>
      <c r="AA128" s="126">
        <v>0</v>
      </c>
      <c r="AB128" s="129">
        <f t="shared" si="24"/>
        <v>0</v>
      </c>
      <c r="AC128" s="130">
        <f>AB128</f>
        <v>0</v>
      </c>
      <c r="AD128" s="35">
        <f t="shared" si="36"/>
        <v>0</v>
      </c>
      <c r="AE128" s="166" t="str">
        <f t="shared" si="37"/>
        <v>Release</v>
      </c>
      <c r="AF128" s="127"/>
      <c r="AG128" s="18">
        <v>0</v>
      </c>
      <c r="AH128" s="120" t="s">
        <v>1653</v>
      </c>
      <c r="AI128" s="238">
        <v>0</v>
      </c>
      <c r="AJ128" s="132"/>
      <c r="AK128" s="151">
        <v>339.60000000000008</v>
      </c>
      <c r="AL128" s="154">
        <f t="shared" si="25"/>
        <v>0</v>
      </c>
      <c r="AM128" s="155"/>
      <c r="AN128" s="19">
        <f t="shared" si="26"/>
        <v>1861</v>
      </c>
      <c r="AO128" s="118">
        <f>SUMIF('MPG Payment '!E:E,'Shayak Income '!D128,'MPG Payment '!AJ:AJ)</f>
        <v>500</v>
      </c>
      <c r="AP128" s="19">
        <f t="shared" si="27"/>
        <v>0</v>
      </c>
      <c r="AQ128" s="119">
        <f t="shared" si="38"/>
        <v>500</v>
      </c>
      <c r="AR128" s="91"/>
      <c r="AS128" s="91">
        <f t="shared" si="28"/>
        <v>6400</v>
      </c>
      <c r="AT128" s="118"/>
      <c r="AU128" s="118"/>
      <c r="AV128" s="118"/>
    </row>
    <row r="129" spans="1:48" s="20" customFormat="1" x14ac:dyDescent="0.25">
      <c r="A129" s="17">
        <f>IFERROR(VLOOKUP(D129,'Monthly Deduction'!$I$3:$J$957,2,0),0)</f>
        <v>68169.939914271992</v>
      </c>
      <c r="B129" s="17">
        <f>IFERROR(VLOOKUP(D129,'Monthly Deduction'!$E$3:$F$957,2,0),0)</f>
        <v>0</v>
      </c>
      <c r="C129" s="17">
        <f t="shared" si="29"/>
        <v>68169.939914271992</v>
      </c>
      <c r="D129" s="41">
        <v>10030072</v>
      </c>
      <c r="E129" s="122" t="str">
        <f>VLOOKUP(D129,'MPG Payment '!$E$3:$G$498218,2,0)</f>
        <v>HARLACHAK</v>
      </c>
      <c r="F129" s="146">
        <f>IFERROR(_xlfn.XLOOKUP(D129,'Monthly Deduction'!$I$3:$I$957,'Monthly Deduction'!$H$3:$H$957),0)</f>
        <v>0</v>
      </c>
      <c r="G129" s="123" t="str">
        <f>VLOOKUP(D129,'MPG Payment '!$E$3:$G$334579,3,0)</f>
        <v>MPG</v>
      </c>
      <c r="H129" s="124" t="str">
        <f>VLOOKUP(D129,'MPG Payment '!$E$3:$H$334579,4,0)</f>
        <v>Direct</v>
      </c>
      <c r="I129" s="88">
        <f>INDEX('MPG Payment '!$C:$C,MATCH('Shayak Income '!D129,'MPG Payment '!E:E,0))</f>
        <v>1003</v>
      </c>
      <c r="J129" s="88" t="str">
        <f>INDEX('MPG Payment '!$D:$D,MATCH('Shayak Income '!D129,'MPG Payment '!E:E,0))</f>
        <v>Asarganj</v>
      </c>
      <c r="K129" s="125" t="s">
        <v>1322</v>
      </c>
      <c r="L129" s="125">
        <v>45847</v>
      </c>
      <c r="M129" s="126">
        <f>SUMIF('MPG Payment '!$E$3:$E$34579,'Shayak Income '!D129,'MPG Payment '!$I$3:$I$34579)</f>
        <v>3945.45</v>
      </c>
      <c r="N129" s="126">
        <f>SUMIF('MPG Payment '!$E$3:$E$34579,'Shayak Income '!D129,'MPG Payment '!$J$3:$J$34579)</f>
        <v>151254.87861960501</v>
      </c>
      <c r="O129" s="126">
        <f t="shared" si="30"/>
        <v>2959.0874999999996</v>
      </c>
      <c r="P129" s="126">
        <f t="shared" si="31"/>
        <v>3748.1774999999998</v>
      </c>
      <c r="Q129" s="126">
        <f>SUMIF('MPG Payment '!$E$3:$E$34579,'Shayak Income '!D129,'MPG Payment '!$S$3:$S$34579)</f>
        <v>266.71486248000002</v>
      </c>
      <c r="R129" s="126">
        <f t="shared" si="21"/>
        <v>4537.6463585881502</v>
      </c>
      <c r="S129" s="126">
        <f t="shared" si="22"/>
        <v>789.4688585881504</v>
      </c>
      <c r="T129" s="126">
        <f t="shared" si="32"/>
        <v>394.54500000000002</v>
      </c>
      <c r="U129" s="127">
        <f>(((IF(K129="New",0,SUMIF('MPG Payment '!$E$3:$E$34579,'Shayak Income '!D129,'MPG Payment '!$AC$3:$AC$34579))))+0)+0</f>
        <v>0</v>
      </c>
      <c r="V129" s="127">
        <f t="shared" si="33"/>
        <v>6579</v>
      </c>
      <c r="W129" s="19">
        <f t="shared" si="34"/>
        <v>3025.0975723921001</v>
      </c>
      <c r="X129" s="19">
        <v>0</v>
      </c>
      <c r="Y129" s="128">
        <f>IFERROR(VLOOKUP(D129,'Monthly Deduction'!$M$2:$N$64,2,0),0)</f>
        <v>0</v>
      </c>
      <c r="Z129" s="128">
        <v>3554</v>
      </c>
      <c r="AA129" s="126">
        <f>IFERROR(VLOOKUP(D129,'Monthly Deduction'!A:B,2,0),0)</f>
        <v>0</v>
      </c>
      <c r="AB129" s="129">
        <f t="shared" si="24"/>
        <v>0</v>
      </c>
      <c r="AC129" s="130">
        <v>0</v>
      </c>
      <c r="AD129" s="35">
        <f t="shared" si="36"/>
        <v>0</v>
      </c>
      <c r="AE129" s="166" t="str">
        <f t="shared" si="37"/>
        <v>Release</v>
      </c>
      <c r="AF129" s="127"/>
      <c r="AG129" s="18">
        <v>0</v>
      </c>
      <c r="AH129" s="120" t="s">
        <v>1657</v>
      </c>
      <c r="AI129" s="238">
        <v>0</v>
      </c>
      <c r="AJ129" s="132"/>
      <c r="AK129" s="151">
        <v>1051.75</v>
      </c>
      <c r="AL129" s="154">
        <f t="shared" si="25"/>
        <v>0</v>
      </c>
      <c r="AM129" s="155"/>
      <c r="AN129" s="19">
        <f t="shared" si="26"/>
        <v>3025.0975723921001</v>
      </c>
      <c r="AO129" s="118">
        <f>SUMIF('MPG Payment '!E:E,'Shayak Income '!D129,'MPG Payment '!AJ:AJ)</f>
        <v>0</v>
      </c>
      <c r="AP129" s="19">
        <f t="shared" si="27"/>
        <v>3025.0975723921001</v>
      </c>
      <c r="AQ129" s="119">
        <f t="shared" si="38"/>
        <v>3025.0975723921001</v>
      </c>
      <c r="AR129" s="91" t="s">
        <v>1168</v>
      </c>
      <c r="AS129" s="91">
        <f t="shared" si="28"/>
        <v>0</v>
      </c>
      <c r="AT129" s="118"/>
      <c r="AU129" s="118"/>
      <c r="AV129" s="118"/>
    </row>
    <row r="130" spans="1:48" s="20" customFormat="1" x14ac:dyDescent="0.25">
      <c r="A130" s="17">
        <f>IFERROR(VLOOKUP(D130,'Monthly Deduction'!$I$3:$J$957,2,0),0)</f>
        <v>80156</v>
      </c>
      <c r="B130" s="17">
        <f>IFERROR(VLOOKUP(D130,'Monthly Deduction'!$E$3:$F$957,2,0),0)</f>
        <v>0</v>
      </c>
      <c r="C130" s="17">
        <f t="shared" si="29"/>
        <v>80156</v>
      </c>
      <c r="D130" s="41">
        <v>10030075</v>
      </c>
      <c r="E130" s="122" t="str">
        <f>VLOOKUP(D130,'MPG Payment '!$E$3:$G$498218,2,0)</f>
        <v>KATAHRA</v>
      </c>
      <c r="F130" s="146">
        <f>IFERROR(_xlfn.XLOOKUP(D130,'Monthly Deduction'!$I$3:$I$957,'Monthly Deduction'!$H$3:$H$957),0)</f>
        <v>0</v>
      </c>
      <c r="G130" s="123" t="str">
        <f>VLOOKUP(D130,'MPG Payment '!$E$3:$G$334579,3,0)</f>
        <v>MPG</v>
      </c>
      <c r="H130" s="124" t="str">
        <f>VLOOKUP(D130,'MPG Payment '!$E$3:$H$334579,4,0)</f>
        <v>Direct</v>
      </c>
      <c r="I130" s="88">
        <f>INDEX('MPG Payment '!$C:$C,MATCH('Shayak Income '!D130,'MPG Payment '!E:E,0))</f>
        <v>1003</v>
      </c>
      <c r="J130" s="88" t="str">
        <f>INDEX('MPG Payment '!$D:$D,MATCH('Shayak Income '!D130,'MPG Payment '!E:E,0))</f>
        <v>Asarganj</v>
      </c>
      <c r="K130" s="125" t="s">
        <v>1322</v>
      </c>
      <c r="L130" s="125">
        <v>45869</v>
      </c>
      <c r="M130" s="126">
        <f>SUMIF('MPG Payment '!$E$3:$E$34579,'Shayak Income '!D130,'MPG Payment '!$I$3:$I$34579)</f>
        <v>1542.65</v>
      </c>
      <c r="N130" s="126">
        <f>SUMIF('MPG Payment '!$E$3:$E$34579,'Shayak Income '!D130,'MPG Payment '!$J$3:$J$34579)</f>
        <v>63974.247178460006</v>
      </c>
      <c r="O130" s="126">
        <f t="shared" si="30"/>
        <v>1156.9875000000002</v>
      </c>
      <c r="P130" s="126">
        <f t="shared" si="31"/>
        <v>1465.5174999999999</v>
      </c>
      <c r="Q130" s="126">
        <f>SUMIF('MPG Payment '!$E$3:$E$34579,'Shayak Income '!D130,'MPG Payment '!$S$3:$S$34579)</f>
        <v>0</v>
      </c>
      <c r="R130" s="126">
        <f t="shared" si="21"/>
        <v>1919.2274153538001</v>
      </c>
      <c r="S130" s="126">
        <f t="shared" si="22"/>
        <v>453.70991535380017</v>
      </c>
      <c r="T130" s="126">
        <f t="shared" si="32"/>
        <v>154.26500000000001</v>
      </c>
      <c r="U130" s="127">
        <f>(((IF(K130="New",0,SUMIF('MPG Payment '!$E$3:$E$34579,'Shayak Income '!D130,'MPG Payment '!$AC$3:$AC$34579))))+0)+0</f>
        <v>1039.2726742071841</v>
      </c>
      <c r="V130" s="127">
        <f t="shared" si="33"/>
        <v>1429</v>
      </c>
      <c r="W130" s="19">
        <v>1429</v>
      </c>
      <c r="X130" s="19">
        <v>0</v>
      </c>
      <c r="Y130" s="128">
        <f>IFERROR(VLOOKUP(D130,'Monthly Deduction'!$M$2:$N$64,2,0),0)</f>
        <v>0</v>
      </c>
      <c r="Z130" s="128">
        <v>0</v>
      </c>
      <c r="AA130" s="126">
        <f>IFERROR(VLOOKUP(D130,'Monthly Deduction'!A:B,2,0),0)</f>
        <v>0</v>
      </c>
      <c r="AB130" s="129">
        <f t="shared" si="24"/>
        <v>0</v>
      </c>
      <c r="AC130" s="130">
        <f>AB130</f>
        <v>0</v>
      </c>
      <c r="AD130" s="35">
        <f t="shared" si="36"/>
        <v>0</v>
      </c>
      <c r="AE130" s="166" t="str">
        <f t="shared" si="37"/>
        <v>Release</v>
      </c>
      <c r="AF130" s="127"/>
      <c r="AG130" s="18">
        <v>0</v>
      </c>
      <c r="AH130" s="120" t="s">
        <v>1653</v>
      </c>
      <c r="AI130" s="238">
        <v>0</v>
      </c>
      <c r="AJ130" s="132"/>
      <c r="AK130" s="151">
        <v>459.35000000000008</v>
      </c>
      <c r="AL130" s="154">
        <f t="shared" si="25"/>
        <v>0</v>
      </c>
      <c r="AM130" s="155"/>
      <c r="AN130" s="19">
        <f t="shared" si="26"/>
        <v>1861</v>
      </c>
      <c r="AO130" s="118">
        <f>SUMIF('MPG Payment '!E:E,'Shayak Income '!D130,'MPG Payment '!AJ:AJ)</f>
        <v>0</v>
      </c>
      <c r="AP130" s="19">
        <f t="shared" si="27"/>
        <v>1429</v>
      </c>
      <c r="AQ130" s="119">
        <f t="shared" si="38"/>
        <v>1429</v>
      </c>
      <c r="AR130" s="91" t="s">
        <v>1168</v>
      </c>
      <c r="AS130" s="91">
        <f t="shared" si="28"/>
        <v>0</v>
      </c>
      <c r="AT130" s="118"/>
      <c r="AU130" s="118"/>
      <c r="AV130" s="118"/>
    </row>
    <row r="131" spans="1:48" s="20" customFormat="1" x14ac:dyDescent="0.25">
      <c r="A131" s="17">
        <f>IFERROR(VLOOKUP(D131,'Monthly Deduction'!$I$3:$J$957,2,0),0)</f>
        <v>0</v>
      </c>
      <c r="B131" s="17">
        <f>IFERROR(VLOOKUP(D131,'Monthly Deduction'!$E$3:$F$957,2,0),0)</f>
        <v>0</v>
      </c>
      <c r="C131" s="17">
        <f t="shared" si="29"/>
        <v>0</v>
      </c>
      <c r="D131" s="41">
        <v>10060002</v>
      </c>
      <c r="E131" s="122" t="str">
        <f>VLOOKUP(D131,'MPG Payment '!$E$3:$G$498218,2,0)</f>
        <v>MANO</v>
      </c>
      <c r="F131" s="146">
        <f>IFERROR(_xlfn.XLOOKUP(D131,'Monthly Deduction'!$I$3:$I$957,'Monthly Deduction'!$H$3:$H$957),0)</f>
        <v>0</v>
      </c>
      <c r="G131" s="123" t="str">
        <f>VLOOKUP(D131,'MPG Payment '!$E$3:$G$334579,3,0)</f>
        <v>vlc</v>
      </c>
      <c r="H131" s="124" t="str">
        <f>VLOOKUP(D131,'MPG Payment '!$E$3:$H$334579,4,0)</f>
        <v>Indirect</v>
      </c>
      <c r="I131" s="88">
        <f>INDEX('MPG Payment '!$C:$C,MATCH('Shayak Income '!D131,'MPG Payment '!E:E,0))</f>
        <v>1006</v>
      </c>
      <c r="J131" s="88" t="str">
        <f>INDEX('MPG Payment '!$D:$D,MATCH('Shayak Income '!D131,'MPG Payment '!E:E,0))</f>
        <v>Sonvarsha</v>
      </c>
      <c r="K131" s="125" t="s">
        <v>1322</v>
      </c>
      <c r="L131" s="125">
        <v>42979</v>
      </c>
      <c r="M131" s="126">
        <f>SUMIF('MPG Payment '!$E$3:$E$34579,'Shayak Income '!D131,'MPG Payment '!$I$3:$I$34579)</f>
        <v>5506.9</v>
      </c>
      <c r="N131" s="126">
        <f>SUMIF('MPG Payment '!$E$3:$E$34579,'Shayak Income '!D131,'MPG Payment '!$J$3:$J$34579)</f>
        <v>211520.16170462681</v>
      </c>
      <c r="O131" s="126">
        <f t="shared" si="30"/>
        <v>4130.1749999999993</v>
      </c>
      <c r="P131" s="126">
        <f t="shared" si="31"/>
        <v>5231.5549999999994</v>
      </c>
      <c r="Q131" s="126">
        <f>SUMIF('MPG Payment '!$E$3:$E$34579,'Shayak Income '!D131,'MPG Payment '!$S$3:$S$34579)</f>
        <v>0</v>
      </c>
      <c r="R131" s="126">
        <f t="shared" si="21"/>
        <v>6345.6048511388044</v>
      </c>
      <c r="S131" s="126">
        <f t="shared" si="22"/>
        <v>1114.049851138805</v>
      </c>
      <c r="T131" s="126">
        <f t="shared" si="32"/>
        <v>550.68999999999994</v>
      </c>
      <c r="U131" s="127">
        <f>(((IF(K131="New",0,SUMIF('MPG Payment '!$E$3:$E$34579,'Shayak Income '!D131,'MPG Payment '!$AC$3:$AC$34579))))+0)+0</f>
        <v>0</v>
      </c>
      <c r="V131" s="127">
        <f t="shared" si="33"/>
        <v>8811</v>
      </c>
      <c r="W131" s="19">
        <f t="shared" si="34"/>
        <v>0</v>
      </c>
      <c r="X131" s="19">
        <f t="shared" si="23"/>
        <v>0</v>
      </c>
      <c r="Y131" s="128">
        <f>IFERROR(VLOOKUP(D131,'Monthly Deduction'!$M$2:$N$64,2,0),0)</f>
        <v>0</v>
      </c>
      <c r="Z131" s="128">
        <v>0</v>
      </c>
      <c r="AA131" s="126">
        <f>IFERROR(VLOOKUP(D131,'Monthly Deduction'!A:B,2,0),0)</f>
        <v>0</v>
      </c>
      <c r="AB131" s="129">
        <f t="shared" si="24"/>
        <v>8811</v>
      </c>
      <c r="AC131" s="130">
        <v>0</v>
      </c>
      <c r="AD131" s="35">
        <f t="shared" si="36"/>
        <v>8811</v>
      </c>
      <c r="AE131" s="166" t="str">
        <f t="shared" si="37"/>
        <v>Release</v>
      </c>
      <c r="AF131" s="127"/>
      <c r="AG131" s="18">
        <v>0</v>
      </c>
      <c r="AH131" s="120"/>
      <c r="AI131" s="238">
        <v>0</v>
      </c>
      <c r="AJ131" s="132"/>
      <c r="AK131" s="151">
        <v>1600</v>
      </c>
      <c r="AL131" s="154">
        <f t="shared" si="25"/>
        <v>0</v>
      </c>
      <c r="AM131" s="155"/>
      <c r="AN131" s="19">
        <f t="shared" si="26"/>
        <v>0</v>
      </c>
      <c r="AO131" s="118">
        <f>SUMIF('MPG Payment '!E:E,'Shayak Income '!D131,'MPG Payment '!AJ:AJ)</f>
        <v>0</v>
      </c>
      <c r="AP131" s="19">
        <f t="shared" si="27"/>
        <v>0</v>
      </c>
      <c r="AQ131" s="119">
        <f t="shared" si="38"/>
        <v>0</v>
      </c>
      <c r="AR131" s="91" t="s">
        <v>1168</v>
      </c>
      <c r="AS131" s="91">
        <f t="shared" si="28"/>
        <v>0</v>
      </c>
      <c r="AT131" s="118"/>
      <c r="AU131" s="118"/>
      <c r="AV131" s="118"/>
    </row>
    <row r="132" spans="1:48" s="20" customFormat="1" x14ac:dyDescent="0.25">
      <c r="A132" s="17">
        <f>IFERROR(VLOOKUP(D132,'Monthly Deduction'!$I$3:$J$957,2,0),0)</f>
        <v>0</v>
      </c>
      <c r="B132" s="17">
        <f>IFERROR(VLOOKUP(D132,'Monthly Deduction'!$E$3:$F$957,2,0),0)</f>
        <v>0</v>
      </c>
      <c r="C132" s="17">
        <f t="shared" si="29"/>
        <v>0</v>
      </c>
      <c r="D132" s="41">
        <v>10060003</v>
      </c>
      <c r="E132" s="122" t="str">
        <f>VLOOKUP(D132,'MPG Payment '!$E$3:$G$498218,2,0)</f>
        <v>PURANI SALEMPUR</v>
      </c>
      <c r="F132" s="146">
        <f>IFERROR(_xlfn.XLOOKUP(D132,'Monthly Deduction'!$I$3:$I$957,'Monthly Deduction'!$H$3:$H$957),0)</f>
        <v>0</v>
      </c>
      <c r="G132" s="123" t="str">
        <f>VLOOKUP(D132,'MPG Payment '!$E$3:$G$334579,3,0)</f>
        <v>vlc</v>
      </c>
      <c r="H132" s="124" t="str">
        <f>VLOOKUP(D132,'MPG Payment '!$E$3:$H$334579,4,0)</f>
        <v>Indirect</v>
      </c>
      <c r="I132" s="88">
        <f>INDEX('MPG Payment '!$C:$C,MATCH('Shayak Income '!D132,'MPG Payment '!E:E,0))</f>
        <v>1006</v>
      </c>
      <c r="J132" s="88" t="str">
        <f>INDEX('MPG Payment '!$D:$D,MATCH('Shayak Income '!D132,'MPG Payment '!E:E,0))</f>
        <v>Sonvarsha</v>
      </c>
      <c r="K132" s="125" t="s">
        <v>1322</v>
      </c>
      <c r="L132" s="125">
        <v>42979</v>
      </c>
      <c r="M132" s="126">
        <f>SUMIF('MPG Payment '!$E$3:$E$34579,'Shayak Income '!D132,'MPG Payment '!$I$3:$I$34579)</f>
        <v>7066.9</v>
      </c>
      <c r="N132" s="126">
        <f>SUMIF('MPG Payment '!$E$3:$E$34579,'Shayak Income '!D132,'MPG Payment '!$J$3:$J$34579)</f>
        <v>256875.38300930202</v>
      </c>
      <c r="O132" s="126">
        <f t="shared" si="30"/>
        <v>5300.1749999999993</v>
      </c>
      <c r="P132" s="126">
        <f t="shared" si="31"/>
        <v>6713.5549999999994</v>
      </c>
      <c r="Q132" s="126">
        <f>SUMIF('MPG Payment '!$E$3:$E$34579,'Shayak Income '!D132,'MPG Payment '!$S$3:$S$34579)</f>
        <v>0</v>
      </c>
      <c r="R132" s="126">
        <f t="shared" ref="R132:R195" si="40">+N132*3%</f>
        <v>7706.2614902790601</v>
      </c>
      <c r="S132" s="126">
        <f t="shared" ref="S132:S195" si="41">R132-P132</f>
        <v>992.70649027906074</v>
      </c>
      <c r="T132" s="126">
        <f t="shared" si="32"/>
        <v>706.69</v>
      </c>
      <c r="U132" s="127">
        <f>(((IF(K132="New",0,SUMIF('MPG Payment '!$E$3:$E$34579,'Shayak Income '!D132,'MPG Payment '!$AC$3:$AC$34579))))+0)+0</f>
        <v>0</v>
      </c>
      <c r="V132" s="127">
        <f t="shared" si="33"/>
        <v>11307</v>
      </c>
      <c r="W132" s="19">
        <f t="shared" si="34"/>
        <v>0</v>
      </c>
      <c r="X132" s="19">
        <f t="shared" ref="X132:X195" si="42">((MIN(IF(B132&gt;0,MAX(N132*2%),0),B132)))+0</f>
        <v>0</v>
      </c>
      <c r="Y132" s="128">
        <f>IFERROR(VLOOKUP(D132,'Monthly Deduction'!$M$2:$N$64,2,0),0)</f>
        <v>0</v>
      </c>
      <c r="Z132" s="128">
        <v>0</v>
      </c>
      <c r="AA132" s="126">
        <f>IFERROR(VLOOKUP(D132,'Monthly Deduction'!A:B,2,0),0)</f>
        <v>0</v>
      </c>
      <c r="AB132" s="129">
        <f t="shared" ref="AB132:AB195" si="43">ROUND(IFERROR(V132-SUM(W132:AA132),0),0)</f>
        <v>11307</v>
      </c>
      <c r="AC132" s="130">
        <v>0</v>
      </c>
      <c r="AD132" s="35">
        <f t="shared" si="36"/>
        <v>11307</v>
      </c>
      <c r="AE132" s="166" t="str">
        <f t="shared" si="37"/>
        <v>Release</v>
      </c>
      <c r="AF132" s="127"/>
      <c r="AG132" s="18">
        <v>0</v>
      </c>
      <c r="AH132" s="120"/>
      <c r="AI132" s="238">
        <v>0</v>
      </c>
      <c r="AJ132" s="132"/>
      <c r="AK132" s="151">
        <v>1972.1</v>
      </c>
      <c r="AL132" s="154">
        <f t="shared" ref="AL132:AL195" si="44">COUNTIF(AK132:AK132,"=NA")</f>
        <v>0</v>
      </c>
      <c r="AM132" s="155"/>
      <c r="AN132" s="19">
        <f t="shared" ref="AN132:AN195" si="45">((MIN(IF(A132&gt;0,MAX(N132*2%,1861),0),A132)))+0</f>
        <v>0</v>
      </c>
      <c r="AO132" s="118">
        <f>SUMIF('MPG Payment '!E:E,'Shayak Income '!D132,'MPG Payment '!AJ:AJ)</f>
        <v>0</v>
      </c>
      <c r="AP132" s="19">
        <f t="shared" ref="AP132:AP195" si="46">W132</f>
        <v>0</v>
      </c>
      <c r="AQ132" s="119">
        <f t="shared" si="38"/>
        <v>0</v>
      </c>
      <c r="AR132" s="91" t="s">
        <v>1168</v>
      </c>
      <c r="AS132" s="91">
        <f t="shared" ref="AS132:AS195" si="47">B132-X132</f>
        <v>0</v>
      </c>
      <c r="AT132" s="118"/>
      <c r="AU132" s="118"/>
      <c r="AV132" s="118"/>
    </row>
    <row r="133" spans="1:48" s="20" customFormat="1" x14ac:dyDescent="0.25">
      <c r="A133" s="17">
        <f>IFERROR(VLOOKUP(D133,'Monthly Deduction'!$I$3:$J$957,2,0),0)</f>
        <v>0</v>
      </c>
      <c r="B133" s="17">
        <f>IFERROR(VLOOKUP(D133,'Monthly Deduction'!$E$3:$F$957,2,0),0)</f>
        <v>0</v>
      </c>
      <c r="C133" s="17">
        <f t="shared" ref="C133:C196" si="48">A133+B133</f>
        <v>0</v>
      </c>
      <c r="D133" s="41">
        <v>10060004</v>
      </c>
      <c r="E133" s="122" t="str">
        <f>VLOOKUP(D133,'MPG Payment '!$E$3:$G$498218,2,0)</f>
        <v>DHANDHHA</v>
      </c>
      <c r="F133" s="146">
        <f>IFERROR(_xlfn.XLOOKUP(D133,'Monthly Deduction'!$I$3:$I$957,'Monthly Deduction'!$H$3:$H$957),0)</f>
        <v>0</v>
      </c>
      <c r="G133" s="123" t="str">
        <f>VLOOKUP(D133,'MPG Payment '!$E$3:$G$334579,3,0)</f>
        <v>vlc</v>
      </c>
      <c r="H133" s="124" t="str">
        <f>VLOOKUP(D133,'MPG Payment '!$E$3:$H$334579,4,0)</f>
        <v>Indirect</v>
      </c>
      <c r="I133" s="88">
        <f>INDEX('MPG Payment '!$C:$C,MATCH('Shayak Income '!D133,'MPG Payment '!E:E,0))</f>
        <v>1006</v>
      </c>
      <c r="J133" s="88" t="str">
        <f>INDEX('MPG Payment '!$D:$D,MATCH('Shayak Income '!D133,'MPG Payment '!E:E,0))</f>
        <v>Sonvarsha</v>
      </c>
      <c r="K133" s="125" t="s">
        <v>1322</v>
      </c>
      <c r="L133" s="125">
        <v>42979</v>
      </c>
      <c r="M133" s="126">
        <f>SUMIF('MPG Payment '!$E$3:$E$34579,'Shayak Income '!D133,'MPG Payment '!$I$3:$I$34579)</f>
        <v>11142.300000000001</v>
      </c>
      <c r="N133" s="126">
        <f>SUMIF('MPG Payment '!$E$3:$E$34579,'Shayak Income '!D133,'MPG Payment '!$J$3:$J$34579)</f>
        <v>422128.04376069992</v>
      </c>
      <c r="O133" s="126">
        <f t="shared" ref="O133:O196" si="49">+M133*0.75</f>
        <v>8356.7250000000004</v>
      </c>
      <c r="P133" s="126">
        <f t="shared" ref="P133:P196" si="50">+M133*0.95</f>
        <v>10585.185000000001</v>
      </c>
      <c r="Q133" s="126">
        <f>SUMIF('MPG Payment '!$E$3:$E$34579,'Shayak Income '!D133,'MPG Payment '!$S$3:$S$34579)</f>
        <v>0</v>
      </c>
      <c r="R133" s="126">
        <f t="shared" si="40"/>
        <v>12663.841312820998</v>
      </c>
      <c r="S133" s="126">
        <f t="shared" si="41"/>
        <v>2078.6563128209964</v>
      </c>
      <c r="T133" s="126">
        <f t="shared" ref="T133:T196" si="51">M133*0.1</f>
        <v>1114.2300000000002</v>
      </c>
      <c r="U133" s="127">
        <f>(((IF(K133="New",0,SUMIF('MPG Payment '!$E$3:$E$34579,'Shayak Income '!D133,'MPG Payment '!$AC$3:$AC$34579))))+0)+0</f>
        <v>0</v>
      </c>
      <c r="V133" s="127">
        <f t="shared" ref="V133:V196" si="52">ROUND((SUM(O133:Q133)-SUM(T133:U133)),0)</f>
        <v>17828</v>
      </c>
      <c r="W133" s="19">
        <f t="shared" ref="W133:W196" si="53">(((AN133-AO133)))+0</f>
        <v>0</v>
      </c>
      <c r="X133" s="19">
        <f t="shared" si="42"/>
        <v>0</v>
      </c>
      <c r="Y133" s="128">
        <f>IFERROR(VLOOKUP(D133,'Monthly Deduction'!$M$2:$N$64,2,0),0)</f>
        <v>0</v>
      </c>
      <c r="Z133" s="128">
        <v>0</v>
      </c>
      <c r="AA133" s="126">
        <f>IFERROR(VLOOKUP(D133,'Monthly Deduction'!A:B,2,0),0)</f>
        <v>0</v>
      </c>
      <c r="AB133" s="129">
        <f t="shared" si="43"/>
        <v>17828</v>
      </c>
      <c r="AC133" s="130">
        <v>0</v>
      </c>
      <c r="AD133" s="35">
        <f t="shared" ref="AD133:AD196" si="54">ROUND(AB133-AC133,0)</f>
        <v>17828</v>
      </c>
      <c r="AE133" s="166" t="str">
        <f t="shared" ref="AE133:AE196" si="55">IF(AC133&lt;&gt;0,"Yes","Release")</f>
        <v>Release</v>
      </c>
      <c r="AF133" s="127"/>
      <c r="AG133" s="18">
        <v>0</v>
      </c>
      <c r="AH133" s="120"/>
      <c r="AI133" s="238">
        <v>0</v>
      </c>
      <c r="AJ133" s="132"/>
      <c r="AK133" s="151">
        <v>2247.1999999999998</v>
      </c>
      <c r="AL133" s="154">
        <f t="shared" si="44"/>
        <v>0</v>
      </c>
      <c r="AM133" s="155"/>
      <c r="AN133" s="19">
        <f t="shared" si="45"/>
        <v>0</v>
      </c>
      <c r="AO133" s="118">
        <f>SUMIF('MPG Payment '!E:E,'Shayak Income '!D133,'MPG Payment '!AJ:AJ)</f>
        <v>0</v>
      </c>
      <c r="AP133" s="19">
        <f t="shared" si="46"/>
        <v>0</v>
      </c>
      <c r="AQ133" s="119">
        <f t="shared" ref="AQ133:AQ196" si="56">AO133+AP133</f>
        <v>0</v>
      </c>
      <c r="AR133" s="91" t="s">
        <v>1168</v>
      </c>
      <c r="AS133" s="91">
        <f t="shared" si="47"/>
        <v>0</v>
      </c>
      <c r="AT133" s="118"/>
      <c r="AU133" s="118"/>
      <c r="AV133" s="118"/>
    </row>
    <row r="134" spans="1:48" s="20" customFormat="1" x14ac:dyDescent="0.25">
      <c r="A134" s="17">
        <f>IFERROR(VLOOKUP(D134,'Monthly Deduction'!$I$3:$J$957,2,0),0)</f>
        <v>0</v>
      </c>
      <c r="B134" s="17">
        <f>IFERROR(VLOOKUP(D134,'Monthly Deduction'!$E$3:$F$957,2,0),0)</f>
        <v>0</v>
      </c>
      <c r="C134" s="17">
        <f t="shared" si="48"/>
        <v>0</v>
      </c>
      <c r="D134" s="41">
        <v>10060005</v>
      </c>
      <c r="E134" s="122" t="str">
        <f>VLOOKUP(D134,'MPG Payment '!$E$3:$G$498218,2,0)</f>
        <v>CHALISH</v>
      </c>
      <c r="F134" s="146">
        <f>IFERROR(_xlfn.XLOOKUP(D134,'Monthly Deduction'!$I$3:$I$957,'Monthly Deduction'!$H$3:$H$957),0)</f>
        <v>0</v>
      </c>
      <c r="G134" s="123" t="str">
        <f>VLOOKUP(D134,'MPG Payment '!$E$3:$G$334579,3,0)</f>
        <v>vlc</v>
      </c>
      <c r="H134" s="124" t="str">
        <f>VLOOKUP(D134,'MPG Payment '!$E$3:$H$334579,4,0)</f>
        <v>Indirect</v>
      </c>
      <c r="I134" s="88">
        <f>INDEX('MPG Payment '!$C:$C,MATCH('Shayak Income '!D134,'MPG Payment '!E:E,0))</f>
        <v>1006</v>
      </c>
      <c r="J134" s="88" t="str">
        <f>INDEX('MPG Payment '!$D:$D,MATCH('Shayak Income '!D134,'MPG Payment '!E:E,0))</f>
        <v>Sonvarsha</v>
      </c>
      <c r="K134" s="125" t="s">
        <v>1322</v>
      </c>
      <c r="L134" s="125">
        <v>42979</v>
      </c>
      <c r="M134" s="126">
        <f>SUMIF('MPG Payment '!$E$3:$E$34579,'Shayak Income '!D134,'MPG Payment '!$I$3:$I$34579)</f>
        <v>4937.9999999999991</v>
      </c>
      <c r="N134" s="126">
        <f>SUMIF('MPG Payment '!$E$3:$E$34579,'Shayak Income '!D134,'MPG Payment '!$J$3:$J$34579)</f>
        <v>188046.20599222998</v>
      </c>
      <c r="O134" s="126">
        <f t="shared" si="49"/>
        <v>3703.4999999999991</v>
      </c>
      <c r="P134" s="126">
        <f t="shared" si="50"/>
        <v>4691.0999999999985</v>
      </c>
      <c r="Q134" s="126">
        <f>SUMIF('MPG Payment '!$E$3:$E$34579,'Shayak Income '!D134,'MPG Payment '!$S$3:$S$34579)</f>
        <v>0</v>
      </c>
      <c r="R134" s="126">
        <f t="shared" si="40"/>
        <v>5641.3861797668997</v>
      </c>
      <c r="S134" s="126">
        <f t="shared" si="41"/>
        <v>950.28617976690111</v>
      </c>
      <c r="T134" s="126">
        <f t="shared" si="51"/>
        <v>493.79999999999995</v>
      </c>
      <c r="U134" s="127">
        <f>(((IF(K134="New",0,SUMIF('MPG Payment '!$E$3:$E$34579,'Shayak Income '!D134,'MPG Payment '!$AC$3:$AC$34579))))+0)+0</f>
        <v>0</v>
      </c>
      <c r="V134" s="127">
        <f t="shared" si="52"/>
        <v>7901</v>
      </c>
      <c r="W134" s="19">
        <f t="shared" si="53"/>
        <v>0</v>
      </c>
      <c r="X134" s="19">
        <f t="shared" si="42"/>
        <v>0</v>
      </c>
      <c r="Y134" s="128">
        <f>IFERROR(VLOOKUP(D134,'Monthly Deduction'!$M$2:$N$64,2,0),0)</f>
        <v>0</v>
      </c>
      <c r="Z134" s="128">
        <v>0</v>
      </c>
      <c r="AA134" s="126">
        <f>IFERROR(VLOOKUP(D134,'Monthly Deduction'!A:B,2,0),0)</f>
        <v>0</v>
      </c>
      <c r="AB134" s="129">
        <f t="shared" si="43"/>
        <v>7901</v>
      </c>
      <c r="AC134" s="130">
        <v>0</v>
      </c>
      <c r="AD134" s="35">
        <f t="shared" si="54"/>
        <v>7901</v>
      </c>
      <c r="AE134" s="166" t="str">
        <f t="shared" si="55"/>
        <v>Release</v>
      </c>
      <c r="AF134" s="127"/>
      <c r="AG134" s="18">
        <v>0</v>
      </c>
      <c r="AH134" s="120"/>
      <c r="AI134" s="238">
        <v>0</v>
      </c>
      <c r="AJ134" s="132"/>
      <c r="AK134" s="151">
        <v>1160.1999999999998</v>
      </c>
      <c r="AL134" s="154">
        <f t="shared" si="44"/>
        <v>0</v>
      </c>
      <c r="AM134" s="155"/>
      <c r="AN134" s="19">
        <f t="shared" si="45"/>
        <v>0</v>
      </c>
      <c r="AO134" s="118">
        <f>SUMIF('MPG Payment '!E:E,'Shayak Income '!D134,'MPG Payment '!AJ:AJ)</f>
        <v>0</v>
      </c>
      <c r="AP134" s="19">
        <f t="shared" si="46"/>
        <v>0</v>
      </c>
      <c r="AQ134" s="119">
        <f t="shared" si="56"/>
        <v>0</v>
      </c>
      <c r="AR134" s="91" t="s">
        <v>1168</v>
      </c>
      <c r="AS134" s="91">
        <f t="shared" si="47"/>
        <v>0</v>
      </c>
      <c r="AT134" s="118"/>
      <c r="AU134" s="118"/>
      <c r="AV134" s="118"/>
    </row>
    <row r="135" spans="1:48" s="20" customFormat="1" x14ac:dyDescent="0.25">
      <c r="A135" s="17">
        <f>IFERROR(VLOOKUP(D135,'Monthly Deduction'!$I$3:$J$957,2,0),0)</f>
        <v>0</v>
      </c>
      <c r="B135" s="17">
        <f>IFERROR(VLOOKUP(D135,'Monthly Deduction'!$E$3:$F$957,2,0),0)</f>
        <v>0</v>
      </c>
      <c r="C135" s="17">
        <f t="shared" si="48"/>
        <v>0</v>
      </c>
      <c r="D135" s="41">
        <v>10060007</v>
      </c>
      <c r="E135" s="122" t="str">
        <f>VLOOKUP(D135,'MPG Payment '!$E$3:$G$498218,2,0)</f>
        <v>MAA BHAGWATI</v>
      </c>
      <c r="F135" s="146">
        <f>IFERROR(_xlfn.XLOOKUP(D135,'Monthly Deduction'!$I$3:$I$957,'Monthly Deduction'!$H$3:$H$957),0)</f>
        <v>0</v>
      </c>
      <c r="G135" s="123" t="str">
        <f>VLOOKUP(D135,'MPG Payment '!$E$3:$G$334579,3,0)</f>
        <v>vlc</v>
      </c>
      <c r="H135" s="124" t="str">
        <f>VLOOKUP(D135,'MPG Payment '!$E$3:$H$334579,4,0)</f>
        <v>Indirect</v>
      </c>
      <c r="I135" s="88">
        <f>INDEX('MPG Payment '!$C:$C,MATCH('Shayak Income '!D135,'MPG Payment '!E:E,0))</f>
        <v>1006</v>
      </c>
      <c r="J135" s="88" t="str">
        <f>INDEX('MPG Payment '!$D:$D,MATCH('Shayak Income '!D135,'MPG Payment '!E:E,0))</f>
        <v>Sonvarsha</v>
      </c>
      <c r="K135" s="125" t="s">
        <v>1322</v>
      </c>
      <c r="L135" s="125">
        <v>42979</v>
      </c>
      <c r="M135" s="126">
        <f>SUMIF('MPG Payment '!$E$3:$E$34579,'Shayak Income '!D135,'MPG Payment '!$I$3:$I$34579)</f>
        <v>3438.3999999999996</v>
      </c>
      <c r="N135" s="126">
        <f>SUMIF('MPG Payment '!$E$3:$E$34579,'Shayak Income '!D135,'MPG Payment '!$J$3:$J$34579)</f>
        <v>122430.90670911601</v>
      </c>
      <c r="O135" s="126">
        <f t="shared" si="49"/>
        <v>2578.7999999999997</v>
      </c>
      <c r="P135" s="126">
        <f t="shared" si="50"/>
        <v>3266.4799999999996</v>
      </c>
      <c r="Q135" s="126">
        <f>SUMIF('MPG Payment '!$E$3:$E$34579,'Shayak Income '!D135,'MPG Payment '!$S$3:$S$34579)</f>
        <v>0</v>
      </c>
      <c r="R135" s="126">
        <f t="shared" si="40"/>
        <v>3672.92720127348</v>
      </c>
      <c r="S135" s="126">
        <f t="shared" si="41"/>
        <v>406.44720127348046</v>
      </c>
      <c r="T135" s="126">
        <f t="shared" si="51"/>
        <v>343.84</v>
      </c>
      <c r="U135" s="127">
        <f>(((IF(K135="New",0,SUMIF('MPG Payment '!$E$3:$E$34579,'Shayak Income '!D135,'MPG Payment '!$AC$3:$AC$34579))))+0)+0</f>
        <v>134.15620270793045</v>
      </c>
      <c r="V135" s="127">
        <f t="shared" si="52"/>
        <v>5367</v>
      </c>
      <c r="W135" s="19">
        <f t="shared" si="53"/>
        <v>0</v>
      </c>
      <c r="X135" s="19">
        <f t="shared" si="42"/>
        <v>0</v>
      </c>
      <c r="Y135" s="128">
        <f>IFERROR(VLOOKUP(D135,'Monthly Deduction'!$M$2:$N$64,2,0),0)</f>
        <v>0</v>
      </c>
      <c r="Z135" s="128">
        <v>0</v>
      </c>
      <c r="AA135" s="126">
        <f>IFERROR(VLOOKUP(D135,'Monthly Deduction'!A:B,2,0),0)</f>
        <v>0</v>
      </c>
      <c r="AB135" s="129">
        <f t="shared" si="43"/>
        <v>5367</v>
      </c>
      <c r="AC135" s="130">
        <v>0</v>
      </c>
      <c r="AD135" s="35">
        <f t="shared" si="54"/>
        <v>5367</v>
      </c>
      <c r="AE135" s="166" t="str">
        <f t="shared" si="55"/>
        <v>Release</v>
      </c>
      <c r="AF135" s="127"/>
      <c r="AG135" s="18">
        <v>0</v>
      </c>
      <c r="AH135" s="24"/>
      <c r="AI135" s="238">
        <v>0</v>
      </c>
      <c r="AJ135" s="132"/>
      <c r="AK135" s="151">
        <v>1014.7</v>
      </c>
      <c r="AL135" s="154">
        <f t="shared" si="44"/>
        <v>0</v>
      </c>
      <c r="AM135" s="155"/>
      <c r="AN135" s="19">
        <f t="shared" si="45"/>
        <v>0</v>
      </c>
      <c r="AO135" s="118">
        <f>SUMIF('MPG Payment '!E:E,'Shayak Income '!D135,'MPG Payment '!AJ:AJ)</f>
        <v>0</v>
      </c>
      <c r="AP135" s="19">
        <f t="shared" si="46"/>
        <v>0</v>
      </c>
      <c r="AQ135" s="119">
        <f t="shared" si="56"/>
        <v>0</v>
      </c>
      <c r="AR135" s="91" t="s">
        <v>1168</v>
      </c>
      <c r="AS135" s="91">
        <f t="shared" si="47"/>
        <v>0</v>
      </c>
      <c r="AT135" s="118"/>
      <c r="AU135" s="118"/>
      <c r="AV135" s="118"/>
    </row>
    <row r="136" spans="1:48" s="20" customFormat="1" x14ac:dyDescent="0.25">
      <c r="A136" s="17">
        <f>IFERROR(VLOOKUP(D136,'Monthly Deduction'!$I$3:$J$957,2,0),0)</f>
        <v>0</v>
      </c>
      <c r="B136" s="17">
        <f>IFERROR(VLOOKUP(D136,'Monthly Deduction'!$E$3:$F$957,2,0),0)</f>
        <v>0</v>
      </c>
      <c r="C136" s="17">
        <f t="shared" si="48"/>
        <v>0</v>
      </c>
      <c r="D136" s="41">
        <v>10060008</v>
      </c>
      <c r="E136" s="122" t="str">
        <f>VLOOKUP(D136,'MPG Payment '!$E$3:$G$498218,2,0)</f>
        <v>MAIDINICHOKI</v>
      </c>
      <c r="F136" s="146">
        <f>IFERROR(_xlfn.XLOOKUP(D136,'Monthly Deduction'!$I$3:$I$957,'Monthly Deduction'!$H$3:$H$957),0)</f>
        <v>0</v>
      </c>
      <c r="G136" s="123" t="str">
        <f>VLOOKUP(D136,'MPG Payment '!$E$3:$G$334579,3,0)</f>
        <v>vlc</v>
      </c>
      <c r="H136" s="124" t="str">
        <f>VLOOKUP(D136,'MPG Payment '!$E$3:$H$334579,4,0)</f>
        <v>Indirect</v>
      </c>
      <c r="I136" s="88">
        <f>INDEX('MPG Payment '!$C:$C,MATCH('Shayak Income '!D136,'MPG Payment '!E:E,0))</f>
        <v>1006</v>
      </c>
      <c r="J136" s="88" t="str">
        <f>INDEX('MPG Payment '!$D:$D,MATCH('Shayak Income '!D136,'MPG Payment '!E:E,0))</f>
        <v>Sonvarsha</v>
      </c>
      <c r="K136" s="125" t="s">
        <v>1322</v>
      </c>
      <c r="L136" s="125">
        <v>42979</v>
      </c>
      <c r="M136" s="126">
        <f>SUMIF('MPG Payment '!$E$3:$E$34579,'Shayak Income '!D136,'MPG Payment '!$I$3:$I$34579)</f>
        <v>2113.2999999999997</v>
      </c>
      <c r="N136" s="126">
        <f>SUMIF('MPG Payment '!$E$3:$E$34579,'Shayak Income '!D136,'MPG Payment '!$J$3:$J$34579)</f>
        <v>77647.543878261989</v>
      </c>
      <c r="O136" s="126">
        <f t="shared" si="49"/>
        <v>1584.9749999999999</v>
      </c>
      <c r="P136" s="126">
        <f t="shared" si="50"/>
        <v>2007.6349999999995</v>
      </c>
      <c r="Q136" s="126">
        <f>SUMIF('MPG Payment '!$E$3:$E$34579,'Shayak Income '!D136,'MPG Payment '!$S$3:$S$34579)</f>
        <v>0</v>
      </c>
      <c r="R136" s="126">
        <f t="shared" si="40"/>
        <v>2329.4263163478595</v>
      </c>
      <c r="S136" s="126">
        <f t="shared" si="41"/>
        <v>321.79131634785995</v>
      </c>
      <c r="T136" s="126">
        <f t="shared" si="51"/>
        <v>211.32999999999998</v>
      </c>
      <c r="U136" s="127">
        <f>(((IF(K136="New",0,SUMIF('MPG Payment '!$E$3:$E$34579,'Shayak Income '!D136,'MPG Payment '!$AC$3:$AC$34579))))+0)+0</f>
        <v>503.34612308928149</v>
      </c>
      <c r="V136" s="127">
        <f t="shared" si="52"/>
        <v>2878</v>
      </c>
      <c r="W136" s="19">
        <f t="shared" si="53"/>
        <v>0</v>
      </c>
      <c r="X136" s="19">
        <f t="shared" si="42"/>
        <v>0</v>
      </c>
      <c r="Y136" s="128">
        <f>IFERROR(VLOOKUP(D136,'Monthly Deduction'!$M$2:$N$64,2,0),0)</f>
        <v>0</v>
      </c>
      <c r="Z136" s="128">
        <v>0</v>
      </c>
      <c r="AA136" s="126">
        <f>IFERROR(VLOOKUP(D136,'Monthly Deduction'!A:B,2,0),0)</f>
        <v>0</v>
      </c>
      <c r="AB136" s="129">
        <f t="shared" si="43"/>
        <v>2878</v>
      </c>
      <c r="AC136" s="130">
        <v>0</v>
      </c>
      <c r="AD136" s="35">
        <f t="shared" si="54"/>
        <v>2878</v>
      </c>
      <c r="AE136" s="166" t="str">
        <f t="shared" si="55"/>
        <v>Release</v>
      </c>
      <c r="AF136" s="127"/>
      <c r="AG136" s="18">
        <v>0</v>
      </c>
      <c r="AH136" s="120"/>
      <c r="AI136" s="238">
        <v>0</v>
      </c>
      <c r="AJ136" s="132"/>
      <c r="AK136" s="151">
        <v>555.6</v>
      </c>
      <c r="AL136" s="154">
        <f t="shared" si="44"/>
        <v>0</v>
      </c>
      <c r="AM136" s="155"/>
      <c r="AN136" s="19">
        <f t="shared" si="45"/>
        <v>0</v>
      </c>
      <c r="AO136" s="118">
        <f>SUMIF('MPG Payment '!E:E,'Shayak Income '!D136,'MPG Payment '!AJ:AJ)</f>
        <v>0</v>
      </c>
      <c r="AP136" s="19">
        <f t="shared" si="46"/>
        <v>0</v>
      </c>
      <c r="AQ136" s="119">
        <f t="shared" si="56"/>
        <v>0</v>
      </c>
      <c r="AR136" s="91" t="s">
        <v>1168</v>
      </c>
      <c r="AS136" s="91">
        <f t="shared" si="47"/>
        <v>0</v>
      </c>
      <c r="AT136" s="118"/>
      <c r="AU136" s="118"/>
      <c r="AV136" s="118"/>
    </row>
    <row r="137" spans="1:48" s="20" customFormat="1" x14ac:dyDescent="0.25">
      <c r="A137" s="17">
        <f>IFERROR(VLOOKUP(D137,'Monthly Deduction'!$I$3:$J$957,2,0),0)</f>
        <v>0</v>
      </c>
      <c r="B137" s="17">
        <f>IFERROR(VLOOKUP(D137,'Monthly Deduction'!$E$3:$F$957,2,0),0)</f>
        <v>0</v>
      </c>
      <c r="C137" s="17">
        <f t="shared" si="48"/>
        <v>0</v>
      </c>
      <c r="D137" s="41">
        <v>10060009</v>
      </c>
      <c r="E137" s="122" t="str">
        <f>VLOOKUP(D137,'MPG Payment '!$E$3:$G$498218,2,0)</f>
        <v>GOMUKH JAJWARA</v>
      </c>
      <c r="F137" s="146">
        <f>IFERROR(_xlfn.XLOOKUP(D137,'Monthly Deduction'!$I$3:$I$957,'Monthly Deduction'!$H$3:$H$957),0)</f>
        <v>0</v>
      </c>
      <c r="G137" s="123" t="str">
        <f>VLOOKUP(D137,'MPG Payment '!$E$3:$G$334579,3,0)</f>
        <v>vlc</v>
      </c>
      <c r="H137" s="124" t="str">
        <f>VLOOKUP(D137,'MPG Payment '!$E$3:$H$334579,4,0)</f>
        <v>Indirect</v>
      </c>
      <c r="I137" s="88">
        <f>INDEX('MPG Payment '!$C:$C,MATCH('Shayak Income '!D137,'MPG Payment '!E:E,0))</f>
        <v>1006</v>
      </c>
      <c r="J137" s="88" t="str">
        <f>INDEX('MPG Payment '!$D:$D,MATCH('Shayak Income '!D137,'MPG Payment '!E:E,0))</f>
        <v>Sonvarsha</v>
      </c>
      <c r="K137" s="125" t="s">
        <v>1322</v>
      </c>
      <c r="L137" s="125">
        <v>43799</v>
      </c>
      <c r="M137" s="126">
        <f>SUMIF('MPG Payment '!$E$3:$E$34579,'Shayak Income '!D137,'MPG Payment '!$I$3:$I$34579)</f>
        <v>7334.9</v>
      </c>
      <c r="N137" s="126">
        <f>SUMIF('MPG Payment '!$E$3:$E$34579,'Shayak Income '!D137,'MPG Payment '!$J$3:$J$34579)</f>
        <v>293743.45660458453</v>
      </c>
      <c r="O137" s="126">
        <f t="shared" si="49"/>
        <v>5501.1749999999993</v>
      </c>
      <c r="P137" s="126">
        <f t="shared" si="50"/>
        <v>6968.1549999999997</v>
      </c>
      <c r="Q137" s="126">
        <f>SUMIF('MPG Payment '!$E$3:$E$34579,'Shayak Income '!D137,'MPG Payment '!$S$3:$S$34579)</f>
        <v>0</v>
      </c>
      <c r="R137" s="126">
        <f t="shared" si="40"/>
        <v>8812.3036981375353</v>
      </c>
      <c r="S137" s="126">
        <f t="shared" si="41"/>
        <v>1844.1486981375356</v>
      </c>
      <c r="T137" s="126">
        <f t="shared" si="51"/>
        <v>733.49</v>
      </c>
      <c r="U137" s="127">
        <f>(((IF(K137="New",0,SUMIF('MPG Payment '!$E$3:$E$34579,'Shayak Income '!D137,'MPG Payment '!$AC$3:$AC$34579))))+0)+0</f>
        <v>0</v>
      </c>
      <c r="V137" s="127">
        <f t="shared" si="52"/>
        <v>11736</v>
      </c>
      <c r="W137" s="19">
        <f t="shared" si="53"/>
        <v>0</v>
      </c>
      <c r="X137" s="19">
        <f t="shared" si="42"/>
        <v>0</v>
      </c>
      <c r="Y137" s="128">
        <f>IFERROR(VLOOKUP(D137,'Monthly Deduction'!$M$2:$N$64,2,0),0)</f>
        <v>0</v>
      </c>
      <c r="Z137" s="128">
        <v>0</v>
      </c>
      <c r="AA137" s="126">
        <f>IFERROR(VLOOKUP(D137,'Monthly Deduction'!A:B,2,0),0)</f>
        <v>0</v>
      </c>
      <c r="AB137" s="129">
        <f t="shared" si="43"/>
        <v>11736</v>
      </c>
      <c r="AC137" s="130">
        <v>0</v>
      </c>
      <c r="AD137" s="35">
        <f t="shared" si="54"/>
        <v>11736</v>
      </c>
      <c r="AE137" s="166" t="str">
        <f t="shared" si="55"/>
        <v>Release</v>
      </c>
      <c r="AF137" s="127"/>
      <c r="AG137" s="18">
        <v>0</v>
      </c>
      <c r="AH137" s="132"/>
      <c r="AI137" s="238">
        <v>0</v>
      </c>
      <c r="AJ137" s="132"/>
      <c r="AK137" s="151">
        <v>1735.0000000000005</v>
      </c>
      <c r="AL137" s="154">
        <f t="shared" si="44"/>
        <v>0</v>
      </c>
      <c r="AM137" s="155"/>
      <c r="AN137" s="19">
        <f t="shared" si="45"/>
        <v>0</v>
      </c>
      <c r="AO137" s="118">
        <f>SUMIF('MPG Payment '!E:E,'Shayak Income '!D137,'MPG Payment '!AJ:AJ)</f>
        <v>0</v>
      </c>
      <c r="AP137" s="19">
        <f t="shared" si="46"/>
        <v>0</v>
      </c>
      <c r="AQ137" s="119">
        <f t="shared" si="56"/>
        <v>0</v>
      </c>
      <c r="AR137" s="91" t="s">
        <v>1168</v>
      </c>
      <c r="AS137" s="91">
        <f t="shared" si="47"/>
        <v>0</v>
      </c>
      <c r="AT137" s="118"/>
      <c r="AU137" s="118"/>
      <c r="AV137" s="118"/>
    </row>
    <row r="138" spans="1:48" s="20" customFormat="1" x14ac:dyDescent="0.25">
      <c r="A138" s="17">
        <f>IFERROR(VLOOKUP(D138,'Monthly Deduction'!$I$3:$J$957,2,0),0)</f>
        <v>0</v>
      </c>
      <c r="B138" s="17">
        <f>IFERROR(VLOOKUP(D138,'Monthly Deduction'!$E$3:$F$957,2,0),0)</f>
        <v>0</v>
      </c>
      <c r="C138" s="17">
        <f t="shared" si="48"/>
        <v>0</v>
      </c>
      <c r="D138" s="41">
        <v>10060010</v>
      </c>
      <c r="E138" s="122" t="str">
        <f>VLOOKUP(D138,'MPG Payment '!$E$3:$G$498218,2,0)</f>
        <v>Gomukh ID Sonvarsha</v>
      </c>
      <c r="F138" s="146">
        <f>IFERROR(_xlfn.XLOOKUP(D138,'Monthly Deduction'!$I$3:$I$957,'Monthly Deduction'!$H$3:$H$957),0)</f>
        <v>0</v>
      </c>
      <c r="G138" s="123" t="str">
        <f>VLOOKUP(D138,'MPG Payment '!$E$3:$G$334579,3,0)</f>
        <v>vlc</v>
      </c>
      <c r="H138" s="124" t="str">
        <f>VLOOKUP(D138,'MPG Payment '!$E$3:$H$334579,4,0)</f>
        <v>Indirect</v>
      </c>
      <c r="I138" s="88">
        <f>INDEX('MPG Payment '!$C:$C,MATCH('Shayak Income '!D138,'MPG Payment '!E:E,0))</f>
        <v>1006</v>
      </c>
      <c r="J138" s="88" t="str">
        <f>INDEX('MPG Payment '!$D:$D,MATCH('Shayak Income '!D138,'MPG Payment '!E:E,0))</f>
        <v>Sonvarsha</v>
      </c>
      <c r="K138" s="125" t="s">
        <v>1322</v>
      </c>
      <c r="L138" s="125">
        <v>43975</v>
      </c>
      <c r="M138" s="126">
        <f>SUMIF('MPG Payment '!$E$3:$E$34579,'Shayak Income '!D138,'MPG Payment '!$I$3:$I$34579)</f>
        <v>7057.4000000000015</v>
      </c>
      <c r="N138" s="126">
        <f>SUMIF('MPG Payment '!$E$3:$E$34579,'Shayak Income '!D138,'MPG Payment '!$J$3:$J$34579)</f>
        <v>273816.08840535901</v>
      </c>
      <c r="O138" s="126">
        <f t="shared" si="49"/>
        <v>5293.0500000000011</v>
      </c>
      <c r="P138" s="126">
        <f t="shared" si="50"/>
        <v>6704.5300000000007</v>
      </c>
      <c r="Q138" s="126">
        <f>SUMIF('MPG Payment '!$E$3:$E$34579,'Shayak Income '!D138,'MPG Payment '!$S$3:$S$34579)</f>
        <v>0</v>
      </c>
      <c r="R138" s="126">
        <f t="shared" si="40"/>
        <v>8214.4826521607702</v>
      </c>
      <c r="S138" s="126">
        <f t="shared" si="41"/>
        <v>1509.9526521607695</v>
      </c>
      <c r="T138" s="126">
        <f t="shared" si="51"/>
        <v>705.74000000000024</v>
      </c>
      <c r="U138" s="127">
        <f>(((IF(K138="New",0,SUMIF('MPG Payment '!$E$3:$E$34579,'Shayak Income '!D138,'MPG Payment '!$AC$3:$AC$34579))))+0)+0</f>
        <v>0</v>
      </c>
      <c r="V138" s="127">
        <f t="shared" si="52"/>
        <v>11292</v>
      </c>
      <c r="W138" s="19">
        <f t="shared" si="53"/>
        <v>0</v>
      </c>
      <c r="X138" s="19">
        <f t="shared" si="42"/>
        <v>0</v>
      </c>
      <c r="Y138" s="128">
        <f>IFERROR(VLOOKUP(D138,'Monthly Deduction'!$M$2:$N$64,2,0),0)</f>
        <v>0</v>
      </c>
      <c r="Z138" s="128">
        <v>0</v>
      </c>
      <c r="AA138" s="126">
        <f>IFERROR(VLOOKUP(D138,'Monthly Deduction'!A:B,2,0),0)</f>
        <v>0</v>
      </c>
      <c r="AB138" s="129">
        <f t="shared" si="43"/>
        <v>11292</v>
      </c>
      <c r="AC138" s="130">
        <v>0</v>
      </c>
      <c r="AD138" s="35">
        <f t="shared" si="54"/>
        <v>11292</v>
      </c>
      <c r="AE138" s="166" t="str">
        <f t="shared" si="55"/>
        <v>Release</v>
      </c>
      <c r="AF138" s="127"/>
      <c r="AG138" s="18">
        <v>0</v>
      </c>
      <c r="AH138" s="120"/>
      <c r="AI138" s="238">
        <v>0</v>
      </c>
      <c r="AJ138" s="132"/>
      <c r="AK138" s="151">
        <v>1939.3999999999994</v>
      </c>
      <c r="AL138" s="154">
        <f t="shared" si="44"/>
        <v>0</v>
      </c>
      <c r="AM138" s="155"/>
      <c r="AN138" s="19">
        <f t="shared" si="45"/>
        <v>0</v>
      </c>
      <c r="AO138" s="118">
        <f>SUMIF('MPG Payment '!E:E,'Shayak Income '!D138,'MPG Payment '!AJ:AJ)</f>
        <v>0</v>
      </c>
      <c r="AP138" s="19">
        <f t="shared" si="46"/>
        <v>0</v>
      </c>
      <c r="AQ138" s="119">
        <f t="shared" si="56"/>
        <v>0</v>
      </c>
      <c r="AR138" s="91" t="s">
        <v>1168</v>
      </c>
      <c r="AS138" s="91">
        <f t="shared" si="47"/>
        <v>0</v>
      </c>
      <c r="AT138" s="118"/>
      <c r="AU138" s="118"/>
      <c r="AV138" s="118"/>
    </row>
    <row r="139" spans="1:48" s="20" customFormat="1" x14ac:dyDescent="0.25">
      <c r="A139" s="17">
        <f>IFERROR(VLOOKUP(D139,'Monthly Deduction'!$I$3:$J$957,2,0),0)</f>
        <v>9236.5241064584989</v>
      </c>
      <c r="B139" s="17">
        <f>IFERROR(VLOOKUP(D139,'Monthly Deduction'!$E$3:$F$957,2,0),0)</f>
        <v>16000</v>
      </c>
      <c r="C139" s="17">
        <f t="shared" si="48"/>
        <v>25236.524106458499</v>
      </c>
      <c r="D139" s="41">
        <v>10060011</v>
      </c>
      <c r="E139" s="122" t="str">
        <f>VLOOKUP(D139,'MPG Payment '!$E$3:$G$498218,2,0)</f>
        <v>BALHAPUR</v>
      </c>
      <c r="F139" s="146">
        <f>IFERROR(_xlfn.XLOOKUP(D139,'Monthly Deduction'!$I$3:$I$957,'Monthly Deduction'!$H$3:$H$957),0)</f>
        <v>0</v>
      </c>
      <c r="G139" s="123" t="str">
        <f>VLOOKUP(D139,'MPG Payment '!$E$3:$G$334579,3,0)</f>
        <v>MPG</v>
      </c>
      <c r="H139" s="124" t="str">
        <f>VLOOKUP(D139,'MPG Payment '!$E$3:$H$334579,4,0)</f>
        <v>Direct</v>
      </c>
      <c r="I139" s="88">
        <f>INDEX('MPG Payment '!$C:$C,MATCH('Shayak Income '!D139,'MPG Payment '!E:E,0))</f>
        <v>1059</v>
      </c>
      <c r="J139" s="88" t="str">
        <f>INDEX('MPG Payment '!$D:$D,MATCH('Shayak Income '!D139,'MPG Payment '!E:E,0))</f>
        <v>Gopalpur Bmc</v>
      </c>
      <c r="K139" s="125" t="s">
        <v>1322</v>
      </c>
      <c r="L139" s="125">
        <v>44161</v>
      </c>
      <c r="M139" s="126">
        <f>SUMIF('MPG Payment '!$E$3:$E$34579,'Shayak Income '!D139,'MPG Payment '!$I$3:$I$34579)</f>
        <v>1855.3</v>
      </c>
      <c r="N139" s="126">
        <f>SUMIF('MPG Payment '!$E$3:$E$34579,'Shayak Income '!D139,'MPG Payment '!$J$3:$J$34579)</f>
        <v>87203.565040428308</v>
      </c>
      <c r="O139" s="126">
        <f t="shared" si="49"/>
        <v>1391.4749999999999</v>
      </c>
      <c r="P139" s="126">
        <f t="shared" si="50"/>
        <v>1762.5349999999999</v>
      </c>
      <c r="Q139" s="126">
        <f>SUMIF('MPG Payment '!$E$3:$E$34579,'Shayak Income '!D139,'MPG Payment '!$S$3:$S$34579)</f>
        <v>1746.50121569769</v>
      </c>
      <c r="R139" s="126">
        <f t="shared" si="40"/>
        <v>2616.1069512128493</v>
      </c>
      <c r="S139" s="126">
        <f t="shared" si="41"/>
        <v>853.5719512128494</v>
      </c>
      <c r="T139" s="126">
        <f t="shared" si="51"/>
        <v>185.53</v>
      </c>
      <c r="U139" s="127">
        <f>(((IF(K139="New",0,SUMIF('MPG Payment '!$E$3:$E$34579,'Shayak Income '!D139,'MPG Payment '!$AC$3:$AC$34579))))+0)+0</f>
        <v>888.4722390962213</v>
      </c>
      <c r="V139" s="127">
        <f t="shared" si="52"/>
        <v>3827</v>
      </c>
      <c r="W139" s="19">
        <f t="shared" si="53"/>
        <v>1861</v>
      </c>
      <c r="X139" s="19">
        <v>0</v>
      </c>
      <c r="Y139" s="128">
        <f>IFERROR(VLOOKUP(D139,'Monthly Deduction'!$M$2:$N$64,2,0),0)</f>
        <v>0</v>
      </c>
      <c r="Z139" s="128">
        <v>0</v>
      </c>
      <c r="AA139" s="126">
        <f>IFERROR(VLOOKUP(D139,'Monthly Deduction'!A:B,2,0),0)</f>
        <v>0</v>
      </c>
      <c r="AB139" s="129">
        <f t="shared" si="43"/>
        <v>1966</v>
      </c>
      <c r="AC139" s="130">
        <v>0</v>
      </c>
      <c r="AD139" s="35">
        <f t="shared" si="54"/>
        <v>1966</v>
      </c>
      <c r="AE139" s="166" t="str">
        <f t="shared" si="55"/>
        <v>Release</v>
      </c>
      <c r="AF139" s="127"/>
      <c r="AG139" s="18">
        <v>0</v>
      </c>
      <c r="AH139" s="120"/>
      <c r="AI139" s="238">
        <v>0</v>
      </c>
      <c r="AJ139" s="132"/>
      <c r="AK139" s="151">
        <v>512.70000000000005</v>
      </c>
      <c r="AL139" s="154">
        <f t="shared" si="44"/>
        <v>0</v>
      </c>
      <c r="AM139" s="155"/>
      <c r="AN139" s="19">
        <f t="shared" si="45"/>
        <v>1861</v>
      </c>
      <c r="AO139" s="118">
        <f>SUMIF('MPG Payment '!E:E,'Shayak Income '!D139,'MPG Payment '!AJ:AJ)</f>
        <v>0</v>
      </c>
      <c r="AP139" s="19">
        <f t="shared" si="46"/>
        <v>1861</v>
      </c>
      <c r="AQ139" s="119">
        <f t="shared" si="56"/>
        <v>1861</v>
      </c>
      <c r="AR139" s="91" t="s">
        <v>1168</v>
      </c>
      <c r="AS139" s="91">
        <f t="shared" si="47"/>
        <v>16000</v>
      </c>
      <c r="AT139" s="118"/>
      <c r="AU139" s="118"/>
      <c r="AV139" s="118"/>
    </row>
    <row r="140" spans="1:48" s="20" customFormat="1" x14ac:dyDescent="0.25">
      <c r="A140" s="17">
        <f>IFERROR(VLOOKUP(D140,'Monthly Deduction'!$I$3:$J$957,2,0),0)</f>
        <v>0</v>
      </c>
      <c r="B140" s="17">
        <f>IFERROR(VLOOKUP(D140,'Monthly Deduction'!$E$3:$F$957,2,0),0)</f>
        <v>0</v>
      </c>
      <c r="C140" s="17">
        <f t="shared" si="48"/>
        <v>0</v>
      </c>
      <c r="D140" s="41">
        <v>10060014</v>
      </c>
      <c r="E140" s="122" t="str">
        <f>VLOOKUP(D140,'MPG Payment '!$E$3:$G$498218,2,0)</f>
        <v>Gomukh ID Husaina</v>
      </c>
      <c r="F140" s="146">
        <f>IFERROR(_xlfn.XLOOKUP(D140,'Monthly Deduction'!$I$3:$I$957,'Monthly Deduction'!$H$3:$H$957),0)</f>
        <v>0</v>
      </c>
      <c r="G140" s="123" t="str">
        <f>VLOOKUP(D140,'MPG Payment '!$E$3:$G$334579,3,0)</f>
        <v>vlc</v>
      </c>
      <c r="H140" s="124" t="str">
        <f>VLOOKUP(D140,'MPG Payment '!$E$3:$H$334579,4,0)</f>
        <v>Indirect</v>
      </c>
      <c r="I140" s="88">
        <f>INDEX('MPG Payment '!$C:$C,MATCH('Shayak Income '!D140,'MPG Payment '!E:E,0))</f>
        <v>1006</v>
      </c>
      <c r="J140" s="88" t="str">
        <f>INDEX('MPG Payment '!$D:$D,MATCH('Shayak Income '!D140,'MPG Payment '!E:E,0))</f>
        <v>Sonvarsha</v>
      </c>
      <c r="K140" s="125" t="s">
        <v>1322</v>
      </c>
      <c r="L140" s="125">
        <v>44256</v>
      </c>
      <c r="M140" s="126">
        <f>SUMIF('MPG Payment '!$E$3:$E$34579,'Shayak Income '!D140,'MPG Payment '!$I$3:$I$34579)</f>
        <v>812.2</v>
      </c>
      <c r="N140" s="126">
        <f>SUMIF('MPG Payment '!$E$3:$E$34579,'Shayak Income '!D140,'MPG Payment '!$J$3:$J$34579)</f>
        <v>29727.429626410005</v>
      </c>
      <c r="O140" s="126">
        <f t="shared" si="49"/>
        <v>609.15000000000009</v>
      </c>
      <c r="P140" s="126">
        <f t="shared" si="50"/>
        <v>771.59</v>
      </c>
      <c r="Q140" s="126">
        <f>SUMIF('MPG Payment '!$E$3:$E$34579,'Shayak Income '!D140,'MPG Payment '!$S$3:$S$34579)</f>
        <v>0</v>
      </c>
      <c r="R140" s="126">
        <f t="shared" si="40"/>
        <v>891.82288879230009</v>
      </c>
      <c r="S140" s="126">
        <f t="shared" si="41"/>
        <v>120.23288879230006</v>
      </c>
      <c r="T140" s="126">
        <f t="shared" si="51"/>
        <v>81.220000000000013</v>
      </c>
      <c r="U140" s="127">
        <f>(((IF(K140="New",0,SUMIF('MPG Payment '!$E$3:$E$34579,'Shayak Income '!D140,'MPG Payment '!$AC$3:$AC$34579))))+0)+-171</f>
        <v>1299.1498208857138</v>
      </c>
      <c r="V140" s="127">
        <f t="shared" si="52"/>
        <v>0</v>
      </c>
      <c r="W140" s="19">
        <v>0</v>
      </c>
      <c r="X140" s="19">
        <v>0</v>
      </c>
      <c r="Y140" s="128">
        <f>IFERROR(VLOOKUP(D140,'Monthly Deduction'!$M$2:$N$64,2,0),0)</f>
        <v>0</v>
      </c>
      <c r="Z140" s="128">
        <v>0</v>
      </c>
      <c r="AA140" s="126">
        <f>IFERROR(VLOOKUP(D140,'Monthly Deduction'!A:B,2,0),0)</f>
        <v>0</v>
      </c>
      <c r="AB140" s="129">
        <f t="shared" si="43"/>
        <v>0</v>
      </c>
      <c r="AC140" s="130">
        <v>0</v>
      </c>
      <c r="AD140" s="35">
        <f t="shared" si="54"/>
        <v>0</v>
      </c>
      <c r="AE140" s="166" t="str">
        <f t="shared" si="55"/>
        <v>Release</v>
      </c>
      <c r="AF140" s="127"/>
      <c r="AG140" s="18">
        <v>0</v>
      </c>
      <c r="AH140" s="120"/>
      <c r="AI140" s="238">
        <v>0</v>
      </c>
      <c r="AJ140" s="132"/>
      <c r="AK140" s="151">
        <v>184.1</v>
      </c>
      <c r="AL140" s="154">
        <f t="shared" si="44"/>
        <v>0</v>
      </c>
      <c r="AM140" s="155"/>
      <c r="AN140" s="19">
        <f t="shared" si="45"/>
        <v>0</v>
      </c>
      <c r="AO140" s="118">
        <f>SUMIF('MPG Payment '!E:E,'Shayak Income '!D140,'MPG Payment '!AJ:AJ)</f>
        <v>0</v>
      </c>
      <c r="AP140" s="19">
        <f t="shared" si="46"/>
        <v>0</v>
      </c>
      <c r="AQ140" s="119">
        <f t="shared" si="56"/>
        <v>0</v>
      </c>
      <c r="AR140" s="91" t="s">
        <v>1168</v>
      </c>
      <c r="AS140" s="91">
        <f t="shared" si="47"/>
        <v>0</v>
      </c>
      <c r="AT140" s="118"/>
      <c r="AU140" s="118"/>
      <c r="AV140" s="118"/>
    </row>
    <row r="141" spans="1:48" s="20" customFormat="1" x14ac:dyDescent="0.25">
      <c r="A141" s="17">
        <f>IFERROR(VLOOKUP(D141,'Monthly Deduction'!$I$3:$J$957,2,0),0)</f>
        <v>0</v>
      </c>
      <c r="B141" s="17">
        <f>IFERROR(VLOOKUP(D141,'Monthly Deduction'!$E$3:$F$957,2,0),0)</f>
        <v>0</v>
      </c>
      <c r="C141" s="17">
        <f t="shared" si="48"/>
        <v>0</v>
      </c>
      <c r="D141" s="41">
        <v>10060015</v>
      </c>
      <c r="E141" s="122" t="str">
        <f>VLOOKUP(D141,'MPG Payment '!$E$3:$G$498218,2,0)</f>
        <v>Gomukh ID Prarotol</v>
      </c>
      <c r="F141" s="146">
        <f>IFERROR(_xlfn.XLOOKUP(D141,'Monthly Deduction'!$I$3:$I$957,'Monthly Deduction'!$H$3:$H$957),0)</f>
        <v>0</v>
      </c>
      <c r="G141" s="123" t="str">
        <f>VLOOKUP(D141,'MPG Payment '!$E$3:$G$334579,3,0)</f>
        <v>vlc</v>
      </c>
      <c r="H141" s="124" t="str">
        <f>VLOOKUP(D141,'MPG Payment '!$E$3:$H$334579,4,0)</f>
        <v>Indirect</v>
      </c>
      <c r="I141" s="88">
        <f>INDEX('MPG Payment '!$C:$C,MATCH('Shayak Income '!D141,'MPG Payment '!E:E,0))</f>
        <v>1006</v>
      </c>
      <c r="J141" s="88" t="str">
        <f>INDEX('MPG Payment '!$D:$D,MATCH('Shayak Income '!D141,'MPG Payment '!E:E,0))</f>
        <v>Sonvarsha</v>
      </c>
      <c r="K141" s="125" t="s">
        <v>1322</v>
      </c>
      <c r="L141" s="125">
        <v>44260</v>
      </c>
      <c r="M141" s="126">
        <f>SUMIF('MPG Payment '!$E$3:$E$34579,'Shayak Income '!D141,'MPG Payment '!$I$3:$I$34579)</f>
        <v>10.3</v>
      </c>
      <c r="N141" s="126">
        <f>SUMIF('MPG Payment '!$E$3:$E$34579,'Shayak Income '!D141,'MPG Payment '!$J$3:$J$34579)</f>
        <v>366.39</v>
      </c>
      <c r="O141" s="126">
        <f t="shared" si="49"/>
        <v>7.7250000000000005</v>
      </c>
      <c r="P141" s="126">
        <f t="shared" si="50"/>
        <v>9.7850000000000001</v>
      </c>
      <c r="Q141" s="126">
        <f>SUMIF('MPG Payment '!$E$3:$E$34579,'Shayak Income '!D141,'MPG Payment '!$S$3:$S$34579)</f>
        <v>0</v>
      </c>
      <c r="R141" s="126">
        <f t="shared" si="40"/>
        <v>10.9917</v>
      </c>
      <c r="S141" s="126">
        <f t="shared" si="41"/>
        <v>1.2066999999999997</v>
      </c>
      <c r="T141" s="126">
        <f t="shared" si="51"/>
        <v>1.03</v>
      </c>
      <c r="U141" s="127">
        <f>(((IF(K141="New",0,SUMIF('MPG Payment '!$E$3:$E$34579,'Shayak Income '!D141,'MPG Payment '!$AC$3:$AC$34579))))+0)+-474</f>
        <v>16.678025242718377</v>
      </c>
      <c r="V141" s="127">
        <f t="shared" si="52"/>
        <v>0</v>
      </c>
      <c r="W141" s="19">
        <v>0</v>
      </c>
      <c r="X141" s="19">
        <v>0</v>
      </c>
      <c r="Y141" s="128">
        <f>IFERROR(VLOOKUP(D141,'Monthly Deduction'!$M$2:$N$64,2,0),0)</f>
        <v>0</v>
      </c>
      <c r="Z141" s="128">
        <v>0</v>
      </c>
      <c r="AA141" s="126">
        <f>IFERROR(VLOOKUP(D141,'Monthly Deduction'!A:B,2,0),0)</f>
        <v>0</v>
      </c>
      <c r="AB141" s="129">
        <f t="shared" si="43"/>
        <v>0</v>
      </c>
      <c r="AC141" s="130">
        <v>0</v>
      </c>
      <c r="AD141" s="35">
        <f t="shared" si="54"/>
        <v>0</v>
      </c>
      <c r="AE141" s="166" t="str">
        <f t="shared" si="55"/>
        <v>Release</v>
      </c>
      <c r="AF141" s="127"/>
      <c r="AG141" s="18">
        <v>0</v>
      </c>
      <c r="AH141" s="120"/>
      <c r="AI141" s="238">
        <v>0</v>
      </c>
      <c r="AJ141" s="132"/>
      <c r="AK141" s="151">
        <v>8.6</v>
      </c>
      <c r="AL141" s="154">
        <f t="shared" si="44"/>
        <v>0</v>
      </c>
      <c r="AM141" s="155"/>
      <c r="AN141" s="19">
        <f t="shared" si="45"/>
        <v>0</v>
      </c>
      <c r="AO141" s="118">
        <f>SUMIF('MPG Payment '!E:E,'Shayak Income '!D141,'MPG Payment '!AJ:AJ)</f>
        <v>0</v>
      </c>
      <c r="AP141" s="19">
        <f t="shared" si="46"/>
        <v>0</v>
      </c>
      <c r="AQ141" s="119">
        <f t="shared" si="56"/>
        <v>0</v>
      </c>
      <c r="AR141" s="91" t="s">
        <v>1168</v>
      </c>
      <c r="AS141" s="91">
        <f t="shared" si="47"/>
        <v>0</v>
      </c>
      <c r="AT141" s="118"/>
      <c r="AU141" s="118"/>
      <c r="AV141" s="118"/>
    </row>
    <row r="142" spans="1:48" s="20" customFormat="1" x14ac:dyDescent="0.25">
      <c r="A142" s="17">
        <f>IFERROR(VLOOKUP(D142,'Monthly Deduction'!$I$3:$J$957,2,0),0)</f>
        <v>0</v>
      </c>
      <c r="B142" s="17">
        <f>IFERROR(VLOOKUP(D142,'Monthly Deduction'!$E$3:$F$957,2,0),0)</f>
        <v>0</v>
      </c>
      <c r="C142" s="17">
        <f t="shared" si="48"/>
        <v>0</v>
      </c>
      <c r="D142" s="41">
        <v>10060020</v>
      </c>
      <c r="E142" s="122" t="str">
        <f>VLOOKUP(D142,'MPG Payment '!$E$3:$G$498218,2,0)</f>
        <v>MAA SARDE</v>
      </c>
      <c r="F142" s="146">
        <f>IFERROR(_xlfn.XLOOKUP(D142,'Monthly Deduction'!$I$3:$I$957,'Monthly Deduction'!$H$3:$H$957),0)</f>
        <v>0</v>
      </c>
      <c r="G142" s="123" t="str">
        <f>VLOOKUP(D142,'MPG Payment '!$E$3:$G$334579,3,0)</f>
        <v>vlc</v>
      </c>
      <c r="H142" s="124" t="str">
        <f>VLOOKUP(D142,'MPG Payment '!$E$3:$H$334579,4,0)</f>
        <v>Indirect</v>
      </c>
      <c r="I142" s="88">
        <f>INDEX('MPG Payment '!$C:$C,MATCH('Shayak Income '!D142,'MPG Payment '!E:E,0))</f>
        <v>1006</v>
      </c>
      <c r="J142" s="88" t="str">
        <f>INDEX('MPG Payment '!$D:$D,MATCH('Shayak Income '!D142,'MPG Payment '!E:E,0))</f>
        <v>Sonvarsha</v>
      </c>
      <c r="K142" s="125" t="s">
        <v>1322</v>
      </c>
      <c r="L142" s="125">
        <v>44652</v>
      </c>
      <c r="M142" s="126">
        <f>SUMIF('MPG Payment '!$E$3:$E$34579,'Shayak Income '!D142,'MPG Payment '!$I$3:$I$34579)</f>
        <v>3063.6000000000004</v>
      </c>
      <c r="N142" s="126">
        <f>SUMIF('MPG Payment '!$E$3:$E$34579,'Shayak Income '!D142,'MPG Payment '!$J$3:$J$34579)</f>
        <v>109175.8757661015</v>
      </c>
      <c r="O142" s="126">
        <f t="shared" si="49"/>
        <v>2297.7000000000003</v>
      </c>
      <c r="P142" s="126">
        <f t="shared" si="50"/>
        <v>2910.42</v>
      </c>
      <c r="Q142" s="126">
        <f>SUMIF('MPG Payment '!$E$3:$E$34579,'Shayak Income '!D142,'MPG Payment '!$S$3:$S$34579)</f>
        <v>0</v>
      </c>
      <c r="R142" s="126">
        <f t="shared" si="40"/>
        <v>3275.2762729830447</v>
      </c>
      <c r="S142" s="126">
        <f t="shared" si="41"/>
        <v>364.85627298304462</v>
      </c>
      <c r="T142" s="126">
        <f t="shared" si="51"/>
        <v>306.36000000000007</v>
      </c>
      <c r="U142" s="127">
        <f>(((IF(K142="New",0,SUMIF('MPG Payment '!$E$3:$E$34579,'Shayak Income '!D142,'MPG Payment '!$AC$3:$AC$34579))))+0)+0</f>
        <v>141.96171493635632</v>
      </c>
      <c r="V142" s="127">
        <f t="shared" si="52"/>
        <v>4760</v>
      </c>
      <c r="W142" s="19">
        <f t="shared" si="53"/>
        <v>0</v>
      </c>
      <c r="X142" s="19">
        <f t="shared" si="42"/>
        <v>0</v>
      </c>
      <c r="Y142" s="128">
        <f>IFERROR(VLOOKUP(D142,'Monthly Deduction'!$M$2:$N$64,2,0),0)</f>
        <v>0</v>
      </c>
      <c r="Z142" s="128">
        <v>0</v>
      </c>
      <c r="AA142" s="126">
        <f>IFERROR(VLOOKUP(D142,'Monthly Deduction'!A:B,2,0),0)</f>
        <v>0</v>
      </c>
      <c r="AB142" s="129">
        <f t="shared" si="43"/>
        <v>4760</v>
      </c>
      <c r="AC142" s="130">
        <v>0</v>
      </c>
      <c r="AD142" s="35">
        <f t="shared" si="54"/>
        <v>4760</v>
      </c>
      <c r="AE142" s="166" t="str">
        <f t="shared" si="55"/>
        <v>Release</v>
      </c>
      <c r="AF142" s="127"/>
      <c r="AG142" s="18">
        <v>0</v>
      </c>
      <c r="AH142" s="120"/>
      <c r="AI142" s="238">
        <v>0</v>
      </c>
      <c r="AJ142" s="132"/>
      <c r="AK142" s="151">
        <v>673.3</v>
      </c>
      <c r="AL142" s="154">
        <f t="shared" si="44"/>
        <v>0</v>
      </c>
      <c r="AM142" s="155"/>
      <c r="AN142" s="19">
        <f t="shared" si="45"/>
        <v>0</v>
      </c>
      <c r="AO142" s="118">
        <f>SUMIF('MPG Payment '!E:E,'Shayak Income '!D142,'MPG Payment '!AJ:AJ)</f>
        <v>0</v>
      </c>
      <c r="AP142" s="19">
        <f t="shared" si="46"/>
        <v>0</v>
      </c>
      <c r="AQ142" s="119">
        <f t="shared" si="56"/>
        <v>0</v>
      </c>
      <c r="AR142" s="91" t="s">
        <v>1168</v>
      </c>
      <c r="AS142" s="91">
        <f t="shared" si="47"/>
        <v>0</v>
      </c>
      <c r="AT142" s="118"/>
      <c r="AU142" s="118"/>
      <c r="AV142" s="118"/>
    </row>
    <row r="143" spans="1:48" s="20" customFormat="1" x14ac:dyDescent="0.25">
      <c r="A143" s="17">
        <f>IFERROR(VLOOKUP(D143,'Monthly Deduction'!$I$3:$J$957,2,0),0)</f>
        <v>0</v>
      </c>
      <c r="B143" s="17">
        <f>IFERROR(VLOOKUP(D143,'Monthly Deduction'!$E$3:$F$957,2,0),0)</f>
        <v>0</v>
      </c>
      <c r="C143" s="17">
        <f t="shared" si="48"/>
        <v>0</v>
      </c>
      <c r="D143" s="41">
        <v>10060021</v>
      </c>
      <c r="E143" s="122" t="str">
        <f>VLOOKUP(D143,'MPG Payment '!$E$3:$G$498218,2,0)</f>
        <v>PURANI DIH</v>
      </c>
      <c r="F143" s="146">
        <f>IFERROR(_xlfn.XLOOKUP(D143,'Monthly Deduction'!$I$3:$I$957,'Monthly Deduction'!$H$3:$H$957),0)</f>
        <v>0</v>
      </c>
      <c r="G143" s="123" t="str">
        <f>VLOOKUP(D143,'MPG Payment '!$E$3:$G$334579,3,0)</f>
        <v>vlc</v>
      </c>
      <c r="H143" s="124" t="str">
        <f>VLOOKUP(D143,'MPG Payment '!$E$3:$H$334579,4,0)</f>
        <v>Indirect</v>
      </c>
      <c r="I143" s="88">
        <f>INDEX('MPG Payment '!$C:$C,MATCH('Shayak Income '!D143,'MPG Payment '!E:E,0))</f>
        <v>1006</v>
      </c>
      <c r="J143" s="88" t="str">
        <f>INDEX('MPG Payment '!$D:$D,MATCH('Shayak Income '!D143,'MPG Payment '!E:E,0))</f>
        <v>Sonvarsha</v>
      </c>
      <c r="K143" s="125" t="s">
        <v>1322</v>
      </c>
      <c r="L143" s="125">
        <v>44652</v>
      </c>
      <c r="M143" s="126">
        <f>SUMIF('MPG Payment '!$E$3:$E$34579,'Shayak Income '!D143,'MPG Payment '!$I$3:$I$34579)</f>
        <v>5277.6</v>
      </c>
      <c r="N143" s="126">
        <f>SUMIF('MPG Payment '!$E$3:$E$34579,'Shayak Income '!D143,'MPG Payment '!$J$3:$J$34579)</f>
        <v>217703.16263286502</v>
      </c>
      <c r="O143" s="126">
        <f t="shared" si="49"/>
        <v>3958.2000000000003</v>
      </c>
      <c r="P143" s="126">
        <f t="shared" si="50"/>
        <v>5013.72</v>
      </c>
      <c r="Q143" s="126">
        <f>SUMIF('MPG Payment '!$E$3:$E$34579,'Shayak Income '!D143,'MPG Payment '!$S$3:$S$34579)</f>
        <v>0</v>
      </c>
      <c r="R143" s="126">
        <f t="shared" si="40"/>
        <v>6531.0948789859503</v>
      </c>
      <c r="S143" s="126">
        <f t="shared" si="41"/>
        <v>1517.3748789859501</v>
      </c>
      <c r="T143" s="126">
        <f t="shared" si="51"/>
        <v>527.7600000000001</v>
      </c>
      <c r="U143" s="127">
        <f>(((IF(K143="New",0,SUMIF('MPG Payment '!$E$3:$E$34579,'Shayak Income '!D143,'MPG Payment '!$AC$3:$AC$34579))))+0)+0</f>
        <v>295.26861019108287</v>
      </c>
      <c r="V143" s="127">
        <f t="shared" si="52"/>
        <v>8149</v>
      </c>
      <c r="W143" s="19">
        <f t="shared" si="53"/>
        <v>0</v>
      </c>
      <c r="X143" s="19">
        <f t="shared" si="42"/>
        <v>0</v>
      </c>
      <c r="Y143" s="128">
        <f>IFERROR(VLOOKUP(D143,'Monthly Deduction'!$M$2:$N$64,2,0),0)</f>
        <v>0</v>
      </c>
      <c r="Z143" s="128">
        <v>0</v>
      </c>
      <c r="AA143" s="126">
        <f>IFERROR(VLOOKUP(D143,'Monthly Deduction'!A:B,2,0),0)</f>
        <v>0</v>
      </c>
      <c r="AB143" s="129">
        <f t="shared" si="43"/>
        <v>8149</v>
      </c>
      <c r="AC143" s="130">
        <v>0</v>
      </c>
      <c r="AD143" s="35">
        <f t="shared" si="54"/>
        <v>8149</v>
      </c>
      <c r="AE143" s="166" t="str">
        <f t="shared" si="55"/>
        <v>Release</v>
      </c>
      <c r="AF143" s="127"/>
      <c r="AG143" s="18">
        <v>0</v>
      </c>
      <c r="AH143" s="120"/>
      <c r="AI143" s="238">
        <v>0</v>
      </c>
      <c r="AJ143" s="132"/>
      <c r="AK143" s="151">
        <v>1824.3999999999999</v>
      </c>
      <c r="AL143" s="154">
        <f t="shared" si="44"/>
        <v>0</v>
      </c>
      <c r="AM143" s="155"/>
      <c r="AN143" s="19">
        <f t="shared" si="45"/>
        <v>0</v>
      </c>
      <c r="AO143" s="118">
        <f>SUMIF('MPG Payment '!E:E,'Shayak Income '!D143,'MPG Payment '!AJ:AJ)</f>
        <v>0</v>
      </c>
      <c r="AP143" s="19">
        <f t="shared" si="46"/>
        <v>0</v>
      </c>
      <c r="AQ143" s="119">
        <f t="shared" si="56"/>
        <v>0</v>
      </c>
      <c r="AR143" s="91" t="s">
        <v>1168</v>
      </c>
      <c r="AS143" s="91">
        <f t="shared" si="47"/>
        <v>0</v>
      </c>
      <c r="AT143" s="118"/>
      <c r="AU143" s="118"/>
      <c r="AV143" s="118"/>
    </row>
    <row r="144" spans="1:48" s="20" customFormat="1" x14ac:dyDescent="0.25">
      <c r="A144" s="17">
        <f>IFERROR(VLOOKUP(D144,'Monthly Deduction'!$I$3:$J$957,2,0),0)</f>
        <v>0</v>
      </c>
      <c r="B144" s="17">
        <f>IFERROR(VLOOKUP(D144,'Monthly Deduction'!$E$3:$F$957,2,0),0)</f>
        <v>0</v>
      </c>
      <c r="C144" s="17">
        <f t="shared" si="48"/>
        <v>0</v>
      </c>
      <c r="D144" s="41">
        <v>10060022</v>
      </c>
      <c r="E144" s="122" t="str">
        <f>VLOOKUP(D144,'MPG Payment '!$E$3:$G$498218,2,0)</f>
        <v>Farda Ravi Tola</v>
      </c>
      <c r="F144" s="146">
        <f>IFERROR(_xlfn.XLOOKUP(D144,'Monthly Deduction'!$I$3:$I$957,'Monthly Deduction'!$H$3:$H$957),0)</f>
        <v>0</v>
      </c>
      <c r="G144" s="123" t="str">
        <f>VLOOKUP(D144,'MPG Payment '!$E$3:$G$334579,3,0)</f>
        <v>MPG</v>
      </c>
      <c r="H144" s="124" t="str">
        <f>VLOOKUP(D144,'MPG Payment '!$E$3:$H$334579,4,0)</f>
        <v>Direct</v>
      </c>
      <c r="I144" s="88">
        <f>INDEX('MPG Payment '!$C:$C,MATCH('Shayak Income '!D144,'MPG Payment '!E:E,0))</f>
        <v>1006</v>
      </c>
      <c r="J144" s="88" t="str">
        <f>INDEX('MPG Payment '!$D:$D,MATCH('Shayak Income '!D144,'MPG Payment '!E:E,0))</f>
        <v>Sonvarsha</v>
      </c>
      <c r="K144" s="125" t="s">
        <v>1322</v>
      </c>
      <c r="L144" s="125">
        <v>44697</v>
      </c>
      <c r="M144" s="126">
        <f>SUMIF('MPG Payment '!$E$3:$E$34579,'Shayak Income '!D144,'MPG Payment '!$I$3:$I$34579)</f>
        <v>3590.3</v>
      </c>
      <c r="N144" s="126">
        <f>SUMIF('MPG Payment '!$E$3:$E$34579,'Shayak Income '!D144,'MPG Payment '!$J$3:$J$34579)</f>
        <v>129894.58723853951</v>
      </c>
      <c r="O144" s="126">
        <f t="shared" si="49"/>
        <v>2692.7250000000004</v>
      </c>
      <c r="P144" s="126">
        <f t="shared" si="50"/>
        <v>3410.7849999999999</v>
      </c>
      <c r="Q144" s="126">
        <f>SUMIF('MPG Payment '!$E$3:$E$34579,'Shayak Income '!D144,'MPG Payment '!$S$3:$S$34579)</f>
        <v>1949.2382755800006</v>
      </c>
      <c r="R144" s="126">
        <f t="shared" si="40"/>
        <v>3896.8376171561849</v>
      </c>
      <c r="S144" s="126">
        <f t="shared" si="41"/>
        <v>486.05261715618508</v>
      </c>
      <c r="T144" s="126">
        <f t="shared" si="51"/>
        <v>359.03000000000003</v>
      </c>
      <c r="U144" s="127">
        <f>(((IF(K144="New",0,SUMIF('MPG Payment '!$E$3:$E$34579,'Shayak Income '!D144,'MPG Payment '!$AC$3:$AC$34579))))+0)+0</f>
        <v>177.38756818378849</v>
      </c>
      <c r="V144" s="127">
        <f t="shared" si="52"/>
        <v>7516</v>
      </c>
      <c r="W144" s="19">
        <f t="shared" si="53"/>
        <v>0</v>
      </c>
      <c r="X144" s="19">
        <f t="shared" si="42"/>
        <v>0</v>
      </c>
      <c r="Y144" s="128">
        <f>IFERROR(VLOOKUP(D144,'Monthly Deduction'!$M$2:$N$64,2,0),0)</f>
        <v>0</v>
      </c>
      <c r="Z144" s="128">
        <v>0</v>
      </c>
      <c r="AA144" s="126">
        <f>IFERROR(VLOOKUP(D144,'Monthly Deduction'!A:B,2,0),0)</f>
        <v>0</v>
      </c>
      <c r="AB144" s="129">
        <f t="shared" si="43"/>
        <v>7516</v>
      </c>
      <c r="AC144" s="130">
        <v>0</v>
      </c>
      <c r="AD144" s="35">
        <f t="shared" si="54"/>
        <v>7516</v>
      </c>
      <c r="AE144" s="166" t="str">
        <f t="shared" si="55"/>
        <v>Release</v>
      </c>
      <c r="AF144" s="127"/>
      <c r="AG144" s="18">
        <v>0</v>
      </c>
      <c r="AH144" s="120"/>
      <c r="AI144" s="238">
        <v>0</v>
      </c>
      <c r="AJ144" s="132"/>
      <c r="AK144" s="151">
        <v>1101.6000000000001</v>
      </c>
      <c r="AL144" s="154">
        <f t="shared" si="44"/>
        <v>0</v>
      </c>
      <c r="AM144" s="155"/>
      <c r="AN144" s="19">
        <f t="shared" si="45"/>
        <v>0</v>
      </c>
      <c r="AO144" s="118">
        <f>SUMIF('MPG Payment '!E:E,'Shayak Income '!D144,'MPG Payment '!AJ:AJ)</f>
        <v>0</v>
      </c>
      <c r="AP144" s="19">
        <f t="shared" si="46"/>
        <v>0</v>
      </c>
      <c r="AQ144" s="119">
        <f t="shared" si="56"/>
        <v>0</v>
      </c>
      <c r="AR144" s="91" t="s">
        <v>1168</v>
      </c>
      <c r="AS144" s="91">
        <f t="shared" si="47"/>
        <v>0</v>
      </c>
      <c r="AT144" s="118"/>
      <c r="AU144" s="118"/>
      <c r="AV144" s="118"/>
    </row>
    <row r="145" spans="1:48" s="20" customFormat="1" x14ac:dyDescent="0.25">
      <c r="A145" s="17">
        <f>IFERROR(VLOOKUP(D145,'Monthly Deduction'!$I$3:$J$957,2,0),0)</f>
        <v>0</v>
      </c>
      <c r="B145" s="17">
        <f>IFERROR(VLOOKUP(D145,'Monthly Deduction'!$E$3:$F$957,2,0),0)</f>
        <v>0</v>
      </c>
      <c r="C145" s="17">
        <f t="shared" si="48"/>
        <v>0</v>
      </c>
      <c r="D145" s="41">
        <v>10060023</v>
      </c>
      <c r="E145" s="122" t="str">
        <f>VLOOKUP(D145,'MPG Payment '!$E$3:$G$498218,2,0)</f>
        <v>Gomukh Puranidih 2</v>
      </c>
      <c r="F145" s="146">
        <f>IFERROR(_xlfn.XLOOKUP(D145,'Monthly Deduction'!$I$3:$I$957,'Monthly Deduction'!$H$3:$H$957),0)</f>
        <v>0</v>
      </c>
      <c r="G145" s="123" t="str">
        <f>VLOOKUP(D145,'MPG Payment '!$E$3:$G$334579,3,0)</f>
        <v>vlc</v>
      </c>
      <c r="H145" s="124" t="str">
        <f>VLOOKUP(D145,'MPG Payment '!$E$3:$H$334579,4,0)</f>
        <v>Indirect</v>
      </c>
      <c r="I145" s="88">
        <f>INDEX('MPG Payment '!$C:$C,MATCH('Shayak Income '!D145,'MPG Payment '!E:E,0))</f>
        <v>1006</v>
      </c>
      <c r="J145" s="88" t="str">
        <f>INDEX('MPG Payment '!$D:$D,MATCH('Shayak Income '!D145,'MPG Payment '!E:E,0))</f>
        <v>Sonvarsha</v>
      </c>
      <c r="K145" s="125" t="s">
        <v>1322</v>
      </c>
      <c r="L145" s="125">
        <v>44717</v>
      </c>
      <c r="M145" s="126">
        <f>SUMIF('MPG Payment '!$E$3:$E$34579,'Shayak Income '!D145,'MPG Payment '!$I$3:$I$34579)</f>
        <v>423.8</v>
      </c>
      <c r="N145" s="126">
        <f>SUMIF('MPG Payment '!$E$3:$E$34579,'Shayak Income '!D145,'MPG Payment '!$J$3:$J$34579)</f>
        <v>19119.320944440002</v>
      </c>
      <c r="O145" s="126">
        <f t="shared" si="49"/>
        <v>317.85000000000002</v>
      </c>
      <c r="P145" s="126">
        <f t="shared" si="50"/>
        <v>402.61</v>
      </c>
      <c r="Q145" s="126">
        <f>SUMIF('MPG Payment '!$E$3:$E$34579,'Shayak Income '!D145,'MPG Payment '!$S$3:$S$34579)</f>
        <v>0</v>
      </c>
      <c r="R145" s="126">
        <f t="shared" si="40"/>
        <v>573.57962833320005</v>
      </c>
      <c r="S145" s="126">
        <f t="shared" si="41"/>
        <v>170.96962833320003</v>
      </c>
      <c r="T145" s="126">
        <f t="shared" si="51"/>
        <v>42.38</v>
      </c>
      <c r="U145" s="127">
        <f>(((IF(K145="New",0,SUMIF('MPG Payment '!$E$3:$E$34579,'Shayak Income '!D145,'MPG Payment '!$AC$3:$AC$34579))))+0)+-1468</f>
        <v>678.54950032549186</v>
      </c>
      <c r="V145" s="127">
        <f t="shared" si="52"/>
        <v>0</v>
      </c>
      <c r="W145" s="19">
        <v>0</v>
      </c>
      <c r="X145" s="19">
        <v>0</v>
      </c>
      <c r="Y145" s="128">
        <f>IFERROR(VLOOKUP(D145,'Monthly Deduction'!$M$2:$N$64,2,0),0)</f>
        <v>0</v>
      </c>
      <c r="Z145" s="128">
        <v>0</v>
      </c>
      <c r="AA145" s="126">
        <f>IFERROR(VLOOKUP(D145,'Monthly Deduction'!A:B,2,0),0)</f>
        <v>0</v>
      </c>
      <c r="AB145" s="129">
        <f t="shared" si="43"/>
        <v>0</v>
      </c>
      <c r="AC145" s="130">
        <v>0</v>
      </c>
      <c r="AD145" s="35">
        <f t="shared" si="54"/>
        <v>0</v>
      </c>
      <c r="AE145" s="166" t="str">
        <f t="shared" si="55"/>
        <v>Release</v>
      </c>
      <c r="AF145" s="127"/>
      <c r="AG145" s="18">
        <v>0</v>
      </c>
      <c r="AH145" s="120"/>
      <c r="AI145" s="238">
        <v>0</v>
      </c>
      <c r="AJ145" s="132"/>
      <c r="AK145" s="151">
        <v>135.39999999999998</v>
      </c>
      <c r="AL145" s="154">
        <f t="shared" si="44"/>
        <v>0</v>
      </c>
      <c r="AM145" s="155"/>
      <c r="AN145" s="19">
        <f t="shared" si="45"/>
        <v>0</v>
      </c>
      <c r="AO145" s="118">
        <f>SUMIF('MPG Payment '!E:E,'Shayak Income '!D145,'MPG Payment '!AJ:AJ)</f>
        <v>0</v>
      </c>
      <c r="AP145" s="19">
        <f t="shared" si="46"/>
        <v>0</v>
      </c>
      <c r="AQ145" s="119">
        <f t="shared" si="56"/>
        <v>0</v>
      </c>
      <c r="AR145" s="91" t="s">
        <v>1168</v>
      </c>
      <c r="AS145" s="91">
        <f t="shared" si="47"/>
        <v>0</v>
      </c>
      <c r="AT145" s="118"/>
      <c r="AU145" s="118"/>
      <c r="AV145" s="118"/>
    </row>
    <row r="146" spans="1:48" s="20" customFormat="1" x14ac:dyDescent="0.25">
      <c r="A146" s="17">
        <f>IFERROR(VLOOKUP(D146,'Monthly Deduction'!$I$3:$J$957,2,0),0)</f>
        <v>0</v>
      </c>
      <c r="B146" s="17">
        <f>IFERROR(VLOOKUP(D146,'Monthly Deduction'!$E$3:$F$957,2,0),0)</f>
        <v>7572.8810774183294</v>
      </c>
      <c r="C146" s="17">
        <f t="shared" si="48"/>
        <v>7572.8810774183294</v>
      </c>
      <c r="D146" s="41">
        <v>10060026</v>
      </c>
      <c r="E146" s="122" t="str">
        <f>VLOOKUP(D146,'MPG Payment '!$E$3:$G$498218,2,0)</f>
        <v>Gomukh Arma</v>
      </c>
      <c r="F146" s="146">
        <f>IFERROR(_xlfn.XLOOKUP(D146,'Monthly Deduction'!$I$3:$I$957,'Monthly Deduction'!$H$3:$H$957),0)</f>
        <v>0</v>
      </c>
      <c r="G146" s="123" t="str">
        <f>VLOOKUP(D146,'MPG Payment '!$E$3:$G$334579,3,0)</f>
        <v>MPG</v>
      </c>
      <c r="H146" s="124" t="str">
        <f>VLOOKUP(D146,'MPG Payment '!$E$3:$H$334579,4,0)</f>
        <v>Direct</v>
      </c>
      <c r="I146" s="88">
        <f>INDEX('MPG Payment '!$C:$C,MATCH('Shayak Income '!D146,'MPG Payment '!E:E,0))</f>
        <v>1006</v>
      </c>
      <c r="J146" s="88" t="str">
        <f>INDEX('MPG Payment '!$D:$D,MATCH('Shayak Income '!D146,'MPG Payment '!E:E,0))</f>
        <v>Sonvarsha</v>
      </c>
      <c r="K146" s="125" t="s">
        <v>1322</v>
      </c>
      <c r="L146" s="125">
        <v>44866</v>
      </c>
      <c r="M146" s="126">
        <f>SUMIF('MPG Payment '!$E$3:$E$34579,'Shayak Income '!D146,'MPG Payment '!$I$3:$I$34579)</f>
        <v>2313.8000000000002</v>
      </c>
      <c r="N146" s="126">
        <f>SUMIF('MPG Payment '!$E$3:$E$34579,'Shayak Income '!D146,'MPG Payment '!$J$3:$J$34579)</f>
        <v>96162.574020911998</v>
      </c>
      <c r="O146" s="126">
        <f t="shared" si="49"/>
        <v>1735.3500000000001</v>
      </c>
      <c r="P146" s="126">
        <f t="shared" si="50"/>
        <v>2198.11</v>
      </c>
      <c r="Q146" s="126">
        <f>SUMIF('MPG Payment '!$E$3:$E$34579,'Shayak Income '!D146,'MPG Payment '!$S$3:$S$34579)</f>
        <v>450.91925761365002</v>
      </c>
      <c r="R146" s="126">
        <f t="shared" si="40"/>
        <v>2884.8772206273597</v>
      </c>
      <c r="S146" s="126">
        <f t="shared" si="41"/>
        <v>686.76722062735962</v>
      </c>
      <c r="T146" s="126">
        <f t="shared" si="51"/>
        <v>231.38000000000002</v>
      </c>
      <c r="U146" s="127">
        <f>(((IF(K146="New",0,SUMIF('MPG Payment '!$E$3:$E$34579,'Shayak Income '!D146,'MPG Payment '!$AC$3:$AC$34579))))+0)+0</f>
        <v>398.71993637363562</v>
      </c>
      <c r="V146" s="127">
        <f t="shared" si="52"/>
        <v>3754</v>
      </c>
      <c r="W146" s="19">
        <f t="shared" si="53"/>
        <v>0</v>
      </c>
      <c r="X146" s="19">
        <f t="shared" si="42"/>
        <v>1923.2514804182399</v>
      </c>
      <c r="Y146" s="128">
        <f>IFERROR(VLOOKUP(D146,'Monthly Deduction'!$M$2:$N$64,2,0),0)</f>
        <v>0</v>
      </c>
      <c r="Z146" s="128">
        <v>0</v>
      </c>
      <c r="AA146" s="126">
        <f>IFERROR(VLOOKUP(D146,'Monthly Deduction'!A:B,2,0),0)</f>
        <v>0</v>
      </c>
      <c r="AB146" s="129">
        <f t="shared" si="43"/>
        <v>1831</v>
      </c>
      <c r="AC146" s="130">
        <v>0</v>
      </c>
      <c r="AD146" s="35">
        <f t="shared" si="54"/>
        <v>1831</v>
      </c>
      <c r="AE146" s="166" t="str">
        <f t="shared" si="55"/>
        <v>Release</v>
      </c>
      <c r="AF146" s="127"/>
      <c r="AG146" s="18">
        <v>0</v>
      </c>
      <c r="AH146" s="120"/>
      <c r="AI146" s="238">
        <v>0</v>
      </c>
      <c r="AJ146" s="132"/>
      <c r="AK146" s="151">
        <v>889.70000000000016</v>
      </c>
      <c r="AL146" s="154">
        <f t="shared" si="44"/>
        <v>0</v>
      </c>
      <c r="AM146" s="155"/>
      <c r="AN146" s="19">
        <f t="shared" si="45"/>
        <v>0</v>
      </c>
      <c r="AO146" s="118">
        <f>SUMIF('MPG Payment '!E:E,'Shayak Income '!D146,'MPG Payment '!AJ:AJ)</f>
        <v>0</v>
      </c>
      <c r="AP146" s="19">
        <f t="shared" si="46"/>
        <v>0</v>
      </c>
      <c r="AQ146" s="119">
        <f t="shared" si="56"/>
        <v>0</v>
      </c>
      <c r="AR146" s="91" t="s">
        <v>1168</v>
      </c>
      <c r="AS146" s="91">
        <f t="shared" si="47"/>
        <v>5649.6295970000892</v>
      </c>
      <c r="AT146" s="118"/>
      <c r="AU146" s="118"/>
      <c r="AV146" s="118"/>
    </row>
    <row r="147" spans="1:48" s="20" customFormat="1" x14ac:dyDescent="0.25">
      <c r="A147" s="17">
        <f>IFERROR(VLOOKUP(D147,'Monthly Deduction'!$I$3:$J$957,2,0),0)</f>
        <v>0</v>
      </c>
      <c r="B147" s="17">
        <f>IFERROR(VLOOKUP(D147,'Monthly Deduction'!$E$3:$F$957,2,0),0)</f>
        <v>0</v>
      </c>
      <c r="C147" s="17">
        <f t="shared" si="48"/>
        <v>0</v>
      </c>
      <c r="D147" s="41">
        <v>10060027</v>
      </c>
      <c r="E147" s="122" t="str">
        <f>VLOOKUP(D147,'MPG Payment '!$E$3:$G$498218,2,0)</f>
        <v>Singhchak</v>
      </c>
      <c r="F147" s="146">
        <f>IFERROR(_xlfn.XLOOKUP(D147,'Monthly Deduction'!$I$3:$I$957,'Monthly Deduction'!$H$3:$H$957),0)</f>
        <v>0</v>
      </c>
      <c r="G147" s="123" t="str">
        <f>VLOOKUP(D147,'MPG Payment '!$E$3:$G$334579,3,0)</f>
        <v>MPG</v>
      </c>
      <c r="H147" s="124" t="str">
        <f>VLOOKUP(D147,'MPG Payment '!$E$3:$H$334579,4,0)</f>
        <v>Direct</v>
      </c>
      <c r="I147" s="88">
        <f>INDEX('MPG Payment '!$C:$C,MATCH('Shayak Income '!D147,'MPG Payment '!E:E,0))</f>
        <v>1059</v>
      </c>
      <c r="J147" s="88" t="str">
        <f>INDEX('MPG Payment '!$D:$D,MATCH('Shayak Income '!D147,'MPG Payment '!E:E,0))</f>
        <v>Gopalpur Bmc</v>
      </c>
      <c r="K147" s="125" t="s">
        <v>1322</v>
      </c>
      <c r="L147" s="125">
        <v>44866</v>
      </c>
      <c r="M147" s="126">
        <f>SUMIF('MPG Payment '!$E$3:$E$34579,'Shayak Income '!D147,'MPG Payment '!$I$3:$I$34579)</f>
        <v>5744.5999999999995</v>
      </c>
      <c r="N147" s="126">
        <f>SUMIF('MPG Payment '!$E$3:$E$34579,'Shayak Income '!D147,'MPG Payment '!$J$3:$J$34579)</f>
        <v>245934.55053567205</v>
      </c>
      <c r="O147" s="126">
        <f t="shared" si="49"/>
        <v>4308.45</v>
      </c>
      <c r="P147" s="126">
        <f t="shared" si="50"/>
        <v>5457.369999999999</v>
      </c>
      <c r="Q147" s="126">
        <f>SUMIF('MPG Payment '!$E$3:$E$34579,'Shayak Income '!D147,'MPG Payment '!$S$3:$S$34579)</f>
        <v>3593.1735389280002</v>
      </c>
      <c r="R147" s="126">
        <f t="shared" si="40"/>
        <v>7378.0365160701613</v>
      </c>
      <c r="S147" s="126">
        <f t="shared" si="41"/>
        <v>1920.6665160701623</v>
      </c>
      <c r="T147" s="126">
        <f t="shared" si="51"/>
        <v>574.45999999999992</v>
      </c>
      <c r="U147" s="127">
        <f>(((IF(K147="New",0,SUMIF('MPG Payment '!$E$3:$E$34579,'Shayak Income '!D147,'MPG Payment '!$AC$3:$AC$34579))))+0)+0</f>
        <v>0</v>
      </c>
      <c r="V147" s="127">
        <f t="shared" si="52"/>
        <v>12785</v>
      </c>
      <c r="W147" s="19">
        <f t="shared" si="53"/>
        <v>0</v>
      </c>
      <c r="X147" s="19">
        <f t="shared" si="42"/>
        <v>0</v>
      </c>
      <c r="Y147" s="128">
        <f>IFERROR(VLOOKUP(D147,'Monthly Deduction'!$M$2:$N$64,2,0),0)</f>
        <v>0</v>
      </c>
      <c r="Z147" s="128">
        <v>0</v>
      </c>
      <c r="AA147" s="126">
        <f>IFERROR(VLOOKUP(D147,'Monthly Deduction'!A:B,2,0),0)</f>
        <v>0</v>
      </c>
      <c r="AB147" s="129">
        <f t="shared" si="43"/>
        <v>12785</v>
      </c>
      <c r="AC147" s="130">
        <v>0</v>
      </c>
      <c r="AD147" s="35">
        <f t="shared" si="54"/>
        <v>12785</v>
      </c>
      <c r="AE147" s="166" t="str">
        <f t="shared" si="55"/>
        <v>Release</v>
      </c>
      <c r="AF147" s="127"/>
      <c r="AG147" s="18">
        <v>0</v>
      </c>
      <c r="AH147" s="120"/>
      <c r="AI147" s="238">
        <v>0</v>
      </c>
      <c r="AJ147" s="132"/>
      <c r="AK147" s="151">
        <v>1509.2000000000003</v>
      </c>
      <c r="AL147" s="154">
        <f t="shared" si="44"/>
        <v>0</v>
      </c>
      <c r="AM147" s="155"/>
      <c r="AN147" s="19">
        <f t="shared" si="45"/>
        <v>0</v>
      </c>
      <c r="AO147" s="118">
        <f>SUMIF('MPG Payment '!E:E,'Shayak Income '!D147,'MPG Payment '!AJ:AJ)</f>
        <v>0</v>
      </c>
      <c r="AP147" s="19">
        <f t="shared" si="46"/>
        <v>0</v>
      </c>
      <c r="AQ147" s="119">
        <f t="shared" si="56"/>
        <v>0</v>
      </c>
      <c r="AR147" s="91" t="s">
        <v>1168</v>
      </c>
      <c r="AS147" s="91">
        <f t="shared" si="47"/>
        <v>0</v>
      </c>
      <c r="AT147" s="118"/>
      <c r="AU147" s="118"/>
      <c r="AV147" s="118"/>
    </row>
    <row r="148" spans="1:48" s="20" customFormat="1" x14ac:dyDescent="0.25">
      <c r="A148" s="17">
        <f>IFERROR(VLOOKUP(D148,'Monthly Deduction'!$I$3:$J$957,2,0),0)</f>
        <v>0</v>
      </c>
      <c r="B148" s="17">
        <f>IFERROR(VLOOKUP(D148,'Monthly Deduction'!$E$3:$F$957,2,0),0)</f>
        <v>0</v>
      </c>
      <c r="C148" s="17">
        <f t="shared" si="48"/>
        <v>0</v>
      </c>
      <c r="D148" s="41">
        <v>10060028</v>
      </c>
      <c r="E148" s="122" t="str">
        <f>VLOOKUP(D148,'MPG Payment '!$E$3:$G$498218,2,0)</f>
        <v>MAHA-LAXMI</v>
      </c>
      <c r="F148" s="146">
        <f>IFERROR(_xlfn.XLOOKUP(D148,'Monthly Deduction'!$I$3:$I$957,'Monthly Deduction'!$H$3:$H$957),0)</f>
        <v>0</v>
      </c>
      <c r="G148" s="123" t="str">
        <f>VLOOKUP(D148,'MPG Payment '!$E$3:$G$334579,3,0)</f>
        <v>vlc</v>
      </c>
      <c r="H148" s="124" t="str">
        <f>VLOOKUP(D148,'MPG Payment '!$E$3:$H$334579,4,0)</f>
        <v>Indirect</v>
      </c>
      <c r="I148" s="88">
        <f>INDEX('MPG Payment '!$C:$C,MATCH('Shayak Income '!D148,'MPG Payment '!E:E,0))</f>
        <v>1006</v>
      </c>
      <c r="J148" s="88" t="str">
        <f>INDEX('MPG Payment '!$D:$D,MATCH('Shayak Income '!D148,'MPG Payment '!E:E,0))</f>
        <v>Sonvarsha</v>
      </c>
      <c r="K148" s="125" t="s">
        <v>1322</v>
      </c>
      <c r="L148" s="125">
        <v>44950</v>
      </c>
      <c r="M148" s="126">
        <f>SUMIF('MPG Payment '!$E$3:$E$34579,'Shayak Income '!D148,'MPG Payment '!$I$3:$I$34579)</f>
        <v>2773</v>
      </c>
      <c r="N148" s="126">
        <f>SUMIF('MPG Payment '!$E$3:$E$34579,'Shayak Income '!D148,'MPG Payment '!$J$3:$J$34579)</f>
        <v>98361.871943841499</v>
      </c>
      <c r="O148" s="126">
        <f t="shared" si="49"/>
        <v>2079.75</v>
      </c>
      <c r="P148" s="126">
        <f t="shared" si="50"/>
        <v>2634.35</v>
      </c>
      <c r="Q148" s="126">
        <f>SUMIF('MPG Payment '!$E$3:$E$34579,'Shayak Income '!D148,'MPG Payment '!$S$3:$S$34579)</f>
        <v>0</v>
      </c>
      <c r="R148" s="126">
        <f t="shared" si="40"/>
        <v>2950.856158315245</v>
      </c>
      <c r="S148" s="126">
        <f t="shared" si="41"/>
        <v>316.5061583152451</v>
      </c>
      <c r="T148" s="126">
        <f t="shared" si="51"/>
        <v>277.3</v>
      </c>
      <c r="U148" s="127">
        <f>(((IF(K148="New",0,SUMIF('MPG Payment '!$E$3:$E$34579,'Shayak Income '!D148,'MPG Payment '!$AC$3:$AC$34579))))+0)+0</f>
        <v>33.146571525884553</v>
      </c>
      <c r="V148" s="127">
        <f t="shared" si="52"/>
        <v>4404</v>
      </c>
      <c r="W148" s="19">
        <f t="shared" si="53"/>
        <v>0</v>
      </c>
      <c r="X148" s="19">
        <f t="shared" si="42"/>
        <v>0</v>
      </c>
      <c r="Y148" s="128">
        <f>IFERROR(VLOOKUP(D148,'Monthly Deduction'!$M$2:$N$64,2,0),0)</f>
        <v>0</v>
      </c>
      <c r="Z148" s="128">
        <v>0</v>
      </c>
      <c r="AA148" s="126">
        <f>IFERROR(VLOOKUP(D148,'Monthly Deduction'!A:B,2,0),0)</f>
        <v>0</v>
      </c>
      <c r="AB148" s="129">
        <f t="shared" si="43"/>
        <v>4404</v>
      </c>
      <c r="AC148" s="130">
        <v>0</v>
      </c>
      <c r="AD148" s="35">
        <f t="shared" si="54"/>
        <v>4404</v>
      </c>
      <c r="AE148" s="166" t="str">
        <f t="shared" si="55"/>
        <v>Release</v>
      </c>
      <c r="AF148" s="127"/>
      <c r="AG148" s="18">
        <v>0</v>
      </c>
      <c r="AH148" s="120"/>
      <c r="AI148" s="238">
        <v>0</v>
      </c>
      <c r="AJ148" s="132"/>
      <c r="AK148" s="151">
        <v>688.80000000000007</v>
      </c>
      <c r="AL148" s="154">
        <f t="shared" si="44"/>
        <v>0</v>
      </c>
      <c r="AM148" s="155"/>
      <c r="AN148" s="19">
        <f t="shared" si="45"/>
        <v>0</v>
      </c>
      <c r="AO148" s="118">
        <f>SUMIF('MPG Payment '!E:E,'Shayak Income '!D148,'MPG Payment '!AJ:AJ)</f>
        <v>0</v>
      </c>
      <c r="AP148" s="19">
        <f t="shared" si="46"/>
        <v>0</v>
      </c>
      <c r="AQ148" s="119">
        <f t="shared" si="56"/>
        <v>0</v>
      </c>
      <c r="AR148" s="91" t="s">
        <v>1168</v>
      </c>
      <c r="AS148" s="91">
        <f t="shared" si="47"/>
        <v>0</v>
      </c>
      <c r="AT148" s="118"/>
      <c r="AU148" s="118"/>
      <c r="AV148" s="118"/>
    </row>
    <row r="149" spans="1:48" s="20" customFormat="1" x14ac:dyDescent="0.25">
      <c r="A149" s="17">
        <f>IFERROR(VLOOKUP(D149,'Monthly Deduction'!$I$3:$J$957,2,0),0)</f>
        <v>0</v>
      </c>
      <c r="B149" s="17">
        <f>IFERROR(VLOOKUP(D149,'Monthly Deduction'!$E$3:$F$957,2,0),0)</f>
        <v>0</v>
      </c>
      <c r="C149" s="17">
        <f t="shared" si="48"/>
        <v>0</v>
      </c>
      <c r="D149" s="41">
        <v>10060029</v>
      </c>
      <c r="E149" s="122" t="str">
        <f>VLOOKUP(D149,'MPG Payment '!$E$3:$G$498218,2,0)</f>
        <v>PAWAI</v>
      </c>
      <c r="F149" s="146">
        <f>IFERROR(_xlfn.XLOOKUP(D149,'Monthly Deduction'!$I$3:$I$957,'Monthly Deduction'!$H$3:$H$957),0)</f>
        <v>0</v>
      </c>
      <c r="G149" s="123" t="str">
        <f>VLOOKUP(D149,'MPG Payment '!$E$3:$G$334579,3,0)</f>
        <v>MPG</v>
      </c>
      <c r="H149" s="124" t="str">
        <f>VLOOKUP(D149,'MPG Payment '!$E$3:$H$334579,4,0)</f>
        <v>Direct</v>
      </c>
      <c r="I149" s="88">
        <f>INDEX('MPG Payment '!$C:$C,MATCH('Shayak Income '!D149,'MPG Payment '!E:E,0))</f>
        <v>1006</v>
      </c>
      <c r="J149" s="88" t="str">
        <f>INDEX('MPG Payment '!$D:$D,MATCH('Shayak Income '!D149,'MPG Payment '!E:E,0))</f>
        <v>Sonvarsha</v>
      </c>
      <c r="K149" s="125" t="s">
        <v>1322</v>
      </c>
      <c r="L149" s="125">
        <v>44958</v>
      </c>
      <c r="M149" s="126">
        <f>SUMIF('MPG Payment '!$E$3:$E$34579,'Shayak Income '!D149,'MPG Payment '!$I$3:$I$34579)</f>
        <v>6055.3</v>
      </c>
      <c r="N149" s="126">
        <f>SUMIF('MPG Payment '!$E$3:$E$34579,'Shayak Income '!D149,'MPG Payment '!$J$3:$J$34579)</f>
        <v>270226.13169279404</v>
      </c>
      <c r="O149" s="126">
        <f t="shared" si="49"/>
        <v>4541.4750000000004</v>
      </c>
      <c r="P149" s="126">
        <f t="shared" si="50"/>
        <v>5752.5349999999999</v>
      </c>
      <c r="Q149" s="126">
        <f>SUMIF('MPG Payment '!$E$3:$E$34579,'Shayak Income '!D149,'MPG Payment '!$S$3:$S$34579)</f>
        <v>3689.1874771676003</v>
      </c>
      <c r="R149" s="126">
        <f t="shared" si="40"/>
        <v>8106.7839507838207</v>
      </c>
      <c r="S149" s="126">
        <f t="shared" si="41"/>
        <v>2354.2489507838209</v>
      </c>
      <c r="T149" s="126">
        <f t="shared" si="51"/>
        <v>605.53000000000009</v>
      </c>
      <c r="U149" s="127">
        <f>(((IF(K149="New",0,SUMIF('MPG Payment '!$E$3:$E$34579,'Shayak Income '!D149,'MPG Payment '!$AC$3:$AC$34579))))+0)+0</f>
        <v>0</v>
      </c>
      <c r="V149" s="127">
        <f t="shared" si="52"/>
        <v>13378</v>
      </c>
      <c r="W149" s="19">
        <f t="shared" si="53"/>
        <v>0</v>
      </c>
      <c r="X149" s="19">
        <f t="shared" si="42"/>
        <v>0</v>
      </c>
      <c r="Y149" s="128">
        <f>IFERROR(VLOOKUP(D149,'Monthly Deduction'!$M$2:$N$64,2,0),0)</f>
        <v>0</v>
      </c>
      <c r="Z149" s="128">
        <v>0</v>
      </c>
      <c r="AA149" s="126">
        <f>IFERROR(VLOOKUP(D149,'Monthly Deduction'!A:B,2,0),0)</f>
        <v>0</v>
      </c>
      <c r="AB149" s="129">
        <f t="shared" si="43"/>
        <v>13378</v>
      </c>
      <c r="AC149" s="130">
        <v>0</v>
      </c>
      <c r="AD149" s="35">
        <f t="shared" si="54"/>
        <v>13378</v>
      </c>
      <c r="AE149" s="166" t="str">
        <f t="shared" si="55"/>
        <v>Release</v>
      </c>
      <c r="AF149" s="127"/>
      <c r="AG149" s="18">
        <v>0</v>
      </c>
      <c r="AH149" s="120"/>
      <c r="AI149" s="238">
        <v>0</v>
      </c>
      <c r="AJ149" s="132"/>
      <c r="AK149" s="151">
        <v>1970.1000000000004</v>
      </c>
      <c r="AL149" s="154">
        <f t="shared" si="44"/>
        <v>0</v>
      </c>
      <c r="AM149" s="155"/>
      <c r="AN149" s="19">
        <f t="shared" si="45"/>
        <v>0</v>
      </c>
      <c r="AO149" s="118">
        <f>SUMIF('MPG Payment '!E:E,'Shayak Income '!D149,'MPG Payment '!AJ:AJ)</f>
        <v>0</v>
      </c>
      <c r="AP149" s="19">
        <f t="shared" si="46"/>
        <v>0</v>
      </c>
      <c r="AQ149" s="119">
        <f t="shared" si="56"/>
        <v>0</v>
      </c>
      <c r="AR149" s="91" t="s">
        <v>1168</v>
      </c>
      <c r="AS149" s="91">
        <f t="shared" si="47"/>
        <v>0</v>
      </c>
      <c r="AT149" s="118"/>
      <c r="AU149" s="118"/>
      <c r="AV149" s="118"/>
    </row>
    <row r="150" spans="1:48" s="20" customFormat="1" x14ac:dyDescent="0.25">
      <c r="A150" s="17">
        <f>IFERROR(VLOOKUP(D150,'Monthly Deduction'!$I$3:$J$957,2,0),0)</f>
        <v>25878.589000000007</v>
      </c>
      <c r="B150" s="17">
        <f>IFERROR(VLOOKUP(D150,'Monthly Deduction'!$E$3:$F$957,2,0),0)</f>
        <v>7769</v>
      </c>
      <c r="C150" s="17">
        <f t="shared" si="48"/>
        <v>33647.589000000007</v>
      </c>
      <c r="D150" s="41">
        <v>10060031</v>
      </c>
      <c r="E150" s="122" t="str">
        <f>VLOOKUP(D150,'MPG Payment '!$E$3:$G$498218,2,0)</f>
        <v xml:space="preserve">LAKHOCHAK                                                                                           </v>
      </c>
      <c r="F150" s="146">
        <f>IFERROR(_xlfn.XLOOKUP(D150,'Monthly Deduction'!$I$3:$I$957,'Monthly Deduction'!$H$3:$H$957),0)</f>
        <v>0</v>
      </c>
      <c r="G150" s="123" t="str">
        <f>VLOOKUP(D150,'MPG Payment '!$E$3:$G$334579,3,0)</f>
        <v>MPG</v>
      </c>
      <c r="H150" s="124" t="str">
        <f>VLOOKUP(D150,'MPG Payment '!$E$3:$H$334579,4,0)</f>
        <v>Direct</v>
      </c>
      <c r="I150" s="88">
        <f>INDEX('MPG Payment '!$C:$C,MATCH('Shayak Income '!D150,'MPG Payment '!E:E,0))</f>
        <v>1006</v>
      </c>
      <c r="J150" s="88" t="str">
        <f>INDEX('MPG Payment '!$D:$D,MATCH('Shayak Income '!D150,'MPG Payment '!E:E,0))</f>
        <v>Sonvarsha</v>
      </c>
      <c r="K150" s="125" t="s">
        <v>1322</v>
      </c>
      <c r="L150" s="125">
        <v>45049</v>
      </c>
      <c r="M150" s="126">
        <f>SUMIF('MPG Payment '!$E$3:$E$34579,'Shayak Income '!D150,'MPG Payment '!$I$3:$I$34579)</f>
        <v>1313.3999999999999</v>
      </c>
      <c r="N150" s="126">
        <f>SUMIF('MPG Payment '!$E$3:$E$34579,'Shayak Income '!D150,'MPG Payment '!$J$3:$J$34579)</f>
        <v>53367.508705369997</v>
      </c>
      <c r="O150" s="126">
        <f t="shared" si="49"/>
        <v>985.05</v>
      </c>
      <c r="P150" s="126">
        <f t="shared" si="50"/>
        <v>1247.7299999999998</v>
      </c>
      <c r="Q150" s="126">
        <f>SUMIF('MPG Payment '!$E$3:$E$34579,'Shayak Income '!D150,'MPG Payment '!$S$3:$S$34579)</f>
        <v>0</v>
      </c>
      <c r="R150" s="126">
        <f t="shared" si="40"/>
        <v>1601.0252611610999</v>
      </c>
      <c r="S150" s="126">
        <f t="shared" si="41"/>
        <v>353.29526116110014</v>
      </c>
      <c r="T150" s="126">
        <f t="shared" si="51"/>
        <v>131.34</v>
      </c>
      <c r="U150" s="127">
        <f>(((IF(K150="New",0,SUMIF('MPG Payment '!$E$3:$E$34579,'Shayak Income '!D150,'MPG Payment '!$AC$3:$AC$34579))))+0)+0</f>
        <v>1204.6581421920096</v>
      </c>
      <c r="V150" s="127">
        <f t="shared" si="52"/>
        <v>897</v>
      </c>
      <c r="W150" s="19">
        <v>897</v>
      </c>
      <c r="X150" s="19">
        <v>0</v>
      </c>
      <c r="Y150" s="128">
        <f>IFERROR(VLOOKUP(D150,'Monthly Deduction'!$M$2:$N$64,2,0),0)</f>
        <v>0</v>
      </c>
      <c r="Z150" s="128">
        <v>0</v>
      </c>
      <c r="AA150" s="126">
        <f>IFERROR(VLOOKUP(D150,'Monthly Deduction'!A:B,2,0),0)</f>
        <v>0</v>
      </c>
      <c r="AB150" s="129">
        <f t="shared" si="43"/>
        <v>0</v>
      </c>
      <c r="AC150" s="130">
        <v>0</v>
      </c>
      <c r="AD150" s="35">
        <f t="shared" si="54"/>
        <v>0</v>
      </c>
      <c r="AE150" s="166" t="str">
        <f t="shared" si="55"/>
        <v>Release</v>
      </c>
      <c r="AF150" s="127"/>
      <c r="AG150" s="18">
        <v>0</v>
      </c>
      <c r="AH150" s="132"/>
      <c r="AI150" s="238">
        <v>0</v>
      </c>
      <c r="AJ150" s="132"/>
      <c r="AK150" s="151">
        <v>413</v>
      </c>
      <c r="AL150" s="154">
        <f t="shared" si="44"/>
        <v>0</v>
      </c>
      <c r="AM150" s="155"/>
      <c r="AN150" s="19">
        <f t="shared" si="45"/>
        <v>1861</v>
      </c>
      <c r="AO150" s="118">
        <f>SUMIF('MPG Payment '!E:E,'Shayak Income '!D150,'MPG Payment '!AJ:AJ)</f>
        <v>0</v>
      </c>
      <c r="AP150" s="19">
        <f t="shared" si="46"/>
        <v>897</v>
      </c>
      <c r="AQ150" s="119">
        <f t="shared" si="56"/>
        <v>897</v>
      </c>
      <c r="AR150" s="91" t="s">
        <v>1168</v>
      </c>
      <c r="AS150" s="91">
        <f t="shared" si="47"/>
        <v>7769</v>
      </c>
      <c r="AT150" s="118"/>
      <c r="AU150" s="118"/>
      <c r="AV150" s="118"/>
    </row>
    <row r="151" spans="1:48" s="20" customFormat="1" x14ac:dyDescent="0.25">
      <c r="A151" s="17">
        <f>IFERROR(VLOOKUP(D151,'Monthly Deduction'!$I$3:$J$957,2,0),0)</f>
        <v>0</v>
      </c>
      <c r="B151" s="17">
        <f>IFERROR(VLOOKUP(D151,'Monthly Deduction'!$E$3:$F$957,2,0),0)</f>
        <v>0</v>
      </c>
      <c r="C151" s="17">
        <f t="shared" si="48"/>
        <v>0</v>
      </c>
      <c r="D151" s="41">
        <v>10060032</v>
      </c>
      <c r="E151" s="122" t="str">
        <f>VLOOKUP(D151,'MPG Payment '!$E$3:$G$498218,2,0)</f>
        <v xml:space="preserve">BATTA RAMPUR                                                                                        </v>
      </c>
      <c r="F151" s="146">
        <f>IFERROR(_xlfn.XLOOKUP(D151,'Monthly Deduction'!$I$3:$I$957,'Monthly Deduction'!$H$3:$H$957),0)</f>
        <v>0</v>
      </c>
      <c r="G151" s="123" t="str">
        <f>VLOOKUP(D151,'MPG Payment '!$E$3:$G$334579,3,0)</f>
        <v>MPG</v>
      </c>
      <c r="H151" s="124" t="str">
        <f>VLOOKUP(D151,'MPG Payment '!$E$3:$H$334579,4,0)</f>
        <v>Direct</v>
      </c>
      <c r="I151" s="88">
        <f>INDEX('MPG Payment '!$C:$C,MATCH('Shayak Income '!D151,'MPG Payment '!E:E,0))</f>
        <v>1059</v>
      </c>
      <c r="J151" s="88" t="str">
        <f>INDEX('MPG Payment '!$D:$D,MATCH('Shayak Income '!D151,'MPG Payment '!E:E,0))</f>
        <v>Gopalpur Bmc</v>
      </c>
      <c r="K151" s="125" t="s">
        <v>1322</v>
      </c>
      <c r="L151" s="125">
        <v>45049</v>
      </c>
      <c r="M151" s="126">
        <f>SUMIF('MPG Payment '!$E$3:$E$34579,'Shayak Income '!D151,'MPG Payment '!$I$3:$I$34579)</f>
        <v>12380.799999999997</v>
      </c>
      <c r="N151" s="126">
        <f>SUMIF('MPG Payment '!$E$3:$E$34579,'Shayak Income '!D151,'MPG Payment '!$J$3:$J$34579)</f>
        <v>602401.67985303712</v>
      </c>
      <c r="O151" s="126">
        <f t="shared" si="49"/>
        <v>9285.5999999999985</v>
      </c>
      <c r="P151" s="126">
        <f t="shared" si="50"/>
        <v>11761.759999999997</v>
      </c>
      <c r="Q151" s="126">
        <f>SUMIF('MPG Payment '!$E$3:$E$34579,'Shayak Income '!D151,'MPG Payment '!$S$3:$S$34579)</f>
        <v>6883.078231165191</v>
      </c>
      <c r="R151" s="126">
        <f t="shared" si="40"/>
        <v>18072.050395591112</v>
      </c>
      <c r="S151" s="126">
        <f t="shared" si="41"/>
        <v>6310.2903955911152</v>
      </c>
      <c r="T151" s="126">
        <f t="shared" si="51"/>
        <v>1238.08</v>
      </c>
      <c r="U151" s="127">
        <f>(((IF(K151="New",0,SUMIF('MPG Payment '!$E$3:$E$34579,'Shayak Income '!D151,'MPG Payment '!$AC$3:$AC$34579))))+0)+0</f>
        <v>0</v>
      </c>
      <c r="V151" s="127">
        <f t="shared" si="52"/>
        <v>26692</v>
      </c>
      <c r="W151" s="19">
        <f t="shared" si="53"/>
        <v>0</v>
      </c>
      <c r="X151" s="19">
        <f t="shared" si="42"/>
        <v>0</v>
      </c>
      <c r="Y151" s="128">
        <f>IFERROR(VLOOKUP(D151,'Monthly Deduction'!$M$2:$N$64,2,0),0)</f>
        <v>0</v>
      </c>
      <c r="Z151" s="128">
        <v>0</v>
      </c>
      <c r="AA151" s="126">
        <f>IFERROR(VLOOKUP(D151,'Monthly Deduction'!A:B,2,0),0)</f>
        <v>0</v>
      </c>
      <c r="AB151" s="129">
        <f t="shared" si="43"/>
        <v>26692</v>
      </c>
      <c r="AC151" s="130">
        <v>0</v>
      </c>
      <c r="AD151" s="35">
        <f t="shared" si="54"/>
        <v>26692</v>
      </c>
      <c r="AE151" s="166" t="str">
        <f t="shared" si="55"/>
        <v>Release</v>
      </c>
      <c r="AF151" s="127"/>
      <c r="AG151" s="18">
        <v>0</v>
      </c>
      <c r="AH151" s="120"/>
      <c r="AI151" s="238">
        <v>0</v>
      </c>
      <c r="AJ151" s="132"/>
      <c r="AK151" s="151">
        <v>3537.5000000000005</v>
      </c>
      <c r="AL151" s="154">
        <f t="shared" si="44"/>
        <v>0</v>
      </c>
      <c r="AM151" s="155"/>
      <c r="AN151" s="19">
        <f t="shared" si="45"/>
        <v>0</v>
      </c>
      <c r="AO151" s="118">
        <f>SUMIF('MPG Payment '!E:E,'Shayak Income '!D151,'MPG Payment '!AJ:AJ)</f>
        <v>0</v>
      </c>
      <c r="AP151" s="19">
        <f t="shared" si="46"/>
        <v>0</v>
      </c>
      <c r="AQ151" s="119">
        <f t="shared" si="56"/>
        <v>0</v>
      </c>
      <c r="AR151" s="91" t="s">
        <v>1168</v>
      </c>
      <c r="AS151" s="91">
        <f t="shared" si="47"/>
        <v>0</v>
      </c>
      <c r="AT151" s="118"/>
      <c r="AU151" s="118"/>
      <c r="AV151" s="118"/>
    </row>
    <row r="152" spans="1:48" s="20" customFormat="1" x14ac:dyDescent="0.25">
      <c r="A152" s="17">
        <f>IFERROR(VLOOKUP(D152,'Monthly Deduction'!$I$3:$J$957,2,0),0)</f>
        <v>0</v>
      </c>
      <c r="B152" s="17">
        <f>IFERROR(VLOOKUP(D152,'Monthly Deduction'!$E$3:$F$957,2,0),0)</f>
        <v>0</v>
      </c>
      <c r="C152" s="17">
        <f t="shared" si="48"/>
        <v>0</v>
      </c>
      <c r="D152" s="41">
        <v>10060041</v>
      </c>
      <c r="E152" s="122" t="str">
        <f>VLOOKUP(D152,'MPG Payment '!$E$3:$G$498218,2,0)</f>
        <v>RANDHIR KUMAR(VLC)</v>
      </c>
      <c r="F152" s="146">
        <f>IFERROR(_xlfn.XLOOKUP(D152,'Monthly Deduction'!$I$3:$I$957,'Monthly Deduction'!$H$3:$H$957),0)</f>
        <v>0</v>
      </c>
      <c r="G152" s="123" t="str">
        <f>VLOOKUP(D152,'MPG Payment '!$E$3:$G$334579,3,0)</f>
        <v>vlc</v>
      </c>
      <c r="H152" s="124" t="str">
        <f>VLOOKUP(D152,'MPG Payment '!$E$3:$H$334579,4,0)</f>
        <v>Indirect</v>
      </c>
      <c r="I152" s="88">
        <f>INDEX('MPG Payment '!$C:$C,MATCH('Shayak Income '!D152,'MPG Payment '!E:E,0))</f>
        <v>1006</v>
      </c>
      <c r="J152" s="88" t="str">
        <f>INDEX('MPG Payment '!$D:$D,MATCH('Shayak Income '!D152,'MPG Payment '!E:E,0))</f>
        <v>Sonvarsha</v>
      </c>
      <c r="K152" s="125" t="s">
        <v>1322</v>
      </c>
      <c r="L152" s="125">
        <v>45156</v>
      </c>
      <c r="M152" s="126">
        <f>SUMIF('MPG Payment '!$E$3:$E$34579,'Shayak Income '!D152,'MPG Payment '!$I$3:$I$34579)</f>
        <v>698.7</v>
      </c>
      <c r="N152" s="126">
        <f>SUMIF('MPG Payment '!$E$3:$E$34579,'Shayak Income '!D152,'MPG Payment '!$J$3:$J$34579)</f>
        <v>25139.783054217503</v>
      </c>
      <c r="O152" s="126">
        <f t="shared" si="49"/>
        <v>524.02500000000009</v>
      </c>
      <c r="P152" s="126">
        <f t="shared" si="50"/>
        <v>663.76499999999999</v>
      </c>
      <c r="Q152" s="126">
        <f>SUMIF('MPG Payment '!$E$3:$E$34579,'Shayak Income '!D152,'MPG Payment '!$S$3:$S$34579)</f>
        <v>0</v>
      </c>
      <c r="R152" s="126">
        <f t="shared" si="40"/>
        <v>754.19349162652509</v>
      </c>
      <c r="S152" s="126">
        <f t="shared" si="41"/>
        <v>90.428491626525101</v>
      </c>
      <c r="T152" s="126">
        <f t="shared" si="51"/>
        <v>69.87</v>
      </c>
      <c r="U152" s="127">
        <f>(((IF(K152="New",0,SUMIF('MPG Payment '!$E$3:$E$34579,'Shayak Income '!D152,'MPG Payment '!$AC$3:$AC$34579))))+0)+0</f>
        <v>495.97878329577372</v>
      </c>
      <c r="V152" s="127">
        <f t="shared" si="52"/>
        <v>622</v>
      </c>
      <c r="W152" s="19">
        <f t="shared" si="53"/>
        <v>0</v>
      </c>
      <c r="X152" s="19">
        <f t="shared" si="42"/>
        <v>0</v>
      </c>
      <c r="Y152" s="128">
        <f>IFERROR(VLOOKUP(D152,'Monthly Deduction'!$M$2:$N$64,2,0),0)</f>
        <v>0</v>
      </c>
      <c r="Z152" s="128">
        <v>0</v>
      </c>
      <c r="AA152" s="126">
        <f>IFERROR(VLOOKUP(D152,'Monthly Deduction'!A:B,2,0),0)</f>
        <v>0</v>
      </c>
      <c r="AB152" s="129">
        <f t="shared" si="43"/>
        <v>622</v>
      </c>
      <c r="AC152" s="130">
        <v>0</v>
      </c>
      <c r="AD152" s="35">
        <f t="shared" si="54"/>
        <v>622</v>
      </c>
      <c r="AE152" s="166" t="str">
        <f t="shared" si="55"/>
        <v>Release</v>
      </c>
      <c r="AF152" s="127"/>
      <c r="AG152" s="127">
        <v>0</v>
      </c>
      <c r="AH152" s="120"/>
      <c r="AI152" s="238">
        <v>0</v>
      </c>
      <c r="AJ152" s="132"/>
      <c r="AK152" s="151">
        <v>154.19999999999999</v>
      </c>
      <c r="AL152" s="154">
        <f t="shared" si="44"/>
        <v>0</v>
      </c>
      <c r="AM152" s="155"/>
      <c r="AN152" s="19">
        <f t="shared" si="45"/>
        <v>0</v>
      </c>
      <c r="AO152" s="118">
        <f>SUMIF('MPG Payment '!E:E,'Shayak Income '!D152,'MPG Payment '!AJ:AJ)</f>
        <v>0</v>
      </c>
      <c r="AP152" s="19">
        <f t="shared" si="46"/>
        <v>0</v>
      </c>
      <c r="AQ152" s="119">
        <f t="shared" si="56"/>
        <v>0</v>
      </c>
      <c r="AR152" s="91" t="s">
        <v>1168</v>
      </c>
      <c r="AS152" s="91">
        <f t="shared" si="47"/>
        <v>0</v>
      </c>
      <c r="AT152" s="118"/>
      <c r="AU152" s="118"/>
      <c r="AV152" s="118"/>
    </row>
    <row r="153" spans="1:48" s="20" customFormat="1" x14ac:dyDescent="0.25">
      <c r="A153" s="17">
        <f>IFERROR(VLOOKUP(D153,'Monthly Deduction'!$I$3:$J$957,2,0),0)</f>
        <v>18792.170710837745</v>
      </c>
      <c r="B153" s="17">
        <f>IFERROR(VLOOKUP(D153,'Monthly Deduction'!$E$3:$F$957,2,0),0)</f>
        <v>9600</v>
      </c>
      <c r="C153" s="17">
        <f t="shared" si="48"/>
        <v>28392.170710837745</v>
      </c>
      <c r="D153" s="41">
        <v>10060049</v>
      </c>
      <c r="E153" s="122" t="str">
        <f>VLOOKUP(D153,'MPG Payment '!$E$3:$G$498218,2,0)</f>
        <v>MALIYA</v>
      </c>
      <c r="F153" s="146">
        <f>IFERROR(_xlfn.XLOOKUP(D153,'Monthly Deduction'!$I$3:$I$957,'Monthly Deduction'!$H$3:$H$957),0)</f>
        <v>0</v>
      </c>
      <c r="G153" s="123" t="str">
        <f>VLOOKUP(D153,'MPG Payment '!$E$3:$G$334579,3,0)</f>
        <v>MPG</v>
      </c>
      <c r="H153" s="124" t="str">
        <f>VLOOKUP(D153,'MPG Payment '!$E$3:$H$334579,4,0)</f>
        <v>Direct</v>
      </c>
      <c r="I153" s="88">
        <f>INDEX('MPG Payment '!$C:$C,MATCH('Shayak Income '!D153,'MPG Payment '!E:E,0))</f>
        <v>1059</v>
      </c>
      <c r="J153" s="88" t="str">
        <f>INDEX('MPG Payment '!$D:$D,MATCH('Shayak Income '!D153,'MPG Payment '!E:E,0))</f>
        <v>Gopalpur Bmc</v>
      </c>
      <c r="K153" s="125" t="s">
        <v>1322</v>
      </c>
      <c r="L153" s="125">
        <v>45267</v>
      </c>
      <c r="M153" s="126">
        <f>SUMIF('MPG Payment '!$E$3:$E$34579,'Shayak Income '!D153,'MPG Payment '!$I$3:$I$34579)</f>
        <v>2498.2999999999997</v>
      </c>
      <c r="N153" s="126">
        <f>SUMIF('MPG Payment '!$E$3:$E$34579,'Shayak Income '!D153,'MPG Payment '!$J$3:$J$34579)</f>
        <v>109865.83720403651</v>
      </c>
      <c r="O153" s="126">
        <f t="shared" si="49"/>
        <v>1873.7249999999999</v>
      </c>
      <c r="P153" s="126">
        <f t="shared" si="50"/>
        <v>2373.3849999999998</v>
      </c>
      <c r="Q153" s="126">
        <f>SUMIF('MPG Payment '!$E$3:$E$34579,'Shayak Income '!D153,'MPG Payment '!$S$3:$S$34579)</f>
        <v>1472.6163934403003</v>
      </c>
      <c r="R153" s="126">
        <f t="shared" si="40"/>
        <v>3295.9751161210952</v>
      </c>
      <c r="S153" s="126">
        <f t="shared" si="41"/>
        <v>922.59011612109543</v>
      </c>
      <c r="T153" s="126">
        <f t="shared" si="51"/>
        <v>249.82999999999998</v>
      </c>
      <c r="U153" s="127">
        <f>(((IF(K153="New",0,SUMIF('MPG Payment '!$E$3:$E$34579,'Shayak Income '!D153,'MPG Payment '!$AC$3:$AC$34579))))+0)+0</f>
        <v>267.65289901275406</v>
      </c>
      <c r="V153" s="127">
        <f t="shared" si="52"/>
        <v>5202</v>
      </c>
      <c r="W153" s="19">
        <f t="shared" si="53"/>
        <v>2197.3167440807301</v>
      </c>
      <c r="X153" s="19">
        <v>0</v>
      </c>
      <c r="Y153" s="128">
        <f>IFERROR(VLOOKUP(D153,'Monthly Deduction'!$M$2:$N$64,2,0),0)</f>
        <v>3000</v>
      </c>
      <c r="Z153" s="128">
        <v>0</v>
      </c>
      <c r="AA153" s="126">
        <f>IFERROR(VLOOKUP(D153,'Monthly Deduction'!A:B,2,0),0)</f>
        <v>0</v>
      </c>
      <c r="AB153" s="129">
        <f t="shared" si="43"/>
        <v>5</v>
      </c>
      <c r="AC153" s="130">
        <v>0</v>
      </c>
      <c r="AD153" s="35">
        <f t="shared" si="54"/>
        <v>5</v>
      </c>
      <c r="AE153" s="166" t="str">
        <f t="shared" si="55"/>
        <v>Release</v>
      </c>
      <c r="AF153" s="127"/>
      <c r="AG153" s="18">
        <v>0</v>
      </c>
      <c r="AH153" s="120"/>
      <c r="AI153" s="238">
        <v>0</v>
      </c>
      <c r="AJ153" s="132"/>
      <c r="AK153" s="151">
        <v>685.99999999999989</v>
      </c>
      <c r="AL153" s="154">
        <f t="shared" si="44"/>
        <v>0</v>
      </c>
      <c r="AM153" s="155"/>
      <c r="AN153" s="19">
        <f t="shared" si="45"/>
        <v>2197.3167440807301</v>
      </c>
      <c r="AO153" s="118">
        <f>SUMIF('MPG Payment '!E:E,'Shayak Income '!D153,'MPG Payment '!AJ:AJ)</f>
        <v>0</v>
      </c>
      <c r="AP153" s="19">
        <f t="shared" si="46"/>
        <v>2197.3167440807301</v>
      </c>
      <c r="AQ153" s="119">
        <f t="shared" si="56"/>
        <v>2197.3167440807301</v>
      </c>
      <c r="AR153" s="91" t="s">
        <v>1168</v>
      </c>
      <c r="AS153" s="91">
        <f t="shared" si="47"/>
        <v>9600</v>
      </c>
      <c r="AT153" s="118"/>
      <c r="AU153" s="118"/>
      <c r="AV153" s="118"/>
    </row>
    <row r="154" spans="1:48" s="20" customFormat="1" x14ac:dyDescent="0.25">
      <c r="A154" s="17">
        <f>IFERROR(VLOOKUP(D154,'Monthly Deduction'!$I$3:$J$957,2,0),0)</f>
        <v>27029.288543057351</v>
      </c>
      <c r="B154" s="17">
        <f>IFERROR(VLOOKUP(D154,'Monthly Deduction'!$E$3:$F$957,2,0),0)</f>
        <v>12800</v>
      </c>
      <c r="C154" s="17">
        <f t="shared" si="48"/>
        <v>39829.288543057351</v>
      </c>
      <c r="D154" s="41">
        <v>10060050</v>
      </c>
      <c r="E154" s="122" t="str">
        <f>VLOOKUP(D154,'MPG Payment '!$E$3:$G$498218,2,0)</f>
        <v>MAHULIYA</v>
      </c>
      <c r="F154" s="146">
        <f>IFERROR(_xlfn.XLOOKUP(D154,'Monthly Deduction'!$I$3:$I$957,'Monthly Deduction'!$H$3:$H$957),0)</f>
        <v>0</v>
      </c>
      <c r="G154" s="123" t="str">
        <f>VLOOKUP(D154,'MPG Payment '!$E$3:$G$334579,3,0)</f>
        <v>MPG</v>
      </c>
      <c r="H154" s="124" t="str">
        <f>VLOOKUP(D154,'MPG Payment '!$E$3:$H$334579,4,0)</f>
        <v>Direct</v>
      </c>
      <c r="I154" s="88">
        <f>INDEX('MPG Payment '!$C:$C,MATCH('Shayak Income '!D154,'MPG Payment '!E:E,0))</f>
        <v>1059</v>
      </c>
      <c r="J154" s="88" t="str">
        <f>INDEX('MPG Payment '!$D:$D,MATCH('Shayak Income '!D154,'MPG Payment '!E:E,0))</f>
        <v>Gopalpur Bmc</v>
      </c>
      <c r="K154" s="125" t="s">
        <v>1322</v>
      </c>
      <c r="L154" s="125">
        <v>45267</v>
      </c>
      <c r="M154" s="126">
        <f>SUMIF('MPG Payment '!$E$3:$E$34579,'Shayak Income '!D154,'MPG Payment '!$I$3:$I$34579)</f>
        <v>2294.9</v>
      </c>
      <c r="N154" s="126">
        <f>SUMIF('MPG Payment '!$E$3:$E$34579,'Shayak Income '!D154,'MPG Payment '!$J$3:$J$34579)</f>
        <v>103628.28519637541</v>
      </c>
      <c r="O154" s="126">
        <f t="shared" si="49"/>
        <v>1721.1750000000002</v>
      </c>
      <c r="P154" s="126">
        <f t="shared" si="50"/>
        <v>2180.1550000000002</v>
      </c>
      <c r="Q154" s="126">
        <f>SUMIF('MPG Payment '!$E$3:$E$34579,'Shayak Income '!D154,'MPG Payment '!$S$3:$S$34579)</f>
        <v>1159.1690077809101</v>
      </c>
      <c r="R154" s="126">
        <f t="shared" si="40"/>
        <v>3108.8485558912621</v>
      </c>
      <c r="S154" s="126">
        <f t="shared" si="41"/>
        <v>928.69355589126189</v>
      </c>
      <c r="T154" s="126">
        <f t="shared" si="51"/>
        <v>229.49</v>
      </c>
      <c r="U154" s="127">
        <f>(((IF(K154="New",0,SUMIF('MPG Payment '!$E$3:$E$34579,'Shayak Income '!D154,'MPG Payment '!$AC$3:$AC$34579))))+0)+0</f>
        <v>455.65487222439685</v>
      </c>
      <c r="V154" s="127">
        <f t="shared" si="52"/>
        <v>4375</v>
      </c>
      <c r="W154" s="19">
        <f t="shared" si="53"/>
        <v>2072.5657039275084</v>
      </c>
      <c r="X154" s="19">
        <v>0</v>
      </c>
      <c r="Y154" s="128">
        <f>IFERROR(VLOOKUP(D154,'Monthly Deduction'!$M$2:$N$64,2,0),0)</f>
        <v>0</v>
      </c>
      <c r="Z154" s="128">
        <v>0</v>
      </c>
      <c r="AA154" s="126">
        <f>IFERROR(VLOOKUP(D154,'Monthly Deduction'!A:B,2,0),0)</f>
        <v>0</v>
      </c>
      <c r="AB154" s="129">
        <f t="shared" si="43"/>
        <v>2302</v>
      </c>
      <c r="AC154" s="130">
        <v>0</v>
      </c>
      <c r="AD154" s="35">
        <f t="shared" si="54"/>
        <v>2302</v>
      </c>
      <c r="AE154" s="166" t="str">
        <f t="shared" si="55"/>
        <v>Release</v>
      </c>
      <c r="AF154" s="127"/>
      <c r="AG154" s="18">
        <v>0</v>
      </c>
      <c r="AH154" s="120"/>
      <c r="AI154" s="238">
        <v>0</v>
      </c>
      <c r="AJ154" s="132"/>
      <c r="AK154" s="151">
        <v>696.69999999999982</v>
      </c>
      <c r="AL154" s="154">
        <f t="shared" si="44"/>
        <v>0</v>
      </c>
      <c r="AM154" s="155"/>
      <c r="AN154" s="19">
        <f t="shared" si="45"/>
        <v>2072.5657039275084</v>
      </c>
      <c r="AO154" s="118">
        <f>SUMIF('MPG Payment '!E:E,'Shayak Income '!D154,'MPG Payment '!AJ:AJ)</f>
        <v>0</v>
      </c>
      <c r="AP154" s="19">
        <f t="shared" si="46"/>
        <v>2072.5657039275084</v>
      </c>
      <c r="AQ154" s="119">
        <f t="shared" si="56"/>
        <v>2072.5657039275084</v>
      </c>
      <c r="AR154" s="91" t="s">
        <v>1168</v>
      </c>
      <c r="AS154" s="91">
        <f t="shared" si="47"/>
        <v>12800</v>
      </c>
      <c r="AT154" s="118"/>
      <c r="AU154" s="118"/>
      <c r="AV154" s="118"/>
    </row>
    <row r="155" spans="1:48" s="20" customFormat="1" x14ac:dyDescent="0.25">
      <c r="A155" s="17">
        <f>IFERROR(VLOOKUP(D155,'Monthly Deduction'!$I$3:$J$957,2,0),0)</f>
        <v>24564.071432006662</v>
      </c>
      <c r="B155" s="17">
        <f>IFERROR(VLOOKUP(D155,'Monthly Deduction'!$E$3:$F$957,2,0),0)</f>
        <v>0</v>
      </c>
      <c r="C155" s="17">
        <f t="shared" si="48"/>
        <v>24564.071432006662</v>
      </c>
      <c r="D155" s="41">
        <v>10060058</v>
      </c>
      <c r="E155" s="122" t="str">
        <f>VLOOKUP(D155,'MPG Payment '!$E$3:$G$498218,2,0)</f>
        <v xml:space="preserve">ABGIL HUSSAINA-2                                                                                    </v>
      </c>
      <c r="F155" s="146">
        <f>IFERROR(_xlfn.XLOOKUP(D155,'Monthly Deduction'!$I$3:$I$957,'Monthly Deduction'!$H$3:$H$957),0)</f>
        <v>0</v>
      </c>
      <c r="G155" s="123" t="str">
        <f>VLOOKUP(D155,'MPG Payment '!$E$3:$G$334579,3,0)</f>
        <v>MPG</v>
      </c>
      <c r="H155" s="124" t="str">
        <f>VLOOKUP(D155,'MPG Payment '!$E$3:$H$334579,4,0)</f>
        <v>Direct</v>
      </c>
      <c r="I155" s="88">
        <f>INDEX('MPG Payment '!$C:$C,MATCH('Shayak Income '!D155,'MPG Payment '!E:E,0))</f>
        <v>1006</v>
      </c>
      <c r="J155" s="88" t="str">
        <f>INDEX('MPG Payment '!$D:$D,MATCH('Shayak Income '!D155,'MPG Payment '!E:E,0))</f>
        <v>Sonvarsha</v>
      </c>
      <c r="K155" s="125" t="s">
        <v>1322</v>
      </c>
      <c r="L155" s="125">
        <v>45198</v>
      </c>
      <c r="M155" s="126">
        <f>SUMIF('MPG Payment '!$E$3:$E$34579,'Shayak Income '!D155,'MPG Payment '!$I$3:$I$34579)</f>
        <v>2880.5</v>
      </c>
      <c r="N155" s="126">
        <f>SUMIF('MPG Payment '!$E$3:$E$34579,'Shayak Income '!D155,'MPG Payment '!$J$3:$J$34579)</f>
        <v>107081.81994334</v>
      </c>
      <c r="O155" s="126">
        <f t="shared" si="49"/>
        <v>2160.375</v>
      </c>
      <c r="P155" s="126">
        <f t="shared" si="50"/>
        <v>2736.4749999999999</v>
      </c>
      <c r="Q155" s="126">
        <f>SUMIF('MPG Payment '!$E$3:$E$34579,'Shayak Income '!D155,'MPG Payment '!$S$3:$S$34579)</f>
        <v>793.5869722404002</v>
      </c>
      <c r="R155" s="126">
        <f t="shared" si="40"/>
        <v>3212.4545983001999</v>
      </c>
      <c r="S155" s="126">
        <f t="shared" si="41"/>
        <v>475.9795983002</v>
      </c>
      <c r="T155" s="126">
        <f t="shared" si="51"/>
        <v>288.05</v>
      </c>
      <c r="U155" s="127">
        <f>(((IF(K155="New",0,SUMIF('MPG Payment '!$E$3:$E$34579,'Shayak Income '!D155,'MPG Payment '!$AC$3:$AC$34579))))+0)+0</f>
        <v>159.89191995144893</v>
      </c>
      <c r="V155" s="127">
        <f t="shared" si="52"/>
        <v>5242</v>
      </c>
      <c r="W155" s="19">
        <f t="shared" si="53"/>
        <v>2141.6363988667999</v>
      </c>
      <c r="X155" s="19">
        <v>0</v>
      </c>
      <c r="Y155" s="128">
        <f>IFERROR(VLOOKUP(D155,'Monthly Deduction'!$M$2:$N$64,2,0),0)</f>
        <v>0</v>
      </c>
      <c r="Z155" s="128">
        <v>0</v>
      </c>
      <c r="AA155" s="126">
        <f>IFERROR(VLOOKUP(D155,'Monthly Deduction'!A:B,2,0),0)</f>
        <v>0</v>
      </c>
      <c r="AB155" s="129">
        <f t="shared" si="43"/>
        <v>3100</v>
      </c>
      <c r="AC155" s="130">
        <v>0</v>
      </c>
      <c r="AD155" s="35">
        <f t="shared" si="54"/>
        <v>3100</v>
      </c>
      <c r="AE155" s="166" t="str">
        <f t="shared" si="55"/>
        <v>Release</v>
      </c>
      <c r="AF155" s="127"/>
      <c r="AG155" s="18">
        <v>0</v>
      </c>
      <c r="AH155" s="132"/>
      <c r="AI155" s="238">
        <v>0</v>
      </c>
      <c r="AJ155" s="132"/>
      <c r="AK155" s="151">
        <v>651.09999999999991</v>
      </c>
      <c r="AL155" s="154">
        <f t="shared" si="44"/>
        <v>0</v>
      </c>
      <c r="AM155" s="155"/>
      <c r="AN155" s="19">
        <f t="shared" si="45"/>
        <v>2141.6363988667999</v>
      </c>
      <c r="AO155" s="118">
        <f>SUMIF('MPG Payment '!E:E,'Shayak Income '!D155,'MPG Payment '!AJ:AJ)</f>
        <v>0</v>
      </c>
      <c r="AP155" s="19">
        <f t="shared" si="46"/>
        <v>2141.6363988667999</v>
      </c>
      <c r="AQ155" s="119">
        <f t="shared" si="56"/>
        <v>2141.6363988667999</v>
      </c>
      <c r="AR155" s="91" t="s">
        <v>1168</v>
      </c>
      <c r="AS155" s="91">
        <f t="shared" si="47"/>
        <v>0</v>
      </c>
      <c r="AT155" s="118"/>
      <c r="AU155" s="118"/>
      <c r="AV155" s="118"/>
    </row>
    <row r="156" spans="1:48" s="20" customFormat="1" x14ac:dyDescent="0.25">
      <c r="A156" s="17">
        <f>IFERROR(VLOOKUP(D156,'Monthly Deduction'!$I$3:$J$957,2,0),0)</f>
        <v>0</v>
      </c>
      <c r="B156" s="17">
        <f>IFERROR(VLOOKUP(D156,'Monthly Deduction'!$E$3:$F$957,2,0),0)</f>
        <v>0</v>
      </c>
      <c r="C156" s="17">
        <f t="shared" si="48"/>
        <v>0</v>
      </c>
      <c r="D156" s="41">
        <v>10060062</v>
      </c>
      <c r="E156" s="122" t="str">
        <f>VLOOKUP(D156,'MPG Payment '!$E$3:$G$498218,2,0)</f>
        <v>AKHA-KURHA</v>
      </c>
      <c r="F156" s="146">
        <f>IFERROR(_xlfn.XLOOKUP(D156,'Monthly Deduction'!$I$3:$I$957,'Monthly Deduction'!$H$3:$H$957),0)</f>
        <v>0</v>
      </c>
      <c r="G156" s="123" t="str">
        <f>VLOOKUP(D156,'MPG Payment '!$E$3:$G$334579,3,0)</f>
        <v>vlc</v>
      </c>
      <c r="H156" s="124" t="str">
        <f>VLOOKUP(D156,'MPG Payment '!$E$3:$H$334579,4,0)</f>
        <v>Indirect</v>
      </c>
      <c r="I156" s="88">
        <f>INDEX('MPG Payment '!$C:$C,MATCH('Shayak Income '!D156,'MPG Payment '!E:E,0))</f>
        <v>1006</v>
      </c>
      <c r="J156" s="88" t="str">
        <f>INDEX('MPG Payment '!$D:$D,MATCH('Shayak Income '!D156,'MPG Payment '!E:E,0))</f>
        <v>Sonvarsha</v>
      </c>
      <c r="K156" s="125" t="s">
        <v>1322</v>
      </c>
      <c r="L156" s="125">
        <v>45323</v>
      </c>
      <c r="M156" s="126">
        <f>SUMIF('MPG Payment '!$E$3:$E$34579,'Shayak Income '!D156,'MPG Payment '!$I$3:$I$34579)</f>
        <v>1516.9</v>
      </c>
      <c r="N156" s="126">
        <f>SUMIF('MPG Payment '!$E$3:$E$34579,'Shayak Income '!D156,'MPG Payment '!$J$3:$J$34579)</f>
        <v>59234.348199009997</v>
      </c>
      <c r="O156" s="126">
        <f t="shared" si="49"/>
        <v>1137.6750000000002</v>
      </c>
      <c r="P156" s="126">
        <f t="shared" si="50"/>
        <v>1441.0550000000001</v>
      </c>
      <c r="Q156" s="126">
        <f>SUMIF('MPG Payment '!$E$3:$E$34579,'Shayak Income '!D156,'MPG Payment '!$S$3:$S$34579)</f>
        <v>0</v>
      </c>
      <c r="R156" s="126">
        <f t="shared" si="40"/>
        <v>1777.0304459702998</v>
      </c>
      <c r="S156" s="126">
        <f t="shared" si="41"/>
        <v>335.97544597029969</v>
      </c>
      <c r="T156" s="126">
        <f t="shared" si="51"/>
        <v>151.69000000000003</v>
      </c>
      <c r="U156" s="127">
        <f>(((IF(K156="New",0,SUMIF('MPG Payment '!$E$3:$E$34579,'Shayak Income '!D156,'MPG Payment '!$AC$3:$AC$34579))))+0)+0</f>
        <v>1002.3218240351138</v>
      </c>
      <c r="V156" s="127">
        <f t="shared" si="52"/>
        <v>1425</v>
      </c>
      <c r="W156" s="19">
        <f t="shared" si="53"/>
        <v>0</v>
      </c>
      <c r="X156" s="19">
        <f t="shared" si="42"/>
        <v>0</v>
      </c>
      <c r="Y156" s="128">
        <f>IFERROR(VLOOKUP(D156,'Monthly Deduction'!$M$2:$N$64,2,0),0)</f>
        <v>0</v>
      </c>
      <c r="Z156" s="128">
        <v>0</v>
      </c>
      <c r="AA156" s="126">
        <f>IFERROR(VLOOKUP(D156,'Monthly Deduction'!A:B,2,0),0)</f>
        <v>0</v>
      </c>
      <c r="AB156" s="129">
        <f t="shared" si="43"/>
        <v>1425</v>
      </c>
      <c r="AC156" s="130">
        <v>0</v>
      </c>
      <c r="AD156" s="35">
        <f t="shared" si="54"/>
        <v>1425</v>
      </c>
      <c r="AE156" s="166" t="str">
        <f t="shared" si="55"/>
        <v>Release</v>
      </c>
      <c r="AF156" s="127"/>
      <c r="AG156" s="18">
        <v>0</v>
      </c>
      <c r="AH156" s="132"/>
      <c r="AI156" s="238">
        <v>0</v>
      </c>
      <c r="AJ156" s="132"/>
      <c r="AK156" s="151">
        <v>347.39999999999992</v>
      </c>
      <c r="AL156" s="154">
        <f t="shared" si="44"/>
        <v>0</v>
      </c>
      <c r="AM156" s="155"/>
      <c r="AN156" s="19">
        <f t="shared" si="45"/>
        <v>0</v>
      </c>
      <c r="AO156" s="118">
        <f>SUMIF('MPG Payment '!E:E,'Shayak Income '!D156,'MPG Payment '!AJ:AJ)</f>
        <v>0</v>
      </c>
      <c r="AP156" s="19">
        <f t="shared" si="46"/>
        <v>0</v>
      </c>
      <c r="AQ156" s="119">
        <f t="shared" si="56"/>
        <v>0</v>
      </c>
      <c r="AR156" s="91" t="s">
        <v>1168</v>
      </c>
      <c r="AS156" s="91">
        <f t="shared" si="47"/>
        <v>0</v>
      </c>
      <c r="AT156" s="118"/>
      <c r="AU156" s="118"/>
      <c r="AV156" s="118"/>
    </row>
    <row r="157" spans="1:48" s="20" customFormat="1" x14ac:dyDescent="0.25">
      <c r="A157" s="17">
        <f>IFERROR(VLOOKUP(D157,'Monthly Deduction'!$I$3:$J$957,2,0),0)</f>
        <v>69765</v>
      </c>
      <c r="B157" s="17">
        <f>IFERROR(VLOOKUP(D157,'Monthly Deduction'!$E$3:$F$957,2,0),0)</f>
        <v>5964</v>
      </c>
      <c r="C157" s="17">
        <f t="shared" si="48"/>
        <v>75729</v>
      </c>
      <c r="D157" s="41">
        <v>10060069</v>
      </c>
      <c r="E157" s="122" t="str">
        <f>VLOOKUP(D157,'MPG Payment '!$E$3:$G$498218,2,0)</f>
        <v>BHANDAR</v>
      </c>
      <c r="F157" s="146">
        <f>IFERROR(_xlfn.XLOOKUP(D157,'Monthly Deduction'!$I$3:$I$957,'Monthly Deduction'!$H$3:$H$957),0)</f>
        <v>0</v>
      </c>
      <c r="G157" s="123" t="str">
        <f>VLOOKUP(D157,'MPG Payment '!$E$3:$G$334579,3,0)</f>
        <v>MPG</v>
      </c>
      <c r="H157" s="124" t="str">
        <f>VLOOKUP(D157,'MPG Payment '!$E$3:$H$334579,4,0)</f>
        <v>Direct</v>
      </c>
      <c r="I157" s="88">
        <f>INDEX('MPG Payment '!$C:$C,MATCH('Shayak Income '!D157,'MPG Payment '!E:E,0))</f>
        <v>1059</v>
      </c>
      <c r="J157" s="88" t="str">
        <f>INDEX('MPG Payment '!$D:$D,MATCH('Shayak Income '!D157,'MPG Payment '!E:E,0))</f>
        <v>Gopalpur Bmc</v>
      </c>
      <c r="K157" s="125" t="s">
        <v>1322</v>
      </c>
      <c r="L157" s="125">
        <v>45550</v>
      </c>
      <c r="M157" s="126">
        <f>SUMIF('MPG Payment '!$E$3:$E$34579,'Shayak Income '!D157,'MPG Payment '!$I$3:$I$34579)</f>
        <v>1129.6999999999998</v>
      </c>
      <c r="N157" s="126">
        <f>SUMIF('MPG Payment '!$E$3:$E$34579,'Shayak Income '!D157,'MPG Payment '!$J$3:$J$34579)</f>
        <v>49909.434228111</v>
      </c>
      <c r="O157" s="126">
        <f t="shared" si="49"/>
        <v>847.27499999999986</v>
      </c>
      <c r="P157" s="126">
        <f t="shared" si="50"/>
        <v>1073.2149999999997</v>
      </c>
      <c r="Q157" s="126">
        <f>SUMIF('MPG Payment '!$E$3:$E$34579,'Shayak Income '!D157,'MPG Payment '!$S$3:$S$34579)</f>
        <v>0</v>
      </c>
      <c r="R157" s="126">
        <f t="shared" si="40"/>
        <v>1497.2830268433299</v>
      </c>
      <c r="S157" s="126">
        <f t="shared" si="41"/>
        <v>424.06802684333024</v>
      </c>
      <c r="T157" s="126">
        <f t="shared" si="51"/>
        <v>112.96999999999998</v>
      </c>
      <c r="U157" s="127">
        <f>(((IF(K157="New",0,SUMIF('MPG Payment '!$E$3:$E$34579,'Shayak Income '!D157,'MPG Payment '!$AC$3:$AC$34579))))+0)+0</f>
        <v>1474.6775589372678</v>
      </c>
      <c r="V157" s="127">
        <f t="shared" si="52"/>
        <v>333</v>
      </c>
      <c r="W157" s="19">
        <v>333</v>
      </c>
      <c r="X157" s="19">
        <v>0</v>
      </c>
      <c r="Y157" s="128">
        <v>0</v>
      </c>
      <c r="Z157" s="128">
        <v>0</v>
      </c>
      <c r="AA157" s="126">
        <v>0</v>
      </c>
      <c r="AB157" s="129">
        <f t="shared" si="43"/>
        <v>0</v>
      </c>
      <c r="AC157" s="130">
        <v>0</v>
      </c>
      <c r="AD157" s="35">
        <f t="shared" si="54"/>
        <v>0</v>
      </c>
      <c r="AE157" s="166" t="str">
        <f t="shared" si="55"/>
        <v>Release</v>
      </c>
      <c r="AF157" s="127"/>
      <c r="AG157" s="18">
        <v>0</v>
      </c>
      <c r="AH157" s="132"/>
      <c r="AI157" s="238">
        <v>0</v>
      </c>
      <c r="AJ157" s="132"/>
      <c r="AK157" s="151">
        <v>344.79999999999995</v>
      </c>
      <c r="AL157" s="154">
        <f t="shared" si="44"/>
        <v>0</v>
      </c>
      <c r="AM157" s="155"/>
      <c r="AN157" s="19">
        <f t="shared" si="45"/>
        <v>1861</v>
      </c>
      <c r="AO157" s="118">
        <f>SUMIF('MPG Payment '!E:E,'Shayak Income '!D157,'MPG Payment '!AJ:AJ)</f>
        <v>0</v>
      </c>
      <c r="AP157" s="19">
        <f t="shared" si="46"/>
        <v>333</v>
      </c>
      <c r="AQ157" s="119">
        <f t="shared" si="56"/>
        <v>333</v>
      </c>
      <c r="AR157" s="91" t="s">
        <v>1168</v>
      </c>
      <c r="AS157" s="91">
        <f t="shared" si="47"/>
        <v>5964</v>
      </c>
      <c r="AT157" s="118"/>
      <c r="AU157" s="118"/>
      <c r="AV157" s="118"/>
    </row>
    <row r="158" spans="1:48" s="20" customFormat="1" x14ac:dyDescent="0.25">
      <c r="A158" s="17">
        <f>IFERROR(VLOOKUP(D158,'Monthly Deduction'!$I$3:$J$957,2,0),0)</f>
        <v>75679.654401205364</v>
      </c>
      <c r="B158" s="17">
        <f>IFERROR(VLOOKUP(D158,'Monthly Deduction'!$E$3:$F$957,2,0),0)</f>
        <v>10644.76976373949</v>
      </c>
      <c r="C158" s="17">
        <f t="shared" si="48"/>
        <v>86324.424164944852</v>
      </c>
      <c r="D158" s="41">
        <v>10060074</v>
      </c>
      <c r="E158" s="122" t="str">
        <f>VLOOKUP(D158,'MPG Payment '!$E$3:$G$498218,2,0)</f>
        <v>BASMATIYA</v>
      </c>
      <c r="F158" s="146">
        <f>IFERROR(_xlfn.XLOOKUP(D158,'Monthly Deduction'!$I$3:$I$957,'Monthly Deduction'!$H$3:$H$957),0)</f>
        <v>0</v>
      </c>
      <c r="G158" s="123" t="str">
        <f>VLOOKUP(D158,'MPG Payment '!$E$3:$G$334579,3,0)</f>
        <v>MPG</v>
      </c>
      <c r="H158" s="124" t="str">
        <f>VLOOKUP(D158,'MPG Payment '!$E$3:$H$334579,4,0)</f>
        <v>Direct</v>
      </c>
      <c r="I158" s="88">
        <f>INDEX('MPG Payment '!$C:$C,MATCH('Shayak Income '!D158,'MPG Payment '!E:E,0))</f>
        <v>1059</v>
      </c>
      <c r="J158" s="88" t="str">
        <f>INDEX('MPG Payment '!$D:$D,MATCH('Shayak Income '!D158,'MPG Payment '!E:E,0))</f>
        <v>Gopalpur Bmc</v>
      </c>
      <c r="K158" s="125" t="s">
        <v>1322</v>
      </c>
      <c r="L158" s="125">
        <v>45631</v>
      </c>
      <c r="M158" s="126">
        <f>SUMIF('MPG Payment '!$E$3:$E$34579,'Shayak Income '!D158,'MPG Payment '!$I$3:$I$34579)</f>
        <v>1452.4</v>
      </c>
      <c r="N158" s="126">
        <f>SUMIF('MPG Payment '!$E$3:$E$34579,'Shayak Income '!D158,'MPG Payment '!$J$3:$J$34579)</f>
        <v>61806.180033556004</v>
      </c>
      <c r="O158" s="126">
        <f t="shared" si="49"/>
        <v>1089.3000000000002</v>
      </c>
      <c r="P158" s="126">
        <f t="shared" si="50"/>
        <v>1379.78</v>
      </c>
      <c r="Q158" s="126">
        <f>SUMIF('MPG Payment '!$E$3:$E$34579,'Shayak Income '!D158,'MPG Payment '!$S$3:$S$34579)</f>
        <v>998.06517100381006</v>
      </c>
      <c r="R158" s="126">
        <f t="shared" si="40"/>
        <v>1854.18540100668</v>
      </c>
      <c r="S158" s="126">
        <f t="shared" si="41"/>
        <v>474.40540100667999</v>
      </c>
      <c r="T158" s="126">
        <f t="shared" si="51"/>
        <v>145.24</v>
      </c>
      <c r="U158" s="127">
        <f>(((IF(K158="New",0,SUMIF('MPG Payment '!$E$3:$E$34579,'Shayak Income '!D158,'MPG Payment '!$AC$3:$AC$34579))))+0)+0</f>
        <v>1150.0893693779324</v>
      </c>
      <c r="V158" s="127">
        <f t="shared" si="52"/>
        <v>2172</v>
      </c>
      <c r="W158" s="19">
        <f t="shared" si="53"/>
        <v>1861</v>
      </c>
      <c r="X158" s="19">
        <v>0</v>
      </c>
      <c r="Y158" s="128">
        <f>IFERROR(VLOOKUP(D158,'Monthly Deduction'!$M$2:$N$64,2,0),0)</f>
        <v>0</v>
      </c>
      <c r="Z158" s="128">
        <v>0</v>
      </c>
      <c r="AA158" s="126">
        <f>IFERROR(VLOOKUP(D158,'Monthly Deduction'!A:B,2,0),0)</f>
        <v>0</v>
      </c>
      <c r="AB158" s="129">
        <f t="shared" si="43"/>
        <v>311</v>
      </c>
      <c r="AC158" s="130">
        <f>AB158</f>
        <v>311</v>
      </c>
      <c r="AD158" s="35">
        <f t="shared" si="54"/>
        <v>0</v>
      </c>
      <c r="AE158" s="166" t="str">
        <f t="shared" si="55"/>
        <v>Yes</v>
      </c>
      <c r="AF158" s="127"/>
      <c r="AG158" s="18">
        <v>0</v>
      </c>
      <c r="AH158" s="120" t="s">
        <v>1646</v>
      </c>
      <c r="AI158" s="238">
        <v>4096</v>
      </c>
      <c r="AJ158" s="132"/>
      <c r="AK158" s="151">
        <v>335.40000000000003</v>
      </c>
      <c r="AL158" s="154">
        <f t="shared" si="44"/>
        <v>0</v>
      </c>
      <c r="AM158" s="155"/>
      <c r="AN158" s="19">
        <f t="shared" si="45"/>
        <v>1861</v>
      </c>
      <c r="AO158" s="118">
        <f>SUMIF('MPG Payment '!E:E,'Shayak Income '!D158,'MPG Payment '!AJ:AJ)</f>
        <v>0</v>
      </c>
      <c r="AP158" s="19">
        <f t="shared" si="46"/>
        <v>1861</v>
      </c>
      <c r="AQ158" s="119">
        <f t="shared" si="56"/>
        <v>1861</v>
      </c>
      <c r="AR158" s="91" t="s">
        <v>1168</v>
      </c>
      <c r="AS158" s="91">
        <f t="shared" si="47"/>
        <v>10644.76976373949</v>
      </c>
      <c r="AT158" s="118"/>
      <c r="AU158" s="118"/>
      <c r="AV158" s="118"/>
    </row>
    <row r="159" spans="1:48" s="20" customFormat="1" x14ac:dyDescent="0.25">
      <c r="A159" s="17">
        <f>IFERROR(VLOOKUP(D159,'Monthly Deduction'!$I$3:$J$957,2,0),0)</f>
        <v>36051.399116580811</v>
      </c>
      <c r="B159" s="17">
        <f>IFERROR(VLOOKUP(D159,'Monthly Deduction'!$E$3:$F$957,2,0),0)</f>
        <v>6427.4183995715684</v>
      </c>
      <c r="C159" s="17">
        <f t="shared" si="48"/>
        <v>42478.817516152383</v>
      </c>
      <c r="D159" s="41">
        <v>10060077</v>
      </c>
      <c r="E159" s="122" t="str">
        <f>VLOOKUP(D159,'MPG Payment '!$E$3:$G$498218,2,0)</f>
        <v>TILATHI</v>
      </c>
      <c r="F159" s="146">
        <f>IFERROR(_xlfn.XLOOKUP(D159,'Monthly Deduction'!$I$3:$I$957,'Monthly Deduction'!$H$3:$H$957),0)</f>
        <v>0</v>
      </c>
      <c r="G159" s="123" t="str">
        <f>VLOOKUP(D159,'MPG Payment '!$E$3:$G$334579,3,0)</f>
        <v>MPG</v>
      </c>
      <c r="H159" s="124" t="str">
        <f>VLOOKUP(D159,'MPG Payment '!$E$3:$H$334579,4,0)</f>
        <v>Direct</v>
      </c>
      <c r="I159" s="88">
        <f>INDEX('MPG Payment '!$C:$C,MATCH('Shayak Income '!D159,'MPG Payment '!E:E,0))</f>
        <v>1006</v>
      </c>
      <c r="J159" s="88" t="str">
        <f>INDEX('MPG Payment '!$D:$D,MATCH('Shayak Income '!D159,'MPG Payment '!E:E,0))</f>
        <v>Sonvarsha</v>
      </c>
      <c r="K159" s="125" t="s">
        <v>1322</v>
      </c>
      <c r="L159" s="125">
        <v>45653</v>
      </c>
      <c r="M159" s="126">
        <f>SUMIF('MPG Payment '!$E$3:$E$34579,'Shayak Income '!D159,'MPG Payment '!$I$3:$I$34579)</f>
        <v>4877.0000000000018</v>
      </c>
      <c r="N159" s="126">
        <f>SUMIF('MPG Payment '!$E$3:$E$34579,'Shayak Income '!D159,'MPG Payment '!$J$3:$J$34579)</f>
        <v>194765.96667055204</v>
      </c>
      <c r="O159" s="126">
        <f t="shared" si="49"/>
        <v>3657.7500000000014</v>
      </c>
      <c r="P159" s="126">
        <f t="shared" si="50"/>
        <v>4633.1500000000015</v>
      </c>
      <c r="Q159" s="126">
        <f>SUMIF('MPG Payment '!$E$3:$E$34579,'Shayak Income '!D159,'MPG Payment '!$S$3:$S$34579)</f>
        <v>2759.0435888400002</v>
      </c>
      <c r="R159" s="126">
        <f t="shared" si="40"/>
        <v>5842.9790001165611</v>
      </c>
      <c r="S159" s="126">
        <f t="shared" si="41"/>
        <v>1209.8290001165597</v>
      </c>
      <c r="T159" s="126">
        <f t="shared" si="51"/>
        <v>487.70000000000022</v>
      </c>
      <c r="U159" s="127">
        <f>(((IF(K159="New",0,SUMIF('MPG Payment '!$E$3:$E$34579,'Shayak Income '!D159,'MPG Payment '!$AC$3:$AC$34579))))+0)+0</f>
        <v>0</v>
      </c>
      <c r="V159" s="127">
        <f t="shared" si="52"/>
        <v>10562</v>
      </c>
      <c r="W159" s="19">
        <f t="shared" si="53"/>
        <v>3895.3193334110406</v>
      </c>
      <c r="X159" s="19">
        <v>0</v>
      </c>
      <c r="Y159" s="128">
        <f>IFERROR(VLOOKUP(D159,'Monthly Deduction'!$M$2:$N$64,2,0),0)</f>
        <v>0</v>
      </c>
      <c r="Z159" s="128">
        <v>0</v>
      </c>
      <c r="AA159" s="126">
        <f>IFERROR(VLOOKUP(D159,'Monthly Deduction'!A:B,2,0),0)</f>
        <v>0</v>
      </c>
      <c r="AB159" s="129">
        <f t="shared" si="43"/>
        <v>6667</v>
      </c>
      <c r="AC159" s="130">
        <v>0</v>
      </c>
      <c r="AD159" s="35">
        <f t="shared" si="54"/>
        <v>6667</v>
      </c>
      <c r="AE159" s="166" t="str">
        <f t="shared" si="55"/>
        <v>Release</v>
      </c>
      <c r="AF159" s="127"/>
      <c r="AG159" s="18">
        <v>0</v>
      </c>
      <c r="AH159" s="215"/>
      <c r="AI159" s="238">
        <v>0</v>
      </c>
      <c r="AJ159" s="132"/>
      <c r="AK159" s="151">
        <v>1286.4000000000001</v>
      </c>
      <c r="AL159" s="154">
        <f t="shared" si="44"/>
        <v>0</v>
      </c>
      <c r="AM159" s="155"/>
      <c r="AN159" s="19">
        <f t="shared" si="45"/>
        <v>3895.3193334110406</v>
      </c>
      <c r="AO159" s="118">
        <f>SUMIF('MPG Payment '!E:E,'Shayak Income '!D159,'MPG Payment '!AJ:AJ)</f>
        <v>0</v>
      </c>
      <c r="AP159" s="19">
        <f t="shared" si="46"/>
        <v>3895.3193334110406</v>
      </c>
      <c r="AQ159" s="119">
        <f t="shared" si="56"/>
        <v>3895.3193334110406</v>
      </c>
      <c r="AR159" s="91" t="s">
        <v>1168</v>
      </c>
      <c r="AS159" s="91">
        <f t="shared" si="47"/>
        <v>6427.4183995715684</v>
      </c>
      <c r="AT159" s="118"/>
      <c r="AU159" s="118"/>
      <c r="AV159" s="118"/>
    </row>
    <row r="160" spans="1:48" s="20" customFormat="1" x14ac:dyDescent="0.25">
      <c r="A160" s="17">
        <f>IFERROR(VLOOKUP(D160,'Monthly Deduction'!$I$3:$J$957,2,0),0)</f>
        <v>0</v>
      </c>
      <c r="B160" s="17">
        <f>IFERROR(VLOOKUP(D160,'Monthly Deduction'!$E$3:$F$957,2,0),0)</f>
        <v>0</v>
      </c>
      <c r="C160" s="17">
        <f t="shared" si="48"/>
        <v>0</v>
      </c>
      <c r="D160" s="41">
        <v>10060083</v>
      </c>
      <c r="E160" s="122" t="str">
        <f>VLOOKUP(D160,'MPG Payment '!$E$3:$G$498218,2,0)</f>
        <v>GOMUKH WESTOL</v>
      </c>
      <c r="F160" s="146">
        <f>IFERROR(_xlfn.XLOOKUP(D160,'Monthly Deduction'!$I$3:$I$957,'Monthly Deduction'!$H$3:$H$957),0)</f>
        <v>0</v>
      </c>
      <c r="G160" s="123" t="str">
        <f>VLOOKUP(D160,'MPG Payment '!$E$3:$G$334579,3,0)</f>
        <v>vlc</v>
      </c>
      <c r="H160" s="124" t="str">
        <f>VLOOKUP(D160,'MPG Payment '!$E$3:$H$334579,4,0)</f>
        <v>Indirect</v>
      </c>
      <c r="I160" s="88">
        <f>INDEX('MPG Payment '!$C:$C,MATCH('Shayak Income '!D160,'MPG Payment '!E:E,0))</f>
        <v>1006</v>
      </c>
      <c r="J160" s="88" t="str">
        <f>INDEX('MPG Payment '!$D:$D,MATCH('Shayak Income '!D160,'MPG Payment '!E:E,0))</f>
        <v>Sonvarsha</v>
      </c>
      <c r="K160" s="125" t="s">
        <v>1322</v>
      </c>
      <c r="L160" s="125">
        <v>45650</v>
      </c>
      <c r="M160" s="126">
        <f>SUMIF('MPG Payment '!$E$3:$E$34579,'Shayak Income '!D160,'MPG Payment '!$I$3:$I$34579)</f>
        <v>5181.5</v>
      </c>
      <c r="N160" s="126">
        <f>SUMIF('MPG Payment '!$E$3:$E$34579,'Shayak Income '!D160,'MPG Payment '!$J$3:$J$34579)</f>
        <v>193944.48516850005</v>
      </c>
      <c r="O160" s="126">
        <f t="shared" si="49"/>
        <v>3886.125</v>
      </c>
      <c r="P160" s="126">
        <f t="shared" si="50"/>
        <v>4922.4250000000002</v>
      </c>
      <c r="Q160" s="126">
        <f>SUMIF('MPG Payment '!$E$3:$E$34579,'Shayak Income '!D160,'MPG Payment '!$S$3:$S$34579)</f>
        <v>0</v>
      </c>
      <c r="R160" s="126">
        <f t="shared" si="40"/>
        <v>5818.3345550550011</v>
      </c>
      <c r="S160" s="126">
        <f t="shared" si="41"/>
        <v>895.90955505500096</v>
      </c>
      <c r="T160" s="126">
        <f t="shared" si="51"/>
        <v>518.15</v>
      </c>
      <c r="U160" s="127">
        <f>(((IF(K160="New",0,SUMIF('MPG Payment '!$E$3:$E$34579,'Shayak Income '!D160,'MPG Payment '!$AC$3:$AC$34579))))+0)+0</f>
        <v>0</v>
      </c>
      <c r="V160" s="127">
        <f t="shared" si="52"/>
        <v>8290</v>
      </c>
      <c r="W160" s="19">
        <f t="shared" si="53"/>
        <v>0</v>
      </c>
      <c r="X160" s="19">
        <f t="shared" si="42"/>
        <v>0</v>
      </c>
      <c r="Y160" s="128">
        <f>IFERROR(VLOOKUP(D160,'Monthly Deduction'!$M$2:$N$64,2,0),0)</f>
        <v>0</v>
      </c>
      <c r="Z160" s="128">
        <v>0</v>
      </c>
      <c r="AA160" s="126">
        <f>IFERROR(VLOOKUP(D160,'Monthly Deduction'!A:B,2,0),0)</f>
        <v>0</v>
      </c>
      <c r="AB160" s="129">
        <f t="shared" si="43"/>
        <v>8290</v>
      </c>
      <c r="AC160" s="130">
        <v>0</v>
      </c>
      <c r="AD160" s="35">
        <f t="shared" si="54"/>
        <v>8290</v>
      </c>
      <c r="AE160" s="166" t="str">
        <f t="shared" si="55"/>
        <v>Release</v>
      </c>
      <c r="AF160" s="127"/>
      <c r="AG160" s="18">
        <v>0</v>
      </c>
      <c r="AH160" s="132"/>
      <c r="AI160" s="238">
        <v>0</v>
      </c>
      <c r="AJ160" s="132"/>
      <c r="AK160" s="151">
        <v>1375.8</v>
      </c>
      <c r="AL160" s="154">
        <f t="shared" si="44"/>
        <v>0</v>
      </c>
      <c r="AM160" s="155"/>
      <c r="AN160" s="19">
        <f t="shared" si="45"/>
        <v>0</v>
      </c>
      <c r="AO160" s="118">
        <f>SUMIF('MPG Payment '!E:E,'Shayak Income '!D160,'MPG Payment '!AJ:AJ)</f>
        <v>0</v>
      </c>
      <c r="AP160" s="19">
        <f t="shared" si="46"/>
        <v>0</v>
      </c>
      <c r="AQ160" s="119">
        <f t="shared" si="56"/>
        <v>0</v>
      </c>
      <c r="AR160" s="91" t="s">
        <v>1168</v>
      </c>
      <c r="AS160" s="91">
        <f t="shared" si="47"/>
        <v>0</v>
      </c>
      <c r="AT160" s="118"/>
      <c r="AU160" s="118"/>
      <c r="AV160" s="118"/>
    </row>
    <row r="161" spans="1:48" s="20" customFormat="1" x14ac:dyDescent="0.25">
      <c r="A161" s="17">
        <f>IFERROR(VLOOKUP(D161,'Monthly Deduction'!$I$3:$J$957,2,0),0)</f>
        <v>68971.534</v>
      </c>
      <c r="B161" s="17">
        <f>IFERROR(VLOOKUP(D161,'Monthly Deduction'!$E$3:$F$957,2,0),0)</f>
        <v>0</v>
      </c>
      <c r="C161" s="17">
        <f t="shared" si="48"/>
        <v>68971.534</v>
      </c>
      <c r="D161" s="41">
        <v>10060090</v>
      </c>
      <c r="E161" s="122" t="str">
        <f>VLOOKUP(D161,'MPG Payment '!$E$3:$G$498218,2,0)</f>
        <v>SANGRAMPUR</v>
      </c>
      <c r="F161" s="146">
        <f>IFERROR(_xlfn.XLOOKUP(D161,'Monthly Deduction'!$I$3:$I$957,'Monthly Deduction'!$H$3:$H$957),0)</f>
        <v>0</v>
      </c>
      <c r="G161" s="123" t="str">
        <f>VLOOKUP(D161,'MPG Payment '!$E$3:$G$334579,3,0)</f>
        <v>MPG</v>
      </c>
      <c r="H161" s="124" t="str">
        <f>VLOOKUP(D161,'MPG Payment '!$E$3:$H$334579,4,0)</f>
        <v>Direct</v>
      </c>
      <c r="I161" s="88">
        <f>INDEX('MPG Payment '!$C:$C,MATCH('Shayak Income '!D161,'MPG Payment '!E:E,0))</f>
        <v>1059</v>
      </c>
      <c r="J161" s="88" t="str">
        <f>INDEX('MPG Payment '!$D:$D,MATCH('Shayak Income '!D161,'MPG Payment '!E:E,0))</f>
        <v>Gopalpur Bmc</v>
      </c>
      <c r="K161" s="125" t="s">
        <v>1322</v>
      </c>
      <c r="L161" s="125">
        <v>45702</v>
      </c>
      <c r="M161" s="126">
        <f>SUMIF('MPG Payment '!$E$3:$E$34579,'Shayak Income '!D161,'MPG Payment '!$I$3:$I$34579)</f>
        <v>2828.8999999999996</v>
      </c>
      <c r="N161" s="126">
        <f>SUMIF('MPG Payment '!$E$3:$E$34579,'Shayak Income '!D161,'MPG Payment '!$J$3:$J$34579)</f>
        <v>126312.22675301379</v>
      </c>
      <c r="O161" s="126">
        <f t="shared" si="49"/>
        <v>2121.6749999999997</v>
      </c>
      <c r="P161" s="126">
        <f t="shared" si="50"/>
        <v>2687.4549999999995</v>
      </c>
      <c r="Q161" s="126">
        <f>SUMIF('MPG Payment '!$E$3:$E$34579,'Shayak Income '!D161,'MPG Payment '!$S$3:$S$34579)</f>
        <v>0</v>
      </c>
      <c r="R161" s="126">
        <f t="shared" si="40"/>
        <v>3789.3668025904135</v>
      </c>
      <c r="S161" s="126">
        <f t="shared" si="41"/>
        <v>1101.911802590414</v>
      </c>
      <c r="T161" s="126">
        <f t="shared" si="51"/>
        <v>282.89</v>
      </c>
      <c r="U161" s="127">
        <f>(((IF(K161="New",0,SUMIF('MPG Payment '!$E$3:$E$34579,'Shayak Income '!D161,'MPG Payment '!$AC$3:$AC$34579))))+0)+0</f>
        <v>63.781206225950882</v>
      </c>
      <c r="V161" s="127">
        <f t="shared" si="52"/>
        <v>4462</v>
      </c>
      <c r="W161" s="19">
        <f t="shared" si="53"/>
        <v>2526.2445350602757</v>
      </c>
      <c r="X161" s="19">
        <v>0</v>
      </c>
      <c r="Y161" s="128">
        <f>IFERROR(VLOOKUP(D161,'Monthly Deduction'!$M$2:$N$64,2,0),0)</f>
        <v>0</v>
      </c>
      <c r="Z161" s="128">
        <v>0</v>
      </c>
      <c r="AA161" s="126">
        <f>IFERROR(VLOOKUP(D161,'Monthly Deduction'!A:B,2,0),0)</f>
        <v>0</v>
      </c>
      <c r="AB161" s="129">
        <f t="shared" si="43"/>
        <v>1936</v>
      </c>
      <c r="AC161" s="130">
        <v>0</v>
      </c>
      <c r="AD161" s="35">
        <f t="shared" si="54"/>
        <v>1936</v>
      </c>
      <c r="AE161" s="166" t="str">
        <f t="shared" si="55"/>
        <v>Release</v>
      </c>
      <c r="AF161" s="127"/>
      <c r="AG161" s="18">
        <v>0</v>
      </c>
      <c r="AH161" s="132"/>
      <c r="AI161" s="238">
        <v>0</v>
      </c>
      <c r="AJ161" s="132"/>
      <c r="AK161" s="151">
        <v>789.69999999999993</v>
      </c>
      <c r="AL161" s="154">
        <f t="shared" si="44"/>
        <v>0</v>
      </c>
      <c r="AM161" s="155"/>
      <c r="AN161" s="19">
        <f t="shared" si="45"/>
        <v>2526.2445350602757</v>
      </c>
      <c r="AO161" s="118">
        <f>SUMIF('MPG Payment '!E:E,'Shayak Income '!D161,'MPG Payment '!AJ:AJ)</f>
        <v>0</v>
      </c>
      <c r="AP161" s="19">
        <f t="shared" si="46"/>
        <v>2526.2445350602757</v>
      </c>
      <c r="AQ161" s="119">
        <f t="shared" si="56"/>
        <v>2526.2445350602757</v>
      </c>
      <c r="AR161" s="91" t="s">
        <v>1168</v>
      </c>
      <c r="AS161" s="91">
        <f t="shared" si="47"/>
        <v>0</v>
      </c>
      <c r="AT161" s="118"/>
      <c r="AU161" s="118"/>
      <c r="AV161" s="118"/>
    </row>
    <row r="162" spans="1:48" s="20" customFormat="1" x14ac:dyDescent="0.25">
      <c r="A162" s="17">
        <f>IFERROR(VLOOKUP(D162,'Monthly Deduction'!$I$3:$J$957,2,0),0)</f>
        <v>0</v>
      </c>
      <c r="B162" s="17">
        <f>IFERROR(VLOOKUP(D162,'Monthly Deduction'!$E$3:$F$957,2,0),0)</f>
        <v>0</v>
      </c>
      <c r="C162" s="17">
        <f t="shared" si="48"/>
        <v>0</v>
      </c>
      <c r="D162" s="41">
        <v>10060096</v>
      </c>
      <c r="E162" s="122" t="str">
        <f>VLOOKUP(D162,'MPG Payment '!$E$3:$G$498218,2,0)</f>
        <v>GOMUKH CHASMASKAN</v>
      </c>
      <c r="F162" s="146">
        <f>IFERROR(_xlfn.XLOOKUP(D162,'Monthly Deduction'!$I$3:$I$957,'Monthly Deduction'!$H$3:$H$957),0)</f>
        <v>0</v>
      </c>
      <c r="G162" s="123" t="str">
        <f>VLOOKUP(D162,'MPG Payment '!$E$3:$G$334579,3,0)</f>
        <v>vlc</v>
      </c>
      <c r="H162" s="124" t="str">
        <f>VLOOKUP(D162,'MPG Payment '!$E$3:$H$334579,4,0)</f>
        <v>Indirect</v>
      </c>
      <c r="I162" s="88">
        <f>INDEX('MPG Payment '!$C:$C,MATCH('Shayak Income '!D162,'MPG Payment '!E:E,0))</f>
        <v>1006</v>
      </c>
      <c r="J162" s="88" t="str">
        <f>INDEX('MPG Payment '!$D:$D,MATCH('Shayak Income '!D162,'MPG Payment '!E:E,0))</f>
        <v>Sonvarsha</v>
      </c>
      <c r="K162" s="125" t="s">
        <v>1322</v>
      </c>
      <c r="L162" s="125">
        <v>45704</v>
      </c>
      <c r="M162" s="126">
        <f>SUMIF('MPG Payment '!$E$3:$E$34579,'Shayak Income '!D162,'MPG Payment '!$I$3:$I$34579)</f>
        <v>7725.2000000000007</v>
      </c>
      <c r="N162" s="126">
        <f>SUMIF('MPG Payment '!$E$3:$E$34579,'Shayak Income '!D162,'MPG Payment '!$J$3:$J$34579)</f>
        <v>280893.57901703002</v>
      </c>
      <c r="O162" s="126">
        <f t="shared" si="49"/>
        <v>5793.9000000000005</v>
      </c>
      <c r="P162" s="126">
        <f t="shared" si="50"/>
        <v>7338.9400000000005</v>
      </c>
      <c r="Q162" s="126">
        <f>SUMIF('MPG Payment '!$E$3:$E$34579,'Shayak Income '!D162,'MPG Payment '!$S$3:$S$34579)</f>
        <v>0</v>
      </c>
      <c r="R162" s="126">
        <f t="shared" si="40"/>
        <v>8426.8073705109</v>
      </c>
      <c r="S162" s="126">
        <f t="shared" si="41"/>
        <v>1087.8673705108995</v>
      </c>
      <c r="T162" s="126">
        <f t="shared" si="51"/>
        <v>772.5200000000001</v>
      </c>
      <c r="U162" s="127">
        <f>(((IF(K162="New",0,SUMIF('MPG Payment '!$E$3:$E$34579,'Shayak Income '!D162,'MPG Payment '!$AC$3:$AC$34579))))+0)+0</f>
        <v>0</v>
      </c>
      <c r="V162" s="127">
        <f t="shared" si="52"/>
        <v>12360</v>
      </c>
      <c r="W162" s="19">
        <f t="shared" si="53"/>
        <v>0</v>
      </c>
      <c r="X162" s="19">
        <f t="shared" si="42"/>
        <v>0</v>
      </c>
      <c r="Y162" s="128">
        <f>IFERROR(VLOOKUP(D162,'Monthly Deduction'!$M$2:$N$64,2,0),0)</f>
        <v>0</v>
      </c>
      <c r="Z162" s="128">
        <v>0</v>
      </c>
      <c r="AA162" s="126">
        <f>IFERROR(VLOOKUP(D162,'Monthly Deduction'!A:B,2,0),0)</f>
        <v>0</v>
      </c>
      <c r="AB162" s="129">
        <f t="shared" si="43"/>
        <v>12360</v>
      </c>
      <c r="AC162" s="130">
        <v>0</v>
      </c>
      <c r="AD162" s="35">
        <f t="shared" si="54"/>
        <v>12360</v>
      </c>
      <c r="AE162" s="166" t="str">
        <f t="shared" si="55"/>
        <v>Release</v>
      </c>
      <c r="AF162" s="127"/>
      <c r="AG162" s="127">
        <v>0</v>
      </c>
      <c r="AH162" s="120"/>
      <c r="AI162" s="238">
        <v>0</v>
      </c>
      <c r="AJ162" s="132"/>
      <c r="AK162" s="151">
        <v>1590.7000000000003</v>
      </c>
      <c r="AL162" s="154">
        <f t="shared" si="44"/>
        <v>0</v>
      </c>
      <c r="AM162" s="155"/>
      <c r="AN162" s="19">
        <f t="shared" si="45"/>
        <v>0</v>
      </c>
      <c r="AO162" s="118">
        <f>SUMIF('MPG Payment '!E:E,'Shayak Income '!D162,'MPG Payment '!AJ:AJ)</f>
        <v>0</v>
      </c>
      <c r="AP162" s="19">
        <f t="shared" si="46"/>
        <v>0</v>
      </c>
      <c r="AQ162" s="119">
        <f t="shared" si="56"/>
        <v>0</v>
      </c>
      <c r="AR162" s="91" t="s">
        <v>1168</v>
      </c>
      <c r="AS162" s="91">
        <f t="shared" si="47"/>
        <v>0</v>
      </c>
      <c r="AT162" s="118"/>
      <c r="AU162" s="118"/>
      <c r="AV162" s="118"/>
    </row>
    <row r="163" spans="1:48" s="20" customFormat="1" x14ac:dyDescent="0.25">
      <c r="A163" s="17">
        <f>IFERROR(VLOOKUP(D163,'Monthly Deduction'!$I$3:$J$957,2,0),0)</f>
        <v>0</v>
      </c>
      <c r="B163" s="17">
        <f>IFERROR(VLOOKUP(D163,'Monthly Deduction'!$E$3:$F$957,2,0),0)</f>
        <v>0</v>
      </c>
      <c r="C163" s="17">
        <f t="shared" si="48"/>
        <v>0</v>
      </c>
      <c r="D163" s="41">
        <v>10060097</v>
      </c>
      <c r="E163" s="122" t="str">
        <f>VLOOKUP(D163,'MPG Payment '!$E$3:$G$498218,2,0)</f>
        <v>GOMUKH KAJITOLA</v>
      </c>
      <c r="F163" s="146">
        <f>IFERROR(_xlfn.XLOOKUP(D163,'Monthly Deduction'!$I$3:$I$957,'Monthly Deduction'!$H$3:$H$957),0)</f>
        <v>0</v>
      </c>
      <c r="G163" s="123" t="str">
        <f>VLOOKUP(D163,'MPG Payment '!$E$3:$G$334579,3,0)</f>
        <v>vlc</v>
      </c>
      <c r="H163" s="124" t="str">
        <f>VLOOKUP(D163,'MPG Payment '!$E$3:$H$334579,4,0)</f>
        <v>Indirect</v>
      </c>
      <c r="I163" s="88">
        <f>INDEX('MPG Payment '!$C:$C,MATCH('Shayak Income '!D163,'MPG Payment '!E:E,0))</f>
        <v>1006</v>
      </c>
      <c r="J163" s="88" t="str">
        <f>INDEX('MPG Payment '!$D:$D,MATCH('Shayak Income '!D163,'MPG Payment '!E:E,0))</f>
        <v>Sonvarsha</v>
      </c>
      <c r="K163" s="125" t="s">
        <v>1322</v>
      </c>
      <c r="L163" s="125">
        <v>45743</v>
      </c>
      <c r="M163" s="126">
        <f>SUMIF('MPG Payment '!$E$3:$E$34579,'Shayak Income '!D163,'MPG Payment '!$I$3:$I$34579)</f>
        <v>5552.6</v>
      </c>
      <c r="N163" s="126">
        <f>SUMIF('MPG Payment '!$E$3:$E$34579,'Shayak Income '!D163,'MPG Payment '!$J$3:$J$34579)</f>
        <v>207498.62040227</v>
      </c>
      <c r="O163" s="126">
        <f t="shared" si="49"/>
        <v>4164.4500000000007</v>
      </c>
      <c r="P163" s="126">
        <f t="shared" si="50"/>
        <v>5274.97</v>
      </c>
      <c r="Q163" s="126">
        <f>SUMIF('MPG Payment '!$E$3:$E$34579,'Shayak Income '!D163,'MPG Payment '!$S$3:$S$34579)</f>
        <v>0</v>
      </c>
      <c r="R163" s="126">
        <f t="shared" si="40"/>
        <v>6224.9586120680997</v>
      </c>
      <c r="S163" s="126">
        <f t="shared" si="41"/>
        <v>949.98861206809943</v>
      </c>
      <c r="T163" s="126">
        <f t="shared" si="51"/>
        <v>555.2600000000001</v>
      </c>
      <c r="U163" s="127">
        <f>(((IF(K163="New",0,SUMIF('MPG Payment '!$E$3:$E$34579,'Shayak Income '!D163,'MPG Payment '!$AC$3:$AC$34579))))+0)+0</f>
        <v>126.35302846299808</v>
      </c>
      <c r="V163" s="127">
        <f t="shared" si="52"/>
        <v>8758</v>
      </c>
      <c r="W163" s="19">
        <f t="shared" si="53"/>
        <v>0</v>
      </c>
      <c r="X163" s="19">
        <f t="shared" si="42"/>
        <v>0</v>
      </c>
      <c r="Y163" s="128">
        <f>IFERROR(VLOOKUP(D163,'Monthly Deduction'!$M$2:$N$64,2,0),0)</f>
        <v>0</v>
      </c>
      <c r="Z163" s="128">
        <v>0</v>
      </c>
      <c r="AA163" s="126">
        <f>IFERROR(VLOOKUP(D163,'Monthly Deduction'!A:B,2,0),0)</f>
        <v>0</v>
      </c>
      <c r="AB163" s="129">
        <f t="shared" si="43"/>
        <v>8758</v>
      </c>
      <c r="AC163" s="130">
        <v>0</v>
      </c>
      <c r="AD163" s="35">
        <f t="shared" si="54"/>
        <v>8758</v>
      </c>
      <c r="AE163" s="166" t="str">
        <f t="shared" si="55"/>
        <v>Release</v>
      </c>
      <c r="AF163" s="127"/>
      <c r="AG163" s="18">
        <v>0</v>
      </c>
      <c r="AH163" s="120"/>
      <c r="AI163" s="238">
        <v>0</v>
      </c>
      <c r="AJ163" s="132"/>
      <c r="AK163" s="151">
        <v>1360.0000000000002</v>
      </c>
      <c r="AL163" s="154">
        <f t="shared" si="44"/>
        <v>0</v>
      </c>
      <c r="AM163" s="155"/>
      <c r="AN163" s="19">
        <f t="shared" si="45"/>
        <v>0</v>
      </c>
      <c r="AO163" s="118">
        <f>SUMIF('MPG Payment '!E:E,'Shayak Income '!D163,'MPG Payment '!AJ:AJ)</f>
        <v>0</v>
      </c>
      <c r="AP163" s="19">
        <f t="shared" si="46"/>
        <v>0</v>
      </c>
      <c r="AQ163" s="119">
        <f t="shared" si="56"/>
        <v>0</v>
      </c>
      <c r="AR163" s="91"/>
      <c r="AS163" s="91">
        <f t="shared" si="47"/>
        <v>0</v>
      </c>
      <c r="AT163" s="118"/>
      <c r="AU163" s="118"/>
      <c r="AV163" s="118"/>
    </row>
    <row r="164" spans="1:48" s="20" customFormat="1" x14ac:dyDescent="0.25">
      <c r="A164" s="17">
        <f>IFERROR(VLOOKUP(D164,'Monthly Deduction'!$I$3:$J$957,2,0),0)</f>
        <v>45073.477038662721</v>
      </c>
      <c r="B164" s="17">
        <f>IFERROR(VLOOKUP(D164,'Monthly Deduction'!$E$3:$F$957,2,0),0)</f>
        <v>0</v>
      </c>
      <c r="C164" s="17">
        <f t="shared" si="48"/>
        <v>45073.477038662721</v>
      </c>
      <c r="D164" s="41">
        <v>10060098</v>
      </c>
      <c r="E164" s="122" t="str">
        <f>VLOOKUP(D164,'MPG Payment '!$E$3:$G$498218,2,0)</f>
        <v>RAMDEV TOLA</v>
      </c>
      <c r="F164" s="146">
        <f>IFERROR(_xlfn.XLOOKUP(D164,'Monthly Deduction'!$I$3:$I$957,'Monthly Deduction'!$H$3:$H$957),0)</f>
        <v>0</v>
      </c>
      <c r="G164" s="123" t="str">
        <f>VLOOKUP(D164,'MPG Payment '!$E$3:$G$334579,3,0)</f>
        <v>MPG</v>
      </c>
      <c r="H164" s="124" t="str">
        <f>VLOOKUP(D164,'MPG Payment '!$E$3:$H$334579,4,0)</f>
        <v>Direct</v>
      </c>
      <c r="I164" s="88">
        <f>INDEX('MPG Payment '!$C:$C,MATCH('Shayak Income '!D164,'MPG Payment '!E:E,0))</f>
        <v>1006</v>
      </c>
      <c r="J164" s="88" t="str">
        <f>INDEX('MPG Payment '!$D:$D,MATCH('Shayak Income '!D164,'MPG Payment '!E:E,0))</f>
        <v>Sonvarsha</v>
      </c>
      <c r="K164" s="125" t="s">
        <v>1322</v>
      </c>
      <c r="L164" s="125">
        <v>45795</v>
      </c>
      <c r="M164" s="126">
        <f>SUMIF('MPG Payment '!$E$3:$E$34579,'Shayak Income '!D164,'MPG Payment '!$I$3:$I$34579)</f>
        <v>7843.8</v>
      </c>
      <c r="N164" s="126">
        <f>SUMIF('MPG Payment '!$E$3:$E$34579,'Shayak Income '!D164,'MPG Payment '!$J$3:$J$34579)</f>
        <v>322913.55153177306</v>
      </c>
      <c r="O164" s="126">
        <f t="shared" si="49"/>
        <v>5882.85</v>
      </c>
      <c r="P164" s="126">
        <f t="shared" si="50"/>
        <v>7451.61</v>
      </c>
      <c r="Q164" s="126">
        <f>SUMIF('MPG Payment '!$E$3:$E$34579,'Shayak Income '!D164,'MPG Payment '!$S$3:$S$34579)</f>
        <v>1600.8960782160002</v>
      </c>
      <c r="R164" s="126">
        <f t="shared" si="40"/>
        <v>9687.4065459531921</v>
      </c>
      <c r="S164" s="126">
        <f t="shared" si="41"/>
        <v>2235.7965459531924</v>
      </c>
      <c r="T164" s="126">
        <f t="shared" si="51"/>
        <v>784.38000000000011</v>
      </c>
      <c r="U164" s="127">
        <f>(((IF(K164="New",0,SUMIF('MPG Payment '!$E$3:$E$34579,'Shayak Income '!D164,'MPG Payment '!$AC$3:$AC$34579))))+0)+0</f>
        <v>0</v>
      </c>
      <c r="V164" s="127">
        <f t="shared" si="52"/>
        <v>14151</v>
      </c>
      <c r="W164" s="19">
        <f t="shared" si="53"/>
        <v>6458.2710306354611</v>
      </c>
      <c r="X164" s="19">
        <v>0</v>
      </c>
      <c r="Y164" s="128">
        <f>IFERROR(VLOOKUP(D164,'Monthly Deduction'!$M$2:$N$64,2,0),0)</f>
        <v>0</v>
      </c>
      <c r="Z164" s="128">
        <v>0</v>
      </c>
      <c r="AA164" s="126">
        <f>IFERROR(VLOOKUP(D164,'Monthly Deduction'!A:B,2,0),0)</f>
        <v>0</v>
      </c>
      <c r="AB164" s="129">
        <f t="shared" si="43"/>
        <v>7693</v>
      </c>
      <c r="AC164" s="130">
        <v>0</v>
      </c>
      <c r="AD164" s="35">
        <f t="shared" si="54"/>
        <v>7693</v>
      </c>
      <c r="AE164" s="166" t="str">
        <f t="shared" si="55"/>
        <v>Release</v>
      </c>
      <c r="AF164" s="127"/>
      <c r="AG164" s="127">
        <v>0</v>
      </c>
      <c r="AH164" s="120"/>
      <c r="AI164" s="238">
        <v>0</v>
      </c>
      <c r="AJ164" s="132"/>
      <c r="AK164" s="151">
        <v>2000.4</v>
      </c>
      <c r="AL164" s="154">
        <f t="shared" si="44"/>
        <v>0</v>
      </c>
      <c r="AM164" s="155"/>
      <c r="AN164" s="19">
        <f t="shared" si="45"/>
        <v>6458.2710306354611</v>
      </c>
      <c r="AO164" s="118">
        <f>SUMIF('MPG Payment '!E:E,'Shayak Income '!D164,'MPG Payment '!AJ:AJ)</f>
        <v>0</v>
      </c>
      <c r="AP164" s="19">
        <f t="shared" si="46"/>
        <v>6458.2710306354611</v>
      </c>
      <c r="AQ164" s="119">
        <f t="shared" si="56"/>
        <v>6458.2710306354611</v>
      </c>
      <c r="AR164" s="91"/>
      <c r="AS164" s="91">
        <f t="shared" si="47"/>
        <v>0</v>
      </c>
      <c r="AT164" s="118"/>
      <c r="AU164" s="118"/>
      <c r="AV164" s="118"/>
    </row>
    <row r="165" spans="1:48" s="20" customFormat="1" x14ac:dyDescent="0.25">
      <c r="A165" s="17">
        <f>IFERROR(VLOOKUP(D165,'Monthly Deduction'!$I$3:$J$957,2,0),0)</f>
        <v>0</v>
      </c>
      <c r="B165" s="17">
        <f>IFERROR(VLOOKUP(D165,'Monthly Deduction'!$E$3:$F$957,2,0),0)</f>
        <v>0</v>
      </c>
      <c r="C165" s="17">
        <f t="shared" si="48"/>
        <v>0</v>
      </c>
      <c r="D165" s="41">
        <v>10060104</v>
      </c>
      <c r="E165" s="122" t="str">
        <f>VLOOKUP(D165,'MPG Payment '!$E$3:$G$498218,2,0)</f>
        <v>GOMUKH KATEHAR</v>
      </c>
      <c r="F165" s="146">
        <f>IFERROR(_xlfn.XLOOKUP(D165,'Monthly Deduction'!$I$3:$I$957,'Monthly Deduction'!$H$3:$H$957),0)</f>
        <v>0</v>
      </c>
      <c r="G165" s="123" t="str">
        <f>VLOOKUP(D165,'MPG Payment '!$E$3:$G$334579,3,0)</f>
        <v>vlc</v>
      </c>
      <c r="H165" s="124" t="str">
        <f>VLOOKUP(D165,'MPG Payment '!$E$3:$H$334579,4,0)</f>
        <v>Indirect</v>
      </c>
      <c r="I165" s="88">
        <f>INDEX('MPG Payment '!$C:$C,MATCH('Shayak Income '!D165,'MPG Payment '!E:E,0))</f>
        <v>1006</v>
      </c>
      <c r="J165" s="88" t="str">
        <f>INDEX('MPG Payment '!$D:$D,MATCH('Shayak Income '!D165,'MPG Payment '!E:E,0))</f>
        <v>Sonvarsha</v>
      </c>
      <c r="K165" s="125" t="s">
        <v>1322</v>
      </c>
      <c r="L165" s="125">
        <v>45800</v>
      </c>
      <c r="M165" s="126">
        <f>SUMIF('MPG Payment '!$E$3:$E$34579,'Shayak Income '!D165,'MPG Payment '!$I$3:$I$34579)</f>
        <v>5578.0000000000009</v>
      </c>
      <c r="N165" s="126">
        <f>SUMIF('MPG Payment '!$E$3:$E$34579,'Shayak Income '!D165,'MPG Payment '!$J$3:$J$34579)</f>
        <v>191961.86553518154</v>
      </c>
      <c r="O165" s="126">
        <f t="shared" si="49"/>
        <v>4183.5000000000009</v>
      </c>
      <c r="P165" s="126">
        <f t="shared" si="50"/>
        <v>5299.1</v>
      </c>
      <c r="Q165" s="126">
        <f>SUMIF('MPG Payment '!$E$3:$E$34579,'Shayak Income '!D165,'MPG Payment '!$S$3:$S$34579)</f>
        <v>0</v>
      </c>
      <c r="R165" s="126">
        <f t="shared" si="40"/>
        <v>5758.8559660554456</v>
      </c>
      <c r="S165" s="126">
        <f t="shared" si="41"/>
        <v>459.75596605544524</v>
      </c>
      <c r="T165" s="126">
        <f t="shared" si="51"/>
        <v>557.80000000000007</v>
      </c>
      <c r="U165" s="127">
        <f>(((IF(K165="New",0,SUMIF('MPG Payment '!$E$3:$E$34579,'Shayak Income '!D165,'MPG Payment '!$AC$3:$AC$34579))))+0)+0</f>
        <v>203.57573592233007</v>
      </c>
      <c r="V165" s="127">
        <f t="shared" si="52"/>
        <v>8721</v>
      </c>
      <c r="W165" s="19">
        <f t="shared" si="53"/>
        <v>0</v>
      </c>
      <c r="X165" s="19">
        <f t="shared" si="42"/>
        <v>0</v>
      </c>
      <c r="Y165" s="128">
        <f>IFERROR(VLOOKUP(D165,'Monthly Deduction'!$M$2:$N$64,2,0),0)</f>
        <v>0</v>
      </c>
      <c r="Z165" s="128">
        <v>0</v>
      </c>
      <c r="AA165" s="126">
        <f>IFERROR(VLOOKUP(D165,'Monthly Deduction'!A:B,2,0),0)</f>
        <v>0</v>
      </c>
      <c r="AB165" s="129">
        <f t="shared" si="43"/>
        <v>8721</v>
      </c>
      <c r="AC165" s="130">
        <v>0</v>
      </c>
      <c r="AD165" s="35">
        <f t="shared" si="54"/>
        <v>8721</v>
      </c>
      <c r="AE165" s="166" t="str">
        <f t="shared" si="55"/>
        <v>Release</v>
      </c>
      <c r="AF165" s="127"/>
      <c r="AG165" s="18">
        <v>0</v>
      </c>
      <c r="AH165" s="120"/>
      <c r="AI165" s="238">
        <v>0</v>
      </c>
      <c r="AJ165" s="132"/>
      <c r="AK165" s="151">
        <v>1885.0000000000002</v>
      </c>
      <c r="AL165" s="154">
        <f t="shared" si="44"/>
        <v>0</v>
      </c>
      <c r="AM165" s="155"/>
      <c r="AN165" s="19">
        <f t="shared" si="45"/>
        <v>0</v>
      </c>
      <c r="AO165" s="118">
        <f>SUMIF('MPG Payment '!E:E,'Shayak Income '!D165,'MPG Payment '!AJ:AJ)</f>
        <v>0</v>
      </c>
      <c r="AP165" s="19">
        <f t="shared" si="46"/>
        <v>0</v>
      </c>
      <c r="AQ165" s="119">
        <f t="shared" si="56"/>
        <v>0</v>
      </c>
      <c r="AR165" s="91" t="s">
        <v>1168</v>
      </c>
      <c r="AS165" s="91">
        <f t="shared" si="47"/>
        <v>0</v>
      </c>
      <c r="AT165" s="118"/>
      <c r="AU165" s="118"/>
      <c r="AV165" s="118"/>
    </row>
    <row r="166" spans="1:48" s="20" customFormat="1" x14ac:dyDescent="0.25">
      <c r="A166" s="17">
        <f>IFERROR(VLOOKUP(D166,'Monthly Deduction'!$I$3:$J$957,2,0),0)</f>
        <v>0</v>
      </c>
      <c r="B166" s="17">
        <f>IFERROR(VLOOKUP(D166,'Monthly Deduction'!$E$3:$F$957,2,0),0)</f>
        <v>0</v>
      </c>
      <c r="C166" s="17">
        <f t="shared" si="48"/>
        <v>0</v>
      </c>
      <c r="D166" s="41">
        <v>10060107</v>
      </c>
      <c r="E166" s="122" t="str">
        <f>VLOOKUP(D166,'MPG Payment '!$E$3:$G$498218,2,0)</f>
        <v>GOMUKH JAGMAGLA</v>
      </c>
      <c r="F166" s="146">
        <f>IFERROR(_xlfn.XLOOKUP(D166,'Monthly Deduction'!$I$3:$I$957,'Monthly Deduction'!$H$3:$H$957),0)</f>
        <v>0</v>
      </c>
      <c r="G166" s="123" t="str">
        <f>VLOOKUP(D166,'MPG Payment '!$E$3:$G$334579,3,0)</f>
        <v>vlc</v>
      </c>
      <c r="H166" s="124" t="str">
        <f>VLOOKUP(D166,'MPG Payment '!$E$3:$H$334579,4,0)</f>
        <v>Indirect</v>
      </c>
      <c r="I166" s="88">
        <f>INDEX('MPG Payment '!$C:$C,MATCH('Shayak Income '!D166,'MPG Payment '!E:E,0))</f>
        <v>1006</v>
      </c>
      <c r="J166" s="88" t="str">
        <f>INDEX('MPG Payment '!$D:$D,MATCH('Shayak Income '!D166,'MPG Payment '!E:E,0))</f>
        <v>Sonvarsha</v>
      </c>
      <c r="K166" s="125" t="s">
        <v>1322</v>
      </c>
      <c r="L166" s="125">
        <v>45791</v>
      </c>
      <c r="M166" s="126">
        <f>SUMIF('MPG Payment '!$E$3:$E$34579,'Shayak Income '!D166,'MPG Payment '!$I$3:$I$34579)</f>
        <v>2443.3999999999996</v>
      </c>
      <c r="N166" s="126">
        <f>SUMIF('MPG Payment '!$E$3:$E$34579,'Shayak Income '!D166,'MPG Payment '!$J$3:$J$34579)</f>
        <v>98051.229968499989</v>
      </c>
      <c r="O166" s="126">
        <f t="shared" si="49"/>
        <v>1832.5499999999997</v>
      </c>
      <c r="P166" s="126">
        <f t="shared" si="50"/>
        <v>2321.2299999999996</v>
      </c>
      <c r="Q166" s="126">
        <f>SUMIF('MPG Payment '!$E$3:$E$34579,'Shayak Income '!D166,'MPG Payment '!$S$3:$S$34579)</f>
        <v>0</v>
      </c>
      <c r="R166" s="126">
        <f t="shared" si="40"/>
        <v>2941.5368990549996</v>
      </c>
      <c r="S166" s="126">
        <f t="shared" si="41"/>
        <v>620.30689905500003</v>
      </c>
      <c r="T166" s="126">
        <f t="shared" si="51"/>
        <v>244.33999999999997</v>
      </c>
      <c r="U166" s="127">
        <f>(((IF(K166="New",0,SUMIF('MPG Payment '!$E$3:$E$34579,'Shayak Income '!D166,'MPG Payment '!$AC$3:$AC$34579))))+0)+0</f>
        <v>318.5818944576788</v>
      </c>
      <c r="V166" s="127">
        <f t="shared" si="52"/>
        <v>3591</v>
      </c>
      <c r="W166" s="19">
        <f t="shared" si="53"/>
        <v>0</v>
      </c>
      <c r="X166" s="19">
        <f t="shared" si="42"/>
        <v>0</v>
      </c>
      <c r="Y166" s="128">
        <f>IFERROR(VLOOKUP(D166,'Monthly Deduction'!$M$2:$N$64,2,0),0)</f>
        <v>0</v>
      </c>
      <c r="Z166" s="128">
        <v>0</v>
      </c>
      <c r="AA166" s="126">
        <f>IFERROR(VLOOKUP(D166,'Monthly Deduction'!A:B,2,0),0)</f>
        <v>0</v>
      </c>
      <c r="AB166" s="129">
        <f t="shared" si="43"/>
        <v>3591</v>
      </c>
      <c r="AC166" s="130">
        <v>0</v>
      </c>
      <c r="AD166" s="35">
        <f t="shared" si="54"/>
        <v>3591</v>
      </c>
      <c r="AE166" s="166" t="str">
        <f t="shared" si="55"/>
        <v>Release</v>
      </c>
      <c r="AF166" s="127"/>
      <c r="AG166" s="18">
        <v>0</v>
      </c>
      <c r="AH166" s="120"/>
      <c r="AI166" s="238">
        <v>0</v>
      </c>
      <c r="AJ166" s="132"/>
      <c r="AK166" s="151">
        <v>648.79999999999995</v>
      </c>
      <c r="AL166" s="154">
        <f t="shared" si="44"/>
        <v>0</v>
      </c>
      <c r="AM166" s="155"/>
      <c r="AN166" s="19">
        <f t="shared" si="45"/>
        <v>0</v>
      </c>
      <c r="AO166" s="118">
        <f>SUMIF('MPG Payment '!E:E,'Shayak Income '!D166,'MPG Payment '!AJ:AJ)</f>
        <v>0</v>
      </c>
      <c r="AP166" s="19">
        <f t="shared" si="46"/>
        <v>0</v>
      </c>
      <c r="AQ166" s="119">
        <f t="shared" si="56"/>
        <v>0</v>
      </c>
      <c r="AR166" s="91" t="s">
        <v>1168</v>
      </c>
      <c r="AS166" s="91">
        <f t="shared" si="47"/>
        <v>0</v>
      </c>
      <c r="AT166" s="118"/>
      <c r="AU166" s="118"/>
      <c r="AV166" s="118"/>
    </row>
    <row r="167" spans="1:48" s="20" customFormat="1" x14ac:dyDescent="0.25">
      <c r="A167" s="17">
        <f>IFERROR(VLOOKUP(D167,'Monthly Deduction'!$I$3:$J$957,2,0),0)</f>
        <v>83433.9666</v>
      </c>
      <c r="B167" s="17">
        <f>IFERROR(VLOOKUP(D167,'Monthly Deduction'!$E$3:$F$957,2,0),0)</f>
        <v>0</v>
      </c>
      <c r="C167" s="17">
        <f t="shared" si="48"/>
        <v>83433.9666</v>
      </c>
      <c r="D167" s="41">
        <v>10060109</v>
      </c>
      <c r="E167" s="122" t="str">
        <f>VLOOKUP(D167,'MPG Payment '!$E$3:$G$498218,2,0)</f>
        <v>PACHRUKHI</v>
      </c>
      <c r="F167" s="146">
        <f>IFERROR(_xlfn.XLOOKUP(D167,'Monthly Deduction'!$I$3:$I$957,'Monthly Deduction'!$H$3:$H$957),0)</f>
        <v>0</v>
      </c>
      <c r="G167" s="123" t="str">
        <f>VLOOKUP(D167,'MPG Payment '!$E$3:$G$334579,3,0)</f>
        <v>MPG</v>
      </c>
      <c r="H167" s="124" t="str">
        <f>VLOOKUP(D167,'MPG Payment '!$E$3:$H$334579,4,0)</f>
        <v>Direct</v>
      </c>
      <c r="I167" s="88">
        <f>INDEX('MPG Payment '!$C:$C,MATCH('Shayak Income '!D167,'MPG Payment '!E:E,0))</f>
        <v>1006</v>
      </c>
      <c r="J167" s="88" t="str">
        <f>INDEX('MPG Payment '!$D:$D,MATCH('Shayak Income '!D167,'MPG Payment '!E:E,0))</f>
        <v>Sonvarsha</v>
      </c>
      <c r="K167" s="125" t="s">
        <v>1322</v>
      </c>
      <c r="L167" s="125">
        <v>45853</v>
      </c>
      <c r="M167" s="126">
        <f>SUMIF('MPG Payment '!$E$3:$E$34579,'Shayak Income '!D167,'MPG Payment '!$I$3:$I$34579)</f>
        <v>44.8</v>
      </c>
      <c r="N167" s="126">
        <f>SUMIF('MPG Payment '!$E$3:$E$34579,'Shayak Income '!D167,'MPG Payment '!$J$3:$J$34579)</f>
        <v>1450.7391311770002</v>
      </c>
      <c r="O167" s="126">
        <f t="shared" si="49"/>
        <v>33.599999999999994</v>
      </c>
      <c r="P167" s="126">
        <f t="shared" si="50"/>
        <v>42.559999999999995</v>
      </c>
      <c r="Q167" s="126">
        <f>SUMIF('MPG Payment '!$E$3:$E$34579,'Shayak Income '!D167,'MPG Payment '!$S$3:$S$34579)</f>
        <v>6.8721131160000004</v>
      </c>
      <c r="R167" s="126">
        <f t="shared" si="40"/>
        <v>43.522173935310008</v>
      </c>
      <c r="S167" s="126">
        <f t="shared" si="41"/>
        <v>0.9621739353100125</v>
      </c>
      <c r="T167" s="126">
        <f t="shared" si="51"/>
        <v>4.4799999999999995</v>
      </c>
      <c r="U167" s="127">
        <f>(((IF(K167="New",0,SUMIF('MPG Payment '!$E$3:$E$34579,'Shayak Income '!D167,'MPG Payment '!$AC$3:$AC$34579))))+0)+-1260</f>
        <v>78.4617841293325</v>
      </c>
      <c r="V167" s="127">
        <f t="shared" si="52"/>
        <v>0</v>
      </c>
      <c r="W167" s="19">
        <v>0</v>
      </c>
      <c r="X167" s="19">
        <v>0</v>
      </c>
      <c r="Y167" s="128">
        <f>IFERROR(VLOOKUP(D167,'Monthly Deduction'!$M$2:$N$64,2,0),0)</f>
        <v>0</v>
      </c>
      <c r="Z167" s="128">
        <v>0</v>
      </c>
      <c r="AA167" s="126">
        <f>IFERROR(VLOOKUP(D167,'Monthly Deduction'!A:B,2,0),0)</f>
        <v>0</v>
      </c>
      <c r="AB167" s="129">
        <f t="shared" si="43"/>
        <v>0</v>
      </c>
      <c r="AC167" s="130">
        <f t="shared" ref="AC167:AC168" si="57">AB167</f>
        <v>0</v>
      </c>
      <c r="AD167" s="35">
        <f t="shared" si="54"/>
        <v>0</v>
      </c>
      <c r="AE167" s="166" t="str">
        <f t="shared" si="55"/>
        <v>Release</v>
      </c>
      <c r="AF167" s="127"/>
      <c r="AG167" s="18">
        <v>0</v>
      </c>
      <c r="AH167" s="120" t="s">
        <v>1646</v>
      </c>
      <c r="AI167" s="238">
        <v>2</v>
      </c>
      <c r="AJ167" s="132"/>
      <c r="AK167" s="151">
        <v>10.600000000000001</v>
      </c>
      <c r="AL167" s="154">
        <f t="shared" si="44"/>
        <v>0</v>
      </c>
      <c r="AM167" s="155"/>
      <c r="AN167" s="19">
        <f t="shared" si="45"/>
        <v>1861</v>
      </c>
      <c r="AO167" s="118">
        <f>SUMIF('MPG Payment '!E:E,'Shayak Income '!D167,'MPG Payment '!AJ:AJ)</f>
        <v>500</v>
      </c>
      <c r="AP167" s="19">
        <f t="shared" si="46"/>
        <v>0</v>
      </c>
      <c r="AQ167" s="119">
        <f t="shared" si="56"/>
        <v>500</v>
      </c>
      <c r="AR167" s="91" t="s">
        <v>1168</v>
      </c>
      <c r="AS167" s="91">
        <f t="shared" si="47"/>
        <v>0</v>
      </c>
      <c r="AT167" s="118"/>
      <c r="AU167" s="118"/>
      <c r="AV167" s="118"/>
    </row>
    <row r="168" spans="1:48" s="20" customFormat="1" x14ac:dyDescent="0.25">
      <c r="A168" s="17">
        <f>IFERROR(VLOOKUP(D168,'Monthly Deduction'!$I$3:$J$957,2,0),0)</f>
        <v>87094</v>
      </c>
      <c r="B168" s="17">
        <f>IFERROR(VLOOKUP(D168,'Monthly Deduction'!$E$3:$F$957,2,0),0)</f>
        <v>0</v>
      </c>
      <c r="C168" s="17">
        <f t="shared" si="48"/>
        <v>87094</v>
      </c>
      <c r="D168" s="41">
        <v>10060110</v>
      </c>
      <c r="E168" s="122" t="str">
        <f>VLOOKUP(D168,'MPG Payment '!$E$3:$G$498218,2,0)</f>
        <v>ORABAGICHA</v>
      </c>
      <c r="F168" s="146">
        <f>IFERROR(_xlfn.XLOOKUP(D168,'Monthly Deduction'!$I$3:$I$957,'Monthly Deduction'!$H$3:$H$957),0)</f>
        <v>0</v>
      </c>
      <c r="G168" s="123" t="str">
        <f>VLOOKUP(D168,'MPG Payment '!$E$3:$G$334579,3,0)</f>
        <v>MPG</v>
      </c>
      <c r="H168" s="124" t="str">
        <f>VLOOKUP(D168,'MPG Payment '!$E$3:$H$334579,4,0)</f>
        <v>Direct</v>
      </c>
      <c r="I168" s="88">
        <f>INDEX('MPG Payment '!$C:$C,MATCH('Shayak Income '!D168,'MPG Payment '!E:E,0))</f>
        <v>1006</v>
      </c>
      <c r="J168" s="88" t="str">
        <f>INDEX('MPG Payment '!$D:$D,MATCH('Shayak Income '!D168,'MPG Payment '!E:E,0))</f>
        <v>Sonvarsha</v>
      </c>
      <c r="K168" s="125" t="s">
        <v>1322</v>
      </c>
      <c r="L168" s="125">
        <v>45838</v>
      </c>
      <c r="M168" s="126">
        <f>SUMIF('MPG Payment '!$E$3:$E$34579,'Shayak Income '!D168,'MPG Payment '!$I$3:$I$34579)</f>
        <v>354.6</v>
      </c>
      <c r="N168" s="126">
        <f>SUMIF('MPG Payment '!$E$3:$E$34579,'Shayak Income '!D168,'MPG Payment '!$J$3:$J$34579)</f>
        <v>13935.290394610001</v>
      </c>
      <c r="O168" s="126">
        <f t="shared" si="49"/>
        <v>265.95000000000005</v>
      </c>
      <c r="P168" s="126">
        <f t="shared" si="50"/>
        <v>336.87</v>
      </c>
      <c r="Q168" s="126">
        <f>SUMIF('MPG Payment '!$E$3:$E$34579,'Shayak Income '!D168,'MPG Payment '!$S$3:$S$34579)</f>
        <v>72.730503870000007</v>
      </c>
      <c r="R168" s="126">
        <f t="shared" si="40"/>
        <v>418.05871183830004</v>
      </c>
      <c r="S168" s="126">
        <f t="shared" si="41"/>
        <v>81.188711838300037</v>
      </c>
      <c r="T168" s="126">
        <f t="shared" si="51"/>
        <v>35.46</v>
      </c>
      <c r="U168" s="127">
        <f>(((IF(K168="New",0,SUMIF('MPG Payment '!$E$3:$E$34579,'Shayak Income '!D168,'MPG Payment '!$AC$3:$AC$34579))))+0)+-175</f>
        <v>640.01330241947926</v>
      </c>
      <c r="V168" s="127">
        <f t="shared" si="52"/>
        <v>0</v>
      </c>
      <c r="W168" s="19">
        <v>0</v>
      </c>
      <c r="X168" s="19">
        <v>0</v>
      </c>
      <c r="Y168" s="128">
        <f>IFERROR(VLOOKUP(D168,'Monthly Deduction'!$M$2:$N$64,2,0),0)</f>
        <v>0</v>
      </c>
      <c r="Z168" s="128">
        <v>0</v>
      </c>
      <c r="AA168" s="126">
        <f>IFERROR(VLOOKUP(D168,'Monthly Deduction'!A:B,2,0),0)</f>
        <v>0</v>
      </c>
      <c r="AB168" s="129">
        <f t="shared" si="43"/>
        <v>0</v>
      </c>
      <c r="AC168" s="130">
        <f t="shared" si="57"/>
        <v>0</v>
      </c>
      <c r="AD168" s="35">
        <f t="shared" si="54"/>
        <v>0</v>
      </c>
      <c r="AE168" s="166" t="str">
        <f t="shared" si="55"/>
        <v>Release</v>
      </c>
      <c r="AF168" s="127"/>
      <c r="AG168" s="18">
        <v>0</v>
      </c>
      <c r="AH168" s="120" t="s">
        <v>1646</v>
      </c>
      <c r="AI168" s="238">
        <v>1226</v>
      </c>
      <c r="AJ168" s="132"/>
      <c r="AK168" s="151">
        <v>374.59999999999997</v>
      </c>
      <c r="AL168" s="154">
        <f t="shared" si="44"/>
        <v>0</v>
      </c>
      <c r="AM168" s="155"/>
      <c r="AN168" s="19">
        <f t="shared" si="45"/>
        <v>1861</v>
      </c>
      <c r="AO168" s="118">
        <f>SUMIF('MPG Payment '!E:E,'Shayak Income '!D168,'MPG Payment '!AJ:AJ)</f>
        <v>500</v>
      </c>
      <c r="AP168" s="19">
        <f t="shared" si="46"/>
        <v>0</v>
      </c>
      <c r="AQ168" s="119">
        <f t="shared" si="56"/>
        <v>500</v>
      </c>
      <c r="AR168" s="91" t="s">
        <v>1168</v>
      </c>
      <c r="AS168" s="91">
        <f t="shared" si="47"/>
        <v>0</v>
      </c>
      <c r="AT168" s="118"/>
      <c r="AU168" s="118"/>
      <c r="AV168" s="118"/>
    </row>
    <row r="169" spans="1:48" s="20" customFormat="1" x14ac:dyDescent="0.25">
      <c r="A169" s="17">
        <f>IFERROR(VLOOKUP(D169,'Monthly Deduction'!$I$3:$J$957,2,0),0)</f>
        <v>71014.897982209601</v>
      </c>
      <c r="B169" s="17">
        <f>IFERROR(VLOOKUP(D169,'Monthly Deduction'!$E$3:$F$957,2,0),0)</f>
        <v>0</v>
      </c>
      <c r="C169" s="17">
        <f t="shared" si="48"/>
        <v>71014.897982209601</v>
      </c>
      <c r="D169" s="41">
        <v>10060111</v>
      </c>
      <c r="E169" s="122" t="str">
        <f>VLOOKUP(D169,'MPG Payment '!$E$3:$G$498218,2,0)</f>
        <v>KHAJURIYA</v>
      </c>
      <c r="F169" s="146">
        <f>IFERROR(_xlfn.XLOOKUP(D169,'Monthly Deduction'!$I$3:$I$957,'Monthly Deduction'!$H$3:$H$957),0)</f>
        <v>0</v>
      </c>
      <c r="G169" s="123" t="str">
        <f>VLOOKUP(D169,'MPG Payment '!$E$3:$G$334579,3,0)</f>
        <v>MPG</v>
      </c>
      <c r="H169" s="124" t="str">
        <f>VLOOKUP(D169,'MPG Payment '!$E$3:$H$334579,4,0)</f>
        <v>Direct</v>
      </c>
      <c r="I169" s="88">
        <f>INDEX('MPG Payment '!$C:$C,MATCH('Shayak Income '!D169,'MPG Payment '!E:E,0))</f>
        <v>1006</v>
      </c>
      <c r="J169" s="88" t="str">
        <f>INDEX('MPG Payment '!$D:$D,MATCH('Shayak Income '!D169,'MPG Payment '!E:E,0))</f>
        <v>Sonvarsha</v>
      </c>
      <c r="K169" s="125" t="s">
        <v>1322</v>
      </c>
      <c r="L169" s="125">
        <v>45838</v>
      </c>
      <c r="M169" s="126">
        <f>SUMIF('MPG Payment '!$E$3:$E$34579,'Shayak Income '!D169,'MPG Payment '!$I$3:$I$34579)</f>
        <v>2660.3</v>
      </c>
      <c r="N169" s="126">
        <f>SUMIF('MPG Payment '!$E$3:$E$34579,'Shayak Income '!D169,'MPG Payment '!$J$3:$J$34579)</f>
        <v>110223.10984672481</v>
      </c>
      <c r="O169" s="126">
        <f t="shared" si="49"/>
        <v>1995.2250000000001</v>
      </c>
      <c r="P169" s="126">
        <f t="shared" si="50"/>
        <v>2527.2849999999999</v>
      </c>
      <c r="Q169" s="126">
        <f>SUMIF('MPG Payment '!$E$3:$E$34579,'Shayak Income '!D169,'MPG Payment '!$S$3:$S$34579)</f>
        <v>0</v>
      </c>
      <c r="R169" s="126">
        <f t="shared" si="40"/>
        <v>3306.6932954017443</v>
      </c>
      <c r="S169" s="126">
        <f t="shared" si="41"/>
        <v>779.40829540174445</v>
      </c>
      <c r="T169" s="126">
        <f t="shared" si="51"/>
        <v>266.03000000000003</v>
      </c>
      <c r="U169" s="127">
        <f>(((IF(K169="New",0,SUMIF('MPG Payment '!$E$3:$E$34579,'Shayak Income '!D169,'MPG Payment '!$AC$3:$AC$34579))))+0)+0</f>
        <v>179.34104395478278</v>
      </c>
      <c r="V169" s="127">
        <f t="shared" si="52"/>
        <v>4077</v>
      </c>
      <c r="W169" s="19">
        <f t="shared" si="53"/>
        <v>2204.4621969344962</v>
      </c>
      <c r="X169" s="19">
        <v>0</v>
      </c>
      <c r="Y169" s="128">
        <f>IFERROR(VLOOKUP(D169,'Monthly Deduction'!$M$2:$N$64,2,0),0)</f>
        <v>0</v>
      </c>
      <c r="Z169" s="128">
        <v>0</v>
      </c>
      <c r="AA169" s="126">
        <f>IFERROR(VLOOKUP(D169,'Monthly Deduction'!A:B,2,0),0)</f>
        <v>0</v>
      </c>
      <c r="AB169" s="129">
        <f t="shared" si="43"/>
        <v>1873</v>
      </c>
      <c r="AC169" s="130">
        <v>0</v>
      </c>
      <c r="AD169" s="35">
        <f t="shared" si="54"/>
        <v>1873</v>
      </c>
      <c r="AE169" s="166" t="str">
        <f t="shared" si="55"/>
        <v>Release</v>
      </c>
      <c r="AF169" s="127"/>
      <c r="AG169" s="18">
        <v>0</v>
      </c>
      <c r="AH169" s="120"/>
      <c r="AI169" s="238">
        <v>0</v>
      </c>
      <c r="AJ169" s="132"/>
      <c r="AK169" s="151">
        <v>654.20000000000016</v>
      </c>
      <c r="AL169" s="154">
        <f t="shared" si="44"/>
        <v>0</v>
      </c>
      <c r="AM169" s="155"/>
      <c r="AN169" s="19">
        <f t="shared" si="45"/>
        <v>2204.4621969344962</v>
      </c>
      <c r="AO169" s="118">
        <f>SUMIF('MPG Payment '!E:E,'Shayak Income '!D169,'MPG Payment '!AJ:AJ)</f>
        <v>0</v>
      </c>
      <c r="AP169" s="19">
        <f t="shared" si="46"/>
        <v>2204.4621969344962</v>
      </c>
      <c r="AQ169" s="119">
        <f t="shared" si="56"/>
        <v>2204.4621969344962</v>
      </c>
      <c r="AR169" s="91" t="s">
        <v>1168</v>
      </c>
      <c r="AS169" s="91">
        <f t="shared" si="47"/>
        <v>0</v>
      </c>
      <c r="AT169" s="118"/>
      <c r="AU169" s="118"/>
      <c r="AV169" s="118"/>
    </row>
    <row r="170" spans="1:48" s="20" customFormat="1" x14ac:dyDescent="0.25">
      <c r="A170" s="17">
        <f>IFERROR(VLOOKUP(D170,'Monthly Deduction'!$I$3:$J$957,2,0),0)</f>
        <v>0</v>
      </c>
      <c r="B170" s="17">
        <f>IFERROR(VLOOKUP(D170,'Monthly Deduction'!$E$3:$F$957,2,0),0)</f>
        <v>0</v>
      </c>
      <c r="C170" s="17">
        <f t="shared" si="48"/>
        <v>0</v>
      </c>
      <c r="D170" s="41">
        <v>10060113</v>
      </c>
      <c r="E170" s="122" t="str">
        <f>VLOOKUP(D170,'MPG Payment '!$E$3:$G$498218,2,0)</f>
        <v>NAYA SALEMPUR</v>
      </c>
      <c r="F170" s="146">
        <f>IFERROR(_xlfn.XLOOKUP(D170,'Monthly Deduction'!$I$3:$I$957,'Monthly Deduction'!$H$3:$H$957),0)</f>
        <v>0</v>
      </c>
      <c r="G170" s="123" t="str">
        <f>VLOOKUP(D170,'MPG Payment '!$E$3:$G$334579,3,0)</f>
        <v>vlc</v>
      </c>
      <c r="H170" s="124" t="str">
        <f>VLOOKUP(D170,'MPG Payment '!$E$3:$H$334579,4,0)</f>
        <v>Indirect</v>
      </c>
      <c r="I170" s="88">
        <f>INDEX('MPG Payment '!$C:$C,MATCH('Shayak Income '!D170,'MPG Payment '!E:E,0))</f>
        <v>1006</v>
      </c>
      <c r="J170" s="88" t="str">
        <f>INDEX('MPG Payment '!$D:$D,MATCH('Shayak Income '!D170,'MPG Payment '!E:E,0))</f>
        <v>Sonvarsha</v>
      </c>
      <c r="K170" s="125" t="s">
        <v>1322</v>
      </c>
      <c r="L170" s="125">
        <v>45838</v>
      </c>
      <c r="M170" s="126">
        <f>SUMIF('MPG Payment '!$E$3:$E$34579,'Shayak Income '!D170,'MPG Payment '!$I$3:$I$34579)</f>
        <v>2509</v>
      </c>
      <c r="N170" s="126">
        <f>SUMIF('MPG Payment '!$E$3:$E$34579,'Shayak Income '!D170,'MPG Payment '!$J$3:$J$34579)</f>
        <v>96017.739758480006</v>
      </c>
      <c r="O170" s="126">
        <f t="shared" si="49"/>
        <v>1881.75</v>
      </c>
      <c r="P170" s="126">
        <f t="shared" si="50"/>
        <v>2383.5499999999997</v>
      </c>
      <c r="Q170" s="126">
        <f>SUMIF('MPG Payment '!$E$3:$E$34579,'Shayak Income '!D170,'MPG Payment '!$S$3:$S$34579)</f>
        <v>0</v>
      </c>
      <c r="R170" s="126">
        <f t="shared" si="40"/>
        <v>2880.5321927544001</v>
      </c>
      <c r="S170" s="126">
        <f t="shared" si="41"/>
        <v>496.98219275440033</v>
      </c>
      <c r="T170" s="126">
        <f t="shared" si="51"/>
        <v>250.9</v>
      </c>
      <c r="U170" s="127">
        <f>(((IF(K170="New",0,SUMIF('MPG Payment '!$E$3:$E$34579,'Shayak Income '!D170,'MPG Payment '!$AC$3:$AC$34579))))+0)+0</f>
        <v>222.81376931245566</v>
      </c>
      <c r="V170" s="127">
        <f t="shared" si="52"/>
        <v>3792</v>
      </c>
      <c r="W170" s="19">
        <f t="shared" si="53"/>
        <v>0</v>
      </c>
      <c r="X170" s="19">
        <f t="shared" si="42"/>
        <v>0</v>
      </c>
      <c r="Y170" s="128">
        <f>IFERROR(VLOOKUP(D170,'Monthly Deduction'!$M$2:$N$64,2,0),0)</f>
        <v>0</v>
      </c>
      <c r="Z170" s="128">
        <v>0</v>
      </c>
      <c r="AA170" s="126">
        <f>IFERROR(VLOOKUP(D170,'Monthly Deduction'!A:B,2,0),0)</f>
        <v>0</v>
      </c>
      <c r="AB170" s="129">
        <f t="shared" si="43"/>
        <v>3792</v>
      </c>
      <c r="AC170" s="130">
        <v>0</v>
      </c>
      <c r="AD170" s="35">
        <f t="shared" si="54"/>
        <v>3792</v>
      </c>
      <c r="AE170" s="166" t="str">
        <f t="shared" si="55"/>
        <v>Release</v>
      </c>
      <c r="AF170" s="127"/>
      <c r="AG170" s="18">
        <v>0</v>
      </c>
      <c r="AH170" s="120"/>
      <c r="AI170" s="238">
        <v>0</v>
      </c>
      <c r="AJ170" s="132"/>
      <c r="AK170" s="151">
        <v>727.30000000000007</v>
      </c>
      <c r="AL170" s="154">
        <f t="shared" si="44"/>
        <v>0</v>
      </c>
      <c r="AM170" s="155"/>
      <c r="AN170" s="19">
        <f t="shared" si="45"/>
        <v>0</v>
      </c>
      <c r="AO170" s="118">
        <f>SUMIF('MPG Payment '!E:E,'Shayak Income '!D170,'MPG Payment '!AJ:AJ)</f>
        <v>0</v>
      </c>
      <c r="AP170" s="19">
        <f t="shared" si="46"/>
        <v>0</v>
      </c>
      <c r="AQ170" s="119">
        <f t="shared" si="56"/>
        <v>0</v>
      </c>
      <c r="AR170" s="91" t="s">
        <v>1168</v>
      </c>
      <c r="AS170" s="91">
        <f t="shared" si="47"/>
        <v>0</v>
      </c>
      <c r="AT170" s="118"/>
      <c r="AU170" s="118"/>
      <c r="AV170" s="118"/>
    </row>
    <row r="171" spans="1:48" s="20" customFormat="1" x14ac:dyDescent="0.25">
      <c r="A171" s="17">
        <f>IFERROR(VLOOKUP(D171,'Monthly Deduction'!$I$3:$J$957,2,0),0)</f>
        <v>85163</v>
      </c>
      <c r="B171" s="17">
        <f>IFERROR(VLOOKUP(D171,'Monthly Deduction'!$E$3:$F$957,2,0),0)</f>
        <v>0</v>
      </c>
      <c r="C171" s="17">
        <f t="shared" si="48"/>
        <v>85163</v>
      </c>
      <c r="D171" s="41">
        <v>10060114</v>
      </c>
      <c r="E171" s="122" t="str">
        <f>VLOOKUP(D171,'MPG Payment '!$E$3:$G$498218,2,0)</f>
        <v>MANO 2</v>
      </c>
      <c r="F171" s="146">
        <f>IFERROR(_xlfn.XLOOKUP(D171,'Monthly Deduction'!$I$3:$I$957,'Monthly Deduction'!$H$3:$H$957),0)</f>
        <v>0</v>
      </c>
      <c r="G171" s="123" t="str">
        <f>VLOOKUP(D171,'MPG Payment '!$E$3:$G$334579,3,0)</f>
        <v>MPG</v>
      </c>
      <c r="H171" s="124" t="str">
        <f>VLOOKUP(D171,'MPG Payment '!$E$3:$H$334579,4,0)</f>
        <v>Direct</v>
      </c>
      <c r="I171" s="88">
        <f>INDEX('MPG Payment '!$C:$C,MATCH('Shayak Income '!D171,'MPG Payment '!E:E,0))</f>
        <v>1006</v>
      </c>
      <c r="J171" s="88" t="str">
        <f>INDEX('MPG Payment '!$D:$D,MATCH('Shayak Income '!D171,'MPG Payment '!E:E,0))</f>
        <v>Sonvarsha</v>
      </c>
      <c r="K171" s="125" t="s">
        <v>1322</v>
      </c>
      <c r="L171" s="125">
        <v>45856</v>
      </c>
      <c r="M171" s="126">
        <f>SUMIF('MPG Payment '!$E$3:$E$34579,'Shayak Income '!D171,'MPG Payment '!$I$3:$I$34579)</f>
        <v>1690.8000000000002</v>
      </c>
      <c r="N171" s="126">
        <f>SUMIF('MPG Payment '!$E$3:$E$34579,'Shayak Income '!D171,'MPG Payment '!$J$3:$J$34579)</f>
        <v>66683.408320290007</v>
      </c>
      <c r="O171" s="126">
        <f t="shared" si="49"/>
        <v>1268.1000000000001</v>
      </c>
      <c r="P171" s="126">
        <f t="shared" si="50"/>
        <v>1606.26</v>
      </c>
      <c r="Q171" s="126">
        <f>SUMIF('MPG Payment '!$E$3:$E$34579,'Shayak Income '!D171,'MPG Payment '!$S$3:$S$34579)</f>
        <v>0</v>
      </c>
      <c r="R171" s="126">
        <f t="shared" si="40"/>
        <v>2000.5022496087001</v>
      </c>
      <c r="S171" s="126">
        <f t="shared" si="41"/>
        <v>394.24224960870015</v>
      </c>
      <c r="T171" s="126">
        <f t="shared" si="51"/>
        <v>169.08000000000004</v>
      </c>
      <c r="U171" s="127">
        <f>(((IF(K171="New",0,SUMIF('MPG Payment '!$E$3:$E$34579,'Shayak Income '!D171,'MPG Payment '!$AC$3:$AC$34579))))+0)+0</f>
        <v>876.88671030564137</v>
      </c>
      <c r="V171" s="127">
        <f t="shared" si="52"/>
        <v>1828</v>
      </c>
      <c r="W171" s="19">
        <v>1828</v>
      </c>
      <c r="X171" s="19">
        <v>0</v>
      </c>
      <c r="Y171" s="128">
        <f>IFERROR(VLOOKUP(D171,'Monthly Deduction'!$M$2:$N$64,2,0),0)</f>
        <v>0</v>
      </c>
      <c r="Z171" s="128">
        <v>0</v>
      </c>
      <c r="AA171" s="126">
        <f>IFERROR(VLOOKUP(D171,'Monthly Deduction'!A:B,2,0),0)</f>
        <v>0</v>
      </c>
      <c r="AB171" s="129">
        <f t="shared" si="43"/>
        <v>0</v>
      </c>
      <c r="AC171" s="130">
        <f>AB171</f>
        <v>0</v>
      </c>
      <c r="AD171" s="35">
        <f t="shared" si="54"/>
        <v>0</v>
      </c>
      <c r="AE171" s="166" t="str">
        <f t="shared" si="55"/>
        <v>Release</v>
      </c>
      <c r="AF171" s="127"/>
      <c r="AG171" s="18">
        <v>0</v>
      </c>
      <c r="AH171" s="120" t="s">
        <v>1646</v>
      </c>
      <c r="AI171" s="238">
        <v>3593</v>
      </c>
      <c r="AJ171" s="132"/>
      <c r="AK171" s="151">
        <v>460.4</v>
      </c>
      <c r="AL171" s="154">
        <f t="shared" si="44"/>
        <v>0</v>
      </c>
      <c r="AM171" s="155"/>
      <c r="AN171" s="19">
        <f t="shared" si="45"/>
        <v>1861</v>
      </c>
      <c r="AO171" s="118">
        <f>SUMIF('MPG Payment '!E:E,'Shayak Income '!D171,'MPG Payment '!AJ:AJ)</f>
        <v>0</v>
      </c>
      <c r="AP171" s="19">
        <f t="shared" si="46"/>
        <v>1828</v>
      </c>
      <c r="AQ171" s="119">
        <f t="shared" si="56"/>
        <v>1828</v>
      </c>
      <c r="AR171" s="91" t="s">
        <v>1168</v>
      </c>
      <c r="AS171" s="91">
        <f t="shared" si="47"/>
        <v>0</v>
      </c>
      <c r="AT171" s="118"/>
      <c r="AU171" s="118"/>
      <c r="AV171" s="118"/>
    </row>
    <row r="172" spans="1:48" s="20" customFormat="1" x14ac:dyDescent="0.25">
      <c r="A172" s="17">
        <f>IFERROR(VLOOKUP(D172,'Monthly Deduction'!$I$3:$J$957,2,0),0)</f>
        <v>0</v>
      </c>
      <c r="B172" s="17">
        <f>IFERROR(VLOOKUP(D172,'Monthly Deduction'!$E$3:$F$957,2,0),0)</f>
        <v>0</v>
      </c>
      <c r="C172" s="17">
        <f t="shared" si="48"/>
        <v>0</v>
      </c>
      <c r="D172" s="41">
        <v>10070002</v>
      </c>
      <c r="E172" s="122" t="str">
        <f>VLOOKUP(D172,'MPG Payment '!$E$3:$G$498218,2,0)</f>
        <v>Gomukh ID Araria</v>
      </c>
      <c r="F172" s="146">
        <f>IFERROR(_xlfn.XLOOKUP(D172,'Monthly Deduction'!$I$3:$I$957,'Monthly Deduction'!$H$3:$H$957),0)</f>
        <v>0</v>
      </c>
      <c r="G172" s="123" t="str">
        <f>VLOOKUP(D172,'MPG Payment '!$E$3:$G$334579,3,0)</f>
        <v>vlc</v>
      </c>
      <c r="H172" s="124" t="str">
        <f>VLOOKUP(D172,'MPG Payment '!$E$3:$H$334579,4,0)</f>
        <v>Indirect</v>
      </c>
      <c r="I172" s="88">
        <f>INDEX('MPG Payment '!$C:$C,MATCH('Shayak Income '!D172,'MPG Payment '!E:E,0))</f>
        <v>1007</v>
      </c>
      <c r="J172" s="88" t="str">
        <f>INDEX('MPG Payment '!$D:$D,MATCH('Shayak Income '!D172,'MPG Payment '!E:E,0))</f>
        <v>Araria</v>
      </c>
      <c r="K172" s="125" t="s">
        <v>1322</v>
      </c>
      <c r="L172" s="125">
        <v>43753</v>
      </c>
      <c r="M172" s="126">
        <f>SUMIF('MPG Payment '!$E$3:$E$34579,'Shayak Income '!D172,'MPG Payment '!$I$3:$I$34579)</f>
        <v>18755</v>
      </c>
      <c r="N172" s="126">
        <f>SUMIF('MPG Payment '!$E$3:$E$34579,'Shayak Income '!D172,'MPG Payment '!$J$3:$J$34579)</f>
        <v>689066.76589064999</v>
      </c>
      <c r="O172" s="126">
        <f t="shared" si="49"/>
        <v>14066.25</v>
      </c>
      <c r="P172" s="126">
        <f t="shared" si="50"/>
        <v>17817.25</v>
      </c>
      <c r="Q172" s="126">
        <f>SUMIF('MPG Payment '!$E$3:$E$34579,'Shayak Income '!D172,'MPG Payment '!$S$3:$S$34579)</f>
        <v>0</v>
      </c>
      <c r="R172" s="126">
        <f t="shared" si="40"/>
        <v>20672.002976719497</v>
      </c>
      <c r="S172" s="126">
        <f t="shared" si="41"/>
        <v>2854.7529767194974</v>
      </c>
      <c r="T172" s="126">
        <f t="shared" si="51"/>
        <v>1875.5</v>
      </c>
      <c r="U172" s="127">
        <f>(((IF(K172="New",0,SUMIF('MPG Payment '!$E$3:$E$34579,'Shayak Income '!D172,'MPG Payment '!$AC$3:$AC$34579))))+0)+0</f>
        <v>0</v>
      </c>
      <c r="V172" s="127">
        <f t="shared" si="52"/>
        <v>30008</v>
      </c>
      <c r="W172" s="19">
        <f t="shared" si="53"/>
        <v>0</v>
      </c>
      <c r="X172" s="19">
        <f t="shared" si="42"/>
        <v>0</v>
      </c>
      <c r="Y172" s="128">
        <f>IFERROR(VLOOKUP(D172,'Monthly Deduction'!$M$2:$N$64,2,0),0)</f>
        <v>0</v>
      </c>
      <c r="Z172" s="128">
        <v>0</v>
      </c>
      <c r="AA172" s="126">
        <f>IFERROR(VLOOKUP(D172,'Monthly Deduction'!A:B,2,0),0)</f>
        <v>0</v>
      </c>
      <c r="AB172" s="129">
        <f t="shared" si="43"/>
        <v>30008</v>
      </c>
      <c r="AC172" s="130">
        <v>0</v>
      </c>
      <c r="AD172" s="35">
        <f t="shared" si="54"/>
        <v>30008</v>
      </c>
      <c r="AE172" s="166" t="str">
        <f t="shared" si="55"/>
        <v>Release</v>
      </c>
      <c r="AF172" s="127"/>
      <c r="AG172" s="18">
        <v>0</v>
      </c>
      <c r="AH172" s="120"/>
      <c r="AI172" s="238">
        <v>0</v>
      </c>
      <c r="AJ172" s="132"/>
      <c r="AK172" s="151">
        <v>4292.3999999999996</v>
      </c>
      <c r="AL172" s="154">
        <f t="shared" si="44"/>
        <v>0</v>
      </c>
      <c r="AM172" s="155"/>
      <c r="AN172" s="19">
        <f t="shared" si="45"/>
        <v>0</v>
      </c>
      <c r="AO172" s="118">
        <f>SUMIF('MPG Payment '!E:E,'Shayak Income '!D172,'MPG Payment '!AJ:AJ)</f>
        <v>0</v>
      </c>
      <c r="AP172" s="19">
        <f t="shared" si="46"/>
        <v>0</v>
      </c>
      <c r="AQ172" s="119">
        <f t="shared" si="56"/>
        <v>0</v>
      </c>
      <c r="AR172" s="91" t="s">
        <v>1168</v>
      </c>
      <c r="AS172" s="91">
        <f t="shared" si="47"/>
        <v>0</v>
      </c>
      <c r="AT172" s="118"/>
      <c r="AU172" s="118"/>
      <c r="AV172" s="118"/>
    </row>
    <row r="173" spans="1:48" s="20" customFormat="1" x14ac:dyDescent="0.25">
      <c r="A173" s="17">
        <f>IFERROR(VLOOKUP(D173,'Monthly Deduction'!$I$3:$J$957,2,0),0)</f>
        <v>0</v>
      </c>
      <c r="B173" s="17">
        <f>IFERROR(VLOOKUP(D173,'Monthly Deduction'!$E$3:$F$957,2,0),0)</f>
        <v>0</v>
      </c>
      <c r="C173" s="17">
        <f t="shared" si="48"/>
        <v>0</v>
      </c>
      <c r="D173" s="41">
        <v>10070003</v>
      </c>
      <c r="E173" s="122" t="str">
        <f>VLOOKUP(D173,'MPG Payment '!$E$3:$G$498218,2,0)</f>
        <v>Gomukh ID Chaidha</v>
      </c>
      <c r="F173" s="146">
        <f>IFERROR(_xlfn.XLOOKUP(D173,'Monthly Deduction'!$I$3:$I$957,'Monthly Deduction'!$H$3:$H$957),0)</f>
        <v>0</v>
      </c>
      <c r="G173" s="123" t="str">
        <f>VLOOKUP(D173,'MPG Payment '!$E$3:$G$334579,3,0)</f>
        <v>vlc</v>
      </c>
      <c r="H173" s="124" t="str">
        <f>VLOOKUP(D173,'MPG Payment '!$E$3:$H$334579,4,0)</f>
        <v>Indirect</v>
      </c>
      <c r="I173" s="88">
        <f>INDEX('MPG Payment '!$C:$C,MATCH('Shayak Income '!D173,'MPG Payment '!E:E,0))</f>
        <v>1007</v>
      </c>
      <c r="J173" s="88" t="str">
        <f>INDEX('MPG Payment '!$D:$D,MATCH('Shayak Income '!D173,'MPG Payment '!E:E,0))</f>
        <v>Araria</v>
      </c>
      <c r="K173" s="125" t="s">
        <v>1322</v>
      </c>
      <c r="L173" s="125">
        <v>44162</v>
      </c>
      <c r="M173" s="126">
        <f>SUMIF('MPG Payment '!$E$3:$E$34579,'Shayak Income '!D173,'MPG Payment '!$I$3:$I$34579)</f>
        <v>4013.3</v>
      </c>
      <c r="N173" s="126">
        <f>SUMIF('MPG Payment '!$E$3:$E$34579,'Shayak Income '!D173,'MPG Payment '!$J$3:$J$34579)</f>
        <v>136657.79080906801</v>
      </c>
      <c r="O173" s="126">
        <f t="shared" si="49"/>
        <v>3009.9750000000004</v>
      </c>
      <c r="P173" s="126">
        <f t="shared" si="50"/>
        <v>3812.6350000000002</v>
      </c>
      <c r="Q173" s="126">
        <f>SUMIF('MPG Payment '!$E$3:$E$34579,'Shayak Income '!D173,'MPG Payment '!$S$3:$S$34579)</f>
        <v>0</v>
      </c>
      <c r="R173" s="126">
        <f t="shared" si="40"/>
        <v>4099.7337242720405</v>
      </c>
      <c r="S173" s="126">
        <f t="shared" si="41"/>
        <v>287.09872427204027</v>
      </c>
      <c r="T173" s="126">
        <f t="shared" si="51"/>
        <v>401.33000000000004</v>
      </c>
      <c r="U173" s="127">
        <f>(((IF(K173="New",0,SUMIF('MPG Payment '!$E$3:$E$34579,'Shayak Income '!D173,'MPG Payment '!$AC$3:$AC$34579))))+0)+0</f>
        <v>0</v>
      </c>
      <c r="V173" s="127">
        <f t="shared" si="52"/>
        <v>6421</v>
      </c>
      <c r="W173" s="19">
        <f t="shared" si="53"/>
        <v>0</v>
      </c>
      <c r="X173" s="19">
        <f t="shared" si="42"/>
        <v>0</v>
      </c>
      <c r="Y173" s="128">
        <f>IFERROR(VLOOKUP(D173,'Monthly Deduction'!$M$2:$N$64,2,0),0)</f>
        <v>0</v>
      </c>
      <c r="Z173" s="128">
        <v>0</v>
      </c>
      <c r="AA173" s="126">
        <f>IFERROR(VLOOKUP(D173,'Monthly Deduction'!A:B,2,0),0)</f>
        <v>0</v>
      </c>
      <c r="AB173" s="129">
        <f t="shared" si="43"/>
        <v>6421</v>
      </c>
      <c r="AC173" s="130">
        <v>0</v>
      </c>
      <c r="AD173" s="35">
        <f t="shared" si="54"/>
        <v>6421</v>
      </c>
      <c r="AE173" s="166" t="str">
        <f t="shared" si="55"/>
        <v>Release</v>
      </c>
      <c r="AF173" s="127"/>
      <c r="AG173" s="18">
        <v>0</v>
      </c>
      <c r="AH173" s="132"/>
      <c r="AI173" s="238">
        <v>0</v>
      </c>
      <c r="AJ173" s="132"/>
      <c r="AK173" s="151">
        <v>1160.0999999999999</v>
      </c>
      <c r="AL173" s="154">
        <f t="shared" si="44"/>
        <v>0</v>
      </c>
      <c r="AM173" s="155"/>
      <c r="AN173" s="19">
        <f t="shared" si="45"/>
        <v>0</v>
      </c>
      <c r="AO173" s="118">
        <f>SUMIF('MPG Payment '!E:E,'Shayak Income '!D173,'MPG Payment '!AJ:AJ)</f>
        <v>0</v>
      </c>
      <c r="AP173" s="19">
        <f t="shared" si="46"/>
        <v>0</v>
      </c>
      <c r="AQ173" s="119">
        <f t="shared" si="56"/>
        <v>0</v>
      </c>
      <c r="AR173" s="91" t="s">
        <v>1168</v>
      </c>
      <c r="AS173" s="91">
        <f t="shared" si="47"/>
        <v>0</v>
      </c>
      <c r="AT173" s="118"/>
      <c r="AU173" s="118"/>
      <c r="AV173" s="118"/>
    </row>
    <row r="174" spans="1:48" s="20" customFormat="1" x14ac:dyDescent="0.25">
      <c r="A174" s="17">
        <f>IFERROR(VLOOKUP(D174,'Monthly Deduction'!$I$3:$J$957,2,0),0)</f>
        <v>37718.166610008688</v>
      </c>
      <c r="B174" s="17">
        <f>IFERROR(VLOOKUP(D174,'Monthly Deduction'!$E$3:$F$957,2,0),0)</f>
        <v>13625.346799999999</v>
      </c>
      <c r="C174" s="17">
        <f t="shared" si="48"/>
        <v>51343.513410008687</v>
      </c>
      <c r="D174" s="41">
        <v>10070004</v>
      </c>
      <c r="E174" s="122" t="str">
        <f>VLOOKUP(D174,'MPG Payment '!$E$3:$G$498218,2,0)</f>
        <v>Gomukh ID Pakrail</v>
      </c>
      <c r="F174" s="146">
        <f>IFERROR(_xlfn.XLOOKUP(D174,'Monthly Deduction'!$I$3:$I$957,'Monthly Deduction'!$H$3:$H$957),0)</f>
        <v>0</v>
      </c>
      <c r="G174" s="123" t="str">
        <f>VLOOKUP(D174,'MPG Payment '!$E$3:$G$334579,3,0)</f>
        <v>vlc</v>
      </c>
      <c r="H174" s="124" t="str">
        <f>VLOOKUP(D174,'MPG Payment '!$E$3:$H$334579,4,0)</f>
        <v>Indirect</v>
      </c>
      <c r="I174" s="88">
        <f>INDEX('MPG Payment '!$C:$C,MATCH('Shayak Income '!D174,'MPG Payment '!E:E,0))</f>
        <v>1056</v>
      </c>
      <c r="J174" s="88" t="str">
        <f>INDEX('MPG Payment '!$D:$D,MATCH('Shayak Income '!D174,'MPG Payment '!E:E,0))</f>
        <v>Chautham</v>
      </c>
      <c r="K174" s="125" t="s">
        <v>1322</v>
      </c>
      <c r="L174" s="125">
        <v>44257</v>
      </c>
      <c r="M174" s="126">
        <f>SUMIF('MPG Payment '!$E$3:$E$34579,'Shayak Income '!D174,'MPG Payment '!$I$3:$I$34579)</f>
        <v>1993.58</v>
      </c>
      <c r="N174" s="126">
        <f>SUMIF('MPG Payment '!$E$3:$E$34579,'Shayak Income '!D174,'MPG Payment '!$J$3:$J$34579)</f>
        <v>68818.743807968596</v>
      </c>
      <c r="O174" s="126">
        <f t="shared" si="49"/>
        <v>1495.1849999999999</v>
      </c>
      <c r="P174" s="126">
        <f t="shared" si="50"/>
        <v>1893.9009999999998</v>
      </c>
      <c r="Q174" s="126">
        <f>SUMIF('MPG Payment '!$E$3:$E$34579,'Shayak Income '!D174,'MPG Payment '!$S$3:$S$34579)</f>
        <v>0</v>
      </c>
      <c r="R174" s="126">
        <f t="shared" si="40"/>
        <v>2064.5623142390577</v>
      </c>
      <c r="S174" s="126">
        <f t="shared" si="41"/>
        <v>170.6613142390579</v>
      </c>
      <c r="T174" s="126">
        <f t="shared" si="51"/>
        <v>199.358</v>
      </c>
      <c r="U174" s="127">
        <f>(((IF(K174="New",0,SUMIF('MPG Payment '!$E$3:$E$34579,'Shayak Income '!D174,'MPG Payment '!$AC$3:$AC$34579))))+0)+0</f>
        <v>759.47433593751725</v>
      </c>
      <c r="V174" s="127">
        <f t="shared" si="52"/>
        <v>2430</v>
      </c>
      <c r="W174" s="19">
        <f t="shared" si="53"/>
        <v>1861</v>
      </c>
      <c r="X174" s="19">
        <v>0</v>
      </c>
      <c r="Y174" s="128">
        <f>IFERROR(VLOOKUP(D174,'Monthly Deduction'!$M$2:$N$64,2,0),0)</f>
        <v>0</v>
      </c>
      <c r="Z174" s="128">
        <v>0</v>
      </c>
      <c r="AA174" s="126">
        <f>IFERROR(VLOOKUP(D174,'Monthly Deduction'!A:B,2,0),0)</f>
        <v>0</v>
      </c>
      <c r="AB174" s="129">
        <f t="shared" si="43"/>
        <v>569</v>
      </c>
      <c r="AC174" s="130">
        <v>0</v>
      </c>
      <c r="AD174" s="35">
        <f t="shared" si="54"/>
        <v>569</v>
      </c>
      <c r="AE174" s="166" t="str">
        <f t="shared" si="55"/>
        <v>Release</v>
      </c>
      <c r="AF174" s="127"/>
      <c r="AG174" s="18">
        <v>0</v>
      </c>
      <c r="AH174" s="132"/>
      <c r="AI174" s="238">
        <v>0</v>
      </c>
      <c r="AJ174" s="132"/>
      <c r="AK174" s="151">
        <v>797.81999999999982</v>
      </c>
      <c r="AL174" s="154">
        <f t="shared" si="44"/>
        <v>0</v>
      </c>
      <c r="AM174" s="155"/>
      <c r="AN174" s="19">
        <f t="shared" si="45"/>
        <v>1861</v>
      </c>
      <c r="AO174" s="118">
        <f>SUMIF('MPG Payment '!E:E,'Shayak Income '!D174,'MPG Payment '!AJ:AJ)</f>
        <v>0</v>
      </c>
      <c r="AP174" s="19">
        <f t="shared" si="46"/>
        <v>1861</v>
      </c>
      <c r="AQ174" s="119">
        <f t="shared" si="56"/>
        <v>1861</v>
      </c>
      <c r="AR174" s="91" t="s">
        <v>1168</v>
      </c>
      <c r="AS174" s="91">
        <f t="shared" si="47"/>
        <v>13625.346799999999</v>
      </c>
      <c r="AT174" s="118"/>
      <c r="AU174" s="118"/>
      <c r="AV174" s="118"/>
    </row>
    <row r="175" spans="1:48" s="20" customFormat="1" x14ac:dyDescent="0.25">
      <c r="A175" s="17">
        <f>IFERROR(VLOOKUP(D175,'Monthly Deduction'!$I$3:$J$957,2,0),0)</f>
        <v>0</v>
      </c>
      <c r="B175" s="17">
        <f>IFERROR(VLOOKUP(D175,'Monthly Deduction'!$E$3:$F$957,2,0),0)</f>
        <v>0</v>
      </c>
      <c r="C175" s="17">
        <f t="shared" si="48"/>
        <v>0</v>
      </c>
      <c r="D175" s="41">
        <v>10070008</v>
      </c>
      <c r="E175" s="122" t="str">
        <f>VLOOKUP(D175,'MPG Payment '!$E$3:$G$498218,2,0)</f>
        <v>Gomukh ID Pipra</v>
      </c>
      <c r="F175" s="146">
        <f>IFERROR(_xlfn.XLOOKUP(D175,'Monthly Deduction'!$I$3:$I$957,'Monthly Deduction'!$H$3:$H$957),0)</f>
        <v>0</v>
      </c>
      <c r="G175" s="123" t="str">
        <f>VLOOKUP(D175,'MPG Payment '!$E$3:$G$334579,3,0)</f>
        <v>vlc</v>
      </c>
      <c r="H175" s="124" t="str">
        <f>VLOOKUP(D175,'MPG Payment '!$E$3:$H$334579,4,0)</f>
        <v>Indirect</v>
      </c>
      <c r="I175" s="88">
        <f>INDEX('MPG Payment '!$C:$C,MATCH('Shayak Income '!D175,'MPG Payment '!E:E,0))</f>
        <v>1056</v>
      </c>
      <c r="J175" s="88" t="str">
        <f>INDEX('MPG Payment '!$D:$D,MATCH('Shayak Income '!D175,'MPG Payment '!E:E,0))</f>
        <v>Chautham</v>
      </c>
      <c r="K175" s="125" t="s">
        <v>1322</v>
      </c>
      <c r="L175" s="125">
        <v>44816</v>
      </c>
      <c r="M175" s="126">
        <f>SUMIF('MPG Payment '!$E$3:$E$34579,'Shayak Income '!D175,'MPG Payment '!$I$3:$I$34579)</f>
        <v>3284.06</v>
      </c>
      <c r="N175" s="126">
        <f>SUMIF('MPG Payment '!$E$3:$E$34579,'Shayak Income '!D175,'MPG Payment '!$J$3:$J$34579)</f>
        <v>115927.48937414627</v>
      </c>
      <c r="O175" s="126">
        <f t="shared" si="49"/>
        <v>2463.0450000000001</v>
      </c>
      <c r="P175" s="126">
        <f t="shared" si="50"/>
        <v>3119.857</v>
      </c>
      <c r="Q175" s="126">
        <f>SUMIF('MPG Payment '!$E$3:$E$34579,'Shayak Income '!D175,'MPG Payment '!$S$3:$S$34579)</f>
        <v>0</v>
      </c>
      <c r="R175" s="126">
        <f t="shared" si="40"/>
        <v>3477.8246812243879</v>
      </c>
      <c r="S175" s="126">
        <f t="shared" si="41"/>
        <v>357.96768122438789</v>
      </c>
      <c r="T175" s="126">
        <f t="shared" si="51"/>
        <v>328.40600000000001</v>
      </c>
      <c r="U175" s="127">
        <f>(((IF(K175="New",0,SUMIF('MPG Payment '!$E$3:$E$34579,'Shayak Income '!D175,'MPG Payment '!$AC$3:$AC$34579))))+0)+0</f>
        <v>27.461614609358492</v>
      </c>
      <c r="V175" s="127">
        <f t="shared" si="52"/>
        <v>5227</v>
      </c>
      <c r="W175" s="19">
        <f t="shared" si="53"/>
        <v>0</v>
      </c>
      <c r="X175" s="19">
        <f t="shared" si="42"/>
        <v>0</v>
      </c>
      <c r="Y175" s="128">
        <f>IFERROR(VLOOKUP(D175,'Monthly Deduction'!$M$2:$N$64,2,0),0)</f>
        <v>0</v>
      </c>
      <c r="Z175" s="128">
        <v>0</v>
      </c>
      <c r="AA175" s="126">
        <f>IFERROR(VLOOKUP(D175,'Monthly Deduction'!A:B,2,0),0)</f>
        <v>0</v>
      </c>
      <c r="AB175" s="129">
        <f t="shared" si="43"/>
        <v>5227</v>
      </c>
      <c r="AC175" s="130">
        <v>0</v>
      </c>
      <c r="AD175" s="35">
        <f t="shared" si="54"/>
        <v>5227</v>
      </c>
      <c r="AE175" s="166" t="str">
        <f t="shared" si="55"/>
        <v>Release</v>
      </c>
      <c r="AF175" s="127"/>
      <c r="AG175" s="18">
        <v>0</v>
      </c>
      <c r="AH175" s="132"/>
      <c r="AI175" s="238">
        <v>0</v>
      </c>
      <c r="AJ175" s="132"/>
      <c r="AK175" s="151">
        <v>1182.1399999999999</v>
      </c>
      <c r="AL175" s="154">
        <f t="shared" si="44"/>
        <v>0</v>
      </c>
      <c r="AM175" s="155"/>
      <c r="AN175" s="19">
        <f t="shared" si="45"/>
        <v>0</v>
      </c>
      <c r="AO175" s="118">
        <f>SUMIF('MPG Payment '!E:E,'Shayak Income '!D175,'MPG Payment '!AJ:AJ)</f>
        <v>0</v>
      </c>
      <c r="AP175" s="19">
        <f t="shared" si="46"/>
        <v>0</v>
      </c>
      <c r="AQ175" s="119">
        <f t="shared" si="56"/>
        <v>0</v>
      </c>
      <c r="AR175" s="91" t="s">
        <v>1168</v>
      </c>
      <c r="AS175" s="91">
        <f t="shared" si="47"/>
        <v>0</v>
      </c>
      <c r="AT175" s="118"/>
      <c r="AU175" s="118"/>
      <c r="AV175" s="118"/>
    </row>
    <row r="176" spans="1:48" s="20" customFormat="1" x14ac:dyDescent="0.25">
      <c r="A176" s="17">
        <f>IFERROR(VLOOKUP(D176,'Monthly Deduction'!$I$3:$J$957,2,0),0)</f>
        <v>42301.352906864005</v>
      </c>
      <c r="B176" s="17">
        <f>IFERROR(VLOOKUP(D176,'Monthly Deduction'!$E$3:$F$957,2,0),0)</f>
        <v>5123.8451999999997</v>
      </c>
      <c r="C176" s="17">
        <f t="shared" si="48"/>
        <v>47425.198106864002</v>
      </c>
      <c r="D176" s="41">
        <v>10070013</v>
      </c>
      <c r="E176" s="122" t="str">
        <f>VLOOKUP(D176,'MPG Payment '!$E$3:$G$498218,2,0)</f>
        <v xml:space="preserve">Gomukh Fatepur                                                                                      </v>
      </c>
      <c r="F176" s="146">
        <f>IFERROR(_xlfn.XLOOKUP(D176,'Monthly Deduction'!$I$3:$I$957,'Monthly Deduction'!$H$3:$H$957),0)</f>
        <v>0</v>
      </c>
      <c r="G176" s="123" t="str">
        <f>VLOOKUP(D176,'MPG Payment '!$E$3:$G$334579,3,0)</f>
        <v>MPG</v>
      </c>
      <c r="H176" s="124" t="str">
        <f>VLOOKUP(D176,'MPG Payment '!$E$3:$H$334579,4,0)</f>
        <v>Direct</v>
      </c>
      <c r="I176" s="88">
        <f>INDEX('MPG Payment '!$C:$C,MATCH('Shayak Income '!D176,'MPG Payment '!E:E,0))</f>
        <v>1007</v>
      </c>
      <c r="J176" s="88" t="str">
        <f>INDEX('MPG Payment '!$D:$D,MATCH('Shayak Income '!D176,'MPG Payment '!E:E,0))</f>
        <v>Araria</v>
      </c>
      <c r="K176" s="125" t="s">
        <v>1322</v>
      </c>
      <c r="L176" s="125">
        <v>45083</v>
      </c>
      <c r="M176" s="126">
        <f>SUMIF('MPG Payment '!$E$3:$E$34579,'Shayak Income '!D176,'MPG Payment '!$I$3:$I$34579)</f>
        <v>879.09999999999991</v>
      </c>
      <c r="N176" s="126">
        <f>SUMIF('MPG Payment '!$E$3:$E$34579,'Shayak Income '!D176,'MPG Payment '!$J$3:$J$34579)</f>
        <v>32972.946473210002</v>
      </c>
      <c r="O176" s="126">
        <f t="shared" si="49"/>
        <v>659.32499999999993</v>
      </c>
      <c r="P176" s="126">
        <f t="shared" si="50"/>
        <v>835.14499999999987</v>
      </c>
      <c r="Q176" s="126">
        <f>SUMIF('MPG Payment '!$E$3:$E$34579,'Shayak Income '!D176,'MPG Payment '!$S$3:$S$34579)</f>
        <v>350.41200697800008</v>
      </c>
      <c r="R176" s="126">
        <f t="shared" si="40"/>
        <v>989.18839419630001</v>
      </c>
      <c r="S176" s="126">
        <f t="shared" si="41"/>
        <v>154.04339419630014</v>
      </c>
      <c r="T176" s="126">
        <f t="shared" si="51"/>
        <v>87.91</v>
      </c>
      <c r="U176" s="127">
        <f>(((IF(K176="New",0,SUMIF('MPG Payment '!$E$3:$E$34579,'Shayak Income '!D176,'MPG Payment '!$AC$3:$AC$34579))))+0)+0</f>
        <v>1441.7628458955217</v>
      </c>
      <c r="V176" s="127">
        <f t="shared" si="52"/>
        <v>315</v>
      </c>
      <c r="W176" s="19">
        <v>315</v>
      </c>
      <c r="X176" s="19">
        <v>0</v>
      </c>
      <c r="Y176" s="128">
        <v>0</v>
      </c>
      <c r="Z176" s="128">
        <v>0</v>
      </c>
      <c r="AA176" s="126">
        <f>IFERROR(VLOOKUP(D176,'Monthly Deduction'!A:B,2,0),0)</f>
        <v>0</v>
      </c>
      <c r="AB176" s="129">
        <f t="shared" si="43"/>
        <v>0</v>
      </c>
      <c r="AC176" s="130">
        <v>0</v>
      </c>
      <c r="AD176" s="35">
        <f t="shared" si="54"/>
        <v>0</v>
      </c>
      <c r="AE176" s="166" t="str">
        <f t="shared" si="55"/>
        <v>Release</v>
      </c>
      <c r="AF176" s="127"/>
      <c r="AG176" s="18">
        <v>0</v>
      </c>
      <c r="AH176" s="120"/>
      <c r="AI176" s="238">
        <v>0</v>
      </c>
      <c r="AJ176" s="132"/>
      <c r="AK176" s="151">
        <v>157.4</v>
      </c>
      <c r="AL176" s="154">
        <f t="shared" si="44"/>
        <v>0</v>
      </c>
      <c r="AM176" s="155"/>
      <c r="AN176" s="19">
        <f t="shared" si="45"/>
        <v>1861</v>
      </c>
      <c r="AO176" s="118">
        <f>SUMIF('MPG Payment '!E:E,'Shayak Income '!D176,'MPG Payment '!AJ:AJ)</f>
        <v>0</v>
      </c>
      <c r="AP176" s="19">
        <f t="shared" si="46"/>
        <v>315</v>
      </c>
      <c r="AQ176" s="119">
        <f t="shared" si="56"/>
        <v>315</v>
      </c>
      <c r="AR176" s="91" t="s">
        <v>1168</v>
      </c>
      <c r="AS176" s="91">
        <f t="shared" si="47"/>
        <v>5123.8451999999997</v>
      </c>
      <c r="AT176" s="118"/>
      <c r="AU176" s="118"/>
      <c r="AV176" s="118"/>
    </row>
    <row r="177" spans="1:48" s="20" customFormat="1" x14ac:dyDescent="0.25">
      <c r="A177" s="17">
        <f>IFERROR(VLOOKUP(D177,'Monthly Deduction'!$I$3:$J$957,2,0),0)</f>
        <v>66044</v>
      </c>
      <c r="B177" s="17">
        <f>IFERROR(VLOOKUP(D177,'Monthly Deduction'!$E$3:$F$957,2,0),0)</f>
        <v>0</v>
      </c>
      <c r="C177" s="17">
        <f t="shared" si="48"/>
        <v>66044</v>
      </c>
      <c r="D177" s="41">
        <v>10070016</v>
      </c>
      <c r="E177" s="122" t="str">
        <f>VLOOKUP(D177,'MPG Payment '!$E$3:$G$498218,2,0)</f>
        <v>Gomukh Gauchhari</v>
      </c>
      <c r="F177" s="146">
        <f>IFERROR(_xlfn.XLOOKUP(D177,'Monthly Deduction'!$I$3:$I$957,'Monthly Deduction'!$H$3:$H$957),0)</f>
        <v>0</v>
      </c>
      <c r="G177" s="123" t="str">
        <f>VLOOKUP(D177,'MPG Payment '!$E$3:$G$334579,3,0)</f>
        <v>MPG</v>
      </c>
      <c r="H177" s="124" t="str">
        <f>VLOOKUP(D177,'MPG Payment '!$E$3:$H$334579,4,0)</f>
        <v>Direct</v>
      </c>
      <c r="I177" s="88">
        <f>INDEX('MPG Payment '!$C:$C,MATCH('Shayak Income '!D177,'MPG Payment '!E:E,0))</f>
        <v>1007</v>
      </c>
      <c r="J177" s="88" t="str">
        <f>INDEX('MPG Payment '!$D:$D,MATCH('Shayak Income '!D177,'MPG Payment '!E:E,0))</f>
        <v>Araria</v>
      </c>
      <c r="K177" s="125" t="s">
        <v>1322</v>
      </c>
      <c r="L177" s="125">
        <v>45103</v>
      </c>
      <c r="M177" s="126">
        <f>SUMIF('MPG Payment '!$E$3:$E$34579,'Shayak Income '!D177,'MPG Payment '!$I$3:$I$34579)</f>
        <v>1149.4000000000001</v>
      </c>
      <c r="N177" s="126">
        <f>SUMIF('MPG Payment '!$E$3:$E$34579,'Shayak Income '!D177,'MPG Payment '!$J$3:$J$34579)</f>
        <v>44139.342403770002</v>
      </c>
      <c r="O177" s="126">
        <f t="shared" si="49"/>
        <v>862.05000000000007</v>
      </c>
      <c r="P177" s="126">
        <f t="shared" si="50"/>
        <v>1091.93</v>
      </c>
      <c r="Q177" s="126">
        <f>SUMIF('MPG Payment '!$E$3:$E$34579,'Shayak Income '!D177,'MPG Payment '!$S$3:$S$34579)</f>
        <v>229.06469976600005</v>
      </c>
      <c r="R177" s="126">
        <f t="shared" si="40"/>
        <v>1324.1802721131</v>
      </c>
      <c r="S177" s="126">
        <f t="shared" si="41"/>
        <v>232.25027211309998</v>
      </c>
      <c r="T177" s="126">
        <f t="shared" si="51"/>
        <v>114.94000000000001</v>
      </c>
      <c r="U177" s="127">
        <f>(((IF(K177="New",0,SUMIF('MPG Payment '!$E$3:$E$34579,'Shayak Income '!D177,'MPG Payment '!$AC$3:$AC$34579))))+0)+0</f>
        <v>1269.7449391491027</v>
      </c>
      <c r="V177" s="127">
        <f t="shared" si="52"/>
        <v>798</v>
      </c>
      <c r="W177" s="19">
        <v>798</v>
      </c>
      <c r="X177" s="19">
        <v>0</v>
      </c>
      <c r="Y177" s="128">
        <f>IFERROR(VLOOKUP(D177,'Monthly Deduction'!$M$2:$N$64,2,0),0)</f>
        <v>0</v>
      </c>
      <c r="Z177" s="128">
        <v>0</v>
      </c>
      <c r="AA177" s="126">
        <f>IFERROR(VLOOKUP(D177,'Monthly Deduction'!A:B,2,0),0)</f>
        <v>0</v>
      </c>
      <c r="AB177" s="129">
        <f t="shared" si="43"/>
        <v>0</v>
      </c>
      <c r="AC177" s="130">
        <v>0</v>
      </c>
      <c r="AD177" s="35">
        <f t="shared" si="54"/>
        <v>0</v>
      </c>
      <c r="AE177" s="166" t="str">
        <f t="shared" si="55"/>
        <v>Release</v>
      </c>
      <c r="AF177" s="127"/>
      <c r="AG177" s="18">
        <v>0</v>
      </c>
      <c r="AH177" s="132"/>
      <c r="AI177" s="238">
        <v>0</v>
      </c>
      <c r="AJ177" s="132"/>
      <c r="AK177" s="151">
        <v>293.90000000000003</v>
      </c>
      <c r="AL177" s="154">
        <f t="shared" si="44"/>
        <v>0</v>
      </c>
      <c r="AM177" s="155"/>
      <c r="AN177" s="19">
        <f t="shared" si="45"/>
        <v>1861</v>
      </c>
      <c r="AO177" s="118">
        <f>SUMIF('MPG Payment '!E:E,'Shayak Income '!D177,'MPG Payment '!AJ:AJ)</f>
        <v>0</v>
      </c>
      <c r="AP177" s="19">
        <f t="shared" si="46"/>
        <v>798</v>
      </c>
      <c r="AQ177" s="119">
        <f t="shared" si="56"/>
        <v>798</v>
      </c>
      <c r="AR177" s="91" t="s">
        <v>1168</v>
      </c>
      <c r="AS177" s="91">
        <f t="shared" si="47"/>
        <v>0</v>
      </c>
      <c r="AT177" s="118"/>
      <c r="AU177" s="118"/>
      <c r="AV177" s="118"/>
    </row>
    <row r="178" spans="1:48" s="20" customFormat="1" x14ac:dyDescent="0.25">
      <c r="A178" s="17">
        <f>IFERROR(VLOOKUP(D178,'Monthly Deduction'!$I$3:$J$957,2,0),0)</f>
        <v>0</v>
      </c>
      <c r="B178" s="17">
        <f>IFERROR(VLOOKUP(D178,'Monthly Deduction'!$E$3:$F$957,2,0),0)</f>
        <v>0</v>
      </c>
      <c r="C178" s="17">
        <f t="shared" si="48"/>
        <v>0</v>
      </c>
      <c r="D178" s="41">
        <v>10070018</v>
      </c>
      <c r="E178" s="122" t="str">
        <f>VLOOKUP(D178,'MPG Payment '!$E$3:$G$498218,2,0)</f>
        <v>Gomukh Arariya Karjaniya</v>
      </c>
      <c r="F178" s="146">
        <f>IFERROR(_xlfn.XLOOKUP(D178,'Monthly Deduction'!$I$3:$I$957,'Monthly Deduction'!$H$3:$H$957),0)</f>
        <v>0</v>
      </c>
      <c r="G178" s="123" t="str">
        <f>VLOOKUP(D178,'MPG Payment '!$E$3:$G$334579,3,0)</f>
        <v>vlc</v>
      </c>
      <c r="H178" s="124" t="str">
        <f>VLOOKUP(D178,'MPG Payment '!$E$3:$H$334579,4,0)</f>
        <v>Indirect</v>
      </c>
      <c r="I178" s="88">
        <f>INDEX('MPG Payment '!$C:$C,MATCH('Shayak Income '!D178,'MPG Payment '!E:E,0))</f>
        <v>1007</v>
      </c>
      <c r="J178" s="88" t="str">
        <f>INDEX('MPG Payment '!$D:$D,MATCH('Shayak Income '!D178,'MPG Payment '!E:E,0))</f>
        <v>Araria</v>
      </c>
      <c r="K178" s="125" t="s">
        <v>1322</v>
      </c>
      <c r="L178" s="125">
        <v>45212</v>
      </c>
      <c r="M178" s="126">
        <f>SUMIF('MPG Payment '!$E$3:$E$34579,'Shayak Income '!D178,'MPG Payment '!$I$3:$I$34579)</f>
        <v>50128.7</v>
      </c>
      <c r="N178" s="126">
        <f>SUMIF('MPG Payment '!$E$3:$E$34579,'Shayak Income '!D178,'MPG Payment '!$J$3:$J$34579)</f>
        <v>1887149.5890573002</v>
      </c>
      <c r="O178" s="126">
        <f t="shared" si="49"/>
        <v>37596.524999999994</v>
      </c>
      <c r="P178" s="126">
        <f t="shared" si="50"/>
        <v>47622.264999999992</v>
      </c>
      <c r="Q178" s="126">
        <f>SUMIF('MPG Payment '!$E$3:$E$34579,'Shayak Income '!D178,'MPG Payment '!$S$3:$S$34579)</f>
        <v>0</v>
      </c>
      <c r="R178" s="126">
        <f t="shared" si="40"/>
        <v>56614.487671719005</v>
      </c>
      <c r="S178" s="126">
        <f t="shared" si="41"/>
        <v>8992.2226717190133</v>
      </c>
      <c r="T178" s="126">
        <f t="shared" si="51"/>
        <v>5012.87</v>
      </c>
      <c r="U178" s="127">
        <f>(((IF(K178="New",0,SUMIF('MPG Payment '!$E$3:$E$34579,'Shayak Income '!D178,'MPG Payment '!$AC$3:$AC$34579))))+0)+0</f>
        <v>0</v>
      </c>
      <c r="V178" s="127">
        <f t="shared" si="52"/>
        <v>80206</v>
      </c>
      <c r="W178" s="19">
        <f t="shared" si="53"/>
        <v>0</v>
      </c>
      <c r="X178" s="19">
        <f t="shared" si="42"/>
        <v>0</v>
      </c>
      <c r="Y178" s="128">
        <f>IFERROR(VLOOKUP(D178,'Monthly Deduction'!$M$2:$N$64,2,0),0)</f>
        <v>0</v>
      </c>
      <c r="Z178" s="128">
        <v>0</v>
      </c>
      <c r="AA178" s="126">
        <f>IFERROR(VLOOKUP(D178,'Monthly Deduction'!A:B,2,0),0)</f>
        <v>0</v>
      </c>
      <c r="AB178" s="129">
        <f t="shared" si="43"/>
        <v>80206</v>
      </c>
      <c r="AC178" s="130">
        <v>0</v>
      </c>
      <c r="AD178" s="35">
        <f t="shared" si="54"/>
        <v>80206</v>
      </c>
      <c r="AE178" s="166" t="str">
        <f t="shared" si="55"/>
        <v>Release</v>
      </c>
      <c r="AF178" s="127"/>
      <c r="AG178" s="127">
        <v>0</v>
      </c>
      <c r="AH178" s="120"/>
      <c r="AI178" s="238">
        <v>0</v>
      </c>
      <c r="AJ178" s="132"/>
      <c r="AK178" s="151">
        <v>12560.299999999997</v>
      </c>
      <c r="AL178" s="154">
        <f t="shared" si="44"/>
        <v>0</v>
      </c>
      <c r="AM178" s="155"/>
      <c r="AN178" s="19">
        <f t="shared" si="45"/>
        <v>0</v>
      </c>
      <c r="AO178" s="118">
        <f>SUMIF('MPG Payment '!E:E,'Shayak Income '!D178,'MPG Payment '!AJ:AJ)</f>
        <v>0</v>
      </c>
      <c r="AP178" s="19">
        <f t="shared" si="46"/>
        <v>0</v>
      </c>
      <c r="AQ178" s="119">
        <f t="shared" si="56"/>
        <v>0</v>
      </c>
      <c r="AR178" s="91" t="s">
        <v>1168</v>
      </c>
      <c r="AS178" s="91">
        <f t="shared" si="47"/>
        <v>0</v>
      </c>
      <c r="AT178" s="118"/>
      <c r="AU178" s="118"/>
      <c r="AV178" s="118"/>
    </row>
    <row r="179" spans="1:48" s="20" customFormat="1" x14ac:dyDescent="0.25">
      <c r="A179" s="17">
        <f>IFERROR(VLOOKUP(D179,'Monthly Deduction'!$I$3:$J$957,2,0),0)</f>
        <v>0</v>
      </c>
      <c r="B179" s="17">
        <f>IFERROR(VLOOKUP(D179,'Monthly Deduction'!$E$3:$F$957,2,0),0)</f>
        <v>0</v>
      </c>
      <c r="C179" s="17">
        <f t="shared" si="48"/>
        <v>0</v>
      </c>
      <c r="D179" s="41">
        <v>10070019</v>
      </c>
      <c r="E179" s="122" t="str">
        <f>VLOOKUP(D179,'MPG Payment '!$E$3:$G$498218,2,0)</f>
        <v>Gomukh Aariya Dummer Kothi</v>
      </c>
      <c r="F179" s="146">
        <f>IFERROR(_xlfn.XLOOKUP(D179,'Monthly Deduction'!$I$3:$I$957,'Monthly Deduction'!$H$3:$H$957),0)</f>
        <v>0</v>
      </c>
      <c r="G179" s="123" t="str">
        <f>VLOOKUP(D179,'MPG Payment '!$E$3:$G$334579,3,0)</f>
        <v>vlc</v>
      </c>
      <c r="H179" s="124" t="str">
        <f>VLOOKUP(D179,'MPG Payment '!$E$3:$H$334579,4,0)</f>
        <v>Indirect</v>
      </c>
      <c r="I179" s="88">
        <f>INDEX('MPG Payment '!$C:$C,MATCH('Shayak Income '!D179,'MPG Payment '!E:E,0))</f>
        <v>1007</v>
      </c>
      <c r="J179" s="88" t="str">
        <f>INDEX('MPG Payment '!$D:$D,MATCH('Shayak Income '!D179,'MPG Payment '!E:E,0))</f>
        <v>Araria</v>
      </c>
      <c r="K179" s="125" t="s">
        <v>1322</v>
      </c>
      <c r="L179" s="125">
        <v>45212</v>
      </c>
      <c r="M179" s="126">
        <f>SUMIF('MPG Payment '!$E$3:$E$34579,'Shayak Income '!D179,'MPG Payment '!$I$3:$I$34579)</f>
        <v>32029.699999999997</v>
      </c>
      <c r="N179" s="126">
        <f>SUMIF('MPG Payment '!$E$3:$E$34579,'Shayak Income '!D179,'MPG Payment '!$J$3:$J$34579)</f>
        <v>1196677.9879738502</v>
      </c>
      <c r="O179" s="126">
        <f t="shared" si="49"/>
        <v>24022.274999999998</v>
      </c>
      <c r="P179" s="126">
        <f t="shared" si="50"/>
        <v>30428.214999999997</v>
      </c>
      <c r="Q179" s="126">
        <f>SUMIF('MPG Payment '!$E$3:$E$34579,'Shayak Income '!D179,'MPG Payment '!$S$3:$S$34579)</f>
        <v>0</v>
      </c>
      <c r="R179" s="126">
        <f t="shared" si="40"/>
        <v>35900.339639215505</v>
      </c>
      <c r="S179" s="126">
        <f t="shared" si="41"/>
        <v>5472.1246392155081</v>
      </c>
      <c r="T179" s="126">
        <f t="shared" si="51"/>
        <v>3202.97</v>
      </c>
      <c r="U179" s="127">
        <f>(((IF(K179="New",0,SUMIF('MPG Payment '!$E$3:$E$34579,'Shayak Income '!D179,'MPG Payment '!$AC$3:$AC$34579))))+0)+0</f>
        <v>0</v>
      </c>
      <c r="V179" s="127">
        <f t="shared" si="52"/>
        <v>51248</v>
      </c>
      <c r="W179" s="19">
        <f t="shared" si="53"/>
        <v>0</v>
      </c>
      <c r="X179" s="19">
        <f t="shared" si="42"/>
        <v>0</v>
      </c>
      <c r="Y179" s="128">
        <f>IFERROR(VLOOKUP(D179,'Monthly Deduction'!$M$2:$N$64,2,0),0)</f>
        <v>0</v>
      </c>
      <c r="Z179" s="128">
        <v>0</v>
      </c>
      <c r="AA179" s="126">
        <f>IFERROR(VLOOKUP(D179,'Monthly Deduction'!A:B,2,0),0)</f>
        <v>0</v>
      </c>
      <c r="AB179" s="129">
        <f t="shared" si="43"/>
        <v>51248</v>
      </c>
      <c r="AC179" s="130">
        <v>0</v>
      </c>
      <c r="AD179" s="35">
        <f t="shared" si="54"/>
        <v>51248</v>
      </c>
      <c r="AE179" s="166" t="str">
        <f t="shared" si="55"/>
        <v>Release</v>
      </c>
      <c r="AF179" s="127"/>
      <c r="AG179" s="18">
        <v>0</v>
      </c>
      <c r="AH179" s="132"/>
      <c r="AI179" s="238">
        <v>0</v>
      </c>
      <c r="AJ179" s="132"/>
      <c r="AK179" s="151">
        <v>6553.4000000000005</v>
      </c>
      <c r="AL179" s="154">
        <f t="shared" si="44"/>
        <v>0</v>
      </c>
      <c r="AM179" s="155"/>
      <c r="AN179" s="19">
        <f t="shared" si="45"/>
        <v>0</v>
      </c>
      <c r="AO179" s="118">
        <f>SUMIF('MPG Payment '!E:E,'Shayak Income '!D179,'MPG Payment '!AJ:AJ)</f>
        <v>0</v>
      </c>
      <c r="AP179" s="19">
        <f t="shared" si="46"/>
        <v>0</v>
      </c>
      <c r="AQ179" s="119">
        <f t="shared" si="56"/>
        <v>0</v>
      </c>
      <c r="AR179" s="91" t="s">
        <v>1168</v>
      </c>
      <c r="AS179" s="91">
        <f t="shared" si="47"/>
        <v>0</v>
      </c>
      <c r="AT179" s="118"/>
      <c r="AU179" s="118"/>
      <c r="AV179" s="118"/>
    </row>
    <row r="180" spans="1:48" s="20" customFormat="1" x14ac:dyDescent="0.25">
      <c r="A180" s="17">
        <f>IFERROR(VLOOKUP(D180,'Monthly Deduction'!$I$3:$J$957,2,0),0)</f>
        <v>0</v>
      </c>
      <c r="B180" s="17">
        <f>IFERROR(VLOOKUP(D180,'Monthly Deduction'!$E$3:$F$957,2,0),0)</f>
        <v>0</v>
      </c>
      <c r="C180" s="17">
        <f t="shared" si="48"/>
        <v>0</v>
      </c>
      <c r="D180" s="41">
        <v>10070020</v>
      </c>
      <c r="E180" s="122" t="str">
        <f>VLOOKUP(D180,'MPG Payment '!$E$3:$G$498218,2,0)</f>
        <v>Gomukh Balha</v>
      </c>
      <c r="F180" s="146">
        <f>IFERROR(_xlfn.XLOOKUP(D180,'Monthly Deduction'!$I$3:$I$957,'Monthly Deduction'!$H$3:$H$957),0)</f>
        <v>0</v>
      </c>
      <c r="G180" s="123" t="str">
        <f>VLOOKUP(D180,'MPG Payment '!$E$3:$G$334579,3,0)</f>
        <v>vlc</v>
      </c>
      <c r="H180" s="124" t="str">
        <f>VLOOKUP(D180,'MPG Payment '!$E$3:$H$334579,4,0)</f>
        <v>Indirect</v>
      </c>
      <c r="I180" s="88">
        <f>INDEX('MPG Payment '!$C:$C,MATCH('Shayak Income '!D180,'MPG Payment '!E:E,0))</f>
        <v>1007</v>
      </c>
      <c r="J180" s="88" t="str">
        <f>INDEX('MPG Payment '!$D:$D,MATCH('Shayak Income '!D180,'MPG Payment '!E:E,0))</f>
        <v>Araria</v>
      </c>
      <c r="K180" s="125" t="s">
        <v>1322</v>
      </c>
      <c r="L180" s="125">
        <v>45212</v>
      </c>
      <c r="M180" s="126">
        <f>SUMIF('MPG Payment '!$E$3:$E$34579,'Shayak Income '!D180,'MPG Payment '!$I$3:$I$34579)</f>
        <v>19791.5</v>
      </c>
      <c r="N180" s="126">
        <f>SUMIF('MPG Payment '!$E$3:$E$34579,'Shayak Income '!D180,'MPG Payment '!$J$3:$J$34579)</f>
        <v>728676.59658016008</v>
      </c>
      <c r="O180" s="126">
        <f t="shared" si="49"/>
        <v>14843.625</v>
      </c>
      <c r="P180" s="126">
        <f t="shared" si="50"/>
        <v>18801.924999999999</v>
      </c>
      <c r="Q180" s="126">
        <f>SUMIF('MPG Payment '!$E$3:$E$34579,'Shayak Income '!D180,'MPG Payment '!$S$3:$S$34579)</f>
        <v>0</v>
      </c>
      <c r="R180" s="126">
        <f t="shared" si="40"/>
        <v>21860.297897404802</v>
      </c>
      <c r="S180" s="126">
        <f t="shared" si="41"/>
        <v>3058.3728974048026</v>
      </c>
      <c r="T180" s="126">
        <f t="shared" si="51"/>
        <v>1979.15</v>
      </c>
      <c r="U180" s="127">
        <f>(((IF(K180="New",0,SUMIF('MPG Payment '!$E$3:$E$34579,'Shayak Income '!D180,'MPG Payment '!$AC$3:$AC$34579))))+0)+0</f>
        <v>0</v>
      </c>
      <c r="V180" s="127">
        <f t="shared" si="52"/>
        <v>31666</v>
      </c>
      <c r="W180" s="19">
        <f t="shared" si="53"/>
        <v>0</v>
      </c>
      <c r="X180" s="19">
        <f t="shared" si="42"/>
        <v>0</v>
      </c>
      <c r="Y180" s="128">
        <f>IFERROR(VLOOKUP(D180,'Monthly Deduction'!$M$2:$N$64,2,0),0)</f>
        <v>0</v>
      </c>
      <c r="Z180" s="128">
        <v>0</v>
      </c>
      <c r="AA180" s="126">
        <f>IFERROR(VLOOKUP(D180,'Monthly Deduction'!A:B,2,0),0)</f>
        <v>0</v>
      </c>
      <c r="AB180" s="129">
        <f t="shared" si="43"/>
        <v>31666</v>
      </c>
      <c r="AC180" s="130">
        <v>0</v>
      </c>
      <c r="AD180" s="35">
        <f t="shared" si="54"/>
        <v>31666</v>
      </c>
      <c r="AE180" s="166" t="str">
        <f t="shared" si="55"/>
        <v>Release</v>
      </c>
      <c r="AF180" s="127"/>
      <c r="AG180" s="18">
        <v>0</v>
      </c>
      <c r="AH180" s="120"/>
      <c r="AI180" s="238">
        <v>0</v>
      </c>
      <c r="AJ180" s="132"/>
      <c r="AK180" s="151">
        <v>5275.4000000000005</v>
      </c>
      <c r="AL180" s="154">
        <f t="shared" si="44"/>
        <v>0</v>
      </c>
      <c r="AM180" s="155"/>
      <c r="AN180" s="19">
        <f t="shared" si="45"/>
        <v>0</v>
      </c>
      <c r="AO180" s="118">
        <f>SUMIF('MPG Payment '!E:E,'Shayak Income '!D180,'MPG Payment '!AJ:AJ)</f>
        <v>0</v>
      </c>
      <c r="AP180" s="19">
        <f t="shared" si="46"/>
        <v>0</v>
      </c>
      <c r="AQ180" s="119">
        <f t="shared" si="56"/>
        <v>0</v>
      </c>
      <c r="AR180" s="91" t="s">
        <v>1168</v>
      </c>
      <c r="AS180" s="91">
        <f t="shared" si="47"/>
        <v>0</v>
      </c>
      <c r="AT180" s="118"/>
      <c r="AU180" s="118"/>
      <c r="AV180" s="118"/>
    </row>
    <row r="181" spans="1:48" s="20" customFormat="1" x14ac:dyDescent="0.25">
      <c r="A181" s="17">
        <f>IFERROR(VLOOKUP(D181,'Monthly Deduction'!$I$3:$J$957,2,0),0)</f>
        <v>0</v>
      </c>
      <c r="B181" s="17">
        <f>IFERROR(VLOOKUP(D181,'Monthly Deduction'!$E$3:$F$957,2,0),0)</f>
        <v>0</v>
      </c>
      <c r="C181" s="17">
        <f t="shared" si="48"/>
        <v>0</v>
      </c>
      <c r="D181" s="41">
        <v>10070024</v>
      </c>
      <c r="E181" s="122" t="str">
        <f>VLOOKUP(D181,'MPG Payment '!$E$3:$G$498218,2,0)</f>
        <v>Haripur - Sanjay</v>
      </c>
      <c r="F181" s="146">
        <f>IFERROR(_xlfn.XLOOKUP(D181,'Monthly Deduction'!$I$3:$I$957,'Monthly Deduction'!$H$3:$H$957),0)</f>
        <v>0</v>
      </c>
      <c r="G181" s="123" t="str">
        <f>VLOOKUP(D181,'MPG Payment '!$E$3:$G$334579,3,0)</f>
        <v>vlc</v>
      </c>
      <c r="H181" s="124" t="str">
        <f>VLOOKUP(D181,'MPG Payment '!$E$3:$H$334579,4,0)</f>
        <v>Indirect</v>
      </c>
      <c r="I181" s="88">
        <f>INDEX('MPG Payment '!$C:$C,MATCH('Shayak Income '!D181,'MPG Payment '!E:E,0))</f>
        <v>1007</v>
      </c>
      <c r="J181" s="88" t="str">
        <f>INDEX('MPG Payment '!$D:$D,MATCH('Shayak Income '!D181,'MPG Payment '!E:E,0))</f>
        <v>Araria</v>
      </c>
      <c r="K181" s="125" t="s">
        <v>1322</v>
      </c>
      <c r="L181" s="125">
        <v>45212</v>
      </c>
      <c r="M181" s="126">
        <f>SUMIF('MPG Payment '!$E$3:$E$34579,'Shayak Income '!D181,'MPG Payment '!$I$3:$I$34579)</f>
        <v>3517.8</v>
      </c>
      <c r="N181" s="126">
        <f>SUMIF('MPG Payment '!$E$3:$E$34579,'Shayak Income '!D181,'MPG Payment '!$J$3:$J$34579)</f>
        <v>128359.16952232001</v>
      </c>
      <c r="O181" s="126">
        <f t="shared" si="49"/>
        <v>2638.3500000000004</v>
      </c>
      <c r="P181" s="126">
        <f t="shared" si="50"/>
        <v>3341.91</v>
      </c>
      <c r="Q181" s="126">
        <f>SUMIF('MPG Payment '!$E$3:$E$34579,'Shayak Income '!D181,'MPG Payment '!$S$3:$S$34579)</f>
        <v>0</v>
      </c>
      <c r="R181" s="126">
        <f t="shared" si="40"/>
        <v>3850.7750856696002</v>
      </c>
      <c r="S181" s="126">
        <f t="shared" si="41"/>
        <v>508.86508566960038</v>
      </c>
      <c r="T181" s="126">
        <f t="shared" si="51"/>
        <v>351.78000000000003</v>
      </c>
      <c r="U181" s="127">
        <f>(((IF(K181="New",0,SUMIF('MPG Payment '!$E$3:$E$34579,'Shayak Income '!D181,'MPG Payment '!$AC$3:$AC$34579))))+0)+0</f>
        <v>0</v>
      </c>
      <c r="V181" s="127">
        <f t="shared" si="52"/>
        <v>5628</v>
      </c>
      <c r="W181" s="19">
        <f t="shared" si="53"/>
        <v>0</v>
      </c>
      <c r="X181" s="19">
        <f t="shared" si="42"/>
        <v>0</v>
      </c>
      <c r="Y181" s="128">
        <f>IFERROR(VLOOKUP(D181,'Monthly Deduction'!$M$2:$N$64,2,0),0)</f>
        <v>0</v>
      </c>
      <c r="Z181" s="128">
        <v>0</v>
      </c>
      <c r="AA181" s="126">
        <f>IFERROR(VLOOKUP(D181,'Monthly Deduction'!A:B,2,0),0)</f>
        <v>0</v>
      </c>
      <c r="AB181" s="129">
        <f t="shared" si="43"/>
        <v>5628</v>
      </c>
      <c r="AC181" s="130">
        <v>0</v>
      </c>
      <c r="AD181" s="35">
        <f t="shared" si="54"/>
        <v>5628</v>
      </c>
      <c r="AE181" s="166" t="str">
        <f t="shared" si="55"/>
        <v>Release</v>
      </c>
      <c r="AF181" s="127"/>
      <c r="AG181" s="127">
        <v>0</v>
      </c>
      <c r="AH181" s="132"/>
      <c r="AI181" s="238">
        <v>0</v>
      </c>
      <c r="AJ181" s="132"/>
      <c r="AK181" s="151">
        <v>785.30000000000018</v>
      </c>
      <c r="AL181" s="154">
        <f t="shared" si="44"/>
        <v>0</v>
      </c>
      <c r="AM181" s="155"/>
      <c r="AN181" s="19">
        <f t="shared" si="45"/>
        <v>0</v>
      </c>
      <c r="AO181" s="118">
        <f>SUMIF('MPG Payment '!E:E,'Shayak Income '!D181,'MPG Payment '!AJ:AJ)</f>
        <v>0</v>
      </c>
      <c r="AP181" s="19">
        <f t="shared" si="46"/>
        <v>0</v>
      </c>
      <c r="AQ181" s="119">
        <f t="shared" si="56"/>
        <v>0</v>
      </c>
      <c r="AR181" s="91" t="s">
        <v>1168</v>
      </c>
      <c r="AS181" s="91">
        <f t="shared" si="47"/>
        <v>0</v>
      </c>
      <c r="AT181" s="118"/>
      <c r="AU181" s="118"/>
      <c r="AV181" s="118"/>
    </row>
    <row r="182" spans="1:48" s="20" customFormat="1" x14ac:dyDescent="0.25">
      <c r="A182" s="17">
        <f>IFERROR(VLOOKUP(D182,'Monthly Deduction'!$I$3:$J$957,2,0),0)</f>
        <v>0</v>
      </c>
      <c r="B182" s="17">
        <f>IFERROR(VLOOKUP(D182,'Monthly Deduction'!$E$3:$F$957,2,0),0)</f>
        <v>0</v>
      </c>
      <c r="C182" s="17">
        <f t="shared" si="48"/>
        <v>0</v>
      </c>
      <c r="D182" s="41">
        <v>10070026</v>
      </c>
      <c r="E182" s="122" t="str">
        <f>VLOOKUP(D182,'MPG Payment '!$E$3:$G$498218,2,0)</f>
        <v>Araria - Ankesh</v>
      </c>
      <c r="F182" s="146">
        <f>IFERROR(_xlfn.XLOOKUP(D182,'Monthly Deduction'!$I$3:$I$957,'Monthly Deduction'!$H$3:$H$957),0)</f>
        <v>0</v>
      </c>
      <c r="G182" s="123" t="str">
        <f>VLOOKUP(D182,'MPG Payment '!$E$3:$G$334579,3,0)</f>
        <v>vlc</v>
      </c>
      <c r="H182" s="124" t="str">
        <f>VLOOKUP(D182,'MPG Payment '!$E$3:$H$334579,4,0)</f>
        <v>Indirect</v>
      </c>
      <c r="I182" s="88">
        <f>INDEX('MPG Payment '!$C:$C,MATCH('Shayak Income '!D182,'MPG Payment '!E:E,0))</f>
        <v>1007</v>
      </c>
      <c r="J182" s="88" t="str">
        <f>INDEX('MPG Payment '!$D:$D,MATCH('Shayak Income '!D182,'MPG Payment '!E:E,0))</f>
        <v>Araria</v>
      </c>
      <c r="K182" s="125" t="s">
        <v>1322</v>
      </c>
      <c r="L182" s="125">
        <v>45212</v>
      </c>
      <c r="M182" s="126">
        <f>SUMIF('MPG Payment '!$E$3:$E$34579,'Shayak Income '!D182,'MPG Payment '!$I$3:$I$34579)</f>
        <v>4107.8999999999996</v>
      </c>
      <c r="N182" s="126">
        <f>SUMIF('MPG Payment '!$E$3:$E$34579,'Shayak Income '!D182,'MPG Payment '!$J$3:$J$34579)</f>
        <v>153833.89940808</v>
      </c>
      <c r="O182" s="126">
        <f t="shared" si="49"/>
        <v>3080.9249999999997</v>
      </c>
      <c r="P182" s="126">
        <f t="shared" si="50"/>
        <v>3902.5049999999997</v>
      </c>
      <c r="Q182" s="126">
        <f>SUMIF('MPG Payment '!$E$3:$E$34579,'Shayak Income '!D182,'MPG Payment '!$S$3:$S$34579)</f>
        <v>0</v>
      </c>
      <c r="R182" s="126">
        <f t="shared" si="40"/>
        <v>4615.0169822423995</v>
      </c>
      <c r="S182" s="126">
        <f t="shared" si="41"/>
        <v>712.51198224239988</v>
      </c>
      <c r="T182" s="126">
        <f t="shared" si="51"/>
        <v>410.78999999999996</v>
      </c>
      <c r="U182" s="127">
        <f>(((IF(K182="New",0,SUMIF('MPG Payment '!$E$3:$E$34579,'Shayak Income '!D182,'MPG Payment '!$AC$3:$AC$34579))))+0)+0</f>
        <v>8.9512666472812086</v>
      </c>
      <c r="V182" s="127">
        <f t="shared" si="52"/>
        <v>6564</v>
      </c>
      <c r="W182" s="19">
        <f t="shared" si="53"/>
        <v>0</v>
      </c>
      <c r="X182" s="19">
        <f t="shared" si="42"/>
        <v>0</v>
      </c>
      <c r="Y182" s="128">
        <f>IFERROR(VLOOKUP(D182,'Monthly Deduction'!$M$2:$N$64,2,0),0)</f>
        <v>0</v>
      </c>
      <c r="Z182" s="128">
        <v>0</v>
      </c>
      <c r="AA182" s="126">
        <f>IFERROR(VLOOKUP(D182,'Monthly Deduction'!A:B,2,0),0)</f>
        <v>0</v>
      </c>
      <c r="AB182" s="129">
        <f t="shared" si="43"/>
        <v>6564</v>
      </c>
      <c r="AC182" s="130">
        <v>0</v>
      </c>
      <c r="AD182" s="35">
        <f t="shared" si="54"/>
        <v>6564</v>
      </c>
      <c r="AE182" s="166" t="str">
        <f t="shared" si="55"/>
        <v>Release</v>
      </c>
      <c r="AF182" s="127"/>
      <c r="AG182" s="18">
        <v>0</v>
      </c>
      <c r="AH182" s="132"/>
      <c r="AI182" s="238">
        <v>0</v>
      </c>
      <c r="AJ182" s="132"/>
      <c r="AK182" s="151">
        <v>4409.6000000000004</v>
      </c>
      <c r="AL182" s="154">
        <f t="shared" si="44"/>
        <v>0</v>
      </c>
      <c r="AM182" s="155"/>
      <c r="AN182" s="19">
        <f t="shared" si="45"/>
        <v>0</v>
      </c>
      <c r="AO182" s="118">
        <f>SUMIF('MPG Payment '!E:E,'Shayak Income '!D182,'MPG Payment '!AJ:AJ)</f>
        <v>0</v>
      </c>
      <c r="AP182" s="19">
        <f t="shared" si="46"/>
        <v>0</v>
      </c>
      <c r="AQ182" s="119">
        <f t="shared" si="56"/>
        <v>0</v>
      </c>
      <c r="AR182" s="91" t="s">
        <v>1168</v>
      </c>
      <c r="AS182" s="91">
        <f t="shared" si="47"/>
        <v>0</v>
      </c>
      <c r="AT182" s="118"/>
      <c r="AU182" s="118"/>
      <c r="AV182" s="118"/>
    </row>
    <row r="183" spans="1:48" s="20" customFormat="1" x14ac:dyDescent="0.25">
      <c r="A183" s="17">
        <f>IFERROR(VLOOKUP(D183,'Monthly Deduction'!$I$3:$J$957,2,0),0)</f>
        <v>30150.826565054449</v>
      </c>
      <c r="B183" s="17">
        <f>IFERROR(VLOOKUP(D183,'Monthly Deduction'!$E$3:$F$957,2,0),0)</f>
        <v>4104.9205999999995</v>
      </c>
      <c r="C183" s="17">
        <f t="shared" si="48"/>
        <v>34255.747165054447</v>
      </c>
      <c r="D183" s="41">
        <v>10070033</v>
      </c>
      <c r="E183" s="122" t="str">
        <f>VLOOKUP(D183,'MPG Payment '!$E$3:$G$498218,2,0)</f>
        <v>Gomukh Kabela                                                                                       </v>
      </c>
      <c r="F183" s="146">
        <f>IFERROR(_xlfn.XLOOKUP(D183,'Monthly Deduction'!$I$3:$I$957,'Monthly Deduction'!$H$3:$H$957),0)</f>
        <v>0</v>
      </c>
      <c r="G183" s="123" t="str">
        <f>VLOOKUP(D183,'MPG Payment '!$E$3:$G$334579,3,0)</f>
        <v>MPG</v>
      </c>
      <c r="H183" s="124" t="str">
        <f>VLOOKUP(D183,'MPG Payment '!$E$3:$H$334579,4,0)</f>
        <v>Direct</v>
      </c>
      <c r="I183" s="88">
        <f>INDEX('MPG Payment '!$C:$C,MATCH('Shayak Income '!D183,'MPG Payment '!E:E,0))</f>
        <v>1010</v>
      </c>
      <c r="J183" s="88" t="str">
        <f>INDEX('MPG Payment '!$D:$D,MATCH('Shayak Income '!D183,'MPG Payment '!E:E,0))</f>
        <v>Parbatta</v>
      </c>
      <c r="K183" s="125" t="s">
        <v>1322</v>
      </c>
      <c r="L183" s="125">
        <v>45198</v>
      </c>
      <c r="M183" s="126">
        <f>SUMIF('MPG Payment '!$E$3:$E$34579,'Shayak Income '!D183,'MPG Payment '!$I$3:$I$34579)</f>
        <v>2065.9</v>
      </c>
      <c r="N183" s="126">
        <f>SUMIF('MPG Payment '!$E$3:$E$34579,'Shayak Income '!D183,'MPG Payment '!$J$3:$J$34579)</f>
        <v>98788.21754383693</v>
      </c>
      <c r="O183" s="126">
        <f t="shared" si="49"/>
        <v>1549.4250000000002</v>
      </c>
      <c r="P183" s="126">
        <f t="shared" si="50"/>
        <v>1962.605</v>
      </c>
      <c r="Q183" s="126">
        <f>SUMIF('MPG Payment '!$E$3:$E$34579,'Shayak Income '!D183,'MPG Payment '!$S$3:$S$34579)</f>
        <v>0</v>
      </c>
      <c r="R183" s="126">
        <f t="shared" si="40"/>
        <v>2963.6465263151076</v>
      </c>
      <c r="S183" s="126">
        <f t="shared" si="41"/>
        <v>1001.0415263151076</v>
      </c>
      <c r="T183" s="126">
        <f t="shared" si="51"/>
        <v>206.59000000000003</v>
      </c>
      <c r="U183" s="127">
        <f>(((IF(K183="New",0,SUMIF('MPG Payment '!$E$3:$E$34579,'Shayak Income '!D183,'MPG Payment '!$AC$3:$AC$34579))))+0)+0</f>
        <v>705.49508832752292</v>
      </c>
      <c r="V183" s="127">
        <f t="shared" si="52"/>
        <v>2600</v>
      </c>
      <c r="W183" s="19">
        <f t="shared" si="53"/>
        <v>1975.7643508767387</v>
      </c>
      <c r="X183" s="19">
        <v>0</v>
      </c>
      <c r="Y183" s="128">
        <v>624</v>
      </c>
      <c r="Z183" s="128">
        <v>0</v>
      </c>
      <c r="AA183" s="126">
        <v>0</v>
      </c>
      <c r="AB183" s="129">
        <f t="shared" si="43"/>
        <v>0</v>
      </c>
      <c r="AC183" s="130">
        <v>0</v>
      </c>
      <c r="AD183" s="35">
        <f t="shared" si="54"/>
        <v>0</v>
      </c>
      <c r="AE183" s="166" t="str">
        <f t="shared" si="55"/>
        <v>Release</v>
      </c>
      <c r="AF183" s="127"/>
      <c r="AG183" s="127">
        <v>0</v>
      </c>
      <c r="AH183" s="120"/>
      <c r="AI183" s="238">
        <v>0</v>
      </c>
      <c r="AJ183" s="132"/>
      <c r="AK183" s="151">
        <v>485.4</v>
      </c>
      <c r="AL183" s="154">
        <f t="shared" si="44"/>
        <v>0</v>
      </c>
      <c r="AM183" s="155"/>
      <c r="AN183" s="19">
        <f t="shared" si="45"/>
        <v>1975.7643508767387</v>
      </c>
      <c r="AO183" s="118">
        <f>SUMIF('MPG Payment '!E:E,'Shayak Income '!D183,'MPG Payment '!AJ:AJ)</f>
        <v>0</v>
      </c>
      <c r="AP183" s="19">
        <f t="shared" si="46"/>
        <v>1975.7643508767387</v>
      </c>
      <c r="AQ183" s="119">
        <f t="shared" si="56"/>
        <v>1975.7643508767387</v>
      </c>
      <c r="AR183" s="91" t="s">
        <v>1168</v>
      </c>
      <c r="AS183" s="91">
        <f t="shared" si="47"/>
        <v>4104.9205999999995</v>
      </c>
      <c r="AT183" s="118"/>
      <c r="AU183" s="118"/>
      <c r="AV183" s="118"/>
    </row>
    <row r="184" spans="1:48" s="20" customFormat="1" x14ac:dyDescent="0.25">
      <c r="A184" s="17">
        <f>IFERROR(VLOOKUP(D184,'Monthly Deduction'!$I$3:$J$957,2,0),0)</f>
        <v>0</v>
      </c>
      <c r="B184" s="17">
        <f>IFERROR(VLOOKUP(D184,'Monthly Deduction'!$E$3:$F$957,2,0),0)</f>
        <v>10628.260848452479</v>
      </c>
      <c r="C184" s="17">
        <f t="shared" si="48"/>
        <v>10628.260848452479</v>
      </c>
      <c r="D184" s="41">
        <v>10070039</v>
      </c>
      <c r="E184" s="122" t="str">
        <f>VLOOKUP(D184,'MPG Payment '!$E$3:$G$498218,2,0)</f>
        <v xml:space="preserve">Gomukh Malpa Uttari                                                                                 </v>
      </c>
      <c r="F184" s="146">
        <f>IFERROR(_xlfn.XLOOKUP(D184,'Monthly Deduction'!$I$3:$I$957,'Monthly Deduction'!$H$3:$H$957),0)</f>
        <v>0</v>
      </c>
      <c r="G184" s="123" t="str">
        <f>VLOOKUP(D184,'MPG Payment '!$E$3:$G$334579,3,0)</f>
        <v>vlc</v>
      </c>
      <c r="H184" s="124" t="str">
        <f>VLOOKUP(D184,'MPG Payment '!$E$3:$H$334579,4,0)</f>
        <v>Indirect</v>
      </c>
      <c r="I184" s="88">
        <f>INDEX('MPG Payment '!$C:$C,MATCH('Shayak Income '!D184,'MPG Payment '!E:E,0))</f>
        <v>1056</v>
      </c>
      <c r="J184" s="88" t="str">
        <f>INDEX('MPG Payment '!$D:$D,MATCH('Shayak Income '!D184,'MPG Payment '!E:E,0))</f>
        <v>Chautham</v>
      </c>
      <c r="K184" s="125" t="s">
        <v>1322</v>
      </c>
      <c r="L184" s="125">
        <v>45205</v>
      </c>
      <c r="M184" s="126">
        <f>SUMIF('MPG Payment '!$E$3:$E$34579,'Shayak Income '!D184,'MPG Payment '!$I$3:$I$34579)</f>
        <v>1026.76</v>
      </c>
      <c r="N184" s="126">
        <f>SUMIF('MPG Payment '!$E$3:$E$34579,'Shayak Income '!D184,'MPG Payment '!$J$3:$J$34579)</f>
        <v>33382.4728821104</v>
      </c>
      <c r="O184" s="126">
        <f t="shared" si="49"/>
        <v>770.06999999999994</v>
      </c>
      <c r="P184" s="126">
        <f t="shared" si="50"/>
        <v>975.42199999999991</v>
      </c>
      <c r="Q184" s="126">
        <f>SUMIF('MPG Payment '!$E$3:$E$34579,'Shayak Income '!D184,'MPG Payment '!$S$3:$S$34579)</f>
        <v>0</v>
      </c>
      <c r="R184" s="126">
        <f t="shared" si="40"/>
        <v>1001.474186463312</v>
      </c>
      <c r="S184" s="126">
        <f t="shared" si="41"/>
        <v>26.052186463312069</v>
      </c>
      <c r="T184" s="126">
        <f t="shared" si="51"/>
        <v>102.676</v>
      </c>
      <c r="U184" s="127">
        <f>(((IF(K184="New",0,SUMIF('MPG Payment '!$E$3:$E$34579,'Shayak Income '!D184,'MPG Payment '!$AC$3:$AC$34579))))+0)+0</f>
        <v>1140.3740908842776</v>
      </c>
      <c r="V184" s="127">
        <f t="shared" si="52"/>
        <v>502</v>
      </c>
      <c r="W184" s="19">
        <f t="shared" si="53"/>
        <v>0</v>
      </c>
      <c r="X184" s="19">
        <v>502</v>
      </c>
      <c r="Y184" s="128">
        <f>IFERROR(VLOOKUP(D184,'Monthly Deduction'!$M$2:$N$64,2,0),0)</f>
        <v>0</v>
      </c>
      <c r="Z184" s="128">
        <v>0</v>
      </c>
      <c r="AA184" s="126">
        <f>IFERROR(VLOOKUP(D184,'Monthly Deduction'!A:B,2,0),0)</f>
        <v>0</v>
      </c>
      <c r="AB184" s="129">
        <f t="shared" si="43"/>
        <v>0</v>
      </c>
      <c r="AC184" s="130">
        <v>0</v>
      </c>
      <c r="AD184" s="35">
        <f t="shared" si="54"/>
        <v>0</v>
      </c>
      <c r="AE184" s="166" t="str">
        <f t="shared" si="55"/>
        <v>Release</v>
      </c>
      <c r="AF184" s="127"/>
      <c r="AG184" s="127">
        <v>0</v>
      </c>
      <c r="AH184" s="120"/>
      <c r="AI184" s="238">
        <v>0</v>
      </c>
      <c r="AJ184" s="132"/>
      <c r="AK184" s="151">
        <v>121.88</v>
      </c>
      <c r="AL184" s="154">
        <f t="shared" si="44"/>
        <v>0</v>
      </c>
      <c r="AM184" s="155"/>
      <c r="AN184" s="19">
        <f t="shared" si="45"/>
        <v>0</v>
      </c>
      <c r="AO184" s="118">
        <f>SUMIF('MPG Payment '!E:E,'Shayak Income '!D184,'MPG Payment '!AJ:AJ)</f>
        <v>0</v>
      </c>
      <c r="AP184" s="19">
        <f t="shared" si="46"/>
        <v>0</v>
      </c>
      <c r="AQ184" s="119">
        <f t="shared" si="56"/>
        <v>0</v>
      </c>
      <c r="AR184" s="91" t="s">
        <v>1168</v>
      </c>
      <c r="AS184" s="91">
        <f t="shared" si="47"/>
        <v>10126.260848452479</v>
      </c>
      <c r="AT184" s="118"/>
      <c r="AU184" s="118"/>
      <c r="AV184" s="118"/>
    </row>
    <row r="185" spans="1:48" s="20" customFormat="1" x14ac:dyDescent="0.25">
      <c r="A185" s="17">
        <f>IFERROR(VLOOKUP(D185,'Monthly Deduction'!$I$3:$J$957,2,0),0)</f>
        <v>0</v>
      </c>
      <c r="B185" s="17">
        <f>IFERROR(VLOOKUP(D185,'Monthly Deduction'!$E$3:$F$957,2,0),0)</f>
        <v>0</v>
      </c>
      <c r="C185" s="17">
        <f t="shared" si="48"/>
        <v>0</v>
      </c>
      <c r="D185" s="41">
        <v>10070042</v>
      </c>
      <c r="E185" s="122" t="str">
        <f>VLOOKUP(D185,'MPG Payment '!$E$3:$G$498218,2,0)</f>
        <v>Gomukh Sapha</v>
      </c>
      <c r="F185" s="146">
        <f>IFERROR(_xlfn.XLOOKUP(D185,'Monthly Deduction'!$I$3:$I$957,'Monthly Deduction'!$H$3:$H$957),0)</f>
        <v>0</v>
      </c>
      <c r="G185" s="123" t="str">
        <f>VLOOKUP(D185,'MPG Payment '!$E$3:$G$334579,3,0)</f>
        <v>MPG</v>
      </c>
      <c r="H185" s="124" t="str">
        <f>VLOOKUP(D185,'MPG Payment '!$E$3:$H$334579,4,0)</f>
        <v>Direct</v>
      </c>
      <c r="I185" s="88">
        <f>INDEX('MPG Payment '!$C:$C,MATCH('Shayak Income '!D185,'MPG Payment '!E:E,0))</f>
        <v>1007</v>
      </c>
      <c r="J185" s="88" t="str">
        <f>INDEX('MPG Payment '!$D:$D,MATCH('Shayak Income '!D185,'MPG Payment '!E:E,0))</f>
        <v>Araria</v>
      </c>
      <c r="K185" s="125" t="s">
        <v>1322</v>
      </c>
      <c r="L185" s="125">
        <v>45323</v>
      </c>
      <c r="M185" s="126">
        <f>SUMIF('MPG Payment '!$E$3:$E$34579,'Shayak Income '!D185,'MPG Payment '!$I$3:$I$34579)</f>
        <v>676.40000000000009</v>
      </c>
      <c r="N185" s="126">
        <f>SUMIF('MPG Payment '!$E$3:$E$34579,'Shayak Income '!D185,'MPG Payment '!$J$3:$J$34579)</f>
        <v>27270.612112749997</v>
      </c>
      <c r="O185" s="126">
        <f t="shared" si="49"/>
        <v>507.30000000000007</v>
      </c>
      <c r="P185" s="126">
        <f t="shared" si="50"/>
        <v>642.58000000000004</v>
      </c>
      <c r="Q185" s="126">
        <f>SUMIF('MPG Payment '!$E$3:$E$34579,'Shayak Income '!D185,'MPG Payment '!$S$3:$S$34579)</f>
        <v>240.867761688</v>
      </c>
      <c r="R185" s="126">
        <f t="shared" si="40"/>
        <v>818.11836338249987</v>
      </c>
      <c r="S185" s="126">
        <f t="shared" si="41"/>
        <v>175.53836338249982</v>
      </c>
      <c r="T185" s="126">
        <f t="shared" si="51"/>
        <v>67.640000000000015</v>
      </c>
      <c r="U185" s="127">
        <f>(((IF(K185="New",0,SUMIF('MPG Payment '!$E$3:$E$34579,'Shayak Income '!D185,'MPG Payment '!$AC$3:$AC$34579))))+0)+-391</f>
        <v>1322.6471161269176</v>
      </c>
      <c r="V185" s="127">
        <f t="shared" si="52"/>
        <v>0</v>
      </c>
      <c r="W185" s="19">
        <v>0</v>
      </c>
      <c r="X185" s="19">
        <v>0</v>
      </c>
      <c r="Y185" s="128">
        <f>IFERROR(VLOOKUP(D185,'Monthly Deduction'!$M$2:$N$64,2,0),0)</f>
        <v>0</v>
      </c>
      <c r="Z185" s="128">
        <v>0</v>
      </c>
      <c r="AA185" s="126">
        <f>IFERROR(VLOOKUP(D185,'Monthly Deduction'!A:B,2,0),0)</f>
        <v>0</v>
      </c>
      <c r="AB185" s="129">
        <f t="shared" si="43"/>
        <v>0</v>
      </c>
      <c r="AC185" s="130">
        <v>0</v>
      </c>
      <c r="AD185" s="35">
        <f t="shared" si="54"/>
        <v>0</v>
      </c>
      <c r="AE185" s="166" t="str">
        <f t="shared" si="55"/>
        <v>Release</v>
      </c>
      <c r="AF185" s="127"/>
      <c r="AG185" s="127">
        <v>0</v>
      </c>
      <c r="AH185" s="120"/>
      <c r="AI185" s="238">
        <v>0</v>
      </c>
      <c r="AJ185" s="132"/>
      <c r="AK185" s="151">
        <v>203.99999999999997</v>
      </c>
      <c r="AL185" s="154">
        <f t="shared" si="44"/>
        <v>0</v>
      </c>
      <c r="AM185" s="155"/>
      <c r="AN185" s="19">
        <f t="shared" si="45"/>
        <v>0</v>
      </c>
      <c r="AO185" s="118">
        <f>SUMIF('MPG Payment '!E:E,'Shayak Income '!D185,'MPG Payment '!AJ:AJ)</f>
        <v>0</v>
      </c>
      <c r="AP185" s="19">
        <f t="shared" si="46"/>
        <v>0</v>
      </c>
      <c r="AQ185" s="119">
        <f t="shared" si="56"/>
        <v>0</v>
      </c>
      <c r="AR185" s="91" t="s">
        <v>1168</v>
      </c>
      <c r="AS185" s="91">
        <f t="shared" si="47"/>
        <v>0</v>
      </c>
      <c r="AT185" s="118"/>
      <c r="AU185" s="118"/>
      <c r="AV185" s="118"/>
    </row>
    <row r="186" spans="1:48" s="20" customFormat="1" x14ac:dyDescent="0.25">
      <c r="A186" s="17">
        <f>IFERROR(VLOOKUP(D186,'Monthly Deduction'!$I$3:$J$957,2,0),0)</f>
        <v>0</v>
      </c>
      <c r="B186" s="17">
        <f>IFERROR(VLOOKUP(D186,'Monthly Deduction'!$E$3:$F$957,2,0),0)</f>
        <v>0</v>
      </c>
      <c r="C186" s="17">
        <f t="shared" si="48"/>
        <v>0</v>
      </c>
      <c r="D186" s="41">
        <v>10070043</v>
      </c>
      <c r="E186" s="122" t="str">
        <f>VLOOKUP(D186,'MPG Payment '!$E$3:$G$498218,2,0)</f>
        <v>Araria</v>
      </c>
      <c r="F186" s="146">
        <f>IFERROR(_xlfn.XLOOKUP(D186,'Monthly Deduction'!$I$3:$I$957,'Monthly Deduction'!$H$3:$H$957),0)</f>
        <v>0</v>
      </c>
      <c r="G186" s="123" t="str">
        <f>VLOOKUP(D186,'MPG Payment '!$E$3:$G$334579,3,0)</f>
        <v>vlc</v>
      </c>
      <c r="H186" s="124" t="str">
        <f>VLOOKUP(D186,'MPG Payment '!$E$3:$H$334579,4,0)</f>
        <v>Indirect</v>
      </c>
      <c r="I186" s="88">
        <f>INDEX('MPG Payment '!$C:$C,MATCH('Shayak Income '!D186,'MPG Payment '!E:E,0))</f>
        <v>1007</v>
      </c>
      <c r="J186" s="88" t="str">
        <f>INDEX('MPG Payment '!$D:$D,MATCH('Shayak Income '!D186,'MPG Payment '!E:E,0))</f>
        <v>Araria</v>
      </c>
      <c r="K186" s="125" t="s">
        <v>1322</v>
      </c>
      <c r="L186" s="125">
        <v>45636</v>
      </c>
      <c r="M186" s="126">
        <f>SUMIF('MPG Payment '!$E$3:$E$34579,'Shayak Income '!D186,'MPG Payment '!$I$3:$I$34579)</f>
        <v>57680.299999999988</v>
      </c>
      <c r="N186" s="126">
        <f>SUMIF('MPG Payment '!$E$3:$E$34579,'Shayak Income '!D186,'MPG Payment '!$J$3:$J$34579)</f>
        <v>2171844.8049495998</v>
      </c>
      <c r="O186" s="126">
        <f t="shared" si="49"/>
        <v>43260.224999999991</v>
      </c>
      <c r="P186" s="126">
        <f t="shared" si="50"/>
        <v>54796.284999999989</v>
      </c>
      <c r="Q186" s="126">
        <f>SUMIF('MPG Payment '!$E$3:$E$34579,'Shayak Income '!D186,'MPG Payment '!$S$3:$S$34579)</f>
        <v>0</v>
      </c>
      <c r="R186" s="126">
        <f t="shared" si="40"/>
        <v>65155.344148487988</v>
      </c>
      <c r="S186" s="126">
        <f t="shared" si="41"/>
        <v>10359.059148487999</v>
      </c>
      <c r="T186" s="126">
        <f t="shared" si="51"/>
        <v>5768.0299999999988</v>
      </c>
      <c r="U186" s="127">
        <f>(((IF(K186="New",0,SUMIF('MPG Payment '!$E$3:$E$34579,'Shayak Income '!D186,'MPG Payment '!$AC$3:$AC$34579))))+0)+0</f>
        <v>0</v>
      </c>
      <c r="V186" s="127">
        <f t="shared" si="52"/>
        <v>92288</v>
      </c>
      <c r="W186" s="19">
        <f t="shared" si="53"/>
        <v>0</v>
      </c>
      <c r="X186" s="19">
        <f t="shared" si="42"/>
        <v>0</v>
      </c>
      <c r="Y186" s="128">
        <f>IFERROR(VLOOKUP(D186,'Monthly Deduction'!$M$2:$N$64,2,0),0)</f>
        <v>0</v>
      </c>
      <c r="Z186" s="128">
        <v>0</v>
      </c>
      <c r="AA186" s="126">
        <f>IFERROR(VLOOKUP(D186,'Monthly Deduction'!A:B,2,0),0)</f>
        <v>0</v>
      </c>
      <c r="AB186" s="129">
        <f t="shared" si="43"/>
        <v>92288</v>
      </c>
      <c r="AC186" s="130">
        <v>0</v>
      </c>
      <c r="AD186" s="35">
        <f t="shared" si="54"/>
        <v>92288</v>
      </c>
      <c r="AE186" s="166" t="str">
        <f t="shared" si="55"/>
        <v>Release</v>
      </c>
      <c r="AF186" s="127"/>
      <c r="AG186" s="18">
        <v>0</v>
      </c>
      <c r="AH186" s="132"/>
      <c r="AI186" s="238">
        <v>0</v>
      </c>
      <c r="AJ186" s="132"/>
      <c r="AK186" s="151">
        <v>12672.000000000002</v>
      </c>
      <c r="AL186" s="154">
        <f t="shared" si="44"/>
        <v>0</v>
      </c>
      <c r="AM186" s="155"/>
      <c r="AN186" s="19">
        <f t="shared" si="45"/>
        <v>0</v>
      </c>
      <c r="AO186" s="118">
        <f>SUMIF('MPG Payment '!E:E,'Shayak Income '!D186,'MPG Payment '!AJ:AJ)</f>
        <v>0</v>
      </c>
      <c r="AP186" s="19">
        <f t="shared" si="46"/>
        <v>0</v>
      </c>
      <c r="AQ186" s="119">
        <f t="shared" si="56"/>
        <v>0</v>
      </c>
      <c r="AR186" s="91" t="s">
        <v>1168</v>
      </c>
      <c r="AS186" s="91">
        <f t="shared" si="47"/>
        <v>0</v>
      </c>
      <c r="AT186" s="118"/>
      <c r="AU186" s="118"/>
      <c r="AV186" s="118"/>
    </row>
    <row r="187" spans="1:48" s="20" customFormat="1" x14ac:dyDescent="0.25">
      <c r="A187" s="17">
        <f>IFERROR(VLOOKUP(D187,'Monthly Deduction'!$I$3:$J$957,2,0),0)</f>
        <v>30381.412602822849</v>
      </c>
      <c r="B187" s="17">
        <f>IFERROR(VLOOKUP(D187,'Monthly Deduction'!$E$3:$F$957,2,0),0)</f>
        <v>21062.8194</v>
      </c>
      <c r="C187" s="17">
        <f t="shared" si="48"/>
        <v>51444.23200282285</v>
      </c>
      <c r="D187" s="41">
        <v>10070045</v>
      </c>
      <c r="E187" s="122" t="str">
        <f>VLOOKUP(D187,'MPG Payment '!$E$3:$G$498218,2,0)</f>
        <v>Gomukh Gauchhari</v>
      </c>
      <c r="F187" s="146">
        <f>IFERROR(_xlfn.XLOOKUP(D187,'Monthly Deduction'!$I$3:$I$957,'Monthly Deduction'!$H$3:$H$957),0)</f>
        <v>0</v>
      </c>
      <c r="G187" s="123" t="str">
        <f>VLOOKUP(D187,'MPG Payment '!$E$3:$G$334579,3,0)</f>
        <v>MPG</v>
      </c>
      <c r="H187" s="124" t="str">
        <f>VLOOKUP(D187,'MPG Payment '!$E$3:$H$334579,4,0)</f>
        <v>Direct</v>
      </c>
      <c r="I187" s="88">
        <f>INDEX('MPG Payment '!$C:$C,MATCH('Shayak Income '!D187,'MPG Payment '!E:E,0))</f>
        <v>1007</v>
      </c>
      <c r="J187" s="88" t="str">
        <f>INDEX('MPG Payment '!$D:$D,MATCH('Shayak Income '!D187,'MPG Payment '!E:E,0))</f>
        <v>Araria</v>
      </c>
      <c r="K187" s="125" t="s">
        <v>1322</v>
      </c>
      <c r="L187" s="125">
        <v>45646</v>
      </c>
      <c r="M187" s="126">
        <f>SUMIF('MPG Payment '!$E$3:$E$34579,'Shayak Income '!D187,'MPG Payment '!$I$3:$I$34579)</f>
        <v>633.30000000000007</v>
      </c>
      <c r="N187" s="126">
        <f>SUMIF('MPG Payment '!$E$3:$E$34579,'Shayak Income '!D187,'MPG Payment '!$J$3:$J$34579)</f>
        <v>22874.009167274002</v>
      </c>
      <c r="O187" s="126">
        <f t="shared" si="49"/>
        <v>474.97500000000002</v>
      </c>
      <c r="P187" s="126">
        <f t="shared" si="50"/>
        <v>601.63499999999999</v>
      </c>
      <c r="Q187" s="126">
        <f>SUMIF('MPG Payment '!$E$3:$E$34579,'Shayak Income '!D187,'MPG Payment '!$S$3:$S$34579)</f>
        <v>16.959842064000004</v>
      </c>
      <c r="R187" s="126">
        <f t="shared" si="40"/>
        <v>686.22027501822004</v>
      </c>
      <c r="S187" s="126">
        <f t="shared" si="41"/>
        <v>84.585275018220045</v>
      </c>
      <c r="T187" s="126">
        <f t="shared" si="51"/>
        <v>63.330000000000013</v>
      </c>
      <c r="U187" s="127">
        <f>(((IF(K187="New",0,SUMIF('MPG Payment '!$E$3:$E$34579,'Shayak Income '!D187,'MPG Payment '!$AC$3:$AC$34579))))+0)+-522</f>
        <v>1029.8175677523043</v>
      </c>
      <c r="V187" s="127">
        <f t="shared" si="52"/>
        <v>0</v>
      </c>
      <c r="W187" s="19">
        <v>0</v>
      </c>
      <c r="X187" s="19">
        <v>0</v>
      </c>
      <c r="Y187" s="128">
        <f>IFERROR(VLOOKUP(D187,'Monthly Deduction'!$M$2:$N$64,2,0),0)</f>
        <v>0</v>
      </c>
      <c r="Z187" s="128">
        <v>0</v>
      </c>
      <c r="AA187" s="126">
        <f>IFERROR(VLOOKUP(D187,'Monthly Deduction'!A:B,2,0),0)</f>
        <v>0</v>
      </c>
      <c r="AB187" s="129">
        <f t="shared" si="43"/>
        <v>0</v>
      </c>
      <c r="AC187" s="130">
        <v>0</v>
      </c>
      <c r="AD187" s="35">
        <f t="shared" si="54"/>
        <v>0</v>
      </c>
      <c r="AE187" s="166" t="str">
        <f t="shared" si="55"/>
        <v>Release</v>
      </c>
      <c r="AF187" s="127"/>
      <c r="AG187" s="18">
        <v>0</v>
      </c>
      <c r="AH187" s="132"/>
      <c r="AI187" s="238">
        <v>0</v>
      </c>
      <c r="AJ187" s="132"/>
      <c r="AK187" s="151">
        <v>30.599999999999994</v>
      </c>
      <c r="AL187" s="154">
        <f t="shared" si="44"/>
        <v>0</v>
      </c>
      <c r="AM187" s="155"/>
      <c r="AN187" s="19">
        <f t="shared" si="45"/>
        <v>1861</v>
      </c>
      <c r="AO187" s="118">
        <f>SUMIF('MPG Payment '!E:E,'Shayak Income '!D187,'MPG Payment '!AJ:AJ)</f>
        <v>0</v>
      </c>
      <c r="AP187" s="19">
        <f t="shared" si="46"/>
        <v>0</v>
      </c>
      <c r="AQ187" s="119">
        <f t="shared" si="56"/>
        <v>0</v>
      </c>
      <c r="AR187" s="91" t="s">
        <v>1168</v>
      </c>
      <c r="AS187" s="91">
        <f t="shared" si="47"/>
        <v>21062.8194</v>
      </c>
      <c r="AT187" s="118"/>
      <c r="AU187" s="118"/>
      <c r="AV187" s="118"/>
    </row>
    <row r="188" spans="1:48" s="20" customFormat="1" x14ac:dyDescent="0.25">
      <c r="A188" s="17">
        <f>IFERROR(VLOOKUP(D188,'Monthly Deduction'!$I$3:$J$957,2,0),0)</f>
        <v>0</v>
      </c>
      <c r="B188" s="17">
        <f>IFERROR(VLOOKUP(D188,'Monthly Deduction'!$E$3:$F$957,2,0),0)</f>
        <v>2318.2505999999994</v>
      </c>
      <c r="C188" s="17">
        <f t="shared" si="48"/>
        <v>2318.2505999999994</v>
      </c>
      <c r="D188" s="41">
        <v>10070046</v>
      </c>
      <c r="E188" s="122" t="str">
        <f>VLOOKUP(D188,'MPG Payment '!$E$3:$G$498218,2,0)</f>
        <v>Telouch</v>
      </c>
      <c r="F188" s="146">
        <f>IFERROR(_xlfn.XLOOKUP(D188,'Monthly Deduction'!$I$3:$I$957,'Monthly Deduction'!$H$3:$H$957),0)</f>
        <v>0</v>
      </c>
      <c r="G188" s="123" t="str">
        <f>VLOOKUP(D188,'MPG Payment '!$E$3:$G$334579,3,0)</f>
        <v>MPG</v>
      </c>
      <c r="H188" s="124" t="str">
        <f>VLOOKUP(D188,'MPG Payment '!$E$3:$H$334579,4,0)</f>
        <v>Direct</v>
      </c>
      <c r="I188" s="88">
        <f>INDEX('MPG Payment '!$C:$C,MATCH('Shayak Income '!D188,'MPG Payment '!E:E,0))</f>
        <v>1056</v>
      </c>
      <c r="J188" s="88" t="str">
        <f>INDEX('MPG Payment '!$D:$D,MATCH('Shayak Income '!D188,'MPG Payment '!E:E,0))</f>
        <v>Chautham</v>
      </c>
      <c r="K188" s="125" t="s">
        <v>1322</v>
      </c>
      <c r="L188" s="125">
        <v>45647</v>
      </c>
      <c r="M188" s="126">
        <f>SUMIF('MPG Payment '!$E$3:$E$34579,'Shayak Income '!D188,'MPG Payment '!$I$3:$I$34579)</f>
        <v>9390.24</v>
      </c>
      <c r="N188" s="126">
        <f>SUMIF('MPG Payment '!$E$3:$E$34579,'Shayak Income '!D188,'MPG Payment '!$J$3:$J$34579)</f>
        <v>358330.65318010002</v>
      </c>
      <c r="O188" s="126">
        <f t="shared" si="49"/>
        <v>7042.68</v>
      </c>
      <c r="P188" s="126">
        <f t="shared" si="50"/>
        <v>8920.7279999999992</v>
      </c>
      <c r="Q188" s="126">
        <f>SUMIF('MPG Payment '!$E$3:$E$34579,'Shayak Income '!D188,'MPG Payment '!$S$3:$S$34579)</f>
        <v>932.75984640000013</v>
      </c>
      <c r="R188" s="126">
        <f t="shared" si="40"/>
        <v>10749.919595403</v>
      </c>
      <c r="S188" s="126">
        <f t="shared" si="41"/>
        <v>1829.191595403001</v>
      </c>
      <c r="T188" s="126">
        <f t="shared" si="51"/>
        <v>939.024</v>
      </c>
      <c r="U188" s="127">
        <f>(((IF(K188="New",0,SUMIF('MPG Payment '!$E$3:$E$34579,'Shayak Income '!D188,'MPG Payment '!$AC$3:$AC$34579))))+0)+0</f>
        <v>0</v>
      </c>
      <c r="V188" s="127">
        <f t="shared" si="52"/>
        <v>15957</v>
      </c>
      <c r="W188" s="19">
        <f t="shared" si="53"/>
        <v>0</v>
      </c>
      <c r="X188" s="19">
        <f t="shared" si="42"/>
        <v>2318.2505999999994</v>
      </c>
      <c r="Y188" s="128">
        <f>IFERROR(VLOOKUP(D188,'Monthly Deduction'!$M$2:$N$64,2,0),0)</f>
        <v>0</v>
      </c>
      <c r="Z188" s="128">
        <v>0</v>
      </c>
      <c r="AA188" s="126">
        <f>IFERROR(VLOOKUP(D188,'Monthly Deduction'!A:B,2,0),0)</f>
        <v>0</v>
      </c>
      <c r="AB188" s="129">
        <f t="shared" si="43"/>
        <v>13639</v>
      </c>
      <c r="AC188" s="130">
        <v>0</v>
      </c>
      <c r="AD188" s="35">
        <f t="shared" si="54"/>
        <v>13639</v>
      </c>
      <c r="AE188" s="166" t="str">
        <f t="shared" si="55"/>
        <v>Release</v>
      </c>
      <c r="AF188" s="127"/>
      <c r="AG188" s="18">
        <v>0</v>
      </c>
      <c r="AH188" s="132"/>
      <c r="AI188" s="238">
        <v>0</v>
      </c>
      <c r="AJ188" s="132"/>
      <c r="AK188" s="151">
        <v>2507.2199999999998</v>
      </c>
      <c r="AL188" s="154">
        <f t="shared" si="44"/>
        <v>0</v>
      </c>
      <c r="AM188" s="155"/>
      <c r="AN188" s="19">
        <f t="shared" si="45"/>
        <v>0</v>
      </c>
      <c r="AO188" s="118">
        <f>SUMIF('MPG Payment '!E:E,'Shayak Income '!D188,'MPG Payment '!AJ:AJ)</f>
        <v>0</v>
      </c>
      <c r="AP188" s="19">
        <f t="shared" si="46"/>
        <v>0</v>
      </c>
      <c r="AQ188" s="119">
        <f t="shared" si="56"/>
        <v>0</v>
      </c>
      <c r="AR188" s="91" t="s">
        <v>1168</v>
      </c>
      <c r="AS188" s="91">
        <f t="shared" si="47"/>
        <v>0</v>
      </c>
      <c r="AT188" s="118"/>
      <c r="AU188" s="118"/>
      <c r="AV188" s="118"/>
    </row>
    <row r="189" spans="1:48" s="20" customFormat="1" x14ac:dyDescent="0.25">
      <c r="A189" s="17">
        <f>IFERROR(VLOOKUP(D189,'Monthly Deduction'!$I$3:$J$957,2,0),0)</f>
        <v>23614.228380001441</v>
      </c>
      <c r="B189" s="17">
        <f>IFERROR(VLOOKUP(D189,'Monthly Deduction'!$E$3:$F$957,2,0),0)</f>
        <v>614.09939999999915</v>
      </c>
      <c r="C189" s="17">
        <f t="shared" si="48"/>
        <v>24228.32778000144</v>
      </c>
      <c r="D189" s="41">
        <v>10070048</v>
      </c>
      <c r="E189" s="122" t="str">
        <f>VLOOKUP(D189,'MPG Payment '!$E$3:$G$498218,2,0)</f>
        <v>Gomukh Jhangara B</v>
      </c>
      <c r="F189" s="146">
        <f>IFERROR(_xlfn.XLOOKUP(D189,'Monthly Deduction'!$I$3:$I$957,'Monthly Deduction'!$H$3:$H$957),0)</f>
        <v>0</v>
      </c>
      <c r="G189" s="123" t="str">
        <f>VLOOKUP(D189,'MPG Payment '!$E$3:$G$334579,3,0)</f>
        <v>MPG</v>
      </c>
      <c r="H189" s="124" t="str">
        <f>VLOOKUP(D189,'MPG Payment '!$E$3:$H$334579,4,0)</f>
        <v>Direct</v>
      </c>
      <c r="I189" s="88">
        <f>INDEX('MPG Payment '!$C:$C,MATCH('Shayak Income '!D189,'MPG Payment '!E:E,0))</f>
        <v>1007</v>
      </c>
      <c r="J189" s="88" t="str">
        <f>INDEX('MPG Payment '!$D:$D,MATCH('Shayak Income '!D189,'MPG Payment '!E:E,0))</f>
        <v>Araria</v>
      </c>
      <c r="K189" s="125" t="s">
        <v>1322</v>
      </c>
      <c r="L189" s="125">
        <v>45681</v>
      </c>
      <c r="M189" s="126">
        <f>SUMIF('MPG Payment '!$E$3:$E$34579,'Shayak Income '!D189,'MPG Payment '!$I$3:$I$34579)</f>
        <v>6045.0999999999995</v>
      </c>
      <c r="N189" s="126">
        <f>SUMIF('MPG Payment '!$E$3:$E$34579,'Shayak Income '!D189,'MPG Payment '!$J$3:$J$34579)</f>
        <v>235850.53579052002</v>
      </c>
      <c r="O189" s="126">
        <f t="shared" si="49"/>
        <v>4533.8249999999998</v>
      </c>
      <c r="P189" s="126">
        <f t="shared" si="50"/>
        <v>5742.8449999999993</v>
      </c>
      <c r="Q189" s="126">
        <f>SUMIF('MPG Payment '!$E$3:$E$34579,'Shayak Income '!D189,'MPG Payment '!$S$3:$S$34579)</f>
        <v>0</v>
      </c>
      <c r="R189" s="126">
        <f t="shared" si="40"/>
        <v>7075.5160737156002</v>
      </c>
      <c r="S189" s="126">
        <f t="shared" si="41"/>
        <v>1332.6710737156009</v>
      </c>
      <c r="T189" s="126">
        <f t="shared" si="51"/>
        <v>604.51</v>
      </c>
      <c r="U189" s="127">
        <f>(((IF(K189="New",0,SUMIF('MPG Payment '!$E$3:$E$34579,'Shayak Income '!D189,'MPG Payment '!$AC$3:$AC$34579))))+0)+0</f>
        <v>0</v>
      </c>
      <c r="V189" s="127">
        <f t="shared" si="52"/>
        <v>9672</v>
      </c>
      <c r="W189" s="19">
        <f t="shared" si="53"/>
        <v>4717.0107158104001</v>
      </c>
      <c r="X189" s="19">
        <v>0</v>
      </c>
      <c r="Y189" s="128">
        <f>IFERROR(VLOOKUP(D189,'Monthly Deduction'!$M$2:$N$64,2,0),0)</f>
        <v>0</v>
      </c>
      <c r="Z189" s="128">
        <v>0</v>
      </c>
      <c r="AA189" s="126">
        <f>IFERROR(VLOOKUP(D189,'Monthly Deduction'!A:B,2,0),0)</f>
        <v>0</v>
      </c>
      <c r="AB189" s="129">
        <f t="shared" si="43"/>
        <v>4955</v>
      </c>
      <c r="AC189" s="130">
        <v>0</v>
      </c>
      <c r="AD189" s="35">
        <f t="shared" si="54"/>
        <v>4955</v>
      </c>
      <c r="AE189" s="166" t="str">
        <f t="shared" si="55"/>
        <v>Release</v>
      </c>
      <c r="AF189" s="127"/>
      <c r="AG189" s="18">
        <v>0</v>
      </c>
      <c r="AH189" s="120"/>
      <c r="AI189" s="238">
        <v>0</v>
      </c>
      <c r="AJ189" s="132"/>
      <c r="AK189" s="151">
        <v>1674.8000000000002</v>
      </c>
      <c r="AL189" s="154">
        <f t="shared" si="44"/>
        <v>0</v>
      </c>
      <c r="AM189" s="155"/>
      <c r="AN189" s="19">
        <f t="shared" si="45"/>
        <v>4717.0107158104001</v>
      </c>
      <c r="AO189" s="118">
        <f>SUMIF('MPG Payment '!E:E,'Shayak Income '!D189,'MPG Payment '!AJ:AJ)</f>
        <v>0</v>
      </c>
      <c r="AP189" s="19">
        <f t="shared" si="46"/>
        <v>4717.0107158104001</v>
      </c>
      <c r="AQ189" s="119">
        <f t="shared" si="56"/>
        <v>4717.0107158104001</v>
      </c>
      <c r="AR189" s="91"/>
      <c r="AS189" s="91">
        <f t="shared" si="47"/>
        <v>614.09939999999915</v>
      </c>
      <c r="AT189" s="118"/>
      <c r="AU189" s="118"/>
      <c r="AV189" s="118"/>
    </row>
    <row r="190" spans="1:48" s="20" customFormat="1" x14ac:dyDescent="0.25">
      <c r="A190" s="17">
        <f>IFERROR(VLOOKUP(D190,'Monthly Deduction'!$I$3:$J$957,2,0),0)</f>
        <v>0</v>
      </c>
      <c r="B190" s="17">
        <f>IFERROR(VLOOKUP(D190,'Monthly Deduction'!$E$3:$F$957,2,0),0)</f>
        <v>0</v>
      </c>
      <c r="C190" s="17">
        <f t="shared" si="48"/>
        <v>0</v>
      </c>
      <c r="D190" s="41">
        <v>10070056</v>
      </c>
      <c r="E190" s="122" t="str">
        <f>VLOOKUP(D190,'MPG Payment '!$E$3:$G$498218,2,0)</f>
        <v xml:space="preserve"> Gomukh Nauranga</v>
      </c>
      <c r="F190" s="146">
        <f>IFERROR(_xlfn.XLOOKUP(D190,'Monthly Deduction'!$I$3:$I$957,'Monthly Deduction'!$H$3:$H$957),0)</f>
        <v>0</v>
      </c>
      <c r="G190" s="123" t="str">
        <f>VLOOKUP(D190,'MPG Payment '!$E$3:$G$334579,3,0)</f>
        <v>vlc</v>
      </c>
      <c r="H190" s="124" t="str">
        <f>VLOOKUP(D190,'MPG Payment '!$E$3:$H$334579,4,0)</f>
        <v>Indirect</v>
      </c>
      <c r="I190" s="88">
        <f>INDEX('MPG Payment '!$C:$C,MATCH('Shayak Income '!D190,'MPG Payment '!E:E,0))</f>
        <v>1056</v>
      </c>
      <c r="J190" s="88" t="str">
        <f>INDEX('MPG Payment '!$D:$D,MATCH('Shayak Income '!D190,'MPG Payment '!E:E,0))</f>
        <v>Chautham</v>
      </c>
      <c r="K190" s="125" t="s">
        <v>1322</v>
      </c>
      <c r="L190" s="125">
        <v>45709</v>
      </c>
      <c r="M190" s="126">
        <f>SUMIF('MPG Payment '!$E$3:$E$34579,'Shayak Income '!D190,'MPG Payment '!$I$3:$I$34579)</f>
        <v>2141.92</v>
      </c>
      <c r="N190" s="126">
        <f>SUMIF('MPG Payment '!$E$3:$E$34579,'Shayak Income '!D190,'MPG Payment '!$J$3:$J$34579)</f>
        <v>87885.553442413002</v>
      </c>
      <c r="O190" s="126">
        <f t="shared" si="49"/>
        <v>1606.44</v>
      </c>
      <c r="P190" s="126">
        <f t="shared" si="50"/>
        <v>2034.8240000000001</v>
      </c>
      <c r="Q190" s="126">
        <f>SUMIF('MPG Payment '!$E$3:$E$34579,'Shayak Income '!D190,'MPG Payment '!$S$3:$S$34579)</f>
        <v>0</v>
      </c>
      <c r="R190" s="126">
        <f t="shared" si="40"/>
        <v>2636.5666032723898</v>
      </c>
      <c r="S190" s="126">
        <f t="shared" si="41"/>
        <v>601.74260327238972</v>
      </c>
      <c r="T190" s="126">
        <f t="shared" si="51"/>
        <v>214.19200000000001</v>
      </c>
      <c r="U190" s="127">
        <f>(((IF(K190="New",0,SUMIF('MPG Payment '!$E$3:$E$34579,'Shayak Income '!D190,'MPG Payment '!$AC$3:$AC$34579))))+0)+0</f>
        <v>554.37944952189866</v>
      </c>
      <c r="V190" s="127">
        <f t="shared" si="52"/>
        <v>2873</v>
      </c>
      <c r="W190" s="19">
        <f t="shared" si="53"/>
        <v>0</v>
      </c>
      <c r="X190" s="19">
        <f t="shared" si="42"/>
        <v>0</v>
      </c>
      <c r="Y190" s="128">
        <f>IFERROR(VLOOKUP(D190,'Monthly Deduction'!$M$2:$N$64,2,0),0)</f>
        <v>0</v>
      </c>
      <c r="Z190" s="128">
        <v>0</v>
      </c>
      <c r="AA190" s="126">
        <f>IFERROR(VLOOKUP(D190,'Monthly Deduction'!A:B,2,0),0)</f>
        <v>0</v>
      </c>
      <c r="AB190" s="129">
        <f t="shared" si="43"/>
        <v>2873</v>
      </c>
      <c r="AC190" s="130">
        <v>0</v>
      </c>
      <c r="AD190" s="35">
        <f t="shared" si="54"/>
        <v>2873</v>
      </c>
      <c r="AE190" s="166" t="str">
        <f t="shared" si="55"/>
        <v>Release</v>
      </c>
      <c r="AF190" s="127"/>
      <c r="AG190" s="18">
        <v>0</v>
      </c>
      <c r="AH190" s="120"/>
      <c r="AI190" s="238">
        <v>0</v>
      </c>
      <c r="AJ190" s="132"/>
      <c r="AK190" s="151">
        <v>568.75999999999988</v>
      </c>
      <c r="AL190" s="154">
        <f t="shared" si="44"/>
        <v>0</v>
      </c>
      <c r="AM190" s="155"/>
      <c r="AN190" s="19">
        <f t="shared" si="45"/>
        <v>0</v>
      </c>
      <c r="AO190" s="118">
        <f>SUMIF('MPG Payment '!E:E,'Shayak Income '!D190,'MPG Payment '!AJ:AJ)</f>
        <v>0</v>
      </c>
      <c r="AP190" s="19">
        <f t="shared" si="46"/>
        <v>0</v>
      </c>
      <c r="AQ190" s="119">
        <f t="shared" si="56"/>
        <v>0</v>
      </c>
      <c r="AR190" s="91"/>
      <c r="AS190" s="91">
        <f t="shared" si="47"/>
        <v>0</v>
      </c>
      <c r="AT190" s="118"/>
      <c r="AU190" s="118"/>
      <c r="AV190" s="118"/>
    </row>
    <row r="191" spans="1:48" s="20" customFormat="1" x14ac:dyDescent="0.25">
      <c r="A191" s="17">
        <f>IFERROR(VLOOKUP(D191,'Monthly Deduction'!$I$3:$J$957,2,0),0)</f>
        <v>0</v>
      </c>
      <c r="B191" s="17">
        <f>IFERROR(VLOOKUP(D191,'Monthly Deduction'!$E$3:$F$957,2,0),0)</f>
        <v>0</v>
      </c>
      <c r="C191" s="17">
        <f t="shared" si="48"/>
        <v>0</v>
      </c>
      <c r="D191" s="41">
        <v>10070059</v>
      </c>
      <c r="E191" s="122" t="str">
        <f>VLOOKUP(D191,'MPG Payment '!$E$3:$G$498218,2,0)</f>
        <v>Gomukh Pakrail Vijay Nagar VLC</v>
      </c>
      <c r="F191" s="146">
        <f>IFERROR(_xlfn.XLOOKUP(D191,'Monthly Deduction'!$I$3:$I$957,'Monthly Deduction'!$H$3:$H$957),0)</f>
        <v>0</v>
      </c>
      <c r="G191" s="123" t="str">
        <f>VLOOKUP(D191,'MPG Payment '!$E$3:$G$334579,3,0)</f>
        <v>vlc</v>
      </c>
      <c r="H191" s="124" t="str">
        <f>VLOOKUP(D191,'MPG Payment '!$E$3:$H$334579,4,0)</f>
        <v>Indirect</v>
      </c>
      <c r="I191" s="88">
        <f>INDEX('MPG Payment '!$C:$C,MATCH('Shayak Income '!D191,'MPG Payment '!E:E,0))</f>
        <v>1056</v>
      </c>
      <c r="J191" s="88" t="str">
        <f>INDEX('MPG Payment '!$D:$D,MATCH('Shayak Income '!D191,'MPG Payment '!E:E,0))</f>
        <v>Chautham</v>
      </c>
      <c r="K191" s="125" t="s">
        <v>1322</v>
      </c>
      <c r="L191" s="125">
        <v>45726</v>
      </c>
      <c r="M191" s="126">
        <f>SUMIF('MPG Payment '!$E$3:$E$34579,'Shayak Income '!D191,'MPG Payment '!$I$3:$I$34579)</f>
        <v>6641.6399999999994</v>
      </c>
      <c r="N191" s="126">
        <f>SUMIF('MPG Payment '!$E$3:$E$34579,'Shayak Income '!D191,'MPG Payment '!$J$3:$J$34579)</f>
        <v>249286.82088730199</v>
      </c>
      <c r="O191" s="126">
        <f t="shared" si="49"/>
        <v>4981.2299999999996</v>
      </c>
      <c r="P191" s="126">
        <f t="shared" si="50"/>
        <v>6309.5579999999991</v>
      </c>
      <c r="Q191" s="126">
        <f>SUMIF('MPG Payment '!$E$3:$E$34579,'Shayak Income '!D191,'MPG Payment '!$S$3:$S$34579)</f>
        <v>0</v>
      </c>
      <c r="R191" s="126">
        <f t="shared" si="40"/>
        <v>7478.6046266190597</v>
      </c>
      <c r="S191" s="126">
        <f t="shared" si="41"/>
        <v>1169.0466266190606</v>
      </c>
      <c r="T191" s="126">
        <f t="shared" si="51"/>
        <v>664.16399999999999</v>
      </c>
      <c r="U191" s="127">
        <f>(((IF(K191="New",0,SUMIF('MPG Payment '!$E$3:$E$34579,'Shayak Income '!D191,'MPG Payment '!$AC$3:$AC$34579))))+0)+0</f>
        <v>0</v>
      </c>
      <c r="V191" s="127">
        <f t="shared" si="52"/>
        <v>10627</v>
      </c>
      <c r="W191" s="19">
        <f t="shared" si="53"/>
        <v>0</v>
      </c>
      <c r="X191" s="19">
        <f t="shared" si="42"/>
        <v>0</v>
      </c>
      <c r="Y191" s="128">
        <f>IFERROR(VLOOKUP(D191,'Monthly Deduction'!$M$2:$N$64,2,0),0)</f>
        <v>0</v>
      </c>
      <c r="Z191" s="128">
        <v>0</v>
      </c>
      <c r="AA191" s="126">
        <f>IFERROR(VLOOKUP(D191,'Monthly Deduction'!A:B,2,0),0)</f>
        <v>0</v>
      </c>
      <c r="AB191" s="129">
        <f t="shared" si="43"/>
        <v>10627</v>
      </c>
      <c r="AC191" s="130">
        <v>0</v>
      </c>
      <c r="AD191" s="35">
        <f t="shared" si="54"/>
        <v>10627</v>
      </c>
      <c r="AE191" s="166" t="str">
        <f t="shared" si="55"/>
        <v>Release</v>
      </c>
      <c r="AF191" s="127"/>
      <c r="AG191" s="18">
        <v>0</v>
      </c>
      <c r="AH191" s="132"/>
      <c r="AI191" s="238">
        <v>0</v>
      </c>
      <c r="AJ191" s="132"/>
      <c r="AK191" s="151">
        <v>1444.18</v>
      </c>
      <c r="AL191" s="154">
        <f t="shared" si="44"/>
        <v>0</v>
      </c>
      <c r="AM191" s="155"/>
      <c r="AN191" s="19">
        <f t="shared" si="45"/>
        <v>0</v>
      </c>
      <c r="AO191" s="118">
        <f>SUMIF('MPG Payment '!E:E,'Shayak Income '!D191,'MPG Payment '!AJ:AJ)</f>
        <v>0</v>
      </c>
      <c r="AP191" s="19">
        <f t="shared" si="46"/>
        <v>0</v>
      </c>
      <c r="AQ191" s="119">
        <f t="shared" si="56"/>
        <v>0</v>
      </c>
      <c r="AR191" s="91" t="s">
        <v>1168</v>
      </c>
      <c r="AS191" s="91">
        <f t="shared" si="47"/>
        <v>0</v>
      </c>
      <c r="AT191" s="118"/>
      <c r="AU191" s="118"/>
      <c r="AV191" s="118"/>
    </row>
    <row r="192" spans="1:48" s="20" customFormat="1" x14ac:dyDescent="0.25">
      <c r="A192" s="17">
        <f>IFERROR(VLOOKUP(D192,'Monthly Deduction'!$I$3:$J$957,2,0),0)</f>
        <v>0</v>
      </c>
      <c r="B192" s="17">
        <f>IFERROR(VLOOKUP(D192,'Monthly Deduction'!$E$3:$F$957,2,0),0)</f>
        <v>0</v>
      </c>
      <c r="C192" s="17">
        <f t="shared" si="48"/>
        <v>0</v>
      </c>
      <c r="D192" s="41">
        <v>10070061</v>
      </c>
      <c r="E192" s="122" t="str">
        <f>VLOOKUP(D192,'MPG Payment '!$E$3:$G$498218,2,0)</f>
        <v>Gomukh Godhiyasi Nayagow VLC</v>
      </c>
      <c r="F192" s="146">
        <f>IFERROR(_xlfn.XLOOKUP(D192,'Monthly Deduction'!$I$3:$I$957,'Monthly Deduction'!$H$3:$H$957),0)</f>
        <v>0</v>
      </c>
      <c r="G192" s="123" t="str">
        <f>VLOOKUP(D192,'MPG Payment '!$E$3:$G$334579,3,0)</f>
        <v>vlc</v>
      </c>
      <c r="H192" s="124" t="str">
        <f>VLOOKUP(D192,'MPG Payment '!$E$3:$H$334579,4,0)</f>
        <v>Indirect</v>
      </c>
      <c r="I192" s="88">
        <f>INDEX('MPG Payment '!$C:$C,MATCH('Shayak Income '!D192,'MPG Payment '!E:E,0))</f>
        <v>1007</v>
      </c>
      <c r="J192" s="88" t="str">
        <f>INDEX('MPG Payment '!$D:$D,MATCH('Shayak Income '!D192,'MPG Payment '!E:E,0))</f>
        <v>Araria</v>
      </c>
      <c r="K192" s="125" t="s">
        <v>1322</v>
      </c>
      <c r="L192" s="125">
        <v>45742</v>
      </c>
      <c r="M192" s="126">
        <f>SUMIF('MPG Payment '!$E$3:$E$34579,'Shayak Income '!D192,'MPG Payment '!$I$3:$I$34579)</f>
        <v>725.09999999999991</v>
      </c>
      <c r="N192" s="126">
        <f>SUMIF('MPG Payment '!$E$3:$E$34579,'Shayak Income '!D192,'MPG Payment '!$J$3:$J$34579)</f>
        <v>24588.220191548004</v>
      </c>
      <c r="O192" s="126">
        <f t="shared" si="49"/>
        <v>543.82499999999993</v>
      </c>
      <c r="P192" s="126">
        <f t="shared" si="50"/>
        <v>688.84499999999991</v>
      </c>
      <c r="Q192" s="126">
        <f>SUMIF('MPG Payment '!$E$3:$E$34579,'Shayak Income '!D192,'MPG Payment '!$S$3:$S$34579)</f>
        <v>0</v>
      </c>
      <c r="R192" s="126">
        <f t="shared" si="40"/>
        <v>737.64660574644006</v>
      </c>
      <c r="S192" s="126">
        <f t="shared" si="41"/>
        <v>48.801605746440146</v>
      </c>
      <c r="T192" s="126">
        <f t="shared" si="51"/>
        <v>72.509999999999991</v>
      </c>
      <c r="U192" s="127">
        <f>(((IF(K192="New",0,SUMIF('MPG Payment '!$E$3:$E$34579,'Shayak Income '!D192,'MPG Payment '!$AC$3:$AC$34579))))+0)+-252</f>
        <v>1159.958446838064</v>
      </c>
      <c r="V192" s="127">
        <f t="shared" si="52"/>
        <v>0</v>
      </c>
      <c r="W192" s="19">
        <v>0</v>
      </c>
      <c r="X192" s="19">
        <v>0</v>
      </c>
      <c r="Y192" s="128">
        <f>IFERROR(VLOOKUP(D192,'Monthly Deduction'!$M$2:$N$64,2,0),0)</f>
        <v>0</v>
      </c>
      <c r="Z192" s="128">
        <v>0</v>
      </c>
      <c r="AA192" s="126">
        <v>0</v>
      </c>
      <c r="AB192" s="129">
        <f t="shared" si="43"/>
        <v>0</v>
      </c>
      <c r="AC192" s="130">
        <v>0</v>
      </c>
      <c r="AD192" s="35">
        <f t="shared" si="54"/>
        <v>0</v>
      </c>
      <c r="AE192" s="166" t="str">
        <f t="shared" si="55"/>
        <v>Release</v>
      </c>
      <c r="AF192" s="127"/>
      <c r="AG192" s="18">
        <v>0</v>
      </c>
      <c r="AH192" s="120"/>
      <c r="AI192" s="238">
        <v>0</v>
      </c>
      <c r="AJ192" s="132"/>
      <c r="AK192" s="151">
        <v>249.40000000000003</v>
      </c>
      <c r="AL192" s="154">
        <f t="shared" si="44"/>
        <v>0</v>
      </c>
      <c r="AM192" s="155"/>
      <c r="AN192" s="19">
        <f t="shared" si="45"/>
        <v>0</v>
      </c>
      <c r="AO192" s="118">
        <f>SUMIF('MPG Payment '!E:E,'Shayak Income '!D192,'MPG Payment '!AJ:AJ)</f>
        <v>0</v>
      </c>
      <c r="AP192" s="19">
        <f t="shared" si="46"/>
        <v>0</v>
      </c>
      <c r="AQ192" s="119">
        <f t="shared" si="56"/>
        <v>0</v>
      </c>
      <c r="AR192" s="91"/>
      <c r="AS192" s="91">
        <f t="shared" si="47"/>
        <v>0</v>
      </c>
      <c r="AT192" s="118"/>
      <c r="AU192" s="118"/>
      <c r="AV192" s="118"/>
    </row>
    <row r="193" spans="1:48" s="20" customFormat="1" x14ac:dyDescent="0.25">
      <c r="A193" s="17">
        <f>IFERROR(VLOOKUP(D193,'Monthly Deduction'!$I$3:$J$957,2,0),0)</f>
        <v>65433.3257323176</v>
      </c>
      <c r="B193" s="17">
        <f>IFERROR(VLOOKUP(D193,'Monthly Deduction'!$E$3:$F$957,2,0),0)</f>
        <v>0</v>
      </c>
      <c r="C193" s="17">
        <f t="shared" si="48"/>
        <v>65433.3257323176</v>
      </c>
      <c r="D193" s="41">
        <v>10070063</v>
      </c>
      <c r="E193" s="122" t="str">
        <f>VLOOKUP(D193,'MPG Payment '!$E$3:$G$498218,2,0)</f>
        <v>Gomukh Bandehra Purbi</v>
      </c>
      <c r="F193" s="146">
        <f>IFERROR(_xlfn.XLOOKUP(D193,'Monthly Deduction'!$I$3:$I$957,'Monthly Deduction'!$H$3:$H$957),0)</f>
        <v>0</v>
      </c>
      <c r="G193" s="123" t="str">
        <f>VLOOKUP(D193,'MPG Payment '!$E$3:$G$334579,3,0)</f>
        <v>MPG</v>
      </c>
      <c r="H193" s="124" t="str">
        <f>VLOOKUP(D193,'MPG Payment '!$E$3:$H$334579,4,0)</f>
        <v>Direct</v>
      </c>
      <c r="I193" s="88">
        <f>INDEX('MPG Payment '!$C:$C,MATCH('Shayak Income '!D193,'MPG Payment '!E:E,0))</f>
        <v>1010</v>
      </c>
      <c r="J193" s="88" t="str">
        <f>INDEX('MPG Payment '!$D:$D,MATCH('Shayak Income '!D193,'MPG Payment '!E:E,0))</f>
        <v>Parbatta</v>
      </c>
      <c r="K193" s="125" t="s">
        <v>1322</v>
      </c>
      <c r="L193" s="125">
        <v>45770</v>
      </c>
      <c r="M193" s="126">
        <f>SUMIF('MPG Payment '!$E$3:$E$34579,'Shayak Income '!D193,'MPG Payment '!$I$3:$I$34579)</f>
        <v>1532.8000000000002</v>
      </c>
      <c r="N193" s="126">
        <f>SUMIF('MPG Payment '!$E$3:$E$34579,'Shayak Income '!D193,'MPG Payment '!$J$3:$J$34579)</f>
        <v>58611.598672039996</v>
      </c>
      <c r="O193" s="126">
        <f t="shared" si="49"/>
        <v>1149.6000000000001</v>
      </c>
      <c r="P193" s="126">
        <f t="shared" si="50"/>
        <v>1456.16</v>
      </c>
      <c r="Q193" s="126">
        <f>SUMIF('MPG Payment '!$E$3:$E$34579,'Shayak Income '!D193,'MPG Payment '!$S$3:$S$34579)</f>
        <v>0</v>
      </c>
      <c r="R193" s="126">
        <f t="shared" si="40"/>
        <v>1758.3479601611998</v>
      </c>
      <c r="S193" s="126">
        <f t="shared" si="41"/>
        <v>302.18796016119973</v>
      </c>
      <c r="T193" s="126">
        <f t="shared" si="51"/>
        <v>153.28000000000003</v>
      </c>
      <c r="U193" s="127">
        <f>(((IF(K193="New",0,SUMIF('MPG Payment '!$E$3:$E$34579,'Shayak Income '!D193,'MPG Payment '!$AC$3:$AC$34579))))+0)+0</f>
        <v>992.87405496594442</v>
      </c>
      <c r="V193" s="127">
        <f t="shared" si="52"/>
        <v>1460</v>
      </c>
      <c r="W193" s="19">
        <v>1460</v>
      </c>
      <c r="X193" s="19">
        <v>0</v>
      </c>
      <c r="Y193" s="128">
        <f>IFERROR(VLOOKUP(D193,'Monthly Deduction'!$M$2:$N$64,2,0),0)</f>
        <v>0</v>
      </c>
      <c r="Z193" s="128">
        <v>0</v>
      </c>
      <c r="AA193" s="126">
        <f>IFERROR(VLOOKUP(D193,'Monthly Deduction'!A:B,2,0),0)</f>
        <v>0</v>
      </c>
      <c r="AB193" s="129">
        <f t="shared" si="43"/>
        <v>0</v>
      </c>
      <c r="AC193" s="130">
        <v>0</v>
      </c>
      <c r="AD193" s="35">
        <f t="shared" si="54"/>
        <v>0</v>
      </c>
      <c r="AE193" s="166" t="str">
        <f t="shared" si="55"/>
        <v>Release</v>
      </c>
      <c r="AF193" s="127"/>
      <c r="AG193" s="18">
        <v>0</v>
      </c>
      <c r="AH193" s="120"/>
      <c r="AI193" s="238">
        <v>0</v>
      </c>
      <c r="AJ193" s="132"/>
      <c r="AK193" s="151">
        <v>239.2</v>
      </c>
      <c r="AL193" s="154">
        <f t="shared" si="44"/>
        <v>0</v>
      </c>
      <c r="AM193" s="155"/>
      <c r="AN193" s="19">
        <f t="shared" si="45"/>
        <v>1861</v>
      </c>
      <c r="AO193" s="118">
        <f>SUMIF('MPG Payment '!E:E,'Shayak Income '!D193,'MPG Payment '!AJ:AJ)</f>
        <v>0</v>
      </c>
      <c r="AP193" s="19">
        <f t="shared" si="46"/>
        <v>1460</v>
      </c>
      <c r="AQ193" s="119">
        <f t="shared" si="56"/>
        <v>1460</v>
      </c>
      <c r="AR193" s="91"/>
      <c r="AS193" s="91">
        <f t="shared" si="47"/>
        <v>0</v>
      </c>
      <c r="AT193" s="118"/>
      <c r="AU193" s="118"/>
      <c r="AV193" s="118"/>
    </row>
    <row r="194" spans="1:48" s="20" customFormat="1" x14ac:dyDescent="0.25">
      <c r="A194" s="17">
        <f>IFERROR(VLOOKUP(D194,'Monthly Deduction'!$I$3:$J$957,2,0),0)</f>
        <v>60170.404455544798</v>
      </c>
      <c r="B194" s="17">
        <f>IFERROR(VLOOKUP(D194,'Monthly Deduction'!$E$3:$F$957,2,0),0)</f>
        <v>0</v>
      </c>
      <c r="C194" s="17">
        <f t="shared" si="48"/>
        <v>60170.404455544798</v>
      </c>
      <c r="D194" s="41">
        <v>10070064</v>
      </c>
      <c r="E194" s="122" t="str">
        <f>VLOOKUP(D194,'MPG Payment '!$E$3:$G$498218,2,0)</f>
        <v>Gomukh Tila Tol</v>
      </c>
      <c r="F194" s="146">
        <f>IFERROR(_xlfn.XLOOKUP(D194,'Monthly Deduction'!$I$3:$I$957,'Monthly Deduction'!$H$3:$H$957),0)</f>
        <v>0</v>
      </c>
      <c r="G194" s="123" t="str">
        <f>VLOOKUP(D194,'MPG Payment '!$E$3:$G$334579,3,0)</f>
        <v>MPG</v>
      </c>
      <c r="H194" s="124" t="str">
        <f>VLOOKUP(D194,'MPG Payment '!$E$3:$H$334579,4,0)</f>
        <v>Direct</v>
      </c>
      <c r="I194" s="88">
        <f>INDEX('MPG Payment '!$C:$C,MATCH('Shayak Income '!D194,'MPG Payment '!E:E,0))</f>
        <v>1056</v>
      </c>
      <c r="J194" s="88" t="str">
        <f>INDEX('MPG Payment '!$D:$D,MATCH('Shayak Income '!D194,'MPG Payment '!E:E,0))</f>
        <v>Chautham</v>
      </c>
      <c r="K194" s="125" t="s">
        <v>1322</v>
      </c>
      <c r="L194" s="125">
        <v>45770</v>
      </c>
      <c r="M194" s="126">
        <f>SUMIF('MPG Payment '!$E$3:$E$34579,'Shayak Income '!D194,'MPG Payment '!$I$3:$I$34579)</f>
        <v>4851.66</v>
      </c>
      <c r="N194" s="126">
        <f>SUMIF('MPG Payment '!$E$3:$E$34579,'Shayak Income '!D194,'MPG Payment '!$J$3:$J$34579)</f>
        <v>182385.07106018241</v>
      </c>
      <c r="O194" s="126">
        <f t="shared" si="49"/>
        <v>3638.7449999999999</v>
      </c>
      <c r="P194" s="126">
        <f t="shared" si="50"/>
        <v>4609.0769999999993</v>
      </c>
      <c r="Q194" s="126">
        <f>SUMIF('MPG Payment '!$E$3:$E$34579,'Shayak Income '!D194,'MPG Payment '!$S$3:$S$34579)</f>
        <v>620.50968318300011</v>
      </c>
      <c r="R194" s="126">
        <f t="shared" si="40"/>
        <v>5471.5521318054725</v>
      </c>
      <c r="S194" s="126">
        <f t="shared" si="41"/>
        <v>862.47513180547321</v>
      </c>
      <c r="T194" s="126">
        <f t="shared" si="51"/>
        <v>485.166</v>
      </c>
      <c r="U194" s="127">
        <f>(((IF(K194="New",0,SUMIF('MPG Payment '!$E$3:$E$34579,'Shayak Income '!D194,'MPG Payment '!$AC$3:$AC$34579))))+0)+0</f>
        <v>0</v>
      </c>
      <c r="V194" s="127">
        <f t="shared" si="52"/>
        <v>8383</v>
      </c>
      <c r="W194" s="19">
        <f t="shared" si="53"/>
        <v>3647.7014212036484</v>
      </c>
      <c r="X194" s="19">
        <v>0</v>
      </c>
      <c r="Y194" s="128">
        <f>IFERROR(VLOOKUP(D194,'Monthly Deduction'!$M$2:$N$64,2,0),0)</f>
        <v>0</v>
      </c>
      <c r="Z194" s="128">
        <v>0</v>
      </c>
      <c r="AA194" s="126">
        <f>IFERROR(VLOOKUP(D194,'Monthly Deduction'!A:B,2,0),0)</f>
        <v>0</v>
      </c>
      <c r="AB194" s="129">
        <f t="shared" si="43"/>
        <v>4735</v>
      </c>
      <c r="AC194" s="130">
        <v>0</v>
      </c>
      <c r="AD194" s="35">
        <f t="shared" si="54"/>
        <v>4735</v>
      </c>
      <c r="AE194" s="166" t="str">
        <f t="shared" si="55"/>
        <v>Release</v>
      </c>
      <c r="AF194" s="127"/>
      <c r="AG194" s="18">
        <v>0</v>
      </c>
      <c r="AH194" s="120"/>
      <c r="AI194" s="238">
        <v>0</v>
      </c>
      <c r="AJ194" s="132"/>
      <c r="AK194" s="151">
        <v>1072.1200000000001</v>
      </c>
      <c r="AL194" s="154">
        <f t="shared" si="44"/>
        <v>0</v>
      </c>
      <c r="AM194" s="155"/>
      <c r="AN194" s="19">
        <f t="shared" si="45"/>
        <v>3647.7014212036484</v>
      </c>
      <c r="AO194" s="118">
        <f>SUMIF('MPG Payment '!E:E,'Shayak Income '!D194,'MPG Payment '!AJ:AJ)</f>
        <v>0</v>
      </c>
      <c r="AP194" s="19">
        <f t="shared" si="46"/>
        <v>3647.7014212036484</v>
      </c>
      <c r="AQ194" s="119">
        <f t="shared" si="56"/>
        <v>3647.7014212036484</v>
      </c>
      <c r="AR194" s="91"/>
      <c r="AS194" s="91">
        <f t="shared" si="47"/>
        <v>0</v>
      </c>
      <c r="AT194" s="118"/>
      <c r="AU194" s="118"/>
      <c r="AV194" s="118"/>
    </row>
    <row r="195" spans="1:48" s="20" customFormat="1" x14ac:dyDescent="0.25">
      <c r="A195" s="17">
        <f>IFERROR(VLOOKUP(D195,'Monthly Deduction'!$I$3:$J$957,2,0),0)</f>
        <v>0</v>
      </c>
      <c r="B195" s="17">
        <f>IFERROR(VLOOKUP(D195,'Monthly Deduction'!$E$3:$F$957,2,0),0)</f>
        <v>0</v>
      </c>
      <c r="C195" s="17">
        <f t="shared" si="48"/>
        <v>0</v>
      </c>
      <c r="D195" s="41">
        <v>10070065</v>
      </c>
      <c r="E195" s="122" t="str">
        <f>VLOOKUP(D195,'MPG Payment '!$E$3:$G$498218,2,0)</f>
        <v>Gomukh Dina Chakla Vlc</v>
      </c>
      <c r="F195" s="146">
        <f>IFERROR(_xlfn.XLOOKUP(D195,'Monthly Deduction'!$I$3:$I$957,'Monthly Deduction'!$H$3:$H$957),0)</f>
        <v>0</v>
      </c>
      <c r="G195" s="123" t="str">
        <f>VLOOKUP(D195,'MPG Payment '!$E$3:$G$334579,3,0)</f>
        <v>vlc</v>
      </c>
      <c r="H195" s="124" t="str">
        <f>VLOOKUP(D195,'MPG Payment '!$E$3:$H$334579,4,0)</f>
        <v>Indirect</v>
      </c>
      <c r="I195" s="88">
        <f>INDEX('MPG Payment '!$C:$C,MATCH('Shayak Income '!D195,'MPG Payment '!E:E,0))</f>
        <v>1007</v>
      </c>
      <c r="J195" s="88" t="str">
        <f>INDEX('MPG Payment '!$D:$D,MATCH('Shayak Income '!D195,'MPG Payment '!E:E,0))</f>
        <v>Araria</v>
      </c>
      <c r="K195" s="125" t="s">
        <v>1322</v>
      </c>
      <c r="L195" s="125">
        <v>45769</v>
      </c>
      <c r="M195" s="126">
        <f>SUMIF('MPG Payment '!$E$3:$E$34579,'Shayak Income '!D195,'MPG Payment '!$I$3:$I$34579)</f>
        <v>1818</v>
      </c>
      <c r="N195" s="126">
        <f>SUMIF('MPG Payment '!$E$3:$E$34579,'Shayak Income '!D195,'MPG Payment '!$J$3:$J$34579)</f>
        <v>65503.027374090001</v>
      </c>
      <c r="O195" s="126">
        <f t="shared" si="49"/>
        <v>1363.5</v>
      </c>
      <c r="P195" s="126">
        <f t="shared" si="50"/>
        <v>1727.1</v>
      </c>
      <c r="Q195" s="126">
        <f>SUMIF('MPG Payment '!$E$3:$E$34579,'Shayak Income '!D195,'MPG Payment '!$S$3:$S$34579)</f>
        <v>0</v>
      </c>
      <c r="R195" s="126">
        <f t="shared" si="40"/>
        <v>1965.0908212227</v>
      </c>
      <c r="S195" s="126">
        <f t="shared" si="41"/>
        <v>237.99082122270011</v>
      </c>
      <c r="T195" s="126">
        <f t="shared" si="51"/>
        <v>181.8</v>
      </c>
      <c r="U195" s="127">
        <f>(((IF(K195="New",0,SUMIF('MPG Payment '!$E$3:$E$34579,'Shayak Income '!D195,'MPG Payment '!$AC$3:$AC$34579))))+0)+0</f>
        <v>713.17549547033332</v>
      </c>
      <c r="V195" s="127">
        <f t="shared" si="52"/>
        <v>2196</v>
      </c>
      <c r="W195" s="19">
        <f t="shared" si="53"/>
        <v>0</v>
      </c>
      <c r="X195" s="19">
        <f t="shared" si="42"/>
        <v>0</v>
      </c>
      <c r="Y195" s="128">
        <f>IFERROR(VLOOKUP(D195,'Monthly Deduction'!$M$2:$N$64,2,0),0)</f>
        <v>0</v>
      </c>
      <c r="Z195" s="128">
        <v>0</v>
      </c>
      <c r="AA195" s="126">
        <f>IFERROR(VLOOKUP(D195,'Monthly Deduction'!A:B,2,0),0)</f>
        <v>0</v>
      </c>
      <c r="AB195" s="129">
        <f t="shared" si="43"/>
        <v>2196</v>
      </c>
      <c r="AC195" s="130">
        <v>0</v>
      </c>
      <c r="AD195" s="35">
        <f t="shared" si="54"/>
        <v>2196</v>
      </c>
      <c r="AE195" s="166" t="str">
        <f t="shared" si="55"/>
        <v>Release</v>
      </c>
      <c r="AF195" s="127"/>
      <c r="AG195" s="127">
        <v>0</v>
      </c>
      <c r="AH195" s="132"/>
      <c r="AI195" s="238">
        <v>0</v>
      </c>
      <c r="AJ195" s="132"/>
      <c r="AK195" s="151">
        <v>237.10000000000002</v>
      </c>
      <c r="AL195" s="154">
        <f t="shared" si="44"/>
        <v>0</v>
      </c>
      <c r="AM195" s="155"/>
      <c r="AN195" s="19">
        <f t="shared" si="45"/>
        <v>0</v>
      </c>
      <c r="AO195" s="118">
        <f>SUMIF('MPG Payment '!E:E,'Shayak Income '!D195,'MPG Payment '!AJ:AJ)</f>
        <v>0</v>
      </c>
      <c r="AP195" s="19">
        <f t="shared" si="46"/>
        <v>0</v>
      </c>
      <c r="AQ195" s="119">
        <f t="shared" si="56"/>
        <v>0</v>
      </c>
      <c r="AR195" s="91" t="s">
        <v>1168</v>
      </c>
      <c r="AS195" s="91">
        <f t="shared" si="47"/>
        <v>0</v>
      </c>
      <c r="AT195" s="118"/>
      <c r="AU195" s="118"/>
      <c r="AV195" s="118"/>
    </row>
    <row r="196" spans="1:48" s="20" customFormat="1" x14ac:dyDescent="0.25">
      <c r="A196" s="17">
        <f>IFERROR(VLOOKUP(D196,'Monthly Deduction'!$I$3:$J$957,2,0),0)</f>
        <v>0</v>
      </c>
      <c r="B196" s="17">
        <f>IFERROR(VLOOKUP(D196,'Monthly Deduction'!$E$3:$F$957,2,0),0)</f>
        <v>0</v>
      </c>
      <c r="C196" s="17">
        <f t="shared" si="48"/>
        <v>0</v>
      </c>
      <c r="D196" s="41">
        <v>10070074</v>
      </c>
      <c r="E196" s="122" t="str">
        <f>VLOOKUP(D196,'MPG Payment '!$E$3:$G$498218,2,0)</f>
        <v>Gomukh Gogri VLC</v>
      </c>
      <c r="F196" s="146">
        <f>IFERROR(_xlfn.XLOOKUP(D196,'Monthly Deduction'!$I$3:$I$957,'Monthly Deduction'!$H$3:$H$957),0)</f>
        <v>0</v>
      </c>
      <c r="G196" s="123" t="str">
        <f>VLOOKUP(D196,'MPG Payment '!$E$3:$G$334579,3,0)</f>
        <v>vlc</v>
      </c>
      <c r="H196" s="124" t="str">
        <f>VLOOKUP(D196,'MPG Payment '!$E$3:$H$334579,4,0)</f>
        <v>Indirect</v>
      </c>
      <c r="I196" s="88">
        <f>INDEX('MPG Payment '!$C:$C,MATCH('Shayak Income '!D196,'MPG Payment '!E:E,0))</f>
        <v>1007</v>
      </c>
      <c r="J196" s="88" t="str">
        <f>INDEX('MPG Payment '!$D:$D,MATCH('Shayak Income '!D196,'MPG Payment '!E:E,0))</f>
        <v>Araria</v>
      </c>
      <c r="K196" s="125" t="s">
        <v>1322</v>
      </c>
      <c r="L196" s="125">
        <v>45869</v>
      </c>
      <c r="M196" s="126">
        <f>SUMIF('MPG Payment '!$E$3:$E$34579,'Shayak Income '!D196,'MPG Payment '!$I$3:$I$34579)</f>
        <v>1293.5</v>
      </c>
      <c r="N196" s="126">
        <f>SUMIF('MPG Payment '!$E$3:$E$34579,'Shayak Income '!D196,'MPG Payment '!$J$3:$J$34579)</f>
        <v>39933.554664641997</v>
      </c>
      <c r="O196" s="126">
        <f t="shared" si="49"/>
        <v>970.125</v>
      </c>
      <c r="P196" s="126">
        <f t="shared" si="50"/>
        <v>1228.825</v>
      </c>
      <c r="Q196" s="126">
        <f>SUMIF('MPG Payment '!$E$3:$E$34579,'Shayak Income '!D196,'MPG Payment '!$S$3:$S$34579)</f>
        <v>0</v>
      </c>
      <c r="R196" s="126">
        <f t="shared" ref="R196:R259" si="58">+N196*3%</f>
        <v>1198.0066399392599</v>
      </c>
      <c r="S196" s="126">
        <f t="shared" ref="S196:S259" si="59">R196-P196</f>
        <v>-30.818360060740133</v>
      </c>
      <c r="T196" s="126">
        <f t="shared" si="51"/>
        <v>129.35</v>
      </c>
      <c r="U196" s="127">
        <f>(((IF(K196="New",0,SUMIF('MPG Payment '!$E$3:$E$34579,'Shayak Income '!D196,'MPG Payment '!$AC$3:$AC$34579))))+0)+0</f>
        <v>948.18114389990387</v>
      </c>
      <c r="V196" s="127">
        <f t="shared" si="52"/>
        <v>1121</v>
      </c>
      <c r="W196" s="19">
        <f t="shared" si="53"/>
        <v>0</v>
      </c>
      <c r="X196" s="19">
        <f t="shared" ref="X196:X259" si="60">((MIN(IF(B196&gt;0,MAX(N196*2%),0),B196)))+0</f>
        <v>0</v>
      </c>
      <c r="Y196" s="128">
        <f>IFERROR(VLOOKUP(D196,'Monthly Deduction'!$M$2:$N$64,2,0),0)</f>
        <v>0</v>
      </c>
      <c r="Z196" s="128">
        <v>0</v>
      </c>
      <c r="AA196" s="126">
        <f>IFERROR(VLOOKUP(D196,'Monthly Deduction'!A:B,2,0),0)</f>
        <v>0</v>
      </c>
      <c r="AB196" s="129">
        <f t="shared" ref="AB196:AB259" si="61">ROUND(IFERROR(V196-SUM(W196:AA196),0),0)</f>
        <v>1121</v>
      </c>
      <c r="AC196" s="130">
        <v>0</v>
      </c>
      <c r="AD196" s="35">
        <f t="shared" si="54"/>
        <v>1121</v>
      </c>
      <c r="AE196" s="166" t="str">
        <f t="shared" si="55"/>
        <v>Release</v>
      </c>
      <c r="AF196" s="127"/>
      <c r="AG196" s="18">
        <v>0</v>
      </c>
      <c r="AH196" s="120"/>
      <c r="AI196" s="238">
        <v>0</v>
      </c>
      <c r="AJ196" s="132"/>
      <c r="AK196" s="151">
        <v>334.7</v>
      </c>
      <c r="AL196" s="154">
        <f t="shared" ref="AL196:AL259" si="62">COUNTIF(AK196:AK196,"=NA")</f>
        <v>0</v>
      </c>
      <c r="AM196" s="155"/>
      <c r="AN196" s="19">
        <f t="shared" ref="AN196:AN259" si="63">((MIN(IF(A196&gt;0,MAX(N196*2%,1861),0),A196)))+0</f>
        <v>0</v>
      </c>
      <c r="AO196" s="118">
        <f>SUMIF('MPG Payment '!E:E,'Shayak Income '!D196,'MPG Payment '!AJ:AJ)</f>
        <v>0</v>
      </c>
      <c r="AP196" s="19">
        <f t="shared" ref="AP196:AP259" si="64">W196</f>
        <v>0</v>
      </c>
      <c r="AQ196" s="119">
        <f t="shared" si="56"/>
        <v>0</v>
      </c>
      <c r="AR196" s="91" t="s">
        <v>1168</v>
      </c>
      <c r="AS196" s="91">
        <f t="shared" ref="AS196:AS259" si="65">B196-X196</f>
        <v>0</v>
      </c>
      <c r="AT196" s="118"/>
      <c r="AU196" s="118"/>
      <c r="AV196" s="118"/>
    </row>
    <row r="197" spans="1:48" s="20" customFormat="1" x14ac:dyDescent="0.25">
      <c r="A197" s="17">
        <f>IFERROR(VLOOKUP(D197,'Monthly Deduction'!$I$3:$J$957,2,0),0)</f>
        <v>0</v>
      </c>
      <c r="B197" s="17">
        <f>IFERROR(VLOOKUP(D197,'Monthly Deduction'!$E$3:$F$957,2,0),0)</f>
        <v>0</v>
      </c>
      <c r="C197" s="17">
        <f t="shared" ref="C197:C260" si="66">A197+B197</f>
        <v>0</v>
      </c>
      <c r="D197" s="41">
        <v>10070076</v>
      </c>
      <c r="E197" s="122" t="str">
        <f>VLOOKUP(D197,'MPG Payment '!$E$3:$G$498218,2,0)</f>
        <v>Gomukh Sondiha Jay Prakash VLC</v>
      </c>
      <c r="F197" s="146">
        <f>IFERROR(_xlfn.XLOOKUP(D197,'Monthly Deduction'!$I$3:$I$957,'Monthly Deduction'!$H$3:$H$957),0)</f>
        <v>0</v>
      </c>
      <c r="G197" s="123" t="str">
        <f>VLOOKUP(D197,'MPG Payment '!$E$3:$G$334579,3,0)</f>
        <v>vlc</v>
      </c>
      <c r="H197" s="124" t="str">
        <f>VLOOKUP(D197,'MPG Payment '!$E$3:$H$334579,4,0)</f>
        <v>Indirect</v>
      </c>
      <c r="I197" s="88">
        <f>INDEX('MPG Payment '!$C:$C,MATCH('Shayak Income '!D197,'MPG Payment '!E:E,0))</f>
        <v>1007</v>
      </c>
      <c r="J197" s="88" t="str">
        <f>INDEX('MPG Payment '!$D:$D,MATCH('Shayak Income '!D197,'MPG Payment '!E:E,0))</f>
        <v>Araria</v>
      </c>
      <c r="K197" s="125" t="s">
        <v>1322</v>
      </c>
      <c r="L197" s="125">
        <v>45881</v>
      </c>
      <c r="M197" s="126">
        <f>SUMIF('MPG Payment '!$E$3:$E$34579,'Shayak Income '!D197,'MPG Payment '!$I$3:$I$34579)</f>
        <v>1662.2</v>
      </c>
      <c r="N197" s="126">
        <f>SUMIF('MPG Payment '!$E$3:$E$34579,'Shayak Income '!D197,'MPG Payment '!$J$3:$J$34579)</f>
        <v>56243.121630856505</v>
      </c>
      <c r="O197" s="126">
        <f t="shared" ref="O197:O260" si="67">+M197*0.75</f>
        <v>1246.6500000000001</v>
      </c>
      <c r="P197" s="126">
        <f t="shared" ref="P197:P260" si="68">+M197*0.95</f>
        <v>1579.09</v>
      </c>
      <c r="Q197" s="126">
        <f>SUMIF('MPG Payment '!$E$3:$E$34579,'Shayak Income '!D197,'MPG Payment '!$S$3:$S$34579)</f>
        <v>0</v>
      </c>
      <c r="R197" s="126">
        <f t="shared" si="58"/>
        <v>1687.2936489256952</v>
      </c>
      <c r="S197" s="126">
        <f t="shared" si="59"/>
        <v>108.20364892569523</v>
      </c>
      <c r="T197" s="126">
        <f t="shared" ref="T197:T260" si="69">M197*0.1</f>
        <v>166.22000000000003</v>
      </c>
      <c r="U197" s="127">
        <f>(((IF(K197="New",0,SUMIF('MPG Payment '!$E$3:$E$34579,'Shayak Income '!D197,'MPG Payment '!$AC$3:$AC$34579))))+0)+0</f>
        <v>775.58333666327599</v>
      </c>
      <c r="V197" s="127">
        <f t="shared" ref="V197:V260" si="70">ROUND((SUM(O197:Q197)-SUM(T197:U197)),0)</f>
        <v>1884</v>
      </c>
      <c r="W197" s="19">
        <f t="shared" ref="W197:W260" si="71">(((AN197-AO197)))+0</f>
        <v>0</v>
      </c>
      <c r="X197" s="19">
        <f t="shared" si="60"/>
        <v>0</v>
      </c>
      <c r="Y197" s="128">
        <f>IFERROR(VLOOKUP(D197,'Monthly Deduction'!$M$2:$N$64,2,0),0)</f>
        <v>0</v>
      </c>
      <c r="Z197" s="128">
        <v>0</v>
      </c>
      <c r="AA197" s="126">
        <f>IFERROR(VLOOKUP(D197,'Monthly Deduction'!A:B,2,0),0)</f>
        <v>0</v>
      </c>
      <c r="AB197" s="129">
        <f t="shared" si="61"/>
        <v>1884</v>
      </c>
      <c r="AC197" s="130">
        <v>0</v>
      </c>
      <c r="AD197" s="35">
        <f t="shared" ref="AD197:AD260" si="72">ROUND(AB197-AC197,0)</f>
        <v>1884</v>
      </c>
      <c r="AE197" s="166" t="str">
        <f t="shared" ref="AE197:AE260" si="73">IF(AC197&lt;&gt;0,"Yes","Release")</f>
        <v>Release</v>
      </c>
      <c r="AF197" s="127"/>
      <c r="AG197" s="18">
        <v>0</v>
      </c>
      <c r="AH197" s="120"/>
      <c r="AI197" s="238">
        <v>0</v>
      </c>
      <c r="AJ197" s="132"/>
      <c r="AK197" s="151">
        <v>81.100000000000009</v>
      </c>
      <c r="AL197" s="154">
        <f t="shared" si="62"/>
        <v>0</v>
      </c>
      <c r="AM197" s="155"/>
      <c r="AN197" s="19">
        <f t="shared" si="63"/>
        <v>0</v>
      </c>
      <c r="AO197" s="118">
        <f>SUMIF('MPG Payment '!E:E,'Shayak Income '!D197,'MPG Payment '!AJ:AJ)</f>
        <v>0</v>
      </c>
      <c r="AP197" s="19">
        <f t="shared" si="64"/>
        <v>0</v>
      </c>
      <c r="AQ197" s="119">
        <f t="shared" ref="AQ197:AQ260" si="74">AO197+AP197</f>
        <v>0</v>
      </c>
      <c r="AR197" s="91" t="s">
        <v>1168</v>
      </c>
      <c r="AS197" s="91">
        <f t="shared" si="65"/>
        <v>0</v>
      </c>
      <c r="AT197" s="118"/>
      <c r="AU197" s="118"/>
      <c r="AV197" s="118"/>
    </row>
    <row r="198" spans="1:48" s="20" customFormat="1" x14ac:dyDescent="0.25">
      <c r="A198" s="17">
        <f>IFERROR(VLOOKUP(D198,'Monthly Deduction'!$I$3:$J$957,2,0),0)</f>
        <v>0</v>
      </c>
      <c r="B198" s="17">
        <f>IFERROR(VLOOKUP(D198,'Monthly Deduction'!$E$3:$F$957,2,0),0)</f>
        <v>0</v>
      </c>
      <c r="C198" s="17">
        <f t="shared" si="66"/>
        <v>0</v>
      </c>
      <c r="D198" s="41">
        <v>10080001</v>
      </c>
      <c r="E198" s="122" t="str">
        <f>VLOOKUP(D198,'MPG Payment '!$E$3:$G$498218,2,0)</f>
        <v>Chak Punervas</v>
      </c>
      <c r="F198" s="146">
        <f>IFERROR(_xlfn.XLOOKUP(D198,'Monthly Deduction'!$I$3:$I$957,'Monthly Deduction'!$H$3:$H$957),0)</f>
        <v>0</v>
      </c>
      <c r="G198" s="123" t="str">
        <f>VLOOKUP(D198,'MPG Payment '!$E$3:$G$334579,3,0)</f>
        <v>vlc</v>
      </c>
      <c r="H198" s="124" t="str">
        <f>VLOOKUP(D198,'MPG Payment '!$E$3:$H$334579,4,0)</f>
        <v>Indirect</v>
      </c>
      <c r="I198" s="88">
        <f>INDEX('MPG Payment '!$C:$C,MATCH('Shayak Income '!D198,'MPG Payment '!E:E,0))</f>
        <v>1055</v>
      </c>
      <c r="J198" s="88" t="str">
        <f>INDEX('MPG Payment '!$D:$D,MATCH('Shayak Income '!D198,'MPG Payment '!E:E,0))</f>
        <v>Matihani</v>
      </c>
      <c r="K198" s="125" t="s">
        <v>1322</v>
      </c>
      <c r="L198" s="125">
        <v>42996</v>
      </c>
      <c r="M198" s="126">
        <f>SUMIF('MPG Payment '!$E$3:$E$34579,'Shayak Income '!D198,'MPG Payment '!$I$3:$I$34579)</f>
        <v>4794.1000000000004</v>
      </c>
      <c r="N198" s="126">
        <f>SUMIF('MPG Payment '!$E$3:$E$34579,'Shayak Income '!D198,'MPG Payment '!$J$3:$J$34579)</f>
        <v>172047.73466366599</v>
      </c>
      <c r="O198" s="126">
        <f t="shared" si="67"/>
        <v>3595.5750000000003</v>
      </c>
      <c r="P198" s="126">
        <f t="shared" si="68"/>
        <v>4554.3950000000004</v>
      </c>
      <c r="Q198" s="126">
        <f>SUMIF('MPG Payment '!$E$3:$E$34579,'Shayak Income '!D198,'MPG Payment '!$S$3:$S$34579)</f>
        <v>0</v>
      </c>
      <c r="R198" s="126">
        <f t="shared" si="58"/>
        <v>5161.4320399099797</v>
      </c>
      <c r="S198" s="126">
        <f t="shared" si="59"/>
        <v>607.03703990997928</v>
      </c>
      <c r="T198" s="126">
        <f t="shared" si="69"/>
        <v>479.41000000000008</v>
      </c>
      <c r="U198" s="127">
        <f>(((IF(K198="New",0,SUMIF('MPG Payment '!$E$3:$E$34579,'Shayak Income '!D198,'MPG Payment '!$AC$3:$AC$34579))))+0)+0</f>
        <v>0</v>
      </c>
      <c r="V198" s="127">
        <f t="shared" si="70"/>
        <v>7671</v>
      </c>
      <c r="W198" s="19">
        <f t="shared" si="71"/>
        <v>0</v>
      </c>
      <c r="X198" s="19">
        <f t="shared" si="60"/>
        <v>0</v>
      </c>
      <c r="Y198" s="128">
        <f>IFERROR(VLOOKUP(D198,'Monthly Deduction'!$M$2:$N$64,2,0),0)</f>
        <v>0</v>
      </c>
      <c r="Z198" s="128">
        <v>0</v>
      </c>
      <c r="AA198" s="126">
        <f>IFERROR(VLOOKUP(D198,'Monthly Deduction'!A:B,2,0),0)</f>
        <v>0</v>
      </c>
      <c r="AB198" s="129">
        <f t="shared" si="61"/>
        <v>7671</v>
      </c>
      <c r="AC198" s="130">
        <v>0</v>
      </c>
      <c r="AD198" s="35">
        <f t="shared" si="72"/>
        <v>7671</v>
      </c>
      <c r="AE198" s="166" t="str">
        <f t="shared" si="73"/>
        <v>Release</v>
      </c>
      <c r="AF198" s="127"/>
      <c r="AG198" s="18">
        <v>0</v>
      </c>
      <c r="AH198" s="120"/>
      <c r="AI198" s="238">
        <v>0</v>
      </c>
      <c r="AJ198" s="132"/>
      <c r="AK198" s="151">
        <v>785.20000000000016</v>
      </c>
      <c r="AL198" s="154">
        <f t="shared" si="62"/>
        <v>0</v>
      </c>
      <c r="AM198" s="155"/>
      <c r="AN198" s="19">
        <f t="shared" si="63"/>
        <v>0</v>
      </c>
      <c r="AO198" s="118">
        <f>SUMIF('MPG Payment '!E:E,'Shayak Income '!D198,'MPG Payment '!AJ:AJ)</f>
        <v>0</v>
      </c>
      <c r="AP198" s="19">
        <f t="shared" si="64"/>
        <v>0</v>
      </c>
      <c r="AQ198" s="119">
        <f t="shared" si="74"/>
        <v>0</v>
      </c>
      <c r="AR198" s="91" t="s">
        <v>1168</v>
      </c>
      <c r="AS198" s="91">
        <f t="shared" si="65"/>
        <v>0</v>
      </c>
      <c r="AT198" s="118"/>
      <c r="AU198" s="118"/>
      <c r="AV198" s="118"/>
    </row>
    <row r="199" spans="1:48" s="20" customFormat="1" x14ac:dyDescent="0.25">
      <c r="A199" s="17">
        <f>IFERROR(VLOOKUP(D199,'Monthly Deduction'!$I$3:$J$957,2,0),0)</f>
        <v>0</v>
      </c>
      <c r="B199" s="17">
        <f>IFERROR(VLOOKUP(D199,'Monthly Deduction'!$E$3:$F$957,2,0),0)</f>
        <v>0</v>
      </c>
      <c r="C199" s="17">
        <f t="shared" si="66"/>
        <v>0</v>
      </c>
      <c r="D199" s="41">
        <v>10080002</v>
      </c>
      <c r="E199" s="122" t="str">
        <f>VLOOKUP(D199,'MPG Payment '!$E$3:$G$498218,2,0)</f>
        <v>Labherchak</v>
      </c>
      <c r="F199" s="146">
        <f>IFERROR(_xlfn.XLOOKUP(D199,'Monthly Deduction'!$I$3:$I$957,'Monthly Deduction'!$H$3:$H$957),0)</f>
        <v>0</v>
      </c>
      <c r="G199" s="123" t="str">
        <f>VLOOKUP(D199,'MPG Payment '!$E$3:$G$334579,3,0)</f>
        <v>vlc</v>
      </c>
      <c r="H199" s="124" t="str">
        <f>VLOOKUP(D199,'MPG Payment '!$E$3:$H$334579,4,0)</f>
        <v>Indirect</v>
      </c>
      <c r="I199" s="88">
        <f>INDEX('MPG Payment '!$C:$C,MATCH('Shayak Income '!D199,'MPG Payment '!E:E,0))</f>
        <v>1008</v>
      </c>
      <c r="J199" s="88" t="str">
        <f>INDEX('MPG Payment '!$D:$D,MATCH('Shayak Income '!D199,'MPG Payment '!E:E,0))</f>
        <v>Teghra</v>
      </c>
      <c r="K199" s="125" t="s">
        <v>1322</v>
      </c>
      <c r="L199" s="125">
        <v>42997</v>
      </c>
      <c r="M199" s="126">
        <f>SUMIF('MPG Payment '!$E$3:$E$34579,'Shayak Income '!D199,'MPG Payment '!$I$3:$I$34579)</f>
        <v>1112.3</v>
      </c>
      <c r="N199" s="126">
        <f>SUMIF('MPG Payment '!$E$3:$E$34579,'Shayak Income '!D199,'MPG Payment '!$J$3:$J$34579)</f>
        <v>40093.471226177004</v>
      </c>
      <c r="O199" s="126">
        <f t="shared" si="67"/>
        <v>834.22499999999991</v>
      </c>
      <c r="P199" s="126">
        <f t="shared" si="68"/>
        <v>1056.6849999999999</v>
      </c>
      <c r="Q199" s="126">
        <f>SUMIF('MPG Payment '!$E$3:$E$34579,'Shayak Income '!D199,'MPG Payment '!$S$3:$S$34579)</f>
        <v>0</v>
      </c>
      <c r="R199" s="126">
        <f t="shared" si="58"/>
        <v>1202.80413678531</v>
      </c>
      <c r="S199" s="126">
        <f t="shared" si="59"/>
        <v>146.11913678531005</v>
      </c>
      <c r="T199" s="126">
        <f t="shared" si="69"/>
        <v>111.23</v>
      </c>
      <c r="U199" s="127">
        <f>(((IF(K199="New",0,SUMIF('MPG Payment '!$E$3:$E$34579,'Shayak Income '!D199,'MPG Payment '!$AC$3:$AC$34579))))+0)+0</f>
        <v>1217.5744036789285</v>
      </c>
      <c r="V199" s="127">
        <f t="shared" si="70"/>
        <v>562</v>
      </c>
      <c r="W199" s="19">
        <f t="shared" si="71"/>
        <v>0</v>
      </c>
      <c r="X199" s="19">
        <f t="shared" si="60"/>
        <v>0</v>
      </c>
      <c r="Y199" s="128">
        <f>IFERROR(VLOOKUP(D199,'Monthly Deduction'!$M$2:$N$64,2,0),0)</f>
        <v>0</v>
      </c>
      <c r="Z199" s="128">
        <v>0</v>
      </c>
      <c r="AA199" s="126">
        <f>IFERROR(VLOOKUP(D199,'Monthly Deduction'!A:B,2,0),0)</f>
        <v>0</v>
      </c>
      <c r="AB199" s="129">
        <f t="shared" si="61"/>
        <v>562</v>
      </c>
      <c r="AC199" s="130">
        <v>0</v>
      </c>
      <c r="AD199" s="35">
        <f t="shared" si="72"/>
        <v>562</v>
      </c>
      <c r="AE199" s="166" t="str">
        <f t="shared" si="73"/>
        <v>Release</v>
      </c>
      <c r="AF199" s="127"/>
      <c r="AG199" s="18">
        <v>0</v>
      </c>
      <c r="AH199" s="120"/>
      <c r="AI199" s="238">
        <v>0</v>
      </c>
      <c r="AJ199" s="132"/>
      <c r="AK199" s="151">
        <v>288.05</v>
      </c>
      <c r="AL199" s="154">
        <f t="shared" si="62"/>
        <v>0</v>
      </c>
      <c r="AM199" s="155"/>
      <c r="AN199" s="19">
        <f t="shared" si="63"/>
        <v>0</v>
      </c>
      <c r="AO199" s="118">
        <f>SUMIF('MPG Payment '!E:E,'Shayak Income '!D199,'MPG Payment '!AJ:AJ)</f>
        <v>0</v>
      </c>
      <c r="AP199" s="19">
        <f t="shared" si="64"/>
        <v>0</v>
      </c>
      <c r="AQ199" s="119">
        <f t="shared" si="74"/>
        <v>0</v>
      </c>
      <c r="AR199" s="91" t="s">
        <v>1168</v>
      </c>
      <c r="AS199" s="91">
        <f t="shared" si="65"/>
        <v>0</v>
      </c>
      <c r="AT199" s="118"/>
      <c r="AU199" s="118"/>
      <c r="AV199" s="118"/>
    </row>
    <row r="200" spans="1:48" s="20" customFormat="1" x14ac:dyDescent="0.25">
      <c r="A200" s="17">
        <f>IFERROR(VLOOKUP(D200,'Monthly Deduction'!$I$3:$J$957,2,0),0)</f>
        <v>0</v>
      </c>
      <c r="B200" s="17">
        <f>IFERROR(VLOOKUP(D200,'Monthly Deduction'!$E$3:$F$957,2,0),0)</f>
        <v>0</v>
      </c>
      <c r="C200" s="17">
        <f t="shared" si="66"/>
        <v>0</v>
      </c>
      <c r="D200" s="41">
        <v>10080003</v>
      </c>
      <c r="E200" s="122" t="str">
        <f>VLOOKUP(D200,'MPG Payment '!$E$3:$G$498218,2,0)</f>
        <v>Paspura</v>
      </c>
      <c r="F200" s="146">
        <f>IFERROR(_xlfn.XLOOKUP(D200,'Monthly Deduction'!$I$3:$I$957,'Monthly Deduction'!$H$3:$H$957),0)</f>
        <v>0</v>
      </c>
      <c r="G200" s="123" t="str">
        <f>VLOOKUP(D200,'MPG Payment '!$E$3:$G$334579,3,0)</f>
        <v>vlc</v>
      </c>
      <c r="H200" s="124" t="str">
        <f>VLOOKUP(D200,'MPG Payment '!$E$3:$H$334579,4,0)</f>
        <v>Indirect</v>
      </c>
      <c r="I200" s="88">
        <f>INDEX('MPG Payment '!$C:$C,MATCH('Shayak Income '!D200,'MPG Payment '!E:E,0))</f>
        <v>1008</v>
      </c>
      <c r="J200" s="88" t="str">
        <f>INDEX('MPG Payment '!$D:$D,MATCH('Shayak Income '!D200,'MPG Payment '!E:E,0))</f>
        <v>Teghra</v>
      </c>
      <c r="K200" s="125" t="s">
        <v>1322</v>
      </c>
      <c r="L200" s="125">
        <v>42999</v>
      </c>
      <c r="M200" s="126">
        <f>SUMIF('MPG Payment '!$E$3:$E$34579,'Shayak Income '!D200,'MPG Payment '!$I$3:$I$34579)</f>
        <v>654.44999999999993</v>
      </c>
      <c r="N200" s="126">
        <f>SUMIF('MPG Payment '!$E$3:$E$34579,'Shayak Income '!D200,'MPG Payment '!$J$3:$J$34579)</f>
        <v>22855.125191296003</v>
      </c>
      <c r="O200" s="126">
        <f t="shared" si="67"/>
        <v>490.83749999999998</v>
      </c>
      <c r="P200" s="126">
        <f t="shared" si="68"/>
        <v>621.72749999999985</v>
      </c>
      <c r="Q200" s="126">
        <f>SUMIF('MPG Payment '!$E$3:$E$34579,'Shayak Income '!D200,'MPG Payment '!$S$3:$S$34579)</f>
        <v>0</v>
      </c>
      <c r="R200" s="126">
        <f t="shared" si="58"/>
        <v>685.65375573888002</v>
      </c>
      <c r="S200" s="126">
        <f t="shared" si="59"/>
        <v>63.926255738880172</v>
      </c>
      <c r="T200" s="126">
        <f t="shared" si="69"/>
        <v>65.444999999999993</v>
      </c>
      <c r="U200" s="127">
        <f>(((IF(K200="New",0,SUMIF('MPG Payment '!$E$3:$E$34579,'Shayak Income '!D200,'MPG Payment '!$AC$3:$AC$34579))))+0)+-446</f>
        <v>1047.6168318644918</v>
      </c>
      <c r="V200" s="127">
        <f t="shared" si="70"/>
        <v>0</v>
      </c>
      <c r="W200" s="19">
        <v>0</v>
      </c>
      <c r="X200" s="19">
        <v>0</v>
      </c>
      <c r="Y200" s="128">
        <f>IFERROR(VLOOKUP(D200,'Monthly Deduction'!$M$2:$N$64,2,0),0)</f>
        <v>0</v>
      </c>
      <c r="Z200" s="128">
        <v>0</v>
      </c>
      <c r="AA200" s="126">
        <f>IFERROR(VLOOKUP(D200,'Monthly Deduction'!A:B,2,0),0)</f>
        <v>0</v>
      </c>
      <c r="AB200" s="129">
        <f t="shared" si="61"/>
        <v>0</v>
      </c>
      <c r="AC200" s="130">
        <v>0</v>
      </c>
      <c r="AD200" s="35">
        <f t="shared" si="72"/>
        <v>0</v>
      </c>
      <c r="AE200" s="166" t="str">
        <f t="shared" si="73"/>
        <v>Release</v>
      </c>
      <c r="AF200" s="127"/>
      <c r="AG200" s="127">
        <v>0</v>
      </c>
      <c r="AH200" s="120"/>
      <c r="AI200" s="238">
        <v>0</v>
      </c>
      <c r="AJ200" s="132"/>
      <c r="AK200" s="151">
        <v>167.45</v>
      </c>
      <c r="AL200" s="154">
        <f t="shared" si="62"/>
        <v>0</v>
      </c>
      <c r="AM200" s="155"/>
      <c r="AN200" s="19">
        <f t="shared" si="63"/>
        <v>0</v>
      </c>
      <c r="AO200" s="118">
        <f>SUMIF('MPG Payment '!E:E,'Shayak Income '!D200,'MPG Payment '!AJ:AJ)</f>
        <v>0</v>
      </c>
      <c r="AP200" s="19">
        <f t="shared" si="64"/>
        <v>0</v>
      </c>
      <c r="AQ200" s="119">
        <f t="shared" si="74"/>
        <v>0</v>
      </c>
      <c r="AR200" s="91" t="s">
        <v>1168</v>
      </c>
      <c r="AS200" s="91">
        <f t="shared" si="65"/>
        <v>0</v>
      </c>
      <c r="AT200" s="118"/>
      <c r="AU200" s="118"/>
      <c r="AV200" s="118"/>
    </row>
    <row r="201" spans="1:48" s="20" customFormat="1" x14ac:dyDescent="0.25">
      <c r="A201" s="17">
        <f>IFERROR(VLOOKUP(D201,'Monthly Deduction'!$I$3:$J$957,2,0),0)</f>
        <v>0</v>
      </c>
      <c r="B201" s="17">
        <f>IFERROR(VLOOKUP(D201,'Monthly Deduction'!$E$3:$F$957,2,0),0)</f>
        <v>0</v>
      </c>
      <c r="C201" s="17">
        <f t="shared" si="66"/>
        <v>0</v>
      </c>
      <c r="D201" s="41">
        <v>10080004</v>
      </c>
      <c r="E201" s="122" t="str">
        <f>VLOOKUP(D201,'MPG Payment '!$E$3:$G$498218,2,0)</f>
        <v>Gomukh Godhna</v>
      </c>
      <c r="F201" s="146">
        <f>IFERROR(_xlfn.XLOOKUP(D201,'Monthly Deduction'!$I$3:$I$957,'Monthly Deduction'!$H$3:$H$957),0)</f>
        <v>0</v>
      </c>
      <c r="G201" s="123" t="str">
        <f>VLOOKUP(D201,'MPG Payment '!$E$3:$G$334579,3,0)</f>
        <v>vlc</v>
      </c>
      <c r="H201" s="124" t="str">
        <f>VLOOKUP(D201,'MPG Payment '!$E$3:$H$334579,4,0)</f>
        <v>Indirect</v>
      </c>
      <c r="I201" s="88">
        <f>INDEX('MPG Payment '!$C:$C,MATCH('Shayak Income '!D201,'MPG Payment '!E:E,0))</f>
        <v>1008</v>
      </c>
      <c r="J201" s="88" t="str">
        <f>INDEX('MPG Payment '!$D:$D,MATCH('Shayak Income '!D201,'MPG Payment '!E:E,0))</f>
        <v>Teghra</v>
      </c>
      <c r="K201" s="125" t="s">
        <v>1322</v>
      </c>
      <c r="L201" s="125">
        <v>43077</v>
      </c>
      <c r="M201" s="126">
        <f>SUMIF('MPG Payment '!$E$3:$E$34579,'Shayak Income '!D201,'MPG Payment '!$I$3:$I$34579)</f>
        <v>252.05</v>
      </c>
      <c r="N201" s="126">
        <f>SUMIF('MPG Payment '!$E$3:$E$34579,'Shayak Income '!D201,'MPG Payment '!$J$3:$J$34579)</f>
        <v>9451.2303145265014</v>
      </c>
      <c r="O201" s="126">
        <f t="shared" si="67"/>
        <v>189.03750000000002</v>
      </c>
      <c r="P201" s="126">
        <f t="shared" si="68"/>
        <v>239.44749999999999</v>
      </c>
      <c r="Q201" s="126">
        <f>SUMIF('MPG Payment '!$E$3:$E$34579,'Shayak Income '!D201,'MPG Payment '!$S$3:$S$34579)</f>
        <v>0</v>
      </c>
      <c r="R201" s="126">
        <f t="shared" si="58"/>
        <v>283.53690943579505</v>
      </c>
      <c r="S201" s="126">
        <f t="shared" si="59"/>
        <v>44.089409435795062</v>
      </c>
      <c r="T201" s="126">
        <f t="shared" si="69"/>
        <v>25.205000000000002</v>
      </c>
      <c r="U201" s="127">
        <f>(((IF(K201="New",0,SUMIF('MPG Payment '!$E$3:$E$34579,'Shayak Income '!D201,'MPG Payment '!$AC$3:$AC$34579))))+0)+-1504</f>
        <v>403.31084130311228</v>
      </c>
      <c r="V201" s="127">
        <f t="shared" si="70"/>
        <v>0</v>
      </c>
      <c r="W201" s="19">
        <v>0</v>
      </c>
      <c r="X201" s="19">
        <v>0</v>
      </c>
      <c r="Y201" s="128">
        <f>IFERROR(VLOOKUP(D201,'Monthly Deduction'!$M$2:$N$64,2,0),0)</f>
        <v>0</v>
      </c>
      <c r="Z201" s="128">
        <v>0</v>
      </c>
      <c r="AA201" s="126">
        <f>IFERROR(VLOOKUP(D201,'Monthly Deduction'!A:B,2,0),0)</f>
        <v>0</v>
      </c>
      <c r="AB201" s="129">
        <f t="shared" si="61"/>
        <v>0</v>
      </c>
      <c r="AC201" s="130">
        <v>0</v>
      </c>
      <c r="AD201" s="35">
        <f t="shared" si="72"/>
        <v>0</v>
      </c>
      <c r="AE201" s="166" t="str">
        <f t="shared" si="73"/>
        <v>Release</v>
      </c>
      <c r="AF201" s="127"/>
      <c r="AG201" s="127">
        <v>0</v>
      </c>
      <c r="AH201" s="120"/>
      <c r="AI201" s="238">
        <v>0</v>
      </c>
      <c r="AJ201" s="132"/>
      <c r="AK201" s="151">
        <v>49.349999999999994</v>
      </c>
      <c r="AL201" s="154">
        <f t="shared" si="62"/>
        <v>0</v>
      </c>
      <c r="AM201" s="155"/>
      <c r="AN201" s="19">
        <f t="shared" si="63"/>
        <v>0</v>
      </c>
      <c r="AO201" s="118">
        <f>SUMIF('MPG Payment '!E:E,'Shayak Income '!D201,'MPG Payment '!AJ:AJ)</f>
        <v>0</v>
      </c>
      <c r="AP201" s="19">
        <f t="shared" si="64"/>
        <v>0</v>
      </c>
      <c r="AQ201" s="119">
        <f t="shared" si="74"/>
        <v>0</v>
      </c>
      <c r="AR201" s="91" t="s">
        <v>1168</v>
      </c>
      <c r="AS201" s="91">
        <f t="shared" si="65"/>
        <v>0</v>
      </c>
      <c r="AT201" s="118"/>
      <c r="AU201" s="118"/>
      <c r="AV201" s="118"/>
    </row>
    <row r="202" spans="1:48" s="20" customFormat="1" x14ac:dyDescent="0.25">
      <c r="A202" s="17">
        <f>IFERROR(VLOOKUP(D202,'Monthly Deduction'!$I$3:$J$957,2,0),0)</f>
        <v>0</v>
      </c>
      <c r="B202" s="17">
        <f>IFERROR(VLOOKUP(D202,'Monthly Deduction'!$E$3:$F$957,2,0),0)</f>
        <v>0</v>
      </c>
      <c r="C202" s="17">
        <f t="shared" si="66"/>
        <v>0</v>
      </c>
      <c r="D202" s="41">
        <v>10080006</v>
      </c>
      <c r="E202" s="122" t="str">
        <f>VLOOKUP(D202,'MPG Payment '!$E$3:$G$498218,2,0)</f>
        <v>Gomukh Sihma 2</v>
      </c>
      <c r="F202" s="146">
        <f>IFERROR(_xlfn.XLOOKUP(D202,'Monthly Deduction'!$I$3:$I$957,'Monthly Deduction'!$H$3:$H$957),0)</f>
        <v>0</v>
      </c>
      <c r="G202" s="123" t="str">
        <f>VLOOKUP(D202,'MPG Payment '!$E$3:$G$334579,3,0)</f>
        <v>vlc</v>
      </c>
      <c r="H202" s="124" t="str">
        <f>VLOOKUP(D202,'MPG Payment '!$E$3:$H$334579,4,0)</f>
        <v>Indirect</v>
      </c>
      <c r="I202" s="88">
        <f>INDEX('MPG Payment '!$C:$C,MATCH('Shayak Income '!D202,'MPG Payment '!E:E,0))</f>
        <v>1008</v>
      </c>
      <c r="J202" s="88" t="str">
        <f>INDEX('MPG Payment '!$D:$D,MATCH('Shayak Income '!D202,'MPG Payment '!E:E,0))</f>
        <v>Teghra</v>
      </c>
      <c r="K202" s="125" t="s">
        <v>1322</v>
      </c>
      <c r="L202" s="125">
        <v>43407</v>
      </c>
      <c r="M202" s="126">
        <f>SUMIF('MPG Payment '!$E$3:$E$34579,'Shayak Income '!D202,'MPG Payment '!$I$3:$I$34579)</f>
        <v>1087.45</v>
      </c>
      <c r="N202" s="126">
        <f>SUMIF('MPG Payment '!$E$3:$E$34579,'Shayak Income '!D202,'MPG Payment '!$J$3:$J$34579)</f>
        <v>37612.772815117001</v>
      </c>
      <c r="O202" s="126">
        <f t="shared" si="67"/>
        <v>815.58750000000009</v>
      </c>
      <c r="P202" s="126">
        <f t="shared" si="68"/>
        <v>1033.0775000000001</v>
      </c>
      <c r="Q202" s="126">
        <f>SUMIF('MPG Payment '!$E$3:$E$34579,'Shayak Income '!D202,'MPG Payment '!$S$3:$S$34579)</f>
        <v>0</v>
      </c>
      <c r="R202" s="126">
        <f t="shared" si="58"/>
        <v>1128.38318445351</v>
      </c>
      <c r="S202" s="126">
        <f t="shared" si="59"/>
        <v>95.305684453509912</v>
      </c>
      <c r="T202" s="126">
        <f t="shared" si="69"/>
        <v>108.745</v>
      </c>
      <c r="U202" s="127">
        <f>(((IF(K202="New",0,SUMIF('MPG Payment '!$E$3:$E$34579,'Shayak Income '!D202,'MPG Payment '!$AC$3:$AC$34579))))+0)+0</f>
        <v>1182.777104250679</v>
      </c>
      <c r="V202" s="127">
        <f t="shared" si="70"/>
        <v>557</v>
      </c>
      <c r="W202" s="19">
        <f t="shared" si="71"/>
        <v>0</v>
      </c>
      <c r="X202" s="19">
        <f t="shared" si="60"/>
        <v>0</v>
      </c>
      <c r="Y202" s="128">
        <f>IFERROR(VLOOKUP(D202,'Monthly Deduction'!$M$2:$N$64,2,0),0)</f>
        <v>0</v>
      </c>
      <c r="Z202" s="128">
        <v>0</v>
      </c>
      <c r="AA202" s="126">
        <f>IFERROR(VLOOKUP(D202,'Monthly Deduction'!A:B,2,0),0)</f>
        <v>0</v>
      </c>
      <c r="AB202" s="129">
        <f t="shared" si="61"/>
        <v>557</v>
      </c>
      <c r="AC202" s="130">
        <v>0</v>
      </c>
      <c r="AD202" s="35">
        <f t="shared" si="72"/>
        <v>557</v>
      </c>
      <c r="AE202" s="166" t="str">
        <f t="shared" si="73"/>
        <v>Release</v>
      </c>
      <c r="AF202" s="127"/>
      <c r="AG202" s="18">
        <v>0</v>
      </c>
      <c r="AH202" s="120"/>
      <c r="AI202" s="238">
        <v>0</v>
      </c>
      <c r="AJ202" s="132"/>
      <c r="AK202" s="151">
        <v>339.05000000000007</v>
      </c>
      <c r="AL202" s="154">
        <f t="shared" si="62"/>
        <v>0</v>
      </c>
      <c r="AM202" s="155"/>
      <c r="AN202" s="19">
        <f t="shared" si="63"/>
        <v>0</v>
      </c>
      <c r="AO202" s="118">
        <f>SUMIF('MPG Payment '!E:E,'Shayak Income '!D202,'MPG Payment '!AJ:AJ)</f>
        <v>0</v>
      </c>
      <c r="AP202" s="19">
        <f t="shared" si="64"/>
        <v>0</v>
      </c>
      <c r="AQ202" s="119">
        <f t="shared" si="74"/>
        <v>0</v>
      </c>
      <c r="AR202" s="91" t="s">
        <v>1168</v>
      </c>
      <c r="AS202" s="91">
        <f t="shared" si="65"/>
        <v>0</v>
      </c>
      <c r="AT202" s="118"/>
      <c r="AU202" s="118"/>
      <c r="AV202" s="118"/>
    </row>
    <row r="203" spans="1:48" s="20" customFormat="1" x14ac:dyDescent="0.25">
      <c r="A203" s="17">
        <f>IFERROR(VLOOKUP(D203,'Monthly Deduction'!$I$3:$J$957,2,0),0)</f>
        <v>0</v>
      </c>
      <c r="B203" s="17">
        <f>IFERROR(VLOOKUP(D203,'Monthly Deduction'!$E$3:$F$957,2,0),0)</f>
        <v>0</v>
      </c>
      <c r="C203" s="17">
        <f t="shared" si="66"/>
        <v>0</v>
      </c>
      <c r="D203" s="41">
        <v>10080007</v>
      </c>
      <c r="E203" s="122" t="str">
        <f>VLOOKUP(D203,'MPG Payment '!$E$3:$G$498218,2,0)</f>
        <v>Gomukh ID Marsaito</v>
      </c>
      <c r="F203" s="146">
        <f>IFERROR(_xlfn.XLOOKUP(D203,'Monthly Deduction'!$I$3:$I$957,'Monthly Deduction'!$H$3:$H$957),0)</f>
        <v>0</v>
      </c>
      <c r="G203" s="123" t="str">
        <f>VLOOKUP(D203,'MPG Payment '!$E$3:$G$334579,3,0)</f>
        <v>vlc</v>
      </c>
      <c r="H203" s="124" t="str">
        <f>VLOOKUP(D203,'MPG Payment '!$E$3:$H$334579,4,0)</f>
        <v>Indirect</v>
      </c>
      <c r="I203" s="88">
        <f>INDEX('MPG Payment '!$C:$C,MATCH('Shayak Income '!D203,'MPG Payment '!E:E,0))</f>
        <v>1008</v>
      </c>
      <c r="J203" s="88" t="str">
        <f>INDEX('MPG Payment '!$D:$D,MATCH('Shayak Income '!D203,'MPG Payment '!E:E,0))</f>
        <v>Teghra</v>
      </c>
      <c r="K203" s="125" t="s">
        <v>1322</v>
      </c>
      <c r="L203" s="125">
        <v>43785</v>
      </c>
      <c r="M203" s="126">
        <f>SUMIF('MPG Payment '!$E$3:$E$34579,'Shayak Income '!D203,'MPG Payment '!$I$3:$I$34579)</f>
        <v>3067.15</v>
      </c>
      <c r="N203" s="126">
        <f>SUMIF('MPG Payment '!$E$3:$E$34579,'Shayak Income '!D203,'MPG Payment '!$J$3:$J$34579)</f>
        <v>110525.3734970775</v>
      </c>
      <c r="O203" s="126">
        <f t="shared" si="67"/>
        <v>2300.3625000000002</v>
      </c>
      <c r="P203" s="126">
        <f t="shared" si="68"/>
        <v>2913.7925</v>
      </c>
      <c r="Q203" s="126">
        <f>SUMIF('MPG Payment '!$E$3:$E$34579,'Shayak Income '!D203,'MPG Payment '!$S$3:$S$34579)</f>
        <v>0</v>
      </c>
      <c r="R203" s="126">
        <f t="shared" si="58"/>
        <v>3315.761204912325</v>
      </c>
      <c r="S203" s="126">
        <f t="shared" si="59"/>
        <v>401.96870491232494</v>
      </c>
      <c r="T203" s="126">
        <f t="shared" si="69"/>
        <v>306.71500000000003</v>
      </c>
      <c r="U203" s="127">
        <f>(((IF(K203="New",0,SUMIF('MPG Payment '!$E$3:$E$34579,'Shayak Income '!D203,'MPG Payment '!$AC$3:$AC$34579))))+0)+0</f>
        <v>0</v>
      </c>
      <c r="V203" s="127">
        <f t="shared" si="70"/>
        <v>4907</v>
      </c>
      <c r="W203" s="19">
        <f t="shared" si="71"/>
        <v>0</v>
      </c>
      <c r="X203" s="19">
        <f t="shared" si="60"/>
        <v>0</v>
      </c>
      <c r="Y203" s="128">
        <f>IFERROR(VLOOKUP(D203,'Monthly Deduction'!$M$2:$N$64,2,0),0)</f>
        <v>0</v>
      </c>
      <c r="Z203" s="128">
        <v>0</v>
      </c>
      <c r="AA203" s="126">
        <f>IFERROR(VLOOKUP(D203,'Monthly Deduction'!A:B,2,0),0)</f>
        <v>0</v>
      </c>
      <c r="AB203" s="129">
        <f t="shared" si="61"/>
        <v>4907</v>
      </c>
      <c r="AC203" s="130">
        <v>0</v>
      </c>
      <c r="AD203" s="35">
        <f t="shared" si="72"/>
        <v>4907</v>
      </c>
      <c r="AE203" s="166" t="str">
        <f t="shared" si="73"/>
        <v>Release</v>
      </c>
      <c r="AF203" s="127"/>
      <c r="AG203" s="18">
        <v>0</v>
      </c>
      <c r="AH203" s="120"/>
      <c r="AI203" s="238">
        <v>0</v>
      </c>
      <c r="AJ203" s="132"/>
      <c r="AK203" s="151">
        <v>937.7</v>
      </c>
      <c r="AL203" s="154">
        <f t="shared" si="62"/>
        <v>0</v>
      </c>
      <c r="AM203" s="155"/>
      <c r="AN203" s="19">
        <f t="shared" si="63"/>
        <v>0</v>
      </c>
      <c r="AO203" s="118">
        <f>SUMIF('MPG Payment '!E:E,'Shayak Income '!D203,'MPG Payment '!AJ:AJ)</f>
        <v>0</v>
      </c>
      <c r="AP203" s="19">
        <f t="shared" si="64"/>
        <v>0</v>
      </c>
      <c r="AQ203" s="119">
        <f t="shared" si="74"/>
        <v>0</v>
      </c>
      <c r="AR203" s="91" t="s">
        <v>1168</v>
      </c>
      <c r="AS203" s="91">
        <f t="shared" si="65"/>
        <v>0</v>
      </c>
      <c r="AT203" s="118"/>
      <c r="AU203" s="118"/>
      <c r="AV203" s="118"/>
    </row>
    <row r="204" spans="1:48" s="20" customFormat="1" x14ac:dyDescent="0.25">
      <c r="A204" s="17">
        <f>IFERROR(VLOOKUP(D204,'Monthly Deduction'!$I$3:$J$957,2,0),0)</f>
        <v>0</v>
      </c>
      <c r="B204" s="17">
        <f>IFERROR(VLOOKUP(D204,'Monthly Deduction'!$E$3:$F$957,2,0),0)</f>
        <v>0</v>
      </c>
      <c r="C204" s="17">
        <f t="shared" si="66"/>
        <v>0</v>
      </c>
      <c r="D204" s="41">
        <v>10080013</v>
      </c>
      <c r="E204" s="122" t="str">
        <f>VLOOKUP(D204,'MPG Payment '!$E$3:$G$498218,2,0)</f>
        <v>Gomukh ID Akashpur</v>
      </c>
      <c r="F204" s="146">
        <f>IFERROR(_xlfn.XLOOKUP(D204,'Monthly Deduction'!$I$3:$I$957,'Monthly Deduction'!$H$3:$H$957),0)</f>
        <v>0</v>
      </c>
      <c r="G204" s="123" t="str">
        <f>VLOOKUP(D204,'MPG Payment '!$E$3:$G$334579,3,0)</f>
        <v>vlc</v>
      </c>
      <c r="H204" s="124" t="str">
        <f>VLOOKUP(D204,'MPG Payment '!$E$3:$H$334579,4,0)</f>
        <v>Indirect</v>
      </c>
      <c r="I204" s="88">
        <f>INDEX('MPG Payment '!$C:$C,MATCH('Shayak Income '!D204,'MPG Payment '!E:E,0))</f>
        <v>1008</v>
      </c>
      <c r="J204" s="88" t="str">
        <f>INDEX('MPG Payment '!$D:$D,MATCH('Shayak Income '!D204,'MPG Payment '!E:E,0))</f>
        <v>Teghra</v>
      </c>
      <c r="K204" s="125" t="s">
        <v>1322</v>
      </c>
      <c r="L204" s="125">
        <v>44373</v>
      </c>
      <c r="M204" s="126">
        <f>SUMIF('MPG Payment '!$E$3:$E$34579,'Shayak Income '!D204,'MPG Payment '!$I$3:$I$34579)</f>
        <v>2770</v>
      </c>
      <c r="N204" s="126">
        <f>SUMIF('MPG Payment '!$E$3:$E$34579,'Shayak Income '!D204,'MPG Payment '!$J$3:$J$34579)</f>
        <v>105137.60962427201</v>
      </c>
      <c r="O204" s="126">
        <f t="shared" si="67"/>
        <v>2077.5</v>
      </c>
      <c r="P204" s="126">
        <f t="shared" si="68"/>
        <v>2631.5</v>
      </c>
      <c r="Q204" s="126">
        <f>SUMIF('MPG Payment '!$E$3:$E$34579,'Shayak Income '!D204,'MPG Payment '!$S$3:$S$34579)</f>
        <v>0</v>
      </c>
      <c r="R204" s="126">
        <f t="shared" si="58"/>
        <v>3154.12828872816</v>
      </c>
      <c r="S204" s="126">
        <f t="shared" si="59"/>
        <v>522.62828872815999</v>
      </c>
      <c r="T204" s="126">
        <f t="shared" si="69"/>
        <v>277</v>
      </c>
      <c r="U204" s="127">
        <f>(((IF(K204="New",0,SUMIF('MPG Payment '!$E$3:$E$34579,'Shayak Income '!D204,'MPG Payment '!$AC$3:$AC$34579))))+0)+0</f>
        <v>88.444160071755903</v>
      </c>
      <c r="V204" s="127">
        <f t="shared" si="70"/>
        <v>4344</v>
      </c>
      <c r="W204" s="19">
        <f t="shared" si="71"/>
        <v>0</v>
      </c>
      <c r="X204" s="19">
        <f t="shared" si="60"/>
        <v>0</v>
      </c>
      <c r="Y204" s="128">
        <f>IFERROR(VLOOKUP(D204,'Monthly Deduction'!$M$2:$N$64,2,0),0)</f>
        <v>0</v>
      </c>
      <c r="Z204" s="128">
        <v>0</v>
      </c>
      <c r="AA204" s="126">
        <f>IFERROR(VLOOKUP(D204,'Monthly Deduction'!A:B,2,0),0)</f>
        <v>0</v>
      </c>
      <c r="AB204" s="129">
        <f t="shared" si="61"/>
        <v>4344</v>
      </c>
      <c r="AC204" s="130">
        <v>0</v>
      </c>
      <c r="AD204" s="35">
        <f t="shared" si="72"/>
        <v>4344</v>
      </c>
      <c r="AE204" s="166" t="str">
        <f t="shared" si="73"/>
        <v>Release</v>
      </c>
      <c r="AF204" s="127"/>
      <c r="AG204" s="18">
        <v>0</v>
      </c>
      <c r="AH204" s="120"/>
      <c r="AI204" s="238">
        <v>0</v>
      </c>
      <c r="AJ204" s="132"/>
      <c r="AK204" s="151">
        <v>613.70000000000005</v>
      </c>
      <c r="AL204" s="154">
        <f t="shared" si="62"/>
        <v>0</v>
      </c>
      <c r="AM204" s="155"/>
      <c r="AN204" s="19">
        <f t="shared" si="63"/>
        <v>0</v>
      </c>
      <c r="AO204" s="118">
        <f>SUMIF('MPG Payment '!E:E,'Shayak Income '!D204,'MPG Payment '!AJ:AJ)</f>
        <v>0</v>
      </c>
      <c r="AP204" s="19">
        <f t="shared" si="64"/>
        <v>0</v>
      </c>
      <c r="AQ204" s="119">
        <f t="shared" si="74"/>
        <v>0</v>
      </c>
      <c r="AR204" s="91" t="s">
        <v>1168</v>
      </c>
      <c r="AS204" s="91">
        <f t="shared" si="65"/>
        <v>0</v>
      </c>
      <c r="AT204" s="118"/>
      <c r="AU204" s="118"/>
      <c r="AV204" s="118"/>
    </row>
    <row r="205" spans="1:48" s="20" customFormat="1" x14ac:dyDescent="0.25">
      <c r="A205" s="17">
        <f>IFERROR(VLOOKUP(D205,'Monthly Deduction'!$I$3:$J$957,2,0),0)</f>
        <v>0</v>
      </c>
      <c r="B205" s="17">
        <f>IFERROR(VLOOKUP(D205,'Monthly Deduction'!$E$3:$F$957,2,0),0)</f>
        <v>0</v>
      </c>
      <c r="C205" s="17">
        <f t="shared" si="66"/>
        <v>0</v>
      </c>
      <c r="D205" s="41">
        <v>10080014</v>
      </c>
      <c r="E205" s="122" t="str">
        <f>VLOOKUP(D205,'MPG Payment '!$E$3:$G$498218,2,0)</f>
        <v>Gomukh ID Rachiyahi</v>
      </c>
      <c r="F205" s="146">
        <f>IFERROR(_xlfn.XLOOKUP(D205,'Monthly Deduction'!$I$3:$I$957,'Monthly Deduction'!$H$3:$H$957),0)</f>
        <v>0</v>
      </c>
      <c r="G205" s="123" t="str">
        <f>VLOOKUP(D205,'MPG Payment '!$E$3:$G$334579,3,0)</f>
        <v>vlc</v>
      </c>
      <c r="H205" s="124" t="str">
        <f>VLOOKUP(D205,'MPG Payment '!$E$3:$H$334579,4,0)</f>
        <v>Indirect</v>
      </c>
      <c r="I205" s="88">
        <f>INDEX('MPG Payment '!$C:$C,MATCH('Shayak Income '!D205,'MPG Payment '!E:E,0))</f>
        <v>1008</v>
      </c>
      <c r="J205" s="88" t="str">
        <f>INDEX('MPG Payment '!$D:$D,MATCH('Shayak Income '!D205,'MPG Payment '!E:E,0))</f>
        <v>Teghra</v>
      </c>
      <c r="K205" s="125" t="s">
        <v>1322</v>
      </c>
      <c r="L205" s="125">
        <v>44375</v>
      </c>
      <c r="M205" s="126">
        <f>SUMIF('MPG Payment '!$E$3:$E$34579,'Shayak Income '!D205,'MPG Payment '!$I$3:$I$34579)</f>
        <v>481.4</v>
      </c>
      <c r="N205" s="126">
        <f>SUMIF('MPG Payment '!$E$3:$E$34579,'Shayak Income '!D205,'MPG Payment '!$J$3:$J$34579)</f>
        <v>18835.327418711</v>
      </c>
      <c r="O205" s="126">
        <f t="shared" si="67"/>
        <v>361.04999999999995</v>
      </c>
      <c r="P205" s="126">
        <f t="shared" si="68"/>
        <v>457.33</v>
      </c>
      <c r="Q205" s="126">
        <f>SUMIF('MPG Payment '!$E$3:$E$34579,'Shayak Income '!D205,'MPG Payment '!$S$3:$S$34579)</f>
        <v>0</v>
      </c>
      <c r="R205" s="126">
        <f t="shared" si="58"/>
        <v>565.05982256132995</v>
      </c>
      <c r="S205" s="126">
        <f t="shared" si="59"/>
        <v>107.72982256132997</v>
      </c>
      <c r="T205" s="126">
        <f t="shared" si="69"/>
        <v>48.14</v>
      </c>
      <c r="U205" s="127">
        <f>(((IF(K205="New",0,SUMIF('MPG Payment '!$E$3:$E$34579,'Shayak Income '!D205,'MPG Payment '!$AC$3:$AC$34579))))+0)+-1038</f>
        <v>769.99996944724103</v>
      </c>
      <c r="V205" s="127">
        <f t="shared" si="70"/>
        <v>0</v>
      </c>
      <c r="W205" s="19">
        <v>0</v>
      </c>
      <c r="X205" s="19">
        <v>0</v>
      </c>
      <c r="Y205" s="128">
        <f>IFERROR(VLOOKUP(D205,'Monthly Deduction'!$M$2:$N$64,2,0),0)</f>
        <v>0</v>
      </c>
      <c r="Z205" s="128">
        <v>0</v>
      </c>
      <c r="AA205" s="126">
        <f>IFERROR(VLOOKUP(D205,'Monthly Deduction'!A:B,2,0),0)</f>
        <v>0</v>
      </c>
      <c r="AB205" s="129">
        <f t="shared" si="61"/>
        <v>0</v>
      </c>
      <c r="AC205" s="130">
        <v>0</v>
      </c>
      <c r="AD205" s="35">
        <f t="shared" si="72"/>
        <v>0</v>
      </c>
      <c r="AE205" s="166" t="str">
        <f t="shared" si="73"/>
        <v>Release</v>
      </c>
      <c r="AF205" s="127"/>
      <c r="AG205" s="18">
        <v>0</v>
      </c>
      <c r="AH205" s="120"/>
      <c r="AI205" s="238">
        <v>0</v>
      </c>
      <c r="AJ205" s="132"/>
      <c r="AK205" s="151">
        <v>132.44999999999999</v>
      </c>
      <c r="AL205" s="154">
        <f t="shared" si="62"/>
        <v>0</v>
      </c>
      <c r="AM205" s="155"/>
      <c r="AN205" s="19">
        <f t="shared" si="63"/>
        <v>0</v>
      </c>
      <c r="AO205" s="118">
        <f>SUMIF('MPG Payment '!E:E,'Shayak Income '!D205,'MPG Payment '!AJ:AJ)</f>
        <v>0</v>
      </c>
      <c r="AP205" s="19">
        <f t="shared" si="64"/>
        <v>0</v>
      </c>
      <c r="AQ205" s="119">
        <f t="shared" si="74"/>
        <v>0</v>
      </c>
      <c r="AR205" s="91" t="s">
        <v>1168</v>
      </c>
      <c r="AS205" s="91">
        <f t="shared" si="65"/>
        <v>0</v>
      </c>
      <c r="AT205" s="118"/>
      <c r="AU205" s="118"/>
      <c r="AV205" s="118"/>
    </row>
    <row r="206" spans="1:48" s="20" customFormat="1" x14ac:dyDescent="0.25">
      <c r="A206" s="17">
        <f>IFERROR(VLOOKUP(D206,'Monthly Deduction'!$I$3:$J$957,2,0),0)</f>
        <v>0</v>
      </c>
      <c r="B206" s="17">
        <f>IFERROR(VLOOKUP(D206,'Monthly Deduction'!$E$3:$F$957,2,0),0)</f>
        <v>0</v>
      </c>
      <c r="C206" s="17">
        <f t="shared" si="66"/>
        <v>0</v>
      </c>
      <c r="D206" s="41">
        <v>10080015</v>
      </c>
      <c r="E206" s="122" t="str">
        <f>VLOOKUP(D206,'MPG Payment '!$E$3:$G$498218,2,0)</f>
        <v>GomukhBariyahi Chanan</v>
      </c>
      <c r="F206" s="146">
        <f>IFERROR(_xlfn.XLOOKUP(D206,'Monthly Deduction'!$I$3:$I$957,'Monthly Deduction'!$H$3:$H$957),0)</f>
        <v>0</v>
      </c>
      <c r="G206" s="123" t="str">
        <f>VLOOKUP(D206,'MPG Payment '!$E$3:$G$334579,3,0)</f>
        <v>MPG</v>
      </c>
      <c r="H206" s="124" t="str">
        <f>VLOOKUP(D206,'MPG Payment '!$E$3:$H$334579,4,0)</f>
        <v>Direct</v>
      </c>
      <c r="I206" s="88">
        <f>INDEX('MPG Payment '!$C:$C,MATCH('Shayak Income '!D206,'MPG Payment '!E:E,0))</f>
        <v>1008</v>
      </c>
      <c r="J206" s="88" t="str">
        <f>INDEX('MPG Payment '!$D:$D,MATCH('Shayak Income '!D206,'MPG Payment '!E:E,0))</f>
        <v>Teghra</v>
      </c>
      <c r="K206" s="125" t="s">
        <v>1322</v>
      </c>
      <c r="L206" s="125">
        <v>44693</v>
      </c>
      <c r="M206" s="126">
        <f>SUMIF('MPG Payment '!$E$3:$E$34579,'Shayak Income '!D206,'MPG Payment '!$I$3:$I$34579)</f>
        <v>13566.55</v>
      </c>
      <c r="N206" s="126">
        <f>SUMIF('MPG Payment '!$E$3:$E$34579,'Shayak Income '!D206,'MPG Payment '!$J$3:$J$34579)</f>
        <v>473162.57967331045</v>
      </c>
      <c r="O206" s="126">
        <f t="shared" si="67"/>
        <v>10174.912499999999</v>
      </c>
      <c r="P206" s="126">
        <f t="shared" si="68"/>
        <v>12888.222499999998</v>
      </c>
      <c r="Q206" s="126">
        <f>SUMIF('MPG Payment '!$E$3:$E$34579,'Shayak Income '!D206,'MPG Payment '!$S$3:$S$34579)</f>
        <v>2584.5967693680009</v>
      </c>
      <c r="R206" s="126">
        <f t="shared" si="58"/>
        <v>14194.877390199314</v>
      </c>
      <c r="S206" s="126">
        <f t="shared" si="59"/>
        <v>1306.6548901993156</v>
      </c>
      <c r="T206" s="126">
        <f t="shared" si="69"/>
        <v>1356.655</v>
      </c>
      <c r="U206" s="127">
        <f>(((IF(K206="New",0,SUMIF('MPG Payment '!$E$3:$E$34579,'Shayak Income '!D206,'MPG Payment '!$AC$3:$AC$34579))))+0)+0</f>
        <v>0</v>
      </c>
      <c r="V206" s="127">
        <f t="shared" si="70"/>
        <v>24291</v>
      </c>
      <c r="W206" s="19">
        <f t="shared" si="71"/>
        <v>0</v>
      </c>
      <c r="X206" s="19">
        <f t="shared" si="60"/>
        <v>0</v>
      </c>
      <c r="Y206" s="128">
        <f>IFERROR(VLOOKUP(D206,'Monthly Deduction'!$M$2:$N$64,2,0),0)</f>
        <v>0</v>
      </c>
      <c r="Z206" s="128">
        <v>0</v>
      </c>
      <c r="AA206" s="126">
        <f>IFERROR(VLOOKUP(D206,'Monthly Deduction'!A:B,2,0),0)</f>
        <v>0</v>
      </c>
      <c r="AB206" s="129">
        <f t="shared" si="61"/>
        <v>24291</v>
      </c>
      <c r="AC206" s="130">
        <v>0</v>
      </c>
      <c r="AD206" s="35">
        <f t="shared" si="72"/>
        <v>24291</v>
      </c>
      <c r="AE206" s="166" t="str">
        <f t="shared" si="73"/>
        <v>Release</v>
      </c>
      <c r="AF206" s="127"/>
      <c r="AG206" s="18">
        <v>0</v>
      </c>
      <c r="AH206" s="120"/>
      <c r="AI206" s="238">
        <v>0</v>
      </c>
      <c r="AJ206" s="132"/>
      <c r="AK206" s="151">
        <v>2926.1499999999996</v>
      </c>
      <c r="AL206" s="154">
        <f t="shared" si="62"/>
        <v>0</v>
      </c>
      <c r="AM206" s="155"/>
      <c r="AN206" s="19">
        <f t="shared" si="63"/>
        <v>0</v>
      </c>
      <c r="AO206" s="118">
        <f>SUMIF('MPG Payment '!E:E,'Shayak Income '!D206,'MPG Payment '!AJ:AJ)</f>
        <v>0</v>
      </c>
      <c r="AP206" s="19">
        <f t="shared" si="64"/>
        <v>0</v>
      </c>
      <c r="AQ206" s="119">
        <f t="shared" si="74"/>
        <v>0</v>
      </c>
      <c r="AR206" s="91" t="s">
        <v>1168</v>
      </c>
      <c r="AS206" s="91">
        <f t="shared" si="65"/>
        <v>0</v>
      </c>
      <c r="AT206" s="118"/>
      <c r="AU206" s="118"/>
      <c r="AV206" s="118"/>
    </row>
    <row r="207" spans="1:48" s="20" customFormat="1" x14ac:dyDescent="0.25">
      <c r="A207" s="17">
        <f>IFERROR(VLOOKUP(D207,'Monthly Deduction'!$I$3:$J$957,2,0),0)</f>
        <v>75619</v>
      </c>
      <c r="B207" s="17">
        <f>IFERROR(VLOOKUP(D207,'Monthly Deduction'!$E$3:$F$957,2,0),0)</f>
        <v>130.66422891840011</v>
      </c>
      <c r="C207" s="17">
        <f t="shared" si="66"/>
        <v>75749.664228918395</v>
      </c>
      <c r="D207" s="41">
        <v>10080016</v>
      </c>
      <c r="E207" s="122" t="str">
        <f>VLOOKUP(D207,'MPG Payment '!$E$3:$G$498218,2,0)</f>
        <v>GomukhGehuni</v>
      </c>
      <c r="F207" s="146">
        <f>IFERROR(_xlfn.XLOOKUP(D207,'Monthly Deduction'!$I$3:$I$957,'Monthly Deduction'!$H$3:$H$957),0)</f>
        <v>0</v>
      </c>
      <c r="G207" s="123" t="str">
        <f>VLOOKUP(D207,'MPG Payment '!$E$3:$G$334579,3,0)</f>
        <v>MPG</v>
      </c>
      <c r="H207" s="124" t="str">
        <f>VLOOKUP(D207,'MPG Payment '!$E$3:$H$334579,4,0)</f>
        <v>Direct</v>
      </c>
      <c r="I207" s="88">
        <f>INDEX('MPG Payment '!$C:$C,MATCH('Shayak Income '!D207,'MPG Payment '!E:E,0))</f>
        <v>1008</v>
      </c>
      <c r="J207" s="88" t="str">
        <f>INDEX('MPG Payment '!$D:$D,MATCH('Shayak Income '!D207,'MPG Payment '!E:E,0))</f>
        <v>Teghra</v>
      </c>
      <c r="K207" s="125" t="s">
        <v>1322</v>
      </c>
      <c r="L207" s="125">
        <v>44694</v>
      </c>
      <c r="M207" s="126">
        <f>SUMIF('MPG Payment '!$E$3:$E$34579,'Shayak Income '!D207,'MPG Payment '!$I$3:$I$34579)</f>
        <v>325.29999999999995</v>
      </c>
      <c r="N207" s="126">
        <f>SUMIF('MPG Payment '!$E$3:$E$34579,'Shayak Income '!D207,'MPG Payment '!$J$3:$J$34579)</f>
        <v>11626.604058640249</v>
      </c>
      <c r="O207" s="126">
        <f t="shared" si="67"/>
        <v>243.97499999999997</v>
      </c>
      <c r="P207" s="126">
        <f t="shared" si="68"/>
        <v>309.03499999999997</v>
      </c>
      <c r="Q207" s="126">
        <f>SUMIF('MPG Payment '!$E$3:$E$34579,'Shayak Income '!D207,'MPG Payment '!$S$3:$S$34579)</f>
        <v>146.96196167400001</v>
      </c>
      <c r="R207" s="126">
        <f t="shared" si="58"/>
        <v>348.79812175920745</v>
      </c>
      <c r="S207" s="126">
        <f t="shared" si="59"/>
        <v>39.763121759207479</v>
      </c>
      <c r="T207" s="126">
        <f t="shared" si="69"/>
        <v>32.529999999999994</v>
      </c>
      <c r="U207" s="127">
        <f>(((IF(K207="New",0,SUMIF('MPG Payment '!$E$3:$E$34579,'Shayak Income '!D207,'MPG Payment '!$AC$3:$AC$34579))))+0)+-1110</f>
        <v>666.97235620528863</v>
      </c>
      <c r="V207" s="127">
        <f t="shared" si="70"/>
        <v>0</v>
      </c>
      <c r="W207" s="19">
        <v>0</v>
      </c>
      <c r="X207" s="19">
        <v>0</v>
      </c>
      <c r="Y207" s="128">
        <f>IFERROR(VLOOKUP(D207,'Monthly Deduction'!$M$2:$N$64,2,0),0)</f>
        <v>0</v>
      </c>
      <c r="Z207" s="128">
        <v>0</v>
      </c>
      <c r="AA207" s="126">
        <f>IFERROR(VLOOKUP(D207,'Monthly Deduction'!A:B,2,0),0)</f>
        <v>0</v>
      </c>
      <c r="AB207" s="129">
        <f t="shared" si="61"/>
        <v>0</v>
      </c>
      <c r="AC207" s="130">
        <v>0</v>
      </c>
      <c r="AD207" s="35">
        <f t="shared" si="72"/>
        <v>0</v>
      </c>
      <c r="AE207" s="166" t="str">
        <f t="shared" si="73"/>
        <v>Release</v>
      </c>
      <c r="AF207" s="127"/>
      <c r="AG207" s="18">
        <v>0</v>
      </c>
      <c r="AH207" s="132"/>
      <c r="AI207" s="238">
        <v>0</v>
      </c>
      <c r="AJ207" s="132"/>
      <c r="AK207" s="151">
        <v>45.85</v>
      </c>
      <c r="AL207" s="154">
        <f t="shared" si="62"/>
        <v>0</v>
      </c>
      <c r="AM207" s="155"/>
      <c r="AN207" s="19">
        <f t="shared" si="63"/>
        <v>1861</v>
      </c>
      <c r="AO207" s="118">
        <f>SUMIF('MPG Payment '!E:E,'Shayak Income '!D207,'MPG Payment '!AJ:AJ)</f>
        <v>500</v>
      </c>
      <c r="AP207" s="19">
        <f t="shared" si="64"/>
        <v>0</v>
      </c>
      <c r="AQ207" s="119">
        <f t="shared" si="74"/>
        <v>500</v>
      </c>
      <c r="AR207" s="91" t="s">
        <v>1168</v>
      </c>
      <c r="AS207" s="91">
        <f t="shared" si="65"/>
        <v>130.66422891840011</v>
      </c>
      <c r="AT207" s="118"/>
      <c r="AU207" s="118"/>
      <c r="AV207" s="118"/>
    </row>
    <row r="208" spans="1:48" s="20" customFormat="1" x14ac:dyDescent="0.25">
      <c r="A208" s="17">
        <f>IFERROR(VLOOKUP(D208,'Monthly Deduction'!$I$3:$J$957,2,0),0)</f>
        <v>22275.466799999995</v>
      </c>
      <c r="B208" s="17">
        <f>IFERROR(VLOOKUP(D208,'Monthly Deduction'!$E$3:$F$957,2,0),0)</f>
        <v>0</v>
      </c>
      <c r="C208" s="17">
        <f t="shared" si="66"/>
        <v>22275.466799999995</v>
      </c>
      <c r="D208" s="41">
        <v>10080022</v>
      </c>
      <c r="E208" s="122" t="str">
        <f>VLOOKUP(D208,'MPG Payment '!$E$3:$G$498218,2,0)</f>
        <v>Gomukh Bakhatpur</v>
      </c>
      <c r="F208" s="146">
        <f>IFERROR(_xlfn.XLOOKUP(D208,'Monthly Deduction'!$I$3:$I$957,'Monthly Deduction'!$H$3:$H$957),0)</f>
        <v>0</v>
      </c>
      <c r="G208" s="123" t="str">
        <f>VLOOKUP(D208,'MPG Payment '!$E$3:$G$334579,3,0)</f>
        <v>MPG</v>
      </c>
      <c r="H208" s="124" t="str">
        <f>VLOOKUP(D208,'MPG Payment '!$E$3:$H$334579,4,0)</f>
        <v>Direct</v>
      </c>
      <c r="I208" s="88">
        <f>INDEX('MPG Payment '!$C:$C,MATCH('Shayak Income '!D208,'MPG Payment '!E:E,0))</f>
        <v>1008</v>
      </c>
      <c r="J208" s="88" t="str">
        <f>INDEX('MPG Payment '!$D:$D,MATCH('Shayak Income '!D208,'MPG Payment '!E:E,0))</f>
        <v>Teghra</v>
      </c>
      <c r="K208" s="125" t="s">
        <v>1322</v>
      </c>
      <c r="L208" s="125">
        <v>44979</v>
      </c>
      <c r="M208" s="126">
        <f>SUMIF('MPG Payment '!$E$3:$E$34579,'Shayak Income '!D208,'MPG Payment '!$I$3:$I$34579)</f>
        <v>1015.5500000000001</v>
      </c>
      <c r="N208" s="126">
        <f>SUMIF('MPG Payment '!$E$3:$E$34579,'Shayak Income '!D208,'MPG Payment '!$J$3:$J$34579)</f>
        <v>43187.324575639999</v>
      </c>
      <c r="O208" s="126">
        <f t="shared" si="67"/>
        <v>761.66250000000002</v>
      </c>
      <c r="P208" s="126">
        <f t="shared" si="68"/>
        <v>964.77250000000004</v>
      </c>
      <c r="Q208" s="126">
        <f>SUMIF('MPG Payment '!$E$3:$E$34579,'Shayak Income '!D208,'MPG Payment '!$S$3:$S$34579)</f>
        <v>679.41424529684991</v>
      </c>
      <c r="R208" s="126">
        <f t="shared" si="58"/>
        <v>1295.6197372692</v>
      </c>
      <c r="S208" s="126">
        <f t="shared" si="59"/>
        <v>330.84723726919992</v>
      </c>
      <c r="T208" s="126">
        <f t="shared" si="69"/>
        <v>101.55500000000001</v>
      </c>
      <c r="U208" s="127">
        <f>(((IF(K208="New",0,SUMIF('MPG Payment '!$E$3:$E$34579,'Shayak Income '!D208,'MPG Payment '!$AC$3:$AC$34579))))+0)+0</f>
        <v>1518.4023820763896</v>
      </c>
      <c r="V208" s="127">
        <f t="shared" si="70"/>
        <v>786</v>
      </c>
      <c r="W208" s="19">
        <v>786</v>
      </c>
      <c r="X208" s="19">
        <v>0</v>
      </c>
      <c r="Y208" s="128">
        <f>IFERROR(VLOOKUP(D208,'Monthly Deduction'!$M$2:$N$64,2,0),0)</f>
        <v>0</v>
      </c>
      <c r="Z208" s="128">
        <v>0</v>
      </c>
      <c r="AA208" s="126">
        <f>IFERROR(VLOOKUP(D208,'Monthly Deduction'!A:B,2,0),0)</f>
        <v>0</v>
      </c>
      <c r="AB208" s="129">
        <f t="shared" si="61"/>
        <v>0</v>
      </c>
      <c r="AC208" s="130">
        <v>0</v>
      </c>
      <c r="AD208" s="35">
        <f t="shared" si="72"/>
        <v>0</v>
      </c>
      <c r="AE208" s="166" t="str">
        <f t="shared" si="73"/>
        <v>Release</v>
      </c>
      <c r="AF208" s="127"/>
      <c r="AG208" s="18">
        <v>0</v>
      </c>
      <c r="AH208" s="120"/>
      <c r="AI208" s="238">
        <v>0</v>
      </c>
      <c r="AJ208" s="132"/>
      <c r="AK208" s="151">
        <v>252.04999999999998</v>
      </c>
      <c r="AL208" s="154">
        <f t="shared" si="62"/>
        <v>0</v>
      </c>
      <c r="AM208" s="155"/>
      <c r="AN208" s="19">
        <f t="shared" si="63"/>
        <v>1861</v>
      </c>
      <c r="AO208" s="118">
        <f>SUMIF('MPG Payment '!E:E,'Shayak Income '!D208,'MPG Payment '!AJ:AJ)</f>
        <v>0</v>
      </c>
      <c r="AP208" s="19">
        <f t="shared" si="64"/>
        <v>786</v>
      </c>
      <c r="AQ208" s="119">
        <f t="shared" si="74"/>
        <v>786</v>
      </c>
      <c r="AR208" s="91" t="s">
        <v>1168</v>
      </c>
      <c r="AS208" s="91">
        <f t="shared" si="65"/>
        <v>0</v>
      </c>
      <c r="AT208" s="118"/>
      <c r="AU208" s="118"/>
      <c r="AV208" s="118"/>
    </row>
    <row r="209" spans="1:48" s="20" customFormat="1" x14ac:dyDescent="0.25">
      <c r="A209" s="17">
        <f>IFERROR(VLOOKUP(D209,'Monthly Deduction'!$I$3:$J$957,2,0),0)</f>
        <v>0</v>
      </c>
      <c r="B209" s="17">
        <f>IFERROR(VLOOKUP(D209,'Monthly Deduction'!$E$3:$F$957,2,0),0)</f>
        <v>0</v>
      </c>
      <c r="C209" s="17">
        <f t="shared" si="66"/>
        <v>0</v>
      </c>
      <c r="D209" s="41">
        <v>10080024</v>
      </c>
      <c r="E209" s="122" t="str">
        <f>VLOOKUP(D209,'MPG Payment '!$E$3:$G$498218,2,0)</f>
        <v>Ananaya Dairy</v>
      </c>
      <c r="F209" s="146">
        <f>IFERROR(_xlfn.XLOOKUP(D209,'Monthly Deduction'!$I$3:$I$957,'Monthly Deduction'!$H$3:$H$957),0)</f>
        <v>0</v>
      </c>
      <c r="G209" s="123" t="str">
        <f>VLOOKUP(D209,'MPG Payment '!$E$3:$G$334579,3,0)</f>
        <v>vlc</v>
      </c>
      <c r="H209" s="124" t="str">
        <f>VLOOKUP(D209,'MPG Payment '!$E$3:$H$334579,4,0)</f>
        <v>Indirect</v>
      </c>
      <c r="I209" s="88">
        <f>INDEX('MPG Payment '!$C:$C,MATCH('Shayak Income '!D209,'MPG Payment '!E:E,0))</f>
        <v>1008</v>
      </c>
      <c r="J209" s="88" t="str">
        <f>INDEX('MPG Payment '!$D:$D,MATCH('Shayak Income '!D209,'MPG Payment '!E:E,0))</f>
        <v>Teghra</v>
      </c>
      <c r="K209" s="125" t="s">
        <v>1322</v>
      </c>
      <c r="L209" s="125">
        <v>45001</v>
      </c>
      <c r="M209" s="126">
        <f>SUMIF('MPG Payment '!$E$3:$E$34579,'Shayak Income '!D209,'MPG Payment '!$I$3:$I$34579)</f>
        <v>11088</v>
      </c>
      <c r="N209" s="126">
        <f>SUMIF('MPG Payment '!$E$3:$E$34579,'Shayak Income '!D209,'MPG Payment '!$J$3:$J$34579)</f>
        <v>415747.54405590001</v>
      </c>
      <c r="O209" s="126">
        <f t="shared" si="67"/>
        <v>8316</v>
      </c>
      <c r="P209" s="126">
        <f t="shared" si="68"/>
        <v>10533.6</v>
      </c>
      <c r="Q209" s="126">
        <f>SUMIF('MPG Payment '!$E$3:$E$34579,'Shayak Income '!D209,'MPG Payment '!$S$3:$S$34579)</f>
        <v>0</v>
      </c>
      <c r="R209" s="126">
        <f t="shared" si="58"/>
        <v>12472.426321677</v>
      </c>
      <c r="S209" s="126">
        <f t="shared" si="59"/>
        <v>1938.8263216769992</v>
      </c>
      <c r="T209" s="126">
        <f t="shared" si="69"/>
        <v>1108.8</v>
      </c>
      <c r="U209" s="127">
        <f>(((IF(K209="New",0,SUMIF('MPG Payment '!$E$3:$E$34579,'Shayak Income '!D209,'MPG Payment '!$AC$3:$AC$34579))))+0)+0</f>
        <v>0</v>
      </c>
      <c r="V209" s="127">
        <f t="shared" si="70"/>
        <v>17741</v>
      </c>
      <c r="W209" s="19">
        <f t="shared" si="71"/>
        <v>0</v>
      </c>
      <c r="X209" s="19">
        <f t="shared" si="60"/>
        <v>0</v>
      </c>
      <c r="Y209" s="128">
        <f>IFERROR(VLOOKUP(D209,'Monthly Deduction'!$M$2:$N$64,2,0),0)</f>
        <v>0</v>
      </c>
      <c r="Z209" s="128">
        <v>0</v>
      </c>
      <c r="AA209" s="126">
        <f>IFERROR(VLOOKUP(D209,'Monthly Deduction'!A:B,2,0),0)</f>
        <v>0</v>
      </c>
      <c r="AB209" s="129">
        <f t="shared" si="61"/>
        <v>17741</v>
      </c>
      <c r="AC209" s="130">
        <v>0</v>
      </c>
      <c r="AD209" s="35">
        <f t="shared" si="72"/>
        <v>17741</v>
      </c>
      <c r="AE209" s="166" t="str">
        <f t="shared" si="73"/>
        <v>Release</v>
      </c>
      <c r="AF209" s="127"/>
      <c r="AG209" s="18">
        <v>0</v>
      </c>
      <c r="AH209" s="120"/>
      <c r="AI209" s="238">
        <v>0</v>
      </c>
      <c r="AJ209" s="132"/>
      <c r="AK209" s="151">
        <v>3341</v>
      </c>
      <c r="AL209" s="154">
        <f t="shared" si="62"/>
        <v>0</v>
      </c>
      <c r="AM209" s="155"/>
      <c r="AN209" s="19">
        <f t="shared" si="63"/>
        <v>0</v>
      </c>
      <c r="AO209" s="118">
        <f>SUMIF('MPG Payment '!E:E,'Shayak Income '!D209,'MPG Payment '!AJ:AJ)</f>
        <v>0</v>
      </c>
      <c r="AP209" s="19">
        <f t="shared" si="64"/>
        <v>0</v>
      </c>
      <c r="AQ209" s="119">
        <f t="shared" si="74"/>
        <v>0</v>
      </c>
      <c r="AR209" s="91" t="s">
        <v>1168</v>
      </c>
      <c r="AS209" s="91">
        <f t="shared" si="65"/>
        <v>0</v>
      </c>
      <c r="AT209" s="118"/>
      <c r="AU209" s="118"/>
      <c r="AV209" s="118"/>
    </row>
    <row r="210" spans="1:48" s="20" customFormat="1" x14ac:dyDescent="0.25">
      <c r="A210" s="17">
        <f>IFERROR(VLOOKUP(D210,'Monthly Deduction'!$I$3:$J$957,2,0),0)</f>
        <v>0</v>
      </c>
      <c r="B210" s="17">
        <f>IFERROR(VLOOKUP(D210,'Monthly Deduction'!$E$3:$F$957,2,0),0)</f>
        <v>16324.609199999999</v>
      </c>
      <c r="C210" s="17">
        <f t="shared" si="66"/>
        <v>16324.609199999999</v>
      </c>
      <c r="D210" s="41">
        <v>10080025</v>
      </c>
      <c r="E210" s="122" t="str">
        <f>VLOOKUP(D210,'MPG Payment '!$E$3:$G$498218,2,0)</f>
        <v>Gomukh Bishanpur</v>
      </c>
      <c r="F210" s="146">
        <f>IFERROR(_xlfn.XLOOKUP(D210,'Monthly Deduction'!$I$3:$I$957,'Monthly Deduction'!$H$3:$H$957),0)</f>
        <v>0</v>
      </c>
      <c r="G210" s="123" t="str">
        <f>VLOOKUP(D210,'MPG Payment '!$E$3:$G$334579,3,0)</f>
        <v>MPG</v>
      </c>
      <c r="H210" s="124" t="str">
        <f>VLOOKUP(D210,'MPG Payment '!$E$3:$H$334579,4,0)</f>
        <v>Direct</v>
      </c>
      <c r="I210" s="88">
        <f>INDEX('MPG Payment '!$C:$C,MATCH('Shayak Income '!D210,'MPG Payment '!E:E,0))</f>
        <v>1008</v>
      </c>
      <c r="J210" s="88" t="str">
        <f>INDEX('MPG Payment '!$D:$D,MATCH('Shayak Income '!D210,'MPG Payment '!E:E,0))</f>
        <v>Teghra</v>
      </c>
      <c r="K210" s="125" t="s">
        <v>1322</v>
      </c>
      <c r="L210" s="125">
        <v>45003</v>
      </c>
      <c r="M210" s="126">
        <f>SUMIF('MPG Payment '!$E$3:$E$34579,'Shayak Income '!D210,'MPG Payment '!$I$3:$I$34579)</f>
        <v>3281.3999999999996</v>
      </c>
      <c r="N210" s="126">
        <f>SUMIF('MPG Payment '!$E$3:$E$34579,'Shayak Income '!D210,'MPG Payment '!$J$3:$J$34579)</f>
        <v>118391.45117798251</v>
      </c>
      <c r="O210" s="126">
        <f t="shared" si="67"/>
        <v>2461.0499999999997</v>
      </c>
      <c r="P210" s="126">
        <f t="shared" si="68"/>
        <v>3117.3299999999995</v>
      </c>
      <c r="Q210" s="126">
        <f>SUMIF('MPG Payment '!$E$3:$E$34579,'Shayak Income '!D210,'MPG Payment '!$S$3:$S$34579)</f>
        <v>2025.9237999046504</v>
      </c>
      <c r="R210" s="126">
        <f t="shared" si="58"/>
        <v>3551.7435353394753</v>
      </c>
      <c r="S210" s="126">
        <f t="shared" si="59"/>
        <v>434.41353533947586</v>
      </c>
      <c r="T210" s="126">
        <f t="shared" si="69"/>
        <v>328.14</v>
      </c>
      <c r="U210" s="127">
        <f>(((IF(K210="New",0,SUMIF('MPG Payment '!$E$3:$E$34579,'Shayak Income '!D210,'MPG Payment '!$AC$3:$AC$34579))))+0)+0</f>
        <v>0</v>
      </c>
      <c r="V210" s="127">
        <f t="shared" si="70"/>
        <v>7276</v>
      </c>
      <c r="W210" s="19">
        <f t="shared" si="71"/>
        <v>0</v>
      </c>
      <c r="X210" s="19">
        <f t="shared" si="60"/>
        <v>2367.8290235596501</v>
      </c>
      <c r="Y210" s="128">
        <f>IFERROR(VLOOKUP(D210,'Monthly Deduction'!$M$2:$N$64,2,0),0)</f>
        <v>0</v>
      </c>
      <c r="Z210" s="128">
        <v>0</v>
      </c>
      <c r="AA210" s="126">
        <f>IFERROR(VLOOKUP(D210,'Monthly Deduction'!A:B,2,0),0)</f>
        <v>0</v>
      </c>
      <c r="AB210" s="129">
        <f t="shared" si="61"/>
        <v>4908</v>
      </c>
      <c r="AC210" s="130">
        <v>0</v>
      </c>
      <c r="AD210" s="35">
        <f t="shared" si="72"/>
        <v>4908</v>
      </c>
      <c r="AE210" s="166" t="str">
        <f t="shared" si="73"/>
        <v>Release</v>
      </c>
      <c r="AF210" s="127"/>
      <c r="AG210" s="18">
        <v>0</v>
      </c>
      <c r="AH210" s="120"/>
      <c r="AI210" s="238">
        <v>0</v>
      </c>
      <c r="AJ210" s="132"/>
      <c r="AK210" s="151">
        <v>816.15000000000009</v>
      </c>
      <c r="AL210" s="154">
        <f t="shared" si="62"/>
        <v>0</v>
      </c>
      <c r="AM210" s="155"/>
      <c r="AN210" s="19">
        <f t="shared" si="63"/>
        <v>0</v>
      </c>
      <c r="AO210" s="118">
        <f>SUMIF('MPG Payment '!E:E,'Shayak Income '!D210,'MPG Payment '!AJ:AJ)</f>
        <v>0</v>
      </c>
      <c r="AP210" s="19">
        <f t="shared" si="64"/>
        <v>0</v>
      </c>
      <c r="AQ210" s="119">
        <f t="shared" si="74"/>
        <v>0</v>
      </c>
      <c r="AR210" s="91" t="s">
        <v>1168</v>
      </c>
      <c r="AS210" s="91">
        <f t="shared" si="65"/>
        <v>13956.780176440348</v>
      </c>
      <c r="AT210" s="118"/>
      <c r="AU210" s="118"/>
      <c r="AV210" s="118"/>
    </row>
    <row r="211" spans="1:48" s="20" customFormat="1" x14ac:dyDescent="0.25">
      <c r="A211" s="17">
        <f>IFERROR(VLOOKUP(D211,'Monthly Deduction'!$I$3:$J$957,2,0),0)</f>
        <v>41146.57693475837</v>
      </c>
      <c r="B211" s="17">
        <f>IFERROR(VLOOKUP(D211,'Monthly Deduction'!$E$3:$F$957,2,0),0)</f>
        <v>3607.9609999999998</v>
      </c>
      <c r="C211" s="17">
        <f t="shared" si="66"/>
        <v>44754.537934758373</v>
      </c>
      <c r="D211" s="41">
        <v>10080032</v>
      </c>
      <c r="E211" s="122" t="str">
        <f>VLOOKUP(D211,'MPG Payment '!$E$3:$G$498218,2,0)</f>
        <v>GOMUKH BEGAMSARAI</v>
      </c>
      <c r="F211" s="146">
        <f>IFERROR(_xlfn.XLOOKUP(D211,'Monthly Deduction'!$I$3:$I$957,'Monthly Deduction'!$H$3:$H$957),0)</f>
        <v>0</v>
      </c>
      <c r="G211" s="123" t="str">
        <f>VLOOKUP(D211,'MPG Payment '!$E$3:$G$334579,3,0)</f>
        <v>MPG</v>
      </c>
      <c r="H211" s="124" t="str">
        <f>VLOOKUP(D211,'MPG Payment '!$E$3:$H$334579,4,0)</f>
        <v>Direct</v>
      </c>
      <c r="I211" s="88">
        <f>INDEX('MPG Payment '!$C:$C,MATCH('Shayak Income '!D211,'MPG Payment '!E:E,0))</f>
        <v>1008</v>
      </c>
      <c r="J211" s="88" t="str">
        <f>INDEX('MPG Payment '!$D:$D,MATCH('Shayak Income '!D211,'MPG Payment '!E:E,0))</f>
        <v>Teghra</v>
      </c>
      <c r="K211" s="125" t="s">
        <v>1322</v>
      </c>
      <c r="L211" s="125">
        <v>45148</v>
      </c>
      <c r="M211" s="126">
        <f>SUMIF('MPG Payment '!$E$3:$E$34579,'Shayak Income '!D211,'MPG Payment '!$I$3:$I$34579)</f>
        <v>1660.35</v>
      </c>
      <c r="N211" s="126">
        <f>SUMIF('MPG Payment '!$E$3:$E$34579,'Shayak Income '!D211,'MPG Payment '!$J$3:$J$34579)</f>
        <v>68658.863440125759</v>
      </c>
      <c r="O211" s="126">
        <f t="shared" si="67"/>
        <v>1245.2624999999998</v>
      </c>
      <c r="P211" s="126">
        <f t="shared" si="68"/>
        <v>1577.3324999999998</v>
      </c>
      <c r="Q211" s="126">
        <f>SUMIF('MPG Payment '!$E$3:$E$34579,'Shayak Income '!D211,'MPG Payment '!$S$3:$S$34579)</f>
        <v>248.00176610295003</v>
      </c>
      <c r="R211" s="126">
        <f t="shared" si="58"/>
        <v>2059.7659032037727</v>
      </c>
      <c r="S211" s="126">
        <f t="shared" si="59"/>
        <v>482.43340320377297</v>
      </c>
      <c r="T211" s="126">
        <f t="shared" si="69"/>
        <v>166.035</v>
      </c>
      <c r="U211" s="127">
        <f>(((IF(K211="New",0,SUMIF('MPG Payment '!$E$3:$E$34579,'Shayak Income '!D211,'MPG Payment '!$AC$3:$AC$34579))))+0)+0</f>
        <v>947.70022662246356</v>
      </c>
      <c r="V211" s="127">
        <f t="shared" si="70"/>
        <v>1957</v>
      </c>
      <c r="W211" s="19">
        <f t="shared" si="71"/>
        <v>1861</v>
      </c>
      <c r="X211" s="19">
        <v>0</v>
      </c>
      <c r="Y211" s="128">
        <f>IFERROR(VLOOKUP(D211,'Monthly Deduction'!$M$2:$N$64,2,0),0)</f>
        <v>0</v>
      </c>
      <c r="Z211" s="128">
        <v>0</v>
      </c>
      <c r="AA211" s="126">
        <f>IFERROR(VLOOKUP(D211,'Monthly Deduction'!A:B,2,0),0)</f>
        <v>0</v>
      </c>
      <c r="AB211" s="129">
        <f t="shared" si="61"/>
        <v>96</v>
      </c>
      <c r="AC211" s="130">
        <v>0</v>
      </c>
      <c r="AD211" s="35">
        <f t="shared" si="72"/>
        <v>96</v>
      </c>
      <c r="AE211" s="166" t="str">
        <f t="shared" si="73"/>
        <v>Release</v>
      </c>
      <c r="AF211" s="127"/>
      <c r="AG211" s="18">
        <v>0</v>
      </c>
      <c r="AH211" s="132"/>
      <c r="AI211" s="238">
        <v>0</v>
      </c>
      <c r="AJ211" s="132"/>
      <c r="AK211" s="151">
        <v>347.2</v>
      </c>
      <c r="AL211" s="154">
        <f t="shared" si="62"/>
        <v>0</v>
      </c>
      <c r="AM211" s="155"/>
      <c r="AN211" s="19">
        <f t="shared" si="63"/>
        <v>1861</v>
      </c>
      <c r="AO211" s="118">
        <f>SUMIF('MPG Payment '!E:E,'Shayak Income '!D211,'MPG Payment '!AJ:AJ)</f>
        <v>0</v>
      </c>
      <c r="AP211" s="19">
        <f t="shared" si="64"/>
        <v>1861</v>
      </c>
      <c r="AQ211" s="119">
        <f t="shared" si="74"/>
        <v>1861</v>
      </c>
      <c r="AR211" s="91" t="s">
        <v>1168</v>
      </c>
      <c r="AS211" s="91">
        <f t="shared" si="65"/>
        <v>3607.9609999999998</v>
      </c>
      <c r="AT211" s="118"/>
      <c r="AU211" s="118"/>
      <c r="AV211" s="118"/>
    </row>
    <row r="212" spans="1:48" s="20" customFormat="1" x14ac:dyDescent="0.25">
      <c r="A212" s="17">
        <f>IFERROR(VLOOKUP(D212,'Monthly Deduction'!$I$3:$J$957,2,0),0)</f>
        <v>0</v>
      </c>
      <c r="B212" s="17">
        <f>IFERROR(VLOOKUP(D212,'Monthly Deduction'!$E$3:$F$957,2,0),0)</f>
        <v>0</v>
      </c>
      <c r="C212" s="17">
        <f t="shared" si="66"/>
        <v>0</v>
      </c>
      <c r="D212" s="41">
        <v>10080039</v>
      </c>
      <c r="E212" s="122" t="str">
        <f>VLOOKUP(D212,'MPG Payment '!$E$3:$G$498218,2,0)</f>
        <v>Hasanpur - Abhijeet</v>
      </c>
      <c r="F212" s="146">
        <f>IFERROR(_xlfn.XLOOKUP(D212,'Monthly Deduction'!$I$3:$I$957,'Monthly Deduction'!$H$3:$H$957),0)</f>
        <v>0</v>
      </c>
      <c r="G212" s="123" t="str">
        <f>VLOOKUP(D212,'MPG Payment '!$E$3:$G$334579,3,0)</f>
        <v>vlc</v>
      </c>
      <c r="H212" s="124" t="str">
        <f>VLOOKUP(D212,'MPG Payment '!$E$3:$H$334579,4,0)</f>
        <v>Indirect</v>
      </c>
      <c r="I212" s="88">
        <f>INDEX('MPG Payment '!$C:$C,MATCH('Shayak Income '!D212,'MPG Payment '!E:E,0))</f>
        <v>1008</v>
      </c>
      <c r="J212" s="88" t="str">
        <f>INDEX('MPG Payment '!$D:$D,MATCH('Shayak Income '!D212,'MPG Payment '!E:E,0))</f>
        <v>Teghra</v>
      </c>
      <c r="K212" s="125" t="s">
        <v>1322</v>
      </c>
      <c r="L212" s="125">
        <v>45115</v>
      </c>
      <c r="M212" s="126">
        <f>SUMIF('MPG Payment '!$E$3:$E$34579,'Shayak Income '!D212,'MPG Payment '!$I$3:$I$34579)</f>
        <v>37.700000000000003</v>
      </c>
      <c r="N212" s="126">
        <f>SUMIF('MPG Payment '!$E$3:$E$34579,'Shayak Income '!D212,'MPG Payment '!$J$3:$J$34579)</f>
        <v>1215.45</v>
      </c>
      <c r="O212" s="126">
        <f t="shared" si="67"/>
        <v>28.275000000000002</v>
      </c>
      <c r="P212" s="126">
        <f t="shared" si="68"/>
        <v>35.814999999999998</v>
      </c>
      <c r="Q212" s="126">
        <f>SUMIF('MPG Payment '!$E$3:$E$34579,'Shayak Income '!D212,'MPG Payment '!$S$3:$S$34579)</f>
        <v>0</v>
      </c>
      <c r="R212" s="126">
        <f t="shared" si="58"/>
        <v>36.463500000000003</v>
      </c>
      <c r="S212" s="126">
        <f t="shared" si="59"/>
        <v>0.64850000000000563</v>
      </c>
      <c r="T212" s="126">
        <f t="shared" si="69"/>
        <v>3.7700000000000005</v>
      </c>
      <c r="U212" s="127">
        <f>(((IF(K212="New",0,SUMIF('MPG Payment '!$E$3:$E$34579,'Shayak Income '!D212,'MPG Payment '!$AC$3:$AC$34579))))+0)+-367</f>
        <v>60.051742705570234</v>
      </c>
      <c r="V212" s="127">
        <f t="shared" si="70"/>
        <v>0</v>
      </c>
      <c r="W212" s="19">
        <v>0</v>
      </c>
      <c r="X212" s="19">
        <v>0</v>
      </c>
      <c r="Y212" s="128">
        <f>IFERROR(VLOOKUP(D212,'Monthly Deduction'!$M$2:$N$64,2,0),0)</f>
        <v>0</v>
      </c>
      <c r="Z212" s="128">
        <v>0</v>
      </c>
      <c r="AA212" s="126">
        <f>IFERROR(VLOOKUP(D212,'Monthly Deduction'!A:B,2,0),0)</f>
        <v>0</v>
      </c>
      <c r="AB212" s="129">
        <f t="shared" si="61"/>
        <v>0</v>
      </c>
      <c r="AC212" s="130">
        <f>AB212</f>
        <v>0</v>
      </c>
      <c r="AD212" s="35">
        <f t="shared" si="72"/>
        <v>0</v>
      </c>
      <c r="AE212" s="166" t="str">
        <f t="shared" si="73"/>
        <v>Release</v>
      </c>
      <c r="AF212" s="127"/>
      <c r="AG212" s="18">
        <v>0</v>
      </c>
      <c r="AH212" s="132" t="s">
        <v>1648</v>
      </c>
      <c r="AI212" s="238">
        <v>0</v>
      </c>
      <c r="AJ212" s="132"/>
      <c r="AK212" s="151">
        <v>0</v>
      </c>
      <c r="AL212" s="154">
        <f t="shared" si="62"/>
        <v>0</v>
      </c>
      <c r="AM212" s="155"/>
      <c r="AN212" s="19">
        <f t="shared" si="63"/>
        <v>0</v>
      </c>
      <c r="AO212" s="118">
        <f>SUMIF('MPG Payment '!E:E,'Shayak Income '!D212,'MPG Payment '!AJ:AJ)</f>
        <v>0</v>
      </c>
      <c r="AP212" s="19">
        <f t="shared" si="64"/>
        <v>0</v>
      </c>
      <c r="AQ212" s="119">
        <f t="shared" si="74"/>
        <v>0</v>
      </c>
      <c r="AR212" s="91" t="s">
        <v>1168</v>
      </c>
      <c r="AS212" s="91">
        <f t="shared" si="65"/>
        <v>0</v>
      </c>
      <c r="AT212" s="118"/>
      <c r="AU212" s="118"/>
      <c r="AV212" s="118"/>
    </row>
    <row r="213" spans="1:48" s="20" customFormat="1" x14ac:dyDescent="0.25">
      <c r="A213" s="17">
        <f>IFERROR(VLOOKUP(D213,'Monthly Deduction'!$I$3:$J$957,2,0),0)</f>
        <v>0</v>
      </c>
      <c r="B213" s="17">
        <f>IFERROR(VLOOKUP(D213,'Monthly Deduction'!$E$3:$F$957,2,0),0)</f>
        <v>0</v>
      </c>
      <c r="C213" s="17">
        <f t="shared" si="66"/>
        <v>0</v>
      </c>
      <c r="D213" s="41">
        <v>10080040</v>
      </c>
      <c r="E213" s="122" t="str">
        <f>VLOOKUP(D213,'MPG Payment '!$E$3:$G$498218,2,0)</f>
        <v>Adharpur - Manish</v>
      </c>
      <c r="F213" s="146">
        <f>IFERROR(_xlfn.XLOOKUP(D213,'Monthly Deduction'!$I$3:$I$957,'Monthly Deduction'!$H$3:$H$957),0)</f>
        <v>0</v>
      </c>
      <c r="G213" s="123" t="str">
        <f>VLOOKUP(D213,'MPG Payment '!$E$3:$G$334579,3,0)</f>
        <v>vlc</v>
      </c>
      <c r="H213" s="124" t="str">
        <f>VLOOKUP(D213,'MPG Payment '!$E$3:$H$334579,4,0)</f>
        <v>Indirect</v>
      </c>
      <c r="I213" s="88">
        <f>INDEX('MPG Payment '!$C:$C,MATCH('Shayak Income '!D213,'MPG Payment '!E:E,0))</f>
        <v>1008</v>
      </c>
      <c r="J213" s="88" t="str">
        <f>INDEX('MPG Payment '!$D:$D,MATCH('Shayak Income '!D213,'MPG Payment '!E:E,0))</f>
        <v>Teghra</v>
      </c>
      <c r="K213" s="125" t="s">
        <v>1322</v>
      </c>
      <c r="L213" s="125">
        <v>44379</v>
      </c>
      <c r="M213" s="126">
        <f>SUMIF('MPG Payment '!$E$3:$E$34579,'Shayak Income '!D213,'MPG Payment '!$I$3:$I$34579)</f>
        <v>3683.6</v>
      </c>
      <c r="N213" s="126">
        <f>SUMIF('MPG Payment '!$E$3:$E$34579,'Shayak Income '!D213,'MPG Payment '!$J$3:$J$34579)</f>
        <v>146303.34583387899</v>
      </c>
      <c r="O213" s="126">
        <f t="shared" si="67"/>
        <v>2762.7</v>
      </c>
      <c r="P213" s="126">
        <f t="shared" si="68"/>
        <v>3499.4199999999996</v>
      </c>
      <c r="Q213" s="126">
        <f>SUMIF('MPG Payment '!$E$3:$E$34579,'Shayak Income '!D213,'MPG Payment '!$S$3:$S$34579)</f>
        <v>0</v>
      </c>
      <c r="R213" s="126">
        <f t="shared" si="58"/>
        <v>4389.10037501637</v>
      </c>
      <c r="S213" s="126">
        <f t="shared" si="59"/>
        <v>889.68037501637036</v>
      </c>
      <c r="T213" s="126">
        <f t="shared" si="69"/>
        <v>368.36</v>
      </c>
      <c r="U213" s="127">
        <f>(((IF(K213="New",0,SUMIF('MPG Payment '!$E$3:$E$34579,'Shayak Income '!D213,'MPG Payment '!$AC$3:$AC$34579))))+0)+0</f>
        <v>0</v>
      </c>
      <c r="V213" s="127">
        <f t="shared" si="70"/>
        <v>5894</v>
      </c>
      <c r="W213" s="19">
        <f t="shared" si="71"/>
        <v>0</v>
      </c>
      <c r="X213" s="19">
        <f t="shared" si="60"/>
        <v>0</v>
      </c>
      <c r="Y213" s="128">
        <f>IFERROR(VLOOKUP(D213,'Monthly Deduction'!$M$2:$N$64,2,0),0)</f>
        <v>0</v>
      </c>
      <c r="Z213" s="128">
        <v>0</v>
      </c>
      <c r="AA213" s="126">
        <f>IFERROR(VLOOKUP(D213,'Monthly Deduction'!A:B,2,0),0)</f>
        <v>0</v>
      </c>
      <c r="AB213" s="129">
        <f t="shared" si="61"/>
        <v>5894</v>
      </c>
      <c r="AC213" s="130">
        <v>0</v>
      </c>
      <c r="AD213" s="35">
        <f t="shared" si="72"/>
        <v>5894</v>
      </c>
      <c r="AE213" s="166" t="str">
        <f t="shared" si="73"/>
        <v>Release</v>
      </c>
      <c r="AF213" s="127"/>
      <c r="AG213" s="18">
        <v>0</v>
      </c>
      <c r="AH213" s="120"/>
      <c r="AI213" s="238">
        <v>0</v>
      </c>
      <c r="AJ213" s="132"/>
      <c r="AK213" s="151">
        <v>897.79999999999984</v>
      </c>
      <c r="AL213" s="154">
        <f t="shared" si="62"/>
        <v>0</v>
      </c>
      <c r="AM213" s="155"/>
      <c r="AN213" s="19">
        <f t="shared" si="63"/>
        <v>0</v>
      </c>
      <c r="AO213" s="118">
        <f>SUMIF('MPG Payment '!E:E,'Shayak Income '!D213,'MPG Payment '!AJ:AJ)</f>
        <v>0</v>
      </c>
      <c r="AP213" s="19">
        <f t="shared" si="64"/>
        <v>0</v>
      </c>
      <c r="AQ213" s="119">
        <f t="shared" si="74"/>
        <v>0</v>
      </c>
      <c r="AR213" s="91" t="s">
        <v>1168</v>
      </c>
      <c r="AS213" s="91">
        <f t="shared" si="65"/>
        <v>0</v>
      </c>
      <c r="AT213" s="118"/>
      <c r="AU213" s="118"/>
      <c r="AV213" s="118"/>
    </row>
    <row r="214" spans="1:48" s="20" customFormat="1" x14ac:dyDescent="0.25">
      <c r="A214" s="17">
        <f>IFERROR(VLOOKUP(D214,'Monthly Deduction'!$I$3:$J$957,2,0),0)</f>
        <v>0</v>
      </c>
      <c r="B214" s="17">
        <f>IFERROR(VLOOKUP(D214,'Monthly Deduction'!$E$3:$F$957,2,0),0)</f>
        <v>0</v>
      </c>
      <c r="C214" s="17">
        <f t="shared" si="66"/>
        <v>0</v>
      </c>
      <c r="D214" s="41">
        <v>10080043</v>
      </c>
      <c r="E214" s="122" t="str">
        <f>VLOOKUP(D214,'MPG Payment '!$E$3:$G$498218,2,0)</f>
        <v>Gangaprasad - Prashant</v>
      </c>
      <c r="F214" s="146">
        <f>IFERROR(_xlfn.XLOOKUP(D214,'Monthly Deduction'!$I$3:$I$957,'Monthly Deduction'!$H$3:$H$957),0)</f>
        <v>0</v>
      </c>
      <c r="G214" s="123" t="str">
        <f>VLOOKUP(D214,'MPG Payment '!$E$3:$G$334579,3,0)</f>
        <v>vlc</v>
      </c>
      <c r="H214" s="124" t="str">
        <f>VLOOKUP(D214,'MPG Payment '!$E$3:$H$334579,4,0)</f>
        <v>Indirect</v>
      </c>
      <c r="I214" s="88">
        <f>INDEX('MPG Payment '!$C:$C,MATCH('Shayak Income '!D214,'MPG Payment '!E:E,0))</f>
        <v>1008</v>
      </c>
      <c r="J214" s="88" t="str">
        <f>INDEX('MPG Payment '!$D:$D,MATCH('Shayak Income '!D214,'MPG Payment '!E:E,0))</f>
        <v>Teghra</v>
      </c>
      <c r="K214" s="125" t="s">
        <v>1322</v>
      </c>
      <c r="L214" s="125">
        <v>45111</v>
      </c>
      <c r="M214" s="126">
        <f>SUMIF('MPG Payment '!$E$3:$E$34579,'Shayak Income '!D214,'MPG Payment '!$I$3:$I$34579)</f>
        <v>1823.9500000000003</v>
      </c>
      <c r="N214" s="126">
        <f>SUMIF('MPG Payment '!$E$3:$E$34579,'Shayak Income '!D214,'MPG Payment '!$J$3:$J$34579)</f>
        <v>66130.603814619011</v>
      </c>
      <c r="O214" s="126">
        <f t="shared" si="67"/>
        <v>1367.9625000000001</v>
      </c>
      <c r="P214" s="126">
        <f t="shared" si="68"/>
        <v>1732.7525000000003</v>
      </c>
      <c r="Q214" s="126">
        <f>SUMIF('MPG Payment '!$E$3:$E$34579,'Shayak Income '!D214,'MPG Payment '!$S$3:$S$34579)</f>
        <v>0</v>
      </c>
      <c r="R214" s="126">
        <f t="shared" si="58"/>
        <v>1983.9181144385702</v>
      </c>
      <c r="S214" s="126">
        <f t="shared" si="59"/>
        <v>251.16561443856995</v>
      </c>
      <c r="T214" s="126">
        <f t="shared" si="69"/>
        <v>182.39500000000004</v>
      </c>
      <c r="U214" s="127">
        <f>(((IF(K214="New",0,SUMIF('MPG Payment '!$E$3:$E$34579,'Shayak Income '!D214,'MPG Payment '!$AC$3:$AC$34579))))+0)+0</f>
        <v>290.11446897189825</v>
      </c>
      <c r="V214" s="127">
        <f t="shared" si="70"/>
        <v>2628</v>
      </c>
      <c r="W214" s="19">
        <f t="shared" si="71"/>
        <v>0</v>
      </c>
      <c r="X214" s="19">
        <f t="shared" si="60"/>
        <v>0</v>
      </c>
      <c r="Y214" s="128">
        <f>IFERROR(VLOOKUP(D214,'Monthly Deduction'!$M$2:$N$64,2,0),0)</f>
        <v>0</v>
      </c>
      <c r="Z214" s="128">
        <v>0</v>
      </c>
      <c r="AA214" s="126">
        <f>IFERROR(VLOOKUP(D214,'Monthly Deduction'!A:B,2,0),0)</f>
        <v>0</v>
      </c>
      <c r="AB214" s="129">
        <f t="shared" si="61"/>
        <v>2628</v>
      </c>
      <c r="AC214" s="130">
        <v>0</v>
      </c>
      <c r="AD214" s="35">
        <f t="shared" si="72"/>
        <v>2628</v>
      </c>
      <c r="AE214" s="166" t="str">
        <f t="shared" si="73"/>
        <v>Release</v>
      </c>
      <c r="AF214" s="127"/>
      <c r="AG214" s="18">
        <v>0</v>
      </c>
      <c r="AH214" s="120"/>
      <c r="AI214" s="238">
        <v>0</v>
      </c>
      <c r="AJ214" s="132"/>
      <c r="AK214" s="151">
        <v>1099.75</v>
      </c>
      <c r="AL214" s="154">
        <f t="shared" si="62"/>
        <v>0</v>
      </c>
      <c r="AM214" s="155"/>
      <c r="AN214" s="19">
        <f t="shared" si="63"/>
        <v>0</v>
      </c>
      <c r="AO214" s="118">
        <f>SUMIF('MPG Payment '!E:E,'Shayak Income '!D214,'MPG Payment '!AJ:AJ)</f>
        <v>0</v>
      </c>
      <c r="AP214" s="19">
        <f t="shared" si="64"/>
        <v>0</v>
      </c>
      <c r="AQ214" s="119">
        <f t="shared" si="74"/>
        <v>0</v>
      </c>
      <c r="AR214" s="91" t="s">
        <v>1168</v>
      </c>
      <c r="AS214" s="91">
        <f t="shared" si="65"/>
        <v>0</v>
      </c>
      <c r="AT214" s="118"/>
      <c r="AU214" s="118"/>
      <c r="AV214" s="118"/>
    </row>
    <row r="215" spans="1:48" s="20" customFormat="1" x14ac:dyDescent="0.25">
      <c r="A215" s="17">
        <f>IFERROR(VLOOKUP(D215,'Monthly Deduction'!$I$3:$J$957,2,0),0)</f>
        <v>49618.242423467644</v>
      </c>
      <c r="B215" s="17">
        <f>IFERROR(VLOOKUP(D215,'Monthly Deduction'!$E$3:$F$957,2,0),0)</f>
        <v>6400</v>
      </c>
      <c r="C215" s="17">
        <f t="shared" si="66"/>
        <v>56018.242423467644</v>
      </c>
      <c r="D215" s="41">
        <v>10080048</v>
      </c>
      <c r="E215" s="122" t="str">
        <f>VLOOKUP(D215,'MPG Payment '!$E$3:$G$498218,2,0)</f>
        <v>GOMUKH RANI 3</v>
      </c>
      <c r="F215" s="146">
        <f>IFERROR(_xlfn.XLOOKUP(D215,'Monthly Deduction'!$I$3:$I$957,'Monthly Deduction'!$H$3:$H$957),0)</f>
        <v>0</v>
      </c>
      <c r="G215" s="123" t="str">
        <f>VLOOKUP(D215,'MPG Payment '!$E$3:$G$334579,3,0)</f>
        <v>MPG</v>
      </c>
      <c r="H215" s="124" t="str">
        <f>VLOOKUP(D215,'MPG Payment '!$E$3:$H$334579,4,0)</f>
        <v>Direct</v>
      </c>
      <c r="I215" s="88">
        <f>INDEX('MPG Payment '!$C:$C,MATCH('Shayak Income '!D215,'MPG Payment '!E:E,0))</f>
        <v>1008</v>
      </c>
      <c r="J215" s="88" t="str">
        <f>INDEX('MPG Payment '!$D:$D,MATCH('Shayak Income '!D215,'MPG Payment '!E:E,0))</f>
        <v>Teghra</v>
      </c>
      <c r="K215" s="125" t="s">
        <v>1322</v>
      </c>
      <c r="L215" s="125">
        <v>45264</v>
      </c>
      <c r="M215" s="126">
        <f>SUMIF('MPG Payment '!$E$3:$E$34579,'Shayak Income '!D215,'MPG Payment '!$I$3:$I$34579)</f>
        <v>1192.05</v>
      </c>
      <c r="N215" s="126">
        <f>SUMIF('MPG Payment '!$E$3:$E$34579,'Shayak Income '!D215,'MPG Payment '!$J$3:$J$34579)</f>
        <v>53068.444630298705</v>
      </c>
      <c r="O215" s="126">
        <f t="shared" si="67"/>
        <v>894.03749999999991</v>
      </c>
      <c r="P215" s="126">
        <f t="shared" si="68"/>
        <v>1132.4475</v>
      </c>
      <c r="Q215" s="126">
        <f>SUMIF('MPG Payment '!$E$3:$E$34579,'Shayak Income '!D215,'MPG Payment '!$S$3:$S$34579)</f>
        <v>404.46127335375502</v>
      </c>
      <c r="R215" s="126">
        <f t="shared" si="58"/>
        <v>1592.053338908961</v>
      </c>
      <c r="S215" s="126">
        <f t="shared" si="59"/>
        <v>459.605838908961</v>
      </c>
      <c r="T215" s="126">
        <f t="shared" si="69"/>
        <v>119.205</v>
      </c>
      <c r="U215" s="127">
        <f>(((IF(K215="New",0,SUMIF('MPG Payment '!$E$3:$E$34579,'Shayak Income '!D215,'MPG Payment '!$AC$3:$AC$34579))))+0)+0</f>
        <v>1430.3380176564438</v>
      </c>
      <c r="V215" s="127">
        <f t="shared" si="70"/>
        <v>881</v>
      </c>
      <c r="W215" s="19">
        <v>881</v>
      </c>
      <c r="X215" s="19">
        <v>0</v>
      </c>
      <c r="Y215" s="128">
        <f>IFERROR(VLOOKUP(D215,'Monthly Deduction'!$M$2:$N$64,2,0),0)</f>
        <v>0</v>
      </c>
      <c r="Z215" s="128">
        <v>0</v>
      </c>
      <c r="AA215" s="126">
        <f>IFERROR(VLOOKUP(D215,'Monthly Deduction'!A:B,2,0),0)</f>
        <v>0</v>
      </c>
      <c r="AB215" s="129">
        <f t="shared" si="61"/>
        <v>0</v>
      </c>
      <c r="AC215" s="130">
        <v>0</v>
      </c>
      <c r="AD215" s="35">
        <f t="shared" si="72"/>
        <v>0</v>
      </c>
      <c r="AE215" s="166" t="str">
        <f t="shared" si="73"/>
        <v>Release</v>
      </c>
      <c r="AF215" s="127"/>
      <c r="AG215" s="18">
        <v>0</v>
      </c>
      <c r="AH215" s="120"/>
      <c r="AI215" s="238">
        <v>0</v>
      </c>
      <c r="AJ215" s="132"/>
      <c r="AK215" s="151">
        <v>437.9</v>
      </c>
      <c r="AL215" s="154">
        <f t="shared" si="62"/>
        <v>0</v>
      </c>
      <c r="AM215" s="155"/>
      <c r="AN215" s="19">
        <f t="shared" si="63"/>
        <v>1861</v>
      </c>
      <c r="AO215" s="118">
        <f>SUMIF('MPG Payment '!E:E,'Shayak Income '!D215,'MPG Payment '!AJ:AJ)</f>
        <v>500</v>
      </c>
      <c r="AP215" s="19">
        <f t="shared" si="64"/>
        <v>881</v>
      </c>
      <c r="AQ215" s="119">
        <f t="shared" si="74"/>
        <v>1381</v>
      </c>
      <c r="AR215" s="91"/>
      <c r="AS215" s="91">
        <f t="shared" si="65"/>
        <v>6400</v>
      </c>
      <c r="AT215" s="118"/>
      <c r="AU215" s="118"/>
      <c r="AV215" s="118"/>
    </row>
    <row r="216" spans="1:48" s="20" customFormat="1" x14ac:dyDescent="0.25">
      <c r="A216" s="17">
        <f>IFERROR(VLOOKUP(D216,'Monthly Deduction'!$I$3:$J$957,2,0),0)</f>
        <v>56247.218762545679</v>
      </c>
      <c r="B216" s="17">
        <f>IFERROR(VLOOKUP(D216,'Monthly Deduction'!$E$3:$F$957,2,0),0)</f>
        <v>0</v>
      </c>
      <c r="C216" s="17">
        <f t="shared" si="66"/>
        <v>56247.218762545679</v>
      </c>
      <c r="D216" s="41">
        <v>10080052</v>
      </c>
      <c r="E216" s="122" t="str">
        <f>VLOOKUP(D216,'MPG Payment '!$E$3:$G$498218,2,0)</f>
        <v>GOMUKH NONPUR</v>
      </c>
      <c r="F216" s="146">
        <f>IFERROR(_xlfn.XLOOKUP(D216,'Monthly Deduction'!$I$3:$I$957,'Monthly Deduction'!$H$3:$H$957),0)</f>
        <v>0</v>
      </c>
      <c r="G216" s="123" t="str">
        <f>VLOOKUP(D216,'MPG Payment '!$E$3:$G$334579,3,0)</f>
        <v>MPG</v>
      </c>
      <c r="H216" s="124" t="str">
        <f>VLOOKUP(D216,'MPG Payment '!$E$3:$H$334579,4,0)</f>
        <v>Direct</v>
      </c>
      <c r="I216" s="88">
        <f>INDEX('MPG Payment '!$C:$C,MATCH('Shayak Income '!D216,'MPG Payment '!E:E,0))</f>
        <v>1008</v>
      </c>
      <c r="J216" s="88" t="str">
        <f>INDEX('MPG Payment '!$D:$D,MATCH('Shayak Income '!D216,'MPG Payment '!E:E,0))</f>
        <v>Teghra</v>
      </c>
      <c r="K216" s="125" t="s">
        <v>1322</v>
      </c>
      <c r="L216" s="125">
        <v>45268</v>
      </c>
      <c r="M216" s="126">
        <f>SUMIF('MPG Payment '!$E$3:$E$34579,'Shayak Income '!D216,'MPG Payment '!$I$3:$I$34579)</f>
        <v>2778.8500000000004</v>
      </c>
      <c r="N216" s="126">
        <f>SUMIF('MPG Payment '!$E$3:$E$34579,'Shayak Income '!D216,'MPG Payment '!$J$3:$J$34579)</f>
        <v>99851.923068807999</v>
      </c>
      <c r="O216" s="126">
        <f t="shared" si="67"/>
        <v>2084.1375000000003</v>
      </c>
      <c r="P216" s="126">
        <f t="shared" si="68"/>
        <v>2639.9075000000003</v>
      </c>
      <c r="Q216" s="126">
        <f>SUMIF('MPG Payment '!$E$3:$E$34579,'Shayak Income '!D216,'MPG Payment '!$S$3:$S$34579)</f>
        <v>61.429209336000007</v>
      </c>
      <c r="R216" s="126">
        <f t="shared" si="58"/>
        <v>2995.5576920642397</v>
      </c>
      <c r="S216" s="126">
        <f t="shared" si="59"/>
        <v>355.65019206423949</v>
      </c>
      <c r="T216" s="126">
        <f t="shared" si="69"/>
        <v>277.88500000000005</v>
      </c>
      <c r="U216" s="127">
        <f>(((IF(K216="New",0,SUMIF('MPG Payment '!$E$3:$E$34579,'Shayak Income '!D216,'MPG Payment '!$AC$3:$AC$34579))))+0)+0</f>
        <v>72.915151166646083</v>
      </c>
      <c r="V216" s="127">
        <f t="shared" si="70"/>
        <v>4435</v>
      </c>
      <c r="W216" s="19">
        <f t="shared" si="71"/>
        <v>1997.0384613761601</v>
      </c>
      <c r="X216" s="19">
        <v>0</v>
      </c>
      <c r="Y216" s="128">
        <f>IFERROR(VLOOKUP(D216,'Monthly Deduction'!$M$2:$N$64,2,0),0)</f>
        <v>0</v>
      </c>
      <c r="Z216" s="128">
        <v>0</v>
      </c>
      <c r="AA216" s="126">
        <f>IFERROR(VLOOKUP(D216,'Monthly Deduction'!A:B,2,0),0)</f>
        <v>0</v>
      </c>
      <c r="AB216" s="129">
        <f t="shared" si="61"/>
        <v>2438</v>
      </c>
      <c r="AC216" s="130">
        <v>0</v>
      </c>
      <c r="AD216" s="35">
        <f t="shared" si="72"/>
        <v>2438</v>
      </c>
      <c r="AE216" s="166" t="str">
        <f t="shared" si="73"/>
        <v>Release</v>
      </c>
      <c r="AF216" s="127"/>
      <c r="AG216" s="18">
        <v>0</v>
      </c>
      <c r="AH216" s="120"/>
      <c r="AI216" s="238">
        <v>0</v>
      </c>
      <c r="AJ216" s="132"/>
      <c r="AK216" s="151">
        <v>522.65</v>
      </c>
      <c r="AL216" s="154">
        <f t="shared" si="62"/>
        <v>0</v>
      </c>
      <c r="AM216" s="155"/>
      <c r="AN216" s="19">
        <f t="shared" si="63"/>
        <v>1997.0384613761601</v>
      </c>
      <c r="AO216" s="118">
        <f>SUMIF('MPG Payment '!E:E,'Shayak Income '!D216,'MPG Payment '!AJ:AJ)</f>
        <v>0</v>
      </c>
      <c r="AP216" s="19">
        <f t="shared" si="64"/>
        <v>1997.0384613761601</v>
      </c>
      <c r="AQ216" s="119">
        <f t="shared" si="74"/>
        <v>1997.0384613761601</v>
      </c>
      <c r="AR216" s="91" t="s">
        <v>65</v>
      </c>
      <c r="AS216" s="91">
        <f t="shared" si="65"/>
        <v>0</v>
      </c>
      <c r="AT216" s="118"/>
      <c r="AU216" s="118"/>
      <c r="AV216" s="118"/>
    </row>
    <row r="217" spans="1:48" s="20" customFormat="1" x14ac:dyDescent="0.25">
      <c r="A217" s="17">
        <f>IFERROR(VLOOKUP(D217,'Monthly Deduction'!$I$3:$J$957,2,0),0)</f>
        <v>0</v>
      </c>
      <c r="B217" s="17">
        <f>IFERROR(VLOOKUP(D217,'Monthly Deduction'!$E$3:$F$957,2,0),0)</f>
        <v>4723</v>
      </c>
      <c r="C217" s="17">
        <f t="shared" si="66"/>
        <v>4723</v>
      </c>
      <c r="D217" s="41">
        <v>10080053</v>
      </c>
      <c r="E217" s="122" t="str">
        <f>VLOOKUP(D217,'MPG Payment '!$E$3:$G$498218,2,0)</f>
        <v>GOMUKH FATEHA</v>
      </c>
      <c r="F217" s="146">
        <f>IFERROR(_xlfn.XLOOKUP(D217,'Monthly Deduction'!$I$3:$I$957,'Monthly Deduction'!$H$3:$H$957),0)</f>
        <v>0</v>
      </c>
      <c r="G217" s="123" t="str">
        <f>VLOOKUP(D217,'MPG Payment '!$E$3:$G$334579,3,0)</f>
        <v>MPG</v>
      </c>
      <c r="H217" s="124" t="str">
        <f>VLOOKUP(D217,'MPG Payment '!$E$3:$H$334579,4,0)</f>
        <v>Direct</v>
      </c>
      <c r="I217" s="88">
        <f>INDEX('MPG Payment '!$C:$C,MATCH('Shayak Income '!D217,'MPG Payment '!E:E,0))</f>
        <v>1008</v>
      </c>
      <c r="J217" s="88" t="str">
        <f>INDEX('MPG Payment '!$D:$D,MATCH('Shayak Income '!D217,'MPG Payment '!E:E,0))</f>
        <v>Teghra</v>
      </c>
      <c r="K217" s="125" t="s">
        <v>1322</v>
      </c>
      <c r="L217" s="125">
        <v>45287</v>
      </c>
      <c r="M217" s="126">
        <f>SUMIF('MPG Payment '!$E$3:$E$34579,'Shayak Income '!D217,'MPG Payment '!$I$3:$I$34579)</f>
        <v>2265.65</v>
      </c>
      <c r="N217" s="126">
        <f>SUMIF('MPG Payment '!$E$3:$E$34579,'Shayak Income '!D217,'MPG Payment '!$J$3:$J$34579)</f>
        <v>79522.191513239246</v>
      </c>
      <c r="O217" s="126">
        <f t="shared" si="67"/>
        <v>1699.2375000000002</v>
      </c>
      <c r="P217" s="126">
        <f t="shared" si="68"/>
        <v>2152.3674999999998</v>
      </c>
      <c r="Q217" s="126">
        <f>SUMIF('MPG Payment '!$E$3:$E$34579,'Shayak Income '!D217,'MPG Payment '!$S$3:$S$34579)</f>
        <v>0</v>
      </c>
      <c r="R217" s="126">
        <f t="shared" si="58"/>
        <v>2385.6657453971775</v>
      </c>
      <c r="S217" s="126">
        <f t="shared" si="59"/>
        <v>233.29824539717765</v>
      </c>
      <c r="T217" s="126">
        <f t="shared" si="69"/>
        <v>226.56500000000003</v>
      </c>
      <c r="U217" s="127">
        <f>(((IF(K217="New",0,SUMIF('MPG Payment '!$E$3:$E$34579,'Shayak Income '!D217,'MPG Payment '!$AC$3:$AC$34579))))+0)+0</f>
        <v>375.61269970429203</v>
      </c>
      <c r="V217" s="127">
        <f t="shared" si="70"/>
        <v>3249</v>
      </c>
      <c r="W217" s="19">
        <f t="shared" si="71"/>
        <v>0</v>
      </c>
      <c r="X217" s="19">
        <f t="shared" si="60"/>
        <v>1590.443830264785</v>
      </c>
      <c r="Y217" s="128">
        <f>IFERROR(VLOOKUP(D217,'Monthly Deduction'!$M$2:$N$64,2,0),0)</f>
        <v>0</v>
      </c>
      <c r="Z217" s="128">
        <v>0</v>
      </c>
      <c r="AA217" s="126">
        <f>IFERROR(VLOOKUP(D217,'Monthly Deduction'!A:B,2,0),0)</f>
        <v>0</v>
      </c>
      <c r="AB217" s="129">
        <f t="shared" si="61"/>
        <v>1659</v>
      </c>
      <c r="AC217" s="130">
        <v>0</v>
      </c>
      <c r="AD217" s="35">
        <f t="shared" si="72"/>
        <v>1659</v>
      </c>
      <c r="AE217" s="166" t="str">
        <f t="shared" si="73"/>
        <v>Release</v>
      </c>
      <c r="AF217" s="127"/>
      <c r="AG217" s="18">
        <v>0</v>
      </c>
      <c r="AH217" s="120"/>
      <c r="AI217" s="238">
        <v>0</v>
      </c>
      <c r="AJ217" s="132"/>
      <c r="AK217" s="151">
        <v>591.6</v>
      </c>
      <c r="AL217" s="154">
        <f t="shared" si="62"/>
        <v>0</v>
      </c>
      <c r="AM217" s="155"/>
      <c r="AN217" s="19">
        <f t="shared" si="63"/>
        <v>0</v>
      </c>
      <c r="AO217" s="118">
        <f>SUMIF('MPG Payment '!E:E,'Shayak Income '!D217,'MPG Payment '!AJ:AJ)</f>
        <v>0</v>
      </c>
      <c r="AP217" s="19">
        <f t="shared" si="64"/>
        <v>0</v>
      </c>
      <c r="AQ217" s="119">
        <f t="shared" si="74"/>
        <v>0</v>
      </c>
      <c r="AR217" s="91" t="s">
        <v>65</v>
      </c>
      <c r="AS217" s="91">
        <f t="shared" si="65"/>
        <v>3132.556169735215</v>
      </c>
      <c r="AT217" s="118"/>
      <c r="AU217" s="118"/>
      <c r="AV217" s="118"/>
    </row>
    <row r="218" spans="1:48" s="20" customFormat="1" x14ac:dyDescent="0.25">
      <c r="A218" s="17">
        <f>IFERROR(VLOOKUP(D218,'Monthly Deduction'!$I$3:$J$957,2,0),0)</f>
        <v>0</v>
      </c>
      <c r="B218" s="17">
        <f>IFERROR(VLOOKUP(D218,'Monthly Deduction'!$E$3:$F$957,2,0),0)</f>
        <v>0</v>
      </c>
      <c r="C218" s="17">
        <f t="shared" si="66"/>
        <v>0</v>
      </c>
      <c r="D218" s="41">
        <v>10080054</v>
      </c>
      <c r="E218" s="122" t="str">
        <f>VLOOKUP(D218,'MPG Payment '!$E$3:$G$498218,2,0)</f>
        <v>Bablu Singh</v>
      </c>
      <c r="F218" s="146">
        <f>IFERROR(_xlfn.XLOOKUP(D218,'Monthly Deduction'!$I$3:$I$957,'Monthly Deduction'!$H$3:$H$957),0)</f>
        <v>0</v>
      </c>
      <c r="G218" s="123" t="str">
        <f>VLOOKUP(D218,'MPG Payment '!$E$3:$G$334579,3,0)</f>
        <v>vlc</v>
      </c>
      <c r="H218" s="124" t="str">
        <f>VLOOKUP(D218,'MPG Payment '!$E$3:$H$334579,4,0)</f>
        <v>Indirect</v>
      </c>
      <c r="I218" s="88">
        <f>INDEX('MPG Payment '!$C:$C,MATCH('Shayak Income '!D218,'MPG Payment '!E:E,0))</f>
        <v>1008</v>
      </c>
      <c r="J218" s="88" t="str">
        <f>INDEX('MPG Payment '!$D:$D,MATCH('Shayak Income '!D218,'MPG Payment '!E:E,0))</f>
        <v>Teghra</v>
      </c>
      <c r="K218" s="125" t="s">
        <v>1322</v>
      </c>
      <c r="L218" s="125">
        <v>45257</v>
      </c>
      <c r="M218" s="126">
        <f>SUMIF('MPG Payment '!$E$3:$E$34579,'Shayak Income '!D218,'MPG Payment '!$I$3:$I$34579)</f>
        <v>2406.0500000000002</v>
      </c>
      <c r="N218" s="126">
        <f>SUMIF('MPG Payment '!$E$3:$E$34579,'Shayak Income '!D218,'MPG Payment '!$J$3:$J$34579)</f>
        <v>88924.735065849498</v>
      </c>
      <c r="O218" s="126">
        <f t="shared" si="67"/>
        <v>1804.5375000000001</v>
      </c>
      <c r="P218" s="126">
        <f t="shared" si="68"/>
        <v>2285.7474999999999</v>
      </c>
      <c r="Q218" s="126">
        <f>SUMIF('MPG Payment '!$E$3:$E$34579,'Shayak Income '!D218,'MPG Payment '!$S$3:$S$34579)</f>
        <v>0</v>
      </c>
      <c r="R218" s="126">
        <f t="shared" si="58"/>
        <v>2667.7420519754846</v>
      </c>
      <c r="S218" s="126">
        <f t="shared" si="59"/>
        <v>381.99455197548468</v>
      </c>
      <c r="T218" s="126">
        <f t="shared" si="69"/>
        <v>240.60500000000002</v>
      </c>
      <c r="U218" s="127">
        <f>(((IF(K218="New",0,SUMIF('MPG Payment '!$E$3:$E$34579,'Shayak Income '!D218,'MPG Payment '!$AC$3:$AC$34579))))+0)+0</f>
        <v>556.38378738662686</v>
      </c>
      <c r="V218" s="127">
        <f t="shared" si="70"/>
        <v>3293</v>
      </c>
      <c r="W218" s="19">
        <f t="shared" si="71"/>
        <v>0</v>
      </c>
      <c r="X218" s="19">
        <f t="shared" si="60"/>
        <v>0</v>
      </c>
      <c r="Y218" s="128">
        <f>IFERROR(VLOOKUP(D218,'Monthly Deduction'!$M$2:$N$64,2,0),0)</f>
        <v>0</v>
      </c>
      <c r="Z218" s="128">
        <v>0</v>
      </c>
      <c r="AA218" s="126">
        <f>IFERROR(VLOOKUP(D218,'Monthly Deduction'!A:B,2,0),0)</f>
        <v>0</v>
      </c>
      <c r="AB218" s="129">
        <f t="shared" si="61"/>
        <v>3293</v>
      </c>
      <c r="AC218" s="130">
        <v>0</v>
      </c>
      <c r="AD218" s="35">
        <f t="shared" si="72"/>
        <v>3293</v>
      </c>
      <c r="AE218" s="166" t="str">
        <f t="shared" si="73"/>
        <v>Release</v>
      </c>
      <c r="AF218" s="127"/>
      <c r="AG218" s="18">
        <v>0</v>
      </c>
      <c r="AH218" s="132"/>
      <c r="AI218" s="238">
        <v>0</v>
      </c>
      <c r="AJ218" s="132"/>
      <c r="AK218" s="151">
        <v>1187.5999999999999</v>
      </c>
      <c r="AL218" s="154">
        <f t="shared" si="62"/>
        <v>0</v>
      </c>
      <c r="AM218" s="155"/>
      <c r="AN218" s="19">
        <f t="shared" si="63"/>
        <v>0</v>
      </c>
      <c r="AO218" s="118">
        <f>SUMIF('MPG Payment '!E:E,'Shayak Income '!D218,'MPG Payment '!AJ:AJ)</f>
        <v>0</v>
      </c>
      <c r="AP218" s="19">
        <f t="shared" si="64"/>
        <v>0</v>
      </c>
      <c r="AQ218" s="119">
        <f t="shared" si="74"/>
        <v>0</v>
      </c>
      <c r="AR218" s="91" t="s">
        <v>1168</v>
      </c>
      <c r="AS218" s="91">
        <f t="shared" si="65"/>
        <v>0</v>
      </c>
      <c r="AT218" s="118"/>
      <c r="AU218" s="118"/>
      <c r="AV218" s="118"/>
    </row>
    <row r="219" spans="1:48" s="20" customFormat="1" x14ac:dyDescent="0.25">
      <c r="A219" s="17">
        <f>IFERROR(VLOOKUP(D219,'Monthly Deduction'!$I$3:$J$957,2,0),0)</f>
        <v>63444.218893332327</v>
      </c>
      <c r="B219" s="17">
        <f>IFERROR(VLOOKUP(D219,'Monthly Deduction'!$E$3:$F$957,2,0),0)</f>
        <v>1126.9366186572806</v>
      </c>
      <c r="C219" s="17">
        <f t="shared" si="66"/>
        <v>64571.155511989607</v>
      </c>
      <c r="D219" s="41">
        <v>10080055</v>
      </c>
      <c r="E219" s="122" t="str">
        <f>VLOOKUP(D219,'MPG Payment '!$E$3:$G$498218,2,0)</f>
        <v>Gomukh Rani                                                                                         </v>
      </c>
      <c r="F219" s="146">
        <f>IFERROR(_xlfn.XLOOKUP(D219,'Monthly Deduction'!$I$3:$I$957,'Monthly Deduction'!$H$3:$H$957),0)</f>
        <v>0</v>
      </c>
      <c r="G219" s="123" t="str">
        <f>VLOOKUP(D219,'MPG Payment '!$E$3:$G$334579,3,0)</f>
        <v>MPG</v>
      </c>
      <c r="H219" s="124" t="str">
        <f>VLOOKUP(D219,'MPG Payment '!$E$3:$H$334579,4,0)</f>
        <v>Direct</v>
      </c>
      <c r="I219" s="88">
        <f>INDEX('MPG Payment '!$C:$C,MATCH('Shayak Income '!D219,'MPG Payment '!E:E,0))</f>
        <v>1008</v>
      </c>
      <c r="J219" s="88" t="str">
        <f>INDEX('MPG Payment '!$D:$D,MATCH('Shayak Income '!D219,'MPG Payment '!E:E,0))</f>
        <v>Teghra</v>
      </c>
      <c r="K219" s="125" t="s">
        <v>1322</v>
      </c>
      <c r="L219" s="125">
        <v>45205</v>
      </c>
      <c r="M219" s="126">
        <f>SUMIF('MPG Payment '!$E$3:$E$34579,'Shayak Income '!D219,'MPG Payment '!$I$3:$I$34579)</f>
        <v>1234.45</v>
      </c>
      <c r="N219" s="126">
        <f>SUMIF('MPG Payment '!$E$3:$E$34579,'Shayak Income '!D219,'MPG Payment '!$J$3:$J$34579)</f>
        <v>46017.602561060994</v>
      </c>
      <c r="O219" s="126">
        <f t="shared" si="67"/>
        <v>925.83750000000009</v>
      </c>
      <c r="P219" s="126">
        <f t="shared" si="68"/>
        <v>1172.7275</v>
      </c>
      <c r="Q219" s="126">
        <f>SUMIF('MPG Payment '!$E$3:$E$34579,'Shayak Income '!D219,'MPG Payment '!$S$3:$S$34579)</f>
        <v>0</v>
      </c>
      <c r="R219" s="126">
        <f t="shared" si="58"/>
        <v>1380.5280768318298</v>
      </c>
      <c r="S219" s="126">
        <f t="shared" si="59"/>
        <v>207.80057683182986</v>
      </c>
      <c r="T219" s="126">
        <f t="shared" si="69"/>
        <v>123.44500000000001</v>
      </c>
      <c r="U219" s="127">
        <f>(((IF(K219="New",0,SUMIF('MPG Payment '!$E$3:$E$34579,'Shayak Income '!D219,'MPG Payment '!$AC$3:$AC$34579))))+0)+0</f>
        <v>1155.1208301096522</v>
      </c>
      <c r="V219" s="127">
        <f t="shared" si="70"/>
        <v>820</v>
      </c>
      <c r="W219" s="19">
        <v>820</v>
      </c>
      <c r="X219" s="19">
        <v>0</v>
      </c>
      <c r="Y219" s="128">
        <f>IFERROR(VLOOKUP(D219,'Monthly Deduction'!$M$2:$N$64,2,0),0)</f>
        <v>0</v>
      </c>
      <c r="Z219" s="128">
        <v>0</v>
      </c>
      <c r="AA219" s="126">
        <f>IFERROR(VLOOKUP(D219,'Monthly Deduction'!A:B,2,0),0)</f>
        <v>0</v>
      </c>
      <c r="AB219" s="129">
        <f t="shared" si="61"/>
        <v>0</v>
      </c>
      <c r="AC219" s="130">
        <v>0</v>
      </c>
      <c r="AD219" s="35">
        <f t="shared" si="72"/>
        <v>0</v>
      </c>
      <c r="AE219" s="166" t="str">
        <f t="shared" si="73"/>
        <v>Release</v>
      </c>
      <c r="AF219" s="127"/>
      <c r="AG219" s="18">
        <v>0</v>
      </c>
      <c r="AH219" s="132"/>
      <c r="AI219" s="238">
        <v>0</v>
      </c>
      <c r="AJ219" s="132"/>
      <c r="AK219" s="151">
        <v>547.15</v>
      </c>
      <c r="AL219" s="154">
        <f t="shared" si="62"/>
        <v>0</v>
      </c>
      <c r="AM219" s="155"/>
      <c r="AN219" s="19">
        <f t="shared" si="63"/>
        <v>1861</v>
      </c>
      <c r="AO219" s="118">
        <f>SUMIF('MPG Payment '!E:E,'Shayak Income '!D219,'MPG Payment '!AJ:AJ)</f>
        <v>0</v>
      </c>
      <c r="AP219" s="19">
        <f t="shared" si="64"/>
        <v>820</v>
      </c>
      <c r="AQ219" s="119">
        <f t="shared" si="74"/>
        <v>820</v>
      </c>
      <c r="AR219" s="91" t="s">
        <v>1168</v>
      </c>
      <c r="AS219" s="91">
        <f t="shared" si="65"/>
        <v>1126.9366186572806</v>
      </c>
      <c r="AT219" s="118"/>
      <c r="AU219" s="118"/>
      <c r="AV219" s="118"/>
    </row>
    <row r="220" spans="1:48" s="20" customFormat="1" x14ac:dyDescent="0.25">
      <c r="A220" s="17">
        <f>IFERROR(VLOOKUP(D220,'Monthly Deduction'!$I$3:$J$957,2,0),0)</f>
        <v>0</v>
      </c>
      <c r="B220" s="17">
        <f>IFERROR(VLOOKUP(D220,'Monthly Deduction'!$E$3:$F$957,2,0),0)</f>
        <v>0</v>
      </c>
      <c r="C220" s="17">
        <f t="shared" si="66"/>
        <v>0</v>
      </c>
      <c r="D220" s="41">
        <v>10080061</v>
      </c>
      <c r="E220" s="122" t="str">
        <f>VLOOKUP(D220,'MPG Payment '!$E$3:$G$498218,2,0)</f>
        <v>GOMUKH ROOPNAGAR</v>
      </c>
      <c r="F220" s="146">
        <f>IFERROR(_xlfn.XLOOKUP(D220,'Monthly Deduction'!$I$3:$I$957,'Monthly Deduction'!$H$3:$H$957),0)</f>
        <v>0</v>
      </c>
      <c r="G220" s="123" t="str">
        <f>VLOOKUP(D220,'MPG Payment '!$E$3:$G$334579,3,0)</f>
        <v>MPG</v>
      </c>
      <c r="H220" s="124" t="str">
        <f>VLOOKUP(D220,'MPG Payment '!$E$3:$H$334579,4,0)</f>
        <v>Direct</v>
      </c>
      <c r="I220" s="88">
        <f>INDEX('MPG Payment '!$C:$C,MATCH('Shayak Income '!D220,'MPG Payment '!E:E,0))</f>
        <v>1008</v>
      </c>
      <c r="J220" s="88" t="str">
        <f>INDEX('MPG Payment '!$D:$D,MATCH('Shayak Income '!D220,'MPG Payment '!E:E,0))</f>
        <v>Teghra</v>
      </c>
      <c r="K220" s="125" t="s">
        <v>1322</v>
      </c>
      <c r="L220" s="125">
        <v>45394</v>
      </c>
      <c r="M220" s="126">
        <f>SUMIF('MPG Payment '!$E$3:$E$34579,'Shayak Income '!D220,'MPG Payment '!$I$3:$I$34579)</f>
        <v>600.25</v>
      </c>
      <c r="N220" s="126">
        <f>SUMIF('MPG Payment '!$E$3:$E$34579,'Shayak Income '!D220,'MPG Payment '!$J$3:$J$34579)</f>
        <v>20885.2119924455</v>
      </c>
      <c r="O220" s="126">
        <f t="shared" si="67"/>
        <v>450.1875</v>
      </c>
      <c r="P220" s="126">
        <f t="shared" si="68"/>
        <v>570.23749999999995</v>
      </c>
      <c r="Q220" s="126">
        <f>SUMIF('MPG Payment '!$E$3:$E$34579,'Shayak Income '!D220,'MPG Payment '!$S$3:$S$34579)</f>
        <v>0</v>
      </c>
      <c r="R220" s="126">
        <f t="shared" si="58"/>
        <v>626.55635977336499</v>
      </c>
      <c r="S220" s="126">
        <f t="shared" si="59"/>
        <v>56.318859773365034</v>
      </c>
      <c r="T220" s="126">
        <f t="shared" si="69"/>
        <v>60.025000000000006</v>
      </c>
      <c r="U220" s="127">
        <f>(((IF(K220="New",0,SUMIF('MPG Payment '!$E$3:$E$34579,'Shayak Income '!D220,'MPG Payment '!$AC$3:$AC$34579))))+0)+-572</f>
        <v>960.84806637111524</v>
      </c>
      <c r="V220" s="127">
        <f t="shared" si="70"/>
        <v>0</v>
      </c>
      <c r="W220" s="19">
        <v>0</v>
      </c>
      <c r="X220" s="19">
        <v>0</v>
      </c>
      <c r="Y220" s="128">
        <f>IFERROR(VLOOKUP(D220,'Monthly Deduction'!$M$2:$N$64,2,0),0)</f>
        <v>0</v>
      </c>
      <c r="Z220" s="128">
        <v>0</v>
      </c>
      <c r="AA220" s="126">
        <f>IFERROR(VLOOKUP(D220,'Monthly Deduction'!A:B,2,0),0)</f>
        <v>0</v>
      </c>
      <c r="AB220" s="129">
        <f t="shared" si="61"/>
        <v>0</v>
      </c>
      <c r="AC220" s="130">
        <f>AB220</f>
        <v>0</v>
      </c>
      <c r="AD220" s="35">
        <f t="shared" si="72"/>
        <v>0</v>
      </c>
      <c r="AE220" s="166" t="str">
        <f t="shared" si="73"/>
        <v>Release</v>
      </c>
      <c r="AF220" s="127"/>
      <c r="AG220" s="18">
        <v>0</v>
      </c>
      <c r="AH220" s="120" t="s">
        <v>1653</v>
      </c>
      <c r="AI220" s="238">
        <v>0</v>
      </c>
      <c r="AJ220" s="132"/>
      <c r="AK220" s="151">
        <v>326.35000000000008</v>
      </c>
      <c r="AL220" s="154">
        <f t="shared" si="62"/>
        <v>0</v>
      </c>
      <c r="AM220" s="155"/>
      <c r="AN220" s="19">
        <f t="shared" si="63"/>
        <v>0</v>
      </c>
      <c r="AO220" s="118">
        <f>SUMIF('MPG Payment '!E:E,'Shayak Income '!D220,'MPG Payment '!AJ:AJ)</f>
        <v>0</v>
      </c>
      <c r="AP220" s="19">
        <f t="shared" si="64"/>
        <v>0</v>
      </c>
      <c r="AQ220" s="119">
        <f t="shared" si="74"/>
        <v>0</v>
      </c>
      <c r="AR220" s="91" t="s">
        <v>1168</v>
      </c>
      <c r="AS220" s="91">
        <f t="shared" si="65"/>
        <v>0</v>
      </c>
      <c r="AT220" s="118"/>
      <c r="AU220" s="118"/>
      <c r="AV220" s="118"/>
    </row>
    <row r="221" spans="1:48" s="20" customFormat="1" x14ac:dyDescent="0.25">
      <c r="A221" s="17">
        <f>IFERROR(VLOOKUP(D221,'Monthly Deduction'!$I$3:$J$957,2,0),0)</f>
        <v>81081</v>
      </c>
      <c r="B221" s="17">
        <f>IFERROR(VLOOKUP(D221,'Monthly Deduction'!$E$3:$F$957,2,0),0)</f>
        <v>8935</v>
      </c>
      <c r="C221" s="17">
        <f t="shared" si="66"/>
        <v>90016</v>
      </c>
      <c r="D221" s="41">
        <v>10080062</v>
      </c>
      <c r="E221" s="122" t="str">
        <f>VLOOKUP(D221,'MPG Payment '!$E$3:$G$498218,2,0)</f>
        <v>GOMUKH SIBUTOL 2</v>
      </c>
      <c r="F221" s="146">
        <f>IFERROR(_xlfn.XLOOKUP(D221,'Monthly Deduction'!$I$3:$I$957,'Monthly Deduction'!$H$3:$H$957),0)</f>
        <v>0</v>
      </c>
      <c r="G221" s="123" t="str">
        <f>VLOOKUP(D221,'MPG Payment '!$E$3:$G$334579,3,0)</f>
        <v>MPG</v>
      </c>
      <c r="H221" s="124" t="str">
        <f>VLOOKUP(D221,'MPG Payment '!$E$3:$H$334579,4,0)</f>
        <v>Direct</v>
      </c>
      <c r="I221" s="88">
        <f>INDEX('MPG Payment '!$C:$C,MATCH('Shayak Income '!D221,'MPG Payment '!E:E,0))</f>
        <v>1008</v>
      </c>
      <c r="J221" s="88" t="str">
        <f>INDEX('MPG Payment '!$D:$D,MATCH('Shayak Income '!D221,'MPG Payment '!E:E,0))</f>
        <v>Teghra</v>
      </c>
      <c r="K221" s="125" t="s">
        <v>1322</v>
      </c>
      <c r="L221" s="125">
        <v>45323</v>
      </c>
      <c r="M221" s="126">
        <f>SUMIF('MPG Payment '!$E$3:$E$34579,'Shayak Income '!D221,'MPG Payment '!$I$3:$I$34579)</f>
        <v>157.25</v>
      </c>
      <c r="N221" s="126">
        <f>SUMIF('MPG Payment '!$E$3:$E$34579,'Shayak Income '!D221,'MPG Payment '!$J$3:$J$34579)</f>
        <v>6217.6898368675611</v>
      </c>
      <c r="O221" s="126">
        <f t="shared" si="67"/>
        <v>117.9375</v>
      </c>
      <c r="P221" s="126">
        <f t="shared" si="68"/>
        <v>149.38749999999999</v>
      </c>
      <c r="Q221" s="126">
        <f>SUMIF('MPG Payment '!$E$3:$E$34579,'Shayak Income '!D221,'MPG Payment '!$S$3:$S$34579)</f>
        <v>0</v>
      </c>
      <c r="R221" s="126">
        <f t="shared" si="58"/>
        <v>186.53069510602683</v>
      </c>
      <c r="S221" s="126">
        <f t="shared" si="59"/>
        <v>37.143195106026837</v>
      </c>
      <c r="T221" s="126">
        <f t="shared" si="69"/>
        <v>15.725000000000001</v>
      </c>
      <c r="U221" s="127">
        <f>(((IF(K221="New",0,SUMIF('MPG Payment '!$E$3:$E$34579,'Shayak Income '!D221,'MPG Payment '!$AC$3:$AC$34579))))+0)+-1849</f>
        <v>251.24768108625358</v>
      </c>
      <c r="V221" s="127">
        <f t="shared" si="70"/>
        <v>0</v>
      </c>
      <c r="W221" s="19">
        <v>0</v>
      </c>
      <c r="X221" s="19">
        <v>0</v>
      </c>
      <c r="Y221" s="128">
        <f>IFERROR(VLOOKUP(D221,'Monthly Deduction'!$M$2:$N$64,2,0),0)</f>
        <v>0</v>
      </c>
      <c r="Z221" s="128">
        <v>0</v>
      </c>
      <c r="AA221" s="126">
        <f>IFERROR(VLOOKUP(D221,'Monthly Deduction'!A:B,2,0),0)</f>
        <v>0</v>
      </c>
      <c r="AB221" s="129">
        <f t="shared" si="61"/>
        <v>0</v>
      </c>
      <c r="AC221" s="130">
        <v>0</v>
      </c>
      <c r="AD221" s="35">
        <f t="shared" si="72"/>
        <v>0</v>
      </c>
      <c r="AE221" s="166" t="str">
        <f t="shared" si="73"/>
        <v>Release</v>
      </c>
      <c r="AF221" s="127"/>
      <c r="AG221" s="18">
        <v>0</v>
      </c>
      <c r="AH221" s="120"/>
      <c r="AI221" s="238">
        <v>0</v>
      </c>
      <c r="AJ221" s="132"/>
      <c r="AK221" s="151">
        <v>13.95</v>
      </c>
      <c r="AL221" s="154">
        <f t="shared" si="62"/>
        <v>0</v>
      </c>
      <c r="AM221" s="155"/>
      <c r="AN221" s="19">
        <f t="shared" si="63"/>
        <v>1861</v>
      </c>
      <c r="AO221" s="118">
        <f>SUMIF('MPG Payment '!E:E,'Shayak Income '!D221,'MPG Payment '!AJ:AJ)</f>
        <v>0</v>
      </c>
      <c r="AP221" s="19">
        <f t="shared" si="64"/>
        <v>0</v>
      </c>
      <c r="AQ221" s="119">
        <f t="shared" si="74"/>
        <v>0</v>
      </c>
      <c r="AR221" s="91" t="s">
        <v>1168</v>
      </c>
      <c r="AS221" s="91">
        <f t="shared" si="65"/>
        <v>8935</v>
      </c>
      <c r="AT221" s="118"/>
      <c r="AU221" s="118"/>
      <c r="AV221" s="118"/>
    </row>
    <row r="222" spans="1:48" s="20" customFormat="1" x14ac:dyDescent="0.25">
      <c r="A222" s="17">
        <f>IFERROR(VLOOKUP(D222,'Monthly Deduction'!$I$3:$J$957,2,0),0)</f>
        <v>67432.880623203484</v>
      </c>
      <c r="B222" s="17">
        <f>IFERROR(VLOOKUP(D222,'Monthly Deduction'!$E$3:$F$957,2,0),0)</f>
        <v>0</v>
      </c>
      <c r="C222" s="17">
        <f t="shared" si="66"/>
        <v>67432.880623203484</v>
      </c>
      <c r="D222" s="41">
        <v>10080067</v>
      </c>
      <c r="E222" s="122" t="str">
        <f>VLOOKUP(D222,'MPG Payment '!$E$3:$G$498218,2,0)</f>
        <v>Gomukh Harichak</v>
      </c>
      <c r="F222" s="146">
        <f>IFERROR(_xlfn.XLOOKUP(D222,'Monthly Deduction'!$I$3:$I$957,'Monthly Deduction'!$H$3:$H$957),0)</f>
        <v>0</v>
      </c>
      <c r="G222" s="123" t="str">
        <f>VLOOKUP(D222,'MPG Payment '!$E$3:$G$334579,3,0)</f>
        <v>MPG</v>
      </c>
      <c r="H222" s="124" t="str">
        <f>VLOOKUP(D222,'MPG Payment '!$E$3:$H$334579,4,0)</f>
        <v>Direct</v>
      </c>
      <c r="I222" s="88">
        <f>INDEX('MPG Payment '!$C:$C,MATCH('Shayak Income '!D222,'MPG Payment '!E:E,0))</f>
        <v>1008</v>
      </c>
      <c r="J222" s="88" t="str">
        <f>INDEX('MPG Payment '!$D:$D,MATCH('Shayak Income '!D222,'MPG Payment '!E:E,0))</f>
        <v>Teghra</v>
      </c>
      <c r="K222" s="125" t="s">
        <v>1322</v>
      </c>
      <c r="L222" s="125">
        <v>45323</v>
      </c>
      <c r="M222" s="126">
        <f>SUMIF('MPG Payment '!$E$3:$E$34579,'Shayak Income '!D222,'MPG Payment '!$I$3:$I$34579)</f>
        <v>272.14999999999998</v>
      </c>
      <c r="N222" s="126">
        <f>SUMIF('MPG Payment '!$E$3:$E$34579,'Shayak Income '!D222,'MPG Payment '!$J$3:$J$34579)</f>
        <v>9865.1886859599999</v>
      </c>
      <c r="O222" s="126">
        <f t="shared" si="67"/>
        <v>204.11249999999998</v>
      </c>
      <c r="P222" s="126">
        <f t="shared" si="68"/>
        <v>258.54249999999996</v>
      </c>
      <c r="Q222" s="126">
        <f>SUMIF('MPG Payment '!$E$3:$E$34579,'Shayak Income '!D222,'MPG Payment '!$S$3:$S$34579)</f>
        <v>0</v>
      </c>
      <c r="R222" s="126">
        <f t="shared" si="58"/>
        <v>295.95566057880001</v>
      </c>
      <c r="S222" s="126">
        <f t="shared" si="59"/>
        <v>37.413160578800046</v>
      </c>
      <c r="T222" s="126">
        <f t="shared" si="69"/>
        <v>27.215</v>
      </c>
      <c r="U222" s="127">
        <f>(((IF(K222="New",0,SUMIF('MPG Payment '!$E$3:$E$34579,'Shayak Income '!D222,'MPG Payment '!$AC$3:$AC$34579))))+0)+-1400</f>
        <v>435.36970447141857</v>
      </c>
      <c r="V222" s="127">
        <f t="shared" si="70"/>
        <v>0</v>
      </c>
      <c r="W222" s="19">
        <v>0</v>
      </c>
      <c r="X222" s="19">
        <v>0</v>
      </c>
      <c r="Y222" s="128">
        <f>IFERROR(VLOOKUP(D222,'Monthly Deduction'!$M$2:$N$64,2,0),0)</f>
        <v>0</v>
      </c>
      <c r="Z222" s="128">
        <v>0</v>
      </c>
      <c r="AA222" s="126">
        <f>IFERROR(VLOOKUP(D222,'Monthly Deduction'!A:B,2,0),0)</f>
        <v>0</v>
      </c>
      <c r="AB222" s="129">
        <f t="shared" si="61"/>
        <v>0</v>
      </c>
      <c r="AC222" s="130">
        <v>0</v>
      </c>
      <c r="AD222" s="35">
        <f t="shared" si="72"/>
        <v>0</v>
      </c>
      <c r="AE222" s="166" t="str">
        <f t="shared" si="73"/>
        <v>Release</v>
      </c>
      <c r="AF222" s="127"/>
      <c r="AG222" s="18">
        <v>0</v>
      </c>
      <c r="AH222" s="132"/>
      <c r="AI222" s="238">
        <v>0</v>
      </c>
      <c r="AJ222" s="132"/>
      <c r="AK222" s="151">
        <v>65.800000000000011</v>
      </c>
      <c r="AL222" s="154">
        <f t="shared" si="62"/>
        <v>0</v>
      </c>
      <c r="AM222" s="155"/>
      <c r="AN222" s="19">
        <f t="shared" si="63"/>
        <v>1861</v>
      </c>
      <c r="AO222" s="118">
        <f>SUMIF('MPG Payment '!E:E,'Shayak Income '!D222,'MPG Payment '!AJ:AJ)</f>
        <v>500</v>
      </c>
      <c r="AP222" s="19">
        <f t="shared" si="64"/>
        <v>0</v>
      </c>
      <c r="AQ222" s="119">
        <f t="shared" si="74"/>
        <v>500</v>
      </c>
      <c r="AR222" s="91" t="s">
        <v>1168</v>
      </c>
      <c r="AS222" s="91">
        <f t="shared" si="65"/>
        <v>0</v>
      </c>
      <c r="AT222" s="118"/>
      <c r="AU222" s="118"/>
      <c r="AV222" s="118"/>
    </row>
    <row r="223" spans="1:48" s="20" customFormat="1" x14ac:dyDescent="0.25">
      <c r="A223" s="17">
        <f>IFERROR(VLOOKUP(D223,'Monthly Deduction'!$I$3:$J$957,2,0),0)</f>
        <v>0</v>
      </c>
      <c r="B223" s="17">
        <f>IFERROR(VLOOKUP(D223,'Monthly Deduction'!$E$3:$F$957,2,0),0)</f>
        <v>0</v>
      </c>
      <c r="C223" s="17">
        <f t="shared" si="66"/>
        <v>0</v>
      </c>
      <c r="D223" s="41">
        <v>10080076</v>
      </c>
      <c r="E223" s="122" t="str">
        <f>VLOOKUP(D223,'MPG Payment '!$E$3:$G$498218,2,0)</f>
        <v>RAJ BHARDWAJ</v>
      </c>
      <c r="F223" s="146">
        <f>IFERROR(_xlfn.XLOOKUP(D223,'Monthly Deduction'!$I$3:$I$957,'Monthly Deduction'!$H$3:$H$957),0)</f>
        <v>0</v>
      </c>
      <c r="G223" s="123" t="str">
        <f>VLOOKUP(D223,'MPG Payment '!$E$3:$G$334579,3,0)</f>
        <v>vlc</v>
      </c>
      <c r="H223" s="124" t="str">
        <f>VLOOKUP(D223,'MPG Payment '!$E$3:$H$334579,4,0)</f>
        <v>Indirect</v>
      </c>
      <c r="I223" s="88">
        <f>INDEX('MPG Payment '!$C:$C,MATCH('Shayak Income '!D223,'MPG Payment '!E:E,0))</f>
        <v>1008</v>
      </c>
      <c r="J223" s="88" t="str">
        <f>INDEX('MPG Payment '!$D:$D,MATCH('Shayak Income '!D223,'MPG Payment '!E:E,0))</f>
        <v>Teghra</v>
      </c>
      <c r="K223" s="125" t="s">
        <v>1322</v>
      </c>
      <c r="L223" s="125">
        <v>45599</v>
      </c>
      <c r="M223" s="126">
        <f>SUMIF('MPG Payment '!$E$3:$E$34579,'Shayak Income '!D223,'MPG Payment '!$I$3:$I$34579)</f>
        <v>256.3</v>
      </c>
      <c r="N223" s="126">
        <f>SUMIF('MPG Payment '!$E$3:$E$34579,'Shayak Income '!D223,'MPG Payment '!$J$3:$J$34579)</f>
        <v>9749.3519270500001</v>
      </c>
      <c r="O223" s="126">
        <f t="shared" si="67"/>
        <v>192.22500000000002</v>
      </c>
      <c r="P223" s="126">
        <f t="shared" si="68"/>
        <v>243.48499999999999</v>
      </c>
      <c r="Q223" s="126">
        <f>SUMIF('MPG Payment '!$E$3:$E$34579,'Shayak Income '!D223,'MPG Payment '!$S$3:$S$34579)</f>
        <v>0</v>
      </c>
      <c r="R223" s="126">
        <f t="shared" si="58"/>
        <v>292.48055781149998</v>
      </c>
      <c r="S223" s="126">
        <f t="shared" si="59"/>
        <v>48.995557811499992</v>
      </c>
      <c r="T223" s="126">
        <f t="shared" si="69"/>
        <v>25.630000000000003</v>
      </c>
      <c r="U223" s="127">
        <f>(((IF(K223="New",0,SUMIF('MPG Payment '!$E$3:$E$34579,'Shayak Income '!D223,'MPG Payment '!$AC$3:$AC$34579))))+0)+-1519</f>
        <v>409.65906412889171</v>
      </c>
      <c r="V223" s="127">
        <f t="shared" si="70"/>
        <v>0</v>
      </c>
      <c r="W223" s="19">
        <v>0</v>
      </c>
      <c r="X223" s="19">
        <v>0</v>
      </c>
      <c r="Y223" s="128">
        <f>IFERROR(VLOOKUP(D223,'Monthly Deduction'!$M$2:$N$64,2,0),0)</f>
        <v>0</v>
      </c>
      <c r="Z223" s="128">
        <v>0</v>
      </c>
      <c r="AA223" s="126">
        <f>IFERROR(VLOOKUP(D223,'Monthly Deduction'!A:B,2,0),0)</f>
        <v>0</v>
      </c>
      <c r="AB223" s="129">
        <f t="shared" si="61"/>
        <v>0</v>
      </c>
      <c r="AC223" s="130">
        <v>0</v>
      </c>
      <c r="AD223" s="35">
        <f t="shared" si="72"/>
        <v>0</v>
      </c>
      <c r="AE223" s="166" t="str">
        <f t="shared" si="73"/>
        <v>Release</v>
      </c>
      <c r="AF223" s="127"/>
      <c r="AG223" s="18">
        <v>0</v>
      </c>
      <c r="AH223" s="132"/>
      <c r="AI223" s="238">
        <v>0</v>
      </c>
      <c r="AJ223" s="132"/>
      <c r="AK223" s="151">
        <v>77.05</v>
      </c>
      <c r="AL223" s="154">
        <f t="shared" si="62"/>
        <v>0</v>
      </c>
      <c r="AM223" s="155"/>
      <c r="AN223" s="19">
        <f t="shared" si="63"/>
        <v>0</v>
      </c>
      <c r="AO223" s="118">
        <f>SUMIF('MPG Payment '!E:E,'Shayak Income '!D223,'MPG Payment '!AJ:AJ)</f>
        <v>0</v>
      </c>
      <c r="AP223" s="19">
        <f t="shared" si="64"/>
        <v>0</v>
      </c>
      <c r="AQ223" s="119">
        <f t="shared" si="74"/>
        <v>0</v>
      </c>
      <c r="AR223" s="91" t="s">
        <v>1168</v>
      </c>
      <c r="AS223" s="91">
        <f t="shared" si="65"/>
        <v>0</v>
      </c>
      <c r="AT223" s="118"/>
      <c r="AU223" s="118"/>
      <c r="AV223" s="118"/>
    </row>
    <row r="224" spans="1:48" s="20" customFormat="1" x14ac:dyDescent="0.25">
      <c r="A224" s="17">
        <f>IFERROR(VLOOKUP(D224,'Monthly Deduction'!$I$3:$J$957,2,0),0)</f>
        <v>61376.489328307907</v>
      </c>
      <c r="B224" s="17">
        <f>IFERROR(VLOOKUP(D224,'Monthly Deduction'!$E$3:$F$957,2,0),0)</f>
        <v>0</v>
      </c>
      <c r="C224" s="17">
        <f t="shared" si="66"/>
        <v>61376.489328307907</v>
      </c>
      <c r="D224" s="41">
        <v>10080077</v>
      </c>
      <c r="E224" s="122" t="str">
        <f>VLOOKUP(D224,'MPG Payment '!$E$3:$G$498218,2,0)</f>
        <v>Gomukh Amarpur</v>
      </c>
      <c r="F224" s="146">
        <f>IFERROR(_xlfn.XLOOKUP(D224,'Monthly Deduction'!$I$3:$I$957,'Monthly Deduction'!$H$3:$H$957),0)</f>
        <v>0</v>
      </c>
      <c r="G224" s="123" t="str">
        <f>VLOOKUP(D224,'MPG Payment '!$E$3:$G$334579,3,0)</f>
        <v>MPG</v>
      </c>
      <c r="H224" s="124" t="str">
        <f>VLOOKUP(D224,'MPG Payment '!$E$3:$H$334579,4,0)</f>
        <v>Direct</v>
      </c>
      <c r="I224" s="88">
        <f>INDEX('MPG Payment '!$C:$C,MATCH('Shayak Income '!D224,'MPG Payment '!E:E,0))</f>
        <v>1008</v>
      </c>
      <c r="J224" s="88" t="str">
        <f>INDEX('MPG Payment '!$D:$D,MATCH('Shayak Income '!D224,'MPG Payment '!E:E,0))</f>
        <v>Teghra</v>
      </c>
      <c r="K224" s="125" t="s">
        <v>1322</v>
      </c>
      <c r="L224" s="125">
        <v>45614</v>
      </c>
      <c r="M224" s="126">
        <f>SUMIF('MPG Payment '!$E$3:$E$34579,'Shayak Income '!D224,'MPG Payment '!$I$3:$I$34579)</f>
        <v>3886.5999999999995</v>
      </c>
      <c r="N224" s="126">
        <f>SUMIF('MPG Payment '!$E$3:$E$34579,'Shayak Income '!D224,'MPG Payment '!$J$3:$J$34579)</f>
        <v>143056.39774760001</v>
      </c>
      <c r="O224" s="126">
        <f t="shared" si="67"/>
        <v>2914.95</v>
      </c>
      <c r="P224" s="126">
        <f t="shared" si="68"/>
        <v>3692.2699999999995</v>
      </c>
      <c r="Q224" s="126">
        <f>SUMIF('MPG Payment '!$E$3:$E$34579,'Shayak Income '!D224,'MPG Payment '!$S$3:$S$34579)</f>
        <v>337.61276872694009</v>
      </c>
      <c r="R224" s="126">
        <f t="shared" si="58"/>
        <v>4291.6919324280007</v>
      </c>
      <c r="S224" s="126">
        <f t="shared" si="59"/>
        <v>599.42193242800113</v>
      </c>
      <c r="T224" s="126">
        <f t="shared" si="69"/>
        <v>388.65999999999997</v>
      </c>
      <c r="U224" s="127">
        <f>(((IF(K224="New",0,SUMIF('MPG Payment '!$E$3:$E$34579,'Shayak Income '!D224,'MPG Payment '!$AC$3:$AC$34579))))+0)+0</f>
        <v>63.150985449721297</v>
      </c>
      <c r="V224" s="127">
        <f t="shared" si="70"/>
        <v>6493</v>
      </c>
      <c r="W224" s="19">
        <f t="shared" si="71"/>
        <v>2861.1279549520004</v>
      </c>
      <c r="X224" s="19">
        <v>0</v>
      </c>
      <c r="Y224" s="128">
        <f>IFERROR(VLOOKUP(D224,'Monthly Deduction'!$M$2:$N$64,2,0),0)</f>
        <v>0</v>
      </c>
      <c r="Z224" s="128">
        <v>0</v>
      </c>
      <c r="AA224" s="126">
        <f>IFERROR(VLOOKUP(D224,'Monthly Deduction'!A:B,2,0),0)</f>
        <v>0</v>
      </c>
      <c r="AB224" s="129">
        <f t="shared" si="61"/>
        <v>3632</v>
      </c>
      <c r="AC224" s="130">
        <f t="shared" ref="AC224:AC226" si="75">AB224</f>
        <v>3632</v>
      </c>
      <c r="AD224" s="35">
        <f t="shared" si="72"/>
        <v>0</v>
      </c>
      <c r="AE224" s="166" t="str">
        <f t="shared" si="73"/>
        <v>Yes</v>
      </c>
      <c r="AF224" s="127"/>
      <c r="AG224" s="18">
        <v>0</v>
      </c>
      <c r="AH224" s="120" t="s">
        <v>1646</v>
      </c>
      <c r="AI224" s="238">
        <v>768</v>
      </c>
      <c r="AJ224" s="132"/>
      <c r="AK224" s="151">
        <v>1035.95</v>
      </c>
      <c r="AL224" s="154">
        <f t="shared" si="62"/>
        <v>0</v>
      </c>
      <c r="AM224" s="155"/>
      <c r="AN224" s="19">
        <f t="shared" si="63"/>
        <v>2861.1279549520004</v>
      </c>
      <c r="AO224" s="118">
        <f>SUMIF('MPG Payment '!E:E,'Shayak Income '!D224,'MPG Payment '!AJ:AJ)</f>
        <v>0</v>
      </c>
      <c r="AP224" s="19">
        <f t="shared" si="64"/>
        <v>2861.1279549520004</v>
      </c>
      <c r="AQ224" s="119">
        <f t="shared" si="74"/>
        <v>2861.1279549520004</v>
      </c>
      <c r="AR224" s="91" t="s">
        <v>1168</v>
      </c>
      <c r="AS224" s="91">
        <f t="shared" si="65"/>
        <v>0</v>
      </c>
      <c r="AT224" s="118"/>
      <c r="AU224" s="118"/>
      <c r="AV224" s="118"/>
    </row>
    <row r="225" spans="1:48" s="20" customFormat="1" x14ac:dyDescent="0.25">
      <c r="A225" s="17">
        <f>IFERROR(VLOOKUP(D225,'Monthly Deduction'!$I$3:$J$957,2,0),0)</f>
        <v>0</v>
      </c>
      <c r="B225" s="17">
        <f>IFERROR(VLOOKUP(D225,'Monthly Deduction'!$E$3:$F$957,2,0),0)</f>
        <v>0</v>
      </c>
      <c r="C225" s="17">
        <f t="shared" si="66"/>
        <v>0</v>
      </c>
      <c r="D225" s="41">
        <v>10080078</v>
      </c>
      <c r="E225" s="122" t="str">
        <f>VLOOKUP(D225,'MPG Payment '!$E$3:$G$498218,2,0)</f>
        <v>Prashant Kumar</v>
      </c>
      <c r="F225" s="146">
        <f>IFERROR(_xlfn.XLOOKUP(D225,'Monthly Deduction'!$I$3:$I$957,'Monthly Deduction'!$H$3:$H$957),0)</f>
        <v>0</v>
      </c>
      <c r="G225" s="123" t="str">
        <f>VLOOKUP(D225,'MPG Payment '!$E$3:$G$334579,3,0)</f>
        <v>vlc</v>
      </c>
      <c r="H225" s="124" t="str">
        <f>VLOOKUP(D225,'MPG Payment '!$E$3:$H$334579,4,0)</f>
        <v>Indirect</v>
      </c>
      <c r="I225" s="88">
        <f>INDEX('MPG Payment '!$C:$C,MATCH('Shayak Income '!D225,'MPG Payment '!E:E,0))</f>
        <v>1008</v>
      </c>
      <c r="J225" s="88" t="str">
        <f>INDEX('MPG Payment '!$D:$D,MATCH('Shayak Income '!D225,'MPG Payment '!E:E,0))</f>
        <v>Teghra</v>
      </c>
      <c r="K225" s="125" t="s">
        <v>1322</v>
      </c>
      <c r="L225" s="125">
        <v>45604</v>
      </c>
      <c r="M225" s="126">
        <f>SUMIF('MPG Payment '!$E$3:$E$34579,'Shayak Income '!D225,'MPG Payment '!$I$3:$I$34579)</f>
        <v>250.14999999999998</v>
      </c>
      <c r="N225" s="126">
        <f>SUMIF('MPG Payment '!$E$3:$E$34579,'Shayak Income '!D225,'MPG Payment '!$J$3:$J$34579)</f>
        <v>9511.98</v>
      </c>
      <c r="O225" s="126">
        <f t="shared" si="67"/>
        <v>187.61249999999998</v>
      </c>
      <c r="P225" s="126">
        <f t="shared" si="68"/>
        <v>237.64249999999996</v>
      </c>
      <c r="Q225" s="126">
        <f>SUMIF('MPG Payment '!$E$3:$E$34579,'Shayak Income '!D225,'MPG Payment '!$S$3:$S$34579)</f>
        <v>0</v>
      </c>
      <c r="R225" s="126">
        <f t="shared" si="58"/>
        <v>285.35939999999999</v>
      </c>
      <c r="S225" s="126">
        <f t="shared" si="59"/>
        <v>47.716900000000038</v>
      </c>
      <c r="T225" s="126">
        <f t="shared" si="69"/>
        <v>25.015000000000001</v>
      </c>
      <c r="U225" s="127">
        <f>(((IF(K225="New",0,SUMIF('MPG Payment '!$E$3:$E$34579,'Shayak Income '!D225,'MPG Payment '!$AC$3:$AC$34579))))+0)+-1023</f>
        <v>400.12739336859295</v>
      </c>
      <c r="V225" s="127">
        <f t="shared" si="70"/>
        <v>0</v>
      </c>
      <c r="W225" s="19">
        <v>0</v>
      </c>
      <c r="X225" s="19">
        <v>0</v>
      </c>
      <c r="Y225" s="128">
        <f>IFERROR(VLOOKUP(D225,'Monthly Deduction'!$M$2:$N$64,2,0),0)</f>
        <v>0</v>
      </c>
      <c r="Z225" s="128">
        <v>0</v>
      </c>
      <c r="AA225" s="126">
        <f>IFERROR(VLOOKUP(D225,'Monthly Deduction'!A:B,2,0),0)</f>
        <v>0</v>
      </c>
      <c r="AB225" s="129">
        <f t="shared" si="61"/>
        <v>0</v>
      </c>
      <c r="AC225" s="130">
        <f t="shared" si="75"/>
        <v>0</v>
      </c>
      <c r="AD225" s="35">
        <f t="shared" si="72"/>
        <v>0</v>
      </c>
      <c r="AE225" s="166" t="str">
        <f t="shared" si="73"/>
        <v>Release</v>
      </c>
      <c r="AF225" s="127"/>
      <c r="AG225" s="18">
        <v>0</v>
      </c>
      <c r="AH225" s="132" t="s">
        <v>1648</v>
      </c>
      <c r="AI225" s="238">
        <v>0</v>
      </c>
      <c r="AJ225" s="132"/>
      <c r="AK225" s="151">
        <v>0</v>
      </c>
      <c r="AL225" s="154">
        <f t="shared" si="62"/>
        <v>0</v>
      </c>
      <c r="AM225" s="155"/>
      <c r="AN225" s="19">
        <f t="shared" si="63"/>
        <v>0</v>
      </c>
      <c r="AO225" s="118">
        <f>SUMIF('MPG Payment '!E:E,'Shayak Income '!D225,'MPG Payment '!AJ:AJ)</f>
        <v>0</v>
      </c>
      <c r="AP225" s="19">
        <f t="shared" si="64"/>
        <v>0</v>
      </c>
      <c r="AQ225" s="119">
        <f t="shared" si="74"/>
        <v>0</v>
      </c>
      <c r="AR225" s="91"/>
      <c r="AS225" s="91">
        <f t="shared" si="65"/>
        <v>0</v>
      </c>
      <c r="AT225" s="118"/>
      <c r="AU225" s="118"/>
      <c r="AV225" s="118"/>
    </row>
    <row r="226" spans="1:48" s="20" customFormat="1" x14ac:dyDescent="0.25">
      <c r="A226" s="17">
        <f>IFERROR(VLOOKUP(D226,'Monthly Deduction'!$I$3:$J$957,2,0),0)</f>
        <v>70278</v>
      </c>
      <c r="B226" s="17">
        <f>IFERROR(VLOOKUP(D226,'Monthly Deduction'!$E$3:$F$957,2,0),0)</f>
        <v>3200</v>
      </c>
      <c r="C226" s="17">
        <f t="shared" si="66"/>
        <v>73478</v>
      </c>
      <c r="D226" s="41">
        <v>10080079</v>
      </c>
      <c r="E226" s="122" t="str">
        <f>VLOOKUP(D226,'MPG Payment '!$E$3:$G$498218,2,0)</f>
        <v>Gomukh Barauni 3</v>
      </c>
      <c r="F226" s="146">
        <f>IFERROR(_xlfn.XLOOKUP(D226,'Monthly Deduction'!$I$3:$I$957,'Monthly Deduction'!$H$3:$H$957),0)</f>
        <v>0</v>
      </c>
      <c r="G226" s="123" t="str">
        <f>VLOOKUP(D226,'MPG Payment '!$E$3:$G$334579,3,0)</f>
        <v>MPG</v>
      </c>
      <c r="H226" s="124" t="str">
        <f>VLOOKUP(D226,'MPG Payment '!$E$3:$H$334579,4,0)</f>
        <v>Direct</v>
      </c>
      <c r="I226" s="88">
        <f>INDEX('MPG Payment '!$C:$C,MATCH('Shayak Income '!D226,'MPG Payment '!E:E,0))</f>
        <v>1008</v>
      </c>
      <c r="J226" s="88" t="str">
        <f>INDEX('MPG Payment '!$D:$D,MATCH('Shayak Income '!D226,'MPG Payment '!E:E,0))</f>
        <v>Teghra</v>
      </c>
      <c r="K226" s="125" t="s">
        <v>1322</v>
      </c>
      <c r="L226" s="125">
        <v>45631</v>
      </c>
      <c r="M226" s="126">
        <f>SUMIF('MPG Payment '!$E$3:$E$34579,'Shayak Income '!D226,'MPG Payment '!$I$3:$I$34579)</f>
        <v>609.1</v>
      </c>
      <c r="N226" s="126">
        <f>SUMIF('MPG Payment '!$E$3:$E$34579,'Shayak Income '!D226,'MPG Payment '!$J$3:$J$34579)</f>
        <v>23271.613403089999</v>
      </c>
      <c r="O226" s="126">
        <f t="shared" si="67"/>
        <v>456.82500000000005</v>
      </c>
      <c r="P226" s="126">
        <f t="shared" si="68"/>
        <v>578.64499999999998</v>
      </c>
      <c r="Q226" s="126">
        <f>SUMIF('MPG Payment '!$E$3:$E$34579,'Shayak Income '!D226,'MPG Payment '!$S$3:$S$34579)</f>
        <v>0</v>
      </c>
      <c r="R226" s="126">
        <f t="shared" si="58"/>
        <v>698.14840209269994</v>
      </c>
      <c r="S226" s="126">
        <f t="shared" si="59"/>
        <v>119.50340209269996</v>
      </c>
      <c r="T226" s="126">
        <f t="shared" si="69"/>
        <v>60.910000000000004</v>
      </c>
      <c r="U226" s="127">
        <f>(((IF(K226="New",0,SUMIF('MPG Payment '!$E$3:$E$34579,'Shayak Income '!D226,'MPG Payment '!$AC$3:$AC$34579))))+0)+-703</f>
        <v>974.33978857009834</v>
      </c>
      <c r="V226" s="127">
        <f t="shared" si="70"/>
        <v>0</v>
      </c>
      <c r="W226" s="19">
        <v>0</v>
      </c>
      <c r="X226" s="19">
        <v>0</v>
      </c>
      <c r="Y226" s="128">
        <f>IFERROR(VLOOKUP(D226,'Monthly Deduction'!$M$2:$N$64,2,0),0)</f>
        <v>0</v>
      </c>
      <c r="Z226" s="128">
        <v>0</v>
      </c>
      <c r="AA226" s="126">
        <f>IFERROR(VLOOKUP(D226,'Monthly Deduction'!A:B,2,0),0)</f>
        <v>0</v>
      </c>
      <c r="AB226" s="129">
        <f t="shared" si="61"/>
        <v>0</v>
      </c>
      <c r="AC226" s="130">
        <f t="shared" si="75"/>
        <v>0</v>
      </c>
      <c r="AD226" s="35">
        <f t="shared" si="72"/>
        <v>0</v>
      </c>
      <c r="AE226" s="166" t="str">
        <f t="shared" si="73"/>
        <v>Release</v>
      </c>
      <c r="AF226" s="127"/>
      <c r="AG226" s="18">
        <v>0</v>
      </c>
      <c r="AH226" s="120" t="s">
        <v>1646</v>
      </c>
      <c r="AI226" s="238">
        <v>5000</v>
      </c>
      <c r="AJ226" s="132"/>
      <c r="AK226" s="151">
        <v>129.9</v>
      </c>
      <c r="AL226" s="154">
        <f t="shared" si="62"/>
        <v>0</v>
      </c>
      <c r="AM226" s="155"/>
      <c r="AN226" s="19">
        <f t="shared" si="63"/>
        <v>1861</v>
      </c>
      <c r="AO226" s="118">
        <f>SUMIF('MPG Payment '!E:E,'Shayak Income '!D226,'MPG Payment '!AJ:AJ)</f>
        <v>500</v>
      </c>
      <c r="AP226" s="19">
        <f t="shared" si="64"/>
        <v>0</v>
      </c>
      <c r="AQ226" s="119">
        <f t="shared" si="74"/>
        <v>500</v>
      </c>
      <c r="AR226" s="91" t="s">
        <v>1168</v>
      </c>
      <c r="AS226" s="91">
        <f t="shared" si="65"/>
        <v>3200</v>
      </c>
      <c r="AT226" s="118"/>
      <c r="AU226" s="118"/>
      <c r="AV226" s="118"/>
    </row>
    <row r="227" spans="1:48" s="20" customFormat="1" x14ac:dyDescent="0.25">
      <c r="A227" s="17">
        <f>IFERROR(VLOOKUP(D227,'Monthly Deduction'!$I$3:$J$957,2,0),0)</f>
        <v>0</v>
      </c>
      <c r="B227" s="17">
        <f>IFERROR(VLOOKUP(D227,'Monthly Deduction'!$E$3:$F$957,2,0),0)</f>
        <v>0</v>
      </c>
      <c r="C227" s="17">
        <f t="shared" si="66"/>
        <v>0</v>
      </c>
      <c r="D227" s="41">
        <v>10080080</v>
      </c>
      <c r="E227" s="122" t="str">
        <f>VLOOKUP(D227,'MPG Payment '!$E$3:$G$498218,2,0)</f>
        <v>CHANDAN YADAV</v>
      </c>
      <c r="F227" s="146">
        <f>IFERROR(_xlfn.XLOOKUP(D227,'Monthly Deduction'!$I$3:$I$957,'Monthly Deduction'!$H$3:$H$957),0)</f>
        <v>0</v>
      </c>
      <c r="G227" s="123" t="str">
        <f>VLOOKUP(D227,'MPG Payment '!$E$3:$G$334579,3,0)</f>
        <v>vlc</v>
      </c>
      <c r="H227" s="124" t="str">
        <f>VLOOKUP(D227,'MPG Payment '!$E$3:$H$334579,4,0)</f>
        <v>Indirect</v>
      </c>
      <c r="I227" s="88">
        <f>INDEX('MPG Payment '!$C:$C,MATCH('Shayak Income '!D227,'MPG Payment '!E:E,0))</f>
        <v>1008</v>
      </c>
      <c r="J227" s="88" t="str">
        <f>INDEX('MPG Payment '!$D:$D,MATCH('Shayak Income '!D227,'MPG Payment '!E:E,0))</f>
        <v>Teghra</v>
      </c>
      <c r="K227" s="125" t="s">
        <v>1322</v>
      </c>
      <c r="L227" s="125">
        <v>45644</v>
      </c>
      <c r="M227" s="126">
        <f>SUMIF('MPG Payment '!$E$3:$E$34579,'Shayak Income '!D227,'MPG Payment '!$I$3:$I$34579)</f>
        <v>771.05</v>
      </c>
      <c r="N227" s="126">
        <f>SUMIF('MPG Payment '!$E$3:$E$34579,'Shayak Income '!D227,'MPG Payment '!$J$3:$J$34579)</f>
        <v>27557.352206661002</v>
      </c>
      <c r="O227" s="126">
        <f t="shared" si="67"/>
        <v>578.28749999999991</v>
      </c>
      <c r="P227" s="126">
        <f t="shared" si="68"/>
        <v>732.49749999999995</v>
      </c>
      <c r="Q227" s="126">
        <f>SUMIF('MPG Payment '!$E$3:$E$34579,'Shayak Income '!D227,'MPG Payment '!$S$3:$S$34579)</f>
        <v>0</v>
      </c>
      <c r="R227" s="126">
        <f t="shared" si="58"/>
        <v>826.72056619983005</v>
      </c>
      <c r="S227" s="126">
        <f t="shared" si="59"/>
        <v>94.2230661998301</v>
      </c>
      <c r="T227" s="126">
        <f t="shared" si="69"/>
        <v>77.105000000000004</v>
      </c>
      <c r="U227" s="127">
        <f>(((IF(K227="New",0,SUMIF('MPG Payment '!$E$3:$E$34579,'Shayak Income '!D227,'MPG Payment '!$AC$3:$AC$34579))))+0)+-188</f>
        <v>1233.3612262486863</v>
      </c>
      <c r="V227" s="127">
        <f t="shared" si="70"/>
        <v>0</v>
      </c>
      <c r="W227" s="19">
        <v>0</v>
      </c>
      <c r="X227" s="19">
        <v>0</v>
      </c>
      <c r="Y227" s="128">
        <f>IFERROR(VLOOKUP(D227,'Monthly Deduction'!$M$2:$N$64,2,0),0)</f>
        <v>0</v>
      </c>
      <c r="Z227" s="128">
        <v>0</v>
      </c>
      <c r="AA227" s="126">
        <f>IFERROR(VLOOKUP(D227,'Monthly Deduction'!A:B,2,0),0)</f>
        <v>0</v>
      </c>
      <c r="AB227" s="129">
        <f t="shared" si="61"/>
        <v>0</v>
      </c>
      <c r="AC227" s="130">
        <v>0</v>
      </c>
      <c r="AD227" s="35">
        <f t="shared" si="72"/>
        <v>0</v>
      </c>
      <c r="AE227" s="166" t="str">
        <f t="shared" si="73"/>
        <v>Release</v>
      </c>
      <c r="AF227" s="127"/>
      <c r="AG227" s="18">
        <v>0</v>
      </c>
      <c r="AH227" s="120"/>
      <c r="AI227" s="238">
        <v>0</v>
      </c>
      <c r="AJ227" s="132"/>
      <c r="AK227" s="151">
        <v>448.9</v>
      </c>
      <c r="AL227" s="154">
        <f t="shared" si="62"/>
        <v>0</v>
      </c>
      <c r="AM227" s="155"/>
      <c r="AN227" s="19">
        <f t="shared" si="63"/>
        <v>0</v>
      </c>
      <c r="AO227" s="118">
        <f>SUMIF('MPG Payment '!E:E,'Shayak Income '!D227,'MPG Payment '!AJ:AJ)</f>
        <v>0</v>
      </c>
      <c r="AP227" s="19">
        <f t="shared" si="64"/>
        <v>0</v>
      </c>
      <c r="AQ227" s="119">
        <f t="shared" si="74"/>
        <v>0</v>
      </c>
      <c r="AR227" s="91" t="s">
        <v>1168</v>
      </c>
      <c r="AS227" s="91">
        <f t="shared" si="65"/>
        <v>0</v>
      </c>
      <c r="AT227" s="118"/>
      <c r="AU227" s="118"/>
      <c r="AV227" s="118"/>
    </row>
    <row r="228" spans="1:48" s="20" customFormat="1" x14ac:dyDescent="0.25">
      <c r="A228" s="17">
        <f>IFERROR(VLOOKUP(D228,'Monthly Deduction'!$I$3:$J$957,2,0),0)</f>
        <v>0</v>
      </c>
      <c r="B228" s="17">
        <f>IFERROR(VLOOKUP(D228,'Monthly Deduction'!$E$3:$F$957,2,0),0)</f>
        <v>0</v>
      </c>
      <c r="C228" s="17">
        <f t="shared" si="66"/>
        <v>0</v>
      </c>
      <c r="D228" s="41">
        <v>10080082</v>
      </c>
      <c r="E228" s="122" t="str">
        <f>VLOOKUP(D228,'MPG Payment '!$E$3:$G$498218,2,0)</f>
        <v>DINESH YADAV</v>
      </c>
      <c r="F228" s="146">
        <f>IFERROR(_xlfn.XLOOKUP(D228,'Monthly Deduction'!$I$3:$I$957,'Monthly Deduction'!$H$3:$H$957),0)</f>
        <v>0</v>
      </c>
      <c r="G228" s="123" t="str">
        <f>VLOOKUP(D228,'MPG Payment '!$E$3:$G$334579,3,0)</f>
        <v>vlc</v>
      </c>
      <c r="H228" s="124" t="str">
        <f>VLOOKUP(D228,'MPG Payment '!$E$3:$H$334579,4,0)</f>
        <v>Indirect</v>
      </c>
      <c r="I228" s="88">
        <f>INDEX('MPG Payment '!$C:$C,MATCH('Shayak Income '!D228,'MPG Payment '!E:E,0))</f>
        <v>1008</v>
      </c>
      <c r="J228" s="88" t="str">
        <f>INDEX('MPG Payment '!$D:$D,MATCH('Shayak Income '!D228,'MPG Payment '!E:E,0))</f>
        <v>Teghra</v>
      </c>
      <c r="K228" s="125" t="s">
        <v>1322</v>
      </c>
      <c r="L228" s="125">
        <v>45644</v>
      </c>
      <c r="M228" s="126">
        <f>SUMIF('MPG Payment '!$E$3:$E$34579,'Shayak Income '!D228,'MPG Payment '!$I$3:$I$34579)</f>
        <v>1696.35</v>
      </c>
      <c r="N228" s="126">
        <f>SUMIF('MPG Payment '!$E$3:$E$34579,'Shayak Income '!D228,'MPG Payment '!$J$3:$J$34579)</f>
        <v>62419.614037383508</v>
      </c>
      <c r="O228" s="126">
        <f t="shared" si="67"/>
        <v>1272.2624999999998</v>
      </c>
      <c r="P228" s="126">
        <f t="shared" si="68"/>
        <v>1611.5324999999998</v>
      </c>
      <c r="Q228" s="126">
        <f>SUMIF('MPG Payment '!$E$3:$E$34579,'Shayak Income '!D228,'MPG Payment '!$S$3:$S$34579)</f>
        <v>0</v>
      </c>
      <c r="R228" s="126">
        <f t="shared" si="58"/>
        <v>1872.5884211215052</v>
      </c>
      <c r="S228" s="126">
        <f t="shared" si="59"/>
        <v>261.05592112150543</v>
      </c>
      <c r="T228" s="126">
        <f t="shared" si="69"/>
        <v>169.63499999999999</v>
      </c>
      <c r="U228" s="127">
        <f>(((IF(K228="New",0,SUMIF('MPG Payment '!$E$3:$E$34579,'Shayak Income '!D228,'MPG Payment '!$AC$3:$AC$34579))))+0)+0</f>
        <v>815.19790417562001</v>
      </c>
      <c r="V228" s="127">
        <f t="shared" si="70"/>
        <v>1899</v>
      </c>
      <c r="W228" s="19">
        <f t="shared" si="71"/>
        <v>0</v>
      </c>
      <c r="X228" s="19">
        <f t="shared" si="60"/>
        <v>0</v>
      </c>
      <c r="Y228" s="128">
        <f>IFERROR(VLOOKUP(D228,'Monthly Deduction'!$M$2:$N$64,2,0),0)</f>
        <v>0</v>
      </c>
      <c r="Z228" s="128">
        <v>0</v>
      </c>
      <c r="AA228" s="126">
        <f>IFERROR(VLOOKUP(D228,'Monthly Deduction'!A:B,2,0),0)</f>
        <v>0</v>
      </c>
      <c r="AB228" s="129">
        <f t="shared" si="61"/>
        <v>1899</v>
      </c>
      <c r="AC228" s="130">
        <v>0</v>
      </c>
      <c r="AD228" s="35">
        <f t="shared" si="72"/>
        <v>1899</v>
      </c>
      <c r="AE228" s="166" t="str">
        <f t="shared" si="73"/>
        <v>Release</v>
      </c>
      <c r="AF228" s="127"/>
      <c r="AG228" s="18">
        <v>0</v>
      </c>
      <c r="AH228" s="132"/>
      <c r="AI228" s="238">
        <v>0</v>
      </c>
      <c r="AJ228" s="132"/>
      <c r="AK228" s="151">
        <v>123.30000000000001</v>
      </c>
      <c r="AL228" s="154">
        <f t="shared" si="62"/>
        <v>0</v>
      </c>
      <c r="AM228" s="155"/>
      <c r="AN228" s="19">
        <f t="shared" si="63"/>
        <v>0</v>
      </c>
      <c r="AO228" s="118">
        <f>SUMIF('MPG Payment '!E:E,'Shayak Income '!D228,'MPG Payment '!AJ:AJ)</f>
        <v>0</v>
      </c>
      <c r="AP228" s="19">
        <f t="shared" si="64"/>
        <v>0</v>
      </c>
      <c r="AQ228" s="119">
        <f t="shared" si="74"/>
        <v>0</v>
      </c>
      <c r="AR228" s="91" t="s">
        <v>1168</v>
      </c>
      <c r="AS228" s="91">
        <f t="shared" si="65"/>
        <v>0</v>
      </c>
      <c r="AT228" s="118"/>
      <c r="AU228" s="118"/>
      <c r="AV228" s="118"/>
    </row>
    <row r="229" spans="1:48" s="20" customFormat="1" x14ac:dyDescent="0.25">
      <c r="A229" s="17">
        <f>IFERROR(VLOOKUP(D229,'Monthly Deduction'!$I$3:$J$957,2,0),0)</f>
        <v>0</v>
      </c>
      <c r="B229" s="17">
        <f>IFERROR(VLOOKUP(D229,'Monthly Deduction'!$E$3:$F$957,2,0),0)</f>
        <v>0</v>
      </c>
      <c r="C229" s="17">
        <f t="shared" si="66"/>
        <v>0</v>
      </c>
      <c r="D229" s="41">
        <v>10080083</v>
      </c>
      <c r="E229" s="122" t="str">
        <f>VLOOKUP(D229,'MPG Payment '!$E$3:$G$498218,2,0)</f>
        <v>ANITA DEVI</v>
      </c>
      <c r="F229" s="146">
        <f>IFERROR(_xlfn.XLOOKUP(D229,'Monthly Deduction'!$I$3:$I$957,'Monthly Deduction'!$H$3:$H$957),0)</f>
        <v>0</v>
      </c>
      <c r="G229" s="123" t="str">
        <f>VLOOKUP(D229,'MPG Payment '!$E$3:$G$334579,3,0)</f>
        <v>vlc</v>
      </c>
      <c r="H229" s="124" t="str">
        <f>VLOOKUP(D229,'MPG Payment '!$E$3:$H$334579,4,0)</f>
        <v>Indirect</v>
      </c>
      <c r="I229" s="88">
        <f>INDEX('MPG Payment '!$C:$C,MATCH('Shayak Income '!D229,'MPG Payment '!E:E,0))</f>
        <v>1008</v>
      </c>
      <c r="J229" s="88" t="str">
        <f>INDEX('MPG Payment '!$D:$D,MATCH('Shayak Income '!D229,'MPG Payment '!E:E,0))</f>
        <v>Teghra</v>
      </c>
      <c r="K229" s="125" t="s">
        <v>1322</v>
      </c>
      <c r="L229" s="125">
        <v>45643</v>
      </c>
      <c r="M229" s="126">
        <f>SUMIF('MPG Payment '!$E$3:$E$34579,'Shayak Income '!D229,'MPG Payment '!$I$3:$I$34579)</f>
        <v>560.25</v>
      </c>
      <c r="N229" s="126">
        <f>SUMIF('MPG Payment '!$E$3:$E$34579,'Shayak Income '!D229,'MPG Payment '!$J$3:$J$34579)</f>
        <v>20916.670706199999</v>
      </c>
      <c r="O229" s="126">
        <f t="shared" si="67"/>
        <v>420.1875</v>
      </c>
      <c r="P229" s="126">
        <f t="shared" si="68"/>
        <v>532.23749999999995</v>
      </c>
      <c r="Q229" s="126">
        <f>SUMIF('MPG Payment '!$E$3:$E$34579,'Shayak Income '!D229,'MPG Payment '!$S$3:$S$34579)</f>
        <v>0</v>
      </c>
      <c r="R229" s="126">
        <f t="shared" si="58"/>
        <v>627.50012118599989</v>
      </c>
      <c r="S229" s="126">
        <f t="shared" si="59"/>
        <v>95.262621185999933</v>
      </c>
      <c r="T229" s="126">
        <f t="shared" si="69"/>
        <v>56.025000000000006</v>
      </c>
      <c r="U229" s="127">
        <f>(((IF(K229="New",0,SUMIF('MPG Payment '!$E$3:$E$34579,'Shayak Income '!D229,'MPG Payment '!$AC$3:$AC$34579))))+0)+-786</f>
        <v>896.43930871269663</v>
      </c>
      <c r="V229" s="127">
        <f t="shared" si="70"/>
        <v>0</v>
      </c>
      <c r="W229" s="19">
        <v>0</v>
      </c>
      <c r="X229" s="19">
        <v>0</v>
      </c>
      <c r="Y229" s="128">
        <f>IFERROR(VLOOKUP(D229,'Monthly Deduction'!$M$2:$N$64,2,0),0)</f>
        <v>0</v>
      </c>
      <c r="Z229" s="128">
        <v>0</v>
      </c>
      <c r="AA229" s="126">
        <f>IFERROR(VLOOKUP(D229,'Monthly Deduction'!A:B,2,0),0)</f>
        <v>0</v>
      </c>
      <c r="AB229" s="129">
        <f t="shared" si="61"/>
        <v>0</v>
      </c>
      <c r="AC229" s="130">
        <v>0</v>
      </c>
      <c r="AD229" s="35">
        <f t="shared" si="72"/>
        <v>0</v>
      </c>
      <c r="AE229" s="166" t="str">
        <f t="shared" si="73"/>
        <v>Release</v>
      </c>
      <c r="AF229" s="127"/>
      <c r="AG229" s="18">
        <v>0</v>
      </c>
      <c r="AH229" s="132"/>
      <c r="AI229" s="238">
        <v>0</v>
      </c>
      <c r="AJ229" s="132"/>
      <c r="AK229" s="151">
        <v>416.15</v>
      </c>
      <c r="AL229" s="154">
        <f t="shared" si="62"/>
        <v>0</v>
      </c>
      <c r="AM229" s="155"/>
      <c r="AN229" s="19">
        <f t="shared" si="63"/>
        <v>0</v>
      </c>
      <c r="AO229" s="118">
        <f>SUMIF('MPG Payment '!E:E,'Shayak Income '!D229,'MPG Payment '!AJ:AJ)</f>
        <v>0</v>
      </c>
      <c r="AP229" s="19">
        <f t="shared" si="64"/>
        <v>0</v>
      </c>
      <c r="AQ229" s="119">
        <f t="shared" si="74"/>
        <v>0</v>
      </c>
      <c r="AR229" s="91" t="s">
        <v>1168</v>
      </c>
      <c r="AS229" s="91">
        <f t="shared" si="65"/>
        <v>0</v>
      </c>
      <c r="AT229" s="118"/>
      <c r="AU229" s="118"/>
      <c r="AV229" s="118"/>
    </row>
    <row r="230" spans="1:48" s="20" customFormat="1" x14ac:dyDescent="0.25">
      <c r="A230" s="17">
        <f>IFERROR(VLOOKUP(D230,'Monthly Deduction'!$I$3:$J$957,2,0),0)</f>
        <v>66910.489150940324</v>
      </c>
      <c r="B230" s="17">
        <f>IFERROR(VLOOKUP(D230,'Monthly Deduction'!$E$3:$F$957,2,0),0)</f>
        <v>12800</v>
      </c>
      <c r="C230" s="17">
        <f t="shared" si="66"/>
        <v>79710.489150940324</v>
      </c>
      <c r="D230" s="41">
        <v>10080086</v>
      </c>
      <c r="E230" s="122" t="str">
        <f>VLOOKUP(D230,'MPG Payment '!$E$3:$G$498218,2,0)</f>
        <v>GOMUKH FATEHA SALEMPUR</v>
      </c>
      <c r="F230" s="146">
        <f>IFERROR(_xlfn.XLOOKUP(D230,'Monthly Deduction'!$I$3:$I$957,'Monthly Deduction'!$H$3:$H$957),0)</f>
        <v>0</v>
      </c>
      <c r="G230" s="123" t="str">
        <f>VLOOKUP(D230,'MPG Payment '!$E$3:$G$334579,3,0)</f>
        <v>MPG</v>
      </c>
      <c r="H230" s="124" t="str">
        <f>VLOOKUP(D230,'MPG Payment '!$E$3:$H$334579,4,0)</f>
        <v>Direct</v>
      </c>
      <c r="I230" s="88">
        <f>INDEX('MPG Payment '!$C:$C,MATCH('Shayak Income '!D230,'MPG Payment '!E:E,0))</f>
        <v>1008</v>
      </c>
      <c r="J230" s="88" t="str">
        <f>INDEX('MPG Payment '!$D:$D,MATCH('Shayak Income '!D230,'MPG Payment '!E:E,0))</f>
        <v>Teghra</v>
      </c>
      <c r="K230" s="125" t="s">
        <v>1322</v>
      </c>
      <c r="L230" s="125">
        <v>45716</v>
      </c>
      <c r="M230" s="126">
        <f>SUMIF('MPG Payment '!$E$3:$E$34579,'Shayak Income '!D230,'MPG Payment '!$I$3:$I$34579)</f>
        <v>166.70000000000002</v>
      </c>
      <c r="N230" s="126">
        <f>SUMIF('MPG Payment '!$E$3:$E$34579,'Shayak Income '!D230,'MPG Payment '!$J$3:$J$34579)</f>
        <v>6017.4628895780006</v>
      </c>
      <c r="O230" s="126">
        <f t="shared" si="67"/>
        <v>125.02500000000001</v>
      </c>
      <c r="P230" s="126">
        <f t="shared" si="68"/>
        <v>158.36500000000001</v>
      </c>
      <c r="Q230" s="126">
        <f>SUMIF('MPG Payment '!$E$3:$E$34579,'Shayak Income '!D230,'MPG Payment '!$S$3:$S$34579)</f>
        <v>1389.2265700199998</v>
      </c>
      <c r="R230" s="126">
        <f t="shared" si="58"/>
        <v>180.52388668734002</v>
      </c>
      <c r="S230" s="126">
        <f t="shared" si="59"/>
        <v>22.158886687340015</v>
      </c>
      <c r="T230" s="126">
        <f t="shared" si="69"/>
        <v>16.670000000000002</v>
      </c>
      <c r="U230" s="127">
        <f>(((IF(K230="New",0,SUMIF('MPG Payment '!$E$3:$E$34579,'Shayak Income '!D230,'MPG Payment '!$AC$3:$AC$34579))))+0)+0</f>
        <v>893.68911343933166</v>
      </c>
      <c r="V230" s="127">
        <f t="shared" si="70"/>
        <v>762</v>
      </c>
      <c r="W230" s="19">
        <v>762</v>
      </c>
      <c r="X230" s="19">
        <v>0</v>
      </c>
      <c r="Y230" s="128">
        <f>IFERROR(VLOOKUP(D230,'Monthly Deduction'!$M$2:$N$64,2,0),0)</f>
        <v>0</v>
      </c>
      <c r="Z230" s="128">
        <v>0</v>
      </c>
      <c r="AA230" s="126">
        <f>IFERROR(VLOOKUP(D230,'Monthly Deduction'!A:B,2,0),0)</f>
        <v>0</v>
      </c>
      <c r="AB230" s="129">
        <f t="shared" si="61"/>
        <v>0</v>
      </c>
      <c r="AC230" s="130">
        <f>AB230</f>
        <v>0</v>
      </c>
      <c r="AD230" s="35">
        <f t="shared" si="72"/>
        <v>0</v>
      </c>
      <c r="AE230" s="166" t="str">
        <f t="shared" si="73"/>
        <v>Release</v>
      </c>
      <c r="AF230" s="127"/>
      <c r="AG230" s="18">
        <v>0</v>
      </c>
      <c r="AH230" s="132" t="s">
        <v>1648</v>
      </c>
      <c r="AI230" s="238">
        <v>0</v>
      </c>
      <c r="AJ230" s="132"/>
      <c r="AK230" s="151">
        <v>0</v>
      </c>
      <c r="AL230" s="154">
        <f t="shared" si="62"/>
        <v>0</v>
      </c>
      <c r="AM230" s="155"/>
      <c r="AN230" s="19">
        <f t="shared" si="63"/>
        <v>1861</v>
      </c>
      <c r="AO230" s="118">
        <f>SUMIF('MPG Payment '!E:E,'Shayak Income '!D230,'MPG Payment '!AJ:AJ)</f>
        <v>500</v>
      </c>
      <c r="AP230" s="19">
        <f t="shared" si="64"/>
        <v>762</v>
      </c>
      <c r="AQ230" s="119">
        <f t="shared" si="74"/>
        <v>1262</v>
      </c>
      <c r="AR230" s="91"/>
      <c r="AS230" s="91">
        <f t="shared" si="65"/>
        <v>12800</v>
      </c>
      <c r="AT230" s="118"/>
      <c r="AU230" s="118"/>
      <c r="AV230" s="118"/>
    </row>
    <row r="231" spans="1:48" s="20" customFormat="1" x14ac:dyDescent="0.25">
      <c r="A231" s="17">
        <f>IFERROR(VLOOKUP(D231,'Monthly Deduction'!$I$3:$J$957,2,0),0)</f>
        <v>74177</v>
      </c>
      <c r="B231" s="17">
        <f>IFERROR(VLOOKUP(D231,'Monthly Deduction'!$E$3:$F$957,2,0),0)</f>
        <v>4446.9805999999999</v>
      </c>
      <c r="C231" s="17">
        <f t="shared" si="66"/>
        <v>78623.980599999995</v>
      </c>
      <c r="D231" s="41">
        <v>10080087</v>
      </c>
      <c r="E231" s="122" t="str">
        <f>VLOOKUP(D231,'MPG Payment '!$E$3:$G$498218,2,0)</f>
        <v>GOMUKH GEHUNI 2</v>
      </c>
      <c r="F231" s="146">
        <f>IFERROR(_xlfn.XLOOKUP(D231,'Monthly Deduction'!$I$3:$I$957,'Monthly Deduction'!$H$3:$H$957),0)</f>
        <v>0</v>
      </c>
      <c r="G231" s="123" t="str">
        <f>VLOOKUP(D231,'MPG Payment '!$E$3:$G$334579,3,0)</f>
        <v>MPG</v>
      </c>
      <c r="H231" s="124" t="str">
        <f>VLOOKUP(D231,'MPG Payment '!$E$3:$H$334579,4,0)</f>
        <v>Direct</v>
      </c>
      <c r="I231" s="88">
        <f>INDEX('MPG Payment '!$C:$C,MATCH('Shayak Income '!D231,'MPG Payment '!E:E,0))</f>
        <v>1008</v>
      </c>
      <c r="J231" s="88" t="str">
        <f>INDEX('MPG Payment '!$D:$D,MATCH('Shayak Income '!D231,'MPG Payment '!E:E,0))</f>
        <v>Teghra</v>
      </c>
      <c r="K231" s="125" t="s">
        <v>1322</v>
      </c>
      <c r="L231" s="125">
        <v>45745</v>
      </c>
      <c r="M231" s="126">
        <f>SUMIF('MPG Payment '!$E$3:$E$34579,'Shayak Income '!D231,'MPG Payment '!$I$3:$I$34579)</f>
        <v>2282.1</v>
      </c>
      <c r="N231" s="126">
        <f>SUMIF('MPG Payment '!$E$3:$E$34579,'Shayak Income '!D231,'MPG Payment '!$J$3:$J$34579)</f>
        <v>86890.553681219011</v>
      </c>
      <c r="O231" s="126">
        <f t="shared" si="67"/>
        <v>1711.5749999999998</v>
      </c>
      <c r="P231" s="126">
        <f t="shared" si="68"/>
        <v>2167.9949999999999</v>
      </c>
      <c r="Q231" s="126">
        <f>SUMIF('MPG Payment '!$E$3:$E$34579,'Shayak Income '!D231,'MPG Payment '!$S$3:$S$34579)</f>
        <v>96.446676077999996</v>
      </c>
      <c r="R231" s="126">
        <f t="shared" si="58"/>
        <v>2606.7166104365701</v>
      </c>
      <c r="S231" s="126">
        <f t="shared" si="59"/>
        <v>438.72161043657024</v>
      </c>
      <c r="T231" s="126">
        <f t="shared" si="69"/>
        <v>228.21</v>
      </c>
      <c r="U231" s="127">
        <f>(((IF(K231="New",0,SUMIF('MPG Payment '!$E$3:$E$34579,'Shayak Income '!D231,'MPG Payment '!$AC$3:$AC$34579))))+0)+0</f>
        <v>391.57551771531735</v>
      </c>
      <c r="V231" s="127">
        <f t="shared" si="70"/>
        <v>3356</v>
      </c>
      <c r="W231" s="19">
        <f t="shared" si="71"/>
        <v>1861</v>
      </c>
      <c r="X231" s="19">
        <v>0</v>
      </c>
      <c r="Y231" s="128">
        <f>IFERROR(VLOOKUP(D231,'Monthly Deduction'!$M$2:$N$64,2,0),0)</f>
        <v>0</v>
      </c>
      <c r="Z231" s="128">
        <v>0</v>
      </c>
      <c r="AA231" s="126">
        <f>IFERROR(VLOOKUP(D231,'Monthly Deduction'!A:B,2,0),0)</f>
        <v>0</v>
      </c>
      <c r="AB231" s="129">
        <f t="shared" si="61"/>
        <v>1495</v>
      </c>
      <c r="AC231" s="130">
        <v>0</v>
      </c>
      <c r="AD231" s="35">
        <f t="shared" si="72"/>
        <v>1495</v>
      </c>
      <c r="AE231" s="166" t="str">
        <f t="shared" si="73"/>
        <v>Release</v>
      </c>
      <c r="AF231" s="127"/>
      <c r="AG231" s="127">
        <v>0</v>
      </c>
      <c r="AH231" s="215"/>
      <c r="AI231" s="238">
        <v>0</v>
      </c>
      <c r="AJ231" s="132"/>
      <c r="AK231" s="151">
        <v>692.4</v>
      </c>
      <c r="AL231" s="154">
        <f t="shared" si="62"/>
        <v>0</v>
      </c>
      <c r="AM231" s="155"/>
      <c r="AN231" s="19">
        <f t="shared" si="63"/>
        <v>1861</v>
      </c>
      <c r="AO231" s="118">
        <f>SUMIF('MPG Payment '!E:E,'Shayak Income '!D231,'MPG Payment '!AJ:AJ)</f>
        <v>0</v>
      </c>
      <c r="AP231" s="19">
        <f t="shared" si="64"/>
        <v>1861</v>
      </c>
      <c r="AQ231" s="119">
        <f t="shared" si="74"/>
        <v>1861</v>
      </c>
      <c r="AR231" s="91" t="s">
        <v>1168</v>
      </c>
      <c r="AS231" s="91">
        <f t="shared" si="65"/>
        <v>4446.9805999999999</v>
      </c>
      <c r="AT231" s="118"/>
      <c r="AU231" s="118"/>
      <c r="AV231" s="118"/>
    </row>
    <row r="232" spans="1:48" s="20" customFormat="1" x14ac:dyDescent="0.25">
      <c r="A232" s="17">
        <f>IFERROR(VLOOKUP(D232,'Monthly Deduction'!$I$3:$J$957,2,0),0)</f>
        <v>37880.84715093534</v>
      </c>
      <c r="B232" s="17">
        <f>IFERROR(VLOOKUP(D232,'Monthly Deduction'!$E$3:$F$957,2,0),0)</f>
        <v>0</v>
      </c>
      <c r="C232" s="17">
        <f t="shared" si="66"/>
        <v>37880.84715093534</v>
      </c>
      <c r="D232" s="41">
        <v>10080088</v>
      </c>
      <c r="E232" s="122" t="str">
        <f>VLOOKUP(D232,'MPG Payment '!$E$3:$G$498218,2,0)</f>
        <v>GOMUKH MALHIPUR</v>
      </c>
      <c r="F232" s="146">
        <f>IFERROR(_xlfn.XLOOKUP(D232,'Monthly Deduction'!$I$3:$I$957,'Monthly Deduction'!$H$3:$H$957),0)</f>
        <v>0</v>
      </c>
      <c r="G232" s="123" t="str">
        <f>VLOOKUP(D232,'MPG Payment '!$E$3:$G$334579,3,0)</f>
        <v>MPG</v>
      </c>
      <c r="H232" s="124" t="str">
        <f>VLOOKUP(D232,'MPG Payment '!$E$3:$H$334579,4,0)</f>
        <v>Direct</v>
      </c>
      <c r="I232" s="88">
        <f>INDEX('MPG Payment '!$C:$C,MATCH('Shayak Income '!D232,'MPG Payment '!E:E,0))</f>
        <v>1008</v>
      </c>
      <c r="J232" s="88" t="str">
        <f>INDEX('MPG Payment '!$D:$D,MATCH('Shayak Income '!D232,'MPG Payment '!E:E,0))</f>
        <v>Teghra</v>
      </c>
      <c r="K232" s="125" t="s">
        <v>1322</v>
      </c>
      <c r="L232" s="125">
        <v>45745</v>
      </c>
      <c r="M232" s="126">
        <f>SUMIF('MPG Payment '!$E$3:$E$34579,'Shayak Income '!D232,'MPG Payment '!$I$3:$I$34579)</f>
        <v>5851.25</v>
      </c>
      <c r="N232" s="126">
        <f>SUMIF('MPG Payment '!$E$3:$E$34579,'Shayak Income '!D232,'MPG Payment '!$J$3:$J$34579)</f>
        <v>210517.11654236075</v>
      </c>
      <c r="O232" s="126">
        <f t="shared" si="67"/>
        <v>4388.4375</v>
      </c>
      <c r="P232" s="126">
        <f t="shared" si="68"/>
        <v>5558.6875</v>
      </c>
      <c r="Q232" s="126">
        <f>SUMIF('MPG Payment '!$E$3:$E$34579,'Shayak Income '!D232,'MPG Payment '!$S$3:$S$34579)</f>
        <v>377.95800362535005</v>
      </c>
      <c r="R232" s="126">
        <f t="shared" si="58"/>
        <v>6315.5134962708225</v>
      </c>
      <c r="S232" s="126">
        <f t="shared" si="59"/>
        <v>756.82599627082254</v>
      </c>
      <c r="T232" s="126">
        <f t="shared" si="69"/>
        <v>585.125</v>
      </c>
      <c r="U232" s="127">
        <f>(((IF(K232="New",0,SUMIF('MPG Payment '!$E$3:$E$34579,'Shayak Income '!D232,'MPG Payment '!$AC$3:$AC$34579))))+0)+0</f>
        <v>0</v>
      </c>
      <c r="V232" s="127">
        <f t="shared" si="70"/>
        <v>9740</v>
      </c>
      <c r="W232" s="19">
        <f t="shared" si="71"/>
        <v>4210.3423308472147</v>
      </c>
      <c r="X232" s="19">
        <v>0</v>
      </c>
      <c r="Y232" s="128">
        <f>IFERROR(VLOOKUP(D232,'Monthly Deduction'!$M$2:$N$64,2,0),0)</f>
        <v>0</v>
      </c>
      <c r="Z232" s="128">
        <v>0</v>
      </c>
      <c r="AA232" s="126">
        <f>IFERROR(VLOOKUP(D232,'Monthly Deduction'!A:B,2,0),0)</f>
        <v>0</v>
      </c>
      <c r="AB232" s="129">
        <f t="shared" si="61"/>
        <v>5530</v>
      </c>
      <c r="AC232" s="130">
        <f>AB232</f>
        <v>5530</v>
      </c>
      <c r="AD232" s="35">
        <f t="shared" si="72"/>
        <v>0</v>
      </c>
      <c r="AE232" s="166" t="str">
        <f t="shared" si="73"/>
        <v>Yes</v>
      </c>
      <c r="AF232" s="127"/>
      <c r="AG232" s="18">
        <v>0</v>
      </c>
      <c r="AH232" s="120" t="s">
        <v>1653</v>
      </c>
      <c r="AI232" s="238">
        <v>0</v>
      </c>
      <c r="AJ232" s="132"/>
      <c r="AK232" s="151">
        <v>1691.4</v>
      </c>
      <c r="AL232" s="154">
        <f t="shared" si="62"/>
        <v>0</v>
      </c>
      <c r="AM232" s="155"/>
      <c r="AN232" s="19">
        <f t="shared" si="63"/>
        <v>4210.3423308472147</v>
      </c>
      <c r="AO232" s="118">
        <f>SUMIF('MPG Payment '!E:E,'Shayak Income '!D232,'MPG Payment '!AJ:AJ)</f>
        <v>0</v>
      </c>
      <c r="AP232" s="19">
        <f t="shared" si="64"/>
        <v>4210.3423308472147</v>
      </c>
      <c r="AQ232" s="119">
        <f t="shared" si="74"/>
        <v>4210.3423308472147</v>
      </c>
      <c r="AR232" s="91" t="s">
        <v>65</v>
      </c>
      <c r="AS232" s="91">
        <f t="shared" si="65"/>
        <v>0</v>
      </c>
      <c r="AT232" s="118"/>
      <c r="AU232" s="118"/>
      <c r="AV232" s="118"/>
    </row>
    <row r="233" spans="1:48" s="20" customFormat="1" x14ac:dyDescent="0.25">
      <c r="A233" s="17">
        <f>IFERROR(VLOOKUP(D233,'Monthly Deduction'!$I$3:$J$957,2,0),0)</f>
        <v>0</v>
      </c>
      <c r="B233" s="17">
        <f>IFERROR(VLOOKUP(D233,'Monthly Deduction'!$E$3:$F$957,2,0),0)</f>
        <v>0</v>
      </c>
      <c r="C233" s="17">
        <f t="shared" si="66"/>
        <v>0</v>
      </c>
      <c r="D233" s="41">
        <v>10080090</v>
      </c>
      <c r="E233" s="122" t="str">
        <f>VLOOKUP(D233,'MPG Payment '!$E$3:$G$498218,2,0)</f>
        <v>Rasalpur - Durgesh Kumar</v>
      </c>
      <c r="F233" s="146">
        <f>IFERROR(_xlfn.XLOOKUP(D233,'Monthly Deduction'!$I$3:$I$957,'Monthly Deduction'!$H$3:$H$957),0)</f>
        <v>0</v>
      </c>
      <c r="G233" s="123" t="str">
        <f>VLOOKUP(D233,'MPG Payment '!$E$3:$G$334579,3,0)</f>
        <v>vlc</v>
      </c>
      <c r="H233" s="124" t="str">
        <f>VLOOKUP(D233,'MPG Payment '!$E$3:$H$334579,4,0)</f>
        <v>Indirect</v>
      </c>
      <c r="I233" s="88">
        <f>INDEX('MPG Payment '!$C:$C,MATCH('Shayak Income '!D233,'MPG Payment '!E:E,0))</f>
        <v>1008</v>
      </c>
      <c r="J233" s="88" t="str">
        <f>INDEX('MPG Payment '!$D:$D,MATCH('Shayak Income '!D233,'MPG Payment '!E:E,0))</f>
        <v>Teghra</v>
      </c>
      <c r="K233" s="125" t="s">
        <v>1322</v>
      </c>
      <c r="L233" s="125">
        <v>45802</v>
      </c>
      <c r="M233" s="126">
        <f>SUMIF('MPG Payment '!$E$3:$E$34579,'Shayak Income '!D233,'MPG Payment '!$I$3:$I$34579)</f>
        <v>562.79999999999995</v>
      </c>
      <c r="N233" s="126">
        <f>SUMIF('MPG Payment '!$E$3:$E$34579,'Shayak Income '!D233,'MPG Payment '!$J$3:$J$34579)</f>
        <v>19662.731235075</v>
      </c>
      <c r="O233" s="126">
        <f t="shared" si="67"/>
        <v>422.09999999999997</v>
      </c>
      <c r="P233" s="126">
        <f t="shared" si="68"/>
        <v>534.66</v>
      </c>
      <c r="Q233" s="126">
        <f>SUMIF('MPG Payment '!$E$3:$E$34579,'Shayak Income '!D233,'MPG Payment '!$S$3:$S$34579)</f>
        <v>0</v>
      </c>
      <c r="R233" s="126">
        <f t="shared" si="58"/>
        <v>589.88193705225001</v>
      </c>
      <c r="S233" s="126">
        <f t="shared" si="59"/>
        <v>55.221937052250041</v>
      </c>
      <c r="T233" s="126">
        <f t="shared" si="69"/>
        <v>56.28</v>
      </c>
      <c r="U233" s="127">
        <f>(((IF(K233="New",0,SUMIF('MPG Payment '!$E$3:$E$34579,'Shayak Income '!D233,'MPG Payment '!$AC$3:$AC$34579))))+0)+-660</f>
        <v>900.25600492890203</v>
      </c>
      <c r="V233" s="127">
        <f t="shared" si="70"/>
        <v>0</v>
      </c>
      <c r="W233" s="19">
        <v>0</v>
      </c>
      <c r="X233" s="19">
        <v>0</v>
      </c>
      <c r="Y233" s="128">
        <f>IFERROR(VLOOKUP(D233,'Monthly Deduction'!$M$2:$N$64,2,0),0)</f>
        <v>0</v>
      </c>
      <c r="Z233" s="128">
        <v>0</v>
      </c>
      <c r="AA233" s="126">
        <f>IFERROR(VLOOKUP(D233,'Monthly Deduction'!A:B,2,0),0)</f>
        <v>0</v>
      </c>
      <c r="AB233" s="129">
        <f t="shared" si="61"/>
        <v>0</v>
      </c>
      <c r="AC233" s="130">
        <v>0</v>
      </c>
      <c r="AD233" s="35">
        <f t="shared" si="72"/>
        <v>0</v>
      </c>
      <c r="AE233" s="166" t="str">
        <f t="shared" si="73"/>
        <v>Release</v>
      </c>
      <c r="AF233" s="127"/>
      <c r="AG233" s="18">
        <v>0</v>
      </c>
      <c r="AH233" s="120"/>
      <c r="AI233" s="238">
        <v>0</v>
      </c>
      <c r="AJ233" s="132"/>
      <c r="AK233" s="151">
        <v>111.39999999999999</v>
      </c>
      <c r="AL233" s="154">
        <f t="shared" si="62"/>
        <v>0</v>
      </c>
      <c r="AM233" s="155"/>
      <c r="AN233" s="19">
        <f t="shared" si="63"/>
        <v>0</v>
      </c>
      <c r="AO233" s="118">
        <f>SUMIF('MPG Payment '!E:E,'Shayak Income '!D233,'MPG Payment '!AJ:AJ)</f>
        <v>0</v>
      </c>
      <c r="AP233" s="19">
        <f t="shared" si="64"/>
        <v>0</v>
      </c>
      <c r="AQ233" s="119">
        <f t="shared" si="74"/>
        <v>0</v>
      </c>
      <c r="AR233" s="91" t="s">
        <v>1168</v>
      </c>
      <c r="AS233" s="91">
        <f t="shared" si="65"/>
        <v>0</v>
      </c>
      <c r="AT233" s="118"/>
      <c r="AU233" s="118"/>
      <c r="AV233" s="118"/>
    </row>
    <row r="234" spans="1:48" s="20" customFormat="1" x14ac:dyDescent="0.25">
      <c r="A234" s="17">
        <f>IFERROR(VLOOKUP(D234,'Monthly Deduction'!$I$3:$J$957,2,0),0)</f>
        <v>78137.560200000007</v>
      </c>
      <c r="B234" s="17">
        <f>IFERROR(VLOOKUP(D234,'Monthly Deduction'!$E$3:$F$957,2,0),0)</f>
        <v>0</v>
      </c>
      <c r="C234" s="17">
        <f t="shared" si="66"/>
        <v>78137.560200000007</v>
      </c>
      <c r="D234" s="41">
        <v>10080093</v>
      </c>
      <c r="E234" s="122" t="str">
        <f>VLOOKUP(D234,'MPG Payment '!$E$3:$G$498218,2,0)</f>
        <v>Barauni Bariyarpur</v>
      </c>
      <c r="F234" s="146">
        <f>IFERROR(_xlfn.XLOOKUP(D234,'Monthly Deduction'!$I$3:$I$957,'Monthly Deduction'!$H$3:$H$957),0)</f>
        <v>0</v>
      </c>
      <c r="G234" s="123" t="str">
        <f>VLOOKUP(D234,'MPG Payment '!$E$3:$G$334579,3,0)</f>
        <v>MPG</v>
      </c>
      <c r="H234" s="124" t="str">
        <f>VLOOKUP(D234,'MPG Payment '!$E$3:$H$334579,4,0)</f>
        <v>Direct</v>
      </c>
      <c r="I234" s="88">
        <f>INDEX('MPG Payment '!$C:$C,MATCH('Shayak Income '!D234,'MPG Payment '!E:E,0))</f>
        <v>1008</v>
      </c>
      <c r="J234" s="88" t="str">
        <f>INDEX('MPG Payment '!$D:$D,MATCH('Shayak Income '!D234,'MPG Payment '!E:E,0))</f>
        <v>Teghra</v>
      </c>
      <c r="K234" s="125" t="s">
        <v>1322</v>
      </c>
      <c r="L234" s="125">
        <v>45809</v>
      </c>
      <c r="M234" s="126">
        <f>SUMIF('MPG Payment '!$E$3:$E$34579,'Shayak Income '!D234,'MPG Payment '!$I$3:$I$34579)</f>
        <v>2210.5</v>
      </c>
      <c r="N234" s="126">
        <f>SUMIF('MPG Payment '!$E$3:$E$34579,'Shayak Income '!D234,'MPG Payment '!$J$3:$J$34579)</f>
        <v>80013.745509300003</v>
      </c>
      <c r="O234" s="126">
        <f t="shared" si="67"/>
        <v>1657.875</v>
      </c>
      <c r="P234" s="126">
        <f t="shared" si="68"/>
        <v>2099.9749999999999</v>
      </c>
      <c r="Q234" s="126">
        <f>SUMIF('MPG Payment '!$E$3:$E$34579,'Shayak Income '!D234,'MPG Payment '!$S$3:$S$34579)</f>
        <v>0</v>
      </c>
      <c r="R234" s="126">
        <f t="shared" si="58"/>
        <v>2400.4123652789999</v>
      </c>
      <c r="S234" s="126">
        <f t="shared" si="59"/>
        <v>300.43736527900001</v>
      </c>
      <c r="T234" s="126">
        <f t="shared" si="69"/>
        <v>221.05</v>
      </c>
      <c r="U234" s="127">
        <f>(((IF(K234="New",0,SUMIF('MPG Payment '!$E$3:$E$34579,'Shayak Income '!D234,'MPG Payment '!$AC$3:$AC$34579))))+0)+0</f>
        <v>427.5872016025337</v>
      </c>
      <c r="V234" s="127">
        <f t="shared" si="70"/>
        <v>3109</v>
      </c>
      <c r="W234" s="19">
        <f t="shared" si="71"/>
        <v>1861</v>
      </c>
      <c r="X234" s="19">
        <v>0</v>
      </c>
      <c r="Y234" s="128">
        <f>IFERROR(VLOOKUP(D234,'Monthly Deduction'!$M$2:$N$64,2,0),0)</f>
        <v>0</v>
      </c>
      <c r="Z234" s="128">
        <v>0</v>
      </c>
      <c r="AA234" s="126">
        <f>IFERROR(VLOOKUP(D234,'Monthly Deduction'!A:B,2,0),0)</f>
        <v>0</v>
      </c>
      <c r="AB234" s="129">
        <f t="shared" si="61"/>
        <v>1248</v>
      </c>
      <c r="AC234" s="130">
        <v>0</v>
      </c>
      <c r="AD234" s="35">
        <f t="shared" si="72"/>
        <v>1248</v>
      </c>
      <c r="AE234" s="166" t="str">
        <f t="shared" si="73"/>
        <v>Release</v>
      </c>
      <c r="AF234" s="127"/>
      <c r="AG234" s="127">
        <v>0</v>
      </c>
      <c r="AH234" s="132"/>
      <c r="AI234" s="238">
        <v>0</v>
      </c>
      <c r="AJ234" s="132"/>
      <c r="AK234" s="151">
        <v>472.8</v>
      </c>
      <c r="AL234" s="154">
        <f t="shared" si="62"/>
        <v>0</v>
      </c>
      <c r="AM234" s="155"/>
      <c r="AN234" s="19">
        <f t="shared" si="63"/>
        <v>1861</v>
      </c>
      <c r="AO234" s="118">
        <f>SUMIF('MPG Payment '!E:E,'Shayak Income '!D234,'MPG Payment '!AJ:AJ)</f>
        <v>0</v>
      </c>
      <c r="AP234" s="19">
        <f t="shared" si="64"/>
        <v>1861</v>
      </c>
      <c r="AQ234" s="119">
        <f t="shared" si="74"/>
        <v>1861</v>
      </c>
      <c r="AR234" s="91"/>
      <c r="AS234" s="91">
        <f t="shared" si="65"/>
        <v>0</v>
      </c>
      <c r="AT234" s="118"/>
      <c r="AU234" s="118"/>
      <c r="AV234" s="118"/>
    </row>
    <row r="235" spans="1:48" s="20" customFormat="1" x14ac:dyDescent="0.25">
      <c r="A235" s="17">
        <f>IFERROR(VLOOKUP(D235,'Monthly Deduction'!$I$3:$J$957,2,0),0)</f>
        <v>89133</v>
      </c>
      <c r="B235" s="17">
        <f>IFERROR(VLOOKUP(D235,'Monthly Deduction'!$E$3:$F$957,2,0),0)</f>
        <v>0</v>
      </c>
      <c r="C235" s="17">
        <f t="shared" si="66"/>
        <v>89133</v>
      </c>
      <c r="D235" s="41">
        <v>10080095</v>
      </c>
      <c r="E235" s="122" t="str">
        <f>VLOOKUP(D235,'MPG Payment '!$E$3:$G$498218,2,0)</f>
        <v>Jaynagar</v>
      </c>
      <c r="F235" s="146">
        <f>IFERROR(_xlfn.XLOOKUP(D235,'Monthly Deduction'!$I$3:$I$957,'Monthly Deduction'!$H$3:$H$957),0)</f>
        <v>0</v>
      </c>
      <c r="G235" s="123" t="str">
        <f>VLOOKUP(D235,'MPG Payment '!$E$3:$G$334579,3,0)</f>
        <v>MPG</v>
      </c>
      <c r="H235" s="124" t="str">
        <f>VLOOKUP(D235,'MPG Payment '!$E$3:$H$334579,4,0)</f>
        <v>Direct</v>
      </c>
      <c r="I235" s="88">
        <f>INDEX('MPG Payment '!$C:$C,MATCH('Shayak Income '!D235,'MPG Payment '!E:E,0))</f>
        <v>1008</v>
      </c>
      <c r="J235" s="88" t="str">
        <f>INDEX('MPG Payment '!$D:$D,MATCH('Shayak Income '!D235,'MPG Payment '!E:E,0))</f>
        <v>Teghra</v>
      </c>
      <c r="K235" s="125" t="s">
        <v>1322</v>
      </c>
      <c r="L235" s="125">
        <v>45838</v>
      </c>
      <c r="M235" s="126">
        <f>SUMIF('MPG Payment '!$E$3:$E$34579,'Shayak Income '!D235,'MPG Payment '!$I$3:$I$34579)</f>
        <v>774.75</v>
      </c>
      <c r="N235" s="126">
        <f>SUMIF('MPG Payment '!$E$3:$E$34579,'Shayak Income '!D235,'MPG Payment '!$J$3:$J$34579)</f>
        <v>27051.770170002252</v>
      </c>
      <c r="O235" s="126">
        <f t="shared" si="67"/>
        <v>581.0625</v>
      </c>
      <c r="P235" s="126">
        <f t="shared" si="68"/>
        <v>736.01249999999993</v>
      </c>
      <c r="Q235" s="126">
        <f>SUMIF('MPG Payment '!$E$3:$E$34579,'Shayak Income '!D235,'MPG Payment '!$S$3:$S$34579)</f>
        <v>0</v>
      </c>
      <c r="R235" s="126">
        <f t="shared" si="58"/>
        <v>811.55310510006757</v>
      </c>
      <c r="S235" s="126">
        <f t="shared" si="59"/>
        <v>75.540605100067637</v>
      </c>
      <c r="T235" s="126">
        <f t="shared" si="69"/>
        <v>77.475000000000009</v>
      </c>
      <c r="U235" s="127">
        <f>(((IF(K235="New",0,SUMIF('MPG Payment '!$E$3:$E$34579,'Shayak Income '!D235,'MPG Payment '!$AC$3:$AC$34579))))+0)+-179</f>
        <v>1239.6783883818923</v>
      </c>
      <c r="V235" s="127">
        <f t="shared" si="70"/>
        <v>0</v>
      </c>
      <c r="W235" s="19">
        <v>0</v>
      </c>
      <c r="X235" s="19">
        <v>0</v>
      </c>
      <c r="Y235" s="128">
        <f>IFERROR(VLOOKUP(D235,'Monthly Deduction'!$M$2:$N$64,2,0),0)</f>
        <v>0</v>
      </c>
      <c r="Z235" s="128">
        <v>0</v>
      </c>
      <c r="AA235" s="126">
        <f>IFERROR(VLOOKUP(D235,'Monthly Deduction'!A:B,2,0),0)</f>
        <v>0</v>
      </c>
      <c r="AB235" s="129">
        <f t="shared" si="61"/>
        <v>0</v>
      </c>
      <c r="AC235" s="130">
        <f>AB235</f>
        <v>0</v>
      </c>
      <c r="AD235" s="35">
        <f t="shared" si="72"/>
        <v>0</v>
      </c>
      <c r="AE235" s="166" t="str">
        <f t="shared" si="73"/>
        <v>Release</v>
      </c>
      <c r="AF235" s="127"/>
      <c r="AG235" s="18">
        <v>0</v>
      </c>
      <c r="AH235" s="120" t="s">
        <v>1646</v>
      </c>
      <c r="AI235" s="238">
        <v>7654</v>
      </c>
      <c r="AJ235" s="132"/>
      <c r="AK235" s="151">
        <v>283.95</v>
      </c>
      <c r="AL235" s="154">
        <f t="shared" si="62"/>
        <v>0</v>
      </c>
      <c r="AM235" s="155"/>
      <c r="AN235" s="19">
        <f t="shared" si="63"/>
        <v>1861</v>
      </c>
      <c r="AO235" s="118">
        <f>SUMIF('MPG Payment '!E:E,'Shayak Income '!D235,'MPG Payment '!AJ:AJ)</f>
        <v>500</v>
      </c>
      <c r="AP235" s="19">
        <f t="shared" si="64"/>
        <v>0</v>
      </c>
      <c r="AQ235" s="119">
        <f t="shared" si="74"/>
        <v>500</v>
      </c>
      <c r="AR235" s="91" t="s">
        <v>1168</v>
      </c>
      <c r="AS235" s="91">
        <f t="shared" si="65"/>
        <v>0</v>
      </c>
      <c r="AT235" s="118"/>
      <c r="AU235" s="118"/>
      <c r="AV235" s="118"/>
    </row>
    <row r="236" spans="1:48" s="20" customFormat="1" x14ac:dyDescent="0.25">
      <c r="A236" s="17">
        <f>IFERROR(VLOOKUP(D236,'Monthly Deduction'!$I$3:$J$957,2,0),0)</f>
        <v>0</v>
      </c>
      <c r="B236" s="17">
        <f>IFERROR(VLOOKUP(D236,'Monthly Deduction'!$E$3:$F$957,2,0),0)</f>
        <v>0</v>
      </c>
      <c r="C236" s="17">
        <f t="shared" si="66"/>
        <v>0</v>
      </c>
      <c r="D236" s="41">
        <v>10080097</v>
      </c>
      <c r="E236" s="122" t="str">
        <f>VLOOKUP(D236,'MPG Payment '!$E$3:$G$498218,2,0)</f>
        <v>Fateha - Anil Yadav</v>
      </c>
      <c r="F236" s="146">
        <f>IFERROR(_xlfn.XLOOKUP(D236,'Monthly Deduction'!$I$3:$I$957,'Monthly Deduction'!$H$3:$H$957),0)</f>
        <v>0</v>
      </c>
      <c r="G236" s="123" t="str">
        <f>VLOOKUP(D236,'MPG Payment '!$E$3:$G$334579,3,0)</f>
        <v>vlc</v>
      </c>
      <c r="H236" s="124" t="str">
        <f>VLOOKUP(D236,'MPG Payment '!$E$3:$H$334579,4,0)</f>
        <v>Indirect</v>
      </c>
      <c r="I236" s="88">
        <f>INDEX('MPG Payment '!$C:$C,MATCH('Shayak Income '!D236,'MPG Payment '!E:E,0))</f>
        <v>1008</v>
      </c>
      <c r="J236" s="88" t="str">
        <f>INDEX('MPG Payment '!$D:$D,MATCH('Shayak Income '!D236,'MPG Payment '!E:E,0))</f>
        <v>Teghra</v>
      </c>
      <c r="K236" s="125" t="s">
        <v>1322</v>
      </c>
      <c r="L236" s="125">
        <v>45786</v>
      </c>
      <c r="M236" s="126">
        <f>SUMIF('MPG Payment '!$E$3:$E$34579,'Shayak Income '!D236,'MPG Payment '!$I$3:$I$34579)</f>
        <v>6637.65</v>
      </c>
      <c r="N236" s="126">
        <f>SUMIF('MPG Payment '!$E$3:$E$34579,'Shayak Income '!D236,'MPG Payment '!$J$3:$J$34579)</f>
        <v>232351.02169663875</v>
      </c>
      <c r="O236" s="126">
        <f t="shared" si="67"/>
        <v>4978.2374999999993</v>
      </c>
      <c r="P236" s="126">
        <f t="shared" si="68"/>
        <v>6305.767499999999</v>
      </c>
      <c r="Q236" s="126">
        <f>SUMIF('MPG Payment '!$E$3:$E$34579,'Shayak Income '!D236,'MPG Payment '!$S$3:$S$34579)</f>
        <v>0</v>
      </c>
      <c r="R236" s="126">
        <f t="shared" si="58"/>
        <v>6970.5306508991625</v>
      </c>
      <c r="S236" s="126">
        <f t="shared" si="59"/>
        <v>664.76315089916352</v>
      </c>
      <c r="T236" s="126">
        <f t="shared" si="69"/>
        <v>663.76499999999999</v>
      </c>
      <c r="U236" s="127">
        <f>(((IF(K236="New",0,SUMIF('MPG Payment '!$E$3:$E$34579,'Shayak Income '!D236,'MPG Payment '!$AC$3:$AC$34579))))+0)+0</f>
        <v>0</v>
      </c>
      <c r="V236" s="127">
        <f t="shared" si="70"/>
        <v>10620</v>
      </c>
      <c r="W236" s="19">
        <f t="shared" si="71"/>
        <v>0</v>
      </c>
      <c r="X236" s="19">
        <f t="shared" si="60"/>
        <v>0</v>
      </c>
      <c r="Y236" s="128">
        <f>IFERROR(VLOOKUP(D236,'Monthly Deduction'!$M$2:$N$64,2,0),0)</f>
        <v>0</v>
      </c>
      <c r="Z236" s="128">
        <v>0</v>
      </c>
      <c r="AA236" s="126">
        <f>IFERROR(VLOOKUP(D236,'Monthly Deduction'!A:B,2,0),0)</f>
        <v>0</v>
      </c>
      <c r="AB236" s="129">
        <f t="shared" si="61"/>
        <v>10620</v>
      </c>
      <c r="AC236" s="130">
        <v>0</v>
      </c>
      <c r="AD236" s="35">
        <f t="shared" si="72"/>
        <v>10620</v>
      </c>
      <c r="AE236" s="166" t="str">
        <f t="shared" si="73"/>
        <v>Release</v>
      </c>
      <c r="AF236" s="127"/>
      <c r="AG236" s="127">
        <v>0</v>
      </c>
      <c r="AH236" s="120"/>
      <c r="AI236" s="238">
        <v>0</v>
      </c>
      <c r="AJ236" s="132"/>
      <c r="AK236" s="151">
        <v>2346.1999999999998</v>
      </c>
      <c r="AL236" s="154">
        <f t="shared" si="62"/>
        <v>0</v>
      </c>
      <c r="AM236" s="155"/>
      <c r="AN236" s="19">
        <f t="shared" si="63"/>
        <v>0</v>
      </c>
      <c r="AO236" s="118">
        <f>SUMIF('MPG Payment '!E:E,'Shayak Income '!D236,'MPG Payment '!AJ:AJ)</f>
        <v>0</v>
      </c>
      <c r="AP236" s="19">
        <f t="shared" si="64"/>
        <v>0</v>
      </c>
      <c r="AQ236" s="119">
        <f t="shared" si="74"/>
        <v>0</v>
      </c>
      <c r="AR236" s="91" t="s">
        <v>1168</v>
      </c>
      <c r="AS236" s="91">
        <f t="shared" si="65"/>
        <v>0</v>
      </c>
      <c r="AT236" s="118"/>
      <c r="AU236" s="118"/>
      <c r="AV236" s="118"/>
    </row>
    <row r="237" spans="1:48" s="20" customFormat="1" x14ac:dyDescent="0.25">
      <c r="A237" s="17">
        <f>IFERROR(VLOOKUP(D237,'Monthly Deduction'!$I$3:$J$957,2,0),0)</f>
        <v>33786.581998222318</v>
      </c>
      <c r="B237" s="17">
        <f>IFERROR(VLOOKUP(D237,'Monthly Deduction'!$E$3:$F$957,2,0),0)</f>
        <v>0</v>
      </c>
      <c r="C237" s="17">
        <f t="shared" si="66"/>
        <v>33786.581998222318</v>
      </c>
      <c r="D237" s="41">
        <v>10080099</v>
      </c>
      <c r="E237" s="122" t="str">
        <f>VLOOKUP(D237,'MPG Payment '!$E$3:$G$498218,2,0)</f>
        <v>Bihat - Chakballi</v>
      </c>
      <c r="F237" s="146">
        <f>IFERROR(_xlfn.XLOOKUP(D237,'Monthly Deduction'!$I$3:$I$957,'Monthly Deduction'!$H$3:$H$957),0)</f>
        <v>0</v>
      </c>
      <c r="G237" s="123" t="str">
        <f>VLOOKUP(D237,'MPG Payment '!$E$3:$G$334579,3,0)</f>
        <v>MPG</v>
      </c>
      <c r="H237" s="124" t="str">
        <f>VLOOKUP(D237,'MPG Payment '!$E$3:$H$334579,4,0)</f>
        <v>Direct</v>
      </c>
      <c r="I237" s="88">
        <f>INDEX('MPG Payment '!$C:$C,MATCH('Shayak Income '!D237,'MPG Payment '!E:E,0))</f>
        <v>1008</v>
      </c>
      <c r="J237" s="88" t="str">
        <f>INDEX('MPG Payment '!$D:$D,MATCH('Shayak Income '!D237,'MPG Payment '!E:E,0))</f>
        <v>Teghra</v>
      </c>
      <c r="K237" s="125" t="s">
        <v>1322</v>
      </c>
      <c r="L237" s="125">
        <v>45810</v>
      </c>
      <c r="M237" s="126">
        <f>SUMIF('MPG Payment '!$E$3:$E$34579,'Shayak Income '!D237,'MPG Payment '!$I$3:$I$34579)</f>
        <v>7600.85</v>
      </c>
      <c r="N237" s="126">
        <f>SUMIF('MPG Payment '!$E$3:$E$34579,'Shayak Income '!D237,'MPG Payment '!$J$3:$J$34579)</f>
        <v>252854.30206847025</v>
      </c>
      <c r="O237" s="126">
        <f t="shared" si="67"/>
        <v>5700.6375000000007</v>
      </c>
      <c r="P237" s="126">
        <f t="shared" si="68"/>
        <v>7220.8074999999999</v>
      </c>
      <c r="Q237" s="126">
        <f>SUMIF('MPG Payment '!$E$3:$E$34579,'Shayak Income '!D237,'MPG Payment '!$S$3:$S$34579)</f>
        <v>0</v>
      </c>
      <c r="R237" s="126">
        <f t="shared" si="58"/>
        <v>7585.6290620541076</v>
      </c>
      <c r="S237" s="126">
        <f t="shared" si="59"/>
        <v>364.82156205410774</v>
      </c>
      <c r="T237" s="126">
        <f t="shared" si="69"/>
        <v>760.08500000000004</v>
      </c>
      <c r="U237" s="127">
        <f>(((IF(K237="New",0,SUMIF('MPG Payment '!$E$3:$E$34579,'Shayak Income '!D237,'MPG Payment '!$AC$3:$AC$34579))))+0)+0</f>
        <v>0</v>
      </c>
      <c r="V237" s="127">
        <f t="shared" si="70"/>
        <v>12161</v>
      </c>
      <c r="W237" s="19">
        <f t="shared" si="71"/>
        <v>5057.0860413694054</v>
      </c>
      <c r="X237" s="19">
        <v>0</v>
      </c>
      <c r="Y237" s="128">
        <f>IFERROR(VLOOKUP(D237,'Monthly Deduction'!$M$2:$N$64,2,0),0)</f>
        <v>0</v>
      </c>
      <c r="Z237" s="128">
        <v>0</v>
      </c>
      <c r="AA237" s="126">
        <f>IFERROR(VLOOKUP(D237,'Monthly Deduction'!A:B,2,0),0)</f>
        <v>0</v>
      </c>
      <c r="AB237" s="129">
        <f t="shared" si="61"/>
        <v>7104</v>
      </c>
      <c r="AC237" s="130">
        <f>AB237</f>
        <v>7104</v>
      </c>
      <c r="AD237" s="35">
        <f t="shared" si="72"/>
        <v>0</v>
      </c>
      <c r="AE237" s="166" t="str">
        <f t="shared" si="73"/>
        <v>Yes</v>
      </c>
      <c r="AF237" s="127"/>
      <c r="AG237" s="18">
        <v>0</v>
      </c>
      <c r="AH237" s="120" t="s">
        <v>1653</v>
      </c>
      <c r="AI237" s="238">
        <v>0</v>
      </c>
      <c r="AJ237" s="132"/>
      <c r="AK237" s="151">
        <v>1891.75</v>
      </c>
      <c r="AL237" s="154">
        <f t="shared" si="62"/>
        <v>0</v>
      </c>
      <c r="AM237" s="155"/>
      <c r="AN237" s="19">
        <f t="shared" si="63"/>
        <v>5057.0860413694054</v>
      </c>
      <c r="AO237" s="118">
        <f>SUMIF('MPG Payment '!E:E,'Shayak Income '!D237,'MPG Payment '!AJ:AJ)</f>
        <v>0</v>
      </c>
      <c r="AP237" s="19">
        <f t="shared" si="64"/>
        <v>5057.0860413694054</v>
      </c>
      <c r="AQ237" s="119">
        <f t="shared" si="74"/>
        <v>5057.0860413694054</v>
      </c>
      <c r="AR237" s="91" t="s">
        <v>1168</v>
      </c>
      <c r="AS237" s="91">
        <f t="shared" si="65"/>
        <v>0</v>
      </c>
      <c r="AT237" s="118"/>
      <c r="AU237" s="118"/>
      <c r="AV237" s="118"/>
    </row>
    <row r="238" spans="1:48" s="20" customFormat="1" x14ac:dyDescent="0.25">
      <c r="A238" s="17">
        <f>IFERROR(VLOOKUP(D238,'Monthly Deduction'!$I$3:$J$957,2,0),0)</f>
        <v>86463</v>
      </c>
      <c r="B238" s="17">
        <f>IFERROR(VLOOKUP(D238,'Monthly Deduction'!$E$3:$F$957,2,0),0)</f>
        <v>0</v>
      </c>
      <c r="C238" s="17">
        <f t="shared" si="66"/>
        <v>86463</v>
      </c>
      <c r="D238" s="41">
        <v>10080100</v>
      </c>
      <c r="E238" s="122" t="str">
        <f>VLOOKUP(D238,'MPG Payment '!$E$3:$G$498218,2,0)</f>
        <v>Sibutol- Naya Tola</v>
      </c>
      <c r="F238" s="146">
        <f>IFERROR(_xlfn.XLOOKUP(D238,'Monthly Deduction'!$I$3:$I$957,'Monthly Deduction'!$H$3:$H$957),0)</f>
        <v>0</v>
      </c>
      <c r="G238" s="123" t="str">
        <f>VLOOKUP(D238,'MPG Payment '!$E$3:$G$334579,3,0)</f>
        <v>MPG</v>
      </c>
      <c r="H238" s="124" t="str">
        <f>VLOOKUP(D238,'MPG Payment '!$E$3:$H$334579,4,0)</f>
        <v>Direct</v>
      </c>
      <c r="I238" s="88">
        <f>INDEX('MPG Payment '!$C:$C,MATCH('Shayak Income '!D238,'MPG Payment '!E:E,0))</f>
        <v>1008</v>
      </c>
      <c r="J238" s="88" t="str">
        <f>INDEX('MPG Payment '!$D:$D,MATCH('Shayak Income '!D238,'MPG Payment '!E:E,0))</f>
        <v>Teghra</v>
      </c>
      <c r="K238" s="125" t="s">
        <v>1322</v>
      </c>
      <c r="L238" s="125">
        <v>45843</v>
      </c>
      <c r="M238" s="126">
        <f>SUMIF('MPG Payment '!$E$3:$E$34579,'Shayak Income '!D238,'MPG Payment '!$I$3:$I$34579)</f>
        <v>342.45</v>
      </c>
      <c r="N238" s="126">
        <f>SUMIF('MPG Payment '!$E$3:$E$34579,'Shayak Income '!D238,'MPG Payment '!$J$3:$J$34579)</f>
        <v>13066.726760695248</v>
      </c>
      <c r="O238" s="126">
        <f t="shared" si="67"/>
        <v>256.83749999999998</v>
      </c>
      <c r="P238" s="126">
        <f t="shared" si="68"/>
        <v>325.32749999999999</v>
      </c>
      <c r="Q238" s="126">
        <f>SUMIF('MPG Payment '!$E$3:$E$34579,'Shayak Income '!D238,'MPG Payment '!$S$3:$S$34579)</f>
        <v>0</v>
      </c>
      <c r="R238" s="126">
        <f t="shared" si="58"/>
        <v>392.00180282085745</v>
      </c>
      <c r="S238" s="126">
        <f t="shared" si="59"/>
        <v>66.674302820857463</v>
      </c>
      <c r="T238" s="126">
        <f t="shared" si="69"/>
        <v>34.244999999999997</v>
      </c>
      <c r="U238" s="127">
        <f>(((IF(K238="New",0,SUMIF('MPG Payment '!$E$3:$E$34579,'Shayak Income '!D238,'MPG Payment '!$AC$3:$AC$34579))))+0)+-192</f>
        <v>547.53850294627364</v>
      </c>
      <c r="V238" s="127">
        <f t="shared" si="70"/>
        <v>0</v>
      </c>
      <c r="W238" s="19">
        <v>0</v>
      </c>
      <c r="X238" s="19">
        <v>0</v>
      </c>
      <c r="Y238" s="128">
        <f>IFERROR(VLOOKUP(D238,'Monthly Deduction'!$M$2:$N$64,2,0),0)</f>
        <v>0</v>
      </c>
      <c r="Z238" s="128">
        <v>0</v>
      </c>
      <c r="AA238" s="126">
        <f>IFERROR(VLOOKUP(D238,'Monthly Deduction'!A:B,2,0),0)</f>
        <v>0</v>
      </c>
      <c r="AB238" s="129">
        <f t="shared" si="61"/>
        <v>0</v>
      </c>
      <c r="AC238" s="130">
        <v>0</v>
      </c>
      <c r="AD238" s="35">
        <f t="shared" si="72"/>
        <v>0</v>
      </c>
      <c r="AE238" s="166" t="str">
        <f t="shared" si="73"/>
        <v>Release</v>
      </c>
      <c r="AF238" s="127"/>
      <c r="AG238" s="127">
        <v>0</v>
      </c>
      <c r="AH238" s="120"/>
      <c r="AI238" s="238">
        <v>0</v>
      </c>
      <c r="AJ238" s="132"/>
      <c r="AK238" s="151">
        <v>635.65</v>
      </c>
      <c r="AL238" s="154">
        <f t="shared" si="62"/>
        <v>0</v>
      </c>
      <c r="AM238" s="155"/>
      <c r="AN238" s="19">
        <f t="shared" si="63"/>
        <v>1861</v>
      </c>
      <c r="AO238" s="118">
        <f>SUMIF('MPG Payment '!E:E,'Shayak Income '!D238,'MPG Payment '!AJ:AJ)</f>
        <v>500</v>
      </c>
      <c r="AP238" s="19">
        <f t="shared" si="64"/>
        <v>0</v>
      </c>
      <c r="AQ238" s="119">
        <f t="shared" si="74"/>
        <v>500</v>
      </c>
      <c r="AR238" s="91" t="s">
        <v>1168</v>
      </c>
      <c r="AS238" s="91">
        <f t="shared" si="65"/>
        <v>0</v>
      </c>
      <c r="AT238" s="118"/>
      <c r="AU238" s="118"/>
      <c r="AV238" s="118"/>
    </row>
    <row r="239" spans="1:48" s="20" customFormat="1" x14ac:dyDescent="0.25">
      <c r="A239" s="17">
        <f>IFERROR(VLOOKUP(D239,'Monthly Deduction'!$I$3:$J$957,2,0),0)</f>
        <v>0</v>
      </c>
      <c r="B239" s="17">
        <f>IFERROR(VLOOKUP(D239,'Monthly Deduction'!$E$3:$F$957,2,0),0)</f>
        <v>0</v>
      </c>
      <c r="C239" s="17">
        <f t="shared" si="66"/>
        <v>0</v>
      </c>
      <c r="D239" s="41">
        <v>10080107</v>
      </c>
      <c r="E239" s="122" t="str">
        <f>VLOOKUP(D239,'MPG Payment '!$E$3:$G$498218,2,0)</f>
        <v>Rasalpur</v>
      </c>
      <c r="F239" s="146">
        <f>IFERROR(_xlfn.XLOOKUP(D239,'Monthly Deduction'!$I$3:$I$957,'Monthly Deduction'!$H$3:$H$957),0)</f>
        <v>0</v>
      </c>
      <c r="G239" s="123" t="str">
        <f>VLOOKUP(D239,'MPG Payment '!$E$3:$G$334579,3,0)</f>
        <v>vlc</v>
      </c>
      <c r="H239" s="124" t="str">
        <f>VLOOKUP(D239,'MPG Payment '!$E$3:$H$334579,4,0)</f>
        <v>Indirect</v>
      </c>
      <c r="I239" s="88">
        <f>INDEX('MPG Payment '!$C:$C,MATCH('Shayak Income '!D239,'MPG Payment '!E:E,0))</f>
        <v>1008</v>
      </c>
      <c r="J239" s="88" t="str">
        <f>INDEX('MPG Payment '!$D:$D,MATCH('Shayak Income '!D239,'MPG Payment '!E:E,0))</f>
        <v>Teghra</v>
      </c>
      <c r="K239" s="125" t="s">
        <v>1322</v>
      </c>
      <c r="L239" s="125">
        <v>45870</v>
      </c>
      <c r="M239" s="126">
        <f>SUMIF('MPG Payment '!$E$3:$E$34579,'Shayak Income '!D239,'MPG Payment '!$I$3:$I$34579)</f>
        <v>1686.8999999999996</v>
      </c>
      <c r="N239" s="126">
        <f>SUMIF('MPG Payment '!$E$3:$E$34579,'Shayak Income '!D239,'MPG Payment '!$J$3:$J$34579)</f>
        <v>60560.300476447999</v>
      </c>
      <c r="O239" s="126">
        <f t="shared" si="67"/>
        <v>1265.1749999999997</v>
      </c>
      <c r="P239" s="126">
        <f t="shared" si="68"/>
        <v>1602.5549999999996</v>
      </c>
      <c r="Q239" s="126">
        <f>SUMIF('MPG Payment '!$E$3:$E$34579,'Shayak Income '!D239,'MPG Payment '!$S$3:$S$34579)</f>
        <v>0</v>
      </c>
      <c r="R239" s="126">
        <f t="shared" si="58"/>
        <v>1816.80901429344</v>
      </c>
      <c r="S239" s="126">
        <f t="shared" si="59"/>
        <v>214.25401429344038</v>
      </c>
      <c r="T239" s="126">
        <f t="shared" si="69"/>
        <v>168.68999999999997</v>
      </c>
      <c r="U239" s="127">
        <f>(((IF(K239="New",0,SUMIF('MPG Payment '!$E$3:$E$34579,'Shayak Income '!D239,'MPG Payment '!$AC$3:$AC$34579))))+0)+0</f>
        <v>800.64652577131551</v>
      </c>
      <c r="V239" s="127">
        <f t="shared" si="70"/>
        <v>1898</v>
      </c>
      <c r="W239" s="19">
        <f t="shared" si="71"/>
        <v>0</v>
      </c>
      <c r="X239" s="19">
        <f t="shared" si="60"/>
        <v>0</v>
      </c>
      <c r="Y239" s="128">
        <f>IFERROR(VLOOKUP(D239,'Monthly Deduction'!$M$2:$N$64,2,0),0)</f>
        <v>0</v>
      </c>
      <c r="Z239" s="128">
        <v>0</v>
      </c>
      <c r="AA239" s="126">
        <f>IFERROR(VLOOKUP(D239,'Monthly Deduction'!A:B,2,0),0)</f>
        <v>0</v>
      </c>
      <c r="AB239" s="129">
        <f t="shared" si="61"/>
        <v>1898</v>
      </c>
      <c r="AC239" s="130">
        <v>0</v>
      </c>
      <c r="AD239" s="35">
        <f t="shared" si="72"/>
        <v>1898</v>
      </c>
      <c r="AE239" s="166" t="str">
        <f t="shared" si="73"/>
        <v>Release</v>
      </c>
      <c r="AF239" s="127"/>
      <c r="AG239" s="18">
        <v>0</v>
      </c>
      <c r="AH239" s="215"/>
      <c r="AI239" s="238">
        <v>0</v>
      </c>
      <c r="AJ239" s="132"/>
      <c r="AK239" s="151">
        <v>547.25</v>
      </c>
      <c r="AL239" s="154">
        <f t="shared" si="62"/>
        <v>0</v>
      </c>
      <c r="AM239" s="155"/>
      <c r="AN239" s="19">
        <f t="shared" si="63"/>
        <v>0</v>
      </c>
      <c r="AO239" s="118">
        <f>SUMIF('MPG Payment '!E:E,'Shayak Income '!D239,'MPG Payment '!AJ:AJ)</f>
        <v>0</v>
      </c>
      <c r="AP239" s="19">
        <f t="shared" si="64"/>
        <v>0</v>
      </c>
      <c r="AQ239" s="119">
        <f t="shared" si="74"/>
        <v>0</v>
      </c>
      <c r="AR239" s="91"/>
      <c r="AS239" s="91">
        <f t="shared" si="65"/>
        <v>0</v>
      </c>
      <c r="AT239" s="118"/>
      <c r="AU239" s="118"/>
      <c r="AV239" s="118"/>
    </row>
    <row r="240" spans="1:48" s="20" customFormat="1" x14ac:dyDescent="0.25">
      <c r="A240" s="17">
        <f>IFERROR(VLOOKUP(D240,'Monthly Deduction'!$I$3:$J$957,2,0),0)</f>
        <v>0</v>
      </c>
      <c r="B240" s="17">
        <f>IFERROR(VLOOKUP(D240,'Monthly Deduction'!$E$3:$F$957,2,0),0)</f>
        <v>0</v>
      </c>
      <c r="C240" s="17">
        <f t="shared" si="66"/>
        <v>0</v>
      </c>
      <c r="D240" s="41">
        <v>10090001</v>
      </c>
      <c r="E240" s="122" t="str">
        <f>VLOOKUP(D240,'MPG Payment '!$E$3:$G$498218,2,0)</f>
        <v>POHE</v>
      </c>
      <c r="F240" s="146">
        <f>IFERROR(_xlfn.XLOOKUP(D240,'Monthly Deduction'!$I$3:$I$957,'Monthly Deduction'!$H$3:$H$957),0)</f>
        <v>0</v>
      </c>
      <c r="G240" s="123" t="str">
        <f>VLOOKUP(D240,'MPG Payment '!$E$3:$G$334579,3,0)</f>
        <v>vlc</v>
      </c>
      <c r="H240" s="124" t="str">
        <f>VLOOKUP(D240,'MPG Payment '!$E$3:$H$334579,4,0)</f>
        <v>Indirect</v>
      </c>
      <c r="I240" s="88">
        <f>INDEX('MPG Payment '!$C:$C,MATCH('Shayak Income '!D240,'MPG Payment '!E:E,0))</f>
        <v>1009</v>
      </c>
      <c r="J240" s="88" t="str">
        <f>INDEX('MPG Payment '!$D:$D,MATCH('Shayak Income '!D240,'MPG Payment '!E:E,0))</f>
        <v>Halsi</v>
      </c>
      <c r="K240" s="125" t="s">
        <v>1322</v>
      </c>
      <c r="L240" s="125">
        <v>42979</v>
      </c>
      <c r="M240" s="126">
        <f>SUMIF('MPG Payment '!$E$3:$E$34579,'Shayak Income '!D240,'MPG Payment '!$I$3:$I$34579)</f>
        <v>1427.9</v>
      </c>
      <c r="N240" s="126">
        <f>SUMIF('MPG Payment '!$E$3:$E$34579,'Shayak Income '!D240,'MPG Payment '!$J$3:$J$34579)</f>
        <v>60228.279679280007</v>
      </c>
      <c r="O240" s="126">
        <f t="shared" si="67"/>
        <v>1070.9250000000002</v>
      </c>
      <c r="P240" s="126">
        <f t="shared" si="68"/>
        <v>1356.5050000000001</v>
      </c>
      <c r="Q240" s="126">
        <f>SUMIF('MPG Payment '!$E$3:$E$34579,'Shayak Income '!D240,'MPG Payment '!$S$3:$S$34579)</f>
        <v>0</v>
      </c>
      <c r="R240" s="126">
        <f t="shared" si="58"/>
        <v>1806.8483903784002</v>
      </c>
      <c r="S240" s="126">
        <f t="shared" si="59"/>
        <v>450.34339037840004</v>
      </c>
      <c r="T240" s="126">
        <f t="shared" si="69"/>
        <v>142.79000000000002</v>
      </c>
      <c r="U240" s="127">
        <f>(((IF(K240="New",0,SUMIF('MPG Payment '!$E$3:$E$34579,'Shayak Income '!D240,'MPG Payment '!$AC$3:$AC$34579))))+0)+0</f>
        <v>1158.0255514158473</v>
      </c>
      <c r="V240" s="127">
        <f t="shared" si="70"/>
        <v>1127</v>
      </c>
      <c r="W240" s="19">
        <f t="shared" si="71"/>
        <v>0</v>
      </c>
      <c r="X240" s="19">
        <f t="shared" si="60"/>
        <v>0</v>
      </c>
      <c r="Y240" s="128">
        <f>IFERROR(VLOOKUP(D240,'Monthly Deduction'!$M$2:$N$64,2,0),0)</f>
        <v>0</v>
      </c>
      <c r="Z240" s="128">
        <v>0</v>
      </c>
      <c r="AA240" s="126">
        <f>IFERROR(VLOOKUP(D240,'Monthly Deduction'!A:B,2,0),0)</f>
        <v>0</v>
      </c>
      <c r="AB240" s="129">
        <f t="shared" si="61"/>
        <v>1127</v>
      </c>
      <c r="AC240" s="130">
        <v>0</v>
      </c>
      <c r="AD240" s="35">
        <f t="shared" si="72"/>
        <v>1127</v>
      </c>
      <c r="AE240" s="166" t="str">
        <f t="shared" si="73"/>
        <v>Release</v>
      </c>
      <c r="AF240" s="127"/>
      <c r="AG240" s="18">
        <v>0</v>
      </c>
      <c r="AH240" s="120"/>
      <c r="AI240" s="238">
        <v>0</v>
      </c>
      <c r="AJ240" s="132"/>
      <c r="AK240" s="151">
        <v>441.29999999999995</v>
      </c>
      <c r="AL240" s="154">
        <f t="shared" si="62"/>
        <v>0</v>
      </c>
      <c r="AM240" s="155"/>
      <c r="AN240" s="19">
        <f t="shared" si="63"/>
        <v>0</v>
      </c>
      <c r="AO240" s="118">
        <f>SUMIF('MPG Payment '!E:E,'Shayak Income '!D240,'MPG Payment '!AJ:AJ)</f>
        <v>0</v>
      </c>
      <c r="AP240" s="19">
        <f t="shared" si="64"/>
        <v>0</v>
      </c>
      <c r="AQ240" s="119">
        <f t="shared" si="74"/>
        <v>0</v>
      </c>
      <c r="AR240" s="91"/>
      <c r="AS240" s="91">
        <f t="shared" si="65"/>
        <v>0</v>
      </c>
      <c r="AT240" s="118"/>
      <c r="AU240" s="118"/>
      <c r="AV240" s="118"/>
    </row>
    <row r="241" spans="1:48" s="20" customFormat="1" x14ac:dyDescent="0.25">
      <c r="A241" s="17">
        <f>IFERROR(VLOOKUP(D241,'Monthly Deduction'!$I$3:$J$957,2,0),0)</f>
        <v>0</v>
      </c>
      <c r="B241" s="17">
        <f>IFERROR(VLOOKUP(D241,'Monthly Deduction'!$E$3:$F$957,2,0),0)</f>
        <v>0</v>
      </c>
      <c r="C241" s="17">
        <f t="shared" si="66"/>
        <v>0</v>
      </c>
      <c r="D241" s="41">
        <v>10090002</v>
      </c>
      <c r="E241" s="122" t="str">
        <f>VLOOKUP(D241,'MPG Payment '!$E$3:$G$498218,2,0)</f>
        <v>AURO</v>
      </c>
      <c r="F241" s="146">
        <f>IFERROR(_xlfn.XLOOKUP(D241,'Monthly Deduction'!$I$3:$I$957,'Monthly Deduction'!$H$3:$H$957),0)</f>
        <v>0</v>
      </c>
      <c r="G241" s="123" t="str">
        <f>VLOOKUP(D241,'MPG Payment '!$E$3:$G$334579,3,0)</f>
        <v>MPG</v>
      </c>
      <c r="H241" s="124" t="str">
        <f>VLOOKUP(D241,'MPG Payment '!$E$3:$H$334579,4,0)</f>
        <v>Direct</v>
      </c>
      <c r="I241" s="88">
        <f>INDEX('MPG Payment '!$C:$C,MATCH('Shayak Income '!D241,'MPG Payment '!E:E,0))</f>
        <v>1009</v>
      </c>
      <c r="J241" s="88" t="str">
        <f>INDEX('MPG Payment '!$D:$D,MATCH('Shayak Income '!D241,'MPG Payment '!E:E,0))</f>
        <v>Halsi</v>
      </c>
      <c r="K241" s="125" t="s">
        <v>1322</v>
      </c>
      <c r="L241" s="125">
        <v>42979</v>
      </c>
      <c r="M241" s="126">
        <f>SUMIF('MPG Payment '!$E$3:$E$34579,'Shayak Income '!D241,'MPG Payment '!$I$3:$I$34579)</f>
        <v>7419.7000000000007</v>
      </c>
      <c r="N241" s="126">
        <f>SUMIF('MPG Payment '!$E$3:$E$34579,'Shayak Income '!D241,'MPG Payment '!$J$3:$J$34579)</f>
        <v>311158.2800136772</v>
      </c>
      <c r="O241" s="126">
        <f t="shared" si="67"/>
        <v>5564.7750000000005</v>
      </c>
      <c r="P241" s="126">
        <f t="shared" si="68"/>
        <v>7048.7150000000001</v>
      </c>
      <c r="Q241" s="126">
        <f>SUMIF('MPG Payment '!$E$3:$E$34579,'Shayak Income '!D241,'MPG Payment '!$S$3:$S$34579)</f>
        <v>2346.7439095932004</v>
      </c>
      <c r="R241" s="126">
        <f t="shared" si="58"/>
        <v>9334.7484004103153</v>
      </c>
      <c r="S241" s="126">
        <f t="shared" si="59"/>
        <v>2286.0334004103152</v>
      </c>
      <c r="T241" s="126">
        <f t="shared" si="69"/>
        <v>741.97000000000014</v>
      </c>
      <c r="U241" s="127">
        <f>(((IF(K241="New",0,SUMIF('MPG Payment '!$E$3:$E$34579,'Shayak Income '!D241,'MPG Payment '!$AC$3:$AC$34579))))+0)+0</f>
        <v>0</v>
      </c>
      <c r="V241" s="127">
        <f t="shared" si="70"/>
        <v>14218</v>
      </c>
      <c r="W241" s="19">
        <f t="shared" si="71"/>
        <v>0</v>
      </c>
      <c r="X241" s="19">
        <f t="shared" si="60"/>
        <v>0</v>
      </c>
      <c r="Y241" s="128">
        <f>IFERROR(VLOOKUP(D241,'Monthly Deduction'!$M$2:$N$64,2,0),0)</f>
        <v>0</v>
      </c>
      <c r="Z241" s="128">
        <v>0</v>
      </c>
      <c r="AA241" s="126">
        <f>IFERROR(VLOOKUP(D241,'Monthly Deduction'!A:B,2,0),0)</f>
        <v>0</v>
      </c>
      <c r="AB241" s="129">
        <f t="shared" si="61"/>
        <v>14218</v>
      </c>
      <c r="AC241" s="130">
        <v>0</v>
      </c>
      <c r="AD241" s="35">
        <f t="shared" si="72"/>
        <v>14218</v>
      </c>
      <c r="AE241" s="166" t="str">
        <f t="shared" si="73"/>
        <v>Release</v>
      </c>
      <c r="AF241" s="127"/>
      <c r="AG241" s="18">
        <v>0</v>
      </c>
      <c r="AH241" s="120"/>
      <c r="AI241" s="238">
        <v>0</v>
      </c>
      <c r="AJ241" s="132"/>
      <c r="AK241" s="151">
        <v>2008.3999999999999</v>
      </c>
      <c r="AL241" s="154">
        <f t="shared" si="62"/>
        <v>0</v>
      </c>
      <c r="AM241" s="155"/>
      <c r="AN241" s="19">
        <f t="shared" si="63"/>
        <v>0</v>
      </c>
      <c r="AO241" s="118">
        <f>SUMIF('MPG Payment '!E:E,'Shayak Income '!D241,'MPG Payment '!AJ:AJ)</f>
        <v>0</v>
      </c>
      <c r="AP241" s="19">
        <f t="shared" si="64"/>
        <v>0</v>
      </c>
      <c r="AQ241" s="119">
        <f t="shared" si="74"/>
        <v>0</v>
      </c>
      <c r="AR241" s="91"/>
      <c r="AS241" s="91">
        <f t="shared" si="65"/>
        <v>0</v>
      </c>
      <c r="AT241" s="118"/>
      <c r="AU241" s="118"/>
      <c r="AV241" s="118"/>
    </row>
    <row r="242" spans="1:48" s="20" customFormat="1" x14ac:dyDescent="0.25">
      <c r="A242" s="17">
        <f>IFERROR(VLOOKUP(D242,'Monthly Deduction'!$I$3:$J$957,2,0),0)</f>
        <v>0</v>
      </c>
      <c r="B242" s="17">
        <f>IFERROR(VLOOKUP(D242,'Monthly Deduction'!$E$3:$F$957,2,0),0)</f>
        <v>0</v>
      </c>
      <c r="C242" s="17">
        <f t="shared" si="66"/>
        <v>0</v>
      </c>
      <c r="D242" s="41">
        <v>10090003</v>
      </c>
      <c r="E242" s="122" t="str">
        <f>VLOOKUP(D242,'MPG Payment '!$E$3:$G$498218,2,0)</f>
        <v>PARSHAMA</v>
      </c>
      <c r="F242" s="146">
        <f>IFERROR(_xlfn.XLOOKUP(D242,'Monthly Deduction'!$I$3:$I$957,'Monthly Deduction'!$H$3:$H$957),0)</f>
        <v>0</v>
      </c>
      <c r="G242" s="123" t="str">
        <f>VLOOKUP(D242,'MPG Payment '!$E$3:$G$334579,3,0)</f>
        <v>MPG</v>
      </c>
      <c r="H242" s="124" t="str">
        <f>VLOOKUP(D242,'MPG Payment '!$E$3:$H$334579,4,0)</f>
        <v>Direct</v>
      </c>
      <c r="I242" s="88">
        <f>INDEX('MPG Payment '!$C:$C,MATCH('Shayak Income '!D242,'MPG Payment '!E:E,0))</f>
        <v>1009</v>
      </c>
      <c r="J242" s="88" t="str">
        <f>INDEX('MPG Payment '!$D:$D,MATCH('Shayak Income '!D242,'MPG Payment '!E:E,0))</f>
        <v>Halsi</v>
      </c>
      <c r="K242" s="125" t="s">
        <v>1322</v>
      </c>
      <c r="L242" s="125">
        <v>42979</v>
      </c>
      <c r="M242" s="126">
        <f>SUMIF('MPG Payment '!$E$3:$E$34579,'Shayak Income '!D242,'MPG Payment '!$I$3:$I$34579)</f>
        <v>432.90000000000003</v>
      </c>
      <c r="N242" s="126">
        <f>SUMIF('MPG Payment '!$E$3:$E$34579,'Shayak Income '!D242,'MPG Payment '!$J$3:$J$34579)</f>
        <v>14345.772545982001</v>
      </c>
      <c r="O242" s="126">
        <f t="shared" si="67"/>
        <v>324.67500000000001</v>
      </c>
      <c r="P242" s="126">
        <f t="shared" si="68"/>
        <v>411.255</v>
      </c>
      <c r="Q242" s="126">
        <f>SUMIF('MPG Payment '!$E$3:$E$34579,'Shayak Income '!D242,'MPG Payment '!$S$3:$S$34579)</f>
        <v>87.250921290000008</v>
      </c>
      <c r="R242" s="126">
        <f t="shared" si="58"/>
        <v>430.37317637946001</v>
      </c>
      <c r="S242" s="126">
        <f t="shared" si="59"/>
        <v>19.11817637946001</v>
      </c>
      <c r="T242" s="126">
        <f t="shared" si="69"/>
        <v>43.290000000000006</v>
      </c>
      <c r="U242" s="127">
        <f>(((IF(K242="New",0,SUMIF('MPG Payment '!$E$3:$E$34579,'Shayak Income '!D242,'MPG Payment '!$AC$3:$AC$34579))))+0)+-789</f>
        <v>780.00978719475734</v>
      </c>
      <c r="V242" s="127">
        <f t="shared" si="70"/>
        <v>0</v>
      </c>
      <c r="W242" s="19">
        <v>0</v>
      </c>
      <c r="X242" s="19">
        <v>0</v>
      </c>
      <c r="Y242" s="128">
        <v>0</v>
      </c>
      <c r="Z242" s="128">
        <v>0</v>
      </c>
      <c r="AA242" s="126">
        <f>IFERROR(VLOOKUP(D242,'Monthly Deduction'!A:B,2,0),0)</f>
        <v>0</v>
      </c>
      <c r="AB242" s="129">
        <f t="shared" si="61"/>
        <v>0</v>
      </c>
      <c r="AC242" s="130">
        <v>0</v>
      </c>
      <c r="AD242" s="35">
        <f t="shared" si="72"/>
        <v>0</v>
      </c>
      <c r="AE242" s="166" t="str">
        <f t="shared" si="73"/>
        <v>Release</v>
      </c>
      <c r="AF242" s="127"/>
      <c r="AG242" s="18">
        <v>0</v>
      </c>
      <c r="AH242" s="132"/>
      <c r="AI242" s="238">
        <v>0</v>
      </c>
      <c r="AJ242" s="132"/>
      <c r="AK242" s="151">
        <v>85.399999999999991</v>
      </c>
      <c r="AL242" s="154">
        <f t="shared" si="62"/>
        <v>0</v>
      </c>
      <c r="AM242" s="155"/>
      <c r="AN242" s="19">
        <f t="shared" si="63"/>
        <v>0</v>
      </c>
      <c r="AO242" s="118">
        <f>SUMIF('MPG Payment '!E:E,'Shayak Income '!D242,'MPG Payment '!AJ:AJ)</f>
        <v>0</v>
      </c>
      <c r="AP242" s="19">
        <f t="shared" si="64"/>
        <v>0</v>
      </c>
      <c r="AQ242" s="119">
        <f t="shared" si="74"/>
        <v>0</v>
      </c>
      <c r="AR242" s="91" t="s">
        <v>1168</v>
      </c>
      <c r="AS242" s="91">
        <f t="shared" si="65"/>
        <v>0</v>
      </c>
      <c r="AT242" s="118"/>
      <c r="AU242" s="118"/>
      <c r="AV242" s="118"/>
    </row>
    <row r="243" spans="1:48" s="20" customFormat="1" x14ac:dyDescent="0.25">
      <c r="A243" s="17">
        <f>IFERROR(VLOOKUP(D243,'Monthly Deduction'!$I$3:$J$957,2,0),0)</f>
        <v>0</v>
      </c>
      <c r="B243" s="17">
        <f>IFERROR(VLOOKUP(D243,'Monthly Deduction'!$E$3:$F$957,2,0),0)</f>
        <v>0</v>
      </c>
      <c r="C243" s="17">
        <f t="shared" si="66"/>
        <v>0</v>
      </c>
      <c r="D243" s="41">
        <v>10090005</v>
      </c>
      <c r="E243" s="122" t="str">
        <f>VLOOKUP(D243,'MPG Payment '!$E$3:$G$498218,2,0)</f>
        <v>PRATAPUR 2</v>
      </c>
      <c r="F243" s="146">
        <f>IFERROR(_xlfn.XLOOKUP(D243,'Monthly Deduction'!$I$3:$I$957,'Monthly Deduction'!$H$3:$H$957),0)</f>
        <v>0</v>
      </c>
      <c r="G243" s="123" t="str">
        <f>VLOOKUP(D243,'MPG Payment '!$E$3:$G$334579,3,0)</f>
        <v>vlc</v>
      </c>
      <c r="H243" s="124" t="str">
        <f>VLOOKUP(D243,'MPG Payment '!$E$3:$H$334579,4,0)</f>
        <v>Indirect</v>
      </c>
      <c r="I243" s="88">
        <f>INDEX('MPG Payment '!$C:$C,MATCH('Shayak Income '!D243,'MPG Payment '!E:E,0))</f>
        <v>1009</v>
      </c>
      <c r="J243" s="88" t="str">
        <f>INDEX('MPG Payment '!$D:$D,MATCH('Shayak Income '!D243,'MPG Payment '!E:E,0))</f>
        <v>Halsi</v>
      </c>
      <c r="K243" s="125" t="s">
        <v>1322</v>
      </c>
      <c r="L243" s="125">
        <v>42979</v>
      </c>
      <c r="M243" s="126">
        <f>SUMIF('MPG Payment '!$E$3:$E$34579,'Shayak Income '!D243,'MPG Payment '!$I$3:$I$34579)</f>
        <v>1039.5999999999999</v>
      </c>
      <c r="N243" s="126">
        <f>SUMIF('MPG Payment '!$E$3:$E$34579,'Shayak Income '!D243,'MPG Payment '!$J$3:$J$34579)</f>
        <v>46891.184657434205</v>
      </c>
      <c r="O243" s="126">
        <f t="shared" si="67"/>
        <v>779.69999999999993</v>
      </c>
      <c r="P243" s="126">
        <f t="shared" si="68"/>
        <v>987.61999999999989</v>
      </c>
      <c r="Q243" s="126">
        <f>SUMIF('MPG Payment '!$E$3:$E$34579,'Shayak Income '!D243,'MPG Payment '!$S$3:$S$34579)</f>
        <v>0</v>
      </c>
      <c r="R243" s="126">
        <f t="shared" si="58"/>
        <v>1406.735539723026</v>
      </c>
      <c r="S243" s="126">
        <f t="shared" si="59"/>
        <v>419.11553972302613</v>
      </c>
      <c r="T243" s="126">
        <f t="shared" si="69"/>
        <v>103.96</v>
      </c>
      <c r="U243" s="127">
        <f>(((IF(K243="New",0,SUMIF('MPG Payment '!$E$3:$E$34579,'Shayak Income '!D243,'MPG Payment '!$AC$3:$AC$34579))))+0)+0</f>
        <v>1567.4034669198281</v>
      </c>
      <c r="V243" s="127">
        <f t="shared" si="70"/>
        <v>96</v>
      </c>
      <c r="W243" s="19">
        <f t="shared" si="71"/>
        <v>0</v>
      </c>
      <c r="X243" s="19">
        <f t="shared" si="60"/>
        <v>0</v>
      </c>
      <c r="Y243" s="128">
        <f>IFERROR(VLOOKUP(D243,'Monthly Deduction'!$M$2:$N$64,2,0),0)</f>
        <v>0</v>
      </c>
      <c r="Z243" s="128">
        <v>0</v>
      </c>
      <c r="AA243" s="126">
        <f>IFERROR(VLOOKUP(D243,'Monthly Deduction'!A:B,2,0),0)</f>
        <v>0</v>
      </c>
      <c r="AB243" s="129">
        <f t="shared" si="61"/>
        <v>96</v>
      </c>
      <c r="AC243" s="130">
        <v>0</v>
      </c>
      <c r="AD243" s="35">
        <f t="shared" si="72"/>
        <v>96</v>
      </c>
      <c r="AE243" s="166" t="str">
        <f t="shared" si="73"/>
        <v>Release</v>
      </c>
      <c r="AF243" s="127"/>
      <c r="AG243" s="18">
        <v>0</v>
      </c>
      <c r="AH243" s="120"/>
      <c r="AI243" s="238">
        <v>0</v>
      </c>
      <c r="AJ243" s="132"/>
      <c r="AK243" s="151">
        <v>353.4</v>
      </c>
      <c r="AL243" s="154">
        <f t="shared" si="62"/>
        <v>0</v>
      </c>
      <c r="AM243" s="155"/>
      <c r="AN243" s="19">
        <f t="shared" si="63"/>
        <v>0</v>
      </c>
      <c r="AO243" s="118">
        <f>SUMIF('MPG Payment '!E:E,'Shayak Income '!D243,'MPG Payment '!AJ:AJ)</f>
        <v>0</v>
      </c>
      <c r="AP243" s="19">
        <f t="shared" si="64"/>
        <v>0</v>
      </c>
      <c r="AQ243" s="119">
        <f t="shared" si="74"/>
        <v>0</v>
      </c>
      <c r="AR243" s="91" t="s">
        <v>1168</v>
      </c>
      <c r="AS243" s="91">
        <f t="shared" si="65"/>
        <v>0</v>
      </c>
      <c r="AT243" s="118"/>
      <c r="AU243" s="118"/>
      <c r="AV243" s="118"/>
    </row>
    <row r="244" spans="1:48" s="20" customFormat="1" x14ac:dyDescent="0.25">
      <c r="A244" s="17">
        <f>IFERROR(VLOOKUP(D244,'Monthly Deduction'!$I$3:$J$957,2,0),0)</f>
        <v>0</v>
      </c>
      <c r="B244" s="17">
        <f>IFERROR(VLOOKUP(D244,'Monthly Deduction'!$E$3:$F$957,2,0),0)</f>
        <v>0</v>
      </c>
      <c r="C244" s="17">
        <f t="shared" si="66"/>
        <v>0</v>
      </c>
      <c r="D244" s="41">
        <v>10090006</v>
      </c>
      <c r="E244" s="122" t="str">
        <f>VLOOKUP(D244,'MPG Payment '!$E$3:$G$498218,2,0)</f>
        <v>BALLOPUR</v>
      </c>
      <c r="F244" s="146">
        <f>IFERROR(_xlfn.XLOOKUP(D244,'Monthly Deduction'!$I$3:$I$957,'Monthly Deduction'!$H$3:$H$957),0)</f>
        <v>0</v>
      </c>
      <c r="G244" s="123" t="str">
        <f>VLOOKUP(D244,'MPG Payment '!$E$3:$G$334579,3,0)</f>
        <v>MPG</v>
      </c>
      <c r="H244" s="124" t="str">
        <f>VLOOKUP(D244,'MPG Payment '!$E$3:$H$334579,4,0)</f>
        <v>Direct</v>
      </c>
      <c r="I244" s="88">
        <f>INDEX('MPG Payment '!$C:$C,MATCH('Shayak Income '!D244,'MPG Payment '!E:E,0))</f>
        <v>1009</v>
      </c>
      <c r="J244" s="88" t="str">
        <f>INDEX('MPG Payment '!$D:$D,MATCH('Shayak Income '!D244,'MPG Payment '!E:E,0))</f>
        <v>Halsi</v>
      </c>
      <c r="K244" s="125" t="s">
        <v>1322</v>
      </c>
      <c r="L244" s="125">
        <v>42979</v>
      </c>
      <c r="M244" s="126">
        <f>SUMIF('MPG Payment '!$E$3:$E$34579,'Shayak Income '!D244,'MPG Payment '!$I$3:$I$34579)</f>
        <v>5706.0999999999995</v>
      </c>
      <c r="N244" s="126">
        <f>SUMIF('MPG Payment '!$E$3:$E$34579,'Shayak Income '!D244,'MPG Payment '!$J$3:$J$34579)</f>
        <v>227387.86824366002</v>
      </c>
      <c r="O244" s="126">
        <f t="shared" si="67"/>
        <v>4279.5749999999998</v>
      </c>
      <c r="P244" s="126">
        <f t="shared" si="68"/>
        <v>5420.7949999999992</v>
      </c>
      <c r="Q244" s="126">
        <f>SUMIF('MPG Payment '!$E$3:$E$34579,'Shayak Income '!D244,'MPG Payment '!$S$3:$S$34579)</f>
        <v>0</v>
      </c>
      <c r="R244" s="126">
        <f t="shared" si="58"/>
        <v>6821.6360473098002</v>
      </c>
      <c r="S244" s="126">
        <f t="shared" si="59"/>
        <v>1400.8410473098011</v>
      </c>
      <c r="T244" s="126">
        <f t="shared" si="69"/>
        <v>570.61</v>
      </c>
      <c r="U244" s="127">
        <f>(((IF(K244="New",0,SUMIF('MPG Payment '!$E$3:$E$34579,'Shayak Income '!D244,'MPG Payment '!$AC$3:$AC$34579))))+0)+0</f>
        <v>0</v>
      </c>
      <c r="V244" s="127">
        <f t="shared" si="70"/>
        <v>9130</v>
      </c>
      <c r="W244" s="19">
        <f t="shared" si="71"/>
        <v>0</v>
      </c>
      <c r="X244" s="19">
        <f t="shared" si="60"/>
        <v>0</v>
      </c>
      <c r="Y244" s="128">
        <f>IFERROR(VLOOKUP(D244,'Monthly Deduction'!$M$2:$N$64,2,0),0)</f>
        <v>0</v>
      </c>
      <c r="Z244" s="128">
        <v>0</v>
      </c>
      <c r="AA244" s="126">
        <f>IFERROR(VLOOKUP(D244,'Monthly Deduction'!A:B,2,0),0)</f>
        <v>0</v>
      </c>
      <c r="AB244" s="129">
        <f t="shared" si="61"/>
        <v>9130</v>
      </c>
      <c r="AC244" s="130">
        <v>0</v>
      </c>
      <c r="AD244" s="35">
        <f t="shared" si="72"/>
        <v>9130</v>
      </c>
      <c r="AE244" s="166" t="str">
        <f t="shared" si="73"/>
        <v>Release</v>
      </c>
      <c r="AF244" s="127"/>
      <c r="AG244" s="18">
        <v>0</v>
      </c>
      <c r="AH244" s="120"/>
      <c r="AI244" s="238">
        <v>0</v>
      </c>
      <c r="AJ244" s="132"/>
      <c r="AK244" s="151">
        <v>1334.0000000000005</v>
      </c>
      <c r="AL244" s="154">
        <f t="shared" si="62"/>
        <v>0</v>
      </c>
      <c r="AM244" s="155"/>
      <c r="AN244" s="19">
        <f t="shared" si="63"/>
        <v>0</v>
      </c>
      <c r="AO244" s="118">
        <f>SUMIF('MPG Payment '!E:E,'Shayak Income '!D244,'MPG Payment '!AJ:AJ)</f>
        <v>0</v>
      </c>
      <c r="AP244" s="19">
        <f t="shared" si="64"/>
        <v>0</v>
      </c>
      <c r="AQ244" s="119">
        <f t="shared" si="74"/>
        <v>0</v>
      </c>
      <c r="AR244" s="91"/>
      <c r="AS244" s="91">
        <f t="shared" si="65"/>
        <v>0</v>
      </c>
      <c r="AT244" s="118"/>
      <c r="AU244" s="118"/>
      <c r="AV244" s="118"/>
    </row>
    <row r="245" spans="1:48" s="20" customFormat="1" x14ac:dyDescent="0.25">
      <c r="A245" s="17">
        <f>IFERROR(VLOOKUP(D245,'Monthly Deduction'!$I$3:$J$957,2,0),0)</f>
        <v>0</v>
      </c>
      <c r="B245" s="17">
        <f>IFERROR(VLOOKUP(D245,'Monthly Deduction'!$E$3:$F$957,2,0),0)</f>
        <v>0</v>
      </c>
      <c r="C245" s="17">
        <f t="shared" si="66"/>
        <v>0</v>
      </c>
      <c r="D245" s="41">
        <v>10090007</v>
      </c>
      <c r="E245" s="122" t="str">
        <f>VLOOKUP(D245,'MPG Payment '!$E$3:$G$498218,2,0)</f>
        <v>KHAIRMA</v>
      </c>
      <c r="F245" s="146">
        <f>IFERROR(_xlfn.XLOOKUP(D245,'Monthly Deduction'!$I$3:$I$957,'Monthly Deduction'!$H$3:$H$957),0)</f>
        <v>0</v>
      </c>
      <c r="G245" s="123" t="str">
        <f>VLOOKUP(D245,'MPG Payment '!$E$3:$G$334579,3,0)</f>
        <v>MPG</v>
      </c>
      <c r="H245" s="124" t="str">
        <f>VLOOKUP(D245,'MPG Payment '!$E$3:$H$334579,4,0)</f>
        <v>Direct</v>
      </c>
      <c r="I245" s="88">
        <f>INDEX('MPG Payment '!$C:$C,MATCH('Shayak Income '!D245,'MPG Payment '!E:E,0))</f>
        <v>1009</v>
      </c>
      <c r="J245" s="88" t="str">
        <f>INDEX('MPG Payment '!$D:$D,MATCH('Shayak Income '!D245,'MPG Payment '!E:E,0))</f>
        <v>Halsi</v>
      </c>
      <c r="K245" s="125" t="s">
        <v>1322</v>
      </c>
      <c r="L245" s="125">
        <v>42979</v>
      </c>
      <c r="M245" s="126">
        <f>SUMIF('MPG Payment '!$E$3:$E$34579,'Shayak Income '!D245,'MPG Payment '!$I$3:$I$34579)</f>
        <v>1573.1</v>
      </c>
      <c r="N245" s="126">
        <f>SUMIF('MPG Payment '!$E$3:$E$34579,'Shayak Income '!D245,'MPG Payment '!$J$3:$J$34579)</f>
        <v>53669.9220662191</v>
      </c>
      <c r="O245" s="126">
        <f t="shared" si="67"/>
        <v>1179.8249999999998</v>
      </c>
      <c r="P245" s="126">
        <f t="shared" si="68"/>
        <v>1494.4449999999999</v>
      </c>
      <c r="Q245" s="126">
        <f>SUMIF('MPG Payment '!$E$3:$E$34579,'Shayak Income '!D245,'MPG Payment '!$S$3:$S$34579)</f>
        <v>0</v>
      </c>
      <c r="R245" s="126">
        <f t="shared" si="58"/>
        <v>1610.097661986573</v>
      </c>
      <c r="S245" s="126">
        <f t="shared" si="59"/>
        <v>115.65266198657309</v>
      </c>
      <c r="T245" s="126">
        <f t="shared" si="69"/>
        <v>157.31</v>
      </c>
      <c r="U245" s="127">
        <f>(((IF(K245="New",0,SUMIF('MPG Payment '!$E$3:$E$34579,'Shayak Income '!D245,'MPG Payment '!$AC$3:$AC$34579))))+0)+0</f>
        <v>835.41471981333564</v>
      </c>
      <c r="V245" s="127">
        <f t="shared" si="70"/>
        <v>1682</v>
      </c>
      <c r="W245" s="19">
        <f t="shared" si="71"/>
        <v>0</v>
      </c>
      <c r="X245" s="19">
        <f t="shared" si="60"/>
        <v>0</v>
      </c>
      <c r="Y245" s="128">
        <f>IFERROR(VLOOKUP(D245,'Monthly Deduction'!$M$2:$N$64,2,0),0)</f>
        <v>0</v>
      </c>
      <c r="Z245" s="128">
        <v>0</v>
      </c>
      <c r="AA245" s="126">
        <f>IFERROR(VLOOKUP(D245,'Monthly Deduction'!A:B,2,0),0)</f>
        <v>0</v>
      </c>
      <c r="AB245" s="129">
        <f t="shared" si="61"/>
        <v>1682</v>
      </c>
      <c r="AC245" s="130">
        <v>0</v>
      </c>
      <c r="AD245" s="35">
        <f t="shared" si="72"/>
        <v>1682</v>
      </c>
      <c r="AE245" s="166" t="str">
        <f t="shared" si="73"/>
        <v>Release</v>
      </c>
      <c r="AF245" s="127"/>
      <c r="AG245" s="18">
        <v>0</v>
      </c>
      <c r="AH245" s="132"/>
      <c r="AI245" s="238">
        <v>0</v>
      </c>
      <c r="AJ245" s="132"/>
      <c r="AK245" s="151">
        <v>514.90000000000009</v>
      </c>
      <c r="AL245" s="154">
        <f t="shared" si="62"/>
        <v>0</v>
      </c>
      <c r="AM245" s="155"/>
      <c r="AN245" s="19">
        <f t="shared" si="63"/>
        <v>0</v>
      </c>
      <c r="AO245" s="118">
        <f>SUMIF('MPG Payment '!E:E,'Shayak Income '!D245,'MPG Payment '!AJ:AJ)</f>
        <v>0</v>
      </c>
      <c r="AP245" s="19">
        <f t="shared" si="64"/>
        <v>0</v>
      </c>
      <c r="AQ245" s="119">
        <f t="shared" si="74"/>
        <v>0</v>
      </c>
      <c r="AR245" s="91" t="s">
        <v>1168</v>
      </c>
      <c r="AS245" s="91">
        <f t="shared" si="65"/>
        <v>0</v>
      </c>
      <c r="AT245" s="118"/>
      <c r="AU245" s="118"/>
      <c r="AV245" s="118"/>
    </row>
    <row r="246" spans="1:48" s="20" customFormat="1" x14ac:dyDescent="0.25">
      <c r="A246" s="17">
        <f>IFERROR(VLOOKUP(D246,'Monthly Deduction'!$I$3:$J$957,2,0),0)</f>
        <v>0</v>
      </c>
      <c r="B246" s="17">
        <f>IFERROR(VLOOKUP(D246,'Monthly Deduction'!$E$3:$F$957,2,0),0)</f>
        <v>0</v>
      </c>
      <c r="C246" s="17">
        <f t="shared" si="66"/>
        <v>0</v>
      </c>
      <c r="D246" s="41">
        <v>10090008</v>
      </c>
      <c r="E246" s="122" t="str">
        <f>VLOOKUP(D246,'MPG Payment '!$E$3:$G$498218,2,0)</f>
        <v>MAHASONI</v>
      </c>
      <c r="F246" s="146">
        <f>IFERROR(_xlfn.XLOOKUP(D246,'Monthly Deduction'!$I$3:$I$957,'Monthly Deduction'!$H$3:$H$957),0)</f>
        <v>0</v>
      </c>
      <c r="G246" s="123" t="str">
        <f>VLOOKUP(D246,'MPG Payment '!$E$3:$G$334579,3,0)</f>
        <v>MPG</v>
      </c>
      <c r="H246" s="124" t="str">
        <f>VLOOKUP(D246,'MPG Payment '!$E$3:$H$334579,4,0)</f>
        <v>Direct</v>
      </c>
      <c r="I246" s="88">
        <f>INDEX('MPG Payment '!$C:$C,MATCH('Shayak Income '!D246,'MPG Payment '!E:E,0))</f>
        <v>1009</v>
      </c>
      <c r="J246" s="88" t="str">
        <f>INDEX('MPG Payment '!$D:$D,MATCH('Shayak Income '!D246,'MPG Payment '!E:E,0))</f>
        <v>Halsi</v>
      </c>
      <c r="K246" s="125" t="s">
        <v>1322</v>
      </c>
      <c r="L246" s="125">
        <v>42979</v>
      </c>
      <c r="M246" s="126">
        <f>SUMIF('MPG Payment '!$E$3:$E$34579,'Shayak Income '!D246,'MPG Payment '!$I$3:$I$34579)</f>
        <v>4107.2</v>
      </c>
      <c r="N246" s="126">
        <f>SUMIF('MPG Payment '!$E$3:$E$34579,'Shayak Income '!D246,'MPG Payment '!$J$3:$J$34579)</f>
        <v>157639.35383821002</v>
      </c>
      <c r="O246" s="126">
        <f t="shared" si="67"/>
        <v>3080.3999999999996</v>
      </c>
      <c r="P246" s="126">
        <f t="shared" si="68"/>
        <v>3901.8399999999997</v>
      </c>
      <c r="Q246" s="126">
        <f>SUMIF('MPG Payment '!$E$3:$E$34579,'Shayak Income '!D246,'MPG Payment '!$S$3:$S$34579)</f>
        <v>1861.1070070830001</v>
      </c>
      <c r="R246" s="126">
        <f t="shared" si="58"/>
        <v>4729.1806151463006</v>
      </c>
      <c r="S246" s="126">
        <f t="shared" si="59"/>
        <v>827.34061514630093</v>
      </c>
      <c r="T246" s="126">
        <f t="shared" si="69"/>
        <v>410.72</v>
      </c>
      <c r="U246" s="127">
        <f>(((IF(K246="New",0,SUMIF('MPG Payment '!$E$3:$E$34579,'Shayak Income '!D246,'MPG Payment '!$AC$3:$AC$34579))))+0)+0</f>
        <v>0</v>
      </c>
      <c r="V246" s="127">
        <f t="shared" si="70"/>
        <v>8433</v>
      </c>
      <c r="W246" s="19">
        <f t="shared" si="71"/>
        <v>0</v>
      </c>
      <c r="X246" s="19">
        <f t="shared" si="60"/>
        <v>0</v>
      </c>
      <c r="Y246" s="128">
        <f>IFERROR(VLOOKUP(D246,'Monthly Deduction'!$M$2:$N$64,2,0),0)</f>
        <v>0</v>
      </c>
      <c r="Z246" s="128">
        <v>0</v>
      </c>
      <c r="AA246" s="126">
        <f>IFERROR(VLOOKUP(D246,'Monthly Deduction'!A:B,2,0),0)</f>
        <v>0</v>
      </c>
      <c r="AB246" s="129">
        <f t="shared" si="61"/>
        <v>8433</v>
      </c>
      <c r="AC246" s="130">
        <v>0</v>
      </c>
      <c r="AD246" s="35">
        <f t="shared" si="72"/>
        <v>8433</v>
      </c>
      <c r="AE246" s="166" t="str">
        <f t="shared" si="73"/>
        <v>Release</v>
      </c>
      <c r="AF246" s="127"/>
      <c r="AG246" s="18">
        <v>0</v>
      </c>
      <c r="AH246" s="120"/>
      <c r="AI246" s="238">
        <v>0</v>
      </c>
      <c r="AJ246" s="132"/>
      <c r="AK246" s="151">
        <v>1034.3000000000002</v>
      </c>
      <c r="AL246" s="154">
        <f t="shared" si="62"/>
        <v>0</v>
      </c>
      <c r="AM246" s="155"/>
      <c r="AN246" s="19">
        <f t="shared" si="63"/>
        <v>0</v>
      </c>
      <c r="AO246" s="118">
        <f>SUMIF('MPG Payment '!E:E,'Shayak Income '!D246,'MPG Payment '!AJ:AJ)</f>
        <v>0</v>
      </c>
      <c r="AP246" s="19">
        <f t="shared" si="64"/>
        <v>0</v>
      </c>
      <c r="AQ246" s="119">
        <f t="shared" si="74"/>
        <v>0</v>
      </c>
      <c r="AR246" s="91" t="s">
        <v>1168</v>
      </c>
      <c r="AS246" s="91">
        <f t="shared" si="65"/>
        <v>0</v>
      </c>
      <c r="AT246" s="118"/>
      <c r="AU246" s="118"/>
      <c r="AV246" s="118"/>
    </row>
    <row r="247" spans="1:48" s="20" customFormat="1" x14ac:dyDescent="0.25">
      <c r="A247" s="17">
        <f>IFERROR(VLOOKUP(D247,'Monthly Deduction'!$I$3:$J$957,2,0),0)</f>
        <v>0</v>
      </c>
      <c r="B247" s="17">
        <f>IFERROR(VLOOKUP(D247,'Monthly Deduction'!$E$3:$F$957,2,0),0)</f>
        <v>0</v>
      </c>
      <c r="C247" s="17">
        <f t="shared" si="66"/>
        <v>0</v>
      </c>
      <c r="D247" s="41">
        <v>10090009</v>
      </c>
      <c r="E247" s="122" t="str">
        <f>VLOOKUP(D247,'MPG Payment '!$E$3:$G$498218,2,0)</f>
        <v>SONDHI</v>
      </c>
      <c r="F247" s="146">
        <f>IFERROR(_xlfn.XLOOKUP(D247,'Monthly Deduction'!$I$3:$I$957,'Monthly Deduction'!$H$3:$H$957),0)</f>
        <v>0</v>
      </c>
      <c r="G247" s="123" t="str">
        <f>VLOOKUP(D247,'MPG Payment '!$E$3:$G$334579,3,0)</f>
        <v>MPG</v>
      </c>
      <c r="H247" s="124" t="str">
        <f>VLOOKUP(D247,'MPG Payment '!$E$3:$H$334579,4,0)</f>
        <v>Direct</v>
      </c>
      <c r="I247" s="88">
        <f>INDEX('MPG Payment '!$C:$C,MATCH('Shayak Income '!D247,'MPG Payment '!E:E,0))</f>
        <v>1009</v>
      </c>
      <c r="J247" s="88" t="str">
        <f>INDEX('MPG Payment '!$D:$D,MATCH('Shayak Income '!D247,'MPG Payment '!E:E,0))</f>
        <v>Halsi</v>
      </c>
      <c r="K247" s="125" t="s">
        <v>1322</v>
      </c>
      <c r="L247" s="125">
        <v>42979</v>
      </c>
      <c r="M247" s="126">
        <f>SUMIF('MPG Payment '!$E$3:$E$34579,'Shayak Income '!D247,'MPG Payment '!$I$3:$I$34579)</f>
        <v>2411.7000000000003</v>
      </c>
      <c r="N247" s="126">
        <f>SUMIF('MPG Payment '!$E$3:$E$34579,'Shayak Income '!D247,'MPG Payment '!$J$3:$J$34579)</f>
        <v>95756.602428002996</v>
      </c>
      <c r="O247" s="126">
        <f t="shared" si="67"/>
        <v>1808.7750000000001</v>
      </c>
      <c r="P247" s="126">
        <f t="shared" si="68"/>
        <v>2291.1150000000002</v>
      </c>
      <c r="Q247" s="126">
        <f>SUMIF('MPG Payment '!$E$3:$E$34579,'Shayak Income '!D247,'MPG Payment '!$S$3:$S$34579)</f>
        <v>888.86141089199998</v>
      </c>
      <c r="R247" s="126">
        <f t="shared" si="58"/>
        <v>2872.6980728400899</v>
      </c>
      <c r="S247" s="126">
        <f t="shared" si="59"/>
        <v>581.5830728400897</v>
      </c>
      <c r="T247" s="126">
        <f t="shared" si="69"/>
        <v>241.17000000000004</v>
      </c>
      <c r="U247" s="127">
        <f>(((IF(K247="New",0,SUMIF('MPG Payment '!$E$3:$E$34579,'Shayak Income '!D247,'MPG Payment '!$AC$3:$AC$34579))))+0)+0</f>
        <v>310.8847522842965</v>
      </c>
      <c r="V247" s="127">
        <f t="shared" si="70"/>
        <v>4437</v>
      </c>
      <c r="W247" s="19">
        <f t="shared" si="71"/>
        <v>0</v>
      </c>
      <c r="X247" s="19">
        <f t="shared" si="60"/>
        <v>0</v>
      </c>
      <c r="Y247" s="128">
        <f>IFERROR(VLOOKUP(D247,'Monthly Deduction'!$M$2:$N$64,2,0),0)</f>
        <v>3000</v>
      </c>
      <c r="Z247" s="128">
        <v>0</v>
      </c>
      <c r="AA247" s="126">
        <f>IFERROR(VLOOKUP(D247,'Monthly Deduction'!A:B,2,0),0)</f>
        <v>0</v>
      </c>
      <c r="AB247" s="129">
        <f t="shared" si="61"/>
        <v>1437</v>
      </c>
      <c r="AC247" s="130">
        <v>0</v>
      </c>
      <c r="AD247" s="35">
        <f t="shared" si="72"/>
        <v>1437</v>
      </c>
      <c r="AE247" s="166" t="str">
        <f t="shared" si="73"/>
        <v>Release</v>
      </c>
      <c r="AF247" s="127"/>
      <c r="AG247" s="18">
        <v>0</v>
      </c>
      <c r="AH247" s="120"/>
      <c r="AI247" s="238">
        <v>0</v>
      </c>
      <c r="AJ247" s="132"/>
      <c r="AK247" s="151">
        <v>595.69999999999993</v>
      </c>
      <c r="AL247" s="154">
        <f t="shared" si="62"/>
        <v>0</v>
      </c>
      <c r="AM247" s="155"/>
      <c r="AN247" s="19">
        <f t="shared" si="63"/>
        <v>0</v>
      </c>
      <c r="AO247" s="118">
        <f>SUMIF('MPG Payment '!E:E,'Shayak Income '!D247,'MPG Payment '!AJ:AJ)</f>
        <v>0</v>
      </c>
      <c r="AP247" s="19">
        <f t="shared" si="64"/>
        <v>0</v>
      </c>
      <c r="AQ247" s="119">
        <f t="shared" si="74"/>
        <v>0</v>
      </c>
      <c r="AR247" s="91" t="s">
        <v>1168</v>
      </c>
      <c r="AS247" s="91">
        <f t="shared" si="65"/>
        <v>0</v>
      </c>
      <c r="AT247" s="118"/>
      <c r="AU247" s="118"/>
      <c r="AV247" s="118"/>
    </row>
    <row r="248" spans="1:48" s="20" customFormat="1" x14ac:dyDescent="0.25">
      <c r="A248" s="17">
        <f>IFERROR(VLOOKUP(D248,'Monthly Deduction'!$I$3:$J$957,2,0),0)</f>
        <v>0</v>
      </c>
      <c r="B248" s="17">
        <f>IFERROR(VLOOKUP(D248,'Monthly Deduction'!$E$3:$F$957,2,0),0)</f>
        <v>0</v>
      </c>
      <c r="C248" s="17">
        <f t="shared" si="66"/>
        <v>0</v>
      </c>
      <c r="D248" s="41">
        <v>10090011</v>
      </c>
      <c r="E248" s="122" t="str">
        <f>VLOOKUP(D248,'MPG Payment '!$E$3:$G$498218,2,0)</f>
        <v>BELDARAYA</v>
      </c>
      <c r="F248" s="146">
        <f>IFERROR(_xlfn.XLOOKUP(D248,'Monthly Deduction'!$I$3:$I$957,'Monthly Deduction'!$H$3:$H$957),0)</f>
        <v>0</v>
      </c>
      <c r="G248" s="123" t="str">
        <f>VLOOKUP(D248,'MPG Payment '!$E$3:$G$334579,3,0)</f>
        <v>vlc</v>
      </c>
      <c r="H248" s="124" t="str">
        <f>VLOOKUP(D248,'MPG Payment '!$E$3:$H$334579,4,0)</f>
        <v>Indirect</v>
      </c>
      <c r="I248" s="88">
        <f>INDEX('MPG Payment '!$C:$C,MATCH('Shayak Income '!D248,'MPG Payment '!E:E,0))</f>
        <v>1009</v>
      </c>
      <c r="J248" s="88" t="str">
        <f>INDEX('MPG Payment '!$D:$D,MATCH('Shayak Income '!D248,'MPG Payment '!E:E,0))</f>
        <v>Halsi</v>
      </c>
      <c r="K248" s="125" t="s">
        <v>1322</v>
      </c>
      <c r="L248" s="125">
        <v>42979</v>
      </c>
      <c r="M248" s="126">
        <f>SUMIF('MPG Payment '!$E$3:$E$34579,'Shayak Income '!D248,'MPG Payment '!$I$3:$I$34579)</f>
        <v>3357.2000000000007</v>
      </c>
      <c r="N248" s="126">
        <f>SUMIF('MPG Payment '!$E$3:$E$34579,'Shayak Income '!D248,'MPG Payment '!$J$3:$J$34579)</f>
        <v>123853.90869439</v>
      </c>
      <c r="O248" s="126">
        <f t="shared" si="67"/>
        <v>2517.9000000000005</v>
      </c>
      <c r="P248" s="126">
        <f t="shared" si="68"/>
        <v>3189.3400000000006</v>
      </c>
      <c r="Q248" s="126">
        <f>SUMIF('MPG Payment '!$E$3:$E$34579,'Shayak Income '!D248,'MPG Payment '!$S$3:$S$34579)</f>
        <v>0</v>
      </c>
      <c r="R248" s="126">
        <f t="shared" si="58"/>
        <v>3715.6172608317002</v>
      </c>
      <c r="S248" s="126">
        <f t="shared" si="59"/>
        <v>526.27726083169955</v>
      </c>
      <c r="T248" s="126">
        <f t="shared" si="69"/>
        <v>335.72000000000008</v>
      </c>
      <c r="U248" s="127">
        <f>(((IF(K248="New",0,SUMIF('MPG Payment '!$E$3:$E$34579,'Shayak Income '!D248,'MPG Payment '!$AC$3:$AC$34579))))+0)+0</f>
        <v>0</v>
      </c>
      <c r="V248" s="127">
        <f t="shared" si="70"/>
        <v>5372</v>
      </c>
      <c r="W248" s="19">
        <f t="shared" si="71"/>
        <v>0</v>
      </c>
      <c r="X248" s="19">
        <f t="shared" si="60"/>
        <v>0</v>
      </c>
      <c r="Y248" s="128">
        <f>IFERROR(VLOOKUP(D248,'Monthly Deduction'!$M$2:$N$64,2,0),0)</f>
        <v>0</v>
      </c>
      <c r="Z248" s="128">
        <v>0</v>
      </c>
      <c r="AA248" s="126">
        <f>IFERROR(VLOOKUP(D248,'Monthly Deduction'!A:B,2,0),0)</f>
        <v>0</v>
      </c>
      <c r="AB248" s="129">
        <f t="shared" si="61"/>
        <v>5372</v>
      </c>
      <c r="AC248" s="130">
        <v>0</v>
      </c>
      <c r="AD248" s="35">
        <f t="shared" si="72"/>
        <v>5372</v>
      </c>
      <c r="AE248" s="166" t="str">
        <f t="shared" si="73"/>
        <v>Release</v>
      </c>
      <c r="AF248" s="127"/>
      <c r="AG248" s="127">
        <v>0</v>
      </c>
      <c r="AH248" s="132"/>
      <c r="AI248" s="238">
        <v>0</v>
      </c>
      <c r="AJ248" s="132"/>
      <c r="AK248" s="151">
        <v>700.2</v>
      </c>
      <c r="AL248" s="154">
        <f t="shared" si="62"/>
        <v>0</v>
      </c>
      <c r="AM248" s="155"/>
      <c r="AN248" s="19">
        <f t="shared" si="63"/>
        <v>0</v>
      </c>
      <c r="AO248" s="118">
        <f>SUMIF('MPG Payment '!E:E,'Shayak Income '!D248,'MPG Payment '!AJ:AJ)</f>
        <v>0</v>
      </c>
      <c r="AP248" s="19">
        <f t="shared" si="64"/>
        <v>0</v>
      </c>
      <c r="AQ248" s="119">
        <f t="shared" si="74"/>
        <v>0</v>
      </c>
      <c r="AR248" s="91" t="s">
        <v>1168</v>
      </c>
      <c r="AS248" s="91">
        <f t="shared" si="65"/>
        <v>0</v>
      </c>
      <c r="AT248" s="118"/>
      <c r="AU248" s="118"/>
      <c r="AV248" s="118"/>
    </row>
    <row r="249" spans="1:48" s="20" customFormat="1" x14ac:dyDescent="0.25">
      <c r="A249" s="17">
        <f>IFERROR(VLOOKUP(D249,'Monthly Deduction'!$I$3:$J$957,2,0),0)</f>
        <v>0</v>
      </c>
      <c r="B249" s="17">
        <f>IFERROR(VLOOKUP(D249,'Monthly Deduction'!$E$3:$F$957,2,0),0)</f>
        <v>0</v>
      </c>
      <c r="C249" s="17">
        <f t="shared" si="66"/>
        <v>0</v>
      </c>
      <c r="D249" s="41">
        <v>10090012</v>
      </c>
      <c r="E249" s="122" t="str">
        <f>VLOOKUP(D249,'MPG Payment '!$E$3:$G$498218,2,0)</f>
        <v>Gomukh ID Aure-2</v>
      </c>
      <c r="F249" s="146">
        <f>IFERROR(_xlfn.XLOOKUP(D249,'Monthly Deduction'!$I$3:$I$957,'Monthly Deduction'!$H$3:$H$957),0)</f>
        <v>0</v>
      </c>
      <c r="G249" s="123" t="str">
        <f>VLOOKUP(D249,'MPG Payment '!$E$3:$G$334579,3,0)</f>
        <v>vlc</v>
      </c>
      <c r="H249" s="124" t="str">
        <f>VLOOKUP(D249,'MPG Payment '!$E$3:$H$334579,4,0)</f>
        <v>Indirect</v>
      </c>
      <c r="I249" s="88">
        <f>INDEX('MPG Payment '!$C:$C,MATCH('Shayak Income '!D249,'MPG Payment '!E:E,0))</f>
        <v>1009</v>
      </c>
      <c r="J249" s="88" t="str">
        <f>INDEX('MPG Payment '!$D:$D,MATCH('Shayak Income '!D249,'MPG Payment '!E:E,0))</f>
        <v>Halsi</v>
      </c>
      <c r="K249" s="125" t="s">
        <v>1322</v>
      </c>
      <c r="L249" s="125">
        <v>43071</v>
      </c>
      <c r="M249" s="126">
        <f>SUMIF('MPG Payment '!$E$3:$E$34579,'Shayak Income '!D249,'MPG Payment '!$I$3:$I$34579)</f>
        <v>4519.7000000000007</v>
      </c>
      <c r="N249" s="126">
        <f>SUMIF('MPG Payment '!$E$3:$E$34579,'Shayak Income '!D249,'MPG Payment '!$J$3:$J$34579)</f>
        <v>166879.44584559003</v>
      </c>
      <c r="O249" s="126">
        <f t="shared" si="67"/>
        <v>3389.7750000000005</v>
      </c>
      <c r="P249" s="126">
        <f t="shared" si="68"/>
        <v>4293.7150000000001</v>
      </c>
      <c r="Q249" s="126">
        <f>SUMIF('MPG Payment '!$E$3:$E$34579,'Shayak Income '!D249,'MPG Payment '!$S$3:$S$34579)</f>
        <v>0</v>
      </c>
      <c r="R249" s="126">
        <f t="shared" si="58"/>
        <v>5006.3833753677009</v>
      </c>
      <c r="S249" s="126">
        <f t="shared" si="59"/>
        <v>712.66837536770072</v>
      </c>
      <c r="T249" s="126">
        <f t="shared" si="69"/>
        <v>451.97000000000008</v>
      </c>
      <c r="U249" s="127">
        <f>(((IF(K249="New",0,SUMIF('MPG Payment '!$E$3:$E$34579,'Shayak Income '!D249,'MPG Payment '!$AC$3:$AC$34579))))+0)+0</f>
        <v>0</v>
      </c>
      <c r="V249" s="127">
        <f t="shared" si="70"/>
        <v>7232</v>
      </c>
      <c r="W249" s="19">
        <f t="shared" si="71"/>
        <v>0</v>
      </c>
      <c r="X249" s="19">
        <f t="shared" si="60"/>
        <v>0</v>
      </c>
      <c r="Y249" s="128">
        <f>IFERROR(VLOOKUP(D249,'Monthly Deduction'!$M$2:$N$64,2,0),0)</f>
        <v>0</v>
      </c>
      <c r="Z249" s="128">
        <v>0</v>
      </c>
      <c r="AA249" s="126">
        <f>IFERROR(VLOOKUP(D249,'Monthly Deduction'!A:B,2,0),0)</f>
        <v>0</v>
      </c>
      <c r="AB249" s="129">
        <f t="shared" si="61"/>
        <v>7232</v>
      </c>
      <c r="AC249" s="130">
        <v>0</v>
      </c>
      <c r="AD249" s="35">
        <f t="shared" si="72"/>
        <v>7232</v>
      </c>
      <c r="AE249" s="166" t="str">
        <f t="shared" si="73"/>
        <v>Release</v>
      </c>
      <c r="AF249" s="127"/>
      <c r="AG249" s="18">
        <v>0</v>
      </c>
      <c r="AH249" s="120"/>
      <c r="AI249" s="238">
        <v>0</v>
      </c>
      <c r="AJ249" s="132"/>
      <c r="AK249" s="151">
        <v>1000.5</v>
      </c>
      <c r="AL249" s="154">
        <f t="shared" si="62"/>
        <v>0</v>
      </c>
      <c r="AM249" s="155"/>
      <c r="AN249" s="19">
        <f t="shared" si="63"/>
        <v>0</v>
      </c>
      <c r="AO249" s="118">
        <f>SUMIF('MPG Payment '!E:E,'Shayak Income '!D249,'MPG Payment '!AJ:AJ)</f>
        <v>0</v>
      </c>
      <c r="AP249" s="19">
        <f t="shared" si="64"/>
        <v>0</v>
      </c>
      <c r="AQ249" s="119">
        <f t="shared" si="74"/>
        <v>0</v>
      </c>
      <c r="AR249" s="91"/>
      <c r="AS249" s="91">
        <f t="shared" si="65"/>
        <v>0</v>
      </c>
      <c r="AT249" s="118"/>
      <c r="AU249" s="118"/>
      <c r="AV249" s="118"/>
    </row>
    <row r="250" spans="1:48" s="20" customFormat="1" x14ac:dyDescent="0.25">
      <c r="A250" s="17">
        <f>IFERROR(VLOOKUP(D250,'Monthly Deduction'!$I$3:$J$957,2,0),0)</f>
        <v>0</v>
      </c>
      <c r="B250" s="17">
        <f>IFERROR(VLOOKUP(D250,'Monthly Deduction'!$E$3:$F$957,2,0),0)</f>
        <v>0</v>
      </c>
      <c r="C250" s="17">
        <f t="shared" si="66"/>
        <v>0</v>
      </c>
      <c r="D250" s="41">
        <v>10090014</v>
      </c>
      <c r="E250" s="122" t="str">
        <f>VLOOKUP(D250,'MPG Payment '!$E$3:$G$498218,2,0)</f>
        <v>Gomukh Karma</v>
      </c>
      <c r="F250" s="146">
        <f>IFERROR(_xlfn.XLOOKUP(D250,'Monthly Deduction'!$I$3:$I$957,'Monthly Deduction'!$H$3:$H$957),0)</f>
        <v>0</v>
      </c>
      <c r="G250" s="123" t="str">
        <f>VLOOKUP(D250,'MPG Payment '!$E$3:$G$334579,3,0)</f>
        <v>vlc</v>
      </c>
      <c r="H250" s="124" t="str">
        <f>VLOOKUP(D250,'MPG Payment '!$E$3:$H$334579,4,0)</f>
        <v>Indirect</v>
      </c>
      <c r="I250" s="88">
        <f>INDEX('MPG Payment '!$C:$C,MATCH('Shayak Income '!D250,'MPG Payment '!E:E,0))</f>
        <v>1009</v>
      </c>
      <c r="J250" s="88" t="str">
        <f>INDEX('MPG Payment '!$D:$D,MATCH('Shayak Income '!D250,'MPG Payment '!E:E,0))</f>
        <v>Halsi</v>
      </c>
      <c r="K250" s="125" t="s">
        <v>1322</v>
      </c>
      <c r="L250" s="125">
        <v>43786</v>
      </c>
      <c r="M250" s="126">
        <f>SUMIF('MPG Payment '!$E$3:$E$34579,'Shayak Income '!D250,'MPG Payment '!$I$3:$I$34579)</f>
        <v>3624.6000000000004</v>
      </c>
      <c r="N250" s="126">
        <f>SUMIF('MPG Payment '!$E$3:$E$34579,'Shayak Income '!D250,'MPG Payment '!$J$3:$J$34579)</f>
        <v>141193.74975813419</v>
      </c>
      <c r="O250" s="126">
        <f t="shared" si="67"/>
        <v>2718.4500000000003</v>
      </c>
      <c r="P250" s="126">
        <f t="shared" si="68"/>
        <v>3443.3700000000003</v>
      </c>
      <c r="Q250" s="126">
        <f>SUMIF('MPG Payment '!$E$3:$E$34579,'Shayak Income '!D250,'MPG Payment '!$S$3:$S$34579)</f>
        <v>0</v>
      </c>
      <c r="R250" s="126">
        <f t="shared" si="58"/>
        <v>4235.8124927440258</v>
      </c>
      <c r="S250" s="126">
        <f t="shared" si="59"/>
        <v>792.44249274402546</v>
      </c>
      <c r="T250" s="126">
        <f t="shared" si="69"/>
        <v>362.46000000000004</v>
      </c>
      <c r="U250" s="127">
        <f>(((IF(K250="New",0,SUMIF('MPG Payment '!$E$3:$E$34579,'Shayak Income '!D250,'MPG Payment '!$AC$3:$AC$34579))))+0)+0</f>
        <v>0</v>
      </c>
      <c r="V250" s="127">
        <f t="shared" si="70"/>
        <v>5799</v>
      </c>
      <c r="W250" s="19">
        <f t="shared" si="71"/>
        <v>0</v>
      </c>
      <c r="X250" s="19">
        <f t="shared" si="60"/>
        <v>0</v>
      </c>
      <c r="Y250" s="128">
        <f>IFERROR(VLOOKUP(D250,'Monthly Deduction'!$M$2:$N$64,2,0),0)</f>
        <v>0</v>
      </c>
      <c r="Z250" s="128">
        <v>0</v>
      </c>
      <c r="AA250" s="126">
        <f>IFERROR(VLOOKUP(D250,'Monthly Deduction'!A:B,2,0),0)</f>
        <v>0</v>
      </c>
      <c r="AB250" s="129">
        <f t="shared" si="61"/>
        <v>5799</v>
      </c>
      <c r="AC250" s="130">
        <v>0</v>
      </c>
      <c r="AD250" s="35">
        <f t="shared" si="72"/>
        <v>5799</v>
      </c>
      <c r="AE250" s="166" t="str">
        <f t="shared" si="73"/>
        <v>Release</v>
      </c>
      <c r="AF250" s="127"/>
      <c r="AG250" s="18">
        <v>0</v>
      </c>
      <c r="AH250" s="120"/>
      <c r="AI250" s="238">
        <v>0</v>
      </c>
      <c r="AJ250" s="132"/>
      <c r="AK250" s="151">
        <v>922.00000000000011</v>
      </c>
      <c r="AL250" s="154">
        <f t="shared" si="62"/>
        <v>0</v>
      </c>
      <c r="AM250" s="155"/>
      <c r="AN250" s="19">
        <f t="shared" si="63"/>
        <v>0</v>
      </c>
      <c r="AO250" s="118">
        <f>SUMIF('MPG Payment '!E:E,'Shayak Income '!D250,'MPG Payment '!AJ:AJ)</f>
        <v>0</v>
      </c>
      <c r="AP250" s="19">
        <f t="shared" si="64"/>
        <v>0</v>
      </c>
      <c r="AQ250" s="119">
        <f t="shared" si="74"/>
        <v>0</v>
      </c>
      <c r="AR250" s="91"/>
      <c r="AS250" s="91">
        <f t="shared" si="65"/>
        <v>0</v>
      </c>
      <c r="AT250" s="118"/>
      <c r="AU250" s="118"/>
      <c r="AV250" s="118"/>
    </row>
    <row r="251" spans="1:48" s="20" customFormat="1" x14ac:dyDescent="0.25">
      <c r="A251" s="17">
        <f>IFERROR(VLOOKUP(D251,'Monthly Deduction'!$I$3:$J$957,2,0),0)</f>
        <v>0</v>
      </c>
      <c r="B251" s="17">
        <f>IFERROR(VLOOKUP(D251,'Monthly Deduction'!$E$3:$F$957,2,0),0)</f>
        <v>9666.1804000000011</v>
      </c>
      <c r="C251" s="17">
        <f t="shared" si="66"/>
        <v>9666.1804000000011</v>
      </c>
      <c r="D251" s="41">
        <v>10090015</v>
      </c>
      <c r="E251" s="122" t="str">
        <f>VLOOKUP(D251,'MPG Payment '!$E$3:$G$498218,2,0)</f>
        <v>GOMUKH UKSI</v>
      </c>
      <c r="F251" s="146">
        <f>IFERROR(_xlfn.XLOOKUP(D251,'Monthly Deduction'!$I$3:$I$957,'Monthly Deduction'!$H$3:$H$957),0)</f>
        <v>0</v>
      </c>
      <c r="G251" s="123" t="str">
        <f>VLOOKUP(D251,'MPG Payment '!$E$3:$G$334579,3,0)</f>
        <v>vlc</v>
      </c>
      <c r="H251" s="124" t="str">
        <f>VLOOKUP(D251,'MPG Payment '!$E$3:$H$334579,4,0)</f>
        <v>Indirect</v>
      </c>
      <c r="I251" s="88">
        <f>INDEX('MPG Payment '!$C:$C,MATCH('Shayak Income '!D251,'MPG Payment '!E:E,0))</f>
        <v>1009</v>
      </c>
      <c r="J251" s="88" t="str">
        <f>INDEX('MPG Payment '!$D:$D,MATCH('Shayak Income '!D251,'MPG Payment '!E:E,0))</f>
        <v>Halsi</v>
      </c>
      <c r="K251" s="125" t="s">
        <v>1322</v>
      </c>
      <c r="L251" s="125">
        <v>43789</v>
      </c>
      <c r="M251" s="126">
        <f>SUMIF('MPG Payment '!$E$3:$E$34579,'Shayak Income '!D251,'MPG Payment '!$I$3:$I$34579)</f>
        <v>1847.5</v>
      </c>
      <c r="N251" s="126">
        <f>SUMIF('MPG Payment '!$E$3:$E$34579,'Shayak Income '!D251,'MPG Payment '!$J$3:$J$34579)</f>
        <v>76561.690907590397</v>
      </c>
      <c r="O251" s="126">
        <f t="shared" si="67"/>
        <v>1385.625</v>
      </c>
      <c r="P251" s="126">
        <f t="shared" si="68"/>
        <v>1755.125</v>
      </c>
      <c r="Q251" s="126">
        <f>SUMIF('MPG Payment '!$E$3:$E$34579,'Shayak Income '!D251,'MPG Payment '!$S$3:$S$34579)</f>
        <v>0</v>
      </c>
      <c r="R251" s="126">
        <f t="shared" si="58"/>
        <v>2296.850727227712</v>
      </c>
      <c r="S251" s="126">
        <f t="shared" si="59"/>
        <v>541.72572722771201</v>
      </c>
      <c r="T251" s="126">
        <f t="shared" si="69"/>
        <v>184.75</v>
      </c>
      <c r="U251" s="127">
        <f>(((IF(K251="New",0,SUMIF('MPG Payment '!$E$3:$E$34579,'Shayak Income '!D251,'MPG Payment '!$AC$3:$AC$34579))))+0)+0</f>
        <v>789.26200580562556</v>
      </c>
      <c r="V251" s="127">
        <f t="shared" si="70"/>
        <v>2167</v>
      </c>
      <c r="W251" s="19">
        <f t="shared" si="71"/>
        <v>0</v>
      </c>
      <c r="X251" s="19">
        <f t="shared" si="60"/>
        <v>1531.233818151808</v>
      </c>
      <c r="Y251" s="128">
        <f>IFERROR(VLOOKUP(D251,'Monthly Deduction'!$M$2:$N$64,2,0),0)</f>
        <v>0</v>
      </c>
      <c r="Z251" s="128">
        <v>0</v>
      </c>
      <c r="AA251" s="126">
        <f>IFERROR(VLOOKUP(D251,'Monthly Deduction'!A:B,2,0),0)</f>
        <v>0</v>
      </c>
      <c r="AB251" s="129">
        <f t="shared" si="61"/>
        <v>636</v>
      </c>
      <c r="AC251" s="130">
        <v>0</v>
      </c>
      <c r="AD251" s="35">
        <f t="shared" si="72"/>
        <v>636</v>
      </c>
      <c r="AE251" s="166" t="str">
        <f t="shared" si="73"/>
        <v>Release</v>
      </c>
      <c r="AF251" s="127"/>
      <c r="AG251" s="18">
        <v>0</v>
      </c>
      <c r="AH251" s="132"/>
      <c r="AI251" s="238">
        <v>0</v>
      </c>
      <c r="AJ251" s="132"/>
      <c r="AK251" s="151">
        <v>459.69999999999993</v>
      </c>
      <c r="AL251" s="154">
        <f t="shared" si="62"/>
        <v>0</v>
      </c>
      <c r="AM251" s="155"/>
      <c r="AN251" s="19">
        <f t="shared" si="63"/>
        <v>0</v>
      </c>
      <c r="AO251" s="118">
        <f>SUMIF('MPG Payment '!E:E,'Shayak Income '!D251,'MPG Payment '!AJ:AJ)</f>
        <v>0</v>
      </c>
      <c r="AP251" s="19">
        <f t="shared" si="64"/>
        <v>0</v>
      </c>
      <c r="AQ251" s="119">
        <f t="shared" si="74"/>
        <v>0</v>
      </c>
      <c r="AR251" s="91"/>
      <c r="AS251" s="91">
        <f t="shared" si="65"/>
        <v>8134.9465818481931</v>
      </c>
      <c r="AT251" s="118"/>
      <c r="AU251" s="118"/>
      <c r="AV251" s="118"/>
    </row>
    <row r="252" spans="1:48" s="20" customFormat="1" x14ac:dyDescent="0.25">
      <c r="A252" s="17">
        <f>IFERROR(VLOOKUP(D252,'Monthly Deduction'!$I$3:$J$957,2,0),0)</f>
        <v>0</v>
      </c>
      <c r="B252" s="17">
        <f>IFERROR(VLOOKUP(D252,'Monthly Deduction'!$E$3:$F$957,2,0),0)</f>
        <v>0</v>
      </c>
      <c r="C252" s="17">
        <f t="shared" si="66"/>
        <v>0</v>
      </c>
      <c r="D252" s="41">
        <v>10090017</v>
      </c>
      <c r="E252" s="122" t="str">
        <f>VLOOKUP(D252,'MPG Payment '!$E$3:$G$498218,2,0)</f>
        <v>Gomukh ID Halsi</v>
      </c>
      <c r="F252" s="146">
        <f>IFERROR(_xlfn.XLOOKUP(D252,'Monthly Deduction'!$I$3:$I$957,'Monthly Deduction'!$H$3:$H$957),0)</f>
        <v>0</v>
      </c>
      <c r="G252" s="123" t="str">
        <f>VLOOKUP(D252,'MPG Payment '!$E$3:$G$334579,3,0)</f>
        <v>vlc</v>
      </c>
      <c r="H252" s="124" t="str">
        <f>VLOOKUP(D252,'MPG Payment '!$E$3:$H$334579,4,0)</f>
        <v>Indirect</v>
      </c>
      <c r="I252" s="88">
        <f>INDEX('MPG Payment '!$C:$C,MATCH('Shayak Income '!D252,'MPG Payment '!E:E,0))</f>
        <v>1009</v>
      </c>
      <c r="J252" s="88" t="str">
        <f>INDEX('MPG Payment '!$D:$D,MATCH('Shayak Income '!D252,'MPG Payment '!E:E,0))</f>
        <v>Halsi</v>
      </c>
      <c r="K252" s="125" t="s">
        <v>1322</v>
      </c>
      <c r="L252" s="125">
        <v>44321</v>
      </c>
      <c r="M252" s="126">
        <f>SUMIF('MPG Payment '!$E$3:$E$34579,'Shayak Income '!D252,'MPG Payment '!$I$3:$I$34579)</f>
        <v>21322.9</v>
      </c>
      <c r="N252" s="126">
        <f>SUMIF('MPG Payment '!$E$3:$E$34579,'Shayak Income '!D252,'MPG Payment '!$J$3:$J$34579)</f>
        <v>748456.55429508607</v>
      </c>
      <c r="O252" s="126">
        <f t="shared" si="67"/>
        <v>15992.175000000001</v>
      </c>
      <c r="P252" s="126">
        <f t="shared" si="68"/>
        <v>20256.755000000001</v>
      </c>
      <c r="Q252" s="126">
        <f>SUMIF('MPG Payment '!$E$3:$E$34579,'Shayak Income '!D252,'MPG Payment '!$S$3:$S$34579)</f>
        <v>0</v>
      </c>
      <c r="R252" s="126">
        <f t="shared" si="58"/>
        <v>22453.69662885258</v>
      </c>
      <c r="S252" s="126">
        <f t="shared" si="59"/>
        <v>2196.941628852579</v>
      </c>
      <c r="T252" s="126">
        <f t="shared" si="69"/>
        <v>2132.2900000000004</v>
      </c>
      <c r="U252" s="127">
        <f>(((IF(K252="New",0,SUMIF('MPG Payment '!$E$3:$E$34579,'Shayak Income '!D252,'MPG Payment '!$AC$3:$AC$34579))))+0)+0</f>
        <v>0</v>
      </c>
      <c r="V252" s="127">
        <f t="shared" si="70"/>
        <v>34117</v>
      </c>
      <c r="W252" s="19">
        <f t="shared" si="71"/>
        <v>0</v>
      </c>
      <c r="X252" s="19">
        <f t="shared" si="60"/>
        <v>0</v>
      </c>
      <c r="Y252" s="128">
        <f>IFERROR(VLOOKUP(D252,'Monthly Deduction'!$M$2:$N$64,2,0),0)</f>
        <v>0</v>
      </c>
      <c r="Z252" s="128">
        <v>0</v>
      </c>
      <c r="AA252" s="126">
        <f>IFERROR(VLOOKUP(D252,'Monthly Deduction'!A:B,2,0),0)</f>
        <v>0</v>
      </c>
      <c r="AB252" s="129">
        <f t="shared" si="61"/>
        <v>34117</v>
      </c>
      <c r="AC252" s="130">
        <v>0</v>
      </c>
      <c r="AD252" s="35">
        <f t="shared" si="72"/>
        <v>34117</v>
      </c>
      <c r="AE252" s="166" t="str">
        <f t="shared" si="73"/>
        <v>Release</v>
      </c>
      <c r="AF252" s="127"/>
      <c r="AG252" s="18">
        <v>0</v>
      </c>
      <c r="AH252" s="120"/>
      <c r="AI252" s="238">
        <v>0</v>
      </c>
      <c r="AJ252" s="132"/>
      <c r="AK252" s="151">
        <v>6044.2999999999984</v>
      </c>
      <c r="AL252" s="154">
        <f t="shared" si="62"/>
        <v>0</v>
      </c>
      <c r="AM252" s="155"/>
      <c r="AN252" s="19">
        <f t="shared" si="63"/>
        <v>0</v>
      </c>
      <c r="AO252" s="118">
        <f>SUMIF('MPG Payment '!E:E,'Shayak Income '!D252,'MPG Payment '!AJ:AJ)</f>
        <v>0</v>
      </c>
      <c r="AP252" s="19">
        <f t="shared" si="64"/>
        <v>0</v>
      </c>
      <c r="AQ252" s="119">
        <f t="shared" si="74"/>
        <v>0</v>
      </c>
      <c r="AR252" s="91" t="s">
        <v>1168</v>
      </c>
      <c r="AS252" s="91">
        <f t="shared" si="65"/>
        <v>0</v>
      </c>
      <c r="AT252" s="118"/>
      <c r="AU252" s="118"/>
      <c r="AV252" s="118"/>
    </row>
    <row r="253" spans="1:48" s="20" customFormat="1" x14ac:dyDescent="0.25">
      <c r="A253" s="17">
        <f>IFERROR(VLOOKUP(D253,'Monthly Deduction'!$I$3:$J$957,2,0),0)</f>
        <v>0</v>
      </c>
      <c r="B253" s="17">
        <f>IFERROR(VLOOKUP(D253,'Monthly Deduction'!$E$3:$F$957,2,0),0)</f>
        <v>0</v>
      </c>
      <c r="C253" s="17">
        <f t="shared" si="66"/>
        <v>0</v>
      </c>
      <c r="D253" s="41">
        <v>10090021</v>
      </c>
      <c r="E253" s="122" t="str">
        <f>VLOOKUP(D253,'MPG Payment '!$E$3:$G$498218,2,0)</f>
        <v>KHURIYARI</v>
      </c>
      <c r="F253" s="146">
        <f>IFERROR(_xlfn.XLOOKUP(D253,'Monthly Deduction'!$I$3:$I$957,'Monthly Deduction'!$H$3:$H$957),0)</f>
        <v>0</v>
      </c>
      <c r="G253" s="123" t="str">
        <f>VLOOKUP(D253,'MPG Payment '!$E$3:$G$334579,3,0)</f>
        <v>MPG</v>
      </c>
      <c r="H253" s="124" t="str">
        <f>VLOOKUP(D253,'MPG Payment '!$E$3:$H$334579,4,0)</f>
        <v>Direct</v>
      </c>
      <c r="I253" s="88">
        <f>INDEX('MPG Payment '!$C:$C,MATCH('Shayak Income '!D253,'MPG Payment '!E:E,0))</f>
        <v>1009</v>
      </c>
      <c r="J253" s="88" t="str">
        <f>INDEX('MPG Payment '!$D:$D,MATCH('Shayak Income '!D253,'MPG Payment '!E:E,0))</f>
        <v>Halsi</v>
      </c>
      <c r="K253" s="125" t="s">
        <v>1322</v>
      </c>
      <c r="L253" s="125">
        <v>44676</v>
      </c>
      <c r="M253" s="126">
        <f>SUMIF('MPG Payment '!$E$3:$E$34579,'Shayak Income '!D253,'MPG Payment '!$I$3:$I$34579)</f>
        <v>3540.8999999999996</v>
      </c>
      <c r="N253" s="126">
        <f>SUMIF('MPG Payment '!$E$3:$E$34579,'Shayak Income '!D253,'MPG Payment '!$J$3:$J$34579)</f>
        <v>148222.75626768</v>
      </c>
      <c r="O253" s="126">
        <f t="shared" si="67"/>
        <v>2655.6749999999997</v>
      </c>
      <c r="P253" s="126">
        <f t="shared" si="68"/>
        <v>3363.8549999999996</v>
      </c>
      <c r="Q253" s="126">
        <f>SUMIF('MPG Payment '!$E$3:$E$34579,'Shayak Income '!D253,'MPG Payment '!$S$3:$S$34579)</f>
        <v>1150.5302205268001</v>
      </c>
      <c r="R253" s="126">
        <f t="shared" si="58"/>
        <v>4446.6826880303997</v>
      </c>
      <c r="S253" s="126">
        <f t="shared" si="59"/>
        <v>1082.8276880304002</v>
      </c>
      <c r="T253" s="126">
        <f t="shared" si="69"/>
        <v>354.09</v>
      </c>
      <c r="U253" s="127">
        <f>(((IF(K253="New",0,SUMIF('MPG Payment '!$E$3:$E$34579,'Shayak Income '!D253,'MPG Payment '!$AC$3:$AC$34579))))+0)+0</f>
        <v>0</v>
      </c>
      <c r="V253" s="127">
        <f t="shared" si="70"/>
        <v>6816</v>
      </c>
      <c r="W253" s="19">
        <f t="shared" si="71"/>
        <v>0</v>
      </c>
      <c r="X253" s="19">
        <f t="shared" si="60"/>
        <v>0</v>
      </c>
      <c r="Y253" s="128">
        <f>IFERROR(VLOOKUP(D253,'Monthly Deduction'!$M$2:$N$64,2,0),0)</f>
        <v>0</v>
      </c>
      <c r="Z253" s="128">
        <v>0</v>
      </c>
      <c r="AA253" s="126">
        <f>IFERROR(VLOOKUP(D253,'Monthly Deduction'!A:B,2,0),0)</f>
        <v>0</v>
      </c>
      <c r="AB253" s="129">
        <f t="shared" si="61"/>
        <v>6816</v>
      </c>
      <c r="AC253" s="130">
        <v>0</v>
      </c>
      <c r="AD253" s="35">
        <f t="shared" si="72"/>
        <v>6816</v>
      </c>
      <c r="AE253" s="166" t="str">
        <f t="shared" si="73"/>
        <v>Release</v>
      </c>
      <c r="AF253" s="127"/>
      <c r="AG253" s="18">
        <v>0</v>
      </c>
      <c r="AH253" s="132"/>
      <c r="AI253" s="238">
        <v>0</v>
      </c>
      <c r="AJ253" s="132"/>
      <c r="AK253" s="151">
        <v>1130.0999999999999</v>
      </c>
      <c r="AL253" s="154">
        <f t="shared" si="62"/>
        <v>0</v>
      </c>
      <c r="AM253" s="155"/>
      <c r="AN253" s="19">
        <f t="shared" si="63"/>
        <v>0</v>
      </c>
      <c r="AO253" s="118">
        <f>SUMIF('MPG Payment '!E:E,'Shayak Income '!D253,'MPG Payment '!AJ:AJ)</f>
        <v>0</v>
      </c>
      <c r="AP253" s="19">
        <f t="shared" si="64"/>
        <v>0</v>
      </c>
      <c r="AQ253" s="119">
        <f t="shared" si="74"/>
        <v>0</v>
      </c>
      <c r="AR253" s="91" t="s">
        <v>1168</v>
      </c>
      <c r="AS253" s="91">
        <f t="shared" si="65"/>
        <v>0</v>
      </c>
      <c r="AT253" s="118"/>
      <c r="AU253" s="118"/>
      <c r="AV253" s="118"/>
    </row>
    <row r="254" spans="1:48" s="20" customFormat="1" x14ac:dyDescent="0.25">
      <c r="A254" s="17">
        <f>IFERROR(VLOOKUP(D254,'Monthly Deduction'!$I$3:$J$957,2,0),0)</f>
        <v>0</v>
      </c>
      <c r="B254" s="17">
        <f>IFERROR(VLOOKUP(D254,'Monthly Deduction'!$E$3:$F$957,2,0),0)</f>
        <v>1267.2506804474842</v>
      </c>
      <c r="C254" s="17">
        <f t="shared" si="66"/>
        <v>1267.2506804474842</v>
      </c>
      <c r="D254" s="41">
        <v>10090022</v>
      </c>
      <c r="E254" s="122" t="str">
        <f>VLOOKUP(D254,'MPG Payment '!$E$3:$G$498218,2,0)</f>
        <v>BISANPUR</v>
      </c>
      <c r="F254" s="146">
        <f>IFERROR(_xlfn.XLOOKUP(D254,'Monthly Deduction'!$I$3:$I$957,'Monthly Deduction'!$H$3:$H$957),0)</f>
        <v>0</v>
      </c>
      <c r="G254" s="123" t="str">
        <f>VLOOKUP(D254,'MPG Payment '!$E$3:$G$334579,3,0)</f>
        <v>vlc</v>
      </c>
      <c r="H254" s="124" t="str">
        <f>VLOOKUP(D254,'MPG Payment '!$E$3:$H$334579,4,0)</f>
        <v>Indirect</v>
      </c>
      <c r="I254" s="88">
        <f>INDEX('MPG Payment '!$C:$C,MATCH('Shayak Income '!D254,'MPG Payment '!E:E,0))</f>
        <v>1009</v>
      </c>
      <c r="J254" s="88" t="str">
        <f>INDEX('MPG Payment '!$D:$D,MATCH('Shayak Income '!D254,'MPG Payment '!E:E,0))</f>
        <v>Halsi</v>
      </c>
      <c r="K254" s="125" t="s">
        <v>1322</v>
      </c>
      <c r="L254" s="125">
        <v>44680</v>
      </c>
      <c r="M254" s="126">
        <f>SUMIF('MPG Payment '!$E$3:$E$34579,'Shayak Income '!D254,'MPG Payment '!$I$3:$I$34579)</f>
        <v>1929.6000000000001</v>
      </c>
      <c r="N254" s="126">
        <f>SUMIF('MPG Payment '!$E$3:$E$34579,'Shayak Income '!D254,'MPG Payment '!$J$3:$J$34579)</f>
        <v>75792.057509488004</v>
      </c>
      <c r="O254" s="126">
        <f t="shared" si="67"/>
        <v>1447.2</v>
      </c>
      <c r="P254" s="126">
        <f t="shared" si="68"/>
        <v>1833.1200000000001</v>
      </c>
      <c r="Q254" s="126">
        <f>SUMIF('MPG Payment '!$E$3:$E$34579,'Shayak Income '!D254,'MPG Payment '!$S$3:$S$34579)</f>
        <v>0</v>
      </c>
      <c r="R254" s="126">
        <f t="shared" si="58"/>
        <v>2273.7617252846399</v>
      </c>
      <c r="S254" s="126">
        <f t="shared" si="59"/>
        <v>440.64172528463973</v>
      </c>
      <c r="T254" s="126">
        <f t="shared" si="69"/>
        <v>192.96000000000004</v>
      </c>
      <c r="U254" s="127">
        <f>(((IF(K254="New",0,SUMIF('MPG Payment '!$E$3:$E$34579,'Shayak Income '!D254,'MPG Payment '!$AC$3:$AC$34579))))+0)+0</f>
        <v>685.06772826660892</v>
      </c>
      <c r="V254" s="127">
        <f t="shared" si="70"/>
        <v>2402</v>
      </c>
      <c r="W254" s="19">
        <f t="shared" si="71"/>
        <v>0</v>
      </c>
      <c r="X254" s="19">
        <f t="shared" si="60"/>
        <v>1267.2506804474842</v>
      </c>
      <c r="Y254" s="128">
        <f>IFERROR(VLOOKUP(D254,'Monthly Deduction'!$M$2:$N$64,2,0),0)</f>
        <v>0</v>
      </c>
      <c r="Z254" s="128">
        <v>0</v>
      </c>
      <c r="AA254" s="126">
        <f>IFERROR(VLOOKUP(D254,'Monthly Deduction'!A:B,2,0),0)</f>
        <v>0</v>
      </c>
      <c r="AB254" s="129">
        <f t="shared" si="61"/>
        <v>1135</v>
      </c>
      <c r="AC254" s="130">
        <v>0</v>
      </c>
      <c r="AD254" s="35">
        <f t="shared" si="72"/>
        <v>1135</v>
      </c>
      <c r="AE254" s="166" t="str">
        <f t="shared" si="73"/>
        <v>Release</v>
      </c>
      <c r="AF254" s="127"/>
      <c r="AG254" s="18">
        <v>0</v>
      </c>
      <c r="AH254" s="120"/>
      <c r="AI254" s="238">
        <v>0</v>
      </c>
      <c r="AJ254" s="132"/>
      <c r="AK254" s="151">
        <v>501.9</v>
      </c>
      <c r="AL254" s="154">
        <f t="shared" si="62"/>
        <v>0</v>
      </c>
      <c r="AM254" s="155"/>
      <c r="AN254" s="19">
        <f t="shared" si="63"/>
        <v>0</v>
      </c>
      <c r="AO254" s="118">
        <f>SUMIF('MPG Payment '!E:E,'Shayak Income '!D254,'MPG Payment '!AJ:AJ)</f>
        <v>0</v>
      </c>
      <c r="AP254" s="19">
        <f t="shared" si="64"/>
        <v>0</v>
      </c>
      <c r="AQ254" s="119">
        <f t="shared" si="74"/>
        <v>0</v>
      </c>
      <c r="AR254" s="91" t="s">
        <v>1168</v>
      </c>
      <c r="AS254" s="91">
        <f t="shared" si="65"/>
        <v>0</v>
      </c>
      <c r="AT254" s="118"/>
      <c r="AU254" s="118"/>
      <c r="AV254" s="118"/>
    </row>
    <row r="255" spans="1:48" s="20" customFormat="1" x14ac:dyDescent="0.25">
      <c r="A255" s="17">
        <f>IFERROR(VLOOKUP(D255,'Monthly Deduction'!$I$3:$J$957,2,0),0)</f>
        <v>0</v>
      </c>
      <c r="B255" s="17">
        <f>IFERROR(VLOOKUP(D255,'Monthly Deduction'!$E$3:$F$957,2,0),0)</f>
        <v>0</v>
      </c>
      <c r="C255" s="17">
        <f t="shared" si="66"/>
        <v>0</v>
      </c>
      <c r="D255" s="41">
        <v>10090024</v>
      </c>
      <c r="E255" s="122" t="str">
        <f>VLOOKUP(D255,'MPG Payment '!$E$3:$G$498218,2,0)</f>
        <v>BEHRAMA</v>
      </c>
      <c r="F255" s="146">
        <f>IFERROR(_xlfn.XLOOKUP(D255,'Monthly Deduction'!$I$3:$I$957,'Monthly Deduction'!$H$3:$H$957),0)</f>
        <v>0</v>
      </c>
      <c r="G255" s="123" t="str">
        <f>VLOOKUP(D255,'MPG Payment '!$E$3:$G$334579,3,0)</f>
        <v>vlc</v>
      </c>
      <c r="H255" s="124" t="str">
        <f>VLOOKUP(D255,'MPG Payment '!$E$3:$H$334579,4,0)</f>
        <v>Indirect</v>
      </c>
      <c r="I255" s="88">
        <f>INDEX('MPG Payment '!$C:$C,MATCH('Shayak Income '!D255,'MPG Payment '!E:E,0))</f>
        <v>1009</v>
      </c>
      <c r="J255" s="88" t="str">
        <f>INDEX('MPG Payment '!$D:$D,MATCH('Shayak Income '!D255,'MPG Payment '!E:E,0))</f>
        <v>Halsi</v>
      </c>
      <c r="K255" s="125" t="s">
        <v>1322</v>
      </c>
      <c r="L255" s="125">
        <v>44722</v>
      </c>
      <c r="M255" s="126">
        <f>SUMIF('MPG Payment '!$E$3:$E$34579,'Shayak Income '!D255,'MPG Payment '!$I$3:$I$34579)</f>
        <v>1311.8</v>
      </c>
      <c r="N255" s="126">
        <f>SUMIF('MPG Payment '!$E$3:$E$34579,'Shayak Income '!D255,'MPG Payment '!$J$3:$J$34579)</f>
        <v>49375.701260618</v>
      </c>
      <c r="O255" s="126">
        <f t="shared" si="67"/>
        <v>983.84999999999991</v>
      </c>
      <c r="P255" s="126">
        <f t="shared" si="68"/>
        <v>1246.2099999999998</v>
      </c>
      <c r="Q255" s="126">
        <f>SUMIF('MPG Payment '!$E$3:$E$34579,'Shayak Income '!D255,'MPG Payment '!$S$3:$S$34579)</f>
        <v>0</v>
      </c>
      <c r="R255" s="126">
        <f t="shared" si="58"/>
        <v>1481.27103781854</v>
      </c>
      <c r="S255" s="126">
        <f t="shared" si="59"/>
        <v>235.06103781854017</v>
      </c>
      <c r="T255" s="126">
        <f t="shared" si="69"/>
        <v>131.18</v>
      </c>
      <c r="U255" s="127">
        <f>(((IF(K255="New",0,SUMIF('MPG Payment '!$E$3:$E$34579,'Shayak Income '!D255,'MPG Payment '!$AC$3:$AC$34579))))+0)+0</f>
        <v>1118.8636201869622</v>
      </c>
      <c r="V255" s="127">
        <f t="shared" si="70"/>
        <v>980</v>
      </c>
      <c r="W255" s="19">
        <f t="shared" si="71"/>
        <v>0</v>
      </c>
      <c r="X255" s="19">
        <f t="shared" si="60"/>
        <v>0</v>
      </c>
      <c r="Y255" s="128">
        <f>IFERROR(VLOOKUP(D255,'Monthly Deduction'!$M$2:$N$64,2,0),0)</f>
        <v>0</v>
      </c>
      <c r="Z255" s="128">
        <v>0</v>
      </c>
      <c r="AA255" s="126">
        <f>IFERROR(VLOOKUP(D255,'Monthly Deduction'!A:B,2,0),0)</f>
        <v>0</v>
      </c>
      <c r="AB255" s="129">
        <f t="shared" si="61"/>
        <v>980</v>
      </c>
      <c r="AC255" s="130">
        <v>0</v>
      </c>
      <c r="AD255" s="35">
        <f t="shared" si="72"/>
        <v>980</v>
      </c>
      <c r="AE255" s="166" t="str">
        <f t="shared" si="73"/>
        <v>Release</v>
      </c>
      <c r="AF255" s="127"/>
      <c r="AG255" s="18">
        <v>0</v>
      </c>
      <c r="AH255" s="120"/>
      <c r="AI255" s="238">
        <v>0</v>
      </c>
      <c r="AJ255" s="132"/>
      <c r="AK255" s="151">
        <v>233.70000000000002</v>
      </c>
      <c r="AL255" s="154">
        <f t="shared" si="62"/>
        <v>0</v>
      </c>
      <c r="AM255" s="155"/>
      <c r="AN255" s="19">
        <f t="shared" si="63"/>
        <v>0</v>
      </c>
      <c r="AO255" s="118">
        <f>SUMIF('MPG Payment '!E:E,'Shayak Income '!D255,'MPG Payment '!AJ:AJ)</f>
        <v>0</v>
      </c>
      <c r="AP255" s="19">
        <f t="shared" si="64"/>
        <v>0</v>
      </c>
      <c r="AQ255" s="119">
        <f t="shared" si="74"/>
        <v>0</v>
      </c>
      <c r="AR255" s="91" t="s">
        <v>1168</v>
      </c>
      <c r="AS255" s="91">
        <f t="shared" si="65"/>
        <v>0</v>
      </c>
      <c r="AT255" s="118"/>
      <c r="AU255" s="118"/>
      <c r="AV255" s="118"/>
    </row>
    <row r="256" spans="1:48" s="20" customFormat="1" x14ac:dyDescent="0.25">
      <c r="A256" s="17">
        <f>IFERROR(VLOOKUP(D256,'Monthly Deduction'!$I$3:$J$957,2,0),0)</f>
        <v>0</v>
      </c>
      <c r="B256" s="17">
        <f>IFERROR(VLOOKUP(D256,'Monthly Deduction'!$E$3:$F$957,2,0),0)</f>
        <v>0</v>
      </c>
      <c r="C256" s="17">
        <f t="shared" si="66"/>
        <v>0</v>
      </c>
      <c r="D256" s="41">
        <v>10090025</v>
      </c>
      <c r="E256" s="122" t="str">
        <f>VLOOKUP(D256,'MPG Payment '!$E$3:$G$498218,2,0)</f>
        <v>Gomukh ID Mathurapur</v>
      </c>
      <c r="F256" s="146">
        <f>IFERROR(_xlfn.XLOOKUP(D256,'Monthly Deduction'!$I$3:$I$957,'Monthly Deduction'!$H$3:$H$957),0)</f>
        <v>0</v>
      </c>
      <c r="G256" s="123" t="str">
        <f>VLOOKUP(D256,'MPG Payment '!$E$3:$G$334579,3,0)</f>
        <v>vlc</v>
      </c>
      <c r="H256" s="124" t="str">
        <f>VLOOKUP(D256,'MPG Payment '!$E$3:$H$334579,4,0)</f>
        <v>Indirect</v>
      </c>
      <c r="I256" s="88">
        <f>INDEX('MPG Payment '!$C:$C,MATCH('Shayak Income '!D256,'MPG Payment '!E:E,0))</f>
        <v>1009</v>
      </c>
      <c r="J256" s="88" t="str">
        <f>INDEX('MPG Payment '!$D:$D,MATCH('Shayak Income '!D256,'MPG Payment '!E:E,0))</f>
        <v>Halsi</v>
      </c>
      <c r="K256" s="125" t="s">
        <v>1322</v>
      </c>
      <c r="L256" s="125">
        <v>44835</v>
      </c>
      <c r="M256" s="126">
        <f>SUMIF('MPG Payment '!$E$3:$E$34579,'Shayak Income '!D256,'MPG Payment '!$I$3:$I$34579)</f>
        <v>3113.1</v>
      </c>
      <c r="N256" s="126">
        <f>SUMIF('MPG Payment '!$E$3:$E$34579,'Shayak Income '!D256,'MPG Payment '!$J$3:$J$34579)</f>
        <v>119108.84821926801</v>
      </c>
      <c r="O256" s="126">
        <f t="shared" si="67"/>
        <v>2334.8249999999998</v>
      </c>
      <c r="P256" s="126">
        <f t="shared" si="68"/>
        <v>2957.4449999999997</v>
      </c>
      <c r="Q256" s="126">
        <f>SUMIF('MPG Payment '!$E$3:$E$34579,'Shayak Income '!D256,'MPG Payment '!$S$3:$S$34579)</f>
        <v>0</v>
      </c>
      <c r="R256" s="126">
        <f t="shared" si="58"/>
        <v>3573.2654465780402</v>
      </c>
      <c r="S256" s="126">
        <f t="shared" si="59"/>
        <v>615.82044657804045</v>
      </c>
      <c r="T256" s="126">
        <f t="shared" si="69"/>
        <v>311.31</v>
      </c>
      <c r="U256" s="127">
        <f>(((IF(K256="New",0,SUMIF('MPG Payment '!$E$3:$E$34579,'Shayak Income '!D256,'MPG Payment '!$AC$3:$AC$34579))))+0)+0</f>
        <v>217.64060354098245</v>
      </c>
      <c r="V256" s="127">
        <f t="shared" si="70"/>
        <v>4763</v>
      </c>
      <c r="W256" s="19">
        <f t="shared" si="71"/>
        <v>0</v>
      </c>
      <c r="X256" s="19">
        <f t="shared" si="60"/>
        <v>0</v>
      </c>
      <c r="Y256" s="128">
        <f>IFERROR(VLOOKUP(D256,'Monthly Deduction'!$M$2:$N$64,2,0),0)</f>
        <v>0</v>
      </c>
      <c r="Z256" s="128">
        <v>0</v>
      </c>
      <c r="AA256" s="126">
        <f>IFERROR(VLOOKUP(D256,'Monthly Deduction'!A:B,2,0),0)</f>
        <v>0</v>
      </c>
      <c r="AB256" s="129">
        <f t="shared" si="61"/>
        <v>4763</v>
      </c>
      <c r="AC256" s="130">
        <v>0</v>
      </c>
      <c r="AD256" s="35">
        <f t="shared" si="72"/>
        <v>4763</v>
      </c>
      <c r="AE256" s="166" t="str">
        <f t="shared" si="73"/>
        <v>Release</v>
      </c>
      <c r="AF256" s="127"/>
      <c r="AG256" s="127">
        <v>0</v>
      </c>
      <c r="AH256" s="120"/>
      <c r="AI256" s="238">
        <v>0</v>
      </c>
      <c r="AJ256" s="132"/>
      <c r="AK256" s="151">
        <v>554.6</v>
      </c>
      <c r="AL256" s="154">
        <f t="shared" si="62"/>
        <v>0</v>
      </c>
      <c r="AM256" s="155"/>
      <c r="AN256" s="19">
        <f t="shared" si="63"/>
        <v>0</v>
      </c>
      <c r="AO256" s="118">
        <f>SUMIF('MPG Payment '!E:E,'Shayak Income '!D256,'MPG Payment '!AJ:AJ)</f>
        <v>0</v>
      </c>
      <c r="AP256" s="19">
        <f t="shared" si="64"/>
        <v>0</v>
      </c>
      <c r="AQ256" s="119">
        <f t="shared" si="74"/>
        <v>0</v>
      </c>
      <c r="AR256" s="91" t="s">
        <v>1168</v>
      </c>
      <c r="AS256" s="91">
        <f t="shared" si="65"/>
        <v>0</v>
      </c>
      <c r="AT256" s="118"/>
      <c r="AU256" s="118"/>
      <c r="AV256" s="118"/>
    </row>
    <row r="257" spans="1:48" s="20" customFormat="1" x14ac:dyDescent="0.25">
      <c r="A257" s="17">
        <f>IFERROR(VLOOKUP(D257,'Monthly Deduction'!$I$3:$J$957,2,0),0)</f>
        <v>0</v>
      </c>
      <c r="B257" s="17">
        <f>IFERROR(VLOOKUP(D257,'Monthly Deduction'!$E$3:$F$957,2,0),0)</f>
        <v>0</v>
      </c>
      <c r="C257" s="17">
        <f t="shared" si="66"/>
        <v>0</v>
      </c>
      <c r="D257" s="41">
        <v>10090027</v>
      </c>
      <c r="E257" s="122" t="str">
        <f>VLOOKUP(D257,'MPG Payment '!$E$3:$G$498218,2,0)</f>
        <v>Gomukh ID Kurha Dih</v>
      </c>
      <c r="F257" s="146">
        <f>IFERROR(_xlfn.XLOOKUP(D257,'Monthly Deduction'!$I$3:$I$957,'Monthly Deduction'!$H$3:$H$957),0)</f>
        <v>0</v>
      </c>
      <c r="G257" s="123" t="str">
        <f>VLOOKUP(D257,'MPG Payment '!$E$3:$G$334579,3,0)</f>
        <v>vlc</v>
      </c>
      <c r="H257" s="124" t="str">
        <f>VLOOKUP(D257,'MPG Payment '!$E$3:$H$334579,4,0)</f>
        <v>Indirect</v>
      </c>
      <c r="I257" s="88">
        <f>INDEX('MPG Payment '!$C:$C,MATCH('Shayak Income '!D257,'MPG Payment '!E:E,0))</f>
        <v>1009</v>
      </c>
      <c r="J257" s="88" t="str">
        <f>INDEX('MPG Payment '!$D:$D,MATCH('Shayak Income '!D257,'MPG Payment '!E:E,0))</f>
        <v>Halsi</v>
      </c>
      <c r="K257" s="125" t="s">
        <v>1322</v>
      </c>
      <c r="L257" s="125">
        <v>44866</v>
      </c>
      <c r="M257" s="126">
        <f>SUMIF('MPG Payment '!$E$3:$E$34579,'Shayak Income '!D257,'MPG Payment '!$I$3:$I$34579)</f>
        <v>5969.7000000000007</v>
      </c>
      <c r="N257" s="126">
        <f>SUMIF('MPG Payment '!$E$3:$E$34579,'Shayak Income '!D257,'MPG Payment '!$J$3:$J$34579)</f>
        <v>250720.64355253498</v>
      </c>
      <c r="O257" s="126">
        <f t="shared" si="67"/>
        <v>4477.2750000000005</v>
      </c>
      <c r="P257" s="126">
        <f t="shared" si="68"/>
        <v>5671.2150000000001</v>
      </c>
      <c r="Q257" s="126">
        <f>SUMIF('MPG Payment '!$E$3:$E$34579,'Shayak Income '!D257,'MPG Payment '!$S$3:$S$34579)</f>
        <v>0</v>
      </c>
      <c r="R257" s="126">
        <f t="shared" si="58"/>
        <v>7521.619306576049</v>
      </c>
      <c r="S257" s="126">
        <f t="shared" si="59"/>
        <v>1850.4043065760488</v>
      </c>
      <c r="T257" s="126">
        <f t="shared" si="69"/>
        <v>596.97000000000014</v>
      </c>
      <c r="U257" s="127">
        <f>(((IF(K257="New",0,SUMIF('MPG Payment '!$E$3:$E$34579,'Shayak Income '!D257,'MPG Payment '!$AC$3:$AC$34579))))+0)+0</f>
        <v>0</v>
      </c>
      <c r="V257" s="127">
        <f t="shared" si="70"/>
        <v>9552</v>
      </c>
      <c r="W257" s="19">
        <f t="shared" si="71"/>
        <v>0</v>
      </c>
      <c r="X257" s="19">
        <f t="shared" si="60"/>
        <v>0</v>
      </c>
      <c r="Y257" s="128">
        <f>IFERROR(VLOOKUP(D257,'Monthly Deduction'!$M$2:$N$64,2,0),0)</f>
        <v>0</v>
      </c>
      <c r="Z257" s="128">
        <v>0</v>
      </c>
      <c r="AA257" s="126">
        <f>IFERROR(VLOOKUP(D257,'Monthly Deduction'!A:B,2,0),0)</f>
        <v>0</v>
      </c>
      <c r="AB257" s="129">
        <f t="shared" si="61"/>
        <v>9552</v>
      </c>
      <c r="AC257" s="130">
        <v>0</v>
      </c>
      <c r="AD257" s="35">
        <f t="shared" si="72"/>
        <v>9552</v>
      </c>
      <c r="AE257" s="166" t="str">
        <f t="shared" si="73"/>
        <v>Release</v>
      </c>
      <c r="AF257" s="127"/>
      <c r="AG257" s="18">
        <v>0</v>
      </c>
      <c r="AH257" s="120"/>
      <c r="AI257" s="238">
        <v>0</v>
      </c>
      <c r="AJ257" s="132"/>
      <c r="AK257" s="151">
        <v>1879.1</v>
      </c>
      <c r="AL257" s="154">
        <f t="shared" si="62"/>
        <v>0</v>
      </c>
      <c r="AM257" s="155"/>
      <c r="AN257" s="19">
        <f t="shared" si="63"/>
        <v>0</v>
      </c>
      <c r="AO257" s="118">
        <f>SUMIF('MPG Payment '!E:E,'Shayak Income '!D257,'MPG Payment '!AJ:AJ)</f>
        <v>0</v>
      </c>
      <c r="AP257" s="19">
        <f t="shared" si="64"/>
        <v>0</v>
      </c>
      <c r="AQ257" s="119">
        <f t="shared" si="74"/>
        <v>0</v>
      </c>
      <c r="AR257" s="91" t="s">
        <v>1168</v>
      </c>
      <c r="AS257" s="91">
        <f t="shared" si="65"/>
        <v>0</v>
      </c>
      <c r="AT257" s="118"/>
      <c r="AU257" s="118"/>
      <c r="AV257" s="118"/>
    </row>
    <row r="258" spans="1:48" s="20" customFormat="1" x14ac:dyDescent="0.25">
      <c r="A258" s="17">
        <f>IFERROR(VLOOKUP(D258,'Monthly Deduction'!$I$3:$J$957,2,0),0)</f>
        <v>0</v>
      </c>
      <c r="B258" s="17">
        <f>IFERROR(VLOOKUP(D258,'Monthly Deduction'!$E$3:$F$957,2,0),0)</f>
        <v>7396.1422000000002</v>
      </c>
      <c r="C258" s="17">
        <f t="shared" si="66"/>
        <v>7396.1422000000002</v>
      </c>
      <c r="D258" s="41">
        <v>10090029</v>
      </c>
      <c r="E258" s="122" t="str">
        <f>VLOOKUP(D258,'MPG Payment '!$E$3:$G$498218,2,0)</f>
        <v>RAMNAGAR</v>
      </c>
      <c r="F258" s="146">
        <f>IFERROR(_xlfn.XLOOKUP(D258,'Monthly Deduction'!$I$3:$I$957,'Monthly Deduction'!$H$3:$H$957),0)</f>
        <v>0</v>
      </c>
      <c r="G258" s="123" t="str">
        <f>VLOOKUP(D258,'MPG Payment '!$E$3:$G$334579,3,0)</f>
        <v>MPG</v>
      </c>
      <c r="H258" s="124" t="str">
        <f>VLOOKUP(D258,'MPG Payment '!$E$3:$H$334579,4,0)</f>
        <v>Direct</v>
      </c>
      <c r="I258" s="88">
        <f>INDEX('MPG Payment '!$C:$C,MATCH('Shayak Income '!D258,'MPG Payment '!E:E,0))</f>
        <v>1009</v>
      </c>
      <c r="J258" s="88" t="str">
        <f>INDEX('MPG Payment '!$D:$D,MATCH('Shayak Income '!D258,'MPG Payment '!E:E,0))</f>
        <v>Halsi</v>
      </c>
      <c r="K258" s="125" t="s">
        <v>1322</v>
      </c>
      <c r="L258" s="125">
        <v>44967</v>
      </c>
      <c r="M258" s="126">
        <f>SUMIF('MPG Payment '!$E$3:$E$34579,'Shayak Income '!D258,'MPG Payment '!$I$3:$I$34579)</f>
        <v>2943.7</v>
      </c>
      <c r="N258" s="126">
        <f>SUMIF('MPG Payment '!$E$3:$E$34579,'Shayak Income '!D258,'MPG Payment '!$J$3:$J$34579)</f>
        <v>123734.54925826001</v>
      </c>
      <c r="O258" s="126">
        <f t="shared" si="67"/>
        <v>2207.7749999999996</v>
      </c>
      <c r="P258" s="126">
        <f t="shared" si="68"/>
        <v>2796.5149999999999</v>
      </c>
      <c r="Q258" s="126">
        <f>SUMIF('MPG Payment '!$E$3:$E$34579,'Shayak Income '!D258,'MPG Payment '!$S$3:$S$34579)</f>
        <v>1255.7884662360002</v>
      </c>
      <c r="R258" s="126">
        <f t="shared" si="58"/>
        <v>3712.0364777478003</v>
      </c>
      <c r="S258" s="126">
        <f t="shared" si="59"/>
        <v>915.52147774780042</v>
      </c>
      <c r="T258" s="126">
        <f t="shared" si="69"/>
        <v>294.37</v>
      </c>
      <c r="U258" s="127">
        <f>(((IF(K258="New",0,SUMIF('MPG Payment '!$E$3:$E$34579,'Shayak Income '!D258,'MPG Payment '!$AC$3:$AC$34579))))+0)+0</f>
        <v>5.1845511674834288</v>
      </c>
      <c r="V258" s="127">
        <f t="shared" si="70"/>
        <v>5961</v>
      </c>
      <c r="W258" s="19">
        <f t="shared" si="71"/>
        <v>0</v>
      </c>
      <c r="X258" s="19">
        <f t="shared" si="60"/>
        <v>2474.6909851652003</v>
      </c>
      <c r="Y258" s="128">
        <f>IFERROR(VLOOKUP(D258,'Monthly Deduction'!$M$2:$N$64,2,0),0)</f>
        <v>0</v>
      </c>
      <c r="Z258" s="128">
        <v>0</v>
      </c>
      <c r="AA258" s="126">
        <f>IFERROR(VLOOKUP(D258,'Monthly Deduction'!A:B,2,0),0)</f>
        <v>0</v>
      </c>
      <c r="AB258" s="129">
        <f t="shared" si="61"/>
        <v>3486</v>
      </c>
      <c r="AC258" s="130">
        <v>0</v>
      </c>
      <c r="AD258" s="35">
        <f t="shared" si="72"/>
        <v>3486</v>
      </c>
      <c r="AE258" s="166" t="str">
        <f t="shared" si="73"/>
        <v>Release</v>
      </c>
      <c r="AF258" s="127"/>
      <c r="AG258" s="18">
        <v>0</v>
      </c>
      <c r="AH258" s="120"/>
      <c r="AI258" s="238">
        <v>0</v>
      </c>
      <c r="AJ258" s="132"/>
      <c r="AK258" s="151">
        <v>756.5</v>
      </c>
      <c r="AL258" s="154">
        <f t="shared" si="62"/>
        <v>0</v>
      </c>
      <c r="AM258" s="155"/>
      <c r="AN258" s="19">
        <f t="shared" si="63"/>
        <v>0</v>
      </c>
      <c r="AO258" s="118">
        <f>SUMIF('MPG Payment '!E:E,'Shayak Income '!D258,'MPG Payment '!AJ:AJ)</f>
        <v>0</v>
      </c>
      <c r="AP258" s="19">
        <f t="shared" si="64"/>
        <v>0</v>
      </c>
      <c r="AQ258" s="119">
        <f t="shared" si="74"/>
        <v>0</v>
      </c>
      <c r="AR258" s="91" t="s">
        <v>1168</v>
      </c>
      <c r="AS258" s="91">
        <f t="shared" si="65"/>
        <v>4921.4512148348003</v>
      </c>
      <c r="AT258" s="118"/>
      <c r="AU258" s="118"/>
      <c r="AV258" s="118"/>
    </row>
    <row r="259" spans="1:48" s="20" customFormat="1" x14ac:dyDescent="0.25">
      <c r="A259" s="17">
        <f>IFERROR(VLOOKUP(D259,'Monthly Deduction'!$I$3:$J$957,2,0),0)</f>
        <v>0</v>
      </c>
      <c r="B259" s="17">
        <f>IFERROR(VLOOKUP(D259,'Monthly Deduction'!$E$3:$F$957,2,0),0)</f>
        <v>0</v>
      </c>
      <c r="C259" s="17">
        <f t="shared" si="66"/>
        <v>0</v>
      </c>
      <c r="D259" s="41">
        <v>10090033</v>
      </c>
      <c r="E259" s="122" t="str">
        <f>VLOOKUP(D259,'MPG Payment '!$E$3:$G$498218,2,0)</f>
        <v>SANDH MAAF 2</v>
      </c>
      <c r="F259" s="146">
        <f>IFERROR(_xlfn.XLOOKUP(D259,'Monthly Deduction'!$I$3:$I$957,'Monthly Deduction'!$H$3:$H$957),0)</f>
        <v>0</v>
      </c>
      <c r="G259" s="123" t="str">
        <f>VLOOKUP(D259,'MPG Payment '!$E$3:$G$334579,3,0)</f>
        <v>MPG</v>
      </c>
      <c r="H259" s="124" t="str">
        <f>VLOOKUP(D259,'MPG Payment '!$E$3:$H$334579,4,0)</f>
        <v>Direct</v>
      </c>
      <c r="I259" s="88">
        <f>INDEX('MPG Payment '!$C:$C,MATCH('Shayak Income '!D259,'MPG Payment '!E:E,0))</f>
        <v>1009</v>
      </c>
      <c r="J259" s="88" t="str">
        <f>INDEX('MPG Payment '!$D:$D,MATCH('Shayak Income '!D259,'MPG Payment '!E:E,0))</f>
        <v>Halsi</v>
      </c>
      <c r="K259" s="125" t="s">
        <v>1322</v>
      </c>
      <c r="L259" s="125">
        <v>45009</v>
      </c>
      <c r="M259" s="126">
        <f>SUMIF('MPG Payment '!$E$3:$E$34579,'Shayak Income '!D259,'MPG Payment '!$I$3:$I$34579)</f>
        <v>4136.5</v>
      </c>
      <c r="N259" s="126">
        <f>SUMIF('MPG Payment '!$E$3:$E$34579,'Shayak Income '!D259,'MPG Payment '!$J$3:$J$34579)</f>
        <v>195165.054318504</v>
      </c>
      <c r="O259" s="126">
        <f t="shared" si="67"/>
        <v>3102.375</v>
      </c>
      <c r="P259" s="126">
        <f t="shared" si="68"/>
        <v>3929.6749999999997</v>
      </c>
      <c r="Q259" s="126">
        <f>SUMIF('MPG Payment '!$E$3:$E$34579,'Shayak Income '!D259,'MPG Payment '!$S$3:$S$34579)</f>
        <v>1297.8743101861601</v>
      </c>
      <c r="R259" s="126">
        <f t="shared" si="58"/>
        <v>5854.9516295551202</v>
      </c>
      <c r="S259" s="126">
        <f t="shared" si="59"/>
        <v>1925.2766295551205</v>
      </c>
      <c r="T259" s="126">
        <f t="shared" si="69"/>
        <v>413.65000000000003</v>
      </c>
      <c r="U259" s="127">
        <f>(((IF(K259="New",0,SUMIF('MPG Payment '!$E$3:$E$34579,'Shayak Income '!D259,'MPG Payment '!$AC$3:$AC$34579))))+0)+0</f>
        <v>0</v>
      </c>
      <c r="V259" s="127">
        <f t="shared" si="70"/>
        <v>7916</v>
      </c>
      <c r="W259" s="19">
        <f t="shared" si="71"/>
        <v>0</v>
      </c>
      <c r="X259" s="19">
        <f t="shared" si="60"/>
        <v>0</v>
      </c>
      <c r="Y259" s="128">
        <f>IFERROR(VLOOKUP(D259,'Monthly Deduction'!$M$2:$N$64,2,0),0)</f>
        <v>0</v>
      </c>
      <c r="Z259" s="128">
        <v>0</v>
      </c>
      <c r="AA259" s="126">
        <f>IFERROR(VLOOKUP(D259,'Monthly Deduction'!A:B,2,0),0)</f>
        <v>0</v>
      </c>
      <c r="AB259" s="129">
        <f t="shared" si="61"/>
        <v>7916</v>
      </c>
      <c r="AC259" s="130">
        <v>0</v>
      </c>
      <c r="AD259" s="35">
        <f t="shared" si="72"/>
        <v>7916</v>
      </c>
      <c r="AE259" s="166" t="str">
        <f t="shared" si="73"/>
        <v>Release</v>
      </c>
      <c r="AF259" s="127"/>
      <c r="AG259" s="18">
        <v>0</v>
      </c>
      <c r="AH259" s="120"/>
      <c r="AI259" s="238">
        <v>0</v>
      </c>
      <c r="AJ259" s="132"/>
      <c r="AK259" s="151">
        <v>984.00000000000011</v>
      </c>
      <c r="AL259" s="154">
        <f t="shared" si="62"/>
        <v>0</v>
      </c>
      <c r="AM259" s="155"/>
      <c r="AN259" s="19">
        <f t="shared" si="63"/>
        <v>0</v>
      </c>
      <c r="AO259" s="118">
        <f>SUMIF('MPG Payment '!E:E,'Shayak Income '!D259,'MPG Payment '!AJ:AJ)</f>
        <v>0</v>
      </c>
      <c r="AP259" s="19">
        <f t="shared" si="64"/>
        <v>0</v>
      </c>
      <c r="AQ259" s="119">
        <f t="shared" si="74"/>
        <v>0</v>
      </c>
      <c r="AR259" s="91" t="s">
        <v>1168</v>
      </c>
      <c r="AS259" s="91">
        <f t="shared" si="65"/>
        <v>0</v>
      </c>
      <c r="AT259" s="118"/>
      <c r="AU259" s="118"/>
      <c r="AV259" s="118"/>
    </row>
    <row r="260" spans="1:48" s="20" customFormat="1" x14ac:dyDescent="0.25">
      <c r="A260" s="17">
        <f>IFERROR(VLOOKUP(D260,'Monthly Deduction'!$I$3:$J$957,2,0),0)</f>
        <v>0</v>
      </c>
      <c r="B260" s="17">
        <f>IFERROR(VLOOKUP(D260,'Monthly Deduction'!$E$3:$F$957,2,0),0)</f>
        <v>0</v>
      </c>
      <c r="C260" s="17">
        <f t="shared" si="66"/>
        <v>0</v>
      </c>
      <c r="D260" s="41">
        <v>10090034</v>
      </c>
      <c r="E260" s="122" t="str">
        <f>VLOOKUP(D260,'MPG Payment '!$E$3:$G$498218,2,0)</f>
        <v xml:space="preserve">BHATTA                                                                                              </v>
      </c>
      <c r="F260" s="146">
        <f>IFERROR(_xlfn.XLOOKUP(D260,'Monthly Deduction'!$I$3:$I$957,'Monthly Deduction'!$H$3:$H$957),0)</f>
        <v>0</v>
      </c>
      <c r="G260" s="123" t="str">
        <f>VLOOKUP(D260,'MPG Payment '!$E$3:$G$334579,3,0)</f>
        <v>MPG</v>
      </c>
      <c r="H260" s="124" t="str">
        <f>VLOOKUP(D260,'MPG Payment '!$E$3:$H$334579,4,0)</f>
        <v>Direct</v>
      </c>
      <c r="I260" s="88">
        <f>INDEX('MPG Payment '!$C:$C,MATCH('Shayak Income '!D260,'MPG Payment '!E:E,0))</f>
        <v>1009</v>
      </c>
      <c r="J260" s="88" t="str">
        <f>INDEX('MPG Payment '!$D:$D,MATCH('Shayak Income '!D260,'MPG Payment '!E:E,0))</f>
        <v>Halsi</v>
      </c>
      <c r="K260" s="125" t="s">
        <v>1322</v>
      </c>
      <c r="L260" s="125">
        <v>45021</v>
      </c>
      <c r="M260" s="126">
        <f>SUMIF('MPG Payment '!$E$3:$E$34579,'Shayak Income '!D260,'MPG Payment '!$I$3:$I$34579)</f>
        <v>741</v>
      </c>
      <c r="N260" s="126">
        <f>SUMIF('MPG Payment '!$E$3:$E$34579,'Shayak Income '!D260,'MPG Payment '!$J$3:$J$34579)</f>
        <v>29879.719999999994</v>
      </c>
      <c r="O260" s="126">
        <f t="shared" si="67"/>
        <v>555.75</v>
      </c>
      <c r="P260" s="126">
        <f t="shared" si="68"/>
        <v>703.94999999999993</v>
      </c>
      <c r="Q260" s="126">
        <f>SUMIF('MPG Payment '!$E$3:$E$34579,'Shayak Income '!D260,'MPG Payment '!$S$3:$S$34579)</f>
        <v>112.73107428</v>
      </c>
      <c r="R260" s="126">
        <f t="shared" ref="R260:R323" si="76">+N260*3%</f>
        <v>896.39159999999981</v>
      </c>
      <c r="S260" s="126">
        <f t="shared" ref="S260:S323" si="77">R260-P260</f>
        <v>192.44159999999988</v>
      </c>
      <c r="T260" s="126">
        <f t="shared" si="69"/>
        <v>74.100000000000009</v>
      </c>
      <c r="U260" s="127">
        <f>(((IF(K260="New",0,SUMIF('MPG Payment '!$E$3:$E$34579,'Shayak Income '!D260,'MPG Payment '!$AC$3:$AC$34579))))+0)+0</f>
        <v>0</v>
      </c>
      <c r="V260" s="127">
        <f t="shared" si="70"/>
        <v>1298</v>
      </c>
      <c r="W260" s="19">
        <f t="shared" si="71"/>
        <v>0</v>
      </c>
      <c r="X260" s="19">
        <f t="shared" ref="X260:X322" si="78">((MIN(IF(B260&gt;0,MAX(N260*2%),0),B260)))+0</f>
        <v>0</v>
      </c>
      <c r="Y260" s="128">
        <f>IFERROR(VLOOKUP(D260,'Monthly Deduction'!$M$2:$N$64,2,0),0)</f>
        <v>0</v>
      </c>
      <c r="Z260" s="128">
        <v>0</v>
      </c>
      <c r="AA260" s="126">
        <f>IFERROR(VLOOKUP(D260,'Monthly Deduction'!A:B,2,0),0)</f>
        <v>0</v>
      </c>
      <c r="AB260" s="129">
        <f t="shared" ref="AB260:AB323" si="79">ROUND(IFERROR(V260-SUM(W260:AA260),0),0)</f>
        <v>1298</v>
      </c>
      <c r="AC260" s="130">
        <f>AB260</f>
        <v>1298</v>
      </c>
      <c r="AD260" s="35">
        <f t="shared" si="72"/>
        <v>0</v>
      </c>
      <c r="AE260" s="166" t="str">
        <f t="shared" si="73"/>
        <v>Yes</v>
      </c>
      <c r="AF260" s="127"/>
      <c r="AG260" s="127">
        <v>0</v>
      </c>
      <c r="AH260" s="132" t="s">
        <v>1648</v>
      </c>
      <c r="AI260" s="238">
        <v>0</v>
      </c>
      <c r="AJ260" s="132"/>
      <c r="AK260" s="151">
        <v>0</v>
      </c>
      <c r="AL260" s="154">
        <f t="shared" ref="AL260:AL323" si="80">COUNTIF(AK260:AK260,"=NA")</f>
        <v>0</v>
      </c>
      <c r="AM260" s="155"/>
      <c r="AN260" s="19">
        <f t="shared" ref="AN260:AN323" si="81">((MIN(IF(A260&gt;0,MAX(N260*2%,1861),0),A260)))+0</f>
        <v>0</v>
      </c>
      <c r="AO260" s="118">
        <f>SUMIF('MPG Payment '!E:E,'Shayak Income '!D260,'MPG Payment '!AJ:AJ)</f>
        <v>0</v>
      </c>
      <c r="AP260" s="19">
        <f t="shared" ref="AP260:AP323" si="82">W260</f>
        <v>0</v>
      </c>
      <c r="AQ260" s="119">
        <f t="shared" si="74"/>
        <v>0</v>
      </c>
      <c r="AR260" s="91" t="s">
        <v>1168</v>
      </c>
      <c r="AS260" s="91">
        <f t="shared" ref="AS260:AS323" si="83">B260-X260</f>
        <v>0</v>
      </c>
      <c r="AT260" s="118"/>
      <c r="AU260" s="118"/>
      <c r="AV260" s="118"/>
    </row>
    <row r="261" spans="1:48" s="20" customFormat="1" x14ac:dyDescent="0.25">
      <c r="A261" s="17">
        <f>IFERROR(VLOOKUP(D261,'Monthly Deduction'!$I$3:$J$957,2,0),0)</f>
        <v>1331.3646305343718</v>
      </c>
      <c r="B261" s="17">
        <f>IFERROR(VLOOKUP(D261,'Monthly Deduction'!$E$3:$F$957,2,0),0)</f>
        <v>12724.555199999999</v>
      </c>
      <c r="C261" s="17">
        <f t="shared" ref="C261:C324" si="84">A261+B261</f>
        <v>14055.919830534371</v>
      </c>
      <c r="D261" s="41">
        <v>10090036</v>
      </c>
      <c r="E261" s="122" t="str">
        <f>VLOOKUP(D261,'MPG Payment '!$E$3:$G$498218,2,0)</f>
        <v xml:space="preserve">TAAL-SHAHARSHA                                                                                      </v>
      </c>
      <c r="F261" s="146">
        <f>IFERROR(_xlfn.XLOOKUP(D261,'Monthly Deduction'!$I$3:$I$957,'Monthly Deduction'!$H$3:$H$957),0)</f>
        <v>0</v>
      </c>
      <c r="G261" s="123" t="str">
        <f>VLOOKUP(D261,'MPG Payment '!$E$3:$G$334579,3,0)</f>
        <v>MPG</v>
      </c>
      <c r="H261" s="124" t="str">
        <f>VLOOKUP(D261,'MPG Payment '!$E$3:$H$334579,4,0)</f>
        <v>Direct</v>
      </c>
      <c r="I261" s="88">
        <f>INDEX('MPG Payment '!$C:$C,MATCH('Shayak Income '!D261,'MPG Payment '!E:E,0))</f>
        <v>1009</v>
      </c>
      <c r="J261" s="88" t="str">
        <f>INDEX('MPG Payment '!$D:$D,MATCH('Shayak Income '!D261,'MPG Payment '!E:E,0))</f>
        <v>Halsi</v>
      </c>
      <c r="K261" s="125" t="s">
        <v>1322</v>
      </c>
      <c r="L261" s="125">
        <v>45052</v>
      </c>
      <c r="M261" s="126">
        <f>SUMIF('MPG Payment '!$E$3:$E$34579,'Shayak Income '!D261,'MPG Payment '!$I$3:$I$34579)</f>
        <v>299.83000000000004</v>
      </c>
      <c r="N261" s="126">
        <f>SUMIF('MPG Payment '!$E$3:$E$34579,'Shayak Income '!D261,'MPG Payment '!$J$3:$J$34579)</f>
        <v>10940.324723086002</v>
      </c>
      <c r="O261" s="126">
        <f t="shared" ref="O261:O324" si="85">+M261*0.75</f>
        <v>224.87250000000003</v>
      </c>
      <c r="P261" s="126">
        <f t="shared" ref="P261:P324" si="86">+M261*0.95</f>
        <v>284.83850000000001</v>
      </c>
      <c r="Q261" s="126">
        <f>SUMIF('MPG Payment '!$E$3:$E$34579,'Shayak Income '!D261,'MPG Payment '!$S$3:$S$34579)</f>
        <v>0</v>
      </c>
      <c r="R261" s="126">
        <f t="shared" si="76"/>
        <v>328.20974169258005</v>
      </c>
      <c r="S261" s="126">
        <f t="shared" si="77"/>
        <v>43.371241692580043</v>
      </c>
      <c r="T261" s="126">
        <f t="shared" ref="T261:T324" si="87">M261*0.1</f>
        <v>29.983000000000004</v>
      </c>
      <c r="U261" s="127">
        <f>(((IF(K261="New",0,SUMIF('MPG Payment '!$E$3:$E$34579,'Shayak Income '!D261,'MPG Payment '!$AC$3:$AC$34579))))+0)+-1338</f>
        <v>479.77263725618855</v>
      </c>
      <c r="V261" s="127">
        <f t="shared" ref="V261:V324" si="88">ROUND((SUM(O261:Q261)-SUM(T261:U261)),0)</f>
        <v>0</v>
      </c>
      <c r="W261" s="19">
        <v>0</v>
      </c>
      <c r="X261" s="19">
        <v>0</v>
      </c>
      <c r="Y261" s="128">
        <f>IFERROR(VLOOKUP(D261,'Monthly Deduction'!$M$2:$N$64,2,0),0)</f>
        <v>0</v>
      </c>
      <c r="Z261" s="128">
        <v>0</v>
      </c>
      <c r="AA261" s="126">
        <f>IFERROR(VLOOKUP(D261,'Monthly Deduction'!A:B,2,0),0)</f>
        <v>0</v>
      </c>
      <c r="AB261" s="129">
        <f t="shared" si="79"/>
        <v>0</v>
      </c>
      <c r="AC261" s="130">
        <v>0</v>
      </c>
      <c r="AD261" s="35">
        <f t="shared" ref="AD261:AD324" si="89">ROUND(AB261-AC261,0)</f>
        <v>0</v>
      </c>
      <c r="AE261" s="166" t="str">
        <f t="shared" ref="AE261:AE324" si="90">IF(AC261&lt;&gt;0,"Yes","Release")</f>
        <v>Release</v>
      </c>
      <c r="AF261" s="127"/>
      <c r="AG261" s="18">
        <v>0</v>
      </c>
      <c r="AH261" s="120"/>
      <c r="AI261" s="238">
        <v>0</v>
      </c>
      <c r="AJ261" s="132"/>
      <c r="AK261" s="151">
        <v>767.30000000000007</v>
      </c>
      <c r="AL261" s="154">
        <f t="shared" si="80"/>
        <v>0</v>
      </c>
      <c r="AM261" s="155"/>
      <c r="AN261" s="19">
        <f t="shared" si="81"/>
        <v>1331.3646305343718</v>
      </c>
      <c r="AO261" s="118">
        <f>SUMIF('MPG Payment '!E:E,'Shayak Income '!D261,'MPG Payment '!AJ:AJ)</f>
        <v>500</v>
      </c>
      <c r="AP261" s="19">
        <f t="shared" si="82"/>
        <v>0</v>
      </c>
      <c r="AQ261" s="119">
        <f t="shared" ref="AQ261:AQ324" si="91">AO261+AP261</f>
        <v>500</v>
      </c>
      <c r="AR261" s="91" t="s">
        <v>1168</v>
      </c>
      <c r="AS261" s="91">
        <f t="shared" si="83"/>
        <v>12724.555199999999</v>
      </c>
      <c r="AT261" s="118"/>
      <c r="AU261" s="118"/>
      <c r="AV261" s="118"/>
    </row>
    <row r="262" spans="1:48" s="20" customFormat="1" x14ac:dyDescent="0.25">
      <c r="A262" s="17">
        <f>IFERROR(VLOOKUP(D262,'Monthly Deduction'!$I$3:$J$957,2,0),0)</f>
        <v>9008.6673556754249</v>
      </c>
      <c r="B262" s="17">
        <f>IFERROR(VLOOKUP(D262,'Monthly Deduction'!$E$3:$F$957,2,0),0)</f>
        <v>18377</v>
      </c>
      <c r="C262" s="17">
        <f t="shared" si="84"/>
        <v>27385.667355675425</v>
      </c>
      <c r="D262" s="41">
        <v>10090037</v>
      </c>
      <c r="E262" s="122" t="str">
        <f>VLOOKUP(D262,'MPG Payment '!$E$3:$G$498218,2,0)</f>
        <v>Dhira</v>
      </c>
      <c r="F262" s="146">
        <f>IFERROR(_xlfn.XLOOKUP(D262,'Monthly Deduction'!$I$3:$I$957,'Monthly Deduction'!$H$3:$H$957),0)</f>
        <v>0</v>
      </c>
      <c r="G262" s="123" t="str">
        <f>VLOOKUP(D262,'MPG Payment '!$E$3:$G$334579,3,0)</f>
        <v>MPG</v>
      </c>
      <c r="H262" s="124" t="str">
        <f>VLOOKUP(D262,'MPG Payment '!$E$3:$H$334579,4,0)</f>
        <v>Direct</v>
      </c>
      <c r="I262" s="88">
        <f>INDEX('MPG Payment '!$C:$C,MATCH('Shayak Income '!D262,'MPG Payment '!E:E,0))</f>
        <v>1009</v>
      </c>
      <c r="J262" s="88" t="str">
        <f>INDEX('MPG Payment '!$D:$D,MATCH('Shayak Income '!D262,'MPG Payment '!E:E,0))</f>
        <v>Halsi</v>
      </c>
      <c r="K262" s="125" t="s">
        <v>1322</v>
      </c>
      <c r="L262" s="125">
        <v>45078</v>
      </c>
      <c r="M262" s="126">
        <f>SUMIF('MPG Payment '!$E$3:$E$34579,'Shayak Income '!D262,'MPG Payment '!$I$3:$I$34579)</f>
        <v>1852.2999999999997</v>
      </c>
      <c r="N262" s="126">
        <f>SUMIF('MPG Payment '!$E$3:$E$34579,'Shayak Income '!D262,'MPG Payment '!$J$3:$J$34579)</f>
        <v>83192.364724000014</v>
      </c>
      <c r="O262" s="126">
        <f t="shared" si="85"/>
        <v>1389.2249999999999</v>
      </c>
      <c r="P262" s="126">
        <f t="shared" si="86"/>
        <v>1759.6849999999997</v>
      </c>
      <c r="Q262" s="126">
        <f>SUMIF('MPG Payment '!$E$3:$E$34579,'Shayak Income '!D262,'MPG Payment '!$S$3:$S$34579)</f>
        <v>606.00183555900003</v>
      </c>
      <c r="R262" s="126">
        <f t="shared" si="76"/>
        <v>2495.7709417200003</v>
      </c>
      <c r="S262" s="126">
        <f t="shared" si="77"/>
        <v>736.08594172000062</v>
      </c>
      <c r="T262" s="126">
        <f t="shared" si="87"/>
        <v>185.23</v>
      </c>
      <c r="U262" s="127">
        <f>(((IF(K262="New",0,SUMIF('MPG Payment '!$E$3:$E$34579,'Shayak Income '!D262,'MPG Payment '!$AC$3:$AC$34579))))+0)+0</f>
        <v>842.96000730942308</v>
      </c>
      <c r="V262" s="127">
        <f t="shared" si="88"/>
        <v>2727</v>
      </c>
      <c r="W262" s="19">
        <f t="shared" ref="W262:W322" si="92">(((AN262-AO262)))+0</f>
        <v>1861</v>
      </c>
      <c r="X262" s="19">
        <v>0</v>
      </c>
      <c r="Y262" s="128">
        <v>866</v>
      </c>
      <c r="Z262" s="128">
        <v>0</v>
      </c>
      <c r="AA262" s="126">
        <v>0</v>
      </c>
      <c r="AB262" s="129">
        <f t="shared" si="79"/>
        <v>0</v>
      </c>
      <c r="AC262" s="130">
        <v>0</v>
      </c>
      <c r="AD262" s="35">
        <f t="shared" si="89"/>
        <v>0</v>
      </c>
      <c r="AE262" s="166" t="str">
        <f t="shared" si="90"/>
        <v>Release</v>
      </c>
      <c r="AF262" s="127"/>
      <c r="AG262" s="18">
        <v>0</v>
      </c>
      <c r="AH262" s="120"/>
      <c r="AI262" s="238">
        <v>0</v>
      </c>
      <c r="AJ262" s="132"/>
      <c r="AK262" s="151">
        <v>627.39999999999986</v>
      </c>
      <c r="AL262" s="154">
        <f t="shared" si="80"/>
        <v>0</v>
      </c>
      <c r="AM262" s="155"/>
      <c r="AN262" s="19">
        <f t="shared" si="81"/>
        <v>1861</v>
      </c>
      <c r="AO262" s="118">
        <f>SUMIF('MPG Payment '!E:E,'Shayak Income '!D262,'MPG Payment '!AJ:AJ)</f>
        <v>0</v>
      </c>
      <c r="AP262" s="19">
        <f t="shared" si="82"/>
        <v>1861</v>
      </c>
      <c r="AQ262" s="119">
        <f t="shared" si="91"/>
        <v>1861</v>
      </c>
      <c r="AR262" s="91" t="s">
        <v>1168</v>
      </c>
      <c r="AS262" s="91">
        <f t="shared" si="83"/>
        <v>18377</v>
      </c>
      <c r="AT262" s="118"/>
      <c r="AU262" s="118"/>
      <c r="AV262" s="118"/>
    </row>
    <row r="263" spans="1:48" s="20" customFormat="1" x14ac:dyDescent="0.25">
      <c r="A263" s="17">
        <f>IFERROR(VLOOKUP(D263,'Monthly Deduction'!$I$3:$J$957,2,0),0)</f>
        <v>0</v>
      </c>
      <c r="B263" s="17">
        <f>IFERROR(VLOOKUP(D263,'Monthly Deduction'!$E$3:$F$957,2,0),0)</f>
        <v>0</v>
      </c>
      <c r="C263" s="17">
        <f t="shared" si="84"/>
        <v>0</v>
      </c>
      <c r="D263" s="41">
        <v>10090041</v>
      </c>
      <c r="E263" s="122" t="str">
        <f>VLOOKUP(D263,'MPG Payment '!$E$3:$G$498218,2,0)</f>
        <v>AZADNAGAR(VLC)</v>
      </c>
      <c r="F263" s="146">
        <f>IFERROR(_xlfn.XLOOKUP(D263,'Monthly Deduction'!$I$3:$I$957,'Monthly Deduction'!$H$3:$H$957),0)</f>
        <v>0</v>
      </c>
      <c r="G263" s="123" t="str">
        <f>VLOOKUP(D263,'MPG Payment '!$E$3:$G$334579,3,0)</f>
        <v>vlc</v>
      </c>
      <c r="H263" s="124" t="str">
        <f>VLOOKUP(D263,'MPG Payment '!$E$3:$H$334579,4,0)</f>
        <v>Indirect</v>
      </c>
      <c r="I263" s="88">
        <f>INDEX('MPG Payment '!$C:$C,MATCH('Shayak Income '!D263,'MPG Payment '!E:E,0))</f>
        <v>1009</v>
      </c>
      <c r="J263" s="88" t="str">
        <f>INDEX('MPG Payment '!$D:$D,MATCH('Shayak Income '!D263,'MPG Payment '!E:E,0))</f>
        <v>Halsi</v>
      </c>
      <c r="K263" s="125" t="s">
        <v>1322</v>
      </c>
      <c r="L263" s="125">
        <v>45152</v>
      </c>
      <c r="M263" s="126">
        <f>SUMIF('MPG Payment '!$E$3:$E$34579,'Shayak Income '!D263,'MPG Payment '!$I$3:$I$34579)</f>
        <v>936.7</v>
      </c>
      <c r="N263" s="126">
        <f>SUMIF('MPG Payment '!$E$3:$E$34579,'Shayak Income '!D263,'MPG Payment '!$J$3:$J$34579)</f>
        <v>26969.390797166998</v>
      </c>
      <c r="O263" s="126">
        <f t="shared" si="85"/>
        <v>702.52500000000009</v>
      </c>
      <c r="P263" s="126">
        <f t="shared" si="86"/>
        <v>889.86500000000001</v>
      </c>
      <c r="Q263" s="126">
        <f>SUMIF('MPG Payment '!$E$3:$E$34579,'Shayak Income '!D263,'MPG Payment '!$S$3:$S$34579)</f>
        <v>0</v>
      </c>
      <c r="R263" s="126">
        <f t="shared" si="76"/>
        <v>809.08172391500989</v>
      </c>
      <c r="S263" s="126">
        <f t="shared" si="77"/>
        <v>-80.783276084990121</v>
      </c>
      <c r="T263" s="126">
        <f t="shared" si="87"/>
        <v>93.670000000000016</v>
      </c>
      <c r="U263" s="127">
        <f>(((IF(K263="New",0,SUMIF('MPG Payment '!$E$3:$E$34579,'Shayak Income '!D263,'MPG Payment '!$AC$3:$AC$34579))))+0)+0</f>
        <v>1086.7640694004851</v>
      </c>
      <c r="V263" s="127">
        <f t="shared" si="88"/>
        <v>412</v>
      </c>
      <c r="W263" s="19">
        <f t="shared" si="92"/>
        <v>0</v>
      </c>
      <c r="X263" s="19">
        <f t="shared" si="78"/>
        <v>0</v>
      </c>
      <c r="Y263" s="128">
        <f>IFERROR(VLOOKUP(D263,'Monthly Deduction'!$M$2:$N$64,2,0),0)</f>
        <v>0</v>
      </c>
      <c r="Z263" s="128">
        <v>0</v>
      </c>
      <c r="AA263" s="126">
        <f>IFERROR(VLOOKUP(D263,'Monthly Deduction'!A:B,2,0),0)</f>
        <v>0</v>
      </c>
      <c r="AB263" s="129">
        <f t="shared" si="79"/>
        <v>412</v>
      </c>
      <c r="AC263" s="130">
        <v>0</v>
      </c>
      <c r="AD263" s="35">
        <f t="shared" si="89"/>
        <v>412</v>
      </c>
      <c r="AE263" s="166" t="str">
        <f t="shared" si="90"/>
        <v>Release</v>
      </c>
      <c r="AF263" s="127"/>
      <c r="AG263" s="18">
        <v>0</v>
      </c>
      <c r="AH263" s="120"/>
      <c r="AI263" s="238">
        <v>0</v>
      </c>
      <c r="AJ263" s="132"/>
      <c r="AK263" s="151">
        <v>170.39999999999998</v>
      </c>
      <c r="AL263" s="154">
        <f t="shared" si="80"/>
        <v>0</v>
      </c>
      <c r="AM263" s="155"/>
      <c r="AN263" s="19">
        <f t="shared" si="81"/>
        <v>0</v>
      </c>
      <c r="AO263" s="118">
        <f>SUMIF('MPG Payment '!E:E,'Shayak Income '!D263,'MPG Payment '!AJ:AJ)</f>
        <v>0</v>
      </c>
      <c r="AP263" s="19">
        <f t="shared" si="82"/>
        <v>0</v>
      </c>
      <c r="AQ263" s="119">
        <f t="shared" si="91"/>
        <v>0</v>
      </c>
      <c r="AR263" s="91" t="s">
        <v>1168</v>
      </c>
      <c r="AS263" s="91">
        <f t="shared" si="83"/>
        <v>0</v>
      </c>
      <c r="AT263" s="118"/>
      <c r="AU263" s="118"/>
      <c r="AV263" s="118"/>
    </row>
    <row r="264" spans="1:48" s="20" customFormat="1" x14ac:dyDescent="0.25">
      <c r="A264" s="17">
        <f>IFERROR(VLOOKUP(D264,'Monthly Deduction'!$I$3:$J$957,2,0),0)</f>
        <v>16000.567738068872</v>
      </c>
      <c r="B264" s="17">
        <f>IFERROR(VLOOKUP(D264,'Monthly Deduction'!$E$3:$F$957,2,0),0)</f>
        <v>11537.557799999999</v>
      </c>
      <c r="C264" s="17">
        <f t="shared" si="84"/>
        <v>27538.125538068871</v>
      </c>
      <c r="D264" s="41">
        <v>10090042</v>
      </c>
      <c r="E264" s="122" t="str">
        <f>VLOOKUP(D264,'MPG Payment '!$E$3:$G$498218,2,0)</f>
        <v>REWAI</v>
      </c>
      <c r="F264" s="146">
        <f>IFERROR(_xlfn.XLOOKUP(D264,'Monthly Deduction'!$I$3:$I$957,'Monthly Deduction'!$H$3:$H$957),0)</f>
        <v>0</v>
      </c>
      <c r="G264" s="123" t="str">
        <f>VLOOKUP(D264,'MPG Payment '!$E$3:$G$334579,3,0)</f>
        <v>MPG</v>
      </c>
      <c r="H264" s="124" t="str">
        <f>VLOOKUP(D264,'MPG Payment '!$E$3:$H$334579,4,0)</f>
        <v>Direct</v>
      </c>
      <c r="I264" s="88">
        <f>INDEX('MPG Payment '!$C:$C,MATCH('Shayak Income '!D264,'MPG Payment '!E:E,0))</f>
        <v>1009</v>
      </c>
      <c r="J264" s="88" t="str">
        <f>INDEX('MPG Payment '!$D:$D,MATCH('Shayak Income '!D264,'MPG Payment '!E:E,0))</f>
        <v>Halsi</v>
      </c>
      <c r="K264" s="125" t="s">
        <v>1322</v>
      </c>
      <c r="L264" s="125">
        <v>44652</v>
      </c>
      <c r="M264" s="126">
        <f>SUMIF('MPG Payment '!$E$3:$E$34579,'Shayak Income '!D264,'MPG Payment '!$I$3:$I$34579)</f>
        <v>2452.3000000000002</v>
      </c>
      <c r="N264" s="126">
        <f>SUMIF('MPG Payment '!$E$3:$E$34579,'Shayak Income '!D264,'MPG Payment '!$J$3:$J$34579)</f>
        <v>100931.09339748001</v>
      </c>
      <c r="O264" s="126">
        <f t="shared" si="85"/>
        <v>1839.2250000000001</v>
      </c>
      <c r="P264" s="126">
        <f t="shared" si="86"/>
        <v>2329.6849999999999</v>
      </c>
      <c r="Q264" s="126">
        <f>SUMIF('MPG Payment '!$E$3:$E$34579,'Shayak Income '!D264,'MPG Payment '!$S$3:$S$34579)</f>
        <v>296.56937124840005</v>
      </c>
      <c r="R264" s="126">
        <f t="shared" si="76"/>
        <v>3027.9328019244003</v>
      </c>
      <c r="S264" s="126">
        <f t="shared" si="77"/>
        <v>698.24780192440039</v>
      </c>
      <c r="T264" s="126">
        <f t="shared" si="87"/>
        <v>245.23000000000002</v>
      </c>
      <c r="U264" s="127">
        <f>(((IF(K264="New",0,SUMIF('MPG Payment '!$E$3:$E$34579,'Shayak Income '!D264,'MPG Payment '!$AC$3:$AC$34579))))+0)+0</f>
        <v>340.00423244444067</v>
      </c>
      <c r="V264" s="127">
        <f t="shared" si="88"/>
        <v>3880</v>
      </c>
      <c r="W264" s="19">
        <f t="shared" si="92"/>
        <v>2018.6218679496003</v>
      </c>
      <c r="X264" s="19">
        <v>0</v>
      </c>
      <c r="Y264" s="128">
        <f>IFERROR(VLOOKUP(D264,'Monthly Deduction'!$M$2:$N$64,2,0),0)</f>
        <v>0</v>
      </c>
      <c r="Z264" s="128">
        <v>0</v>
      </c>
      <c r="AA264" s="126">
        <f>IFERROR(VLOOKUP(D264,'Monthly Deduction'!A:B,2,0),0)</f>
        <v>0</v>
      </c>
      <c r="AB264" s="129">
        <f t="shared" si="79"/>
        <v>1861</v>
      </c>
      <c r="AC264" s="130">
        <v>0</v>
      </c>
      <c r="AD264" s="35">
        <f t="shared" si="89"/>
        <v>1861</v>
      </c>
      <c r="AE264" s="166" t="str">
        <f t="shared" si="90"/>
        <v>Release</v>
      </c>
      <c r="AF264" s="127"/>
      <c r="AG264" s="18">
        <v>0</v>
      </c>
      <c r="AH264" s="120"/>
      <c r="AI264" s="238">
        <v>0</v>
      </c>
      <c r="AJ264" s="132"/>
      <c r="AK264" s="151">
        <v>979.3</v>
      </c>
      <c r="AL264" s="154">
        <f t="shared" si="80"/>
        <v>0</v>
      </c>
      <c r="AM264" s="155"/>
      <c r="AN264" s="19">
        <f t="shared" si="81"/>
        <v>2018.6218679496003</v>
      </c>
      <c r="AO264" s="118">
        <f>SUMIF('MPG Payment '!E:E,'Shayak Income '!D264,'MPG Payment '!AJ:AJ)</f>
        <v>0</v>
      </c>
      <c r="AP264" s="19">
        <f t="shared" si="82"/>
        <v>2018.6218679496003</v>
      </c>
      <c r="AQ264" s="119">
        <f t="shared" si="91"/>
        <v>2018.6218679496003</v>
      </c>
      <c r="AR264" s="91" t="s">
        <v>1168</v>
      </c>
      <c r="AS264" s="91">
        <f t="shared" si="83"/>
        <v>11537.557799999999</v>
      </c>
      <c r="AT264" s="118"/>
      <c r="AU264" s="118"/>
      <c r="AV264" s="118"/>
    </row>
    <row r="265" spans="1:48" s="20" customFormat="1" x14ac:dyDescent="0.25">
      <c r="A265" s="17">
        <f>IFERROR(VLOOKUP(D265,'Monthly Deduction'!$I$3:$J$957,2,0),0)</f>
        <v>43338</v>
      </c>
      <c r="B265" s="17">
        <f>IFERROR(VLOOKUP(D265,'Monthly Deduction'!$E$3:$F$957,2,0),0)</f>
        <v>2616.1276175555313</v>
      </c>
      <c r="C265" s="17">
        <f t="shared" si="84"/>
        <v>45954.127617555532</v>
      </c>
      <c r="D265" s="41">
        <v>10090043</v>
      </c>
      <c r="E265" s="122" t="str">
        <f>VLOOKUP(D265,'MPG Payment '!$E$3:$G$498218,2,0)</f>
        <v>BAKHIYA</v>
      </c>
      <c r="F265" s="146">
        <f>IFERROR(_xlfn.XLOOKUP(D265,'Monthly Deduction'!$I$3:$I$957,'Monthly Deduction'!$H$3:$H$957),0)</f>
        <v>0</v>
      </c>
      <c r="G265" s="123" t="str">
        <f>VLOOKUP(D265,'MPG Payment '!$E$3:$G$334579,3,0)</f>
        <v>MPG</v>
      </c>
      <c r="H265" s="124" t="str">
        <f>VLOOKUP(D265,'MPG Payment '!$E$3:$H$334579,4,0)</f>
        <v>Direct</v>
      </c>
      <c r="I265" s="88">
        <f>INDEX('MPG Payment '!$C:$C,MATCH('Shayak Income '!D265,'MPG Payment '!E:E,0))</f>
        <v>1009</v>
      </c>
      <c r="J265" s="88" t="str">
        <f>INDEX('MPG Payment '!$D:$D,MATCH('Shayak Income '!D265,'MPG Payment '!E:E,0))</f>
        <v>Halsi</v>
      </c>
      <c r="K265" s="125" t="s">
        <v>1322</v>
      </c>
      <c r="L265" s="125">
        <v>45236</v>
      </c>
      <c r="M265" s="126">
        <f>SUMIF('MPG Payment '!$E$3:$E$34579,'Shayak Income '!D265,'MPG Payment '!$I$3:$I$34579)</f>
        <v>120.30000000000001</v>
      </c>
      <c r="N265" s="126">
        <f>SUMIF('MPG Payment '!$E$3:$E$34579,'Shayak Income '!D265,'MPG Payment '!$J$3:$J$34579)</f>
        <v>5479.8600000000006</v>
      </c>
      <c r="O265" s="126">
        <f t="shared" si="85"/>
        <v>90.225000000000009</v>
      </c>
      <c r="P265" s="126">
        <f t="shared" si="86"/>
        <v>114.28500000000001</v>
      </c>
      <c r="Q265" s="126">
        <f>SUMIF('MPG Payment '!$E$3:$E$34579,'Shayak Income '!D265,'MPG Payment '!$S$3:$S$34579)</f>
        <v>0</v>
      </c>
      <c r="R265" s="126">
        <f t="shared" si="76"/>
        <v>164.39580000000001</v>
      </c>
      <c r="S265" s="126">
        <f t="shared" si="77"/>
        <v>50.110799999999998</v>
      </c>
      <c r="T265" s="126">
        <f t="shared" si="87"/>
        <v>12.030000000000001</v>
      </c>
      <c r="U265" s="127">
        <f>(((IF(K265="New",0,SUMIF('MPG Payment '!$E$3:$E$34579,'Shayak Income '!D265,'MPG Payment '!$AC$3:$AC$34579))))+0)+-336</f>
        <v>192.1254932668329</v>
      </c>
      <c r="V265" s="127">
        <f t="shared" si="88"/>
        <v>0</v>
      </c>
      <c r="W265" s="19">
        <v>0</v>
      </c>
      <c r="X265" s="19">
        <v>0</v>
      </c>
      <c r="Y265" s="128">
        <v>0</v>
      </c>
      <c r="Z265" s="128">
        <v>0</v>
      </c>
      <c r="AA265" s="126">
        <v>0</v>
      </c>
      <c r="AB265" s="129">
        <f t="shared" si="79"/>
        <v>0</v>
      </c>
      <c r="AC265" s="130">
        <f>AB265</f>
        <v>0</v>
      </c>
      <c r="AD265" s="35">
        <f t="shared" si="89"/>
        <v>0</v>
      </c>
      <c r="AE265" s="166" t="str">
        <f t="shared" si="90"/>
        <v>Release</v>
      </c>
      <c r="AF265" s="127"/>
      <c r="AG265" s="18">
        <v>0</v>
      </c>
      <c r="AH265" s="132" t="s">
        <v>1648</v>
      </c>
      <c r="AI265" s="238">
        <v>0</v>
      </c>
      <c r="AJ265" s="132"/>
      <c r="AK265" s="151">
        <v>0</v>
      </c>
      <c r="AL265" s="154">
        <f t="shared" si="80"/>
        <v>0</v>
      </c>
      <c r="AM265" s="155"/>
      <c r="AN265" s="19">
        <f t="shared" si="81"/>
        <v>1861</v>
      </c>
      <c r="AO265" s="118">
        <f>SUMIF('MPG Payment '!E:E,'Shayak Income '!D265,'MPG Payment '!AJ:AJ)</f>
        <v>0</v>
      </c>
      <c r="AP265" s="19">
        <f t="shared" si="82"/>
        <v>0</v>
      </c>
      <c r="AQ265" s="119">
        <f t="shared" si="91"/>
        <v>0</v>
      </c>
      <c r="AR265" s="91" t="s">
        <v>1168</v>
      </c>
      <c r="AS265" s="91">
        <f t="shared" si="83"/>
        <v>2616.1276175555313</v>
      </c>
      <c r="AT265" s="118"/>
      <c r="AU265" s="118"/>
      <c r="AV265" s="118"/>
    </row>
    <row r="266" spans="1:48" s="20" customFormat="1" x14ac:dyDescent="0.25">
      <c r="A266" s="17">
        <f>IFERROR(VLOOKUP(D266,'Monthly Deduction'!$I$3:$J$957,2,0),0)</f>
        <v>32168.819059631191</v>
      </c>
      <c r="B266" s="17">
        <f>IFERROR(VLOOKUP(D266,'Monthly Deduction'!$E$3:$F$957,2,0),0)</f>
        <v>0</v>
      </c>
      <c r="C266" s="17">
        <f t="shared" si="84"/>
        <v>32168.819059631191</v>
      </c>
      <c r="D266" s="41">
        <v>10090045</v>
      </c>
      <c r="E266" s="122" t="str">
        <f>VLOOKUP(D266,'MPG Payment '!$E$3:$G$498218,2,0)</f>
        <v>MANJOS</v>
      </c>
      <c r="F266" s="146">
        <f>IFERROR(_xlfn.XLOOKUP(D266,'Monthly Deduction'!$I$3:$I$957,'Monthly Deduction'!$H$3:$H$957),0)</f>
        <v>0</v>
      </c>
      <c r="G266" s="123" t="str">
        <f>VLOOKUP(D266,'MPG Payment '!$E$3:$G$334579,3,0)</f>
        <v>MPG</v>
      </c>
      <c r="H266" s="124" t="str">
        <f>VLOOKUP(D266,'MPG Payment '!$E$3:$H$334579,4,0)</f>
        <v>Direct</v>
      </c>
      <c r="I266" s="88">
        <f>INDEX('MPG Payment '!$C:$C,MATCH('Shayak Income '!D266,'MPG Payment '!E:E,0))</f>
        <v>1009</v>
      </c>
      <c r="J266" s="88" t="str">
        <f>INDEX('MPG Payment '!$D:$D,MATCH('Shayak Income '!D266,'MPG Payment '!E:E,0))</f>
        <v>Halsi</v>
      </c>
      <c r="K266" s="125" t="s">
        <v>1322</v>
      </c>
      <c r="L266" s="125">
        <v>45226</v>
      </c>
      <c r="M266" s="126">
        <f>SUMIF('MPG Payment '!$E$3:$E$34579,'Shayak Income '!D266,'MPG Payment '!$I$3:$I$34579)</f>
        <v>3370.7000000000003</v>
      </c>
      <c r="N266" s="126">
        <f>SUMIF('MPG Payment '!$E$3:$E$34579,'Shayak Income '!D266,'MPG Payment '!$J$3:$J$34579)</f>
        <v>139606.47865648</v>
      </c>
      <c r="O266" s="126">
        <f t="shared" si="85"/>
        <v>2528.0250000000001</v>
      </c>
      <c r="P266" s="126">
        <f t="shared" si="86"/>
        <v>3202.165</v>
      </c>
      <c r="Q266" s="126">
        <f>SUMIF('MPG Payment '!$E$3:$E$34579,'Shayak Income '!D266,'MPG Payment '!$S$3:$S$34579)</f>
        <v>0</v>
      </c>
      <c r="R266" s="126">
        <f t="shared" si="76"/>
        <v>4188.1943596944002</v>
      </c>
      <c r="S266" s="126">
        <f t="shared" si="77"/>
        <v>986.02935969440023</v>
      </c>
      <c r="T266" s="126">
        <f t="shared" si="87"/>
        <v>337.07000000000005</v>
      </c>
      <c r="U266" s="127">
        <f>(((IF(K266="New",0,SUMIF('MPG Payment '!$E$3:$E$34579,'Shayak Income '!D266,'MPG Payment '!$AC$3:$AC$34579))))+0)+0</f>
        <v>0</v>
      </c>
      <c r="V266" s="127">
        <f t="shared" si="88"/>
        <v>5393</v>
      </c>
      <c r="W266" s="19">
        <f t="shared" si="92"/>
        <v>2792.1295731296</v>
      </c>
      <c r="X266" s="19">
        <v>0</v>
      </c>
      <c r="Y266" s="128">
        <v>2601</v>
      </c>
      <c r="Z266" s="128">
        <v>0</v>
      </c>
      <c r="AA266" s="126">
        <f>IFERROR(VLOOKUP(D266,'Monthly Deduction'!A:B,2,0),0)</f>
        <v>0</v>
      </c>
      <c r="AB266" s="129">
        <f t="shared" si="79"/>
        <v>0</v>
      </c>
      <c r="AC266" s="130">
        <v>0</v>
      </c>
      <c r="AD266" s="35">
        <f t="shared" si="89"/>
        <v>0</v>
      </c>
      <c r="AE266" s="166" t="str">
        <f t="shared" si="90"/>
        <v>Release</v>
      </c>
      <c r="AF266" s="127"/>
      <c r="AG266" s="18">
        <v>0</v>
      </c>
      <c r="AH266" s="120"/>
      <c r="AI266" s="238">
        <v>0</v>
      </c>
      <c r="AJ266" s="132"/>
      <c r="AK266" s="151">
        <v>556.9</v>
      </c>
      <c r="AL266" s="154">
        <f t="shared" si="80"/>
        <v>0</v>
      </c>
      <c r="AM266" s="155"/>
      <c r="AN266" s="19">
        <f t="shared" si="81"/>
        <v>2792.1295731296</v>
      </c>
      <c r="AO266" s="118">
        <f>SUMIF('MPG Payment '!E:E,'Shayak Income '!D266,'MPG Payment '!AJ:AJ)</f>
        <v>0</v>
      </c>
      <c r="AP266" s="19">
        <f t="shared" si="82"/>
        <v>2792.1295731296</v>
      </c>
      <c r="AQ266" s="119">
        <f t="shared" si="91"/>
        <v>2792.1295731296</v>
      </c>
      <c r="AR266" s="91" t="s">
        <v>1168</v>
      </c>
      <c r="AS266" s="91">
        <f t="shared" si="83"/>
        <v>0</v>
      </c>
      <c r="AT266" s="118"/>
      <c r="AU266" s="118"/>
      <c r="AV266" s="118"/>
    </row>
    <row r="267" spans="1:48" s="20" customFormat="1" x14ac:dyDescent="0.25">
      <c r="A267" s="17">
        <f>IFERROR(VLOOKUP(D267,'Monthly Deduction'!$I$3:$J$957,2,0),0)</f>
        <v>36957.618600000002</v>
      </c>
      <c r="B267" s="17">
        <f>IFERROR(VLOOKUP(D267,'Monthly Deduction'!$E$3:$F$957,2,0),0)</f>
        <v>6233.0370000000003</v>
      </c>
      <c r="C267" s="17">
        <f t="shared" si="84"/>
        <v>43190.655599999998</v>
      </c>
      <c r="D267" s="41">
        <v>10090046</v>
      </c>
      <c r="E267" s="122" t="str">
        <f>VLOOKUP(D267,'MPG Payment '!$E$3:$G$498218,2,0)</f>
        <v>RATA</v>
      </c>
      <c r="F267" s="146">
        <f>IFERROR(_xlfn.XLOOKUP(D267,'Monthly Deduction'!$I$3:$I$957,'Monthly Deduction'!$H$3:$H$957),0)</f>
        <v>0</v>
      </c>
      <c r="G267" s="123" t="str">
        <f>VLOOKUP(D267,'MPG Payment '!$E$3:$G$334579,3,0)</f>
        <v>MPG</v>
      </c>
      <c r="H267" s="124" t="str">
        <f>VLOOKUP(D267,'MPG Payment '!$E$3:$H$334579,4,0)</f>
        <v>Direct</v>
      </c>
      <c r="I267" s="88">
        <f>INDEX('MPG Payment '!$C:$C,MATCH('Shayak Income '!D267,'MPG Payment '!E:E,0))</f>
        <v>1009</v>
      </c>
      <c r="J267" s="88" t="str">
        <f>INDEX('MPG Payment '!$D:$D,MATCH('Shayak Income '!D267,'MPG Payment '!E:E,0))</f>
        <v>Halsi</v>
      </c>
      <c r="K267" s="125" t="s">
        <v>1322</v>
      </c>
      <c r="L267" s="125">
        <v>45226</v>
      </c>
      <c r="M267" s="126">
        <f>SUMIF('MPG Payment '!$E$3:$E$34579,'Shayak Income '!D267,'MPG Payment '!$I$3:$I$34579)</f>
        <v>1991.8</v>
      </c>
      <c r="N267" s="126">
        <f>SUMIF('MPG Payment '!$E$3:$E$34579,'Shayak Income '!D267,'MPG Payment '!$J$3:$J$34579)</f>
        <v>82906.486165897993</v>
      </c>
      <c r="O267" s="126">
        <f t="shared" si="85"/>
        <v>1493.85</v>
      </c>
      <c r="P267" s="126">
        <f t="shared" si="86"/>
        <v>1892.2099999999998</v>
      </c>
      <c r="Q267" s="126">
        <f>SUMIF('MPG Payment '!$E$3:$E$34579,'Shayak Income '!D267,'MPG Payment '!$S$3:$S$34579)</f>
        <v>0</v>
      </c>
      <c r="R267" s="126">
        <f t="shared" si="76"/>
        <v>2487.1945849769395</v>
      </c>
      <c r="S267" s="126">
        <f t="shared" si="77"/>
        <v>594.98458497693969</v>
      </c>
      <c r="T267" s="126">
        <f t="shared" si="87"/>
        <v>199.18</v>
      </c>
      <c r="U267" s="127">
        <f>(((IF(K267="New",0,SUMIF('MPG Payment '!$E$3:$E$34579,'Shayak Income '!D267,'MPG Payment '!$AC$3:$AC$34579))))+0)+0</f>
        <v>674.17799316766752</v>
      </c>
      <c r="V267" s="127">
        <f t="shared" si="88"/>
        <v>2513</v>
      </c>
      <c r="W267" s="19">
        <f t="shared" si="92"/>
        <v>1861</v>
      </c>
      <c r="X267" s="19">
        <v>0</v>
      </c>
      <c r="Y267" s="128">
        <v>652</v>
      </c>
      <c r="Z267" s="128">
        <v>0</v>
      </c>
      <c r="AA267" s="126">
        <v>0</v>
      </c>
      <c r="AB267" s="129">
        <f t="shared" si="79"/>
        <v>0</v>
      </c>
      <c r="AC267" s="130">
        <v>0</v>
      </c>
      <c r="AD267" s="35">
        <f t="shared" si="89"/>
        <v>0</v>
      </c>
      <c r="AE267" s="166" t="str">
        <f t="shared" si="90"/>
        <v>Release</v>
      </c>
      <c r="AF267" s="127"/>
      <c r="AG267" s="18">
        <v>0</v>
      </c>
      <c r="AH267" s="120"/>
      <c r="AI267" s="238">
        <v>0</v>
      </c>
      <c r="AJ267" s="132"/>
      <c r="AK267" s="151">
        <v>501.59999999999997</v>
      </c>
      <c r="AL267" s="154">
        <f t="shared" si="80"/>
        <v>0</v>
      </c>
      <c r="AM267" s="155"/>
      <c r="AN267" s="19">
        <f t="shared" si="81"/>
        <v>1861</v>
      </c>
      <c r="AO267" s="118">
        <f>SUMIF('MPG Payment '!E:E,'Shayak Income '!D267,'MPG Payment '!AJ:AJ)</f>
        <v>0</v>
      </c>
      <c r="AP267" s="19">
        <f t="shared" si="82"/>
        <v>1861</v>
      </c>
      <c r="AQ267" s="119">
        <f t="shared" si="91"/>
        <v>1861</v>
      </c>
      <c r="AR267" s="91" t="s">
        <v>1168</v>
      </c>
      <c r="AS267" s="91">
        <f t="shared" si="83"/>
        <v>6233.0370000000003</v>
      </c>
      <c r="AT267" s="118"/>
      <c r="AU267" s="118"/>
      <c r="AV267" s="118"/>
    </row>
    <row r="268" spans="1:48" s="20" customFormat="1" x14ac:dyDescent="0.25">
      <c r="A268" s="17">
        <f>IFERROR(VLOOKUP(D268,'Monthly Deduction'!$I$3:$J$957,2,0),0)</f>
        <v>26064.458736028842</v>
      </c>
      <c r="B268" s="17">
        <f>IFERROR(VLOOKUP(D268,'Monthly Deduction'!$E$3:$F$957,2,0),0)</f>
        <v>7346.9286000000002</v>
      </c>
      <c r="C268" s="17">
        <f t="shared" si="84"/>
        <v>33411.387336028842</v>
      </c>
      <c r="D268" s="41">
        <v>10090047</v>
      </c>
      <c r="E268" s="122" t="str">
        <f>VLOOKUP(D268,'MPG Payment '!$E$3:$G$498218,2,0)</f>
        <v>BARUI</v>
      </c>
      <c r="F268" s="146">
        <f>IFERROR(_xlfn.XLOOKUP(D268,'Monthly Deduction'!$I$3:$I$957,'Monthly Deduction'!$H$3:$H$957),0)</f>
        <v>0</v>
      </c>
      <c r="G268" s="123" t="str">
        <f>VLOOKUP(D268,'MPG Payment '!$E$3:$G$334579,3,0)</f>
        <v>MPG</v>
      </c>
      <c r="H268" s="124" t="str">
        <f>VLOOKUP(D268,'MPG Payment '!$E$3:$H$334579,4,0)</f>
        <v>Direct</v>
      </c>
      <c r="I268" s="88">
        <f>INDEX('MPG Payment '!$C:$C,MATCH('Shayak Income '!D268,'MPG Payment '!E:E,0))</f>
        <v>1009</v>
      </c>
      <c r="J268" s="88" t="str">
        <f>INDEX('MPG Payment '!$D:$D,MATCH('Shayak Income '!D268,'MPG Payment '!E:E,0))</f>
        <v>Halsi</v>
      </c>
      <c r="K268" s="125" t="s">
        <v>1322</v>
      </c>
      <c r="L268" s="125">
        <v>45219</v>
      </c>
      <c r="M268" s="126">
        <f>SUMIF('MPG Payment '!$E$3:$E$34579,'Shayak Income '!D268,'MPG Payment '!$I$3:$I$34579)</f>
        <v>1550.7</v>
      </c>
      <c r="N268" s="126">
        <f>SUMIF('MPG Payment '!$E$3:$E$34579,'Shayak Income '!D268,'MPG Payment '!$J$3:$J$34579)</f>
        <v>68170.260053292004</v>
      </c>
      <c r="O268" s="126">
        <f t="shared" si="85"/>
        <v>1163.0250000000001</v>
      </c>
      <c r="P268" s="126">
        <f t="shared" si="86"/>
        <v>1473.165</v>
      </c>
      <c r="Q268" s="126">
        <f>SUMIF('MPG Payment '!$E$3:$E$34579,'Shayak Income '!D268,'MPG Payment '!$S$3:$S$34579)</f>
        <v>1032.1650160310001</v>
      </c>
      <c r="R268" s="126">
        <f t="shared" si="76"/>
        <v>2045.10780159876</v>
      </c>
      <c r="S268" s="126">
        <f t="shared" si="77"/>
        <v>571.94280159876007</v>
      </c>
      <c r="T268" s="126">
        <f t="shared" si="87"/>
        <v>155.07000000000002</v>
      </c>
      <c r="U268" s="127">
        <f>(((IF(K268="New",0,SUMIF('MPG Payment '!$E$3:$E$34579,'Shayak Income '!D268,'MPG Payment '!$AC$3:$AC$34579))))+0)+0</f>
        <v>1100.4231373135035</v>
      </c>
      <c r="V268" s="127">
        <f t="shared" si="88"/>
        <v>2413</v>
      </c>
      <c r="W268" s="19">
        <f t="shared" si="92"/>
        <v>1861</v>
      </c>
      <c r="X268" s="19">
        <v>0</v>
      </c>
      <c r="Y268" s="128">
        <f>IFERROR(VLOOKUP(D268,'Monthly Deduction'!$M$2:$N$64,2,0),0)</f>
        <v>0</v>
      </c>
      <c r="Z268" s="128">
        <v>0</v>
      </c>
      <c r="AA268" s="126">
        <f>IFERROR(VLOOKUP(D268,'Monthly Deduction'!A:B,2,0),0)</f>
        <v>0</v>
      </c>
      <c r="AB268" s="129">
        <f t="shared" si="79"/>
        <v>552</v>
      </c>
      <c r="AC268" s="130">
        <v>0</v>
      </c>
      <c r="AD268" s="35">
        <f t="shared" si="89"/>
        <v>552</v>
      </c>
      <c r="AE268" s="166" t="str">
        <f t="shared" si="90"/>
        <v>Release</v>
      </c>
      <c r="AF268" s="127"/>
      <c r="AG268" s="18">
        <v>0</v>
      </c>
      <c r="AH268" s="120"/>
      <c r="AI268" s="238">
        <v>0</v>
      </c>
      <c r="AJ268" s="132"/>
      <c r="AK268" s="151">
        <v>354.99999999999994</v>
      </c>
      <c r="AL268" s="154">
        <f t="shared" si="80"/>
        <v>0</v>
      </c>
      <c r="AM268" s="155"/>
      <c r="AN268" s="19">
        <f t="shared" si="81"/>
        <v>1861</v>
      </c>
      <c r="AO268" s="118">
        <f>SUMIF('MPG Payment '!E:E,'Shayak Income '!D268,'MPG Payment '!AJ:AJ)</f>
        <v>0</v>
      </c>
      <c r="AP268" s="19">
        <f t="shared" si="82"/>
        <v>1861</v>
      </c>
      <c r="AQ268" s="119">
        <f t="shared" si="91"/>
        <v>1861</v>
      </c>
      <c r="AR268" s="91" t="s">
        <v>1168</v>
      </c>
      <c r="AS268" s="91">
        <f t="shared" si="83"/>
        <v>7346.9286000000002</v>
      </c>
      <c r="AT268" s="118"/>
      <c r="AU268" s="118"/>
      <c r="AV268" s="118"/>
    </row>
    <row r="269" spans="1:48" s="20" customFormat="1" x14ac:dyDescent="0.25">
      <c r="A269" s="17">
        <f>IFERROR(VLOOKUP(D269,'Monthly Deduction'!$I$3:$J$957,2,0),0)</f>
        <v>0</v>
      </c>
      <c r="B269" s="17">
        <f>IFERROR(VLOOKUP(D269,'Monthly Deduction'!$E$3:$F$957,2,0),0)</f>
        <v>0</v>
      </c>
      <c r="C269" s="17">
        <f t="shared" si="84"/>
        <v>0</v>
      </c>
      <c r="D269" s="41">
        <v>10090049</v>
      </c>
      <c r="E269" s="122" t="str">
        <f>VLOOKUP(D269,'MPG Payment '!$E$3:$G$498218,2,0)</f>
        <v>LAHUARA                                                                                             </v>
      </c>
      <c r="F269" s="146">
        <f>IFERROR(_xlfn.XLOOKUP(D269,'Monthly Deduction'!$I$3:$I$957,'Monthly Deduction'!$H$3:$H$957),0)</f>
        <v>0</v>
      </c>
      <c r="G269" s="123" t="str">
        <f>VLOOKUP(D269,'MPG Payment '!$E$3:$G$334579,3,0)</f>
        <v>MPG</v>
      </c>
      <c r="H269" s="124" t="str">
        <f>VLOOKUP(D269,'MPG Payment '!$E$3:$H$334579,4,0)</f>
        <v>Direct</v>
      </c>
      <c r="I269" s="88">
        <f>INDEX('MPG Payment '!$C:$C,MATCH('Shayak Income '!D269,'MPG Payment '!E:E,0))</f>
        <v>1009</v>
      </c>
      <c r="J269" s="88" t="str">
        <f>INDEX('MPG Payment '!$D:$D,MATCH('Shayak Income '!D269,'MPG Payment '!E:E,0))</f>
        <v>Halsi</v>
      </c>
      <c r="K269" s="125" t="s">
        <v>1322</v>
      </c>
      <c r="L269" s="125">
        <v>45198</v>
      </c>
      <c r="M269" s="126">
        <f>SUMIF('MPG Payment '!$E$3:$E$34579,'Shayak Income '!D269,'MPG Payment '!$I$3:$I$34579)</f>
        <v>2681</v>
      </c>
      <c r="N269" s="126">
        <f>SUMIF('MPG Payment '!$E$3:$E$34579,'Shayak Income '!D269,'MPG Payment '!$J$3:$J$34579)</f>
        <v>128855.51757471872</v>
      </c>
      <c r="O269" s="126">
        <f t="shared" si="85"/>
        <v>2010.75</v>
      </c>
      <c r="P269" s="126">
        <f t="shared" si="86"/>
        <v>2546.9499999999998</v>
      </c>
      <c r="Q269" s="126">
        <f>SUMIF('MPG Payment '!$E$3:$E$34579,'Shayak Income '!D269,'MPG Payment '!$S$3:$S$34579)</f>
        <v>1135.5144747710801</v>
      </c>
      <c r="R269" s="126">
        <f t="shared" si="76"/>
        <v>3865.6655272415614</v>
      </c>
      <c r="S269" s="126">
        <f t="shared" si="77"/>
        <v>1318.7155272415616</v>
      </c>
      <c r="T269" s="126">
        <f t="shared" si="87"/>
        <v>268.10000000000002</v>
      </c>
      <c r="U269" s="127">
        <f>(((IF(K269="New",0,SUMIF('MPG Payment '!$E$3:$E$34579,'Shayak Income '!D269,'MPG Payment '!$AC$3:$AC$34579))))+0)+0</f>
        <v>132.83682705229421</v>
      </c>
      <c r="V269" s="127">
        <f t="shared" si="88"/>
        <v>5292</v>
      </c>
      <c r="W269" s="19">
        <f t="shared" si="92"/>
        <v>0</v>
      </c>
      <c r="X269" s="19">
        <f t="shared" si="78"/>
        <v>0</v>
      </c>
      <c r="Y269" s="128">
        <f>IFERROR(VLOOKUP(D269,'Monthly Deduction'!$M$2:$N$64,2,0),0)</f>
        <v>0</v>
      </c>
      <c r="Z269" s="128">
        <v>0</v>
      </c>
      <c r="AA269" s="126">
        <f>IFERROR(VLOOKUP(D269,'Monthly Deduction'!A:B,2,0),0)</f>
        <v>0</v>
      </c>
      <c r="AB269" s="129">
        <f t="shared" si="79"/>
        <v>5292</v>
      </c>
      <c r="AC269" s="130">
        <v>0</v>
      </c>
      <c r="AD269" s="35">
        <f t="shared" si="89"/>
        <v>5292</v>
      </c>
      <c r="AE269" s="166" t="str">
        <f t="shared" si="90"/>
        <v>Release</v>
      </c>
      <c r="AF269" s="127"/>
      <c r="AG269" s="18">
        <v>0</v>
      </c>
      <c r="AH269" s="120"/>
      <c r="AI269" s="238">
        <v>0</v>
      </c>
      <c r="AJ269" s="132"/>
      <c r="AK269" s="151">
        <v>770.09999999999991</v>
      </c>
      <c r="AL269" s="154">
        <f t="shared" si="80"/>
        <v>0</v>
      </c>
      <c r="AM269" s="155"/>
      <c r="AN269" s="19">
        <f t="shared" si="81"/>
        <v>0</v>
      </c>
      <c r="AO269" s="118">
        <f>SUMIF('MPG Payment '!E:E,'Shayak Income '!D269,'MPG Payment '!AJ:AJ)</f>
        <v>0</v>
      </c>
      <c r="AP269" s="19">
        <f t="shared" si="82"/>
        <v>0</v>
      </c>
      <c r="AQ269" s="119">
        <f t="shared" si="91"/>
        <v>0</v>
      </c>
      <c r="AR269" s="91"/>
      <c r="AS269" s="91">
        <f t="shared" si="83"/>
        <v>0</v>
      </c>
      <c r="AT269" s="118"/>
      <c r="AU269" s="118"/>
      <c r="AV269" s="118"/>
    </row>
    <row r="270" spans="1:48" s="20" customFormat="1" x14ac:dyDescent="0.25">
      <c r="A270" s="17">
        <f>IFERROR(VLOOKUP(D270,'Monthly Deduction'!$I$3:$J$957,2,0),0)</f>
        <v>14139.93108800867</v>
      </c>
      <c r="B270" s="17">
        <f>IFERROR(VLOOKUP(D270,'Monthly Deduction'!$E$3:$F$957,2,0),0)</f>
        <v>9247</v>
      </c>
      <c r="C270" s="17">
        <f t="shared" si="84"/>
        <v>23386.93108800867</v>
      </c>
      <c r="D270" s="41">
        <v>10090052</v>
      </c>
      <c r="E270" s="122" t="str">
        <f>VLOOKUP(D270,'MPG Payment '!$E$3:$G$498218,2,0)</f>
        <v>LACHHUAR</v>
      </c>
      <c r="F270" s="146">
        <f>IFERROR(_xlfn.XLOOKUP(D270,'Monthly Deduction'!$I$3:$I$957,'Monthly Deduction'!$H$3:$H$957),0)</f>
        <v>0</v>
      </c>
      <c r="G270" s="123" t="str">
        <f>VLOOKUP(D270,'MPG Payment '!$E$3:$G$334579,3,0)</f>
        <v>MPG</v>
      </c>
      <c r="H270" s="124" t="str">
        <f>VLOOKUP(D270,'MPG Payment '!$E$3:$H$334579,4,0)</f>
        <v>Direct</v>
      </c>
      <c r="I270" s="88">
        <f>INDEX('MPG Payment '!$C:$C,MATCH('Shayak Income '!D270,'MPG Payment '!E:E,0))</f>
        <v>1009</v>
      </c>
      <c r="J270" s="88" t="str">
        <f>INDEX('MPG Payment '!$D:$D,MATCH('Shayak Income '!D270,'MPG Payment '!E:E,0))</f>
        <v>Halsi</v>
      </c>
      <c r="K270" s="125" t="s">
        <v>1322</v>
      </c>
      <c r="L270" s="125">
        <v>45323</v>
      </c>
      <c r="M270" s="126">
        <f>SUMIF('MPG Payment '!$E$3:$E$34579,'Shayak Income '!D270,'MPG Payment '!$I$3:$I$34579)</f>
        <v>2673.6</v>
      </c>
      <c r="N270" s="126">
        <f>SUMIF('MPG Payment '!$E$3:$E$34579,'Shayak Income '!D270,'MPG Payment '!$J$3:$J$34579)</f>
        <v>106545.72119074699</v>
      </c>
      <c r="O270" s="126">
        <f t="shared" si="85"/>
        <v>2005.1999999999998</v>
      </c>
      <c r="P270" s="126">
        <f t="shared" si="86"/>
        <v>2539.9199999999996</v>
      </c>
      <c r="Q270" s="126">
        <f>SUMIF('MPG Payment '!$E$3:$E$34579,'Shayak Income '!D270,'MPG Payment '!$S$3:$S$34579)</f>
        <v>949.26595027711051</v>
      </c>
      <c r="R270" s="126">
        <f t="shared" si="76"/>
        <v>3196.3716357224098</v>
      </c>
      <c r="S270" s="126">
        <f t="shared" si="77"/>
        <v>656.45163572241017</v>
      </c>
      <c r="T270" s="126">
        <f t="shared" si="87"/>
        <v>267.36</v>
      </c>
      <c r="U270" s="127">
        <f>(((IF(K270="New",0,SUMIF('MPG Payment '!$E$3:$E$34579,'Shayak Income '!D270,'MPG Payment '!$AC$3:$AC$34579))))+0)+0</f>
        <v>271.41765189228028</v>
      </c>
      <c r="V270" s="127">
        <f t="shared" si="88"/>
        <v>4956</v>
      </c>
      <c r="W270" s="19">
        <f t="shared" si="92"/>
        <v>2130.9144238149397</v>
      </c>
      <c r="X270" s="19">
        <v>0</v>
      </c>
      <c r="Y270" s="128">
        <f>IFERROR(VLOOKUP(D270,'Monthly Deduction'!$M$2:$N$64,2,0),0)</f>
        <v>0</v>
      </c>
      <c r="Z270" s="128">
        <v>0</v>
      </c>
      <c r="AA270" s="126">
        <f>IFERROR(VLOOKUP(D270,'Monthly Deduction'!A:B,2,0),0)</f>
        <v>0</v>
      </c>
      <c r="AB270" s="129">
        <f t="shared" si="79"/>
        <v>2825</v>
      </c>
      <c r="AC270" s="130">
        <v>0</v>
      </c>
      <c r="AD270" s="35">
        <f t="shared" si="89"/>
        <v>2825</v>
      </c>
      <c r="AE270" s="166" t="str">
        <f t="shared" si="90"/>
        <v>Release</v>
      </c>
      <c r="AF270" s="127"/>
      <c r="AG270" s="18">
        <v>0</v>
      </c>
      <c r="AH270" s="120"/>
      <c r="AI270" s="238">
        <v>0</v>
      </c>
      <c r="AJ270" s="132"/>
      <c r="AK270" s="151">
        <v>871.4</v>
      </c>
      <c r="AL270" s="154">
        <f t="shared" si="80"/>
        <v>0</v>
      </c>
      <c r="AM270" s="155"/>
      <c r="AN270" s="19">
        <f t="shared" si="81"/>
        <v>2130.9144238149397</v>
      </c>
      <c r="AO270" s="118">
        <f>SUMIF('MPG Payment '!E:E,'Shayak Income '!D270,'MPG Payment '!AJ:AJ)</f>
        <v>0</v>
      </c>
      <c r="AP270" s="19">
        <f t="shared" si="82"/>
        <v>2130.9144238149397</v>
      </c>
      <c r="AQ270" s="119">
        <f t="shared" si="91"/>
        <v>2130.9144238149397</v>
      </c>
      <c r="AR270" s="91" t="s">
        <v>1168</v>
      </c>
      <c r="AS270" s="91">
        <f t="shared" si="83"/>
        <v>9247</v>
      </c>
      <c r="AT270" s="118"/>
      <c r="AU270" s="118"/>
      <c r="AV270" s="118"/>
    </row>
    <row r="271" spans="1:48" s="20" customFormat="1" x14ac:dyDescent="0.25">
      <c r="A271" s="17">
        <f>IFERROR(VLOOKUP(D271,'Monthly Deduction'!$I$3:$J$957,2,0),0)</f>
        <v>0</v>
      </c>
      <c r="B271" s="17">
        <f>IFERROR(VLOOKUP(D271,'Monthly Deduction'!$E$3:$F$957,2,0),0)</f>
        <v>0</v>
      </c>
      <c r="C271" s="17">
        <f t="shared" si="84"/>
        <v>0</v>
      </c>
      <c r="D271" s="41">
        <v>10090055</v>
      </c>
      <c r="E271" s="122" t="str">
        <f>VLOOKUP(D271,'MPG Payment '!$E$3:$G$498218,2,0)</f>
        <v>RAMDIH Ajit Kumar</v>
      </c>
      <c r="F271" s="146">
        <f>IFERROR(_xlfn.XLOOKUP(D271,'Monthly Deduction'!$I$3:$I$957,'Monthly Deduction'!$H$3:$H$957),0)</f>
        <v>0</v>
      </c>
      <c r="G271" s="123" t="str">
        <f>VLOOKUP(D271,'MPG Payment '!$E$3:$G$334579,3,0)</f>
        <v>vlc</v>
      </c>
      <c r="H271" s="124" t="str">
        <f>VLOOKUP(D271,'MPG Payment '!$E$3:$H$334579,4,0)</f>
        <v>Indirect</v>
      </c>
      <c r="I271" s="88">
        <f>INDEX('MPG Payment '!$C:$C,MATCH('Shayak Income '!D271,'MPG Payment '!E:E,0))</f>
        <v>1009</v>
      </c>
      <c r="J271" s="88" t="str">
        <f>INDEX('MPG Payment '!$D:$D,MATCH('Shayak Income '!D271,'MPG Payment '!E:E,0))</f>
        <v>Halsi</v>
      </c>
      <c r="K271" s="125" t="s">
        <v>1322</v>
      </c>
      <c r="L271" s="125">
        <v>45590</v>
      </c>
      <c r="M271" s="126">
        <f>SUMIF('MPG Payment '!$E$3:$E$34579,'Shayak Income '!D271,'MPG Payment '!$I$3:$I$34579)</f>
        <v>1026.9000000000001</v>
      </c>
      <c r="N271" s="126">
        <f>SUMIF('MPG Payment '!$E$3:$E$34579,'Shayak Income '!D271,'MPG Payment '!$J$3:$J$34579)</f>
        <v>38983.870037729001</v>
      </c>
      <c r="O271" s="126">
        <f t="shared" si="85"/>
        <v>770.17500000000007</v>
      </c>
      <c r="P271" s="126">
        <f t="shared" si="86"/>
        <v>975.55500000000006</v>
      </c>
      <c r="Q271" s="126">
        <f>SUMIF('MPG Payment '!$E$3:$E$34579,'Shayak Income '!D271,'MPG Payment '!$S$3:$S$34579)</f>
        <v>0</v>
      </c>
      <c r="R271" s="126">
        <f t="shared" si="76"/>
        <v>1169.5161011318701</v>
      </c>
      <c r="S271" s="126">
        <f t="shared" si="77"/>
        <v>193.96110113187001</v>
      </c>
      <c r="T271" s="126">
        <f t="shared" si="87"/>
        <v>102.69000000000001</v>
      </c>
      <c r="U271" s="127">
        <f>(((IF(K271="New",0,SUMIF('MPG Payment '!$E$3:$E$34579,'Shayak Income '!D271,'MPG Payment '!$AC$3:$AC$34579))))+0)+0</f>
        <v>1348.6196248340802</v>
      </c>
      <c r="V271" s="127">
        <f t="shared" si="88"/>
        <v>294</v>
      </c>
      <c r="W271" s="19">
        <f t="shared" si="92"/>
        <v>0</v>
      </c>
      <c r="X271" s="19">
        <f t="shared" si="78"/>
        <v>0</v>
      </c>
      <c r="Y271" s="128">
        <f>IFERROR(VLOOKUP(D271,'Monthly Deduction'!$M$2:$N$64,2,0),0)</f>
        <v>0</v>
      </c>
      <c r="Z271" s="128">
        <v>0</v>
      </c>
      <c r="AA271" s="126">
        <f>IFERROR(VLOOKUP(D271,'Monthly Deduction'!A:B,2,0),0)</f>
        <v>0</v>
      </c>
      <c r="AB271" s="129">
        <f t="shared" si="79"/>
        <v>294</v>
      </c>
      <c r="AC271" s="130">
        <v>0</v>
      </c>
      <c r="AD271" s="35">
        <f t="shared" si="89"/>
        <v>294</v>
      </c>
      <c r="AE271" s="166" t="str">
        <f t="shared" si="90"/>
        <v>Release</v>
      </c>
      <c r="AF271" s="127"/>
      <c r="AG271" s="18">
        <v>0</v>
      </c>
      <c r="AH271" s="120"/>
      <c r="AI271" s="238">
        <v>0</v>
      </c>
      <c r="AJ271" s="132"/>
      <c r="AK271" s="151">
        <v>362.7</v>
      </c>
      <c r="AL271" s="154">
        <f t="shared" si="80"/>
        <v>0</v>
      </c>
      <c r="AM271" s="155"/>
      <c r="AN271" s="19">
        <f t="shared" si="81"/>
        <v>0</v>
      </c>
      <c r="AO271" s="118">
        <f>SUMIF('MPG Payment '!E:E,'Shayak Income '!D271,'MPG Payment '!AJ:AJ)</f>
        <v>0</v>
      </c>
      <c r="AP271" s="19">
        <f t="shared" si="82"/>
        <v>0</v>
      </c>
      <c r="AQ271" s="119">
        <f t="shared" si="91"/>
        <v>0</v>
      </c>
      <c r="AR271" s="91" t="s">
        <v>1168</v>
      </c>
      <c r="AS271" s="91">
        <f t="shared" si="83"/>
        <v>0</v>
      </c>
      <c r="AT271" s="118"/>
      <c r="AU271" s="118"/>
      <c r="AV271" s="118"/>
    </row>
    <row r="272" spans="1:48" s="20" customFormat="1" x14ac:dyDescent="0.25">
      <c r="A272" s="17">
        <f>IFERROR(VLOOKUP(D272,'Monthly Deduction'!$I$3:$J$957,2,0),0)</f>
        <v>53929.21200134977</v>
      </c>
      <c r="B272" s="17">
        <f>IFERROR(VLOOKUP(D272,'Monthly Deduction'!$E$3:$F$957,2,0),0)</f>
        <v>7182</v>
      </c>
      <c r="C272" s="17">
        <f t="shared" si="84"/>
        <v>61111.21200134977</v>
      </c>
      <c r="D272" s="41">
        <v>10090056</v>
      </c>
      <c r="E272" s="122" t="str">
        <f>VLOOKUP(D272,'MPG Payment '!$E$3:$G$498218,2,0)</f>
        <v>NARAYANPUR</v>
      </c>
      <c r="F272" s="146">
        <f>IFERROR(_xlfn.XLOOKUP(D272,'Monthly Deduction'!$I$3:$I$957,'Monthly Deduction'!$H$3:$H$957),0)</f>
        <v>0</v>
      </c>
      <c r="G272" s="123" t="str">
        <f>VLOOKUP(D272,'MPG Payment '!$E$3:$G$334579,3,0)</f>
        <v>MPG</v>
      </c>
      <c r="H272" s="124" t="str">
        <f>VLOOKUP(D272,'MPG Payment '!$E$3:$H$334579,4,0)</f>
        <v>Direct</v>
      </c>
      <c r="I272" s="88">
        <f>INDEX('MPG Payment '!$C:$C,MATCH('Shayak Income '!D272,'MPG Payment '!E:E,0))</f>
        <v>1009</v>
      </c>
      <c r="J272" s="88" t="str">
        <f>INDEX('MPG Payment '!$D:$D,MATCH('Shayak Income '!D272,'MPG Payment '!E:E,0))</f>
        <v>Halsi</v>
      </c>
      <c r="K272" s="125" t="s">
        <v>1322</v>
      </c>
      <c r="L272" s="125">
        <v>45614</v>
      </c>
      <c r="M272" s="126">
        <f>SUMIF('MPG Payment '!$E$3:$E$34579,'Shayak Income '!D272,'MPG Payment '!$I$3:$I$34579)</f>
        <v>2308.9</v>
      </c>
      <c r="N272" s="126">
        <f>SUMIF('MPG Payment '!$E$3:$E$34579,'Shayak Income '!D272,'MPG Payment '!$J$3:$J$34579)</f>
        <v>91936.910810139991</v>
      </c>
      <c r="O272" s="126">
        <f t="shared" si="85"/>
        <v>1731.6750000000002</v>
      </c>
      <c r="P272" s="126">
        <f t="shared" si="86"/>
        <v>2193.4549999999999</v>
      </c>
      <c r="Q272" s="126">
        <f>SUMIF('MPG Payment '!$E$3:$E$34579,'Shayak Income '!D272,'MPG Payment '!$S$3:$S$34579)</f>
        <v>265.50329061176001</v>
      </c>
      <c r="R272" s="126">
        <f t="shared" si="76"/>
        <v>2758.1073243041997</v>
      </c>
      <c r="S272" s="126">
        <f t="shared" si="77"/>
        <v>564.65232430419974</v>
      </c>
      <c r="T272" s="126">
        <f t="shared" si="87"/>
        <v>230.89000000000001</v>
      </c>
      <c r="U272" s="127">
        <f>(((IF(K272="New",0,SUMIF('MPG Payment '!$E$3:$E$34579,'Shayak Income '!D272,'MPG Payment '!$AC$3:$AC$34579))))+0)+0</f>
        <v>457.41278627731344</v>
      </c>
      <c r="V272" s="127">
        <f t="shared" si="88"/>
        <v>3502</v>
      </c>
      <c r="W272" s="19">
        <f t="shared" si="92"/>
        <v>1861</v>
      </c>
      <c r="X272" s="19">
        <v>0</v>
      </c>
      <c r="Y272" s="128">
        <f>IFERROR(VLOOKUP(D272,'Monthly Deduction'!$M$2:$N$64,2,0),0)</f>
        <v>0</v>
      </c>
      <c r="Z272" s="128">
        <v>0</v>
      </c>
      <c r="AA272" s="126">
        <f>IFERROR(VLOOKUP(D272,'Monthly Deduction'!A:B,2,0),0)</f>
        <v>0</v>
      </c>
      <c r="AB272" s="129">
        <f t="shared" si="79"/>
        <v>1641</v>
      </c>
      <c r="AC272" s="130">
        <v>0</v>
      </c>
      <c r="AD272" s="35">
        <f t="shared" si="89"/>
        <v>1641</v>
      </c>
      <c r="AE272" s="166" t="str">
        <f t="shared" si="90"/>
        <v>Release</v>
      </c>
      <c r="AF272" s="127"/>
      <c r="AG272" s="127">
        <v>0</v>
      </c>
      <c r="AH272" s="120"/>
      <c r="AI272" s="238">
        <v>0</v>
      </c>
      <c r="AJ272" s="132"/>
      <c r="AK272" s="151">
        <v>496.3</v>
      </c>
      <c r="AL272" s="154">
        <f t="shared" si="80"/>
        <v>0</v>
      </c>
      <c r="AM272" s="155"/>
      <c r="AN272" s="19">
        <f t="shared" si="81"/>
        <v>1861</v>
      </c>
      <c r="AO272" s="118">
        <f>SUMIF('MPG Payment '!E:E,'Shayak Income '!D272,'MPG Payment '!AJ:AJ)</f>
        <v>0</v>
      </c>
      <c r="AP272" s="19">
        <f t="shared" si="82"/>
        <v>1861</v>
      </c>
      <c r="AQ272" s="119">
        <f t="shared" si="91"/>
        <v>1861</v>
      </c>
      <c r="AR272" s="91" t="s">
        <v>1168</v>
      </c>
      <c r="AS272" s="91">
        <f t="shared" si="83"/>
        <v>7182</v>
      </c>
      <c r="AT272" s="118"/>
      <c r="AU272" s="118"/>
      <c r="AV272" s="118"/>
    </row>
    <row r="273" spans="1:48" s="20" customFormat="1" x14ac:dyDescent="0.25">
      <c r="A273" s="17">
        <f>IFERROR(VLOOKUP(D273,'Monthly Deduction'!$I$3:$J$957,2,0),0)</f>
        <v>56994.041321856959</v>
      </c>
      <c r="B273" s="17">
        <f>IFERROR(VLOOKUP(D273,'Monthly Deduction'!$E$3:$F$957,2,0),0)</f>
        <v>3164.0036000000005</v>
      </c>
      <c r="C273" s="17">
        <f t="shared" si="84"/>
        <v>60158.044921856963</v>
      </c>
      <c r="D273" s="41">
        <v>10090058</v>
      </c>
      <c r="E273" s="122" t="str">
        <f>VLOOKUP(D273,'MPG Payment '!$E$3:$G$498218,2,0)</f>
        <v>NAWKADIH</v>
      </c>
      <c r="F273" s="146">
        <f>IFERROR(_xlfn.XLOOKUP(D273,'Monthly Deduction'!$I$3:$I$957,'Monthly Deduction'!$H$3:$H$957),0)</f>
        <v>0</v>
      </c>
      <c r="G273" s="123" t="str">
        <f>VLOOKUP(D273,'MPG Payment '!$E$3:$G$334579,3,0)</f>
        <v>MPG</v>
      </c>
      <c r="H273" s="124" t="str">
        <f>VLOOKUP(D273,'MPG Payment '!$E$3:$H$334579,4,0)</f>
        <v>Direct</v>
      </c>
      <c r="I273" s="88">
        <f>INDEX('MPG Payment '!$C:$C,MATCH('Shayak Income '!D273,'MPG Payment '!E:E,0))</f>
        <v>1009</v>
      </c>
      <c r="J273" s="88" t="str">
        <f>INDEX('MPG Payment '!$D:$D,MATCH('Shayak Income '!D273,'MPG Payment '!E:E,0))</f>
        <v>Halsi</v>
      </c>
      <c r="K273" s="125" t="s">
        <v>1322</v>
      </c>
      <c r="L273" s="125">
        <v>45681</v>
      </c>
      <c r="M273" s="126">
        <f>SUMIF('MPG Payment '!$E$3:$E$34579,'Shayak Income '!D273,'MPG Payment '!$I$3:$I$34579)</f>
        <v>3681.9000000000005</v>
      </c>
      <c r="N273" s="126">
        <f>SUMIF('MPG Payment '!$E$3:$E$34579,'Shayak Income '!D273,'MPG Payment '!$J$3:$J$34579)</f>
        <v>151762.9368352064</v>
      </c>
      <c r="O273" s="126">
        <f t="shared" si="85"/>
        <v>2761.4250000000002</v>
      </c>
      <c r="P273" s="126">
        <f t="shared" si="86"/>
        <v>3497.8050000000003</v>
      </c>
      <c r="Q273" s="126">
        <f>SUMIF('MPG Payment '!$E$3:$E$34579,'Shayak Income '!D273,'MPG Payment '!$S$3:$S$34579)</f>
        <v>23.584316411040003</v>
      </c>
      <c r="R273" s="126">
        <f t="shared" si="76"/>
        <v>4552.8881050561922</v>
      </c>
      <c r="S273" s="126">
        <f t="shared" si="77"/>
        <v>1055.0831050561919</v>
      </c>
      <c r="T273" s="126">
        <f t="shared" si="87"/>
        <v>368.19000000000005</v>
      </c>
      <c r="U273" s="127">
        <f>(((IF(K273="New",0,SUMIF('MPG Payment '!$E$3:$E$34579,'Shayak Income '!D273,'MPG Payment '!$AC$3:$AC$34579))))+0)+0</f>
        <v>112.99714530553985</v>
      </c>
      <c r="V273" s="127">
        <f t="shared" si="88"/>
        <v>5802</v>
      </c>
      <c r="W273" s="19">
        <f t="shared" si="92"/>
        <v>3035.2587367041283</v>
      </c>
      <c r="X273" s="19">
        <v>0</v>
      </c>
      <c r="Y273" s="128">
        <f>IFERROR(VLOOKUP(D273,'Monthly Deduction'!$M$2:$N$64,2,0),0)</f>
        <v>0</v>
      </c>
      <c r="Z273" s="128">
        <v>0</v>
      </c>
      <c r="AA273" s="126">
        <f>IFERROR(VLOOKUP(D273,'Monthly Deduction'!A:B,2,0),0)</f>
        <v>0</v>
      </c>
      <c r="AB273" s="129">
        <f t="shared" si="79"/>
        <v>2767</v>
      </c>
      <c r="AC273" s="130">
        <f t="shared" ref="AC273:AC278" si="93">AB273</f>
        <v>2767</v>
      </c>
      <c r="AD273" s="35">
        <f t="shared" si="89"/>
        <v>0</v>
      </c>
      <c r="AE273" s="166" t="str">
        <f t="shared" si="90"/>
        <v>Yes</v>
      </c>
      <c r="AF273" s="127"/>
      <c r="AG273" s="127">
        <v>0</v>
      </c>
      <c r="AH273" s="120" t="s">
        <v>1653</v>
      </c>
      <c r="AI273" s="238">
        <v>0</v>
      </c>
      <c r="AJ273" s="132"/>
      <c r="AK273" s="151">
        <v>1159.2</v>
      </c>
      <c r="AL273" s="154">
        <f t="shared" si="80"/>
        <v>0</v>
      </c>
      <c r="AM273" s="155"/>
      <c r="AN273" s="19">
        <f t="shared" si="81"/>
        <v>3035.2587367041283</v>
      </c>
      <c r="AO273" s="118">
        <f>SUMIF('MPG Payment '!E:E,'Shayak Income '!D273,'MPG Payment '!AJ:AJ)</f>
        <v>0</v>
      </c>
      <c r="AP273" s="19">
        <f t="shared" si="82"/>
        <v>3035.2587367041283</v>
      </c>
      <c r="AQ273" s="119">
        <f t="shared" si="91"/>
        <v>3035.2587367041283</v>
      </c>
      <c r="AR273" s="91" t="s">
        <v>1168</v>
      </c>
      <c r="AS273" s="91">
        <f t="shared" si="83"/>
        <v>3164.0036000000005</v>
      </c>
      <c r="AT273" s="118"/>
      <c r="AU273" s="118"/>
      <c r="AV273" s="118"/>
    </row>
    <row r="274" spans="1:48" s="20" customFormat="1" x14ac:dyDescent="0.25">
      <c r="A274" s="17">
        <f>IFERROR(VLOOKUP(D274,'Monthly Deduction'!$I$3:$J$957,2,0),0)</f>
        <v>67102</v>
      </c>
      <c r="B274" s="17">
        <f>IFERROR(VLOOKUP(D274,'Monthly Deduction'!$E$3:$F$957,2,0),0)</f>
        <v>4280.6896857994798</v>
      </c>
      <c r="C274" s="17">
        <f t="shared" si="84"/>
        <v>71382.689685799472</v>
      </c>
      <c r="D274" s="41">
        <v>10090060</v>
      </c>
      <c r="E274" s="122" t="str">
        <f>VLOOKUP(D274,'MPG Payment '!$E$3:$G$498218,2,0)</f>
        <v xml:space="preserve">KHARAGWADA </v>
      </c>
      <c r="F274" s="146">
        <f>IFERROR(_xlfn.XLOOKUP(D274,'Monthly Deduction'!$I$3:$I$957,'Monthly Deduction'!$H$3:$H$957),0)</f>
        <v>0</v>
      </c>
      <c r="G274" s="123" t="str">
        <f>VLOOKUP(D274,'MPG Payment '!$E$3:$G$334579,3,0)</f>
        <v>MPG</v>
      </c>
      <c r="H274" s="124" t="str">
        <f>VLOOKUP(D274,'MPG Payment '!$E$3:$H$334579,4,0)</f>
        <v>Direct</v>
      </c>
      <c r="I274" s="88">
        <f>INDEX('MPG Payment '!$C:$C,MATCH('Shayak Income '!D274,'MPG Payment '!E:E,0))</f>
        <v>1009</v>
      </c>
      <c r="J274" s="88" t="str">
        <f>INDEX('MPG Payment '!$D:$D,MATCH('Shayak Income '!D274,'MPG Payment '!E:E,0))</f>
        <v>Halsi</v>
      </c>
      <c r="K274" s="125" t="s">
        <v>1322</v>
      </c>
      <c r="L274" s="125">
        <v>45707</v>
      </c>
      <c r="M274" s="126">
        <f>SUMIF('MPG Payment '!$E$3:$E$34579,'Shayak Income '!D274,'MPG Payment '!$I$3:$I$34579)</f>
        <v>855.9</v>
      </c>
      <c r="N274" s="126">
        <f>SUMIF('MPG Payment '!$E$3:$E$34579,'Shayak Income '!D274,'MPG Payment '!$J$3:$J$34579)</f>
        <v>35304.285035339999</v>
      </c>
      <c r="O274" s="126">
        <f t="shared" si="85"/>
        <v>641.92499999999995</v>
      </c>
      <c r="P274" s="126">
        <f t="shared" si="86"/>
        <v>813.1049999999999</v>
      </c>
      <c r="Q274" s="126">
        <f>SUMIF('MPG Payment '!$E$3:$E$34579,'Shayak Income '!D274,'MPG Payment '!$S$3:$S$34579)</f>
        <v>0</v>
      </c>
      <c r="R274" s="126">
        <f t="shared" si="76"/>
        <v>1059.1285510601999</v>
      </c>
      <c r="S274" s="126">
        <f t="shared" si="77"/>
        <v>246.02355106020002</v>
      </c>
      <c r="T274" s="126">
        <f t="shared" si="87"/>
        <v>85.59</v>
      </c>
      <c r="U274" s="127">
        <f>(((IF(K274="New",0,SUMIF('MPG Payment '!$E$3:$E$34579,'Shayak Income '!D274,'MPG Payment '!$AC$3:$AC$34579))))+0)+-232</f>
        <v>1369.7725571617023</v>
      </c>
      <c r="V274" s="127">
        <f t="shared" si="88"/>
        <v>0</v>
      </c>
      <c r="W274" s="19">
        <v>0</v>
      </c>
      <c r="X274" s="19">
        <v>0</v>
      </c>
      <c r="Y274" s="128">
        <f>IFERROR(VLOOKUP(D274,'Monthly Deduction'!$M$2:$N$64,2,0),0)</f>
        <v>0</v>
      </c>
      <c r="Z274" s="128">
        <v>0</v>
      </c>
      <c r="AA274" s="126">
        <f>IFERROR(VLOOKUP(D274,'Monthly Deduction'!A:B,2,0),0)</f>
        <v>0</v>
      </c>
      <c r="AB274" s="129">
        <f t="shared" si="79"/>
        <v>0</v>
      </c>
      <c r="AC274" s="130">
        <f t="shared" si="93"/>
        <v>0</v>
      </c>
      <c r="AD274" s="35">
        <f t="shared" si="89"/>
        <v>0</v>
      </c>
      <c r="AE274" s="166" t="str">
        <f t="shared" si="90"/>
        <v>Release</v>
      </c>
      <c r="AF274" s="127"/>
      <c r="AG274" s="18">
        <v>0</v>
      </c>
      <c r="AH274" s="120" t="s">
        <v>1653</v>
      </c>
      <c r="AI274" s="238">
        <v>0</v>
      </c>
      <c r="AJ274" s="132"/>
      <c r="AK274" s="151">
        <v>299.50000000000006</v>
      </c>
      <c r="AL274" s="154">
        <f t="shared" si="80"/>
        <v>0</v>
      </c>
      <c r="AM274" s="155"/>
      <c r="AN274" s="19">
        <f t="shared" si="81"/>
        <v>1861</v>
      </c>
      <c r="AO274" s="118">
        <f>SUMIF('MPG Payment '!E:E,'Shayak Income '!D274,'MPG Payment '!AJ:AJ)</f>
        <v>500</v>
      </c>
      <c r="AP274" s="19">
        <f t="shared" si="82"/>
        <v>0</v>
      </c>
      <c r="AQ274" s="119">
        <f t="shared" si="91"/>
        <v>500</v>
      </c>
      <c r="AR274" s="91" t="s">
        <v>1168</v>
      </c>
      <c r="AS274" s="91">
        <f t="shared" si="83"/>
        <v>4280.6896857994798</v>
      </c>
      <c r="AT274" s="118"/>
      <c r="AU274" s="118"/>
      <c r="AV274" s="118"/>
    </row>
    <row r="275" spans="1:48" s="20" customFormat="1" x14ac:dyDescent="0.25">
      <c r="A275" s="17">
        <f>IFERROR(VLOOKUP(D275,'Monthly Deduction'!$I$3:$J$957,2,0),0)</f>
        <v>99620</v>
      </c>
      <c r="B275" s="17">
        <f>IFERROR(VLOOKUP(D275,'Monthly Deduction'!$E$3:$F$957,2,0),0)</f>
        <v>0</v>
      </c>
      <c r="C275" s="17">
        <f t="shared" si="84"/>
        <v>99620</v>
      </c>
      <c r="D275" s="41">
        <v>10090061</v>
      </c>
      <c r="E275" s="122" t="str">
        <f>VLOOKUP(D275,'MPG Payment '!$E$3:$G$498218,2,0)</f>
        <v>UFFAPUR</v>
      </c>
      <c r="F275" s="146">
        <f>IFERROR(_xlfn.XLOOKUP(D275,'Monthly Deduction'!$I$3:$I$957,'Monthly Deduction'!$H$3:$H$957),0)</f>
        <v>0</v>
      </c>
      <c r="G275" s="123" t="str">
        <f>VLOOKUP(D275,'MPG Payment '!$E$3:$G$334579,3,0)</f>
        <v>MPG</v>
      </c>
      <c r="H275" s="124" t="str">
        <f>VLOOKUP(D275,'MPG Payment '!$E$3:$H$334579,4,0)</f>
        <v>Direct</v>
      </c>
      <c r="I275" s="88">
        <f>INDEX('MPG Payment '!$C:$C,MATCH('Shayak Income '!D275,'MPG Payment '!E:E,0))</f>
        <v>1009</v>
      </c>
      <c r="J275" s="88" t="str">
        <f>INDEX('MPG Payment '!$D:$D,MATCH('Shayak Income '!D275,'MPG Payment '!E:E,0))</f>
        <v>Halsi</v>
      </c>
      <c r="K275" s="125" t="s">
        <v>1322</v>
      </c>
      <c r="L275" s="125">
        <v>45722</v>
      </c>
      <c r="M275" s="126">
        <f>SUMIF('MPG Payment '!$E$3:$E$34579,'Shayak Income '!D275,'MPG Payment '!$I$3:$I$34579)</f>
        <v>678.90000000000009</v>
      </c>
      <c r="N275" s="126">
        <f>SUMIF('MPG Payment '!$E$3:$E$34579,'Shayak Income '!D275,'MPG Payment '!$J$3:$J$34579)</f>
        <v>30432.4876383749</v>
      </c>
      <c r="O275" s="126">
        <f t="shared" si="85"/>
        <v>509.17500000000007</v>
      </c>
      <c r="P275" s="126">
        <f t="shared" si="86"/>
        <v>644.95500000000004</v>
      </c>
      <c r="Q275" s="126">
        <f>SUMIF('MPG Payment '!$E$3:$E$34579,'Shayak Income '!D275,'MPG Payment '!$S$3:$S$34579)</f>
        <v>0</v>
      </c>
      <c r="R275" s="126">
        <f t="shared" si="76"/>
        <v>912.97462915124697</v>
      </c>
      <c r="S275" s="126">
        <f t="shared" si="77"/>
        <v>268.01962915124693</v>
      </c>
      <c r="T275" s="126">
        <f t="shared" si="87"/>
        <v>67.890000000000015</v>
      </c>
      <c r="U275" s="127">
        <f>(((IF(K275="New",0,SUMIF('MPG Payment '!$E$3:$E$34579,'Shayak Income '!D275,'MPG Payment '!$AC$3:$AC$34579))))+0)+-813</f>
        <v>1085.9433480010857</v>
      </c>
      <c r="V275" s="127">
        <f t="shared" si="88"/>
        <v>0</v>
      </c>
      <c r="W275" s="19">
        <v>0</v>
      </c>
      <c r="X275" s="19">
        <v>0</v>
      </c>
      <c r="Y275" s="128">
        <f>IFERROR(VLOOKUP(D275,'Monthly Deduction'!$M$2:$N$64,2,0),0)</f>
        <v>0</v>
      </c>
      <c r="Z275" s="128">
        <v>0</v>
      </c>
      <c r="AA275" s="126">
        <v>0</v>
      </c>
      <c r="AB275" s="129">
        <f t="shared" si="79"/>
        <v>0</v>
      </c>
      <c r="AC275" s="130">
        <f t="shared" si="93"/>
        <v>0</v>
      </c>
      <c r="AD275" s="35">
        <f t="shared" si="89"/>
        <v>0</v>
      </c>
      <c r="AE275" s="166" t="str">
        <f t="shared" si="90"/>
        <v>Release</v>
      </c>
      <c r="AF275" s="127"/>
      <c r="AG275" s="18">
        <v>0</v>
      </c>
      <c r="AH275" s="120" t="s">
        <v>1646</v>
      </c>
      <c r="AI275" s="238">
        <v>20000</v>
      </c>
      <c r="AJ275" s="132"/>
      <c r="AK275" s="151">
        <v>157.79999999999998</v>
      </c>
      <c r="AL275" s="154">
        <f t="shared" si="80"/>
        <v>0</v>
      </c>
      <c r="AM275" s="155"/>
      <c r="AN275" s="19">
        <f t="shared" si="81"/>
        <v>1861</v>
      </c>
      <c r="AO275" s="118">
        <f>SUMIF('MPG Payment '!E:E,'Shayak Income '!D275,'MPG Payment '!AJ:AJ)</f>
        <v>500</v>
      </c>
      <c r="AP275" s="19">
        <f t="shared" si="82"/>
        <v>0</v>
      </c>
      <c r="AQ275" s="119">
        <f t="shared" si="91"/>
        <v>500</v>
      </c>
      <c r="AR275" s="91" t="s">
        <v>1168</v>
      </c>
      <c r="AS275" s="91">
        <f t="shared" si="83"/>
        <v>0</v>
      </c>
      <c r="AT275" s="118"/>
      <c r="AU275" s="118"/>
      <c r="AV275" s="118"/>
    </row>
    <row r="276" spans="1:48" s="20" customFormat="1" x14ac:dyDescent="0.25">
      <c r="A276" s="17">
        <f>IFERROR(VLOOKUP(D276,'Monthly Deduction'!$I$3:$J$957,2,0),0)</f>
        <v>74607</v>
      </c>
      <c r="B276" s="17">
        <f>IFERROR(VLOOKUP(D276,'Monthly Deduction'!$E$3:$F$957,2,0),0)</f>
        <v>6400</v>
      </c>
      <c r="C276" s="17">
        <f t="shared" si="84"/>
        <v>81007</v>
      </c>
      <c r="D276" s="41">
        <v>10090063</v>
      </c>
      <c r="E276" s="122" t="str">
        <f>VLOOKUP(D276,'MPG Payment '!$E$3:$G$498218,2,0)</f>
        <v>BIHRAURA</v>
      </c>
      <c r="F276" s="146">
        <f>IFERROR(_xlfn.XLOOKUP(D276,'Monthly Deduction'!$I$3:$I$957,'Monthly Deduction'!$H$3:$H$957),0)</f>
        <v>0</v>
      </c>
      <c r="G276" s="123" t="str">
        <f>VLOOKUP(D276,'MPG Payment '!$E$3:$G$334579,3,0)</f>
        <v>MPG</v>
      </c>
      <c r="H276" s="124" t="str">
        <f>VLOOKUP(D276,'MPG Payment '!$E$3:$H$334579,4,0)</f>
        <v>Direct</v>
      </c>
      <c r="I276" s="88">
        <f>INDEX('MPG Payment '!$C:$C,MATCH('Shayak Income '!D276,'MPG Payment '!E:E,0))</f>
        <v>1009</v>
      </c>
      <c r="J276" s="88" t="str">
        <f>INDEX('MPG Payment '!$D:$D,MATCH('Shayak Income '!D276,'MPG Payment '!E:E,0))</f>
        <v>Halsi</v>
      </c>
      <c r="K276" s="125" t="s">
        <v>1322</v>
      </c>
      <c r="L276" s="125">
        <v>45745</v>
      </c>
      <c r="M276" s="126">
        <f>SUMIF('MPG Payment '!$E$3:$E$34579,'Shayak Income '!D276,'MPG Payment '!$I$3:$I$34579)</f>
        <v>566</v>
      </c>
      <c r="N276" s="126">
        <f>SUMIF('MPG Payment '!$E$3:$E$34579,'Shayak Income '!D276,'MPG Payment '!$J$3:$J$34579)</f>
        <v>24622.949308020001</v>
      </c>
      <c r="O276" s="126">
        <f t="shared" si="85"/>
        <v>424.5</v>
      </c>
      <c r="P276" s="126">
        <f t="shared" si="86"/>
        <v>537.69999999999993</v>
      </c>
      <c r="Q276" s="126">
        <f>SUMIF('MPG Payment '!$E$3:$E$34579,'Shayak Income '!D276,'MPG Payment '!$S$3:$S$34579)</f>
        <v>0</v>
      </c>
      <c r="R276" s="126">
        <f t="shared" si="76"/>
        <v>738.68847924060003</v>
      </c>
      <c r="S276" s="126">
        <f t="shared" si="77"/>
        <v>200.9884792406001</v>
      </c>
      <c r="T276" s="126">
        <f t="shared" si="87"/>
        <v>56.6</v>
      </c>
      <c r="U276" s="127">
        <f>(((IF(K276="New",0,SUMIF('MPG Payment '!$E$3:$E$34579,'Shayak Income '!D276,'MPG Payment '!$AC$3:$AC$34579))))+0)+-1045</f>
        <v>905.90967608401002</v>
      </c>
      <c r="V276" s="127">
        <f t="shared" si="88"/>
        <v>0</v>
      </c>
      <c r="W276" s="19">
        <v>0</v>
      </c>
      <c r="X276" s="19">
        <v>0</v>
      </c>
      <c r="Y276" s="128">
        <f>IFERROR(VLOOKUP(D276,'Monthly Deduction'!$M$2:$N$64,2,0),0)</f>
        <v>0</v>
      </c>
      <c r="Z276" s="128">
        <v>0</v>
      </c>
      <c r="AA276" s="126">
        <f>IFERROR(VLOOKUP(D276,'Monthly Deduction'!A:B,2,0),0)</f>
        <v>0</v>
      </c>
      <c r="AB276" s="129">
        <f t="shared" si="79"/>
        <v>0</v>
      </c>
      <c r="AC276" s="130">
        <f t="shared" si="93"/>
        <v>0</v>
      </c>
      <c r="AD276" s="35">
        <f t="shared" si="89"/>
        <v>0</v>
      </c>
      <c r="AE276" s="166" t="str">
        <f t="shared" si="90"/>
        <v>Release</v>
      </c>
      <c r="AF276" s="127"/>
      <c r="AG276" s="127">
        <v>0</v>
      </c>
      <c r="AH276" s="120" t="s">
        <v>1653</v>
      </c>
      <c r="AI276" s="238">
        <v>0</v>
      </c>
      <c r="AJ276" s="132"/>
      <c r="AK276" s="151">
        <v>162.59999999999997</v>
      </c>
      <c r="AL276" s="154">
        <f t="shared" si="80"/>
        <v>0</v>
      </c>
      <c r="AM276" s="155"/>
      <c r="AN276" s="19">
        <f t="shared" si="81"/>
        <v>1861</v>
      </c>
      <c r="AO276" s="118">
        <f>SUMIF('MPG Payment '!E:E,'Shayak Income '!D276,'MPG Payment '!AJ:AJ)</f>
        <v>500</v>
      </c>
      <c r="AP276" s="19">
        <f t="shared" si="82"/>
        <v>0</v>
      </c>
      <c r="AQ276" s="119">
        <f t="shared" si="91"/>
        <v>500</v>
      </c>
      <c r="AR276" s="91" t="s">
        <v>1168</v>
      </c>
      <c r="AS276" s="91">
        <f t="shared" si="83"/>
        <v>6400</v>
      </c>
      <c r="AT276" s="118"/>
      <c r="AU276" s="118"/>
      <c r="AV276" s="118"/>
    </row>
    <row r="277" spans="1:48" s="20" customFormat="1" x14ac:dyDescent="0.25">
      <c r="A277" s="17">
        <f>IFERROR(VLOOKUP(D277,'Monthly Deduction'!$I$3:$J$957,2,0),0)</f>
        <v>73099.335800000001</v>
      </c>
      <c r="B277" s="17">
        <f>IFERROR(VLOOKUP(D277,'Monthly Deduction'!$E$3:$F$957,2,0),0)</f>
        <v>6108</v>
      </c>
      <c r="C277" s="17">
        <f t="shared" si="84"/>
        <v>79207.335800000001</v>
      </c>
      <c r="D277" s="41">
        <v>10090064</v>
      </c>
      <c r="E277" s="122" t="str">
        <f>VLOOKUP(D277,'MPG Payment '!$E$3:$G$498218,2,0)</f>
        <v>SHIJHORI</v>
      </c>
      <c r="F277" s="146">
        <f>IFERROR(_xlfn.XLOOKUP(D277,'Monthly Deduction'!$I$3:$I$957,'Monthly Deduction'!$H$3:$H$957),0)</f>
        <v>0</v>
      </c>
      <c r="G277" s="123" t="str">
        <f>VLOOKUP(D277,'MPG Payment '!$E$3:$G$334579,3,0)</f>
        <v>MPG</v>
      </c>
      <c r="H277" s="124" t="str">
        <f>VLOOKUP(D277,'MPG Payment '!$E$3:$H$334579,4,0)</f>
        <v>Direct</v>
      </c>
      <c r="I277" s="88">
        <f>INDEX('MPG Payment '!$C:$C,MATCH('Shayak Income '!D277,'MPG Payment '!E:E,0))</f>
        <v>1009</v>
      </c>
      <c r="J277" s="88" t="str">
        <f>INDEX('MPG Payment '!$D:$D,MATCH('Shayak Income '!D277,'MPG Payment '!E:E,0))</f>
        <v>Halsi</v>
      </c>
      <c r="K277" s="125" t="s">
        <v>1322</v>
      </c>
      <c r="L277" s="125">
        <v>45745</v>
      </c>
      <c r="M277" s="126">
        <f>SUMIF('MPG Payment '!$E$3:$E$34579,'Shayak Income '!D277,'MPG Payment '!$I$3:$I$34579)</f>
        <v>1664.6</v>
      </c>
      <c r="N277" s="126">
        <f>SUMIF('MPG Payment '!$E$3:$E$34579,'Shayak Income '!D277,'MPG Payment '!$J$3:$J$34579)</f>
        <v>68548.145366487603</v>
      </c>
      <c r="O277" s="126">
        <f t="shared" si="85"/>
        <v>1248.4499999999998</v>
      </c>
      <c r="P277" s="126">
        <f t="shared" si="86"/>
        <v>1581.37</v>
      </c>
      <c r="Q277" s="126">
        <f>SUMIF('MPG Payment '!$E$3:$E$34579,'Shayak Income '!D277,'MPG Payment '!$S$3:$S$34579)</f>
        <v>0</v>
      </c>
      <c r="R277" s="126">
        <f t="shared" si="76"/>
        <v>2056.4443609946279</v>
      </c>
      <c r="S277" s="126">
        <f t="shared" si="77"/>
        <v>475.07436099462802</v>
      </c>
      <c r="T277" s="126">
        <f t="shared" si="87"/>
        <v>166.46</v>
      </c>
      <c r="U277" s="127">
        <f>(((IF(K277="New",0,SUMIF('MPG Payment '!$E$3:$E$34579,'Shayak Income '!D277,'MPG Payment '!$AC$3:$AC$34579))))+0)+0</f>
        <v>933.14849333478787</v>
      </c>
      <c r="V277" s="127">
        <f t="shared" si="88"/>
        <v>1730</v>
      </c>
      <c r="W277" s="19">
        <v>1730</v>
      </c>
      <c r="X277" s="19">
        <v>0</v>
      </c>
      <c r="Y277" s="128">
        <f>IFERROR(VLOOKUP(D277,'Monthly Deduction'!$M$2:$N$64,2,0),0)</f>
        <v>0</v>
      </c>
      <c r="Z277" s="128">
        <v>0</v>
      </c>
      <c r="AA277" s="126">
        <v>0</v>
      </c>
      <c r="AB277" s="129">
        <f t="shared" si="79"/>
        <v>0</v>
      </c>
      <c r="AC277" s="130">
        <f t="shared" si="93"/>
        <v>0</v>
      </c>
      <c r="AD277" s="35">
        <f t="shared" si="89"/>
        <v>0</v>
      </c>
      <c r="AE277" s="166" t="str">
        <f t="shared" si="90"/>
        <v>Release</v>
      </c>
      <c r="AF277" s="127"/>
      <c r="AG277" s="18">
        <v>0</v>
      </c>
      <c r="AH277" s="120" t="s">
        <v>1653</v>
      </c>
      <c r="AI277" s="238">
        <v>0</v>
      </c>
      <c r="AJ277" s="132"/>
      <c r="AK277" s="151">
        <v>470.2</v>
      </c>
      <c r="AL277" s="154">
        <f t="shared" si="80"/>
        <v>0</v>
      </c>
      <c r="AM277" s="155"/>
      <c r="AN277" s="19">
        <f t="shared" si="81"/>
        <v>1861</v>
      </c>
      <c r="AO277" s="118">
        <f>SUMIF('MPG Payment '!E:E,'Shayak Income '!D277,'MPG Payment '!AJ:AJ)</f>
        <v>0</v>
      </c>
      <c r="AP277" s="19">
        <f t="shared" si="82"/>
        <v>1730</v>
      </c>
      <c r="AQ277" s="119">
        <f t="shared" si="91"/>
        <v>1730</v>
      </c>
      <c r="AR277" s="91" t="s">
        <v>1168</v>
      </c>
      <c r="AS277" s="91">
        <f t="shared" si="83"/>
        <v>6108</v>
      </c>
      <c r="AT277" s="118"/>
      <c r="AU277" s="118"/>
      <c r="AV277" s="118"/>
    </row>
    <row r="278" spans="1:48" s="20" customFormat="1" x14ac:dyDescent="0.25">
      <c r="A278" s="17">
        <f>IFERROR(VLOOKUP(D278,'Monthly Deduction'!$I$3:$J$957,2,0),0)</f>
        <v>69638.128400000001</v>
      </c>
      <c r="B278" s="17">
        <f>IFERROR(VLOOKUP(D278,'Monthly Deduction'!$E$3:$F$957,2,0),0)</f>
        <v>0</v>
      </c>
      <c r="C278" s="17">
        <f t="shared" si="84"/>
        <v>69638.128400000001</v>
      </c>
      <c r="D278" s="41">
        <v>10090065</v>
      </c>
      <c r="E278" s="122" t="str">
        <f>VLOOKUP(D278,'MPG Payment '!$E$3:$G$498218,2,0)</f>
        <v>RAM PRAVESH YADAV</v>
      </c>
      <c r="F278" s="146">
        <f>IFERROR(_xlfn.XLOOKUP(D278,'Monthly Deduction'!$I$3:$I$957,'Monthly Deduction'!$H$3:$H$957),0)</f>
        <v>0</v>
      </c>
      <c r="G278" s="123" t="str">
        <f>VLOOKUP(D278,'MPG Payment '!$E$3:$G$334579,3,0)</f>
        <v>MPG</v>
      </c>
      <c r="H278" s="124" t="str">
        <f>VLOOKUP(D278,'MPG Payment '!$E$3:$H$334579,4,0)</f>
        <v>Direct</v>
      </c>
      <c r="I278" s="88">
        <f>INDEX('MPG Payment '!$C:$C,MATCH('Shayak Income '!D278,'MPG Payment '!E:E,0))</f>
        <v>1009</v>
      </c>
      <c r="J278" s="88" t="str">
        <f>INDEX('MPG Payment '!$D:$D,MATCH('Shayak Income '!D278,'MPG Payment '!E:E,0))</f>
        <v>Halsi</v>
      </c>
      <c r="K278" s="125" t="s">
        <v>1322</v>
      </c>
      <c r="L278" s="125">
        <v>45796</v>
      </c>
      <c r="M278" s="126">
        <f>SUMIF('MPG Payment '!$E$3:$E$34579,'Shayak Income '!D278,'MPG Payment '!$I$3:$I$34579)</f>
        <v>1853.3</v>
      </c>
      <c r="N278" s="126">
        <f>SUMIF('MPG Payment '!$E$3:$E$34579,'Shayak Income '!D278,'MPG Payment '!$J$3:$J$34579)</f>
        <v>73058.899285546009</v>
      </c>
      <c r="O278" s="126">
        <f t="shared" si="85"/>
        <v>1389.9749999999999</v>
      </c>
      <c r="P278" s="126">
        <f t="shared" si="86"/>
        <v>1760.6349999999998</v>
      </c>
      <c r="Q278" s="126">
        <f>SUMIF('MPG Payment '!$E$3:$E$34579,'Shayak Income '!D278,'MPG Payment '!$S$3:$S$34579)</f>
        <v>0</v>
      </c>
      <c r="R278" s="126">
        <f t="shared" si="76"/>
        <v>2191.7669785663802</v>
      </c>
      <c r="S278" s="126">
        <f t="shared" si="77"/>
        <v>431.13197856638044</v>
      </c>
      <c r="T278" s="126">
        <f t="shared" si="87"/>
        <v>185.33</v>
      </c>
      <c r="U278" s="127">
        <f>(((IF(K278="New",0,SUMIF('MPG Payment '!$E$3:$E$34579,'Shayak Income '!D278,'MPG Payment '!$AC$3:$AC$34579))))+0)+0</f>
        <v>742.99374681302015</v>
      </c>
      <c r="V278" s="127">
        <f t="shared" si="88"/>
        <v>2222</v>
      </c>
      <c r="W278" s="19">
        <f t="shared" si="92"/>
        <v>1861</v>
      </c>
      <c r="X278" s="19">
        <v>0</v>
      </c>
      <c r="Y278" s="128">
        <f>IFERROR(VLOOKUP(D278,'Monthly Deduction'!$M$2:$N$64,2,0),0)</f>
        <v>0</v>
      </c>
      <c r="Z278" s="128">
        <v>0</v>
      </c>
      <c r="AA278" s="126">
        <f>IFERROR(VLOOKUP(D278,'Monthly Deduction'!A:B,2,0),0)</f>
        <v>0</v>
      </c>
      <c r="AB278" s="129">
        <f t="shared" si="79"/>
        <v>361</v>
      </c>
      <c r="AC278" s="130">
        <f t="shared" si="93"/>
        <v>361</v>
      </c>
      <c r="AD278" s="35">
        <f t="shared" si="89"/>
        <v>0</v>
      </c>
      <c r="AE278" s="166" t="str">
        <f t="shared" si="90"/>
        <v>Yes</v>
      </c>
      <c r="AF278" s="127"/>
      <c r="AG278" s="18">
        <v>0</v>
      </c>
      <c r="AH278" s="120" t="s">
        <v>1653</v>
      </c>
      <c r="AI278" s="238">
        <v>0</v>
      </c>
      <c r="AJ278" s="132"/>
      <c r="AK278" s="151">
        <v>587</v>
      </c>
      <c r="AL278" s="154">
        <f t="shared" si="80"/>
        <v>0</v>
      </c>
      <c r="AM278" s="155"/>
      <c r="AN278" s="19">
        <f t="shared" si="81"/>
        <v>1861</v>
      </c>
      <c r="AO278" s="118">
        <f>SUMIF('MPG Payment '!E:E,'Shayak Income '!D278,'MPG Payment '!AJ:AJ)</f>
        <v>0</v>
      </c>
      <c r="AP278" s="19">
        <f t="shared" si="82"/>
        <v>1861</v>
      </c>
      <c r="AQ278" s="119">
        <f t="shared" si="91"/>
        <v>1861</v>
      </c>
      <c r="AR278" s="91" t="s">
        <v>1168</v>
      </c>
      <c r="AS278" s="91">
        <f t="shared" si="83"/>
        <v>0</v>
      </c>
      <c r="AT278" s="118"/>
      <c r="AU278" s="118"/>
      <c r="AV278" s="118"/>
    </row>
    <row r="279" spans="1:48" s="20" customFormat="1" x14ac:dyDescent="0.25">
      <c r="A279" s="17">
        <f>IFERROR(VLOOKUP(D279,'Monthly Deduction'!$I$3:$J$957,2,0),0)</f>
        <v>13833.472612801139</v>
      </c>
      <c r="B279" s="17">
        <f>IFERROR(VLOOKUP(D279,'Monthly Deduction'!$E$3:$F$957,2,0),0)</f>
        <v>13444.929599999999</v>
      </c>
      <c r="C279" s="17">
        <f t="shared" si="84"/>
        <v>27278.402212801138</v>
      </c>
      <c r="D279" s="41">
        <v>10100001</v>
      </c>
      <c r="E279" s="122" t="str">
        <f>VLOOKUP(D279,'MPG Payment '!$E$3:$G$498218,2,0)</f>
        <v>Vishan Pur</v>
      </c>
      <c r="F279" s="146">
        <f>IFERROR(_xlfn.XLOOKUP(D279,'Monthly Deduction'!$I$3:$I$957,'Monthly Deduction'!$H$3:$H$957),0)</f>
        <v>0</v>
      </c>
      <c r="G279" s="123" t="str">
        <f>VLOOKUP(D279,'MPG Payment '!$E$3:$G$334579,3,0)</f>
        <v>MPG</v>
      </c>
      <c r="H279" s="124" t="str">
        <f>VLOOKUP(D279,'MPG Payment '!$E$3:$H$334579,4,0)</f>
        <v>Direct</v>
      </c>
      <c r="I279" s="88">
        <f>INDEX('MPG Payment '!$C:$C,MATCH('Shayak Income '!D279,'MPG Payment '!E:E,0))</f>
        <v>1010</v>
      </c>
      <c r="J279" s="88" t="str">
        <f>INDEX('MPG Payment '!$D:$D,MATCH('Shayak Income '!D279,'MPG Payment '!E:E,0))</f>
        <v>Parbatta</v>
      </c>
      <c r="K279" s="125" t="s">
        <v>1322</v>
      </c>
      <c r="L279" s="125">
        <v>43020</v>
      </c>
      <c r="M279" s="126">
        <f>SUMIF('MPG Payment '!$E$3:$E$34579,'Shayak Income '!D279,'MPG Payment '!$I$3:$I$34579)</f>
        <v>3384.2</v>
      </c>
      <c r="N279" s="126">
        <f>SUMIF('MPG Payment '!$E$3:$E$34579,'Shayak Income '!D279,'MPG Payment '!$J$3:$J$34579)</f>
        <v>126041.19489832001</v>
      </c>
      <c r="O279" s="126">
        <f t="shared" si="85"/>
        <v>2538.1499999999996</v>
      </c>
      <c r="P279" s="126">
        <f t="shared" si="86"/>
        <v>3214.99</v>
      </c>
      <c r="Q279" s="126">
        <f>SUMIF('MPG Payment '!$E$3:$E$34579,'Shayak Income '!D279,'MPG Payment '!$S$3:$S$34579)</f>
        <v>1130.8478853360002</v>
      </c>
      <c r="R279" s="126">
        <f t="shared" si="76"/>
        <v>3781.2358469496003</v>
      </c>
      <c r="S279" s="126">
        <f t="shared" si="77"/>
        <v>566.24584694960049</v>
      </c>
      <c r="T279" s="126">
        <f t="shared" si="87"/>
        <v>338.42</v>
      </c>
      <c r="U279" s="127">
        <f>(((IF(K279="New",0,SUMIF('MPG Payment '!$E$3:$E$34579,'Shayak Income '!D279,'MPG Payment '!$AC$3:$AC$34579))))+0)+0</f>
        <v>0</v>
      </c>
      <c r="V279" s="127">
        <f t="shared" si="88"/>
        <v>6546</v>
      </c>
      <c r="W279" s="19">
        <f t="shared" si="92"/>
        <v>2520.8238979664002</v>
      </c>
      <c r="X279" s="19">
        <v>0</v>
      </c>
      <c r="Y279" s="128">
        <f>IFERROR(VLOOKUP(D279,'Monthly Deduction'!$M$2:$N$64,2,0),0)</f>
        <v>0</v>
      </c>
      <c r="Z279" s="128">
        <v>0</v>
      </c>
      <c r="AA279" s="126">
        <f>IFERROR(VLOOKUP(D279,'Monthly Deduction'!A:B,2,0),0)</f>
        <v>0</v>
      </c>
      <c r="AB279" s="129">
        <f t="shared" si="79"/>
        <v>4025</v>
      </c>
      <c r="AC279" s="130">
        <v>0</v>
      </c>
      <c r="AD279" s="35">
        <f t="shared" si="89"/>
        <v>4025</v>
      </c>
      <c r="AE279" s="166" t="str">
        <f t="shared" si="90"/>
        <v>Release</v>
      </c>
      <c r="AF279" s="127"/>
      <c r="AG279" s="18">
        <v>0</v>
      </c>
      <c r="AH279" s="120"/>
      <c r="AI279" s="238">
        <v>0</v>
      </c>
      <c r="AJ279" s="132"/>
      <c r="AK279" s="151">
        <v>759.5</v>
      </c>
      <c r="AL279" s="154">
        <f t="shared" si="80"/>
        <v>0</v>
      </c>
      <c r="AM279" s="155"/>
      <c r="AN279" s="19">
        <f t="shared" si="81"/>
        <v>2520.8238979664002</v>
      </c>
      <c r="AO279" s="118">
        <f>SUMIF('MPG Payment '!E:E,'Shayak Income '!D279,'MPG Payment '!AJ:AJ)</f>
        <v>0</v>
      </c>
      <c r="AP279" s="19">
        <f t="shared" si="82"/>
        <v>2520.8238979664002</v>
      </c>
      <c r="AQ279" s="119">
        <f t="shared" si="91"/>
        <v>2520.8238979664002</v>
      </c>
      <c r="AR279" s="91" t="s">
        <v>1168</v>
      </c>
      <c r="AS279" s="91">
        <f t="shared" si="83"/>
        <v>13444.929599999999</v>
      </c>
      <c r="AT279" s="118"/>
      <c r="AU279" s="118"/>
      <c r="AV279" s="118"/>
    </row>
    <row r="280" spans="1:48" s="20" customFormat="1" x14ac:dyDescent="0.25">
      <c r="A280" s="17">
        <f>IFERROR(VLOOKUP(D280,'Monthly Deduction'!$I$3:$J$957,2,0),0)</f>
        <v>0</v>
      </c>
      <c r="B280" s="17">
        <f>IFERROR(VLOOKUP(D280,'Monthly Deduction'!$E$3:$F$957,2,0),0)</f>
        <v>0.25059999999939464</v>
      </c>
      <c r="C280" s="17">
        <f t="shared" si="84"/>
        <v>0.25059999999939464</v>
      </c>
      <c r="D280" s="41">
        <v>10100003</v>
      </c>
      <c r="E280" s="122" t="str">
        <f>VLOOKUP(D280,'MPG Payment '!$E$3:$G$498218,2,0)</f>
        <v>Gomukh Madhawpur</v>
      </c>
      <c r="F280" s="146">
        <f>IFERROR(_xlfn.XLOOKUP(D280,'Monthly Deduction'!$I$3:$I$957,'Monthly Deduction'!$H$3:$H$957),0)</f>
        <v>0</v>
      </c>
      <c r="G280" s="123" t="str">
        <f>VLOOKUP(D280,'MPG Payment '!$E$3:$G$334579,3,0)</f>
        <v>MPG</v>
      </c>
      <c r="H280" s="124" t="str">
        <f>VLOOKUP(D280,'MPG Payment '!$E$3:$H$334579,4,0)</f>
        <v>Direct</v>
      </c>
      <c r="I280" s="88">
        <f>INDEX('MPG Payment '!$C:$C,MATCH('Shayak Income '!D280,'MPG Payment '!E:E,0))</f>
        <v>1010</v>
      </c>
      <c r="J280" s="88" t="str">
        <f>INDEX('MPG Payment '!$D:$D,MATCH('Shayak Income '!D280,'MPG Payment '!E:E,0))</f>
        <v>Parbatta</v>
      </c>
      <c r="K280" s="125" t="s">
        <v>1322</v>
      </c>
      <c r="L280" s="125">
        <v>44974</v>
      </c>
      <c r="M280" s="126">
        <f>SUMIF('MPG Payment '!$E$3:$E$34579,'Shayak Income '!D280,'MPG Payment '!$I$3:$I$34579)</f>
        <v>6290.7999999999993</v>
      </c>
      <c r="N280" s="126">
        <f>SUMIF('MPG Payment '!$E$3:$E$34579,'Shayak Income '!D280,'MPG Payment '!$J$3:$J$34579)</f>
        <v>240903.66784111719</v>
      </c>
      <c r="O280" s="126">
        <f t="shared" si="85"/>
        <v>4718.0999999999995</v>
      </c>
      <c r="P280" s="126">
        <f t="shared" si="86"/>
        <v>5976.2599999999993</v>
      </c>
      <c r="Q280" s="126">
        <f>SUMIF('MPG Payment '!$E$3:$E$34579,'Shayak Income '!D280,'MPG Payment '!$S$3:$S$34579)</f>
        <v>1193.5424822544999</v>
      </c>
      <c r="R280" s="126">
        <f t="shared" si="76"/>
        <v>7227.1100352335152</v>
      </c>
      <c r="S280" s="126">
        <f t="shared" si="77"/>
        <v>1250.8500352335159</v>
      </c>
      <c r="T280" s="126">
        <f t="shared" si="87"/>
        <v>629.07999999999993</v>
      </c>
      <c r="U280" s="127">
        <f>(((IF(K280="New",0,SUMIF('MPG Payment '!$E$3:$E$34579,'Shayak Income '!D280,'MPG Payment '!$AC$3:$AC$34579))))+0)+0</f>
        <v>0</v>
      </c>
      <c r="V280" s="127">
        <f t="shared" si="88"/>
        <v>11259</v>
      </c>
      <c r="W280" s="19">
        <f t="shared" si="92"/>
        <v>0</v>
      </c>
      <c r="X280" s="19">
        <f t="shared" si="78"/>
        <v>0.25059999999939464</v>
      </c>
      <c r="Y280" s="128">
        <f>IFERROR(VLOOKUP(D280,'Monthly Deduction'!$M$2:$N$64,2,0),0)</f>
        <v>0</v>
      </c>
      <c r="Z280" s="128">
        <v>0</v>
      </c>
      <c r="AA280" s="126">
        <f>IFERROR(VLOOKUP(D280,'Monthly Deduction'!A:B,2,0),0)</f>
        <v>0</v>
      </c>
      <c r="AB280" s="129">
        <f t="shared" si="79"/>
        <v>11259</v>
      </c>
      <c r="AC280" s="130">
        <v>0</v>
      </c>
      <c r="AD280" s="35">
        <f t="shared" si="89"/>
        <v>11259</v>
      </c>
      <c r="AE280" s="166" t="str">
        <f t="shared" si="90"/>
        <v>Release</v>
      </c>
      <c r="AF280" s="127"/>
      <c r="AG280" s="18">
        <v>0</v>
      </c>
      <c r="AH280" s="120"/>
      <c r="AI280" s="238">
        <v>0</v>
      </c>
      <c r="AJ280" s="132"/>
      <c r="AK280" s="151">
        <v>1677.1</v>
      </c>
      <c r="AL280" s="154">
        <f t="shared" si="80"/>
        <v>0</v>
      </c>
      <c r="AM280" s="155"/>
      <c r="AN280" s="19">
        <f t="shared" si="81"/>
        <v>0</v>
      </c>
      <c r="AO280" s="118">
        <f>SUMIF('MPG Payment '!E:E,'Shayak Income '!D280,'MPG Payment '!AJ:AJ)</f>
        <v>0</v>
      </c>
      <c r="AP280" s="19">
        <f t="shared" si="82"/>
        <v>0</v>
      </c>
      <c r="AQ280" s="119">
        <f t="shared" si="91"/>
        <v>0</v>
      </c>
      <c r="AR280" s="91"/>
      <c r="AS280" s="91">
        <f t="shared" si="83"/>
        <v>0</v>
      </c>
      <c r="AT280" s="118"/>
      <c r="AU280" s="118"/>
      <c r="AV280" s="118"/>
    </row>
    <row r="281" spans="1:48" s="20" customFormat="1" x14ac:dyDescent="0.25">
      <c r="A281" s="17">
        <f>IFERROR(VLOOKUP(D281,'Monthly Deduction'!$I$3:$J$957,2,0),0)</f>
        <v>0</v>
      </c>
      <c r="B281" s="17">
        <f>IFERROR(VLOOKUP(D281,'Monthly Deduction'!$E$3:$F$957,2,0),0)</f>
        <v>2886.1269635973586</v>
      </c>
      <c r="C281" s="17">
        <f t="shared" si="84"/>
        <v>2886.1269635973586</v>
      </c>
      <c r="D281" s="41">
        <v>10100009</v>
      </c>
      <c r="E281" s="122" t="str">
        <f>VLOOKUP(D281,'MPG Payment '!$E$3:$G$498218,2,0)</f>
        <v>Gomukh Kanhaiyachak Pachhim</v>
      </c>
      <c r="F281" s="146">
        <f>IFERROR(_xlfn.XLOOKUP(D281,'Monthly Deduction'!$I$3:$I$957,'Monthly Deduction'!$H$3:$H$957),0)</f>
        <v>0</v>
      </c>
      <c r="G281" s="123" t="str">
        <f>VLOOKUP(D281,'MPG Payment '!$E$3:$G$334579,3,0)</f>
        <v>MPG</v>
      </c>
      <c r="H281" s="124" t="str">
        <f>VLOOKUP(D281,'MPG Payment '!$E$3:$H$334579,4,0)</f>
        <v>Direct</v>
      </c>
      <c r="I281" s="88">
        <f>INDEX('MPG Payment '!$C:$C,MATCH('Shayak Income '!D281,'MPG Payment '!E:E,0))</f>
        <v>1010</v>
      </c>
      <c r="J281" s="88" t="str">
        <f>INDEX('MPG Payment '!$D:$D,MATCH('Shayak Income '!D281,'MPG Payment '!E:E,0))</f>
        <v>Parbatta</v>
      </c>
      <c r="K281" s="125" t="s">
        <v>1322</v>
      </c>
      <c r="L281" s="125">
        <v>45012</v>
      </c>
      <c r="M281" s="126">
        <f>SUMIF('MPG Payment '!$E$3:$E$34579,'Shayak Income '!D281,'MPG Payment '!$I$3:$I$34579)</f>
        <v>4632.8</v>
      </c>
      <c r="N281" s="126">
        <f>SUMIF('MPG Payment '!$E$3:$E$34579,'Shayak Income '!D281,'MPG Payment '!$J$3:$J$34579)</f>
        <v>183705.85735428901</v>
      </c>
      <c r="O281" s="126">
        <f t="shared" si="85"/>
        <v>3474.6000000000004</v>
      </c>
      <c r="P281" s="126">
        <f t="shared" si="86"/>
        <v>4401.16</v>
      </c>
      <c r="Q281" s="126">
        <f>SUMIF('MPG Payment '!$E$3:$E$34579,'Shayak Income '!D281,'MPG Payment '!$S$3:$S$34579)</f>
        <v>0</v>
      </c>
      <c r="R281" s="126">
        <f t="shared" si="76"/>
        <v>5511.1757206286702</v>
      </c>
      <c r="S281" s="126">
        <f t="shared" si="77"/>
        <v>1110.0157206286704</v>
      </c>
      <c r="T281" s="126">
        <f t="shared" si="87"/>
        <v>463.28000000000003</v>
      </c>
      <c r="U281" s="127">
        <f>(((IF(K281="New",0,SUMIF('MPG Payment '!$E$3:$E$34579,'Shayak Income '!D281,'MPG Payment '!$AC$3:$AC$34579))))+0)+0</f>
        <v>0</v>
      </c>
      <c r="V281" s="127">
        <f t="shared" si="88"/>
        <v>7412</v>
      </c>
      <c r="W281" s="19">
        <f t="shared" si="92"/>
        <v>0</v>
      </c>
      <c r="X281" s="19">
        <f t="shared" si="78"/>
        <v>2886.1269635973586</v>
      </c>
      <c r="Y281" s="128">
        <f>IFERROR(VLOOKUP(D281,'Monthly Deduction'!$M$2:$N$64,2,0),0)</f>
        <v>0</v>
      </c>
      <c r="Z281" s="128">
        <v>0</v>
      </c>
      <c r="AA281" s="126">
        <f>IFERROR(VLOOKUP(D281,'Monthly Deduction'!A:B,2,0),0)</f>
        <v>0</v>
      </c>
      <c r="AB281" s="129">
        <f t="shared" si="79"/>
        <v>4526</v>
      </c>
      <c r="AC281" s="130">
        <v>0</v>
      </c>
      <c r="AD281" s="35">
        <f t="shared" si="89"/>
        <v>4526</v>
      </c>
      <c r="AE281" s="166" t="str">
        <f t="shared" si="90"/>
        <v>Release</v>
      </c>
      <c r="AF281" s="127"/>
      <c r="AG281" s="18">
        <v>0</v>
      </c>
      <c r="AH281" s="120"/>
      <c r="AI281" s="238">
        <v>0</v>
      </c>
      <c r="AJ281" s="132"/>
      <c r="AK281" s="151">
        <v>1237</v>
      </c>
      <c r="AL281" s="154">
        <f t="shared" si="80"/>
        <v>0</v>
      </c>
      <c r="AM281" s="155"/>
      <c r="AN281" s="19">
        <f t="shared" si="81"/>
        <v>0</v>
      </c>
      <c r="AO281" s="118">
        <f>SUMIF('MPG Payment '!E:E,'Shayak Income '!D281,'MPG Payment '!AJ:AJ)</f>
        <v>0</v>
      </c>
      <c r="AP281" s="19">
        <f t="shared" si="82"/>
        <v>0</v>
      </c>
      <c r="AQ281" s="119">
        <f t="shared" si="91"/>
        <v>0</v>
      </c>
      <c r="AR281" s="91" t="s">
        <v>1168</v>
      </c>
      <c r="AS281" s="91">
        <f t="shared" si="83"/>
        <v>0</v>
      </c>
      <c r="AT281" s="118"/>
      <c r="AU281" s="118"/>
      <c r="AV281" s="118"/>
    </row>
    <row r="282" spans="1:48" s="20" customFormat="1" x14ac:dyDescent="0.25">
      <c r="A282" s="17">
        <f>IFERROR(VLOOKUP(D282,'Monthly Deduction'!$I$3:$J$957,2,0),0)</f>
        <v>30971.18842726892</v>
      </c>
      <c r="B282" s="17">
        <f>IFERROR(VLOOKUP(D282,'Monthly Deduction'!$E$3:$F$957,2,0),0)</f>
        <v>17788</v>
      </c>
      <c r="C282" s="17">
        <f t="shared" si="84"/>
        <v>48759.18842726892</v>
      </c>
      <c r="D282" s="41">
        <v>10100014</v>
      </c>
      <c r="E282" s="122" t="str">
        <f>VLOOKUP(D282,'MPG Payment '!$E$3:$G$498218,2,0)</f>
        <v>Gomukh Srirampur Thuthi</v>
      </c>
      <c r="F282" s="146">
        <f>IFERROR(_xlfn.XLOOKUP(D282,'Monthly Deduction'!$I$3:$I$957,'Monthly Deduction'!$H$3:$H$957),0)</f>
        <v>0</v>
      </c>
      <c r="G282" s="123" t="str">
        <f>VLOOKUP(D282,'MPG Payment '!$E$3:$G$334579,3,0)</f>
        <v>MPG</v>
      </c>
      <c r="H282" s="124" t="str">
        <f>VLOOKUP(D282,'MPG Payment '!$E$3:$H$334579,4,0)</f>
        <v>Direct</v>
      </c>
      <c r="I282" s="88">
        <f>INDEX('MPG Payment '!$C:$C,MATCH('Shayak Income '!D282,'MPG Payment '!E:E,0))</f>
        <v>1010</v>
      </c>
      <c r="J282" s="88" t="str">
        <f>INDEX('MPG Payment '!$D:$D,MATCH('Shayak Income '!D282,'MPG Payment '!E:E,0))</f>
        <v>Parbatta</v>
      </c>
      <c r="K282" s="125" t="s">
        <v>1322</v>
      </c>
      <c r="L282" s="125">
        <v>45016</v>
      </c>
      <c r="M282" s="126">
        <f>SUMIF('MPG Payment '!$E$3:$E$34579,'Shayak Income '!D282,'MPG Payment '!$I$3:$I$34579)</f>
        <v>1333.8000000000002</v>
      </c>
      <c r="N282" s="126">
        <f>SUMIF('MPG Payment '!$E$3:$E$34579,'Shayak Income '!D282,'MPG Payment '!$J$3:$J$34579)</f>
        <v>51299.465661620001</v>
      </c>
      <c r="O282" s="126">
        <f t="shared" si="85"/>
        <v>1000.3500000000001</v>
      </c>
      <c r="P282" s="126">
        <f t="shared" si="86"/>
        <v>1267.1100000000001</v>
      </c>
      <c r="Q282" s="126">
        <f>SUMIF('MPG Payment '!$E$3:$E$34579,'Shayak Income '!D282,'MPG Payment '!$S$3:$S$34579)</f>
        <v>0</v>
      </c>
      <c r="R282" s="126">
        <f t="shared" si="76"/>
        <v>1538.9839698486001</v>
      </c>
      <c r="S282" s="126">
        <f t="shared" si="77"/>
        <v>271.87396984859993</v>
      </c>
      <c r="T282" s="126">
        <f t="shared" si="87"/>
        <v>133.38000000000002</v>
      </c>
      <c r="U282" s="127">
        <f>(((IF(K282="New",0,SUMIF('MPG Payment '!$E$3:$E$34579,'Shayak Income '!D282,'MPG Payment '!$AC$3:$AC$34579))))+0)+0</f>
        <v>1128.6017671915035</v>
      </c>
      <c r="V282" s="127">
        <f t="shared" si="88"/>
        <v>1005</v>
      </c>
      <c r="W282" s="19">
        <v>1005</v>
      </c>
      <c r="X282" s="19">
        <v>0</v>
      </c>
      <c r="Y282" s="128">
        <f>IFERROR(VLOOKUP(D282,'Monthly Deduction'!$M$2:$N$64,2,0),0)</f>
        <v>0</v>
      </c>
      <c r="Z282" s="128">
        <v>0</v>
      </c>
      <c r="AA282" s="126">
        <f>IFERROR(VLOOKUP(D282,'Monthly Deduction'!A:B,2,0),0)</f>
        <v>0</v>
      </c>
      <c r="AB282" s="129">
        <f t="shared" si="79"/>
        <v>0</v>
      </c>
      <c r="AC282" s="130">
        <v>0</v>
      </c>
      <c r="AD282" s="35">
        <f t="shared" si="89"/>
        <v>0</v>
      </c>
      <c r="AE282" s="166" t="str">
        <f t="shared" si="90"/>
        <v>Release</v>
      </c>
      <c r="AF282" s="127"/>
      <c r="AG282" s="127">
        <v>0</v>
      </c>
      <c r="AH282" s="120"/>
      <c r="AI282" s="238">
        <v>0</v>
      </c>
      <c r="AJ282" s="132"/>
      <c r="AK282" s="151">
        <v>329.09999999999997</v>
      </c>
      <c r="AL282" s="154">
        <f t="shared" si="80"/>
        <v>0</v>
      </c>
      <c r="AM282" s="155"/>
      <c r="AN282" s="19">
        <f t="shared" si="81"/>
        <v>1861</v>
      </c>
      <c r="AO282" s="118">
        <f>SUMIF('MPG Payment '!E:E,'Shayak Income '!D282,'MPG Payment '!AJ:AJ)</f>
        <v>0</v>
      </c>
      <c r="AP282" s="19">
        <f t="shared" si="82"/>
        <v>1005</v>
      </c>
      <c r="AQ282" s="119">
        <f t="shared" si="91"/>
        <v>1005</v>
      </c>
      <c r="AR282" s="91" t="s">
        <v>1168</v>
      </c>
      <c r="AS282" s="91">
        <f t="shared" si="83"/>
        <v>17788</v>
      </c>
      <c r="AT282" s="118"/>
      <c r="AU282" s="118"/>
      <c r="AV282" s="118"/>
    </row>
    <row r="283" spans="1:48" s="20" customFormat="1" x14ac:dyDescent="0.25">
      <c r="A283" s="17">
        <f>IFERROR(VLOOKUP(D283,'Monthly Deduction'!$I$3:$J$957,2,0),0)</f>
        <v>0</v>
      </c>
      <c r="B283" s="17">
        <f>IFERROR(VLOOKUP(D283,'Monthly Deduction'!$E$3:$F$957,2,0),0)</f>
        <v>14531.984399999999</v>
      </c>
      <c r="C283" s="17">
        <f t="shared" si="84"/>
        <v>14531.984399999999</v>
      </c>
      <c r="D283" s="41">
        <v>10100021</v>
      </c>
      <c r="E283" s="122" t="str">
        <f>VLOOKUP(D283,'MPG Payment '!$E$3:$G$498218,2,0)</f>
        <v xml:space="preserve">Gomukh Bandahera                                                                                    </v>
      </c>
      <c r="F283" s="146">
        <f>IFERROR(_xlfn.XLOOKUP(D283,'Monthly Deduction'!$I$3:$I$957,'Monthly Deduction'!$H$3:$H$957),0)</f>
        <v>0</v>
      </c>
      <c r="G283" s="123" t="str">
        <f>VLOOKUP(D283,'MPG Payment '!$E$3:$G$334579,3,0)</f>
        <v>MPG</v>
      </c>
      <c r="H283" s="124" t="str">
        <f>VLOOKUP(D283,'MPG Payment '!$E$3:$H$334579,4,0)</f>
        <v>Direct</v>
      </c>
      <c r="I283" s="88">
        <f>INDEX('MPG Payment '!$C:$C,MATCH('Shayak Income '!D283,'MPG Payment '!E:E,0))</f>
        <v>1010</v>
      </c>
      <c r="J283" s="88" t="str">
        <f>INDEX('MPG Payment '!$D:$D,MATCH('Shayak Income '!D283,'MPG Payment '!E:E,0))</f>
        <v>Parbatta</v>
      </c>
      <c r="K283" s="125" t="s">
        <v>1322</v>
      </c>
      <c r="L283" s="125">
        <v>45017</v>
      </c>
      <c r="M283" s="126">
        <f>SUMIF('MPG Payment '!$E$3:$E$34579,'Shayak Income '!D283,'MPG Payment '!$I$3:$I$34579)</f>
        <v>1905.5</v>
      </c>
      <c r="N283" s="126">
        <f>SUMIF('MPG Payment '!$E$3:$E$34579,'Shayak Income '!D283,'MPG Payment '!$J$3:$J$34579)</f>
        <v>70057.062933640002</v>
      </c>
      <c r="O283" s="126">
        <f t="shared" si="85"/>
        <v>1429.125</v>
      </c>
      <c r="P283" s="126">
        <f t="shared" si="86"/>
        <v>1810.2249999999999</v>
      </c>
      <c r="Q283" s="126">
        <f>SUMIF('MPG Payment '!$E$3:$E$34579,'Shayak Income '!D283,'MPG Payment '!$S$3:$S$34579)</f>
        <v>97.590975360000016</v>
      </c>
      <c r="R283" s="126">
        <f t="shared" si="76"/>
        <v>2101.7118880091998</v>
      </c>
      <c r="S283" s="126">
        <f t="shared" si="77"/>
        <v>291.4868880091999</v>
      </c>
      <c r="T283" s="126">
        <f t="shared" si="87"/>
        <v>190.55</v>
      </c>
      <c r="U283" s="127">
        <f>(((IF(K283="New",0,SUMIF('MPG Payment '!$E$3:$E$34579,'Shayak Income '!D283,'MPG Payment '!$AC$3:$AC$34579))))+0)+0</f>
        <v>657.60765398627723</v>
      </c>
      <c r="V283" s="127">
        <f t="shared" si="88"/>
        <v>2489</v>
      </c>
      <c r="W283" s="19">
        <f t="shared" si="92"/>
        <v>0</v>
      </c>
      <c r="X283" s="19">
        <f t="shared" si="78"/>
        <v>1401.1412586727999</v>
      </c>
      <c r="Y283" s="128">
        <f>IFERROR(VLOOKUP(D283,'Monthly Deduction'!$M$2:$N$64,2,0),0)</f>
        <v>429</v>
      </c>
      <c r="Z283" s="128">
        <v>0</v>
      </c>
      <c r="AA283" s="126">
        <f>IFERROR(VLOOKUP(D283,'Monthly Deduction'!A:B,2,0),0)</f>
        <v>0</v>
      </c>
      <c r="AB283" s="129">
        <f t="shared" si="79"/>
        <v>659</v>
      </c>
      <c r="AC283" s="130">
        <v>0</v>
      </c>
      <c r="AD283" s="35">
        <f t="shared" si="89"/>
        <v>659</v>
      </c>
      <c r="AE283" s="166" t="str">
        <f t="shared" si="90"/>
        <v>Release</v>
      </c>
      <c r="AF283" s="127"/>
      <c r="AG283" s="127">
        <v>0</v>
      </c>
      <c r="AH283" s="120"/>
      <c r="AI283" s="238">
        <v>0</v>
      </c>
      <c r="AJ283" s="132"/>
      <c r="AK283" s="151">
        <v>446.5</v>
      </c>
      <c r="AL283" s="154">
        <f t="shared" si="80"/>
        <v>0</v>
      </c>
      <c r="AM283" s="155"/>
      <c r="AN283" s="19">
        <f t="shared" si="81"/>
        <v>0</v>
      </c>
      <c r="AO283" s="118">
        <f>SUMIF('MPG Payment '!E:E,'Shayak Income '!D283,'MPG Payment '!AJ:AJ)</f>
        <v>0</v>
      </c>
      <c r="AP283" s="19">
        <f t="shared" si="82"/>
        <v>0</v>
      </c>
      <c r="AQ283" s="119">
        <f t="shared" si="91"/>
        <v>0</v>
      </c>
      <c r="AR283" s="91" t="s">
        <v>1168</v>
      </c>
      <c r="AS283" s="91">
        <f t="shared" si="83"/>
        <v>13130.843141327199</v>
      </c>
      <c r="AT283" s="118"/>
      <c r="AU283" s="118"/>
      <c r="AV283" s="118"/>
    </row>
    <row r="284" spans="1:48" s="20" customFormat="1" x14ac:dyDescent="0.25">
      <c r="A284" s="17">
        <f>IFERROR(VLOOKUP(D284,'Monthly Deduction'!$I$3:$J$957,2,0),0)</f>
        <v>0</v>
      </c>
      <c r="B284" s="17">
        <f>IFERROR(VLOOKUP(D284,'Monthly Deduction'!$E$3:$F$957,2,0),0)</f>
        <v>0</v>
      </c>
      <c r="C284" s="17">
        <f t="shared" si="84"/>
        <v>0</v>
      </c>
      <c r="D284" s="41">
        <v>10100033</v>
      </c>
      <c r="E284" s="122" t="str">
        <f>VLOOKUP(D284,'MPG Payment '!$E$3:$G$498218,2,0)</f>
        <v>Gomukh Basudevpur</v>
      </c>
      <c r="F284" s="146">
        <f>IFERROR(_xlfn.XLOOKUP(D284,'Monthly Deduction'!$I$3:$I$957,'Monthly Deduction'!$H$3:$H$957),0)</f>
        <v>0</v>
      </c>
      <c r="G284" s="123" t="str">
        <f>VLOOKUP(D284,'MPG Payment '!$E$3:$G$334579,3,0)</f>
        <v>vlc</v>
      </c>
      <c r="H284" s="124" t="str">
        <f>VLOOKUP(D284,'MPG Payment '!$E$3:$H$334579,4,0)</f>
        <v>Indirect</v>
      </c>
      <c r="I284" s="88">
        <f>INDEX('MPG Payment '!$C:$C,MATCH('Shayak Income '!D284,'MPG Payment '!E:E,0))</f>
        <v>1007</v>
      </c>
      <c r="J284" s="88" t="str">
        <f>INDEX('MPG Payment '!$D:$D,MATCH('Shayak Income '!D284,'MPG Payment '!E:E,0))</f>
        <v>Araria</v>
      </c>
      <c r="K284" s="125" t="s">
        <v>1322</v>
      </c>
      <c r="L284" s="125">
        <v>45238</v>
      </c>
      <c r="M284" s="126">
        <f>SUMIF('MPG Payment '!$E$3:$E$34579,'Shayak Income '!D284,'MPG Payment '!$I$3:$I$34579)</f>
        <v>342.4</v>
      </c>
      <c r="N284" s="126">
        <f>SUMIF('MPG Payment '!$E$3:$E$34579,'Shayak Income '!D284,'MPG Payment '!$J$3:$J$34579)</f>
        <v>12794.045302426</v>
      </c>
      <c r="O284" s="126">
        <f t="shared" si="85"/>
        <v>256.79999999999995</v>
      </c>
      <c r="P284" s="126">
        <f t="shared" si="86"/>
        <v>325.27999999999997</v>
      </c>
      <c r="Q284" s="126">
        <f>SUMIF('MPG Payment '!$E$3:$E$34579,'Shayak Income '!D284,'MPG Payment '!$S$3:$S$34579)</f>
        <v>0</v>
      </c>
      <c r="R284" s="126">
        <f t="shared" si="76"/>
        <v>383.82135907278001</v>
      </c>
      <c r="S284" s="126">
        <f t="shared" si="77"/>
        <v>58.54135907278004</v>
      </c>
      <c r="T284" s="126">
        <f t="shared" si="87"/>
        <v>34.24</v>
      </c>
      <c r="U284" s="127">
        <f>(((IF(K284="New",0,SUMIF('MPG Payment '!$E$3:$E$34579,'Shayak Income '!D284,'MPG Payment '!$AC$3:$AC$34579))))+0)+-1381</f>
        <v>547.61524509754736</v>
      </c>
      <c r="V284" s="127">
        <f t="shared" si="88"/>
        <v>0</v>
      </c>
      <c r="W284" s="19">
        <v>0</v>
      </c>
      <c r="X284" s="19">
        <v>0</v>
      </c>
      <c r="Y284" s="128">
        <f>IFERROR(VLOOKUP(D284,'Monthly Deduction'!$M$2:$N$64,2,0),0)</f>
        <v>0</v>
      </c>
      <c r="Z284" s="128">
        <v>0</v>
      </c>
      <c r="AA284" s="126">
        <f>IFERROR(VLOOKUP(D284,'Monthly Deduction'!A:B,2,0),0)</f>
        <v>0</v>
      </c>
      <c r="AB284" s="129">
        <f t="shared" si="79"/>
        <v>0</v>
      </c>
      <c r="AC284" s="130">
        <v>0</v>
      </c>
      <c r="AD284" s="35">
        <f t="shared" si="89"/>
        <v>0</v>
      </c>
      <c r="AE284" s="166" t="str">
        <f t="shared" si="90"/>
        <v>Release</v>
      </c>
      <c r="AF284" s="127"/>
      <c r="AG284" s="18">
        <v>0</v>
      </c>
      <c r="AH284" s="120"/>
      <c r="AI284" s="238">
        <v>0</v>
      </c>
      <c r="AJ284" s="132"/>
      <c r="AK284" s="151">
        <v>290.39999999999998</v>
      </c>
      <c r="AL284" s="154">
        <f t="shared" si="80"/>
        <v>0</v>
      </c>
      <c r="AM284" s="155"/>
      <c r="AN284" s="19">
        <f t="shared" si="81"/>
        <v>0</v>
      </c>
      <c r="AO284" s="118">
        <f>SUMIF('MPG Payment '!E:E,'Shayak Income '!D284,'MPG Payment '!AJ:AJ)</f>
        <v>0</v>
      </c>
      <c r="AP284" s="19">
        <f t="shared" si="82"/>
        <v>0</v>
      </c>
      <c r="AQ284" s="119">
        <f t="shared" si="91"/>
        <v>0</v>
      </c>
      <c r="AR284" s="91" t="s">
        <v>1168</v>
      </c>
      <c r="AS284" s="91">
        <f t="shared" si="83"/>
        <v>0</v>
      </c>
      <c r="AT284" s="118"/>
      <c r="AU284" s="118"/>
      <c r="AV284" s="118"/>
    </row>
    <row r="285" spans="1:48" s="20" customFormat="1" x14ac:dyDescent="0.25">
      <c r="A285" s="17">
        <f>IFERROR(VLOOKUP(D285,'Monthly Deduction'!$I$3:$J$957,2,0),0)</f>
        <v>56425.692866156285</v>
      </c>
      <c r="B285" s="17">
        <f>IFERROR(VLOOKUP(D285,'Monthly Deduction'!$E$3:$F$957,2,0),0)</f>
        <v>6330</v>
      </c>
      <c r="C285" s="17">
        <f t="shared" si="84"/>
        <v>62755.692866156285</v>
      </c>
      <c r="D285" s="41">
        <v>10100035</v>
      </c>
      <c r="E285" s="122" t="str">
        <f>VLOOKUP(D285,'MPG Payment '!$E$3:$G$498218,2,0)</f>
        <v>Gomukh Fudkichak</v>
      </c>
      <c r="F285" s="146">
        <f>IFERROR(_xlfn.XLOOKUP(D285,'Monthly Deduction'!$I$3:$I$957,'Monthly Deduction'!$H$3:$H$957),0)</f>
        <v>0</v>
      </c>
      <c r="G285" s="123" t="str">
        <f>VLOOKUP(D285,'MPG Payment '!$E$3:$G$334579,3,0)</f>
        <v>MPG</v>
      </c>
      <c r="H285" s="124" t="str">
        <f>VLOOKUP(D285,'MPG Payment '!$E$3:$H$334579,4,0)</f>
        <v>Direct</v>
      </c>
      <c r="I285" s="88">
        <f>INDEX('MPG Payment '!$C:$C,MATCH('Shayak Income '!D285,'MPG Payment '!E:E,0))</f>
        <v>1007</v>
      </c>
      <c r="J285" s="88" t="str">
        <f>INDEX('MPG Payment '!$D:$D,MATCH('Shayak Income '!D285,'MPG Payment '!E:E,0))</f>
        <v>Araria</v>
      </c>
      <c r="K285" s="125" t="s">
        <v>1322</v>
      </c>
      <c r="L285" s="125">
        <v>45238</v>
      </c>
      <c r="M285" s="126">
        <f>SUMIF('MPG Payment '!$E$3:$E$34579,'Shayak Income '!D285,'MPG Payment '!$I$3:$I$34579)</f>
        <v>382.9</v>
      </c>
      <c r="N285" s="126">
        <f>SUMIF('MPG Payment '!$E$3:$E$34579,'Shayak Income '!D285,'MPG Payment '!$J$3:$J$34579)</f>
        <v>16835.318752858599</v>
      </c>
      <c r="O285" s="126">
        <f t="shared" si="85"/>
        <v>287.17499999999995</v>
      </c>
      <c r="P285" s="126">
        <f t="shared" si="86"/>
        <v>363.75499999999994</v>
      </c>
      <c r="Q285" s="126">
        <f>SUMIF('MPG Payment '!$E$3:$E$34579,'Shayak Income '!D285,'MPG Payment '!$S$3:$S$34579)</f>
        <v>0</v>
      </c>
      <c r="R285" s="126">
        <f t="shared" si="76"/>
        <v>505.05956258575793</v>
      </c>
      <c r="S285" s="126">
        <f t="shared" si="77"/>
        <v>141.30456258575799</v>
      </c>
      <c r="T285" s="126">
        <f t="shared" si="87"/>
        <v>38.29</v>
      </c>
      <c r="U285" s="127">
        <f>(((IF(K285="New",0,SUMIF('MPG Payment '!$E$3:$E$34579,'Shayak Income '!D285,'MPG Payment '!$AC$3:$AC$34579))))+0)+-314</f>
        <v>613.0273802339068</v>
      </c>
      <c r="V285" s="127">
        <f t="shared" si="88"/>
        <v>0</v>
      </c>
      <c r="W285" s="19">
        <v>0</v>
      </c>
      <c r="X285" s="19">
        <v>0</v>
      </c>
      <c r="Y285" s="128">
        <f>IFERROR(VLOOKUP(D285,'Monthly Deduction'!$M$2:$N$64,2,0),0)</f>
        <v>0</v>
      </c>
      <c r="Z285" s="128">
        <v>0</v>
      </c>
      <c r="AA285" s="126">
        <v>0</v>
      </c>
      <c r="AB285" s="129">
        <f t="shared" si="79"/>
        <v>0</v>
      </c>
      <c r="AC285" s="130">
        <v>0</v>
      </c>
      <c r="AD285" s="35">
        <f t="shared" si="89"/>
        <v>0</v>
      </c>
      <c r="AE285" s="166" t="str">
        <f t="shared" si="90"/>
        <v>Release</v>
      </c>
      <c r="AF285" s="127"/>
      <c r="AG285" s="18">
        <v>0</v>
      </c>
      <c r="AH285" s="120"/>
      <c r="AI285" s="238">
        <v>0</v>
      </c>
      <c r="AJ285" s="132"/>
      <c r="AK285" s="151">
        <v>156.60000000000002</v>
      </c>
      <c r="AL285" s="154">
        <f t="shared" si="80"/>
        <v>0</v>
      </c>
      <c r="AM285" s="155"/>
      <c r="AN285" s="19">
        <f t="shared" si="81"/>
        <v>1861</v>
      </c>
      <c r="AO285" s="118">
        <f>SUMIF('MPG Payment '!E:E,'Shayak Income '!D285,'MPG Payment '!AJ:AJ)</f>
        <v>0</v>
      </c>
      <c r="AP285" s="19">
        <f t="shared" si="82"/>
        <v>0</v>
      </c>
      <c r="AQ285" s="119">
        <f t="shared" si="91"/>
        <v>0</v>
      </c>
      <c r="AR285" s="91" t="s">
        <v>1168</v>
      </c>
      <c r="AS285" s="91">
        <f t="shared" si="83"/>
        <v>6330</v>
      </c>
      <c r="AT285" s="118"/>
      <c r="AU285" s="118"/>
      <c r="AV285" s="118"/>
    </row>
    <row r="286" spans="1:48" s="20" customFormat="1" x14ac:dyDescent="0.25">
      <c r="A286" s="17">
        <f>IFERROR(VLOOKUP(D286,'Monthly Deduction'!$I$3:$J$957,2,0),0)</f>
        <v>67438.471268697962</v>
      </c>
      <c r="B286" s="17">
        <f>IFERROR(VLOOKUP(D286,'Monthly Deduction'!$E$3:$F$957,2,0),0)</f>
        <v>6400</v>
      </c>
      <c r="C286" s="17">
        <f t="shared" si="84"/>
        <v>73838.471268697962</v>
      </c>
      <c r="D286" s="41">
        <v>10100037</v>
      </c>
      <c r="E286" s="122" t="str">
        <f>VLOOKUP(D286,'MPG Payment '!$E$3:$G$498218,2,0)</f>
        <v>Gomukh Tehay</v>
      </c>
      <c r="F286" s="146">
        <f>IFERROR(_xlfn.XLOOKUP(D286,'Monthly Deduction'!$I$3:$I$957,'Monthly Deduction'!$H$3:$H$957),0)</f>
        <v>0</v>
      </c>
      <c r="G286" s="123" t="str">
        <f>VLOOKUP(D286,'MPG Payment '!$E$3:$G$334579,3,0)</f>
        <v>MPG</v>
      </c>
      <c r="H286" s="124" t="str">
        <f>VLOOKUP(D286,'MPG Payment '!$E$3:$H$334579,4,0)</f>
        <v>Direct</v>
      </c>
      <c r="I286" s="88">
        <f>INDEX('MPG Payment '!$C:$C,MATCH('Shayak Income '!D286,'MPG Payment '!E:E,0))</f>
        <v>1007</v>
      </c>
      <c r="J286" s="88" t="str">
        <f>INDEX('MPG Payment '!$D:$D,MATCH('Shayak Income '!D286,'MPG Payment '!E:E,0))</f>
        <v>Araria</v>
      </c>
      <c r="K286" s="125" t="s">
        <v>1322</v>
      </c>
      <c r="L286" s="125">
        <v>45260</v>
      </c>
      <c r="M286" s="126">
        <f>SUMIF('MPG Payment '!$E$3:$E$34579,'Shayak Income '!D286,'MPG Payment '!$I$3:$I$34579)</f>
        <v>687.3</v>
      </c>
      <c r="N286" s="126">
        <f>SUMIF('MPG Payment '!$E$3:$E$34579,'Shayak Income '!D286,'MPG Payment '!$J$3:$J$34579)</f>
        <v>33884.411308241601</v>
      </c>
      <c r="O286" s="126">
        <f t="shared" si="85"/>
        <v>515.47499999999991</v>
      </c>
      <c r="P286" s="126">
        <f t="shared" si="86"/>
        <v>652.93499999999995</v>
      </c>
      <c r="Q286" s="126">
        <f>SUMIF('MPG Payment '!$E$3:$E$34579,'Shayak Income '!D286,'MPG Payment '!$S$3:$S$34579)</f>
        <v>0</v>
      </c>
      <c r="R286" s="126">
        <f t="shared" si="76"/>
        <v>1016.5323392472479</v>
      </c>
      <c r="S286" s="126">
        <f t="shared" si="77"/>
        <v>363.59733924724799</v>
      </c>
      <c r="T286" s="126">
        <f t="shared" si="87"/>
        <v>68.73</v>
      </c>
      <c r="U286" s="127">
        <f>(((IF(K286="New",0,SUMIF('MPG Payment '!$E$3:$E$34579,'Shayak Income '!D286,'MPG Payment '!$AC$3:$AC$34579))))+0)+-983</f>
        <v>1099.4968107375885</v>
      </c>
      <c r="V286" s="127">
        <f t="shared" si="88"/>
        <v>0</v>
      </c>
      <c r="W286" s="19">
        <v>0</v>
      </c>
      <c r="X286" s="19">
        <v>0</v>
      </c>
      <c r="Y286" s="128">
        <v>0</v>
      </c>
      <c r="Z286" s="128">
        <v>0</v>
      </c>
      <c r="AA286" s="126">
        <v>0</v>
      </c>
      <c r="AB286" s="129">
        <f t="shared" si="79"/>
        <v>0</v>
      </c>
      <c r="AC286" s="130">
        <v>0</v>
      </c>
      <c r="AD286" s="35">
        <f t="shared" si="89"/>
        <v>0</v>
      </c>
      <c r="AE286" s="166" t="str">
        <f t="shared" si="90"/>
        <v>Release</v>
      </c>
      <c r="AF286" s="127"/>
      <c r="AG286" s="127">
        <v>0</v>
      </c>
      <c r="AH286" s="120"/>
      <c r="AI286" s="238">
        <v>0</v>
      </c>
      <c r="AJ286" s="132"/>
      <c r="AK286" s="151">
        <v>182.6</v>
      </c>
      <c r="AL286" s="154">
        <f t="shared" si="80"/>
        <v>0</v>
      </c>
      <c r="AM286" s="155"/>
      <c r="AN286" s="19">
        <f t="shared" si="81"/>
        <v>1861</v>
      </c>
      <c r="AO286" s="118">
        <f>SUMIF('MPG Payment '!E:E,'Shayak Income '!D286,'MPG Payment '!AJ:AJ)</f>
        <v>500</v>
      </c>
      <c r="AP286" s="19">
        <f t="shared" si="82"/>
        <v>0</v>
      </c>
      <c r="AQ286" s="119">
        <f t="shared" si="91"/>
        <v>500</v>
      </c>
      <c r="AR286" s="91" t="s">
        <v>1168</v>
      </c>
      <c r="AS286" s="91">
        <f t="shared" si="83"/>
        <v>6400</v>
      </c>
      <c r="AT286" s="118"/>
      <c r="AU286" s="118"/>
      <c r="AV286" s="118"/>
    </row>
    <row r="287" spans="1:48" s="20" customFormat="1" x14ac:dyDescent="0.25">
      <c r="A287" s="17">
        <f>IFERROR(VLOOKUP(D287,'Monthly Deduction'!$I$3:$J$957,2,0),0)</f>
        <v>42030.077545566164</v>
      </c>
      <c r="B287" s="17">
        <f>IFERROR(VLOOKUP(D287,'Monthly Deduction'!$E$3:$F$957,2,0),0)</f>
        <v>9304.5715999999993</v>
      </c>
      <c r="C287" s="17">
        <f t="shared" si="84"/>
        <v>51334.64914556616</v>
      </c>
      <c r="D287" s="41">
        <v>10100045</v>
      </c>
      <c r="E287" s="122" t="str">
        <f>VLOOKUP(D287,'MPG Payment '!$E$3:$G$498218,2,0)</f>
        <v>Gomukh Krochaka Dudhela</v>
      </c>
      <c r="F287" s="146">
        <f>IFERROR(_xlfn.XLOOKUP(D287,'Monthly Deduction'!$I$3:$I$957,'Monthly Deduction'!$H$3:$H$957),0)</f>
        <v>0</v>
      </c>
      <c r="G287" s="123" t="str">
        <f>VLOOKUP(D287,'MPG Payment '!$E$3:$G$334579,3,0)</f>
        <v>MPG</v>
      </c>
      <c r="H287" s="124" t="str">
        <f>VLOOKUP(D287,'MPG Payment '!$E$3:$H$334579,4,0)</f>
        <v>Direct</v>
      </c>
      <c r="I287" s="88">
        <f>INDEX('MPG Payment '!$C:$C,MATCH('Shayak Income '!D287,'MPG Payment '!E:E,0))</f>
        <v>1010</v>
      </c>
      <c r="J287" s="88" t="str">
        <f>INDEX('MPG Payment '!$D:$D,MATCH('Shayak Income '!D287,'MPG Payment '!E:E,0))</f>
        <v>Parbatta</v>
      </c>
      <c r="K287" s="125" t="s">
        <v>1322</v>
      </c>
      <c r="L287" s="125">
        <v>45471</v>
      </c>
      <c r="M287" s="126">
        <f>SUMIF('MPG Payment '!$E$3:$E$34579,'Shayak Income '!D287,'MPG Payment '!$I$3:$I$34579)</f>
        <v>5363.9999999999991</v>
      </c>
      <c r="N287" s="126">
        <f>SUMIF('MPG Payment '!$E$3:$E$34579,'Shayak Income '!D287,'MPG Payment '!$J$3:$J$34579)</f>
        <v>191040.01196699802</v>
      </c>
      <c r="O287" s="126">
        <f t="shared" si="85"/>
        <v>4022.9999999999991</v>
      </c>
      <c r="P287" s="126">
        <f t="shared" si="86"/>
        <v>5095.7999999999993</v>
      </c>
      <c r="Q287" s="126">
        <f>SUMIF('MPG Payment '!$E$3:$E$34579,'Shayak Income '!D287,'MPG Payment '!$S$3:$S$34579)</f>
        <v>494.32017455100004</v>
      </c>
      <c r="R287" s="126">
        <f t="shared" si="76"/>
        <v>5731.2003590099403</v>
      </c>
      <c r="S287" s="126">
        <f t="shared" si="77"/>
        <v>635.40035900994098</v>
      </c>
      <c r="T287" s="126">
        <f t="shared" si="87"/>
        <v>536.4</v>
      </c>
      <c r="U287" s="127">
        <f>(((IF(K287="New",0,SUMIF('MPG Payment '!$E$3:$E$34579,'Shayak Income '!D287,'MPG Payment '!$AC$3:$AC$34579))))+0)+0</f>
        <v>270.81493322893834</v>
      </c>
      <c r="V287" s="127">
        <f t="shared" si="88"/>
        <v>8806</v>
      </c>
      <c r="W287" s="19">
        <f t="shared" si="92"/>
        <v>3820.8002393399606</v>
      </c>
      <c r="X287" s="19">
        <v>0</v>
      </c>
      <c r="Y287" s="128">
        <f>IFERROR(VLOOKUP(D287,'Monthly Deduction'!$M$2:$N$64,2,0),0)</f>
        <v>0</v>
      </c>
      <c r="Z287" s="128">
        <v>0</v>
      </c>
      <c r="AA287" s="126">
        <f>IFERROR(VLOOKUP(D287,'Monthly Deduction'!A:B,2,0),0)</f>
        <v>0</v>
      </c>
      <c r="AB287" s="129">
        <f t="shared" si="79"/>
        <v>4985</v>
      </c>
      <c r="AC287" s="130">
        <v>0</v>
      </c>
      <c r="AD287" s="35">
        <f t="shared" si="89"/>
        <v>4985</v>
      </c>
      <c r="AE287" s="166" t="str">
        <f t="shared" si="90"/>
        <v>Release</v>
      </c>
      <c r="AF287" s="127"/>
      <c r="AG287" s="127">
        <v>0</v>
      </c>
      <c r="AH287" s="120"/>
      <c r="AI287" s="238">
        <v>0</v>
      </c>
      <c r="AJ287" s="132"/>
      <c r="AK287" s="151">
        <v>3616.6000000000008</v>
      </c>
      <c r="AL287" s="154">
        <f t="shared" si="80"/>
        <v>0</v>
      </c>
      <c r="AM287" s="155"/>
      <c r="AN287" s="19">
        <f t="shared" si="81"/>
        <v>3820.8002393399606</v>
      </c>
      <c r="AO287" s="118">
        <f>SUMIF('MPG Payment '!E:E,'Shayak Income '!D287,'MPG Payment '!AJ:AJ)</f>
        <v>0</v>
      </c>
      <c r="AP287" s="19">
        <f t="shared" si="82"/>
        <v>3820.8002393399606</v>
      </c>
      <c r="AQ287" s="119">
        <f t="shared" si="91"/>
        <v>3820.8002393399606</v>
      </c>
      <c r="AR287" s="91" t="s">
        <v>1168</v>
      </c>
      <c r="AS287" s="91">
        <f t="shared" si="83"/>
        <v>9304.5715999999993</v>
      </c>
      <c r="AT287" s="118"/>
      <c r="AU287" s="118"/>
      <c r="AV287" s="118"/>
    </row>
    <row r="288" spans="1:48" s="20" customFormat="1" x14ac:dyDescent="0.25">
      <c r="A288" s="17">
        <f>IFERROR(VLOOKUP(D288,'Monthly Deduction'!$I$3:$J$957,2,0),0)</f>
        <v>52481.810372899534</v>
      </c>
      <c r="B288" s="17">
        <f>IFERROR(VLOOKUP(D288,'Monthly Deduction'!$E$3:$F$957,2,0),0)</f>
        <v>11274</v>
      </c>
      <c r="C288" s="17">
        <f t="shared" si="84"/>
        <v>63755.810372899534</v>
      </c>
      <c r="D288" s="41">
        <v>10100049</v>
      </c>
      <c r="E288" s="122" t="str">
        <f>VLOOKUP(D288,'MPG Payment '!$E$3:$G$498218,2,0)</f>
        <v>Gomukh Govind Pur</v>
      </c>
      <c r="F288" s="146">
        <f>IFERROR(_xlfn.XLOOKUP(D288,'Monthly Deduction'!$I$3:$I$957,'Monthly Deduction'!$H$3:$H$957),0)</f>
        <v>0</v>
      </c>
      <c r="G288" s="123" t="str">
        <f>VLOOKUP(D288,'MPG Payment '!$E$3:$G$334579,3,0)</f>
        <v>MPG</v>
      </c>
      <c r="H288" s="124" t="str">
        <f>VLOOKUP(D288,'MPG Payment '!$E$3:$H$334579,4,0)</f>
        <v>Direct</v>
      </c>
      <c r="I288" s="88">
        <f>INDEX('MPG Payment '!$C:$C,MATCH('Shayak Income '!D288,'MPG Payment '!E:E,0))</f>
        <v>1007</v>
      </c>
      <c r="J288" s="88" t="str">
        <f>INDEX('MPG Payment '!$D:$D,MATCH('Shayak Income '!D288,'MPG Payment '!E:E,0))</f>
        <v>Araria</v>
      </c>
      <c r="K288" s="125" t="s">
        <v>1322</v>
      </c>
      <c r="L288" s="125">
        <v>45562</v>
      </c>
      <c r="M288" s="126">
        <f>SUMIF('MPG Payment '!$E$3:$E$34579,'Shayak Income '!D288,'MPG Payment '!$I$3:$I$34579)</f>
        <v>2206.5</v>
      </c>
      <c r="N288" s="126">
        <f>SUMIF('MPG Payment '!$E$3:$E$34579,'Shayak Income '!D288,'MPG Payment '!$J$3:$J$34579)</f>
        <v>81152.645346036006</v>
      </c>
      <c r="O288" s="126">
        <f t="shared" si="85"/>
        <v>1654.875</v>
      </c>
      <c r="P288" s="126">
        <f t="shared" si="86"/>
        <v>2096.1749999999997</v>
      </c>
      <c r="Q288" s="126">
        <f>SUMIF('MPG Payment '!$E$3:$E$34579,'Shayak Income '!D288,'MPG Payment '!$S$3:$S$34579)</f>
        <v>15.450841410000002</v>
      </c>
      <c r="R288" s="126">
        <f t="shared" si="76"/>
        <v>2434.5793603810803</v>
      </c>
      <c r="S288" s="126">
        <f t="shared" si="77"/>
        <v>338.40436038108055</v>
      </c>
      <c r="T288" s="126">
        <f t="shared" si="87"/>
        <v>220.65</v>
      </c>
      <c r="U288" s="127">
        <f>(((IF(K288="New",0,SUMIF('MPG Payment '!$E$3:$E$34579,'Shayak Income '!D288,'MPG Payment '!$AC$3:$AC$34579))))+0)+0</f>
        <v>877.36145251642586</v>
      </c>
      <c r="V288" s="127">
        <f t="shared" si="88"/>
        <v>2668</v>
      </c>
      <c r="W288" s="19">
        <f t="shared" si="92"/>
        <v>1861</v>
      </c>
      <c r="X288" s="19">
        <v>0</v>
      </c>
      <c r="Y288" s="128">
        <f>IFERROR(VLOOKUP(D288,'Monthly Deduction'!$M$2:$N$64,2,0),0)</f>
        <v>0</v>
      </c>
      <c r="Z288" s="128">
        <v>0</v>
      </c>
      <c r="AA288" s="126">
        <f>IFERROR(VLOOKUP(D288,'Monthly Deduction'!A:B,2,0),0)</f>
        <v>0</v>
      </c>
      <c r="AB288" s="129">
        <f t="shared" si="79"/>
        <v>807</v>
      </c>
      <c r="AC288" s="130">
        <v>0</v>
      </c>
      <c r="AD288" s="35">
        <f t="shared" si="89"/>
        <v>807</v>
      </c>
      <c r="AE288" s="166" t="str">
        <f t="shared" si="90"/>
        <v>Release</v>
      </c>
      <c r="AF288" s="127"/>
      <c r="AG288" s="18">
        <v>0</v>
      </c>
      <c r="AH288" s="120"/>
      <c r="AI288" s="238">
        <v>0</v>
      </c>
      <c r="AJ288" s="132"/>
      <c r="AK288" s="151">
        <v>1344.3999999999999</v>
      </c>
      <c r="AL288" s="154">
        <f t="shared" si="80"/>
        <v>0</v>
      </c>
      <c r="AM288" s="155"/>
      <c r="AN288" s="19">
        <f t="shared" si="81"/>
        <v>1861</v>
      </c>
      <c r="AO288" s="118">
        <f>SUMIF('MPG Payment '!E:E,'Shayak Income '!D288,'MPG Payment '!AJ:AJ)</f>
        <v>0</v>
      </c>
      <c r="AP288" s="19">
        <f t="shared" si="82"/>
        <v>1861</v>
      </c>
      <c r="AQ288" s="119">
        <f t="shared" si="91"/>
        <v>1861</v>
      </c>
      <c r="AR288" s="91" t="s">
        <v>1168</v>
      </c>
      <c r="AS288" s="91">
        <f t="shared" si="83"/>
        <v>11274</v>
      </c>
      <c r="AT288" s="118"/>
      <c r="AU288" s="118"/>
      <c r="AV288" s="118"/>
    </row>
    <row r="289" spans="1:48" s="20" customFormat="1" x14ac:dyDescent="0.25">
      <c r="A289" s="17">
        <f>IFERROR(VLOOKUP(D289,'Monthly Deduction'!$I$3:$J$957,2,0),0)</f>
        <v>25294.163877020241</v>
      </c>
      <c r="B289" s="17">
        <f>IFERROR(VLOOKUP(D289,'Monthly Deduction'!$E$3:$F$957,2,0),0)</f>
        <v>14430.109400000001</v>
      </c>
      <c r="C289" s="17">
        <f t="shared" si="84"/>
        <v>39724.273277020242</v>
      </c>
      <c r="D289" s="41">
        <v>10100051</v>
      </c>
      <c r="E289" s="122" t="str">
        <f>VLOOKUP(D289,'MPG Payment '!$E$3:$G$498218,2,0)</f>
        <v>Gomukh Sondiha</v>
      </c>
      <c r="F289" s="146">
        <f>IFERROR(_xlfn.XLOOKUP(D289,'Monthly Deduction'!$I$3:$I$957,'Monthly Deduction'!$H$3:$H$957),0)</f>
        <v>0</v>
      </c>
      <c r="G289" s="123" t="str">
        <f>VLOOKUP(D289,'MPG Payment '!$E$3:$G$334579,3,0)</f>
        <v>MPG</v>
      </c>
      <c r="H289" s="124" t="str">
        <f>VLOOKUP(D289,'MPG Payment '!$E$3:$H$334579,4,0)</f>
        <v>Direct</v>
      </c>
      <c r="I289" s="88">
        <f>INDEX('MPG Payment '!$C:$C,MATCH('Shayak Income '!D289,'MPG Payment '!E:E,0))</f>
        <v>1007</v>
      </c>
      <c r="J289" s="88" t="str">
        <f>INDEX('MPG Payment '!$D:$D,MATCH('Shayak Income '!D289,'MPG Payment '!E:E,0))</f>
        <v>Araria</v>
      </c>
      <c r="K289" s="125" t="s">
        <v>1322</v>
      </c>
      <c r="L289" s="125">
        <v>45556</v>
      </c>
      <c r="M289" s="126">
        <f>SUMIF('MPG Payment '!$E$3:$E$34579,'Shayak Income '!D289,'MPG Payment '!$I$3:$I$34579)</f>
        <v>5210.6000000000004</v>
      </c>
      <c r="N289" s="126">
        <f>SUMIF('MPG Payment '!$E$3:$E$34579,'Shayak Income '!D289,'MPG Payment '!$J$3:$J$34579)</f>
        <v>194470.31416658699</v>
      </c>
      <c r="O289" s="126">
        <f t="shared" si="85"/>
        <v>3907.9500000000003</v>
      </c>
      <c r="P289" s="126">
        <f t="shared" si="86"/>
        <v>4950.07</v>
      </c>
      <c r="Q289" s="126">
        <f>SUMIF('MPG Payment '!$E$3:$E$34579,'Shayak Income '!D289,'MPG Payment '!$S$3:$S$34579)</f>
        <v>16.441095330000003</v>
      </c>
      <c r="R289" s="126">
        <f t="shared" si="76"/>
        <v>5834.1094249976095</v>
      </c>
      <c r="S289" s="126">
        <f t="shared" si="77"/>
        <v>884.03942499760979</v>
      </c>
      <c r="T289" s="126">
        <f t="shared" si="87"/>
        <v>521.06000000000006</v>
      </c>
      <c r="U289" s="127">
        <f>(((IF(K289="New",0,SUMIF('MPG Payment '!$E$3:$E$34579,'Shayak Income '!D289,'MPG Payment '!$AC$3:$AC$34579))))+0)+0</f>
        <v>0</v>
      </c>
      <c r="V289" s="127">
        <f t="shared" si="88"/>
        <v>8353</v>
      </c>
      <c r="W289" s="19">
        <f t="shared" si="92"/>
        <v>3889.4062833317398</v>
      </c>
      <c r="X289" s="19">
        <v>0</v>
      </c>
      <c r="Y289" s="128">
        <f>IFERROR(VLOOKUP(D289,'Monthly Deduction'!$M$2:$N$64,2,0),0)</f>
        <v>0</v>
      </c>
      <c r="Z289" s="128">
        <v>0</v>
      </c>
      <c r="AA289" s="126">
        <f>IFERROR(VLOOKUP(D289,'Monthly Deduction'!A:B,2,0),0)</f>
        <v>0</v>
      </c>
      <c r="AB289" s="129">
        <f t="shared" si="79"/>
        <v>4464</v>
      </c>
      <c r="AC289" s="130">
        <v>0</v>
      </c>
      <c r="AD289" s="35">
        <f t="shared" si="89"/>
        <v>4464</v>
      </c>
      <c r="AE289" s="166" t="str">
        <f t="shared" si="90"/>
        <v>Release</v>
      </c>
      <c r="AF289" s="127"/>
      <c r="AG289" s="127">
        <v>0</v>
      </c>
      <c r="AH289" s="120"/>
      <c r="AI289" s="238">
        <v>0</v>
      </c>
      <c r="AJ289" s="132"/>
      <c r="AK289" s="151">
        <v>1637.9000000000003</v>
      </c>
      <c r="AL289" s="154">
        <f t="shared" si="80"/>
        <v>0</v>
      </c>
      <c r="AM289" s="155"/>
      <c r="AN289" s="19">
        <f t="shared" si="81"/>
        <v>3889.4062833317398</v>
      </c>
      <c r="AO289" s="118">
        <f>SUMIF('MPG Payment '!E:E,'Shayak Income '!D289,'MPG Payment '!AJ:AJ)</f>
        <v>0</v>
      </c>
      <c r="AP289" s="19">
        <f t="shared" si="82"/>
        <v>3889.4062833317398</v>
      </c>
      <c r="AQ289" s="119">
        <f t="shared" si="91"/>
        <v>3889.4062833317398</v>
      </c>
      <c r="AR289" s="91" t="s">
        <v>1168</v>
      </c>
      <c r="AS289" s="91">
        <f t="shared" si="83"/>
        <v>14430.109400000001</v>
      </c>
      <c r="AT289" s="118"/>
      <c r="AU289" s="118"/>
      <c r="AV289" s="118"/>
    </row>
    <row r="290" spans="1:48" s="20" customFormat="1" x14ac:dyDescent="0.25">
      <c r="A290" s="17">
        <f>IFERROR(VLOOKUP(D290,'Monthly Deduction'!$I$3:$J$957,2,0),0)</f>
        <v>65370.279803818499</v>
      </c>
      <c r="B290" s="17">
        <f>IFERROR(VLOOKUP(D290,'Monthly Deduction'!$E$3:$F$957,2,0),0)</f>
        <v>12126</v>
      </c>
      <c r="C290" s="17">
        <f t="shared" si="84"/>
        <v>77496.279803818499</v>
      </c>
      <c r="D290" s="41">
        <v>10100054</v>
      </c>
      <c r="E290" s="122" t="str">
        <f>VLOOKUP(D290,'MPG Payment '!$E$3:$G$498218,2,0)</f>
        <v>Gomukh Thebhay B</v>
      </c>
      <c r="F290" s="146">
        <f>IFERROR(_xlfn.XLOOKUP(D290,'Monthly Deduction'!$I$3:$I$957,'Monthly Deduction'!$H$3:$H$957),0)</f>
        <v>0</v>
      </c>
      <c r="G290" s="123" t="str">
        <f>VLOOKUP(D290,'MPG Payment '!$E$3:$G$334579,3,0)</f>
        <v>MPG</v>
      </c>
      <c r="H290" s="124" t="str">
        <f>VLOOKUP(D290,'MPG Payment '!$E$3:$H$334579,4,0)</f>
        <v>Direct</v>
      </c>
      <c r="I290" s="88">
        <f>INDEX('MPG Payment '!$C:$C,MATCH('Shayak Income '!D290,'MPG Payment '!E:E,0))</f>
        <v>1007</v>
      </c>
      <c r="J290" s="88" t="str">
        <f>INDEX('MPG Payment '!$D:$D,MATCH('Shayak Income '!D290,'MPG Payment '!E:E,0))</f>
        <v>Araria</v>
      </c>
      <c r="K290" s="125" t="s">
        <v>1322</v>
      </c>
      <c r="L290" s="125">
        <v>45657</v>
      </c>
      <c r="M290" s="126">
        <f>SUMIF('MPG Payment '!$E$3:$E$34579,'Shayak Income '!D290,'MPG Payment '!$I$3:$I$34579)</f>
        <v>741.69999999999993</v>
      </c>
      <c r="N290" s="126">
        <f>SUMIF('MPG Payment '!$E$3:$E$34579,'Shayak Income '!D290,'MPG Payment '!$J$3:$J$34579)</f>
        <v>32613.457432418498</v>
      </c>
      <c r="O290" s="126">
        <f t="shared" si="85"/>
        <v>556.27499999999998</v>
      </c>
      <c r="P290" s="126">
        <f t="shared" si="86"/>
        <v>704.6149999999999</v>
      </c>
      <c r="Q290" s="126">
        <f>SUMIF('MPG Payment '!$E$3:$E$34579,'Shayak Income '!D290,'MPG Payment '!$S$3:$S$34579)</f>
        <v>391.10256389340003</v>
      </c>
      <c r="R290" s="126">
        <f t="shared" si="76"/>
        <v>978.40372297255487</v>
      </c>
      <c r="S290" s="126">
        <f t="shared" si="77"/>
        <v>273.78872297255498</v>
      </c>
      <c r="T290" s="126">
        <f t="shared" si="87"/>
        <v>74.17</v>
      </c>
      <c r="U290" s="127">
        <f>(((IF(K290="New",0,SUMIF('MPG Payment '!$E$3:$E$34579,'Shayak Income '!D290,'MPG Payment '!$AC$3:$AC$34579))))+0)+-253</f>
        <v>1577.6189609197827</v>
      </c>
      <c r="V290" s="127">
        <f t="shared" si="88"/>
        <v>0</v>
      </c>
      <c r="W290" s="19">
        <v>0</v>
      </c>
      <c r="X290" s="19">
        <v>0</v>
      </c>
      <c r="Y290" s="128">
        <f>IFERROR(VLOOKUP(D290,'Monthly Deduction'!$M$2:$N$64,2,0),0)</f>
        <v>0</v>
      </c>
      <c r="Z290" s="128">
        <v>0</v>
      </c>
      <c r="AA290" s="126">
        <v>0</v>
      </c>
      <c r="AB290" s="129">
        <f t="shared" si="79"/>
        <v>0</v>
      </c>
      <c r="AC290" s="130">
        <v>0</v>
      </c>
      <c r="AD290" s="35">
        <f t="shared" si="89"/>
        <v>0</v>
      </c>
      <c r="AE290" s="166" t="str">
        <f t="shared" si="90"/>
        <v>Release</v>
      </c>
      <c r="AF290" s="127"/>
      <c r="AG290" s="127">
        <v>0</v>
      </c>
      <c r="AH290" s="120"/>
      <c r="AI290" s="238">
        <v>0</v>
      </c>
      <c r="AJ290" s="132"/>
      <c r="AK290" s="151">
        <v>149.10000000000002</v>
      </c>
      <c r="AL290" s="154">
        <f t="shared" si="80"/>
        <v>0</v>
      </c>
      <c r="AM290" s="155"/>
      <c r="AN290" s="19">
        <f t="shared" si="81"/>
        <v>1861</v>
      </c>
      <c r="AO290" s="118">
        <f>SUMIF('MPG Payment '!E:E,'Shayak Income '!D290,'MPG Payment '!AJ:AJ)</f>
        <v>0</v>
      </c>
      <c r="AP290" s="19">
        <f t="shared" si="82"/>
        <v>0</v>
      </c>
      <c r="AQ290" s="119">
        <f t="shared" si="91"/>
        <v>0</v>
      </c>
      <c r="AR290" s="91" t="s">
        <v>1168</v>
      </c>
      <c r="AS290" s="91">
        <f t="shared" si="83"/>
        <v>12126</v>
      </c>
      <c r="AT290" s="118"/>
      <c r="AU290" s="118"/>
      <c r="AV290" s="118"/>
    </row>
    <row r="291" spans="1:48" s="20" customFormat="1" x14ac:dyDescent="0.25">
      <c r="A291" s="17">
        <f>IFERROR(VLOOKUP(D291,'Monthly Deduction'!$I$3:$J$957,2,0),0)</f>
        <v>59025.944661673871</v>
      </c>
      <c r="B291" s="17">
        <f>IFERROR(VLOOKUP(D291,'Monthly Deduction'!$E$3:$F$957,2,0),0)</f>
        <v>16000</v>
      </c>
      <c r="C291" s="17">
        <f t="shared" si="84"/>
        <v>75025.944661673871</v>
      </c>
      <c r="D291" s="41">
        <v>10100060</v>
      </c>
      <c r="E291" s="122" t="str">
        <f>VLOOKUP(D291,'MPG Payment '!$E$3:$G$498218,2,0)</f>
        <v>Gomukh Baisa</v>
      </c>
      <c r="F291" s="146">
        <f>IFERROR(_xlfn.XLOOKUP(D291,'Monthly Deduction'!$I$3:$I$957,'Monthly Deduction'!$H$3:$H$957),0)</f>
        <v>0</v>
      </c>
      <c r="G291" s="123" t="str">
        <f>VLOOKUP(D291,'MPG Payment '!$E$3:$G$334579,3,0)</f>
        <v>MPG</v>
      </c>
      <c r="H291" s="124" t="str">
        <f>VLOOKUP(D291,'MPG Payment '!$E$3:$H$334579,4,0)</f>
        <v>Direct</v>
      </c>
      <c r="I291" s="88">
        <f>INDEX('MPG Payment '!$C:$C,MATCH('Shayak Income '!D291,'MPG Payment '!E:E,0))</f>
        <v>1007</v>
      </c>
      <c r="J291" s="88" t="str">
        <f>INDEX('MPG Payment '!$D:$D,MATCH('Shayak Income '!D291,'MPG Payment '!E:E,0))</f>
        <v>Araria</v>
      </c>
      <c r="K291" s="125" t="s">
        <v>1322</v>
      </c>
      <c r="L291" s="125">
        <v>45657</v>
      </c>
      <c r="M291" s="126">
        <f>SUMIF('MPG Payment '!$E$3:$E$34579,'Shayak Income '!D291,'MPG Payment '!$I$3:$I$34579)</f>
        <v>1039.8000000000002</v>
      </c>
      <c r="N291" s="126">
        <f>SUMIF('MPG Payment '!$E$3:$E$34579,'Shayak Income '!D291,'MPG Payment '!$J$3:$J$34579)</f>
        <v>36812.932921880005</v>
      </c>
      <c r="O291" s="126">
        <f t="shared" si="85"/>
        <v>779.85000000000014</v>
      </c>
      <c r="P291" s="126">
        <f t="shared" si="86"/>
        <v>987.81000000000017</v>
      </c>
      <c r="Q291" s="126">
        <f>SUMIF('MPG Payment '!$E$3:$E$34579,'Shayak Income '!D291,'MPG Payment '!$S$3:$S$34579)</f>
        <v>0</v>
      </c>
      <c r="R291" s="126">
        <f t="shared" si="76"/>
        <v>1104.3879876564001</v>
      </c>
      <c r="S291" s="126">
        <f t="shared" si="77"/>
        <v>116.57798765639996</v>
      </c>
      <c r="T291" s="126">
        <f t="shared" si="87"/>
        <v>103.98000000000002</v>
      </c>
      <c r="U291" s="127">
        <f>(((IF(K291="New",0,SUMIF('MPG Payment '!$E$3:$E$34579,'Shayak Income '!D291,'MPG Payment '!$AC$3:$AC$34579))))+0)+0</f>
        <v>1245.2269663119359</v>
      </c>
      <c r="V291" s="127">
        <f t="shared" si="88"/>
        <v>418</v>
      </c>
      <c r="W291" s="19">
        <v>418</v>
      </c>
      <c r="X291" s="19">
        <v>0</v>
      </c>
      <c r="Y291" s="128">
        <f>IFERROR(VLOOKUP(D291,'Monthly Deduction'!$M$2:$N$64,2,0),0)</f>
        <v>0</v>
      </c>
      <c r="Z291" s="128">
        <v>0</v>
      </c>
      <c r="AA291" s="126">
        <f>IFERROR(VLOOKUP(D291,'Monthly Deduction'!A:B,2,0),0)</f>
        <v>0</v>
      </c>
      <c r="AB291" s="129">
        <f t="shared" si="79"/>
        <v>0</v>
      </c>
      <c r="AC291" s="130">
        <v>0</v>
      </c>
      <c r="AD291" s="35">
        <f t="shared" si="89"/>
        <v>0</v>
      </c>
      <c r="AE291" s="166" t="str">
        <f t="shared" si="90"/>
        <v>Release</v>
      </c>
      <c r="AF291" s="127"/>
      <c r="AG291" s="18">
        <v>0</v>
      </c>
      <c r="AH291" s="120"/>
      <c r="AI291" s="238">
        <v>0</v>
      </c>
      <c r="AJ291" s="132"/>
      <c r="AK291" s="151">
        <v>210.99999999999997</v>
      </c>
      <c r="AL291" s="154">
        <f t="shared" si="80"/>
        <v>0</v>
      </c>
      <c r="AM291" s="155"/>
      <c r="AN291" s="19">
        <f t="shared" si="81"/>
        <v>1861</v>
      </c>
      <c r="AO291" s="118">
        <f>SUMIF('MPG Payment '!E:E,'Shayak Income '!D291,'MPG Payment '!AJ:AJ)</f>
        <v>0</v>
      </c>
      <c r="AP291" s="19">
        <f t="shared" si="82"/>
        <v>418</v>
      </c>
      <c r="AQ291" s="119">
        <f t="shared" si="91"/>
        <v>418</v>
      </c>
      <c r="AR291" s="91" t="s">
        <v>1168</v>
      </c>
      <c r="AS291" s="91">
        <f t="shared" si="83"/>
        <v>16000</v>
      </c>
      <c r="AT291" s="118"/>
      <c r="AU291" s="118"/>
      <c r="AV291" s="118"/>
    </row>
    <row r="292" spans="1:48" s="20" customFormat="1" x14ac:dyDescent="0.25">
      <c r="A292" s="17">
        <f>IFERROR(VLOOKUP(D292,'Monthly Deduction'!$I$3:$J$957,2,0),0)</f>
        <v>0</v>
      </c>
      <c r="B292" s="17">
        <f>IFERROR(VLOOKUP(D292,'Monthly Deduction'!$E$3:$F$957,2,0),0)</f>
        <v>0</v>
      </c>
      <c r="C292" s="17">
        <f t="shared" si="84"/>
        <v>0</v>
      </c>
      <c r="D292" s="41">
        <v>10110001</v>
      </c>
      <c r="E292" s="122" t="str">
        <f>VLOOKUP(D292,'MPG Payment '!$E$3:$G$498218,2,0)</f>
        <v>Gomukh Mahendrapur</v>
      </c>
      <c r="F292" s="146">
        <f>IFERROR(_xlfn.XLOOKUP(D292,'Monthly Deduction'!$I$3:$I$957,'Monthly Deduction'!$H$3:$H$957),0)</f>
        <v>0</v>
      </c>
      <c r="G292" s="123" t="str">
        <f>VLOOKUP(D292,'MPG Payment '!$E$3:$G$334579,3,0)</f>
        <v>MPG</v>
      </c>
      <c r="H292" s="124" t="str">
        <f>VLOOKUP(D292,'MPG Payment '!$E$3:$H$334579,4,0)</f>
        <v>Direct</v>
      </c>
      <c r="I292" s="88">
        <f>INDEX('MPG Payment '!$C:$C,MATCH('Shayak Income '!D292,'MPG Payment '!E:E,0))</f>
        <v>1055</v>
      </c>
      <c r="J292" s="88" t="str">
        <f>INDEX('MPG Payment '!$D:$D,MATCH('Shayak Income '!D292,'MPG Payment '!E:E,0))</f>
        <v>Matihani</v>
      </c>
      <c r="K292" s="125" t="s">
        <v>1322</v>
      </c>
      <c r="L292" s="125">
        <v>42979</v>
      </c>
      <c r="M292" s="126">
        <f>SUMIF('MPG Payment '!$E$3:$E$34579,'Shayak Income '!D292,'MPG Payment '!$I$3:$I$34579)</f>
        <v>7304</v>
      </c>
      <c r="N292" s="126">
        <f>SUMIF('MPG Payment '!$E$3:$E$34579,'Shayak Income '!D292,'MPG Payment '!$J$3:$J$34579)</f>
        <v>288872.70095621003</v>
      </c>
      <c r="O292" s="126">
        <f t="shared" si="85"/>
        <v>5478</v>
      </c>
      <c r="P292" s="126">
        <f t="shared" si="86"/>
        <v>6938.7999999999993</v>
      </c>
      <c r="Q292" s="126">
        <f>SUMIF('MPG Payment '!$E$3:$E$34579,'Shayak Income '!D292,'MPG Payment '!$S$3:$S$34579)</f>
        <v>6856.4122641000004</v>
      </c>
      <c r="R292" s="126">
        <f t="shared" si="76"/>
        <v>8666.1810286863001</v>
      </c>
      <c r="S292" s="126">
        <f t="shared" si="77"/>
        <v>1727.3810286863009</v>
      </c>
      <c r="T292" s="126">
        <f t="shared" si="87"/>
        <v>730.40000000000009</v>
      </c>
      <c r="U292" s="127">
        <f>(((IF(K292="New",0,SUMIF('MPG Payment '!$E$3:$E$34579,'Shayak Income '!D292,'MPG Payment '!$AC$3:$AC$34579))))+0)+0</f>
        <v>0</v>
      </c>
      <c r="V292" s="127">
        <f t="shared" si="88"/>
        <v>18543</v>
      </c>
      <c r="W292" s="19">
        <f t="shared" si="92"/>
        <v>0</v>
      </c>
      <c r="X292" s="19">
        <f t="shared" si="78"/>
        <v>0</v>
      </c>
      <c r="Y292" s="128">
        <f>IFERROR(VLOOKUP(D292,'Monthly Deduction'!$M$2:$N$64,2,0),0)</f>
        <v>0</v>
      </c>
      <c r="Z292" s="128">
        <v>0</v>
      </c>
      <c r="AA292" s="126">
        <f>IFERROR(VLOOKUP(D292,'Monthly Deduction'!A:B,2,0),0)</f>
        <v>0</v>
      </c>
      <c r="AB292" s="129">
        <f t="shared" si="79"/>
        <v>18543</v>
      </c>
      <c r="AC292" s="130">
        <v>0</v>
      </c>
      <c r="AD292" s="35">
        <f t="shared" si="89"/>
        <v>18543</v>
      </c>
      <c r="AE292" s="166" t="str">
        <f t="shared" si="90"/>
        <v>Release</v>
      </c>
      <c r="AF292" s="127"/>
      <c r="AG292" s="18">
        <v>0</v>
      </c>
      <c r="AH292" s="132"/>
      <c r="AI292" s="238">
        <v>0</v>
      </c>
      <c r="AJ292" s="132"/>
      <c r="AK292" s="151">
        <v>1872.3</v>
      </c>
      <c r="AL292" s="154">
        <f t="shared" si="80"/>
        <v>0</v>
      </c>
      <c r="AM292" s="155"/>
      <c r="AN292" s="19">
        <f t="shared" si="81"/>
        <v>0</v>
      </c>
      <c r="AO292" s="118">
        <f>SUMIF('MPG Payment '!E:E,'Shayak Income '!D292,'MPG Payment '!AJ:AJ)</f>
        <v>0</v>
      </c>
      <c r="AP292" s="19">
        <f t="shared" si="82"/>
        <v>0</v>
      </c>
      <c r="AQ292" s="119">
        <f t="shared" si="91"/>
        <v>0</v>
      </c>
      <c r="AR292" s="91" t="s">
        <v>1168</v>
      </c>
      <c r="AS292" s="91">
        <f t="shared" si="83"/>
        <v>0</v>
      </c>
      <c r="AT292" s="118"/>
      <c r="AU292" s="118"/>
      <c r="AV292" s="118"/>
    </row>
    <row r="293" spans="1:48" s="20" customFormat="1" x14ac:dyDescent="0.25">
      <c r="A293" s="17">
        <f>IFERROR(VLOOKUP(D293,'Monthly Deduction'!$I$3:$J$957,2,0),0)</f>
        <v>3254.993093608311</v>
      </c>
      <c r="B293" s="17">
        <f>IFERROR(VLOOKUP(D293,'Monthly Deduction'!$E$3:$F$957,2,0),0)</f>
        <v>0</v>
      </c>
      <c r="C293" s="17">
        <f t="shared" si="84"/>
        <v>3254.993093608311</v>
      </c>
      <c r="D293" s="41">
        <v>10110002</v>
      </c>
      <c r="E293" s="122" t="str">
        <f>VLOOKUP(D293,'MPG Payment '!$E$3:$G$498218,2,0)</f>
        <v>Gomukh Balahpur</v>
      </c>
      <c r="F293" s="146">
        <f>IFERROR(_xlfn.XLOOKUP(D293,'Monthly Deduction'!$I$3:$I$957,'Monthly Deduction'!$H$3:$H$957),0)</f>
        <v>0</v>
      </c>
      <c r="G293" s="123" t="str">
        <f>VLOOKUP(D293,'MPG Payment '!$E$3:$G$334579,3,0)</f>
        <v>MPG</v>
      </c>
      <c r="H293" s="124" t="str">
        <f>VLOOKUP(D293,'MPG Payment '!$E$3:$H$334579,4,0)</f>
        <v>Direct</v>
      </c>
      <c r="I293" s="88">
        <f>INDEX('MPG Payment '!$C:$C,MATCH('Shayak Income '!D293,'MPG Payment '!E:E,0))</f>
        <v>1055</v>
      </c>
      <c r="J293" s="88" t="str">
        <f>INDEX('MPG Payment '!$D:$D,MATCH('Shayak Income '!D293,'MPG Payment '!E:E,0))</f>
        <v>Matihani</v>
      </c>
      <c r="K293" s="125" t="s">
        <v>1322</v>
      </c>
      <c r="L293" s="125">
        <v>42979</v>
      </c>
      <c r="M293" s="126">
        <f>SUMIF('MPG Payment '!$E$3:$E$34579,'Shayak Income '!D293,'MPG Payment '!$I$3:$I$34579)</f>
        <v>1539.0000000000005</v>
      </c>
      <c r="N293" s="126">
        <f>SUMIF('MPG Payment '!$E$3:$E$34579,'Shayak Income '!D293,'MPG Payment '!$J$3:$J$34579)</f>
        <v>56265.645420320005</v>
      </c>
      <c r="O293" s="126">
        <f t="shared" si="85"/>
        <v>1154.2500000000005</v>
      </c>
      <c r="P293" s="126">
        <f t="shared" si="86"/>
        <v>1462.0500000000004</v>
      </c>
      <c r="Q293" s="126">
        <f>SUMIF('MPG Payment '!$E$3:$E$34579,'Shayak Income '!D293,'MPG Payment '!$S$3:$S$34579)</f>
        <v>0</v>
      </c>
      <c r="R293" s="126">
        <f t="shared" si="76"/>
        <v>1687.9693626096</v>
      </c>
      <c r="S293" s="126">
        <f t="shared" si="77"/>
        <v>225.9193626095996</v>
      </c>
      <c r="T293" s="126">
        <f t="shared" si="87"/>
        <v>153.90000000000006</v>
      </c>
      <c r="U293" s="127">
        <f>(((IF(K293="New",0,SUMIF('MPG Payment '!$E$3:$E$34579,'Shayak Income '!D293,'MPG Payment '!$AC$3:$AC$34579))))+0)+0</f>
        <v>915.58969185353669</v>
      </c>
      <c r="V293" s="127">
        <f t="shared" si="88"/>
        <v>1547</v>
      </c>
      <c r="W293" s="19">
        <v>1547</v>
      </c>
      <c r="X293" s="19">
        <v>0</v>
      </c>
      <c r="Y293" s="128">
        <f>IFERROR(VLOOKUP(D293,'Monthly Deduction'!$M$2:$N$64,2,0),0)</f>
        <v>0</v>
      </c>
      <c r="Z293" s="128">
        <v>0</v>
      </c>
      <c r="AA293" s="126">
        <f>IFERROR(VLOOKUP(D293,'Monthly Deduction'!A:B,2,0),0)</f>
        <v>0</v>
      </c>
      <c r="AB293" s="129">
        <f t="shared" si="79"/>
        <v>0</v>
      </c>
      <c r="AC293" s="130">
        <v>0</v>
      </c>
      <c r="AD293" s="35">
        <f t="shared" si="89"/>
        <v>0</v>
      </c>
      <c r="AE293" s="166" t="str">
        <f t="shared" si="90"/>
        <v>Release</v>
      </c>
      <c r="AF293" s="127"/>
      <c r="AG293" s="18">
        <v>0</v>
      </c>
      <c r="AH293" s="120"/>
      <c r="AI293" s="238">
        <v>0</v>
      </c>
      <c r="AJ293" s="132"/>
      <c r="AK293" s="151">
        <v>550.5</v>
      </c>
      <c r="AL293" s="154">
        <f t="shared" si="80"/>
        <v>0</v>
      </c>
      <c r="AM293" s="155"/>
      <c r="AN293" s="19">
        <f t="shared" si="81"/>
        <v>1861</v>
      </c>
      <c r="AO293" s="118">
        <f>SUMIF('MPG Payment '!E:E,'Shayak Income '!D293,'MPG Payment '!AJ:AJ)</f>
        <v>0</v>
      </c>
      <c r="AP293" s="19">
        <f t="shared" si="82"/>
        <v>1547</v>
      </c>
      <c r="AQ293" s="119">
        <f t="shared" si="91"/>
        <v>1547</v>
      </c>
      <c r="AR293" s="91"/>
      <c r="AS293" s="91">
        <f t="shared" si="83"/>
        <v>0</v>
      </c>
      <c r="AT293" s="118"/>
      <c r="AU293" s="118"/>
      <c r="AV293" s="118"/>
    </row>
    <row r="294" spans="1:48" s="20" customFormat="1" x14ac:dyDescent="0.25">
      <c r="A294" s="17">
        <f>IFERROR(VLOOKUP(D294,'Monthly Deduction'!$I$3:$J$957,2,0),0)</f>
        <v>0</v>
      </c>
      <c r="B294" s="17">
        <f>IFERROR(VLOOKUP(D294,'Monthly Deduction'!$E$3:$F$957,2,0),0)</f>
        <v>0</v>
      </c>
      <c r="C294" s="17">
        <f t="shared" si="84"/>
        <v>0</v>
      </c>
      <c r="D294" s="41">
        <v>10110004</v>
      </c>
      <c r="E294" s="122" t="str">
        <f>VLOOKUP(D294,'MPG Payment '!$E$3:$G$498218,2,0)</f>
        <v>Gomukh Danauli</v>
      </c>
      <c r="F294" s="146">
        <f>IFERROR(_xlfn.XLOOKUP(D294,'Monthly Deduction'!$I$3:$I$957,'Monthly Deduction'!$H$3:$H$957),0)</f>
        <v>0</v>
      </c>
      <c r="G294" s="123" t="str">
        <f>VLOOKUP(D294,'MPG Payment '!$E$3:$G$334579,3,0)</f>
        <v>MPG</v>
      </c>
      <c r="H294" s="124" t="str">
        <f>VLOOKUP(D294,'MPG Payment '!$E$3:$H$334579,4,0)</f>
        <v>Direct</v>
      </c>
      <c r="I294" s="88">
        <f>INDEX('MPG Payment '!$C:$C,MATCH('Shayak Income '!D294,'MPG Payment '!E:E,0))</f>
        <v>1011</v>
      </c>
      <c r="J294" s="88" t="str">
        <f>INDEX('MPG Payment '!$D:$D,MATCH('Shayak Income '!D294,'MPG Payment '!E:E,0))</f>
        <v>Sahibpur Kamal</v>
      </c>
      <c r="K294" s="125" t="s">
        <v>1322</v>
      </c>
      <c r="L294" s="125">
        <v>42979</v>
      </c>
      <c r="M294" s="126">
        <f>SUMIF('MPG Payment '!$E$3:$E$34579,'Shayak Income '!D294,'MPG Payment '!$I$3:$I$34579)</f>
        <v>1903.7999999999997</v>
      </c>
      <c r="N294" s="126">
        <f>SUMIF('MPG Payment '!$E$3:$E$34579,'Shayak Income '!D294,'MPG Payment '!$J$3:$J$34579)</f>
        <v>71262.319528709995</v>
      </c>
      <c r="O294" s="126">
        <f t="shared" si="85"/>
        <v>1427.85</v>
      </c>
      <c r="P294" s="126">
        <f t="shared" si="86"/>
        <v>1808.6099999999997</v>
      </c>
      <c r="Q294" s="126">
        <f>SUMIF('MPG Payment '!$E$3:$E$34579,'Shayak Income '!D294,'MPG Payment '!$S$3:$S$34579)</f>
        <v>210.23200830600007</v>
      </c>
      <c r="R294" s="126">
        <f t="shared" si="76"/>
        <v>2137.8695858612996</v>
      </c>
      <c r="S294" s="126">
        <f t="shared" si="77"/>
        <v>329.25958586129991</v>
      </c>
      <c r="T294" s="126">
        <f t="shared" si="87"/>
        <v>190.38</v>
      </c>
      <c r="U294" s="127">
        <f>(((IF(K294="New",0,SUMIF('MPG Payment '!$E$3:$E$34579,'Shayak Income '!D294,'MPG Payment '!$AC$3:$AC$34579))))+0)+0</f>
        <v>673.31413996040146</v>
      </c>
      <c r="V294" s="127">
        <f t="shared" si="88"/>
        <v>2583</v>
      </c>
      <c r="W294" s="19">
        <f t="shared" si="92"/>
        <v>0</v>
      </c>
      <c r="X294" s="19">
        <f t="shared" si="78"/>
        <v>0</v>
      </c>
      <c r="Y294" s="128">
        <f>IFERROR(VLOOKUP(D294,'Monthly Deduction'!$M$2:$N$64,2,0),0)</f>
        <v>0</v>
      </c>
      <c r="Z294" s="128">
        <v>0</v>
      </c>
      <c r="AA294" s="126">
        <f>IFERROR(VLOOKUP(D294,'Monthly Deduction'!A:B,2,0),0)</f>
        <v>0</v>
      </c>
      <c r="AB294" s="129">
        <f t="shared" si="79"/>
        <v>2583</v>
      </c>
      <c r="AC294" s="130">
        <v>0</v>
      </c>
      <c r="AD294" s="35">
        <f t="shared" si="89"/>
        <v>2583</v>
      </c>
      <c r="AE294" s="166" t="str">
        <f t="shared" si="90"/>
        <v>Release</v>
      </c>
      <c r="AF294" s="127"/>
      <c r="AG294" s="18">
        <v>0</v>
      </c>
      <c r="AH294" s="132"/>
      <c r="AI294" s="238">
        <v>0</v>
      </c>
      <c r="AJ294" s="132"/>
      <c r="AK294" s="151">
        <v>399.4</v>
      </c>
      <c r="AL294" s="154">
        <f t="shared" si="80"/>
        <v>0</v>
      </c>
      <c r="AM294" s="155"/>
      <c r="AN294" s="19">
        <f t="shared" si="81"/>
        <v>0</v>
      </c>
      <c r="AO294" s="118">
        <f>SUMIF('MPG Payment '!E:E,'Shayak Income '!D294,'MPG Payment '!AJ:AJ)</f>
        <v>0</v>
      </c>
      <c r="AP294" s="19">
        <f t="shared" si="82"/>
        <v>0</v>
      </c>
      <c r="AQ294" s="119">
        <f t="shared" si="91"/>
        <v>0</v>
      </c>
      <c r="AR294" s="91"/>
      <c r="AS294" s="91">
        <f t="shared" si="83"/>
        <v>0</v>
      </c>
      <c r="AT294" s="118"/>
      <c r="AU294" s="118"/>
      <c r="AV294" s="118"/>
    </row>
    <row r="295" spans="1:48" s="20" customFormat="1" x14ac:dyDescent="0.25">
      <c r="A295" s="17">
        <f>IFERROR(VLOOKUP(D295,'Monthly Deduction'!$I$3:$J$957,2,0),0)</f>
        <v>0</v>
      </c>
      <c r="B295" s="17">
        <f>IFERROR(VLOOKUP(D295,'Monthly Deduction'!$E$3:$F$957,2,0),0)</f>
        <v>0</v>
      </c>
      <c r="C295" s="17">
        <f t="shared" si="84"/>
        <v>0</v>
      </c>
      <c r="D295" s="41">
        <v>10110005</v>
      </c>
      <c r="E295" s="122" t="str">
        <f>VLOOKUP(D295,'MPG Payment '!$E$3:$G$498218,2,0)</f>
        <v>NAYAGAW</v>
      </c>
      <c r="F295" s="146">
        <f>IFERROR(_xlfn.XLOOKUP(D295,'Monthly Deduction'!$I$3:$I$957,'Monthly Deduction'!$H$3:$H$957),0)</f>
        <v>0</v>
      </c>
      <c r="G295" s="123" t="str">
        <f>VLOOKUP(D295,'MPG Payment '!$E$3:$G$334579,3,0)</f>
        <v>MPG</v>
      </c>
      <c r="H295" s="124" t="str">
        <f>VLOOKUP(D295,'MPG Payment '!$E$3:$H$334579,4,0)</f>
        <v>Direct</v>
      </c>
      <c r="I295" s="88">
        <f>INDEX('MPG Payment '!$C:$C,MATCH('Shayak Income '!D295,'MPG Payment '!E:E,0))</f>
        <v>1055</v>
      </c>
      <c r="J295" s="88" t="str">
        <f>INDEX('MPG Payment '!$D:$D,MATCH('Shayak Income '!D295,'MPG Payment '!E:E,0))</f>
        <v>Matihani</v>
      </c>
      <c r="K295" s="125" t="s">
        <v>1322</v>
      </c>
      <c r="L295" s="125">
        <v>42979</v>
      </c>
      <c r="M295" s="126">
        <f>SUMIF('MPG Payment '!$E$3:$E$34579,'Shayak Income '!D295,'MPG Payment '!$I$3:$I$34579)</f>
        <v>16984.400000000001</v>
      </c>
      <c r="N295" s="126">
        <f>SUMIF('MPG Payment '!$E$3:$E$34579,'Shayak Income '!D295,'MPG Payment '!$J$3:$J$34579)</f>
        <v>693374.70409408933</v>
      </c>
      <c r="O295" s="126">
        <f t="shared" si="85"/>
        <v>12738.300000000001</v>
      </c>
      <c r="P295" s="126">
        <f t="shared" si="86"/>
        <v>16135.18</v>
      </c>
      <c r="Q295" s="126">
        <f>SUMIF('MPG Payment '!$E$3:$E$34579,'Shayak Income '!D295,'MPG Payment '!$S$3:$S$34579)</f>
        <v>9058.8885878176188</v>
      </c>
      <c r="R295" s="126">
        <f t="shared" si="76"/>
        <v>20801.241122822681</v>
      </c>
      <c r="S295" s="126">
        <f t="shared" si="77"/>
        <v>4666.0611228226808</v>
      </c>
      <c r="T295" s="126">
        <f t="shared" si="87"/>
        <v>1698.4400000000003</v>
      </c>
      <c r="U295" s="127">
        <f>(((IF(K295="New",0,SUMIF('MPG Payment '!$E$3:$E$34579,'Shayak Income '!D295,'MPG Payment '!$AC$3:$AC$34579))))+0)+0</f>
        <v>0</v>
      </c>
      <c r="V295" s="127">
        <f t="shared" si="88"/>
        <v>36234</v>
      </c>
      <c r="W295" s="19">
        <f t="shared" si="92"/>
        <v>0</v>
      </c>
      <c r="X295" s="19">
        <f t="shared" si="78"/>
        <v>0</v>
      </c>
      <c r="Y295" s="128">
        <f>IFERROR(VLOOKUP(D295,'Monthly Deduction'!$M$2:$N$64,2,0),0)</f>
        <v>0</v>
      </c>
      <c r="Z295" s="128">
        <v>0</v>
      </c>
      <c r="AA295" s="126">
        <f>IFERROR(VLOOKUP(D295,'Monthly Deduction'!A:B,2,0),0)</f>
        <v>0</v>
      </c>
      <c r="AB295" s="129">
        <f t="shared" si="79"/>
        <v>36234</v>
      </c>
      <c r="AC295" s="130">
        <v>0</v>
      </c>
      <c r="AD295" s="35">
        <f t="shared" si="89"/>
        <v>36234</v>
      </c>
      <c r="AE295" s="166" t="str">
        <f t="shared" si="90"/>
        <v>Release</v>
      </c>
      <c r="AF295" s="127"/>
      <c r="AG295" s="18">
        <v>0</v>
      </c>
      <c r="AH295" s="120"/>
      <c r="AI295" s="238">
        <v>0</v>
      </c>
      <c r="AJ295" s="132"/>
      <c r="AK295" s="151">
        <v>3962.0000000000005</v>
      </c>
      <c r="AL295" s="154">
        <f t="shared" si="80"/>
        <v>0</v>
      </c>
      <c r="AM295" s="155"/>
      <c r="AN295" s="19">
        <f t="shared" si="81"/>
        <v>0</v>
      </c>
      <c r="AO295" s="118">
        <f>SUMIF('MPG Payment '!E:E,'Shayak Income '!D295,'MPG Payment '!AJ:AJ)</f>
        <v>0</v>
      </c>
      <c r="AP295" s="19">
        <f t="shared" si="82"/>
        <v>0</v>
      </c>
      <c r="AQ295" s="119">
        <f t="shared" si="91"/>
        <v>0</v>
      </c>
      <c r="AR295" s="91" t="s">
        <v>1168</v>
      </c>
      <c r="AS295" s="91">
        <f t="shared" si="83"/>
        <v>0</v>
      </c>
      <c r="AT295" s="118"/>
      <c r="AU295" s="118"/>
      <c r="AV295" s="118"/>
    </row>
    <row r="296" spans="1:48" s="20" customFormat="1" x14ac:dyDescent="0.25">
      <c r="A296" s="17">
        <f>IFERROR(VLOOKUP(D296,'Monthly Deduction'!$I$3:$J$957,2,0),0)</f>
        <v>0</v>
      </c>
      <c r="B296" s="17">
        <f>IFERROR(VLOOKUP(D296,'Monthly Deduction'!$E$3:$F$957,2,0),0)</f>
        <v>0</v>
      </c>
      <c r="C296" s="17">
        <f t="shared" si="84"/>
        <v>0</v>
      </c>
      <c r="D296" s="41">
        <v>10110007</v>
      </c>
      <c r="E296" s="122" t="str">
        <f>VLOOKUP(D296,'MPG Payment '!$E$3:$G$498218,2,0)</f>
        <v>Dandari</v>
      </c>
      <c r="F296" s="146">
        <f>IFERROR(_xlfn.XLOOKUP(D296,'Monthly Deduction'!$I$3:$I$957,'Monthly Deduction'!$H$3:$H$957),0)</f>
        <v>0</v>
      </c>
      <c r="G296" s="123" t="str">
        <f>VLOOKUP(D296,'MPG Payment '!$E$3:$G$334579,3,0)</f>
        <v>MPG</v>
      </c>
      <c r="H296" s="124" t="str">
        <f>VLOOKUP(D296,'MPG Payment '!$E$3:$H$334579,4,0)</f>
        <v>Direct</v>
      </c>
      <c r="I296" s="88">
        <f>INDEX('MPG Payment '!$C:$C,MATCH('Shayak Income '!D296,'MPG Payment '!E:E,0))</f>
        <v>1011</v>
      </c>
      <c r="J296" s="88" t="str">
        <f>INDEX('MPG Payment '!$D:$D,MATCH('Shayak Income '!D296,'MPG Payment '!E:E,0))</f>
        <v>Sahibpur Kamal</v>
      </c>
      <c r="K296" s="125" t="s">
        <v>1322</v>
      </c>
      <c r="L296" s="125">
        <v>42979</v>
      </c>
      <c r="M296" s="126">
        <f>SUMIF('MPG Payment '!$E$3:$E$34579,'Shayak Income '!D296,'MPG Payment '!$I$3:$I$34579)</f>
        <v>4764.3999999999996</v>
      </c>
      <c r="N296" s="126">
        <f>SUMIF('MPG Payment '!$E$3:$E$34579,'Shayak Income '!D296,'MPG Payment '!$J$3:$J$34579)</f>
        <v>172224.67758638601</v>
      </c>
      <c r="O296" s="126">
        <f t="shared" si="85"/>
        <v>3573.2999999999997</v>
      </c>
      <c r="P296" s="126">
        <f t="shared" si="86"/>
        <v>4526.1799999999994</v>
      </c>
      <c r="Q296" s="126">
        <f>SUMIF('MPG Payment '!$E$3:$E$34579,'Shayak Income '!D296,'MPG Payment '!$S$3:$S$34579)</f>
        <v>373.86187004100009</v>
      </c>
      <c r="R296" s="126">
        <f t="shared" si="76"/>
        <v>5166.7403275915804</v>
      </c>
      <c r="S296" s="126">
        <f t="shared" si="77"/>
        <v>640.56032759158097</v>
      </c>
      <c r="T296" s="126">
        <f t="shared" si="87"/>
        <v>476.44</v>
      </c>
      <c r="U296" s="127">
        <f>(((IF(K296="New",0,SUMIF('MPG Payment '!$E$3:$E$34579,'Shayak Income '!D296,'MPG Payment '!$AC$3:$AC$34579))))+0)+0</f>
        <v>0</v>
      </c>
      <c r="V296" s="127">
        <f t="shared" si="88"/>
        <v>7997</v>
      </c>
      <c r="W296" s="19">
        <f t="shared" si="92"/>
        <v>0</v>
      </c>
      <c r="X296" s="19">
        <f t="shared" si="78"/>
        <v>0</v>
      </c>
      <c r="Y296" s="128">
        <f>IFERROR(VLOOKUP(D296,'Monthly Deduction'!$M$2:$N$64,2,0),0)</f>
        <v>0</v>
      </c>
      <c r="Z296" s="128">
        <v>0</v>
      </c>
      <c r="AA296" s="126">
        <f>IFERROR(VLOOKUP(D296,'Monthly Deduction'!A:B,2,0),0)</f>
        <v>0</v>
      </c>
      <c r="AB296" s="129">
        <f t="shared" si="79"/>
        <v>7997</v>
      </c>
      <c r="AC296" s="130">
        <v>0</v>
      </c>
      <c r="AD296" s="35">
        <f t="shared" si="89"/>
        <v>7997</v>
      </c>
      <c r="AE296" s="166" t="str">
        <f t="shared" si="90"/>
        <v>Release</v>
      </c>
      <c r="AF296" s="127"/>
      <c r="AG296" s="18">
        <v>0</v>
      </c>
      <c r="AH296" s="120"/>
      <c r="AI296" s="238">
        <v>0</v>
      </c>
      <c r="AJ296" s="132"/>
      <c r="AK296" s="151">
        <v>912.90000000000009</v>
      </c>
      <c r="AL296" s="154">
        <f t="shared" si="80"/>
        <v>0</v>
      </c>
      <c r="AM296" s="155"/>
      <c r="AN296" s="19">
        <f t="shared" si="81"/>
        <v>0</v>
      </c>
      <c r="AO296" s="118">
        <f>SUMIF('MPG Payment '!E:E,'Shayak Income '!D296,'MPG Payment '!AJ:AJ)</f>
        <v>0</v>
      </c>
      <c r="AP296" s="19">
        <f t="shared" si="82"/>
        <v>0</v>
      </c>
      <c r="AQ296" s="119">
        <f t="shared" si="91"/>
        <v>0</v>
      </c>
      <c r="AR296" s="91" t="s">
        <v>1168</v>
      </c>
      <c r="AS296" s="91">
        <f t="shared" si="83"/>
        <v>0</v>
      </c>
      <c r="AT296" s="118"/>
      <c r="AU296" s="118"/>
      <c r="AV296" s="118"/>
    </row>
    <row r="297" spans="1:48" s="20" customFormat="1" x14ac:dyDescent="0.25">
      <c r="A297" s="17">
        <f>IFERROR(VLOOKUP(D297,'Monthly Deduction'!$I$3:$J$957,2,0),0)</f>
        <v>0</v>
      </c>
      <c r="B297" s="17">
        <f>IFERROR(VLOOKUP(D297,'Monthly Deduction'!$E$3:$F$957,2,0),0)</f>
        <v>0</v>
      </c>
      <c r="C297" s="17">
        <f t="shared" si="84"/>
        <v>0</v>
      </c>
      <c r="D297" s="41">
        <v>10110008</v>
      </c>
      <c r="E297" s="122" t="str">
        <f>VLOOKUP(D297,'MPG Payment '!$E$3:$G$498218,2,0)</f>
        <v>Rahimpur Pachkhutti</v>
      </c>
      <c r="F297" s="146">
        <f>IFERROR(_xlfn.XLOOKUP(D297,'Monthly Deduction'!$I$3:$I$957,'Monthly Deduction'!$H$3:$H$957),0)</f>
        <v>0</v>
      </c>
      <c r="G297" s="123" t="str">
        <f>VLOOKUP(D297,'MPG Payment '!$E$3:$G$334579,3,0)</f>
        <v>vlc</v>
      </c>
      <c r="H297" s="124" t="str">
        <f>VLOOKUP(D297,'MPG Payment '!$E$3:$H$334579,4,0)</f>
        <v>Indirect</v>
      </c>
      <c r="I297" s="88">
        <f>INDEX('MPG Payment '!$C:$C,MATCH('Shayak Income '!D297,'MPG Payment '!E:E,0))</f>
        <v>1011</v>
      </c>
      <c r="J297" s="88" t="str">
        <f>INDEX('MPG Payment '!$D:$D,MATCH('Shayak Income '!D297,'MPG Payment '!E:E,0))</f>
        <v>Sahibpur Kamal</v>
      </c>
      <c r="K297" s="125" t="s">
        <v>1322</v>
      </c>
      <c r="L297" s="125">
        <v>42979</v>
      </c>
      <c r="M297" s="126">
        <f>SUMIF('MPG Payment '!$E$3:$E$34579,'Shayak Income '!D297,'MPG Payment '!$I$3:$I$34579)</f>
        <v>27628.199999999997</v>
      </c>
      <c r="N297" s="126">
        <f>SUMIF('MPG Payment '!$E$3:$E$34579,'Shayak Income '!D297,'MPG Payment '!$J$3:$J$34579)</f>
        <v>1061926.4777767202</v>
      </c>
      <c r="O297" s="126">
        <f t="shared" si="85"/>
        <v>20721.149999999998</v>
      </c>
      <c r="P297" s="126">
        <f t="shared" si="86"/>
        <v>26246.789999999997</v>
      </c>
      <c r="Q297" s="126">
        <f>SUMIF('MPG Payment '!$E$3:$E$34579,'Shayak Income '!D297,'MPG Payment '!$S$3:$S$34579)</f>
        <v>0</v>
      </c>
      <c r="R297" s="126">
        <f t="shared" si="76"/>
        <v>31857.794333301605</v>
      </c>
      <c r="S297" s="126">
        <f t="shared" si="77"/>
        <v>5611.0043333016074</v>
      </c>
      <c r="T297" s="126">
        <f t="shared" si="87"/>
        <v>2762.8199999999997</v>
      </c>
      <c r="U297" s="127">
        <f>(((IF(K297="New",0,SUMIF('MPG Payment '!$E$3:$E$34579,'Shayak Income '!D297,'MPG Payment '!$AC$3:$AC$34579))))+0)+0</f>
        <v>0</v>
      </c>
      <c r="V297" s="127">
        <f t="shared" si="88"/>
        <v>44205</v>
      </c>
      <c r="W297" s="19">
        <f t="shared" si="92"/>
        <v>0</v>
      </c>
      <c r="X297" s="19">
        <f t="shared" si="78"/>
        <v>0</v>
      </c>
      <c r="Y297" s="128">
        <f>IFERROR(VLOOKUP(D297,'Monthly Deduction'!$M$2:$N$64,2,0),0)</f>
        <v>0</v>
      </c>
      <c r="Z297" s="128">
        <v>0</v>
      </c>
      <c r="AA297" s="126">
        <f>IFERROR(VLOOKUP(D297,'Monthly Deduction'!A:B,2,0),0)</f>
        <v>0</v>
      </c>
      <c r="AB297" s="129">
        <f t="shared" si="79"/>
        <v>44205</v>
      </c>
      <c r="AC297" s="130">
        <v>0</v>
      </c>
      <c r="AD297" s="35">
        <f t="shared" si="89"/>
        <v>44205</v>
      </c>
      <c r="AE297" s="166" t="str">
        <f t="shared" si="90"/>
        <v>Release</v>
      </c>
      <c r="AF297" s="127"/>
      <c r="AG297" s="127">
        <v>0</v>
      </c>
      <c r="AH297" s="120"/>
      <c r="AI297" s="238">
        <v>0</v>
      </c>
      <c r="AJ297" s="132"/>
      <c r="AK297" s="151">
        <v>7934.0999999999995</v>
      </c>
      <c r="AL297" s="154">
        <f t="shared" si="80"/>
        <v>0</v>
      </c>
      <c r="AM297" s="155"/>
      <c r="AN297" s="19">
        <f t="shared" si="81"/>
        <v>0</v>
      </c>
      <c r="AO297" s="118">
        <f>SUMIF('MPG Payment '!E:E,'Shayak Income '!D297,'MPG Payment '!AJ:AJ)</f>
        <v>0</v>
      </c>
      <c r="AP297" s="19">
        <f t="shared" si="82"/>
        <v>0</v>
      </c>
      <c r="AQ297" s="119">
        <f t="shared" si="91"/>
        <v>0</v>
      </c>
      <c r="AR297" s="91"/>
      <c r="AS297" s="91">
        <f t="shared" si="83"/>
        <v>0</v>
      </c>
      <c r="AT297" s="118"/>
      <c r="AU297" s="118"/>
      <c r="AV297" s="118"/>
    </row>
    <row r="298" spans="1:48" s="20" customFormat="1" x14ac:dyDescent="0.25">
      <c r="A298" s="17">
        <f>IFERROR(VLOOKUP(D298,'Monthly Deduction'!$I$3:$J$957,2,0),0)</f>
        <v>0</v>
      </c>
      <c r="B298" s="17">
        <f>IFERROR(VLOOKUP(D298,'Monthly Deduction'!$E$3:$F$957,2,0),0)</f>
        <v>0</v>
      </c>
      <c r="C298" s="17">
        <f t="shared" si="84"/>
        <v>0</v>
      </c>
      <c r="D298" s="41">
        <v>10110013</v>
      </c>
      <c r="E298" s="122" t="str">
        <f>VLOOKUP(D298,'MPG Payment '!$E$3:$G$498218,2,0)</f>
        <v xml:space="preserve">Gomukh Mohanpur                                                                                     </v>
      </c>
      <c r="F298" s="146">
        <f>IFERROR(_xlfn.XLOOKUP(D298,'Monthly Deduction'!$I$3:$I$957,'Monthly Deduction'!$H$3:$H$957),0)</f>
        <v>0</v>
      </c>
      <c r="G298" s="123" t="str">
        <f>VLOOKUP(D298,'MPG Payment '!$E$3:$G$334579,3,0)</f>
        <v>MPG</v>
      </c>
      <c r="H298" s="124" t="str">
        <f>VLOOKUP(D298,'MPG Payment '!$E$3:$H$334579,4,0)</f>
        <v>Direct</v>
      </c>
      <c r="I298" s="88">
        <f>INDEX('MPG Payment '!$C:$C,MATCH('Shayak Income '!D298,'MPG Payment '!E:E,0))</f>
        <v>1011</v>
      </c>
      <c r="J298" s="88" t="str">
        <f>INDEX('MPG Payment '!$D:$D,MATCH('Shayak Income '!D298,'MPG Payment '!E:E,0))</f>
        <v>Sahibpur Kamal</v>
      </c>
      <c r="K298" s="125" t="s">
        <v>1322</v>
      </c>
      <c r="L298" s="125">
        <v>44681</v>
      </c>
      <c r="M298" s="126">
        <f>SUMIF('MPG Payment '!$E$3:$E$34579,'Shayak Income '!D298,'MPG Payment '!$I$3:$I$34579)</f>
        <v>3760</v>
      </c>
      <c r="N298" s="126">
        <f>SUMIF('MPG Payment '!$E$3:$E$34579,'Shayak Income '!D298,'MPG Payment '!$J$3:$J$34579)</f>
        <v>136867.11989648201</v>
      </c>
      <c r="O298" s="126">
        <f t="shared" si="85"/>
        <v>2820</v>
      </c>
      <c r="P298" s="126">
        <f t="shared" si="86"/>
        <v>3572</v>
      </c>
      <c r="Q298" s="126">
        <f>SUMIF('MPG Payment '!$E$3:$E$34579,'Shayak Income '!D298,'MPG Payment '!$S$3:$S$34579)</f>
        <v>256.80335400000001</v>
      </c>
      <c r="R298" s="126">
        <f t="shared" si="76"/>
        <v>4106.0135968944596</v>
      </c>
      <c r="S298" s="126">
        <f t="shared" si="77"/>
        <v>534.01359689445962</v>
      </c>
      <c r="T298" s="126">
        <f t="shared" si="87"/>
        <v>376</v>
      </c>
      <c r="U298" s="127">
        <f>(((IF(K298="New",0,SUMIF('MPG Payment '!$E$3:$E$34579,'Shayak Income '!D298,'MPG Payment '!$AC$3:$AC$34579))))+0)+0</f>
        <v>0</v>
      </c>
      <c r="V298" s="127">
        <f t="shared" si="88"/>
        <v>6273</v>
      </c>
      <c r="W298" s="19">
        <f t="shared" si="92"/>
        <v>0</v>
      </c>
      <c r="X298" s="19">
        <f t="shared" si="78"/>
        <v>0</v>
      </c>
      <c r="Y298" s="128">
        <f>IFERROR(VLOOKUP(D298,'Monthly Deduction'!$M$2:$N$64,2,0),0)</f>
        <v>0</v>
      </c>
      <c r="Z298" s="128">
        <v>0</v>
      </c>
      <c r="AA298" s="126">
        <f>IFERROR(VLOOKUP(D298,'Monthly Deduction'!A:B,2,0),0)</f>
        <v>0</v>
      </c>
      <c r="AB298" s="129">
        <f t="shared" si="79"/>
        <v>6273</v>
      </c>
      <c r="AC298" s="130">
        <v>0</v>
      </c>
      <c r="AD298" s="35">
        <f t="shared" si="89"/>
        <v>6273</v>
      </c>
      <c r="AE298" s="166" t="str">
        <f t="shared" si="90"/>
        <v>Release</v>
      </c>
      <c r="AF298" s="127"/>
      <c r="AG298" s="18">
        <v>0</v>
      </c>
      <c r="AH298" s="132"/>
      <c r="AI298" s="238">
        <v>0</v>
      </c>
      <c r="AJ298" s="132"/>
      <c r="AK298" s="151">
        <v>1041</v>
      </c>
      <c r="AL298" s="154">
        <f t="shared" si="80"/>
        <v>0</v>
      </c>
      <c r="AM298" s="155"/>
      <c r="AN298" s="19">
        <f t="shared" si="81"/>
        <v>0</v>
      </c>
      <c r="AO298" s="118">
        <f>SUMIF('MPG Payment '!E:E,'Shayak Income '!D298,'MPG Payment '!AJ:AJ)</f>
        <v>0</v>
      </c>
      <c r="AP298" s="19">
        <f t="shared" si="82"/>
        <v>0</v>
      </c>
      <c r="AQ298" s="119">
        <f t="shared" si="91"/>
        <v>0</v>
      </c>
      <c r="AR298" s="91"/>
      <c r="AS298" s="91">
        <f t="shared" si="83"/>
        <v>0</v>
      </c>
      <c r="AT298" s="118"/>
      <c r="AU298" s="118"/>
      <c r="AV298" s="118"/>
    </row>
    <row r="299" spans="1:48" s="20" customFormat="1" x14ac:dyDescent="0.25">
      <c r="A299" s="17">
        <f>IFERROR(VLOOKUP(D299,'Monthly Deduction'!$I$3:$J$957,2,0),0)</f>
        <v>0</v>
      </c>
      <c r="B299" s="17">
        <f>IFERROR(VLOOKUP(D299,'Monthly Deduction'!$E$3:$F$957,2,0),0)</f>
        <v>0</v>
      </c>
      <c r="C299" s="17">
        <f t="shared" si="84"/>
        <v>0</v>
      </c>
      <c r="D299" s="41">
        <v>10110014</v>
      </c>
      <c r="E299" s="122" t="str">
        <f>VLOOKUP(D299,'MPG Payment '!$E$3:$G$498218,2,0)</f>
        <v>Gomukh Raghunathpur</v>
      </c>
      <c r="F299" s="146">
        <f>IFERROR(_xlfn.XLOOKUP(D299,'Monthly Deduction'!$I$3:$I$957,'Monthly Deduction'!$H$3:$H$957),0)</f>
        <v>0</v>
      </c>
      <c r="G299" s="123" t="str">
        <f>VLOOKUP(D299,'MPG Payment '!$E$3:$G$334579,3,0)</f>
        <v>MPG</v>
      </c>
      <c r="H299" s="124" t="str">
        <f>VLOOKUP(D299,'MPG Payment '!$E$3:$H$334579,4,0)</f>
        <v>Direct</v>
      </c>
      <c r="I299" s="88">
        <f>INDEX('MPG Payment '!$C:$C,MATCH('Shayak Income '!D299,'MPG Payment '!E:E,0))</f>
        <v>1011</v>
      </c>
      <c r="J299" s="88" t="str">
        <f>INDEX('MPG Payment '!$D:$D,MATCH('Shayak Income '!D299,'MPG Payment '!E:E,0))</f>
        <v>Sahibpur Kamal</v>
      </c>
      <c r="K299" s="125" t="s">
        <v>1322</v>
      </c>
      <c r="L299" s="125">
        <v>44681</v>
      </c>
      <c r="M299" s="126">
        <f>SUMIF('MPG Payment '!$E$3:$E$34579,'Shayak Income '!D299,'MPG Payment '!$I$3:$I$34579)</f>
        <v>3854.2</v>
      </c>
      <c r="N299" s="126">
        <f>SUMIF('MPG Payment '!$E$3:$E$34579,'Shayak Income '!D299,'MPG Payment '!$J$3:$J$34579)</f>
        <v>170001.59287269192</v>
      </c>
      <c r="O299" s="126">
        <f t="shared" si="85"/>
        <v>2890.6499999999996</v>
      </c>
      <c r="P299" s="126">
        <f t="shared" si="86"/>
        <v>3661.49</v>
      </c>
      <c r="Q299" s="126">
        <f>SUMIF('MPG Payment '!$E$3:$E$34579,'Shayak Income '!D299,'MPG Payment '!$S$3:$S$34579)</f>
        <v>2835.4736336814653</v>
      </c>
      <c r="R299" s="126">
        <f t="shared" si="76"/>
        <v>5100.0477861807576</v>
      </c>
      <c r="S299" s="126">
        <f t="shared" si="77"/>
        <v>1438.5577861807578</v>
      </c>
      <c r="T299" s="126">
        <f t="shared" si="87"/>
        <v>385.42</v>
      </c>
      <c r="U299" s="127">
        <f>(((IF(K299="New",0,SUMIF('MPG Payment '!$E$3:$E$34579,'Shayak Income '!D299,'MPG Payment '!$AC$3:$AC$34579))))+0)+0</f>
        <v>0</v>
      </c>
      <c r="V299" s="127">
        <f t="shared" si="88"/>
        <v>9002</v>
      </c>
      <c r="W299" s="19">
        <f t="shared" si="92"/>
        <v>0</v>
      </c>
      <c r="X299" s="19">
        <f t="shared" si="78"/>
        <v>0</v>
      </c>
      <c r="Y299" s="128">
        <f>IFERROR(VLOOKUP(D299,'Monthly Deduction'!$M$2:$N$64,2,0),0)</f>
        <v>0</v>
      </c>
      <c r="Z299" s="128">
        <v>0</v>
      </c>
      <c r="AA299" s="126">
        <f>IFERROR(VLOOKUP(D299,'Monthly Deduction'!A:B,2,0),0)</f>
        <v>0</v>
      </c>
      <c r="AB299" s="129">
        <f t="shared" si="79"/>
        <v>9002</v>
      </c>
      <c r="AC299" s="130">
        <v>0</v>
      </c>
      <c r="AD299" s="35">
        <f t="shared" si="89"/>
        <v>9002</v>
      </c>
      <c r="AE299" s="166" t="str">
        <f t="shared" si="90"/>
        <v>Release</v>
      </c>
      <c r="AF299" s="127"/>
      <c r="AG299" s="18">
        <v>0</v>
      </c>
      <c r="AH299" s="132"/>
      <c r="AI299" s="238">
        <v>0</v>
      </c>
      <c r="AJ299" s="132"/>
      <c r="AK299" s="151">
        <v>928.90000000000009</v>
      </c>
      <c r="AL299" s="154">
        <f t="shared" si="80"/>
        <v>0</v>
      </c>
      <c r="AM299" s="155"/>
      <c r="AN299" s="19">
        <f t="shared" si="81"/>
        <v>0</v>
      </c>
      <c r="AO299" s="118">
        <f>SUMIF('MPG Payment '!E:E,'Shayak Income '!D299,'MPG Payment '!AJ:AJ)</f>
        <v>0</v>
      </c>
      <c r="AP299" s="19">
        <f t="shared" si="82"/>
        <v>0</v>
      </c>
      <c r="AQ299" s="119">
        <f t="shared" si="91"/>
        <v>0</v>
      </c>
      <c r="AR299" s="91"/>
      <c r="AS299" s="91">
        <f t="shared" si="83"/>
        <v>0</v>
      </c>
      <c r="AT299" s="118"/>
      <c r="AU299" s="118"/>
      <c r="AV299" s="118"/>
    </row>
    <row r="300" spans="1:48" s="20" customFormat="1" x14ac:dyDescent="0.25">
      <c r="A300" s="17">
        <f>IFERROR(VLOOKUP(D300,'Monthly Deduction'!$I$3:$J$957,2,0),0)</f>
        <v>0</v>
      </c>
      <c r="B300" s="17">
        <f>IFERROR(VLOOKUP(D300,'Monthly Deduction'!$E$3:$F$957,2,0),0)</f>
        <v>0</v>
      </c>
      <c r="C300" s="17">
        <f t="shared" si="84"/>
        <v>0</v>
      </c>
      <c r="D300" s="41">
        <v>10110015</v>
      </c>
      <c r="E300" s="122" t="str">
        <f>VLOOKUP(D300,'MPG Payment '!$E$3:$G$498218,2,0)</f>
        <v>Gomukh Chhitraur</v>
      </c>
      <c r="F300" s="146">
        <f>IFERROR(_xlfn.XLOOKUP(D300,'Monthly Deduction'!$I$3:$I$957,'Monthly Deduction'!$H$3:$H$957),0)</f>
        <v>0</v>
      </c>
      <c r="G300" s="123" t="str">
        <f>VLOOKUP(D300,'MPG Payment '!$E$3:$G$334579,3,0)</f>
        <v>MPG</v>
      </c>
      <c r="H300" s="124" t="str">
        <f>VLOOKUP(D300,'MPG Payment '!$E$3:$H$334579,4,0)</f>
        <v>Direct</v>
      </c>
      <c r="I300" s="88">
        <f>INDEX('MPG Payment '!$C:$C,MATCH('Shayak Income '!D300,'MPG Payment '!E:E,0))</f>
        <v>1055</v>
      </c>
      <c r="J300" s="88" t="str">
        <f>INDEX('MPG Payment '!$D:$D,MATCH('Shayak Income '!D300,'MPG Payment '!E:E,0))</f>
        <v>Matihani</v>
      </c>
      <c r="K300" s="125" t="s">
        <v>1322</v>
      </c>
      <c r="L300" s="125">
        <v>44694</v>
      </c>
      <c r="M300" s="126">
        <f>SUMIF('MPG Payment '!$E$3:$E$34579,'Shayak Income '!D300,'MPG Payment '!$I$3:$I$34579)</f>
        <v>4177.7000000000007</v>
      </c>
      <c r="N300" s="126">
        <f>SUMIF('MPG Payment '!$E$3:$E$34579,'Shayak Income '!D300,'MPG Payment '!$J$3:$J$34579)</f>
        <v>171482.27987197999</v>
      </c>
      <c r="O300" s="126">
        <f t="shared" si="85"/>
        <v>3133.2750000000005</v>
      </c>
      <c r="P300" s="126">
        <f t="shared" si="86"/>
        <v>3968.8150000000005</v>
      </c>
      <c r="Q300" s="126">
        <f>SUMIF('MPG Payment '!$E$3:$E$34579,'Shayak Income '!D300,'MPG Payment '!$S$3:$S$34579)</f>
        <v>0</v>
      </c>
      <c r="R300" s="126">
        <f t="shared" si="76"/>
        <v>5144.4683961593992</v>
      </c>
      <c r="S300" s="126">
        <f t="shared" si="77"/>
        <v>1175.6533961593987</v>
      </c>
      <c r="T300" s="126">
        <f t="shared" si="87"/>
        <v>417.7700000000001</v>
      </c>
      <c r="U300" s="127">
        <f>(((IF(K300="New",0,SUMIF('MPG Payment '!$E$3:$E$34579,'Shayak Income '!D300,'MPG Payment '!$AC$3:$AC$34579))))+0)+0</f>
        <v>0</v>
      </c>
      <c r="V300" s="127">
        <f t="shared" si="88"/>
        <v>6684</v>
      </c>
      <c r="W300" s="19">
        <f t="shared" si="92"/>
        <v>0</v>
      </c>
      <c r="X300" s="19">
        <f t="shared" si="78"/>
        <v>0</v>
      </c>
      <c r="Y300" s="128">
        <f>IFERROR(VLOOKUP(D300,'Monthly Deduction'!$M$2:$N$64,2,0),0)</f>
        <v>0</v>
      </c>
      <c r="Z300" s="128">
        <v>0</v>
      </c>
      <c r="AA300" s="126">
        <f>IFERROR(VLOOKUP(D300,'Monthly Deduction'!A:B,2,0),0)</f>
        <v>0</v>
      </c>
      <c r="AB300" s="129">
        <f t="shared" si="79"/>
        <v>6684</v>
      </c>
      <c r="AC300" s="130">
        <v>0</v>
      </c>
      <c r="AD300" s="35">
        <f t="shared" si="89"/>
        <v>6684</v>
      </c>
      <c r="AE300" s="166" t="str">
        <f t="shared" si="90"/>
        <v>Release</v>
      </c>
      <c r="AF300" s="127"/>
      <c r="AG300" s="18">
        <v>0</v>
      </c>
      <c r="AH300" s="120"/>
      <c r="AI300" s="238">
        <v>0</v>
      </c>
      <c r="AJ300" s="132"/>
      <c r="AK300" s="151">
        <v>868.4</v>
      </c>
      <c r="AL300" s="154">
        <f t="shared" si="80"/>
        <v>0</v>
      </c>
      <c r="AM300" s="155"/>
      <c r="AN300" s="19">
        <f t="shared" si="81"/>
        <v>0</v>
      </c>
      <c r="AO300" s="118">
        <f>SUMIF('MPG Payment '!E:E,'Shayak Income '!D300,'MPG Payment '!AJ:AJ)</f>
        <v>0</v>
      </c>
      <c r="AP300" s="19">
        <f t="shared" si="82"/>
        <v>0</v>
      </c>
      <c r="AQ300" s="119">
        <f t="shared" si="91"/>
        <v>0</v>
      </c>
      <c r="AR300" s="91" t="s">
        <v>1168</v>
      </c>
      <c r="AS300" s="91">
        <f t="shared" si="83"/>
        <v>0</v>
      </c>
      <c r="AT300" s="118"/>
      <c r="AU300" s="118"/>
      <c r="AV300" s="118"/>
    </row>
    <row r="301" spans="1:48" s="20" customFormat="1" x14ac:dyDescent="0.25">
      <c r="A301" s="17">
        <f>IFERROR(VLOOKUP(D301,'Monthly Deduction'!$I$3:$J$957,2,0),0)</f>
        <v>0</v>
      </c>
      <c r="B301" s="17">
        <f>IFERROR(VLOOKUP(D301,'Monthly Deduction'!$E$3:$F$957,2,0),0)</f>
        <v>0</v>
      </c>
      <c r="C301" s="17">
        <f t="shared" si="84"/>
        <v>0</v>
      </c>
      <c r="D301" s="41">
        <v>10110016</v>
      </c>
      <c r="E301" s="122" t="str">
        <f>VLOOKUP(D301,'MPG Payment '!$E$3:$G$498218,2,0)</f>
        <v>Gomukh Khorampur Chakaur</v>
      </c>
      <c r="F301" s="146">
        <f>IFERROR(_xlfn.XLOOKUP(D301,'Monthly Deduction'!$I$3:$I$957,'Monthly Deduction'!$H$3:$H$957),0)</f>
        <v>0</v>
      </c>
      <c r="G301" s="123" t="str">
        <f>VLOOKUP(D301,'MPG Payment '!$E$3:$G$334579,3,0)</f>
        <v>MPG</v>
      </c>
      <c r="H301" s="124" t="str">
        <f>VLOOKUP(D301,'MPG Payment '!$E$3:$H$334579,4,0)</f>
        <v>Direct</v>
      </c>
      <c r="I301" s="88">
        <f>INDEX('MPG Payment '!$C:$C,MATCH('Shayak Income '!D301,'MPG Payment '!E:E,0))</f>
        <v>1055</v>
      </c>
      <c r="J301" s="88" t="str">
        <f>INDEX('MPG Payment '!$D:$D,MATCH('Shayak Income '!D301,'MPG Payment '!E:E,0))</f>
        <v>Matihani</v>
      </c>
      <c r="K301" s="125" t="s">
        <v>1322</v>
      </c>
      <c r="L301" s="125">
        <v>44694</v>
      </c>
      <c r="M301" s="126">
        <f>SUMIF('MPG Payment '!$E$3:$E$34579,'Shayak Income '!D301,'MPG Payment '!$I$3:$I$34579)</f>
        <v>2854.7</v>
      </c>
      <c r="N301" s="126">
        <f>SUMIF('MPG Payment '!$E$3:$E$34579,'Shayak Income '!D301,'MPG Payment '!$J$3:$J$34579)</f>
        <v>114746.71318711201</v>
      </c>
      <c r="O301" s="126">
        <f t="shared" si="85"/>
        <v>2141.0249999999996</v>
      </c>
      <c r="P301" s="126">
        <f t="shared" si="86"/>
        <v>2711.9649999999997</v>
      </c>
      <c r="Q301" s="126">
        <f>SUMIF('MPG Payment '!$E$3:$E$34579,'Shayak Income '!D301,'MPG Payment '!$S$3:$S$34579)</f>
        <v>554.73293737500001</v>
      </c>
      <c r="R301" s="126">
        <f t="shared" si="76"/>
        <v>3442.4013956133599</v>
      </c>
      <c r="S301" s="126">
        <f t="shared" si="77"/>
        <v>730.43639561336022</v>
      </c>
      <c r="T301" s="126">
        <f t="shared" si="87"/>
        <v>285.46999999999997</v>
      </c>
      <c r="U301" s="127">
        <f>(((IF(K301="New",0,SUMIF('MPG Payment '!$E$3:$E$34579,'Shayak Income '!D301,'MPG Payment '!$AC$3:$AC$34579))))+0)+0</f>
        <v>48.883266370988267</v>
      </c>
      <c r="V301" s="127">
        <f t="shared" si="88"/>
        <v>5073</v>
      </c>
      <c r="W301" s="19">
        <f t="shared" si="92"/>
        <v>0</v>
      </c>
      <c r="X301" s="19">
        <f t="shared" si="78"/>
        <v>0</v>
      </c>
      <c r="Y301" s="128">
        <f>IFERROR(VLOOKUP(D301,'Monthly Deduction'!$M$2:$N$64,2,0),0)</f>
        <v>0</v>
      </c>
      <c r="Z301" s="128">
        <v>0</v>
      </c>
      <c r="AA301" s="126">
        <f>IFERROR(VLOOKUP(D301,'Monthly Deduction'!A:B,2,0),0)</f>
        <v>0</v>
      </c>
      <c r="AB301" s="129">
        <f t="shared" si="79"/>
        <v>5073</v>
      </c>
      <c r="AC301" s="130">
        <v>0</v>
      </c>
      <c r="AD301" s="35">
        <f t="shared" si="89"/>
        <v>5073</v>
      </c>
      <c r="AE301" s="166" t="str">
        <f t="shared" si="90"/>
        <v>Release</v>
      </c>
      <c r="AF301" s="127"/>
      <c r="AG301" s="18">
        <v>0</v>
      </c>
      <c r="AH301" s="132"/>
      <c r="AI301" s="238">
        <v>0</v>
      </c>
      <c r="AJ301" s="132"/>
      <c r="AK301" s="151">
        <v>650.70000000000005</v>
      </c>
      <c r="AL301" s="154">
        <f t="shared" si="80"/>
        <v>0</v>
      </c>
      <c r="AM301" s="155"/>
      <c r="AN301" s="19">
        <f t="shared" si="81"/>
        <v>0</v>
      </c>
      <c r="AO301" s="118">
        <f>SUMIF('MPG Payment '!E:E,'Shayak Income '!D301,'MPG Payment '!AJ:AJ)</f>
        <v>0</v>
      </c>
      <c r="AP301" s="19">
        <f t="shared" si="82"/>
        <v>0</v>
      </c>
      <c r="AQ301" s="119">
        <f t="shared" si="91"/>
        <v>0</v>
      </c>
      <c r="AR301" s="91" t="s">
        <v>1168</v>
      </c>
      <c r="AS301" s="91">
        <f t="shared" si="83"/>
        <v>0</v>
      </c>
      <c r="AT301" s="118"/>
      <c r="AU301" s="118"/>
      <c r="AV301" s="118"/>
    </row>
    <row r="302" spans="1:48" s="20" customFormat="1" x14ac:dyDescent="0.25">
      <c r="A302" s="17">
        <f>IFERROR(VLOOKUP(D302,'Monthly Deduction'!$I$3:$J$957,2,0),0)</f>
        <v>0</v>
      </c>
      <c r="B302" s="17">
        <f>IFERROR(VLOOKUP(D302,'Monthly Deduction'!$E$3:$F$957,2,0),0)</f>
        <v>6212.7274878963653</v>
      </c>
      <c r="C302" s="17">
        <f t="shared" si="84"/>
        <v>6212.7274878963653</v>
      </c>
      <c r="D302" s="41">
        <v>10110021</v>
      </c>
      <c r="E302" s="122" t="str">
        <f>VLOOKUP(D302,'MPG Payment '!$E$3:$G$498218,2,0)</f>
        <v>GOMUKH Mathar</v>
      </c>
      <c r="F302" s="146">
        <f>IFERROR(_xlfn.XLOOKUP(D302,'Monthly Deduction'!$I$3:$I$957,'Monthly Deduction'!$H$3:$H$957),0)</f>
        <v>0</v>
      </c>
      <c r="G302" s="123" t="str">
        <f>VLOOKUP(D302,'MPG Payment '!$E$3:$G$334579,3,0)</f>
        <v>MPG</v>
      </c>
      <c r="H302" s="124" t="str">
        <f>VLOOKUP(D302,'MPG Payment '!$E$3:$H$334579,4,0)</f>
        <v>Direct</v>
      </c>
      <c r="I302" s="88">
        <f>INDEX('MPG Payment '!$C:$C,MATCH('Shayak Income '!D302,'MPG Payment '!E:E,0))</f>
        <v>1011</v>
      </c>
      <c r="J302" s="88" t="str">
        <f>INDEX('MPG Payment '!$D:$D,MATCH('Shayak Income '!D302,'MPG Payment '!E:E,0))</f>
        <v>Sahibpur Kamal</v>
      </c>
      <c r="K302" s="125" t="s">
        <v>1322</v>
      </c>
      <c r="L302" s="125">
        <v>44759</v>
      </c>
      <c r="M302" s="126">
        <f>SUMIF('MPG Payment '!$E$3:$E$34579,'Shayak Income '!D302,'MPG Payment '!$I$3:$I$34579)</f>
        <v>282.89999999999998</v>
      </c>
      <c r="N302" s="126">
        <f>SUMIF('MPG Payment '!$E$3:$E$34579,'Shayak Income '!D302,'MPG Payment '!$J$3:$J$34579)</f>
        <v>10953.211790217501</v>
      </c>
      <c r="O302" s="126">
        <f t="shared" si="85"/>
        <v>212.17499999999998</v>
      </c>
      <c r="P302" s="126">
        <f t="shared" si="86"/>
        <v>268.75499999999994</v>
      </c>
      <c r="Q302" s="126">
        <f>SUMIF('MPG Payment '!$E$3:$E$34579,'Shayak Income '!D302,'MPG Payment '!$S$3:$S$34579)</f>
        <v>152.16073629846002</v>
      </c>
      <c r="R302" s="126">
        <f t="shared" si="76"/>
        <v>328.59635370652501</v>
      </c>
      <c r="S302" s="126">
        <f t="shared" si="77"/>
        <v>59.841353706525069</v>
      </c>
      <c r="T302" s="126">
        <f t="shared" si="87"/>
        <v>28.29</v>
      </c>
      <c r="U302" s="127">
        <f>(((IF(K302="New",0,SUMIF('MPG Payment '!$E$3:$E$34579,'Shayak Income '!D302,'MPG Payment '!$AC$3:$AC$34579))))+0)+-1344</f>
        <v>604.7062489102907</v>
      </c>
      <c r="V302" s="127">
        <f t="shared" si="88"/>
        <v>0</v>
      </c>
      <c r="W302" s="19">
        <v>0</v>
      </c>
      <c r="X302" s="19">
        <v>0</v>
      </c>
      <c r="Y302" s="128">
        <f>IFERROR(VLOOKUP(D302,'Monthly Deduction'!$M$2:$N$64,2,0),0)</f>
        <v>0</v>
      </c>
      <c r="Z302" s="128">
        <v>0</v>
      </c>
      <c r="AA302" s="126">
        <f>IFERROR(VLOOKUP(D302,'Monthly Deduction'!A:B,2,0),0)</f>
        <v>0</v>
      </c>
      <c r="AB302" s="129">
        <f t="shared" si="79"/>
        <v>0</v>
      </c>
      <c r="AC302" s="130">
        <v>0</v>
      </c>
      <c r="AD302" s="35">
        <f t="shared" si="89"/>
        <v>0</v>
      </c>
      <c r="AE302" s="166" t="str">
        <f t="shared" si="90"/>
        <v>Release</v>
      </c>
      <c r="AF302" s="127"/>
      <c r="AG302" s="18">
        <v>0</v>
      </c>
      <c r="AH302" s="132"/>
      <c r="AI302" s="238">
        <v>0</v>
      </c>
      <c r="AJ302" s="132"/>
      <c r="AK302" s="151">
        <v>63.9</v>
      </c>
      <c r="AL302" s="154">
        <f t="shared" si="80"/>
        <v>0</v>
      </c>
      <c r="AM302" s="155"/>
      <c r="AN302" s="19">
        <f t="shared" si="81"/>
        <v>0</v>
      </c>
      <c r="AO302" s="118">
        <f>SUMIF('MPG Payment '!E:E,'Shayak Income '!D302,'MPG Payment '!AJ:AJ)</f>
        <v>0</v>
      </c>
      <c r="AP302" s="19">
        <f t="shared" si="82"/>
        <v>0</v>
      </c>
      <c r="AQ302" s="119">
        <f t="shared" si="91"/>
        <v>0</v>
      </c>
      <c r="AR302" s="91" t="s">
        <v>1168</v>
      </c>
      <c r="AS302" s="91">
        <f t="shared" si="83"/>
        <v>6212.7274878963653</v>
      </c>
      <c r="AT302" s="118"/>
      <c r="AU302" s="118"/>
      <c r="AV302" s="118"/>
    </row>
    <row r="303" spans="1:48" s="20" customFormat="1" x14ac:dyDescent="0.25">
      <c r="A303" s="17">
        <f>IFERROR(VLOOKUP(D303,'Monthly Deduction'!$I$3:$J$957,2,0),0)</f>
        <v>0</v>
      </c>
      <c r="B303" s="17">
        <f>IFERROR(VLOOKUP(D303,'Monthly Deduction'!$E$3:$F$957,2,0),0)</f>
        <v>0</v>
      </c>
      <c r="C303" s="17">
        <f t="shared" si="84"/>
        <v>0</v>
      </c>
      <c r="D303" s="41">
        <v>10110042</v>
      </c>
      <c r="E303" s="122" t="str">
        <f>VLOOKUP(D303,'MPG Payment '!$E$3:$G$498218,2,0)</f>
        <v>Gomukh Sonapur</v>
      </c>
      <c r="F303" s="146">
        <f>IFERROR(_xlfn.XLOOKUP(D303,'Monthly Deduction'!$I$3:$I$957,'Monthly Deduction'!$H$3:$H$957),0)</f>
        <v>0</v>
      </c>
      <c r="G303" s="123" t="str">
        <f>VLOOKUP(D303,'MPG Payment '!$E$3:$G$334579,3,0)</f>
        <v>vlc</v>
      </c>
      <c r="H303" s="124" t="str">
        <f>VLOOKUP(D303,'MPG Payment '!$E$3:$H$334579,4,0)</f>
        <v>Indirect</v>
      </c>
      <c r="I303" s="88">
        <f>INDEX('MPG Payment '!$C:$C,MATCH('Shayak Income '!D303,'MPG Payment '!E:E,0))</f>
        <v>1055</v>
      </c>
      <c r="J303" s="88" t="str">
        <f>INDEX('MPG Payment '!$D:$D,MATCH('Shayak Income '!D303,'MPG Payment '!E:E,0))</f>
        <v>Matihani</v>
      </c>
      <c r="K303" s="125" t="s">
        <v>1322</v>
      </c>
      <c r="L303" s="125">
        <v>45226</v>
      </c>
      <c r="M303" s="126">
        <f>SUMIF('MPG Payment '!$E$3:$E$34579,'Shayak Income '!D303,'MPG Payment '!$I$3:$I$34579)</f>
        <v>1684.2</v>
      </c>
      <c r="N303" s="126">
        <f>SUMIF('MPG Payment '!$E$3:$E$34579,'Shayak Income '!D303,'MPG Payment '!$J$3:$J$34579)</f>
        <v>64637.566867460002</v>
      </c>
      <c r="O303" s="126">
        <f t="shared" si="85"/>
        <v>1263.1500000000001</v>
      </c>
      <c r="P303" s="126">
        <f t="shared" si="86"/>
        <v>1599.99</v>
      </c>
      <c r="Q303" s="126">
        <f>SUMIF('MPG Payment '!$E$3:$E$34579,'Shayak Income '!D303,'MPG Payment '!$S$3:$S$34579)</f>
        <v>0</v>
      </c>
      <c r="R303" s="126">
        <f t="shared" si="76"/>
        <v>1939.1270060238</v>
      </c>
      <c r="S303" s="126">
        <f t="shared" si="77"/>
        <v>339.13700602380004</v>
      </c>
      <c r="T303" s="126">
        <f t="shared" si="87"/>
        <v>168.42000000000002</v>
      </c>
      <c r="U303" s="127">
        <f>(((IF(K303="New",0,SUMIF('MPG Payment '!$E$3:$E$34579,'Shayak Income '!D303,'MPG Payment '!$AC$3:$AC$34579))))+0)+0</f>
        <v>857.42629510611243</v>
      </c>
      <c r="V303" s="127">
        <f t="shared" si="88"/>
        <v>1837</v>
      </c>
      <c r="W303" s="19">
        <f t="shared" si="92"/>
        <v>0</v>
      </c>
      <c r="X303" s="19">
        <f t="shared" si="78"/>
        <v>0</v>
      </c>
      <c r="Y303" s="128">
        <f>IFERROR(VLOOKUP(D303,'Monthly Deduction'!$M$2:$N$64,2,0),0)</f>
        <v>0</v>
      </c>
      <c r="Z303" s="128">
        <v>0</v>
      </c>
      <c r="AA303" s="126">
        <f>IFERROR(VLOOKUP(D303,'Monthly Deduction'!A:B,2,0),0)</f>
        <v>0</v>
      </c>
      <c r="AB303" s="129">
        <f t="shared" si="79"/>
        <v>1837</v>
      </c>
      <c r="AC303" s="130">
        <v>0</v>
      </c>
      <c r="AD303" s="35">
        <f t="shared" si="89"/>
        <v>1837</v>
      </c>
      <c r="AE303" s="166" t="str">
        <f t="shared" si="90"/>
        <v>Release</v>
      </c>
      <c r="AF303" s="127"/>
      <c r="AG303" s="18">
        <v>0</v>
      </c>
      <c r="AH303" s="132"/>
      <c r="AI303" s="238">
        <v>0</v>
      </c>
      <c r="AJ303" s="132"/>
      <c r="AK303" s="151">
        <v>408.2</v>
      </c>
      <c r="AL303" s="154">
        <f t="shared" si="80"/>
        <v>0</v>
      </c>
      <c r="AM303" s="155"/>
      <c r="AN303" s="19">
        <f t="shared" si="81"/>
        <v>0</v>
      </c>
      <c r="AO303" s="118">
        <f>SUMIF('MPG Payment '!E:E,'Shayak Income '!D303,'MPG Payment '!AJ:AJ)</f>
        <v>0</v>
      </c>
      <c r="AP303" s="19">
        <f t="shared" si="82"/>
        <v>0</v>
      </c>
      <c r="AQ303" s="119">
        <f t="shared" si="91"/>
        <v>0</v>
      </c>
      <c r="AR303" s="91" t="s">
        <v>1168</v>
      </c>
      <c r="AS303" s="91">
        <f t="shared" si="83"/>
        <v>0</v>
      </c>
      <c r="AT303" s="118"/>
      <c r="AU303" s="118"/>
      <c r="AV303" s="118"/>
    </row>
    <row r="304" spans="1:48" s="20" customFormat="1" x14ac:dyDescent="0.25">
      <c r="A304" s="17">
        <f>IFERROR(VLOOKUP(D304,'Monthly Deduction'!$I$3:$J$957,2,0),0)</f>
        <v>0</v>
      </c>
      <c r="B304" s="17">
        <f>IFERROR(VLOOKUP(D304,'Monthly Deduction'!$E$3:$F$957,2,0),0)</f>
        <v>0</v>
      </c>
      <c r="C304" s="17">
        <f t="shared" si="84"/>
        <v>0</v>
      </c>
      <c r="D304" s="41">
        <v>10110043</v>
      </c>
      <c r="E304" s="122" t="str">
        <f>VLOOKUP(D304,'MPG Payment '!$E$3:$G$498218,2,0)</f>
        <v>Gomukh Barkhandi 2</v>
      </c>
      <c r="F304" s="146">
        <f>IFERROR(_xlfn.XLOOKUP(D304,'Monthly Deduction'!$I$3:$I$957,'Monthly Deduction'!$H$3:$H$957),0)</f>
        <v>0</v>
      </c>
      <c r="G304" s="123" t="str">
        <f>VLOOKUP(D304,'MPG Payment '!$E$3:$G$334579,3,0)</f>
        <v>MPG</v>
      </c>
      <c r="H304" s="124" t="str">
        <f>VLOOKUP(D304,'MPG Payment '!$E$3:$H$334579,4,0)</f>
        <v>Indirect</v>
      </c>
      <c r="I304" s="88">
        <f>INDEX('MPG Payment '!$C:$C,MATCH('Shayak Income '!D304,'MPG Payment '!E:E,0))</f>
        <v>1011</v>
      </c>
      <c r="J304" s="88" t="str">
        <f>INDEX('MPG Payment '!$D:$D,MATCH('Shayak Income '!D304,'MPG Payment '!E:E,0))</f>
        <v>Sahibpur Kamal</v>
      </c>
      <c r="K304" s="125" t="s">
        <v>1322</v>
      </c>
      <c r="L304" s="125">
        <v>45226</v>
      </c>
      <c r="M304" s="126">
        <f>SUMIF('MPG Payment '!$E$3:$E$34579,'Shayak Income '!D304,'MPG Payment '!$I$3:$I$34579)</f>
        <v>1997.2000000000003</v>
      </c>
      <c r="N304" s="126">
        <f>SUMIF('MPG Payment '!$E$3:$E$34579,'Shayak Income '!D304,'MPG Payment '!$J$3:$J$34579)</f>
        <v>75977.144405380008</v>
      </c>
      <c r="O304" s="126">
        <f t="shared" si="85"/>
        <v>1497.9</v>
      </c>
      <c r="P304" s="126">
        <f t="shared" si="86"/>
        <v>1897.3400000000001</v>
      </c>
      <c r="Q304" s="126">
        <f>SUMIF('MPG Payment '!$E$3:$E$34579,'Shayak Income '!D304,'MPG Payment '!$S$3:$S$34579)</f>
        <v>0</v>
      </c>
      <c r="R304" s="126">
        <f t="shared" si="76"/>
        <v>2279.3143321614002</v>
      </c>
      <c r="S304" s="126">
        <f t="shared" si="77"/>
        <v>381.97433216140007</v>
      </c>
      <c r="T304" s="126">
        <f t="shared" si="87"/>
        <v>199.72000000000003</v>
      </c>
      <c r="U304" s="127">
        <f>(((IF(K304="New",0,SUMIF('MPG Payment '!$E$3:$E$34579,'Shayak Income '!D304,'MPG Payment '!$AC$3:$AC$34579))))+0)+0</f>
        <v>609.12565730341998</v>
      </c>
      <c r="V304" s="127">
        <f t="shared" si="88"/>
        <v>2586</v>
      </c>
      <c r="W304" s="19">
        <f t="shared" si="92"/>
        <v>0</v>
      </c>
      <c r="X304" s="19">
        <f t="shared" si="78"/>
        <v>0</v>
      </c>
      <c r="Y304" s="128">
        <v>2586</v>
      </c>
      <c r="Z304" s="128">
        <v>0</v>
      </c>
      <c r="AA304" s="126">
        <f>IFERROR(VLOOKUP(D304,'Monthly Deduction'!A:B,2,0),0)</f>
        <v>0</v>
      </c>
      <c r="AB304" s="129">
        <f t="shared" si="79"/>
        <v>0</v>
      </c>
      <c r="AC304" s="130">
        <v>0</v>
      </c>
      <c r="AD304" s="35">
        <f t="shared" si="89"/>
        <v>0</v>
      </c>
      <c r="AE304" s="166" t="str">
        <f t="shared" si="90"/>
        <v>Release</v>
      </c>
      <c r="AF304" s="127"/>
      <c r="AG304" s="18">
        <v>0</v>
      </c>
      <c r="AH304" s="120"/>
      <c r="AI304" s="238">
        <v>0</v>
      </c>
      <c r="AJ304" s="132"/>
      <c r="AK304" s="151">
        <v>394.09999999999997</v>
      </c>
      <c r="AL304" s="154">
        <f t="shared" si="80"/>
        <v>0</v>
      </c>
      <c r="AM304" s="155"/>
      <c r="AN304" s="19">
        <f t="shared" si="81"/>
        <v>0</v>
      </c>
      <c r="AO304" s="118">
        <f>SUMIF('MPG Payment '!E:E,'Shayak Income '!D304,'MPG Payment '!AJ:AJ)</f>
        <v>0</v>
      </c>
      <c r="AP304" s="19">
        <f t="shared" si="82"/>
        <v>0</v>
      </c>
      <c r="AQ304" s="119">
        <f t="shared" si="91"/>
        <v>0</v>
      </c>
      <c r="AR304" s="91" t="s">
        <v>1168</v>
      </c>
      <c r="AS304" s="91">
        <f t="shared" si="83"/>
        <v>0</v>
      </c>
      <c r="AT304" s="118"/>
      <c r="AU304" s="118"/>
      <c r="AV304" s="118"/>
    </row>
    <row r="305" spans="1:48" s="20" customFormat="1" x14ac:dyDescent="0.25">
      <c r="A305" s="17">
        <f>IFERROR(VLOOKUP(D305,'Monthly Deduction'!$I$3:$J$957,2,0),0)</f>
        <v>0</v>
      </c>
      <c r="B305" s="17">
        <f>IFERROR(VLOOKUP(D305,'Monthly Deduction'!$E$3:$F$957,2,0),0)</f>
        <v>0</v>
      </c>
      <c r="C305" s="17">
        <f t="shared" si="84"/>
        <v>0</v>
      </c>
      <c r="D305" s="41">
        <v>10110050</v>
      </c>
      <c r="E305" s="122" t="str">
        <f>VLOOKUP(D305,'MPG Payment '!$E$3:$G$498218,2,0)</f>
        <v xml:space="preserve">Gomukh Fatehpur                                                                                     </v>
      </c>
      <c r="F305" s="146">
        <f>IFERROR(_xlfn.XLOOKUP(D305,'Monthly Deduction'!$I$3:$I$957,'Monthly Deduction'!$H$3:$H$957),0)</f>
        <v>0</v>
      </c>
      <c r="G305" s="123" t="str">
        <f>VLOOKUP(D305,'MPG Payment '!$E$3:$G$334579,3,0)</f>
        <v>MPG</v>
      </c>
      <c r="H305" s="124" t="str">
        <f>VLOOKUP(D305,'MPG Payment '!$E$3:$H$334579,4,0)</f>
        <v>Direct</v>
      </c>
      <c r="I305" s="88">
        <f>INDEX('MPG Payment '!$C:$C,MATCH('Shayak Income '!D305,'MPG Payment '!E:E,0))</f>
        <v>1011</v>
      </c>
      <c r="J305" s="88" t="str">
        <f>INDEX('MPG Payment '!$D:$D,MATCH('Shayak Income '!D305,'MPG Payment '!E:E,0))</f>
        <v>Sahibpur Kamal</v>
      </c>
      <c r="K305" s="125" t="s">
        <v>1322</v>
      </c>
      <c r="L305" s="125">
        <v>45205</v>
      </c>
      <c r="M305" s="126">
        <f>SUMIF('MPG Payment '!$E$3:$E$34579,'Shayak Income '!D305,'MPG Payment '!$I$3:$I$34579)</f>
        <v>2929.3</v>
      </c>
      <c r="N305" s="126">
        <f>SUMIF('MPG Payment '!$E$3:$E$34579,'Shayak Income '!D305,'MPG Payment '!$J$3:$J$34579)</f>
        <v>118901.38242363</v>
      </c>
      <c r="O305" s="126">
        <f t="shared" si="85"/>
        <v>2196.9750000000004</v>
      </c>
      <c r="P305" s="126">
        <f t="shared" si="86"/>
        <v>2782.835</v>
      </c>
      <c r="Q305" s="126">
        <f>SUMIF('MPG Payment '!$E$3:$E$34579,'Shayak Income '!D305,'MPG Payment '!$S$3:$S$34579)</f>
        <v>0</v>
      </c>
      <c r="R305" s="126">
        <f t="shared" si="76"/>
        <v>3567.0414727088996</v>
      </c>
      <c r="S305" s="126">
        <f t="shared" si="77"/>
        <v>784.20647270889958</v>
      </c>
      <c r="T305" s="126">
        <f t="shared" si="87"/>
        <v>292.93</v>
      </c>
      <c r="U305" s="127">
        <f>(((IF(K305="New",0,SUMIF('MPG Payment '!$E$3:$E$34579,'Shayak Income '!D305,'MPG Payment '!$AC$3:$AC$34579))))+0)+0</f>
        <v>73.96558476449411</v>
      </c>
      <c r="V305" s="127">
        <f t="shared" si="88"/>
        <v>4613</v>
      </c>
      <c r="W305" s="19">
        <f t="shared" si="92"/>
        <v>0</v>
      </c>
      <c r="X305" s="19">
        <f t="shared" si="78"/>
        <v>0</v>
      </c>
      <c r="Y305" s="128">
        <f>IFERROR(VLOOKUP(D305,'Monthly Deduction'!$M$2:$N$64,2,0),0)</f>
        <v>0</v>
      </c>
      <c r="Z305" s="128">
        <v>0</v>
      </c>
      <c r="AA305" s="126">
        <f>IFERROR(VLOOKUP(D305,'Monthly Deduction'!A:B,2,0),0)</f>
        <v>0</v>
      </c>
      <c r="AB305" s="129">
        <f t="shared" si="79"/>
        <v>4613</v>
      </c>
      <c r="AC305" s="130">
        <v>0</v>
      </c>
      <c r="AD305" s="35">
        <f t="shared" si="89"/>
        <v>4613</v>
      </c>
      <c r="AE305" s="166" t="str">
        <f t="shared" si="90"/>
        <v>Release</v>
      </c>
      <c r="AF305" s="127"/>
      <c r="AG305" s="18">
        <v>0</v>
      </c>
      <c r="AH305" s="132"/>
      <c r="AI305" s="238">
        <v>0</v>
      </c>
      <c r="AJ305" s="132"/>
      <c r="AK305" s="151">
        <v>981.09999999999991</v>
      </c>
      <c r="AL305" s="154">
        <f t="shared" si="80"/>
        <v>0</v>
      </c>
      <c r="AM305" s="155"/>
      <c r="AN305" s="19">
        <f t="shared" si="81"/>
        <v>0</v>
      </c>
      <c r="AO305" s="118">
        <f>SUMIF('MPG Payment '!E:E,'Shayak Income '!D305,'MPG Payment '!AJ:AJ)</f>
        <v>0</v>
      </c>
      <c r="AP305" s="19">
        <f t="shared" si="82"/>
        <v>0</v>
      </c>
      <c r="AQ305" s="119">
        <f t="shared" si="91"/>
        <v>0</v>
      </c>
      <c r="AR305" s="91" t="s">
        <v>1168</v>
      </c>
      <c r="AS305" s="91">
        <f t="shared" si="83"/>
        <v>0</v>
      </c>
      <c r="AT305" s="118"/>
      <c r="AU305" s="118"/>
      <c r="AV305" s="118"/>
    </row>
    <row r="306" spans="1:48" s="20" customFormat="1" x14ac:dyDescent="0.25">
      <c r="A306" s="17">
        <f>IFERROR(VLOOKUP(D306,'Monthly Deduction'!$I$3:$J$957,2,0),0)</f>
        <v>77515.734166945098</v>
      </c>
      <c r="B306" s="17">
        <f>IFERROR(VLOOKUP(D306,'Monthly Deduction'!$E$3:$F$957,2,0),0)</f>
        <v>6400</v>
      </c>
      <c r="C306" s="17">
        <f t="shared" si="84"/>
        <v>83915.734166945098</v>
      </c>
      <c r="D306" s="41">
        <v>10110053</v>
      </c>
      <c r="E306" s="122" t="str">
        <f>VLOOKUP(D306,'MPG Payment '!$E$3:$G$498218,2,0)</f>
        <v>GOMUKH KATAHRI</v>
      </c>
      <c r="F306" s="146">
        <f>IFERROR(_xlfn.XLOOKUP(D306,'Monthly Deduction'!$I$3:$I$957,'Monthly Deduction'!$H$3:$H$957),0)</f>
        <v>0</v>
      </c>
      <c r="G306" s="123" t="str">
        <f>VLOOKUP(D306,'MPG Payment '!$E$3:$G$334579,3,0)</f>
        <v>MPG</v>
      </c>
      <c r="H306" s="124" t="str">
        <f>VLOOKUP(D306,'MPG Payment '!$E$3:$H$334579,4,0)</f>
        <v>Direct</v>
      </c>
      <c r="I306" s="88">
        <f>INDEX('MPG Payment '!$C:$C,MATCH('Shayak Income '!D306,'MPG Payment '!E:E,0))</f>
        <v>1011</v>
      </c>
      <c r="J306" s="88" t="str">
        <f>INDEX('MPG Payment '!$D:$D,MATCH('Shayak Income '!D306,'MPG Payment '!E:E,0))</f>
        <v>Sahibpur Kamal</v>
      </c>
      <c r="K306" s="125" t="s">
        <v>1322</v>
      </c>
      <c r="L306" s="125">
        <v>45323</v>
      </c>
      <c r="M306" s="126">
        <f>SUMIF('MPG Payment '!$E$3:$E$34579,'Shayak Income '!D306,'MPG Payment '!$I$3:$I$34579)</f>
        <v>379.40000000000003</v>
      </c>
      <c r="N306" s="126">
        <f>SUMIF('MPG Payment '!$E$3:$E$34579,'Shayak Income '!D306,'MPG Payment '!$J$3:$J$34579)</f>
        <v>18469.107418596399</v>
      </c>
      <c r="O306" s="126">
        <f t="shared" si="85"/>
        <v>284.55</v>
      </c>
      <c r="P306" s="126">
        <f t="shared" si="86"/>
        <v>360.43</v>
      </c>
      <c r="Q306" s="126">
        <f>SUMIF('MPG Payment '!$E$3:$E$34579,'Shayak Income '!D306,'MPG Payment '!$S$3:$S$34579)</f>
        <v>406.3799063219401</v>
      </c>
      <c r="R306" s="126">
        <f t="shared" si="76"/>
        <v>554.073222557892</v>
      </c>
      <c r="S306" s="126">
        <f t="shared" si="77"/>
        <v>193.64322255789199</v>
      </c>
      <c r="T306" s="126">
        <f t="shared" si="87"/>
        <v>37.940000000000005</v>
      </c>
      <c r="U306" s="127">
        <f>(((IF(K306="New",0,SUMIF('MPG Payment '!$E$3:$E$34579,'Shayak Income '!D306,'MPG Payment '!$AC$3:$AC$34579))))+0)+-1362</f>
        <v>1013.0983449117898</v>
      </c>
      <c r="V306" s="127">
        <f t="shared" si="88"/>
        <v>0</v>
      </c>
      <c r="W306" s="19">
        <v>0</v>
      </c>
      <c r="X306" s="19">
        <v>0</v>
      </c>
      <c r="Y306" s="128">
        <f>IFERROR(VLOOKUP(D306,'Monthly Deduction'!$M$2:$N$64,2,0),0)</f>
        <v>0</v>
      </c>
      <c r="Z306" s="128">
        <v>0</v>
      </c>
      <c r="AA306" s="126">
        <f>IFERROR(VLOOKUP(D306,'Monthly Deduction'!A:B,2,0),0)</f>
        <v>0</v>
      </c>
      <c r="AB306" s="129">
        <f t="shared" si="79"/>
        <v>0</v>
      </c>
      <c r="AC306" s="130">
        <v>0</v>
      </c>
      <c r="AD306" s="35">
        <f t="shared" si="89"/>
        <v>0</v>
      </c>
      <c r="AE306" s="166" t="str">
        <f t="shared" si="90"/>
        <v>Release</v>
      </c>
      <c r="AF306" s="127"/>
      <c r="AG306" s="127">
        <v>0</v>
      </c>
      <c r="AH306" s="132"/>
      <c r="AI306" s="238">
        <v>0</v>
      </c>
      <c r="AJ306" s="132"/>
      <c r="AK306" s="151">
        <v>275.10000000000002</v>
      </c>
      <c r="AL306" s="154">
        <f t="shared" si="80"/>
        <v>0</v>
      </c>
      <c r="AM306" s="155"/>
      <c r="AN306" s="19">
        <f t="shared" si="81"/>
        <v>1861</v>
      </c>
      <c r="AO306" s="118">
        <f>SUMIF('MPG Payment '!E:E,'Shayak Income '!D306,'MPG Payment '!AJ:AJ)</f>
        <v>500</v>
      </c>
      <c r="AP306" s="19">
        <f t="shared" si="82"/>
        <v>0</v>
      </c>
      <c r="AQ306" s="119">
        <f t="shared" si="91"/>
        <v>500</v>
      </c>
      <c r="AR306" s="91" t="s">
        <v>1168</v>
      </c>
      <c r="AS306" s="91">
        <f t="shared" si="83"/>
        <v>6400</v>
      </c>
      <c r="AT306" s="118"/>
      <c r="AU306" s="118"/>
      <c r="AV306" s="118"/>
    </row>
    <row r="307" spans="1:48" s="20" customFormat="1" x14ac:dyDescent="0.25">
      <c r="A307" s="17">
        <f>IFERROR(VLOOKUP(D307,'Monthly Deduction'!$I$3:$J$957,2,0),0)</f>
        <v>28286.175917460729</v>
      </c>
      <c r="B307" s="17">
        <f>IFERROR(VLOOKUP(D307,'Monthly Deduction'!$E$3:$F$957,2,0),0)</f>
        <v>6400</v>
      </c>
      <c r="C307" s="17">
        <f t="shared" si="84"/>
        <v>34686.175917460729</v>
      </c>
      <c r="D307" s="41">
        <v>10110055</v>
      </c>
      <c r="E307" s="122" t="str">
        <f>VLOOKUP(D307,'MPG Payment '!$E$3:$G$498218,2,0)</f>
        <v>GOMUKH Mathar Ward 10</v>
      </c>
      <c r="F307" s="146">
        <f>IFERROR(_xlfn.XLOOKUP(D307,'Monthly Deduction'!$I$3:$I$957,'Monthly Deduction'!$H$3:$H$957),0)</f>
        <v>0</v>
      </c>
      <c r="G307" s="123" t="str">
        <f>VLOOKUP(D307,'MPG Payment '!$E$3:$G$334579,3,0)</f>
        <v>MPG</v>
      </c>
      <c r="H307" s="124" t="str">
        <f>VLOOKUP(D307,'MPG Payment '!$E$3:$H$334579,4,0)</f>
        <v>Direct</v>
      </c>
      <c r="I307" s="88">
        <f>INDEX('MPG Payment '!$C:$C,MATCH('Shayak Income '!D307,'MPG Payment '!E:E,0))</f>
        <v>1011</v>
      </c>
      <c r="J307" s="88" t="str">
        <f>INDEX('MPG Payment '!$D:$D,MATCH('Shayak Income '!D307,'MPG Payment '!E:E,0))</f>
        <v>Sahibpur Kamal</v>
      </c>
      <c r="K307" s="125" t="s">
        <v>1322</v>
      </c>
      <c r="L307" s="125">
        <v>45323</v>
      </c>
      <c r="M307" s="126">
        <f>SUMIF('MPG Payment '!$E$3:$E$34579,'Shayak Income '!D307,'MPG Payment '!$I$3:$I$34579)</f>
        <v>3241.0999999999995</v>
      </c>
      <c r="N307" s="126">
        <f>SUMIF('MPG Payment '!$E$3:$E$34579,'Shayak Income '!D307,'MPG Payment '!$J$3:$J$34579)</f>
        <v>133151.77365333601</v>
      </c>
      <c r="O307" s="126">
        <f t="shared" si="85"/>
        <v>2430.8249999999998</v>
      </c>
      <c r="P307" s="126">
        <f t="shared" si="86"/>
        <v>3079.0449999999992</v>
      </c>
      <c r="Q307" s="126">
        <f>SUMIF('MPG Payment '!$E$3:$E$34579,'Shayak Income '!D307,'MPG Payment '!$S$3:$S$34579)</f>
        <v>0</v>
      </c>
      <c r="R307" s="126">
        <f t="shared" si="76"/>
        <v>3994.5532096000802</v>
      </c>
      <c r="S307" s="126">
        <f t="shared" si="77"/>
        <v>915.50820960008105</v>
      </c>
      <c r="T307" s="126">
        <f t="shared" si="87"/>
        <v>324.10999999999996</v>
      </c>
      <c r="U307" s="127">
        <f>(((IF(K307="New",0,SUMIF('MPG Payment '!$E$3:$E$34579,'Shayak Income '!D307,'MPG Payment '!$AC$3:$AC$34579))))+0)+0</f>
        <v>16.200474695256272</v>
      </c>
      <c r="V307" s="127">
        <f t="shared" si="88"/>
        <v>5170</v>
      </c>
      <c r="W307" s="19">
        <f t="shared" si="92"/>
        <v>2663.0354730667204</v>
      </c>
      <c r="X307" s="19">
        <v>0</v>
      </c>
      <c r="Y307" s="128">
        <f>IFERROR(VLOOKUP(D307,'Monthly Deduction'!$M$2:$N$64,2,0),0)</f>
        <v>2404</v>
      </c>
      <c r="Z307" s="128">
        <v>0</v>
      </c>
      <c r="AA307" s="126">
        <f>IFERROR(VLOOKUP(D307,'Monthly Deduction'!A:B,2,0),0)</f>
        <v>0</v>
      </c>
      <c r="AB307" s="129">
        <f t="shared" si="79"/>
        <v>103</v>
      </c>
      <c r="AC307" s="130">
        <v>0</v>
      </c>
      <c r="AD307" s="35">
        <f t="shared" si="89"/>
        <v>103</v>
      </c>
      <c r="AE307" s="166" t="str">
        <f t="shared" si="90"/>
        <v>Release</v>
      </c>
      <c r="AF307" s="127"/>
      <c r="AG307" s="18">
        <v>0</v>
      </c>
      <c r="AH307" s="120"/>
      <c r="AI307" s="238">
        <v>0</v>
      </c>
      <c r="AJ307" s="132"/>
      <c r="AK307" s="151">
        <v>711.19999999999993</v>
      </c>
      <c r="AL307" s="154">
        <f t="shared" si="80"/>
        <v>0</v>
      </c>
      <c r="AM307" s="155"/>
      <c r="AN307" s="19">
        <f t="shared" si="81"/>
        <v>2663.0354730667204</v>
      </c>
      <c r="AO307" s="118">
        <f>SUMIF('MPG Payment '!E:E,'Shayak Income '!D307,'MPG Payment '!AJ:AJ)</f>
        <v>0</v>
      </c>
      <c r="AP307" s="19">
        <f t="shared" si="82"/>
        <v>2663.0354730667204</v>
      </c>
      <c r="AQ307" s="119">
        <f t="shared" si="91"/>
        <v>2663.0354730667204</v>
      </c>
      <c r="AR307" s="91"/>
      <c r="AS307" s="91">
        <f t="shared" si="83"/>
        <v>6400</v>
      </c>
      <c r="AT307" s="118"/>
      <c r="AU307" s="118"/>
      <c r="AV307" s="118"/>
    </row>
    <row r="308" spans="1:48" s="20" customFormat="1" x14ac:dyDescent="0.25">
      <c r="A308" s="17">
        <f>IFERROR(VLOOKUP(D308,'Monthly Deduction'!$I$3:$J$957,2,0),0)</f>
        <v>80614.125112166032</v>
      </c>
      <c r="B308" s="17">
        <f>IFERROR(VLOOKUP(D308,'Monthly Deduction'!$E$3:$F$957,2,0),0)</f>
        <v>0</v>
      </c>
      <c r="C308" s="17">
        <f t="shared" si="84"/>
        <v>80614.125112166032</v>
      </c>
      <c r="D308" s="41">
        <v>10110057</v>
      </c>
      <c r="E308" s="122" t="str">
        <f>VLOOKUP(D308,'MPG Payment '!$E$3:$G$498218,2,0)</f>
        <v>GOMUKH Tartor 2</v>
      </c>
      <c r="F308" s="146">
        <f>IFERROR(_xlfn.XLOOKUP(D308,'Monthly Deduction'!$I$3:$I$957,'Monthly Deduction'!$H$3:$H$957),0)</f>
        <v>0</v>
      </c>
      <c r="G308" s="123" t="str">
        <f>VLOOKUP(D308,'MPG Payment '!$E$3:$G$334579,3,0)</f>
        <v>MPG</v>
      </c>
      <c r="H308" s="124" t="str">
        <f>VLOOKUP(D308,'MPG Payment '!$E$3:$H$334579,4,0)</f>
        <v>Direct</v>
      </c>
      <c r="I308" s="88">
        <f>INDEX('MPG Payment '!$C:$C,MATCH('Shayak Income '!D308,'MPG Payment '!E:E,0))</f>
        <v>1011</v>
      </c>
      <c r="J308" s="88" t="str">
        <f>INDEX('MPG Payment '!$D:$D,MATCH('Shayak Income '!D308,'MPG Payment '!E:E,0))</f>
        <v>Sahibpur Kamal</v>
      </c>
      <c r="K308" s="125" t="s">
        <v>1322</v>
      </c>
      <c r="L308" s="125">
        <v>45323</v>
      </c>
      <c r="M308" s="126">
        <f>SUMIF('MPG Payment '!$E$3:$E$34579,'Shayak Income '!D308,'MPG Payment '!$I$3:$I$34579)</f>
        <v>1165.6999999999998</v>
      </c>
      <c r="N308" s="126">
        <f>SUMIF('MPG Payment '!$E$3:$E$34579,'Shayak Income '!D308,'MPG Payment '!$J$3:$J$34579)</f>
        <v>49653.318506659998</v>
      </c>
      <c r="O308" s="126">
        <f t="shared" si="85"/>
        <v>874.27499999999986</v>
      </c>
      <c r="P308" s="126">
        <f t="shared" si="86"/>
        <v>1107.4149999999997</v>
      </c>
      <c r="Q308" s="126">
        <f>SUMIF('MPG Payment '!$E$3:$E$34579,'Shayak Income '!D308,'MPG Payment '!$S$3:$S$34579)</f>
        <v>0</v>
      </c>
      <c r="R308" s="126">
        <f t="shared" si="76"/>
        <v>1489.5995551997999</v>
      </c>
      <c r="S308" s="126">
        <f t="shared" si="77"/>
        <v>382.18455519980012</v>
      </c>
      <c r="T308" s="126">
        <f t="shared" si="87"/>
        <v>116.57</v>
      </c>
      <c r="U308" s="127">
        <f>(((IF(K308="New",0,SUMIF('MPG Payment '!$E$3:$E$34579,'Shayak Income '!D308,'MPG Payment '!$AC$3:$AC$34579))))+0)+0</f>
        <v>1392.2634792367669</v>
      </c>
      <c r="V308" s="127">
        <f t="shared" si="88"/>
        <v>473</v>
      </c>
      <c r="W308" s="19">
        <v>473</v>
      </c>
      <c r="X308" s="19">
        <v>0</v>
      </c>
      <c r="Y308" s="128">
        <f>IFERROR(VLOOKUP(D308,'Monthly Deduction'!$M$2:$N$64,2,0),0)</f>
        <v>0</v>
      </c>
      <c r="Z308" s="128">
        <v>0</v>
      </c>
      <c r="AA308" s="126">
        <f>IFERROR(VLOOKUP(D308,'Monthly Deduction'!A:B,2,0),0)</f>
        <v>0</v>
      </c>
      <c r="AB308" s="129">
        <f t="shared" si="79"/>
        <v>0</v>
      </c>
      <c r="AC308" s="130">
        <v>0</v>
      </c>
      <c r="AD308" s="35">
        <f t="shared" si="89"/>
        <v>0</v>
      </c>
      <c r="AE308" s="166" t="str">
        <f t="shared" si="90"/>
        <v>Release</v>
      </c>
      <c r="AF308" s="127"/>
      <c r="AG308" s="127">
        <v>0</v>
      </c>
      <c r="AH308" s="120"/>
      <c r="AI308" s="238">
        <v>0</v>
      </c>
      <c r="AJ308" s="132"/>
      <c r="AK308" s="151">
        <v>327.59999999999997</v>
      </c>
      <c r="AL308" s="154">
        <f t="shared" si="80"/>
        <v>0</v>
      </c>
      <c r="AM308" s="155"/>
      <c r="AN308" s="19">
        <f t="shared" si="81"/>
        <v>1861</v>
      </c>
      <c r="AO308" s="118">
        <f>SUMIF('MPG Payment '!E:E,'Shayak Income '!D308,'MPG Payment '!AJ:AJ)</f>
        <v>0</v>
      </c>
      <c r="AP308" s="19">
        <f t="shared" si="82"/>
        <v>473</v>
      </c>
      <c r="AQ308" s="119">
        <f t="shared" si="91"/>
        <v>473</v>
      </c>
      <c r="AR308" s="91"/>
      <c r="AS308" s="91">
        <f t="shared" si="83"/>
        <v>0</v>
      </c>
      <c r="AT308" s="118"/>
      <c r="AU308" s="118"/>
      <c r="AV308" s="118"/>
    </row>
    <row r="309" spans="1:48" s="20" customFormat="1" x14ac:dyDescent="0.25">
      <c r="A309" s="17">
        <f>IFERROR(VLOOKUP(D309,'Monthly Deduction'!$I$3:$J$957,2,0),0)</f>
        <v>58098.617081603763</v>
      </c>
      <c r="B309" s="17">
        <f>IFERROR(VLOOKUP(D309,'Monthly Deduction'!$E$3:$F$957,2,0),0)</f>
        <v>6400</v>
      </c>
      <c r="C309" s="17">
        <f t="shared" si="84"/>
        <v>64498.617081603763</v>
      </c>
      <c r="D309" s="41">
        <v>10110065</v>
      </c>
      <c r="E309" s="122" t="str">
        <f>VLOOKUP(D309,'MPG Payment '!$E$3:$G$498218,2,0)</f>
        <v>Gomukh Chaidha</v>
      </c>
      <c r="F309" s="146">
        <f>IFERROR(_xlfn.XLOOKUP(D309,'Monthly Deduction'!$I$3:$I$957,'Monthly Deduction'!$H$3:$H$957),0)</f>
        <v>0</v>
      </c>
      <c r="G309" s="123" t="str">
        <f>VLOOKUP(D309,'MPG Payment '!$E$3:$G$334579,3,0)</f>
        <v>MPG</v>
      </c>
      <c r="H309" s="124" t="str">
        <f>VLOOKUP(D309,'MPG Payment '!$E$3:$H$334579,4,0)</f>
        <v>Direct</v>
      </c>
      <c r="I309" s="88">
        <f>INDEX('MPG Payment '!$C:$C,MATCH('Shayak Income '!D309,'MPG Payment '!E:E,0))</f>
        <v>1011</v>
      </c>
      <c r="J309" s="88" t="str">
        <f>INDEX('MPG Payment '!$D:$D,MATCH('Shayak Income '!D309,'MPG Payment '!E:E,0))</f>
        <v>Sahibpur Kamal</v>
      </c>
      <c r="K309" s="125" t="s">
        <v>1322</v>
      </c>
      <c r="L309" s="125">
        <v>45323</v>
      </c>
      <c r="M309" s="126">
        <f>SUMIF('MPG Payment '!$E$3:$E$34579,'Shayak Income '!D309,'MPG Payment '!$I$3:$I$34579)</f>
        <v>4351.8</v>
      </c>
      <c r="N309" s="126">
        <f>SUMIF('MPG Payment '!$E$3:$E$34579,'Shayak Income '!D309,'MPG Payment '!$J$3:$J$34579)</f>
        <v>169223.43101437</v>
      </c>
      <c r="O309" s="126">
        <f t="shared" si="85"/>
        <v>3263.8500000000004</v>
      </c>
      <c r="P309" s="126">
        <f t="shared" si="86"/>
        <v>4134.21</v>
      </c>
      <c r="Q309" s="126">
        <f>SUMIF('MPG Payment '!$E$3:$E$34579,'Shayak Income '!D309,'MPG Payment '!$S$3:$S$34579)</f>
        <v>806.69998522080004</v>
      </c>
      <c r="R309" s="126">
        <f t="shared" si="76"/>
        <v>5076.7029304311</v>
      </c>
      <c r="S309" s="126">
        <f t="shared" si="77"/>
        <v>942.49293043109992</v>
      </c>
      <c r="T309" s="126">
        <f t="shared" si="87"/>
        <v>435.18000000000006</v>
      </c>
      <c r="U309" s="127">
        <f>(((IF(K309="New",0,SUMIF('MPG Payment '!$E$3:$E$34579,'Shayak Income '!D309,'MPG Payment '!$AC$3:$AC$34579))))+0)+0</f>
        <v>0</v>
      </c>
      <c r="V309" s="127">
        <f t="shared" si="88"/>
        <v>7770</v>
      </c>
      <c r="W309" s="19">
        <f t="shared" si="92"/>
        <v>3384.4686202874</v>
      </c>
      <c r="X309" s="19">
        <v>0</v>
      </c>
      <c r="Y309" s="128">
        <f>IFERROR(VLOOKUP(D309,'Monthly Deduction'!$M$2:$N$64,2,0),0)</f>
        <v>0</v>
      </c>
      <c r="Z309" s="128">
        <v>0</v>
      </c>
      <c r="AA309" s="126">
        <f>IFERROR(VLOOKUP(D309,'Monthly Deduction'!A:B,2,0),0)</f>
        <v>0</v>
      </c>
      <c r="AB309" s="129">
        <f t="shared" si="79"/>
        <v>4386</v>
      </c>
      <c r="AC309" s="130">
        <v>0</v>
      </c>
      <c r="AD309" s="35">
        <f t="shared" si="89"/>
        <v>4386</v>
      </c>
      <c r="AE309" s="166" t="str">
        <f t="shared" si="90"/>
        <v>Release</v>
      </c>
      <c r="AF309" s="127"/>
      <c r="AG309" s="18">
        <v>0</v>
      </c>
      <c r="AH309" s="215"/>
      <c r="AI309" s="238">
        <v>0</v>
      </c>
      <c r="AJ309" s="132"/>
      <c r="AK309" s="151">
        <v>962.1</v>
      </c>
      <c r="AL309" s="154">
        <f t="shared" si="80"/>
        <v>0</v>
      </c>
      <c r="AM309" s="155"/>
      <c r="AN309" s="19">
        <f t="shared" si="81"/>
        <v>3384.4686202874</v>
      </c>
      <c r="AO309" s="118">
        <f>SUMIF('MPG Payment '!E:E,'Shayak Income '!D309,'MPG Payment '!AJ:AJ)</f>
        <v>0</v>
      </c>
      <c r="AP309" s="19">
        <f t="shared" si="82"/>
        <v>3384.4686202874</v>
      </c>
      <c r="AQ309" s="119">
        <f t="shared" si="91"/>
        <v>3384.4686202874</v>
      </c>
      <c r="AR309" s="91" t="s">
        <v>1168</v>
      </c>
      <c r="AS309" s="91">
        <f t="shared" si="83"/>
        <v>6400</v>
      </c>
      <c r="AT309" s="118"/>
      <c r="AU309" s="118"/>
      <c r="AV309" s="118"/>
    </row>
    <row r="310" spans="1:48" s="20" customFormat="1" x14ac:dyDescent="0.25">
      <c r="A310" s="17">
        <f>IFERROR(VLOOKUP(D310,'Monthly Deduction'!$I$3:$J$957,2,0),0)</f>
        <v>49388.271313132631</v>
      </c>
      <c r="B310" s="17">
        <f>IFERROR(VLOOKUP(D310,'Monthly Deduction'!$E$3:$F$957,2,0),0)</f>
        <v>6400</v>
      </c>
      <c r="C310" s="17">
        <f t="shared" si="84"/>
        <v>55788.271313132631</v>
      </c>
      <c r="D310" s="41">
        <v>10110066</v>
      </c>
      <c r="E310" s="122" t="str">
        <f>VLOOKUP(D310,'MPG Payment '!$E$3:$G$498218,2,0)</f>
        <v>Gomukh Bakiya</v>
      </c>
      <c r="F310" s="146">
        <f>IFERROR(_xlfn.XLOOKUP(D310,'Monthly Deduction'!$I$3:$I$957,'Monthly Deduction'!$H$3:$H$957),0)</f>
        <v>0</v>
      </c>
      <c r="G310" s="123" t="str">
        <f>VLOOKUP(D310,'MPG Payment '!$E$3:$G$334579,3,0)</f>
        <v>MPG</v>
      </c>
      <c r="H310" s="124" t="str">
        <f>VLOOKUP(D310,'MPG Payment '!$E$3:$H$334579,4,0)</f>
        <v>Direct</v>
      </c>
      <c r="I310" s="88">
        <f>INDEX('MPG Payment '!$C:$C,MATCH('Shayak Income '!D310,'MPG Payment '!E:E,0))</f>
        <v>1011</v>
      </c>
      <c r="J310" s="88" t="str">
        <f>INDEX('MPG Payment '!$D:$D,MATCH('Shayak Income '!D310,'MPG Payment '!E:E,0))</f>
        <v>Sahibpur Kamal</v>
      </c>
      <c r="K310" s="125" t="s">
        <v>1322</v>
      </c>
      <c r="L310" s="125">
        <v>45323</v>
      </c>
      <c r="M310" s="126">
        <f>SUMIF('MPG Payment '!$E$3:$E$34579,'Shayak Income '!D310,'MPG Payment '!$I$3:$I$34579)</f>
        <v>3696.7000000000003</v>
      </c>
      <c r="N310" s="126">
        <f>SUMIF('MPG Payment '!$E$3:$E$34579,'Shayak Income '!D310,'MPG Payment '!$J$3:$J$34579)</f>
        <v>148474.99804322002</v>
      </c>
      <c r="O310" s="126">
        <f t="shared" si="85"/>
        <v>2772.5250000000001</v>
      </c>
      <c r="P310" s="126">
        <f t="shared" si="86"/>
        <v>3511.8650000000002</v>
      </c>
      <c r="Q310" s="126">
        <f>SUMIF('MPG Payment '!$E$3:$E$34579,'Shayak Income '!D310,'MPG Payment '!$S$3:$S$34579)</f>
        <v>1050.1758136080002</v>
      </c>
      <c r="R310" s="126">
        <f t="shared" si="76"/>
        <v>4454.2499412966008</v>
      </c>
      <c r="S310" s="126">
        <f t="shared" si="77"/>
        <v>942.38494129660057</v>
      </c>
      <c r="T310" s="126">
        <f t="shared" si="87"/>
        <v>369.67000000000007</v>
      </c>
      <c r="U310" s="127">
        <f>(((IF(K310="New",0,SUMIF('MPG Payment '!$E$3:$E$34579,'Shayak Income '!D310,'MPG Payment '!$AC$3:$AC$34579))))+0)+0</f>
        <v>0</v>
      </c>
      <c r="V310" s="127">
        <f t="shared" si="88"/>
        <v>6965</v>
      </c>
      <c r="W310" s="19">
        <f t="shared" si="92"/>
        <v>2969.4999608644007</v>
      </c>
      <c r="X310" s="19">
        <v>0</v>
      </c>
      <c r="Y310" s="128">
        <f>IFERROR(VLOOKUP(D310,'Monthly Deduction'!$M$2:$N$64,2,0),0)</f>
        <v>0</v>
      </c>
      <c r="Z310" s="128">
        <v>0</v>
      </c>
      <c r="AA310" s="126">
        <f>IFERROR(VLOOKUP(D310,'Monthly Deduction'!A:B,2,0),0)</f>
        <v>0</v>
      </c>
      <c r="AB310" s="129">
        <f t="shared" si="79"/>
        <v>3996</v>
      </c>
      <c r="AC310" s="130">
        <v>0</v>
      </c>
      <c r="AD310" s="35">
        <f t="shared" si="89"/>
        <v>3996</v>
      </c>
      <c r="AE310" s="166" t="str">
        <f t="shared" si="90"/>
        <v>Release</v>
      </c>
      <c r="AF310" s="127"/>
      <c r="AG310" s="18">
        <v>0</v>
      </c>
      <c r="AH310" s="120"/>
      <c r="AI310" s="238">
        <v>0</v>
      </c>
      <c r="AJ310" s="132"/>
      <c r="AK310" s="151">
        <v>898.4</v>
      </c>
      <c r="AL310" s="154">
        <f t="shared" si="80"/>
        <v>0</v>
      </c>
      <c r="AM310" s="155"/>
      <c r="AN310" s="19">
        <f t="shared" si="81"/>
        <v>2969.4999608644007</v>
      </c>
      <c r="AO310" s="118">
        <f>SUMIF('MPG Payment '!E:E,'Shayak Income '!D310,'MPG Payment '!AJ:AJ)</f>
        <v>0</v>
      </c>
      <c r="AP310" s="19">
        <f t="shared" si="82"/>
        <v>2969.4999608644007</v>
      </c>
      <c r="AQ310" s="119">
        <f t="shared" si="91"/>
        <v>2969.4999608644007</v>
      </c>
      <c r="AR310" s="91" t="s">
        <v>1168</v>
      </c>
      <c r="AS310" s="91">
        <f t="shared" si="83"/>
        <v>6400</v>
      </c>
      <c r="AT310" s="118"/>
      <c r="AU310" s="118"/>
      <c r="AV310" s="118"/>
    </row>
    <row r="311" spans="1:48" s="20" customFormat="1" x14ac:dyDescent="0.25">
      <c r="A311" s="17">
        <f>IFERROR(VLOOKUP(D311,'Monthly Deduction'!$I$3:$J$957,2,0),0)</f>
        <v>32571.203814253968</v>
      </c>
      <c r="B311" s="17">
        <f>IFERROR(VLOOKUP(D311,'Monthly Deduction'!$E$3:$F$957,2,0),0)</f>
        <v>12800</v>
      </c>
      <c r="C311" s="17">
        <f t="shared" si="84"/>
        <v>45371.203814253968</v>
      </c>
      <c r="D311" s="41">
        <v>10110071</v>
      </c>
      <c r="E311" s="122" t="str">
        <f>VLOOKUP(D311,'MPG Payment '!$E$3:$G$498218,2,0)</f>
        <v>Gomukh Sadpur</v>
      </c>
      <c r="F311" s="146">
        <f>IFERROR(_xlfn.XLOOKUP(D311,'Monthly Deduction'!$I$3:$I$957,'Monthly Deduction'!$H$3:$H$957),0)</f>
        <v>0</v>
      </c>
      <c r="G311" s="123" t="str">
        <f>VLOOKUP(D311,'MPG Payment '!$E$3:$G$334579,3,0)</f>
        <v>MPG</v>
      </c>
      <c r="H311" s="124" t="str">
        <f>VLOOKUP(D311,'MPG Payment '!$E$3:$H$334579,4,0)</f>
        <v>Direct</v>
      </c>
      <c r="I311" s="88">
        <f>INDEX('MPG Payment '!$C:$C,MATCH('Shayak Income '!D311,'MPG Payment '!E:E,0))</f>
        <v>1011</v>
      </c>
      <c r="J311" s="88" t="str">
        <f>INDEX('MPG Payment '!$D:$D,MATCH('Shayak Income '!D311,'MPG Payment '!E:E,0))</f>
        <v>Sahibpur Kamal</v>
      </c>
      <c r="K311" s="125" t="s">
        <v>1322</v>
      </c>
      <c r="L311" s="125">
        <v>44986</v>
      </c>
      <c r="M311" s="126">
        <f>SUMIF('MPG Payment '!$E$3:$E$34579,'Shayak Income '!D311,'MPG Payment '!$I$3:$I$34579)</f>
        <v>312.19999999999993</v>
      </c>
      <c r="N311" s="126">
        <f>SUMIF('MPG Payment '!$E$3:$E$34579,'Shayak Income '!D311,'MPG Payment '!$J$3:$J$34579)</f>
        <v>11374.580638039999</v>
      </c>
      <c r="O311" s="126">
        <f t="shared" si="85"/>
        <v>234.14999999999995</v>
      </c>
      <c r="P311" s="126">
        <f t="shared" si="86"/>
        <v>296.58999999999992</v>
      </c>
      <c r="Q311" s="126">
        <f>SUMIF('MPG Payment '!$E$3:$E$34579,'Shayak Income '!D311,'MPG Payment '!$S$3:$S$34579)</f>
        <v>0</v>
      </c>
      <c r="R311" s="126">
        <f t="shared" si="76"/>
        <v>341.23741914119995</v>
      </c>
      <c r="S311" s="126">
        <f t="shared" si="77"/>
        <v>44.647419141200032</v>
      </c>
      <c r="T311" s="126">
        <f t="shared" si="87"/>
        <v>31.219999999999995</v>
      </c>
      <c r="U311" s="127">
        <f>(((IF(K311="New",0,SUMIF('MPG Payment '!$E$3:$E$34579,'Shayak Income '!D311,'MPG Payment '!$AC$3:$AC$34579))))+0)+-1299</f>
        <v>499.35654445250179</v>
      </c>
      <c r="V311" s="127">
        <f t="shared" si="88"/>
        <v>0</v>
      </c>
      <c r="W311" s="19">
        <v>0</v>
      </c>
      <c r="X311" s="19">
        <v>0</v>
      </c>
      <c r="Y311" s="128">
        <v>0</v>
      </c>
      <c r="Z311" s="128">
        <v>0</v>
      </c>
      <c r="AA311" s="126">
        <f>IFERROR(VLOOKUP(D311,'Monthly Deduction'!A:B,2,0),0)</f>
        <v>0</v>
      </c>
      <c r="AB311" s="129">
        <f t="shared" si="79"/>
        <v>0</v>
      </c>
      <c r="AC311" s="130">
        <v>0</v>
      </c>
      <c r="AD311" s="35">
        <f t="shared" si="89"/>
        <v>0</v>
      </c>
      <c r="AE311" s="166" t="str">
        <f t="shared" si="90"/>
        <v>Release</v>
      </c>
      <c r="AF311" s="127"/>
      <c r="AG311" s="18">
        <v>0</v>
      </c>
      <c r="AH311" s="120"/>
      <c r="AI311" s="238">
        <v>0</v>
      </c>
      <c r="AJ311" s="132"/>
      <c r="AK311" s="151">
        <v>150.30000000000001</v>
      </c>
      <c r="AL311" s="154">
        <f t="shared" si="80"/>
        <v>0</v>
      </c>
      <c r="AM311" s="155"/>
      <c r="AN311" s="19">
        <f t="shared" si="81"/>
        <v>1861</v>
      </c>
      <c r="AO311" s="118">
        <f>SUMIF('MPG Payment '!E:E,'Shayak Income '!D311,'MPG Payment '!AJ:AJ)</f>
        <v>500</v>
      </c>
      <c r="AP311" s="19">
        <f t="shared" si="82"/>
        <v>0</v>
      </c>
      <c r="AQ311" s="119">
        <f t="shared" si="91"/>
        <v>500</v>
      </c>
      <c r="AR311" s="91" t="s">
        <v>1168</v>
      </c>
      <c r="AS311" s="91">
        <f t="shared" si="83"/>
        <v>12800</v>
      </c>
      <c r="AT311" s="118"/>
      <c r="AU311" s="118"/>
      <c r="AV311" s="118"/>
    </row>
    <row r="312" spans="1:48" s="20" customFormat="1" x14ac:dyDescent="0.25">
      <c r="A312" s="17">
        <f>IFERROR(VLOOKUP(D312,'Monthly Deduction'!$I$3:$J$957,2,0),0)</f>
        <v>54841.710735626293</v>
      </c>
      <c r="B312" s="17">
        <f>IFERROR(VLOOKUP(D312,'Monthly Deduction'!$E$3:$F$957,2,0),0)</f>
        <v>5197</v>
      </c>
      <c r="C312" s="17">
        <f t="shared" si="84"/>
        <v>60038.710735626293</v>
      </c>
      <c r="D312" s="41">
        <v>10110073</v>
      </c>
      <c r="E312" s="122" t="str">
        <f>VLOOKUP(D312,'MPG Payment '!$E$3:$G$498218,2,0)</f>
        <v>GOMUKH Nista Tol</v>
      </c>
      <c r="F312" s="146">
        <f>IFERROR(_xlfn.XLOOKUP(D312,'Monthly Deduction'!$I$3:$I$957,'Monthly Deduction'!$H$3:$H$957),0)</f>
        <v>0</v>
      </c>
      <c r="G312" s="123" t="str">
        <f>VLOOKUP(D312,'MPG Payment '!$E$3:$G$334579,3,0)</f>
        <v>MPG</v>
      </c>
      <c r="H312" s="124" t="str">
        <f>VLOOKUP(D312,'MPG Payment '!$E$3:$H$334579,4,0)</f>
        <v>Direct</v>
      </c>
      <c r="I312" s="88">
        <f>INDEX('MPG Payment '!$C:$C,MATCH('Shayak Income '!D312,'MPG Payment '!E:E,0))</f>
        <v>1011</v>
      </c>
      <c r="J312" s="88" t="str">
        <f>INDEX('MPG Payment '!$D:$D,MATCH('Shayak Income '!D312,'MPG Payment '!E:E,0))</f>
        <v>Sahibpur Kamal</v>
      </c>
      <c r="K312" s="125" t="s">
        <v>1322</v>
      </c>
      <c r="L312" s="125">
        <v>45323</v>
      </c>
      <c r="M312" s="126">
        <f>SUMIF('MPG Payment '!$E$3:$E$34579,'Shayak Income '!D312,'MPG Payment '!$I$3:$I$34579)</f>
        <v>410.1</v>
      </c>
      <c r="N312" s="126">
        <f>SUMIF('MPG Payment '!$E$3:$E$34579,'Shayak Income '!D312,'MPG Payment '!$J$3:$J$34579)</f>
        <v>14366.0706687975</v>
      </c>
      <c r="O312" s="126">
        <f t="shared" si="85"/>
        <v>307.57500000000005</v>
      </c>
      <c r="P312" s="126">
        <f t="shared" si="86"/>
        <v>389.59500000000003</v>
      </c>
      <c r="Q312" s="126">
        <f>SUMIF('MPG Payment '!$E$3:$E$34579,'Shayak Income '!D312,'MPG Payment '!$S$3:$S$34579)</f>
        <v>0</v>
      </c>
      <c r="R312" s="126">
        <f t="shared" si="76"/>
        <v>430.98212006392498</v>
      </c>
      <c r="S312" s="126">
        <f t="shared" si="77"/>
        <v>41.387120063924954</v>
      </c>
      <c r="T312" s="126">
        <f t="shared" si="87"/>
        <v>41.010000000000005</v>
      </c>
      <c r="U312" s="127">
        <f>(((IF(K312="New",0,SUMIF('MPG Payment '!$E$3:$E$34579,'Shayak Income '!D312,'MPG Payment '!$AC$3:$AC$34579))))+0)+-1026</f>
        <v>655.82252901049765</v>
      </c>
      <c r="V312" s="127">
        <f t="shared" si="88"/>
        <v>0</v>
      </c>
      <c r="W312" s="19">
        <v>0</v>
      </c>
      <c r="X312" s="19">
        <v>0</v>
      </c>
      <c r="Y312" s="128">
        <f>IFERROR(VLOOKUP(D312,'Monthly Deduction'!$M$2:$N$64,2,0),0)</f>
        <v>0</v>
      </c>
      <c r="Z312" s="128">
        <v>0</v>
      </c>
      <c r="AA312" s="126">
        <f>IFERROR(VLOOKUP(D312,'Monthly Deduction'!A:B,2,0),0)</f>
        <v>0</v>
      </c>
      <c r="AB312" s="129">
        <f t="shared" si="79"/>
        <v>0</v>
      </c>
      <c r="AC312" s="130">
        <v>0</v>
      </c>
      <c r="AD312" s="35">
        <f t="shared" si="89"/>
        <v>0</v>
      </c>
      <c r="AE312" s="166" t="str">
        <f t="shared" si="90"/>
        <v>Release</v>
      </c>
      <c r="AF312" s="127"/>
      <c r="AG312" s="18">
        <v>0</v>
      </c>
      <c r="AH312" s="132"/>
      <c r="AI312" s="238">
        <v>0</v>
      </c>
      <c r="AJ312" s="132"/>
      <c r="AK312" s="151">
        <v>155.50000000000003</v>
      </c>
      <c r="AL312" s="154">
        <f t="shared" si="80"/>
        <v>0</v>
      </c>
      <c r="AM312" s="155"/>
      <c r="AN312" s="19">
        <f t="shared" si="81"/>
        <v>1861</v>
      </c>
      <c r="AO312" s="118">
        <f>SUMIF('MPG Payment '!E:E,'Shayak Income '!D312,'MPG Payment '!AJ:AJ)</f>
        <v>500</v>
      </c>
      <c r="AP312" s="19">
        <f t="shared" si="82"/>
        <v>0</v>
      </c>
      <c r="AQ312" s="119">
        <f t="shared" si="91"/>
        <v>500</v>
      </c>
      <c r="AR312" s="91"/>
      <c r="AS312" s="91">
        <f t="shared" si="83"/>
        <v>5197</v>
      </c>
      <c r="AT312" s="118"/>
      <c r="AU312" s="118"/>
      <c r="AV312" s="118"/>
    </row>
    <row r="313" spans="1:48" s="20" customFormat="1" x14ac:dyDescent="0.25">
      <c r="A313" s="17">
        <f>IFERROR(VLOOKUP(D313,'Monthly Deduction'!$I$3:$J$957,2,0),0)</f>
        <v>0</v>
      </c>
      <c r="B313" s="17">
        <f>IFERROR(VLOOKUP(D313,'Monthly Deduction'!$E$3:$F$957,2,0),0)</f>
        <v>0</v>
      </c>
      <c r="C313" s="17">
        <f t="shared" si="84"/>
        <v>0</v>
      </c>
      <c r="D313" s="41">
        <v>10110076</v>
      </c>
      <c r="E313" s="122" t="str">
        <f>VLOOKUP(D313,'MPG Payment '!$E$3:$G$498218,2,0)</f>
        <v>GOMUKH SRINAGAR</v>
      </c>
      <c r="F313" s="146">
        <f>IFERROR(_xlfn.XLOOKUP(D313,'Monthly Deduction'!$I$3:$I$957,'Monthly Deduction'!$H$3:$H$957),0)</f>
        <v>0</v>
      </c>
      <c r="G313" s="123" t="str">
        <f>VLOOKUP(D313,'MPG Payment '!$E$3:$G$334579,3,0)</f>
        <v>MPG</v>
      </c>
      <c r="H313" s="124" t="str">
        <f>VLOOKUP(D313,'MPG Payment '!$E$3:$H$334579,4,0)</f>
        <v>Direct</v>
      </c>
      <c r="I313" s="88">
        <f>INDEX('MPG Payment '!$C:$C,MATCH('Shayak Income '!D313,'MPG Payment '!E:E,0))</f>
        <v>1011</v>
      </c>
      <c r="J313" s="88" t="str">
        <f>INDEX('MPG Payment '!$D:$D,MATCH('Shayak Income '!D313,'MPG Payment '!E:E,0))</f>
        <v>Sahibpur Kamal</v>
      </c>
      <c r="K313" s="125" t="s">
        <v>1322</v>
      </c>
      <c r="L313" s="125">
        <v>45429</v>
      </c>
      <c r="M313" s="126">
        <f>SUMIF('MPG Payment '!$E$3:$E$34579,'Shayak Income '!D313,'MPG Payment '!$I$3:$I$34579)</f>
        <v>6165.3</v>
      </c>
      <c r="N313" s="126">
        <f>SUMIF('MPG Payment '!$E$3:$E$34579,'Shayak Income '!D313,'MPG Payment '!$J$3:$J$34579)</f>
        <v>249283.75187664002</v>
      </c>
      <c r="O313" s="126">
        <f t="shared" si="85"/>
        <v>4623.9750000000004</v>
      </c>
      <c r="P313" s="126">
        <f t="shared" si="86"/>
        <v>5857.0349999999999</v>
      </c>
      <c r="Q313" s="126">
        <f>SUMIF('MPG Payment '!$E$3:$E$34579,'Shayak Income '!D313,'MPG Payment '!$S$3:$S$34579)</f>
        <v>620.16714867648011</v>
      </c>
      <c r="R313" s="126">
        <f t="shared" si="76"/>
        <v>7478.5125562991998</v>
      </c>
      <c r="S313" s="126">
        <f t="shared" si="77"/>
        <v>1621.4775562991999</v>
      </c>
      <c r="T313" s="126">
        <f t="shared" si="87"/>
        <v>616.53000000000009</v>
      </c>
      <c r="U313" s="127">
        <f>(((IF(K313="New",0,SUMIF('MPG Payment '!$E$3:$E$34579,'Shayak Income '!D313,'MPG Payment '!$AC$3:$AC$34579))))+0)+0</f>
        <v>0</v>
      </c>
      <c r="V313" s="127">
        <f t="shared" si="88"/>
        <v>10485</v>
      </c>
      <c r="W313" s="19">
        <f t="shared" si="92"/>
        <v>0</v>
      </c>
      <c r="X313" s="19">
        <f t="shared" si="78"/>
        <v>0</v>
      </c>
      <c r="Y313" s="128">
        <f>IFERROR(VLOOKUP(D313,'Monthly Deduction'!$M$2:$N$64,2,0),0)</f>
        <v>0</v>
      </c>
      <c r="Z313" s="128">
        <v>0</v>
      </c>
      <c r="AA313" s="126">
        <f>IFERROR(VLOOKUP(D313,'Monthly Deduction'!A:B,2,0),0)</f>
        <v>0</v>
      </c>
      <c r="AB313" s="129">
        <f t="shared" si="79"/>
        <v>10485</v>
      </c>
      <c r="AC313" s="130">
        <v>0</v>
      </c>
      <c r="AD313" s="35">
        <f t="shared" si="89"/>
        <v>10485</v>
      </c>
      <c r="AE313" s="166" t="str">
        <f t="shared" si="90"/>
        <v>Release</v>
      </c>
      <c r="AF313" s="127"/>
      <c r="AG313" s="18">
        <v>0</v>
      </c>
      <c r="AH313" s="120"/>
      <c r="AI313" s="238">
        <v>0</v>
      </c>
      <c r="AJ313" s="132"/>
      <c r="AK313" s="151">
        <v>1524.7</v>
      </c>
      <c r="AL313" s="154">
        <f t="shared" si="80"/>
        <v>0</v>
      </c>
      <c r="AM313" s="155"/>
      <c r="AN313" s="19">
        <f t="shared" si="81"/>
        <v>0</v>
      </c>
      <c r="AO313" s="118">
        <f>SUMIF('MPG Payment '!E:E,'Shayak Income '!D313,'MPG Payment '!AJ:AJ)</f>
        <v>0</v>
      </c>
      <c r="AP313" s="19">
        <f t="shared" si="82"/>
        <v>0</v>
      </c>
      <c r="AQ313" s="119">
        <f t="shared" si="91"/>
        <v>0</v>
      </c>
      <c r="AR313" s="91" t="s">
        <v>1168</v>
      </c>
      <c r="AS313" s="91">
        <f t="shared" si="83"/>
        <v>0</v>
      </c>
      <c r="AT313" s="118"/>
      <c r="AU313" s="118"/>
      <c r="AV313" s="118"/>
    </row>
    <row r="314" spans="1:48" s="20" customFormat="1" x14ac:dyDescent="0.25">
      <c r="A314" s="17">
        <f>IFERROR(VLOOKUP(D314,'Monthly Deduction'!$I$3:$J$957,2,0),0)</f>
        <v>50462.167271201281</v>
      </c>
      <c r="B314" s="17">
        <f>IFERROR(VLOOKUP(D314,'Monthly Deduction'!$E$3:$F$957,2,0),0)</f>
        <v>13072.128265076841</v>
      </c>
      <c r="C314" s="17">
        <f t="shared" si="84"/>
        <v>63534.295536278121</v>
      </c>
      <c r="D314" s="41">
        <v>10110078</v>
      </c>
      <c r="E314" s="122" t="str">
        <f>VLOOKUP(D314,'MPG Payment '!$E$3:$G$498218,2,0)</f>
        <v>GOMUKH THATHA</v>
      </c>
      <c r="F314" s="146">
        <f>IFERROR(_xlfn.XLOOKUP(D314,'Monthly Deduction'!$I$3:$I$957,'Monthly Deduction'!$H$3:$H$957),0)</f>
        <v>0</v>
      </c>
      <c r="G314" s="123" t="str">
        <f>VLOOKUP(D314,'MPG Payment '!$E$3:$G$334579,3,0)</f>
        <v>MPG</v>
      </c>
      <c r="H314" s="124" t="str">
        <f>VLOOKUP(D314,'MPG Payment '!$E$3:$H$334579,4,0)</f>
        <v>Direct</v>
      </c>
      <c r="I314" s="88">
        <f>INDEX('MPG Payment '!$C:$C,MATCH('Shayak Income '!D314,'MPG Payment '!E:E,0))</f>
        <v>1011</v>
      </c>
      <c r="J314" s="88" t="str">
        <f>INDEX('MPG Payment '!$D:$D,MATCH('Shayak Income '!D314,'MPG Payment '!E:E,0))</f>
        <v>Sahibpur Kamal</v>
      </c>
      <c r="K314" s="125" t="s">
        <v>1322</v>
      </c>
      <c r="L314" s="125">
        <v>45429</v>
      </c>
      <c r="M314" s="126">
        <f>SUMIF('MPG Payment '!$E$3:$E$34579,'Shayak Income '!D314,'MPG Payment '!$I$3:$I$34579)</f>
        <v>1537</v>
      </c>
      <c r="N314" s="126">
        <f>SUMIF('MPG Payment '!$E$3:$E$34579,'Shayak Income '!D314,'MPG Payment '!$J$3:$J$34579)</f>
        <v>52954.139820374498</v>
      </c>
      <c r="O314" s="126">
        <f t="shared" si="85"/>
        <v>1152.75</v>
      </c>
      <c r="P314" s="126">
        <f t="shared" si="86"/>
        <v>1460.1499999999999</v>
      </c>
      <c r="Q314" s="126">
        <f>SUMIF('MPG Payment '!$E$3:$E$34579,'Shayak Income '!D314,'MPG Payment '!$S$3:$S$34579)</f>
        <v>0</v>
      </c>
      <c r="R314" s="126">
        <f t="shared" si="76"/>
        <v>1588.6241946112348</v>
      </c>
      <c r="S314" s="126">
        <f t="shared" si="77"/>
        <v>128.47419461123491</v>
      </c>
      <c r="T314" s="126">
        <f t="shared" si="87"/>
        <v>153.70000000000002</v>
      </c>
      <c r="U314" s="127">
        <f>(((IF(K314="New",0,SUMIF('MPG Payment '!$E$3:$E$34579,'Shayak Income '!D314,'MPG Payment '!$AC$3:$AC$34579))))+0)+0</f>
        <v>874.85793638643315</v>
      </c>
      <c r="V314" s="127">
        <f t="shared" si="88"/>
        <v>1584</v>
      </c>
      <c r="W314" s="19">
        <v>1584</v>
      </c>
      <c r="X314" s="19">
        <v>0</v>
      </c>
      <c r="Y314" s="128">
        <f>IFERROR(VLOOKUP(D314,'Monthly Deduction'!$M$2:$N$64,2,0),0)</f>
        <v>0</v>
      </c>
      <c r="Z314" s="128">
        <v>0</v>
      </c>
      <c r="AA314" s="126">
        <f>IFERROR(VLOOKUP(D314,'Monthly Deduction'!A:B,2,0),0)</f>
        <v>0</v>
      </c>
      <c r="AB314" s="129">
        <f t="shared" si="79"/>
        <v>0</v>
      </c>
      <c r="AC314" s="130">
        <v>0</v>
      </c>
      <c r="AD314" s="35">
        <f t="shared" si="89"/>
        <v>0</v>
      </c>
      <c r="AE314" s="166" t="str">
        <f t="shared" si="90"/>
        <v>Release</v>
      </c>
      <c r="AF314" s="127"/>
      <c r="AG314" s="18">
        <v>0</v>
      </c>
      <c r="AH314" s="132"/>
      <c r="AI314" s="238">
        <v>0</v>
      </c>
      <c r="AJ314" s="132"/>
      <c r="AK314" s="151">
        <v>278.3</v>
      </c>
      <c r="AL314" s="154">
        <f t="shared" si="80"/>
        <v>0</v>
      </c>
      <c r="AM314" s="155"/>
      <c r="AN314" s="19">
        <f t="shared" si="81"/>
        <v>1861</v>
      </c>
      <c r="AO314" s="118">
        <f>SUMIF('MPG Payment '!E:E,'Shayak Income '!D314,'MPG Payment '!AJ:AJ)</f>
        <v>0</v>
      </c>
      <c r="AP314" s="19">
        <f t="shared" si="82"/>
        <v>1584</v>
      </c>
      <c r="AQ314" s="119">
        <f t="shared" si="91"/>
        <v>1584</v>
      </c>
      <c r="AR314" s="91"/>
      <c r="AS314" s="91">
        <f t="shared" si="83"/>
        <v>13072.128265076841</v>
      </c>
      <c r="AT314" s="118"/>
      <c r="AU314" s="118"/>
      <c r="AV314" s="118"/>
    </row>
    <row r="315" spans="1:48" s="20" customFormat="1" x14ac:dyDescent="0.25">
      <c r="A315" s="17">
        <f>IFERROR(VLOOKUP(D315,'Monthly Deduction'!$I$3:$J$957,2,0),0)</f>
        <v>71880.801023811888</v>
      </c>
      <c r="B315" s="17">
        <f>IFERROR(VLOOKUP(D315,'Monthly Deduction'!$E$3:$F$957,2,0),0)</f>
        <v>3200</v>
      </c>
      <c r="C315" s="17">
        <f t="shared" si="84"/>
        <v>75080.801023811888</v>
      </c>
      <c r="D315" s="41">
        <v>10110083</v>
      </c>
      <c r="E315" s="122" t="str">
        <f>VLOOKUP(D315,'MPG Payment '!$E$3:$G$498218,2,0)</f>
        <v>GOMUKH SANHA NAYATOLA</v>
      </c>
      <c r="F315" s="146">
        <f>IFERROR(_xlfn.XLOOKUP(D315,'Monthly Deduction'!$I$3:$I$957,'Monthly Deduction'!$H$3:$H$957),0)</f>
        <v>0</v>
      </c>
      <c r="G315" s="123" t="str">
        <f>VLOOKUP(D315,'MPG Payment '!$E$3:$G$334579,3,0)</f>
        <v>MPG</v>
      </c>
      <c r="H315" s="124" t="str">
        <f>VLOOKUP(D315,'MPG Payment '!$E$3:$H$334579,4,0)</f>
        <v>Direct</v>
      </c>
      <c r="I315" s="88">
        <f>INDEX('MPG Payment '!$C:$C,MATCH('Shayak Income '!D315,'MPG Payment '!E:E,0))</f>
        <v>1011</v>
      </c>
      <c r="J315" s="88" t="str">
        <f>INDEX('MPG Payment '!$D:$D,MATCH('Shayak Income '!D315,'MPG Payment '!E:E,0))</f>
        <v>Sahibpur Kamal</v>
      </c>
      <c r="K315" s="125" t="s">
        <v>1322</v>
      </c>
      <c r="L315" s="125">
        <v>45477</v>
      </c>
      <c r="M315" s="126">
        <f>SUMIF('MPG Payment '!$E$3:$E$34579,'Shayak Income '!D315,'MPG Payment '!$I$3:$I$34579)</f>
        <v>1162.6999999999998</v>
      </c>
      <c r="N315" s="126">
        <f>SUMIF('MPG Payment '!$E$3:$E$34579,'Shayak Income '!D315,'MPG Payment '!$J$3:$J$34579)</f>
        <v>42584.545791730998</v>
      </c>
      <c r="O315" s="126">
        <f t="shared" si="85"/>
        <v>872.02499999999986</v>
      </c>
      <c r="P315" s="126">
        <f t="shared" si="86"/>
        <v>1104.5649999999998</v>
      </c>
      <c r="Q315" s="126">
        <f>SUMIF('MPG Payment '!$E$3:$E$34579,'Shayak Income '!D315,'MPG Payment '!$S$3:$S$34579)</f>
        <v>0</v>
      </c>
      <c r="R315" s="126">
        <f t="shared" si="76"/>
        <v>1277.5363737519299</v>
      </c>
      <c r="S315" s="126">
        <f t="shared" si="77"/>
        <v>172.97137375193006</v>
      </c>
      <c r="T315" s="126">
        <f t="shared" si="87"/>
        <v>116.26999999999998</v>
      </c>
      <c r="U315" s="127">
        <f>(((IF(K315="New",0,SUMIF('MPG Payment '!$E$3:$E$34579,'Shayak Income '!D315,'MPG Payment '!$AC$3:$AC$34579))))+0)+0</f>
        <v>1204.3000085168314</v>
      </c>
      <c r="V315" s="127">
        <f t="shared" si="88"/>
        <v>656</v>
      </c>
      <c r="W315" s="19">
        <v>656</v>
      </c>
      <c r="X315" s="19">
        <v>0</v>
      </c>
      <c r="Y315" s="128">
        <f>IFERROR(VLOOKUP(D315,'Monthly Deduction'!$M$2:$N$64,2,0),0)</f>
        <v>0</v>
      </c>
      <c r="Z315" s="128">
        <v>0</v>
      </c>
      <c r="AA315" s="126">
        <f>IFERROR(VLOOKUP(D315,'Monthly Deduction'!A:B,2,0),0)</f>
        <v>0</v>
      </c>
      <c r="AB315" s="129">
        <f t="shared" si="79"/>
        <v>0</v>
      </c>
      <c r="AC315" s="130">
        <v>0</v>
      </c>
      <c r="AD315" s="35">
        <f t="shared" si="89"/>
        <v>0</v>
      </c>
      <c r="AE315" s="166" t="str">
        <f t="shared" si="90"/>
        <v>Release</v>
      </c>
      <c r="AF315" s="127"/>
      <c r="AG315" s="127">
        <v>0</v>
      </c>
      <c r="AH315" s="132"/>
      <c r="AI315" s="238">
        <v>0</v>
      </c>
      <c r="AJ315" s="132"/>
      <c r="AK315" s="151">
        <v>227.70000000000002</v>
      </c>
      <c r="AL315" s="154">
        <f t="shared" si="80"/>
        <v>0</v>
      </c>
      <c r="AM315" s="155"/>
      <c r="AN315" s="19">
        <f t="shared" si="81"/>
        <v>1861</v>
      </c>
      <c r="AO315" s="118">
        <f>SUMIF('MPG Payment '!E:E,'Shayak Income '!D315,'MPG Payment '!AJ:AJ)</f>
        <v>0</v>
      </c>
      <c r="AP315" s="19">
        <f t="shared" si="82"/>
        <v>656</v>
      </c>
      <c r="AQ315" s="119">
        <f t="shared" si="91"/>
        <v>656</v>
      </c>
      <c r="AR315" s="91" t="s">
        <v>1168</v>
      </c>
      <c r="AS315" s="91">
        <f t="shared" si="83"/>
        <v>3200</v>
      </c>
      <c r="AT315" s="118"/>
      <c r="AU315" s="118"/>
      <c r="AV315" s="118"/>
    </row>
    <row r="316" spans="1:48" s="20" customFormat="1" x14ac:dyDescent="0.25">
      <c r="A316" s="17">
        <f>IFERROR(VLOOKUP(D316,'Monthly Deduction'!$I$3:$J$957,2,0),0)</f>
        <v>55645.50429046026</v>
      </c>
      <c r="B316" s="17">
        <f>IFERROR(VLOOKUP(D316,'Monthly Deduction'!$E$3:$F$957,2,0),0)</f>
        <v>0</v>
      </c>
      <c r="C316" s="17">
        <f t="shared" si="84"/>
        <v>55645.50429046026</v>
      </c>
      <c r="D316" s="41">
        <v>10110086</v>
      </c>
      <c r="E316" s="122" t="str">
        <f>VLOOKUP(D316,'MPG Payment '!$E$3:$G$498218,2,0)</f>
        <v>Gomukh Durgapur</v>
      </c>
      <c r="F316" s="146">
        <f>IFERROR(_xlfn.XLOOKUP(D316,'Monthly Deduction'!$I$3:$I$957,'Monthly Deduction'!$H$3:$H$957),0)</f>
        <v>0</v>
      </c>
      <c r="G316" s="123" t="str">
        <f>VLOOKUP(D316,'MPG Payment '!$E$3:$G$334579,3,0)</f>
        <v>MPG</v>
      </c>
      <c r="H316" s="124" t="str">
        <f>VLOOKUP(D316,'MPG Payment '!$E$3:$H$334579,4,0)</f>
        <v>Direct</v>
      </c>
      <c r="I316" s="88">
        <f>INDEX('MPG Payment '!$C:$C,MATCH('Shayak Income '!D316,'MPG Payment '!E:E,0))</f>
        <v>1011</v>
      </c>
      <c r="J316" s="88" t="str">
        <f>INDEX('MPG Payment '!$D:$D,MATCH('Shayak Income '!D316,'MPG Payment '!E:E,0))</f>
        <v>Sahibpur Kamal</v>
      </c>
      <c r="K316" s="125" t="s">
        <v>1322</v>
      </c>
      <c r="L316" s="125">
        <v>45523</v>
      </c>
      <c r="M316" s="126">
        <f>SUMIF('MPG Payment '!$E$3:$E$34579,'Shayak Income '!D316,'MPG Payment '!$I$3:$I$34579)</f>
        <v>1804.3</v>
      </c>
      <c r="N316" s="126">
        <f>SUMIF('MPG Payment '!$E$3:$E$34579,'Shayak Income '!D316,'MPG Payment '!$J$3:$J$34579)</f>
        <v>70803.28654796</v>
      </c>
      <c r="O316" s="126">
        <f t="shared" si="85"/>
        <v>1353.2249999999999</v>
      </c>
      <c r="P316" s="126">
        <f t="shared" si="86"/>
        <v>1714.0849999999998</v>
      </c>
      <c r="Q316" s="126">
        <f>SUMIF('MPG Payment '!$E$3:$E$34579,'Shayak Income '!D316,'MPG Payment '!$S$3:$S$34579)</f>
        <v>364.12953765000009</v>
      </c>
      <c r="R316" s="126">
        <f t="shared" si="76"/>
        <v>2124.0985964388001</v>
      </c>
      <c r="S316" s="126">
        <f t="shared" si="77"/>
        <v>410.01359643880028</v>
      </c>
      <c r="T316" s="126">
        <f t="shared" si="87"/>
        <v>180.43</v>
      </c>
      <c r="U316" s="127">
        <f>(((IF(K316="New",0,SUMIF('MPG Payment '!$E$3:$E$34579,'Shayak Income '!D316,'MPG Payment '!$AC$3:$AC$34579))))+0)+0</f>
        <v>775.0516682533912</v>
      </c>
      <c r="V316" s="127">
        <f t="shared" si="88"/>
        <v>2476</v>
      </c>
      <c r="W316" s="19">
        <f t="shared" si="92"/>
        <v>1861</v>
      </c>
      <c r="X316" s="19">
        <v>0</v>
      </c>
      <c r="Y316" s="128">
        <f>IFERROR(VLOOKUP(D316,'Monthly Deduction'!$M$2:$N$64,2,0),0)</f>
        <v>0</v>
      </c>
      <c r="Z316" s="128">
        <v>0</v>
      </c>
      <c r="AA316" s="126">
        <f>IFERROR(VLOOKUP(D316,'Monthly Deduction'!A:B,2,0),0)</f>
        <v>0</v>
      </c>
      <c r="AB316" s="129">
        <f t="shared" si="79"/>
        <v>615</v>
      </c>
      <c r="AC316" s="130">
        <v>0</v>
      </c>
      <c r="AD316" s="35">
        <f t="shared" si="89"/>
        <v>615</v>
      </c>
      <c r="AE316" s="166" t="str">
        <f t="shared" si="90"/>
        <v>Release</v>
      </c>
      <c r="AF316" s="127"/>
      <c r="AG316" s="18">
        <v>0</v>
      </c>
      <c r="AH316" s="120"/>
      <c r="AI316" s="238">
        <v>0</v>
      </c>
      <c r="AJ316" s="132"/>
      <c r="AK316" s="151">
        <v>492.80000000000007</v>
      </c>
      <c r="AL316" s="154">
        <f t="shared" si="80"/>
        <v>0</v>
      </c>
      <c r="AM316" s="155"/>
      <c r="AN316" s="19">
        <f t="shared" si="81"/>
        <v>1861</v>
      </c>
      <c r="AO316" s="118">
        <f>SUMIF('MPG Payment '!E:E,'Shayak Income '!D316,'MPG Payment '!AJ:AJ)</f>
        <v>0</v>
      </c>
      <c r="AP316" s="19">
        <f t="shared" si="82"/>
        <v>1861</v>
      </c>
      <c r="AQ316" s="119">
        <f t="shared" si="91"/>
        <v>1861</v>
      </c>
      <c r="AR316" s="91" t="s">
        <v>1168</v>
      </c>
      <c r="AS316" s="91">
        <f t="shared" si="83"/>
        <v>0</v>
      </c>
      <c r="AT316" s="118"/>
      <c r="AU316" s="118"/>
      <c r="AV316" s="118"/>
    </row>
    <row r="317" spans="1:48" s="20" customFormat="1" x14ac:dyDescent="0.25">
      <c r="A317" s="17">
        <f>IFERROR(VLOOKUP(D317,'Monthly Deduction'!$I$3:$J$957,2,0),0)</f>
        <v>62474.494871608957</v>
      </c>
      <c r="B317" s="17">
        <f>IFERROR(VLOOKUP(D317,'Monthly Deduction'!$E$3:$F$957,2,0),0)</f>
        <v>4576.2305999999999</v>
      </c>
      <c r="C317" s="17">
        <f t="shared" si="84"/>
        <v>67050.725471608952</v>
      </c>
      <c r="D317" s="41">
        <v>10110093</v>
      </c>
      <c r="E317" s="122" t="str">
        <f>VLOOKUP(D317,'MPG Payment '!$E$3:$G$498218,2,0)</f>
        <v>Gomukh Koniya</v>
      </c>
      <c r="F317" s="146">
        <f>IFERROR(_xlfn.XLOOKUP(D317,'Monthly Deduction'!$I$3:$I$957,'Monthly Deduction'!$H$3:$H$957),0)</f>
        <v>0</v>
      </c>
      <c r="G317" s="123" t="str">
        <f>VLOOKUP(D317,'MPG Payment '!$E$3:$G$334579,3,0)</f>
        <v>MPG</v>
      </c>
      <c r="H317" s="124" t="str">
        <f>VLOOKUP(D317,'MPG Payment '!$E$3:$H$334579,4,0)</f>
        <v>Direct</v>
      </c>
      <c r="I317" s="88">
        <f>INDEX('MPG Payment '!$C:$C,MATCH('Shayak Income '!D317,'MPG Payment '!E:E,0))</f>
        <v>1054</v>
      </c>
      <c r="J317" s="88" t="str">
        <f>INDEX('MPG Payment '!$D:$D,MATCH('Shayak Income '!D317,'MPG Payment '!E:E,0))</f>
        <v xml:space="preserve">Alauli </v>
      </c>
      <c r="K317" s="125" t="s">
        <v>1322</v>
      </c>
      <c r="L317" s="125">
        <v>45629</v>
      </c>
      <c r="M317" s="126">
        <f>SUMIF('MPG Payment '!$E$3:$E$34579,'Shayak Income '!D317,'MPG Payment '!$I$3:$I$34579)</f>
        <v>1733.96</v>
      </c>
      <c r="N317" s="126">
        <f>SUMIF('MPG Payment '!$E$3:$E$34579,'Shayak Income '!D317,'MPG Payment '!$J$3:$J$34579)</f>
        <v>60753.391750845105</v>
      </c>
      <c r="O317" s="126">
        <f t="shared" si="85"/>
        <v>1300.47</v>
      </c>
      <c r="P317" s="126">
        <f t="shared" si="86"/>
        <v>1647.2619999999999</v>
      </c>
      <c r="Q317" s="126">
        <f>SUMIF('MPG Payment '!$E$3:$E$34579,'Shayak Income '!D317,'MPG Payment '!$S$3:$S$34579)</f>
        <v>1729.2942726000001</v>
      </c>
      <c r="R317" s="126">
        <f t="shared" si="76"/>
        <v>1822.601752525353</v>
      </c>
      <c r="S317" s="126">
        <f t="shared" si="77"/>
        <v>175.33975252535311</v>
      </c>
      <c r="T317" s="126">
        <f t="shared" si="87"/>
        <v>173.39600000000002</v>
      </c>
      <c r="U317" s="127">
        <f>(((IF(K317="New",0,SUMIF('MPG Payment '!$E$3:$E$34579,'Shayak Income '!D317,'MPG Payment '!$AC$3:$AC$34579))))+0)+0</f>
        <v>746.12955168123267</v>
      </c>
      <c r="V317" s="127">
        <f t="shared" si="88"/>
        <v>3758</v>
      </c>
      <c r="W317" s="19">
        <f t="shared" si="92"/>
        <v>1861</v>
      </c>
      <c r="X317" s="19">
        <v>0</v>
      </c>
      <c r="Y317" s="128">
        <f>IFERROR(VLOOKUP(D317,'Monthly Deduction'!$M$2:$N$64,2,0),0)</f>
        <v>0</v>
      </c>
      <c r="Z317" s="128">
        <v>0</v>
      </c>
      <c r="AA317" s="126">
        <f>IFERROR(VLOOKUP(D317,'Monthly Deduction'!A:B,2,0),0)</f>
        <v>0</v>
      </c>
      <c r="AB317" s="129">
        <f t="shared" si="79"/>
        <v>1897</v>
      </c>
      <c r="AC317" s="130">
        <f>AB317</f>
        <v>1897</v>
      </c>
      <c r="AD317" s="35">
        <f t="shared" si="89"/>
        <v>0</v>
      </c>
      <c r="AE317" s="166" t="str">
        <f t="shared" si="90"/>
        <v>Yes</v>
      </c>
      <c r="AF317" s="127"/>
      <c r="AG317" s="18">
        <v>0</v>
      </c>
      <c r="AH317" s="120" t="s">
        <v>1653</v>
      </c>
      <c r="AI317" s="238">
        <v>0</v>
      </c>
      <c r="AJ317" s="132"/>
      <c r="AK317" s="151">
        <v>441.9</v>
      </c>
      <c r="AL317" s="154">
        <f t="shared" si="80"/>
        <v>0</v>
      </c>
      <c r="AM317" s="155"/>
      <c r="AN317" s="19">
        <f t="shared" si="81"/>
        <v>1861</v>
      </c>
      <c r="AO317" s="118">
        <f>SUMIF('MPG Payment '!E:E,'Shayak Income '!D317,'MPG Payment '!AJ:AJ)</f>
        <v>0</v>
      </c>
      <c r="AP317" s="19">
        <f t="shared" si="82"/>
        <v>1861</v>
      </c>
      <c r="AQ317" s="119">
        <f t="shared" si="91"/>
        <v>1861</v>
      </c>
      <c r="AR317" s="91" t="s">
        <v>1168</v>
      </c>
      <c r="AS317" s="91">
        <f t="shared" si="83"/>
        <v>4576.2305999999999</v>
      </c>
      <c r="AT317" s="118"/>
      <c r="AU317" s="118"/>
      <c r="AV317" s="118"/>
    </row>
    <row r="318" spans="1:48" s="20" customFormat="1" x14ac:dyDescent="0.25">
      <c r="A318" s="17">
        <f>IFERROR(VLOOKUP(D318,'Monthly Deduction'!$I$3:$J$957,2,0),0)</f>
        <v>50902.409223911847</v>
      </c>
      <c r="B318" s="17">
        <f>IFERROR(VLOOKUP(D318,'Monthly Deduction'!$E$3:$F$957,2,0),0)</f>
        <v>12800</v>
      </c>
      <c r="C318" s="17">
        <f t="shared" si="84"/>
        <v>63702.409223911847</v>
      </c>
      <c r="D318" s="41">
        <v>10110094</v>
      </c>
      <c r="E318" s="122" t="str">
        <f>VLOOKUP(D318,'MPG Payment '!$E$3:$G$498218,2,0)</f>
        <v>GOMUKH ROHUA</v>
      </c>
      <c r="F318" s="146">
        <f>IFERROR(_xlfn.XLOOKUP(D318,'Monthly Deduction'!$I$3:$I$957,'Monthly Deduction'!$H$3:$H$957),0)</f>
        <v>0</v>
      </c>
      <c r="G318" s="123" t="str">
        <f>VLOOKUP(D318,'MPG Payment '!$E$3:$G$334579,3,0)</f>
        <v>MPG</v>
      </c>
      <c r="H318" s="124" t="str">
        <f>VLOOKUP(D318,'MPG Payment '!$E$3:$H$334579,4,0)</f>
        <v>Direct</v>
      </c>
      <c r="I318" s="88">
        <f>INDEX('MPG Payment '!$C:$C,MATCH('Shayak Income '!D318,'MPG Payment '!E:E,0))</f>
        <v>1011</v>
      </c>
      <c r="J318" s="88" t="str">
        <f>INDEX('MPG Payment '!$D:$D,MATCH('Shayak Income '!D318,'MPG Payment '!E:E,0))</f>
        <v>Sahibpur Kamal</v>
      </c>
      <c r="K318" s="125" t="s">
        <v>1322</v>
      </c>
      <c r="L318" s="125">
        <v>45631</v>
      </c>
      <c r="M318" s="126">
        <f>SUMIF('MPG Payment '!$E$3:$E$34579,'Shayak Income '!D318,'MPG Payment '!$I$3:$I$34579)</f>
        <v>1509.1999999999998</v>
      </c>
      <c r="N318" s="126">
        <f>SUMIF('MPG Payment '!$E$3:$E$34579,'Shayak Income '!D318,'MPG Payment '!$J$3:$J$34579)</f>
        <v>56271.030790669996</v>
      </c>
      <c r="O318" s="126">
        <f t="shared" si="85"/>
        <v>1131.8999999999999</v>
      </c>
      <c r="P318" s="126">
        <f t="shared" si="86"/>
        <v>1433.7399999999998</v>
      </c>
      <c r="Q318" s="126">
        <f>SUMIF('MPG Payment '!$E$3:$E$34579,'Shayak Income '!D318,'MPG Payment '!$S$3:$S$34579)</f>
        <v>856.4958592800001</v>
      </c>
      <c r="R318" s="126">
        <f t="shared" si="76"/>
        <v>1688.1309237200999</v>
      </c>
      <c r="S318" s="126">
        <f t="shared" si="77"/>
        <v>254.39092372010009</v>
      </c>
      <c r="T318" s="126">
        <f t="shared" si="87"/>
        <v>150.91999999999999</v>
      </c>
      <c r="U318" s="127">
        <f>(((IF(K318="New",0,SUMIF('MPG Payment '!$E$3:$E$34579,'Shayak Income '!D318,'MPG Payment '!$AC$3:$AC$34579))))+0)+0</f>
        <v>962.26845734220581</v>
      </c>
      <c r="V318" s="127">
        <f t="shared" si="88"/>
        <v>2309</v>
      </c>
      <c r="W318" s="19">
        <f t="shared" si="92"/>
        <v>1861</v>
      </c>
      <c r="X318" s="19">
        <v>0</v>
      </c>
      <c r="Y318" s="128">
        <f>IFERROR(VLOOKUP(D318,'Monthly Deduction'!$M$2:$N$64,2,0),0)</f>
        <v>0</v>
      </c>
      <c r="Z318" s="128">
        <v>0</v>
      </c>
      <c r="AA318" s="126">
        <f>IFERROR(VLOOKUP(D318,'Monthly Deduction'!A:B,2,0),0)</f>
        <v>0</v>
      </c>
      <c r="AB318" s="129">
        <f t="shared" si="79"/>
        <v>448</v>
      </c>
      <c r="AC318" s="130">
        <v>0</v>
      </c>
      <c r="AD318" s="35">
        <f t="shared" si="89"/>
        <v>448</v>
      </c>
      <c r="AE318" s="166" t="str">
        <f t="shared" si="90"/>
        <v>Release</v>
      </c>
      <c r="AF318" s="127"/>
      <c r="AG318" s="18">
        <v>0</v>
      </c>
      <c r="AH318" s="120"/>
      <c r="AI318" s="238">
        <v>0</v>
      </c>
      <c r="AJ318" s="132"/>
      <c r="AK318" s="151">
        <v>426.1</v>
      </c>
      <c r="AL318" s="154">
        <f t="shared" si="80"/>
        <v>0</v>
      </c>
      <c r="AM318" s="155"/>
      <c r="AN318" s="19">
        <f t="shared" si="81"/>
        <v>1861</v>
      </c>
      <c r="AO318" s="118">
        <f>SUMIF('MPG Payment '!E:E,'Shayak Income '!D318,'MPG Payment '!AJ:AJ)</f>
        <v>0</v>
      </c>
      <c r="AP318" s="19">
        <f t="shared" si="82"/>
        <v>1861</v>
      </c>
      <c r="AQ318" s="119">
        <f t="shared" si="91"/>
        <v>1861</v>
      </c>
      <c r="AR318" s="91" t="s">
        <v>1168</v>
      </c>
      <c r="AS318" s="91">
        <f t="shared" si="83"/>
        <v>12800</v>
      </c>
      <c r="AT318" s="118"/>
      <c r="AU318" s="118"/>
      <c r="AV318" s="118"/>
    </row>
    <row r="319" spans="1:48" s="20" customFormat="1" x14ac:dyDescent="0.25">
      <c r="A319" s="17">
        <f>IFERROR(VLOOKUP(D319,'Monthly Deduction'!$I$3:$J$957,2,0),0)</f>
        <v>62901.648000000001</v>
      </c>
      <c r="B319" s="17">
        <f>IFERROR(VLOOKUP(D319,'Monthly Deduction'!$E$3:$F$957,2,0),0)</f>
        <v>6400</v>
      </c>
      <c r="C319" s="17">
        <f t="shared" si="84"/>
        <v>69301.648000000001</v>
      </c>
      <c r="D319" s="41">
        <v>10110095</v>
      </c>
      <c r="E319" s="122" t="str">
        <f>VLOOKUP(D319,'MPG Payment '!$E$3:$G$498218,2,0)</f>
        <v>GOMUKH LAXMIPUR</v>
      </c>
      <c r="F319" s="146">
        <f>IFERROR(_xlfn.XLOOKUP(D319,'Monthly Deduction'!$I$3:$I$957,'Monthly Deduction'!$H$3:$H$957),0)</f>
        <v>0</v>
      </c>
      <c r="G319" s="123" t="str">
        <f>VLOOKUP(D319,'MPG Payment '!$E$3:$G$334579,3,0)</f>
        <v>MPG</v>
      </c>
      <c r="H319" s="124" t="str">
        <f>VLOOKUP(D319,'MPG Payment '!$E$3:$H$334579,4,0)</f>
        <v>Direct</v>
      </c>
      <c r="I319" s="88">
        <f>INDEX('MPG Payment '!$C:$C,MATCH('Shayak Income '!D319,'MPG Payment '!E:E,0))</f>
        <v>1011</v>
      </c>
      <c r="J319" s="88" t="str">
        <f>INDEX('MPG Payment '!$D:$D,MATCH('Shayak Income '!D319,'MPG Payment '!E:E,0))</f>
        <v>Sahibpur Kamal</v>
      </c>
      <c r="K319" s="125" t="s">
        <v>1322</v>
      </c>
      <c r="L319" s="125">
        <v>45629</v>
      </c>
      <c r="M319" s="126">
        <f>SUMIF('MPG Payment '!$E$3:$E$34579,'Shayak Income '!D319,'MPG Payment '!$I$3:$I$34579)</f>
        <v>1724.3</v>
      </c>
      <c r="N319" s="126">
        <f>SUMIF('MPG Payment '!$E$3:$E$34579,'Shayak Income '!D319,'MPG Payment '!$J$3:$J$34579)</f>
        <v>76192.220972220006</v>
      </c>
      <c r="O319" s="126">
        <f t="shared" si="85"/>
        <v>1293.2249999999999</v>
      </c>
      <c r="P319" s="126">
        <f t="shared" si="86"/>
        <v>1638.0849999999998</v>
      </c>
      <c r="Q319" s="126">
        <f>SUMIF('MPG Payment '!$E$3:$E$34579,'Shayak Income '!D319,'MPG Payment '!$S$3:$S$34579)</f>
        <v>1286.2016373137001</v>
      </c>
      <c r="R319" s="126">
        <f t="shared" si="76"/>
        <v>2285.7666291666001</v>
      </c>
      <c r="S319" s="126">
        <f t="shared" si="77"/>
        <v>647.68162916660026</v>
      </c>
      <c r="T319" s="126">
        <f t="shared" si="87"/>
        <v>172.43</v>
      </c>
      <c r="U319" s="127">
        <f>(((IF(K319="New",0,SUMIF('MPG Payment '!$E$3:$E$34579,'Shayak Income '!D319,'MPG Payment '!$AC$3:$AC$34579))))+0)+0</f>
        <v>952.87789685416351</v>
      </c>
      <c r="V319" s="127">
        <f t="shared" si="88"/>
        <v>3092</v>
      </c>
      <c r="W319" s="19">
        <f t="shared" si="92"/>
        <v>1861</v>
      </c>
      <c r="X319" s="19">
        <v>0</v>
      </c>
      <c r="Y319" s="128">
        <f>IFERROR(VLOOKUP(D319,'Monthly Deduction'!$M$2:$N$64,2,0),0)</f>
        <v>0</v>
      </c>
      <c r="Z319" s="128">
        <v>0</v>
      </c>
      <c r="AA319" s="126">
        <f>IFERROR(VLOOKUP(D319,'Monthly Deduction'!A:B,2,0),0)</f>
        <v>0</v>
      </c>
      <c r="AB319" s="129">
        <f t="shared" si="79"/>
        <v>1231</v>
      </c>
      <c r="AC319" s="130">
        <f>AB319</f>
        <v>1231</v>
      </c>
      <c r="AD319" s="35">
        <f t="shared" si="89"/>
        <v>0</v>
      </c>
      <c r="AE319" s="166" t="str">
        <f t="shared" si="90"/>
        <v>Yes</v>
      </c>
      <c r="AF319" s="127"/>
      <c r="AG319" s="127">
        <v>0</v>
      </c>
      <c r="AH319" s="120" t="s">
        <v>1653</v>
      </c>
      <c r="AI319" s="238">
        <v>0</v>
      </c>
      <c r="AJ319" s="132"/>
      <c r="AK319" s="151">
        <v>409.90000000000003</v>
      </c>
      <c r="AL319" s="154">
        <f t="shared" si="80"/>
        <v>0</v>
      </c>
      <c r="AM319" s="155"/>
      <c r="AN319" s="19">
        <f t="shared" si="81"/>
        <v>1861</v>
      </c>
      <c r="AO319" s="118">
        <f>SUMIF('MPG Payment '!E:E,'Shayak Income '!D319,'MPG Payment '!AJ:AJ)</f>
        <v>0</v>
      </c>
      <c r="AP319" s="19">
        <f t="shared" si="82"/>
        <v>1861</v>
      </c>
      <c r="AQ319" s="119">
        <f t="shared" si="91"/>
        <v>1861</v>
      </c>
      <c r="AR319" s="91" t="s">
        <v>1168</v>
      </c>
      <c r="AS319" s="91">
        <f t="shared" si="83"/>
        <v>6400</v>
      </c>
      <c r="AT319" s="118"/>
      <c r="AU319" s="118"/>
      <c r="AV319" s="118"/>
    </row>
    <row r="320" spans="1:48" s="20" customFormat="1" x14ac:dyDescent="0.25">
      <c r="A320" s="17">
        <f>IFERROR(VLOOKUP(D320,'Monthly Deduction'!$I$3:$J$957,2,0),0)</f>
        <v>64627.038687220876</v>
      </c>
      <c r="B320" s="17">
        <f>IFERROR(VLOOKUP(D320,'Monthly Deduction'!$E$3:$F$957,2,0),0)</f>
        <v>12800</v>
      </c>
      <c r="C320" s="17">
        <f t="shared" si="84"/>
        <v>77427.038687220876</v>
      </c>
      <c r="D320" s="41">
        <v>10110097</v>
      </c>
      <c r="E320" s="122" t="str">
        <f>VLOOKUP(D320,'MPG Payment '!$E$3:$G$498218,2,0)</f>
        <v>GOMUKH BACHOTA</v>
      </c>
      <c r="F320" s="146">
        <f>IFERROR(_xlfn.XLOOKUP(D320,'Monthly Deduction'!$I$3:$I$957,'Monthly Deduction'!$H$3:$H$957),0)</f>
        <v>0</v>
      </c>
      <c r="G320" s="123" t="str">
        <f>VLOOKUP(D320,'MPG Payment '!$E$3:$G$334579,3,0)</f>
        <v>MPG</v>
      </c>
      <c r="H320" s="124" t="str">
        <f>VLOOKUP(D320,'MPG Payment '!$E$3:$H$334579,4,0)</f>
        <v>Direct</v>
      </c>
      <c r="I320" s="88">
        <f>INDEX('MPG Payment '!$C:$C,MATCH('Shayak Income '!D320,'MPG Payment '!E:E,0))</f>
        <v>1054</v>
      </c>
      <c r="J320" s="88" t="str">
        <f>INDEX('MPG Payment '!$D:$D,MATCH('Shayak Income '!D320,'MPG Payment '!E:E,0))</f>
        <v xml:space="preserve">Alauli </v>
      </c>
      <c r="K320" s="125" t="s">
        <v>1322</v>
      </c>
      <c r="L320" s="125">
        <v>45652</v>
      </c>
      <c r="M320" s="126">
        <f>SUMIF('MPG Payment '!$E$3:$E$34579,'Shayak Income '!D320,'MPG Payment '!$I$3:$I$34579)</f>
        <v>380.96</v>
      </c>
      <c r="N320" s="126">
        <f>SUMIF('MPG Payment '!$E$3:$E$34579,'Shayak Income '!D320,'MPG Payment '!$J$3:$J$34579)</f>
        <v>17479.354464366403</v>
      </c>
      <c r="O320" s="126">
        <f t="shared" si="85"/>
        <v>285.71999999999997</v>
      </c>
      <c r="P320" s="126">
        <f t="shared" si="86"/>
        <v>361.91199999999998</v>
      </c>
      <c r="Q320" s="126">
        <f>SUMIF('MPG Payment '!$E$3:$E$34579,'Shayak Income '!D320,'MPG Payment '!$S$3:$S$34579)</f>
        <v>109.64482787070001</v>
      </c>
      <c r="R320" s="126">
        <f t="shared" si="76"/>
        <v>524.38063393099208</v>
      </c>
      <c r="S320" s="126">
        <f t="shared" si="77"/>
        <v>162.4686339309921</v>
      </c>
      <c r="T320" s="126">
        <f t="shared" si="87"/>
        <v>38.095999999999997</v>
      </c>
      <c r="U320" s="127">
        <f>(((IF(K320="New",0,SUMIF('MPG Payment '!$E$3:$E$34579,'Shayak Income '!D320,'MPG Payment '!$AC$3:$AC$34579))))+0)+-1505</f>
        <v>719.44811614709215</v>
      </c>
      <c r="V320" s="127">
        <f t="shared" si="88"/>
        <v>0</v>
      </c>
      <c r="W320" s="19">
        <v>0</v>
      </c>
      <c r="X320" s="19">
        <v>0</v>
      </c>
      <c r="Y320" s="128">
        <f>IFERROR(VLOOKUP(D320,'Monthly Deduction'!$M$2:$N$64,2,0),0)</f>
        <v>0</v>
      </c>
      <c r="Z320" s="128">
        <v>0</v>
      </c>
      <c r="AA320" s="126">
        <v>0</v>
      </c>
      <c r="AB320" s="129">
        <f t="shared" si="79"/>
        <v>0</v>
      </c>
      <c r="AC320" s="130">
        <v>0</v>
      </c>
      <c r="AD320" s="35">
        <f t="shared" si="89"/>
        <v>0</v>
      </c>
      <c r="AE320" s="166" t="str">
        <f t="shared" si="90"/>
        <v>Release</v>
      </c>
      <c r="AF320" s="127"/>
      <c r="AG320" s="18">
        <v>0</v>
      </c>
      <c r="AH320" s="120"/>
      <c r="AI320" s="238">
        <v>0</v>
      </c>
      <c r="AJ320" s="132"/>
      <c r="AK320" s="151">
        <v>61.300000000000004</v>
      </c>
      <c r="AL320" s="154">
        <f t="shared" si="80"/>
        <v>0</v>
      </c>
      <c r="AM320" s="155"/>
      <c r="AN320" s="19">
        <f t="shared" si="81"/>
        <v>1861</v>
      </c>
      <c r="AO320" s="118">
        <f>SUMIF('MPG Payment '!E:E,'Shayak Income '!D320,'MPG Payment '!AJ:AJ)</f>
        <v>500</v>
      </c>
      <c r="AP320" s="19">
        <f t="shared" si="82"/>
        <v>0</v>
      </c>
      <c r="AQ320" s="119">
        <f t="shared" si="91"/>
        <v>500</v>
      </c>
      <c r="AR320" s="91" t="s">
        <v>1168</v>
      </c>
      <c r="AS320" s="91">
        <f t="shared" si="83"/>
        <v>12800</v>
      </c>
      <c r="AT320" s="118"/>
      <c r="AU320" s="118"/>
      <c r="AV320" s="118"/>
    </row>
    <row r="321" spans="1:48" s="20" customFormat="1" x14ac:dyDescent="0.25">
      <c r="A321" s="17">
        <f>IFERROR(VLOOKUP(D321,'Monthly Deduction'!$I$3:$J$957,2,0),0)</f>
        <v>71994</v>
      </c>
      <c r="B321" s="17">
        <f>IFERROR(VLOOKUP(D321,'Monthly Deduction'!$E$3:$F$957,2,0),0)</f>
        <v>12800</v>
      </c>
      <c r="C321" s="17">
        <f t="shared" si="84"/>
        <v>84794</v>
      </c>
      <c r="D321" s="41">
        <v>10110098</v>
      </c>
      <c r="E321" s="122" t="str">
        <f>VLOOKUP(D321,'MPG Payment '!$E$3:$G$498218,2,0)</f>
        <v>GOMUKH CHATAR</v>
      </c>
      <c r="F321" s="146">
        <f>IFERROR(_xlfn.XLOOKUP(D321,'Monthly Deduction'!$I$3:$I$957,'Monthly Deduction'!$H$3:$H$957),0)</f>
        <v>0</v>
      </c>
      <c r="G321" s="123" t="str">
        <f>VLOOKUP(D321,'MPG Payment '!$E$3:$G$334579,3,0)</f>
        <v>MPG</v>
      </c>
      <c r="H321" s="124" t="str">
        <f>VLOOKUP(D321,'MPG Payment '!$E$3:$H$334579,4,0)</f>
        <v>Direct</v>
      </c>
      <c r="I321" s="88">
        <f>INDEX('MPG Payment '!$C:$C,MATCH('Shayak Income '!D321,'MPG Payment '!E:E,0))</f>
        <v>1054</v>
      </c>
      <c r="J321" s="88" t="str">
        <f>INDEX('MPG Payment '!$D:$D,MATCH('Shayak Income '!D321,'MPG Payment '!E:E,0))</f>
        <v xml:space="preserve">Alauli </v>
      </c>
      <c r="K321" s="125" t="s">
        <v>1322</v>
      </c>
      <c r="L321" s="125">
        <v>45653</v>
      </c>
      <c r="M321" s="126">
        <f>SUMIF('MPG Payment '!$E$3:$E$34579,'Shayak Income '!D321,'MPG Payment '!$I$3:$I$34579)</f>
        <v>668.98</v>
      </c>
      <c r="N321" s="126">
        <f>SUMIF('MPG Payment '!$E$3:$E$34579,'Shayak Income '!D321,'MPG Payment '!$J$3:$J$34579)</f>
        <v>27919.236935658002</v>
      </c>
      <c r="O321" s="126">
        <f t="shared" si="85"/>
        <v>501.73500000000001</v>
      </c>
      <c r="P321" s="126">
        <f t="shared" si="86"/>
        <v>635.53099999999995</v>
      </c>
      <c r="Q321" s="126">
        <f>SUMIF('MPG Payment '!$E$3:$E$34579,'Shayak Income '!D321,'MPG Payment '!$S$3:$S$34579)</f>
        <v>0</v>
      </c>
      <c r="R321" s="126">
        <f t="shared" si="76"/>
        <v>837.57710806974001</v>
      </c>
      <c r="S321" s="126">
        <f t="shared" si="77"/>
        <v>202.04610806974006</v>
      </c>
      <c r="T321" s="126">
        <f t="shared" si="87"/>
        <v>66.89800000000001</v>
      </c>
      <c r="U321" s="127">
        <f>(((IF(K321="New",0,SUMIF('MPG Payment '!$E$3:$E$34579,'Shayak Income '!D321,'MPG Payment '!$AC$3:$AC$34579))))+0)+-708</f>
        <v>1070.3546470817223</v>
      </c>
      <c r="V321" s="127">
        <f t="shared" si="88"/>
        <v>0</v>
      </c>
      <c r="W321" s="19">
        <v>0</v>
      </c>
      <c r="X321" s="19">
        <v>0</v>
      </c>
      <c r="Y321" s="128">
        <f>IFERROR(VLOOKUP(D321,'Monthly Deduction'!$M$2:$N$64,2,0),0)</f>
        <v>0</v>
      </c>
      <c r="Z321" s="128">
        <v>0</v>
      </c>
      <c r="AA321" s="126">
        <v>0</v>
      </c>
      <c r="AB321" s="129">
        <f t="shared" si="79"/>
        <v>0</v>
      </c>
      <c r="AC321" s="130">
        <v>0</v>
      </c>
      <c r="AD321" s="35">
        <f t="shared" si="89"/>
        <v>0</v>
      </c>
      <c r="AE321" s="166" t="str">
        <f t="shared" si="90"/>
        <v>Release</v>
      </c>
      <c r="AF321" s="127"/>
      <c r="AG321" s="18">
        <v>0</v>
      </c>
      <c r="AH321" s="120"/>
      <c r="AI321" s="238">
        <v>0</v>
      </c>
      <c r="AJ321" s="132"/>
      <c r="AK321" s="151">
        <v>235.5</v>
      </c>
      <c r="AL321" s="154">
        <f t="shared" si="80"/>
        <v>0</v>
      </c>
      <c r="AM321" s="155"/>
      <c r="AN321" s="19">
        <f t="shared" si="81"/>
        <v>1861</v>
      </c>
      <c r="AO321" s="118">
        <f>SUMIF('MPG Payment '!E:E,'Shayak Income '!D321,'MPG Payment '!AJ:AJ)</f>
        <v>500</v>
      </c>
      <c r="AP321" s="19">
        <f t="shared" si="82"/>
        <v>0</v>
      </c>
      <c r="AQ321" s="119">
        <f t="shared" si="91"/>
        <v>500</v>
      </c>
      <c r="AR321" s="91" t="s">
        <v>65</v>
      </c>
      <c r="AS321" s="91">
        <f t="shared" si="83"/>
        <v>12800</v>
      </c>
      <c r="AT321" s="118"/>
      <c r="AU321" s="118"/>
      <c r="AV321" s="118"/>
    </row>
    <row r="322" spans="1:48" s="20" customFormat="1" x14ac:dyDescent="0.25">
      <c r="A322" s="17">
        <f>IFERROR(VLOOKUP(D322,'Monthly Deduction'!$I$3:$J$957,2,0),0)</f>
        <v>0</v>
      </c>
      <c r="B322" s="17">
        <f>IFERROR(VLOOKUP(D322,'Monthly Deduction'!$E$3:$F$957,2,0),0)</f>
        <v>0</v>
      </c>
      <c r="C322" s="17">
        <f t="shared" si="84"/>
        <v>0</v>
      </c>
      <c r="D322" s="41">
        <v>10110100</v>
      </c>
      <c r="E322" s="122" t="str">
        <f>VLOOKUP(D322,'MPG Payment '!$E$3:$G$498218,2,0)</f>
        <v>GOMUKH BATHNAMA</v>
      </c>
      <c r="F322" s="146">
        <f>IFERROR(_xlfn.XLOOKUP(D322,'Monthly Deduction'!$I$3:$I$957,'Monthly Deduction'!$H$3:$H$957),0)</f>
        <v>0</v>
      </c>
      <c r="G322" s="123" t="str">
        <f>VLOOKUP(D322,'MPG Payment '!$E$3:$G$334579,3,0)</f>
        <v>MPG</v>
      </c>
      <c r="H322" s="124" t="str">
        <f>VLOOKUP(D322,'MPG Payment '!$E$3:$H$334579,4,0)</f>
        <v>Direct</v>
      </c>
      <c r="I322" s="88">
        <f>INDEX('MPG Payment '!$C:$C,MATCH('Shayak Income '!D322,'MPG Payment '!E:E,0))</f>
        <v>1054</v>
      </c>
      <c r="J322" s="88" t="str">
        <f>INDEX('MPG Payment '!$D:$D,MATCH('Shayak Income '!D322,'MPG Payment '!E:E,0))</f>
        <v xml:space="preserve">Alauli </v>
      </c>
      <c r="K322" s="125" t="s">
        <v>1322</v>
      </c>
      <c r="L322" s="125">
        <v>45653</v>
      </c>
      <c r="M322" s="126">
        <f>SUMIF('MPG Payment '!$E$3:$E$34579,'Shayak Income '!D322,'MPG Payment '!$I$3:$I$34579)</f>
        <v>14419.54</v>
      </c>
      <c r="N322" s="126">
        <f>SUMIF('MPG Payment '!$E$3:$E$34579,'Shayak Income '!D322,'MPG Payment '!$J$3:$J$34579)</f>
        <v>584206.96828884399</v>
      </c>
      <c r="O322" s="126">
        <f t="shared" si="85"/>
        <v>10814.655000000001</v>
      </c>
      <c r="P322" s="126">
        <f t="shared" si="86"/>
        <v>13698.563</v>
      </c>
      <c r="Q322" s="126">
        <f>SUMIF('MPG Payment '!$E$3:$E$34579,'Shayak Income '!D322,'MPG Payment '!$S$3:$S$34579)</f>
        <v>460.42844522400003</v>
      </c>
      <c r="R322" s="126">
        <f t="shared" si="76"/>
        <v>17526.209048665318</v>
      </c>
      <c r="S322" s="126">
        <f t="shared" si="77"/>
        <v>3827.6460486653177</v>
      </c>
      <c r="T322" s="126">
        <f t="shared" si="87"/>
        <v>1441.9540000000002</v>
      </c>
      <c r="U322" s="127">
        <f>(((IF(K322="New",0,SUMIF('MPG Payment '!$E$3:$E$34579,'Shayak Income '!D322,'MPG Payment '!$AC$3:$AC$34579))))+0)+0</f>
        <v>0</v>
      </c>
      <c r="V322" s="127">
        <f t="shared" si="88"/>
        <v>23532</v>
      </c>
      <c r="W322" s="19">
        <f t="shared" si="92"/>
        <v>0</v>
      </c>
      <c r="X322" s="19">
        <f t="shared" si="78"/>
        <v>0</v>
      </c>
      <c r="Y322" s="128">
        <f>IFERROR(VLOOKUP(D322,'Monthly Deduction'!$M$2:$N$64,2,0),0)</f>
        <v>0</v>
      </c>
      <c r="Z322" s="128">
        <v>0</v>
      </c>
      <c r="AA322" s="126">
        <f>IFERROR(VLOOKUP(D322,'Monthly Deduction'!A:B,2,0),0)</f>
        <v>0</v>
      </c>
      <c r="AB322" s="129">
        <f t="shared" si="79"/>
        <v>23532</v>
      </c>
      <c r="AC322" s="130">
        <v>0</v>
      </c>
      <c r="AD322" s="35">
        <f t="shared" si="89"/>
        <v>23532</v>
      </c>
      <c r="AE322" s="166" t="str">
        <f t="shared" si="90"/>
        <v>Release</v>
      </c>
      <c r="AF322" s="127"/>
      <c r="AG322" s="18">
        <v>0</v>
      </c>
      <c r="AH322" s="120"/>
      <c r="AI322" s="238">
        <v>0</v>
      </c>
      <c r="AJ322" s="132"/>
      <c r="AK322" s="151">
        <v>4095</v>
      </c>
      <c r="AL322" s="154">
        <f t="shared" si="80"/>
        <v>0</v>
      </c>
      <c r="AM322" s="155"/>
      <c r="AN322" s="19">
        <f t="shared" si="81"/>
        <v>0</v>
      </c>
      <c r="AO322" s="118">
        <f>SUMIF('MPG Payment '!E:E,'Shayak Income '!D322,'MPG Payment '!AJ:AJ)</f>
        <v>0</v>
      </c>
      <c r="AP322" s="19">
        <f t="shared" si="82"/>
        <v>0</v>
      </c>
      <c r="AQ322" s="119">
        <f t="shared" si="91"/>
        <v>0</v>
      </c>
      <c r="AR322" s="91" t="s">
        <v>1168</v>
      </c>
      <c r="AS322" s="91">
        <f t="shared" si="83"/>
        <v>0</v>
      </c>
      <c r="AT322" s="118"/>
      <c r="AU322" s="118"/>
      <c r="AV322" s="118"/>
    </row>
    <row r="323" spans="1:48" s="20" customFormat="1" x14ac:dyDescent="0.25">
      <c r="A323" s="17">
        <f>IFERROR(VLOOKUP(D323,'Monthly Deduction'!$I$3:$J$957,2,0),0)</f>
        <v>64355.002</v>
      </c>
      <c r="B323" s="17">
        <f>IFERROR(VLOOKUP(D323,'Monthly Deduction'!$E$3:$F$957,2,0),0)</f>
        <v>12800</v>
      </c>
      <c r="C323" s="17">
        <f t="shared" si="84"/>
        <v>77155.002000000008</v>
      </c>
      <c r="D323" s="41">
        <v>10110101</v>
      </c>
      <c r="E323" s="122" t="str">
        <f>VLOOKUP(D323,'MPG Payment '!$E$3:$G$498218,2,0)</f>
        <v>GOMUKH TILAK NAGAR</v>
      </c>
      <c r="F323" s="146">
        <f>IFERROR(_xlfn.XLOOKUP(D323,'Monthly Deduction'!$I$3:$I$957,'Monthly Deduction'!$H$3:$H$957),0)</f>
        <v>0</v>
      </c>
      <c r="G323" s="123" t="str">
        <f>VLOOKUP(D323,'MPG Payment '!$E$3:$G$334579,3,0)</f>
        <v>MPG</v>
      </c>
      <c r="H323" s="124" t="str">
        <f>VLOOKUP(D323,'MPG Payment '!$E$3:$H$334579,4,0)</f>
        <v>Direct</v>
      </c>
      <c r="I323" s="88">
        <f>INDEX('MPG Payment '!$C:$C,MATCH('Shayak Income '!D323,'MPG Payment '!E:E,0))</f>
        <v>1054</v>
      </c>
      <c r="J323" s="88" t="str">
        <f>INDEX('MPG Payment '!$D:$D,MATCH('Shayak Income '!D323,'MPG Payment '!E:E,0))</f>
        <v xml:space="preserve">Alauli </v>
      </c>
      <c r="K323" s="125" t="s">
        <v>1322</v>
      </c>
      <c r="L323" s="125">
        <v>45672</v>
      </c>
      <c r="M323" s="126">
        <f>SUMIF('MPG Payment '!$E$3:$E$34579,'Shayak Income '!D323,'MPG Payment '!$I$3:$I$34579)</f>
        <v>939.21999999999991</v>
      </c>
      <c r="N323" s="126">
        <f>SUMIF('MPG Payment '!$E$3:$E$34579,'Shayak Income '!D323,'MPG Payment '!$J$3:$J$34579)</f>
        <v>39401.939591075497</v>
      </c>
      <c r="O323" s="126">
        <f t="shared" si="85"/>
        <v>704.41499999999996</v>
      </c>
      <c r="P323" s="126">
        <f t="shared" si="86"/>
        <v>892.2589999999999</v>
      </c>
      <c r="Q323" s="126">
        <f>SUMIF('MPG Payment '!$E$3:$E$34579,'Shayak Income '!D323,'MPG Payment '!$S$3:$S$34579)</f>
        <v>918.53957037162002</v>
      </c>
      <c r="R323" s="126">
        <f t="shared" si="76"/>
        <v>1182.058187732265</v>
      </c>
      <c r="S323" s="126">
        <f t="shared" si="77"/>
        <v>289.79918773226507</v>
      </c>
      <c r="T323" s="126">
        <f t="shared" si="87"/>
        <v>93.921999999999997</v>
      </c>
      <c r="U323" s="127">
        <f>(((IF(K323="New",0,SUMIF('MPG Payment '!$E$3:$E$34579,'Shayak Income '!D323,'MPG Payment '!$AC$3:$AC$34579))))+0)+0</f>
        <v>1564.7281774346786</v>
      </c>
      <c r="V323" s="127">
        <f t="shared" si="88"/>
        <v>857</v>
      </c>
      <c r="W323" s="19">
        <v>857</v>
      </c>
      <c r="X323" s="19">
        <v>0</v>
      </c>
      <c r="Y323" s="128">
        <f>IFERROR(VLOOKUP(D323,'Monthly Deduction'!$M$2:$N$64,2,0),0)</f>
        <v>0</v>
      </c>
      <c r="Z323" s="128">
        <v>0</v>
      </c>
      <c r="AA323" s="126">
        <f>IFERROR(VLOOKUP(D323,'Monthly Deduction'!A:B,2,0),0)</f>
        <v>0</v>
      </c>
      <c r="AB323" s="129">
        <f t="shared" si="79"/>
        <v>0</v>
      </c>
      <c r="AC323" s="130">
        <v>0</v>
      </c>
      <c r="AD323" s="35">
        <f t="shared" si="89"/>
        <v>0</v>
      </c>
      <c r="AE323" s="166" t="str">
        <f t="shared" si="90"/>
        <v>Release</v>
      </c>
      <c r="AF323" s="127"/>
      <c r="AG323" s="18">
        <v>0</v>
      </c>
      <c r="AH323" s="120"/>
      <c r="AI323" s="238">
        <v>0</v>
      </c>
      <c r="AJ323" s="132"/>
      <c r="AK323" s="151">
        <v>190.09999999999997</v>
      </c>
      <c r="AL323" s="154">
        <f t="shared" si="80"/>
        <v>0</v>
      </c>
      <c r="AM323" s="155"/>
      <c r="AN323" s="19">
        <f t="shared" si="81"/>
        <v>1861</v>
      </c>
      <c r="AO323" s="118">
        <f>SUMIF('MPG Payment '!E:E,'Shayak Income '!D323,'MPG Payment '!AJ:AJ)</f>
        <v>0</v>
      </c>
      <c r="AP323" s="19">
        <f t="shared" si="82"/>
        <v>857</v>
      </c>
      <c r="AQ323" s="119">
        <f t="shared" si="91"/>
        <v>857</v>
      </c>
      <c r="AR323" s="91"/>
      <c r="AS323" s="91">
        <f t="shared" si="83"/>
        <v>12800</v>
      </c>
      <c r="AT323" s="118"/>
      <c r="AU323" s="118"/>
      <c r="AV323" s="118"/>
    </row>
    <row r="324" spans="1:48" s="20" customFormat="1" x14ac:dyDescent="0.25">
      <c r="A324" s="17">
        <f>IFERROR(VLOOKUP(D324,'Monthly Deduction'!$I$3:$J$957,2,0),0)</f>
        <v>67801.558569797548</v>
      </c>
      <c r="B324" s="17">
        <f>IFERROR(VLOOKUP(D324,'Monthly Deduction'!$E$3:$F$957,2,0),0)</f>
        <v>9600</v>
      </c>
      <c r="C324" s="17">
        <f t="shared" si="84"/>
        <v>77401.558569797548</v>
      </c>
      <c r="D324" s="41">
        <v>10110105</v>
      </c>
      <c r="E324" s="122" t="str">
        <f>VLOOKUP(D324,'MPG Payment '!$E$3:$G$498218,2,0)</f>
        <v>Gomukh Thatha Purvi</v>
      </c>
      <c r="F324" s="146">
        <f>IFERROR(_xlfn.XLOOKUP(D324,'Monthly Deduction'!$I$3:$I$957,'Monthly Deduction'!$H$3:$H$957),0)</f>
        <v>0</v>
      </c>
      <c r="G324" s="123" t="str">
        <f>VLOOKUP(D324,'MPG Payment '!$E$3:$G$334579,3,0)</f>
        <v>MPG</v>
      </c>
      <c r="H324" s="124" t="str">
        <f>VLOOKUP(D324,'MPG Payment '!$E$3:$H$334579,4,0)</f>
        <v>Direct</v>
      </c>
      <c r="I324" s="88">
        <f>INDEX('MPG Payment '!$C:$C,MATCH('Shayak Income '!D324,'MPG Payment '!E:E,0))</f>
        <v>1011</v>
      </c>
      <c r="J324" s="88" t="str">
        <f>INDEX('MPG Payment '!$D:$D,MATCH('Shayak Income '!D324,'MPG Payment '!E:E,0))</f>
        <v>Sahibpur Kamal</v>
      </c>
      <c r="K324" s="125" t="s">
        <v>1322</v>
      </c>
      <c r="L324" s="125">
        <v>45700</v>
      </c>
      <c r="M324" s="126">
        <f>SUMIF('MPG Payment '!$E$3:$E$34579,'Shayak Income '!D324,'MPG Payment '!$I$3:$I$34579)</f>
        <v>1458</v>
      </c>
      <c r="N324" s="126">
        <f>SUMIF('MPG Payment '!$E$3:$E$34579,'Shayak Income '!D324,'MPG Payment '!$J$3:$J$34579)</f>
        <v>52670.012808961008</v>
      </c>
      <c r="O324" s="126">
        <f t="shared" si="85"/>
        <v>1093.5</v>
      </c>
      <c r="P324" s="126">
        <f t="shared" si="86"/>
        <v>1385.1</v>
      </c>
      <c r="Q324" s="126">
        <f>SUMIF('MPG Payment '!$E$3:$E$34579,'Shayak Income '!D324,'MPG Payment '!$S$3:$S$34579)</f>
        <v>0</v>
      </c>
      <c r="R324" s="126">
        <f t="shared" ref="R324:R387" si="94">+N324*3%</f>
        <v>1580.1003842688301</v>
      </c>
      <c r="S324" s="126">
        <f t="shared" ref="S324:S387" si="95">R324-P324</f>
        <v>195.0003842688302</v>
      </c>
      <c r="T324" s="126">
        <f t="shared" si="87"/>
        <v>145.80000000000001</v>
      </c>
      <c r="U324" s="127">
        <f>(((IF(K324="New",0,SUMIF('MPG Payment '!$E$3:$E$34579,'Shayak Income '!D324,'MPG Payment '!$AC$3:$AC$34579))))+0)+0</f>
        <v>969.03857700707522</v>
      </c>
      <c r="V324" s="127">
        <f t="shared" si="88"/>
        <v>1364</v>
      </c>
      <c r="W324" s="19">
        <v>1364</v>
      </c>
      <c r="X324" s="19">
        <v>0</v>
      </c>
      <c r="Y324" s="128">
        <f>IFERROR(VLOOKUP(D324,'Monthly Deduction'!$M$2:$N$64,2,0),0)</f>
        <v>0</v>
      </c>
      <c r="Z324" s="128">
        <v>0</v>
      </c>
      <c r="AA324" s="126">
        <f>IFERROR(VLOOKUP(D324,'Monthly Deduction'!A:B,2,0),0)</f>
        <v>0</v>
      </c>
      <c r="AB324" s="129">
        <f t="shared" ref="AB324:AB387" si="96">ROUND(IFERROR(V324-SUM(W324:AA324),0),0)</f>
        <v>0</v>
      </c>
      <c r="AC324" s="130">
        <v>0</v>
      </c>
      <c r="AD324" s="35">
        <f t="shared" si="89"/>
        <v>0</v>
      </c>
      <c r="AE324" s="166" t="str">
        <f t="shared" si="90"/>
        <v>Release</v>
      </c>
      <c r="AF324" s="127"/>
      <c r="AG324" s="18">
        <v>0</v>
      </c>
      <c r="AH324" s="215"/>
      <c r="AI324" s="238">
        <v>0</v>
      </c>
      <c r="AJ324" s="132"/>
      <c r="AK324" s="151">
        <v>402.6</v>
      </c>
      <c r="AL324" s="154">
        <f t="shared" ref="AL324:AL387" si="97">COUNTIF(AK324:AK324,"=NA")</f>
        <v>0</v>
      </c>
      <c r="AM324" s="155"/>
      <c r="AN324" s="19">
        <f t="shared" ref="AN324:AN387" si="98">((MIN(IF(A324&gt;0,MAX(N324*2%,1861),0),A324)))+0</f>
        <v>1861</v>
      </c>
      <c r="AO324" s="118">
        <f>SUMIF('MPG Payment '!E:E,'Shayak Income '!D324,'MPG Payment '!AJ:AJ)</f>
        <v>0</v>
      </c>
      <c r="AP324" s="19">
        <f t="shared" ref="AP324:AP387" si="99">W324</f>
        <v>1364</v>
      </c>
      <c r="AQ324" s="119">
        <f t="shared" si="91"/>
        <v>1364</v>
      </c>
      <c r="AR324" s="91" t="s">
        <v>1168</v>
      </c>
      <c r="AS324" s="91">
        <f t="shared" ref="AS324:AS387" si="100">B324-X324</f>
        <v>9600</v>
      </c>
      <c r="AT324" s="118"/>
      <c r="AU324" s="118"/>
      <c r="AV324" s="118"/>
    </row>
    <row r="325" spans="1:48" s="20" customFormat="1" x14ac:dyDescent="0.25">
      <c r="A325" s="17">
        <f>IFERROR(VLOOKUP(D325,'Monthly Deduction'!$I$3:$J$957,2,0),0)</f>
        <v>0</v>
      </c>
      <c r="B325" s="17">
        <f>IFERROR(VLOOKUP(D325,'Monthly Deduction'!$E$3:$F$957,2,0),0)</f>
        <v>0</v>
      </c>
      <c r="C325" s="17">
        <f t="shared" ref="C325:C388" si="101">A325+B325</f>
        <v>0</v>
      </c>
      <c r="D325" s="41">
        <v>10110106</v>
      </c>
      <c r="E325" s="122" t="str">
        <f>VLOOKUP(D325,'MPG Payment '!$E$3:$G$498218,2,0)</f>
        <v>Gomukh Rahimpur Dakshin</v>
      </c>
      <c r="F325" s="146">
        <f>IFERROR(_xlfn.XLOOKUP(D325,'Monthly Deduction'!$I$3:$I$957,'Monthly Deduction'!$H$3:$H$957),0)</f>
        <v>0</v>
      </c>
      <c r="G325" s="123" t="str">
        <f>VLOOKUP(D325,'MPG Payment '!$E$3:$G$334579,3,0)</f>
        <v>MPG</v>
      </c>
      <c r="H325" s="124" t="str">
        <f>VLOOKUP(D325,'MPG Payment '!$E$3:$H$334579,4,0)</f>
        <v>Direct</v>
      </c>
      <c r="I325" s="88">
        <f>INDEX('MPG Payment '!$C:$C,MATCH('Shayak Income '!D325,'MPG Payment '!E:E,0))</f>
        <v>1011</v>
      </c>
      <c r="J325" s="88" t="str">
        <f>INDEX('MPG Payment '!$D:$D,MATCH('Shayak Income '!D325,'MPG Payment '!E:E,0))</f>
        <v>Sahibpur Kamal</v>
      </c>
      <c r="K325" s="125" t="s">
        <v>1322</v>
      </c>
      <c r="L325" s="125">
        <v>45692</v>
      </c>
      <c r="M325" s="126">
        <f>SUMIF('MPG Payment '!$E$3:$E$34579,'Shayak Income '!D325,'MPG Payment '!$I$3:$I$34579)</f>
        <v>25736.699999999997</v>
      </c>
      <c r="N325" s="126">
        <f>SUMIF('MPG Payment '!$E$3:$E$34579,'Shayak Income '!D325,'MPG Payment '!$J$3:$J$34579)</f>
        <v>997592.08215865935</v>
      </c>
      <c r="O325" s="126">
        <f t="shared" ref="O325:O388" si="102">+M325*0.75</f>
        <v>19302.524999999998</v>
      </c>
      <c r="P325" s="126">
        <f t="shared" ref="P325:P388" si="103">+M325*0.95</f>
        <v>24449.864999999994</v>
      </c>
      <c r="Q325" s="126">
        <f>SUMIF('MPG Payment '!$E$3:$E$34579,'Shayak Income '!D325,'MPG Payment '!$S$3:$S$34579)</f>
        <v>1255.86620124</v>
      </c>
      <c r="R325" s="126">
        <f t="shared" si="94"/>
        <v>29927.76246475978</v>
      </c>
      <c r="S325" s="126">
        <f t="shared" si="95"/>
        <v>5477.8974647597861</v>
      </c>
      <c r="T325" s="126">
        <f t="shared" ref="T325:T388" si="104">M325*0.1</f>
        <v>2573.67</v>
      </c>
      <c r="U325" s="127">
        <f>(((IF(K325="New",0,SUMIF('MPG Payment '!$E$3:$E$34579,'Shayak Income '!D325,'MPG Payment '!$AC$3:$AC$34579))))+0)+0</f>
        <v>0</v>
      </c>
      <c r="V325" s="127">
        <f t="shared" ref="V325:V388" si="105">ROUND((SUM(O325:Q325)-SUM(T325:U325)),0)</f>
        <v>42435</v>
      </c>
      <c r="W325" s="19">
        <f t="shared" ref="W325:W388" si="106">(((AN325-AO325)))+0</f>
        <v>0</v>
      </c>
      <c r="X325" s="19">
        <f t="shared" ref="X325:X386" si="107">((MIN(IF(B325&gt;0,MAX(N325*2%),0),B325)))+0</f>
        <v>0</v>
      </c>
      <c r="Y325" s="128">
        <f>IFERROR(VLOOKUP(D325,'Monthly Deduction'!$M$2:$N$64,2,0),0)</f>
        <v>0</v>
      </c>
      <c r="Z325" s="128">
        <v>0</v>
      </c>
      <c r="AA325" s="126">
        <f>IFERROR(VLOOKUP(D325,'Monthly Deduction'!A:B,2,0),0)</f>
        <v>0</v>
      </c>
      <c r="AB325" s="129">
        <f t="shared" si="96"/>
        <v>42435</v>
      </c>
      <c r="AC325" s="130">
        <v>0</v>
      </c>
      <c r="AD325" s="35">
        <f t="shared" ref="AD325:AD388" si="108">ROUND(AB325-AC325,0)</f>
        <v>42435</v>
      </c>
      <c r="AE325" s="166" t="str">
        <f t="shared" ref="AE325:AE388" si="109">IF(AC325&lt;&gt;0,"Yes","Release")</f>
        <v>Release</v>
      </c>
      <c r="AF325" s="127"/>
      <c r="AG325" s="18">
        <v>0</v>
      </c>
      <c r="AH325" s="120"/>
      <c r="AI325" s="238">
        <v>0</v>
      </c>
      <c r="AJ325" s="132"/>
      <c r="AK325" s="151">
        <v>7519.3000000000011</v>
      </c>
      <c r="AL325" s="154">
        <f t="shared" si="97"/>
        <v>0</v>
      </c>
      <c r="AM325" s="155"/>
      <c r="AN325" s="19">
        <f t="shared" si="98"/>
        <v>0</v>
      </c>
      <c r="AO325" s="118">
        <f>SUMIF('MPG Payment '!E:E,'Shayak Income '!D325,'MPG Payment '!AJ:AJ)</f>
        <v>0</v>
      </c>
      <c r="AP325" s="19">
        <f t="shared" si="99"/>
        <v>0</v>
      </c>
      <c r="AQ325" s="119">
        <f t="shared" ref="AQ325:AQ388" si="110">AO325+AP325</f>
        <v>0</v>
      </c>
      <c r="AR325" s="91" t="s">
        <v>1168</v>
      </c>
      <c r="AS325" s="91">
        <f t="shared" si="100"/>
        <v>0</v>
      </c>
      <c r="AT325" s="118"/>
      <c r="AU325" s="118"/>
      <c r="AV325" s="118"/>
    </row>
    <row r="326" spans="1:48" s="20" customFormat="1" x14ac:dyDescent="0.25">
      <c r="A326" s="17">
        <f>IFERROR(VLOOKUP(D326,'Monthly Deduction'!$I$3:$J$957,2,0),0)</f>
        <v>75406</v>
      </c>
      <c r="B326" s="17">
        <f>IFERROR(VLOOKUP(D326,'Monthly Deduction'!$E$3:$F$957,2,0),0)</f>
        <v>0</v>
      </c>
      <c r="C326" s="17">
        <f t="shared" si="101"/>
        <v>75406</v>
      </c>
      <c r="D326" s="41">
        <v>10110109</v>
      </c>
      <c r="E326" s="122" t="str">
        <f>VLOOKUP(D326,'MPG Payment '!$E$3:$G$498218,2,0)</f>
        <v>GOMUKH MORKAHI</v>
      </c>
      <c r="F326" s="146">
        <f>IFERROR(_xlfn.XLOOKUP(D326,'Monthly Deduction'!$I$3:$I$957,'Monthly Deduction'!$H$3:$H$957),0)</f>
        <v>0</v>
      </c>
      <c r="G326" s="123" t="str">
        <f>VLOOKUP(D326,'MPG Payment '!$E$3:$G$334579,3,0)</f>
        <v>MPG</v>
      </c>
      <c r="H326" s="124" t="str">
        <f>VLOOKUP(D326,'MPG Payment '!$E$3:$H$334579,4,0)</f>
        <v>Direct</v>
      </c>
      <c r="I326" s="88">
        <f>INDEX('MPG Payment '!$C:$C,MATCH('Shayak Income '!D326,'MPG Payment '!E:E,0))</f>
        <v>1054</v>
      </c>
      <c r="J326" s="88" t="str">
        <f>INDEX('MPG Payment '!$D:$D,MATCH('Shayak Income '!D326,'MPG Payment '!E:E,0))</f>
        <v xml:space="preserve">Alauli </v>
      </c>
      <c r="K326" s="125" t="s">
        <v>1322</v>
      </c>
      <c r="L326" s="125">
        <v>45702</v>
      </c>
      <c r="M326" s="126">
        <f>SUMIF('MPG Payment '!$E$3:$E$34579,'Shayak Income '!D326,'MPG Payment '!$I$3:$I$34579)</f>
        <v>1039.68</v>
      </c>
      <c r="N326" s="126">
        <f>SUMIF('MPG Payment '!$E$3:$E$34579,'Shayak Income '!D326,'MPG Payment '!$J$3:$J$34579)</f>
        <v>42598.099247457998</v>
      </c>
      <c r="O326" s="126">
        <f t="shared" si="102"/>
        <v>779.76</v>
      </c>
      <c r="P326" s="126">
        <f t="shared" si="103"/>
        <v>987.69600000000003</v>
      </c>
      <c r="Q326" s="126">
        <f>SUMIF('MPG Payment '!$E$3:$E$34579,'Shayak Income '!D326,'MPG Payment '!$S$3:$S$34579)</f>
        <v>190.62647332110004</v>
      </c>
      <c r="R326" s="126">
        <f t="shared" si="94"/>
        <v>1277.9429774237399</v>
      </c>
      <c r="S326" s="126">
        <f t="shared" si="95"/>
        <v>290.24697742373985</v>
      </c>
      <c r="T326" s="126">
        <f t="shared" si="104"/>
        <v>103.96800000000002</v>
      </c>
      <c r="U326" s="127">
        <f>(((IF(K326="New",0,SUMIF('MPG Payment '!$E$3:$E$34579,'Shayak Income '!D326,'MPG Payment '!$AC$3:$AC$34579))))+0)+0</f>
        <v>1444.1965618123093</v>
      </c>
      <c r="V326" s="127">
        <f t="shared" si="105"/>
        <v>410</v>
      </c>
      <c r="W326" s="19">
        <v>410</v>
      </c>
      <c r="X326" s="19">
        <v>0</v>
      </c>
      <c r="Y326" s="128">
        <f>IFERROR(VLOOKUP(D326,'Monthly Deduction'!$M$2:$N$64,2,0),0)</f>
        <v>0</v>
      </c>
      <c r="Z326" s="128">
        <v>0</v>
      </c>
      <c r="AA326" s="126">
        <f>IFERROR(VLOOKUP(D326,'Monthly Deduction'!A:B,2,0),0)</f>
        <v>0</v>
      </c>
      <c r="AB326" s="129">
        <f t="shared" si="96"/>
        <v>0</v>
      </c>
      <c r="AC326" s="130">
        <f>AB326</f>
        <v>0</v>
      </c>
      <c r="AD326" s="35">
        <f t="shared" si="108"/>
        <v>0</v>
      </c>
      <c r="AE326" s="166" t="str">
        <f t="shared" si="109"/>
        <v>Release</v>
      </c>
      <c r="AF326" s="127"/>
      <c r="AG326" s="18">
        <v>0</v>
      </c>
      <c r="AH326" s="120" t="s">
        <v>1646</v>
      </c>
      <c r="AI326" s="238">
        <v>5239</v>
      </c>
      <c r="AJ326" s="132"/>
      <c r="AK326" s="151">
        <v>354.90000000000003</v>
      </c>
      <c r="AL326" s="154">
        <f t="shared" si="97"/>
        <v>0</v>
      </c>
      <c r="AM326" s="155"/>
      <c r="AN326" s="19">
        <f t="shared" si="98"/>
        <v>1861</v>
      </c>
      <c r="AO326" s="118">
        <f>SUMIF('MPG Payment '!E:E,'Shayak Income '!D326,'MPG Payment '!AJ:AJ)</f>
        <v>0</v>
      </c>
      <c r="AP326" s="19">
        <f t="shared" si="99"/>
        <v>410</v>
      </c>
      <c r="AQ326" s="119">
        <f t="shared" si="110"/>
        <v>410</v>
      </c>
      <c r="AR326" s="91" t="s">
        <v>1168</v>
      </c>
      <c r="AS326" s="91">
        <f t="shared" si="100"/>
        <v>0</v>
      </c>
      <c r="AT326" s="118"/>
      <c r="AU326" s="118"/>
      <c r="AV326" s="118"/>
    </row>
    <row r="327" spans="1:48" s="20" customFormat="1" x14ac:dyDescent="0.25">
      <c r="A327" s="17">
        <f>IFERROR(VLOOKUP(D327,'Monthly Deduction'!$I$3:$J$957,2,0),0)</f>
        <v>67133</v>
      </c>
      <c r="B327" s="17">
        <f>IFERROR(VLOOKUP(D327,'Monthly Deduction'!$E$3:$F$957,2,0),0)</f>
        <v>10305.2229682096</v>
      </c>
      <c r="C327" s="17">
        <f t="shared" si="101"/>
        <v>77438.222968209593</v>
      </c>
      <c r="D327" s="41">
        <v>10110110</v>
      </c>
      <c r="E327" s="122" t="str">
        <f>VLOOKUP(D327,'MPG Payment '!$E$3:$G$498218,2,0)</f>
        <v>GOMUKH HANSPUR</v>
      </c>
      <c r="F327" s="146">
        <f>IFERROR(_xlfn.XLOOKUP(D327,'Monthly Deduction'!$I$3:$I$957,'Monthly Deduction'!$H$3:$H$957),0)</f>
        <v>0</v>
      </c>
      <c r="G327" s="123" t="str">
        <f>VLOOKUP(D327,'MPG Payment '!$E$3:$G$334579,3,0)</f>
        <v>MPG</v>
      </c>
      <c r="H327" s="124" t="str">
        <f>VLOOKUP(D327,'MPG Payment '!$E$3:$H$334579,4,0)</f>
        <v>Direct</v>
      </c>
      <c r="I327" s="88">
        <f>INDEX('MPG Payment '!$C:$C,MATCH('Shayak Income '!D327,'MPG Payment '!E:E,0))</f>
        <v>1055</v>
      </c>
      <c r="J327" s="88" t="str">
        <f>INDEX('MPG Payment '!$D:$D,MATCH('Shayak Income '!D327,'MPG Payment '!E:E,0))</f>
        <v>Matihani</v>
      </c>
      <c r="K327" s="125" t="s">
        <v>1322</v>
      </c>
      <c r="L327" s="125">
        <v>45745</v>
      </c>
      <c r="M327" s="126">
        <f>SUMIF('MPG Payment '!$E$3:$E$34579,'Shayak Income '!D327,'MPG Payment '!$I$3:$I$34579)</f>
        <v>598.90000000000009</v>
      </c>
      <c r="N327" s="126">
        <f>SUMIF('MPG Payment '!$E$3:$E$34579,'Shayak Income '!D327,'MPG Payment '!$J$3:$J$34579)</f>
        <v>27135.481137368501</v>
      </c>
      <c r="O327" s="126">
        <f t="shared" si="102"/>
        <v>449.17500000000007</v>
      </c>
      <c r="P327" s="126">
        <f t="shared" si="103"/>
        <v>568.95500000000004</v>
      </c>
      <c r="Q327" s="126">
        <f>SUMIF('MPG Payment '!$E$3:$E$34579,'Shayak Income '!D327,'MPG Payment '!$S$3:$S$34579)</f>
        <v>373.98431547892005</v>
      </c>
      <c r="R327" s="126">
        <f t="shared" si="94"/>
        <v>814.064434121055</v>
      </c>
      <c r="S327" s="126">
        <f t="shared" si="95"/>
        <v>245.10943412105496</v>
      </c>
      <c r="T327" s="126">
        <f t="shared" si="104"/>
        <v>59.890000000000015</v>
      </c>
      <c r="U327" s="127">
        <f>(((IF(K327="New",0,SUMIF('MPG Payment '!$E$3:$E$34579,'Shayak Income '!D327,'MPG Payment '!$AC$3:$AC$34579))))+0)+-657</f>
        <v>1332.348797517709</v>
      </c>
      <c r="V327" s="127">
        <f t="shared" si="105"/>
        <v>0</v>
      </c>
      <c r="W327" s="19">
        <v>0</v>
      </c>
      <c r="X327" s="19">
        <v>0</v>
      </c>
      <c r="Y327" s="128">
        <f>IFERROR(VLOOKUP(D327,'Monthly Deduction'!$M$2:$N$64,2,0),0)</f>
        <v>0</v>
      </c>
      <c r="Z327" s="128">
        <v>0</v>
      </c>
      <c r="AA327" s="126">
        <f>IFERROR(VLOOKUP(D327,'Monthly Deduction'!A:B,2,0),0)</f>
        <v>0</v>
      </c>
      <c r="AB327" s="129">
        <f t="shared" si="96"/>
        <v>0</v>
      </c>
      <c r="AC327" s="130">
        <v>0</v>
      </c>
      <c r="AD327" s="35">
        <f t="shared" si="108"/>
        <v>0</v>
      </c>
      <c r="AE327" s="166" t="str">
        <f t="shared" si="109"/>
        <v>Release</v>
      </c>
      <c r="AF327" s="127"/>
      <c r="AG327" s="18">
        <v>0</v>
      </c>
      <c r="AH327" s="120"/>
      <c r="AI327" s="238">
        <v>0</v>
      </c>
      <c r="AJ327" s="132"/>
      <c r="AK327" s="151">
        <v>106.3</v>
      </c>
      <c r="AL327" s="154">
        <f t="shared" si="97"/>
        <v>0</v>
      </c>
      <c r="AM327" s="155"/>
      <c r="AN327" s="19">
        <f t="shared" si="98"/>
        <v>1861</v>
      </c>
      <c r="AO327" s="118">
        <f>SUMIF('MPG Payment '!E:E,'Shayak Income '!D327,'MPG Payment '!AJ:AJ)</f>
        <v>500</v>
      </c>
      <c r="AP327" s="19">
        <f t="shared" si="99"/>
        <v>0</v>
      </c>
      <c r="AQ327" s="119">
        <f t="shared" si="110"/>
        <v>500</v>
      </c>
      <c r="AR327" s="91" t="s">
        <v>1168</v>
      </c>
      <c r="AS327" s="91">
        <f t="shared" si="100"/>
        <v>10305.2229682096</v>
      </c>
      <c r="AT327" s="118"/>
      <c r="AU327" s="118"/>
      <c r="AV327" s="118"/>
    </row>
    <row r="328" spans="1:48" s="20" customFormat="1" x14ac:dyDescent="0.25">
      <c r="A328" s="17">
        <f>IFERROR(VLOOKUP(D328,'Monthly Deduction'!$I$3:$J$957,2,0),0)</f>
        <v>64647.271935704208</v>
      </c>
      <c r="B328" s="17">
        <f>IFERROR(VLOOKUP(D328,'Monthly Deduction'!$E$3:$F$957,2,0),0)</f>
        <v>0</v>
      </c>
      <c r="C328" s="17">
        <f t="shared" si="101"/>
        <v>64647.271935704208</v>
      </c>
      <c r="D328" s="41">
        <v>10110111</v>
      </c>
      <c r="E328" s="122" t="str">
        <f>VLOOKUP(D328,'MPG Payment '!$E$3:$G$498218,2,0)</f>
        <v>GOMUKH NAYAGAON 2</v>
      </c>
      <c r="F328" s="146">
        <f>IFERROR(_xlfn.XLOOKUP(D328,'Monthly Deduction'!$I$3:$I$957,'Monthly Deduction'!$H$3:$H$957),0)</f>
        <v>0</v>
      </c>
      <c r="G328" s="123" t="str">
        <f>VLOOKUP(D328,'MPG Payment '!$E$3:$G$334579,3,0)</f>
        <v>MPG</v>
      </c>
      <c r="H328" s="124" t="str">
        <f>VLOOKUP(D328,'MPG Payment '!$E$3:$H$334579,4,0)</f>
        <v>Direct</v>
      </c>
      <c r="I328" s="88">
        <f>INDEX('MPG Payment '!$C:$C,MATCH('Shayak Income '!D328,'MPG Payment '!E:E,0))</f>
        <v>1055</v>
      </c>
      <c r="J328" s="88" t="str">
        <f>INDEX('MPG Payment '!$D:$D,MATCH('Shayak Income '!D328,'MPG Payment '!E:E,0))</f>
        <v>Matihani</v>
      </c>
      <c r="K328" s="125" t="s">
        <v>1322</v>
      </c>
      <c r="L328" s="125">
        <v>45716</v>
      </c>
      <c r="M328" s="126">
        <f>SUMIF('MPG Payment '!$E$3:$E$34579,'Shayak Income '!D328,'MPG Payment '!$I$3:$I$34579)</f>
        <v>857.09999999999991</v>
      </c>
      <c r="N328" s="126">
        <f>SUMIF('MPG Payment '!$E$3:$E$34579,'Shayak Income '!D328,'MPG Payment '!$J$3:$J$34579)</f>
        <v>47125.584056949992</v>
      </c>
      <c r="O328" s="126">
        <f t="shared" si="102"/>
        <v>642.82499999999993</v>
      </c>
      <c r="P328" s="126">
        <f t="shared" si="103"/>
        <v>814.24499999999989</v>
      </c>
      <c r="Q328" s="126">
        <f>SUMIF('MPG Payment '!$E$3:$E$34579,'Shayak Income '!D328,'MPG Payment '!$S$3:$S$34579)</f>
        <v>789.18474331636003</v>
      </c>
      <c r="R328" s="126">
        <f t="shared" si="94"/>
        <v>1413.7675217084998</v>
      </c>
      <c r="S328" s="126">
        <f t="shared" si="95"/>
        <v>599.52252170849988</v>
      </c>
      <c r="T328" s="126">
        <f t="shared" si="104"/>
        <v>85.71</v>
      </c>
      <c r="U328" s="127">
        <f>(((IF(K328="New",0,SUMIF('MPG Payment '!$E$3:$E$34579,'Shayak Income '!D328,'MPG Payment '!$AC$3:$AC$34579))))+0)+0</f>
        <v>2139.5724664162117</v>
      </c>
      <c r="V328" s="127">
        <f t="shared" si="105"/>
        <v>21</v>
      </c>
      <c r="W328" s="19">
        <v>21</v>
      </c>
      <c r="X328" s="19">
        <v>0</v>
      </c>
      <c r="Y328" s="128">
        <f>IFERROR(VLOOKUP(D328,'Monthly Deduction'!$M$2:$N$64,2,0),0)</f>
        <v>0</v>
      </c>
      <c r="Z328" s="128">
        <v>0</v>
      </c>
      <c r="AA328" s="126">
        <f>IFERROR(VLOOKUP(D328,'Monthly Deduction'!A:B,2,0),0)</f>
        <v>0</v>
      </c>
      <c r="AB328" s="129">
        <f t="shared" si="96"/>
        <v>0</v>
      </c>
      <c r="AC328" s="130">
        <v>0</v>
      </c>
      <c r="AD328" s="35">
        <f t="shared" si="108"/>
        <v>0</v>
      </c>
      <c r="AE328" s="166" t="str">
        <f t="shared" si="109"/>
        <v>Release</v>
      </c>
      <c r="AF328" s="127"/>
      <c r="AG328" s="18">
        <v>0</v>
      </c>
      <c r="AH328" s="132"/>
      <c r="AI328" s="238">
        <v>0</v>
      </c>
      <c r="AJ328" s="132"/>
      <c r="AK328" s="151">
        <v>177.1</v>
      </c>
      <c r="AL328" s="154">
        <f t="shared" si="97"/>
        <v>0</v>
      </c>
      <c r="AM328" s="155"/>
      <c r="AN328" s="19">
        <f t="shared" si="98"/>
        <v>1861</v>
      </c>
      <c r="AO328" s="118">
        <f>SUMIF('MPG Payment '!E:E,'Shayak Income '!D328,'MPG Payment '!AJ:AJ)</f>
        <v>0</v>
      </c>
      <c r="AP328" s="19">
        <f t="shared" si="99"/>
        <v>21</v>
      </c>
      <c r="AQ328" s="119">
        <f t="shared" si="110"/>
        <v>21</v>
      </c>
      <c r="AR328" s="91" t="s">
        <v>1168</v>
      </c>
      <c r="AS328" s="91">
        <f t="shared" si="100"/>
        <v>0</v>
      </c>
      <c r="AT328" s="118"/>
      <c r="AU328" s="118"/>
      <c r="AV328" s="118"/>
    </row>
    <row r="329" spans="1:48" s="20" customFormat="1" x14ac:dyDescent="0.25">
      <c r="A329" s="17">
        <f>IFERROR(VLOOKUP(D329,'Monthly Deduction'!$I$3:$J$957,2,0),0)</f>
        <v>77120.71160000001</v>
      </c>
      <c r="B329" s="17">
        <f>IFERROR(VLOOKUP(D329,'Monthly Deduction'!$E$3:$F$957,2,0),0)</f>
        <v>0</v>
      </c>
      <c r="C329" s="17">
        <f t="shared" si="101"/>
        <v>77120.71160000001</v>
      </c>
      <c r="D329" s="41">
        <v>10110114</v>
      </c>
      <c r="E329" s="122" t="str">
        <f>VLOOKUP(D329,'MPG Payment '!$E$3:$G$498218,2,0)</f>
        <v>GOMUKH LABHGAON</v>
      </c>
      <c r="F329" s="146">
        <f>IFERROR(_xlfn.XLOOKUP(D329,'Monthly Deduction'!$I$3:$I$957,'Monthly Deduction'!$H$3:$H$957),0)</f>
        <v>0</v>
      </c>
      <c r="G329" s="123" t="str">
        <f>VLOOKUP(D329,'MPG Payment '!$E$3:$G$334579,3,0)</f>
        <v>MPG</v>
      </c>
      <c r="H329" s="124" t="str">
        <f>VLOOKUP(D329,'MPG Payment '!$E$3:$H$334579,4,0)</f>
        <v>Direct</v>
      </c>
      <c r="I329" s="88">
        <f>INDEX('MPG Payment '!$C:$C,MATCH('Shayak Income '!D329,'MPG Payment '!E:E,0))</f>
        <v>1054</v>
      </c>
      <c r="J329" s="88" t="str">
        <f>INDEX('MPG Payment '!$D:$D,MATCH('Shayak Income '!D329,'MPG Payment '!E:E,0))</f>
        <v xml:space="preserve">Alauli </v>
      </c>
      <c r="K329" s="125" t="s">
        <v>1322</v>
      </c>
      <c r="L329" s="125">
        <v>45745</v>
      </c>
      <c r="M329" s="126">
        <f>SUMIF('MPG Payment '!$E$3:$E$34579,'Shayak Income '!D329,'MPG Payment '!$I$3:$I$34579)</f>
        <v>1978.1999999999998</v>
      </c>
      <c r="N329" s="126">
        <f>SUMIF('MPG Payment '!$E$3:$E$34579,'Shayak Income '!D329,'MPG Payment '!$J$3:$J$34579)</f>
        <v>73299.063617437991</v>
      </c>
      <c r="O329" s="126">
        <f t="shared" si="102"/>
        <v>1483.6499999999999</v>
      </c>
      <c r="P329" s="126">
        <f t="shared" si="103"/>
        <v>1879.2899999999997</v>
      </c>
      <c r="Q329" s="126">
        <f>SUMIF('MPG Payment '!$E$3:$E$34579,'Shayak Income '!D329,'MPG Payment '!$S$3:$S$34579)</f>
        <v>0</v>
      </c>
      <c r="R329" s="126">
        <f t="shared" si="94"/>
        <v>2198.9719085231395</v>
      </c>
      <c r="S329" s="126">
        <f t="shared" si="95"/>
        <v>319.68190852313978</v>
      </c>
      <c r="T329" s="126">
        <f t="shared" si="104"/>
        <v>197.82</v>
      </c>
      <c r="U329" s="127">
        <f>(((IF(K329="New",0,SUMIF('MPG Payment '!$E$3:$E$34579,'Shayak Income '!D329,'MPG Payment '!$AC$3:$AC$34579))))+0)+0</f>
        <v>610.97463405222118</v>
      </c>
      <c r="V329" s="127">
        <f t="shared" si="105"/>
        <v>2554</v>
      </c>
      <c r="W329" s="19">
        <f t="shared" si="106"/>
        <v>1861</v>
      </c>
      <c r="X329" s="19">
        <v>0</v>
      </c>
      <c r="Y329" s="128">
        <f>IFERROR(VLOOKUP(D329,'Monthly Deduction'!$M$2:$N$64,2,0),0)</f>
        <v>0</v>
      </c>
      <c r="Z329" s="128">
        <v>0</v>
      </c>
      <c r="AA329" s="126">
        <f>IFERROR(VLOOKUP(D329,'Monthly Deduction'!A:B,2,0),0)</f>
        <v>0</v>
      </c>
      <c r="AB329" s="129">
        <f t="shared" si="96"/>
        <v>693</v>
      </c>
      <c r="AC329" s="130">
        <f t="shared" ref="AC329:AC330" si="111">AB329</f>
        <v>693</v>
      </c>
      <c r="AD329" s="35">
        <f t="shared" si="108"/>
        <v>0</v>
      </c>
      <c r="AE329" s="166" t="str">
        <f t="shared" si="109"/>
        <v>Yes</v>
      </c>
      <c r="AF329" s="127"/>
      <c r="AG329" s="18">
        <v>0</v>
      </c>
      <c r="AH329" s="120" t="s">
        <v>1646</v>
      </c>
      <c r="AI329" s="238">
        <v>3192</v>
      </c>
      <c r="AJ329" s="132"/>
      <c r="AK329" s="151">
        <v>348.20000000000005</v>
      </c>
      <c r="AL329" s="154">
        <f t="shared" si="97"/>
        <v>0</v>
      </c>
      <c r="AM329" s="155"/>
      <c r="AN329" s="19">
        <f t="shared" si="98"/>
        <v>1861</v>
      </c>
      <c r="AO329" s="118">
        <f>SUMIF('MPG Payment '!E:E,'Shayak Income '!D329,'MPG Payment '!AJ:AJ)</f>
        <v>0</v>
      </c>
      <c r="AP329" s="19">
        <f t="shared" si="99"/>
        <v>1861</v>
      </c>
      <c r="AQ329" s="119">
        <f t="shared" si="110"/>
        <v>1861</v>
      </c>
      <c r="AR329" s="91" t="s">
        <v>1168</v>
      </c>
      <c r="AS329" s="91">
        <f t="shared" si="100"/>
        <v>0</v>
      </c>
      <c r="AT329" s="118"/>
      <c r="AU329" s="118"/>
      <c r="AV329" s="118"/>
    </row>
    <row r="330" spans="1:48" s="20" customFormat="1" x14ac:dyDescent="0.25">
      <c r="A330" s="17">
        <f>IFERROR(VLOOKUP(D330,'Monthly Deduction'!$I$3:$J$957,2,0),0)</f>
        <v>67384.6059190776</v>
      </c>
      <c r="B330" s="17">
        <f>IFERROR(VLOOKUP(D330,'Monthly Deduction'!$E$3:$F$957,2,0),0)</f>
        <v>0</v>
      </c>
      <c r="C330" s="17">
        <f t="shared" si="101"/>
        <v>67384.6059190776</v>
      </c>
      <c r="D330" s="41">
        <v>10110116</v>
      </c>
      <c r="E330" s="122" t="str">
        <f>VLOOKUP(D330,'MPG Payment '!$E$3:$G$498218,2,0)</f>
        <v>GOMUKH CHANDPURA</v>
      </c>
      <c r="F330" s="146">
        <f>IFERROR(_xlfn.XLOOKUP(D330,'Monthly Deduction'!$I$3:$I$957,'Monthly Deduction'!$H$3:$H$957),0)</f>
        <v>0</v>
      </c>
      <c r="G330" s="123" t="str">
        <f>VLOOKUP(D330,'MPG Payment '!$E$3:$G$334579,3,0)</f>
        <v>MPG</v>
      </c>
      <c r="H330" s="124" t="str">
        <f>VLOOKUP(D330,'MPG Payment '!$E$3:$H$334579,4,0)</f>
        <v>Direct</v>
      </c>
      <c r="I330" s="88">
        <f>INDEX('MPG Payment '!$C:$C,MATCH('Shayak Income '!D330,'MPG Payment '!E:E,0))</f>
        <v>1054</v>
      </c>
      <c r="J330" s="88" t="str">
        <f>INDEX('MPG Payment '!$D:$D,MATCH('Shayak Income '!D330,'MPG Payment '!E:E,0))</f>
        <v xml:space="preserve">Alauli </v>
      </c>
      <c r="K330" s="125" t="s">
        <v>1322</v>
      </c>
      <c r="L330" s="125">
        <v>45745</v>
      </c>
      <c r="M330" s="126">
        <f>SUMIF('MPG Payment '!$E$3:$E$34579,'Shayak Income '!D330,'MPG Payment '!$I$3:$I$34579)</f>
        <v>2894.04</v>
      </c>
      <c r="N330" s="126">
        <f>SUMIF('MPG Payment '!$E$3:$E$34579,'Shayak Income '!D330,'MPG Payment '!$J$3:$J$34579)</f>
        <v>103888.677032511</v>
      </c>
      <c r="O330" s="126">
        <f t="shared" si="102"/>
        <v>2170.5299999999997</v>
      </c>
      <c r="P330" s="126">
        <f t="shared" si="103"/>
        <v>2749.3379999999997</v>
      </c>
      <c r="Q330" s="126">
        <f>SUMIF('MPG Payment '!$E$3:$E$34579,'Shayak Income '!D330,'MPG Payment '!$S$3:$S$34579)</f>
        <v>0</v>
      </c>
      <c r="R330" s="126">
        <f t="shared" si="94"/>
        <v>3116.6603109753296</v>
      </c>
      <c r="S330" s="126">
        <f t="shared" si="95"/>
        <v>367.32231097532986</v>
      </c>
      <c r="T330" s="126">
        <f t="shared" si="104"/>
        <v>289.404</v>
      </c>
      <c r="U330" s="127">
        <f>(((IF(K330="New",0,SUMIF('MPG Payment '!$E$3:$E$34579,'Shayak Income '!D330,'MPG Payment '!$AC$3:$AC$34579))))+0)+0</f>
        <v>30.420291921973792</v>
      </c>
      <c r="V330" s="127">
        <f t="shared" si="105"/>
        <v>4600</v>
      </c>
      <c r="W330" s="19">
        <f t="shared" si="106"/>
        <v>2077.7735406502202</v>
      </c>
      <c r="X330" s="19">
        <v>0</v>
      </c>
      <c r="Y330" s="128">
        <f>IFERROR(VLOOKUP(D330,'Monthly Deduction'!$M$2:$N$64,2,0),0)</f>
        <v>0</v>
      </c>
      <c r="Z330" s="128">
        <v>0</v>
      </c>
      <c r="AA330" s="126">
        <f>IFERROR(VLOOKUP(D330,'Monthly Deduction'!A:B,2,0),0)</f>
        <v>0</v>
      </c>
      <c r="AB330" s="129">
        <f t="shared" si="96"/>
        <v>2522</v>
      </c>
      <c r="AC330" s="130">
        <f t="shared" si="111"/>
        <v>2522</v>
      </c>
      <c r="AD330" s="35">
        <f t="shared" si="108"/>
        <v>0</v>
      </c>
      <c r="AE330" s="166" t="str">
        <f t="shared" si="109"/>
        <v>Yes</v>
      </c>
      <c r="AF330" s="127"/>
      <c r="AG330" s="18">
        <v>0</v>
      </c>
      <c r="AH330" s="120" t="s">
        <v>1646</v>
      </c>
      <c r="AI330" s="238">
        <v>188</v>
      </c>
      <c r="AJ330" s="132"/>
      <c r="AK330" s="151">
        <v>723.30000000000007</v>
      </c>
      <c r="AL330" s="154">
        <f t="shared" si="97"/>
        <v>0</v>
      </c>
      <c r="AM330" s="155"/>
      <c r="AN330" s="19">
        <f t="shared" si="98"/>
        <v>2077.7735406502202</v>
      </c>
      <c r="AO330" s="118">
        <f>SUMIF('MPG Payment '!E:E,'Shayak Income '!D330,'MPG Payment '!AJ:AJ)</f>
        <v>0</v>
      </c>
      <c r="AP330" s="19">
        <f t="shared" si="99"/>
        <v>2077.7735406502202</v>
      </c>
      <c r="AQ330" s="119">
        <f t="shared" si="110"/>
        <v>2077.7735406502202</v>
      </c>
      <c r="AR330" s="91" t="s">
        <v>1168</v>
      </c>
      <c r="AS330" s="91">
        <f t="shared" si="100"/>
        <v>0</v>
      </c>
      <c r="AT330" s="118"/>
      <c r="AU330" s="118"/>
      <c r="AV330" s="118"/>
    </row>
    <row r="331" spans="1:48" s="20" customFormat="1" x14ac:dyDescent="0.25">
      <c r="A331" s="17">
        <f>IFERROR(VLOOKUP(D331,'Monthly Deduction'!$I$3:$J$957,2,0),0)</f>
        <v>56613.591316453523</v>
      </c>
      <c r="B331" s="17">
        <f>IFERROR(VLOOKUP(D331,'Monthly Deduction'!$E$3:$F$957,2,0),0)</f>
        <v>9468.7371999999996</v>
      </c>
      <c r="C331" s="17">
        <f t="shared" si="101"/>
        <v>66082.328516453519</v>
      </c>
      <c r="D331" s="41">
        <v>10110118</v>
      </c>
      <c r="E331" s="122" t="str">
        <f>VLOOKUP(D331,'MPG Payment '!$E$3:$G$498218,2,0)</f>
        <v>GOMUKH BADIL TOL</v>
      </c>
      <c r="F331" s="146">
        <f>IFERROR(_xlfn.XLOOKUP(D331,'Monthly Deduction'!$I$3:$I$957,'Monthly Deduction'!$H$3:$H$957),0)</f>
        <v>0</v>
      </c>
      <c r="G331" s="123" t="str">
        <f>VLOOKUP(D331,'MPG Payment '!$E$3:$G$334579,3,0)</f>
        <v>MPG</v>
      </c>
      <c r="H331" s="124" t="str">
        <f>VLOOKUP(D331,'MPG Payment '!$E$3:$H$334579,4,0)</f>
        <v>Direct</v>
      </c>
      <c r="I331" s="88">
        <f>INDEX('MPG Payment '!$C:$C,MATCH('Shayak Income '!D331,'MPG Payment '!E:E,0))</f>
        <v>1054</v>
      </c>
      <c r="J331" s="88" t="str">
        <f>INDEX('MPG Payment '!$D:$D,MATCH('Shayak Income '!D331,'MPG Payment '!E:E,0))</f>
        <v xml:space="preserve">Alauli </v>
      </c>
      <c r="K331" s="125" t="s">
        <v>1322</v>
      </c>
      <c r="L331" s="125">
        <v>45745</v>
      </c>
      <c r="M331" s="126">
        <f>SUMIF('MPG Payment '!$E$3:$E$34579,'Shayak Income '!D331,'MPG Payment '!$I$3:$I$34579)</f>
        <v>1957.8400000000001</v>
      </c>
      <c r="N331" s="126">
        <f>SUMIF('MPG Payment '!$E$3:$E$34579,'Shayak Income '!D331,'MPG Payment '!$J$3:$J$34579)</f>
        <v>75513.763704553901</v>
      </c>
      <c r="O331" s="126">
        <f t="shared" si="102"/>
        <v>1468.38</v>
      </c>
      <c r="P331" s="126">
        <f t="shared" si="103"/>
        <v>1859.9480000000001</v>
      </c>
      <c r="Q331" s="126">
        <f>SUMIF('MPG Payment '!$E$3:$E$34579,'Shayak Income '!D331,'MPG Payment '!$S$3:$S$34579)</f>
        <v>2057.7549131294004</v>
      </c>
      <c r="R331" s="126">
        <f t="shared" si="94"/>
        <v>2265.4129111366169</v>
      </c>
      <c r="S331" s="126">
        <f t="shared" si="95"/>
        <v>405.46491113661682</v>
      </c>
      <c r="T331" s="126">
        <f t="shared" si="104"/>
        <v>195.78400000000002</v>
      </c>
      <c r="U331" s="127">
        <f>(((IF(K331="New",0,SUMIF('MPG Payment '!$E$3:$E$34579,'Shayak Income '!D331,'MPG Payment '!$AC$3:$AC$34579))))+0)+0</f>
        <v>649.66752753341825</v>
      </c>
      <c r="V331" s="127">
        <f t="shared" si="105"/>
        <v>4541</v>
      </c>
      <c r="W331" s="19">
        <f t="shared" si="106"/>
        <v>1861</v>
      </c>
      <c r="X331" s="19">
        <v>0</v>
      </c>
      <c r="Y331" s="128">
        <f>IFERROR(VLOOKUP(D331,'Monthly Deduction'!$M$2:$N$64,2,0),0)</f>
        <v>0</v>
      </c>
      <c r="Z331" s="128">
        <v>0</v>
      </c>
      <c r="AA331" s="126">
        <f>IFERROR(VLOOKUP(D331,'Monthly Deduction'!A:B,2,0),0)</f>
        <v>0</v>
      </c>
      <c r="AB331" s="129">
        <f t="shared" si="96"/>
        <v>2680</v>
      </c>
      <c r="AC331" s="130">
        <v>0</v>
      </c>
      <c r="AD331" s="35">
        <f t="shared" si="108"/>
        <v>2680</v>
      </c>
      <c r="AE331" s="166" t="str">
        <f t="shared" si="109"/>
        <v>Release</v>
      </c>
      <c r="AF331" s="127"/>
      <c r="AG331" s="18">
        <v>0</v>
      </c>
      <c r="AH331" s="132"/>
      <c r="AI331" s="238">
        <v>0</v>
      </c>
      <c r="AJ331" s="132"/>
      <c r="AK331" s="151">
        <v>397.3</v>
      </c>
      <c r="AL331" s="154">
        <f t="shared" si="97"/>
        <v>0</v>
      </c>
      <c r="AM331" s="155"/>
      <c r="AN331" s="19">
        <f t="shared" si="98"/>
        <v>1861</v>
      </c>
      <c r="AO331" s="118">
        <f>SUMIF('MPG Payment '!E:E,'Shayak Income '!D331,'MPG Payment '!AJ:AJ)</f>
        <v>0</v>
      </c>
      <c r="AP331" s="19">
        <f t="shared" si="99"/>
        <v>1861</v>
      </c>
      <c r="AQ331" s="119">
        <f t="shared" si="110"/>
        <v>1861</v>
      </c>
      <c r="AR331" s="91" t="s">
        <v>1168</v>
      </c>
      <c r="AS331" s="91">
        <f t="shared" si="100"/>
        <v>9468.7371999999996</v>
      </c>
      <c r="AT331" s="118"/>
      <c r="AU331" s="118"/>
      <c r="AV331" s="118"/>
    </row>
    <row r="332" spans="1:48" s="20" customFormat="1" x14ac:dyDescent="0.25">
      <c r="A332" s="17">
        <f>IFERROR(VLOOKUP(D332,'Monthly Deduction'!$I$3:$J$957,2,0),0)</f>
        <v>77402</v>
      </c>
      <c r="B332" s="17">
        <f>IFERROR(VLOOKUP(D332,'Monthly Deduction'!$E$3:$F$957,2,0),0)</f>
        <v>12800</v>
      </c>
      <c r="C332" s="17">
        <f t="shared" si="101"/>
        <v>90202</v>
      </c>
      <c r="D332" s="41">
        <v>10110119</v>
      </c>
      <c r="E332" s="122" t="str">
        <f>VLOOKUP(D332,'MPG Payment '!$E$3:$G$498218,2,0)</f>
        <v>GOMUKH TRIBHUVAN TOLA</v>
      </c>
      <c r="F332" s="146">
        <f>IFERROR(_xlfn.XLOOKUP(D332,'Monthly Deduction'!$I$3:$I$957,'Monthly Deduction'!$H$3:$H$957),0)</f>
        <v>0</v>
      </c>
      <c r="G332" s="123" t="str">
        <f>VLOOKUP(D332,'MPG Payment '!$E$3:$G$334579,3,0)</f>
        <v>MPG</v>
      </c>
      <c r="H332" s="124" t="str">
        <f>VLOOKUP(D332,'MPG Payment '!$E$3:$H$334579,4,0)</f>
        <v>Direct</v>
      </c>
      <c r="I332" s="88">
        <f>INDEX('MPG Payment '!$C:$C,MATCH('Shayak Income '!D332,'MPG Payment '!E:E,0))</f>
        <v>1054</v>
      </c>
      <c r="J332" s="88" t="str">
        <f>INDEX('MPG Payment '!$D:$D,MATCH('Shayak Income '!D332,'MPG Payment '!E:E,0))</f>
        <v xml:space="preserve">Alauli </v>
      </c>
      <c r="K332" s="125" t="s">
        <v>1322</v>
      </c>
      <c r="L332" s="125">
        <v>45745</v>
      </c>
      <c r="M332" s="126">
        <f>SUMIF('MPG Payment '!$E$3:$E$34579,'Shayak Income '!D332,'MPG Payment '!$I$3:$I$34579)</f>
        <v>1270.58</v>
      </c>
      <c r="N332" s="126">
        <f>SUMIF('MPG Payment '!$E$3:$E$34579,'Shayak Income '!D332,'MPG Payment '!$J$3:$J$34579)</f>
        <v>47885.185939412993</v>
      </c>
      <c r="O332" s="126">
        <f t="shared" si="102"/>
        <v>952.93499999999995</v>
      </c>
      <c r="P332" s="126">
        <f t="shared" si="103"/>
        <v>1207.0509999999999</v>
      </c>
      <c r="Q332" s="126">
        <f>SUMIF('MPG Payment '!$E$3:$E$34579,'Shayak Income '!D332,'MPG Payment '!$S$3:$S$34579)</f>
        <v>0</v>
      </c>
      <c r="R332" s="126">
        <f t="shared" si="94"/>
        <v>1436.5555781823898</v>
      </c>
      <c r="S332" s="126">
        <f t="shared" si="95"/>
        <v>229.50457818238988</v>
      </c>
      <c r="T332" s="126">
        <f t="shared" si="104"/>
        <v>127.05799999999999</v>
      </c>
      <c r="U332" s="127">
        <f>(((IF(K332="New",0,SUMIF('MPG Payment '!$E$3:$E$34579,'Shayak Income '!D332,'MPG Payment '!$AC$3:$AC$34579))))+0)+0</f>
        <v>1153.5276743324423</v>
      </c>
      <c r="V332" s="127">
        <f t="shared" si="105"/>
        <v>879</v>
      </c>
      <c r="W332" s="19">
        <v>879</v>
      </c>
      <c r="X332" s="19">
        <v>0</v>
      </c>
      <c r="Y332" s="128">
        <f>IFERROR(VLOOKUP(D332,'Monthly Deduction'!$M$2:$N$64,2,0),0)</f>
        <v>0</v>
      </c>
      <c r="Z332" s="128">
        <v>0</v>
      </c>
      <c r="AA332" s="126">
        <v>0</v>
      </c>
      <c r="AB332" s="129">
        <f t="shared" si="96"/>
        <v>0</v>
      </c>
      <c r="AC332" s="130">
        <v>0</v>
      </c>
      <c r="AD332" s="35">
        <f t="shared" si="108"/>
        <v>0</v>
      </c>
      <c r="AE332" s="166" t="str">
        <f t="shared" si="109"/>
        <v>Release</v>
      </c>
      <c r="AF332" s="127"/>
      <c r="AG332" s="18">
        <v>0</v>
      </c>
      <c r="AH332" s="120"/>
      <c r="AI332" s="238">
        <v>0</v>
      </c>
      <c r="AJ332" s="132"/>
      <c r="AK332" s="151">
        <v>379.8</v>
      </c>
      <c r="AL332" s="154">
        <f t="shared" si="97"/>
        <v>0</v>
      </c>
      <c r="AM332" s="155"/>
      <c r="AN332" s="19">
        <f t="shared" si="98"/>
        <v>1861</v>
      </c>
      <c r="AO332" s="118">
        <f>SUMIF('MPG Payment '!E:E,'Shayak Income '!D332,'MPG Payment '!AJ:AJ)</f>
        <v>0</v>
      </c>
      <c r="AP332" s="19">
        <f t="shared" si="99"/>
        <v>879</v>
      </c>
      <c r="AQ332" s="119">
        <f t="shared" si="110"/>
        <v>879</v>
      </c>
      <c r="AR332" s="91" t="s">
        <v>1168</v>
      </c>
      <c r="AS332" s="91">
        <f t="shared" si="100"/>
        <v>12800</v>
      </c>
      <c r="AT332" s="118"/>
      <c r="AU332" s="118"/>
      <c r="AV332" s="118"/>
    </row>
    <row r="333" spans="1:48" s="20" customFormat="1" x14ac:dyDescent="0.25">
      <c r="A333" s="17">
        <f>IFERROR(VLOOKUP(D333,'Monthly Deduction'!$I$3:$J$957,2,0),0)</f>
        <v>51492.993321680988</v>
      </c>
      <c r="B333" s="17">
        <f>IFERROR(VLOOKUP(D333,'Monthly Deduction'!$E$3:$F$957,2,0),0)</f>
        <v>14699</v>
      </c>
      <c r="C333" s="17">
        <f t="shared" si="101"/>
        <v>66191.993321680988</v>
      </c>
      <c r="D333" s="41">
        <v>10110120</v>
      </c>
      <c r="E333" s="122" t="str">
        <f>VLOOKUP(D333,'MPG Payment '!$E$3:$G$498218,2,0)</f>
        <v>GOMUKH SANTOSHPUL</v>
      </c>
      <c r="F333" s="146">
        <f>IFERROR(_xlfn.XLOOKUP(D333,'Monthly Deduction'!$I$3:$I$957,'Monthly Deduction'!$H$3:$H$957),0)</f>
        <v>0</v>
      </c>
      <c r="G333" s="123" t="str">
        <f>VLOOKUP(D333,'MPG Payment '!$E$3:$G$334579,3,0)</f>
        <v>MPG</v>
      </c>
      <c r="H333" s="124" t="str">
        <f>VLOOKUP(D333,'MPG Payment '!$E$3:$H$334579,4,0)</f>
        <v>Direct</v>
      </c>
      <c r="I333" s="88">
        <f>INDEX('MPG Payment '!$C:$C,MATCH('Shayak Income '!D333,'MPG Payment '!E:E,0))</f>
        <v>1054</v>
      </c>
      <c r="J333" s="88" t="str">
        <f>INDEX('MPG Payment '!$D:$D,MATCH('Shayak Income '!D333,'MPG Payment '!E:E,0))</f>
        <v xml:space="preserve">Alauli </v>
      </c>
      <c r="K333" s="125" t="s">
        <v>1322</v>
      </c>
      <c r="L333" s="125">
        <v>45819</v>
      </c>
      <c r="M333" s="126">
        <f>SUMIF('MPG Payment '!$E$3:$E$34579,'Shayak Income '!D333,'MPG Payment '!$I$3:$I$34579)</f>
        <v>4663.66</v>
      </c>
      <c r="N333" s="126">
        <f>SUMIF('MPG Payment '!$E$3:$E$34579,'Shayak Income '!D333,'MPG Payment '!$J$3:$J$34579)</f>
        <v>205853.21127415096</v>
      </c>
      <c r="O333" s="126">
        <f t="shared" si="102"/>
        <v>3497.7449999999999</v>
      </c>
      <c r="P333" s="126">
        <f t="shared" si="103"/>
        <v>4430.4769999999999</v>
      </c>
      <c r="Q333" s="126">
        <f>SUMIF('MPG Payment '!$E$3:$E$34579,'Shayak Income '!D333,'MPG Payment '!$S$3:$S$34579)</f>
        <v>0</v>
      </c>
      <c r="R333" s="126">
        <f t="shared" si="94"/>
        <v>6175.5963382245291</v>
      </c>
      <c r="S333" s="126">
        <f t="shared" si="95"/>
        <v>1745.1193382245292</v>
      </c>
      <c r="T333" s="126">
        <f t="shared" si="104"/>
        <v>466.36599999999999</v>
      </c>
      <c r="U333" s="127">
        <f>(((IF(K333="New",0,SUMIF('MPG Payment '!$E$3:$E$34579,'Shayak Income '!D333,'MPG Payment '!$AC$3:$AC$34579))))+0)+0</f>
        <v>0</v>
      </c>
      <c r="V333" s="127">
        <f t="shared" si="105"/>
        <v>7462</v>
      </c>
      <c r="W333" s="19">
        <f t="shared" si="106"/>
        <v>4117.0642254830191</v>
      </c>
      <c r="X333" s="19">
        <v>0</v>
      </c>
      <c r="Y333" s="128">
        <f>IFERROR(VLOOKUP(D333,'Monthly Deduction'!$M$2:$N$64,2,0),0)</f>
        <v>0</v>
      </c>
      <c r="Z333" s="128">
        <v>0</v>
      </c>
      <c r="AA333" s="126">
        <f>IFERROR(VLOOKUP(D333,'Monthly Deduction'!A:B,2,0),0)</f>
        <v>0</v>
      </c>
      <c r="AB333" s="129">
        <f t="shared" si="96"/>
        <v>3345</v>
      </c>
      <c r="AC333" s="130">
        <v>0</v>
      </c>
      <c r="AD333" s="35">
        <f t="shared" si="108"/>
        <v>3345</v>
      </c>
      <c r="AE333" s="166" t="str">
        <f t="shared" si="109"/>
        <v>Release</v>
      </c>
      <c r="AF333" s="127"/>
      <c r="AG333" s="18">
        <v>0</v>
      </c>
      <c r="AH333" s="120"/>
      <c r="AI333" s="238">
        <v>0</v>
      </c>
      <c r="AJ333" s="132"/>
      <c r="AK333" s="151">
        <v>1232.8</v>
      </c>
      <c r="AL333" s="154">
        <f t="shared" si="97"/>
        <v>0</v>
      </c>
      <c r="AM333" s="155"/>
      <c r="AN333" s="19">
        <f t="shared" si="98"/>
        <v>4117.0642254830191</v>
      </c>
      <c r="AO333" s="118">
        <f>SUMIF('MPG Payment '!E:E,'Shayak Income '!D333,'MPG Payment '!AJ:AJ)</f>
        <v>0</v>
      </c>
      <c r="AP333" s="19">
        <f t="shared" si="99"/>
        <v>4117.0642254830191</v>
      </c>
      <c r="AQ333" s="119">
        <f t="shared" si="110"/>
        <v>4117.0642254830191</v>
      </c>
      <c r="AR333" s="91"/>
      <c r="AS333" s="91">
        <f t="shared" si="100"/>
        <v>14699</v>
      </c>
      <c r="AT333" s="118"/>
      <c r="AU333" s="118"/>
      <c r="AV333" s="118"/>
    </row>
    <row r="334" spans="1:48" s="20" customFormat="1" x14ac:dyDescent="0.25">
      <c r="A334" s="17">
        <f>IFERROR(VLOOKUP(D334,'Monthly Deduction'!$I$3:$J$957,2,0),0)</f>
        <v>75654</v>
      </c>
      <c r="B334" s="17">
        <f>IFERROR(VLOOKUP(D334,'Monthly Deduction'!$E$3:$F$957,2,0),0)</f>
        <v>11353.4992</v>
      </c>
      <c r="C334" s="17">
        <f t="shared" si="101"/>
        <v>87007.499200000006</v>
      </c>
      <c r="D334" s="41">
        <v>10110121</v>
      </c>
      <c r="E334" s="122" t="str">
        <f>VLOOKUP(D334,'MPG Payment '!$E$3:$G$498218,2,0)</f>
        <v>GOMUKH AHUNA</v>
      </c>
      <c r="F334" s="146">
        <f>IFERROR(_xlfn.XLOOKUP(D334,'Monthly Deduction'!$I$3:$I$957,'Monthly Deduction'!$H$3:$H$957),0)</f>
        <v>0</v>
      </c>
      <c r="G334" s="123" t="str">
        <f>VLOOKUP(D334,'MPG Payment '!$E$3:$G$334579,3,0)</f>
        <v>MPG</v>
      </c>
      <c r="H334" s="124" t="str">
        <f>VLOOKUP(D334,'MPG Payment '!$E$3:$H$334579,4,0)</f>
        <v>Direct</v>
      </c>
      <c r="I334" s="88">
        <f>INDEX('MPG Payment '!$C:$C,MATCH('Shayak Income '!D334,'MPG Payment '!E:E,0))</f>
        <v>1054</v>
      </c>
      <c r="J334" s="88" t="str">
        <f>INDEX('MPG Payment '!$D:$D,MATCH('Shayak Income '!D334,'MPG Payment '!E:E,0))</f>
        <v xml:space="preserve">Alauli </v>
      </c>
      <c r="K334" s="125" t="s">
        <v>1322</v>
      </c>
      <c r="L334" s="125">
        <v>45745</v>
      </c>
      <c r="M334" s="126">
        <f>SUMIF('MPG Payment '!$E$3:$E$34579,'Shayak Income '!D334,'MPG Payment '!$I$3:$I$34579)</f>
        <v>1959.44</v>
      </c>
      <c r="N334" s="126">
        <f>SUMIF('MPG Payment '!$E$3:$E$34579,'Shayak Income '!D334,'MPG Payment '!$J$3:$J$34579)</f>
        <v>71532.531614928797</v>
      </c>
      <c r="O334" s="126">
        <f t="shared" si="102"/>
        <v>1469.58</v>
      </c>
      <c r="P334" s="126">
        <f t="shared" si="103"/>
        <v>1861.4680000000001</v>
      </c>
      <c r="Q334" s="126">
        <f>SUMIF('MPG Payment '!$E$3:$E$34579,'Shayak Income '!D334,'MPG Payment '!$S$3:$S$34579)</f>
        <v>0</v>
      </c>
      <c r="R334" s="126">
        <f t="shared" si="94"/>
        <v>2145.9759484478636</v>
      </c>
      <c r="S334" s="126">
        <f t="shared" si="95"/>
        <v>284.50794844786355</v>
      </c>
      <c r="T334" s="126">
        <f t="shared" si="104"/>
        <v>195.94400000000002</v>
      </c>
      <c r="U334" s="127">
        <f>(((IF(K334="New",0,SUMIF('MPG Payment '!$E$3:$E$34579,'Shayak Income '!D334,'MPG Payment '!$AC$3:$AC$34579))))+0)+0</f>
        <v>612.92295581401129</v>
      </c>
      <c r="V334" s="127">
        <f t="shared" si="105"/>
        <v>2522</v>
      </c>
      <c r="W334" s="19">
        <f t="shared" si="106"/>
        <v>1861</v>
      </c>
      <c r="X334" s="19">
        <v>0</v>
      </c>
      <c r="Y334" s="128">
        <f>IFERROR(VLOOKUP(D334,'Monthly Deduction'!$M$2:$N$64,2,0),0)</f>
        <v>0</v>
      </c>
      <c r="Z334" s="128">
        <v>0</v>
      </c>
      <c r="AA334" s="126">
        <f>IFERROR(VLOOKUP(D334,'Monthly Deduction'!A:B,2,0),0)</f>
        <v>0</v>
      </c>
      <c r="AB334" s="129">
        <f t="shared" si="96"/>
        <v>661</v>
      </c>
      <c r="AC334" s="130">
        <v>0</v>
      </c>
      <c r="AD334" s="35">
        <f t="shared" si="108"/>
        <v>661</v>
      </c>
      <c r="AE334" s="166" t="str">
        <f t="shared" si="109"/>
        <v>Release</v>
      </c>
      <c r="AF334" s="127"/>
      <c r="AG334" s="18">
        <v>0</v>
      </c>
      <c r="AH334" s="120"/>
      <c r="AI334" s="238">
        <v>0</v>
      </c>
      <c r="AJ334" s="132"/>
      <c r="AK334" s="151">
        <v>522</v>
      </c>
      <c r="AL334" s="154">
        <f t="shared" si="97"/>
        <v>0</v>
      </c>
      <c r="AM334" s="155"/>
      <c r="AN334" s="19">
        <f t="shared" si="98"/>
        <v>1861</v>
      </c>
      <c r="AO334" s="118">
        <f>SUMIF('MPG Payment '!E:E,'Shayak Income '!D334,'MPG Payment '!AJ:AJ)</f>
        <v>0</v>
      </c>
      <c r="AP334" s="19">
        <f t="shared" si="99"/>
        <v>1861</v>
      </c>
      <c r="AQ334" s="119">
        <f t="shared" si="110"/>
        <v>1861</v>
      </c>
      <c r="AR334" s="91"/>
      <c r="AS334" s="91">
        <f t="shared" si="100"/>
        <v>11353.4992</v>
      </c>
      <c r="AT334" s="118"/>
      <c r="AU334" s="118"/>
      <c r="AV334" s="118"/>
    </row>
    <row r="335" spans="1:48" s="20" customFormat="1" x14ac:dyDescent="0.25">
      <c r="A335" s="17">
        <f>IFERROR(VLOOKUP(D335,'Monthly Deduction'!$I$3:$J$957,2,0),0)</f>
        <v>55872.329745475232</v>
      </c>
      <c r="B335" s="17">
        <f>IFERROR(VLOOKUP(D335,'Monthly Deduction'!$E$3:$F$957,2,0),0)</f>
        <v>12800</v>
      </c>
      <c r="C335" s="17">
        <f t="shared" si="101"/>
        <v>68672.329745475232</v>
      </c>
      <c r="D335" s="41">
        <v>10110123</v>
      </c>
      <c r="E335" s="122" t="str">
        <f>VLOOKUP(D335,'MPG Payment '!$E$3:$G$498218,2,0)</f>
        <v>GOMUKH SHADIPUR</v>
      </c>
      <c r="F335" s="146">
        <f>IFERROR(_xlfn.XLOOKUP(D335,'Monthly Deduction'!$I$3:$I$957,'Monthly Deduction'!$H$3:$H$957),0)</f>
        <v>0</v>
      </c>
      <c r="G335" s="123" t="str">
        <f>VLOOKUP(D335,'MPG Payment '!$E$3:$G$334579,3,0)</f>
        <v>MPG</v>
      </c>
      <c r="H335" s="124" t="str">
        <f>VLOOKUP(D335,'MPG Payment '!$E$3:$H$334579,4,0)</f>
        <v>Direct</v>
      </c>
      <c r="I335" s="88">
        <f>INDEX('MPG Payment '!$C:$C,MATCH('Shayak Income '!D335,'MPG Payment '!E:E,0))</f>
        <v>1055</v>
      </c>
      <c r="J335" s="88" t="str">
        <f>INDEX('MPG Payment '!$D:$D,MATCH('Shayak Income '!D335,'MPG Payment '!E:E,0))</f>
        <v>Matihani</v>
      </c>
      <c r="K335" s="125" t="s">
        <v>1322</v>
      </c>
      <c r="L335" s="125">
        <v>45745</v>
      </c>
      <c r="M335" s="126">
        <f>SUMIF('MPG Payment '!$E$3:$E$34579,'Shayak Income '!D335,'MPG Payment '!$I$3:$I$34579)</f>
        <v>3520.7000000000003</v>
      </c>
      <c r="N335" s="126">
        <f>SUMIF('MPG Payment '!$E$3:$E$34579,'Shayak Income '!D335,'MPG Payment '!$J$3:$J$34579)</f>
        <v>142029.36169978403</v>
      </c>
      <c r="O335" s="126">
        <f t="shared" si="102"/>
        <v>2640.5250000000001</v>
      </c>
      <c r="P335" s="126">
        <f t="shared" si="103"/>
        <v>3344.665</v>
      </c>
      <c r="Q335" s="126">
        <f>SUMIF('MPG Payment '!$E$3:$E$34579,'Shayak Income '!D335,'MPG Payment '!$S$3:$S$34579)</f>
        <v>1386.4649893924502</v>
      </c>
      <c r="R335" s="126">
        <f t="shared" si="94"/>
        <v>4260.8808509935207</v>
      </c>
      <c r="S335" s="126">
        <f t="shared" si="95"/>
        <v>916.21585099352069</v>
      </c>
      <c r="T335" s="126">
        <f t="shared" si="104"/>
        <v>352.07000000000005</v>
      </c>
      <c r="U335" s="127">
        <f>(((IF(K335="New",0,SUMIF('MPG Payment '!$E$3:$E$34579,'Shayak Income '!D335,'MPG Payment '!$AC$3:$AC$34579))))+0)+0</f>
        <v>0</v>
      </c>
      <c r="V335" s="127">
        <f t="shared" si="105"/>
        <v>7020</v>
      </c>
      <c r="W335" s="19">
        <f t="shared" si="106"/>
        <v>2840.5872339956804</v>
      </c>
      <c r="X335" s="19">
        <v>0</v>
      </c>
      <c r="Y335" s="128">
        <f>IFERROR(VLOOKUP(D335,'Monthly Deduction'!$M$2:$N$64,2,0),0)</f>
        <v>0</v>
      </c>
      <c r="Z335" s="128">
        <v>0</v>
      </c>
      <c r="AA335" s="126">
        <f>IFERROR(VLOOKUP(D335,'Monthly Deduction'!A:B,2,0),0)</f>
        <v>0</v>
      </c>
      <c r="AB335" s="129">
        <f t="shared" si="96"/>
        <v>4179</v>
      </c>
      <c r="AC335" s="130">
        <v>0</v>
      </c>
      <c r="AD335" s="35">
        <f t="shared" si="108"/>
        <v>4179</v>
      </c>
      <c r="AE335" s="166" t="str">
        <f t="shared" si="109"/>
        <v>Release</v>
      </c>
      <c r="AF335" s="127"/>
      <c r="AG335" s="18">
        <v>0</v>
      </c>
      <c r="AH335" s="132"/>
      <c r="AI335" s="238">
        <v>0</v>
      </c>
      <c r="AJ335" s="132"/>
      <c r="AK335" s="151">
        <v>862.30000000000007</v>
      </c>
      <c r="AL335" s="154">
        <f t="shared" si="97"/>
        <v>0</v>
      </c>
      <c r="AM335" s="155"/>
      <c r="AN335" s="19">
        <f t="shared" si="98"/>
        <v>2840.5872339956804</v>
      </c>
      <c r="AO335" s="118">
        <f>SUMIF('MPG Payment '!E:E,'Shayak Income '!D335,'MPG Payment '!AJ:AJ)</f>
        <v>0</v>
      </c>
      <c r="AP335" s="19">
        <f t="shared" si="99"/>
        <v>2840.5872339956804</v>
      </c>
      <c r="AQ335" s="119">
        <f t="shared" si="110"/>
        <v>2840.5872339956804</v>
      </c>
      <c r="AR335" s="91" t="s">
        <v>1168</v>
      </c>
      <c r="AS335" s="91">
        <f t="shared" si="100"/>
        <v>12800</v>
      </c>
      <c r="AT335" s="118"/>
      <c r="AU335" s="118"/>
      <c r="AV335" s="118"/>
    </row>
    <row r="336" spans="1:48" s="20" customFormat="1" x14ac:dyDescent="0.25">
      <c r="A336" s="17">
        <f>IFERROR(VLOOKUP(D336,'Monthly Deduction'!$I$3:$J$957,2,0),0)</f>
        <v>64917.959104465597</v>
      </c>
      <c r="B336" s="17">
        <f>IFERROR(VLOOKUP(D336,'Monthly Deduction'!$E$3:$F$957,2,0),0)</f>
        <v>0</v>
      </c>
      <c r="C336" s="17">
        <f t="shared" si="101"/>
        <v>64917.959104465597</v>
      </c>
      <c r="D336" s="41">
        <v>10110124</v>
      </c>
      <c r="E336" s="122" t="str">
        <f>VLOOKUP(D336,'MPG Payment '!$E$3:$G$498218,2,0)</f>
        <v>GOMUKH ASHRAPHA DIYARA</v>
      </c>
      <c r="F336" s="146">
        <f>IFERROR(_xlfn.XLOOKUP(D336,'Monthly Deduction'!$I$3:$I$957,'Monthly Deduction'!$H$3:$H$957),0)</f>
        <v>0</v>
      </c>
      <c r="G336" s="123" t="str">
        <f>VLOOKUP(D336,'MPG Payment '!$E$3:$G$334579,3,0)</f>
        <v>MPG</v>
      </c>
      <c r="H336" s="124" t="str">
        <f>VLOOKUP(D336,'MPG Payment '!$E$3:$H$334579,4,0)</f>
        <v>Direct</v>
      </c>
      <c r="I336" s="88">
        <f>INDEX('MPG Payment '!$C:$C,MATCH('Shayak Income '!D336,'MPG Payment '!E:E,0))</f>
        <v>1055</v>
      </c>
      <c r="J336" s="88" t="str">
        <f>INDEX('MPG Payment '!$D:$D,MATCH('Shayak Income '!D336,'MPG Payment '!E:E,0))</f>
        <v>Matihani</v>
      </c>
      <c r="K336" s="125" t="s">
        <v>1322</v>
      </c>
      <c r="L336" s="125">
        <v>45745</v>
      </c>
      <c r="M336" s="126">
        <f>SUMIF('MPG Payment '!$E$3:$E$34579,'Shayak Income '!D336,'MPG Payment '!$I$3:$I$34579)</f>
        <v>2347.5</v>
      </c>
      <c r="N336" s="126">
        <f>SUMIF('MPG Payment '!$E$3:$E$34579,'Shayak Income '!D336,'MPG Payment '!$J$3:$J$34579)</f>
        <v>94449.249727649993</v>
      </c>
      <c r="O336" s="126">
        <f t="shared" si="102"/>
        <v>1760.625</v>
      </c>
      <c r="P336" s="126">
        <f t="shared" si="103"/>
        <v>2230.125</v>
      </c>
      <c r="Q336" s="126">
        <f>SUMIF('MPG Payment '!$E$3:$E$34579,'Shayak Income '!D336,'MPG Payment '!$S$3:$S$34579)</f>
        <v>1342.5978605236203</v>
      </c>
      <c r="R336" s="126">
        <f t="shared" si="94"/>
        <v>2833.4774918294997</v>
      </c>
      <c r="S336" s="126">
        <f t="shared" si="95"/>
        <v>603.35249182949974</v>
      </c>
      <c r="T336" s="126">
        <f t="shared" si="104"/>
        <v>234.75</v>
      </c>
      <c r="U336" s="127">
        <f>(((IF(K336="New",0,SUMIF('MPG Payment '!$E$3:$E$34579,'Shayak Income '!D336,'MPG Payment '!$AC$3:$AC$34579))))+0)+0</f>
        <v>364.16805662691434</v>
      </c>
      <c r="V336" s="127">
        <f t="shared" si="105"/>
        <v>4734</v>
      </c>
      <c r="W336" s="19">
        <f t="shared" si="106"/>
        <v>1888.984994553</v>
      </c>
      <c r="X336" s="19">
        <v>0</v>
      </c>
      <c r="Y336" s="128">
        <f>IFERROR(VLOOKUP(D336,'Monthly Deduction'!$M$2:$N$64,2,0),0)</f>
        <v>0</v>
      </c>
      <c r="Z336" s="128">
        <v>0</v>
      </c>
      <c r="AA336" s="126">
        <f>IFERROR(VLOOKUP(D336,'Monthly Deduction'!A:B,2,0),0)</f>
        <v>0</v>
      </c>
      <c r="AB336" s="129">
        <f t="shared" si="96"/>
        <v>2845</v>
      </c>
      <c r="AC336" s="130">
        <f>AB336</f>
        <v>2845</v>
      </c>
      <c r="AD336" s="35">
        <f t="shared" si="108"/>
        <v>0</v>
      </c>
      <c r="AE336" s="166" t="str">
        <f t="shared" si="109"/>
        <v>Yes</v>
      </c>
      <c r="AF336" s="127"/>
      <c r="AG336" s="127">
        <v>0</v>
      </c>
      <c r="AH336" s="120" t="s">
        <v>1658</v>
      </c>
      <c r="AI336" s="238">
        <v>0</v>
      </c>
      <c r="AJ336" s="132"/>
      <c r="AK336" s="151">
        <v>543</v>
      </c>
      <c r="AL336" s="154">
        <f t="shared" si="97"/>
        <v>0</v>
      </c>
      <c r="AM336" s="155"/>
      <c r="AN336" s="19">
        <f t="shared" si="98"/>
        <v>1888.984994553</v>
      </c>
      <c r="AO336" s="118">
        <f>SUMIF('MPG Payment '!E:E,'Shayak Income '!D336,'MPG Payment '!AJ:AJ)</f>
        <v>0</v>
      </c>
      <c r="AP336" s="19">
        <f t="shared" si="99"/>
        <v>1888.984994553</v>
      </c>
      <c r="AQ336" s="119">
        <f t="shared" si="110"/>
        <v>1888.984994553</v>
      </c>
      <c r="AR336" s="91"/>
      <c r="AS336" s="91">
        <f t="shared" si="100"/>
        <v>0</v>
      </c>
      <c r="AT336" s="118"/>
      <c r="AU336" s="118"/>
      <c r="AV336" s="118"/>
    </row>
    <row r="337" spans="1:48" s="20" customFormat="1" x14ac:dyDescent="0.25">
      <c r="A337" s="17">
        <f>IFERROR(VLOOKUP(D337,'Monthly Deduction'!$I$3:$J$957,2,0),0)</f>
        <v>64128.762090341595</v>
      </c>
      <c r="B337" s="17">
        <f>IFERROR(VLOOKUP(D337,'Monthly Deduction'!$E$3:$F$957,2,0),0)</f>
        <v>6096.7984000000006</v>
      </c>
      <c r="C337" s="17">
        <f t="shared" si="101"/>
        <v>70225.560490341595</v>
      </c>
      <c r="D337" s="41">
        <v>10110128</v>
      </c>
      <c r="E337" s="122" t="str">
        <f>VLOOKUP(D337,'MPG Payment '!$E$3:$G$498218,2,0)</f>
        <v>GOMUKH MANIAPPA</v>
      </c>
      <c r="F337" s="146">
        <f>IFERROR(_xlfn.XLOOKUP(D337,'Monthly Deduction'!$I$3:$I$957,'Monthly Deduction'!$H$3:$H$957),0)</f>
        <v>0</v>
      </c>
      <c r="G337" s="123" t="str">
        <f>VLOOKUP(D337,'MPG Payment '!$E$3:$G$334579,3,0)</f>
        <v>MPG</v>
      </c>
      <c r="H337" s="124" t="str">
        <f>VLOOKUP(D337,'MPG Payment '!$E$3:$H$334579,4,0)</f>
        <v>Direct</v>
      </c>
      <c r="I337" s="88">
        <f>INDEX('MPG Payment '!$C:$C,MATCH('Shayak Income '!D337,'MPG Payment '!E:E,0))</f>
        <v>1055</v>
      </c>
      <c r="J337" s="88" t="str">
        <f>INDEX('MPG Payment '!$D:$D,MATCH('Shayak Income '!D337,'MPG Payment '!E:E,0))</f>
        <v>Matihani</v>
      </c>
      <c r="K337" s="125" t="s">
        <v>1322</v>
      </c>
      <c r="L337" s="125">
        <v>45745</v>
      </c>
      <c r="M337" s="126">
        <f>SUMIF('MPG Payment '!$E$3:$E$34579,'Shayak Income '!D337,'MPG Payment '!$I$3:$I$34579)</f>
        <v>4029</v>
      </c>
      <c r="N337" s="126">
        <f>SUMIF('MPG Payment '!$E$3:$E$34579,'Shayak Income '!D337,'MPG Payment '!$J$3:$J$34579)</f>
        <v>157740.16606839999</v>
      </c>
      <c r="O337" s="126">
        <f t="shared" si="102"/>
        <v>3021.75</v>
      </c>
      <c r="P337" s="126">
        <f t="shared" si="103"/>
        <v>3827.5499999999997</v>
      </c>
      <c r="Q337" s="126">
        <f>SUMIF('MPG Payment '!$E$3:$E$34579,'Shayak Income '!D337,'MPG Payment '!$S$3:$S$34579)</f>
        <v>705.58555737450001</v>
      </c>
      <c r="R337" s="126">
        <f t="shared" si="94"/>
        <v>4732.2049820519997</v>
      </c>
      <c r="S337" s="126">
        <f t="shared" si="95"/>
        <v>904.65498205199992</v>
      </c>
      <c r="T337" s="126">
        <f t="shared" si="104"/>
        <v>402.90000000000003</v>
      </c>
      <c r="U337" s="127">
        <f>(((IF(K337="New",0,SUMIF('MPG Payment '!$E$3:$E$34579,'Shayak Income '!D337,'MPG Payment '!$AC$3:$AC$34579))))+0)+0</f>
        <v>0</v>
      </c>
      <c r="V337" s="127">
        <f t="shared" si="105"/>
        <v>7152</v>
      </c>
      <c r="W337" s="19">
        <f t="shared" si="106"/>
        <v>3154.8033213680001</v>
      </c>
      <c r="X337" s="19">
        <v>0</v>
      </c>
      <c r="Y337" s="128">
        <f>IFERROR(VLOOKUP(D337,'Monthly Deduction'!$M$2:$N$64,2,0),0)</f>
        <v>0</v>
      </c>
      <c r="Z337" s="128">
        <v>0</v>
      </c>
      <c r="AA337" s="126">
        <f>IFERROR(VLOOKUP(D337,'Monthly Deduction'!A:B,2,0),0)</f>
        <v>0</v>
      </c>
      <c r="AB337" s="129">
        <f t="shared" si="96"/>
        <v>3997</v>
      </c>
      <c r="AC337" s="130">
        <f>AB337</f>
        <v>3997</v>
      </c>
      <c r="AD337" s="35">
        <f t="shared" si="108"/>
        <v>0</v>
      </c>
      <c r="AE337" s="166" t="str">
        <f t="shared" si="109"/>
        <v>Yes</v>
      </c>
      <c r="AF337" s="127"/>
      <c r="AG337" s="18">
        <v>0</v>
      </c>
      <c r="AH337" s="120" t="s">
        <v>1650</v>
      </c>
      <c r="AI337" s="238">
        <v>2885</v>
      </c>
      <c r="AJ337" s="132"/>
      <c r="AK337" s="151">
        <v>1051.5</v>
      </c>
      <c r="AL337" s="154">
        <f t="shared" si="97"/>
        <v>0</v>
      </c>
      <c r="AM337" s="155"/>
      <c r="AN337" s="19">
        <f t="shared" si="98"/>
        <v>3154.8033213680001</v>
      </c>
      <c r="AO337" s="118">
        <f>SUMIF('MPG Payment '!E:E,'Shayak Income '!D337,'MPG Payment '!AJ:AJ)</f>
        <v>0</v>
      </c>
      <c r="AP337" s="19">
        <f t="shared" si="99"/>
        <v>3154.8033213680001</v>
      </c>
      <c r="AQ337" s="119">
        <f t="shared" si="110"/>
        <v>3154.8033213680001</v>
      </c>
      <c r="AR337" s="91" t="s">
        <v>1168</v>
      </c>
      <c r="AS337" s="91">
        <f t="shared" si="100"/>
        <v>6096.7984000000006</v>
      </c>
      <c r="AT337" s="118"/>
      <c r="AU337" s="118"/>
      <c r="AV337" s="118"/>
    </row>
    <row r="338" spans="1:48" s="20" customFormat="1" x14ac:dyDescent="0.25">
      <c r="A338" s="17">
        <f>IFERROR(VLOOKUP(D338,'Monthly Deduction'!$I$3:$J$957,2,0),0)</f>
        <v>64599.511158120004</v>
      </c>
      <c r="B338" s="17">
        <f>IFERROR(VLOOKUP(D338,'Monthly Deduction'!$E$3:$F$957,2,0),0)</f>
        <v>9862.2540000000008</v>
      </c>
      <c r="C338" s="17">
        <f t="shared" si="101"/>
        <v>74461.765158120004</v>
      </c>
      <c r="D338" s="41">
        <v>10110129</v>
      </c>
      <c r="E338" s="122" t="str">
        <f>VLOOKUP(D338,'MPG Payment '!$E$3:$G$498218,2,0)</f>
        <v>GOMUKH D SANJHAUTI</v>
      </c>
      <c r="F338" s="146">
        <f>IFERROR(_xlfn.XLOOKUP(D338,'Monthly Deduction'!$I$3:$I$957,'Monthly Deduction'!$H$3:$H$957),0)</f>
        <v>0</v>
      </c>
      <c r="G338" s="123" t="str">
        <f>VLOOKUP(D338,'MPG Payment '!$E$3:$G$334579,3,0)</f>
        <v>MPG</v>
      </c>
      <c r="H338" s="124" t="str">
        <f>VLOOKUP(D338,'MPG Payment '!$E$3:$H$334579,4,0)</f>
        <v>Direct</v>
      </c>
      <c r="I338" s="88">
        <f>INDEX('MPG Payment '!$C:$C,MATCH('Shayak Income '!D338,'MPG Payment '!E:E,0))</f>
        <v>1054</v>
      </c>
      <c r="J338" s="88" t="str">
        <f>INDEX('MPG Payment '!$D:$D,MATCH('Shayak Income '!D338,'MPG Payment '!E:E,0))</f>
        <v xml:space="preserve">Alauli </v>
      </c>
      <c r="K338" s="125" t="s">
        <v>1322</v>
      </c>
      <c r="L338" s="125">
        <v>45831</v>
      </c>
      <c r="M338" s="126">
        <f>SUMIF('MPG Payment '!$E$3:$E$34579,'Shayak Income '!D338,'MPG Payment '!$I$3:$I$34579)</f>
        <v>3076.8399999999997</v>
      </c>
      <c r="N338" s="126">
        <f>SUMIF('MPG Payment '!$E$3:$E$34579,'Shayak Income '!D338,'MPG Payment '!$J$3:$J$34579)</f>
        <v>114145.6688454439</v>
      </c>
      <c r="O338" s="126">
        <f t="shared" si="102"/>
        <v>2307.6299999999997</v>
      </c>
      <c r="P338" s="126">
        <f t="shared" si="103"/>
        <v>2922.9979999999996</v>
      </c>
      <c r="Q338" s="126">
        <f>SUMIF('MPG Payment '!$E$3:$E$34579,'Shayak Income '!D338,'MPG Payment '!$S$3:$S$34579)</f>
        <v>0</v>
      </c>
      <c r="R338" s="126">
        <f t="shared" si="94"/>
        <v>3424.3700653633168</v>
      </c>
      <c r="S338" s="126">
        <f t="shared" si="95"/>
        <v>501.37206536331723</v>
      </c>
      <c r="T338" s="126">
        <f t="shared" si="104"/>
        <v>307.68399999999997</v>
      </c>
      <c r="U338" s="127">
        <f>(((IF(K338="New",0,SUMIF('MPG Payment '!$E$3:$E$34579,'Shayak Income '!D338,'MPG Payment '!$AC$3:$AC$34579))))+0)+0</f>
        <v>17.01281034746993</v>
      </c>
      <c r="V338" s="127">
        <f t="shared" si="105"/>
        <v>4906</v>
      </c>
      <c r="W338" s="19">
        <f t="shared" si="106"/>
        <v>2282.913376908878</v>
      </c>
      <c r="X338" s="19">
        <v>0</v>
      </c>
      <c r="Y338" s="128">
        <f>IFERROR(VLOOKUP(D338,'Monthly Deduction'!$M$2:$N$64,2,0),0)</f>
        <v>0</v>
      </c>
      <c r="Z338" s="128">
        <v>0</v>
      </c>
      <c r="AA338" s="126">
        <f>IFERROR(VLOOKUP(D338,'Monthly Deduction'!A:B,2,0),0)</f>
        <v>0</v>
      </c>
      <c r="AB338" s="129">
        <f t="shared" si="96"/>
        <v>2623</v>
      </c>
      <c r="AC338" s="130">
        <v>0</v>
      </c>
      <c r="AD338" s="35">
        <f t="shared" si="108"/>
        <v>2623</v>
      </c>
      <c r="AE338" s="166" t="str">
        <f t="shared" si="109"/>
        <v>Release</v>
      </c>
      <c r="AF338" s="127"/>
      <c r="AG338" s="18">
        <v>0</v>
      </c>
      <c r="AH338" s="120"/>
      <c r="AI338" s="238">
        <v>0</v>
      </c>
      <c r="AJ338" s="132"/>
      <c r="AK338" s="151">
        <v>703</v>
      </c>
      <c r="AL338" s="154">
        <f t="shared" si="97"/>
        <v>0</v>
      </c>
      <c r="AM338" s="155"/>
      <c r="AN338" s="19">
        <f t="shared" si="98"/>
        <v>2282.913376908878</v>
      </c>
      <c r="AO338" s="118">
        <f>SUMIF('MPG Payment '!E:E,'Shayak Income '!D338,'MPG Payment '!AJ:AJ)</f>
        <v>0</v>
      </c>
      <c r="AP338" s="19">
        <f t="shared" si="99"/>
        <v>2282.913376908878</v>
      </c>
      <c r="AQ338" s="119">
        <f t="shared" si="110"/>
        <v>2282.913376908878</v>
      </c>
      <c r="AR338" s="91" t="s">
        <v>1168</v>
      </c>
      <c r="AS338" s="91">
        <f t="shared" si="100"/>
        <v>9862.2540000000008</v>
      </c>
      <c r="AT338" s="118"/>
      <c r="AU338" s="118"/>
      <c r="AV338" s="118"/>
    </row>
    <row r="339" spans="1:48" s="20" customFormat="1" x14ac:dyDescent="0.25">
      <c r="A339" s="17">
        <f>IFERROR(VLOOKUP(D339,'Monthly Deduction'!$I$3:$J$957,2,0),0)</f>
        <v>89735</v>
      </c>
      <c r="B339" s="17">
        <f>IFERROR(VLOOKUP(D339,'Monthly Deduction'!$E$3:$F$957,2,0),0)</f>
        <v>0</v>
      </c>
      <c r="C339" s="17">
        <f t="shared" si="101"/>
        <v>89735</v>
      </c>
      <c r="D339" s="41">
        <v>10110132</v>
      </c>
      <c r="E339" s="122" t="str">
        <f>VLOOKUP(D339,'MPG Payment '!$E$3:$G$498218,2,0)</f>
        <v>GOMUKH DHUSMURI BISHANPUR</v>
      </c>
      <c r="F339" s="146">
        <f>IFERROR(_xlfn.XLOOKUP(D339,'Monthly Deduction'!$I$3:$I$957,'Monthly Deduction'!$H$3:$H$957),0)</f>
        <v>0</v>
      </c>
      <c r="G339" s="123" t="str">
        <f>VLOOKUP(D339,'MPG Payment '!$E$3:$G$334579,3,0)</f>
        <v>MPG</v>
      </c>
      <c r="H339" s="124" t="str">
        <f>VLOOKUP(D339,'MPG Payment '!$E$3:$H$334579,4,0)</f>
        <v>Direct</v>
      </c>
      <c r="I339" s="88">
        <f>INDEX('MPG Payment '!$C:$C,MATCH('Shayak Income '!D339,'MPG Payment '!E:E,0))</f>
        <v>1054</v>
      </c>
      <c r="J339" s="88" t="str">
        <f>INDEX('MPG Payment '!$D:$D,MATCH('Shayak Income '!D339,'MPG Payment '!E:E,0))</f>
        <v xml:space="preserve">Alauli </v>
      </c>
      <c r="K339" s="125" t="s">
        <v>1322</v>
      </c>
      <c r="L339" s="125">
        <v>45772</v>
      </c>
      <c r="M339" s="126">
        <f>SUMIF('MPG Payment '!$E$3:$E$34579,'Shayak Income '!D339,'MPG Payment '!$I$3:$I$34579)</f>
        <v>1055.82</v>
      </c>
      <c r="N339" s="126">
        <f>SUMIF('MPG Payment '!$E$3:$E$34579,'Shayak Income '!D339,'MPG Payment '!$J$3:$J$34579)</f>
        <v>42308.260299435999</v>
      </c>
      <c r="O339" s="126">
        <f t="shared" si="102"/>
        <v>791.86500000000001</v>
      </c>
      <c r="P339" s="126">
        <f t="shared" si="103"/>
        <v>1003.0289999999999</v>
      </c>
      <c r="Q339" s="126">
        <f>SUMIF('MPG Payment '!$E$3:$E$34579,'Shayak Income '!D339,'MPG Payment '!$S$3:$S$34579)</f>
        <v>0</v>
      </c>
      <c r="R339" s="126">
        <f t="shared" si="94"/>
        <v>1269.2478089830799</v>
      </c>
      <c r="S339" s="126">
        <f t="shared" si="95"/>
        <v>266.21880898308007</v>
      </c>
      <c r="T339" s="126">
        <f t="shared" si="104"/>
        <v>105.58199999999999</v>
      </c>
      <c r="U339" s="127">
        <f>(((IF(K339="New",0,SUMIF('MPG Payment '!$E$3:$E$34579,'Shayak Income '!D339,'MPG Payment '!$AC$3:$AC$34579))))+0)+0</f>
        <v>1396.8373583814334</v>
      </c>
      <c r="V339" s="127">
        <f t="shared" si="105"/>
        <v>292</v>
      </c>
      <c r="W339" s="19">
        <v>292</v>
      </c>
      <c r="X339" s="19">
        <v>0</v>
      </c>
      <c r="Y339" s="128">
        <f>IFERROR(VLOOKUP(D339,'Monthly Deduction'!$M$2:$N$64,2,0),0)</f>
        <v>0</v>
      </c>
      <c r="Z339" s="128">
        <v>0</v>
      </c>
      <c r="AA339" s="126">
        <v>0</v>
      </c>
      <c r="AB339" s="129">
        <f t="shared" si="96"/>
        <v>0</v>
      </c>
      <c r="AC339" s="130">
        <f>AB339</f>
        <v>0</v>
      </c>
      <c r="AD339" s="35">
        <f t="shared" si="108"/>
        <v>0</v>
      </c>
      <c r="AE339" s="166" t="str">
        <f t="shared" si="109"/>
        <v>Release</v>
      </c>
      <c r="AF339" s="127"/>
      <c r="AG339" s="18">
        <v>0</v>
      </c>
      <c r="AH339" s="120" t="s">
        <v>1646</v>
      </c>
      <c r="AI339" s="238">
        <v>9492</v>
      </c>
      <c r="AJ339" s="132"/>
      <c r="AK339" s="151">
        <v>293.10000000000002</v>
      </c>
      <c r="AL339" s="154">
        <f t="shared" si="97"/>
        <v>0</v>
      </c>
      <c r="AM339" s="155"/>
      <c r="AN339" s="19">
        <f t="shared" si="98"/>
        <v>1861</v>
      </c>
      <c r="AO339" s="118">
        <f>SUMIF('MPG Payment '!E:E,'Shayak Income '!D339,'MPG Payment '!AJ:AJ)</f>
        <v>500</v>
      </c>
      <c r="AP339" s="19">
        <f t="shared" si="99"/>
        <v>292</v>
      </c>
      <c r="AQ339" s="119">
        <f t="shared" si="110"/>
        <v>792</v>
      </c>
      <c r="AR339" s="91" t="s">
        <v>1168</v>
      </c>
      <c r="AS339" s="91">
        <f t="shared" si="100"/>
        <v>0</v>
      </c>
      <c r="AT339" s="118"/>
      <c r="AU339" s="118"/>
      <c r="AV339" s="118"/>
    </row>
    <row r="340" spans="1:48" s="20" customFormat="1" x14ac:dyDescent="0.25">
      <c r="A340" s="17">
        <f>IFERROR(VLOOKUP(D340,'Monthly Deduction'!$I$3:$J$957,2,0),0)</f>
        <v>0</v>
      </c>
      <c r="B340" s="17">
        <f>IFERROR(VLOOKUP(D340,'Monthly Deduction'!$E$3:$F$957,2,0),0)</f>
        <v>26735.537</v>
      </c>
      <c r="C340" s="17">
        <f t="shared" si="101"/>
        <v>26735.537</v>
      </c>
      <c r="D340" s="41">
        <v>10110133</v>
      </c>
      <c r="E340" s="122" t="str">
        <f>VLOOKUP(D340,'MPG Payment '!$E$3:$G$498218,2,0)</f>
        <v>GOMUKH ANANDPUR PARAS</v>
      </c>
      <c r="F340" s="146">
        <f>IFERROR(_xlfn.XLOOKUP(D340,'Monthly Deduction'!$I$3:$I$957,'Monthly Deduction'!$H$3:$H$957),0)</f>
        <v>0</v>
      </c>
      <c r="G340" s="123" t="str">
        <f>VLOOKUP(D340,'MPG Payment '!$E$3:$G$334579,3,0)</f>
        <v>MPG</v>
      </c>
      <c r="H340" s="124" t="str">
        <f>VLOOKUP(D340,'MPG Payment '!$E$3:$H$334579,4,0)</f>
        <v>Direct</v>
      </c>
      <c r="I340" s="88">
        <f>INDEX('MPG Payment '!$C:$C,MATCH('Shayak Income '!D340,'MPG Payment '!E:E,0))</f>
        <v>1054</v>
      </c>
      <c r="J340" s="88" t="str">
        <f>INDEX('MPG Payment '!$D:$D,MATCH('Shayak Income '!D340,'MPG Payment '!E:E,0))</f>
        <v xml:space="preserve">Alauli </v>
      </c>
      <c r="K340" s="125" t="s">
        <v>1322</v>
      </c>
      <c r="L340" s="125">
        <v>45786</v>
      </c>
      <c r="M340" s="126">
        <f>SUMIF('MPG Payment '!$E$3:$E$34579,'Shayak Income '!D340,'MPG Payment '!$I$3:$I$34579)</f>
        <v>9483.7000000000007</v>
      </c>
      <c r="N340" s="126">
        <f>SUMIF('MPG Payment '!$E$3:$E$34579,'Shayak Income '!D340,'MPG Payment '!$J$3:$J$34579)</f>
        <v>363715.92844216595</v>
      </c>
      <c r="O340" s="126">
        <f t="shared" si="102"/>
        <v>7112.7750000000005</v>
      </c>
      <c r="P340" s="126">
        <f t="shared" si="103"/>
        <v>9009.5149999999994</v>
      </c>
      <c r="Q340" s="126">
        <f>SUMIF('MPG Payment '!$E$3:$E$34579,'Shayak Income '!D340,'MPG Payment '!$S$3:$S$34579)</f>
        <v>0</v>
      </c>
      <c r="R340" s="126">
        <f t="shared" si="94"/>
        <v>10911.477853264978</v>
      </c>
      <c r="S340" s="126">
        <f t="shared" si="95"/>
        <v>1901.9628532649785</v>
      </c>
      <c r="T340" s="126">
        <f t="shared" si="104"/>
        <v>948.37000000000012</v>
      </c>
      <c r="U340" s="127">
        <f>(((IF(K340="New",0,SUMIF('MPG Payment '!$E$3:$E$34579,'Shayak Income '!D340,'MPG Payment '!$AC$3:$AC$34579))))+0)+0</f>
        <v>0</v>
      </c>
      <c r="V340" s="127">
        <f t="shared" si="105"/>
        <v>15174</v>
      </c>
      <c r="W340" s="19">
        <f t="shared" si="106"/>
        <v>0</v>
      </c>
      <c r="X340" s="19">
        <f t="shared" si="107"/>
        <v>7274.3185688433196</v>
      </c>
      <c r="Y340" s="128">
        <f>IFERROR(VLOOKUP(D340,'Monthly Deduction'!$M$2:$N$64,2,0),0)</f>
        <v>0</v>
      </c>
      <c r="Z340" s="128">
        <v>0</v>
      </c>
      <c r="AA340" s="126">
        <f>IFERROR(VLOOKUP(D340,'Monthly Deduction'!A:B,2,0),0)</f>
        <v>0</v>
      </c>
      <c r="AB340" s="129">
        <f t="shared" si="96"/>
        <v>7900</v>
      </c>
      <c r="AC340" s="130">
        <v>0</v>
      </c>
      <c r="AD340" s="35">
        <f t="shared" si="108"/>
        <v>7900</v>
      </c>
      <c r="AE340" s="166" t="str">
        <f t="shared" si="109"/>
        <v>Release</v>
      </c>
      <c r="AF340" s="127"/>
      <c r="AG340" s="18">
        <v>0</v>
      </c>
      <c r="AH340" s="120"/>
      <c r="AI340" s="238">
        <v>0</v>
      </c>
      <c r="AJ340" s="132"/>
      <c r="AK340" s="151">
        <v>2423.2999999999997</v>
      </c>
      <c r="AL340" s="154">
        <f t="shared" si="97"/>
        <v>0</v>
      </c>
      <c r="AM340" s="155"/>
      <c r="AN340" s="19">
        <f t="shared" si="98"/>
        <v>0</v>
      </c>
      <c r="AO340" s="118">
        <f>SUMIF('MPG Payment '!E:E,'Shayak Income '!D340,'MPG Payment '!AJ:AJ)</f>
        <v>0</v>
      </c>
      <c r="AP340" s="19">
        <f t="shared" si="99"/>
        <v>0</v>
      </c>
      <c r="AQ340" s="119">
        <f t="shared" si="110"/>
        <v>0</v>
      </c>
      <c r="AR340" s="91"/>
      <c r="AS340" s="91">
        <f t="shared" si="100"/>
        <v>19461.218431156682</v>
      </c>
      <c r="AT340" s="118"/>
      <c r="AU340" s="118"/>
      <c r="AV340" s="118"/>
    </row>
    <row r="341" spans="1:48" s="20" customFormat="1" x14ac:dyDescent="0.25">
      <c r="A341" s="17">
        <f>IFERROR(VLOOKUP(D341,'Monthly Deduction'!$I$3:$J$957,2,0),0)</f>
        <v>80401</v>
      </c>
      <c r="B341" s="17">
        <f>IFERROR(VLOOKUP(D341,'Monthly Deduction'!$E$3:$F$957,2,0),0)</f>
        <v>0</v>
      </c>
      <c r="C341" s="17">
        <f t="shared" si="101"/>
        <v>80401</v>
      </c>
      <c r="D341" s="41">
        <v>10110134</v>
      </c>
      <c r="E341" s="122" t="str">
        <f>VLOOKUP(D341,'MPG Payment '!$E$3:$G$498218,2,0)</f>
        <v>Gomukh Bishanpur</v>
      </c>
      <c r="F341" s="146">
        <f>IFERROR(_xlfn.XLOOKUP(D341,'Monthly Deduction'!$I$3:$I$957,'Monthly Deduction'!$H$3:$H$957),0)</f>
        <v>0</v>
      </c>
      <c r="G341" s="123" t="str">
        <f>VLOOKUP(D341,'MPG Payment '!$E$3:$G$334579,3,0)</f>
        <v>MPG</v>
      </c>
      <c r="H341" s="124" t="str">
        <f>VLOOKUP(D341,'MPG Payment '!$E$3:$H$334579,4,0)</f>
        <v>Direct</v>
      </c>
      <c r="I341" s="88">
        <f>INDEX('MPG Payment '!$C:$C,MATCH('Shayak Income '!D341,'MPG Payment '!E:E,0))</f>
        <v>1054</v>
      </c>
      <c r="J341" s="88" t="str">
        <f>INDEX('MPG Payment '!$D:$D,MATCH('Shayak Income '!D341,'MPG Payment '!E:E,0))</f>
        <v xml:space="preserve">Alauli </v>
      </c>
      <c r="K341" s="125" t="s">
        <v>1322</v>
      </c>
      <c r="L341" s="125">
        <v>45770</v>
      </c>
      <c r="M341" s="126">
        <f>SUMIF('MPG Payment '!$E$3:$E$34579,'Shayak Income '!D341,'MPG Payment '!$I$3:$I$34579)</f>
        <v>1282.26</v>
      </c>
      <c r="N341" s="126">
        <f>SUMIF('MPG Payment '!$E$3:$E$34579,'Shayak Income '!D341,'MPG Payment '!$J$3:$J$34579)</f>
        <v>51057.373816367995</v>
      </c>
      <c r="O341" s="126">
        <f t="shared" si="102"/>
        <v>961.69499999999994</v>
      </c>
      <c r="P341" s="126">
        <f t="shared" si="103"/>
        <v>1218.1469999999999</v>
      </c>
      <c r="Q341" s="126">
        <f>SUMIF('MPG Payment '!$E$3:$E$34579,'Shayak Income '!D341,'MPG Payment '!$S$3:$S$34579)</f>
        <v>0</v>
      </c>
      <c r="R341" s="126">
        <f t="shared" si="94"/>
        <v>1531.7212144910397</v>
      </c>
      <c r="S341" s="126">
        <f t="shared" si="95"/>
        <v>313.57421449103981</v>
      </c>
      <c r="T341" s="126">
        <f t="shared" si="104"/>
        <v>128.226</v>
      </c>
      <c r="U341" s="127">
        <f>(((IF(K341="New",0,SUMIF('MPG Payment '!$E$3:$E$34579,'Shayak Income '!D341,'MPG Payment '!$AC$3:$AC$34579))))+0)+0</f>
        <v>1208.6742215106656</v>
      </c>
      <c r="V341" s="127">
        <f t="shared" si="105"/>
        <v>843</v>
      </c>
      <c r="W341" s="19">
        <v>843</v>
      </c>
      <c r="X341" s="19">
        <v>0</v>
      </c>
      <c r="Y341" s="128">
        <f>IFERROR(VLOOKUP(D341,'Monthly Deduction'!$M$2:$N$64,2,0),0)</f>
        <v>0</v>
      </c>
      <c r="Z341" s="128">
        <v>0</v>
      </c>
      <c r="AA341" s="126">
        <v>0</v>
      </c>
      <c r="AB341" s="129">
        <f t="shared" si="96"/>
        <v>0</v>
      </c>
      <c r="AC341" s="130">
        <v>0</v>
      </c>
      <c r="AD341" s="35">
        <f t="shared" si="108"/>
        <v>0</v>
      </c>
      <c r="AE341" s="166" t="str">
        <f t="shared" si="109"/>
        <v>Release</v>
      </c>
      <c r="AF341" s="127"/>
      <c r="AG341" s="127">
        <v>0</v>
      </c>
      <c r="AH341" s="120"/>
      <c r="AI341" s="238">
        <v>0</v>
      </c>
      <c r="AJ341" s="132"/>
      <c r="AK341" s="151">
        <v>273.3</v>
      </c>
      <c r="AL341" s="154">
        <f t="shared" si="97"/>
        <v>0</v>
      </c>
      <c r="AM341" s="155"/>
      <c r="AN341" s="19">
        <f t="shared" si="98"/>
        <v>1861</v>
      </c>
      <c r="AO341" s="118">
        <f>SUMIF('MPG Payment '!E:E,'Shayak Income '!D341,'MPG Payment '!AJ:AJ)</f>
        <v>0</v>
      </c>
      <c r="AP341" s="19">
        <f t="shared" si="99"/>
        <v>843</v>
      </c>
      <c r="AQ341" s="119">
        <f t="shared" si="110"/>
        <v>843</v>
      </c>
      <c r="AR341" s="91" t="s">
        <v>1168</v>
      </c>
      <c r="AS341" s="91">
        <f t="shared" si="100"/>
        <v>0</v>
      </c>
      <c r="AT341" s="118"/>
      <c r="AU341" s="118"/>
      <c r="AV341" s="118"/>
    </row>
    <row r="342" spans="1:48" s="20" customFormat="1" x14ac:dyDescent="0.25">
      <c r="A342" s="17">
        <f>IFERROR(VLOOKUP(D342,'Monthly Deduction'!$I$3:$J$957,2,0),0)</f>
        <v>67905</v>
      </c>
      <c r="B342" s="17">
        <f>IFERROR(VLOOKUP(D342,'Monthly Deduction'!$E$3:$F$957,2,0),0)</f>
        <v>11013.945599999999</v>
      </c>
      <c r="C342" s="17">
        <f t="shared" si="101"/>
        <v>78918.945600000006</v>
      </c>
      <c r="D342" s="41">
        <v>10110135</v>
      </c>
      <c r="E342" s="122" t="str">
        <f>VLOOKUP(D342,'MPG Payment '!$E$3:$G$498218,2,0)</f>
        <v>GOMUKH BISHANPUR 2</v>
      </c>
      <c r="F342" s="146">
        <f>IFERROR(_xlfn.XLOOKUP(D342,'Monthly Deduction'!$I$3:$I$957,'Monthly Deduction'!$H$3:$H$957),0)</f>
        <v>0</v>
      </c>
      <c r="G342" s="123" t="str">
        <f>VLOOKUP(D342,'MPG Payment '!$E$3:$G$334579,3,0)</f>
        <v>MPG</v>
      </c>
      <c r="H342" s="124" t="str">
        <f>VLOOKUP(D342,'MPG Payment '!$E$3:$H$334579,4,0)</f>
        <v>Direct</v>
      </c>
      <c r="I342" s="88">
        <f>INDEX('MPG Payment '!$C:$C,MATCH('Shayak Income '!D342,'MPG Payment '!E:E,0))</f>
        <v>1054</v>
      </c>
      <c r="J342" s="88" t="str">
        <f>INDEX('MPG Payment '!$D:$D,MATCH('Shayak Income '!D342,'MPG Payment '!E:E,0))</f>
        <v xml:space="preserve">Alauli </v>
      </c>
      <c r="K342" s="125" t="s">
        <v>1322</v>
      </c>
      <c r="L342" s="125">
        <v>45767</v>
      </c>
      <c r="M342" s="126">
        <f>SUMIF('MPG Payment '!$E$3:$E$34579,'Shayak Income '!D342,'MPG Payment '!$I$3:$I$34579)</f>
        <v>2817.6000000000004</v>
      </c>
      <c r="N342" s="126">
        <f>SUMIF('MPG Payment '!$E$3:$E$34579,'Shayak Income '!D342,'MPG Payment '!$J$3:$J$34579)</f>
        <v>108566.80323922</v>
      </c>
      <c r="O342" s="126">
        <f t="shared" si="102"/>
        <v>2113.2000000000003</v>
      </c>
      <c r="P342" s="126">
        <f t="shared" si="103"/>
        <v>2676.7200000000003</v>
      </c>
      <c r="Q342" s="126">
        <f>SUMIF('MPG Payment '!$E$3:$E$34579,'Shayak Income '!D342,'MPG Payment '!$S$3:$S$34579)</f>
        <v>58.927744656000002</v>
      </c>
      <c r="R342" s="126">
        <f t="shared" si="94"/>
        <v>3257.0040971765998</v>
      </c>
      <c r="S342" s="126">
        <f t="shared" si="95"/>
        <v>580.28409717659952</v>
      </c>
      <c r="T342" s="126">
        <f t="shared" si="104"/>
        <v>281.76000000000005</v>
      </c>
      <c r="U342" s="127">
        <f>(((IF(K342="New",0,SUMIF('MPG Payment '!$E$3:$E$34579,'Shayak Income '!D342,'MPG Payment '!$AC$3:$AC$34579))))+0)+0</f>
        <v>87.822708402408637</v>
      </c>
      <c r="V342" s="127">
        <f t="shared" si="105"/>
        <v>4479</v>
      </c>
      <c r="W342" s="19">
        <f t="shared" si="106"/>
        <v>2171.3360647844002</v>
      </c>
      <c r="X342" s="19">
        <v>0</v>
      </c>
      <c r="Y342" s="128">
        <f>IFERROR(VLOOKUP(D342,'Monthly Deduction'!$M$2:$N$64,2,0),0)</f>
        <v>0</v>
      </c>
      <c r="Z342" s="128">
        <v>0</v>
      </c>
      <c r="AA342" s="126">
        <f>IFERROR(VLOOKUP(D342,'Monthly Deduction'!A:B,2,0),0)</f>
        <v>0</v>
      </c>
      <c r="AB342" s="129">
        <f t="shared" si="96"/>
        <v>2308</v>
      </c>
      <c r="AC342" s="130">
        <v>0</v>
      </c>
      <c r="AD342" s="35">
        <f t="shared" si="108"/>
        <v>2308</v>
      </c>
      <c r="AE342" s="166" t="str">
        <f t="shared" si="109"/>
        <v>Release</v>
      </c>
      <c r="AF342" s="127"/>
      <c r="AG342" s="18">
        <v>0</v>
      </c>
      <c r="AH342" s="120"/>
      <c r="AI342" s="238">
        <v>0</v>
      </c>
      <c r="AJ342" s="132"/>
      <c r="AK342" s="151">
        <v>751.20000000000016</v>
      </c>
      <c r="AL342" s="154">
        <f t="shared" si="97"/>
        <v>0</v>
      </c>
      <c r="AM342" s="155"/>
      <c r="AN342" s="19">
        <f t="shared" si="98"/>
        <v>2171.3360647844002</v>
      </c>
      <c r="AO342" s="118">
        <f>SUMIF('MPG Payment '!E:E,'Shayak Income '!D342,'MPG Payment '!AJ:AJ)</f>
        <v>0</v>
      </c>
      <c r="AP342" s="19">
        <f t="shared" si="99"/>
        <v>2171.3360647844002</v>
      </c>
      <c r="AQ342" s="119">
        <f t="shared" si="110"/>
        <v>2171.3360647844002</v>
      </c>
      <c r="AR342" s="91" t="s">
        <v>1168</v>
      </c>
      <c r="AS342" s="91">
        <f t="shared" si="100"/>
        <v>11013.945599999999</v>
      </c>
      <c r="AT342" s="118"/>
      <c r="AU342" s="118"/>
      <c r="AV342" s="118"/>
    </row>
    <row r="343" spans="1:48" s="20" customFormat="1" x14ac:dyDescent="0.25">
      <c r="A343" s="17">
        <f>IFERROR(VLOOKUP(D343,'Monthly Deduction'!$I$3:$J$957,2,0),0)</f>
        <v>73934.354599999991</v>
      </c>
      <c r="B343" s="17">
        <f>IFERROR(VLOOKUP(D343,'Monthly Deduction'!$E$3:$F$957,2,0),0)</f>
        <v>9600</v>
      </c>
      <c r="C343" s="17">
        <f t="shared" si="101"/>
        <v>83534.354599999991</v>
      </c>
      <c r="D343" s="41">
        <v>10110140</v>
      </c>
      <c r="E343" s="122" t="str">
        <f>VLOOKUP(D343,'MPG Payment '!$E$3:$G$498218,2,0)</f>
        <v>GOMUKH GHAMARIYA</v>
      </c>
      <c r="F343" s="146">
        <f>IFERROR(_xlfn.XLOOKUP(D343,'Monthly Deduction'!$I$3:$I$957,'Monthly Deduction'!$H$3:$H$957),0)</f>
        <v>0</v>
      </c>
      <c r="G343" s="123" t="str">
        <f>VLOOKUP(D343,'MPG Payment '!$E$3:$G$334579,3,0)</f>
        <v>MPG</v>
      </c>
      <c r="H343" s="124" t="str">
        <f>VLOOKUP(D343,'MPG Payment '!$E$3:$H$334579,4,0)</f>
        <v>Direct</v>
      </c>
      <c r="I343" s="88">
        <f>INDEX('MPG Payment '!$C:$C,MATCH('Shayak Income '!D343,'MPG Payment '!E:E,0))</f>
        <v>1054</v>
      </c>
      <c r="J343" s="88" t="str">
        <f>INDEX('MPG Payment '!$D:$D,MATCH('Shayak Income '!D343,'MPG Payment '!E:E,0))</f>
        <v xml:space="preserve">Alauli </v>
      </c>
      <c r="K343" s="125" t="s">
        <v>1322</v>
      </c>
      <c r="L343" s="125">
        <v>45786</v>
      </c>
      <c r="M343" s="126">
        <f>SUMIF('MPG Payment '!$E$3:$E$34579,'Shayak Income '!D343,'MPG Payment '!$I$3:$I$34579)</f>
        <v>725.4</v>
      </c>
      <c r="N343" s="126">
        <f>SUMIF('MPG Payment '!$E$3:$E$34579,'Shayak Income '!D343,'MPG Payment '!$J$3:$J$34579)</f>
        <v>32682.872259956504</v>
      </c>
      <c r="O343" s="126">
        <f t="shared" si="102"/>
        <v>544.04999999999995</v>
      </c>
      <c r="P343" s="126">
        <f t="shared" si="103"/>
        <v>689.13</v>
      </c>
      <c r="Q343" s="126">
        <f>SUMIF('MPG Payment '!$E$3:$E$34579,'Shayak Income '!D343,'MPG Payment '!$S$3:$S$34579)</f>
        <v>602.52829928741005</v>
      </c>
      <c r="R343" s="126">
        <f t="shared" si="94"/>
        <v>980.48616779869508</v>
      </c>
      <c r="S343" s="126">
        <f t="shared" si="95"/>
        <v>291.35616779869508</v>
      </c>
      <c r="T343" s="126">
        <f t="shared" si="104"/>
        <v>72.540000000000006</v>
      </c>
      <c r="U343" s="127">
        <f>(((IF(K343="New",0,SUMIF('MPG Payment '!$E$3:$E$34579,'Shayak Income '!D343,'MPG Payment '!$AC$3:$AC$34579))))+0)+-113</f>
        <v>1762.8542354120227</v>
      </c>
      <c r="V343" s="127">
        <f t="shared" si="105"/>
        <v>0</v>
      </c>
      <c r="W343" s="19">
        <v>0</v>
      </c>
      <c r="X343" s="19">
        <v>0</v>
      </c>
      <c r="Y343" s="128">
        <f>IFERROR(VLOOKUP(D343,'Monthly Deduction'!$M$2:$N$64,2,0),0)</f>
        <v>0</v>
      </c>
      <c r="Z343" s="128">
        <v>0</v>
      </c>
      <c r="AA343" s="126">
        <v>0</v>
      </c>
      <c r="AB343" s="129">
        <f t="shared" si="96"/>
        <v>0</v>
      </c>
      <c r="AC343" s="130">
        <v>0</v>
      </c>
      <c r="AD343" s="35">
        <f t="shared" si="108"/>
        <v>0</v>
      </c>
      <c r="AE343" s="166" t="str">
        <f t="shared" si="109"/>
        <v>Release</v>
      </c>
      <c r="AF343" s="127"/>
      <c r="AG343" s="18">
        <v>0</v>
      </c>
      <c r="AH343" s="120"/>
      <c r="AI343" s="238">
        <v>0</v>
      </c>
      <c r="AJ343" s="132"/>
      <c r="AK343" s="151">
        <v>174.1</v>
      </c>
      <c r="AL343" s="154">
        <f t="shared" si="97"/>
        <v>0</v>
      </c>
      <c r="AM343" s="155"/>
      <c r="AN343" s="19">
        <f t="shared" si="98"/>
        <v>1861</v>
      </c>
      <c r="AO343" s="118">
        <f>SUMIF('MPG Payment '!E:E,'Shayak Income '!D343,'MPG Payment '!AJ:AJ)</f>
        <v>0</v>
      </c>
      <c r="AP343" s="19">
        <f t="shared" si="99"/>
        <v>0</v>
      </c>
      <c r="AQ343" s="119">
        <f t="shared" si="110"/>
        <v>0</v>
      </c>
      <c r="AR343" s="91" t="s">
        <v>1168</v>
      </c>
      <c r="AS343" s="91">
        <f t="shared" si="100"/>
        <v>9600</v>
      </c>
      <c r="AT343" s="118"/>
      <c r="AU343" s="118"/>
      <c r="AV343" s="118"/>
    </row>
    <row r="344" spans="1:48" s="20" customFormat="1" x14ac:dyDescent="0.25">
      <c r="A344" s="17">
        <f>IFERROR(VLOOKUP(D344,'Monthly Deduction'!$I$3:$J$957,2,0),0)</f>
        <v>43452.409054434189</v>
      </c>
      <c r="B344" s="17">
        <f>IFERROR(VLOOKUP(D344,'Monthly Deduction'!$E$3:$F$957,2,0),0)</f>
        <v>15057.386200000001</v>
      </c>
      <c r="C344" s="17">
        <f t="shared" si="101"/>
        <v>58509.79525443419</v>
      </c>
      <c r="D344" s="41">
        <v>10110141</v>
      </c>
      <c r="E344" s="122" t="str">
        <f>VLOOKUP(D344,'MPG Payment '!$E$3:$G$498218,2,0)</f>
        <v>GOMUKH MEGHAUMA</v>
      </c>
      <c r="F344" s="146">
        <f>IFERROR(_xlfn.XLOOKUP(D344,'Monthly Deduction'!$I$3:$I$957,'Monthly Deduction'!$H$3:$H$957),0)</f>
        <v>0</v>
      </c>
      <c r="G344" s="123" t="str">
        <f>VLOOKUP(D344,'MPG Payment '!$E$3:$G$334579,3,0)</f>
        <v>MPG</v>
      </c>
      <c r="H344" s="124" t="str">
        <f>VLOOKUP(D344,'MPG Payment '!$E$3:$H$334579,4,0)</f>
        <v>Direct</v>
      </c>
      <c r="I344" s="88">
        <f>INDEX('MPG Payment '!$C:$C,MATCH('Shayak Income '!D344,'MPG Payment '!E:E,0))</f>
        <v>1054</v>
      </c>
      <c r="J344" s="88" t="str">
        <f>INDEX('MPG Payment '!$D:$D,MATCH('Shayak Income '!D344,'MPG Payment '!E:E,0))</f>
        <v xml:space="preserve">Alauli </v>
      </c>
      <c r="K344" s="125" t="s">
        <v>1322</v>
      </c>
      <c r="L344" s="125">
        <v>45786</v>
      </c>
      <c r="M344" s="126">
        <f>SUMIF('MPG Payment '!$E$3:$E$34579,'Shayak Income '!D344,'MPG Payment '!$I$3:$I$34579)</f>
        <v>3511.72</v>
      </c>
      <c r="N344" s="126">
        <f>SUMIF('MPG Payment '!$E$3:$E$34579,'Shayak Income '!D344,'MPG Payment '!$J$3:$J$34579)</f>
        <v>140838.220350474</v>
      </c>
      <c r="O344" s="126">
        <f t="shared" si="102"/>
        <v>2633.79</v>
      </c>
      <c r="P344" s="126">
        <f t="shared" si="103"/>
        <v>3336.1339999999996</v>
      </c>
      <c r="Q344" s="126">
        <f>SUMIF('MPG Payment '!$E$3:$E$34579,'Shayak Income '!D344,'MPG Payment '!$S$3:$S$34579)</f>
        <v>2109.8517904425003</v>
      </c>
      <c r="R344" s="126">
        <f t="shared" si="94"/>
        <v>4225.1466105142199</v>
      </c>
      <c r="S344" s="126">
        <f t="shared" si="95"/>
        <v>889.01261051422034</v>
      </c>
      <c r="T344" s="126">
        <f t="shared" si="104"/>
        <v>351.17200000000003</v>
      </c>
      <c r="U344" s="127">
        <f>(((IF(K344="New",0,SUMIF('MPG Payment '!$E$3:$E$34579,'Shayak Income '!D344,'MPG Payment '!$AC$3:$AC$34579))))+0)+0</f>
        <v>0</v>
      </c>
      <c r="V344" s="127">
        <f t="shared" si="105"/>
        <v>7729</v>
      </c>
      <c r="W344" s="19">
        <f t="shared" si="106"/>
        <v>2816.7644070094802</v>
      </c>
      <c r="X344" s="19">
        <v>0</v>
      </c>
      <c r="Y344" s="128">
        <f>IFERROR(VLOOKUP(D344,'Monthly Deduction'!$M$2:$N$64,2,0),0)</f>
        <v>0</v>
      </c>
      <c r="Z344" s="128">
        <v>0</v>
      </c>
      <c r="AA344" s="126">
        <f>IFERROR(VLOOKUP(D344,'Monthly Deduction'!A:B,2,0),0)</f>
        <v>0</v>
      </c>
      <c r="AB344" s="129">
        <f t="shared" si="96"/>
        <v>4912</v>
      </c>
      <c r="AC344" s="130">
        <v>0</v>
      </c>
      <c r="AD344" s="35">
        <f t="shared" si="108"/>
        <v>4912</v>
      </c>
      <c r="AE344" s="166" t="str">
        <f t="shared" si="109"/>
        <v>Release</v>
      </c>
      <c r="AF344" s="127"/>
      <c r="AG344" s="18">
        <v>0</v>
      </c>
      <c r="AH344" s="132"/>
      <c r="AI344" s="238">
        <v>0</v>
      </c>
      <c r="AJ344" s="132"/>
      <c r="AK344" s="151">
        <v>962.20000000000016</v>
      </c>
      <c r="AL344" s="154">
        <f t="shared" si="97"/>
        <v>0</v>
      </c>
      <c r="AM344" s="155"/>
      <c r="AN344" s="19">
        <f t="shared" si="98"/>
        <v>2816.7644070094802</v>
      </c>
      <c r="AO344" s="118">
        <f>SUMIF('MPG Payment '!E:E,'Shayak Income '!D344,'MPG Payment '!AJ:AJ)</f>
        <v>0</v>
      </c>
      <c r="AP344" s="19">
        <f t="shared" si="99"/>
        <v>2816.7644070094802</v>
      </c>
      <c r="AQ344" s="119">
        <f t="shared" si="110"/>
        <v>2816.7644070094802</v>
      </c>
      <c r="AR344" s="91" t="s">
        <v>1168</v>
      </c>
      <c r="AS344" s="91">
        <f t="shared" si="100"/>
        <v>15057.386200000001</v>
      </c>
      <c r="AT344" s="118"/>
      <c r="AU344" s="118"/>
      <c r="AV344" s="118"/>
    </row>
    <row r="345" spans="1:48" s="20" customFormat="1" x14ac:dyDescent="0.25">
      <c r="A345" s="17">
        <f>IFERROR(VLOOKUP(D345,'Monthly Deduction'!$I$3:$J$957,2,0),0)</f>
        <v>39351.76603904611</v>
      </c>
      <c r="B345" s="17">
        <f>IFERROR(VLOOKUP(D345,'Monthly Deduction'!$E$3:$F$957,2,0),0)</f>
        <v>19200</v>
      </c>
      <c r="C345" s="17">
        <f t="shared" si="101"/>
        <v>58551.76603904611</v>
      </c>
      <c r="D345" s="41">
        <v>10110143</v>
      </c>
      <c r="E345" s="122" t="str">
        <f>VLOOKUP(D345,'MPG Payment '!$E$3:$G$498218,2,0)</f>
        <v>GOMUKH AURA</v>
      </c>
      <c r="F345" s="146">
        <f>IFERROR(_xlfn.XLOOKUP(D345,'Monthly Deduction'!$I$3:$I$957,'Monthly Deduction'!$H$3:$H$957),0)</f>
        <v>0</v>
      </c>
      <c r="G345" s="123" t="str">
        <f>VLOOKUP(D345,'MPG Payment '!$E$3:$G$334579,3,0)</f>
        <v>MPG</v>
      </c>
      <c r="H345" s="124" t="str">
        <f>VLOOKUP(D345,'MPG Payment '!$E$3:$H$334579,4,0)</f>
        <v>Direct</v>
      </c>
      <c r="I345" s="88">
        <f>INDEX('MPG Payment '!$C:$C,MATCH('Shayak Income '!D345,'MPG Payment '!E:E,0))</f>
        <v>1054</v>
      </c>
      <c r="J345" s="88" t="str">
        <f>INDEX('MPG Payment '!$D:$D,MATCH('Shayak Income '!D345,'MPG Payment '!E:E,0))</f>
        <v xml:space="preserve">Alauli </v>
      </c>
      <c r="K345" s="125" t="s">
        <v>1322</v>
      </c>
      <c r="L345" s="125">
        <v>45786</v>
      </c>
      <c r="M345" s="126">
        <f>SUMIF('MPG Payment '!$E$3:$E$34579,'Shayak Income '!D345,'MPG Payment '!$I$3:$I$34579)</f>
        <v>3569.02</v>
      </c>
      <c r="N345" s="126">
        <f>SUMIF('MPG Payment '!$E$3:$E$34579,'Shayak Income '!D345,'MPG Payment '!$J$3:$J$34579)</f>
        <v>130774.6226173437</v>
      </c>
      <c r="O345" s="126">
        <f t="shared" si="102"/>
        <v>2676.7649999999999</v>
      </c>
      <c r="P345" s="126">
        <f t="shared" si="103"/>
        <v>3390.569</v>
      </c>
      <c r="Q345" s="126">
        <f>SUMIF('MPG Payment '!$E$3:$E$34579,'Shayak Income '!D345,'MPG Payment '!$S$3:$S$34579)</f>
        <v>0</v>
      </c>
      <c r="R345" s="126">
        <f t="shared" si="94"/>
        <v>3923.2386785203107</v>
      </c>
      <c r="S345" s="126">
        <f t="shared" si="95"/>
        <v>532.66967852031075</v>
      </c>
      <c r="T345" s="126">
        <f t="shared" si="104"/>
        <v>356.90200000000004</v>
      </c>
      <c r="U345" s="127">
        <f>(((IF(K345="New",0,SUMIF('MPG Payment '!$E$3:$E$34579,'Shayak Income '!D345,'MPG Payment '!$AC$3:$AC$34579))))+0)+0</f>
        <v>0</v>
      </c>
      <c r="V345" s="127">
        <f t="shared" si="105"/>
        <v>5710</v>
      </c>
      <c r="W345" s="19">
        <f t="shared" si="106"/>
        <v>2615.492452346874</v>
      </c>
      <c r="X345" s="19">
        <v>0</v>
      </c>
      <c r="Y345" s="128">
        <f>IFERROR(VLOOKUP(D345,'Monthly Deduction'!$M$2:$N$64,2,0),0)</f>
        <v>0</v>
      </c>
      <c r="Z345" s="128">
        <v>0</v>
      </c>
      <c r="AA345" s="126">
        <f>IFERROR(VLOOKUP(D345,'Monthly Deduction'!A:B,2,0),0)</f>
        <v>0</v>
      </c>
      <c r="AB345" s="129">
        <f t="shared" si="96"/>
        <v>3095</v>
      </c>
      <c r="AC345" s="130">
        <v>0</v>
      </c>
      <c r="AD345" s="35">
        <f t="shared" si="108"/>
        <v>3095</v>
      </c>
      <c r="AE345" s="166" t="str">
        <f t="shared" si="109"/>
        <v>Release</v>
      </c>
      <c r="AF345" s="127"/>
      <c r="AG345" s="18">
        <v>0</v>
      </c>
      <c r="AH345" s="120"/>
      <c r="AI345" s="238">
        <v>0</v>
      </c>
      <c r="AJ345" s="132"/>
      <c r="AK345" s="151">
        <v>819.6</v>
      </c>
      <c r="AL345" s="154">
        <f t="shared" si="97"/>
        <v>0</v>
      </c>
      <c r="AM345" s="155"/>
      <c r="AN345" s="19">
        <f t="shared" si="98"/>
        <v>2615.492452346874</v>
      </c>
      <c r="AO345" s="118">
        <f>SUMIF('MPG Payment '!E:E,'Shayak Income '!D345,'MPG Payment '!AJ:AJ)</f>
        <v>0</v>
      </c>
      <c r="AP345" s="19">
        <f t="shared" si="99"/>
        <v>2615.492452346874</v>
      </c>
      <c r="AQ345" s="119">
        <f t="shared" si="110"/>
        <v>2615.492452346874</v>
      </c>
      <c r="AR345" s="91" t="s">
        <v>1168</v>
      </c>
      <c r="AS345" s="91">
        <f t="shared" si="100"/>
        <v>19200</v>
      </c>
      <c r="AT345" s="118"/>
      <c r="AU345" s="118"/>
      <c r="AV345" s="118"/>
    </row>
    <row r="346" spans="1:48" s="20" customFormat="1" x14ac:dyDescent="0.25">
      <c r="A346" s="17">
        <f>IFERROR(VLOOKUP(D346,'Monthly Deduction'!$I$3:$J$957,2,0),0)</f>
        <v>52728.359230474394</v>
      </c>
      <c r="B346" s="17">
        <f>IFERROR(VLOOKUP(D346,'Monthly Deduction'!$E$3:$F$957,2,0),0)</f>
        <v>8799.2216000000008</v>
      </c>
      <c r="C346" s="17">
        <f t="shared" si="101"/>
        <v>61527.580830474399</v>
      </c>
      <c r="D346" s="41">
        <v>10110144</v>
      </c>
      <c r="E346" s="122" t="str">
        <f>VLOOKUP(D346,'MPG Payment '!$E$3:$G$498218,2,0)</f>
        <v>GOMUKH BEHORBA</v>
      </c>
      <c r="F346" s="146">
        <f>IFERROR(_xlfn.XLOOKUP(D346,'Monthly Deduction'!$I$3:$I$957,'Monthly Deduction'!$H$3:$H$957),0)</f>
        <v>0</v>
      </c>
      <c r="G346" s="123" t="str">
        <f>VLOOKUP(D346,'MPG Payment '!$E$3:$G$334579,3,0)</f>
        <v>MPG</v>
      </c>
      <c r="H346" s="124" t="str">
        <f>VLOOKUP(D346,'MPG Payment '!$E$3:$H$334579,4,0)</f>
        <v>Direct</v>
      </c>
      <c r="I346" s="88">
        <f>INDEX('MPG Payment '!$C:$C,MATCH('Shayak Income '!D346,'MPG Payment '!E:E,0))</f>
        <v>1054</v>
      </c>
      <c r="J346" s="88" t="str">
        <f>INDEX('MPG Payment '!$D:$D,MATCH('Shayak Income '!D346,'MPG Payment '!E:E,0))</f>
        <v xml:space="preserve">Alauli </v>
      </c>
      <c r="K346" s="125" t="s">
        <v>1322</v>
      </c>
      <c r="L346" s="125">
        <v>45786</v>
      </c>
      <c r="M346" s="126">
        <f>SUMIF('MPG Payment '!$E$3:$E$34579,'Shayak Income '!D346,'MPG Payment '!$I$3:$I$34579)</f>
        <v>3337.88</v>
      </c>
      <c r="N346" s="126">
        <f>SUMIF('MPG Payment '!$E$3:$E$34579,'Shayak Income '!D346,'MPG Payment '!$J$3:$J$34579)</f>
        <v>124815.8991796913</v>
      </c>
      <c r="O346" s="126">
        <f t="shared" si="102"/>
        <v>2503.41</v>
      </c>
      <c r="P346" s="126">
        <f t="shared" si="103"/>
        <v>3170.9859999999999</v>
      </c>
      <c r="Q346" s="126">
        <f>SUMIF('MPG Payment '!$E$3:$E$34579,'Shayak Income '!D346,'MPG Payment '!$S$3:$S$34579)</f>
        <v>0</v>
      </c>
      <c r="R346" s="126">
        <f t="shared" si="94"/>
        <v>3744.476975390739</v>
      </c>
      <c r="S346" s="126">
        <f t="shared" si="95"/>
        <v>573.4909753907391</v>
      </c>
      <c r="T346" s="126">
        <f t="shared" si="104"/>
        <v>333.78800000000001</v>
      </c>
      <c r="U346" s="127">
        <f>(((IF(K346="New",0,SUMIF('MPG Payment '!$E$3:$E$34579,'Shayak Income '!D346,'MPG Payment '!$AC$3:$AC$34579))))+0)+0</f>
        <v>21.727699105545572</v>
      </c>
      <c r="V346" s="127">
        <f t="shared" si="105"/>
        <v>5319</v>
      </c>
      <c r="W346" s="19">
        <f t="shared" si="106"/>
        <v>2496.3179835938263</v>
      </c>
      <c r="X346" s="19">
        <v>0</v>
      </c>
      <c r="Y346" s="128">
        <f>IFERROR(VLOOKUP(D346,'Monthly Deduction'!$M$2:$N$64,2,0),0)</f>
        <v>0</v>
      </c>
      <c r="Z346" s="128">
        <v>0</v>
      </c>
      <c r="AA346" s="126">
        <f>IFERROR(VLOOKUP(D346,'Monthly Deduction'!A:B,2,0),0)</f>
        <v>0</v>
      </c>
      <c r="AB346" s="129">
        <f t="shared" si="96"/>
        <v>2823</v>
      </c>
      <c r="AC346" s="130">
        <v>0</v>
      </c>
      <c r="AD346" s="35">
        <f t="shared" si="108"/>
        <v>2823</v>
      </c>
      <c r="AE346" s="166" t="str">
        <f t="shared" si="109"/>
        <v>Release</v>
      </c>
      <c r="AF346" s="127"/>
      <c r="AG346" s="18">
        <v>0</v>
      </c>
      <c r="AH346" s="120"/>
      <c r="AI346" s="238">
        <v>0</v>
      </c>
      <c r="AJ346" s="132"/>
      <c r="AK346" s="151">
        <v>832.00000000000011</v>
      </c>
      <c r="AL346" s="154">
        <f t="shared" si="97"/>
        <v>0</v>
      </c>
      <c r="AM346" s="155"/>
      <c r="AN346" s="19">
        <f t="shared" si="98"/>
        <v>2496.3179835938263</v>
      </c>
      <c r="AO346" s="118">
        <f>SUMIF('MPG Payment '!E:E,'Shayak Income '!D346,'MPG Payment '!AJ:AJ)</f>
        <v>0</v>
      </c>
      <c r="AP346" s="19">
        <f t="shared" si="99"/>
        <v>2496.3179835938263</v>
      </c>
      <c r="AQ346" s="119">
        <f t="shared" si="110"/>
        <v>2496.3179835938263</v>
      </c>
      <c r="AR346" s="91" t="s">
        <v>1168</v>
      </c>
      <c r="AS346" s="91">
        <f t="shared" si="100"/>
        <v>8799.2216000000008</v>
      </c>
      <c r="AT346" s="118"/>
      <c r="AU346" s="118"/>
      <c r="AV346" s="118"/>
    </row>
    <row r="347" spans="1:48" s="20" customFormat="1" x14ac:dyDescent="0.25">
      <c r="A347" s="17">
        <f>IFERROR(VLOOKUP(D347,'Monthly Deduction'!$I$3:$J$957,2,0),0)</f>
        <v>0</v>
      </c>
      <c r="B347" s="17">
        <f>IFERROR(VLOOKUP(D347,'Monthly Deduction'!$E$3:$F$957,2,0),0)</f>
        <v>0</v>
      </c>
      <c r="C347" s="17">
        <f t="shared" si="101"/>
        <v>0</v>
      </c>
      <c r="D347" s="41">
        <v>10110146</v>
      </c>
      <c r="E347" s="122" t="str">
        <f>VLOOKUP(D347,'MPG Payment '!$E$3:$G$498218,2,0)</f>
        <v>GOMUKH SAIDPUR SAMASTIPUR</v>
      </c>
      <c r="F347" s="146">
        <f>IFERROR(_xlfn.XLOOKUP(D347,'Monthly Deduction'!$I$3:$I$957,'Monthly Deduction'!$H$3:$H$957),0)</f>
        <v>0</v>
      </c>
      <c r="G347" s="123" t="str">
        <f>VLOOKUP(D347,'MPG Payment '!$E$3:$G$334579,3,0)</f>
        <v>MPG</v>
      </c>
      <c r="H347" s="124" t="str">
        <f>VLOOKUP(D347,'MPG Payment '!$E$3:$H$334579,4,0)</f>
        <v>Direct</v>
      </c>
      <c r="I347" s="88">
        <f>INDEX('MPG Payment '!$C:$C,MATCH('Shayak Income '!D347,'MPG Payment '!E:E,0))</f>
        <v>1011</v>
      </c>
      <c r="J347" s="88" t="str">
        <f>INDEX('MPG Payment '!$D:$D,MATCH('Shayak Income '!D347,'MPG Payment '!E:E,0))</f>
        <v>Sahibpur Kamal</v>
      </c>
      <c r="K347" s="125" t="s">
        <v>1322</v>
      </c>
      <c r="L347" s="125">
        <v>45768</v>
      </c>
      <c r="M347" s="126">
        <f>SUMIF('MPG Payment '!$E$3:$E$34579,'Shayak Income '!D347,'MPG Payment '!$I$3:$I$34579)</f>
        <v>4454.6000000000004</v>
      </c>
      <c r="N347" s="126">
        <f>SUMIF('MPG Payment '!$E$3:$E$34579,'Shayak Income '!D347,'MPG Payment '!$J$3:$J$34579)</f>
        <v>161799.7255047014</v>
      </c>
      <c r="O347" s="126">
        <f t="shared" si="102"/>
        <v>3340.9500000000003</v>
      </c>
      <c r="P347" s="126">
        <f t="shared" si="103"/>
        <v>4231.87</v>
      </c>
      <c r="Q347" s="126">
        <f>SUMIF('MPG Payment '!$E$3:$E$34579,'Shayak Income '!D347,'MPG Payment '!$S$3:$S$34579)</f>
        <v>0</v>
      </c>
      <c r="R347" s="126">
        <f t="shared" si="94"/>
        <v>4853.9917651410424</v>
      </c>
      <c r="S347" s="126">
        <f t="shared" si="95"/>
        <v>622.12176514104249</v>
      </c>
      <c r="T347" s="126">
        <f t="shared" si="104"/>
        <v>445.46000000000004</v>
      </c>
      <c r="U347" s="127">
        <f>(((IF(K347="New",0,SUMIF('MPG Payment '!$E$3:$E$34579,'Shayak Income '!D347,'MPG Payment '!$AC$3:$AC$34579))))+0)+0</f>
        <v>13.834736656891483</v>
      </c>
      <c r="V347" s="127">
        <f t="shared" si="105"/>
        <v>7114</v>
      </c>
      <c r="W347" s="19">
        <f t="shared" si="106"/>
        <v>0</v>
      </c>
      <c r="X347" s="19">
        <f t="shared" si="107"/>
        <v>0</v>
      </c>
      <c r="Y347" s="128">
        <f>IFERROR(VLOOKUP(D347,'Monthly Deduction'!$M$2:$N$64,2,0),0)</f>
        <v>0</v>
      </c>
      <c r="Z347" s="128">
        <v>0</v>
      </c>
      <c r="AA347" s="126">
        <f>IFERROR(VLOOKUP(D347,'Monthly Deduction'!A:B,2,0),0)</f>
        <v>0</v>
      </c>
      <c r="AB347" s="129">
        <f t="shared" si="96"/>
        <v>7114</v>
      </c>
      <c r="AC347" s="130">
        <v>0</v>
      </c>
      <c r="AD347" s="35">
        <f t="shared" si="108"/>
        <v>7114</v>
      </c>
      <c r="AE347" s="166" t="str">
        <f t="shared" si="109"/>
        <v>Release</v>
      </c>
      <c r="AF347" s="127"/>
      <c r="AG347" s="127">
        <v>0</v>
      </c>
      <c r="AH347" s="132"/>
      <c r="AI347" s="238">
        <v>0</v>
      </c>
      <c r="AJ347" s="132"/>
      <c r="AK347" s="151">
        <v>1027.5</v>
      </c>
      <c r="AL347" s="154">
        <f t="shared" si="97"/>
        <v>0</v>
      </c>
      <c r="AM347" s="155"/>
      <c r="AN347" s="19">
        <f t="shared" si="98"/>
        <v>0</v>
      </c>
      <c r="AO347" s="118">
        <f>SUMIF('MPG Payment '!E:E,'Shayak Income '!D347,'MPG Payment '!AJ:AJ)</f>
        <v>0</v>
      </c>
      <c r="AP347" s="19">
        <f t="shared" si="99"/>
        <v>0</v>
      </c>
      <c r="AQ347" s="119">
        <f t="shared" si="110"/>
        <v>0</v>
      </c>
      <c r="AR347" s="91" t="s">
        <v>1168</v>
      </c>
      <c r="AS347" s="91">
        <f t="shared" si="100"/>
        <v>0</v>
      </c>
      <c r="AT347" s="118"/>
      <c r="AU347" s="118"/>
      <c r="AV347" s="118"/>
    </row>
    <row r="348" spans="1:48" s="20" customFormat="1" x14ac:dyDescent="0.25">
      <c r="A348" s="17">
        <f>IFERROR(VLOOKUP(D348,'Monthly Deduction'!$I$3:$J$957,2,0),0)</f>
        <v>82219</v>
      </c>
      <c r="B348" s="17">
        <f>IFERROR(VLOOKUP(D348,'Monthly Deduction'!$E$3:$F$957,2,0),0)</f>
        <v>9600</v>
      </c>
      <c r="C348" s="17">
        <f t="shared" si="101"/>
        <v>91819</v>
      </c>
      <c r="D348" s="41">
        <v>10110149</v>
      </c>
      <c r="E348" s="122" t="str">
        <f>VLOOKUP(D348,'MPG Payment '!$E$3:$G$498218,2,0)</f>
        <v>GOMUKH PHULTAURA</v>
      </c>
      <c r="F348" s="146">
        <f>IFERROR(_xlfn.XLOOKUP(D348,'Monthly Deduction'!$I$3:$I$957,'Monthly Deduction'!$H$3:$H$957),0)</f>
        <v>0</v>
      </c>
      <c r="G348" s="123" t="str">
        <f>VLOOKUP(D348,'MPG Payment '!$E$3:$G$334579,3,0)</f>
        <v>MPG</v>
      </c>
      <c r="H348" s="124" t="str">
        <f>VLOOKUP(D348,'MPG Payment '!$E$3:$H$334579,4,0)</f>
        <v>Direct</v>
      </c>
      <c r="I348" s="88">
        <f>INDEX('MPG Payment '!$C:$C,MATCH('Shayak Income '!D348,'MPG Payment '!E:E,0))</f>
        <v>1054</v>
      </c>
      <c r="J348" s="88" t="str">
        <f>INDEX('MPG Payment '!$D:$D,MATCH('Shayak Income '!D348,'MPG Payment '!E:E,0))</f>
        <v xml:space="preserve">Alauli </v>
      </c>
      <c r="K348" s="125" t="s">
        <v>1322</v>
      </c>
      <c r="L348" s="125">
        <v>45805</v>
      </c>
      <c r="M348" s="126">
        <f>SUMIF('MPG Payment '!$E$3:$E$34579,'Shayak Income '!D348,'MPG Payment '!$I$3:$I$34579)</f>
        <v>1530.88</v>
      </c>
      <c r="N348" s="126">
        <f>SUMIF('MPG Payment '!$E$3:$E$34579,'Shayak Income '!D348,'MPG Payment '!$J$3:$J$34579)</f>
        <v>55746.443024714899</v>
      </c>
      <c r="O348" s="126">
        <f t="shared" si="102"/>
        <v>1148.1600000000001</v>
      </c>
      <c r="P348" s="126">
        <f t="shared" si="103"/>
        <v>1454.336</v>
      </c>
      <c r="Q348" s="126">
        <f>SUMIF('MPG Payment '!$E$3:$E$34579,'Shayak Income '!D348,'MPG Payment '!$S$3:$S$34579)</f>
        <v>0</v>
      </c>
      <c r="R348" s="126">
        <f t="shared" si="94"/>
        <v>1672.3932907414469</v>
      </c>
      <c r="S348" s="126">
        <f t="shared" si="95"/>
        <v>218.05729074144688</v>
      </c>
      <c r="T348" s="126">
        <f t="shared" si="104"/>
        <v>153.08800000000002</v>
      </c>
      <c r="U348" s="127">
        <f>(((IF(K348="New",0,SUMIF('MPG Payment '!$E$3:$E$34579,'Shayak Income '!D348,'MPG Payment '!$AC$3:$AC$34579))))+0)+0</f>
        <v>923.69496758882656</v>
      </c>
      <c r="V348" s="127">
        <f t="shared" si="105"/>
        <v>1526</v>
      </c>
      <c r="W348" s="19">
        <v>1526</v>
      </c>
      <c r="X348" s="19">
        <v>0</v>
      </c>
      <c r="Y348" s="128">
        <f>IFERROR(VLOOKUP(D348,'Monthly Deduction'!$M$2:$N$64,2,0),0)</f>
        <v>0</v>
      </c>
      <c r="Z348" s="128">
        <v>0</v>
      </c>
      <c r="AA348" s="126">
        <v>0</v>
      </c>
      <c r="AB348" s="129">
        <f t="shared" si="96"/>
        <v>0</v>
      </c>
      <c r="AC348" s="130">
        <v>0</v>
      </c>
      <c r="AD348" s="35">
        <f t="shared" si="108"/>
        <v>0</v>
      </c>
      <c r="AE348" s="166" t="str">
        <f t="shared" si="109"/>
        <v>Release</v>
      </c>
      <c r="AF348" s="127"/>
      <c r="AG348" s="18">
        <v>0</v>
      </c>
      <c r="AH348" s="120"/>
      <c r="AI348" s="238">
        <v>0</v>
      </c>
      <c r="AJ348" s="132"/>
      <c r="AK348" s="151">
        <v>342.8</v>
      </c>
      <c r="AL348" s="154">
        <f t="shared" si="97"/>
        <v>0</v>
      </c>
      <c r="AM348" s="155"/>
      <c r="AN348" s="19">
        <f t="shared" si="98"/>
        <v>1861</v>
      </c>
      <c r="AO348" s="118">
        <f>SUMIF('MPG Payment '!E:E,'Shayak Income '!D348,'MPG Payment '!AJ:AJ)</f>
        <v>0</v>
      </c>
      <c r="AP348" s="19">
        <f t="shared" si="99"/>
        <v>1526</v>
      </c>
      <c r="AQ348" s="119">
        <f t="shared" si="110"/>
        <v>1526</v>
      </c>
      <c r="AR348" s="91" t="s">
        <v>1168</v>
      </c>
      <c r="AS348" s="91">
        <f t="shared" si="100"/>
        <v>9600</v>
      </c>
      <c r="AT348" s="118"/>
      <c r="AU348" s="118"/>
      <c r="AV348" s="118"/>
    </row>
    <row r="349" spans="1:48" s="20" customFormat="1" x14ac:dyDescent="0.25">
      <c r="A349" s="17">
        <f>IFERROR(VLOOKUP(D349,'Monthly Deduction'!$I$3:$J$957,2,0),0)</f>
        <v>0</v>
      </c>
      <c r="B349" s="17">
        <f>IFERROR(VLOOKUP(D349,'Monthly Deduction'!$E$3:$F$957,2,0),0)</f>
        <v>0</v>
      </c>
      <c r="C349" s="17">
        <f t="shared" si="101"/>
        <v>0</v>
      </c>
      <c r="D349" s="41">
        <v>10110153</v>
      </c>
      <c r="E349" s="122" t="str">
        <f>VLOOKUP(D349,'MPG Payment '!$E$3:$G$498218,2,0)</f>
        <v xml:space="preserve">Jangli Tol Vlc </v>
      </c>
      <c r="F349" s="146">
        <f>IFERROR(_xlfn.XLOOKUP(D349,'Monthly Deduction'!$I$3:$I$957,'Monthly Deduction'!$H$3:$H$957),0)</f>
        <v>0</v>
      </c>
      <c r="G349" s="123" t="str">
        <f>VLOOKUP(D349,'MPG Payment '!$E$3:$G$334579,3,0)</f>
        <v>vlc</v>
      </c>
      <c r="H349" s="124" t="str">
        <f>VLOOKUP(D349,'MPG Payment '!$E$3:$H$334579,4,0)</f>
        <v>Indirect</v>
      </c>
      <c r="I349" s="88">
        <f>INDEX('MPG Payment '!$C:$C,MATCH('Shayak Income '!D349,'MPG Payment '!E:E,0))</f>
        <v>1011</v>
      </c>
      <c r="J349" s="88" t="str">
        <f>INDEX('MPG Payment '!$D:$D,MATCH('Shayak Income '!D349,'MPG Payment '!E:E,0))</f>
        <v>Sahibpur Kamal</v>
      </c>
      <c r="K349" s="125" t="s">
        <v>1322</v>
      </c>
      <c r="L349" s="125">
        <v>45821</v>
      </c>
      <c r="M349" s="126">
        <f>SUMIF('MPG Payment '!$E$3:$E$34579,'Shayak Income '!D349,'MPG Payment '!$I$3:$I$34579)</f>
        <v>2583.1</v>
      </c>
      <c r="N349" s="126">
        <f>SUMIF('MPG Payment '!$E$3:$E$34579,'Shayak Income '!D349,'MPG Payment '!$J$3:$J$34579)</f>
        <v>99436.325846530002</v>
      </c>
      <c r="O349" s="126">
        <f t="shared" si="102"/>
        <v>1937.3249999999998</v>
      </c>
      <c r="P349" s="126">
        <f t="shared" si="103"/>
        <v>2453.9449999999997</v>
      </c>
      <c r="Q349" s="126">
        <f>SUMIF('MPG Payment '!$E$3:$E$34579,'Shayak Income '!D349,'MPG Payment '!$S$3:$S$34579)</f>
        <v>0</v>
      </c>
      <c r="R349" s="126">
        <f t="shared" si="94"/>
        <v>2983.0897753958998</v>
      </c>
      <c r="S349" s="126">
        <f t="shared" si="95"/>
        <v>529.14477539590007</v>
      </c>
      <c r="T349" s="126">
        <f t="shared" si="104"/>
        <v>258.31</v>
      </c>
      <c r="U349" s="127">
        <f>(((IF(K349="New",0,SUMIF('MPG Payment '!$E$3:$E$34579,'Shayak Income '!D349,'MPG Payment '!$AC$3:$AC$34579))))+0)+0</f>
        <v>206.47798079929618</v>
      </c>
      <c r="V349" s="127">
        <f t="shared" si="105"/>
        <v>3926</v>
      </c>
      <c r="W349" s="19">
        <f t="shared" si="106"/>
        <v>0</v>
      </c>
      <c r="X349" s="19">
        <f t="shared" si="107"/>
        <v>0</v>
      </c>
      <c r="Y349" s="128">
        <f>IFERROR(VLOOKUP(D349,'Monthly Deduction'!$M$2:$N$64,2,0),0)</f>
        <v>0</v>
      </c>
      <c r="Z349" s="128">
        <v>0</v>
      </c>
      <c r="AA349" s="126">
        <f>IFERROR(VLOOKUP(D349,'Monthly Deduction'!A:B,2,0),0)</f>
        <v>0</v>
      </c>
      <c r="AB349" s="129">
        <f t="shared" si="96"/>
        <v>3926</v>
      </c>
      <c r="AC349" s="130">
        <v>0</v>
      </c>
      <c r="AD349" s="35">
        <f t="shared" si="108"/>
        <v>3926</v>
      </c>
      <c r="AE349" s="166" t="str">
        <f t="shared" si="109"/>
        <v>Release</v>
      </c>
      <c r="AF349" s="127"/>
      <c r="AG349" s="18">
        <v>0</v>
      </c>
      <c r="AH349" s="120"/>
      <c r="AI349" s="238">
        <v>0</v>
      </c>
      <c r="AJ349" s="132"/>
      <c r="AK349" s="151">
        <v>968.00000000000011</v>
      </c>
      <c r="AL349" s="154">
        <f t="shared" si="97"/>
        <v>0</v>
      </c>
      <c r="AM349" s="155"/>
      <c r="AN349" s="19">
        <f t="shared" si="98"/>
        <v>0</v>
      </c>
      <c r="AO349" s="118">
        <f>SUMIF('MPG Payment '!E:E,'Shayak Income '!D349,'MPG Payment '!AJ:AJ)</f>
        <v>0</v>
      </c>
      <c r="AP349" s="19">
        <f t="shared" si="99"/>
        <v>0</v>
      </c>
      <c r="AQ349" s="119">
        <f t="shared" si="110"/>
        <v>0</v>
      </c>
      <c r="AR349" s="91" t="s">
        <v>1168</v>
      </c>
      <c r="AS349" s="91">
        <f t="shared" si="100"/>
        <v>0</v>
      </c>
      <c r="AT349" s="118"/>
      <c r="AU349" s="118"/>
      <c r="AV349" s="118"/>
    </row>
    <row r="350" spans="1:48" s="20" customFormat="1" x14ac:dyDescent="0.25">
      <c r="A350" s="17">
        <f>IFERROR(VLOOKUP(D350,'Monthly Deduction'!$I$3:$J$957,2,0),0)</f>
        <v>0</v>
      </c>
      <c r="B350" s="17">
        <f>IFERROR(VLOOKUP(D350,'Monthly Deduction'!$E$3:$F$957,2,0),0)</f>
        <v>0</v>
      </c>
      <c r="C350" s="17">
        <f t="shared" si="101"/>
        <v>0</v>
      </c>
      <c r="D350" s="41">
        <v>10110155</v>
      </c>
      <c r="E350" s="122" t="str">
        <f>VLOOKUP(D350,'MPG Payment '!$E$3:$G$498218,2,0)</f>
        <v xml:space="preserve">DILKHUSH KUMAR </v>
      </c>
      <c r="F350" s="146">
        <f>IFERROR(_xlfn.XLOOKUP(D350,'Monthly Deduction'!$I$3:$I$957,'Monthly Deduction'!$H$3:$H$957),0)</f>
        <v>0</v>
      </c>
      <c r="G350" s="123" t="str">
        <f>VLOOKUP(D350,'MPG Payment '!$E$3:$G$334579,3,0)</f>
        <v>vlc</v>
      </c>
      <c r="H350" s="124" t="str">
        <f>VLOOKUP(D350,'MPG Payment '!$E$3:$H$334579,4,0)</f>
        <v>Indirect</v>
      </c>
      <c r="I350" s="88">
        <f>INDEX('MPG Payment '!$C:$C,MATCH('Shayak Income '!D350,'MPG Payment '!E:E,0))</f>
        <v>1055</v>
      </c>
      <c r="J350" s="88" t="str">
        <f>INDEX('MPG Payment '!$D:$D,MATCH('Shayak Income '!D350,'MPG Payment '!E:E,0))</f>
        <v>Matihani</v>
      </c>
      <c r="K350" s="125" t="s">
        <v>1322</v>
      </c>
      <c r="L350" s="125">
        <v>45828</v>
      </c>
      <c r="M350" s="126">
        <f>SUMIF('MPG Payment '!$E$3:$E$34579,'Shayak Income '!D350,'MPG Payment '!$I$3:$I$34579)</f>
        <v>1233.8</v>
      </c>
      <c r="N350" s="126">
        <f>SUMIF('MPG Payment '!$E$3:$E$34579,'Shayak Income '!D350,'MPG Payment '!$J$3:$J$34579)</f>
        <v>45849.276597479999</v>
      </c>
      <c r="O350" s="126">
        <f t="shared" si="102"/>
        <v>925.34999999999991</v>
      </c>
      <c r="P350" s="126">
        <f t="shared" si="103"/>
        <v>1172.1099999999999</v>
      </c>
      <c r="Q350" s="126">
        <f>SUMIF('MPG Payment '!$E$3:$E$34579,'Shayak Income '!D350,'MPG Payment '!$S$3:$S$34579)</f>
        <v>0</v>
      </c>
      <c r="R350" s="126">
        <f t="shared" si="94"/>
        <v>1375.4782979243998</v>
      </c>
      <c r="S350" s="126">
        <f t="shared" si="95"/>
        <v>203.36829792439994</v>
      </c>
      <c r="T350" s="126">
        <f t="shared" si="104"/>
        <v>123.38</v>
      </c>
      <c r="U350" s="127">
        <f>(((IF(K350="New",0,SUMIF('MPG Payment '!$E$3:$E$34579,'Shayak Income '!D350,'MPG Payment '!$AC$3:$AC$34579))))+0)+0</f>
        <v>1160.0701530893691</v>
      </c>
      <c r="V350" s="127">
        <f t="shared" si="105"/>
        <v>814</v>
      </c>
      <c r="W350" s="19">
        <f t="shared" si="106"/>
        <v>0</v>
      </c>
      <c r="X350" s="19">
        <f t="shared" si="107"/>
        <v>0</v>
      </c>
      <c r="Y350" s="128">
        <f>IFERROR(VLOOKUP(D350,'Monthly Deduction'!$M$2:$N$64,2,0),0)</f>
        <v>0</v>
      </c>
      <c r="Z350" s="128">
        <v>0</v>
      </c>
      <c r="AA350" s="126">
        <f>IFERROR(VLOOKUP(D350,'Monthly Deduction'!A:B,2,0),0)</f>
        <v>0</v>
      </c>
      <c r="AB350" s="129">
        <f t="shared" si="96"/>
        <v>814</v>
      </c>
      <c r="AC350" s="130">
        <v>0</v>
      </c>
      <c r="AD350" s="35">
        <f t="shared" si="108"/>
        <v>814</v>
      </c>
      <c r="AE350" s="166" t="str">
        <f t="shared" si="109"/>
        <v>Release</v>
      </c>
      <c r="AF350" s="127"/>
      <c r="AG350" s="18">
        <v>0</v>
      </c>
      <c r="AH350" s="132"/>
      <c r="AI350" s="238">
        <v>0</v>
      </c>
      <c r="AJ350" s="132"/>
      <c r="AK350" s="151">
        <v>325.89999999999998</v>
      </c>
      <c r="AL350" s="154">
        <f t="shared" si="97"/>
        <v>0</v>
      </c>
      <c r="AM350" s="155"/>
      <c r="AN350" s="19">
        <f t="shared" si="98"/>
        <v>0</v>
      </c>
      <c r="AO350" s="118">
        <f>SUMIF('MPG Payment '!E:E,'Shayak Income '!D350,'MPG Payment '!AJ:AJ)</f>
        <v>0</v>
      </c>
      <c r="AP350" s="19">
        <f t="shared" si="99"/>
        <v>0</v>
      </c>
      <c r="AQ350" s="119">
        <f t="shared" si="110"/>
        <v>0</v>
      </c>
      <c r="AR350" s="91" t="s">
        <v>1168</v>
      </c>
      <c r="AS350" s="91">
        <f t="shared" si="100"/>
        <v>0</v>
      </c>
      <c r="AT350" s="118"/>
      <c r="AU350" s="118"/>
      <c r="AV350" s="118"/>
    </row>
    <row r="351" spans="1:48" s="20" customFormat="1" x14ac:dyDescent="0.25">
      <c r="A351" s="17">
        <f>IFERROR(VLOOKUP(D351,'Monthly Deduction'!$I$3:$J$957,2,0),0)</f>
        <v>0</v>
      </c>
      <c r="B351" s="17">
        <f>IFERROR(VLOOKUP(D351,'Monthly Deduction'!$E$3:$F$957,2,0),0)</f>
        <v>32000</v>
      </c>
      <c r="C351" s="17">
        <f t="shared" si="101"/>
        <v>32000</v>
      </c>
      <c r="D351" s="41">
        <v>10110158</v>
      </c>
      <c r="E351" s="122" t="str">
        <f>VLOOKUP(D351,'MPG Payment '!$E$3:$G$498218,2,0)</f>
        <v>GOMUKH CHOWKI 2</v>
      </c>
      <c r="F351" s="146">
        <f>IFERROR(_xlfn.XLOOKUP(D351,'Monthly Deduction'!$I$3:$I$957,'Monthly Deduction'!$H$3:$H$957),0)</f>
        <v>0</v>
      </c>
      <c r="G351" s="123" t="str">
        <f>VLOOKUP(D351,'MPG Payment '!$E$3:$G$334579,3,0)</f>
        <v>MPG</v>
      </c>
      <c r="H351" s="124" t="str">
        <f>VLOOKUP(D351,'MPG Payment '!$E$3:$H$334579,4,0)</f>
        <v>Direct</v>
      </c>
      <c r="I351" s="88">
        <f>INDEX('MPG Payment '!$C:$C,MATCH('Shayak Income '!D351,'MPG Payment '!E:E,0))</f>
        <v>1011</v>
      </c>
      <c r="J351" s="88" t="str">
        <f>INDEX('MPG Payment '!$D:$D,MATCH('Shayak Income '!D351,'MPG Payment '!E:E,0))</f>
        <v>Sahibpur Kamal</v>
      </c>
      <c r="K351" s="125" t="s">
        <v>1322</v>
      </c>
      <c r="L351" s="125">
        <v>45845</v>
      </c>
      <c r="M351" s="126">
        <f>SUMIF('MPG Payment '!$E$3:$E$34579,'Shayak Income '!D351,'MPG Payment '!$I$3:$I$34579)</f>
        <v>18270.400000000001</v>
      </c>
      <c r="N351" s="126">
        <f>SUMIF('MPG Payment '!$E$3:$E$34579,'Shayak Income '!D351,'MPG Payment '!$J$3:$J$34579)</f>
        <v>694783.47911687358</v>
      </c>
      <c r="O351" s="126">
        <f t="shared" si="102"/>
        <v>13702.800000000001</v>
      </c>
      <c r="P351" s="126">
        <f t="shared" si="103"/>
        <v>17356.88</v>
      </c>
      <c r="Q351" s="126">
        <f>SUMIF('MPG Payment '!$E$3:$E$34579,'Shayak Income '!D351,'MPG Payment '!$S$3:$S$34579)</f>
        <v>0</v>
      </c>
      <c r="R351" s="126">
        <f t="shared" si="94"/>
        <v>20843.504373506206</v>
      </c>
      <c r="S351" s="126">
        <f t="shared" si="95"/>
        <v>3486.6243735062053</v>
      </c>
      <c r="T351" s="126">
        <f t="shared" si="104"/>
        <v>1827.0400000000002</v>
      </c>
      <c r="U351" s="127">
        <f>(((IF(K351="New",0,SUMIF('MPG Payment '!$E$3:$E$34579,'Shayak Income '!D351,'MPG Payment '!$AC$3:$AC$34579))))+0)+0</f>
        <v>0</v>
      </c>
      <c r="V351" s="127">
        <f t="shared" si="105"/>
        <v>29233</v>
      </c>
      <c r="W351" s="19">
        <f t="shared" si="106"/>
        <v>0</v>
      </c>
      <c r="X351" s="19">
        <f t="shared" si="107"/>
        <v>13895.669582337472</v>
      </c>
      <c r="Y351" s="128">
        <f>IFERROR(VLOOKUP(D351,'Monthly Deduction'!$M$2:$N$64,2,0),0)</f>
        <v>0</v>
      </c>
      <c r="Z351" s="128">
        <v>0</v>
      </c>
      <c r="AA351" s="126">
        <f>IFERROR(VLOOKUP(D351,'Monthly Deduction'!A:B,2,0),0)</f>
        <v>0</v>
      </c>
      <c r="AB351" s="129">
        <f t="shared" si="96"/>
        <v>15337</v>
      </c>
      <c r="AC351" s="130">
        <v>0</v>
      </c>
      <c r="AD351" s="35">
        <f t="shared" si="108"/>
        <v>15337</v>
      </c>
      <c r="AE351" s="166" t="str">
        <f t="shared" si="109"/>
        <v>Release</v>
      </c>
      <c r="AF351" s="127"/>
      <c r="AG351" s="18">
        <v>0</v>
      </c>
      <c r="AH351" s="132"/>
      <c r="AI351" s="238">
        <v>0</v>
      </c>
      <c r="AJ351" s="132"/>
      <c r="AK351" s="151">
        <v>6404.1</v>
      </c>
      <c r="AL351" s="154">
        <f t="shared" si="97"/>
        <v>0</v>
      </c>
      <c r="AM351" s="155"/>
      <c r="AN351" s="19">
        <f t="shared" si="98"/>
        <v>0</v>
      </c>
      <c r="AO351" s="118">
        <f>SUMIF('MPG Payment '!E:E,'Shayak Income '!D351,'MPG Payment '!AJ:AJ)</f>
        <v>0</v>
      </c>
      <c r="AP351" s="19">
        <f t="shared" si="99"/>
        <v>0</v>
      </c>
      <c r="AQ351" s="119">
        <f t="shared" si="110"/>
        <v>0</v>
      </c>
      <c r="AR351" s="91" t="s">
        <v>1168</v>
      </c>
      <c r="AS351" s="91">
        <f t="shared" si="100"/>
        <v>18104.330417662528</v>
      </c>
      <c r="AT351" s="118"/>
      <c r="AU351" s="118"/>
      <c r="AV351" s="118"/>
    </row>
    <row r="352" spans="1:48" s="20" customFormat="1" x14ac:dyDescent="0.25">
      <c r="A352" s="17">
        <f>IFERROR(VLOOKUP(D352,'Monthly Deduction'!$I$3:$J$957,2,0),0)</f>
        <v>61271.384350530396</v>
      </c>
      <c r="B352" s="17">
        <f>IFERROR(VLOOKUP(D352,'Monthly Deduction'!$E$3:$F$957,2,0),0)</f>
        <v>12800</v>
      </c>
      <c r="C352" s="17">
        <f t="shared" si="101"/>
        <v>74071.384350530396</v>
      </c>
      <c r="D352" s="41">
        <v>10110159</v>
      </c>
      <c r="E352" s="122" t="str">
        <f>VLOOKUP(D352,'MPG Payment '!$E$3:$G$498218,2,0)</f>
        <v>GOMUKH MOHABA</v>
      </c>
      <c r="F352" s="146">
        <f>IFERROR(_xlfn.XLOOKUP(D352,'Monthly Deduction'!$I$3:$I$957,'Monthly Deduction'!$H$3:$H$957),0)</f>
        <v>0</v>
      </c>
      <c r="G352" s="123" t="str">
        <f>VLOOKUP(D352,'MPG Payment '!$E$3:$G$334579,3,0)</f>
        <v>MPG</v>
      </c>
      <c r="H352" s="124" t="str">
        <f>VLOOKUP(D352,'MPG Payment '!$E$3:$H$334579,4,0)</f>
        <v>Direct</v>
      </c>
      <c r="I352" s="88">
        <f>INDEX('MPG Payment '!$C:$C,MATCH('Shayak Income '!D352,'MPG Payment '!E:E,0))</f>
        <v>1011</v>
      </c>
      <c r="J352" s="88" t="str">
        <f>INDEX('MPG Payment '!$D:$D,MATCH('Shayak Income '!D352,'MPG Payment '!E:E,0))</f>
        <v>Sahibpur Kamal</v>
      </c>
      <c r="K352" s="125" t="s">
        <v>1322</v>
      </c>
      <c r="L352" s="125">
        <v>45839</v>
      </c>
      <c r="M352" s="126">
        <f>SUMIF('MPG Payment '!$E$3:$E$34579,'Shayak Income '!D352,'MPG Payment '!$I$3:$I$34579)</f>
        <v>5870.6</v>
      </c>
      <c r="N352" s="126">
        <f>SUMIF('MPG Payment '!$E$3:$E$34579,'Shayak Income '!D352,'MPG Payment '!$J$3:$J$34579)</f>
        <v>221532.40004715003</v>
      </c>
      <c r="O352" s="126">
        <f t="shared" si="102"/>
        <v>4402.9500000000007</v>
      </c>
      <c r="P352" s="126">
        <f t="shared" si="103"/>
        <v>5577.07</v>
      </c>
      <c r="Q352" s="126">
        <f>SUMIF('MPG Payment '!$E$3:$E$34579,'Shayak Income '!D352,'MPG Payment '!$S$3:$S$34579)</f>
        <v>424.25050320000008</v>
      </c>
      <c r="R352" s="126">
        <f t="shared" si="94"/>
        <v>6645.9720014145005</v>
      </c>
      <c r="S352" s="126">
        <f t="shared" si="95"/>
        <v>1068.9020014145008</v>
      </c>
      <c r="T352" s="126">
        <f t="shared" si="104"/>
        <v>587.06000000000006</v>
      </c>
      <c r="U352" s="127">
        <f>(((IF(K352="New",0,SUMIF('MPG Payment '!$E$3:$E$34579,'Shayak Income '!D352,'MPG Payment '!$AC$3:$AC$34579))))+0)+0</f>
        <v>0</v>
      </c>
      <c r="V352" s="127">
        <f t="shared" si="105"/>
        <v>9817</v>
      </c>
      <c r="W352" s="19">
        <f t="shared" si="106"/>
        <v>4430.6480009430006</v>
      </c>
      <c r="X352" s="19">
        <v>0</v>
      </c>
      <c r="Y352" s="128">
        <f>IFERROR(VLOOKUP(D352,'Monthly Deduction'!$M$2:$N$64,2,0),0)</f>
        <v>0</v>
      </c>
      <c r="Z352" s="128">
        <v>0</v>
      </c>
      <c r="AA352" s="126">
        <f>IFERROR(VLOOKUP(D352,'Monthly Deduction'!A:B,2,0),0)</f>
        <v>0</v>
      </c>
      <c r="AB352" s="129">
        <f t="shared" si="96"/>
        <v>5386</v>
      </c>
      <c r="AC352" s="130">
        <v>0</v>
      </c>
      <c r="AD352" s="35">
        <f t="shared" si="108"/>
        <v>5386</v>
      </c>
      <c r="AE352" s="166" t="str">
        <f t="shared" si="109"/>
        <v>Release</v>
      </c>
      <c r="AF352" s="127"/>
      <c r="AG352" s="18">
        <v>0</v>
      </c>
      <c r="AH352" s="120"/>
      <c r="AI352" s="238">
        <v>0</v>
      </c>
      <c r="AJ352" s="132"/>
      <c r="AK352" s="151">
        <v>1480.7</v>
      </c>
      <c r="AL352" s="154">
        <f t="shared" si="97"/>
        <v>0</v>
      </c>
      <c r="AM352" s="155"/>
      <c r="AN352" s="19">
        <f t="shared" si="98"/>
        <v>4430.6480009430006</v>
      </c>
      <c r="AO352" s="118">
        <f>SUMIF('MPG Payment '!E:E,'Shayak Income '!D352,'MPG Payment '!AJ:AJ)</f>
        <v>0</v>
      </c>
      <c r="AP352" s="19">
        <f t="shared" si="99"/>
        <v>4430.6480009430006</v>
      </c>
      <c r="AQ352" s="119">
        <f t="shared" si="110"/>
        <v>4430.6480009430006</v>
      </c>
      <c r="AR352" s="91" t="s">
        <v>1168</v>
      </c>
      <c r="AS352" s="91">
        <f t="shared" si="100"/>
        <v>12800</v>
      </c>
      <c r="AT352" s="118"/>
      <c r="AU352" s="118"/>
      <c r="AV352" s="118"/>
    </row>
    <row r="353" spans="1:48" s="20" customFormat="1" x14ac:dyDescent="0.25">
      <c r="A353" s="17">
        <f>IFERROR(VLOOKUP(D353,'Monthly Deduction'!$I$3:$J$957,2,0),0)</f>
        <v>0</v>
      </c>
      <c r="B353" s="17">
        <f>IFERROR(VLOOKUP(D353,'Monthly Deduction'!$E$3:$F$957,2,0),0)</f>
        <v>0</v>
      </c>
      <c r="C353" s="17">
        <f t="shared" si="101"/>
        <v>0</v>
      </c>
      <c r="D353" s="41">
        <v>10110160</v>
      </c>
      <c r="E353" s="122" t="str">
        <f>VLOOKUP(D353,'MPG Payment '!$E$3:$G$498218,2,0)</f>
        <v>SANHA VLC</v>
      </c>
      <c r="F353" s="146">
        <f>IFERROR(_xlfn.XLOOKUP(D353,'Monthly Deduction'!$I$3:$I$957,'Monthly Deduction'!$H$3:$H$957),0)</f>
        <v>0</v>
      </c>
      <c r="G353" s="123" t="str">
        <f>VLOOKUP(D353,'MPG Payment '!$E$3:$G$334579,3,0)</f>
        <v>vlc</v>
      </c>
      <c r="H353" s="124" t="str">
        <f>VLOOKUP(D353,'MPG Payment '!$E$3:$H$334579,4,0)</f>
        <v>Indirect</v>
      </c>
      <c r="I353" s="88">
        <f>INDEX('MPG Payment '!$C:$C,MATCH('Shayak Income '!D353,'MPG Payment '!E:E,0))</f>
        <v>1011</v>
      </c>
      <c r="J353" s="88" t="str">
        <f>INDEX('MPG Payment '!$D:$D,MATCH('Shayak Income '!D353,'MPG Payment '!E:E,0))</f>
        <v>Sahibpur Kamal</v>
      </c>
      <c r="K353" s="125" t="s">
        <v>1322</v>
      </c>
      <c r="L353" s="125">
        <v>45850</v>
      </c>
      <c r="M353" s="126">
        <f>SUMIF('MPG Payment '!$E$3:$E$34579,'Shayak Income '!D353,'MPG Payment '!$I$3:$I$34579)</f>
        <v>2929.9000000000005</v>
      </c>
      <c r="N353" s="126">
        <f>SUMIF('MPG Payment '!$E$3:$E$34579,'Shayak Income '!D353,'MPG Payment '!$J$3:$J$34579)</f>
        <v>101988.4636920395</v>
      </c>
      <c r="O353" s="126">
        <f t="shared" si="102"/>
        <v>2197.4250000000002</v>
      </c>
      <c r="P353" s="126">
        <f t="shared" si="103"/>
        <v>2783.4050000000002</v>
      </c>
      <c r="Q353" s="126">
        <f>SUMIF('MPG Payment '!$E$3:$E$34579,'Shayak Income '!D353,'MPG Payment '!$S$3:$S$34579)</f>
        <v>0</v>
      </c>
      <c r="R353" s="126">
        <f t="shared" si="94"/>
        <v>3059.6539107611848</v>
      </c>
      <c r="S353" s="126">
        <f t="shared" si="95"/>
        <v>276.24891076118456</v>
      </c>
      <c r="T353" s="126">
        <f t="shared" si="104"/>
        <v>292.99000000000007</v>
      </c>
      <c r="U353" s="127">
        <f>(((IF(K353="New",0,SUMIF('MPG Payment '!$E$3:$E$34579,'Shayak Income '!D353,'MPG Payment '!$AC$3:$AC$34579))))+0)+0</f>
        <v>52.912040349109468</v>
      </c>
      <c r="V353" s="127">
        <f t="shared" si="105"/>
        <v>4635</v>
      </c>
      <c r="W353" s="19">
        <f t="shared" si="106"/>
        <v>0</v>
      </c>
      <c r="X353" s="19">
        <f t="shared" si="107"/>
        <v>0</v>
      </c>
      <c r="Y353" s="128">
        <f>IFERROR(VLOOKUP(D353,'Monthly Deduction'!$M$2:$N$64,2,0),0)</f>
        <v>0</v>
      </c>
      <c r="Z353" s="128">
        <v>0</v>
      </c>
      <c r="AA353" s="126">
        <f>IFERROR(VLOOKUP(D353,'Monthly Deduction'!A:B,2,0),0)</f>
        <v>0</v>
      </c>
      <c r="AB353" s="129">
        <f t="shared" si="96"/>
        <v>4635</v>
      </c>
      <c r="AC353" s="130">
        <v>0</v>
      </c>
      <c r="AD353" s="35">
        <f t="shared" si="108"/>
        <v>4635</v>
      </c>
      <c r="AE353" s="166" t="str">
        <f t="shared" si="109"/>
        <v>Release</v>
      </c>
      <c r="AF353" s="127"/>
      <c r="AG353" s="18">
        <v>0</v>
      </c>
      <c r="AH353" s="120"/>
      <c r="AI353" s="238">
        <v>0</v>
      </c>
      <c r="AJ353" s="132"/>
      <c r="AK353" s="151">
        <v>670.9</v>
      </c>
      <c r="AL353" s="154">
        <f t="shared" si="97"/>
        <v>0</v>
      </c>
      <c r="AM353" s="155"/>
      <c r="AN353" s="19">
        <f t="shared" si="98"/>
        <v>0</v>
      </c>
      <c r="AO353" s="118">
        <f>SUMIF('MPG Payment '!E:E,'Shayak Income '!D353,'MPG Payment '!AJ:AJ)</f>
        <v>0</v>
      </c>
      <c r="AP353" s="19">
        <f t="shared" si="99"/>
        <v>0</v>
      </c>
      <c r="AQ353" s="119">
        <f t="shared" si="110"/>
        <v>0</v>
      </c>
      <c r="AR353" s="91" t="s">
        <v>1168</v>
      </c>
      <c r="AS353" s="91">
        <f t="shared" si="100"/>
        <v>0</v>
      </c>
      <c r="AT353" s="118"/>
      <c r="AU353" s="118"/>
      <c r="AV353" s="118"/>
    </row>
    <row r="354" spans="1:48" s="20" customFormat="1" x14ac:dyDescent="0.25">
      <c r="A354" s="17">
        <f>IFERROR(VLOOKUP(D354,'Monthly Deduction'!$I$3:$J$957,2,0),0)</f>
        <v>0</v>
      </c>
      <c r="B354" s="17">
        <f>IFERROR(VLOOKUP(D354,'Monthly Deduction'!$E$3:$F$957,2,0),0)</f>
        <v>0</v>
      </c>
      <c r="C354" s="17">
        <f t="shared" si="101"/>
        <v>0</v>
      </c>
      <c r="D354" s="41">
        <v>10110161</v>
      </c>
      <c r="E354" s="122" t="str">
        <f>VLOOKUP(D354,'MPG Payment '!$E$3:$G$498218,2,0)</f>
        <v>MOHANPUR VLC</v>
      </c>
      <c r="F354" s="146">
        <f>IFERROR(_xlfn.XLOOKUP(D354,'Monthly Deduction'!$I$3:$I$957,'Monthly Deduction'!$H$3:$H$957),0)</f>
        <v>0</v>
      </c>
      <c r="G354" s="123" t="str">
        <f>VLOOKUP(D354,'MPG Payment '!$E$3:$G$334579,3,0)</f>
        <v>vlc</v>
      </c>
      <c r="H354" s="124" t="str">
        <f>VLOOKUP(D354,'MPG Payment '!$E$3:$H$334579,4,0)</f>
        <v>Indirect</v>
      </c>
      <c r="I354" s="88">
        <f>INDEX('MPG Payment '!$C:$C,MATCH('Shayak Income '!D354,'MPG Payment '!E:E,0))</f>
        <v>1011</v>
      </c>
      <c r="J354" s="88" t="str">
        <f>INDEX('MPG Payment '!$D:$D,MATCH('Shayak Income '!D354,'MPG Payment '!E:E,0))</f>
        <v>Sahibpur Kamal</v>
      </c>
      <c r="K354" s="125" t="s">
        <v>1322</v>
      </c>
      <c r="L354" s="125">
        <v>45849</v>
      </c>
      <c r="M354" s="126">
        <f>SUMIF('MPG Payment '!$E$3:$E$34579,'Shayak Income '!D354,'MPG Payment '!$I$3:$I$34579)</f>
        <v>4092.2999999999997</v>
      </c>
      <c r="N354" s="126">
        <f>SUMIF('MPG Payment '!$E$3:$E$34579,'Shayak Income '!D354,'MPG Payment '!$J$3:$J$34579)</f>
        <v>144452.98816777102</v>
      </c>
      <c r="O354" s="126">
        <f t="shared" si="102"/>
        <v>3069.2249999999999</v>
      </c>
      <c r="P354" s="126">
        <f t="shared" si="103"/>
        <v>3887.6849999999995</v>
      </c>
      <c r="Q354" s="126">
        <f>SUMIF('MPG Payment '!$E$3:$E$34579,'Shayak Income '!D354,'MPG Payment '!$S$3:$S$34579)</f>
        <v>0</v>
      </c>
      <c r="R354" s="126">
        <f t="shared" si="94"/>
        <v>4333.5896450331302</v>
      </c>
      <c r="S354" s="126">
        <f t="shared" si="95"/>
        <v>445.90464503313069</v>
      </c>
      <c r="T354" s="126">
        <f t="shared" si="104"/>
        <v>409.23</v>
      </c>
      <c r="U354" s="127">
        <f>(((IF(K354="New",0,SUMIF('MPG Payment '!$E$3:$E$34579,'Shayak Income '!D354,'MPG Payment '!$AC$3:$AC$34579))))+0)+0</f>
        <v>0</v>
      </c>
      <c r="V354" s="127">
        <f t="shared" si="105"/>
        <v>6548</v>
      </c>
      <c r="W354" s="19">
        <f t="shared" si="106"/>
        <v>0</v>
      </c>
      <c r="X354" s="19">
        <f t="shared" si="107"/>
        <v>0</v>
      </c>
      <c r="Y354" s="128">
        <f>IFERROR(VLOOKUP(D354,'Monthly Deduction'!$M$2:$N$64,2,0),0)</f>
        <v>0</v>
      </c>
      <c r="Z354" s="128">
        <v>0</v>
      </c>
      <c r="AA354" s="126">
        <f>IFERROR(VLOOKUP(D354,'Monthly Deduction'!A:B,2,0),0)</f>
        <v>0</v>
      </c>
      <c r="AB354" s="129">
        <f t="shared" si="96"/>
        <v>6548</v>
      </c>
      <c r="AC354" s="130">
        <v>0</v>
      </c>
      <c r="AD354" s="35">
        <f t="shared" si="108"/>
        <v>6548</v>
      </c>
      <c r="AE354" s="166" t="str">
        <f t="shared" si="109"/>
        <v>Release</v>
      </c>
      <c r="AF354" s="127"/>
      <c r="AG354" s="18">
        <v>0</v>
      </c>
      <c r="AH354" s="120"/>
      <c r="AI354" s="238">
        <v>0</v>
      </c>
      <c r="AJ354" s="132"/>
      <c r="AK354" s="151">
        <v>1081.9000000000001</v>
      </c>
      <c r="AL354" s="154">
        <f t="shared" si="97"/>
        <v>0</v>
      </c>
      <c r="AM354" s="155"/>
      <c r="AN354" s="19">
        <f t="shared" si="98"/>
        <v>0</v>
      </c>
      <c r="AO354" s="118">
        <f>SUMIF('MPG Payment '!E:E,'Shayak Income '!D354,'MPG Payment '!AJ:AJ)</f>
        <v>0</v>
      </c>
      <c r="AP354" s="19">
        <f t="shared" si="99"/>
        <v>0</v>
      </c>
      <c r="AQ354" s="119">
        <f t="shared" si="110"/>
        <v>0</v>
      </c>
      <c r="AR354" s="91" t="s">
        <v>1168</v>
      </c>
      <c r="AS354" s="91">
        <f t="shared" si="100"/>
        <v>0</v>
      </c>
      <c r="AT354" s="118"/>
      <c r="AU354" s="118"/>
      <c r="AV354" s="118"/>
    </row>
    <row r="355" spans="1:48" s="20" customFormat="1" x14ac:dyDescent="0.25">
      <c r="A355" s="17">
        <f>IFERROR(VLOOKUP(D355,'Monthly Deduction'!$I$3:$J$957,2,0),0)</f>
        <v>0</v>
      </c>
      <c r="B355" s="17">
        <f>IFERROR(VLOOKUP(D355,'Monthly Deduction'!$E$3:$F$957,2,0),0)</f>
        <v>0</v>
      </c>
      <c r="C355" s="17">
        <f t="shared" si="101"/>
        <v>0</v>
      </c>
      <c r="D355" s="41">
        <v>10110166</v>
      </c>
      <c r="E355" s="122" t="str">
        <f>VLOOKUP(D355,'MPG Payment '!$E$3:$G$498218,2,0)</f>
        <v>Hiratol VLC</v>
      </c>
      <c r="F355" s="146">
        <f>IFERROR(_xlfn.XLOOKUP(D355,'Monthly Deduction'!$I$3:$I$957,'Monthly Deduction'!$H$3:$H$957),0)</f>
        <v>0</v>
      </c>
      <c r="G355" s="123" t="str">
        <f>VLOOKUP(D355,'MPG Payment '!$E$3:$G$334579,3,0)</f>
        <v>vlc</v>
      </c>
      <c r="H355" s="124" t="str">
        <f>VLOOKUP(D355,'MPG Payment '!$E$3:$H$334579,4,0)</f>
        <v>Indirect</v>
      </c>
      <c r="I355" s="88">
        <f>INDEX('MPG Payment '!$C:$C,MATCH('Shayak Income '!D355,'MPG Payment '!E:E,0))</f>
        <v>1011</v>
      </c>
      <c r="J355" s="88" t="str">
        <f>INDEX('MPG Payment '!$D:$D,MATCH('Shayak Income '!D355,'MPG Payment '!E:E,0))</f>
        <v>Sahibpur Kamal</v>
      </c>
      <c r="K355" s="125" t="s">
        <v>1322</v>
      </c>
      <c r="L355" s="125">
        <v>45863</v>
      </c>
      <c r="M355" s="126">
        <f>SUMIF('MPG Payment '!$E$3:$E$34579,'Shayak Income '!D355,'MPG Payment '!$I$3:$I$34579)</f>
        <v>631.59999999999991</v>
      </c>
      <c r="N355" s="126">
        <f>SUMIF('MPG Payment '!$E$3:$E$34579,'Shayak Income '!D355,'MPG Payment '!$J$3:$J$34579)</f>
        <v>22501.509999999995</v>
      </c>
      <c r="O355" s="126">
        <f t="shared" si="102"/>
        <v>473.69999999999993</v>
      </c>
      <c r="P355" s="126">
        <f t="shared" si="103"/>
        <v>600.01999999999987</v>
      </c>
      <c r="Q355" s="126">
        <f>SUMIF('MPG Payment '!$E$3:$E$34579,'Shayak Income '!D355,'MPG Payment '!$S$3:$S$34579)</f>
        <v>0</v>
      </c>
      <c r="R355" s="126">
        <f t="shared" si="94"/>
        <v>675.04529999999977</v>
      </c>
      <c r="S355" s="126">
        <f t="shared" si="95"/>
        <v>75.025299999999902</v>
      </c>
      <c r="T355" s="126">
        <f t="shared" si="104"/>
        <v>63.16</v>
      </c>
      <c r="U355" s="127">
        <f>(((IF(K355="New",0,SUMIF('MPG Payment '!$E$3:$E$34579,'Shayak Income '!D355,'MPG Payment '!$AC$3:$AC$34579))))+0)+0</f>
        <v>542.49986613709495</v>
      </c>
      <c r="V355" s="127">
        <f t="shared" si="105"/>
        <v>468</v>
      </c>
      <c r="W355" s="19">
        <f t="shared" si="106"/>
        <v>0</v>
      </c>
      <c r="X355" s="19">
        <f t="shared" si="107"/>
        <v>0</v>
      </c>
      <c r="Y355" s="128">
        <f>IFERROR(VLOOKUP(D355,'Monthly Deduction'!$M$2:$N$64,2,0),0)</f>
        <v>0</v>
      </c>
      <c r="Z355" s="128">
        <v>0</v>
      </c>
      <c r="AA355" s="126">
        <f>IFERROR(VLOOKUP(D355,'Monthly Deduction'!A:B,2,0),0)</f>
        <v>0</v>
      </c>
      <c r="AB355" s="129">
        <f t="shared" si="96"/>
        <v>468</v>
      </c>
      <c r="AC355" s="130">
        <f>AB355</f>
        <v>468</v>
      </c>
      <c r="AD355" s="35">
        <f t="shared" si="108"/>
        <v>0</v>
      </c>
      <c r="AE355" s="166" t="str">
        <f t="shared" si="109"/>
        <v>Yes</v>
      </c>
      <c r="AF355" s="127"/>
      <c r="AG355" s="18">
        <v>0</v>
      </c>
      <c r="AH355" s="132" t="s">
        <v>1648</v>
      </c>
      <c r="AI355" s="238">
        <v>0</v>
      </c>
      <c r="AJ355" s="132"/>
      <c r="AK355" s="151">
        <v>0</v>
      </c>
      <c r="AL355" s="154">
        <f t="shared" si="97"/>
        <v>0</v>
      </c>
      <c r="AM355" s="155"/>
      <c r="AN355" s="19">
        <f t="shared" si="98"/>
        <v>0</v>
      </c>
      <c r="AO355" s="118">
        <f>SUMIF('MPG Payment '!E:E,'Shayak Income '!D355,'MPG Payment '!AJ:AJ)</f>
        <v>0</v>
      </c>
      <c r="AP355" s="19">
        <f t="shared" si="99"/>
        <v>0</v>
      </c>
      <c r="AQ355" s="119">
        <f t="shared" si="110"/>
        <v>0</v>
      </c>
      <c r="AR355" s="91" t="s">
        <v>1168</v>
      </c>
      <c r="AS355" s="91">
        <f t="shared" si="100"/>
        <v>0</v>
      </c>
      <c r="AT355" s="118"/>
      <c r="AU355" s="118"/>
      <c r="AV355" s="118"/>
    </row>
    <row r="356" spans="1:48" s="20" customFormat="1" x14ac:dyDescent="0.25">
      <c r="A356" s="17">
        <f>IFERROR(VLOOKUP(D356,'Monthly Deduction'!$I$3:$J$957,2,0),0)</f>
        <v>0</v>
      </c>
      <c r="B356" s="17">
        <f>IFERROR(VLOOKUP(D356,'Monthly Deduction'!$E$3:$F$957,2,0),0)</f>
        <v>0</v>
      </c>
      <c r="C356" s="17">
        <f t="shared" si="101"/>
        <v>0</v>
      </c>
      <c r="D356" s="41">
        <v>10120001</v>
      </c>
      <c r="E356" s="122" t="str">
        <f>VLOOKUP(D356,'MPG Payment '!$E$3:$G$498218,2,0)</f>
        <v>GOMUKH SUBHANPUR</v>
      </c>
      <c r="F356" s="146">
        <f>IFERROR(_xlfn.XLOOKUP(D356,'Monthly Deduction'!$I$3:$I$957,'Monthly Deduction'!$H$3:$H$957),0)</f>
        <v>0</v>
      </c>
      <c r="G356" s="123" t="str">
        <f>VLOOKUP(D356,'MPG Payment '!$E$3:$G$334579,3,0)</f>
        <v>vlc</v>
      </c>
      <c r="H356" s="124" t="str">
        <f>VLOOKUP(D356,'MPG Payment '!$E$3:$H$334579,4,0)</f>
        <v>Indirect</v>
      </c>
      <c r="I356" s="88">
        <f>INDEX('MPG Payment '!$C:$C,MATCH('Shayak Income '!D356,'MPG Payment '!E:E,0))</f>
        <v>1012</v>
      </c>
      <c r="J356" s="88" t="str">
        <f>INDEX('MPG Payment '!$D:$D,MATCH('Shayak Income '!D356,'MPG Payment '!E:E,0))</f>
        <v>DalsinghSarai</v>
      </c>
      <c r="K356" s="125" t="s">
        <v>1322</v>
      </c>
      <c r="L356" s="125">
        <v>43622</v>
      </c>
      <c r="M356" s="126">
        <f>SUMIF('MPG Payment '!$E$3:$E$34579,'Shayak Income '!D356,'MPG Payment '!$I$3:$I$34579)</f>
        <v>673.87</v>
      </c>
      <c r="N356" s="126">
        <f>SUMIF('MPG Payment '!$E$3:$E$34579,'Shayak Income '!D356,'MPG Payment '!$J$3:$J$34579)</f>
        <v>30600.034843858281</v>
      </c>
      <c r="O356" s="126">
        <f t="shared" si="102"/>
        <v>505.40250000000003</v>
      </c>
      <c r="P356" s="126">
        <f t="shared" si="103"/>
        <v>640.17649999999992</v>
      </c>
      <c r="Q356" s="126">
        <f>SUMIF('MPG Payment '!$E$3:$E$34579,'Shayak Income '!D356,'MPG Payment '!$S$3:$S$34579)</f>
        <v>0</v>
      </c>
      <c r="R356" s="126">
        <f t="shared" si="94"/>
        <v>918.00104531574834</v>
      </c>
      <c r="S356" s="126">
        <f t="shared" si="95"/>
        <v>277.82454531574842</v>
      </c>
      <c r="T356" s="126">
        <f t="shared" si="104"/>
        <v>67.387</v>
      </c>
      <c r="U356" s="127">
        <f>(((IF(K356="New",0,SUMIF('MPG Payment '!$E$3:$E$34579,'Shayak Income '!D356,'MPG Payment '!$AC$3:$AC$34579))))+0)+-861</f>
        <v>1078.0219517257865</v>
      </c>
      <c r="V356" s="127">
        <f t="shared" si="105"/>
        <v>0</v>
      </c>
      <c r="W356" s="19">
        <v>0</v>
      </c>
      <c r="X356" s="19">
        <v>0</v>
      </c>
      <c r="Y356" s="128">
        <f>IFERROR(VLOOKUP(D356,'Monthly Deduction'!$M$2:$N$64,2,0),0)</f>
        <v>0</v>
      </c>
      <c r="Z356" s="128">
        <v>0</v>
      </c>
      <c r="AA356" s="126">
        <v>0</v>
      </c>
      <c r="AB356" s="129">
        <f t="shared" si="96"/>
        <v>0</v>
      </c>
      <c r="AC356" s="130">
        <v>0</v>
      </c>
      <c r="AD356" s="35">
        <f t="shared" si="108"/>
        <v>0</v>
      </c>
      <c r="AE356" s="166" t="str">
        <f t="shared" si="109"/>
        <v>Release</v>
      </c>
      <c r="AF356" s="127"/>
      <c r="AG356" s="18">
        <v>0</v>
      </c>
      <c r="AH356" s="120"/>
      <c r="AI356" s="238">
        <v>0</v>
      </c>
      <c r="AJ356" s="132"/>
      <c r="AK356" s="151">
        <v>150.32</v>
      </c>
      <c r="AL356" s="154">
        <f t="shared" si="97"/>
        <v>0</v>
      </c>
      <c r="AM356" s="155"/>
      <c r="AN356" s="19">
        <f t="shared" si="98"/>
        <v>0</v>
      </c>
      <c r="AO356" s="118">
        <f>SUMIF('MPG Payment '!E:E,'Shayak Income '!D356,'MPG Payment '!AJ:AJ)</f>
        <v>0</v>
      </c>
      <c r="AP356" s="19">
        <f t="shared" si="99"/>
        <v>0</v>
      </c>
      <c r="AQ356" s="119">
        <f t="shared" si="110"/>
        <v>0</v>
      </c>
      <c r="AR356" s="91" t="s">
        <v>1168</v>
      </c>
      <c r="AS356" s="91">
        <f t="shared" si="100"/>
        <v>0</v>
      </c>
      <c r="AT356" s="118"/>
      <c r="AU356" s="118"/>
      <c r="AV356" s="118"/>
    </row>
    <row r="357" spans="1:48" s="20" customFormat="1" x14ac:dyDescent="0.25">
      <c r="A357" s="17">
        <f>IFERROR(VLOOKUP(D357,'Monthly Deduction'!$I$3:$J$957,2,0),0)</f>
        <v>0</v>
      </c>
      <c r="B357" s="17">
        <f>IFERROR(VLOOKUP(D357,'Monthly Deduction'!$E$3:$F$957,2,0),0)</f>
        <v>0</v>
      </c>
      <c r="C357" s="17">
        <f t="shared" si="101"/>
        <v>0</v>
      </c>
      <c r="D357" s="41">
        <v>10120002</v>
      </c>
      <c r="E357" s="122" t="str">
        <f>VLOOKUP(D357,'MPG Payment '!$E$3:$G$498218,2,0)</f>
        <v>GOMUKH  BHAJANGAMA</v>
      </c>
      <c r="F357" s="146">
        <f>IFERROR(_xlfn.XLOOKUP(D357,'Monthly Deduction'!$I$3:$I$957,'Monthly Deduction'!$H$3:$H$957),0)</f>
        <v>0</v>
      </c>
      <c r="G357" s="123" t="str">
        <f>VLOOKUP(D357,'MPG Payment '!$E$3:$G$334579,3,0)</f>
        <v>vlc</v>
      </c>
      <c r="H357" s="124" t="str">
        <f>VLOOKUP(D357,'MPG Payment '!$E$3:$H$334579,4,0)</f>
        <v>Indirect</v>
      </c>
      <c r="I357" s="88">
        <f>INDEX('MPG Payment '!$C:$C,MATCH('Shayak Income '!D357,'MPG Payment '!E:E,0))</f>
        <v>1012</v>
      </c>
      <c r="J357" s="88" t="str">
        <f>INDEX('MPG Payment '!$D:$D,MATCH('Shayak Income '!D357,'MPG Payment '!E:E,0))</f>
        <v>DalsinghSarai</v>
      </c>
      <c r="K357" s="125" t="s">
        <v>1322</v>
      </c>
      <c r="L357" s="125">
        <v>43622</v>
      </c>
      <c r="M357" s="126">
        <f>SUMIF('MPG Payment '!$E$3:$E$34579,'Shayak Income '!D357,'MPG Payment '!$I$3:$I$34579)</f>
        <v>1740.6799999999998</v>
      </c>
      <c r="N357" s="126">
        <f>SUMIF('MPG Payment '!$E$3:$E$34579,'Shayak Income '!D357,'MPG Payment '!$J$3:$J$34579)</f>
        <v>67625.53164412301</v>
      </c>
      <c r="O357" s="126">
        <f t="shared" si="102"/>
        <v>1305.5099999999998</v>
      </c>
      <c r="P357" s="126">
        <f t="shared" si="103"/>
        <v>1653.6459999999997</v>
      </c>
      <c r="Q357" s="126">
        <f>SUMIF('MPG Payment '!$E$3:$E$34579,'Shayak Income '!D357,'MPG Payment '!$S$3:$S$34579)</f>
        <v>0</v>
      </c>
      <c r="R357" s="126">
        <f t="shared" si="94"/>
        <v>2028.7659493236902</v>
      </c>
      <c r="S357" s="126">
        <f t="shared" si="95"/>
        <v>375.11994932369043</v>
      </c>
      <c r="T357" s="126">
        <f t="shared" si="104"/>
        <v>174.06799999999998</v>
      </c>
      <c r="U357" s="127">
        <f>(((IF(K357="New",0,SUMIF('MPG Payment '!$E$3:$E$34579,'Shayak Income '!D357,'MPG Payment '!$AC$3:$AC$34579))))+0)+0</f>
        <v>823.67249923177314</v>
      </c>
      <c r="V357" s="127">
        <f t="shared" si="105"/>
        <v>1961</v>
      </c>
      <c r="W357" s="19">
        <f t="shared" si="106"/>
        <v>0</v>
      </c>
      <c r="X357" s="19">
        <f t="shared" si="107"/>
        <v>0</v>
      </c>
      <c r="Y357" s="128">
        <v>1961</v>
      </c>
      <c r="Z357" s="128">
        <v>0</v>
      </c>
      <c r="AA357" s="126">
        <f>IFERROR(VLOOKUP(D357,'Monthly Deduction'!A:B,2,0),0)</f>
        <v>0</v>
      </c>
      <c r="AB357" s="129">
        <f t="shared" si="96"/>
        <v>0</v>
      </c>
      <c r="AC357" s="130">
        <v>0</v>
      </c>
      <c r="AD357" s="35">
        <f t="shared" si="108"/>
        <v>0</v>
      </c>
      <c r="AE357" s="166" t="str">
        <f t="shared" si="109"/>
        <v>Release</v>
      </c>
      <c r="AF357" s="127"/>
      <c r="AG357" s="18">
        <v>0</v>
      </c>
      <c r="AH357" s="120"/>
      <c r="AI357" s="238">
        <v>0</v>
      </c>
      <c r="AJ357" s="132"/>
      <c r="AK357" s="151">
        <v>417.29000000000008</v>
      </c>
      <c r="AL357" s="154">
        <f t="shared" si="97"/>
        <v>0</v>
      </c>
      <c r="AM357" s="155"/>
      <c r="AN357" s="19">
        <f t="shared" si="98"/>
        <v>0</v>
      </c>
      <c r="AO357" s="118">
        <f>SUMIF('MPG Payment '!E:E,'Shayak Income '!D357,'MPG Payment '!AJ:AJ)</f>
        <v>0</v>
      </c>
      <c r="AP357" s="19">
        <f t="shared" si="99"/>
        <v>0</v>
      </c>
      <c r="AQ357" s="119">
        <f t="shared" si="110"/>
        <v>0</v>
      </c>
      <c r="AR357" s="91" t="s">
        <v>1168</v>
      </c>
      <c r="AS357" s="91">
        <f t="shared" si="100"/>
        <v>0</v>
      </c>
      <c r="AT357" s="118"/>
      <c r="AU357" s="118"/>
      <c r="AV357" s="118"/>
    </row>
    <row r="358" spans="1:48" s="20" customFormat="1" x14ac:dyDescent="0.25">
      <c r="A358" s="17">
        <f>IFERROR(VLOOKUP(D358,'Monthly Deduction'!$I$3:$J$957,2,0),0)</f>
        <v>10793.436334753031</v>
      </c>
      <c r="B358" s="17">
        <f>IFERROR(VLOOKUP(D358,'Monthly Deduction'!$E$3:$F$957,2,0),0)</f>
        <v>0</v>
      </c>
      <c r="C358" s="17">
        <f t="shared" si="101"/>
        <v>10793.436334753031</v>
      </c>
      <c r="D358" s="41">
        <v>10120005</v>
      </c>
      <c r="E358" s="122" t="str">
        <f>VLOOKUP(D358,'MPG Payment '!$E$3:$G$498218,2,0)</f>
        <v>Gomukh Basadhiya Kurni</v>
      </c>
      <c r="F358" s="146">
        <f>IFERROR(_xlfn.XLOOKUP(D358,'Monthly Deduction'!$I$3:$I$957,'Monthly Deduction'!$H$3:$H$957),0)</f>
        <v>0</v>
      </c>
      <c r="G358" s="123" t="str">
        <f>VLOOKUP(D358,'MPG Payment '!$E$3:$G$334579,3,0)</f>
        <v>MPG</v>
      </c>
      <c r="H358" s="124" t="str">
        <f>VLOOKUP(D358,'MPG Payment '!$E$3:$H$334579,4,0)</f>
        <v>Direct</v>
      </c>
      <c r="I358" s="88">
        <f>INDEX('MPG Payment '!$C:$C,MATCH('Shayak Income '!D358,'MPG Payment '!E:E,0))</f>
        <v>1012</v>
      </c>
      <c r="J358" s="88" t="str">
        <f>INDEX('MPG Payment '!$D:$D,MATCH('Shayak Income '!D358,'MPG Payment '!E:E,0))</f>
        <v>DalsinghSarai</v>
      </c>
      <c r="K358" s="125" t="s">
        <v>1322</v>
      </c>
      <c r="L358" s="125">
        <v>43678</v>
      </c>
      <c r="M358" s="126">
        <f>SUMIF('MPG Payment '!$E$3:$E$34579,'Shayak Income '!D358,'MPG Payment '!$I$3:$I$34579)</f>
        <v>1531.7200000000003</v>
      </c>
      <c r="N358" s="126">
        <f>SUMIF('MPG Payment '!$E$3:$E$34579,'Shayak Income '!D358,'MPG Payment '!$J$3:$J$34579)</f>
        <v>57369.698530127003</v>
      </c>
      <c r="O358" s="126">
        <f t="shared" si="102"/>
        <v>1148.7900000000002</v>
      </c>
      <c r="P358" s="126">
        <f t="shared" si="103"/>
        <v>1455.1340000000002</v>
      </c>
      <c r="Q358" s="126">
        <f>SUMIF('MPG Payment '!$E$3:$E$34579,'Shayak Income '!D358,'MPG Payment '!$S$3:$S$34579)</f>
        <v>0</v>
      </c>
      <c r="R358" s="126">
        <f t="shared" si="94"/>
        <v>1721.09095590381</v>
      </c>
      <c r="S358" s="126">
        <f t="shared" si="95"/>
        <v>265.95695590380979</v>
      </c>
      <c r="T358" s="126">
        <f t="shared" si="104"/>
        <v>153.17200000000003</v>
      </c>
      <c r="U358" s="127">
        <f>(((IF(K358="New",0,SUMIF('MPG Payment '!$E$3:$E$34579,'Shayak Income '!D358,'MPG Payment '!$AC$3:$AC$34579))))+0)+0</f>
        <v>950.99718185006054</v>
      </c>
      <c r="V358" s="127">
        <f t="shared" si="105"/>
        <v>1500</v>
      </c>
      <c r="W358" s="19">
        <v>1500</v>
      </c>
      <c r="X358" s="19">
        <v>0</v>
      </c>
      <c r="Y358" s="128">
        <f>IFERROR(VLOOKUP(D358,'Monthly Deduction'!$M$2:$N$64,2,0),0)</f>
        <v>0</v>
      </c>
      <c r="Z358" s="128">
        <v>0</v>
      </c>
      <c r="AA358" s="126">
        <f>IFERROR(VLOOKUP(D358,'Monthly Deduction'!A:B,2,0),0)</f>
        <v>0</v>
      </c>
      <c r="AB358" s="129">
        <f t="shared" si="96"/>
        <v>0</v>
      </c>
      <c r="AC358" s="130">
        <v>0</v>
      </c>
      <c r="AD358" s="35">
        <f t="shared" si="108"/>
        <v>0</v>
      </c>
      <c r="AE358" s="166" t="str">
        <f t="shared" si="109"/>
        <v>Release</v>
      </c>
      <c r="AF358" s="127"/>
      <c r="AG358" s="18">
        <v>0</v>
      </c>
      <c r="AH358" s="120"/>
      <c r="AI358" s="238">
        <v>0</v>
      </c>
      <c r="AJ358" s="132"/>
      <c r="AK358" s="151">
        <v>390.34999999999991</v>
      </c>
      <c r="AL358" s="154">
        <f t="shared" si="97"/>
        <v>0</v>
      </c>
      <c r="AM358" s="155"/>
      <c r="AN358" s="19">
        <f t="shared" si="98"/>
        <v>1861</v>
      </c>
      <c r="AO358" s="118">
        <f>SUMIF('MPG Payment '!E:E,'Shayak Income '!D358,'MPG Payment '!AJ:AJ)</f>
        <v>0</v>
      </c>
      <c r="AP358" s="19">
        <f t="shared" si="99"/>
        <v>1500</v>
      </c>
      <c r="AQ358" s="119">
        <f t="shared" si="110"/>
        <v>1500</v>
      </c>
      <c r="AR358" s="91" t="s">
        <v>1168</v>
      </c>
      <c r="AS358" s="91">
        <f t="shared" si="100"/>
        <v>0</v>
      </c>
      <c r="AT358" s="118"/>
      <c r="AU358" s="118"/>
      <c r="AV358" s="118"/>
    </row>
    <row r="359" spans="1:48" s="20" customFormat="1" x14ac:dyDescent="0.25">
      <c r="A359" s="17">
        <f>IFERROR(VLOOKUP(D359,'Monthly Deduction'!$I$3:$J$957,2,0),0)</f>
        <v>0</v>
      </c>
      <c r="B359" s="17">
        <f>IFERROR(VLOOKUP(D359,'Monthly Deduction'!$E$3:$F$957,2,0),0)</f>
        <v>0</v>
      </c>
      <c r="C359" s="17">
        <f t="shared" si="101"/>
        <v>0</v>
      </c>
      <c r="D359" s="41">
        <v>10120006</v>
      </c>
      <c r="E359" s="122" t="str">
        <f>VLOOKUP(D359,'MPG Payment '!$E$3:$G$498218,2,0)</f>
        <v>KHAJURI</v>
      </c>
      <c r="F359" s="146">
        <f>IFERROR(_xlfn.XLOOKUP(D359,'Monthly Deduction'!$I$3:$I$957,'Monthly Deduction'!$H$3:$H$957),0)</f>
        <v>0</v>
      </c>
      <c r="G359" s="123" t="str">
        <f>VLOOKUP(D359,'MPG Payment '!$E$3:$G$334579,3,0)</f>
        <v>MPG</v>
      </c>
      <c r="H359" s="124" t="str">
        <f>VLOOKUP(D359,'MPG Payment '!$E$3:$H$334579,4,0)</f>
        <v>Direct</v>
      </c>
      <c r="I359" s="88">
        <f>INDEX('MPG Payment '!$C:$C,MATCH('Shayak Income '!D359,'MPG Payment '!E:E,0))</f>
        <v>1012</v>
      </c>
      <c r="J359" s="88" t="str">
        <f>INDEX('MPG Payment '!$D:$D,MATCH('Shayak Income '!D359,'MPG Payment '!E:E,0))</f>
        <v>DalsinghSarai</v>
      </c>
      <c r="K359" s="125" t="s">
        <v>1322</v>
      </c>
      <c r="L359" s="125">
        <v>43731</v>
      </c>
      <c r="M359" s="126">
        <f>SUMIF('MPG Payment '!$E$3:$E$34579,'Shayak Income '!D359,'MPG Payment '!$I$3:$I$34579)</f>
        <v>1573.84</v>
      </c>
      <c r="N359" s="126">
        <f>SUMIF('MPG Payment '!$E$3:$E$34579,'Shayak Income '!D359,'MPG Payment '!$J$3:$J$34579)</f>
        <v>57441.298781496203</v>
      </c>
      <c r="O359" s="126">
        <f t="shared" si="102"/>
        <v>1180.3799999999999</v>
      </c>
      <c r="P359" s="126">
        <f t="shared" si="103"/>
        <v>1495.1479999999999</v>
      </c>
      <c r="Q359" s="126">
        <f>SUMIF('MPG Payment '!$E$3:$E$34579,'Shayak Income '!D359,'MPG Payment '!$S$3:$S$34579)</f>
        <v>221.82961031400004</v>
      </c>
      <c r="R359" s="126">
        <f t="shared" si="94"/>
        <v>1723.2389634448859</v>
      </c>
      <c r="S359" s="126">
        <f t="shared" si="95"/>
        <v>228.09096344488603</v>
      </c>
      <c r="T359" s="126">
        <f t="shared" si="104"/>
        <v>157.38400000000001</v>
      </c>
      <c r="U359" s="127">
        <f>(((IF(K359="New",0,SUMIF('MPG Payment '!$E$3:$E$34579,'Shayak Income '!D359,'MPG Payment '!$AC$3:$AC$34579))))+0)+0</f>
        <v>896.04518207535659</v>
      </c>
      <c r="V359" s="127">
        <f t="shared" si="105"/>
        <v>1844</v>
      </c>
      <c r="W359" s="19">
        <f t="shared" si="106"/>
        <v>0</v>
      </c>
      <c r="X359" s="19">
        <f t="shared" si="107"/>
        <v>0</v>
      </c>
      <c r="Y359" s="128">
        <f>IFERROR(VLOOKUP(D359,'Monthly Deduction'!$M$2:$N$64,2,0),0)</f>
        <v>0</v>
      </c>
      <c r="Z359" s="128">
        <v>0</v>
      </c>
      <c r="AA359" s="126">
        <f>IFERROR(VLOOKUP(D359,'Monthly Deduction'!A:B,2,0),0)</f>
        <v>0</v>
      </c>
      <c r="AB359" s="129">
        <f t="shared" si="96"/>
        <v>1844</v>
      </c>
      <c r="AC359" s="130">
        <v>0</v>
      </c>
      <c r="AD359" s="35">
        <f t="shared" si="108"/>
        <v>1844</v>
      </c>
      <c r="AE359" s="166" t="str">
        <f t="shared" si="109"/>
        <v>Release</v>
      </c>
      <c r="AF359" s="127"/>
      <c r="AG359" s="18">
        <v>0</v>
      </c>
      <c r="AH359" s="120"/>
      <c r="AI359" s="238">
        <v>0</v>
      </c>
      <c r="AJ359" s="132"/>
      <c r="AK359" s="151">
        <v>434.85</v>
      </c>
      <c r="AL359" s="154">
        <f t="shared" si="97"/>
        <v>0</v>
      </c>
      <c r="AM359" s="155"/>
      <c r="AN359" s="19">
        <f t="shared" si="98"/>
        <v>0</v>
      </c>
      <c r="AO359" s="118">
        <f>SUMIF('MPG Payment '!E:E,'Shayak Income '!D359,'MPG Payment '!AJ:AJ)</f>
        <v>0</v>
      </c>
      <c r="AP359" s="19">
        <f t="shared" si="99"/>
        <v>0</v>
      </c>
      <c r="AQ359" s="119">
        <f t="shared" si="110"/>
        <v>0</v>
      </c>
      <c r="AR359" s="91" t="s">
        <v>1168</v>
      </c>
      <c r="AS359" s="91">
        <f t="shared" si="100"/>
        <v>0</v>
      </c>
      <c r="AT359" s="118"/>
      <c r="AU359" s="118"/>
      <c r="AV359" s="118"/>
    </row>
    <row r="360" spans="1:48" s="20" customFormat="1" x14ac:dyDescent="0.25">
      <c r="A360" s="17">
        <f>IFERROR(VLOOKUP(D360,'Monthly Deduction'!$I$3:$J$957,2,0),0)</f>
        <v>0</v>
      </c>
      <c r="B360" s="17">
        <f>IFERROR(VLOOKUP(D360,'Monthly Deduction'!$E$3:$F$957,2,0),0)</f>
        <v>0</v>
      </c>
      <c r="C360" s="17">
        <f t="shared" si="101"/>
        <v>0</v>
      </c>
      <c r="D360" s="41">
        <v>10120007</v>
      </c>
      <c r="E360" s="122" t="str">
        <f>VLOOKUP(D360,'MPG Payment '!$E$3:$G$498218,2,0)</f>
        <v>ARMAULI-2</v>
      </c>
      <c r="F360" s="146">
        <f>IFERROR(_xlfn.XLOOKUP(D360,'Monthly Deduction'!$I$3:$I$957,'Monthly Deduction'!$H$3:$H$957),0)</f>
        <v>0</v>
      </c>
      <c r="G360" s="123" t="str">
        <f>VLOOKUP(D360,'MPG Payment '!$E$3:$G$334579,3,0)</f>
        <v>MPG</v>
      </c>
      <c r="H360" s="124" t="str">
        <f>VLOOKUP(D360,'MPG Payment '!$E$3:$H$334579,4,0)</f>
        <v>Direct</v>
      </c>
      <c r="I360" s="88">
        <f>INDEX('MPG Payment '!$C:$C,MATCH('Shayak Income '!D360,'MPG Payment '!E:E,0))</f>
        <v>1012</v>
      </c>
      <c r="J360" s="88" t="str">
        <f>INDEX('MPG Payment '!$D:$D,MATCH('Shayak Income '!D360,'MPG Payment '!E:E,0))</f>
        <v>DalsinghSarai</v>
      </c>
      <c r="K360" s="125" t="s">
        <v>1322</v>
      </c>
      <c r="L360" s="125">
        <v>43731</v>
      </c>
      <c r="M360" s="126">
        <f>SUMIF('MPG Payment '!$E$3:$E$34579,'Shayak Income '!D360,'MPG Payment '!$I$3:$I$34579)</f>
        <v>5082.5300000000007</v>
      </c>
      <c r="N360" s="126">
        <f>SUMIF('MPG Payment '!$E$3:$E$34579,'Shayak Income '!D360,'MPG Payment '!$J$3:$J$34579)</f>
        <v>201283.01676902303</v>
      </c>
      <c r="O360" s="126">
        <f t="shared" si="102"/>
        <v>3811.8975000000005</v>
      </c>
      <c r="P360" s="126">
        <f t="shared" si="103"/>
        <v>4828.4035000000003</v>
      </c>
      <c r="Q360" s="126">
        <f>SUMIF('MPG Payment '!$E$3:$E$34579,'Shayak Income '!D360,'MPG Payment '!$S$3:$S$34579)</f>
        <v>2466.0562019780004</v>
      </c>
      <c r="R360" s="126">
        <f t="shared" si="94"/>
        <v>6038.4905030706905</v>
      </c>
      <c r="S360" s="126">
        <f t="shared" si="95"/>
        <v>1210.0870030706901</v>
      </c>
      <c r="T360" s="126">
        <f t="shared" si="104"/>
        <v>508.2530000000001</v>
      </c>
      <c r="U360" s="127">
        <f>(((IF(K360="New",0,SUMIF('MPG Payment '!$E$3:$E$34579,'Shayak Income '!D360,'MPG Payment '!$AC$3:$AC$34579))))+0)+0</f>
        <v>0</v>
      </c>
      <c r="V360" s="127">
        <f t="shared" si="105"/>
        <v>10598</v>
      </c>
      <c r="W360" s="19">
        <f t="shared" si="106"/>
        <v>0</v>
      </c>
      <c r="X360" s="19">
        <f t="shared" si="107"/>
        <v>0</v>
      </c>
      <c r="Y360" s="128">
        <f>IFERROR(VLOOKUP(D360,'Monthly Deduction'!$M$2:$N$64,2,0),0)</f>
        <v>0</v>
      </c>
      <c r="Z360" s="128">
        <v>0</v>
      </c>
      <c r="AA360" s="126">
        <f>IFERROR(VLOOKUP(D360,'Monthly Deduction'!A:B,2,0),0)</f>
        <v>0</v>
      </c>
      <c r="AB360" s="129">
        <f t="shared" si="96"/>
        <v>10598</v>
      </c>
      <c r="AC360" s="130">
        <v>0</v>
      </c>
      <c r="AD360" s="35">
        <f t="shared" si="108"/>
        <v>10598</v>
      </c>
      <c r="AE360" s="166" t="str">
        <f t="shared" si="109"/>
        <v>Release</v>
      </c>
      <c r="AF360" s="127"/>
      <c r="AG360" s="18">
        <v>0</v>
      </c>
      <c r="AH360" s="132"/>
      <c r="AI360" s="238">
        <v>0</v>
      </c>
      <c r="AJ360" s="132"/>
      <c r="AK360" s="151">
        <v>1207.4500000000003</v>
      </c>
      <c r="AL360" s="154">
        <f t="shared" si="97"/>
        <v>0</v>
      </c>
      <c r="AM360" s="155"/>
      <c r="AN360" s="19">
        <f t="shared" si="98"/>
        <v>0</v>
      </c>
      <c r="AO360" s="118">
        <f>SUMIF('MPG Payment '!E:E,'Shayak Income '!D360,'MPG Payment '!AJ:AJ)</f>
        <v>0</v>
      </c>
      <c r="AP360" s="19">
        <f t="shared" si="99"/>
        <v>0</v>
      </c>
      <c r="AQ360" s="119">
        <f t="shared" si="110"/>
        <v>0</v>
      </c>
      <c r="AR360" s="91" t="s">
        <v>1168</v>
      </c>
      <c r="AS360" s="91">
        <f t="shared" si="100"/>
        <v>0</v>
      </c>
      <c r="AT360" s="118"/>
      <c r="AU360" s="118"/>
      <c r="AV360" s="118"/>
    </row>
    <row r="361" spans="1:48" s="20" customFormat="1" x14ac:dyDescent="0.25">
      <c r="A361" s="17">
        <f>IFERROR(VLOOKUP(D361,'Monthly Deduction'!$I$3:$J$957,2,0),0)</f>
        <v>0</v>
      </c>
      <c r="B361" s="17">
        <f>IFERROR(VLOOKUP(D361,'Monthly Deduction'!$E$3:$F$957,2,0),0)</f>
        <v>0</v>
      </c>
      <c r="C361" s="17">
        <f t="shared" si="101"/>
        <v>0</v>
      </c>
      <c r="D361" s="41">
        <v>10120008</v>
      </c>
      <c r="E361" s="122" t="str">
        <f>VLOOKUP(D361,'MPG Payment '!$E$3:$G$498218,2,0)</f>
        <v>MUSAPUR - 2</v>
      </c>
      <c r="F361" s="146">
        <f>IFERROR(_xlfn.XLOOKUP(D361,'Monthly Deduction'!$I$3:$I$957,'Monthly Deduction'!$H$3:$H$957),0)</f>
        <v>0</v>
      </c>
      <c r="G361" s="123" t="str">
        <f>VLOOKUP(D361,'MPG Payment '!$E$3:$G$334579,3,0)</f>
        <v>vlc</v>
      </c>
      <c r="H361" s="124" t="str">
        <f>VLOOKUP(D361,'MPG Payment '!$E$3:$H$334579,4,0)</f>
        <v>Indirect</v>
      </c>
      <c r="I361" s="88">
        <f>INDEX('MPG Payment '!$C:$C,MATCH('Shayak Income '!D361,'MPG Payment '!E:E,0))</f>
        <v>1012</v>
      </c>
      <c r="J361" s="88" t="str">
        <f>INDEX('MPG Payment '!$D:$D,MATCH('Shayak Income '!D361,'MPG Payment '!E:E,0))</f>
        <v>DalsinghSarai</v>
      </c>
      <c r="K361" s="125" t="s">
        <v>1322</v>
      </c>
      <c r="L361" s="125">
        <v>43756</v>
      </c>
      <c r="M361" s="126">
        <f>SUMIF('MPG Payment '!$E$3:$E$34579,'Shayak Income '!D361,'MPG Payment '!$I$3:$I$34579)</f>
        <v>254.11</v>
      </c>
      <c r="N361" s="126">
        <f>SUMIF('MPG Payment '!$E$3:$E$34579,'Shayak Income '!D361,'MPG Payment '!$J$3:$J$34579)</f>
        <v>8670.5285049868507</v>
      </c>
      <c r="O361" s="126">
        <f t="shared" si="102"/>
        <v>190.58250000000001</v>
      </c>
      <c r="P361" s="126">
        <f t="shared" si="103"/>
        <v>241.40450000000001</v>
      </c>
      <c r="Q361" s="126">
        <f>SUMIF('MPG Payment '!$E$3:$E$34579,'Shayak Income '!D361,'MPG Payment '!$S$3:$S$34579)</f>
        <v>0</v>
      </c>
      <c r="R361" s="126">
        <f t="shared" si="94"/>
        <v>260.11585514960552</v>
      </c>
      <c r="S361" s="126">
        <f t="shared" si="95"/>
        <v>18.711355149605509</v>
      </c>
      <c r="T361" s="126">
        <f t="shared" si="104"/>
        <v>25.411000000000001</v>
      </c>
      <c r="U361" s="127">
        <f>(((IF(K361="New",0,SUMIF('MPG Payment '!$E$3:$E$34579,'Shayak Income '!D361,'MPG Payment '!$AC$3:$AC$34579))))+0)+-1327</f>
        <v>406.22242591402892</v>
      </c>
      <c r="V361" s="127">
        <f t="shared" si="105"/>
        <v>0</v>
      </c>
      <c r="W361" s="19">
        <v>0</v>
      </c>
      <c r="X361" s="19">
        <v>0</v>
      </c>
      <c r="Y361" s="128">
        <f>IFERROR(VLOOKUP(D361,'Monthly Deduction'!$M$2:$N$64,2,0),0)</f>
        <v>0</v>
      </c>
      <c r="Z361" s="128">
        <v>0</v>
      </c>
      <c r="AA361" s="126">
        <v>0</v>
      </c>
      <c r="AB361" s="129">
        <f t="shared" si="96"/>
        <v>0</v>
      </c>
      <c r="AC361" s="130">
        <v>0</v>
      </c>
      <c r="AD361" s="35">
        <f t="shared" si="108"/>
        <v>0</v>
      </c>
      <c r="AE361" s="166" t="str">
        <f t="shared" si="109"/>
        <v>Release</v>
      </c>
      <c r="AF361" s="127"/>
      <c r="AG361" s="18">
        <v>0</v>
      </c>
      <c r="AH361" s="120"/>
      <c r="AI361" s="238">
        <v>0</v>
      </c>
      <c r="AJ361" s="132"/>
      <c r="AK361" s="151">
        <v>70.399999999999991</v>
      </c>
      <c r="AL361" s="154">
        <f t="shared" si="97"/>
        <v>0</v>
      </c>
      <c r="AM361" s="155"/>
      <c r="AN361" s="19">
        <f t="shared" si="98"/>
        <v>0</v>
      </c>
      <c r="AO361" s="118">
        <f>SUMIF('MPG Payment '!E:E,'Shayak Income '!D361,'MPG Payment '!AJ:AJ)</f>
        <v>0</v>
      </c>
      <c r="AP361" s="19">
        <f t="shared" si="99"/>
        <v>0</v>
      </c>
      <c r="AQ361" s="119">
        <f t="shared" si="110"/>
        <v>0</v>
      </c>
      <c r="AR361" s="91" t="s">
        <v>1168</v>
      </c>
      <c r="AS361" s="91">
        <f t="shared" si="100"/>
        <v>0</v>
      </c>
      <c r="AT361" s="118"/>
      <c r="AU361" s="118"/>
      <c r="AV361" s="118"/>
    </row>
    <row r="362" spans="1:48" s="20" customFormat="1" x14ac:dyDescent="0.25">
      <c r="A362" s="17">
        <f>IFERROR(VLOOKUP(D362,'Monthly Deduction'!$I$3:$J$957,2,0),0)</f>
        <v>0</v>
      </c>
      <c r="B362" s="17">
        <f>IFERROR(VLOOKUP(D362,'Monthly Deduction'!$E$3:$F$957,2,0),0)</f>
        <v>0</v>
      </c>
      <c r="C362" s="17">
        <f t="shared" si="101"/>
        <v>0</v>
      </c>
      <c r="D362" s="41">
        <v>10120010</v>
      </c>
      <c r="E362" s="122" t="str">
        <f>VLOOKUP(D362,'MPG Payment '!$E$3:$G$498218,2,0)</f>
        <v>Janganath Pur</v>
      </c>
      <c r="F362" s="146">
        <f>IFERROR(_xlfn.XLOOKUP(D362,'Monthly Deduction'!$I$3:$I$957,'Monthly Deduction'!$H$3:$H$957),0)</f>
        <v>0</v>
      </c>
      <c r="G362" s="123" t="str">
        <f>VLOOKUP(D362,'MPG Payment '!$E$3:$G$334579,3,0)</f>
        <v>vlc</v>
      </c>
      <c r="H362" s="124" t="str">
        <f>VLOOKUP(D362,'MPG Payment '!$E$3:$H$334579,4,0)</f>
        <v>Indirect</v>
      </c>
      <c r="I362" s="88">
        <f>INDEX('MPG Payment '!$C:$C,MATCH('Shayak Income '!D362,'MPG Payment '!E:E,0))</f>
        <v>1012</v>
      </c>
      <c r="J362" s="88" t="str">
        <f>INDEX('MPG Payment '!$D:$D,MATCH('Shayak Income '!D362,'MPG Payment '!E:E,0))</f>
        <v>DalsinghSarai</v>
      </c>
      <c r="K362" s="125" t="s">
        <v>1322</v>
      </c>
      <c r="L362" s="125">
        <v>43903</v>
      </c>
      <c r="M362" s="126">
        <f>SUMIF('MPG Payment '!$E$3:$E$34579,'Shayak Income '!D362,'MPG Payment '!$I$3:$I$34579)</f>
        <v>7199.0399999999991</v>
      </c>
      <c r="N362" s="126">
        <f>SUMIF('MPG Payment '!$E$3:$E$34579,'Shayak Income '!D362,'MPG Payment '!$J$3:$J$34579)</f>
        <v>299267.56928150787</v>
      </c>
      <c r="O362" s="126">
        <f t="shared" si="102"/>
        <v>5399.2799999999988</v>
      </c>
      <c r="P362" s="126">
        <f t="shared" si="103"/>
        <v>6839.0879999999988</v>
      </c>
      <c r="Q362" s="126">
        <f>SUMIF('MPG Payment '!$E$3:$E$34579,'Shayak Income '!D362,'MPG Payment '!$S$3:$S$34579)</f>
        <v>0</v>
      </c>
      <c r="R362" s="126">
        <f t="shared" si="94"/>
        <v>8978.027078445235</v>
      </c>
      <c r="S362" s="126">
        <f t="shared" si="95"/>
        <v>2138.9390784452362</v>
      </c>
      <c r="T362" s="126">
        <f t="shared" si="104"/>
        <v>719.904</v>
      </c>
      <c r="U362" s="127">
        <f>(((IF(K362="New",0,SUMIF('MPG Payment '!$E$3:$E$34579,'Shayak Income '!D362,'MPG Payment '!$AC$3:$AC$34579))))+0)+0</f>
        <v>0</v>
      </c>
      <c r="V362" s="127">
        <f t="shared" si="105"/>
        <v>11518</v>
      </c>
      <c r="W362" s="19">
        <f t="shared" si="106"/>
        <v>0</v>
      </c>
      <c r="X362" s="19">
        <f t="shared" si="107"/>
        <v>0</v>
      </c>
      <c r="Y362" s="128">
        <f>IFERROR(VLOOKUP(D362,'Monthly Deduction'!$M$2:$N$64,2,0),0)</f>
        <v>0</v>
      </c>
      <c r="Z362" s="128">
        <v>0</v>
      </c>
      <c r="AA362" s="126">
        <f>IFERROR(VLOOKUP(D362,'Monthly Deduction'!A:B,2,0),0)</f>
        <v>0</v>
      </c>
      <c r="AB362" s="129">
        <f t="shared" si="96"/>
        <v>11518</v>
      </c>
      <c r="AC362" s="130">
        <v>0</v>
      </c>
      <c r="AD362" s="35">
        <f t="shared" si="108"/>
        <v>11518</v>
      </c>
      <c r="AE362" s="166" t="str">
        <f t="shared" si="109"/>
        <v>Release</v>
      </c>
      <c r="AF362" s="127"/>
      <c r="AG362" s="18">
        <v>0</v>
      </c>
      <c r="AH362" s="132"/>
      <c r="AI362" s="238">
        <v>0</v>
      </c>
      <c r="AJ362" s="132"/>
      <c r="AK362" s="151">
        <v>1607.5900000000001</v>
      </c>
      <c r="AL362" s="154">
        <f t="shared" si="97"/>
        <v>0</v>
      </c>
      <c r="AM362" s="155"/>
      <c r="AN362" s="19">
        <f t="shared" si="98"/>
        <v>0</v>
      </c>
      <c r="AO362" s="118">
        <f>SUMIF('MPG Payment '!E:E,'Shayak Income '!D362,'MPG Payment '!AJ:AJ)</f>
        <v>0</v>
      </c>
      <c r="AP362" s="19">
        <f t="shared" si="99"/>
        <v>0</v>
      </c>
      <c r="AQ362" s="119">
        <f t="shared" si="110"/>
        <v>0</v>
      </c>
      <c r="AR362" s="91" t="s">
        <v>1168</v>
      </c>
      <c r="AS362" s="91">
        <f t="shared" si="100"/>
        <v>0</v>
      </c>
      <c r="AT362" s="118"/>
      <c r="AU362" s="118"/>
      <c r="AV362" s="118"/>
    </row>
    <row r="363" spans="1:48" s="20" customFormat="1" x14ac:dyDescent="0.25">
      <c r="A363" s="17">
        <f>IFERROR(VLOOKUP(D363,'Monthly Deduction'!$I$3:$J$957,2,0),0)</f>
        <v>0</v>
      </c>
      <c r="B363" s="17">
        <f>IFERROR(VLOOKUP(D363,'Monthly Deduction'!$E$3:$F$957,2,0),0)</f>
        <v>0</v>
      </c>
      <c r="C363" s="17">
        <f t="shared" si="101"/>
        <v>0</v>
      </c>
      <c r="D363" s="41">
        <v>10120011</v>
      </c>
      <c r="E363" s="122" t="str">
        <f>VLOOKUP(D363,'MPG Payment '!$E$3:$G$498218,2,0)</f>
        <v>Nagargama</v>
      </c>
      <c r="F363" s="146">
        <f>IFERROR(_xlfn.XLOOKUP(D363,'Monthly Deduction'!$I$3:$I$957,'Monthly Deduction'!$H$3:$H$957),0)</f>
        <v>0</v>
      </c>
      <c r="G363" s="123" t="str">
        <f>VLOOKUP(D363,'MPG Payment '!$E$3:$G$334579,3,0)</f>
        <v>vlc</v>
      </c>
      <c r="H363" s="124" t="str">
        <f>VLOOKUP(D363,'MPG Payment '!$E$3:$H$334579,4,0)</f>
        <v>Indirect</v>
      </c>
      <c r="I363" s="88">
        <f>INDEX('MPG Payment '!$C:$C,MATCH('Shayak Income '!D363,'MPG Payment '!E:E,0))</f>
        <v>1012</v>
      </c>
      <c r="J363" s="88" t="str">
        <f>INDEX('MPG Payment '!$D:$D,MATCH('Shayak Income '!D363,'MPG Payment '!E:E,0))</f>
        <v>DalsinghSarai</v>
      </c>
      <c r="K363" s="125" t="s">
        <v>1322</v>
      </c>
      <c r="L363" s="125">
        <v>43917</v>
      </c>
      <c r="M363" s="126">
        <f>SUMIF('MPG Payment '!$E$3:$E$34579,'Shayak Income '!D363,'MPG Payment '!$I$3:$I$34579)</f>
        <v>1289.3000000000002</v>
      </c>
      <c r="N363" s="126">
        <f>SUMIF('MPG Payment '!$E$3:$E$34579,'Shayak Income '!D363,'MPG Payment '!$J$3:$J$34579)</f>
        <v>49407.988762713605</v>
      </c>
      <c r="O363" s="126">
        <f t="shared" si="102"/>
        <v>966.97500000000014</v>
      </c>
      <c r="P363" s="126">
        <f t="shared" si="103"/>
        <v>1224.835</v>
      </c>
      <c r="Q363" s="126">
        <f>SUMIF('MPG Payment '!$E$3:$E$34579,'Shayak Income '!D363,'MPG Payment '!$S$3:$S$34579)</f>
        <v>0</v>
      </c>
      <c r="R363" s="126">
        <f t="shared" si="94"/>
        <v>1482.2396628814081</v>
      </c>
      <c r="S363" s="126">
        <f t="shared" si="95"/>
        <v>257.40466288140806</v>
      </c>
      <c r="T363" s="126">
        <f t="shared" si="104"/>
        <v>128.93000000000004</v>
      </c>
      <c r="U363" s="127">
        <f>(((IF(K363="New",0,SUMIF('MPG Payment '!$E$3:$E$34579,'Shayak Income '!D363,'MPG Payment '!$AC$3:$AC$34579))))+0)+0</f>
        <v>1152.3331301835135</v>
      </c>
      <c r="V363" s="127">
        <f t="shared" si="105"/>
        <v>911</v>
      </c>
      <c r="W363" s="19">
        <f t="shared" si="106"/>
        <v>0</v>
      </c>
      <c r="X363" s="19">
        <f t="shared" si="107"/>
        <v>0</v>
      </c>
      <c r="Y363" s="128">
        <f>IFERROR(VLOOKUP(D363,'Monthly Deduction'!$M$2:$N$64,2,0),0)</f>
        <v>0</v>
      </c>
      <c r="Z363" s="128">
        <v>0</v>
      </c>
      <c r="AA363" s="126">
        <f>IFERROR(VLOOKUP(D363,'Monthly Deduction'!A:B,2,0),0)</f>
        <v>0</v>
      </c>
      <c r="AB363" s="129">
        <f t="shared" si="96"/>
        <v>911</v>
      </c>
      <c r="AC363" s="130">
        <v>0</v>
      </c>
      <c r="AD363" s="35">
        <f t="shared" si="108"/>
        <v>911</v>
      </c>
      <c r="AE363" s="166" t="str">
        <f t="shared" si="109"/>
        <v>Release</v>
      </c>
      <c r="AF363" s="127"/>
      <c r="AG363" s="18">
        <v>0</v>
      </c>
      <c r="AH363" s="132"/>
      <c r="AI363" s="238">
        <v>0</v>
      </c>
      <c r="AJ363" s="132"/>
      <c r="AK363" s="151">
        <v>332.64000000000004</v>
      </c>
      <c r="AL363" s="154">
        <f t="shared" si="97"/>
        <v>0</v>
      </c>
      <c r="AM363" s="155"/>
      <c r="AN363" s="19">
        <f t="shared" si="98"/>
        <v>0</v>
      </c>
      <c r="AO363" s="118">
        <f>SUMIF('MPG Payment '!E:E,'Shayak Income '!D363,'MPG Payment '!AJ:AJ)</f>
        <v>0</v>
      </c>
      <c r="AP363" s="19">
        <f t="shared" si="99"/>
        <v>0</v>
      </c>
      <c r="AQ363" s="119">
        <f t="shared" si="110"/>
        <v>0</v>
      </c>
      <c r="AR363" s="91" t="s">
        <v>1168</v>
      </c>
      <c r="AS363" s="91">
        <f t="shared" si="100"/>
        <v>0</v>
      </c>
      <c r="AT363" s="118"/>
      <c r="AU363" s="118"/>
      <c r="AV363" s="118"/>
    </row>
    <row r="364" spans="1:48" s="20" customFormat="1" x14ac:dyDescent="0.25">
      <c r="A364" s="17">
        <f>IFERROR(VLOOKUP(D364,'Monthly Deduction'!$I$3:$J$957,2,0),0)</f>
        <v>0</v>
      </c>
      <c r="B364" s="17">
        <f>IFERROR(VLOOKUP(D364,'Monthly Deduction'!$E$3:$F$957,2,0),0)</f>
        <v>0</v>
      </c>
      <c r="C364" s="17">
        <f t="shared" si="101"/>
        <v>0</v>
      </c>
      <c r="D364" s="41">
        <v>10120012</v>
      </c>
      <c r="E364" s="122" t="str">
        <f>VLOOKUP(D364,'MPG Payment '!$E$3:$G$498218,2,0)</f>
        <v>Sato Ghachchhi</v>
      </c>
      <c r="F364" s="146">
        <f>IFERROR(_xlfn.XLOOKUP(D364,'Monthly Deduction'!$I$3:$I$957,'Monthly Deduction'!$H$3:$H$957),0)</f>
        <v>0</v>
      </c>
      <c r="G364" s="123" t="str">
        <f>VLOOKUP(D364,'MPG Payment '!$E$3:$G$334579,3,0)</f>
        <v>MPG</v>
      </c>
      <c r="H364" s="124" t="str">
        <f>VLOOKUP(D364,'MPG Payment '!$E$3:$H$334579,4,0)</f>
        <v>Direct</v>
      </c>
      <c r="I364" s="88">
        <f>INDEX('MPG Payment '!$C:$C,MATCH('Shayak Income '!D364,'MPG Payment '!E:E,0))</f>
        <v>1012</v>
      </c>
      <c r="J364" s="88" t="str">
        <f>INDEX('MPG Payment '!$D:$D,MATCH('Shayak Income '!D364,'MPG Payment '!E:E,0))</f>
        <v>DalsinghSarai</v>
      </c>
      <c r="K364" s="125" t="s">
        <v>1322</v>
      </c>
      <c r="L364" s="125">
        <v>43924</v>
      </c>
      <c r="M364" s="126">
        <f>SUMIF('MPG Payment '!$E$3:$E$34579,'Shayak Income '!D364,'MPG Payment '!$I$3:$I$34579)</f>
        <v>3208.45</v>
      </c>
      <c r="N364" s="126">
        <f>SUMIF('MPG Payment '!$E$3:$E$34579,'Shayak Income '!D364,'MPG Payment '!$J$3:$J$34579)</f>
        <v>140423.55206959246</v>
      </c>
      <c r="O364" s="126">
        <f t="shared" si="102"/>
        <v>2406.3374999999996</v>
      </c>
      <c r="P364" s="126">
        <f t="shared" si="103"/>
        <v>3048.0274999999997</v>
      </c>
      <c r="Q364" s="126">
        <f>SUMIF('MPG Payment '!$E$3:$E$34579,'Shayak Income '!D364,'MPG Payment '!$S$3:$S$34579)</f>
        <v>2492.7043499100005</v>
      </c>
      <c r="R364" s="126">
        <f t="shared" si="94"/>
        <v>4212.7065620877738</v>
      </c>
      <c r="S364" s="126">
        <f t="shared" si="95"/>
        <v>1164.6790620877741</v>
      </c>
      <c r="T364" s="126">
        <f t="shared" si="104"/>
        <v>320.84500000000003</v>
      </c>
      <c r="U364" s="127">
        <f>(((IF(K364="New",0,SUMIF('MPG Payment '!$E$3:$E$34579,'Shayak Income '!D364,'MPG Payment '!$AC$3:$AC$34579))))+0)+0</f>
        <v>0</v>
      </c>
      <c r="V364" s="127">
        <f t="shared" si="105"/>
        <v>7626</v>
      </c>
      <c r="W364" s="19">
        <f t="shared" si="106"/>
        <v>0</v>
      </c>
      <c r="X364" s="19">
        <f t="shared" si="107"/>
        <v>0</v>
      </c>
      <c r="Y364" s="128">
        <f>IFERROR(VLOOKUP(D364,'Monthly Deduction'!$M$2:$N$64,2,0),0)</f>
        <v>0</v>
      </c>
      <c r="Z364" s="128">
        <v>0</v>
      </c>
      <c r="AA364" s="126">
        <f>IFERROR(VLOOKUP(D364,'Monthly Deduction'!A:B,2,0),0)</f>
        <v>0</v>
      </c>
      <c r="AB364" s="129">
        <f t="shared" si="96"/>
        <v>7626</v>
      </c>
      <c r="AC364" s="130">
        <v>0</v>
      </c>
      <c r="AD364" s="35">
        <f t="shared" si="108"/>
        <v>7626</v>
      </c>
      <c r="AE364" s="166" t="str">
        <f t="shared" si="109"/>
        <v>Release</v>
      </c>
      <c r="AF364" s="127"/>
      <c r="AG364" s="18">
        <v>0</v>
      </c>
      <c r="AH364" s="120"/>
      <c r="AI364" s="238">
        <v>0</v>
      </c>
      <c r="AJ364" s="132"/>
      <c r="AK364" s="151">
        <v>758.70000000000016</v>
      </c>
      <c r="AL364" s="154">
        <f t="shared" si="97"/>
        <v>0</v>
      </c>
      <c r="AM364" s="155"/>
      <c r="AN364" s="19">
        <f t="shared" si="98"/>
        <v>0</v>
      </c>
      <c r="AO364" s="118">
        <f>SUMIF('MPG Payment '!E:E,'Shayak Income '!D364,'MPG Payment '!AJ:AJ)</f>
        <v>0</v>
      </c>
      <c r="AP364" s="19">
        <f t="shared" si="99"/>
        <v>0</v>
      </c>
      <c r="AQ364" s="119">
        <f t="shared" si="110"/>
        <v>0</v>
      </c>
      <c r="AR364" s="91" t="s">
        <v>1168</v>
      </c>
      <c r="AS364" s="91">
        <f t="shared" si="100"/>
        <v>0</v>
      </c>
      <c r="AT364" s="118"/>
      <c r="AU364" s="118"/>
      <c r="AV364" s="118"/>
    </row>
    <row r="365" spans="1:48" s="20" customFormat="1" x14ac:dyDescent="0.25">
      <c r="A365" s="17">
        <f>IFERROR(VLOOKUP(D365,'Monthly Deduction'!$I$3:$J$957,2,0),0)</f>
        <v>0</v>
      </c>
      <c r="B365" s="17">
        <f>IFERROR(VLOOKUP(D365,'Monthly Deduction'!$E$3:$F$957,2,0),0)</f>
        <v>0</v>
      </c>
      <c r="C365" s="17">
        <f t="shared" si="101"/>
        <v>0</v>
      </c>
      <c r="D365" s="41">
        <v>10120013</v>
      </c>
      <c r="E365" s="122" t="str">
        <f>VLOOKUP(D365,'MPG Payment '!$E$3:$G$498218,2,0)</f>
        <v>Bhatgama</v>
      </c>
      <c r="F365" s="146">
        <f>IFERROR(_xlfn.XLOOKUP(D365,'Monthly Deduction'!$I$3:$I$957,'Monthly Deduction'!$H$3:$H$957),0)</f>
        <v>0</v>
      </c>
      <c r="G365" s="123" t="str">
        <f>VLOOKUP(D365,'MPG Payment '!$E$3:$G$334579,3,0)</f>
        <v>vlc</v>
      </c>
      <c r="H365" s="124" t="str">
        <f>VLOOKUP(D365,'MPG Payment '!$E$3:$H$334579,4,0)</f>
        <v>Indirect</v>
      </c>
      <c r="I365" s="88">
        <f>INDEX('MPG Payment '!$C:$C,MATCH('Shayak Income '!D365,'MPG Payment '!E:E,0))</f>
        <v>1012</v>
      </c>
      <c r="J365" s="88" t="str">
        <f>INDEX('MPG Payment '!$D:$D,MATCH('Shayak Income '!D365,'MPG Payment '!E:E,0))</f>
        <v>DalsinghSarai</v>
      </c>
      <c r="K365" s="125" t="s">
        <v>1322</v>
      </c>
      <c r="L365" s="125">
        <v>43935</v>
      </c>
      <c r="M365" s="126">
        <f>SUMIF('MPG Payment '!$E$3:$E$34579,'Shayak Income '!D365,'MPG Payment '!$I$3:$I$34579)</f>
        <v>1453.2200000000003</v>
      </c>
      <c r="N365" s="126">
        <f>SUMIF('MPG Payment '!$E$3:$E$34579,'Shayak Income '!D365,'MPG Payment '!$J$3:$J$34579)</f>
        <v>50077.328797258451</v>
      </c>
      <c r="O365" s="126">
        <f t="shared" si="102"/>
        <v>1089.9150000000002</v>
      </c>
      <c r="P365" s="126">
        <f t="shared" si="103"/>
        <v>1380.5590000000002</v>
      </c>
      <c r="Q365" s="126">
        <f>SUMIF('MPG Payment '!$E$3:$E$34579,'Shayak Income '!D365,'MPG Payment '!$S$3:$S$34579)</f>
        <v>0</v>
      </c>
      <c r="R365" s="126">
        <f t="shared" si="94"/>
        <v>1502.3198639177535</v>
      </c>
      <c r="S365" s="126">
        <f t="shared" si="95"/>
        <v>121.76086391775334</v>
      </c>
      <c r="T365" s="126">
        <f t="shared" si="104"/>
        <v>145.32200000000003</v>
      </c>
      <c r="U365" s="127">
        <f>(((IF(K365="New",0,SUMIF('MPG Payment '!$E$3:$E$34579,'Shayak Income '!D365,'MPG Payment '!$AC$3:$AC$34579))))+0)+0</f>
        <v>920.38125296828457</v>
      </c>
      <c r="V365" s="127">
        <f t="shared" si="105"/>
        <v>1405</v>
      </c>
      <c r="W365" s="19">
        <f t="shared" si="106"/>
        <v>0</v>
      </c>
      <c r="X365" s="19">
        <f t="shared" si="107"/>
        <v>0</v>
      </c>
      <c r="Y365" s="128">
        <f>IFERROR(VLOOKUP(D365,'Monthly Deduction'!$M$2:$N$64,2,0),0)</f>
        <v>0</v>
      </c>
      <c r="Z365" s="128">
        <v>0</v>
      </c>
      <c r="AA365" s="126">
        <f>IFERROR(VLOOKUP(D365,'Monthly Deduction'!A:B,2,0),0)</f>
        <v>0</v>
      </c>
      <c r="AB365" s="129">
        <f t="shared" si="96"/>
        <v>1405</v>
      </c>
      <c r="AC365" s="130">
        <v>0</v>
      </c>
      <c r="AD365" s="35">
        <f t="shared" si="108"/>
        <v>1405</v>
      </c>
      <c r="AE365" s="166" t="str">
        <f t="shared" si="109"/>
        <v>Release</v>
      </c>
      <c r="AF365" s="127"/>
      <c r="AG365" s="18">
        <v>0</v>
      </c>
      <c r="AH365" s="132"/>
      <c r="AI365" s="238">
        <v>0</v>
      </c>
      <c r="AJ365" s="132"/>
      <c r="AK365" s="151">
        <v>453.13</v>
      </c>
      <c r="AL365" s="154">
        <f t="shared" si="97"/>
        <v>0</v>
      </c>
      <c r="AM365" s="155"/>
      <c r="AN365" s="19">
        <f t="shared" si="98"/>
        <v>0</v>
      </c>
      <c r="AO365" s="118">
        <f>SUMIF('MPG Payment '!E:E,'Shayak Income '!D365,'MPG Payment '!AJ:AJ)</f>
        <v>0</v>
      </c>
      <c r="AP365" s="19">
        <f t="shared" si="99"/>
        <v>0</v>
      </c>
      <c r="AQ365" s="119">
        <f t="shared" si="110"/>
        <v>0</v>
      </c>
      <c r="AR365" s="91" t="s">
        <v>1168</v>
      </c>
      <c r="AS365" s="91">
        <f t="shared" si="100"/>
        <v>0</v>
      </c>
      <c r="AT365" s="118"/>
      <c r="AU365" s="118"/>
      <c r="AV365" s="118"/>
    </row>
    <row r="366" spans="1:48" s="20" customFormat="1" x14ac:dyDescent="0.25">
      <c r="A366" s="17">
        <f>IFERROR(VLOOKUP(D366,'Monthly Deduction'!$I$3:$J$957,2,0),0)</f>
        <v>0</v>
      </c>
      <c r="B366" s="17">
        <f>IFERROR(VLOOKUP(D366,'Monthly Deduction'!$E$3:$F$957,2,0),0)</f>
        <v>0</v>
      </c>
      <c r="C366" s="17">
        <f t="shared" si="101"/>
        <v>0</v>
      </c>
      <c r="D366" s="41">
        <v>10120014</v>
      </c>
      <c r="E366" s="122" t="str">
        <f>VLOOKUP(D366,'MPG Payment '!$E$3:$G$498218,2,0)</f>
        <v>Borna Rasalpur</v>
      </c>
      <c r="F366" s="146">
        <f>IFERROR(_xlfn.XLOOKUP(D366,'Monthly Deduction'!$I$3:$I$957,'Monthly Deduction'!$H$3:$H$957),0)</f>
        <v>0</v>
      </c>
      <c r="G366" s="123" t="str">
        <f>VLOOKUP(D366,'MPG Payment '!$E$3:$G$334579,3,0)</f>
        <v>MPG</v>
      </c>
      <c r="H366" s="124" t="str">
        <f>VLOOKUP(D366,'MPG Payment '!$E$3:$H$334579,4,0)</f>
        <v>Direct</v>
      </c>
      <c r="I366" s="88">
        <f>INDEX('MPG Payment '!$C:$C,MATCH('Shayak Income '!D366,'MPG Payment '!E:E,0))</f>
        <v>1012</v>
      </c>
      <c r="J366" s="88" t="str">
        <f>INDEX('MPG Payment '!$D:$D,MATCH('Shayak Income '!D366,'MPG Payment '!E:E,0))</f>
        <v>DalsinghSarai</v>
      </c>
      <c r="K366" s="125" t="s">
        <v>1322</v>
      </c>
      <c r="L366" s="125">
        <v>43936</v>
      </c>
      <c r="M366" s="126">
        <f>SUMIF('MPG Payment '!$E$3:$E$34579,'Shayak Income '!D366,'MPG Payment '!$I$3:$I$34579)</f>
        <v>4006.61</v>
      </c>
      <c r="N366" s="126">
        <f>SUMIF('MPG Payment '!$E$3:$E$34579,'Shayak Income '!D366,'MPG Payment '!$J$3:$J$34579)</f>
        <v>160845.00236742603</v>
      </c>
      <c r="O366" s="126">
        <f t="shared" si="102"/>
        <v>3004.9575</v>
      </c>
      <c r="P366" s="126">
        <f t="shared" si="103"/>
        <v>3806.2795000000001</v>
      </c>
      <c r="Q366" s="126">
        <f>SUMIF('MPG Payment '!$E$3:$E$34579,'Shayak Income '!D366,'MPG Payment '!$S$3:$S$34579)</f>
        <v>0</v>
      </c>
      <c r="R366" s="126">
        <f t="shared" si="94"/>
        <v>4825.3500710227809</v>
      </c>
      <c r="S366" s="126">
        <f t="shared" si="95"/>
        <v>1019.0705710227808</v>
      </c>
      <c r="T366" s="126">
        <f t="shared" si="104"/>
        <v>400.66100000000006</v>
      </c>
      <c r="U366" s="127">
        <f>(((IF(K366="New",0,SUMIF('MPG Payment '!$E$3:$E$34579,'Shayak Income '!D366,'MPG Payment '!$AC$3:$AC$34579))))+0)+0</f>
        <v>0</v>
      </c>
      <c r="V366" s="127">
        <f t="shared" si="105"/>
        <v>6411</v>
      </c>
      <c r="W366" s="19">
        <f t="shared" si="106"/>
        <v>0</v>
      </c>
      <c r="X366" s="19">
        <f t="shared" si="107"/>
        <v>0</v>
      </c>
      <c r="Y366" s="128">
        <f>IFERROR(VLOOKUP(D366,'Monthly Deduction'!$M$2:$N$64,2,0),0)</f>
        <v>0</v>
      </c>
      <c r="Z366" s="128">
        <v>0</v>
      </c>
      <c r="AA366" s="126">
        <f>IFERROR(VLOOKUP(D366,'Monthly Deduction'!A:B,2,0),0)</f>
        <v>0</v>
      </c>
      <c r="AB366" s="129">
        <f t="shared" si="96"/>
        <v>6411</v>
      </c>
      <c r="AC366" s="130">
        <v>0</v>
      </c>
      <c r="AD366" s="35">
        <f t="shared" si="108"/>
        <v>6411</v>
      </c>
      <c r="AE366" s="166" t="str">
        <f t="shared" si="109"/>
        <v>Release</v>
      </c>
      <c r="AF366" s="127"/>
      <c r="AG366" s="18">
        <v>0</v>
      </c>
      <c r="AH366" s="120"/>
      <c r="AI366" s="238">
        <v>0</v>
      </c>
      <c r="AJ366" s="132"/>
      <c r="AK366" s="151">
        <v>1088.55</v>
      </c>
      <c r="AL366" s="154">
        <f t="shared" si="97"/>
        <v>0</v>
      </c>
      <c r="AM366" s="155"/>
      <c r="AN366" s="19">
        <f t="shared" si="98"/>
        <v>0</v>
      </c>
      <c r="AO366" s="118">
        <f>SUMIF('MPG Payment '!E:E,'Shayak Income '!D366,'MPG Payment '!AJ:AJ)</f>
        <v>0</v>
      </c>
      <c r="AP366" s="19">
        <f t="shared" si="99"/>
        <v>0</v>
      </c>
      <c r="AQ366" s="119">
        <f t="shared" si="110"/>
        <v>0</v>
      </c>
      <c r="AR366" s="91" t="s">
        <v>1168</v>
      </c>
      <c r="AS366" s="91">
        <f t="shared" si="100"/>
        <v>0</v>
      </c>
      <c r="AT366" s="118"/>
      <c r="AU366" s="118"/>
      <c r="AV366" s="118"/>
    </row>
    <row r="367" spans="1:48" s="20" customFormat="1" x14ac:dyDescent="0.25">
      <c r="A367" s="17">
        <f>IFERROR(VLOOKUP(D367,'Monthly Deduction'!$I$3:$J$957,2,0),0)</f>
        <v>0</v>
      </c>
      <c r="B367" s="17">
        <f>IFERROR(VLOOKUP(D367,'Monthly Deduction'!$E$3:$F$957,2,0),0)</f>
        <v>0</v>
      </c>
      <c r="C367" s="17">
        <f t="shared" si="101"/>
        <v>0</v>
      </c>
      <c r="D367" s="41">
        <v>10120015</v>
      </c>
      <c r="E367" s="122" t="str">
        <f>VLOOKUP(D367,'MPG Payment '!$E$3:$G$498218,2,0)</f>
        <v>Rasalpur</v>
      </c>
      <c r="F367" s="146">
        <f>IFERROR(_xlfn.XLOOKUP(D367,'Monthly Deduction'!$I$3:$I$957,'Monthly Deduction'!$H$3:$H$957),0)</f>
        <v>0</v>
      </c>
      <c r="G367" s="123" t="str">
        <f>VLOOKUP(D367,'MPG Payment '!$E$3:$G$334579,3,0)</f>
        <v>MPG</v>
      </c>
      <c r="H367" s="124" t="str">
        <f>VLOOKUP(D367,'MPG Payment '!$E$3:$H$334579,4,0)</f>
        <v>Direct</v>
      </c>
      <c r="I367" s="88">
        <f>INDEX('MPG Payment '!$C:$C,MATCH('Shayak Income '!D367,'MPG Payment '!E:E,0))</f>
        <v>1012</v>
      </c>
      <c r="J367" s="88" t="str">
        <f>INDEX('MPG Payment '!$D:$D,MATCH('Shayak Income '!D367,'MPG Payment '!E:E,0))</f>
        <v>DalsinghSarai</v>
      </c>
      <c r="K367" s="125" t="s">
        <v>1322</v>
      </c>
      <c r="L367" s="125">
        <v>43942</v>
      </c>
      <c r="M367" s="126">
        <f>SUMIF('MPG Payment '!$E$3:$E$34579,'Shayak Income '!D367,'MPG Payment '!$I$3:$I$34579)</f>
        <v>5147.41</v>
      </c>
      <c r="N367" s="126">
        <f>SUMIF('MPG Payment '!$E$3:$E$34579,'Shayak Income '!D367,'MPG Payment '!$J$3:$J$34579)</f>
        <v>194773.596948502</v>
      </c>
      <c r="O367" s="126">
        <f t="shared" si="102"/>
        <v>3860.5574999999999</v>
      </c>
      <c r="P367" s="126">
        <f t="shared" si="103"/>
        <v>4890.0394999999999</v>
      </c>
      <c r="Q367" s="126">
        <f>SUMIF('MPG Payment '!$E$3:$E$34579,'Shayak Income '!D367,'MPG Payment '!$S$3:$S$34579)</f>
        <v>0</v>
      </c>
      <c r="R367" s="126">
        <f t="shared" si="94"/>
        <v>5843.2079084550596</v>
      </c>
      <c r="S367" s="126">
        <f t="shared" si="95"/>
        <v>953.16840845505976</v>
      </c>
      <c r="T367" s="126">
        <f t="shared" si="104"/>
        <v>514.74099999999999</v>
      </c>
      <c r="U367" s="127">
        <f>(((IF(K367="New",0,SUMIF('MPG Payment '!$E$3:$E$34579,'Shayak Income '!D367,'MPG Payment '!$AC$3:$AC$34579))))+0)+0</f>
        <v>0</v>
      </c>
      <c r="V367" s="127">
        <f t="shared" si="105"/>
        <v>8236</v>
      </c>
      <c r="W367" s="19">
        <f t="shared" si="106"/>
        <v>0</v>
      </c>
      <c r="X367" s="19">
        <f t="shared" si="107"/>
        <v>0</v>
      </c>
      <c r="Y367" s="128">
        <f>IFERROR(VLOOKUP(D367,'Monthly Deduction'!$M$2:$N$64,2,0),0)</f>
        <v>0</v>
      </c>
      <c r="Z367" s="128">
        <v>0</v>
      </c>
      <c r="AA367" s="126">
        <f>IFERROR(VLOOKUP(D367,'Monthly Deduction'!A:B,2,0),0)</f>
        <v>0</v>
      </c>
      <c r="AB367" s="129">
        <f t="shared" si="96"/>
        <v>8236</v>
      </c>
      <c r="AC367" s="130">
        <v>0</v>
      </c>
      <c r="AD367" s="35">
        <f t="shared" si="108"/>
        <v>8236</v>
      </c>
      <c r="AE367" s="166" t="str">
        <f t="shared" si="109"/>
        <v>Release</v>
      </c>
      <c r="AF367" s="127"/>
      <c r="AG367" s="127">
        <v>0</v>
      </c>
      <c r="AH367" s="120"/>
      <c r="AI367" s="238">
        <v>0</v>
      </c>
      <c r="AJ367" s="132"/>
      <c r="AK367" s="151">
        <v>1280.5500000000002</v>
      </c>
      <c r="AL367" s="154">
        <f t="shared" si="97"/>
        <v>0</v>
      </c>
      <c r="AM367" s="155"/>
      <c r="AN367" s="19">
        <f t="shared" si="98"/>
        <v>0</v>
      </c>
      <c r="AO367" s="118">
        <f>SUMIF('MPG Payment '!E:E,'Shayak Income '!D367,'MPG Payment '!AJ:AJ)</f>
        <v>0</v>
      </c>
      <c r="AP367" s="19">
        <f t="shared" si="99"/>
        <v>0</v>
      </c>
      <c r="AQ367" s="119">
        <f t="shared" si="110"/>
        <v>0</v>
      </c>
      <c r="AR367" s="91" t="s">
        <v>1168</v>
      </c>
      <c r="AS367" s="91">
        <f t="shared" si="100"/>
        <v>0</v>
      </c>
      <c r="AT367" s="118"/>
      <c r="AU367" s="118"/>
      <c r="AV367" s="118"/>
    </row>
    <row r="368" spans="1:48" s="20" customFormat="1" x14ac:dyDescent="0.25">
      <c r="A368" s="17">
        <f>IFERROR(VLOOKUP(D368,'Monthly Deduction'!$I$3:$J$957,2,0),0)</f>
        <v>20026.451360650244</v>
      </c>
      <c r="B368" s="17">
        <f>IFERROR(VLOOKUP(D368,'Monthly Deduction'!$E$3:$F$957,2,0),0)</f>
        <v>0</v>
      </c>
      <c r="C368" s="17">
        <f t="shared" si="101"/>
        <v>20026.451360650244</v>
      </c>
      <c r="D368" s="41">
        <v>10120016</v>
      </c>
      <c r="E368" s="122" t="str">
        <f>VLOOKUP(D368,'MPG Payment '!$E$3:$G$498218,2,0)</f>
        <v>Narahan</v>
      </c>
      <c r="F368" s="146">
        <f>IFERROR(_xlfn.XLOOKUP(D368,'Monthly Deduction'!$I$3:$I$957,'Monthly Deduction'!$H$3:$H$957),0)</f>
        <v>0</v>
      </c>
      <c r="G368" s="123" t="str">
        <f>VLOOKUP(D368,'MPG Payment '!$E$3:$G$334579,3,0)</f>
        <v>MPG</v>
      </c>
      <c r="H368" s="124" t="str">
        <f>VLOOKUP(D368,'MPG Payment '!$E$3:$H$334579,4,0)</f>
        <v>Direct</v>
      </c>
      <c r="I368" s="88">
        <f>INDEX('MPG Payment '!$C:$C,MATCH('Shayak Income '!D368,'MPG Payment '!E:E,0))</f>
        <v>1012</v>
      </c>
      <c r="J368" s="88" t="str">
        <f>INDEX('MPG Payment '!$D:$D,MATCH('Shayak Income '!D368,'MPG Payment '!E:E,0))</f>
        <v>DalsinghSarai</v>
      </c>
      <c r="K368" s="125" t="s">
        <v>1322</v>
      </c>
      <c r="L368" s="125">
        <v>44120</v>
      </c>
      <c r="M368" s="126">
        <f>SUMIF('MPG Payment '!$E$3:$E$34579,'Shayak Income '!D368,'MPG Payment '!$I$3:$I$34579)</f>
        <v>1076.3499999999999</v>
      </c>
      <c r="N368" s="126">
        <f>SUMIF('MPG Payment '!$E$3:$E$34579,'Shayak Income '!D368,'MPG Payment '!$J$3:$J$34579)</f>
        <v>39722.628332881795</v>
      </c>
      <c r="O368" s="126">
        <f t="shared" si="102"/>
        <v>807.26249999999993</v>
      </c>
      <c r="P368" s="126">
        <f t="shared" si="103"/>
        <v>1022.5324999999999</v>
      </c>
      <c r="Q368" s="126">
        <f>SUMIF('MPG Payment '!$E$3:$E$34579,'Shayak Income '!D368,'MPG Payment '!$S$3:$S$34579)</f>
        <v>798.45248585985007</v>
      </c>
      <c r="R368" s="126">
        <f t="shared" si="94"/>
        <v>1191.6788499864538</v>
      </c>
      <c r="S368" s="126">
        <f t="shared" si="95"/>
        <v>169.14634998645386</v>
      </c>
      <c r="T368" s="126">
        <f t="shared" si="104"/>
        <v>107.63499999999999</v>
      </c>
      <c r="U368" s="127">
        <f>(((IF(K368="New",0,SUMIF('MPG Payment '!$E$3:$E$34579,'Shayak Income '!D368,'MPG Payment '!$AC$3:$AC$34579))))+0)+0</f>
        <v>1270.6607876351222</v>
      </c>
      <c r="V368" s="127">
        <f t="shared" si="105"/>
        <v>1250</v>
      </c>
      <c r="W368" s="19">
        <v>1250</v>
      </c>
      <c r="X368" s="19">
        <v>0</v>
      </c>
      <c r="Y368" s="128">
        <f>IFERROR(VLOOKUP(D368,'Monthly Deduction'!$M$2:$N$64,2,0),0)</f>
        <v>0</v>
      </c>
      <c r="Z368" s="128">
        <v>0</v>
      </c>
      <c r="AA368" s="126">
        <f>IFERROR(VLOOKUP(D368,'Monthly Deduction'!A:B,2,0),0)</f>
        <v>0</v>
      </c>
      <c r="AB368" s="129">
        <f t="shared" si="96"/>
        <v>0</v>
      </c>
      <c r="AC368" s="130">
        <v>0</v>
      </c>
      <c r="AD368" s="35">
        <f t="shared" si="108"/>
        <v>0</v>
      </c>
      <c r="AE368" s="166" t="str">
        <f t="shared" si="109"/>
        <v>Release</v>
      </c>
      <c r="AF368" s="127"/>
      <c r="AG368" s="18">
        <v>0</v>
      </c>
      <c r="AH368" s="120"/>
      <c r="AI368" s="238">
        <v>0</v>
      </c>
      <c r="AJ368" s="132"/>
      <c r="AK368" s="151">
        <v>262.33999999999997</v>
      </c>
      <c r="AL368" s="154">
        <f t="shared" si="97"/>
        <v>0</v>
      </c>
      <c r="AM368" s="155"/>
      <c r="AN368" s="19">
        <f t="shared" si="98"/>
        <v>1861</v>
      </c>
      <c r="AO368" s="118">
        <f>SUMIF('MPG Payment '!E:E,'Shayak Income '!D368,'MPG Payment '!AJ:AJ)</f>
        <v>0</v>
      </c>
      <c r="AP368" s="19">
        <f t="shared" si="99"/>
        <v>1250</v>
      </c>
      <c r="AQ368" s="119">
        <f t="shared" si="110"/>
        <v>1250</v>
      </c>
      <c r="AR368" s="91" t="s">
        <v>1168</v>
      </c>
      <c r="AS368" s="91">
        <f t="shared" si="100"/>
        <v>0</v>
      </c>
      <c r="AT368" s="118"/>
      <c r="AU368" s="118"/>
      <c r="AV368" s="118"/>
    </row>
    <row r="369" spans="1:48" s="20" customFormat="1" x14ac:dyDescent="0.25">
      <c r="A369" s="17">
        <f>IFERROR(VLOOKUP(D369,'Monthly Deduction'!$I$3:$J$957,2,0),0)</f>
        <v>0</v>
      </c>
      <c r="B369" s="17">
        <f>IFERROR(VLOOKUP(D369,'Monthly Deduction'!$E$3:$F$957,2,0),0)</f>
        <v>0</v>
      </c>
      <c r="C369" s="17">
        <f t="shared" si="101"/>
        <v>0</v>
      </c>
      <c r="D369" s="41">
        <v>10120017</v>
      </c>
      <c r="E369" s="122" t="str">
        <f>VLOOKUP(D369,'MPG Payment '!$E$3:$G$498218,2,0)</f>
        <v>Gomukh Dumduma</v>
      </c>
      <c r="F369" s="146">
        <f>IFERROR(_xlfn.XLOOKUP(D369,'Monthly Deduction'!$I$3:$I$957,'Monthly Deduction'!$H$3:$H$957),0)</f>
        <v>0</v>
      </c>
      <c r="G369" s="123" t="str">
        <f>VLOOKUP(D369,'MPG Payment '!$E$3:$G$334579,3,0)</f>
        <v>MPG</v>
      </c>
      <c r="H369" s="124" t="str">
        <f>VLOOKUP(D369,'MPG Payment '!$E$3:$H$334579,4,0)</f>
        <v>Direct</v>
      </c>
      <c r="I369" s="88">
        <f>INDEX('MPG Payment '!$C:$C,MATCH('Shayak Income '!D369,'MPG Payment '!E:E,0))</f>
        <v>1012</v>
      </c>
      <c r="J369" s="88" t="str">
        <f>INDEX('MPG Payment '!$D:$D,MATCH('Shayak Income '!D369,'MPG Payment '!E:E,0))</f>
        <v>DalsinghSarai</v>
      </c>
      <c r="K369" s="125" t="s">
        <v>1322</v>
      </c>
      <c r="L369" s="125">
        <v>44135</v>
      </c>
      <c r="M369" s="126">
        <f>SUMIF('MPG Payment '!$E$3:$E$34579,'Shayak Income '!D369,'MPG Payment '!$I$3:$I$34579)</f>
        <v>1754.14</v>
      </c>
      <c r="N369" s="126">
        <f>SUMIF('MPG Payment '!$E$3:$E$34579,'Shayak Income '!D369,'MPG Payment '!$J$3:$J$34579)</f>
        <v>67410.657779575995</v>
      </c>
      <c r="O369" s="126">
        <f t="shared" si="102"/>
        <v>1315.605</v>
      </c>
      <c r="P369" s="126">
        <f t="shared" si="103"/>
        <v>1666.433</v>
      </c>
      <c r="Q369" s="126">
        <f>SUMIF('MPG Payment '!$E$3:$E$34579,'Shayak Income '!D369,'MPG Payment '!$S$3:$S$34579)</f>
        <v>0</v>
      </c>
      <c r="R369" s="126">
        <f t="shared" si="94"/>
        <v>2022.3197333872797</v>
      </c>
      <c r="S369" s="126">
        <f t="shared" si="95"/>
        <v>355.88673338727972</v>
      </c>
      <c r="T369" s="126">
        <f t="shared" si="104"/>
        <v>175.41400000000002</v>
      </c>
      <c r="U369" s="127">
        <f>(((IF(K369="New",0,SUMIF('MPG Payment '!$E$3:$E$34579,'Shayak Income '!D369,'MPG Payment '!$AC$3:$AC$34579))))+0)+0</f>
        <v>800.90777615439015</v>
      </c>
      <c r="V369" s="127">
        <f t="shared" si="105"/>
        <v>2006</v>
      </c>
      <c r="W369" s="19">
        <f t="shared" si="106"/>
        <v>0</v>
      </c>
      <c r="X369" s="19">
        <f t="shared" si="107"/>
        <v>0</v>
      </c>
      <c r="Y369" s="128">
        <f>IFERROR(VLOOKUP(D369,'Monthly Deduction'!$M$2:$N$64,2,0),0)</f>
        <v>0</v>
      </c>
      <c r="Z369" s="128">
        <v>0</v>
      </c>
      <c r="AA369" s="126">
        <f>IFERROR(VLOOKUP(D369,'Monthly Deduction'!A:B,2,0),0)</f>
        <v>0</v>
      </c>
      <c r="AB369" s="129">
        <f t="shared" si="96"/>
        <v>2006</v>
      </c>
      <c r="AC369" s="130">
        <v>0</v>
      </c>
      <c r="AD369" s="35">
        <f t="shared" si="108"/>
        <v>2006</v>
      </c>
      <c r="AE369" s="166" t="str">
        <f t="shared" si="109"/>
        <v>Release</v>
      </c>
      <c r="AF369" s="127"/>
      <c r="AG369" s="18">
        <v>0</v>
      </c>
      <c r="AH369" s="120"/>
      <c r="AI369" s="238">
        <v>0</v>
      </c>
      <c r="AJ369" s="132"/>
      <c r="AK369" s="151">
        <v>486.50000000000006</v>
      </c>
      <c r="AL369" s="154">
        <f t="shared" si="97"/>
        <v>0</v>
      </c>
      <c r="AM369" s="155"/>
      <c r="AN369" s="19">
        <f t="shared" si="98"/>
        <v>0</v>
      </c>
      <c r="AO369" s="118">
        <f>SUMIF('MPG Payment '!E:E,'Shayak Income '!D369,'MPG Payment '!AJ:AJ)</f>
        <v>0</v>
      </c>
      <c r="AP369" s="19">
        <f t="shared" si="99"/>
        <v>0</v>
      </c>
      <c r="AQ369" s="119">
        <f t="shared" si="110"/>
        <v>0</v>
      </c>
      <c r="AR369" s="91" t="s">
        <v>1168</v>
      </c>
      <c r="AS369" s="91">
        <f t="shared" si="100"/>
        <v>0</v>
      </c>
      <c r="AT369" s="118"/>
      <c r="AU369" s="118"/>
      <c r="AV369" s="118"/>
    </row>
    <row r="370" spans="1:48" s="20" customFormat="1" x14ac:dyDescent="0.25">
      <c r="A370" s="17">
        <f>IFERROR(VLOOKUP(D370,'Monthly Deduction'!$I$3:$J$957,2,0),0)</f>
        <v>0</v>
      </c>
      <c r="B370" s="17">
        <f>IFERROR(VLOOKUP(D370,'Monthly Deduction'!$E$3:$F$957,2,0),0)</f>
        <v>7710.7308500784711</v>
      </c>
      <c r="C370" s="17">
        <f t="shared" si="101"/>
        <v>7710.7308500784711</v>
      </c>
      <c r="D370" s="41">
        <v>10120018</v>
      </c>
      <c r="E370" s="122" t="str">
        <f>VLOOKUP(D370,'MPG Payment '!$E$3:$G$498218,2,0)</f>
        <v>SUPOL</v>
      </c>
      <c r="F370" s="146">
        <f>IFERROR(_xlfn.XLOOKUP(D370,'Monthly Deduction'!$I$3:$I$957,'Monthly Deduction'!$H$3:$H$957),0)</f>
        <v>0</v>
      </c>
      <c r="G370" s="123" t="str">
        <f>VLOOKUP(D370,'MPG Payment '!$E$3:$G$334579,3,0)</f>
        <v>MPG</v>
      </c>
      <c r="H370" s="124" t="str">
        <f>VLOOKUP(D370,'MPG Payment '!$E$3:$H$334579,4,0)</f>
        <v>Direct</v>
      </c>
      <c r="I370" s="88">
        <f>INDEX('MPG Payment '!$C:$C,MATCH('Shayak Income '!D370,'MPG Payment '!E:E,0))</f>
        <v>1012</v>
      </c>
      <c r="J370" s="88" t="str">
        <f>INDEX('MPG Payment '!$D:$D,MATCH('Shayak Income '!D370,'MPG Payment '!E:E,0))</f>
        <v>DalsinghSarai</v>
      </c>
      <c r="K370" s="125" t="s">
        <v>1322</v>
      </c>
      <c r="L370" s="125">
        <v>44162</v>
      </c>
      <c r="M370" s="126">
        <f>SUMIF('MPG Payment '!$E$3:$E$34579,'Shayak Income '!D370,'MPG Payment '!$I$3:$I$34579)</f>
        <v>883.39999999999986</v>
      </c>
      <c r="N370" s="126">
        <f>SUMIF('MPG Payment '!$E$3:$E$34579,'Shayak Income '!D370,'MPG Payment '!$J$3:$J$34579)</f>
        <v>33629.798504441598</v>
      </c>
      <c r="O370" s="126">
        <f t="shared" si="102"/>
        <v>662.55</v>
      </c>
      <c r="P370" s="126">
        <f t="shared" si="103"/>
        <v>839.22999999999979</v>
      </c>
      <c r="Q370" s="126">
        <f>SUMIF('MPG Payment '!$E$3:$E$34579,'Shayak Income '!D370,'MPG Payment '!$S$3:$S$34579)</f>
        <v>0</v>
      </c>
      <c r="R370" s="126">
        <f t="shared" si="94"/>
        <v>1008.8939551332479</v>
      </c>
      <c r="S370" s="126">
        <f t="shared" si="95"/>
        <v>169.66395513324812</v>
      </c>
      <c r="T370" s="126">
        <f t="shared" si="104"/>
        <v>88.339999999999989</v>
      </c>
      <c r="U370" s="127">
        <f>(((IF(K370="New",0,SUMIF('MPG Payment '!$E$3:$E$34579,'Shayak Income '!D370,'MPG Payment '!$AC$3:$AC$34579))))+0)+-40</f>
        <v>1413.8261405720968</v>
      </c>
      <c r="V370" s="127">
        <f t="shared" si="105"/>
        <v>0</v>
      </c>
      <c r="W370" s="19">
        <v>0</v>
      </c>
      <c r="X370" s="19">
        <v>0</v>
      </c>
      <c r="Y370" s="128">
        <f>IFERROR(VLOOKUP(D370,'Monthly Deduction'!$M$2:$N$64,2,0),0)</f>
        <v>0</v>
      </c>
      <c r="Z370" s="128">
        <v>0</v>
      </c>
      <c r="AA370" s="126">
        <f>IFERROR(VLOOKUP(D370,'Monthly Deduction'!A:B,2,0),0)</f>
        <v>0</v>
      </c>
      <c r="AB370" s="129">
        <f t="shared" si="96"/>
        <v>0</v>
      </c>
      <c r="AC370" s="130">
        <v>0</v>
      </c>
      <c r="AD370" s="35">
        <f t="shared" si="108"/>
        <v>0</v>
      </c>
      <c r="AE370" s="166" t="str">
        <f t="shared" si="109"/>
        <v>Release</v>
      </c>
      <c r="AF370" s="127"/>
      <c r="AG370" s="18">
        <v>0</v>
      </c>
      <c r="AH370" s="120"/>
      <c r="AI370" s="238">
        <v>0</v>
      </c>
      <c r="AJ370" s="132"/>
      <c r="AK370" s="151">
        <v>204.27</v>
      </c>
      <c r="AL370" s="154">
        <f t="shared" si="97"/>
        <v>0</v>
      </c>
      <c r="AM370" s="155"/>
      <c r="AN370" s="19">
        <f t="shared" si="98"/>
        <v>0</v>
      </c>
      <c r="AO370" s="118">
        <f>SUMIF('MPG Payment '!E:E,'Shayak Income '!D370,'MPG Payment '!AJ:AJ)</f>
        <v>0</v>
      </c>
      <c r="AP370" s="19">
        <f t="shared" si="99"/>
        <v>0</v>
      </c>
      <c r="AQ370" s="119">
        <f t="shared" si="110"/>
        <v>0</v>
      </c>
      <c r="AR370" s="91" t="s">
        <v>1168</v>
      </c>
      <c r="AS370" s="91">
        <f t="shared" si="100"/>
        <v>7710.7308500784711</v>
      </c>
      <c r="AT370" s="118"/>
      <c r="AU370" s="118"/>
      <c r="AV370" s="118"/>
    </row>
    <row r="371" spans="1:48" s="20" customFormat="1" x14ac:dyDescent="0.25">
      <c r="A371" s="17">
        <f>IFERROR(VLOOKUP(D371,'Monthly Deduction'!$I$3:$J$957,2,0),0)</f>
        <v>27853</v>
      </c>
      <c r="B371" s="17">
        <f>IFERROR(VLOOKUP(D371,'Monthly Deduction'!$E$3:$F$957,2,0),0)</f>
        <v>0</v>
      </c>
      <c r="C371" s="17">
        <f t="shared" si="101"/>
        <v>27853</v>
      </c>
      <c r="D371" s="41">
        <v>10120019</v>
      </c>
      <c r="E371" s="122" t="str">
        <f>VLOOKUP(D371,'MPG Payment '!$E$3:$G$498218,2,0)</f>
        <v>BHUSARAI</v>
      </c>
      <c r="F371" s="146">
        <f>IFERROR(_xlfn.XLOOKUP(D371,'Monthly Deduction'!$I$3:$I$957,'Monthly Deduction'!$H$3:$H$957),0)</f>
        <v>0</v>
      </c>
      <c r="G371" s="123" t="str">
        <f>VLOOKUP(D371,'MPG Payment '!$E$3:$G$334579,3,0)</f>
        <v>MPG</v>
      </c>
      <c r="H371" s="124" t="str">
        <f>VLOOKUP(D371,'MPG Payment '!$E$3:$H$334579,4,0)</f>
        <v>Direct</v>
      </c>
      <c r="I371" s="88">
        <f>INDEX('MPG Payment '!$C:$C,MATCH('Shayak Income '!D371,'MPG Payment '!E:E,0))</f>
        <v>1012</v>
      </c>
      <c r="J371" s="88" t="str">
        <f>INDEX('MPG Payment '!$D:$D,MATCH('Shayak Income '!D371,'MPG Payment '!E:E,0))</f>
        <v>DalsinghSarai</v>
      </c>
      <c r="K371" s="125" t="s">
        <v>1322</v>
      </c>
      <c r="L371" s="125">
        <v>44165</v>
      </c>
      <c r="M371" s="126">
        <f>SUMIF('MPG Payment '!$E$3:$E$34579,'Shayak Income '!D371,'MPG Payment '!$I$3:$I$34579)</f>
        <v>983.58000000000015</v>
      </c>
      <c r="N371" s="126">
        <f>SUMIF('MPG Payment '!$E$3:$E$34579,'Shayak Income '!D371,'MPG Payment '!$J$3:$J$34579)</f>
        <v>37623.802128755997</v>
      </c>
      <c r="O371" s="126">
        <f t="shared" si="102"/>
        <v>737.68500000000017</v>
      </c>
      <c r="P371" s="126">
        <f t="shared" si="103"/>
        <v>934.40100000000007</v>
      </c>
      <c r="Q371" s="126">
        <f>SUMIF('MPG Payment '!$E$3:$E$34579,'Shayak Income '!D371,'MPG Payment '!$S$3:$S$34579)</f>
        <v>989.18702445600002</v>
      </c>
      <c r="R371" s="126">
        <f t="shared" si="94"/>
        <v>1128.71406386268</v>
      </c>
      <c r="S371" s="126">
        <f t="shared" si="95"/>
        <v>194.31306386267988</v>
      </c>
      <c r="T371" s="126">
        <f t="shared" si="104"/>
        <v>98.358000000000018</v>
      </c>
      <c r="U371" s="127">
        <f>(((IF(K371="New",0,SUMIF('MPG Payment '!$E$3:$E$34579,'Shayak Income '!D371,'MPG Payment '!$AC$3:$AC$34579))))+0)+0</f>
        <v>1389.57431847269</v>
      </c>
      <c r="V371" s="127">
        <f t="shared" si="105"/>
        <v>1173</v>
      </c>
      <c r="W371" s="19">
        <v>1173</v>
      </c>
      <c r="X371" s="19">
        <v>0</v>
      </c>
      <c r="Y371" s="128">
        <f>IFERROR(VLOOKUP(D371,'Monthly Deduction'!$M$2:$N$64,2,0),0)</f>
        <v>0</v>
      </c>
      <c r="Z371" s="128">
        <v>0</v>
      </c>
      <c r="AA371" s="126">
        <v>0</v>
      </c>
      <c r="AB371" s="129">
        <f t="shared" si="96"/>
        <v>0</v>
      </c>
      <c r="AC371" s="130">
        <v>0</v>
      </c>
      <c r="AD371" s="35">
        <f t="shared" si="108"/>
        <v>0</v>
      </c>
      <c r="AE371" s="166" t="str">
        <f t="shared" si="109"/>
        <v>Release</v>
      </c>
      <c r="AF371" s="127"/>
      <c r="AG371" s="18">
        <v>0</v>
      </c>
      <c r="AH371" s="120"/>
      <c r="AI371" s="238">
        <v>0</v>
      </c>
      <c r="AJ371" s="132"/>
      <c r="AK371" s="151">
        <v>221.7</v>
      </c>
      <c r="AL371" s="154">
        <f t="shared" si="97"/>
        <v>0</v>
      </c>
      <c r="AM371" s="155"/>
      <c r="AN371" s="19">
        <f t="shared" si="98"/>
        <v>1861</v>
      </c>
      <c r="AO371" s="118">
        <f>SUMIF('MPG Payment '!E:E,'Shayak Income '!D371,'MPG Payment '!AJ:AJ)</f>
        <v>0</v>
      </c>
      <c r="AP371" s="19">
        <f t="shared" si="99"/>
        <v>1173</v>
      </c>
      <c r="AQ371" s="119">
        <f t="shared" si="110"/>
        <v>1173</v>
      </c>
      <c r="AR371" s="91" t="s">
        <v>1168</v>
      </c>
      <c r="AS371" s="91">
        <f t="shared" si="100"/>
        <v>0</v>
      </c>
      <c r="AT371" s="118"/>
      <c r="AU371" s="118"/>
      <c r="AV371" s="118"/>
    </row>
    <row r="372" spans="1:48" s="20" customFormat="1" x14ac:dyDescent="0.25">
      <c r="A372" s="17">
        <f>IFERROR(VLOOKUP(D372,'Monthly Deduction'!$I$3:$J$957,2,0),0)</f>
        <v>0</v>
      </c>
      <c r="B372" s="17">
        <f>IFERROR(VLOOKUP(D372,'Monthly Deduction'!$E$3:$F$957,2,0),0)</f>
        <v>0</v>
      </c>
      <c r="C372" s="17">
        <f t="shared" si="101"/>
        <v>0</v>
      </c>
      <c r="D372" s="41">
        <v>10120022</v>
      </c>
      <c r="E372" s="122" t="str">
        <f>VLOOKUP(D372,'MPG Payment '!$E$3:$G$498218,2,0)</f>
        <v>Gomukha Jounapur</v>
      </c>
      <c r="F372" s="146">
        <f>IFERROR(_xlfn.XLOOKUP(D372,'Monthly Deduction'!$I$3:$I$957,'Monthly Deduction'!$H$3:$H$957),0)</f>
        <v>0</v>
      </c>
      <c r="G372" s="123" t="str">
        <f>VLOOKUP(D372,'MPG Payment '!$E$3:$G$334579,3,0)</f>
        <v>vlc</v>
      </c>
      <c r="H372" s="124" t="str">
        <f>VLOOKUP(D372,'MPG Payment '!$E$3:$H$334579,4,0)</f>
        <v>Indirect</v>
      </c>
      <c r="I372" s="88">
        <f>INDEX('MPG Payment '!$C:$C,MATCH('Shayak Income '!D372,'MPG Payment '!E:E,0))</f>
        <v>1012</v>
      </c>
      <c r="J372" s="88" t="str">
        <f>INDEX('MPG Payment '!$D:$D,MATCH('Shayak Income '!D372,'MPG Payment '!E:E,0))</f>
        <v>DalsinghSarai</v>
      </c>
      <c r="K372" s="125" t="s">
        <v>1322</v>
      </c>
      <c r="L372" s="125">
        <v>44184</v>
      </c>
      <c r="M372" s="126">
        <f>SUMIF('MPG Payment '!$E$3:$E$34579,'Shayak Income '!D372,'MPG Payment '!$I$3:$I$34579)</f>
        <v>780.61999999999989</v>
      </c>
      <c r="N372" s="126">
        <f>SUMIF('MPG Payment '!$E$3:$E$34579,'Shayak Income '!D372,'MPG Payment '!$J$3:$J$34579)</f>
        <v>34700.289197336097</v>
      </c>
      <c r="O372" s="126">
        <f t="shared" si="102"/>
        <v>585.46499999999992</v>
      </c>
      <c r="P372" s="126">
        <f t="shared" si="103"/>
        <v>741.58899999999983</v>
      </c>
      <c r="Q372" s="126">
        <f>SUMIF('MPG Payment '!$E$3:$E$34579,'Shayak Income '!D372,'MPG Payment '!$S$3:$S$34579)</f>
        <v>0</v>
      </c>
      <c r="R372" s="126">
        <f t="shared" si="94"/>
        <v>1041.0086759200829</v>
      </c>
      <c r="S372" s="126">
        <f t="shared" si="95"/>
        <v>299.41967592008302</v>
      </c>
      <c r="T372" s="126">
        <f t="shared" si="104"/>
        <v>78.061999999999998</v>
      </c>
      <c r="U372" s="127">
        <f>(((IF(K372="New",0,SUMIF('MPG Payment '!$E$3:$E$34579,'Shayak Income '!D372,'MPG Payment '!$AC$3:$AC$34579))))+0)+-591</f>
        <v>1249.1043933942685</v>
      </c>
      <c r="V372" s="127">
        <f t="shared" si="105"/>
        <v>0</v>
      </c>
      <c r="W372" s="19">
        <v>0</v>
      </c>
      <c r="X372" s="19">
        <v>0</v>
      </c>
      <c r="Y372" s="128">
        <v>0</v>
      </c>
      <c r="Z372" s="128">
        <v>0</v>
      </c>
      <c r="AA372" s="126">
        <v>0</v>
      </c>
      <c r="AB372" s="129">
        <f t="shared" si="96"/>
        <v>0</v>
      </c>
      <c r="AC372" s="130">
        <v>0</v>
      </c>
      <c r="AD372" s="35">
        <f t="shared" si="108"/>
        <v>0</v>
      </c>
      <c r="AE372" s="166" t="str">
        <f t="shared" si="109"/>
        <v>Release</v>
      </c>
      <c r="AF372" s="127"/>
      <c r="AG372" s="127">
        <v>0</v>
      </c>
      <c r="AH372" s="120"/>
      <c r="AI372" s="238">
        <v>0</v>
      </c>
      <c r="AJ372" s="132"/>
      <c r="AK372" s="151">
        <v>102.77</v>
      </c>
      <c r="AL372" s="154">
        <f t="shared" si="97"/>
        <v>0</v>
      </c>
      <c r="AM372" s="155"/>
      <c r="AN372" s="19">
        <f t="shared" si="98"/>
        <v>0</v>
      </c>
      <c r="AO372" s="118">
        <f>SUMIF('MPG Payment '!E:E,'Shayak Income '!D372,'MPG Payment '!AJ:AJ)</f>
        <v>0</v>
      </c>
      <c r="AP372" s="19">
        <f t="shared" si="99"/>
        <v>0</v>
      </c>
      <c r="AQ372" s="119">
        <f t="shared" si="110"/>
        <v>0</v>
      </c>
      <c r="AR372" s="91" t="s">
        <v>1168</v>
      </c>
      <c r="AS372" s="91">
        <f t="shared" si="100"/>
        <v>0</v>
      </c>
      <c r="AT372" s="118"/>
      <c r="AU372" s="118"/>
      <c r="AV372" s="118"/>
    </row>
    <row r="373" spans="1:48" s="20" customFormat="1" x14ac:dyDescent="0.25">
      <c r="A373" s="17">
        <f>IFERROR(VLOOKUP(D373,'Monthly Deduction'!$I$3:$J$957,2,0),0)</f>
        <v>0</v>
      </c>
      <c r="B373" s="17">
        <f>IFERROR(VLOOKUP(D373,'Monthly Deduction'!$E$3:$F$957,2,0),0)</f>
        <v>0</v>
      </c>
      <c r="C373" s="17">
        <f t="shared" si="101"/>
        <v>0</v>
      </c>
      <c r="D373" s="41">
        <v>10120023</v>
      </c>
      <c r="E373" s="122" t="str">
        <f>VLOOKUP(D373,'MPG Payment '!$E$3:$G$498218,2,0)</f>
        <v>Patailliya</v>
      </c>
      <c r="F373" s="146">
        <f>IFERROR(_xlfn.XLOOKUP(D373,'Monthly Deduction'!$I$3:$I$957,'Monthly Deduction'!$H$3:$H$957),0)</f>
        <v>0</v>
      </c>
      <c r="G373" s="123" t="str">
        <f>VLOOKUP(D373,'MPG Payment '!$E$3:$G$334579,3,0)</f>
        <v>vlc</v>
      </c>
      <c r="H373" s="124" t="str">
        <f>VLOOKUP(D373,'MPG Payment '!$E$3:$H$334579,4,0)</f>
        <v>Indirect</v>
      </c>
      <c r="I373" s="88">
        <f>INDEX('MPG Payment '!$C:$C,MATCH('Shayak Income '!D373,'MPG Payment '!E:E,0))</f>
        <v>1012</v>
      </c>
      <c r="J373" s="88" t="str">
        <f>INDEX('MPG Payment '!$D:$D,MATCH('Shayak Income '!D373,'MPG Payment '!E:E,0))</f>
        <v>DalsinghSarai</v>
      </c>
      <c r="K373" s="125" t="s">
        <v>1322</v>
      </c>
      <c r="L373" s="125">
        <v>44190</v>
      </c>
      <c r="M373" s="126">
        <f>SUMIF('MPG Payment '!$E$3:$E$34579,'Shayak Income '!D373,'MPG Payment '!$I$3:$I$34579)</f>
        <v>1120.83</v>
      </c>
      <c r="N373" s="126">
        <f>SUMIF('MPG Payment '!$E$3:$E$34579,'Shayak Income '!D373,'MPG Payment '!$J$3:$J$34579)</f>
        <v>40307.959142792999</v>
      </c>
      <c r="O373" s="126">
        <f t="shared" si="102"/>
        <v>840.62249999999995</v>
      </c>
      <c r="P373" s="126">
        <f t="shared" si="103"/>
        <v>1064.7884999999999</v>
      </c>
      <c r="Q373" s="126">
        <f>SUMIF('MPG Payment '!$E$3:$E$34579,'Shayak Income '!D373,'MPG Payment '!$S$3:$S$34579)</f>
        <v>0</v>
      </c>
      <c r="R373" s="126">
        <f t="shared" si="94"/>
        <v>1209.23877428379</v>
      </c>
      <c r="S373" s="126">
        <f t="shared" si="95"/>
        <v>144.45027428379012</v>
      </c>
      <c r="T373" s="126">
        <f t="shared" si="104"/>
        <v>112.083</v>
      </c>
      <c r="U373" s="127">
        <f>(((IF(K373="New",0,SUMIF('MPG Payment '!$E$3:$E$34579,'Shayak Income '!D373,'MPG Payment '!$AC$3:$AC$34579))))+0)+0</f>
        <v>1209.7639331323726</v>
      </c>
      <c r="V373" s="127">
        <f t="shared" si="105"/>
        <v>584</v>
      </c>
      <c r="W373" s="19">
        <f t="shared" si="106"/>
        <v>0</v>
      </c>
      <c r="X373" s="19">
        <f t="shared" si="107"/>
        <v>0</v>
      </c>
      <c r="Y373" s="128">
        <f>IFERROR(VLOOKUP(D373,'Monthly Deduction'!$M$2:$N$64,2,0),0)</f>
        <v>0</v>
      </c>
      <c r="Z373" s="128">
        <v>0</v>
      </c>
      <c r="AA373" s="126">
        <f>IFERROR(VLOOKUP(D373,'Monthly Deduction'!A:B,2,0),0)</f>
        <v>0</v>
      </c>
      <c r="AB373" s="129">
        <f t="shared" si="96"/>
        <v>584</v>
      </c>
      <c r="AC373" s="130">
        <v>0</v>
      </c>
      <c r="AD373" s="35">
        <f t="shared" si="108"/>
        <v>584</v>
      </c>
      <c r="AE373" s="166" t="str">
        <f t="shared" si="109"/>
        <v>Release</v>
      </c>
      <c r="AF373" s="127"/>
      <c r="AG373" s="18">
        <v>0</v>
      </c>
      <c r="AH373" s="120"/>
      <c r="AI373" s="238">
        <v>0</v>
      </c>
      <c r="AJ373" s="132"/>
      <c r="AK373" s="151">
        <v>305.87</v>
      </c>
      <c r="AL373" s="154">
        <f t="shared" si="97"/>
        <v>0</v>
      </c>
      <c r="AM373" s="155"/>
      <c r="AN373" s="19">
        <f t="shared" si="98"/>
        <v>0</v>
      </c>
      <c r="AO373" s="118">
        <f>SUMIF('MPG Payment '!E:E,'Shayak Income '!D373,'MPG Payment '!AJ:AJ)</f>
        <v>0</v>
      </c>
      <c r="AP373" s="19">
        <f t="shared" si="99"/>
        <v>0</v>
      </c>
      <c r="AQ373" s="119">
        <f t="shared" si="110"/>
        <v>0</v>
      </c>
      <c r="AR373" s="91" t="s">
        <v>1168</v>
      </c>
      <c r="AS373" s="91">
        <f t="shared" si="100"/>
        <v>0</v>
      </c>
      <c r="AT373" s="118"/>
      <c r="AU373" s="118"/>
      <c r="AV373" s="118"/>
    </row>
    <row r="374" spans="1:48" s="20" customFormat="1" x14ac:dyDescent="0.25">
      <c r="A374" s="17">
        <f>IFERROR(VLOOKUP(D374,'Monthly Deduction'!$I$3:$J$957,2,0),0)</f>
        <v>0</v>
      </c>
      <c r="B374" s="17">
        <f>IFERROR(VLOOKUP(D374,'Monthly Deduction'!$E$3:$F$957,2,0),0)</f>
        <v>0</v>
      </c>
      <c r="C374" s="17">
        <f t="shared" si="101"/>
        <v>0</v>
      </c>
      <c r="D374" s="41">
        <v>10120024</v>
      </c>
      <c r="E374" s="122" t="str">
        <f>VLOOKUP(D374,'MPG Payment '!$E$3:$G$498218,2,0)</f>
        <v>Badiya</v>
      </c>
      <c r="F374" s="146">
        <f>IFERROR(_xlfn.XLOOKUP(D374,'Monthly Deduction'!$I$3:$I$957,'Monthly Deduction'!$H$3:$H$957),0)</f>
        <v>0</v>
      </c>
      <c r="G374" s="123" t="str">
        <f>VLOOKUP(D374,'MPG Payment '!$E$3:$G$334579,3,0)</f>
        <v>vlc</v>
      </c>
      <c r="H374" s="124" t="str">
        <f>VLOOKUP(D374,'MPG Payment '!$E$3:$H$334579,4,0)</f>
        <v>Indirect</v>
      </c>
      <c r="I374" s="88">
        <f>INDEX('MPG Payment '!$C:$C,MATCH('Shayak Income '!D374,'MPG Payment '!E:E,0))</f>
        <v>1012</v>
      </c>
      <c r="J374" s="88" t="str">
        <f>INDEX('MPG Payment '!$D:$D,MATCH('Shayak Income '!D374,'MPG Payment '!E:E,0))</f>
        <v>DalsinghSarai</v>
      </c>
      <c r="K374" s="125" t="s">
        <v>1322</v>
      </c>
      <c r="L374" s="125">
        <v>44190</v>
      </c>
      <c r="M374" s="126">
        <f>SUMIF('MPG Payment '!$E$3:$E$34579,'Shayak Income '!D374,'MPG Payment '!$I$3:$I$34579)</f>
        <v>996.68</v>
      </c>
      <c r="N374" s="126">
        <f>SUMIF('MPG Payment '!$E$3:$E$34579,'Shayak Income '!D374,'MPG Payment '!$J$3:$J$34579)</f>
        <v>35599.245644210001</v>
      </c>
      <c r="O374" s="126">
        <f t="shared" si="102"/>
        <v>747.51</v>
      </c>
      <c r="P374" s="126">
        <f t="shared" si="103"/>
        <v>946.84599999999989</v>
      </c>
      <c r="Q374" s="126">
        <f>SUMIF('MPG Payment '!$E$3:$E$34579,'Shayak Income '!D374,'MPG Payment '!$S$3:$S$34579)</f>
        <v>0</v>
      </c>
      <c r="R374" s="126">
        <f t="shared" si="94"/>
        <v>1067.9773693263</v>
      </c>
      <c r="S374" s="126">
        <f t="shared" si="95"/>
        <v>121.13136932630016</v>
      </c>
      <c r="T374" s="126">
        <f t="shared" si="104"/>
        <v>99.668000000000006</v>
      </c>
      <c r="U374" s="127">
        <f>(((IF(K374="New",0,SUMIF('MPG Payment '!$E$3:$E$34579,'Shayak Income '!D374,'MPG Payment '!$AC$3:$AC$34579))))+0)+0</f>
        <v>1286.4571035973968</v>
      </c>
      <c r="V374" s="127">
        <f t="shared" si="105"/>
        <v>308</v>
      </c>
      <c r="W374" s="19">
        <f t="shared" si="106"/>
        <v>0</v>
      </c>
      <c r="X374" s="19">
        <f t="shared" si="107"/>
        <v>0</v>
      </c>
      <c r="Y374" s="128">
        <f>IFERROR(VLOOKUP(D374,'Monthly Deduction'!$M$2:$N$64,2,0),0)</f>
        <v>0</v>
      </c>
      <c r="Z374" s="128">
        <v>0</v>
      </c>
      <c r="AA374" s="126">
        <f>IFERROR(VLOOKUP(D374,'Monthly Deduction'!A:B,2,0),0)</f>
        <v>0</v>
      </c>
      <c r="AB374" s="129">
        <f t="shared" si="96"/>
        <v>308</v>
      </c>
      <c r="AC374" s="130">
        <v>0</v>
      </c>
      <c r="AD374" s="35">
        <f t="shared" si="108"/>
        <v>308</v>
      </c>
      <c r="AE374" s="166" t="str">
        <f t="shared" si="109"/>
        <v>Release</v>
      </c>
      <c r="AF374" s="127"/>
      <c r="AG374" s="18">
        <v>0</v>
      </c>
      <c r="AH374" s="120"/>
      <c r="AI374" s="238">
        <v>0</v>
      </c>
      <c r="AJ374" s="132"/>
      <c r="AK374" s="151">
        <v>215.53</v>
      </c>
      <c r="AL374" s="154">
        <f t="shared" si="97"/>
        <v>0</v>
      </c>
      <c r="AM374" s="155"/>
      <c r="AN374" s="19">
        <f t="shared" si="98"/>
        <v>0</v>
      </c>
      <c r="AO374" s="118">
        <f>SUMIF('MPG Payment '!E:E,'Shayak Income '!D374,'MPG Payment '!AJ:AJ)</f>
        <v>0</v>
      </c>
      <c r="AP374" s="19">
        <f t="shared" si="99"/>
        <v>0</v>
      </c>
      <c r="AQ374" s="119">
        <f t="shared" si="110"/>
        <v>0</v>
      </c>
      <c r="AR374" s="91" t="s">
        <v>1168</v>
      </c>
      <c r="AS374" s="91">
        <f t="shared" si="100"/>
        <v>0</v>
      </c>
      <c r="AT374" s="118"/>
      <c r="AU374" s="118"/>
      <c r="AV374" s="118"/>
    </row>
    <row r="375" spans="1:48" s="20" customFormat="1" x14ac:dyDescent="0.25">
      <c r="A375" s="17">
        <f>IFERROR(VLOOKUP(D375,'Monthly Deduction'!$I$3:$J$957,2,0),0)</f>
        <v>0</v>
      </c>
      <c r="B375" s="17">
        <f>IFERROR(VLOOKUP(D375,'Monthly Deduction'!$E$3:$F$957,2,0),0)</f>
        <v>0</v>
      </c>
      <c r="C375" s="17">
        <f t="shared" si="101"/>
        <v>0</v>
      </c>
      <c r="D375" s="41">
        <v>10120025</v>
      </c>
      <c r="E375" s="122" t="str">
        <f>VLOOKUP(D375,'MPG Payment '!$E$3:$G$498218,2,0)</f>
        <v>Gomukh Tabhka</v>
      </c>
      <c r="F375" s="146">
        <f>IFERROR(_xlfn.XLOOKUP(D375,'Monthly Deduction'!$I$3:$I$957,'Monthly Deduction'!$H$3:$H$957),0)</f>
        <v>0</v>
      </c>
      <c r="G375" s="123" t="str">
        <f>VLOOKUP(D375,'MPG Payment '!$E$3:$G$334579,3,0)</f>
        <v>MPG</v>
      </c>
      <c r="H375" s="124" t="str">
        <f>VLOOKUP(D375,'MPG Payment '!$E$3:$H$334579,4,0)</f>
        <v>Direct</v>
      </c>
      <c r="I375" s="88">
        <f>INDEX('MPG Payment '!$C:$C,MATCH('Shayak Income '!D375,'MPG Payment '!E:E,0))</f>
        <v>1012</v>
      </c>
      <c r="J375" s="88" t="str">
        <f>INDEX('MPG Payment '!$D:$D,MATCH('Shayak Income '!D375,'MPG Payment '!E:E,0))</f>
        <v>DalsinghSarai</v>
      </c>
      <c r="K375" s="125" t="s">
        <v>1322</v>
      </c>
      <c r="L375" s="125">
        <v>44453</v>
      </c>
      <c r="M375" s="126">
        <f>SUMIF('MPG Payment '!$E$3:$E$34579,'Shayak Income '!D375,'MPG Payment '!$I$3:$I$34579)</f>
        <v>9942.9800000000014</v>
      </c>
      <c r="N375" s="126">
        <f>SUMIF('MPG Payment '!$E$3:$E$34579,'Shayak Income '!D375,'MPG Payment '!$J$3:$J$34579)</f>
        <v>396379.64821387094</v>
      </c>
      <c r="O375" s="126">
        <f t="shared" si="102"/>
        <v>7457.2350000000006</v>
      </c>
      <c r="P375" s="126">
        <f t="shared" si="103"/>
        <v>9445.8310000000001</v>
      </c>
      <c r="Q375" s="126">
        <f>SUMIF('MPG Payment '!$E$3:$E$34579,'Shayak Income '!D375,'MPG Payment '!$S$3:$S$34579)</f>
        <v>2399.4912699380402</v>
      </c>
      <c r="R375" s="126">
        <f t="shared" si="94"/>
        <v>11891.389446416128</v>
      </c>
      <c r="S375" s="126">
        <f t="shared" si="95"/>
        <v>2445.5584464161275</v>
      </c>
      <c r="T375" s="126">
        <f t="shared" si="104"/>
        <v>994.29800000000023</v>
      </c>
      <c r="U375" s="127">
        <f>(((IF(K375="New",0,SUMIF('MPG Payment '!$E$3:$E$34579,'Shayak Income '!D375,'MPG Payment '!$AC$3:$AC$34579))))+0)+0</f>
        <v>0</v>
      </c>
      <c r="V375" s="127">
        <f t="shared" si="105"/>
        <v>18308</v>
      </c>
      <c r="W375" s="19">
        <f t="shared" si="106"/>
        <v>0</v>
      </c>
      <c r="X375" s="19">
        <f t="shared" si="107"/>
        <v>0</v>
      </c>
      <c r="Y375" s="128">
        <f>IFERROR(VLOOKUP(D375,'Monthly Deduction'!$M$2:$N$64,2,0),0)</f>
        <v>0</v>
      </c>
      <c r="Z375" s="128">
        <v>0</v>
      </c>
      <c r="AA375" s="126">
        <f>IFERROR(VLOOKUP(D375,'Monthly Deduction'!A:B,2,0),0)</f>
        <v>0</v>
      </c>
      <c r="AB375" s="129">
        <f t="shared" si="96"/>
        <v>18308</v>
      </c>
      <c r="AC375" s="130">
        <v>0</v>
      </c>
      <c r="AD375" s="35">
        <f t="shared" si="108"/>
        <v>18308</v>
      </c>
      <c r="AE375" s="166" t="str">
        <f t="shared" si="109"/>
        <v>Release</v>
      </c>
      <c r="AF375" s="127"/>
      <c r="AG375" s="127">
        <v>0</v>
      </c>
      <c r="AH375" s="120"/>
      <c r="AI375" s="238">
        <v>0</v>
      </c>
      <c r="AJ375" s="132"/>
      <c r="AK375" s="151">
        <v>2668.9399999999996</v>
      </c>
      <c r="AL375" s="154">
        <f t="shared" si="97"/>
        <v>0</v>
      </c>
      <c r="AM375" s="155"/>
      <c r="AN375" s="19">
        <f t="shared" si="98"/>
        <v>0</v>
      </c>
      <c r="AO375" s="118">
        <f>SUMIF('MPG Payment '!E:E,'Shayak Income '!D375,'MPG Payment '!AJ:AJ)</f>
        <v>0</v>
      </c>
      <c r="AP375" s="19">
        <f t="shared" si="99"/>
        <v>0</v>
      </c>
      <c r="AQ375" s="119">
        <f t="shared" si="110"/>
        <v>0</v>
      </c>
      <c r="AR375" s="91" t="s">
        <v>1168</v>
      </c>
      <c r="AS375" s="91">
        <f t="shared" si="100"/>
        <v>0</v>
      </c>
      <c r="AT375" s="118"/>
      <c r="AU375" s="118"/>
      <c r="AV375" s="118"/>
    </row>
    <row r="376" spans="1:48" s="20" customFormat="1" x14ac:dyDescent="0.25">
      <c r="A376" s="17">
        <f>IFERROR(VLOOKUP(D376,'Monthly Deduction'!$I$3:$J$957,2,0),0)</f>
        <v>0</v>
      </c>
      <c r="B376" s="17">
        <f>IFERROR(VLOOKUP(D376,'Monthly Deduction'!$E$3:$F$957,2,0),0)</f>
        <v>0</v>
      </c>
      <c r="C376" s="17">
        <f t="shared" si="101"/>
        <v>0</v>
      </c>
      <c r="D376" s="41">
        <v>10120026</v>
      </c>
      <c r="E376" s="122" t="str">
        <f>VLOOKUP(D376,'MPG Payment '!$E$3:$G$498218,2,0)</f>
        <v>Ghato</v>
      </c>
      <c r="F376" s="146">
        <f>IFERROR(_xlfn.XLOOKUP(D376,'Monthly Deduction'!$I$3:$I$957,'Monthly Deduction'!$H$3:$H$957),0)</f>
        <v>0</v>
      </c>
      <c r="G376" s="123" t="str">
        <f>VLOOKUP(D376,'MPG Payment '!$E$3:$G$334579,3,0)</f>
        <v>vlc</v>
      </c>
      <c r="H376" s="124" t="str">
        <f>VLOOKUP(D376,'MPG Payment '!$E$3:$H$334579,4,0)</f>
        <v>Indirect</v>
      </c>
      <c r="I376" s="88">
        <f>INDEX('MPG Payment '!$C:$C,MATCH('Shayak Income '!D376,'MPG Payment '!E:E,0))</f>
        <v>1012</v>
      </c>
      <c r="J376" s="88" t="str">
        <f>INDEX('MPG Payment '!$D:$D,MATCH('Shayak Income '!D376,'MPG Payment '!E:E,0))</f>
        <v>DalsinghSarai</v>
      </c>
      <c r="K376" s="125" t="s">
        <v>1322</v>
      </c>
      <c r="L376" s="125">
        <v>44571</v>
      </c>
      <c r="M376" s="126">
        <f>SUMIF('MPG Payment '!$E$3:$E$34579,'Shayak Income '!D376,'MPG Payment '!$I$3:$I$34579)</f>
        <v>188.10000000000002</v>
      </c>
      <c r="N376" s="126">
        <f>SUMIF('MPG Payment '!$E$3:$E$34579,'Shayak Income '!D376,'MPG Payment '!$J$3:$J$34579)</f>
        <v>5925.9832737395991</v>
      </c>
      <c r="O376" s="126">
        <f t="shared" si="102"/>
        <v>141.07500000000002</v>
      </c>
      <c r="P376" s="126">
        <f t="shared" si="103"/>
        <v>178.69500000000002</v>
      </c>
      <c r="Q376" s="126">
        <f>SUMIF('MPG Payment '!$E$3:$E$34579,'Shayak Income '!D376,'MPG Payment '!$S$3:$S$34579)</f>
        <v>0</v>
      </c>
      <c r="R376" s="126">
        <f t="shared" si="94"/>
        <v>177.77949821218797</v>
      </c>
      <c r="S376" s="126">
        <f t="shared" si="95"/>
        <v>-0.9155017878120475</v>
      </c>
      <c r="T376" s="126">
        <f t="shared" si="104"/>
        <v>18.810000000000002</v>
      </c>
      <c r="U376" s="127">
        <f>(((IF(K376="New",0,SUMIF('MPG Payment '!$E$3:$E$34579,'Shayak Income '!D376,'MPG Payment '!$AC$3:$AC$34579))))+0)+-1335</f>
        <v>300.65234422211734</v>
      </c>
      <c r="V376" s="127">
        <f t="shared" si="105"/>
        <v>0</v>
      </c>
      <c r="W376" s="19">
        <v>0</v>
      </c>
      <c r="X376" s="19">
        <v>0</v>
      </c>
      <c r="Y376" s="128">
        <f>IFERROR(VLOOKUP(D376,'Monthly Deduction'!$M$2:$N$64,2,0),0)</f>
        <v>0</v>
      </c>
      <c r="Z376" s="128">
        <v>0</v>
      </c>
      <c r="AA376" s="126">
        <v>0</v>
      </c>
      <c r="AB376" s="129">
        <f t="shared" si="96"/>
        <v>0</v>
      </c>
      <c r="AC376" s="130">
        <v>0</v>
      </c>
      <c r="AD376" s="35">
        <f t="shared" si="108"/>
        <v>0</v>
      </c>
      <c r="AE376" s="166" t="str">
        <f t="shared" si="109"/>
        <v>Release</v>
      </c>
      <c r="AF376" s="127"/>
      <c r="AG376" s="18">
        <v>0</v>
      </c>
      <c r="AH376" s="132"/>
      <c r="AI376" s="238">
        <v>0</v>
      </c>
      <c r="AJ376" s="132"/>
      <c r="AK376" s="151">
        <v>41.03</v>
      </c>
      <c r="AL376" s="154">
        <f t="shared" si="97"/>
        <v>0</v>
      </c>
      <c r="AM376" s="155"/>
      <c r="AN376" s="19">
        <f t="shared" si="98"/>
        <v>0</v>
      </c>
      <c r="AO376" s="118">
        <f>SUMIF('MPG Payment '!E:E,'Shayak Income '!D376,'MPG Payment '!AJ:AJ)</f>
        <v>0</v>
      </c>
      <c r="AP376" s="19">
        <f t="shared" si="99"/>
        <v>0</v>
      </c>
      <c r="AQ376" s="119">
        <f t="shared" si="110"/>
        <v>0</v>
      </c>
      <c r="AR376" s="91" t="s">
        <v>1168</v>
      </c>
      <c r="AS376" s="91">
        <f t="shared" si="100"/>
        <v>0</v>
      </c>
      <c r="AT376" s="118"/>
      <c r="AU376" s="118"/>
      <c r="AV376" s="118"/>
    </row>
    <row r="377" spans="1:48" s="20" customFormat="1" x14ac:dyDescent="0.25">
      <c r="A377" s="17">
        <f>IFERROR(VLOOKUP(D377,'Monthly Deduction'!$I$3:$J$957,2,0),0)</f>
        <v>0</v>
      </c>
      <c r="B377" s="17">
        <f>IFERROR(VLOOKUP(D377,'Monthly Deduction'!$E$3:$F$957,2,0),0)</f>
        <v>13773.207146635201</v>
      </c>
      <c r="C377" s="17">
        <f t="shared" si="101"/>
        <v>13773.207146635201</v>
      </c>
      <c r="D377" s="41">
        <v>10120029</v>
      </c>
      <c r="E377" s="122" t="str">
        <f>VLOOKUP(D377,'MPG Payment '!$E$3:$G$498218,2,0)</f>
        <v xml:space="preserve">RAMNATHPUR                                                                                          </v>
      </c>
      <c r="F377" s="146">
        <f>IFERROR(_xlfn.XLOOKUP(D377,'Monthly Deduction'!$I$3:$I$957,'Monthly Deduction'!$H$3:$H$957),0)</f>
        <v>0</v>
      </c>
      <c r="G377" s="123" t="str">
        <f>VLOOKUP(D377,'MPG Payment '!$E$3:$G$334579,3,0)</f>
        <v>MPG</v>
      </c>
      <c r="H377" s="124" t="str">
        <f>VLOOKUP(D377,'MPG Payment '!$E$3:$H$334579,4,0)</f>
        <v>Direct</v>
      </c>
      <c r="I377" s="88">
        <f>INDEX('MPG Payment '!$C:$C,MATCH('Shayak Income '!D377,'MPG Payment '!E:E,0))</f>
        <v>1012</v>
      </c>
      <c r="J377" s="88" t="str">
        <f>INDEX('MPG Payment '!$D:$D,MATCH('Shayak Income '!D377,'MPG Payment '!E:E,0))</f>
        <v>DalsinghSarai</v>
      </c>
      <c r="K377" s="125" t="s">
        <v>1322</v>
      </c>
      <c r="L377" s="125">
        <v>44729</v>
      </c>
      <c r="M377" s="126">
        <f>SUMIF('MPG Payment '!$E$3:$E$34579,'Shayak Income '!D377,'MPG Payment '!$I$3:$I$34579)</f>
        <v>3497.9399999999996</v>
      </c>
      <c r="N377" s="126">
        <f>SUMIF('MPG Payment '!$E$3:$E$34579,'Shayak Income '!D377,'MPG Payment '!$J$3:$J$34579)</f>
        <v>135081.783683335</v>
      </c>
      <c r="O377" s="126">
        <f t="shared" si="102"/>
        <v>2623.4549999999999</v>
      </c>
      <c r="P377" s="126">
        <f t="shared" si="103"/>
        <v>3323.0429999999997</v>
      </c>
      <c r="Q377" s="126">
        <f>SUMIF('MPG Payment '!$E$3:$E$34579,'Shayak Income '!D377,'MPG Payment '!$S$3:$S$34579)</f>
        <v>1300.8572500254004</v>
      </c>
      <c r="R377" s="126">
        <f t="shared" si="94"/>
        <v>4052.45351050005</v>
      </c>
      <c r="S377" s="126">
        <f t="shared" si="95"/>
        <v>729.41051050005035</v>
      </c>
      <c r="T377" s="126">
        <f t="shared" si="104"/>
        <v>349.79399999999998</v>
      </c>
      <c r="U377" s="127">
        <f>(((IF(K377="New",0,SUMIF('MPG Payment '!$E$3:$E$34579,'Shayak Income '!D377,'MPG Payment '!$AC$3:$AC$34579))))+0)+0</f>
        <v>0</v>
      </c>
      <c r="V377" s="127">
        <f t="shared" si="105"/>
        <v>6898</v>
      </c>
      <c r="W377" s="19">
        <f t="shared" si="106"/>
        <v>0</v>
      </c>
      <c r="X377" s="19">
        <f t="shared" si="107"/>
        <v>2701.6356736666999</v>
      </c>
      <c r="Y377" s="128">
        <f>IFERROR(VLOOKUP(D377,'Monthly Deduction'!$M$2:$N$64,2,0),0)</f>
        <v>0</v>
      </c>
      <c r="Z377" s="128">
        <v>0</v>
      </c>
      <c r="AA377" s="126">
        <f>IFERROR(VLOOKUP(D377,'Monthly Deduction'!A:B,2,0),0)</f>
        <v>0</v>
      </c>
      <c r="AB377" s="129">
        <f t="shared" si="96"/>
        <v>4196</v>
      </c>
      <c r="AC377" s="130">
        <v>0</v>
      </c>
      <c r="AD377" s="35">
        <f t="shared" si="108"/>
        <v>4196</v>
      </c>
      <c r="AE377" s="166" t="str">
        <f t="shared" si="109"/>
        <v>Release</v>
      </c>
      <c r="AF377" s="127"/>
      <c r="AG377" s="127">
        <v>0</v>
      </c>
      <c r="AH377" s="120"/>
      <c r="AI377" s="238">
        <v>0</v>
      </c>
      <c r="AJ377" s="132"/>
      <c r="AK377" s="151">
        <v>821.58</v>
      </c>
      <c r="AL377" s="154">
        <f t="shared" si="97"/>
        <v>0</v>
      </c>
      <c r="AM377" s="155"/>
      <c r="AN377" s="19">
        <f t="shared" si="98"/>
        <v>0</v>
      </c>
      <c r="AO377" s="118">
        <f>SUMIF('MPG Payment '!E:E,'Shayak Income '!D377,'MPG Payment '!AJ:AJ)</f>
        <v>0</v>
      </c>
      <c r="AP377" s="19">
        <f t="shared" si="99"/>
        <v>0</v>
      </c>
      <c r="AQ377" s="119">
        <f t="shared" si="110"/>
        <v>0</v>
      </c>
      <c r="AR377" s="91" t="s">
        <v>1168</v>
      </c>
      <c r="AS377" s="91">
        <f t="shared" si="100"/>
        <v>11071.571472968501</v>
      </c>
      <c r="AT377" s="118"/>
      <c r="AU377" s="118"/>
      <c r="AV377" s="118"/>
    </row>
    <row r="378" spans="1:48" s="20" customFormat="1" x14ac:dyDescent="0.25">
      <c r="A378" s="17">
        <f>IFERROR(VLOOKUP(D378,'Monthly Deduction'!$I$3:$J$957,2,0),0)</f>
        <v>0</v>
      </c>
      <c r="B378" s="17">
        <f>IFERROR(VLOOKUP(D378,'Monthly Deduction'!$E$3:$F$957,2,0),0)</f>
        <v>5972.9479252635119</v>
      </c>
      <c r="C378" s="17">
        <f t="shared" si="101"/>
        <v>5972.9479252635119</v>
      </c>
      <c r="D378" s="41">
        <v>10120031</v>
      </c>
      <c r="E378" s="122" t="str">
        <f>VLOOKUP(D378,'MPG Payment '!$E$3:$G$498218,2,0)</f>
        <v>DESUA</v>
      </c>
      <c r="F378" s="146">
        <f>IFERROR(_xlfn.XLOOKUP(D378,'Monthly Deduction'!$I$3:$I$957,'Monthly Deduction'!$H$3:$H$957),0)</f>
        <v>0</v>
      </c>
      <c r="G378" s="123" t="str">
        <f>VLOOKUP(D378,'MPG Payment '!$E$3:$G$334579,3,0)</f>
        <v>MPG</v>
      </c>
      <c r="H378" s="124" t="str">
        <f>VLOOKUP(D378,'MPG Payment '!$E$3:$H$334579,4,0)</f>
        <v>Direct</v>
      </c>
      <c r="I378" s="88">
        <f>INDEX('MPG Payment '!$C:$C,MATCH('Shayak Income '!D378,'MPG Payment '!E:E,0))</f>
        <v>1012</v>
      </c>
      <c r="J378" s="88" t="str">
        <f>INDEX('MPG Payment '!$D:$D,MATCH('Shayak Income '!D378,'MPG Payment '!E:E,0))</f>
        <v>DalsinghSarai</v>
      </c>
      <c r="K378" s="125" t="s">
        <v>1322</v>
      </c>
      <c r="L378" s="125">
        <v>44835</v>
      </c>
      <c r="M378" s="126">
        <f>SUMIF('MPG Payment '!$E$3:$E$34579,'Shayak Income '!D378,'MPG Payment '!$I$3:$I$34579)</f>
        <v>1580.88</v>
      </c>
      <c r="N378" s="126">
        <f>SUMIF('MPG Payment '!$E$3:$E$34579,'Shayak Income '!D378,'MPG Payment '!$J$3:$J$34579)</f>
        <v>59717.013118014998</v>
      </c>
      <c r="O378" s="126">
        <f t="shared" si="102"/>
        <v>1185.6600000000001</v>
      </c>
      <c r="P378" s="126">
        <f t="shared" si="103"/>
        <v>1501.836</v>
      </c>
      <c r="Q378" s="126">
        <f>SUMIF('MPG Payment '!$E$3:$E$34579,'Shayak Income '!D378,'MPG Payment '!$S$3:$S$34579)</f>
        <v>90.346020731999999</v>
      </c>
      <c r="R378" s="126">
        <f t="shared" si="94"/>
        <v>1791.51039354045</v>
      </c>
      <c r="S378" s="126">
        <f t="shared" si="95"/>
        <v>289.67439354044996</v>
      </c>
      <c r="T378" s="126">
        <f t="shared" si="104"/>
        <v>158.08800000000002</v>
      </c>
      <c r="U378" s="127">
        <f>(((IF(K378="New",0,SUMIF('MPG Payment '!$E$3:$E$34579,'Shayak Income '!D378,'MPG Payment '!$AC$3:$AC$34579))))+0)+0</f>
        <v>921.92386666428183</v>
      </c>
      <c r="V378" s="127">
        <f t="shared" si="105"/>
        <v>1698</v>
      </c>
      <c r="W378" s="19">
        <f t="shared" si="106"/>
        <v>0</v>
      </c>
      <c r="X378" s="19">
        <f t="shared" si="107"/>
        <v>1194.3402623602999</v>
      </c>
      <c r="Y378" s="128">
        <f>IFERROR(VLOOKUP(D378,'Monthly Deduction'!$M$2:$N$64,2,0),0)</f>
        <v>0</v>
      </c>
      <c r="Z378" s="128">
        <v>0</v>
      </c>
      <c r="AA378" s="126">
        <f>IFERROR(VLOOKUP(D378,'Monthly Deduction'!A:B,2,0),0)</f>
        <v>68.000000000000114</v>
      </c>
      <c r="AB378" s="129">
        <f t="shared" si="96"/>
        <v>436</v>
      </c>
      <c r="AC378" s="130">
        <v>0</v>
      </c>
      <c r="AD378" s="35">
        <f t="shared" si="108"/>
        <v>436</v>
      </c>
      <c r="AE378" s="166" t="str">
        <f t="shared" si="109"/>
        <v>Release</v>
      </c>
      <c r="AF378" s="127"/>
      <c r="AG378" s="127">
        <v>0</v>
      </c>
      <c r="AH378" s="120"/>
      <c r="AI378" s="238">
        <v>0</v>
      </c>
      <c r="AJ378" s="132"/>
      <c r="AK378" s="151">
        <v>348.74</v>
      </c>
      <c r="AL378" s="154">
        <f t="shared" si="97"/>
        <v>0</v>
      </c>
      <c r="AM378" s="155"/>
      <c r="AN378" s="19">
        <f t="shared" si="98"/>
        <v>0</v>
      </c>
      <c r="AO378" s="118">
        <f>SUMIF('MPG Payment '!E:E,'Shayak Income '!D378,'MPG Payment '!AJ:AJ)</f>
        <v>0</v>
      </c>
      <c r="AP378" s="19">
        <f t="shared" si="99"/>
        <v>0</v>
      </c>
      <c r="AQ378" s="119">
        <f t="shared" si="110"/>
        <v>0</v>
      </c>
      <c r="AR378" s="91" t="s">
        <v>1168</v>
      </c>
      <c r="AS378" s="91">
        <f t="shared" si="100"/>
        <v>4778.6076629032123</v>
      </c>
      <c r="AT378" s="118"/>
      <c r="AU378" s="118"/>
      <c r="AV378" s="118"/>
    </row>
    <row r="379" spans="1:48" s="20" customFormat="1" x14ac:dyDescent="0.25">
      <c r="A379" s="17">
        <f>IFERROR(VLOOKUP(D379,'Monthly Deduction'!$I$3:$J$957,2,0),0)</f>
        <v>0</v>
      </c>
      <c r="B379" s="17">
        <f>IFERROR(VLOOKUP(D379,'Monthly Deduction'!$E$3:$F$957,2,0),0)</f>
        <v>15208.8497711328</v>
      </c>
      <c r="C379" s="17">
        <f t="shared" si="101"/>
        <v>15208.8497711328</v>
      </c>
      <c r="D379" s="41">
        <v>10120034</v>
      </c>
      <c r="E379" s="122" t="str">
        <f>VLOOKUP(D379,'MPG Payment '!$E$3:$G$498218,2,0)</f>
        <v>Matior</v>
      </c>
      <c r="F379" s="146">
        <f>IFERROR(_xlfn.XLOOKUP(D379,'Monthly Deduction'!$I$3:$I$957,'Monthly Deduction'!$H$3:$H$957),0)</f>
        <v>0</v>
      </c>
      <c r="G379" s="123" t="str">
        <f>VLOOKUP(D379,'MPG Payment '!$E$3:$G$334579,3,0)</f>
        <v>MPG</v>
      </c>
      <c r="H379" s="124" t="str">
        <f>VLOOKUP(D379,'MPG Payment '!$E$3:$H$334579,4,0)</f>
        <v>Direct</v>
      </c>
      <c r="I379" s="88">
        <f>INDEX('MPG Payment '!$C:$C,MATCH('Shayak Income '!D379,'MPG Payment '!E:E,0))</f>
        <v>1012</v>
      </c>
      <c r="J379" s="88" t="str">
        <f>INDEX('MPG Payment '!$D:$D,MATCH('Shayak Income '!D379,'MPG Payment '!E:E,0))</f>
        <v>DalsinghSarai</v>
      </c>
      <c r="K379" s="125" t="s">
        <v>1322</v>
      </c>
      <c r="L379" s="125">
        <v>44942</v>
      </c>
      <c r="M379" s="126">
        <f>SUMIF('MPG Payment '!$E$3:$E$34579,'Shayak Income '!D379,'MPG Payment '!$I$3:$I$34579)</f>
        <v>426.49</v>
      </c>
      <c r="N379" s="126">
        <f>SUMIF('MPG Payment '!$E$3:$E$34579,'Shayak Income '!D379,'MPG Payment '!$J$3:$J$34579)</f>
        <v>16570.658165640001</v>
      </c>
      <c r="O379" s="126">
        <f t="shared" si="102"/>
        <v>319.86750000000001</v>
      </c>
      <c r="P379" s="126">
        <f t="shared" si="103"/>
        <v>405.16550000000001</v>
      </c>
      <c r="Q379" s="126">
        <f>SUMIF('MPG Payment '!$E$3:$E$34579,'Shayak Income '!D379,'MPG Payment '!$S$3:$S$34579)</f>
        <v>0</v>
      </c>
      <c r="R379" s="126">
        <f t="shared" si="94"/>
        <v>497.11974496920004</v>
      </c>
      <c r="S379" s="126">
        <f t="shared" si="95"/>
        <v>91.954244969200033</v>
      </c>
      <c r="T379" s="126">
        <f t="shared" si="104"/>
        <v>42.649000000000001</v>
      </c>
      <c r="U379" s="127">
        <f>(((IF(K379="New",0,SUMIF('MPG Payment '!$E$3:$E$34579,'Shayak Income '!D379,'MPG Payment '!$AC$3:$AC$34579))))+0)+-1168</f>
        <v>682.41026317200021</v>
      </c>
      <c r="V379" s="127">
        <f t="shared" si="105"/>
        <v>0</v>
      </c>
      <c r="W379" s="19">
        <v>0</v>
      </c>
      <c r="X379" s="19">
        <v>0</v>
      </c>
      <c r="Y379" s="128">
        <v>0</v>
      </c>
      <c r="Z379" s="128">
        <v>0</v>
      </c>
      <c r="AA379" s="126">
        <v>0</v>
      </c>
      <c r="AB379" s="129">
        <f t="shared" si="96"/>
        <v>0</v>
      </c>
      <c r="AC379" s="130">
        <v>0</v>
      </c>
      <c r="AD379" s="35">
        <f t="shared" si="108"/>
        <v>0</v>
      </c>
      <c r="AE379" s="166" t="str">
        <f t="shared" si="109"/>
        <v>Release</v>
      </c>
      <c r="AF379" s="127"/>
      <c r="AG379" s="18">
        <v>0</v>
      </c>
      <c r="AH379" s="120"/>
      <c r="AI379" s="238">
        <v>0</v>
      </c>
      <c r="AJ379" s="132"/>
      <c r="AK379" s="151">
        <v>134.91</v>
      </c>
      <c r="AL379" s="154">
        <f t="shared" si="97"/>
        <v>0</v>
      </c>
      <c r="AM379" s="155"/>
      <c r="AN379" s="19">
        <f t="shared" si="98"/>
        <v>0</v>
      </c>
      <c r="AO379" s="118">
        <f>SUMIF('MPG Payment '!E:E,'Shayak Income '!D379,'MPG Payment '!AJ:AJ)</f>
        <v>0</v>
      </c>
      <c r="AP379" s="19">
        <f t="shared" si="99"/>
        <v>0</v>
      </c>
      <c r="AQ379" s="119">
        <f t="shared" si="110"/>
        <v>0</v>
      </c>
      <c r="AR379" s="91" t="s">
        <v>1168</v>
      </c>
      <c r="AS379" s="91">
        <f t="shared" si="100"/>
        <v>15208.8497711328</v>
      </c>
      <c r="AT379" s="118"/>
      <c r="AU379" s="118"/>
      <c r="AV379" s="118"/>
    </row>
    <row r="380" spans="1:48" s="20" customFormat="1" x14ac:dyDescent="0.25">
      <c r="A380" s="17">
        <f>IFERROR(VLOOKUP(D380,'Monthly Deduction'!$I$3:$J$957,2,0),0)</f>
        <v>0</v>
      </c>
      <c r="B380" s="17">
        <f>IFERROR(VLOOKUP(D380,'Monthly Deduction'!$E$3:$F$957,2,0),0)</f>
        <v>0</v>
      </c>
      <c r="C380" s="17">
        <f t="shared" si="101"/>
        <v>0</v>
      </c>
      <c r="D380" s="41">
        <v>10120035</v>
      </c>
      <c r="E380" s="122" t="str">
        <f>VLOOKUP(D380,'MPG Payment '!$E$3:$G$498218,2,0)</f>
        <v>TELGAMA</v>
      </c>
      <c r="F380" s="146">
        <f>IFERROR(_xlfn.XLOOKUP(D380,'Monthly Deduction'!$I$3:$I$957,'Monthly Deduction'!$H$3:$H$957),0)</f>
        <v>0</v>
      </c>
      <c r="G380" s="123" t="str">
        <f>VLOOKUP(D380,'MPG Payment '!$E$3:$G$334579,3,0)</f>
        <v>vlc</v>
      </c>
      <c r="H380" s="124" t="str">
        <f>VLOOKUP(D380,'MPG Payment '!$E$3:$H$334579,4,0)</f>
        <v>Indirect</v>
      </c>
      <c r="I380" s="88">
        <f>INDEX('MPG Payment '!$C:$C,MATCH('Shayak Income '!D380,'MPG Payment '!E:E,0))</f>
        <v>1012</v>
      </c>
      <c r="J380" s="88" t="str">
        <f>INDEX('MPG Payment '!$D:$D,MATCH('Shayak Income '!D380,'MPG Payment '!E:E,0))</f>
        <v>DalsinghSarai</v>
      </c>
      <c r="K380" s="125" t="s">
        <v>1322</v>
      </c>
      <c r="L380" s="125">
        <v>44943</v>
      </c>
      <c r="M380" s="126">
        <f>SUMIF('MPG Payment '!$E$3:$E$34579,'Shayak Income '!D380,'MPG Payment '!$I$3:$I$34579)</f>
        <v>1623.1999999999998</v>
      </c>
      <c r="N380" s="126">
        <f>SUMIF('MPG Payment '!$E$3:$E$34579,'Shayak Income '!D380,'MPG Payment '!$J$3:$J$34579)</f>
        <v>66748.6952251568</v>
      </c>
      <c r="O380" s="126">
        <f t="shared" si="102"/>
        <v>1217.3999999999999</v>
      </c>
      <c r="P380" s="126">
        <f t="shared" si="103"/>
        <v>1542.0399999999997</v>
      </c>
      <c r="Q380" s="126">
        <f>SUMIF('MPG Payment '!$E$3:$E$34579,'Shayak Income '!D380,'MPG Payment '!$S$3:$S$34579)</f>
        <v>0</v>
      </c>
      <c r="R380" s="126">
        <f t="shared" si="94"/>
        <v>2002.4608567547039</v>
      </c>
      <c r="S380" s="126">
        <f t="shared" si="95"/>
        <v>460.42085675470412</v>
      </c>
      <c r="T380" s="126">
        <f t="shared" si="104"/>
        <v>162.32</v>
      </c>
      <c r="U380" s="127">
        <f>(((IF(K380="New",0,SUMIF('MPG Payment '!$E$3:$E$34579,'Shayak Income '!D380,'MPG Payment '!$AC$3:$AC$34579))))+0)+0</f>
        <v>968.52193938960056</v>
      </c>
      <c r="V380" s="127">
        <f t="shared" si="105"/>
        <v>1629</v>
      </c>
      <c r="W380" s="19">
        <f t="shared" si="106"/>
        <v>0</v>
      </c>
      <c r="X380" s="19">
        <f t="shared" si="107"/>
        <v>0</v>
      </c>
      <c r="Y380" s="128">
        <v>1629</v>
      </c>
      <c r="Z380" s="128">
        <v>0</v>
      </c>
      <c r="AA380" s="126">
        <f>IFERROR(VLOOKUP(D380,'Monthly Deduction'!A:B,2,0),0)</f>
        <v>0</v>
      </c>
      <c r="AB380" s="129">
        <f t="shared" si="96"/>
        <v>0</v>
      </c>
      <c r="AC380" s="130">
        <v>0</v>
      </c>
      <c r="AD380" s="35">
        <f t="shared" si="108"/>
        <v>0</v>
      </c>
      <c r="AE380" s="166" t="str">
        <f t="shared" si="109"/>
        <v>Release</v>
      </c>
      <c r="AF380" s="127"/>
      <c r="AG380" s="18">
        <v>0</v>
      </c>
      <c r="AH380" s="120"/>
      <c r="AI380" s="238">
        <v>0</v>
      </c>
      <c r="AJ380" s="132"/>
      <c r="AK380" s="151">
        <v>393.44</v>
      </c>
      <c r="AL380" s="154">
        <f t="shared" si="97"/>
        <v>0</v>
      </c>
      <c r="AM380" s="155"/>
      <c r="AN380" s="19">
        <f t="shared" si="98"/>
        <v>0</v>
      </c>
      <c r="AO380" s="118">
        <f>SUMIF('MPG Payment '!E:E,'Shayak Income '!D380,'MPG Payment '!AJ:AJ)</f>
        <v>0</v>
      </c>
      <c r="AP380" s="19">
        <f t="shared" si="99"/>
        <v>0</v>
      </c>
      <c r="AQ380" s="119">
        <f t="shared" si="110"/>
        <v>0</v>
      </c>
      <c r="AR380" s="91" t="s">
        <v>1168</v>
      </c>
      <c r="AS380" s="91">
        <f t="shared" si="100"/>
        <v>0</v>
      </c>
      <c r="AT380" s="118"/>
      <c r="AU380" s="118"/>
      <c r="AV380" s="118"/>
    </row>
    <row r="381" spans="1:48" s="20" customFormat="1" x14ac:dyDescent="0.25">
      <c r="A381" s="17">
        <f>IFERROR(VLOOKUP(D381,'Monthly Deduction'!$I$3:$J$957,2,0),0)</f>
        <v>61475.160600000003</v>
      </c>
      <c r="B381" s="17">
        <f>IFERROR(VLOOKUP(D381,'Monthly Deduction'!$E$3:$F$957,2,0),0)</f>
        <v>6400</v>
      </c>
      <c r="C381" s="17">
        <f t="shared" si="101"/>
        <v>67875.160600000003</v>
      </c>
      <c r="D381" s="41">
        <v>10120043</v>
      </c>
      <c r="E381" s="122" t="str">
        <f>VLOOKUP(D381,'MPG Payment '!$E$3:$G$498218,2,0)</f>
        <v>GOMUKH TATARPUR</v>
      </c>
      <c r="F381" s="146">
        <f>IFERROR(_xlfn.XLOOKUP(D381,'Monthly Deduction'!$I$3:$I$957,'Monthly Deduction'!$H$3:$H$957),0)</f>
        <v>0</v>
      </c>
      <c r="G381" s="123" t="str">
        <f>VLOOKUP(D381,'MPG Payment '!$E$3:$G$334579,3,0)</f>
        <v>MPG</v>
      </c>
      <c r="H381" s="124" t="str">
        <f>VLOOKUP(D381,'MPG Payment '!$E$3:$H$334579,4,0)</f>
        <v>Direct</v>
      </c>
      <c r="I381" s="88">
        <f>INDEX('MPG Payment '!$C:$C,MATCH('Shayak Income '!D381,'MPG Payment '!E:E,0))</f>
        <v>1012</v>
      </c>
      <c r="J381" s="88" t="str">
        <f>INDEX('MPG Payment '!$D:$D,MATCH('Shayak Income '!D381,'MPG Payment '!E:E,0))</f>
        <v>DalsinghSarai</v>
      </c>
      <c r="K381" s="125" t="s">
        <v>1322</v>
      </c>
      <c r="L381" s="125">
        <v>45126</v>
      </c>
      <c r="M381" s="126">
        <f>SUMIF('MPG Payment '!$E$3:$E$34579,'Shayak Income '!D381,'MPG Payment '!$I$3:$I$34579)</f>
        <v>710.87000000000012</v>
      </c>
      <c r="N381" s="126">
        <f>SUMIF('MPG Payment '!$E$3:$E$34579,'Shayak Income '!D381,'MPG Payment '!$J$3:$J$34579)</f>
        <v>31949.074657739278</v>
      </c>
      <c r="O381" s="126">
        <f t="shared" si="102"/>
        <v>533.15250000000015</v>
      </c>
      <c r="P381" s="126">
        <f t="shared" si="103"/>
        <v>675.32650000000012</v>
      </c>
      <c r="Q381" s="126">
        <f>SUMIF('MPG Payment '!$E$3:$E$34579,'Shayak Income '!D381,'MPG Payment '!$S$3:$S$34579)</f>
        <v>0</v>
      </c>
      <c r="R381" s="126">
        <f t="shared" si="94"/>
        <v>958.47223973217831</v>
      </c>
      <c r="S381" s="126">
        <f t="shared" si="95"/>
        <v>283.14573973217819</v>
      </c>
      <c r="T381" s="126">
        <f t="shared" si="104"/>
        <v>71.087000000000018</v>
      </c>
      <c r="U381" s="127">
        <f>(((IF(K381="New",0,SUMIF('MPG Payment '!$E$3:$E$34579,'Shayak Income '!D381,'MPG Payment '!$AC$3:$AC$34579))))+0)+-738</f>
        <v>1137.0865495907838</v>
      </c>
      <c r="V381" s="127">
        <f t="shared" si="105"/>
        <v>0</v>
      </c>
      <c r="W381" s="19">
        <v>0</v>
      </c>
      <c r="X381" s="19">
        <v>0</v>
      </c>
      <c r="Y381" s="128">
        <f>IFERROR(VLOOKUP(D381,'Monthly Deduction'!$M$2:$N$64,2,0),0)</f>
        <v>0</v>
      </c>
      <c r="Z381" s="128">
        <v>0</v>
      </c>
      <c r="AA381" s="126">
        <v>0</v>
      </c>
      <c r="AB381" s="129">
        <f t="shared" si="96"/>
        <v>0</v>
      </c>
      <c r="AC381" s="130">
        <v>0</v>
      </c>
      <c r="AD381" s="35">
        <f t="shared" si="108"/>
        <v>0</v>
      </c>
      <c r="AE381" s="166" t="str">
        <f t="shared" si="109"/>
        <v>Release</v>
      </c>
      <c r="AF381" s="127"/>
      <c r="AG381" s="18">
        <v>0</v>
      </c>
      <c r="AH381" s="120"/>
      <c r="AI381" s="238">
        <v>0</v>
      </c>
      <c r="AJ381" s="132"/>
      <c r="AK381" s="151">
        <v>175.35</v>
      </c>
      <c r="AL381" s="154">
        <f t="shared" si="97"/>
        <v>0</v>
      </c>
      <c r="AM381" s="155"/>
      <c r="AN381" s="19">
        <f t="shared" si="98"/>
        <v>1861</v>
      </c>
      <c r="AO381" s="118">
        <f>SUMIF('MPG Payment '!E:E,'Shayak Income '!D381,'MPG Payment '!AJ:AJ)</f>
        <v>500</v>
      </c>
      <c r="AP381" s="19">
        <f t="shared" si="99"/>
        <v>0</v>
      </c>
      <c r="AQ381" s="119">
        <f t="shared" si="110"/>
        <v>500</v>
      </c>
      <c r="AR381" s="91" t="s">
        <v>1168</v>
      </c>
      <c r="AS381" s="91">
        <f t="shared" si="100"/>
        <v>6400</v>
      </c>
      <c r="AT381" s="118"/>
      <c r="AU381" s="118"/>
      <c r="AV381" s="118"/>
    </row>
    <row r="382" spans="1:48" s="20" customFormat="1" x14ac:dyDescent="0.25">
      <c r="A382" s="17">
        <f>IFERROR(VLOOKUP(D382,'Monthly Deduction'!$I$3:$J$957,2,0),0)</f>
        <v>0</v>
      </c>
      <c r="B382" s="17">
        <f>IFERROR(VLOOKUP(D382,'Monthly Deduction'!$E$3:$F$957,2,0),0)</f>
        <v>0</v>
      </c>
      <c r="C382" s="17">
        <f t="shared" si="101"/>
        <v>0</v>
      </c>
      <c r="D382" s="41">
        <v>10120046</v>
      </c>
      <c r="E382" s="122" t="str">
        <f>VLOOKUP(D382,'MPG Payment '!$E$3:$G$498218,2,0)</f>
        <v>Gomukh Ghataho</v>
      </c>
      <c r="F382" s="146">
        <f>IFERROR(_xlfn.XLOOKUP(D382,'Monthly Deduction'!$I$3:$I$957,'Monthly Deduction'!$H$3:$H$957),0)</f>
        <v>0</v>
      </c>
      <c r="G382" s="123" t="str">
        <f>VLOOKUP(D382,'MPG Payment '!$E$3:$G$334579,3,0)</f>
        <v>MPG</v>
      </c>
      <c r="H382" s="124" t="str">
        <f>VLOOKUP(D382,'MPG Payment '!$E$3:$H$334579,4,0)</f>
        <v>Direct</v>
      </c>
      <c r="I382" s="88">
        <f>INDEX('MPG Payment '!$C:$C,MATCH('Shayak Income '!D382,'MPG Payment '!E:E,0))</f>
        <v>1012</v>
      </c>
      <c r="J382" s="88" t="str">
        <f>INDEX('MPG Payment '!$D:$D,MATCH('Shayak Income '!D382,'MPG Payment '!E:E,0))</f>
        <v>DalsinghSarai</v>
      </c>
      <c r="K382" s="125" t="s">
        <v>1322</v>
      </c>
      <c r="L382" s="125">
        <v>45142</v>
      </c>
      <c r="M382" s="126">
        <f>SUMIF('MPG Payment '!$E$3:$E$34579,'Shayak Income '!D382,'MPG Payment '!$I$3:$I$34579)</f>
        <v>7850.9599999999991</v>
      </c>
      <c r="N382" s="126">
        <f>SUMIF('MPG Payment '!$E$3:$E$34579,'Shayak Income '!D382,'MPG Payment '!$J$3:$J$34579)</f>
        <v>293743.09101097996</v>
      </c>
      <c r="O382" s="126">
        <f t="shared" si="102"/>
        <v>5888.2199999999993</v>
      </c>
      <c r="P382" s="126">
        <f t="shared" si="103"/>
        <v>7458.4119999999984</v>
      </c>
      <c r="Q382" s="126">
        <f>SUMIF('MPG Payment '!$E$3:$E$34579,'Shayak Income '!D382,'MPG Payment '!$S$3:$S$34579)</f>
        <v>2575.3290898020005</v>
      </c>
      <c r="R382" s="126">
        <f t="shared" si="94"/>
        <v>8812.2927303293982</v>
      </c>
      <c r="S382" s="126">
        <f t="shared" si="95"/>
        <v>1353.8807303293997</v>
      </c>
      <c r="T382" s="126">
        <f t="shared" si="104"/>
        <v>785.096</v>
      </c>
      <c r="U382" s="127">
        <f>(((IF(K382="New",0,SUMIF('MPG Payment '!$E$3:$E$34579,'Shayak Income '!D382,'MPG Payment '!$AC$3:$AC$34579))))+0)+0</f>
        <v>0</v>
      </c>
      <c r="V382" s="127">
        <f t="shared" si="105"/>
        <v>15137</v>
      </c>
      <c r="W382" s="19">
        <f t="shared" si="106"/>
        <v>0</v>
      </c>
      <c r="X382" s="19">
        <f t="shared" si="107"/>
        <v>0</v>
      </c>
      <c r="Y382" s="128">
        <f>IFERROR(VLOOKUP(D382,'Monthly Deduction'!$M$2:$N$64,2,0),0)</f>
        <v>0</v>
      </c>
      <c r="Z382" s="128">
        <v>0</v>
      </c>
      <c r="AA382" s="126">
        <f>IFERROR(VLOOKUP(D382,'Monthly Deduction'!A:B,2,0),0)</f>
        <v>0</v>
      </c>
      <c r="AB382" s="129">
        <f t="shared" si="96"/>
        <v>15137</v>
      </c>
      <c r="AC382" s="130">
        <v>0</v>
      </c>
      <c r="AD382" s="35">
        <f t="shared" si="108"/>
        <v>15137</v>
      </c>
      <c r="AE382" s="166" t="str">
        <f t="shared" si="109"/>
        <v>Release</v>
      </c>
      <c r="AF382" s="127"/>
      <c r="AG382" s="18">
        <v>0</v>
      </c>
      <c r="AH382" s="120"/>
      <c r="AI382" s="238">
        <v>0</v>
      </c>
      <c r="AJ382" s="132"/>
      <c r="AK382" s="151">
        <v>2082.3100000000004</v>
      </c>
      <c r="AL382" s="154">
        <f t="shared" si="97"/>
        <v>0</v>
      </c>
      <c r="AM382" s="155"/>
      <c r="AN382" s="19">
        <f t="shared" si="98"/>
        <v>0</v>
      </c>
      <c r="AO382" s="118">
        <f>SUMIF('MPG Payment '!E:E,'Shayak Income '!D382,'MPG Payment '!AJ:AJ)</f>
        <v>0</v>
      </c>
      <c r="AP382" s="19">
        <f t="shared" si="99"/>
        <v>0</v>
      </c>
      <c r="AQ382" s="119">
        <f t="shared" si="110"/>
        <v>0</v>
      </c>
      <c r="AR382" s="91" t="s">
        <v>1168</v>
      </c>
      <c r="AS382" s="91">
        <f t="shared" si="100"/>
        <v>0</v>
      </c>
      <c r="AT382" s="118"/>
      <c r="AU382" s="118"/>
      <c r="AV382" s="118"/>
    </row>
    <row r="383" spans="1:48" s="20" customFormat="1" x14ac:dyDescent="0.25">
      <c r="A383" s="17">
        <f>IFERROR(VLOOKUP(D383,'Monthly Deduction'!$I$3:$J$957,2,0),0)</f>
        <v>0</v>
      </c>
      <c r="B383" s="17">
        <f>IFERROR(VLOOKUP(D383,'Monthly Deduction'!$E$3:$F$957,2,0),0)</f>
        <v>0</v>
      </c>
      <c r="C383" s="17">
        <f t="shared" si="101"/>
        <v>0</v>
      </c>
      <c r="D383" s="41">
        <v>10120049</v>
      </c>
      <c r="E383" s="122" t="str">
        <f>VLOOKUP(D383,'MPG Payment '!$E$3:$G$498218,2,0)</f>
        <v>Kacha - Amarjeet</v>
      </c>
      <c r="F383" s="146">
        <f>IFERROR(_xlfn.XLOOKUP(D383,'Monthly Deduction'!$I$3:$I$957,'Monthly Deduction'!$H$3:$H$957),0)</f>
        <v>0</v>
      </c>
      <c r="G383" s="123" t="str">
        <f>VLOOKUP(D383,'MPG Payment '!$E$3:$G$334579,3,0)</f>
        <v>vlc</v>
      </c>
      <c r="H383" s="124" t="str">
        <f>VLOOKUP(D383,'MPG Payment '!$E$3:$H$334579,4,0)</f>
        <v>Indirect</v>
      </c>
      <c r="I383" s="88">
        <f>INDEX('MPG Payment '!$C:$C,MATCH('Shayak Income '!D383,'MPG Payment '!E:E,0))</f>
        <v>1012</v>
      </c>
      <c r="J383" s="88" t="str">
        <f>INDEX('MPG Payment '!$D:$D,MATCH('Shayak Income '!D383,'MPG Payment '!E:E,0))</f>
        <v>DalsinghSarai</v>
      </c>
      <c r="K383" s="125" t="s">
        <v>1322</v>
      </c>
      <c r="L383" s="125">
        <v>45058</v>
      </c>
      <c r="M383" s="126">
        <f>SUMIF('MPG Payment '!$E$3:$E$34579,'Shayak Income '!D383,'MPG Payment '!$I$3:$I$34579)</f>
        <v>1831.67</v>
      </c>
      <c r="N383" s="126">
        <f>SUMIF('MPG Payment '!$E$3:$E$34579,'Shayak Income '!D383,'MPG Payment '!$J$3:$J$34579)</f>
        <v>83324.921178509656</v>
      </c>
      <c r="O383" s="126">
        <f t="shared" si="102"/>
        <v>1373.7525000000001</v>
      </c>
      <c r="P383" s="126">
        <f t="shared" si="103"/>
        <v>1740.0864999999999</v>
      </c>
      <c r="Q383" s="126">
        <f>SUMIF('MPG Payment '!$E$3:$E$34579,'Shayak Income '!D383,'MPG Payment '!$S$3:$S$34579)</f>
        <v>0</v>
      </c>
      <c r="R383" s="126">
        <f t="shared" si="94"/>
        <v>2499.7476353552897</v>
      </c>
      <c r="S383" s="126">
        <f t="shared" si="95"/>
        <v>759.66113535528984</v>
      </c>
      <c r="T383" s="126">
        <f t="shared" si="104"/>
        <v>183.16700000000003</v>
      </c>
      <c r="U383" s="127">
        <f>(((IF(K383="New",0,SUMIF('MPG Payment '!$E$3:$E$34579,'Shayak Income '!D383,'MPG Payment '!$AC$3:$AC$34579))))+0)+0</f>
        <v>883.52841691618301</v>
      </c>
      <c r="V383" s="127">
        <f t="shared" si="105"/>
        <v>2047</v>
      </c>
      <c r="W383" s="19">
        <f t="shared" si="106"/>
        <v>0</v>
      </c>
      <c r="X383" s="19">
        <f t="shared" si="107"/>
        <v>0</v>
      </c>
      <c r="Y383" s="128">
        <f>IFERROR(VLOOKUP(D383,'Monthly Deduction'!$M$2:$N$64,2,0),0)</f>
        <v>0</v>
      </c>
      <c r="Z383" s="128">
        <v>0</v>
      </c>
      <c r="AA383" s="126">
        <f>IFERROR(VLOOKUP(D383,'Monthly Deduction'!A:B,2,0),0)</f>
        <v>0</v>
      </c>
      <c r="AB383" s="129">
        <f t="shared" si="96"/>
        <v>2047</v>
      </c>
      <c r="AC383" s="130">
        <v>0</v>
      </c>
      <c r="AD383" s="35">
        <f t="shared" si="108"/>
        <v>2047</v>
      </c>
      <c r="AE383" s="166" t="str">
        <f t="shared" si="109"/>
        <v>Release</v>
      </c>
      <c r="AF383" s="127"/>
      <c r="AG383" s="18">
        <v>0</v>
      </c>
      <c r="AH383" s="120"/>
      <c r="AI383" s="238">
        <v>0</v>
      </c>
      <c r="AJ383" s="132"/>
      <c r="AK383" s="151">
        <v>453.93</v>
      </c>
      <c r="AL383" s="154">
        <f t="shared" si="97"/>
        <v>0</v>
      </c>
      <c r="AM383" s="155"/>
      <c r="AN383" s="19">
        <f t="shared" si="98"/>
        <v>0</v>
      </c>
      <c r="AO383" s="118">
        <f>SUMIF('MPG Payment '!E:E,'Shayak Income '!D383,'MPG Payment '!AJ:AJ)</f>
        <v>0</v>
      </c>
      <c r="AP383" s="19">
        <f t="shared" si="99"/>
        <v>0</v>
      </c>
      <c r="AQ383" s="119">
        <f t="shared" si="110"/>
        <v>0</v>
      </c>
      <c r="AR383" s="91" t="s">
        <v>1168</v>
      </c>
      <c r="AS383" s="91">
        <f t="shared" si="100"/>
        <v>0</v>
      </c>
      <c r="AT383" s="118"/>
      <c r="AU383" s="118"/>
      <c r="AV383" s="118"/>
    </row>
    <row r="384" spans="1:48" s="20" customFormat="1" x14ac:dyDescent="0.25">
      <c r="A384" s="17">
        <f>IFERROR(VLOOKUP(D384,'Monthly Deduction'!$I$3:$J$957,2,0),0)</f>
        <v>0</v>
      </c>
      <c r="B384" s="17">
        <f>IFERROR(VLOOKUP(D384,'Monthly Deduction'!$E$3:$F$957,2,0),0)</f>
        <v>0</v>
      </c>
      <c r="C384" s="17">
        <f t="shared" si="101"/>
        <v>0</v>
      </c>
      <c r="D384" s="41">
        <v>10120050</v>
      </c>
      <c r="E384" s="122" t="str">
        <f>VLOOKUP(D384,'MPG Payment '!$E$3:$G$498218,2,0)</f>
        <v>Simri - Suman</v>
      </c>
      <c r="F384" s="146">
        <f>IFERROR(_xlfn.XLOOKUP(D384,'Monthly Deduction'!$I$3:$I$957,'Monthly Deduction'!$H$3:$H$957),0)</f>
        <v>0</v>
      </c>
      <c r="G384" s="123" t="str">
        <f>VLOOKUP(D384,'MPG Payment '!$E$3:$G$334579,3,0)</f>
        <v>vlc</v>
      </c>
      <c r="H384" s="124" t="str">
        <f>VLOOKUP(D384,'MPG Payment '!$E$3:$H$334579,4,0)</f>
        <v>Indirect</v>
      </c>
      <c r="I384" s="88">
        <f>INDEX('MPG Payment '!$C:$C,MATCH('Shayak Income '!D384,'MPG Payment '!E:E,0))</f>
        <v>1012</v>
      </c>
      <c r="J384" s="88" t="str">
        <f>INDEX('MPG Payment '!$D:$D,MATCH('Shayak Income '!D384,'MPG Payment '!E:E,0))</f>
        <v>DalsinghSarai</v>
      </c>
      <c r="K384" s="125" t="s">
        <v>1322</v>
      </c>
      <c r="L384" s="125">
        <v>44957</v>
      </c>
      <c r="M384" s="126">
        <f>SUMIF('MPG Payment '!$E$3:$E$34579,'Shayak Income '!D384,'MPG Payment '!$I$3:$I$34579)</f>
        <v>4489.7999999999993</v>
      </c>
      <c r="N384" s="126">
        <f>SUMIF('MPG Payment '!$E$3:$E$34579,'Shayak Income '!D384,'MPG Payment '!$J$3:$J$34579)</f>
        <v>223558.03012775842</v>
      </c>
      <c r="O384" s="126">
        <f t="shared" si="102"/>
        <v>3367.3499999999995</v>
      </c>
      <c r="P384" s="126">
        <f t="shared" si="103"/>
        <v>4265.3099999999995</v>
      </c>
      <c r="Q384" s="126">
        <f>SUMIF('MPG Payment '!$E$3:$E$34579,'Shayak Income '!D384,'MPG Payment '!$S$3:$S$34579)</f>
        <v>0</v>
      </c>
      <c r="R384" s="126">
        <f t="shared" si="94"/>
        <v>6706.7409038327523</v>
      </c>
      <c r="S384" s="126">
        <f t="shared" si="95"/>
        <v>2441.4309038327528</v>
      </c>
      <c r="T384" s="126">
        <f t="shared" si="104"/>
        <v>448.97999999999996</v>
      </c>
      <c r="U384" s="127">
        <f>(((IF(K384="New",0,SUMIF('MPG Payment '!$E$3:$E$34579,'Shayak Income '!D384,'MPG Payment '!$AC$3:$AC$34579))))+0)+0</f>
        <v>0</v>
      </c>
      <c r="V384" s="127">
        <f t="shared" si="105"/>
        <v>7184</v>
      </c>
      <c r="W384" s="19">
        <f t="shared" si="106"/>
        <v>0</v>
      </c>
      <c r="X384" s="19">
        <f t="shared" si="107"/>
        <v>0</v>
      </c>
      <c r="Y384" s="128">
        <f>IFERROR(VLOOKUP(D384,'Monthly Deduction'!$M$2:$N$64,2,0),0)</f>
        <v>0</v>
      </c>
      <c r="Z384" s="128">
        <v>0</v>
      </c>
      <c r="AA384" s="126">
        <f>IFERROR(VLOOKUP(D384,'Monthly Deduction'!A:B,2,0),0)</f>
        <v>0</v>
      </c>
      <c r="AB384" s="129">
        <f t="shared" si="96"/>
        <v>7184</v>
      </c>
      <c r="AC384" s="130">
        <v>0</v>
      </c>
      <c r="AD384" s="35">
        <f t="shared" si="108"/>
        <v>7184</v>
      </c>
      <c r="AE384" s="166" t="str">
        <f t="shared" si="109"/>
        <v>Release</v>
      </c>
      <c r="AF384" s="127"/>
      <c r="AG384" s="18">
        <v>0</v>
      </c>
      <c r="AH384" s="120"/>
      <c r="AI384" s="238">
        <v>0</v>
      </c>
      <c r="AJ384" s="132"/>
      <c r="AK384" s="151">
        <v>2752.2000000000003</v>
      </c>
      <c r="AL384" s="154">
        <f t="shared" si="97"/>
        <v>0</v>
      </c>
      <c r="AM384" s="155"/>
      <c r="AN384" s="19">
        <f t="shared" si="98"/>
        <v>0</v>
      </c>
      <c r="AO384" s="118">
        <f>SUMIF('MPG Payment '!E:E,'Shayak Income '!D384,'MPG Payment '!AJ:AJ)</f>
        <v>0</v>
      </c>
      <c r="AP384" s="19">
        <f t="shared" si="99"/>
        <v>0</v>
      </c>
      <c r="AQ384" s="119">
        <f t="shared" si="110"/>
        <v>0</v>
      </c>
      <c r="AR384" s="91" t="s">
        <v>1168</v>
      </c>
      <c r="AS384" s="91">
        <f t="shared" si="100"/>
        <v>0</v>
      </c>
      <c r="AT384" s="118"/>
      <c r="AU384" s="118"/>
      <c r="AV384" s="118"/>
    </row>
    <row r="385" spans="1:48" s="20" customFormat="1" x14ac:dyDescent="0.25">
      <c r="A385" s="17">
        <f>IFERROR(VLOOKUP(D385,'Monthly Deduction'!$I$3:$J$957,2,0),0)</f>
        <v>46384.03284127354</v>
      </c>
      <c r="B385" s="17">
        <f>IFERROR(VLOOKUP(D385,'Monthly Deduction'!$E$3:$F$957,2,0),0)</f>
        <v>10700</v>
      </c>
      <c r="C385" s="17">
        <f t="shared" si="101"/>
        <v>57084.03284127354</v>
      </c>
      <c r="D385" s="41">
        <v>10120051</v>
      </c>
      <c r="E385" s="122" t="str">
        <f>VLOOKUP(D385,'MPG Payment '!$E$3:$G$498218,2,0)</f>
        <v>Narenpur</v>
      </c>
      <c r="F385" s="146">
        <f>IFERROR(_xlfn.XLOOKUP(D385,'Monthly Deduction'!$I$3:$I$957,'Monthly Deduction'!$H$3:$H$957),0)</f>
        <v>0</v>
      </c>
      <c r="G385" s="123" t="str">
        <f>VLOOKUP(D385,'MPG Payment '!$E$3:$G$334579,3,0)</f>
        <v>MPG</v>
      </c>
      <c r="H385" s="124" t="str">
        <f>VLOOKUP(D385,'MPG Payment '!$E$3:$H$334579,4,0)</f>
        <v>Direct</v>
      </c>
      <c r="I385" s="88">
        <f>INDEX('MPG Payment '!$C:$C,MATCH('Shayak Income '!D385,'MPG Payment '!E:E,0))</f>
        <v>1012</v>
      </c>
      <c r="J385" s="88" t="str">
        <f>INDEX('MPG Payment '!$D:$D,MATCH('Shayak Income '!D385,'MPG Payment '!E:E,0))</f>
        <v>DalsinghSarai</v>
      </c>
      <c r="K385" s="125" t="s">
        <v>1322</v>
      </c>
      <c r="L385" s="125">
        <v>45226</v>
      </c>
      <c r="M385" s="126">
        <f>SUMIF('MPG Payment '!$E$3:$E$34579,'Shayak Income '!D385,'MPG Payment '!$I$3:$I$34579)</f>
        <v>1281.67</v>
      </c>
      <c r="N385" s="126">
        <f>SUMIF('MPG Payment '!$E$3:$E$34579,'Shayak Income '!D385,'MPG Payment '!$J$3:$J$34579)</f>
        <v>52213.328646597001</v>
      </c>
      <c r="O385" s="126">
        <f t="shared" si="102"/>
        <v>961.25250000000005</v>
      </c>
      <c r="P385" s="126">
        <f t="shared" si="103"/>
        <v>1217.5865000000001</v>
      </c>
      <c r="Q385" s="126">
        <f>SUMIF('MPG Payment '!$E$3:$E$34579,'Shayak Income '!D385,'MPG Payment '!$S$3:$S$34579)</f>
        <v>0</v>
      </c>
      <c r="R385" s="126">
        <f t="shared" si="94"/>
        <v>1566.3998593979099</v>
      </c>
      <c r="S385" s="126">
        <f t="shared" si="95"/>
        <v>348.81335939790984</v>
      </c>
      <c r="T385" s="126">
        <f t="shared" si="104"/>
        <v>128.167</v>
      </c>
      <c r="U385" s="127">
        <f>(((IF(K385="New",0,SUMIF('MPG Payment '!$E$3:$E$34579,'Shayak Income '!D385,'MPG Payment '!$AC$3:$AC$34579))))+0)+0</f>
        <v>1236.4153124589977</v>
      </c>
      <c r="V385" s="127">
        <f t="shared" si="105"/>
        <v>814</v>
      </c>
      <c r="W385" s="19">
        <v>814</v>
      </c>
      <c r="X385" s="19">
        <v>0</v>
      </c>
      <c r="Y385" s="128">
        <f>IFERROR(VLOOKUP(D385,'Monthly Deduction'!$M$2:$N$64,2,0),0)</f>
        <v>0</v>
      </c>
      <c r="Z385" s="128">
        <v>0</v>
      </c>
      <c r="AA385" s="126">
        <v>0</v>
      </c>
      <c r="AB385" s="129">
        <f t="shared" si="96"/>
        <v>0</v>
      </c>
      <c r="AC385" s="130">
        <v>0</v>
      </c>
      <c r="AD385" s="35">
        <f t="shared" si="108"/>
        <v>0</v>
      </c>
      <c r="AE385" s="166" t="str">
        <f t="shared" si="109"/>
        <v>Release</v>
      </c>
      <c r="AF385" s="127"/>
      <c r="AG385" s="18">
        <v>0</v>
      </c>
      <c r="AH385" s="132"/>
      <c r="AI385" s="238">
        <v>0</v>
      </c>
      <c r="AJ385" s="132"/>
      <c r="AK385" s="151">
        <v>212.27</v>
      </c>
      <c r="AL385" s="154">
        <f t="shared" si="97"/>
        <v>0</v>
      </c>
      <c r="AM385" s="155"/>
      <c r="AN385" s="19">
        <f t="shared" si="98"/>
        <v>1861</v>
      </c>
      <c r="AO385" s="118">
        <f>SUMIF('MPG Payment '!E:E,'Shayak Income '!D385,'MPG Payment '!AJ:AJ)</f>
        <v>0</v>
      </c>
      <c r="AP385" s="19">
        <f t="shared" si="99"/>
        <v>814</v>
      </c>
      <c r="AQ385" s="119">
        <f t="shared" si="110"/>
        <v>814</v>
      </c>
      <c r="AR385" s="91" t="s">
        <v>1168</v>
      </c>
      <c r="AS385" s="91">
        <f t="shared" si="100"/>
        <v>10700</v>
      </c>
      <c r="AT385" s="118"/>
      <c r="AU385" s="118"/>
      <c r="AV385" s="118"/>
    </row>
    <row r="386" spans="1:48" s="20" customFormat="1" x14ac:dyDescent="0.25">
      <c r="A386" s="17">
        <f>IFERROR(VLOOKUP(D386,'Monthly Deduction'!$I$3:$J$957,2,0),0)</f>
        <v>0</v>
      </c>
      <c r="B386" s="17">
        <f>IFERROR(VLOOKUP(D386,'Monthly Deduction'!$E$3:$F$957,2,0),0)</f>
        <v>0</v>
      </c>
      <c r="C386" s="17">
        <f t="shared" si="101"/>
        <v>0</v>
      </c>
      <c r="D386" s="41">
        <v>10120052</v>
      </c>
      <c r="E386" s="122" t="str">
        <f>VLOOKUP(D386,'MPG Payment '!$E$3:$G$498218,2,0)</f>
        <v>Mordiba</v>
      </c>
      <c r="F386" s="146">
        <f>IFERROR(_xlfn.XLOOKUP(D386,'Monthly Deduction'!$I$3:$I$957,'Monthly Deduction'!$H$3:$H$957),0)</f>
        <v>0</v>
      </c>
      <c r="G386" s="123" t="str">
        <f>VLOOKUP(D386,'MPG Payment '!$E$3:$G$334579,3,0)</f>
        <v>MPG</v>
      </c>
      <c r="H386" s="124" t="str">
        <f>VLOOKUP(D386,'MPG Payment '!$E$3:$H$334579,4,0)</f>
        <v>Direct</v>
      </c>
      <c r="I386" s="88">
        <f>INDEX('MPG Payment '!$C:$C,MATCH('Shayak Income '!D386,'MPG Payment '!E:E,0))</f>
        <v>1012</v>
      </c>
      <c r="J386" s="88" t="str">
        <f>INDEX('MPG Payment '!$D:$D,MATCH('Shayak Income '!D386,'MPG Payment '!E:E,0))</f>
        <v>DalsinghSarai</v>
      </c>
      <c r="K386" s="125" t="s">
        <v>1322</v>
      </c>
      <c r="L386" s="125">
        <v>45240</v>
      </c>
      <c r="M386" s="126">
        <f>SUMIF('MPG Payment '!$E$3:$E$34579,'Shayak Income '!D386,'MPG Payment '!$I$3:$I$34579)</f>
        <v>6651.13</v>
      </c>
      <c r="N386" s="126">
        <f>SUMIF('MPG Payment '!$E$3:$E$34579,'Shayak Income '!D386,'MPG Payment '!$J$3:$J$34579)</f>
        <v>262381.11907976004</v>
      </c>
      <c r="O386" s="126">
        <f t="shared" si="102"/>
        <v>4988.3474999999999</v>
      </c>
      <c r="P386" s="126">
        <f t="shared" si="103"/>
        <v>6318.5734999999995</v>
      </c>
      <c r="Q386" s="126">
        <f>SUMIF('MPG Payment '!$E$3:$E$34579,'Shayak Income '!D386,'MPG Payment '!$S$3:$S$34579)</f>
        <v>490.88900358111999</v>
      </c>
      <c r="R386" s="126">
        <f t="shared" si="94"/>
        <v>7871.4335723928007</v>
      </c>
      <c r="S386" s="126">
        <f t="shared" si="95"/>
        <v>1552.8600723928012</v>
      </c>
      <c r="T386" s="126">
        <f t="shared" si="104"/>
        <v>665.11300000000006</v>
      </c>
      <c r="U386" s="127">
        <f>(((IF(K386="New",0,SUMIF('MPG Payment '!$E$3:$E$34579,'Shayak Income '!D386,'MPG Payment '!$AC$3:$AC$34579))))+0)+0</f>
        <v>0</v>
      </c>
      <c r="V386" s="127">
        <f t="shared" si="105"/>
        <v>11133</v>
      </c>
      <c r="W386" s="19">
        <f t="shared" si="106"/>
        <v>0</v>
      </c>
      <c r="X386" s="19">
        <f t="shared" si="107"/>
        <v>0</v>
      </c>
      <c r="Y386" s="128">
        <f>IFERROR(VLOOKUP(D386,'Monthly Deduction'!$M$2:$N$64,2,0),0)</f>
        <v>0</v>
      </c>
      <c r="Z386" s="128">
        <v>0</v>
      </c>
      <c r="AA386" s="126">
        <f>IFERROR(VLOOKUP(D386,'Monthly Deduction'!A:B,2,0),0)</f>
        <v>0</v>
      </c>
      <c r="AB386" s="129">
        <f t="shared" si="96"/>
        <v>11133</v>
      </c>
      <c r="AC386" s="130">
        <v>0</v>
      </c>
      <c r="AD386" s="35">
        <f t="shared" si="108"/>
        <v>11133</v>
      </c>
      <c r="AE386" s="166" t="str">
        <f t="shared" si="109"/>
        <v>Release</v>
      </c>
      <c r="AF386" s="127"/>
      <c r="AG386" s="18">
        <v>0</v>
      </c>
      <c r="AH386" s="120"/>
      <c r="AI386" s="238">
        <v>0</v>
      </c>
      <c r="AJ386" s="132"/>
      <c r="AK386" s="151">
        <v>2020.0799999999997</v>
      </c>
      <c r="AL386" s="154">
        <f t="shared" si="97"/>
        <v>0</v>
      </c>
      <c r="AM386" s="155"/>
      <c r="AN386" s="19">
        <f t="shared" si="98"/>
        <v>0</v>
      </c>
      <c r="AO386" s="118">
        <f>SUMIF('MPG Payment '!E:E,'Shayak Income '!D386,'MPG Payment '!AJ:AJ)</f>
        <v>0</v>
      </c>
      <c r="AP386" s="19">
        <f t="shared" si="99"/>
        <v>0</v>
      </c>
      <c r="AQ386" s="119">
        <f t="shared" si="110"/>
        <v>0</v>
      </c>
      <c r="AR386" s="91" t="s">
        <v>1168</v>
      </c>
      <c r="AS386" s="91">
        <f t="shared" si="100"/>
        <v>0</v>
      </c>
      <c r="AT386" s="118"/>
      <c r="AU386" s="118"/>
      <c r="AV386" s="118"/>
    </row>
    <row r="387" spans="1:48" s="20" customFormat="1" x14ac:dyDescent="0.25">
      <c r="A387" s="17">
        <f>IFERROR(VLOOKUP(D387,'Monthly Deduction'!$I$3:$J$957,2,0),0)</f>
        <v>51844.627188145634</v>
      </c>
      <c r="B387" s="17">
        <f>IFERROR(VLOOKUP(D387,'Monthly Deduction'!$E$3:$F$957,2,0),0)</f>
        <v>9600</v>
      </c>
      <c r="C387" s="17">
        <f t="shared" si="101"/>
        <v>61444.627188145634</v>
      </c>
      <c r="D387" s="41">
        <v>10120053</v>
      </c>
      <c r="E387" s="122" t="str">
        <f>VLOOKUP(D387,'MPG Payment '!$E$3:$G$498218,2,0)</f>
        <v>Jagdispur</v>
      </c>
      <c r="F387" s="146">
        <f>IFERROR(_xlfn.XLOOKUP(D387,'Monthly Deduction'!$I$3:$I$957,'Monthly Deduction'!$H$3:$H$957),0)</f>
        <v>0</v>
      </c>
      <c r="G387" s="123" t="str">
        <f>VLOOKUP(D387,'MPG Payment '!$E$3:$G$334579,3,0)</f>
        <v>MPG</v>
      </c>
      <c r="H387" s="124" t="str">
        <f>VLOOKUP(D387,'MPG Payment '!$E$3:$H$334579,4,0)</f>
        <v>Direct</v>
      </c>
      <c r="I387" s="88">
        <f>INDEX('MPG Payment '!$C:$C,MATCH('Shayak Income '!D387,'MPG Payment '!E:E,0))</f>
        <v>1012</v>
      </c>
      <c r="J387" s="88" t="str">
        <f>INDEX('MPG Payment '!$D:$D,MATCH('Shayak Income '!D387,'MPG Payment '!E:E,0))</f>
        <v>DalsinghSarai</v>
      </c>
      <c r="K387" s="125" t="s">
        <v>1322</v>
      </c>
      <c r="L387" s="125">
        <v>45226</v>
      </c>
      <c r="M387" s="126">
        <f>SUMIF('MPG Payment '!$E$3:$E$34579,'Shayak Income '!D387,'MPG Payment '!$I$3:$I$34579)</f>
        <v>964.05</v>
      </c>
      <c r="N387" s="126">
        <f>SUMIF('MPG Payment '!$E$3:$E$34579,'Shayak Income '!D387,'MPG Payment '!$J$3:$J$34579)</f>
        <v>36522.939481872003</v>
      </c>
      <c r="O387" s="126">
        <f t="shared" si="102"/>
        <v>723.03749999999991</v>
      </c>
      <c r="P387" s="126">
        <f t="shared" si="103"/>
        <v>915.84749999999997</v>
      </c>
      <c r="Q387" s="126">
        <f>SUMIF('MPG Payment '!$E$3:$E$34579,'Shayak Income '!D387,'MPG Payment '!$S$3:$S$34579)</f>
        <v>0</v>
      </c>
      <c r="R387" s="126">
        <f t="shared" si="94"/>
        <v>1095.6881844561601</v>
      </c>
      <c r="S387" s="126">
        <f t="shared" si="95"/>
        <v>179.84068445616015</v>
      </c>
      <c r="T387" s="126">
        <f t="shared" si="104"/>
        <v>96.405000000000001</v>
      </c>
      <c r="U387" s="127">
        <f>(((IF(K387="New",0,SUMIF('MPG Payment '!$E$3:$E$34579,'Shayak Income '!D387,'MPG Payment '!$AC$3:$AC$34579))))+0)+0</f>
        <v>1392.8390437045543</v>
      </c>
      <c r="V387" s="127">
        <f t="shared" si="105"/>
        <v>150</v>
      </c>
      <c r="W387" s="19">
        <v>150</v>
      </c>
      <c r="X387" s="19">
        <v>0</v>
      </c>
      <c r="Y387" s="128">
        <f>IFERROR(VLOOKUP(D387,'Monthly Deduction'!$M$2:$N$64,2,0),0)</f>
        <v>0</v>
      </c>
      <c r="Z387" s="128">
        <v>0</v>
      </c>
      <c r="AA387" s="126">
        <v>0</v>
      </c>
      <c r="AB387" s="129">
        <f t="shared" si="96"/>
        <v>0</v>
      </c>
      <c r="AC387" s="130">
        <v>0</v>
      </c>
      <c r="AD387" s="35">
        <f t="shared" si="108"/>
        <v>0</v>
      </c>
      <c r="AE387" s="166" t="str">
        <f t="shared" si="109"/>
        <v>Release</v>
      </c>
      <c r="AF387" s="127"/>
      <c r="AG387" s="127">
        <v>0</v>
      </c>
      <c r="AH387" s="120"/>
      <c r="AI387" s="238">
        <v>0</v>
      </c>
      <c r="AJ387" s="132"/>
      <c r="AK387" s="151">
        <v>291.07</v>
      </c>
      <c r="AL387" s="154">
        <f t="shared" si="97"/>
        <v>0</v>
      </c>
      <c r="AM387" s="155"/>
      <c r="AN387" s="19">
        <f t="shared" si="98"/>
        <v>1861</v>
      </c>
      <c r="AO387" s="118">
        <f>SUMIF('MPG Payment '!E:E,'Shayak Income '!D387,'MPG Payment '!AJ:AJ)</f>
        <v>0</v>
      </c>
      <c r="AP387" s="19">
        <f t="shared" si="99"/>
        <v>150</v>
      </c>
      <c r="AQ387" s="119">
        <f t="shared" si="110"/>
        <v>150</v>
      </c>
      <c r="AR387" s="91" t="s">
        <v>1168</v>
      </c>
      <c r="AS387" s="91">
        <f t="shared" si="100"/>
        <v>9600</v>
      </c>
      <c r="AT387" s="118"/>
      <c r="AU387" s="118"/>
      <c r="AV387" s="118"/>
    </row>
    <row r="388" spans="1:48" s="20" customFormat="1" x14ac:dyDescent="0.25">
      <c r="A388" s="17">
        <f>IFERROR(VLOOKUP(D388,'Monthly Deduction'!$I$3:$J$957,2,0),0)</f>
        <v>0</v>
      </c>
      <c r="B388" s="17">
        <f>IFERROR(VLOOKUP(D388,'Monthly Deduction'!$E$3:$F$957,2,0),0)</f>
        <v>0</v>
      </c>
      <c r="C388" s="17">
        <f t="shared" si="101"/>
        <v>0</v>
      </c>
      <c r="D388" s="41">
        <v>10120060</v>
      </c>
      <c r="E388" s="122" t="str">
        <f>VLOOKUP(D388,'MPG Payment '!$E$3:$G$498218,2,0)</f>
        <v>Chaklal Sahi_Vikrant</v>
      </c>
      <c r="F388" s="146">
        <f>IFERROR(_xlfn.XLOOKUP(D388,'Monthly Deduction'!$I$3:$I$957,'Monthly Deduction'!$H$3:$H$957),0)</f>
        <v>0</v>
      </c>
      <c r="G388" s="123" t="str">
        <f>VLOOKUP(D388,'MPG Payment '!$E$3:$G$334579,3,0)</f>
        <v>vlc</v>
      </c>
      <c r="H388" s="124" t="str">
        <f>VLOOKUP(D388,'MPG Payment '!$E$3:$H$334579,4,0)</f>
        <v>Indirect</v>
      </c>
      <c r="I388" s="88">
        <f>INDEX('MPG Payment '!$C:$C,MATCH('Shayak Income '!D388,'MPG Payment '!E:E,0))</f>
        <v>1012</v>
      </c>
      <c r="J388" s="88" t="str">
        <f>INDEX('MPG Payment '!$D:$D,MATCH('Shayak Income '!D388,'MPG Payment '!E:E,0))</f>
        <v>DalsinghSarai</v>
      </c>
      <c r="K388" s="125" t="s">
        <v>1322</v>
      </c>
      <c r="L388" s="125">
        <v>45260</v>
      </c>
      <c r="M388" s="126">
        <f>SUMIF('MPG Payment '!$E$3:$E$34579,'Shayak Income '!D388,'MPG Payment '!$I$3:$I$34579)</f>
        <v>6311.1</v>
      </c>
      <c r="N388" s="126">
        <f>SUMIF('MPG Payment '!$E$3:$E$34579,'Shayak Income '!D388,'MPG Payment '!$J$3:$J$34579)</f>
        <v>225189.41177800001</v>
      </c>
      <c r="O388" s="126">
        <f t="shared" si="102"/>
        <v>4733.3250000000007</v>
      </c>
      <c r="P388" s="126">
        <f t="shared" si="103"/>
        <v>5995.5450000000001</v>
      </c>
      <c r="Q388" s="126">
        <f>SUMIF('MPG Payment '!$E$3:$E$34579,'Shayak Income '!D388,'MPG Payment '!$S$3:$S$34579)</f>
        <v>0</v>
      </c>
      <c r="R388" s="126">
        <f t="shared" ref="R388:R451" si="112">+N388*3%</f>
        <v>6755.6823533400002</v>
      </c>
      <c r="S388" s="126">
        <f t="shared" ref="S388:S451" si="113">R388-P388</f>
        <v>760.13735334000012</v>
      </c>
      <c r="T388" s="126">
        <f t="shared" si="104"/>
        <v>631.11000000000013</v>
      </c>
      <c r="U388" s="127">
        <f>(((IF(K388="New",0,SUMIF('MPG Payment '!$E$3:$E$34579,'Shayak Income '!D388,'MPG Payment '!$AC$3:$AC$34579))))+0)+0</f>
        <v>0</v>
      </c>
      <c r="V388" s="127">
        <f t="shared" si="105"/>
        <v>10098</v>
      </c>
      <c r="W388" s="19">
        <f t="shared" si="106"/>
        <v>0</v>
      </c>
      <c r="X388" s="19">
        <f t="shared" ref="X388:X451" si="114">((MIN(IF(B388&gt;0,MAX(N388*2%),0),B388)))+0</f>
        <v>0</v>
      </c>
      <c r="Y388" s="128">
        <f>IFERROR(VLOOKUP(D388,'Monthly Deduction'!$M$2:$N$64,2,0),0)</f>
        <v>0</v>
      </c>
      <c r="Z388" s="128">
        <v>0</v>
      </c>
      <c r="AA388" s="126">
        <f>IFERROR(VLOOKUP(D388,'Monthly Deduction'!A:B,2,0),0)</f>
        <v>0</v>
      </c>
      <c r="AB388" s="129">
        <f t="shared" ref="AB388:AB451" si="115">ROUND(IFERROR(V388-SUM(W388:AA388),0),0)</f>
        <v>10098</v>
      </c>
      <c r="AC388" s="130">
        <v>0</v>
      </c>
      <c r="AD388" s="35">
        <f t="shared" si="108"/>
        <v>10098</v>
      </c>
      <c r="AE388" s="166" t="str">
        <f t="shared" si="109"/>
        <v>Release</v>
      </c>
      <c r="AF388" s="127"/>
      <c r="AG388" s="18">
        <v>0</v>
      </c>
      <c r="AH388" s="132"/>
      <c r="AI388" s="238">
        <v>0</v>
      </c>
      <c r="AJ388" s="132"/>
      <c r="AK388" s="151">
        <v>450</v>
      </c>
      <c r="AL388" s="154">
        <f t="shared" ref="AL388:AL451" si="116">COUNTIF(AK388:AK388,"=NA")</f>
        <v>0</v>
      </c>
      <c r="AM388" s="155"/>
      <c r="AN388" s="19">
        <f t="shared" ref="AN388:AN451" si="117">((MIN(IF(A388&gt;0,MAX(N388*2%,1861),0),A388)))+0</f>
        <v>0</v>
      </c>
      <c r="AO388" s="118">
        <f>SUMIF('MPG Payment '!E:E,'Shayak Income '!D388,'MPG Payment '!AJ:AJ)</f>
        <v>0</v>
      </c>
      <c r="AP388" s="19">
        <f t="shared" ref="AP388:AP451" si="118">W388</f>
        <v>0</v>
      </c>
      <c r="AQ388" s="119">
        <f t="shared" si="110"/>
        <v>0</v>
      </c>
      <c r="AR388" s="91" t="s">
        <v>1168</v>
      </c>
      <c r="AS388" s="91">
        <f t="shared" ref="AS388:AS451" si="119">B388-X388</f>
        <v>0</v>
      </c>
      <c r="AT388" s="118"/>
      <c r="AU388" s="118"/>
      <c r="AV388" s="118"/>
    </row>
    <row r="389" spans="1:48" s="20" customFormat="1" x14ac:dyDescent="0.25">
      <c r="A389" s="17">
        <f>IFERROR(VLOOKUP(D389,'Monthly Deduction'!$I$3:$J$957,2,0),0)</f>
        <v>0</v>
      </c>
      <c r="B389" s="17">
        <f>IFERROR(VLOOKUP(D389,'Monthly Deduction'!$E$3:$F$957,2,0),0)</f>
        <v>0</v>
      </c>
      <c r="C389" s="17">
        <f t="shared" ref="C389:C452" si="120">A389+B389</f>
        <v>0</v>
      </c>
      <c r="D389" s="41">
        <v>10120066</v>
      </c>
      <c r="E389" s="122" t="str">
        <f>VLOOKUP(D389,'MPG Payment '!$E$3:$G$498218,2,0)</f>
        <v>Piparpaati</v>
      </c>
      <c r="F389" s="146">
        <f>IFERROR(_xlfn.XLOOKUP(D389,'Monthly Deduction'!$I$3:$I$957,'Monthly Deduction'!$H$3:$H$957),0)</f>
        <v>0</v>
      </c>
      <c r="G389" s="123" t="str">
        <f>VLOOKUP(D389,'MPG Payment '!$E$3:$G$334579,3,0)</f>
        <v>vlc</v>
      </c>
      <c r="H389" s="124" t="str">
        <f>VLOOKUP(D389,'MPG Payment '!$E$3:$H$334579,4,0)</f>
        <v>Indirect</v>
      </c>
      <c r="I389" s="88">
        <f>INDEX('MPG Payment '!$C:$C,MATCH('Shayak Income '!D389,'MPG Payment '!E:E,0))</f>
        <v>1012</v>
      </c>
      <c r="J389" s="88" t="str">
        <f>INDEX('MPG Payment '!$D:$D,MATCH('Shayak Income '!D389,'MPG Payment '!E:E,0))</f>
        <v>DalsinghSarai</v>
      </c>
      <c r="K389" s="125" t="s">
        <v>1322</v>
      </c>
      <c r="L389" s="125">
        <v>45323</v>
      </c>
      <c r="M389" s="126">
        <f>SUMIF('MPG Payment '!$E$3:$E$34579,'Shayak Income '!D389,'MPG Payment '!$I$3:$I$34579)</f>
        <v>669.33999999999992</v>
      </c>
      <c r="N389" s="126">
        <f>SUMIF('MPG Payment '!$E$3:$E$34579,'Shayak Income '!D389,'MPG Payment '!$J$3:$J$34579)</f>
        <v>24911.144860922002</v>
      </c>
      <c r="O389" s="126">
        <f t="shared" ref="O389:O452" si="121">+M389*0.75</f>
        <v>502.00499999999994</v>
      </c>
      <c r="P389" s="126">
        <f t="shared" ref="P389:P452" si="122">+M389*0.95</f>
        <v>635.87299999999993</v>
      </c>
      <c r="Q389" s="126">
        <f>SUMIF('MPG Payment '!$E$3:$E$34579,'Shayak Income '!D389,'MPG Payment '!$S$3:$S$34579)</f>
        <v>0</v>
      </c>
      <c r="R389" s="126">
        <f t="shared" si="112"/>
        <v>747.33434582766006</v>
      </c>
      <c r="S389" s="126">
        <f t="shared" si="113"/>
        <v>111.46134582766012</v>
      </c>
      <c r="T389" s="126">
        <f t="shared" ref="T389:T452" si="123">M389*0.1</f>
        <v>66.933999999999997</v>
      </c>
      <c r="U389" s="127">
        <f>(((IF(K389="New",0,SUMIF('MPG Payment '!$E$3:$E$34579,'Shayak Income '!D389,'MPG Payment '!$AC$3:$AC$34579))))+0)+-518</f>
        <v>1071.2010360651689</v>
      </c>
      <c r="V389" s="127">
        <f t="shared" ref="V389:V452" si="124">ROUND((SUM(O389:Q389)-SUM(T389:U389)),0)</f>
        <v>0</v>
      </c>
      <c r="W389" s="19">
        <v>0</v>
      </c>
      <c r="X389" s="19">
        <v>0</v>
      </c>
      <c r="Y389" s="128">
        <v>0</v>
      </c>
      <c r="Z389" s="128">
        <v>0</v>
      </c>
      <c r="AA389" s="126">
        <v>0</v>
      </c>
      <c r="AB389" s="129">
        <f t="shared" si="115"/>
        <v>0</v>
      </c>
      <c r="AC389" s="130">
        <v>0</v>
      </c>
      <c r="AD389" s="35">
        <f t="shared" ref="AD389:AD452" si="125">ROUND(AB389-AC389,0)</f>
        <v>0</v>
      </c>
      <c r="AE389" s="166" t="str">
        <f t="shared" ref="AE389:AE452" si="126">IF(AC389&lt;&gt;0,"Yes","Release")</f>
        <v>Release</v>
      </c>
      <c r="AF389" s="127"/>
      <c r="AG389" s="18">
        <v>0</v>
      </c>
      <c r="AH389" s="132"/>
      <c r="AI389" s="238">
        <v>0</v>
      </c>
      <c r="AJ389" s="132"/>
      <c r="AK389" s="151">
        <v>150.71999999999997</v>
      </c>
      <c r="AL389" s="154">
        <f t="shared" si="116"/>
        <v>0</v>
      </c>
      <c r="AM389" s="155"/>
      <c r="AN389" s="19">
        <f t="shared" si="117"/>
        <v>0</v>
      </c>
      <c r="AO389" s="118">
        <f>SUMIF('MPG Payment '!E:E,'Shayak Income '!D389,'MPG Payment '!AJ:AJ)</f>
        <v>0</v>
      </c>
      <c r="AP389" s="19">
        <f t="shared" si="118"/>
        <v>0</v>
      </c>
      <c r="AQ389" s="119">
        <f t="shared" ref="AQ389:AQ452" si="127">AO389+AP389</f>
        <v>0</v>
      </c>
      <c r="AR389" s="91" t="s">
        <v>1168</v>
      </c>
      <c r="AS389" s="91">
        <f t="shared" si="119"/>
        <v>0</v>
      </c>
      <c r="AT389" s="118"/>
      <c r="AU389" s="118"/>
      <c r="AV389" s="118"/>
    </row>
    <row r="390" spans="1:48" s="20" customFormat="1" x14ac:dyDescent="0.25">
      <c r="A390" s="17">
        <f>IFERROR(VLOOKUP(D390,'Monthly Deduction'!$I$3:$J$957,2,0),0)</f>
        <v>43620.275498047442</v>
      </c>
      <c r="B390" s="17">
        <f>IFERROR(VLOOKUP(D390,'Monthly Deduction'!$E$3:$F$957,2,0),0)</f>
        <v>0</v>
      </c>
      <c r="C390" s="17">
        <f t="shared" si="120"/>
        <v>43620.275498047442</v>
      </c>
      <c r="D390" s="41">
        <v>10120071</v>
      </c>
      <c r="E390" s="122" t="str">
        <f>VLOOKUP(D390,'MPG Payment '!$E$3:$G$498218,2,0)</f>
        <v>Suratpur</v>
      </c>
      <c r="F390" s="146">
        <f>IFERROR(_xlfn.XLOOKUP(D390,'Monthly Deduction'!$I$3:$I$957,'Monthly Deduction'!$H$3:$H$957),0)</f>
        <v>0</v>
      </c>
      <c r="G390" s="123" t="str">
        <f>VLOOKUP(D390,'MPG Payment '!$E$3:$G$334579,3,0)</f>
        <v>MPG</v>
      </c>
      <c r="H390" s="124" t="str">
        <f>VLOOKUP(D390,'MPG Payment '!$E$3:$H$334579,4,0)</f>
        <v>Direct</v>
      </c>
      <c r="I390" s="88">
        <f>INDEX('MPG Payment '!$C:$C,MATCH('Shayak Income '!D390,'MPG Payment '!E:E,0))</f>
        <v>1012</v>
      </c>
      <c r="J390" s="88" t="str">
        <f>INDEX('MPG Payment '!$D:$D,MATCH('Shayak Income '!D390,'MPG Payment '!E:E,0))</f>
        <v>DalsinghSarai</v>
      </c>
      <c r="K390" s="125" t="s">
        <v>1322</v>
      </c>
      <c r="L390" s="125">
        <v>45413</v>
      </c>
      <c r="M390" s="126">
        <f>SUMIF('MPG Payment '!$E$3:$E$34579,'Shayak Income '!D390,'MPG Payment '!$I$3:$I$34579)</f>
        <v>1835.5600000000002</v>
      </c>
      <c r="N390" s="126">
        <f>SUMIF('MPG Payment '!$E$3:$E$34579,'Shayak Income '!D390,'MPG Payment '!$J$3:$J$34579)</f>
        <v>72973.239595635998</v>
      </c>
      <c r="O390" s="126">
        <f t="shared" si="121"/>
        <v>1376.67</v>
      </c>
      <c r="P390" s="126">
        <f t="shared" si="122"/>
        <v>1743.7820000000002</v>
      </c>
      <c r="Q390" s="126">
        <f>SUMIF('MPG Payment '!$E$3:$E$34579,'Shayak Income '!D390,'MPG Payment '!$S$3:$S$34579)</f>
        <v>44.258602033800003</v>
      </c>
      <c r="R390" s="126">
        <f t="shared" si="112"/>
        <v>2189.1971878690797</v>
      </c>
      <c r="S390" s="126">
        <f t="shared" si="113"/>
        <v>445.41518786907955</v>
      </c>
      <c r="T390" s="126">
        <f t="shared" si="123"/>
        <v>183.55600000000004</v>
      </c>
      <c r="U390" s="127">
        <f>(((IF(K390="New",0,SUMIF('MPG Payment '!$E$3:$E$34579,'Shayak Income '!D390,'MPG Payment '!$AC$3:$AC$34579))))+0)+0</f>
        <v>763.81320755534966</v>
      </c>
      <c r="V390" s="127">
        <f t="shared" si="124"/>
        <v>2217</v>
      </c>
      <c r="W390" s="19">
        <f t="shared" ref="W390:W452" si="128">(((AN390-AO390)))+0</f>
        <v>1861</v>
      </c>
      <c r="X390" s="19">
        <v>0</v>
      </c>
      <c r="Y390" s="128">
        <f>IFERROR(VLOOKUP(D390,'Monthly Deduction'!$M$2:$N$64,2,0),0)</f>
        <v>0</v>
      </c>
      <c r="Z390" s="128">
        <v>0</v>
      </c>
      <c r="AA390" s="126">
        <f>IFERROR(VLOOKUP(D390,'Monthly Deduction'!A:B,2,0),0)</f>
        <v>0</v>
      </c>
      <c r="AB390" s="129">
        <f t="shared" si="115"/>
        <v>356</v>
      </c>
      <c r="AC390" s="130">
        <v>0</v>
      </c>
      <c r="AD390" s="35">
        <f t="shared" si="125"/>
        <v>356</v>
      </c>
      <c r="AE390" s="166" t="str">
        <f t="shared" si="126"/>
        <v>Release</v>
      </c>
      <c r="AF390" s="127"/>
      <c r="AG390" s="18">
        <v>0</v>
      </c>
      <c r="AH390" s="120"/>
      <c r="AI390" s="238">
        <v>0</v>
      </c>
      <c r="AJ390" s="132"/>
      <c r="AK390" s="151">
        <v>1048.49</v>
      </c>
      <c r="AL390" s="154">
        <f t="shared" si="116"/>
        <v>0</v>
      </c>
      <c r="AM390" s="155"/>
      <c r="AN390" s="19">
        <f t="shared" si="117"/>
        <v>1861</v>
      </c>
      <c r="AO390" s="118">
        <f>SUMIF('MPG Payment '!E:E,'Shayak Income '!D390,'MPG Payment '!AJ:AJ)</f>
        <v>0</v>
      </c>
      <c r="AP390" s="19">
        <f t="shared" si="118"/>
        <v>1861</v>
      </c>
      <c r="AQ390" s="119">
        <f t="shared" si="127"/>
        <v>1861</v>
      </c>
      <c r="AR390" s="91" t="s">
        <v>1168</v>
      </c>
      <c r="AS390" s="91">
        <f t="shared" si="119"/>
        <v>0</v>
      </c>
      <c r="AT390" s="118"/>
      <c r="AU390" s="118"/>
      <c r="AV390" s="118"/>
    </row>
    <row r="391" spans="1:48" s="20" customFormat="1" x14ac:dyDescent="0.25">
      <c r="A391" s="17">
        <f>IFERROR(VLOOKUP(D391,'Monthly Deduction'!$I$3:$J$957,2,0),0)</f>
        <v>49537.850566233596</v>
      </c>
      <c r="B391" s="17">
        <f>IFERROR(VLOOKUP(D391,'Monthly Deduction'!$E$3:$F$957,2,0),0)</f>
        <v>18150</v>
      </c>
      <c r="C391" s="17">
        <f t="shared" si="120"/>
        <v>67687.850566233596</v>
      </c>
      <c r="D391" s="41">
        <v>10120080</v>
      </c>
      <c r="E391" s="122" t="str">
        <f>VLOOKUP(D391,'MPG Payment '!$E$3:$G$498218,2,0)</f>
        <v>Manika Tol</v>
      </c>
      <c r="F391" s="146">
        <f>IFERROR(_xlfn.XLOOKUP(D391,'Monthly Deduction'!$I$3:$I$957,'Monthly Deduction'!$H$3:$H$957),0)</f>
        <v>0</v>
      </c>
      <c r="G391" s="123" t="str">
        <f>VLOOKUP(D391,'MPG Payment '!$E$3:$G$334579,3,0)</f>
        <v>MPG</v>
      </c>
      <c r="H391" s="124" t="str">
        <f>VLOOKUP(D391,'MPG Payment '!$E$3:$H$334579,4,0)</f>
        <v>Direct</v>
      </c>
      <c r="I391" s="88">
        <f>INDEX('MPG Payment '!$C:$C,MATCH('Shayak Income '!D391,'MPG Payment '!E:E,0))</f>
        <v>1012</v>
      </c>
      <c r="J391" s="88" t="str">
        <f>INDEX('MPG Payment '!$D:$D,MATCH('Shayak Income '!D391,'MPG Payment '!E:E,0))</f>
        <v>DalsinghSarai</v>
      </c>
      <c r="K391" s="125" t="s">
        <v>1322</v>
      </c>
      <c r="L391" s="125">
        <v>45462</v>
      </c>
      <c r="M391" s="126">
        <f>SUMIF('MPG Payment '!$E$3:$E$34579,'Shayak Income '!D391,'MPG Payment '!$I$3:$I$34579)</f>
        <v>108.55000000000001</v>
      </c>
      <c r="N391" s="126">
        <f>SUMIF('MPG Payment '!$E$3:$E$34579,'Shayak Income '!D391,'MPG Payment '!$J$3:$J$34579)</f>
        <v>3659.13</v>
      </c>
      <c r="O391" s="126">
        <f t="shared" si="121"/>
        <v>81.412500000000009</v>
      </c>
      <c r="P391" s="126">
        <f t="shared" si="122"/>
        <v>103.1225</v>
      </c>
      <c r="Q391" s="126">
        <f>SUMIF('MPG Payment '!$E$3:$E$34579,'Shayak Income '!D391,'MPG Payment '!$S$3:$S$34579)</f>
        <v>0</v>
      </c>
      <c r="R391" s="126">
        <f t="shared" si="112"/>
        <v>109.7739</v>
      </c>
      <c r="S391" s="126">
        <f t="shared" si="113"/>
        <v>6.6513999999999953</v>
      </c>
      <c r="T391" s="126">
        <f t="shared" si="123"/>
        <v>10.855000000000002</v>
      </c>
      <c r="U391" s="127">
        <f>(((IF(K391="New",0,SUMIF('MPG Payment '!$E$3:$E$34579,'Shayak Income '!D391,'MPG Payment '!$AC$3:$AC$34579))))+0)+-710</f>
        <v>173.50537318936608</v>
      </c>
      <c r="V391" s="127">
        <f t="shared" si="124"/>
        <v>0</v>
      </c>
      <c r="W391" s="19">
        <v>0</v>
      </c>
      <c r="X391" s="19">
        <v>0</v>
      </c>
      <c r="Y391" s="128">
        <v>0</v>
      </c>
      <c r="Z391" s="128">
        <v>0</v>
      </c>
      <c r="AA391" s="126">
        <v>0</v>
      </c>
      <c r="AB391" s="129">
        <f t="shared" si="115"/>
        <v>0</v>
      </c>
      <c r="AC391" s="130">
        <f>AB391</f>
        <v>0</v>
      </c>
      <c r="AD391" s="35">
        <f t="shared" si="125"/>
        <v>0</v>
      </c>
      <c r="AE391" s="166" t="str">
        <f t="shared" si="126"/>
        <v>Release</v>
      </c>
      <c r="AF391" s="127"/>
      <c r="AG391" s="127">
        <v>0</v>
      </c>
      <c r="AH391" s="132" t="s">
        <v>1648</v>
      </c>
      <c r="AI391" s="238">
        <v>0</v>
      </c>
      <c r="AJ391" s="132"/>
      <c r="AK391" s="151">
        <v>0</v>
      </c>
      <c r="AL391" s="154">
        <f t="shared" si="116"/>
        <v>0</v>
      </c>
      <c r="AM391" s="155"/>
      <c r="AN391" s="19">
        <f t="shared" si="117"/>
        <v>1861</v>
      </c>
      <c r="AO391" s="118">
        <f>SUMIF('MPG Payment '!E:E,'Shayak Income '!D391,'MPG Payment '!AJ:AJ)</f>
        <v>0</v>
      </c>
      <c r="AP391" s="19">
        <f t="shared" si="118"/>
        <v>0</v>
      </c>
      <c r="AQ391" s="119">
        <f t="shared" si="127"/>
        <v>0</v>
      </c>
      <c r="AR391" s="91" t="s">
        <v>1168</v>
      </c>
      <c r="AS391" s="91">
        <f t="shared" si="119"/>
        <v>18150</v>
      </c>
      <c r="AT391" s="118"/>
      <c r="AU391" s="118"/>
      <c r="AV391" s="118"/>
    </row>
    <row r="392" spans="1:48" s="20" customFormat="1" x14ac:dyDescent="0.25">
      <c r="A392" s="17">
        <f>IFERROR(VLOOKUP(D392,'Monthly Deduction'!$I$3:$J$957,2,0),0)</f>
        <v>13462.324638938386</v>
      </c>
      <c r="B392" s="17">
        <f>IFERROR(VLOOKUP(D392,'Monthly Deduction'!$E$3:$F$957,2,0),0)</f>
        <v>12800</v>
      </c>
      <c r="C392" s="17">
        <f t="shared" si="120"/>
        <v>26262.324638938386</v>
      </c>
      <c r="D392" s="41">
        <v>10120083</v>
      </c>
      <c r="E392" s="122" t="str">
        <f>VLOOKUP(D392,'MPG Payment '!$E$3:$G$498218,2,0)</f>
        <v>Beri</v>
      </c>
      <c r="F392" s="146">
        <f>IFERROR(_xlfn.XLOOKUP(D392,'Monthly Deduction'!$I$3:$I$957,'Monthly Deduction'!$H$3:$H$957),0)</f>
        <v>0</v>
      </c>
      <c r="G392" s="123" t="str">
        <f>VLOOKUP(D392,'MPG Payment '!$E$3:$G$334579,3,0)</f>
        <v>MPG</v>
      </c>
      <c r="H392" s="124" t="str">
        <f>VLOOKUP(D392,'MPG Payment '!$E$3:$H$334579,4,0)</f>
        <v>Direct</v>
      </c>
      <c r="I392" s="88">
        <f>INDEX('MPG Payment '!$C:$C,MATCH('Shayak Income '!D392,'MPG Payment '!E:E,0))</f>
        <v>1012</v>
      </c>
      <c r="J392" s="88" t="str">
        <f>INDEX('MPG Payment '!$D:$D,MATCH('Shayak Income '!D392,'MPG Payment '!E:E,0))</f>
        <v>DalsinghSarai</v>
      </c>
      <c r="K392" s="125" t="s">
        <v>1322</v>
      </c>
      <c r="L392" s="125">
        <v>45530</v>
      </c>
      <c r="M392" s="126">
        <f>SUMIF('MPG Payment '!$E$3:$E$34579,'Shayak Income '!D392,'MPG Payment '!$I$3:$I$34579)</f>
        <v>1680.3200000000002</v>
      </c>
      <c r="N392" s="126">
        <f>SUMIF('MPG Payment '!$E$3:$E$34579,'Shayak Income '!D392,'MPG Payment '!$J$3:$J$34579)</f>
        <v>64366.699144343002</v>
      </c>
      <c r="O392" s="126">
        <f t="shared" si="121"/>
        <v>1260.2400000000002</v>
      </c>
      <c r="P392" s="126">
        <f t="shared" si="122"/>
        <v>1596.3040000000001</v>
      </c>
      <c r="Q392" s="126">
        <f>SUMIF('MPG Payment '!$E$3:$E$34579,'Shayak Income '!D392,'MPG Payment '!$S$3:$S$34579)</f>
        <v>0</v>
      </c>
      <c r="R392" s="126">
        <f t="shared" si="112"/>
        <v>1931.0009743302899</v>
      </c>
      <c r="S392" s="126">
        <f t="shared" si="113"/>
        <v>334.69697433028978</v>
      </c>
      <c r="T392" s="126">
        <f t="shared" si="123"/>
        <v>168.03200000000004</v>
      </c>
      <c r="U392" s="127">
        <f>(((IF(K392="New",0,SUMIF('MPG Payment '!$E$3:$E$34579,'Shayak Income '!D392,'MPG Payment '!$AC$3:$AC$34579))))+0)+0</f>
        <v>845.43349109217047</v>
      </c>
      <c r="V392" s="127">
        <f t="shared" si="124"/>
        <v>1843</v>
      </c>
      <c r="W392" s="19">
        <v>1843</v>
      </c>
      <c r="X392" s="19">
        <v>0</v>
      </c>
      <c r="Y392" s="128">
        <v>0</v>
      </c>
      <c r="Z392" s="128">
        <v>0</v>
      </c>
      <c r="AA392" s="126">
        <v>0</v>
      </c>
      <c r="AB392" s="129">
        <f t="shared" si="115"/>
        <v>0</v>
      </c>
      <c r="AC392" s="130">
        <v>0</v>
      </c>
      <c r="AD392" s="35">
        <f t="shared" si="125"/>
        <v>0</v>
      </c>
      <c r="AE392" s="166" t="str">
        <f t="shared" si="126"/>
        <v>Release</v>
      </c>
      <c r="AF392" s="127"/>
      <c r="AG392" s="127">
        <v>0</v>
      </c>
      <c r="AH392" s="120"/>
      <c r="AI392" s="238">
        <v>0</v>
      </c>
      <c r="AJ392" s="132"/>
      <c r="AK392" s="151">
        <v>429.33000000000004</v>
      </c>
      <c r="AL392" s="154">
        <f t="shared" si="116"/>
        <v>0</v>
      </c>
      <c r="AM392" s="155"/>
      <c r="AN392" s="19">
        <f t="shared" si="117"/>
        <v>1861</v>
      </c>
      <c r="AO392" s="118">
        <f>SUMIF('MPG Payment '!E:E,'Shayak Income '!D392,'MPG Payment '!AJ:AJ)</f>
        <v>0</v>
      </c>
      <c r="AP392" s="19">
        <f t="shared" si="118"/>
        <v>1843</v>
      </c>
      <c r="AQ392" s="119">
        <f t="shared" si="127"/>
        <v>1843</v>
      </c>
      <c r="AR392" s="91" t="s">
        <v>1168</v>
      </c>
      <c r="AS392" s="91">
        <f t="shared" si="119"/>
        <v>12800</v>
      </c>
      <c r="AT392" s="118"/>
      <c r="AU392" s="118"/>
      <c r="AV392" s="118"/>
    </row>
    <row r="393" spans="1:48" s="20" customFormat="1" x14ac:dyDescent="0.25">
      <c r="A393" s="17">
        <f>IFERROR(VLOOKUP(D393,'Monthly Deduction'!$I$3:$J$957,2,0),0)</f>
        <v>0</v>
      </c>
      <c r="B393" s="17">
        <f>IFERROR(VLOOKUP(D393,'Monthly Deduction'!$E$3:$F$957,2,0),0)</f>
        <v>14950</v>
      </c>
      <c r="C393" s="17">
        <f t="shared" si="120"/>
        <v>14950</v>
      </c>
      <c r="D393" s="41">
        <v>10120084</v>
      </c>
      <c r="E393" s="122" t="str">
        <f>VLOOKUP(D393,'MPG Payment '!$E$3:$G$498218,2,0)</f>
        <v>Mahmmadipur</v>
      </c>
      <c r="F393" s="146">
        <f>IFERROR(_xlfn.XLOOKUP(D393,'Monthly Deduction'!$I$3:$I$957,'Monthly Deduction'!$H$3:$H$957),0)</f>
        <v>0</v>
      </c>
      <c r="G393" s="123" t="str">
        <f>VLOOKUP(D393,'MPG Payment '!$E$3:$G$334579,3,0)</f>
        <v>MPG</v>
      </c>
      <c r="H393" s="124" t="str">
        <f>VLOOKUP(D393,'MPG Payment '!$E$3:$H$334579,4,0)</f>
        <v>Direct</v>
      </c>
      <c r="I393" s="88">
        <f>INDEX('MPG Payment '!$C:$C,MATCH('Shayak Income '!D393,'MPG Payment '!E:E,0))</f>
        <v>1012</v>
      </c>
      <c r="J393" s="88" t="str">
        <f>INDEX('MPG Payment '!$D:$D,MATCH('Shayak Income '!D393,'MPG Payment '!E:E,0))</f>
        <v>DalsinghSarai</v>
      </c>
      <c r="K393" s="125" t="s">
        <v>1322</v>
      </c>
      <c r="L393" s="125">
        <v>45536</v>
      </c>
      <c r="M393" s="126">
        <f>SUMIF('MPG Payment '!$E$3:$E$34579,'Shayak Income '!D393,'MPG Payment '!$I$3:$I$34579)</f>
        <v>6228.58</v>
      </c>
      <c r="N393" s="126">
        <f>SUMIF('MPG Payment '!$E$3:$E$34579,'Shayak Income '!D393,'MPG Payment '!$J$3:$J$34579)</f>
        <v>308471.21573624673</v>
      </c>
      <c r="O393" s="126">
        <f t="shared" si="121"/>
        <v>4671.4349999999995</v>
      </c>
      <c r="P393" s="126">
        <f t="shared" si="122"/>
        <v>5917.1509999999998</v>
      </c>
      <c r="Q393" s="126">
        <f>SUMIF('MPG Payment '!$E$3:$E$34579,'Shayak Income '!D393,'MPG Payment '!$S$3:$S$34579)</f>
        <v>41.607232304</v>
      </c>
      <c r="R393" s="126">
        <f t="shared" si="112"/>
        <v>9254.1364720874008</v>
      </c>
      <c r="S393" s="126">
        <f t="shared" si="113"/>
        <v>3336.9854720874009</v>
      </c>
      <c r="T393" s="126">
        <f t="shared" si="123"/>
        <v>622.85800000000006</v>
      </c>
      <c r="U393" s="127">
        <f>(((IF(K393="New",0,SUMIF('MPG Payment '!$E$3:$E$34579,'Shayak Income '!D393,'MPG Payment '!$AC$3:$AC$34579))))+0)+0</f>
        <v>0</v>
      </c>
      <c r="V393" s="127">
        <f t="shared" si="124"/>
        <v>10007</v>
      </c>
      <c r="W393" s="19">
        <f t="shared" si="128"/>
        <v>0</v>
      </c>
      <c r="X393" s="19">
        <f t="shared" si="114"/>
        <v>6169.4243147249344</v>
      </c>
      <c r="Y393" s="128">
        <f>IFERROR(VLOOKUP(D393,'Monthly Deduction'!$M$2:$N$64,2,0),0)</f>
        <v>0</v>
      </c>
      <c r="Z393" s="128">
        <v>0</v>
      </c>
      <c r="AA393" s="126">
        <f>IFERROR(VLOOKUP(D393,'Monthly Deduction'!A:B,2,0),0)</f>
        <v>0</v>
      </c>
      <c r="AB393" s="129">
        <f t="shared" si="115"/>
        <v>3838</v>
      </c>
      <c r="AC393" s="130">
        <v>0</v>
      </c>
      <c r="AD393" s="35">
        <f t="shared" si="125"/>
        <v>3838</v>
      </c>
      <c r="AE393" s="166" t="str">
        <f t="shared" si="126"/>
        <v>Release</v>
      </c>
      <c r="AF393" s="127"/>
      <c r="AG393" s="18">
        <v>0</v>
      </c>
      <c r="AH393" s="120"/>
      <c r="AI393" s="238">
        <v>0</v>
      </c>
      <c r="AJ393" s="132"/>
      <c r="AK393" s="151">
        <v>1876.4899999999998</v>
      </c>
      <c r="AL393" s="154">
        <f t="shared" si="116"/>
        <v>0</v>
      </c>
      <c r="AM393" s="155"/>
      <c r="AN393" s="19">
        <f t="shared" si="117"/>
        <v>0</v>
      </c>
      <c r="AO393" s="118">
        <f>SUMIF('MPG Payment '!E:E,'Shayak Income '!D393,'MPG Payment '!AJ:AJ)</f>
        <v>0</v>
      </c>
      <c r="AP393" s="19">
        <f t="shared" si="118"/>
        <v>0</v>
      </c>
      <c r="AQ393" s="119">
        <f t="shared" si="127"/>
        <v>0</v>
      </c>
      <c r="AR393" s="91"/>
      <c r="AS393" s="91">
        <f t="shared" si="119"/>
        <v>8780.5756852750656</v>
      </c>
      <c r="AT393" s="118"/>
      <c r="AU393" s="118"/>
      <c r="AV393" s="118"/>
    </row>
    <row r="394" spans="1:48" s="20" customFormat="1" x14ac:dyDescent="0.25">
      <c r="A394" s="17">
        <f>IFERROR(VLOOKUP(D394,'Monthly Deduction'!$I$3:$J$957,2,0),0)</f>
        <v>0</v>
      </c>
      <c r="B394" s="17">
        <f>IFERROR(VLOOKUP(D394,'Monthly Deduction'!$E$3:$F$957,2,0),0)</f>
        <v>0</v>
      </c>
      <c r="C394" s="17">
        <f t="shared" si="120"/>
        <v>0</v>
      </c>
      <c r="D394" s="41">
        <v>10120086</v>
      </c>
      <c r="E394" s="122" t="str">
        <f>VLOOKUP(D394,'MPG Payment '!$E$3:$G$498218,2,0)</f>
        <v>Simri-Rupesh</v>
      </c>
      <c r="F394" s="146">
        <f>IFERROR(_xlfn.XLOOKUP(D394,'Monthly Deduction'!$I$3:$I$957,'Monthly Deduction'!$H$3:$H$957),0)</f>
        <v>0</v>
      </c>
      <c r="G394" s="123" t="str">
        <f>VLOOKUP(D394,'MPG Payment '!$E$3:$G$334579,3,0)</f>
        <v>vlc</v>
      </c>
      <c r="H394" s="124" t="str">
        <f>VLOOKUP(D394,'MPG Payment '!$E$3:$H$334579,4,0)</f>
        <v>Indirect</v>
      </c>
      <c r="I394" s="88">
        <f>INDEX('MPG Payment '!$C:$C,MATCH('Shayak Income '!D394,'MPG Payment '!E:E,0))</f>
        <v>1012</v>
      </c>
      <c r="J394" s="88" t="str">
        <f>INDEX('MPG Payment '!$D:$D,MATCH('Shayak Income '!D394,'MPG Payment '!E:E,0))</f>
        <v>DalsinghSarai</v>
      </c>
      <c r="K394" s="125" t="s">
        <v>1322</v>
      </c>
      <c r="L394" s="125">
        <v>45529</v>
      </c>
      <c r="M394" s="126">
        <f>SUMIF('MPG Payment '!$E$3:$E$34579,'Shayak Income '!D394,'MPG Payment '!$I$3:$I$34579)</f>
        <v>3950.87</v>
      </c>
      <c r="N394" s="126">
        <f>SUMIF('MPG Payment '!$E$3:$E$34579,'Shayak Income '!D394,'MPG Payment '!$J$3:$J$34579)</f>
        <v>152133.23285975179</v>
      </c>
      <c r="O394" s="126">
        <f t="shared" si="121"/>
        <v>2963.1525000000001</v>
      </c>
      <c r="P394" s="126">
        <f t="shared" si="122"/>
        <v>3753.3264999999997</v>
      </c>
      <c r="Q394" s="126">
        <f>SUMIF('MPG Payment '!$E$3:$E$34579,'Shayak Income '!D394,'MPG Payment '!$S$3:$S$34579)</f>
        <v>0</v>
      </c>
      <c r="R394" s="126">
        <f t="shared" si="112"/>
        <v>4563.9969857925535</v>
      </c>
      <c r="S394" s="126">
        <f t="shared" si="113"/>
        <v>810.67048579255379</v>
      </c>
      <c r="T394" s="126">
        <f t="shared" si="123"/>
        <v>395.08699999999999</v>
      </c>
      <c r="U394" s="127">
        <f>(((IF(K394="New",0,SUMIF('MPG Payment '!$E$3:$E$34579,'Shayak Income '!D394,'MPG Payment '!$AC$3:$AC$34579))))+0)+0</f>
        <v>0</v>
      </c>
      <c r="V394" s="127">
        <f t="shared" si="124"/>
        <v>6321</v>
      </c>
      <c r="W394" s="19">
        <f t="shared" si="128"/>
        <v>0</v>
      </c>
      <c r="X394" s="19">
        <f t="shared" si="114"/>
        <v>0</v>
      </c>
      <c r="Y394" s="128">
        <f>IFERROR(VLOOKUP(D394,'Monthly Deduction'!$M$2:$N$64,2,0),0)</f>
        <v>0</v>
      </c>
      <c r="Z394" s="128">
        <v>0</v>
      </c>
      <c r="AA394" s="126">
        <f>IFERROR(VLOOKUP(D394,'Monthly Deduction'!A:B,2,0),0)</f>
        <v>0</v>
      </c>
      <c r="AB394" s="129">
        <f t="shared" si="115"/>
        <v>6321</v>
      </c>
      <c r="AC394" s="130">
        <v>0</v>
      </c>
      <c r="AD394" s="35">
        <f t="shared" si="125"/>
        <v>6321</v>
      </c>
      <c r="AE394" s="166" t="str">
        <f t="shared" si="126"/>
        <v>Release</v>
      </c>
      <c r="AF394" s="127"/>
      <c r="AG394" s="127">
        <v>0</v>
      </c>
      <c r="AH394" s="120"/>
      <c r="AI394" s="238">
        <v>0</v>
      </c>
      <c r="AJ394" s="132"/>
      <c r="AK394" s="151">
        <v>947.56</v>
      </c>
      <c r="AL394" s="154">
        <f t="shared" si="116"/>
        <v>0</v>
      </c>
      <c r="AM394" s="155"/>
      <c r="AN394" s="19">
        <f t="shared" si="117"/>
        <v>0</v>
      </c>
      <c r="AO394" s="118">
        <f>SUMIF('MPG Payment '!E:E,'Shayak Income '!D394,'MPG Payment '!AJ:AJ)</f>
        <v>0</v>
      </c>
      <c r="AP394" s="19">
        <f t="shared" si="118"/>
        <v>0</v>
      </c>
      <c r="AQ394" s="119">
        <f t="shared" si="127"/>
        <v>0</v>
      </c>
      <c r="AR394" s="91" t="s">
        <v>1168</v>
      </c>
      <c r="AS394" s="91">
        <f t="shared" si="119"/>
        <v>0</v>
      </c>
      <c r="AT394" s="118"/>
      <c r="AU394" s="118"/>
      <c r="AV394" s="118"/>
    </row>
    <row r="395" spans="1:48" s="20" customFormat="1" x14ac:dyDescent="0.25">
      <c r="A395" s="17">
        <f>IFERROR(VLOOKUP(D395,'Monthly Deduction'!$I$3:$J$957,2,0),0)</f>
        <v>67045.658397648163</v>
      </c>
      <c r="B395" s="17">
        <f>IFERROR(VLOOKUP(D395,'Monthly Deduction'!$E$3:$F$957,2,0),0)</f>
        <v>7500</v>
      </c>
      <c r="C395" s="17">
        <f t="shared" si="120"/>
        <v>74545.658397648163</v>
      </c>
      <c r="D395" s="41">
        <v>10120089</v>
      </c>
      <c r="E395" s="122" t="str">
        <f>VLOOKUP(D395,'MPG Payment '!$E$3:$G$498218,2,0)</f>
        <v>Gomukh Jhaura Tabhka</v>
      </c>
      <c r="F395" s="146">
        <f>IFERROR(_xlfn.XLOOKUP(D395,'Monthly Deduction'!$I$3:$I$957,'Monthly Deduction'!$H$3:$H$957),0)</f>
        <v>0</v>
      </c>
      <c r="G395" s="123" t="str">
        <f>VLOOKUP(D395,'MPG Payment '!$E$3:$G$334579,3,0)</f>
        <v>MPG</v>
      </c>
      <c r="H395" s="124" t="str">
        <f>VLOOKUP(D395,'MPG Payment '!$E$3:$H$334579,4,0)</f>
        <v>Direct</v>
      </c>
      <c r="I395" s="88">
        <f>INDEX('MPG Payment '!$C:$C,MATCH('Shayak Income '!D395,'MPG Payment '!E:E,0))</f>
        <v>1012</v>
      </c>
      <c r="J395" s="88" t="str">
        <f>INDEX('MPG Payment '!$D:$D,MATCH('Shayak Income '!D395,'MPG Payment '!E:E,0))</f>
        <v>DalsinghSarai</v>
      </c>
      <c r="K395" s="125" t="s">
        <v>1322</v>
      </c>
      <c r="L395" s="125">
        <v>45649</v>
      </c>
      <c r="M395" s="126">
        <f>SUMIF('MPG Payment '!$E$3:$E$34579,'Shayak Income '!D395,'MPG Payment '!$I$3:$I$34579)</f>
        <v>2817.64</v>
      </c>
      <c r="N395" s="126">
        <f>SUMIF('MPG Payment '!$E$3:$E$34579,'Shayak Income '!D395,'MPG Payment '!$J$3:$J$34579)</f>
        <v>101271.07765835969</v>
      </c>
      <c r="O395" s="126">
        <f t="shared" si="121"/>
        <v>2113.23</v>
      </c>
      <c r="P395" s="126">
        <f t="shared" si="122"/>
        <v>2676.7579999999998</v>
      </c>
      <c r="Q395" s="126">
        <f>SUMIF('MPG Payment '!$E$3:$E$34579,'Shayak Income '!D395,'MPG Payment '!$S$3:$S$34579)</f>
        <v>206.92961492400002</v>
      </c>
      <c r="R395" s="126">
        <f t="shared" si="112"/>
        <v>3038.1323297507906</v>
      </c>
      <c r="S395" s="126">
        <f t="shared" si="113"/>
        <v>361.37432975079082</v>
      </c>
      <c r="T395" s="126">
        <f t="shared" si="123"/>
        <v>281.76400000000001</v>
      </c>
      <c r="U395" s="127">
        <f>(((IF(K395="New",0,SUMIF('MPG Payment '!$E$3:$E$34579,'Shayak Income '!D395,'MPG Payment '!$AC$3:$AC$34579))))+0)+0</f>
        <v>67.956247538155765</v>
      </c>
      <c r="V395" s="127">
        <f t="shared" si="124"/>
        <v>4647</v>
      </c>
      <c r="W395" s="19">
        <f t="shared" si="128"/>
        <v>2025.4215531671939</v>
      </c>
      <c r="X395" s="19">
        <v>0</v>
      </c>
      <c r="Y395" s="128">
        <f>IFERROR(VLOOKUP(D395,'Monthly Deduction'!$M$2:$N$64,2,0),0)</f>
        <v>0</v>
      </c>
      <c r="Z395" s="128">
        <v>0</v>
      </c>
      <c r="AA395" s="126">
        <f>IFERROR(VLOOKUP(D395,'Monthly Deduction'!A:B,2,0),0)</f>
        <v>0</v>
      </c>
      <c r="AB395" s="129">
        <f t="shared" si="115"/>
        <v>2622</v>
      </c>
      <c r="AC395" s="130">
        <v>0</v>
      </c>
      <c r="AD395" s="35">
        <f t="shared" si="125"/>
        <v>2622</v>
      </c>
      <c r="AE395" s="166" t="str">
        <f t="shared" si="126"/>
        <v>Release</v>
      </c>
      <c r="AF395" s="127"/>
      <c r="AG395" s="18">
        <v>0</v>
      </c>
      <c r="AH395" s="132"/>
      <c r="AI395" s="238">
        <v>0</v>
      </c>
      <c r="AJ395" s="132"/>
      <c r="AK395" s="151">
        <v>716.97</v>
      </c>
      <c r="AL395" s="154">
        <f t="shared" si="116"/>
        <v>0</v>
      </c>
      <c r="AM395" s="155"/>
      <c r="AN395" s="19">
        <f t="shared" si="117"/>
        <v>2025.4215531671939</v>
      </c>
      <c r="AO395" s="118">
        <f>SUMIF('MPG Payment '!E:E,'Shayak Income '!D395,'MPG Payment '!AJ:AJ)</f>
        <v>0</v>
      </c>
      <c r="AP395" s="19">
        <f t="shared" si="118"/>
        <v>2025.4215531671939</v>
      </c>
      <c r="AQ395" s="119">
        <f t="shared" si="127"/>
        <v>2025.4215531671939</v>
      </c>
      <c r="AR395" s="91"/>
      <c r="AS395" s="91">
        <f t="shared" si="119"/>
        <v>7500</v>
      </c>
      <c r="AT395" s="118"/>
      <c r="AU395" s="118"/>
      <c r="AV395" s="118"/>
    </row>
    <row r="396" spans="1:48" s="20" customFormat="1" x14ac:dyDescent="0.25">
      <c r="A396" s="17">
        <f>IFERROR(VLOOKUP(D396,'Monthly Deduction'!$I$3:$J$957,2,0),0)</f>
        <v>61719.046870640646</v>
      </c>
      <c r="B396" s="17">
        <f>IFERROR(VLOOKUP(D396,'Monthly Deduction'!$E$3:$F$957,2,0),0)</f>
        <v>4300</v>
      </c>
      <c r="C396" s="17">
        <f t="shared" si="120"/>
        <v>66019.046870640654</v>
      </c>
      <c r="D396" s="41">
        <v>10120091</v>
      </c>
      <c r="E396" s="122" t="str">
        <f>VLOOKUP(D396,'MPG Payment '!$E$3:$G$498218,2,0)</f>
        <v>Gomukh Mohanpur</v>
      </c>
      <c r="F396" s="146">
        <f>IFERROR(_xlfn.XLOOKUP(D396,'Monthly Deduction'!$I$3:$I$957,'Monthly Deduction'!$H$3:$H$957),0)</f>
        <v>0</v>
      </c>
      <c r="G396" s="123" t="str">
        <f>VLOOKUP(D396,'MPG Payment '!$E$3:$G$334579,3,0)</f>
        <v>MPG</v>
      </c>
      <c r="H396" s="124" t="str">
        <f>VLOOKUP(D396,'MPG Payment '!$E$3:$H$334579,4,0)</f>
        <v>Direct</v>
      </c>
      <c r="I396" s="88">
        <f>INDEX('MPG Payment '!$C:$C,MATCH('Shayak Income '!D396,'MPG Payment '!E:E,0))</f>
        <v>1012</v>
      </c>
      <c r="J396" s="88" t="str">
        <f>INDEX('MPG Payment '!$D:$D,MATCH('Shayak Income '!D396,'MPG Payment '!E:E,0))</f>
        <v>DalsinghSarai</v>
      </c>
      <c r="K396" s="125" t="s">
        <v>1322</v>
      </c>
      <c r="L396" s="125">
        <v>45653</v>
      </c>
      <c r="M396" s="126">
        <f>SUMIF('MPG Payment '!$E$3:$E$34579,'Shayak Income '!D396,'MPG Payment '!$I$3:$I$34579)</f>
        <v>2089.0100000000002</v>
      </c>
      <c r="N396" s="126">
        <f>SUMIF('MPG Payment '!$E$3:$E$34579,'Shayak Income '!D396,'MPG Payment '!$J$3:$J$34579)</f>
        <v>80234.487682878505</v>
      </c>
      <c r="O396" s="126">
        <f t="shared" si="121"/>
        <v>1566.7575000000002</v>
      </c>
      <c r="P396" s="126">
        <f t="shared" si="122"/>
        <v>1984.5595000000001</v>
      </c>
      <c r="Q396" s="126">
        <f>SUMIF('MPG Payment '!$E$3:$E$34579,'Shayak Income '!D396,'MPG Payment '!$S$3:$S$34579)</f>
        <v>1539.6717482478002</v>
      </c>
      <c r="R396" s="126">
        <f t="shared" si="112"/>
        <v>2407.0346304863551</v>
      </c>
      <c r="S396" s="126">
        <f t="shared" si="113"/>
        <v>422.47513048635506</v>
      </c>
      <c r="T396" s="126">
        <f t="shared" si="123"/>
        <v>208.90100000000004</v>
      </c>
      <c r="U396" s="127">
        <f>(((IF(K396="New",0,SUMIF('MPG Payment '!$E$3:$E$34579,'Shayak Income '!D396,'MPG Payment '!$AC$3:$AC$34579))))+0)+0</f>
        <v>550.06289717270988</v>
      </c>
      <c r="V396" s="127">
        <f t="shared" si="124"/>
        <v>4332</v>
      </c>
      <c r="W396" s="19">
        <f t="shared" si="128"/>
        <v>1861</v>
      </c>
      <c r="X396" s="19">
        <v>0</v>
      </c>
      <c r="Y396" s="128">
        <f>IFERROR(VLOOKUP(D396,'Monthly Deduction'!$M$2:$N$64,2,0),0)</f>
        <v>0</v>
      </c>
      <c r="Z396" s="128">
        <v>0</v>
      </c>
      <c r="AA396" s="126">
        <f>IFERROR(VLOOKUP(D396,'Monthly Deduction'!A:B,2,0),0)</f>
        <v>0</v>
      </c>
      <c r="AB396" s="129">
        <f t="shared" si="115"/>
        <v>2471</v>
      </c>
      <c r="AC396" s="130">
        <v>0</v>
      </c>
      <c r="AD396" s="35">
        <f t="shared" si="125"/>
        <v>2471</v>
      </c>
      <c r="AE396" s="166" t="str">
        <f t="shared" si="126"/>
        <v>Release</v>
      </c>
      <c r="AF396" s="127"/>
      <c r="AG396" s="18">
        <v>0</v>
      </c>
      <c r="AH396" s="120"/>
      <c r="AI396" s="238">
        <v>0</v>
      </c>
      <c r="AJ396" s="132"/>
      <c r="AK396" s="151">
        <v>537.12</v>
      </c>
      <c r="AL396" s="154">
        <f t="shared" si="116"/>
        <v>0</v>
      </c>
      <c r="AM396" s="155"/>
      <c r="AN396" s="19">
        <f t="shared" si="117"/>
        <v>1861</v>
      </c>
      <c r="AO396" s="118">
        <f>SUMIF('MPG Payment '!E:E,'Shayak Income '!D396,'MPG Payment '!AJ:AJ)</f>
        <v>0</v>
      </c>
      <c r="AP396" s="19">
        <f t="shared" si="118"/>
        <v>1861</v>
      </c>
      <c r="AQ396" s="119">
        <f t="shared" si="127"/>
        <v>1861</v>
      </c>
      <c r="AR396" s="91"/>
      <c r="AS396" s="91">
        <f t="shared" si="119"/>
        <v>4300</v>
      </c>
      <c r="AT396" s="118"/>
      <c r="AU396" s="118"/>
      <c r="AV396" s="118"/>
    </row>
    <row r="397" spans="1:48" s="20" customFormat="1" x14ac:dyDescent="0.25">
      <c r="A397" s="17">
        <f>IFERROR(VLOOKUP(D397,'Monthly Deduction'!$I$3:$J$957,2,0),0)</f>
        <v>43490.679150546101</v>
      </c>
      <c r="B397" s="17">
        <f>IFERROR(VLOOKUP(D397,'Monthly Deduction'!$E$3:$F$957,2,0),0)</f>
        <v>6400</v>
      </c>
      <c r="C397" s="17">
        <f t="shared" si="120"/>
        <v>49890.679150546101</v>
      </c>
      <c r="D397" s="41">
        <v>10120094</v>
      </c>
      <c r="E397" s="122" t="str">
        <f>VLOOKUP(D397,'MPG Payment '!$E$3:$G$498218,2,0)</f>
        <v>Gomukh Bochaha</v>
      </c>
      <c r="F397" s="146">
        <f>IFERROR(_xlfn.XLOOKUP(D397,'Monthly Deduction'!$I$3:$I$957,'Monthly Deduction'!$H$3:$H$957),0)</f>
        <v>0</v>
      </c>
      <c r="G397" s="123" t="str">
        <f>VLOOKUP(D397,'MPG Payment '!$E$3:$G$334579,3,0)</f>
        <v>MPG</v>
      </c>
      <c r="H397" s="124" t="str">
        <f>VLOOKUP(D397,'MPG Payment '!$E$3:$H$334579,4,0)</f>
        <v>Direct</v>
      </c>
      <c r="I397" s="88">
        <f>INDEX('MPG Payment '!$C:$C,MATCH('Shayak Income '!D397,'MPG Payment '!E:E,0))</f>
        <v>1012</v>
      </c>
      <c r="J397" s="88" t="str">
        <f>INDEX('MPG Payment '!$D:$D,MATCH('Shayak Income '!D397,'MPG Payment '!E:E,0))</f>
        <v>DalsinghSarai</v>
      </c>
      <c r="K397" s="125" t="s">
        <v>1322</v>
      </c>
      <c r="L397" s="125">
        <v>45666</v>
      </c>
      <c r="M397" s="126">
        <f>SUMIF('MPG Payment '!$E$3:$E$34579,'Shayak Income '!D397,'MPG Payment '!$I$3:$I$34579)</f>
        <v>3266.6099999999997</v>
      </c>
      <c r="N397" s="126">
        <f>SUMIF('MPG Payment '!$E$3:$E$34579,'Shayak Income '!D397,'MPG Payment '!$J$3:$J$34579)</f>
        <v>145532.68143369985</v>
      </c>
      <c r="O397" s="126">
        <f t="shared" si="121"/>
        <v>2449.9574999999995</v>
      </c>
      <c r="P397" s="126">
        <f t="shared" si="122"/>
        <v>3103.2794999999996</v>
      </c>
      <c r="Q397" s="126">
        <f>SUMIF('MPG Payment '!$E$3:$E$34579,'Shayak Income '!D397,'MPG Payment '!$S$3:$S$34579)</f>
        <v>0</v>
      </c>
      <c r="R397" s="126">
        <f t="shared" si="112"/>
        <v>4365.9804430109953</v>
      </c>
      <c r="S397" s="126">
        <f t="shared" si="113"/>
        <v>1262.7009430109956</v>
      </c>
      <c r="T397" s="126">
        <f t="shared" si="123"/>
        <v>326.661</v>
      </c>
      <c r="U397" s="127">
        <f>(((IF(K397="New",0,SUMIF('MPG Payment '!$E$3:$E$34579,'Shayak Income '!D397,'MPG Payment '!$AC$3:$AC$34579))))+0)+0</f>
        <v>0</v>
      </c>
      <c r="V397" s="127">
        <f t="shared" si="124"/>
        <v>5227</v>
      </c>
      <c r="W397" s="19">
        <f t="shared" si="128"/>
        <v>2910.653628673997</v>
      </c>
      <c r="X397" s="19">
        <v>0</v>
      </c>
      <c r="Y397" s="128">
        <f>IFERROR(VLOOKUP(D397,'Monthly Deduction'!$M$2:$N$64,2,0),0)</f>
        <v>0</v>
      </c>
      <c r="Z397" s="128">
        <v>0</v>
      </c>
      <c r="AA397" s="126">
        <f>IFERROR(VLOOKUP(D397,'Monthly Deduction'!A:B,2,0),0)</f>
        <v>0</v>
      </c>
      <c r="AB397" s="129">
        <f t="shared" si="115"/>
        <v>2316</v>
      </c>
      <c r="AC397" s="130">
        <v>0</v>
      </c>
      <c r="AD397" s="35">
        <f t="shared" si="125"/>
        <v>2316</v>
      </c>
      <c r="AE397" s="166" t="str">
        <f t="shared" si="126"/>
        <v>Release</v>
      </c>
      <c r="AF397" s="127"/>
      <c r="AG397" s="18">
        <v>0</v>
      </c>
      <c r="AH397" s="132"/>
      <c r="AI397" s="238">
        <v>0</v>
      </c>
      <c r="AJ397" s="132"/>
      <c r="AK397" s="151">
        <v>728.28</v>
      </c>
      <c r="AL397" s="154">
        <f t="shared" si="116"/>
        <v>0</v>
      </c>
      <c r="AM397" s="155"/>
      <c r="AN397" s="19">
        <f t="shared" si="117"/>
        <v>2910.653628673997</v>
      </c>
      <c r="AO397" s="118">
        <f>SUMIF('MPG Payment '!E:E,'Shayak Income '!D397,'MPG Payment '!AJ:AJ)</f>
        <v>0</v>
      </c>
      <c r="AP397" s="19">
        <f t="shared" si="118"/>
        <v>2910.653628673997</v>
      </c>
      <c r="AQ397" s="119">
        <f t="shared" si="127"/>
        <v>2910.653628673997</v>
      </c>
      <c r="AR397" s="91"/>
      <c r="AS397" s="91">
        <f t="shared" si="119"/>
        <v>6400</v>
      </c>
      <c r="AT397" s="118"/>
      <c r="AU397" s="118"/>
      <c r="AV397" s="118"/>
    </row>
    <row r="398" spans="1:48" s="20" customFormat="1" x14ac:dyDescent="0.25">
      <c r="A398" s="17">
        <f>IFERROR(VLOOKUP(D398,'Monthly Deduction'!$I$3:$J$957,2,0),0)</f>
        <v>72493</v>
      </c>
      <c r="B398" s="17">
        <f>IFERROR(VLOOKUP(D398,'Monthly Deduction'!$E$3:$F$957,2,0),0)</f>
        <v>4450.5474332718404</v>
      </c>
      <c r="C398" s="17">
        <f t="shared" si="120"/>
        <v>76943.547433271844</v>
      </c>
      <c r="D398" s="41">
        <v>10120095</v>
      </c>
      <c r="E398" s="122" t="str">
        <f>VLOOKUP(D398,'MPG Payment '!$E$3:$G$498218,2,0)</f>
        <v>Gomukh Terganj</v>
      </c>
      <c r="F398" s="146">
        <f>IFERROR(_xlfn.XLOOKUP(D398,'Monthly Deduction'!$I$3:$I$957,'Monthly Deduction'!$H$3:$H$957),0)</f>
        <v>0</v>
      </c>
      <c r="G398" s="123" t="str">
        <f>VLOOKUP(D398,'MPG Payment '!$E$3:$G$334579,3,0)</f>
        <v>MPG</v>
      </c>
      <c r="H398" s="124" t="str">
        <f>VLOOKUP(D398,'MPG Payment '!$E$3:$H$334579,4,0)</f>
        <v>Direct</v>
      </c>
      <c r="I398" s="88">
        <f>INDEX('MPG Payment '!$C:$C,MATCH('Shayak Income '!D398,'MPG Payment '!E:E,0))</f>
        <v>1012</v>
      </c>
      <c r="J398" s="88" t="str">
        <f>INDEX('MPG Payment '!$D:$D,MATCH('Shayak Income '!D398,'MPG Payment '!E:E,0))</f>
        <v>DalsinghSarai</v>
      </c>
      <c r="K398" s="125" t="s">
        <v>1322</v>
      </c>
      <c r="L398" s="125">
        <v>45705</v>
      </c>
      <c r="M398" s="126">
        <f>SUMIF('MPG Payment '!$E$3:$E$34579,'Shayak Income '!D398,'MPG Payment '!$I$3:$I$34579)</f>
        <v>767.98</v>
      </c>
      <c r="N398" s="126">
        <f>SUMIF('MPG Payment '!$E$3:$E$34579,'Shayak Income '!D398,'MPG Payment '!$J$3:$J$34579)</f>
        <v>32550.901363838242</v>
      </c>
      <c r="O398" s="126">
        <f t="shared" si="121"/>
        <v>575.98500000000001</v>
      </c>
      <c r="P398" s="126">
        <f t="shared" si="122"/>
        <v>729.58100000000002</v>
      </c>
      <c r="Q398" s="126">
        <f>SUMIF('MPG Payment '!$E$3:$E$34579,'Shayak Income '!D398,'MPG Payment '!$S$3:$S$34579)</f>
        <v>0</v>
      </c>
      <c r="R398" s="126">
        <f t="shared" si="112"/>
        <v>976.52704091514727</v>
      </c>
      <c r="S398" s="126">
        <f t="shared" si="113"/>
        <v>246.94604091514725</v>
      </c>
      <c r="T398" s="126">
        <f t="shared" si="123"/>
        <v>76.798000000000002</v>
      </c>
      <c r="U398" s="127">
        <f>(((IF(K398="New",0,SUMIF('MPG Payment '!$E$3:$E$34579,'Shayak Income '!D398,'MPG Payment '!$AC$3:$AC$34579))))+0)+-496</f>
        <v>1229.1252044680732</v>
      </c>
      <c r="V398" s="127">
        <f t="shared" si="124"/>
        <v>0</v>
      </c>
      <c r="W398" s="19">
        <v>0</v>
      </c>
      <c r="X398" s="19">
        <v>0</v>
      </c>
      <c r="Y398" s="128">
        <v>0</v>
      </c>
      <c r="Z398" s="128">
        <v>0</v>
      </c>
      <c r="AA398" s="126">
        <v>0</v>
      </c>
      <c r="AB398" s="129">
        <f t="shared" si="115"/>
        <v>0</v>
      </c>
      <c r="AC398" s="130">
        <f>AB398</f>
        <v>0</v>
      </c>
      <c r="AD398" s="35">
        <f t="shared" si="125"/>
        <v>0</v>
      </c>
      <c r="AE398" s="166" t="str">
        <f t="shared" si="126"/>
        <v>Release</v>
      </c>
      <c r="AF398" s="127"/>
      <c r="AG398" s="18">
        <v>0</v>
      </c>
      <c r="AH398" s="120" t="s">
        <v>1650</v>
      </c>
      <c r="AI398" s="238">
        <v>6148</v>
      </c>
      <c r="AJ398" s="132"/>
      <c r="AK398" s="151">
        <v>252.82</v>
      </c>
      <c r="AL398" s="154">
        <f t="shared" si="116"/>
        <v>0</v>
      </c>
      <c r="AM398" s="155"/>
      <c r="AN398" s="19">
        <f t="shared" si="117"/>
        <v>1861</v>
      </c>
      <c r="AO398" s="118">
        <f>SUMIF('MPG Payment '!E:E,'Shayak Income '!D398,'MPG Payment '!AJ:AJ)</f>
        <v>500</v>
      </c>
      <c r="AP398" s="19">
        <f t="shared" si="118"/>
        <v>0</v>
      </c>
      <c r="AQ398" s="119">
        <f t="shared" si="127"/>
        <v>500</v>
      </c>
      <c r="AR398" s="91"/>
      <c r="AS398" s="91">
        <f t="shared" si="119"/>
        <v>4450.5474332718404</v>
      </c>
      <c r="AT398" s="118"/>
      <c r="AU398" s="118"/>
      <c r="AV398" s="118"/>
    </row>
    <row r="399" spans="1:48" s="20" customFormat="1" x14ac:dyDescent="0.25">
      <c r="A399" s="17">
        <f>IFERROR(VLOOKUP(D399,'Monthly Deduction'!$I$3:$J$957,2,0),0)</f>
        <v>0</v>
      </c>
      <c r="B399" s="17">
        <f>IFERROR(VLOOKUP(D399,'Monthly Deduction'!$E$3:$F$957,2,0),0)</f>
        <v>0</v>
      </c>
      <c r="C399" s="17">
        <f t="shared" si="120"/>
        <v>0</v>
      </c>
      <c r="D399" s="41">
        <v>10120096</v>
      </c>
      <c r="E399" s="122" t="str">
        <f>VLOOKUP(D399,'MPG Payment '!$E$3:$G$498218,2,0)</f>
        <v>Gomukh Chapra</v>
      </c>
      <c r="F399" s="146">
        <f>IFERROR(_xlfn.XLOOKUP(D399,'Monthly Deduction'!$I$3:$I$957,'Monthly Deduction'!$H$3:$H$957),0)</f>
        <v>0</v>
      </c>
      <c r="G399" s="123" t="str">
        <f>VLOOKUP(D399,'MPG Payment '!$E$3:$G$334579,3,0)</f>
        <v>vlc</v>
      </c>
      <c r="H399" s="124" t="str">
        <f>VLOOKUP(D399,'MPG Payment '!$E$3:$H$334579,4,0)</f>
        <v>Indirect</v>
      </c>
      <c r="I399" s="88">
        <f>INDEX('MPG Payment '!$C:$C,MATCH('Shayak Income '!D399,'MPG Payment '!E:E,0))</f>
        <v>1012</v>
      </c>
      <c r="J399" s="88" t="str">
        <f>INDEX('MPG Payment '!$D:$D,MATCH('Shayak Income '!D399,'MPG Payment '!E:E,0))</f>
        <v>DalsinghSarai</v>
      </c>
      <c r="K399" s="125" t="s">
        <v>1322</v>
      </c>
      <c r="L399" s="125">
        <v>45664</v>
      </c>
      <c r="M399" s="126">
        <f>SUMIF('MPG Payment '!$E$3:$E$34579,'Shayak Income '!D399,'MPG Payment '!$I$3:$I$34579)</f>
        <v>3712.42</v>
      </c>
      <c r="N399" s="126">
        <f>SUMIF('MPG Payment '!$E$3:$E$34579,'Shayak Income '!D399,'MPG Payment '!$J$3:$J$34579)</f>
        <v>143839.68455429378</v>
      </c>
      <c r="O399" s="126">
        <f t="shared" si="121"/>
        <v>2784.3150000000001</v>
      </c>
      <c r="P399" s="126">
        <f t="shared" si="122"/>
        <v>3526.799</v>
      </c>
      <c r="Q399" s="126">
        <f>SUMIF('MPG Payment '!$E$3:$E$34579,'Shayak Income '!D399,'MPG Payment '!$S$3:$S$34579)</f>
        <v>0</v>
      </c>
      <c r="R399" s="126">
        <f t="shared" si="112"/>
        <v>4315.1905366288129</v>
      </c>
      <c r="S399" s="126">
        <f t="shared" si="113"/>
        <v>788.3915366288129</v>
      </c>
      <c r="T399" s="126">
        <f t="shared" si="123"/>
        <v>371.24200000000002</v>
      </c>
      <c r="U399" s="127">
        <f>(((IF(K399="New",0,SUMIF('MPG Payment '!$E$3:$E$34579,'Shayak Income '!D399,'MPG Payment '!$AC$3:$AC$34579))))+0)+0</f>
        <v>431.68647824362176</v>
      </c>
      <c r="V399" s="127">
        <f t="shared" si="124"/>
        <v>5508</v>
      </c>
      <c r="W399" s="19">
        <f t="shared" si="128"/>
        <v>0</v>
      </c>
      <c r="X399" s="19">
        <f t="shared" si="114"/>
        <v>0</v>
      </c>
      <c r="Y399" s="128">
        <f>IFERROR(VLOOKUP(D399,'Monthly Deduction'!$M$2:$N$64,2,0),0)</f>
        <v>0</v>
      </c>
      <c r="Z399" s="128">
        <v>0</v>
      </c>
      <c r="AA399" s="126">
        <f>IFERROR(VLOOKUP(D399,'Monthly Deduction'!A:B,2,0),0)</f>
        <v>0</v>
      </c>
      <c r="AB399" s="129">
        <f t="shared" si="115"/>
        <v>5508</v>
      </c>
      <c r="AC399" s="130">
        <v>0</v>
      </c>
      <c r="AD399" s="35">
        <f t="shared" si="125"/>
        <v>5508</v>
      </c>
      <c r="AE399" s="166" t="str">
        <f t="shared" si="126"/>
        <v>Release</v>
      </c>
      <c r="AF399" s="127"/>
      <c r="AG399" s="18">
        <v>0</v>
      </c>
      <c r="AH399" s="120"/>
      <c r="AI399" s="238">
        <v>0</v>
      </c>
      <c r="AJ399" s="132"/>
      <c r="AK399" s="151">
        <v>883.14</v>
      </c>
      <c r="AL399" s="154">
        <f t="shared" si="116"/>
        <v>0</v>
      </c>
      <c r="AM399" s="155"/>
      <c r="AN399" s="19">
        <f t="shared" si="117"/>
        <v>0</v>
      </c>
      <c r="AO399" s="118">
        <f>SUMIF('MPG Payment '!E:E,'Shayak Income '!D399,'MPG Payment '!AJ:AJ)</f>
        <v>0</v>
      </c>
      <c r="AP399" s="19">
        <f t="shared" si="118"/>
        <v>0</v>
      </c>
      <c r="AQ399" s="119">
        <f t="shared" si="127"/>
        <v>0</v>
      </c>
      <c r="AR399" s="91"/>
      <c r="AS399" s="91">
        <f t="shared" si="119"/>
        <v>0</v>
      </c>
      <c r="AT399" s="118"/>
      <c r="AU399" s="118"/>
      <c r="AV399" s="118"/>
    </row>
    <row r="400" spans="1:48" s="20" customFormat="1" x14ac:dyDescent="0.25">
      <c r="A400" s="17">
        <f>IFERROR(VLOOKUP(D400,'Monthly Deduction'!$I$3:$J$957,2,0),0)</f>
        <v>0</v>
      </c>
      <c r="B400" s="17">
        <f>IFERROR(VLOOKUP(D400,'Monthly Deduction'!$E$3:$F$957,2,0),0)</f>
        <v>0</v>
      </c>
      <c r="C400" s="17">
        <f t="shared" si="120"/>
        <v>0</v>
      </c>
      <c r="D400" s="41">
        <v>10120099</v>
      </c>
      <c r="E400" s="122" t="str">
        <f>VLOOKUP(D400,'MPG Payment '!$E$3:$G$498218,2,0)</f>
        <v>GOMUKH Chiranjipur</v>
      </c>
      <c r="F400" s="146">
        <f>IFERROR(_xlfn.XLOOKUP(D400,'Monthly Deduction'!$I$3:$I$957,'Monthly Deduction'!$H$3:$H$957),0)</f>
        <v>0</v>
      </c>
      <c r="G400" s="123" t="str">
        <f>VLOOKUP(D400,'MPG Payment '!$E$3:$G$334579,3,0)</f>
        <v>vlc</v>
      </c>
      <c r="H400" s="124" t="str">
        <f>VLOOKUP(D400,'MPG Payment '!$E$3:$H$334579,4,0)</f>
        <v>Indirect</v>
      </c>
      <c r="I400" s="88">
        <f>INDEX('MPG Payment '!$C:$C,MATCH('Shayak Income '!D400,'MPG Payment '!E:E,0))</f>
        <v>1012</v>
      </c>
      <c r="J400" s="88" t="str">
        <f>INDEX('MPG Payment '!$D:$D,MATCH('Shayak Income '!D400,'MPG Payment '!E:E,0))</f>
        <v>DalsinghSarai</v>
      </c>
      <c r="K400" s="125" t="s">
        <v>1322</v>
      </c>
      <c r="L400" s="125">
        <v>45715</v>
      </c>
      <c r="M400" s="126">
        <f>SUMIF('MPG Payment '!$E$3:$E$34579,'Shayak Income '!D400,'MPG Payment '!$I$3:$I$34579)</f>
        <v>22325.8</v>
      </c>
      <c r="N400" s="126">
        <f>SUMIF('MPG Payment '!$E$3:$E$34579,'Shayak Income '!D400,'MPG Payment '!$J$3:$J$34579)</f>
        <v>854512.20546399988</v>
      </c>
      <c r="O400" s="126">
        <f t="shared" si="121"/>
        <v>16744.349999999999</v>
      </c>
      <c r="P400" s="126">
        <f t="shared" si="122"/>
        <v>21209.51</v>
      </c>
      <c r="Q400" s="126">
        <f>SUMIF('MPG Payment '!$E$3:$E$34579,'Shayak Income '!D400,'MPG Payment '!$S$3:$S$34579)</f>
        <v>0</v>
      </c>
      <c r="R400" s="126">
        <f t="shared" si="112"/>
        <v>25635.366163919996</v>
      </c>
      <c r="S400" s="126">
        <f t="shared" si="113"/>
        <v>4425.8561639199979</v>
      </c>
      <c r="T400" s="126">
        <f t="shared" si="123"/>
        <v>2232.58</v>
      </c>
      <c r="U400" s="127">
        <f>(((IF(K400="New",0,SUMIF('MPG Payment '!$E$3:$E$34579,'Shayak Income '!D400,'MPG Payment '!$AC$3:$AC$34579))))+0)+0</f>
        <v>0</v>
      </c>
      <c r="V400" s="127">
        <f t="shared" si="124"/>
        <v>35721</v>
      </c>
      <c r="W400" s="19">
        <f t="shared" si="128"/>
        <v>0</v>
      </c>
      <c r="X400" s="19">
        <f t="shared" si="114"/>
        <v>0</v>
      </c>
      <c r="Y400" s="128">
        <f>IFERROR(VLOOKUP(D400,'Monthly Deduction'!$M$2:$N$64,2,0),0)</f>
        <v>0</v>
      </c>
      <c r="Z400" s="128">
        <v>0</v>
      </c>
      <c r="AA400" s="126">
        <f>IFERROR(VLOOKUP(D400,'Monthly Deduction'!A:B,2,0),0)</f>
        <v>0</v>
      </c>
      <c r="AB400" s="129">
        <f t="shared" si="115"/>
        <v>35721</v>
      </c>
      <c r="AC400" s="130">
        <v>0</v>
      </c>
      <c r="AD400" s="35">
        <f t="shared" si="125"/>
        <v>35721</v>
      </c>
      <c r="AE400" s="166" t="str">
        <f t="shared" si="126"/>
        <v>Release</v>
      </c>
      <c r="AF400" s="127"/>
      <c r="AG400" s="18">
        <v>0</v>
      </c>
      <c r="AH400" s="120"/>
      <c r="AI400" s="238">
        <v>0</v>
      </c>
      <c r="AJ400" s="132"/>
      <c r="AK400" s="151">
        <v>8908</v>
      </c>
      <c r="AL400" s="154">
        <f t="shared" si="116"/>
        <v>0</v>
      </c>
      <c r="AM400" s="155"/>
      <c r="AN400" s="19">
        <f t="shared" si="117"/>
        <v>0</v>
      </c>
      <c r="AO400" s="118">
        <f>SUMIF('MPG Payment '!E:E,'Shayak Income '!D400,'MPG Payment '!AJ:AJ)</f>
        <v>0</v>
      </c>
      <c r="AP400" s="19">
        <f t="shared" si="118"/>
        <v>0</v>
      </c>
      <c r="AQ400" s="119">
        <f t="shared" si="127"/>
        <v>0</v>
      </c>
      <c r="AR400" s="91" t="s">
        <v>1168</v>
      </c>
      <c r="AS400" s="91">
        <f t="shared" si="119"/>
        <v>0</v>
      </c>
      <c r="AT400" s="118"/>
      <c r="AU400" s="118"/>
      <c r="AV400" s="118"/>
    </row>
    <row r="401" spans="1:48" s="20" customFormat="1" x14ac:dyDescent="0.25">
      <c r="A401" s="17">
        <f>IFERROR(VLOOKUP(D401,'Monthly Deduction'!$I$3:$J$957,2,0),0)</f>
        <v>0</v>
      </c>
      <c r="B401" s="17">
        <f>IFERROR(VLOOKUP(D401,'Monthly Deduction'!$E$3:$F$957,2,0),0)</f>
        <v>0</v>
      </c>
      <c r="C401" s="17">
        <f t="shared" si="120"/>
        <v>0</v>
      </c>
      <c r="D401" s="41">
        <v>10120103</v>
      </c>
      <c r="E401" s="122" t="str">
        <f>VLOOKUP(D401,'MPG Payment '!$E$3:$G$498218,2,0)</f>
        <v>Gomukh Sahu Tol</v>
      </c>
      <c r="F401" s="146">
        <f>IFERROR(_xlfn.XLOOKUP(D401,'Monthly Deduction'!$I$3:$I$957,'Monthly Deduction'!$H$3:$H$957),0)</f>
        <v>0</v>
      </c>
      <c r="G401" s="123" t="str">
        <f>VLOOKUP(D401,'MPG Payment '!$E$3:$G$334579,3,0)</f>
        <v>vlc</v>
      </c>
      <c r="H401" s="124" t="str">
        <f>VLOOKUP(D401,'MPG Payment '!$E$3:$H$334579,4,0)</f>
        <v>Indirect</v>
      </c>
      <c r="I401" s="88">
        <f>INDEX('MPG Payment '!$C:$C,MATCH('Shayak Income '!D401,'MPG Payment '!E:E,0))</f>
        <v>1012</v>
      </c>
      <c r="J401" s="88" t="str">
        <f>INDEX('MPG Payment '!$D:$D,MATCH('Shayak Income '!D401,'MPG Payment '!E:E,0))</f>
        <v>DalsinghSarai</v>
      </c>
      <c r="K401" s="125" t="s">
        <v>1322</v>
      </c>
      <c r="L401" s="125">
        <v>45743</v>
      </c>
      <c r="M401" s="126">
        <f>SUMIF('MPG Payment '!$E$3:$E$34579,'Shayak Income '!D401,'MPG Payment '!$I$3:$I$34579)</f>
        <v>4464</v>
      </c>
      <c r="N401" s="126">
        <f>SUMIF('MPG Payment '!$E$3:$E$34579,'Shayak Income '!D401,'MPG Payment '!$J$3:$J$34579)</f>
        <v>169641.76228659999</v>
      </c>
      <c r="O401" s="126">
        <f t="shared" si="121"/>
        <v>3348</v>
      </c>
      <c r="P401" s="126">
        <f t="shared" si="122"/>
        <v>4240.8</v>
      </c>
      <c r="Q401" s="126">
        <f>SUMIF('MPG Payment '!$E$3:$E$34579,'Shayak Income '!D401,'MPG Payment '!$S$3:$S$34579)</f>
        <v>0</v>
      </c>
      <c r="R401" s="126">
        <f t="shared" si="112"/>
        <v>5089.2528685979996</v>
      </c>
      <c r="S401" s="126">
        <f t="shared" si="113"/>
        <v>848.45286859799944</v>
      </c>
      <c r="T401" s="126">
        <f t="shared" si="123"/>
        <v>446.40000000000003</v>
      </c>
      <c r="U401" s="127">
        <f>(((IF(K401="New",0,SUMIF('MPG Payment '!$E$3:$E$34579,'Shayak Income '!D401,'MPG Payment '!$AC$3:$AC$34579))))+0)+0</f>
        <v>0</v>
      </c>
      <c r="V401" s="127">
        <f t="shared" si="124"/>
        <v>7142</v>
      </c>
      <c r="W401" s="19">
        <f t="shared" si="128"/>
        <v>0</v>
      </c>
      <c r="X401" s="19">
        <f t="shared" si="114"/>
        <v>0</v>
      </c>
      <c r="Y401" s="128">
        <f>IFERROR(VLOOKUP(D401,'Monthly Deduction'!$M$2:$N$64,2,0),0)</f>
        <v>0</v>
      </c>
      <c r="Z401" s="128">
        <v>0</v>
      </c>
      <c r="AA401" s="126">
        <f>IFERROR(VLOOKUP(D401,'Monthly Deduction'!A:B,2,0),0)</f>
        <v>0</v>
      </c>
      <c r="AB401" s="129">
        <f t="shared" si="115"/>
        <v>7142</v>
      </c>
      <c r="AC401" s="130">
        <v>0</v>
      </c>
      <c r="AD401" s="35">
        <f t="shared" si="125"/>
        <v>7142</v>
      </c>
      <c r="AE401" s="166" t="str">
        <f t="shared" si="126"/>
        <v>Release</v>
      </c>
      <c r="AF401" s="127"/>
      <c r="AG401" s="18">
        <v>0</v>
      </c>
      <c r="AH401" s="120"/>
      <c r="AI401" s="238">
        <v>0</v>
      </c>
      <c r="AJ401" s="132"/>
      <c r="AK401" s="151">
        <v>1750</v>
      </c>
      <c r="AL401" s="154">
        <f t="shared" si="116"/>
        <v>0</v>
      </c>
      <c r="AM401" s="155"/>
      <c r="AN401" s="19">
        <f t="shared" si="117"/>
        <v>0</v>
      </c>
      <c r="AO401" s="118">
        <f>SUMIF('MPG Payment '!E:E,'Shayak Income '!D401,'MPG Payment '!AJ:AJ)</f>
        <v>0</v>
      </c>
      <c r="AP401" s="19">
        <f t="shared" si="118"/>
        <v>0</v>
      </c>
      <c r="AQ401" s="119">
        <f t="shared" si="127"/>
        <v>0</v>
      </c>
      <c r="AR401" s="91" t="s">
        <v>1168</v>
      </c>
      <c r="AS401" s="91">
        <f t="shared" si="119"/>
        <v>0</v>
      </c>
      <c r="AT401" s="118"/>
      <c r="AU401" s="118"/>
      <c r="AV401" s="118"/>
    </row>
    <row r="402" spans="1:48" s="20" customFormat="1" x14ac:dyDescent="0.25">
      <c r="A402" s="17">
        <f>IFERROR(VLOOKUP(D402,'Monthly Deduction'!$I$3:$J$957,2,0),0)</f>
        <v>50433.014471598406</v>
      </c>
      <c r="B402" s="17">
        <f>IFERROR(VLOOKUP(D402,'Monthly Deduction'!$E$3:$F$957,2,0),0)</f>
        <v>0</v>
      </c>
      <c r="C402" s="17">
        <f t="shared" si="120"/>
        <v>50433.014471598406</v>
      </c>
      <c r="D402" s="41">
        <v>10120104</v>
      </c>
      <c r="E402" s="122" t="str">
        <f>VLOOKUP(D402,'MPG Payment '!$E$3:$G$498218,2,0)</f>
        <v>Gomukh Mordiwa East</v>
      </c>
      <c r="F402" s="146">
        <f>IFERROR(_xlfn.XLOOKUP(D402,'Monthly Deduction'!$I$3:$I$957,'Monthly Deduction'!$H$3:$H$957),0)</f>
        <v>0</v>
      </c>
      <c r="G402" s="123" t="str">
        <f>VLOOKUP(D402,'MPG Payment '!$E$3:$G$334579,3,0)</f>
        <v>MPG</v>
      </c>
      <c r="H402" s="124" t="str">
        <f>VLOOKUP(D402,'MPG Payment '!$E$3:$H$334579,4,0)</f>
        <v>Direct</v>
      </c>
      <c r="I402" s="88">
        <f>INDEX('MPG Payment '!$C:$C,MATCH('Shayak Income '!D402,'MPG Payment '!E:E,0))</f>
        <v>1012</v>
      </c>
      <c r="J402" s="88" t="str">
        <f>INDEX('MPG Payment '!$D:$D,MATCH('Shayak Income '!D402,'MPG Payment '!E:E,0))</f>
        <v>DalsinghSarai</v>
      </c>
      <c r="K402" s="125" t="s">
        <v>1322</v>
      </c>
      <c r="L402" s="125">
        <v>45793</v>
      </c>
      <c r="M402" s="126">
        <f>SUMIF('MPG Payment '!$E$3:$E$34579,'Shayak Income '!D402,'MPG Payment '!$I$3:$I$34579)</f>
        <v>3198.15</v>
      </c>
      <c r="N402" s="126">
        <f>SUMIF('MPG Payment '!$E$3:$E$34579,'Shayak Income '!D402,'MPG Payment '!$J$3:$J$34579)</f>
        <v>122911.85651398674</v>
      </c>
      <c r="O402" s="126">
        <f t="shared" si="121"/>
        <v>2398.6125000000002</v>
      </c>
      <c r="P402" s="126">
        <f t="shared" si="122"/>
        <v>3038.2424999999998</v>
      </c>
      <c r="Q402" s="126">
        <f>SUMIF('MPG Payment '!$E$3:$E$34579,'Shayak Income '!D402,'MPG Payment '!$S$3:$S$34579)</f>
        <v>0</v>
      </c>
      <c r="R402" s="126">
        <f t="shared" si="112"/>
        <v>3687.3556954196019</v>
      </c>
      <c r="S402" s="126">
        <f t="shared" si="113"/>
        <v>649.11319541960211</v>
      </c>
      <c r="T402" s="126">
        <f t="shared" si="123"/>
        <v>319.81500000000005</v>
      </c>
      <c r="U402" s="127">
        <f>(((IF(K402="New",0,SUMIF('MPG Payment '!$E$3:$E$34579,'Shayak Income '!D402,'MPG Payment '!$AC$3:$AC$34579))))+0)+0</f>
        <v>3.6002776804590844</v>
      </c>
      <c r="V402" s="127">
        <f t="shared" si="124"/>
        <v>5113</v>
      </c>
      <c r="W402" s="19">
        <f t="shared" si="128"/>
        <v>2458.2371302797351</v>
      </c>
      <c r="X402" s="19">
        <v>0</v>
      </c>
      <c r="Y402" s="128">
        <f>IFERROR(VLOOKUP(D402,'Monthly Deduction'!$M$2:$N$64,2,0),0)</f>
        <v>0</v>
      </c>
      <c r="Z402" s="128">
        <v>0</v>
      </c>
      <c r="AA402" s="126">
        <f>IFERROR(VLOOKUP(D402,'Monthly Deduction'!A:B,2,0),0)</f>
        <v>0</v>
      </c>
      <c r="AB402" s="129">
        <f t="shared" si="115"/>
        <v>2655</v>
      </c>
      <c r="AC402" s="130">
        <v>0</v>
      </c>
      <c r="AD402" s="35">
        <f t="shared" si="125"/>
        <v>2655</v>
      </c>
      <c r="AE402" s="166" t="str">
        <f t="shared" si="126"/>
        <v>Release</v>
      </c>
      <c r="AF402" s="127"/>
      <c r="AG402" s="18">
        <v>0</v>
      </c>
      <c r="AH402" s="120"/>
      <c r="AI402" s="238">
        <v>0</v>
      </c>
      <c r="AJ402" s="132"/>
      <c r="AK402" s="151">
        <v>807.87</v>
      </c>
      <c r="AL402" s="154">
        <f t="shared" si="116"/>
        <v>0</v>
      </c>
      <c r="AM402" s="155"/>
      <c r="AN402" s="19">
        <f t="shared" si="117"/>
        <v>2458.2371302797351</v>
      </c>
      <c r="AO402" s="118">
        <f>SUMIF('MPG Payment '!E:E,'Shayak Income '!D402,'MPG Payment '!AJ:AJ)</f>
        <v>0</v>
      </c>
      <c r="AP402" s="19">
        <f t="shared" si="118"/>
        <v>2458.2371302797351</v>
      </c>
      <c r="AQ402" s="119">
        <f t="shared" si="127"/>
        <v>2458.2371302797351</v>
      </c>
      <c r="AR402" s="91"/>
      <c r="AS402" s="91">
        <f t="shared" si="119"/>
        <v>0</v>
      </c>
      <c r="AT402" s="118"/>
      <c r="AU402" s="118"/>
      <c r="AV402" s="118"/>
    </row>
    <row r="403" spans="1:48" s="20" customFormat="1" x14ac:dyDescent="0.25">
      <c r="A403" s="17">
        <f>IFERROR(VLOOKUP(D403,'Monthly Deduction'!$I$3:$J$957,2,0),0)</f>
        <v>0</v>
      </c>
      <c r="B403" s="17">
        <f>IFERROR(VLOOKUP(D403,'Monthly Deduction'!$E$3:$F$957,2,0),0)</f>
        <v>0</v>
      </c>
      <c r="C403" s="17">
        <f t="shared" si="120"/>
        <v>0</v>
      </c>
      <c r="D403" s="41">
        <v>10120106</v>
      </c>
      <c r="E403" s="122" t="str">
        <f>VLOOKUP(D403,'MPG Payment '!$E$3:$G$498218,2,0)</f>
        <v>Gomukh Belamegh</v>
      </c>
      <c r="F403" s="146">
        <f>IFERROR(_xlfn.XLOOKUP(D403,'Monthly Deduction'!$I$3:$I$957,'Monthly Deduction'!$H$3:$H$957),0)</f>
        <v>0</v>
      </c>
      <c r="G403" s="123" t="str">
        <f>VLOOKUP(D403,'MPG Payment '!$E$3:$G$334579,3,0)</f>
        <v>vlc</v>
      </c>
      <c r="H403" s="124" t="str">
        <f>VLOOKUP(D403,'MPG Payment '!$E$3:$H$334579,4,0)</f>
        <v>Indirect</v>
      </c>
      <c r="I403" s="88">
        <f>INDEX('MPG Payment '!$C:$C,MATCH('Shayak Income '!D403,'MPG Payment '!E:E,0))</f>
        <v>1012</v>
      </c>
      <c r="J403" s="88" t="str">
        <f>INDEX('MPG Payment '!$D:$D,MATCH('Shayak Income '!D403,'MPG Payment '!E:E,0))</f>
        <v>DalsinghSarai</v>
      </c>
      <c r="K403" s="125" t="s">
        <v>1322</v>
      </c>
      <c r="L403" s="125">
        <v>45783</v>
      </c>
      <c r="M403" s="126">
        <f>SUMIF('MPG Payment '!$E$3:$E$34579,'Shayak Income '!D403,'MPG Payment '!$I$3:$I$34579)</f>
        <v>4502</v>
      </c>
      <c r="N403" s="126">
        <f>SUMIF('MPG Payment '!$E$3:$E$34579,'Shayak Income '!D403,'MPG Payment '!$J$3:$J$34579)</f>
        <v>160309.09247</v>
      </c>
      <c r="O403" s="126">
        <f t="shared" si="121"/>
        <v>3376.5</v>
      </c>
      <c r="P403" s="126">
        <f t="shared" si="122"/>
        <v>4276.8999999999996</v>
      </c>
      <c r="Q403" s="126">
        <f>SUMIF('MPG Payment '!$E$3:$E$34579,'Shayak Income '!D403,'MPG Payment '!$S$3:$S$34579)</f>
        <v>0</v>
      </c>
      <c r="R403" s="126">
        <f t="shared" si="112"/>
        <v>4809.2727740999999</v>
      </c>
      <c r="S403" s="126">
        <f t="shared" si="113"/>
        <v>532.37277410000024</v>
      </c>
      <c r="T403" s="126">
        <f t="shared" si="123"/>
        <v>450.20000000000005</v>
      </c>
      <c r="U403" s="127">
        <f>(((IF(K403="New",0,SUMIF('MPG Payment '!$E$3:$E$34579,'Shayak Income '!D403,'MPG Payment '!$AC$3:$AC$34579))))+0)+0</f>
        <v>0</v>
      </c>
      <c r="V403" s="127">
        <f t="shared" si="124"/>
        <v>7203</v>
      </c>
      <c r="W403" s="19">
        <f t="shared" si="128"/>
        <v>0</v>
      </c>
      <c r="X403" s="19">
        <f t="shared" si="114"/>
        <v>0</v>
      </c>
      <c r="Y403" s="128">
        <f>IFERROR(VLOOKUP(D403,'Monthly Deduction'!$M$2:$N$64,2,0),0)</f>
        <v>0</v>
      </c>
      <c r="Z403" s="128">
        <v>0</v>
      </c>
      <c r="AA403" s="126">
        <f>IFERROR(VLOOKUP(D403,'Monthly Deduction'!A:B,2,0),0)</f>
        <v>0</v>
      </c>
      <c r="AB403" s="129">
        <f t="shared" si="115"/>
        <v>7203</v>
      </c>
      <c r="AC403" s="130">
        <v>0</v>
      </c>
      <c r="AD403" s="35">
        <f t="shared" si="125"/>
        <v>7203</v>
      </c>
      <c r="AE403" s="166" t="str">
        <f t="shared" si="126"/>
        <v>Release</v>
      </c>
      <c r="AF403" s="127"/>
      <c r="AG403" s="18">
        <v>0</v>
      </c>
      <c r="AH403" s="132"/>
      <c r="AI403" s="238">
        <v>0</v>
      </c>
      <c r="AJ403" s="132"/>
      <c r="AK403" s="151">
        <v>390</v>
      </c>
      <c r="AL403" s="154">
        <f t="shared" si="116"/>
        <v>0</v>
      </c>
      <c r="AM403" s="155"/>
      <c r="AN403" s="19">
        <f t="shared" si="117"/>
        <v>0</v>
      </c>
      <c r="AO403" s="118">
        <f>SUMIF('MPG Payment '!E:E,'Shayak Income '!D403,'MPG Payment '!AJ:AJ)</f>
        <v>0</v>
      </c>
      <c r="AP403" s="19">
        <f t="shared" si="118"/>
        <v>0</v>
      </c>
      <c r="AQ403" s="119">
        <f t="shared" si="127"/>
        <v>0</v>
      </c>
      <c r="AR403" s="91"/>
      <c r="AS403" s="91">
        <f t="shared" si="119"/>
        <v>0</v>
      </c>
      <c r="AT403" s="118"/>
      <c r="AU403" s="118"/>
      <c r="AV403" s="118"/>
    </row>
    <row r="404" spans="1:48" s="20" customFormat="1" x14ac:dyDescent="0.25">
      <c r="A404" s="17">
        <f>IFERROR(VLOOKUP(D404,'Monthly Deduction'!$I$3:$J$957,2,0),0)</f>
        <v>51727.410545246996</v>
      </c>
      <c r="B404" s="17">
        <f>IFERROR(VLOOKUP(D404,'Monthly Deduction'!$E$3:$F$957,2,0),0)</f>
        <v>0</v>
      </c>
      <c r="C404" s="17">
        <f t="shared" si="120"/>
        <v>51727.410545246996</v>
      </c>
      <c r="D404" s="41">
        <v>10120107</v>
      </c>
      <c r="E404" s="122" t="str">
        <f>VLOOKUP(D404,'MPG Payment '!$E$3:$G$498218,2,0)</f>
        <v>Gomukh Ramaiya</v>
      </c>
      <c r="F404" s="146">
        <f>IFERROR(_xlfn.XLOOKUP(D404,'Monthly Deduction'!$I$3:$I$957,'Monthly Deduction'!$H$3:$H$957),0)</f>
        <v>0</v>
      </c>
      <c r="G404" s="123" t="str">
        <f>VLOOKUP(D404,'MPG Payment '!$E$3:$G$334579,3,0)</f>
        <v>MPG</v>
      </c>
      <c r="H404" s="124" t="str">
        <f>VLOOKUP(D404,'MPG Payment '!$E$3:$H$334579,4,0)</f>
        <v>Direct</v>
      </c>
      <c r="I404" s="88">
        <f>INDEX('MPG Payment '!$C:$C,MATCH('Shayak Income '!D404,'MPG Payment '!E:E,0))</f>
        <v>1012</v>
      </c>
      <c r="J404" s="88" t="str">
        <f>INDEX('MPG Payment '!$D:$D,MATCH('Shayak Income '!D404,'MPG Payment '!E:E,0))</f>
        <v>DalsinghSarai</v>
      </c>
      <c r="K404" s="125" t="s">
        <v>1322</v>
      </c>
      <c r="L404" s="125">
        <v>45798</v>
      </c>
      <c r="M404" s="126">
        <f>SUMIF('MPG Payment '!$E$3:$E$34579,'Shayak Income '!D404,'MPG Payment '!$I$3:$I$34579)</f>
        <v>3238.86</v>
      </c>
      <c r="N404" s="126">
        <f>SUMIF('MPG Payment '!$E$3:$E$34579,'Shayak Income '!D404,'MPG Payment '!$J$3:$J$34579)</f>
        <v>123534.28793743401</v>
      </c>
      <c r="O404" s="126">
        <f t="shared" si="121"/>
        <v>2429.145</v>
      </c>
      <c r="P404" s="126">
        <f t="shared" si="122"/>
        <v>3076.9169999999999</v>
      </c>
      <c r="Q404" s="126">
        <f>SUMIF('MPG Payment '!$E$3:$E$34579,'Shayak Income '!D404,'MPG Payment '!$S$3:$S$34579)</f>
        <v>0</v>
      </c>
      <c r="R404" s="126">
        <f t="shared" si="112"/>
        <v>3706.0286381230203</v>
      </c>
      <c r="S404" s="126">
        <f t="shared" si="113"/>
        <v>629.11163812302038</v>
      </c>
      <c r="T404" s="126">
        <f t="shared" si="123"/>
        <v>323.88600000000002</v>
      </c>
      <c r="U404" s="127">
        <f>(((IF(K404="New",0,SUMIF('MPG Payment '!$E$3:$E$34579,'Shayak Income '!D404,'MPG Payment '!$AC$3:$AC$34579))))+0)+0</f>
        <v>0</v>
      </c>
      <c r="V404" s="127">
        <f t="shared" si="124"/>
        <v>5182</v>
      </c>
      <c r="W404" s="19">
        <f t="shared" si="128"/>
        <v>2470.6857587486802</v>
      </c>
      <c r="X404" s="19">
        <v>0</v>
      </c>
      <c r="Y404" s="128">
        <v>2711</v>
      </c>
      <c r="Z404" s="128">
        <v>0</v>
      </c>
      <c r="AA404" s="126">
        <f>IFERROR(VLOOKUP(D404,'Monthly Deduction'!A:B,2,0),0)</f>
        <v>0</v>
      </c>
      <c r="AB404" s="129">
        <f t="shared" si="115"/>
        <v>0</v>
      </c>
      <c r="AC404" s="130">
        <v>0</v>
      </c>
      <c r="AD404" s="35">
        <f t="shared" si="125"/>
        <v>0</v>
      </c>
      <c r="AE404" s="166" t="str">
        <f t="shared" si="126"/>
        <v>Release</v>
      </c>
      <c r="AF404" s="127"/>
      <c r="AG404" s="127">
        <v>0</v>
      </c>
      <c r="AH404" s="132"/>
      <c r="AI404" s="238">
        <v>0</v>
      </c>
      <c r="AJ404" s="132"/>
      <c r="AK404" s="151">
        <v>925.06999999999994</v>
      </c>
      <c r="AL404" s="154">
        <f t="shared" si="116"/>
        <v>0</v>
      </c>
      <c r="AM404" s="155"/>
      <c r="AN404" s="19">
        <f t="shared" si="117"/>
        <v>2470.6857587486802</v>
      </c>
      <c r="AO404" s="118">
        <f>SUMIF('MPG Payment '!E:E,'Shayak Income '!D404,'MPG Payment '!AJ:AJ)</f>
        <v>0</v>
      </c>
      <c r="AP404" s="19">
        <f t="shared" si="118"/>
        <v>2470.6857587486802</v>
      </c>
      <c r="AQ404" s="119">
        <f t="shared" si="127"/>
        <v>2470.6857587486802</v>
      </c>
      <c r="AR404" s="91" t="s">
        <v>1168</v>
      </c>
      <c r="AS404" s="91">
        <f t="shared" si="119"/>
        <v>0</v>
      </c>
      <c r="AT404" s="118"/>
      <c r="AU404" s="118"/>
      <c r="AV404" s="118"/>
    </row>
    <row r="405" spans="1:48" s="20" customFormat="1" x14ac:dyDescent="0.25">
      <c r="A405" s="17">
        <f>IFERROR(VLOOKUP(D405,'Monthly Deduction'!$I$3:$J$957,2,0),0)</f>
        <v>82329.750979080956</v>
      </c>
      <c r="B405" s="17">
        <f>IFERROR(VLOOKUP(D405,'Monthly Deduction'!$E$3:$F$957,2,0),0)</f>
        <v>0</v>
      </c>
      <c r="C405" s="17">
        <f t="shared" si="120"/>
        <v>82329.750979080956</v>
      </c>
      <c r="D405" s="41">
        <v>10120108</v>
      </c>
      <c r="E405" s="122" t="str">
        <f>VLOOKUP(D405,'MPG Payment '!$E$3:$G$498218,2,0)</f>
        <v>GOMUKH MANIKA EAST</v>
      </c>
      <c r="F405" s="146">
        <f>IFERROR(_xlfn.XLOOKUP(D405,'Monthly Deduction'!$I$3:$I$957,'Monthly Deduction'!$H$3:$H$957),0)</f>
        <v>0</v>
      </c>
      <c r="G405" s="123" t="str">
        <f>VLOOKUP(D405,'MPG Payment '!$E$3:$G$334579,3,0)</f>
        <v>MPG</v>
      </c>
      <c r="H405" s="124" t="str">
        <f>VLOOKUP(D405,'MPG Payment '!$E$3:$H$334579,4,0)</f>
        <v>Direct</v>
      </c>
      <c r="I405" s="88">
        <f>INDEX('MPG Payment '!$C:$C,MATCH('Shayak Income '!D405,'MPG Payment '!E:E,0))</f>
        <v>1012</v>
      </c>
      <c r="J405" s="88" t="str">
        <f>INDEX('MPG Payment '!$D:$D,MATCH('Shayak Income '!D405,'MPG Payment '!E:E,0))</f>
        <v>DalsinghSarai</v>
      </c>
      <c r="K405" s="125" t="s">
        <v>1322</v>
      </c>
      <c r="L405" s="125">
        <v>45869</v>
      </c>
      <c r="M405" s="126">
        <f>SUMIF('MPG Payment '!$E$3:$E$34579,'Shayak Income '!D405,'MPG Payment '!$I$3:$I$34579)</f>
        <v>3834.0199999999995</v>
      </c>
      <c r="N405" s="126">
        <f>SUMIF('MPG Payment '!$E$3:$E$34579,'Shayak Income '!D405,'MPG Payment '!$J$3:$J$34579)</f>
        <v>148408.398906788</v>
      </c>
      <c r="O405" s="126">
        <f t="shared" si="121"/>
        <v>2875.5149999999994</v>
      </c>
      <c r="P405" s="126">
        <f t="shared" si="122"/>
        <v>3642.3189999999995</v>
      </c>
      <c r="Q405" s="126">
        <f>SUMIF('MPG Payment '!$E$3:$E$34579,'Shayak Income '!D405,'MPG Payment '!$S$3:$S$34579)</f>
        <v>0</v>
      </c>
      <c r="R405" s="126">
        <f t="shared" si="112"/>
        <v>4452.2519672036397</v>
      </c>
      <c r="S405" s="126">
        <f t="shared" si="113"/>
        <v>809.93296720364015</v>
      </c>
      <c r="T405" s="126">
        <f t="shared" si="123"/>
        <v>383.40199999999999</v>
      </c>
      <c r="U405" s="127">
        <f>(((IF(K405="New",0,SUMIF('MPG Payment '!$E$3:$E$34579,'Shayak Income '!D405,'MPG Payment '!$AC$3:$AC$34579))))+0)+0</f>
        <v>0</v>
      </c>
      <c r="V405" s="127">
        <f t="shared" si="124"/>
        <v>6134</v>
      </c>
      <c r="W405" s="19">
        <f t="shared" si="128"/>
        <v>2968.1679781357602</v>
      </c>
      <c r="X405" s="19">
        <v>0</v>
      </c>
      <c r="Y405" s="128">
        <f>IFERROR(VLOOKUP(D405,'Monthly Deduction'!$M$2:$N$64,2,0),0)</f>
        <v>0</v>
      </c>
      <c r="Z405" s="128">
        <v>0</v>
      </c>
      <c r="AA405" s="126">
        <f>IFERROR(VLOOKUP(D405,'Monthly Deduction'!A:B,2,0),0)</f>
        <v>0</v>
      </c>
      <c r="AB405" s="129">
        <f t="shared" si="115"/>
        <v>3166</v>
      </c>
      <c r="AC405" s="130">
        <f>AB405</f>
        <v>3166</v>
      </c>
      <c r="AD405" s="35">
        <f t="shared" si="125"/>
        <v>0</v>
      </c>
      <c r="AE405" s="166" t="str">
        <f t="shared" si="126"/>
        <v>Yes</v>
      </c>
      <c r="AF405" s="127"/>
      <c r="AG405" s="18">
        <v>0</v>
      </c>
      <c r="AH405" s="120" t="s">
        <v>1650</v>
      </c>
      <c r="AI405" s="238">
        <v>5686</v>
      </c>
      <c r="AJ405" s="132"/>
      <c r="AK405" s="151">
        <v>959.98</v>
      </c>
      <c r="AL405" s="154">
        <f t="shared" si="116"/>
        <v>0</v>
      </c>
      <c r="AM405" s="155"/>
      <c r="AN405" s="19">
        <f t="shared" si="117"/>
        <v>2968.1679781357602</v>
      </c>
      <c r="AO405" s="118">
        <f>SUMIF('MPG Payment '!E:E,'Shayak Income '!D405,'MPG Payment '!AJ:AJ)</f>
        <v>0</v>
      </c>
      <c r="AP405" s="19">
        <f t="shared" si="118"/>
        <v>2968.1679781357602</v>
      </c>
      <c r="AQ405" s="119">
        <f t="shared" si="127"/>
        <v>2968.1679781357602</v>
      </c>
      <c r="AR405" s="91" t="s">
        <v>1168</v>
      </c>
      <c r="AS405" s="91">
        <f t="shared" si="119"/>
        <v>0</v>
      </c>
      <c r="AT405" s="118"/>
      <c r="AU405" s="118"/>
      <c r="AV405" s="118"/>
    </row>
    <row r="406" spans="1:48" s="20" customFormat="1" x14ac:dyDescent="0.25">
      <c r="A406" s="17">
        <f>IFERROR(VLOOKUP(D406,'Monthly Deduction'!$I$3:$J$957,2,0),0)</f>
        <v>64230.078664627203</v>
      </c>
      <c r="B406" s="17">
        <f>IFERROR(VLOOKUP(D406,'Monthly Deduction'!$E$3:$F$957,2,0),0)</f>
        <v>0</v>
      </c>
      <c r="C406" s="17">
        <f t="shared" si="120"/>
        <v>64230.078664627203</v>
      </c>
      <c r="D406" s="41">
        <v>10120111</v>
      </c>
      <c r="E406" s="122" t="str">
        <f>VLOOKUP(D406,'MPG Payment '!$E$3:$G$498218,2,0)</f>
        <v>GOMUKH Kisanpur Tabhka</v>
      </c>
      <c r="F406" s="146">
        <f>IFERROR(_xlfn.XLOOKUP(D406,'Monthly Deduction'!$I$3:$I$957,'Monthly Deduction'!$H$3:$H$957),0)</f>
        <v>0</v>
      </c>
      <c r="G406" s="123" t="str">
        <f>VLOOKUP(D406,'MPG Payment '!$E$3:$G$334579,3,0)</f>
        <v>MPG</v>
      </c>
      <c r="H406" s="124" t="str">
        <f>VLOOKUP(D406,'MPG Payment '!$E$3:$H$334579,4,0)</f>
        <v>Direct</v>
      </c>
      <c r="I406" s="88">
        <f>INDEX('MPG Payment '!$C:$C,MATCH('Shayak Income '!D406,'MPG Payment '!E:E,0))</f>
        <v>1012</v>
      </c>
      <c r="J406" s="88" t="str">
        <f>INDEX('MPG Payment '!$D:$D,MATCH('Shayak Income '!D406,'MPG Payment '!E:E,0))</f>
        <v>DalsinghSarai</v>
      </c>
      <c r="K406" s="125" t="s">
        <v>1322</v>
      </c>
      <c r="L406" s="125">
        <v>45870</v>
      </c>
      <c r="M406" s="126">
        <f>SUMIF('MPG Payment '!$E$3:$E$34579,'Shayak Income '!D406,'MPG Payment '!$I$3:$I$34579)</f>
        <v>4578.4800000000005</v>
      </c>
      <c r="N406" s="126">
        <f>SUMIF('MPG Payment '!$E$3:$E$34579,'Shayak Income '!D406,'MPG Payment '!$J$3:$J$34579)</f>
        <v>177621.82405437602</v>
      </c>
      <c r="O406" s="126">
        <f t="shared" si="121"/>
        <v>3433.8600000000006</v>
      </c>
      <c r="P406" s="126">
        <f t="shared" si="122"/>
        <v>4349.5560000000005</v>
      </c>
      <c r="Q406" s="126">
        <f>SUMIF('MPG Payment '!$E$3:$E$34579,'Shayak Income '!D406,'MPG Payment '!$S$3:$S$34579)</f>
        <v>309.60802818000002</v>
      </c>
      <c r="R406" s="126">
        <f t="shared" si="112"/>
        <v>5328.6547216312802</v>
      </c>
      <c r="S406" s="126">
        <f t="shared" si="113"/>
        <v>979.09872163127966</v>
      </c>
      <c r="T406" s="126">
        <f t="shared" si="123"/>
        <v>457.84800000000007</v>
      </c>
      <c r="U406" s="127">
        <f>(((IF(K406="New",0,SUMIF('MPG Payment '!$E$3:$E$34579,'Shayak Income '!D406,'MPG Payment '!$AC$3:$AC$34579))))+0)+0</f>
        <v>0</v>
      </c>
      <c r="V406" s="127">
        <f t="shared" si="124"/>
        <v>7635</v>
      </c>
      <c r="W406" s="19">
        <f t="shared" si="128"/>
        <v>3552.4364810875204</v>
      </c>
      <c r="X406" s="19">
        <v>0</v>
      </c>
      <c r="Y406" s="128">
        <f>IFERROR(VLOOKUP(D406,'Monthly Deduction'!$M$2:$N$64,2,0),0)</f>
        <v>0</v>
      </c>
      <c r="Z406" s="128">
        <v>0</v>
      </c>
      <c r="AA406" s="126">
        <f>IFERROR(VLOOKUP(D406,'Monthly Deduction'!A:B,2,0),0)</f>
        <v>0</v>
      </c>
      <c r="AB406" s="129">
        <f t="shared" si="115"/>
        <v>4083</v>
      </c>
      <c r="AC406" s="130">
        <v>0</v>
      </c>
      <c r="AD406" s="35">
        <f t="shared" si="125"/>
        <v>4083</v>
      </c>
      <c r="AE406" s="166" t="str">
        <f t="shared" si="126"/>
        <v>Release</v>
      </c>
      <c r="AF406" s="127"/>
      <c r="AG406" s="18">
        <v>0</v>
      </c>
      <c r="AH406" s="132"/>
      <c r="AI406" s="238">
        <v>0</v>
      </c>
      <c r="AJ406" s="132"/>
      <c r="AK406" s="151">
        <v>1286.99</v>
      </c>
      <c r="AL406" s="154">
        <f t="shared" si="116"/>
        <v>0</v>
      </c>
      <c r="AM406" s="155"/>
      <c r="AN406" s="19">
        <f t="shared" si="117"/>
        <v>3552.4364810875204</v>
      </c>
      <c r="AO406" s="118">
        <f>SUMIF('MPG Payment '!E:E,'Shayak Income '!D406,'MPG Payment '!AJ:AJ)</f>
        <v>0</v>
      </c>
      <c r="AP406" s="19">
        <f t="shared" si="118"/>
        <v>3552.4364810875204</v>
      </c>
      <c r="AQ406" s="119">
        <f t="shared" si="127"/>
        <v>3552.4364810875204</v>
      </c>
      <c r="AR406" s="91"/>
      <c r="AS406" s="91">
        <f t="shared" si="119"/>
        <v>0</v>
      </c>
      <c r="AT406" s="118"/>
      <c r="AU406" s="118"/>
      <c r="AV406" s="118"/>
    </row>
    <row r="407" spans="1:48" s="20" customFormat="1" x14ac:dyDescent="0.25">
      <c r="A407" s="17">
        <f>IFERROR(VLOOKUP(D407,'Monthly Deduction'!$I$3:$J$957,2,0),0)</f>
        <v>4007.8813933388155</v>
      </c>
      <c r="B407" s="17">
        <f>IFERROR(VLOOKUP(D407,'Monthly Deduction'!$E$3:$F$957,2,0),0)</f>
        <v>4162.4417999999987</v>
      </c>
      <c r="C407" s="17">
        <f t="shared" si="120"/>
        <v>8170.3231933388142</v>
      </c>
      <c r="D407" s="41">
        <v>10130001</v>
      </c>
      <c r="E407" s="122" t="str">
        <f>VLOOKUP(D407,'MPG Payment '!$E$3:$G$498218,2,0)</f>
        <v>GOMUKH BANGHARH KISHANPUR</v>
      </c>
      <c r="F407" s="146">
        <f>IFERROR(_xlfn.XLOOKUP(D407,'Monthly Deduction'!$I$3:$I$957,'Monthly Deduction'!$H$3:$H$957),0)</f>
        <v>0</v>
      </c>
      <c r="G407" s="123" t="str">
        <f>VLOOKUP(D407,'MPG Payment '!$E$3:$G$334579,3,0)</f>
        <v>MPG</v>
      </c>
      <c r="H407" s="124" t="str">
        <f>VLOOKUP(D407,'MPG Payment '!$E$3:$H$334579,4,0)</f>
        <v>Direct</v>
      </c>
      <c r="I407" s="88">
        <f>INDEX('MPG Payment '!$C:$C,MATCH('Shayak Income '!D407,'MPG Payment '!E:E,0))</f>
        <v>1013</v>
      </c>
      <c r="J407" s="88" t="str">
        <f>INDEX('MPG Payment '!$D:$D,MATCH('Shayak Income '!D407,'MPG Payment '!E:E,0))</f>
        <v>Musrigharari</v>
      </c>
      <c r="K407" s="125" t="s">
        <v>1322</v>
      </c>
      <c r="L407" s="125">
        <v>43622</v>
      </c>
      <c r="M407" s="126">
        <f>SUMIF('MPG Payment '!$E$3:$E$34579,'Shayak Income '!D407,'MPG Payment '!$I$3:$I$34579)</f>
        <v>2781.9</v>
      </c>
      <c r="N407" s="126">
        <f>SUMIF('MPG Payment '!$E$3:$E$34579,'Shayak Income '!D407,'MPG Payment '!$J$3:$J$34579)</f>
        <v>97695.227570328992</v>
      </c>
      <c r="O407" s="126">
        <f t="shared" si="121"/>
        <v>2086.4250000000002</v>
      </c>
      <c r="P407" s="126">
        <f t="shared" si="122"/>
        <v>2642.8049999999998</v>
      </c>
      <c r="Q407" s="126">
        <f>SUMIF('MPG Payment '!$E$3:$E$34579,'Shayak Income '!D407,'MPG Payment '!$S$3:$S$34579)</f>
        <v>760.25613798150005</v>
      </c>
      <c r="R407" s="126">
        <f t="shared" si="112"/>
        <v>2930.8568271098698</v>
      </c>
      <c r="S407" s="126">
        <f t="shared" si="113"/>
        <v>288.05182710986992</v>
      </c>
      <c r="T407" s="126">
        <f t="shared" si="123"/>
        <v>278.19</v>
      </c>
      <c r="U407" s="127">
        <f>(((IF(K407="New",0,SUMIF('MPG Payment '!$E$3:$E$34579,'Shayak Income '!D407,'MPG Payment '!$AC$3:$AC$34579))))+0)+0</f>
        <v>84.977332515337423</v>
      </c>
      <c r="V407" s="127">
        <f t="shared" si="124"/>
        <v>5126</v>
      </c>
      <c r="W407" s="19">
        <f t="shared" si="128"/>
        <v>1953.9045514065799</v>
      </c>
      <c r="X407" s="19">
        <v>0</v>
      </c>
      <c r="Y407" s="128">
        <f>IFERROR(VLOOKUP(D407,'Monthly Deduction'!$M$2:$N$64,2,0),0)</f>
        <v>0</v>
      </c>
      <c r="Z407" s="128">
        <v>0</v>
      </c>
      <c r="AA407" s="126">
        <f>IFERROR(VLOOKUP(D407,'Monthly Deduction'!A:B,2,0),0)</f>
        <v>0</v>
      </c>
      <c r="AB407" s="129">
        <f t="shared" si="115"/>
        <v>3172</v>
      </c>
      <c r="AC407" s="130">
        <v>0</v>
      </c>
      <c r="AD407" s="35">
        <f t="shared" si="125"/>
        <v>3172</v>
      </c>
      <c r="AE407" s="166" t="str">
        <f t="shared" si="126"/>
        <v>Release</v>
      </c>
      <c r="AF407" s="127"/>
      <c r="AG407" s="18">
        <v>0</v>
      </c>
      <c r="AH407" s="132"/>
      <c r="AI407" s="238">
        <v>0</v>
      </c>
      <c r="AJ407" s="132"/>
      <c r="AK407" s="151">
        <v>510.4</v>
      </c>
      <c r="AL407" s="154">
        <f t="shared" si="116"/>
        <v>0</v>
      </c>
      <c r="AM407" s="155"/>
      <c r="AN407" s="19">
        <f t="shared" si="117"/>
        <v>1953.9045514065799</v>
      </c>
      <c r="AO407" s="118">
        <f>SUMIF('MPG Payment '!E:E,'Shayak Income '!D407,'MPG Payment '!AJ:AJ)</f>
        <v>0</v>
      </c>
      <c r="AP407" s="19">
        <f t="shared" si="118"/>
        <v>1953.9045514065799</v>
      </c>
      <c r="AQ407" s="119">
        <f t="shared" si="127"/>
        <v>1953.9045514065799</v>
      </c>
      <c r="AR407" s="91"/>
      <c r="AS407" s="91">
        <f t="shared" si="119"/>
        <v>4162.4417999999987</v>
      </c>
      <c r="AT407" s="118"/>
      <c r="AU407" s="118"/>
      <c r="AV407" s="118"/>
    </row>
    <row r="408" spans="1:48" s="20" customFormat="1" x14ac:dyDescent="0.25">
      <c r="A408" s="17">
        <f>IFERROR(VLOOKUP(D408,'Monthly Deduction'!$I$3:$J$957,2,0),0)</f>
        <v>0</v>
      </c>
      <c r="B408" s="17">
        <f>IFERROR(VLOOKUP(D408,'Monthly Deduction'!$E$3:$F$957,2,0),0)</f>
        <v>13576.075400000002</v>
      </c>
      <c r="C408" s="17">
        <f t="shared" si="120"/>
        <v>13576.075400000002</v>
      </c>
      <c r="D408" s="41">
        <v>10130002</v>
      </c>
      <c r="E408" s="122" t="str">
        <f>VLOOKUP(D408,'MPG Payment '!$E$3:$G$498218,2,0)</f>
        <v>Gomukh Serpur Narsari</v>
      </c>
      <c r="F408" s="146">
        <f>IFERROR(_xlfn.XLOOKUP(D408,'Monthly Deduction'!$I$3:$I$957,'Monthly Deduction'!$H$3:$H$957),0)</f>
        <v>0</v>
      </c>
      <c r="G408" s="123" t="str">
        <f>VLOOKUP(D408,'MPG Payment '!$E$3:$G$334579,3,0)</f>
        <v>vlc</v>
      </c>
      <c r="H408" s="124" t="str">
        <f>VLOOKUP(D408,'MPG Payment '!$E$3:$H$334579,4,0)</f>
        <v>Indirect</v>
      </c>
      <c r="I408" s="88">
        <f>INDEX('MPG Payment '!$C:$C,MATCH('Shayak Income '!D408,'MPG Payment '!E:E,0))</f>
        <v>1013</v>
      </c>
      <c r="J408" s="88" t="str">
        <f>INDEX('MPG Payment '!$D:$D,MATCH('Shayak Income '!D408,'MPG Payment '!E:E,0))</f>
        <v>Musrigharari</v>
      </c>
      <c r="K408" s="125" t="s">
        <v>1322</v>
      </c>
      <c r="L408" s="125">
        <v>43756</v>
      </c>
      <c r="M408" s="126">
        <f>SUMIF('MPG Payment '!$E$3:$E$34579,'Shayak Income '!D408,'MPG Payment '!$I$3:$I$34579)</f>
        <v>474.59999999999997</v>
      </c>
      <c r="N408" s="126">
        <f>SUMIF('MPG Payment '!$E$3:$E$34579,'Shayak Income '!D408,'MPG Payment '!$J$3:$J$34579)</f>
        <v>15087.34211306</v>
      </c>
      <c r="O408" s="126">
        <f t="shared" si="121"/>
        <v>355.95</v>
      </c>
      <c r="P408" s="126">
        <f t="shared" si="122"/>
        <v>450.86999999999995</v>
      </c>
      <c r="Q408" s="126">
        <f>SUMIF('MPG Payment '!$E$3:$E$34579,'Shayak Income '!D408,'MPG Payment '!$S$3:$S$34579)</f>
        <v>0</v>
      </c>
      <c r="R408" s="126">
        <f t="shared" si="112"/>
        <v>452.62026339179999</v>
      </c>
      <c r="S408" s="126">
        <f t="shared" si="113"/>
        <v>1.750263391800047</v>
      </c>
      <c r="T408" s="126">
        <f t="shared" si="123"/>
        <v>47.46</v>
      </c>
      <c r="U408" s="127">
        <f>(((IF(K408="New",0,SUMIF('MPG Payment '!$E$3:$E$34579,'Shayak Income '!D408,'MPG Payment '!$AC$3:$AC$34579))))+0)+-720</f>
        <v>759.22828029728885</v>
      </c>
      <c r="V408" s="127">
        <f t="shared" si="124"/>
        <v>0</v>
      </c>
      <c r="W408" s="19">
        <v>0</v>
      </c>
      <c r="X408" s="19">
        <v>0</v>
      </c>
      <c r="Y408" s="128">
        <v>0</v>
      </c>
      <c r="Z408" s="128">
        <v>0</v>
      </c>
      <c r="AA408" s="126">
        <v>0</v>
      </c>
      <c r="AB408" s="129">
        <f t="shared" si="115"/>
        <v>0</v>
      </c>
      <c r="AC408" s="130">
        <v>0</v>
      </c>
      <c r="AD408" s="35">
        <f t="shared" si="125"/>
        <v>0</v>
      </c>
      <c r="AE408" s="166" t="str">
        <f t="shared" si="126"/>
        <v>Release</v>
      </c>
      <c r="AF408" s="127"/>
      <c r="AG408" s="18">
        <v>0</v>
      </c>
      <c r="AH408" s="132"/>
      <c r="AI408" s="238">
        <v>0</v>
      </c>
      <c r="AJ408" s="132"/>
      <c r="AK408" s="151">
        <v>114.5</v>
      </c>
      <c r="AL408" s="154">
        <f t="shared" si="116"/>
        <v>0</v>
      </c>
      <c r="AM408" s="155"/>
      <c r="AN408" s="19">
        <f t="shared" si="117"/>
        <v>0</v>
      </c>
      <c r="AO408" s="118">
        <f>SUMIF('MPG Payment '!E:E,'Shayak Income '!D408,'MPG Payment '!AJ:AJ)</f>
        <v>0</v>
      </c>
      <c r="AP408" s="19">
        <f t="shared" si="118"/>
        <v>0</v>
      </c>
      <c r="AQ408" s="119">
        <f t="shared" si="127"/>
        <v>0</v>
      </c>
      <c r="AR408" s="91" t="s">
        <v>1168</v>
      </c>
      <c r="AS408" s="91">
        <f t="shared" si="119"/>
        <v>13576.075400000002</v>
      </c>
      <c r="AT408" s="118"/>
      <c r="AU408" s="118"/>
      <c r="AV408" s="118"/>
    </row>
    <row r="409" spans="1:48" s="20" customFormat="1" x14ac:dyDescent="0.25">
      <c r="A409" s="17">
        <f>IFERROR(VLOOKUP(D409,'Monthly Deduction'!$I$3:$J$957,2,0),0)</f>
        <v>0</v>
      </c>
      <c r="B409" s="17">
        <f>IFERROR(VLOOKUP(D409,'Monthly Deduction'!$E$3:$F$957,2,0),0)</f>
        <v>0</v>
      </c>
      <c r="C409" s="17">
        <f t="shared" si="120"/>
        <v>0</v>
      </c>
      <c r="D409" s="41">
        <v>10130003</v>
      </c>
      <c r="E409" s="122" t="str">
        <f>VLOOKUP(D409,'MPG Payment '!$E$3:$G$498218,2,0)</f>
        <v>PARORIYA</v>
      </c>
      <c r="F409" s="146">
        <f>IFERROR(_xlfn.XLOOKUP(D409,'Monthly Deduction'!$I$3:$I$957,'Monthly Deduction'!$H$3:$H$957),0)</f>
        <v>0</v>
      </c>
      <c r="G409" s="123" t="str">
        <f>VLOOKUP(D409,'MPG Payment '!$E$3:$G$334579,3,0)</f>
        <v>MPG</v>
      </c>
      <c r="H409" s="124" t="str">
        <f>VLOOKUP(D409,'MPG Payment '!$E$3:$H$334579,4,0)</f>
        <v>Direct</v>
      </c>
      <c r="I409" s="88">
        <f>INDEX('MPG Payment '!$C:$C,MATCH('Shayak Income '!D409,'MPG Payment '!E:E,0))</f>
        <v>1013</v>
      </c>
      <c r="J409" s="88" t="str">
        <f>INDEX('MPG Payment '!$D:$D,MATCH('Shayak Income '!D409,'MPG Payment '!E:E,0))</f>
        <v>Musrigharari</v>
      </c>
      <c r="K409" s="125" t="s">
        <v>1322</v>
      </c>
      <c r="L409" s="125">
        <v>43756</v>
      </c>
      <c r="M409" s="126">
        <f>SUMIF('MPG Payment '!$E$3:$E$34579,'Shayak Income '!D409,'MPG Payment '!$I$3:$I$34579)</f>
        <v>381.79999999999995</v>
      </c>
      <c r="N409" s="126">
        <f>SUMIF('MPG Payment '!$E$3:$E$34579,'Shayak Income '!D409,'MPG Payment '!$J$3:$J$34579)</f>
        <v>12838.237330112501</v>
      </c>
      <c r="O409" s="126">
        <f t="shared" si="121"/>
        <v>286.34999999999997</v>
      </c>
      <c r="P409" s="126">
        <f t="shared" si="122"/>
        <v>362.70999999999992</v>
      </c>
      <c r="Q409" s="126">
        <f>SUMIF('MPG Payment '!$E$3:$E$34579,'Shayak Income '!D409,'MPG Payment '!$S$3:$S$34579)</f>
        <v>67.548255624000006</v>
      </c>
      <c r="R409" s="126">
        <f t="shared" si="112"/>
        <v>385.14711990337503</v>
      </c>
      <c r="S409" s="126">
        <f t="shared" si="113"/>
        <v>22.437119903375105</v>
      </c>
      <c r="T409" s="126">
        <f t="shared" si="123"/>
        <v>38.18</v>
      </c>
      <c r="U409" s="127">
        <f>(((IF(K409="New",0,SUMIF('MPG Payment '!$E$3:$E$34579,'Shayak Income '!D409,'MPG Payment '!$AC$3:$AC$34579))))+0)+-915</f>
        <v>678.56844229634498</v>
      </c>
      <c r="V409" s="127">
        <f t="shared" si="124"/>
        <v>0</v>
      </c>
      <c r="W409" s="19">
        <v>0</v>
      </c>
      <c r="X409" s="19">
        <v>0</v>
      </c>
      <c r="Y409" s="128">
        <f>IFERROR(VLOOKUP(D409,'Monthly Deduction'!$M$2:$N$64,2,0),0)</f>
        <v>0</v>
      </c>
      <c r="Z409" s="128">
        <v>0</v>
      </c>
      <c r="AA409" s="126">
        <f>IFERROR(VLOOKUP(D409,'Monthly Deduction'!A:B,2,0),0)</f>
        <v>0</v>
      </c>
      <c r="AB409" s="129">
        <f t="shared" si="115"/>
        <v>0</v>
      </c>
      <c r="AC409" s="130">
        <v>0</v>
      </c>
      <c r="AD409" s="35">
        <f t="shared" si="125"/>
        <v>0</v>
      </c>
      <c r="AE409" s="166" t="str">
        <f t="shared" si="126"/>
        <v>Release</v>
      </c>
      <c r="AF409" s="127"/>
      <c r="AG409" s="18">
        <v>0</v>
      </c>
      <c r="AH409" s="132"/>
      <c r="AI409" s="238">
        <v>0</v>
      </c>
      <c r="AJ409" s="132"/>
      <c r="AK409" s="151">
        <v>205.10000000000002</v>
      </c>
      <c r="AL409" s="154">
        <f t="shared" si="116"/>
        <v>0</v>
      </c>
      <c r="AM409" s="155"/>
      <c r="AN409" s="19">
        <f t="shared" si="117"/>
        <v>0</v>
      </c>
      <c r="AO409" s="118">
        <f>SUMIF('MPG Payment '!E:E,'Shayak Income '!D409,'MPG Payment '!AJ:AJ)</f>
        <v>0</v>
      </c>
      <c r="AP409" s="19">
        <f t="shared" si="118"/>
        <v>0</v>
      </c>
      <c r="AQ409" s="119">
        <f t="shared" si="127"/>
        <v>0</v>
      </c>
      <c r="AR409" s="91" t="s">
        <v>1168</v>
      </c>
      <c r="AS409" s="91">
        <f t="shared" si="119"/>
        <v>0</v>
      </c>
      <c r="AT409" s="118"/>
      <c r="AU409" s="118"/>
      <c r="AV409" s="118"/>
    </row>
    <row r="410" spans="1:48" s="20" customFormat="1" x14ac:dyDescent="0.25">
      <c r="A410" s="17">
        <f>IFERROR(VLOOKUP(D410,'Monthly Deduction'!$I$3:$J$957,2,0),0)</f>
        <v>0</v>
      </c>
      <c r="B410" s="17">
        <f>IFERROR(VLOOKUP(D410,'Monthly Deduction'!$E$3:$F$957,2,0),0)</f>
        <v>0</v>
      </c>
      <c r="C410" s="17">
        <f t="shared" si="120"/>
        <v>0</v>
      </c>
      <c r="D410" s="41">
        <v>10130005</v>
      </c>
      <c r="E410" s="122" t="str">
        <f>VLOOKUP(D410,'MPG Payment '!$E$3:$G$498218,2,0)</f>
        <v>JHAKHRA</v>
      </c>
      <c r="F410" s="146">
        <f>IFERROR(_xlfn.XLOOKUP(D410,'Monthly Deduction'!$I$3:$I$957,'Monthly Deduction'!$H$3:$H$957),0)</f>
        <v>0</v>
      </c>
      <c r="G410" s="123" t="str">
        <f>VLOOKUP(D410,'MPG Payment '!$E$3:$G$334579,3,0)</f>
        <v>vlc</v>
      </c>
      <c r="H410" s="124" t="str">
        <f>VLOOKUP(D410,'MPG Payment '!$E$3:$H$334579,4,0)</f>
        <v>Indirect</v>
      </c>
      <c r="I410" s="88">
        <f>INDEX('MPG Payment '!$C:$C,MATCH('Shayak Income '!D410,'MPG Payment '!E:E,0))</f>
        <v>1013</v>
      </c>
      <c r="J410" s="88" t="str">
        <f>INDEX('MPG Payment '!$D:$D,MATCH('Shayak Income '!D410,'MPG Payment '!E:E,0))</f>
        <v>Musrigharari</v>
      </c>
      <c r="K410" s="125" t="s">
        <v>1322</v>
      </c>
      <c r="L410" s="125">
        <v>43758</v>
      </c>
      <c r="M410" s="126">
        <f>SUMIF('MPG Payment '!$E$3:$E$34579,'Shayak Income '!D410,'MPG Payment '!$I$3:$I$34579)</f>
        <v>181.90000000000003</v>
      </c>
      <c r="N410" s="126">
        <f>SUMIF('MPG Payment '!$E$3:$E$34579,'Shayak Income '!D410,'MPG Payment '!$J$3:$J$34579)</f>
        <v>5911.5998303779998</v>
      </c>
      <c r="O410" s="126">
        <f t="shared" si="121"/>
        <v>136.42500000000001</v>
      </c>
      <c r="P410" s="126">
        <f t="shared" si="122"/>
        <v>172.80500000000004</v>
      </c>
      <c r="Q410" s="126">
        <f>SUMIF('MPG Payment '!$E$3:$E$34579,'Shayak Income '!D410,'MPG Payment '!$S$3:$S$34579)</f>
        <v>0</v>
      </c>
      <c r="R410" s="126">
        <f t="shared" si="112"/>
        <v>177.34799491133998</v>
      </c>
      <c r="S410" s="126">
        <f t="shared" si="113"/>
        <v>4.5429949113399459</v>
      </c>
      <c r="T410" s="126">
        <f t="shared" si="123"/>
        <v>18.190000000000005</v>
      </c>
      <c r="U410" s="127">
        <f>(((IF(K410="New",0,SUMIF('MPG Payment '!$E$3:$E$34579,'Shayak Income '!D410,'MPG Payment '!$AC$3:$AC$34579))))+0)+-1410</f>
        <v>290.54615971287103</v>
      </c>
      <c r="V410" s="127">
        <f t="shared" si="124"/>
        <v>0</v>
      </c>
      <c r="W410" s="19">
        <v>0</v>
      </c>
      <c r="X410" s="19">
        <v>0</v>
      </c>
      <c r="Y410" s="128">
        <f>IFERROR(VLOOKUP(D410,'Monthly Deduction'!$M$2:$N$64,2,0),0)</f>
        <v>0</v>
      </c>
      <c r="Z410" s="128">
        <v>0</v>
      </c>
      <c r="AA410" s="126">
        <f>IFERROR(VLOOKUP(D410,'Monthly Deduction'!A:B,2,0),0)</f>
        <v>0</v>
      </c>
      <c r="AB410" s="129">
        <f t="shared" si="115"/>
        <v>0</v>
      </c>
      <c r="AC410" s="130">
        <v>0</v>
      </c>
      <c r="AD410" s="35">
        <f t="shared" si="125"/>
        <v>0</v>
      </c>
      <c r="AE410" s="166" t="str">
        <f t="shared" si="126"/>
        <v>Release</v>
      </c>
      <c r="AF410" s="127"/>
      <c r="AG410" s="18">
        <v>0</v>
      </c>
      <c r="AH410" s="120"/>
      <c r="AI410" s="238">
        <v>0</v>
      </c>
      <c r="AJ410" s="132"/>
      <c r="AK410" s="151">
        <v>45.600000000000009</v>
      </c>
      <c r="AL410" s="154">
        <f t="shared" si="116"/>
        <v>0</v>
      </c>
      <c r="AM410" s="155"/>
      <c r="AN410" s="19">
        <f t="shared" si="117"/>
        <v>0</v>
      </c>
      <c r="AO410" s="118">
        <f>SUMIF('MPG Payment '!E:E,'Shayak Income '!D410,'MPG Payment '!AJ:AJ)</f>
        <v>0</v>
      </c>
      <c r="AP410" s="19">
        <f t="shared" si="118"/>
        <v>0</v>
      </c>
      <c r="AQ410" s="119">
        <f t="shared" si="127"/>
        <v>0</v>
      </c>
      <c r="AR410" s="91" t="s">
        <v>1168</v>
      </c>
      <c r="AS410" s="91">
        <f t="shared" si="119"/>
        <v>0</v>
      </c>
      <c r="AT410" s="118"/>
      <c r="AU410" s="118"/>
      <c r="AV410" s="118"/>
    </row>
    <row r="411" spans="1:48" s="20" customFormat="1" x14ac:dyDescent="0.25">
      <c r="A411" s="17">
        <f>IFERROR(VLOOKUP(D411,'Monthly Deduction'!$I$3:$J$957,2,0),0)</f>
        <v>2877.7067990284268</v>
      </c>
      <c r="B411" s="17">
        <f>IFERROR(VLOOKUP(D411,'Monthly Deduction'!$E$3:$F$957,2,0),0)</f>
        <v>0</v>
      </c>
      <c r="C411" s="17">
        <f t="shared" si="120"/>
        <v>2877.7067990284268</v>
      </c>
      <c r="D411" s="41">
        <v>10130006</v>
      </c>
      <c r="E411" s="122" t="str">
        <f>VLOOKUP(D411,'MPG Payment '!$E$3:$G$498218,2,0)</f>
        <v>GOMUKH ANDAHA</v>
      </c>
      <c r="F411" s="146">
        <f>IFERROR(_xlfn.XLOOKUP(D411,'Monthly Deduction'!$I$3:$I$957,'Monthly Deduction'!$H$3:$H$957),0)</f>
        <v>0</v>
      </c>
      <c r="G411" s="123" t="str">
        <f>VLOOKUP(D411,'MPG Payment '!$E$3:$G$334579,3,0)</f>
        <v>MPG</v>
      </c>
      <c r="H411" s="124" t="str">
        <f>VLOOKUP(D411,'MPG Payment '!$E$3:$H$334579,4,0)</f>
        <v>Direct</v>
      </c>
      <c r="I411" s="88">
        <f>INDEX('MPG Payment '!$C:$C,MATCH('Shayak Income '!D411,'MPG Payment '!E:E,0))</f>
        <v>1013</v>
      </c>
      <c r="J411" s="88" t="str">
        <f>INDEX('MPG Payment '!$D:$D,MATCH('Shayak Income '!D411,'MPG Payment '!E:E,0))</f>
        <v>Musrigharari</v>
      </c>
      <c r="K411" s="125" t="s">
        <v>1322</v>
      </c>
      <c r="L411" s="125">
        <v>43786</v>
      </c>
      <c r="M411" s="126">
        <f>SUMIF('MPG Payment '!$E$3:$E$34579,'Shayak Income '!D411,'MPG Payment '!$I$3:$I$34579)</f>
        <v>2044.1999999999998</v>
      </c>
      <c r="N411" s="126">
        <f>SUMIF('MPG Payment '!$E$3:$E$34579,'Shayak Income '!D411,'MPG Payment '!$J$3:$J$34579)</f>
        <v>71184.534181440002</v>
      </c>
      <c r="O411" s="126">
        <f t="shared" si="121"/>
        <v>1533.1499999999999</v>
      </c>
      <c r="P411" s="126">
        <f t="shared" si="122"/>
        <v>1941.9899999999998</v>
      </c>
      <c r="Q411" s="126">
        <f>SUMIF('MPG Payment '!$E$3:$E$34579,'Shayak Income '!D411,'MPG Payment '!$S$3:$S$34579)</f>
        <v>4.9343096880000008</v>
      </c>
      <c r="R411" s="126">
        <f t="shared" si="112"/>
        <v>2135.5360254431998</v>
      </c>
      <c r="S411" s="126">
        <f t="shared" si="113"/>
        <v>193.54602544320005</v>
      </c>
      <c r="T411" s="126">
        <f t="shared" si="123"/>
        <v>204.42</v>
      </c>
      <c r="U411" s="127">
        <f>(((IF(K411="New",0,SUMIF('MPG Payment '!$E$3:$E$34579,'Shayak Income '!D411,'MPG Payment '!$AC$3:$AC$34579))))+0)+0</f>
        <v>525.95409306453985</v>
      </c>
      <c r="V411" s="127">
        <f t="shared" si="124"/>
        <v>2750</v>
      </c>
      <c r="W411" s="19">
        <f t="shared" si="128"/>
        <v>1861</v>
      </c>
      <c r="X411" s="19">
        <v>0</v>
      </c>
      <c r="Y411" s="128">
        <f>IFERROR(VLOOKUP(D411,'Monthly Deduction'!$M$2:$N$64,2,0),0)</f>
        <v>0</v>
      </c>
      <c r="Z411" s="128">
        <v>0</v>
      </c>
      <c r="AA411" s="126">
        <f>IFERROR(VLOOKUP(D411,'Monthly Deduction'!A:B,2,0),0)</f>
        <v>0</v>
      </c>
      <c r="AB411" s="129">
        <f t="shared" si="115"/>
        <v>889</v>
      </c>
      <c r="AC411" s="130">
        <v>0</v>
      </c>
      <c r="AD411" s="35">
        <f t="shared" si="125"/>
        <v>889</v>
      </c>
      <c r="AE411" s="166" t="str">
        <f t="shared" si="126"/>
        <v>Release</v>
      </c>
      <c r="AF411" s="127"/>
      <c r="AG411" s="18">
        <v>0</v>
      </c>
      <c r="AH411" s="120"/>
      <c r="AI411" s="238">
        <v>0</v>
      </c>
      <c r="AJ411" s="132"/>
      <c r="AK411" s="151">
        <v>534.5</v>
      </c>
      <c r="AL411" s="154">
        <f t="shared" si="116"/>
        <v>0</v>
      </c>
      <c r="AM411" s="155"/>
      <c r="AN411" s="19">
        <f t="shared" si="117"/>
        <v>1861</v>
      </c>
      <c r="AO411" s="118">
        <f>SUMIF('MPG Payment '!E:E,'Shayak Income '!D411,'MPG Payment '!AJ:AJ)</f>
        <v>0</v>
      </c>
      <c r="AP411" s="19">
        <f t="shared" si="118"/>
        <v>1861</v>
      </c>
      <c r="AQ411" s="119">
        <f t="shared" si="127"/>
        <v>1861</v>
      </c>
      <c r="AR411" s="91" t="s">
        <v>1168</v>
      </c>
      <c r="AS411" s="91">
        <f t="shared" si="119"/>
        <v>0</v>
      </c>
      <c r="AT411" s="118"/>
      <c r="AU411" s="118"/>
      <c r="AV411" s="118"/>
    </row>
    <row r="412" spans="1:48" s="20" customFormat="1" x14ac:dyDescent="0.25">
      <c r="A412" s="17">
        <f>IFERROR(VLOOKUP(D412,'Monthly Deduction'!$I$3:$J$957,2,0),0)</f>
        <v>0</v>
      </c>
      <c r="B412" s="17">
        <f>IFERROR(VLOOKUP(D412,'Monthly Deduction'!$E$3:$F$957,2,0),0)</f>
        <v>0</v>
      </c>
      <c r="C412" s="17">
        <f t="shared" si="120"/>
        <v>0</v>
      </c>
      <c r="D412" s="41">
        <v>10130008</v>
      </c>
      <c r="E412" s="122" t="str">
        <f>VLOOKUP(D412,'MPG Payment '!$E$3:$G$498218,2,0)</f>
        <v>Gomukha Rohua</v>
      </c>
      <c r="F412" s="146">
        <f>IFERROR(_xlfn.XLOOKUP(D412,'Monthly Deduction'!$I$3:$I$957,'Monthly Deduction'!$H$3:$H$957),0)</f>
        <v>0</v>
      </c>
      <c r="G412" s="123" t="str">
        <f>VLOOKUP(D412,'MPG Payment '!$E$3:$G$334579,3,0)</f>
        <v>MPG</v>
      </c>
      <c r="H412" s="124" t="str">
        <f>VLOOKUP(D412,'MPG Payment '!$E$3:$H$334579,4,0)</f>
        <v>Direct</v>
      </c>
      <c r="I412" s="88">
        <f>INDEX('MPG Payment '!$C:$C,MATCH('Shayak Income '!D412,'MPG Payment '!E:E,0))</f>
        <v>1013</v>
      </c>
      <c r="J412" s="88" t="str">
        <f>INDEX('MPG Payment '!$D:$D,MATCH('Shayak Income '!D412,'MPG Payment '!E:E,0))</f>
        <v>Musrigharari</v>
      </c>
      <c r="K412" s="125" t="s">
        <v>1322</v>
      </c>
      <c r="L412" s="125">
        <v>43913</v>
      </c>
      <c r="M412" s="126">
        <f>SUMIF('MPG Payment '!$E$3:$E$34579,'Shayak Income '!D412,'MPG Payment '!$I$3:$I$34579)</f>
        <v>3107.5000000000005</v>
      </c>
      <c r="N412" s="126">
        <f>SUMIF('MPG Payment '!$E$3:$E$34579,'Shayak Income '!D412,'MPG Payment '!$J$3:$J$34579)</f>
        <v>120023.2165520212</v>
      </c>
      <c r="O412" s="126">
        <f t="shared" si="121"/>
        <v>2330.6250000000005</v>
      </c>
      <c r="P412" s="126">
        <f t="shared" si="122"/>
        <v>2952.1250000000005</v>
      </c>
      <c r="Q412" s="126">
        <f>SUMIF('MPG Payment '!$E$3:$E$34579,'Shayak Income '!D412,'MPG Payment '!$S$3:$S$34579)</f>
        <v>1327.8937514915001</v>
      </c>
      <c r="R412" s="126">
        <f t="shared" si="112"/>
        <v>3600.6964965606358</v>
      </c>
      <c r="S412" s="126">
        <f t="shared" si="113"/>
        <v>648.5714965606353</v>
      </c>
      <c r="T412" s="126">
        <f t="shared" si="123"/>
        <v>310.75000000000006</v>
      </c>
      <c r="U412" s="127">
        <f>(((IF(K412="New",0,SUMIF('MPG Payment '!$E$3:$E$34579,'Shayak Income '!D412,'MPG Payment '!$AC$3:$AC$34579))))+0)+0</f>
        <v>0</v>
      </c>
      <c r="V412" s="127">
        <f t="shared" si="124"/>
        <v>6300</v>
      </c>
      <c r="W412" s="19">
        <f t="shared" si="128"/>
        <v>0</v>
      </c>
      <c r="X412" s="19">
        <f t="shared" si="114"/>
        <v>0</v>
      </c>
      <c r="Y412" s="128">
        <f>IFERROR(VLOOKUP(D412,'Monthly Deduction'!$M$2:$N$64,2,0),0)</f>
        <v>0</v>
      </c>
      <c r="Z412" s="128">
        <v>0</v>
      </c>
      <c r="AA412" s="126">
        <f>IFERROR(VLOOKUP(D412,'Monthly Deduction'!A:B,2,0),0)</f>
        <v>0</v>
      </c>
      <c r="AB412" s="129">
        <f t="shared" si="115"/>
        <v>6300</v>
      </c>
      <c r="AC412" s="130">
        <v>0</v>
      </c>
      <c r="AD412" s="35">
        <f t="shared" si="125"/>
        <v>6300</v>
      </c>
      <c r="AE412" s="166" t="str">
        <f t="shared" si="126"/>
        <v>Release</v>
      </c>
      <c r="AF412" s="127"/>
      <c r="AG412" s="18">
        <v>0</v>
      </c>
      <c r="AH412" s="120"/>
      <c r="AI412" s="238">
        <v>0</v>
      </c>
      <c r="AJ412" s="132"/>
      <c r="AK412" s="151">
        <v>753.7</v>
      </c>
      <c r="AL412" s="154">
        <f t="shared" si="116"/>
        <v>0</v>
      </c>
      <c r="AM412" s="155"/>
      <c r="AN412" s="19">
        <f t="shared" si="117"/>
        <v>0</v>
      </c>
      <c r="AO412" s="118">
        <f>SUMIF('MPG Payment '!E:E,'Shayak Income '!D412,'MPG Payment '!AJ:AJ)</f>
        <v>0</v>
      </c>
      <c r="AP412" s="19">
        <f t="shared" si="118"/>
        <v>0</v>
      </c>
      <c r="AQ412" s="119">
        <f t="shared" si="127"/>
        <v>0</v>
      </c>
      <c r="AR412" s="91" t="s">
        <v>1168</v>
      </c>
      <c r="AS412" s="91">
        <f t="shared" si="119"/>
        <v>0</v>
      </c>
      <c r="AT412" s="118"/>
      <c r="AU412" s="118"/>
      <c r="AV412" s="118"/>
    </row>
    <row r="413" spans="1:48" s="20" customFormat="1" x14ac:dyDescent="0.25">
      <c r="A413" s="17">
        <f>IFERROR(VLOOKUP(D413,'Monthly Deduction'!$I$3:$J$957,2,0),0)</f>
        <v>0</v>
      </c>
      <c r="B413" s="17">
        <f>IFERROR(VLOOKUP(D413,'Monthly Deduction'!$E$3:$F$957,2,0),0)</f>
        <v>0</v>
      </c>
      <c r="C413" s="17">
        <f t="shared" si="120"/>
        <v>0</v>
      </c>
      <c r="D413" s="41">
        <v>10130012</v>
      </c>
      <c r="E413" s="122" t="str">
        <f>VLOOKUP(D413,'MPG Payment '!$E$3:$G$498218,2,0)</f>
        <v>Gomukha Arniya Ganj</v>
      </c>
      <c r="F413" s="146">
        <f>IFERROR(_xlfn.XLOOKUP(D413,'Monthly Deduction'!$I$3:$I$957,'Monthly Deduction'!$H$3:$H$957),0)</f>
        <v>0</v>
      </c>
      <c r="G413" s="123" t="str">
        <f>VLOOKUP(D413,'MPG Payment '!$E$3:$G$334579,3,0)</f>
        <v>MPG</v>
      </c>
      <c r="H413" s="124" t="str">
        <f>VLOOKUP(D413,'MPG Payment '!$E$3:$H$334579,4,0)</f>
        <v>Direct</v>
      </c>
      <c r="I413" s="88">
        <f>INDEX('MPG Payment '!$C:$C,MATCH('Shayak Income '!D413,'MPG Payment '!E:E,0))</f>
        <v>1013</v>
      </c>
      <c r="J413" s="88" t="str">
        <f>INDEX('MPG Payment '!$D:$D,MATCH('Shayak Income '!D413,'MPG Payment '!E:E,0))</f>
        <v>Musrigharari</v>
      </c>
      <c r="K413" s="125" t="s">
        <v>1322</v>
      </c>
      <c r="L413" s="125">
        <v>44102</v>
      </c>
      <c r="M413" s="126">
        <f>SUMIF('MPG Payment '!$E$3:$E$34579,'Shayak Income '!D413,'MPG Payment '!$I$3:$I$34579)</f>
        <v>14031.6</v>
      </c>
      <c r="N413" s="126">
        <f>SUMIF('MPG Payment '!$E$3:$E$34579,'Shayak Income '!D413,'MPG Payment '!$J$3:$J$34579)</f>
        <v>513444.03088795196</v>
      </c>
      <c r="O413" s="126">
        <f t="shared" si="121"/>
        <v>10523.7</v>
      </c>
      <c r="P413" s="126">
        <f t="shared" si="122"/>
        <v>13330.02</v>
      </c>
      <c r="Q413" s="126">
        <f>SUMIF('MPG Payment '!$E$3:$E$34579,'Shayak Income '!D413,'MPG Payment '!$S$3:$S$34579)</f>
        <v>5226.2164096500001</v>
      </c>
      <c r="R413" s="126">
        <f t="shared" si="112"/>
        <v>15403.320926638558</v>
      </c>
      <c r="S413" s="126">
        <f t="shared" si="113"/>
        <v>2073.3009266385579</v>
      </c>
      <c r="T413" s="126">
        <f t="shared" si="123"/>
        <v>1403.16</v>
      </c>
      <c r="U413" s="127">
        <f>(((IF(K413="New",0,SUMIF('MPG Payment '!$E$3:$E$34579,'Shayak Income '!D413,'MPG Payment '!$AC$3:$AC$34579))))+0)+0</f>
        <v>0</v>
      </c>
      <c r="V413" s="127">
        <f t="shared" si="124"/>
        <v>27677</v>
      </c>
      <c r="W413" s="19">
        <f t="shared" si="128"/>
        <v>0</v>
      </c>
      <c r="X413" s="19">
        <f t="shared" si="114"/>
        <v>0</v>
      </c>
      <c r="Y413" s="128">
        <f>IFERROR(VLOOKUP(D413,'Monthly Deduction'!$M$2:$N$64,2,0),0)</f>
        <v>0</v>
      </c>
      <c r="Z413" s="128">
        <v>0</v>
      </c>
      <c r="AA413" s="126">
        <f>IFERROR(VLOOKUP(D413,'Monthly Deduction'!A:B,2,0),0)</f>
        <v>0</v>
      </c>
      <c r="AB413" s="129">
        <f t="shared" si="115"/>
        <v>27677</v>
      </c>
      <c r="AC413" s="130">
        <v>0</v>
      </c>
      <c r="AD413" s="35">
        <f t="shared" si="125"/>
        <v>27677</v>
      </c>
      <c r="AE413" s="166" t="str">
        <f t="shared" si="126"/>
        <v>Release</v>
      </c>
      <c r="AF413" s="127"/>
      <c r="AG413" s="18">
        <v>0</v>
      </c>
      <c r="AH413" s="120"/>
      <c r="AI413" s="238">
        <v>0</v>
      </c>
      <c r="AJ413" s="132"/>
      <c r="AK413" s="151">
        <v>3387.7999999999997</v>
      </c>
      <c r="AL413" s="154">
        <f t="shared" si="116"/>
        <v>0</v>
      </c>
      <c r="AM413" s="155"/>
      <c r="AN413" s="19">
        <f t="shared" si="117"/>
        <v>0</v>
      </c>
      <c r="AO413" s="118">
        <f>SUMIF('MPG Payment '!E:E,'Shayak Income '!D413,'MPG Payment '!AJ:AJ)</f>
        <v>0</v>
      </c>
      <c r="AP413" s="19">
        <f t="shared" si="118"/>
        <v>0</v>
      </c>
      <c r="AQ413" s="119">
        <f t="shared" si="127"/>
        <v>0</v>
      </c>
      <c r="AR413" s="91" t="s">
        <v>1168</v>
      </c>
      <c r="AS413" s="91">
        <f t="shared" si="119"/>
        <v>0</v>
      </c>
      <c r="AT413" s="118"/>
      <c r="AU413" s="118"/>
      <c r="AV413" s="118"/>
    </row>
    <row r="414" spans="1:48" s="20" customFormat="1" x14ac:dyDescent="0.25">
      <c r="A414" s="17">
        <f>IFERROR(VLOOKUP(D414,'Monthly Deduction'!$I$3:$J$957,2,0),0)</f>
        <v>0</v>
      </c>
      <c r="B414" s="17">
        <f>IFERROR(VLOOKUP(D414,'Monthly Deduction'!$E$3:$F$957,2,0),0)</f>
        <v>0</v>
      </c>
      <c r="C414" s="17">
        <f t="shared" si="120"/>
        <v>0</v>
      </c>
      <c r="D414" s="41">
        <v>10130015</v>
      </c>
      <c r="E414" s="122" t="str">
        <f>VLOOKUP(D414,'MPG Payment '!$E$3:$G$498218,2,0)</f>
        <v>Gomukha Vishanupatti II</v>
      </c>
      <c r="F414" s="146">
        <f>IFERROR(_xlfn.XLOOKUP(D414,'Monthly Deduction'!$I$3:$I$957,'Monthly Deduction'!$H$3:$H$957),0)</f>
        <v>0</v>
      </c>
      <c r="G414" s="123" t="str">
        <f>VLOOKUP(D414,'MPG Payment '!$E$3:$G$334579,3,0)</f>
        <v>vlc</v>
      </c>
      <c r="H414" s="124" t="str">
        <f>VLOOKUP(D414,'MPG Payment '!$E$3:$H$334579,4,0)</f>
        <v>Indirect</v>
      </c>
      <c r="I414" s="88">
        <f>INDEX('MPG Payment '!$C:$C,MATCH('Shayak Income '!D414,'MPG Payment '!E:E,0))</f>
        <v>1013</v>
      </c>
      <c r="J414" s="88" t="str">
        <f>INDEX('MPG Payment '!$D:$D,MATCH('Shayak Income '!D414,'MPG Payment '!E:E,0))</f>
        <v>Musrigharari</v>
      </c>
      <c r="K414" s="125" t="s">
        <v>1322</v>
      </c>
      <c r="L414" s="125">
        <v>44225</v>
      </c>
      <c r="M414" s="126">
        <f>SUMIF('MPG Payment '!$E$3:$E$34579,'Shayak Income '!D414,'MPG Payment '!$I$3:$I$34579)</f>
        <v>2221.6999999999998</v>
      </c>
      <c r="N414" s="126">
        <f>SUMIF('MPG Payment '!$E$3:$E$34579,'Shayak Income '!D414,'MPG Payment '!$J$3:$J$34579)</f>
        <v>82559.10559742499</v>
      </c>
      <c r="O414" s="126">
        <f t="shared" si="121"/>
        <v>1666.2749999999999</v>
      </c>
      <c r="P414" s="126">
        <f t="shared" si="122"/>
        <v>2110.6149999999998</v>
      </c>
      <c r="Q414" s="126">
        <f>SUMIF('MPG Payment '!$E$3:$E$34579,'Shayak Income '!D414,'MPG Payment '!$S$3:$S$34579)</f>
        <v>0</v>
      </c>
      <c r="R414" s="126">
        <f t="shared" si="112"/>
        <v>2476.7731679227495</v>
      </c>
      <c r="S414" s="126">
        <f t="shared" si="113"/>
        <v>366.15816792274973</v>
      </c>
      <c r="T414" s="126">
        <f t="shared" si="123"/>
        <v>222.17</v>
      </c>
      <c r="U414" s="127">
        <f>(((IF(K414="New",0,SUMIF('MPG Payment '!$E$3:$E$34579,'Shayak Income '!D414,'MPG Payment '!$AC$3:$AC$34579))))+0)+0</f>
        <v>433.18303218962836</v>
      </c>
      <c r="V414" s="127">
        <f t="shared" si="124"/>
        <v>3122</v>
      </c>
      <c r="W414" s="19">
        <f t="shared" si="128"/>
        <v>0</v>
      </c>
      <c r="X414" s="19">
        <f t="shared" si="114"/>
        <v>0</v>
      </c>
      <c r="Y414" s="128">
        <f>IFERROR(VLOOKUP(D414,'Monthly Deduction'!$M$2:$N$64,2,0),0)</f>
        <v>0</v>
      </c>
      <c r="Z414" s="128">
        <v>0</v>
      </c>
      <c r="AA414" s="126">
        <f>IFERROR(VLOOKUP(D414,'Monthly Deduction'!A:B,2,0),0)</f>
        <v>0</v>
      </c>
      <c r="AB414" s="129">
        <f t="shared" si="115"/>
        <v>3122</v>
      </c>
      <c r="AC414" s="130">
        <v>0</v>
      </c>
      <c r="AD414" s="35">
        <f t="shared" si="125"/>
        <v>3122</v>
      </c>
      <c r="AE414" s="166" t="str">
        <f t="shared" si="126"/>
        <v>Release</v>
      </c>
      <c r="AF414" s="127"/>
      <c r="AG414" s="127">
        <v>0</v>
      </c>
      <c r="AH414" s="132"/>
      <c r="AI414" s="238">
        <v>0</v>
      </c>
      <c r="AJ414" s="132"/>
      <c r="AK414" s="151">
        <v>578.79999999999995</v>
      </c>
      <c r="AL414" s="154">
        <f t="shared" si="116"/>
        <v>0</v>
      </c>
      <c r="AM414" s="155"/>
      <c r="AN414" s="19">
        <f t="shared" si="117"/>
        <v>0</v>
      </c>
      <c r="AO414" s="118">
        <f>SUMIF('MPG Payment '!E:E,'Shayak Income '!D414,'MPG Payment '!AJ:AJ)</f>
        <v>0</v>
      </c>
      <c r="AP414" s="19">
        <f t="shared" si="118"/>
        <v>0</v>
      </c>
      <c r="AQ414" s="119">
        <f t="shared" si="127"/>
        <v>0</v>
      </c>
      <c r="AR414" s="91" t="s">
        <v>1168</v>
      </c>
      <c r="AS414" s="91">
        <f t="shared" si="119"/>
        <v>0</v>
      </c>
      <c r="AT414" s="118"/>
      <c r="AU414" s="118"/>
      <c r="AV414" s="118"/>
    </row>
    <row r="415" spans="1:48" s="20" customFormat="1" x14ac:dyDescent="0.25">
      <c r="A415" s="17">
        <f>IFERROR(VLOOKUP(D415,'Monthly Deduction'!$I$3:$J$957,2,0),0)</f>
        <v>0</v>
      </c>
      <c r="B415" s="17">
        <f>IFERROR(VLOOKUP(D415,'Monthly Deduction'!$E$3:$F$957,2,0),0)</f>
        <v>902.83000872600496</v>
      </c>
      <c r="C415" s="17">
        <f t="shared" si="120"/>
        <v>902.83000872600496</v>
      </c>
      <c r="D415" s="41">
        <v>10130016</v>
      </c>
      <c r="E415" s="122" t="str">
        <f>VLOOKUP(D415,'MPG Payment '!$E$3:$G$498218,2,0)</f>
        <v>Gomukh Khesarhiya</v>
      </c>
      <c r="F415" s="146">
        <f>IFERROR(_xlfn.XLOOKUP(D415,'Monthly Deduction'!$I$3:$I$957,'Monthly Deduction'!$H$3:$H$957),0)</f>
        <v>0</v>
      </c>
      <c r="G415" s="123" t="str">
        <f>VLOOKUP(D415,'MPG Payment '!$E$3:$G$334579,3,0)</f>
        <v>vlc</v>
      </c>
      <c r="H415" s="124" t="str">
        <f>VLOOKUP(D415,'MPG Payment '!$E$3:$H$334579,4,0)</f>
        <v>Indirect</v>
      </c>
      <c r="I415" s="88">
        <f>INDEX('MPG Payment '!$C:$C,MATCH('Shayak Income '!D415,'MPG Payment '!E:E,0))</f>
        <v>1013</v>
      </c>
      <c r="J415" s="88" t="str">
        <f>INDEX('MPG Payment '!$D:$D,MATCH('Shayak Income '!D415,'MPG Payment '!E:E,0))</f>
        <v>Musrigharari</v>
      </c>
      <c r="K415" s="125" t="s">
        <v>1322</v>
      </c>
      <c r="L415" s="125">
        <v>44256</v>
      </c>
      <c r="M415" s="126">
        <f>SUMIF('MPG Payment '!$E$3:$E$34579,'Shayak Income '!D415,'MPG Payment '!$I$3:$I$34579)</f>
        <v>843.1</v>
      </c>
      <c r="N415" s="126">
        <f>SUMIF('MPG Payment '!$E$3:$E$34579,'Shayak Income '!D415,'MPG Payment '!$J$3:$J$34579)</f>
        <v>38247.466653702497</v>
      </c>
      <c r="O415" s="126">
        <f t="shared" si="121"/>
        <v>632.32500000000005</v>
      </c>
      <c r="P415" s="126">
        <f t="shared" si="122"/>
        <v>800.94499999999994</v>
      </c>
      <c r="Q415" s="126">
        <f>SUMIF('MPG Payment '!$E$3:$E$34579,'Shayak Income '!D415,'MPG Payment '!$S$3:$S$34579)</f>
        <v>0</v>
      </c>
      <c r="R415" s="126">
        <f t="shared" si="112"/>
        <v>1147.4239996110748</v>
      </c>
      <c r="S415" s="126">
        <f t="shared" si="113"/>
        <v>346.47899961107487</v>
      </c>
      <c r="T415" s="126">
        <f t="shared" si="123"/>
        <v>84.31</v>
      </c>
      <c r="U415" s="127">
        <f>(((IF(K415="New",0,SUMIF('MPG Payment '!$E$3:$E$34579,'Shayak Income '!D415,'MPG Payment '!$AC$3:$AC$34579))))+0)+-425</f>
        <v>1348.7936016075023</v>
      </c>
      <c r="V415" s="127">
        <f t="shared" si="124"/>
        <v>0</v>
      </c>
      <c r="W415" s="19">
        <v>0</v>
      </c>
      <c r="X415" s="19">
        <v>0</v>
      </c>
      <c r="Y415" s="128">
        <f>IFERROR(VLOOKUP(D415,'Monthly Deduction'!$M$2:$N$64,2,0),0)</f>
        <v>0</v>
      </c>
      <c r="Z415" s="128">
        <v>0</v>
      </c>
      <c r="AA415" s="126">
        <f>IFERROR(VLOOKUP(D415,'Monthly Deduction'!A:B,2,0),0)</f>
        <v>0</v>
      </c>
      <c r="AB415" s="129">
        <f t="shared" si="115"/>
        <v>0</v>
      </c>
      <c r="AC415" s="130">
        <v>0</v>
      </c>
      <c r="AD415" s="35">
        <f t="shared" si="125"/>
        <v>0</v>
      </c>
      <c r="AE415" s="166" t="str">
        <f t="shared" si="126"/>
        <v>Release</v>
      </c>
      <c r="AF415" s="127"/>
      <c r="AG415" s="18">
        <v>0</v>
      </c>
      <c r="AH415" s="132"/>
      <c r="AI415" s="238">
        <v>0</v>
      </c>
      <c r="AJ415" s="132"/>
      <c r="AK415" s="151">
        <v>173.50000000000003</v>
      </c>
      <c r="AL415" s="154">
        <f t="shared" si="116"/>
        <v>0</v>
      </c>
      <c r="AM415" s="155"/>
      <c r="AN415" s="19">
        <f t="shared" si="117"/>
        <v>0</v>
      </c>
      <c r="AO415" s="118">
        <f>SUMIF('MPG Payment '!E:E,'Shayak Income '!D415,'MPG Payment '!AJ:AJ)</f>
        <v>0</v>
      </c>
      <c r="AP415" s="19">
        <f t="shared" si="118"/>
        <v>0</v>
      </c>
      <c r="AQ415" s="119">
        <f t="shared" si="127"/>
        <v>0</v>
      </c>
      <c r="AR415" s="91" t="s">
        <v>1168</v>
      </c>
      <c r="AS415" s="91">
        <f t="shared" si="119"/>
        <v>902.83000872600496</v>
      </c>
      <c r="AT415" s="118"/>
      <c r="AU415" s="118"/>
      <c r="AV415" s="118"/>
    </row>
    <row r="416" spans="1:48" s="20" customFormat="1" x14ac:dyDescent="0.25">
      <c r="A416" s="17">
        <f>IFERROR(VLOOKUP(D416,'Monthly Deduction'!$I$3:$J$957,2,0),0)</f>
        <v>0</v>
      </c>
      <c r="B416" s="17">
        <f>IFERROR(VLOOKUP(D416,'Monthly Deduction'!$E$3:$F$957,2,0),0)</f>
        <v>0</v>
      </c>
      <c r="C416" s="17">
        <f t="shared" si="120"/>
        <v>0</v>
      </c>
      <c r="D416" s="41">
        <v>10130018</v>
      </c>
      <c r="E416" s="122" t="str">
        <f>VLOOKUP(D416,'MPG Payment '!$E$3:$G$498218,2,0)</f>
        <v>Harsingpur</v>
      </c>
      <c r="F416" s="146">
        <f>IFERROR(_xlfn.XLOOKUP(D416,'Monthly Deduction'!$I$3:$I$957,'Monthly Deduction'!$H$3:$H$957),0)</f>
        <v>0</v>
      </c>
      <c r="G416" s="123" t="str">
        <f>VLOOKUP(D416,'MPG Payment '!$E$3:$G$334579,3,0)</f>
        <v>vlc</v>
      </c>
      <c r="H416" s="124" t="str">
        <f>VLOOKUP(D416,'MPG Payment '!$E$3:$H$334579,4,0)</f>
        <v>Indirect</v>
      </c>
      <c r="I416" s="88">
        <f>INDEX('MPG Payment '!$C:$C,MATCH('Shayak Income '!D416,'MPG Payment '!E:E,0))</f>
        <v>1013</v>
      </c>
      <c r="J416" s="88" t="str">
        <f>INDEX('MPG Payment '!$D:$D,MATCH('Shayak Income '!D416,'MPG Payment '!E:E,0))</f>
        <v>Musrigharari</v>
      </c>
      <c r="K416" s="125" t="s">
        <v>1322</v>
      </c>
      <c r="L416" s="125">
        <v>44699</v>
      </c>
      <c r="M416" s="126">
        <f>SUMIF('MPG Payment '!$E$3:$E$34579,'Shayak Income '!D416,'MPG Payment '!$I$3:$I$34579)</f>
        <v>1127.5</v>
      </c>
      <c r="N416" s="126">
        <f>SUMIF('MPG Payment '!$E$3:$E$34579,'Shayak Income '!D416,'MPG Payment '!$J$3:$J$34579)</f>
        <v>36595.208685043996</v>
      </c>
      <c r="O416" s="126">
        <f t="shared" si="121"/>
        <v>845.625</v>
      </c>
      <c r="P416" s="126">
        <f t="shared" si="122"/>
        <v>1071.125</v>
      </c>
      <c r="Q416" s="126">
        <f>SUMIF('MPG Payment '!$E$3:$E$34579,'Shayak Income '!D416,'MPG Payment '!$S$3:$S$34579)</f>
        <v>0</v>
      </c>
      <c r="R416" s="126">
        <f t="shared" si="112"/>
        <v>1097.8562605513198</v>
      </c>
      <c r="S416" s="126">
        <f t="shared" si="113"/>
        <v>26.731260551319792</v>
      </c>
      <c r="T416" s="126">
        <f t="shared" si="123"/>
        <v>112.75</v>
      </c>
      <c r="U416" s="127">
        <f>(((IF(K416="New",0,SUMIF('MPG Payment '!$E$3:$E$34579,'Shayak Income '!D416,'MPG Payment '!$AC$3:$AC$34579))))+0)+0</f>
        <v>1071.845026881515</v>
      </c>
      <c r="V416" s="127">
        <f t="shared" si="124"/>
        <v>732</v>
      </c>
      <c r="W416" s="19">
        <f t="shared" si="128"/>
        <v>0</v>
      </c>
      <c r="X416" s="19">
        <f t="shared" si="114"/>
        <v>0</v>
      </c>
      <c r="Y416" s="128">
        <f>IFERROR(VLOOKUP(D416,'Monthly Deduction'!$M$2:$N$64,2,0),0)</f>
        <v>0</v>
      </c>
      <c r="Z416" s="128">
        <v>0</v>
      </c>
      <c r="AA416" s="126">
        <f>IFERROR(VLOOKUP(D416,'Monthly Deduction'!A:B,2,0),0)</f>
        <v>0</v>
      </c>
      <c r="AB416" s="129">
        <f t="shared" si="115"/>
        <v>732</v>
      </c>
      <c r="AC416" s="130">
        <v>0</v>
      </c>
      <c r="AD416" s="35">
        <f t="shared" si="125"/>
        <v>732</v>
      </c>
      <c r="AE416" s="166" t="str">
        <f t="shared" si="126"/>
        <v>Release</v>
      </c>
      <c r="AF416" s="127"/>
      <c r="AG416" s="18">
        <v>0</v>
      </c>
      <c r="AH416" s="132"/>
      <c r="AI416" s="238">
        <v>0</v>
      </c>
      <c r="AJ416" s="132"/>
      <c r="AK416" s="151">
        <v>340.1</v>
      </c>
      <c r="AL416" s="154">
        <f t="shared" si="116"/>
        <v>0</v>
      </c>
      <c r="AM416" s="155"/>
      <c r="AN416" s="19">
        <f t="shared" si="117"/>
        <v>0</v>
      </c>
      <c r="AO416" s="118">
        <f>SUMIF('MPG Payment '!E:E,'Shayak Income '!D416,'MPG Payment '!AJ:AJ)</f>
        <v>0</v>
      </c>
      <c r="AP416" s="19">
        <f t="shared" si="118"/>
        <v>0</v>
      </c>
      <c r="AQ416" s="119">
        <f t="shared" si="127"/>
        <v>0</v>
      </c>
      <c r="AR416" s="91" t="s">
        <v>1168</v>
      </c>
      <c r="AS416" s="91">
        <f t="shared" si="119"/>
        <v>0</v>
      </c>
      <c r="AT416" s="118"/>
      <c r="AU416" s="118"/>
      <c r="AV416" s="118"/>
    </row>
    <row r="417" spans="1:48" s="20" customFormat="1" x14ac:dyDescent="0.25">
      <c r="A417" s="17">
        <f>IFERROR(VLOOKUP(D417,'Monthly Deduction'!$I$3:$J$957,2,0),0)</f>
        <v>0</v>
      </c>
      <c r="B417" s="17">
        <f>IFERROR(VLOOKUP(D417,'Monthly Deduction'!$E$3:$F$957,2,0),0)</f>
        <v>0</v>
      </c>
      <c r="C417" s="17">
        <f t="shared" si="120"/>
        <v>0</v>
      </c>
      <c r="D417" s="41">
        <v>10130020</v>
      </c>
      <c r="E417" s="122" t="str">
        <f>VLOOKUP(D417,'MPG Payment '!$E$3:$G$498218,2,0)</f>
        <v>Gomukh ID Mahathi</v>
      </c>
      <c r="F417" s="146">
        <f>IFERROR(_xlfn.XLOOKUP(D417,'Monthly Deduction'!$I$3:$I$957,'Monthly Deduction'!$H$3:$H$957),0)</f>
        <v>0</v>
      </c>
      <c r="G417" s="123" t="str">
        <f>VLOOKUP(D417,'MPG Payment '!$E$3:$G$334579,3,0)</f>
        <v>vlc</v>
      </c>
      <c r="H417" s="124" t="str">
        <f>VLOOKUP(D417,'MPG Payment '!$E$3:$H$334579,4,0)</f>
        <v>Indirect</v>
      </c>
      <c r="I417" s="88">
        <f>INDEX('MPG Payment '!$C:$C,MATCH('Shayak Income '!D417,'MPG Payment '!E:E,0))</f>
        <v>1013</v>
      </c>
      <c r="J417" s="88" t="str">
        <f>INDEX('MPG Payment '!$D:$D,MATCH('Shayak Income '!D417,'MPG Payment '!E:E,0))</f>
        <v>Musrigharari</v>
      </c>
      <c r="K417" s="125" t="s">
        <v>1322</v>
      </c>
      <c r="L417" s="125">
        <v>44724</v>
      </c>
      <c r="M417" s="126">
        <f>SUMIF('MPG Payment '!$E$3:$E$34579,'Shayak Income '!D417,'MPG Payment '!$I$3:$I$34579)</f>
        <v>2387.3000000000002</v>
      </c>
      <c r="N417" s="126">
        <f>SUMIF('MPG Payment '!$E$3:$E$34579,'Shayak Income '!D417,'MPG Payment '!$J$3:$J$34579)</f>
        <v>86063.612263695017</v>
      </c>
      <c r="O417" s="126">
        <f t="shared" si="121"/>
        <v>1790.4750000000001</v>
      </c>
      <c r="P417" s="126">
        <f t="shared" si="122"/>
        <v>2267.9349999999999</v>
      </c>
      <c r="Q417" s="126">
        <f>SUMIF('MPG Payment '!$E$3:$E$34579,'Shayak Income '!D417,'MPG Payment '!$S$3:$S$34579)</f>
        <v>0</v>
      </c>
      <c r="R417" s="126">
        <f t="shared" si="112"/>
        <v>2581.9083679108503</v>
      </c>
      <c r="S417" s="126">
        <f t="shared" si="113"/>
        <v>313.97336791085036</v>
      </c>
      <c r="T417" s="126">
        <f t="shared" si="123"/>
        <v>238.73000000000002</v>
      </c>
      <c r="U417" s="127">
        <f>(((IF(K417="New",0,SUMIF('MPG Payment '!$E$3:$E$34579,'Shayak Income '!D417,'MPG Payment '!$AC$3:$AC$34579))))+0)+0</f>
        <v>298.20360870178808</v>
      </c>
      <c r="V417" s="127">
        <f t="shared" si="124"/>
        <v>3521</v>
      </c>
      <c r="W417" s="19">
        <f t="shared" si="128"/>
        <v>0</v>
      </c>
      <c r="X417" s="19">
        <f t="shared" si="114"/>
        <v>0</v>
      </c>
      <c r="Y417" s="128">
        <f>IFERROR(VLOOKUP(D417,'Monthly Deduction'!$M$2:$N$64,2,0),0)</f>
        <v>0</v>
      </c>
      <c r="Z417" s="128">
        <v>0</v>
      </c>
      <c r="AA417" s="126">
        <f>IFERROR(VLOOKUP(D417,'Monthly Deduction'!A:B,2,0),0)</f>
        <v>0</v>
      </c>
      <c r="AB417" s="129">
        <f t="shared" si="115"/>
        <v>3521</v>
      </c>
      <c r="AC417" s="130">
        <v>0</v>
      </c>
      <c r="AD417" s="35">
        <f t="shared" si="125"/>
        <v>3521</v>
      </c>
      <c r="AE417" s="166" t="str">
        <f t="shared" si="126"/>
        <v>Release</v>
      </c>
      <c r="AF417" s="127"/>
      <c r="AG417" s="18">
        <v>0</v>
      </c>
      <c r="AH417" s="120"/>
      <c r="AI417" s="238">
        <v>0</v>
      </c>
      <c r="AJ417" s="132"/>
      <c r="AK417" s="151">
        <v>511.39999999999992</v>
      </c>
      <c r="AL417" s="154">
        <f t="shared" si="116"/>
        <v>0</v>
      </c>
      <c r="AM417" s="155"/>
      <c r="AN417" s="19">
        <f t="shared" si="117"/>
        <v>0</v>
      </c>
      <c r="AO417" s="118">
        <f>SUMIF('MPG Payment '!E:E,'Shayak Income '!D417,'MPG Payment '!AJ:AJ)</f>
        <v>0</v>
      </c>
      <c r="AP417" s="19">
        <f t="shared" si="118"/>
        <v>0</v>
      </c>
      <c r="AQ417" s="119">
        <f t="shared" si="127"/>
        <v>0</v>
      </c>
      <c r="AR417" s="91" t="s">
        <v>1168</v>
      </c>
      <c r="AS417" s="91">
        <f t="shared" si="119"/>
        <v>0</v>
      </c>
      <c r="AT417" s="118"/>
      <c r="AU417" s="118"/>
      <c r="AV417" s="118"/>
    </row>
    <row r="418" spans="1:48" s="20" customFormat="1" x14ac:dyDescent="0.25">
      <c r="A418" s="17">
        <f>IFERROR(VLOOKUP(D418,'Monthly Deduction'!$I$3:$J$957,2,0),0)</f>
        <v>0</v>
      </c>
      <c r="B418" s="17">
        <f>IFERROR(VLOOKUP(D418,'Monthly Deduction'!$E$3:$F$957,2,0),0)</f>
        <v>8142.7394000000004</v>
      </c>
      <c r="C418" s="17">
        <f t="shared" si="120"/>
        <v>8142.7394000000004</v>
      </c>
      <c r="D418" s="41">
        <v>10130025</v>
      </c>
      <c r="E418" s="122" t="str">
        <f>VLOOKUP(D418,'MPG Payment '!$E$3:$G$498218,2,0)</f>
        <v>MURTUJAPUR</v>
      </c>
      <c r="F418" s="146">
        <f>IFERROR(_xlfn.XLOOKUP(D418,'Monthly Deduction'!$I$3:$I$957,'Monthly Deduction'!$H$3:$H$957),0)</f>
        <v>0</v>
      </c>
      <c r="G418" s="123" t="str">
        <f>VLOOKUP(D418,'MPG Payment '!$E$3:$G$334579,3,0)</f>
        <v>vlc</v>
      </c>
      <c r="H418" s="124" t="str">
        <f>VLOOKUP(D418,'MPG Payment '!$E$3:$H$334579,4,0)</f>
        <v>Indirect</v>
      </c>
      <c r="I418" s="88">
        <f>INDEX('MPG Payment '!$C:$C,MATCH('Shayak Income '!D418,'MPG Payment '!E:E,0))</f>
        <v>1013</v>
      </c>
      <c r="J418" s="88" t="str">
        <f>INDEX('MPG Payment '!$D:$D,MATCH('Shayak Income '!D418,'MPG Payment '!E:E,0))</f>
        <v>Musrigharari</v>
      </c>
      <c r="K418" s="125" t="s">
        <v>1322</v>
      </c>
      <c r="L418" s="125">
        <v>44949</v>
      </c>
      <c r="M418" s="126">
        <f>SUMIF('MPG Payment '!$E$3:$E$34579,'Shayak Income '!D418,'MPG Payment '!$I$3:$I$34579)</f>
        <v>1772.5</v>
      </c>
      <c r="N418" s="126">
        <f>SUMIF('MPG Payment '!$E$3:$E$34579,'Shayak Income '!D418,'MPG Payment '!$J$3:$J$34579)</f>
        <v>71434.646645711808</v>
      </c>
      <c r="O418" s="126">
        <f t="shared" si="121"/>
        <v>1329.375</v>
      </c>
      <c r="P418" s="126">
        <f t="shared" si="122"/>
        <v>1683.875</v>
      </c>
      <c r="Q418" s="126">
        <f>SUMIF('MPG Payment '!$E$3:$E$34579,'Shayak Income '!D418,'MPG Payment '!$S$3:$S$34579)</f>
        <v>0</v>
      </c>
      <c r="R418" s="126">
        <f t="shared" si="112"/>
        <v>2143.0393993713542</v>
      </c>
      <c r="S418" s="126">
        <f t="shared" si="113"/>
        <v>459.16439937135419</v>
      </c>
      <c r="T418" s="126">
        <f t="shared" si="123"/>
        <v>177.25</v>
      </c>
      <c r="U418" s="127">
        <f>(((IF(K418="New",0,SUMIF('MPG Payment '!$E$3:$E$34579,'Shayak Income '!D418,'MPG Payment '!$AC$3:$AC$34579))))+0)+0</f>
        <v>831.60002197852373</v>
      </c>
      <c r="V418" s="127">
        <f t="shared" si="124"/>
        <v>2004</v>
      </c>
      <c r="W418" s="19">
        <f t="shared" si="128"/>
        <v>0</v>
      </c>
      <c r="X418" s="19">
        <f t="shared" si="114"/>
        <v>1428.6929329142363</v>
      </c>
      <c r="Y418" s="128">
        <f>IFERROR(VLOOKUP(D418,'Monthly Deduction'!$M$2:$N$64,2,0),0)</f>
        <v>0</v>
      </c>
      <c r="Z418" s="128">
        <v>0</v>
      </c>
      <c r="AA418" s="126">
        <f>IFERROR(VLOOKUP(D418,'Monthly Deduction'!A:B,2,0),0)</f>
        <v>0</v>
      </c>
      <c r="AB418" s="129">
        <f t="shared" si="115"/>
        <v>575</v>
      </c>
      <c r="AC418" s="130">
        <v>0</v>
      </c>
      <c r="AD418" s="35">
        <f t="shared" si="125"/>
        <v>575</v>
      </c>
      <c r="AE418" s="166" t="str">
        <f t="shared" si="126"/>
        <v>Release</v>
      </c>
      <c r="AF418" s="127"/>
      <c r="AG418" s="18">
        <v>0</v>
      </c>
      <c r="AH418" s="120"/>
      <c r="AI418" s="238">
        <v>0</v>
      </c>
      <c r="AJ418" s="132"/>
      <c r="AK418" s="151">
        <v>500</v>
      </c>
      <c r="AL418" s="154">
        <f t="shared" si="116"/>
        <v>0</v>
      </c>
      <c r="AM418" s="155"/>
      <c r="AN418" s="19">
        <f t="shared" si="117"/>
        <v>0</v>
      </c>
      <c r="AO418" s="118">
        <f>SUMIF('MPG Payment '!E:E,'Shayak Income '!D418,'MPG Payment '!AJ:AJ)</f>
        <v>0</v>
      </c>
      <c r="AP418" s="19">
        <f t="shared" si="118"/>
        <v>0</v>
      </c>
      <c r="AQ418" s="119">
        <f t="shared" si="127"/>
        <v>0</v>
      </c>
      <c r="AR418" s="91" t="s">
        <v>1168</v>
      </c>
      <c r="AS418" s="91">
        <f t="shared" si="119"/>
        <v>6714.0464670857637</v>
      </c>
      <c r="AT418" s="118"/>
      <c r="AU418" s="118"/>
      <c r="AV418" s="118"/>
    </row>
    <row r="419" spans="1:48" s="20" customFormat="1" x14ac:dyDescent="0.25">
      <c r="A419" s="17">
        <f>IFERROR(VLOOKUP(D419,'Monthly Deduction'!$I$3:$J$957,2,0),0)</f>
        <v>17733.452000000005</v>
      </c>
      <c r="B419" s="17">
        <f>IFERROR(VLOOKUP(D419,'Monthly Deduction'!$E$3:$F$957,2,0),0)</f>
        <v>9600</v>
      </c>
      <c r="C419" s="17">
        <f t="shared" si="120"/>
        <v>27333.452000000005</v>
      </c>
      <c r="D419" s="41">
        <v>10130026</v>
      </c>
      <c r="E419" s="122" t="str">
        <f>VLOOKUP(D419,'MPG Payment '!$E$3:$G$498218,2,0)</f>
        <v>Rasalpur</v>
      </c>
      <c r="F419" s="146">
        <f>IFERROR(_xlfn.XLOOKUP(D419,'Monthly Deduction'!$I$3:$I$957,'Monthly Deduction'!$H$3:$H$957),0)</f>
        <v>0</v>
      </c>
      <c r="G419" s="123" t="str">
        <f>VLOOKUP(D419,'MPG Payment '!$E$3:$G$334579,3,0)</f>
        <v>MPG</v>
      </c>
      <c r="H419" s="124" t="str">
        <f>VLOOKUP(D419,'MPG Payment '!$E$3:$H$334579,4,0)</f>
        <v>Direct</v>
      </c>
      <c r="I419" s="88">
        <f>INDEX('MPG Payment '!$C:$C,MATCH('Shayak Income '!D419,'MPG Payment '!E:E,0))</f>
        <v>1013</v>
      </c>
      <c r="J419" s="88" t="str">
        <f>INDEX('MPG Payment '!$D:$D,MATCH('Shayak Income '!D419,'MPG Payment '!E:E,0))</f>
        <v>Musrigharari</v>
      </c>
      <c r="K419" s="125" t="s">
        <v>1322</v>
      </c>
      <c r="L419" s="125">
        <v>44982</v>
      </c>
      <c r="M419" s="126">
        <f>SUMIF('MPG Payment '!$E$3:$E$34579,'Shayak Income '!D419,'MPG Payment '!$I$3:$I$34579)</f>
        <v>1084</v>
      </c>
      <c r="N419" s="126">
        <f>SUMIF('MPG Payment '!$E$3:$E$34579,'Shayak Income '!D419,'MPG Payment '!$J$3:$J$34579)</f>
        <v>46232.518135441198</v>
      </c>
      <c r="O419" s="126">
        <f t="shared" si="121"/>
        <v>813</v>
      </c>
      <c r="P419" s="126">
        <f t="shared" si="122"/>
        <v>1029.8</v>
      </c>
      <c r="Q419" s="126">
        <f>SUMIF('MPG Payment '!$E$3:$E$34579,'Shayak Income '!D419,'MPG Payment '!$S$3:$S$34579)</f>
        <v>407.48937998120005</v>
      </c>
      <c r="R419" s="126">
        <f t="shared" si="112"/>
        <v>1386.9755440632359</v>
      </c>
      <c r="S419" s="126">
        <f t="shared" si="113"/>
        <v>357.17554406323598</v>
      </c>
      <c r="T419" s="126">
        <f t="shared" si="123"/>
        <v>108.4</v>
      </c>
      <c r="U419" s="127">
        <f>(((IF(K419="New",0,SUMIF('MPG Payment '!$E$3:$E$34579,'Shayak Income '!D419,'MPG Payment '!$AC$3:$AC$34579))))+0)+0</f>
        <v>1445.6548869277074</v>
      </c>
      <c r="V419" s="127">
        <f t="shared" si="124"/>
        <v>696</v>
      </c>
      <c r="W419" s="19">
        <v>696</v>
      </c>
      <c r="X419" s="19">
        <v>0</v>
      </c>
      <c r="Y419" s="128">
        <v>0</v>
      </c>
      <c r="Z419" s="128">
        <v>0</v>
      </c>
      <c r="AA419" s="126">
        <f>IFERROR(VLOOKUP(D419,'Monthly Deduction'!A:B,2,0),0)</f>
        <v>0</v>
      </c>
      <c r="AB419" s="129">
        <f t="shared" si="115"/>
        <v>0</v>
      </c>
      <c r="AC419" s="130">
        <v>0</v>
      </c>
      <c r="AD419" s="35">
        <f t="shared" si="125"/>
        <v>0</v>
      </c>
      <c r="AE419" s="166" t="str">
        <f t="shared" si="126"/>
        <v>Release</v>
      </c>
      <c r="AF419" s="127"/>
      <c r="AG419" s="18">
        <v>0</v>
      </c>
      <c r="AH419" s="120"/>
      <c r="AI419" s="238">
        <v>0</v>
      </c>
      <c r="AJ419" s="132"/>
      <c r="AK419" s="151">
        <v>245.20000000000002</v>
      </c>
      <c r="AL419" s="154">
        <f t="shared" si="116"/>
        <v>0</v>
      </c>
      <c r="AM419" s="155"/>
      <c r="AN419" s="19">
        <f t="shared" si="117"/>
        <v>1861</v>
      </c>
      <c r="AO419" s="118">
        <f>SUMIF('MPG Payment '!E:E,'Shayak Income '!D419,'MPG Payment '!AJ:AJ)</f>
        <v>500</v>
      </c>
      <c r="AP419" s="19">
        <f t="shared" si="118"/>
        <v>696</v>
      </c>
      <c r="AQ419" s="119">
        <f t="shared" si="127"/>
        <v>1196</v>
      </c>
      <c r="AR419" s="91"/>
      <c r="AS419" s="91">
        <f t="shared" si="119"/>
        <v>9600</v>
      </c>
      <c r="AT419" s="118"/>
      <c r="AU419" s="118"/>
      <c r="AV419" s="118"/>
    </row>
    <row r="420" spans="1:48" s="20" customFormat="1" x14ac:dyDescent="0.25">
      <c r="A420" s="17">
        <f>IFERROR(VLOOKUP(D420,'Monthly Deduction'!$I$3:$J$957,2,0),0)</f>
        <v>0</v>
      </c>
      <c r="B420" s="17">
        <f>IFERROR(VLOOKUP(D420,'Monthly Deduction'!$E$3:$F$957,2,0),0)</f>
        <v>0</v>
      </c>
      <c r="C420" s="17">
        <f t="shared" si="120"/>
        <v>0</v>
      </c>
      <c r="D420" s="41">
        <v>10130030</v>
      </c>
      <c r="E420" s="122" t="str">
        <f>VLOOKUP(D420,'MPG Payment '!$E$3:$G$498218,2,0)</f>
        <v xml:space="preserve">Chhuchhipur                                                                                         </v>
      </c>
      <c r="F420" s="146">
        <f>IFERROR(_xlfn.XLOOKUP(D420,'Monthly Deduction'!$I$3:$I$957,'Monthly Deduction'!$H$3:$H$957),0)</f>
        <v>0</v>
      </c>
      <c r="G420" s="123" t="str">
        <f>VLOOKUP(D420,'MPG Payment '!$E$3:$G$334579,3,0)</f>
        <v>MPG</v>
      </c>
      <c r="H420" s="124" t="str">
        <f>VLOOKUP(D420,'MPG Payment '!$E$3:$H$334579,4,0)</f>
        <v>Direct</v>
      </c>
      <c r="I420" s="88">
        <f>INDEX('MPG Payment '!$C:$C,MATCH('Shayak Income '!D420,'MPG Payment '!E:E,0))</f>
        <v>1013</v>
      </c>
      <c r="J420" s="88" t="str">
        <f>INDEX('MPG Payment '!$D:$D,MATCH('Shayak Income '!D420,'MPG Payment '!E:E,0))</f>
        <v>Musrigharari</v>
      </c>
      <c r="K420" s="125" t="s">
        <v>1322</v>
      </c>
      <c r="L420" s="125">
        <v>45038</v>
      </c>
      <c r="M420" s="126">
        <f>SUMIF('MPG Payment '!$E$3:$E$34579,'Shayak Income '!D420,'MPG Payment '!$I$3:$I$34579)</f>
        <v>613.1</v>
      </c>
      <c r="N420" s="126">
        <f>SUMIF('MPG Payment '!$E$3:$E$34579,'Shayak Income '!D420,'MPG Payment '!$J$3:$J$34579)</f>
        <v>19508.554029092498</v>
      </c>
      <c r="O420" s="126">
        <f t="shared" si="121"/>
        <v>459.82500000000005</v>
      </c>
      <c r="P420" s="126">
        <f t="shared" si="122"/>
        <v>582.44500000000005</v>
      </c>
      <c r="Q420" s="126">
        <f>SUMIF('MPG Payment '!$E$3:$E$34579,'Shayak Income '!D420,'MPG Payment '!$S$3:$S$34579)</f>
        <v>0</v>
      </c>
      <c r="R420" s="126">
        <f t="shared" si="112"/>
        <v>585.25662087277487</v>
      </c>
      <c r="S420" s="126">
        <f t="shared" si="113"/>
        <v>2.8116208727748244</v>
      </c>
      <c r="T420" s="126">
        <f t="shared" si="123"/>
        <v>61.31</v>
      </c>
      <c r="U420" s="127">
        <f>(((IF(K420="New",0,SUMIF('MPG Payment '!$E$3:$E$34579,'Shayak Income '!D420,'MPG Payment '!$AC$3:$AC$34579))))+0)+-379</f>
        <v>981.06002092731183</v>
      </c>
      <c r="V420" s="127">
        <f t="shared" si="124"/>
        <v>0</v>
      </c>
      <c r="W420" s="19">
        <v>0</v>
      </c>
      <c r="X420" s="19">
        <v>0</v>
      </c>
      <c r="Y420" s="128">
        <f>IFERROR(VLOOKUP(D420,'Monthly Deduction'!$M$2:$N$64,2,0),0)</f>
        <v>0</v>
      </c>
      <c r="Z420" s="128">
        <v>0</v>
      </c>
      <c r="AA420" s="126">
        <f>IFERROR(VLOOKUP(D420,'Monthly Deduction'!A:B,2,0),0)</f>
        <v>0</v>
      </c>
      <c r="AB420" s="129">
        <f t="shared" si="115"/>
        <v>0</v>
      </c>
      <c r="AC420" s="130">
        <v>0</v>
      </c>
      <c r="AD420" s="35">
        <f t="shared" si="125"/>
        <v>0</v>
      </c>
      <c r="AE420" s="166" t="str">
        <f t="shared" si="126"/>
        <v>Release</v>
      </c>
      <c r="AF420" s="127"/>
      <c r="AG420" s="127">
        <v>0</v>
      </c>
      <c r="AH420" s="120"/>
      <c r="AI420" s="238">
        <v>0</v>
      </c>
      <c r="AJ420" s="132"/>
      <c r="AK420" s="151">
        <v>233.9</v>
      </c>
      <c r="AL420" s="154">
        <f t="shared" si="116"/>
        <v>0</v>
      </c>
      <c r="AM420" s="155"/>
      <c r="AN420" s="19">
        <f t="shared" si="117"/>
        <v>0</v>
      </c>
      <c r="AO420" s="118">
        <f>SUMIF('MPG Payment '!E:E,'Shayak Income '!D420,'MPG Payment '!AJ:AJ)</f>
        <v>0</v>
      </c>
      <c r="AP420" s="19">
        <f t="shared" si="118"/>
        <v>0</v>
      </c>
      <c r="AQ420" s="119">
        <f t="shared" si="127"/>
        <v>0</v>
      </c>
      <c r="AR420" s="91" t="s">
        <v>1168</v>
      </c>
      <c r="AS420" s="91">
        <f t="shared" si="119"/>
        <v>0</v>
      </c>
      <c r="AT420" s="118"/>
      <c r="AU420" s="118"/>
      <c r="AV420" s="118"/>
    </row>
    <row r="421" spans="1:48" s="20" customFormat="1" x14ac:dyDescent="0.25">
      <c r="A421" s="17">
        <f>IFERROR(VLOOKUP(D421,'Monthly Deduction'!$I$3:$J$957,2,0),0)</f>
        <v>0</v>
      </c>
      <c r="B421" s="17">
        <f>IFERROR(VLOOKUP(D421,'Monthly Deduction'!$E$3:$F$957,2,0),0)</f>
        <v>0</v>
      </c>
      <c r="C421" s="17">
        <f t="shared" si="120"/>
        <v>0</v>
      </c>
      <c r="D421" s="41">
        <v>10130031</v>
      </c>
      <c r="E421" s="122" t="str">
        <f>VLOOKUP(D421,'MPG Payment '!$E$3:$G$498218,2,0)</f>
        <v>Gomukh ID Sararanjan</v>
      </c>
      <c r="F421" s="146">
        <f>IFERROR(_xlfn.XLOOKUP(D421,'Monthly Deduction'!$I$3:$I$957,'Monthly Deduction'!$H$3:$H$957),0)</f>
        <v>0</v>
      </c>
      <c r="G421" s="123" t="str">
        <f>VLOOKUP(D421,'MPG Payment '!$E$3:$G$334579,3,0)</f>
        <v>vlc</v>
      </c>
      <c r="H421" s="124" t="str">
        <f>VLOOKUP(D421,'MPG Payment '!$E$3:$H$334579,4,0)</f>
        <v>Indirect</v>
      </c>
      <c r="I421" s="88">
        <f>INDEX('MPG Payment '!$C:$C,MATCH('Shayak Income '!D421,'MPG Payment '!E:E,0))</f>
        <v>1013</v>
      </c>
      <c r="J421" s="88" t="str">
        <f>INDEX('MPG Payment '!$D:$D,MATCH('Shayak Income '!D421,'MPG Payment '!E:E,0))</f>
        <v>Musrigharari</v>
      </c>
      <c r="K421" s="125" t="s">
        <v>1322</v>
      </c>
      <c r="L421" s="125">
        <v>45074</v>
      </c>
      <c r="M421" s="126">
        <f>SUMIF('MPG Payment '!$E$3:$E$34579,'Shayak Income '!D421,'MPG Payment '!$I$3:$I$34579)</f>
        <v>686.3</v>
      </c>
      <c r="N421" s="126">
        <f>SUMIF('MPG Payment '!$E$3:$E$34579,'Shayak Income '!D421,'MPG Payment '!$J$3:$J$34579)</f>
        <v>26878.237767867002</v>
      </c>
      <c r="O421" s="126">
        <f t="shared" si="121"/>
        <v>514.72499999999991</v>
      </c>
      <c r="P421" s="126">
        <f t="shared" si="122"/>
        <v>651.9849999999999</v>
      </c>
      <c r="Q421" s="126">
        <f>SUMIF('MPG Payment '!$E$3:$E$34579,'Shayak Income '!D421,'MPG Payment '!$S$3:$S$34579)</f>
        <v>0</v>
      </c>
      <c r="R421" s="126">
        <f t="shared" si="112"/>
        <v>806.34713303601006</v>
      </c>
      <c r="S421" s="126">
        <f t="shared" si="113"/>
        <v>154.36213303601016</v>
      </c>
      <c r="T421" s="126">
        <f t="shared" si="123"/>
        <v>68.63</v>
      </c>
      <c r="U421" s="127">
        <f>(((IF(K421="New",0,SUMIF('MPG Payment '!$E$3:$E$34579,'Shayak Income '!D421,'MPG Payment '!$AC$3:$AC$34579))))+0)+-575</f>
        <v>1097.6600832112133</v>
      </c>
      <c r="V421" s="127">
        <f t="shared" si="124"/>
        <v>0</v>
      </c>
      <c r="W421" s="19">
        <v>0</v>
      </c>
      <c r="X421" s="19">
        <v>0</v>
      </c>
      <c r="Y421" s="128">
        <f>IFERROR(VLOOKUP(D421,'Monthly Deduction'!$M$2:$N$64,2,0),0)</f>
        <v>0</v>
      </c>
      <c r="Z421" s="128">
        <v>0</v>
      </c>
      <c r="AA421" s="126">
        <f>IFERROR(VLOOKUP(D421,'Monthly Deduction'!A:B,2,0),0)</f>
        <v>0</v>
      </c>
      <c r="AB421" s="129">
        <f t="shared" si="115"/>
        <v>0</v>
      </c>
      <c r="AC421" s="130">
        <v>0</v>
      </c>
      <c r="AD421" s="35">
        <f t="shared" si="125"/>
        <v>0</v>
      </c>
      <c r="AE421" s="166" t="str">
        <f t="shared" si="126"/>
        <v>Release</v>
      </c>
      <c r="AF421" s="127"/>
      <c r="AG421" s="127">
        <v>0</v>
      </c>
      <c r="AH421" s="120"/>
      <c r="AI421" s="238">
        <v>0</v>
      </c>
      <c r="AJ421" s="132"/>
      <c r="AK421" s="151">
        <v>380.7</v>
      </c>
      <c r="AL421" s="154">
        <f t="shared" si="116"/>
        <v>0</v>
      </c>
      <c r="AM421" s="155"/>
      <c r="AN421" s="19">
        <f t="shared" si="117"/>
        <v>0</v>
      </c>
      <c r="AO421" s="118">
        <f>SUMIF('MPG Payment '!E:E,'Shayak Income '!D421,'MPG Payment '!AJ:AJ)</f>
        <v>0</v>
      </c>
      <c r="AP421" s="19">
        <f t="shared" si="118"/>
        <v>0</v>
      </c>
      <c r="AQ421" s="119">
        <f t="shared" si="127"/>
        <v>0</v>
      </c>
      <c r="AR421" s="91" t="s">
        <v>1168</v>
      </c>
      <c r="AS421" s="91">
        <f t="shared" si="119"/>
        <v>0</v>
      </c>
      <c r="AT421" s="118"/>
      <c r="AU421" s="118"/>
      <c r="AV421" s="118"/>
    </row>
    <row r="422" spans="1:48" s="20" customFormat="1" x14ac:dyDescent="0.25">
      <c r="A422" s="17">
        <f>IFERROR(VLOOKUP(D422,'Monthly Deduction'!$I$3:$J$957,2,0),0)</f>
        <v>18416</v>
      </c>
      <c r="B422" s="17">
        <f>IFERROR(VLOOKUP(D422,'Monthly Deduction'!$E$3:$F$957,2,0),0)</f>
        <v>6229</v>
      </c>
      <c r="C422" s="17">
        <f t="shared" si="120"/>
        <v>24645</v>
      </c>
      <c r="D422" s="41">
        <v>10130032</v>
      </c>
      <c r="E422" s="122" t="str">
        <f>VLOOKUP(D422,'MPG Payment '!$E$3:$G$498218,2,0)</f>
        <v xml:space="preserve">Gomukh Soharthi Purvi Tola                                                                          </v>
      </c>
      <c r="F422" s="146">
        <f>IFERROR(_xlfn.XLOOKUP(D422,'Monthly Deduction'!$I$3:$I$957,'Monthly Deduction'!$H$3:$H$957),0)</f>
        <v>0</v>
      </c>
      <c r="G422" s="123" t="str">
        <f>VLOOKUP(D422,'MPG Payment '!$E$3:$G$334579,3,0)</f>
        <v>MPG</v>
      </c>
      <c r="H422" s="124" t="str">
        <f>VLOOKUP(D422,'MPG Payment '!$E$3:$H$334579,4,0)</f>
        <v>Direct</v>
      </c>
      <c r="I422" s="88">
        <f>INDEX('MPG Payment '!$C:$C,MATCH('Shayak Income '!D422,'MPG Payment '!E:E,0))</f>
        <v>1013</v>
      </c>
      <c r="J422" s="88" t="str">
        <f>INDEX('MPG Payment '!$D:$D,MATCH('Shayak Income '!D422,'MPG Payment '!E:E,0))</f>
        <v>Musrigharari</v>
      </c>
      <c r="K422" s="125" t="s">
        <v>1322</v>
      </c>
      <c r="L422" s="125">
        <v>45076</v>
      </c>
      <c r="M422" s="126">
        <f>SUMIF('MPG Payment '!$E$3:$E$34579,'Shayak Income '!D422,'MPG Payment '!$I$3:$I$34579)</f>
        <v>222.9</v>
      </c>
      <c r="N422" s="126">
        <f>SUMIF('MPG Payment '!$E$3:$E$34579,'Shayak Income '!D422,'MPG Payment '!$J$3:$J$34579)</f>
        <v>10013.473200021199</v>
      </c>
      <c r="O422" s="126">
        <f t="shared" si="121"/>
        <v>167.17500000000001</v>
      </c>
      <c r="P422" s="126">
        <f t="shared" si="122"/>
        <v>211.755</v>
      </c>
      <c r="Q422" s="126">
        <f>SUMIF('MPG Payment '!$E$3:$E$34579,'Shayak Income '!D422,'MPG Payment '!$S$3:$S$34579)</f>
        <v>0</v>
      </c>
      <c r="R422" s="126">
        <f t="shared" si="112"/>
        <v>300.40419600063598</v>
      </c>
      <c r="S422" s="126">
        <f t="shared" si="113"/>
        <v>88.649196000635982</v>
      </c>
      <c r="T422" s="126">
        <f t="shared" si="123"/>
        <v>22.290000000000003</v>
      </c>
      <c r="U422" s="127">
        <f>(((IF(K422="New",0,SUMIF('MPG Payment '!$E$3:$E$34579,'Shayak Income '!D422,'MPG Payment '!$AC$3:$AC$34579))))+0)+-2020</f>
        <v>356.64190028535177</v>
      </c>
      <c r="V422" s="127">
        <f t="shared" si="124"/>
        <v>0</v>
      </c>
      <c r="W422" s="19">
        <v>0</v>
      </c>
      <c r="X422" s="19">
        <v>0</v>
      </c>
      <c r="Y422" s="128">
        <v>0</v>
      </c>
      <c r="Z422" s="128">
        <v>0</v>
      </c>
      <c r="AA422" s="126">
        <v>0</v>
      </c>
      <c r="AB422" s="129">
        <f t="shared" si="115"/>
        <v>0</v>
      </c>
      <c r="AC422" s="130">
        <v>0</v>
      </c>
      <c r="AD422" s="35">
        <f t="shared" si="125"/>
        <v>0</v>
      </c>
      <c r="AE422" s="166" t="str">
        <f t="shared" si="126"/>
        <v>Release</v>
      </c>
      <c r="AF422" s="127"/>
      <c r="AG422" s="127">
        <v>0</v>
      </c>
      <c r="AH422" s="120"/>
      <c r="AI422" s="238">
        <v>0</v>
      </c>
      <c r="AJ422" s="132"/>
      <c r="AK422" s="151">
        <v>67.8</v>
      </c>
      <c r="AL422" s="154">
        <f t="shared" si="116"/>
        <v>0</v>
      </c>
      <c r="AM422" s="155"/>
      <c r="AN422" s="19">
        <f t="shared" si="117"/>
        <v>1861</v>
      </c>
      <c r="AO422" s="118">
        <f>SUMIF('MPG Payment '!E:E,'Shayak Income '!D422,'MPG Payment '!AJ:AJ)</f>
        <v>500</v>
      </c>
      <c r="AP422" s="19">
        <f t="shared" si="118"/>
        <v>0</v>
      </c>
      <c r="AQ422" s="119">
        <f t="shared" si="127"/>
        <v>500</v>
      </c>
      <c r="AR422" s="91" t="s">
        <v>1168</v>
      </c>
      <c r="AS422" s="91">
        <f t="shared" si="119"/>
        <v>6229</v>
      </c>
      <c r="AT422" s="118"/>
      <c r="AU422" s="118"/>
      <c r="AV422" s="118"/>
    </row>
    <row r="423" spans="1:48" s="20" customFormat="1" x14ac:dyDescent="0.25">
      <c r="A423" s="17">
        <f>IFERROR(VLOOKUP(D423,'Monthly Deduction'!$I$3:$J$957,2,0),0)</f>
        <v>0</v>
      </c>
      <c r="B423" s="17">
        <f>IFERROR(VLOOKUP(D423,'Monthly Deduction'!$E$3:$F$957,2,0),0)</f>
        <v>0</v>
      </c>
      <c r="C423" s="17">
        <f t="shared" si="120"/>
        <v>0</v>
      </c>
      <c r="D423" s="41">
        <v>10130040</v>
      </c>
      <c r="E423" s="122" t="str">
        <f>VLOOKUP(D423,'MPG Payment '!$E$3:$G$498218,2,0)</f>
        <v>Birnama</v>
      </c>
      <c r="F423" s="146">
        <f>IFERROR(_xlfn.XLOOKUP(D423,'Monthly Deduction'!$I$3:$I$957,'Monthly Deduction'!$H$3:$H$957),0)</f>
        <v>0</v>
      </c>
      <c r="G423" s="123" t="str">
        <f>VLOOKUP(D423,'MPG Payment '!$E$3:$G$334579,3,0)</f>
        <v>vlc</v>
      </c>
      <c r="H423" s="124" t="str">
        <f>VLOOKUP(D423,'MPG Payment '!$E$3:$H$334579,4,0)</f>
        <v>Indirect</v>
      </c>
      <c r="I423" s="88">
        <f>INDEX('MPG Payment '!$C:$C,MATCH('Shayak Income '!D423,'MPG Payment '!E:E,0))</f>
        <v>1013</v>
      </c>
      <c r="J423" s="88" t="str">
        <f>INDEX('MPG Payment '!$D:$D,MATCH('Shayak Income '!D423,'MPG Payment '!E:E,0))</f>
        <v>Musrigharari</v>
      </c>
      <c r="K423" s="125" t="s">
        <v>1322</v>
      </c>
      <c r="L423" s="125">
        <v>45151</v>
      </c>
      <c r="M423" s="126">
        <f>SUMIF('MPG Payment '!$E$3:$E$34579,'Shayak Income '!D423,'MPG Payment '!$I$3:$I$34579)</f>
        <v>4154.2000000000007</v>
      </c>
      <c r="N423" s="126">
        <f>SUMIF('MPG Payment '!$E$3:$E$34579,'Shayak Income '!D423,'MPG Payment '!$J$3:$J$34579)</f>
        <v>106887.96415191999</v>
      </c>
      <c r="O423" s="126">
        <f t="shared" si="121"/>
        <v>3115.6500000000005</v>
      </c>
      <c r="P423" s="126">
        <f t="shared" si="122"/>
        <v>3946.4900000000007</v>
      </c>
      <c r="Q423" s="126">
        <f>SUMIF('MPG Payment '!$E$3:$E$34579,'Shayak Income '!D423,'MPG Payment '!$S$3:$S$34579)</f>
        <v>0</v>
      </c>
      <c r="R423" s="126">
        <f t="shared" si="112"/>
        <v>3206.6389245575997</v>
      </c>
      <c r="S423" s="126">
        <f t="shared" si="113"/>
        <v>-739.851075442401</v>
      </c>
      <c r="T423" s="126">
        <f t="shared" si="123"/>
        <v>415.42000000000007</v>
      </c>
      <c r="U423" s="127">
        <f>(((IF(K423="New",0,SUMIF('MPG Payment '!$E$3:$E$34579,'Shayak Income '!D423,'MPG Payment '!$AC$3:$AC$34579))))+0)+0</f>
        <v>0</v>
      </c>
      <c r="V423" s="127">
        <f t="shared" si="124"/>
        <v>6647</v>
      </c>
      <c r="W423" s="19">
        <f t="shared" si="128"/>
        <v>0</v>
      </c>
      <c r="X423" s="19">
        <f t="shared" si="114"/>
        <v>0</v>
      </c>
      <c r="Y423" s="128">
        <f>IFERROR(VLOOKUP(D423,'Monthly Deduction'!$M$2:$N$64,2,0),0)</f>
        <v>0</v>
      </c>
      <c r="Z423" s="128">
        <v>0</v>
      </c>
      <c r="AA423" s="126">
        <f>IFERROR(VLOOKUP(D423,'Monthly Deduction'!A:B,2,0),0)</f>
        <v>0</v>
      </c>
      <c r="AB423" s="129">
        <f t="shared" si="115"/>
        <v>6647</v>
      </c>
      <c r="AC423" s="130">
        <v>0</v>
      </c>
      <c r="AD423" s="35">
        <f t="shared" si="125"/>
        <v>6647</v>
      </c>
      <c r="AE423" s="166" t="str">
        <f t="shared" si="126"/>
        <v>Release</v>
      </c>
      <c r="AF423" s="127"/>
      <c r="AG423" s="127">
        <v>0</v>
      </c>
      <c r="AH423" s="120"/>
      <c r="AI423" s="238">
        <v>0</v>
      </c>
      <c r="AJ423" s="132"/>
      <c r="AK423" s="151">
        <v>1428.3000000000002</v>
      </c>
      <c r="AL423" s="154">
        <f t="shared" si="116"/>
        <v>0</v>
      </c>
      <c r="AM423" s="155"/>
      <c r="AN423" s="19">
        <f t="shared" si="117"/>
        <v>0</v>
      </c>
      <c r="AO423" s="118">
        <f>SUMIF('MPG Payment '!E:E,'Shayak Income '!D423,'MPG Payment '!AJ:AJ)</f>
        <v>0</v>
      </c>
      <c r="AP423" s="19">
        <f t="shared" si="118"/>
        <v>0</v>
      </c>
      <c r="AQ423" s="119">
        <f t="shared" si="127"/>
        <v>0</v>
      </c>
      <c r="AR423" s="91" t="s">
        <v>1168</v>
      </c>
      <c r="AS423" s="91">
        <f t="shared" si="119"/>
        <v>0</v>
      </c>
      <c r="AT423" s="118"/>
      <c r="AU423" s="118"/>
      <c r="AV423" s="118"/>
    </row>
    <row r="424" spans="1:48" s="20" customFormat="1" x14ac:dyDescent="0.25">
      <c r="A424" s="17">
        <f>IFERROR(VLOOKUP(D424,'Monthly Deduction'!$I$3:$J$957,2,0),0)</f>
        <v>0</v>
      </c>
      <c r="B424" s="17">
        <f>IFERROR(VLOOKUP(D424,'Monthly Deduction'!$E$3:$F$957,2,0),0)</f>
        <v>0</v>
      </c>
      <c r="C424" s="17">
        <f t="shared" si="120"/>
        <v>0</v>
      </c>
      <c r="D424" s="41">
        <v>10130041</v>
      </c>
      <c r="E424" s="122" t="str">
        <f>VLOOKUP(D424,'MPG Payment '!$E$3:$G$498218,2,0)</f>
        <v>Maraie - Rubi</v>
      </c>
      <c r="F424" s="146">
        <f>IFERROR(_xlfn.XLOOKUP(D424,'Monthly Deduction'!$I$3:$I$957,'Monthly Deduction'!$H$3:$H$957),0)</f>
        <v>0</v>
      </c>
      <c r="G424" s="123" t="str">
        <f>VLOOKUP(D424,'MPG Payment '!$E$3:$G$334579,3,0)</f>
        <v>vlc</v>
      </c>
      <c r="H424" s="124" t="str">
        <f>VLOOKUP(D424,'MPG Payment '!$E$3:$H$334579,4,0)</f>
        <v>Indirect</v>
      </c>
      <c r="I424" s="88">
        <f>INDEX('MPG Payment '!$C:$C,MATCH('Shayak Income '!D424,'MPG Payment '!E:E,0))</f>
        <v>1013</v>
      </c>
      <c r="J424" s="88" t="str">
        <f>INDEX('MPG Payment '!$D:$D,MATCH('Shayak Income '!D424,'MPG Payment '!E:E,0))</f>
        <v>Musrigharari</v>
      </c>
      <c r="K424" s="125" t="s">
        <v>1322</v>
      </c>
      <c r="L424" s="125">
        <v>44911</v>
      </c>
      <c r="M424" s="126">
        <f>SUMIF('MPG Payment '!$E$3:$E$34579,'Shayak Income '!D424,'MPG Payment '!$I$3:$I$34579)</f>
        <v>253.10000000000002</v>
      </c>
      <c r="N424" s="126">
        <f>SUMIF('MPG Payment '!$E$3:$E$34579,'Shayak Income '!D424,'MPG Payment '!$J$3:$J$34579)</f>
        <v>9244.0525054999998</v>
      </c>
      <c r="O424" s="126">
        <f t="shared" si="121"/>
        <v>189.82500000000002</v>
      </c>
      <c r="P424" s="126">
        <f t="shared" si="122"/>
        <v>240.44500000000002</v>
      </c>
      <c r="Q424" s="126">
        <f>SUMIF('MPG Payment '!$E$3:$E$34579,'Shayak Income '!D424,'MPG Payment '!$S$3:$S$34579)</f>
        <v>0</v>
      </c>
      <c r="R424" s="126">
        <f t="shared" si="112"/>
        <v>277.32157516499996</v>
      </c>
      <c r="S424" s="126">
        <f t="shared" si="113"/>
        <v>36.876575164999934</v>
      </c>
      <c r="T424" s="126">
        <f t="shared" si="123"/>
        <v>25.310000000000002</v>
      </c>
      <c r="U424" s="127">
        <f>(((IF(K424="New",0,SUMIF('MPG Payment '!$E$3:$E$34579,'Shayak Income '!D424,'MPG Payment '!$AC$3:$AC$34579))))+0)+-1468</f>
        <v>404.53491021354284</v>
      </c>
      <c r="V424" s="127">
        <f t="shared" si="124"/>
        <v>0</v>
      </c>
      <c r="W424" s="19">
        <v>0</v>
      </c>
      <c r="X424" s="19">
        <v>0</v>
      </c>
      <c r="Y424" s="128">
        <f>IFERROR(VLOOKUP(D424,'Monthly Deduction'!$M$2:$N$64,2,0),0)</f>
        <v>0</v>
      </c>
      <c r="Z424" s="128">
        <v>0</v>
      </c>
      <c r="AA424" s="126">
        <f>IFERROR(VLOOKUP(D424,'Monthly Deduction'!A:B,2,0),0)</f>
        <v>0</v>
      </c>
      <c r="AB424" s="129">
        <f t="shared" si="115"/>
        <v>0</v>
      </c>
      <c r="AC424" s="130">
        <v>0</v>
      </c>
      <c r="AD424" s="35">
        <f t="shared" si="125"/>
        <v>0</v>
      </c>
      <c r="AE424" s="166" t="str">
        <f t="shared" si="126"/>
        <v>Release</v>
      </c>
      <c r="AF424" s="127"/>
      <c r="AG424" s="18">
        <v>0</v>
      </c>
      <c r="AH424" s="132"/>
      <c r="AI424" s="238">
        <v>0</v>
      </c>
      <c r="AJ424" s="132"/>
      <c r="AK424" s="151">
        <v>40.9</v>
      </c>
      <c r="AL424" s="154">
        <f t="shared" si="116"/>
        <v>0</v>
      </c>
      <c r="AM424" s="155"/>
      <c r="AN424" s="19">
        <f t="shared" si="117"/>
        <v>0</v>
      </c>
      <c r="AO424" s="118">
        <f>SUMIF('MPG Payment '!E:E,'Shayak Income '!D424,'MPG Payment '!AJ:AJ)</f>
        <v>0</v>
      </c>
      <c r="AP424" s="19">
        <f t="shared" si="118"/>
        <v>0</v>
      </c>
      <c r="AQ424" s="119">
        <f t="shared" si="127"/>
        <v>0</v>
      </c>
      <c r="AR424" s="91" t="s">
        <v>1168</v>
      </c>
      <c r="AS424" s="91">
        <f t="shared" si="119"/>
        <v>0</v>
      </c>
      <c r="AT424" s="118"/>
      <c r="AU424" s="118"/>
      <c r="AV424" s="118"/>
    </row>
    <row r="425" spans="1:48" s="20" customFormat="1" x14ac:dyDescent="0.25">
      <c r="A425" s="17">
        <f>IFERROR(VLOOKUP(D425,'Monthly Deduction'!$I$3:$J$957,2,0),0)</f>
        <v>0</v>
      </c>
      <c r="B425" s="17">
        <f>IFERROR(VLOOKUP(D425,'Monthly Deduction'!$E$3:$F$957,2,0),0)</f>
        <v>0</v>
      </c>
      <c r="C425" s="17">
        <f t="shared" si="120"/>
        <v>0</v>
      </c>
      <c r="D425" s="41">
        <v>10130042</v>
      </c>
      <c r="E425" s="122" t="str">
        <f>VLOOKUP(D425,'MPG Payment '!$E$3:$G$498218,2,0)</f>
        <v>Arniya East Tola - Seema</v>
      </c>
      <c r="F425" s="146">
        <f>IFERROR(_xlfn.XLOOKUP(D425,'Monthly Deduction'!$I$3:$I$957,'Monthly Deduction'!$H$3:$H$957),0)</f>
        <v>0</v>
      </c>
      <c r="G425" s="123" t="str">
        <f>VLOOKUP(D425,'MPG Payment '!$E$3:$G$334579,3,0)</f>
        <v>vlc</v>
      </c>
      <c r="H425" s="124" t="str">
        <f>VLOOKUP(D425,'MPG Payment '!$E$3:$H$334579,4,0)</f>
        <v>Indirect</v>
      </c>
      <c r="I425" s="88">
        <f>INDEX('MPG Payment '!$C:$C,MATCH('Shayak Income '!D425,'MPG Payment '!E:E,0))</f>
        <v>1013</v>
      </c>
      <c r="J425" s="88" t="str">
        <f>INDEX('MPG Payment '!$D:$D,MATCH('Shayak Income '!D425,'MPG Payment '!E:E,0))</f>
        <v>Musrigharari</v>
      </c>
      <c r="K425" s="125" t="s">
        <v>1322</v>
      </c>
      <c r="L425" s="125">
        <v>45212</v>
      </c>
      <c r="M425" s="126">
        <f>SUMIF('MPG Payment '!$E$3:$E$34579,'Shayak Income '!D425,'MPG Payment '!$I$3:$I$34579)</f>
        <v>67.900000000000006</v>
      </c>
      <c r="N425" s="126">
        <f>SUMIF('MPG Payment '!$E$3:$E$34579,'Shayak Income '!D425,'MPG Payment '!$J$3:$J$34579)</f>
        <v>2542.5348070112004</v>
      </c>
      <c r="O425" s="126">
        <f t="shared" si="121"/>
        <v>50.925000000000004</v>
      </c>
      <c r="P425" s="126">
        <f t="shared" si="122"/>
        <v>64.504999999999995</v>
      </c>
      <c r="Q425" s="126">
        <f>SUMIF('MPG Payment '!$E$3:$E$34579,'Shayak Income '!D425,'MPG Payment '!$S$3:$S$34579)</f>
        <v>0</v>
      </c>
      <c r="R425" s="126">
        <f t="shared" si="112"/>
        <v>76.276044210336011</v>
      </c>
      <c r="S425" s="126">
        <f t="shared" si="113"/>
        <v>11.771044210336015</v>
      </c>
      <c r="T425" s="126">
        <f t="shared" si="123"/>
        <v>6.7900000000000009</v>
      </c>
      <c r="U425" s="127">
        <f>(((IF(K425="New",0,SUMIF('MPG Payment '!$E$3:$E$34579,'Shayak Income '!D425,'MPG Payment '!$AC$3:$AC$34579))))+0)+-1431</f>
        <v>108.22739949964171</v>
      </c>
      <c r="V425" s="127">
        <f t="shared" si="124"/>
        <v>0</v>
      </c>
      <c r="W425" s="19">
        <v>0</v>
      </c>
      <c r="X425" s="19">
        <v>0</v>
      </c>
      <c r="Y425" s="128">
        <f>IFERROR(VLOOKUP(D425,'Monthly Deduction'!$M$2:$N$64,2,0),0)</f>
        <v>0</v>
      </c>
      <c r="Z425" s="128">
        <v>0</v>
      </c>
      <c r="AA425" s="126">
        <f>IFERROR(VLOOKUP(D425,'Monthly Deduction'!A:B,2,0),0)</f>
        <v>0</v>
      </c>
      <c r="AB425" s="129">
        <f t="shared" si="115"/>
        <v>0</v>
      </c>
      <c r="AC425" s="130">
        <v>0</v>
      </c>
      <c r="AD425" s="35">
        <f t="shared" si="125"/>
        <v>0</v>
      </c>
      <c r="AE425" s="166" t="str">
        <f t="shared" si="126"/>
        <v>Release</v>
      </c>
      <c r="AF425" s="127"/>
      <c r="AG425" s="18">
        <v>0</v>
      </c>
      <c r="AH425" s="120"/>
      <c r="AI425" s="238">
        <v>0</v>
      </c>
      <c r="AJ425" s="132"/>
      <c r="AK425" s="151">
        <v>53.500000000000007</v>
      </c>
      <c r="AL425" s="154">
        <f t="shared" si="116"/>
        <v>0</v>
      </c>
      <c r="AM425" s="155"/>
      <c r="AN425" s="19">
        <f t="shared" si="117"/>
        <v>0</v>
      </c>
      <c r="AO425" s="118">
        <f>SUMIF('MPG Payment '!E:E,'Shayak Income '!D425,'MPG Payment '!AJ:AJ)</f>
        <v>0</v>
      </c>
      <c r="AP425" s="19">
        <f t="shared" si="118"/>
        <v>0</v>
      </c>
      <c r="AQ425" s="119">
        <f t="shared" si="127"/>
        <v>0</v>
      </c>
      <c r="AR425" s="91" t="s">
        <v>1168</v>
      </c>
      <c r="AS425" s="91">
        <f t="shared" si="119"/>
        <v>0</v>
      </c>
      <c r="AT425" s="118"/>
      <c r="AU425" s="118"/>
      <c r="AV425" s="118"/>
    </row>
    <row r="426" spans="1:48" s="20" customFormat="1" x14ac:dyDescent="0.25">
      <c r="A426" s="17">
        <f>IFERROR(VLOOKUP(D426,'Monthly Deduction'!$I$3:$J$957,2,0),0)</f>
        <v>0</v>
      </c>
      <c r="B426" s="17">
        <f>IFERROR(VLOOKUP(D426,'Monthly Deduction'!$E$3:$F$957,2,0),0)</f>
        <v>0</v>
      </c>
      <c r="C426" s="17">
        <f t="shared" si="120"/>
        <v>0</v>
      </c>
      <c r="D426" s="41">
        <v>10130044</v>
      </c>
      <c r="E426" s="122" t="str">
        <f>VLOOKUP(D426,'MPG Payment '!$E$3:$G$498218,2,0)</f>
        <v>Lakshmipur Western Tol - Rajeev</v>
      </c>
      <c r="F426" s="146">
        <f>IFERROR(_xlfn.XLOOKUP(D426,'Monthly Deduction'!$I$3:$I$957,'Monthly Deduction'!$H$3:$H$957),0)</f>
        <v>0</v>
      </c>
      <c r="G426" s="123" t="str">
        <f>VLOOKUP(D426,'MPG Payment '!$E$3:$G$334579,3,0)</f>
        <v>MPG</v>
      </c>
      <c r="H426" s="124" t="str">
        <f>VLOOKUP(D426,'MPG Payment '!$E$3:$H$334579,4,0)</f>
        <v>Indirect</v>
      </c>
      <c r="I426" s="88">
        <f>INDEX('MPG Payment '!$C:$C,MATCH('Shayak Income '!D426,'MPG Payment '!E:E,0))</f>
        <v>1013</v>
      </c>
      <c r="J426" s="88" t="str">
        <f>INDEX('MPG Payment '!$D:$D,MATCH('Shayak Income '!D426,'MPG Payment '!E:E,0))</f>
        <v>Musrigharari</v>
      </c>
      <c r="K426" s="125" t="s">
        <v>1322</v>
      </c>
      <c r="L426" s="125">
        <v>44915</v>
      </c>
      <c r="M426" s="126">
        <f>SUMIF('MPG Payment '!$E$3:$E$34579,'Shayak Income '!D426,'MPG Payment '!$I$3:$I$34579)</f>
        <v>11905.8</v>
      </c>
      <c r="N426" s="126">
        <f>SUMIF('MPG Payment '!$E$3:$E$34579,'Shayak Income '!D426,'MPG Payment '!$J$3:$J$34579)</f>
        <v>494824.83373893</v>
      </c>
      <c r="O426" s="126">
        <f t="shared" si="121"/>
        <v>8929.3499999999985</v>
      </c>
      <c r="P426" s="126">
        <f t="shared" si="122"/>
        <v>11310.509999999998</v>
      </c>
      <c r="Q426" s="126">
        <f>SUMIF('MPG Payment '!$E$3:$E$34579,'Shayak Income '!D426,'MPG Payment '!$S$3:$S$34579)</f>
        <v>44.617122000000002</v>
      </c>
      <c r="R426" s="126">
        <f t="shared" si="112"/>
        <v>14844.745012167899</v>
      </c>
      <c r="S426" s="126">
        <f t="shared" si="113"/>
        <v>3534.235012167901</v>
      </c>
      <c r="T426" s="126">
        <f t="shared" si="123"/>
        <v>1190.58</v>
      </c>
      <c r="U426" s="127">
        <f>(((IF(K426="New",0,SUMIF('MPG Payment '!$E$3:$E$34579,'Shayak Income '!D426,'MPG Payment '!$AC$3:$AC$34579))))+0)+0</f>
        <v>0</v>
      </c>
      <c r="V426" s="127">
        <f t="shared" si="124"/>
        <v>19094</v>
      </c>
      <c r="W426" s="19">
        <f t="shared" si="128"/>
        <v>0</v>
      </c>
      <c r="X426" s="19">
        <f t="shared" si="114"/>
        <v>0</v>
      </c>
      <c r="Y426" s="128">
        <f>IFERROR(VLOOKUP(D426,'Monthly Deduction'!$M$2:$N$64,2,0),0)</f>
        <v>0</v>
      </c>
      <c r="Z426" s="128">
        <v>0</v>
      </c>
      <c r="AA426" s="126">
        <f>IFERROR(VLOOKUP(D426,'Monthly Deduction'!A:B,2,0),0)</f>
        <v>0</v>
      </c>
      <c r="AB426" s="129">
        <f t="shared" si="115"/>
        <v>19094</v>
      </c>
      <c r="AC426" s="130">
        <v>0</v>
      </c>
      <c r="AD426" s="35">
        <f t="shared" si="125"/>
        <v>19094</v>
      </c>
      <c r="AE426" s="166" t="str">
        <f t="shared" si="126"/>
        <v>Release</v>
      </c>
      <c r="AF426" s="127"/>
      <c r="AG426" s="127">
        <v>0</v>
      </c>
      <c r="AH426" s="215"/>
      <c r="AI426" s="238">
        <v>0</v>
      </c>
      <c r="AJ426" s="132"/>
      <c r="AK426" s="151">
        <v>3311.0000000000005</v>
      </c>
      <c r="AL426" s="154">
        <f t="shared" si="116"/>
        <v>0</v>
      </c>
      <c r="AM426" s="155"/>
      <c r="AN426" s="19">
        <f t="shared" si="117"/>
        <v>0</v>
      </c>
      <c r="AO426" s="118">
        <f>SUMIF('MPG Payment '!E:E,'Shayak Income '!D426,'MPG Payment '!AJ:AJ)</f>
        <v>0</v>
      </c>
      <c r="AP426" s="19">
        <f t="shared" si="118"/>
        <v>0</v>
      </c>
      <c r="AQ426" s="119">
        <f t="shared" si="127"/>
        <v>0</v>
      </c>
      <c r="AR426" s="91" t="s">
        <v>1168</v>
      </c>
      <c r="AS426" s="91">
        <f t="shared" si="119"/>
        <v>0</v>
      </c>
      <c r="AT426" s="118"/>
      <c r="AU426" s="118"/>
      <c r="AV426" s="118"/>
    </row>
    <row r="427" spans="1:48" s="20" customFormat="1" x14ac:dyDescent="0.25">
      <c r="A427" s="17">
        <f>IFERROR(VLOOKUP(D427,'Monthly Deduction'!$I$3:$J$957,2,0),0)</f>
        <v>37966.854616309371</v>
      </c>
      <c r="B427" s="17">
        <f>IFERROR(VLOOKUP(D427,'Monthly Deduction'!$E$3:$F$957,2,0),0)</f>
        <v>14950</v>
      </c>
      <c r="C427" s="17">
        <f t="shared" si="120"/>
        <v>52916.854616309371</v>
      </c>
      <c r="D427" s="41">
        <v>10130046</v>
      </c>
      <c r="E427" s="122" t="str">
        <f>VLOOKUP(D427,'MPG Payment '!$E$3:$G$498218,2,0)</f>
        <v>Jahangipur Salkhanni</v>
      </c>
      <c r="F427" s="146">
        <f>IFERROR(_xlfn.XLOOKUP(D427,'Monthly Deduction'!$I$3:$I$957,'Monthly Deduction'!$H$3:$H$957),0)</f>
        <v>0</v>
      </c>
      <c r="G427" s="123" t="str">
        <f>VLOOKUP(D427,'MPG Payment '!$E$3:$G$334579,3,0)</f>
        <v>MPG</v>
      </c>
      <c r="H427" s="124" t="str">
        <f>VLOOKUP(D427,'MPG Payment '!$E$3:$H$334579,4,0)</f>
        <v>Direct</v>
      </c>
      <c r="I427" s="88">
        <f>INDEX('MPG Payment '!$C:$C,MATCH('Shayak Income '!D427,'MPG Payment '!E:E,0))</f>
        <v>1013</v>
      </c>
      <c r="J427" s="88" t="str">
        <f>INDEX('MPG Payment '!$D:$D,MATCH('Shayak Income '!D427,'MPG Payment '!E:E,0))</f>
        <v>Musrigharari</v>
      </c>
      <c r="K427" s="125" t="s">
        <v>1322</v>
      </c>
      <c r="L427" s="125">
        <v>45238</v>
      </c>
      <c r="M427" s="126">
        <f>SUMIF('MPG Payment '!$E$3:$E$34579,'Shayak Income '!D427,'MPG Payment '!$I$3:$I$34579)</f>
        <v>1232</v>
      </c>
      <c r="N427" s="126">
        <f>SUMIF('MPG Payment '!$E$3:$E$34579,'Shayak Income '!D427,'MPG Payment '!$J$3:$J$34579)</f>
        <v>53247.337444391793</v>
      </c>
      <c r="O427" s="126">
        <f t="shared" si="121"/>
        <v>924</v>
      </c>
      <c r="P427" s="126">
        <f t="shared" si="122"/>
        <v>1170.3999999999999</v>
      </c>
      <c r="Q427" s="126">
        <f>SUMIF('MPG Payment '!$E$3:$E$34579,'Shayak Income '!D427,'MPG Payment '!$S$3:$S$34579)</f>
        <v>0</v>
      </c>
      <c r="R427" s="126">
        <f t="shared" si="112"/>
        <v>1597.4201233317538</v>
      </c>
      <c r="S427" s="126">
        <f t="shared" si="113"/>
        <v>427.02012333175389</v>
      </c>
      <c r="T427" s="126">
        <f t="shared" si="123"/>
        <v>123.2</v>
      </c>
      <c r="U427" s="127">
        <f>(((IF(K427="New",0,SUMIF('MPG Payment '!$E$3:$E$34579,'Shayak Income '!D427,'MPG Payment '!$AC$3:$AC$34579))))+0)+0</f>
        <v>1355.9891409932106</v>
      </c>
      <c r="V427" s="127">
        <f t="shared" si="124"/>
        <v>615</v>
      </c>
      <c r="W427" s="19">
        <v>615</v>
      </c>
      <c r="X427" s="19">
        <v>0</v>
      </c>
      <c r="Y427" s="128">
        <f>IFERROR(VLOOKUP(D427,'Monthly Deduction'!$M$2:$N$64,2,0),0)</f>
        <v>0</v>
      </c>
      <c r="Z427" s="128">
        <v>0</v>
      </c>
      <c r="AA427" s="126">
        <f>IFERROR(VLOOKUP(D427,'Monthly Deduction'!A:B,2,0),0)</f>
        <v>0</v>
      </c>
      <c r="AB427" s="129">
        <f t="shared" si="115"/>
        <v>0</v>
      </c>
      <c r="AC427" s="130">
        <v>0</v>
      </c>
      <c r="AD427" s="35">
        <f t="shared" si="125"/>
        <v>0</v>
      </c>
      <c r="AE427" s="166" t="str">
        <f t="shared" si="126"/>
        <v>Release</v>
      </c>
      <c r="AF427" s="127"/>
      <c r="AG427" s="18">
        <v>0</v>
      </c>
      <c r="AH427" s="120"/>
      <c r="AI427" s="238">
        <v>0</v>
      </c>
      <c r="AJ427" s="132"/>
      <c r="AK427" s="151">
        <v>288.5</v>
      </c>
      <c r="AL427" s="154">
        <f t="shared" si="116"/>
        <v>0</v>
      </c>
      <c r="AM427" s="155"/>
      <c r="AN427" s="19">
        <f t="shared" si="117"/>
        <v>1861</v>
      </c>
      <c r="AO427" s="118">
        <f>SUMIF('MPG Payment '!E:E,'Shayak Income '!D427,'MPG Payment '!AJ:AJ)</f>
        <v>0</v>
      </c>
      <c r="AP427" s="19">
        <f t="shared" si="118"/>
        <v>615</v>
      </c>
      <c r="AQ427" s="119">
        <f t="shared" si="127"/>
        <v>615</v>
      </c>
      <c r="AR427" s="91" t="s">
        <v>1168</v>
      </c>
      <c r="AS427" s="91">
        <f t="shared" si="119"/>
        <v>14950</v>
      </c>
      <c r="AT427" s="118"/>
      <c r="AU427" s="118"/>
      <c r="AV427" s="118"/>
    </row>
    <row r="428" spans="1:48" s="20" customFormat="1" x14ac:dyDescent="0.25">
      <c r="A428" s="17">
        <f>IFERROR(VLOOKUP(D428,'Monthly Deduction'!$I$3:$J$957,2,0),0)</f>
        <v>63020.551200000002</v>
      </c>
      <c r="B428" s="17">
        <f>IFERROR(VLOOKUP(D428,'Monthly Deduction'!$E$3:$F$957,2,0),0)</f>
        <v>11750</v>
      </c>
      <c r="C428" s="17">
        <f t="shared" si="120"/>
        <v>74770.551200000002</v>
      </c>
      <c r="D428" s="41">
        <v>10130047</v>
      </c>
      <c r="E428" s="122" t="str">
        <f>VLOOKUP(D428,'MPG Payment '!$E$3:$G$498218,2,0)</f>
        <v>Sekhpura</v>
      </c>
      <c r="F428" s="146">
        <f>IFERROR(_xlfn.XLOOKUP(D428,'Monthly Deduction'!$I$3:$I$957,'Monthly Deduction'!$H$3:$H$957),0)</f>
        <v>0</v>
      </c>
      <c r="G428" s="123" t="str">
        <f>VLOOKUP(D428,'MPG Payment '!$E$3:$G$334579,3,0)</f>
        <v>MPG</v>
      </c>
      <c r="H428" s="124" t="str">
        <f>VLOOKUP(D428,'MPG Payment '!$E$3:$H$334579,4,0)</f>
        <v>Direct</v>
      </c>
      <c r="I428" s="88">
        <f>INDEX('MPG Payment '!$C:$C,MATCH('Shayak Income '!D428,'MPG Payment '!E:E,0))</f>
        <v>1013</v>
      </c>
      <c r="J428" s="88" t="str">
        <f>INDEX('MPG Payment '!$D:$D,MATCH('Shayak Income '!D428,'MPG Payment '!E:E,0))</f>
        <v>Musrigharari</v>
      </c>
      <c r="K428" s="125" t="s">
        <v>1322</v>
      </c>
      <c r="L428" s="125">
        <v>45232</v>
      </c>
      <c r="M428" s="126">
        <f>SUMIF('MPG Payment '!$E$3:$E$34579,'Shayak Income '!D428,'MPG Payment '!$I$3:$I$34579)</f>
        <v>1032.2</v>
      </c>
      <c r="N428" s="126">
        <f>SUMIF('MPG Payment '!$E$3:$E$34579,'Shayak Income '!D428,'MPG Payment '!$J$3:$J$34579)</f>
        <v>36271.454059351498</v>
      </c>
      <c r="O428" s="126">
        <f t="shared" si="121"/>
        <v>774.15000000000009</v>
      </c>
      <c r="P428" s="126">
        <f t="shared" si="122"/>
        <v>980.59</v>
      </c>
      <c r="Q428" s="126">
        <f>SUMIF('MPG Payment '!$E$3:$E$34579,'Shayak Income '!D428,'MPG Payment '!$S$3:$S$34579)</f>
        <v>399.3709785708001</v>
      </c>
      <c r="R428" s="126">
        <f t="shared" si="112"/>
        <v>1088.1436217805449</v>
      </c>
      <c r="S428" s="126">
        <f t="shared" si="113"/>
        <v>107.55362178054486</v>
      </c>
      <c r="T428" s="126">
        <f t="shared" si="123"/>
        <v>103.22000000000001</v>
      </c>
      <c r="U428" s="127">
        <f>(((IF(K428="New",0,SUMIF('MPG Payment '!$E$3:$E$34579,'Shayak Income '!D428,'MPG Payment '!$AC$3:$AC$34579))))+0)+0</f>
        <v>1239.3000956656231</v>
      </c>
      <c r="V428" s="127">
        <f t="shared" si="124"/>
        <v>812</v>
      </c>
      <c r="W428" s="19">
        <v>812</v>
      </c>
      <c r="X428" s="19">
        <v>0</v>
      </c>
      <c r="Y428" s="128">
        <v>0</v>
      </c>
      <c r="Z428" s="128">
        <v>0</v>
      </c>
      <c r="AA428" s="126">
        <v>0</v>
      </c>
      <c r="AB428" s="129">
        <f t="shared" si="115"/>
        <v>0</v>
      </c>
      <c r="AC428" s="130">
        <v>0</v>
      </c>
      <c r="AD428" s="35">
        <f t="shared" si="125"/>
        <v>0</v>
      </c>
      <c r="AE428" s="166" t="str">
        <f t="shared" si="126"/>
        <v>Release</v>
      </c>
      <c r="AF428" s="127"/>
      <c r="AG428" s="18">
        <v>0</v>
      </c>
      <c r="AH428" s="120"/>
      <c r="AI428" s="238">
        <v>0</v>
      </c>
      <c r="AJ428" s="132"/>
      <c r="AK428" s="151">
        <v>296.10000000000002</v>
      </c>
      <c r="AL428" s="154">
        <f t="shared" si="116"/>
        <v>0</v>
      </c>
      <c r="AM428" s="155"/>
      <c r="AN428" s="19">
        <f t="shared" si="117"/>
        <v>1861</v>
      </c>
      <c r="AO428" s="118">
        <f>SUMIF('MPG Payment '!E:E,'Shayak Income '!D428,'MPG Payment '!AJ:AJ)</f>
        <v>0</v>
      </c>
      <c r="AP428" s="19">
        <f t="shared" si="118"/>
        <v>812</v>
      </c>
      <c r="AQ428" s="119">
        <f t="shared" si="127"/>
        <v>812</v>
      </c>
      <c r="AR428" s="91" t="s">
        <v>1168</v>
      </c>
      <c r="AS428" s="91">
        <f t="shared" si="119"/>
        <v>11750</v>
      </c>
      <c r="AT428" s="118"/>
      <c r="AU428" s="118"/>
      <c r="AV428" s="118"/>
    </row>
    <row r="429" spans="1:48" s="20" customFormat="1" x14ac:dyDescent="0.25">
      <c r="A429" s="17">
        <f>IFERROR(VLOOKUP(D429,'Monthly Deduction'!$I$3:$J$957,2,0),0)</f>
        <v>18078.379051454613</v>
      </c>
      <c r="B429" s="17">
        <f>IFERROR(VLOOKUP(D429,'Monthly Deduction'!$E$3:$F$957,2,0),0)</f>
        <v>21350</v>
      </c>
      <c r="C429" s="17">
        <f t="shared" si="120"/>
        <v>39428.379051454613</v>
      </c>
      <c r="D429" s="41">
        <v>10130052</v>
      </c>
      <c r="E429" s="122" t="str">
        <f>VLOOKUP(D429,'MPG Payment '!$E$3:$G$498218,2,0)</f>
        <v>Songar</v>
      </c>
      <c r="F429" s="146">
        <f>IFERROR(_xlfn.XLOOKUP(D429,'Monthly Deduction'!$I$3:$I$957,'Monthly Deduction'!$H$3:$H$957),0)</f>
        <v>0</v>
      </c>
      <c r="G429" s="123" t="str">
        <f>VLOOKUP(D429,'MPG Payment '!$E$3:$G$334579,3,0)</f>
        <v>MPG</v>
      </c>
      <c r="H429" s="124" t="str">
        <f>VLOOKUP(D429,'MPG Payment '!$E$3:$H$334579,4,0)</f>
        <v>Direct</v>
      </c>
      <c r="I429" s="88">
        <f>INDEX('MPG Payment '!$C:$C,MATCH('Shayak Income '!D429,'MPG Payment '!E:E,0))</f>
        <v>1013</v>
      </c>
      <c r="J429" s="88" t="str">
        <f>INDEX('MPG Payment '!$D:$D,MATCH('Shayak Income '!D429,'MPG Payment '!E:E,0))</f>
        <v>Musrigharari</v>
      </c>
      <c r="K429" s="125" t="s">
        <v>1322</v>
      </c>
      <c r="L429" s="125">
        <v>45392</v>
      </c>
      <c r="M429" s="126">
        <f>SUMIF('MPG Payment '!$E$3:$E$34579,'Shayak Income '!D429,'MPG Payment '!$I$3:$I$34579)</f>
        <v>5475.2</v>
      </c>
      <c r="N429" s="126">
        <f>SUMIF('MPG Payment '!$E$3:$E$34579,'Shayak Income '!D429,'MPG Payment '!$J$3:$J$34579)</f>
        <v>192328.78595988799</v>
      </c>
      <c r="O429" s="126">
        <f t="shared" si="121"/>
        <v>4106.3999999999996</v>
      </c>
      <c r="P429" s="126">
        <f t="shared" si="122"/>
        <v>5201.4399999999996</v>
      </c>
      <c r="Q429" s="126">
        <f>SUMIF('MPG Payment '!$E$3:$E$34579,'Shayak Income '!D429,'MPG Payment '!$S$3:$S$34579)</f>
        <v>2215.2869637822005</v>
      </c>
      <c r="R429" s="126">
        <f t="shared" si="112"/>
        <v>5769.8635787966396</v>
      </c>
      <c r="S429" s="126">
        <f t="shared" si="113"/>
        <v>568.42357879663996</v>
      </c>
      <c r="T429" s="126">
        <f t="shared" si="123"/>
        <v>547.52</v>
      </c>
      <c r="U429" s="127">
        <f>(((IF(K429="New",0,SUMIF('MPG Payment '!$E$3:$E$34579,'Shayak Income '!D429,'MPG Payment '!$AC$3:$AC$34579))))+0)+0</f>
        <v>0</v>
      </c>
      <c r="V429" s="127">
        <f t="shared" si="124"/>
        <v>10976</v>
      </c>
      <c r="W429" s="19">
        <f t="shared" si="128"/>
        <v>3846.57571919776</v>
      </c>
      <c r="X429" s="19">
        <v>0</v>
      </c>
      <c r="Y429" s="128">
        <f>IFERROR(VLOOKUP(D429,'Monthly Deduction'!$M$2:$N$64,2,0),0)</f>
        <v>0</v>
      </c>
      <c r="Z429" s="128">
        <v>0</v>
      </c>
      <c r="AA429" s="126">
        <f>IFERROR(VLOOKUP(D429,'Monthly Deduction'!A:B,2,0),0)</f>
        <v>0</v>
      </c>
      <c r="AB429" s="129">
        <f t="shared" si="115"/>
        <v>7129</v>
      </c>
      <c r="AC429" s="130">
        <v>0</v>
      </c>
      <c r="AD429" s="35">
        <f t="shared" si="125"/>
        <v>7129</v>
      </c>
      <c r="AE429" s="166" t="str">
        <f t="shared" si="126"/>
        <v>Release</v>
      </c>
      <c r="AF429" s="127"/>
      <c r="AG429" s="18">
        <v>0</v>
      </c>
      <c r="AH429" s="120"/>
      <c r="AI429" s="238">
        <v>0</v>
      </c>
      <c r="AJ429" s="132"/>
      <c r="AK429" s="151">
        <v>1404.0999999999997</v>
      </c>
      <c r="AL429" s="154">
        <f t="shared" si="116"/>
        <v>0</v>
      </c>
      <c r="AM429" s="155"/>
      <c r="AN429" s="19">
        <f t="shared" si="117"/>
        <v>3846.57571919776</v>
      </c>
      <c r="AO429" s="118">
        <f>SUMIF('MPG Payment '!E:E,'Shayak Income '!D429,'MPG Payment '!AJ:AJ)</f>
        <v>0</v>
      </c>
      <c r="AP429" s="19">
        <f t="shared" si="118"/>
        <v>3846.57571919776</v>
      </c>
      <c r="AQ429" s="119">
        <f t="shared" si="127"/>
        <v>3846.57571919776</v>
      </c>
      <c r="AR429" s="91" t="s">
        <v>1168</v>
      </c>
      <c r="AS429" s="91">
        <f t="shared" si="119"/>
        <v>21350</v>
      </c>
      <c r="AT429" s="118"/>
      <c r="AU429" s="118"/>
      <c r="AV429" s="118"/>
    </row>
    <row r="430" spans="1:48" s="20" customFormat="1" x14ac:dyDescent="0.25">
      <c r="A430" s="17">
        <f>IFERROR(VLOOKUP(D430,'Monthly Deduction'!$I$3:$J$957,2,0),0)</f>
        <v>23071.940051461424</v>
      </c>
      <c r="B430" s="17">
        <f>IFERROR(VLOOKUP(D430,'Monthly Deduction'!$E$3:$F$957,2,0),0)</f>
        <v>11750</v>
      </c>
      <c r="C430" s="17">
        <f t="shared" si="120"/>
        <v>34821.940051461424</v>
      </c>
      <c r="D430" s="41">
        <v>10130054</v>
      </c>
      <c r="E430" s="122" t="str">
        <f>VLOOKUP(D430,'MPG Payment '!$E$3:$G$498218,2,0)</f>
        <v>Rampur Maheshpur</v>
      </c>
      <c r="F430" s="146">
        <f>IFERROR(_xlfn.XLOOKUP(D430,'Monthly Deduction'!$I$3:$I$957,'Monthly Deduction'!$H$3:$H$957),0)</f>
        <v>0</v>
      </c>
      <c r="G430" s="123" t="str">
        <f>VLOOKUP(D430,'MPG Payment '!$E$3:$G$334579,3,0)</f>
        <v>MPG</v>
      </c>
      <c r="H430" s="124" t="str">
        <f>VLOOKUP(D430,'MPG Payment '!$E$3:$H$334579,4,0)</f>
        <v>Direct</v>
      </c>
      <c r="I430" s="88">
        <f>INDEX('MPG Payment '!$C:$C,MATCH('Shayak Income '!D430,'MPG Payment '!E:E,0))</f>
        <v>1013</v>
      </c>
      <c r="J430" s="88" t="str">
        <f>INDEX('MPG Payment '!$D:$D,MATCH('Shayak Income '!D430,'MPG Payment '!E:E,0))</f>
        <v>Musrigharari</v>
      </c>
      <c r="K430" s="125" t="s">
        <v>1322</v>
      </c>
      <c r="L430" s="125">
        <v>45392</v>
      </c>
      <c r="M430" s="126">
        <f>SUMIF('MPG Payment '!$E$3:$E$34579,'Shayak Income '!D430,'MPG Payment '!$I$3:$I$34579)</f>
        <v>2003.8</v>
      </c>
      <c r="N430" s="126">
        <f>SUMIF('MPG Payment '!$E$3:$E$34579,'Shayak Income '!D430,'MPG Payment '!$J$3:$J$34579)</f>
        <v>79292.566229952601</v>
      </c>
      <c r="O430" s="126">
        <f t="shared" si="121"/>
        <v>1502.85</v>
      </c>
      <c r="P430" s="126">
        <f t="shared" si="122"/>
        <v>1903.61</v>
      </c>
      <c r="Q430" s="126">
        <f>SUMIF('MPG Payment '!$E$3:$E$34579,'Shayak Income '!D430,'MPG Payment '!$S$3:$S$34579)</f>
        <v>152.19096254999999</v>
      </c>
      <c r="R430" s="126">
        <f t="shared" si="112"/>
        <v>2378.7769868985779</v>
      </c>
      <c r="S430" s="126">
        <f t="shared" si="113"/>
        <v>475.16698689857799</v>
      </c>
      <c r="T430" s="126">
        <f t="shared" si="123"/>
        <v>200.38</v>
      </c>
      <c r="U430" s="127">
        <f>(((IF(K430="New",0,SUMIF('MPG Payment '!$E$3:$E$34579,'Shayak Income '!D430,'MPG Payment '!$AC$3:$AC$34579))))+0)+0</f>
        <v>634.13392578113746</v>
      </c>
      <c r="V430" s="127">
        <f t="shared" si="124"/>
        <v>2724</v>
      </c>
      <c r="W430" s="19">
        <f t="shared" si="128"/>
        <v>1861</v>
      </c>
      <c r="X430" s="19">
        <v>0</v>
      </c>
      <c r="Y430" s="128">
        <f>IFERROR(VLOOKUP(D430,'Monthly Deduction'!$M$2:$N$64,2,0),0)</f>
        <v>0</v>
      </c>
      <c r="Z430" s="128">
        <v>0</v>
      </c>
      <c r="AA430" s="126">
        <f>IFERROR(VLOOKUP(D430,'Monthly Deduction'!A:B,2,0),0)</f>
        <v>0</v>
      </c>
      <c r="AB430" s="129">
        <f t="shared" si="115"/>
        <v>863</v>
      </c>
      <c r="AC430" s="130">
        <v>0</v>
      </c>
      <c r="AD430" s="35">
        <f t="shared" si="125"/>
        <v>863</v>
      </c>
      <c r="AE430" s="166" t="str">
        <f t="shared" si="126"/>
        <v>Release</v>
      </c>
      <c r="AF430" s="127"/>
      <c r="AG430" s="18">
        <v>0</v>
      </c>
      <c r="AH430" s="120"/>
      <c r="AI430" s="238">
        <v>0</v>
      </c>
      <c r="AJ430" s="132"/>
      <c r="AK430" s="151">
        <v>725.80000000000007</v>
      </c>
      <c r="AL430" s="154">
        <f t="shared" si="116"/>
        <v>0</v>
      </c>
      <c r="AM430" s="155"/>
      <c r="AN430" s="19">
        <f t="shared" si="117"/>
        <v>1861</v>
      </c>
      <c r="AO430" s="118">
        <f>SUMIF('MPG Payment '!E:E,'Shayak Income '!D430,'MPG Payment '!AJ:AJ)</f>
        <v>0</v>
      </c>
      <c r="AP430" s="19">
        <f t="shared" si="118"/>
        <v>1861</v>
      </c>
      <c r="AQ430" s="119">
        <f t="shared" si="127"/>
        <v>1861</v>
      </c>
      <c r="AR430" s="91"/>
      <c r="AS430" s="91">
        <f t="shared" si="119"/>
        <v>11750</v>
      </c>
      <c r="AT430" s="118"/>
      <c r="AU430" s="118"/>
      <c r="AV430" s="118"/>
    </row>
    <row r="431" spans="1:48" s="20" customFormat="1" x14ac:dyDescent="0.25">
      <c r="A431" s="17">
        <f>IFERROR(VLOOKUP(D431,'Monthly Deduction'!$I$3:$J$957,2,0),0)</f>
        <v>0</v>
      </c>
      <c r="B431" s="17">
        <f>IFERROR(VLOOKUP(D431,'Monthly Deduction'!$E$3:$F$957,2,0),0)</f>
        <v>0</v>
      </c>
      <c r="C431" s="17">
        <f t="shared" si="120"/>
        <v>0</v>
      </c>
      <c r="D431" s="41">
        <v>10130058</v>
      </c>
      <c r="E431" s="122" t="str">
        <f>VLOOKUP(D431,'MPG Payment '!$E$3:$G$498218,2,0)</f>
        <v>Godhiyari</v>
      </c>
      <c r="F431" s="146">
        <f>IFERROR(_xlfn.XLOOKUP(D431,'Monthly Deduction'!$I$3:$I$957,'Monthly Deduction'!$H$3:$H$957),0)</f>
        <v>0</v>
      </c>
      <c r="G431" s="123" t="str">
        <f>VLOOKUP(D431,'MPG Payment '!$E$3:$G$334579,3,0)</f>
        <v>vlc</v>
      </c>
      <c r="H431" s="124" t="str">
        <f>VLOOKUP(D431,'MPG Payment '!$E$3:$H$334579,4,0)</f>
        <v>Indirect</v>
      </c>
      <c r="I431" s="88">
        <f>INDEX('MPG Payment '!$C:$C,MATCH('Shayak Income '!D431,'MPG Payment '!E:E,0))</f>
        <v>1013</v>
      </c>
      <c r="J431" s="88" t="str">
        <f>INDEX('MPG Payment '!$D:$D,MATCH('Shayak Income '!D431,'MPG Payment '!E:E,0))</f>
        <v>Musrigharari</v>
      </c>
      <c r="K431" s="125" t="s">
        <v>1322</v>
      </c>
      <c r="L431" s="125">
        <v>45412</v>
      </c>
      <c r="M431" s="126">
        <f>SUMIF('MPG Payment '!$E$3:$E$34579,'Shayak Income '!D431,'MPG Payment '!$I$3:$I$34579)</f>
        <v>1276.8</v>
      </c>
      <c r="N431" s="126">
        <f>SUMIF('MPG Payment '!$E$3:$E$34579,'Shayak Income '!D431,'MPG Payment '!$J$3:$J$34579)</f>
        <v>41882.306757275001</v>
      </c>
      <c r="O431" s="126">
        <f t="shared" si="121"/>
        <v>957.59999999999991</v>
      </c>
      <c r="P431" s="126">
        <f t="shared" si="122"/>
        <v>1212.9599999999998</v>
      </c>
      <c r="Q431" s="126">
        <f>SUMIF('MPG Payment '!$E$3:$E$34579,'Shayak Income '!D431,'MPG Payment '!$S$3:$S$34579)</f>
        <v>0</v>
      </c>
      <c r="R431" s="126">
        <f t="shared" si="112"/>
        <v>1256.46920271825</v>
      </c>
      <c r="S431" s="126">
        <f t="shared" si="113"/>
        <v>43.509202718250208</v>
      </c>
      <c r="T431" s="126">
        <f t="shared" si="123"/>
        <v>127.68</v>
      </c>
      <c r="U431" s="127">
        <f>(((IF(K431="New",0,SUMIF('MPG Payment '!$E$3:$E$34579,'Shayak Income '!D431,'MPG Payment '!$AC$3:$AC$34579))))+0)+0</f>
        <v>1007.0786285793986</v>
      </c>
      <c r="V431" s="127">
        <f t="shared" si="124"/>
        <v>1036</v>
      </c>
      <c r="W431" s="19">
        <f t="shared" si="128"/>
        <v>0</v>
      </c>
      <c r="X431" s="19">
        <f t="shared" si="114"/>
        <v>0</v>
      </c>
      <c r="Y431" s="128">
        <f>IFERROR(VLOOKUP(D431,'Monthly Deduction'!$M$2:$N$64,2,0),0)</f>
        <v>0</v>
      </c>
      <c r="Z431" s="128">
        <v>0</v>
      </c>
      <c r="AA431" s="126">
        <f>IFERROR(VLOOKUP(D431,'Monthly Deduction'!A:B,2,0),0)</f>
        <v>0</v>
      </c>
      <c r="AB431" s="129">
        <f t="shared" si="115"/>
        <v>1036</v>
      </c>
      <c r="AC431" s="130">
        <v>0</v>
      </c>
      <c r="AD431" s="35">
        <f t="shared" si="125"/>
        <v>1036</v>
      </c>
      <c r="AE431" s="166" t="str">
        <f t="shared" si="126"/>
        <v>Release</v>
      </c>
      <c r="AF431" s="127"/>
      <c r="AG431" s="18">
        <v>0</v>
      </c>
      <c r="AH431" s="215"/>
      <c r="AI431" s="238">
        <v>0</v>
      </c>
      <c r="AJ431" s="132"/>
      <c r="AK431" s="151">
        <v>316.39999999999998</v>
      </c>
      <c r="AL431" s="154">
        <f t="shared" si="116"/>
        <v>0</v>
      </c>
      <c r="AM431" s="155"/>
      <c r="AN431" s="19">
        <f t="shared" si="117"/>
        <v>0</v>
      </c>
      <c r="AO431" s="118">
        <f>SUMIF('MPG Payment '!E:E,'Shayak Income '!D431,'MPG Payment '!AJ:AJ)</f>
        <v>0</v>
      </c>
      <c r="AP431" s="19">
        <f t="shared" si="118"/>
        <v>0</v>
      </c>
      <c r="AQ431" s="119">
        <f t="shared" si="127"/>
        <v>0</v>
      </c>
      <c r="AR431" s="91" t="s">
        <v>1168</v>
      </c>
      <c r="AS431" s="91">
        <f t="shared" si="119"/>
        <v>0</v>
      </c>
      <c r="AT431" s="118"/>
      <c r="AU431" s="118"/>
      <c r="AV431" s="118"/>
    </row>
    <row r="432" spans="1:48" s="20" customFormat="1" x14ac:dyDescent="0.25">
      <c r="A432" s="17">
        <f>IFERROR(VLOOKUP(D432,'Monthly Deduction'!$I$3:$J$957,2,0),0)</f>
        <v>0</v>
      </c>
      <c r="B432" s="17">
        <f>IFERROR(VLOOKUP(D432,'Monthly Deduction'!$E$3:$F$957,2,0),0)</f>
        <v>0</v>
      </c>
      <c r="C432" s="17">
        <f t="shared" si="120"/>
        <v>0</v>
      </c>
      <c r="D432" s="41">
        <v>10130065</v>
      </c>
      <c r="E432" s="122" t="str">
        <f>VLOOKUP(D432,'MPG Payment '!$E$3:$G$498218,2,0)</f>
        <v>Jhakhra-Rambilash</v>
      </c>
      <c r="F432" s="146">
        <f>IFERROR(_xlfn.XLOOKUP(D432,'Monthly Deduction'!$I$3:$I$957,'Monthly Deduction'!$H$3:$H$957),0)</f>
        <v>0</v>
      </c>
      <c r="G432" s="123" t="str">
        <f>VLOOKUP(D432,'MPG Payment '!$E$3:$G$334579,3,0)</f>
        <v>vlc</v>
      </c>
      <c r="H432" s="124" t="str">
        <f>VLOOKUP(D432,'MPG Payment '!$E$3:$H$334579,4,0)</f>
        <v>Indirect</v>
      </c>
      <c r="I432" s="88">
        <f>INDEX('MPG Payment '!$C:$C,MATCH('Shayak Income '!D432,'MPG Payment '!E:E,0))</f>
        <v>1013</v>
      </c>
      <c r="J432" s="88" t="str">
        <f>INDEX('MPG Payment '!$D:$D,MATCH('Shayak Income '!D432,'MPG Payment '!E:E,0))</f>
        <v>Musrigharari</v>
      </c>
      <c r="K432" s="125" t="s">
        <v>1322</v>
      </c>
      <c r="L432" s="125">
        <v>45440</v>
      </c>
      <c r="M432" s="126">
        <f>SUMIF('MPG Payment '!$E$3:$E$34579,'Shayak Income '!D432,'MPG Payment '!$I$3:$I$34579)</f>
        <v>2707.9</v>
      </c>
      <c r="N432" s="126">
        <f>SUMIF('MPG Payment '!$E$3:$E$34579,'Shayak Income '!D432,'MPG Payment '!$J$3:$J$34579)</f>
        <v>103949.84231897001</v>
      </c>
      <c r="O432" s="126">
        <f t="shared" si="121"/>
        <v>2030.9250000000002</v>
      </c>
      <c r="P432" s="126">
        <f t="shared" si="122"/>
        <v>2572.5050000000001</v>
      </c>
      <c r="Q432" s="126">
        <f>SUMIF('MPG Payment '!$E$3:$E$34579,'Shayak Income '!D432,'MPG Payment '!$S$3:$S$34579)</f>
        <v>0</v>
      </c>
      <c r="R432" s="126">
        <f t="shared" si="112"/>
        <v>3118.4952695691004</v>
      </c>
      <c r="S432" s="126">
        <f t="shared" si="113"/>
        <v>545.99026956910029</v>
      </c>
      <c r="T432" s="126">
        <f t="shared" si="123"/>
        <v>270.79000000000002</v>
      </c>
      <c r="U432" s="127">
        <f>(((IF(K432="New",0,SUMIF('MPG Payment '!$E$3:$E$34579,'Shayak Income '!D432,'MPG Payment '!$AC$3:$AC$34579))))+0)+0</f>
        <v>178.94635138896365</v>
      </c>
      <c r="V432" s="127">
        <f t="shared" si="124"/>
        <v>4154</v>
      </c>
      <c r="W432" s="19">
        <f t="shared" si="128"/>
        <v>0</v>
      </c>
      <c r="X432" s="19">
        <f t="shared" si="114"/>
        <v>0</v>
      </c>
      <c r="Y432" s="128">
        <f>IFERROR(VLOOKUP(D432,'Monthly Deduction'!$M$2:$N$64,2,0),0)</f>
        <v>0</v>
      </c>
      <c r="Z432" s="128">
        <v>0</v>
      </c>
      <c r="AA432" s="126">
        <f>IFERROR(VLOOKUP(D432,'Monthly Deduction'!A:B,2,0),0)</f>
        <v>0</v>
      </c>
      <c r="AB432" s="129">
        <f t="shared" si="115"/>
        <v>4154</v>
      </c>
      <c r="AC432" s="130">
        <v>0</v>
      </c>
      <c r="AD432" s="35">
        <f t="shared" si="125"/>
        <v>4154</v>
      </c>
      <c r="AE432" s="166" t="str">
        <f t="shared" si="126"/>
        <v>Release</v>
      </c>
      <c r="AF432" s="127"/>
      <c r="AG432" s="127">
        <v>0</v>
      </c>
      <c r="AH432" s="132"/>
      <c r="AI432" s="238">
        <v>0</v>
      </c>
      <c r="AJ432" s="132"/>
      <c r="AK432" s="151">
        <v>778.9</v>
      </c>
      <c r="AL432" s="154">
        <f t="shared" si="116"/>
        <v>0</v>
      </c>
      <c r="AM432" s="155"/>
      <c r="AN432" s="19">
        <f t="shared" si="117"/>
        <v>0</v>
      </c>
      <c r="AO432" s="118">
        <f>SUMIF('MPG Payment '!E:E,'Shayak Income '!D432,'MPG Payment '!AJ:AJ)</f>
        <v>0</v>
      </c>
      <c r="AP432" s="19">
        <f t="shared" si="118"/>
        <v>0</v>
      </c>
      <c r="AQ432" s="119">
        <f t="shared" si="127"/>
        <v>0</v>
      </c>
      <c r="AR432" s="91" t="s">
        <v>1168</v>
      </c>
      <c r="AS432" s="91">
        <f t="shared" si="119"/>
        <v>0</v>
      </c>
      <c r="AT432" s="118"/>
      <c r="AU432" s="118"/>
      <c r="AV432" s="118"/>
    </row>
    <row r="433" spans="1:48" s="20" customFormat="1" x14ac:dyDescent="0.25">
      <c r="A433" s="17">
        <f>IFERROR(VLOOKUP(D433,'Monthly Deduction'!$I$3:$J$957,2,0),0)</f>
        <v>47519.865962866592</v>
      </c>
      <c r="B433" s="17">
        <f>IFERROR(VLOOKUP(D433,'Monthly Deduction'!$E$3:$F$957,2,0),0)</f>
        <v>13900</v>
      </c>
      <c r="C433" s="17">
        <f t="shared" si="120"/>
        <v>61419.865962866592</v>
      </c>
      <c r="D433" s="41">
        <v>10130073</v>
      </c>
      <c r="E433" s="122" t="str">
        <f>VLOOKUP(D433,'MPG Payment '!$E$3:$G$498218,2,0)</f>
        <v>Dagarua</v>
      </c>
      <c r="F433" s="146">
        <f>IFERROR(_xlfn.XLOOKUP(D433,'Monthly Deduction'!$I$3:$I$957,'Monthly Deduction'!$H$3:$H$957),0)</f>
        <v>0</v>
      </c>
      <c r="G433" s="123" t="str">
        <f>VLOOKUP(D433,'MPG Payment '!$E$3:$G$334579,3,0)</f>
        <v>MPG</v>
      </c>
      <c r="H433" s="124" t="str">
        <f>VLOOKUP(D433,'MPG Payment '!$E$3:$H$334579,4,0)</f>
        <v>Direct</v>
      </c>
      <c r="I433" s="88">
        <f>INDEX('MPG Payment '!$C:$C,MATCH('Shayak Income '!D433,'MPG Payment '!E:E,0))</f>
        <v>1013</v>
      </c>
      <c r="J433" s="88" t="str">
        <f>INDEX('MPG Payment '!$D:$D,MATCH('Shayak Income '!D433,'MPG Payment '!E:E,0))</f>
        <v>Musrigharari</v>
      </c>
      <c r="K433" s="125" t="s">
        <v>1322</v>
      </c>
      <c r="L433" s="125">
        <v>45599</v>
      </c>
      <c r="M433" s="126">
        <f>SUMIF('MPG Payment '!$E$3:$E$34579,'Shayak Income '!D433,'MPG Payment '!$I$3:$I$34579)</f>
        <v>64.900000000000006</v>
      </c>
      <c r="N433" s="126">
        <f>SUMIF('MPG Payment '!$E$3:$E$34579,'Shayak Income '!D433,'MPG Payment '!$J$3:$J$34579)</f>
        <v>2330.73</v>
      </c>
      <c r="O433" s="126">
        <f t="shared" si="121"/>
        <v>48.675000000000004</v>
      </c>
      <c r="P433" s="126">
        <f t="shared" si="122"/>
        <v>61.655000000000001</v>
      </c>
      <c r="Q433" s="126">
        <f>SUMIF('MPG Payment '!$E$3:$E$34579,'Shayak Income '!D433,'MPG Payment '!$S$3:$S$34579)</f>
        <v>0</v>
      </c>
      <c r="R433" s="126">
        <f t="shared" si="112"/>
        <v>69.921899999999994</v>
      </c>
      <c r="S433" s="126">
        <f t="shared" si="113"/>
        <v>8.2668999999999926</v>
      </c>
      <c r="T433" s="126">
        <f t="shared" si="123"/>
        <v>6.4900000000000011</v>
      </c>
      <c r="U433" s="127">
        <f>(((IF(K433="New",0,SUMIF('MPG Payment '!$E$3:$E$34579,'Shayak Income '!D433,'MPG Payment '!$AC$3:$AC$34579))))+0)+-352</f>
        <v>104.16228751926042</v>
      </c>
      <c r="V433" s="127">
        <f t="shared" si="124"/>
        <v>0</v>
      </c>
      <c r="W433" s="19">
        <v>0</v>
      </c>
      <c r="X433" s="19">
        <v>0</v>
      </c>
      <c r="Y433" s="128">
        <v>0</v>
      </c>
      <c r="Z433" s="128">
        <v>0</v>
      </c>
      <c r="AA433" s="126">
        <v>0</v>
      </c>
      <c r="AB433" s="129">
        <f t="shared" si="115"/>
        <v>0</v>
      </c>
      <c r="AC433" s="130">
        <f>AB433</f>
        <v>0</v>
      </c>
      <c r="AD433" s="35">
        <f t="shared" si="125"/>
        <v>0</v>
      </c>
      <c r="AE433" s="166" t="str">
        <f t="shared" si="126"/>
        <v>Release</v>
      </c>
      <c r="AF433" s="127"/>
      <c r="AG433" s="18">
        <v>0</v>
      </c>
      <c r="AH433" s="132" t="s">
        <v>1648</v>
      </c>
      <c r="AI433" s="238">
        <v>0</v>
      </c>
      <c r="AJ433" s="132"/>
      <c r="AK433" s="151">
        <v>0</v>
      </c>
      <c r="AL433" s="154">
        <f t="shared" si="116"/>
        <v>0</v>
      </c>
      <c r="AM433" s="155"/>
      <c r="AN433" s="19">
        <f t="shared" si="117"/>
        <v>1861</v>
      </c>
      <c r="AO433" s="118">
        <f>SUMIF('MPG Payment '!E:E,'Shayak Income '!D433,'MPG Payment '!AJ:AJ)</f>
        <v>0</v>
      </c>
      <c r="AP433" s="19">
        <f t="shared" si="118"/>
        <v>0</v>
      </c>
      <c r="AQ433" s="119">
        <f t="shared" si="127"/>
        <v>0</v>
      </c>
      <c r="AR433" s="91" t="s">
        <v>1168</v>
      </c>
      <c r="AS433" s="91">
        <f t="shared" si="119"/>
        <v>13900</v>
      </c>
      <c r="AT433" s="118"/>
      <c r="AU433" s="118"/>
      <c r="AV433" s="118"/>
    </row>
    <row r="434" spans="1:48" s="20" customFormat="1" x14ac:dyDescent="0.25">
      <c r="A434" s="17">
        <f>IFERROR(VLOOKUP(D434,'Monthly Deduction'!$I$3:$J$957,2,0),0)</f>
        <v>53966.88801334225</v>
      </c>
      <c r="B434" s="17">
        <f>IFERROR(VLOOKUP(D434,'Monthly Deduction'!$E$3:$F$957,2,0),0)</f>
        <v>10700</v>
      </c>
      <c r="C434" s="17">
        <f t="shared" si="120"/>
        <v>64666.88801334225</v>
      </c>
      <c r="D434" s="41">
        <v>10130074</v>
      </c>
      <c r="E434" s="122" t="str">
        <f>VLOOKUP(D434,'MPG Payment '!$E$3:$G$498218,2,0)</f>
        <v>Chakmilki</v>
      </c>
      <c r="F434" s="146">
        <f>IFERROR(_xlfn.XLOOKUP(D434,'Monthly Deduction'!$I$3:$I$957,'Monthly Deduction'!$H$3:$H$957),0)</f>
        <v>0</v>
      </c>
      <c r="G434" s="123" t="str">
        <f>VLOOKUP(D434,'MPG Payment '!$E$3:$G$334579,3,0)</f>
        <v>MPG</v>
      </c>
      <c r="H434" s="124" t="str">
        <f>VLOOKUP(D434,'MPG Payment '!$E$3:$H$334579,4,0)</f>
        <v>Direct</v>
      </c>
      <c r="I434" s="88">
        <f>INDEX('MPG Payment '!$C:$C,MATCH('Shayak Income '!D434,'MPG Payment '!E:E,0))</f>
        <v>1013</v>
      </c>
      <c r="J434" s="88" t="str">
        <f>INDEX('MPG Payment '!$D:$D,MATCH('Shayak Income '!D434,'MPG Payment '!E:E,0))</f>
        <v>Musrigharari</v>
      </c>
      <c r="K434" s="125" t="s">
        <v>1322</v>
      </c>
      <c r="L434" s="125">
        <v>45583</v>
      </c>
      <c r="M434" s="126">
        <f>SUMIF('MPG Payment '!$E$3:$E$34579,'Shayak Income '!D434,'MPG Payment '!$I$3:$I$34579)</f>
        <v>1104.0999999999999</v>
      </c>
      <c r="N434" s="126">
        <f>SUMIF('MPG Payment '!$E$3:$E$34579,'Shayak Income '!D434,'MPG Payment '!$J$3:$J$34579)</f>
        <v>41063.656038396999</v>
      </c>
      <c r="O434" s="126">
        <f t="shared" si="121"/>
        <v>828.07499999999993</v>
      </c>
      <c r="P434" s="126">
        <f t="shared" si="122"/>
        <v>1048.8949999999998</v>
      </c>
      <c r="Q434" s="126">
        <f>SUMIF('MPG Payment '!$E$3:$E$34579,'Shayak Income '!D434,'MPG Payment '!$S$3:$S$34579)</f>
        <v>650.80602298035001</v>
      </c>
      <c r="R434" s="126">
        <f t="shared" si="112"/>
        <v>1231.90968115191</v>
      </c>
      <c r="S434" s="126">
        <f t="shared" si="113"/>
        <v>183.01468115191028</v>
      </c>
      <c r="T434" s="126">
        <f t="shared" si="123"/>
        <v>110.41</v>
      </c>
      <c r="U434" s="127">
        <f>(((IF(K434="New",0,SUMIF('MPG Payment '!$E$3:$E$34579,'Shayak Income '!D434,'MPG Payment '!$AC$3:$AC$34579))))+0)+0</f>
        <v>1261.4676441299166</v>
      </c>
      <c r="V434" s="127">
        <f t="shared" si="124"/>
        <v>1156</v>
      </c>
      <c r="W434" s="19">
        <v>1156</v>
      </c>
      <c r="X434" s="19">
        <v>0</v>
      </c>
      <c r="Y434" s="128">
        <f>IFERROR(VLOOKUP(D434,'Monthly Deduction'!$M$2:$N$64,2,0),0)</f>
        <v>0</v>
      </c>
      <c r="Z434" s="128">
        <v>0</v>
      </c>
      <c r="AA434" s="126">
        <f>IFERROR(VLOOKUP(D434,'Monthly Deduction'!A:B,2,0),0)</f>
        <v>0</v>
      </c>
      <c r="AB434" s="129">
        <f t="shared" si="115"/>
        <v>0</v>
      </c>
      <c r="AC434" s="130">
        <v>0</v>
      </c>
      <c r="AD434" s="35">
        <f t="shared" si="125"/>
        <v>0</v>
      </c>
      <c r="AE434" s="166" t="str">
        <f t="shared" si="126"/>
        <v>Release</v>
      </c>
      <c r="AF434" s="127"/>
      <c r="AG434" s="18">
        <v>0</v>
      </c>
      <c r="AH434" s="120"/>
      <c r="AI434" s="238">
        <v>0</v>
      </c>
      <c r="AJ434" s="132"/>
      <c r="AK434" s="151">
        <v>279.8</v>
      </c>
      <c r="AL434" s="154">
        <f t="shared" si="116"/>
        <v>0</v>
      </c>
      <c r="AM434" s="155"/>
      <c r="AN434" s="19">
        <f t="shared" si="117"/>
        <v>1861</v>
      </c>
      <c r="AO434" s="118">
        <f>SUMIF('MPG Payment '!E:E,'Shayak Income '!D434,'MPG Payment '!AJ:AJ)</f>
        <v>0</v>
      </c>
      <c r="AP434" s="19">
        <f t="shared" si="118"/>
        <v>1156</v>
      </c>
      <c r="AQ434" s="119">
        <f t="shared" si="127"/>
        <v>1156</v>
      </c>
      <c r="AR434" s="91"/>
      <c r="AS434" s="91">
        <f t="shared" si="119"/>
        <v>10700</v>
      </c>
      <c r="AT434" s="118"/>
      <c r="AU434" s="118"/>
      <c r="AV434" s="118"/>
    </row>
    <row r="435" spans="1:48" s="20" customFormat="1" x14ac:dyDescent="0.25">
      <c r="A435" s="17">
        <f>IFERROR(VLOOKUP(D435,'Monthly Deduction'!$I$3:$J$957,2,0),0)</f>
        <v>74686</v>
      </c>
      <c r="B435" s="17">
        <f>IFERROR(VLOOKUP(D435,'Monthly Deduction'!$E$3:$F$957,2,0),0)</f>
        <v>7500</v>
      </c>
      <c r="C435" s="17">
        <f t="shared" si="120"/>
        <v>82186</v>
      </c>
      <c r="D435" s="41">
        <v>10130077</v>
      </c>
      <c r="E435" s="122" t="str">
        <f>VLOOKUP(D435,'MPG Payment '!$E$3:$G$498218,2,0)</f>
        <v>Gomukh Akaha</v>
      </c>
      <c r="F435" s="146">
        <f>IFERROR(_xlfn.XLOOKUP(D435,'Monthly Deduction'!$I$3:$I$957,'Monthly Deduction'!$H$3:$H$957),0)</f>
        <v>0</v>
      </c>
      <c r="G435" s="123" t="str">
        <f>VLOOKUP(D435,'MPG Payment '!$E$3:$G$334579,3,0)</f>
        <v>MPG</v>
      </c>
      <c r="H435" s="124" t="str">
        <f>VLOOKUP(D435,'MPG Payment '!$E$3:$H$334579,4,0)</f>
        <v>Direct</v>
      </c>
      <c r="I435" s="88">
        <f>INDEX('MPG Payment '!$C:$C,MATCH('Shayak Income '!D435,'MPG Payment '!E:E,0))</f>
        <v>1013</v>
      </c>
      <c r="J435" s="88" t="str">
        <f>INDEX('MPG Payment '!$D:$D,MATCH('Shayak Income '!D435,'MPG Payment '!E:E,0))</f>
        <v>Musrigharari</v>
      </c>
      <c r="K435" s="125" t="s">
        <v>1322</v>
      </c>
      <c r="L435" s="125">
        <v>45631</v>
      </c>
      <c r="M435" s="126">
        <f>SUMIF('MPG Payment '!$E$3:$E$34579,'Shayak Income '!D435,'MPG Payment '!$I$3:$I$34579)</f>
        <v>783</v>
      </c>
      <c r="N435" s="126">
        <f>SUMIF('MPG Payment '!$E$3:$E$34579,'Shayak Income '!D435,'MPG Payment '!$J$3:$J$34579)</f>
        <v>27307.597484750004</v>
      </c>
      <c r="O435" s="126">
        <f t="shared" si="121"/>
        <v>587.25</v>
      </c>
      <c r="P435" s="126">
        <f t="shared" si="122"/>
        <v>743.84999999999991</v>
      </c>
      <c r="Q435" s="126">
        <f>SUMIF('MPG Payment '!$E$3:$E$34579,'Shayak Income '!D435,'MPG Payment '!$S$3:$S$34579)</f>
        <v>135.09866647110002</v>
      </c>
      <c r="R435" s="126">
        <f t="shared" si="112"/>
        <v>819.22792454250009</v>
      </c>
      <c r="S435" s="126">
        <f t="shared" si="113"/>
        <v>75.377924542500182</v>
      </c>
      <c r="T435" s="126">
        <f t="shared" si="123"/>
        <v>78.300000000000011</v>
      </c>
      <c r="U435" s="127">
        <f>(((IF(K435="New",0,SUMIF('MPG Payment '!$E$3:$E$34579,'Shayak Income '!D435,'MPG Payment '!$AC$3:$AC$34579))))+0)+-20</f>
        <v>1388.1314700197863</v>
      </c>
      <c r="V435" s="127">
        <f t="shared" si="124"/>
        <v>0</v>
      </c>
      <c r="W435" s="19">
        <v>0</v>
      </c>
      <c r="X435" s="19">
        <v>0</v>
      </c>
      <c r="Y435" s="128">
        <f>IFERROR(VLOOKUP(D435,'Monthly Deduction'!$M$2:$N$64,2,0),0)</f>
        <v>0</v>
      </c>
      <c r="Z435" s="128">
        <v>0</v>
      </c>
      <c r="AA435" s="126">
        <f>IFERROR(VLOOKUP(D435,'Monthly Deduction'!A:B,2,0),0)</f>
        <v>0</v>
      </c>
      <c r="AB435" s="129">
        <f t="shared" si="115"/>
        <v>0</v>
      </c>
      <c r="AC435" s="130">
        <f>AB435</f>
        <v>0</v>
      </c>
      <c r="AD435" s="35">
        <f t="shared" si="125"/>
        <v>0</v>
      </c>
      <c r="AE435" s="166" t="str">
        <f t="shared" si="126"/>
        <v>Release</v>
      </c>
      <c r="AF435" s="127"/>
      <c r="AG435" s="18">
        <v>0</v>
      </c>
      <c r="AH435" s="120" t="s">
        <v>1646</v>
      </c>
      <c r="AI435" s="238">
        <v>6461</v>
      </c>
      <c r="AJ435" s="132"/>
      <c r="AK435" s="151">
        <v>206.79999999999998</v>
      </c>
      <c r="AL435" s="154">
        <f t="shared" si="116"/>
        <v>0</v>
      </c>
      <c r="AM435" s="155"/>
      <c r="AN435" s="19">
        <f t="shared" si="117"/>
        <v>1861</v>
      </c>
      <c r="AO435" s="118">
        <f>SUMIF('MPG Payment '!E:E,'Shayak Income '!D435,'MPG Payment '!AJ:AJ)</f>
        <v>500</v>
      </c>
      <c r="AP435" s="19">
        <f t="shared" si="118"/>
        <v>0</v>
      </c>
      <c r="AQ435" s="119">
        <f t="shared" si="127"/>
        <v>500</v>
      </c>
      <c r="AR435" s="91"/>
      <c r="AS435" s="91">
        <f t="shared" si="119"/>
        <v>7500</v>
      </c>
      <c r="AT435" s="118"/>
      <c r="AU435" s="118"/>
      <c r="AV435" s="118"/>
    </row>
    <row r="436" spans="1:48" s="20" customFormat="1" x14ac:dyDescent="0.25">
      <c r="A436" s="17">
        <f>IFERROR(VLOOKUP(D436,'Monthly Deduction'!$I$3:$J$957,2,0),0)</f>
        <v>0</v>
      </c>
      <c r="B436" s="17">
        <f>IFERROR(VLOOKUP(D436,'Monthly Deduction'!$E$3:$F$957,2,0),0)</f>
        <v>0</v>
      </c>
      <c r="C436" s="17">
        <f t="shared" si="120"/>
        <v>0</v>
      </c>
      <c r="D436" s="41">
        <v>10130080</v>
      </c>
      <c r="E436" s="122" t="str">
        <f>VLOOKUP(D436,'MPG Payment '!$E$3:$G$498218,2,0)</f>
        <v>Nauachak-Pankaj</v>
      </c>
      <c r="F436" s="146">
        <f>IFERROR(_xlfn.XLOOKUP(D436,'Monthly Deduction'!$I$3:$I$957,'Monthly Deduction'!$H$3:$H$957),0)</f>
        <v>0</v>
      </c>
      <c r="G436" s="123" t="str">
        <f>VLOOKUP(D436,'MPG Payment '!$E$3:$G$334579,3,0)</f>
        <v>vlc</v>
      </c>
      <c r="H436" s="124" t="str">
        <f>VLOOKUP(D436,'MPG Payment '!$E$3:$H$334579,4,0)</f>
        <v>Indirect</v>
      </c>
      <c r="I436" s="88">
        <f>INDEX('MPG Payment '!$C:$C,MATCH('Shayak Income '!D436,'MPG Payment '!E:E,0))</f>
        <v>1013</v>
      </c>
      <c r="J436" s="88" t="str">
        <f>INDEX('MPG Payment '!$D:$D,MATCH('Shayak Income '!D436,'MPG Payment '!E:E,0))</f>
        <v>Musrigharari</v>
      </c>
      <c r="K436" s="125" t="s">
        <v>1322</v>
      </c>
      <c r="L436" s="125">
        <v>45630</v>
      </c>
      <c r="M436" s="126">
        <f>SUMIF('MPG Payment '!$E$3:$E$34579,'Shayak Income '!D436,'MPG Payment '!$I$3:$I$34579)</f>
        <v>680.80000000000007</v>
      </c>
      <c r="N436" s="126">
        <f>SUMIF('MPG Payment '!$E$3:$E$34579,'Shayak Income '!D436,'MPG Payment '!$J$3:$J$34579)</f>
        <v>20647.159582963999</v>
      </c>
      <c r="O436" s="126">
        <f t="shared" si="121"/>
        <v>510.6</v>
      </c>
      <c r="P436" s="126">
        <f t="shared" si="122"/>
        <v>646.76</v>
      </c>
      <c r="Q436" s="126">
        <f>SUMIF('MPG Payment '!$E$3:$E$34579,'Shayak Income '!D436,'MPG Payment '!$S$3:$S$34579)</f>
        <v>0</v>
      </c>
      <c r="R436" s="126">
        <f t="shared" si="112"/>
        <v>619.41478748891996</v>
      </c>
      <c r="S436" s="126">
        <f t="shared" si="113"/>
        <v>-27.345212511080035</v>
      </c>
      <c r="T436" s="126">
        <f t="shared" si="123"/>
        <v>68.080000000000013</v>
      </c>
      <c r="U436" s="127">
        <f>(((IF(K436="New",0,SUMIF('MPG Payment '!$E$3:$E$34579,'Shayak Income '!D436,'MPG Payment '!$AC$3:$AC$34579))))+0)+-202</f>
        <v>1089.6521690922625</v>
      </c>
      <c r="V436" s="127">
        <f t="shared" si="124"/>
        <v>0</v>
      </c>
      <c r="W436" s="19">
        <v>0</v>
      </c>
      <c r="X436" s="19">
        <v>0</v>
      </c>
      <c r="Y436" s="128">
        <f>IFERROR(VLOOKUP(D436,'Monthly Deduction'!$M$2:$N$64,2,0),0)</f>
        <v>0</v>
      </c>
      <c r="Z436" s="128">
        <v>0</v>
      </c>
      <c r="AA436" s="126">
        <f>IFERROR(VLOOKUP(D436,'Monthly Deduction'!A:B,2,0),0)</f>
        <v>0</v>
      </c>
      <c r="AB436" s="129">
        <f t="shared" si="115"/>
        <v>0</v>
      </c>
      <c r="AC436" s="130">
        <v>0</v>
      </c>
      <c r="AD436" s="35">
        <f t="shared" si="125"/>
        <v>0</v>
      </c>
      <c r="AE436" s="166" t="str">
        <f t="shared" si="126"/>
        <v>Release</v>
      </c>
      <c r="AF436" s="127"/>
      <c r="AG436" s="18">
        <v>0</v>
      </c>
      <c r="AH436" s="120"/>
      <c r="AI436" s="238">
        <v>0</v>
      </c>
      <c r="AJ436" s="132"/>
      <c r="AK436" s="151">
        <v>115.90000000000002</v>
      </c>
      <c r="AL436" s="154">
        <f t="shared" si="116"/>
        <v>0</v>
      </c>
      <c r="AM436" s="155"/>
      <c r="AN436" s="19">
        <f t="shared" si="117"/>
        <v>0</v>
      </c>
      <c r="AO436" s="118">
        <f>SUMIF('MPG Payment '!E:E,'Shayak Income '!D436,'MPG Payment '!AJ:AJ)</f>
        <v>0</v>
      </c>
      <c r="AP436" s="19">
        <f t="shared" si="118"/>
        <v>0</v>
      </c>
      <c r="AQ436" s="119">
        <f t="shared" si="127"/>
        <v>0</v>
      </c>
      <c r="AR436" s="91" t="s">
        <v>1168</v>
      </c>
      <c r="AS436" s="91">
        <f t="shared" si="119"/>
        <v>0</v>
      </c>
      <c r="AT436" s="118"/>
      <c r="AU436" s="118"/>
      <c r="AV436" s="118"/>
    </row>
    <row r="437" spans="1:48" s="20" customFormat="1" x14ac:dyDescent="0.25">
      <c r="A437" s="17">
        <f>IFERROR(VLOOKUP(D437,'Monthly Deduction'!$I$3:$J$957,2,0),0)</f>
        <v>0</v>
      </c>
      <c r="B437" s="17">
        <f>IFERROR(VLOOKUP(D437,'Monthly Deduction'!$E$3:$F$957,2,0),0)</f>
        <v>0</v>
      </c>
      <c r="C437" s="17">
        <f t="shared" si="120"/>
        <v>0</v>
      </c>
      <c r="D437" s="41">
        <v>10130083</v>
      </c>
      <c r="E437" s="122" t="str">
        <f>VLOOKUP(D437,'MPG Payment '!$E$3:$G$498218,2,0)</f>
        <v>Gomukh Sirdulpur 2</v>
      </c>
      <c r="F437" s="146">
        <f>IFERROR(_xlfn.XLOOKUP(D437,'Monthly Deduction'!$I$3:$I$957,'Monthly Deduction'!$H$3:$H$957),0)</f>
        <v>0</v>
      </c>
      <c r="G437" s="123" t="str">
        <f>VLOOKUP(D437,'MPG Payment '!$E$3:$G$334579,3,0)</f>
        <v>vlc</v>
      </c>
      <c r="H437" s="124" t="str">
        <f>VLOOKUP(D437,'MPG Payment '!$E$3:$H$334579,4,0)</f>
        <v>Indirect</v>
      </c>
      <c r="I437" s="88">
        <f>INDEX('MPG Payment '!$C:$C,MATCH('Shayak Income '!D437,'MPG Payment '!E:E,0))</f>
        <v>1013</v>
      </c>
      <c r="J437" s="88" t="str">
        <f>INDEX('MPG Payment '!$D:$D,MATCH('Shayak Income '!D437,'MPG Payment '!E:E,0))</f>
        <v>Musrigharari</v>
      </c>
      <c r="K437" s="125" t="s">
        <v>1322</v>
      </c>
      <c r="L437" s="125">
        <v>45645</v>
      </c>
      <c r="M437" s="126">
        <f>SUMIF('MPG Payment '!$E$3:$E$34579,'Shayak Income '!D437,'MPG Payment '!$I$3:$I$34579)</f>
        <v>4479.8</v>
      </c>
      <c r="N437" s="126">
        <f>SUMIF('MPG Payment '!$E$3:$E$34579,'Shayak Income '!D437,'MPG Payment '!$J$3:$J$34579)</f>
        <v>143986.06524380151</v>
      </c>
      <c r="O437" s="126">
        <f t="shared" si="121"/>
        <v>3359.8500000000004</v>
      </c>
      <c r="P437" s="126">
        <f t="shared" si="122"/>
        <v>4255.8100000000004</v>
      </c>
      <c r="Q437" s="126">
        <f>SUMIF('MPG Payment '!$E$3:$E$34579,'Shayak Income '!D437,'MPG Payment '!$S$3:$S$34579)</f>
        <v>0</v>
      </c>
      <c r="R437" s="126">
        <f t="shared" si="112"/>
        <v>4319.5819573140452</v>
      </c>
      <c r="S437" s="126">
        <f t="shared" si="113"/>
        <v>63.771957314044812</v>
      </c>
      <c r="T437" s="126">
        <f t="shared" si="123"/>
        <v>447.98</v>
      </c>
      <c r="U437" s="127">
        <f>(((IF(K437="New",0,SUMIF('MPG Payment '!$E$3:$E$34579,'Shayak Income '!D437,'MPG Payment '!$AC$3:$AC$34579))))+0)+0</f>
        <v>150.94099365994231</v>
      </c>
      <c r="V437" s="127">
        <f t="shared" si="124"/>
        <v>7017</v>
      </c>
      <c r="W437" s="19">
        <f t="shared" si="128"/>
        <v>0</v>
      </c>
      <c r="X437" s="19">
        <f t="shared" si="114"/>
        <v>0</v>
      </c>
      <c r="Y437" s="128">
        <f>IFERROR(VLOOKUP(D437,'Monthly Deduction'!$M$2:$N$64,2,0),0)</f>
        <v>0</v>
      </c>
      <c r="Z437" s="128">
        <v>0</v>
      </c>
      <c r="AA437" s="126">
        <f>IFERROR(VLOOKUP(D437,'Monthly Deduction'!A:B,2,0),0)</f>
        <v>0</v>
      </c>
      <c r="AB437" s="129">
        <f t="shared" si="115"/>
        <v>7017</v>
      </c>
      <c r="AC437" s="130">
        <v>0</v>
      </c>
      <c r="AD437" s="35">
        <f t="shared" si="125"/>
        <v>7017</v>
      </c>
      <c r="AE437" s="166" t="str">
        <f t="shared" si="126"/>
        <v>Release</v>
      </c>
      <c r="AF437" s="127"/>
      <c r="AG437" s="18">
        <v>0</v>
      </c>
      <c r="AH437" s="132"/>
      <c r="AI437" s="238">
        <v>0</v>
      </c>
      <c r="AJ437" s="132"/>
      <c r="AK437" s="151">
        <v>1083.4000000000001</v>
      </c>
      <c r="AL437" s="154">
        <f t="shared" si="116"/>
        <v>0</v>
      </c>
      <c r="AM437" s="155"/>
      <c r="AN437" s="19">
        <f t="shared" si="117"/>
        <v>0</v>
      </c>
      <c r="AO437" s="118">
        <f>SUMIF('MPG Payment '!E:E,'Shayak Income '!D437,'MPG Payment '!AJ:AJ)</f>
        <v>0</v>
      </c>
      <c r="AP437" s="19">
        <f t="shared" si="118"/>
        <v>0</v>
      </c>
      <c r="AQ437" s="119">
        <f t="shared" si="127"/>
        <v>0</v>
      </c>
      <c r="AR437" s="91" t="s">
        <v>1168</v>
      </c>
      <c r="AS437" s="91">
        <f t="shared" si="119"/>
        <v>0</v>
      </c>
      <c r="AT437" s="118"/>
      <c r="AU437" s="118"/>
      <c r="AV437" s="118"/>
    </row>
    <row r="438" spans="1:48" s="20" customFormat="1" x14ac:dyDescent="0.25">
      <c r="A438" s="17">
        <f>IFERROR(VLOOKUP(D438,'Monthly Deduction'!$I$3:$J$957,2,0),0)</f>
        <v>63386.147718643231</v>
      </c>
      <c r="B438" s="17">
        <f>IFERROR(VLOOKUP(D438,'Monthly Deduction'!$E$3:$F$957,2,0),0)</f>
        <v>9650</v>
      </c>
      <c r="C438" s="17">
        <f t="shared" si="120"/>
        <v>73036.147718643231</v>
      </c>
      <c r="D438" s="41">
        <v>10130085</v>
      </c>
      <c r="E438" s="122" t="str">
        <f>VLOOKUP(D438,'MPG Payment '!$E$3:$G$498218,2,0)</f>
        <v>Gomukh Repura</v>
      </c>
      <c r="F438" s="146">
        <f>IFERROR(_xlfn.XLOOKUP(D438,'Monthly Deduction'!$I$3:$I$957,'Monthly Deduction'!$H$3:$H$957),0)</f>
        <v>0</v>
      </c>
      <c r="G438" s="123" t="str">
        <f>VLOOKUP(D438,'MPG Payment '!$E$3:$G$334579,3,0)</f>
        <v>MPG</v>
      </c>
      <c r="H438" s="124" t="str">
        <f>VLOOKUP(D438,'MPG Payment '!$E$3:$H$334579,4,0)</f>
        <v>Direct</v>
      </c>
      <c r="I438" s="88">
        <f>INDEX('MPG Payment '!$C:$C,MATCH('Shayak Income '!D438,'MPG Payment '!E:E,0))</f>
        <v>1013</v>
      </c>
      <c r="J438" s="88" t="str">
        <f>INDEX('MPG Payment '!$D:$D,MATCH('Shayak Income '!D438,'MPG Payment '!E:E,0))</f>
        <v>Musrigharari</v>
      </c>
      <c r="K438" s="125" t="s">
        <v>1322</v>
      </c>
      <c r="L438" s="125">
        <v>45657</v>
      </c>
      <c r="M438" s="126">
        <f>SUMIF('MPG Payment '!$E$3:$E$34579,'Shayak Income '!D438,'MPG Payment '!$I$3:$I$34579)</f>
        <v>291.29999999999995</v>
      </c>
      <c r="N438" s="126">
        <f>SUMIF('MPG Payment '!$E$3:$E$34579,'Shayak Income '!D438,'MPG Payment '!$J$3:$J$34579)</f>
        <v>10025.49</v>
      </c>
      <c r="O438" s="126">
        <f t="shared" si="121"/>
        <v>218.47499999999997</v>
      </c>
      <c r="P438" s="126">
        <f t="shared" si="122"/>
        <v>276.73499999999996</v>
      </c>
      <c r="Q438" s="126">
        <f>SUMIF('MPG Payment '!$E$3:$E$34579,'Shayak Income '!D438,'MPG Payment '!$S$3:$S$34579)</f>
        <v>0</v>
      </c>
      <c r="R438" s="126">
        <f t="shared" si="112"/>
        <v>300.7647</v>
      </c>
      <c r="S438" s="126">
        <f t="shared" si="113"/>
        <v>24.029700000000048</v>
      </c>
      <c r="T438" s="126">
        <f t="shared" si="123"/>
        <v>29.129999999999995</v>
      </c>
      <c r="U438" s="127">
        <f>(((IF(K438="New",0,SUMIF('MPG Payment '!$E$3:$E$34579,'Shayak Income '!D438,'MPG Payment '!$AC$3:$AC$34579))))+0)+-268</f>
        <v>465.84419882881139</v>
      </c>
      <c r="V438" s="127">
        <f t="shared" si="124"/>
        <v>0</v>
      </c>
      <c r="W438" s="19">
        <v>0</v>
      </c>
      <c r="X438" s="19">
        <v>0</v>
      </c>
      <c r="Y438" s="128">
        <v>0</v>
      </c>
      <c r="Z438" s="128">
        <v>0</v>
      </c>
      <c r="AA438" s="126">
        <v>0</v>
      </c>
      <c r="AB438" s="129">
        <f t="shared" si="115"/>
        <v>0</v>
      </c>
      <c r="AC438" s="130">
        <f t="shared" ref="AC438:AC440" si="129">AB438</f>
        <v>0</v>
      </c>
      <c r="AD438" s="35">
        <f t="shared" si="125"/>
        <v>0</v>
      </c>
      <c r="AE438" s="166" t="str">
        <f t="shared" si="126"/>
        <v>Release</v>
      </c>
      <c r="AF438" s="127"/>
      <c r="AG438" s="18">
        <v>0</v>
      </c>
      <c r="AH438" s="132" t="s">
        <v>1652</v>
      </c>
      <c r="AI438" s="238">
        <v>0</v>
      </c>
      <c r="AJ438" s="132"/>
      <c r="AK438" s="151">
        <v>0</v>
      </c>
      <c r="AL438" s="154">
        <f t="shared" si="116"/>
        <v>0</v>
      </c>
      <c r="AM438" s="155"/>
      <c r="AN438" s="19">
        <f t="shared" si="117"/>
        <v>1861</v>
      </c>
      <c r="AO438" s="118">
        <f>SUMIF('MPG Payment '!E:E,'Shayak Income '!D438,'MPG Payment '!AJ:AJ)</f>
        <v>0</v>
      </c>
      <c r="AP438" s="19">
        <f t="shared" si="118"/>
        <v>0</v>
      </c>
      <c r="AQ438" s="119">
        <f t="shared" si="127"/>
        <v>0</v>
      </c>
      <c r="AR438" s="91" t="s">
        <v>1168</v>
      </c>
      <c r="AS438" s="91">
        <f t="shared" si="119"/>
        <v>9650</v>
      </c>
      <c r="AT438" s="118"/>
      <c r="AU438" s="118"/>
      <c r="AV438" s="118"/>
    </row>
    <row r="439" spans="1:48" s="20" customFormat="1" x14ac:dyDescent="0.25">
      <c r="A439" s="17">
        <f>IFERROR(VLOOKUP(D439,'Monthly Deduction'!$I$3:$J$957,2,0),0)</f>
        <v>72500</v>
      </c>
      <c r="B439" s="17">
        <f>IFERROR(VLOOKUP(D439,'Monthly Deduction'!$E$3:$F$957,2,0),0)</f>
        <v>4586.4009999999998</v>
      </c>
      <c r="C439" s="17">
        <f t="shared" si="120"/>
        <v>77086.400999999998</v>
      </c>
      <c r="D439" s="41">
        <v>10130093</v>
      </c>
      <c r="E439" s="122" t="str">
        <f>VLOOKUP(D439,'MPG Payment '!$E$3:$G$498218,2,0)</f>
        <v>Gomukh Sherpur Narsari East</v>
      </c>
      <c r="F439" s="146">
        <f>IFERROR(_xlfn.XLOOKUP(D439,'Monthly Deduction'!$I$3:$I$957,'Monthly Deduction'!$H$3:$H$957),0)</f>
        <v>0</v>
      </c>
      <c r="G439" s="123" t="str">
        <f>VLOOKUP(D439,'MPG Payment '!$E$3:$G$334579,3,0)</f>
        <v>MPG</v>
      </c>
      <c r="H439" s="124" t="str">
        <f>VLOOKUP(D439,'MPG Payment '!$E$3:$H$334579,4,0)</f>
        <v>Direct</v>
      </c>
      <c r="I439" s="88">
        <f>INDEX('MPG Payment '!$C:$C,MATCH('Shayak Income '!D439,'MPG Payment '!E:E,0))</f>
        <v>1013</v>
      </c>
      <c r="J439" s="88" t="str">
        <f>INDEX('MPG Payment '!$D:$D,MATCH('Shayak Income '!D439,'MPG Payment '!E:E,0))</f>
        <v>Musrigharari</v>
      </c>
      <c r="K439" s="125" t="s">
        <v>1322</v>
      </c>
      <c r="L439" s="125">
        <v>45740</v>
      </c>
      <c r="M439" s="126">
        <f>SUMIF('MPG Payment '!$E$3:$E$34579,'Shayak Income '!D439,'MPG Payment '!$I$3:$I$34579)</f>
        <v>965</v>
      </c>
      <c r="N439" s="126">
        <f>SUMIF('MPG Payment '!$E$3:$E$34579,'Shayak Income '!D439,'MPG Payment '!$J$3:$J$34579)</f>
        <v>36031.056803410997</v>
      </c>
      <c r="O439" s="126">
        <f t="shared" si="121"/>
        <v>723.75</v>
      </c>
      <c r="P439" s="126">
        <f t="shared" si="122"/>
        <v>916.75</v>
      </c>
      <c r="Q439" s="126">
        <f>SUMIF('MPG Payment '!$E$3:$E$34579,'Shayak Income '!D439,'MPG Payment '!$S$3:$S$34579)</f>
        <v>56.335619557800001</v>
      </c>
      <c r="R439" s="126">
        <f t="shared" si="112"/>
        <v>1080.9317041023298</v>
      </c>
      <c r="S439" s="126">
        <f t="shared" si="113"/>
        <v>164.18170410232983</v>
      </c>
      <c r="T439" s="126">
        <f t="shared" si="123"/>
        <v>96.5</v>
      </c>
      <c r="U439" s="127">
        <f>(((IF(K439="New",0,SUMIF('MPG Payment '!$E$3:$E$34579,'Shayak Income '!D439,'MPG Payment '!$AC$3:$AC$34579))))+0)+0</f>
        <v>1368.1378346373192</v>
      </c>
      <c r="V439" s="127">
        <f t="shared" si="124"/>
        <v>232</v>
      </c>
      <c r="W439" s="19">
        <v>232</v>
      </c>
      <c r="X439" s="19">
        <v>0</v>
      </c>
      <c r="Y439" s="128">
        <v>0</v>
      </c>
      <c r="Z439" s="128">
        <v>0</v>
      </c>
      <c r="AA439" s="126">
        <v>0</v>
      </c>
      <c r="AB439" s="129">
        <f t="shared" si="115"/>
        <v>0</v>
      </c>
      <c r="AC439" s="130">
        <f t="shared" si="129"/>
        <v>0</v>
      </c>
      <c r="AD439" s="35">
        <f t="shared" si="125"/>
        <v>0</v>
      </c>
      <c r="AE439" s="166" t="str">
        <f t="shared" si="126"/>
        <v>Release</v>
      </c>
      <c r="AF439" s="127"/>
      <c r="AG439" s="127">
        <v>0</v>
      </c>
      <c r="AH439" s="120" t="s">
        <v>1646</v>
      </c>
      <c r="AI439" s="238">
        <v>1355</v>
      </c>
      <c r="AJ439" s="132"/>
      <c r="AK439" s="151">
        <v>287.60000000000002</v>
      </c>
      <c r="AL439" s="154">
        <f t="shared" si="116"/>
        <v>0</v>
      </c>
      <c r="AM439" s="155"/>
      <c r="AN439" s="19">
        <f t="shared" si="117"/>
        <v>1861</v>
      </c>
      <c r="AO439" s="118">
        <f>SUMIF('MPG Payment '!E:E,'Shayak Income '!D439,'MPG Payment '!AJ:AJ)</f>
        <v>0</v>
      </c>
      <c r="AP439" s="19">
        <f t="shared" si="118"/>
        <v>232</v>
      </c>
      <c r="AQ439" s="119">
        <f t="shared" si="127"/>
        <v>232</v>
      </c>
      <c r="AR439" s="91" t="s">
        <v>1168</v>
      </c>
      <c r="AS439" s="91">
        <f t="shared" si="119"/>
        <v>4586.4009999999998</v>
      </c>
      <c r="AT439" s="118"/>
      <c r="AU439" s="118"/>
      <c r="AV439" s="118"/>
    </row>
    <row r="440" spans="1:48" s="20" customFormat="1" x14ac:dyDescent="0.25">
      <c r="A440" s="17">
        <f>IFERROR(VLOOKUP(D440,'Monthly Deduction'!$I$3:$J$957,2,0),0)</f>
        <v>92003</v>
      </c>
      <c r="B440" s="17">
        <f>IFERROR(VLOOKUP(D440,'Monthly Deduction'!$E$3:$F$957,2,0),0)</f>
        <v>0</v>
      </c>
      <c r="C440" s="17">
        <f t="shared" si="120"/>
        <v>92003</v>
      </c>
      <c r="D440" s="41">
        <v>10130097</v>
      </c>
      <c r="E440" s="122" t="str">
        <f>VLOOKUP(D440,'MPG Payment '!$E$3:$G$498218,2,0)</f>
        <v>Gomukh Karhatti</v>
      </c>
      <c r="F440" s="146">
        <f>IFERROR(_xlfn.XLOOKUP(D440,'Monthly Deduction'!$I$3:$I$957,'Monthly Deduction'!$H$3:$H$957),0)</f>
        <v>0</v>
      </c>
      <c r="G440" s="123" t="str">
        <f>VLOOKUP(D440,'MPG Payment '!$E$3:$G$334579,3,0)</f>
        <v>MPG</v>
      </c>
      <c r="H440" s="124" t="str">
        <f>VLOOKUP(D440,'MPG Payment '!$E$3:$H$334579,4,0)</f>
        <v>Direct</v>
      </c>
      <c r="I440" s="88">
        <f>INDEX('MPG Payment '!$C:$C,MATCH('Shayak Income '!D440,'MPG Payment '!E:E,0))</f>
        <v>1013</v>
      </c>
      <c r="J440" s="88" t="str">
        <f>INDEX('MPG Payment '!$D:$D,MATCH('Shayak Income '!D440,'MPG Payment '!E:E,0))</f>
        <v>Musrigharari</v>
      </c>
      <c r="K440" s="125" t="s">
        <v>1322</v>
      </c>
      <c r="L440" s="125">
        <v>45826</v>
      </c>
      <c r="M440" s="126">
        <f>SUMIF('MPG Payment '!$E$3:$E$34579,'Shayak Income '!D440,'MPG Payment '!$I$3:$I$34579)</f>
        <v>248.3</v>
      </c>
      <c r="N440" s="126">
        <f>SUMIF('MPG Payment '!$E$3:$E$34579,'Shayak Income '!D440,'MPG Payment '!$J$3:$J$34579)</f>
        <v>9486.6194959719996</v>
      </c>
      <c r="O440" s="126">
        <f t="shared" si="121"/>
        <v>186.22500000000002</v>
      </c>
      <c r="P440" s="126">
        <f t="shared" si="122"/>
        <v>235.88499999999999</v>
      </c>
      <c r="Q440" s="126">
        <f>SUMIF('MPG Payment '!$E$3:$E$34579,'Shayak Income '!D440,'MPG Payment '!$S$3:$S$34579)</f>
        <v>0</v>
      </c>
      <c r="R440" s="126">
        <f t="shared" si="112"/>
        <v>284.59858487916</v>
      </c>
      <c r="S440" s="126">
        <f t="shared" si="113"/>
        <v>48.71358487916001</v>
      </c>
      <c r="T440" s="126">
        <f t="shared" si="123"/>
        <v>24.830000000000002</v>
      </c>
      <c r="U440" s="127">
        <f>(((IF(K440="New",0,SUMIF('MPG Payment '!$E$3:$E$34579,'Shayak Income '!D440,'MPG Payment '!$AC$3:$AC$34579))))+0)+-1546</f>
        <v>397.20067180040814</v>
      </c>
      <c r="V440" s="127">
        <f t="shared" si="124"/>
        <v>0</v>
      </c>
      <c r="W440" s="19">
        <v>0</v>
      </c>
      <c r="X440" s="19">
        <v>0</v>
      </c>
      <c r="Y440" s="128">
        <v>0</v>
      </c>
      <c r="Z440" s="128">
        <v>0</v>
      </c>
      <c r="AA440" s="126">
        <v>0</v>
      </c>
      <c r="AB440" s="129">
        <f t="shared" si="115"/>
        <v>0</v>
      </c>
      <c r="AC440" s="130">
        <f t="shared" si="129"/>
        <v>0</v>
      </c>
      <c r="AD440" s="35">
        <f t="shared" si="125"/>
        <v>0</v>
      </c>
      <c r="AE440" s="166" t="str">
        <f t="shared" si="126"/>
        <v>Release</v>
      </c>
      <c r="AF440" s="127"/>
      <c r="AG440" s="18">
        <v>0</v>
      </c>
      <c r="AH440" s="120" t="s">
        <v>1650</v>
      </c>
      <c r="AI440" s="238">
        <v>10000</v>
      </c>
      <c r="AJ440" s="132"/>
      <c r="AK440" s="151">
        <v>70.59999999999998</v>
      </c>
      <c r="AL440" s="154">
        <f t="shared" si="116"/>
        <v>0</v>
      </c>
      <c r="AM440" s="155"/>
      <c r="AN440" s="19">
        <f t="shared" si="117"/>
        <v>1861</v>
      </c>
      <c r="AO440" s="118">
        <f>SUMIF('MPG Payment '!E:E,'Shayak Income '!D440,'MPG Payment '!AJ:AJ)</f>
        <v>500</v>
      </c>
      <c r="AP440" s="19">
        <f t="shared" si="118"/>
        <v>0</v>
      </c>
      <c r="AQ440" s="119">
        <f t="shared" si="127"/>
        <v>500</v>
      </c>
      <c r="AR440" s="91" t="s">
        <v>1168</v>
      </c>
      <c r="AS440" s="91">
        <f t="shared" si="119"/>
        <v>0</v>
      </c>
      <c r="AT440" s="118"/>
      <c r="AU440" s="118"/>
      <c r="AV440" s="118"/>
    </row>
    <row r="441" spans="1:48" s="20" customFormat="1" x14ac:dyDescent="0.25">
      <c r="A441" s="17">
        <f>IFERROR(VLOOKUP(D441,'Monthly Deduction'!$I$3:$J$957,2,0),0)</f>
        <v>42151.942098533822</v>
      </c>
      <c r="B441" s="17">
        <f>IFERROR(VLOOKUP(D441,'Monthly Deduction'!$E$3:$F$957,2,0),0)</f>
        <v>0</v>
      </c>
      <c r="C441" s="17">
        <f t="shared" si="120"/>
        <v>42151.942098533822</v>
      </c>
      <c r="D441" s="41">
        <v>10130098</v>
      </c>
      <c r="E441" s="122" t="str">
        <f>VLOOKUP(D441,'MPG Payment '!$E$3:$G$498218,2,0)</f>
        <v>Gomukh Gaopur Bhagwatpur</v>
      </c>
      <c r="F441" s="146">
        <f>IFERROR(_xlfn.XLOOKUP(D441,'Monthly Deduction'!$I$3:$I$957,'Monthly Deduction'!$H$3:$H$957),0)</f>
        <v>0</v>
      </c>
      <c r="G441" s="123" t="str">
        <f>VLOOKUP(D441,'MPG Payment '!$E$3:$G$334579,3,0)</f>
        <v>MPG</v>
      </c>
      <c r="H441" s="124" t="str">
        <f>VLOOKUP(D441,'MPG Payment '!$E$3:$H$334579,4,0)</f>
        <v>Direct</v>
      </c>
      <c r="I441" s="88">
        <f>INDEX('MPG Payment '!$C:$C,MATCH('Shayak Income '!D441,'MPG Payment '!E:E,0))</f>
        <v>1013</v>
      </c>
      <c r="J441" s="88" t="str">
        <f>INDEX('MPG Payment '!$D:$D,MATCH('Shayak Income '!D441,'MPG Payment '!E:E,0))</f>
        <v>Musrigharari</v>
      </c>
      <c r="K441" s="125" t="s">
        <v>1322</v>
      </c>
      <c r="L441" s="125">
        <v>45765</v>
      </c>
      <c r="M441" s="126">
        <f>SUMIF('MPG Payment '!$E$3:$E$34579,'Shayak Income '!D441,'MPG Payment '!$I$3:$I$34579)</f>
        <v>3728.7</v>
      </c>
      <c r="N441" s="126">
        <f>SUMIF('MPG Payment '!$E$3:$E$34579,'Shayak Income '!D441,'MPG Payment '!$J$3:$J$34579)</f>
        <v>138227.16267487398</v>
      </c>
      <c r="O441" s="126">
        <f t="shared" si="121"/>
        <v>2796.5249999999996</v>
      </c>
      <c r="P441" s="126">
        <f t="shared" si="122"/>
        <v>3542.2649999999999</v>
      </c>
      <c r="Q441" s="126">
        <f>SUMIF('MPG Payment '!$E$3:$E$34579,'Shayak Income '!D441,'MPG Payment '!$S$3:$S$34579)</f>
        <v>0.57817584000000011</v>
      </c>
      <c r="R441" s="126">
        <f t="shared" si="112"/>
        <v>4146.8148802462192</v>
      </c>
      <c r="S441" s="126">
        <f t="shared" si="113"/>
        <v>604.54988024621935</v>
      </c>
      <c r="T441" s="126">
        <f t="shared" si="123"/>
        <v>372.87</v>
      </c>
      <c r="U441" s="127">
        <f>(((IF(K441="New",0,SUMIF('MPG Payment '!$E$3:$E$34579,'Shayak Income '!D441,'MPG Payment '!$AC$3:$AC$34579))))+0)+0</f>
        <v>0</v>
      </c>
      <c r="V441" s="127">
        <f t="shared" si="124"/>
        <v>5966</v>
      </c>
      <c r="W441" s="19">
        <f t="shared" si="128"/>
        <v>2764.5432534974798</v>
      </c>
      <c r="X441" s="19">
        <v>0</v>
      </c>
      <c r="Y441" s="128">
        <f>IFERROR(VLOOKUP(D441,'Monthly Deduction'!$M$2:$N$64,2,0),0)</f>
        <v>0</v>
      </c>
      <c r="Z441" s="128">
        <v>0</v>
      </c>
      <c r="AA441" s="126">
        <f>IFERROR(VLOOKUP(D441,'Monthly Deduction'!A:B,2,0),0)</f>
        <v>0</v>
      </c>
      <c r="AB441" s="129">
        <f t="shared" si="115"/>
        <v>3201</v>
      </c>
      <c r="AC441" s="130">
        <v>0</v>
      </c>
      <c r="AD441" s="35">
        <f t="shared" si="125"/>
        <v>3201</v>
      </c>
      <c r="AE441" s="166" t="str">
        <f t="shared" si="126"/>
        <v>Release</v>
      </c>
      <c r="AF441" s="127"/>
      <c r="AG441" s="18">
        <v>0</v>
      </c>
      <c r="AH441" s="132"/>
      <c r="AI441" s="238">
        <v>0</v>
      </c>
      <c r="AJ441" s="132"/>
      <c r="AK441" s="151">
        <v>1239.3</v>
      </c>
      <c r="AL441" s="154">
        <f t="shared" si="116"/>
        <v>0</v>
      </c>
      <c r="AM441" s="155"/>
      <c r="AN441" s="19">
        <f t="shared" si="117"/>
        <v>2764.5432534974798</v>
      </c>
      <c r="AO441" s="118">
        <f>SUMIF('MPG Payment '!E:E,'Shayak Income '!D441,'MPG Payment '!AJ:AJ)</f>
        <v>0</v>
      </c>
      <c r="AP441" s="19">
        <f t="shared" si="118"/>
        <v>2764.5432534974798</v>
      </c>
      <c r="AQ441" s="119">
        <f t="shared" si="127"/>
        <v>2764.5432534974798</v>
      </c>
      <c r="AR441" s="91" t="s">
        <v>1168</v>
      </c>
      <c r="AS441" s="91">
        <f t="shared" si="119"/>
        <v>0</v>
      </c>
      <c r="AT441" s="118"/>
      <c r="AU441" s="118"/>
      <c r="AV441" s="118"/>
    </row>
    <row r="442" spans="1:48" s="20" customFormat="1" x14ac:dyDescent="0.25">
      <c r="A442" s="17">
        <f>IFERROR(VLOOKUP(D442,'Monthly Deduction'!$I$3:$J$957,2,0),0)</f>
        <v>87735</v>
      </c>
      <c r="B442" s="17">
        <f>IFERROR(VLOOKUP(D442,'Monthly Deduction'!$E$3:$F$957,2,0),0)</f>
        <v>0</v>
      </c>
      <c r="C442" s="17">
        <f t="shared" si="120"/>
        <v>87735</v>
      </c>
      <c r="D442" s="41">
        <v>10130100</v>
      </c>
      <c r="E442" s="122" t="str">
        <f>VLOOKUP(D442,'MPG Payment '!$E$3:$G$498218,2,0)</f>
        <v>Gomukh Rajwara</v>
      </c>
      <c r="F442" s="146">
        <f>IFERROR(_xlfn.XLOOKUP(D442,'Monthly Deduction'!$I$3:$I$957,'Monthly Deduction'!$H$3:$H$957),0)</f>
        <v>0</v>
      </c>
      <c r="G442" s="123" t="str">
        <f>VLOOKUP(D442,'MPG Payment '!$E$3:$G$334579,3,0)</f>
        <v>MPG</v>
      </c>
      <c r="H442" s="124" t="str">
        <f>VLOOKUP(D442,'MPG Payment '!$E$3:$H$334579,4,0)</f>
        <v>Direct</v>
      </c>
      <c r="I442" s="88">
        <f>INDEX('MPG Payment '!$C:$C,MATCH('Shayak Income '!D442,'MPG Payment '!E:E,0))</f>
        <v>1013</v>
      </c>
      <c r="J442" s="88" t="str">
        <f>INDEX('MPG Payment '!$D:$D,MATCH('Shayak Income '!D442,'MPG Payment '!E:E,0))</f>
        <v>Musrigharari</v>
      </c>
      <c r="K442" s="125" t="s">
        <v>1322</v>
      </c>
      <c r="L442" s="125">
        <v>45809</v>
      </c>
      <c r="M442" s="126">
        <f>SUMIF('MPG Payment '!$E$3:$E$34579,'Shayak Income '!D442,'MPG Payment '!$I$3:$I$34579)</f>
        <v>542.5</v>
      </c>
      <c r="N442" s="126">
        <f>SUMIF('MPG Payment '!$E$3:$E$34579,'Shayak Income '!D442,'MPG Payment '!$J$3:$J$34579)</f>
        <v>21495.8079782555</v>
      </c>
      <c r="O442" s="126">
        <f t="shared" si="121"/>
        <v>406.875</v>
      </c>
      <c r="P442" s="126">
        <f t="shared" si="122"/>
        <v>515.375</v>
      </c>
      <c r="Q442" s="126">
        <f>SUMIF('MPG Payment '!$E$3:$E$34579,'Shayak Income '!D442,'MPG Payment '!$S$3:$S$34579)</f>
        <v>80.785424999999989</v>
      </c>
      <c r="R442" s="126">
        <f t="shared" si="112"/>
        <v>644.87423934766491</v>
      </c>
      <c r="S442" s="126">
        <f t="shared" si="113"/>
        <v>129.49923934766491</v>
      </c>
      <c r="T442" s="126">
        <f t="shared" si="123"/>
        <v>54.25</v>
      </c>
      <c r="U442" s="127">
        <f>(((IF(K442="New",0,SUMIF('MPG Payment '!$E$3:$E$34579,'Shayak Income '!D442,'MPG Payment '!$AC$3:$AC$34579))))+0)+-842</f>
        <v>948.48601258899885</v>
      </c>
      <c r="V442" s="127">
        <f t="shared" si="124"/>
        <v>0</v>
      </c>
      <c r="W442" s="19">
        <v>0</v>
      </c>
      <c r="X442" s="19">
        <v>0</v>
      </c>
      <c r="Y442" s="128">
        <v>0</v>
      </c>
      <c r="Z442" s="128">
        <v>0</v>
      </c>
      <c r="AA442" s="126">
        <v>0</v>
      </c>
      <c r="AB442" s="129">
        <f t="shared" si="115"/>
        <v>0</v>
      </c>
      <c r="AC442" s="130">
        <f t="shared" ref="AC442:AC443" si="130">AB442</f>
        <v>0</v>
      </c>
      <c r="AD442" s="35">
        <f t="shared" si="125"/>
        <v>0</v>
      </c>
      <c r="AE442" s="166" t="str">
        <f t="shared" si="126"/>
        <v>Release</v>
      </c>
      <c r="AF442" s="127"/>
      <c r="AG442" s="18">
        <v>0</v>
      </c>
      <c r="AH442" s="120" t="s">
        <v>1650</v>
      </c>
      <c r="AI442" s="238">
        <v>7957</v>
      </c>
      <c r="AJ442" s="132"/>
      <c r="AK442" s="151">
        <v>109.00000000000001</v>
      </c>
      <c r="AL442" s="154">
        <f t="shared" si="116"/>
        <v>0</v>
      </c>
      <c r="AM442" s="155"/>
      <c r="AN442" s="19">
        <f t="shared" si="117"/>
        <v>1861</v>
      </c>
      <c r="AO442" s="118">
        <f>SUMIF('MPG Payment '!E:E,'Shayak Income '!D442,'MPG Payment '!AJ:AJ)</f>
        <v>500</v>
      </c>
      <c r="AP442" s="19">
        <f t="shared" si="118"/>
        <v>0</v>
      </c>
      <c r="AQ442" s="119">
        <f t="shared" si="127"/>
        <v>500</v>
      </c>
      <c r="AR442" s="91" t="s">
        <v>1168</v>
      </c>
      <c r="AS442" s="91">
        <f t="shared" si="119"/>
        <v>0</v>
      </c>
      <c r="AT442" s="118"/>
      <c r="AU442" s="118"/>
      <c r="AV442" s="118"/>
    </row>
    <row r="443" spans="1:48" s="20" customFormat="1" x14ac:dyDescent="0.25">
      <c r="A443" s="17">
        <f>IFERROR(VLOOKUP(D443,'Monthly Deduction'!$I$3:$J$957,2,0),0)</f>
        <v>81361</v>
      </c>
      <c r="B443" s="17">
        <f>IFERROR(VLOOKUP(D443,'Monthly Deduction'!$E$3:$F$957,2,0),0)</f>
        <v>0</v>
      </c>
      <c r="C443" s="17">
        <f t="shared" si="120"/>
        <v>81361</v>
      </c>
      <c r="D443" s="41">
        <v>10130102</v>
      </c>
      <c r="E443" s="122" t="str">
        <f>VLOOKUP(D443,'MPG Payment '!$E$3:$G$498218,2,0)</f>
        <v>GOMUKH NIKASPUR</v>
      </c>
      <c r="F443" s="146">
        <f>IFERROR(_xlfn.XLOOKUP(D443,'Monthly Deduction'!$I$3:$I$957,'Monthly Deduction'!$H$3:$H$957),0)</f>
        <v>0</v>
      </c>
      <c r="G443" s="123" t="str">
        <f>VLOOKUP(D443,'MPG Payment '!$E$3:$G$334579,3,0)</f>
        <v>vlc</v>
      </c>
      <c r="H443" s="124" t="str">
        <f>VLOOKUP(D443,'MPG Payment '!$E$3:$H$334579,4,0)</f>
        <v>Direct</v>
      </c>
      <c r="I443" s="88">
        <f>INDEX('MPG Payment '!$C:$C,MATCH('Shayak Income '!D443,'MPG Payment '!E:E,0))</f>
        <v>1013</v>
      </c>
      <c r="J443" s="88" t="str">
        <f>INDEX('MPG Payment '!$D:$D,MATCH('Shayak Income '!D443,'MPG Payment '!E:E,0))</f>
        <v>Musrigharari</v>
      </c>
      <c r="K443" s="125" t="s">
        <v>1322</v>
      </c>
      <c r="L443" s="125">
        <v>45847</v>
      </c>
      <c r="M443" s="126">
        <f>SUMIF('MPG Payment '!$E$3:$E$34579,'Shayak Income '!D443,'MPG Payment '!$I$3:$I$34579)</f>
        <v>523.5</v>
      </c>
      <c r="N443" s="126">
        <f>SUMIF('MPG Payment '!$E$3:$E$34579,'Shayak Income '!D443,'MPG Payment '!$J$3:$J$34579)</f>
        <v>17986.311435740001</v>
      </c>
      <c r="O443" s="126">
        <f t="shared" si="121"/>
        <v>392.625</v>
      </c>
      <c r="P443" s="126">
        <f t="shared" si="122"/>
        <v>497.32499999999999</v>
      </c>
      <c r="Q443" s="126">
        <f>SUMIF('MPG Payment '!$E$3:$E$34579,'Shayak Income '!D443,'MPG Payment '!$S$3:$S$34579)</f>
        <v>0</v>
      </c>
      <c r="R443" s="126">
        <f t="shared" si="112"/>
        <v>539.58934307219999</v>
      </c>
      <c r="S443" s="126">
        <f t="shared" si="113"/>
        <v>42.264343072200006</v>
      </c>
      <c r="T443" s="126">
        <f t="shared" si="123"/>
        <v>52.35</v>
      </c>
      <c r="U443" s="127">
        <f>(((IF(K443="New",0,SUMIF('MPG Payment '!$E$3:$E$34579,'Shayak Income '!D443,'MPG Payment '!$AC$3:$AC$34579))))+0)+-652</f>
        <v>837.89953862468428</v>
      </c>
      <c r="V443" s="127">
        <f t="shared" si="124"/>
        <v>0</v>
      </c>
      <c r="W443" s="19">
        <v>0</v>
      </c>
      <c r="X443" s="19">
        <v>0</v>
      </c>
      <c r="Y443" s="128">
        <f>IFERROR(VLOOKUP(D443,'Monthly Deduction'!$M$2:$N$64,2,0),0)</f>
        <v>0</v>
      </c>
      <c r="Z443" s="128">
        <v>0</v>
      </c>
      <c r="AA443" s="126">
        <f>IFERROR(VLOOKUP(D443,'Monthly Deduction'!A:B,2,0),0)</f>
        <v>0</v>
      </c>
      <c r="AB443" s="129">
        <f t="shared" si="115"/>
        <v>0</v>
      </c>
      <c r="AC443" s="130">
        <f t="shared" si="130"/>
        <v>0</v>
      </c>
      <c r="AD443" s="35">
        <f t="shared" si="125"/>
        <v>0</v>
      </c>
      <c r="AE443" s="166" t="str">
        <f t="shared" si="126"/>
        <v>Release</v>
      </c>
      <c r="AF443" s="127"/>
      <c r="AG443" s="18">
        <v>0</v>
      </c>
      <c r="AH443" s="120" t="s">
        <v>1651</v>
      </c>
      <c r="AI443" s="238">
        <v>444</v>
      </c>
      <c r="AJ443" s="132"/>
      <c r="AK443" s="151">
        <v>0</v>
      </c>
      <c r="AL443" s="154">
        <f t="shared" si="116"/>
        <v>0</v>
      </c>
      <c r="AM443" s="155"/>
      <c r="AN443" s="19">
        <f t="shared" si="117"/>
        <v>1861</v>
      </c>
      <c r="AO443" s="118">
        <f>SUMIF('MPG Payment '!E:E,'Shayak Income '!D443,'MPG Payment '!AJ:AJ)</f>
        <v>500</v>
      </c>
      <c r="AP443" s="19">
        <f t="shared" si="118"/>
        <v>0</v>
      </c>
      <c r="AQ443" s="119">
        <f t="shared" si="127"/>
        <v>500</v>
      </c>
      <c r="AR443" s="91" t="s">
        <v>1168</v>
      </c>
      <c r="AS443" s="91">
        <f t="shared" si="119"/>
        <v>0</v>
      </c>
      <c r="AT443" s="118"/>
      <c r="AU443" s="118"/>
      <c r="AV443" s="118"/>
    </row>
    <row r="444" spans="1:48" s="20" customFormat="1" x14ac:dyDescent="0.25">
      <c r="A444" s="17">
        <f>IFERROR(VLOOKUP(D444,'Monthly Deduction'!$I$3:$J$957,2,0),0)</f>
        <v>0</v>
      </c>
      <c r="B444" s="17">
        <f>IFERROR(VLOOKUP(D444,'Monthly Deduction'!$E$3:$F$957,2,0),0)</f>
        <v>0</v>
      </c>
      <c r="C444" s="17">
        <f t="shared" si="120"/>
        <v>0</v>
      </c>
      <c r="D444" s="41">
        <v>10130107</v>
      </c>
      <c r="E444" s="122" t="str">
        <f>VLOOKUP(D444,'MPG Payment '!$E$3:$G$498218,2,0)</f>
        <v>Gomukh Morwa Mohanpur</v>
      </c>
      <c r="F444" s="146">
        <f>IFERROR(_xlfn.XLOOKUP(D444,'Monthly Deduction'!$I$3:$I$957,'Monthly Deduction'!$H$3:$H$957),0)</f>
        <v>0</v>
      </c>
      <c r="G444" s="123" t="str">
        <f>VLOOKUP(D444,'MPG Payment '!$E$3:$G$334579,3,0)</f>
        <v>vlc</v>
      </c>
      <c r="H444" s="124" t="str">
        <f>VLOOKUP(D444,'MPG Payment '!$E$3:$H$334579,4,0)</f>
        <v>Indirect</v>
      </c>
      <c r="I444" s="88">
        <f>INDEX('MPG Payment '!$C:$C,MATCH('Shayak Income '!D444,'MPG Payment '!E:E,0))</f>
        <v>1013</v>
      </c>
      <c r="J444" s="88" t="str">
        <f>INDEX('MPG Payment '!$D:$D,MATCH('Shayak Income '!D444,'MPG Payment '!E:E,0))</f>
        <v>Musrigharari</v>
      </c>
      <c r="K444" s="125" t="s">
        <v>1322</v>
      </c>
      <c r="L444" s="125">
        <v>45868</v>
      </c>
      <c r="M444" s="126">
        <f>SUMIF('MPG Payment '!$E$3:$E$34579,'Shayak Income '!D444,'MPG Payment '!$I$3:$I$34579)</f>
        <v>1317.9</v>
      </c>
      <c r="N444" s="126">
        <f>SUMIF('MPG Payment '!$E$3:$E$34579,'Shayak Income '!D444,'MPG Payment '!$J$3:$J$34579)</f>
        <v>49195.325918652503</v>
      </c>
      <c r="O444" s="126">
        <f t="shared" si="121"/>
        <v>988.42500000000007</v>
      </c>
      <c r="P444" s="126">
        <f t="shared" si="122"/>
        <v>1252.0050000000001</v>
      </c>
      <c r="Q444" s="126">
        <f>SUMIF('MPG Payment '!$E$3:$E$34579,'Shayak Income '!D444,'MPG Payment '!$S$3:$S$34579)</f>
        <v>0</v>
      </c>
      <c r="R444" s="126">
        <f t="shared" si="112"/>
        <v>1475.8597775595749</v>
      </c>
      <c r="S444" s="126">
        <f t="shared" si="113"/>
        <v>223.85477755957481</v>
      </c>
      <c r="T444" s="126">
        <f t="shared" si="123"/>
        <v>131.79000000000002</v>
      </c>
      <c r="U444" s="127">
        <f>(((IF(K444="New",0,SUMIF('MPG Payment '!$E$3:$E$34579,'Shayak Income '!D444,'MPG Payment '!$AC$3:$AC$34579))))+0)+0</f>
        <v>1131.7569266648602</v>
      </c>
      <c r="V444" s="127">
        <f t="shared" si="124"/>
        <v>977</v>
      </c>
      <c r="W444" s="19">
        <f t="shared" si="128"/>
        <v>0</v>
      </c>
      <c r="X444" s="19">
        <f t="shared" si="114"/>
        <v>0</v>
      </c>
      <c r="Y444" s="128">
        <f>IFERROR(VLOOKUP(D444,'Monthly Deduction'!$M$2:$N$64,2,0),0)</f>
        <v>0</v>
      </c>
      <c r="Z444" s="128">
        <v>0</v>
      </c>
      <c r="AA444" s="126">
        <f>IFERROR(VLOOKUP(D444,'Monthly Deduction'!A:B,2,0),0)</f>
        <v>0</v>
      </c>
      <c r="AB444" s="129">
        <f t="shared" si="115"/>
        <v>977</v>
      </c>
      <c r="AC444" s="130">
        <v>0</v>
      </c>
      <c r="AD444" s="35">
        <f t="shared" si="125"/>
        <v>977</v>
      </c>
      <c r="AE444" s="166" t="str">
        <f t="shared" si="126"/>
        <v>Release</v>
      </c>
      <c r="AF444" s="127"/>
      <c r="AG444" s="18">
        <v>0</v>
      </c>
      <c r="AH444" s="120"/>
      <c r="AI444" s="238">
        <v>0</v>
      </c>
      <c r="AJ444" s="132"/>
      <c r="AK444" s="151">
        <v>632.5</v>
      </c>
      <c r="AL444" s="154">
        <f t="shared" si="116"/>
        <v>0</v>
      </c>
      <c r="AM444" s="155"/>
      <c r="AN444" s="19">
        <f t="shared" si="117"/>
        <v>0</v>
      </c>
      <c r="AO444" s="118">
        <f>SUMIF('MPG Payment '!E:E,'Shayak Income '!D444,'MPG Payment '!AJ:AJ)</f>
        <v>0</v>
      </c>
      <c r="AP444" s="19">
        <f t="shared" si="118"/>
        <v>0</v>
      </c>
      <c r="AQ444" s="119">
        <f t="shared" si="127"/>
        <v>0</v>
      </c>
      <c r="AR444" s="91" t="s">
        <v>1168</v>
      </c>
      <c r="AS444" s="91">
        <f t="shared" si="119"/>
        <v>0</v>
      </c>
      <c r="AT444" s="118"/>
      <c r="AU444" s="118"/>
      <c r="AV444" s="118"/>
    </row>
    <row r="445" spans="1:48" s="20" customFormat="1" x14ac:dyDescent="0.25">
      <c r="A445" s="17">
        <f>IFERROR(VLOOKUP(D445,'Monthly Deduction'!$I$3:$J$957,2,0),0)</f>
        <v>0</v>
      </c>
      <c r="B445" s="17">
        <f>IFERROR(VLOOKUP(D445,'Monthly Deduction'!$E$3:$F$957,2,0),0)</f>
        <v>4408.0451254147429</v>
      </c>
      <c r="C445" s="17">
        <f t="shared" si="120"/>
        <v>4408.0451254147429</v>
      </c>
      <c r="D445" s="41">
        <v>10140001</v>
      </c>
      <c r="E445" s="122" t="str">
        <f>VLOOKUP(D445,'MPG Payment '!$E$3:$G$498218,2,0)</f>
        <v>Dumri Purvi Tola</v>
      </c>
      <c r="F445" s="146">
        <f>IFERROR(_xlfn.XLOOKUP(D445,'Monthly Deduction'!$I$3:$I$957,'Monthly Deduction'!$H$3:$H$957),0)</f>
        <v>0</v>
      </c>
      <c r="G445" s="123" t="str">
        <f>VLOOKUP(D445,'MPG Payment '!$E$3:$G$334579,3,0)</f>
        <v>MPG</v>
      </c>
      <c r="H445" s="124" t="str">
        <f>VLOOKUP(D445,'MPG Payment '!$E$3:$H$334579,4,0)</f>
        <v>Direct</v>
      </c>
      <c r="I445" s="88">
        <f>INDEX('MPG Payment '!$C:$C,MATCH('Shayak Income '!D445,'MPG Payment '!E:E,0))</f>
        <v>1014</v>
      </c>
      <c r="J445" s="88" t="str">
        <f>INDEX('MPG Payment '!$D:$D,MATCH('Shayak Income '!D445,'MPG Payment '!E:E,0))</f>
        <v>Dumraon</v>
      </c>
      <c r="K445" s="125" t="s">
        <v>1322</v>
      </c>
      <c r="L445" s="125">
        <v>44664</v>
      </c>
      <c r="M445" s="126">
        <f>SUMIF('MPG Payment '!$E$3:$E$34579,'Shayak Income '!D445,'MPG Payment '!$I$3:$I$34579)</f>
        <v>1527.5000000000002</v>
      </c>
      <c r="N445" s="126">
        <f>SUMIF('MPG Payment '!$E$3:$E$34579,'Shayak Income '!D445,'MPG Payment '!$J$3:$J$34579)</f>
        <v>52639.9929588206</v>
      </c>
      <c r="O445" s="126">
        <f t="shared" si="121"/>
        <v>1145.6250000000002</v>
      </c>
      <c r="P445" s="126">
        <f t="shared" si="122"/>
        <v>1451.1250000000002</v>
      </c>
      <c r="Q445" s="126">
        <f>SUMIF('MPG Payment '!$E$3:$E$34579,'Shayak Income '!D445,'MPG Payment '!$S$3:$S$34579)</f>
        <v>0</v>
      </c>
      <c r="R445" s="126">
        <f t="shared" si="112"/>
        <v>1579.199788764618</v>
      </c>
      <c r="S445" s="126">
        <f t="shared" si="113"/>
        <v>128.07478876461778</v>
      </c>
      <c r="T445" s="126">
        <f t="shared" si="123"/>
        <v>152.75000000000003</v>
      </c>
      <c r="U445" s="127">
        <f>(((IF(K445="New",0,SUMIF('MPG Payment '!$E$3:$E$34579,'Shayak Income '!D445,'MPG Payment '!$AC$3:$AC$34579))))+0)+0</f>
        <v>851.9910359331252</v>
      </c>
      <c r="V445" s="127">
        <f t="shared" si="124"/>
        <v>1592</v>
      </c>
      <c r="W445" s="19">
        <f t="shared" si="128"/>
        <v>0</v>
      </c>
      <c r="X445" s="19">
        <f t="shared" si="114"/>
        <v>1052.7998591764119</v>
      </c>
      <c r="Y445" s="128">
        <v>539</v>
      </c>
      <c r="Z445" s="128">
        <v>0</v>
      </c>
      <c r="AA445" s="126">
        <v>0</v>
      </c>
      <c r="AB445" s="129">
        <f t="shared" si="115"/>
        <v>0</v>
      </c>
      <c r="AC445" s="130">
        <v>0</v>
      </c>
      <c r="AD445" s="35">
        <f t="shared" si="125"/>
        <v>0</v>
      </c>
      <c r="AE445" s="166" t="str">
        <f t="shared" si="126"/>
        <v>Release</v>
      </c>
      <c r="AF445" s="127"/>
      <c r="AG445" s="127">
        <v>0</v>
      </c>
      <c r="AH445" s="120"/>
      <c r="AI445" s="238">
        <v>0</v>
      </c>
      <c r="AJ445" s="132"/>
      <c r="AK445" s="151">
        <v>549.70000000000005</v>
      </c>
      <c r="AL445" s="154">
        <f t="shared" si="116"/>
        <v>0</v>
      </c>
      <c r="AM445" s="155"/>
      <c r="AN445" s="19">
        <f t="shared" si="117"/>
        <v>0</v>
      </c>
      <c r="AO445" s="118">
        <f>SUMIF('MPG Payment '!E:E,'Shayak Income '!D445,'MPG Payment '!AJ:AJ)</f>
        <v>0</v>
      </c>
      <c r="AP445" s="19">
        <f t="shared" si="118"/>
        <v>0</v>
      </c>
      <c r="AQ445" s="119">
        <f t="shared" si="127"/>
        <v>0</v>
      </c>
      <c r="AR445" s="91" t="s">
        <v>1168</v>
      </c>
      <c r="AS445" s="91">
        <f t="shared" si="119"/>
        <v>3355.2452662383312</v>
      </c>
      <c r="AT445" s="118"/>
      <c r="AU445" s="118"/>
      <c r="AV445" s="118"/>
    </row>
    <row r="446" spans="1:48" s="20" customFormat="1" x14ac:dyDescent="0.25">
      <c r="A446" s="17">
        <f>IFERROR(VLOOKUP(D446,'Monthly Deduction'!$I$3:$J$957,2,0),0)</f>
        <v>0</v>
      </c>
      <c r="B446" s="17">
        <f>IFERROR(VLOOKUP(D446,'Monthly Deduction'!$E$3:$F$957,2,0),0)</f>
        <v>5996.7100985575998</v>
      </c>
      <c r="C446" s="17">
        <f t="shared" si="120"/>
        <v>5996.7100985575998</v>
      </c>
      <c r="D446" s="41">
        <v>10140002</v>
      </c>
      <c r="E446" s="122" t="str">
        <f>VLOOKUP(D446,'MPG Payment '!$E$3:$G$498218,2,0)</f>
        <v>Simri</v>
      </c>
      <c r="F446" s="146">
        <f>IFERROR(_xlfn.XLOOKUP(D446,'Monthly Deduction'!$I$3:$I$957,'Monthly Deduction'!$H$3:$H$957),0)</f>
        <v>0</v>
      </c>
      <c r="G446" s="123" t="str">
        <f>VLOOKUP(D446,'MPG Payment '!$E$3:$G$334579,3,0)</f>
        <v>MPG</v>
      </c>
      <c r="H446" s="124" t="str">
        <f>VLOOKUP(D446,'MPG Payment '!$E$3:$H$334579,4,0)</f>
        <v>Direct</v>
      </c>
      <c r="I446" s="88">
        <f>INDEX('MPG Payment '!$C:$C,MATCH('Shayak Income '!D446,'MPG Payment '!E:E,0))</f>
        <v>1014</v>
      </c>
      <c r="J446" s="88" t="str">
        <f>INDEX('MPG Payment '!$D:$D,MATCH('Shayak Income '!D446,'MPG Payment '!E:E,0))</f>
        <v>Dumraon</v>
      </c>
      <c r="K446" s="125" t="s">
        <v>1322</v>
      </c>
      <c r="L446" s="125">
        <v>44664</v>
      </c>
      <c r="M446" s="126">
        <f>SUMIF('MPG Payment '!$E$3:$E$34579,'Shayak Income '!D446,'MPG Payment '!$I$3:$I$34579)</f>
        <v>3018.3</v>
      </c>
      <c r="N446" s="126">
        <f>SUMIF('MPG Payment '!$E$3:$E$34579,'Shayak Income '!D446,'MPG Payment '!$J$3:$J$34579)</f>
        <v>110852.61915011001</v>
      </c>
      <c r="O446" s="126">
        <f t="shared" si="121"/>
        <v>2263.7250000000004</v>
      </c>
      <c r="P446" s="126">
        <f t="shared" si="122"/>
        <v>2867.3850000000002</v>
      </c>
      <c r="Q446" s="126">
        <f>SUMIF('MPG Payment '!$E$3:$E$34579,'Shayak Income '!D446,'MPG Payment '!$S$3:$S$34579)</f>
        <v>0</v>
      </c>
      <c r="R446" s="126">
        <f t="shared" si="112"/>
        <v>3325.5785745033004</v>
      </c>
      <c r="S446" s="126">
        <f t="shared" si="113"/>
        <v>458.19357450330017</v>
      </c>
      <c r="T446" s="126">
        <f t="shared" si="123"/>
        <v>301.83000000000004</v>
      </c>
      <c r="U446" s="127">
        <f>(((IF(K446="New",0,SUMIF('MPG Payment '!$E$3:$E$34579,'Shayak Income '!D446,'MPG Payment '!$AC$3:$AC$34579))))+0)+0</f>
        <v>10.731490424783551</v>
      </c>
      <c r="V446" s="127">
        <f t="shared" si="124"/>
        <v>4819</v>
      </c>
      <c r="W446" s="19">
        <f t="shared" si="128"/>
        <v>0</v>
      </c>
      <c r="X446" s="19">
        <f t="shared" si="114"/>
        <v>2217.0523830022003</v>
      </c>
      <c r="Y446" s="128">
        <v>2602</v>
      </c>
      <c r="Z446" s="128">
        <v>0</v>
      </c>
      <c r="AA446" s="126">
        <v>0</v>
      </c>
      <c r="AB446" s="129">
        <f t="shared" si="115"/>
        <v>0</v>
      </c>
      <c r="AC446" s="130">
        <v>0</v>
      </c>
      <c r="AD446" s="35">
        <f t="shared" si="125"/>
        <v>0</v>
      </c>
      <c r="AE446" s="166" t="str">
        <f t="shared" si="126"/>
        <v>Release</v>
      </c>
      <c r="AF446" s="127"/>
      <c r="AG446" s="18">
        <v>0</v>
      </c>
      <c r="AH446" s="120"/>
      <c r="AI446" s="238">
        <v>0</v>
      </c>
      <c r="AJ446" s="132"/>
      <c r="AK446" s="151">
        <v>788.80000000000007</v>
      </c>
      <c r="AL446" s="154">
        <f t="shared" si="116"/>
        <v>0</v>
      </c>
      <c r="AM446" s="155"/>
      <c r="AN446" s="19">
        <f t="shared" si="117"/>
        <v>0</v>
      </c>
      <c r="AO446" s="118">
        <f>SUMIF('MPG Payment '!E:E,'Shayak Income '!D446,'MPG Payment '!AJ:AJ)</f>
        <v>0</v>
      </c>
      <c r="AP446" s="19">
        <f t="shared" si="118"/>
        <v>0</v>
      </c>
      <c r="AQ446" s="119">
        <f t="shared" si="127"/>
        <v>0</v>
      </c>
      <c r="AR446" s="91" t="s">
        <v>1168</v>
      </c>
      <c r="AS446" s="91">
        <f t="shared" si="119"/>
        <v>3779.6577155553996</v>
      </c>
      <c r="AT446" s="118"/>
      <c r="AU446" s="118"/>
      <c r="AV446" s="118"/>
    </row>
    <row r="447" spans="1:48" s="20" customFormat="1" x14ac:dyDescent="0.25">
      <c r="A447" s="17">
        <f>IFERROR(VLOOKUP(D447,'Monthly Deduction'!$I$3:$J$957,2,0),0)</f>
        <v>0</v>
      </c>
      <c r="B447" s="17">
        <f>IFERROR(VLOOKUP(D447,'Monthly Deduction'!$E$3:$F$957,2,0),0)</f>
        <v>0</v>
      </c>
      <c r="C447" s="17">
        <f t="shared" si="120"/>
        <v>0</v>
      </c>
      <c r="D447" s="41">
        <v>10140003</v>
      </c>
      <c r="E447" s="122" t="str">
        <f>VLOOKUP(D447,'MPG Payment '!$E$3:$G$498218,2,0)</f>
        <v>Sahiyar</v>
      </c>
      <c r="F447" s="146">
        <f>IFERROR(_xlfn.XLOOKUP(D447,'Monthly Deduction'!$I$3:$I$957,'Monthly Deduction'!$H$3:$H$957),0)</f>
        <v>0</v>
      </c>
      <c r="G447" s="123" t="str">
        <f>VLOOKUP(D447,'MPG Payment '!$E$3:$G$334579,3,0)</f>
        <v>MPG</v>
      </c>
      <c r="H447" s="124" t="str">
        <f>VLOOKUP(D447,'MPG Payment '!$E$3:$H$334579,4,0)</f>
        <v>Direct</v>
      </c>
      <c r="I447" s="88">
        <f>INDEX('MPG Payment '!$C:$C,MATCH('Shayak Income '!D447,'MPG Payment '!E:E,0))</f>
        <v>1014</v>
      </c>
      <c r="J447" s="88" t="str">
        <f>INDEX('MPG Payment '!$D:$D,MATCH('Shayak Income '!D447,'MPG Payment '!E:E,0))</f>
        <v>Dumraon</v>
      </c>
      <c r="K447" s="125" t="s">
        <v>1322</v>
      </c>
      <c r="L447" s="125">
        <v>44664</v>
      </c>
      <c r="M447" s="126">
        <f>SUMIF('MPG Payment '!$E$3:$E$34579,'Shayak Income '!D447,'MPG Payment '!$I$3:$I$34579)</f>
        <v>4070.5</v>
      </c>
      <c r="N447" s="126">
        <f>SUMIF('MPG Payment '!$E$3:$E$34579,'Shayak Income '!D447,'MPG Payment '!$J$3:$J$34579)</f>
        <v>160320.45089620998</v>
      </c>
      <c r="O447" s="126">
        <f t="shared" si="121"/>
        <v>3052.875</v>
      </c>
      <c r="P447" s="126">
        <f t="shared" si="122"/>
        <v>3866.9749999999999</v>
      </c>
      <c r="Q447" s="126">
        <f>SUMIF('MPG Payment '!$E$3:$E$34579,'Shayak Income '!D447,'MPG Payment '!$S$3:$S$34579)</f>
        <v>5043.5384532630005</v>
      </c>
      <c r="R447" s="126">
        <f t="shared" si="112"/>
        <v>4809.613526886299</v>
      </c>
      <c r="S447" s="126">
        <f t="shared" si="113"/>
        <v>942.63852688629913</v>
      </c>
      <c r="T447" s="126">
        <f t="shared" si="123"/>
        <v>407.05</v>
      </c>
      <c r="U447" s="127">
        <f>(((IF(K447="New",0,SUMIF('MPG Payment '!$E$3:$E$34579,'Shayak Income '!D447,'MPG Payment '!$AC$3:$AC$34579))))+0)+0</f>
        <v>0</v>
      </c>
      <c r="V447" s="127">
        <f t="shared" si="124"/>
        <v>11556</v>
      </c>
      <c r="W447" s="19">
        <f t="shared" si="128"/>
        <v>0</v>
      </c>
      <c r="X447" s="19">
        <f t="shared" si="114"/>
        <v>0</v>
      </c>
      <c r="Y447" s="128">
        <f>IFERROR(VLOOKUP(D447,'Monthly Deduction'!$M$2:$N$64,2,0),0)</f>
        <v>0</v>
      </c>
      <c r="Z447" s="128">
        <v>0</v>
      </c>
      <c r="AA447" s="126">
        <f>IFERROR(VLOOKUP(D447,'Monthly Deduction'!A:B,2,0),0)</f>
        <v>806.83999999999992</v>
      </c>
      <c r="AB447" s="129">
        <f t="shared" si="115"/>
        <v>10749</v>
      </c>
      <c r="AC447" s="130">
        <v>0</v>
      </c>
      <c r="AD447" s="35">
        <f t="shared" si="125"/>
        <v>10749</v>
      </c>
      <c r="AE447" s="166" t="str">
        <f t="shared" si="126"/>
        <v>Release</v>
      </c>
      <c r="AF447" s="127"/>
      <c r="AG447" s="18">
        <v>0</v>
      </c>
      <c r="AH447" s="120"/>
      <c r="AI447" s="238">
        <v>0</v>
      </c>
      <c r="AJ447" s="132"/>
      <c r="AK447" s="151">
        <v>1123.4000000000001</v>
      </c>
      <c r="AL447" s="154">
        <f t="shared" si="116"/>
        <v>0</v>
      </c>
      <c r="AM447" s="155"/>
      <c r="AN447" s="19">
        <f t="shared" si="117"/>
        <v>0</v>
      </c>
      <c r="AO447" s="118">
        <f>SUMIF('MPG Payment '!E:E,'Shayak Income '!D447,'MPG Payment '!AJ:AJ)</f>
        <v>0</v>
      </c>
      <c r="AP447" s="19">
        <f t="shared" si="118"/>
        <v>0</v>
      </c>
      <c r="AQ447" s="119">
        <f t="shared" si="127"/>
        <v>0</v>
      </c>
      <c r="AR447" s="91" t="s">
        <v>1168</v>
      </c>
      <c r="AS447" s="91">
        <f t="shared" si="119"/>
        <v>0</v>
      </c>
      <c r="AT447" s="118"/>
      <c r="AU447" s="118"/>
      <c r="AV447" s="118"/>
    </row>
    <row r="448" spans="1:48" s="20" customFormat="1" x14ac:dyDescent="0.25">
      <c r="A448" s="17">
        <f>IFERROR(VLOOKUP(D448,'Monthly Deduction'!$I$3:$J$957,2,0),0)</f>
        <v>0</v>
      </c>
      <c r="B448" s="17">
        <f>IFERROR(VLOOKUP(D448,'Monthly Deduction'!$E$3:$F$957,2,0),0)</f>
        <v>0</v>
      </c>
      <c r="C448" s="17">
        <f t="shared" si="120"/>
        <v>0</v>
      </c>
      <c r="D448" s="41">
        <v>10140007</v>
      </c>
      <c r="E448" s="122" t="str">
        <f>VLOOKUP(D448,'MPG Payment '!$E$3:$G$498218,2,0)</f>
        <v>ENGLISH DUBAULI</v>
      </c>
      <c r="F448" s="146">
        <f>IFERROR(_xlfn.XLOOKUP(D448,'Monthly Deduction'!$I$3:$I$957,'Monthly Deduction'!$H$3:$H$957),0)</f>
        <v>0</v>
      </c>
      <c r="G448" s="123" t="str">
        <f>VLOOKUP(D448,'MPG Payment '!$E$3:$G$334579,3,0)</f>
        <v>MPG</v>
      </c>
      <c r="H448" s="124" t="str">
        <f>VLOOKUP(D448,'MPG Payment '!$E$3:$H$334579,4,0)</f>
        <v>Direct</v>
      </c>
      <c r="I448" s="88">
        <f>INDEX('MPG Payment '!$C:$C,MATCH('Shayak Income '!D448,'MPG Payment '!E:E,0))</f>
        <v>1014</v>
      </c>
      <c r="J448" s="88" t="str">
        <f>INDEX('MPG Payment '!$D:$D,MATCH('Shayak Income '!D448,'MPG Payment '!E:E,0))</f>
        <v>Dumraon</v>
      </c>
      <c r="K448" s="125" t="s">
        <v>1322</v>
      </c>
      <c r="L448" s="125">
        <v>44664</v>
      </c>
      <c r="M448" s="126">
        <f>SUMIF('MPG Payment '!$E$3:$E$34579,'Shayak Income '!D448,'MPG Payment '!$I$3:$I$34579)</f>
        <v>2909.2000000000003</v>
      </c>
      <c r="N448" s="126">
        <f>SUMIF('MPG Payment '!$E$3:$E$34579,'Shayak Income '!D448,'MPG Payment '!$J$3:$J$34579)</f>
        <v>102122.47060282002</v>
      </c>
      <c r="O448" s="126">
        <f t="shared" si="121"/>
        <v>2181.9</v>
      </c>
      <c r="P448" s="126">
        <f t="shared" si="122"/>
        <v>2763.7400000000002</v>
      </c>
      <c r="Q448" s="126">
        <f>SUMIF('MPG Payment '!$E$3:$E$34579,'Shayak Income '!D448,'MPG Payment '!$S$3:$S$34579)</f>
        <v>5657.2578423274799</v>
      </c>
      <c r="R448" s="126">
        <f t="shared" si="112"/>
        <v>3063.6741180846002</v>
      </c>
      <c r="S448" s="126">
        <f t="shared" si="113"/>
        <v>299.93411808459996</v>
      </c>
      <c r="T448" s="126">
        <f t="shared" si="123"/>
        <v>290.92</v>
      </c>
      <c r="U448" s="127">
        <f>(((IF(K448="New",0,SUMIF('MPG Payment '!$E$3:$E$34579,'Shayak Income '!D448,'MPG Payment '!$AC$3:$AC$34579))))+0)+0</f>
        <v>26.899326568879459</v>
      </c>
      <c r="V448" s="127">
        <f t="shared" si="124"/>
        <v>10285</v>
      </c>
      <c r="W448" s="19">
        <f t="shared" si="128"/>
        <v>0</v>
      </c>
      <c r="X448" s="19">
        <f t="shared" si="114"/>
        <v>0</v>
      </c>
      <c r="Y448" s="128">
        <f>IFERROR(VLOOKUP(D448,'Monthly Deduction'!$M$2:$N$64,2,0),0)</f>
        <v>0</v>
      </c>
      <c r="Z448" s="128">
        <v>0</v>
      </c>
      <c r="AA448" s="126">
        <f>IFERROR(VLOOKUP(D448,'Monthly Deduction'!A:B,2,0),0)</f>
        <v>165.82000000000002</v>
      </c>
      <c r="AB448" s="129">
        <f t="shared" si="115"/>
        <v>10119</v>
      </c>
      <c r="AC448" s="130">
        <v>0</v>
      </c>
      <c r="AD448" s="35">
        <f t="shared" si="125"/>
        <v>10119</v>
      </c>
      <c r="AE448" s="166" t="str">
        <f t="shared" si="126"/>
        <v>Release</v>
      </c>
      <c r="AF448" s="127"/>
      <c r="AG448" s="18">
        <v>0</v>
      </c>
      <c r="AH448" s="120"/>
      <c r="AI448" s="238">
        <v>0</v>
      </c>
      <c r="AJ448" s="132"/>
      <c r="AK448" s="151">
        <v>828.40000000000009</v>
      </c>
      <c r="AL448" s="154">
        <f t="shared" si="116"/>
        <v>0</v>
      </c>
      <c r="AM448" s="155"/>
      <c r="AN448" s="19">
        <f t="shared" si="117"/>
        <v>0</v>
      </c>
      <c r="AO448" s="118">
        <f>SUMIF('MPG Payment '!E:E,'Shayak Income '!D448,'MPG Payment '!AJ:AJ)</f>
        <v>0</v>
      </c>
      <c r="AP448" s="19">
        <f t="shared" si="118"/>
        <v>0</v>
      </c>
      <c r="AQ448" s="119">
        <f t="shared" si="127"/>
        <v>0</v>
      </c>
      <c r="AR448" s="91" t="s">
        <v>1168</v>
      </c>
      <c r="AS448" s="91">
        <f t="shared" si="119"/>
        <v>0</v>
      </c>
      <c r="AT448" s="118"/>
      <c r="AU448" s="118"/>
      <c r="AV448" s="118"/>
    </row>
    <row r="449" spans="1:48" s="20" customFormat="1" x14ac:dyDescent="0.25">
      <c r="A449" s="17">
        <f>IFERROR(VLOOKUP(D449,'Monthly Deduction'!$I$3:$J$957,2,0),0)</f>
        <v>0</v>
      </c>
      <c r="B449" s="17">
        <f>IFERROR(VLOOKUP(D449,'Monthly Deduction'!$E$3:$F$957,2,0),0)</f>
        <v>0</v>
      </c>
      <c r="C449" s="17">
        <f t="shared" si="120"/>
        <v>0</v>
      </c>
      <c r="D449" s="41">
        <v>10140008</v>
      </c>
      <c r="E449" s="122" t="str">
        <f>VLOOKUP(D449,'MPG Payment '!$E$3:$G$498218,2,0)</f>
        <v>Ramo Bariya</v>
      </c>
      <c r="F449" s="146">
        <f>IFERROR(_xlfn.XLOOKUP(D449,'Monthly Deduction'!$I$3:$I$957,'Monthly Deduction'!$H$3:$H$957),0)</f>
        <v>0</v>
      </c>
      <c r="G449" s="123" t="str">
        <f>VLOOKUP(D449,'MPG Payment '!$E$3:$G$334579,3,0)</f>
        <v>MPG</v>
      </c>
      <c r="H449" s="124" t="str">
        <f>VLOOKUP(D449,'MPG Payment '!$E$3:$H$334579,4,0)</f>
        <v>Direct</v>
      </c>
      <c r="I449" s="88">
        <f>INDEX('MPG Payment '!$C:$C,MATCH('Shayak Income '!D449,'MPG Payment '!E:E,0))</f>
        <v>1014</v>
      </c>
      <c r="J449" s="88" t="str">
        <f>INDEX('MPG Payment '!$D:$D,MATCH('Shayak Income '!D449,'MPG Payment '!E:E,0))</f>
        <v>Dumraon</v>
      </c>
      <c r="K449" s="125" t="s">
        <v>1322</v>
      </c>
      <c r="L449" s="125">
        <v>44665</v>
      </c>
      <c r="M449" s="126">
        <f>SUMIF('MPG Payment '!$E$3:$E$34579,'Shayak Income '!D449,'MPG Payment '!$I$3:$I$34579)</f>
        <v>3671.7000000000003</v>
      </c>
      <c r="N449" s="126">
        <f>SUMIF('MPG Payment '!$E$3:$E$34579,'Shayak Income '!D449,'MPG Payment '!$J$3:$J$34579)</f>
        <v>135687.86442781999</v>
      </c>
      <c r="O449" s="126">
        <f t="shared" si="121"/>
        <v>2753.7750000000001</v>
      </c>
      <c r="P449" s="126">
        <f t="shared" si="122"/>
        <v>3488.1150000000002</v>
      </c>
      <c r="Q449" s="126">
        <f>SUMIF('MPG Payment '!$E$3:$E$34579,'Shayak Income '!D449,'MPG Payment '!$S$3:$S$34579)</f>
        <v>1906.0905095263802</v>
      </c>
      <c r="R449" s="126">
        <f t="shared" si="112"/>
        <v>4070.6359328345998</v>
      </c>
      <c r="S449" s="126">
        <f t="shared" si="113"/>
        <v>582.52093283459953</v>
      </c>
      <c r="T449" s="126">
        <f t="shared" si="123"/>
        <v>367.17000000000007</v>
      </c>
      <c r="U449" s="127">
        <f>(((IF(K449="New",0,SUMIF('MPG Payment '!$E$3:$E$34579,'Shayak Income '!D449,'MPG Payment '!$AC$3:$AC$34579))))+0)+0</f>
        <v>0</v>
      </c>
      <c r="V449" s="127">
        <f t="shared" si="124"/>
        <v>7781</v>
      </c>
      <c r="W449" s="19">
        <f t="shared" si="128"/>
        <v>0</v>
      </c>
      <c r="X449" s="19">
        <f t="shared" si="114"/>
        <v>0</v>
      </c>
      <c r="Y449" s="128">
        <f>IFERROR(VLOOKUP(D449,'Monthly Deduction'!$M$2:$N$64,2,0),0)</f>
        <v>0</v>
      </c>
      <c r="Z449" s="128">
        <v>0</v>
      </c>
      <c r="AA449" s="126">
        <f>IFERROR(VLOOKUP(D449,'Monthly Deduction'!A:B,2,0),0)</f>
        <v>753.06</v>
      </c>
      <c r="AB449" s="129">
        <f t="shared" si="115"/>
        <v>7028</v>
      </c>
      <c r="AC449" s="130">
        <v>0</v>
      </c>
      <c r="AD449" s="35">
        <f t="shared" si="125"/>
        <v>7028</v>
      </c>
      <c r="AE449" s="166" t="str">
        <f t="shared" si="126"/>
        <v>Release</v>
      </c>
      <c r="AF449" s="127"/>
      <c r="AG449" s="18">
        <v>0</v>
      </c>
      <c r="AH449" s="132"/>
      <c r="AI449" s="238">
        <v>0</v>
      </c>
      <c r="AJ449" s="132"/>
      <c r="AK449" s="151">
        <v>987.6</v>
      </c>
      <c r="AL449" s="154">
        <f t="shared" si="116"/>
        <v>0</v>
      </c>
      <c r="AM449" s="155"/>
      <c r="AN449" s="19">
        <f t="shared" si="117"/>
        <v>0</v>
      </c>
      <c r="AO449" s="118">
        <f>SUMIF('MPG Payment '!E:E,'Shayak Income '!D449,'MPG Payment '!AJ:AJ)</f>
        <v>0</v>
      </c>
      <c r="AP449" s="19">
        <f t="shared" si="118"/>
        <v>0</v>
      </c>
      <c r="AQ449" s="119">
        <f t="shared" si="127"/>
        <v>0</v>
      </c>
      <c r="AR449" s="91" t="s">
        <v>1168</v>
      </c>
      <c r="AS449" s="91">
        <f t="shared" si="119"/>
        <v>0</v>
      </c>
      <c r="AT449" s="118"/>
      <c r="AU449" s="118"/>
      <c r="AV449" s="118"/>
    </row>
    <row r="450" spans="1:48" s="20" customFormat="1" x14ac:dyDescent="0.25">
      <c r="A450" s="17">
        <f>IFERROR(VLOOKUP(D450,'Monthly Deduction'!$I$3:$J$957,2,0),0)</f>
        <v>0</v>
      </c>
      <c r="B450" s="17">
        <f>IFERROR(VLOOKUP(D450,'Monthly Deduction'!$E$3:$F$957,2,0),0)</f>
        <v>0</v>
      </c>
      <c r="C450" s="17">
        <f t="shared" si="120"/>
        <v>0</v>
      </c>
      <c r="D450" s="41">
        <v>10140009</v>
      </c>
      <c r="E450" s="122" t="str">
        <f>VLOOKUP(D450,'MPG Payment '!$E$3:$G$498218,2,0)</f>
        <v>HITAN PARARI</v>
      </c>
      <c r="F450" s="146">
        <f>IFERROR(_xlfn.XLOOKUP(D450,'Monthly Deduction'!$I$3:$I$957,'Monthly Deduction'!$H$3:$H$957),0)</f>
        <v>0</v>
      </c>
      <c r="G450" s="123" t="str">
        <f>VLOOKUP(D450,'MPG Payment '!$E$3:$G$334579,3,0)</f>
        <v>MPG</v>
      </c>
      <c r="H450" s="124" t="str">
        <f>VLOOKUP(D450,'MPG Payment '!$E$3:$H$334579,4,0)</f>
        <v>Direct</v>
      </c>
      <c r="I450" s="88">
        <f>INDEX('MPG Payment '!$C:$C,MATCH('Shayak Income '!D450,'MPG Payment '!E:E,0))</f>
        <v>1014</v>
      </c>
      <c r="J450" s="88" t="str">
        <f>INDEX('MPG Payment '!$D:$D,MATCH('Shayak Income '!D450,'MPG Payment '!E:E,0))</f>
        <v>Dumraon</v>
      </c>
      <c r="K450" s="125" t="s">
        <v>1322</v>
      </c>
      <c r="L450" s="125">
        <v>44669</v>
      </c>
      <c r="M450" s="126">
        <f>SUMIF('MPG Payment '!$E$3:$E$34579,'Shayak Income '!D450,'MPG Payment '!$I$3:$I$34579)</f>
        <v>3606.2999999999993</v>
      </c>
      <c r="N450" s="126">
        <f>SUMIF('MPG Payment '!$E$3:$E$34579,'Shayak Income '!D450,'MPG Payment '!$J$3:$J$34579)</f>
        <v>142353.47917154999</v>
      </c>
      <c r="O450" s="126">
        <f t="shared" si="121"/>
        <v>2704.7249999999995</v>
      </c>
      <c r="P450" s="126">
        <f t="shared" si="122"/>
        <v>3425.9849999999992</v>
      </c>
      <c r="Q450" s="126">
        <f>SUMIF('MPG Payment '!$E$3:$E$34579,'Shayak Income '!D450,'MPG Payment '!$S$3:$S$34579)</f>
        <v>0</v>
      </c>
      <c r="R450" s="126">
        <f t="shared" si="112"/>
        <v>4270.6043751464995</v>
      </c>
      <c r="S450" s="126">
        <f t="shared" si="113"/>
        <v>844.61937514650026</v>
      </c>
      <c r="T450" s="126">
        <f t="shared" si="123"/>
        <v>360.62999999999994</v>
      </c>
      <c r="U450" s="127">
        <f>(((IF(K450="New",0,SUMIF('MPG Payment '!$E$3:$E$34579,'Shayak Income '!D450,'MPG Payment '!$AC$3:$AC$34579))))+0)+0</f>
        <v>122.61185464746592</v>
      </c>
      <c r="V450" s="127">
        <f t="shared" si="124"/>
        <v>5647</v>
      </c>
      <c r="W450" s="19">
        <f t="shared" si="128"/>
        <v>0</v>
      </c>
      <c r="X450" s="19">
        <f t="shared" si="114"/>
        <v>0</v>
      </c>
      <c r="Y450" s="128">
        <f>IFERROR(VLOOKUP(D450,'Monthly Deduction'!$M$2:$N$64,2,0),0)</f>
        <v>0</v>
      </c>
      <c r="Z450" s="128">
        <v>0</v>
      </c>
      <c r="AA450" s="126">
        <f>IFERROR(VLOOKUP(D450,'Monthly Deduction'!A:B,2,0),0)</f>
        <v>1552.4599999999998</v>
      </c>
      <c r="AB450" s="129">
        <f t="shared" si="115"/>
        <v>4095</v>
      </c>
      <c r="AC450" s="130">
        <v>0</v>
      </c>
      <c r="AD450" s="35">
        <f t="shared" si="125"/>
        <v>4095</v>
      </c>
      <c r="AE450" s="166" t="str">
        <f t="shared" si="126"/>
        <v>Release</v>
      </c>
      <c r="AF450" s="127"/>
      <c r="AG450" s="18">
        <v>0</v>
      </c>
      <c r="AH450" s="132"/>
      <c r="AI450" s="238">
        <v>0</v>
      </c>
      <c r="AJ450" s="132"/>
      <c r="AK450" s="151">
        <v>1183.4999999999998</v>
      </c>
      <c r="AL450" s="154">
        <f t="shared" si="116"/>
        <v>0</v>
      </c>
      <c r="AM450" s="155"/>
      <c r="AN450" s="19">
        <f t="shared" si="117"/>
        <v>0</v>
      </c>
      <c r="AO450" s="118">
        <f>SUMIF('MPG Payment '!E:E,'Shayak Income '!D450,'MPG Payment '!AJ:AJ)</f>
        <v>0</v>
      </c>
      <c r="AP450" s="19">
        <f t="shared" si="118"/>
        <v>0</v>
      </c>
      <c r="AQ450" s="119">
        <f t="shared" si="127"/>
        <v>0</v>
      </c>
      <c r="AR450" s="91"/>
      <c r="AS450" s="91">
        <f t="shared" si="119"/>
        <v>0</v>
      </c>
      <c r="AT450" s="118"/>
      <c r="AU450" s="118"/>
      <c r="AV450" s="118"/>
    </row>
    <row r="451" spans="1:48" s="20" customFormat="1" x14ac:dyDescent="0.25">
      <c r="A451" s="17">
        <f>IFERROR(VLOOKUP(D451,'Monthly Deduction'!$I$3:$J$957,2,0),0)</f>
        <v>0</v>
      </c>
      <c r="B451" s="17">
        <f>IFERROR(VLOOKUP(D451,'Monthly Deduction'!$E$3:$F$957,2,0),0)</f>
        <v>0</v>
      </c>
      <c r="C451" s="17">
        <f t="shared" si="120"/>
        <v>0</v>
      </c>
      <c r="D451" s="41">
        <v>10140012</v>
      </c>
      <c r="E451" s="122" t="str">
        <f>VLOOKUP(D451,'MPG Payment '!$E$3:$G$498218,2,0)</f>
        <v>Gangauli</v>
      </c>
      <c r="F451" s="146">
        <f>IFERROR(_xlfn.XLOOKUP(D451,'Monthly Deduction'!$I$3:$I$957,'Monthly Deduction'!$H$3:$H$957),0)</f>
        <v>0</v>
      </c>
      <c r="G451" s="123" t="str">
        <f>VLOOKUP(D451,'MPG Payment '!$E$3:$G$334579,3,0)</f>
        <v>MPG</v>
      </c>
      <c r="H451" s="124" t="str">
        <f>VLOOKUP(D451,'MPG Payment '!$E$3:$H$334579,4,0)</f>
        <v>Direct</v>
      </c>
      <c r="I451" s="88">
        <f>INDEX('MPG Payment '!$C:$C,MATCH('Shayak Income '!D451,'MPG Payment '!E:E,0))</f>
        <v>1014</v>
      </c>
      <c r="J451" s="88" t="str">
        <f>INDEX('MPG Payment '!$D:$D,MATCH('Shayak Income '!D451,'MPG Payment '!E:E,0))</f>
        <v>Dumraon</v>
      </c>
      <c r="K451" s="125" t="s">
        <v>1322</v>
      </c>
      <c r="L451" s="125">
        <v>44703</v>
      </c>
      <c r="M451" s="126">
        <f>SUMIF('MPG Payment '!$E$3:$E$34579,'Shayak Income '!D451,'MPG Payment '!$I$3:$I$34579)</f>
        <v>3233.2000000000003</v>
      </c>
      <c r="N451" s="126">
        <f>SUMIF('MPG Payment '!$E$3:$E$34579,'Shayak Income '!D451,'MPG Payment '!$J$3:$J$34579)</f>
        <v>132558.7504175604</v>
      </c>
      <c r="O451" s="126">
        <f t="shared" si="121"/>
        <v>2424.9</v>
      </c>
      <c r="P451" s="126">
        <f t="shared" si="122"/>
        <v>3071.54</v>
      </c>
      <c r="Q451" s="126">
        <f>SUMIF('MPG Payment '!$E$3:$E$34579,'Shayak Income '!D451,'MPG Payment '!$S$3:$S$34579)</f>
        <v>338.01901199700001</v>
      </c>
      <c r="R451" s="126">
        <f t="shared" si="112"/>
        <v>3976.7625125268119</v>
      </c>
      <c r="S451" s="126">
        <f t="shared" si="113"/>
        <v>905.2225125268119</v>
      </c>
      <c r="T451" s="126">
        <f t="shared" si="123"/>
        <v>323.32000000000005</v>
      </c>
      <c r="U451" s="127">
        <f>(((IF(K451="New",0,SUMIF('MPG Payment '!$E$3:$E$34579,'Shayak Income '!D451,'MPG Payment '!$AC$3:$AC$34579))))+0)+0</f>
        <v>235.10634603450768</v>
      </c>
      <c r="V451" s="127">
        <f t="shared" si="124"/>
        <v>5276</v>
      </c>
      <c r="W451" s="19">
        <f t="shared" si="128"/>
        <v>0</v>
      </c>
      <c r="X451" s="19">
        <f t="shared" si="114"/>
        <v>0</v>
      </c>
      <c r="Y451" s="128">
        <f>IFERROR(VLOOKUP(D451,'Monthly Deduction'!$M$2:$N$64,2,0),0)</f>
        <v>0</v>
      </c>
      <c r="Z451" s="128">
        <v>0</v>
      </c>
      <c r="AA451" s="126">
        <f>IFERROR(VLOOKUP(D451,'Monthly Deduction'!A:B,2,0),0)</f>
        <v>513.22</v>
      </c>
      <c r="AB451" s="129">
        <f t="shared" si="115"/>
        <v>4763</v>
      </c>
      <c r="AC451" s="130">
        <v>0</v>
      </c>
      <c r="AD451" s="35">
        <f t="shared" si="125"/>
        <v>4763</v>
      </c>
      <c r="AE451" s="166" t="str">
        <f t="shared" si="126"/>
        <v>Release</v>
      </c>
      <c r="AF451" s="127"/>
      <c r="AG451" s="18">
        <v>0</v>
      </c>
      <c r="AH451" s="132"/>
      <c r="AI451" s="238">
        <v>0</v>
      </c>
      <c r="AJ451" s="132"/>
      <c r="AK451" s="151">
        <v>1066.9000000000001</v>
      </c>
      <c r="AL451" s="154">
        <f t="shared" si="116"/>
        <v>0</v>
      </c>
      <c r="AM451" s="155"/>
      <c r="AN451" s="19">
        <f t="shared" si="117"/>
        <v>0</v>
      </c>
      <c r="AO451" s="118">
        <f>SUMIF('MPG Payment '!E:E,'Shayak Income '!D451,'MPG Payment '!AJ:AJ)</f>
        <v>0</v>
      </c>
      <c r="AP451" s="19">
        <f t="shared" si="118"/>
        <v>0</v>
      </c>
      <c r="AQ451" s="119">
        <f t="shared" si="127"/>
        <v>0</v>
      </c>
      <c r="AR451" s="91"/>
      <c r="AS451" s="91">
        <f t="shared" si="119"/>
        <v>0</v>
      </c>
      <c r="AT451" s="118"/>
      <c r="AU451" s="118"/>
      <c r="AV451" s="118"/>
    </row>
    <row r="452" spans="1:48" s="20" customFormat="1" x14ac:dyDescent="0.25">
      <c r="A452" s="17">
        <f>IFERROR(VLOOKUP(D452,'Monthly Deduction'!$I$3:$J$957,2,0),0)</f>
        <v>0</v>
      </c>
      <c r="B452" s="17">
        <f>IFERROR(VLOOKUP(D452,'Monthly Deduction'!$E$3:$F$957,2,0),0)</f>
        <v>0</v>
      </c>
      <c r="C452" s="17">
        <f t="shared" si="120"/>
        <v>0</v>
      </c>
      <c r="D452" s="41">
        <v>10140013</v>
      </c>
      <c r="E452" s="122" t="str">
        <f>VLOOKUP(D452,'MPG Payment '!$E$3:$G$498218,2,0)</f>
        <v>MATHURA DERA</v>
      </c>
      <c r="F452" s="146">
        <f>IFERROR(_xlfn.XLOOKUP(D452,'Monthly Deduction'!$I$3:$I$957,'Monthly Deduction'!$H$3:$H$957),0)</f>
        <v>0</v>
      </c>
      <c r="G452" s="123" t="str">
        <f>VLOOKUP(D452,'MPG Payment '!$E$3:$G$334579,3,0)</f>
        <v>MPG</v>
      </c>
      <c r="H452" s="124" t="str">
        <f>VLOOKUP(D452,'MPG Payment '!$E$3:$H$334579,4,0)</f>
        <v>Direct</v>
      </c>
      <c r="I452" s="88">
        <f>INDEX('MPG Payment '!$C:$C,MATCH('Shayak Income '!D452,'MPG Payment '!E:E,0))</f>
        <v>1014</v>
      </c>
      <c r="J452" s="88" t="str">
        <f>INDEX('MPG Payment '!$D:$D,MATCH('Shayak Income '!D452,'MPG Payment '!E:E,0))</f>
        <v>Dumraon</v>
      </c>
      <c r="K452" s="125" t="s">
        <v>1322</v>
      </c>
      <c r="L452" s="125">
        <v>44703</v>
      </c>
      <c r="M452" s="126">
        <f>SUMIF('MPG Payment '!$E$3:$E$34579,'Shayak Income '!D452,'MPG Payment '!$I$3:$I$34579)</f>
        <v>4858.3999999999996</v>
      </c>
      <c r="N452" s="126">
        <f>SUMIF('MPG Payment '!$E$3:$E$34579,'Shayak Income '!D452,'MPG Payment '!$J$3:$J$34579)</f>
        <v>181148.14950069005</v>
      </c>
      <c r="O452" s="126">
        <f t="shared" si="121"/>
        <v>3643.7999999999997</v>
      </c>
      <c r="P452" s="126">
        <f t="shared" si="122"/>
        <v>4615.4799999999996</v>
      </c>
      <c r="Q452" s="126">
        <f>SUMIF('MPG Payment '!$E$3:$E$34579,'Shayak Income '!D452,'MPG Payment '!$S$3:$S$34579)</f>
        <v>451.09850100000006</v>
      </c>
      <c r="R452" s="126">
        <f t="shared" ref="R452:R515" si="131">+N452*3%</f>
        <v>5434.444485020701</v>
      </c>
      <c r="S452" s="126">
        <f t="shared" ref="S452:S515" si="132">R452-P452</f>
        <v>818.96448502070143</v>
      </c>
      <c r="T452" s="126">
        <f t="shared" si="123"/>
        <v>485.84</v>
      </c>
      <c r="U452" s="127">
        <f>(((IF(K452="New",0,SUMIF('MPG Payment '!$E$3:$E$34579,'Shayak Income '!D452,'MPG Payment '!$AC$3:$AC$34579))))+0)+0</f>
        <v>628.57100954502766</v>
      </c>
      <c r="V452" s="127">
        <f t="shared" si="124"/>
        <v>7596</v>
      </c>
      <c r="W452" s="19">
        <f t="shared" si="128"/>
        <v>0</v>
      </c>
      <c r="X452" s="19">
        <f t="shared" ref="X452:X515" si="133">((MIN(IF(B452&gt;0,MAX(N452*2%),0),B452)))+0</f>
        <v>0</v>
      </c>
      <c r="Y452" s="128">
        <f>IFERROR(VLOOKUP(D452,'Monthly Deduction'!$M$2:$N$64,2,0),0)</f>
        <v>0</v>
      </c>
      <c r="Z452" s="128">
        <v>0</v>
      </c>
      <c r="AA452" s="126">
        <f>IFERROR(VLOOKUP(D452,'Monthly Deduction'!A:B,2,0),0)</f>
        <v>664.14</v>
      </c>
      <c r="AB452" s="129">
        <f t="shared" ref="AB452:AB515" si="134">ROUND(IFERROR(V452-SUM(W452:AA452),0),0)</f>
        <v>6932</v>
      </c>
      <c r="AC452" s="130">
        <v>0</v>
      </c>
      <c r="AD452" s="35">
        <f t="shared" si="125"/>
        <v>6932</v>
      </c>
      <c r="AE452" s="166" t="str">
        <f t="shared" si="126"/>
        <v>Release</v>
      </c>
      <c r="AF452" s="127"/>
      <c r="AG452" s="18">
        <v>0</v>
      </c>
      <c r="AH452" s="120"/>
      <c r="AI452" s="238">
        <v>0</v>
      </c>
      <c r="AJ452" s="132"/>
      <c r="AK452" s="151">
        <v>3333.3</v>
      </c>
      <c r="AL452" s="154">
        <f t="shared" ref="AL452:AL515" si="135">COUNTIF(AK452:AK452,"=NA")</f>
        <v>0</v>
      </c>
      <c r="AM452" s="155"/>
      <c r="AN452" s="19">
        <f t="shared" ref="AN452:AN515" si="136">((MIN(IF(A452&gt;0,MAX(N452*2%,1861),0),A452)))+0</f>
        <v>0</v>
      </c>
      <c r="AO452" s="118">
        <f>SUMIF('MPG Payment '!E:E,'Shayak Income '!D452,'MPG Payment '!AJ:AJ)</f>
        <v>0</v>
      </c>
      <c r="AP452" s="19">
        <f t="shared" ref="AP452:AP515" si="137">W452</f>
        <v>0</v>
      </c>
      <c r="AQ452" s="119">
        <f t="shared" si="127"/>
        <v>0</v>
      </c>
      <c r="AR452" s="91" t="s">
        <v>1168</v>
      </c>
      <c r="AS452" s="91">
        <f t="shared" ref="AS452:AS515" si="138">B452-X452</f>
        <v>0</v>
      </c>
      <c r="AT452" s="118"/>
      <c r="AU452" s="118"/>
      <c r="AV452" s="118"/>
    </row>
    <row r="453" spans="1:48" s="20" customFormat="1" x14ac:dyDescent="0.25">
      <c r="A453" s="17">
        <f>IFERROR(VLOOKUP(D453,'Monthly Deduction'!$I$3:$J$957,2,0),0)</f>
        <v>0</v>
      </c>
      <c r="B453" s="17">
        <f>IFERROR(VLOOKUP(D453,'Monthly Deduction'!$E$3:$F$957,2,0),0)</f>
        <v>0</v>
      </c>
      <c r="C453" s="17">
        <f t="shared" ref="C453:C516" si="139">A453+B453</f>
        <v>0</v>
      </c>
      <c r="D453" s="41">
        <v>10140018</v>
      </c>
      <c r="E453" s="122" t="str">
        <f>VLOOKUP(D453,'MPG Payment '!$E$3:$G$498218,2,0)</f>
        <v>NANDAN</v>
      </c>
      <c r="F453" s="146">
        <f>IFERROR(_xlfn.XLOOKUP(D453,'Monthly Deduction'!$I$3:$I$957,'Monthly Deduction'!$H$3:$H$957),0)</f>
        <v>0</v>
      </c>
      <c r="G453" s="123" t="str">
        <f>VLOOKUP(D453,'MPG Payment '!$E$3:$G$334579,3,0)</f>
        <v>MPG</v>
      </c>
      <c r="H453" s="124" t="str">
        <f>VLOOKUP(D453,'MPG Payment '!$E$3:$H$334579,4,0)</f>
        <v>Direct</v>
      </c>
      <c r="I453" s="88">
        <f>INDEX('MPG Payment '!$C:$C,MATCH('Shayak Income '!D453,'MPG Payment '!E:E,0))</f>
        <v>1014</v>
      </c>
      <c r="J453" s="88" t="str">
        <f>INDEX('MPG Payment '!$D:$D,MATCH('Shayak Income '!D453,'MPG Payment '!E:E,0))</f>
        <v>Dumraon</v>
      </c>
      <c r="K453" s="125" t="s">
        <v>1322</v>
      </c>
      <c r="L453" s="125">
        <v>44753</v>
      </c>
      <c r="M453" s="126">
        <f>SUMIF('MPG Payment '!$E$3:$E$34579,'Shayak Income '!D453,'MPG Payment '!$I$3:$I$34579)</f>
        <v>2195.9999999999995</v>
      </c>
      <c r="N453" s="126">
        <f>SUMIF('MPG Payment '!$E$3:$E$34579,'Shayak Income '!D453,'MPG Payment '!$J$3:$J$34579)</f>
        <v>91658.413620821186</v>
      </c>
      <c r="O453" s="126">
        <f t="shared" ref="O453:O516" si="140">+M453*0.75</f>
        <v>1646.9999999999995</v>
      </c>
      <c r="P453" s="126">
        <f t="shared" ref="P453:P516" si="141">+M453*0.95</f>
        <v>2086.1999999999994</v>
      </c>
      <c r="Q453" s="126">
        <f>SUMIF('MPG Payment '!$E$3:$E$34579,'Shayak Income '!D453,'MPG Payment '!$S$3:$S$34579)</f>
        <v>0</v>
      </c>
      <c r="R453" s="126">
        <f t="shared" si="131"/>
        <v>2749.7524086246353</v>
      </c>
      <c r="S453" s="126">
        <f t="shared" si="132"/>
        <v>663.55240862463597</v>
      </c>
      <c r="T453" s="126">
        <f t="shared" ref="T453:T516" si="142">M453*0.1</f>
        <v>219.59999999999997</v>
      </c>
      <c r="U453" s="127">
        <f>(((IF(K453="New",0,SUMIF('MPG Payment '!$E$3:$E$34579,'Shayak Income '!D453,'MPG Payment '!$AC$3:$AC$34579))))+0)+0</f>
        <v>504.95952001639023</v>
      </c>
      <c r="V453" s="127">
        <f t="shared" ref="V453:V516" si="143">ROUND((SUM(O453:Q453)-SUM(T453:U453)),0)</f>
        <v>3009</v>
      </c>
      <c r="W453" s="19">
        <f t="shared" ref="W453:W516" si="144">(((AN453-AO453)))+0</f>
        <v>0</v>
      </c>
      <c r="X453" s="19">
        <f t="shared" si="133"/>
        <v>0</v>
      </c>
      <c r="Y453" s="128">
        <f>IFERROR(VLOOKUP(D453,'Monthly Deduction'!$M$2:$N$64,2,0),0)</f>
        <v>3000</v>
      </c>
      <c r="Z453" s="128">
        <v>0</v>
      </c>
      <c r="AA453" s="126">
        <v>9</v>
      </c>
      <c r="AB453" s="129">
        <f t="shared" si="134"/>
        <v>0</v>
      </c>
      <c r="AC453" s="130">
        <v>0</v>
      </c>
      <c r="AD453" s="35">
        <f t="shared" ref="AD453:AD516" si="145">ROUND(AB453-AC453,0)</f>
        <v>0</v>
      </c>
      <c r="AE453" s="166" t="str">
        <f t="shared" ref="AE453:AE516" si="146">IF(AC453&lt;&gt;0,"Yes","Release")</f>
        <v>Release</v>
      </c>
      <c r="AF453" s="127"/>
      <c r="AG453" s="18">
        <v>0</v>
      </c>
      <c r="AH453" s="132"/>
      <c r="AI453" s="238">
        <v>0</v>
      </c>
      <c r="AJ453" s="132"/>
      <c r="AK453" s="151">
        <v>475.00000000000006</v>
      </c>
      <c r="AL453" s="154">
        <f t="shared" si="135"/>
        <v>0</v>
      </c>
      <c r="AM453" s="155"/>
      <c r="AN453" s="19">
        <f t="shared" si="136"/>
        <v>0</v>
      </c>
      <c r="AO453" s="118">
        <f>SUMIF('MPG Payment '!E:E,'Shayak Income '!D453,'MPG Payment '!AJ:AJ)</f>
        <v>0</v>
      </c>
      <c r="AP453" s="19">
        <f t="shared" si="137"/>
        <v>0</v>
      </c>
      <c r="AQ453" s="119">
        <f t="shared" ref="AQ453:AQ516" si="147">AO453+AP453</f>
        <v>0</v>
      </c>
      <c r="AR453" s="91" t="s">
        <v>1168</v>
      </c>
      <c r="AS453" s="91">
        <f t="shared" si="138"/>
        <v>0</v>
      </c>
      <c r="AT453" s="118"/>
      <c r="AU453" s="118"/>
      <c r="AV453" s="118"/>
    </row>
    <row r="454" spans="1:48" s="20" customFormat="1" x14ac:dyDescent="0.25">
      <c r="A454" s="17">
        <f>IFERROR(VLOOKUP(D454,'Monthly Deduction'!$I$3:$J$957,2,0),0)</f>
        <v>10154.764494758943</v>
      </c>
      <c r="B454" s="17">
        <f>IFERROR(VLOOKUP(D454,'Monthly Deduction'!$E$3:$F$957,2,0),0)</f>
        <v>13022.026456633601</v>
      </c>
      <c r="C454" s="17">
        <f t="shared" si="139"/>
        <v>23176.790951392544</v>
      </c>
      <c r="D454" s="41">
        <v>10140022</v>
      </c>
      <c r="E454" s="122" t="str">
        <f>VLOOKUP(D454,'MPG Payment '!$E$3:$G$498218,2,0)</f>
        <v>HEMDAPUR</v>
      </c>
      <c r="F454" s="146">
        <f>IFERROR(_xlfn.XLOOKUP(D454,'Monthly Deduction'!$I$3:$I$957,'Monthly Deduction'!$H$3:$H$957),0)</f>
        <v>0</v>
      </c>
      <c r="G454" s="123" t="str">
        <f>VLOOKUP(D454,'MPG Payment '!$E$3:$G$334579,3,0)</f>
        <v>MPG</v>
      </c>
      <c r="H454" s="124" t="str">
        <f>VLOOKUP(D454,'MPG Payment '!$E$3:$H$334579,4,0)</f>
        <v>Direct</v>
      </c>
      <c r="I454" s="88">
        <f>INDEX('MPG Payment '!$C:$C,MATCH('Shayak Income '!D454,'MPG Payment '!E:E,0))</f>
        <v>1014</v>
      </c>
      <c r="J454" s="88" t="str">
        <f>INDEX('MPG Payment '!$D:$D,MATCH('Shayak Income '!D454,'MPG Payment '!E:E,0))</f>
        <v>Dumraon</v>
      </c>
      <c r="K454" s="125" t="s">
        <v>1322</v>
      </c>
      <c r="L454" s="125">
        <v>44774</v>
      </c>
      <c r="M454" s="126">
        <f>SUMIF('MPG Payment '!$E$3:$E$34579,'Shayak Income '!D454,'MPG Payment '!$I$3:$I$34579)</f>
        <v>1588.8000000000002</v>
      </c>
      <c r="N454" s="126">
        <f>SUMIF('MPG Payment '!$E$3:$E$34579,'Shayak Income '!D454,'MPG Payment '!$J$3:$J$34579)</f>
        <v>57475.670275383003</v>
      </c>
      <c r="O454" s="126">
        <f t="shared" si="140"/>
        <v>1191.6000000000001</v>
      </c>
      <c r="P454" s="126">
        <f t="shared" si="141"/>
        <v>1509.3600000000001</v>
      </c>
      <c r="Q454" s="126">
        <f>SUMIF('MPG Payment '!$E$3:$E$34579,'Shayak Income '!D454,'MPG Payment '!$S$3:$S$34579)</f>
        <v>0</v>
      </c>
      <c r="R454" s="126">
        <f t="shared" si="131"/>
        <v>1724.2701082614901</v>
      </c>
      <c r="S454" s="126">
        <f t="shared" si="132"/>
        <v>214.91010826149</v>
      </c>
      <c r="T454" s="126">
        <f t="shared" si="142"/>
        <v>158.88000000000002</v>
      </c>
      <c r="U454" s="127">
        <f>(((IF(K454="New",0,SUMIF('MPG Payment '!$E$3:$E$34579,'Shayak Income '!D454,'MPG Payment '!$AC$3:$AC$34579))))+0)+0</f>
        <v>868.1698295601833</v>
      </c>
      <c r="V454" s="127">
        <f t="shared" si="143"/>
        <v>1674</v>
      </c>
      <c r="W454" s="19">
        <v>1674</v>
      </c>
      <c r="X454" s="19">
        <v>0</v>
      </c>
      <c r="Y454" s="128">
        <v>0</v>
      </c>
      <c r="Z454" s="128">
        <v>0</v>
      </c>
      <c r="AA454" s="126">
        <v>0</v>
      </c>
      <c r="AB454" s="129">
        <f t="shared" si="134"/>
        <v>0</v>
      </c>
      <c r="AC454" s="130">
        <v>0</v>
      </c>
      <c r="AD454" s="35">
        <f t="shared" si="145"/>
        <v>0</v>
      </c>
      <c r="AE454" s="166" t="str">
        <f t="shared" si="146"/>
        <v>Release</v>
      </c>
      <c r="AF454" s="127"/>
      <c r="AG454" s="18">
        <v>0</v>
      </c>
      <c r="AH454" s="120"/>
      <c r="AI454" s="238">
        <v>0</v>
      </c>
      <c r="AJ454" s="132"/>
      <c r="AK454" s="151">
        <v>546.79999999999995</v>
      </c>
      <c r="AL454" s="154">
        <f t="shared" si="135"/>
        <v>0</v>
      </c>
      <c r="AM454" s="155"/>
      <c r="AN454" s="19">
        <f t="shared" si="136"/>
        <v>1861</v>
      </c>
      <c r="AO454" s="118">
        <f>SUMIF('MPG Payment '!E:E,'Shayak Income '!D454,'MPG Payment '!AJ:AJ)</f>
        <v>0</v>
      </c>
      <c r="AP454" s="19">
        <f t="shared" si="137"/>
        <v>1674</v>
      </c>
      <c r="AQ454" s="119">
        <f t="shared" si="147"/>
        <v>1674</v>
      </c>
      <c r="AR454" s="91" t="s">
        <v>1168</v>
      </c>
      <c r="AS454" s="91">
        <f t="shared" si="138"/>
        <v>13022.026456633601</v>
      </c>
      <c r="AT454" s="118"/>
      <c r="AU454" s="118"/>
      <c r="AV454" s="118"/>
    </row>
    <row r="455" spans="1:48" s="20" customFormat="1" x14ac:dyDescent="0.25">
      <c r="A455" s="17">
        <f>IFERROR(VLOOKUP(D455,'Monthly Deduction'!$I$3:$J$957,2,0),0)</f>
        <v>15930.021566305746</v>
      </c>
      <c r="B455" s="17">
        <f>IFERROR(VLOOKUP(D455,'Monthly Deduction'!$E$3:$F$957,2,0),0)</f>
        <v>22400</v>
      </c>
      <c r="C455" s="17">
        <f t="shared" si="139"/>
        <v>38330.021566305746</v>
      </c>
      <c r="D455" s="41">
        <v>10140032</v>
      </c>
      <c r="E455" s="122" t="str">
        <f>VLOOKUP(D455,'MPG Payment '!$E$3:$G$498218,2,0)</f>
        <v>Chaugain</v>
      </c>
      <c r="F455" s="146">
        <f>IFERROR(_xlfn.XLOOKUP(D455,'Monthly Deduction'!$I$3:$I$957,'Monthly Deduction'!$H$3:$H$957),0)</f>
        <v>0</v>
      </c>
      <c r="G455" s="123" t="str">
        <f>VLOOKUP(D455,'MPG Payment '!$E$3:$G$334579,3,0)</f>
        <v>MPG</v>
      </c>
      <c r="H455" s="124" t="str">
        <f>VLOOKUP(D455,'MPG Payment '!$E$3:$H$334579,4,0)</f>
        <v>Direct</v>
      </c>
      <c r="I455" s="88">
        <f>INDEX('MPG Payment '!$C:$C,MATCH('Shayak Income '!D455,'MPG Payment '!E:E,0))</f>
        <v>1014</v>
      </c>
      <c r="J455" s="88" t="str">
        <f>INDEX('MPG Payment '!$D:$D,MATCH('Shayak Income '!D455,'MPG Payment '!E:E,0))</f>
        <v>Dumraon</v>
      </c>
      <c r="K455" s="125" t="s">
        <v>1322</v>
      </c>
      <c r="L455" s="125">
        <v>44923</v>
      </c>
      <c r="M455" s="126">
        <f>SUMIF('MPG Payment '!$E$3:$E$34579,'Shayak Income '!D455,'MPG Payment '!$I$3:$I$34579)</f>
        <v>337.8</v>
      </c>
      <c r="N455" s="126">
        <f>SUMIF('MPG Payment '!$E$3:$E$34579,'Shayak Income '!D455,'MPG Payment '!$J$3:$J$34579)</f>
        <v>12061.567948845499</v>
      </c>
      <c r="O455" s="126">
        <f t="shared" si="140"/>
        <v>253.35000000000002</v>
      </c>
      <c r="P455" s="126">
        <f t="shared" si="141"/>
        <v>320.90999999999997</v>
      </c>
      <c r="Q455" s="126">
        <f>SUMIF('MPG Payment '!$E$3:$E$34579,'Shayak Income '!D455,'MPG Payment '!$S$3:$S$34579)</f>
        <v>0</v>
      </c>
      <c r="R455" s="126">
        <f t="shared" si="131"/>
        <v>361.84703846536496</v>
      </c>
      <c r="S455" s="126">
        <f t="shared" si="132"/>
        <v>40.937038465364992</v>
      </c>
      <c r="T455" s="126">
        <f t="shared" si="142"/>
        <v>33.78</v>
      </c>
      <c r="U455" s="127">
        <f>(((IF(K455="New",0,SUMIF('MPG Payment '!$E$3:$E$34579,'Shayak Income '!D455,'MPG Payment '!$AC$3:$AC$34579))))+0)+-1219</f>
        <v>540.77698909282958</v>
      </c>
      <c r="V455" s="127">
        <f t="shared" si="143"/>
        <v>0</v>
      </c>
      <c r="W455" s="19">
        <v>0</v>
      </c>
      <c r="X455" s="19">
        <v>0</v>
      </c>
      <c r="Y455" s="128">
        <f>IFERROR(VLOOKUP(D455,'Monthly Deduction'!$M$2:$N$64,2,0),0)</f>
        <v>0</v>
      </c>
      <c r="Z455" s="128">
        <v>0</v>
      </c>
      <c r="AA455" s="126">
        <f>IFERROR(VLOOKUP(D455,'Monthly Deduction'!A:B,2,0),0)</f>
        <v>0</v>
      </c>
      <c r="AB455" s="129">
        <f t="shared" si="134"/>
        <v>0</v>
      </c>
      <c r="AC455" s="130">
        <v>0</v>
      </c>
      <c r="AD455" s="35">
        <f t="shared" si="145"/>
        <v>0</v>
      </c>
      <c r="AE455" s="166" t="str">
        <f t="shared" si="146"/>
        <v>Release</v>
      </c>
      <c r="AF455" s="127"/>
      <c r="AG455" s="18">
        <v>0</v>
      </c>
      <c r="AH455" s="132"/>
      <c r="AI455" s="238">
        <v>0</v>
      </c>
      <c r="AJ455" s="132"/>
      <c r="AK455" s="151">
        <v>115.6</v>
      </c>
      <c r="AL455" s="154">
        <f t="shared" si="135"/>
        <v>0</v>
      </c>
      <c r="AM455" s="155"/>
      <c r="AN455" s="19">
        <f t="shared" si="136"/>
        <v>1861</v>
      </c>
      <c r="AO455" s="118">
        <f>SUMIF('MPG Payment '!E:E,'Shayak Income '!D455,'MPG Payment '!AJ:AJ)</f>
        <v>500</v>
      </c>
      <c r="AP455" s="19">
        <f t="shared" si="137"/>
        <v>0</v>
      </c>
      <c r="AQ455" s="119">
        <f t="shared" si="147"/>
        <v>500</v>
      </c>
      <c r="AR455" s="91" t="s">
        <v>1168</v>
      </c>
      <c r="AS455" s="91">
        <f t="shared" si="138"/>
        <v>22400</v>
      </c>
      <c r="AT455" s="118"/>
      <c r="AU455" s="118"/>
      <c r="AV455" s="118"/>
    </row>
    <row r="456" spans="1:48" s="20" customFormat="1" x14ac:dyDescent="0.25">
      <c r="A456" s="17">
        <f>IFERROR(VLOOKUP(D456,'Monthly Deduction'!$I$3:$J$957,2,0),0)</f>
        <v>23966.214297624058</v>
      </c>
      <c r="B456" s="17">
        <f>IFERROR(VLOOKUP(D456,'Monthly Deduction'!$E$3:$F$957,2,0),0)</f>
        <v>11222.663</v>
      </c>
      <c r="C456" s="17">
        <f t="shared" si="139"/>
        <v>35188.877297624058</v>
      </c>
      <c r="D456" s="41">
        <v>10140033</v>
      </c>
      <c r="E456" s="122" t="str">
        <f>VLOOKUP(D456,'MPG Payment '!$E$3:$G$498218,2,0)</f>
        <v>Akalupur</v>
      </c>
      <c r="F456" s="146">
        <f>IFERROR(_xlfn.XLOOKUP(D456,'Monthly Deduction'!$I$3:$I$957,'Monthly Deduction'!$H$3:$H$957),0)</f>
        <v>0</v>
      </c>
      <c r="G456" s="123" t="str">
        <f>VLOOKUP(D456,'MPG Payment '!$E$3:$G$334579,3,0)</f>
        <v>MPG</v>
      </c>
      <c r="H456" s="124" t="str">
        <f>VLOOKUP(D456,'MPG Payment '!$E$3:$H$334579,4,0)</f>
        <v>Direct</v>
      </c>
      <c r="I456" s="88">
        <f>INDEX('MPG Payment '!$C:$C,MATCH('Shayak Income '!D456,'MPG Payment '!E:E,0))</f>
        <v>1014</v>
      </c>
      <c r="J456" s="88" t="str">
        <f>INDEX('MPG Payment '!$D:$D,MATCH('Shayak Income '!D456,'MPG Payment '!E:E,0))</f>
        <v>Dumraon</v>
      </c>
      <c r="K456" s="125" t="s">
        <v>1322</v>
      </c>
      <c r="L456" s="125">
        <v>44923</v>
      </c>
      <c r="M456" s="126">
        <f>SUMIF('MPG Payment '!$E$3:$E$34579,'Shayak Income '!D456,'MPG Payment '!$I$3:$I$34579)</f>
        <v>601.6</v>
      </c>
      <c r="N456" s="126">
        <f>SUMIF('MPG Payment '!$E$3:$E$34579,'Shayak Income '!D456,'MPG Payment '!$J$3:$J$34579)</f>
        <v>20787.141033759999</v>
      </c>
      <c r="O456" s="126">
        <f t="shared" si="140"/>
        <v>451.20000000000005</v>
      </c>
      <c r="P456" s="126">
        <f t="shared" si="141"/>
        <v>571.52</v>
      </c>
      <c r="Q456" s="126">
        <f>SUMIF('MPG Payment '!$E$3:$E$34579,'Shayak Income '!D456,'MPG Payment '!$S$3:$S$34579)</f>
        <v>0</v>
      </c>
      <c r="R456" s="126">
        <f t="shared" si="131"/>
        <v>623.61423101279991</v>
      </c>
      <c r="S456" s="126">
        <f t="shared" si="132"/>
        <v>52.094231012799924</v>
      </c>
      <c r="T456" s="126">
        <f t="shared" si="142"/>
        <v>60.160000000000004</v>
      </c>
      <c r="U456" s="127">
        <f>(((IF(K456="New",0,SUMIF('MPG Payment '!$E$3:$E$34579,'Shayak Income '!D456,'MPG Payment '!$AC$3:$AC$34579))))+0)+-562</f>
        <v>962.12924066707706</v>
      </c>
      <c r="V456" s="127">
        <f t="shared" si="143"/>
        <v>0</v>
      </c>
      <c r="W456" s="19">
        <v>0</v>
      </c>
      <c r="X456" s="19">
        <v>0</v>
      </c>
      <c r="Y456" s="128">
        <v>0</v>
      </c>
      <c r="Z456" s="128">
        <v>0</v>
      </c>
      <c r="AA456" s="126">
        <v>0</v>
      </c>
      <c r="AB456" s="129">
        <f t="shared" si="134"/>
        <v>0</v>
      </c>
      <c r="AC456" s="130">
        <v>0</v>
      </c>
      <c r="AD456" s="35">
        <f t="shared" si="145"/>
        <v>0</v>
      </c>
      <c r="AE456" s="166" t="str">
        <f t="shared" si="146"/>
        <v>Release</v>
      </c>
      <c r="AF456" s="127"/>
      <c r="AG456" s="18">
        <v>0</v>
      </c>
      <c r="AH456" s="120"/>
      <c r="AI456" s="238">
        <v>0</v>
      </c>
      <c r="AJ456" s="132"/>
      <c r="AK456" s="151">
        <v>66.7</v>
      </c>
      <c r="AL456" s="154">
        <f t="shared" si="135"/>
        <v>0</v>
      </c>
      <c r="AM456" s="155"/>
      <c r="AN456" s="19">
        <f t="shared" si="136"/>
        <v>1861</v>
      </c>
      <c r="AO456" s="118">
        <f>SUMIF('MPG Payment '!E:E,'Shayak Income '!D456,'MPG Payment '!AJ:AJ)</f>
        <v>0</v>
      </c>
      <c r="AP456" s="19">
        <f t="shared" si="137"/>
        <v>0</v>
      </c>
      <c r="AQ456" s="119">
        <f t="shared" si="147"/>
        <v>0</v>
      </c>
      <c r="AR456" s="91" t="s">
        <v>1168</v>
      </c>
      <c r="AS456" s="91">
        <f t="shared" si="138"/>
        <v>11222.663</v>
      </c>
      <c r="AT456" s="118"/>
      <c r="AU456" s="118"/>
      <c r="AV456" s="118"/>
    </row>
    <row r="457" spans="1:48" s="20" customFormat="1" x14ac:dyDescent="0.25">
      <c r="A457" s="17">
        <f>IFERROR(VLOOKUP(D457,'Monthly Deduction'!$I$3:$J$957,2,0),0)</f>
        <v>21606.029808731255</v>
      </c>
      <c r="B457" s="17">
        <f>IFERROR(VLOOKUP(D457,'Monthly Deduction'!$E$3:$F$957,2,0),0)</f>
        <v>12800</v>
      </c>
      <c r="C457" s="17">
        <f t="shared" si="139"/>
        <v>34406.029808731255</v>
      </c>
      <c r="D457" s="41">
        <v>10140034</v>
      </c>
      <c r="E457" s="122" t="str">
        <f>VLOOKUP(D457,'MPG Payment '!$E$3:$G$498218,2,0)</f>
        <v>Chhotka Sihanpura</v>
      </c>
      <c r="F457" s="146">
        <f>IFERROR(_xlfn.XLOOKUP(D457,'Monthly Deduction'!$I$3:$I$957,'Monthly Deduction'!$H$3:$H$957),0)</f>
        <v>0</v>
      </c>
      <c r="G457" s="123" t="str">
        <f>VLOOKUP(D457,'MPG Payment '!$E$3:$G$334579,3,0)</f>
        <v>MPG</v>
      </c>
      <c r="H457" s="124" t="str">
        <f>VLOOKUP(D457,'MPG Payment '!$E$3:$H$334579,4,0)</f>
        <v>Direct</v>
      </c>
      <c r="I457" s="88">
        <f>INDEX('MPG Payment '!$C:$C,MATCH('Shayak Income '!D457,'MPG Payment '!E:E,0))</f>
        <v>1014</v>
      </c>
      <c r="J457" s="88" t="str">
        <f>INDEX('MPG Payment '!$D:$D,MATCH('Shayak Income '!D457,'MPG Payment '!E:E,0))</f>
        <v>Dumraon</v>
      </c>
      <c r="K457" s="125" t="s">
        <v>1322</v>
      </c>
      <c r="L457" s="125">
        <v>44928</v>
      </c>
      <c r="M457" s="126">
        <f>SUMIF('MPG Payment '!$E$3:$E$34579,'Shayak Income '!D457,'MPG Payment '!$I$3:$I$34579)</f>
        <v>1910.0000000000002</v>
      </c>
      <c r="N457" s="126">
        <f>SUMIF('MPG Payment '!$E$3:$E$34579,'Shayak Income '!D457,'MPG Payment '!$J$3:$J$34579)</f>
        <v>62136.813860265</v>
      </c>
      <c r="O457" s="126">
        <f t="shared" si="140"/>
        <v>1432.5000000000002</v>
      </c>
      <c r="P457" s="126">
        <f t="shared" si="141"/>
        <v>1814.5000000000002</v>
      </c>
      <c r="Q457" s="126">
        <f>SUMIF('MPG Payment '!$E$3:$E$34579,'Shayak Income '!D457,'MPG Payment '!$S$3:$S$34579)</f>
        <v>929.71771949554989</v>
      </c>
      <c r="R457" s="126">
        <f t="shared" si="131"/>
        <v>1864.1044158079499</v>
      </c>
      <c r="S457" s="126">
        <f t="shared" si="132"/>
        <v>49.604415807949636</v>
      </c>
      <c r="T457" s="126">
        <f t="shared" si="142"/>
        <v>191.00000000000003</v>
      </c>
      <c r="U457" s="127">
        <f>(((IF(K457="New",0,SUMIF('MPG Payment '!$E$3:$E$34579,'Shayak Income '!D457,'MPG Payment '!$AC$3:$AC$34579))))+0)+0</f>
        <v>579.69554241932019</v>
      </c>
      <c r="V457" s="127">
        <f t="shared" si="143"/>
        <v>3406</v>
      </c>
      <c r="W457" s="19">
        <f t="shared" si="144"/>
        <v>1861</v>
      </c>
      <c r="X457" s="19">
        <v>0</v>
      </c>
      <c r="Y457" s="128">
        <f>IFERROR(VLOOKUP(D457,'Monthly Deduction'!$M$2:$N$64,2,0),0)</f>
        <v>0</v>
      </c>
      <c r="Z457" s="128">
        <v>0</v>
      </c>
      <c r="AA457" s="126">
        <f>IFERROR(VLOOKUP(D457,'Monthly Deduction'!A:B,2,0),0)</f>
        <v>539.99</v>
      </c>
      <c r="AB457" s="129">
        <f t="shared" si="134"/>
        <v>1005</v>
      </c>
      <c r="AC457" s="130">
        <v>0</v>
      </c>
      <c r="AD457" s="35">
        <f t="shared" si="145"/>
        <v>1005</v>
      </c>
      <c r="AE457" s="166" t="str">
        <f t="shared" si="146"/>
        <v>Release</v>
      </c>
      <c r="AF457" s="127"/>
      <c r="AG457" s="18">
        <v>0</v>
      </c>
      <c r="AH457" s="132"/>
      <c r="AI457" s="238">
        <v>0</v>
      </c>
      <c r="AJ457" s="132"/>
      <c r="AK457" s="151">
        <v>477.7</v>
      </c>
      <c r="AL457" s="154">
        <f t="shared" si="135"/>
        <v>0</v>
      </c>
      <c r="AM457" s="155"/>
      <c r="AN457" s="19">
        <f t="shared" si="136"/>
        <v>1861</v>
      </c>
      <c r="AO457" s="118">
        <f>SUMIF('MPG Payment '!E:E,'Shayak Income '!D457,'MPG Payment '!AJ:AJ)</f>
        <v>0</v>
      </c>
      <c r="AP457" s="19">
        <f t="shared" si="137"/>
        <v>1861</v>
      </c>
      <c r="AQ457" s="119">
        <f t="shared" si="147"/>
        <v>1861</v>
      </c>
      <c r="AR457" s="91" t="s">
        <v>1168</v>
      </c>
      <c r="AS457" s="91">
        <f t="shared" si="138"/>
        <v>12800</v>
      </c>
      <c r="AT457" s="118"/>
      <c r="AU457" s="118"/>
      <c r="AV457" s="118"/>
    </row>
    <row r="458" spans="1:48" s="20" customFormat="1" x14ac:dyDescent="0.25">
      <c r="A458" s="17">
        <f>IFERROR(VLOOKUP(D458,'Monthly Deduction'!$I$3:$J$957,2,0),0)</f>
        <v>0</v>
      </c>
      <c r="B458" s="17">
        <f>IFERROR(VLOOKUP(D458,'Monthly Deduction'!$E$3:$F$957,2,0),0)</f>
        <v>0</v>
      </c>
      <c r="C458" s="17">
        <f t="shared" si="139"/>
        <v>0</v>
      </c>
      <c r="D458" s="41">
        <v>10140039</v>
      </c>
      <c r="E458" s="122" t="str">
        <f>VLOOKUP(D458,'MPG Payment '!$E$3:$G$498218,2,0)</f>
        <v>Dharauli</v>
      </c>
      <c r="F458" s="146">
        <f>IFERROR(_xlfn.XLOOKUP(D458,'Monthly Deduction'!$I$3:$I$957,'Monthly Deduction'!$H$3:$H$957),0)</f>
        <v>0</v>
      </c>
      <c r="G458" s="123" t="str">
        <f>VLOOKUP(D458,'MPG Payment '!$E$3:$G$334579,3,0)</f>
        <v>MPG</v>
      </c>
      <c r="H458" s="124" t="str">
        <f>VLOOKUP(D458,'MPG Payment '!$E$3:$H$334579,4,0)</f>
        <v>Direct</v>
      </c>
      <c r="I458" s="88">
        <f>INDEX('MPG Payment '!$C:$C,MATCH('Shayak Income '!D458,'MPG Payment '!E:E,0))</f>
        <v>1014</v>
      </c>
      <c r="J458" s="88" t="str">
        <f>INDEX('MPG Payment '!$D:$D,MATCH('Shayak Income '!D458,'MPG Payment '!E:E,0))</f>
        <v>Dumraon</v>
      </c>
      <c r="K458" s="125" t="s">
        <v>1322</v>
      </c>
      <c r="L458" s="125">
        <v>44974</v>
      </c>
      <c r="M458" s="126">
        <f>SUMIF('MPG Payment '!$E$3:$E$34579,'Shayak Income '!D458,'MPG Payment '!$I$3:$I$34579)</f>
        <v>1277.5</v>
      </c>
      <c r="N458" s="126">
        <f>SUMIF('MPG Payment '!$E$3:$E$34579,'Shayak Income '!D458,'MPG Payment '!$J$3:$J$34579)</f>
        <v>49860.781116140002</v>
      </c>
      <c r="O458" s="126">
        <f t="shared" si="140"/>
        <v>958.125</v>
      </c>
      <c r="P458" s="126">
        <f t="shared" si="141"/>
        <v>1213.625</v>
      </c>
      <c r="Q458" s="126">
        <f>SUMIF('MPG Payment '!$E$3:$E$34579,'Shayak Income '!D458,'MPG Payment '!$S$3:$S$34579)</f>
        <v>785.96554884450006</v>
      </c>
      <c r="R458" s="126">
        <f t="shared" si="131"/>
        <v>1495.8234334842</v>
      </c>
      <c r="S458" s="126">
        <f t="shared" si="132"/>
        <v>282.1984334842</v>
      </c>
      <c r="T458" s="126">
        <f t="shared" si="142"/>
        <v>127.75</v>
      </c>
      <c r="U458" s="127">
        <f>(((IF(K458="New",0,SUMIF('MPG Payment '!$E$3:$E$34579,'Shayak Income '!D458,'MPG Payment '!$AC$3:$AC$34579))))+0)+0</f>
        <v>1189.3273957681713</v>
      </c>
      <c r="V458" s="127">
        <f t="shared" si="143"/>
        <v>1641</v>
      </c>
      <c r="W458" s="19">
        <f t="shared" si="144"/>
        <v>0</v>
      </c>
      <c r="X458" s="19">
        <f t="shared" si="133"/>
        <v>0</v>
      </c>
      <c r="Y458" s="128">
        <f>IFERROR(VLOOKUP(D458,'Monthly Deduction'!$M$2:$N$64,2,0),0)</f>
        <v>0</v>
      </c>
      <c r="Z458" s="128">
        <v>0</v>
      </c>
      <c r="AA458" s="126">
        <f>IFERROR(VLOOKUP(D458,'Monthly Deduction'!A:B,2,0),0)</f>
        <v>185.82000000000002</v>
      </c>
      <c r="AB458" s="129">
        <f t="shared" si="134"/>
        <v>1455</v>
      </c>
      <c r="AC458" s="130">
        <v>0</v>
      </c>
      <c r="AD458" s="35">
        <f t="shared" si="145"/>
        <v>1455</v>
      </c>
      <c r="AE458" s="166" t="str">
        <f t="shared" si="146"/>
        <v>Release</v>
      </c>
      <c r="AF458" s="127"/>
      <c r="AG458" s="18">
        <v>0</v>
      </c>
      <c r="AH458" s="120"/>
      <c r="AI458" s="238">
        <v>0</v>
      </c>
      <c r="AJ458" s="132"/>
      <c r="AK458" s="151">
        <v>338.7</v>
      </c>
      <c r="AL458" s="154">
        <f t="shared" si="135"/>
        <v>0</v>
      </c>
      <c r="AM458" s="155"/>
      <c r="AN458" s="19">
        <f t="shared" si="136"/>
        <v>0</v>
      </c>
      <c r="AO458" s="118">
        <f>SUMIF('MPG Payment '!E:E,'Shayak Income '!D458,'MPG Payment '!AJ:AJ)</f>
        <v>0</v>
      </c>
      <c r="AP458" s="19">
        <f t="shared" si="137"/>
        <v>0</v>
      </c>
      <c r="AQ458" s="119">
        <f t="shared" si="147"/>
        <v>0</v>
      </c>
      <c r="AR458" s="91"/>
      <c r="AS458" s="91">
        <f t="shared" si="138"/>
        <v>0</v>
      </c>
      <c r="AT458" s="118"/>
      <c r="AU458" s="118"/>
      <c r="AV458" s="118"/>
    </row>
    <row r="459" spans="1:48" s="20" customFormat="1" x14ac:dyDescent="0.25">
      <c r="A459" s="17">
        <f>IFERROR(VLOOKUP(D459,'Monthly Deduction'!$I$3:$J$957,2,0),0)</f>
        <v>12866.94532988088</v>
      </c>
      <c r="B459" s="17">
        <f>IFERROR(VLOOKUP(D459,'Monthly Deduction'!$E$3:$F$957,2,0),0)</f>
        <v>22400</v>
      </c>
      <c r="C459" s="17">
        <f t="shared" si="139"/>
        <v>35266.94532988088</v>
      </c>
      <c r="D459" s="41">
        <v>10140043</v>
      </c>
      <c r="E459" s="122" t="str">
        <f>VLOOKUP(D459,'MPG Payment '!$E$3:$G$498218,2,0)</f>
        <v>Kaithi</v>
      </c>
      <c r="F459" s="146">
        <f>IFERROR(_xlfn.XLOOKUP(D459,'Monthly Deduction'!$I$3:$I$957,'Monthly Deduction'!$H$3:$H$957),0)</f>
        <v>0</v>
      </c>
      <c r="G459" s="123" t="str">
        <f>VLOOKUP(D459,'MPG Payment '!$E$3:$G$334579,3,0)</f>
        <v>MPG</v>
      </c>
      <c r="H459" s="124" t="str">
        <f>VLOOKUP(D459,'MPG Payment '!$E$3:$H$334579,4,0)</f>
        <v>Direct</v>
      </c>
      <c r="I459" s="88">
        <f>INDEX('MPG Payment '!$C:$C,MATCH('Shayak Income '!D459,'MPG Payment '!E:E,0))</f>
        <v>1014</v>
      </c>
      <c r="J459" s="88" t="str">
        <f>INDEX('MPG Payment '!$D:$D,MATCH('Shayak Income '!D459,'MPG Payment '!E:E,0))</f>
        <v>Dumraon</v>
      </c>
      <c r="K459" s="125" t="s">
        <v>1322</v>
      </c>
      <c r="L459" s="125">
        <v>44984</v>
      </c>
      <c r="M459" s="126">
        <f>SUMIF('MPG Payment '!$E$3:$E$34579,'Shayak Income '!D459,'MPG Payment '!$I$3:$I$34579)</f>
        <v>1088.4000000000001</v>
      </c>
      <c r="N459" s="126">
        <f>SUMIF('MPG Payment '!$E$3:$E$34579,'Shayak Income '!D459,'MPG Payment '!$J$3:$J$34579)</f>
        <v>34092.6945389545</v>
      </c>
      <c r="O459" s="126">
        <f t="shared" si="140"/>
        <v>816.30000000000007</v>
      </c>
      <c r="P459" s="126">
        <f t="shared" si="141"/>
        <v>1033.98</v>
      </c>
      <c r="Q459" s="126">
        <f>SUMIF('MPG Payment '!$E$3:$E$34579,'Shayak Income '!D459,'MPG Payment '!$S$3:$S$34579)</f>
        <v>0</v>
      </c>
      <c r="R459" s="126">
        <f t="shared" si="131"/>
        <v>1022.780836168635</v>
      </c>
      <c r="S459" s="126">
        <f t="shared" si="132"/>
        <v>-11.199163831365013</v>
      </c>
      <c r="T459" s="126">
        <f t="shared" si="142"/>
        <v>108.84000000000002</v>
      </c>
      <c r="U459" s="127">
        <f>(((IF(K459="New",0,SUMIF('MPG Payment '!$E$3:$E$34579,'Shayak Income '!D459,'MPG Payment '!$AC$3:$AC$34579))))+0)+0</f>
        <v>1066.6168177165032</v>
      </c>
      <c r="V459" s="127">
        <f t="shared" si="143"/>
        <v>675</v>
      </c>
      <c r="W459" s="19">
        <v>675</v>
      </c>
      <c r="X459" s="19">
        <v>0</v>
      </c>
      <c r="Y459" s="128">
        <v>0</v>
      </c>
      <c r="Z459" s="128">
        <v>0</v>
      </c>
      <c r="AA459" s="126">
        <v>0</v>
      </c>
      <c r="AB459" s="129">
        <f t="shared" si="134"/>
        <v>0</v>
      </c>
      <c r="AC459" s="130">
        <v>0</v>
      </c>
      <c r="AD459" s="35">
        <f t="shared" si="145"/>
        <v>0</v>
      </c>
      <c r="AE459" s="166" t="str">
        <f t="shared" si="146"/>
        <v>Release</v>
      </c>
      <c r="AF459" s="127"/>
      <c r="AG459" s="127">
        <v>0</v>
      </c>
      <c r="AH459" s="132"/>
      <c r="AI459" s="238">
        <v>0</v>
      </c>
      <c r="AJ459" s="132"/>
      <c r="AK459" s="151">
        <v>291.60000000000002</v>
      </c>
      <c r="AL459" s="154">
        <f t="shared" si="135"/>
        <v>0</v>
      </c>
      <c r="AM459" s="155"/>
      <c r="AN459" s="19">
        <f t="shared" si="136"/>
        <v>1861</v>
      </c>
      <c r="AO459" s="118">
        <f>SUMIF('MPG Payment '!E:E,'Shayak Income '!D459,'MPG Payment '!AJ:AJ)</f>
        <v>500</v>
      </c>
      <c r="AP459" s="19">
        <f t="shared" si="137"/>
        <v>675</v>
      </c>
      <c r="AQ459" s="119">
        <f t="shared" si="147"/>
        <v>1175</v>
      </c>
      <c r="AR459" s="91" t="s">
        <v>1168</v>
      </c>
      <c r="AS459" s="91">
        <f t="shared" si="138"/>
        <v>22400</v>
      </c>
      <c r="AT459" s="118"/>
      <c r="AU459" s="118"/>
      <c r="AV459" s="118"/>
    </row>
    <row r="460" spans="1:48" s="20" customFormat="1" x14ac:dyDescent="0.25">
      <c r="A460" s="17">
        <f>IFERROR(VLOOKUP(D460,'Monthly Deduction'!$I$3:$J$957,2,0),0)</f>
        <v>0</v>
      </c>
      <c r="B460" s="17">
        <f>IFERROR(VLOOKUP(D460,'Monthly Deduction'!$E$3:$F$957,2,0),0)</f>
        <v>8291.2341514371255</v>
      </c>
      <c r="C460" s="17">
        <f t="shared" si="139"/>
        <v>8291.2341514371255</v>
      </c>
      <c r="D460" s="41">
        <v>10140045</v>
      </c>
      <c r="E460" s="122" t="str">
        <f>VLOOKUP(D460,'MPG Payment '!$E$3:$G$498218,2,0)</f>
        <v>Rangi Dera</v>
      </c>
      <c r="F460" s="146">
        <f>IFERROR(_xlfn.XLOOKUP(D460,'Monthly Deduction'!$I$3:$I$957,'Monthly Deduction'!$H$3:$H$957),0)</f>
        <v>0</v>
      </c>
      <c r="G460" s="123" t="str">
        <f>VLOOKUP(D460,'MPG Payment '!$E$3:$G$334579,3,0)</f>
        <v>MPG</v>
      </c>
      <c r="H460" s="124" t="str">
        <f>VLOOKUP(D460,'MPG Payment '!$E$3:$H$334579,4,0)</f>
        <v>Direct</v>
      </c>
      <c r="I460" s="88">
        <f>INDEX('MPG Payment '!$C:$C,MATCH('Shayak Income '!D460,'MPG Payment '!E:E,0))</f>
        <v>1014</v>
      </c>
      <c r="J460" s="88" t="str">
        <f>INDEX('MPG Payment '!$D:$D,MATCH('Shayak Income '!D460,'MPG Payment '!E:E,0))</f>
        <v>Dumraon</v>
      </c>
      <c r="K460" s="125" t="s">
        <v>1322</v>
      </c>
      <c r="L460" s="125">
        <v>44995</v>
      </c>
      <c r="M460" s="126">
        <f>SUMIF('MPG Payment '!$E$3:$E$34579,'Shayak Income '!D460,'MPG Payment '!$I$3:$I$34579)</f>
        <v>885.3</v>
      </c>
      <c r="N460" s="126">
        <f>SUMIF('MPG Payment '!$E$3:$E$34579,'Shayak Income '!D460,'MPG Payment '!$J$3:$J$34579)</f>
        <v>32073.005303662001</v>
      </c>
      <c r="O460" s="126">
        <f t="shared" si="140"/>
        <v>663.97499999999991</v>
      </c>
      <c r="P460" s="126">
        <f t="shared" si="141"/>
        <v>841.03499999999997</v>
      </c>
      <c r="Q460" s="126">
        <f>SUMIF('MPG Payment '!$E$3:$E$34579,'Shayak Income '!D460,'MPG Payment '!$S$3:$S$34579)</f>
        <v>0</v>
      </c>
      <c r="R460" s="126">
        <f t="shared" si="131"/>
        <v>962.19015910986002</v>
      </c>
      <c r="S460" s="126">
        <f t="shared" si="132"/>
        <v>121.15515910986005</v>
      </c>
      <c r="T460" s="126">
        <f t="shared" si="142"/>
        <v>88.53</v>
      </c>
      <c r="U460" s="127">
        <f>(((IF(K460="New",0,SUMIF('MPG Payment '!$E$3:$E$34579,'Shayak Income '!D460,'MPG Payment '!$AC$3:$AC$34579))))+0)+0</f>
        <v>1387.608484259802</v>
      </c>
      <c r="V460" s="127">
        <f t="shared" si="143"/>
        <v>29</v>
      </c>
      <c r="W460" s="19">
        <f t="shared" si="144"/>
        <v>0</v>
      </c>
      <c r="X460" s="19">
        <v>29</v>
      </c>
      <c r="Y460" s="128">
        <f>IFERROR(VLOOKUP(D460,'Monthly Deduction'!$M$2:$N$64,2,0),0)</f>
        <v>0</v>
      </c>
      <c r="Z460" s="128">
        <v>0</v>
      </c>
      <c r="AA460" s="126">
        <f>IFERROR(VLOOKUP(D460,'Monthly Deduction'!A:B,2,0),0)</f>
        <v>0</v>
      </c>
      <c r="AB460" s="129">
        <f t="shared" si="134"/>
        <v>0</v>
      </c>
      <c r="AC460" s="130">
        <v>0</v>
      </c>
      <c r="AD460" s="35">
        <f t="shared" si="145"/>
        <v>0</v>
      </c>
      <c r="AE460" s="166" t="str">
        <f t="shared" si="146"/>
        <v>Release</v>
      </c>
      <c r="AF460" s="127"/>
      <c r="AG460" s="18">
        <v>0</v>
      </c>
      <c r="AH460" s="132"/>
      <c r="AI460" s="238">
        <v>0</v>
      </c>
      <c r="AJ460" s="132"/>
      <c r="AK460" s="151">
        <v>236.5</v>
      </c>
      <c r="AL460" s="154">
        <f t="shared" si="135"/>
        <v>0</v>
      </c>
      <c r="AM460" s="155"/>
      <c r="AN460" s="19">
        <f t="shared" si="136"/>
        <v>0</v>
      </c>
      <c r="AO460" s="118">
        <f>SUMIF('MPG Payment '!E:E,'Shayak Income '!D460,'MPG Payment '!AJ:AJ)</f>
        <v>0</v>
      </c>
      <c r="AP460" s="19">
        <f t="shared" si="137"/>
        <v>0</v>
      </c>
      <c r="AQ460" s="119">
        <f t="shared" si="147"/>
        <v>0</v>
      </c>
      <c r="AR460" s="91" t="s">
        <v>1168</v>
      </c>
      <c r="AS460" s="91">
        <f t="shared" si="138"/>
        <v>8262.2341514371255</v>
      </c>
      <c r="AT460" s="118"/>
      <c r="AU460" s="118"/>
      <c r="AV460" s="118"/>
    </row>
    <row r="461" spans="1:48" s="20" customFormat="1" x14ac:dyDescent="0.25">
      <c r="A461" s="17">
        <f>IFERROR(VLOOKUP(D461,'Monthly Deduction'!$I$3:$J$957,2,0),0)</f>
        <v>0</v>
      </c>
      <c r="B461" s="17">
        <f>IFERROR(VLOOKUP(D461,'Monthly Deduction'!$E$3:$F$957,2,0),0)</f>
        <v>27797</v>
      </c>
      <c r="C461" s="17">
        <f t="shared" si="139"/>
        <v>27797</v>
      </c>
      <c r="D461" s="41">
        <v>10140047</v>
      </c>
      <c r="E461" s="122" t="str">
        <f>VLOOKUP(D461,'MPG Payment '!$E$3:$G$498218,2,0)</f>
        <v>Dubki</v>
      </c>
      <c r="F461" s="146">
        <f>IFERROR(_xlfn.XLOOKUP(D461,'Monthly Deduction'!$I$3:$I$957,'Monthly Deduction'!$H$3:$H$957),0)</f>
        <v>0</v>
      </c>
      <c r="G461" s="123" t="str">
        <f>VLOOKUP(D461,'MPG Payment '!$E$3:$G$334579,3,0)</f>
        <v>MPG</v>
      </c>
      <c r="H461" s="124" t="str">
        <f>VLOOKUP(D461,'MPG Payment '!$E$3:$H$334579,4,0)</f>
        <v>Direct</v>
      </c>
      <c r="I461" s="88">
        <f>INDEX('MPG Payment '!$C:$C,MATCH('Shayak Income '!D461,'MPG Payment '!E:E,0))</f>
        <v>1014</v>
      </c>
      <c r="J461" s="88" t="str">
        <f>INDEX('MPG Payment '!$D:$D,MATCH('Shayak Income '!D461,'MPG Payment '!E:E,0))</f>
        <v>Dumraon</v>
      </c>
      <c r="K461" s="125" t="s">
        <v>1322</v>
      </c>
      <c r="L461" s="125">
        <v>44996</v>
      </c>
      <c r="M461" s="126">
        <f>SUMIF('MPG Payment '!$E$3:$E$34579,'Shayak Income '!D461,'MPG Payment '!$I$3:$I$34579)</f>
        <v>1068.9000000000001</v>
      </c>
      <c r="N461" s="126">
        <f>SUMIF('MPG Payment '!$E$3:$E$34579,'Shayak Income '!D461,'MPG Payment '!$J$3:$J$34579)</f>
        <v>47669.771288969801</v>
      </c>
      <c r="O461" s="126">
        <f t="shared" si="140"/>
        <v>801.67500000000007</v>
      </c>
      <c r="P461" s="126">
        <f t="shared" si="141"/>
        <v>1015.455</v>
      </c>
      <c r="Q461" s="126">
        <f>SUMIF('MPG Payment '!$E$3:$E$34579,'Shayak Income '!D461,'MPG Payment '!$S$3:$S$34579)</f>
        <v>171.16467599760003</v>
      </c>
      <c r="R461" s="126">
        <f t="shared" si="131"/>
        <v>1430.0931386690941</v>
      </c>
      <c r="S461" s="126">
        <f t="shared" si="132"/>
        <v>414.63813866909402</v>
      </c>
      <c r="T461" s="126">
        <f t="shared" si="142"/>
        <v>106.89000000000001</v>
      </c>
      <c r="U461" s="127">
        <f>(((IF(K461="New",0,SUMIF('MPG Payment '!$E$3:$E$34579,'Shayak Income '!D461,'MPG Payment '!$AC$3:$AC$34579))))+0)+0</f>
        <v>1545.1745549546215</v>
      </c>
      <c r="V461" s="127">
        <f t="shared" si="143"/>
        <v>336</v>
      </c>
      <c r="W461" s="19">
        <f t="shared" si="144"/>
        <v>0</v>
      </c>
      <c r="X461" s="19">
        <v>336</v>
      </c>
      <c r="Y461" s="128">
        <f>IFERROR(VLOOKUP(D461,'Monthly Deduction'!$M$2:$N$64,2,0),0)</f>
        <v>0</v>
      </c>
      <c r="Z461" s="128">
        <v>0</v>
      </c>
      <c r="AA461" s="126">
        <v>0</v>
      </c>
      <c r="AB461" s="129">
        <f t="shared" si="134"/>
        <v>0</v>
      </c>
      <c r="AC461" s="130">
        <v>0</v>
      </c>
      <c r="AD461" s="35">
        <f t="shared" si="145"/>
        <v>0</v>
      </c>
      <c r="AE461" s="166" t="str">
        <f t="shared" si="146"/>
        <v>Release</v>
      </c>
      <c r="AF461" s="127"/>
      <c r="AG461" s="18">
        <v>0</v>
      </c>
      <c r="AH461" s="120"/>
      <c r="AI461" s="238">
        <v>0</v>
      </c>
      <c r="AJ461" s="132"/>
      <c r="AK461" s="151">
        <v>397.50000000000006</v>
      </c>
      <c r="AL461" s="154">
        <f t="shared" si="135"/>
        <v>0</v>
      </c>
      <c r="AM461" s="155"/>
      <c r="AN461" s="19">
        <f t="shared" si="136"/>
        <v>0</v>
      </c>
      <c r="AO461" s="118">
        <f>SUMIF('MPG Payment '!E:E,'Shayak Income '!D461,'MPG Payment '!AJ:AJ)</f>
        <v>0</v>
      </c>
      <c r="AP461" s="19">
        <f t="shared" si="137"/>
        <v>0</v>
      </c>
      <c r="AQ461" s="119">
        <f t="shared" si="147"/>
        <v>0</v>
      </c>
      <c r="AR461" s="91"/>
      <c r="AS461" s="91">
        <f t="shared" si="138"/>
        <v>27461</v>
      </c>
      <c r="AT461" s="118"/>
      <c r="AU461" s="118"/>
      <c r="AV461" s="118"/>
    </row>
    <row r="462" spans="1:48" s="20" customFormat="1" x14ac:dyDescent="0.25">
      <c r="A462" s="17">
        <f>IFERROR(VLOOKUP(D462,'Monthly Deduction'!$I$3:$J$957,2,0),0)</f>
        <v>53531.069022970609</v>
      </c>
      <c r="B462" s="17">
        <f>IFERROR(VLOOKUP(D462,'Monthly Deduction'!$E$3:$F$957,2,0),0)</f>
        <v>0</v>
      </c>
      <c r="C462" s="17">
        <f t="shared" si="139"/>
        <v>53531.069022970609</v>
      </c>
      <c r="D462" s="41">
        <v>10140048</v>
      </c>
      <c r="E462" s="122" t="str">
        <f>VLOOKUP(D462,'MPG Payment '!$E$3:$G$498218,2,0)</f>
        <v>Sonvarsa</v>
      </c>
      <c r="F462" s="146">
        <f>IFERROR(_xlfn.XLOOKUP(D462,'Monthly Deduction'!$I$3:$I$957,'Monthly Deduction'!$H$3:$H$957),0)</f>
        <v>0</v>
      </c>
      <c r="G462" s="123" t="str">
        <f>VLOOKUP(D462,'MPG Payment '!$E$3:$G$334579,3,0)</f>
        <v>MPG</v>
      </c>
      <c r="H462" s="124" t="str">
        <f>VLOOKUP(D462,'MPG Payment '!$E$3:$H$334579,4,0)</f>
        <v>Direct</v>
      </c>
      <c r="I462" s="88">
        <f>INDEX('MPG Payment '!$C:$C,MATCH('Shayak Income '!D462,'MPG Payment '!E:E,0))</f>
        <v>1014</v>
      </c>
      <c r="J462" s="88" t="str">
        <f>INDEX('MPG Payment '!$D:$D,MATCH('Shayak Income '!D462,'MPG Payment '!E:E,0))</f>
        <v>Dumraon</v>
      </c>
      <c r="K462" s="125" t="s">
        <v>1322</v>
      </c>
      <c r="L462" s="125">
        <v>44998</v>
      </c>
      <c r="M462" s="126">
        <f>SUMIF('MPG Payment '!$E$3:$E$34579,'Shayak Income '!D462,'MPG Payment '!$I$3:$I$34579)</f>
        <v>363.9</v>
      </c>
      <c r="N462" s="126">
        <f>SUMIF('MPG Payment '!$E$3:$E$34579,'Shayak Income '!D462,'MPG Payment '!$J$3:$J$34579)</f>
        <v>13822.5656598148</v>
      </c>
      <c r="O462" s="126">
        <f t="shared" si="140"/>
        <v>272.92499999999995</v>
      </c>
      <c r="P462" s="126">
        <f t="shared" si="141"/>
        <v>345.70499999999998</v>
      </c>
      <c r="Q462" s="126">
        <f>SUMIF('MPG Payment '!$E$3:$E$34579,'Shayak Income '!D462,'MPG Payment '!$S$3:$S$34579)</f>
        <v>49.517443006920004</v>
      </c>
      <c r="R462" s="126">
        <f t="shared" si="131"/>
        <v>414.67696979444401</v>
      </c>
      <c r="S462" s="126">
        <f t="shared" si="132"/>
        <v>68.971969794444021</v>
      </c>
      <c r="T462" s="126">
        <f t="shared" si="142"/>
        <v>36.39</v>
      </c>
      <c r="U462" s="127">
        <f>(((IF(K462="New",0,SUMIF('MPG Payment '!$E$3:$E$34579,'Shayak Income '!D462,'MPG Payment '!$AC$3:$AC$34579))))+0)+-646</f>
        <v>631.9904550894862</v>
      </c>
      <c r="V462" s="127">
        <f t="shared" si="143"/>
        <v>0</v>
      </c>
      <c r="W462" s="19">
        <v>0</v>
      </c>
      <c r="X462" s="19">
        <v>0</v>
      </c>
      <c r="Y462" s="128">
        <v>0</v>
      </c>
      <c r="Z462" s="128">
        <v>0</v>
      </c>
      <c r="AA462" s="126">
        <v>0</v>
      </c>
      <c r="AB462" s="129">
        <f t="shared" si="134"/>
        <v>0</v>
      </c>
      <c r="AC462" s="130">
        <v>0</v>
      </c>
      <c r="AD462" s="35">
        <f t="shared" si="145"/>
        <v>0</v>
      </c>
      <c r="AE462" s="166" t="str">
        <f t="shared" si="146"/>
        <v>Release</v>
      </c>
      <c r="AF462" s="127"/>
      <c r="AG462" s="18">
        <v>0</v>
      </c>
      <c r="AH462" s="132"/>
      <c r="AI462" s="238">
        <v>0</v>
      </c>
      <c r="AJ462" s="132"/>
      <c r="AK462" s="151">
        <v>318.2</v>
      </c>
      <c r="AL462" s="154">
        <f t="shared" si="135"/>
        <v>0</v>
      </c>
      <c r="AM462" s="155"/>
      <c r="AN462" s="19">
        <f t="shared" si="136"/>
        <v>1861</v>
      </c>
      <c r="AO462" s="118">
        <f>SUMIF('MPG Payment '!E:E,'Shayak Income '!D462,'MPG Payment '!AJ:AJ)</f>
        <v>0</v>
      </c>
      <c r="AP462" s="19">
        <f t="shared" si="137"/>
        <v>0</v>
      </c>
      <c r="AQ462" s="119">
        <f t="shared" si="147"/>
        <v>0</v>
      </c>
      <c r="AR462" s="91" t="s">
        <v>1168</v>
      </c>
      <c r="AS462" s="91">
        <f t="shared" si="138"/>
        <v>0</v>
      </c>
      <c r="AT462" s="118"/>
      <c r="AU462" s="118"/>
      <c r="AV462" s="118"/>
    </row>
    <row r="463" spans="1:48" s="20" customFormat="1" x14ac:dyDescent="0.25">
      <c r="A463" s="17">
        <f>IFERROR(VLOOKUP(D463,'Monthly Deduction'!$I$3:$J$957,2,0),0)</f>
        <v>27821.742831443509</v>
      </c>
      <c r="B463" s="17">
        <f>IFERROR(VLOOKUP(D463,'Monthly Deduction'!$E$3:$F$957,2,0),0)</f>
        <v>12800</v>
      </c>
      <c r="C463" s="17">
        <f t="shared" si="139"/>
        <v>40621.742831443509</v>
      </c>
      <c r="D463" s="41">
        <v>10140054</v>
      </c>
      <c r="E463" s="122" t="str">
        <f>VLOOKUP(D463,'MPG Payment '!$E$3:$G$498218,2,0)</f>
        <v>Soan</v>
      </c>
      <c r="F463" s="146">
        <f>IFERROR(_xlfn.XLOOKUP(D463,'Monthly Deduction'!$I$3:$I$957,'Monthly Deduction'!$H$3:$H$957),0)</f>
        <v>0</v>
      </c>
      <c r="G463" s="123" t="str">
        <f>VLOOKUP(D463,'MPG Payment '!$E$3:$G$334579,3,0)</f>
        <v>MPG</v>
      </c>
      <c r="H463" s="124" t="str">
        <f>VLOOKUP(D463,'MPG Payment '!$E$3:$H$334579,4,0)</f>
        <v>Direct</v>
      </c>
      <c r="I463" s="88">
        <f>INDEX('MPG Payment '!$C:$C,MATCH('Shayak Income '!D463,'MPG Payment '!E:E,0))</f>
        <v>1014</v>
      </c>
      <c r="J463" s="88" t="str">
        <f>INDEX('MPG Payment '!$D:$D,MATCH('Shayak Income '!D463,'MPG Payment '!E:E,0))</f>
        <v>Dumraon</v>
      </c>
      <c r="K463" s="125" t="s">
        <v>1322</v>
      </c>
      <c r="L463" s="125">
        <v>45014</v>
      </c>
      <c r="M463" s="126">
        <f>SUMIF('MPG Payment '!$E$3:$E$34579,'Shayak Income '!D463,'MPG Payment '!$I$3:$I$34579)</f>
        <v>2013.4</v>
      </c>
      <c r="N463" s="126">
        <f>SUMIF('MPG Payment '!$E$3:$E$34579,'Shayak Income '!D463,'MPG Payment '!$J$3:$J$34579)</f>
        <v>81483.17031952001</v>
      </c>
      <c r="O463" s="126">
        <f t="shared" si="140"/>
        <v>1510.0500000000002</v>
      </c>
      <c r="P463" s="126">
        <f t="shared" si="141"/>
        <v>1912.73</v>
      </c>
      <c r="Q463" s="126">
        <f>SUMIF('MPG Payment '!$E$3:$E$34579,'Shayak Income '!D463,'MPG Payment '!$S$3:$S$34579)</f>
        <v>912.86730672879514</v>
      </c>
      <c r="R463" s="126">
        <f t="shared" si="131"/>
        <v>2444.4951095856004</v>
      </c>
      <c r="S463" s="126">
        <f t="shared" si="132"/>
        <v>531.76510958560038</v>
      </c>
      <c r="T463" s="126">
        <f t="shared" si="142"/>
        <v>201.34000000000003</v>
      </c>
      <c r="U463" s="127">
        <f>(((IF(K463="New",0,SUMIF('MPG Payment '!$E$3:$E$34579,'Shayak Income '!D463,'MPG Payment '!$AC$3:$AC$34579))))+0)+0</f>
        <v>636.92618281362479</v>
      </c>
      <c r="V463" s="127">
        <f t="shared" si="143"/>
        <v>3497</v>
      </c>
      <c r="W463" s="19">
        <f t="shared" si="144"/>
        <v>1861</v>
      </c>
      <c r="X463" s="19">
        <v>0</v>
      </c>
      <c r="Y463" s="128">
        <v>1636</v>
      </c>
      <c r="Z463" s="128">
        <v>0</v>
      </c>
      <c r="AA463" s="126">
        <v>0</v>
      </c>
      <c r="AB463" s="129">
        <f t="shared" si="134"/>
        <v>0</v>
      </c>
      <c r="AC463" s="130">
        <v>0</v>
      </c>
      <c r="AD463" s="35">
        <f t="shared" si="145"/>
        <v>0</v>
      </c>
      <c r="AE463" s="166" t="str">
        <f t="shared" si="146"/>
        <v>Release</v>
      </c>
      <c r="AF463" s="127"/>
      <c r="AG463" s="18">
        <v>0</v>
      </c>
      <c r="AH463" s="120"/>
      <c r="AI463" s="238">
        <v>0</v>
      </c>
      <c r="AJ463" s="132"/>
      <c r="AK463" s="151">
        <v>568.30000000000007</v>
      </c>
      <c r="AL463" s="154">
        <f t="shared" si="135"/>
        <v>0</v>
      </c>
      <c r="AM463" s="155"/>
      <c r="AN463" s="19">
        <f t="shared" si="136"/>
        <v>1861</v>
      </c>
      <c r="AO463" s="118">
        <f>SUMIF('MPG Payment '!E:E,'Shayak Income '!D463,'MPG Payment '!AJ:AJ)</f>
        <v>0</v>
      </c>
      <c r="AP463" s="19">
        <f t="shared" si="137"/>
        <v>1861</v>
      </c>
      <c r="AQ463" s="119">
        <f t="shared" si="147"/>
        <v>1861</v>
      </c>
      <c r="AR463" s="91" t="s">
        <v>1168</v>
      </c>
      <c r="AS463" s="91">
        <f t="shared" si="138"/>
        <v>12800</v>
      </c>
      <c r="AT463" s="118"/>
      <c r="AU463" s="118"/>
      <c r="AV463" s="118"/>
    </row>
    <row r="464" spans="1:48" s="20" customFormat="1" x14ac:dyDescent="0.25">
      <c r="A464" s="17">
        <f>IFERROR(VLOOKUP(D464,'Monthly Deduction'!$I$3:$J$957,2,0),0)</f>
        <v>6906.0976870975574</v>
      </c>
      <c r="B464" s="17">
        <f>IFERROR(VLOOKUP(D464,'Monthly Deduction'!$E$3:$F$957,2,0),0)</f>
        <v>6400</v>
      </c>
      <c r="C464" s="17">
        <f t="shared" si="139"/>
        <v>13306.097687097557</v>
      </c>
      <c r="D464" s="41">
        <v>10140055</v>
      </c>
      <c r="E464" s="122" t="str">
        <f>VLOOKUP(D464,'MPG Payment '!$E$3:$G$498218,2,0)</f>
        <v xml:space="preserve">PURANA BHOJPUR                                                                                      </v>
      </c>
      <c r="F464" s="146">
        <f>IFERROR(_xlfn.XLOOKUP(D464,'Monthly Deduction'!$I$3:$I$957,'Monthly Deduction'!$H$3:$H$957),0)</f>
        <v>0</v>
      </c>
      <c r="G464" s="123" t="str">
        <f>VLOOKUP(D464,'MPG Payment '!$E$3:$G$334579,3,0)</f>
        <v>MPG</v>
      </c>
      <c r="H464" s="124" t="str">
        <f>VLOOKUP(D464,'MPG Payment '!$E$3:$H$334579,4,0)</f>
        <v>Direct</v>
      </c>
      <c r="I464" s="88">
        <f>INDEX('MPG Payment '!$C:$C,MATCH('Shayak Income '!D464,'MPG Payment '!E:E,0))</f>
        <v>1014</v>
      </c>
      <c r="J464" s="88" t="str">
        <f>INDEX('MPG Payment '!$D:$D,MATCH('Shayak Income '!D464,'MPG Payment '!E:E,0))</f>
        <v>Dumraon</v>
      </c>
      <c r="K464" s="125" t="s">
        <v>1322</v>
      </c>
      <c r="L464" s="125">
        <v>45076</v>
      </c>
      <c r="M464" s="126">
        <f>SUMIF('MPG Payment '!$E$3:$E$34579,'Shayak Income '!D464,'MPG Payment '!$I$3:$I$34579)</f>
        <v>1473.1999999999998</v>
      </c>
      <c r="N464" s="126">
        <f>SUMIF('MPG Payment '!$E$3:$E$34579,'Shayak Income '!D464,'MPG Payment '!$J$3:$J$34579)</f>
        <v>56212.012815420007</v>
      </c>
      <c r="O464" s="126">
        <f t="shared" si="140"/>
        <v>1104.8999999999999</v>
      </c>
      <c r="P464" s="126">
        <f t="shared" si="141"/>
        <v>1399.5399999999997</v>
      </c>
      <c r="Q464" s="126">
        <f>SUMIF('MPG Payment '!$E$3:$E$34579,'Shayak Income '!D464,'MPG Payment '!$S$3:$S$34579)</f>
        <v>0</v>
      </c>
      <c r="R464" s="126">
        <f t="shared" si="131"/>
        <v>1686.3603844626002</v>
      </c>
      <c r="S464" s="126">
        <f t="shared" si="132"/>
        <v>286.82038446260049</v>
      </c>
      <c r="T464" s="126">
        <f t="shared" si="142"/>
        <v>147.32</v>
      </c>
      <c r="U464" s="127">
        <f>(((IF(K464="New",0,SUMIF('MPG Payment '!$E$3:$E$34579,'Shayak Income '!D464,'MPG Payment '!$AC$3:$AC$34579))))+0)+0</f>
        <v>1010.5004499425663</v>
      </c>
      <c r="V464" s="127">
        <f t="shared" si="143"/>
        <v>1347</v>
      </c>
      <c r="W464" s="19">
        <v>1347</v>
      </c>
      <c r="X464" s="19">
        <v>0</v>
      </c>
      <c r="Y464" s="128">
        <f>IFERROR(VLOOKUP(D464,'Monthly Deduction'!$M$2:$N$64,2,0),0)</f>
        <v>0</v>
      </c>
      <c r="Z464" s="128">
        <v>0</v>
      </c>
      <c r="AA464" s="126">
        <v>0</v>
      </c>
      <c r="AB464" s="129">
        <f t="shared" si="134"/>
        <v>0</v>
      </c>
      <c r="AC464" s="130">
        <v>0</v>
      </c>
      <c r="AD464" s="35">
        <f t="shared" si="145"/>
        <v>0</v>
      </c>
      <c r="AE464" s="166" t="str">
        <f t="shared" si="146"/>
        <v>Release</v>
      </c>
      <c r="AF464" s="127"/>
      <c r="AG464" s="18">
        <v>0</v>
      </c>
      <c r="AH464" s="132"/>
      <c r="AI464" s="238">
        <v>0</v>
      </c>
      <c r="AJ464" s="132"/>
      <c r="AK464" s="151">
        <v>273.3</v>
      </c>
      <c r="AL464" s="154">
        <f t="shared" si="135"/>
        <v>0</v>
      </c>
      <c r="AM464" s="155"/>
      <c r="AN464" s="19">
        <f t="shared" si="136"/>
        <v>1861</v>
      </c>
      <c r="AO464" s="118">
        <f>SUMIF('MPG Payment '!E:E,'Shayak Income '!D464,'MPG Payment '!AJ:AJ)</f>
        <v>0</v>
      </c>
      <c r="AP464" s="19">
        <f t="shared" si="137"/>
        <v>1347</v>
      </c>
      <c r="AQ464" s="119">
        <f t="shared" si="147"/>
        <v>1347</v>
      </c>
      <c r="AR464" s="91" t="s">
        <v>1168</v>
      </c>
      <c r="AS464" s="91">
        <f t="shared" si="138"/>
        <v>6400</v>
      </c>
      <c r="AT464" s="118"/>
      <c r="AU464" s="118"/>
      <c r="AV464" s="118"/>
    </row>
    <row r="465" spans="1:48" s="20" customFormat="1" x14ac:dyDescent="0.25">
      <c r="A465" s="17">
        <f>IFERROR(VLOOKUP(D465,'Monthly Deduction'!$I$3:$J$957,2,0),0)</f>
        <v>26042.561313829894</v>
      </c>
      <c r="B465" s="17">
        <f>IFERROR(VLOOKUP(D465,'Monthly Deduction'!$E$3:$F$957,2,0),0)</f>
        <v>10516.0602</v>
      </c>
      <c r="C465" s="17">
        <f t="shared" si="139"/>
        <v>36558.621513829894</v>
      </c>
      <c r="D465" s="41">
        <v>10140066</v>
      </c>
      <c r="E465" s="122" t="str">
        <f>VLOOKUP(D465,'MPG Payment '!$E$3:$G$498218,2,0)</f>
        <v>Gomukh Kant</v>
      </c>
      <c r="F465" s="146">
        <f>IFERROR(_xlfn.XLOOKUP(D465,'Monthly Deduction'!$I$3:$I$957,'Monthly Deduction'!$H$3:$H$957),0)</f>
        <v>0</v>
      </c>
      <c r="G465" s="123" t="str">
        <f>VLOOKUP(D465,'MPG Payment '!$E$3:$G$334579,3,0)</f>
        <v>MPG</v>
      </c>
      <c r="H465" s="124" t="str">
        <f>VLOOKUP(D465,'MPG Payment '!$E$3:$H$334579,4,0)</f>
        <v>Direct</v>
      </c>
      <c r="I465" s="88">
        <f>INDEX('MPG Payment '!$C:$C,MATCH('Shayak Income '!D465,'MPG Payment '!E:E,0))</f>
        <v>1014</v>
      </c>
      <c r="J465" s="88" t="str">
        <f>INDEX('MPG Payment '!$D:$D,MATCH('Shayak Income '!D465,'MPG Payment '!E:E,0))</f>
        <v>Dumraon</v>
      </c>
      <c r="K465" s="125" t="s">
        <v>1322</v>
      </c>
      <c r="L465" s="125">
        <v>45170</v>
      </c>
      <c r="M465" s="126">
        <f>SUMIF('MPG Payment '!$E$3:$E$34579,'Shayak Income '!D465,'MPG Payment '!$I$3:$I$34579)</f>
        <v>1094.7</v>
      </c>
      <c r="N465" s="126">
        <f>SUMIF('MPG Payment '!$E$3:$E$34579,'Shayak Income '!D465,'MPG Payment '!$J$3:$J$34579)</f>
        <v>49321.346946362406</v>
      </c>
      <c r="O465" s="126">
        <f t="shared" si="140"/>
        <v>821.02500000000009</v>
      </c>
      <c r="P465" s="126">
        <f t="shared" si="141"/>
        <v>1039.9649999999999</v>
      </c>
      <c r="Q465" s="126">
        <f>SUMIF('MPG Payment '!$E$3:$E$34579,'Shayak Income '!D465,'MPG Payment '!$S$3:$S$34579)</f>
        <v>272.28175101254004</v>
      </c>
      <c r="R465" s="126">
        <f t="shared" si="131"/>
        <v>1479.6404083908722</v>
      </c>
      <c r="S465" s="126">
        <f t="shared" si="132"/>
        <v>439.67540839087224</v>
      </c>
      <c r="T465" s="126">
        <f t="shared" si="142"/>
        <v>109.47000000000001</v>
      </c>
      <c r="U465" s="127">
        <f>(((IF(K465="New",0,SUMIF('MPG Payment '!$E$3:$E$34579,'Shayak Income '!D465,'MPG Payment '!$AC$3:$AC$34579))))+0)+0</f>
        <v>1541.6023112294897</v>
      </c>
      <c r="V465" s="127">
        <f t="shared" si="143"/>
        <v>482</v>
      </c>
      <c r="W465" s="19">
        <v>482</v>
      </c>
      <c r="X465" s="19">
        <v>0</v>
      </c>
      <c r="Y465" s="128">
        <f>IFERROR(VLOOKUP(D465,'Monthly Deduction'!$M$2:$N$64,2,0),0)</f>
        <v>0</v>
      </c>
      <c r="Z465" s="128">
        <v>0</v>
      </c>
      <c r="AA465" s="126">
        <v>0</v>
      </c>
      <c r="AB465" s="129">
        <f t="shared" si="134"/>
        <v>0</v>
      </c>
      <c r="AC465" s="130">
        <v>0</v>
      </c>
      <c r="AD465" s="35">
        <f t="shared" si="145"/>
        <v>0</v>
      </c>
      <c r="AE465" s="166" t="str">
        <f t="shared" si="146"/>
        <v>Release</v>
      </c>
      <c r="AF465" s="127"/>
      <c r="AG465" s="18">
        <v>0</v>
      </c>
      <c r="AH465" s="120"/>
      <c r="AI465" s="238">
        <v>0</v>
      </c>
      <c r="AJ465" s="132"/>
      <c r="AK465" s="151">
        <v>342.3</v>
      </c>
      <c r="AL465" s="154">
        <f t="shared" si="135"/>
        <v>0</v>
      </c>
      <c r="AM465" s="155"/>
      <c r="AN465" s="19">
        <f t="shared" si="136"/>
        <v>1861</v>
      </c>
      <c r="AO465" s="118">
        <f>SUMIF('MPG Payment '!E:E,'Shayak Income '!D465,'MPG Payment '!AJ:AJ)</f>
        <v>500</v>
      </c>
      <c r="AP465" s="19">
        <f t="shared" si="137"/>
        <v>482</v>
      </c>
      <c r="AQ465" s="119">
        <f t="shared" si="147"/>
        <v>982</v>
      </c>
      <c r="AR465" s="91" t="s">
        <v>1168</v>
      </c>
      <c r="AS465" s="91">
        <f t="shared" si="138"/>
        <v>10516.0602</v>
      </c>
      <c r="AT465" s="118"/>
      <c r="AU465" s="118"/>
      <c r="AV465" s="118"/>
    </row>
    <row r="466" spans="1:48" s="20" customFormat="1" x14ac:dyDescent="0.25">
      <c r="A466" s="17">
        <f>IFERROR(VLOOKUP(D466,'Monthly Deduction'!$I$3:$J$957,2,0),0)</f>
        <v>40277.151818725833</v>
      </c>
      <c r="B466" s="17">
        <f>IFERROR(VLOOKUP(D466,'Monthly Deduction'!$E$3:$F$957,2,0),0)</f>
        <v>9469.3031999999985</v>
      </c>
      <c r="C466" s="17">
        <f t="shared" si="139"/>
        <v>49746.455018725828</v>
      </c>
      <c r="D466" s="41">
        <v>10140068</v>
      </c>
      <c r="E466" s="122" t="str">
        <f>VLOOKUP(D466,'MPG Payment '!$E$3:$G$498218,2,0)</f>
        <v>Gomukh Naat</v>
      </c>
      <c r="F466" s="146">
        <f>IFERROR(_xlfn.XLOOKUP(D466,'Monthly Deduction'!$I$3:$I$957,'Monthly Deduction'!$H$3:$H$957),0)</f>
        <v>0</v>
      </c>
      <c r="G466" s="123" t="str">
        <f>VLOOKUP(D466,'MPG Payment '!$E$3:$G$334579,3,0)</f>
        <v>MPG</v>
      </c>
      <c r="H466" s="124" t="str">
        <f>VLOOKUP(D466,'MPG Payment '!$E$3:$H$334579,4,0)</f>
        <v>Direct</v>
      </c>
      <c r="I466" s="88">
        <f>INDEX('MPG Payment '!$C:$C,MATCH('Shayak Income '!D466,'MPG Payment '!E:E,0))</f>
        <v>1014</v>
      </c>
      <c r="J466" s="88" t="str">
        <f>INDEX('MPG Payment '!$D:$D,MATCH('Shayak Income '!D466,'MPG Payment '!E:E,0))</f>
        <v>Dumraon</v>
      </c>
      <c r="K466" s="125" t="s">
        <v>1322</v>
      </c>
      <c r="L466" s="125">
        <v>45170</v>
      </c>
      <c r="M466" s="126">
        <f>SUMIF('MPG Payment '!$E$3:$E$34579,'Shayak Income '!D466,'MPG Payment '!$I$3:$I$34579)</f>
        <v>817.19999999999993</v>
      </c>
      <c r="N466" s="126">
        <f>SUMIF('MPG Payment '!$E$3:$E$34579,'Shayak Income '!D466,'MPG Payment '!$J$3:$J$34579)</f>
        <v>32133.455849034002</v>
      </c>
      <c r="O466" s="126">
        <f t="shared" si="140"/>
        <v>612.9</v>
      </c>
      <c r="P466" s="126">
        <f t="shared" si="141"/>
        <v>776.33999999999992</v>
      </c>
      <c r="Q466" s="126">
        <f>SUMIF('MPG Payment '!$E$3:$E$34579,'Shayak Income '!D466,'MPG Payment '!$S$3:$S$34579)</f>
        <v>0</v>
      </c>
      <c r="R466" s="126">
        <f t="shared" si="131"/>
        <v>964.00367547102007</v>
      </c>
      <c r="S466" s="126">
        <f t="shared" si="132"/>
        <v>187.66367547102016</v>
      </c>
      <c r="T466" s="126">
        <f t="shared" si="142"/>
        <v>81.72</v>
      </c>
      <c r="U466" s="127">
        <f>(((IF(K466="New",0,SUMIF('MPG Payment '!$E$3:$E$34579,'Shayak Income '!D466,'MPG Payment '!$AC$3:$AC$34579))))+0)+-259</f>
        <v>1307.7805969819506</v>
      </c>
      <c r="V466" s="127">
        <f t="shared" si="143"/>
        <v>0</v>
      </c>
      <c r="W466" s="19">
        <v>0</v>
      </c>
      <c r="X466" s="19">
        <v>0</v>
      </c>
      <c r="Y466" s="128">
        <v>0</v>
      </c>
      <c r="Z466" s="128">
        <v>0</v>
      </c>
      <c r="AA466" s="126">
        <v>0</v>
      </c>
      <c r="AB466" s="129">
        <f t="shared" si="134"/>
        <v>0</v>
      </c>
      <c r="AC466" s="130">
        <v>0</v>
      </c>
      <c r="AD466" s="35">
        <f t="shared" si="145"/>
        <v>0</v>
      </c>
      <c r="AE466" s="166" t="str">
        <f t="shared" si="146"/>
        <v>Release</v>
      </c>
      <c r="AF466" s="127"/>
      <c r="AG466" s="127">
        <v>0</v>
      </c>
      <c r="AH466" s="120"/>
      <c r="AI466" s="238">
        <v>0</v>
      </c>
      <c r="AJ466" s="132"/>
      <c r="AK466" s="151">
        <v>221.3</v>
      </c>
      <c r="AL466" s="154">
        <f t="shared" si="135"/>
        <v>0</v>
      </c>
      <c r="AM466" s="155"/>
      <c r="AN466" s="19">
        <f t="shared" si="136"/>
        <v>1861</v>
      </c>
      <c r="AO466" s="118">
        <f>SUMIF('MPG Payment '!E:E,'Shayak Income '!D466,'MPG Payment '!AJ:AJ)</f>
        <v>0</v>
      </c>
      <c r="AP466" s="19">
        <f t="shared" si="137"/>
        <v>0</v>
      </c>
      <c r="AQ466" s="119">
        <f t="shared" si="147"/>
        <v>0</v>
      </c>
      <c r="AR466" s="91"/>
      <c r="AS466" s="91">
        <f t="shared" si="138"/>
        <v>9469.3031999999985</v>
      </c>
      <c r="AT466" s="118"/>
      <c r="AU466" s="118"/>
      <c r="AV466" s="118"/>
    </row>
    <row r="467" spans="1:48" s="20" customFormat="1" x14ac:dyDescent="0.25">
      <c r="A467" s="17">
        <f>IFERROR(VLOOKUP(D467,'Monthly Deduction'!$I$3:$J$957,2,0),0)</f>
        <v>21335.740524789057</v>
      </c>
      <c r="B467" s="17">
        <f>IFERROR(VLOOKUP(D467,'Monthly Deduction'!$E$3:$F$957,2,0),0)</f>
        <v>20608.7408</v>
      </c>
      <c r="C467" s="17">
        <f t="shared" si="139"/>
        <v>41944.481324789056</v>
      </c>
      <c r="D467" s="41">
        <v>10140069</v>
      </c>
      <c r="E467" s="122" t="str">
        <f>VLOOKUP(D467,'MPG Payment '!$E$3:$G$498218,2,0)</f>
        <v>Gomukh Raghunathpur</v>
      </c>
      <c r="F467" s="146">
        <f>IFERROR(_xlfn.XLOOKUP(D467,'Monthly Deduction'!$I$3:$I$957,'Monthly Deduction'!$H$3:$H$957),0)</f>
        <v>0</v>
      </c>
      <c r="G467" s="123" t="str">
        <f>VLOOKUP(D467,'MPG Payment '!$E$3:$G$334579,3,0)</f>
        <v>MPG</v>
      </c>
      <c r="H467" s="124" t="str">
        <f>VLOOKUP(D467,'MPG Payment '!$E$3:$H$334579,4,0)</f>
        <v>Direct</v>
      </c>
      <c r="I467" s="88">
        <f>INDEX('MPG Payment '!$C:$C,MATCH('Shayak Income '!D467,'MPG Payment '!E:E,0))</f>
        <v>1014</v>
      </c>
      <c r="J467" s="88" t="str">
        <f>INDEX('MPG Payment '!$D:$D,MATCH('Shayak Income '!D467,'MPG Payment '!E:E,0))</f>
        <v>Dumraon</v>
      </c>
      <c r="K467" s="125" t="s">
        <v>1322</v>
      </c>
      <c r="L467" s="125">
        <v>45170</v>
      </c>
      <c r="M467" s="126">
        <f>SUMIF('MPG Payment '!$E$3:$E$34579,'Shayak Income '!D467,'MPG Payment '!$I$3:$I$34579)</f>
        <v>1737.8000000000002</v>
      </c>
      <c r="N467" s="126">
        <f>SUMIF('MPG Payment '!$E$3:$E$34579,'Shayak Income '!D467,'MPG Payment '!$J$3:$J$34579)</f>
        <v>64363.051479430003</v>
      </c>
      <c r="O467" s="126">
        <f t="shared" si="140"/>
        <v>1303.3500000000001</v>
      </c>
      <c r="P467" s="126">
        <f t="shared" si="141"/>
        <v>1650.91</v>
      </c>
      <c r="Q467" s="126">
        <f>SUMIF('MPG Payment '!$E$3:$E$34579,'Shayak Income '!D467,'MPG Payment '!$S$3:$S$34579)</f>
        <v>986.96382000750009</v>
      </c>
      <c r="R467" s="126">
        <f t="shared" si="131"/>
        <v>1930.8915443829001</v>
      </c>
      <c r="S467" s="126">
        <f t="shared" si="132"/>
        <v>279.98154438289998</v>
      </c>
      <c r="T467" s="126">
        <f t="shared" si="142"/>
        <v>173.78000000000003</v>
      </c>
      <c r="U467" s="127">
        <f>(((IF(K467="New",0,SUMIF('MPG Payment '!$E$3:$E$34579,'Shayak Income '!D467,'MPG Payment '!$AC$3:$AC$34579))))+0)+0</f>
        <v>786.56848141289822</v>
      </c>
      <c r="V467" s="127">
        <f t="shared" si="143"/>
        <v>2981</v>
      </c>
      <c r="W467" s="19">
        <f t="shared" si="144"/>
        <v>1861</v>
      </c>
      <c r="X467" s="19">
        <v>0</v>
      </c>
      <c r="Y467" s="128">
        <f>IFERROR(VLOOKUP(D467,'Monthly Deduction'!$M$2:$N$64,2,0),0)</f>
        <v>0</v>
      </c>
      <c r="Z467" s="128">
        <v>0</v>
      </c>
      <c r="AA467" s="126">
        <f>IFERROR(VLOOKUP(D467,'Monthly Deduction'!A:B,2,0),0)</f>
        <v>1020.12</v>
      </c>
      <c r="AB467" s="129">
        <f t="shared" si="134"/>
        <v>100</v>
      </c>
      <c r="AC467" s="130">
        <v>0</v>
      </c>
      <c r="AD467" s="35">
        <f t="shared" si="145"/>
        <v>100</v>
      </c>
      <c r="AE467" s="166" t="str">
        <f t="shared" si="146"/>
        <v>Release</v>
      </c>
      <c r="AF467" s="127"/>
      <c r="AG467" s="18">
        <v>0</v>
      </c>
      <c r="AH467" s="120"/>
      <c r="AI467" s="238">
        <v>0</v>
      </c>
      <c r="AJ467" s="132"/>
      <c r="AK467" s="151">
        <v>455.70000000000005</v>
      </c>
      <c r="AL467" s="154">
        <f t="shared" si="135"/>
        <v>0</v>
      </c>
      <c r="AM467" s="155"/>
      <c r="AN467" s="19">
        <f t="shared" si="136"/>
        <v>1861</v>
      </c>
      <c r="AO467" s="118">
        <f>SUMIF('MPG Payment '!E:E,'Shayak Income '!D467,'MPG Payment '!AJ:AJ)</f>
        <v>0</v>
      </c>
      <c r="AP467" s="19">
        <f t="shared" si="137"/>
        <v>1861</v>
      </c>
      <c r="AQ467" s="119">
        <f t="shared" si="147"/>
        <v>1861</v>
      </c>
      <c r="AR467" s="91" t="s">
        <v>1168</v>
      </c>
      <c r="AS467" s="91">
        <f t="shared" si="138"/>
        <v>20608.7408</v>
      </c>
      <c r="AT467" s="118"/>
      <c r="AU467" s="118"/>
      <c r="AV467" s="118"/>
    </row>
    <row r="468" spans="1:48" s="20" customFormat="1" x14ac:dyDescent="0.25">
      <c r="A468" s="17">
        <f>IFERROR(VLOOKUP(D468,'Monthly Deduction'!$I$3:$J$957,2,0),0)</f>
        <v>0</v>
      </c>
      <c r="B468" s="17">
        <f>IFERROR(VLOOKUP(D468,'Monthly Deduction'!$E$3:$F$957,2,0),0)</f>
        <v>0</v>
      </c>
      <c r="C468" s="17">
        <f t="shared" si="139"/>
        <v>0</v>
      </c>
      <c r="D468" s="41">
        <v>10140071</v>
      </c>
      <c r="E468" s="122" t="str">
        <f>VLOOKUP(D468,'MPG Payment '!$E$3:$G$498218,2,0)</f>
        <v>Gomukh Tilakraika Hata 1 - Manoj</v>
      </c>
      <c r="F468" s="146">
        <f>IFERROR(_xlfn.XLOOKUP(D468,'Monthly Deduction'!$I$3:$I$957,'Monthly Deduction'!$H$3:$H$957),0)</f>
        <v>0</v>
      </c>
      <c r="G468" s="123" t="str">
        <f>VLOOKUP(D468,'MPG Payment '!$E$3:$G$334579,3,0)</f>
        <v>vlc</v>
      </c>
      <c r="H468" s="124" t="str">
        <f>VLOOKUP(D468,'MPG Payment '!$E$3:$H$334579,4,0)</f>
        <v>Indirect</v>
      </c>
      <c r="I468" s="88">
        <f>INDEX('MPG Payment '!$C:$C,MATCH('Shayak Income '!D468,'MPG Payment '!E:E,0))</f>
        <v>1014</v>
      </c>
      <c r="J468" s="88" t="str">
        <f>INDEX('MPG Payment '!$D:$D,MATCH('Shayak Income '!D468,'MPG Payment '!E:E,0))</f>
        <v>Dumraon</v>
      </c>
      <c r="K468" s="125" t="s">
        <v>1322</v>
      </c>
      <c r="L468" s="125">
        <v>45141</v>
      </c>
      <c r="M468" s="126">
        <f>SUMIF('MPG Payment '!$E$3:$E$34579,'Shayak Income '!D468,'MPG Payment '!$I$3:$I$34579)</f>
        <v>6365.4999999999991</v>
      </c>
      <c r="N468" s="126">
        <f>SUMIF('MPG Payment '!$E$3:$E$34579,'Shayak Income '!D468,'MPG Payment '!$J$3:$J$34579)</f>
        <v>215830.37615476002</v>
      </c>
      <c r="O468" s="126">
        <f t="shared" si="140"/>
        <v>4774.1249999999991</v>
      </c>
      <c r="P468" s="126">
        <f t="shared" si="141"/>
        <v>6047.2249999999985</v>
      </c>
      <c r="Q468" s="126">
        <f>SUMIF('MPG Payment '!$E$3:$E$34579,'Shayak Income '!D468,'MPG Payment '!$S$3:$S$34579)</f>
        <v>0</v>
      </c>
      <c r="R468" s="126">
        <f t="shared" si="131"/>
        <v>6474.9112846428006</v>
      </c>
      <c r="S468" s="126">
        <f t="shared" si="132"/>
        <v>427.68628464280209</v>
      </c>
      <c r="T468" s="126">
        <f t="shared" si="142"/>
        <v>636.54999999999995</v>
      </c>
      <c r="U468" s="127">
        <f>(((IF(K468="New",0,SUMIF('MPG Payment '!$E$3:$E$34579,'Shayak Income '!D468,'MPG Payment '!$AC$3:$AC$34579))))+0)+0</f>
        <v>0</v>
      </c>
      <c r="V468" s="127">
        <f t="shared" si="143"/>
        <v>10185</v>
      </c>
      <c r="W468" s="19">
        <f t="shared" si="144"/>
        <v>0</v>
      </c>
      <c r="X468" s="19">
        <f t="shared" si="133"/>
        <v>0</v>
      </c>
      <c r="Y468" s="128">
        <f>IFERROR(VLOOKUP(D468,'Monthly Deduction'!$M$2:$N$64,2,0),0)</f>
        <v>0</v>
      </c>
      <c r="Z468" s="128">
        <v>0</v>
      </c>
      <c r="AA468" s="126">
        <f>IFERROR(VLOOKUP(D468,'Monthly Deduction'!A:B,2,0),0)</f>
        <v>0</v>
      </c>
      <c r="AB468" s="129">
        <f t="shared" si="134"/>
        <v>10185</v>
      </c>
      <c r="AC468" s="130">
        <v>0</v>
      </c>
      <c r="AD468" s="35">
        <f t="shared" si="145"/>
        <v>10185</v>
      </c>
      <c r="AE468" s="166" t="str">
        <f t="shared" si="146"/>
        <v>Release</v>
      </c>
      <c r="AF468" s="127"/>
      <c r="AG468" s="18">
        <v>0</v>
      </c>
      <c r="AH468" s="120"/>
      <c r="AI468" s="238">
        <v>0</v>
      </c>
      <c r="AJ468" s="132"/>
      <c r="AK468" s="151">
        <v>1917.5</v>
      </c>
      <c r="AL468" s="154">
        <f t="shared" si="135"/>
        <v>0</v>
      </c>
      <c r="AM468" s="155"/>
      <c r="AN468" s="19">
        <f t="shared" si="136"/>
        <v>0</v>
      </c>
      <c r="AO468" s="118">
        <f>SUMIF('MPG Payment '!E:E,'Shayak Income '!D468,'MPG Payment '!AJ:AJ)</f>
        <v>0</v>
      </c>
      <c r="AP468" s="19">
        <f t="shared" si="137"/>
        <v>0</v>
      </c>
      <c r="AQ468" s="119">
        <f t="shared" si="147"/>
        <v>0</v>
      </c>
      <c r="AR468" s="91" t="s">
        <v>1168</v>
      </c>
      <c r="AS468" s="91">
        <f t="shared" si="138"/>
        <v>0</v>
      </c>
      <c r="AT468" s="118"/>
      <c r="AU468" s="118"/>
      <c r="AV468" s="118"/>
    </row>
    <row r="469" spans="1:48" s="20" customFormat="1" x14ac:dyDescent="0.25">
      <c r="A469" s="17">
        <f>IFERROR(VLOOKUP(D469,'Monthly Deduction'!$I$3:$J$957,2,0),0)</f>
        <v>36360.627948746493</v>
      </c>
      <c r="B469" s="17">
        <f>IFERROR(VLOOKUP(D469,'Monthly Deduction'!$E$3:$F$957,2,0),0)</f>
        <v>0</v>
      </c>
      <c r="C469" s="17">
        <f t="shared" si="139"/>
        <v>36360.627948746493</v>
      </c>
      <c r="D469" s="41">
        <v>10140083</v>
      </c>
      <c r="E469" s="122" t="str">
        <f>VLOOKUP(D469,'MPG Payment '!$E$3:$G$498218,2,0)</f>
        <v>Gomukh Murar</v>
      </c>
      <c r="F469" s="146">
        <f>IFERROR(_xlfn.XLOOKUP(D469,'Monthly Deduction'!$I$3:$I$957,'Monthly Deduction'!$H$3:$H$957),0)</f>
        <v>0</v>
      </c>
      <c r="G469" s="123" t="str">
        <f>VLOOKUP(D469,'MPG Payment '!$E$3:$G$334579,3,0)</f>
        <v>MPG</v>
      </c>
      <c r="H469" s="124" t="str">
        <f>VLOOKUP(D469,'MPG Payment '!$E$3:$H$334579,4,0)</f>
        <v>Direct</v>
      </c>
      <c r="I469" s="88">
        <f>INDEX('MPG Payment '!$C:$C,MATCH('Shayak Income '!D469,'MPG Payment '!E:E,0))</f>
        <v>1014</v>
      </c>
      <c r="J469" s="88" t="str">
        <f>INDEX('MPG Payment '!$D:$D,MATCH('Shayak Income '!D469,'MPG Payment '!E:E,0))</f>
        <v>Dumraon</v>
      </c>
      <c r="K469" s="125" t="s">
        <v>1322</v>
      </c>
      <c r="L469" s="125">
        <v>45291</v>
      </c>
      <c r="M469" s="126">
        <f>SUMIF('MPG Payment '!$E$3:$E$34579,'Shayak Income '!D469,'MPG Payment '!$I$3:$I$34579)</f>
        <v>2342.4000000000005</v>
      </c>
      <c r="N469" s="126">
        <f>SUMIF('MPG Payment '!$E$3:$E$34579,'Shayak Income '!D469,'MPG Payment '!$J$3:$J$34579)</f>
        <v>93283.35401792101</v>
      </c>
      <c r="O469" s="126">
        <f t="shared" si="140"/>
        <v>1756.8000000000004</v>
      </c>
      <c r="P469" s="126">
        <f t="shared" si="141"/>
        <v>2225.2800000000002</v>
      </c>
      <c r="Q469" s="126">
        <f>SUMIF('MPG Payment '!$E$3:$E$34579,'Shayak Income '!D469,'MPG Payment '!$S$3:$S$34579)</f>
        <v>781.29157443789995</v>
      </c>
      <c r="R469" s="126">
        <f t="shared" si="131"/>
        <v>2798.5006205376303</v>
      </c>
      <c r="S469" s="126">
        <f t="shared" si="132"/>
        <v>573.22062053763011</v>
      </c>
      <c r="T469" s="126">
        <f t="shared" si="142"/>
        <v>234.24000000000007</v>
      </c>
      <c r="U469" s="127">
        <f>(((IF(K469="New",0,SUMIF('MPG Payment '!$E$3:$E$34579,'Shayak Income '!D469,'MPG Payment '!$AC$3:$AC$34579))))+0)+0</f>
        <v>540.08037816639626</v>
      </c>
      <c r="V469" s="127">
        <f t="shared" si="143"/>
        <v>3989</v>
      </c>
      <c r="W469" s="19">
        <f t="shared" si="144"/>
        <v>1865.6670803584202</v>
      </c>
      <c r="X469" s="19">
        <v>0</v>
      </c>
      <c r="Y469" s="128">
        <f>IFERROR(VLOOKUP(D469,'Monthly Deduction'!$M$2:$N$64,2,0),0)</f>
        <v>0</v>
      </c>
      <c r="Z469" s="128">
        <v>0</v>
      </c>
      <c r="AA469" s="126">
        <f>IFERROR(VLOOKUP(D469,'Monthly Deduction'!A:B,2,0),0)</f>
        <v>697.04</v>
      </c>
      <c r="AB469" s="129">
        <f t="shared" si="134"/>
        <v>1426</v>
      </c>
      <c r="AC469" s="130">
        <v>0</v>
      </c>
      <c r="AD469" s="35">
        <f t="shared" si="145"/>
        <v>1426</v>
      </c>
      <c r="AE469" s="166" t="str">
        <f t="shared" si="146"/>
        <v>Release</v>
      </c>
      <c r="AF469" s="127"/>
      <c r="AG469" s="18">
        <v>0</v>
      </c>
      <c r="AH469" s="120"/>
      <c r="AI469" s="238">
        <v>0</v>
      </c>
      <c r="AJ469" s="132"/>
      <c r="AK469" s="151">
        <v>871</v>
      </c>
      <c r="AL469" s="154">
        <f t="shared" si="135"/>
        <v>0</v>
      </c>
      <c r="AM469" s="155"/>
      <c r="AN469" s="19">
        <f t="shared" si="136"/>
        <v>1865.6670803584202</v>
      </c>
      <c r="AO469" s="118">
        <f>SUMIF('MPG Payment '!E:E,'Shayak Income '!D469,'MPG Payment '!AJ:AJ)</f>
        <v>0</v>
      </c>
      <c r="AP469" s="19">
        <f t="shared" si="137"/>
        <v>1865.6670803584202</v>
      </c>
      <c r="AQ469" s="119">
        <f t="shared" si="147"/>
        <v>1865.6670803584202</v>
      </c>
      <c r="AR469" s="91"/>
      <c r="AS469" s="91">
        <f t="shared" si="138"/>
        <v>0</v>
      </c>
      <c r="AT469" s="118"/>
      <c r="AU469" s="118"/>
      <c r="AV469" s="118"/>
    </row>
    <row r="470" spans="1:48" s="20" customFormat="1" x14ac:dyDescent="0.25">
      <c r="A470" s="17">
        <f>IFERROR(VLOOKUP(D470,'Monthly Deduction'!$I$3:$J$957,2,0),0)</f>
        <v>45558.462652943905</v>
      </c>
      <c r="B470" s="17">
        <f>IFERROR(VLOOKUP(D470,'Monthly Deduction'!$E$3:$F$957,2,0),0)</f>
        <v>7070.1681213311995</v>
      </c>
      <c r="C470" s="17">
        <f t="shared" si="139"/>
        <v>52628.630774275101</v>
      </c>
      <c r="D470" s="41">
        <v>10140087</v>
      </c>
      <c r="E470" s="122" t="str">
        <f>VLOOKUP(D470,'MPG Payment '!$E$3:$G$498218,2,0)</f>
        <v xml:space="preserve">Gomukh Churamanpur                                                                                  </v>
      </c>
      <c r="F470" s="146">
        <f>IFERROR(_xlfn.XLOOKUP(D470,'Monthly Deduction'!$I$3:$I$957,'Monthly Deduction'!$H$3:$H$957),0)</f>
        <v>0</v>
      </c>
      <c r="G470" s="123" t="str">
        <f>VLOOKUP(D470,'MPG Payment '!$E$3:$G$334579,3,0)</f>
        <v>MPG</v>
      </c>
      <c r="H470" s="124" t="str">
        <f>VLOOKUP(D470,'MPG Payment '!$E$3:$H$334579,4,0)</f>
        <v>Direct</v>
      </c>
      <c r="I470" s="88">
        <f>INDEX('MPG Payment '!$C:$C,MATCH('Shayak Income '!D470,'MPG Payment '!E:E,0))</f>
        <v>1014</v>
      </c>
      <c r="J470" s="88" t="str">
        <f>INDEX('MPG Payment '!$D:$D,MATCH('Shayak Income '!D470,'MPG Payment '!E:E,0))</f>
        <v>Dumraon</v>
      </c>
      <c r="K470" s="125" t="s">
        <v>1322</v>
      </c>
      <c r="L470" s="125">
        <v>45297</v>
      </c>
      <c r="M470" s="126">
        <f>SUMIF('MPG Payment '!$E$3:$E$34579,'Shayak Income '!D470,'MPG Payment '!$I$3:$I$34579)</f>
        <v>1061.5</v>
      </c>
      <c r="N470" s="126">
        <f>SUMIF('MPG Payment '!$E$3:$E$34579,'Shayak Income '!D470,'MPG Payment '!$J$3:$J$34579)</f>
        <v>40171.902901519999</v>
      </c>
      <c r="O470" s="126">
        <f t="shared" si="140"/>
        <v>796.125</v>
      </c>
      <c r="P470" s="126">
        <f t="shared" si="141"/>
        <v>1008.425</v>
      </c>
      <c r="Q470" s="126">
        <f>SUMIF('MPG Payment '!$E$3:$E$34579,'Shayak Income '!D470,'MPG Payment '!$S$3:$S$34579)</f>
        <v>0</v>
      </c>
      <c r="R470" s="126">
        <f t="shared" si="131"/>
        <v>1205.1570870455998</v>
      </c>
      <c r="S470" s="126">
        <f t="shared" si="132"/>
        <v>196.73208704559988</v>
      </c>
      <c r="T470" s="126">
        <f t="shared" si="142"/>
        <v>106.15</v>
      </c>
      <c r="U470" s="127">
        <f>(((IF(K470="New",0,SUMIF('MPG Payment '!$E$3:$E$34579,'Shayak Income '!D470,'MPG Payment '!$AC$3:$AC$34579))))+0)+0</f>
        <v>1315.9791261942169</v>
      </c>
      <c r="V470" s="127">
        <f t="shared" si="143"/>
        <v>382</v>
      </c>
      <c r="W470" s="19">
        <v>382</v>
      </c>
      <c r="X470" s="19">
        <v>0</v>
      </c>
      <c r="Y470" s="128">
        <f>IFERROR(VLOOKUP(D470,'Monthly Deduction'!$M$2:$N$64,2,0),0)</f>
        <v>0</v>
      </c>
      <c r="Z470" s="128">
        <v>0</v>
      </c>
      <c r="AA470" s="126">
        <v>0</v>
      </c>
      <c r="AB470" s="129">
        <f t="shared" si="134"/>
        <v>0</v>
      </c>
      <c r="AC470" s="130">
        <v>0</v>
      </c>
      <c r="AD470" s="35">
        <f t="shared" si="145"/>
        <v>0</v>
      </c>
      <c r="AE470" s="166" t="str">
        <f t="shared" si="146"/>
        <v>Release</v>
      </c>
      <c r="AF470" s="127"/>
      <c r="AG470" s="18">
        <v>0</v>
      </c>
      <c r="AH470" s="120"/>
      <c r="AI470" s="238">
        <v>0</v>
      </c>
      <c r="AJ470" s="132"/>
      <c r="AK470" s="151">
        <v>159.19999999999999</v>
      </c>
      <c r="AL470" s="154">
        <f t="shared" si="135"/>
        <v>0</v>
      </c>
      <c r="AM470" s="155"/>
      <c r="AN470" s="19">
        <f t="shared" si="136"/>
        <v>1861</v>
      </c>
      <c r="AO470" s="118">
        <f>SUMIF('MPG Payment '!E:E,'Shayak Income '!D470,'MPG Payment '!AJ:AJ)</f>
        <v>0</v>
      </c>
      <c r="AP470" s="19">
        <f t="shared" si="137"/>
        <v>382</v>
      </c>
      <c r="AQ470" s="119">
        <f t="shared" si="147"/>
        <v>382</v>
      </c>
      <c r="AR470" s="91" t="s">
        <v>1168</v>
      </c>
      <c r="AS470" s="91">
        <f t="shared" si="138"/>
        <v>7070.1681213311995</v>
      </c>
      <c r="AT470" s="118"/>
      <c r="AU470" s="118"/>
      <c r="AV470" s="118"/>
    </row>
    <row r="471" spans="1:48" s="20" customFormat="1" x14ac:dyDescent="0.25">
      <c r="A471" s="17">
        <f>IFERROR(VLOOKUP(D471,'Monthly Deduction'!$I$3:$J$957,2,0),0)</f>
        <v>78668.472600000008</v>
      </c>
      <c r="B471" s="17">
        <f>IFERROR(VLOOKUP(D471,'Monthly Deduction'!$E$3:$F$957,2,0),0)</f>
        <v>6400</v>
      </c>
      <c r="C471" s="17">
        <f t="shared" si="139"/>
        <v>85068.472600000008</v>
      </c>
      <c r="D471" s="41">
        <v>10140095</v>
      </c>
      <c r="E471" s="122" t="str">
        <f>VLOOKUP(D471,'MPG Payment '!$E$3:$G$498218,2,0)</f>
        <v>Gomukh Ekauni Karuwaj</v>
      </c>
      <c r="F471" s="146">
        <f>IFERROR(_xlfn.XLOOKUP(D471,'Monthly Deduction'!$I$3:$I$957,'Monthly Deduction'!$H$3:$H$957),0)</f>
        <v>0</v>
      </c>
      <c r="G471" s="123" t="str">
        <f>VLOOKUP(D471,'MPG Payment '!$E$3:$G$334579,3,0)</f>
        <v>MPG</v>
      </c>
      <c r="H471" s="124" t="str">
        <f>VLOOKUP(D471,'MPG Payment '!$E$3:$H$334579,4,0)</f>
        <v>Direct</v>
      </c>
      <c r="I471" s="88">
        <f>INDEX('MPG Payment '!$C:$C,MATCH('Shayak Income '!D471,'MPG Payment '!E:E,0))</f>
        <v>1014</v>
      </c>
      <c r="J471" s="88" t="str">
        <f>INDEX('MPG Payment '!$D:$D,MATCH('Shayak Income '!D471,'MPG Payment '!E:E,0))</f>
        <v>Dumraon</v>
      </c>
      <c r="K471" s="125" t="s">
        <v>1322</v>
      </c>
      <c r="L471" s="125">
        <v>45352</v>
      </c>
      <c r="M471" s="126">
        <f>SUMIF('MPG Payment '!$E$3:$E$34579,'Shayak Income '!D471,'MPG Payment '!$I$3:$I$34579)</f>
        <v>1475.1000000000001</v>
      </c>
      <c r="N471" s="126">
        <f>SUMIF('MPG Payment '!$E$3:$E$34579,'Shayak Income '!D471,'MPG Payment '!$J$3:$J$34579)</f>
        <v>62764.764456973702</v>
      </c>
      <c r="O471" s="126">
        <f t="shared" si="140"/>
        <v>1106.325</v>
      </c>
      <c r="P471" s="126">
        <f t="shared" si="141"/>
        <v>1401.345</v>
      </c>
      <c r="Q471" s="126">
        <f>SUMIF('MPG Payment '!$E$3:$E$34579,'Shayak Income '!D471,'MPG Payment '!$S$3:$S$34579)</f>
        <v>0</v>
      </c>
      <c r="R471" s="126">
        <f t="shared" si="131"/>
        <v>1882.942933709211</v>
      </c>
      <c r="S471" s="126">
        <f t="shared" si="132"/>
        <v>481.59793370921102</v>
      </c>
      <c r="T471" s="126">
        <f t="shared" si="142"/>
        <v>147.51000000000002</v>
      </c>
      <c r="U471" s="127">
        <f>(((IF(K471="New",0,SUMIF('MPG Payment '!$E$3:$E$34579,'Shayak Income '!D471,'MPG Payment '!$AC$3:$AC$34579))))+0)+0</f>
        <v>1030.0688811131647</v>
      </c>
      <c r="V471" s="127">
        <f t="shared" si="143"/>
        <v>1330</v>
      </c>
      <c r="W471" s="19">
        <v>1330</v>
      </c>
      <c r="X471" s="19">
        <v>0</v>
      </c>
      <c r="Y471" s="128">
        <f>IFERROR(VLOOKUP(D471,'Monthly Deduction'!$M$2:$N$64,2,0),0)</f>
        <v>0</v>
      </c>
      <c r="Z471" s="128">
        <v>0</v>
      </c>
      <c r="AA471" s="126">
        <v>0</v>
      </c>
      <c r="AB471" s="129">
        <f t="shared" si="134"/>
        <v>0</v>
      </c>
      <c r="AC471" s="130">
        <v>0</v>
      </c>
      <c r="AD471" s="35">
        <f t="shared" si="145"/>
        <v>0</v>
      </c>
      <c r="AE471" s="166" t="str">
        <f t="shared" si="146"/>
        <v>Release</v>
      </c>
      <c r="AF471" s="127"/>
      <c r="AG471" s="18">
        <v>0</v>
      </c>
      <c r="AH471" s="120"/>
      <c r="AI471" s="238">
        <v>0</v>
      </c>
      <c r="AJ471" s="132"/>
      <c r="AK471" s="151">
        <v>346</v>
      </c>
      <c r="AL471" s="154">
        <f t="shared" si="135"/>
        <v>0</v>
      </c>
      <c r="AM471" s="155"/>
      <c r="AN471" s="19">
        <f t="shared" si="136"/>
        <v>1861</v>
      </c>
      <c r="AO471" s="118">
        <f>SUMIF('MPG Payment '!E:E,'Shayak Income '!D471,'MPG Payment '!AJ:AJ)</f>
        <v>0</v>
      </c>
      <c r="AP471" s="19">
        <f t="shared" si="137"/>
        <v>1330</v>
      </c>
      <c r="AQ471" s="119">
        <f t="shared" si="147"/>
        <v>1330</v>
      </c>
      <c r="AR471" s="91"/>
      <c r="AS471" s="91">
        <f t="shared" si="138"/>
        <v>6400</v>
      </c>
      <c r="AT471" s="118"/>
      <c r="AU471" s="118"/>
      <c r="AV471" s="118"/>
    </row>
    <row r="472" spans="1:48" s="20" customFormat="1" x14ac:dyDescent="0.25">
      <c r="A472" s="17">
        <f>IFERROR(VLOOKUP(D472,'Monthly Deduction'!$I$3:$J$957,2,0),0)</f>
        <v>24655.292764168902</v>
      </c>
      <c r="B472" s="17">
        <f>IFERROR(VLOOKUP(D472,'Monthly Deduction'!$E$3:$F$957,2,0),0)</f>
        <v>6944</v>
      </c>
      <c r="C472" s="17">
        <f t="shared" si="139"/>
        <v>31599.292764168902</v>
      </c>
      <c r="D472" s="41">
        <v>10140098</v>
      </c>
      <c r="E472" s="122" t="str">
        <f>VLOOKUP(D472,'MPG Payment '!$E$3:$G$498218,2,0)</f>
        <v>Kulharia Agriculture Producer Company Limited</v>
      </c>
      <c r="F472" s="146">
        <f>IFERROR(_xlfn.XLOOKUP(D472,'Monthly Deduction'!$I$3:$I$957,'Monthly Deduction'!$H$3:$H$957),0)</f>
        <v>0</v>
      </c>
      <c r="G472" s="123" t="str">
        <f>VLOOKUP(D472,'MPG Payment '!$E$3:$G$334579,3,0)</f>
        <v>MPG</v>
      </c>
      <c r="H472" s="124" t="str">
        <f>VLOOKUP(D472,'MPG Payment '!$E$3:$H$334579,4,0)</f>
        <v>Direct</v>
      </c>
      <c r="I472" s="88">
        <f>INDEX('MPG Payment '!$C:$C,MATCH('Shayak Income '!D472,'MPG Payment '!E:E,0))</f>
        <v>1014</v>
      </c>
      <c r="J472" s="88" t="str">
        <f>INDEX('MPG Payment '!$D:$D,MATCH('Shayak Income '!D472,'MPG Payment '!E:E,0))</f>
        <v>Dumraon</v>
      </c>
      <c r="K472" s="125" t="s">
        <v>1322</v>
      </c>
      <c r="L472" s="125">
        <v>45457</v>
      </c>
      <c r="M472" s="126">
        <f>SUMIF('MPG Payment '!$E$3:$E$34579,'Shayak Income '!D472,'MPG Payment '!$I$3:$I$34579)</f>
        <v>6628.0000000000009</v>
      </c>
      <c r="N472" s="126">
        <f>SUMIF('MPG Payment '!$E$3:$E$34579,'Shayak Income '!D472,'MPG Payment '!$J$3:$J$34579)</f>
        <v>256693.95636282122</v>
      </c>
      <c r="O472" s="126">
        <f t="shared" si="140"/>
        <v>4971.0000000000009</v>
      </c>
      <c r="P472" s="126">
        <f t="shared" si="141"/>
        <v>6296.6</v>
      </c>
      <c r="Q472" s="126">
        <f>SUMIF('MPG Payment '!$E$3:$E$34579,'Shayak Income '!D472,'MPG Payment '!$S$3:$S$34579)</f>
        <v>2034.3460170480002</v>
      </c>
      <c r="R472" s="126">
        <f t="shared" si="131"/>
        <v>7700.8186908846365</v>
      </c>
      <c r="S472" s="126">
        <f t="shared" si="132"/>
        <v>1404.2186908846361</v>
      </c>
      <c r="T472" s="126">
        <f t="shared" si="142"/>
        <v>662.80000000000018</v>
      </c>
      <c r="U472" s="127">
        <f>(((IF(K472="New",0,SUMIF('MPG Payment '!$E$3:$E$34579,'Shayak Income '!D472,'MPG Payment '!$AC$3:$AC$34579))))+0)+0</f>
        <v>0</v>
      </c>
      <c r="V472" s="127">
        <f t="shared" si="143"/>
        <v>12639</v>
      </c>
      <c r="W472" s="19">
        <f t="shared" si="144"/>
        <v>5133.8791272564249</v>
      </c>
      <c r="X472" s="19">
        <v>0</v>
      </c>
      <c r="Y472" s="128">
        <f>IFERROR(VLOOKUP(D472,'Monthly Deduction'!$M$2:$N$64,2,0),0)</f>
        <v>0</v>
      </c>
      <c r="Z472" s="128">
        <v>0</v>
      </c>
      <c r="AA472" s="126">
        <f>IFERROR(VLOOKUP(D472,'Monthly Deduction'!A:B,2,0),0)</f>
        <v>1227.06</v>
      </c>
      <c r="AB472" s="129">
        <f t="shared" si="134"/>
        <v>6278</v>
      </c>
      <c r="AC472" s="130">
        <v>0</v>
      </c>
      <c r="AD472" s="35">
        <f t="shared" si="145"/>
        <v>6278</v>
      </c>
      <c r="AE472" s="166" t="str">
        <f t="shared" si="146"/>
        <v>Release</v>
      </c>
      <c r="AF472" s="127"/>
      <c r="AG472" s="18">
        <v>0</v>
      </c>
      <c r="AH472" s="132"/>
      <c r="AI472" s="238">
        <v>0</v>
      </c>
      <c r="AJ472" s="132"/>
      <c r="AK472" s="151">
        <v>1337.3000000000002</v>
      </c>
      <c r="AL472" s="154">
        <f t="shared" si="135"/>
        <v>0</v>
      </c>
      <c r="AM472" s="155"/>
      <c r="AN472" s="19">
        <f t="shared" si="136"/>
        <v>5133.8791272564249</v>
      </c>
      <c r="AO472" s="118">
        <f>SUMIF('MPG Payment '!E:E,'Shayak Income '!D472,'MPG Payment '!AJ:AJ)</f>
        <v>0</v>
      </c>
      <c r="AP472" s="19">
        <f t="shared" si="137"/>
        <v>5133.8791272564249</v>
      </c>
      <c r="AQ472" s="119">
        <f t="shared" si="147"/>
        <v>5133.8791272564249</v>
      </c>
      <c r="AR472" s="91"/>
      <c r="AS472" s="91">
        <f t="shared" si="138"/>
        <v>6944</v>
      </c>
      <c r="AT472" s="118"/>
      <c r="AU472" s="118"/>
      <c r="AV472" s="118"/>
    </row>
    <row r="473" spans="1:48" s="20" customFormat="1" x14ac:dyDescent="0.25">
      <c r="A473" s="17">
        <f>IFERROR(VLOOKUP(D473,'Monthly Deduction'!$I$3:$J$957,2,0),0)</f>
        <v>53630</v>
      </c>
      <c r="B473" s="17">
        <f>IFERROR(VLOOKUP(D473,'Monthly Deduction'!$E$3:$F$957,2,0),0)</f>
        <v>2329.0893371431998</v>
      </c>
      <c r="C473" s="17">
        <f t="shared" si="139"/>
        <v>55959.089337143203</v>
      </c>
      <c r="D473" s="41">
        <v>10140099</v>
      </c>
      <c r="E473" s="122" t="str">
        <f>VLOOKUP(D473,'MPG Payment '!$E$3:$G$498218,2,0)</f>
        <v>Gomukh Dhakaich</v>
      </c>
      <c r="F473" s="146">
        <f>IFERROR(_xlfn.XLOOKUP(D473,'Monthly Deduction'!$I$3:$I$957,'Monthly Deduction'!$H$3:$H$957),0)</f>
        <v>0</v>
      </c>
      <c r="G473" s="123" t="str">
        <f>VLOOKUP(D473,'MPG Payment '!$E$3:$G$334579,3,0)</f>
        <v>MPG</v>
      </c>
      <c r="H473" s="124" t="str">
        <f>VLOOKUP(D473,'MPG Payment '!$E$3:$H$334579,4,0)</f>
        <v>Direct</v>
      </c>
      <c r="I473" s="88">
        <f>INDEX('MPG Payment '!$C:$C,MATCH('Shayak Income '!D473,'MPG Payment '!E:E,0))</f>
        <v>1014</v>
      </c>
      <c r="J473" s="88" t="str">
        <f>INDEX('MPG Payment '!$D:$D,MATCH('Shayak Income '!D473,'MPG Payment '!E:E,0))</f>
        <v>Dumraon</v>
      </c>
      <c r="K473" s="125" t="s">
        <v>1322</v>
      </c>
      <c r="L473" s="125">
        <v>45408</v>
      </c>
      <c r="M473" s="126">
        <f>SUMIF('MPG Payment '!$E$3:$E$34579,'Shayak Income '!D473,'MPG Payment '!$I$3:$I$34579)</f>
        <v>858.4</v>
      </c>
      <c r="N473" s="126">
        <f>SUMIF('MPG Payment '!$E$3:$E$34579,'Shayak Income '!D473,'MPG Payment '!$J$3:$J$34579)</f>
        <v>29751.809343880002</v>
      </c>
      <c r="O473" s="126">
        <f t="shared" si="140"/>
        <v>643.79999999999995</v>
      </c>
      <c r="P473" s="126">
        <f t="shared" si="141"/>
        <v>815.4799999999999</v>
      </c>
      <c r="Q473" s="126">
        <f>SUMIF('MPG Payment '!$E$3:$E$34579,'Shayak Income '!D473,'MPG Payment '!$S$3:$S$34579)</f>
        <v>0</v>
      </c>
      <c r="R473" s="126">
        <f t="shared" si="131"/>
        <v>892.55428031640008</v>
      </c>
      <c r="S473" s="126">
        <f t="shared" si="132"/>
        <v>77.074280316400177</v>
      </c>
      <c r="T473" s="126">
        <f t="shared" si="142"/>
        <v>85.84</v>
      </c>
      <c r="U473" s="127">
        <f>(((IF(K473="New",0,SUMIF('MPG Payment '!$E$3:$E$34579,'Shayak Income '!D473,'MPG Payment '!$AC$3:$AC$34579))))+0)+0</f>
        <v>1350.7120250627645</v>
      </c>
      <c r="V473" s="127">
        <f t="shared" si="143"/>
        <v>23</v>
      </c>
      <c r="W473" s="19">
        <v>23</v>
      </c>
      <c r="X473" s="19">
        <v>0</v>
      </c>
      <c r="Y473" s="128">
        <f>IFERROR(VLOOKUP(D473,'Monthly Deduction'!$M$2:$N$64,2,0),0)</f>
        <v>0</v>
      </c>
      <c r="Z473" s="128">
        <v>0</v>
      </c>
      <c r="AA473" s="126">
        <v>0</v>
      </c>
      <c r="AB473" s="129">
        <f t="shared" si="134"/>
        <v>0</v>
      </c>
      <c r="AC473" s="130">
        <v>0</v>
      </c>
      <c r="AD473" s="35">
        <f t="shared" si="145"/>
        <v>0</v>
      </c>
      <c r="AE473" s="166" t="str">
        <f t="shared" si="146"/>
        <v>Release</v>
      </c>
      <c r="AF473" s="127"/>
      <c r="AG473" s="18">
        <v>0</v>
      </c>
      <c r="AH473" s="132"/>
      <c r="AI473" s="238">
        <v>0</v>
      </c>
      <c r="AJ473" s="132"/>
      <c r="AK473" s="151">
        <v>189.70000000000002</v>
      </c>
      <c r="AL473" s="154">
        <f t="shared" si="135"/>
        <v>0</v>
      </c>
      <c r="AM473" s="155"/>
      <c r="AN473" s="19">
        <f t="shared" si="136"/>
        <v>1861</v>
      </c>
      <c r="AO473" s="118">
        <f>SUMIF('MPG Payment '!E:E,'Shayak Income '!D473,'MPG Payment '!AJ:AJ)</f>
        <v>0</v>
      </c>
      <c r="AP473" s="19">
        <f t="shared" si="137"/>
        <v>23</v>
      </c>
      <c r="AQ473" s="119">
        <f t="shared" si="147"/>
        <v>23</v>
      </c>
      <c r="AR473" s="91"/>
      <c r="AS473" s="91">
        <f t="shared" si="138"/>
        <v>2329.0893371431998</v>
      </c>
      <c r="AT473" s="118"/>
      <c r="AU473" s="118"/>
      <c r="AV473" s="118"/>
    </row>
    <row r="474" spans="1:48" s="20" customFormat="1" x14ac:dyDescent="0.25">
      <c r="A474" s="17">
        <f>IFERROR(VLOOKUP(D474,'Monthly Deduction'!$I$3:$J$957,2,0),0)</f>
        <v>0</v>
      </c>
      <c r="B474" s="17">
        <f>IFERROR(VLOOKUP(D474,'Monthly Deduction'!$E$3:$F$957,2,0),0)</f>
        <v>0</v>
      </c>
      <c r="C474" s="17">
        <f t="shared" si="139"/>
        <v>0</v>
      </c>
      <c r="D474" s="41">
        <v>10140109</v>
      </c>
      <c r="E474" s="122" t="str">
        <f>VLOOKUP(D474,'MPG Payment '!$E$3:$G$498218,2,0)</f>
        <v>Gomukh Kajipura Chandan</v>
      </c>
      <c r="F474" s="146">
        <f>IFERROR(_xlfn.XLOOKUP(D474,'Monthly Deduction'!$I$3:$I$957,'Monthly Deduction'!$H$3:$H$957),0)</f>
        <v>0</v>
      </c>
      <c r="G474" s="123" t="str">
        <f>VLOOKUP(D474,'MPG Payment '!$E$3:$G$334579,3,0)</f>
        <v>vlc</v>
      </c>
      <c r="H474" s="124" t="str">
        <f>VLOOKUP(D474,'MPG Payment '!$E$3:$H$334579,4,0)</f>
        <v>Indirect</v>
      </c>
      <c r="I474" s="88">
        <f>INDEX('MPG Payment '!$C:$C,MATCH('Shayak Income '!D474,'MPG Payment '!E:E,0))</f>
        <v>1014</v>
      </c>
      <c r="J474" s="88" t="str">
        <f>INDEX('MPG Payment '!$D:$D,MATCH('Shayak Income '!D474,'MPG Payment '!E:E,0))</f>
        <v>Dumraon</v>
      </c>
      <c r="K474" s="125" t="s">
        <v>1322</v>
      </c>
      <c r="L474" s="125">
        <v>45444</v>
      </c>
      <c r="M474" s="126">
        <f>SUMIF('MPG Payment '!$E$3:$E$34579,'Shayak Income '!D474,'MPG Payment '!$I$3:$I$34579)</f>
        <v>1414.4</v>
      </c>
      <c r="N474" s="126">
        <f>SUMIF('MPG Payment '!$E$3:$E$34579,'Shayak Income '!D474,'MPG Payment '!$J$3:$J$34579)</f>
        <v>52849.395211400006</v>
      </c>
      <c r="O474" s="126">
        <f t="shared" si="140"/>
        <v>1060.8000000000002</v>
      </c>
      <c r="P474" s="126">
        <f t="shared" si="141"/>
        <v>1343.68</v>
      </c>
      <c r="Q474" s="126">
        <f>SUMIF('MPG Payment '!$E$3:$E$34579,'Shayak Income '!D474,'MPG Payment '!$S$3:$S$34579)</f>
        <v>0</v>
      </c>
      <c r="R474" s="126">
        <f t="shared" si="131"/>
        <v>1585.4818563420001</v>
      </c>
      <c r="S474" s="126">
        <f t="shared" si="132"/>
        <v>241.80185634200006</v>
      </c>
      <c r="T474" s="126">
        <f t="shared" si="142"/>
        <v>141.44000000000003</v>
      </c>
      <c r="U474" s="127">
        <f>(((IF(K474="New",0,SUMIF('MPG Payment '!$E$3:$E$34579,'Shayak Income '!D474,'MPG Payment '!$AC$3:$AC$34579))))+0)+0</f>
        <v>1020.1006966616403</v>
      </c>
      <c r="V474" s="127">
        <f t="shared" si="143"/>
        <v>1243</v>
      </c>
      <c r="W474" s="19">
        <f t="shared" si="144"/>
        <v>0</v>
      </c>
      <c r="X474" s="19">
        <f t="shared" si="133"/>
        <v>0</v>
      </c>
      <c r="Y474" s="128">
        <f>IFERROR(VLOOKUP(D474,'Monthly Deduction'!$M$2:$N$64,2,0),0)</f>
        <v>0</v>
      </c>
      <c r="Z474" s="128">
        <v>0</v>
      </c>
      <c r="AA474" s="126">
        <f>IFERROR(VLOOKUP(D474,'Monthly Deduction'!A:B,2,0),0)</f>
        <v>109.80000000000001</v>
      </c>
      <c r="AB474" s="129">
        <f t="shared" si="134"/>
        <v>1133</v>
      </c>
      <c r="AC474" s="130">
        <v>0</v>
      </c>
      <c r="AD474" s="35">
        <f t="shared" si="145"/>
        <v>1133</v>
      </c>
      <c r="AE474" s="166" t="str">
        <f t="shared" si="146"/>
        <v>Release</v>
      </c>
      <c r="AF474" s="127"/>
      <c r="AG474" s="18">
        <v>0</v>
      </c>
      <c r="AH474" s="132"/>
      <c r="AI474" s="238">
        <v>0</v>
      </c>
      <c r="AJ474" s="132"/>
      <c r="AK474" s="151">
        <v>566.19999999999993</v>
      </c>
      <c r="AL474" s="154">
        <f t="shared" si="135"/>
        <v>0</v>
      </c>
      <c r="AM474" s="155"/>
      <c r="AN474" s="19">
        <f t="shared" si="136"/>
        <v>0</v>
      </c>
      <c r="AO474" s="118">
        <f>SUMIF('MPG Payment '!E:E,'Shayak Income '!D474,'MPG Payment '!AJ:AJ)</f>
        <v>0</v>
      </c>
      <c r="AP474" s="19">
        <f t="shared" si="137"/>
        <v>0</v>
      </c>
      <c r="AQ474" s="119">
        <f t="shared" si="147"/>
        <v>0</v>
      </c>
      <c r="AR474" s="91" t="s">
        <v>1168</v>
      </c>
      <c r="AS474" s="91">
        <f t="shared" si="138"/>
        <v>0</v>
      </c>
      <c r="AT474" s="118"/>
      <c r="AU474" s="118"/>
      <c r="AV474" s="118"/>
    </row>
    <row r="475" spans="1:48" s="20" customFormat="1" x14ac:dyDescent="0.25">
      <c r="A475" s="17">
        <f>IFERROR(VLOOKUP(D475,'Monthly Deduction'!$I$3:$J$957,2,0),0)</f>
        <v>70690</v>
      </c>
      <c r="B475" s="17">
        <f>IFERROR(VLOOKUP(D475,'Monthly Deduction'!$E$3:$F$957,2,0),0)</f>
        <v>0</v>
      </c>
      <c r="C475" s="17">
        <f t="shared" si="139"/>
        <v>70690</v>
      </c>
      <c r="D475" s="41">
        <v>10140120</v>
      </c>
      <c r="E475" s="122" t="str">
        <f>VLOOKUP(D475,'MPG Payment '!$E$3:$G$498218,2,0)</f>
        <v>Gomukh Sikraul Lakh</v>
      </c>
      <c r="F475" s="146">
        <f>IFERROR(_xlfn.XLOOKUP(D475,'Monthly Deduction'!$I$3:$I$957,'Monthly Deduction'!$H$3:$H$957),0)</f>
        <v>0</v>
      </c>
      <c r="G475" s="123" t="str">
        <f>VLOOKUP(D475,'MPG Payment '!$E$3:$G$334579,3,0)</f>
        <v>MPG</v>
      </c>
      <c r="H475" s="124" t="str">
        <f>VLOOKUP(D475,'MPG Payment '!$E$3:$H$334579,4,0)</f>
        <v>Direct</v>
      </c>
      <c r="I475" s="88">
        <f>INDEX('MPG Payment '!$C:$C,MATCH('Shayak Income '!D475,'MPG Payment '!E:E,0))</f>
        <v>1014</v>
      </c>
      <c r="J475" s="88" t="str">
        <f>INDEX('MPG Payment '!$D:$D,MATCH('Shayak Income '!D475,'MPG Payment '!E:E,0))</f>
        <v>Dumraon</v>
      </c>
      <c r="K475" s="125" t="s">
        <v>1322</v>
      </c>
      <c r="L475" s="125">
        <v>45590</v>
      </c>
      <c r="M475" s="126">
        <f>SUMIF('MPG Payment '!$E$3:$E$34579,'Shayak Income '!D475,'MPG Payment '!$I$3:$I$34579)</f>
        <v>1594.2</v>
      </c>
      <c r="N475" s="126">
        <f>SUMIF('MPG Payment '!$E$3:$E$34579,'Shayak Income '!D475,'MPG Payment '!$J$3:$J$34579)</f>
        <v>62750.70641015</v>
      </c>
      <c r="O475" s="126">
        <f t="shared" si="140"/>
        <v>1195.6500000000001</v>
      </c>
      <c r="P475" s="126">
        <f t="shared" si="141"/>
        <v>1514.49</v>
      </c>
      <c r="Q475" s="126">
        <f>SUMIF('MPG Payment '!$E$3:$E$34579,'Shayak Income '!D475,'MPG Payment '!$S$3:$S$34579)</f>
        <v>827.27412357915</v>
      </c>
      <c r="R475" s="126">
        <f t="shared" si="131"/>
        <v>1882.5211923044999</v>
      </c>
      <c r="S475" s="126">
        <f t="shared" si="132"/>
        <v>368.03119230449988</v>
      </c>
      <c r="T475" s="126">
        <f t="shared" si="142"/>
        <v>159.42000000000002</v>
      </c>
      <c r="U475" s="127">
        <f>(((IF(K475="New",0,SUMIF('MPG Payment '!$E$3:$E$34579,'Shayak Income '!D475,'MPG Payment '!$AC$3:$AC$34579))))+0)+0</f>
        <v>954.30441330523399</v>
      </c>
      <c r="V475" s="127">
        <f t="shared" si="143"/>
        <v>2424</v>
      </c>
      <c r="W475" s="19">
        <f t="shared" si="144"/>
        <v>1861</v>
      </c>
      <c r="X475" s="19">
        <v>0</v>
      </c>
      <c r="Y475" s="128">
        <f>IFERROR(VLOOKUP(D475,'Monthly Deduction'!$M$2:$N$64,2,0),0)</f>
        <v>0</v>
      </c>
      <c r="Z475" s="128">
        <v>0</v>
      </c>
      <c r="AA475" s="126">
        <f>IFERROR(VLOOKUP(D475,'Monthly Deduction'!A:B,2,0),0)</f>
        <v>348.52</v>
      </c>
      <c r="AB475" s="129">
        <f t="shared" si="134"/>
        <v>214</v>
      </c>
      <c r="AC475" s="130">
        <v>0</v>
      </c>
      <c r="AD475" s="35">
        <f t="shared" si="145"/>
        <v>214</v>
      </c>
      <c r="AE475" s="166" t="str">
        <f t="shared" si="146"/>
        <v>Release</v>
      </c>
      <c r="AF475" s="127"/>
      <c r="AG475" s="18">
        <v>0</v>
      </c>
      <c r="AH475" s="120"/>
      <c r="AI475" s="238">
        <v>0</v>
      </c>
      <c r="AJ475" s="132"/>
      <c r="AK475" s="151">
        <v>289.8</v>
      </c>
      <c r="AL475" s="154">
        <f t="shared" si="135"/>
        <v>0</v>
      </c>
      <c r="AM475" s="155"/>
      <c r="AN475" s="19">
        <f t="shared" si="136"/>
        <v>1861</v>
      </c>
      <c r="AO475" s="118">
        <f>SUMIF('MPG Payment '!E:E,'Shayak Income '!D475,'MPG Payment '!AJ:AJ)</f>
        <v>0</v>
      </c>
      <c r="AP475" s="19">
        <f t="shared" si="137"/>
        <v>1861</v>
      </c>
      <c r="AQ475" s="119">
        <f t="shared" si="147"/>
        <v>1861</v>
      </c>
      <c r="AR475" s="91" t="s">
        <v>1168</v>
      </c>
      <c r="AS475" s="91">
        <f t="shared" si="138"/>
        <v>0</v>
      </c>
      <c r="AT475" s="118"/>
      <c r="AU475" s="118"/>
      <c r="AV475" s="118"/>
    </row>
    <row r="476" spans="1:48" s="20" customFormat="1" x14ac:dyDescent="0.25">
      <c r="A476" s="17">
        <f>IFERROR(VLOOKUP(D476,'Monthly Deduction'!$I$3:$J$957,2,0),0)</f>
        <v>65439.065571768006</v>
      </c>
      <c r="B476" s="17">
        <f>IFERROR(VLOOKUP(D476,'Monthly Deduction'!$E$3:$F$957,2,0),0)</f>
        <v>9600</v>
      </c>
      <c r="C476" s="17">
        <f t="shared" si="139"/>
        <v>75039.065571768006</v>
      </c>
      <c r="D476" s="41">
        <v>10140126</v>
      </c>
      <c r="E476" s="122" t="str">
        <f>VLOOKUP(D476,'MPG Payment '!$E$3:$G$498218,2,0)</f>
        <v>Gomukh Dafadihari</v>
      </c>
      <c r="F476" s="146">
        <f>IFERROR(_xlfn.XLOOKUP(D476,'Monthly Deduction'!$I$3:$I$957,'Monthly Deduction'!$H$3:$H$957),0)</f>
        <v>0</v>
      </c>
      <c r="G476" s="123" t="str">
        <f>VLOOKUP(D476,'MPG Payment '!$E$3:$G$334579,3,0)</f>
        <v>MPG</v>
      </c>
      <c r="H476" s="124" t="str">
        <f>VLOOKUP(D476,'MPG Payment '!$E$3:$H$334579,4,0)</f>
        <v>Direct</v>
      </c>
      <c r="I476" s="88">
        <f>INDEX('MPG Payment '!$C:$C,MATCH('Shayak Income '!D476,'MPG Payment '!E:E,0))</f>
        <v>1014</v>
      </c>
      <c r="J476" s="88" t="str">
        <f>INDEX('MPG Payment '!$D:$D,MATCH('Shayak Income '!D476,'MPG Payment '!E:E,0))</f>
        <v>Dumraon</v>
      </c>
      <c r="K476" s="125" t="s">
        <v>1322</v>
      </c>
      <c r="L476" s="125">
        <v>45590</v>
      </c>
      <c r="M476" s="126">
        <f>SUMIF('MPG Payment '!$E$3:$E$34579,'Shayak Income '!D476,'MPG Payment '!$I$3:$I$34579)</f>
        <v>574.79999999999995</v>
      </c>
      <c r="N476" s="126">
        <f>SUMIF('MPG Payment '!$E$3:$E$34579,'Shayak Income '!D476,'MPG Payment '!$J$3:$J$34579)</f>
        <v>20385.719417520002</v>
      </c>
      <c r="O476" s="126">
        <f t="shared" si="140"/>
        <v>431.09999999999997</v>
      </c>
      <c r="P476" s="126">
        <f t="shared" si="141"/>
        <v>546.05999999999995</v>
      </c>
      <c r="Q476" s="126">
        <f>SUMIF('MPG Payment '!$E$3:$E$34579,'Shayak Income '!D476,'MPG Payment '!$S$3:$S$34579)</f>
        <v>437.98416602999993</v>
      </c>
      <c r="R476" s="126">
        <f t="shared" si="131"/>
        <v>611.57158252560009</v>
      </c>
      <c r="S476" s="126">
        <f t="shared" si="132"/>
        <v>65.511582525600147</v>
      </c>
      <c r="T476" s="126">
        <f t="shared" si="142"/>
        <v>57.48</v>
      </c>
      <c r="U476" s="127">
        <f>(((IF(K476="New",0,SUMIF('MPG Payment '!$E$3:$E$34579,'Shayak Income '!D476,'MPG Payment '!$AC$3:$AC$34579))))+0)+-222</f>
        <v>1357.939059154837</v>
      </c>
      <c r="V476" s="127">
        <f t="shared" si="143"/>
        <v>0</v>
      </c>
      <c r="W476" s="19">
        <v>0</v>
      </c>
      <c r="X476" s="19">
        <v>0</v>
      </c>
      <c r="Y476" s="128">
        <v>0</v>
      </c>
      <c r="Z476" s="128">
        <v>0</v>
      </c>
      <c r="AA476" s="126">
        <v>0</v>
      </c>
      <c r="AB476" s="129">
        <f t="shared" si="134"/>
        <v>0</v>
      </c>
      <c r="AC476" s="130">
        <v>0</v>
      </c>
      <c r="AD476" s="35">
        <f t="shared" si="145"/>
        <v>0</v>
      </c>
      <c r="AE476" s="166" t="str">
        <f t="shared" si="146"/>
        <v>Release</v>
      </c>
      <c r="AF476" s="127"/>
      <c r="AG476" s="18">
        <v>0</v>
      </c>
      <c r="AH476" s="132"/>
      <c r="AI476" s="238">
        <v>0</v>
      </c>
      <c r="AJ476" s="132"/>
      <c r="AK476" s="151">
        <v>189.39999999999998</v>
      </c>
      <c r="AL476" s="154">
        <f t="shared" si="135"/>
        <v>0</v>
      </c>
      <c r="AM476" s="155"/>
      <c r="AN476" s="19">
        <f t="shared" si="136"/>
        <v>1861</v>
      </c>
      <c r="AO476" s="118">
        <f>SUMIF('MPG Payment '!E:E,'Shayak Income '!D476,'MPG Payment '!AJ:AJ)</f>
        <v>0</v>
      </c>
      <c r="AP476" s="19">
        <f t="shared" si="137"/>
        <v>0</v>
      </c>
      <c r="AQ476" s="119">
        <f t="shared" si="147"/>
        <v>0</v>
      </c>
      <c r="AR476" s="91" t="s">
        <v>1168</v>
      </c>
      <c r="AS476" s="91">
        <f t="shared" si="138"/>
        <v>9600</v>
      </c>
      <c r="AT476" s="118"/>
      <c r="AU476" s="118"/>
      <c r="AV476" s="118"/>
    </row>
    <row r="477" spans="1:48" s="20" customFormat="1" x14ac:dyDescent="0.25">
      <c r="A477" s="17">
        <f>IFERROR(VLOOKUP(D477,'Monthly Deduction'!$I$3:$J$957,2,0),0)</f>
        <v>46674.719413926781</v>
      </c>
      <c r="B477" s="17">
        <f>IFERROR(VLOOKUP(D477,'Monthly Deduction'!$E$3:$F$957,2,0),0)</f>
        <v>9100</v>
      </c>
      <c r="C477" s="17">
        <f t="shared" si="139"/>
        <v>55774.719413926781</v>
      </c>
      <c r="D477" s="41">
        <v>10140129</v>
      </c>
      <c r="E477" s="122" t="str">
        <f>VLOOKUP(D477,'MPG Payment '!$E$3:$G$498218,2,0)</f>
        <v>Gomukh Paharpur</v>
      </c>
      <c r="F477" s="146">
        <f>IFERROR(_xlfn.XLOOKUP(D477,'Monthly Deduction'!$I$3:$I$957,'Monthly Deduction'!$H$3:$H$957),0)</f>
        <v>0</v>
      </c>
      <c r="G477" s="123" t="str">
        <f>VLOOKUP(D477,'MPG Payment '!$E$3:$G$334579,3,0)</f>
        <v>MPG</v>
      </c>
      <c r="H477" s="124" t="str">
        <f>VLOOKUP(D477,'MPG Payment '!$E$3:$H$334579,4,0)</f>
        <v>Direct</v>
      </c>
      <c r="I477" s="88">
        <f>INDEX('MPG Payment '!$C:$C,MATCH('Shayak Income '!D477,'MPG Payment '!E:E,0))</f>
        <v>1014</v>
      </c>
      <c r="J477" s="88" t="str">
        <f>INDEX('MPG Payment '!$D:$D,MATCH('Shayak Income '!D477,'MPG Payment '!E:E,0))</f>
        <v>Dumraon</v>
      </c>
      <c r="K477" s="125" t="s">
        <v>1322</v>
      </c>
      <c r="L477" s="125">
        <v>45590</v>
      </c>
      <c r="M477" s="126">
        <f>SUMIF('MPG Payment '!$E$3:$E$34579,'Shayak Income '!D477,'MPG Payment '!$I$3:$I$34579)</f>
        <v>691</v>
      </c>
      <c r="N477" s="126">
        <f>SUMIF('MPG Payment '!$E$3:$E$34579,'Shayak Income '!D477,'MPG Payment '!$J$3:$J$34579)</f>
        <v>23742.462337862002</v>
      </c>
      <c r="O477" s="126">
        <f t="shared" si="140"/>
        <v>518.25</v>
      </c>
      <c r="P477" s="126">
        <f t="shared" si="141"/>
        <v>656.44999999999993</v>
      </c>
      <c r="Q477" s="126">
        <f>SUMIF('MPG Payment '!$E$3:$E$34579,'Shayak Income '!D477,'MPG Payment '!$S$3:$S$34579)</f>
        <v>0</v>
      </c>
      <c r="R477" s="126">
        <f t="shared" si="131"/>
        <v>712.27387013586008</v>
      </c>
      <c r="S477" s="126">
        <f t="shared" si="132"/>
        <v>55.823870135860147</v>
      </c>
      <c r="T477" s="126">
        <f t="shared" si="142"/>
        <v>69.100000000000009</v>
      </c>
      <c r="U477" s="127">
        <f>(((IF(K477="New",0,SUMIF('MPG Payment '!$E$3:$E$34579,'Shayak Income '!D477,'MPG Payment '!$AC$3:$AC$34579))))+0)+-341</f>
        <v>1105.3012904115631</v>
      </c>
      <c r="V477" s="127">
        <f t="shared" si="143"/>
        <v>0</v>
      </c>
      <c r="W477" s="19">
        <v>0</v>
      </c>
      <c r="X477" s="19">
        <v>0</v>
      </c>
      <c r="Y477" s="128">
        <v>0</v>
      </c>
      <c r="Z477" s="128">
        <v>0</v>
      </c>
      <c r="AA477" s="126">
        <v>0</v>
      </c>
      <c r="AB477" s="129">
        <f t="shared" si="134"/>
        <v>0</v>
      </c>
      <c r="AC477" s="130">
        <v>0</v>
      </c>
      <c r="AD477" s="35">
        <f t="shared" si="145"/>
        <v>0</v>
      </c>
      <c r="AE477" s="166" t="str">
        <f t="shared" si="146"/>
        <v>Release</v>
      </c>
      <c r="AF477" s="127"/>
      <c r="AG477" s="18">
        <v>0</v>
      </c>
      <c r="AH477" s="120"/>
      <c r="AI477" s="238">
        <v>0</v>
      </c>
      <c r="AJ477" s="132"/>
      <c r="AK477" s="151">
        <v>144.6</v>
      </c>
      <c r="AL477" s="154">
        <f t="shared" si="135"/>
        <v>0</v>
      </c>
      <c r="AM477" s="155"/>
      <c r="AN477" s="19">
        <f t="shared" si="136"/>
        <v>1861</v>
      </c>
      <c r="AO477" s="118">
        <f>SUMIF('MPG Payment '!E:E,'Shayak Income '!D477,'MPG Payment '!AJ:AJ)</f>
        <v>500</v>
      </c>
      <c r="AP477" s="19">
        <f t="shared" si="137"/>
        <v>0</v>
      </c>
      <c r="AQ477" s="119">
        <f t="shared" si="147"/>
        <v>500</v>
      </c>
      <c r="AR477" s="91" t="s">
        <v>1168</v>
      </c>
      <c r="AS477" s="91">
        <f t="shared" si="138"/>
        <v>9100</v>
      </c>
      <c r="AT477" s="118"/>
      <c r="AU477" s="118"/>
      <c r="AV477" s="118"/>
    </row>
    <row r="478" spans="1:48" s="20" customFormat="1" x14ac:dyDescent="0.25">
      <c r="A478" s="17">
        <f>IFERROR(VLOOKUP(D478,'Monthly Deduction'!$I$3:$J$957,2,0),0)</f>
        <v>90992.81877117914</v>
      </c>
      <c r="B478" s="17">
        <f>IFERROR(VLOOKUP(D478,'Monthly Deduction'!$E$3:$F$957,2,0),0)</f>
        <v>8288.0897999999997</v>
      </c>
      <c r="C478" s="17">
        <f t="shared" si="139"/>
        <v>99280.908571179141</v>
      </c>
      <c r="D478" s="41">
        <v>10140131</v>
      </c>
      <c r="E478" s="122" t="str">
        <f>VLOOKUP(D478,'MPG Payment '!$E$3:$G$498218,2,0)</f>
        <v>Gomukh Basaon Kalan</v>
      </c>
      <c r="F478" s="146">
        <f>IFERROR(_xlfn.XLOOKUP(D478,'Monthly Deduction'!$I$3:$I$957,'Monthly Deduction'!$H$3:$H$957),0)</f>
        <v>0</v>
      </c>
      <c r="G478" s="123" t="str">
        <f>VLOOKUP(D478,'MPG Payment '!$E$3:$G$334579,3,0)</f>
        <v>MPG</v>
      </c>
      <c r="H478" s="124" t="str">
        <f>VLOOKUP(D478,'MPG Payment '!$E$3:$H$334579,4,0)</f>
        <v>Direct</v>
      </c>
      <c r="I478" s="88">
        <f>INDEX('MPG Payment '!$C:$C,MATCH('Shayak Income '!D478,'MPG Payment '!E:E,0))</f>
        <v>1014</v>
      </c>
      <c r="J478" s="88" t="str">
        <f>INDEX('MPG Payment '!$D:$D,MATCH('Shayak Income '!D478,'MPG Payment '!E:E,0))</f>
        <v>Dumraon</v>
      </c>
      <c r="K478" s="125" t="s">
        <v>1322</v>
      </c>
      <c r="L478" s="125">
        <v>45590</v>
      </c>
      <c r="M478" s="126">
        <f>SUMIF('MPG Payment '!$E$3:$E$34579,'Shayak Income '!D478,'MPG Payment '!$I$3:$I$34579)</f>
        <v>758.6</v>
      </c>
      <c r="N478" s="126">
        <f>SUMIF('MPG Payment '!$E$3:$E$34579,'Shayak Income '!D478,'MPG Payment '!$J$3:$J$34579)</f>
        <v>26395.814138749498</v>
      </c>
      <c r="O478" s="126">
        <f t="shared" si="140"/>
        <v>568.95000000000005</v>
      </c>
      <c r="P478" s="126">
        <f t="shared" si="141"/>
        <v>720.67</v>
      </c>
      <c r="Q478" s="126">
        <f>SUMIF('MPG Payment '!$E$3:$E$34579,'Shayak Income '!D478,'MPG Payment '!$S$3:$S$34579)</f>
        <v>0</v>
      </c>
      <c r="R478" s="126">
        <f t="shared" si="131"/>
        <v>791.87442416248496</v>
      </c>
      <c r="S478" s="126">
        <f t="shared" si="132"/>
        <v>71.204424162484997</v>
      </c>
      <c r="T478" s="126">
        <f t="shared" si="142"/>
        <v>75.86</v>
      </c>
      <c r="U478" s="127">
        <f>(((IF(K478="New",0,SUMIF('MPG Payment '!$E$3:$E$34579,'Shayak Income '!D478,'MPG Payment '!$AC$3:$AC$34579))))+0)+-204</f>
        <v>1214.0410960975983</v>
      </c>
      <c r="V478" s="127">
        <f t="shared" si="143"/>
        <v>0</v>
      </c>
      <c r="W478" s="19">
        <v>0</v>
      </c>
      <c r="X478" s="19">
        <v>0</v>
      </c>
      <c r="Y478" s="128">
        <v>0</v>
      </c>
      <c r="Z478" s="128">
        <v>0</v>
      </c>
      <c r="AA478" s="126">
        <v>0</v>
      </c>
      <c r="AB478" s="129">
        <f t="shared" si="134"/>
        <v>0</v>
      </c>
      <c r="AC478" s="130">
        <v>0</v>
      </c>
      <c r="AD478" s="35">
        <f t="shared" si="145"/>
        <v>0</v>
      </c>
      <c r="AE478" s="166" t="str">
        <f t="shared" si="146"/>
        <v>Release</v>
      </c>
      <c r="AF478" s="127"/>
      <c r="AG478" s="18">
        <v>0</v>
      </c>
      <c r="AH478" s="120"/>
      <c r="AI478" s="238">
        <v>0</v>
      </c>
      <c r="AJ478" s="132"/>
      <c r="AK478" s="151">
        <v>104.5</v>
      </c>
      <c r="AL478" s="154">
        <f t="shared" si="135"/>
        <v>0</v>
      </c>
      <c r="AM478" s="155"/>
      <c r="AN478" s="19">
        <f t="shared" si="136"/>
        <v>1861</v>
      </c>
      <c r="AO478" s="118">
        <f>SUMIF('MPG Payment '!E:E,'Shayak Income '!D478,'MPG Payment '!AJ:AJ)</f>
        <v>0</v>
      </c>
      <c r="AP478" s="19">
        <f t="shared" si="137"/>
        <v>0</v>
      </c>
      <c r="AQ478" s="119">
        <f t="shared" si="147"/>
        <v>0</v>
      </c>
      <c r="AR478" s="91" t="s">
        <v>1168</v>
      </c>
      <c r="AS478" s="91">
        <f t="shared" si="138"/>
        <v>8288.0897999999997</v>
      </c>
      <c r="AT478" s="118"/>
      <c r="AU478" s="118"/>
      <c r="AV478" s="118"/>
    </row>
    <row r="479" spans="1:48" s="20" customFormat="1" x14ac:dyDescent="0.25">
      <c r="A479" s="17">
        <f>IFERROR(VLOOKUP(D479,'Monthly Deduction'!$I$3:$J$957,2,0),0)</f>
        <v>60533</v>
      </c>
      <c r="B479" s="17">
        <f>IFERROR(VLOOKUP(D479,'Monthly Deduction'!$E$3:$F$957,2,0),0)</f>
        <v>6400</v>
      </c>
      <c r="C479" s="17">
        <f t="shared" si="139"/>
        <v>66933</v>
      </c>
      <c r="D479" s="41">
        <v>10140132</v>
      </c>
      <c r="E479" s="122" t="str">
        <f>VLOOKUP(D479,'MPG Payment '!$E$3:$G$498218,2,0)</f>
        <v>Gomukh Mangolpur</v>
      </c>
      <c r="F479" s="146">
        <f>IFERROR(_xlfn.XLOOKUP(D479,'Monthly Deduction'!$I$3:$I$957,'Monthly Deduction'!$H$3:$H$957),0)</f>
        <v>0</v>
      </c>
      <c r="G479" s="123" t="str">
        <f>VLOOKUP(D479,'MPG Payment '!$E$3:$G$334579,3,0)</f>
        <v>MPG</v>
      </c>
      <c r="H479" s="124" t="str">
        <f>VLOOKUP(D479,'MPG Payment '!$E$3:$H$334579,4,0)</f>
        <v>Direct</v>
      </c>
      <c r="I479" s="88">
        <f>INDEX('MPG Payment '!$C:$C,MATCH('Shayak Income '!D479,'MPG Payment '!E:E,0))</f>
        <v>1014</v>
      </c>
      <c r="J479" s="88" t="str">
        <f>INDEX('MPG Payment '!$D:$D,MATCH('Shayak Income '!D479,'MPG Payment '!E:E,0))</f>
        <v>Dumraon</v>
      </c>
      <c r="K479" s="125" t="s">
        <v>1322</v>
      </c>
      <c r="L479" s="125">
        <v>45590</v>
      </c>
      <c r="M479" s="126">
        <f>SUMIF('MPG Payment '!$E$3:$E$34579,'Shayak Income '!D479,'MPG Payment '!$I$3:$I$34579)</f>
        <v>1150.9000000000001</v>
      </c>
      <c r="N479" s="126">
        <f>SUMIF('MPG Payment '!$E$3:$E$34579,'Shayak Income '!D479,'MPG Payment '!$J$3:$J$34579)</f>
        <v>39537.422348500004</v>
      </c>
      <c r="O479" s="126">
        <f t="shared" si="140"/>
        <v>863.17500000000007</v>
      </c>
      <c r="P479" s="126">
        <f t="shared" si="141"/>
        <v>1093.355</v>
      </c>
      <c r="Q479" s="126">
        <f>SUMIF('MPG Payment '!$E$3:$E$34579,'Shayak Income '!D479,'MPG Payment '!$S$3:$S$34579)</f>
        <v>624.75076101000002</v>
      </c>
      <c r="R479" s="126">
        <f t="shared" si="131"/>
        <v>1186.1226704550002</v>
      </c>
      <c r="S479" s="126">
        <f t="shared" si="132"/>
        <v>92.767670455000143</v>
      </c>
      <c r="T479" s="126">
        <f t="shared" si="142"/>
        <v>115.09000000000002</v>
      </c>
      <c r="U479" s="127">
        <f>(((IF(K479="New",0,SUMIF('MPG Payment '!$E$3:$E$34579,'Shayak Income '!D479,'MPG Payment '!$AC$3:$AC$34579))))+0)+0</f>
        <v>1137.1171642737377</v>
      </c>
      <c r="V479" s="127">
        <f t="shared" si="143"/>
        <v>1329</v>
      </c>
      <c r="W479" s="19">
        <v>1329</v>
      </c>
      <c r="X479" s="19">
        <v>0</v>
      </c>
      <c r="Y479" s="128">
        <v>0</v>
      </c>
      <c r="Z479" s="128">
        <v>0</v>
      </c>
      <c r="AA479" s="126">
        <v>0</v>
      </c>
      <c r="AB479" s="129">
        <f t="shared" si="134"/>
        <v>0</v>
      </c>
      <c r="AC479" s="130">
        <v>0</v>
      </c>
      <c r="AD479" s="35">
        <f t="shared" si="145"/>
        <v>0</v>
      </c>
      <c r="AE479" s="166" t="str">
        <f t="shared" si="146"/>
        <v>Release</v>
      </c>
      <c r="AF479" s="127"/>
      <c r="AG479" s="18">
        <v>0</v>
      </c>
      <c r="AH479" s="120"/>
      <c r="AI479" s="238">
        <v>0</v>
      </c>
      <c r="AJ479" s="132"/>
      <c r="AK479" s="151">
        <v>355.80000000000007</v>
      </c>
      <c r="AL479" s="154">
        <f t="shared" si="135"/>
        <v>0</v>
      </c>
      <c r="AM479" s="155"/>
      <c r="AN479" s="19">
        <f t="shared" si="136"/>
        <v>1861</v>
      </c>
      <c r="AO479" s="118">
        <f>SUMIF('MPG Payment '!E:E,'Shayak Income '!D479,'MPG Payment '!AJ:AJ)</f>
        <v>0</v>
      </c>
      <c r="AP479" s="19">
        <f t="shared" si="137"/>
        <v>1329</v>
      </c>
      <c r="AQ479" s="119">
        <f t="shared" si="147"/>
        <v>1329</v>
      </c>
      <c r="AR479" s="91" t="s">
        <v>1168</v>
      </c>
      <c r="AS479" s="91">
        <f t="shared" si="138"/>
        <v>6400</v>
      </c>
      <c r="AT479" s="118"/>
      <c r="AU479" s="118"/>
      <c r="AV479" s="118"/>
    </row>
    <row r="480" spans="1:48" s="20" customFormat="1" x14ac:dyDescent="0.25">
      <c r="A480" s="17">
        <f>IFERROR(VLOOKUP(D480,'Monthly Deduction'!$I$3:$J$957,2,0),0)</f>
        <v>50708.601925478833</v>
      </c>
      <c r="B480" s="17">
        <f>IFERROR(VLOOKUP(D480,'Monthly Deduction'!$E$3:$F$957,2,0),0)</f>
        <v>12800</v>
      </c>
      <c r="C480" s="17">
        <f t="shared" si="139"/>
        <v>63508.601925478833</v>
      </c>
      <c r="D480" s="41">
        <v>10140135</v>
      </c>
      <c r="E480" s="122" t="str">
        <f>VLOOKUP(D480,'MPG Payment '!$E$3:$G$498218,2,0)</f>
        <v>Gomukh Dhanipur</v>
      </c>
      <c r="F480" s="146">
        <f>IFERROR(_xlfn.XLOOKUP(D480,'Monthly Deduction'!$I$3:$I$957,'Monthly Deduction'!$H$3:$H$957),0)</f>
        <v>0</v>
      </c>
      <c r="G480" s="123" t="str">
        <f>VLOOKUP(D480,'MPG Payment '!$E$3:$G$334579,3,0)</f>
        <v>MPG</v>
      </c>
      <c r="H480" s="124" t="str">
        <f>VLOOKUP(D480,'MPG Payment '!$E$3:$H$334579,4,0)</f>
        <v>Direct</v>
      </c>
      <c r="I480" s="88">
        <f>INDEX('MPG Payment '!$C:$C,MATCH('Shayak Income '!D480,'MPG Payment '!E:E,0))</f>
        <v>1014</v>
      </c>
      <c r="J480" s="88" t="str">
        <f>INDEX('MPG Payment '!$D:$D,MATCH('Shayak Income '!D480,'MPG Payment '!E:E,0))</f>
        <v>Dumraon</v>
      </c>
      <c r="K480" s="125" t="s">
        <v>1322</v>
      </c>
      <c r="L480" s="125">
        <v>45599</v>
      </c>
      <c r="M480" s="126">
        <f>SUMIF('MPG Payment '!$E$3:$E$34579,'Shayak Income '!D480,'MPG Payment '!$I$3:$I$34579)</f>
        <v>809.00000000000011</v>
      </c>
      <c r="N480" s="126">
        <f>SUMIF('MPG Payment '!$E$3:$E$34579,'Shayak Income '!D480,'MPG Payment '!$J$3:$J$34579)</f>
        <v>30497.497748300004</v>
      </c>
      <c r="O480" s="126">
        <f t="shared" si="140"/>
        <v>606.75000000000011</v>
      </c>
      <c r="P480" s="126">
        <f t="shared" si="141"/>
        <v>768.55000000000007</v>
      </c>
      <c r="Q480" s="126">
        <f>SUMIF('MPG Payment '!$E$3:$E$34579,'Shayak Income '!D480,'MPG Payment '!$S$3:$S$34579)</f>
        <v>0</v>
      </c>
      <c r="R480" s="126">
        <f t="shared" si="131"/>
        <v>914.92493244900004</v>
      </c>
      <c r="S480" s="126">
        <f t="shared" si="132"/>
        <v>146.37493244899997</v>
      </c>
      <c r="T480" s="126">
        <f t="shared" si="142"/>
        <v>80.90000000000002</v>
      </c>
      <c r="U480" s="127">
        <f>(((IF(K480="New",0,SUMIF('MPG Payment '!$E$3:$E$34579,'Shayak Income '!D480,'MPG Payment '!$AC$3:$AC$34579))))+0)+-215</f>
        <v>1294.0235797307826</v>
      </c>
      <c r="V480" s="127">
        <f t="shared" si="143"/>
        <v>0</v>
      </c>
      <c r="W480" s="19">
        <v>0</v>
      </c>
      <c r="X480" s="19">
        <v>0</v>
      </c>
      <c r="Y480" s="128">
        <v>0</v>
      </c>
      <c r="Z480" s="128">
        <v>0</v>
      </c>
      <c r="AA480" s="126">
        <v>0</v>
      </c>
      <c r="AB480" s="129">
        <f t="shared" si="134"/>
        <v>0</v>
      </c>
      <c r="AC480" s="130">
        <v>0</v>
      </c>
      <c r="AD480" s="35">
        <f t="shared" si="145"/>
        <v>0</v>
      </c>
      <c r="AE480" s="166" t="str">
        <f t="shared" si="146"/>
        <v>Release</v>
      </c>
      <c r="AF480" s="127"/>
      <c r="AG480" s="18">
        <v>0</v>
      </c>
      <c r="AH480" s="120"/>
      <c r="AI480" s="238">
        <v>0</v>
      </c>
      <c r="AJ480" s="132"/>
      <c r="AK480" s="151">
        <v>157.1</v>
      </c>
      <c r="AL480" s="154">
        <f t="shared" si="135"/>
        <v>0</v>
      </c>
      <c r="AM480" s="155"/>
      <c r="AN480" s="19">
        <f t="shared" si="136"/>
        <v>1861</v>
      </c>
      <c r="AO480" s="118">
        <f>SUMIF('MPG Payment '!E:E,'Shayak Income '!D480,'MPG Payment '!AJ:AJ)</f>
        <v>0</v>
      </c>
      <c r="AP480" s="19">
        <f t="shared" si="137"/>
        <v>0</v>
      </c>
      <c r="AQ480" s="119">
        <f t="shared" si="147"/>
        <v>0</v>
      </c>
      <c r="AR480" s="91" t="s">
        <v>1168</v>
      </c>
      <c r="AS480" s="91">
        <f t="shared" si="138"/>
        <v>12800</v>
      </c>
      <c r="AT480" s="118"/>
      <c r="AU480" s="118"/>
      <c r="AV480" s="118"/>
    </row>
    <row r="481" spans="1:48" s="20" customFormat="1" x14ac:dyDescent="0.25">
      <c r="A481" s="17">
        <f>IFERROR(VLOOKUP(D481,'Monthly Deduction'!$I$3:$J$957,2,0),0)</f>
        <v>36049.769314641017</v>
      </c>
      <c r="B481" s="17">
        <f>IFERROR(VLOOKUP(D481,'Monthly Deduction'!$E$3:$F$957,2,0),0)</f>
        <v>6400</v>
      </c>
      <c r="C481" s="17">
        <f t="shared" si="139"/>
        <v>42449.769314641017</v>
      </c>
      <c r="D481" s="41">
        <v>10140137</v>
      </c>
      <c r="E481" s="122" t="str">
        <f>VLOOKUP(D481,'MPG Payment '!$E$3:$G$498218,2,0)</f>
        <v>Gomukh Rakshanagar_tola</v>
      </c>
      <c r="F481" s="146">
        <f>IFERROR(_xlfn.XLOOKUP(D481,'Monthly Deduction'!$I$3:$I$957,'Monthly Deduction'!$H$3:$H$957),0)</f>
        <v>0</v>
      </c>
      <c r="G481" s="123" t="str">
        <f>VLOOKUP(D481,'MPG Payment '!$E$3:$G$334579,3,0)</f>
        <v>MPG</v>
      </c>
      <c r="H481" s="124" t="str">
        <f>VLOOKUP(D481,'MPG Payment '!$E$3:$H$334579,4,0)</f>
        <v>Direct</v>
      </c>
      <c r="I481" s="88">
        <f>INDEX('MPG Payment '!$C:$C,MATCH('Shayak Income '!D481,'MPG Payment '!E:E,0))</f>
        <v>1014</v>
      </c>
      <c r="J481" s="88" t="str">
        <f>INDEX('MPG Payment '!$D:$D,MATCH('Shayak Income '!D481,'MPG Payment '!E:E,0))</f>
        <v>Dumraon</v>
      </c>
      <c r="K481" s="125" t="s">
        <v>1322</v>
      </c>
      <c r="L481" s="125">
        <v>45616</v>
      </c>
      <c r="M481" s="126">
        <f>SUMIF('MPG Payment '!$E$3:$E$34579,'Shayak Income '!D481,'MPG Payment '!$I$3:$I$34579)</f>
        <v>2280.5000000000005</v>
      </c>
      <c r="N481" s="126">
        <f>SUMIF('MPG Payment '!$E$3:$E$34579,'Shayak Income '!D481,'MPG Payment '!$J$3:$J$34579)</f>
        <v>89796.566684562204</v>
      </c>
      <c r="O481" s="126">
        <f t="shared" si="140"/>
        <v>1710.3750000000005</v>
      </c>
      <c r="P481" s="126">
        <f t="shared" si="141"/>
        <v>2166.4750000000004</v>
      </c>
      <c r="Q481" s="126">
        <f>SUMIF('MPG Payment '!$E$3:$E$34579,'Shayak Income '!D481,'MPG Payment '!$S$3:$S$34579)</f>
        <v>0</v>
      </c>
      <c r="R481" s="126">
        <f t="shared" si="131"/>
        <v>2693.897000536866</v>
      </c>
      <c r="S481" s="126">
        <f t="shared" si="132"/>
        <v>527.42200053686565</v>
      </c>
      <c r="T481" s="126">
        <f t="shared" si="142"/>
        <v>228.05000000000007</v>
      </c>
      <c r="U481" s="127">
        <f>(((IF(K481="New",0,SUMIF('MPG Payment '!$E$3:$E$34579,'Shayak Income '!D481,'MPG Payment '!$AC$3:$AC$34579))))+0)+0</f>
        <v>455.26595133618707</v>
      </c>
      <c r="V481" s="127">
        <f t="shared" si="143"/>
        <v>3194</v>
      </c>
      <c r="W481" s="19">
        <f t="shared" si="144"/>
        <v>1861</v>
      </c>
      <c r="X481" s="19">
        <v>0</v>
      </c>
      <c r="Y481" s="128">
        <v>1333</v>
      </c>
      <c r="Z481" s="128">
        <v>0</v>
      </c>
      <c r="AA481" s="126">
        <v>0</v>
      </c>
      <c r="AB481" s="129">
        <f t="shared" si="134"/>
        <v>0</v>
      </c>
      <c r="AC481" s="130">
        <v>0</v>
      </c>
      <c r="AD481" s="35">
        <f t="shared" si="145"/>
        <v>0</v>
      </c>
      <c r="AE481" s="166" t="str">
        <f t="shared" si="146"/>
        <v>Release</v>
      </c>
      <c r="AF481" s="127"/>
      <c r="AG481" s="18">
        <v>0</v>
      </c>
      <c r="AH481" s="120"/>
      <c r="AI481" s="238">
        <v>0</v>
      </c>
      <c r="AJ481" s="132"/>
      <c r="AK481" s="151">
        <v>685.2</v>
      </c>
      <c r="AL481" s="154">
        <f t="shared" si="135"/>
        <v>0</v>
      </c>
      <c r="AM481" s="155"/>
      <c r="AN481" s="19">
        <f t="shared" si="136"/>
        <v>1861</v>
      </c>
      <c r="AO481" s="118">
        <f>SUMIF('MPG Payment '!E:E,'Shayak Income '!D481,'MPG Payment '!AJ:AJ)</f>
        <v>0</v>
      </c>
      <c r="AP481" s="19">
        <f t="shared" si="137"/>
        <v>1861</v>
      </c>
      <c r="AQ481" s="119">
        <f t="shared" si="147"/>
        <v>1861</v>
      </c>
      <c r="AR481" s="91"/>
      <c r="AS481" s="91">
        <f t="shared" si="138"/>
        <v>6400</v>
      </c>
      <c r="AT481" s="118"/>
      <c r="AU481" s="118"/>
      <c r="AV481" s="118"/>
    </row>
    <row r="482" spans="1:48" s="20" customFormat="1" x14ac:dyDescent="0.25">
      <c r="A482" s="17">
        <f>IFERROR(VLOOKUP(D482,'Monthly Deduction'!$I$3:$J$957,2,0),0)</f>
        <v>60281.387351001598</v>
      </c>
      <c r="B482" s="17">
        <f>IFERROR(VLOOKUP(D482,'Monthly Deduction'!$E$3:$F$957,2,0),0)</f>
        <v>6062.0788000000002</v>
      </c>
      <c r="C482" s="17">
        <f t="shared" si="139"/>
        <v>66343.466151001601</v>
      </c>
      <c r="D482" s="41">
        <v>10140139</v>
      </c>
      <c r="E482" s="122" t="str">
        <f>VLOOKUP(D482,'MPG Payment '!$E$3:$G$498218,2,0)</f>
        <v>Gomukh Nadaon</v>
      </c>
      <c r="F482" s="146">
        <f>IFERROR(_xlfn.XLOOKUP(D482,'Monthly Deduction'!$I$3:$I$957,'Monthly Deduction'!$H$3:$H$957),0)</f>
        <v>0</v>
      </c>
      <c r="G482" s="123" t="str">
        <f>VLOOKUP(D482,'MPG Payment '!$E$3:$G$334579,3,0)</f>
        <v>MPG</v>
      </c>
      <c r="H482" s="124" t="str">
        <f>VLOOKUP(D482,'MPG Payment '!$E$3:$H$334579,4,0)</f>
        <v>Direct</v>
      </c>
      <c r="I482" s="88">
        <f>INDEX('MPG Payment '!$C:$C,MATCH('Shayak Income '!D482,'MPG Payment '!E:E,0))</f>
        <v>1014</v>
      </c>
      <c r="J482" s="88" t="str">
        <f>INDEX('MPG Payment '!$D:$D,MATCH('Shayak Income '!D482,'MPG Payment '!E:E,0))</f>
        <v>Dumraon</v>
      </c>
      <c r="K482" s="125" t="s">
        <v>1322</v>
      </c>
      <c r="L482" s="125">
        <v>45625</v>
      </c>
      <c r="M482" s="126">
        <f>SUMIF('MPG Payment '!$E$3:$E$34579,'Shayak Income '!D482,'MPG Payment '!$I$3:$I$34579)</f>
        <v>635.70000000000005</v>
      </c>
      <c r="N482" s="126">
        <f>SUMIF('MPG Payment '!$E$3:$E$34579,'Shayak Income '!D482,'MPG Payment '!$J$3:$J$34579)</f>
        <v>20643.508354261503</v>
      </c>
      <c r="O482" s="126">
        <f t="shared" si="140"/>
        <v>476.77500000000003</v>
      </c>
      <c r="P482" s="126">
        <f t="shared" si="141"/>
        <v>603.91499999999996</v>
      </c>
      <c r="Q482" s="126">
        <f>SUMIF('MPG Payment '!$E$3:$E$34579,'Shayak Income '!D482,'MPG Payment '!$S$3:$S$34579)</f>
        <v>2181.32284695</v>
      </c>
      <c r="R482" s="126">
        <f t="shared" si="131"/>
        <v>619.30525062784511</v>
      </c>
      <c r="S482" s="126">
        <f t="shared" si="132"/>
        <v>15.390250627845148</v>
      </c>
      <c r="T482" s="126">
        <f t="shared" si="142"/>
        <v>63.570000000000007</v>
      </c>
      <c r="U482" s="127">
        <f>(((IF(K482="New",0,SUMIF('MPG Payment '!$E$3:$E$34579,'Shayak Income '!D482,'MPG Payment '!$AC$3:$AC$34579))))+0)+0</f>
        <v>1409.7528230678204</v>
      </c>
      <c r="V482" s="127">
        <f t="shared" si="143"/>
        <v>1789</v>
      </c>
      <c r="W482" s="19">
        <f t="shared" si="144"/>
        <v>1361</v>
      </c>
      <c r="X482" s="19">
        <v>0</v>
      </c>
      <c r="Y482" s="128">
        <f>IFERROR(VLOOKUP(D482,'Monthly Deduction'!$M$2:$N$64,2,0),0)</f>
        <v>0</v>
      </c>
      <c r="Z482" s="128">
        <v>0</v>
      </c>
      <c r="AA482" s="126">
        <v>428</v>
      </c>
      <c r="AB482" s="129">
        <f t="shared" si="134"/>
        <v>0</v>
      </c>
      <c r="AC482" s="130">
        <v>0</v>
      </c>
      <c r="AD482" s="35">
        <f t="shared" si="145"/>
        <v>0</v>
      </c>
      <c r="AE482" s="166" t="str">
        <f t="shared" si="146"/>
        <v>Release</v>
      </c>
      <c r="AF482" s="127"/>
      <c r="AG482" s="18">
        <v>0</v>
      </c>
      <c r="AH482" s="120"/>
      <c r="AI482" s="238">
        <v>0</v>
      </c>
      <c r="AJ482" s="132"/>
      <c r="AK482" s="151">
        <v>454.6</v>
      </c>
      <c r="AL482" s="154">
        <f t="shared" si="135"/>
        <v>0</v>
      </c>
      <c r="AM482" s="155"/>
      <c r="AN482" s="19">
        <f t="shared" si="136"/>
        <v>1861</v>
      </c>
      <c r="AO482" s="118">
        <f>SUMIF('MPG Payment '!E:E,'Shayak Income '!D482,'MPG Payment '!AJ:AJ)</f>
        <v>500</v>
      </c>
      <c r="AP482" s="19">
        <f t="shared" si="137"/>
        <v>1361</v>
      </c>
      <c r="AQ482" s="119">
        <f t="shared" si="147"/>
        <v>1861</v>
      </c>
      <c r="AR482" s="91"/>
      <c r="AS482" s="91">
        <f t="shared" si="138"/>
        <v>6062.0788000000002</v>
      </c>
      <c r="AT482" s="118"/>
      <c r="AU482" s="118"/>
      <c r="AV482" s="118"/>
    </row>
    <row r="483" spans="1:48" s="20" customFormat="1" x14ac:dyDescent="0.25">
      <c r="A483" s="17">
        <f>IFERROR(VLOOKUP(D483,'Monthly Deduction'!$I$3:$J$957,2,0),0)</f>
        <v>0</v>
      </c>
      <c r="B483" s="17">
        <f>IFERROR(VLOOKUP(D483,'Monthly Deduction'!$E$3:$F$957,2,0),0)</f>
        <v>0</v>
      </c>
      <c r="C483" s="17">
        <f t="shared" si="139"/>
        <v>0</v>
      </c>
      <c r="D483" s="41">
        <v>10140141</v>
      </c>
      <c r="E483" s="122" t="str">
        <f>VLOOKUP(D483,'MPG Payment '!$E$3:$G$498218,2,0)</f>
        <v>Gomukh Bimhnath Girdhar Baraw</v>
      </c>
      <c r="F483" s="146">
        <f>IFERROR(_xlfn.XLOOKUP(D483,'Monthly Deduction'!$I$3:$I$957,'Monthly Deduction'!$H$3:$H$957),0)</f>
        <v>0</v>
      </c>
      <c r="G483" s="123" t="str">
        <f>VLOOKUP(D483,'MPG Payment '!$E$3:$G$334579,3,0)</f>
        <v>vlc</v>
      </c>
      <c r="H483" s="124" t="str">
        <f>VLOOKUP(D483,'MPG Payment '!$E$3:$H$334579,4,0)</f>
        <v>Indirect</v>
      </c>
      <c r="I483" s="88">
        <f>INDEX('MPG Payment '!$C:$C,MATCH('Shayak Income '!D483,'MPG Payment '!E:E,0))</f>
        <v>1014</v>
      </c>
      <c r="J483" s="88" t="str">
        <f>INDEX('MPG Payment '!$D:$D,MATCH('Shayak Income '!D483,'MPG Payment '!E:E,0))</f>
        <v>Dumraon</v>
      </c>
      <c r="K483" s="125" t="s">
        <v>1322</v>
      </c>
      <c r="L483" s="125">
        <v>45620</v>
      </c>
      <c r="M483" s="126">
        <f>SUMIF('MPG Payment '!$E$3:$E$34579,'Shayak Income '!D483,'MPG Payment '!$I$3:$I$34579)</f>
        <v>1563.0000000000002</v>
      </c>
      <c r="N483" s="126">
        <f>SUMIF('MPG Payment '!$E$3:$E$34579,'Shayak Income '!D483,'MPG Payment '!$J$3:$J$34579)</f>
        <v>68486.826759475007</v>
      </c>
      <c r="O483" s="126">
        <f t="shared" si="140"/>
        <v>1172.2500000000002</v>
      </c>
      <c r="P483" s="126">
        <f t="shared" si="141"/>
        <v>1484.8500000000001</v>
      </c>
      <c r="Q483" s="126">
        <f>SUMIF('MPG Payment '!$E$3:$E$34579,'Shayak Income '!D483,'MPG Payment '!$S$3:$S$34579)</f>
        <v>0</v>
      </c>
      <c r="R483" s="126">
        <f t="shared" si="131"/>
        <v>2054.6048027842503</v>
      </c>
      <c r="S483" s="126">
        <f t="shared" si="132"/>
        <v>569.75480278425016</v>
      </c>
      <c r="T483" s="126">
        <f t="shared" si="142"/>
        <v>156.30000000000004</v>
      </c>
      <c r="U483" s="127">
        <f>(((IF(K483="New",0,SUMIF('MPG Payment '!$E$3:$E$34579,'Shayak Income '!D483,'MPG Payment '!$AC$3:$AC$34579))))+0)+0</f>
        <v>1096.5628749215123</v>
      </c>
      <c r="V483" s="127">
        <f t="shared" si="143"/>
        <v>1404</v>
      </c>
      <c r="W483" s="19">
        <f t="shared" si="144"/>
        <v>0</v>
      </c>
      <c r="X483" s="19">
        <f t="shared" si="133"/>
        <v>0</v>
      </c>
      <c r="Y483" s="128">
        <f>IFERROR(VLOOKUP(D483,'Monthly Deduction'!$M$2:$N$64,2,0),0)</f>
        <v>0</v>
      </c>
      <c r="Z483" s="128">
        <v>0</v>
      </c>
      <c r="AA483" s="126">
        <f>IFERROR(VLOOKUP(D483,'Monthly Deduction'!A:B,2,0),0)</f>
        <v>129.80000000000001</v>
      </c>
      <c r="AB483" s="129">
        <f t="shared" si="134"/>
        <v>1274</v>
      </c>
      <c r="AC483" s="130">
        <v>0</v>
      </c>
      <c r="AD483" s="35">
        <f t="shared" si="145"/>
        <v>1274</v>
      </c>
      <c r="AE483" s="166" t="str">
        <f t="shared" si="146"/>
        <v>Release</v>
      </c>
      <c r="AF483" s="127"/>
      <c r="AG483" s="18">
        <v>0</v>
      </c>
      <c r="AH483" s="120"/>
      <c r="AI483" s="238">
        <v>0</v>
      </c>
      <c r="AJ483" s="132"/>
      <c r="AK483" s="151">
        <v>402.90000000000003</v>
      </c>
      <c r="AL483" s="154">
        <f t="shared" si="135"/>
        <v>0</v>
      </c>
      <c r="AM483" s="155"/>
      <c r="AN483" s="19">
        <f t="shared" si="136"/>
        <v>0</v>
      </c>
      <c r="AO483" s="118">
        <f>SUMIF('MPG Payment '!E:E,'Shayak Income '!D483,'MPG Payment '!AJ:AJ)</f>
        <v>0</v>
      </c>
      <c r="AP483" s="19">
        <f t="shared" si="137"/>
        <v>0</v>
      </c>
      <c r="AQ483" s="119">
        <f t="shared" si="147"/>
        <v>0</v>
      </c>
      <c r="AR483" s="91"/>
      <c r="AS483" s="91">
        <f t="shared" si="138"/>
        <v>0</v>
      </c>
      <c r="AT483" s="118"/>
      <c r="AU483" s="118"/>
      <c r="AV483" s="118"/>
    </row>
    <row r="484" spans="1:48" s="20" customFormat="1" x14ac:dyDescent="0.25">
      <c r="A484" s="17">
        <f>IFERROR(VLOOKUP(D484,'Monthly Deduction'!$I$3:$J$957,2,0),0)</f>
        <v>80223</v>
      </c>
      <c r="B484" s="17">
        <f>IFERROR(VLOOKUP(D484,'Monthly Deduction'!$E$3:$F$957,2,0),0)</f>
        <v>5087.1693999999998</v>
      </c>
      <c r="C484" s="17">
        <f t="shared" si="139"/>
        <v>85310.169399999999</v>
      </c>
      <c r="D484" s="41">
        <v>10140152</v>
      </c>
      <c r="E484" s="122" t="str">
        <f>VLOOKUP(D484,'MPG Payment '!$E$3:$G$498218,2,0)</f>
        <v>Gomukh Badkagaon Yamunatola</v>
      </c>
      <c r="F484" s="146">
        <f>IFERROR(_xlfn.XLOOKUP(D484,'Monthly Deduction'!$I$3:$I$957,'Monthly Deduction'!$H$3:$H$957),0)</f>
        <v>0</v>
      </c>
      <c r="G484" s="123" t="str">
        <f>VLOOKUP(D484,'MPG Payment '!$E$3:$G$334579,3,0)</f>
        <v>MPG</v>
      </c>
      <c r="H484" s="124" t="str">
        <f>VLOOKUP(D484,'MPG Payment '!$E$3:$H$334579,4,0)</f>
        <v>Direct</v>
      </c>
      <c r="I484" s="88">
        <f>INDEX('MPG Payment '!$C:$C,MATCH('Shayak Income '!D484,'MPG Payment '!E:E,0))</f>
        <v>1014</v>
      </c>
      <c r="J484" s="88" t="str">
        <f>INDEX('MPG Payment '!$D:$D,MATCH('Shayak Income '!D484,'MPG Payment '!E:E,0))</f>
        <v>Dumraon</v>
      </c>
      <c r="K484" s="125" t="s">
        <v>1322</v>
      </c>
      <c r="L484" s="125">
        <v>45655</v>
      </c>
      <c r="M484" s="126">
        <f>SUMIF('MPG Payment '!$E$3:$E$34579,'Shayak Income '!D484,'MPG Payment '!$I$3:$I$34579)</f>
        <v>145.19999999999999</v>
      </c>
      <c r="N484" s="126">
        <f>SUMIF('MPG Payment '!$E$3:$E$34579,'Shayak Income '!D484,'MPG Payment '!$J$3:$J$34579)</f>
        <v>5386.6085299400002</v>
      </c>
      <c r="O484" s="126">
        <f t="shared" si="140"/>
        <v>108.89999999999999</v>
      </c>
      <c r="P484" s="126">
        <f t="shared" si="141"/>
        <v>137.93999999999997</v>
      </c>
      <c r="Q484" s="126">
        <f>SUMIF('MPG Payment '!$E$3:$E$34579,'Shayak Income '!D484,'MPG Payment '!$S$3:$S$34579)</f>
        <v>16.2495726</v>
      </c>
      <c r="R484" s="126">
        <f t="shared" si="131"/>
        <v>161.59825589819999</v>
      </c>
      <c r="S484" s="126">
        <f t="shared" si="132"/>
        <v>23.658255898200025</v>
      </c>
      <c r="T484" s="126">
        <f t="shared" si="142"/>
        <v>14.52</v>
      </c>
      <c r="U484" s="127">
        <f>(((IF(K484="New",0,SUMIF('MPG Payment '!$E$3:$E$34579,'Shayak Income '!D484,'MPG Payment '!$AC$3:$AC$34579))))+0)+-1719</f>
        <v>248.90230956164942</v>
      </c>
      <c r="V484" s="127">
        <f t="shared" si="143"/>
        <v>0</v>
      </c>
      <c r="W484" s="19">
        <v>0</v>
      </c>
      <c r="X484" s="19">
        <v>0</v>
      </c>
      <c r="Y484" s="128">
        <v>0</v>
      </c>
      <c r="Z484" s="128">
        <v>0</v>
      </c>
      <c r="AA484" s="126">
        <v>0</v>
      </c>
      <c r="AB484" s="129">
        <f t="shared" si="134"/>
        <v>0</v>
      </c>
      <c r="AC484" s="130">
        <f t="shared" ref="AC484:AC485" si="148">AB484</f>
        <v>0</v>
      </c>
      <c r="AD484" s="35">
        <f t="shared" si="145"/>
        <v>0</v>
      </c>
      <c r="AE484" s="166" t="str">
        <f t="shared" si="146"/>
        <v>Release</v>
      </c>
      <c r="AF484" s="127"/>
      <c r="AG484" s="18">
        <v>0</v>
      </c>
      <c r="AH484" s="120" t="s">
        <v>1646</v>
      </c>
      <c r="AI484" s="238">
        <v>7937</v>
      </c>
      <c r="AJ484" s="132"/>
      <c r="AK484" s="151">
        <v>36.299999999999997</v>
      </c>
      <c r="AL484" s="154">
        <f t="shared" si="135"/>
        <v>0</v>
      </c>
      <c r="AM484" s="155"/>
      <c r="AN484" s="19">
        <f t="shared" si="136"/>
        <v>1861</v>
      </c>
      <c r="AO484" s="118">
        <f>SUMIF('MPG Payment '!E:E,'Shayak Income '!D484,'MPG Payment '!AJ:AJ)</f>
        <v>500</v>
      </c>
      <c r="AP484" s="19">
        <f t="shared" si="137"/>
        <v>0</v>
      </c>
      <c r="AQ484" s="119">
        <f t="shared" si="147"/>
        <v>500</v>
      </c>
      <c r="AR484" s="91"/>
      <c r="AS484" s="91">
        <f t="shared" si="138"/>
        <v>5087.1693999999998</v>
      </c>
      <c r="AT484" s="118"/>
      <c r="AU484" s="118"/>
      <c r="AV484" s="118"/>
    </row>
    <row r="485" spans="1:48" s="20" customFormat="1" x14ac:dyDescent="0.25">
      <c r="A485" s="17">
        <f>IFERROR(VLOOKUP(D485,'Monthly Deduction'!$I$3:$J$957,2,0),0)</f>
        <v>74044</v>
      </c>
      <c r="B485" s="17">
        <f>IFERROR(VLOOKUP(D485,'Monthly Deduction'!$E$3:$F$957,2,0),0)</f>
        <v>4218.6918025240002</v>
      </c>
      <c r="C485" s="17">
        <f t="shared" si="139"/>
        <v>78262.691802524001</v>
      </c>
      <c r="D485" s="41">
        <v>10140153</v>
      </c>
      <c r="E485" s="122" t="str">
        <f>VLOOKUP(D485,'MPG Payment '!$E$3:$G$498218,2,0)</f>
        <v>Gomukh Bramhpur</v>
      </c>
      <c r="F485" s="146">
        <f>IFERROR(_xlfn.XLOOKUP(D485,'Monthly Deduction'!$I$3:$I$957,'Monthly Deduction'!$H$3:$H$957),0)</f>
        <v>0</v>
      </c>
      <c r="G485" s="123" t="str">
        <f>VLOOKUP(D485,'MPG Payment '!$E$3:$G$334579,3,0)</f>
        <v>MPG</v>
      </c>
      <c r="H485" s="124" t="str">
        <f>VLOOKUP(D485,'MPG Payment '!$E$3:$H$334579,4,0)</f>
        <v>Direct</v>
      </c>
      <c r="I485" s="88">
        <f>INDEX('MPG Payment '!$C:$C,MATCH('Shayak Income '!D485,'MPG Payment '!E:E,0))</f>
        <v>1014</v>
      </c>
      <c r="J485" s="88" t="str">
        <f>INDEX('MPG Payment '!$D:$D,MATCH('Shayak Income '!D485,'MPG Payment '!E:E,0))</f>
        <v>Dumraon</v>
      </c>
      <c r="K485" s="125" t="s">
        <v>1322</v>
      </c>
      <c r="L485" s="125">
        <v>45680</v>
      </c>
      <c r="M485" s="126">
        <f>SUMIF('MPG Payment '!$E$3:$E$34579,'Shayak Income '!D485,'MPG Payment '!$I$3:$I$34579)</f>
        <v>788.2</v>
      </c>
      <c r="N485" s="126">
        <f>SUMIF('MPG Payment '!$E$3:$E$34579,'Shayak Income '!D485,'MPG Payment '!$J$3:$J$34579)</f>
        <v>26825.234693000002</v>
      </c>
      <c r="O485" s="126">
        <f t="shared" si="140"/>
        <v>591.15000000000009</v>
      </c>
      <c r="P485" s="126">
        <f t="shared" si="141"/>
        <v>748.79</v>
      </c>
      <c r="Q485" s="126">
        <f>SUMIF('MPG Payment '!$E$3:$E$34579,'Shayak Income '!D485,'MPG Payment '!$S$3:$S$34579)</f>
        <v>0</v>
      </c>
      <c r="R485" s="126">
        <f t="shared" si="131"/>
        <v>804.75704079000002</v>
      </c>
      <c r="S485" s="126">
        <f t="shared" si="132"/>
        <v>55.967040790000055</v>
      </c>
      <c r="T485" s="126">
        <f t="shared" si="142"/>
        <v>78.820000000000007</v>
      </c>
      <c r="U485" s="127">
        <f>(((IF(K485="New",0,SUMIF('MPG Payment '!$E$3:$E$34579,'Shayak Income '!D485,'MPG Payment '!$AC$3:$AC$34579))))+0)+-111</f>
        <v>1261.6152947580322</v>
      </c>
      <c r="V485" s="127">
        <f t="shared" si="143"/>
        <v>0</v>
      </c>
      <c r="W485" s="19">
        <v>0</v>
      </c>
      <c r="X485" s="19">
        <v>0</v>
      </c>
      <c r="Y485" s="128">
        <v>0</v>
      </c>
      <c r="Z485" s="128">
        <v>0</v>
      </c>
      <c r="AA485" s="126">
        <v>0</v>
      </c>
      <c r="AB485" s="129">
        <f t="shared" si="134"/>
        <v>0</v>
      </c>
      <c r="AC485" s="130">
        <f t="shared" si="148"/>
        <v>0</v>
      </c>
      <c r="AD485" s="35">
        <f t="shared" si="145"/>
        <v>0</v>
      </c>
      <c r="AE485" s="166" t="str">
        <f t="shared" si="146"/>
        <v>Release</v>
      </c>
      <c r="AF485" s="127"/>
      <c r="AG485" s="18">
        <v>0</v>
      </c>
      <c r="AH485" s="120" t="s">
        <v>1646</v>
      </c>
      <c r="AI485" s="238">
        <v>4967</v>
      </c>
      <c r="AJ485" s="132"/>
      <c r="AK485" s="151">
        <v>163.39999999999998</v>
      </c>
      <c r="AL485" s="154">
        <f t="shared" si="135"/>
        <v>0</v>
      </c>
      <c r="AM485" s="155"/>
      <c r="AN485" s="19">
        <f t="shared" si="136"/>
        <v>1861</v>
      </c>
      <c r="AO485" s="118">
        <f>SUMIF('MPG Payment '!E:E,'Shayak Income '!D485,'MPG Payment '!AJ:AJ)</f>
        <v>500</v>
      </c>
      <c r="AP485" s="19">
        <f t="shared" si="137"/>
        <v>0</v>
      </c>
      <c r="AQ485" s="119">
        <f t="shared" si="147"/>
        <v>500</v>
      </c>
      <c r="AR485" s="91"/>
      <c r="AS485" s="91">
        <f t="shared" si="138"/>
        <v>4218.6918025240002</v>
      </c>
      <c r="AT485" s="118"/>
      <c r="AU485" s="118"/>
      <c r="AV485" s="118"/>
    </row>
    <row r="486" spans="1:48" s="20" customFormat="1" x14ac:dyDescent="0.25">
      <c r="A486" s="17">
        <f>IFERROR(VLOOKUP(D486,'Monthly Deduction'!$I$3:$J$957,2,0),0)</f>
        <v>47438.209441713865</v>
      </c>
      <c r="B486" s="17">
        <f>IFERROR(VLOOKUP(D486,'Monthly Deduction'!$E$3:$F$957,2,0),0)</f>
        <v>12800</v>
      </c>
      <c r="C486" s="17">
        <f t="shared" si="139"/>
        <v>60238.209441713865</v>
      </c>
      <c r="D486" s="41">
        <v>10140156</v>
      </c>
      <c r="E486" s="122" t="str">
        <f>VLOOKUP(D486,'MPG Payment '!$E$3:$G$498218,2,0)</f>
        <v>Gomukh Mashariya</v>
      </c>
      <c r="F486" s="146">
        <f>IFERROR(_xlfn.XLOOKUP(D486,'Monthly Deduction'!$I$3:$I$957,'Monthly Deduction'!$H$3:$H$957),0)</f>
        <v>0</v>
      </c>
      <c r="G486" s="123" t="str">
        <f>VLOOKUP(D486,'MPG Payment '!$E$3:$G$334579,3,0)</f>
        <v>MPG</v>
      </c>
      <c r="H486" s="124" t="str">
        <f>VLOOKUP(D486,'MPG Payment '!$E$3:$H$334579,4,0)</f>
        <v>Direct</v>
      </c>
      <c r="I486" s="88">
        <f>INDEX('MPG Payment '!$C:$C,MATCH('Shayak Income '!D486,'MPG Payment '!E:E,0))</f>
        <v>1014</v>
      </c>
      <c r="J486" s="88" t="str">
        <f>INDEX('MPG Payment '!$D:$D,MATCH('Shayak Income '!D486,'MPG Payment '!E:E,0))</f>
        <v>Dumraon</v>
      </c>
      <c r="K486" s="125" t="s">
        <v>1322</v>
      </c>
      <c r="L486" s="125">
        <v>45684</v>
      </c>
      <c r="M486" s="126">
        <f>SUMIF('MPG Payment '!$E$3:$E$34579,'Shayak Income '!D486,'MPG Payment '!$I$3:$I$34579)</f>
        <v>2336</v>
      </c>
      <c r="N486" s="126">
        <f>SUMIF('MPG Payment '!$E$3:$E$34579,'Shayak Income '!D486,'MPG Payment '!$J$3:$J$34579)</f>
        <v>94508.614522561693</v>
      </c>
      <c r="O486" s="126">
        <f t="shared" si="140"/>
        <v>1752</v>
      </c>
      <c r="P486" s="126">
        <f t="shared" si="141"/>
        <v>2219.1999999999998</v>
      </c>
      <c r="Q486" s="126">
        <f>SUMIF('MPG Payment '!$E$3:$E$34579,'Shayak Income '!D486,'MPG Payment '!$S$3:$S$34579)</f>
        <v>4323.8102518540582</v>
      </c>
      <c r="R486" s="126">
        <f t="shared" si="131"/>
        <v>2835.2584356768507</v>
      </c>
      <c r="S486" s="126">
        <f t="shared" si="132"/>
        <v>616.05843567685088</v>
      </c>
      <c r="T486" s="126">
        <f t="shared" si="142"/>
        <v>233.60000000000002</v>
      </c>
      <c r="U486" s="127">
        <f>(((IF(K486="New",0,SUMIF('MPG Payment '!$E$3:$E$34579,'Shayak Income '!D486,'MPG Payment '!$AC$3:$AC$34579))))+0)+0</f>
        <v>584.53567017163323</v>
      </c>
      <c r="V486" s="127">
        <f t="shared" si="143"/>
        <v>7477</v>
      </c>
      <c r="W486" s="19">
        <f t="shared" si="144"/>
        <v>1890.1722904512339</v>
      </c>
      <c r="X486" s="19">
        <v>0</v>
      </c>
      <c r="Y486" s="128">
        <f>IFERROR(VLOOKUP(D486,'Monthly Deduction'!$M$2:$N$64,2,0),0)</f>
        <v>0</v>
      </c>
      <c r="Z486" s="128">
        <v>0</v>
      </c>
      <c r="AA486" s="126">
        <f>IFERROR(VLOOKUP(D486,'Monthly Deduction'!A:B,2,0),0)</f>
        <v>1666.1</v>
      </c>
      <c r="AB486" s="129">
        <f t="shared" si="134"/>
        <v>3921</v>
      </c>
      <c r="AC486" s="130">
        <v>0</v>
      </c>
      <c r="AD486" s="35">
        <f t="shared" si="145"/>
        <v>3921</v>
      </c>
      <c r="AE486" s="166" t="str">
        <f t="shared" si="146"/>
        <v>Release</v>
      </c>
      <c r="AF486" s="127"/>
      <c r="AG486" s="18">
        <v>0</v>
      </c>
      <c r="AH486" s="120"/>
      <c r="AI486" s="238">
        <v>0</v>
      </c>
      <c r="AJ486" s="132"/>
      <c r="AK486" s="151">
        <v>697.5</v>
      </c>
      <c r="AL486" s="154">
        <f t="shared" si="135"/>
        <v>0</v>
      </c>
      <c r="AM486" s="155"/>
      <c r="AN486" s="19">
        <f t="shared" si="136"/>
        <v>1890.1722904512339</v>
      </c>
      <c r="AO486" s="118">
        <f>SUMIF('MPG Payment '!E:E,'Shayak Income '!D486,'MPG Payment '!AJ:AJ)</f>
        <v>0</v>
      </c>
      <c r="AP486" s="19">
        <f t="shared" si="137"/>
        <v>1890.1722904512339</v>
      </c>
      <c r="AQ486" s="119">
        <f t="shared" si="147"/>
        <v>1890.1722904512339</v>
      </c>
      <c r="AR486" s="91" t="s">
        <v>1168</v>
      </c>
      <c r="AS486" s="91">
        <f t="shared" si="138"/>
        <v>12800</v>
      </c>
      <c r="AT486" s="118"/>
      <c r="AU486" s="118"/>
      <c r="AV486" s="118"/>
    </row>
    <row r="487" spans="1:48" s="20" customFormat="1" x14ac:dyDescent="0.25">
      <c r="A487" s="17">
        <f>IFERROR(VLOOKUP(D487,'Monthly Deduction'!$I$3:$J$957,2,0),0)</f>
        <v>72798</v>
      </c>
      <c r="B487" s="17">
        <f>IFERROR(VLOOKUP(D487,'Monthly Deduction'!$E$3:$F$957,2,0),0)</f>
        <v>5090.7209999999995</v>
      </c>
      <c r="C487" s="17">
        <f t="shared" si="139"/>
        <v>77888.721000000005</v>
      </c>
      <c r="D487" s="41">
        <v>10140166</v>
      </c>
      <c r="E487" s="122" t="str">
        <f>VLOOKUP(D487,'MPG Payment '!$E$3:$G$498218,2,0)</f>
        <v>Gomukh KritSagar</v>
      </c>
      <c r="F487" s="146">
        <f>IFERROR(_xlfn.XLOOKUP(D487,'Monthly Deduction'!$I$3:$I$957,'Monthly Deduction'!$H$3:$H$957),0)</f>
        <v>0</v>
      </c>
      <c r="G487" s="123" t="str">
        <f>VLOOKUP(D487,'MPG Payment '!$E$3:$G$334579,3,0)</f>
        <v>MPG</v>
      </c>
      <c r="H487" s="124" t="str">
        <f>VLOOKUP(D487,'MPG Payment '!$E$3:$H$334579,4,0)</f>
        <v>Direct</v>
      </c>
      <c r="I487" s="88">
        <f>INDEX('MPG Payment '!$C:$C,MATCH('Shayak Income '!D487,'MPG Payment '!E:E,0))</f>
        <v>1014</v>
      </c>
      <c r="J487" s="88" t="str">
        <f>INDEX('MPG Payment '!$D:$D,MATCH('Shayak Income '!D487,'MPG Payment '!E:E,0))</f>
        <v>Dumraon</v>
      </c>
      <c r="K487" s="125" t="s">
        <v>1322</v>
      </c>
      <c r="L487" s="125">
        <v>45745</v>
      </c>
      <c r="M487" s="126">
        <f>SUMIF('MPG Payment '!$E$3:$E$34579,'Shayak Income '!D487,'MPG Payment '!$I$3:$I$34579)</f>
        <v>1370.7</v>
      </c>
      <c r="N487" s="126">
        <f>SUMIF('MPG Payment '!$E$3:$E$34579,'Shayak Income '!D487,'MPG Payment '!$J$3:$J$34579)</f>
        <v>56331.632653640001</v>
      </c>
      <c r="O487" s="126">
        <f t="shared" si="140"/>
        <v>1028.0250000000001</v>
      </c>
      <c r="P487" s="126">
        <f t="shared" si="141"/>
        <v>1302.165</v>
      </c>
      <c r="Q487" s="126">
        <f>SUMIF('MPG Payment '!$E$3:$E$34579,'Shayak Income '!D487,'MPG Payment '!$S$3:$S$34579)</f>
        <v>0</v>
      </c>
      <c r="R487" s="126">
        <f t="shared" si="131"/>
        <v>1689.9489796092</v>
      </c>
      <c r="S487" s="126">
        <f t="shared" si="132"/>
        <v>387.78397960920006</v>
      </c>
      <c r="T487" s="126">
        <f t="shared" si="142"/>
        <v>137.07000000000002</v>
      </c>
      <c r="U487" s="127">
        <f>(((IF(K487="New",0,SUMIF('MPG Payment '!$E$3:$E$34579,'Shayak Income '!D487,'MPG Payment '!$AC$3:$AC$34579))))+0)+0</f>
        <v>1174.0607688293094</v>
      </c>
      <c r="V487" s="127">
        <f t="shared" si="143"/>
        <v>1019</v>
      </c>
      <c r="W487" s="19">
        <v>1019</v>
      </c>
      <c r="X487" s="19">
        <v>0</v>
      </c>
      <c r="Y487" s="128">
        <f>IFERROR(VLOOKUP(D487,'Monthly Deduction'!$M$2:$N$64,2,0),0)</f>
        <v>0</v>
      </c>
      <c r="Z487" s="128">
        <v>0</v>
      </c>
      <c r="AA487" s="126">
        <v>0</v>
      </c>
      <c r="AB487" s="129">
        <f t="shared" si="134"/>
        <v>0</v>
      </c>
      <c r="AC487" s="130">
        <f>AB487</f>
        <v>0</v>
      </c>
      <c r="AD487" s="35">
        <f t="shared" si="145"/>
        <v>0</v>
      </c>
      <c r="AE487" s="166" t="str">
        <f t="shared" si="146"/>
        <v>Release</v>
      </c>
      <c r="AF487" s="127"/>
      <c r="AG487" s="18">
        <v>0</v>
      </c>
      <c r="AH487" s="120" t="s">
        <v>1650</v>
      </c>
      <c r="AI487" s="238">
        <v>6315</v>
      </c>
      <c r="AJ487" s="132"/>
      <c r="AK487" s="151">
        <v>337.10000000000008</v>
      </c>
      <c r="AL487" s="154">
        <f t="shared" si="135"/>
        <v>0</v>
      </c>
      <c r="AM487" s="155"/>
      <c r="AN487" s="19">
        <f t="shared" si="136"/>
        <v>1861</v>
      </c>
      <c r="AO487" s="118">
        <f>SUMIF('MPG Payment '!E:E,'Shayak Income '!D487,'MPG Payment '!AJ:AJ)</f>
        <v>0</v>
      </c>
      <c r="AP487" s="19">
        <f t="shared" si="137"/>
        <v>1019</v>
      </c>
      <c r="AQ487" s="119">
        <f t="shared" si="147"/>
        <v>1019</v>
      </c>
      <c r="AR487" s="91" t="s">
        <v>1168</v>
      </c>
      <c r="AS487" s="91">
        <f t="shared" si="138"/>
        <v>5090.7209999999995</v>
      </c>
      <c r="AT487" s="118"/>
      <c r="AU487" s="118"/>
      <c r="AV487" s="118"/>
    </row>
    <row r="488" spans="1:48" s="20" customFormat="1" x14ac:dyDescent="0.25">
      <c r="A488" s="17">
        <f>IFERROR(VLOOKUP(D488,'Monthly Deduction'!$I$3:$J$957,2,0),0)</f>
        <v>0</v>
      </c>
      <c r="B488" s="17">
        <f>IFERROR(VLOOKUP(D488,'Monthly Deduction'!$E$3:$F$957,2,0),0)</f>
        <v>0</v>
      </c>
      <c r="C488" s="17">
        <f t="shared" si="139"/>
        <v>0</v>
      </c>
      <c r="D488" s="41">
        <v>10140167</v>
      </c>
      <c r="E488" s="122" t="str">
        <f>VLOOKUP(D488,'MPG Payment '!$E$3:$G$498218,2,0)</f>
        <v>Gomukh Navdera Jaipraksh</v>
      </c>
      <c r="F488" s="146">
        <f>IFERROR(_xlfn.XLOOKUP(D488,'Monthly Deduction'!$I$3:$I$957,'Monthly Deduction'!$H$3:$H$957),0)</f>
        <v>0</v>
      </c>
      <c r="G488" s="123" t="str">
        <f>VLOOKUP(D488,'MPG Payment '!$E$3:$G$334579,3,0)</f>
        <v>vlc</v>
      </c>
      <c r="H488" s="124" t="str">
        <f>VLOOKUP(D488,'MPG Payment '!$E$3:$H$334579,4,0)</f>
        <v>Indirect</v>
      </c>
      <c r="I488" s="88">
        <f>INDEX('MPG Payment '!$C:$C,MATCH('Shayak Income '!D488,'MPG Payment '!E:E,0))</f>
        <v>1014</v>
      </c>
      <c r="J488" s="88" t="str">
        <f>INDEX('MPG Payment '!$D:$D,MATCH('Shayak Income '!D488,'MPG Payment '!E:E,0))</f>
        <v>Dumraon</v>
      </c>
      <c r="K488" s="125" t="s">
        <v>1322</v>
      </c>
      <c r="L488" s="125">
        <v>45745</v>
      </c>
      <c r="M488" s="126">
        <f>SUMIF('MPG Payment '!$E$3:$E$34579,'Shayak Income '!D488,'MPG Payment '!$I$3:$I$34579)</f>
        <v>4030.2000000000003</v>
      </c>
      <c r="N488" s="126">
        <f>SUMIF('MPG Payment '!$E$3:$E$34579,'Shayak Income '!D488,'MPG Payment '!$J$3:$J$34579)</f>
        <v>162753.30454415031</v>
      </c>
      <c r="O488" s="126">
        <f t="shared" si="140"/>
        <v>3022.65</v>
      </c>
      <c r="P488" s="126">
        <f t="shared" si="141"/>
        <v>3828.69</v>
      </c>
      <c r="Q488" s="126">
        <f>SUMIF('MPG Payment '!$E$3:$E$34579,'Shayak Income '!D488,'MPG Payment '!$S$3:$S$34579)</f>
        <v>0</v>
      </c>
      <c r="R488" s="126">
        <f t="shared" si="131"/>
        <v>4882.5991363245093</v>
      </c>
      <c r="S488" s="126">
        <f t="shared" si="132"/>
        <v>1053.9091363245093</v>
      </c>
      <c r="T488" s="126">
        <f t="shared" si="142"/>
        <v>403.02000000000004</v>
      </c>
      <c r="U488" s="127">
        <f>(((IF(K488="New",0,SUMIF('MPG Payment '!$E$3:$E$34579,'Shayak Income '!D488,'MPG Payment '!$AC$3:$AC$34579))))+0)+0</f>
        <v>315.70748643248464</v>
      </c>
      <c r="V488" s="127">
        <f t="shared" si="143"/>
        <v>6133</v>
      </c>
      <c r="W488" s="19">
        <f t="shared" si="144"/>
        <v>0</v>
      </c>
      <c r="X488" s="19">
        <f t="shared" si="133"/>
        <v>0</v>
      </c>
      <c r="Y488" s="128">
        <f>IFERROR(VLOOKUP(D488,'Monthly Deduction'!$M$2:$N$64,2,0),0)</f>
        <v>0</v>
      </c>
      <c r="Z488" s="128">
        <v>0</v>
      </c>
      <c r="AA488" s="126">
        <f>IFERROR(VLOOKUP(D488,'Monthly Deduction'!A:B,2,0),0)</f>
        <v>969.25</v>
      </c>
      <c r="AB488" s="129">
        <f t="shared" si="134"/>
        <v>5164</v>
      </c>
      <c r="AC488" s="130">
        <v>0</v>
      </c>
      <c r="AD488" s="35">
        <f t="shared" si="145"/>
        <v>5164</v>
      </c>
      <c r="AE488" s="166" t="str">
        <f t="shared" si="146"/>
        <v>Release</v>
      </c>
      <c r="AF488" s="127"/>
      <c r="AG488" s="18">
        <v>0</v>
      </c>
      <c r="AH488" s="132"/>
      <c r="AI488" s="238">
        <v>0</v>
      </c>
      <c r="AJ488" s="132"/>
      <c r="AK488" s="151">
        <v>1208.3</v>
      </c>
      <c r="AL488" s="154">
        <f t="shared" si="135"/>
        <v>0</v>
      </c>
      <c r="AM488" s="155"/>
      <c r="AN488" s="19">
        <f t="shared" si="136"/>
        <v>0</v>
      </c>
      <c r="AO488" s="118">
        <f>SUMIF('MPG Payment '!E:E,'Shayak Income '!D488,'MPG Payment '!AJ:AJ)</f>
        <v>0</v>
      </c>
      <c r="AP488" s="19">
        <f t="shared" si="137"/>
        <v>0</v>
      </c>
      <c r="AQ488" s="119">
        <f t="shared" si="147"/>
        <v>0</v>
      </c>
      <c r="AR488" s="91" t="s">
        <v>1168</v>
      </c>
      <c r="AS488" s="91">
        <f t="shared" si="138"/>
        <v>0</v>
      </c>
      <c r="AT488" s="118"/>
      <c r="AU488" s="118"/>
      <c r="AV488" s="118"/>
    </row>
    <row r="489" spans="1:48" s="20" customFormat="1" x14ac:dyDescent="0.25">
      <c r="A489" s="17">
        <f>IFERROR(VLOOKUP(D489,'Monthly Deduction'!$I$3:$J$957,2,0),0)</f>
        <v>72719.671489550383</v>
      </c>
      <c r="B489" s="17">
        <f>IFERROR(VLOOKUP(D489,'Monthly Deduction'!$E$3:$F$957,2,0),0)</f>
        <v>6400</v>
      </c>
      <c r="C489" s="17">
        <f t="shared" si="139"/>
        <v>79119.671489550383</v>
      </c>
      <c r="D489" s="41">
        <v>10140170</v>
      </c>
      <c r="E489" s="122" t="str">
        <f>VLOOKUP(D489,'MPG Payment '!$E$3:$G$498218,2,0)</f>
        <v>Gomukh Ataon</v>
      </c>
      <c r="F489" s="146">
        <f>IFERROR(_xlfn.XLOOKUP(D489,'Monthly Deduction'!$I$3:$I$957,'Monthly Deduction'!$H$3:$H$957),0)</f>
        <v>0</v>
      </c>
      <c r="G489" s="123" t="str">
        <f>VLOOKUP(D489,'MPG Payment '!$E$3:$G$334579,3,0)</f>
        <v>MPG</v>
      </c>
      <c r="H489" s="124" t="str">
        <f>VLOOKUP(D489,'MPG Payment '!$E$3:$H$334579,4,0)</f>
        <v>Direct</v>
      </c>
      <c r="I489" s="88">
        <f>INDEX('MPG Payment '!$C:$C,MATCH('Shayak Income '!D489,'MPG Payment '!E:E,0))</f>
        <v>1014</v>
      </c>
      <c r="J489" s="88" t="str">
        <f>INDEX('MPG Payment '!$D:$D,MATCH('Shayak Income '!D489,'MPG Payment '!E:E,0))</f>
        <v>Dumraon</v>
      </c>
      <c r="K489" s="125" t="s">
        <v>1322</v>
      </c>
      <c r="L489" s="125">
        <v>45763</v>
      </c>
      <c r="M489" s="126">
        <f>SUMIF('MPG Payment '!$E$3:$E$34579,'Shayak Income '!D489,'MPG Payment '!$I$3:$I$34579)</f>
        <v>2336.4</v>
      </c>
      <c r="N489" s="126">
        <f>SUMIF('MPG Payment '!$E$3:$E$34579,'Shayak Income '!D489,'MPG Payment '!$J$3:$J$34579)</f>
        <v>97715.703180404817</v>
      </c>
      <c r="O489" s="126">
        <f t="shared" si="140"/>
        <v>1752.3000000000002</v>
      </c>
      <c r="P489" s="126">
        <f t="shared" si="141"/>
        <v>2219.58</v>
      </c>
      <c r="Q489" s="126">
        <f>SUMIF('MPG Payment '!$E$3:$E$34579,'Shayak Income '!D489,'MPG Payment '!$S$3:$S$34579)</f>
        <v>0</v>
      </c>
      <c r="R489" s="126">
        <f t="shared" si="131"/>
        <v>2931.4710954121442</v>
      </c>
      <c r="S489" s="126">
        <f t="shared" si="132"/>
        <v>711.8910954121443</v>
      </c>
      <c r="T489" s="126">
        <f t="shared" si="142"/>
        <v>233.64000000000001</v>
      </c>
      <c r="U489" s="127">
        <f>(((IF(K489="New",0,SUMIF('MPG Payment '!$E$3:$E$34579,'Shayak Income '!D489,'MPG Payment '!$AC$3:$AC$34579))))+0)+0</f>
        <v>392.4396439366385</v>
      </c>
      <c r="V489" s="127">
        <f t="shared" si="143"/>
        <v>3346</v>
      </c>
      <c r="W489" s="19">
        <f t="shared" si="144"/>
        <v>1954.3140636080964</v>
      </c>
      <c r="X489" s="19">
        <v>0</v>
      </c>
      <c r="Y489" s="128">
        <f>IFERROR(VLOOKUP(D489,'Monthly Deduction'!$M$2:$N$64,2,0),0)</f>
        <v>0</v>
      </c>
      <c r="Z489" s="128">
        <v>0</v>
      </c>
      <c r="AA489" s="126">
        <f>IFERROR(VLOOKUP(D489,'Monthly Deduction'!A:B,2,0),0)</f>
        <v>697.04</v>
      </c>
      <c r="AB489" s="129">
        <f t="shared" si="134"/>
        <v>695</v>
      </c>
      <c r="AC489" s="130">
        <f>AB489</f>
        <v>695</v>
      </c>
      <c r="AD489" s="35">
        <f t="shared" si="145"/>
        <v>0</v>
      </c>
      <c r="AE489" s="166" t="str">
        <f t="shared" si="146"/>
        <v>Yes</v>
      </c>
      <c r="AF489" s="127"/>
      <c r="AG489" s="18">
        <v>0</v>
      </c>
      <c r="AH489" s="120" t="s">
        <v>1653</v>
      </c>
      <c r="AI489" s="238">
        <v>0</v>
      </c>
      <c r="AJ489" s="132"/>
      <c r="AK489" s="151">
        <v>498.19999999999993</v>
      </c>
      <c r="AL489" s="154">
        <f t="shared" si="135"/>
        <v>0</v>
      </c>
      <c r="AM489" s="155"/>
      <c r="AN489" s="19">
        <f t="shared" si="136"/>
        <v>1954.3140636080964</v>
      </c>
      <c r="AO489" s="118">
        <f>SUMIF('MPG Payment '!E:E,'Shayak Income '!D489,'MPG Payment '!AJ:AJ)</f>
        <v>0</v>
      </c>
      <c r="AP489" s="19">
        <f t="shared" si="137"/>
        <v>1954.3140636080964</v>
      </c>
      <c r="AQ489" s="119">
        <f t="shared" si="147"/>
        <v>1954.3140636080964</v>
      </c>
      <c r="AR489" s="91" t="s">
        <v>1168</v>
      </c>
      <c r="AS489" s="91">
        <f t="shared" si="138"/>
        <v>6400</v>
      </c>
      <c r="AT489" s="118"/>
      <c r="AU489" s="118"/>
      <c r="AV489" s="118"/>
    </row>
    <row r="490" spans="1:48" s="20" customFormat="1" x14ac:dyDescent="0.25">
      <c r="A490" s="17">
        <f>IFERROR(VLOOKUP(D490,'Monthly Deduction'!$I$3:$J$957,2,0),0)</f>
        <v>59378.179760026396</v>
      </c>
      <c r="B490" s="17">
        <f>IFERROR(VLOOKUP(D490,'Monthly Deduction'!$E$3:$F$957,2,0),0)</f>
        <v>12800</v>
      </c>
      <c r="C490" s="17">
        <f t="shared" si="139"/>
        <v>72178.179760026396</v>
      </c>
      <c r="D490" s="41">
        <v>10140173</v>
      </c>
      <c r="E490" s="122" t="str">
        <f>VLOOKUP(D490,'MPG Payment '!$E$3:$G$498218,2,0)</f>
        <v>Gumukh Gayghat</v>
      </c>
      <c r="F490" s="146">
        <f>IFERROR(_xlfn.XLOOKUP(D490,'Monthly Deduction'!$I$3:$I$957,'Monthly Deduction'!$H$3:$H$957),0)</f>
        <v>0</v>
      </c>
      <c r="G490" s="123" t="str">
        <f>VLOOKUP(D490,'MPG Payment '!$E$3:$G$334579,3,0)</f>
        <v>MPG</v>
      </c>
      <c r="H490" s="124" t="str">
        <f>VLOOKUP(D490,'MPG Payment '!$E$3:$H$334579,4,0)</f>
        <v>Direct</v>
      </c>
      <c r="I490" s="88">
        <f>INDEX('MPG Payment '!$C:$C,MATCH('Shayak Income '!D490,'MPG Payment '!E:E,0))</f>
        <v>1014</v>
      </c>
      <c r="J490" s="88" t="str">
        <f>INDEX('MPG Payment '!$D:$D,MATCH('Shayak Income '!D490,'MPG Payment '!E:E,0))</f>
        <v>Dumraon</v>
      </c>
      <c r="K490" s="125" t="s">
        <v>1322</v>
      </c>
      <c r="L490" s="125">
        <v>45777</v>
      </c>
      <c r="M490" s="126">
        <f>SUMIF('MPG Payment '!$E$3:$E$34579,'Shayak Income '!D490,'MPG Payment '!$I$3:$I$34579)</f>
        <v>2945.7999999999997</v>
      </c>
      <c r="N490" s="126">
        <f>SUMIF('MPG Payment '!$E$3:$E$34579,'Shayak Income '!D490,'MPG Payment '!$J$3:$J$34579)</f>
        <v>108264.65724734</v>
      </c>
      <c r="O490" s="126">
        <f t="shared" si="140"/>
        <v>2209.35</v>
      </c>
      <c r="P490" s="126">
        <f t="shared" si="141"/>
        <v>2798.5099999999998</v>
      </c>
      <c r="Q490" s="126">
        <f>SUMIF('MPG Payment '!$E$3:$E$34579,'Shayak Income '!D490,'MPG Payment '!$S$3:$S$34579)</f>
        <v>7.8410265120000009</v>
      </c>
      <c r="R490" s="126">
        <f t="shared" si="131"/>
        <v>3247.9397174201999</v>
      </c>
      <c r="S490" s="126">
        <f t="shared" si="132"/>
        <v>449.42971742020018</v>
      </c>
      <c r="T490" s="126">
        <f t="shared" si="142"/>
        <v>294.58</v>
      </c>
      <c r="U490" s="127">
        <f>(((IF(K490="New",0,SUMIF('MPG Payment '!$E$3:$E$34579,'Shayak Income '!D490,'MPG Payment '!$AC$3:$AC$34579))))+0)+0</f>
        <v>59.541394966736355</v>
      </c>
      <c r="V490" s="127">
        <f t="shared" si="143"/>
        <v>4662</v>
      </c>
      <c r="W490" s="19">
        <f t="shared" si="144"/>
        <v>2165.2931449468001</v>
      </c>
      <c r="X490" s="19">
        <v>0</v>
      </c>
      <c r="Y490" s="128">
        <f>IFERROR(VLOOKUP(D490,'Monthly Deduction'!$M$2:$N$64,2,0),0)</f>
        <v>0</v>
      </c>
      <c r="Z490" s="128">
        <v>0</v>
      </c>
      <c r="AA490" s="126">
        <f>IFERROR(VLOOKUP(D490,'Monthly Deduction'!A:B,2,0),0)</f>
        <v>1470.98</v>
      </c>
      <c r="AB490" s="129">
        <f t="shared" si="134"/>
        <v>1026</v>
      </c>
      <c r="AC490" s="130">
        <v>0</v>
      </c>
      <c r="AD490" s="35">
        <f t="shared" si="145"/>
        <v>1026</v>
      </c>
      <c r="AE490" s="166" t="str">
        <f t="shared" si="146"/>
        <v>Release</v>
      </c>
      <c r="AF490" s="127"/>
      <c r="AG490" s="18">
        <v>0</v>
      </c>
      <c r="AH490" s="132"/>
      <c r="AI490" s="238">
        <v>0</v>
      </c>
      <c r="AJ490" s="132"/>
      <c r="AK490" s="151">
        <v>823.19999999999993</v>
      </c>
      <c r="AL490" s="154">
        <f t="shared" si="135"/>
        <v>0</v>
      </c>
      <c r="AM490" s="155"/>
      <c r="AN490" s="19">
        <f t="shared" si="136"/>
        <v>2165.2931449468001</v>
      </c>
      <c r="AO490" s="118">
        <f>SUMIF('MPG Payment '!E:E,'Shayak Income '!D490,'MPG Payment '!AJ:AJ)</f>
        <v>0</v>
      </c>
      <c r="AP490" s="19">
        <f t="shared" si="137"/>
        <v>2165.2931449468001</v>
      </c>
      <c r="AQ490" s="119">
        <f t="shared" si="147"/>
        <v>2165.2931449468001</v>
      </c>
      <c r="AR490" s="91" t="s">
        <v>1168</v>
      </c>
      <c r="AS490" s="91">
        <f t="shared" si="138"/>
        <v>12800</v>
      </c>
      <c r="AT490" s="118"/>
      <c r="AU490" s="118"/>
      <c r="AV490" s="118"/>
    </row>
    <row r="491" spans="1:48" s="20" customFormat="1" x14ac:dyDescent="0.25">
      <c r="A491" s="17">
        <f>IFERROR(VLOOKUP(D491,'Monthly Deduction'!$I$3:$J$957,2,0),0)</f>
        <v>82913</v>
      </c>
      <c r="B491" s="17">
        <f>IFERROR(VLOOKUP(D491,'Monthly Deduction'!$E$3:$F$957,2,0),0)</f>
        <v>6400</v>
      </c>
      <c r="C491" s="17">
        <f t="shared" si="139"/>
        <v>89313</v>
      </c>
      <c r="D491" s="41">
        <v>10140174</v>
      </c>
      <c r="E491" s="122" t="str">
        <f>VLOOKUP(D491,'MPG Payment '!$E$3:$G$498218,2,0)</f>
        <v>Gomukh Shivpur</v>
      </c>
      <c r="F491" s="146">
        <f>IFERROR(_xlfn.XLOOKUP(D491,'Monthly Deduction'!$I$3:$I$957,'Monthly Deduction'!$H$3:$H$957),0)</f>
        <v>0</v>
      </c>
      <c r="G491" s="123" t="str">
        <f>VLOOKUP(D491,'MPG Payment '!$E$3:$G$334579,3,0)</f>
        <v>MPG</v>
      </c>
      <c r="H491" s="124" t="str">
        <f>VLOOKUP(D491,'MPG Payment '!$E$3:$H$334579,4,0)</f>
        <v>Direct</v>
      </c>
      <c r="I491" s="88">
        <f>INDEX('MPG Payment '!$C:$C,MATCH('Shayak Income '!D491,'MPG Payment '!E:E,0))</f>
        <v>1014</v>
      </c>
      <c r="J491" s="88" t="str">
        <f>INDEX('MPG Payment '!$D:$D,MATCH('Shayak Income '!D491,'MPG Payment '!E:E,0))</f>
        <v>Dumraon</v>
      </c>
      <c r="K491" s="125" t="s">
        <v>1322</v>
      </c>
      <c r="L491" s="125">
        <v>45775</v>
      </c>
      <c r="M491" s="126">
        <f>SUMIF('MPG Payment '!$E$3:$E$34579,'Shayak Income '!D491,'MPG Payment '!$I$3:$I$34579)</f>
        <v>65.099999999999994</v>
      </c>
      <c r="N491" s="126">
        <f>SUMIF('MPG Payment '!$E$3:$E$34579,'Shayak Income '!D491,'MPG Payment '!$J$3:$J$34579)</f>
        <v>2568.7299999999996</v>
      </c>
      <c r="O491" s="126">
        <f t="shared" si="140"/>
        <v>48.824999999999996</v>
      </c>
      <c r="P491" s="126">
        <f t="shared" si="141"/>
        <v>61.844999999999992</v>
      </c>
      <c r="Q491" s="126">
        <f>SUMIF('MPG Payment '!$E$3:$E$34579,'Shayak Income '!D491,'MPG Payment '!$S$3:$S$34579)</f>
        <v>0</v>
      </c>
      <c r="R491" s="126">
        <f t="shared" si="131"/>
        <v>77.06189999999998</v>
      </c>
      <c r="S491" s="126">
        <f t="shared" si="132"/>
        <v>15.216899999999988</v>
      </c>
      <c r="T491" s="126">
        <f t="shared" si="142"/>
        <v>6.51</v>
      </c>
      <c r="U491" s="127">
        <f>(((IF(K491="New",0,SUMIF('MPG Payment '!$E$3:$E$34579,'Shayak Income '!D491,'MPG Payment '!$AC$3:$AC$34579))))+0)+-943</f>
        <v>104.28434582365162</v>
      </c>
      <c r="V491" s="127">
        <f t="shared" si="143"/>
        <v>0</v>
      </c>
      <c r="W491" s="19">
        <v>0</v>
      </c>
      <c r="X491" s="19">
        <v>0</v>
      </c>
      <c r="Y491" s="128">
        <v>0</v>
      </c>
      <c r="Z491" s="128">
        <v>0</v>
      </c>
      <c r="AA491" s="126">
        <v>0</v>
      </c>
      <c r="AB491" s="129">
        <f t="shared" si="134"/>
        <v>0</v>
      </c>
      <c r="AC491" s="130">
        <f>AB491</f>
        <v>0</v>
      </c>
      <c r="AD491" s="35">
        <f t="shared" si="145"/>
        <v>0</v>
      </c>
      <c r="AE491" s="166" t="str">
        <f t="shared" si="146"/>
        <v>Release</v>
      </c>
      <c r="AF491" s="127"/>
      <c r="AG491" s="18">
        <v>0</v>
      </c>
      <c r="AH491" s="120" t="s">
        <v>1651</v>
      </c>
      <c r="AI491" s="238">
        <v>5916</v>
      </c>
      <c r="AJ491" s="132"/>
      <c r="AK491" s="151">
        <v>0</v>
      </c>
      <c r="AL491" s="154">
        <f t="shared" si="135"/>
        <v>0</v>
      </c>
      <c r="AM491" s="155"/>
      <c r="AN491" s="19">
        <f t="shared" si="136"/>
        <v>1861</v>
      </c>
      <c r="AO491" s="118">
        <f>SUMIF('MPG Payment '!E:E,'Shayak Income '!D491,'MPG Payment '!AJ:AJ)</f>
        <v>0</v>
      </c>
      <c r="AP491" s="19">
        <f t="shared" si="137"/>
        <v>0</v>
      </c>
      <c r="AQ491" s="119">
        <f t="shared" si="147"/>
        <v>0</v>
      </c>
      <c r="AR491" s="91" t="s">
        <v>1168</v>
      </c>
      <c r="AS491" s="91">
        <f t="shared" si="138"/>
        <v>6400</v>
      </c>
      <c r="AT491" s="118"/>
      <c r="AU491" s="118"/>
      <c r="AV491" s="118"/>
    </row>
    <row r="492" spans="1:48" s="20" customFormat="1" x14ac:dyDescent="0.25">
      <c r="A492" s="17">
        <f>IFERROR(VLOOKUP(D492,'Monthly Deduction'!$I$3:$J$957,2,0),0)</f>
        <v>0</v>
      </c>
      <c r="B492" s="17">
        <f>IFERROR(VLOOKUP(D492,'Monthly Deduction'!$E$3:$F$957,2,0),0)</f>
        <v>0</v>
      </c>
      <c r="C492" s="17">
        <f t="shared" si="139"/>
        <v>0</v>
      </c>
      <c r="D492" s="41">
        <v>10140176</v>
      </c>
      <c r="E492" s="122" t="str">
        <f>VLOOKUP(D492,'MPG Payment '!$E$3:$G$498218,2,0)</f>
        <v>Gomukh Chakki Janardan Yadav</v>
      </c>
      <c r="F492" s="146">
        <f>IFERROR(_xlfn.XLOOKUP(D492,'Monthly Deduction'!$I$3:$I$957,'Monthly Deduction'!$H$3:$H$957),0)</f>
        <v>0</v>
      </c>
      <c r="G492" s="123" t="str">
        <f>VLOOKUP(D492,'MPG Payment '!$E$3:$G$334579,3,0)</f>
        <v>vlc</v>
      </c>
      <c r="H492" s="124" t="str">
        <f>VLOOKUP(D492,'MPG Payment '!$E$3:$H$334579,4,0)</f>
        <v>Indirect</v>
      </c>
      <c r="I492" s="88">
        <f>INDEX('MPG Payment '!$C:$C,MATCH('Shayak Income '!D492,'MPG Payment '!E:E,0))</f>
        <v>1014</v>
      </c>
      <c r="J492" s="88" t="str">
        <f>INDEX('MPG Payment '!$D:$D,MATCH('Shayak Income '!D492,'MPG Payment '!E:E,0))</f>
        <v>Dumraon</v>
      </c>
      <c r="K492" s="125" t="s">
        <v>1322</v>
      </c>
      <c r="L492" s="125">
        <v>45786</v>
      </c>
      <c r="M492" s="126">
        <f>SUMIF('MPG Payment '!$E$3:$E$34579,'Shayak Income '!D492,'MPG Payment '!$I$3:$I$34579)</f>
        <v>812.49999999999989</v>
      </c>
      <c r="N492" s="126">
        <f>SUMIF('MPG Payment '!$E$3:$E$34579,'Shayak Income '!D492,'MPG Payment '!$J$3:$J$34579)</f>
        <v>28924.16133915</v>
      </c>
      <c r="O492" s="126">
        <f t="shared" si="140"/>
        <v>609.37499999999989</v>
      </c>
      <c r="P492" s="126">
        <f t="shared" si="141"/>
        <v>771.87499999999989</v>
      </c>
      <c r="Q492" s="126">
        <f>SUMIF('MPG Payment '!$E$3:$E$34579,'Shayak Income '!D492,'MPG Payment '!$S$3:$S$34579)</f>
        <v>0</v>
      </c>
      <c r="R492" s="126">
        <f t="shared" si="131"/>
        <v>867.72484017449995</v>
      </c>
      <c r="S492" s="126">
        <f t="shared" si="132"/>
        <v>95.849840174500059</v>
      </c>
      <c r="T492" s="126">
        <f t="shared" si="142"/>
        <v>81.25</v>
      </c>
      <c r="U492" s="127">
        <f>(((IF(K492="New",0,SUMIF('MPG Payment '!$E$3:$E$34579,'Shayak Income '!D492,'MPG Payment '!$AC$3:$AC$34579))))+0)+-97</f>
        <v>1299.9666710511569</v>
      </c>
      <c r="V492" s="127">
        <f t="shared" si="143"/>
        <v>0</v>
      </c>
      <c r="W492" s="19">
        <v>0</v>
      </c>
      <c r="X492" s="19">
        <v>0</v>
      </c>
      <c r="Y492" s="128">
        <v>0</v>
      </c>
      <c r="Z492" s="128">
        <v>0</v>
      </c>
      <c r="AA492" s="126">
        <v>0</v>
      </c>
      <c r="AB492" s="129">
        <f t="shared" si="134"/>
        <v>0</v>
      </c>
      <c r="AC492" s="130">
        <v>0</v>
      </c>
      <c r="AD492" s="35">
        <f t="shared" si="145"/>
        <v>0</v>
      </c>
      <c r="AE492" s="166" t="str">
        <f t="shared" si="146"/>
        <v>Release</v>
      </c>
      <c r="AF492" s="127"/>
      <c r="AG492" s="18">
        <v>0</v>
      </c>
      <c r="AH492" s="120"/>
      <c r="AI492" s="238">
        <v>0</v>
      </c>
      <c r="AJ492" s="132"/>
      <c r="AK492" s="151">
        <v>207.8</v>
      </c>
      <c r="AL492" s="154">
        <f t="shared" si="135"/>
        <v>0</v>
      </c>
      <c r="AM492" s="155"/>
      <c r="AN492" s="19">
        <f t="shared" si="136"/>
        <v>0</v>
      </c>
      <c r="AO492" s="118">
        <f>SUMIF('MPG Payment '!E:E,'Shayak Income '!D492,'MPG Payment '!AJ:AJ)</f>
        <v>0</v>
      </c>
      <c r="AP492" s="19">
        <f t="shared" si="137"/>
        <v>0</v>
      </c>
      <c r="AQ492" s="119">
        <f t="shared" si="147"/>
        <v>0</v>
      </c>
      <c r="AR492" s="91" t="s">
        <v>1168</v>
      </c>
      <c r="AS492" s="91">
        <f t="shared" si="138"/>
        <v>0</v>
      </c>
      <c r="AT492" s="118"/>
      <c r="AU492" s="118"/>
      <c r="AV492" s="118"/>
    </row>
    <row r="493" spans="1:48" s="20" customFormat="1" x14ac:dyDescent="0.25">
      <c r="A493" s="17">
        <f>IFERROR(VLOOKUP(D493,'Monthly Deduction'!$I$3:$J$957,2,0),0)</f>
        <v>61116.346863492814</v>
      </c>
      <c r="B493" s="17">
        <f>IFERROR(VLOOKUP(D493,'Monthly Deduction'!$E$3:$F$957,2,0),0)</f>
        <v>12800</v>
      </c>
      <c r="C493" s="17">
        <f t="shared" si="139"/>
        <v>73916.346863492814</v>
      </c>
      <c r="D493" s="41">
        <v>10140179</v>
      </c>
      <c r="E493" s="122" t="str">
        <f>VLOOKUP(D493,'MPG Payment '!$E$3:$G$498218,2,0)</f>
        <v>Gomukh Rajpur</v>
      </c>
      <c r="F493" s="146">
        <f>IFERROR(_xlfn.XLOOKUP(D493,'Monthly Deduction'!$I$3:$I$957,'Monthly Deduction'!$H$3:$H$957),0)</f>
        <v>0</v>
      </c>
      <c r="G493" s="123" t="str">
        <f>VLOOKUP(D493,'MPG Payment '!$E$3:$G$334579,3,0)</f>
        <v>MPG</v>
      </c>
      <c r="H493" s="124" t="str">
        <f>VLOOKUP(D493,'MPG Payment '!$E$3:$H$334579,4,0)</f>
        <v>Direct</v>
      </c>
      <c r="I493" s="88">
        <f>INDEX('MPG Payment '!$C:$C,MATCH('Shayak Income '!D493,'MPG Payment '!E:E,0))</f>
        <v>1014</v>
      </c>
      <c r="J493" s="88" t="str">
        <f>INDEX('MPG Payment '!$D:$D,MATCH('Shayak Income '!D493,'MPG Payment '!E:E,0))</f>
        <v>Dumraon</v>
      </c>
      <c r="K493" s="125" t="s">
        <v>1322</v>
      </c>
      <c r="L493" s="125">
        <v>45800</v>
      </c>
      <c r="M493" s="126">
        <f>SUMIF('MPG Payment '!$E$3:$E$34579,'Shayak Income '!D493,'MPG Payment '!$I$3:$I$34579)</f>
        <v>4894.7</v>
      </c>
      <c r="N493" s="126">
        <f>SUMIF('MPG Payment '!$E$3:$E$34579,'Shayak Income '!D493,'MPG Payment '!$J$3:$J$34579)</f>
        <v>187814.04928505002</v>
      </c>
      <c r="O493" s="126">
        <f t="shared" si="140"/>
        <v>3671.0249999999996</v>
      </c>
      <c r="P493" s="126">
        <f t="shared" si="141"/>
        <v>4649.9649999999992</v>
      </c>
      <c r="Q493" s="126">
        <f>SUMIF('MPG Payment '!$E$3:$E$34579,'Shayak Income '!D493,'MPG Payment '!$S$3:$S$34579)</f>
        <v>2403.7186624542005</v>
      </c>
      <c r="R493" s="126">
        <f t="shared" si="131"/>
        <v>5634.4214785515005</v>
      </c>
      <c r="S493" s="126">
        <f t="shared" si="132"/>
        <v>984.45647855150128</v>
      </c>
      <c r="T493" s="126">
        <f t="shared" si="142"/>
        <v>489.47</v>
      </c>
      <c r="U493" s="127">
        <f>(((IF(K493="New",0,SUMIF('MPG Payment '!$E$3:$E$34579,'Shayak Income '!D493,'MPG Payment '!$AC$3:$AC$34579))))+0)+0</f>
        <v>0</v>
      </c>
      <c r="V493" s="127">
        <f t="shared" si="143"/>
        <v>10235</v>
      </c>
      <c r="W493" s="19">
        <f t="shared" si="144"/>
        <v>3756.2809857010002</v>
      </c>
      <c r="X493" s="19">
        <v>0</v>
      </c>
      <c r="Y493" s="128">
        <f>IFERROR(VLOOKUP(D493,'Monthly Deduction'!$M$2:$N$64,2,0),0)</f>
        <v>0</v>
      </c>
      <c r="Z493" s="128">
        <v>0</v>
      </c>
      <c r="AA493" s="126">
        <f>IFERROR(VLOOKUP(D493,'Monthly Deduction'!A:B,2,0),0)</f>
        <v>2163.46</v>
      </c>
      <c r="AB493" s="129">
        <f t="shared" si="134"/>
        <v>4315</v>
      </c>
      <c r="AC493" s="130">
        <v>0</v>
      </c>
      <c r="AD493" s="35">
        <f t="shared" si="145"/>
        <v>4315</v>
      </c>
      <c r="AE493" s="166" t="str">
        <f t="shared" si="146"/>
        <v>Release</v>
      </c>
      <c r="AF493" s="127"/>
      <c r="AG493" s="18">
        <v>0</v>
      </c>
      <c r="AH493" s="120" t="s">
        <v>1646</v>
      </c>
      <c r="AI493" s="238">
        <v>0</v>
      </c>
      <c r="AJ493" s="132" t="s">
        <v>68</v>
      </c>
      <c r="AK493" s="151">
        <v>1197.3</v>
      </c>
      <c r="AL493" s="154">
        <f t="shared" si="135"/>
        <v>0</v>
      </c>
      <c r="AM493" s="155"/>
      <c r="AN493" s="19">
        <f t="shared" si="136"/>
        <v>3756.2809857010002</v>
      </c>
      <c r="AO493" s="118">
        <f>SUMIF('MPG Payment '!E:E,'Shayak Income '!D493,'MPG Payment '!AJ:AJ)</f>
        <v>0</v>
      </c>
      <c r="AP493" s="19">
        <f t="shared" si="137"/>
        <v>3756.2809857010002</v>
      </c>
      <c r="AQ493" s="119">
        <f t="shared" si="147"/>
        <v>3756.2809857010002</v>
      </c>
      <c r="AR493" s="91" t="s">
        <v>1168</v>
      </c>
      <c r="AS493" s="91">
        <f t="shared" si="138"/>
        <v>12800</v>
      </c>
      <c r="AT493" s="118"/>
      <c r="AU493" s="118"/>
      <c r="AV493" s="118"/>
    </row>
    <row r="494" spans="1:48" s="20" customFormat="1" x14ac:dyDescent="0.25">
      <c r="A494" s="17">
        <f>IFERROR(VLOOKUP(D494,'Monthly Deduction'!$I$3:$J$957,2,0),0)</f>
        <v>81039.266399999993</v>
      </c>
      <c r="B494" s="17">
        <f>IFERROR(VLOOKUP(D494,'Monthly Deduction'!$E$3:$F$957,2,0),0)</f>
        <v>6400</v>
      </c>
      <c r="C494" s="17">
        <f t="shared" si="139"/>
        <v>87439.266399999993</v>
      </c>
      <c r="D494" s="41">
        <v>10140180</v>
      </c>
      <c r="E494" s="122" t="str">
        <f>VLOOKUP(D494,'MPG Payment '!$E$3:$G$498218,2,0)</f>
        <v>Gomukh Gangauli Dubha</v>
      </c>
      <c r="F494" s="146">
        <f>IFERROR(_xlfn.XLOOKUP(D494,'Monthly Deduction'!$I$3:$I$957,'Monthly Deduction'!$H$3:$H$957),0)</f>
        <v>0</v>
      </c>
      <c r="G494" s="123" t="str">
        <f>VLOOKUP(D494,'MPG Payment '!$E$3:$G$334579,3,0)</f>
        <v>MPG</v>
      </c>
      <c r="H494" s="124" t="str">
        <f>VLOOKUP(D494,'MPG Payment '!$E$3:$H$334579,4,0)</f>
        <v>Direct</v>
      </c>
      <c r="I494" s="88">
        <f>INDEX('MPG Payment '!$C:$C,MATCH('Shayak Income '!D494,'MPG Payment '!E:E,0))</f>
        <v>1014</v>
      </c>
      <c r="J494" s="88" t="str">
        <f>INDEX('MPG Payment '!$D:$D,MATCH('Shayak Income '!D494,'MPG Payment '!E:E,0))</f>
        <v>Dumraon</v>
      </c>
      <c r="K494" s="125" t="s">
        <v>1322</v>
      </c>
      <c r="L494" s="125">
        <v>45809</v>
      </c>
      <c r="M494" s="126">
        <f>SUMIF('MPG Payment '!$E$3:$E$34579,'Shayak Income '!D494,'MPG Payment '!$I$3:$I$34579)</f>
        <v>603.80000000000007</v>
      </c>
      <c r="N494" s="126">
        <f>SUMIF('MPG Payment '!$E$3:$E$34579,'Shayak Income '!D494,'MPG Payment '!$J$3:$J$34579)</f>
        <v>22851.845061530003</v>
      </c>
      <c r="O494" s="126">
        <f t="shared" si="140"/>
        <v>452.85</v>
      </c>
      <c r="P494" s="126">
        <f t="shared" si="141"/>
        <v>573.61</v>
      </c>
      <c r="Q494" s="126">
        <f>SUMIF('MPG Payment '!$E$3:$E$34579,'Shayak Income '!D494,'MPG Payment '!$S$3:$S$34579)</f>
        <v>368.64472182000003</v>
      </c>
      <c r="R494" s="126">
        <f t="shared" si="131"/>
        <v>685.55535184590008</v>
      </c>
      <c r="S494" s="126">
        <f t="shared" si="132"/>
        <v>111.94535184590006</v>
      </c>
      <c r="T494" s="126">
        <f t="shared" si="142"/>
        <v>60.38000000000001</v>
      </c>
      <c r="U494" s="127">
        <f>(((IF(K494="New",0,SUMIF('MPG Payment '!$E$3:$E$34579,'Shayak Income '!D494,'MPG Payment '!$AC$3:$AC$34579))))+0)+-329</f>
        <v>1335.2045701105214</v>
      </c>
      <c r="V494" s="127">
        <f t="shared" si="143"/>
        <v>0</v>
      </c>
      <c r="W494" s="19">
        <v>0</v>
      </c>
      <c r="X494" s="19">
        <v>0</v>
      </c>
      <c r="Y494" s="128">
        <v>0</v>
      </c>
      <c r="Z494" s="128">
        <v>0</v>
      </c>
      <c r="AA494" s="126">
        <v>0</v>
      </c>
      <c r="AB494" s="129">
        <f t="shared" si="134"/>
        <v>0</v>
      </c>
      <c r="AC494" s="130">
        <f t="shared" ref="AC494:AC495" si="149">AB494</f>
        <v>0</v>
      </c>
      <c r="AD494" s="35">
        <f t="shared" si="145"/>
        <v>0</v>
      </c>
      <c r="AE494" s="166" t="str">
        <f t="shared" si="146"/>
        <v>Release</v>
      </c>
      <c r="AF494" s="127"/>
      <c r="AG494" s="18">
        <v>0</v>
      </c>
      <c r="AH494" s="120" t="s">
        <v>1650</v>
      </c>
      <c r="AI494" s="238">
        <v>4193</v>
      </c>
      <c r="AJ494" s="132"/>
      <c r="AK494" s="151">
        <v>143.6</v>
      </c>
      <c r="AL494" s="154">
        <f t="shared" si="135"/>
        <v>0</v>
      </c>
      <c r="AM494" s="155"/>
      <c r="AN494" s="19">
        <f t="shared" si="136"/>
        <v>1861</v>
      </c>
      <c r="AO494" s="118">
        <f>SUMIF('MPG Payment '!E:E,'Shayak Income '!D494,'MPG Payment '!AJ:AJ)</f>
        <v>0</v>
      </c>
      <c r="AP494" s="19">
        <f t="shared" si="137"/>
        <v>0</v>
      </c>
      <c r="AQ494" s="119">
        <f t="shared" si="147"/>
        <v>0</v>
      </c>
      <c r="AR494" s="91" t="s">
        <v>1168</v>
      </c>
      <c r="AS494" s="91">
        <f t="shared" si="138"/>
        <v>6400</v>
      </c>
      <c r="AT494" s="118"/>
      <c r="AU494" s="118"/>
      <c r="AV494" s="118"/>
    </row>
    <row r="495" spans="1:48" s="20" customFormat="1" x14ac:dyDescent="0.25">
      <c r="A495" s="17">
        <f>IFERROR(VLOOKUP(D495,'Monthly Deduction'!$I$3:$J$957,2,0),0)</f>
        <v>0</v>
      </c>
      <c r="B495" s="17">
        <f>IFERROR(VLOOKUP(D495,'Monthly Deduction'!$E$3:$F$957,2,0),0)</f>
        <v>0</v>
      </c>
      <c r="C495" s="17">
        <f t="shared" si="139"/>
        <v>0</v>
      </c>
      <c r="D495" s="41">
        <v>10140181</v>
      </c>
      <c r="E495" s="122" t="str">
        <f>VLOOKUP(D495,'MPG Payment '!$E$3:$G$498218,2,0)</f>
        <v>Tiyar A2 Milk Producer Company Limited</v>
      </c>
      <c r="F495" s="146">
        <f>IFERROR(_xlfn.XLOOKUP(D495,'Monthly Deduction'!$I$3:$I$957,'Monthly Deduction'!$H$3:$H$957),0)</f>
        <v>0</v>
      </c>
      <c r="G495" s="123" t="str">
        <f>VLOOKUP(D495,'MPG Payment '!$E$3:$G$334579,3,0)</f>
        <v>vlc</v>
      </c>
      <c r="H495" s="124" t="str">
        <f>VLOOKUP(D495,'MPG Payment '!$E$3:$H$334579,4,0)</f>
        <v>Indirect</v>
      </c>
      <c r="I495" s="88">
        <f>INDEX('MPG Payment '!$C:$C,MATCH('Shayak Income '!D495,'MPG Payment '!E:E,0))</f>
        <v>1014</v>
      </c>
      <c r="J495" s="88" t="str">
        <f>INDEX('MPG Payment '!$D:$D,MATCH('Shayak Income '!D495,'MPG Payment '!E:E,0))</f>
        <v>Dumraon</v>
      </c>
      <c r="K495" s="125" t="s">
        <v>1322</v>
      </c>
      <c r="L495" s="125">
        <v>45809</v>
      </c>
      <c r="M495" s="126">
        <f>SUMIF('MPG Payment '!$E$3:$E$34579,'Shayak Income '!D495,'MPG Payment '!$I$3:$I$34579)</f>
        <v>59.5</v>
      </c>
      <c r="N495" s="126">
        <f>SUMIF('MPG Payment '!$E$3:$E$34579,'Shayak Income '!D495,'MPG Payment '!$J$3:$J$34579)</f>
        <v>2434.44</v>
      </c>
      <c r="O495" s="126">
        <f t="shared" si="140"/>
        <v>44.625</v>
      </c>
      <c r="P495" s="126">
        <f t="shared" si="141"/>
        <v>56.524999999999999</v>
      </c>
      <c r="Q495" s="126">
        <f>SUMIF('MPG Payment '!$E$3:$E$34579,'Shayak Income '!D495,'MPG Payment '!$S$3:$S$34579)</f>
        <v>0</v>
      </c>
      <c r="R495" s="126">
        <f t="shared" si="131"/>
        <v>73.033199999999994</v>
      </c>
      <c r="S495" s="126">
        <f t="shared" si="132"/>
        <v>16.508199999999995</v>
      </c>
      <c r="T495" s="126">
        <f t="shared" si="142"/>
        <v>5.95</v>
      </c>
      <c r="U495" s="127">
        <f>(((IF(K495="New",0,SUMIF('MPG Payment '!$E$3:$E$34579,'Shayak Income '!D495,'MPG Payment '!$AC$3:$AC$34579))))+0)+-429</f>
        <v>95.120611764705814</v>
      </c>
      <c r="V495" s="127">
        <f t="shared" si="143"/>
        <v>0</v>
      </c>
      <c r="W495" s="19">
        <v>0</v>
      </c>
      <c r="X495" s="19">
        <v>0</v>
      </c>
      <c r="Y495" s="128">
        <v>0</v>
      </c>
      <c r="Z495" s="128">
        <v>0</v>
      </c>
      <c r="AA495" s="126">
        <v>0</v>
      </c>
      <c r="AB495" s="129">
        <f t="shared" si="134"/>
        <v>0</v>
      </c>
      <c r="AC495" s="130">
        <f t="shared" si="149"/>
        <v>0</v>
      </c>
      <c r="AD495" s="35">
        <f t="shared" si="145"/>
        <v>0</v>
      </c>
      <c r="AE495" s="166" t="str">
        <f t="shared" si="146"/>
        <v>Release</v>
      </c>
      <c r="AF495" s="127"/>
      <c r="AG495" s="127">
        <v>0</v>
      </c>
      <c r="AH495" s="132" t="s">
        <v>1648</v>
      </c>
      <c r="AI495" s="238">
        <v>0</v>
      </c>
      <c r="AJ495" s="132"/>
      <c r="AK495" s="151">
        <v>0</v>
      </c>
      <c r="AL495" s="154">
        <f t="shared" si="135"/>
        <v>0</v>
      </c>
      <c r="AM495" s="155"/>
      <c r="AN495" s="19">
        <f t="shared" si="136"/>
        <v>0</v>
      </c>
      <c r="AO495" s="118">
        <f>SUMIF('MPG Payment '!E:E,'Shayak Income '!D495,'MPG Payment '!AJ:AJ)</f>
        <v>0</v>
      </c>
      <c r="AP495" s="19">
        <f t="shared" si="137"/>
        <v>0</v>
      </c>
      <c r="AQ495" s="119">
        <f t="shared" si="147"/>
        <v>0</v>
      </c>
      <c r="AR495" s="91" t="s">
        <v>1168</v>
      </c>
      <c r="AS495" s="91">
        <f t="shared" si="138"/>
        <v>0</v>
      </c>
      <c r="AT495" s="118"/>
      <c r="AU495" s="118"/>
      <c r="AV495" s="118"/>
    </row>
    <row r="496" spans="1:48" s="20" customFormat="1" x14ac:dyDescent="0.25">
      <c r="A496" s="17">
        <f>IFERROR(VLOOKUP(D496,'Monthly Deduction'!$I$3:$J$957,2,0),0)</f>
        <v>52479.298490417597</v>
      </c>
      <c r="B496" s="17">
        <f>IFERROR(VLOOKUP(D496,'Monthly Deduction'!$E$3:$F$957,2,0),0)</f>
        <v>6400</v>
      </c>
      <c r="C496" s="17">
        <f t="shared" si="139"/>
        <v>58879.298490417597</v>
      </c>
      <c r="D496" s="41">
        <v>10140185</v>
      </c>
      <c r="E496" s="122" t="str">
        <f>VLOOKUP(D496,'MPG Payment '!$E$3:$G$498218,2,0)</f>
        <v>Gomukh Jagdishpur</v>
      </c>
      <c r="F496" s="146">
        <f>IFERROR(_xlfn.XLOOKUP(D496,'Monthly Deduction'!$I$3:$I$957,'Monthly Deduction'!$H$3:$H$957),0)</f>
        <v>0</v>
      </c>
      <c r="G496" s="123" t="str">
        <f>VLOOKUP(D496,'MPG Payment '!$E$3:$G$334579,3,0)</f>
        <v>MPG</v>
      </c>
      <c r="H496" s="124" t="str">
        <f>VLOOKUP(D496,'MPG Payment '!$E$3:$H$334579,4,0)</f>
        <v>Direct</v>
      </c>
      <c r="I496" s="88">
        <f>INDEX('MPG Payment '!$C:$C,MATCH('Shayak Income '!D496,'MPG Payment '!E:E,0))</f>
        <v>1014</v>
      </c>
      <c r="J496" s="88" t="str">
        <f>INDEX('MPG Payment '!$D:$D,MATCH('Shayak Income '!D496,'MPG Payment '!E:E,0))</f>
        <v>Dumraon</v>
      </c>
      <c r="K496" s="125" t="s">
        <v>1322</v>
      </c>
      <c r="L496" s="125">
        <v>45868</v>
      </c>
      <c r="M496" s="126">
        <f>SUMIF('MPG Payment '!$E$3:$E$34579,'Shayak Income '!D496,'MPG Payment '!$I$3:$I$34579)</f>
        <v>5390.9999999999991</v>
      </c>
      <c r="N496" s="126">
        <f>SUMIF('MPG Payment '!$E$3:$E$34579,'Shayak Income '!D496,'MPG Payment '!$J$3:$J$34579)</f>
        <v>182367.68106065848</v>
      </c>
      <c r="O496" s="126">
        <f t="shared" si="140"/>
        <v>4043.2499999999991</v>
      </c>
      <c r="P496" s="126">
        <f t="shared" si="141"/>
        <v>5121.4499999999989</v>
      </c>
      <c r="Q496" s="126">
        <f>SUMIF('MPG Payment '!$E$3:$E$34579,'Shayak Income '!D496,'MPG Payment '!$S$3:$S$34579)</f>
        <v>0</v>
      </c>
      <c r="R496" s="126">
        <f t="shared" si="131"/>
        <v>5471.0304318197541</v>
      </c>
      <c r="S496" s="126">
        <f t="shared" si="132"/>
        <v>349.58043181975518</v>
      </c>
      <c r="T496" s="126">
        <f t="shared" si="142"/>
        <v>539.09999999999991</v>
      </c>
      <c r="U496" s="127">
        <f>(((IF(K496="New",0,SUMIF('MPG Payment '!$E$3:$E$34579,'Shayak Income '!D496,'MPG Payment '!$AC$3:$AC$34579))))+0)+0</f>
        <v>20.927183042571691</v>
      </c>
      <c r="V496" s="127">
        <f t="shared" si="143"/>
        <v>8605</v>
      </c>
      <c r="W496" s="19">
        <f t="shared" si="144"/>
        <v>3647.3536212131694</v>
      </c>
      <c r="X496" s="19">
        <v>0</v>
      </c>
      <c r="Y496" s="128">
        <f>IFERROR(VLOOKUP(D496,'Monthly Deduction'!$M$2:$N$64,2,0),0)</f>
        <v>0</v>
      </c>
      <c r="Z496" s="128">
        <v>0</v>
      </c>
      <c r="AA496" s="126">
        <f>IFERROR(VLOOKUP(D496,'Monthly Deduction'!A:B,2,0),0)</f>
        <v>1196.26</v>
      </c>
      <c r="AB496" s="129">
        <f t="shared" si="134"/>
        <v>3761</v>
      </c>
      <c r="AC496" s="130">
        <v>0</v>
      </c>
      <c r="AD496" s="35">
        <f t="shared" si="145"/>
        <v>3761</v>
      </c>
      <c r="AE496" s="166" t="str">
        <f t="shared" si="146"/>
        <v>Release</v>
      </c>
      <c r="AF496" s="127"/>
      <c r="AG496" s="18">
        <v>0</v>
      </c>
      <c r="AH496" s="132"/>
      <c r="AI496" s="238">
        <v>0</v>
      </c>
      <c r="AJ496" s="132"/>
      <c r="AK496" s="151">
        <v>652.90000000000009</v>
      </c>
      <c r="AL496" s="154">
        <f t="shared" si="135"/>
        <v>0</v>
      </c>
      <c r="AM496" s="155"/>
      <c r="AN496" s="19">
        <f t="shared" si="136"/>
        <v>3647.3536212131694</v>
      </c>
      <c r="AO496" s="118">
        <f>SUMIF('MPG Payment '!E:E,'Shayak Income '!D496,'MPG Payment '!AJ:AJ)</f>
        <v>0</v>
      </c>
      <c r="AP496" s="19">
        <f t="shared" si="137"/>
        <v>3647.3536212131694</v>
      </c>
      <c r="AQ496" s="119">
        <f t="shared" si="147"/>
        <v>3647.3536212131694</v>
      </c>
      <c r="AR496" s="91" t="s">
        <v>1168</v>
      </c>
      <c r="AS496" s="91">
        <f t="shared" si="138"/>
        <v>6400</v>
      </c>
      <c r="AT496" s="118"/>
      <c r="AU496" s="118"/>
      <c r="AV496" s="118"/>
    </row>
    <row r="497" spans="1:48" s="20" customFormat="1" x14ac:dyDescent="0.25">
      <c r="A497" s="17">
        <f>IFERROR(VLOOKUP(D497,'Monthly Deduction'!$I$3:$J$957,2,0),0)</f>
        <v>0</v>
      </c>
      <c r="B497" s="17">
        <f>IFERROR(VLOOKUP(D497,'Monthly Deduction'!$E$3:$F$957,2,0),0)</f>
        <v>0</v>
      </c>
      <c r="C497" s="17">
        <f t="shared" si="139"/>
        <v>0</v>
      </c>
      <c r="D497" s="41">
        <v>10180001</v>
      </c>
      <c r="E497" s="122" t="str">
        <f>VLOOKUP(D497,'MPG Payment '!$E$3:$G$498218,2,0)</f>
        <v>Gaachhi Tola</v>
      </c>
      <c r="F497" s="146">
        <f>IFERROR(_xlfn.XLOOKUP(D497,'Monthly Deduction'!$I$3:$I$957,'Monthly Deduction'!$H$3:$H$957),0)</f>
        <v>0</v>
      </c>
      <c r="G497" s="123" t="str">
        <f>VLOOKUP(D497,'MPG Payment '!$E$3:$G$334579,3,0)</f>
        <v>vlc</v>
      </c>
      <c r="H497" s="124" t="str">
        <f>VLOOKUP(D497,'MPG Payment '!$E$3:$H$334579,4,0)</f>
        <v>Indirect</v>
      </c>
      <c r="I497" s="88">
        <f>INDEX('MPG Payment '!$C:$C,MATCH('Shayak Income '!D497,'MPG Payment '!E:E,0))</f>
        <v>1002</v>
      </c>
      <c r="J497" s="88" t="str">
        <f>INDEX('MPG Payment '!$D:$D,MATCH('Shayak Income '!D497,'MPG Payment '!E:E,0))</f>
        <v>Laldiyara</v>
      </c>
      <c r="K497" s="125" t="s">
        <v>1322</v>
      </c>
      <c r="L497" s="125">
        <v>43510</v>
      </c>
      <c r="M497" s="126">
        <f>SUMIF('MPG Payment '!$E$3:$E$34579,'Shayak Income '!D497,'MPG Payment '!$I$3:$I$34579)</f>
        <v>3844.8999999999996</v>
      </c>
      <c r="N497" s="126">
        <f>SUMIF('MPG Payment '!$E$3:$E$34579,'Shayak Income '!D497,'MPG Payment '!$J$3:$J$34579)</f>
        <v>160555.43450185002</v>
      </c>
      <c r="O497" s="126">
        <f t="shared" si="140"/>
        <v>2883.6749999999997</v>
      </c>
      <c r="P497" s="126">
        <f t="shared" si="141"/>
        <v>3652.6549999999993</v>
      </c>
      <c r="Q497" s="126">
        <f>SUMIF('MPG Payment '!$E$3:$E$34579,'Shayak Income '!D497,'MPG Payment '!$S$3:$S$34579)</f>
        <v>0</v>
      </c>
      <c r="R497" s="126">
        <f t="shared" si="131"/>
        <v>4816.6630350555006</v>
      </c>
      <c r="S497" s="126">
        <f t="shared" si="132"/>
        <v>1164.0080350555013</v>
      </c>
      <c r="T497" s="126">
        <f t="shared" si="142"/>
        <v>384.49</v>
      </c>
      <c r="U497" s="127">
        <f>(((IF(K497="New",0,SUMIF('MPG Payment '!$E$3:$E$34579,'Shayak Income '!D497,'MPG Payment '!$AC$3:$AC$34579))))+0)+0</f>
        <v>0</v>
      </c>
      <c r="V497" s="127">
        <f t="shared" si="143"/>
        <v>6152</v>
      </c>
      <c r="W497" s="19">
        <f t="shared" si="144"/>
        <v>0</v>
      </c>
      <c r="X497" s="19">
        <f t="shared" si="133"/>
        <v>0</v>
      </c>
      <c r="Y497" s="128">
        <f>IFERROR(VLOOKUP(D497,'Monthly Deduction'!$M$2:$N$64,2,0),0)</f>
        <v>0</v>
      </c>
      <c r="Z497" s="128">
        <v>0</v>
      </c>
      <c r="AA497" s="126">
        <f>IFERROR(VLOOKUP(D497,'Monthly Deduction'!A:B,2,0),0)</f>
        <v>0</v>
      </c>
      <c r="AB497" s="129">
        <f t="shared" si="134"/>
        <v>6152</v>
      </c>
      <c r="AC497" s="130">
        <v>0</v>
      </c>
      <c r="AD497" s="35">
        <f t="shared" si="145"/>
        <v>6152</v>
      </c>
      <c r="AE497" s="166" t="str">
        <f t="shared" si="146"/>
        <v>Release</v>
      </c>
      <c r="AF497" s="127"/>
      <c r="AG497" s="18">
        <v>0</v>
      </c>
      <c r="AH497" s="120"/>
      <c r="AI497" s="238">
        <v>0</v>
      </c>
      <c r="AJ497" s="132"/>
      <c r="AK497" s="151">
        <v>864.54000000000008</v>
      </c>
      <c r="AL497" s="154">
        <f t="shared" si="135"/>
        <v>0</v>
      </c>
      <c r="AM497" s="155"/>
      <c r="AN497" s="19">
        <f t="shared" si="136"/>
        <v>0</v>
      </c>
      <c r="AO497" s="118">
        <f>SUMIF('MPG Payment '!E:E,'Shayak Income '!D497,'MPG Payment '!AJ:AJ)</f>
        <v>0</v>
      </c>
      <c r="AP497" s="19">
        <f t="shared" si="137"/>
        <v>0</v>
      </c>
      <c r="AQ497" s="119">
        <f t="shared" si="147"/>
        <v>0</v>
      </c>
      <c r="AR497" s="91" t="s">
        <v>1168</v>
      </c>
      <c r="AS497" s="91">
        <f t="shared" si="138"/>
        <v>0</v>
      </c>
      <c r="AT497" s="118"/>
      <c r="AU497" s="118"/>
      <c r="AV497" s="118"/>
    </row>
    <row r="498" spans="1:48" s="20" customFormat="1" x14ac:dyDescent="0.25">
      <c r="A498" s="17">
        <f>IFERROR(VLOOKUP(D498,'Monthly Deduction'!$I$3:$J$957,2,0),0)</f>
        <v>0</v>
      </c>
      <c r="B498" s="17">
        <f>IFERROR(VLOOKUP(D498,'Monthly Deduction'!$E$3:$F$957,2,0),0)</f>
        <v>0</v>
      </c>
      <c r="C498" s="17">
        <f t="shared" si="139"/>
        <v>0</v>
      </c>
      <c r="D498" s="41">
        <v>10220001</v>
      </c>
      <c r="E498" s="122" t="str">
        <f>VLOOKUP(D498,'MPG Payment '!$E$3:$G$498218,2,0)</f>
        <v>VISHWASHPUR</v>
      </c>
      <c r="F498" s="146">
        <f>IFERROR(_xlfn.XLOOKUP(D498,'Monthly Deduction'!$I$3:$I$957,'Monthly Deduction'!$H$3:$H$957),0)</f>
        <v>0</v>
      </c>
      <c r="G498" s="123" t="str">
        <f>VLOOKUP(D498,'MPG Payment '!$E$3:$G$334579,3,0)</f>
        <v>RMC</v>
      </c>
      <c r="H498" s="124" t="str">
        <f>VLOOKUP(D498,'MPG Payment '!$E$3:$H$334579,4,0)</f>
        <v>Direct</v>
      </c>
      <c r="I498" s="88">
        <f>INDEX('MPG Payment '!$C:$C,MATCH('Shayak Income '!D498,'MPG Payment '!E:E,0))</f>
        <v>1003</v>
      </c>
      <c r="J498" s="88" t="str">
        <f>INDEX('MPG Payment '!$D:$D,MATCH('Shayak Income '!D498,'MPG Payment '!E:E,0))</f>
        <v>Asarganj</v>
      </c>
      <c r="K498" s="125" t="s">
        <v>1322</v>
      </c>
      <c r="L498" s="125">
        <v>42979</v>
      </c>
      <c r="M498" s="126">
        <f>SUMIF('MPG Payment '!$E$3:$E$34579,'Shayak Income '!D498,'MPG Payment '!$I$3:$I$34579)</f>
        <v>1905</v>
      </c>
      <c r="N498" s="126">
        <f>SUMIF('MPG Payment '!$E$3:$E$34579,'Shayak Income '!D498,'MPG Payment '!$J$3:$J$34579)</f>
        <v>61039.94</v>
      </c>
      <c r="O498" s="126">
        <f t="shared" si="140"/>
        <v>1428.75</v>
      </c>
      <c r="P498" s="126">
        <f t="shared" si="141"/>
        <v>1809.75</v>
      </c>
      <c r="Q498" s="126">
        <f>SUMIF('MPG Payment '!$E$3:$E$34579,'Shayak Income '!D498,'MPG Payment '!$S$3:$S$34579)</f>
        <v>578.45776705200001</v>
      </c>
      <c r="R498" s="126">
        <f t="shared" si="131"/>
        <v>1831.1982</v>
      </c>
      <c r="S498" s="126">
        <f t="shared" si="132"/>
        <v>21.448200000000043</v>
      </c>
      <c r="T498" s="126">
        <f t="shared" si="142"/>
        <v>190.5</v>
      </c>
      <c r="U498" s="127">
        <f>(((IF(K498="New",0,SUMIF('MPG Payment '!$E$3:$E$34579,'Shayak Income '!D498,'MPG Payment '!$AC$3:$AC$34579))))+0)+0</f>
        <v>192.2</v>
      </c>
      <c r="V498" s="127">
        <f t="shared" si="143"/>
        <v>3434</v>
      </c>
      <c r="W498" s="19">
        <f t="shared" si="144"/>
        <v>0</v>
      </c>
      <c r="X498" s="19">
        <f t="shared" si="133"/>
        <v>0</v>
      </c>
      <c r="Y498" s="128">
        <f>IFERROR(VLOOKUP(D498,'Monthly Deduction'!$M$2:$N$64,2,0),0)</f>
        <v>0</v>
      </c>
      <c r="Z498" s="128">
        <v>0</v>
      </c>
      <c r="AA498" s="126">
        <f>IFERROR(VLOOKUP(D498,'Monthly Deduction'!A:B,2,0),0)</f>
        <v>0</v>
      </c>
      <c r="AB498" s="129">
        <f t="shared" si="134"/>
        <v>3434</v>
      </c>
      <c r="AC498" s="130">
        <f>AB498</f>
        <v>3434</v>
      </c>
      <c r="AD498" s="35">
        <f t="shared" si="145"/>
        <v>0</v>
      </c>
      <c r="AE498" s="166" t="str">
        <f t="shared" si="146"/>
        <v>Yes</v>
      </c>
      <c r="AF498" s="127"/>
      <c r="AG498" s="18">
        <v>0</v>
      </c>
      <c r="AH498" s="132" t="s">
        <v>1648</v>
      </c>
      <c r="AI498" s="238">
        <v>0</v>
      </c>
      <c r="AJ498" s="132"/>
      <c r="AK498" s="151">
        <v>0</v>
      </c>
      <c r="AL498" s="154">
        <f t="shared" si="135"/>
        <v>0</v>
      </c>
      <c r="AM498" s="155"/>
      <c r="AN498" s="19">
        <f t="shared" si="136"/>
        <v>0</v>
      </c>
      <c r="AO498" s="118">
        <f>SUMIF('MPG Payment '!E:E,'Shayak Income '!D498,'MPG Payment '!AJ:AJ)</f>
        <v>0</v>
      </c>
      <c r="AP498" s="19">
        <f t="shared" si="137"/>
        <v>0</v>
      </c>
      <c r="AQ498" s="119">
        <f t="shared" si="147"/>
        <v>0</v>
      </c>
      <c r="AR498" s="91" t="s">
        <v>1168</v>
      </c>
      <c r="AS498" s="91">
        <f t="shared" si="138"/>
        <v>0</v>
      </c>
      <c r="AT498" s="118"/>
      <c r="AU498" s="118"/>
      <c r="AV498" s="118"/>
    </row>
    <row r="499" spans="1:48" s="20" customFormat="1" x14ac:dyDescent="0.25">
      <c r="A499" s="17">
        <f>IFERROR(VLOOKUP(D499,'Monthly Deduction'!$I$3:$J$957,2,0),0)</f>
        <v>0</v>
      </c>
      <c r="B499" s="17">
        <f>IFERROR(VLOOKUP(D499,'Monthly Deduction'!$E$3:$F$957,2,0),0)</f>
        <v>0</v>
      </c>
      <c r="C499" s="17">
        <f t="shared" si="139"/>
        <v>0</v>
      </c>
      <c r="D499" s="41">
        <v>10240001</v>
      </c>
      <c r="E499" s="122" t="str">
        <f>VLOOKUP(D499,'MPG Payment '!$E$3:$G$498218,2,0)</f>
        <v>KUMARPUIR KATHARA</v>
      </c>
      <c r="F499" s="146">
        <f>IFERROR(_xlfn.XLOOKUP(D499,'Monthly Deduction'!$I$3:$I$957,'Monthly Deduction'!$H$3:$H$957),0)</f>
        <v>0</v>
      </c>
      <c r="G499" s="123" t="str">
        <f>VLOOKUP(D499,'MPG Payment '!$E$3:$G$334579,3,0)</f>
        <v>RMC</v>
      </c>
      <c r="H499" s="124" t="str">
        <f>VLOOKUP(D499,'MPG Payment '!$E$3:$H$334579,4,0)</f>
        <v>Direct</v>
      </c>
      <c r="I499" s="88">
        <f>INDEX('MPG Payment '!$C:$C,MATCH('Shayak Income '!D499,'MPG Payment '!E:E,0))</f>
        <v>1003</v>
      </c>
      <c r="J499" s="88" t="str">
        <f>INDEX('MPG Payment '!$D:$D,MATCH('Shayak Income '!D499,'MPG Payment '!E:E,0))</f>
        <v>Asarganj</v>
      </c>
      <c r="K499" s="125" t="s">
        <v>1322</v>
      </c>
      <c r="L499" s="125">
        <v>42979</v>
      </c>
      <c r="M499" s="126">
        <f>SUMIF('MPG Payment '!$E$3:$E$34579,'Shayak Income '!D499,'MPG Payment '!$I$3:$I$34579)</f>
        <v>5809</v>
      </c>
      <c r="N499" s="126">
        <f>SUMIF('MPG Payment '!$E$3:$E$34579,'Shayak Income '!D499,'MPG Payment '!$J$3:$J$34579)</f>
        <v>206160.20061599999</v>
      </c>
      <c r="O499" s="126">
        <f t="shared" si="140"/>
        <v>4356.75</v>
      </c>
      <c r="P499" s="126">
        <f t="shared" si="141"/>
        <v>5518.55</v>
      </c>
      <c r="Q499" s="126">
        <f>SUMIF('MPG Payment '!$E$3:$E$34579,'Shayak Income '!D499,'MPG Payment '!$S$3:$S$34579)</f>
        <v>3590.1329852327904</v>
      </c>
      <c r="R499" s="126">
        <f t="shared" si="131"/>
        <v>6184.8060184799997</v>
      </c>
      <c r="S499" s="126">
        <f t="shared" si="132"/>
        <v>666.25601847999951</v>
      </c>
      <c r="T499" s="126">
        <f t="shared" si="142"/>
        <v>580.9</v>
      </c>
      <c r="U499" s="127">
        <f>(((IF(K499="New",0,SUMIF('MPG Payment '!$E$3:$E$34579,'Shayak Income '!D499,'MPG Payment '!$AC$3:$AC$34579))))+0)+0</f>
        <v>0</v>
      </c>
      <c r="V499" s="127">
        <f t="shared" si="143"/>
        <v>12885</v>
      </c>
      <c r="W499" s="19">
        <f t="shared" si="144"/>
        <v>0</v>
      </c>
      <c r="X499" s="19">
        <f t="shared" si="133"/>
        <v>0</v>
      </c>
      <c r="Y499" s="128">
        <f>IFERROR(VLOOKUP(D499,'Monthly Deduction'!$M$2:$N$64,2,0),0)</f>
        <v>0</v>
      </c>
      <c r="Z499" s="128">
        <v>0</v>
      </c>
      <c r="AA499" s="126">
        <f>IFERROR(VLOOKUP(D499,'Monthly Deduction'!A:B,2,0),0)</f>
        <v>0</v>
      </c>
      <c r="AB499" s="129">
        <f t="shared" si="134"/>
        <v>12885</v>
      </c>
      <c r="AC499" s="130">
        <v>0</v>
      </c>
      <c r="AD499" s="35">
        <f t="shared" si="145"/>
        <v>12885</v>
      </c>
      <c r="AE499" s="166" t="str">
        <f t="shared" si="146"/>
        <v>Release</v>
      </c>
      <c r="AF499" s="127"/>
      <c r="AG499" s="18">
        <v>0</v>
      </c>
      <c r="AH499" s="132"/>
      <c r="AI499" s="238">
        <v>0</v>
      </c>
      <c r="AJ499" s="132"/>
      <c r="AK499" s="151">
        <v>1827</v>
      </c>
      <c r="AL499" s="154">
        <f t="shared" si="135"/>
        <v>0</v>
      </c>
      <c r="AM499" s="155"/>
      <c r="AN499" s="19">
        <f t="shared" si="136"/>
        <v>0</v>
      </c>
      <c r="AO499" s="118">
        <f>SUMIF('MPG Payment '!E:E,'Shayak Income '!D499,'MPG Payment '!AJ:AJ)</f>
        <v>0</v>
      </c>
      <c r="AP499" s="19">
        <f t="shared" si="137"/>
        <v>0</v>
      </c>
      <c r="AQ499" s="119">
        <f t="shared" si="147"/>
        <v>0</v>
      </c>
      <c r="AR499" s="91" t="s">
        <v>1168</v>
      </c>
      <c r="AS499" s="91">
        <f t="shared" si="138"/>
        <v>0</v>
      </c>
      <c r="AT499" s="118"/>
      <c r="AU499" s="118"/>
      <c r="AV499" s="118"/>
    </row>
    <row r="500" spans="1:48" s="20" customFormat="1" x14ac:dyDescent="0.25">
      <c r="A500" s="17">
        <f>IFERROR(VLOOKUP(D500,'Monthly Deduction'!$I$3:$J$957,2,0),0)</f>
        <v>0</v>
      </c>
      <c r="B500" s="17">
        <f>IFERROR(VLOOKUP(D500,'Monthly Deduction'!$E$3:$F$957,2,0),0)</f>
        <v>0</v>
      </c>
      <c r="C500" s="17">
        <f t="shared" si="139"/>
        <v>0</v>
      </c>
      <c r="D500" s="41">
        <v>10250001</v>
      </c>
      <c r="E500" s="122" t="str">
        <f>VLOOKUP(D500,'MPG Payment '!$E$3:$G$498218,2,0)</f>
        <v>KUDHIYA MPG</v>
      </c>
      <c r="F500" s="146">
        <f>IFERROR(_xlfn.XLOOKUP(D500,'Monthly Deduction'!$I$3:$I$957,'Monthly Deduction'!$H$3:$H$957),0)</f>
        <v>0</v>
      </c>
      <c r="G500" s="123" t="str">
        <f>VLOOKUP(D500,'MPG Payment '!$E$3:$G$334579,3,0)</f>
        <v>RMC</v>
      </c>
      <c r="H500" s="124" t="str">
        <f>VLOOKUP(D500,'MPG Payment '!$E$3:$H$334579,4,0)</f>
        <v>Direct</v>
      </c>
      <c r="I500" s="88">
        <f>INDEX('MPG Payment '!$C:$C,MATCH('Shayak Income '!D500,'MPG Payment '!E:E,0))</f>
        <v>1003</v>
      </c>
      <c r="J500" s="88" t="str">
        <f>INDEX('MPG Payment '!$D:$D,MATCH('Shayak Income '!D500,'MPG Payment '!E:E,0))</f>
        <v>Asarganj</v>
      </c>
      <c r="K500" s="125" t="s">
        <v>1322</v>
      </c>
      <c r="L500" s="125">
        <v>42979</v>
      </c>
      <c r="M500" s="126">
        <f>SUMIF('MPG Payment '!$E$3:$E$34579,'Shayak Income '!D500,'MPG Payment '!$I$3:$I$34579)</f>
        <v>4917.8999999999996</v>
      </c>
      <c r="N500" s="126">
        <f>SUMIF('MPG Payment '!$E$3:$E$34579,'Shayak Income '!D500,'MPG Payment '!$J$3:$J$34579)</f>
        <v>218353.54914724117</v>
      </c>
      <c r="O500" s="126">
        <f t="shared" si="140"/>
        <v>3688.4249999999997</v>
      </c>
      <c r="P500" s="126">
        <f t="shared" si="141"/>
        <v>4672.0049999999992</v>
      </c>
      <c r="Q500" s="126">
        <f>SUMIF('MPG Payment '!$E$3:$E$34579,'Shayak Income '!D500,'MPG Payment '!$S$3:$S$34579)</f>
        <v>1166.2073330400003</v>
      </c>
      <c r="R500" s="126">
        <f t="shared" si="131"/>
        <v>6550.6064744172345</v>
      </c>
      <c r="S500" s="126">
        <f t="shared" si="132"/>
        <v>1878.6014744172353</v>
      </c>
      <c r="T500" s="126">
        <f t="shared" si="142"/>
        <v>491.78999999999996</v>
      </c>
      <c r="U500" s="127">
        <f>(((IF(K500="New",0,SUMIF('MPG Payment '!$E$3:$E$34579,'Shayak Income '!D500,'MPG Payment '!$AC$3:$AC$34579))))+0)+0</f>
        <v>337.76091965654706</v>
      </c>
      <c r="V500" s="127">
        <f t="shared" si="143"/>
        <v>8697</v>
      </c>
      <c r="W500" s="19">
        <f t="shared" si="144"/>
        <v>0</v>
      </c>
      <c r="X500" s="19">
        <f t="shared" si="133"/>
        <v>0</v>
      </c>
      <c r="Y500" s="128">
        <f>IFERROR(VLOOKUP(D500,'Monthly Deduction'!$M$2:$N$64,2,0),0)</f>
        <v>0</v>
      </c>
      <c r="Z500" s="128">
        <v>0</v>
      </c>
      <c r="AA500" s="126">
        <f>IFERROR(VLOOKUP(D500,'Monthly Deduction'!A:B,2,0),0)</f>
        <v>0</v>
      </c>
      <c r="AB500" s="129">
        <f t="shared" si="134"/>
        <v>8697</v>
      </c>
      <c r="AC500" s="130">
        <v>0</v>
      </c>
      <c r="AD500" s="35">
        <f t="shared" si="145"/>
        <v>8697</v>
      </c>
      <c r="AE500" s="166" t="str">
        <f t="shared" si="146"/>
        <v>Release</v>
      </c>
      <c r="AF500" s="127"/>
      <c r="AG500" s="18">
        <v>0</v>
      </c>
      <c r="AH500" s="132"/>
      <c r="AI500" s="238">
        <v>0</v>
      </c>
      <c r="AJ500" s="132"/>
      <c r="AK500" s="151">
        <v>2234.25</v>
      </c>
      <c r="AL500" s="154">
        <f t="shared" si="135"/>
        <v>0</v>
      </c>
      <c r="AM500" s="155"/>
      <c r="AN500" s="19">
        <f t="shared" si="136"/>
        <v>0</v>
      </c>
      <c r="AO500" s="118">
        <f>SUMIF('MPG Payment '!E:E,'Shayak Income '!D500,'MPG Payment '!AJ:AJ)</f>
        <v>0</v>
      </c>
      <c r="AP500" s="19">
        <f t="shared" si="137"/>
        <v>0</v>
      </c>
      <c r="AQ500" s="119">
        <f t="shared" si="147"/>
        <v>0</v>
      </c>
      <c r="AR500" s="91" t="s">
        <v>1168</v>
      </c>
      <c r="AS500" s="91">
        <f t="shared" si="138"/>
        <v>0</v>
      </c>
      <c r="AT500" s="118"/>
      <c r="AU500" s="118"/>
      <c r="AV500" s="118"/>
    </row>
    <row r="501" spans="1:48" s="20" customFormat="1" x14ac:dyDescent="0.25">
      <c r="A501" s="17">
        <f>IFERROR(VLOOKUP(D501,'Monthly Deduction'!$I$3:$J$957,2,0),0)</f>
        <v>0</v>
      </c>
      <c r="B501" s="17">
        <f>IFERROR(VLOOKUP(D501,'Monthly Deduction'!$E$3:$F$957,2,0),0)</f>
        <v>0</v>
      </c>
      <c r="C501" s="17">
        <f t="shared" si="139"/>
        <v>0</v>
      </c>
      <c r="D501" s="41">
        <v>10260001</v>
      </c>
      <c r="E501" s="122" t="str">
        <f>VLOOKUP(D501,'MPG Payment '!$E$3:$G$498218,2,0)</f>
        <v>SHAHJADPUR MPG</v>
      </c>
      <c r="F501" s="146">
        <f>IFERROR(_xlfn.XLOOKUP(D501,'Monthly Deduction'!$I$3:$I$957,'Monthly Deduction'!$H$3:$H$957),0)</f>
        <v>0</v>
      </c>
      <c r="G501" s="123" t="str">
        <f>VLOOKUP(D501,'MPG Payment '!$E$3:$G$334579,3,0)</f>
        <v>RMC</v>
      </c>
      <c r="H501" s="124" t="str">
        <f>VLOOKUP(D501,'MPG Payment '!$E$3:$H$334579,4,0)</f>
        <v>Direct</v>
      </c>
      <c r="I501" s="88">
        <f>INDEX('MPG Payment '!$C:$C,MATCH('Shayak Income '!D501,'MPG Payment '!E:E,0))</f>
        <v>1003</v>
      </c>
      <c r="J501" s="88" t="str">
        <f>INDEX('MPG Payment '!$D:$D,MATCH('Shayak Income '!D501,'MPG Payment '!E:E,0))</f>
        <v>Asarganj</v>
      </c>
      <c r="K501" s="125" t="s">
        <v>1322</v>
      </c>
      <c r="L501" s="125">
        <v>42979</v>
      </c>
      <c r="M501" s="126">
        <f>SUMIF('MPG Payment '!$E$3:$E$34579,'Shayak Income '!D501,'MPG Payment '!$I$3:$I$34579)</f>
        <v>4396.8499999999995</v>
      </c>
      <c r="N501" s="126">
        <f>SUMIF('MPG Payment '!$E$3:$E$34579,'Shayak Income '!D501,'MPG Payment '!$J$3:$J$34579)</f>
        <v>164924.83437138502</v>
      </c>
      <c r="O501" s="126">
        <f t="shared" si="140"/>
        <v>3297.6374999999998</v>
      </c>
      <c r="P501" s="126">
        <f t="shared" si="141"/>
        <v>4177.0074999999997</v>
      </c>
      <c r="Q501" s="126">
        <f>SUMIF('MPG Payment '!$E$3:$E$34579,'Shayak Income '!D501,'MPG Payment '!$S$3:$S$34579)</f>
        <v>1302.7860414477</v>
      </c>
      <c r="R501" s="126">
        <f t="shared" si="131"/>
        <v>4947.7450311415505</v>
      </c>
      <c r="S501" s="126">
        <f t="shared" si="132"/>
        <v>770.73753114155079</v>
      </c>
      <c r="T501" s="126">
        <f t="shared" si="142"/>
        <v>439.68499999999995</v>
      </c>
      <c r="U501" s="127">
        <f>(((IF(K501="New",0,SUMIF('MPG Payment '!$E$3:$E$34579,'Shayak Income '!D501,'MPG Payment '!$AC$3:$AC$34579))))+0)+0</f>
        <v>0</v>
      </c>
      <c r="V501" s="127">
        <f t="shared" si="143"/>
        <v>8338</v>
      </c>
      <c r="W501" s="19">
        <f t="shared" si="144"/>
        <v>0</v>
      </c>
      <c r="X501" s="19">
        <f t="shared" si="133"/>
        <v>0</v>
      </c>
      <c r="Y501" s="128">
        <f>IFERROR(VLOOKUP(D501,'Monthly Deduction'!$M$2:$N$64,2,0),0)</f>
        <v>0</v>
      </c>
      <c r="Z501" s="128">
        <v>0</v>
      </c>
      <c r="AA501" s="126">
        <f>IFERROR(VLOOKUP(D501,'Monthly Deduction'!A:B,2,0),0)</f>
        <v>0</v>
      </c>
      <c r="AB501" s="129">
        <f t="shared" si="134"/>
        <v>8338</v>
      </c>
      <c r="AC501" s="130">
        <v>0</v>
      </c>
      <c r="AD501" s="35">
        <f t="shared" si="145"/>
        <v>8338</v>
      </c>
      <c r="AE501" s="166" t="str">
        <f t="shared" si="146"/>
        <v>Release</v>
      </c>
      <c r="AF501" s="127"/>
      <c r="AG501" s="18">
        <v>0</v>
      </c>
      <c r="AH501" s="132"/>
      <c r="AI501" s="238">
        <v>0</v>
      </c>
      <c r="AJ501" s="132"/>
      <c r="AK501" s="151">
        <v>1682.05</v>
      </c>
      <c r="AL501" s="154">
        <f t="shared" si="135"/>
        <v>0</v>
      </c>
      <c r="AM501" s="155"/>
      <c r="AN501" s="19">
        <f t="shared" si="136"/>
        <v>0</v>
      </c>
      <c r="AO501" s="118">
        <f>SUMIF('MPG Payment '!E:E,'Shayak Income '!D501,'MPG Payment '!AJ:AJ)</f>
        <v>0</v>
      </c>
      <c r="AP501" s="19">
        <f t="shared" si="137"/>
        <v>0</v>
      </c>
      <c r="AQ501" s="119">
        <f t="shared" si="147"/>
        <v>0</v>
      </c>
      <c r="AR501" s="91" t="s">
        <v>1168</v>
      </c>
      <c r="AS501" s="91">
        <f t="shared" si="138"/>
        <v>0</v>
      </c>
      <c r="AT501" s="118"/>
      <c r="AU501" s="118"/>
      <c r="AV501" s="118"/>
    </row>
    <row r="502" spans="1:48" s="20" customFormat="1" x14ac:dyDescent="0.25">
      <c r="A502" s="17">
        <f>IFERROR(VLOOKUP(D502,'Monthly Deduction'!$I$3:$J$957,2,0),0)</f>
        <v>0</v>
      </c>
      <c r="B502" s="17">
        <f>IFERROR(VLOOKUP(D502,'Monthly Deduction'!$E$3:$F$957,2,0),0)</f>
        <v>0</v>
      </c>
      <c r="C502" s="17">
        <f t="shared" si="139"/>
        <v>0</v>
      </c>
      <c r="D502" s="41">
        <v>10290001</v>
      </c>
      <c r="E502" s="122" t="str">
        <f>VLOOKUP(D502,'MPG Payment '!$E$3:$G$498218,2,0)</f>
        <v>FARDA - 3</v>
      </c>
      <c r="F502" s="146">
        <f>IFERROR(_xlfn.XLOOKUP(D502,'Monthly Deduction'!$I$3:$I$957,'Monthly Deduction'!$H$3:$H$957),0)</f>
        <v>0</v>
      </c>
      <c r="G502" s="123" t="str">
        <f>VLOOKUP(D502,'MPG Payment '!$E$3:$G$334579,3,0)</f>
        <v>RMC</v>
      </c>
      <c r="H502" s="124" t="str">
        <f>VLOOKUP(D502,'MPG Payment '!$E$3:$H$334579,4,0)</f>
        <v>Direct</v>
      </c>
      <c r="I502" s="88">
        <f>INDEX('MPG Payment '!$C:$C,MATCH('Shayak Income '!D502,'MPG Payment '!E:E,0))</f>
        <v>1006</v>
      </c>
      <c r="J502" s="88" t="str">
        <f>INDEX('MPG Payment '!$D:$D,MATCH('Shayak Income '!D502,'MPG Payment '!E:E,0))</f>
        <v>Sonvarsha</v>
      </c>
      <c r="K502" s="125" t="s">
        <v>1322</v>
      </c>
      <c r="L502" s="125">
        <v>42979</v>
      </c>
      <c r="M502" s="126">
        <f>SUMIF('MPG Payment '!$E$3:$E$34579,'Shayak Income '!D502,'MPG Payment '!$I$3:$I$34579)</f>
        <v>7627</v>
      </c>
      <c r="N502" s="126">
        <f>SUMIF('MPG Payment '!$E$3:$E$34579,'Shayak Income '!D502,'MPG Payment '!$J$3:$J$34579)</f>
        <v>264571.17990950699</v>
      </c>
      <c r="O502" s="126">
        <f t="shared" si="140"/>
        <v>5720.25</v>
      </c>
      <c r="P502" s="126">
        <f t="shared" si="141"/>
        <v>7245.65</v>
      </c>
      <c r="Q502" s="126">
        <f>SUMIF('MPG Payment '!$E$3:$E$34579,'Shayak Income '!D502,'MPG Payment '!$S$3:$S$34579)</f>
        <v>1043.0506612230001</v>
      </c>
      <c r="R502" s="126">
        <f t="shared" si="131"/>
        <v>7937.1353972852094</v>
      </c>
      <c r="S502" s="126">
        <f t="shared" si="132"/>
        <v>691.48539728520973</v>
      </c>
      <c r="T502" s="126">
        <f t="shared" si="142"/>
        <v>762.7</v>
      </c>
      <c r="U502" s="127">
        <f>(((IF(K502="New",0,SUMIF('MPG Payment '!$E$3:$E$34579,'Shayak Income '!D502,'MPG Payment '!$AC$3:$AC$34579))))+0)+0</f>
        <v>0</v>
      </c>
      <c r="V502" s="127">
        <f t="shared" si="143"/>
        <v>13246</v>
      </c>
      <c r="W502" s="19">
        <f t="shared" si="144"/>
        <v>0</v>
      </c>
      <c r="X502" s="19">
        <f t="shared" si="133"/>
        <v>0</v>
      </c>
      <c r="Y502" s="128">
        <f>IFERROR(VLOOKUP(D502,'Monthly Deduction'!$M$2:$N$64,2,0),0)</f>
        <v>0</v>
      </c>
      <c r="Z502" s="128">
        <v>0</v>
      </c>
      <c r="AA502" s="126">
        <f>IFERROR(VLOOKUP(D502,'Monthly Deduction'!A:B,2,0),0)</f>
        <v>0</v>
      </c>
      <c r="AB502" s="129">
        <f t="shared" si="134"/>
        <v>13246</v>
      </c>
      <c r="AC502" s="130">
        <v>0</v>
      </c>
      <c r="AD502" s="35">
        <f t="shared" si="145"/>
        <v>13246</v>
      </c>
      <c r="AE502" s="166" t="str">
        <f t="shared" si="146"/>
        <v>Release</v>
      </c>
      <c r="AF502" s="127"/>
      <c r="AG502" s="127">
        <v>0</v>
      </c>
      <c r="AH502" s="132"/>
      <c r="AI502" s="238">
        <v>0</v>
      </c>
      <c r="AJ502" s="132"/>
      <c r="AK502" s="151">
        <v>2506.7000000000003</v>
      </c>
      <c r="AL502" s="154">
        <f t="shared" si="135"/>
        <v>0</v>
      </c>
      <c r="AM502" s="155"/>
      <c r="AN502" s="19">
        <f t="shared" si="136"/>
        <v>0</v>
      </c>
      <c r="AO502" s="118">
        <f>SUMIF('MPG Payment '!E:E,'Shayak Income '!D502,'MPG Payment '!AJ:AJ)</f>
        <v>0</v>
      </c>
      <c r="AP502" s="19">
        <f t="shared" si="137"/>
        <v>0</v>
      </c>
      <c r="AQ502" s="119">
        <f t="shared" si="147"/>
        <v>0</v>
      </c>
      <c r="AR502" s="91" t="s">
        <v>1168</v>
      </c>
      <c r="AS502" s="91">
        <f t="shared" si="138"/>
        <v>0</v>
      </c>
      <c r="AT502" s="118"/>
      <c r="AU502" s="118"/>
      <c r="AV502" s="118"/>
    </row>
    <row r="503" spans="1:48" s="20" customFormat="1" x14ac:dyDescent="0.25">
      <c r="A503" s="17">
        <f>IFERROR(VLOOKUP(D503,'Monthly Deduction'!$I$3:$J$957,2,0),0)</f>
        <v>0</v>
      </c>
      <c r="B503" s="17">
        <f>IFERROR(VLOOKUP(D503,'Monthly Deduction'!$E$3:$F$957,2,0),0)</f>
        <v>0</v>
      </c>
      <c r="C503" s="17">
        <f t="shared" si="139"/>
        <v>0</v>
      </c>
      <c r="D503" s="41">
        <v>10300001</v>
      </c>
      <c r="E503" s="122" t="str">
        <f>VLOOKUP(D503,'MPG Payment '!$E$3:$G$498218,2,0)</f>
        <v>CHANDANPURA</v>
      </c>
      <c r="F503" s="146">
        <f>IFERROR(_xlfn.XLOOKUP(D503,'Monthly Deduction'!$I$3:$I$957,'Monthly Deduction'!$H$3:$H$957),0)</f>
        <v>0</v>
      </c>
      <c r="G503" s="123" t="str">
        <f>VLOOKUP(D503,'MPG Payment '!$E$3:$G$334579,3,0)</f>
        <v>vlc</v>
      </c>
      <c r="H503" s="124" t="str">
        <f>VLOOKUP(D503,'MPG Payment '!$E$3:$H$334579,4,0)</f>
        <v>Indirect</v>
      </c>
      <c r="I503" s="88">
        <f>INDEX('MPG Payment '!$C:$C,MATCH('Shayak Income '!D503,'MPG Payment '!E:E,0))</f>
        <v>1006</v>
      </c>
      <c r="J503" s="88" t="str">
        <f>INDEX('MPG Payment '!$D:$D,MATCH('Shayak Income '!D503,'MPG Payment '!E:E,0))</f>
        <v>Sonvarsha</v>
      </c>
      <c r="K503" s="125" t="s">
        <v>1322</v>
      </c>
      <c r="L503" s="125">
        <v>42979</v>
      </c>
      <c r="M503" s="126">
        <f>SUMIF('MPG Payment '!$E$3:$E$34579,'Shayak Income '!D503,'MPG Payment '!$I$3:$I$34579)</f>
        <v>3139.8999999999996</v>
      </c>
      <c r="N503" s="126">
        <f>SUMIF('MPG Payment '!$E$3:$E$34579,'Shayak Income '!D503,'MPG Payment '!$J$3:$J$34579)</f>
        <v>146325.38960962</v>
      </c>
      <c r="O503" s="126">
        <f t="shared" si="140"/>
        <v>2354.9249999999997</v>
      </c>
      <c r="P503" s="126">
        <f t="shared" si="141"/>
        <v>2982.9049999999993</v>
      </c>
      <c r="Q503" s="126">
        <f>SUMIF('MPG Payment '!$E$3:$E$34579,'Shayak Income '!D503,'MPG Payment '!$S$3:$S$34579)</f>
        <v>0</v>
      </c>
      <c r="R503" s="126">
        <f t="shared" si="131"/>
        <v>4389.7616882885995</v>
      </c>
      <c r="S503" s="126">
        <f t="shared" si="132"/>
        <v>1406.8566882886003</v>
      </c>
      <c r="T503" s="126">
        <f t="shared" si="142"/>
        <v>313.99</v>
      </c>
      <c r="U503" s="127">
        <f>(((IF(K503="New",0,SUMIF('MPG Payment '!$E$3:$E$34579,'Shayak Income '!D503,'MPG Payment '!$AC$3:$AC$34579))))+0)+0</f>
        <v>310.72097878876104</v>
      </c>
      <c r="V503" s="127">
        <f t="shared" si="143"/>
        <v>4713</v>
      </c>
      <c r="W503" s="19">
        <f t="shared" si="144"/>
        <v>0</v>
      </c>
      <c r="X503" s="19">
        <f t="shared" si="133"/>
        <v>0</v>
      </c>
      <c r="Y503" s="128">
        <f>IFERROR(VLOOKUP(D503,'Monthly Deduction'!$M$2:$N$64,2,0),0)</f>
        <v>0</v>
      </c>
      <c r="Z503" s="128">
        <v>0</v>
      </c>
      <c r="AA503" s="126">
        <f>IFERROR(VLOOKUP(D503,'Monthly Deduction'!A:B,2,0),0)</f>
        <v>0</v>
      </c>
      <c r="AB503" s="129">
        <f t="shared" si="134"/>
        <v>4713</v>
      </c>
      <c r="AC503" s="130">
        <v>0</v>
      </c>
      <c r="AD503" s="35">
        <f t="shared" si="145"/>
        <v>4713</v>
      </c>
      <c r="AE503" s="166" t="str">
        <f t="shared" si="146"/>
        <v>Release</v>
      </c>
      <c r="AF503" s="127"/>
      <c r="AG503" s="18">
        <v>0</v>
      </c>
      <c r="AH503" s="132"/>
      <c r="AI503" s="238">
        <v>0</v>
      </c>
      <c r="AJ503" s="132"/>
      <c r="AK503" s="151">
        <v>1973.3</v>
      </c>
      <c r="AL503" s="154">
        <f t="shared" si="135"/>
        <v>0</v>
      </c>
      <c r="AM503" s="155"/>
      <c r="AN503" s="19">
        <f t="shared" si="136"/>
        <v>0</v>
      </c>
      <c r="AO503" s="118">
        <f>SUMIF('MPG Payment '!E:E,'Shayak Income '!D503,'MPG Payment '!AJ:AJ)</f>
        <v>0</v>
      </c>
      <c r="AP503" s="19">
        <f t="shared" si="137"/>
        <v>0</v>
      </c>
      <c r="AQ503" s="119">
        <f t="shared" si="147"/>
        <v>0</v>
      </c>
      <c r="AR503" s="91" t="s">
        <v>1168</v>
      </c>
      <c r="AS503" s="91">
        <f t="shared" si="138"/>
        <v>0</v>
      </c>
      <c r="AT503" s="118"/>
      <c r="AU503" s="118"/>
      <c r="AV503" s="118"/>
    </row>
    <row r="504" spans="1:48" s="20" customFormat="1" x14ac:dyDescent="0.25">
      <c r="A504" s="17">
        <f>IFERROR(VLOOKUP(D504,'Monthly Deduction'!$I$3:$J$957,2,0),0)</f>
        <v>0</v>
      </c>
      <c r="B504" s="17">
        <f>IFERROR(VLOOKUP(D504,'Monthly Deduction'!$E$3:$F$957,2,0),0)</f>
        <v>0</v>
      </c>
      <c r="C504" s="17">
        <f t="shared" si="139"/>
        <v>0</v>
      </c>
      <c r="D504" s="41">
        <v>10310001</v>
      </c>
      <c r="E504" s="122" t="str">
        <f>VLOOKUP(D504,'MPG Payment '!$E$3:$G$498218,2,0)</f>
        <v>MANIKPUR</v>
      </c>
      <c r="F504" s="146">
        <f>IFERROR(_xlfn.XLOOKUP(D504,'Monthly Deduction'!$I$3:$I$957,'Monthly Deduction'!$H$3:$H$957),0)</f>
        <v>0</v>
      </c>
      <c r="G504" s="123" t="str">
        <f>VLOOKUP(D504,'MPG Payment '!$E$3:$G$334579,3,0)</f>
        <v>RMC</v>
      </c>
      <c r="H504" s="124" t="str">
        <f>VLOOKUP(D504,'MPG Payment '!$E$3:$H$334579,4,0)</f>
        <v>Direct</v>
      </c>
      <c r="I504" s="88">
        <f>INDEX('MPG Payment '!$C:$C,MATCH('Shayak Income '!D504,'MPG Payment '!E:E,0))</f>
        <v>1006</v>
      </c>
      <c r="J504" s="88" t="str">
        <f>INDEX('MPG Payment '!$D:$D,MATCH('Shayak Income '!D504,'MPG Payment '!E:E,0))</f>
        <v>Sonvarsha</v>
      </c>
      <c r="K504" s="125" t="s">
        <v>1322</v>
      </c>
      <c r="L504" s="125">
        <v>42979</v>
      </c>
      <c r="M504" s="126">
        <f>SUMIF('MPG Payment '!$E$3:$E$34579,'Shayak Income '!D504,'MPG Payment '!$I$3:$I$34579)</f>
        <v>3650.6</v>
      </c>
      <c r="N504" s="126">
        <f>SUMIF('MPG Payment '!$E$3:$E$34579,'Shayak Income '!D504,'MPG Payment '!$J$3:$J$34579)</f>
        <v>141169.261795067</v>
      </c>
      <c r="O504" s="126">
        <f t="shared" si="140"/>
        <v>2737.95</v>
      </c>
      <c r="P504" s="126">
        <f t="shared" si="141"/>
        <v>3468.0699999999997</v>
      </c>
      <c r="Q504" s="126">
        <f>SUMIF('MPG Payment '!$E$3:$E$34579,'Shayak Income '!D504,'MPG Payment '!$S$3:$S$34579)</f>
        <v>868.60737697500008</v>
      </c>
      <c r="R504" s="126">
        <f t="shared" si="131"/>
        <v>4235.0778538520099</v>
      </c>
      <c r="S504" s="126">
        <f t="shared" si="132"/>
        <v>767.00785385201016</v>
      </c>
      <c r="T504" s="126">
        <f t="shared" si="142"/>
        <v>365.06</v>
      </c>
      <c r="U504" s="127">
        <f>(((IF(K504="New",0,SUMIF('MPG Payment '!$E$3:$E$34579,'Shayak Income '!D504,'MPG Payment '!$AC$3:$AC$34579))))+0)+0</f>
        <v>0</v>
      </c>
      <c r="V504" s="127">
        <f t="shared" si="143"/>
        <v>6710</v>
      </c>
      <c r="W504" s="19">
        <f t="shared" si="144"/>
        <v>0</v>
      </c>
      <c r="X504" s="19">
        <f t="shared" si="133"/>
        <v>0</v>
      </c>
      <c r="Y504" s="128">
        <f>IFERROR(VLOOKUP(D504,'Monthly Deduction'!$M$2:$N$64,2,0),0)</f>
        <v>0</v>
      </c>
      <c r="Z504" s="128">
        <v>0</v>
      </c>
      <c r="AA504" s="126">
        <f>IFERROR(VLOOKUP(D504,'Monthly Deduction'!A:B,2,0),0)</f>
        <v>0</v>
      </c>
      <c r="AB504" s="129">
        <f t="shared" si="134"/>
        <v>6710</v>
      </c>
      <c r="AC504" s="130">
        <v>0</v>
      </c>
      <c r="AD504" s="35">
        <f t="shared" si="145"/>
        <v>6710</v>
      </c>
      <c r="AE504" s="166" t="str">
        <f t="shared" si="146"/>
        <v>Release</v>
      </c>
      <c r="AF504" s="127"/>
      <c r="AG504" s="18">
        <v>0</v>
      </c>
      <c r="AH504" s="215"/>
      <c r="AI504" s="238">
        <v>0</v>
      </c>
      <c r="AJ504" s="132"/>
      <c r="AK504" s="151">
        <v>859.8</v>
      </c>
      <c r="AL504" s="154">
        <f t="shared" si="135"/>
        <v>0</v>
      </c>
      <c r="AM504" s="155"/>
      <c r="AN504" s="19">
        <f t="shared" si="136"/>
        <v>0</v>
      </c>
      <c r="AO504" s="118">
        <f>SUMIF('MPG Payment '!E:E,'Shayak Income '!D504,'MPG Payment '!AJ:AJ)</f>
        <v>0</v>
      </c>
      <c r="AP504" s="19">
        <f t="shared" si="137"/>
        <v>0</v>
      </c>
      <c r="AQ504" s="119">
        <f t="shared" si="147"/>
        <v>0</v>
      </c>
      <c r="AR504" s="91" t="s">
        <v>1168</v>
      </c>
      <c r="AS504" s="91">
        <f t="shared" si="138"/>
        <v>0</v>
      </c>
      <c r="AT504" s="118"/>
      <c r="AU504" s="118"/>
      <c r="AV504" s="118"/>
    </row>
    <row r="505" spans="1:48" s="20" customFormat="1" x14ac:dyDescent="0.25">
      <c r="A505" s="17">
        <f>IFERROR(VLOOKUP(D505,'Monthly Deduction'!$I$3:$J$957,2,0),0)</f>
        <v>0</v>
      </c>
      <c r="B505" s="17">
        <f>IFERROR(VLOOKUP(D505,'Monthly Deduction'!$E$3:$F$957,2,0),0)</f>
        <v>0</v>
      </c>
      <c r="C505" s="17">
        <f t="shared" si="139"/>
        <v>0</v>
      </c>
      <c r="D505" s="41">
        <v>10320001</v>
      </c>
      <c r="E505" s="122" t="str">
        <f>VLOOKUP(D505,'MPG Payment '!$E$3:$G$498218,2,0)</f>
        <v>JAKARPURA</v>
      </c>
      <c r="F505" s="146">
        <f>IFERROR(_xlfn.XLOOKUP(D505,'Monthly Deduction'!$I$3:$I$957,'Monthly Deduction'!$H$3:$H$957),0)</f>
        <v>0</v>
      </c>
      <c r="G505" s="123" t="str">
        <f>VLOOKUP(D505,'MPG Payment '!$E$3:$G$334579,3,0)</f>
        <v>vlc</v>
      </c>
      <c r="H505" s="124" t="str">
        <f>VLOOKUP(D505,'MPG Payment '!$E$3:$H$334579,4,0)</f>
        <v>Indirect</v>
      </c>
      <c r="I505" s="88">
        <f>INDEX('MPG Payment '!$C:$C,MATCH('Shayak Income '!D505,'MPG Payment '!E:E,0))</f>
        <v>1006</v>
      </c>
      <c r="J505" s="88" t="str">
        <f>INDEX('MPG Payment '!$D:$D,MATCH('Shayak Income '!D505,'MPG Payment '!E:E,0))</f>
        <v>Sonvarsha</v>
      </c>
      <c r="K505" s="125" t="s">
        <v>1322</v>
      </c>
      <c r="L505" s="125">
        <v>42979</v>
      </c>
      <c r="M505" s="126">
        <f>SUMIF('MPG Payment '!$E$3:$E$34579,'Shayak Income '!D505,'MPG Payment '!$I$3:$I$34579)</f>
        <v>9274.7000000000007</v>
      </c>
      <c r="N505" s="126">
        <f>SUMIF('MPG Payment '!$E$3:$E$34579,'Shayak Income '!D505,'MPG Payment '!$J$3:$J$34579)</f>
        <v>348326.32366488001</v>
      </c>
      <c r="O505" s="126">
        <f t="shared" si="140"/>
        <v>6956.0250000000005</v>
      </c>
      <c r="P505" s="126">
        <f t="shared" si="141"/>
        <v>8810.9650000000001</v>
      </c>
      <c r="Q505" s="126">
        <f>SUMIF('MPG Payment '!$E$3:$E$34579,'Shayak Income '!D505,'MPG Payment '!$S$3:$S$34579)</f>
        <v>0</v>
      </c>
      <c r="R505" s="126">
        <f t="shared" si="131"/>
        <v>10449.789709946401</v>
      </c>
      <c r="S505" s="126">
        <f t="shared" si="132"/>
        <v>1638.8247099464006</v>
      </c>
      <c r="T505" s="126">
        <f t="shared" si="142"/>
        <v>927.47000000000014</v>
      </c>
      <c r="U505" s="127">
        <f>(((IF(K505="New",0,SUMIF('MPG Payment '!$E$3:$E$34579,'Shayak Income '!D505,'MPG Payment '!$AC$3:$AC$34579))))+0)+0</f>
        <v>0</v>
      </c>
      <c r="V505" s="127">
        <f t="shared" si="143"/>
        <v>14840</v>
      </c>
      <c r="W505" s="19">
        <f t="shared" si="144"/>
        <v>0</v>
      </c>
      <c r="X505" s="19">
        <f t="shared" si="133"/>
        <v>0</v>
      </c>
      <c r="Y505" s="128">
        <f>IFERROR(VLOOKUP(D505,'Monthly Deduction'!$M$2:$N$64,2,0),0)</f>
        <v>0</v>
      </c>
      <c r="Z505" s="128">
        <v>0</v>
      </c>
      <c r="AA505" s="126">
        <f>IFERROR(VLOOKUP(D505,'Monthly Deduction'!A:B,2,0),0)</f>
        <v>0</v>
      </c>
      <c r="AB505" s="129">
        <f t="shared" si="134"/>
        <v>14840</v>
      </c>
      <c r="AC505" s="130">
        <v>0</v>
      </c>
      <c r="AD505" s="35">
        <f t="shared" si="145"/>
        <v>14840</v>
      </c>
      <c r="AE505" s="166" t="str">
        <f t="shared" si="146"/>
        <v>Release</v>
      </c>
      <c r="AF505" s="127"/>
      <c r="AG505" s="18">
        <v>0</v>
      </c>
      <c r="AH505" s="132"/>
      <c r="AI505" s="238">
        <v>0</v>
      </c>
      <c r="AJ505" s="132"/>
      <c r="AK505" s="151">
        <v>2906.0000000000005</v>
      </c>
      <c r="AL505" s="154">
        <f t="shared" si="135"/>
        <v>0</v>
      </c>
      <c r="AM505" s="155"/>
      <c r="AN505" s="19">
        <f t="shared" si="136"/>
        <v>0</v>
      </c>
      <c r="AO505" s="118">
        <f>SUMIF('MPG Payment '!E:E,'Shayak Income '!D505,'MPG Payment '!AJ:AJ)</f>
        <v>0</v>
      </c>
      <c r="AP505" s="19">
        <f t="shared" si="137"/>
        <v>0</v>
      </c>
      <c r="AQ505" s="119">
        <f t="shared" si="147"/>
        <v>0</v>
      </c>
      <c r="AR505" s="91" t="s">
        <v>1168</v>
      </c>
      <c r="AS505" s="91">
        <f t="shared" si="138"/>
        <v>0</v>
      </c>
      <c r="AT505" s="118"/>
      <c r="AU505" s="118"/>
      <c r="AV505" s="118"/>
    </row>
    <row r="506" spans="1:48" s="20" customFormat="1" x14ac:dyDescent="0.25">
      <c r="A506" s="17">
        <f>IFERROR(VLOOKUP(D506,'Monthly Deduction'!$I$3:$J$957,2,0),0)</f>
        <v>0</v>
      </c>
      <c r="B506" s="17">
        <f>IFERROR(VLOOKUP(D506,'Monthly Deduction'!$E$3:$F$957,2,0),0)</f>
        <v>0</v>
      </c>
      <c r="C506" s="17">
        <f t="shared" si="139"/>
        <v>0</v>
      </c>
      <c r="D506" s="41">
        <v>10340001</v>
      </c>
      <c r="E506" s="122" t="str">
        <f>VLOOKUP(D506,'MPG Payment '!$E$3:$G$498218,2,0)</f>
        <v>NANDPUR</v>
      </c>
      <c r="F506" s="146">
        <f>IFERROR(_xlfn.XLOOKUP(D506,'Monthly Deduction'!$I$3:$I$957,'Monthly Deduction'!$H$3:$H$957),0)</f>
        <v>0</v>
      </c>
      <c r="G506" s="123" t="str">
        <f>VLOOKUP(D506,'MPG Payment '!$E$3:$G$334579,3,0)</f>
        <v>vlc</v>
      </c>
      <c r="H506" s="124" t="str">
        <f>VLOOKUP(D506,'MPG Payment '!$E$3:$H$334579,4,0)</f>
        <v>Indirect</v>
      </c>
      <c r="I506" s="88">
        <f>INDEX('MPG Payment '!$C:$C,MATCH('Shayak Income '!D506,'MPG Payment '!E:E,0))</f>
        <v>1006</v>
      </c>
      <c r="J506" s="88" t="str">
        <f>INDEX('MPG Payment '!$D:$D,MATCH('Shayak Income '!D506,'MPG Payment '!E:E,0))</f>
        <v>Sonvarsha</v>
      </c>
      <c r="K506" s="125" t="s">
        <v>1322</v>
      </c>
      <c r="L506" s="125">
        <v>42979</v>
      </c>
      <c r="M506" s="126">
        <f>SUMIF('MPG Payment '!$E$3:$E$34579,'Shayak Income '!D506,'MPG Payment '!$I$3:$I$34579)</f>
        <v>6501.2000000000007</v>
      </c>
      <c r="N506" s="126">
        <f>SUMIF('MPG Payment '!$E$3:$E$34579,'Shayak Income '!D506,'MPG Payment '!$J$3:$J$34579)</f>
        <v>240666.25202896999</v>
      </c>
      <c r="O506" s="126">
        <f t="shared" si="140"/>
        <v>4875.9000000000005</v>
      </c>
      <c r="P506" s="126">
        <f t="shared" si="141"/>
        <v>6176.14</v>
      </c>
      <c r="Q506" s="126">
        <f>SUMIF('MPG Payment '!$E$3:$E$34579,'Shayak Income '!D506,'MPG Payment '!$S$3:$S$34579)</f>
        <v>0</v>
      </c>
      <c r="R506" s="126">
        <f t="shared" si="131"/>
        <v>7219.9875608690991</v>
      </c>
      <c r="S506" s="126">
        <f t="shared" si="132"/>
        <v>1043.8475608690987</v>
      </c>
      <c r="T506" s="126">
        <f t="shared" si="142"/>
        <v>650.12000000000012</v>
      </c>
      <c r="U506" s="127">
        <f>(((IF(K506="New",0,SUMIF('MPG Payment '!$E$3:$E$34579,'Shayak Income '!D506,'MPG Payment '!$AC$3:$AC$34579))))+0)+0</f>
        <v>0</v>
      </c>
      <c r="V506" s="127">
        <f t="shared" si="143"/>
        <v>10402</v>
      </c>
      <c r="W506" s="19">
        <f t="shared" si="144"/>
        <v>0</v>
      </c>
      <c r="X506" s="19">
        <f t="shared" si="133"/>
        <v>0</v>
      </c>
      <c r="Y506" s="128">
        <f>IFERROR(VLOOKUP(D506,'Monthly Deduction'!$M$2:$N$64,2,0),0)</f>
        <v>0</v>
      </c>
      <c r="Z506" s="128">
        <v>0</v>
      </c>
      <c r="AA506" s="126">
        <f>IFERROR(VLOOKUP(D506,'Monthly Deduction'!A:B,2,0),0)</f>
        <v>0</v>
      </c>
      <c r="AB506" s="129">
        <f t="shared" si="134"/>
        <v>10402</v>
      </c>
      <c r="AC506" s="130">
        <v>0</v>
      </c>
      <c r="AD506" s="35">
        <f t="shared" si="145"/>
        <v>10402</v>
      </c>
      <c r="AE506" s="166" t="str">
        <f t="shared" si="146"/>
        <v>Release</v>
      </c>
      <c r="AF506" s="127"/>
      <c r="AG506" s="18">
        <v>0</v>
      </c>
      <c r="AH506" s="215"/>
      <c r="AI506" s="238">
        <v>0</v>
      </c>
      <c r="AJ506" s="132"/>
      <c r="AK506" s="151">
        <v>1445.8999999999999</v>
      </c>
      <c r="AL506" s="154">
        <f t="shared" si="135"/>
        <v>0</v>
      </c>
      <c r="AM506" s="155"/>
      <c r="AN506" s="19">
        <f t="shared" si="136"/>
        <v>0</v>
      </c>
      <c r="AO506" s="118">
        <f>SUMIF('MPG Payment '!E:E,'Shayak Income '!D506,'MPG Payment '!AJ:AJ)</f>
        <v>0</v>
      </c>
      <c r="AP506" s="19">
        <f t="shared" si="137"/>
        <v>0</v>
      </c>
      <c r="AQ506" s="119">
        <f t="shared" si="147"/>
        <v>0</v>
      </c>
      <c r="AR506" s="91" t="s">
        <v>1168</v>
      </c>
      <c r="AS506" s="91">
        <f t="shared" si="138"/>
        <v>0</v>
      </c>
      <c r="AT506" s="118"/>
      <c r="AU506" s="118"/>
      <c r="AV506" s="118"/>
    </row>
    <row r="507" spans="1:48" s="20" customFormat="1" x14ac:dyDescent="0.25">
      <c r="A507" s="17">
        <f>IFERROR(VLOOKUP(D507,'Monthly Deduction'!$I$3:$J$957,2,0),0)</f>
        <v>0</v>
      </c>
      <c r="B507" s="17">
        <f>IFERROR(VLOOKUP(D507,'Monthly Deduction'!$E$3:$F$957,2,0),0)</f>
        <v>0</v>
      </c>
      <c r="C507" s="17">
        <f t="shared" si="139"/>
        <v>0</v>
      </c>
      <c r="D507" s="41">
        <v>10350001</v>
      </c>
      <c r="E507" s="122" t="str">
        <f>VLOOKUP(D507,'MPG Payment '!$E$3:$G$498218,2,0)</f>
        <v>NOWAGADHI</v>
      </c>
      <c r="F507" s="146">
        <f>IFERROR(_xlfn.XLOOKUP(D507,'Monthly Deduction'!$I$3:$I$957,'Monthly Deduction'!$H$3:$H$957),0)</f>
        <v>0</v>
      </c>
      <c r="G507" s="123" t="str">
        <f>VLOOKUP(D507,'MPG Payment '!$E$3:$G$334579,3,0)</f>
        <v>RMC</v>
      </c>
      <c r="H507" s="124" t="str">
        <f>VLOOKUP(D507,'MPG Payment '!$E$3:$H$334579,4,0)</f>
        <v>Direct</v>
      </c>
      <c r="I507" s="88">
        <f>INDEX('MPG Payment '!$C:$C,MATCH('Shayak Income '!D507,'MPG Payment '!E:E,0))</f>
        <v>1006</v>
      </c>
      <c r="J507" s="88" t="str">
        <f>INDEX('MPG Payment '!$D:$D,MATCH('Shayak Income '!D507,'MPG Payment '!E:E,0))</f>
        <v>Sonvarsha</v>
      </c>
      <c r="K507" s="125" t="s">
        <v>1322</v>
      </c>
      <c r="L507" s="125">
        <v>42979</v>
      </c>
      <c r="M507" s="126">
        <f>SUMIF('MPG Payment '!$E$3:$E$34579,'Shayak Income '!D507,'MPG Payment '!$I$3:$I$34579)</f>
        <v>7322.2</v>
      </c>
      <c r="N507" s="126">
        <f>SUMIF('MPG Payment '!$E$3:$E$34579,'Shayak Income '!D507,'MPG Payment '!$J$3:$J$34579)</f>
        <v>274616.60591459996</v>
      </c>
      <c r="O507" s="126">
        <f t="shared" si="140"/>
        <v>5491.65</v>
      </c>
      <c r="P507" s="126">
        <f t="shared" si="141"/>
        <v>6956.0899999999992</v>
      </c>
      <c r="Q507" s="126">
        <f>SUMIF('MPG Payment '!$E$3:$E$34579,'Shayak Income '!D507,'MPG Payment '!$S$3:$S$34579)</f>
        <v>2665.1889771179999</v>
      </c>
      <c r="R507" s="126">
        <f t="shared" si="131"/>
        <v>8238.4981774379994</v>
      </c>
      <c r="S507" s="126">
        <f t="shared" si="132"/>
        <v>1282.4081774380002</v>
      </c>
      <c r="T507" s="126">
        <f t="shared" si="142"/>
        <v>732.22</v>
      </c>
      <c r="U507" s="127">
        <f>(((IF(K507="New",0,SUMIF('MPG Payment '!$E$3:$E$34579,'Shayak Income '!D507,'MPG Payment '!$AC$3:$AC$34579))))+0)+0</f>
        <v>0</v>
      </c>
      <c r="V507" s="127">
        <f t="shared" si="143"/>
        <v>14381</v>
      </c>
      <c r="W507" s="19">
        <f t="shared" si="144"/>
        <v>0</v>
      </c>
      <c r="X507" s="19">
        <f t="shared" si="133"/>
        <v>0</v>
      </c>
      <c r="Y507" s="128">
        <f>IFERROR(VLOOKUP(D507,'Monthly Deduction'!$M$2:$N$64,2,0),0)</f>
        <v>0</v>
      </c>
      <c r="Z507" s="128">
        <v>0</v>
      </c>
      <c r="AA507" s="126">
        <f>IFERROR(VLOOKUP(D507,'Monthly Deduction'!A:B,2,0),0)</f>
        <v>0</v>
      </c>
      <c r="AB507" s="129">
        <f t="shared" si="134"/>
        <v>14381</v>
      </c>
      <c r="AC507" s="130">
        <v>0</v>
      </c>
      <c r="AD507" s="35">
        <f t="shared" si="145"/>
        <v>14381</v>
      </c>
      <c r="AE507" s="166" t="str">
        <f t="shared" si="146"/>
        <v>Release</v>
      </c>
      <c r="AF507" s="127"/>
      <c r="AG507" s="18">
        <v>0</v>
      </c>
      <c r="AH507" s="132"/>
      <c r="AI507" s="238">
        <v>0</v>
      </c>
      <c r="AJ507" s="132"/>
      <c r="AK507" s="151">
        <v>1875.3</v>
      </c>
      <c r="AL507" s="154">
        <f t="shared" si="135"/>
        <v>0</v>
      </c>
      <c r="AM507" s="155"/>
      <c r="AN507" s="19">
        <f t="shared" si="136"/>
        <v>0</v>
      </c>
      <c r="AO507" s="118">
        <f>SUMIF('MPG Payment '!E:E,'Shayak Income '!D507,'MPG Payment '!AJ:AJ)</f>
        <v>0</v>
      </c>
      <c r="AP507" s="19">
        <f t="shared" si="137"/>
        <v>0</v>
      </c>
      <c r="AQ507" s="119">
        <f t="shared" si="147"/>
        <v>0</v>
      </c>
      <c r="AR507" s="91" t="s">
        <v>1168</v>
      </c>
      <c r="AS507" s="91">
        <f t="shared" si="138"/>
        <v>0</v>
      </c>
      <c r="AT507" s="118"/>
      <c r="AU507" s="118"/>
      <c r="AV507" s="118"/>
    </row>
    <row r="508" spans="1:48" s="20" customFormat="1" x14ac:dyDescent="0.25">
      <c r="A508" s="17">
        <f>IFERROR(VLOOKUP(D508,'Monthly Deduction'!$I$3:$J$957,2,0),0)</f>
        <v>0</v>
      </c>
      <c r="B508" s="17">
        <f>IFERROR(VLOOKUP(D508,'Monthly Deduction'!$E$3:$F$957,2,0),0)</f>
        <v>0</v>
      </c>
      <c r="C508" s="17">
        <f t="shared" si="139"/>
        <v>0</v>
      </c>
      <c r="D508" s="41">
        <v>10360001</v>
      </c>
      <c r="E508" s="122" t="str">
        <f>VLOOKUP(D508,'MPG Payment '!$E$3:$G$498218,2,0)</f>
        <v>MAHADAT PUR 2</v>
      </c>
      <c r="F508" s="146">
        <f>IFERROR(_xlfn.XLOOKUP(D508,'Monthly Deduction'!$I$3:$I$957,'Monthly Deduction'!$H$3:$H$957),0)</f>
        <v>0</v>
      </c>
      <c r="G508" s="123" t="str">
        <f>VLOOKUP(D508,'MPG Payment '!$E$3:$G$334579,3,0)</f>
        <v>RMC</v>
      </c>
      <c r="H508" s="124" t="str">
        <f>VLOOKUP(D508,'MPG Payment '!$E$3:$H$334579,4,0)</f>
        <v>Direct</v>
      </c>
      <c r="I508" s="88">
        <f>INDEX('MPG Payment '!$C:$C,MATCH('Shayak Income '!D508,'MPG Payment '!E:E,0))</f>
        <v>1036</v>
      </c>
      <c r="J508" s="88" t="str">
        <f>INDEX('MPG Payment '!$D:$D,MATCH('Shayak Income '!D508,'MPG Payment '!E:E,0))</f>
        <v>MAHADAT PUR 2</v>
      </c>
      <c r="K508" s="125" t="s">
        <v>1322</v>
      </c>
      <c r="L508" s="125">
        <v>42979</v>
      </c>
      <c r="M508" s="126">
        <f>SUMIF('MPG Payment '!$E$3:$E$34579,'Shayak Income '!D508,'MPG Payment '!$I$3:$I$34579)</f>
        <v>9813.7000000000007</v>
      </c>
      <c r="N508" s="126">
        <f>SUMIF('MPG Payment '!$E$3:$E$34579,'Shayak Income '!D508,'MPG Payment '!$J$3:$J$34579)</f>
        <v>364937.7770294646</v>
      </c>
      <c r="O508" s="126">
        <f t="shared" si="140"/>
        <v>7360.2750000000005</v>
      </c>
      <c r="P508" s="126">
        <f t="shared" si="141"/>
        <v>9323.0149999999994</v>
      </c>
      <c r="Q508" s="126">
        <f>SUMIF('MPG Payment '!$E$3:$E$34579,'Shayak Income '!D508,'MPG Payment '!$S$3:$S$34579)</f>
        <v>6621.6347145120008</v>
      </c>
      <c r="R508" s="126">
        <f t="shared" si="131"/>
        <v>10948.133310883937</v>
      </c>
      <c r="S508" s="126">
        <f t="shared" si="132"/>
        <v>1625.1183108839377</v>
      </c>
      <c r="T508" s="126">
        <f t="shared" si="142"/>
        <v>981.37000000000012</v>
      </c>
      <c r="U508" s="127">
        <f>(((IF(K508="New",0,SUMIF('MPG Payment '!$E$3:$E$34579,'Shayak Income '!D508,'MPG Payment '!$AC$3:$AC$34579))))+0)+0</f>
        <v>0</v>
      </c>
      <c r="V508" s="127">
        <f t="shared" si="143"/>
        <v>22324</v>
      </c>
      <c r="W508" s="19">
        <f t="shared" si="144"/>
        <v>0</v>
      </c>
      <c r="X508" s="19">
        <f t="shared" si="133"/>
        <v>0</v>
      </c>
      <c r="Y508" s="128">
        <f>IFERROR(VLOOKUP(D508,'Monthly Deduction'!$M$2:$N$64,2,0),0)</f>
        <v>400</v>
      </c>
      <c r="Z508" s="128">
        <v>0</v>
      </c>
      <c r="AA508" s="126">
        <f>IFERROR(VLOOKUP(D508,'Monthly Deduction'!A:B,2,0),0)</f>
        <v>0</v>
      </c>
      <c r="AB508" s="129">
        <f t="shared" si="134"/>
        <v>21924</v>
      </c>
      <c r="AC508" s="130">
        <v>0</v>
      </c>
      <c r="AD508" s="35">
        <f t="shared" si="145"/>
        <v>21924</v>
      </c>
      <c r="AE508" s="166" t="str">
        <f t="shared" si="146"/>
        <v>Release</v>
      </c>
      <c r="AF508" s="127"/>
      <c r="AG508" s="18">
        <v>0</v>
      </c>
      <c r="AH508" s="120"/>
      <c r="AI508" s="238">
        <v>0</v>
      </c>
      <c r="AJ508" s="132"/>
      <c r="AK508" s="151">
        <v>2992.3</v>
      </c>
      <c r="AL508" s="154">
        <f t="shared" si="135"/>
        <v>0</v>
      </c>
      <c r="AM508" s="155"/>
      <c r="AN508" s="19">
        <f t="shared" si="136"/>
        <v>0</v>
      </c>
      <c r="AO508" s="118">
        <f>SUMIF('MPG Payment '!E:E,'Shayak Income '!D508,'MPG Payment '!AJ:AJ)</f>
        <v>0</v>
      </c>
      <c r="AP508" s="19">
        <f t="shared" si="137"/>
        <v>0</v>
      </c>
      <c r="AQ508" s="119">
        <f t="shared" si="147"/>
        <v>0</v>
      </c>
      <c r="AR508" s="91" t="s">
        <v>1168</v>
      </c>
      <c r="AS508" s="91">
        <f t="shared" si="138"/>
        <v>0</v>
      </c>
      <c r="AT508" s="118"/>
      <c r="AU508" s="118"/>
      <c r="AV508" s="118"/>
    </row>
    <row r="509" spans="1:48" s="20" customFormat="1" x14ac:dyDescent="0.25">
      <c r="A509" s="17">
        <f>IFERROR(VLOOKUP(D509,'Monthly Deduction'!$I$3:$J$957,2,0),0)</f>
        <v>0</v>
      </c>
      <c r="B509" s="17">
        <f>IFERROR(VLOOKUP(D509,'Monthly Deduction'!$E$3:$F$957,2,0),0)</f>
        <v>0</v>
      </c>
      <c r="C509" s="17">
        <f t="shared" si="139"/>
        <v>0</v>
      </c>
      <c r="D509" s="41">
        <v>10370001</v>
      </c>
      <c r="E509" s="122" t="str">
        <f>VLOOKUP(D509,'MPG Payment '!$E$3:$G$498218,2,0)</f>
        <v>KATHELA TOLA TELDHI</v>
      </c>
      <c r="F509" s="146">
        <f>IFERROR(_xlfn.XLOOKUP(D509,'Monthly Deduction'!$I$3:$I$957,'Monthly Deduction'!$H$3:$H$957),0)</f>
        <v>0</v>
      </c>
      <c r="G509" s="123" t="str">
        <f>VLOOKUP(D509,'MPG Payment '!$E$3:$G$334579,3,0)</f>
        <v>RMC</v>
      </c>
      <c r="H509" s="124" t="str">
        <f>VLOOKUP(D509,'MPG Payment '!$E$3:$H$334579,4,0)</f>
        <v>Direct</v>
      </c>
      <c r="I509" s="88">
        <f>INDEX('MPG Payment '!$C:$C,MATCH('Shayak Income '!D509,'MPG Payment '!E:E,0))</f>
        <v>1007</v>
      </c>
      <c r="J509" s="88" t="str">
        <f>INDEX('MPG Payment '!$D:$D,MATCH('Shayak Income '!D509,'MPG Payment '!E:E,0))</f>
        <v>Araria</v>
      </c>
      <c r="K509" s="125" t="s">
        <v>1322</v>
      </c>
      <c r="L509" s="125">
        <v>42979</v>
      </c>
      <c r="M509" s="126">
        <f>SUMIF('MPG Payment '!$E$3:$E$34579,'Shayak Income '!D509,'MPG Payment '!$I$3:$I$34579)</f>
        <v>235</v>
      </c>
      <c r="N509" s="126">
        <f>SUMIF('MPG Payment '!$E$3:$E$34579,'Shayak Income '!D509,'MPG Payment '!$J$3:$J$34579)</f>
        <v>7708.58256824</v>
      </c>
      <c r="O509" s="126">
        <f t="shared" si="140"/>
        <v>176.25</v>
      </c>
      <c r="P509" s="126">
        <f t="shared" si="141"/>
        <v>223.25</v>
      </c>
      <c r="Q509" s="126">
        <f>SUMIF('MPG Payment '!$E$3:$E$34579,'Shayak Income '!D509,'MPG Payment '!$S$3:$S$34579)</f>
        <v>0</v>
      </c>
      <c r="R509" s="126">
        <f t="shared" si="131"/>
        <v>231.25747704719998</v>
      </c>
      <c r="S509" s="126">
        <f t="shared" si="132"/>
        <v>8.0074770471999841</v>
      </c>
      <c r="T509" s="126">
        <f t="shared" si="142"/>
        <v>23.5</v>
      </c>
      <c r="U509" s="127">
        <f>(((IF(K509="New",0,SUMIF('MPG Payment '!$E$3:$E$34579,'Shayak Income '!D509,'MPG Payment '!$AC$3:$AC$34579))))+0)+-389</f>
        <v>376.03164231520009</v>
      </c>
      <c r="V509" s="127">
        <f t="shared" si="143"/>
        <v>0</v>
      </c>
      <c r="W509" s="19">
        <v>0</v>
      </c>
      <c r="X509" s="19">
        <v>0</v>
      </c>
      <c r="Y509" s="128">
        <f>IFERROR(VLOOKUP(D509,'Monthly Deduction'!$M$2:$N$64,2,0),0)</f>
        <v>0</v>
      </c>
      <c r="Z509" s="128">
        <v>0</v>
      </c>
      <c r="AA509" s="126">
        <f>IFERROR(VLOOKUP(D509,'Monthly Deduction'!A:B,2,0),0)</f>
        <v>0</v>
      </c>
      <c r="AB509" s="129">
        <f t="shared" si="134"/>
        <v>0</v>
      </c>
      <c r="AC509" s="130">
        <f>AB509</f>
        <v>0</v>
      </c>
      <c r="AD509" s="35">
        <f t="shared" si="145"/>
        <v>0</v>
      </c>
      <c r="AE509" s="166" t="str">
        <f t="shared" si="146"/>
        <v>Release</v>
      </c>
      <c r="AF509" s="127"/>
      <c r="AG509" s="127">
        <v>0</v>
      </c>
      <c r="AH509" s="132" t="s">
        <v>1648</v>
      </c>
      <c r="AI509" s="238">
        <v>0</v>
      </c>
      <c r="AJ509" s="132"/>
      <c r="AK509" s="151">
        <v>0</v>
      </c>
      <c r="AL509" s="154">
        <f t="shared" si="135"/>
        <v>0</v>
      </c>
      <c r="AM509" s="155"/>
      <c r="AN509" s="19">
        <f t="shared" si="136"/>
        <v>0</v>
      </c>
      <c r="AO509" s="118">
        <f>SUMIF('MPG Payment '!E:E,'Shayak Income '!D509,'MPG Payment '!AJ:AJ)</f>
        <v>0</v>
      </c>
      <c r="AP509" s="19">
        <f t="shared" si="137"/>
        <v>0</v>
      </c>
      <c r="AQ509" s="119">
        <f t="shared" si="147"/>
        <v>0</v>
      </c>
      <c r="AR509" s="91" t="s">
        <v>1168</v>
      </c>
      <c r="AS509" s="91">
        <f t="shared" si="138"/>
        <v>0</v>
      </c>
      <c r="AT509" s="118"/>
      <c r="AU509" s="118"/>
      <c r="AV509" s="118"/>
    </row>
    <row r="510" spans="1:48" s="20" customFormat="1" x14ac:dyDescent="0.25">
      <c r="A510" s="17">
        <f>IFERROR(VLOOKUP(D510,'Monthly Deduction'!$I$3:$J$957,2,0),0)</f>
        <v>0</v>
      </c>
      <c r="B510" s="17">
        <f>IFERROR(VLOOKUP(D510,'Monthly Deduction'!$E$3:$F$957,2,0),0)</f>
        <v>0</v>
      </c>
      <c r="C510" s="17">
        <f t="shared" si="139"/>
        <v>0</v>
      </c>
      <c r="D510" s="41">
        <v>10380001</v>
      </c>
      <c r="E510" s="122" t="str">
        <f>VLOOKUP(D510,'MPG Payment '!$E$3:$G$498218,2,0)</f>
        <v>SONBARSHA 1</v>
      </c>
      <c r="F510" s="146">
        <f>IFERROR(_xlfn.XLOOKUP(D510,'Monthly Deduction'!$I$3:$I$957,'Monthly Deduction'!$H$3:$H$957),0)</f>
        <v>0</v>
      </c>
      <c r="G510" s="123" t="str">
        <f>VLOOKUP(D510,'MPG Payment '!$E$3:$G$334579,3,0)</f>
        <v>RMC</v>
      </c>
      <c r="H510" s="124" t="str">
        <f>VLOOKUP(D510,'MPG Payment '!$E$3:$H$334579,4,0)</f>
        <v>Direct</v>
      </c>
      <c r="I510" s="88">
        <f>INDEX('MPG Payment '!$C:$C,MATCH('Shayak Income '!D510,'MPG Payment '!E:E,0))</f>
        <v>1007</v>
      </c>
      <c r="J510" s="88" t="str">
        <f>INDEX('MPG Payment '!$D:$D,MATCH('Shayak Income '!D510,'MPG Payment '!E:E,0))</f>
        <v>Araria</v>
      </c>
      <c r="K510" s="125" t="s">
        <v>1322</v>
      </c>
      <c r="L510" s="125">
        <v>42979</v>
      </c>
      <c r="M510" s="126">
        <f>SUMIF('MPG Payment '!$E$3:$E$34579,'Shayak Income '!D510,'MPG Payment '!$I$3:$I$34579)</f>
        <v>2629</v>
      </c>
      <c r="N510" s="126">
        <f>SUMIF('MPG Payment '!$E$3:$E$34579,'Shayak Income '!D510,'MPG Payment '!$J$3:$J$34579)</f>
        <v>91038.701455999995</v>
      </c>
      <c r="O510" s="126">
        <f t="shared" si="140"/>
        <v>1971.75</v>
      </c>
      <c r="P510" s="126">
        <f t="shared" si="141"/>
        <v>2497.5499999999997</v>
      </c>
      <c r="Q510" s="126">
        <f>SUMIF('MPG Payment '!$E$3:$E$34579,'Shayak Income '!D510,'MPG Payment '!$S$3:$S$34579)</f>
        <v>796.24828800000012</v>
      </c>
      <c r="R510" s="126">
        <f t="shared" si="131"/>
        <v>2731.1610436799997</v>
      </c>
      <c r="S510" s="126">
        <f t="shared" si="132"/>
        <v>233.61104367999997</v>
      </c>
      <c r="T510" s="126">
        <f t="shared" si="142"/>
        <v>262.90000000000003</v>
      </c>
      <c r="U510" s="127">
        <f>(((IF(K510="New",0,SUMIF('MPG Payment '!$E$3:$E$34579,'Shayak Income '!D510,'MPG Payment '!$AC$3:$AC$34579))))+0)+0</f>
        <v>436.38295488000006</v>
      </c>
      <c r="V510" s="127">
        <f t="shared" si="143"/>
        <v>4566</v>
      </c>
      <c r="W510" s="19">
        <f t="shared" si="144"/>
        <v>0</v>
      </c>
      <c r="X510" s="19">
        <f t="shared" si="133"/>
        <v>0</v>
      </c>
      <c r="Y510" s="128">
        <f>IFERROR(VLOOKUP(D510,'Monthly Deduction'!$M$2:$N$64,2,0),0)</f>
        <v>0</v>
      </c>
      <c r="Z510" s="128">
        <v>0</v>
      </c>
      <c r="AA510" s="126">
        <f>IFERROR(VLOOKUP(D510,'Monthly Deduction'!A:B,2,0),0)</f>
        <v>0</v>
      </c>
      <c r="AB510" s="129">
        <f t="shared" si="134"/>
        <v>4566</v>
      </c>
      <c r="AC510" s="130">
        <v>0</v>
      </c>
      <c r="AD510" s="35">
        <f t="shared" si="145"/>
        <v>4566</v>
      </c>
      <c r="AE510" s="166" t="str">
        <f t="shared" si="146"/>
        <v>Release</v>
      </c>
      <c r="AF510" s="127"/>
      <c r="AG510" s="18">
        <v>0</v>
      </c>
      <c r="AH510" s="132"/>
      <c r="AI510" s="238">
        <v>0</v>
      </c>
      <c r="AJ510" s="132"/>
      <c r="AK510" s="151">
        <v>492</v>
      </c>
      <c r="AL510" s="154">
        <f t="shared" si="135"/>
        <v>0</v>
      </c>
      <c r="AM510" s="155"/>
      <c r="AN510" s="19">
        <f t="shared" si="136"/>
        <v>0</v>
      </c>
      <c r="AO510" s="118">
        <f>SUMIF('MPG Payment '!E:E,'Shayak Income '!D510,'MPG Payment '!AJ:AJ)</f>
        <v>0</v>
      </c>
      <c r="AP510" s="19">
        <f t="shared" si="137"/>
        <v>0</v>
      </c>
      <c r="AQ510" s="119">
        <f t="shared" si="147"/>
        <v>0</v>
      </c>
      <c r="AR510" s="91" t="s">
        <v>1168</v>
      </c>
      <c r="AS510" s="91">
        <f t="shared" si="138"/>
        <v>0</v>
      </c>
      <c r="AT510" s="118"/>
      <c r="AU510" s="118"/>
      <c r="AV510" s="118"/>
    </row>
    <row r="511" spans="1:48" s="20" customFormat="1" x14ac:dyDescent="0.25">
      <c r="A511" s="17">
        <f>IFERROR(VLOOKUP(D511,'Monthly Deduction'!$I$3:$J$957,2,0),0)</f>
        <v>0</v>
      </c>
      <c r="B511" s="17">
        <f>IFERROR(VLOOKUP(D511,'Monthly Deduction'!$E$3:$F$957,2,0),0)</f>
        <v>0</v>
      </c>
      <c r="C511" s="17">
        <f t="shared" si="139"/>
        <v>0</v>
      </c>
      <c r="D511" s="41">
        <v>10390001</v>
      </c>
      <c r="E511" s="122" t="str">
        <f>VLOOKUP(D511,'MPG Payment '!$E$3:$G$498218,2,0)</f>
        <v>GANOUL</v>
      </c>
      <c r="F511" s="146">
        <f>IFERROR(_xlfn.XLOOKUP(D511,'Monthly Deduction'!$I$3:$I$957,'Monthly Deduction'!$H$3:$H$957),0)</f>
        <v>0</v>
      </c>
      <c r="G511" s="123" t="str">
        <f>VLOOKUP(D511,'MPG Payment '!$E$3:$G$334579,3,0)</f>
        <v>RMC</v>
      </c>
      <c r="H511" s="124" t="str">
        <f>VLOOKUP(D511,'MPG Payment '!$E$3:$H$334579,4,0)</f>
        <v>Indirect</v>
      </c>
      <c r="I511" s="88">
        <f>INDEX('MPG Payment '!$C:$C,MATCH('Shayak Income '!D511,'MPG Payment '!E:E,0))</f>
        <v>1007</v>
      </c>
      <c r="J511" s="88" t="str">
        <f>INDEX('MPG Payment '!$D:$D,MATCH('Shayak Income '!D511,'MPG Payment '!E:E,0))</f>
        <v>Araria</v>
      </c>
      <c r="K511" s="125" t="s">
        <v>1322</v>
      </c>
      <c r="L511" s="125">
        <v>44946</v>
      </c>
      <c r="M511" s="126">
        <f>SUMIF('MPG Payment '!$E$3:$E$34579,'Shayak Income '!D511,'MPG Payment '!$I$3:$I$34579)</f>
        <v>1894</v>
      </c>
      <c r="N511" s="126">
        <f>SUMIF('MPG Payment '!$E$3:$E$34579,'Shayak Income '!D511,'MPG Payment '!$J$3:$J$34579)</f>
        <v>65067.050192000002</v>
      </c>
      <c r="O511" s="126">
        <f t="shared" si="140"/>
        <v>1420.5</v>
      </c>
      <c r="P511" s="126">
        <f t="shared" si="141"/>
        <v>1799.3</v>
      </c>
      <c r="Q511" s="126">
        <f>SUMIF('MPG Payment '!$E$3:$E$34579,'Shayak Income '!D511,'MPG Payment '!$S$3:$S$34579)</f>
        <v>137.55875284800004</v>
      </c>
      <c r="R511" s="126">
        <f t="shared" si="131"/>
        <v>1952.0115057600001</v>
      </c>
      <c r="S511" s="126">
        <f t="shared" si="132"/>
        <v>152.71150576000014</v>
      </c>
      <c r="T511" s="126">
        <f t="shared" si="142"/>
        <v>189.4</v>
      </c>
      <c r="U511" s="127">
        <f>(((IF(K511="New",0,SUMIF('MPG Payment '!$E$3:$E$34579,'Shayak Income '!D511,'MPG Payment '!$AC$3:$AC$34579))))+0)+0</f>
        <v>624.41093039721022</v>
      </c>
      <c r="V511" s="127">
        <f t="shared" si="143"/>
        <v>2544</v>
      </c>
      <c r="W511" s="19">
        <f t="shared" si="144"/>
        <v>0</v>
      </c>
      <c r="X511" s="19">
        <f t="shared" si="133"/>
        <v>0</v>
      </c>
      <c r="Y511" s="128">
        <f>IFERROR(VLOOKUP(D511,'Monthly Deduction'!$M$2:$N$64,2,0),0)</f>
        <v>0</v>
      </c>
      <c r="Z511" s="128">
        <v>0</v>
      </c>
      <c r="AA511" s="126">
        <f>IFERROR(VLOOKUP(D511,'Monthly Deduction'!A:B,2,0),0)</f>
        <v>0</v>
      </c>
      <c r="AB511" s="129">
        <f t="shared" si="134"/>
        <v>2544</v>
      </c>
      <c r="AC511" s="130">
        <v>0</v>
      </c>
      <c r="AD511" s="35">
        <f t="shared" si="145"/>
        <v>2544</v>
      </c>
      <c r="AE511" s="166" t="str">
        <f t="shared" si="146"/>
        <v>Release</v>
      </c>
      <c r="AF511" s="127"/>
      <c r="AG511" s="18">
        <v>0</v>
      </c>
      <c r="AH511" s="120"/>
      <c r="AI511" s="238">
        <v>0</v>
      </c>
      <c r="AJ511" s="132"/>
      <c r="AK511" s="151">
        <v>531</v>
      </c>
      <c r="AL511" s="154">
        <f t="shared" si="135"/>
        <v>0</v>
      </c>
      <c r="AM511" s="155"/>
      <c r="AN511" s="19">
        <f t="shared" si="136"/>
        <v>0</v>
      </c>
      <c r="AO511" s="118">
        <f>SUMIF('MPG Payment '!E:E,'Shayak Income '!D511,'MPG Payment '!AJ:AJ)</f>
        <v>0</v>
      </c>
      <c r="AP511" s="19">
        <f t="shared" si="137"/>
        <v>0</v>
      </c>
      <c r="AQ511" s="119">
        <f t="shared" si="147"/>
        <v>0</v>
      </c>
      <c r="AR511" s="91" t="s">
        <v>1168</v>
      </c>
      <c r="AS511" s="91">
        <f t="shared" si="138"/>
        <v>0</v>
      </c>
      <c r="AT511" s="118"/>
      <c r="AU511" s="118"/>
      <c r="AV511" s="118"/>
    </row>
    <row r="512" spans="1:48" s="20" customFormat="1" x14ac:dyDescent="0.25">
      <c r="A512" s="17">
        <f>IFERROR(VLOOKUP(D512,'Monthly Deduction'!$I$3:$J$957,2,0),0)</f>
        <v>0</v>
      </c>
      <c r="B512" s="17">
        <f>IFERROR(VLOOKUP(D512,'Monthly Deduction'!$E$3:$F$957,2,0),0)</f>
        <v>0</v>
      </c>
      <c r="C512" s="17">
        <f t="shared" si="139"/>
        <v>0</v>
      </c>
      <c r="D512" s="41">
        <v>10400001</v>
      </c>
      <c r="E512" s="122" t="str">
        <f>VLOOKUP(D512,'MPG Payment '!$E$3:$G$498218,2,0)</f>
        <v>Gauripur</v>
      </c>
      <c r="F512" s="146">
        <f>IFERROR(_xlfn.XLOOKUP(D512,'Monthly Deduction'!$I$3:$I$957,'Monthly Deduction'!$H$3:$H$957),0)</f>
        <v>0</v>
      </c>
      <c r="G512" s="123" t="str">
        <f>VLOOKUP(D512,'MPG Payment '!$E$3:$G$334579,3,0)</f>
        <v>RMC</v>
      </c>
      <c r="H512" s="124" t="str">
        <f>VLOOKUP(D512,'MPG Payment '!$E$3:$H$334579,4,0)</f>
        <v>Direct</v>
      </c>
      <c r="I512" s="88">
        <f>INDEX('MPG Payment '!$C:$C,MATCH('Shayak Income '!D512,'MPG Payment '!E:E,0))</f>
        <v>1007</v>
      </c>
      <c r="J512" s="88" t="str">
        <f>INDEX('MPG Payment '!$D:$D,MATCH('Shayak Income '!D512,'MPG Payment '!E:E,0))</f>
        <v>Araria</v>
      </c>
      <c r="K512" s="125" t="s">
        <v>1322</v>
      </c>
      <c r="L512" s="125">
        <v>42979</v>
      </c>
      <c r="M512" s="126">
        <f>SUMIF('MPG Payment '!$E$3:$E$34579,'Shayak Income '!D512,'MPG Payment '!$I$3:$I$34579)</f>
        <v>8112</v>
      </c>
      <c r="N512" s="126">
        <f>SUMIF('MPG Payment '!$E$3:$E$34579,'Shayak Income '!D512,'MPG Payment '!$J$3:$J$34579)</f>
        <v>281688.04083200003</v>
      </c>
      <c r="O512" s="126">
        <f t="shared" si="140"/>
        <v>6084</v>
      </c>
      <c r="P512" s="126">
        <f t="shared" si="141"/>
        <v>7706.4</v>
      </c>
      <c r="Q512" s="126">
        <f>SUMIF('MPG Payment '!$E$3:$E$34579,'Shayak Income '!D512,'MPG Payment '!$S$3:$S$34579)</f>
        <v>1150.6310424000001</v>
      </c>
      <c r="R512" s="126">
        <f t="shared" si="131"/>
        <v>8450.6412249599998</v>
      </c>
      <c r="S512" s="126">
        <f t="shared" si="132"/>
        <v>744.24122496000018</v>
      </c>
      <c r="T512" s="126">
        <f t="shared" si="142"/>
        <v>811.2</v>
      </c>
      <c r="U512" s="127">
        <f>(((IF(K512="New",0,SUMIF('MPG Payment '!$E$3:$E$34579,'Shayak Income '!D512,'MPG Payment '!$AC$3:$AC$34579))))+0)+0</f>
        <v>0</v>
      </c>
      <c r="V512" s="127">
        <f t="shared" si="143"/>
        <v>14130</v>
      </c>
      <c r="W512" s="19">
        <f t="shared" si="144"/>
        <v>0</v>
      </c>
      <c r="X512" s="19">
        <f t="shared" si="133"/>
        <v>0</v>
      </c>
      <c r="Y512" s="128">
        <f>IFERROR(VLOOKUP(D512,'Monthly Deduction'!$M$2:$N$64,2,0),0)</f>
        <v>0</v>
      </c>
      <c r="Z512" s="128">
        <v>0</v>
      </c>
      <c r="AA512" s="126">
        <f>IFERROR(VLOOKUP(D512,'Monthly Deduction'!A:B,2,0),0)</f>
        <v>0</v>
      </c>
      <c r="AB512" s="129">
        <f t="shared" si="134"/>
        <v>14130</v>
      </c>
      <c r="AC512" s="130">
        <v>0</v>
      </c>
      <c r="AD512" s="35">
        <f t="shared" si="145"/>
        <v>14130</v>
      </c>
      <c r="AE512" s="166" t="str">
        <f t="shared" si="146"/>
        <v>Release</v>
      </c>
      <c r="AF512" s="127"/>
      <c r="AG512" s="18">
        <v>0</v>
      </c>
      <c r="AH512" s="120"/>
      <c r="AI512" s="238">
        <v>0</v>
      </c>
      <c r="AJ512" s="132"/>
      <c r="AK512" s="151">
        <v>1881</v>
      </c>
      <c r="AL512" s="154">
        <f t="shared" si="135"/>
        <v>0</v>
      </c>
      <c r="AM512" s="155"/>
      <c r="AN512" s="19">
        <f t="shared" si="136"/>
        <v>0</v>
      </c>
      <c r="AO512" s="118">
        <f>SUMIF('MPG Payment '!E:E,'Shayak Income '!D512,'MPG Payment '!AJ:AJ)</f>
        <v>0</v>
      </c>
      <c r="AP512" s="19">
        <f t="shared" si="137"/>
        <v>0</v>
      </c>
      <c r="AQ512" s="119">
        <f t="shared" si="147"/>
        <v>0</v>
      </c>
      <c r="AR512" s="91" t="s">
        <v>1168</v>
      </c>
      <c r="AS512" s="91">
        <f t="shared" si="138"/>
        <v>0</v>
      </c>
      <c r="AT512" s="118"/>
      <c r="AU512" s="118"/>
      <c r="AV512" s="118"/>
    </row>
    <row r="513" spans="1:48" s="20" customFormat="1" x14ac:dyDescent="0.25">
      <c r="A513" s="17">
        <f>IFERROR(VLOOKUP(D513,'Monthly Deduction'!$I$3:$J$957,2,0),0)</f>
        <v>0</v>
      </c>
      <c r="B513" s="17">
        <f>IFERROR(VLOOKUP(D513,'Monthly Deduction'!$E$3:$F$957,2,0),0)</f>
        <v>0</v>
      </c>
      <c r="C513" s="17">
        <f t="shared" si="139"/>
        <v>0</v>
      </c>
      <c r="D513" s="41">
        <v>10410001</v>
      </c>
      <c r="E513" s="122" t="str">
        <f>VLOOKUP(D513,'MPG Payment '!$E$3:$G$498218,2,0)</f>
        <v>Bhramarpur</v>
      </c>
      <c r="F513" s="146">
        <f>IFERROR(_xlfn.XLOOKUP(D513,'Monthly Deduction'!$I$3:$I$957,'Monthly Deduction'!$H$3:$H$957),0)</f>
        <v>0</v>
      </c>
      <c r="G513" s="123" t="str">
        <f>VLOOKUP(D513,'MPG Payment '!$E$3:$G$334579,3,0)</f>
        <v>RMC</v>
      </c>
      <c r="H513" s="124" t="str">
        <f>VLOOKUP(D513,'MPG Payment '!$E$3:$H$334579,4,0)</f>
        <v>Direct</v>
      </c>
      <c r="I513" s="88">
        <f>INDEX('MPG Payment '!$C:$C,MATCH('Shayak Income '!D513,'MPG Payment '!E:E,0))</f>
        <v>1007</v>
      </c>
      <c r="J513" s="88" t="str">
        <f>INDEX('MPG Payment '!$D:$D,MATCH('Shayak Income '!D513,'MPG Payment '!E:E,0))</f>
        <v>Araria</v>
      </c>
      <c r="K513" s="125" t="s">
        <v>1322</v>
      </c>
      <c r="L513" s="125">
        <v>43080</v>
      </c>
      <c r="M513" s="126">
        <f>SUMIF('MPG Payment '!$E$3:$E$34579,'Shayak Income '!D513,'MPG Payment '!$I$3:$I$34579)</f>
        <v>11974</v>
      </c>
      <c r="N513" s="126">
        <f>SUMIF('MPG Payment '!$E$3:$E$34579,'Shayak Income '!D513,'MPG Payment '!$J$3:$J$34579)</f>
        <v>402930.83068000001</v>
      </c>
      <c r="O513" s="126">
        <f t="shared" si="140"/>
        <v>8980.5</v>
      </c>
      <c r="P513" s="126">
        <f t="shared" si="141"/>
        <v>11375.3</v>
      </c>
      <c r="Q513" s="126">
        <f>SUMIF('MPG Payment '!$E$3:$E$34579,'Shayak Income '!D513,'MPG Payment '!$S$3:$S$34579)</f>
        <v>872.69956800000023</v>
      </c>
      <c r="R513" s="126">
        <f t="shared" si="131"/>
        <v>12087.924920400001</v>
      </c>
      <c r="S513" s="126">
        <f t="shared" si="132"/>
        <v>712.62492040000143</v>
      </c>
      <c r="T513" s="126">
        <f t="shared" si="142"/>
        <v>1197.4000000000001</v>
      </c>
      <c r="U513" s="127">
        <f>(((IF(K513="New",0,SUMIF('MPG Payment '!$E$3:$E$34579,'Shayak Income '!D513,'MPG Payment '!$AC$3:$AC$34579))))+0)+0</f>
        <v>0</v>
      </c>
      <c r="V513" s="127">
        <f t="shared" si="143"/>
        <v>20031</v>
      </c>
      <c r="W513" s="19">
        <f t="shared" si="144"/>
        <v>0</v>
      </c>
      <c r="X513" s="19">
        <f t="shared" si="133"/>
        <v>0</v>
      </c>
      <c r="Y513" s="128">
        <f>IFERROR(VLOOKUP(D513,'Monthly Deduction'!$M$2:$N$64,2,0),0)</f>
        <v>0</v>
      </c>
      <c r="Z513" s="128">
        <v>0</v>
      </c>
      <c r="AA513" s="126">
        <f>IFERROR(VLOOKUP(D513,'Monthly Deduction'!A:B,2,0),0)</f>
        <v>0</v>
      </c>
      <c r="AB513" s="129">
        <f t="shared" si="134"/>
        <v>20031</v>
      </c>
      <c r="AC513" s="130">
        <v>0</v>
      </c>
      <c r="AD513" s="35">
        <f t="shared" si="145"/>
        <v>20031</v>
      </c>
      <c r="AE513" s="166" t="str">
        <f t="shared" si="146"/>
        <v>Release</v>
      </c>
      <c r="AF513" s="127"/>
      <c r="AG513" s="127">
        <v>0</v>
      </c>
      <c r="AH513" s="120"/>
      <c r="AI513" s="238">
        <v>0</v>
      </c>
      <c r="AJ513" s="132"/>
      <c r="AK513" s="151">
        <v>3544</v>
      </c>
      <c r="AL513" s="154">
        <f t="shared" si="135"/>
        <v>0</v>
      </c>
      <c r="AM513" s="155"/>
      <c r="AN513" s="19">
        <f t="shared" si="136"/>
        <v>0</v>
      </c>
      <c r="AO513" s="118">
        <f>SUMIF('MPG Payment '!E:E,'Shayak Income '!D513,'MPG Payment '!AJ:AJ)</f>
        <v>0</v>
      </c>
      <c r="AP513" s="19">
        <f t="shared" si="137"/>
        <v>0</v>
      </c>
      <c r="AQ513" s="119">
        <f t="shared" si="147"/>
        <v>0</v>
      </c>
      <c r="AR513" s="91" t="s">
        <v>1168</v>
      </c>
      <c r="AS513" s="91">
        <f t="shared" si="138"/>
        <v>0</v>
      </c>
      <c r="AT513" s="118"/>
      <c r="AU513" s="118"/>
      <c r="AV513" s="118"/>
    </row>
    <row r="514" spans="1:48" s="20" customFormat="1" x14ac:dyDescent="0.25">
      <c r="A514" s="17">
        <f>IFERROR(VLOOKUP(D514,'Monthly Deduction'!$I$3:$J$957,2,0),0)</f>
        <v>0</v>
      </c>
      <c r="B514" s="17">
        <f>IFERROR(VLOOKUP(D514,'Monthly Deduction'!$E$3:$F$957,2,0),0)</f>
        <v>0</v>
      </c>
      <c r="C514" s="17">
        <f t="shared" si="139"/>
        <v>0</v>
      </c>
      <c r="D514" s="41">
        <v>10440001</v>
      </c>
      <c r="E514" s="122" t="str">
        <f>VLOOKUP(D514,'MPG Payment '!$E$3:$G$498218,2,0)</f>
        <v>Gomukh Sadananpur</v>
      </c>
      <c r="F514" s="146">
        <f>IFERROR(_xlfn.XLOOKUP(D514,'Monthly Deduction'!$I$3:$I$957,'Monthly Deduction'!$H$3:$H$957),0)</f>
        <v>0</v>
      </c>
      <c r="G514" s="123" t="str">
        <f>VLOOKUP(D514,'MPG Payment '!$E$3:$G$334579,3,0)</f>
        <v>MPG</v>
      </c>
      <c r="H514" s="124" t="str">
        <f>VLOOKUP(D514,'MPG Payment '!$E$3:$H$334579,4,0)</f>
        <v>Direct</v>
      </c>
      <c r="I514" s="88">
        <f>INDEX('MPG Payment '!$C:$C,MATCH('Shayak Income '!D514,'MPG Payment '!E:E,0))</f>
        <v>1011</v>
      </c>
      <c r="J514" s="88" t="str">
        <f>INDEX('MPG Payment '!$D:$D,MATCH('Shayak Income '!D514,'MPG Payment '!E:E,0))</f>
        <v>Sahibpur Kamal</v>
      </c>
      <c r="K514" s="125" t="s">
        <v>1322</v>
      </c>
      <c r="L514" s="125">
        <v>42979</v>
      </c>
      <c r="M514" s="126">
        <f>SUMIF('MPG Payment '!$E$3:$E$34579,'Shayak Income '!D514,'MPG Payment '!$I$3:$I$34579)</f>
        <v>590.49999999999989</v>
      </c>
      <c r="N514" s="126">
        <f>SUMIF('MPG Payment '!$E$3:$E$34579,'Shayak Income '!D514,'MPG Payment '!$J$3:$J$34579)</f>
        <v>20523.983638682002</v>
      </c>
      <c r="O514" s="126">
        <f t="shared" si="140"/>
        <v>442.87499999999989</v>
      </c>
      <c r="P514" s="126">
        <f t="shared" si="141"/>
        <v>560.97499999999991</v>
      </c>
      <c r="Q514" s="126">
        <f>SUMIF('MPG Payment '!$E$3:$E$34579,'Shayak Income '!D514,'MPG Payment '!$S$3:$S$34579)</f>
        <v>0</v>
      </c>
      <c r="R514" s="126">
        <f t="shared" si="131"/>
        <v>615.71950916046001</v>
      </c>
      <c r="S514" s="126">
        <f t="shared" si="132"/>
        <v>54.744509160460098</v>
      </c>
      <c r="T514" s="126">
        <f t="shared" si="142"/>
        <v>59.04999999999999</v>
      </c>
      <c r="U514" s="127">
        <f>(((IF(K514="New",0,SUMIF('MPG Payment '!$E$3:$E$34579,'Shayak Income '!D514,'MPG Payment '!$AC$3:$AC$34579))))+0)+-591</f>
        <v>944.78227241312788</v>
      </c>
      <c r="V514" s="127">
        <f t="shared" si="143"/>
        <v>0</v>
      </c>
      <c r="W514" s="19">
        <v>0</v>
      </c>
      <c r="X514" s="19">
        <v>0</v>
      </c>
      <c r="Y514" s="128">
        <f>IFERROR(VLOOKUP(D514,'Monthly Deduction'!$M$2:$N$64,2,0),0)</f>
        <v>0</v>
      </c>
      <c r="Z514" s="128">
        <v>0</v>
      </c>
      <c r="AA514" s="126">
        <f>IFERROR(VLOOKUP(D514,'Monthly Deduction'!A:B,2,0),0)</f>
        <v>0</v>
      </c>
      <c r="AB514" s="129">
        <f t="shared" si="134"/>
        <v>0</v>
      </c>
      <c r="AC514" s="130">
        <v>0</v>
      </c>
      <c r="AD514" s="35">
        <f t="shared" si="145"/>
        <v>0</v>
      </c>
      <c r="AE514" s="166" t="str">
        <f t="shared" si="146"/>
        <v>Release</v>
      </c>
      <c r="AF514" s="127"/>
      <c r="AG514" s="127">
        <v>0</v>
      </c>
      <c r="AH514" s="120"/>
      <c r="AI514" s="238">
        <v>0</v>
      </c>
      <c r="AJ514" s="132"/>
      <c r="AK514" s="151">
        <v>161.20000000000002</v>
      </c>
      <c r="AL514" s="154">
        <f t="shared" si="135"/>
        <v>0</v>
      </c>
      <c r="AM514" s="155"/>
      <c r="AN514" s="19">
        <f t="shared" si="136"/>
        <v>0</v>
      </c>
      <c r="AO514" s="118">
        <f>SUMIF('MPG Payment '!E:E,'Shayak Income '!D514,'MPG Payment '!AJ:AJ)</f>
        <v>0</v>
      </c>
      <c r="AP514" s="19">
        <f t="shared" si="137"/>
        <v>0</v>
      </c>
      <c r="AQ514" s="119">
        <f t="shared" si="147"/>
        <v>0</v>
      </c>
      <c r="AR514" s="91" t="s">
        <v>1168</v>
      </c>
      <c r="AS514" s="91">
        <f t="shared" si="138"/>
        <v>0</v>
      </c>
      <c r="AT514" s="118"/>
      <c r="AU514" s="118"/>
      <c r="AV514" s="118"/>
    </row>
    <row r="515" spans="1:48" s="20" customFormat="1" x14ac:dyDescent="0.25">
      <c r="A515" s="17">
        <f>IFERROR(VLOOKUP(D515,'Monthly Deduction'!$I$3:$J$957,2,0),0)</f>
        <v>0</v>
      </c>
      <c r="B515" s="17">
        <f>IFERROR(VLOOKUP(D515,'Monthly Deduction'!$E$3:$F$957,2,0),0)</f>
        <v>0</v>
      </c>
      <c r="C515" s="17">
        <f t="shared" si="139"/>
        <v>0</v>
      </c>
      <c r="D515" s="41">
        <v>10460001</v>
      </c>
      <c r="E515" s="122" t="str">
        <f>VLOOKUP(D515,'MPG Payment '!$E$3:$G$498218,2,0)</f>
        <v>TILAKPUR  2</v>
      </c>
      <c r="F515" s="146">
        <f>IFERROR(_xlfn.XLOOKUP(D515,'Monthly Deduction'!$I$3:$I$957,'Monthly Deduction'!$H$3:$H$957),0)</f>
        <v>0</v>
      </c>
      <c r="G515" s="123" t="str">
        <f>VLOOKUP(D515,'MPG Payment '!$E$3:$G$334579,3,0)</f>
        <v>RMC</v>
      </c>
      <c r="H515" s="124" t="str">
        <f>VLOOKUP(D515,'MPG Payment '!$E$3:$H$334579,4,0)</f>
        <v>Direct</v>
      </c>
      <c r="I515" s="88">
        <f>INDEX('MPG Payment '!$C:$C,MATCH('Shayak Income '!D515,'MPG Payment '!E:E,0))</f>
        <v>1003</v>
      </c>
      <c r="J515" s="88" t="str">
        <f>INDEX('MPG Payment '!$D:$D,MATCH('Shayak Income '!D515,'MPG Payment '!E:E,0))</f>
        <v>Asarganj</v>
      </c>
      <c r="K515" s="125" t="s">
        <v>1322</v>
      </c>
      <c r="L515" s="125">
        <v>42979</v>
      </c>
      <c r="M515" s="126">
        <f>SUMIF('MPG Payment '!$E$3:$E$34579,'Shayak Income '!D515,'MPG Payment '!$I$3:$I$34579)</f>
        <v>1257.7000000000003</v>
      </c>
      <c r="N515" s="126">
        <f>SUMIF('MPG Payment '!$E$3:$E$34579,'Shayak Income '!D515,'MPG Payment '!$J$3:$J$34579)</f>
        <v>44041.737615544502</v>
      </c>
      <c r="O515" s="126">
        <f t="shared" si="140"/>
        <v>943.2750000000002</v>
      </c>
      <c r="P515" s="126">
        <f t="shared" si="141"/>
        <v>1194.8150000000003</v>
      </c>
      <c r="Q515" s="126">
        <f>SUMIF('MPG Payment '!$E$3:$E$34579,'Shayak Income '!D515,'MPG Payment '!$S$3:$S$34579)</f>
        <v>289.24240745100008</v>
      </c>
      <c r="R515" s="126">
        <f t="shared" si="131"/>
        <v>1321.2521284663351</v>
      </c>
      <c r="S515" s="126">
        <f t="shared" si="132"/>
        <v>126.4371284663348</v>
      </c>
      <c r="T515" s="126">
        <f t="shared" si="142"/>
        <v>125.77000000000004</v>
      </c>
      <c r="U515" s="127">
        <f>(((IF(K515="New",0,SUMIF('MPG Payment '!$E$3:$E$34579,'Shayak Income '!D515,'MPG Payment '!$AC$3:$AC$34579))))+0)+0</f>
        <v>1079.6786939569411</v>
      </c>
      <c r="V515" s="127">
        <f t="shared" si="143"/>
        <v>1222</v>
      </c>
      <c r="W515" s="19">
        <f t="shared" si="144"/>
        <v>0</v>
      </c>
      <c r="X515" s="19">
        <f t="shared" si="133"/>
        <v>0</v>
      </c>
      <c r="Y515" s="128">
        <f>IFERROR(VLOOKUP(D515,'Monthly Deduction'!$M$2:$N$64,2,0),0)</f>
        <v>0</v>
      </c>
      <c r="Z515" s="128">
        <v>0</v>
      </c>
      <c r="AA515" s="126">
        <f>IFERROR(VLOOKUP(D515,'Monthly Deduction'!A:B,2,0),0)</f>
        <v>0</v>
      </c>
      <c r="AB515" s="129">
        <f t="shared" si="134"/>
        <v>1222</v>
      </c>
      <c r="AC515" s="130">
        <v>0</v>
      </c>
      <c r="AD515" s="35">
        <f t="shared" si="145"/>
        <v>1222</v>
      </c>
      <c r="AE515" s="166" t="str">
        <f t="shared" si="146"/>
        <v>Release</v>
      </c>
      <c r="AF515" s="127"/>
      <c r="AG515" s="127">
        <v>0</v>
      </c>
      <c r="AH515" s="120"/>
      <c r="AI515" s="238">
        <v>0</v>
      </c>
      <c r="AJ515" s="132"/>
      <c r="AK515" s="151">
        <v>364.1</v>
      </c>
      <c r="AL515" s="154">
        <f t="shared" si="135"/>
        <v>0</v>
      </c>
      <c r="AM515" s="155"/>
      <c r="AN515" s="19">
        <f t="shared" si="136"/>
        <v>0</v>
      </c>
      <c r="AO515" s="118">
        <f>SUMIF('MPG Payment '!E:E,'Shayak Income '!D515,'MPG Payment '!AJ:AJ)</f>
        <v>0</v>
      </c>
      <c r="AP515" s="19">
        <f t="shared" si="137"/>
        <v>0</v>
      </c>
      <c r="AQ515" s="119">
        <f t="shared" si="147"/>
        <v>0</v>
      </c>
      <c r="AR515" s="91" t="s">
        <v>1168</v>
      </c>
      <c r="AS515" s="91">
        <f t="shared" si="138"/>
        <v>0</v>
      </c>
      <c r="AT515" s="118"/>
      <c r="AU515" s="118"/>
      <c r="AV515" s="118"/>
    </row>
    <row r="516" spans="1:48" s="20" customFormat="1" x14ac:dyDescent="0.25">
      <c r="A516" s="17">
        <f>IFERROR(VLOOKUP(D516,'Monthly Deduction'!$I$3:$J$957,2,0),0)</f>
        <v>26536.625360733524</v>
      </c>
      <c r="B516" s="17">
        <f>IFERROR(VLOOKUP(D516,'Monthly Deduction'!$E$3:$F$957,2,0),0)</f>
        <v>8529.4035252083195</v>
      </c>
      <c r="C516" s="17">
        <f t="shared" si="139"/>
        <v>35066.028885941843</v>
      </c>
      <c r="D516" s="41">
        <v>10460002</v>
      </c>
      <c r="E516" s="122" t="str">
        <f>VLOOKUP(D516,'MPG Payment '!$E$3:$G$498218,2,0)</f>
        <v>TILAKPUR</v>
      </c>
      <c r="F516" s="146">
        <f>IFERROR(_xlfn.XLOOKUP(D516,'Monthly Deduction'!$I$3:$I$957,'Monthly Deduction'!$H$3:$H$957),0)</f>
        <v>0</v>
      </c>
      <c r="G516" s="123" t="str">
        <f>VLOOKUP(D516,'MPG Payment '!$E$3:$G$334579,3,0)</f>
        <v>MPG</v>
      </c>
      <c r="H516" s="124" t="str">
        <f>VLOOKUP(D516,'MPG Payment '!$E$3:$H$334579,4,0)</f>
        <v>Direct</v>
      </c>
      <c r="I516" s="88">
        <f>INDEX('MPG Payment '!$C:$C,MATCH('Shayak Income '!D516,'MPG Payment '!E:E,0))</f>
        <v>1003</v>
      </c>
      <c r="J516" s="88" t="str">
        <f>INDEX('MPG Payment '!$D:$D,MATCH('Shayak Income '!D516,'MPG Payment '!E:E,0))</f>
        <v>Asarganj</v>
      </c>
      <c r="K516" s="125" t="s">
        <v>1322</v>
      </c>
      <c r="L516" s="125">
        <v>44988</v>
      </c>
      <c r="M516" s="126">
        <f>SUMIF('MPG Payment '!$E$3:$E$34579,'Shayak Income '!D516,'MPG Payment '!$I$3:$I$34579)</f>
        <v>2308.4499999999998</v>
      </c>
      <c r="N516" s="126">
        <f>SUMIF('MPG Payment '!$E$3:$E$34579,'Shayak Income '!D516,'MPG Payment '!$J$3:$J$34579)</f>
        <v>69547.225116022251</v>
      </c>
      <c r="O516" s="126">
        <f t="shared" si="140"/>
        <v>1731.3374999999999</v>
      </c>
      <c r="P516" s="126">
        <f t="shared" si="141"/>
        <v>2193.0274999999997</v>
      </c>
      <c r="Q516" s="126">
        <f>SUMIF('MPG Payment '!$E$3:$E$34579,'Shayak Income '!D516,'MPG Payment '!$S$3:$S$34579)</f>
        <v>687.65344224299997</v>
      </c>
      <c r="R516" s="126">
        <f t="shared" ref="R516:R579" si="150">+N516*3%</f>
        <v>2086.4167534806675</v>
      </c>
      <c r="S516" s="126">
        <f t="shared" ref="S516:S579" si="151">R516-P516</f>
        <v>-106.61074651933222</v>
      </c>
      <c r="T516" s="126">
        <f t="shared" si="142"/>
        <v>230.845</v>
      </c>
      <c r="U516" s="127">
        <f>(((IF(K516="New",0,SUMIF('MPG Payment '!$E$3:$E$34579,'Shayak Income '!D516,'MPG Payment '!$AC$3:$AC$34579))))+0)+0</f>
        <v>295.43566873753616</v>
      </c>
      <c r="V516" s="127">
        <f t="shared" si="143"/>
        <v>4086</v>
      </c>
      <c r="W516" s="19">
        <f t="shared" si="144"/>
        <v>1861</v>
      </c>
      <c r="X516" s="19">
        <v>0</v>
      </c>
      <c r="Y516" s="128">
        <f>IFERROR(VLOOKUP(D516,'Monthly Deduction'!$M$2:$N$64,2,0),0)</f>
        <v>0</v>
      </c>
      <c r="Z516" s="128">
        <v>0</v>
      </c>
      <c r="AA516" s="126">
        <f>IFERROR(VLOOKUP(D516,'Monthly Deduction'!A:B,2,0),0)</f>
        <v>0</v>
      </c>
      <c r="AB516" s="129">
        <f t="shared" ref="AB516:AB579" si="152">ROUND(IFERROR(V516-SUM(W516:AA516),0),0)</f>
        <v>2225</v>
      </c>
      <c r="AC516" s="130">
        <v>0</v>
      </c>
      <c r="AD516" s="35">
        <f t="shared" si="145"/>
        <v>2225</v>
      </c>
      <c r="AE516" s="166" t="str">
        <f t="shared" si="146"/>
        <v>Release</v>
      </c>
      <c r="AF516" s="127"/>
      <c r="AG516" s="127">
        <v>0</v>
      </c>
      <c r="AH516" s="215"/>
      <c r="AI516" s="238">
        <v>0</v>
      </c>
      <c r="AJ516" s="132"/>
      <c r="AK516" s="151">
        <v>696.29999999999984</v>
      </c>
      <c r="AL516" s="154">
        <f t="shared" ref="AL516:AL579" si="153">COUNTIF(AK516:AK516,"=NA")</f>
        <v>0</v>
      </c>
      <c r="AM516" s="155"/>
      <c r="AN516" s="19">
        <f t="shared" ref="AN516:AN579" si="154">((MIN(IF(A516&gt;0,MAX(N516*2%,1861),0),A516)))+0</f>
        <v>1861</v>
      </c>
      <c r="AO516" s="118">
        <f>SUMIF('MPG Payment '!E:E,'Shayak Income '!D516,'MPG Payment '!AJ:AJ)</f>
        <v>0</v>
      </c>
      <c r="AP516" s="19">
        <f t="shared" ref="AP516:AP579" si="155">W516</f>
        <v>1861</v>
      </c>
      <c r="AQ516" s="119">
        <f t="shared" si="147"/>
        <v>1861</v>
      </c>
      <c r="AR516" s="91" t="s">
        <v>1168</v>
      </c>
      <c r="AS516" s="91">
        <f t="shared" ref="AS516:AS579" si="156">B516-X516</f>
        <v>8529.4035252083195</v>
      </c>
      <c r="AT516" s="118"/>
      <c r="AU516" s="118"/>
      <c r="AV516" s="118"/>
    </row>
    <row r="517" spans="1:48" s="20" customFormat="1" x14ac:dyDescent="0.25">
      <c r="A517" s="17">
        <f>IFERROR(VLOOKUP(D517,'Monthly Deduction'!$I$3:$J$957,2,0),0)</f>
        <v>39182.526400000002</v>
      </c>
      <c r="B517" s="17">
        <f>IFERROR(VLOOKUP(D517,'Monthly Deduction'!$E$3:$F$957,2,0),0)</f>
        <v>24802</v>
      </c>
      <c r="C517" s="17">
        <f t="shared" ref="C517:C580" si="157">A517+B517</f>
        <v>63984.526400000002</v>
      </c>
      <c r="D517" s="41">
        <v>10480001</v>
      </c>
      <c r="E517" s="122" t="str">
        <f>VLOOKUP(D517,'MPG Payment '!$E$3:$G$498218,2,0)</f>
        <v>Prasharpur Kadwa Gomukh</v>
      </c>
      <c r="F517" s="146">
        <f>IFERROR(_xlfn.XLOOKUP(D517,'Monthly Deduction'!$I$3:$I$957,'Monthly Deduction'!$H$3:$H$957),0)</f>
        <v>0</v>
      </c>
      <c r="G517" s="123" t="str">
        <f>VLOOKUP(D517,'MPG Payment '!$E$3:$G$334579,3,0)</f>
        <v>MPG</v>
      </c>
      <c r="H517" s="124" t="str">
        <f>VLOOKUP(D517,'MPG Payment '!$E$3:$H$334579,4,0)</f>
        <v>Direct</v>
      </c>
      <c r="I517" s="88">
        <f>INDEX('MPG Payment '!$C:$C,MATCH('Shayak Income '!D517,'MPG Payment '!E:E,0))</f>
        <v>1036</v>
      </c>
      <c r="J517" s="88" t="str">
        <f>INDEX('MPG Payment '!$D:$D,MATCH('Shayak Income '!D517,'MPG Payment '!E:E,0))</f>
        <v>MAHADAT PUR 2</v>
      </c>
      <c r="K517" s="125" t="s">
        <v>1322</v>
      </c>
      <c r="L517" s="125">
        <v>43756</v>
      </c>
      <c r="M517" s="126">
        <f>SUMIF('MPG Payment '!$E$3:$E$34579,'Shayak Income '!D517,'MPG Payment '!$I$3:$I$34579)</f>
        <v>1359</v>
      </c>
      <c r="N517" s="126">
        <f>SUMIF('MPG Payment '!$E$3:$E$34579,'Shayak Income '!D517,'MPG Payment '!$J$3:$J$34579)</f>
        <v>44476.210114160502</v>
      </c>
      <c r="O517" s="126">
        <f t="shared" ref="O517:O580" si="158">+M517*0.75</f>
        <v>1019.25</v>
      </c>
      <c r="P517" s="126">
        <f t="shared" ref="P517:P580" si="159">+M517*0.95</f>
        <v>1291.05</v>
      </c>
      <c r="Q517" s="126">
        <f>SUMIF('MPG Payment '!$E$3:$E$34579,'Shayak Income '!D517,'MPG Payment '!$S$3:$S$34579)</f>
        <v>434.98697625000005</v>
      </c>
      <c r="R517" s="126">
        <f t="shared" si="150"/>
        <v>1334.2863034248151</v>
      </c>
      <c r="S517" s="126">
        <f t="shared" si="151"/>
        <v>43.236303424815105</v>
      </c>
      <c r="T517" s="126">
        <f t="shared" ref="T517:T580" si="160">M517*0.1</f>
        <v>135.9</v>
      </c>
      <c r="U517" s="127">
        <f>(((IF(K517="New",0,SUMIF('MPG Payment '!$E$3:$E$34579,'Shayak Income '!D517,'MPG Payment '!$AC$3:$AC$34579))))+0)+0</f>
        <v>947.3266627804262</v>
      </c>
      <c r="V517" s="127">
        <f t="shared" ref="V517:V580" si="161">ROUND((SUM(O517:Q517)-SUM(T517:U517)),0)</f>
        <v>1662</v>
      </c>
      <c r="W517" s="19">
        <v>1662</v>
      </c>
      <c r="X517" s="19">
        <v>0</v>
      </c>
      <c r="Y517" s="128">
        <f>IFERROR(VLOOKUP(D517,'Monthly Deduction'!$M$2:$N$64,2,0),0)</f>
        <v>0</v>
      </c>
      <c r="Z517" s="128">
        <v>0</v>
      </c>
      <c r="AA517" s="126">
        <f>IFERROR(VLOOKUP(D517,'Monthly Deduction'!A:B,2,0),0)</f>
        <v>0</v>
      </c>
      <c r="AB517" s="129">
        <f t="shared" si="152"/>
        <v>0</v>
      </c>
      <c r="AC517" s="130">
        <f>AB517</f>
        <v>0</v>
      </c>
      <c r="AD517" s="35">
        <f t="shared" ref="AD517:AD580" si="162">ROUND(AB517-AC517,0)</f>
        <v>0</v>
      </c>
      <c r="AE517" s="166" t="str">
        <f t="shared" ref="AE517:AE580" si="163">IF(AC517&lt;&gt;0,"Yes","Release")</f>
        <v>Release</v>
      </c>
      <c r="AF517" s="127"/>
      <c r="AG517" s="18">
        <v>0</v>
      </c>
      <c r="AH517" s="120" t="s">
        <v>1653</v>
      </c>
      <c r="AI517" s="238">
        <v>0</v>
      </c>
      <c r="AJ517" s="132"/>
      <c r="AK517" s="151">
        <v>305.09999999999997</v>
      </c>
      <c r="AL517" s="154">
        <f t="shared" si="153"/>
        <v>0</v>
      </c>
      <c r="AM517" s="155"/>
      <c r="AN517" s="19">
        <f t="shared" si="154"/>
        <v>1861</v>
      </c>
      <c r="AO517" s="118">
        <f>SUMIF('MPG Payment '!E:E,'Shayak Income '!D517,'MPG Payment '!AJ:AJ)</f>
        <v>0</v>
      </c>
      <c r="AP517" s="19">
        <f t="shared" si="155"/>
        <v>1662</v>
      </c>
      <c r="AQ517" s="119">
        <f t="shared" ref="AQ517:AQ580" si="164">AO517+AP517</f>
        <v>1662</v>
      </c>
      <c r="AR517" s="91" t="s">
        <v>1168</v>
      </c>
      <c r="AS517" s="91">
        <f t="shared" si="156"/>
        <v>24802</v>
      </c>
      <c r="AT517" s="118"/>
      <c r="AU517" s="118"/>
      <c r="AV517" s="118"/>
    </row>
    <row r="518" spans="1:48" s="20" customFormat="1" x14ac:dyDescent="0.25">
      <c r="A518" s="17">
        <f>IFERROR(VLOOKUP(D518,'Monthly Deduction'!$I$3:$J$957,2,0),0)</f>
        <v>0</v>
      </c>
      <c r="B518" s="17">
        <f>IFERROR(VLOOKUP(D518,'Monthly Deduction'!$E$3:$F$957,2,0),0)</f>
        <v>10665.781800000001</v>
      </c>
      <c r="C518" s="17">
        <f t="shared" si="157"/>
        <v>10665.781800000001</v>
      </c>
      <c r="D518" s="41">
        <v>10480002</v>
      </c>
      <c r="E518" s="122" t="str">
        <f>VLOOKUP(D518,'MPG Payment '!$E$3:$G$498218,2,0)</f>
        <v>Borwa Tola Gomukh</v>
      </c>
      <c r="F518" s="146">
        <f>IFERROR(_xlfn.XLOOKUP(D518,'Monthly Deduction'!$I$3:$I$957,'Monthly Deduction'!$H$3:$H$957),0)</f>
        <v>0</v>
      </c>
      <c r="G518" s="123" t="str">
        <f>VLOOKUP(D518,'MPG Payment '!$E$3:$G$334579,3,0)</f>
        <v>vlc</v>
      </c>
      <c r="H518" s="124" t="str">
        <f>VLOOKUP(D518,'MPG Payment '!$E$3:$H$334579,4,0)</f>
        <v>Indirect</v>
      </c>
      <c r="I518" s="88">
        <f>INDEX('MPG Payment '!$C:$C,MATCH('Shayak Income '!D518,'MPG Payment '!E:E,0))</f>
        <v>1036</v>
      </c>
      <c r="J518" s="88" t="str">
        <f>INDEX('MPG Payment '!$D:$D,MATCH('Shayak Income '!D518,'MPG Payment '!E:E,0))</f>
        <v>MAHADAT PUR 2</v>
      </c>
      <c r="K518" s="125" t="s">
        <v>1322</v>
      </c>
      <c r="L518" s="125">
        <v>43756</v>
      </c>
      <c r="M518" s="126">
        <f>SUMIF('MPG Payment '!$E$3:$E$34579,'Shayak Income '!D518,'MPG Payment '!$I$3:$I$34579)</f>
        <v>918.3</v>
      </c>
      <c r="N518" s="126">
        <f>SUMIF('MPG Payment '!$E$3:$E$34579,'Shayak Income '!D518,'MPG Payment '!$J$3:$J$34579)</f>
        <v>30612.071608620496</v>
      </c>
      <c r="O518" s="126">
        <f t="shared" si="158"/>
        <v>688.72499999999991</v>
      </c>
      <c r="P518" s="126">
        <f t="shared" si="159"/>
        <v>872.38499999999988</v>
      </c>
      <c r="Q518" s="126">
        <f>SUMIF('MPG Payment '!$E$3:$E$34579,'Shayak Income '!D518,'MPG Payment '!$S$3:$S$34579)</f>
        <v>0</v>
      </c>
      <c r="R518" s="126">
        <f t="shared" si="150"/>
        <v>918.36214825861487</v>
      </c>
      <c r="S518" s="126">
        <f t="shared" si="151"/>
        <v>45.977148258614989</v>
      </c>
      <c r="T518" s="126">
        <f t="shared" si="160"/>
        <v>91.83</v>
      </c>
      <c r="U518" s="127">
        <f>(((IF(K518="New",0,SUMIF('MPG Payment '!$E$3:$E$34579,'Shayak Income '!D518,'MPG Payment '!$AC$3:$AC$34579))))+0)+0</f>
        <v>1261.7964446974975</v>
      </c>
      <c r="V518" s="127">
        <f t="shared" si="161"/>
        <v>207</v>
      </c>
      <c r="W518" s="19">
        <f t="shared" ref="W518:W580" si="165">(((AN518-AO518)))+0</f>
        <v>0</v>
      </c>
      <c r="X518" s="19">
        <v>207</v>
      </c>
      <c r="Y518" s="128">
        <f>IFERROR(VLOOKUP(D518,'Monthly Deduction'!$M$2:$N$64,2,0),0)</f>
        <v>0</v>
      </c>
      <c r="Z518" s="128">
        <v>0</v>
      </c>
      <c r="AA518" s="126">
        <f>IFERROR(VLOOKUP(D518,'Monthly Deduction'!A:B,2,0),0)</f>
        <v>0</v>
      </c>
      <c r="AB518" s="129">
        <f t="shared" si="152"/>
        <v>0</v>
      </c>
      <c r="AC518" s="130">
        <v>0</v>
      </c>
      <c r="AD518" s="35">
        <f t="shared" si="162"/>
        <v>0</v>
      </c>
      <c r="AE518" s="166" t="str">
        <f t="shared" si="163"/>
        <v>Release</v>
      </c>
      <c r="AF518" s="127"/>
      <c r="AG518" s="127">
        <v>0</v>
      </c>
      <c r="AH518" s="215"/>
      <c r="AI518" s="238">
        <v>0</v>
      </c>
      <c r="AJ518" s="132"/>
      <c r="AK518" s="151">
        <v>273.09999999999997</v>
      </c>
      <c r="AL518" s="154">
        <f t="shared" si="153"/>
        <v>0</v>
      </c>
      <c r="AM518" s="155"/>
      <c r="AN518" s="19">
        <f t="shared" si="154"/>
        <v>0</v>
      </c>
      <c r="AO518" s="118">
        <f>SUMIF('MPG Payment '!E:E,'Shayak Income '!D518,'MPG Payment '!AJ:AJ)</f>
        <v>0</v>
      </c>
      <c r="AP518" s="19">
        <f t="shared" si="155"/>
        <v>0</v>
      </c>
      <c r="AQ518" s="119">
        <f t="shared" si="164"/>
        <v>0</v>
      </c>
      <c r="AR518" s="91" t="s">
        <v>1168</v>
      </c>
      <c r="AS518" s="91">
        <f t="shared" si="156"/>
        <v>10458.781800000001</v>
      </c>
      <c r="AT518" s="118"/>
      <c r="AU518" s="118"/>
      <c r="AV518" s="118"/>
    </row>
    <row r="519" spans="1:48" s="20" customFormat="1" x14ac:dyDescent="0.25">
      <c r="A519" s="17">
        <f>IFERROR(VLOOKUP(D519,'Monthly Deduction'!$I$3:$J$957,2,0),0)</f>
        <v>0</v>
      </c>
      <c r="B519" s="17">
        <f>IFERROR(VLOOKUP(D519,'Monthly Deduction'!$E$3:$F$957,2,0),0)</f>
        <v>0</v>
      </c>
      <c r="C519" s="17">
        <f t="shared" si="157"/>
        <v>0</v>
      </c>
      <c r="D519" s="41">
        <v>10480003</v>
      </c>
      <c r="E519" s="122" t="str">
        <f>VLOOKUP(D519,'MPG Payment '!$E$3:$G$498218,2,0)</f>
        <v>Sheela Devi</v>
      </c>
      <c r="F519" s="146">
        <f>IFERROR(_xlfn.XLOOKUP(D519,'Monthly Deduction'!$I$3:$I$957,'Monthly Deduction'!$H$3:$H$957),0)</f>
        <v>0</v>
      </c>
      <c r="G519" s="123" t="str">
        <f>VLOOKUP(D519,'MPG Payment '!$E$3:$G$334579,3,0)</f>
        <v>vlc</v>
      </c>
      <c r="H519" s="124" t="str">
        <f>VLOOKUP(D519,'MPG Payment '!$E$3:$H$334579,4,0)</f>
        <v>Indirect</v>
      </c>
      <c r="I519" s="88">
        <f>INDEX('MPG Payment '!$C:$C,MATCH('Shayak Income '!D519,'MPG Payment '!E:E,0))</f>
        <v>1007</v>
      </c>
      <c r="J519" s="88" t="str">
        <f>INDEX('MPG Payment '!$D:$D,MATCH('Shayak Income '!D519,'MPG Payment '!E:E,0))</f>
        <v>Araria</v>
      </c>
      <c r="K519" s="125" t="s">
        <v>1322</v>
      </c>
      <c r="L519" s="125">
        <v>43932</v>
      </c>
      <c r="M519" s="126">
        <f>SUMIF('MPG Payment '!$E$3:$E$34579,'Shayak Income '!D519,'MPG Payment '!$I$3:$I$34579)</f>
        <v>3500</v>
      </c>
      <c r="N519" s="126">
        <f>SUMIF('MPG Payment '!$E$3:$E$34579,'Shayak Income '!D519,'MPG Payment '!$J$3:$J$34579)</f>
        <v>115123.78499604001</v>
      </c>
      <c r="O519" s="126">
        <f t="shared" si="158"/>
        <v>2625</v>
      </c>
      <c r="P519" s="126">
        <f t="shared" si="159"/>
        <v>3325</v>
      </c>
      <c r="Q519" s="126">
        <f>SUMIF('MPG Payment '!$E$3:$E$34579,'Shayak Income '!D519,'MPG Payment '!$S$3:$S$34579)</f>
        <v>0</v>
      </c>
      <c r="R519" s="126">
        <f t="shared" si="150"/>
        <v>3453.7135498811999</v>
      </c>
      <c r="S519" s="126">
        <f t="shared" si="151"/>
        <v>128.71354988119992</v>
      </c>
      <c r="T519" s="126">
        <f t="shared" si="160"/>
        <v>350</v>
      </c>
      <c r="U519" s="127">
        <f>(((IF(K519="New",0,SUMIF('MPG Payment '!$E$3:$E$34579,'Shayak Income '!D519,'MPG Payment '!$AC$3:$AC$34579))))+0)+0</f>
        <v>405.97388953399548</v>
      </c>
      <c r="V519" s="127">
        <f t="shared" si="161"/>
        <v>5194</v>
      </c>
      <c r="W519" s="19">
        <f t="shared" si="165"/>
        <v>0</v>
      </c>
      <c r="X519" s="19">
        <f t="shared" ref="X519:X579" si="166">((MIN(IF(B519&gt;0,MAX(N519*2%),0),B519)))+0</f>
        <v>0</v>
      </c>
      <c r="Y519" s="128">
        <f>IFERROR(VLOOKUP(D519,'Monthly Deduction'!$M$2:$N$64,2,0),0)</f>
        <v>0</v>
      </c>
      <c r="Z519" s="128">
        <v>0</v>
      </c>
      <c r="AA519" s="126">
        <f>IFERROR(VLOOKUP(D519,'Monthly Deduction'!A:B,2,0),0)</f>
        <v>0</v>
      </c>
      <c r="AB519" s="129">
        <f t="shared" si="152"/>
        <v>5194</v>
      </c>
      <c r="AC519" s="130">
        <v>0</v>
      </c>
      <c r="AD519" s="35">
        <f t="shared" si="162"/>
        <v>5194</v>
      </c>
      <c r="AE519" s="166" t="str">
        <f t="shared" si="163"/>
        <v>Release</v>
      </c>
      <c r="AF519" s="127"/>
      <c r="AG519" s="18">
        <v>0</v>
      </c>
      <c r="AH519" s="120"/>
      <c r="AI519" s="238">
        <v>0</v>
      </c>
      <c r="AJ519" s="132"/>
      <c r="AK519" s="151">
        <v>1166</v>
      </c>
      <c r="AL519" s="154">
        <f t="shared" si="153"/>
        <v>0</v>
      </c>
      <c r="AM519" s="155"/>
      <c r="AN519" s="19">
        <f t="shared" si="154"/>
        <v>0</v>
      </c>
      <c r="AO519" s="118">
        <f>SUMIF('MPG Payment '!E:E,'Shayak Income '!D519,'MPG Payment '!AJ:AJ)</f>
        <v>0</v>
      </c>
      <c r="AP519" s="19">
        <f t="shared" si="155"/>
        <v>0</v>
      </c>
      <c r="AQ519" s="119">
        <f t="shared" si="164"/>
        <v>0</v>
      </c>
      <c r="AR519" s="91" t="s">
        <v>1168</v>
      </c>
      <c r="AS519" s="91">
        <f t="shared" si="156"/>
        <v>0</v>
      </c>
      <c r="AT519" s="118"/>
      <c r="AU519" s="118"/>
      <c r="AV519" s="118"/>
    </row>
    <row r="520" spans="1:48" s="20" customFormat="1" x14ac:dyDescent="0.25">
      <c r="A520" s="17">
        <f>IFERROR(VLOOKUP(D520,'Monthly Deduction'!$I$3:$J$957,2,0),0)</f>
        <v>26987.025469606597</v>
      </c>
      <c r="B520" s="17">
        <f>IFERROR(VLOOKUP(D520,'Monthly Deduction'!$E$3:$F$957,2,0),0)</f>
        <v>25993.087123998721</v>
      </c>
      <c r="C520" s="17">
        <f t="shared" si="157"/>
        <v>52980.112593605314</v>
      </c>
      <c r="D520" s="41">
        <v>10480005</v>
      </c>
      <c r="E520" s="122" t="str">
        <f>VLOOKUP(D520,'MPG Payment '!$E$3:$G$498218,2,0)</f>
        <v>Gomukh Vijay Lalganj</v>
      </c>
      <c r="F520" s="146">
        <f>IFERROR(_xlfn.XLOOKUP(D520,'Monthly Deduction'!$I$3:$I$957,'Monthly Deduction'!$H$3:$H$957),0)</f>
        <v>0</v>
      </c>
      <c r="G520" s="123" t="str">
        <f>VLOOKUP(D520,'MPG Payment '!$E$3:$G$334579,3,0)</f>
        <v>MPG</v>
      </c>
      <c r="H520" s="124" t="str">
        <f>VLOOKUP(D520,'MPG Payment '!$E$3:$H$334579,4,0)</f>
        <v>Direct</v>
      </c>
      <c r="I520" s="88">
        <f>INDEX('MPG Payment '!$C:$C,MATCH('Shayak Income '!D520,'MPG Payment '!E:E,0))</f>
        <v>1036</v>
      </c>
      <c r="J520" s="88" t="str">
        <f>INDEX('MPG Payment '!$D:$D,MATCH('Shayak Income '!D520,'MPG Payment '!E:E,0))</f>
        <v>MAHADAT PUR 2</v>
      </c>
      <c r="K520" s="125" t="s">
        <v>1322</v>
      </c>
      <c r="L520" s="125">
        <v>44974</v>
      </c>
      <c r="M520" s="126">
        <f>SUMIF('MPG Payment '!$E$3:$E$34579,'Shayak Income '!D520,'MPG Payment '!$I$3:$I$34579)</f>
        <v>1356.7</v>
      </c>
      <c r="N520" s="126">
        <f>SUMIF('MPG Payment '!$E$3:$E$34579,'Shayak Income '!D520,'MPG Payment '!$J$3:$J$34579)</f>
        <v>50928.720556089</v>
      </c>
      <c r="O520" s="126">
        <f t="shared" si="158"/>
        <v>1017.5250000000001</v>
      </c>
      <c r="P520" s="126">
        <f t="shared" si="159"/>
        <v>1288.865</v>
      </c>
      <c r="Q520" s="126">
        <f>SUMIF('MPG Payment '!$E$3:$E$34579,'Shayak Income '!D520,'MPG Payment '!$S$3:$S$34579)</f>
        <v>213.86801450204007</v>
      </c>
      <c r="R520" s="126">
        <f t="shared" si="150"/>
        <v>1527.86161668267</v>
      </c>
      <c r="S520" s="126">
        <f t="shared" si="151"/>
        <v>238.99661668267004</v>
      </c>
      <c r="T520" s="126">
        <f t="shared" si="160"/>
        <v>135.67000000000002</v>
      </c>
      <c r="U520" s="127">
        <f>(((IF(K520="New",0,SUMIF('MPG Payment '!$E$3:$E$34579,'Shayak Income '!D520,'MPG Payment '!$AC$3:$AC$34579))))+0)+0</f>
        <v>1081.9669932300303</v>
      </c>
      <c r="V520" s="127">
        <f t="shared" si="161"/>
        <v>1303</v>
      </c>
      <c r="W520" s="19">
        <v>1303</v>
      </c>
      <c r="X520" s="19">
        <v>0</v>
      </c>
      <c r="Y520" s="128">
        <f>IFERROR(VLOOKUP(D520,'Monthly Deduction'!$M$2:$N$64,2,0),0)</f>
        <v>0</v>
      </c>
      <c r="Z520" s="128">
        <v>0</v>
      </c>
      <c r="AA520" s="126">
        <v>0</v>
      </c>
      <c r="AB520" s="129">
        <f t="shared" si="152"/>
        <v>0</v>
      </c>
      <c r="AC520" s="130">
        <v>0</v>
      </c>
      <c r="AD520" s="35">
        <f t="shared" si="162"/>
        <v>0</v>
      </c>
      <c r="AE520" s="166" t="str">
        <f t="shared" si="163"/>
        <v>Release</v>
      </c>
      <c r="AF520" s="127"/>
      <c r="AG520" s="18">
        <v>0</v>
      </c>
      <c r="AH520" s="120"/>
      <c r="AI520" s="238">
        <v>0</v>
      </c>
      <c r="AJ520" s="132"/>
      <c r="AK520" s="151">
        <v>405.50000000000006</v>
      </c>
      <c r="AL520" s="154">
        <f t="shared" si="153"/>
        <v>0</v>
      </c>
      <c r="AM520" s="155"/>
      <c r="AN520" s="19">
        <f t="shared" si="154"/>
        <v>1861</v>
      </c>
      <c r="AO520" s="118">
        <f>SUMIF('MPG Payment '!E:E,'Shayak Income '!D520,'MPG Payment '!AJ:AJ)</f>
        <v>0</v>
      </c>
      <c r="AP520" s="19">
        <f t="shared" si="155"/>
        <v>1303</v>
      </c>
      <c r="AQ520" s="119">
        <f t="shared" si="164"/>
        <v>1303</v>
      </c>
      <c r="AR520" s="91" t="s">
        <v>1168</v>
      </c>
      <c r="AS520" s="91">
        <f t="shared" si="156"/>
        <v>25993.087123998721</v>
      </c>
      <c r="AT520" s="118"/>
      <c r="AU520" s="118"/>
      <c r="AV520" s="118"/>
    </row>
    <row r="521" spans="1:48" s="20" customFormat="1" x14ac:dyDescent="0.25">
      <c r="A521" s="17">
        <f>IFERROR(VLOOKUP(D521,'Monthly Deduction'!$I$3:$J$957,2,0),0)</f>
        <v>18104.040572177153</v>
      </c>
      <c r="B521" s="17">
        <f>IFERROR(VLOOKUP(D521,'Monthly Deduction'!$E$3:$F$957,2,0),0)</f>
        <v>15638.113473057279</v>
      </c>
      <c r="C521" s="17">
        <f t="shared" si="157"/>
        <v>33742.154045234434</v>
      </c>
      <c r="D521" s="41">
        <v>10480008</v>
      </c>
      <c r="E521" s="122" t="str">
        <f>VLOOKUP(D521,'MPG Payment '!$E$3:$G$498218,2,0)</f>
        <v>Gomukh Sarswati Nagar Nakdahri</v>
      </c>
      <c r="F521" s="146">
        <f>IFERROR(_xlfn.XLOOKUP(D521,'Monthly Deduction'!$I$3:$I$957,'Monthly Deduction'!$H$3:$H$957),0)</f>
        <v>0</v>
      </c>
      <c r="G521" s="123" t="str">
        <f>VLOOKUP(D521,'MPG Payment '!$E$3:$G$334579,3,0)</f>
        <v>MPG</v>
      </c>
      <c r="H521" s="124" t="str">
        <f>VLOOKUP(D521,'MPG Payment '!$E$3:$H$334579,4,0)</f>
        <v>Direct</v>
      </c>
      <c r="I521" s="88">
        <f>INDEX('MPG Payment '!$C:$C,MATCH('Shayak Income '!D521,'MPG Payment '!E:E,0))</f>
        <v>1036</v>
      </c>
      <c r="J521" s="88" t="str">
        <f>INDEX('MPG Payment '!$D:$D,MATCH('Shayak Income '!D521,'MPG Payment '!E:E,0))</f>
        <v>MAHADAT PUR 2</v>
      </c>
      <c r="K521" s="125" t="s">
        <v>1322</v>
      </c>
      <c r="L521" s="125">
        <v>44975</v>
      </c>
      <c r="M521" s="126">
        <f>SUMIF('MPG Payment '!$E$3:$E$34579,'Shayak Income '!D521,'MPG Payment '!$I$3:$I$34579)</f>
        <v>1481.6000000000001</v>
      </c>
      <c r="N521" s="126">
        <f>SUMIF('MPG Payment '!$E$3:$E$34579,'Shayak Income '!D521,'MPG Payment '!$J$3:$J$34579)</f>
        <v>55042.519154788009</v>
      </c>
      <c r="O521" s="126">
        <f t="shared" si="158"/>
        <v>1111.2</v>
      </c>
      <c r="P521" s="126">
        <f t="shared" si="159"/>
        <v>1407.52</v>
      </c>
      <c r="Q521" s="126">
        <f>SUMIF('MPG Payment '!$E$3:$E$34579,'Shayak Income '!D521,'MPG Payment '!$S$3:$S$34579)</f>
        <v>453.54430495170004</v>
      </c>
      <c r="R521" s="126">
        <f t="shared" si="150"/>
        <v>1651.2755746436403</v>
      </c>
      <c r="S521" s="126">
        <f t="shared" si="151"/>
        <v>243.75557464364033</v>
      </c>
      <c r="T521" s="126">
        <f t="shared" si="160"/>
        <v>148.16000000000003</v>
      </c>
      <c r="U521" s="127">
        <f>(((IF(K521="New",0,SUMIF('MPG Payment '!$E$3:$E$34579,'Shayak Income '!D521,'MPG Payment '!$AC$3:$AC$34579))))+0)+0</f>
        <v>977.81826901452268</v>
      </c>
      <c r="V521" s="127">
        <f t="shared" si="161"/>
        <v>1846</v>
      </c>
      <c r="W521" s="19">
        <v>1846</v>
      </c>
      <c r="X521" s="19">
        <v>0</v>
      </c>
      <c r="Y521" s="128">
        <f>IFERROR(VLOOKUP(D521,'Monthly Deduction'!$M$2:$N$64,2,0),0)</f>
        <v>0</v>
      </c>
      <c r="Z521" s="128">
        <v>0</v>
      </c>
      <c r="AA521" s="126">
        <f>IFERROR(VLOOKUP(D521,'Monthly Deduction'!A:B,2,0),0)</f>
        <v>0</v>
      </c>
      <c r="AB521" s="129">
        <f t="shared" si="152"/>
        <v>0</v>
      </c>
      <c r="AC521" s="130">
        <f>AB521</f>
        <v>0</v>
      </c>
      <c r="AD521" s="35">
        <f t="shared" si="162"/>
        <v>0</v>
      </c>
      <c r="AE521" s="166" t="str">
        <f t="shared" si="163"/>
        <v>Release</v>
      </c>
      <c r="AF521" s="127"/>
      <c r="AG521" s="18">
        <v>0</v>
      </c>
      <c r="AH521" s="120" t="s">
        <v>1653</v>
      </c>
      <c r="AI521" s="238">
        <v>0</v>
      </c>
      <c r="AJ521" s="132"/>
      <c r="AK521" s="151">
        <v>430.40000000000003</v>
      </c>
      <c r="AL521" s="154">
        <f t="shared" si="153"/>
        <v>0</v>
      </c>
      <c r="AM521" s="155"/>
      <c r="AN521" s="19">
        <f t="shared" si="154"/>
        <v>1861</v>
      </c>
      <c r="AO521" s="118">
        <f>SUMIF('MPG Payment '!E:E,'Shayak Income '!D521,'MPG Payment '!AJ:AJ)</f>
        <v>0</v>
      </c>
      <c r="AP521" s="19">
        <f t="shared" si="155"/>
        <v>1846</v>
      </c>
      <c r="AQ521" s="119">
        <f t="shared" si="164"/>
        <v>1846</v>
      </c>
      <c r="AR521" s="91" t="s">
        <v>1168</v>
      </c>
      <c r="AS521" s="91">
        <f t="shared" si="156"/>
        <v>15638.113473057279</v>
      </c>
      <c r="AT521" s="118"/>
      <c r="AU521" s="118"/>
      <c r="AV521" s="118"/>
    </row>
    <row r="522" spans="1:48" s="20" customFormat="1" x14ac:dyDescent="0.25">
      <c r="A522" s="17">
        <f>IFERROR(VLOOKUP(D522,'Monthly Deduction'!$I$3:$J$957,2,0),0)</f>
        <v>24277.25213635093</v>
      </c>
      <c r="B522" s="17">
        <f>IFERROR(VLOOKUP(D522,'Monthly Deduction'!$E$3:$F$957,2,0),0)</f>
        <v>23692</v>
      </c>
      <c r="C522" s="17">
        <f t="shared" si="157"/>
        <v>47969.25213635093</v>
      </c>
      <c r="D522" s="41">
        <v>10480012</v>
      </c>
      <c r="E522" s="122" t="str">
        <f>VLOOKUP(D522,'MPG Payment '!$E$3:$G$498218,2,0)</f>
        <v>Gomukh Krishna Dairy Tulsipur</v>
      </c>
      <c r="F522" s="146">
        <f>IFERROR(_xlfn.XLOOKUP(D522,'Monthly Deduction'!$I$3:$I$957,'Monthly Deduction'!$H$3:$H$957),0)</f>
        <v>0</v>
      </c>
      <c r="G522" s="123" t="str">
        <f>VLOOKUP(D522,'MPG Payment '!$E$3:$G$334579,3,0)</f>
        <v>MPG</v>
      </c>
      <c r="H522" s="124" t="str">
        <f>VLOOKUP(D522,'MPG Payment '!$E$3:$H$334579,4,0)</f>
        <v>Direct</v>
      </c>
      <c r="I522" s="88">
        <f>INDEX('MPG Payment '!$C:$C,MATCH('Shayak Income '!D522,'MPG Payment '!E:E,0))</f>
        <v>1036</v>
      </c>
      <c r="J522" s="88" t="str">
        <f>INDEX('MPG Payment '!$D:$D,MATCH('Shayak Income '!D522,'MPG Payment '!E:E,0))</f>
        <v>MAHADAT PUR 2</v>
      </c>
      <c r="K522" s="125" t="s">
        <v>1322</v>
      </c>
      <c r="L522" s="125">
        <v>45323</v>
      </c>
      <c r="M522" s="126">
        <f>SUMIF('MPG Payment '!$E$3:$E$34579,'Shayak Income '!D522,'MPG Payment '!$I$3:$I$34579)</f>
        <v>1936.7999999999997</v>
      </c>
      <c r="N522" s="126">
        <f>SUMIF('MPG Payment '!$E$3:$E$34579,'Shayak Income '!D522,'MPG Payment '!$J$3:$J$34579)</f>
        <v>66403.657211832004</v>
      </c>
      <c r="O522" s="126">
        <f t="shared" si="158"/>
        <v>1452.6</v>
      </c>
      <c r="P522" s="126">
        <f t="shared" si="159"/>
        <v>1839.9599999999996</v>
      </c>
      <c r="Q522" s="126">
        <f>SUMIF('MPG Payment '!$E$3:$E$34579,'Shayak Income '!D522,'MPG Payment '!$S$3:$S$34579)</f>
        <v>0</v>
      </c>
      <c r="R522" s="126">
        <f t="shared" si="150"/>
        <v>1992.10971635496</v>
      </c>
      <c r="S522" s="126">
        <f t="shared" si="151"/>
        <v>152.14971635496045</v>
      </c>
      <c r="T522" s="126">
        <f t="shared" si="160"/>
        <v>193.67999999999998</v>
      </c>
      <c r="U522" s="127">
        <f>(((IF(K522="New",0,SUMIF('MPG Payment '!$E$3:$E$34579,'Shayak Income '!D522,'MPG Payment '!$AC$3:$AC$34579))))+0)+0</f>
        <v>592.69122697103478</v>
      </c>
      <c r="V522" s="127">
        <f t="shared" si="161"/>
        <v>2506</v>
      </c>
      <c r="W522" s="19">
        <f t="shared" si="165"/>
        <v>1861</v>
      </c>
      <c r="X522" s="19">
        <v>0</v>
      </c>
      <c r="Y522" s="128">
        <f>IFERROR(VLOOKUP(D522,'Monthly Deduction'!$M$2:$N$64,2,0),0)</f>
        <v>0</v>
      </c>
      <c r="Z522" s="128">
        <v>0</v>
      </c>
      <c r="AA522" s="126">
        <f>IFERROR(VLOOKUP(D522,'Monthly Deduction'!A:B,2,0),0)</f>
        <v>0</v>
      </c>
      <c r="AB522" s="129">
        <f t="shared" si="152"/>
        <v>645</v>
      </c>
      <c r="AC522" s="130">
        <v>0</v>
      </c>
      <c r="AD522" s="35">
        <f t="shared" si="162"/>
        <v>645</v>
      </c>
      <c r="AE522" s="166" t="str">
        <f t="shared" si="163"/>
        <v>Release</v>
      </c>
      <c r="AF522" s="127"/>
      <c r="AG522" s="18">
        <v>0</v>
      </c>
      <c r="AH522" s="120"/>
      <c r="AI522" s="238">
        <v>0</v>
      </c>
      <c r="AJ522" s="132"/>
      <c r="AK522" s="151">
        <v>339.40000000000003</v>
      </c>
      <c r="AL522" s="154">
        <f t="shared" si="153"/>
        <v>0</v>
      </c>
      <c r="AM522" s="155"/>
      <c r="AN522" s="19">
        <f t="shared" si="154"/>
        <v>1861</v>
      </c>
      <c r="AO522" s="118">
        <f>SUMIF('MPG Payment '!E:E,'Shayak Income '!D522,'MPG Payment '!AJ:AJ)</f>
        <v>0</v>
      </c>
      <c r="AP522" s="19">
        <f t="shared" si="155"/>
        <v>1861</v>
      </c>
      <c r="AQ522" s="119">
        <f t="shared" si="164"/>
        <v>1861</v>
      </c>
      <c r="AR522" s="91" t="s">
        <v>1168</v>
      </c>
      <c r="AS522" s="91">
        <f t="shared" si="156"/>
        <v>23692</v>
      </c>
      <c r="AT522" s="118"/>
      <c r="AU522" s="118"/>
      <c r="AV522" s="118"/>
    </row>
    <row r="523" spans="1:48" s="20" customFormat="1" x14ac:dyDescent="0.25">
      <c r="A523" s="17">
        <f>IFERROR(VLOOKUP(D523,'Monthly Deduction'!$I$3:$J$957,2,0),0)</f>
        <v>33932.976281815849</v>
      </c>
      <c r="B523" s="17">
        <f>IFERROR(VLOOKUP(D523,'Monthly Deduction'!$E$3:$F$957,2,0),0)</f>
        <v>22400</v>
      </c>
      <c r="C523" s="17">
        <f t="shared" si="157"/>
        <v>56332.976281815849</v>
      </c>
      <c r="D523" s="41">
        <v>10480016</v>
      </c>
      <c r="E523" s="122" t="str">
        <f>VLOOKUP(D523,'MPG Payment '!$E$3:$G$498218,2,0)</f>
        <v>Gomukh Lauwalagam</v>
      </c>
      <c r="F523" s="146">
        <f>IFERROR(_xlfn.XLOOKUP(D523,'Monthly Deduction'!$I$3:$I$957,'Monthly Deduction'!$H$3:$H$957),0)</f>
        <v>0</v>
      </c>
      <c r="G523" s="123" t="str">
        <f>VLOOKUP(D523,'MPG Payment '!$E$3:$G$334579,3,0)</f>
        <v>MPG</v>
      </c>
      <c r="H523" s="124" t="str">
        <f>VLOOKUP(D523,'MPG Payment '!$E$3:$H$334579,4,0)</f>
        <v>Direct</v>
      </c>
      <c r="I523" s="88">
        <f>INDEX('MPG Payment '!$C:$C,MATCH('Shayak Income '!D523,'MPG Payment '!E:E,0))</f>
        <v>1036</v>
      </c>
      <c r="J523" s="88" t="str">
        <f>INDEX('MPG Payment '!$D:$D,MATCH('Shayak Income '!D523,'MPG Payment '!E:E,0))</f>
        <v>MAHADAT PUR 2</v>
      </c>
      <c r="K523" s="125" t="s">
        <v>1322</v>
      </c>
      <c r="L523" s="125">
        <v>45460</v>
      </c>
      <c r="M523" s="126">
        <f>SUMIF('MPG Payment '!$E$3:$E$34579,'Shayak Income '!D523,'MPG Payment '!$I$3:$I$34579)</f>
        <v>299.79999999999995</v>
      </c>
      <c r="N523" s="126">
        <f>SUMIF('MPG Payment '!$E$3:$E$34579,'Shayak Income '!D523,'MPG Payment '!$J$3:$J$34579)</f>
        <v>9902.2285156245016</v>
      </c>
      <c r="O523" s="126">
        <f t="shared" si="158"/>
        <v>224.84999999999997</v>
      </c>
      <c r="P523" s="126">
        <f t="shared" si="159"/>
        <v>284.80999999999995</v>
      </c>
      <c r="Q523" s="126">
        <f>SUMIF('MPG Payment '!$E$3:$E$34579,'Shayak Income '!D523,'MPG Payment '!$S$3:$S$34579)</f>
        <v>0</v>
      </c>
      <c r="R523" s="126">
        <f t="shared" si="150"/>
        <v>297.06685546873501</v>
      </c>
      <c r="S523" s="126">
        <f t="shared" si="151"/>
        <v>12.256855468735068</v>
      </c>
      <c r="T523" s="126">
        <f t="shared" si="160"/>
        <v>29.979999999999997</v>
      </c>
      <c r="U523" s="127">
        <f>(((IF(K523="New",0,SUMIF('MPG Payment '!$E$3:$E$34579,'Shayak Income '!D523,'MPG Payment '!$AC$3:$AC$34579))))+0)+-1176</f>
        <v>479.47754531094688</v>
      </c>
      <c r="V523" s="127">
        <f t="shared" si="161"/>
        <v>0</v>
      </c>
      <c r="W523" s="19">
        <v>0</v>
      </c>
      <c r="X523" s="19">
        <v>0</v>
      </c>
      <c r="Y523" s="128">
        <v>0</v>
      </c>
      <c r="Z523" s="128">
        <v>0</v>
      </c>
      <c r="AA523" s="126">
        <v>0</v>
      </c>
      <c r="AB523" s="129">
        <f t="shared" si="152"/>
        <v>0</v>
      </c>
      <c r="AC523" s="130">
        <v>0</v>
      </c>
      <c r="AD523" s="35">
        <f t="shared" si="162"/>
        <v>0</v>
      </c>
      <c r="AE523" s="166" t="str">
        <f t="shared" si="163"/>
        <v>Release</v>
      </c>
      <c r="AF523" s="127"/>
      <c r="AG523" s="18">
        <v>0</v>
      </c>
      <c r="AH523" s="132"/>
      <c r="AI523" s="238">
        <v>0</v>
      </c>
      <c r="AJ523" s="132"/>
      <c r="AK523" s="151">
        <v>23.4</v>
      </c>
      <c r="AL523" s="154">
        <f t="shared" si="153"/>
        <v>0</v>
      </c>
      <c r="AM523" s="155"/>
      <c r="AN523" s="19">
        <f t="shared" si="154"/>
        <v>1861</v>
      </c>
      <c r="AO523" s="118">
        <f>SUMIF('MPG Payment '!E:E,'Shayak Income '!D523,'MPG Payment '!AJ:AJ)</f>
        <v>500</v>
      </c>
      <c r="AP523" s="19">
        <f t="shared" si="155"/>
        <v>0</v>
      </c>
      <c r="AQ523" s="119">
        <f t="shared" si="164"/>
        <v>500</v>
      </c>
      <c r="AR523" s="91" t="s">
        <v>1168</v>
      </c>
      <c r="AS523" s="91">
        <f t="shared" si="156"/>
        <v>22400</v>
      </c>
      <c r="AT523" s="118"/>
      <c r="AU523" s="118"/>
      <c r="AV523" s="118"/>
    </row>
    <row r="524" spans="1:48" s="20" customFormat="1" x14ac:dyDescent="0.25">
      <c r="A524" s="17">
        <f>IFERROR(VLOOKUP(D524,'Monthly Deduction'!$I$3:$J$957,2,0),0)</f>
        <v>70938</v>
      </c>
      <c r="B524" s="17">
        <f>IFERROR(VLOOKUP(D524,'Monthly Deduction'!$E$3:$F$957,2,0),0)</f>
        <v>1945.8801999999998</v>
      </c>
      <c r="C524" s="17">
        <f t="shared" si="157"/>
        <v>72883.8802</v>
      </c>
      <c r="D524" s="41">
        <v>10480022</v>
      </c>
      <c r="E524" s="122" t="str">
        <f>VLOOKUP(D524,'MPG Payment '!$E$3:$G$498218,2,0)</f>
        <v>Dhobina Basa</v>
      </c>
      <c r="F524" s="146">
        <f>IFERROR(_xlfn.XLOOKUP(D524,'Monthly Deduction'!$I$3:$I$957,'Monthly Deduction'!$H$3:$H$957),0)</f>
        <v>0</v>
      </c>
      <c r="G524" s="123" t="str">
        <f>VLOOKUP(D524,'MPG Payment '!$E$3:$G$334579,3,0)</f>
        <v>MPG</v>
      </c>
      <c r="H524" s="124" t="str">
        <f>VLOOKUP(D524,'MPG Payment '!$E$3:$H$334579,4,0)</f>
        <v>Direct</v>
      </c>
      <c r="I524" s="88">
        <f>INDEX('MPG Payment '!$C:$C,MATCH('Shayak Income '!D524,'MPG Payment '!E:E,0))</f>
        <v>1036</v>
      </c>
      <c r="J524" s="88" t="str">
        <f>INDEX('MPG Payment '!$D:$D,MATCH('Shayak Income '!D524,'MPG Payment '!E:E,0))</f>
        <v>MAHADAT PUR 2</v>
      </c>
      <c r="K524" s="125" t="s">
        <v>1322</v>
      </c>
      <c r="L524" s="125">
        <v>45642</v>
      </c>
      <c r="M524" s="126">
        <f>SUMIF('MPG Payment '!$E$3:$E$34579,'Shayak Income '!D524,'MPG Payment '!$I$3:$I$34579)</f>
        <v>2397.4</v>
      </c>
      <c r="N524" s="126">
        <f>SUMIF('MPG Payment '!$E$3:$E$34579,'Shayak Income '!D524,'MPG Payment '!$J$3:$J$34579)</f>
        <v>87256.813370017509</v>
      </c>
      <c r="O524" s="126">
        <f t="shared" si="158"/>
        <v>1798.0500000000002</v>
      </c>
      <c r="P524" s="126">
        <f t="shared" si="159"/>
        <v>2277.5300000000002</v>
      </c>
      <c r="Q524" s="126">
        <f>SUMIF('MPG Payment '!$E$3:$E$34579,'Shayak Income '!D524,'MPG Payment '!$S$3:$S$34579)</f>
        <v>1119.6448414200004</v>
      </c>
      <c r="R524" s="126">
        <f t="shared" si="150"/>
        <v>2617.704401100525</v>
      </c>
      <c r="S524" s="126">
        <f t="shared" si="151"/>
        <v>340.17440110052485</v>
      </c>
      <c r="T524" s="126">
        <f t="shared" si="160"/>
        <v>239.74</v>
      </c>
      <c r="U524" s="127">
        <f>(((IF(K524="New",0,SUMIF('MPG Payment '!$E$3:$E$34579,'Shayak Income '!D524,'MPG Payment '!$AC$3:$AC$34579))))+0)+0</f>
        <v>290.83944102628692</v>
      </c>
      <c r="V524" s="127">
        <f t="shared" si="161"/>
        <v>4665</v>
      </c>
      <c r="W524" s="19">
        <f t="shared" si="165"/>
        <v>1861</v>
      </c>
      <c r="X524" s="19">
        <v>0</v>
      </c>
      <c r="Y524" s="128">
        <f>IFERROR(VLOOKUP(D524,'Monthly Deduction'!$M$2:$N$64,2,0),0)</f>
        <v>0</v>
      </c>
      <c r="Z524" s="128">
        <v>0</v>
      </c>
      <c r="AA524" s="126">
        <f>IFERROR(VLOOKUP(D524,'Monthly Deduction'!A:B,2,0),0)</f>
        <v>0</v>
      </c>
      <c r="AB524" s="129">
        <f t="shared" si="152"/>
        <v>2804</v>
      </c>
      <c r="AC524" s="130">
        <v>0</v>
      </c>
      <c r="AD524" s="35">
        <f t="shared" si="162"/>
        <v>2804</v>
      </c>
      <c r="AE524" s="166" t="str">
        <f t="shared" si="163"/>
        <v>Release</v>
      </c>
      <c r="AF524" s="127"/>
      <c r="AG524" s="127">
        <v>0</v>
      </c>
      <c r="AH524" s="132"/>
      <c r="AI524" s="238">
        <v>0</v>
      </c>
      <c r="AJ524" s="132"/>
      <c r="AK524" s="151">
        <v>753.3</v>
      </c>
      <c r="AL524" s="154">
        <f t="shared" si="153"/>
        <v>0</v>
      </c>
      <c r="AM524" s="155"/>
      <c r="AN524" s="19">
        <f t="shared" si="154"/>
        <v>1861</v>
      </c>
      <c r="AO524" s="118">
        <f>SUMIF('MPG Payment '!E:E,'Shayak Income '!D524,'MPG Payment '!AJ:AJ)</f>
        <v>0</v>
      </c>
      <c r="AP524" s="19">
        <f t="shared" si="155"/>
        <v>1861</v>
      </c>
      <c r="AQ524" s="119">
        <f t="shared" si="164"/>
        <v>1861</v>
      </c>
      <c r="AR524" s="91" t="s">
        <v>1168</v>
      </c>
      <c r="AS524" s="91">
        <f t="shared" si="156"/>
        <v>1945.8801999999998</v>
      </c>
      <c r="AT524" s="118"/>
      <c r="AU524" s="118"/>
      <c r="AV524" s="118"/>
    </row>
    <row r="525" spans="1:48" s="20" customFormat="1" x14ac:dyDescent="0.25">
      <c r="A525" s="17">
        <f>IFERROR(VLOOKUP(D525,'Monthly Deduction'!$I$3:$J$957,2,0),0)</f>
        <v>48938.636370760949</v>
      </c>
      <c r="B525" s="17">
        <f>IFERROR(VLOOKUP(D525,'Monthly Deduction'!$E$3:$F$957,2,0),0)</f>
        <v>0</v>
      </c>
      <c r="C525" s="17">
        <f t="shared" si="157"/>
        <v>48938.636370760949</v>
      </c>
      <c r="D525" s="41">
        <v>10480023</v>
      </c>
      <c r="E525" s="122" t="str">
        <f>VLOOKUP(D525,'MPG Payment '!$E$3:$G$498218,2,0)</f>
        <v>Gomukh Shreepur Madhay</v>
      </c>
      <c r="F525" s="146">
        <f>IFERROR(_xlfn.XLOOKUP(D525,'Monthly Deduction'!$I$3:$I$957,'Monthly Deduction'!$H$3:$H$957),0)</f>
        <v>0</v>
      </c>
      <c r="G525" s="123" t="str">
        <f>VLOOKUP(D525,'MPG Payment '!$E$3:$G$334579,3,0)</f>
        <v>MPG</v>
      </c>
      <c r="H525" s="124" t="str">
        <f>VLOOKUP(D525,'MPG Payment '!$E$3:$H$334579,4,0)</f>
        <v>Direct</v>
      </c>
      <c r="I525" s="88">
        <f>INDEX('MPG Payment '!$C:$C,MATCH('Shayak Income '!D525,'MPG Payment '!E:E,0))</f>
        <v>1036</v>
      </c>
      <c r="J525" s="88" t="str">
        <f>INDEX('MPG Payment '!$D:$D,MATCH('Shayak Income '!D525,'MPG Payment '!E:E,0))</f>
        <v>MAHADAT PUR 2</v>
      </c>
      <c r="K525" s="125" t="s">
        <v>1322</v>
      </c>
      <c r="L525" s="125">
        <v>45664</v>
      </c>
      <c r="M525" s="126">
        <f>SUMIF('MPG Payment '!$E$3:$E$34579,'Shayak Income '!D525,'MPG Payment '!$I$3:$I$34579)</f>
        <v>4920.6000000000004</v>
      </c>
      <c r="N525" s="126">
        <f>SUMIF('MPG Payment '!$E$3:$E$34579,'Shayak Income '!D525,'MPG Payment '!$J$3:$J$34579)</f>
        <v>189351.99310303709</v>
      </c>
      <c r="O525" s="126">
        <f t="shared" si="158"/>
        <v>3690.4500000000003</v>
      </c>
      <c r="P525" s="126">
        <f t="shared" si="159"/>
        <v>4674.57</v>
      </c>
      <c r="Q525" s="126">
        <f>SUMIF('MPG Payment '!$E$3:$E$34579,'Shayak Income '!D525,'MPG Payment '!$S$3:$S$34579)</f>
        <v>4971.9061746179996</v>
      </c>
      <c r="R525" s="126">
        <f t="shared" si="150"/>
        <v>5680.5597930911126</v>
      </c>
      <c r="S525" s="126">
        <f t="shared" si="151"/>
        <v>1005.9897930911129</v>
      </c>
      <c r="T525" s="126">
        <f t="shared" si="160"/>
        <v>492.06000000000006</v>
      </c>
      <c r="U525" s="127">
        <f>(((IF(K525="New",0,SUMIF('MPG Payment '!$E$3:$E$34579,'Shayak Income '!D525,'MPG Payment '!$AC$3:$AC$34579))))+0)+0</f>
        <v>0</v>
      </c>
      <c r="V525" s="127">
        <f t="shared" si="161"/>
        <v>12845</v>
      </c>
      <c r="W525" s="19">
        <f t="shared" si="165"/>
        <v>3787.0398620607421</v>
      </c>
      <c r="X525" s="19">
        <v>0</v>
      </c>
      <c r="Y525" s="128">
        <f>IFERROR(VLOOKUP(D525,'Monthly Deduction'!$M$2:$N$64,2,0),0)</f>
        <v>0</v>
      </c>
      <c r="Z525" s="128">
        <v>0</v>
      </c>
      <c r="AA525" s="126">
        <f>IFERROR(VLOOKUP(D525,'Monthly Deduction'!A:B,2,0),0)</f>
        <v>0</v>
      </c>
      <c r="AB525" s="129">
        <f t="shared" si="152"/>
        <v>9058</v>
      </c>
      <c r="AC525" s="130">
        <v>0</v>
      </c>
      <c r="AD525" s="35">
        <f t="shared" si="162"/>
        <v>9058</v>
      </c>
      <c r="AE525" s="166" t="str">
        <f t="shared" si="163"/>
        <v>Release</v>
      </c>
      <c r="AF525" s="127"/>
      <c r="AG525" s="127">
        <v>0</v>
      </c>
      <c r="AH525" s="120"/>
      <c r="AI525" s="238">
        <v>0</v>
      </c>
      <c r="AJ525" s="132"/>
      <c r="AK525" s="151">
        <v>1476.8999999999996</v>
      </c>
      <c r="AL525" s="154">
        <f t="shared" si="153"/>
        <v>0</v>
      </c>
      <c r="AM525" s="155"/>
      <c r="AN525" s="19">
        <f t="shared" si="154"/>
        <v>3787.0398620607421</v>
      </c>
      <c r="AO525" s="118">
        <f>SUMIF('MPG Payment '!E:E,'Shayak Income '!D525,'MPG Payment '!AJ:AJ)</f>
        <v>0</v>
      </c>
      <c r="AP525" s="19">
        <f t="shared" si="155"/>
        <v>3787.0398620607421</v>
      </c>
      <c r="AQ525" s="119">
        <f t="shared" si="164"/>
        <v>3787.0398620607421</v>
      </c>
      <c r="AR525" s="91"/>
      <c r="AS525" s="91">
        <f t="shared" si="156"/>
        <v>0</v>
      </c>
      <c r="AT525" s="118"/>
      <c r="AU525" s="118"/>
      <c r="AV525" s="118"/>
    </row>
    <row r="526" spans="1:48" s="20" customFormat="1" x14ac:dyDescent="0.25">
      <c r="A526" s="17">
        <f>IFERROR(VLOOKUP(D526,'Monthly Deduction'!$I$3:$J$957,2,0),0)</f>
        <v>0</v>
      </c>
      <c r="B526" s="17">
        <f>IFERROR(VLOOKUP(D526,'Monthly Deduction'!$E$3:$F$957,2,0),0)</f>
        <v>0</v>
      </c>
      <c r="C526" s="17">
        <f t="shared" si="157"/>
        <v>0</v>
      </c>
      <c r="D526" s="41">
        <v>10480028</v>
      </c>
      <c r="E526" s="122" t="str">
        <f>VLOOKUP(D526,'MPG Payment '!$E$3:$G$498218,2,0)</f>
        <v>Gomukh Dhoriya Dadpur -VLC</v>
      </c>
      <c r="F526" s="146">
        <f>IFERROR(_xlfn.XLOOKUP(D526,'Monthly Deduction'!$I$3:$I$957,'Monthly Deduction'!$H$3:$H$957),0)</f>
        <v>0</v>
      </c>
      <c r="G526" s="123" t="str">
        <f>VLOOKUP(D526,'MPG Payment '!$E$3:$G$334579,3,0)</f>
        <v>vlc</v>
      </c>
      <c r="H526" s="124" t="str">
        <f>VLOOKUP(D526,'MPG Payment '!$E$3:$H$334579,4,0)</f>
        <v>Indirect</v>
      </c>
      <c r="I526" s="88">
        <f>INDEX('MPG Payment '!$C:$C,MATCH('Shayak Income '!D526,'MPG Payment '!E:E,0))</f>
        <v>1036</v>
      </c>
      <c r="J526" s="88" t="str">
        <f>INDEX('MPG Payment '!$D:$D,MATCH('Shayak Income '!D526,'MPG Payment '!E:E,0))</f>
        <v>MAHADAT PUR 2</v>
      </c>
      <c r="K526" s="125" t="s">
        <v>1322</v>
      </c>
      <c r="L526" s="125">
        <v>45711</v>
      </c>
      <c r="M526" s="126">
        <f>SUMIF('MPG Payment '!$E$3:$E$34579,'Shayak Income '!D526,'MPG Payment '!$I$3:$I$34579)</f>
        <v>1491.2</v>
      </c>
      <c r="N526" s="126">
        <f>SUMIF('MPG Payment '!$E$3:$E$34579,'Shayak Income '!D526,'MPG Payment '!$J$3:$J$34579)</f>
        <v>51469.457726253502</v>
      </c>
      <c r="O526" s="126">
        <f t="shared" si="158"/>
        <v>1118.4000000000001</v>
      </c>
      <c r="P526" s="126">
        <f t="shared" si="159"/>
        <v>1416.6399999999999</v>
      </c>
      <c r="Q526" s="126">
        <f>SUMIF('MPG Payment '!$E$3:$E$34579,'Shayak Income '!D526,'MPG Payment '!$S$3:$S$34579)</f>
        <v>0</v>
      </c>
      <c r="R526" s="126">
        <f t="shared" si="150"/>
        <v>1544.0837317876051</v>
      </c>
      <c r="S526" s="126">
        <f t="shared" si="151"/>
        <v>127.4437317876052</v>
      </c>
      <c r="T526" s="126">
        <f t="shared" si="160"/>
        <v>149.12</v>
      </c>
      <c r="U526" s="127">
        <f>(((IF(K526="New",0,SUMIF('MPG Payment '!$E$3:$E$34579,'Shayak Income '!D526,'MPG Payment '!$AC$3:$AC$34579))))+0)+0</f>
        <v>1086.6023252926652</v>
      </c>
      <c r="V526" s="127">
        <f t="shared" si="161"/>
        <v>1299</v>
      </c>
      <c r="W526" s="19">
        <f t="shared" si="165"/>
        <v>0</v>
      </c>
      <c r="X526" s="19">
        <f t="shared" si="166"/>
        <v>0</v>
      </c>
      <c r="Y526" s="128">
        <f>IFERROR(VLOOKUP(D526,'Monthly Deduction'!$M$2:$N$64,2,0),0)</f>
        <v>0</v>
      </c>
      <c r="Z526" s="128">
        <v>0</v>
      </c>
      <c r="AA526" s="126">
        <f>IFERROR(VLOOKUP(D526,'Monthly Deduction'!A:B,2,0),0)</f>
        <v>0</v>
      </c>
      <c r="AB526" s="129">
        <f t="shared" si="152"/>
        <v>1299</v>
      </c>
      <c r="AC526" s="130">
        <v>0</v>
      </c>
      <c r="AD526" s="35">
        <f t="shared" si="162"/>
        <v>1299</v>
      </c>
      <c r="AE526" s="166" t="str">
        <f t="shared" si="163"/>
        <v>Release</v>
      </c>
      <c r="AF526" s="127"/>
      <c r="AG526" s="18">
        <v>0</v>
      </c>
      <c r="AH526" s="120"/>
      <c r="AI526" s="238">
        <v>0</v>
      </c>
      <c r="AJ526" s="132"/>
      <c r="AK526" s="151">
        <v>210.60000000000002</v>
      </c>
      <c r="AL526" s="154">
        <f t="shared" si="153"/>
        <v>0</v>
      </c>
      <c r="AM526" s="155"/>
      <c r="AN526" s="19">
        <f t="shared" si="154"/>
        <v>0</v>
      </c>
      <c r="AO526" s="118">
        <f>SUMIF('MPG Payment '!E:E,'Shayak Income '!D526,'MPG Payment '!AJ:AJ)</f>
        <v>0</v>
      </c>
      <c r="AP526" s="19">
        <f t="shared" si="155"/>
        <v>0</v>
      </c>
      <c r="AQ526" s="119">
        <f t="shared" si="164"/>
        <v>0</v>
      </c>
      <c r="AR526" s="91" t="s">
        <v>1168</v>
      </c>
      <c r="AS526" s="91">
        <f t="shared" si="156"/>
        <v>0</v>
      </c>
      <c r="AT526" s="118"/>
      <c r="AU526" s="118"/>
      <c r="AV526" s="118"/>
    </row>
    <row r="527" spans="1:48" s="20" customFormat="1" x14ac:dyDescent="0.25">
      <c r="A527" s="17">
        <f>IFERROR(VLOOKUP(D527,'Monthly Deduction'!$I$3:$J$957,2,0),0)</f>
        <v>0</v>
      </c>
      <c r="B527" s="17">
        <f>IFERROR(VLOOKUP(D527,'Monthly Deduction'!$E$3:$F$957,2,0),0)</f>
        <v>0</v>
      </c>
      <c r="C527" s="17">
        <f t="shared" si="157"/>
        <v>0</v>
      </c>
      <c r="D527" s="41">
        <v>10480034</v>
      </c>
      <c r="E527" s="122" t="str">
        <f>VLOOKUP(D527,'MPG Payment '!$E$3:$G$498218,2,0)</f>
        <v>Gomukh Abhirampur VLC</v>
      </c>
      <c r="F527" s="146">
        <f>IFERROR(_xlfn.XLOOKUP(D527,'Monthly Deduction'!$I$3:$I$957,'Monthly Deduction'!$H$3:$H$957),0)</f>
        <v>0</v>
      </c>
      <c r="G527" s="123" t="str">
        <f>VLOOKUP(D527,'MPG Payment '!$E$3:$G$334579,3,0)</f>
        <v>vlc</v>
      </c>
      <c r="H527" s="124" t="str">
        <f>VLOOKUP(D527,'MPG Payment '!$E$3:$H$334579,4,0)</f>
        <v>Indirect</v>
      </c>
      <c r="I527" s="88">
        <f>INDEX('MPG Payment '!$C:$C,MATCH('Shayak Income '!D527,'MPG Payment '!E:E,0))</f>
        <v>1036</v>
      </c>
      <c r="J527" s="88" t="str">
        <f>INDEX('MPG Payment '!$D:$D,MATCH('Shayak Income '!D527,'MPG Payment '!E:E,0))</f>
        <v>MAHADAT PUR 2</v>
      </c>
      <c r="K527" s="125" t="s">
        <v>1322</v>
      </c>
      <c r="L527" s="125">
        <v>45865</v>
      </c>
      <c r="M527" s="126">
        <f>SUMIF('MPG Payment '!$E$3:$E$34579,'Shayak Income '!D527,'MPG Payment '!$I$3:$I$34579)</f>
        <v>1102.5</v>
      </c>
      <c r="N527" s="126">
        <f>SUMIF('MPG Payment '!$E$3:$E$34579,'Shayak Income '!D527,'MPG Payment '!$J$3:$J$34579)</f>
        <v>40421.333728069498</v>
      </c>
      <c r="O527" s="126">
        <f t="shared" si="158"/>
        <v>826.875</v>
      </c>
      <c r="P527" s="126">
        <f t="shared" si="159"/>
        <v>1047.375</v>
      </c>
      <c r="Q527" s="126">
        <f>SUMIF('MPG Payment '!$E$3:$E$34579,'Shayak Income '!D527,'MPG Payment '!$S$3:$S$34579)</f>
        <v>0</v>
      </c>
      <c r="R527" s="126">
        <f t="shared" si="150"/>
        <v>1212.640011842085</v>
      </c>
      <c r="S527" s="126">
        <f t="shared" si="151"/>
        <v>165.26501184208496</v>
      </c>
      <c r="T527" s="126">
        <f t="shared" si="160"/>
        <v>110.25</v>
      </c>
      <c r="U527" s="127">
        <f>(((IF(K527="New",0,SUMIF('MPG Payment '!$E$3:$E$34579,'Shayak Income '!D527,'MPG Payment '!$AC$3:$AC$34579))))+0)+0</f>
        <v>1248.2865328514924</v>
      </c>
      <c r="V527" s="127">
        <f t="shared" si="161"/>
        <v>516</v>
      </c>
      <c r="W527" s="19">
        <f t="shared" si="165"/>
        <v>0</v>
      </c>
      <c r="X527" s="19">
        <f t="shared" si="166"/>
        <v>0</v>
      </c>
      <c r="Y527" s="128">
        <f>IFERROR(VLOOKUP(D527,'Monthly Deduction'!$M$2:$N$64,2,0),0)</f>
        <v>0</v>
      </c>
      <c r="Z527" s="128">
        <v>0</v>
      </c>
      <c r="AA527" s="126">
        <f>IFERROR(VLOOKUP(D527,'Monthly Deduction'!A:B,2,0),0)</f>
        <v>0</v>
      </c>
      <c r="AB527" s="129">
        <f t="shared" si="152"/>
        <v>516</v>
      </c>
      <c r="AC527" s="130">
        <v>0</v>
      </c>
      <c r="AD527" s="35">
        <f t="shared" si="162"/>
        <v>516</v>
      </c>
      <c r="AE527" s="166" t="str">
        <f t="shared" si="163"/>
        <v>Release</v>
      </c>
      <c r="AF527" s="127"/>
      <c r="AG527" s="127">
        <v>0</v>
      </c>
      <c r="AH527" s="120"/>
      <c r="AI527" s="238">
        <v>0</v>
      </c>
      <c r="AJ527" s="132"/>
      <c r="AK527" s="151">
        <v>370.90000000000003</v>
      </c>
      <c r="AL527" s="154">
        <f t="shared" si="153"/>
        <v>0</v>
      </c>
      <c r="AM527" s="155"/>
      <c r="AN527" s="19">
        <f t="shared" si="154"/>
        <v>0</v>
      </c>
      <c r="AO527" s="118">
        <f>SUMIF('MPG Payment '!E:E,'Shayak Income '!D527,'MPG Payment '!AJ:AJ)</f>
        <v>0</v>
      </c>
      <c r="AP527" s="19">
        <f t="shared" si="155"/>
        <v>0</v>
      </c>
      <c r="AQ527" s="119">
        <f t="shared" si="164"/>
        <v>0</v>
      </c>
      <c r="AR527" s="91" t="s">
        <v>1168</v>
      </c>
      <c r="AS527" s="91">
        <f t="shared" si="156"/>
        <v>0</v>
      </c>
      <c r="AT527" s="118"/>
      <c r="AU527" s="118"/>
      <c r="AV527" s="118"/>
    </row>
    <row r="528" spans="1:48" s="20" customFormat="1" x14ac:dyDescent="0.25">
      <c r="A528" s="17">
        <f>IFERROR(VLOOKUP(D528,'Monthly Deduction'!$I$3:$J$957,2,0),0)</f>
        <v>0</v>
      </c>
      <c r="B528" s="17">
        <f>IFERROR(VLOOKUP(D528,'Monthly Deduction'!$E$3:$F$957,2,0),0)</f>
        <v>0</v>
      </c>
      <c r="C528" s="17">
        <f t="shared" si="157"/>
        <v>0</v>
      </c>
      <c r="D528" s="41">
        <v>10500001</v>
      </c>
      <c r="E528" s="122" t="str">
        <f>VLOOKUP(D528,'MPG Payment '!$E$3:$G$498218,2,0)</f>
        <v>KUNTHA M</v>
      </c>
      <c r="F528" s="146">
        <f>IFERROR(_xlfn.XLOOKUP(D528,'Monthly Deduction'!$I$3:$I$957,'Monthly Deduction'!$H$3:$H$957),0)</f>
        <v>0</v>
      </c>
      <c r="G528" s="123" t="str">
        <f>VLOOKUP(D528,'MPG Payment '!$E$3:$G$334579,3,0)</f>
        <v>RMC</v>
      </c>
      <c r="H528" s="124" t="str">
        <f>VLOOKUP(D528,'MPG Payment '!$E$3:$H$334579,4,0)</f>
        <v>Direct</v>
      </c>
      <c r="I528" s="88">
        <f>INDEX('MPG Payment '!$C:$C,MATCH('Shayak Income '!D528,'MPG Payment '!E:E,0))</f>
        <v>1003</v>
      </c>
      <c r="J528" s="88" t="str">
        <f>INDEX('MPG Payment '!$D:$D,MATCH('Shayak Income '!D528,'MPG Payment '!E:E,0))</f>
        <v>Asarganj</v>
      </c>
      <c r="K528" s="125" t="s">
        <v>1322</v>
      </c>
      <c r="L528" s="125">
        <v>42979</v>
      </c>
      <c r="M528" s="126">
        <f>SUMIF('MPG Payment '!$E$3:$E$34579,'Shayak Income '!D528,'MPG Payment '!$I$3:$I$34579)</f>
        <v>3676</v>
      </c>
      <c r="N528" s="126">
        <f>SUMIF('MPG Payment '!$E$3:$E$34579,'Shayak Income '!D528,'MPG Payment '!$J$3:$J$34579)</f>
        <v>115999.20523200001</v>
      </c>
      <c r="O528" s="126">
        <f t="shared" si="158"/>
        <v>2757</v>
      </c>
      <c r="P528" s="126">
        <f t="shared" si="159"/>
        <v>3492.2</v>
      </c>
      <c r="Q528" s="126">
        <f>SUMIF('MPG Payment '!$E$3:$E$34579,'Shayak Income '!D528,'MPG Payment '!$S$3:$S$34579)</f>
        <v>1758.0483360000005</v>
      </c>
      <c r="R528" s="126">
        <f t="shared" si="150"/>
        <v>3479.97615696</v>
      </c>
      <c r="S528" s="126">
        <f t="shared" si="151"/>
        <v>-12.223843039999792</v>
      </c>
      <c r="T528" s="126">
        <f t="shared" si="160"/>
        <v>367.6</v>
      </c>
      <c r="U528" s="127">
        <f>(((IF(K528="New",0,SUMIF('MPG Payment '!$E$3:$E$34579,'Shayak Income '!D528,'MPG Payment '!$AC$3:$AC$34579))))+0)+0</f>
        <v>27.708399999999997</v>
      </c>
      <c r="V528" s="127">
        <f t="shared" si="161"/>
        <v>7612</v>
      </c>
      <c r="W528" s="19">
        <f t="shared" si="165"/>
        <v>0</v>
      </c>
      <c r="X528" s="19">
        <f t="shared" si="166"/>
        <v>0</v>
      </c>
      <c r="Y528" s="128">
        <f>IFERROR(VLOOKUP(D528,'Monthly Deduction'!$M$2:$N$64,2,0),0)</f>
        <v>0</v>
      </c>
      <c r="Z528" s="128">
        <v>0</v>
      </c>
      <c r="AA528" s="126">
        <f>IFERROR(VLOOKUP(D528,'Monthly Deduction'!A:B,2,0),0)</f>
        <v>0</v>
      </c>
      <c r="AB528" s="129">
        <f t="shared" si="152"/>
        <v>7612</v>
      </c>
      <c r="AC528" s="130">
        <v>0</v>
      </c>
      <c r="AD528" s="35">
        <f t="shared" si="162"/>
        <v>7612</v>
      </c>
      <c r="AE528" s="166" t="str">
        <f t="shared" si="163"/>
        <v>Release</v>
      </c>
      <c r="AF528" s="127"/>
      <c r="AG528" s="18">
        <v>0</v>
      </c>
      <c r="AH528" s="132"/>
      <c r="AI528" s="238">
        <v>0</v>
      </c>
      <c r="AJ528" s="132"/>
      <c r="AK528" s="151">
        <v>1608</v>
      </c>
      <c r="AL528" s="154">
        <f t="shared" si="153"/>
        <v>0</v>
      </c>
      <c r="AM528" s="155"/>
      <c r="AN528" s="19">
        <f t="shared" si="154"/>
        <v>0</v>
      </c>
      <c r="AO528" s="118">
        <f>SUMIF('MPG Payment '!E:E,'Shayak Income '!D528,'MPG Payment '!AJ:AJ)</f>
        <v>0</v>
      </c>
      <c r="AP528" s="19">
        <f t="shared" si="155"/>
        <v>0</v>
      </c>
      <c r="AQ528" s="119">
        <f t="shared" si="164"/>
        <v>0</v>
      </c>
      <c r="AR528" s="91"/>
      <c r="AS528" s="91">
        <f t="shared" si="156"/>
        <v>0</v>
      </c>
      <c r="AT528" s="118"/>
      <c r="AU528" s="118"/>
      <c r="AV528" s="118"/>
    </row>
    <row r="529" spans="1:48" s="20" customFormat="1" x14ac:dyDescent="0.25">
      <c r="A529" s="17">
        <f>IFERROR(VLOOKUP(D529,'Monthly Deduction'!$I$3:$J$957,2,0),0)</f>
        <v>0</v>
      </c>
      <c r="B529" s="17">
        <f>IFERROR(VLOOKUP(D529,'Monthly Deduction'!$E$3:$F$957,2,0),0)</f>
        <v>0</v>
      </c>
      <c r="C529" s="17">
        <f t="shared" si="157"/>
        <v>0</v>
      </c>
      <c r="D529" s="41">
        <v>10510001</v>
      </c>
      <c r="E529" s="122" t="str">
        <f>VLOOKUP(D529,'MPG Payment '!$E$3:$G$498218,2,0)</f>
        <v>ARAK</v>
      </c>
      <c r="F529" s="146">
        <f>IFERROR(_xlfn.XLOOKUP(D529,'Monthly Deduction'!$I$3:$I$957,'Monthly Deduction'!$H$3:$H$957),0)</f>
        <v>0</v>
      </c>
      <c r="G529" s="123" t="str">
        <f>VLOOKUP(D529,'MPG Payment '!$E$3:$G$334579,3,0)</f>
        <v>MPG</v>
      </c>
      <c r="H529" s="124" t="str">
        <f>VLOOKUP(D529,'MPG Payment '!$E$3:$H$334579,4,0)</f>
        <v>Direct</v>
      </c>
      <c r="I529" s="88">
        <f>INDEX('MPG Payment '!$C:$C,MATCH('Shayak Income '!D529,'MPG Payment '!E:E,0))</f>
        <v>1014</v>
      </c>
      <c r="J529" s="88" t="str">
        <f>INDEX('MPG Payment '!$D:$D,MATCH('Shayak Income '!D529,'MPG Payment '!E:E,0))</f>
        <v>Dumraon</v>
      </c>
      <c r="K529" s="125" t="s">
        <v>1322</v>
      </c>
      <c r="L529" s="125">
        <v>44708</v>
      </c>
      <c r="M529" s="126">
        <f>SUMIF('MPG Payment '!$E$3:$E$34579,'Shayak Income '!D529,'MPG Payment '!$I$3:$I$34579)</f>
        <v>8000.8999999999987</v>
      </c>
      <c r="N529" s="126">
        <f>SUMIF('MPG Payment '!$E$3:$E$34579,'Shayak Income '!D529,'MPG Payment '!$J$3:$J$34579)</f>
        <v>295513.35073397006</v>
      </c>
      <c r="O529" s="126">
        <f t="shared" si="158"/>
        <v>6000.6749999999993</v>
      </c>
      <c r="P529" s="126">
        <f t="shared" si="159"/>
        <v>7600.8549999999987</v>
      </c>
      <c r="Q529" s="126">
        <f>SUMIF('MPG Payment '!$E$3:$E$34579,'Shayak Income '!D529,'MPG Payment '!$S$3:$S$34579)</f>
        <v>2873.4728588541902</v>
      </c>
      <c r="R529" s="126">
        <f t="shared" si="150"/>
        <v>8865.4005220191011</v>
      </c>
      <c r="S529" s="126">
        <f t="shared" si="151"/>
        <v>1264.5455220191025</v>
      </c>
      <c r="T529" s="126">
        <f t="shared" si="160"/>
        <v>800.08999999999992</v>
      </c>
      <c r="U529" s="127">
        <f>(((IF(K529="New",0,SUMIF('MPG Payment '!$E$3:$E$34579,'Shayak Income '!D529,'MPG Payment '!$AC$3:$AC$34579))))+0)+0</f>
        <v>0</v>
      </c>
      <c r="V529" s="127">
        <f t="shared" si="161"/>
        <v>15675</v>
      </c>
      <c r="W529" s="19">
        <f t="shared" si="165"/>
        <v>0</v>
      </c>
      <c r="X529" s="19">
        <f t="shared" si="166"/>
        <v>0</v>
      </c>
      <c r="Y529" s="128">
        <f>IFERROR(VLOOKUP(D529,'Monthly Deduction'!$M$2:$N$64,2,0),0)</f>
        <v>0</v>
      </c>
      <c r="Z529" s="128">
        <v>0</v>
      </c>
      <c r="AA529" s="126">
        <f>IFERROR(VLOOKUP(D529,'Monthly Deduction'!A:B,2,0),0)</f>
        <v>1208.9900000000002</v>
      </c>
      <c r="AB529" s="129">
        <f t="shared" si="152"/>
        <v>14466</v>
      </c>
      <c r="AC529" s="130">
        <v>0</v>
      </c>
      <c r="AD529" s="35">
        <f t="shared" si="162"/>
        <v>14466</v>
      </c>
      <c r="AE529" s="166" t="str">
        <f t="shared" si="163"/>
        <v>Release</v>
      </c>
      <c r="AF529" s="127"/>
      <c r="AG529" s="18">
        <v>0</v>
      </c>
      <c r="AH529" s="120"/>
      <c r="AI529" s="238">
        <v>0</v>
      </c>
      <c r="AJ529" s="132"/>
      <c r="AK529" s="151">
        <v>2288.6</v>
      </c>
      <c r="AL529" s="154">
        <f t="shared" si="153"/>
        <v>0</v>
      </c>
      <c r="AM529" s="155"/>
      <c r="AN529" s="19">
        <f t="shared" si="154"/>
        <v>0</v>
      </c>
      <c r="AO529" s="118">
        <f>SUMIF('MPG Payment '!E:E,'Shayak Income '!D529,'MPG Payment '!AJ:AJ)</f>
        <v>0</v>
      </c>
      <c r="AP529" s="19">
        <f t="shared" si="155"/>
        <v>0</v>
      </c>
      <c r="AQ529" s="119">
        <f t="shared" si="164"/>
        <v>0</v>
      </c>
      <c r="AR529" s="91" t="s">
        <v>1168</v>
      </c>
      <c r="AS529" s="91">
        <f t="shared" si="156"/>
        <v>0</v>
      </c>
      <c r="AT529" s="118"/>
      <c r="AU529" s="118"/>
      <c r="AV529" s="118"/>
    </row>
    <row r="530" spans="1:48" s="20" customFormat="1" x14ac:dyDescent="0.25">
      <c r="A530" s="17">
        <f>IFERROR(VLOOKUP(D530,'Monthly Deduction'!$I$3:$J$957,2,0),0)</f>
        <v>0</v>
      </c>
      <c r="B530" s="17">
        <f>IFERROR(VLOOKUP(D530,'Monthly Deduction'!$E$3:$F$957,2,0),0)</f>
        <v>0</v>
      </c>
      <c r="C530" s="17">
        <f t="shared" si="157"/>
        <v>0</v>
      </c>
      <c r="D530" s="41">
        <v>10510002</v>
      </c>
      <c r="E530" s="122" t="str">
        <f>VLOOKUP(D530,'MPG Payment '!$E$3:$G$498218,2,0)</f>
        <v>Diyaman</v>
      </c>
      <c r="F530" s="146">
        <f>IFERROR(_xlfn.XLOOKUP(D530,'Monthly Deduction'!$I$3:$I$957,'Monthly Deduction'!$H$3:$H$957),0)</f>
        <v>0</v>
      </c>
      <c r="G530" s="123" t="str">
        <f>VLOOKUP(D530,'MPG Payment '!$E$3:$G$334579,3,0)</f>
        <v>MPG</v>
      </c>
      <c r="H530" s="124" t="str">
        <f>VLOOKUP(D530,'MPG Payment '!$E$3:$H$334579,4,0)</f>
        <v>Direct</v>
      </c>
      <c r="I530" s="88">
        <f>INDEX('MPG Payment '!$C:$C,MATCH('Shayak Income '!D530,'MPG Payment '!E:E,0))</f>
        <v>1014</v>
      </c>
      <c r="J530" s="88" t="str">
        <f>INDEX('MPG Payment '!$D:$D,MATCH('Shayak Income '!D530,'MPG Payment '!E:E,0))</f>
        <v>Dumraon</v>
      </c>
      <c r="K530" s="125" t="s">
        <v>1322</v>
      </c>
      <c r="L530" s="125">
        <v>44664</v>
      </c>
      <c r="M530" s="126">
        <f>SUMIF('MPG Payment '!$E$3:$E$34579,'Shayak Income '!D530,'MPG Payment '!$I$3:$I$34579)</f>
        <v>6102.9</v>
      </c>
      <c r="N530" s="126">
        <f>SUMIF('MPG Payment '!$E$3:$E$34579,'Shayak Income '!D530,'MPG Payment '!$J$3:$J$34579)</f>
        <v>245742.54795933998</v>
      </c>
      <c r="O530" s="126">
        <f t="shared" si="158"/>
        <v>4577.1749999999993</v>
      </c>
      <c r="P530" s="126">
        <f t="shared" si="159"/>
        <v>5797.7549999999992</v>
      </c>
      <c r="Q530" s="126">
        <f>SUMIF('MPG Payment '!$E$3:$E$34579,'Shayak Income '!D530,'MPG Payment '!$S$3:$S$34579)</f>
        <v>1031.0809775279999</v>
      </c>
      <c r="R530" s="126">
        <f t="shared" si="150"/>
        <v>7372.276438780199</v>
      </c>
      <c r="S530" s="126">
        <f t="shared" si="151"/>
        <v>1574.5214387801998</v>
      </c>
      <c r="T530" s="126">
        <f t="shared" si="160"/>
        <v>610.29</v>
      </c>
      <c r="U530" s="127">
        <f>(((IF(K530="New",0,SUMIF('MPG Payment '!$E$3:$E$34579,'Shayak Income '!D530,'MPG Payment '!$AC$3:$AC$34579))))+0)+0</f>
        <v>0</v>
      </c>
      <c r="V530" s="127">
        <f t="shared" si="161"/>
        <v>10796</v>
      </c>
      <c r="W530" s="19">
        <f t="shared" si="165"/>
        <v>0</v>
      </c>
      <c r="X530" s="19">
        <f t="shared" si="166"/>
        <v>0</v>
      </c>
      <c r="Y530" s="128">
        <f>IFERROR(VLOOKUP(D530,'Monthly Deduction'!$M$2:$N$64,2,0),0)</f>
        <v>0</v>
      </c>
      <c r="Z530" s="128">
        <v>0</v>
      </c>
      <c r="AA530" s="126">
        <f>IFERROR(VLOOKUP(D530,'Monthly Deduction'!A:B,2,0),0)</f>
        <v>570.36</v>
      </c>
      <c r="AB530" s="129">
        <f t="shared" si="152"/>
        <v>10226</v>
      </c>
      <c r="AC530" s="130">
        <v>0</v>
      </c>
      <c r="AD530" s="35">
        <f t="shared" si="162"/>
        <v>10226</v>
      </c>
      <c r="AE530" s="166" t="str">
        <f t="shared" si="163"/>
        <v>Release</v>
      </c>
      <c r="AF530" s="127"/>
      <c r="AG530" s="18">
        <v>0</v>
      </c>
      <c r="AH530" s="120"/>
      <c r="AI530" s="238">
        <v>0</v>
      </c>
      <c r="AJ530" s="132"/>
      <c r="AK530" s="151">
        <v>1321.5999999999997</v>
      </c>
      <c r="AL530" s="154">
        <f t="shared" si="153"/>
        <v>0</v>
      </c>
      <c r="AM530" s="155"/>
      <c r="AN530" s="19">
        <f t="shared" si="154"/>
        <v>0</v>
      </c>
      <c r="AO530" s="118">
        <f>SUMIF('MPG Payment '!E:E,'Shayak Income '!D530,'MPG Payment '!AJ:AJ)</f>
        <v>0</v>
      </c>
      <c r="AP530" s="19">
        <f t="shared" si="155"/>
        <v>0</v>
      </c>
      <c r="AQ530" s="119">
        <f t="shared" si="164"/>
        <v>0</v>
      </c>
      <c r="AR530" s="91" t="s">
        <v>1168</v>
      </c>
      <c r="AS530" s="91">
        <f t="shared" si="156"/>
        <v>0</v>
      </c>
      <c r="AT530" s="118"/>
      <c r="AU530" s="118"/>
      <c r="AV530" s="118"/>
    </row>
    <row r="531" spans="1:48" s="20" customFormat="1" x14ac:dyDescent="0.25">
      <c r="A531" s="17">
        <f>IFERROR(VLOOKUP(D531,'Monthly Deduction'!$I$3:$J$957,2,0),0)</f>
        <v>0</v>
      </c>
      <c r="B531" s="17">
        <f>IFERROR(VLOOKUP(D531,'Monthly Deduction'!$E$3:$F$957,2,0),0)</f>
        <v>0</v>
      </c>
      <c r="C531" s="17">
        <f t="shared" si="157"/>
        <v>0</v>
      </c>
      <c r="D531" s="41">
        <v>10510004</v>
      </c>
      <c r="E531" s="122" t="str">
        <f>VLOOKUP(D531,'MPG Payment '!$E$3:$G$498218,2,0)</f>
        <v>HENHA</v>
      </c>
      <c r="F531" s="146">
        <f>IFERROR(_xlfn.XLOOKUP(D531,'Monthly Deduction'!$I$3:$I$957,'Monthly Deduction'!$H$3:$H$957),0)</f>
        <v>0</v>
      </c>
      <c r="G531" s="123" t="str">
        <f>VLOOKUP(D531,'MPG Payment '!$E$3:$G$334579,3,0)</f>
        <v>MPG</v>
      </c>
      <c r="H531" s="124" t="str">
        <f>VLOOKUP(D531,'MPG Payment '!$E$3:$H$334579,4,0)</f>
        <v>Direct</v>
      </c>
      <c r="I531" s="88">
        <f>INDEX('MPG Payment '!$C:$C,MATCH('Shayak Income '!D531,'MPG Payment '!E:E,0))</f>
        <v>1014</v>
      </c>
      <c r="J531" s="88" t="str">
        <f>INDEX('MPG Payment '!$D:$D,MATCH('Shayak Income '!D531,'MPG Payment '!E:E,0))</f>
        <v>Dumraon</v>
      </c>
      <c r="K531" s="125" t="s">
        <v>1322</v>
      </c>
      <c r="L531" s="125">
        <v>45016</v>
      </c>
      <c r="M531" s="126">
        <f>SUMIF('MPG Payment '!$E$3:$E$34579,'Shayak Income '!D531,'MPG Payment '!$I$3:$I$34579)</f>
        <v>9105.2999999999993</v>
      </c>
      <c r="N531" s="126">
        <f>SUMIF('MPG Payment '!$E$3:$E$34579,'Shayak Income '!D531,'MPG Payment '!$J$3:$J$34579)</f>
        <v>338916.18189031002</v>
      </c>
      <c r="O531" s="126">
        <f t="shared" si="158"/>
        <v>6828.9749999999995</v>
      </c>
      <c r="P531" s="126">
        <f t="shared" si="159"/>
        <v>8650.034999999998</v>
      </c>
      <c r="Q531" s="126">
        <f>SUMIF('MPG Payment '!$E$3:$E$34579,'Shayak Income '!D531,'MPG Payment '!$S$3:$S$34579)</f>
        <v>5682.8442591177209</v>
      </c>
      <c r="R531" s="126">
        <f t="shared" si="150"/>
        <v>10167.485456709301</v>
      </c>
      <c r="S531" s="126">
        <f t="shared" si="151"/>
        <v>1517.4504567093027</v>
      </c>
      <c r="T531" s="126">
        <f t="shared" si="160"/>
        <v>910.53</v>
      </c>
      <c r="U531" s="127">
        <f>(((IF(K531="New",0,SUMIF('MPG Payment '!$E$3:$E$34579,'Shayak Income '!D531,'MPG Payment '!$AC$3:$AC$34579))))+0)+0</f>
        <v>0</v>
      </c>
      <c r="V531" s="127">
        <f t="shared" si="161"/>
        <v>20251</v>
      </c>
      <c r="W531" s="19">
        <f t="shared" si="165"/>
        <v>0</v>
      </c>
      <c r="X531" s="19">
        <f t="shared" si="166"/>
        <v>0</v>
      </c>
      <c r="Y531" s="128">
        <f>IFERROR(VLOOKUP(D531,'Monthly Deduction'!$M$2:$N$64,2,0),0)</f>
        <v>0</v>
      </c>
      <c r="Z531" s="128">
        <v>0</v>
      </c>
      <c r="AA531" s="126">
        <f>IFERROR(VLOOKUP(D531,'Monthly Deduction'!A:B,2,0),0)</f>
        <v>404.53999999999996</v>
      </c>
      <c r="AB531" s="129">
        <f t="shared" si="152"/>
        <v>19846</v>
      </c>
      <c r="AC531" s="130">
        <v>0</v>
      </c>
      <c r="AD531" s="35">
        <f t="shared" si="162"/>
        <v>19846</v>
      </c>
      <c r="AE531" s="166" t="str">
        <f t="shared" si="163"/>
        <v>Release</v>
      </c>
      <c r="AF531" s="127"/>
      <c r="AG531" s="18">
        <v>0</v>
      </c>
      <c r="AH531" s="120"/>
      <c r="AI531" s="238">
        <v>0</v>
      </c>
      <c r="AJ531" s="132"/>
      <c r="AK531" s="151">
        <v>2350.3000000000002</v>
      </c>
      <c r="AL531" s="154">
        <f t="shared" si="153"/>
        <v>0</v>
      </c>
      <c r="AM531" s="155"/>
      <c r="AN531" s="19">
        <f t="shared" si="154"/>
        <v>0</v>
      </c>
      <c r="AO531" s="118">
        <f>SUMIF('MPG Payment '!E:E,'Shayak Income '!D531,'MPG Payment '!AJ:AJ)</f>
        <v>0</v>
      </c>
      <c r="AP531" s="19">
        <f t="shared" si="155"/>
        <v>0</v>
      </c>
      <c r="AQ531" s="119">
        <f t="shared" si="164"/>
        <v>0</v>
      </c>
      <c r="AR531" s="91" t="s">
        <v>1168</v>
      </c>
      <c r="AS531" s="91">
        <f t="shared" si="156"/>
        <v>0</v>
      </c>
      <c r="AT531" s="118"/>
      <c r="AU531" s="118"/>
      <c r="AV531" s="118"/>
    </row>
    <row r="532" spans="1:48" s="20" customFormat="1" x14ac:dyDescent="0.25">
      <c r="A532" s="17">
        <f>IFERROR(VLOOKUP(D532,'Monthly Deduction'!$I$3:$J$957,2,0),0)</f>
        <v>0</v>
      </c>
      <c r="B532" s="17">
        <f>IFERROR(VLOOKUP(D532,'Monthly Deduction'!$E$3:$F$957,2,0),0)</f>
        <v>0</v>
      </c>
      <c r="C532" s="17">
        <f t="shared" si="157"/>
        <v>0</v>
      </c>
      <c r="D532" s="41">
        <v>10520006</v>
      </c>
      <c r="E532" s="122" t="str">
        <f>VLOOKUP(D532,'MPG Payment '!$E$3:$G$498218,2,0)</f>
        <v>Suddh Dairy</v>
      </c>
      <c r="F532" s="146">
        <f>IFERROR(_xlfn.XLOOKUP(D532,'Monthly Deduction'!$I$3:$I$957,'Monthly Deduction'!$H$3:$H$957),0)</f>
        <v>0</v>
      </c>
      <c r="G532" s="123" t="str">
        <f>VLOOKUP(D532,'MPG Payment '!$E$3:$G$334579,3,0)</f>
        <v>vlc</v>
      </c>
      <c r="H532" s="124" t="str">
        <f>VLOOKUP(D532,'MPG Payment '!$E$3:$H$334579,4,0)</f>
        <v>Indirect</v>
      </c>
      <c r="I532" s="88">
        <f>INDEX('MPG Payment '!$C:$C,MATCH('Shayak Income '!D532,'MPG Payment '!E:E,0))</f>
        <v>1012</v>
      </c>
      <c r="J532" s="88" t="str">
        <f>INDEX('MPG Payment '!$D:$D,MATCH('Shayak Income '!D532,'MPG Payment '!E:E,0))</f>
        <v>DalsinghSarai</v>
      </c>
      <c r="K532" s="125" t="s">
        <v>1322</v>
      </c>
      <c r="L532" s="125">
        <v>45763</v>
      </c>
      <c r="M532" s="126">
        <f>SUMIF('MPG Payment '!$E$3:$E$34579,'Shayak Income '!D532,'MPG Payment '!$I$3:$I$34579)</f>
        <v>106447</v>
      </c>
      <c r="N532" s="126">
        <f>SUMIF('MPG Payment '!$E$3:$E$34579,'Shayak Income '!D532,'MPG Payment '!$J$3:$J$34579)</f>
        <v>3825128.9933680003</v>
      </c>
      <c r="O532" s="126">
        <f t="shared" si="158"/>
        <v>79835.25</v>
      </c>
      <c r="P532" s="126">
        <f t="shared" si="159"/>
        <v>101124.65</v>
      </c>
      <c r="Q532" s="126">
        <f>SUMIF('MPG Payment '!$E$3:$E$34579,'Shayak Income '!D532,'MPG Payment '!$S$3:$S$34579)</f>
        <v>0</v>
      </c>
      <c r="R532" s="126">
        <f t="shared" si="150"/>
        <v>114753.86980104</v>
      </c>
      <c r="S532" s="126">
        <f t="shared" si="151"/>
        <v>13629.219801040002</v>
      </c>
      <c r="T532" s="126">
        <v>0</v>
      </c>
      <c r="U532" s="127">
        <f>(((IF(K532="New",0,SUMIF('MPG Payment '!$E$3:$E$34579,'Shayak Income '!D532,'MPG Payment '!$AC$3:$AC$34579))))+0)+0</f>
        <v>0</v>
      </c>
      <c r="V532" s="127">
        <f t="shared" si="161"/>
        <v>180960</v>
      </c>
      <c r="W532" s="19">
        <f t="shared" si="165"/>
        <v>0</v>
      </c>
      <c r="X532" s="19">
        <f t="shared" si="166"/>
        <v>0</v>
      </c>
      <c r="Y532" s="128">
        <f>IFERROR(VLOOKUP(D532,'Monthly Deduction'!$M$2:$N$64,2,0),0)</f>
        <v>0</v>
      </c>
      <c r="Z532" s="128">
        <v>0</v>
      </c>
      <c r="AA532" s="126">
        <f>IFERROR(VLOOKUP(D532,'Monthly Deduction'!A:B,2,0),0)</f>
        <v>0</v>
      </c>
      <c r="AB532" s="129">
        <f t="shared" si="152"/>
        <v>180960</v>
      </c>
      <c r="AC532" s="130">
        <f>AB532</f>
        <v>180960</v>
      </c>
      <c r="AD532" s="35">
        <f t="shared" si="162"/>
        <v>0</v>
      </c>
      <c r="AE532" s="166" t="str">
        <f t="shared" si="163"/>
        <v>Yes</v>
      </c>
      <c r="AF532" s="127"/>
      <c r="AG532" s="18">
        <v>0</v>
      </c>
      <c r="AH532" s="132" t="s">
        <v>1654</v>
      </c>
      <c r="AI532" s="238">
        <v>0</v>
      </c>
      <c r="AJ532" s="132"/>
      <c r="AK532" s="151">
        <v>34500</v>
      </c>
      <c r="AL532" s="154">
        <f t="shared" si="153"/>
        <v>0</v>
      </c>
      <c r="AM532" s="155"/>
      <c r="AN532" s="19">
        <f t="shared" si="154"/>
        <v>0</v>
      </c>
      <c r="AO532" s="118">
        <f>SUMIF('MPG Payment '!E:E,'Shayak Income '!D532,'MPG Payment '!AJ:AJ)</f>
        <v>0</v>
      </c>
      <c r="AP532" s="19">
        <f t="shared" si="155"/>
        <v>0</v>
      </c>
      <c r="AQ532" s="119">
        <f t="shared" si="164"/>
        <v>0</v>
      </c>
      <c r="AR532" s="91" t="s">
        <v>1168</v>
      </c>
      <c r="AS532" s="91">
        <f t="shared" si="156"/>
        <v>0</v>
      </c>
      <c r="AT532" s="118"/>
      <c r="AU532" s="118"/>
      <c r="AV532" s="118"/>
    </row>
    <row r="533" spans="1:48" s="20" customFormat="1" x14ac:dyDescent="0.25">
      <c r="A533" s="17">
        <f>IFERROR(VLOOKUP(D533,'Monthly Deduction'!$I$3:$J$957,2,0),0)</f>
        <v>43017.687229891104</v>
      </c>
      <c r="B533" s="17">
        <f>IFERROR(VLOOKUP(D533,'Monthly Deduction'!$E$3:$F$957,2,0),0)</f>
        <v>12800</v>
      </c>
      <c r="C533" s="17">
        <f t="shared" si="157"/>
        <v>55817.687229891104</v>
      </c>
      <c r="D533" s="41">
        <v>10530001</v>
      </c>
      <c r="E533" s="122" t="str">
        <f>VLOOKUP(D533,'MPG Payment '!$E$3:$G$498218,2,0)</f>
        <v>Gomukh CHANDAULI</v>
      </c>
      <c r="F533" s="146">
        <f>IFERROR(_xlfn.XLOOKUP(D533,'Monthly Deduction'!$I$3:$I$957,'Monthly Deduction'!$H$3:$H$957),0)</f>
        <v>0</v>
      </c>
      <c r="G533" s="123" t="str">
        <f>VLOOKUP(D533,'MPG Payment '!$E$3:$G$334579,3,0)</f>
        <v>MPG</v>
      </c>
      <c r="H533" s="124" t="str">
        <f>VLOOKUP(D533,'MPG Payment '!$E$3:$H$334579,4,0)</f>
        <v>Direct</v>
      </c>
      <c r="I533" s="88">
        <f>INDEX('MPG Payment '!$C:$C,MATCH('Shayak Income '!D533,'MPG Payment '!E:E,0))</f>
        <v>1053</v>
      </c>
      <c r="J533" s="88" t="str">
        <f>INDEX('MPG Payment '!$D:$D,MATCH('Shayak Income '!D533,'MPG Payment '!E:E,0))</f>
        <v>Kalyanpur</v>
      </c>
      <c r="K533" s="125" t="s">
        <v>1322</v>
      </c>
      <c r="L533" s="125">
        <v>45696</v>
      </c>
      <c r="M533" s="126">
        <f>SUMIF('MPG Payment '!$E$3:$E$34579,'Shayak Income '!D533,'MPG Payment '!$I$3:$I$34579)</f>
        <v>5013.25</v>
      </c>
      <c r="N533" s="126">
        <f>SUMIF('MPG Payment '!$E$3:$E$34579,'Shayak Income '!D533,'MPG Payment '!$J$3:$J$34579)</f>
        <v>207421.07823645923</v>
      </c>
      <c r="O533" s="126">
        <f t="shared" si="158"/>
        <v>3759.9375</v>
      </c>
      <c r="P533" s="126">
        <f t="shared" si="159"/>
        <v>4762.5874999999996</v>
      </c>
      <c r="Q533" s="126">
        <f>SUMIF('MPG Payment '!$E$3:$E$34579,'Shayak Income '!D533,'MPG Payment '!$S$3:$S$34579)</f>
        <v>1945.7287500633001</v>
      </c>
      <c r="R533" s="126">
        <f t="shared" si="150"/>
        <v>6222.6323470937768</v>
      </c>
      <c r="S533" s="126">
        <f t="shared" si="151"/>
        <v>1460.0448470937772</v>
      </c>
      <c r="T533" s="126">
        <f t="shared" si="160"/>
        <v>501.32500000000005</v>
      </c>
      <c r="U533" s="127">
        <f>(((IF(K533="New",0,SUMIF('MPG Payment '!$E$3:$E$34579,'Shayak Income '!D533,'MPG Payment '!$AC$3:$AC$34579))))+0)+0</f>
        <v>0</v>
      </c>
      <c r="V533" s="127">
        <f t="shared" si="161"/>
        <v>9967</v>
      </c>
      <c r="W533" s="19">
        <f t="shared" si="165"/>
        <v>4148.4215647291849</v>
      </c>
      <c r="X533" s="19">
        <v>0</v>
      </c>
      <c r="Y533" s="128">
        <f>IFERROR(VLOOKUP(D533,'Monthly Deduction'!$M$2:$N$64,2,0),0)</f>
        <v>0</v>
      </c>
      <c r="Z533" s="128">
        <v>0</v>
      </c>
      <c r="AA533" s="126">
        <f>IFERROR(VLOOKUP(D533,'Monthly Deduction'!A:B,2,0),0)</f>
        <v>0</v>
      </c>
      <c r="AB533" s="129">
        <f t="shared" si="152"/>
        <v>5819</v>
      </c>
      <c r="AC533" s="130">
        <v>0</v>
      </c>
      <c r="AD533" s="35">
        <f t="shared" si="162"/>
        <v>5819</v>
      </c>
      <c r="AE533" s="166" t="str">
        <f t="shared" si="163"/>
        <v>Release</v>
      </c>
      <c r="AF533" s="127"/>
      <c r="AG533" s="18">
        <v>0</v>
      </c>
      <c r="AH533" s="120"/>
      <c r="AI533" s="238">
        <v>0</v>
      </c>
      <c r="AJ533" s="132"/>
      <c r="AK533" s="151">
        <v>1449.4000000000003</v>
      </c>
      <c r="AL533" s="154">
        <f t="shared" si="153"/>
        <v>0</v>
      </c>
      <c r="AM533" s="155"/>
      <c r="AN533" s="19">
        <f t="shared" si="154"/>
        <v>4148.4215647291849</v>
      </c>
      <c r="AO533" s="118">
        <f>SUMIF('MPG Payment '!E:E,'Shayak Income '!D533,'MPG Payment '!AJ:AJ)</f>
        <v>0</v>
      </c>
      <c r="AP533" s="19">
        <f t="shared" si="155"/>
        <v>4148.4215647291849</v>
      </c>
      <c r="AQ533" s="119">
        <f t="shared" si="164"/>
        <v>4148.4215647291849</v>
      </c>
      <c r="AR533" s="91" t="s">
        <v>1168</v>
      </c>
      <c r="AS533" s="91">
        <f t="shared" si="156"/>
        <v>12800</v>
      </c>
      <c r="AT533" s="118"/>
      <c r="AU533" s="118"/>
      <c r="AV533" s="118"/>
    </row>
    <row r="534" spans="1:48" s="20" customFormat="1" x14ac:dyDescent="0.25">
      <c r="A534" s="17">
        <f>IFERROR(VLOOKUP(D534,'Monthly Deduction'!$I$3:$J$957,2,0),0)</f>
        <v>25817.484854811162</v>
      </c>
      <c r="B534" s="17">
        <f>IFERROR(VLOOKUP(D534,'Monthly Deduction'!$E$3:$F$957,2,0),0)</f>
        <v>16000</v>
      </c>
      <c r="C534" s="17">
        <f t="shared" si="157"/>
        <v>41817.484854811162</v>
      </c>
      <c r="D534" s="41">
        <v>10530002</v>
      </c>
      <c r="E534" s="122" t="str">
        <f>VLOOKUP(D534,'MPG Payment '!$E$3:$G$498218,2,0)</f>
        <v>GOMUKH HATHA</v>
      </c>
      <c r="F534" s="146">
        <f>IFERROR(_xlfn.XLOOKUP(D534,'Monthly Deduction'!$I$3:$I$957,'Monthly Deduction'!$H$3:$H$957),0)</f>
        <v>0</v>
      </c>
      <c r="G534" s="123" t="str">
        <f>VLOOKUP(D534,'MPG Payment '!$E$3:$G$334579,3,0)</f>
        <v>MPG</v>
      </c>
      <c r="H534" s="124" t="str">
        <f>VLOOKUP(D534,'MPG Payment '!$E$3:$H$334579,4,0)</f>
        <v>Direct</v>
      </c>
      <c r="I534" s="88">
        <f>INDEX('MPG Payment '!$C:$C,MATCH('Shayak Income '!D534,'MPG Payment '!E:E,0))</f>
        <v>1053</v>
      </c>
      <c r="J534" s="88" t="str">
        <f>INDEX('MPG Payment '!$D:$D,MATCH('Shayak Income '!D534,'MPG Payment '!E:E,0))</f>
        <v>Kalyanpur</v>
      </c>
      <c r="K534" s="125" t="s">
        <v>1322</v>
      </c>
      <c r="L534" s="125">
        <v>45696</v>
      </c>
      <c r="M534" s="126">
        <f>SUMIF('MPG Payment '!$E$3:$E$34579,'Shayak Income '!D534,'MPG Payment '!$I$3:$I$34579)</f>
        <v>5342.4000000000005</v>
      </c>
      <c r="N534" s="126">
        <f>SUMIF('MPG Payment '!$E$3:$E$34579,'Shayak Income '!D534,'MPG Payment '!$J$3:$J$34579)</f>
        <v>220511.59928766181</v>
      </c>
      <c r="O534" s="126">
        <f t="shared" si="158"/>
        <v>4006.8</v>
      </c>
      <c r="P534" s="126">
        <f t="shared" si="159"/>
        <v>5075.2800000000007</v>
      </c>
      <c r="Q534" s="126">
        <f>SUMIF('MPG Payment '!$E$3:$E$34579,'Shayak Income '!D534,'MPG Payment '!$S$3:$S$34579)</f>
        <v>2526.5752447290001</v>
      </c>
      <c r="R534" s="126">
        <f t="shared" si="150"/>
        <v>6615.347978629854</v>
      </c>
      <c r="S534" s="126">
        <f t="shared" si="151"/>
        <v>1540.0679786298533</v>
      </c>
      <c r="T534" s="126">
        <f t="shared" si="160"/>
        <v>534.24000000000012</v>
      </c>
      <c r="U534" s="127">
        <f>(((IF(K534="New",0,SUMIF('MPG Payment '!$E$3:$E$34579,'Shayak Income '!D534,'MPG Payment '!$AC$3:$AC$34579))))+0)+0</f>
        <v>0</v>
      </c>
      <c r="V534" s="127">
        <f t="shared" si="161"/>
        <v>11074</v>
      </c>
      <c r="W534" s="19">
        <f t="shared" si="165"/>
        <v>4410.2319857532366</v>
      </c>
      <c r="X534" s="19">
        <v>0</v>
      </c>
      <c r="Y534" s="128">
        <f>IFERROR(VLOOKUP(D534,'Monthly Deduction'!$M$2:$N$64,2,0),0)</f>
        <v>0</v>
      </c>
      <c r="Z534" s="128">
        <v>0</v>
      </c>
      <c r="AA534" s="126">
        <f>IFERROR(VLOOKUP(D534,'Monthly Deduction'!A:B,2,0),0)</f>
        <v>0</v>
      </c>
      <c r="AB534" s="129">
        <f t="shared" si="152"/>
        <v>6664</v>
      </c>
      <c r="AC534" s="130">
        <v>0</v>
      </c>
      <c r="AD534" s="35">
        <f t="shared" si="162"/>
        <v>6664</v>
      </c>
      <c r="AE534" s="166" t="str">
        <f t="shared" si="163"/>
        <v>Release</v>
      </c>
      <c r="AF534" s="127"/>
      <c r="AG534" s="18">
        <v>0</v>
      </c>
      <c r="AH534" s="120"/>
      <c r="AI534" s="238">
        <v>0</v>
      </c>
      <c r="AJ534" s="132"/>
      <c r="AK534" s="151">
        <v>1253.95</v>
      </c>
      <c r="AL534" s="154">
        <f t="shared" si="153"/>
        <v>0</v>
      </c>
      <c r="AM534" s="155"/>
      <c r="AN534" s="19">
        <f t="shared" si="154"/>
        <v>4410.2319857532366</v>
      </c>
      <c r="AO534" s="118">
        <f>SUMIF('MPG Payment '!E:E,'Shayak Income '!D534,'MPG Payment '!AJ:AJ)</f>
        <v>0</v>
      </c>
      <c r="AP534" s="19">
        <f t="shared" si="155"/>
        <v>4410.2319857532366</v>
      </c>
      <c r="AQ534" s="119">
        <f t="shared" si="164"/>
        <v>4410.2319857532366</v>
      </c>
      <c r="AR534" s="91" t="s">
        <v>1168</v>
      </c>
      <c r="AS534" s="91">
        <f t="shared" si="156"/>
        <v>16000</v>
      </c>
      <c r="AT534" s="118"/>
      <c r="AU534" s="118"/>
      <c r="AV534" s="118"/>
    </row>
    <row r="535" spans="1:48" s="20" customFormat="1" x14ac:dyDescent="0.25">
      <c r="A535" s="17">
        <f>IFERROR(VLOOKUP(D535,'Monthly Deduction'!$I$3:$J$957,2,0),0)</f>
        <v>23141.551383928614</v>
      </c>
      <c r="B535" s="17">
        <f>IFERROR(VLOOKUP(D535,'Monthly Deduction'!$E$3:$F$957,2,0),0)</f>
        <v>16000</v>
      </c>
      <c r="C535" s="17">
        <f t="shared" si="157"/>
        <v>39141.551383928614</v>
      </c>
      <c r="D535" s="41">
        <v>10530003</v>
      </c>
      <c r="E535" s="122" t="str">
        <f>VLOOKUP(D535,'MPG Payment '!$E$3:$G$498218,2,0)</f>
        <v>GOMUKH VADEYA</v>
      </c>
      <c r="F535" s="146">
        <f>IFERROR(_xlfn.XLOOKUP(D535,'Monthly Deduction'!$I$3:$I$957,'Monthly Deduction'!$H$3:$H$957),0)</f>
        <v>0</v>
      </c>
      <c r="G535" s="123" t="str">
        <f>VLOOKUP(D535,'MPG Payment '!$E$3:$G$334579,3,0)</f>
        <v>MPG</v>
      </c>
      <c r="H535" s="124" t="str">
        <f>VLOOKUP(D535,'MPG Payment '!$E$3:$H$334579,4,0)</f>
        <v>Direct</v>
      </c>
      <c r="I535" s="88">
        <f>INDEX('MPG Payment '!$C:$C,MATCH('Shayak Income '!D535,'MPG Payment '!E:E,0))</f>
        <v>1053</v>
      </c>
      <c r="J535" s="88" t="str">
        <f>INDEX('MPG Payment '!$D:$D,MATCH('Shayak Income '!D535,'MPG Payment '!E:E,0))</f>
        <v>Kalyanpur</v>
      </c>
      <c r="K535" s="125" t="s">
        <v>1322</v>
      </c>
      <c r="L535" s="125">
        <v>45696</v>
      </c>
      <c r="M535" s="126">
        <f>SUMIF('MPG Payment '!$E$3:$E$34579,'Shayak Income '!D535,'MPG Payment '!$I$3:$I$34579)</f>
        <v>2402.65</v>
      </c>
      <c r="N535" s="126">
        <f>SUMIF('MPG Payment '!$E$3:$E$34579,'Shayak Income '!D535,'MPG Payment '!$J$3:$J$34579)</f>
        <v>102801.34648414161</v>
      </c>
      <c r="O535" s="126">
        <f t="shared" si="158"/>
        <v>1801.9875000000002</v>
      </c>
      <c r="P535" s="126">
        <f t="shared" si="159"/>
        <v>2282.5174999999999</v>
      </c>
      <c r="Q535" s="126">
        <f>SUMIF('MPG Payment '!$E$3:$E$34579,'Shayak Income '!D535,'MPG Payment '!$S$3:$S$34579)</f>
        <v>961.40463511237976</v>
      </c>
      <c r="R535" s="126">
        <f t="shared" si="150"/>
        <v>3084.0403945242483</v>
      </c>
      <c r="S535" s="126">
        <f t="shared" si="151"/>
        <v>801.52289452424839</v>
      </c>
      <c r="T535" s="126">
        <f t="shared" si="160"/>
        <v>240.26500000000001</v>
      </c>
      <c r="U535" s="127">
        <f>(((IF(K535="New",0,SUMIF('MPG Payment '!$E$3:$E$34579,'Shayak Income '!D535,'MPG Payment '!$AC$3:$AC$34579))))+0)+0</f>
        <v>347.84357431356648</v>
      </c>
      <c r="V535" s="127">
        <f t="shared" si="161"/>
        <v>4458</v>
      </c>
      <c r="W535" s="19">
        <f t="shared" si="165"/>
        <v>2056.0269296828324</v>
      </c>
      <c r="X535" s="19">
        <v>0</v>
      </c>
      <c r="Y535" s="128">
        <f>IFERROR(VLOOKUP(D535,'Monthly Deduction'!$M$2:$N$64,2,0),0)</f>
        <v>0</v>
      </c>
      <c r="Z535" s="128">
        <v>0</v>
      </c>
      <c r="AA535" s="126">
        <f>IFERROR(VLOOKUP(D535,'Monthly Deduction'!A:B,2,0),0)</f>
        <v>0</v>
      </c>
      <c r="AB535" s="129">
        <f t="shared" si="152"/>
        <v>2402</v>
      </c>
      <c r="AC535" s="130">
        <v>0</v>
      </c>
      <c r="AD535" s="35">
        <f t="shared" si="162"/>
        <v>2402</v>
      </c>
      <c r="AE535" s="166" t="str">
        <f t="shared" si="163"/>
        <v>Release</v>
      </c>
      <c r="AF535" s="127"/>
      <c r="AG535" s="18">
        <v>0</v>
      </c>
      <c r="AH535" s="132"/>
      <c r="AI535" s="238">
        <v>0</v>
      </c>
      <c r="AJ535" s="132"/>
      <c r="AK535" s="151">
        <v>502.05</v>
      </c>
      <c r="AL535" s="154">
        <f t="shared" si="153"/>
        <v>0</v>
      </c>
      <c r="AM535" s="155"/>
      <c r="AN535" s="19">
        <f t="shared" si="154"/>
        <v>2056.0269296828324</v>
      </c>
      <c r="AO535" s="118">
        <f>SUMIF('MPG Payment '!E:E,'Shayak Income '!D535,'MPG Payment '!AJ:AJ)</f>
        <v>0</v>
      </c>
      <c r="AP535" s="19">
        <f t="shared" si="155"/>
        <v>2056.0269296828324</v>
      </c>
      <c r="AQ535" s="119">
        <f t="shared" si="164"/>
        <v>2056.0269296828324</v>
      </c>
      <c r="AR535" s="91" t="s">
        <v>1168</v>
      </c>
      <c r="AS535" s="91">
        <f t="shared" si="156"/>
        <v>16000</v>
      </c>
      <c r="AT535" s="118"/>
      <c r="AU535" s="118"/>
      <c r="AV535" s="118"/>
    </row>
    <row r="536" spans="1:48" s="20" customFormat="1" x14ac:dyDescent="0.25">
      <c r="A536" s="17">
        <f>IFERROR(VLOOKUP(D536,'Monthly Deduction'!$I$3:$J$957,2,0),0)</f>
        <v>57740.628753038036</v>
      </c>
      <c r="B536" s="17">
        <f>IFERROR(VLOOKUP(D536,'Monthly Deduction'!$E$3:$F$957,2,0),0)</f>
        <v>16000</v>
      </c>
      <c r="C536" s="17">
        <f t="shared" si="157"/>
        <v>73740.628753038036</v>
      </c>
      <c r="D536" s="41">
        <v>10530005</v>
      </c>
      <c r="E536" s="122" t="str">
        <f>VLOOKUP(D536,'MPG Payment '!$E$3:$G$498218,2,0)</f>
        <v>GOMUKH CHANDPURA</v>
      </c>
      <c r="F536" s="146">
        <f>IFERROR(_xlfn.XLOOKUP(D536,'Monthly Deduction'!$I$3:$I$957,'Monthly Deduction'!$H$3:$H$957),0)</f>
        <v>0</v>
      </c>
      <c r="G536" s="123" t="str">
        <f>VLOOKUP(D536,'MPG Payment '!$E$3:$G$334579,3,0)</f>
        <v>MPG</v>
      </c>
      <c r="H536" s="124" t="str">
        <f>VLOOKUP(D536,'MPG Payment '!$E$3:$H$334579,4,0)</f>
        <v>Direct</v>
      </c>
      <c r="I536" s="88">
        <f>INDEX('MPG Payment '!$C:$C,MATCH('Shayak Income '!D536,'MPG Payment '!E:E,0))</f>
        <v>1053</v>
      </c>
      <c r="J536" s="88" t="str">
        <f>INDEX('MPG Payment '!$D:$D,MATCH('Shayak Income '!D536,'MPG Payment '!E:E,0))</f>
        <v>Kalyanpur</v>
      </c>
      <c r="K536" s="125" t="s">
        <v>1322</v>
      </c>
      <c r="L536" s="125">
        <v>45696</v>
      </c>
      <c r="M536" s="126">
        <f>SUMIF('MPG Payment '!$E$3:$E$34579,'Shayak Income '!D536,'MPG Payment '!$I$3:$I$34579)</f>
        <v>1830.3000000000002</v>
      </c>
      <c r="N536" s="126">
        <f>SUMIF('MPG Payment '!$E$3:$E$34579,'Shayak Income '!D536,'MPG Payment '!$J$3:$J$34579)</f>
        <v>81202.409939276491</v>
      </c>
      <c r="O536" s="126">
        <f t="shared" si="158"/>
        <v>1372.7250000000001</v>
      </c>
      <c r="P536" s="126">
        <f t="shared" si="159"/>
        <v>1738.7850000000001</v>
      </c>
      <c r="Q536" s="126">
        <f>SUMIF('MPG Payment '!$E$3:$E$34579,'Shayak Income '!D536,'MPG Payment '!$S$3:$S$34579)</f>
        <v>1434.9466369171382</v>
      </c>
      <c r="R536" s="126">
        <f t="shared" si="150"/>
        <v>2436.0722981782947</v>
      </c>
      <c r="S536" s="126">
        <f t="shared" si="151"/>
        <v>697.28729817829458</v>
      </c>
      <c r="T536" s="126">
        <f t="shared" si="160"/>
        <v>183.03000000000003</v>
      </c>
      <c r="U536" s="127">
        <f>(((IF(K536="New",0,SUMIF('MPG Payment '!$E$3:$E$34579,'Shayak Income '!D536,'MPG Payment '!$AC$3:$AC$34579))))+0)+0</f>
        <v>868.45577986940168</v>
      </c>
      <c r="V536" s="127">
        <f t="shared" si="161"/>
        <v>3495</v>
      </c>
      <c r="W536" s="19">
        <f t="shared" si="165"/>
        <v>1861</v>
      </c>
      <c r="X536" s="19">
        <v>0</v>
      </c>
      <c r="Y536" s="128">
        <f>IFERROR(VLOOKUP(D536,'Monthly Deduction'!$M$2:$N$64,2,0),0)</f>
        <v>0</v>
      </c>
      <c r="Z536" s="128">
        <v>0</v>
      </c>
      <c r="AA536" s="126">
        <f>IFERROR(VLOOKUP(D536,'Monthly Deduction'!A:B,2,0),0)</f>
        <v>0</v>
      </c>
      <c r="AB536" s="129">
        <f t="shared" si="152"/>
        <v>1634</v>
      </c>
      <c r="AC536" s="130">
        <v>0</v>
      </c>
      <c r="AD536" s="35">
        <f t="shared" si="162"/>
        <v>1634</v>
      </c>
      <c r="AE536" s="166" t="str">
        <f t="shared" si="163"/>
        <v>Release</v>
      </c>
      <c r="AF536" s="127"/>
      <c r="AG536" s="127">
        <v>0</v>
      </c>
      <c r="AH536" s="132"/>
      <c r="AI536" s="238">
        <v>0</v>
      </c>
      <c r="AJ536" s="132"/>
      <c r="AK536" s="151">
        <v>549.80000000000007</v>
      </c>
      <c r="AL536" s="154">
        <f t="shared" si="153"/>
        <v>0</v>
      </c>
      <c r="AM536" s="155"/>
      <c r="AN536" s="19">
        <f t="shared" si="154"/>
        <v>1861</v>
      </c>
      <c r="AO536" s="118">
        <f>SUMIF('MPG Payment '!E:E,'Shayak Income '!D536,'MPG Payment '!AJ:AJ)</f>
        <v>0</v>
      </c>
      <c r="AP536" s="19">
        <f t="shared" si="155"/>
        <v>1861</v>
      </c>
      <c r="AQ536" s="119">
        <f t="shared" si="164"/>
        <v>1861</v>
      </c>
      <c r="AR536" s="91"/>
      <c r="AS536" s="91">
        <f t="shared" si="156"/>
        <v>16000</v>
      </c>
      <c r="AT536" s="118"/>
      <c r="AU536" s="118"/>
      <c r="AV536" s="118"/>
    </row>
    <row r="537" spans="1:48" s="20" customFormat="1" x14ac:dyDescent="0.25">
      <c r="A537" s="17">
        <f>IFERROR(VLOOKUP(D537,'Monthly Deduction'!$I$3:$J$957,2,0),0)</f>
        <v>37197.311179297365</v>
      </c>
      <c r="B537" s="17">
        <f>IFERROR(VLOOKUP(D537,'Monthly Deduction'!$E$3:$F$957,2,0),0)</f>
        <v>12800</v>
      </c>
      <c r="C537" s="17">
        <f t="shared" si="157"/>
        <v>49997.311179297365</v>
      </c>
      <c r="D537" s="41">
        <v>10530006</v>
      </c>
      <c r="E537" s="122" t="str">
        <f>VLOOKUP(D537,'MPG Payment '!$E$3:$G$498218,2,0)</f>
        <v>GOMUKH BARGAMA</v>
      </c>
      <c r="F537" s="146">
        <f>IFERROR(_xlfn.XLOOKUP(D537,'Monthly Deduction'!$I$3:$I$957,'Monthly Deduction'!$H$3:$H$957),0)</f>
        <v>0</v>
      </c>
      <c r="G537" s="123" t="str">
        <f>VLOOKUP(D537,'MPG Payment '!$E$3:$G$334579,3,0)</f>
        <v>MPG</v>
      </c>
      <c r="H537" s="124" t="str">
        <f>VLOOKUP(D537,'MPG Payment '!$E$3:$H$334579,4,0)</f>
        <v>Direct</v>
      </c>
      <c r="I537" s="88">
        <f>INDEX('MPG Payment '!$C:$C,MATCH('Shayak Income '!D537,'MPG Payment '!E:E,0))</f>
        <v>1053</v>
      </c>
      <c r="J537" s="88" t="str">
        <f>INDEX('MPG Payment '!$D:$D,MATCH('Shayak Income '!D537,'MPG Payment '!E:E,0))</f>
        <v>Kalyanpur</v>
      </c>
      <c r="K537" s="125" t="s">
        <v>1322</v>
      </c>
      <c r="L537" s="125">
        <v>45696</v>
      </c>
      <c r="M537" s="126">
        <f>SUMIF('MPG Payment '!$E$3:$E$34579,'Shayak Income '!D537,'MPG Payment '!$I$3:$I$34579)</f>
        <v>4752.05</v>
      </c>
      <c r="N537" s="126">
        <f>SUMIF('MPG Payment '!$E$3:$E$34579,'Shayak Income '!D537,'MPG Payment '!$J$3:$J$34579)</f>
        <v>188887.02415571915</v>
      </c>
      <c r="O537" s="126">
        <f t="shared" si="158"/>
        <v>3564.0375000000004</v>
      </c>
      <c r="P537" s="126">
        <f t="shared" si="159"/>
        <v>4514.4475000000002</v>
      </c>
      <c r="Q537" s="126">
        <f>SUMIF('MPG Payment '!$E$3:$E$34579,'Shayak Income '!D537,'MPG Payment '!$S$3:$S$34579)</f>
        <v>6821.0446822205004</v>
      </c>
      <c r="R537" s="126">
        <f t="shared" si="150"/>
        <v>5666.6107246715746</v>
      </c>
      <c r="S537" s="126">
        <f t="shared" si="151"/>
        <v>1152.1632246715744</v>
      </c>
      <c r="T537" s="126">
        <f t="shared" si="160"/>
        <v>475.20500000000004</v>
      </c>
      <c r="U537" s="127">
        <f>(((IF(K537="New",0,SUMIF('MPG Payment '!$E$3:$E$34579,'Shayak Income '!D537,'MPG Payment '!$AC$3:$AC$34579))))+0)+0</f>
        <v>0</v>
      </c>
      <c r="V537" s="127">
        <f t="shared" si="161"/>
        <v>14424</v>
      </c>
      <c r="W537" s="19">
        <f t="shared" si="165"/>
        <v>3777.7404831143831</v>
      </c>
      <c r="X537" s="19">
        <v>0</v>
      </c>
      <c r="Y537" s="128">
        <f>IFERROR(VLOOKUP(D537,'Monthly Deduction'!$M$2:$N$64,2,0),0)</f>
        <v>0</v>
      </c>
      <c r="Z537" s="128">
        <v>0</v>
      </c>
      <c r="AA537" s="126">
        <f>IFERROR(VLOOKUP(D537,'Monthly Deduction'!A:B,2,0),0)</f>
        <v>0</v>
      </c>
      <c r="AB537" s="129">
        <f t="shared" si="152"/>
        <v>10646</v>
      </c>
      <c r="AC537" s="130">
        <v>0</v>
      </c>
      <c r="AD537" s="35">
        <f t="shared" si="162"/>
        <v>10646</v>
      </c>
      <c r="AE537" s="166" t="str">
        <f t="shared" si="163"/>
        <v>Release</v>
      </c>
      <c r="AF537" s="127"/>
      <c r="AG537" s="18">
        <v>0</v>
      </c>
      <c r="AH537" s="120"/>
      <c r="AI537" s="238">
        <v>0</v>
      </c>
      <c r="AJ537" s="132"/>
      <c r="AK537" s="151">
        <v>1193.8499999999999</v>
      </c>
      <c r="AL537" s="154">
        <f t="shared" si="153"/>
        <v>0</v>
      </c>
      <c r="AM537" s="155"/>
      <c r="AN537" s="19">
        <f t="shared" si="154"/>
        <v>3777.7404831143831</v>
      </c>
      <c r="AO537" s="118">
        <f>SUMIF('MPG Payment '!E:E,'Shayak Income '!D537,'MPG Payment '!AJ:AJ)</f>
        <v>0</v>
      </c>
      <c r="AP537" s="19">
        <f t="shared" si="155"/>
        <v>3777.7404831143831</v>
      </c>
      <c r="AQ537" s="119">
        <f t="shared" si="164"/>
        <v>3777.7404831143831</v>
      </c>
      <c r="AR537" s="91" t="s">
        <v>1168</v>
      </c>
      <c r="AS537" s="91">
        <f t="shared" si="156"/>
        <v>12800</v>
      </c>
      <c r="AT537" s="118"/>
      <c r="AU537" s="118"/>
      <c r="AV537" s="118"/>
    </row>
    <row r="538" spans="1:48" s="20" customFormat="1" x14ac:dyDescent="0.25">
      <c r="A538" s="17">
        <f>IFERROR(VLOOKUP(D538,'Monthly Deduction'!$I$3:$J$957,2,0),0)</f>
        <v>61251.577151588266</v>
      </c>
      <c r="B538" s="17">
        <f>IFERROR(VLOOKUP(D538,'Monthly Deduction'!$E$3:$F$957,2,0),0)</f>
        <v>12800</v>
      </c>
      <c r="C538" s="17">
        <f t="shared" si="157"/>
        <v>74051.577151588266</v>
      </c>
      <c r="D538" s="41">
        <v>10530007</v>
      </c>
      <c r="E538" s="122" t="str">
        <f>VLOOKUP(D538,'MPG Payment '!$E$3:$G$498218,2,0)</f>
        <v>Gomukh Gograha Tola</v>
      </c>
      <c r="F538" s="146">
        <f>IFERROR(_xlfn.XLOOKUP(D538,'Monthly Deduction'!$I$3:$I$957,'Monthly Deduction'!$H$3:$H$957),0)</f>
        <v>0</v>
      </c>
      <c r="G538" s="123" t="str">
        <f>VLOOKUP(D538,'MPG Payment '!$E$3:$G$334579,3,0)</f>
        <v>MPG</v>
      </c>
      <c r="H538" s="124" t="str">
        <f>VLOOKUP(D538,'MPG Payment '!$E$3:$H$334579,4,0)</f>
        <v>Direct</v>
      </c>
      <c r="I538" s="88">
        <f>INDEX('MPG Payment '!$C:$C,MATCH('Shayak Income '!D538,'MPG Payment '!E:E,0))</f>
        <v>1053</v>
      </c>
      <c r="J538" s="88" t="str">
        <f>INDEX('MPG Payment '!$D:$D,MATCH('Shayak Income '!D538,'MPG Payment '!E:E,0))</f>
        <v>Kalyanpur</v>
      </c>
      <c r="K538" s="125" t="s">
        <v>1322</v>
      </c>
      <c r="L538" s="125">
        <v>45696</v>
      </c>
      <c r="M538" s="126">
        <f>SUMIF('MPG Payment '!$E$3:$E$34579,'Shayak Income '!D538,'MPG Payment '!$I$3:$I$34579)</f>
        <v>1688.4000000000003</v>
      </c>
      <c r="N538" s="126">
        <f>SUMIF('MPG Payment '!$E$3:$E$34579,'Shayak Income '!D538,'MPG Payment '!$J$3:$J$34579)</f>
        <v>74814.653842441796</v>
      </c>
      <c r="O538" s="126">
        <f t="shared" si="158"/>
        <v>1266.3000000000002</v>
      </c>
      <c r="P538" s="126">
        <f t="shared" si="159"/>
        <v>1603.9800000000002</v>
      </c>
      <c r="Q538" s="126">
        <f>SUMIF('MPG Payment '!$E$3:$E$34579,'Shayak Income '!D538,'MPG Payment '!$S$3:$S$34579)</f>
        <v>460.25320420645005</v>
      </c>
      <c r="R538" s="126">
        <f t="shared" si="150"/>
        <v>2244.4396152732538</v>
      </c>
      <c r="S538" s="126">
        <f t="shared" si="151"/>
        <v>640.45961527325358</v>
      </c>
      <c r="T538" s="126">
        <f t="shared" si="160"/>
        <v>168.84000000000003</v>
      </c>
      <c r="U538" s="127">
        <f>(((IF(K538="New",0,SUMIF('MPG Payment '!$E$3:$E$34579,'Shayak Income '!D538,'MPG Payment '!$AC$3:$AC$34579))))+0)+0</f>
        <v>985.15861902107235</v>
      </c>
      <c r="V538" s="127">
        <f t="shared" si="161"/>
        <v>2177</v>
      </c>
      <c r="W538" s="19">
        <f t="shared" si="165"/>
        <v>1861</v>
      </c>
      <c r="X538" s="19">
        <v>0</v>
      </c>
      <c r="Y538" s="128">
        <f>IFERROR(VLOOKUP(D538,'Monthly Deduction'!$M$2:$N$64,2,0),0)</f>
        <v>0</v>
      </c>
      <c r="Z538" s="128">
        <v>0</v>
      </c>
      <c r="AA538" s="126">
        <f>IFERROR(VLOOKUP(D538,'Monthly Deduction'!A:B,2,0),0)</f>
        <v>0</v>
      </c>
      <c r="AB538" s="129">
        <f t="shared" si="152"/>
        <v>316</v>
      </c>
      <c r="AC538" s="130">
        <v>0</v>
      </c>
      <c r="AD538" s="35">
        <f t="shared" si="162"/>
        <v>316</v>
      </c>
      <c r="AE538" s="166" t="str">
        <f t="shared" si="163"/>
        <v>Release</v>
      </c>
      <c r="AF538" s="127"/>
      <c r="AG538" s="18">
        <v>0</v>
      </c>
      <c r="AH538" s="120"/>
      <c r="AI538" s="238">
        <v>0</v>
      </c>
      <c r="AJ538" s="132"/>
      <c r="AK538" s="151">
        <v>358.5</v>
      </c>
      <c r="AL538" s="154">
        <f t="shared" si="153"/>
        <v>0</v>
      </c>
      <c r="AM538" s="155"/>
      <c r="AN538" s="19">
        <f t="shared" si="154"/>
        <v>1861</v>
      </c>
      <c r="AO538" s="118">
        <f>SUMIF('MPG Payment '!E:E,'Shayak Income '!D538,'MPG Payment '!AJ:AJ)</f>
        <v>0</v>
      </c>
      <c r="AP538" s="19">
        <f t="shared" si="155"/>
        <v>1861</v>
      </c>
      <c r="AQ538" s="119">
        <f t="shared" si="164"/>
        <v>1861</v>
      </c>
      <c r="AR538" s="91" t="s">
        <v>1168</v>
      </c>
      <c r="AS538" s="91">
        <f t="shared" si="156"/>
        <v>12800</v>
      </c>
      <c r="AT538" s="118"/>
      <c r="AU538" s="118"/>
      <c r="AV538" s="118"/>
    </row>
    <row r="539" spans="1:48" s="20" customFormat="1" x14ac:dyDescent="0.25">
      <c r="A539" s="17">
        <f>IFERROR(VLOOKUP(D539,'Monthly Deduction'!$I$3:$J$957,2,0),0)</f>
        <v>66107.257347303326</v>
      </c>
      <c r="B539" s="17">
        <f>IFERROR(VLOOKUP(D539,'Monthly Deduction'!$E$3:$F$957,2,0),0)</f>
        <v>12800</v>
      </c>
      <c r="C539" s="17">
        <f t="shared" si="157"/>
        <v>78907.257347303326</v>
      </c>
      <c r="D539" s="41">
        <v>10530008</v>
      </c>
      <c r="E539" s="122" t="str">
        <f>VLOOKUP(D539,'MPG Payment '!$E$3:$G$498218,2,0)</f>
        <v>Gomukh Patsara</v>
      </c>
      <c r="F539" s="146">
        <f>IFERROR(_xlfn.XLOOKUP(D539,'Monthly Deduction'!$I$3:$I$957,'Monthly Deduction'!$H$3:$H$957),0)</f>
        <v>0</v>
      </c>
      <c r="G539" s="123" t="str">
        <f>VLOOKUP(D539,'MPG Payment '!$E$3:$G$334579,3,0)</f>
        <v>MPG</v>
      </c>
      <c r="H539" s="124" t="str">
        <f>VLOOKUP(D539,'MPG Payment '!$E$3:$H$334579,4,0)</f>
        <v>Direct</v>
      </c>
      <c r="I539" s="88">
        <f>INDEX('MPG Payment '!$C:$C,MATCH('Shayak Income '!D539,'MPG Payment '!E:E,0))</f>
        <v>1053</v>
      </c>
      <c r="J539" s="88" t="str">
        <f>INDEX('MPG Payment '!$D:$D,MATCH('Shayak Income '!D539,'MPG Payment '!E:E,0))</f>
        <v>Kalyanpur</v>
      </c>
      <c r="K539" s="125" t="s">
        <v>1322</v>
      </c>
      <c r="L539" s="125">
        <v>45696</v>
      </c>
      <c r="M539" s="126">
        <f>SUMIF('MPG Payment '!$E$3:$E$34579,'Shayak Income '!D539,'MPG Payment '!$I$3:$I$34579)</f>
        <v>1373.1999999999998</v>
      </c>
      <c r="N539" s="126">
        <f>SUMIF('MPG Payment '!$E$3:$E$34579,'Shayak Income '!D539,'MPG Payment '!$J$3:$J$34579)</f>
        <v>67153.0381226584</v>
      </c>
      <c r="O539" s="126">
        <f t="shared" si="158"/>
        <v>1029.8999999999999</v>
      </c>
      <c r="P539" s="126">
        <f t="shared" si="159"/>
        <v>1304.5399999999997</v>
      </c>
      <c r="Q539" s="126">
        <f>SUMIF('MPG Payment '!$E$3:$E$34579,'Shayak Income '!D539,'MPG Payment '!$S$3:$S$34579)</f>
        <v>647.45801265106206</v>
      </c>
      <c r="R539" s="126">
        <f t="shared" si="150"/>
        <v>2014.5911436797519</v>
      </c>
      <c r="S539" s="126">
        <f t="shared" si="151"/>
        <v>710.05114367975216</v>
      </c>
      <c r="T539" s="126">
        <f t="shared" si="160"/>
        <v>137.32</v>
      </c>
      <c r="U539" s="127">
        <f>(((IF(K539="New",0,SUMIF('MPG Payment '!$E$3:$E$34579,'Shayak Income '!D539,'MPG Payment '!$AC$3:$AC$34579))))+0)+0</f>
        <v>1395.7753819563952</v>
      </c>
      <c r="V539" s="127">
        <f t="shared" si="161"/>
        <v>1449</v>
      </c>
      <c r="W539" s="19">
        <v>1449</v>
      </c>
      <c r="X539" s="19">
        <v>0</v>
      </c>
      <c r="Y539" s="128">
        <f>IFERROR(VLOOKUP(D539,'Monthly Deduction'!$M$2:$N$64,2,0),0)</f>
        <v>0</v>
      </c>
      <c r="Z539" s="128">
        <v>0</v>
      </c>
      <c r="AA539" s="126">
        <v>0</v>
      </c>
      <c r="AB539" s="129">
        <f t="shared" si="152"/>
        <v>0</v>
      </c>
      <c r="AC539" s="130">
        <v>0</v>
      </c>
      <c r="AD539" s="35">
        <f t="shared" si="162"/>
        <v>0</v>
      </c>
      <c r="AE539" s="166" t="str">
        <f t="shared" si="163"/>
        <v>Release</v>
      </c>
      <c r="AF539" s="127"/>
      <c r="AG539" s="18">
        <v>0</v>
      </c>
      <c r="AH539" s="120"/>
      <c r="AI539" s="238">
        <v>0</v>
      </c>
      <c r="AJ539" s="132"/>
      <c r="AK539" s="151">
        <v>351.20000000000005</v>
      </c>
      <c r="AL539" s="154">
        <f t="shared" si="153"/>
        <v>0</v>
      </c>
      <c r="AM539" s="155"/>
      <c r="AN539" s="19">
        <f t="shared" si="154"/>
        <v>1861</v>
      </c>
      <c r="AO539" s="118">
        <f>SUMIF('MPG Payment '!E:E,'Shayak Income '!D539,'MPG Payment '!AJ:AJ)</f>
        <v>0</v>
      </c>
      <c r="AP539" s="19">
        <f t="shared" si="155"/>
        <v>1449</v>
      </c>
      <c r="AQ539" s="119">
        <f t="shared" si="164"/>
        <v>1449</v>
      </c>
      <c r="AR539" s="91" t="s">
        <v>1168</v>
      </c>
      <c r="AS539" s="91">
        <f t="shared" si="156"/>
        <v>12800</v>
      </c>
      <c r="AT539" s="118"/>
      <c r="AU539" s="118"/>
      <c r="AV539" s="118"/>
    </row>
    <row r="540" spans="1:48" s="20" customFormat="1" x14ac:dyDescent="0.25">
      <c r="A540" s="17">
        <f>IFERROR(VLOOKUP(D540,'Monthly Deduction'!$I$3:$J$957,2,0),0)</f>
        <v>0</v>
      </c>
      <c r="B540" s="17">
        <f>IFERROR(VLOOKUP(D540,'Monthly Deduction'!$E$3:$F$957,2,0),0)</f>
        <v>0</v>
      </c>
      <c r="C540" s="17">
        <f t="shared" si="157"/>
        <v>0</v>
      </c>
      <c r="D540" s="41">
        <v>10530009</v>
      </c>
      <c r="E540" s="122" t="str">
        <f>VLOOKUP(D540,'MPG Payment '!$E$3:$G$498218,2,0)</f>
        <v>Gomukh Singhiya</v>
      </c>
      <c r="F540" s="146">
        <f>IFERROR(_xlfn.XLOOKUP(D540,'Monthly Deduction'!$I$3:$I$957,'Monthly Deduction'!$H$3:$H$957),0)</f>
        <v>0</v>
      </c>
      <c r="G540" s="123" t="str">
        <f>VLOOKUP(D540,'MPG Payment '!$E$3:$G$334579,3,0)</f>
        <v>vlc</v>
      </c>
      <c r="H540" s="124" t="str">
        <f>VLOOKUP(D540,'MPG Payment '!$E$3:$H$334579,4,0)</f>
        <v>Indirect</v>
      </c>
      <c r="I540" s="88">
        <f>INDEX('MPG Payment '!$C:$C,MATCH('Shayak Income '!D540,'MPG Payment '!E:E,0))</f>
        <v>1053</v>
      </c>
      <c r="J540" s="88" t="str">
        <f>INDEX('MPG Payment '!$D:$D,MATCH('Shayak Income '!D540,'MPG Payment '!E:E,0))</f>
        <v>Kalyanpur</v>
      </c>
      <c r="K540" s="125" t="s">
        <v>1322</v>
      </c>
      <c r="L540" s="125">
        <v>45696</v>
      </c>
      <c r="M540" s="126">
        <f>SUMIF('MPG Payment '!$E$3:$E$34579,'Shayak Income '!D540,'MPG Payment '!$I$3:$I$34579)</f>
        <v>33505.35</v>
      </c>
      <c r="N540" s="126">
        <f>SUMIF('MPG Payment '!$E$3:$E$34579,'Shayak Income '!D540,'MPG Payment '!$J$3:$J$34579)</f>
        <v>1318573.5695423</v>
      </c>
      <c r="O540" s="126">
        <f t="shared" si="158"/>
        <v>25129.012499999997</v>
      </c>
      <c r="P540" s="126">
        <f t="shared" si="159"/>
        <v>31830.082499999997</v>
      </c>
      <c r="Q540" s="126">
        <f>SUMIF('MPG Payment '!$E$3:$E$34579,'Shayak Income '!D540,'MPG Payment '!$S$3:$S$34579)</f>
        <v>0</v>
      </c>
      <c r="R540" s="126">
        <f t="shared" si="150"/>
        <v>39557.207086268994</v>
      </c>
      <c r="S540" s="126">
        <f t="shared" si="151"/>
        <v>7727.1245862689975</v>
      </c>
      <c r="T540" s="126">
        <f t="shared" si="160"/>
        <v>3350.5349999999999</v>
      </c>
      <c r="U540" s="127">
        <f>(((IF(K540="New",0,SUMIF('MPG Payment '!$E$3:$E$34579,'Shayak Income '!D540,'MPG Payment '!$AC$3:$AC$34579))))+0)+0</f>
        <v>0</v>
      </c>
      <c r="V540" s="127">
        <f t="shared" si="161"/>
        <v>53609</v>
      </c>
      <c r="W540" s="19">
        <f t="shared" si="165"/>
        <v>0</v>
      </c>
      <c r="X540" s="19">
        <f t="shared" si="166"/>
        <v>0</v>
      </c>
      <c r="Y540" s="128">
        <f>IFERROR(VLOOKUP(D540,'Monthly Deduction'!$M$2:$N$64,2,0),0)</f>
        <v>0</v>
      </c>
      <c r="Z540" s="128">
        <v>0</v>
      </c>
      <c r="AA540" s="126">
        <f>IFERROR(VLOOKUP(D540,'Monthly Deduction'!A:B,2,0),0)</f>
        <v>0</v>
      </c>
      <c r="AB540" s="129">
        <f t="shared" si="152"/>
        <v>53609</v>
      </c>
      <c r="AC540" s="130">
        <v>0</v>
      </c>
      <c r="AD540" s="35">
        <f t="shared" si="162"/>
        <v>53609</v>
      </c>
      <c r="AE540" s="166" t="str">
        <f t="shared" si="163"/>
        <v>Release</v>
      </c>
      <c r="AF540" s="127"/>
      <c r="AG540" s="18">
        <v>0</v>
      </c>
      <c r="AH540" s="120"/>
      <c r="AI540" s="238">
        <v>0</v>
      </c>
      <c r="AJ540" s="132"/>
      <c r="AK540" s="151">
        <v>8714</v>
      </c>
      <c r="AL540" s="154">
        <f t="shared" si="153"/>
        <v>0</v>
      </c>
      <c r="AM540" s="155"/>
      <c r="AN540" s="19">
        <f t="shared" si="154"/>
        <v>0</v>
      </c>
      <c r="AO540" s="118">
        <f>SUMIF('MPG Payment '!E:E,'Shayak Income '!D540,'MPG Payment '!AJ:AJ)</f>
        <v>0</v>
      </c>
      <c r="AP540" s="19">
        <f t="shared" si="155"/>
        <v>0</v>
      </c>
      <c r="AQ540" s="119">
        <f t="shared" si="164"/>
        <v>0</v>
      </c>
      <c r="AR540" s="91" t="s">
        <v>1168</v>
      </c>
      <c r="AS540" s="91">
        <f t="shared" si="156"/>
        <v>0</v>
      </c>
      <c r="AT540" s="118"/>
      <c r="AU540" s="118"/>
      <c r="AV540" s="118"/>
    </row>
    <row r="541" spans="1:48" s="20" customFormat="1" x14ac:dyDescent="0.25">
      <c r="A541" s="17">
        <f>IFERROR(VLOOKUP(D541,'Monthly Deduction'!$I$3:$J$957,2,0),0)</f>
        <v>0</v>
      </c>
      <c r="B541" s="17">
        <f>IFERROR(VLOOKUP(D541,'Monthly Deduction'!$E$3:$F$957,2,0),0)</f>
        <v>0</v>
      </c>
      <c r="C541" s="17">
        <f t="shared" si="157"/>
        <v>0</v>
      </c>
      <c r="D541" s="41">
        <v>10530010</v>
      </c>
      <c r="E541" s="122" t="str">
        <f>VLOOKUP(D541,'MPG Payment '!$E$3:$G$498218,2,0)</f>
        <v xml:space="preserve">Gomukh BALHA </v>
      </c>
      <c r="F541" s="146">
        <f>IFERROR(_xlfn.XLOOKUP(D541,'Monthly Deduction'!$I$3:$I$957,'Monthly Deduction'!$H$3:$H$957),0)</f>
        <v>0</v>
      </c>
      <c r="G541" s="123" t="str">
        <f>VLOOKUP(D541,'MPG Payment '!$E$3:$G$334579,3,0)</f>
        <v>vlc</v>
      </c>
      <c r="H541" s="124" t="str">
        <f>VLOOKUP(D541,'MPG Payment '!$E$3:$H$334579,4,0)</f>
        <v>Indirect</v>
      </c>
      <c r="I541" s="88">
        <f>INDEX('MPG Payment '!$C:$C,MATCH('Shayak Income '!D541,'MPG Payment '!E:E,0))</f>
        <v>1053</v>
      </c>
      <c r="J541" s="88" t="str">
        <f>INDEX('MPG Payment '!$D:$D,MATCH('Shayak Income '!D541,'MPG Payment '!E:E,0))</f>
        <v>Kalyanpur</v>
      </c>
      <c r="K541" s="125" t="s">
        <v>1322</v>
      </c>
      <c r="L541" s="125">
        <v>45696</v>
      </c>
      <c r="M541" s="126">
        <f>SUMIF('MPG Payment '!$E$3:$E$34579,'Shayak Income '!D541,'MPG Payment '!$I$3:$I$34579)</f>
        <v>13217.599999999999</v>
      </c>
      <c r="N541" s="126">
        <f>SUMIF('MPG Payment '!$E$3:$E$34579,'Shayak Income '!D541,'MPG Payment '!$J$3:$J$34579)</f>
        <v>544584.68035588216</v>
      </c>
      <c r="O541" s="126">
        <f t="shared" si="158"/>
        <v>9913.1999999999989</v>
      </c>
      <c r="P541" s="126">
        <f t="shared" si="159"/>
        <v>12556.719999999998</v>
      </c>
      <c r="Q541" s="126">
        <f>SUMIF('MPG Payment '!$E$3:$E$34579,'Shayak Income '!D541,'MPG Payment '!$S$3:$S$34579)</f>
        <v>0</v>
      </c>
      <c r="R541" s="126">
        <f t="shared" si="150"/>
        <v>16337.540410676464</v>
      </c>
      <c r="S541" s="126">
        <f t="shared" si="151"/>
        <v>3780.8204106764661</v>
      </c>
      <c r="T541" s="126">
        <f t="shared" si="160"/>
        <v>1321.76</v>
      </c>
      <c r="U541" s="127">
        <f>(((IF(K541="New",0,SUMIF('MPG Payment '!$E$3:$E$34579,'Shayak Income '!D541,'MPG Payment '!$AC$3:$AC$34579))))+0)+0</f>
        <v>0</v>
      </c>
      <c r="V541" s="127">
        <f t="shared" si="161"/>
        <v>21148</v>
      </c>
      <c r="W541" s="19">
        <f t="shared" si="165"/>
        <v>0</v>
      </c>
      <c r="X541" s="19">
        <f t="shared" si="166"/>
        <v>0</v>
      </c>
      <c r="Y541" s="128">
        <f>IFERROR(VLOOKUP(D541,'Monthly Deduction'!$M$2:$N$64,2,0),0)</f>
        <v>0</v>
      </c>
      <c r="Z541" s="128">
        <v>0</v>
      </c>
      <c r="AA541" s="126">
        <f>IFERROR(VLOOKUP(D541,'Monthly Deduction'!A:B,2,0),0)</f>
        <v>0</v>
      </c>
      <c r="AB541" s="129">
        <f t="shared" si="152"/>
        <v>21148</v>
      </c>
      <c r="AC541" s="130">
        <v>0</v>
      </c>
      <c r="AD541" s="35">
        <f t="shared" si="162"/>
        <v>21148</v>
      </c>
      <c r="AE541" s="166" t="str">
        <f t="shared" si="163"/>
        <v>Release</v>
      </c>
      <c r="AF541" s="127"/>
      <c r="AG541" s="18">
        <v>0</v>
      </c>
      <c r="AH541" s="120"/>
      <c r="AI541" s="238">
        <v>0</v>
      </c>
      <c r="AJ541" s="132"/>
      <c r="AK541" s="151">
        <v>3658.6499999999996</v>
      </c>
      <c r="AL541" s="154">
        <f t="shared" si="153"/>
        <v>0</v>
      </c>
      <c r="AM541" s="155"/>
      <c r="AN541" s="19">
        <f t="shared" si="154"/>
        <v>0</v>
      </c>
      <c r="AO541" s="118">
        <f>SUMIF('MPG Payment '!E:E,'Shayak Income '!D541,'MPG Payment '!AJ:AJ)</f>
        <v>0</v>
      </c>
      <c r="AP541" s="19">
        <f t="shared" si="155"/>
        <v>0</v>
      </c>
      <c r="AQ541" s="119">
        <f t="shared" si="164"/>
        <v>0</v>
      </c>
      <c r="AR541" s="91" t="s">
        <v>1168</v>
      </c>
      <c r="AS541" s="91">
        <f t="shared" si="156"/>
        <v>0</v>
      </c>
      <c r="AT541" s="118"/>
      <c r="AU541" s="118"/>
      <c r="AV541" s="118"/>
    </row>
    <row r="542" spans="1:48" s="20" customFormat="1" x14ac:dyDescent="0.25">
      <c r="A542" s="17">
        <f>IFERROR(VLOOKUP(D542,'Monthly Deduction'!$I$3:$J$957,2,0),0)</f>
        <v>0</v>
      </c>
      <c r="B542" s="17">
        <f>IFERROR(VLOOKUP(D542,'Monthly Deduction'!$E$3:$F$957,2,0),0)</f>
        <v>0</v>
      </c>
      <c r="C542" s="17">
        <f t="shared" si="157"/>
        <v>0</v>
      </c>
      <c r="D542" s="41">
        <v>10530013</v>
      </c>
      <c r="E542" s="122" t="str">
        <f>VLOOKUP(D542,'MPG Payment '!$E$3:$G$498218,2,0)</f>
        <v>Gomukh Kalyanpur 2</v>
      </c>
      <c r="F542" s="146">
        <f>IFERROR(_xlfn.XLOOKUP(D542,'Monthly Deduction'!$I$3:$I$957,'Monthly Deduction'!$H$3:$H$957),0)</f>
        <v>0</v>
      </c>
      <c r="G542" s="123" t="str">
        <f>VLOOKUP(D542,'MPG Payment '!$E$3:$G$334579,3,0)</f>
        <v>vlc</v>
      </c>
      <c r="H542" s="124" t="str">
        <f>VLOOKUP(D542,'MPG Payment '!$E$3:$H$334579,4,0)</f>
        <v>Indirect</v>
      </c>
      <c r="I542" s="88">
        <f>INDEX('MPG Payment '!$C:$C,MATCH('Shayak Income '!D542,'MPG Payment '!E:E,0))</f>
        <v>1053</v>
      </c>
      <c r="J542" s="88" t="str">
        <f>INDEX('MPG Payment '!$D:$D,MATCH('Shayak Income '!D542,'MPG Payment '!E:E,0))</f>
        <v>Kalyanpur</v>
      </c>
      <c r="K542" s="125" t="s">
        <v>1322</v>
      </c>
      <c r="L542" s="125">
        <v>45697</v>
      </c>
      <c r="M542" s="126">
        <f>SUMIF('MPG Payment '!$E$3:$E$34579,'Shayak Income '!D542,'MPG Payment '!$I$3:$I$34579)</f>
        <v>2345.9499999999998</v>
      </c>
      <c r="N542" s="126">
        <f>SUMIF('MPG Payment '!$E$3:$E$34579,'Shayak Income '!D542,'MPG Payment '!$J$3:$J$34579)</f>
        <v>106895.85176024801</v>
      </c>
      <c r="O542" s="126">
        <f t="shared" si="158"/>
        <v>1759.4624999999999</v>
      </c>
      <c r="P542" s="126">
        <f t="shared" si="159"/>
        <v>2228.6524999999997</v>
      </c>
      <c r="Q542" s="126">
        <f>SUMIF('MPG Payment '!$E$3:$E$34579,'Shayak Income '!D542,'MPG Payment '!$S$3:$S$34579)</f>
        <v>0</v>
      </c>
      <c r="R542" s="126">
        <f t="shared" si="150"/>
        <v>3206.8755528074403</v>
      </c>
      <c r="S542" s="126">
        <f t="shared" si="151"/>
        <v>978.22305280744058</v>
      </c>
      <c r="T542" s="126">
        <f t="shared" si="160"/>
        <v>234.595</v>
      </c>
      <c r="U542" s="127">
        <f>(((IF(K542="New",0,SUMIF('MPG Payment '!$E$3:$E$34579,'Shayak Income '!D542,'MPG Payment '!$AC$3:$AC$34579))))+0)+0</f>
        <v>441.52028720585128</v>
      </c>
      <c r="V542" s="127">
        <f t="shared" si="161"/>
        <v>3312</v>
      </c>
      <c r="W542" s="19">
        <f t="shared" si="165"/>
        <v>0</v>
      </c>
      <c r="X542" s="19">
        <f t="shared" si="166"/>
        <v>0</v>
      </c>
      <c r="Y542" s="128">
        <f>IFERROR(VLOOKUP(D542,'Monthly Deduction'!$M$2:$N$64,2,0),0)</f>
        <v>0</v>
      </c>
      <c r="Z542" s="128">
        <v>0</v>
      </c>
      <c r="AA542" s="126">
        <f>IFERROR(VLOOKUP(D542,'Monthly Deduction'!A:B,2,0),0)</f>
        <v>0</v>
      </c>
      <c r="AB542" s="129">
        <f t="shared" si="152"/>
        <v>3312</v>
      </c>
      <c r="AC542" s="130">
        <v>0</v>
      </c>
      <c r="AD542" s="35">
        <f t="shared" si="162"/>
        <v>3312</v>
      </c>
      <c r="AE542" s="166" t="str">
        <f t="shared" si="163"/>
        <v>Release</v>
      </c>
      <c r="AF542" s="127"/>
      <c r="AG542" s="18">
        <v>0</v>
      </c>
      <c r="AH542" s="120"/>
      <c r="AI542" s="238">
        <v>0</v>
      </c>
      <c r="AJ542" s="132"/>
      <c r="AK542" s="151">
        <v>531.79999999999995</v>
      </c>
      <c r="AL542" s="154">
        <f t="shared" si="153"/>
        <v>0</v>
      </c>
      <c r="AM542" s="155"/>
      <c r="AN542" s="19">
        <f t="shared" si="154"/>
        <v>0</v>
      </c>
      <c r="AO542" s="118">
        <f>SUMIF('MPG Payment '!E:E,'Shayak Income '!D542,'MPG Payment '!AJ:AJ)</f>
        <v>0</v>
      </c>
      <c r="AP542" s="19">
        <f t="shared" si="155"/>
        <v>0</v>
      </c>
      <c r="AQ542" s="119">
        <f t="shared" si="164"/>
        <v>0</v>
      </c>
      <c r="AR542" s="91"/>
      <c r="AS542" s="91">
        <f t="shared" si="156"/>
        <v>0</v>
      </c>
      <c r="AT542" s="118"/>
      <c r="AU542" s="118"/>
      <c r="AV542" s="118"/>
    </row>
    <row r="543" spans="1:48" s="20" customFormat="1" x14ac:dyDescent="0.25">
      <c r="A543" s="17">
        <f>IFERROR(VLOOKUP(D543,'Monthly Deduction'!$I$3:$J$957,2,0),0)</f>
        <v>0</v>
      </c>
      <c r="B543" s="17">
        <f>IFERROR(VLOOKUP(D543,'Monthly Deduction'!$E$3:$F$957,2,0),0)</f>
        <v>0</v>
      </c>
      <c r="C543" s="17">
        <f t="shared" si="157"/>
        <v>0</v>
      </c>
      <c r="D543" s="41">
        <v>10530014</v>
      </c>
      <c r="E543" s="122" t="str">
        <f>VLOOKUP(D543,'MPG Payment '!$E$3:$G$498218,2,0)</f>
        <v>Gomukh Namapur 2</v>
      </c>
      <c r="F543" s="146">
        <f>IFERROR(_xlfn.XLOOKUP(D543,'Monthly Deduction'!$I$3:$I$957,'Monthly Deduction'!$H$3:$H$957),0)</f>
        <v>0</v>
      </c>
      <c r="G543" s="123" t="str">
        <f>VLOOKUP(D543,'MPG Payment '!$E$3:$G$334579,3,0)</f>
        <v>vlc</v>
      </c>
      <c r="H543" s="124" t="str">
        <f>VLOOKUP(D543,'MPG Payment '!$E$3:$H$334579,4,0)</f>
        <v>Indirect</v>
      </c>
      <c r="I543" s="88">
        <f>INDEX('MPG Payment '!$C:$C,MATCH('Shayak Income '!D543,'MPG Payment '!E:E,0))</f>
        <v>1053</v>
      </c>
      <c r="J543" s="88" t="str">
        <f>INDEX('MPG Payment '!$D:$D,MATCH('Shayak Income '!D543,'MPG Payment '!E:E,0))</f>
        <v>Kalyanpur</v>
      </c>
      <c r="K543" s="125" t="s">
        <v>1322</v>
      </c>
      <c r="L543" s="125">
        <v>45696</v>
      </c>
      <c r="M543" s="126">
        <f>SUMIF('MPG Payment '!$E$3:$E$34579,'Shayak Income '!D543,'MPG Payment '!$I$3:$I$34579)</f>
        <v>4818</v>
      </c>
      <c r="N543" s="126">
        <f>SUMIF('MPG Payment '!$E$3:$E$34579,'Shayak Income '!D543,'MPG Payment '!$J$3:$J$34579)</f>
        <v>177870.24314954001</v>
      </c>
      <c r="O543" s="126">
        <f t="shared" si="158"/>
        <v>3613.5</v>
      </c>
      <c r="P543" s="126">
        <f t="shared" si="159"/>
        <v>4577.0999999999995</v>
      </c>
      <c r="Q543" s="126">
        <f>SUMIF('MPG Payment '!$E$3:$E$34579,'Shayak Income '!D543,'MPG Payment '!$S$3:$S$34579)</f>
        <v>0</v>
      </c>
      <c r="R543" s="126">
        <f t="shared" si="150"/>
        <v>5336.1072944861999</v>
      </c>
      <c r="S543" s="126">
        <f t="shared" si="151"/>
        <v>759.00729448620041</v>
      </c>
      <c r="T543" s="126">
        <f t="shared" si="160"/>
        <v>481.8</v>
      </c>
      <c r="U543" s="127">
        <f>(((IF(K543="New",0,SUMIF('MPG Payment '!$E$3:$E$34579,'Shayak Income '!D543,'MPG Payment '!$AC$3:$AC$34579))))+0)+0</f>
        <v>0</v>
      </c>
      <c r="V543" s="127">
        <f t="shared" si="161"/>
        <v>7709</v>
      </c>
      <c r="W543" s="19">
        <f t="shared" si="165"/>
        <v>0</v>
      </c>
      <c r="X543" s="19">
        <f t="shared" si="166"/>
        <v>0</v>
      </c>
      <c r="Y543" s="128">
        <f>IFERROR(VLOOKUP(D543,'Monthly Deduction'!$M$2:$N$64,2,0),0)</f>
        <v>0</v>
      </c>
      <c r="Z543" s="128">
        <v>0</v>
      </c>
      <c r="AA543" s="126">
        <f>IFERROR(VLOOKUP(D543,'Monthly Deduction'!A:B,2,0),0)</f>
        <v>0</v>
      </c>
      <c r="AB543" s="129">
        <f t="shared" si="152"/>
        <v>7709</v>
      </c>
      <c r="AC543" s="130">
        <v>0</v>
      </c>
      <c r="AD543" s="35">
        <f t="shared" si="162"/>
        <v>7709</v>
      </c>
      <c r="AE543" s="166" t="str">
        <f t="shared" si="163"/>
        <v>Release</v>
      </c>
      <c r="AF543" s="127"/>
      <c r="AG543" s="18">
        <v>0</v>
      </c>
      <c r="AH543" s="120"/>
      <c r="AI543" s="238">
        <v>0</v>
      </c>
      <c r="AJ543" s="132"/>
      <c r="AK543" s="151">
        <v>1919.0499999999997</v>
      </c>
      <c r="AL543" s="154">
        <f t="shared" si="153"/>
        <v>0</v>
      </c>
      <c r="AM543" s="155"/>
      <c r="AN543" s="19">
        <f t="shared" si="154"/>
        <v>0</v>
      </c>
      <c r="AO543" s="118">
        <f>SUMIF('MPG Payment '!E:E,'Shayak Income '!D543,'MPG Payment '!AJ:AJ)</f>
        <v>0</v>
      </c>
      <c r="AP543" s="19">
        <f t="shared" si="155"/>
        <v>0</v>
      </c>
      <c r="AQ543" s="119">
        <f t="shared" si="164"/>
        <v>0</v>
      </c>
      <c r="AR543" s="91" t="s">
        <v>1168</v>
      </c>
      <c r="AS543" s="91">
        <f t="shared" si="156"/>
        <v>0</v>
      </c>
      <c r="AT543" s="118"/>
      <c r="AU543" s="118"/>
      <c r="AV543" s="118"/>
    </row>
    <row r="544" spans="1:48" s="20" customFormat="1" x14ac:dyDescent="0.25">
      <c r="A544" s="17">
        <f>IFERROR(VLOOKUP(D544,'Monthly Deduction'!$I$3:$J$957,2,0),0)</f>
        <v>0</v>
      </c>
      <c r="B544" s="17">
        <f>IFERROR(VLOOKUP(D544,'Monthly Deduction'!$E$3:$F$957,2,0),0)</f>
        <v>0</v>
      </c>
      <c r="C544" s="17">
        <f t="shared" si="157"/>
        <v>0</v>
      </c>
      <c r="D544" s="41">
        <v>10530015</v>
      </c>
      <c r="E544" s="122" t="str">
        <f>VLOOKUP(D544,'MPG Payment '!$E$3:$G$498218,2,0)</f>
        <v>Gomukh Madhopur</v>
      </c>
      <c r="F544" s="146">
        <f>IFERROR(_xlfn.XLOOKUP(D544,'Monthly Deduction'!$I$3:$I$957,'Monthly Deduction'!$H$3:$H$957),0)</f>
        <v>0</v>
      </c>
      <c r="G544" s="123" t="str">
        <f>VLOOKUP(D544,'MPG Payment '!$E$3:$G$334579,3,0)</f>
        <v>vlc</v>
      </c>
      <c r="H544" s="124" t="str">
        <f>VLOOKUP(D544,'MPG Payment '!$E$3:$H$334579,4,0)</f>
        <v>Indirect</v>
      </c>
      <c r="I544" s="88">
        <f>INDEX('MPG Payment '!$C:$C,MATCH('Shayak Income '!D544,'MPG Payment '!E:E,0))</f>
        <v>1053</v>
      </c>
      <c r="J544" s="88" t="str">
        <f>INDEX('MPG Payment '!$D:$D,MATCH('Shayak Income '!D544,'MPG Payment '!E:E,0))</f>
        <v>Kalyanpur</v>
      </c>
      <c r="K544" s="125" t="s">
        <v>1322</v>
      </c>
      <c r="L544" s="125">
        <v>45696</v>
      </c>
      <c r="M544" s="126">
        <f>SUMIF('MPG Payment '!$E$3:$E$34579,'Shayak Income '!D544,'MPG Payment '!$I$3:$I$34579)</f>
        <v>984.75</v>
      </c>
      <c r="N544" s="126">
        <f>SUMIF('MPG Payment '!$E$3:$E$34579,'Shayak Income '!D544,'MPG Payment '!$J$3:$J$34579)</f>
        <v>42316.251265455503</v>
      </c>
      <c r="O544" s="126">
        <f t="shared" si="158"/>
        <v>738.5625</v>
      </c>
      <c r="P544" s="126">
        <f t="shared" si="159"/>
        <v>935.51249999999993</v>
      </c>
      <c r="Q544" s="126">
        <f>SUMIF('MPG Payment '!$E$3:$E$34579,'Shayak Income '!D544,'MPG Payment '!$S$3:$S$34579)</f>
        <v>0</v>
      </c>
      <c r="R544" s="126">
        <f t="shared" si="150"/>
        <v>1269.4875379636651</v>
      </c>
      <c r="S544" s="126">
        <f t="shared" si="151"/>
        <v>333.97503796366516</v>
      </c>
      <c r="T544" s="126">
        <f t="shared" si="160"/>
        <v>98.475000000000009</v>
      </c>
      <c r="U544" s="127">
        <f>(((IF(K544="New",0,SUMIF('MPG Payment '!$E$3:$E$34579,'Shayak Income '!D544,'MPG Payment '!$AC$3:$AC$34579))))+0)+-3</f>
        <v>1575.5067360803464</v>
      </c>
      <c r="V544" s="127">
        <f t="shared" si="161"/>
        <v>0</v>
      </c>
      <c r="W544" s="19">
        <v>0</v>
      </c>
      <c r="X544" s="19">
        <v>0</v>
      </c>
      <c r="Y544" s="128">
        <f>IFERROR(VLOOKUP(D544,'Monthly Deduction'!$M$2:$N$64,2,0),0)</f>
        <v>0</v>
      </c>
      <c r="Z544" s="128">
        <v>0</v>
      </c>
      <c r="AA544" s="126">
        <f>IFERROR(VLOOKUP(D544,'Monthly Deduction'!A:B,2,0),0)</f>
        <v>0</v>
      </c>
      <c r="AB544" s="129">
        <f t="shared" si="152"/>
        <v>0</v>
      </c>
      <c r="AC544" s="130">
        <v>0</v>
      </c>
      <c r="AD544" s="35">
        <f t="shared" si="162"/>
        <v>0</v>
      </c>
      <c r="AE544" s="166" t="str">
        <f t="shared" si="163"/>
        <v>Release</v>
      </c>
      <c r="AF544" s="127"/>
      <c r="AG544" s="18">
        <v>0</v>
      </c>
      <c r="AH544" s="120"/>
      <c r="AI544" s="238">
        <v>0</v>
      </c>
      <c r="AJ544" s="132"/>
      <c r="AK544" s="151">
        <v>376.95</v>
      </c>
      <c r="AL544" s="154">
        <f t="shared" si="153"/>
        <v>0</v>
      </c>
      <c r="AM544" s="155"/>
      <c r="AN544" s="19">
        <f t="shared" si="154"/>
        <v>0</v>
      </c>
      <c r="AO544" s="118">
        <f>SUMIF('MPG Payment '!E:E,'Shayak Income '!D544,'MPG Payment '!AJ:AJ)</f>
        <v>0</v>
      </c>
      <c r="AP544" s="19">
        <f t="shared" si="155"/>
        <v>0</v>
      </c>
      <c r="AQ544" s="119">
        <f t="shared" si="164"/>
        <v>0</v>
      </c>
      <c r="AR544" s="91" t="s">
        <v>1168</v>
      </c>
      <c r="AS544" s="91">
        <f t="shared" si="156"/>
        <v>0</v>
      </c>
      <c r="AT544" s="118"/>
      <c r="AU544" s="118"/>
      <c r="AV544" s="118"/>
    </row>
    <row r="545" spans="1:48" s="20" customFormat="1" x14ac:dyDescent="0.25">
      <c r="A545" s="17">
        <f>IFERROR(VLOOKUP(D545,'Monthly Deduction'!$I$3:$J$957,2,0),0)</f>
        <v>0</v>
      </c>
      <c r="B545" s="17">
        <f>IFERROR(VLOOKUP(D545,'Monthly Deduction'!$E$3:$F$957,2,0),0)</f>
        <v>0</v>
      </c>
      <c r="C545" s="17">
        <f t="shared" si="157"/>
        <v>0</v>
      </c>
      <c r="D545" s="41">
        <v>10530016</v>
      </c>
      <c r="E545" s="122" t="str">
        <f>VLOOKUP(D545,'MPG Payment '!$E$3:$G$498218,2,0)</f>
        <v>Gomukh Kalyanpur East</v>
      </c>
      <c r="F545" s="146">
        <f>IFERROR(_xlfn.XLOOKUP(D545,'Monthly Deduction'!$I$3:$I$957,'Monthly Deduction'!$H$3:$H$957),0)</f>
        <v>0</v>
      </c>
      <c r="G545" s="123" t="str">
        <f>VLOOKUP(D545,'MPG Payment '!$E$3:$G$334579,3,0)</f>
        <v>vlc</v>
      </c>
      <c r="H545" s="124" t="str">
        <f>VLOOKUP(D545,'MPG Payment '!$E$3:$H$334579,4,0)</f>
        <v>Indirect</v>
      </c>
      <c r="I545" s="88">
        <f>INDEX('MPG Payment '!$C:$C,MATCH('Shayak Income '!D545,'MPG Payment '!E:E,0))</f>
        <v>1053</v>
      </c>
      <c r="J545" s="88" t="str">
        <f>INDEX('MPG Payment '!$D:$D,MATCH('Shayak Income '!D545,'MPG Payment '!E:E,0))</f>
        <v>Kalyanpur</v>
      </c>
      <c r="K545" s="125" t="s">
        <v>1322</v>
      </c>
      <c r="L545" s="125">
        <v>45697</v>
      </c>
      <c r="M545" s="126">
        <f>SUMIF('MPG Payment '!$E$3:$E$34579,'Shayak Income '!D545,'MPG Payment '!$I$3:$I$34579)</f>
        <v>2536.3999999999996</v>
      </c>
      <c r="N545" s="126">
        <f>SUMIF('MPG Payment '!$E$3:$E$34579,'Shayak Income '!D545,'MPG Payment '!$J$3:$J$34579)</f>
        <v>96181.857412110505</v>
      </c>
      <c r="O545" s="126">
        <f t="shared" si="158"/>
        <v>1902.2999999999997</v>
      </c>
      <c r="P545" s="126">
        <f t="shared" si="159"/>
        <v>2409.5799999999995</v>
      </c>
      <c r="Q545" s="126">
        <f>SUMIF('MPG Payment '!$E$3:$E$34579,'Shayak Income '!D545,'MPG Payment '!$S$3:$S$34579)</f>
        <v>0</v>
      </c>
      <c r="R545" s="126">
        <f t="shared" si="150"/>
        <v>2885.4557223633151</v>
      </c>
      <c r="S545" s="126">
        <f t="shared" si="151"/>
        <v>475.87572236331562</v>
      </c>
      <c r="T545" s="126">
        <f t="shared" si="160"/>
        <v>253.64</v>
      </c>
      <c r="U545" s="127">
        <f>(((IF(K545="New",0,SUMIF('MPG Payment '!$E$3:$E$34579,'Shayak Income '!D545,'MPG Payment '!$AC$3:$AC$34579))))+0)+0</f>
        <v>407.95855109012643</v>
      </c>
      <c r="V545" s="127">
        <f t="shared" si="161"/>
        <v>3650</v>
      </c>
      <c r="W545" s="19">
        <f t="shared" si="165"/>
        <v>0</v>
      </c>
      <c r="X545" s="19">
        <f t="shared" si="166"/>
        <v>0</v>
      </c>
      <c r="Y545" s="128">
        <f>IFERROR(VLOOKUP(D545,'Monthly Deduction'!$M$2:$N$64,2,0),0)</f>
        <v>0</v>
      </c>
      <c r="Z545" s="128">
        <v>0</v>
      </c>
      <c r="AA545" s="126">
        <f>IFERROR(VLOOKUP(D545,'Monthly Deduction'!A:B,2,0),0)</f>
        <v>0</v>
      </c>
      <c r="AB545" s="129">
        <f t="shared" si="152"/>
        <v>3650</v>
      </c>
      <c r="AC545" s="130">
        <v>0</v>
      </c>
      <c r="AD545" s="35">
        <f t="shared" si="162"/>
        <v>3650</v>
      </c>
      <c r="AE545" s="166" t="str">
        <f t="shared" si="163"/>
        <v>Release</v>
      </c>
      <c r="AF545" s="127"/>
      <c r="AG545" s="18">
        <v>0</v>
      </c>
      <c r="AH545" s="120"/>
      <c r="AI545" s="238">
        <v>0</v>
      </c>
      <c r="AJ545" s="132"/>
      <c r="AK545" s="151">
        <v>826.00000000000011</v>
      </c>
      <c r="AL545" s="154">
        <f t="shared" si="153"/>
        <v>0</v>
      </c>
      <c r="AM545" s="155"/>
      <c r="AN545" s="19">
        <f t="shared" si="154"/>
        <v>0</v>
      </c>
      <c r="AO545" s="118">
        <f>SUMIF('MPG Payment '!E:E,'Shayak Income '!D545,'MPG Payment '!AJ:AJ)</f>
        <v>0</v>
      </c>
      <c r="AP545" s="19">
        <f t="shared" si="155"/>
        <v>0</v>
      </c>
      <c r="AQ545" s="119">
        <f t="shared" si="164"/>
        <v>0</v>
      </c>
      <c r="AR545" s="91" t="s">
        <v>1168</v>
      </c>
      <c r="AS545" s="91">
        <f t="shared" si="156"/>
        <v>0</v>
      </c>
      <c r="AT545" s="118"/>
      <c r="AU545" s="118"/>
      <c r="AV545" s="118"/>
    </row>
    <row r="546" spans="1:48" s="20" customFormat="1" x14ac:dyDescent="0.25">
      <c r="A546" s="17">
        <f>IFERROR(VLOOKUP(D546,'Monthly Deduction'!$I$3:$J$957,2,0),0)</f>
        <v>0</v>
      </c>
      <c r="B546" s="17">
        <f>IFERROR(VLOOKUP(D546,'Monthly Deduction'!$E$3:$F$957,2,0),0)</f>
        <v>0</v>
      </c>
      <c r="C546" s="17">
        <f t="shared" si="157"/>
        <v>0</v>
      </c>
      <c r="D546" s="41">
        <v>10530017</v>
      </c>
      <c r="E546" s="122" t="str">
        <f>VLOOKUP(D546,'MPG Payment '!$E$3:$G$498218,2,0)</f>
        <v>Gomukh Bazidpur</v>
      </c>
      <c r="F546" s="146">
        <f>IFERROR(_xlfn.XLOOKUP(D546,'Monthly Deduction'!$I$3:$I$957,'Monthly Deduction'!$H$3:$H$957),0)</f>
        <v>0</v>
      </c>
      <c r="G546" s="123" t="str">
        <f>VLOOKUP(D546,'MPG Payment '!$E$3:$G$334579,3,0)</f>
        <v>vlc</v>
      </c>
      <c r="H546" s="124" t="str">
        <f>VLOOKUP(D546,'MPG Payment '!$E$3:$H$334579,4,0)</f>
        <v>Indirect</v>
      </c>
      <c r="I546" s="88">
        <f>INDEX('MPG Payment '!$C:$C,MATCH('Shayak Income '!D546,'MPG Payment '!E:E,0))</f>
        <v>1053</v>
      </c>
      <c r="J546" s="88" t="str">
        <f>INDEX('MPG Payment '!$D:$D,MATCH('Shayak Income '!D546,'MPG Payment '!E:E,0))</f>
        <v>Kalyanpur</v>
      </c>
      <c r="K546" s="125" t="s">
        <v>1322</v>
      </c>
      <c r="L546" s="125">
        <v>45699</v>
      </c>
      <c r="M546" s="126">
        <f>SUMIF('MPG Payment '!$E$3:$E$34579,'Shayak Income '!D546,'MPG Payment '!$I$3:$I$34579)</f>
        <v>7301.85</v>
      </c>
      <c r="N546" s="126">
        <f>SUMIF('MPG Payment '!$E$3:$E$34579,'Shayak Income '!D546,'MPG Payment '!$J$3:$J$34579)</f>
        <v>310643.87204243499</v>
      </c>
      <c r="O546" s="126">
        <f t="shared" si="158"/>
        <v>5476.3875000000007</v>
      </c>
      <c r="P546" s="126">
        <f t="shared" si="159"/>
        <v>6936.7574999999997</v>
      </c>
      <c r="Q546" s="126">
        <f>SUMIF('MPG Payment '!$E$3:$E$34579,'Shayak Income '!D546,'MPG Payment '!$S$3:$S$34579)</f>
        <v>0</v>
      </c>
      <c r="R546" s="126">
        <f t="shared" si="150"/>
        <v>9319.3161612730491</v>
      </c>
      <c r="S546" s="126">
        <f t="shared" si="151"/>
        <v>2382.5586612730494</v>
      </c>
      <c r="T546" s="126">
        <f t="shared" si="160"/>
        <v>730.18500000000006</v>
      </c>
      <c r="U546" s="127">
        <f>(((IF(K546="New",0,SUMIF('MPG Payment '!$E$3:$E$34579,'Shayak Income '!D546,'MPG Payment '!$AC$3:$AC$34579))))+0)+0</f>
        <v>0</v>
      </c>
      <c r="V546" s="127">
        <f t="shared" si="161"/>
        <v>11683</v>
      </c>
      <c r="W546" s="19">
        <f t="shared" si="165"/>
        <v>0</v>
      </c>
      <c r="X546" s="19">
        <f t="shared" si="166"/>
        <v>0</v>
      </c>
      <c r="Y546" s="128">
        <f>IFERROR(VLOOKUP(D546,'Monthly Deduction'!$M$2:$N$64,2,0),0)</f>
        <v>0</v>
      </c>
      <c r="Z546" s="128">
        <v>0</v>
      </c>
      <c r="AA546" s="126">
        <f>IFERROR(VLOOKUP(D546,'Monthly Deduction'!A:B,2,0),0)</f>
        <v>0</v>
      </c>
      <c r="AB546" s="129">
        <f t="shared" si="152"/>
        <v>11683</v>
      </c>
      <c r="AC546" s="130">
        <v>0</v>
      </c>
      <c r="AD546" s="35">
        <f t="shared" si="162"/>
        <v>11683</v>
      </c>
      <c r="AE546" s="166" t="str">
        <f t="shared" si="163"/>
        <v>Release</v>
      </c>
      <c r="AF546" s="127"/>
      <c r="AG546" s="18">
        <v>0</v>
      </c>
      <c r="AH546" s="120"/>
      <c r="AI546" s="238">
        <v>0</v>
      </c>
      <c r="AJ546" s="132"/>
      <c r="AK546" s="151">
        <v>2509.3500000000004</v>
      </c>
      <c r="AL546" s="154">
        <f t="shared" si="153"/>
        <v>0</v>
      </c>
      <c r="AM546" s="155"/>
      <c r="AN546" s="19">
        <f t="shared" si="154"/>
        <v>0</v>
      </c>
      <c r="AO546" s="118">
        <f>SUMIF('MPG Payment '!E:E,'Shayak Income '!D546,'MPG Payment '!AJ:AJ)</f>
        <v>0</v>
      </c>
      <c r="AP546" s="19">
        <f t="shared" si="155"/>
        <v>0</v>
      </c>
      <c r="AQ546" s="119">
        <f t="shared" si="164"/>
        <v>0</v>
      </c>
      <c r="AR546" s="91" t="s">
        <v>1168</v>
      </c>
      <c r="AS546" s="91">
        <f t="shared" si="156"/>
        <v>0</v>
      </c>
      <c r="AT546" s="118"/>
      <c r="AU546" s="118"/>
      <c r="AV546" s="118"/>
    </row>
    <row r="547" spans="1:48" s="20" customFormat="1" x14ac:dyDescent="0.25">
      <c r="A547" s="17">
        <f>IFERROR(VLOOKUP(D547,'Monthly Deduction'!$I$3:$J$957,2,0),0)</f>
        <v>0</v>
      </c>
      <c r="B547" s="17">
        <f>IFERROR(VLOOKUP(D547,'Monthly Deduction'!$E$3:$F$957,2,0),0)</f>
        <v>0</v>
      </c>
      <c r="C547" s="17">
        <f t="shared" si="157"/>
        <v>0</v>
      </c>
      <c r="D547" s="41">
        <v>10530018</v>
      </c>
      <c r="E547" s="122" t="str">
        <f>VLOOKUP(D547,'MPG Payment '!$E$3:$G$498218,2,0)</f>
        <v>Gomukh Belsandi</v>
      </c>
      <c r="F547" s="146">
        <f>IFERROR(_xlfn.XLOOKUP(D547,'Monthly Deduction'!$I$3:$I$957,'Monthly Deduction'!$H$3:$H$957),0)</f>
        <v>0</v>
      </c>
      <c r="G547" s="123" t="str">
        <f>VLOOKUP(D547,'MPG Payment '!$E$3:$G$334579,3,0)</f>
        <v>vlc</v>
      </c>
      <c r="H547" s="124" t="str">
        <f>VLOOKUP(D547,'MPG Payment '!$E$3:$H$334579,4,0)</f>
        <v>Indirect</v>
      </c>
      <c r="I547" s="88">
        <f>INDEX('MPG Payment '!$C:$C,MATCH('Shayak Income '!D547,'MPG Payment '!E:E,0))</f>
        <v>1053</v>
      </c>
      <c r="J547" s="88" t="str">
        <f>INDEX('MPG Payment '!$D:$D,MATCH('Shayak Income '!D547,'MPG Payment '!E:E,0))</f>
        <v>Kalyanpur</v>
      </c>
      <c r="K547" s="125" t="s">
        <v>1322</v>
      </c>
      <c r="L547" s="125">
        <v>45700</v>
      </c>
      <c r="M547" s="126">
        <f>SUMIF('MPG Payment '!$E$3:$E$34579,'Shayak Income '!D547,'MPG Payment '!$I$3:$I$34579)</f>
        <v>4053.4</v>
      </c>
      <c r="N547" s="126">
        <f>SUMIF('MPG Payment '!$E$3:$E$34579,'Shayak Income '!D547,'MPG Payment '!$J$3:$J$34579)</f>
        <v>169021.81401131768</v>
      </c>
      <c r="O547" s="126">
        <f t="shared" si="158"/>
        <v>3040.05</v>
      </c>
      <c r="P547" s="126">
        <f t="shared" si="159"/>
        <v>3850.73</v>
      </c>
      <c r="Q547" s="126">
        <f>SUMIF('MPG Payment '!$E$3:$E$34579,'Shayak Income '!D547,'MPG Payment '!$S$3:$S$34579)</f>
        <v>0</v>
      </c>
      <c r="R547" s="126">
        <f t="shared" si="150"/>
        <v>5070.6544203395306</v>
      </c>
      <c r="S547" s="126">
        <f t="shared" si="151"/>
        <v>1219.9244203395306</v>
      </c>
      <c r="T547" s="126">
        <f t="shared" si="160"/>
        <v>405.34000000000003</v>
      </c>
      <c r="U547" s="127">
        <f>(((IF(K547="New",0,SUMIF('MPG Payment '!$E$3:$E$34579,'Shayak Income '!D547,'MPG Payment '!$AC$3:$AC$34579))))+0)+0</f>
        <v>0</v>
      </c>
      <c r="V547" s="127">
        <f t="shared" si="161"/>
        <v>6485</v>
      </c>
      <c r="W547" s="19">
        <f t="shared" si="165"/>
        <v>0</v>
      </c>
      <c r="X547" s="19">
        <f t="shared" si="166"/>
        <v>0</v>
      </c>
      <c r="Y547" s="128">
        <f>IFERROR(VLOOKUP(D547,'Monthly Deduction'!$M$2:$N$64,2,0),0)</f>
        <v>0</v>
      </c>
      <c r="Z547" s="128">
        <v>0</v>
      </c>
      <c r="AA547" s="126">
        <f>IFERROR(VLOOKUP(D547,'Monthly Deduction'!A:B,2,0),0)</f>
        <v>0</v>
      </c>
      <c r="AB547" s="129">
        <f t="shared" si="152"/>
        <v>6485</v>
      </c>
      <c r="AC547" s="130">
        <v>0</v>
      </c>
      <c r="AD547" s="35">
        <f t="shared" si="162"/>
        <v>6485</v>
      </c>
      <c r="AE547" s="166" t="str">
        <f t="shared" si="163"/>
        <v>Release</v>
      </c>
      <c r="AF547" s="127"/>
      <c r="AG547" s="127">
        <v>0</v>
      </c>
      <c r="AH547" s="120"/>
      <c r="AI547" s="238">
        <v>0</v>
      </c>
      <c r="AJ547" s="132"/>
      <c r="AK547" s="151">
        <v>1119.3499999999999</v>
      </c>
      <c r="AL547" s="154">
        <f t="shared" si="153"/>
        <v>0</v>
      </c>
      <c r="AM547" s="155"/>
      <c r="AN547" s="19">
        <f t="shared" si="154"/>
        <v>0</v>
      </c>
      <c r="AO547" s="118">
        <f>SUMIF('MPG Payment '!E:E,'Shayak Income '!D547,'MPG Payment '!AJ:AJ)</f>
        <v>0</v>
      </c>
      <c r="AP547" s="19">
        <f t="shared" si="155"/>
        <v>0</v>
      </c>
      <c r="AQ547" s="119">
        <f t="shared" si="164"/>
        <v>0</v>
      </c>
      <c r="AR547" s="91" t="s">
        <v>1168</v>
      </c>
      <c r="AS547" s="91">
        <f t="shared" si="156"/>
        <v>0</v>
      </c>
      <c r="AT547" s="118"/>
      <c r="AU547" s="118"/>
      <c r="AV547" s="118"/>
    </row>
    <row r="548" spans="1:48" s="20" customFormat="1" x14ac:dyDescent="0.25">
      <c r="A548" s="17">
        <f>IFERROR(VLOOKUP(D548,'Monthly Deduction'!$I$3:$J$957,2,0),0)</f>
        <v>0</v>
      </c>
      <c r="B548" s="17">
        <f>IFERROR(VLOOKUP(D548,'Monthly Deduction'!$E$3:$F$957,2,0),0)</f>
        <v>0</v>
      </c>
      <c r="C548" s="17">
        <f t="shared" si="157"/>
        <v>0</v>
      </c>
      <c r="D548" s="41">
        <v>10530019</v>
      </c>
      <c r="E548" s="122" t="str">
        <f>VLOOKUP(D548,'MPG Payment '!$E$3:$G$498218,2,0)</f>
        <v>Gomukh Namapur Ward 8</v>
      </c>
      <c r="F548" s="146">
        <f>IFERROR(_xlfn.XLOOKUP(D548,'Monthly Deduction'!$I$3:$I$957,'Monthly Deduction'!$H$3:$H$957),0)</f>
        <v>0</v>
      </c>
      <c r="G548" s="123" t="str">
        <f>VLOOKUP(D548,'MPG Payment '!$E$3:$G$334579,3,0)</f>
        <v>vlc</v>
      </c>
      <c r="H548" s="124" t="str">
        <f>VLOOKUP(D548,'MPG Payment '!$E$3:$H$334579,4,0)</f>
        <v>Indirect</v>
      </c>
      <c r="I548" s="88">
        <f>INDEX('MPG Payment '!$C:$C,MATCH('Shayak Income '!D548,'MPG Payment '!E:E,0))</f>
        <v>1053</v>
      </c>
      <c r="J548" s="88" t="str">
        <f>INDEX('MPG Payment '!$D:$D,MATCH('Shayak Income '!D548,'MPG Payment '!E:E,0))</f>
        <v>Kalyanpur</v>
      </c>
      <c r="K548" s="125" t="s">
        <v>1322</v>
      </c>
      <c r="L548" s="125">
        <v>45701</v>
      </c>
      <c r="M548" s="126">
        <f>SUMIF('MPG Payment '!$E$3:$E$34579,'Shayak Income '!D548,'MPG Payment '!$I$3:$I$34579)</f>
        <v>3378.4</v>
      </c>
      <c r="N548" s="126">
        <f>SUMIF('MPG Payment '!$E$3:$E$34579,'Shayak Income '!D548,'MPG Payment '!$J$3:$J$34579)</f>
        <v>137907.17625782068</v>
      </c>
      <c r="O548" s="126">
        <f t="shared" si="158"/>
        <v>2533.8000000000002</v>
      </c>
      <c r="P548" s="126">
        <f t="shared" si="159"/>
        <v>3209.48</v>
      </c>
      <c r="Q548" s="126">
        <f>SUMIF('MPG Payment '!$E$3:$E$34579,'Shayak Income '!D548,'MPG Payment '!$S$3:$S$34579)</f>
        <v>0</v>
      </c>
      <c r="R548" s="126">
        <f t="shared" si="150"/>
        <v>4137.2152877346207</v>
      </c>
      <c r="S548" s="126">
        <f t="shared" si="151"/>
        <v>927.73528773462067</v>
      </c>
      <c r="T548" s="126">
        <f t="shared" si="160"/>
        <v>337.84000000000003</v>
      </c>
      <c r="U548" s="127">
        <f>(((IF(K548="New",0,SUMIF('MPG Payment '!$E$3:$E$34579,'Shayak Income '!D548,'MPG Payment '!$AC$3:$AC$34579))))+0)+0</f>
        <v>0</v>
      </c>
      <c r="V548" s="127">
        <f t="shared" si="161"/>
        <v>5405</v>
      </c>
      <c r="W548" s="19">
        <f t="shared" si="165"/>
        <v>0</v>
      </c>
      <c r="X548" s="19">
        <f t="shared" si="166"/>
        <v>0</v>
      </c>
      <c r="Y548" s="128">
        <f>IFERROR(VLOOKUP(D548,'Monthly Deduction'!$M$2:$N$64,2,0),0)</f>
        <v>0</v>
      </c>
      <c r="Z548" s="128">
        <v>0</v>
      </c>
      <c r="AA548" s="126">
        <f>IFERROR(VLOOKUP(D548,'Monthly Deduction'!A:B,2,0),0)</f>
        <v>0</v>
      </c>
      <c r="AB548" s="129">
        <f t="shared" si="152"/>
        <v>5405</v>
      </c>
      <c r="AC548" s="130">
        <v>0</v>
      </c>
      <c r="AD548" s="35">
        <f t="shared" si="162"/>
        <v>5405</v>
      </c>
      <c r="AE548" s="166" t="str">
        <f t="shared" si="163"/>
        <v>Release</v>
      </c>
      <c r="AF548" s="127"/>
      <c r="AG548" s="18">
        <v>0</v>
      </c>
      <c r="AH548" s="132"/>
      <c r="AI548" s="238">
        <v>0</v>
      </c>
      <c r="AJ548" s="132"/>
      <c r="AK548" s="151">
        <v>967</v>
      </c>
      <c r="AL548" s="154">
        <f t="shared" si="153"/>
        <v>0</v>
      </c>
      <c r="AM548" s="155"/>
      <c r="AN548" s="19">
        <f t="shared" si="154"/>
        <v>0</v>
      </c>
      <c r="AO548" s="118">
        <f>SUMIF('MPG Payment '!E:E,'Shayak Income '!D548,'MPG Payment '!AJ:AJ)</f>
        <v>0</v>
      </c>
      <c r="AP548" s="19">
        <f t="shared" si="155"/>
        <v>0</v>
      </c>
      <c r="AQ548" s="119">
        <f t="shared" si="164"/>
        <v>0</v>
      </c>
      <c r="AR548" s="91" t="s">
        <v>1168</v>
      </c>
      <c r="AS548" s="91">
        <f t="shared" si="156"/>
        <v>0</v>
      </c>
      <c r="AT548" s="118"/>
      <c r="AU548" s="118"/>
      <c r="AV548" s="118"/>
    </row>
    <row r="549" spans="1:48" s="20" customFormat="1" x14ac:dyDescent="0.25">
      <c r="A549" s="17">
        <f>IFERROR(VLOOKUP(D549,'Monthly Deduction'!$I$3:$J$957,2,0),0)</f>
        <v>0</v>
      </c>
      <c r="B549" s="17">
        <f>IFERROR(VLOOKUP(D549,'Monthly Deduction'!$E$3:$F$957,2,0),0)</f>
        <v>0</v>
      </c>
      <c r="C549" s="17">
        <f t="shared" si="157"/>
        <v>0</v>
      </c>
      <c r="D549" s="41">
        <v>10530025</v>
      </c>
      <c r="E549" s="122" t="str">
        <f>VLOOKUP(D549,'MPG Payment '!$E$3:$G$498218,2,0)</f>
        <v>Belsandi</v>
      </c>
      <c r="F549" s="146">
        <f>IFERROR(_xlfn.XLOOKUP(D549,'Monthly Deduction'!$I$3:$I$957,'Monthly Deduction'!$H$3:$H$957),0)</f>
        <v>0</v>
      </c>
      <c r="G549" s="123" t="str">
        <f>VLOOKUP(D549,'MPG Payment '!$E$3:$G$334579,3,0)</f>
        <v>vlc</v>
      </c>
      <c r="H549" s="124" t="str">
        <f>VLOOKUP(D549,'MPG Payment '!$E$3:$H$334579,4,0)</f>
        <v>Indirect</v>
      </c>
      <c r="I549" s="88">
        <f>INDEX('MPG Payment '!$C:$C,MATCH('Shayak Income '!D549,'MPG Payment '!E:E,0))</f>
        <v>1053</v>
      </c>
      <c r="J549" s="88" t="str">
        <f>INDEX('MPG Payment '!$D:$D,MATCH('Shayak Income '!D549,'MPG Payment '!E:E,0))</f>
        <v>Kalyanpur</v>
      </c>
      <c r="K549" s="125" t="s">
        <v>1322</v>
      </c>
      <c r="L549" s="125">
        <v>45711</v>
      </c>
      <c r="M549" s="126">
        <f>SUMIF('MPG Payment '!$E$3:$E$34579,'Shayak Income '!D549,'MPG Payment '!$I$3:$I$34579)</f>
        <v>4936.6499999999996</v>
      </c>
      <c r="N549" s="126">
        <f>SUMIF('MPG Payment '!$E$3:$E$34579,'Shayak Income '!D549,'MPG Payment '!$J$3:$J$34579)</f>
        <v>193547.406438754</v>
      </c>
      <c r="O549" s="126">
        <f t="shared" si="158"/>
        <v>3702.4874999999997</v>
      </c>
      <c r="P549" s="126">
        <f t="shared" si="159"/>
        <v>4689.8174999999992</v>
      </c>
      <c r="Q549" s="126">
        <f>SUMIF('MPG Payment '!$E$3:$E$34579,'Shayak Income '!D549,'MPG Payment '!$S$3:$S$34579)</f>
        <v>0</v>
      </c>
      <c r="R549" s="126">
        <f t="shared" si="150"/>
        <v>5806.4221931626198</v>
      </c>
      <c r="S549" s="126">
        <f t="shared" si="151"/>
        <v>1116.6046931626206</v>
      </c>
      <c r="T549" s="126">
        <f t="shared" si="160"/>
        <v>493.66499999999996</v>
      </c>
      <c r="U549" s="127">
        <f>(((IF(K549="New",0,SUMIF('MPG Payment '!$E$3:$E$34579,'Shayak Income '!D549,'MPG Payment '!$AC$3:$AC$34579))))+0)+0</f>
        <v>491.4390819277109</v>
      </c>
      <c r="V549" s="127">
        <f t="shared" si="161"/>
        <v>7407</v>
      </c>
      <c r="W549" s="19">
        <f t="shared" si="165"/>
        <v>0</v>
      </c>
      <c r="X549" s="19">
        <f t="shared" si="166"/>
        <v>0</v>
      </c>
      <c r="Y549" s="128">
        <f>IFERROR(VLOOKUP(D549,'Monthly Deduction'!$M$2:$N$64,2,0),0)</f>
        <v>0</v>
      </c>
      <c r="Z549" s="128">
        <v>0</v>
      </c>
      <c r="AA549" s="126">
        <f>IFERROR(VLOOKUP(D549,'Monthly Deduction'!A:B,2,0),0)</f>
        <v>0</v>
      </c>
      <c r="AB549" s="129">
        <f t="shared" si="152"/>
        <v>7407</v>
      </c>
      <c r="AC549" s="130">
        <v>0</v>
      </c>
      <c r="AD549" s="35">
        <f t="shared" si="162"/>
        <v>7407</v>
      </c>
      <c r="AE549" s="166" t="str">
        <f t="shared" si="163"/>
        <v>Release</v>
      </c>
      <c r="AF549" s="127"/>
      <c r="AG549" s="127">
        <v>0</v>
      </c>
      <c r="AH549" s="120"/>
      <c r="AI549" s="238">
        <v>0</v>
      </c>
      <c r="AJ549" s="132"/>
      <c r="AK549" s="151">
        <v>2255.0500000000002</v>
      </c>
      <c r="AL549" s="154">
        <f t="shared" si="153"/>
        <v>0</v>
      </c>
      <c r="AM549" s="155"/>
      <c r="AN549" s="19">
        <f t="shared" si="154"/>
        <v>0</v>
      </c>
      <c r="AO549" s="118">
        <f>SUMIF('MPG Payment '!E:E,'Shayak Income '!D549,'MPG Payment '!AJ:AJ)</f>
        <v>0</v>
      </c>
      <c r="AP549" s="19">
        <f t="shared" si="155"/>
        <v>0</v>
      </c>
      <c r="AQ549" s="119">
        <f t="shared" si="164"/>
        <v>0</v>
      </c>
      <c r="AR549" s="91" t="s">
        <v>1168</v>
      </c>
      <c r="AS549" s="91">
        <f t="shared" si="156"/>
        <v>0</v>
      </c>
      <c r="AT549" s="118"/>
      <c r="AU549" s="118"/>
      <c r="AV549" s="118"/>
    </row>
    <row r="550" spans="1:48" s="20" customFormat="1" x14ac:dyDescent="0.25">
      <c r="A550" s="17">
        <f>IFERROR(VLOOKUP(D550,'Monthly Deduction'!$I$3:$J$957,2,0),0)</f>
        <v>0</v>
      </c>
      <c r="B550" s="17">
        <f>IFERROR(VLOOKUP(D550,'Monthly Deduction'!$E$3:$F$957,2,0),0)</f>
        <v>0</v>
      </c>
      <c r="C550" s="17">
        <f t="shared" si="157"/>
        <v>0</v>
      </c>
      <c r="D550" s="41">
        <v>10530029</v>
      </c>
      <c r="E550" s="122" t="str">
        <f>VLOOKUP(D550,'MPG Payment '!$E$3:$G$498218,2,0)</f>
        <v>Gomukh Belsandi East</v>
      </c>
      <c r="F550" s="146">
        <f>IFERROR(_xlfn.XLOOKUP(D550,'Monthly Deduction'!$I$3:$I$957,'Monthly Deduction'!$H$3:$H$957),0)</f>
        <v>0</v>
      </c>
      <c r="G550" s="123" t="str">
        <f>VLOOKUP(D550,'MPG Payment '!$E$3:$G$334579,3,0)</f>
        <v>vlc</v>
      </c>
      <c r="H550" s="124" t="str">
        <f>VLOOKUP(D550,'MPG Payment '!$E$3:$H$334579,4,0)</f>
        <v>Indirect</v>
      </c>
      <c r="I550" s="88">
        <f>INDEX('MPG Payment '!$C:$C,MATCH('Shayak Income '!D550,'MPG Payment '!E:E,0))</f>
        <v>1053</v>
      </c>
      <c r="J550" s="88" t="str">
        <f>INDEX('MPG Payment '!$D:$D,MATCH('Shayak Income '!D550,'MPG Payment '!E:E,0))</f>
        <v>Kalyanpur</v>
      </c>
      <c r="K550" s="125" t="s">
        <v>1322</v>
      </c>
      <c r="L550" s="125">
        <v>45717</v>
      </c>
      <c r="M550" s="126">
        <f>SUMIF('MPG Payment '!$E$3:$E$34579,'Shayak Income '!D550,'MPG Payment '!$I$3:$I$34579)</f>
        <v>6627.15</v>
      </c>
      <c r="N550" s="126">
        <f>SUMIF('MPG Payment '!$E$3:$E$34579,'Shayak Income '!D550,'MPG Payment '!$J$3:$J$34579)</f>
        <v>274739.42445164663</v>
      </c>
      <c r="O550" s="126">
        <f t="shared" si="158"/>
        <v>4970.3624999999993</v>
      </c>
      <c r="P550" s="126">
        <f t="shared" si="159"/>
        <v>6295.7924999999996</v>
      </c>
      <c r="Q550" s="126">
        <f>SUMIF('MPG Payment '!$E$3:$E$34579,'Shayak Income '!D550,'MPG Payment '!$S$3:$S$34579)</f>
        <v>0</v>
      </c>
      <c r="R550" s="126">
        <f t="shared" si="150"/>
        <v>8242.1827335493981</v>
      </c>
      <c r="S550" s="126">
        <f t="shared" si="151"/>
        <v>1946.3902335493985</v>
      </c>
      <c r="T550" s="126">
        <f t="shared" si="160"/>
        <v>662.71500000000003</v>
      </c>
      <c r="U550" s="127">
        <f>(((IF(K550="New",0,SUMIF('MPG Payment '!$E$3:$E$34579,'Shayak Income '!D550,'MPG Payment '!$AC$3:$AC$34579))))+0)+0</f>
        <v>0</v>
      </c>
      <c r="V550" s="127">
        <f t="shared" si="161"/>
        <v>10603</v>
      </c>
      <c r="W550" s="19">
        <f t="shared" si="165"/>
        <v>0</v>
      </c>
      <c r="X550" s="19">
        <f t="shared" si="166"/>
        <v>0</v>
      </c>
      <c r="Y550" s="128">
        <f>IFERROR(VLOOKUP(D550,'Monthly Deduction'!$M$2:$N$64,2,0),0)</f>
        <v>0</v>
      </c>
      <c r="Z550" s="128">
        <v>0</v>
      </c>
      <c r="AA550" s="126">
        <f>IFERROR(VLOOKUP(D550,'Monthly Deduction'!A:B,2,0),0)</f>
        <v>0</v>
      </c>
      <c r="AB550" s="129">
        <f t="shared" si="152"/>
        <v>10603</v>
      </c>
      <c r="AC550" s="130">
        <v>0</v>
      </c>
      <c r="AD550" s="35">
        <f t="shared" si="162"/>
        <v>10603</v>
      </c>
      <c r="AE550" s="166" t="str">
        <f t="shared" si="163"/>
        <v>Release</v>
      </c>
      <c r="AF550" s="127"/>
      <c r="AG550" s="18">
        <v>0</v>
      </c>
      <c r="AH550" s="120"/>
      <c r="AI550" s="238">
        <v>0</v>
      </c>
      <c r="AJ550" s="132"/>
      <c r="AK550" s="151">
        <v>1516.35</v>
      </c>
      <c r="AL550" s="154">
        <f t="shared" si="153"/>
        <v>0</v>
      </c>
      <c r="AM550" s="155"/>
      <c r="AN550" s="19">
        <f t="shared" si="154"/>
        <v>0</v>
      </c>
      <c r="AO550" s="118">
        <f>SUMIF('MPG Payment '!E:E,'Shayak Income '!D550,'MPG Payment '!AJ:AJ)</f>
        <v>0</v>
      </c>
      <c r="AP550" s="19">
        <f t="shared" si="155"/>
        <v>0</v>
      </c>
      <c r="AQ550" s="119">
        <f t="shared" si="164"/>
        <v>0</v>
      </c>
      <c r="AR550" s="91" t="s">
        <v>1168</v>
      </c>
      <c r="AS550" s="91">
        <f t="shared" si="156"/>
        <v>0</v>
      </c>
      <c r="AT550" s="118"/>
      <c r="AU550" s="118"/>
      <c r="AV550" s="118"/>
    </row>
    <row r="551" spans="1:48" s="20" customFormat="1" x14ac:dyDescent="0.25">
      <c r="A551" s="17">
        <f>IFERROR(VLOOKUP(D551,'Monthly Deduction'!$I$3:$J$957,2,0),0)</f>
        <v>0</v>
      </c>
      <c r="B551" s="17">
        <f>IFERROR(VLOOKUP(D551,'Monthly Deduction'!$E$3:$F$957,2,0),0)</f>
        <v>0</v>
      </c>
      <c r="C551" s="17">
        <f t="shared" si="157"/>
        <v>0</v>
      </c>
      <c r="D551" s="41">
        <v>10530030</v>
      </c>
      <c r="E551" s="122" t="str">
        <f>VLOOKUP(D551,'MPG Payment '!$E$3:$G$498218,2,0)</f>
        <v>Gomukh Belsandi West Tola</v>
      </c>
      <c r="F551" s="146">
        <f>IFERROR(_xlfn.XLOOKUP(D551,'Monthly Deduction'!$I$3:$I$957,'Monthly Deduction'!$H$3:$H$957),0)</f>
        <v>0</v>
      </c>
      <c r="G551" s="123" t="str">
        <f>VLOOKUP(D551,'MPG Payment '!$E$3:$G$334579,3,0)</f>
        <v>vlc</v>
      </c>
      <c r="H551" s="124" t="str">
        <f>VLOOKUP(D551,'MPG Payment '!$E$3:$H$334579,4,0)</f>
        <v>Indirect</v>
      </c>
      <c r="I551" s="88">
        <f>INDEX('MPG Payment '!$C:$C,MATCH('Shayak Income '!D551,'MPG Payment '!E:E,0))</f>
        <v>1053</v>
      </c>
      <c r="J551" s="88" t="str">
        <f>INDEX('MPG Payment '!$D:$D,MATCH('Shayak Income '!D551,'MPG Payment '!E:E,0))</f>
        <v>Kalyanpur</v>
      </c>
      <c r="K551" s="125" t="s">
        <v>1322</v>
      </c>
      <c r="L551" s="125">
        <v>45716</v>
      </c>
      <c r="M551" s="126">
        <f>SUMIF('MPG Payment '!$E$3:$E$34579,'Shayak Income '!D551,'MPG Payment '!$I$3:$I$34579)</f>
        <v>1191.0999999999999</v>
      </c>
      <c r="N551" s="126">
        <f>SUMIF('MPG Payment '!$E$3:$E$34579,'Shayak Income '!D551,'MPG Payment '!$J$3:$J$34579)</f>
        <v>45847.840982296751</v>
      </c>
      <c r="O551" s="126">
        <f t="shared" si="158"/>
        <v>893.32499999999993</v>
      </c>
      <c r="P551" s="126">
        <f t="shared" si="159"/>
        <v>1131.5449999999998</v>
      </c>
      <c r="Q551" s="126">
        <f>SUMIF('MPG Payment '!$E$3:$E$34579,'Shayak Income '!D551,'MPG Payment '!$S$3:$S$34579)</f>
        <v>0</v>
      </c>
      <c r="R551" s="126">
        <f t="shared" si="150"/>
        <v>1375.4352294689024</v>
      </c>
      <c r="S551" s="126">
        <f t="shared" si="151"/>
        <v>243.89022946890259</v>
      </c>
      <c r="T551" s="126">
        <f t="shared" si="160"/>
        <v>119.11</v>
      </c>
      <c r="U551" s="127">
        <f>(((IF(K551="New",0,SUMIF('MPG Payment '!$E$3:$E$34579,'Shayak Income '!D551,'MPG Payment '!$AC$3:$AC$34579))))+0)+0</f>
        <v>1238.4366682422897</v>
      </c>
      <c r="V551" s="127">
        <f t="shared" si="161"/>
        <v>667</v>
      </c>
      <c r="W551" s="19">
        <f t="shared" si="165"/>
        <v>0</v>
      </c>
      <c r="X551" s="19">
        <f t="shared" si="166"/>
        <v>0</v>
      </c>
      <c r="Y551" s="128">
        <f>IFERROR(VLOOKUP(D551,'Monthly Deduction'!$M$2:$N$64,2,0),0)</f>
        <v>0</v>
      </c>
      <c r="Z551" s="128">
        <v>0</v>
      </c>
      <c r="AA551" s="126">
        <f>IFERROR(VLOOKUP(D551,'Monthly Deduction'!A:B,2,0),0)</f>
        <v>0</v>
      </c>
      <c r="AB551" s="129">
        <f t="shared" si="152"/>
        <v>667</v>
      </c>
      <c r="AC551" s="130">
        <v>0</v>
      </c>
      <c r="AD551" s="35">
        <f t="shared" si="162"/>
        <v>667</v>
      </c>
      <c r="AE551" s="166" t="str">
        <f t="shared" si="163"/>
        <v>Release</v>
      </c>
      <c r="AF551" s="127"/>
      <c r="AG551" s="127">
        <v>0</v>
      </c>
      <c r="AH551" s="120"/>
      <c r="AI551" s="238">
        <v>0</v>
      </c>
      <c r="AJ551" s="132"/>
      <c r="AK551" s="151">
        <v>381.34999999999997</v>
      </c>
      <c r="AL551" s="154">
        <f t="shared" si="153"/>
        <v>0</v>
      </c>
      <c r="AM551" s="155"/>
      <c r="AN551" s="19">
        <f t="shared" si="154"/>
        <v>0</v>
      </c>
      <c r="AO551" s="118">
        <f>SUMIF('MPG Payment '!E:E,'Shayak Income '!D551,'MPG Payment '!AJ:AJ)</f>
        <v>0</v>
      </c>
      <c r="AP551" s="19">
        <f t="shared" si="155"/>
        <v>0</v>
      </c>
      <c r="AQ551" s="119">
        <f t="shared" si="164"/>
        <v>0</v>
      </c>
      <c r="AR551" s="91" t="s">
        <v>1168</v>
      </c>
      <c r="AS551" s="91">
        <f t="shared" si="156"/>
        <v>0</v>
      </c>
      <c r="AT551" s="118"/>
      <c r="AU551" s="118"/>
      <c r="AV551" s="118"/>
    </row>
    <row r="552" spans="1:48" s="20" customFormat="1" x14ac:dyDescent="0.25">
      <c r="A552" s="17">
        <f>IFERROR(VLOOKUP(D552,'Monthly Deduction'!$I$3:$J$957,2,0),0)</f>
        <v>0</v>
      </c>
      <c r="B552" s="17">
        <f>IFERROR(VLOOKUP(D552,'Monthly Deduction'!$E$3:$F$957,2,0),0)</f>
        <v>0</v>
      </c>
      <c r="C552" s="17">
        <f t="shared" si="157"/>
        <v>0</v>
      </c>
      <c r="D552" s="41">
        <v>10530031</v>
      </c>
      <c r="E552" s="122" t="str">
        <f>VLOOKUP(D552,'MPG Payment '!$E$3:$G$498218,2,0)</f>
        <v>Gomukh Gopalpur</v>
      </c>
      <c r="F552" s="146">
        <f>IFERROR(_xlfn.XLOOKUP(D552,'Monthly Deduction'!$I$3:$I$957,'Monthly Deduction'!$H$3:$H$957),0)</f>
        <v>0</v>
      </c>
      <c r="G552" s="123" t="str">
        <f>VLOOKUP(D552,'MPG Payment '!$E$3:$G$334579,3,0)</f>
        <v>vlc</v>
      </c>
      <c r="H552" s="124" t="str">
        <f>VLOOKUP(D552,'MPG Payment '!$E$3:$H$334579,4,0)</f>
        <v>Indirect</v>
      </c>
      <c r="I552" s="88">
        <f>INDEX('MPG Payment '!$C:$C,MATCH('Shayak Income '!D552,'MPG Payment '!E:E,0))</f>
        <v>1053</v>
      </c>
      <c r="J552" s="88" t="str">
        <f>INDEX('MPG Payment '!$D:$D,MATCH('Shayak Income '!D552,'MPG Payment '!E:E,0))</f>
        <v>Kalyanpur</v>
      </c>
      <c r="K552" s="125" t="s">
        <v>1322</v>
      </c>
      <c r="L552" s="125">
        <v>45720</v>
      </c>
      <c r="M552" s="126">
        <f>SUMIF('MPG Payment '!$E$3:$E$34579,'Shayak Income '!D552,'MPG Payment '!$I$3:$I$34579)</f>
        <v>6541.5</v>
      </c>
      <c r="N552" s="126">
        <f>SUMIF('MPG Payment '!$E$3:$E$34579,'Shayak Income '!D552,'MPG Payment '!$J$3:$J$34579)</f>
        <v>270454.56918199599</v>
      </c>
      <c r="O552" s="126">
        <f t="shared" si="158"/>
        <v>4906.125</v>
      </c>
      <c r="P552" s="126">
        <f t="shared" si="159"/>
        <v>6214.4249999999993</v>
      </c>
      <c r="Q552" s="126">
        <f>SUMIF('MPG Payment '!$E$3:$E$34579,'Shayak Income '!D552,'MPG Payment '!$S$3:$S$34579)</f>
        <v>0</v>
      </c>
      <c r="R552" s="126">
        <f t="shared" si="150"/>
        <v>8113.6370754598793</v>
      </c>
      <c r="S552" s="126">
        <f t="shared" si="151"/>
        <v>1899.21207545988</v>
      </c>
      <c r="T552" s="126">
        <f t="shared" si="160"/>
        <v>654.15000000000009</v>
      </c>
      <c r="U552" s="127">
        <f>(((IF(K552="New",0,SUMIF('MPG Payment '!$E$3:$E$34579,'Shayak Income '!D552,'MPG Payment '!$AC$3:$AC$34579))))+0)+0</f>
        <v>0</v>
      </c>
      <c r="V552" s="127">
        <f t="shared" si="161"/>
        <v>10466</v>
      </c>
      <c r="W552" s="19">
        <f t="shared" si="165"/>
        <v>0</v>
      </c>
      <c r="X552" s="19">
        <f t="shared" si="166"/>
        <v>0</v>
      </c>
      <c r="Y552" s="128">
        <f>IFERROR(VLOOKUP(D552,'Monthly Deduction'!$M$2:$N$64,2,0),0)</f>
        <v>0</v>
      </c>
      <c r="Z552" s="128">
        <v>0</v>
      </c>
      <c r="AA552" s="126">
        <f>IFERROR(VLOOKUP(D552,'Monthly Deduction'!A:B,2,0),0)</f>
        <v>0</v>
      </c>
      <c r="AB552" s="129">
        <f t="shared" si="152"/>
        <v>10466</v>
      </c>
      <c r="AC552" s="130">
        <v>0</v>
      </c>
      <c r="AD552" s="35">
        <f t="shared" si="162"/>
        <v>10466</v>
      </c>
      <c r="AE552" s="166" t="str">
        <f t="shared" si="163"/>
        <v>Release</v>
      </c>
      <c r="AF552" s="127"/>
      <c r="AG552" s="18">
        <v>0</v>
      </c>
      <c r="AH552" s="120"/>
      <c r="AI552" s="238">
        <v>0</v>
      </c>
      <c r="AJ552" s="132"/>
      <c r="AK552" s="151">
        <v>1211.9000000000001</v>
      </c>
      <c r="AL552" s="154">
        <f t="shared" si="153"/>
        <v>0</v>
      </c>
      <c r="AM552" s="155"/>
      <c r="AN552" s="19">
        <f t="shared" si="154"/>
        <v>0</v>
      </c>
      <c r="AO552" s="118">
        <f>SUMIF('MPG Payment '!E:E,'Shayak Income '!D552,'MPG Payment '!AJ:AJ)</f>
        <v>0</v>
      </c>
      <c r="AP552" s="19">
        <f t="shared" si="155"/>
        <v>0</v>
      </c>
      <c r="AQ552" s="119">
        <f t="shared" si="164"/>
        <v>0</v>
      </c>
      <c r="AR552" s="91" t="s">
        <v>1168</v>
      </c>
      <c r="AS552" s="91">
        <f t="shared" si="156"/>
        <v>0</v>
      </c>
      <c r="AT552" s="118"/>
      <c r="AU552" s="118"/>
      <c r="AV552" s="118"/>
    </row>
    <row r="553" spans="1:48" s="20" customFormat="1" x14ac:dyDescent="0.25">
      <c r="A553" s="17">
        <f>IFERROR(VLOOKUP(D553,'Monthly Deduction'!$I$3:$J$957,2,0),0)</f>
        <v>54159.83600617067</v>
      </c>
      <c r="B553" s="17">
        <f>IFERROR(VLOOKUP(D553,'Monthly Deduction'!$E$3:$F$957,2,0),0)</f>
        <v>10700</v>
      </c>
      <c r="C553" s="17">
        <f t="shared" si="157"/>
        <v>64859.83600617067</v>
      </c>
      <c r="D553" s="41">
        <v>10530032</v>
      </c>
      <c r="E553" s="122" t="str">
        <f>VLOOKUP(D553,'MPG Payment '!$E$3:$G$498218,2,0)</f>
        <v>Gomukh Bharav</v>
      </c>
      <c r="F553" s="146">
        <f>IFERROR(_xlfn.XLOOKUP(D553,'Monthly Deduction'!$I$3:$I$957,'Monthly Deduction'!$H$3:$H$957),0)</f>
        <v>0</v>
      </c>
      <c r="G553" s="123" t="str">
        <f>VLOOKUP(D553,'MPG Payment '!$E$3:$G$334579,3,0)</f>
        <v>MPG</v>
      </c>
      <c r="H553" s="124" t="str">
        <f>VLOOKUP(D553,'MPG Payment '!$E$3:$H$334579,4,0)</f>
        <v>Direct</v>
      </c>
      <c r="I553" s="88">
        <f>INDEX('MPG Payment '!$C:$C,MATCH('Shayak Income '!D553,'MPG Payment '!E:E,0))</f>
        <v>1053</v>
      </c>
      <c r="J553" s="88" t="str">
        <f>INDEX('MPG Payment '!$D:$D,MATCH('Shayak Income '!D553,'MPG Payment '!E:E,0))</f>
        <v>Kalyanpur</v>
      </c>
      <c r="K553" s="125" t="s">
        <v>1322</v>
      </c>
      <c r="L553" s="125">
        <v>45739</v>
      </c>
      <c r="M553" s="126">
        <f>SUMIF('MPG Payment '!$E$3:$E$34579,'Shayak Income '!D553,'MPG Payment '!$I$3:$I$34579)</f>
        <v>1806.2999999999997</v>
      </c>
      <c r="N553" s="126">
        <f>SUMIF('MPG Payment '!$E$3:$E$34579,'Shayak Income '!D553,'MPG Payment '!$J$3:$J$34579)</f>
        <v>90830.186201703909</v>
      </c>
      <c r="O553" s="126">
        <f t="shared" si="158"/>
        <v>1354.7249999999999</v>
      </c>
      <c r="P553" s="126">
        <f t="shared" si="159"/>
        <v>1715.9849999999997</v>
      </c>
      <c r="Q553" s="126">
        <f>SUMIF('MPG Payment '!$E$3:$E$34579,'Shayak Income '!D553,'MPG Payment '!$S$3:$S$34579)</f>
        <v>978.41007960638012</v>
      </c>
      <c r="R553" s="126">
        <f t="shared" si="150"/>
        <v>2724.9055860511171</v>
      </c>
      <c r="S553" s="126">
        <f t="shared" si="151"/>
        <v>1008.9205860511174</v>
      </c>
      <c r="T553" s="126">
        <f t="shared" si="160"/>
        <v>180.63</v>
      </c>
      <c r="U553" s="127">
        <f>(((IF(K553="New",0,SUMIF('MPG Payment '!$E$3:$E$34579,'Shayak Income '!D553,'MPG Payment '!$AC$3:$AC$34579))))+0)+0</f>
        <v>998.60261689667959</v>
      </c>
      <c r="V553" s="127">
        <f t="shared" si="161"/>
        <v>2870</v>
      </c>
      <c r="W553" s="19">
        <f t="shared" si="165"/>
        <v>1861</v>
      </c>
      <c r="X553" s="19">
        <v>0</v>
      </c>
      <c r="Y553" s="128">
        <f>IFERROR(VLOOKUP(D553,'Monthly Deduction'!$M$2:$N$64,2,0),0)</f>
        <v>0</v>
      </c>
      <c r="Z553" s="128">
        <v>0</v>
      </c>
      <c r="AA553" s="126">
        <f>IFERROR(VLOOKUP(D553,'Monthly Deduction'!A:B,2,0),0)</f>
        <v>0</v>
      </c>
      <c r="AB553" s="129">
        <f t="shared" si="152"/>
        <v>1009</v>
      </c>
      <c r="AC553" s="130">
        <v>0</v>
      </c>
      <c r="AD553" s="35">
        <f t="shared" si="162"/>
        <v>1009</v>
      </c>
      <c r="AE553" s="166" t="str">
        <f t="shared" si="163"/>
        <v>Release</v>
      </c>
      <c r="AF553" s="127"/>
      <c r="AG553" s="18">
        <v>0</v>
      </c>
      <c r="AH553" s="120"/>
      <c r="AI553" s="238">
        <v>0</v>
      </c>
      <c r="AJ553" s="132"/>
      <c r="AK553" s="151">
        <v>491.75</v>
      </c>
      <c r="AL553" s="154">
        <f t="shared" si="153"/>
        <v>0</v>
      </c>
      <c r="AM553" s="155"/>
      <c r="AN553" s="19">
        <f t="shared" si="154"/>
        <v>1861</v>
      </c>
      <c r="AO553" s="118">
        <f>SUMIF('MPG Payment '!E:E,'Shayak Income '!D553,'MPG Payment '!AJ:AJ)</f>
        <v>0</v>
      </c>
      <c r="AP553" s="19">
        <f t="shared" si="155"/>
        <v>1861</v>
      </c>
      <c r="AQ553" s="119">
        <f t="shared" si="164"/>
        <v>1861</v>
      </c>
      <c r="AR553" s="91" t="s">
        <v>1168</v>
      </c>
      <c r="AS553" s="91">
        <f t="shared" si="156"/>
        <v>10700</v>
      </c>
      <c r="AT553" s="118"/>
      <c r="AU553" s="118"/>
      <c r="AV553" s="118"/>
    </row>
    <row r="554" spans="1:48" s="20" customFormat="1" x14ac:dyDescent="0.25">
      <c r="A554" s="17">
        <f>IFERROR(VLOOKUP(D554,'Monthly Deduction'!$I$3:$J$957,2,0),0)</f>
        <v>48940.519870912147</v>
      </c>
      <c r="B554" s="17">
        <f>IFERROR(VLOOKUP(D554,'Monthly Deduction'!$E$3:$F$957,2,0),0)</f>
        <v>10700</v>
      </c>
      <c r="C554" s="17">
        <f t="shared" si="157"/>
        <v>59640.519870912147</v>
      </c>
      <c r="D554" s="41">
        <v>10530033</v>
      </c>
      <c r="E554" s="122" t="str">
        <f>VLOOKUP(D554,'MPG Payment '!$E$3:$G$498218,2,0)</f>
        <v>Gomukh Harpur</v>
      </c>
      <c r="F554" s="146">
        <f>IFERROR(_xlfn.XLOOKUP(D554,'Monthly Deduction'!$I$3:$I$957,'Monthly Deduction'!$H$3:$H$957),0)</f>
        <v>0</v>
      </c>
      <c r="G554" s="123" t="str">
        <f>VLOOKUP(D554,'MPG Payment '!$E$3:$G$334579,3,0)</f>
        <v>MPG</v>
      </c>
      <c r="H554" s="124" t="str">
        <f>VLOOKUP(D554,'MPG Payment '!$E$3:$H$334579,4,0)</f>
        <v>Direct</v>
      </c>
      <c r="I554" s="88">
        <f>INDEX('MPG Payment '!$C:$C,MATCH('Shayak Income '!D554,'MPG Payment '!E:E,0))</f>
        <v>1053</v>
      </c>
      <c r="J554" s="88" t="str">
        <f>INDEX('MPG Payment '!$D:$D,MATCH('Shayak Income '!D554,'MPG Payment '!E:E,0))</f>
        <v>Kalyanpur</v>
      </c>
      <c r="K554" s="125" t="s">
        <v>1322</v>
      </c>
      <c r="L554" s="125">
        <v>45745</v>
      </c>
      <c r="M554" s="126">
        <f>SUMIF('MPG Payment '!$E$3:$E$34579,'Shayak Income '!D554,'MPG Payment '!$I$3:$I$34579)</f>
        <v>3833.95</v>
      </c>
      <c r="N554" s="126">
        <f>SUMIF('MPG Payment '!$E$3:$E$34579,'Shayak Income '!D554,'MPG Payment '!$J$3:$J$34579)</f>
        <v>158244.8947338523</v>
      </c>
      <c r="O554" s="126">
        <f t="shared" si="158"/>
        <v>2875.4624999999996</v>
      </c>
      <c r="P554" s="126">
        <f t="shared" si="159"/>
        <v>3642.2524999999996</v>
      </c>
      <c r="Q554" s="126">
        <f>SUMIF('MPG Payment '!$E$3:$E$34579,'Shayak Income '!D554,'MPG Payment '!$S$3:$S$34579)</f>
        <v>2711.0271171007616</v>
      </c>
      <c r="R554" s="126">
        <f t="shared" si="150"/>
        <v>4747.3468420155687</v>
      </c>
      <c r="S554" s="126">
        <f t="shared" si="151"/>
        <v>1105.0943420155691</v>
      </c>
      <c r="T554" s="126">
        <f t="shared" si="160"/>
        <v>383.39499999999998</v>
      </c>
      <c r="U554" s="127">
        <f>(((IF(K554="New",0,SUMIF('MPG Payment '!$E$3:$E$34579,'Shayak Income '!D554,'MPG Payment '!$AC$3:$AC$34579))))+0)+0</f>
        <v>0</v>
      </c>
      <c r="V554" s="127">
        <f t="shared" si="161"/>
        <v>8845</v>
      </c>
      <c r="W554" s="19">
        <f t="shared" si="165"/>
        <v>3164.8978946770462</v>
      </c>
      <c r="X554" s="19">
        <v>0</v>
      </c>
      <c r="Y554" s="128">
        <f>IFERROR(VLOOKUP(D554,'Monthly Deduction'!$M$2:$N$64,2,0),0)</f>
        <v>0</v>
      </c>
      <c r="Z554" s="128">
        <v>0</v>
      </c>
      <c r="AA554" s="126">
        <f>IFERROR(VLOOKUP(D554,'Monthly Deduction'!A:B,2,0),0)</f>
        <v>0</v>
      </c>
      <c r="AB554" s="129">
        <f t="shared" si="152"/>
        <v>5680</v>
      </c>
      <c r="AC554" s="130">
        <v>0</v>
      </c>
      <c r="AD554" s="35">
        <f t="shared" si="162"/>
        <v>5680</v>
      </c>
      <c r="AE554" s="166" t="str">
        <f t="shared" si="163"/>
        <v>Release</v>
      </c>
      <c r="AF554" s="127"/>
      <c r="AG554" s="127">
        <v>0</v>
      </c>
      <c r="AH554" s="120"/>
      <c r="AI554" s="238">
        <v>0</v>
      </c>
      <c r="AJ554" s="132"/>
      <c r="AK554" s="151">
        <v>1112.1499999999999</v>
      </c>
      <c r="AL554" s="154">
        <f t="shared" si="153"/>
        <v>0</v>
      </c>
      <c r="AM554" s="155"/>
      <c r="AN554" s="19">
        <f t="shared" si="154"/>
        <v>3164.8978946770462</v>
      </c>
      <c r="AO554" s="118">
        <f>SUMIF('MPG Payment '!E:E,'Shayak Income '!D554,'MPG Payment '!AJ:AJ)</f>
        <v>0</v>
      </c>
      <c r="AP554" s="19">
        <f t="shared" si="155"/>
        <v>3164.8978946770462</v>
      </c>
      <c r="AQ554" s="119">
        <f t="shared" si="164"/>
        <v>3164.8978946770462</v>
      </c>
      <c r="AR554" s="91" t="s">
        <v>1168</v>
      </c>
      <c r="AS554" s="91">
        <f t="shared" si="156"/>
        <v>10700</v>
      </c>
      <c r="AT554" s="118"/>
      <c r="AU554" s="118"/>
      <c r="AV554" s="118"/>
    </row>
    <row r="555" spans="1:48" s="20" customFormat="1" x14ac:dyDescent="0.25">
      <c r="A555" s="17">
        <f>IFERROR(VLOOKUP(D555,'Monthly Deduction'!$I$3:$J$957,2,0),0)</f>
        <v>13939.251098152003</v>
      </c>
      <c r="B555" s="17">
        <f>IFERROR(VLOOKUP(D555,'Monthly Deduction'!$E$3:$F$957,2,0),0)</f>
        <v>12800</v>
      </c>
      <c r="C555" s="17">
        <f t="shared" si="157"/>
        <v>26739.251098152003</v>
      </c>
      <c r="D555" s="41">
        <v>10530034</v>
      </c>
      <c r="E555" s="122" t="str">
        <f>VLOOKUP(D555,'MPG Payment '!$E$3:$G$498218,2,0)</f>
        <v>Gomukh Fulhatta</v>
      </c>
      <c r="F555" s="146">
        <f>IFERROR(_xlfn.XLOOKUP(D555,'Monthly Deduction'!$I$3:$I$957,'Monthly Deduction'!$H$3:$H$957),0)</f>
        <v>0</v>
      </c>
      <c r="G555" s="123" t="str">
        <f>VLOOKUP(D555,'MPG Payment '!$E$3:$G$334579,3,0)</f>
        <v>MPG</v>
      </c>
      <c r="H555" s="124" t="str">
        <f>VLOOKUP(D555,'MPG Payment '!$E$3:$H$334579,4,0)</f>
        <v>Direct</v>
      </c>
      <c r="I555" s="88">
        <f>INDEX('MPG Payment '!$C:$C,MATCH('Shayak Income '!D555,'MPG Payment '!E:E,0))</f>
        <v>1053</v>
      </c>
      <c r="J555" s="88" t="str">
        <f>INDEX('MPG Payment '!$D:$D,MATCH('Shayak Income '!D555,'MPG Payment '!E:E,0))</f>
        <v>Kalyanpur</v>
      </c>
      <c r="K555" s="125" t="s">
        <v>1322</v>
      </c>
      <c r="L555" s="125">
        <v>45745</v>
      </c>
      <c r="M555" s="126">
        <f>SUMIF('MPG Payment '!$E$3:$E$34579,'Shayak Income '!D555,'MPG Payment '!$I$3:$I$34579)</f>
        <v>3686.3500000000004</v>
      </c>
      <c r="N555" s="126">
        <f>SUMIF('MPG Payment '!$E$3:$E$34579,'Shayak Income '!D555,'MPG Payment '!$J$3:$J$34579)</f>
        <v>191297.62246437947</v>
      </c>
      <c r="O555" s="126">
        <f t="shared" si="158"/>
        <v>2764.7625000000003</v>
      </c>
      <c r="P555" s="126">
        <f t="shared" si="159"/>
        <v>3502.0325000000003</v>
      </c>
      <c r="Q555" s="126">
        <f>SUMIF('MPG Payment '!$E$3:$E$34579,'Shayak Income '!D555,'MPG Payment '!$S$3:$S$34579)</f>
        <v>0.48422067408000002</v>
      </c>
      <c r="R555" s="126">
        <f t="shared" si="150"/>
        <v>5738.9286739313839</v>
      </c>
      <c r="S555" s="126">
        <f t="shared" si="151"/>
        <v>2236.8961739313836</v>
      </c>
      <c r="T555" s="126">
        <f t="shared" si="160"/>
        <v>368.63500000000005</v>
      </c>
      <c r="U555" s="127">
        <f>(((IF(K555="New",0,SUMIF('MPG Payment '!$E$3:$E$34579,'Shayak Income '!D555,'MPG Payment '!$AC$3:$AC$34579))))+0)+0</f>
        <v>0</v>
      </c>
      <c r="V555" s="127">
        <f t="shared" si="161"/>
        <v>5899</v>
      </c>
      <c r="W555" s="19">
        <f t="shared" si="165"/>
        <v>3825.9524492875894</v>
      </c>
      <c r="X555" s="19">
        <v>0</v>
      </c>
      <c r="Y555" s="128">
        <f>IFERROR(VLOOKUP(D555,'Monthly Deduction'!$M$2:$N$64,2,0),0)</f>
        <v>0</v>
      </c>
      <c r="Z555" s="128">
        <v>0</v>
      </c>
      <c r="AA555" s="126">
        <f>IFERROR(VLOOKUP(D555,'Monthly Deduction'!A:B,2,0),0)</f>
        <v>0</v>
      </c>
      <c r="AB555" s="129">
        <f t="shared" si="152"/>
        <v>2073</v>
      </c>
      <c r="AC555" s="130">
        <v>0</v>
      </c>
      <c r="AD555" s="35">
        <f t="shared" si="162"/>
        <v>2073</v>
      </c>
      <c r="AE555" s="166" t="str">
        <f t="shared" si="163"/>
        <v>Release</v>
      </c>
      <c r="AF555" s="127"/>
      <c r="AG555" s="18">
        <v>0</v>
      </c>
      <c r="AH555" s="120"/>
      <c r="AI555" s="238">
        <v>0</v>
      </c>
      <c r="AJ555" s="132"/>
      <c r="AK555" s="151">
        <v>1011.9</v>
      </c>
      <c r="AL555" s="154">
        <f t="shared" si="153"/>
        <v>0</v>
      </c>
      <c r="AM555" s="155"/>
      <c r="AN555" s="19">
        <f t="shared" si="154"/>
        <v>3825.9524492875894</v>
      </c>
      <c r="AO555" s="118">
        <f>SUMIF('MPG Payment '!E:E,'Shayak Income '!D555,'MPG Payment '!AJ:AJ)</f>
        <v>0</v>
      </c>
      <c r="AP555" s="19">
        <f t="shared" si="155"/>
        <v>3825.9524492875894</v>
      </c>
      <c r="AQ555" s="119">
        <f t="shared" si="164"/>
        <v>3825.9524492875894</v>
      </c>
      <c r="AR555" s="91"/>
      <c r="AS555" s="91">
        <f t="shared" si="156"/>
        <v>12800</v>
      </c>
      <c r="AT555" s="118"/>
      <c r="AU555" s="118"/>
      <c r="AV555" s="118"/>
    </row>
    <row r="556" spans="1:48" s="20" customFormat="1" x14ac:dyDescent="0.25">
      <c r="A556" s="17">
        <f>IFERROR(VLOOKUP(D556,'Monthly Deduction'!$I$3:$J$957,2,0),0)</f>
        <v>42630.840987865638</v>
      </c>
      <c r="B556" s="17">
        <f>IFERROR(VLOOKUP(D556,'Monthly Deduction'!$E$3:$F$957,2,0),0)</f>
        <v>10700</v>
      </c>
      <c r="C556" s="17">
        <f t="shared" si="157"/>
        <v>53330.840987865638</v>
      </c>
      <c r="D556" s="41">
        <v>10530035</v>
      </c>
      <c r="E556" s="122" t="str">
        <f>VLOOKUP(D556,'MPG Payment '!$E$3:$G$498218,2,0)</f>
        <v>Gomukh Birauli Khurd</v>
      </c>
      <c r="F556" s="146">
        <f>IFERROR(_xlfn.XLOOKUP(D556,'Monthly Deduction'!$I$3:$I$957,'Monthly Deduction'!$H$3:$H$957),0)</f>
        <v>0</v>
      </c>
      <c r="G556" s="123" t="str">
        <f>VLOOKUP(D556,'MPG Payment '!$E$3:$G$334579,3,0)</f>
        <v>MPG</v>
      </c>
      <c r="H556" s="124" t="str">
        <f>VLOOKUP(D556,'MPG Payment '!$E$3:$H$334579,4,0)</f>
        <v>Direct</v>
      </c>
      <c r="I556" s="88">
        <f>INDEX('MPG Payment '!$C:$C,MATCH('Shayak Income '!D556,'MPG Payment '!E:E,0))</f>
        <v>1053</v>
      </c>
      <c r="J556" s="88" t="str">
        <f>INDEX('MPG Payment '!$D:$D,MATCH('Shayak Income '!D556,'MPG Payment '!E:E,0))</f>
        <v>Kalyanpur</v>
      </c>
      <c r="K556" s="125" t="s">
        <v>1322</v>
      </c>
      <c r="L556" s="125">
        <v>45745</v>
      </c>
      <c r="M556" s="126">
        <f>SUMIF('MPG Payment '!$E$3:$E$34579,'Shayak Income '!D556,'MPG Payment '!$I$3:$I$34579)</f>
        <v>2339.5</v>
      </c>
      <c r="N556" s="126">
        <f>SUMIF('MPG Payment '!$E$3:$E$34579,'Shayak Income '!D556,'MPG Payment '!$J$3:$J$34579)</f>
        <v>99718.885536738351</v>
      </c>
      <c r="O556" s="126">
        <f t="shared" si="158"/>
        <v>1754.625</v>
      </c>
      <c r="P556" s="126">
        <f t="shared" si="159"/>
        <v>2222.5250000000001</v>
      </c>
      <c r="Q556" s="126">
        <f>SUMIF('MPG Payment '!$E$3:$E$34579,'Shayak Income '!D556,'MPG Payment '!$S$3:$S$34579)</f>
        <v>2522.6120559180758</v>
      </c>
      <c r="R556" s="126">
        <f t="shared" si="150"/>
        <v>2991.5665661021503</v>
      </c>
      <c r="S556" s="126">
        <f t="shared" si="151"/>
        <v>769.04156610215023</v>
      </c>
      <c r="T556" s="126">
        <f t="shared" si="160"/>
        <v>233.95000000000002</v>
      </c>
      <c r="U556" s="127">
        <f>(((IF(K556="New",0,SUMIF('MPG Payment '!$E$3:$E$34579,'Shayak Income '!D556,'MPG Payment '!$AC$3:$AC$34579))))+0)+0</f>
        <v>397.54816017601638</v>
      </c>
      <c r="V556" s="127">
        <f t="shared" si="161"/>
        <v>5868</v>
      </c>
      <c r="W556" s="19">
        <f t="shared" si="165"/>
        <v>1994.3777107347671</v>
      </c>
      <c r="X556" s="19">
        <v>0</v>
      </c>
      <c r="Y556" s="128">
        <f>IFERROR(VLOOKUP(D556,'Monthly Deduction'!$M$2:$N$64,2,0),0)</f>
        <v>0</v>
      </c>
      <c r="Z556" s="128">
        <v>0</v>
      </c>
      <c r="AA556" s="126">
        <f>IFERROR(VLOOKUP(D556,'Monthly Deduction'!A:B,2,0),0)</f>
        <v>0</v>
      </c>
      <c r="AB556" s="129">
        <f t="shared" si="152"/>
        <v>3874</v>
      </c>
      <c r="AC556" s="130">
        <v>0</v>
      </c>
      <c r="AD556" s="35">
        <f t="shared" si="162"/>
        <v>3874</v>
      </c>
      <c r="AE556" s="166" t="str">
        <f t="shared" si="163"/>
        <v>Release</v>
      </c>
      <c r="AF556" s="127"/>
      <c r="AG556" s="127">
        <v>0</v>
      </c>
      <c r="AH556" s="120" t="s">
        <v>1646</v>
      </c>
      <c r="AI556" s="238">
        <v>4.7200000000011642</v>
      </c>
      <c r="AJ556" s="132" t="s">
        <v>1660</v>
      </c>
      <c r="AK556" s="151">
        <v>597.55000000000007</v>
      </c>
      <c r="AL556" s="154">
        <f t="shared" si="153"/>
        <v>0</v>
      </c>
      <c r="AM556" s="155"/>
      <c r="AN556" s="19">
        <f t="shared" si="154"/>
        <v>1994.3777107347671</v>
      </c>
      <c r="AO556" s="118">
        <f>SUMIF('MPG Payment '!E:E,'Shayak Income '!D556,'MPG Payment '!AJ:AJ)</f>
        <v>0</v>
      </c>
      <c r="AP556" s="19">
        <f t="shared" si="155"/>
        <v>1994.3777107347671</v>
      </c>
      <c r="AQ556" s="119">
        <f t="shared" si="164"/>
        <v>1994.3777107347671</v>
      </c>
      <c r="AR556" s="91"/>
      <c r="AS556" s="91">
        <f t="shared" si="156"/>
        <v>10700</v>
      </c>
      <c r="AT556" s="118"/>
      <c r="AU556" s="118"/>
      <c r="AV556" s="118"/>
    </row>
    <row r="557" spans="1:48" s="20" customFormat="1" x14ac:dyDescent="0.25">
      <c r="A557" s="17">
        <f>IFERROR(VLOOKUP(D557,'Monthly Deduction'!$I$3:$J$957,2,0),0)</f>
        <v>0</v>
      </c>
      <c r="B557" s="17">
        <f>IFERROR(VLOOKUP(D557,'Monthly Deduction'!$E$3:$F$957,2,0),0)</f>
        <v>0</v>
      </c>
      <c r="C557" s="17">
        <f t="shared" si="157"/>
        <v>0</v>
      </c>
      <c r="D557" s="41">
        <v>10530038</v>
      </c>
      <c r="E557" s="122" t="str">
        <f>VLOOKUP(D557,'MPG Payment '!$E$3:$G$498218,2,0)</f>
        <v>Gomukh Bedauliya</v>
      </c>
      <c r="F557" s="146">
        <f>IFERROR(_xlfn.XLOOKUP(D557,'Monthly Deduction'!$I$3:$I$957,'Monthly Deduction'!$H$3:$H$957),0)</f>
        <v>0</v>
      </c>
      <c r="G557" s="123" t="str">
        <f>VLOOKUP(D557,'MPG Payment '!$E$3:$G$334579,3,0)</f>
        <v>vlc</v>
      </c>
      <c r="H557" s="124" t="str">
        <f>VLOOKUP(D557,'MPG Payment '!$E$3:$H$334579,4,0)</f>
        <v>Indirect</v>
      </c>
      <c r="I557" s="88">
        <f>INDEX('MPG Payment '!$C:$C,MATCH('Shayak Income '!D557,'MPG Payment '!E:E,0))</f>
        <v>1053</v>
      </c>
      <c r="J557" s="88" t="str">
        <f>INDEX('MPG Payment '!$D:$D,MATCH('Shayak Income '!D557,'MPG Payment '!E:E,0))</f>
        <v>Kalyanpur</v>
      </c>
      <c r="K557" s="125" t="s">
        <v>1322</v>
      </c>
      <c r="L557" s="125">
        <v>45745</v>
      </c>
      <c r="M557" s="126">
        <f>SUMIF('MPG Payment '!$E$3:$E$34579,'Shayak Income '!D557,'MPG Payment '!$I$3:$I$34579)</f>
        <v>2500.1</v>
      </c>
      <c r="N557" s="126">
        <f>SUMIF('MPG Payment '!$E$3:$E$34579,'Shayak Income '!D557,'MPG Payment '!$J$3:$J$34579)</f>
        <v>99940.154812502995</v>
      </c>
      <c r="O557" s="126">
        <f t="shared" si="158"/>
        <v>1875.0749999999998</v>
      </c>
      <c r="P557" s="126">
        <f t="shared" si="159"/>
        <v>2375.0949999999998</v>
      </c>
      <c r="Q557" s="126">
        <f>SUMIF('MPG Payment '!$E$3:$E$34579,'Shayak Income '!D557,'MPG Payment '!$S$3:$S$34579)</f>
        <v>0</v>
      </c>
      <c r="R557" s="126">
        <f t="shared" si="150"/>
        <v>2998.2046443750896</v>
      </c>
      <c r="S557" s="126">
        <f t="shared" si="151"/>
        <v>623.10964437508983</v>
      </c>
      <c r="T557" s="126">
        <f t="shared" si="160"/>
        <v>250.01</v>
      </c>
      <c r="U557" s="127">
        <f>(((IF(K557="New",0,SUMIF('MPG Payment '!$E$3:$E$34579,'Shayak Income '!D557,'MPG Payment '!$AC$3:$AC$34579))))+0)+0</f>
        <v>311.97218602696569</v>
      </c>
      <c r="V557" s="127">
        <f t="shared" si="161"/>
        <v>3688</v>
      </c>
      <c r="W557" s="19">
        <f t="shared" si="165"/>
        <v>0</v>
      </c>
      <c r="X557" s="19">
        <f t="shared" si="166"/>
        <v>0</v>
      </c>
      <c r="Y557" s="128">
        <f>IFERROR(VLOOKUP(D557,'Monthly Deduction'!$M$2:$N$64,2,0),0)</f>
        <v>0</v>
      </c>
      <c r="Z557" s="128">
        <v>0</v>
      </c>
      <c r="AA557" s="126">
        <f>IFERROR(VLOOKUP(D557,'Monthly Deduction'!A:B,2,0),0)</f>
        <v>0</v>
      </c>
      <c r="AB557" s="129">
        <f t="shared" si="152"/>
        <v>3688</v>
      </c>
      <c r="AC557" s="130">
        <v>0</v>
      </c>
      <c r="AD557" s="35">
        <f t="shared" si="162"/>
        <v>3688</v>
      </c>
      <c r="AE557" s="166" t="str">
        <f t="shared" si="163"/>
        <v>Release</v>
      </c>
      <c r="AF557" s="127"/>
      <c r="AG557" s="18">
        <v>0</v>
      </c>
      <c r="AH557" s="120"/>
      <c r="AI557" s="238">
        <v>0</v>
      </c>
      <c r="AJ557" s="132"/>
      <c r="AK557" s="151">
        <v>763.2</v>
      </c>
      <c r="AL557" s="154">
        <f t="shared" si="153"/>
        <v>0</v>
      </c>
      <c r="AM557" s="155"/>
      <c r="AN557" s="19">
        <f t="shared" si="154"/>
        <v>0</v>
      </c>
      <c r="AO557" s="118">
        <f>SUMIF('MPG Payment '!E:E,'Shayak Income '!D557,'MPG Payment '!AJ:AJ)</f>
        <v>0</v>
      </c>
      <c r="AP557" s="19">
        <f t="shared" si="155"/>
        <v>0</v>
      </c>
      <c r="AQ557" s="119">
        <f t="shared" si="164"/>
        <v>0</v>
      </c>
      <c r="AR557" s="91" t="s">
        <v>1168</v>
      </c>
      <c r="AS557" s="91">
        <f t="shared" si="156"/>
        <v>0</v>
      </c>
      <c r="AT557" s="118"/>
      <c r="AU557" s="118"/>
      <c r="AV557" s="118"/>
    </row>
    <row r="558" spans="1:48" s="20" customFormat="1" x14ac:dyDescent="0.25">
      <c r="A558" s="17">
        <f>IFERROR(VLOOKUP(D558,'Monthly Deduction'!$I$3:$J$957,2,0),0)</f>
        <v>37540.582792141824</v>
      </c>
      <c r="B558" s="17">
        <f>IFERROR(VLOOKUP(D558,'Monthly Deduction'!$E$3:$F$957,2,0),0)</f>
        <v>10700</v>
      </c>
      <c r="C558" s="17">
        <f t="shared" si="157"/>
        <v>48240.582792141824</v>
      </c>
      <c r="D558" s="41">
        <v>10530040</v>
      </c>
      <c r="E558" s="122" t="str">
        <f>VLOOKUP(D558,'MPG Payment '!$E$3:$G$498218,2,0)</f>
        <v>Gomukh Khanua</v>
      </c>
      <c r="F558" s="146">
        <f>IFERROR(_xlfn.XLOOKUP(D558,'Monthly Deduction'!$I$3:$I$957,'Monthly Deduction'!$H$3:$H$957),0)</f>
        <v>0</v>
      </c>
      <c r="G558" s="123" t="str">
        <f>VLOOKUP(D558,'MPG Payment '!$E$3:$G$334579,3,0)</f>
        <v>MPG</v>
      </c>
      <c r="H558" s="124" t="str">
        <f>VLOOKUP(D558,'MPG Payment '!$E$3:$H$334579,4,0)</f>
        <v>Direct</v>
      </c>
      <c r="I558" s="88">
        <f>INDEX('MPG Payment '!$C:$C,MATCH('Shayak Income '!D558,'MPG Payment '!E:E,0))</f>
        <v>1053</v>
      </c>
      <c r="J558" s="88" t="str">
        <f>INDEX('MPG Payment '!$D:$D,MATCH('Shayak Income '!D558,'MPG Payment '!E:E,0))</f>
        <v>Kalyanpur</v>
      </c>
      <c r="K558" s="125" t="s">
        <v>1322</v>
      </c>
      <c r="L558" s="125">
        <v>45745</v>
      </c>
      <c r="M558" s="126">
        <f>SUMIF('MPG Payment '!$E$3:$E$34579,'Shayak Income '!D558,'MPG Payment '!$I$3:$I$34579)</f>
        <v>2319.5</v>
      </c>
      <c r="N558" s="126">
        <f>SUMIF('MPG Payment '!$E$3:$E$34579,'Shayak Income '!D558,'MPG Payment '!$J$3:$J$34579)</f>
        <v>99833.404818135372</v>
      </c>
      <c r="O558" s="126">
        <f t="shared" si="158"/>
        <v>1739.625</v>
      </c>
      <c r="P558" s="126">
        <f t="shared" si="159"/>
        <v>2203.5250000000001</v>
      </c>
      <c r="Q558" s="126">
        <f>SUMIF('MPG Payment '!$E$3:$E$34579,'Shayak Income '!D558,'MPG Payment '!$S$3:$S$34579)</f>
        <v>1419.551253975</v>
      </c>
      <c r="R558" s="126">
        <f t="shared" si="150"/>
        <v>2995.0021445440611</v>
      </c>
      <c r="S558" s="126">
        <f t="shared" si="151"/>
        <v>791.47714454406105</v>
      </c>
      <c r="T558" s="126">
        <f t="shared" si="160"/>
        <v>231.95000000000002</v>
      </c>
      <c r="U558" s="127">
        <f>(((IF(K558="New",0,SUMIF('MPG Payment '!$E$3:$E$34579,'Shayak Income '!D558,'MPG Payment '!$AC$3:$AC$34579))))+0)+0</f>
        <v>414.61775452199686</v>
      </c>
      <c r="V558" s="127">
        <f t="shared" si="161"/>
        <v>4716</v>
      </c>
      <c r="W558" s="19">
        <f t="shared" si="165"/>
        <v>1996.6680963627075</v>
      </c>
      <c r="X558" s="19">
        <v>0</v>
      </c>
      <c r="Y558" s="128">
        <f>IFERROR(VLOOKUP(D558,'Monthly Deduction'!$M$2:$N$64,2,0),0)</f>
        <v>0</v>
      </c>
      <c r="Z558" s="128">
        <v>0</v>
      </c>
      <c r="AA558" s="126">
        <f>IFERROR(VLOOKUP(D558,'Monthly Deduction'!A:B,2,0),0)</f>
        <v>0</v>
      </c>
      <c r="AB558" s="129">
        <f t="shared" si="152"/>
        <v>2719</v>
      </c>
      <c r="AC558" s="130">
        <v>0</v>
      </c>
      <c r="AD558" s="35">
        <f t="shared" si="162"/>
        <v>2719</v>
      </c>
      <c r="AE558" s="166" t="str">
        <f t="shared" si="163"/>
        <v>Release</v>
      </c>
      <c r="AF558" s="127"/>
      <c r="AG558" s="18">
        <v>0</v>
      </c>
      <c r="AH558" s="120"/>
      <c r="AI558" s="238">
        <v>0</v>
      </c>
      <c r="AJ558" s="132"/>
      <c r="AK558" s="151">
        <v>605.45000000000016</v>
      </c>
      <c r="AL558" s="154">
        <f t="shared" si="153"/>
        <v>0</v>
      </c>
      <c r="AM558" s="155"/>
      <c r="AN558" s="19">
        <f t="shared" si="154"/>
        <v>1996.6680963627075</v>
      </c>
      <c r="AO558" s="118">
        <f>SUMIF('MPG Payment '!E:E,'Shayak Income '!D558,'MPG Payment '!AJ:AJ)</f>
        <v>0</v>
      </c>
      <c r="AP558" s="19">
        <f t="shared" si="155"/>
        <v>1996.6680963627075</v>
      </c>
      <c r="AQ558" s="119">
        <f t="shared" si="164"/>
        <v>1996.6680963627075</v>
      </c>
      <c r="AR558" s="91" t="s">
        <v>1168</v>
      </c>
      <c r="AS558" s="91">
        <f t="shared" si="156"/>
        <v>10700</v>
      </c>
      <c r="AT558" s="118"/>
      <c r="AU558" s="118"/>
      <c r="AV558" s="118"/>
    </row>
    <row r="559" spans="1:48" s="20" customFormat="1" x14ac:dyDescent="0.25">
      <c r="A559" s="17">
        <f>IFERROR(VLOOKUP(D559,'Monthly Deduction'!$I$3:$J$957,2,0),0)</f>
        <v>0</v>
      </c>
      <c r="B559" s="17">
        <f>IFERROR(VLOOKUP(D559,'Monthly Deduction'!$E$3:$F$957,2,0),0)</f>
        <v>0</v>
      </c>
      <c r="C559" s="17">
        <f t="shared" si="157"/>
        <v>0</v>
      </c>
      <c r="D559" s="41">
        <v>10530041</v>
      </c>
      <c r="E559" s="122" t="str">
        <f>VLOOKUP(D559,'MPG Payment '!$E$3:$G$498218,2,0)</f>
        <v>Gomukh Hiralalpur</v>
      </c>
      <c r="F559" s="146">
        <f>IFERROR(_xlfn.XLOOKUP(D559,'Monthly Deduction'!$I$3:$I$957,'Monthly Deduction'!$H$3:$H$957),0)</f>
        <v>0</v>
      </c>
      <c r="G559" s="123" t="str">
        <f>VLOOKUP(D559,'MPG Payment '!$E$3:$G$334579,3,0)</f>
        <v>vlc</v>
      </c>
      <c r="H559" s="124" t="str">
        <f>VLOOKUP(D559,'MPG Payment '!$E$3:$H$334579,4,0)</f>
        <v>Indirect</v>
      </c>
      <c r="I559" s="88">
        <f>INDEX('MPG Payment '!$C:$C,MATCH('Shayak Income '!D559,'MPG Payment '!E:E,0))</f>
        <v>1053</v>
      </c>
      <c r="J559" s="88" t="str">
        <f>INDEX('MPG Payment '!$D:$D,MATCH('Shayak Income '!D559,'MPG Payment '!E:E,0))</f>
        <v>Kalyanpur</v>
      </c>
      <c r="K559" s="125" t="s">
        <v>1322</v>
      </c>
      <c r="L559" s="125">
        <v>45737</v>
      </c>
      <c r="M559" s="126">
        <f>SUMIF('MPG Payment '!$E$3:$E$34579,'Shayak Income '!D559,'MPG Payment '!$I$3:$I$34579)</f>
        <v>6299.45</v>
      </c>
      <c r="N559" s="126">
        <f>SUMIF('MPG Payment '!$E$3:$E$34579,'Shayak Income '!D559,'MPG Payment '!$J$3:$J$34579)</f>
        <v>251829.72909042012</v>
      </c>
      <c r="O559" s="126">
        <f t="shared" si="158"/>
        <v>4724.5874999999996</v>
      </c>
      <c r="P559" s="126">
        <f t="shared" si="159"/>
        <v>5984.4775</v>
      </c>
      <c r="Q559" s="126">
        <f>SUMIF('MPG Payment '!$E$3:$E$34579,'Shayak Income '!D559,'MPG Payment '!$S$3:$S$34579)</f>
        <v>0</v>
      </c>
      <c r="R559" s="126">
        <f t="shared" si="150"/>
        <v>7554.8918727126038</v>
      </c>
      <c r="S559" s="126">
        <f t="shared" si="151"/>
        <v>1570.4143727126038</v>
      </c>
      <c r="T559" s="126">
        <f t="shared" si="160"/>
        <v>629.94500000000005</v>
      </c>
      <c r="U559" s="127">
        <f>(((IF(K559="New",0,SUMIF('MPG Payment '!$E$3:$E$34579,'Shayak Income '!D559,'MPG Payment '!$AC$3:$AC$34579))))+0)+0</f>
        <v>0</v>
      </c>
      <c r="V559" s="127">
        <f t="shared" si="161"/>
        <v>10079</v>
      </c>
      <c r="W559" s="19">
        <f t="shared" si="165"/>
        <v>0</v>
      </c>
      <c r="X559" s="19">
        <f t="shared" si="166"/>
        <v>0</v>
      </c>
      <c r="Y559" s="128">
        <f>IFERROR(VLOOKUP(D559,'Monthly Deduction'!$M$2:$N$64,2,0),0)</f>
        <v>0</v>
      </c>
      <c r="Z559" s="128">
        <v>0</v>
      </c>
      <c r="AA559" s="126">
        <f>IFERROR(VLOOKUP(D559,'Monthly Deduction'!A:B,2,0),0)</f>
        <v>0</v>
      </c>
      <c r="AB559" s="129">
        <f t="shared" si="152"/>
        <v>10079</v>
      </c>
      <c r="AC559" s="130">
        <v>0</v>
      </c>
      <c r="AD559" s="35">
        <f t="shared" si="162"/>
        <v>10079</v>
      </c>
      <c r="AE559" s="166" t="str">
        <f t="shared" si="163"/>
        <v>Release</v>
      </c>
      <c r="AF559" s="127"/>
      <c r="AG559" s="127">
        <v>0</v>
      </c>
      <c r="AH559" s="120"/>
      <c r="AI559" s="238">
        <v>0</v>
      </c>
      <c r="AJ559" s="132"/>
      <c r="AK559" s="151">
        <v>856.24999999999989</v>
      </c>
      <c r="AL559" s="154">
        <f t="shared" si="153"/>
        <v>0</v>
      </c>
      <c r="AM559" s="155"/>
      <c r="AN559" s="19">
        <f t="shared" si="154"/>
        <v>0</v>
      </c>
      <c r="AO559" s="118">
        <f>SUMIF('MPG Payment '!E:E,'Shayak Income '!D559,'MPG Payment '!AJ:AJ)</f>
        <v>0</v>
      </c>
      <c r="AP559" s="19">
        <f t="shared" si="155"/>
        <v>0</v>
      </c>
      <c r="AQ559" s="119">
        <f t="shared" si="164"/>
        <v>0</v>
      </c>
      <c r="AR559" s="91" t="s">
        <v>1168</v>
      </c>
      <c r="AS559" s="91">
        <f t="shared" si="156"/>
        <v>0</v>
      </c>
      <c r="AT559" s="118"/>
      <c r="AU559" s="118"/>
      <c r="AV559" s="118"/>
    </row>
    <row r="560" spans="1:48" s="20" customFormat="1" x14ac:dyDescent="0.25">
      <c r="A560" s="17">
        <f>IFERROR(VLOOKUP(D560,'Monthly Deduction'!$I$3:$J$957,2,0),0)</f>
        <v>39642.970908958057</v>
      </c>
      <c r="B560" s="17">
        <f>IFERROR(VLOOKUP(D560,'Monthly Deduction'!$E$3:$F$957,2,0),0)</f>
        <v>10700</v>
      </c>
      <c r="C560" s="17">
        <f t="shared" si="157"/>
        <v>50342.970908958057</v>
      </c>
      <c r="D560" s="41">
        <v>10530044</v>
      </c>
      <c r="E560" s="122" t="str">
        <f>VLOOKUP(D560,'MPG Payment '!$E$3:$G$498218,2,0)</f>
        <v>Gomukh Punas</v>
      </c>
      <c r="F560" s="146">
        <f>IFERROR(_xlfn.XLOOKUP(D560,'Monthly Deduction'!$I$3:$I$957,'Monthly Deduction'!$H$3:$H$957),0)</f>
        <v>0</v>
      </c>
      <c r="G560" s="123" t="str">
        <f>VLOOKUP(D560,'MPG Payment '!$E$3:$G$334579,3,0)</f>
        <v>MPG</v>
      </c>
      <c r="H560" s="124" t="str">
        <f>VLOOKUP(D560,'MPG Payment '!$E$3:$H$334579,4,0)</f>
        <v>Direct</v>
      </c>
      <c r="I560" s="88">
        <f>INDEX('MPG Payment '!$C:$C,MATCH('Shayak Income '!D560,'MPG Payment '!E:E,0))</f>
        <v>1053</v>
      </c>
      <c r="J560" s="88" t="str">
        <f>INDEX('MPG Payment '!$D:$D,MATCH('Shayak Income '!D560,'MPG Payment '!E:E,0))</f>
        <v>Kalyanpur</v>
      </c>
      <c r="K560" s="125" t="s">
        <v>1322</v>
      </c>
      <c r="L560" s="125">
        <v>45745</v>
      </c>
      <c r="M560" s="126">
        <f>SUMIF('MPG Payment '!$E$3:$E$34579,'Shayak Income '!D560,'MPG Payment '!$I$3:$I$34579)</f>
        <v>3556.45</v>
      </c>
      <c r="N560" s="126">
        <f>SUMIF('MPG Payment '!$E$3:$E$34579,'Shayak Income '!D560,'MPG Payment '!$J$3:$J$34579)</f>
        <v>157359.79105603971</v>
      </c>
      <c r="O560" s="126">
        <f t="shared" si="158"/>
        <v>2667.3374999999996</v>
      </c>
      <c r="P560" s="126">
        <f t="shared" si="159"/>
        <v>3378.6274999999996</v>
      </c>
      <c r="Q560" s="126">
        <f>SUMIF('MPG Payment '!$E$3:$E$34579,'Shayak Income '!D560,'MPG Payment '!$S$3:$S$34579)</f>
        <v>2064.6437667959999</v>
      </c>
      <c r="R560" s="126">
        <f t="shared" si="150"/>
        <v>4720.7937316811913</v>
      </c>
      <c r="S560" s="126">
        <f t="shared" si="151"/>
        <v>1342.1662316811917</v>
      </c>
      <c r="T560" s="126">
        <f t="shared" si="160"/>
        <v>355.64499999999998</v>
      </c>
      <c r="U560" s="127">
        <f>(((IF(K560="New",0,SUMIF('MPG Payment '!$E$3:$E$34579,'Shayak Income '!D560,'MPG Payment '!$AC$3:$AC$34579))))+0)+0</f>
        <v>0</v>
      </c>
      <c r="V560" s="127">
        <f t="shared" si="161"/>
        <v>7755</v>
      </c>
      <c r="W560" s="19">
        <f t="shared" si="165"/>
        <v>3147.1958211207943</v>
      </c>
      <c r="X560" s="19">
        <v>0</v>
      </c>
      <c r="Y560" s="128">
        <f>IFERROR(VLOOKUP(D560,'Monthly Deduction'!$M$2:$N$64,2,0),0)</f>
        <v>0</v>
      </c>
      <c r="Z560" s="128">
        <v>0</v>
      </c>
      <c r="AA560" s="126">
        <f>IFERROR(VLOOKUP(D560,'Monthly Deduction'!A:B,2,0),0)</f>
        <v>0</v>
      </c>
      <c r="AB560" s="129">
        <f t="shared" si="152"/>
        <v>4608</v>
      </c>
      <c r="AC560" s="130">
        <v>0</v>
      </c>
      <c r="AD560" s="35">
        <f t="shared" si="162"/>
        <v>4608</v>
      </c>
      <c r="AE560" s="166" t="str">
        <f t="shared" si="163"/>
        <v>Release</v>
      </c>
      <c r="AF560" s="127"/>
      <c r="AG560" s="18">
        <v>0</v>
      </c>
      <c r="AH560" s="120"/>
      <c r="AI560" s="238">
        <v>0</v>
      </c>
      <c r="AJ560" s="132"/>
      <c r="AK560" s="151">
        <v>1154.5999999999997</v>
      </c>
      <c r="AL560" s="154">
        <f t="shared" si="153"/>
        <v>0</v>
      </c>
      <c r="AM560" s="155"/>
      <c r="AN560" s="19">
        <f t="shared" si="154"/>
        <v>3147.1958211207943</v>
      </c>
      <c r="AO560" s="118">
        <f>SUMIF('MPG Payment '!E:E,'Shayak Income '!D560,'MPG Payment '!AJ:AJ)</f>
        <v>0</v>
      </c>
      <c r="AP560" s="19">
        <f t="shared" si="155"/>
        <v>3147.1958211207943</v>
      </c>
      <c r="AQ560" s="119">
        <f t="shared" si="164"/>
        <v>3147.1958211207943</v>
      </c>
      <c r="AR560" s="91"/>
      <c r="AS560" s="91">
        <f t="shared" si="156"/>
        <v>10700</v>
      </c>
      <c r="AT560" s="118"/>
      <c r="AU560" s="118"/>
      <c r="AV560" s="118"/>
    </row>
    <row r="561" spans="1:48" s="20" customFormat="1" x14ac:dyDescent="0.25">
      <c r="A561" s="17">
        <f>IFERROR(VLOOKUP(D561,'Monthly Deduction'!$I$3:$J$957,2,0),0)</f>
        <v>0</v>
      </c>
      <c r="B561" s="17">
        <f>IFERROR(VLOOKUP(D561,'Monthly Deduction'!$E$3:$F$957,2,0),0)</f>
        <v>0</v>
      </c>
      <c r="C561" s="17">
        <f t="shared" si="157"/>
        <v>0</v>
      </c>
      <c r="D561" s="41">
        <v>10530046</v>
      </c>
      <c r="E561" s="122" t="str">
        <f>VLOOKUP(D561,'MPG Payment '!$E$3:$G$498218,2,0)</f>
        <v>Gomukh Loharkha</v>
      </c>
      <c r="F561" s="146">
        <f>IFERROR(_xlfn.XLOOKUP(D561,'Monthly Deduction'!$I$3:$I$957,'Monthly Deduction'!$H$3:$H$957),0)</f>
        <v>0</v>
      </c>
      <c r="G561" s="123" t="str">
        <f>VLOOKUP(D561,'MPG Payment '!$E$3:$G$334579,3,0)</f>
        <v>MPG</v>
      </c>
      <c r="H561" s="124" t="str">
        <f>VLOOKUP(D561,'MPG Payment '!$E$3:$H$334579,4,0)</f>
        <v>Direct</v>
      </c>
      <c r="I561" s="88">
        <f>INDEX('MPG Payment '!$C:$C,MATCH('Shayak Income '!D561,'MPG Payment '!E:E,0))</f>
        <v>1053</v>
      </c>
      <c r="J561" s="88" t="str">
        <f>INDEX('MPG Payment '!$D:$D,MATCH('Shayak Income '!D561,'MPG Payment '!E:E,0))</f>
        <v>Kalyanpur</v>
      </c>
      <c r="K561" s="125" t="s">
        <v>1322</v>
      </c>
      <c r="L561" s="125">
        <v>45751</v>
      </c>
      <c r="M561" s="126">
        <f>SUMIF('MPG Payment '!$E$3:$E$34579,'Shayak Income '!D561,'MPG Payment '!$I$3:$I$34579)</f>
        <v>1548.1</v>
      </c>
      <c r="N561" s="126">
        <f>SUMIF('MPG Payment '!$E$3:$E$34579,'Shayak Income '!D561,'MPG Payment '!$J$3:$J$34579)</f>
        <v>74305.924204600495</v>
      </c>
      <c r="O561" s="126">
        <f t="shared" si="158"/>
        <v>1161.0749999999998</v>
      </c>
      <c r="P561" s="126">
        <f t="shared" si="159"/>
        <v>1470.6949999999999</v>
      </c>
      <c r="Q561" s="126">
        <f>SUMIF('MPG Payment '!$E$3:$E$34579,'Shayak Income '!D561,'MPG Payment '!$S$3:$S$34579)</f>
        <v>1340.555723119724</v>
      </c>
      <c r="R561" s="126">
        <f t="shared" si="150"/>
        <v>2229.1777261380148</v>
      </c>
      <c r="S561" s="126">
        <f t="shared" si="151"/>
        <v>758.48272613801487</v>
      </c>
      <c r="T561" s="126">
        <f t="shared" si="160"/>
        <v>154.81</v>
      </c>
      <c r="U561" s="127">
        <f>(((IF(K561="New",0,SUMIF('MPG Payment '!$E$3:$E$34579,'Shayak Income '!D561,'MPG Payment '!$AC$3:$AC$34579))))+0)+0</f>
        <v>1207.4920067781745</v>
      </c>
      <c r="V561" s="127">
        <f t="shared" si="161"/>
        <v>2610</v>
      </c>
      <c r="W561" s="19">
        <f t="shared" si="165"/>
        <v>0</v>
      </c>
      <c r="X561" s="19">
        <f t="shared" si="166"/>
        <v>0</v>
      </c>
      <c r="Y561" s="128">
        <f>IFERROR(VLOOKUP(D561,'Monthly Deduction'!$M$2:$N$64,2,0),0)</f>
        <v>0</v>
      </c>
      <c r="Z561" s="128">
        <v>0</v>
      </c>
      <c r="AA561" s="126">
        <f>IFERROR(VLOOKUP(D561,'Monthly Deduction'!A:B,2,0),0)</f>
        <v>0</v>
      </c>
      <c r="AB561" s="129">
        <f t="shared" si="152"/>
        <v>2610</v>
      </c>
      <c r="AC561" s="130">
        <v>0</v>
      </c>
      <c r="AD561" s="35">
        <f t="shared" si="162"/>
        <v>2610</v>
      </c>
      <c r="AE561" s="166" t="str">
        <f t="shared" si="163"/>
        <v>Release</v>
      </c>
      <c r="AF561" s="127"/>
      <c r="AG561" s="18">
        <v>0</v>
      </c>
      <c r="AH561" s="120"/>
      <c r="AI561" s="238">
        <v>0</v>
      </c>
      <c r="AJ561" s="132"/>
      <c r="AK561" s="151">
        <v>356.85</v>
      </c>
      <c r="AL561" s="154">
        <f t="shared" si="153"/>
        <v>0</v>
      </c>
      <c r="AM561" s="155"/>
      <c r="AN561" s="19">
        <f t="shared" si="154"/>
        <v>0</v>
      </c>
      <c r="AO561" s="118">
        <f>SUMIF('MPG Payment '!E:E,'Shayak Income '!D561,'MPG Payment '!AJ:AJ)</f>
        <v>0</v>
      </c>
      <c r="AP561" s="19">
        <f t="shared" si="155"/>
        <v>0</v>
      </c>
      <c r="AQ561" s="119">
        <f t="shared" si="164"/>
        <v>0</v>
      </c>
      <c r="AR561" s="91" t="s">
        <v>1168</v>
      </c>
      <c r="AS561" s="91">
        <f t="shared" si="156"/>
        <v>0</v>
      </c>
      <c r="AT561" s="118"/>
      <c r="AU561" s="118"/>
      <c r="AV561" s="118"/>
    </row>
    <row r="562" spans="1:48" s="20" customFormat="1" x14ac:dyDescent="0.25">
      <c r="A562" s="17">
        <f>IFERROR(VLOOKUP(D562,'Monthly Deduction'!$I$3:$J$957,2,0),0)</f>
        <v>67447.312256515434</v>
      </c>
      <c r="B562" s="17">
        <f>IFERROR(VLOOKUP(D562,'Monthly Deduction'!$E$3:$F$957,2,0),0)</f>
        <v>10700</v>
      </c>
      <c r="C562" s="17">
        <f t="shared" si="157"/>
        <v>78147.312256515434</v>
      </c>
      <c r="D562" s="41">
        <v>10530047</v>
      </c>
      <c r="E562" s="122" t="str">
        <f>VLOOKUP(D562,'MPG Payment '!$E$3:$G$498218,2,0)</f>
        <v>Gomukh Dighra</v>
      </c>
      <c r="F562" s="146">
        <f>IFERROR(_xlfn.XLOOKUP(D562,'Monthly Deduction'!$I$3:$I$957,'Monthly Deduction'!$H$3:$H$957),0)</f>
        <v>0</v>
      </c>
      <c r="G562" s="123" t="str">
        <f>VLOOKUP(D562,'MPG Payment '!$E$3:$G$334579,3,0)</f>
        <v>MPG</v>
      </c>
      <c r="H562" s="124" t="str">
        <f>VLOOKUP(D562,'MPG Payment '!$E$3:$H$334579,4,0)</f>
        <v>Direct</v>
      </c>
      <c r="I562" s="88">
        <f>INDEX('MPG Payment '!$C:$C,MATCH('Shayak Income '!D562,'MPG Payment '!E:E,0))</f>
        <v>1053</v>
      </c>
      <c r="J562" s="88" t="str">
        <f>INDEX('MPG Payment '!$D:$D,MATCH('Shayak Income '!D562,'MPG Payment '!E:E,0))</f>
        <v>Kalyanpur</v>
      </c>
      <c r="K562" s="125" t="s">
        <v>1322</v>
      </c>
      <c r="L562" s="125">
        <v>45745</v>
      </c>
      <c r="M562" s="126">
        <f>SUMIF('MPG Payment '!$E$3:$E$34579,'Shayak Income '!D562,'MPG Payment '!$I$3:$I$34579)</f>
        <v>1105.6500000000001</v>
      </c>
      <c r="N562" s="126">
        <f>SUMIF('MPG Payment '!$E$3:$E$34579,'Shayak Income '!D562,'MPG Payment '!$J$3:$J$34579)</f>
        <v>37397.667883200753</v>
      </c>
      <c r="O562" s="126">
        <f t="shared" si="158"/>
        <v>829.23750000000007</v>
      </c>
      <c r="P562" s="126">
        <f t="shared" si="159"/>
        <v>1050.3675000000001</v>
      </c>
      <c r="Q562" s="126">
        <f>SUMIF('MPG Payment '!$E$3:$E$34579,'Shayak Income '!D562,'MPG Payment '!$S$3:$S$34579)</f>
        <v>67.839453593999991</v>
      </c>
      <c r="R562" s="126">
        <f t="shared" si="150"/>
        <v>1121.9300364960225</v>
      </c>
      <c r="S562" s="126">
        <v>0</v>
      </c>
      <c r="T562" s="126">
        <f t="shared" si="160"/>
        <v>110.56500000000001</v>
      </c>
      <c r="U562" s="127">
        <f>(((IF(K562="New",0,SUMIF('MPG Payment '!$E$3:$E$34579,'Shayak Income '!D562,'MPG Payment '!$AC$3:$AC$34579))))+0)+0</f>
        <v>1145.9733773485104</v>
      </c>
      <c r="V562" s="127">
        <v>0</v>
      </c>
      <c r="W562" s="19">
        <v>0</v>
      </c>
      <c r="X562" s="19">
        <v>0</v>
      </c>
      <c r="Y562" s="128">
        <f>IFERROR(VLOOKUP(D562,'Monthly Deduction'!$M$2:$N$64,2,0),0)</f>
        <v>0</v>
      </c>
      <c r="Z562" s="128">
        <v>0</v>
      </c>
      <c r="AA562" s="126">
        <f>IFERROR(VLOOKUP(D562,'Monthly Deduction'!A:B,2,0),0)</f>
        <v>0</v>
      </c>
      <c r="AB562" s="129">
        <f t="shared" si="152"/>
        <v>0</v>
      </c>
      <c r="AC562" s="130">
        <v>0</v>
      </c>
      <c r="AD562" s="35">
        <f t="shared" si="162"/>
        <v>0</v>
      </c>
      <c r="AE562" s="166" t="str">
        <f t="shared" si="163"/>
        <v>Release</v>
      </c>
      <c r="AF562" s="127"/>
      <c r="AG562" s="18">
        <v>0</v>
      </c>
      <c r="AH562" s="132"/>
      <c r="AI562" s="238">
        <v>0</v>
      </c>
      <c r="AJ562" s="132"/>
      <c r="AK562" s="151">
        <v>269.34999999999997</v>
      </c>
      <c r="AL562" s="154">
        <f t="shared" si="153"/>
        <v>0</v>
      </c>
      <c r="AM562" s="155"/>
      <c r="AN562" s="19">
        <f t="shared" si="154"/>
        <v>1861</v>
      </c>
      <c r="AO562" s="118">
        <f>SUMIF('MPG Payment '!E:E,'Shayak Income '!D562,'MPG Payment '!AJ:AJ)</f>
        <v>0</v>
      </c>
      <c r="AP562" s="19">
        <f t="shared" si="155"/>
        <v>0</v>
      </c>
      <c r="AQ562" s="119">
        <f t="shared" si="164"/>
        <v>0</v>
      </c>
      <c r="AR562" s="91"/>
      <c r="AS562" s="91">
        <f t="shared" si="156"/>
        <v>10700</v>
      </c>
      <c r="AT562" s="118"/>
      <c r="AU562" s="118"/>
      <c r="AV562" s="118"/>
    </row>
    <row r="563" spans="1:48" s="20" customFormat="1" x14ac:dyDescent="0.25">
      <c r="A563" s="17">
        <f>IFERROR(VLOOKUP(D563,'Monthly Deduction'!$I$3:$J$957,2,0),0)</f>
        <v>68230</v>
      </c>
      <c r="B563" s="17">
        <f>IFERROR(VLOOKUP(D563,'Monthly Deduction'!$E$3:$F$957,2,0),0)</f>
        <v>10700</v>
      </c>
      <c r="C563" s="17">
        <f t="shared" si="157"/>
        <v>78930</v>
      </c>
      <c r="D563" s="41">
        <v>10530048</v>
      </c>
      <c r="E563" s="122" t="str">
        <f>VLOOKUP(D563,'MPG Payment '!$E$3:$G$498218,2,0)</f>
        <v>Basuwari</v>
      </c>
      <c r="F563" s="146">
        <f>IFERROR(_xlfn.XLOOKUP(D563,'Monthly Deduction'!$I$3:$I$957,'Monthly Deduction'!$H$3:$H$957),0)</f>
        <v>0</v>
      </c>
      <c r="G563" s="123" t="str">
        <f>VLOOKUP(D563,'MPG Payment '!$E$3:$G$334579,3,0)</f>
        <v>MPG</v>
      </c>
      <c r="H563" s="124" t="str">
        <f>VLOOKUP(D563,'MPG Payment '!$E$3:$H$334579,4,0)</f>
        <v>Direct</v>
      </c>
      <c r="I563" s="88">
        <f>INDEX('MPG Payment '!$C:$C,MATCH('Shayak Income '!D563,'MPG Payment '!E:E,0))</f>
        <v>1053</v>
      </c>
      <c r="J563" s="88" t="str">
        <f>INDEX('MPG Payment '!$D:$D,MATCH('Shayak Income '!D563,'MPG Payment '!E:E,0))</f>
        <v>Kalyanpur</v>
      </c>
      <c r="K563" s="125" t="s">
        <v>1322</v>
      </c>
      <c r="L563" s="125">
        <v>45755</v>
      </c>
      <c r="M563" s="126">
        <f>SUMIF('MPG Payment '!$E$3:$E$34579,'Shayak Income '!D563,'MPG Payment '!$I$3:$I$34579)</f>
        <v>1437</v>
      </c>
      <c r="N563" s="126">
        <f>SUMIF('MPG Payment '!$E$3:$E$34579,'Shayak Income '!D563,'MPG Payment '!$J$3:$J$34579)</f>
        <v>53876.72260239374</v>
      </c>
      <c r="O563" s="126">
        <f t="shared" si="158"/>
        <v>1077.75</v>
      </c>
      <c r="P563" s="126">
        <f t="shared" si="159"/>
        <v>1365.1499999999999</v>
      </c>
      <c r="Q563" s="126">
        <f>SUMIF('MPG Payment '!$E$3:$E$34579,'Shayak Income '!D563,'MPG Payment '!$S$3:$S$34579)</f>
        <v>849.23131497045608</v>
      </c>
      <c r="R563" s="126">
        <f t="shared" si="150"/>
        <v>1616.3016780718121</v>
      </c>
      <c r="S563" s="126">
        <f t="shared" si="151"/>
        <v>251.15167807181228</v>
      </c>
      <c r="T563" s="126">
        <f t="shared" si="160"/>
        <v>143.70000000000002</v>
      </c>
      <c r="U563" s="127">
        <f>(((IF(K563="New",0,SUMIF('MPG Payment '!$E$3:$E$34579,'Shayak Income '!D563,'MPG Payment '!$AC$3:$AC$34579))))+0)+0</f>
        <v>1021.968402951514</v>
      </c>
      <c r="V563" s="127">
        <f t="shared" si="161"/>
        <v>2126</v>
      </c>
      <c r="W563" s="19">
        <f t="shared" si="165"/>
        <v>1861</v>
      </c>
      <c r="X563" s="19">
        <v>0</v>
      </c>
      <c r="Y563" s="128">
        <f>IFERROR(VLOOKUP(D563,'Monthly Deduction'!$M$2:$N$64,2,0),0)</f>
        <v>0</v>
      </c>
      <c r="Z563" s="128">
        <v>0</v>
      </c>
      <c r="AA563" s="126">
        <f>IFERROR(VLOOKUP(D563,'Monthly Deduction'!A:B,2,0),0)</f>
        <v>0</v>
      </c>
      <c r="AB563" s="129">
        <f t="shared" si="152"/>
        <v>265</v>
      </c>
      <c r="AC563" s="130">
        <v>0</v>
      </c>
      <c r="AD563" s="35">
        <f t="shared" si="162"/>
        <v>265</v>
      </c>
      <c r="AE563" s="166" t="str">
        <f t="shared" si="163"/>
        <v>Release</v>
      </c>
      <c r="AF563" s="127"/>
      <c r="AG563" s="18">
        <v>0</v>
      </c>
      <c r="AH563" s="120"/>
      <c r="AI563" s="238">
        <v>0</v>
      </c>
      <c r="AJ563" s="132"/>
      <c r="AK563" s="151">
        <v>352.3</v>
      </c>
      <c r="AL563" s="154">
        <f t="shared" si="153"/>
        <v>0</v>
      </c>
      <c r="AM563" s="155"/>
      <c r="AN563" s="19">
        <f t="shared" si="154"/>
        <v>1861</v>
      </c>
      <c r="AO563" s="118">
        <f>SUMIF('MPG Payment '!E:E,'Shayak Income '!D563,'MPG Payment '!AJ:AJ)</f>
        <v>0</v>
      </c>
      <c r="AP563" s="19">
        <f t="shared" si="155"/>
        <v>1861</v>
      </c>
      <c r="AQ563" s="119">
        <f t="shared" si="164"/>
        <v>1861</v>
      </c>
      <c r="AR563" s="91" t="s">
        <v>1168</v>
      </c>
      <c r="AS563" s="91">
        <f t="shared" si="156"/>
        <v>10700</v>
      </c>
      <c r="AT563" s="118"/>
      <c r="AU563" s="118"/>
      <c r="AV563" s="118"/>
    </row>
    <row r="564" spans="1:48" s="20" customFormat="1" x14ac:dyDescent="0.25">
      <c r="A564" s="17">
        <f>IFERROR(VLOOKUP(D564,'Monthly Deduction'!$I$3:$J$957,2,0),0)</f>
        <v>0</v>
      </c>
      <c r="B564" s="17">
        <f>IFERROR(VLOOKUP(D564,'Monthly Deduction'!$E$3:$F$957,2,0),0)</f>
        <v>0</v>
      </c>
      <c r="C564" s="17">
        <f t="shared" si="157"/>
        <v>0</v>
      </c>
      <c r="D564" s="41">
        <v>10530049</v>
      </c>
      <c r="E564" s="122" t="str">
        <f>VLOOKUP(D564,'MPG Payment '!$E$3:$G$498218,2,0)</f>
        <v>Belsandi 3</v>
      </c>
      <c r="F564" s="146">
        <f>IFERROR(_xlfn.XLOOKUP(D564,'Monthly Deduction'!$I$3:$I$957,'Monthly Deduction'!$H$3:$H$957),0)</f>
        <v>0</v>
      </c>
      <c r="G564" s="123" t="str">
        <f>VLOOKUP(D564,'MPG Payment '!$E$3:$G$334579,3,0)</f>
        <v>vlc</v>
      </c>
      <c r="H564" s="124" t="str">
        <f>VLOOKUP(D564,'MPG Payment '!$E$3:$H$334579,4,0)</f>
        <v>Indirect</v>
      </c>
      <c r="I564" s="88">
        <f>INDEX('MPG Payment '!$C:$C,MATCH('Shayak Income '!D564,'MPG Payment '!E:E,0))</f>
        <v>1053</v>
      </c>
      <c r="J564" s="88" t="str">
        <f>INDEX('MPG Payment '!$D:$D,MATCH('Shayak Income '!D564,'MPG Payment '!E:E,0))</f>
        <v>Kalyanpur</v>
      </c>
      <c r="K564" s="125" t="s">
        <v>1322</v>
      </c>
      <c r="L564" s="125">
        <v>45745</v>
      </c>
      <c r="M564" s="126">
        <f>SUMIF('MPG Payment '!$E$3:$E$34579,'Shayak Income '!D564,'MPG Payment '!$I$3:$I$34579)</f>
        <v>7561.4</v>
      </c>
      <c r="N564" s="126">
        <f>SUMIF('MPG Payment '!$E$3:$E$34579,'Shayak Income '!D564,'MPG Payment '!$J$3:$J$34579)</f>
        <v>283043.59369528701</v>
      </c>
      <c r="O564" s="126">
        <f t="shared" si="158"/>
        <v>5671.0499999999993</v>
      </c>
      <c r="P564" s="126">
        <f t="shared" si="159"/>
        <v>7183.329999999999</v>
      </c>
      <c r="Q564" s="126">
        <f>SUMIF('MPG Payment '!$E$3:$E$34579,'Shayak Income '!D564,'MPG Payment '!$S$3:$S$34579)</f>
        <v>0</v>
      </c>
      <c r="R564" s="126">
        <f t="shared" si="150"/>
        <v>8491.3078108586105</v>
      </c>
      <c r="S564" s="126">
        <f t="shared" si="151"/>
        <v>1307.9778108586115</v>
      </c>
      <c r="T564" s="126">
        <f t="shared" si="160"/>
        <v>756.14</v>
      </c>
      <c r="U564" s="127">
        <f>(((IF(K564="New",0,SUMIF('MPG Payment '!$E$3:$E$34579,'Shayak Income '!D564,'MPG Payment '!$AC$3:$AC$34579))))+0)+0</f>
        <v>0</v>
      </c>
      <c r="V564" s="127">
        <f t="shared" si="161"/>
        <v>12098</v>
      </c>
      <c r="W564" s="19">
        <f t="shared" si="165"/>
        <v>0</v>
      </c>
      <c r="X564" s="19">
        <f t="shared" si="166"/>
        <v>0</v>
      </c>
      <c r="Y564" s="128">
        <f>IFERROR(VLOOKUP(D564,'Monthly Deduction'!$M$2:$N$64,2,0),0)</f>
        <v>0</v>
      </c>
      <c r="Z564" s="128">
        <v>0</v>
      </c>
      <c r="AA564" s="126">
        <f>IFERROR(VLOOKUP(D564,'Monthly Deduction'!A:B,2,0),0)</f>
        <v>0</v>
      </c>
      <c r="AB564" s="129">
        <f t="shared" si="152"/>
        <v>12098</v>
      </c>
      <c r="AC564" s="130">
        <v>0</v>
      </c>
      <c r="AD564" s="35">
        <f t="shared" si="162"/>
        <v>12098</v>
      </c>
      <c r="AE564" s="166" t="str">
        <f t="shared" si="163"/>
        <v>Release</v>
      </c>
      <c r="AF564" s="127"/>
      <c r="AG564" s="18">
        <v>0</v>
      </c>
      <c r="AH564" s="185"/>
      <c r="AI564" s="238">
        <v>0</v>
      </c>
      <c r="AJ564" s="132"/>
      <c r="AK564" s="151">
        <v>2350.2999999999997</v>
      </c>
      <c r="AL564" s="154">
        <f t="shared" si="153"/>
        <v>0</v>
      </c>
      <c r="AM564" s="155"/>
      <c r="AN564" s="19">
        <f t="shared" si="154"/>
        <v>0</v>
      </c>
      <c r="AO564" s="118">
        <f>SUMIF('MPG Payment '!E:E,'Shayak Income '!D564,'MPG Payment '!AJ:AJ)</f>
        <v>0</v>
      </c>
      <c r="AP564" s="19">
        <f t="shared" si="155"/>
        <v>0</v>
      </c>
      <c r="AQ564" s="119">
        <f t="shared" si="164"/>
        <v>0</v>
      </c>
      <c r="AR564" s="91" t="s">
        <v>1168</v>
      </c>
      <c r="AS564" s="91">
        <f t="shared" si="156"/>
        <v>0</v>
      </c>
      <c r="AT564" s="118"/>
      <c r="AU564" s="118"/>
      <c r="AV564" s="118"/>
    </row>
    <row r="565" spans="1:48" s="20" customFormat="1" x14ac:dyDescent="0.25">
      <c r="A565" s="17">
        <f>IFERROR(VLOOKUP(D565,'Monthly Deduction'!$I$3:$J$957,2,0),0)</f>
        <v>0</v>
      </c>
      <c r="B565" s="17">
        <f>IFERROR(VLOOKUP(D565,'Monthly Deduction'!$E$3:$F$957,2,0),0)</f>
        <v>0</v>
      </c>
      <c r="C565" s="17">
        <f t="shared" si="157"/>
        <v>0</v>
      </c>
      <c r="D565" s="41">
        <v>10530050</v>
      </c>
      <c r="E565" s="122" t="str">
        <f>VLOOKUP(D565,'MPG Payment '!$E$3:$G$498218,2,0)</f>
        <v>Gomukh Bhagwanpur</v>
      </c>
      <c r="F565" s="146">
        <f>IFERROR(_xlfn.XLOOKUP(D565,'Monthly Deduction'!$I$3:$I$957,'Monthly Deduction'!$H$3:$H$957),0)</f>
        <v>0</v>
      </c>
      <c r="G565" s="123" t="str">
        <f>VLOOKUP(D565,'MPG Payment '!$E$3:$G$334579,3,0)</f>
        <v>vlc</v>
      </c>
      <c r="H565" s="124" t="str">
        <f>VLOOKUP(D565,'MPG Payment '!$E$3:$H$334579,4,0)</f>
        <v>Indirect</v>
      </c>
      <c r="I565" s="88">
        <f>INDEX('MPG Payment '!$C:$C,MATCH('Shayak Income '!D565,'MPG Payment '!E:E,0))</f>
        <v>1053</v>
      </c>
      <c r="J565" s="88" t="str">
        <f>INDEX('MPG Payment '!$D:$D,MATCH('Shayak Income '!D565,'MPG Payment '!E:E,0))</f>
        <v>Kalyanpur</v>
      </c>
      <c r="K565" s="125" t="s">
        <v>1322</v>
      </c>
      <c r="L565" s="125">
        <v>45749</v>
      </c>
      <c r="M565" s="126">
        <f>SUMIF('MPG Payment '!$E$3:$E$34579,'Shayak Income '!D565,'MPG Payment '!$I$3:$I$34579)</f>
        <v>738.84999999999991</v>
      </c>
      <c r="N565" s="126">
        <f>SUMIF('MPG Payment '!$E$3:$E$34579,'Shayak Income '!D565,'MPG Payment '!$J$3:$J$34579)</f>
        <v>33896.209246742961</v>
      </c>
      <c r="O565" s="126">
        <f t="shared" si="158"/>
        <v>554.13749999999993</v>
      </c>
      <c r="P565" s="126">
        <f t="shared" si="159"/>
        <v>701.90749999999991</v>
      </c>
      <c r="Q565" s="126">
        <f>SUMIF('MPG Payment '!$E$3:$E$34579,'Shayak Income '!D565,'MPG Payment '!$S$3:$S$34579)</f>
        <v>0</v>
      </c>
      <c r="R565" s="126">
        <f t="shared" si="150"/>
        <v>1016.8862774022888</v>
      </c>
      <c r="S565" s="126">
        <f t="shared" si="151"/>
        <v>314.97877740228887</v>
      </c>
      <c r="T565" s="126">
        <f t="shared" si="160"/>
        <v>73.884999999999991</v>
      </c>
      <c r="U565" s="127">
        <f>(((IF(K565="New",0,SUMIF('MPG Payment '!$E$3:$E$34579,'Shayak Income '!D565,'MPG Payment '!$AC$3:$AC$34579))))+0)+-844</f>
        <v>1182.605325827561</v>
      </c>
      <c r="V565" s="127">
        <f t="shared" si="161"/>
        <v>0</v>
      </c>
      <c r="W565" s="19">
        <v>0</v>
      </c>
      <c r="X565" s="19">
        <v>0</v>
      </c>
      <c r="Y565" s="128">
        <f>IFERROR(VLOOKUP(D565,'Monthly Deduction'!$M$2:$N$64,2,0),0)</f>
        <v>0</v>
      </c>
      <c r="Z565" s="128">
        <v>0</v>
      </c>
      <c r="AA565" s="126">
        <f>IFERROR(VLOOKUP(D565,'Monthly Deduction'!A:B,2,0),0)</f>
        <v>0</v>
      </c>
      <c r="AB565" s="129">
        <f t="shared" si="152"/>
        <v>0</v>
      </c>
      <c r="AC565" s="130">
        <v>0</v>
      </c>
      <c r="AD565" s="35">
        <f t="shared" si="162"/>
        <v>0</v>
      </c>
      <c r="AE565" s="166" t="str">
        <f t="shared" si="163"/>
        <v>Release</v>
      </c>
      <c r="AF565" s="127"/>
      <c r="AG565" s="18">
        <v>0</v>
      </c>
      <c r="AH565" s="120"/>
      <c r="AI565" s="238">
        <v>0</v>
      </c>
      <c r="AJ565" s="132"/>
      <c r="AK565" s="151">
        <v>309.35000000000002</v>
      </c>
      <c r="AL565" s="154">
        <f t="shared" si="153"/>
        <v>0</v>
      </c>
      <c r="AM565" s="155"/>
      <c r="AN565" s="19">
        <f t="shared" si="154"/>
        <v>0</v>
      </c>
      <c r="AO565" s="118">
        <f>SUMIF('MPG Payment '!E:E,'Shayak Income '!D565,'MPG Payment '!AJ:AJ)</f>
        <v>0</v>
      </c>
      <c r="AP565" s="19">
        <f t="shared" si="155"/>
        <v>0</v>
      </c>
      <c r="AQ565" s="119">
        <f t="shared" si="164"/>
        <v>0</v>
      </c>
      <c r="AR565" s="91" t="s">
        <v>1168</v>
      </c>
      <c r="AS565" s="91">
        <f t="shared" si="156"/>
        <v>0</v>
      </c>
      <c r="AT565" s="118"/>
      <c r="AU565" s="118"/>
      <c r="AV565" s="118"/>
    </row>
    <row r="566" spans="1:48" s="20" customFormat="1" x14ac:dyDescent="0.25">
      <c r="A566" s="17">
        <f>IFERROR(VLOOKUP(D566,'Monthly Deduction'!$I$3:$J$957,2,0),0)</f>
        <v>14257.794614783459</v>
      </c>
      <c r="B566" s="17">
        <f>IFERROR(VLOOKUP(D566,'Monthly Deduction'!$E$3:$F$957,2,0),0)</f>
        <v>0</v>
      </c>
      <c r="C566" s="17">
        <f t="shared" si="157"/>
        <v>14257.794614783459</v>
      </c>
      <c r="D566" s="41">
        <v>10530055</v>
      </c>
      <c r="E566" s="122" t="str">
        <f>VLOOKUP(D566,'MPG Payment '!$E$3:$G$498218,2,0)</f>
        <v>GOMUKH HARPUR W-13</v>
      </c>
      <c r="F566" s="146">
        <f>IFERROR(_xlfn.XLOOKUP(D566,'Monthly Deduction'!$I$3:$I$957,'Monthly Deduction'!$H$3:$H$957),0)</f>
        <v>0</v>
      </c>
      <c r="G566" s="123" t="str">
        <f>VLOOKUP(D566,'MPG Payment '!$E$3:$G$334579,3,0)</f>
        <v>MPG</v>
      </c>
      <c r="H566" s="124" t="str">
        <f>VLOOKUP(D566,'MPG Payment '!$E$3:$H$334579,4,0)</f>
        <v>Direct</v>
      </c>
      <c r="I566" s="88">
        <f>INDEX('MPG Payment '!$C:$C,MATCH('Shayak Income '!D566,'MPG Payment '!E:E,0))</f>
        <v>1053</v>
      </c>
      <c r="J566" s="88" t="str">
        <f>INDEX('MPG Payment '!$D:$D,MATCH('Shayak Income '!D566,'MPG Payment '!E:E,0))</f>
        <v>Kalyanpur</v>
      </c>
      <c r="K566" s="125" t="s">
        <v>1322</v>
      </c>
      <c r="L566" s="125">
        <v>45778</v>
      </c>
      <c r="M566" s="126">
        <f>SUMIF('MPG Payment '!$E$3:$E$34579,'Shayak Income '!D566,'MPG Payment '!$I$3:$I$34579)</f>
        <v>7019.1500000000015</v>
      </c>
      <c r="N566" s="126">
        <f>SUMIF('MPG Payment '!$E$3:$E$34579,'Shayak Income '!D566,'MPG Payment '!$J$3:$J$34579)</f>
        <v>276027.03529924224</v>
      </c>
      <c r="O566" s="126">
        <f t="shared" si="158"/>
        <v>5264.3625000000011</v>
      </c>
      <c r="P566" s="126">
        <f t="shared" si="159"/>
        <v>6668.192500000001</v>
      </c>
      <c r="Q566" s="126">
        <f>SUMIF('MPG Payment '!$E$3:$E$34579,'Shayak Income '!D566,'MPG Payment '!$S$3:$S$34579)</f>
        <v>4561.6863864000006</v>
      </c>
      <c r="R566" s="126">
        <f t="shared" si="150"/>
        <v>8280.8110589772677</v>
      </c>
      <c r="S566" s="126">
        <f t="shared" si="151"/>
        <v>1612.6185589772667</v>
      </c>
      <c r="T566" s="126">
        <f t="shared" si="160"/>
        <v>701.91500000000019</v>
      </c>
      <c r="U566" s="127">
        <f>(((IF(K566="New",0,SUMIF('MPG Payment '!$E$3:$E$34579,'Shayak Income '!D566,'MPG Payment '!$AC$3:$AC$34579))))+0)+0</f>
        <v>0</v>
      </c>
      <c r="V566" s="127">
        <f t="shared" si="161"/>
        <v>15792</v>
      </c>
      <c r="W566" s="19">
        <f t="shared" si="165"/>
        <v>5520.5407059848449</v>
      </c>
      <c r="X566" s="19">
        <v>0</v>
      </c>
      <c r="Y566" s="128">
        <f>IFERROR(VLOOKUP(D566,'Monthly Deduction'!$M$2:$N$64,2,0),0)</f>
        <v>0</v>
      </c>
      <c r="Z566" s="128">
        <v>0</v>
      </c>
      <c r="AA566" s="126">
        <f>IFERROR(VLOOKUP(D566,'Monthly Deduction'!A:B,2,0),0)</f>
        <v>0</v>
      </c>
      <c r="AB566" s="129">
        <f t="shared" si="152"/>
        <v>10271</v>
      </c>
      <c r="AC566" s="130">
        <v>0</v>
      </c>
      <c r="AD566" s="35">
        <f t="shared" si="162"/>
        <v>10271</v>
      </c>
      <c r="AE566" s="166" t="str">
        <f t="shared" si="163"/>
        <v>Release</v>
      </c>
      <c r="AF566" s="127"/>
      <c r="AG566" s="18">
        <v>0</v>
      </c>
      <c r="AH566" s="120"/>
      <c r="AI566" s="238">
        <v>0</v>
      </c>
      <c r="AJ566" s="132"/>
      <c r="AK566" s="151">
        <v>1659.5000000000005</v>
      </c>
      <c r="AL566" s="154">
        <f t="shared" si="153"/>
        <v>0</v>
      </c>
      <c r="AM566" s="155"/>
      <c r="AN566" s="19">
        <f t="shared" si="154"/>
        <v>5520.5407059848449</v>
      </c>
      <c r="AO566" s="118">
        <f>SUMIF('MPG Payment '!E:E,'Shayak Income '!D566,'MPG Payment '!AJ:AJ)</f>
        <v>0</v>
      </c>
      <c r="AP566" s="19">
        <f t="shared" si="155"/>
        <v>5520.5407059848449</v>
      </c>
      <c r="AQ566" s="119">
        <f t="shared" si="164"/>
        <v>5520.5407059848449</v>
      </c>
      <c r="AR566" s="91"/>
      <c r="AS566" s="91">
        <f t="shared" si="156"/>
        <v>0</v>
      </c>
      <c r="AT566" s="118"/>
      <c r="AU566" s="118"/>
      <c r="AV566" s="118"/>
    </row>
    <row r="567" spans="1:48" s="20" customFormat="1" x14ac:dyDescent="0.25">
      <c r="A567" s="17">
        <f>IFERROR(VLOOKUP(D567,'Monthly Deduction'!$I$3:$J$957,2,0),0)</f>
        <v>0</v>
      </c>
      <c r="B567" s="17">
        <f>IFERROR(VLOOKUP(D567,'Monthly Deduction'!$E$3:$F$957,2,0),0)</f>
        <v>0</v>
      </c>
      <c r="C567" s="17">
        <f t="shared" si="157"/>
        <v>0</v>
      </c>
      <c r="D567" s="41">
        <v>10530057</v>
      </c>
      <c r="E567" s="122" t="str">
        <f>VLOOKUP(D567,'MPG Payment '!$E$3:$G$498218,2,0)</f>
        <v>GOMUKH MILKI</v>
      </c>
      <c r="F567" s="146">
        <f>IFERROR(_xlfn.XLOOKUP(D567,'Monthly Deduction'!$I$3:$I$957,'Monthly Deduction'!$H$3:$H$957),0)</f>
        <v>0</v>
      </c>
      <c r="G567" s="123" t="str">
        <f>VLOOKUP(D567,'MPG Payment '!$E$3:$G$334579,3,0)</f>
        <v>vlc</v>
      </c>
      <c r="H567" s="124" t="str">
        <f>VLOOKUP(D567,'MPG Payment '!$E$3:$H$334579,4,0)</f>
        <v>Indirect</v>
      </c>
      <c r="I567" s="88">
        <f>INDEX('MPG Payment '!$C:$C,MATCH('Shayak Income '!D567,'MPG Payment '!E:E,0))</f>
        <v>1053</v>
      </c>
      <c r="J567" s="88" t="str">
        <f>INDEX('MPG Payment '!$D:$D,MATCH('Shayak Income '!D567,'MPG Payment '!E:E,0))</f>
        <v>Kalyanpur</v>
      </c>
      <c r="K567" s="125" t="s">
        <v>1322</v>
      </c>
      <c r="L567" s="125">
        <v>45775</v>
      </c>
      <c r="M567" s="126">
        <f>SUMIF('MPG Payment '!$E$3:$E$34579,'Shayak Income '!D567,'MPG Payment '!$I$3:$I$34579)</f>
        <v>283.39999999999998</v>
      </c>
      <c r="N567" s="126">
        <f>SUMIF('MPG Payment '!$E$3:$E$34579,'Shayak Income '!D567,'MPG Payment '!$J$3:$J$34579)</f>
        <v>12748.012318895249</v>
      </c>
      <c r="O567" s="126">
        <f t="shared" si="158"/>
        <v>212.54999999999998</v>
      </c>
      <c r="P567" s="126">
        <f t="shared" si="159"/>
        <v>269.22999999999996</v>
      </c>
      <c r="Q567" s="126">
        <f>SUMIF('MPG Payment '!$E$3:$E$34579,'Shayak Income '!D567,'MPG Payment '!$S$3:$S$34579)</f>
        <v>0</v>
      </c>
      <c r="R567" s="126">
        <f t="shared" si="150"/>
        <v>382.44036956685744</v>
      </c>
      <c r="S567" s="126">
        <f t="shared" si="151"/>
        <v>113.21036956685748</v>
      </c>
      <c r="T567" s="126">
        <f t="shared" si="160"/>
        <v>28.34</v>
      </c>
      <c r="U567" s="127">
        <f>(((IF(K567="New",0,SUMIF('MPG Payment '!$E$3:$E$34579,'Shayak Income '!D567,'MPG Payment '!$AC$3:$AC$34579))))+0)+-1200</f>
        <v>452.99191769576169</v>
      </c>
      <c r="V567" s="127">
        <f t="shared" si="161"/>
        <v>0</v>
      </c>
      <c r="W567" s="19">
        <v>0</v>
      </c>
      <c r="X567" s="19">
        <v>0</v>
      </c>
      <c r="Y567" s="128">
        <f>IFERROR(VLOOKUP(D567,'Monthly Deduction'!$M$2:$N$64,2,0),0)</f>
        <v>0</v>
      </c>
      <c r="Z567" s="128">
        <v>0</v>
      </c>
      <c r="AA567" s="126">
        <f>IFERROR(VLOOKUP(D567,'Monthly Deduction'!A:B,2,0),0)</f>
        <v>0</v>
      </c>
      <c r="AB567" s="129">
        <f t="shared" si="152"/>
        <v>0</v>
      </c>
      <c r="AC567" s="130">
        <v>0</v>
      </c>
      <c r="AD567" s="35">
        <f t="shared" si="162"/>
        <v>0</v>
      </c>
      <c r="AE567" s="166" t="str">
        <f t="shared" si="163"/>
        <v>Release</v>
      </c>
      <c r="AF567" s="127"/>
      <c r="AG567" s="127">
        <v>0</v>
      </c>
      <c r="AH567" s="120"/>
      <c r="AI567" s="238">
        <v>0</v>
      </c>
      <c r="AJ567" s="132"/>
      <c r="AK567" s="151">
        <v>91.65</v>
      </c>
      <c r="AL567" s="154">
        <f t="shared" si="153"/>
        <v>0</v>
      </c>
      <c r="AM567" s="155"/>
      <c r="AN567" s="19">
        <f t="shared" si="154"/>
        <v>0</v>
      </c>
      <c r="AO567" s="118">
        <f>SUMIF('MPG Payment '!E:E,'Shayak Income '!D567,'MPG Payment '!AJ:AJ)</f>
        <v>0</v>
      </c>
      <c r="AP567" s="19">
        <f t="shared" si="155"/>
        <v>0</v>
      </c>
      <c r="AQ567" s="119">
        <f t="shared" si="164"/>
        <v>0</v>
      </c>
      <c r="AR567" s="91"/>
      <c r="AS567" s="91">
        <f t="shared" si="156"/>
        <v>0</v>
      </c>
      <c r="AT567" s="118"/>
      <c r="AU567" s="118"/>
      <c r="AV567" s="118"/>
    </row>
    <row r="568" spans="1:48" s="20" customFormat="1" x14ac:dyDescent="0.25">
      <c r="A568" s="17">
        <f>IFERROR(VLOOKUP(D568,'Monthly Deduction'!$I$3:$J$957,2,0),0)</f>
        <v>74170</v>
      </c>
      <c r="B568" s="17">
        <f>IFERROR(VLOOKUP(D568,'Monthly Deduction'!$E$3:$F$957,2,0),0)</f>
        <v>0</v>
      </c>
      <c r="C568" s="17">
        <f t="shared" si="157"/>
        <v>74170</v>
      </c>
      <c r="D568" s="41">
        <v>10530058</v>
      </c>
      <c r="E568" s="122" t="str">
        <f>VLOOKUP(D568,'MPG Payment '!$E$3:$G$498218,2,0)</f>
        <v>Gomukh Ratwara</v>
      </c>
      <c r="F568" s="146">
        <f>IFERROR(_xlfn.XLOOKUP(D568,'Monthly Deduction'!$I$3:$I$957,'Monthly Deduction'!$H$3:$H$957),0)</f>
        <v>0</v>
      </c>
      <c r="G568" s="123" t="str">
        <f>VLOOKUP(D568,'MPG Payment '!$E$3:$G$334579,3,0)</f>
        <v>MPG</v>
      </c>
      <c r="H568" s="124" t="str">
        <f>VLOOKUP(D568,'MPG Payment '!$E$3:$H$334579,4,0)</f>
        <v>Direct</v>
      </c>
      <c r="I568" s="88">
        <f>INDEX('MPG Payment '!$C:$C,MATCH('Shayak Income '!D568,'MPG Payment '!E:E,0))</f>
        <v>1053</v>
      </c>
      <c r="J568" s="88" t="str">
        <f>INDEX('MPG Payment '!$D:$D,MATCH('Shayak Income '!D568,'MPG Payment '!E:E,0))</f>
        <v>Kalyanpur</v>
      </c>
      <c r="K568" s="125" t="s">
        <v>1322</v>
      </c>
      <c r="L568" s="125">
        <v>45779</v>
      </c>
      <c r="M568" s="126">
        <f>SUMIF('MPG Payment '!$E$3:$E$34579,'Shayak Income '!D568,'MPG Payment '!$I$3:$I$34579)</f>
        <v>588</v>
      </c>
      <c r="N568" s="126">
        <f>SUMIF('MPG Payment '!$E$3:$E$34579,'Shayak Income '!D568,'MPG Payment '!$J$3:$J$34579)</f>
        <v>21902.789832195253</v>
      </c>
      <c r="O568" s="126">
        <f t="shared" si="158"/>
        <v>441</v>
      </c>
      <c r="P568" s="126">
        <f t="shared" si="159"/>
        <v>558.6</v>
      </c>
      <c r="Q568" s="126">
        <f>SUMIF('MPG Payment '!$E$3:$E$34579,'Shayak Income '!D568,'MPG Payment '!$S$3:$S$34579)</f>
        <v>0</v>
      </c>
      <c r="R568" s="126">
        <f t="shared" si="150"/>
        <v>657.0836949658576</v>
      </c>
      <c r="S568" s="126">
        <f t="shared" si="151"/>
        <v>98.48369496585758</v>
      </c>
      <c r="T568" s="126">
        <f t="shared" si="160"/>
        <v>58.800000000000004</v>
      </c>
      <c r="U568" s="127">
        <f>(((IF(K568="New",0,SUMIF('MPG Payment '!$E$3:$E$34579,'Shayak Income '!D568,'MPG Payment '!$AC$3:$AC$34579))))+0)+-707</f>
        <v>941.25002018581381</v>
      </c>
      <c r="V568" s="127">
        <f t="shared" si="161"/>
        <v>0</v>
      </c>
      <c r="W568" s="19">
        <v>0</v>
      </c>
      <c r="X568" s="19">
        <v>0</v>
      </c>
      <c r="Y568" s="128">
        <f>IFERROR(VLOOKUP(D568,'Monthly Deduction'!$M$2:$N$64,2,0),0)</f>
        <v>0</v>
      </c>
      <c r="Z568" s="128">
        <v>0</v>
      </c>
      <c r="AA568" s="126">
        <f>IFERROR(VLOOKUP(D568,'Monthly Deduction'!A:B,2,0),0)</f>
        <v>0</v>
      </c>
      <c r="AB568" s="129">
        <f t="shared" si="152"/>
        <v>0</v>
      </c>
      <c r="AC568" s="130">
        <v>0</v>
      </c>
      <c r="AD568" s="35">
        <f t="shared" si="162"/>
        <v>0</v>
      </c>
      <c r="AE568" s="166" t="str">
        <f t="shared" si="163"/>
        <v>Release</v>
      </c>
      <c r="AF568" s="127"/>
      <c r="AG568" s="18">
        <v>0</v>
      </c>
      <c r="AH568" s="120"/>
      <c r="AI568" s="238">
        <v>0</v>
      </c>
      <c r="AJ568" s="132"/>
      <c r="AK568" s="151">
        <v>144.19999999999999</v>
      </c>
      <c r="AL568" s="154">
        <f t="shared" si="153"/>
        <v>0</v>
      </c>
      <c r="AM568" s="155"/>
      <c r="AN568" s="19">
        <f t="shared" si="154"/>
        <v>1861</v>
      </c>
      <c r="AO568" s="118">
        <f>SUMIF('MPG Payment '!E:E,'Shayak Income '!D568,'MPG Payment '!AJ:AJ)</f>
        <v>500</v>
      </c>
      <c r="AP568" s="19">
        <f t="shared" si="155"/>
        <v>0</v>
      </c>
      <c r="AQ568" s="119">
        <f t="shared" si="164"/>
        <v>500</v>
      </c>
      <c r="AR568" s="91" t="s">
        <v>1168</v>
      </c>
      <c r="AS568" s="91">
        <f t="shared" si="156"/>
        <v>0</v>
      </c>
      <c r="AT568" s="118"/>
      <c r="AU568" s="118"/>
      <c r="AV568" s="118"/>
    </row>
    <row r="569" spans="1:48" s="20" customFormat="1" x14ac:dyDescent="0.25">
      <c r="A569" s="17">
        <f>IFERROR(VLOOKUP(D569,'Monthly Deduction'!$I$3:$J$957,2,0),0)</f>
        <v>0</v>
      </c>
      <c r="B569" s="17">
        <f>IFERROR(VLOOKUP(D569,'Monthly Deduction'!$E$3:$F$957,2,0),0)</f>
        <v>0</v>
      </c>
      <c r="C569" s="17">
        <f t="shared" si="157"/>
        <v>0</v>
      </c>
      <c r="D569" s="41">
        <v>10530059</v>
      </c>
      <c r="E569" s="122" t="str">
        <f>VLOOKUP(D569,'MPG Payment '!$E$3:$G$498218,2,0)</f>
        <v>Gomukh Fulhara</v>
      </c>
      <c r="F569" s="146">
        <f>IFERROR(_xlfn.XLOOKUP(D569,'Monthly Deduction'!$I$3:$I$957,'Monthly Deduction'!$H$3:$H$957),0)</f>
        <v>0</v>
      </c>
      <c r="G569" s="123" t="str">
        <f>VLOOKUP(D569,'MPG Payment '!$E$3:$G$334579,3,0)</f>
        <v>vlc</v>
      </c>
      <c r="H569" s="124" t="str">
        <f>VLOOKUP(D569,'MPG Payment '!$E$3:$H$334579,4,0)</f>
        <v>Indirect</v>
      </c>
      <c r="I569" s="88">
        <f>INDEX('MPG Payment '!$C:$C,MATCH('Shayak Income '!D569,'MPG Payment '!E:E,0))</f>
        <v>1053</v>
      </c>
      <c r="J569" s="88" t="str">
        <f>INDEX('MPG Payment '!$D:$D,MATCH('Shayak Income '!D569,'MPG Payment '!E:E,0))</f>
        <v>Kalyanpur</v>
      </c>
      <c r="K569" s="125" t="s">
        <v>1322</v>
      </c>
      <c r="L569" s="125">
        <v>45778</v>
      </c>
      <c r="M569" s="126">
        <f>SUMIF('MPG Payment '!$E$3:$E$34579,'Shayak Income '!D569,'MPG Payment '!$I$3:$I$34579)</f>
        <v>7594.15</v>
      </c>
      <c r="N569" s="126">
        <f>SUMIF('MPG Payment '!$E$3:$E$34579,'Shayak Income '!D569,'MPG Payment '!$J$3:$J$34579)</f>
        <v>355446.79995166301</v>
      </c>
      <c r="O569" s="126">
        <f t="shared" si="158"/>
        <v>5695.6124999999993</v>
      </c>
      <c r="P569" s="126">
        <f t="shared" si="159"/>
        <v>7214.4424999999992</v>
      </c>
      <c r="Q569" s="126">
        <f>SUMIF('MPG Payment '!$E$3:$E$34579,'Shayak Income '!D569,'MPG Payment '!$S$3:$S$34579)</f>
        <v>0</v>
      </c>
      <c r="R569" s="126">
        <f t="shared" si="150"/>
        <v>10663.403998549889</v>
      </c>
      <c r="S569" s="126">
        <f t="shared" si="151"/>
        <v>3448.9614985498902</v>
      </c>
      <c r="T569" s="126">
        <f t="shared" si="160"/>
        <v>759.41499999999996</v>
      </c>
      <c r="U569" s="127">
        <f>(((IF(K569="New",0,SUMIF('MPG Payment '!$E$3:$E$34579,'Shayak Income '!D569,'MPG Payment '!$AC$3:$AC$34579))))+0)+0</f>
        <v>0</v>
      </c>
      <c r="V569" s="127">
        <f t="shared" si="161"/>
        <v>12151</v>
      </c>
      <c r="W569" s="19">
        <f t="shared" si="165"/>
        <v>0</v>
      </c>
      <c r="X569" s="19">
        <f t="shared" si="166"/>
        <v>0</v>
      </c>
      <c r="Y569" s="128">
        <f>IFERROR(VLOOKUP(D569,'Monthly Deduction'!$M$2:$N$64,2,0),0)</f>
        <v>0</v>
      </c>
      <c r="Z569" s="128">
        <v>0</v>
      </c>
      <c r="AA569" s="126">
        <f>IFERROR(VLOOKUP(D569,'Monthly Deduction'!A:B,2,0),0)</f>
        <v>0</v>
      </c>
      <c r="AB569" s="129">
        <f t="shared" si="152"/>
        <v>12151</v>
      </c>
      <c r="AC569" s="130">
        <v>0</v>
      </c>
      <c r="AD569" s="35">
        <f t="shared" si="162"/>
        <v>12151</v>
      </c>
      <c r="AE569" s="166" t="str">
        <f t="shared" si="163"/>
        <v>Release</v>
      </c>
      <c r="AF569" s="127"/>
      <c r="AG569" s="127">
        <v>0</v>
      </c>
      <c r="AH569" s="120"/>
      <c r="AI569" s="238">
        <v>0</v>
      </c>
      <c r="AJ569" s="132"/>
      <c r="AK569" s="151">
        <v>2220.6</v>
      </c>
      <c r="AL569" s="154">
        <f t="shared" si="153"/>
        <v>0</v>
      </c>
      <c r="AM569" s="155"/>
      <c r="AN569" s="19">
        <f t="shared" si="154"/>
        <v>0</v>
      </c>
      <c r="AO569" s="118">
        <f>SUMIF('MPG Payment '!E:E,'Shayak Income '!D569,'MPG Payment '!AJ:AJ)</f>
        <v>0</v>
      </c>
      <c r="AP569" s="19">
        <f t="shared" si="155"/>
        <v>0</v>
      </c>
      <c r="AQ569" s="119">
        <f t="shared" si="164"/>
        <v>0</v>
      </c>
      <c r="AR569" s="91"/>
      <c r="AS569" s="91">
        <f t="shared" si="156"/>
        <v>0</v>
      </c>
      <c r="AT569" s="118"/>
      <c r="AU569" s="118"/>
      <c r="AV569" s="118"/>
    </row>
    <row r="570" spans="1:48" s="20" customFormat="1" x14ac:dyDescent="0.25">
      <c r="A570" s="17">
        <f>IFERROR(VLOOKUP(D570,'Monthly Deduction'!$I$3:$J$957,2,0),0)</f>
        <v>0</v>
      </c>
      <c r="B570" s="17">
        <f>IFERROR(VLOOKUP(D570,'Monthly Deduction'!$E$3:$F$957,2,0),0)</f>
        <v>0</v>
      </c>
      <c r="C570" s="17">
        <f t="shared" si="157"/>
        <v>0</v>
      </c>
      <c r="D570" s="41">
        <v>10530060</v>
      </c>
      <c r="E570" s="122" t="str">
        <f>VLOOKUP(D570,'MPG Payment '!$E$3:$G$498218,2,0)</f>
        <v>Gomukh Ranitola</v>
      </c>
      <c r="F570" s="146">
        <f>IFERROR(_xlfn.XLOOKUP(D570,'Monthly Deduction'!$I$3:$I$957,'Monthly Deduction'!$H$3:$H$957),0)</f>
        <v>0</v>
      </c>
      <c r="G570" s="123" t="str">
        <f>VLOOKUP(D570,'MPG Payment '!$E$3:$G$334579,3,0)</f>
        <v>vlc</v>
      </c>
      <c r="H570" s="124" t="str">
        <f>VLOOKUP(D570,'MPG Payment '!$E$3:$H$334579,4,0)</f>
        <v>Indirect</v>
      </c>
      <c r="I570" s="88">
        <f>INDEX('MPG Payment '!$C:$C,MATCH('Shayak Income '!D570,'MPG Payment '!E:E,0))</f>
        <v>1053</v>
      </c>
      <c r="J570" s="88" t="str">
        <f>INDEX('MPG Payment '!$D:$D,MATCH('Shayak Income '!D570,'MPG Payment '!E:E,0))</f>
        <v>Kalyanpur</v>
      </c>
      <c r="K570" s="125" t="s">
        <v>1322</v>
      </c>
      <c r="L570" s="125">
        <v>45779</v>
      </c>
      <c r="M570" s="126">
        <f>SUMIF('MPG Payment '!$E$3:$E$34579,'Shayak Income '!D570,'MPG Payment '!$I$3:$I$34579)</f>
        <v>1827.25</v>
      </c>
      <c r="N570" s="126">
        <f>SUMIF('MPG Payment '!$E$3:$E$34579,'Shayak Income '!D570,'MPG Payment '!$J$3:$J$34579)</f>
        <v>79951.578091415315</v>
      </c>
      <c r="O570" s="126">
        <f t="shared" si="158"/>
        <v>1370.4375</v>
      </c>
      <c r="P570" s="126">
        <f t="shared" si="159"/>
        <v>1735.8874999999998</v>
      </c>
      <c r="Q570" s="126">
        <f>SUMIF('MPG Payment '!$E$3:$E$34579,'Shayak Income '!D570,'MPG Payment '!$S$3:$S$34579)</f>
        <v>0</v>
      </c>
      <c r="R570" s="126">
        <f t="shared" si="150"/>
        <v>2398.5473427424595</v>
      </c>
      <c r="S570" s="126">
        <f t="shared" si="151"/>
        <v>662.65984274245966</v>
      </c>
      <c r="T570" s="126">
        <f t="shared" si="160"/>
        <v>182.72500000000002</v>
      </c>
      <c r="U570" s="127">
        <f>(((IF(K570="New",0,SUMIF('MPG Payment '!$E$3:$E$34579,'Shayak Income '!D570,'MPG Payment '!$AC$3:$AC$34579))))+0)+0</f>
        <v>852.40301018600485</v>
      </c>
      <c r="V570" s="127">
        <f t="shared" si="161"/>
        <v>2071</v>
      </c>
      <c r="W570" s="19">
        <f t="shared" si="165"/>
        <v>0</v>
      </c>
      <c r="X570" s="19">
        <f t="shared" si="166"/>
        <v>0</v>
      </c>
      <c r="Y570" s="128">
        <f>IFERROR(VLOOKUP(D570,'Monthly Deduction'!$M$2:$N$64,2,0),0)</f>
        <v>0</v>
      </c>
      <c r="Z570" s="128">
        <v>0</v>
      </c>
      <c r="AA570" s="126">
        <f>IFERROR(VLOOKUP(D570,'Monthly Deduction'!A:B,2,0),0)</f>
        <v>0</v>
      </c>
      <c r="AB570" s="129">
        <f t="shared" si="152"/>
        <v>2071</v>
      </c>
      <c r="AC570" s="130">
        <v>0</v>
      </c>
      <c r="AD570" s="35">
        <f t="shared" si="162"/>
        <v>2071</v>
      </c>
      <c r="AE570" s="166" t="str">
        <f t="shared" si="163"/>
        <v>Release</v>
      </c>
      <c r="AF570" s="127"/>
      <c r="AG570" s="127">
        <v>0</v>
      </c>
      <c r="AH570" s="120"/>
      <c r="AI570" s="238">
        <v>0</v>
      </c>
      <c r="AJ570" s="132"/>
      <c r="AK570" s="151">
        <v>584.5</v>
      </c>
      <c r="AL570" s="154">
        <f t="shared" si="153"/>
        <v>0</v>
      </c>
      <c r="AM570" s="155"/>
      <c r="AN570" s="19">
        <f t="shared" si="154"/>
        <v>0</v>
      </c>
      <c r="AO570" s="118">
        <f>SUMIF('MPG Payment '!E:E,'Shayak Income '!D570,'MPG Payment '!AJ:AJ)</f>
        <v>0</v>
      </c>
      <c r="AP570" s="19">
        <f t="shared" si="155"/>
        <v>0</v>
      </c>
      <c r="AQ570" s="119">
        <f t="shared" si="164"/>
        <v>0</v>
      </c>
      <c r="AR570" s="91"/>
      <c r="AS570" s="91">
        <f t="shared" si="156"/>
        <v>0</v>
      </c>
      <c r="AT570" s="118"/>
      <c r="AU570" s="118"/>
      <c r="AV570" s="118"/>
    </row>
    <row r="571" spans="1:48" s="20" customFormat="1" x14ac:dyDescent="0.25">
      <c r="A571" s="17">
        <f>IFERROR(VLOOKUP(D571,'Monthly Deduction'!$I$3:$J$957,2,0),0)</f>
        <v>57607.383894759798</v>
      </c>
      <c r="B571" s="17">
        <f>IFERROR(VLOOKUP(D571,'Monthly Deduction'!$E$3:$F$957,2,0),0)</f>
        <v>6400</v>
      </c>
      <c r="C571" s="17">
        <f t="shared" si="157"/>
        <v>64007.383894759798</v>
      </c>
      <c r="D571" s="41">
        <v>10530062</v>
      </c>
      <c r="E571" s="122" t="str">
        <f>VLOOKUP(D571,'MPG Payment '!$E$3:$G$498218,2,0)</f>
        <v>Gomukh Malinagar East</v>
      </c>
      <c r="F571" s="146">
        <f>IFERROR(_xlfn.XLOOKUP(D571,'Monthly Deduction'!$I$3:$I$957,'Monthly Deduction'!$H$3:$H$957),0)</f>
        <v>0</v>
      </c>
      <c r="G571" s="123" t="str">
        <f>VLOOKUP(D571,'MPG Payment '!$E$3:$G$334579,3,0)</f>
        <v>MPG</v>
      </c>
      <c r="H571" s="124" t="str">
        <f>VLOOKUP(D571,'MPG Payment '!$E$3:$H$334579,4,0)</f>
        <v>Direct</v>
      </c>
      <c r="I571" s="88">
        <f>INDEX('MPG Payment '!$C:$C,MATCH('Shayak Income '!D571,'MPG Payment '!E:E,0))</f>
        <v>1053</v>
      </c>
      <c r="J571" s="88" t="str">
        <f>INDEX('MPG Payment '!$D:$D,MATCH('Shayak Income '!D571,'MPG Payment '!E:E,0))</f>
        <v>Kalyanpur</v>
      </c>
      <c r="K571" s="125" t="s">
        <v>1322</v>
      </c>
      <c r="L571" s="125">
        <v>45796</v>
      </c>
      <c r="M571" s="126">
        <f>SUMIF('MPG Payment '!$E$3:$E$34579,'Shayak Income '!D571,'MPG Payment '!$I$3:$I$34579)</f>
        <v>3361.4500000000003</v>
      </c>
      <c r="N571" s="126">
        <f>SUMIF('MPG Payment '!$E$3:$E$34579,'Shayak Income '!D571,'MPG Payment '!$J$3:$J$34579)</f>
        <v>137958.67126224202</v>
      </c>
      <c r="O571" s="126">
        <f t="shared" si="158"/>
        <v>2521.0875000000001</v>
      </c>
      <c r="P571" s="126">
        <f t="shared" si="159"/>
        <v>3193.3775000000001</v>
      </c>
      <c r="Q571" s="126">
        <f>SUMIF('MPG Payment '!$E$3:$E$34579,'Shayak Income '!D571,'MPG Payment '!$S$3:$S$34579)</f>
        <v>887.75562873027013</v>
      </c>
      <c r="R571" s="126">
        <f t="shared" si="150"/>
        <v>4138.7601378672607</v>
      </c>
      <c r="S571" s="126">
        <f t="shared" si="151"/>
        <v>945.38263786726066</v>
      </c>
      <c r="T571" s="126">
        <f t="shared" si="160"/>
        <v>336.14500000000004</v>
      </c>
      <c r="U571" s="127">
        <f>(((IF(K571="New",0,SUMIF('MPG Payment '!$E$3:$E$34579,'Shayak Income '!D571,'MPG Payment '!$AC$3:$AC$34579))))+0)+0</f>
        <v>0</v>
      </c>
      <c r="V571" s="127">
        <f t="shared" si="161"/>
        <v>6266</v>
      </c>
      <c r="W571" s="19">
        <f t="shared" si="165"/>
        <v>2759.1734252448405</v>
      </c>
      <c r="X571" s="19">
        <v>0</v>
      </c>
      <c r="Y571" s="128">
        <f>IFERROR(VLOOKUP(D571,'Monthly Deduction'!$M$2:$N$64,2,0),0)</f>
        <v>0</v>
      </c>
      <c r="Z571" s="128">
        <v>0</v>
      </c>
      <c r="AA571" s="126">
        <f>IFERROR(VLOOKUP(D571,'Monthly Deduction'!A:B,2,0),0)</f>
        <v>0</v>
      </c>
      <c r="AB571" s="129">
        <f t="shared" si="152"/>
        <v>3507</v>
      </c>
      <c r="AC571" s="130">
        <v>0</v>
      </c>
      <c r="AD571" s="35">
        <f t="shared" si="162"/>
        <v>3507</v>
      </c>
      <c r="AE571" s="166" t="str">
        <f t="shared" si="163"/>
        <v>Release</v>
      </c>
      <c r="AF571" s="127"/>
      <c r="AG571" s="18">
        <v>0</v>
      </c>
      <c r="AH571" s="120"/>
      <c r="AI571" s="238">
        <v>0</v>
      </c>
      <c r="AJ571" s="132"/>
      <c r="AK571" s="151">
        <v>942.75</v>
      </c>
      <c r="AL571" s="154">
        <f t="shared" si="153"/>
        <v>0</v>
      </c>
      <c r="AM571" s="155"/>
      <c r="AN571" s="19">
        <f t="shared" si="154"/>
        <v>2759.1734252448405</v>
      </c>
      <c r="AO571" s="118">
        <f>SUMIF('MPG Payment '!E:E,'Shayak Income '!D571,'MPG Payment '!AJ:AJ)</f>
        <v>0</v>
      </c>
      <c r="AP571" s="19">
        <f t="shared" si="155"/>
        <v>2759.1734252448405</v>
      </c>
      <c r="AQ571" s="119">
        <f t="shared" si="164"/>
        <v>2759.1734252448405</v>
      </c>
      <c r="AR571" s="91" t="s">
        <v>1168</v>
      </c>
      <c r="AS571" s="91">
        <f t="shared" si="156"/>
        <v>6400</v>
      </c>
      <c r="AT571" s="118"/>
      <c r="AU571" s="118"/>
      <c r="AV571" s="118"/>
    </row>
    <row r="572" spans="1:48" s="20" customFormat="1" x14ac:dyDescent="0.25">
      <c r="A572" s="17">
        <f>IFERROR(VLOOKUP(D572,'Monthly Deduction'!$I$3:$J$957,2,0),0)</f>
        <v>0</v>
      </c>
      <c r="B572" s="17">
        <f>IFERROR(VLOOKUP(D572,'Monthly Deduction'!$E$3:$F$957,2,0),0)</f>
        <v>0</v>
      </c>
      <c r="C572" s="17">
        <f t="shared" si="157"/>
        <v>0</v>
      </c>
      <c r="D572" s="41">
        <v>10530063</v>
      </c>
      <c r="E572" s="122" t="str">
        <f>VLOOKUP(D572,'MPG Payment '!$E$3:$G$498218,2,0)</f>
        <v>GOMUKH Singhiya Ward 11</v>
      </c>
      <c r="F572" s="146">
        <f>IFERROR(_xlfn.XLOOKUP(D572,'Monthly Deduction'!$I$3:$I$957,'Monthly Deduction'!$H$3:$H$957),0)</f>
        <v>0</v>
      </c>
      <c r="G572" s="123" t="str">
        <f>VLOOKUP(D572,'MPG Payment '!$E$3:$G$334579,3,0)</f>
        <v>vlc</v>
      </c>
      <c r="H572" s="124" t="str">
        <f>VLOOKUP(D572,'MPG Payment '!$E$3:$H$334579,4,0)</f>
        <v>Indirect</v>
      </c>
      <c r="I572" s="88">
        <f>INDEX('MPG Payment '!$C:$C,MATCH('Shayak Income '!D572,'MPG Payment '!E:E,0))</f>
        <v>1053</v>
      </c>
      <c r="J572" s="88" t="str">
        <f>INDEX('MPG Payment '!$D:$D,MATCH('Shayak Income '!D572,'MPG Payment '!E:E,0))</f>
        <v>Kalyanpur</v>
      </c>
      <c r="K572" s="125" t="s">
        <v>1322</v>
      </c>
      <c r="L572" s="125">
        <v>45794</v>
      </c>
      <c r="M572" s="126">
        <f>SUMIF('MPG Payment '!$E$3:$E$34579,'Shayak Income '!D572,'MPG Payment '!$I$3:$I$34579)</f>
        <v>1101.3499999999999</v>
      </c>
      <c r="N572" s="126">
        <f>SUMIF('MPG Payment '!$E$3:$E$34579,'Shayak Income '!D572,'MPG Payment '!$J$3:$J$34579)</f>
        <v>58949.1137758724</v>
      </c>
      <c r="O572" s="126">
        <f t="shared" si="158"/>
        <v>826.01249999999993</v>
      </c>
      <c r="P572" s="126">
        <f t="shared" si="159"/>
        <v>1046.2824999999998</v>
      </c>
      <c r="Q572" s="126">
        <f>SUMIF('MPG Payment '!$E$3:$E$34579,'Shayak Income '!D572,'MPG Payment '!$S$3:$S$34579)</f>
        <v>0</v>
      </c>
      <c r="R572" s="126">
        <f t="shared" si="150"/>
        <v>1768.4734132761719</v>
      </c>
      <c r="S572" s="126">
        <f t="shared" si="151"/>
        <v>722.19091327617207</v>
      </c>
      <c r="T572" s="126">
        <f t="shared" si="160"/>
        <v>110.13499999999999</v>
      </c>
      <c r="U572" s="127">
        <f>(((IF(K572="New",0,SUMIF('MPG Payment '!$E$3:$E$34579,'Shayak Income '!D572,'MPG Payment '!$AC$3:$AC$34579))))+0)+-73</f>
        <v>1762.5606132466751</v>
      </c>
      <c r="V572" s="127">
        <f t="shared" si="161"/>
        <v>0</v>
      </c>
      <c r="W572" s="19">
        <v>0</v>
      </c>
      <c r="X572" s="19">
        <v>0</v>
      </c>
      <c r="Y572" s="128">
        <f>IFERROR(VLOOKUP(D572,'Monthly Deduction'!$M$2:$N$64,2,0),0)</f>
        <v>0</v>
      </c>
      <c r="Z572" s="128">
        <v>0</v>
      </c>
      <c r="AA572" s="126">
        <f>IFERROR(VLOOKUP(D572,'Monthly Deduction'!A:B,2,0),0)</f>
        <v>0</v>
      </c>
      <c r="AB572" s="129">
        <f t="shared" si="152"/>
        <v>0</v>
      </c>
      <c r="AC572" s="130">
        <v>0</v>
      </c>
      <c r="AD572" s="35">
        <f t="shared" si="162"/>
        <v>0</v>
      </c>
      <c r="AE572" s="166" t="str">
        <f t="shared" si="163"/>
        <v>Release</v>
      </c>
      <c r="AF572" s="127"/>
      <c r="AG572" s="18">
        <v>0</v>
      </c>
      <c r="AH572" s="132"/>
      <c r="AI572" s="238">
        <v>0</v>
      </c>
      <c r="AJ572" s="132"/>
      <c r="AK572" s="151">
        <v>369.65000000000003</v>
      </c>
      <c r="AL572" s="154">
        <f t="shared" si="153"/>
        <v>0</v>
      </c>
      <c r="AM572" s="155"/>
      <c r="AN572" s="19">
        <f t="shared" si="154"/>
        <v>0</v>
      </c>
      <c r="AO572" s="118">
        <f>SUMIF('MPG Payment '!E:E,'Shayak Income '!D572,'MPG Payment '!AJ:AJ)</f>
        <v>0</v>
      </c>
      <c r="AP572" s="19">
        <f t="shared" si="155"/>
        <v>0</v>
      </c>
      <c r="AQ572" s="119">
        <f t="shared" si="164"/>
        <v>0</v>
      </c>
      <c r="AR572" s="91"/>
      <c r="AS572" s="91">
        <f t="shared" si="156"/>
        <v>0</v>
      </c>
      <c r="AT572" s="118"/>
      <c r="AU572" s="118"/>
      <c r="AV572" s="118"/>
    </row>
    <row r="573" spans="1:48" s="20" customFormat="1" x14ac:dyDescent="0.25">
      <c r="A573" s="17">
        <f>IFERROR(VLOOKUP(D573,'Monthly Deduction'!$I$3:$J$957,2,0),0)</f>
        <v>52269.157585151988</v>
      </c>
      <c r="B573" s="17">
        <f>IFERROR(VLOOKUP(D573,'Monthly Deduction'!$E$3:$F$957,2,0),0)</f>
        <v>6400</v>
      </c>
      <c r="C573" s="17">
        <f t="shared" si="157"/>
        <v>58669.157585151988</v>
      </c>
      <c r="D573" s="41">
        <v>10530064</v>
      </c>
      <c r="E573" s="122" t="str">
        <f>VLOOKUP(D573,'MPG Payment '!$E$3:$G$498218,2,0)</f>
        <v>GOMUKH MANIYARPUR</v>
      </c>
      <c r="F573" s="146">
        <f>IFERROR(_xlfn.XLOOKUP(D573,'Monthly Deduction'!$I$3:$I$957,'Monthly Deduction'!$H$3:$H$957),0)</f>
        <v>0</v>
      </c>
      <c r="G573" s="123" t="str">
        <f>VLOOKUP(D573,'MPG Payment '!$E$3:$G$334579,3,0)</f>
        <v>MPG</v>
      </c>
      <c r="H573" s="124" t="str">
        <f>VLOOKUP(D573,'MPG Payment '!$E$3:$H$334579,4,0)</f>
        <v>Direct</v>
      </c>
      <c r="I573" s="88">
        <f>INDEX('MPG Payment '!$C:$C,MATCH('Shayak Income '!D573,'MPG Payment '!E:E,0))</f>
        <v>1053</v>
      </c>
      <c r="J573" s="88" t="str">
        <f>INDEX('MPG Payment '!$D:$D,MATCH('Shayak Income '!D573,'MPG Payment '!E:E,0))</f>
        <v>Kalyanpur</v>
      </c>
      <c r="K573" s="125" t="s">
        <v>1322</v>
      </c>
      <c r="L573" s="125">
        <v>45809</v>
      </c>
      <c r="M573" s="126">
        <f>SUMIF('MPG Payment '!$E$3:$E$34579,'Shayak Income '!D573,'MPG Payment '!$I$3:$I$34579)</f>
        <v>3517.05</v>
      </c>
      <c r="N573" s="126">
        <f>SUMIF('MPG Payment '!$E$3:$E$34579,'Shayak Income '!D573,'MPG Payment '!$J$3:$J$34579)</f>
        <v>149078.31515593501</v>
      </c>
      <c r="O573" s="126">
        <f t="shared" si="158"/>
        <v>2637.7875000000004</v>
      </c>
      <c r="P573" s="126">
        <f t="shared" si="159"/>
        <v>3341.1975000000002</v>
      </c>
      <c r="Q573" s="126">
        <f>SUMIF('MPG Payment '!$E$3:$E$34579,'Shayak Income '!D573,'MPG Payment '!$S$3:$S$34579)</f>
        <v>4884.9834734880005</v>
      </c>
      <c r="R573" s="126">
        <f t="shared" si="150"/>
        <v>4472.3494546780503</v>
      </c>
      <c r="S573" s="126">
        <f t="shared" si="151"/>
        <v>1131.1519546780501</v>
      </c>
      <c r="T573" s="126">
        <f t="shared" si="160"/>
        <v>351.70500000000004</v>
      </c>
      <c r="U573" s="127">
        <f>(((IF(K573="New",0,SUMIF('MPG Payment '!$E$3:$E$34579,'Shayak Income '!D573,'MPG Payment '!$AC$3:$AC$34579))))+0)+0</f>
        <v>0</v>
      </c>
      <c r="V573" s="127">
        <f t="shared" si="161"/>
        <v>10512</v>
      </c>
      <c r="W573" s="19">
        <f t="shared" si="165"/>
        <v>2981.5663031187</v>
      </c>
      <c r="X573" s="19">
        <v>0</v>
      </c>
      <c r="Y573" s="128">
        <f>IFERROR(VLOOKUP(D573,'Monthly Deduction'!$M$2:$N$64,2,0),0)</f>
        <v>0</v>
      </c>
      <c r="Z573" s="128">
        <v>0</v>
      </c>
      <c r="AA573" s="126">
        <f>IFERROR(VLOOKUP(D573,'Monthly Deduction'!A:B,2,0),0)</f>
        <v>0</v>
      </c>
      <c r="AB573" s="129">
        <f t="shared" si="152"/>
        <v>7530</v>
      </c>
      <c r="AC573" s="130">
        <v>0</v>
      </c>
      <c r="AD573" s="35">
        <f t="shared" si="162"/>
        <v>7530</v>
      </c>
      <c r="AE573" s="166" t="str">
        <f t="shared" si="163"/>
        <v>Release</v>
      </c>
      <c r="AF573" s="127"/>
      <c r="AG573" s="18">
        <v>0</v>
      </c>
      <c r="AH573" s="132"/>
      <c r="AI573" s="238">
        <v>0</v>
      </c>
      <c r="AJ573" s="132"/>
      <c r="AK573" s="151">
        <v>891.55</v>
      </c>
      <c r="AL573" s="154">
        <f t="shared" si="153"/>
        <v>0</v>
      </c>
      <c r="AM573" s="155"/>
      <c r="AN573" s="19">
        <f t="shared" si="154"/>
        <v>2981.5663031187</v>
      </c>
      <c r="AO573" s="118">
        <f>SUMIF('MPG Payment '!E:E,'Shayak Income '!D573,'MPG Payment '!AJ:AJ)</f>
        <v>0</v>
      </c>
      <c r="AP573" s="19">
        <f t="shared" si="155"/>
        <v>2981.5663031187</v>
      </c>
      <c r="AQ573" s="119">
        <f t="shared" si="164"/>
        <v>2981.5663031187</v>
      </c>
      <c r="AR573" s="91" t="s">
        <v>1168</v>
      </c>
      <c r="AS573" s="91">
        <f t="shared" si="156"/>
        <v>6400</v>
      </c>
      <c r="AT573" s="118"/>
      <c r="AU573" s="118"/>
      <c r="AV573" s="118"/>
    </row>
    <row r="574" spans="1:48" s="20" customFormat="1" x14ac:dyDescent="0.25">
      <c r="A574" s="17">
        <f>IFERROR(VLOOKUP(D574,'Monthly Deduction'!$I$3:$J$957,2,0),0)</f>
        <v>52675.800540998331</v>
      </c>
      <c r="B574" s="17">
        <f>IFERROR(VLOOKUP(D574,'Monthly Deduction'!$E$3:$F$957,2,0),0)</f>
        <v>12800</v>
      </c>
      <c r="C574" s="17">
        <f t="shared" si="157"/>
        <v>65475.800540998331</v>
      </c>
      <c r="D574" s="41">
        <v>10530065</v>
      </c>
      <c r="E574" s="122" t="str">
        <f>VLOOKUP(D574,'MPG Payment '!$E$3:$G$498218,2,0)</f>
        <v>GOMUKH DIGHRA W-6</v>
      </c>
      <c r="F574" s="146">
        <f>IFERROR(_xlfn.XLOOKUP(D574,'Monthly Deduction'!$I$3:$I$957,'Monthly Deduction'!$H$3:$H$957),0)</f>
        <v>0</v>
      </c>
      <c r="G574" s="123" t="str">
        <f>VLOOKUP(D574,'MPG Payment '!$E$3:$G$334579,3,0)</f>
        <v>MPG</v>
      </c>
      <c r="H574" s="124" t="str">
        <f>VLOOKUP(D574,'MPG Payment '!$E$3:$H$334579,4,0)</f>
        <v>Direct</v>
      </c>
      <c r="I574" s="88">
        <f>INDEX('MPG Payment '!$C:$C,MATCH('Shayak Income '!D574,'MPG Payment '!E:E,0))</f>
        <v>1053</v>
      </c>
      <c r="J574" s="88" t="str">
        <f>INDEX('MPG Payment '!$D:$D,MATCH('Shayak Income '!D574,'MPG Payment '!E:E,0))</f>
        <v>Kalyanpur</v>
      </c>
      <c r="K574" s="125" t="s">
        <v>1322</v>
      </c>
      <c r="L574" s="125">
        <v>45816</v>
      </c>
      <c r="M574" s="126">
        <f>SUMIF('MPG Payment '!$E$3:$E$34579,'Shayak Income '!D574,'MPG Payment '!$I$3:$I$34579)</f>
        <v>4871.2999999999993</v>
      </c>
      <c r="N574" s="126">
        <f>SUMIF('MPG Payment '!$E$3:$E$34579,'Shayak Income '!D574,'MPG Payment '!$J$3:$J$34579)</f>
        <v>181638.72508673003</v>
      </c>
      <c r="O574" s="126">
        <f t="shared" si="158"/>
        <v>3653.4749999999995</v>
      </c>
      <c r="P574" s="126">
        <f t="shared" si="159"/>
        <v>4627.7349999999988</v>
      </c>
      <c r="Q574" s="126">
        <f>SUMIF('MPG Payment '!$E$3:$E$34579,'Shayak Income '!D574,'MPG Payment '!$S$3:$S$34579)</f>
        <v>1444.7592206169104</v>
      </c>
      <c r="R574" s="126">
        <f t="shared" si="150"/>
        <v>5449.1617526019008</v>
      </c>
      <c r="S574" s="126">
        <f t="shared" si="151"/>
        <v>821.42675260190208</v>
      </c>
      <c r="T574" s="126">
        <f t="shared" si="160"/>
        <v>487.12999999999994</v>
      </c>
      <c r="U574" s="127">
        <f>(((IF(K574="New",0,SUMIF('MPG Payment '!$E$3:$E$34579,'Shayak Income '!D574,'MPG Payment '!$AC$3:$AC$34579))))+0)+0</f>
        <v>0</v>
      </c>
      <c r="V574" s="127">
        <f t="shared" si="161"/>
        <v>9239</v>
      </c>
      <c r="W574" s="19">
        <f t="shared" si="165"/>
        <v>3632.7745017346006</v>
      </c>
      <c r="X574" s="19">
        <v>0</v>
      </c>
      <c r="Y574" s="128">
        <f>IFERROR(VLOOKUP(D574,'Monthly Deduction'!$M$2:$N$64,2,0),0)</f>
        <v>0</v>
      </c>
      <c r="Z574" s="128">
        <v>0</v>
      </c>
      <c r="AA574" s="126">
        <f>IFERROR(VLOOKUP(D574,'Monthly Deduction'!A:B,2,0),0)</f>
        <v>0</v>
      </c>
      <c r="AB574" s="129">
        <f t="shared" si="152"/>
        <v>5606</v>
      </c>
      <c r="AC574" s="130">
        <v>0</v>
      </c>
      <c r="AD574" s="35">
        <f t="shared" si="162"/>
        <v>5606</v>
      </c>
      <c r="AE574" s="166" t="str">
        <f t="shared" si="163"/>
        <v>Release</v>
      </c>
      <c r="AF574" s="127"/>
      <c r="AG574" s="18">
        <v>0</v>
      </c>
      <c r="AH574" s="120"/>
      <c r="AI574" s="238">
        <v>0</v>
      </c>
      <c r="AJ574" s="132"/>
      <c r="AK574" s="151">
        <v>1289.95</v>
      </c>
      <c r="AL574" s="154">
        <f t="shared" si="153"/>
        <v>0</v>
      </c>
      <c r="AM574" s="155"/>
      <c r="AN574" s="19">
        <f t="shared" si="154"/>
        <v>3632.7745017346006</v>
      </c>
      <c r="AO574" s="118">
        <f>SUMIF('MPG Payment '!E:E,'Shayak Income '!D574,'MPG Payment '!AJ:AJ)</f>
        <v>0</v>
      </c>
      <c r="AP574" s="19">
        <f t="shared" si="155"/>
        <v>3632.7745017346006</v>
      </c>
      <c r="AQ574" s="119">
        <f t="shared" si="164"/>
        <v>3632.7745017346006</v>
      </c>
      <c r="AR574" s="91" t="s">
        <v>1168</v>
      </c>
      <c r="AS574" s="91">
        <f t="shared" si="156"/>
        <v>12800</v>
      </c>
      <c r="AT574" s="118"/>
      <c r="AU574" s="118"/>
      <c r="AV574" s="118"/>
    </row>
    <row r="575" spans="1:48" s="20" customFormat="1" x14ac:dyDescent="0.25">
      <c r="A575" s="17">
        <f>IFERROR(VLOOKUP(D575,'Monthly Deduction'!$I$3:$J$957,2,0),0)</f>
        <v>71962.516336772518</v>
      </c>
      <c r="B575" s="17">
        <f>IFERROR(VLOOKUP(D575,'Monthly Deduction'!$E$3:$F$957,2,0),0)</f>
        <v>0</v>
      </c>
      <c r="C575" s="17">
        <f t="shared" si="157"/>
        <v>71962.516336772518</v>
      </c>
      <c r="D575" s="41">
        <v>10530067</v>
      </c>
      <c r="E575" s="122" t="str">
        <f>VLOOKUP(D575,'MPG Payment '!$E$3:$G$498218,2,0)</f>
        <v>GOMUKH BANDRA W-6</v>
      </c>
      <c r="F575" s="146">
        <f>IFERROR(_xlfn.XLOOKUP(D575,'Monthly Deduction'!$I$3:$I$957,'Monthly Deduction'!$H$3:$H$957),0)</f>
        <v>0</v>
      </c>
      <c r="G575" s="123" t="str">
        <f>VLOOKUP(D575,'MPG Payment '!$E$3:$G$334579,3,0)</f>
        <v>MPG</v>
      </c>
      <c r="H575" s="124" t="str">
        <f>VLOOKUP(D575,'MPG Payment '!$E$3:$H$334579,4,0)</f>
        <v>Direct</v>
      </c>
      <c r="I575" s="88">
        <f>INDEX('MPG Payment '!$C:$C,MATCH('Shayak Income '!D575,'MPG Payment '!E:E,0))</f>
        <v>1053</v>
      </c>
      <c r="J575" s="88" t="str">
        <f>INDEX('MPG Payment '!$D:$D,MATCH('Shayak Income '!D575,'MPG Payment '!E:E,0))</f>
        <v>Kalyanpur</v>
      </c>
      <c r="K575" s="125" t="s">
        <v>1322</v>
      </c>
      <c r="L575" s="125">
        <v>45828</v>
      </c>
      <c r="M575" s="126">
        <f>SUMIF('MPG Payment '!$E$3:$E$34579,'Shayak Income '!D575,'MPG Payment '!$I$3:$I$34579)</f>
        <v>2185.4500000000003</v>
      </c>
      <c r="N575" s="126">
        <f>SUMIF('MPG Payment '!$E$3:$E$34579,'Shayak Income '!D575,'MPG Payment '!$J$3:$J$34579)</f>
        <v>89707.635930574586</v>
      </c>
      <c r="O575" s="126">
        <f t="shared" si="158"/>
        <v>1639.0875000000001</v>
      </c>
      <c r="P575" s="126">
        <f t="shared" si="159"/>
        <v>2076.1775000000002</v>
      </c>
      <c r="Q575" s="126">
        <f>SUMIF('MPG Payment '!$E$3:$E$34579,'Shayak Income '!D575,'MPG Payment '!$S$3:$S$34579)</f>
        <v>1104.9868282194</v>
      </c>
      <c r="R575" s="126">
        <f t="shared" si="150"/>
        <v>2691.2290779172376</v>
      </c>
      <c r="S575" s="126">
        <f t="shared" si="151"/>
        <v>615.05157791723741</v>
      </c>
      <c r="T575" s="126">
        <f t="shared" si="160"/>
        <v>218.54500000000004</v>
      </c>
      <c r="U575" s="127">
        <f>(((IF(K575="New",0,SUMIF('MPG Payment '!$E$3:$E$34579,'Shayak Income '!D575,'MPG Payment '!$AC$3:$AC$34579))))+0)+0</f>
        <v>504.1212434525446</v>
      </c>
      <c r="V575" s="127">
        <f t="shared" si="161"/>
        <v>4098</v>
      </c>
      <c r="W575" s="19">
        <f t="shared" si="165"/>
        <v>1861</v>
      </c>
      <c r="X575" s="19">
        <v>0</v>
      </c>
      <c r="Y575" s="128">
        <f>IFERROR(VLOOKUP(D575,'Monthly Deduction'!$M$2:$N$64,2,0),0)</f>
        <v>0</v>
      </c>
      <c r="Z575" s="128">
        <v>0</v>
      </c>
      <c r="AA575" s="126">
        <f>IFERROR(VLOOKUP(D575,'Monthly Deduction'!A:B,2,0),0)</f>
        <v>0</v>
      </c>
      <c r="AB575" s="129">
        <f t="shared" si="152"/>
        <v>2237</v>
      </c>
      <c r="AC575" s="130">
        <v>0</v>
      </c>
      <c r="AD575" s="35">
        <f t="shared" si="162"/>
        <v>2237</v>
      </c>
      <c r="AE575" s="166" t="str">
        <f t="shared" si="163"/>
        <v>Release</v>
      </c>
      <c r="AF575" s="127"/>
      <c r="AG575" s="18">
        <v>0</v>
      </c>
      <c r="AH575" s="120"/>
      <c r="AI575" s="238">
        <v>0</v>
      </c>
      <c r="AJ575" s="132"/>
      <c r="AK575" s="151">
        <v>544.64999999999986</v>
      </c>
      <c r="AL575" s="154">
        <f t="shared" si="153"/>
        <v>0</v>
      </c>
      <c r="AM575" s="155"/>
      <c r="AN575" s="19">
        <f t="shared" si="154"/>
        <v>1861</v>
      </c>
      <c r="AO575" s="118">
        <f>SUMIF('MPG Payment '!E:E,'Shayak Income '!D575,'MPG Payment '!AJ:AJ)</f>
        <v>0</v>
      </c>
      <c r="AP575" s="19">
        <f t="shared" si="155"/>
        <v>1861</v>
      </c>
      <c r="AQ575" s="119">
        <f t="shared" si="164"/>
        <v>1861</v>
      </c>
      <c r="AR575" s="91" t="s">
        <v>65</v>
      </c>
      <c r="AS575" s="91">
        <f t="shared" si="156"/>
        <v>0</v>
      </c>
      <c r="AT575" s="118"/>
      <c r="AU575" s="118"/>
      <c r="AV575" s="118"/>
    </row>
    <row r="576" spans="1:48" s="20" customFormat="1" x14ac:dyDescent="0.25">
      <c r="A576" s="17">
        <f>IFERROR(VLOOKUP(D576,'Monthly Deduction'!$I$3:$J$957,2,0),0)</f>
        <v>0</v>
      </c>
      <c r="B576" s="17">
        <f>IFERROR(VLOOKUP(D576,'Monthly Deduction'!$E$3:$F$957,2,0),0)</f>
        <v>0</v>
      </c>
      <c r="C576" s="17">
        <f t="shared" si="157"/>
        <v>0</v>
      </c>
      <c r="D576" s="41">
        <v>10530068</v>
      </c>
      <c r="E576" s="122" t="str">
        <f>VLOOKUP(D576,'MPG Payment '!$E$3:$G$498218,2,0)</f>
        <v>BELSANDI RAJO</v>
      </c>
      <c r="F576" s="146">
        <f>IFERROR(_xlfn.XLOOKUP(D576,'Monthly Deduction'!$I$3:$I$957,'Monthly Deduction'!$H$3:$H$957),0)</f>
        <v>0</v>
      </c>
      <c r="G576" s="123" t="str">
        <f>VLOOKUP(D576,'MPG Payment '!$E$3:$G$334579,3,0)</f>
        <v>vlc</v>
      </c>
      <c r="H576" s="124" t="str">
        <f>VLOOKUP(D576,'MPG Payment '!$E$3:$H$334579,4,0)</f>
        <v>Indirect</v>
      </c>
      <c r="I576" s="88">
        <f>INDEX('MPG Payment '!$C:$C,MATCH('Shayak Income '!D576,'MPG Payment '!E:E,0))</f>
        <v>1053</v>
      </c>
      <c r="J576" s="88" t="str">
        <f>INDEX('MPG Payment '!$D:$D,MATCH('Shayak Income '!D576,'MPG Payment '!E:E,0))</f>
        <v>Kalyanpur</v>
      </c>
      <c r="K576" s="125" t="s">
        <v>1322</v>
      </c>
      <c r="L576" s="125">
        <v>45814</v>
      </c>
      <c r="M576" s="126">
        <f>SUMIF('MPG Payment '!$E$3:$E$34579,'Shayak Income '!D576,'MPG Payment '!$I$3:$I$34579)</f>
        <v>1080.3999999999999</v>
      </c>
      <c r="N576" s="126">
        <f>SUMIF('MPG Payment '!$E$3:$E$34579,'Shayak Income '!D576,'MPG Payment '!$J$3:$J$34579)</f>
        <v>41069.834379929998</v>
      </c>
      <c r="O576" s="126">
        <f t="shared" si="158"/>
        <v>810.3</v>
      </c>
      <c r="P576" s="126">
        <f t="shared" si="159"/>
        <v>1026.3799999999999</v>
      </c>
      <c r="Q576" s="126">
        <f>SUMIF('MPG Payment '!$E$3:$E$34579,'Shayak Income '!D576,'MPG Payment '!$S$3:$S$34579)</f>
        <v>0</v>
      </c>
      <c r="R576" s="126">
        <f t="shared" si="150"/>
        <v>1232.0950313978999</v>
      </c>
      <c r="S576" s="126">
        <f t="shared" si="151"/>
        <v>205.71503139790002</v>
      </c>
      <c r="T576" s="126">
        <f t="shared" si="160"/>
        <v>108.03999999999999</v>
      </c>
      <c r="U576" s="127">
        <f>(((IF(K576="New",0,SUMIF('MPG Payment '!$E$3:$E$34579,'Shayak Income '!D576,'MPG Payment '!$AC$3:$AC$34579))))+0)+0</f>
        <v>242.64033698009507</v>
      </c>
      <c r="V576" s="127">
        <f t="shared" si="161"/>
        <v>1486</v>
      </c>
      <c r="W576" s="19">
        <f t="shared" si="165"/>
        <v>0</v>
      </c>
      <c r="X576" s="19">
        <f t="shared" si="166"/>
        <v>0</v>
      </c>
      <c r="Y576" s="128">
        <f>IFERROR(VLOOKUP(D576,'Monthly Deduction'!$M$2:$N$64,2,0),0)</f>
        <v>0</v>
      </c>
      <c r="Z576" s="128">
        <v>0</v>
      </c>
      <c r="AA576" s="126">
        <f>IFERROR(VLOOKUP(D576,'Monthly Deduction'!A:B,2,0),0)</f>
        <v>0</v>
      </c>
      <c r="AB576" s="129">
        <f t="shared" si="152"/>
        <v>1486</v>
      </c>
      <c r="AC576" s="130">
        <v>0</v>
      </c>
      <c r="AD576" s="35">
        <f t="shared" si="162"/>
        <v>1486</v>
      </c>
      <c r="AE576" s="166" t="str">
        <f t="shared" si="163"/>
        <v>Release</v>
      </c>
      <c r="AF576" s="127"/>
      <c r="AG576" s="127">
        <v>0</v>
      </c>
      <c r="AH576" s="132"/>
      <c r="AI576" s="238">
        <v>0</v>
      </c>
      <c r="AJ576" s="132"/>
      <c r="AK576" s="151">
        <v>549.69999999999993</v>
      </c>
      <c r="AL576" s="154">
        <f t="shared" si="153"/>
        <v>0</v>
      </c>
      <c r="AM576" s="155"/>
      <c r="AN576" s="19">
        <f t="shared" si="154"/>
        <v>0</v>
      </c>
      <c r="AO576" s="118">
        <f>SUMIF('MPG Payment '!E:E,'Shayak Income '!D576,'MPG Payment '!AJ:AJ)</f>
        <v>0</v>
      </c>
      <c r="AP576" s="19">
        <f t="shared" si="155"/>
        <v>0</v>
      </c>
      <c r="AQ576" s="119">
        <f t="shared" si="164"/>
        <v>0</v>
      </c>
      <c r="AR576" s="91"/>
      <c r="AS576" s="91">
        <f t="shared" si="156"/>
        <v>0</v>
      </c>
      <c r="AT576" s="118"/>
      <c r="AU576" s="118"/>
      <c r="AV576" s="118"/>
    </row>
    <row r="577" spans="1:48" s="20" customFormat="1" x14ac:dyDescent="0.25">
      <c r="A577" s="17">
        <f>IFERROR(VLOOKUP(D577,'Monthly Deduction'!$I$3:$J$957,2,0),0)</f>
        <v>73719.429799999998</v>
      </c>
      <c r="B577" s="17">
        <f>IFERROR(VLOOKUP(D577,'Monthly Deduction'!$E$3:$F$957,2,0),0)</f>
        <v>0</v>
      </c>
      <c r="C577" s="17">
        <f t="shared" si="157"/>
        <v>73719.429799999998</v>
      </c>
      <c r="D577" s="41">
        <v>10530070</v>
      </c>
      <c r="E577" s="122" t="str">
        <f>VLOOKUP(D577,'MPG Payment '!$E$3:$G$498218,2,0)</f>
        <v>GOMUKH PARAN 2</v>
      </c>
      <c r="F577" s="146">
        <f>IFERROR(_xlfn.XLOOKUP(D577,'Monthly Deduction'!$I$3:$I$957,'Monthly Deduction'!$H$3:$H$957),0)</f>
        <v>0</v>
      </c>
      <c r="G577" s="123" t="str">
        <f>VLOOKUP(D577,'MPG Payment '!$E$3:$G$334579,3,0)</f>
        <v>MPG</v>
      </c>
      <c r="H577" s="124" t="str">
        <f>VLOOKUP(D577,'MPG Payment '!$E$3:$H$334579,4,0)</f>
        <v>Direct</v>
      </c>
      <c r="I577" s="88">
        <f>INDEX('MPG Payment '!$C:$C,MATCH('Shayak Income '!D577,'MPG Payment '!E:E,0))</f>
        <v>1053</v>
      </c>
      <c r="J577" s="88" t="str">
        <f>INDEX('MPG Payment '!$D:$D,MATCH('Shayak Income '!D577,'MPG Payment '!E:E,0))</f>
        <v>Kalyanpur</v>
      </c>
      <c r="K577" s="125" t="s">
        <v>1322</v>
      </c>
      <c r="L577" s="125">
        <v>45838</v>
      </c>
      <c r="M577" s="126">
        <f>SUMIF('MPG Payment '!$E$3:$E$34579,'Shayak Income '!D577,'MPG Payment '!$I$3:$I$34579)</f>
        <v>667.8</v>
      </c>
      <c r="N577" s="126">
        <f>SUMIF('MPG Payment '!$E$3:$E$34579,'Shayak Income '!D577,'MPG Payment '!$J$3:$J$34579)</f>
        <v>36156.032115483402</v>
      </c>
      <c r="O577" s="126">
        <f t="shared" si="158"/>
        <v>500.84999999999997</v>
      </c>
      <c r="P577" s="126">
        <f t="shared" si="159"/>
        <v>634.41</v>
      </c>
      <c r="Q577" s="126">
        <f>SUMIF('MPG Payment '!$E$3:$E$34579,'Shayak Income '!D577,'MPG Payment '!$S$3:$S$34579)</f>
        <v>924.94874523808892</v>
      </c>
      <c r="R577" s="126">
        <f t="shared" si="150"/>
        <v>1084.6809634645019</v>
      </c>
      <c r="S577" s="126">
        <f t="shared" si="151"/>
        <v>450.27096346450196</v>
      </c>
      <c r="T577" s="126">
        <f t="shared" si="160"/>
        <v>66.78</v>
      </c>
      <c r="U577" s="127">
        <f>(((IF(K577="New",0,SUMIF('MPG Payment '!$E$3:$E$34579,'Shayak Income '!D577,'MPG Payment '!$AC$3:$AC$34579))))+0)+-313</f>
        <v>1993.136611627177</v>
      </c>
      <c r="V577" s="127">
        <f t="shared" si="161"/>
        <v>0</v>
      </c>
      <c r="W577" s="19">
        <v>0</v>
      </c>
      <c r="X577" s="19">
        <v>0</v>
      </c>
      <c r="Y577" s="128">
        <v>0</v>
      </c>
      <c r="Z577" s="128">
        <v>0</v>
      </c>
      <c r="AA577" s="126">
        <v>0</v>
      </c>
      <c r="AB577" s="129">
        <f t="shared" si="152"/>
        <v>0</v>
      </c>
      <c r="AC577" s="130">
        <v>0</v>
      </c>
      <c r="AD577" s="35">
        <f t="shared" si="162"/>
        <v>0</v>
      </c>
      <c r="AE577" s="166" t="str">
        <f t="shared" si="163"/>
        <v>Release</v>
      </c>
      <c r="AF577" s="127"/>
      <c r="AG577" s="18">
        <v>0</v>
      </c>
      <c r="AH577" s="215"/>
      <c r="AI577" s="238">
        <v>0</v>
      </c>
      <c r="AJ577" s="132"/>
      <c r="AK577" s="151">
        <v>163.95000000000002</v>
      </c>
      <c r="AL577" s="154">
        <f t="shared" si="153"/>
        <v>0</v>
      </c>
      <c r="AM577" s="155"/>
      <c r="AN577" s="19">
        <f t="shared" si="154"/>
        <v>1861</v>
      </c>
      <c r="AO577" s="118">
        <f>SUMIF('MPG Payment '!E:E,'Shayak Income '!D577,'MPG Payment '!AJ:AJ)</f>
        <v>500</v>
      </c>
      <c r="AP577" s="19">
        <f t="shared" si="155"/>
        <v>0</v>
      </c>
      <c r="AQ577" s="119">
        <f t="shared" si="164"/>
        <v>500</v>
      </c>
      <c r="AR577" s="91" t="s">
        <v>1168</v>
      </c>
      <c r="AS577" s="91">
        <f t="shared" si="156"/>
        <v>0</v>
      </c>
      <c r="AT577" s="118"/>
      <c r="AU577" s="118"/>
      <c r="AV577" s="118"/>
    </row>
    <row r="578" spans="1:48" s="20" customFormat="1" x14ac:dyDescent="0.25">
      <c r="A578" s="17">
        <f>IFERROR(VLOOKUP(D578,'Monthly Deduction'!$I$3:$J$957,2,0),0)</f>
        <v>73818.15570672162</v>
      </c>
      <c r="B578" s="17">
        <f>IFERROR(VLOOKUP(D578,'Monthly Deduction'!$E$3:$F$957,2,0),0)</f>
        <v>0</v>
      </c>
      <c r="C578" s="17">
        <f t="shared" si="157"/>
        <v>73818.15570672162</v>
      </c>
      <c r="D578" s="41">
        <v>10530071</v>
      </c>
      <c r="E578" s="122" t="str">
        <f>VLOOKUP(D578,'MPG Payment '!$E$3:$G$498218,2,0)</f>
        <v>GOMUKH KHARAGPUR</v>
      </c>
      <c r="F578" s="146">
        <f>IFERROR(_xlfn.XLOOKUP(D578,'Monthly Deduction'!$I$3:$I$957,'Monthly Deduction'!$H$3:$H$957),0)</f>
        <v>0</v>
      </c>
      <c r="G578" s="123" t="str">
        <f>VLOOKUP(D578,'MPG Payment '!$E$3:$G$334579,3,0)</f>
        <v>MPG</v>
      </c>
      <c r="H578" s="124" t="str">
        <f>VLOOKUP(D578,'MPG Payment '!$E$3:$H$334579,4,0)</f>
        <v>Direct</v>
      </c>
      <c r="I578" s="88">
        <f>INDEX('MPG Payment '!$C:$C,MATCH('Shayak Income '!D578,'MPG Payment '!E:E,0))</f>
        <v>1053</v>
      </c>
      <c r="J578" s="88" t="str">
        <f>INDEX('MPG Payment '!$D:$D,MATCH('Shayak Income '!D578,'MPG Payment '!E:E,0))</f>
        <v>Kalyanpur</v>
      </c>
      <c r="K578" s="125" t="s">
        <v>1322</v>
      </c>
      <c r="L578" s="125">
        <v>45836</v>
      </c>
      <c r="M578" s="126">
        <f>SUMIF('MPG Payment '!$E$3:$E$34579,'Shayak Income '!D578,'MPG Payment '!$I$3:$I$34579)</f>
        <v>1330.5500000000002</v>
      </c>
      <c r="N578" s="126">
        <f>SUMIF('MPG Payment '!$E$3:$E$34579,'Shayak Income '!D578,'MPG Payment '!$J$3:$J$34579)</f>
        <v>66395.194854558897</v>
      </c>
      <c r="O578" s="126">
        <f t="shared" si="158"/>
        <v>997.91250000000014</v>
      </c>
      <c r="P578" s="126">
        <f t="shared" si="159"/>
        <v>1264.0225</v>
      </c>
      <c r="Q578" s="126">
        <f>SUMIF('MPG Payment '!$E$3:$E$34579,'Shayak Income '!D578,'MPG Payment '!$S$3:$S$34579)</f>
        <v>0</v>
      </c>
      <c r="R578" s="126">
        <f t="shared" si="150"/>
        <v>1991.8558456367668</v>
      </c>
      <c r="S578" s="126">
        <f t="shared" si="151"/>
        <v>727.83334563676681</v>
      </c>
      <c r="T578" s="126">
        <f t="shared" si="160"/>
        <v>133.05500000000004</v>
      </c>
      <c r="U578" s="127">
        <f>(((IF(K578="New",0,SUMIF('MPG Payment '!$E$3:$E$34579,'Shayak Income '!D578,'MPG Payment '!$AC$3:$AC$34579))))+0)+0</f>
        <v>1467.0415240312579</v>
      </c>
      <c r="V578" s="127">
        <f t="shared" si="161"/>
        <v>662</v>
      </c>
      <c r="W578" s="19">
        <v>662</v>
      </c>
      <c r="X578" s="19">
        <v>0</v>
      </c>
      <c r="Y578" s="128">
        <f>IFERROR(VLOOKUP(D578,'Monthly Deduction'!$M$2:$N$64,2,0),0)</f>
        <v>0</v>
      </c>
      <c r="Z578" s="128">
        <v>0</v>
      </c>
      <c r="AA578" s="126">
        <v>0</v>
      </c>
      <c r="AB578" s="129">
        <f t="shared" si="152"/>
        <v>0</v>
      </c>
      <c r="AC578" s="130">
        <v>0</v>
      </c>
      <c r="AD578" s="35">
        <f t="shared" si="162"/>
        <v>0</v>
      </c>
      <c r="AE578" s="166" t="str">
        <f t="shared" si="163"/>
        <v>Release</v>
      </c>
      <c r="AF578" s="127"/>
      <c r="AG578" s="18">
        <v>0</v>
      </c>
      <c r="AH578" s="132"/>
      <c r="AI578" s="238">
        <v>0</v>
      </c>
      <c r="AJ578" s="132"/>
      <c r="AK578" s="151">
        <v>305</v>
      </c>
      <c r="AL578" s="154">
        <f t="shared" si="153"/>
        <v>0</v>
      </c>
      <c r="AM578" s="155"/>
      <c r="AN578" s="19">
        <f t="shared" si="154"/>
        <v>1861</v>
      </c>
      <c r="AO578" s="118">
        <f>SUMIF('MPG Payment '!E:E,'Shayak Income '!D578,'MPG Payment '!AJ:AJ)</f>
        <v>0</v>
      </c>
      <c r="AP578" s="19">
        <f t="shared" si="155"/>
        <v>662</v>
      </c>
      <c r="AQ578" s="119">
        <f t="shared" si="164"/>
        <v>662</v>
      </c>
      <c r="AR578" s="91"/>
      <c r="AS578" s="91">
        <f t="shared" si="156"/>
        <v>0</v>
      </c>
      <c r="AT578" s="118"/>
      <c r="AU578" s="118"/>
      <c r="AV578" s="118"/>
    </row>
    <row r="579" spans="1:48" s="20" customFormat="1" x14ac:dyDescent="0.25">
      <c r="A579" s="17">
        <f>IFERROR(VLOOKUP(D579,'Monthly Deduction'!$I$3:$J$957,2,0),0)</f>
        <v>0</v>
      </c>
      <c r="B579" s="17">
        <f>IFERROR(VLOOKUP(D579,'Monthly Deduction'!$E$3:$F$957,2,0),0)</f>
        <v>0</v>
      </c>
      <c r="C579" s="17">
        <f t="shared" si="157"/>
        <v>0</v>
      </c>
      <c r="D579" s="41">
        <v>10530072</v>
      </c>
      <c r="E579" s="122" t="str">
        <f>VLOOKUP(D579,'MPG Payment '!$E$3:$G$498218,2,0)</f>
        <v>KAMARGAMA</v>
      </c>
      <c r="F579" s="146">
        <f>IFERROR(_xlfn.XLOOKUP(D579,'Monthly Deduction'!$I$3:$I$957,'Monthly Deduction'!$H$3:$H$957),0)</f>
        <v>0</v>
      </c>
      <c r="G579" s="123" t="str">
        <f>VLOOKUP(D579,'MPG Payment '!$E$3:$G$334579,3,0)</f>
        <v>vlc</v>
      </c>
      <c r="H579" s="124" t="str">
        <f>VLOOKUP(D579,'MPG Payment '!$E$3:$H$334579,4,0)</f>
        <v>Indirect</v>
      </c>
      <c r="I579" s="88">
        <f>INDEX('MPG Payment '!$C:$C,MATCH('Shayak Income '!D579,'MPG Payment '!E:E,0))</f>
        <v>1053</v>
      </c>
      <c r="J579" s="88" t="str">
        <f>INDEX('MPG Payment '!$D:$D,MATCH('Shayak Income '!D579,'MPG Payment '!E:E,0))</f>
        <v>Kalyanpur</v>
      </c>
      <c r="K579" s="125" t="s">
        <v>1322</v>
      </c>
      <c r="L579" s="125">
        <v>45830</v>
      </c>
      <c r="M579" s="126">
        <f>SUMIF('MPG Payment '!$E$3:$E$34579,'Shayak Income '!D579,'MPG Payment '!$I$3:$I$34579)</f>
        <v>1688.75</v>
      </c>
      <c r="N579" s="126">
        <f>SUMIF('MPG Payment '!$E$3:$E$34579,'Shayak Income '!D579,'MPG Payment '!$J$3:$J$34579)</f>
        <v>96434.588673101505</v>
      </c>
      <c r="O579" s="126">
        <f t="shared" si="158"/>
        <v>1266.5625</v>
      </c>
      <c r="P579" s="126">
        <f t="shared" si="159"/>
        <v>1604.3125</v>
      </c>
      <c r="Q579" s="126">
        <f>SUMIF('MPG Payment '!$E$3:$E$34579,'Shayak Income '!D579,'MPG Payment '!$S$3:$S$34579)</f>
        <v>0</v>
      </c>
      <c r="R579" s="126">
        <f t="shared" si="150"/>
        <v>2893.0376601930452</v>
      </c>
      <c r="S579" s="126">
        <f t="shared" si="151"/>
        <v>1288.7251601930452</v>
      </c>
      <c r="T579" s="126">
        <f t="shared" si="160"/>
        <v>168.875</v>
      </c>
      <c r="U579" s="127">
        <f>(((IF(K579="New",0,SUMIF('MPG Payment '!$E$3:$E$34579,'Shayak Income '!D579,'MPG Payment '!$AC$3:$AC$34579))))+0)+0</f>
        <v>1280.2313841173673</v>
      </c>
      <c r="V579" s="127">
        <f t="shared" si="161"/>
        <v>1422</v>
      </c>
      <c r="W579" s="19">
        <f t="shared" si="165"/>
        <v>0</v>
      </c>
      <c r="X579" s="19">
        <f t="shared" si="166"/>
        <v>0</v>
      </c>
      <c r="Y579" s="128">
        <f>IFERROR(VLOOKUP(D579,'Monthly Deduction'!$M$2:$N$64,2,0),0)</f>
        <v>0</v>
      </c>
      <c r="Z579" s="128">
        <v>0</v>
      </c>
      <c r="AA579" s="126">
        <f>IFERROR(VLOOKUP(D579,'Monthly Deduction'!A:B,2,0),0)</f>
        <v>0</v>
      </c>
      <c r="AB579" s="129">
        <f t="shared" si="152"/>
        <v>1422</v>
      </c>
      <c r="AC579" s="130">
        <v>0</v>
      </c>
      <c r="AD579" s="35">
        <f t="shared" si="162"/>
        <v>1422</v>
      </c>
      <c r="AE579" s="166" t="str">
        <f t="shared" si="163"/>
        <v>Release</v>
      </c>
      <c r="AF579" s="127"/>
      <c r="AG579" s="18">
        <v>0</v>
      </c>
      <c r="AH579" s="132"/>
      <c r="AI579" s="238">
        <v>0</v>
      </c>
      <c r="AJ579" s="132"/>
      <c r="AK579" s="151">
        <v>423.45000000000005</v>
      </c>
      <c r="AL579" s="154">
        <f t="shared" si="153"/>
        <v>0</v>
      </c>
      <c r="AM579" s="155"/>
      <c r="AN579" s="19">
        <f t="shared" si="154"/>
        <v>0</v>
      </c>
      <c r="AO579" s="118">
        <f>SUMIF('MPG Payment '!E:E,'Shayak Income '!D579,'MPG Payment '!AJ:AJ)</f>
        <v>0</v>
      </c>
      <c r="AP579" s="19">
        <f t="shared" si="155"/>
        <v>0</v>
      </c>
      <c r="AQ579" s="119">
        <f t="shared" si="164"/>
        <v>0</v>
      </c>
      <c r="AR579" s="91"/>
      <c r="AS579" s="91">
        <f t="shared" si="156"/>
        <v>0</v>
      </c>
      <c r="AT579" s="118"/>
      <c r="AU579" s="118"/>
      <c r="AV579" s="118"/>
    </row>
    <row r="580" spans="1:48" s="20" customFormat="1" x14ac:dyDescent="0.25">
      <c r="A580" s="17">
        <f>IFERROR(VLOOKUP(D580,'Monthly Deduction'!$I$3:$J$957,2,0),0)</f>
        <v>69863.099853213775</v>
      </c>
      <c r="B580" s="17">
        <f>IFERROR(VLOOKUP(D580,'Monthly Deduction'!$E$3:$F$957,2,0),0)</f>
        <v>0</v>
      </c>
      <c r="C580" s="17">
        <f t="shared" si="157"/>
        <v>69863.099853213775</v>
      </c>
      <c r="D580" s="41">
        <v>10530074</v>
      </c>
      <c r="E580" s="122" t="str">
        <f>VLOOKUP(D580,'MPG Payment '!$E$3:$G$498218,2,0)</f>
        <v>GOMUKH BALAHA W-9</v>
      </c>
      <c r="F580" s="146">
        <f>IFERROR(_xlfn.XLOOKUP(D580,'Monthly Deduction'!$I$3:$I$957,'Monthly Deduction'!$H$3:$H$957),0)</f>
        <v>0</v>
      </c>
      <c r="G580" s="123" t="str">
        <f>VLOOKUP(D580,'MPG Payment '!$E$3:$G$334579,3,0)</f>
        <v>MPG</v>
      </c>
      <c r="H580" s="124" t="str">
        <f>VLOOKUP(D580,'MPG Payment '!$E$3:$H$334579,4,0)</f>
        <v>Direct</v>
      </c>
      <c r="I580" s="88">
        <f>INDEX('MPG Payment '!$C:$C,MATCH('Shayak Income '!D580,'MPG Payment '!E:E,0))</f>
        <v>1053</v>
      </c>
      <c r="J580" s="88" t="str">
        <f>INDEX('MPG Payment '!$D:$D,MATCH('Shayak Income '!D580,'MPG Payment '!E:E,0))</f>
        <v>Kalyanpur</v>
      </c>
      <c r="K580" s="125" t="s">
        <v>1322</v>
      </c>
      <c r="L580" s="125">
        <v>45849</v>
      </c>
      <c r="M580" s="126">
        <f>SUMIF('MPG Payment '!$E$3:$E$34579,'Shayak Income '!D580,'MPG Payment '!$I$3:$I$34579)</f>
        <v>3678.4999999999991</v>
      </c>
      <c r="N580" s="126">
        <f>SUMIF('MPG Payment '!$E$3:$E$34579,'Shayak Income '!D580,'MPG Payment '!$J$3:$J$34579)</f>
        <v>140752.60185754634</v>
      </c>
      <c r="O580" s="126">
        <f t="shared" si="158"/>
        <v>2758.8749999999991</v>
      </c>
      <c r="P580" s="126">
        <f t="shared" si="159"/>
        <v>3494.5749999999989</v>
      </c>
      <c r="Q580" s="126">
        <f>SUMIF('MPG Payment '!$E$3:$E$34579,'Shayak Income '!D580,'MPG Payment '!$S$3:$S$34579)</f>
        <v>1927.8955681080001</v>
      </c>
      <c r="R580" s="126">
        <f t="shared" ref="R580:R643" si="167">+N580*3%</f>
        <v>4222.5780557263897</v>
      </c>
      <c r="S580" s="126">
        <f t="shared" ref="S580:S643" si="168">R580-P580</f>
        <v>728.00305572639081</v>
      </c>
      <c r="T580" s="126">
        <f t="shared" si="160"/>
        <v>367.84999999999991</v>
      </c>
      <c r="U580" s="127">
        <f>(((IF(K580="New",0,SUMIF('MPG Payment '!$E$3:$E$34579,'Shayak Income '!D580,'MPG Payment '!$AC$3:$AC$34579))))+0)+0</f>
        <v>0</v>
      </c>
      <c r="V580" s="127">
        <f t="shared" si="161"/>
        <v>7813</v>
      </c>
      <c r="W580" s="19">
        <f t="shared" si="165"/>
        <v>2815.0520371509269</v>
      </c>
      <c r="X580" s="19">
        <v>0</v>
      </c>
      <c r="Y580" s="128">
        <f>IFERROR(VLOOKUP(D580,'Monthly Deduction'!$M$2:$N$64,2,0),0)</f>
        <v>0</v>
      </c>
      <c r="Z580" s="128">
        <v>0</v>
      </c>
      <c r="AA580" s="126">
        <f>IFERROR(VLOOKUP(D580,'Monthly Deduction'!A:B,2,0),0)</f>
        <v>0</v>
      </c>
      <c r="AB580" s="129">
        <f t="shared" ref="AB580:AB643" si="169">ROUND(IFERROR(V580-SUM(W580:AA580),0),0)</f>
        <v>4998</v>
      </c>
      <c r="AC580" s="130">
        <v>0</v>
      </c>
      <c r="AD580" s="35">
        <f t="shared" si="162"/>
        <v>4998</v>
      </c>
      <c r="AE580" s="166" t="str">
        <f t="shared" si="163"/>
        <v>Release</v>
      </c>
      <c r="AF580" s="127"/>
      <c r="AG580" s="18">
        <v>0</v>
      </c>
      <c r="AH580" s="120" t="s">
        <v>1646</v>
      </c>
      <c r="AI580" s="238">
        <v>3416</v>
      </c>
      <c r="AJ580" s="132" t="s">
        <v>1660</v>
      </c>
      <c r="AK580" s="151">
        <v>808.30000000000007</v>
      </c>
      <c r="AL580" s="154">
        <f t="shared" ref="AL580:AL643" si="170">COUNTIF(AK580:AK580,"=NA")</f>
        <v>0</v>
      </c>
      <c r="AM580" s="155"/>
      <c r="AN580" s="19">
        <f t="shared" ref="AN580:AN643" si="171">((MIN(IF(A580&gt;0,MAX(N580*2%,1861),0),A580)))+0</f>
        <v>2815.0520371509269</v>
      </c>
      <c r="AO580" s="118">
        <f>SUMIF('MPG Payment '!E:E,'Shayak Income '!D580,'MPG Payment '!AJ:AJ)</f>
        <v>0</v>
      </c>
      <c r="AP580" s="19">
        <f t="shared" ref="AP580:AP643" si="172">W580</f>
        <v>2815.0520371509269</v>
      </c>
      <c r="AQ580" s="119">
        <f t="shared" si="164"/>
        <v>2815.0520371509269</v>
      </c>
      <c r="AR580" s="91" t="s">
        <v>1168</v>
      </c>
      <c r="AS580" s="91">
        <f t="shared" ref="AS580:AS643" si="173">B580-X580</f>
        <v>0</v>
      </c>
      <c r="AT580" s="118"/>
      <c r="AU580" s="118"/>
      <c r="AV580" s="118"/>
    </row>
    <row r="581" spans="1:48" s="20" customFormat="1" x14ac:dyDescent="0.25">
      <c r="A581" s="17">
        <f>IFERROR(VLOOKUP(D581,'Monthly Deduction'!$I$3:$J$957,2,0),0)</f>
        <v>0</v>
      </c>
      <c r="B581" s="17">
        <f>IFERROR(VLOOKUP(D581,'Monthly Deduction'!$E$3:$F$957,2,0),0)</f>
        <v>0</v>
      </c>
      <c r="C581" s="17">
        <f t="shared" ref="C581:C644" si="174">A581+B581</f>
        <v>0</v>
      </c>
      <c r="D581" s="41">
        <v>10530075</v>
      </c>
      <c r="E581" s="122" t="str">
        <f>VLOOKUP(D581,'MPG Payment '!$E$3:$G$498218,2,0)</f>
        <v>Gomukh Namapur East</v>
      </c>
      <c r="F581" s="146">
        <f>IFERROR(_xlfn.XLOOKUP(D581,'Monthly Deduction'!$I$3:$I$957,'Monthly Deduction'!$H$3:$H$957),0)</f>
        <v>0</v>
      </c>
      <c r="G581" s="123" t="str">
        <f>VLOOKUP(D581,'MPG Payment '!$E$3:$G$334579,3,0)</f>
        <v>vlc</v>
      </c>
      <c r="H581" s="124" t="str">
        <f>VLOOKUP(D581,'MPG Payment '!$E$3:$H$334579,4,0)</f>
        <v>Indirect</v>
      </c>
      <c r="I581" s="88">
        <f>INDEX('MPG Payment '!$C:$C,MATCH('Shayak Income '!D581,'MPG Payment '!E:E,0))</f>
        <v>1053</v>
      </c>
      <c r="J581" s="88" t="str">
        <f>INDEX('MPG Payment '!$D:$D,MATCH('Shayak Income '!D581,'MPG Payment '!E:E,0))</f>
        <v>Kalyanpur</v>
      </c>
      <c r="K581" s="125" t="s">
        <v>1322</v>
      </c>
      <c r="L581" s="125">
        <v>45830</v>
      </c>
      <c r="M581" s="126">
        <f>SUMIF('MPG Payment '!$E$3:$E$34579,'Shayak Income '!D581,'MPG Payment '!$I$3:$I$34579)</f>
        <v>1942.9499999999998</v>
      </c>
      <c r="N581" s="126">
        <f>SUMIF('MPG Payment '!$E$3:$E$34579,'Shayak Income '!D581,'MPG Payment '!$J$3:$J$34579)</f>
        <v>72327.550786154505</v>
      </c>
      <c r="O581" s="126">
        <f t="shared" ref="O581:O644" si="175">+M581*0.75</f>
        <v>1457.2124999999999</v>
      </c>
      <c r="P581" s="126">
        <f t="shared" ref="P581:P644" si="176">+M581*0.95</f>
        <v>1845.8024999999998</v>
      </c>
      <c r="Q581" s="126">
        <f>SUMIF('MPG Payment '!$E$3:$E$34579,'Shayak Income '!D581,'MPG Payment '!$S$3:$S$34579)</f>
        <v>0</v>
      </c>
      <c r="R581" s="126">
        <f t="shared" si="167"/>
        <v>2169.8265235846352</v>
      </c>
      <c r="S581" s="126">
        <f t="shared" si="168"/>
        <v>324.02402358463542</v>
      </c>
      <c r="T581" s="126">
        <f t="shared" ref="T581:T644" si="177">M581*0.1</f>
        <v>194.29499999999999</v>
      </c>
      <c r="U581" s="127">
        <f>(((IF(K581="New",0,SUMIF('MPG Payment '!$E$3:$E$34579,'Shayak Income '!D581,'MPG Payment '!$AC$3:$AC$34579))))+0)+0</f>
        <v>268.18137395293763</v>
      </c>
      <c r="V581" s="127">
        <f t="shared" ref="V581:V644" si="178">ROUND((SUM(O581:Q581)-SUM(T581:U581)),0)</f>
        <v>2841</v>
      </c>
      <c r="W581" s="19">
        <f t="shared" ref="W581:W644" si="179">(((AN581-AO581)))+0</f>
        <v>0</v>
      </c>
      <c r="X581" s="19">
        <f t="shared" ref="X581:X640" si="180">((MIN(IF(B581&gt;0,MAX(N581*2%),0),B581)))+0</f>
        <v>0</v>
      </c>
      <c r="Y581" s="128">
        <f>IFERROR(VLOOKUP(D581,'Monthly Deduction'!$M$2:$N$64,2,0),0)</f>
        <v>0</v>
      </c>
      <c r="Z581" s="128">
        <v>0</v>
      </c>
      <c r="AA581" s="126">
        <f>IFERROR(VLOOKUP(D581,'Monthly Deduction'!A:B,2,0),0)</f>
        <v>0</v>
      </c>
      <c r="AB581" s="129">
        <f t="shared" si="169"/>
        <v>2841</v>
      </c>
      <c r="AC581" s="130">
        <v>0</v>
      </c>
      <c r="AD581" s="35">
        <f t="shared" ref="AD581:AD644" si="181">ROUND(AB581-AC581,0)</f>
        <v>2841</v>
      </c>
      <c r="AE581" s="166" t="str">
        <f t="shared" ref="AE581:AE644" si="182">IF(AC581&lt;&gt;0,"Yes","Release")</f>
        <v>Release</v>
      </c>
      <c r="AF581" s="127"/>
      <c r="AG581" s="127">
        <v>0</v>
      </c>
      <c r="AH581" s="120"/>
      <c r="AI581" s="238">
        <v>0</v>
      </c>
      <c r="AJ581" s="132"/>
      <c r="AK581" s="151">
        <v>744</v>
      </c>
      <c r="AL581" s="154">
        <f t="shared" si="170"/>
        <v>0</v>
      </c>
      <c r="AM581" s="155"/>
      <c r="AN581" s="19">
        <f t="shared" si="171"/>
        <v>0</v>
      </c>
      <c r="AO581" s="118">
        <f>SUMIF('MPG Payment '!E:E,'Shayak Income '!D581,'MPG Payment '!AJ:AJ)</f>
        <v>0</v>
      </c>
      <c r="AP581" s="19">
        <f t="shared" si="172"/>
        <v>0</v>
      </c>
      <c r="AQ581" s="119">
        <f t="shared" ref="AQ581:AQ644" si="183">AO581+AP581</f>
        <v>0</v>
      </c>
      <c r="AR581" s="91" t="s">
        <v>1168</v>
      </c>
      <c r="AS581" s="91">
        <f t="shared" si="173"/>
        <v>0</v>
      </c>
      <c r="AT581" s="118"/>
      <c r="AU581" s="118"/>
      <c r="AV581" s="118"/>
    </row>
    <row r="582" spans="1:48" s="20" customFormat="1" x14ac:dyDescent="0.25">
      <c r="A582" s="17">
        <f>IFERROR(VLOOKUP(D582,'Monthly Deduction'!$I$3:$J$957,2,0),0)</f>
        <v>33080.157438105758</v>
      </c>
      <c r="B582" s="17">
        <f>IFERROR(VLOOKUP(D582,'Monthly Deduction'!$E$3:$F$957,2,0),0)</f>
        <v>0</v>
      </c>
      <c r="C582" s="17">
        <f t="shared" si="174"/>
        <v>33080.157438105758</v>
      </c>
      <c r="D582" s="41">
        <v>10530076</v>
      </c>
      <c r="E582" s="122" t="str">
        <f>VLOOKUP(D582,'MPG Payment '!$E$3:$G$498218,2,0)</f>
        <v>GOMUKH Madanpur W-3</v>
      </c>
      <c r="F582" s="146">
        <f>IFERROR(_xlfn.XLOOKUP(D582,'Monthly Deduction'!$I$3:$I$957,'Monthly Deduction'!$H$3:$H$957),0)</f>
        <v>0</v>
      </c>
      <c r="G582" s="123" t="str">
        <f>VLOOKUP(D582,'MPG Payment '!$E$3:$G$334579,3,0)</f>
        <v>MPG</v>
      </c>
      <c r="H582" s="124" t="str">
        <f>VLOOKUP(D582,'MPG Payment '!$E$3:$H$334579,4,0)</f>
        <v>Direct</v>
      </c>
      <c r="I582" s="88">
        <f>INDEX('MPG Payment '!$C:$C,MATCH('Shayak Income '!D582,'MPG Payment '!E:E,0))</f>
        <v>1053</v>
      </c>
      <c r="J582" s="88" t="str">
        <f>INDEX('MPG Payment '!$D:$D,MATCH('Shayak Income '!D582,'MPG Payment '!E:E,0))</f>
        <v>Kalyanpur</v>
      </c>
      <c r="K582" s="125" t="s">
        <v>1322</v>
      </c>
      <c r="L582" s="125">
        <v>45863</v>
      </c>
      <c r="M582" s="126">
        <f>SUMIF('MPG Payment '!$E$3:$E$34579,'Shayak Income '!D582,'MPG Payment '!$I$3:$I$34579)</f>
        <v>7439.9</v>
      </c>
      <c r="N582" s="126">
        <f>SUMIF('MPG Payment '!$E$3:$E$34579,'Shayak Income '!D582,'MPG Payment '!$J$3:$J$34579)</f>
        <v>355973.67059079086</v>
      </c>
      <c r="O582" s="126">
        <f t="shared" si="175"/>
        <v>5579.9249999999993</v>
      </c>
      <c r="P582" s="126">
        <f t="shared" si="176"/>
        <v>7067.9049999999997</v>
      </c>
      <c r="Q582" s="126">
        <f>SUMIF('MPG Payment '!$E$3:$E$34579,'Shayak Income '!D582,'MPG Payment '!$S$3:$S$34579)</f>
        <v>4908.1272941493462</v>
      </c>
      <c r="R582" s="126">
        <f t="shared" si="167"/>
        <v>10679.210117723725</v>
      </c>
      <c r="S582" s="126">
        <f t="shared" si="168"/>
        <v>3611.3051177237257</v>
      </c>
      <c r="T582" s="126">
        <f t="shared" si="177"/>
        <v>743.99</v>
      </c>
      <c r="U582" s="127">
        <f>(((IF(K582="New",0,SUMIF('MPG Payment '!$E$3:$E$34579,'Shayak Income '!D582,'MPG Payment '!$AC$3:$AC$34579))))+0)+0</f>
        <v>0</v>
      </c>
      <c r="V582" s="127">
        <f t="shared" si="178"/>
        <v>16812</v>
      </c>
      <c r="W582" s="19">
        <f t="shared" si="179"/>
        <v>7119.4734118158176</v>
      </c>
      <c r="X582" s="19">
        <v>0</v>
      </c>
      <c r="Y582" s="128">
        <f>IFERROR(VLOOKUP(D582,'Monthly Deduction'!$M$2:$N$64,2,0),0)</f>
        <v>0</v>
      </c>
      <c r="Z582" s="128">
        <v>0</v>
      </c>
      <c r="AA582" s="126">
        <f>IFERROR(VLOOKUP(D582,'Monthly Deduction'!A:B,2,0),0)</f>
        <v>0</v>
      </c>
      <c r="AB582" s="129">
        <f t="shared" si="169"/>
        <v>9693</v>
      </c>
      <c r="AC582" s="130">
        <v>0</v>
      </c>
      <c r="AD582" s="35">
        <f t="shared" si="181"/>
        <v>9693</v>
      </c>
      <c r="AE582" s="166" t="str">
        <f t="shared" si="182"/>
        <v>Release</v>
      </c>
      <c r="AF582" s="127"/>
      <c r="AG582" s="18">
        <v>0</v>
      </c>
      <c r="AH582" s="120"/>
      <c r="AI582" s="238">
        <v>0</v>
      </c>
      <c r="AJ582" s="132"/>
      <c r="AK582" s="151">
        <v>2038.3500000000001</v>
      </c>
      <c r="AL582" s="154">
        <f t="shared" si="170"/>
        <v>0</v>
      </c>
      <c r="AM582" s="155"/>
      <c r="AN582" s="19">
        <f t="shared" si="171"/>
        <v>7119.4734118158176</v>
      </c>
      <c r="AO582" s="118">
        <f>SUMIF('MPG Payment '!E:E,'Shayak Income '!D582,'MPG Payment '!AJ:AJ)</f>
        <v>0</v>
      </c>
      <c r="AP582" s="19">
        <f t="shared" si="172"/>
        <v>7119.4734118158176</v>
      </c>
      <c r="AQ582" s="119">
        <f t="shared" si="183"/>
        <v>7119.4734118158176</v>
      </c>
      <c r="AR582" s="91" t="s">
        <v>1168</v>
      </c>
      <c r="AS582" s="91">
        <f t="shared" si="173"/>
        <v>0</v>
      </c>
      <c r="AT582" s="118"/>
      <c r="AU582" s="118"/>
      <c r="AV582" s="118"/>
    </row>
    <row r="583" spans="1:48" s="20" customFormat="1" x14ac:dyDescent="0.25">
      <c r="A583" s="17">
        <f>IFERROR(VLOOKUP(D583,'Monthly Deduction'!$I$3:$J$957,2,0),0)</f>
        <v>0</v>
      </c>
      <c r="B583" s="17">
        <f>IFERROR(VLOOKUP(D583,'Monthly Deduction'!$E$3:$F$957,2,0),0)</f>
        <v>0</v>
      </c>
      <c r="C583" s="17">
        <f t="shared" si="174"/>
        <v>0</v>
      </c>
      <c r="D583" s="41">
        <v>10530079</v>
      </c>
      <c r="E583" s="122" t="str">
        <f>VLOOKUP(D583,'MPG Payment '!$E$3:$G$498218,2,0)</f>
        <v>Jitwariya W-11</v>
      </c>
      <c r="F583" s="146">
        <f>IFERROR(_xlfn.XLOOKUP(D583,'Monthly Deduction'!$I$3:$I$957,'Monthly Deduction'!$H$3:$H$957),0)</f>
        <v>0</v>
      </c>
      <c r="G583" s="123" t="str">
        <f>VLOOKUP(D583,'MPG Payment '!$E$3:$G$334579,3,0)</f>
        <v>vlc</v>
      </c>
      <c r="H583" s="124" t="str">
        <f>VLOOKUP(D583,'MPG Payment '!$E$3:$H$334579,4,0)</f>
        <v>Indirect</v>
      </c>
      <c r="I583" s="88">
        <f>INDEX('MPG Payment '!$C:$C,MATCH('Shayak Income '!D583,'MPG Payment '!E:E,0))</f>
        <v>1053</v>
      </c>
      <c r="J583" s="88" t="str">
        <f>INDEX('MPG Payment '!$D:$D,MATCH('Shayak Income '!D583,'MPG Payment '!E:E,0))</f>
        <v>Kalyanpur</v>
      </c>
      <c r="K583" s="125" t="s">
        <v>1322</v>
      </c>
      <c r="L583" s="125">
        <v>45892</v>
      </c>
      <c r="M583" s="126">
        <f>SUMIF('MPG Payment '!$E$3:$E$34579,'Shayak Income '!D583,'MPG Payment '!$I$3:$I$34579)</f>
        <v>437.04999999999995</v>
      </c>
      <c r="N583" s="126">
        <f>SUMIF('MPG Payment '!$E$3:$E$34579,'Shayak Income '!D583,'MPG Payment '!$J$3:$J$34579)</f>
        <v>17191.364383813998</v>
      </c>
      <c r="O583" s="126">
        <f t="shared" si="175"/>
        <v>327.78749999999997</v>
      </c>
      <c r="P583" s="126">
        <f t="shared" si="176"/>
        <v>415.19749999999993</v>
      </c>
      <c r="Q583" s="126">
        <f>SUMIF('MPG Payment '!$E$3:$E$34579,'Shayak Income '!D583,'MPG Payment '!$S$3:$S$34579)</f>
        <v>0</v>
      </c>
      <c r="R583" s="126">
        <f t="shared" si="167"/>
        <v>515.74093151441991</v>
      </c>
      <c r="S583" s="126">
        <f t="shared" si="168"/>
        <v>100.54343151441998</v>
      </c>
      <c r="T583" s="126">
        <f t="shared" si="177"/>
        <v>43.704999999999998</v>
      </c>
      <c r="U583" s="127">
        <f>(((IF(K583="New",0,SUMIF('MPG Payment '!$E$3:$E$34579,'Shayak Income '!D583,'MPG Payment '!$AC$3:$AC$34579))))+0)+-1170</f>
        <v>699.21268317531258</v>
      </c>
      <c r="V583" s="127">
        <f t="shared" si="178"/>
        <v>0</v>
      </c>
      <c r="W583" s="19">
        <v>0</v>
      </c>
      <c r="X583" s="19">
        <v>0</v>
      </c>
      <c r="Y583" s="128">
        <f>IFERROR(VLOOKUP(D583,'Monthly Deduction'!$M$2:$N$64,2,0),0)</f>
        <v>0</v>
      </c>
      <c r="Z583" s="128">
        <v>0</v>
      </c>
      <c r="AA583" s="126">
        <f>IFERROR(VLOOKUP(D583,'Monthly Deduction'!A:B,2,0),0)</f>
        <v>0</v>
      </c>
      <c r="AB583" s="129">
        <f t="shared" si="169"/>
        <v>0</v>
      </c>
      <c r="AC583" s="130">
        <v>0</v>
      </c>
      <c r="AD583" s="35">
        <f t="shared" si="181"/>
        <v>0</v>
      </c>
      <c r="AE583" s="166" t="str">
        <f t="shared" si="182"/>
        <v>Release</v>
      </c>
      <c r="AF583" s="127"/>
      <c r="AG583" s="18">
        <v>0</v>
      </c>
      <c r="AH583" s="120"/>
      <c r="AI583" s="238">
        <v>0</v>
      </c>
      <c r="AJ583" s="132"/>
      <c r="AK583" s="151">
        <v>245.00000000000003</v>
      </c>
      <c r="AL583" s="154">
        <f t="shared" si="170"/>
        <v>0</v>
      </c>
      <c r="AM583" s="155"/>
      <c r="AN583" s="19">
        <f t="shared" si="171"/>
        <v>0</v>
      </c>
      <c r="AO583" s="118">
        <f>SUMIF('MPG Payment '!E:E,'Shayak Income '!D583,'MPG Payment '!AJ:AJ)</f>
        <v>0</v>
      </c>
      <c r="AP583" s="19">
        <f t="shared" si="172"/>
        <v>0</v>
      </c>
      <c r="AQ583" s="119">
        <f t="shared" si="183"/>
        <v>0</v>
      </c>
      <c r="AR583" s="91" t="s">
        <v>1168</v>
      </c>
      <c r="AS583" s="91">
        <f t="shared" si="173"/>
        <v>0</v>
      </c>
      <c r="AT583" s="118"/>
      <c r="AU583" s="118"/>
      <c r="AV583" s="118"/>
    </row>
    <row r="584" spans="1:48" s="20" customFormat="1" x14ac:dyDescent="0.25">
      <c r="A584" s="17">
        <f>IFERROR(VLOOKUP(D584,'Monthly Deduction'!$I$3:$J$957,2,0),0)</f>
        <v>69779.116200043718</v>
      </c>
      <c r="B584" s="17">
        <f>IFERROR(VLOOKUP(D584,'Monthly Deduction'!$E$3:$F$957,2,0),0)</f>
        <v>0</v>
      </c>
      <c r="C584" s="17">
        <f t="shared" si="174"/>
        <v>69779.116200043718</v>
      </c>
      <c r="D584" s="41">
        <v>10530081</v>
      </c>
      <c r="E584" s="122" t="str">
        <f>VLOOKUP(D584,'MPG Payment '!$E$3:$G$498218,2,0)</f>
        <v>GOMUKH DADHIYA-2</v>
      </c>
      <c r="F584" s="146">
        <f>IFERROR(_xlfn.XLOOKUP(D584,'Monthly Deduction'!$I$3:$I$957,'Monthly Deduction'!$H$3:$H$957),0)</f>
        <v>0</v>
      </c>
      <c r="G584" s="123" t="str">
        <f>VLOOKUP(D584,'MPG Payment '!$E$3:$G$334579,3,0)</f>
        <v>MPG</v>
      </c>
      <c r="H584" s="124" t="str">
        <f>VLOOKUP(D584,'MPG Payment '!$E$3:$H$334579,4,0)</f>
        <v>Direct</v>
      </c>
      <c r="I584" s="88">
        <f>INDEX('MPG Payment '!$C:$C,MATCH('Shayak Income '!D584,'MPG Payment '!E:E,0))</f>
        <v>1053</v>
      </c>
      <c r="J584" s="88" t="str">
        <f>INDEX('MPG Payment '!$D:$D,MATCH('Shayak Income '!D584,'MPG Payment '!E:E,0))</f>
        <v>Kalyanpur</v>
      </c>
      <c r="K584" s="125" t="s">
        <v>1322</v>
      </c>
      <c r="L584" s="125">
        <v>45894</v>
      </c>
      <c r="M584" s="126">
        <f>SUMIF('MPG Payment '!$E$3:$E$34579,'Shayak Income '!D584,'MPG Payment '!$I$3:$I$34579)</f>
        <v>6813.15</v>
      </c>
      <c r="N584" s="126">
        <f>SUMIF('MPG Payment '!$E$3:$E$34579,'Shayak Income '!D584,'MPG Payment '!$J$3:$J$34579)</f>
        <v>297661.60755348031</v>
      </c>
      <c r="O584" s="126">
        <f t="shared" si="175"/>
        <v>5109.8624999999993</v>
      </c>
      <c r="P584" s="126">
        <f t="shared" si="176"/>
        <v>6472.4924999999994</v>
      </c>
      <c r="Q584" s="126">
        <f>SUMIF('MPG Payment '!$E$3:$E$34579,'Shayak Income '!D584,'MPG Payment '!$S$3:$S$34579)</f>
        <v>4215.7881043331799</v>
      </c>
      <c r="R584" s="126">
        <f t="shared" si="167"/>
        <v>8929.8482266044084</v>
      </c>
      <c r="S584" s="126">
        <f t="shared" si="168"/>
        <v>2457.355726604409</v>
      </c>
      <c r="T584" s="126">
        <f t="shared" si="177"/>
        <v>681.31500000000005</v>
      </c>
      <c r="U584" s="127">
        <f>(((IF(K584="New",0,SUMIF('MPG Payment '!$E$3:$E$34579,'Shayak Income '!D584,'MPG Payment '!$AC$3:$AC$34579))))+0)+0</f>
        <v>0</v>
      </c>
      <c r="V584" s="127">
        <f t="shared" si="178"/>
        <v>15117</v>
      </c>
      <c r="W584" s="19">
        <f t="shared" si="179"/>
        <v>5953.2321510696065</v>
      </c>
      <c r="X584" s="19">
        <v>0</v>
      </c>
      <c r="Y584" s="128">
        <f>IFERROR(VLOOKUP(D584,'Monthly Deduction'!$M$2:$N$64,2,0),0)</f>
        <v>0</v>
      </c>
      <c r="Z584" s="128">
        <v>0</v>
      </c>
      <c r="AA584" s="126">
        <f>IFERROR(VLOOKUP(D584,'Monthly Deduction'!A:B,2,0),0)</f>
        <v>0</v>
      </c>
      <c r="AB584" s="129">
        <f t="shared" si="169"/>
        <v>9164</v>
      </c>
      <c r="AC584" s="130">
        <v>0</v>
      </c>
      <c r="AD584" s="35">
        <f t="shared" si="181"/>
        <v>9164</v>
      </c>
      <c r="AE584" s="166" t="str">
        <f t="shared" si="182"/>
        <v>Release</v>
      </c>
      <c r="AF584" s="127"/>
      <c r="AG584" s="18">
        <v>0</v>
      </c>
      <c r="AH584" s="120" t="s">
        <v>1646</v>
      </c>
      <c r="AI584" s="238">
        <v>9279</v>
      </c>
      <c r="AJ584" s="132" t="s">
        <v>1660</v>
      </c>
      <c r="AK584" s="151">
        <v>1765.3999999999999</v>
      </c>
      <c r="AL584" s="154">
        <f t="shared" si="170"/>
        <v>0</v>
      </c>
      <c r="AM584" s="155"/>
      <c r="AN584" s="19">
        <f t="shared" si="171"/>
        <v>5953.2321510696065</v>
      </c>
      <c r="AO584" s="118">
        <f>SUMIF('MPG Payment '!E:E,'Shayak Income '!D584,'MPG Payment '!AJ:AJ)</f>
        <v>0</v>
      </c>
      <c r="AP584" s="19">
        <f t="shared" si="172"/>
        <v>5953.2321510696065</v>
      </c>
      <c r="AQ584" s="119">
        <f t="shared" si="183"/>
        <v>5953.2321510696065</v>
      </c>
      <c r="AR584" s="91" t="s">
        <v>1168</v>
      </c>
      <c r="AS584" s="91">
        <f t="shared" si="173"/>
        <v>0</v>
      </c>
      <c r="AT584" s="118"/>
      <c r="AU584" s="118"/>
      <c r="AV584" s="118"/>
    </row>
    <row r="585" spans="1:48" s="20" customFormat="1" x14ac:dyDescent="0.25">
      <c r="A585" s="17">
        <f>IFERROR(VLOOKUP(D585,'Monthly Deduction'!$I$3:$J$957,2,0),0)</f>
        <v>61622.155698583199</v>
      </c>
      <c r="B585" s="17">
        <f>IFERROR(VLOOKUP(D585,'Monthly Deduction'!$E$3:$F$957,2,0),0)</f>
        <v>0</v>
      </c>
      <c r="C585" s="17">
        <f t="shared" si="174"/>
        <v>61622.155698583199</v>
      </c>
      <c r="D585" s="41">
        <v>10530082</v>
      </c>
      <c r="E585" s="122" t="str">
        <f>VLOOKUP(D585,'MPG Payment '!$E$3:$G$498218,2,0)</f>
        <v>GOMUKH PREMNAGAR</v>
      </c>
      <c r="F585" s="146">
        <f>IFERROR(_xlfn.XLOOKUP(D585,'Monthly Deduction'!$I$3:$I$957,'Monthly Deduction'!$H$3:$H$957),0)</f>
        <v>0</v>
      </c>
      <c r="G585" s="123" t="str">
        <f>VLOOKUP(D585,'MPG Payment '!$E$3:$G$334579,3,0)</f>
        <v>MPG</v>
      </c>
      <c r="H585" s="124" t="str">
        <f>VLOOKUP(D585,'MPG Payment '!$E$3:$H$334579,4,0)</f>
        <v>Direct</v>
      </c>
      <c r="I585" s="88">
        <f>INDEX('MPG Payment '!$C:$C,MATCH('Shayak Income '!D585,'MPG Payment '!E:E,0))</f>
        <v>1053</v>
      </c>
      <c r="J585" s="88" t="str">
        <f>INDEX('MPG Payment '!$D:$D,MATCH('Shayak Income '!D585,'MPG Payment '!E:E,0))</f>
        <v>Kalyanpur</v>
      </c>
      <c r="K585" s="125" t="s">
        <v>1322</v>
      </c>
      <c r="L585" s="125">
        <v>45894</v>
      </c>
      <c r="M585" s="126">
        <f>SUMIF('MPG Payment '!$E$3:$E$34579,'Shayak Income '!D585,'MPG Payment '!$I$3:$I$34579)</f>
        <v>4390.1499999999996</v>
      </c>
      <c r="N585" s="126">
        <f>SUMIF('MPG Payment '!$E$3:$E$34579,'Shayak Income '!D585,'MPG Payment '!$J$3:$J$34579)</f>
        <v>177365.506402</v>
      </c>
      <c r="O585" s="126">
        <f t="shared" si="175"/>
        <v>3292.6124999999997</v>
      </c>
      <c r="P585" s="126">
        <f t="shared" si="176"/>
        <v>4170.642499999999</v>
      </c>
      <c r="Q585" s="126">
        <f>SUMIF('MPG Payment '!$E$3:$E$34579,'Shayak Income '!D585,'MPG Payment '!$S$3:$S$34579)</f>
        <v>1637.8594646040001</v>
      </c>
      <c r="R585" s="126">
        <f t="shared" si="167"/>
        <v>5320.9651920599999</v>
      </c>
      <c r="S585" s="126">
        <f t="shared" si="168"/>
        <v>1150.3226920600009</v>
      </c>
      <c r="T585" s="126">
        <f t="shared" si="177"/>
        <v>439.01499999999999</v>
      </c>
      <c r="U585" s="127">
        <f>(((IF(K585="New",0,SUMIF('MPG Payment '!$E$3:$E$34579,'Shayak Income '!D585,'MPG Payment '!$AC$3:$AC$34579))))+0)+0</f>
        <v>0</v>
      </c>
      <c r="V585" s="127">
        <f t="shared" si="178"/>
        <v>8662</v>
      </c>
      <c r="W585" s="19">
        <f t="shared" si="179"/>
        <v>3547.3101280400001</v>
      </c>
      <c r="X585" s="19">
        <v>0</v>
      </c>
      <c r="Y585" s="128">
        <f>IFERROR(VLOOKUP(D585,'Monthly Deduction'!$M$2:$N$64,2,0),0)</f>
        <v>0</v>
      </c>
      <c r="Z585" s="128">
        <v>0</v>
      </c>
      <c r="AA585" s="126">
        <f>IFERROR(VLOOKUP(D585,'Monthly Deduction'!A:B,2,0),0)</f>
        <v>0</v>
      </c>
      <c r="AB585" s="129">
        <f t="shared" si="169"/>
        <v>5115</v>
      </c>
      <c r="AC585" s="130">
        <v>0</v>
      </c>
      <c r="AD585" s="35">
        <f t="shared" si="181"/>
        <v>5115</v>
      </c>
      <c r="AE585" s="166" t="str">
        <f t="shared" si="182"/>
        <v>Release</v>
      </c>
      <c r="AF585" s="127"/>
      <c r="AG585" s="127">
        <v>0</v>
      </c>
      <c r="AH585" s="120"/>
      <c r="AI585" s="238">
        <v>0</v>
      </c>
      <c r="AJ585" s="132"/>
      <c r="AK585" s="151">
        <v>1126.75</v>
      </c>
      <c r="AL585" s="154">
        <f t="shared" si="170"/>
        <v>0</v>
      </c>
      <c r="AM585" s="155"/>
      <c r="AN585" s="19">
        <f t="shared" si="171"/>
        <v>3547.3101280400001</v>
      </c>
      <c r="AO585" s="118">
        <f>SUMIF('MPG Payment '!E:E,'Shayak Income '!D585,'MPG Payment '!AJ:AJ)</f>
        <v>0</v>
      </c>
      <c r="AP585" s="19">
        <f t="shared" si="172"/>
        <v>3547.3101280400001</v>
      </c>
      <c r="AQ585" s="119">
        <f t="shared" si="183"/>
        <v>3547.3101280400001</v>
      </c>
      <c r="AR585" s="91" t="s">
        <v>1168</v>
      </c>
      <c r="AS585" s="91">
        <f t="shared" si="173"/>
        <v>0</v>
      </c>
      <c r="AT585" s="118"/>
      <c r="AU585" s="118"/>
      <c r="AV585" s="118"/>
    </row>
    <row r="586" spans="1:48" s="20" customFormat="1" x14ac:dyDescent="0.25">
      <c r="A586" s="17">
        <f>IFERROR(VLOOKUP(D586,'Monthly Deduction'!$I$3:$J$957,2,0),0)</f>
        <v>0</v>
      </c>
      <c r="B586" s="17">
        <f>IFERROR(VLOOKUP(D586,'Monthly Deduction'!$E$3:$F$957,2,0),0)</f>
        <v>22332.872200000002</v>
      </c>
      <c r="C586" s="17">
        <f t="shared" si="174"/>
        <v>22332.872200000002</v>
      </c>
      <c r="D586" s="41">
        <v>10540003</v>
      </c>
      <c r="E586" s="122" t="str">
        <f>VLOOKUP(D586,'MPG Payment '!$E$3:$G$498218,2,0)</f>
        <v>GOMUKH ANANDPUR PARAS 2</v>
      </c>
      <c r="F586" s="146">
        <f>IFERROR(_xlfn.XLOOKUP(D586,'Monthly Deduction'!$I$3:$I$957,'Monthly Deduction'!$H$3:$H$957),0)</f>
        <v>0</v>
      </c>
      <c r="G586" s="123" t="str">
        <f>VLOOKUP(D586,'MPG Payment '!$E$3:$G$334579,3,0)</f>
        <v>MPG</v>
      </c>
      <c r="H586" s="124" t="str">
        <f>VLOOKUP(D586,'MPG Payment '!$E$3:$H$334579,4,0)</f>
        <v>Direct</v>
      </c>
      <c r="I586" s="88">
        <f>INDEX('MPG Payment '!$C:$C,MATCH('Shayak Income '!D586,'MPG Payment '!E:E,0))</f>
        <v>1054</v>
      </c>
      <c r="J586" s="88" t="str">
        <f>INDEX('MPG Payment '!$D:$D,MATCH('Shayak Income '!D586,'MPG Payment '!E:E,0))</f>
        <v xml:space="preserve">Alauli </v>
      </c>
      <c r="K586" s="125" t="s">
        <v>1322</v>
      </c>
      <c r="L586" s="125">
        <v>45793</v>
      </c>
      <c r="M586" s="126">
        <f>SUMIF('MPG Payment '!$E$3:$E$34579,'Shayak Income '!D586,'MPG Payment '!$I$3:$I$34579)</f>
        <v>11652.5</v>
      </c>
      <c r="N586" s="126">
        <f>SUMIF('MPG Payment '!$E$3:$E$34579,'Shayak Income '!D586,'MPG Payment '!$J$3:$J$34579)</f>
        <v>468630.99804760999</v>
      </c>
      <c r="O586" s="126">
        <f t="shared" si="175"/>
        <v>8739.375</v>
      </c>
      <c r="P586" s="126">
        <f t="shared" si="176"/>
        <v>11069.875</v>
      </c>
      <c r="Q586" s="126">
        <f>SUMIF('MPG Payment '!$E$3:$E$34579,'Shayak Income '!D586,'MPG Payment '!$S$3:$S$34579)</f>
        <v>0</v>
      </c>
      <c r="R586" s="126">
        <f t="shared" si="167"/>
        <v>14058.9299414283</v>
      </c>
      <c r="S586" s="126">
        <f t="shared" si="168"/>
        <v>2989.0549414282996</v>
      </c>
      <c r="T586" s="126">
        <f t="shared" si="177"/>
        <v>1165.25</v>
      </c>
      <c r="U586" s="127">
        <f>(((IF(K586="New",0,SUMIF('MPG Payment '!$E$3:$E$34579,'Shayak Income '!D586,'MPG Payment '!$AC$3:$AC$34579))))+0)+0</f>
        <v>0</v>
      </c>
      <c r="V586" s="127">
        <f t="shared" si="178"/>
        <v>18644</v>
      </c>
      <c r="W586" s="19">
        <f t="shared" si="179"/>
        <v>0</v>
      </c>
      <c r="X586" s="19">
        <f t="shared" si="180"/>
        <v>9372.6199609521991</v>
      </c>
      <c r="Y586" s="128">
        <f>IFERROR(VLOOKUP(D586,'Monthly Deduction'!$M$2:$N$64,2,0),0)</f>
        <v>0</v>
      </c>
      <c r="Z586" s="128">
        <v>0</v>
      </c>
      <c r="AA586" s="126">
        <f>IFERROR(VLOOKUP(D586,'Monthly Deduction'!A:B,2,0),0)</f>
        <v>0</v>
      </c>
      <c r="AB586" s="129">
        <f t="shared" si="169"/>
        <v>9271</v>
      </c>
      <c r="AC586" s="130">
        <v>0</v>
      </c>
      <c r="AD586" s="35">
        <f t="shared" si="181"/>
        <v>9271</v>
      </c>
      <c r="AE586" s="166" t="str">
        <f t="shared" si="182"/>
        <v>Release</v>
      </c>
      <c r="AF586" s="127"/>
      <c r="AG586" s="18">
        <v>0</v>
      </c>
      <c r="AH586" s="120"/>
      <c r="AI586" s="238">
        <v>0</v>
      </c>
      <c r="AJ586" s="132"/>
      <c r="AK586" s="151">
        <v>3353.1</v>
      </c>
      <c r="AL586" s="154">
        <f t="shared" si="170"/>
        <v>0</v>
      </c>
      <c r="AM586" s="155"/>
      <c r="AN586" s="19">
        <f t="shared" si="171"/>
        <v>0</v>
      </c>
      <c r="AO586" s="118">
        <f>SUMIF('MPG Payment '!E:E,'Shayak Income '!D586,'MPG Payment '!AJ:AJ)</f>
        <v>0</v>
      </c>
      <c r="AP586" s="19">
        <f t="shared" si="172"/>
        <v>0</v>
      </c>
      <c r="AQ586" s="119">
        <f t="shared" si="183"/>
        <v>0</v>
      </c>
      <c r="AR586" s="91" t="s">
        <v>1168</v>
      </c>
      <c r="AS586" s="91">
        <f t="shared" si="173"/>
        <v>12960.252239047803</v>
      </c>
      <c r="AT586" s="118"/>
      <c r="AU586" s="118"/>
      <c r="AV586" s="118"/>
    </row>
    <row r="587" spans="1:48" s="20" customFormat="1" x14ac:dyDescent="0.25">
      <c r="A587" s="17">
        <f>IFERROR(VLOOKUP(D587,'Monthly Deduction'!$I$3:$J$957,2,0),0)</f>
        <v>61518.713802710394</v>
      </c>
      <c r="B587" s="17">
        <f>IFERROR(VLOOKUP(D587,'Monthly Deduction'!$E$3:$F$957,2,0),0)</f>
        <v>12132</v>
      </c>
      <c r="C587" s="17">
        <f t="shared" si="174"/>
        <v>73650.713802710394</v>
      </c>
      <c r="D587" s="41">
        <v>10540005</v>
      </c>
      <c r="E587" s="122" t="str">
        <f>VLOOKUP(D587,'MPG Payment '!$E$3:$G$498218,2,0)</f>
        <v>GOMUKH GADBANNI</v>
      </c>
      <c r="F587" s="146">
        <f>IFERROR(_xlfn.XLOOKUP(D587,'Monthly Deduction'!$I$3:$I$957,'Monthly Deduction'!$H$3:$H$957),0)</f>
        <v>0</v>
      </c>
      <c r="G587" s="123" t="str">
        <f>VLOOKUP(D587,'MPG Payment '!$E$3:$G$334579,3,0)</f>
        <v>MPG</v>
      </c>
      <c r="H587" s="124" t="str">
        <f>VLOOKUP(D587,'MPG Payment '!$E$3:$H$334579,4,0)</f>
        <v>Direct</v>
      </c>
      <c r="I587" s="88">
        <f>INDEX('MPG Payment '!$C:$C,MATCH('Shayak Income '!D587,'MPG Payment '!E:E,0))</f>
        <v>1054</v>
      </c>
      <c r="J587" s="88" t="str">
        <f>INDEX('MPG Payment '!$D:$D,MATCH('Shayak Income '!D587,'MPG Payment '!E:E,0))</f>
        <v xml:space="preserve">Alauli </v>
      </c>
      <c r="K587" s="125" t="s">
        <v>1322</v>
      </c>
      <c r="L587" s="125">
        <v>45803</v>
      </c>
      <c r="M587" s="126">
        <f>SUMIF('MPG Payment '!$E$3:$E$34579,'Shayak Income '!D587,'MPG Payment '!$I$3:$I$34579)</f>
        <v>948.59999999999991</v>
      </c>
      <c r="N587" s="126">
        <f>SUMIF('MPG Payment '!$E$3:$E$34579,'Shayak Income '!D587,'MPG Payment '!$J$3:$J$34579)</f>
        <v>37990.095938380007</v>
      </c>
      <c r="O587" s="126">
        <f t="shared" si="175"/>
        <v>711.44999999999993</v>
      </c>
      <c r="P587" s="126">
        <f t="shared" si="176"/>
        <v>901.16999999999985</v>
      </c>
      <c r="Q587" s="126">
        <f>SUMIF('MPG Payment '!$E$3:$E$34579,'Shayak Income '!D587,'MPG Payment '!$S$3:$S$34579)</f>
        <v>0</v>
      </c>
      <c r="R587" s="126">
        <f t="shared" si="167"/>
        <v>1139.7028781514002</v>
      </c>
      <c r="S587" s="126">
        <f t="shared" si="168"/>
        <v>238.53287815140038</v>
      </c>
      <c r="T587" s="126">
        <f t="shared" si="177"/>
        <v>94.86</v>
      </c>
      <c r="U587" s="127">
        <f>(((IF(K587="New",0,SUMIF('MPG Payment '!$E$3:$E$34579,'Shayak Income '!D587,'MPG Payment '!$AC$3:$AC$34579))))+0)+0</f>
        <v>1482.0802276920695</v>
      </c>
      <c r="V587" s="127">
        <f t="shared" si="178"/>
        <v>36</v>
      </c>
      <c r="W587" s="19">
        <v>36</v>
      </c>
      <c r="X587" s="19">
        <v>0</v>
      </c>
      <c r="Y587" s="128">
        <f>IFERROR(VLOOKUP(D587,'Monthly Deduction'!$M$2:$N$64,2,0),0)</f>
        <v>0</v>
      </c>
      <c r="Z587" s="128">
        <v>0</v>
      </c>
      <c r="AA587" s="126">
        <f>IFERROR(VLOOKUP(D587,'Monthly Deduction'!A:B,2,0),0)</f>
        <v>0</v>
      </c>
      <c r="AB587" s="129">
        <f t="shared" si="169"/>
        <v>0</v>
      </c>
      <c r="AC587" s="130">
        <v>0</v>
      </c>
      <c r="AD587" s="35">
        <f t="shared" si="181"/>
        <v>0</v>
      </c>
      <c r="AE587" s="166" t="str">
        <f t="shared" si="182"/>
        <v>Release</v>
      </c>
      <c r="AF587" s="127"/>
      <c r="AG587" s="18">
        <v>0</v>
      </c>
      <c r="AH587" s="120"/>
      <c r="AI587" s="238">
        <v>0</v>
      </c>
      <c r="AJ587" s="132"/>
      <c r="AK587" s="151">
        <v>271.40000000000003</v>
      </c>
      <c r="AL587" s="154">
        <f t="shared" si="170"/>
        <v>0</v>
      </c>
      <c r="AM587" s="155"/>
      <c r="AN587" s="19">
        <f t="shared" si="171"/>
        <v>1861</v>
      </c>
      <c r="AO587" s="118">
        <f>SUMIF('MPG Payment '!E:E,'Shayak Income '!D587,'MPG Payment '!AJ:AJ)</f>
        <v>0</v>
      </c>
      <c r="AP587" s="19">
        <f t="shared" si="172"/>
        <v>36</v>
      </c>
      <c r="AQ587" s="119">
        <f t="shared" si="183"/>
        <v>36</v>
      </c>
      <c r="AR587" s="91" t="s">
        <v>1168</v>
      </c>
      <c r="AS587" s="91">
        <f t="shared" si="173"/>
        <v>12132</v>
      </c>
      <c r="AT587" s="118"/>
      <c r="AU587" s="118"/>
      <c r="AV587" s="118"/>
    </row>
    <row r="588" spans="1:48" s="20" customFormat="1" x14ac:dyDescent="0.25">
      <c r="A588" s="17">
        <f>IFERROR(VLOOKUP(D588,'Monthly Deduction'!$I$3:$J$957,2,0),0)</f>
        <v>81640</v>
      </c>
      <c r="B588" s="17">
        <f>IFERROR(VLOOKUP(D588,'Monthly Deduction'!$E$3:$F$957,2,0),0)</f>
        <v>6051</v>
      </c>
      <c r="C588" s="17">
        <f t="shared" si="174"/>
        <v>87691</v>
      </c>
      <c r="D588" s="41">
        <v>10540008</v>
      </c>
      <c r="E588" s="122" t="str">
        <f>VLOOKUP(D588,'MPG Payment '!$E$3:$G$498218,2,0)</f>
        <v>GOMUKH PARRI</v>
      </c>
      <c r="F588" s="146">
        <f>IFERROR(_xlfn.XLOOKUP(D588,'Monthly Deduction'!$I$3:$I$957,'Monthly Deduction'!$H$3:$H$957),0)</f>
        <v>0</v>
      </c>
      <c r="G588" s="123" t="str">
        <f>VLOOKUP(D588,'MPG Payment '!$E$3:$G$334579,3,0)</f>
        <v>MPG</v>
      </c>
      <c r="H588" s="124" t="str">
        <f>VLOOKUP(D588,'MPG Payment '!$E$3:$H$334579,4,0)</f>
        <v>Direct</v>
      </c>
      <c r="I588" s="88">
        <f>INDEX('MPG Payment '!$C:$C,MATCH('Shayak Income '!D588,'MPG Payment '!E:E,0))</f>
        <v>1054</v>
      </c>
      <c r="J588" s="88" t="str">
        <f>INDEX('MPG Payment '!$D:$D,MATCH('Shayak Income '!D588,'MPG Payment '!E:E,0))</f>
        <v xml:space="preserve">Alauli </v>
      </c>
      <c r="K588" s="125" t="s">
        <v>1322</v>
      </c>
      <c r="L588" s="125">
        <v>45849</v>
      </c>
      <c r="M588" s="126">
        <f>SUMIF('MPG Payment '!$E$3:$E$34579,'Shayak Income '!D588,'MPG Payment '!$I$3:$I$34579)</f>
        <v>672.30000000000007</v>
      </c>
      <c r="N588" s="126">
        <f>SUMIF('MPG Payment '!$E$3:$E$34579,'Shayak Income '!D588,'MPG Payment '!$J$3:$J$34579)</f>
        <v>31731.781454915559</v>
      </c>
      <c r="O588" s="126">
        <f t="shared" si="175"/>
        <v>504.22500000000002</v>
      </c>
      <c r="P588" s="126">
        <f t="shared" si="176"/>
        <v>638.68500000000006</v>
      </c>
      <c r="Q588" s="126">
        <f>SUMIF('MPG Payment '!$E$3:$E$34579,'Shayak Income '!D588,'MPG Payment '!$S$3:$S$34579)</f>
        <v>0</v>
      </c>
      <c r="R588" s="126">
        <f t="shared" si="167"/>
        <v>951.95344364746677</v>
      </c>
      <c r="S588" s="126">
        <f t="shared" si="168"/>
        <v>313.26844364746671</v>
      </c>
      <c r="T588" s="126">
        <f t="shared" si="177"/>
        <v>67.23</v>
      </c>
      <c r="U588" s="127">
        <f>(((IF(K588="New",0,SUMIF('MPG Payment '!$E$3:$E$34579,'Shayak Income '!D588,'MPG Payment '!$AC$3:$AC$34579))))+0)+-931</f>
        <v>1075.52967690579</v>
      </c>
      <c r="V588" s="127">
        <f t="shared" si="178"/>
        <v>0</v>
      </c>
      <c r="W588" s="19">
        <v>0</v>
      </c>
      <c r="X588" s="19">
        <v>0</v>
      </c>
      <c r="Y588" s="128">
        <f>IFERROR(VLOOKUP(D588,'Monthly Deduction'!$M$2:$N$64,2,0),0)</f>
        <v>0</v>
      </c>
      <c r="Z588" s="128">
        <v>0</v>
      </c>
      <c r="AA588" s="126">
        <f>IFERROR(VLOOKUP(D588,'Monthly Deduction'!A:B,2,0),0)</f>
        <v>0</v>
      </c>
      <c r="AB588" s="129">
        <f t="shared" si="169"/>
        <v>0</v>
      </c>
      <c r="AC588" s="130">
        <v>0</v>
      </c>
      <c r="AD588" s="35">
        <f t="shared" si="181"/>
        <v>0</v>
      </c>
      <c r="AE588" s="166" t="str">
        <f t="shared" si="182"/>
        <v>Release</v>
      </c>
      <c r="AF588" s="127"/>
      <c r="AG588" s="18">
        <v>0</v>
      </c>
      <c r="AH588" s="120"/>
      <c r="AI588" s="238">
        <v>0</v>
      </c>
      <c r="AJ588" s="132"/>
      <c r="AK588" s="151">
        <v>268.20000000000005</v>
      </c>
      <c r="AL588" s="154">
        <f t="shared" si="170"/>
        <v>0</v>
      </c>
      <c r="AM588" s="155"/>
      <c r="AN588" s="19">
        <f t="shared" si="171"/>
        <v>1861</v>
      </c>
      <c r="AO588" s="118">
        <f>SUMIF('MPG Payment '!E:E,'Shayak Income '!D588,'MPG Payment '!AJ:AJ)</f>
        <v>500</v>
      </c>
      <c r="AP588" s="19">
        <f t="shared" si="172"/>
        <v>0</v>
      </c>
      <c r="AQ588" s="119">
        <f t="shared" si="183"/>
        <v>500</v>
      </c>
      <c r="AR588" s="91" t="s">
        <v>1168</v>
      </c>
      <c r="AS588" s="91">
        <f t="shared" si="173"/>
        <v>6051</v>
      </c>
      <c r="AT588" s="118"/>
      <c r="AU588" s="118"/>
      <c r="AV588" s="118"/>
    </row>
    <row r="589" spans="1:48" s="20" customFormat="1" x14ac:dyDescent="0.25">
      <c r="A589" s="17">
        <f>IFERROR(VLOOKUP(D589,'Monthly Deduction'!$I$3:$J$957,2,0),0)</f>
        <v>13704.623681106445</v>
      </c>
      <c r="B589" s="17">
        <f>IFERROR(VLOOKUP(D589,'Monthly Deduction'!$E$3:$F$957,2,0),0)</f>
        <v>23784</v>
      </c>
      <c r="C589" s="17">
        <f t="shared" si="174"/>
        <v>37488.623681106445</v>
      </c>
      <c r="D589" s="41">
        <v>10540009</v>
      </c>
      <c r="E589" s="122" t="str">
        <f>VLOOKUP(D589,'MPG Payment '!$E$3:$G$498218,2,0)</f>
        <v>GOMUKH BHIKHARI GHAT</v>
      </c>
      <c r="F589" s="146">
        <f>IFERROR(_xlfn.XLOOKUP(D589,'Monthly Deduction'!$I$3:$I$957,'Monthly Deduction'!$H$3:$H$957),0)</f>
        <v>0</v>
      </c>
      <c r="G589" s="123" t="str">
        <f>VLOOKUP(D589,'MPG Payment '!$E$3:$G$334579,3,0)</f>
        <v>MPG</v>
      </c>
      <c r="H589" s="124" t="str">
        <f>VLOOKUP(D589,'MPG Payment '!$E$3:$H$334579,4,0)</f>
        <v>Direct</v>
      </c>
      <c r="I589" s="88">
        <f>INDEX('MPG Payment '!$C:$C,MATCH('Shayak Income '!D589,'MPG Payment '!E:E,0))</f>
        <v>1054</v>
      </c>
      <c r="J589" s="88" t="str">
        <f>INDEX('MPG Payment '!$D:$D,MATCH('Shayak Income '!D589,'MPG Payment '!E:E,0))</f>
        <v xml:space="preserve">Alauli </v>
      </c>
      <c r="K589" s="125" t="s">
        <v>1322</v>
      </c>
      <c r="L589" s="125">
        <v>45836</v>
      </c>
      <c r="M589" s="126">
        <f>SUMIF('MPG Payment '!$E$3:$E$34579,'Shayak Income '!D589,'MPG Payment '!$I$3:$I$34579)</f>
        <v>4279.3999999999996</v>
      </c>
      <c r="N589" s="126">
        <f>SUMIF('MPG Payment '!$E$3:$E$34579,'Shayak Income '!D589,'MPG Payment '!$J$3:$J$34579)</f>
        <v>176567.62804695001</v>
      </c>
      <c r="O589" s="126">
        <f t="shared" si="175"/>
        <v>3209.5499999999997</v>
      </c>
      <c r="P589" s="126">
        <f t="shared" si="176"/>
        <v>4065.4299999999994</v>
      </c>
      <c r="Q589" s="126">
        <f>SUMIF('MPG Payment '!$E$3:$E$34579,'Shayak Income '!D589,'MPG Payment '!$S$3:$S$34579)</f>
        <v>511.06654233360001</v>
      </c>
      <c r="R589" s="126">
        <f t="shared" si="167"/>
        <v>5297.0288414084998</v>
      </c>
      <c r="S589" s="126">
        <f t="shared" si="168"/>
        <v>1231.5988414085004</v>
      </c>
      <c r="T589" s="126">
        <f t="shared" si="177"/>
        <v>427.94</v>
      </c>
      <c r="U589" s="127">
        <f>(((IF(K589="New",0,SUMIF('MPG Payment '!$E$3:$E$34579,'Shayak Income '!D589,'MPG Payment '!$AC$3:$AC$34579))))+0)+0</f>
        <v>0</v>
      </c>
      <c r="V589" s="127">
        <f t="shared" si="178"/>
        <v>7358</v>
      </c>
      <c r="W589" s="19">
        <f t="shared" si="179"/>
        <v>3531.3525609390003</v>
      </c>
      <c r="X589" s="19">
        <v>0</v>
      </c>
      <c r="Y589" s="128">
        <f>IFERROR(VLOOKUP(D589,'Monthly Deduction'!$M$2:$N$64,2,0),0)</f>
        <v>0</v>
      </c>
      <c r="Z589" s="128">
        <v>0</v>
      </c>
      <c r="AA589" s="126">
        <f>IFERROR(VLOOKUP(D589,'Monthly Deduction'!A:B,2,0),0)</f>
        <v>0</v>
      </c>
      <c r="AB589" s="129">
        <f t="shared" si="169"/>
        <v>3827</v>
      </c>
      <c r="AC589" s="130">
        <v>0</v>
      </c>
      <c r="AD589" s="35">
        <f t="shared" si="181"/>
        <v>3827</v>
      </c>
      <c r="AE589" s="166" t="str">
        <f t="shared" si="182"/>
        <v>Release</v>
      </c>
      <c r="AF589" s="127"/>
      <c r="AG589" s="18">
        <v>0</v>
      </c>
      <c r="AH589" s="120"/>
      <c r="AI589" s="238">
        <v>0</v>
      </c>
      <c r="AJ589" s="132"/>
      <c r="AK589" s="151">
        <v>1060.0999999999999</v>
      </c>
      <c r="AL589" s="154">
        <f t="shared" si="170"/>
        <v>0</v>
      </c>
      <c r="AM589" s="155"/>
      <c r="AN589" s="19">
        <f t="shared" si="171"/>
        <v>3531.3525609390003</v>
      </c>
      <c r="AO589" s="118">
        <f>SUMIF('MPG Payment '!E:E,'Shayak Income '!D589,'MPG Payment '!AJ:AJ)</f>
        <v>0</v>
      </c>
      <c r="AP589" s="19">
        <f t="shared" si="172"/>
        <v>3531.3525609390003</v>
      </c>
      <c r="AQ589" s="119">
        <f t="shared" si="183"/>
        <v>3531.3525609390003</v>
      </c>
      <c r="AR589" s="91" t="s">
        <v>1168</v>
      </c>
      <c r="AS589" s="91">
        <f t="shared" si="173"/>
        <v>23784</v>
      </c>
      <c r="AT589" s="118"/>
      <c r="AU589" s="118"/>
      <c r="AV589" s="118"/>
    </row>
    <row r="590" spans="1:48" s="20" customFormat="1" x14ac:dyDescent="0.25">
      <c r="A590" s="17">
        <f>IFERROR(VLOOKUP(D590,'Monthly Deduction'!$I$3:$J$957,2,0),0)</f>
        <v>0</v>
      </c>
      <c r="B590" s="17">
        <f>IFERROR(VLOOKUP(D590,'Monthly Deduction'!$E$3:$F$957,2,0),0)</f>
        <v>0</v>
      </c>
      <c r="C590" s="17">
        <f t="shared" si="174"/>
        <v>0</v>
      </c>
      <c r="D590" s="41">
        <v>10540010</v>
      </c>
      <c r="E590" s="122" t="str">
        <f>VLOOKUP(D590,'MPG Payment '!$E$3:$G$498218,2,0)</f>
        <v>Vikash Kumar</v>
      </c>
      <c r="F590" s="146">
        <f>IFERROR(_xlfn.XLOOKUP(D590,'Monthly Deduction'!$I$3:$I$957,'Monthly Deduction'!$H$3:$H$957),0)</f>
        <v>0</v>
      </c>
      <c r="G590" s="123" t="str">
        <f>VLOOKUP(D590,'MPG Payment '!$E$3:$G$334579,3,0)</f>
        <v>vlc</v>
      </c>
      <c r="H590" s="124" t="str">
        <f>VLOOKUP(D590,'MPG Payment '!$E$3:$H$334579,4,0)</f>
        <v>Indirect</v>
      </c>
      <c r="I590" s="88">
        <f>INDEX('MPG Payment '!$C:$C,MATCH('Shayak Income '!D590,'MPG Payment '!E:E,0))</f>
        <v>1054</v>
      </c>
      <c r="J590" s="88" t="str">
        <f>INDEX('MPG Payment '!$D:$D,MATCH('Shayak Income '!D590,'MPG Payment '!E:E,0))</f>
        <v xml:space="preserve">Alauli </v>
      </c>
      <c r="K590" s="125" t="s">
        <v>1322</v>
      </c>
      <c r="L590" s="125">
        <v>45832</v>
      </c>
      <c r="M590" s="126">
        <f>SUMIF('MPG Payment '!$E$3:$E$34579,'Shayak Income '!D590,'MPG Payment '!$I$3:$I$34579)</f>
        <v>9236</v>
      </c>
      <c r="N590" s="126">
        <f>SUMIF('MPG Payment '!$E$3:$E$34579,'Shayak Income '!D590,'MPG Payment '!$J$3:$J$34579)</f>
        <v>376917.61153604998</v>
      </c>
      <c r="O590" s="126">
        <f t="shared" si="175"/>
        <v>6927</v>
      </c>
      <c r="P590" s="126">
        <f t="shared" si="176"/>
        <v>8774.1999999999989</v>
      </c>
      <c r="Q590" s="126">
        <f>SUMIF('MPG Payment '!$E$3:$E$34579,'Shayak Income '!D590,'MPG Payment '!$S$3:$S$34579)</f>
        <v>0</v>
      </c>
      <c r="R590" s="126">
        <f t="shared" si="167"/>
        <v>11307.528346081499</v>
      </c>
      <c r="S590" s="126">
        <f t="shared" si="168"/>
        <v>2533.3283460815001</v>
      </c>
      <c r="T590" s="126">
        <f t="shared" si="177"/>
        <v>923.6</v>
      </c>
      <c r="U590" s="127">
        <f>(((IF(K590="New",0,SUMIF('MPG Payment '!$E$3:$E$34579,'Shayak Income '!D590,'MPG Payment '!$AC$3:$AC$34579))))+0)+0</f>
        <v>0</v>
      </c>
      <c r="V590" s="127">
        <f t="shared" si="178"/>
        <v>14778</v>
      </c>
      <c r="W590" s="19">
        <f t="shared" si="179"/>
        <v>0</v>
      </c>
      <c r="X590" s="19">
        <f t="shared" si="180"/>
        <v>0</v>
      </c>
      <c r="Y590" s="128">
        <f>IFERROR(VLOOKUP(D590,'Monthly Deduction'!$M$2:$N$64,2,0),0)</f>
        <v>0</v>
      </c>
      <c r="Z590" s="128">
        <v>0</v>
      </c>
      <c r="AA590" s="126">
        <f>IFERROR(VLOOKUP(D590,'Monthly Deduction'!A:B,2,0),0)</f>
        <v>0</v>
      </c>
      <c r="AB590" s="129">
        <f t="shared" si="169"/>
        <v>14778</v>
      </c>
      <c r="AC590" s="130">
        <v>0</v>
      </c>
      <c r="AD590" s="35">
        <f t="shared" si="181"/>
        <v>14778</v>
      </c>
      <c r="AE590" s="166" t="str">
        <f t="shared" si="182"/>
        <v>Release</v>
      </c>
      <c r="AF590" s="127"/>
      <c r="AG590" s="18">
        <v>0</v>
      </c>
      <c r="AH590" s="120"/>
      <c r="AI590" s="238">
        <v>0</v>
      </c>
      <c r="AJ590" s="132"/>
      <c r="AK590" s="151">
        <v>2281.2000000000003</v>
      </c>
      <c r="AL590" s="154">
        <f t="shared" si="170"/>
        <v>0</v>
      </c>
      <c r="AM590" s="155"/>
      <c r="AN590" s="19">
        <f t="shared" si="171"/>
        <v>0</v>
      </c>
      <c r="AO590" s="118">
        <f>SUMIF('MPG Payment '!E:E,'Shayak Income '!D590,'MPG Payment '!AJ:AJ)</f>
        <v>0</v>
      </c>
      <c r="AP590" s="19">
        <f t="shared" si="172"/>
        <v>0</v>
      </c>
      <c r="AQ590" s="119">
        <f t="shared" si="183"/>
        <v>0</v>
      </c>
      <c r="AR590" s="91" t="s">
        <v>1168</v>
      </c>
      <c r="AS590" s="91">
        <f t="shared" si="173"/>
        <v>0</v>
      </c>
      <c r="AT590" s="118"/>
      <c r="AU590" s="118"/>
      <c r="AV590" s="118"/>
    </row>
    <row r="591" spans="1:48" s="20" customFormat="1" x14ac:dyDescent="0.25">
      <c r="A591" s="17">
        <f>IFERROR(VLOOKUP(D591,'Monthly Deduction'!$I$3:$J$957,2,0),0)</f>
        <v>0</v>
      </c>
      <c r="B591" s="17">
        <f>IFERROR(VLOOKUP(D591,'Monthly Deduction'!$E$3:$F$957,2,0),0)</f>
        <v>0</v>
      </c>
      <c r="C591" s="17">
        <f t="shared" si="174"/>
        <v>0</v>
      </c>
      <c r="D591" s="41">
        <v>10540012</v>
      </c>
      <c r="E591" s="122" t="str">
        <f>VLOOKUP(D591,'MPG Payment '!$E$3:$G$498218,2,0)</f>
        <v>Rajkishore Yadav</v>
      </c>
      <c r="F591" s="146">
        <f>IFERROR(_xlfn.XLOOKUP(D591,'Monthly Deduction'!$I$3:$I$957,'Monthly Deduction'!$H$3:$H$957),0)</f>
        <v>0</v>
      </c>
      <c r="G591" s="123" t="str">
        <f>VLOOKUP(D591,'MPG Payment '!$E$3:$G$334579,3,0)</f>
        <v>vlc</v>
      </c>
      <c r="H591" s="124" t="str">
        <f>VLOOKUP(D591,'MPG Payment '!$E$3:$H$334579,4,0)</f>
        <v>Indirect</v>
      </c>
      <c r="I591" s="88">
        <f>INDEX('MPG Payment '!$C:$C,MATCH('Shayak Income '!D591,'MPG Payment '!E:E,0))</f>
        <v>1054</v>
      </c>
      <c r="J591" s="88" t="str">
        <f>INDEX('MPG Payment '!$D:$D,MATCH('Shayak Income '!D591,'MPG Payment '!E:E,0))</f>
        <v xml:space="preserve">Alauli </v>
      </c>
      <c r="K591" s="125" t="s">
        <v>1322</v>
      </c>
      <c r="L591" s="125">
        <v>45829</v>
      </c>
      <c r="M591" s="126">
        <f>SUMIF('MPG Payment '!$E$3:$E$34579,'Shayak Income '!D591,'MPG Payment '!$I$3:$I$34579)</f>
        <v>1241.1999999999998</v>
      </c>
      <c r="N591" s="126">
        <f>SUMIF('MPG Payment '!$E$3:$E$34579,'Shayak Income '!D591,'MPG Payment '!$J$3:$J$34579)</f>
        <v>42061.650767148494</v>
      </c>
      <c r="O591" s="126">
        <f t="shared" si="175"/>
        <v>930.89999999999986</v>
      </c>
      <c r="P591" s="126">
        <f t="shared" si="176"/>
        <v>1179.1399999999999</v>
      </c>
      <c r="Q591" s="126">
        <f>SUMIF('MPG Payment '!$E$3:$E$34579,'Shayak Income '!D591,'MPG Payment '!$S$3:$S$34579)</f>
        <v>0</v>
      </c>
      <c r="R591" s="126">
        <f t="shared" si="167"/>
        <v>1261.8495230144547</v>
      </c>
      <c r="S591" s="126">
        <f t="shared" si="168"/>
        <v>82.709523014454817</v>
      </c>
      <c r="T591" s="126">
        <f t="shared" si="177"/>
        <v>124.11999999999999</v>
      </c>
      <c r="U591" s="127">
        <f>(((IF(K591="New",0,SUMIF('MPG Payment '!$E$3:$E$34579,'Shayak Income '!D591,'MPG Payment '!$AC$3:$AC$34579))))+0)+0</f>
        <v>1058.7915732239953</v>
      </c>
      <c r="V591" s="127">
        <f t="shared" si="178"/>
        <v>927</v>
      </c>
      <c r="W591" s="19">
        <f t="shared" si="179"/>
        <v>0</v>
      </c>
      <c r="X591" s="19">
        <f t="shared" si="180"/>
        <v>0</v>
      </c>
      <c r="Y591" s="128">
        <f>IFERROR(VLOOKUP(D591,'Monthly Deduction'!$M$2:$N$64,2,0),0)</f>
        <v>0</v>
      </c>
      <c r="Z591" s="128">
        <v>0</v>
      </c>
      <c r="AA591" s="126">
        <f>IFERROR(VLOOKUP(D591,'Monthly Deduction'!A:B,2,0),0)</f>
        <v>0</v>
      </c>
      <c r="AB591" s="129">
        <f t="shared" si="169"/>
        <v>927</v>
      </c>
      <c r="AC591" s="130">
        <v>0</v>
      </c>
      <c r="AD591" s="35">
        <f t="shared" si="181"/>
        <v>927</v>
      </c>
      <c r="AE591" s="166" t="str">
        <f t="shared" si="182"/>
        <v>Release</v>
      </c>
      <c r="AF591" s="127"/>
      <c r="AG591" s="127">
        <v>0</v>
      </c>
      <c r="AH591" s="120"/>
      <c r="AI591" s="238">
        <v>0</v>
      </c>
      <c r="AJ591" s="132"/>
      <c r="AK591" s="151">
        <v>241.59999999999997</v>
      </c>
      <c r="AL591" s="154">
        <f t="shared" si="170"/>
        <v>0</v>
      </c>
      <c r="AM591" s="155"/>
      <c r="AN591" s="19">
        <f t="shared" si="171"/>
        <v>0</v>
      </c>
      <c r="AO591" s="118">
        <f>SUMIF('MPG Payment '!E:E,'Shayak Income '!D591,'MPG Payment '!AJ:AJ)</f>
        <v>0</v>
      </c>
      <c r="AP591" s="19">
        <f t="shared" si="172"/>
        <v>0</v>
      </c>
      <c r="AQ591" s="119">
        <f t="shared" si="183"/>
        <v>0</v>
      </c>
      <c r="AR591" s="91" t="s">
        <v>1168</v>
      </c>
      <c r="AS591" s="91">
        <f t="shared" si="173"/>
        <v>0</v>
      </c>
      <c r="AT591" s="118"/>
      <c r="AU591" s="118"/>
      <c r="AV591" s="118"/>
    </row>
    <row r="592" spans="1:48" s="20" customFormat="1" x14ac:dyDescent="0.25">
      <c r="A592" s="17">
        <f>IFERROR(VLOOKUP(D592,'Monthly Deduction'!$I$3:$J$957,2,0),0)</f>
        <v>0</v>
      </c>
      <c r="B592" s="17">
        <f>IFERROR(VLOOKUP(D592,'Monthly Deduction'!$E$3:$F$957,2,0),0)</f>
        <v>0</v>
      </c>
      <c r="C592" s="17">
        <f t="shared" si="174"/>
        <v>0</v>
      </c>
      <c r="D592" s="41">
        <v>10540014</v>
      </c>
      <c r="E592" s="122" t="str">
        <f>VLOOKUP(D592,'MPG Payment '!$E$3:$G$498218,2,0)</f>
        <v>BHADAS VLC</v>
      </c>
      <c r="F592" s="146">
        <f>IFERROR(_xlfn.XLOOKUP(D592,'Monthly Deduction'!$I$3:$I$957,'Monthly Deduction'!$H$3:$H$957),0)</f>
        <v>0</v>
      </c>
      <c r="G592" s="123" t="str">
        <f>VLOOKUP(D592,'MPG Payment '!$E$3:$G$334579,3,0)</f>
        <v>vlc</v>
      </c>
      <c r="H592" s="124" t="str">
        <f>VLOOKUP(D592,'MPG Payment '!$E$3:$H$334579,4,0)</f>
        <v>Indirect</v>
      </c>
      <c r="I592" s="88">
        <f>INDEX('MPG Payment '!$C:$C,MATCH('Shayak Income '!D592,'MPG Payment '!E:E,0))</f>
        <v>1054</v>
      </c>
      <c r="J592" s="88" t="str">
        <f>INDEX('MPG Payment '!$D:$D,MATCH('Shayak Income '!D592,'MPG Payment '!E:E,0))</f>
        <v xml:space="preserve">Alauli </v>
      </c>
      <c r="K592" s="125" t="s">
        <v>1322</v>
      </c>
      <c r="L592" s="125">
        <v>45849</v>
      </c>
      <c r="M592" s="126">
        <f>SUMIF('MPG Payment '!$E$3:$E$34579,'Shayak Income '!D592,'MPG Payment '!$I$3:$I$34579)</f>
        <v>274.89999999999998</v>
      </c>
      <c r="N592" s="126">
        <f>SUMIF('MPG Payment '!$E$3:$E$34579,'Shayak Income '!D592,'MPG Payment '!$J$3:$J$34579)</f>
        <v>11019.4515130665</v>
      </c>
      <c r="O592" s="126">
        <f t="shared" si="175"/>
        <v>206.17499999999998</v>
      </c>
      <c r="P592" s="126">
        <f t="shared" si="176"/>
        <v>261.15499999999997</v>
      </c>
      <c r="Q592" s="126">
        <f>SUMIF('MPG Payment '!$E$3:$E$34579,'Shayak Income '!D592,'MPG Payment '!$S$3:$S$34579)</f>
        <v>0</v>
      </c>
      <c r="R592" s="126">
        <f t="shared" si="167"/>
        <v>330.58354539199502</v>
      </c>
      <c r="S592" s="126">
        <f t="shared" si="168"/>
        <v>69.428545391995044</v>
      </c>
      <c r="T592" s="126">
        <f t="shared" si="177"/>
        <v>27.49</v>
      </c>
      <c r="U592" s="127">
        <f>(((IF(K592="New",0,SUMIF('MPG Payment '!$E$3:$E$34579,'Shayak Income '!D592,'MPG Payment '!$AC$3:$AC$34579))))+0)+-1584</f>
        <v>439.40782169197928</v>
      </c>
      <c r="V592" s="127">
        <f t="shared" si="178"/>
        <v>0</v>
      </c>
      <c r="W592" s="19">
        <v>0</v>
      </c>
      <c r="X592" s="19">
        <v>0</v>
      </c>
      <c r="Y592" s="128">
        <f>IFERROR(VLOOKUP(D592,'Monthly Deduction'!$M$2:$N$64,2,0),0)</f>
        <v>0</v>
      </c>
      <c r="Z592" s="128">
        <v>0</v>
      </c>
      <c r="AA592" s="126">
        <f>IFERROR(VLOOKUP(D592,'Monthly Deduction'!A:B,2,0),0)</f>
        <v>0</v>
      </c>
      <c r="AB592" s="129">
        <f t="shared" si="169"/>
        <v>0</v>
      </c>
      <c r="AC592" s="130">
        <v>0</v>
      </c>
      <c r="AD592" s="35">
        <f t="shared" si="181"/>
        <v>0</v>
      </c>
      <c r="AE592" s="166" t="str">
        <f t="shared" si="182"/>
        <v>Release</v>
      </c>
      <c r="AF592" s="127"/>
      <c r="AG592" s="127">
        <v>0</v>
      </c>
      <c r="AH592" s="120"/>
      <c r="AI592" s="238">
        <v>0</v>
      </c>
      <c r="AJ592" s="132"/>
      <c r="AK592" s="151">
        <v>62.4</v>
      </c>
      <c r="AL592" s="154">
        <f t="shared" si="170"/>
        <v>0</v>
      </c>
      <c r="AM592" s="155"/>
      <c r="AN592" s="19">
        <f t="shared" si="171"/>
        <v>0</v>
      </c>
      <c r="AO592" s="118">
        <f>SUMIF('MPG Payment '!E:E,'Shayak Income '!D592,'MPG Payment '!AJ:AJ)</f>
        <v>0</v>
      </c>
      <c r="AP592" s="19">
        <f t="shared" si="172"/>
        <v>0</v>
      </c>
      <c r="AQ592" s="119">
        <f t="shared" si="183"/>
        <v>0</v>
      </c>
      <c r="AR592" s="91" t="s">
        <v>1168</v>
      </c>
      <c r="AS592" s="91">
        <f t="shared" si="173"/>
        <v>0</v>
      </c>
      <c r="AT592" s="118"/>
      <c r="AU592" s="118"/>
      <c r="AV592" s="118"/>
    </row>
    <row r="593" spans="1:48" s="20" customFormat="1" x14ac:dyDescent="0.25">
      <c r="A593" s="17">
        <f>IFERROR(VLOOKUP(D593,'Monthly Deduction'!$I$3:$J$957,2,0),0)</f>
        <v>75035.622774293908</v>
      </c>
      <c r="B593" s="17">
        <f>IFERROR(VLOOKUP(D593,'Monthly Deduction'!$E$3:$F$957,2,0),0)</f>
        <v>12075</v>
      </c>
      <c r="C593" s="17">
        <f t="shared" si="174"/>
        <v>87110.622774293908</v>
      </c>
      <c r="D593" s="41">
        <v>10540016</v>
      </c>
      <c r="E593" s="122" t="str">
        <f>VLOOKUP(D593,'MPG Payment '!$E$3:$G$498218,2,0)</f>
        <v>GOMUKH BENHER</v>
      </c>
      <c r="F593" s="146">
        <f>IFERROR(_xlfn.XLOOKUP(D593,'Monthly Deduction'!$I$3:$I$957,'Monthly Deduction'!$H$3:$H$957),0)</f>
        <v>0</v>
      </c>
      <c r="G593" s="123" t="str">
        <f>VLOOKUP(D593,'MPG Payment '!$E$3:$G$334579,3,0)</f>
        <v>MPG</v>
      </c>
      <c r="H593" s="124" t="str">
        <f>VLOOKUP(D593,'MPG Payment '!$E$3:$H$334579,4,0)</f>
        <v>Direct</v>
      </c>
      <c r="I593" s="88">
        <f>INDEX('MPG Payment '!$C:$C,MATCH('Shayak Income '!D593,'MPG Payment '!E:E,0))</f>
        <v>1054</v>
      </c>
      <c r="J593" s="88" t="str">
        <f>INDEX('MPG Payment '!$D:$D,MATCH('Shayak Income '!D593,'MPG Payment '!E:E,0))</f>
        <v xml:space="preserve">Alauli </v>
      </c>
      <c r="K593" s="125" t="s">
        <v>1322</v>
      </c>
      <c r="L593" s="125">
        <v>45869</v>
      </c>
      <c r="M593" s="126">
        <f>SUMIF('MPG Payment '!$E$3:$E$34579,'Shayak Income '!D593,'MPG Payment '!$I$3:$I$34579)</f>
        <v>1271.2000000000003</v>
      </c>
      <c r="N593" s="126">
        <f>SUMIF('MPG Payment '!$E$3:$E$34579,'Shayak Income '!D593,'MPG Payment '!$J$3:$J$34579)</f>
        <v>67429.717667389195</v>
      </c>
      <c r="O593" s="126">
        <f t="shared" si="175"/>
        <v>953.4000000000002</v>
      </c>
      <c r="P593" s="126">
        <f t="shared" si="176"/>
        <v>1207.6400000000001</v>
      </c>
      <c r="Q593" s="126">
        <f>SUMIF('MPG Payment '!$E$3:$E$34579,'Shayak Income '!D593,'MPG Payment '!$S$3:$S$34579)</f>
        <v>210.44027198785804</v>
      </c>
      <c r="R593" s="126">
        <f t="shared" si="167"/>
        <v>2022.8915300216759</v>
      </c>
      <c r="S593" s="126">
        <f t="shared" si="168"/>
        <v>815.25153002167576</v>
      </c>
      <c r="T593" s="126">
        <f t="shared" si="177"/>
        <v>127.12000000000003</v>
      </c>
      <c r="U593" s="127">
        <f>(((IF(K593="New",0,SUMIF('MPG Payment '!$E$3:$E$34579,'Shayak Income '!D593,'MPG Payment '!$AC$3:$AC$34579))))+0)+0</f>
        <v>1618.4180518812384</v>
      </c>
      <c r="V593" s="127">
        <f t="shared" si="178"/>
        <v>626</v>
      </c>
      <c r="W593" s="19">
        <v>626</v>
      </c>
      <c r="X593" s="19">
        <v>0</v>
      </c>
      <c r="Y593" s="128">
        <f>IFERROR(VLOOKUP(D593,'Monthly Deduction'!$M$2:$N$64,2,0),0)</f>
        <v>0</v>
      </c>
      <c r="Z593" s="128">
        <v>0</v>
      </c>
      <c r="AA593" s="126">
        <f>IFERROR(VLOOKUP(D593,'Monthly Deduction'!A:B,2,0),0)</f>
        <v>0</v>
      </c>
      <c r="AB593" s="129">
        <f t="shared" si="169"/>
        <v>0</v>
      </c>
      <c r="AC593" s="130">
        <v>0</v>
      </c>
      <c r="AD593" s="35">
        <f t="shared" si="181"/>
        <v>0</v>
      </c>
      <c r="AE593" s="166" t="str">
        <f t="shared" si="182"/>
        <v>Release</v>
      </c>
      <c r="AF593" s="127"/>
      <c r="AG593" s="18">
        <v>0</v>
      </c>
      <c r="AH593" s="120"/>
      <c r="AI593" s="238">
        <v>0</v>
      </c>
      <c r="AJ593" s="132"/>
      <c r="AK593" s="151">
        <v>398.3</v>
      </c>
      <c r="AL593" s="154">
        <f t="shared" si="170"/>
        <v>0</v>
      </c>
      <c r="AM593" s="155"/>
      <c r="AN593" s="19">
        <f t="shared" si="171"/>
        <v>1861</v>
      </c>
      <c r="AO593" s="118">
        <f>SUMIF('MPG Payment '!E:E,'Shayak Income '!D593,'MPG Payment '!AJ:AJ)</f>
        <v>0</v>
      </c>
      <c r="AP593" s="19">
        <f t="shared" si="172"/>
        <v>626</v>
      </c>
      <c r="AQ593" s="119">
        <f t="shared" si="183"/>
        <v>626</v>
      </c>
      <c r="AR593" s="91" t="s">
        <v>1168</v>
      </c>
      <c r="AS593" s="91">
        <f t="shared" si="173"/>
        <v>12075</v>
      </c>
      <c r="AT593" s="118"/>
      <c r="AU593" s="118"/>
      <c r="AV593" s="118"/>
    </row>
    <row r="594" spans="1:48" s="20" customFormat="1" x14ac:dyDescent="0.25">
      <c r="A594" s="17">
        <f>IFERROR(VLOOKUP(D594,'Monthly Deduction'!$I$3:$J$957,2,0),0)</f>
        <v>75896.888399999996</v>
      </c>
      <c r="B594" s="17">
        <f>IFERROR(VLOOKUP(D594,'Monthly Deduction'!$E$3:$F$957,2,0),0)</f>
        <v>10691</v>
      </c>
      <c r="C594" s="17">
        <f t="shared" si="174"/>
        <v>86587.888399999996</v>
      </c>
      <c r="D594" s="41">
        <v>10540017</v>
      </c>
      <c r="E594" s="122" t="str">
        <f>VLOOKUP(D594,'MPG Payment '!$E$3:$G$498218,2,0)</f>
        <v>GOMUKH LADORA</v>
      </c>
      <c r="F594" s="146">
        <f>IFERROR(_xlfn.XLOOKUP(D594,'Monthly Deduction'!$I$3:$I$957,'Monthly Deduction'!$H$3:$H$957),0)</f>
        <v>0</v>
      </c>
      <c r="G594" s="123" t="str">
        <f>VLOOKUP(D594,'MPG Payment '!$E$3:$G$334579,3,0)</f>
        <v>MPG</v>
      </c>
      <c r="H594" s="124" t="str">
        <f>VLOOKUP(D594,'MPG Payment '!$E$3:$H$334579,4,0)</f>
        <v>Direct</v>
      </c>
      <c r="I594" s="88">
        <f>INDEX('MPG Payment '!$C:$C,MATCH('Shayak Income '!D594,'MPG Payment '!E:E,0))</f>
        <v>1054</v>
      </c>
      <c r="J594" s="88" t="str">
        <f>INDEX('MPG Payment '!$D:$D,MATCH('Shayak Income '!D594,'MPG Payment '!E:E,0))</f>
        <v xml:space="preserve">Alauli </v>
      </c>
      <c r="K594" s="125" t="s">
        <v>1322</v>
      </c>
      <c r="L594" s="125">
        <v>45869</v>
      </c>
      <c r="M594" s="126">
        <f>SUMIF('MPG Payment '!$E$3:$E$34579,'Shayak Income '!D594,'MPG Payment '!$I$3:$I$34579)</f>
        <v>3354.56</v>
      </c>
      <c r="N594" s="126">
        <f>SUMIF('MPG Payment '!$E$3:$E$34579,'Shayak Income '!D594,'MPG Payment '!$J$3:$J$34579)</f>
        <v>125829.96675671099</v>
      </c>
      <c r="O594" s="126">
        <f t="shared" si="175"/>
        <v>2515.92</v>
      </c>
      <c r="P594" s="126">
        <f t="shared" si="176"/>
        <v>3186.8319999999999</v>
      </c>
      <c r="Q594" s="126">
        <f>SUMIF('MPG Payment '!$E$3:$E$34579,'Shayak Income '!D594,'MPG Payment '!$S$3:$S$34579)</f>
        <v>0</v>
      </c>
      <c r="R594" s="126">
        <f t="shared" si="167"/>
        <v>3774.8990027013297</v>
      </c>
      <c r="S594" s="126">
        <f t="shared" si="168"/>
        <v>588.06700270132978</v>
      </c>
      <c r="T594" s="126">
        <f t="shared" si="177"/>
        <v>335.45600000000002</v>
      </c>
      <c r="U594" s="127">
        <f>(((IF(K594="New",0,SUMIF('MPG Payment '!$E$3:$E$34579,'Shayak Income '!D594,'MPG Payment '!$AC$3:$AC$34579))))+0)+0</f>
        <v>0</v>
      </c>
      <c r="V594" s="127">
        <f t="shared" si="178"/>
        <v>5367</v>
      </c>
      <c r="W594" s="19">
        <f t="shared" si="179"/>
        <v>2516.5993351342199</v>
      </c>
      <c r="X594" s="19">
        <v>0</v>
      </c>
      <c r="Y594" s="128">
        <f>IFERROR(VLOOKUP(D594,'Monthly Deduction'!$M$2:$N$64,2,0),0)</f>
        <v>0</v>
      </c>
      <c r="Z594" s="128">
        <v>0</v>
      </c>
      <c r="AA594" s="126">
        <f>IFERROR(VLOOKUP(D594,'Monthly Deduction'!A:B,2,0),0)</f>
        <v>0</v>
      </c>
      <c r="AB594" s="129">
        <f t="shared" si="169"/>
        <v>2850</v>
      </c>
      <c r="AC594" s="130">
        <v>0</v>
      </c>
      <c r="AD594" s="35">
        <f t="shared" si="181"/>
        <v>2850</v>
      </c>
      <c r="AE594" s="166" t="str">
        <f t="shared" si="182"/>
        <v>Release</v>
      </c>
      <c r="AF594" s="127"/>
      <c r="AG594" s="18">
        <v>0</v>
      </c>
      <c r="AH594" s="120"/>
      <c r="AI594" s="238">
        <v>0</v>
      </c>
      <c r="AJ594" s="132"/>
      <c r="AK594" s="151">
        <v>1061.1999999999998</v>
      </c>
      <c r="AL594" s="154">
        <f t="shared" si="170"/>
        <v>0</v>
      </c>
      <c r="AM594" s="155"/>
      <c r="AN594" s="19">
        <f t="shared" si="171"/>
        <v>2516.5993351342199</v>
      </c>
      <c r="AO594" s="118">
        <f>SUMIF('MPG Payment '!E:E,'Shayak Income '!D594,'MPG Payment '!AJ:AJ)</f>
        <v>0</v>
      </c>
      <c r="AP594" s="19">
        <f t="shared" si="172"/>
        <v>2516.5993351342199</v>
      </c>
      <c r="AQ594" s="119">
        <f t="shared" si="183"/>
        <v>2516.5993351342199</v>
      </c>
      <c r="AR594" s="91" t="s">
        <v>1168</v>
      </c>
      <c r="AS594" s="91">
        <f t="shared" si="173"/>
        <v>10691</v>
      </c>
      <c r="AT594" s="118"/>
      <c r="AU594" s="118"/>
      <c r="AV594" s="118"/>
    </row>
    <row r="595" spans="1:48" s="20" customFormat="1" x14ac:dyDescent="0.25">
      <c r="A595" s="17">
        <f>IFERROR(VLOOKUP(D595,'Monthly Deduction'!$I$3:$J$957,2,0),0)</f>
        <v>80500</v>
      </c>
      <c r="B595" s="17">
        <f>IFERROR(VLOOKUP(D595,'Monthly Deduction'!$E$3:$F$957,2,0),0)</f>
        <v>6400</v>
      </c>
      <c r="C595" s="17">
        <f t="shared" si="174"/>
        <v>86900</v>
      </c>
      <c r="D595" s="41">
        <v>10540018</v>
      </c>
      <c r="E595" s="122" t="str">
        <f>VLOOKUP(D595,'MPG Payment '!$E$3:$G$498218,2,0)</f>
        <v>GOMUKH SAHSI</v>
      </c>
      <c r="F595" s="146">
        <f>IFERROR(_xlfn.XLOOKUP(D595,'Monthly Deduction'!$I$3:$I$957,'Monthly Deduction'!$H$3:$H$957),0)</f>
        <v>0</v>
      </c>
      <c r="G595" s="123" t="str">
        <f>VLOOKUP(D595,'MPG Payment '!$E$3:$G$334579,3,0)</f>
        <v>MPG</v>
      </c>
      <c r="H595" s="124" t="str">
        <f>VLOOKUP(D595,'MPG Payment '!$E$3:$H$334579,4,0)</f>
        <v>Direct</v>
      </c>
      <c r="I595" s="88">
        <f>INDEX('MPG Payment '!$C:$C,MATCH('Shayak Income '!D595,'MPG Payment '!E:E,0))</f>
        <v>1054</v>
      </c>
      <c r="J595" s="88" t="str">
        <f>INDEX('MPG Payment '!$D:$D,MATCH('Shayak Income '!D595,'MPG Payment '!E:E,0))</f>
        <v xml:space="preserve">Alauli </v>
      </c>
      <c r="K595" s="125" t="s">
        <v>1322</v>
      </c>
      <c r="L595" s="125">
        <v>45869</v>
      </c>
      <c r="M595" s="126">
        <f>SUMIF('MPG Payment '!$E$3:$E$34579,'Shayak Income '!D595,'MPG Payment '!$I$3:$I$34579)</f>
        <v>720.57999999999993</v>
      </c>
      <c r="N595" s="126">
        <f>SUMIF('MPG Payment '!$E$3:$E$34579,'Shayak Income '!D595,'MPG Payment '!$J$3:$J$34579)</f>
        <v>31888.741232821201</v>
      </c>
      <c r="O595" s="126">
        <f t="shared" si="175"/>
        <v>540.43499999999995</v>
      </c>
      <c r="P595" s="126">
        <f t="shared" si="176"/>
        <v>684.55099999999993</v>
      </c>
      <c r="Q595" s="126">
        <f>SUMIF('MPG Payment '!$E$3:$E$34579,'Shayak Income '!D595,'MPG Payment '!$S$3:$S$34579)</f>
        <v>0</v>
      </c>
      <c r="R595" s="126">
        <f t="shared" si="167"/>
        <v>956.66223698463602</v>
      </c>
      <c r="S595" s="126">
        <f t="shared" si="168"/>
        <v>272.11123698463609</v>
      </c>
      <c r="T595" s="126">
        <f t="shared" si="177"/>
        <v>72.057999999999993</v>
      </c>
      <c r="U595" s="127">
        <f>(((IF(K595="New",0,SUMIF('MPG Payment '!$E$3:$E$34579,'Shayak Income '!D595,'MPG Payment '!$AC$3:$AC$34579))))+0)+-688</f>
        <v>1152.5644745312466</v>
      </c>
      <c r="V595" s="127">
        <f t="shared" si="178"/>
        <v>0</v>
      </c>
      <c r="W595" s="19">
        <v>0</v>
      </c>
      <c r="X595" s="19">
        <v>0</v>
      </c>
      <c r="Y595" s="128">
        <v>0</v>
      </c>
      <c r="Z595" s="128">
        <v>0</v>
      </c>
      <c r="AA595" s="126">
        <v>0</v>
      </c>
      <c r="AB595" s="129">
        <f t="shared" si="169"/>
        <v>0</v>
      </c>
      <c r="AC595" s="130">
        <v>0</v>
      </c>
      <c r="AD595" s="35">
        <f t="shared" si="181"/>
        <v>0</v>
      </c>
      <c r="AE595" s="166" t="str">
        <f t="shared" si="182"/>
        <v>Release</v>
      </c>
      <c r="AF595" s="127"/>
      <c r="AG595" s="18">
        <v>0</v>
      </c>
      <c r="AH595" s="120"/>
      <c r="AI595" s="238">
        <v>0</v>
      </c>
      <c r="AJ595" s="132"/>
      <c r="AK595" s="151">
        <v>276.60000000000002</v>
      </c>
      <c r="AL595" s="154">
        <f t="shared" si="170"/>
        <v>0</v>
      </c>
      <c r="AM595" s="155"/>
      <c r="AN595" s="19">
        <f t="shared" si="171"/>
        <v>1861</v>
      </c>
      <c r="AO595" s="118">
        <f>SUMIF('MPG Payment '!E:E,'Shayak Income '!D595,'MPG Payment '!AJ:AJ)</f>
        <v>500</v>
      </c>
      <c r="AP595" s="19">
        <f t="shared" si="172"/>
        <v>0</v>
      </c>
      <c r="AQ595" s="119">
        <f t="shared" si="183"/>
        <v>500</v>
      </c>
      <c r="AR595" s="91" t="s">
        <v>1168</v>
      </c>
      <c r="AS595" s="91">
        <f t="shared" si="173"/>
        <v>6400</v>
      </c>
      <c r="AT595" s="118"/>
      <c r="AU595" s="118"/>
      <c r="AV595" s="118"/>
    </row>
    <row r="596" spans="1:48" s="20" customFormat="1" x14ac:dyDescent="0.25">
      <c r="A596" s="17">
        <f>IFERROR(VLOOKUP(D596,'Monthly Deduction'!$I$3:$J$957,2,0),0)</f>
        <v>81952</v>
      </c>
      <c r="B596" s="17">
        <f>IFERROR(VLOOKUP(D596,'Monthly Deduction'!$E$3:$F$957,2,0),0)</f>
        <v>9600</v>
      </c>
      <c r="C596" s="17">
        <f t="shared" si="174"/>
        <v>91552</v>
      </c>
      <c r="D596" s="41">
        <v>10540020</v>
      </c>
      <c r="E596" s="122" t="str">
        <f>VLOOKUP(D596,'MPG Payment '!$E$3:$G$498218,2,0)</f>
        <v>GOMUKH BUDWA</v>
      </c>
      <c r="F596" s="146">
        <f>IFERROR(_xlfn.XLOOKUP(D596,'Monthly Deduction'!$I$3:$I$957,'Monthly Deduction'!$H$3:$H$957),0)</f>
        <v>0</v>
      </c>
      <c r="G596" s="123" t="str">
        <f>VLOOKUP(D596,'MPG Payment '!$E$3:$G$334579,3,0)</f>
        <v>MPG</v>
      </c>
      <c r="H596" s="124" t="str">
        <f>VLOOKUP(D596,'MPG Payment '!$E$3:$H$334579,4,0)</f>
        <v>Direct</v>
      </c>
      <c r="I596" s="88">
        <f>INDEX('MPG Payment '!$C:$C,MATCH('Shayak Income '!D596,'MPG Payment '!E:E,0))</f>
        <v>1054</v>
      </c>
      <c r="J596" s="88" t="str">
        <f>INDEX('MPG Payment '!$D:$D,MATCH('Shayak Income '!D596,'MPG Payment '!E:E,0))</f>
        <v xml:space="preserve">Alauli </v>
      </c>
      <c r="K596" s="125" t="s">
        <v>1322</v>
      </c>
      <c r="L596" s="125">
        <v>45869</v>
      </c>
      <c r="M596" s="126">
        <f>SUMIF('MPG Payment '!$E$3:$E$34579,'Shayak Income '!D596,'MPG Payment '!$I$3:$I$34579)</f>
        <v>444.04</v>
      </c>
      <c r="N596" s="126">
        <f>SUMIF('MPG Payment '!$E$3:$E$34579,'Shayak Income '!D596,'MPG Payment '!$J$3:$J$34579)</f>
        <v>16049.96418012</v>
      </c>
      <c r="O596" s="126">
        <f t="shared" si="175"/>
        <v>333.03000000000003</v>
      </c>
      <c r="P596" s="126">
        <f t="shared" si="176"/>
        <v>421.83800000000002</v>
      </c>
      <c r="Q596" s="126">
        <f>SUMIF('MPG Payment '!$E$3:$E$34579,'Shayak Income '!D596,'MPG Payment '!$S$3:$S$34579)</f>
        <v>0</v>
      </c>
      <c r="R596" s="126">
        <f t="shared" si="167"/>
        <v>481.49892540359997</v>
      </c>
      <c r="S596" s="126">
        <f t="shared" si="168"/>
        <v>59.660925403599947</v>
      </c>
      <c r="T596" s="126">
        <f t="shared" si="177"/>
        <v>44.404000000000003</v>
      </c>
      <c r="U596" s="127">
        <f>(((IF(K596="New",0,SUMIF('MPG Payment '!$E$3:$E$34579,'Shayak Income '!D596,'MPG Payment '!$AC$3:$AC$34579))))+0)+-995</f>
        <v>710.78626278518823</v>
      </c>
      <c r="V596" s="127">
        <f t="shared" si="178"/>
        <v>0</v>
      </c>
      <c r="W596" s="19">
        <v>0</v>
      </c>
      <c r="X596" s="19">
        <v>0</v>
      </c>
      <c r="Y596" s="128">
        <f>IFERROR(VLOOKUP(D596,'Monthly Deduction'!$M$2:$N$64,2,0),0)</f>
        <v>0</v>
      </c>
      <c r="Z596" s="128">
        <v>0</v>
      </c>
      <c r="AA596" s="126">
        <f>IFERROR(VLOOKUP(D596,'Monthly Deduction'!A:B,2,0),0)</f>
        <v>0</v>
      </c>
      <c r="AB596" s="129">
        <f t="shared" si="169"/>
        <v>0</v>
      </c>
      <c r="AC596" s="130">
        <v>0</v>
      </c>
      <c r="AD596" s="35">
        <f t="shared" si="181"/>
        <v>0</v>
      </c>
      <c r="AE596" s="166" t="str">
        <f t="shared" si="182"/>
        <v>Release</v>
      </c>
      <c r="AF596" s="127"/>
      <c r="AG596" s="18">
        <v>0</v>
      </c>
      <c r="AH596" s="120"/>
      <c r="AI596" s="238">
        <v>0</v>
      </c>
      <c r="AJ596" s="132"/>
      <c r="AK596" s="151">
        <v>107.30000000000003</v>
      </c>
      <c r="AL596" s="154">
        <f t="shared" si="170"/>
        <v>0</v>
      </c>
      <c r="AM596" s="155"/>
      <c r="AN596" s="19">
        <f t="shared" si="171"/>
        <v>1861</v>
      </c>
      <c r="AO596" s="118">
        <f>SUMIF('MPG Payment '!E:E,'Shayak Income '!D596,'MPG Payment '!AJ:AJ)</f>
        <v>500</v>
      </c>
      <c r="AP596" s="19">
        <f t="shared" si="172"/>
        <v>0</v>
      </c>
      <c r="AQ596" s="119">
        <f t="shared" si="183"/>
        <v>500</v>
      </c>
      <c r="AR596" s="91" t="s">
        <v>1168</v>
      </c>
      <c r="AS596" s="91">
        <f t="shared" si="173"/>
        <v>9600</v>
      </c>
      <c r="AT596" s="118"/>
      <c r="AU596" s="118"/>
      <c r="AV596" s="118"/>
    </row>
    <row r="597" spans="1:48" s="20" customFormat="1" x14ac:dyDescent="0.25">
      <c r="A597" s="17">
        <f>IFERROR(VLOOKUP(D597,'Monthly Deduction'!$I$3:$J$957,2,0),0)</f>
        <v>0</v>
      </c>
      <c r="B597" s="17">
        <f>IFERROR(VLOOKUP(D597,'Monthly Deduction'!$E$3:$F$957,2,0),0)</f>
        <v>1931.0990000000002</v>
      </c>
      <c r="C597" s="17">
        <f t="shared" si="174"/>
        <v>1931.0990000000002</v>
      </c>
      <c r="D597" s="41">
        <v>10540021</v>
      </c>
      <c r="E597" s="122" t="str">
        <f>VLOOKUP(D597,'MPG Payment '!$E$3:$G$498218,2,0)</f>
        <v>GOMUKH GANGIYA</v>
      </c>
      <c r="F597" s="146">
        <f>IFERROR(_xlfn.XLOOKUP(D597,'Monthly Deduction'!$I$3:$I$957,'Monthly Deduction'!$H$3:$H$957),0)</f>
        <v>0</v>
      </c>
      <c r="G597" s="123" t="str">
        <f>VLOOKUP(D597,'MPG Payment '!$E$3:$G$334579,3,0)</f>
        <v>MPG</v>
      </c>
      <c r="H597" s="124" t="str">
        <f>VLOOKUP(D597,'MPG Payment '!$E$3:$H$334579,4,0)</f>
        <v>Indirect</v>
      </c>
      <c r="I597" s="88">
        <f>INDEX('MPG Payment '!$C:$C,MATCH('Shayak Income '!D597,'MPG Payment '!E:E,0))</f>
        <v>1054</v>
      </c>
      <c r="J597" s="88" t="str">
        <f>INDEX('MPG Payment '!$D:$D,MATCH('Shayak Income '!D597,'MPG Payment '!E:E,0))</f>
        <v xml:space="preserve">Alauli </v>
      </c>
      <c r="K597" s="125" t="s">
        <v>1322</v>
      </c>
      <c r="L597" s="125">
        <v>45869</v>
      </c>
      <c r="M597" s="126">
        <f>SUMIF('MPG Payment '!$E$3:$E$34579,'Shayak Income '!D597,'MPG Payment '!$I$3:$I$34579)</f>
        <v>1966.9</v>
      </c>
      <c r="N597" s="126">
        <f>SUMIF('MPG Payment '!$E$3:$E$34579,'Shayak Income '!D597,'MPG Payment '!$J$3:$J$34579)</f>
        <v>71443.205968839</v>
      </c>
      <c r="O597" s="126">
        <f t="shared" si="175"/>
        <v>1475.1750000000002</v>
      </c>
      <c r="P597" s="126">
        <f t="shared" si="176"/>
        <v>1868.5550000000001</v>
      </c>
      <c r="Q597" s="126">
        <f>SUMIF('MPG Payment '!$E$3:$E$34579,'Shayak Income '!D597,'MPG Payment '!$S$3:$S$34579)</f>
        <v>0</v>
      </c>
      <c r="R597" s="126">
        <f t="shared" si="167"/>
        <v>2143.2961790651698</v>
      </c>
      <c r="S597" s="126">
        <f t="shared" si="168"/>
        <v>274.74117906516972</v>
      </c>
      <c r="T597" s="126">
        <f t="shared" si="177"/>
        <v>196.69000000000003</v>
      </c>
      <c r="U597" s="127">
        <f>(((IF(K597="New",0,SUMIF('MPG Payment '!$E$3:$E$34579,'Shayak Income '!D597,'MPG Payment '!$AC$3:$AC$34579))))+0)+0</f>
        <v>604.03745316580921</v>
      </c>
      <c r="V597" s="127">
        <f t="shared" si="178"/>
        <v>2543</v>
      </c>
      <c r="W597" s="19">
        <f t="shared" si="179"/>
        <v>0</v>
      </c>
      <c r="X597" s="19">
        <f t="shared" si="180"/>
        <v>1428.8641193767801</v>
      </c>
      <c r="Y597" s="128">
        <f>IFERROR(VLOOKUP(D597,'Monthly Deduction'!$M$2:$N$64,2,0),0)</f>
        <v>0</v>
      </c>
      <c r="Z597" s="128">
        <v>0</v>
      </c>
      <c r="AA597" s="126">
        <f>IFERROR(VLOOKUP(D597,'Monthly Deduction'!A:B,2,0),0)</f>
        <v>0</v>
      </c>
      <c r="AB597" s="129">
        <f t="shared" si="169"/>
        <v>1114</v>
      </c>
      <c r="AC597" s="130">
        <v>0</v>
      </c>
      <c r="AD597" s="35">
        <f t="shared" si="181"/>
        <v>1114</v>
      </c>
      <c r="AE597" s="166" t="str">
        <f t="shared" si="182"/>
        <v>Release</v>
      </c>
      <c r="AF597" s="127"/>
      <c r="AG597" s="18">
        <v>0</v>
      </c>
      <c r="AH597" s="132"/>
      <c r="AI597" s="238">
        <v>0</v>
      </c>
      <c r="AJ597" s="132"/>
      <c r="AK597" s="151">
        <v>427.9</v>
      </c>
      <c r="AL597" s="154">
        <f t="shared" si="170"/>
        <v>0</v>
      </c>
      <c r="AM597" s="155"/>
      <c r="AN597" s="19">
        <f t="shared" si="171"/>
        <v>0</v>
      </c>
      <c r="AO597" s="118">
        <f>SUMIF('MPG Payment '!E:E,'Shayak Income '!D597,'MPG Payment '!AJ:AJ)</f>
        <v>0</v>
      </c>
      <c r="AP597" s="19">
        <f t="shared" si="172"/>
        <v>0</v>
      </c>
      <c r="AQ597" s="119">
        <f t="shared" si="183"/>
        <v>0</v>
      </c>
      <c r="AR597" s="91" t="s">
        <v>1168</v>
      </c>
      <c r="AS597" s="91">
        <f t="shared" si="173"/>
        <v>502.23488062322008</v>
      </c>
      <c r="AT597" s="118"/>
      <c r="AU597" s="118"/>
      <c r="AV597" s="118"/>
    </row>
    <row r="598" spans="1:48" s="20" customFormat="1" x14ac:dyDescent="0.25">
      <c r="A598" s="17">
        <f>IFERROR(VLOOKUP(D598,'Monthly Deduction'!$I$3:$J$957,2,0),0)</f>
        <v>0</v>
      </c>
      <c r="B598" s="17">
        <f>IFERROR(VLOOKUP(D598,'Monthly Deduction'!$E$3:$F$957,2,0),0)</f>
        <v>0</v>
      </c>
      <c r="C598" s="17">
        <f t="shared" si="174"/>
        <v>0</v>
      </c>
      <c r="D598" s="41">
        <v>10560001</v>
      </c>
      <c r="E598" s="122" t="str">
        <f>VLOOKUP(D598,'MPG Payment '!$E$3:$G$498218,2,0)</f>
        <v>Gomukh Chautham(Mithun Kumar VLC)</v>
      </c>
      <c r="F598" s="146">
        <f>IFERROR(_xlfn.XLOOKUP(D598,'Monthly Deduction'!$I$3:$I$957,'Monthly Deduction'!$H$3:$H$957),0)</f>
        <v>0</v>
      </c>
      <c r="G598" s="123" t="str">
        <f>VLOOKUP(D598,'MPG Payment '!$E$3:$G$334579,3,0)</f>
        <v>vlc</v>
      </c>
      <c r="H598" s="124" t="str">
        <f>VLOOKUP(D598,'MPG Payment '!$E$3:$H$334579,4,0)</f>
        <v>Indirect</v>
      </c>
      <c r="I598" s="88">
        <f>INDEX('MPG Payment '!$C:$C,MATCH('Shayak Income '!D598,'MPG Payment '!E:E,0))</f>
        <v>1056</v>
      </c>
      <c r="J598" s="88" t="str">
        <f>INDEX('MPG Payment '!$D:$D,MATCH('Shayak Income '!D598,'MPG Payment '!E:E,0))</f>
        <v>Chautham</v>
      </c>
      <c r="K598" s="125" t="s">
        <v>1322</v>
      </c>
      <c r="L598" s="125">
        <v>45828</v>
      </c>
      <c r="M598" s="126">
        <f>SUMIF('MPG Payment '!$E$3:$E$34579,'Shayak Income '!D598,'MPG Payment '!$I$3:$I$34579)</f>
        <v>6136.2199999999993</v>
      </c>
      <c r="N598" s="126">
        <f>SUMIF('MPG Payment '!$E$3:$E$34579,'Shayak Income '!D598,'MPG Payment '!$J$3:$J$34579)</f>
        <v>238842.60083656199</v>
      </c>
      <c r="O598" s="126">
        <f t="shared" si="175"/>
        <v>4602.1649999999991</v>
      </c>
      <c r="P598" s="126">
        <f t="shared" si="176"/>
        <v>5829.4089999999987</v>
      </c>
      <c r="Q598" s="126">
        <f>SUMIF('MPG Payment '!$E$3:$E$34579,'Shayak Income '!D598,'MPG Payment '!$S$3:$S$34579)</f>
        <v>0</v>
      </c>
      <c r="R598" s="126">
        <f t="shared" si="167"/>
        <v>7165.2780250968599</v>
      </c>
      <c r="S598" s="126">
        <f t="shared" si="168"/>
        <v>1335.8690250968612</v>
      </c>
      <c r="T598" s="126">
        <f t="shared" si="177"/>
        <v>613.62199999999996</v>
      </c>
      <c r="U598" s="127">
        <f>(((IF(K598="New",0,SUMIF('MPG Payment '!$E$3:$E$34579,'Shayak Income '!D598,'MPG Payment '!$AC$3:$AC$34579))))+0)+0</f>
        <v>0</v>
      </c>
      <c r="V598" s="127">
        <f t="shared" si="178"/>
        <v>9818</v>
      </c>
      <c r="W598" s="19">
        <f t="shared" si="179"/>
        <v>0</v>
      </c>
      <c r="X598" s="19">
        <f t="shared" si="180"/>
        <v>0</v>
      </c>
      <c r="Y598" s="128">
        <f>IFERROR(VLOOKUP(D598,'Monthly Deduction'!$M$2:$N$64,2,0),0)</f>
        <v>0</v>
      </c>
      <c r="Z598" s="128">
        <v>0</v>
      </c>
      <c r="AA598" s="126">
        <f>IFERROR(VLOOKUP(D598,'Monthly Deduction'!A:B,2,0),0)</f>
        <v>2920.4999999999995</v>
      </c>
      <c r="AB598" s="129">
        <f t="shared" si="169"/>
        <v>6898</v>
      </c>
      <c r="AC598" s="130">
        <v>0</v>
      </c>
      <c r="AD598" s="35">
        <f t="shared" si="181"/>
        <v>6898</v>
      </c>
      <c r="AE598" s="166" t="str">
        <f t="shared" si="182"/>
        <v>Release</v>
      </c>
      <c r="AF598" s="127"/>
      <c r="AG598" s="18">
        <v>0</v>
      </c>
      <c r="AH598" s="120"/>
      <c r="AI598" s="238">
        <v>0</v>
      </c>
      <c r="AJ598" s="132"/>
      <c r="AK598" s="151">
        <v>674.8</v>
      </c>
      <c r="AL598" s="154">
        <f t="shared" si="170"/>
        <v>0</v>
      </c>
      <c r="AM598" s="155"/>
      <c r="AN598" s="19">
        <f t="shared" si="171"/>
        <v>0</v>
      </c>
      <c r="AO598" s="118">
        <f>SUMIF('MPG Payment '!E:E,'Shayak Income '!D598,'MPG Payment '!AJ:AJ)</f>
        <v>0</v>
      </c>
      <c r="AP598" s="19">
        <f t="shared" si="172"/>
        <v>0</v>
      </c>
      <c r="AQ598" s="119">
        <f t="shared" si="183"/>
        <v>0</v>
      </c>
      <c r="AR598" s="91" t="s">
        <v>1168</v>
      </c>
      <c r="AS598" s="91">
        <f t="shared" si="173"/>
        <v>0</v>
      </c>
      <c r="AT598" s="118"/>
      <c r="AU598" s="118"/>
      <c r="AV598" s="118"/>
    </row>
    <row r="599" spans="1:48" s="20" customFormat="1" x14ac:dyDescent="0.25">
      <c r="A599" s="17">
        <f>IFERROR(VLOOKUP(D599,'Monthly Deduction'!$I$3:$J$957,2,0),0)</f>
        <v>0</v>
      </c>
      <c r="B599" s="17">
        <f>IFERROR(VLOOKUP(D599,'Monthly Deduction'!$E$3:$F$957,2,0),0)</f>
        <v>0</v>
      </c>
      <c r="C599" s="17">
        <f t="shared" si="174"/>
        <v>0</v>
      </c>
      <c r="D599" s="41">
        <v>10560002</v>
      </c>
      <c r="E599" s="122" t="str">
        <f>VLOOKUP(D599,'MPG Payment '!$E$3:$G$498218,2,0)</f>
        <v>Gomukh Pansalwa</v>
      </c>
      <c r="F599" s="146">
        <f>IFERROR(_xlfn.XLOOKUP(D599,'Monthly Deduction'!$I$3:$I$957,'Monthly Deduction'!$H$3:$H$957),0)</f>
        <v>0</v>
      </c>
      <c r="G599" s="123" t="str">
        <f>VLOOKUP(D599,'MPG Payment '!$E$3:$G$334579,3,0)</f>
        <v>vlc</v>
      </c>
      <c r="H599" s="124" t="str">
        <f>VLOOKUP(D599,'MPG Payment '!$E$3:$H$334579,4,0)</f>
        <v>Indirect</v>
      </c>
      <c r="I599" s="88">
        <f>INDEX('MPG Payment '!$C:$C,MATCH('Shayak Income '!D599,'MPG Payment '!E:E,0))</f>
        <v>1056</v>
      </c>
      <c r="J599" s="88" t="str">
        <f>INDEX('MPG Payment '!$D:$D,MATCH('Shayak Income '!D599,'MPG Payment '!E:E,0))</f>
        <v>Chautham</v>
      </c>
      <c r="K599" s="125" t="s">
        <v>1322</v>
      </c>
      <c r="L599" s="125">
        <v>45869</v>
      </c>
      <c r="M599" s="126">
        <f>SUMIF('MPG Payment '!$E$3:$E$34579,'Shayak Income '!D599,'MPG Payment '!$I$3:$I$34579)</f>
        <v>3106.67</v>
      </c>
      <c r="N599" s="126">
        <f>SUMIF('MPG Payment '!$E$3:$E$34579,'Shayak Income '!D599,'MPG Payment '!$J$3:$J$34579)</f>
        <v>112783.7116652671</v>
      </c>
      <c r="O599" s="126">
        <f t="shared" si="175"/>
        <v>2330.0025000000001</v>
      </c>
      <c r="P599" s="126">
        <f t="shared" si="176"/>
        <v>2951.3364999999999</v>
      </c>
      <c r="Q599" s="126">
        <f>SUMIF('MPG Payment '!$E$3:$E$34579,'Shayak Income '!D599,'MPG Payment '!$S$3:$S$34579)</f>
        <v>0</v>
      </c>
      <c r="R599" s="126">
        <f t="shared" si="167"/>
        <v>3383.5113499580129</v>
      </c>
      <c r="S599" s="126">
        <f t="shared" si="168"/>
        <v>432.17484995801306</v>
      </c>
      <c r="T599" s="126">
        <f t="shared" si="177"/>
        <v>310.66700000000003</v>
      </c>
      <c r="U599" s="127">
        <f>(((IF(K599="New",0,SUMIF('MPG Payment '!$E$3:$E$34579,'Shayak Income '!D599,'MPG Payment '!$AC$3:$AC$34579))))+0)+0</f>
        <v>46.593935013380388</v>
      </c>
      <c r="V599" s="127">
        <f t="shared" si="178"/>
        <v>4924</v>
      </c>
      <c r="W599" s="19">
        <f t="shared" si="179"/>
        <v>0</v>
      </c>
      <c r="X599" s="19">
        <v>0</v>
      </c>
      <c r="Y599" s="128">
        <f>IFERROR(VLOOKUP(D599,'Monthly Deduction'!$M$2:$N$64,2,0),0)</f>
        <v>0</v>
      </c>
      <c r="Z599" s="128">
        <v>0</v>
      </c>
      <c r="AA599" s="126">
        <f>IFERROR(VLOOKUP(D599,'Monthly Deduction'!A:B,2,0),0)</f>
        <v>0</v>
      </c>
      <c r="AB599" s="129">
        <f t="shared" si="169"/>
        <v>4924</v>
      </c>
      <c r="AC599" s="130">
        <v>0</v>
      </c>
      <c r="AD599" s="35">
        <f t="shared" si="181"/>
        <v>4924</v>
      </c>
      <c r="AE599" s="166" t="str">
        <f t="shared" si="182"/>
        <v>Release</v>
      </c>
      <c r="AF599" s="127"/>
      <c r="AG599" s="127">
        <v>0</v>
      </c>
      <c r="AH599" s="132"/>
      <c r="AI599" s="238">
        <v>0</v>
      </c>
      <c r="AJ599" s="132"/>
      <c r="AK599" s="151">
        <v>618.25999999999988</v>
      </c>
      <c r="AL599" s="154">
        <f t="shared" si="170"/>
        <v>0</v>
      </c>
      <c r="AM599" s="155"/>
      <c r="AN599" s="19">
        <f t="shared" si="171"/>
        <v>0</v>
      </c>
      <c r="AO599" s="118">
        <f>SUMIF('MPG Payment '!E:E,'Shayak Income '!D599,'MPG Payment '!AJ:AJ)</f>
        <v>0</v>
      </c>
      <c r="AP599" s="19">
        <f t="shared" si="172"/>
        <v>0</v>
      </c>
      <c r="AQ599" s="119">
        <f t="shared" si="183"/>
        <v>0</v>
      </c>
      <c r="AR599" s="91" t="s">
        <v>1168</v>
      </c>
      <c r="AS599" s="91">
        <f t="shared" si="173"/>
        <v>0</v>
      </c>
      <c r="AT599" s="118"/>
      <c r="AU599" s="118"/>
      <c r="AV599" s="118"/>
    </row>
    <row r="600" spans="1:48" s="20" customFormat="1" x14ac:dyDescent="0.25">
      <c r="A600" s="17">
        <f>IFERROR(VLOOKUP(D600,'Monthly Deduction'!$I$3:$J$957,2,0),0)</f>
        <v>78467.163110127673</v>
      </c>
      <c r="B600" s="17">
        <f>IFERROR(VLOOKUP(D600,'Monthly Deduction'!$E$3:$F$957,2,0),0)</f>
        <v>0</v>
      </c>
      <c r="C600" s="17">
        <f t="shared" si="174"/>
        <v>78467.163110127673</v>
      </c>
      <c r="D600" s="41">
        <v>10560004</v>
      </c>
      <c r="E600" s="122" t="str">
        <f>VLOOKUP(D600,'MPG Payment '!$E$3:$G$498218,2,0)</f>
        <v>Gomukh Nawada</v>
      </c>
      <c r="F600" s="146">
        <f>IFERROR(_xlfn.XLOOKUP(D600,'Monthly Deduction'!$I$3:$I$957,'Monthly Deduction'!$H$3:$H$957),0)</f>
        <v>0</v>
      </c>
      <c r="G600" s="123" t="str">
        <f>VLOOKUP(D600,'MPG Payment '!$E$3:$G$334579,3,0)</f>
        <v>MPG</v>
      </c>
      <c r="H600" s="124" t="str">
        <f>VLOOKUP(D600,'MPG Payment '!$E$3:$H$334579,4,0)</f>
        <v>Direct</v>
      </c>
      <c r="I600" s="88">
        <f>INDEX('MPG Payment '!$C:$C,MATCH('Shayak Income '!D600,'MPG Payment '!E:E,0))</f>
        <v>1056</v>
      </c>
      <c r="J600" s="88" t="str">
        <f>INDEX('MPG Payment '!$D:$D,MATCH('Shayak Income '!D600,'MPG Payment '!E:E,0))</f>
        <v>Chautham</v>
      </c>
      <c r="K600" s="125" t="s">
        <v>1322</v>
      </c>
      <c r="L600" s="125">
        <v>45894</v>
      </c>
      <c r="M600" s="126">
        <f>SUMIF('MPG Payment '!$E$3:$E$34579,'Shayak Income '!D600,'MPG Payment '!$I$3:$I$34579)</f>
        <v>3455.92</v>
      </c>
      <c r="N600" s="126">
        <f>SUMIF('MPG Payment '!$E$3:$E$34579,'Shayak Income '!D600,'MPG Payment '!$J$3:$J$34579)</f>
        <v>119971.05928767001</v>
      </c>
      <c r="O600" s="126">
        <f t="shared" si="175"/>
        <v>2591.94</v>
      </c>
      <c r="P600" s="126">
        <f t="shared" si="176"/>
        <v>3283.1239999999998</v>
      </c>
      <c r="Q600" s="126">
        <f>SUMIF('MPG Payment '!$E$3:$E$34579,'Shayak Income '!D600,'MPG Payment '!$S$3:$S$34579)</f>
        <v>0</v>
      </c>
      <c r="R600" s="126">
        <f t="shared" si="167"/>
        <v>3599.1317786301001</v>
      </c>
      <c r="S600" s="126">
        <f t="shared" si="168"/>
        <v>316.00777863010035</v>
      </c>
      <c r="T600" s="126">
        <f t="shared" si="177"/>
        <v>345.59200000000004</v>
      </c>
      <c r="U600" s="127">
        <f>(((IF(K600="New",0,SUMIF('MPG Payment '!$E$3:$E$34579,'Shayak Income '!D600,'MPG Payment '!$AC$3:$AC$34579))))+0)+0</f>
        <v>0</v>
      </c>
      <c r="V600" s="127">
        <f t="shared" si="178"/>
        <v>5529</v>
      </c>
      <c r="W600" s="19">
        <f t="shared" si="179"/>
        <v>2399.4211857534001</v>
      </c>
      <c r="X600" s="19">
        <v>0</v>
      </c>
      <c r="Y600" s="128">
        <f>IFERROR(VLOOKUP(D600,'Monthly Deduction'!$M$2:$N$64,2,0),0)</f>
        <v>0</v>
      </c>
      <c r="Z600" s="128">
        <v>0</v>
      </c>
      <c r="AA600" s="126">
        <f>IFERROR(VLOOKUP(D600,'Monthly Deduction'!A:B,2,0),0)</f>
        <v>0</v>
      </c>
      <c r="AB600" s="129">
        <f t="shared" si="169"/>
        <v>3130</v>
      </c>
      <c r="AC600" s="130">
        <v>0</v>
      </c>
      <c r="AD600" s="35">
        <f t="shared" si="181"/>
        <v>3130</v>
      </c>
      <c r="AE600" s="166" t="str">
        <f t="shared" si="182"/>
        <v>Release</v>
      </c>
      <c r="AF600" s="127"/>
      <c r="AG600" s="18">
        <v>0</v>
      </c>
      <c r="AH600" s="120"/>
      <c r="AI600" s="238">
        <v>0</v>
      </c>
      <c r="AJ600" s="132"/>
      <c r="AK600" s="151">
        <v>846.46</v>
      </c>
      <c r="AL600" s="154">
        <f t="shared" si="170"/>
        <v>0</v>
      </c>
      <c r="AM600" s="155"/>
      <c r="AN600" s="19">
        <f t="shared" si="171"/>
        <v>2399.4211857534001</v>
      </c>
      <c r="AO600" s="118">
        <f>SUMIF('MPG Payment '!E:E,'Shayak Income '!D600,'MPG Payment '!AJ:AJ)</f>
        <v>0</v>
      </c>
      <c r="AP600" s="19">
        <f t="shared" si="172"/>
        <v>2399.4211857534001</v>
      </c>
      <c r="AQ600" s="119">
        <f t="shared" si="183"/>
        <v>2399.4211857534001</v>
      </c>
      <c r="AR600" s="91" t="s">
        <v>1168</v>
      </c>
      <c r="AS600" s="91">
        <f t="shared" si="173"/>
        <v>0</v>
      </c>
      <c r="AT600" s="118"/>
      <c r="AU600" s="118"/>
      <c r="AV600" s="118"/>
    </row>
    <row r="601" spans="1:48" s="20" customFormat="1" x14ac:dyDescent="0.25">
      <c r="A601" s="17">
        <f>IFERROR(VLOOKUP(D601,'Monthly Deduction'!$I$3:$J$957,2,0),0)</f>
        <v>55235.547009993912</v>
      </c>
      <c r="B601" s="17">
        <f>IFERROR(VLOOKUP(D601,'Monthly Deduction'!$E$3:$F$957,2,0),0)</f>
        <v>0</v>
      </c>
      <c r="C601" s="17">
        <f t="shared" si="174"/>
        <v>55235.547009993912</v>
      </c>
      <c r="D601" s="41">
        <v>10560005</v>
      </c>
      <c r="E601" s="122" t="str">
        <f>VLOOKUP(D601,'MPG Payment '!$E$3:$G$498218,2,0)</f>
        <v>Gomukh Yadav Tol Kanauli</v>
      </c>
      <c r="F601" s="146">
        <f>IFERROR(_xlfn.XLOOKUP(D601,'Monthly Deduction'!$I$3:$I$957,'Monthly Deduction'!$H$3:$H$957),0)</f>
        <v>0</v>
      </c>
      <c r="G601" s="123" t="str">
        <f>VLOOKUP(D601,'MPG Payment '!$E$3:$G$334579,3,0)</f>
        <v>MPG</v>
      </c>
      <c r="H601" s="124" t="str">
        <f>VLOOKUP(D601,'MPG Payment '!$E$3:$H$334579,4,0)</f>
        <v>Direct</v>
      </c>
      <c r="I601" s="88">
        <f>INDEX('MPG Payment '!$C:$C,MATCH('Shayak Income '!D601,'MPG Payment '!E:E,0))</f>
        <v>1056</v>
      </c>
      <c r="J601" s="88" t="str">
        <f>INDEX('MPG Payment '!$D:$D,MATCH('Shayak Income '!D601,'MPG Payment '!E:E,0))</f>
        <v>Chautham</v>
      </c>
      <c r="K601" s="125" t="s">
        <v>1322</v>
      </c>
      <c r="L601" s="125">
        <v>45893</v>
      </c>
      <c r="M601" s="126">
        <f>SUMIF('MPG Payment '!$E$3:$E$34579,'Shayak Income '!D601,'MPG Payment '!$I$3:$I$34579)</f>
        <v>8259.18</v>
      </c>
      <c r="N601" s="126">
        <f>SUMIF('MPG Payment '!$E$3:$E$34579,'Shayak Income '!D601,'MPG Payment '!$J$3:$J$34579)</f>
        <v>333202.81354149873</v>
      </c>
      <c r="O601" s="126">
        <f t="shared" si="175"/>
        <v>6194.3850000000002</v>
      </c>
      <c r="P601" s="126">
        <f t="shared" si="176"/>
        <v>7846.2209999999995</v>
      </c>
      <c r="Q601" s="126">
        <f>SUMIF('MPG Payment '!$E$3:$E$34579,'Shayak Income '!D601,'MPG Payment '!$S$3:$S$34579)</f>
        <v>0</v>
      </c>
      <c r="R601" s="126">
        <f t="shared" si="167"/>
        <v>9996.0844062449614</v>
      </c>
      <c r="S601" s="126">
        <f t="shared" si="168"/>
        <v>2149.8634062449619</v>
      </c>
      <c r="T601" s="126">
        <f t="shared" si="177"/>
        <v>825.91800000000012</v>
      </c>
      <c r="U601" s="127">
        <f>(((IF(K601="New",0,SUMIF('MPG Payment '!$E$3:$E$34579,'Shayak Income '!D601,'MPG Payment '!$AC$3:$AC$34579))))+0)+0</f>
        <v>0</v>
      </c>
      <c r="V601" s="127">
        <f t="shared" si="178"/>
        <v>13215</v>
      </c>
      <c r="W601" s="19">
        <f t="shared" si="179"/>
        <v>6664.0562708299749</v>
      </c>
      <c r="X601" s="19">
        <v>0</v>
      </c>
      <c r="Y601" s="128">
        <f>IFERROR(VLOOKUP(D601,'Monthly Deduction'!$M$2:$N$64,2,0),0)</f>
        <v>0</v>
      </c>
      <c r="Z601" s="128">
        <v>0</v>
      </c>
      <c r="AA601" s="126">
        <f>IFERROR(VLOOKUP(D601,'Monthly Deduction'!A:B,2,0),0)</f>
        <v>0</v>
      </c>
      <c r="AB601" s="129">
        <f t="shared" si="169"/>
        <v>6551</v>
      </c>
      <c r="AC601" s="130">
        <v>0</v>
      </c>
      <c r="AD601" s="35">
        <f t="shared" si="181"/>
        <v>6551</v>
      </c>
      <c r="AE601" s="166" t="str">
        <f t="shared" si="182"/>
        <v>Release</v>
      </c>
      <c r="AF601" s="127"/>
      <c r="AG601" s="18">
        <v>0</v>
      </c>
      <c r="AH601" s="120"/>
      <c r="AI601" s="238">
        <v>0</v>
      </c>
      <c r="AJ601" s="132"/>
      <c r="AK601" s="151">
        <v>2089.0800000000004</v>
      </c>
      <c r="AL601" s="154">
        <f t="shared" si="170"/>
        <v>0</v>
      </c>
      <c r="AM601" s="155"/>
      <c r="AN601" s="19">
        <f t="shared" si="171"/>
        <v>6664.0562708299749</v>
      </c>
      <c r="AO601" s="118">
        <f>SUMIF('MPG Payment '!E:E,'Shayak Income '!D601,'MPG Payment '!AJ:AJ)</f>
        <v>0</v>
      </c>
      <c r="AP601" s="19">
        <f t="shared" si="172"/>
        <v>6664.0562708299749</v>
      </c>
      <c r="AQ601" s="119">
        <f t="shared" si="183"/>
        <v>6664.0562708299749</v>
      </c>
      <c r="AR601" s="91"/>
      <c r="AS601" s="91">
        <f t="shared" si="173"/>
        <v>0</v>
      </c>
      <c r="AT601" s="118"/>
      <c r="AU601" s="118"/>
      <c r="AV601" s="118"/>
    </row>
    <row r="602" spans="1:48" s="20" customFormat="1" x14ac:dyDescent="0.25">
      <c r="A602" s="17">
        <f>IFERROR(VLOOKUP(D602,'Monthly Deduction'!$I$3:$J$957,2,0),0)</f>
        <v>80500</v>
      </c>
      <c r="B602" s="17">
        <f>IFERROR(VLOOKUP(D602,'Monthly Deduction'!$E$3:$F$957,2,0),0)</f>
        <v>0</v>
      </c>
      <c r="C602" s="17">
        <f t="shared" si="174"/>
        <v>80500</v>
      </c>
      <c r="D602" s="41">
        <v>10560007</v>
      </c>
      <c r="E602" s="122" t="str">
        <f>VLOOKUP(D602,'MPG Payment '!$E$3:$G$498218,2,0)</f>
        <v>Gomukh Hardia</v>
      </c>
      <c r="F602" s="146">
        <f>IFERROR(_xlfn.XLOOKUP(D602,'Monthly Deduction'!$I$3:$I$957,'Monthly Deduction'!$H$3:$H$957),0)</f>
        <v>0</v>
      </c>
      <c r="G602" s="123" t="str">
        <f>VLOOKUP(D602,'MPG Payment '!$E$3:$G$334579,3,0)</f>
        <v>MPG</v>
      </c>
      <c r="H602" s="124" t="str">
        <f>VLOOKUP(D602,'MPG Payment '!$E$3:$H$334579,4,0)</f>
        <v>Direct</v>
      </c>
      <c r="I602" s="88">
        <f>INDEX('MPG Payment '!$C:$C,MATCH('Shayak Income '!D602,'MPG Payment '!E:E,0))</f>
        <v>1056</v>
      </c>
      <c r="J602" s="88" t="str">
        <f>INDEX('MPG Payment '!$D:$D,MATCH('Shayak Income '!D602,'MPG Payment '!E:E,0))</f>
        <v>Chautham</v>
      </c>
      <c r="K602" s="125" t="s">
        <v>1322</v>
      </c>
      <c r="L602" s="125">
        <v>45894</v>
      </c>
      <c r="M602" s="126">
        <f>SUMIF('MPG Payment '!$E$3:$E$34579,'Shayak Income '!D602,'MPG Payment '!$I$3:$I$34579)</f>
        <v>869.01999999999987</v>
      </c>
      <c r="N602" s="126">
        <f>SUMIF('MPG Payment '!$E$3:$E$34579,'Shayak Income '!D602,'MPG Payment '!$J$3:$J$34579)</f>
        <v>35772.582422708001</v>
      </c>
      <c r="O602" s="126">
        <f t="shared" si="175"/>
        <v>651.76499999999987</v>
      </c>
      <c r="P602" s="126">
        <f t="shared" si="176"/>
        <v>825.56899999999985</v>
      </c>
      <c r="Q602" s="126">
        <f>SUMIF('MPG Payment '!$E$3:$E$34579,'Shayak Income '!D602,'MPG Payment '!$S$3:$S$34579)</f>
        <v>0</v>
      </c>
      <c r="R602" s="126">
        <f t="shared" si="167"/>
        <v>1073.17747268124</v>
      </c>
      <c r="S602" s="126">
        <v>0</v>
      </c>
      <c r="T602" s="126">
        <f t="shared" si="177"/>
        <v>86.901999999999987</v>
      </c>
      <c r="U602" s="127">
        <f>(((IF(K602="New",0,SUMIF('MPG Payment '!$E$3:$E$34579,'Shayak Income '!D602,'MPG Payment '!$AC$3:$AC$34579))))+0)+-214</f>
        <v>1390.2542941233719</v>
      </c>
      <c r="V602" s="127">
        <f t="shared" si="178"/>
        <v>0</v>
      </c>
      <c r="W602" s="19">
        <v>0</v>
      </c>
      <c r="X602" s="19">
        <v>0</v>
      </c>
      <c r="Y602" s="128">
        <v>0</v>
      </c>
      <c r="Z602" s="128">
        <v>0</v>
      </c>
      <c r="AA602" s="126">
        <v>0</v>
      </c>
      <c r="AB602" s="129">
        <f t="shared" si="169"/>
        <v>0</v>
      </c>
      <c r="AC602" s="130">
        <v>0</v>
      </c>
      <c r="AD602" s="35">
        <f t="shared" si="181"/>
        <v>0</v>
      </c>
      <c r="AE602" s="166" t="str">
        <f t="shared" si="182"/>
        <v>Release</v>
      </c>
      <c r="AF602" s="127"/>
      <c r="AG602" s="18">
        <v>0</v>
      </c>
      <c r="AH602" s="120"/>
      <c r="AI602" s="238">
        <v>0</v>
      </c>
      <c r="AJ602" s="132"/>
      <c r="AK602" s="151">
        <v>266.26</v>
      </c>
      <c r="AL602" s="154">
        <f t="shared" si="170"/>
        <v>0</v>
      </c>
      <c r="AM602" s="155"/>
      <c r="AN602" s="19">
        <f t="shared" si="171"/>
        <v>1861</v>
      </c>
      <c r="AO602" s="118">
        <f>SUMIF('MPG Payment '!E:E,'Shayak Income '!D602,'MPG Payment '!AJ:AJ)</f>
        <v>500</v>
      </c>
      <c r="AP602" s="19">
        <f t="shared" si="172"/>
        <v>0</v>
      </c>
      <c r="AQ602" s="119">
        <f t="shared" si="183"/>
        <v>500</v>
      </c>
      <c r="AR602" s="91" t="s">
        <v>1168</v>
      </c>
      <c r="AS602" s="91">
        <f t="shared" si="173"/>
        <v>0</v>
      </c>
      <c r="AT602" s="118"/>
      <c r="AU602" s="118"/>
      <c r="AV602" s="118"/>
    </row>
    <row r="603" spans="1:48" s="20" customFormat="1" x14ac:dyDescent="0.25">
      <c r="A603" s="17">
        <f>IFERROR(VLOOKUP(D603,'Monthly Deduction'!$I$3:$J$957,2,0),0)</f>
        <v>91011</v>
      </c>
      <c r="B603" s="17">
        <f>IFERROR(VLOOKUP(D603,'Monthly Deduction'!$E$3:$F$957,2,0),0)</f>
        <v>0</v>
      </c>
      <c r="C603" s="17">
        <f t="shared" si="174"/>
        <v>91011</v>
      </c>
      <c r="D603" s="41">
        <v>10020080</v>
      </c>
      <c r="E603" s="122" t="str">
        <f>VLOOKUP(D603,'MPG Payment '!$E$3:$G$498218,2,0)</f>
        <v>ADARSH PULPAR</v>
      </c>
      <c r="F603" s="146">
        <f>IFERROR(_xlfn.XLOOKUP(D603,'Monthly Deduction'!$I$3:$I$957,'Monthly Deduction'!$H$3:$H$957),0)</f>
        <v>0</v>
      </c>
      <c r="G603" s="123" t="str">
        <f>VLOOKUP(D603,'MPG Payment '!$E$3:$G$334579,3,0)</f>
        <v>MPG</v>
      </c>
      <c r="H603" s="124" t="str">
        <f>VLOOKUP(D603,'MPG Payment '!$E$3:$H$334579,4,0)</f>
        <v>Direct</v>
      </c>
      <c r="I603" s="88">
        <f>INDEX('MPG Payment '!$C:$C,MATCH('Shayak Income '!D603,'MPG Payment '!E:E,0))</f>
        <v>1002</v>
      </c>
      <c r="J603" s="88" t="str">
        <f>INDEX('MPG Payment '!$D:$D,MATCH('Shayak Income '!D603,'MPG Payment '!E:E,0))</f>
        <v>Laldiyara</v>
      </c>
      <c r="K603" s="125" t="s">
        <v>1322</v>
      </c>
      <c r="L603" s="125">
        <v>45900</v>
      </c>
      <c r="M603" s="126">
        <f>SUMIF('MPG Payment '!$E$3:$E$34579,'Shayak Income '!D603,'MPG Payment '!$I$3:$I$34579)</f>
        <v>28.599999999999994</v>
      </c>
      <c r="N603" s="126">
        <f>SUMIF('MPG Payment '!$E$3:$E$34579,'Shayak Income '!D603,'MPG Payment '!$J$3:$J$34579)</f>
        <v>1114.28</v>
      </c>
      <c r="O603" s="126">
        <f t="shared" si="175"/>
        <v>21.449999999999996</v>
      </c>
      <c r="P603" s="126">
        <f t="shared" si="176"/>
        <v>27.169999999999995</v>
      </c>
      <c r="Q603" s="126">
        <f>SUMIF('MPG Payment '!$E$3:$E$34579,'Shayak Income '!D603,'MPG Payment '!$S$3:$S$34579)</f>
        <v>0</v>
      </c>
      <c r="R603" s="126">
        <f t="shared" si="167"/>
        <v>33.428399999999996</v>
      </c>
      <c r="S603" s="126">
        <f t="shared" si="168"/>
        <v>6.2584000000000017</v>
      </c>
      <c r="T603" s="126">
        <f t="shared" si="177"/>
        <v>2.8599999999999994</v>
      </c>
      <c r="U603" s="127">
        <f>(((IF(K603="New",0,SUMIF('MPG Payment '!$E$3:$E$34579,'Shayak Income '!D603,'MPG Payment '!$AC$3:$AC$34579))))+0)+-1016</f>
        <v>46.126815654521124</v>
      </c>
      <c r="V603" s="127">
        <f t="shared" si="178"/>
        <v>0</v>
      </c>
      <c r="W603" s="19">
        <v>0</v>
      </c>
      <c r="X603" s="19">
        <v>0</v>
      </c>
      <c r="Y603" s="128">
        <f>IFERROR(VLOOKUP(D603,'Monthly Deduction'!$M$2:$N$64,2,0),0)</f>
        <v>0</v>
      </c>
      <c r="Z603" s="128">
        <v>0</v>
      </c>
      <c r="AA603" s="126">
        <f>IFERROR(VLOOKUP(D603,'Monthly Deduction'!A:B,2,0),0)</f>
        <v>0</v>
      </c>
      <c r="AB603" s="129">
        <f t="shared" si="169"/>
        <v>0</v>
      </c>
      <c r="AC603" s="130">
        <f t="shared" ref="AC603:AC604" si="184">AB603</f>
        <v>0</v>
      </c>
      <c r="AD603" s="35">
        <f t="shared" si="181"/>
        <v>0</v>
      </c>
      <c r="AE603" s="166" t="str">
        <f t="shared" si="182"/>
        <v>Release</v>
      </c>
      <c r="AF603" s="127"/>
      <c r="AG603" s="18">
        <v>0</v>
      </c>
      <c r="AH603" s="120" t="s">
        <v>1651</v>
      </c>
      <c r="AI603" s="238">
        <v>9511</v>
      </c>
      <c r="AJ603" s="132"/>
      <c r="AK603" s="151">
        <v>0</v>
      </c>
      <c r="AL603" s="154">
        <f t="shared" si="170"/>
        <v>0</v>
      </c>
      <c r="AM603" s="155"/>
      <c r="AN603" s="19">
        <f t="shared" si="171"/>
        <v>1861</v>
      </c>
      <c r="AO603" s="118">
        <f>SUMIF('MPG Payment '!E:E,'Shayak Income '!D603,'MPG Payment '!AJ:AJ)</f>
        <v>0</v>
      </c>
      <c r="AP603" s="19">
        <f t="shared" si="172"/>
        <v>0</v>
      </c>
      <c r="AQ603" s="119">
        <f t="shared" si="183"/>
        <v>0</v>
      </c>
      <c r="AR603" s="91" t="s">
        <v>1168</v>
      </c>
      <c r="AS603" s="91">
        <f t="shared" si="173"/>
        <v>0</v>
      </c>
      <c r="AT603" s="118"/>
      <c r="AU603" s="118"/>
      <c r="AV603" s="118"/>
    </row>
    <row r="604" spans="1:48" s="20" customFormat="1" x14ac:dyDescent="0.25">
      <c r="A604" s="17">
        <f>IFERROR(VLOOKUP(D604,'Monthly Deduction'!$I$3:$J$957,2,0),0)</f>
        <v>74384.220002488</v>
      </c>
      <c r="B604" s="17">
        <f>IFERROR(VLOOKUP(D604,'Monthly Deduction'!$E$3:$F$957,2,0),0)</f>
        <v>0</v>
      </c>
      <c r="C604" s="17">
        <f t="shared" si="174"/>
        <v>74384.220002488</v>
      </c>
      <c r="D604" s="41">
        <v>10030074</v>
      </c>
      <c r="E604" s="122" t="str">
        <f>VLOOKUP(D604,'MPG Payment '!$E$3:$G$498218,2,0)</f>
        <v>Jangle Jhakra</v>
      </c>
      <c r="F604" s="146">
        <f>IFERROR(_xlfn.XLOOKUP(D604,'Monthly Deduction'!$I$3:$I$957,'Monthly Deduction'!$H$3:$H$957),0)</f>
        <v>0</v>
      </c>
      <c r="G604" s="123" t="str">
        <f>VLOOKUP(D604,'MPG Payment '!$E$3:$G$334579,3,0)</f>
        <v>MPG</v>
      </c>
      <c r="H604" s="124" t="str">
        <f>VLOOKUP(D604,'MPG Payment '!$E$3:$H$334579,4,0)</f>
        <v>Direct</v>
      </c>
      <c r="I604" s="88">
        <f>INDEX('MPG Payment '!$C:$C,MATCH('Shayak Income '!D604,'MPG Payment '!E:E,0))</f>
        <v>1003</v>
      </c>
      <c r="J604" s="88" t="str">
        <f>INDEX('MPG Payment '!$D:$D,MATCH('Shayak Income '!D604,'MPG Payment '!E:E,0))</f>
        <v>Asarganj</v>
      </c>
      <c r="K604" s="125" t="s">
        <v>1322</v>
      </c>
      <c r="L604" s="125">
        <v>45869</v>
      </c>
      <c r="M604" s="126">
        <f>SUMIF('MPG Payment '!$E$3:$E$34579,'Shayak Income '!D604,'MPG Payment '!$I$3:$I$34579)</f>
        <v>6839.45</v>
      </c>
      <c r="N604" s="126">
        <f>SUMIF('MPG Payment '!$E$3:$E$34579,'Shayak Income '!D604,'MPG Payment '!$J$3:$J$34579)</f>
        <v>268779.78741683997</v>
      </c>
      <c r="O604" s="126">
        <f t="shared" si="175"/>
        <v>5129.5874999999996</v>
      </c>
      <c r="P604" s="126">
        <f t="shared" si="176"/>
        <v>6497.4775</v>
      </c>
      <c r="Q604" s="126">
        <f>SUMIF('MPG Payment '!$E$3:$E$34579,'Shayak Income '!D604,'MPG Payment '!$S$3:$S$34579)</f>
        <v>3217.7015595882003</v>
      </c>
      <c r="R604" s="126">
        <f t="shared" si="167"/>
        <v>8063.3936225051984</v>
      </c>
      <c r="S604" s="126">
        <f t="shared" si="168"/>
        <v>1565.9161225051985</v>
      </c>
      <c r="T604" s="126">
        <f t="shared" si="177"/>
        <v>683.94500000000005</v>
      </c>
      <c r="U604" s="127">
        <f>(((IF(K604="New",0,SUMIF('MPG Payment '!$E$3:$E$34579,'Shayak Income '!D604,'MPG Payment '!$AC$3:$AC$34579))))+0)+0</f>
        <v>0</v>
      </c>
      <c r="V604" s="127">
        <f t="shared" si="178"/>
        <v>14161</v>
      </c>
      <c r="W604" s="19">
        <f t="shared" si="179"/>
        <v>5375.5957483367993</v>
      </c>
      <c r="X604" s="19">
        <v>0</v>
      </c>
      <c r="Y604" s="128">
        <f>IFERROR(VLOOKUP(D604,'Monthly Deduction'!$M$2:$N$64,2,0),0)</f>
        <v>0</v>
      </c>
      <c r="Z604" s="128">
        <v>0</v>
      </c>
      <c r="AA604" s="126">
        <f>IFERROR(VLOOKUP(D604,'Monthly Deduction'!A:B,2,0),0)</f>
        <v>0</v>
      </c>
      <c r="AB604" s="129">
        <f t="shared" si="169"/>
        <v>8785</v>
      </c>
      <c r="AC604" s="130">
        <f t="shared" si="184"/>
        <v>8785</v>
      </c>
      <c r="AD604" s="35">
        <f t="shared" si="181"/>
        <v>0</v>
      </c>
      <c r="AE604" s="166" t="str">
        <f t="shared" si="182"/>
        <v>Yes</v>
      </c>
      <c r="AF604" s="127"/>
      <c r="AG604" s="18">
        <v>0</v>
      </c>
      <c r="AH604" s="120" t="s">
        <v>1653</v>
      </c>
      <c r="AI604" s="238">
        <v>0</v>
      </c>
      <c r="AJ604" s="132"/>
      <c r="AK604" s="151">
        <v>1835.95</v>
      </c>
      <c r="AL604" s="154">
        <f t="shared" si="170"/>
        <v>0</v>
      </c>
      <c r="AM604" s="155"/>
      <c r="AN604" s="19">
        <f t="shared" si="171"/>
        <v>5375.5957483367993</v>
      </c>
      <c r="AO604" s="118">
        <f>SUMIF('MPG Payment '!E:E,'Shayak Income '!D604,'MPG Payment '!AJ:AJ)</f>
        <v>0</v>
      </c>
      <c r="AP604" s="19">
        <f t="shared" si="172"/>
        <v>5375.5957483367993</v>
      </c>
      <c r="AQ604" s="119">
        <f t="shared" si="183"/>
        <v>5375.5957483367993</v>
      </c>
      <c r="AR604" s="91" t="s">
        <v>1168</v>
      </c>
      <c r="AS604" s="91">
        <f t="shared" si="173"/>
        <v>0</v>
      </c>
      <c r="AT604" s="118"/>
      <c r="AU604" s="118"/>
      <c r="AV604" s="118"/>
    </row>
    <row r="605" spans="1:48" s="20" customFormat="1" x14ac:dyDescent="0.25">
      <c r="A605" s="17">
        <f>IFERROR(VLOOKUP(D605,'Monthly Deduction'!$I$3:$J$957,2,0),0)</f>
        <v>80809</v>
      </c>
      <c r="B605" s="17">
        <f>IFERROR(VLOOKUP(D605,'Monthly Deduction'!$E$3:$F$957,2,0),0)</f>
        <v>0</v>
      </c>
      <c r="C605" s="17">
        <f t="shared" si="174"/>
        <v>80809</v>
      </c>
      <c r="D605" s="41">
        <v>10060116</v>
      </c>
      <c r="E605" s="122" t="str">
        <f>VLOOKUP(D605,'MPG Payment '!$E$3:$G$498218,2,0)</f>
        <v>LOSDHANI</v>
      </c>
      <c r="F605" s="146">
        <f>IFERROR(_xlfn.XLOOKUP(D605,'Monthly Deduction'!$I$3:$I$957,'Monthly Deduction'!$H$3:$H$957),0)</f>
        <v>0</v>
      </c>
      <c r="G605" s="123" t="str">
        <f>VLOOKUP(D605,'MPG Payment '!$E$3:$G$334579,3,0)</f>
        <v>MPG</v>
      </c>
      <c r="H605" s="124" t="str">
        <f>VLOOKUP(D605,'MPG Payment '!$E$3:$H$334579,4,0)</f>
        <v>Direct</v>
      </c>
      <c r="I605" s="88">
        <f>INDEX('MPG Payment '!$C:$C,MATCH('Shayak Income '!D605,'MPG Payment '!E:E,0))</f>
        <v>1006</v>
      </c>
      <c r="J605" s="88" t="str">
        <f>INDEX('MPG Payment '!$D:$D,MATCH('Shayak Income '!D605,'MPG Payment '!E:E,0))</f>
        <v>Sonvarsha</v>
      </c>
      <c r="K605" s="125" t="s">
        <v>1322</v>
      </c>
      <c r="L605" s="125">
        <v>45899</v>
      </c>
      <c r="M605" s="126">
        <f>SUMIF('MPG Payment '!$E$3:$E$34579,'Shayak Income '!D605,'MPG Payment '!$I$3:$I$34579)</f>
        <v>587.09999999999991</v>
      </c>
      <c r="N605" s="126">
        <f>SUMIF('MPG Payment '!$E$3:$E$34579,'Shayak Income '!D605,'MPG Payment '!$J$3:$J$34579)</f>
        <v>23064.923945039998</v>
      </c>
      <c r="O605" s="126">
        <f t="shared" si="175"/>
        <v>440.32499999999993</v>
      </c>
      <c r="P605" s="126">
        <f t="shared" si="176"/>
        <v>557.74499999999989</v>
      </c>
      <c r="Q605" s="126">
        <f>SUMIF('MPG Payment '!$E$3:$E$34579,'Shayak Income '!D605,'MPG Payment '!$S$3:$S$34579)</f>
        <v>331.10499708000009</v>
      </c>
      <c r="R605" s="126">
        <f t="shared" si="167"/>
        <v>691.94771835119991</v>
      </c>
      <c r="S605" s="126">
        <f t="shared" si="168"/>
        <v>134.20271835120002</v>
      </c>
      <c r="T605" s="126">
        <f t="shared" si="177"/>
        <v>58.709999999999994</v>
      </c>
      <c r="U605" s="127">
        <f>(((IF(K605="New",0,SUMIF('MPG Payment '!$E$3:$E$34579,'Shayak Income '!D605,'MPG Payment '!$AC$3:$AC$34579))))+0)+-442</f>
        <v>1270.7844856793702</v>
      </c>
      <c r="V605" s="127">
        <f t="shared" si="178"/>
        <v>0</v>
      </c>
      <c r="W605" s="19">
        <v>0</v>
      </c>
      <c r="X605" s="19">
        <v>0</v>
      </c>
      <c r="Y605" s="128">
        <f>IFERROR(VLOOKUP(D605,'Monthly Deduction'!$M$2:$N$64,2,0),0)</f>
        <v>0</v>
      </c>
      <c r="Z605" s="128">
        <v>0</v>
      </c>
      <c r="AA605" s="126">
        <f>IFERROR(VLOOKUP(D605,'Monthly Deduction'!A:B,2,0),0)</f>
        <v>0</v>
      </c>
      <c r="AB605" s="129">
        <f t="shared" si="169"/>
        <v>0</v>
      </c>
      <c r="AC605" s="130">
        <v>0</v>
      </c>
      <c r="AD605" s="35">
        <f t="shared" si="181"/>
        <v>0</v>
      </c>
      <c r="AE605" s="166" t="str">
        <f t="shared" si="182"/>
        <v>Release</v>
      </c>
      <c r="AF605" s="127"/>
      <c r="AG605" s="18">
        <v>0</v>
      </c>
      <c r="AH605" s="120"/>
      <c r="AI605" s="238">
        <v>0</v>
      </c>
      <c r="AJ605" s="132"/>
      <c r="AK605" s="151">
        <v>136.10000000000002</v>
      </c>
      <c r="AL605" s="154">
        <f t="shared" si="170"/>
        <v>0</v>
      </c>
      <c r="AM605" s="155"/>
      <c r="AN605" s="19">
        <f t="shared" si="171"/>
        <v>1861</v>
      </c>
      <c r="AO605" s="118">
        <f>SUMIF('MPG Payment '!E:E,'Shayak Income '!D605,'MPG Payment '!AJ:AJ)</f>
        <v>0</v>
      </c>
      <c r="AP605" s="19">
        <f t="shared" si="172"/>
        <v>0</v>
      </c>
      <c r="AQ605" s="119">
        <f t="shared" si="183"/>
        <v>0</v>
      </c>
      <c r="AR605" s="91"/>
      <c r="AS605" s="91">
        <f t="shared" si="173"/>
        <v>0</v>
      </c>
      <c r="AT605" s="118"/>
      <c r="AU605" s="118"/>
      <c r="AV605" s="118"/>
    </row>
    <row r="606" spans="1:48" s="20" customFormat="1" x14ac:dyDescent="0.25">
      <c r="A606" s="17">
        <f>IFERROR(VLOOKUP(D606,'Monthly Deduction'!$I$3:$J$957,2,0),0)</f>
        <v>0</v>
      </c>
      <c r="B606" s="17">
        <f>IFERROR(VLOOKUP(D606,'Monthly Deduction'!$E$3:$F$957,2,0),0)</f>
        <v>0</v>
      </c>
      <c r="C606" s="17">
        <f t="shared" si="174"/>
        <v>0</v>
      </c>
      <c r="D606" s="41">
        <v>10080110</v>
      </c>
      <c r="E606" s="122" t="str">
        <f>VLOOKUP(D606,'MPG Payment '!$E$3:$G$498218,2,0)</f>
        <v>Rudauli</v>
      </c>
      <c r="F606" s="146">
        <f>IFERROR(_xlfn.XLOOKUP(D606,'Monthly Deduction'!$I$3:$I$957,'Monthly Deduction'!$H$3:$H$957),0)</f>
        <v>0</v>
      </c>
      <c r="G606" s="123" t="str">
        <f>VLOOKUP(D606,'MPG Payment '!$E$3:$G$334579,3,0)</f>
        <v>vlc</v>
      </c>
      <c r="H606" s="124" t="str">
        <f>VLOOKUP(D606,'MPG Payment '!$E$3:$H$334579,4,0)</f>
        <v>Indirect</v>
      </c>
      <c r="I606" s="88">
        <f>INDEX('MPG Payment '!$C:$C,MATCH('Shayak Income '!D606,'MPG Payment '!E:E,0))</f>
        <v>1008</v>
      </c>
      <c r="J606" s="88" t="str">
        <f>INDEX('MPG Payment '!$D:$D,MATCH('Shayak Income '!D606,'MPG Payment '!E:E,0))</f>
        <v>Teghra</v>
      </c>
      <c r="K606" s="125" t="s">
        <v>1322</v>
      </c>
      <c r="L606" s="125">
        <v>45901</v>
      </c>
      <c r="M606" s="126">
        <f>SUMIF('MPG Payment '!$E$3:$E$34579,'Shayak Income '!D606,'MPG Payment '!$I$3:$I$34579)</f>
        <v>60.15</v>
      </c>
      <c r="N606" s="126">
        <f>SUMIF('MPG Payment '!$E$3:$E$34579,'Shayak Income '!D606,'MPG Payment '!$J$3:$J$34579)</f>
        <v>2245.5299999999997</v>
      </c>
      <c r="O606" s="126">
        <f t="shared" si="175"/>
        <v>45.112499999999997</v>
      </c>
      <c r="P606" s="126">
        <f t="shared" si="176"/>
        <v>57.142499999999998</v>
      </c>
      <c r="Q606" s="126">
        <f>SUMIF('MPG Payment '!$E$3:$E$34579,'Shayak Income '!D606,'MPG Payment '!$S$3:$S$34579)</f>
        <v>0</v>
      </c>
      <c r="R606" s="126">
        <f t="shared" si="167"/>
        <v>67.365899999999996</v>
      </c>
      <c r="S606" s="126">
        <f t="shared" si="168"/>
        <v>10.223399999999998</v>
      </c>
      <c r="T606" s="126">
        <f t="shared" si="177"/>
        <v>6.0150000000000006</v>
      </c>
      <c r="U606" s="127">
        <f>(((IF(K606="New",0,SUMIF('MPG Payment '!$E$3:$E$34579,'Shayak Income '!D606,'MPG Payment '!$AC$3:$AC$34579))))+0)+-381</f>
        <v>96.739774064837945</v>
      </c>
      <c r="V606" s="127">
        <f t="shared" si="178"/>
        <v>0</v>
      </c>
      <c r="W606" s="19">
        <v>0</v>
      </c>
      <c r="X606" s="19">
        <v>0</v>
      </c>
      <c r="Y606" s="128">
        <f>IFERROR(VLOOKUP(D606,'Monthly Deduction'!$M$2:$N$64,2,0),0)</f>
        <v>0</v>
      </c>
      <c r="Z606" s="128">
        <v>0</v>
      </c>
      <c r="AA606" s="126">
        <f>IFERROR(VLOOKUP(D606,'Monthly Deduction'!A:B,2,0),0)</f>
        <v>0</v>
      </c>
      <c r="AB606" s="129">
        <f t="shared" si="169"/>
        <v>0</v>
      </c>
      <c r="AC606" s="130">
        <f>AB606</f>
        <v>0</v>
      </c>
      <c r="AD606" s="35">
        <f t="shared" si="181"/>
        <v>0</v>
      </c>
      <c r="AE606" s="166" t="str">
        <f t="shared" si="182"/>
        <v>Release</v>
      </c>
      <c r="AF606" s="127"/>
      <c r="AG606" s="18">
        <v>0</v>
      </c>
      <c r="AH606" s="132" t="s">
        <v>1648</v>
      </c>
      <c r="AI606" s="238">
        <v>0</v>
      </c>
      <c r="AJ606" s="132"/>
      <c r="AK606" s="151">
        <v>0</v>
      </c>
      <c r="AL606" s="154">
        <f t="shared" si="170"/>
        <v>0</v>
      </c>
      <c r="AM606" s="155"/>
      <c r="AN606" s="19">
        <f t="shared" si="171"/>
        <v>0</v>
      </c>
      <c r="AO606" s="118">
        <f>SUMIF('MPG Payment '!E:E,'Shayak Income '!D606,'MPG Payment '!AJ:AJ)</f>
        <v>0</v>
      </c>
      <c r="AP606" s="19">
        <f t="shared" si="172"/>
        <v>0</v>
      </c>
      <c r="AQ606" s="119">
        <f t="shared" si="183"/>
        <v>0</v>
      </c>
      <c r="AR606" s="91" t="s">
        <v>1168</v>
      </c>
      <c r="AS606" s="91">
        <f t="shared" si="173"/>
        <v>0</v>
      </c>
      <c r="AT606" s="118"/>
      <c r="AU606" s="118"/>
      <c r="AV606" s="118"/>
    </row>
    <row r="607" spans="1:48" s="20" customFormat="1" x14ac:dyDescent="0.25">
      <c r="A607" s="17">
        <f>IFERROR(VLOOKUP(D607,'Monthly Deduction'!$I$3:$J$957,2,0),0)</f>
        <v>72393.155530320524</v>
      </c>
      <c r="B607" s="17">
        <f>IFERROR(VLOOKUP(D607,'Monthly Deduction'!$E$3:$F$957,2,0),0)</f>
        <v>0</v>
      </c>
      <c r="C607" s="17">
        <f t="shared" si="174"/>
        <v>72393.155530320524</v>
      </c>
      <c r="D607" s="41">
        <v>10530078</v>
      </c>
      <c r="E607" s="122" t="str">
        <f>VLOOKUP(D607,'MPG Payment '!$E$3:$G$498218,2,0)</f>
        <v>GOMUKH Kalaunjar</v>
      </c>
      <c r="F607" s="146">
        <f>IFERROR(_xlfn.XLOOKUP(D607,'Monthly Deduction'!$I$3:$I$957,'Monthly Deduction'!$H$3:$H$957),0)</f>
        <v>0</v>
      </c>
      <c r="G607" s="123" t="str">
        <f>VLOOKUP(D607,'MPG Payment '!$E$3:$G$334579,3,0)</f>
        <v>MPG</v>
      </c>
      <c r="H607" s="124" t="str">
        <f>VLOOKUP(D607,'MPG Payment '!$E$3:$H$334579,4,0)</f>
        <v>Direct</v>
      </c>
      <c r="I607" s="88">
        <f>INDEX('MPG Payment '!$C:$C,MATCH('Shayak Income '!D607,'MPG Payment '!E:E,0))</f>
        <v>1053</v>
      </c>
      <c r="J607" s="88" t="str">
        <f>INDEX('MPG Payment '!$D:$D,MATCH('Shayak Income '!D607,'MPG Payment '!E:E,0))</f>
        <v>Kalyanpur</v>
      </c>
      <c r="K607" s="125" t="s">
        <v>1322</v>
      </c>
      <c r="L607" s="125">
        <v>45898</v>
      </c>
      <c r="M607" s="126">
        <f>SUMIF('MPG Payment '!$E$3:$E$34579,'Shayak Income '!D607,'MPG Payment '!$I$3:$I$34579)</f>
        <v>2216.5499999999997</v>
      </c>
      <c r="N607" s="126">
        <f>SUMIF('MPG Payment '!$E$3:$E$34579,'Shayak Income '!D607,'MPG Payment '!$J$3:$J$34579)</f>
        <v>99227.030324304287</v>
      </c>
      <c r="O607" s="126">
        <f t="shared" si="175"/>
        <v>1662.4124999999999</v>
      </c>
      <c r="P607" s="126">
        <f t="shared" si="176"/>
        <v>2105.7224999999999</v>
      </c>
      <c r="Q607" s="126">
        <f>SUMIF('MPG Payment '!$E$3:$E$34579,'Shayak Income '!D607,'MPG Payment '!$S$3:$S$34579)</f>
        <v>4439.2037745991602</v>
      </c>
      <c r="R607" s="126">
        <f t="shared" si="167"/>
        <v>2976.8109097291285</v>
      </c>
      <c r="S607" s="126">
        <f t="shared" si="168"/>
        <v>871.08840972912867</v>
      </c>
      <c r="T607" s="126">
        <f t="shared" si="177"/>
        <v>221.65499999999997</v>
      </c>
      <c r="U607" s="127">
        <f>(((IF(K607="New",0,SUMIF('MPG Payment '!$E$3:$E$34579,'Shayak Income '!D607,'MPG Payment '!$AC$3:$AC$34579))))+0)+0</f>
        <v>528.81894047779508</v>
      </c>
      <c r="V607" s="127">
        <f t="shared" si="178"/>
        <v>7457</v>
      </c>
      <c r="W607" s="19">
        <f t="shared" si="179"/>
        <v>1984.5406064860858</v>
      </c>
      <c r="X607" s="19">
        <v>0</v>
      </c>
      <c r="Y607" s="128">
        <f>IFERROR(VLOOKUP(D607,'Monthly Deduction'!$M$2:$N$64,2,0),0)</f>
        <v>0</v>
      </c>
      <c r="Z607" s="128">
        <v>0</v>
      </c>
      <c r="AA607" s="126">
        <f>IFERROR(VLOOKUP(D607,'Monthly Deduction'!A:B,2,0),0)</f>
        <v>0</v>
      </c>
      <c r="AB607" s="129">
        <f t="shared" si="169"/>
        <v>5472</v>
      </c>
      <c r="AC607" s="130">
        <v>0</v>
      </c>
      <c r="AD607" s="35">
        <f t="shared" si="181"/>
        <v>5472</v>
      </c>
      <c r="AE607" s="166" t="str">
        <f t="shared" si="182"/>
        <v>Release</v>
      </c>
      <c r="AF607" s="127"/>
      <c r="AG607" s="18">
        <v>0</v>
      </c>
      <c r="AH607" s="120"/>
      <c r="AI607" s="238">
        <v>0</v>
      </c>
      <c r="AJ607" s="132"/>
      <c r="AK607" s="151">
        <v>693.95000000000016</v>
      </c>
      <c r="AL607" s="154">
        <f t="shared" si="170"/>
        <v>0</v>
      </c>
      <c r="AM607" s="155"/>
      <c r="AN607" s="19">
        <f t="shared" si="171"/>
        <v>1984.5406064860858</v>
      </c>
      <c r="AO607" s="118">
        <f>SUMIF('MPG Payment '!E:E,'Shayak Income '!D607,'MPG Payment '!AJ:AJ)</f>
        <v>0</v>
      </c>
      <c r="AP607" s="19">
        <f t="shared" si="172"/>
        <v>1984.5406064860858</v>
      </c>
      <c r="AQ607" s="119">
        <f t="shared" si="183"/>
        <v>1984.5406064860858</v>
      </c>
      <c r="AR607" s="91" t="s">
        <v>1168</v>
      </c>
      <c r="AS607" s="91">
        <f t="shared" si="173"/>
        <v>0</v>
      </c>
      <c r="AT607" s="118"/>
      <c r="AU607" s="118"/>
      <c r="AV607" s="118"/>
    </row>
    <row r="608" spans="1:48" s="20" customFormat="1" x14ac:dyDescent="0.25">
      <c r="A608" s="17">
        <f>IFERROR(VLOOKUP(D608,'Monthly Deduction'!$I$3:$J$957,2,0),0)</f>
        <v>0</v>
      </c>
      <c r="B608" s="17">
        <f>IFERROR(VLOOKUP(D608,'Monthly Deduction'!$E$3:$F$957,2,0),0)</f>
        <v>0</v>
      </c>
      <c r="C608" s="17">
        <f t="shared" si="174"/>
        <v>0</v>
      </c>
      <c r="D608" s="41">
        <v>10530080</v>
      </c>
      <c r="E608" s="122" t="str">
        <f>VLOOKUP(D608,'MPG Payment '!$E$3:$G$498218,2,0)</f>
        <v>Pastara Lakshman</v>
      </c>
      <c r="F608" s="146">
        <f>IFERROR(_xlfn.XLOOKUP(D608,'Monthly Deduction'!$I$3:$I$957,'Monthly Deduction'!$H$3:$H$957),0)</f>
        <v>0</v>
      </c>
      <c r="G608" s="123" t="str">
        <f>VLOOKUP(D608,'MPG Payment '!$E$3:$G$334579,3,0)</f>
        <v>vlc</v>
      </c>
      <c r="H608" s="124" t="str">
        <f>VLOOKUP(D608,'MPG Payment '!$E$3:$H$334579,4,0)</f>
        <v>Indirect</v>
      </c>
      <c r="I608" s="88">
        <f>INDEX('MPG Payment '!$C:$C,MATCH('Shayak Income '!D608,'MPG Payment '!E:E,0))</f>
        <v>1053</v>
      </c>
      <c r="J608" s="88" t="str">
        <f>INDEX('MPG Payment '!$D:$D,MATCH('Shayak Income '!D608,'MPG Payment '!E:E,0))</f>
        <v>Kalyanpur</v>
      </c>
      <c r="K608" s="125" t="s">
        <v>1322</v>
      </c>
      <c r="L608" s="125">
        <v>45899</v>
      </c>
      <c r="M608" s="126">
        <f>SUMIF('MPG Payment '!$E$3:$E$34579,'Shayak Income '!D608,'MPG Payment '!$I$3:$I$34579)</f>
        <v>603.20000000000005</v>
      </c>
      <c r="N608" s="126">
        <f>SUMIF('MPG Payment '!$E$3:$E$34579,'Shayak Income '!D608,'MPG Payment '!$J$3:$J$34579)</f>
        <v>19926.560310322999</v>
      </c>
      <c r="O608" s="126">
        <f t="shared" si="175"/>
        <v>452.40000000000003</v>
      </c>
      <c r="P608" s="126">
        <f t="shared" si="176"/>
        <v>573.04</v>
      </c>
      <c r="Q608" s="126">
        <f>SUMIF('MPG Payment '!$E$3:$E$34579,'Shayak Income '!D608,'MPG Payment '!$S$3:$S$34579)</f>
        <v>0</v>
      </c>
      <c r="R608" s="126">
        <f t="shared" si="167"/>
        <v>597.79680930968993</v>
      </c>
      <c r="S608" s="126">
        <f t="shared" si="168"/>
        <v>24.75680930968997</v>
      </c>
      <c r="T608" s="126">
        <f t="shared" si="177"/>
        <v>60.320000000000007</v>
      </c>
      <c r="U608" s="127">
        <f>(((IF(K608="New",0,SUMIF('MPG Payment '!$E$3:$E$34579,'Shayak Income '!D608,'MPG Payment '!$AC$3:$AC$34579))))+0)+-488</f>
        <v>965.36440867919737</v>
      </c>
      <c r="V608" s="127">
        <f t="shared" si="178"/>
        <v>0</v>
      </c>
      <c r="W608" s="19">
        <v>0</v>
      </c>
      <c r="X608" s="19">
        <v>0</v>
      </c>
      <c r="Y608" s="128">
        <f>IFERROR(VLOOKUP(D608,'Monthly Deduction'!$M$2:$N$64,2,0),0)</f>
        <v>0</v>
      </c>
      <c r="Z608" s="128">
        <v>0</v>
      </c>
      <c r="AA608" s="126">
        <f>IFERROR(VLOOKUP(D608,'Monthly Deduction'!A:B,2,0),0)</f>
        <v>0</v>
      </c>
      <c r="AB608" s="129">
        <f t="shared" si="169"/>
        <v>0</v>
      </c>
      <c r="AC608" s="130">
        <v>0</v>
      </c>
      <c r="AD608" s="35">
        <f t="shared" si="181"/>
        <v>0</v>
      </c>
      <c r="AE608" s="166" t="str">
        <f t="shared" si="182"/>
        <v>Release</v>
      </c>
      <c r="AF608" s="127"/>
      <c r="AG608" s="127">
        <v>0</v>
      </c>
      <c r="AH608" s="132"/>
      <c r="AI608" s="238">
        <v>0</v>
      </c>
      <c r="AJ608" s="132"/>
      <c r="AK608" s="151">
        <v>131.35</v>
      </c>
      <c r="AL608" s="154">
        <f t="shared" si="170"/>
        <v>0</v>
      </c>
      <c r="AM608" s="155"/>
      <c r="AN608" s="19">
        <f t="shared" si="171"/>
        <v>0</v>
      </c>
      <c r="AO608" s="118">
        <f>SUMIF('MPG Payment '!E:E,'Shayak Income '!D608,'MPG Payment '!AJ:AJ)</f>
        <v>0</v>
      </c>
      <c r="AP608" s="19">
        <f t="shared" si="172"/>
        <v>0</v>
      </c>
      <c r="AQ608" s="119">
        <f t="shared" si="183"/>
        <v>0</v>
      </c>
      <c r="AR608" s="91" t="s">
        <v>1168</v>
      </c>
      <c r="AS608" s="91">
        <f t="shared" si="173"/>
        <v>0</v>
      </c>
      <c r="AT608" s="118"/>
      <c r="AU608" s="118"/>
      <c r="AV608" s="118"/>
    </row>
    <row r="609" spans="1:48" s="20" customFormat="1" x14ac:dyDescent="0.25">
      <c r="A609" s="17">
        <f>IFERROR(VLOOKUP(D609,'Monthly Deduction'!$I$3:$J$957,2,0),0)</f>
        <v>80257</v>
      </c>
      <c r="B609" s="17">
        <f>IFERROR(VLOOKUP(D609,'Monthly Deduction'!$E$3:$F$957,2,0),0)</f>
        <v>6400</v>
      </c>
      <c r="C609" s="17">
        <f t="shared" si="174"/>
        <v>86657</v>
      </c>
      <c r="D609" s="41">
        <v>10540019</v>
      </c>
      <c r="E609" s="122" t="str">
        <f>VLOOKUP(D609,'MPG Payment '!$E$3:$G$498218,2,0)</f>
        <v>Gomukh Chikni</v>
      </c>
      <c r="F609" s="146">
        <f>IFERROR(_xlfn.XLOOKUP(D609,'Monthly Deduction'!$I$3:$I$957,'Monthly Deduction'!$H$3:$H$957),0)</f>
        <v>0</v>
      </c>
      <c r="G609" s="123" t="str">
        <f>VLOOKUP(D609,'MPG Payment '!$E$3:$G$334579,3,0)</f>
        <v>MPG</v>
      </c>
      <c r="H609" s="124" t="str">
        <f>VLOOKUP(D609,'MPG Payment '!$E$3:$H$334579,4,0)</f>
        <v>Direct</v>
      </c>
      <c r="I609" s="88">
        <f>INDEX('MPG Payment '!$C:$C,MATCH('Shayak Income '!D609,'MPG Payment '!E:E,0))</f>
        <v>1054</v>
      </c>
      <c r="J609" s="88" t="str">
        <f>INDEX('MPG Payment '!$D:$D,MATCH('Shayak Income '!D609,'MPG Payment '!E:E,0))</f>
        <v xml:space="preserve">Alauli </v>
      </c>
      <c r="K609" s="125" t="s">
        <v>1322</v>
      </c>
      <c r="L609" s="125">
        <v>45869</v>
      </c>
      <c r="M609" s="126">
        <f>SUMIF('MPG Payment '!$E$3:$E$34579,'Shayak Income '!D609,'MPG Payment '!$I$3:$I$34579)</f>
        <v>762.46</v>
      </c>
      <c r="N609" s="126">
        <f>SUMIF('MPG Payment '!$E$3:$E$34579,'Shayak Income '!D609,'MPG Payment '!$J$3:$J$34579)</f>
        <v>28965.099677420003</v>
      </c>
      <c r="O609" s="126">
        <f t="shared" si="175"/>
        <v>571.84500000000003</v>
      </c>
      <c r="P609" s="126">
        <f t="shared" si="176"/>
        <v>724.33699999999999</v>
      </c>
      <c r="Q609" s="126">
        <f>SUMIF('MPG Payment '!$E$3:$E$34579,'Shayak Income '!D609,'MPG Payment '!$S$3:$S$34579)</f>
        <v>0</v>
      </c>
      <c r="R609" s="126">
        <f t="shared" si="167"/>
        <v>868.95299032260004</v>
      </c>
      <c r="S609" s="126">
        <f t="shared" si="168"/>
        <v>144.61599032260006</v>
      </c>
      <c r="T609" s="126">
        <f t="shared" si="177"/>
        <v>76.246000000000009</v>
      </c>
      <c r="U609" s="127">
        <f>(((IF(K609="New",0,SUMIF('MPG Payment '!$E$3:$E$34579,'Shayak Income '!D609,'MPG Payment '!$AC$3:$AC$34579))))+0)+-327</f>
        <v>1219.6247687890066</v>
      </c>
      <c r="V609" s="127">
        <f t="shared" si="178"/>
        <v>0</v>
      </c>
      <c r="W609" s="19">
        <v>0</v>
      </c>
      <c r="X609" s="19">
        <v>0</v>
      </c>
      <c r="Y609" s="128">
        <v>0</v>
      </c>
      <c r="Z609" s="128">
        <v>0</v>
      </c>
      <c r="AA609" s="126">
        <v>0</v>
      </c>
      <c r="AB609" s="129">
        <f t="shared" si="169"/>
        <v>0</v>
      </c>
      <c r="AC609" s="130">
        <v>0</v>
      </c>
      <c r="AD609" s="35">
        <f t="shared" si="181"/>
        <v>0</v>
      </c>
      <c r="AE609" s="166" t="str">
        <f t="shared" si="182"/>
        <v>Release</v>
      </c>
      <c r="AF609" s="127"/>
      <c r="AG609" s="18">
        <v>0</v>
      </c>
      <c r="AH609" s="132"/>
      <c r="AI609" s="238">
        <v>0</v>
      </c>
      <c r="AJ609" s="132"/>
      <c r="AK609" s="151">
        <v>197.20000000000002</v>
      </c>
      <c r="AL609" s="154">
        <f t="shared" si="170"/>
        <v>0</v>
      </c>
      <c r="AM609" s="155"/>
      <c r="AN609" s="19">
        <f t="shared" si="171"/>
        <v>1861</v>
      </c>
      <c r="AO609" s="118">
        <f>SUMIF('MPG Payment '!E:E,'Shayak Income '!D609,'MPG Payment '!AJ:AJ)</f>
        <v>500</v>
      </c>
      <c r="AP609" s="19">
        <f t="shared" si="172"/>
        <v>0</v>
      </c>
      <c r="AQ609" s="119">
        <f t="shared" si="183"/>
        <v>500</v>
      </c>
      <c r="AR609" s="91" t="s">
        <v>1168</v>
      </c>
      <c r="AS609" s="91">
        <f t="shared" si="173"/>
        <v>6400</v>
      </c>
      <c r="AT609" s="118"/>
      <c r="AU609" s="118"/>
      <c r="AV609" s="118"/>
    </row>
    <row r="610" spans="1:48" s="20" customFormat="1" x14ac:dyDescent="0.25">
      <c r="A610" s="17">
        <f>IFERROR(VLOOKUP(D610,'Monthly Deduction'!$I$3:$J$957,2,0),0)</f>
        <v>0</v>
      </c>
      <c r="B610" s="17">
        <f>IFERROR(VLOOKUP(D610,'Monthly Deduction'!$E$3:$F$957,2,0),0)</f>
        <v>0</v>
      </c>
      <c r="C610" s="17">
        <f t="shared" si="174"/>
        <v>0</v>
      </c>
      <c r="D610" s="41">
        <v>10060117</v>
      </c>
      <c r="E610" s="122" t="str">
        <f>VLOOKUP(D610,'MPG Payment '!$E$3:$G$498218,2,0)</f>
        <v>GOMUKH MAHGAMA</v>
      </c>
      <c r="F610" s="146">
        <f>IFERROR(_xlfn.XLOOKUP(D610,'Monthly Deduction'!$I$3:$I$957,'Monthly Deduction'!$H$3:$H$957),0)</f>
        <v>0</v>
      </c>
      <c r="G610" s="123" t="str">
        <f>VLOOKUP(D610,'MPG Payment '!$E$3:$G$334579,3,0)</f>
        <v>vlc</v>
      </c>
      <c r="H610" s="124" t="str">
        <f>VLOOKUP(D610,'MPG Payment '!$E$3:$H$334579,4,0)</f>
        <v>Indirect</v>
      </c>
      <c r="I610" s="88">
        <f>INDEX('MPG Payment '!$C:$C,MATCH('Shayak Income '!D610,'MPG Payment '!E:E,0))</f>
        <v>1006</v>
      </c>
      <c r="J610" s="88" t="str">
        <f>INDEX('MPG Payment '!$D:$D,MATCH('Shayak Income '!D610,'MPG Payment '!E:E,0))</f>
        <v>Sonvarsha</v>
      </c>
      <c r="K610" s="125" t="s">
        <v>1322</v>
      </c>
      <c r="L610" s="125">
        <v>45906</v>
      </c>
      <c r="M610" s="126">
        <f>SUMIF('MPG Payment '!$E$3:$E$34579,'Shayak Income '!D610,'MPG Payment '!$I$3:$I$34579)</f>
        <v>26.700000000000003</v>
      </c>
      <c r="N610" s="126">
        <f>SUMIF('MPG Payment '!$E$3:$E$34579,'Shayak Income '!D610,'MPG Payment '!$J$3:$J$34579)</f>
        <v>1208.4000000000001</v>
      </c>
      <c r="O610" s="126">
        <f t="shared" si="175"/>
        <v>20.025000000000002</v>
      </c>
      <c r="P610" s="126">
        <f t="shared" si="176"/>
        <v>25.365000000000002</v>
      </c>
      <c r="Q610" s="126">
        <f>SUMIF('MPG Payment '!$E$3:$E$34579,'Shayak Income '!D610,'MPG Payment '!$S$3:$S$34579)</f>
        <v>0</v>
      </c>
      <c r="R610" s="126">
        <f t="shared" si="167"/>
        <v>36.252000000000002</v>
      </c>
      <c r="S610" s="126">
        <f t="shared" si="168"/>
        <v>10.887</v>
      </c>
      <c r="T610" s="126">
        <f t="shared" si="177"/>
        <v>2.6700000000000004</v>
      </c>
      <c r="U610" s="127">
        <f>(((IF(K610="New",0,SUMIF('MPG Payment '!$E$3:$E$34579,'Shayak Income '!D610,'MPG Payment '!$AC$3:$AC$34579))))+0)+-567</f>
        <v>42.449977528089903</v>
      </c>
      <c r="V610" s="127">
        <f t="shared" si="178"/>
        <v>0</v>
      </c>
      <c r="W610" s="19">
        <v>0</v>
      </c>
      <c r="X610" s="19">
        <v>0</v>
      </c>
      <c r="Y610" s="128">
        <f>IFERROR(VLOOKUP(D610,'Monthly Deduction'!$M$2:$N$64,2,0),0)</f>
        <v>0</v>
      </c>
      <c r="Z610" s="128">
        <v>0</v>
      </c>
      <c r="AA610" s="126">
        <f>IFERROR(VLOOKUP(D610,'Monthly Deduction'!A:B,2,0),0)</f>
        <v>0</v>
      </c>
      <c r="AB610" s="129">
        <f t="shared" si="169"/>
        <v>0</v>
      </c>
      <c r="AC610" s="130">
        <f>AB610</f>
        <v>0</v>
      </c>
      <c r="AD610" s="35">
        <f t="shared" si="181"/>
        <v>0</v>
      </c>
      <c r="AE610" s="166" t="str">
        <f t="shared" si="182"/>
        <v>Release</v>
      </c>
      <c r="AF610" s="127"/>
      <c r="AG610" s="18">
        <v>0</v>
      </c>
      <c r="AH610" s="132" t="s">
        <v>1648</v>
      </c>
      <c r="AI610" s="238">
        <v>0</v>
      </c>
      <c r="AJ610" s="132"/>
      <c r="AK610" s="151">
        <v>0</v>
      </c>
      <c r="AL610" s="154">
        <f t="shared" si="170"/>
        <v>0</v>
      </c>
      <c r="AM610" s="155"/>
      <c r="AN610" s="19">
        <f t="shared" si="171"/>
        <v>0</v>
      </c>
      <c r="AO610" s="118">
        <f>SUMIF('MPG Payment '!E:E,'Shayak Income '!D610,'MPG Payment '!AJ:AJ)</f>
        <v>0</v>
      </c>
      <c r="AP610" s="19">
        <f t="shared" si="172"/>
        <v>0</v>
      </c>
      <c r="AQ610" s="119">
        <f t="shared" si="183"/>
        <v>0</v>
      </c>
      <c r="AR610" s="91" t="s">
        <v>1168</v>
      </c>
      <c r="AS610" s="91">
        <f t="shared" si="173"/>
        <v>0</v>
      </c>
      <c r="AT610" s="118"/>
      <c r="AU610" s="118"/>
      <c r="AV610" s="118"/>
    </row>
    <row r="611" spans="1:48" s="20" customFormat="1" x14ac:dyDescent="0.25">
      <c r="A611" s="17">
        <f>IFERROR(VLOOKUP(D611,'Monthly Deduction'!$I$3:$J$957,2,0),0)</f>
        <v>0</v>
      </c>
      <c r="B611" s="17">
        <f>IFERROR(VLOOKUP(D611,'Monthly Deduction'!$E$3:$F$957,2,0),0)</f>
        <v>0</v>
      </c>
      <c r="C611" s="17">
        <f t="shared" si="174"/>
        <v>0</v>
      </c>
      <c r="D611" s="41">
        <v>10060118</v>
      </c>
      <c r="E611" s="122" t="str">
        <f>VLOOKUP(D611,'MPG Payment '!$E$3:$G$498218,2,0)</f>
        <v>GOMUKH BAGALWA</v>
      </c>
      <c r="F611" s="146">
        <f>IFERROR(_xlfn.XLOOKUP(D611,'Monthly Deduction'!$I$3:$I$957,'Monthly Deduction'!$H$3:$H$957),0)</f>
        <v>0</v>
      </c>
      <c r="G611" s="123" t="str">
        <f>VLOOKUP(D611,'MPG Payment '!$E$3:$G$334579,3,0)</f>
        <v>MPG</v>
      </c>
      <c r="H611" s="124" t="str">
        <f>VLOOKUP(D611,'MPG Payment '!$E$3:$H$334579,4,0)</f>
        <v>Direct</v>
      </c>
      <c r="I611" s="88">
        <f>INDEX('MPG Payment '!$C:$C,MATCH('Shayak Income '!D611,'MPG Payment '!E:E,0))</f>
        <v>1006</v>
      </c>
      <c r="J611" s="88" t="str">
        <f>INDEX('MPG Payment '!$D:$D,MATCH('Shayak Income '!D611,'MPG Payment '!E:E,0))</f>
        <v>Sonvarsha</v>
      </c>
      <c r="K611" s="125" t="s">
        <v>1322</v>
      </c>
      <c r="L611" s="125">
        <v>45906</v>
      </c>
      <c r="M611" s="126">
        <f>SUMIF('MPG Payment '!$E$3:$E$34579,'Shayak Income '!D611,'MPG Payment '!$I$3:$I$34579)</f>
        <v>1347</v>
      </c>
      <c r="N611" s="126">
        <f>SUMIF('MPG Payment '!$E$3:$E$34579,'Shayak Income '!D611,'MPG Payment '!$J$3:$J$34579)</f>
        <v>56612.794186254003</v>
      </c>
      <c r="O611" s="126">
        <f t="shared" si="175"/>
        <v>1010.25</v>
      </c>
      <c r="P611" s="126">
        <f>N611*3%</f>
        <v>1698.3838255876201</v>
      </c>
      <c r="Q611" s="126">
        <f>SUMIF('MPG Payment '!$E$3:$E$34579,'Shayak Income '!D611,'MPG Payment '!$S$3:$S$34579)</f>
        <v>148.297141278</v>
      </c>
      <c r="R611" s="126">
        <f t="shared" si="167"/>
        <v>1698.3838255876201</v>
      </c>
      <c r="S611" s="126">
        <f t="shared" si="168"/>
        <v>0</v>
      </c>
      <c r="T611" s="126">
        <f t="shared" si="177"/>
        <v>134.70000000000002</v>
      </c>
      <c r="U611" s="127">
        <f>(((IF(K611="New",0,SUMIF('MPG Payment '!$E$3:$E$34579,'Shayak Income '!D611,'MPG Payment '!$AC$3:$AC$34579))))+0)+0</f>
        <v>1249.3768006845212</v>
      </c>
      <c r="V611" s="127">
        <f t="shared" si="178"/>
        <v>1473</v>
      </c>
      <c r="W611" s="19">
        <f t="shared" si="179"/>
        <v>0</v>
      </c>
      <c r="X611" s="19">
        <f t="shared" si="180"/>
        <v>0</v>
      </c>
      <c r="Y611" s="128">
        <f>IFERROR(VLOOKUP(D611,'Monthly Deduction'!$M$2:$N$64,2,0),0)</f>
        <v>0</v>
      </c>
      <c r="Z611" s="128">
        <v>0</v>
      </c>
      <c r="AA611" s="126">
        <f>IFERROR(VLOOKUP(D611,'Monthly Deduction'!A:B,2,0),0)</f>
        <v>0</v>
      </c>
      <c r="AB611" s="129">
        <f t="shared" si="169"/>
        <v>1473</v>
      </c>
      <c r="AC611" s="130">
        <v>0</v>
      </c>
      <c r="AD611" s="35">
        <f t="shared" si="181"/>
        <v>1473</v>
      </c>
      <c r="AE611" s="166" t="str">
        <f t="shared" si="182"/>
        <v>Release</v>
      </c>
      <c r="AF611" s="127"/>
      <c r="AG611" s="127">
        <v>0</v>
      </c>
      <c r="AH611" s="120"/>
      <c r="AI611" s="238">
        <v>0</v>
      </c>
      <c r="AJ611" s="132"/>
      <c r="AK611" s="151">
        <v>194.3</v>
      </c>
      <c r="AL611" s="154">
        <f t="shared" si="170"/>
        <v>0</v>
      </c>
      <c r="AM611" s="155"/>
      <c r="AN611" s="19">
        <f t="shared" si="171"/>
        <v>0</v>
      </c>
      <c r="AO611" s="118">
        <f>SUMIF('MPG Payment '!E:E,'Shayak Income '!D611,'MPG Payment '!AJ:AJ)</f>
        <v>0</v>
      </c>
      <c r="AP611" s="19">
        <f t="shared" si="172"/>
        <v>0</v>
      </c>
      <c r="AQ611" s="119">
        <f t="shared" si="183"/>
        <v>0</v>
      </c>
      <c r="AR611" s="91" t="s">
        <v>1168</v>
      </c>
      <c r="AS611" s="91">
        <f t="shared" si="173"/>
        <v>0</v>
      </c>
      <c r="AT611" s="118"/>
      <c r="AU611" s="118"/>
      <c r="AV611" s="118"/>
    </row>
    <row r="612" spans="1:48" s="20" customFormat="1" x14ac:dyDescent="0.25">
      <c r="A612" s="17">
        <f>IFERROR(VLOOKUP(D612,'Monthly Deduction'!$I$3:$J$957,2,0),0)</f>
        <v>0</v>
      </c>
      <c r="B612" s="17">
        <f>IFERROR(VLOOKUP(D612,'Monthly Deduction'!$E$3:$F$957,2,0),0)</f>
        <v>0</v>
      </c>
      <c r="C612" s="17">
        <f t="shared" si="174"/>
        <v>0</v>
      </c>
      <c r="D612" s="41">
        <v>10550001</v>
      </c>
      <c r="E612" s="122" t="str">
        <f>VLOOKUP(D612,'MPG Payment '!$E$3:$G$498218,2,0)</f>
        <v>Balahpur-Anil Yadav</v>
      </c>
      <c r="F612" s="146">
        <f>IFERROR(_xlfn.XLOOKUP(D612,'Monthly Deduction'!$I$3:$I$957,'Monthly Deduction'!$H$3:$H$957),0)</f>
        <v>0</v>
      </c>
      <c r="G612" s="123" t="str">
        <f>VLOOKUP(D612,'MPG Payment '!$E$3:$G$334579,3,0)</f>
        <v>vlc</v>
      </c>
      <c r="H612" s="124" t="str">
        <f>VLOOKUP(D612,'MPG Payment '!$E$3:$H$334579,4,0)</f>
        <v>Indirect</v>
      </c>
      <c r="I612" s="88">
        <f>INDEX('MPG Payment '!$C:$C,MATCH('Shayak Income '!D612,'MPG Payment '!E:E,0))</f>
        <v>1055</v>
      </c>
      <c r="J612" s="88" t="str">
        <f>INDEX('MPG Payment '!$D:$D,MATCH('Shayak Income '!D612,'MPG Payment '!E:E,0))</f>
        <v>Matihani</v>
      </c>
      <c r="K612" s="125" t="s">
        <v>1322</v>
      </c>
      <c r="L612" s="125">
        <v>45863</v>
      </c>
      <c r="M612" s="126">
        <f>SUMIF('MPG Payment '!$E$3:$E$34579,'Shayak Income '!D612,'MPG Payment '!$I$3:$I$34579)</f>
        <v>98180.7</v>
      </c>
      <c r="N612" s="126">
        <f>SUMIF('MPG Payment '!$E$3:$E$34579,'Shayak Income '!D612,'MPG Payment '!$J$3:$J$34579)</f>
        <v>3520493.2206560005</v>
      </c>
      <c r="O612" s="126">
        <f t="shared" si="175"/>
        <v>73635.524999999994</v>
      </c>
      <c r="P612" s="126">
        <f t="shared" si="176"/>
        <v>93271.664999999994</v>
      </c>
      <c r="Q612" s="126">
        <f>SUMIF('MPG Payment '!$E$3:$E$34579,'Shayak Income '!D612,'MPG Payment '!$S$3:$S$34579)</f>
        <v>0</v>
      </c>
      <c r="R612" s="126">
        <f t="shared" si="167"/>
        <v>105614.79661968001</v>
      </c>
      <c r="S612" s="126">
        <f t="shared" si="168"/>
        <v>12343.131619680018</v>
      </c>
      <c r="T612" s="126">
        <f t="shared" si="177"/>
        <v>9818.07</v>
      </c>
      <c r="U612" s="127">
        <f>(((IF(K612="New",0,SUMIF('MPG Payment '!$E$3:$E$34579,'Shayak Income '!D612,'MPG Payment '!$AC$3:$AC$34579))))+0)+0</f>
        <v>0</v>
      </c>
      <c r="V612" s="127">
        <f t="shared" si="178"/>
        <v>157089</v>
      </c>
      <c r="W612" s="19">
        <f t="shared" si="179"/>
        <v>0</v>
      </c>
      <c r="X612" s="19">
        <f t="shared" si="180"/>
        <v>0</v>
      </c>
      <c r="Y612" s="128">
        <f>IFERROR(VLOOKUP(D612,'Monthly Deduction'!$M$2:$N$64,2,0),0)</f>
        <v>0</v>
      </c>
      <c r="Z612" s="128">
        <v>0</v>
      </c>
      <c r="AA612" s="126">
        <f>IFERROR(VLOOKUP(D612,'Monthly Deduction'!A:B,2,0),0)</f>
        <v>0</v>
      </c>
      <c r="AB612" s="129">
        <f t="shared" si="169"/>
        <v>157089</v>
      </c>
      <c r="AC612" s="130">
        <v>0</v>
      </c>
      <c r="AD612" s="35">
        <f t="shared" si="181"/>
        <v>157089</v>
      </c>
      <c r="AE612" s="166" t="str">
        <f t="shared" si="182"/>
        <v>Release</v>
      </c>
      <c r="AF612" s="127"/>
      <c r="AG612" s="18">
        <v>0</v>
      </c>
      <c r="AH612" s="120"/>
      <c r="AI612" s="238">
        <v>0</v>
      </c>
      <c r="AJ612" s="132"/>
      <c r="AK612" s="151">
        <v>33593</v>
      </c>
      <c r="AL612" s="154">
        <f t="shared" si="170"/>
        <v>0</v>
      </c>
      <c r="AM612" s="155"/>
      <c r="AN612" s="19">
        <f t="shared" si="171"/>
        <v>0</v>
      </c>
      <c r="AO612" s="118">
        <f>SUMIF('MPG Payment '!E:E,'Shayak Income '!D612,'MPG Payment '!AJ:AJ)</f>
        <v>0</v>
      </c>
      <c r="AP612" s="19">
        <f t="shared" si="172"/>
        <v>0</v>
      </c>
      <c r="AQ612" s="119">
        <f t="shared" si="183"/>
        <v>0</v>
      </c>
      <c r="AR612" s="91" t="s">
        <v>1168</v>
      </c>
      <c r="AS612" s="91">
        <f t="shared" si="173"/>
        <v>0</v>
      </c>
      <c r="AT612" s="118"/>
      <c r="AU612" s="118"/>
      <c r="AV612" s="118"/>
    </row>
    <row r="613" spans="1:48" s="20" customFormat="1" x14ac:dyDescent="0.25">
      <c r="A613" s="17">
        <f>IFERROR(VLOOKUP(D613,'Monthly Deduction'!$I$3:$J$957,2,0),0)</f>
        <v>0</v>
      </c>
      <c r="B613" s="17">
        <f>IFERROR(VLOOKUP(D613,'Monthly Deduction'!$E$3:$F$957,2,0),0)</f>
        <v>0</v>
      </c>
      <c r="C613" s="17">
        <f t="shared" si="174"/>
        <v>0</v>
      </c>
      <c r="D613" s="41">
        <v>10020081</v>
      </c>
      <c r="E613" s="122" t="str">
        <f>VLOOKUP(D613,'MPG Payment '!$E$3:$G$498218,2,0)</f>
        <v>G WOLIPUR</v>
      </c>
      <c r="F613" s="146">
        <f>IFERROR(_xlfn.XLOOKUP(D613,'Monthly Deduction'!$I$3:$I$957,'Monthly Deduction'!$H$3:$H$957),0)</f>
        <v>0</v>
      </c>
      <c r="G613" s="123" t="str">
        <f>VLOOKUP(D613,'MPG Payment '!$E$3:$G$334579,3,0)</f>
        <v>vlc</v>
      </c>
      <c r="H613" s="124" t="str">
        <f>VLOOKUP(D613,'MPG Payment '!$E$3:$H$334579,4,0)</f>
        <v>Indirect</v>
      </c>
      <c r="I613" s="88">
        <f>INDEX('MPG Payment '!$C:$C,MATCH('Shayak Income '!D613,'MPG Payment '!E:E,0))</f>
        <v>1002</v>
      </c>
      <c r="J613" s="88" t="str">
        <f>INDEX('MPG Payment '!$D:$D,MATCH('Shayak Income '!D613,'MPG Payment '!E:E,0))</f>
        <v>Laldiyara</v>
      </c>
      <c r="K613" s="125" t="s">
        <v>1322</v>
      </c>
      <c r="L613" s="125">
        <v>45915</v>
      </c>
      <c r="M613" s="126">
        <f>SUMIF('MPG Payment '!$E$3:$E$34579,'Shayak Income '!D613,'MPG Payment '!$I$3:$I$34579)</f>
        <v>8677.4</v>
      </c>
      <c r="N613" s="126">
        <f>SUMIF('MPG Payment '!$E$3:$E$34579,'Shayak Income '!D613,'MPG Payment '!$J$3:$J$34579)</f>
        <v>338774.66662639403</v>
      </c>
      <c r="O613" s="126">
        <f t="shared" si="175"/>
        <v>6508.0499999999993</v>
      </c>
      <c r="P613" s="126">
        <f t="shared" si="176"/>
        <v>8243.5299999999988</v>
      </c>
      <c r="Q613" s="126">
        <f>SUMIF('MPG Payment '!$E$3:$E$34579,'Shayak Income '!D613,'MPG Payment '!$S$3:$S$34579)</f>
        <v>0</v>
      </c>
      <c r="R613" s="126">
        <f t="shared" si="167"/>
        <v>10163.23999879182</v>
      </c>
      <c r="S613" s="126">
        <f t="shared" si="168"/>
        <v>1919.7099987918209</v>
      </c>
      <c r="T613" s="126">
        <f t="shared" si="177"/>
        <v>867.74</v>
      </c>
      <c r="U613" s="127">
        <f>(((IF(K613="New",0,SUMIF('MPG Payment '!$E$3:$E$34579,'Shayak Income '!D613,'MPG Payment '!$AC$3:$AC$34579))))+0)+0</f>
        <v>0</v>
      </c>
      <c r="V613" s="127">
        <f t="shared" si="178"/>
        <v>13884</v>
      </c>
      <c r="W613" s="19">
        <f t="shared" si="179"/>
        <v>0</v>
      </c>
      <c r="X613" s="19">
        <f t="shared" si="180"/>
        <v>0</v>
      </c>
      <c r="Y613" s="128">
        <f>IFERROR(VLOOKUP(D613,'Monthly Deduction'!$M$2:$N$64,2,0),0)</f>
        <v>0</v>
      </c>
      <c r="Z613" s="128">
        <v>0</v>
      </c>
      <c r="AA613" s="126">
        <f>IFERROR(VLOOKUP(D613,'Monthly Deduction'!A:B,2,0),0)</f>
        <v>0</v>
      </c>
      <c r="AB613" s="129">
        <f t="shared" si="169"/>
        <v>13884</v>
      </c>
      <c r="AC613" s="130">
        <v>0</v>
      </c>
      <c r="AD613" s="35">
        <f t="shared" si="181"/>
        <v>13884</v>
      </c>
      <c r="AE613" s="166" t="str">
        <f t="shared" si="182"/>
        <v>Release</v>
      </c>
      <c r="AF613" s="127"/>
      <c r="AG613" s="18">
        <v>0</v>
      </c>
      <c r="AH613" s="120"/>
      <c r="AI613" s="238">
        <v>0</v>
      </c>
      <c r="AJ613" s="132"/>
      <c r="AK613" s="151">
        <v>2426.4999999999995</v>
      </c>
      <c r="AL613" s="154">
        <f t="shared" si="170"/>
        <v>0</v>
      </c>
      <c r="AM613" s="155"/>
      <c r="AN613" s="19">
        <f t="shared" si="171"/>
        <v>0</v>
      </c>
      <c r="AO613" s="118">
        <f>SUMIF('MPG Payment '!E:E,'Shayak Income '!D613,'MPG Payment '!AJ:AJ)</f>
        <v>0</v>
      </c>
      <c r="AP613" s="19">
        <f t="shared" si="172"/>
        <v>0</v>
      </c>
      <c r="AQ613" s="119">
        <f t="shared" si="183"/>
        <v>0</v>
      </c>
      <c r="AR613" s="91" t="s">
        <v>1168</v>
      </c>
      <c r="AS613" s="91">
        <f t="shared" si="173"/>
        <v>0</v>
      </c>
      <c r="AT613" s="118"/>
      <c r="AU613" s="118"/>
      <c r="AV613" s="118"/>
    </row>
    <row r="614" spans="1:48" s="20" customFormat="1" x14ac:dyDescent="0.25">
      <c r="A614" s="17">
        <f>IFERROR(VLOOKUP(D614,'Monthly Deduction'!$I$3:$J$957,2,0),0)</f>
        <v>0</v>
      </c>
      <c r="B614" s="17">
        <f>IFERROR(VLOOKUP(D614,'Monthly Deduction'!$E$3:$F$957,2,0),0)</f>
        <v>0</v>
      </c>
      <c r="C614" s="17">
        <f t="shared" si="174"/>
        <v>0</v>
      </c>
      <c r="D614" s="41">
        <v>10020082</v>
      </c>
      <c r="E614" s="122" t="str">
        <f>VLOOKUP(D614,'MPG Payment '!$E$3:$G$498218,2,0)</f>
        <v>REHUA 3</v>
      </c>
      <c r="F614" s="146">
        <f>IFERROR(_xlfn.XLOOKUP(D614,'Monthly Deduction'!$I$3:$I$957,'Monthly Deduction'!$H$3:$H$957),0)</f>
        <v>0</v>
      </c>
      <c r="G614" s="123" t="str">
        <f>VLOOKUP(D614,'MPG Payment '!$E$3:$G$334579,3,0)</f>
        <v>vlc</v>
      </c>
      <c r="H614" s="124" t="str">
        <f>VLOOKUP(D614,'MPG Payment '!$E$3:$H$334579,4,0)</f>
        <v>Indirect</v>
      </c>
      <c r="I614" s="88">
        <f>INDEX('MPG Payment '!$C:$C,MATCH('Shayak Income '!D614,'MPG Payment '!E:E,0))</f>
        <v>1002</v>
      </c>
      <c r="J614" s="88" t="str">
        <f>INDEX('MPG Payment '!$D:$D,MATCH('Shayak Income '!D614,'MPG Payment '!E:E,0))</f>
        <v>Laldiyara</v>
      </c>
      <c r="K614" s="125" t="s">
        <v>1322</v>
      </c>
      <c r="L614" s="125">
        <v>45915</v>
      </c>
      <c r="M614" s="126">
        <f>SUMIF('MPG Payment '!$E$3:$E$34579,'Shayak Income '!D614,'MPG Payment '!$I$3:$I$34579)</f>
        <v>5212.5</v>
      </c>
      <c r="N614" s="126">
        <f>SUMIF('MPG Payment '!$E$3:$E$34579,'Shayak Income '!D614,'MPG Payment '!$J$3:$J$34579)</f>
        <v>215790.79637046802</v>
      </c>
      <c r="O614" s="126">
        <f t="shared" si="175"/>
        <v>3909.375</v>
      </c>
      <c r="P614" s="126">
        <f t="shared" si="176"/>
        <v>4951.875</v>
      </c>
      <c r="Q614" s="126">
        <f>SUMIF('MPG Payment '!$E$3:$E$34579,'Shayak Income '!D614,'MPG Payment '!$S$3:$S$34579)</f>
        <v>0</v>
      </c>
      <c r="R614" s="126">
        <f t="shared" si="167"/>
        <v>6473.7238911140403</v>
      </c>
      <c r="S614" s="126">
        <f t="shared" si="168"/>
        <v>1521.8488911140403</v>
      </c>
      <c r="T614" s="126">
        <f t="shared" si="177"/>
        <v>521.25</v>
      </c>
      <c r="U614" s="127">
        <f>(((IF(K614="New",0,SUMIF('MPG Payment '!$E$3:$E$34579,'Shayak Income '!D614,'MPG Payment '!$AC$3:$AC$34579))))+0)+0</f>
        <v>0</v>
      </c>
      <c r="V614" s="127">
        <f t="shared" si="178"/>
        <v>8340</v>
      </c>
      <c r="W614" s="19">
        <f t="shared" si="179"/>
        <v>0</v>
      </c>
      <c r="X614" s="19">
        <f t="shared" si="180"/>
        <v>0</v>
      </c>
      <c r="Y614" s="128">
        <f>IFERROR(VLOOKUP(D614,'Monthly Deduction'!$M$2:$N$64,2,0),0)</f>
        <v>0</v>
      </c>
      <c r="Z614" s="128">
        <v>0</v>
      </c>
      <c r="AA614" s="126">
        <f>IFERROR(VLOOKUP(D614,'Monthly Deduction'!A:B,2,0),0)</f>
        <v>0</v>
      </c>
      <c r="AB614" s="129">
        <f t="shared" si="169"/>
        <v>8340</v>
      </c>
      <c r="AC614" s="130">
        <v>0</v>
      </c>
      <c r="AD614" s="35">
        <f t="shared" si="181"/>
        <v>8340</v>
      </c>
      <c r="AE614" s="166" t="str">
        <f t="shared" si="182"/>
        <v>Release</v>
      </c>
      <c r="AF614" s="127"/>
      <c r="AG614" s="127">
        <v>0</v>
      </c>
      <c r="AH614" s="132"/>
      <c r="AI614" s="238">
        <v>0</v>
      </c>
      <c r="AJ614" s="132"/>
      <c r="AK614" s="151">
        <v>1311.7</v>
      </c>
      <c r="AL614" s="154">
        <f t="shared" si="170"/>
        <v>0</v>
      </c>
      <c r="AM614" s="155"/>
      <c r="AN614" s="19">
        <f t="shared" si="171"/>
        <v>0</v>
      </c>
      <c r="AO614" s="118">
        <f>SUMIF('MPG Payment '!E:E,'Shayak Income '!D614,'MPG Payment '!AJ:AJ)</f>
        <v>0</v>
      </c>
      <c r="AP614" s="19">
        <f t="shared" si="172"/>
        <v>0</v>
      </c>
      <c r="AQ614" s="119">
        <f t="shared" si="183"/>
        <v>0</v>
      </c>
      <c r="AR614" s="91" t="s">
        <v>1168</v>
      </c>
      <c r="AS614" s="91">
        <f t="shared" si="173"/>
        <v>0</v>
      </c>
      <c r="AT614" s="118"/>
      <c r="AU614" s="118"/>
      <c r="AV614" s="118"/>
    </row>
    <row r="615" spans="1:48" s="20" customFormat="1" x14ac:dyDescent="0.25">
      <c r="A615" s="17">
        <f>IFERROR(VLOOKUP(D615,'Monthly Deduction'!$I$3:$J$957,2,0),0)</f>
        <v>0</v>
      </c>
      <c r="B615" s="17">
        <f>IFERROR(VLOOKUP(D615,'Monthly Deduction'!$E$3:$F$957,2,0),0)</f>
        <v>0</v>
      </c>
      <c r="C615" s="17">
        <f t="shared" si="174"/>
        <v>0</v>
      </c>
      <c r="D615" s="41">
        <v>10030077</v>
      </c>
      <c r="E615" s="122" t="str">
        <f>VLOOKUP(D615,'MPG Payment '!$E$3:$G$498218,2,0)</f>
        <v>KARHARIA V</v>
      </c>
      <c r="F615" s="146">
        <f>IFERROR(_xlfn.XLOOKUP(D615,'Monthly Deduction'!$I$3:$I$957,'Monthly Deduction'!$H$3:$H$957),0)</f>
        <v>0</v>
      </c>
      <c r="G615" s="123" t="str">
        <f>VLOOKUP(D615,'MPG Payment '!$E$3:$G$334579,3,0)</f>
        <v>vlc</v>
      </c>
      <c r="H615" s="124" t="str">
        <f>VLOOKUP(D615,'MPG Payment '!$E$3:$H$334579,4,0)</f>
        <v>Indirect</v>
      </c>
      <c r="I615" s="88">
        <f>INDEX('MPG Payment '!$C:$C,MATCH('Shayak Income '!D615,'MPG Payment '!E:E,0))</f>
        <v>1003</v>
      </c>
      <c r="J615" s="88" t="str">
        <f>INDEX('MPG Payment '!$D:$D,MATCH('Shayak Income '!D615,'MPG Payment '!E:E,0))</f>
        <v>Asarganj</v>
      </c>
      <c r="K615" s="125" t="s">
        <v>1322</v>
      </c>
      <c r="L615" s="125">
        <v>45916</v>
      </c>
      <c r="M615" s="126">
        <f>SUMIF('MPG Payment '!$E$3:$E$34579,'Shayak Income '!D615,'MPG Payment '!$I$3:$I$34579)</f>
        <v>963.84999999999991</v>
      </c>
      <c r="N615" s="126">
        <f>SUMIF('MPG Payment '!$E$3:$E$34579,'Shayak Income '!D615,'MPG Payment '!$J$3:$J$34579)</f>
        <v>34370.16666209</v>
      </c>
      <c r="O615" s="126">
        <f t="shared" si="175"/>
        <v>722.88749999999993</v>
      </c>
      <c r="P615" s="126">
        <f t="shared" si="176"/>
        <v>915.65749999999991</v>
      </c>
      <c r="Q615" s="126">
        <f>SUMIF('MPG Payment '!$E$3:$E$34579,'Shayak Income '!D615,'MPG Payment '!$S$3:$S$34579)</f>
        <v>0</v>
      </c>
      <c r="R615" s="126">
        <f t="shared" si="167"/>
        <v>1031.1049998627</v>
      </c>
      <c r="S615" s="126">
        <f t="shared" si="168"/>
        <v>115.44749986270006</v>
      </c>
      <c r="T615" s="126">
        <f t="shared" si="177"/>
        <v>96.384999999999991</v>
      </c>
      <c r="U615" s="127">
        <f>(((IF(K615="New",0,SUMIF('MPG Payment '!$E$3:$E$34579,'Shayak Income '!D615,'MPG Payment '!$AC$3:$AC$34579))))+0)+0</f>
        <v>1312.4793735946137</v>
      </c>
      <c r="V615" s="127">
        <f t="shared" si="178"/>
        <v>230</v>
      </c>
      <c r="W615" s="19">
        <f t="shared" si="179"/>
        <v>0</v>
      </c>
      <c r="X615" s="19">
        <f t="shared" si="180"/>
        <v>0</v>
      </c>
      <c r="Y615" s="128">
        <f>IFERROR(VLOOKUP(D615,'Monthly Deduction'!$M$2:$N$64,2,0),0)</f>
        <v>0</v>
      </c>
      <c r="Z615" s="128">
        <v>0</v>
      </c>
      <c r="AA615" s="126">
        <f>IFERROR(VLOOKUP(D615,'Monthly Deduction'!A:B,2,0),0)</f>
        <v>0</v>
      </c>
      <c r="AB615" s="129">
        <f t="shared" si="169"/>
        <v>230</v>
      </c>
      <c r="AC615" s="130">
        <v>0</v>
      </c>
      <c r="AD615" s="35">
        <f t="shared" si="181"/>
        <v>230</v>
      </c>
      <c r="AE615" s="166" t="str">
        <f t="shared" si="182"/>
        <v>Release</v>
      </c>
      <c r="AF615" s="127"/>
      <c r="AG615" s="18">
        <v>0</v>
      </c>
      <c r="AH615" s="120"/>
      <c r="AI615" s="238">
        <v>0</v>
      </c>
      <c r="AJ615" s="132"/>
      <c r="AK615" s="151">
        <v>208.60000000000002</v>
      </c>
      <c r="AL615" s="154">
        <f t="shared" si="170"/>
        <v>0</v>
      </c>
      <c r="AM615" s="155"/>
      <c r="AN615" s="19">
        <f t="shared" si="171"/>
        <v>0</v>
      </c>
      <c r="AO615" s="118">
        <f>SUMIF('MPG Payment '!E:E,'Shayak Income '!D615,'MPG Payment '!AJ:AJ)</f>
        <v>0</v>
      </c>
      <c r="AP615" s="19">
        <f t="shared" si="172"/>
        <v>0</v>
      </c>
      <c r="AQ615" s="119">
        <f t="shared" si="183"/>
        <v>0</v>
      </c>
      <c r="AR615" s="91" t="s">
        <v>1168</v>
      </c>
      <c r="AS615" s="91">
        <f t="shared" si="173"/>
        <v>0</v>
      </c>
      <c r="AT615" s="118"/>
      <c r="AU615" s="118"/>
      <c r="AV615" s="118"/>
    </row>
    <row r="616" spans="1:48" s="20" customFormat="1" x14ac:dyDescent="0.25">
      <c r="A616" s="17">
        <f>IFERROR(VLOOKUP(D616,'Monthly Deduction'!$I$3:$J$957,2,0),0)</f>
        <v>0</v>
      </c>
      <c r="B616" s="17">
        <f>IFERROR(VLOOKUP(D616,'Monthly Deduction'!$E$3:$F$957,2,0),0)</f>
        <v>0</v>
      </c>
      <c r="C616" s="17">
        <f t="shared" si="174"/>
        <v>0</v>
      </c>
      <c r="D616" s="41">
        <v>10090018</v>
      </c>
      <c r="E616" s="122" t="str">
        <f>VLOOKUP(D616,'MPG Payment '!$E$3:$G$498218,2,0)</f>
        <v>Gomukh ID Lalpur</v>
      </c>
      <c r="F616" s="146">
        <f>IFERROR(_xlfn.XLOOKUP(D616,'Monthly Deduction'!$I$3:$I$957,'Monthly Deduction'!$H$3:$H$957),0)</f>
        <v>0</v>
      </c>
      <c r="G616" s="123" t="str">
        <f>VLOOKUP(D616,'MPG Payment '!$E$3:$G$334579,3,0)</f>
        <v>vlc</v>
      </c>
      <c r="H616" s="124" t="str">
        <f>VLOOKUP(D616,'MPG Payment '!$E$3:$H$334579,4,0)</f>
        <v>Indirect</v>
      </c>
      <c r="I616" s="88">
        <f>INDEX('MPG Payment '!$C:$C,MATCH('Shayak Income '!D616,'MPG Payment '!E:E,0))</f>
        <v>1009</v>
      </c>
      <c r="J616" s="88" t="str">
        <f>INDEX('MPG Payment '!$D:$D,MATCH('Shayak Income '!D616,'MPG Payment '!E:E,0))</f>
        <v>Halsi</v>
      </c>
      <c r="K616" s="125" t="s">
        <v>1322</v>
      </c>
      <c r="L616" s="125">
        <v>44361</v>
      </c>
      <c r="M616" s="126">
        <f>SUMIF('MPG Payment '!$E$3:$E$34579,'Shayak Income '!D616,'MPG Payment '!$I$3:$I$34579)</f>
        <v>1263.2</v>
      </c>
      <c r="N616" s="126">
        <f>SUMIF('MPG Payment '!$E$3:$E$34579,'Shayak Income '!D616,'MPG Payment '!$J$3:$J$34579)</f>
        <v>48854.7570285244</v>
      </c>
      <c r="O616" s="126">
        <f t="shared" si="175"/>
        <v>947.40000000000009</v>
      </c>
      <c r="P616" s="126">
        <f t="shared" si="176"/>
        <v>1200.04</v>
      </c>
      <c r="Q616" s="126">
        <f>SUMIF('MPG Payment '!$E$3:$E$34579,'Shayak Income '!D616,'MPG Payment '!$S$3:$S$34579)</f>
        <v>0</v>
      </c>
      <c r="R616" s="126">
        <f t="shared" si="167"/>
        <v>1465.642710855732</v>
      </c>
      <c r="S616" s="126">
        <f t="shared" si="168"/>
        <v>265.60271085573208</v>
      </c>
      <c r="T616" s="126">
        <f t="shared" si="177"/>
        <v>126.32000000000001</v>
      </c>
      <c r="U616" s="127">
        <f>(((IF(K616="New",0,SUMIF('MPG Payment '!$E$3:$E$34579,'Shayak Income '!D616,'MPG Payment '!$AC$3:$AC$34579))))+0)+0</f>
        <v>1105.7931672257841</v>
      </c>
      <c r="V616" s="127">
        <f t="shared" si="178"/>
        <v>915</v>
      </c>
      <c r="W616" s="19">
        <f t="shared" si="179"/>
        <v>0</v>
      </c>
      <c r="X616" s="19">
        <f t="shared" si="180"/>
        <v>0</v>
      </c>
      <c r="Y616" s="128">
        <f>IFERROR(VLOOKUP(D616,'Monthly Deduction'!$M$2:$N$64,2,0),0)</f>
        <v>0</v>
      </c>
      <c r="Z616" s="128">
        <v>0</v>
      </c>
      <c r="AA616" s="126">
        <f>IFERROR(VLOOKUP(D616,'Monthly Deduction'!A:B,2,0),0)</f>
        <v>0</v>
      </c>
      <c r="AB616" s="129">
        <f t="shared" si="169"/>
        <v>915</v>
      </c>
      <c r="AC616" s="130">
        <v>0</v>
      </c>
      <c r="AD616" s="35">
        <f t="shared" si="181"/>
        <v>915</v>
      </c>
      <c r="AE616" s="166" t="str">
        <f t="shared" si="182"/>
        <v>Release</v>
      </c>
      <c r="AF616" s="127"/>
      <c r="AG616" s="18">
        <v>0</v>
      </c>
      <c r="AH616" s="120"/>
      <c r="AI616" s="238">
        <v>0</v>
      </c>
      <c r="AJ616" s="132"/>
      <c r="AK616" s="151">
        <v>821.4</v>
      </c>
      <c r="AL616" s="154">
        <f t="shared" si="170"/>
        <v>0</v>
      </c>
      <c r="AM616" s="155"/>
      <c r="AN616" s="19">
        <f t="shared" si="171"/>
        <v>0</v>
      </c>
      <c r="AO616" s="118">
        <f>SUMIF('MPG Payment '!E:E,'Shayak Income '!D616,'MPG Payment '!AJ:AJ)</f>
        <v>0</v>
      </c>
      <c r="AP616" s="19">
        <f t="shared" si="172"/>
        <v>0</v>
      </c>
      <c r="AQ616" s="119">
        <f t="shared" si="183"/>
        <v>0</v>
      </c>
      <c r="AR616" s="91" t="s">
        <v>1168</v>
      </c>
      <c r="AS616" s="91">
        <f t="shared" si="173"/>
        <v>0</v>
      </c>
      <c r="AT616" s="118"/>
      <c r="AU616" s="118"/>
      <c r="AV616" s="118"/>
    </row>
    <row r="617" spans="1:48" s="20" customFormat="1" x14ac:dyDescent="0.25">
      <c r="A617" s="17">
        <f>IFERROR(VLOOKUP(D617,'Monthly Deduction'!$I$3:$J$957,2,0),0)</f>
        <v>0</v>
      </c>
      <c r="B617" s="17">
        <f>IFERROR(VLOOKUP(D617,'Monthly Deduction'!$E$3:$F$957,2,0),0)</f>
        <v>0</v>
      </c>
      <c r="C617" s="17">
        <f t="shared" si="174"/>
        <v>0</v>
      </c>
      <c r="D617" s="41">
        <v>10530090</v>
      </c>
      <c r="E617" s="122" t="str">
        <f>VLOOKUP(D617,'MPG Payment '!$E$3:$G$498218,2,0)</f>
        <v>BHATGAMA W-5</v>
      </c>
      <c r="F617" s="146">
        <f>IFERROR(_xlfn.XLOOKUP(D617,'Monthly Deduction'!$I$3:$I$957,'Monthly Deduction'!$H$3:$H$957),0)</f>
        <v>0</v>
      </c>
      <c r="G617" s="123" t="str">
        <f>VLOOKUP(D617,'MPG Payment '!$E$3:$G$334579,3,0)</f>
        <v>vlc</v>
      </c>
      <c r="H617" s="124" t="str">
        <f>VLOOKUP(D617,'MPG Payment '!$E$3:$H$334579,4,0)</f>
        <v>Indirect</v>
      </c>
      <c r="I617" s="88">
        <f>INDEX('MPG Payment '!$C:$C,MATCH('Shayak Income '!D617,'MPG Payment '!E:E,0))</f>
        <v>1012</v>
      </c>
      <c r="J617" s="88" t="str">
        <f>INDEX('MPG Payment '!$D:$D,MATCH('Shayak Income '!D617,'MPG Payment '!E:E,0))</f>
        <v>DalsinghSarai</v>
      </c>
      <c r="K617" s="125" t="s">
        <v>1322</v>
      </c>
      <c r="L617" s="125">
        <v>45912</v>
      </c>
      <c r="M617" s="126">
        <f>SUMIF('MPG Payment '!$E$3:$E$34579,'Shayak Income '!D617,'MPG Payment '!$I$3:$I$34579)</f>
        <v>909.87999999999988</v>
      </c>
      <c r="N617" s="126">
        <f>SUMIF('MPG Payment '!$E$3:$E$34579,'Shayak Income '!D617,'MPG Payment '!$J$3:$J$34579)</f>
        <v>32629.550164598801</v>
      </c>
      <c r="O617" s="126">
        <f t="shared" si="175"/>
        <v>682.40999999999985</v>
      </c>
      <c r="P617" s="126">
        <f t="shared" si="176"/>
        <v>864.38599999999985</v>
      </c>
      <c r="Q617" s="126">
        <f>SUMIF('MPG Payment '!$E$3:$E$34579,'Shayak Income '!D617,'MPG Payment '!$S$3:$S$34579)</f>
        <v>0</v>
      </c>
      <c r="R617" s="126">
        <f t="shared" si="167"/>
        <v>978.88650493796399</v>
      </c>
      <c r="S617" s="126">
        <f t="shared" si="168"/>
        <v>114.50050493796414</v>
      </c>
      <c r="T617" s="126">
        <f t="shared" si="177"/>
        <v>90.988</v>
      </c>
      <c r="U617" s="127">
        <f>(((IF(K617="New",0,SUMIF('MPG Payment '!$E$3:$E$34579,'Shayak Income '!D617,'MPG Payment '!$AC$3:$AC$34579))))+0)+0</f>
        <v>1350.9499132402755</v>
      </c>
      <c r="V617" s="127">
        <f t="shared" si="178"/>
        <v>105</v>
      </c>
      <c r="W617" s="19">
        <f t="shared" si="179"/>
        <v>0</v>
      </c>
      <c r="X617" s="19">
        <f t="shared" si="180"/>
        <v>0</v>
      </c>
      <c r="Y617" s="128">
        <f>IFERROR(VLOOKUP(D617,'Monthly Deduction'!$M$2:$N$64,2,0),0)</f>
        <v>0</v>
      </c>
      <c r="Z617" s="128">
        <v>0</v>
      </c>
      <c r="AA617" s="126">
        <f>IFERROR(VLOOKUP(D617,'Monthly Deduction'!A:B,2,0),0)</f>
        <v>0</v>
      </c>
      <c r="AB617" s="129">
        <f t="shared" si="169"/>
        <v>105</v>
      </c>
      <c r="AC617" s="130">
        <v>0</v>
      </c>
      <c r="AD617" s="35">
        <f t="shared" si="181"/>
        <v>105</v>
      </c>
      <c r="AE617" s="166" t="str">
        <f t="shared" si="182"/>
        <v>Release</v>
      </c>
      <c r="AF617" s="127"/>
      <c r="AG617" s="18">
        <v>0</v>
      </c>
      <c r="AH617" s="120"/>
      <c r="AI617" s="238">
        <v>0</v>
      </c>
      <c r="AJ617" s="132"/>
      <c r="AK617" s="151">
        <v>226.03999999999996</v>
      </c>
      <c r="AL617" s="154">
        <f t="shared" si="170"/>
        <v>0</v>
      </c>
      <c r="AM617" s="155"/>
      <c r="AN617" s="19">
        <f t="shared" si="171"/>
        <v>0</v>
      </c>
      <c r="AO617" s="118">
        <f>SUMIF('MPG Payment '!E:E,'Shayak Income '!D617,'MPG Payment '!AJ:AJ)</f>
        <v>0</v>
      </c>
      <c r="AP617" s="19">
        <f t="shared" si="172"/>
        <v>0</v>
      </c>
      <c r="AQ617" s="119">
        <f t="shared" si="183"/>
        <v>0</v>
      </c>
      <c r="AR617" s="91" t="s">
        <v>1168</v>
      </c>
      <c r="AS617" s="91">
        <f t="shared" si="173"/>
        <v>0</v>
      </c>
      <c r="AT617" s="118"/>
      <c r="AU617" s="118"/>
      <c r="AV617" s="118"/>
    </row>
    <row r="618" spans="1:48" s="20" customFormat="1" x14ac:dyDescent="0.25">
      <c r="A618" s="17">
        <f>IFERROR(VLOOKUP(D618,'Monthly Deduction'!$I$3:$J$957,2,0),0)</f>
        <v>107239</v>
      </c>
      <c r="B618" s="17">
        <f>IFERROR(VLOOKUP(D618,'Monthly Deduction'!$E$3:$F$957,2,0),0)</f>
        <v>6400</v>
      </c>
      <c r="C618" s="17">
        <f t="shared" si="174"/>
        <v>113639</v>
      </c>
      <c r="D618" s="41">
        <v>10570001</v>
      </c>
      <c r="E618" s="122" t="str">
        <f>VLOOKUP(D618,'MPG Payment '!$E$3:$G$498218,2,0)</f>
        <v>Karian</v>
      </c>
      <c r="F618" s="146">
        <f>IFERROR(_xlfn.XLOOKUP(D618,'Monthly Deduction'!$I$3:$I$957,'Monthly Deduction'!$H$3:$H$957),0)</f>
        <v>0</v>
      </c>
      <c r="G618" s="123" t="str">
        <f>VLOOKUP(D618,'MPG Payment '!$E$3:$G$334579,3,0)</f>
        <v>MPG</v>
      </c>
      <c r="H618" s="124" t="str">
        <f>VLOOKUP(D618,'MPG Payment '!$E$3:$H$334579,4,0)</f>
        <v>Direct</v>
      </c>
      <c r="I618" s="88">
        <f>INDEX('MPG Payment '!$C:$C,MATCH('Shayak Income '!D618,'MPG Payment '!E:E,0))</f>
        <v>1057</v>
      </c>
      <c r="J618" s="88" t="str">
        <f>INDEX('MPG Payment '!$D:$D,MATCH('Shayak Income '!D618,'MPG Payment '!E:E,0))</f>
        <v>Warisnagar</v>
      </c>
      <c r="K618" s="125" t="s">
        <v>1322</v>
      </c>
      <c r="L618" s="125">
        <v>45915</v>
      </c>
      <c r="M618" s="126">
        <f>SUMIF('MPG Payment '!$E$3:$E$34579,'Shayak Income '!D618,'MPG Payment '!$I$3:$I$34579)</f>
        <v>302.79999999999995</v>
      </c>
      <c r="N618" s="126">
        <f>SUMIF('MPG Payment '!$E$3:$E$34579,'Shayak Income '!D618,'MPG Payment '!$J$3:$J$34579)</f>
        <v>11619.699416294001</v>
      </c>
      <c r="O618" s="126">
        <f t="shared" si="175"/>
        <v>227.09999999999997</v>
      </c>
      <c r="P618" s="126">
        <f t="shared" si="176"/>
        <v>287.65999999999997</v>
      </c>
      <c r="Q618" s="126">
        <f>SUMIF('MPG Payment '!$E$3:$E$34579,'Shayak Income '!D618,'MPG Payment '!$S$3:$S$34579)</f>
        <v>0</v>
      </c>
      <c r="R618" s="126">
        <f t="shared" si="167"/>
        <v>348.59098248882003</v>
      </c>
      <c r="S618" s="126">
        <f t="shared" si="168"/>
        <v>60.930982488820064</v>
      </c>
      <c r="T618" s="126">
        <f t="shared" si="177"/>
        <v>30.279999999999998</v>
      </c>
      <c r="U618" s="127">
        <f>(((IF(K618="New",0,SUMIF('MPG Payment '!$E$3:$E$34579,'Shayak Income '!D618,'MPG Payment '!$AC$3:$AC$34579))))+0)+-1433</f>
        <v>484.52871633983182</v>
      </c>
      <c r="V618" s="127">
        <f t="shared" si="178"/>
        <v>0</v>
      </c>
      <c r="W618" s="19">
        <v>0</v>
      </c>
      <c r="X618" s="19">
        <v>0</v>
      </c>
      <c r="Y618" s="128">
        <v>0</v>
      </c>
      <c r="Z618" s="128">
        <v>0</v>
      </c>
      <c r="AA618" s="126">
        <v>0</v>
      </c>
      <c r="AB618" s="129">
        <f t="shared" si="169"/>
        <v>0</v>
      </c>
      <c r="AC618" s="130">
        <f t="shared" ref="AC618:AC619" si="185">AB618</f>
        <v>0</v>
      </c>
      <c r="AD618" s="35">
        <f t="shared" si="181"/>
        <v>0</v>
      </c>
      <c r="AE618" s="166" t="str">
        <f t="shared" si="182"/>
        <v>Release</v>
      </c>
      <c r="AF618" s="127"/>
      <c r="AG618" s="18">
        <v>0</v>
      </c>
      <c r="AH618" s="120" t="s">
        <v>1650</v>
      </c>
      <c r="AI618" s="238">
        <v>18741</v>
      </c>
      <c r="AJ618" s="132"/>
      <c r="AK618" s="151">
        <v>78.999999999999986</v>
      </c>
      <c r="AL618" s="154">
        <f t="shared" si="170"/>
        <v>0</v>
      </c>
      <c r="AM618" s="155"/>
      <c r="AN618" s="19">
        <f t="shared" si="171"/>
        <v>1861</v>
      </c>
      <c r="AO618" s="118">
        <f>SUMIF('MPG Payment '!E:E,'Shayak Income '!D618,'MPG Payment '!AJ:AJ)</f>
        <v>500</v>
      </c>
      <c r="AP618" s="19">
        <f t="shared" si="172"/>
        <v>0</v>
      </c>
      <c r="AQ618" s="119">
        <f t="shared" si="183"/>
        <v>500</v>
      </c>
      <c r="AR618" s="91" t="s">
        <v>1168</v>
      </c>
      <c r="AS618" s="91">
        <f t="shared" si="173"/>
        <v>6400</v>
      </c>
      <c r="AT618" s="118"/>
      <c r="AU618" s="118"/>
      <c r="AV618" s="118"/>
    </row>
    <row r="619" spans="1:48" s="20" customFormat="1" x14ac:dyDescent="0.25">
      <c r="A619" s="17">
        <f>IFERROR(VLOOKUP(D619,'Monthly Deduction'!$I$3:$J$957,2,0),0)</f>
        <v>106854</v>
      </c>
      <c r="B619" s="17">
        <f>IFERROR(VLOOKUP(D619,'Monthly Deduction'!$E$3:$F$957,2,0),0)</f>
        <v>6400</v>
      </c>
      <c r="C619" s="17">
        <f t="shared" si="174"/>
        <v>113254</v>
      </c>
      <c r="D619" s="41">
        <v>10570003</v>
      </c>
      <c r="E619" s="122" t="str">
        <f>VLOOKUP(D619,'MPG Payment '!$E$3:$G$498218,2,0)</f>
        <v>Teghara</v>
      </c>
      <c r="F619" s="146">
        <f>IFERROR(_xlfn.XLOOKUP(D619,'Monthly Deduction'!$I$3:$I$957,'Monthly Deduction'!$H$3:$H$957),0)</f>
        <v>0</v>
      </c>
      <c r="G619" s="123" t="str">
        <f>VLOOKUP(D619,'MPG Payment '!$E$3:$G$334579,3,0)</f>
        <v>MPG</v>
      </c>
      <c r="H619" s="124" t="str">
        <f>VLOOKUP(D619,'MPG Payment '!$E$3:$H$334579,4,0)</f>
        <v>Direct</v>
      </c>
      <c r="I619" s="88">
        <f>INDEX('MPG Payment '!$C:$C,MATCH('Shayak Income '!D619,'MPG Payment '!E:E,0))</f>
        <v>1057</v>
      </c>
      <c r="J619" s="88" t="str">
        <f>INDEX('MPG Payment '!$D:$D,MATCH('Shayak Income '!D619,'MPG Payment '!E:E,0))</f>
        <v>Warisnagar</v>
      </c>
      <c r="K619" s="125" t="s">
        <v>1322</v>
      </c>
      <c r="L619" s="125">
        <v>45915</v>
      </c>
      <c r="M619" s="126">
        <f>SUMIF('MPG Payment '!$E$3:$E$34579,'Shayak Income '!D619,'MPG Payment '!$I$3:$I$34579)</f>
        <v>875.4</v>
      </c>
      <c r="N619" s="126">
        <f>SUMIF('MPG Payment '!$E$3:$E$34579,'Shayak Income '!D619,'MPG Payment '!$J$3:$J$34579)</f>
        <v>34343.285101483998</v>
      </c>
      <c r="O619" s="126">
        <f t="shared" si="175"/>
        <v>656.55</v>
      </c>
      <c r="P619" s="126">
        <f t="shared" si="176"/>
        <v>831.63</v>
      </c>
      <c r="Q619" s="126">
        <f>SUMIF('MPG Payment '!$E$3:$E$34579,'Shayak Income '!D619,'MPG Payment '!$S$3:$S$34579)</f>
        <v>0</v>
      </c>
      <c r="R619" s="126">
        <f t="shared" si="167"/>
        <v>1030.2985530445198</v>
      </c>
      <c r="S619" s="126">
        <f t="shared" si="168"/>
        <v>198.66855304451985</v>
      </c>
      <c r="T619" s="126">
        <f t="shared" si="177"/>
        <v>87.54</v>
      </c>
      <c r="U619" s="127">
        <f>(((IF(K619="New",0,SUMIF('MPG Payment '!$E$3:$E$34579,'Shayak Income '!D619,'MPG Payment '!$AC$3:$AC$34579))))+0)+-109</f>
        <v>1400.2751626438574</v>
      </c>
      <c r="V619" s="127">
        <f t="shared" si="178"/>
        <v>0</v>
      </c>
      <c r="W619" s="19">
        <v>0</v>
      </c>
      <c r="X619" s="19">
        <v>0</v>
      </c>
      <c r="Y619" s="128">
        <v>0</v>
      </c>
      <c r="Z619" s="128">
        <v>0</v>
      </c>
      <c r="AA619" s="126">
        <v>0</v>
      </c>
      <c r="AB619" s="129">
        <f t="shared" si="169"/>
        <v>0</v>
      </c>
      <c r="AC619" s="130">
        <f t="shared" si="185"/>
        <v>0</v>
      </c>
      <c r="AD619" s="35">
        <f t="shared" si="181"/>
        <v>0</v>
      </c>
      <c r="AE619" s="166" t="str">
        <f t="shared" si="182"/>
        <v>Release</v>
      </c>
      <c r="AF619" s="127"/>
      <c r="AG619" s="18">
        <v>0</v>
      </c>
      <c r="AH619" s="120" t="s">
        <v>1646</v>
      </c>
      <c r="AI619" s="238">
        <v>18165</v>
      </c>
      <c r="AJ619" s="132"/>
      <c r="AK619" s="151">
        <v>259.70000000000005</v>
      </c>
      <c r="AL619" s="154">
        <f t="shared" si="170"/>
        <v>0</v>
      </c>
      <c r="AM619" s="155"/>
      <c r="AN619" s="19">
        <f t="shared" si="171"/>
        <v>1861</v>
      </c>
      <c r="AO619" s="118">
        <f>SUMIF('MPG Payment '!E:E,'Shayak Income '!D619,'MPG Payment '!AJ:AJ)</f>
        <v>500</v>
      </c>
      <c r="AP619" s="19">
        <f t="shared" si="172"/>
        <v>0</v>
      </c>
      <c r="AQ619" s="119">
        <f t="shared" si="183"/>
        <v>500</v>
      </c>
      <c r="AR619" s="91" t="s">
        <v>1168</v>
      </c>
      <c r="AS619" s="91">
        <f t="shared" si="173"/>
        <v>6400</v>
      </c>
      <c r="AT619" s="118"/>
      <c r="AU619" s="118"/>
      <c r="AV619" s="118"/>
    </row>
    <row r="620" spans="1:48" s="20" customFormat="1" x14ac:dyDescent="0.25">
      <c r="A620" s="17">
        <f>IFERROR(VLOOKUP(D620,'Monthly Deduction'!$I$3:$J$957,2,0),0)</f>
        <v>63173.180474490393</v>
      </c>
      <c r="B620" s="17">
        <f>IFERROR(VLOOKUP(D620,'Monthly Deduction'!$E$3:$F$957,2,0),0)</f>
        <v>6400</v>
      </c>
      <c r="C620" s="17">
        <f t="shared" si="174"/>
        <v>69573.180474490393</v>
      </c>
      <c r="D620" s="41">
        <v>10570008</v>
      </c>
      <c r="E620" s="122" t="str">
        <f>VLOOKUP(D620,'MPG Payment '!$E$3:$G$498218,2,0)</f>
        <v>Chakoti</v>
      </c>
      <c r="F620" s="146">
        <f>IFERROR(_xlfn.XLOOKUP(D620,'Monthly Deduction'!$I$3:$I$957,'Monthly Deduction'!$H$3:$H$957),0)</f>
        <v>0</v>
      </c>
      <c r="G620" s="123" t="str">
        <f>VLOOKUP(D620,'MPG Payment '!$E$3:$G$334579,3,0)</f>
        <v>MPG</v>
      </c>
      <c r="H620" s="124" t="str">
        <f>VLOOKUP(D620,'MPG Payment '!$E$3:$H$334579,4,0)</f>
        <v>Direct</v>
      </c>
      <c r="I620" s="88">
        <f>INDEX('MPG Payment '!$C:$C,MATCH('Shayak Income '!D620,'MPG Payment '!E:E,0))</f>
        <v>1057</v>
      </c>
      <c r="J620" s="88" t="str">
        <f>INDEX('MPG Payment '!$D:$D,MATCH('Shayak Income '!D620,'MPG Payment '!E:E,0))</f>
        <v>Warisnagar</v>
      </c>
      <c r="K620" s="125" t="s">
        <v>1322</v>
      </c>
      <c r="L620" s="125">
        <v>45915</v>
      </c>
      <c r="M620" s="126">
        <f>SUMIF('MPG Payment '!$E$3:$E$34579,'Shayak Income '!D620,'MPG Payment '!$I$3:$I$34579)</f>
        <v>5419.2999999999993</v>
      </c>
      <c r="N620" s="126">
        <f>SUMIF('MPG Payment '!$E$3:$E$34579,'Shayak Income '!D620,'MPG Payment '!$J$3:$J$34579)</f>
        <v>203556.42349209002</v>
      </c>
      <c r="O620" s="126">
        <f t="shared" si="175"/>
        <v>4064.4749999999995</v>
      </c>
      <c r="P620" s="126">
        <f t="shared" si="176"/>
        <v>5148.3349999999991</v>
      </c>
      <c r="Q620" s="126">
        <f>SUMIF('MPG Payment '!$E$3:$E$34579,'Shayak Income '!D620,'MPG Payment '!$S$3:$S$34579)</f>
        <v>3130.2900220603001</v>
      </c>
      <c r="R620" s="126">
        <f t="shared" si="167"/>
        <v>6106.6927047627005</v>
      </c>
      <c r="S620" s="126">
        <f t="shared" si="168"/>
        <v>958.35770476270136</v>
      </c>
      <c r="T620" s="126">
        <f t="shared" si="177"/>
        <v>541.92999999999995</v>
      </c>
      <c r="U620" s="127">
        <f>(((IF(K620="New",0,SUMIF('MPG Payment '!$E$3:$E$34579,'Shayak Income '!D620,'MPG Payment '!$AC$3:$AC$34579))))+0)+0</f>
        <v>0</v>
      </c>
      <c r="V620" s="127">
        <f t="shared" si="178"/>
        <v>11801</v>
      </c>
      <c r="W620" s="19">
        <f t="shared" si="179"/>
        <v>4071.1284698418003</v>
      </c>
      <c r="X620" s="19">
        <v>0</v>
      </c>
      <c r="Y620" s="128">
        <f>IFERROR(VLOOKUP(D620,'Monthly Deduction'!$M$2:$N$64,2,0),0)</f>
        <v>0</v>
      </c>
      <c r="Z620" s="128">
        <v>0</v>
      </c>
      <c r="AA620" s="126">
        <f>IFERROR(VLOOKUP(D620,'Monthly Deduction'!A:B,2,0),0)</f>
        <v>0</v>
      </c>
      <c r="AB620" s="129">
        <f t="shared" si="169"/>
        <v>7730</v>
      </c>
      <c r="AC620" s="130">
        <v>0</v>
      </c>
      <c r="AD620" s="35">
        <f t="shared" si="181"/>
        <v>7730</v>
      </c>
      <c r="AE620" s="166" t="str">
        <f t="shared" si="182"/>
        <v>Release</v>
      </c>
      <c r="AF620" s="127"/>
      <c r="AG620" s="18">
        <v>0</v>
      </c>
      <c r="AH620" s="120"/>
      <c r="AI620" s="238">
        <v>0</v>
      </c>
      <c r="AJ620" s="132"/>
      <c r="AK620" s="151">
        <v>1186.5</v>
      </c>
      <c r="AL620" s="154">
        <f t="shared" si="170"/>
        <v>0</v>
      </c>
      <c r="AM620" s="155"/>
      <c r="AN620" s="19">
        <f t="shared" si="171"/>
        <v>4071.1284698418003</v>
      </c>
      <c r="AO620" s="118">
        <f>SUMIF('MPG Payment '!E:E,'Shayak Income '!D620,'MPG Payment '!AJ:AJ)</f>
        <v>0</v>
      </c>
      <c r="AP620" s="19">
        <f t="shared" si="172"/>
        <v>4071.1284698418003</v>
      </c>
      <c r="AQ620" s="119">
        <f t="shared" si="183"/>
        <v>4071.1284698418003</v>
      </c>
      <c r="AR620" s="91" t="s">
        <v>1168</v>
      </c>
      <c r="AS620" s="91">
        <f t="shared" si="173"/>
        <v>6400</v>
      </c>
      <c r="AT620" s="118"/>
      <c r="AU620" s="118"/>
      <c r="AV620" s="118"/>
    </row>
    <row r="621" spans="1:48" s="20" customFormat="1" x14ac:dyDescent="0.25">
      <c r="A621" s="17">
        <f>IFERROR(VLOOKUP(D621,'Monthly Deduction'!$I$3:$J$957,2,0),0)</f>
        <v>75203.985225640805</v>
      </c>
      <c r="B621" s="17">
        <f>IFERROR(VLOOKUP(D621,'Monthly Deduction'!$E$3:$F$957,2,0),0)</f>
        <v>6400</v>
      </c>
      <c r="C621" s="17">
        <f t="shared" si="174"/>
        <v>81603.985225640805</v>
      </c>
      <c r="D621" s="41">
        <v>10570009</v>
      </c>
      <c r="E621" s="122" t="str">
        <f>VLOOKUP(D621,'MPG Payment '!$E$3:$G$498218,2,0)</f>
        <v>Nathudawar</v>
      </c>
      <c r="F621" s="146">
        <f>IFERROR(_xlfn.XLOOKUP(D621,'Monthly Deduction'!$I$3:$I$957,'Monthly Deduction'!$H$3:$H$957),0)</f>
        <v>0</v>
      </c>
      <c r="G621" s="123" t="str">
        <f>VLOOKUP(D621,'MPG Payment '!$E$3:$G$334579,3,0)</f>
        <v>MPG</v>
      </c>
      <c r="H621" s="124" t="str">
        <f>VLOOKUP(D621,'MPG Payment '!$E$3:$H$334579,4,0)</f>
        <v>Direct</v>
      </c>
      <c r="I621" s="88">
        <f>INDEX('MPG Payment '!$C:$C,MATCH('Shayak Income '!D621,'MPG Payment '!E:E,0))</f>
        <v>1057</v>
      </c>
      <c r="J621" s="88" t="str">
        <f>INDEX('MPG Payment '!$D:$D,MATCH('Shayak Income '!D621,'MPG Payment '!E:E,0))</f>
        <v>Warisnagar</v>
      </c>
      <c r="K621" s="125" t="s">
        <v>1322</v>
      </c>
      <c r="L621" s="125">
        <v>45915</v>
      </c>
      <c r="M621" s="126">
        <f>SUMIF('MPG Payment '!$E$3:$E$34579,'Shayak Income '!D621,'MPG Payment '!$I$3:$I$34579)</f>
        <v>4665</v>
      </c>
      <c r="N621" s="126">
        <f>SUMIF('MPG Payment '!$E$3:$E$34579,'Shayak Income '!D621,'MPG Payment '!$J$3:$J$34579)</f>
        <v>180345.69385278001</v>
      </c>
      <c r="O621" s="126">
        <f t="shared" si="175"/>
        <v>3498.75</v>
      </c>
      <c r="P621" s="126">
        <f t="shared" si="176"/>
        <v>4431.75</v>
      </c>
      <c r="Q621" s="126">
        <f>SUMIF('MPG Payment '!$E$3:$E$34579,'Shayak Income '!D621,'MPG Payment '!$S$3:$S$34579)</f>
        <v>0</v>
      </c>
      <c r="R621" s="126">
        <f t="shared" si="167"/>
        <v>5410.3708155834001</v>
      </c>
      <c r="S621" s="126">
        <f t="shared" si="168"/>
        <v>978.62081558340014</v>
      </c>
      <c r="T621" s="126">
        <f t="shared" si="177"/>
        <v>466.5</v>
      </c>
      <c r="U621" s="127">
        <f>(((IF(K621="New",0,SUMIF('MPG Payment '!$E$3:$E$34579,'Shayak Income '!D621,'MPG Payment '!$AC$3:$AC$34579))))+0)+0</f>
        <v>63.7176978007762</v>
      </c>
      <c r="V621" s="127">
        <f t="shared" si="178"/>
        <v>7400</v>
      </c>
      <c r="W621" s="19">
        <f t="shared" si="179"/>
        <v>3606.9138770556001</v>
      </c>
      <c r="X621" s="19">
        <v>0</v>
      </c>
      <c r="Y621" s="128">
        <f>IFERROR(VLOOKUP(D621,'Monthly Deduction'!$M$2:$N$64,2,0),0)</f>
        <v>0</v>
      </c>
      <c r="Z621" s="128">
        <v>0</v>
      </c>
      <c r="AA621" s="126">
        <f>IFERROR(VLOOKUP(D621,'Monthly Deduction'!A:B,2,0),0)</f>
        <v>0</v>
      </c>
      <c r="AB621" s="129">
        <f t="shared" si="169"/>
        <v>3793</v>
      </c>
      <c r="AC621" s="130">
        <v>0</v>
      </c>
      <c r="AD621" s="35">
        <f t="shared" si="181"/>
        <v>3793</v>
      </c>
      <c r="AE621" s="166" t="str">
        <f t="shared" si="182"/>
        <v>Release</v>
      </c>
      <c r="AF621" s="127"/>
      <c r="AG621" s="18">
        <v>0</v>
      </c>
      <c r="AH621" s="120"/>
      <c r="AI621" s="238">
        <v>0</v>
      </c>
      <c r="AJ621" s="132"/>
      <c r="AK621" s="151">
        <v>1011.5999999999999</v>
      </c>
      <c r="AL621" s="154">
        <f t="shared" si="170"/>
        <v>0</v>
      </c>
      <c r="AM621" s="155"/>
      <c r="AN621" s="19">
        <f t="shared" si="171"/>
        <v>3606.9138770556001</v>
      </c>
      <c r="AO621" s="118">
        <f>SUMIF('MPG Payment '!E:E,'Shayak Income '!D621,'MPG Payment '!AJ:AJ)</f>
        <v>0</v>
      </c>
      <c r="AP621" s="19">
        <f t="shared" si="172"/>
        <v>3606.9138770556001</v>
      </c>
      <c r="AQ621" s="119">
        <f t="shared" si="183"/>
        <v>3606.9138770556001</v>
      </c>
      <c r="AR621" s="91"/>
      <c r="AS621" s="91">
        <f t="shared" si="173"/>
        <v>6400</v>
      </c>
      <c r="AT621" s="118"/>
      <c r="AU621" s="118"/>
      <c r="AV621" s="118"/>
    </row>
    <row r="622" spans="1:48" s="20" customFormat="1" x14ac:dyDescent="0.25">
      <c r="A622" s="17">
        <f>IFERROR(VLOOKUP(D622,'Monthly Deduction'!$I$3:$J$957,2,0),0)</f>
        <v>0</v>
      </c>
      <c r="B622" s="17">
        <f>IFERROR(VLOOKUP(D622,'Monthly Deduction'!$E$3:$F$957,2,0),0)</f>
        <v>0</v>
      </c>
      <c r="C622" s="17">
        <f t="shared" si="174"/>
        <v>0</v>
      </c>
      <c r="D622" s="41">
        <v>10570010</v>
      </c>
      <c r="E622" s="122" t="str">
        <f>VLOOKUP(D622,'MPG Payment '!$E$3:$G$498218,2,0)</f>
        <v>Purnahi</v>
      </c>
      <c r="F622" s="146">
        <f>IFERROR(_xlfn.XLOOKUP(D622,'Monthly Deduction'!$I$3:$I$957,'Monthly Deduction'!$H$3:$H$957),0)</f>
        <v>0</v>
      </c>
      <c r="G622" s="123" t="str">
        <f>VLOOKUP(D622,'MPG Payment '!$E$3:$G$334579,3,0)</f>
        <v>vlc</v>
      </c>
      <c r="H622" s="124" t="str">
        <f>VLOOKUP(D622,'MPG Payment '!$E$3:$H$334579,4,0)</f>
        <v>Indirect</v>
      </c>
      <c r="I622" s="88">
        <f>INDEX('MPG Payment '!$C:$C,MATCH('Shayak Income '!D622,'MPG Payment '!E:E,0))</f>
        <v>1057</v>
      </c>
      <c r="J622" s="88" t="str">
        <f>INDEX('MPG Payment '!$D:$D,MATCH('Shayak Income '!D622,'MPG Payment '!E:E,0))</f>
        <v>Warisnagar</v>
      </c>
      <c r="K622" s="125" t="s">
        <v>1322</v>
      </c>
      <c r="L622" s="125">
        <v>45915</v>
      </c>
      <c r="M622" s="126">
        <f>SUMIF('MPG Payment '!$E$3:$E$34579,'Shayak Income '!D622,'MPG Payment '!$I$3:$I$34579)</f>
        <v>2989.4</v>
      </c>
      <c r="N622" s="126">
        <f>SUMIF('MPG Payment '!$E$3:$E$34579,'Shayak Income '!D622,'MPG Payment '!$J$3:$J$34579)</f>
        <v>100689.9268072</v>
      </c>
      <c r="O622" s="126">
        <f t="shared" si="175"/>
        <v>2242.0500000000002</v>
      </c>
      <c r="P622" s="126">
        <f t="shared" si="176"/>
        <v>2839.93</v>
      </c>
      <c r="Q622" s="126">
        <f>SUMIF('MPG Payment '!$E$3:$E$34579,'Shayak Income '!D622,'MPG Payment '!$S$3:$S$34579)</f>
        <v>0</v>
      </c>
      <c r="R622" s="126">
        <f t="shared" si="167"/>
        <v>3020.6978042159999</v>
      </c>
      <c r="S622" s="126">
        <f t="shared" si="168"/>
        <v>180.76780421600006</v>
      </c>
      <c r="T622" s="126">
        <f t="shared" si="177"/>
        <v>298.94</v>
      </c>
      <c r="U622" s="127">
        <f>(((IF(K622="New",0,SUMIF('MPG Payment '!$E$3:$E$34579,'Shayak Income '!D622,'MPG Payment '!$AC$3:$AC$34579))))+0)+0</f>
        <v>239.3803163064122</v>
      </c>
      <c r="V622" s="127">
        <f t="shared" si="178"/>
        <v>4544</v>
      </c>
      <c r="W622" s="19">
        <f t="shared" si="179"/>
        <v>0</v>
      </c>
      <c r="X622" s="19">
        <f t="shared" si="180"/>
        <v>0</v>
      </c>
      <c r="Y622" s="128">
        <f>IFERROR(VLOOKUP(D622,'Monthly Deduction'!$M$2:$N$64,2,0),0)</f>
        <v>0</v>
      </c>
      <c r="Z622" s="128">
        <v>0</v>
      </c>
      <c r="AA622" s="126">
        <f>IFERROR(VLOOKUP(D622,'Monthly Deduction'!A:B,2,0),0)</f>
        <v>0</v>
      </c>
      <c r="AB622" s="129">
        <f t="shared" si="169"/>
        <v>4544</v>
      </c>
      <c r="AC622" s="130">
        <v>0</v>
      </c>
      <c r="AD622" s="35">
        <f t="shared" si="181"/>
        <v>4544</v>
      </c>
      <c r="AE622" s="166" t="str">
        <f t="shared" si="182"/>
        <v>Release</v>
      </c>
      <c r="AF622" s="127"/>
      <c r="AG622" s="127">
        <v>0</v>
      </c>
      <c r="AH622" s="120"/>
      <c r="AI622" s="238">
        <v>0</v>
      </c>
      <c r="AJ622" s="132"/>
      <c r="AK622" s="151">
        <v>743.3</v>
      </c>
      <c r="AL622" s="154">
        <f t="shared" si="170"/>
        <v>0</v>
      </c>
      <c r="AM622" s="155"/>
      <c r="AN622" s="19">
        <f t="shared" si="171"/>
        <v>0</v>
      </c>
      <c r="AO622" s="118">
        <f>SUMIF('MPG Payment '!E:E,'Shayak Income '!D622,'MPG Payment '!AJ:AJ)</f>
        <v>0</v>
      </c>
      <c r="AP622" s="19">
        <f t="shared" si="172"/>
        <v>0</v>
      </c>
      <c r="AQ622" s="119">
        <f t="shared" si="183"/>
        <v>0</v>
      </c>
      <c r="AR622" s="91"/>
      <c r="AS622" s="91">
        <f t="shared" si="173"/>
        <v>0</v>
      </c>
      <c r="AT622" s="118"/>
      <c r="AU622" s="118"/>
      <c r="AV622" s="118"/>
    </row>
    <row r="623" spans="1:48" s="20" customFormat="1" x14ac:dyDescent="0.25">
      <c r="A623" s="17">
        <f>IFERROR(VLOOKUP(D623,'Monthly Deduction'!$I$3:$J$957,2,0),0)</f>
        <v>89804</v>
      </c>
      <c r="B623" s="17">
        <f>IFERROR(VLOOKUP(D623,'Monthly Deduction'!$E$3:$F$957,2,0),0)</f>
        <v>0</v>
      </c>
      <c r="C623" s="17">
        <f t="shared" si="174"/>
        <v>89804</v>
      </c>
      <c r="D623" s="41">
        <v>10110167</v>
      </c>
      <c r="E623" s="122" t="str">
        <f>VLOOKUP(D623,'MPG Payment '!$E$3:$G$498218,2,0)</f>
        <v xml:space="preserve">Gomukh Raghunathpur 2 </v>
      </c>
      <c r="F623" s="146">
        <f>IFERROR(_xlfn.XLOOKUP(D623,'Monthly Deduction'!$I$3:$I$957,'Monthly Deduction'!$H$3:$H$957),0)</f>
        <v>0</v>
      </c>
      <c r="G623" s="123" t="str">
        <f>VLOOKUP(D623,'MPG Payment '!$E$3:$G$334579,3,0)</f>
        <v>MPG</v>
      </c>
      <c r="H623" s="124" t="str">
        <f>VLOOKUP(D623,'MPG Payment '!$E$3:$H$334579,4,0)</f>
        <v>Direct</v>
      </c>
      <c r="I623" s="88">
        <f>INDEX('MPG Payment '!$C:$C,MATCH('Shayak Income '!D623,'MPG Payment '!E:E,0))</f>
        <v>1011</v>
      </c>
      <c r="J623" s="88" t="str">
        <f>INDEX('MPG Payment '!$D:$D,MATCH('Shayak Income '!D623,'MPG Payment '!E:E,0))</f>
        <v>Sahibpur Kamal</v>
      </c>
      <c r="K623" s="125" t="s">
        <v>1322</v>
      </c>
      <c r="L623" s="125">
        <v>45919</v>
      </c>
      <c r="M623" s="126">
        <f>SUMIF('MPG Payment '!$E$3:$E$34579,'Shayak Income '!D623,'MPG Payment '!$I$3:$I$34579)</f>
        <v>129.4</v>
      </c>
      <c r="N623" s="126">
        <f>SUMIF('MPG Payment '!$E$3:$E$34579,'Shayak Income '!D623,'MPG Payment '!$J$3:$J$34579)</f>
        <v>4956.2643135999997</v>
      </c>
      <c r="O623" s="126">
        <f t="shared" si="175"/>
        <v>97.050000000000011</v>
      </c>
      <c r="P623" s="126">
        <f t="shared" si="176"/>
        <v>122.92999999999999</v>
      </c>
      <c r="Q623" s="126">
        <f>SUMIF('MPG Payment '!$E$3:$E$34579,'Shayak Income '!D623,'MPG Payment '!$S$3:$S$34579)</f>
        <v>0</v>
      </c>
      <c r="R623" s="126">
        <f t="shared" si="167"/>
        <v>148.68792940799997</v>
      </c>
      <c r="S623" s="126">
        <f t="shared" si="168"/>
        <v>25.757929407999981</v>
      </c>
      <c r="T623" s="126">
        <f t="shared" si="177"/>
        <v>12.940000000000001</v>
      </c>
      <c r="U623" s="127">
        <f>(((IF(K623="New",0,SUMIF('MPG Payment '!$E$3:$E$34579,'Shayak Income '!D623,'MPG Payment '!$AC$3:$AC$34579))))+0)+-1778</f>
        <v>207.41939058045364</v>
      </c>
      <c r="V623" s="127">
        <f t="shared" si="178"/>
        <v>0</v>
      </c>
      <c r="W623" s="19">
        <v>0</v>
      </c>
      <c r="X623" s="19">
        <v>0</v>
      </c>
      <c r="Y623" s="128">
        <f>IFERROR(VLOOKUP(D623,'Monthly Deduction'!$M$2:$N$64,2,0),0)</f>
        <v>0</v>
      </c>
      <c r="Z623" s="128">
        <v>0</v>
      </c>
      <c r="AA623" s="126">
        <f>IFERROR(VLOOKUP(D623,'Monthly Deduction'!A:B,2,0),0)</f>
        <v>0</v>
      </c>
      <c r="AB623" s="129">
        <f t="shared" si="169"/>
        <v>0</v>
      </c>
      <c r="AC623" s="130">
        <f>AB623</f>
        <v>0</v>
      </c>
      <c r="AD623" s="35">
        <f t="shared" si="181"/>
        <v>0</v>
      </c>
      <c r="AE623" s="166" t="str">
        <f t="shared" si="182"/>
        <v>Release</v>
      </c>
      <c r="AF623" s="127"/>
      <c r="AG623" s="18">
        <v>0</v>
      </c>
      <c r="AH623" s="132" t="s">
        <v>1652</v>
      </c>
      <c r="AI623" s="238">
        <v>0</v>
      </c>
      <c r="AJ623" s="132"/>
      <c r="AK623" s="151">
        <v>0</v>
      </c>
      <c r="AL623" s="154">
        <f t="shared" si="170"/>
        <v>0</v>
      </c>
      <c r="AM623" s="155"/>
      <c r="AN623" s="19">
        <f t="shared" si="171"/>
        <v>1861</v>
      </c>
      <c r="AO623" s="118">
        <f>SUMIF('MPG Payment '!E:E,'Shayak Income '!D623,'MPG Payment '!AJ:AJ)</f>
        <v>196</v>
      </c>
      <c r="AP623" s="19">
        <f t="shared" si="172"/>
        <v>0</v>
      </c>
      <c r="AQ623" s="119">
        <f t="shared" si="183"/>
        <v>196</v>
      </c>
      <c r="AR623" s="91" t="s">
        <v>1168</v>
      </c>
      <c r="AS623" s="91">
        <f t="shared" si="173"/>
        <v>0</v>
      </c>
      <c r="AT623" s="118"/>
      <c r="AU623" s="118"/>
      <c r="AV623" s="118"/>
    </row>
    <row r="624" spans="1:48" s="20" customFormat="1" x14ac:dyDescent="0.25">
      <c r="A624" s="17">
        <f>IFERROR(VLOOKUP(D624,'Monthly Deduction'!$I$3:$J$957,2,0),0)</f>
        <v>0</v>
      </c>
      <c r="B624" s="17">
        <f>IFERROR(VLOOKUP(D624,'Monthly Deduction'!$E$3:$F$957,2,0),0)</f>
        <v>0</v>
      </c>
      <c r="C624" s="17">
        <f t="shared" si="174"/>
        <v>0</v>
      </c>
      <c r="D624" s="41">
        <v>10330001</v>
      </c>
      <c r="E624" s="122" t="str">
        <f>VLOOKUP(D624,'MPG Payment '!$E$3:$G$498218,2,0)</f>
        <v>KISHANPUR</v>
      </c>
      <c r="F624" s="146">
        <f>IFERROR(_xlfn.XLOOKUP(D624,'Monthly Deduction'!$I$3:$I$957,'Monthly Deduction'!$H$3:$H$957),0)</f>
        <v>0</v>
      </c>
      <c r="G624" s="123" t="str">
        <f>VLOOKUP(D624,'MPG Payment '!$E$3:$G$334579,3,0)</f>
        <v>vlc</v>
      </c>
      <c r="H624" s="124" t="str">
        <f>VLOOKUP(D624,'MPG Payment '!$E$3:$H$334579,4,0)</f>
        <v>Indirect</v>
      </c>
      <c r="I624" s="88">
        <f>INDEX('MPG Payment '!$C:$C,MATCH('Shayak Income '!D624,'MPG Payment '!E:E,0))</f>
        <v>1006</v>
      </c>
      <c r="J624" s="88" t="str">
        <f>INDEX('MPG Payment '!$D:$D,MATCH('Shayak Income '!D624,'MPG Payment '!E:E,0))</f>
        <v>Sonvarsha</v>
      </c>
      <c r="K624" s="125" t="s">
        <v>1322</v>
      </c>
      <c r="L624" s="125">
        <v>42979</v>
      </c>
      <c r="M624" s="126">
        <f>SUMIF('MPG Payment '!$E$3:$E$34579,'Shayak Income '!D624,'MPG Payment '!$I$3:$I$34579)</f>
        <v>6921.5</v>
      </c>
      <c r="N624" s="126">
        <f>SUMIF('MPG Payment '!$E$3:$E$34579,'Shayak Income '!D624,'MPG Payment '!$J$3:$J$34579)</f>
        <v>246065.76917100252</v>
      </c>
      <c r="O624" s="126">
        <f t="shared" si="175"/>
        <v>5191.125</v>
      </c>
      <c r="P624" s="126">
        <f t="shared" si="176"/>
        <v>6575.4249999999993</v>
      </c>
      <c r="Q624" s="126">
        <f>SUMIF('MPG Payment '!$E$3:$E$34579,'Shayak Income '!D624,'MPG Payment '!$S$3:$S$34579)</f>
        <v>0</v>
      </c>
      <c r="R624" s="126">
        <f t="shared" si="167"/>
        <v>7381.9730751300758</v>
      </c>
      <c r="S624" s="126">
        <f t="shared" si="168"/>
        <v>806.54807513007654</v>
      </c>
      <c r="T624" s="126">
        <f t="shared" si="177"/>
        <v>692.15000000000009</v>
      </c>
      <c r="U624" s="127">
        <f>(((IF(K624="New",0,SUMIF('MPG Payment '!$E$3:$E$34579,'Shayak Income '!D624,'MPG Payment '!$AC$3:$AC$34579))))+0)+0</f>
        <v>229.90321813231691</v>
      </c>
      <c r="V624" s="127">
        <f t="shared" si="178"/>
        <v>10844</v>
      </c>
      <c r="W624" s="19">
        <f t="shared" si="179"/>
        <v>0</v>
      </c>
      <c r="X624" s="19">
        <f t="shared" si="180"/>
        <v>0</v>
      </c>
      <c r="Y624" s="128">
        <f>IFERROR(VLOOKUP(D624,'Monthly Deduction'!$M$2:$N$64,2,0),0)</f>
        <v>0</v>
      </c>
      <c r="Z624" s="128">
        <v>0</v>
      </c>
      <c r="AA624" s="126">
        <f>IFERROR(VLOOKUP(D624,'Monthly Deduction'!A:B,2,0),0)</f>
        <v>0</v>
      </c>
      <c r="AB624" s="129">
        <f t="shared" si="169"/>
        <v>10844</v>
      </c>
      <c r="AC624" s="130">
        <v>0</v>
      </c>
      <c r="AD624" s="35">
        <f t="shared" si="181"/>
        <v>10844</v>
      </c>
      <c r="AE624" s="166" t="str">
        <f t="shared" si="182"/>
        <v>Release</v>
      </c>
      <c r="AF624" s="127"/>
      <c r="AG624" s="18">
        <v>0</v>
      </c>
      <c r="AH624" s="120"/>
      <c r="AI624" s="238">
        <v>0</v>
      </c>
      <c r="AJ624" s="132"/>
      <c r="AK624" s="151">
        <v>2443.9</v>
      </c>
      <c r="AL624" s="154">
        <f t="shared" si="170"/>
        <v>0</v>
      </c>
      <c r="AM624" s="155"/>
      <c r="AN624" s="19">
        <f t="shared" si="171"/>
        <v>0</v>
      </c>
      <c r="AO624" s="118">
        <f>SUMIF('MPG Payment '!E:E,'Shayak Income '!D624,'MPG Payment '!AJ:AJ)</f>
        <v>0</v>
      </c>
      <c r="AP624" s="19">
        <f t="shared" si="172"/>
        <v>0</v>
      </c>
      <c r="AQ624" s="119">
        <f t="shared" si="183"/>
        <v>0</v>
      </c>
      <c r="AR624" s="91" t="s">
        <v>1168</v>
      </c>
      <c r="AS624" s="91">
        <f t="shared" si="173"/>
        <v>0</v>
      </c>
      <c r="AT624" s="118"/>
      <c r="AU624" s="118"/>
      <c r="AV624" s="118"/>
    </row>
    <row r="625" spans="1:48" s="20" customFormat="1" x14ac:dyDescent="0.25">
      <c r="A625" s="17">
        <f>IFERROR(VLOOKUP(D625,'Monthly Deduction'!$I$3:$J$957,2,0),0)</f>
        <v>72963.745760897946</v>
      </c>
      <c r="B625" s="17">
        <f>IFERROR(VLOOKUP(D625,'Monthly Deduction'!$E$3:$F$957,2,0),0)</f>
        <v>0</v>
      </c>
      <c r="C625" s="17">
        <f t="shared" si="174"/>
        <v>72963.745760897946</v>
      </c>
      <c r="D625" s="41">
        <v>10530085</v>
      </c>
      <c r="E625" s="122" t="str">
        <f>VLOOKUP(D625,'MPG Payment '!$E$3:$G$498218,2,0)</f>
        <v>GOMUKH SUSTA</v>
      </c>
      <c r="F625" s="146">
        <f>IFERROR(_xlfn.XLOOKUP(D625,'Monthly Deduction'!$I$3:$I$957,'Monthly Deduction'!$H$3:$H$957),0)</f>
        <v>0</v>
      </c>
      <c r="G625" s="123" t="str">
        <f>VLOOKUP(D625,'MPG Payment '!$E$3:$G$334579,3,0)</f>
        <v>MPG</v>
      </c>
      <c r="H625" s="124" t="str">
        <f>VLOOKUP(D625,'MPG Payment '!$E$3:$H$334579,4,0)</f>
        <v>Direct</v>
      </c>
      <c r="I625" s="88">
        <f>INDEX('MPG Payment '!$C:$C,MATCH('Shayak Income '!D625,'MPG Payment '!E:E,0))</f>
        <v>1053</v>
      </c>
      <c r="J625" s="88" t="str">
        <f>INDEX('MPG Payment '!$D:$D,MATCH('Shayak Income '!D625,'MPG Payment '!E:E,0))</f>
        <v>Kalyanpur</v>
      </c>
      <c r="K625" s="125" t="s">
        <v>1322</v>
      </c>
      <c r="L625" s="125">
        <v>45924</v>
      </c>
      <c r="M625" s="126">
        <f>SUMIF('MPG Payment '!$E$3:$E$34579,'Shayak Income '!D625,'MPG Payment '!$I$3:$I$34579)</f>
        <v>3052.6499999999996</v>
      </c>
      <c r="N625" s="126">
        <f>SUMIF('MPG Payment '!$E$3:$E$34579,'Shayak Income '!D625,'MPG Payment '!$J$3:$J$34579)</f>
        <v>139201.56356965576</v>
      </c>
      <c r="O625" s="126">
        <f t="shared" si="175"/>
        <v>2289.4874999999997</v>
      </c>
      <c r="P625" s="126">
        <f t="shared" si="176"/>
        <v>2900.0174999999995</v>
      </c>
      <c r="Q625" s="126">
        <f>SUMIF('MPG Payment '!$E$3:$E$34579,'Shayak Income '!D625,'MPG Payment '!$S$3:$S$34579)</f>
        <v>861.2327963424998</v>
      </c>
      <c r="R625" s="126">
        <f t="shared" si="167"/>
        <v>4176.0469070896725</v>
      </c>
      <c r="S625" s="126">
        <f t="shared" si="168"/>
        <v>1276.029407089673</v>
      </c>
      <c r="T625" s="126">
        <f t="shared" si="177"/>
        <v>305.26499999999999</v>
      </c>
      <c r="U625" s="127">
        <f>(((IF(K625="New",0,SUMIF('MPG Payment '!$E$3:$E$34579,'Shayak Income '!D625,'MPG Payment '!$AC$3:$AC$34579))))+0)+0</f>
        <v>0</v>
      </c>
      <c r="V625" s="127">
        <f t="shared" si="178"/>
        <v>5745</v>
      </c>
      <c r="W625" s="19">
        <f t="shared" si="179"/>
        <v>2784.0312713931153</v>
      </c>
      <c r="X625" s="19">
        <v>0</v>
      </c>
      <c r="Y625" s="128">
        <f>IFERROR(VLOOKUP(D625,'Monthly Deduction'!$M$2:$N$64,2,0),0)</f>
        <v>0</v>
      </c>
      <c r="Z625" s="128">
        <v>0</v>
      </c>
      <c r="AA625" s="126">
        <f>IFERROR(VLOOKUP(D625,'Monthly Deduction'!A:B,2,0),0)</f>
        <v>0</v>
      </c>
      <c r="AB625" s="129">
        <f t="shared" si="169"/>
        <v>2961</v>
      </c>
      <c r="AC625" s="130">
        <v>0</v>
      </c>
      <c r="AD625" s="35">
        <f t="shared" si="181"/>
        <v>2961</v>
      </c>
      <c r="AE625" s="166" t="str">
        <f t="shared" si="182"/>
        <v>Release</v>
      </c>
      <c r="AF625" s="127"/>
      <c r="AG625" s="18">
        <v>0</v>
      </c>
      <c r="AH625" s="120"/>
      <c r="AI625" s="238">
        <v>0</v>
      </c>
      <c r="AJ625" s="132"/>
      <c r="AK625" s="151">
        <v>796.65</v>
      </c>
      <c r="AL625" s="154">
        <f t="shared" si="170"/>
        <v>0</v>
      </c>
      <c r="AM625" s="155"/>
      <c r="AN625" s="19">
        <f t="shared" si="171"/>
        <v>2784.0312713931153</v>
      </c>
      <c r="AO625" s="118">
        <f>SUMIF('MPG Payment '!E:E,'Shayak Income '!D625,'MPG Payment '!AJ:AJ)</f>
        <v>0</v>
      </c>
      <c r="AP625" s="19">
        <f t="shared" si="172"/>
        <v>2784.0312713931153</v>
      </c>
      <c r="AQ625" s="119">
        <f t="shared" si="183"/>
        <v>2784.0312713931153</v>
      </c>
      <c r="AR625" s="91"/>
      <c r="AS625" s="91">
        <f t="shared" si="173"/>
        <v>0</v>
      </c>
      <c r="AT625" s="118"/>
      <c r="AU625" s="118"/>
      <c r="AV625" s="118"/>
    </row>
    <row r="626" spans="1:48" s="20" customFormat="1" x14ac:dyDescent="0.25">
      <c r="A626" s="17">
        <f>IFERROR(VLOOKUP(D626,'Monthly Deduction'!$I$3:$J$957,2,0),0)</f>
        <v>84331.321269226406</v>
      </c>
      <c r="B626" s="17">
        <f>IFERROR(VLOOKUP(D626,'Monthly Deduction'!$E$3:$F$957,2,0),0)</f>
        <v>413</v>
      </c>
      <c r="C626" s="17">
        <f t="shared" si="174"/>
        <v>84744.321269226406</v>
      </c>
      <c r="D626" s="41">
        <v>10570007</v>
      </c>
      <c r="E626" s="122" t="str">
        <f>VLOOKUP(D626,'MPG Payment '!$E$3:$G$498218,2,0)</f>
        <v>Basantpur</v>
      </c>
      <c r="F626" s="146">
        <f>IFERROR(_xlfn.XLOOKUP(D626,'Monthly Deduction'!$I$3:$I$957,'Monthly Deduction'!$H$3:$H$957),0)</f>
        <v>0</v>
      </c>
      <c r="G626" s="123" t="str">
        <f>VLOOKUP(D626,'MPG Payment '!$E$3:$G$334579,3,0)</f>
        <v>MPG</v>
      </c>
      <c r="H626" s="124" t="str">
        <f>VLOOKUP(D626,'MPG Payment '!$E$3:$H$334579,4,0)</f>
        <v>Direct</v>
      </c>
      <c r="I626" s="88">
        <f>INDEX('MPG Payment '!$C:$C,MATCH('Shayak Income '!D626,'MPG Payment '!E:E,0))</f>
        <v>1057</v>
      </c>
      <c r="J626" s="88" t="str">
        <f>INDEX('MPG Payment '!$D:$D,MATCH('Shayak Income '!D626,'MPG Payment '!E:E,0))</f>
        <v>Warisnagar</v>
      </c>
      <c r="K626" s="125" t="s">
        <v>1322</v>
      </c>
      <c r="L626" s="125">
        <v>45926</v>
      </c>
      <c r="M626" s="126">
        <f>SUMIF('MPG Payment '!$E$3:$E$34579,'Shayak Income '!D626,'MPG Payment '!$I$3:$I$34579)</f>
        <v>3252.8</v>
      </c>
      <c r="N626" s="126">
        <f>SUMIF('MPG Payment '!$E$3:$E$34579,'Shayak Income '!D626,'MPG Payment '!$J$3:$J$34579)</f>
        <v>151329.61106338375</v>
      </c>
      <c r="O626" s="126">
        <f t="shared" si="175"/>
        <v>2439.6000000000004</v>
      </c>
      <c r="P626" s="126">
        <f t="shared" si="176"/>
        <v>3090.16</v>
      </c>
      <c r="Q626" s="126">
        <f>SUMIF('MPG Payment '!$E$3:$E$34579,'Shayak Income '!D626,'MPG Payment '!$S$3:$S$34579)</f>
        <v>0</v>
      </c>
      <c r="R626" s="126">
        <f t="shared" si="167"/>
        <v>4539.8883319015122</v>
      </c>
      <c r="S626" s="126">
        <f t="shared" si="168"/>
        <v>1449.7283319015123</v>
      </c>
      <c r="T626" s="126">
        <f t="shared" si="177"/>
        <v>325.28000000000003</v>
      </c>
      <c r="U626" s="127">
        <f>(((IF(K626="New",0,SUMIF('MPG Payment '!$E$3:$E$34579,'Shayak Income '!D626,'MPG Payment '!$AC$3:$AC$34579))))+0)+0</f>
        <v>0</v>
      </c>
      <c r="V626" s="127">
        <f t="shared" si="178"/>
        <v>5204</v>
      </c>
      <c r="W626" s="19">
        <f t="shared" si="179"/>
        <v>3026.5922212676751</v>
      </c>
      <c r="X626" s="19">
        <v>0</v>
      </c>
      <c r="Y626" s="128">
        <f>IFERROR(VLOOKUP(D626,'Monthly Deduction'!$M$2:$N$64,2,0),0)</f>
        <v>0</v>
      </c>
      <c r="Z626" s="128">
        <v>0</v>
      </c>
      <c r="AA626" s="126">
        <f>IFERROR(VLOOKUP(D626,'Monthly Deduction'!A:B,2,0),0)</f>
        <v>0</v>
      </c>
      <c r="AB626" s="129">
        <f t="shared" si="169"/>
        <v>2177</v>
      </c>
      <c r="AC626" s="130">
        <f>AB626</f>
        <v>2177</v>
      </c>
      <c r="AD626" s="35">
        <f t="shared" si="181"/>
        <v>0</v>
      </c>
      <c r="AE626" s="166" t="str">
        <f t="shared" si="182"/>
        <v>Yes</v>
      </c>
      <c r="AF626" s="127"/>
      <c r="AG626" s="18">
        <v>0</v>
      </c>
      <c r="AH626" s="120" t="s">
        <v>1646</v>
      </c>
      <c r="AI626" s="238">
        <v>15256</v>
      </c>
      <c r="AJ626" s="132"/>
      <c r="AK626" s="151">
        <v>799.6</v>
      </c>
      <c r="AL626" s="154">
        <f t="shared" si="170"/>
        <v>0</v>
      </c>
      <c r="AM626" s="155"/>
      <c r="AN626" s="19">
        <f t="shared" si="171"/>
        <v>3026.5922212676751</v>
      </c>
      <c r="AO626" s="118">
        <f>SUMIF('MPG Payment '!E:E,'Shayak Income '!D626,'MPG Payment '!AJ:AJ)</f>
        <v>0</v>
      </c>
      <c r="AP626" s="19">
        <f t="shared" si="172"/>
        <v>3026.5922212676751</v>
      </c>
      <c r="AQ626" s="119">
        <f t="shared" si="183"/>
        <v>3026.5922212676751</v>
      </c>
      <c r="AR626" s="91" t="s">
        <v>1168</v>
      </c>
      <c r="AS626" s="91">
        <f t="shared" si="173"/>
        <v>413</v>
      </c>
      <c r="AT626" s="118"/>
      <c r="AU626" s="118"/>
      <c r="AV626" s="118"/>
    </row>
    <row r="627" spans="1:48" s="20" customFormat="1" x14ac:dyDescent="0.25">
      <c r="A627" s="17">
        <f>IFERROR(VLOOKUP(D627,'Monthly Deduction'!$I$3:$J$957,2,0),0)</f>
        <v>0</v>
      </c>
      <c r="B627" s="17">
        <f>IFERROR(VLOOKUP(D627,'Monthly Deduction'!$E$3:$F$957,2,0),0)</f>
        <v>0</v>
      </c>
      <c r="C627" s="17">
        <f t="shared" si="174"/>
        <v>0</v>
      </c>
      <c r="D627" s="41">
        <v>10010049</v>
      </c>
      <c r="E627" s="122" t="str">
        <f>VLOOKUP(D627,'MPG Payment '!$E$3:$G$498218,2,0)</f>
        <v>Birpur-2 - Pankaj</v>
      </c>
      <c r="F627" s="146">
        <f>IFERROR(_xlfn.XLOOKUP(D627,'Monthly Deduction'!$I$3:$I$957,'Monthly Deduction'!$H$3:$H$957),0)</f>
        <v>0</v>
      </c>
      <c r="G627" s="123" t="str">
        <f>VLOOKUP(D627,'MPG Payment '!$E$3:$G$334579,3,0)</f>
        <v>vlc</v>
      </c>
      <c r="H627" s="124" t="str">
        <f>VLOOKUP(D627,'MPG Payment '!$E$3:$H$334579,4,0)</f>
        <v>Indirect</v>
      </c>
      <c r="I627" s="88">
        <f>INDEX('MPG Payment '!$C:$C,MATCH('Shayak Income '!D627,'MPG Payment '!E:E,0))</f>
        <v>1001</v>
      </c>
      <c r="J627" s="88" t="str">
        <f>INDEX('MPG Payment '!$D:$D,MATCH('Shayak Income '!D627,'MPG Payment '!E:E,0))</f>
        <v>Majhaul</v>
      </c>
      <c r="K627" s="125" t="s">
        <v>1322</v>
      </c>
      <c r="L627" s="125">
        <v>45098</v>
      </c>
      <c r="M627" s="126">
        <f>SUMIF('MPG Payment '!$E$3:$E$34579,'Shayak Income '!D627,'MPG Payment '!$I$3:$I$34579)</f>
        <v>493.5</v>
      </c>
      <c r="N627" s="126">
        <f>SUMIF('MPG Payment '!$E$3:$E$34579,'Shayak Income '!D627,'MPG Payment '!$J$3:$J$34579)</f>
        <v>17548.629749351501</v>
      </c>
      <c r="O627" s="126">
        <f t="shared" si="175"/>
        <v>370.125</v>
      </c>
      <c r="P627" s="126">
        <f t="shared" si="176"/>
        <v>468.82499999999999</v>
      </c>
      <c r="Q627" s="126">
        <f>SUMIF('MPG Payment '!$E$3:$E$34579,'Shayak Income '!D627,'MPG Payment '!$S$3:$S$34579)</f>
        <v>0</v>
      </c>
      <c r="R627" s="126">
        <f t="shared" si="167"/>
        <v>526.45889248054505</v>
      </c>
      <c r="S627" s="126">
        <f t="shared" si="168"/>
        <v>57.633892480545057</v>
      </c>
      <c r="T627" s="126">
        <f t="shared" si="177"/>
        <v>49.35</v>
      </c>
      <c r="U627" s="127">
        <f>(((IF(K627="New",0,SUMIF('MPG Payment '!$E$3:$E$34579,'Shayak Income '!D627,'MPG Payment '!$AC$3:$AC$34579))))+0)+-420</f>
        <v>789.51327563631889</v>
      </c>
      <c r="V627" s="127">
        <f t="shared" si="178"/>
        <v>0</v>
      </c>
      <c r="W627" s="19">
        <v>0</v>
      </c>
      <c r="X627" s="19">
        <v>0</v>
      </c>
      <c r="Y627" s="128">
        <f>IFERROR(VLOOKUP(D627,'Monthly Deduction'!$M$2:$N$64,2,0),0)</f>
        <v>0</v>
      </c>
      <c r="Z627" s="128">
        <v>0</v>
      </c>
      <c r="AA627" s="126">
        <f>IFERROR(VLOOKUP(D627,'Monthly Deduction'!A:B,2,0),0)</f>
        <v>0</v>
      </c>
      <c r="AB627" s="129">
        <f t="shared" si="169"/>
        <v>0</v>
      </c>
      <c r="AC627" s="130">
        <v>0</v>
      </c>
      <c r="AD627" s="35">
        <f t="shared" si="181"/>
        <v>0</v>
      </c>
      <c r="AE627" s="166" t="str">
        <f t="shared" si="182"/>
        <v>Release</v>
      </c>
      <c r="AF627" s="127"/>
      <c r="AG627" s="18">
        <v>0</v>
      </c>
      <c r="AH627" s="120"/>
      <c r="AI627" s="238">
        <v>0</v>
      </c>
      <c r="AJ627" s="132"/>
      <c r="AK627" s="151">
        <v>1058.2</v>
      </c>
      <c r="AL627" s="154">
        <f t="shared" si="170"/>
        <v>0</v>
      </c>
      <c r="AM627" s="155"/>
      <c r="AN627" s="19">
        <f t="shared" si="171"/>
        <v>0</v>
      </c>
      <c r="AO627" s="118">
        <f>SUMIF('MPG Payment '!E:E,'Shayak Income '!D627,'MPG Payment '!AJ:AJ)</f>
        <v>0</v>
      </c>
      <c r="AP627" s="19">
        <f t="shared" si="172"/>
        <v>0</v>
      </c>
      <c r="AQ627" s="119">
        <f t="shared" si="183"/>
        <v>0</v>
      </c>
      <c r="AR627" s="91" t="s">
        <v>1168</v>
      </c>
      <c r="AS627" s="91">
        <f t="shared" si="173"/>
        <v>0</v>
      </c>
      <c r="AT627" s="118"/>
      <c r="AU627" s="118"/>
      <c r="AV627" s="118"/>
    </row>
    <row r="628" spans="1:48" s="20" customFormat="1" x14ac:dyDescent="0.25">
      <c r="A628" s="17">
        <f>IFERROR(VLOOKUP(D628,'Monthly Deduction'!$I$3:$J$957,2,0),0)</f>
        <v>0</v>
      </c>
      <c r="B628" s="17">
        <f>IFERROR(VLOOKUP(D628,'Monthly Deduction'!$E$3:$F$957,2,0),0)</f>
        <v>0</v>
      </c>
      <c r="C628" s="17">
        <f t="shared" si="174"/>
        <v>0</v>
      </c>
      <c r="D628" s="41">
        <v>10020018</v>
      </c>
      <c r="E628" s="122" t="str">
        <f>VLOOKUP(D628,'MPG Payment '!$E$3:$G$498218,2,0)</f>
        <v>WAKIL YADAV VLC</v>
      </c>
      <c r="F628" s="146">
        <f>IFERROR(_xlfn.XLOOKUP(D628,'Monthly Deduction'!$I$3:$I$957,'Monthly Deduction'!$H$3:$H$957),0)</f>
        <v>0</v>
      </c>
      <c r="G628" s="123" t="str">
        <f>VLOOKUP(D628,'MPG Payment '!$E$3:$G$334579,3,0)</f>
        <v>vlc</v>
      </c>
      <c r="H628" s="124" t="str">
        <f>VLOOKUP(D628,'MPG Payment '!$E$3:$H$334579,4,0)</f>
        <v>Indirect</v>
      </c>
      <c r="I628" s="88">
        <f>INDEX('MPG Payment '!$C:$C,MATCH('Shayak Income '!D628,'MPG Payment '!E:E,0))</f>
        <v>1002</v>
      </c>
      <c r="J628" s="88" t="str">
        <f>INDEX('MPG Payment '!$D:$D,MATCH('Shayak Income '!D628,'MPG Payment '!E:E,0))</f>
        <v>Laldiyara</v>
      </c>
      <c r="K628" s="125" t="s">
        <v>1322</v>
      </c>
      <c r="L628" s="125">
        <v>44652</v>
      </c>
      <c r="M628" s="126">
        <f>SUMIF('MPG Payment '!$E$3:$E$34579,'Shayak Income '!D628,'MPG Payment '!$I$3:$I$34579)</f>
        <v>293.5</v>
      </c>
      <c r="N628" s="126">
        <f>SUMIF('MPG Payment '!$E$3:$E$34579,'Shayak Income '!D628,'MPG Payment '!$J$3:$J$34579)</f>
        <v>14404.380359826</v>
      </c>
      <c r="O628" s="126">
        <f t="shared" si="175"/>
        <v>220.125</v>
      </c>
      <c r="P628" s="126">
        <f t="shared" si="176"/>
        <v>278.82499999999999</v>
      </c>
      <c r="Q628" s="126">
        <f>SUMIF('MPG Payment '!$E$3:$E$34579,'Shayak Income '!D628,'MPG Payment '!$S$3:$S$34579)</f>
        <v>0</v>
      </c>
      <c r="R628" s="126">
        <f t="shared" si="167"/>
        <v>432.13141079477998</v>
      </c>
      <c r="S628" s="126">
        <f t="shared" si="168"/>
        <v>153.30641079477999</v>
      </c>
      <c r="T628" s="126">
        <f t="shared" si="177"/>
        <v>29.35</v>
      </c>
      <c r="U628" s="127">
        <f>(((IF(K628="New",0,SUMIF('MPG Payment '!$E$3:$E$34579,'Shayak Income '!D628,'MPG Payment '!$AC$3:$AC$34579))))+0)+0</f>
        <v>399.00378986502687</v>
      </c>
      <c r="V628" s="127">
        <f t="shared" si="178"/>
        <v>71</v>
      </c>
      <c r="W628" s="19">
        <f t="shared" si="179"/>
        <v>0</v>
      </c>
      <c r="X628" s="19">
        <f t="shared" si="180"/>
        <v>0</v>
      </c>
      <c r="Y628" s="128">
        <f>IFERROR(VLOOKUP(D628,'Monthly Deduction'!$M$2:$N$64,2,0),0)</f>
        <v>0</v>
      </c>
      <c r="Z628" s="128">
        <v>0</v>
      </c>
      <c r="AA628" s="126">
        <f>IFERROR(VLOOKUP(D628,'Monthly Deduction'!A:B,2,0),0)</f>
        <v>0</v>
      </c>
      <c r="AB628" s="129">
        <f t="shared" si="169"/>
        <v>71</v>
      </c>
      <c r="AC628" s="130">
        <f>AB628</f>
        <v>71</v>
      </c>
      <c r="AD628" s="35">
        <f t="shared" si="181"/>
        <v>0</v>
      </c>
      <c r="AE628" s="166" t="str">
        <f t="shared" si="182"/>
        <v>Yes</v>
      </c>
      <c r="AF628" s="127"/>
      <c r="AG628" s="18">
        <v>0</v>
      </c>
      <c r="AH628" s="132" t="s">
        <v>1648</v>
      </c>
      <c r="AI628" s="238">
        <v>0</v>
      </c>
      <c r="AJ628" s="132"/>
      <c r="AK628" s="151">
        <v>0</v>
      </c>
      <c r="AL628" s="154">
        <f t="shared" si="170"/>
        <v>0</v>
      </c>
      <c r="AM628" s="155"/>
      <c r="AN628" s="19">
        <f t="shared" si="171"/>
        <v>0</v>
      </c>
      <c r="AO628" s="118">
        <f>SUMIF('MPG Payment '!E:E,'Shayak Income '!D628,'MPG Payment '!AJ:AJ)</f>
        <v>0</v>
      </c>
      <c r="AP628" s="19">
        <f t="shared" si="172"/>
        <v>0</v>
      </c>
      <c r="AQ628" s="119">
        <f t="shared" si="183"/>
        <v>0</v>
      </c>
      <c r="AR628" s="91"/>
      <c r="AS628" s="91">
        <f t="shared" si="173"/>
        <v>0</v>
      </c>
      <c r="AT628" s="118"/>
      <c r="AU628" s="118"/>
      <c r="AV628" s="118"/>
    </row>
    <row r="629" spans="1:48" s="20" customFormat="1" x14ac:dyDescent="0.25">
      <c r="A629" s="17">
        <f>IFERROR(VLOOKUP(D629,'Monthly Deduction'!$I$3:$J$957,2,0),0)</f>
        <v>0</v>
      </c>
      <c r="B629" s="17">
        <f>IFERROR(VLOOKUP(D629,'Monthly Deduction'!$E$3:$F$957,2,0),0)</f>
        <v>0</v>
      </c>
      <c r="C629" s="17">
        <f t="shared" si="174"/>
        <v>0</v>
      </c>
      <c r="D629" s="41">
        <v>10060122</v>
      </c>
      <c r="E629" s="122" t="str">
        <f>VLOOKUP(D629,'MPG Payment '!$E$3:$G$498218,2,0)</f>
        <v>GOMUKH BHITAKITA</v>
      </c>
      <c r="F629" s="146">
        <f>IFERROR(_xlfn.XLOOKUP(D629,'Monthly Deduction'!$I$3:$I$957,'Monthly Deduction'!$H$3:$H$957),0)</f>
        <v>0</v>
      </c>
      <c r="G629" s="123" t="str">
        <f>VLOOKUP(D629,'MPG Payment '!$E$3:$G$334579,3,0)</f>
        <v>vlc</v>
      </c>
      <c r="H629" s="124" t="str">
        <f>VLOOKUP(D629,'MPG Payment '!$E$3:$H$334579,4,0)</f>
        <v>Indirect</v>
      </c>
      <c r="I629" s="88">
        <f>INDEX('MPG Payment '!$C:$C,MATCH('Shayak Income '!D629,'MPG Payment '!E:E,0))</f>
        <v>1006</v>
      </c>
      <c r="J629" s="88" t="str">
        <f>INDEX('MPG Payment '!$D:$D,MATCH('Shayak Income '!D629,'MPG Payment '!E:E,0))</f>
        <v>Sonvarsha</v>
      </c>
      <c r="K629" s="125" t="s">
        <v>1322</v>
      </c>
      <c r="L629" s="125">
        <v>45933</v>
      </c>
      <c r="M629" s="126">
        <f>SUMIF('MPG Payment '!$E$3:$E$34579,'Shayak Income '!D629,'MPG Payment '!$I$3:$I$34579)</f>
        <v>808.3</v>
      </c>
      <c r="N629" s="126">
        <f>SUMIF('MPG Payment '!$E$3:$E$34579,'Shayak Income '!D629,'MPG Payment '!$J$3:$J$34579)</f>
        <v>29335.463571393502</v>
      </c>
      <c r="O629" s="126">
        <f t="shared" si="175"/>
        <v>606.22499999999991</v>
      </c>
      <c r="P629" s="126">
        <f t="shared" si="176"/>
        <v>767.88499999999988</v>
      </c>
      <c r="Q629" s="126">
        <f>SUMIF('MPG Payment '!$E$3:$E$34579,'Shayak Income '!D629,'MPG Payment '!$S$3:$S$34579)</f>
        <v>0</v>
      </c>
      <c r="R629" s="126">
        <f t="shared" si="167"/>
        <v>880.06390714180509</v>
      </c>
      <c r="S629" s="126">
        <f t="shared" si="168"/>
        <v>112.17890714180521</v>
      </c>
      <c r="T629" s="126">
        <f t="shared" si="177"/>
        <v>80.83</v>
      </c>
      <c r="U629" s="127">
        <f>(((IF(K629="New",0,SUMIF('MPG Payment '!$E$3:$E$34579,'Shayak Income '!D629,'MPG Payment '!$AC$3:$AC$34579))))+0)+-153</f>
        <v>1292.9589525258134</v>
      </c>
      <c r="V629" s="127">
        <f t="shared" si="178"/>
        <v>0</v>
      </c>
      <c r="W629" s="19">
        <v>0</v>
      </c>
      <c r="X629" s="19">
        <v>0</v>
      </c>
      <c r="Y629" s="128">
        <f>IFERROR(VLOOKUP(D629,'Monthly Deduction'!$M$2:$N$64,2,0),0)</f>
        <v>0</v>
      </c>
      <c r="Z629" s="128">
        <v>0</v>
      </c>
      <c r="AA629" s="126">
        <f>IFERROR(VLOOKUP(D629,'Monthly Deduction'!A:B,2,0),0)</f>
        <v>0</v>
      </c>
      <c r="AB629" s="129">
        <f t="shared" si="169"/>
        <v>0</v>
      </c>
      <c r="AC629" s="130">
        <v>0</v>
      </c>
      <c r="AD629" s="35">
        <f t="shared" si="181"/>
        <v>0</v>
      </c>
      <c r="AE629" s="166" t="str">
        <f t="shared" si="182"/>
        <v>Release</v>
      </c>
      <c r="AF629" s="127"/>
      <c r="AG629" s="18">
        <v>0</v>
      </c>
      <c r="AH629" s="120"/>
      <c r="AI629" s="238">
        <v>0</v>
      </c>
      <c r="AJ629" s="132"/>
      <c r="AK629" s="151">
        <v>93.299999999999983</v>
      </c>
      <c r="AL629" s="154">
        <f t="shared" si="170"/>
        <v>0</v>
      </c>
      <c r="AM629" s="155"/>
      <c r="AN629" s="19">
        <f t="shared" si="171"/>
        <v>0</v>
      </c>
      <c r="AO629" s="118">
        <f>SUMIF('MPG Payment '!E:E,'Shayak Income '!D629,'MPG Payment '!AJ:AJ)</f>
        <v>0</v>
      </c>
      <c r="AP629" s="19">
        <f t="shared" si="172"/>
        <v>0</v>
      </c>
      <c r="AQ629" s="119">
        <f t="shared" si="183"/>
        <v>0</v>
      </c>
      <c r="AR629" s="91"/>
      <c r="AS629" s="91">
        <f t="shared" si="173"/>
        <v>0</v>
      </c>
      <c r="AT629" s="118"/>
      <c r="AU629" s="118"/>
      <c r="AV629" s="118"/>
    </row>
    <row r="630" spans="1:48" s="20" customFormat="1" x14ac:dyDescent="0.25">
      <c r="A630" s="17">
        <f>IFERROR(VLOOKUP(D630,'Monthly Deduction'!$I$3:$J$957,2,0),0)</f>
        <v>96474</v>
      </c>
      <c r="B630" s="17">
        <f>IFERROR(VLOOKUP(D630,'Monthly Deduction'!$E$3:$F$957,2,0),0)</f>
        <v>0</v>
      </c>
      <c r="C630" s="17">
        <f t="shared" si="174"/>
        <v>96474</v>
      </c>
      <c r="D630" s="41">
        <v>10120114</v>
      </c>
      <c r="E630" s="122" t="str">
        <f>VLOOKUP(D630,'MPG Payment '!$E$3:$G$498218,2,0)</f>
        <v>GOMUKH PATHAKTOL</v>
      </c>
      <c r="F630" s="146">
        <f>IFERROR(_xlfn.XLOOKUP(D630,'Monthly Deduction'!$I$3:$I$957,'Monthly Deduction'!$H$3:$H$957),0)</f>
        <v>0</v>
      </c>
      <c r="G630" s="123" t="str">
        <f>VLOOKUP(D630,'MPG Payment '!$E$3:$G$334579,3,0)</f>
        <v>MPG</v>
      </c>
      <c r="H630" s="124" t="str">
        <f>VLOOKUP(D630,'MPG Payment '!$E$3:$H$334579,4,0)</f>
        <v>Direct</v>
      </c>
      <c r="I630" s="88">
        <f>INDEX('MPG Payment '!$C:$C,MATCH('Shayak Income '!D630,'MPG Payment '!E:E,0))</f>
        <v>1012</v>
      </c>
      <c r="J630" s="88" t="str">
        <f>INDEX('MPG Payment '!$D:$D,MATCH('Shayak Income '!D630,'MPG Payment '!E:E,0))</f>
        <v>DalsinghSarai</v>
      </c>
      <c r="K630" s="125" t="s">
        <v>1322</v>
      </c>
      <c r="L630" s="125">
        <v>45939</v>
      </c>
      <c r="M630" s="126">
        <f>SUMIF('MPG Payment '!$E$3:$E$34579,'Shayak Income '!D630,'MPG Payment '!$I$3:$I$34579)</f>
        <v>638.67999999999995</v>
      </c>
      <c r="N630" s="126">
        <f>SUMIF('MPG Payment '!$E$3:$E$34579,'Shayak Income '!D630,'MPG Payment '!$J$3:$J$34579)</f>
        <v>26156.414726703002</v>
      </c>
      <c r="O630" s="126">
        <f t="shared" si="175"/>
        <v>479.01</v>
      </c>
      <c r="P630" s="126">
        <f t="shared" si="176"/>
        <v>606.74599999999998</v>
      </c>
      <c r="Q630" s="126">
        <f>SUMIF('MPG Payment '!$E$3:$E$34579,'Shayak Income '!D630,'MPG Payment '!$S$3:$S$34579)</f>
        <v>0</v>
      </c>
      <c r="R630" s="126">
        <f t="shared" si="167"/>
        <v>784.69244180109001</v>
      </c>
      <c r="S630" s="126">
        <f t="shared" si="168"/>
        <v>177.94644180109003</v>
      </c>
      <c r="T630" s="126">
        <f t="shared" si="177"/>
        <v>63.867999999999995</v>
      </c>
      <c r="U630" s="127">
        <f>(((IF(K630="New",0,SUMIF('MPG Payment '!$E$3:$E$34579,'Shayak Income '!D630,'MPG Payment '!$AC$3:$AC$34579))))+0)+-748</f>
        <v>1021.5419388610476</v>
      </c>
      <c r="V630" s="127">
        <f t="shared" si="178"/>
        <v>0</v>
      </c>
      <c r="W630" s="19">
        <v>0</v>
      </c>
      <c r="X630" s="19">
        <v>0</v>
      </c>
      <c r="Y630" s="128">
        <v>0</v>
      </c>
      <c r="Z630" s="128">
        <v>0</v>
      </c>
      <c r="AA630" s="126">
        <v>0</v>
      </c>
      <c r="AB630" s="129">
        <f t="shared" si="169"/>
        <v>0</v>
      </c>
      <c r="AC630" s="130">
        <f>AB630</f>
        <v>0</v>
      </c>
      <c r="AD630" s="35">
        <f t="shared" si="181"/>
        <v>0</v>
      </c>
      <c r="AE630" s="166" t="str">
        <f t="shared" si="182"/>
        <v>Release</v>
      </c>
      <c r="AF630" s="127"/>
      <c r="AG630" s="127">
        <v>0</v>
      </c>
      <c r="AH630" s="120" t="s">
        <v>1646</v>
      </c>
      <c r="AI630" s="238">
        <v>7474</v>
      </c>
      <c r="AJ630" s="132"/>
      <c r="AK630" s="151">
        <v>195.41000000000003</v>
      </c>
      <c r="AL630" s="154">
        <f t="shared" si="170"/>
        <v>0</v>
      </c>
      <c r="AM630" s="155"/>
      <c r="AN630" s="19">
        <f t="shared" si="171"/>
        <v>1861</v>
      </c>
      <c r="AO630" s="118">
        <f>SUMIF('MPG Payment '!E:E,'Shayak Income '!D630,'MPG Payment '!AJ:AJ)</f>
        <v>500</v>
      </c>
      <c r="AP630" s="19">
        <f t="shared" si="172"/>
        <v>0</v>
      </c>
      <c r="AQ630" s="119">
        <f t="shared" si="183"/>
        <v>500</v>
      </c>
      <c r="AR630" s="91" t="s">
        <v>1168</v>
      </c>
      <c r="AS630" s="91">
        <f t="shared" si="173"/>
        <v>0</v>
      </c>
      <c r="AT630" s="118"/>
      <c r="AU630" s="118"/>
      <c r="AV630" s="118"/>
    </row>
    <row r="631" spans="1:48" s="20" customFormat="1" x14ac:dyDescent="0.25">
      <c r="A631" s="17">
        <f>IFERROR(VLOOKUP(D631,'Monthly Deduction'!$I$3:$J$957,2,0),0)</f>
        <v>0</v>
      </c>
      <c r="B631" s="17">
        <f>IFERROR(VLOOKUP(D631,'Monthly Deduction'!$E$3:$F$957,2,0),0)</f>
        <v>0</v>
      </c>
      <c r="C631" s="17">
        <f t="shared" si="174"/>
        <v>0</v>
      </c>
      <c r="D631" s="41">
        <v>10550002</v>
      </c>
      <c r="E631" s="122" t="str">
        <f>VLOOKUP(D631,'MPG Payment '!$E$3:$G$498218,2,0)</f>
        <v>Bagdobh</v>
      </c>
      <c r="F631" s="146">
        <f>IFERROR(_xlfn.XLOOKUP(D631,'Monthly Deduction'!$I$3:$I$957,'Monthly Deduction'!$H$3:$H$957),0)</f>
        <v>0</v>
      </c>
      <c r="G631" s="123" t="str">
        <f>VLOOKUP(D631,'MPG Payment '!$E$3:$G$334579,3,0)</f>
        <v>vlc</v>
      </c>
      <c r="H631" s="124" t="str">
        <f>VLOOKUP(D631,'MPG Payment '!$E$3:$H$334579,4,0)</f>
        <v>Indirect</v>
      </c>
      <c r="I631" s="88">
        <f>INDEX('MPG Payment '!$C:$C,MATCH('Shayak Income '!D631,'MPG Payment '!E:E,0))</f>
        <v>1055</v>
      </c>
      <c r="J631" s="88" t="str">
        <f>INDEX('MPG Payment '!$D:$D,MATCH('Shayak Income '!D631,'MPG Payment '!E:E,0))</f>
        <v>Matihani</v>
      </c>
      <c r="K631" s="125" t="s">
        <v>1322</v>
      </c>
      <c r="L631" s="125">
        <v>45937</v>
      </c>
      <c r="M631" s="126">
        <f>SUMIF('MPG Payment '!$E$3:$E$34579,'Shayak Income '!D631,'MPG Payment '!$I$3:$I$34579)</f>
        <v>891.3</v>
      </c>
      <c r="N631" s="126">
        <f>SUMIF('MPG Payment '!$E$3:$E$34579,'Shayak Income '!D631,'MPG Payment '!$J$3:$J$34579)</f>
        <v>31307.755536166002</v>
      </c>
      <c r="O631" s="126">
        <f t="shared" si="175"/>
        <v>668.47499999999991</v>
      </c>
      <c r="P631" s="126">
        <f t="shared" si="176"/>
        <v>846.7349999999999</v>
      </c>
      <c r="Q631" s="126">
        <f>SUMIF('MPG Payment '!$E$3:$E$34579,'Shayak Income '!D631,'MPG Payment '!$S$3:$S$34579)</f>
        <v>0</v>
      </c>
      <c r="R631" s="126">
        <f t="shared" si="167"/>
        <v>939.23266608498</v>
      </c>
      <c r="S631" s="126">
        <f t="shared" si="168"/>
        <v>92.497666084980096</v>
      </c>
      <c r="T631" s="126">
        <f t="shared" si="177"/>
        <v>89.13</v>
      </c>
      <c r="U631" s="127">
        <f>(((IF(K631="New",0,SUMIF('MPG Payment '!$E$3:$E$34579,'Shayak Income '!D631,'MPG Payment '!$AC$3:$AC$34579))))+0)+0</f>
        <v>1343.0077407995479</v>
      </c>
      <c r="V631" s="127">
        <f t="shared" si="178"/>
        <v>83</v>
      </c>
      <c r="W631" s="19">
        <f t="shared" si="179"/>
        <v>0</v>
      </c>
      <c r="X631" s="19">
        <f t="shared" si="180"/>
        <v>0</v>
      </c>
      <c r="Y631" s="128">
        <f>IFERROR(VLOOKUP(D631,'Monthly Deduction'!$M$2:$N$64,2,0),0)</f>
        <v>0</v>
      </c>
      <c r="Z631" s="128">
        <v>0</v>
      </c>
      <c r="AA631" s="126">
        <f>IFERROR(VLOOKUP(D631,'Monthly Deduction'!A:B,2,0),0)</f>
        <v>0</v>
      </c>
      <c r="AB631" s="129">
        <f t="shared" si="169"/>
        <v>83</v>
      </c>
      <c r="AC631" s="130">
        <v>0</v>
      </c>
      <c r="AD631" s="35">
        <f t="shared" si="181"/>
        <v>83</v>
      </c>
      <c r="AE631" s="166" t="str">
        <f t="shared" si="182"/>
        <v>Release</v>
      </c>
      <c r="AF631" s="127"/>
      <c r="AG631" s="127">
        <v>0</v>
      </c>
      <c r="AH631" s="120"/>
      <c r="AI631" s="238">
        <v>0</v>
      </c>
      <c r="AJ631" s="132"/>
      <c r="AK631" s="151">
        <v>229.89999999999998</v>
      </c>
      <c r="AL631" s="154">
        <f t="shared" si="170"/>
        <v>0</v>
      </c>
      <c r="AM631" s="155"/>
      <c r="AN631" s="19">
        <f t="shared" si="171"/>
        <v>0</v>
      </c>
      <c r="AO631" s="118">
        <f>SUMIF('MPG Payment '!E:E,'Shayak Income '!D631,'MPG Payment '!AJ:AJ)</f>
        <v>0</v>
      </c>
      <c r="AP631" s="19">
        <f t="shared" si="172"/>
        <v>0</v>
      </c>
      <c r="AQ631" s="119">
        <f t="shared" si="183"/>
        <v>0</v>
      </c>
      <c r="AR631" s="91"/>
      <c r="AS631" s="91">
        <f t="shared" si="173"/>
        <v>0</v>
      </c>
      <c r="AT631" s="118"/>
      <c r="AU631" s="118"/>
      <c r="AV631" s="118"/>
    </row>
    <row r="632" spans="1:48" s="20" customFormat="1" x14ac:dyDescent="0.25">
      <c r="A632" s="17">
        <f>IFERROR(VLOOKUP(D632,'Monthly Deduction'!$I$3:$J$957,2,0),0)</f>
        <v>0</v>
      </c>
      <c r="B632" s="17">
        <f>IFERROR(VLOOKUP(D632,'Monthly Deduction'!$E$3:$F$957,2,0),0)</f>
        <v>0</v>
      </c>
      <c r="C632" s="17">
        <f t="shared" si="174"/>
        <v>0</v>
      </c>
      <c r="D632" s="41">
        <v>10570013</v>
      </c>
      <c r="E632" s="122" t="str">
        <f>VLOOKUP(D632,'MPG Payment '!$E$3:$G$498218,2,0)</f>
        <v xml:space="preserve">Baghopur </v>
      </c>
      <c r="F632" s="146">
        <f>IFERROR(_xlfn.XLOOKUP(D632,'Monthly Deduction'!$I$3:$I$957,'Monthly Deduction'!$H$3:$H$957),0)</f>
        <v>0</v>
      </c>
      <c r="G632" s="123" t="str">
        <f>VLOOKUP(D632,'MPG Payment '!$E$3:$G$334579,3,0)</f>
        <v>vlc</v>
      </c>
      <c r="H632" s="124" t="str">
        <f>VLOOKUP(D632,'MPG Payment '!$E$3:$H$334579,4,0)</f>
        <v>Indirect</v>
      </c>
      <c r="I632" s="88">
        <f>INDEX('MPG Payment '!$C:$C,MATCH('Shayak Income '!D632,'MPG Payment '!E:E,0))</f>
        <v>1057</v>
      </c>
      <c r="J632" s="88" t="str">
        <f>INDEX('MPG Payment '!$D:$D,MATCH('Shayak Income '!D632,'MPG Payment '!E:E,0))</f>
        <v>Warisnagar</v>
      </c>
      <c r="K632" s="125" t="s">
        <v>1322</v>
      </c>
      <c r="L632" s="125">
        <v>45934</v>
      </c>
      <c r="M632" s="126">
        <f>SUMIF('MPG Payment '!$E$3:$E$34579,'Shayak Income '!D632,'MPG Payment '!$I$3:$I$34579)</f>
        <v>2529.7999999999997</v>
      </c>
      <c r="N632" s="126">
        <f>SUMIF('MPG Payment '!$E$3:$E$34579,'Shayak Income '!D632,'MPG Payment '!$J$3:$J$34579)</f>
        <v>94526.634804890011</v>
      </c>
      <c r="O632" s="126">
        <f t="shared" si="175"/>
        <v>1897.35</v>
      </c>
      <c r="P632" s="126">
        <f t="shared" si="176"/>
        <v>2403.3099999999995</v>
      </c>
      <c r="Q632" s="126">
        <f>SUMIF('MPG Payment '!$E$3:$E$34579,'Shayak Income '!D632,'MPG Payment '!$S$3:$S$34579)</f>
        <v>0</v>
      </c>
      <c r="R632" s="126">
        <f t="shared" si="167"/>
        <v>2835.7990441467</v>
      </c>
      <c r="S632" s="126">
        <f t="shared" si="168"/>
        <v>432.48904414670051</v>
      </c>
      <c r="T632" s="126">
        <f t="shared" si="177"/>
        <v>252.98</v>
      </c>
      <c r="U632" s="127">
        <f>(((IF(K632="New",0,SUMIF('MPG Payment '!$E$3:$E$34579,'Shayak Income '!D632,'MPG Payment '!$AC$3:$AC$34579))))+0)+0</f>
        <v>237.71846566234311</v>
      </c>
      <c r="V632" s="127">
        <f t="shared" si="178"/>
        <v>3810</v>
      </c>
      <c r="W632" s="19">
        <f t="shared" si="179"/>
        <v>0</v>
      </c>
      <c r="X632" s="19">
        <f t="shared" si="180"/>
        <v>0</v>
      </c>
      <c r="Y632" s="128">
        <f>IFERROR(VLOOKUP(D632,'Monthly Deduction'!$M$2:$N$64,2,0),0)</f>
        <v>0</v>
      </c>
      <c r="Z632" s="128">
        <v>0</v>
      </c>
      <c r="AA632" s="126">
        <f>IFERROR(VLOOKUP(D632,'Monthly Deduction'!A:B,2,0),0)</f>
        <v>0</v>
      </c>
      <c r="AB632" s="129">
        <f t="shared" si="169"/>
        <v>3810</v>
      </c>
      <c r="AC632" s="130">
        <v>0</v>
      </c>
      <c r="AD632" s="35">
        <f t="shared" si="181"/>
        <v>3810</v>
      </c>
      <c r="AE632" s="166" t="str">
        <f t="shared" si="182"/>
        <v>Release</v>
      </c>
      <c r="AF632" s="127"/>
      <c r="AG632" s="18">
        <v>0</v>
      </c>
      <c r="AH632" s="120"/>
      <c r="AI632" s="238">
        <v>0</v>
      </c>
      <c r="AJ632" s="132"/>
      <c r="AK632" s="151">
        <v>969.5</v>
      </c>
      <c r="AL632" s="154">
        <f t="shared" si="170"/>
        <v>0</v>
      </c>
      <c r="AM632" s="155"/>
      <c r="AN632" s="19">
        <f t="shared" si="171"/>
        <v>0</v>
      </c>
      <c r="AO632" s="118">
        <f>SUMIF('MPG Payment '!E:E,'Shayak Income '!D632,'MPG Payment '!AJ:AJ)</f>
        <v>0</v>
      </c>
      <c r="AP632" s="19">
        <f t="shared" si="172"/>
        <v>0</v>
      </c>
      <c r="AQ632" s="119">
        <f t="shared" si="183"/>
        <v>0</v>
      </c>
      <c r="AR632" s="91" t="s">
        <v>1168</v>
      </c>
      <c r="AS632" s="91">
        <f t="shared" si="173"/>
        <v>0</v>
      </c>
      <c r="AT632" s="118"/>
      <c r="AU632" s="118"/>
      <c r="AV632" s="118"/>
    </row>
    <row r="633" spans="1:48" s="20" customFormat="1" x14ac:dyDescent="0.25">
      <c r="A633" s="17">
        <f>IFERROR(VLOOKUP(D633,'Monthly Deduction'!$I$3:$J$957,2,0),0)</f>
        <v>0</v>
      </c>
      <c r="B633" s="17">
        <f>IFERROR(VLOOKUP(D633,'Monthly Deduction'!$E$3:$F$957,2,0),0)</f>
        <v>3013.7457170187754</v>
      </c>
      <c r="C633" s="17">
        <f t="shared" si="174"/>
        <v>3013.7457170187754</v>
      </c>
      <c r="D633" s="41">
        <v>10570015</v>
      </c>
      <c r="E633" s="122" t="str">
        <f>VLOOKUP(D633,'MPG Payment '!$E$3:$G$498218,2,0)</f>
        <v>Sadipur Bathnaha</v>
      </c>
      <c r="F633" s="146">
        <f>IFERROR(_xlfn.XLOOKUP(D633,'Monthly Deduction'!$I$3:$I$957,'Monthly Deduction'!$H$3:$H$957),0)</f>
        <v>0</v>
      </c>
      <c r="G633" s="123" t="str">
        <f>VLOOKUP(D633,'MPG Payment '!$E$3:$G$334579,3,0)</f>
        <v>vlc</v>
      </c>
      <c r="H633" s="124" t="str">
        <f>VLOOKUP(D633,'MPG Payment '!$E$3:$H$334579,4,0)</f>
        <v>Indirect</v>
      </c>
      <c r="I633" s="88">
        <f>INDEX('MPG Payment '!$C:$C,MATCH('Shayak Income '!D633,'MPG Payment '!E:E,0))</f>
        <v>1057</v>
      </c>
      <c r="J633" s="88" t="str">
        <f>INDEX('MPG Payment '!$D:$D,MATCH('Shayak Income '!D633,'MPG Payment '!E:E,0))</f>
        <v>Warisnagar</v>
      </c>
      <c r="K633" s="125" t="s">
        <v>1322</v>
      </c>
      <c r="L633" s="125">
        <v>45936</v>
      </c>
      <c r="M633" s="126">
        <f>SUMIF('MPG Payment '!$E$3:$E$34579,'Shayak Income '!D633,'MPG Payment '!$I$3:$I$34579)</f>
        <v>69.2</v>
      </c>
      <c r="N633" s="126">
        <f>SUMIF('MPG Payment '!$E$3:$E$34579,'Shayak Income '!D633,'MPG Payment '!$J$3:$J$34579)</f>
        <v>2612.3000000000002</v>
      </c>
      <c r="O633" s="126">
        <f t="shared" si="175"/>
        <v>51.900000000000006</v>
      </c>
      <c r="P633" s="126">
        <f t="shared" si="176"/>
        <v>65.739999999999995</v>
      </c>
      <c r="Q633" s="126">
        <f>SUMIF('MPG Payment '!$E$3:$E$34579,'Shayak Income '!D633,'MPG Payment '!$S$3:$S$34579)</f>
        <v>0</v>
      </c>
      <c r="R633" s="126">
        <f t="shared" si="167"/>
        <v>78.369</v>
      </c>
      <c r="S633" s="126">
        <f t="shared" si="168"/>
        <v>12.629000000000005</v>
      </c>
      <c r="T633" s="126">
        <f t="shared" si="177"/>
        <v>6.9200000000000008</v>
      </c>
      <c r="U633" s="127">
        <f>(((IF(K633="New",0,SUMIF('MPG Payment '!$E$3:$E$34579,'Shayak Income '!D633,'MPG Payment '!$AC$3:$AC$34579))))+0)+-366</f>
        <v>110.25399999999996</v>
      </c>
      <c r="V633" s="127">
        <f t="shared" si="178"/>
        <v>0</v>
      </c>
      <c r="W633" s="19">
        <v>0</v>
      </c>
      <c r="X633" s="19">
        <v>0</v>
      </c>
      <c r="Y633" s="128">
        <f>IFERROR(VLOOKUP(D633,'Monthly Deduction'!$M$2:$N$64,2,0),0)</f>
        <v>0</v>
      </c>
      <c r="Z633" s="128">
        <v>0</v>
      </c>
      <c r="AA633" s="126">
        <f>IFERROR(VLOOKUP(D633,'Monthly Deduction'!A:B,2,0),0)</f>
        <v>0</v>
      </c>
      <c r="AB633" s="129">
        <f t="shared" si="169"/>
        <v>0</v>
      </c>
      <c r="AC633" s="130">
        <f>AB633</f>
        <v>0</v>
      </c>
      <c r="AD633" s="35">
        <f t="shared" si="181"/>
        <v>0</v>
      </c>
      <c r="AE633" s="166" t="str">
        <f t="shared" si="182"/>
        <v>Release</v>
      </c>
      <c r="AF633" s="127"/>
      <c r="AG633" s="18">
        <v>0</v>
      </c>
      <c r="AH633" s="132" t="s">
        <v>1648</v>
      </c>
      <c r="AI633" s="238">
        <v>0</v>
      </c>
      <c r="AJ633" s="132"/>
      <c r="AK633" s="151">
        <v>0</v>
      </c>
      <c r="AL633" s="154">
        <f t="shared" si="170"/>
        <v>0</v>
      </c>
      <c r="AM633" s="155"/>
      <c r="AN633" s="19">
        <f t="shared" si="171"/>
        <v>0</v>
      </c>
      <c r="AO633" s="118">
        <f>SUMIF('MPG Payment '!E:E,'Shayak Income '!D633,'MPG Payment '!AJ:AJ)</f>
        <v>0</v>
      </c>
      <c r="AP633" s="19">
        <f t="shared" si="172"/>
        <v>0</v>
      </c>
      <c r="AQ633" s="119">
        <f t="shared" si="183"/>
        <v>0</v>
      </c>
      <c r="AR633" s="91" t="s">
        <v>1168</v>
      </c>
      <c r="AS633" s="91">
        <f t="shared" si="173"/>
        <v>3013.7457170187754</v>
      </c>
      <c r="AT633" s="118"/>
      <c r="AU633" s="118"/>
      <c r="AV633" s="118"/>
    </row>
    <row r="634" spans="1:48" s="20" customFormat="1" x14ac:dyDescent="0.25">
      <c r="A634" s="17">
        <f>IFERROR(VLOOKUP(D634,'Monthly Deduction'!$I$3:$J$957,2,0),0)</f>
        <v>0</v>
      </c>
      <c r="B634" s="17">
        <f>IFERROR(VLOOKUP(D634,'Monthly Deduction'!$E$3:$F$957,2,0),0)</f>
        <v>0</v>
      </c>
      <c r="C634" s="17">
        <f t="shared" si="174"/>
        <v>0</v>
      </c>
      <c r="D634" s="41">
        <v>10080112</v>
      </c>
      <c r="E634" s="122" t="str">
        <f>VLOOKUP(D634,'MPG Payment '!$E$3:$G$498218,2,0)</f>
        <v>Samsa</v>
      </c>
      <c r="F634" s="146">
        <f>IFERROR(_xlfn.XLOOKUP(D634,'Monthly Deduction'!$I$3:$I$957,'Monthly Deduction'!$H$3:$H$957),0)</f>
        <v>0</v>
      </c>
      <c r="G634" s="123" t="str">
        <f>VLOOKUP(D634,'MPG Payment '!$E$3:$G$334579,3,0)</f>
        <v>vlc</v>
      </c>
      <c r="H634" s="124" t="str">
        <f>VLOOKUP(D634,'MPG Payment '!$E$3:$H$334579,4,0)</f>
        <v>Indirect</v>
      </c>
      <c r="I634" s="88">
        <f>INDEX('MPG Payment '!$C:$C,MATCH('Shayak Income '!D634,'MPG Payment '!E:E,0))</f>
        <v>1065</v>
      </c>
      <c r="J634" s="88" t="str">
        <f>INDEX('MPG Payment '!$D:$D,MATCH('Shayak Income '!D634,'MPG Payment '!E:E,0))</f>
        <v>Bachhwara BMC</v>
      </c>
      <c r="K634" s="125" t="s">
        <v>1322</v>
      </c>
      <c r="L634" s="125">
        <v>45940</v>
      </c>
      <c r="M634" s="126">
        <f>SUMIF('MPG Payment '!$E$3:$E$34579,'Shayak Income '!D634,'MPG Payment '!$I$3:$I$34579)</f>
        <v>3865.6000000000008</v>
      </c>
      <c r="N634" s="126">
        <f>SUMIF('MPG Payment '!$E$3:$E$34579,'Shayak Income '!D634,'MPG Payment '!$J$3:$J$34579)</f>
        <v>150785.59233324</v>
      </c>
      <c r="O634" s="126">
        <f t="shared" si="175"/>
        <v>2899.2000000000007</v>
      </c>
      <c r="P634" s="126">
        <f t="shared" si="176"/>
        <v>3672.3200000000006</v>
      </c>
      <c r="Q634" s="126">
        <f>SUMIF('MPG Payment '!$E$3:$E$34579,'Shayak Income '!D634,'MPG Payment '!$S$3:$S$34579)</f>
        <v>0</v>
      </c>
      <c r="R634" s="126">
        <f t="shared" si="167"/>
        <v>4523.5677699971993</v>
      </c>
      <c r="S634" s="126">
        <f t="shared" si="168"/>
        <v>851.2477699971987</v>
      </c>
      <c r="T634" s="126">
        <f t="shared" si="177"/>
        <v>386.56000000000012</v>
      </c>
      <c r="U634" s="127">
        <f>(((IF(K634="New",0,SUMIF('MPG Payment '!$E$3:$E$34579,'Shayak Income '!D634,'MPG Payment '!$AC$3:$AC$34579))))+0)+0</f>
        <v>0</v>
      </c>
      <c r="V634" s="127">
        <f t="shared" si="178"/>
        <v>6185</v>
      </c>
      <c r="W634" s="19">
        <f t="shared" si="179"/>
        <v>0</v>
      </c>
      <c r="X634" s="19">
        <f t="shared" si="180"/>
        <v>0</v>
      </c>
      <c r="Y634" s="128">
        <f>IFERROR(VLOOKUP(D634,'Monthly Deduction'!$M$2:$N$64,2,0),0)</f>
        <v>0</v>
      </c>
      <c r="Z634" s="128">
        <v>0</v>
      </c>
      <c r="AA634" s="126">
        <f>IFERROR(VLOOKUP(D634,'Monthly Deduction'!A:B,2,0),0)</f>
        <v>0</v>
      </c>
      <c r="AB634" s="129">
        <f t="shared" si="169"/>
        <v>6185</v>
      </c>
      <c r="AC634" s="130">
        <v>0</v>
      </c>
      <c r="AD634" s="35">
        <f t="shared" si="181"/>
        <v>6185</v>
      </c>
      <c r="AE634" s="166" t="str">
        <f t="shared" si="182"/>
        <v>Release</v>
      </c>
      <c r="AF634" s="127"/>
      <c r="AG634" s="127">
        <v>0</v>
      </c>
      <c r="AH634" s="120"/>
      <c r="AI634" s="238">
        <v>0</v>
      </c>
      <c r="AJ634" s="132"/>
      <c r="AK634" s="151">
        <v>1270.1000000000001</v>
      </c>
      <c r="AL634" s="154">
        <f t="shared" si="170"/>
        <v>0</v>
      </c>
      <c r="AM634" s="155"/>
      <c r="AN634" s="19">
        <f t="shared" si="171"/>
        <v>0</v>
      </c>
      <c r="AO634" s="118">
        <f>SUMIF('MPG Payment '!E:E,'Shayak Income '!D634,'MPG Payment '!AJ:AJ)</f>
        <v>0</v>
      </c>
      <c r="AP634" s="19">
        <f t="shared" si="172"/>
        <v>0</v>
      </c>
      <c r="AQ634" s="119">
        <f t="shared" si="183"/>
        <v>0</v>
      </c>
      <c r="AR634" s="91"/>
      <c r="AS634" s="91">
        <f t="shared" si="173"/>
        <v>0</v>
      </c>
      <c r="AT634" s="118"/>
      <c r="AU634" s="118"/>
      <c r="AV634" s="118"/>
    </row>
    <row r="635" spans="1:48" s="20" customFormat="1" x14ac:dyDescent="0.25">
      <c r="A635" s="17">
        <f>IFERROR(VLOOKUP(D635,'Monthly Deduction'!$I$3:$J$957,2,0),0)</f>
        <v>0</v>
      </c>
      <c r="B635" s="17">
        <f>IFERROR(VLOOKUP(D635,'Monthly Deduction'!$E$3:$F$957,2,0),0)</f>
        <v>0</v>
      </c>
      <c r="C635" s="17">
        <f t="shared" si="174"/>
        <v>0</v>
      </c>
      <c r="D635" s="41">
        <v>10080113</v>
      </c>
      <c r="E635" s="122" t="str">
        <f>VLOOKUP(D635,'MPG Payment '!$E$3:$G$498218,2,0)</f>
        <v>Dahiya</v>
      </c>
      <c r="F635" s="146">
        <f>IFERROR(_xlfn.XLOOKUP(D635,'Monthly Deduction'!$I$3:$I$957,'Monthly Deduction'!$H$3:$H$957),0)</f>
        <v>0</v>
      </c>
      <c r="G635" s="123" t="str">
        <f>VLOOKUP(D635,'MPG Payment '!$E$3:$G$334579,3,0)</f>
        <v>vlc</v>
      </c>
      <c r="H635" s="124" t="str">
        <f>VLOOKUP(D635,'MPG Payment '!$E$3:$H$334579,4,0)</f>
        <v>Indirect</v>
      </c>
      <c r="I635" s="88">
        <f>INDEX('MPG Payment '!$C:$C,MATCH('Shayak Income '!D635,'MPG Payment '!E:E,0))</f>
        <v>1008</v>
      </c>
      <c r="J635" s="88" t="str">
        <f>INDEX('MPG Payment '!$D:$D,MATCH('Shayak Income '!D635,'MPG Payment '!E:E,0))</f>
        <v>Teghra</v>
      </c>
      <c r="K635" s="125" t="s">
        <v>1322</v>
      </c>
      <c r="L635" s="125">
        <v>45940</v>
      </c>
      <c r="M635" s="126">
        <f>SUMIF('MPG Payment '!$E$3:$E$34579,'Shayak Income '!D635,'MPG Payment '!$I$3:$I$34579)</f>
        <v>1292.05</v>
      </c>
      <c r="N635" s="126">
        <f>SUMIF('MPG Payment '!$E$3:$E$34579,'Shayak Income '!D635,'MPG Payment '!$J$3:$J$34579)</f>
        <v>48941.916218046004</v>
      </c>
      <c r="O635" s="126">
        <f t="shared" si="175"/>
        <v>969.03749999999991</v>
      </c>
      <c r="P635" s="126">
        <f t="shared" si="176"/>
        <v>1227.4475</v>
      </c>
      <c r="Q635" s="126">
        <f>SUMIF('MPG Payment '!$E$3:$E$34579,'Shayak Income '!D635,'MPG Payment '!$S$3:$S$34579)</f>
        <v>0</v>
      </c>
      <c r="R635" s="126">
        <f t="shared" si="167"/>
        <v>1468.2574865413801</v>
      </c>
      <c r="S635" s="126">
        <f t="shared" si="168"/>
        <v>240.80998654138011</v>
      </c>
      <c r="T635" s="126">
        <f t="shared" si="177"/>
        <v>129.20500000000001</v>
      </c>
      <c r="U635" s="127">
        <f>(((IF(K635="New",0,SUMIF('MPG Payment '!$E$3:$E$34579,'Shayak Income '!D635,'MPG Payment '!$AC$3:$AC$34579))))+0)+0</f>
        <v>1140.2531796708283</v>
      </c>
      <c r="V635" s="127">
        <f t="shared" si="178"/>
        <v>927</v>
      </c>
      <c r="W635" s="19">
        <f t="shared" si="179"/>
        <v>0</v>
      </c>
      <c r="X635" s="19">
        <f t="shared" si="180"/>
        <v>0</v>
      </c>
      <c r="Y635" s="128">
        <f>IFERROR(VLOOKUP(D635,'Monthly Deduction'!$M$2:$N$64,2,0),0)</f>
        <v>0</v>
      </c>
      <c r="Z635" s="128">
        <v>0</v>
      </c>
      <c r="AA635" s="126">
        <f>IFERROR(VLOOKUP(D635,'Monthly Deduction'!A:B,2,0),0)</f>
        <v>0</v>
      </c>
      <c r="AB635" s="129">
        <f t="shared" si="169"/>
        <v>927</v>
      </c>
      <c r="AC635" s="130">
        <v>0</v>
      </c>
      <c r="AD635" s="35">
        <f t="shared" si="181"/>
        <v>927</v>
      </c>
      <c r="AE635" s="166" t="str">
        <f t="shared" si="182"/>
        <v>Release</v>
      </c>
      <c r="AF635" s="127"/>
      <c r="AG635" s="18">
        <v>0</v>
      </c>
      <c r="AH635" s="132"/>
      <c r="AI635" s="238">
        <v>0</v>
      </c>
      <c r="AJ635" s="132"/>
      <c r="AK635" s="151">
        <v>1073.8</v>
      </c>
      <c r="AL635" s="154">
        <f t="shared" si="170"/>
        <v>0</v>
      </c>
      <c r="AM635" s="155"/>
      <c r="AN635" s="19">
        <f t="shared" si="171"/>
        <v>0</v>
      </c>
      <c r="AO635" s="118">
        <f>SUMIF('MPG Payment '!E:E,'Shayak Income '!D635,'MPG Payment '!AJ:AJ)</f>
        <v>0</v>
      </c>
      <c r="AP635" s="19">
        <f t="shared" si="172"/>
        <v>0</v>
      </c>
      <c r="AQ635" s="119">
        <f t="shared" si="183"/>
        <v>0</v>
      </c>
      <c r="AR635" s="91"/>
      <c r="AS635" s="91">
        <f t="shared" si="173"/>
        <v>0</v>
      </c>
      <c r="AT635" s="118"/>
      <c r="AU635" s="118"/>
      <c r="AV635" s="118"/>
    </row>
    <row r="636" spans="1:48" s="20" customFormat="1" x14ac:dyDescent="0.25">
      <c r="A636" s="17">
        <f>IFERROR(VLOOKUP(D636,'Monthly Deduction'!$I$3:$J$957,2,0),0)</f>
        <v>0</v>
      </c>
      <c r="B636" s="17">
        <f>IFERROR(VLOOKUP(D636,'Monthly Deduction'!$E$3:$F$957,2,0),0)</f>
        <v>0</v>
      </c>
      <c r="C636" s="17">
        <f t="shared" si="174"/>
        <v>0</v>
      </c>
      <c r="D636" s="41">
        <v>10120115</v>
      </c>
      <c r="E636" s="122" t="str">
        <f>VLOOKUP(D636,'MPG Payment '!$E$3:$G$498218,2,0)</f>
        <v>Gomukh Musapur West</v>
      </c>
      <c r="F636" s="146">
        <f>IFERROR(_xlfn.XLOOKUP(D636,'Monthly Deduction'!$I$3:$I$957,'Monthly Deduction'!$H$3:$H$957),0)</f>
        <v>0</v>
      </c>
      <c r="G636" s="123" t="str">
        <f>VLOOKUP(D636,'MPG Payment '!$E$3:$G$334579,3,0)</f>
        <v>vlc</v>
      </c>
      <c r="H636" s="124" t="str">
        <f>VLOOKUP(D636,'MPG Payment '!$E$3:$H$334579,4,0)</f>
        <v>Indirect</v>
      </c>
      <c r="I636" s="88">
        <f>INDEX('MPG Payment '!$C:$C,MATCH('Shayak Income '!D636,'MPG Payment '!E:E,0))</f>
        <v>1012</v>
      </c>
      <c r="J636" s="88" t="str">
        <f>INDEX('MPG Payment '!$D:$D,MATCH('Shayak Income '!D636,'MPG Payment '!E:E,0))</f>
        <v>DalsinghSarai</v>
      </c>
      <c r="K636" s="125" t="s">
        <v>1322</v>
      </c>
      <c r="L636" s="125">
        <v>45943</v>
      </c>
      <c r="M636" s="126">
        <f>SUMIF('MPG Payment '!$E$3:$E$34579,'Shayak Income '!D636,'MPG Payment '!$I$3:$I$34579)</f>
        <v>3286.76</v>
      </c>
      <c r="N636" s="126">
        <f>SUMIF('MPG Payment '!$E$3:$E$34579,'Shayak Income '!D636,'MPG Payment '!$J$3:$J$34579)</f>
        <v>118858.4123546742</v>
      </c>
      <c r="O636" s="126">
        <f t="shared" si="175"/>
        <v>2465.0700000000002</v>
      </c>
      <c r="P636" s="126">
        <f t="shared" si="176"/>
        <v>3122.422</v>
      </c>
      <c r="Q636" s="126">
        <f>SUMIF('MPG Payment '!$E$3:$E$34579,'Shayak Income '!D636,'MPG Payment '!$S$3:$S$34579)</f>
        <v>0</v>
      </c>
      <c r="R636" s="126">
        <f t="shared" si="167"/>
        <v>3565.7523706402262</v>
      </c>
      <c r="S636" s="126">
        <f t="shared" si="168"/>
        <v>443.33037064022619</v>
      </c>
      <c r="T636" s="126">
        <f t="shared" si="177"/>
        <v>328.67600000000004</v>
      </c>
      <c r="U636" s="127">
        <f>(((IF(K636="New",0,SUMIF('MPG Payment '!$E$3:$E$34579,'Shayak Income '!D636,'MPG Payment '!$AC$3:$AC$34579))))+0)+0</f>
        <v>262.34807434874432</v>
      </c>
      <c r="V636" s="127">
        <f t="shared" si="178"/>
        <v>4996</v>
      </c>
      <c r="W636" s="19">
        <f t="shared" si="179"/>
        <v>0</v>
      </c>
      <c r="X636" s="19">
        <f t="shared" si="180"/>
        <v>0</v>
      </c>
      <c r="Y636" s="128">
        <f>IFERROR(VLOOKUP(D636,'Monthly Deduction'!$M$2:$N$64,2,0),0)</f>
        <v>0</v>
      </c>
      <c r="Z636" s="128">
        <v>0</v>
      </c>
      <c r="AA636" s="126">
        <f>IFERROR(VLOOKUP(D636,'Monthly Deduction'!A:B,2,0),0)</f>
        <v>0</v>
      </c>
      <c r="AB636" s="129">
        <f t="shared" si="169"/>
        <v>4996</v>
      </c>
      <c r="AC636" s="130">
        <v>0</v>
      </c>
      <c r="AD636" s="35">
        <f t="shared" si="181"/>
        <v>4996</v>
      </c>
      <c r="AE636" s="166" t="str">
        <f t="shared" si="182"/>
        <v>Release</v>
      </c>
      <c r="AF636" s="127"/>
      <c r="AG636" s="18">
        <v>0</v>
      </c>
      <c r="AH636" s="120"/>
      <c r="AI636" s="238">
        <v>0</v>
      </c>
      <c r="AJ636" s="132"/>
      <c r="AK636" s="151">
        <v>1197.8900000000001</v>
      </c>
      <c r="AL636" s="154">
        <f t="shared" si="170"/>
        <v>0</v>
      </c>
      <c r="AM636" s="155"/>
      <c r="AN636" s="19">
        <f t="shared" si="171"/>
        <v>0</v>
      </c>
      <c r="AO636" s="118">
        <f>SUMIF('MPG Payment '!E:E,'Shayak Income '!D636,'MPG Payment '!AJ:AJ)</f>
        <v>0</v>
      </c>
      <c r="AP636" s="19">
        <f t="shared" si="172"/>
        <v>0</v>
      </c>
      <c r="AQ636" s="119">
        <f t="shared" si="183"/>
        <v>0</v>
      </c>
      <c r="AR636" s="91" t="s">
        <v>1168</v>
      </c>
      <c r="AS636" s="91">
        <f t="shared" si="173"/>
        <v>0</v>
      </c>
      <c r="AT636" s="118"/>
      <c r="AU636" s="118"/>
      <c r="AV636" s="118"/>
    </row>
    <row r="637" spans="1:48" s="20" customFormat="1" x14ac:dyDescent="0.25">
      <c r="A637" s="17">
        <f>IFERROR(VLOOKUP(D637,'Monthly Deduction'!$I$3:$J$957,2,0),0)</f>
        <v>77832.03363843642</v>
      </c>
      <c r="B637" s="17">
        <f>IFERROR(VLOOKUP(D637,'Monthly Deduction'!$E$3:$F$957,2,0),0)</f>
        <v>0</v>
      </c>
      <c r="C637" s="17">
        <f t="shared" si="174"/>
        <v>77832.03363843642</v>
      </c>
      <c r="D637" s="41">
        <v>10530092</v>
      </c>
      <c r="E637" s="122" t="str">
        <f>VLOOKUP(D637,'MPG Payment '!$E$3:$G$498218,2,0)</f>
        <v>GOMUKH SHIVNAGAR</v>
      </c>
      <c r="F637" s="146">
        <f>IFERROR(_xlfn.XLOOKUP(D637,'Monthly Deduction'!$I$3:$I$957,'Monthly Deduction'!$H$3:$H$957),0)</f>
        <v>0</v>
      </c>
      <c r="G637" s="123" t="str">
        <f>VLOOKUP(D637,'MPG Payment '!$E$3:$G$334579,3,0)</f>
        <v>MPG</v>
      </c>
      <c r="H637" s="124" t="str">
        <f>VLOOKUP(D637,'MPG Payment '!$E$3:$H$334579,4,0)</f>
        <v>Direct</v>
      </c>
      <c r="I637" s="88">
        <f>INDEX('MPG Payment '!$C:$C,MATCH('Shayak Income '!D637,'MPG Payment '!E:E,0))</f>
        <v>1053</v>
      </c>
      <c r="J637" s="88" t="str">
        <f>INDEX('MPG Payment '!$D:$D,MATCH('Shayak Income '!D637,'MPG Payment '!E:E,0))</f>
        <v>Kalyanpur</v>
      </c>
      <c r="K637" s="125" t="s">
        <v>1322</v>
      </c>
      <c r="L637" s="125">
        <v>45944</v>
      </c>
      <c r="M637" s="126">
        <f>SUMIF('MPG Payment '!$E$3:$E$34579,'Shayak Income '!D637,'MPG Payment '!$I$3:$I$34579)</f>
        <v>4403.1500000000005</v>
      </c>
      <c r="N637" s="126">
        <f>SUMIF('MPG Payment '!$E$3:$E$34579,'Shayak Income '!D637,'MPG Payment '!$J$3:$J$34579)</f>
        <v>177558.60149745506</v>
      </c>
      <c r="O637" s="126">
        <f t="shared" si="175"/>
        <v>3302.3625000000002</v>
      </c>
      <c r="P637" s="126">
        <f t="shared" si="176"/>
        <v>4182.9925000000003</v>
      </c>
      <c r="Q637" s="126">
        <f>SUMIF('MPG Payment '!$E$3:$E$34579,'Shayak Income '!D637,'MPG Payment '!$S$3:$S$34579)</f>
        <v>2874.8170263522002</v>
      </c>
      <c r="R637" s="126">
        <f t="shared" si="167"/>
        <v>5326.7580449236521</v>
      </c>
      <c r="S637" s="126">
        <f t="shared" si="168"/>
        <v>1143.7655449236518</v>
      </c>
      <c r="T637" s="126">
        <f t="shared" si="177"/>
        <v>440.31500000000005</v>
      </c>
      <c r="U637" s="127">
        <f>(((IF(K637="New",0,SUMIF('MPG Payment '!$E$3:$E$34579,'Shayak Income '!D637,'MPG Payment '!$AC$3:$AC$34579))))+0)+0</f>
        <v>0</v>
      </c>
      <c r="V637" s="127">
        <f t="shared" si="178"/>
        <v>9920</v>
      </c>
      <c r="W637" s="19">
        <f t="shared" si="179"/>
        <v>3551.1720299491012</v>
      </c>
      <c r="X637" s="19">
        <v>0</v>
      </c>
      <c r="Y637" s="128">
        <f>IFERROR(VLOOKUP(D637,'Monthly Deduction'!$M$2:$N$64,2,0),0)</f>
        <v>0</v>
      </c>
      <c r="Z637" s="128">
        <v>0</v>
      </c>
      <c r="AA637" s="126">
        <f>IFERROR(VLOOKUP(D637,'Monthly Deduction'!A:B,2,0),0)</f>
        <v>0</v>
      </c>
      <c r="AB637" s="129">
        <f t="shared" si="169"/>
        <v>6369</v>
      </c>
      <c r="AC637" s="130">
        <v>0</v>
      </c>
      <c r="AD637" s="35">
        <f t="shared" si="181"/>
        <v>6369</v>
      </c>
      <c r="AE637" s="166" t="str">
        <f t="shared" si="182"/>
        <v>Release</v>
      </c>
      <c r="AF637" s="127"/>
      <c r="AG637" s="127">
        <v>0</v>
      </c>
      <c r="AH637" s="120"/>
      <c r="AI637" s="238">
        <v>0</v>
      </c>
      <c r="AJ637" s="132"/>
      <c r="AK637" s="151">
        <v>1041.5499999999997</v>
      </c>
      <c r="AL637" s="154">
        <f t="shared" si="170"/>
        <v>0</v>
      </c>
      <c r="AM637" s="155"/>
      <c r="AN637" s="19">
        <f t="shared" si="171"/>
        <v>3551.1720299491012</v>
      </c>
      <c r="AO637" s="118">
        <f>SUMIF('MPG Payment '!E:E,'Shayak Income '!D637,'MPG Payment '!AJ:AJ)</f>
        <v>0</v>
      </c>
      <c r="AP637" s="19">
        <f t="shared" si="172"/>
        <v>3551.1720299491012</v>
      </c>
      <c r="AQ637" s="119">
        <f t="shared" si="183"/>
        <v>3551.1720299491012</v>
      </c>
      <c r="AR637" s="91"/>
      <c r="AS637" s="91">
        <f t="shared" si="173"/>
        <v>0</v>
      </c>
      <c r="AT637" s="118"/>
      <c r="AU637" s="118"/>
      <c r="AV637" s="118"/>
    </row>
    <row r="638" spans="1:48" s="20" customFormat="1" x14ac:dyDescent="0.25">
      <c r="A638" s="17">
        <f>IFERROR(VLOOKUP(D638,'Monthly Deduction'!$I$3:$J$957,2,0),0)</f>
        <v>69198.348125114542</v>
      </c>
      <c r="B638" s="17">
        <f>IFERROR(VLOOKUP(D638,'Monthly Deduction'!$E$3:$F$957,2,0),0)</f>
        <v>0</v>
      </c>
      <c r="C638" s="17">
        <f t="shared" si="174"/>
        <v>69198.348125114542</v>
      </c>
      <c r="D638" s="41">
        <v>10530093</v>
      </c>
      <c r="E638" s="122" t="str">
        <f>VLOOKUP(D638,'MPG Payment '!$E$3:$G$498218,2,0)</f>
        <v>GOMUKH BAKHITIYARPUR</v>
      </c>
      <c r="F638" s="146">
        <f>IFERROR(_xlfn.XLOOKUP(D638,'Monthly Deduction'!$I$3:$I$957,'Monthly Deduction'!$H$3:$H$957),0)</f>
        <v>0</v>
      </c>
      <c r="G638" s="123" t="str">
        <f>VLOOKUP(D638,'MPG Payment '!$E$3:$G$334579,3,0)</f>
        <v>MPG</v>
      </c>
      <c r="H638" s="124" t="str">
        <f>VLOOKUP(D638,'MPG Payment '!$E$3:$H$334579,4,0)</f>
        <v>Direct</v>
      </c>
      <c r="I638" s="88">
        <f>INDEX('MPG Payment '!$C:$C,MATCH('Shayak Income '!D638,'MPG Payment '!E:E,0))</f>
        <v>1053</v>
      </c>
      <c r="J638" s="88" t="str">
        <f>INDEX('MPG Payment '!$D:$D,MATCH('Shayak Income '!D638,'MPG Payment '!E:E,0))</f>
        <v>Kalyanpur</v>
      </c>
      <c r="K638" s="125" t="s">
        <v>1322</v>
      </c>
      <c r="L638" s="125">
        <v>45941</v>
      </c>
      <c r="M638" s="126">
        <f>SUMIF('MPG Payment '!$E$3:$E$34579,'Shayak Income '!D638,'MPG Payment '!$I$3:$I$34579)</f>
        <v>4542.2</v>
      </c>
      <c r="N638" s="126">
        <f>SUMIF('MPG Payment '!$E$3:$E$34579,'Shayak Income '!D638,'MPG Payment '!$J$3:$J$34579)</f>
        <v>203909.58482841335</v>
      </c>
      <c r="O638" s="126">
        <f t="shared" si="175"/>
        <v>3406.6499999999996</v>
      </c>
      <c r="P638" s="126">
        <f t="shared" si="176"/>
        <v>4315.0899999999992</v>
      </c>
      <c r="Q638" s="126">
        <f>SUMIF('MPG Payment '!$E$3:$E$34579,'Shayak Income '!D638,'MPG Payment '!$S$3:$S$34579)</f>
        <v>3504.4177588484999</v>
      </c>
      <c r="R638" s="126">
        <f t="shared" si="167"/>
        <v>6117.2875448524001</v>
      </c>
      <c r="S638" s="126">
        <f t="shared" si="168"/>
        <v>1802.1975448524008</v>
      </c>
      <c r="T638" s="126">
        <f t="shared" si="177"/>
        <v>454.22</v>
      </c>
      <c r="U638" s="127">
        <f>(((IF(K638="New",0,SUMIF('MPG Payment '!$E$3:$E$34579,'Shayak Income '!D638,'MPG Payment '!$AC$3:$AC$34579))))+0)+0</f>
        <v>0</v>
      </c>
      <c r="V638" s="127">
        <f t="shared" si="178"/>
        <v>10772</v>
      </c>
      <c r="W638" s="19">
        <f t="shared" si="179"/>
        <v>4078.1916965682672</v>
      </c>
      <c r="X638" s="19">
        <v>0</v>
      </c>
      <c r="Y638" s="128">
        <f>IFERROR(VLOOKUP(D638,'Monthly Deduction'!$M$2:$N$64,2,0),0)</f>
        <v>0</v>
      </c>
      <c r="Z638" s="128">
        <v>0</v>
      </c>
      <c r="AA638" s="126">
        <f>IFERROR(VLOOKUP(D638,'Monthly Deduction'!A:B,2,0),0)</f>
        <v>0</v>
      </c>
      <c r="AB638" s="129">
        <f t="shared" si="169"/>
        <v>6694</v>
      </c>
      <c r="AC638" s="130">
        <v>0</v>
      </c>
      <c r="AD638" s="35">
        <f t="shared" si="181"/>
        <v>6694</v>
      </c>
      <c r="AE638" s="166" t="str">
        <f t="shared" si="182"/>
        <v>Release</v>
      </c>
      <c r="AF638" s="127"/>
      <c r="AG638" s="18">
        <v>0</v>
      </c>
      <c r="AH638" s="120"/>
      <c r="AI638" s="238">
        <v>0</v>
      </c>
      <c r="AJ638" s="132"/>
      <c r="AK638" s="151">
        <v>1116</v>
      </c>
      <c r="AL638" s="154">
        <f t="shared" si="170"/>
        <v>0</v>
      </c>
      <c r="AM638" s="155"/>
      <c r="AN638" s="19">
        <f t="shared" si="171"/>
        <v>4078.1916965682672</v>
      </c>
      <c r="AO638" s="118">
        <f>SUMIF('MPG Payment '!E:E,'Shayak Income '!D638,'MPG Payment '!AJ:AJ)</f>
        <v>0</v>
      </c>
      <c r="AP638" s="19">
        <f t="shared" si="172"/>
        <v>4078.1916965682672</v>
      </c>
      <c r="AQ638" s="119">
        <f t="shared" si="183"/>
        <v>4078.1916965682672</v>
      </c>
      <c r="AR638" s="91" t="s">
        <v>1168</v>
      </c>
      <c r="AS638" s="91">
        <f t="shared" si="173"/>
        <v>0</v>
      </c>
      <c r="AT638" s="118"/>
      <c r="AU638" s="118"/>
      <c r="AV638" s="118"/>
    </row>
    <row r="639" spans="1:48" s="20" customFormat="1" x14ac:dyDescent="0.25">
      <c r="A639" s="17">
        <f>IFERROR(VLOOKUP(D639,'Monthly Deduction'!$I$3:$J$957,2,0),0)</f>
        <v>86022</v>
      </c>
      <c r="B639" s="17">
        <f>IFERROR(VLOOKUP(D639,'Monthly Deduction'!$E$3:$F$957,2,0),0)</f>
        <v>0</v>
      </c>
      <c r="C639" s="17">
        <f t="shared" si="174"/>
        <v>86022</v>
      </c>
      <c r="D639" s="41">
        <v>10540032</v>
      </c>
      <c r="E639" s="122" t="str">
        <f>VLOOKUP(D639,'MPG Payment '!$E$3:$G$498218,2,0)</f>
        <v>GOMUKH JWALAPUR</v>
      </c>
      <c r="F639" s="146">
        <f>IFERROR(_xlfn.XLOOKUP(D639,'Monthly Deduction'!$I$3:$I$957,'Monthly Deduction'!$H$3:$H$957),0)</f>
        <v>0</v>
      </c>
      <c r="G639" s="123" t="str">
        <f>VLOOKUP(D639,'MPG Payment '!$E$3:$G$334579,3,0)</f>
        <v>MPG</v>
      </c>
      <c r="H639" s="124" t="str">
        <f>VLOOKUP(D639,'MPG Payment '!$E$3:$H$334579,4,0)</f>
        <v>Direct</v>
      </c>
      <c r="I639" s="88">
        <f>INDEX('MPG Payment '!$C:$C,MATCH('Shayak Income '!D639,'MPG Payment '!E:E,0))</f>
        <v>1054</v>
      </c>
      <c r="J639" s="88" t="str">
        <f>INDEX('MPG Payment '!$D:$D,MATCH('Shayak Income '!D639,'MPG Payment '!E:E,0))</f>
        <v xml:space="preserve">Alauli </v>
      </c>
      <c r="K639" s="125" t="s">
        <v>1322</v>
      </c>
      <c r="L639" s="125">
        <v>45945</v>
      </c>
      <c r="M639" s="126">
        <f>SUMIF('MPG Payment '!$E$3:$E$34579,'Shayak Income '!D639,'MPG Payment '!$I$3:$I$34579)</f>
        <v>947.88000000000011</v>
      </c>
      <c r="N639" s="126">
        <f>SUMIF('MPG Payment '!$E$3:$E$34579,'Shayak Income '!D639,'MPG Payment '!$J$3:$J$34579)</f>
        <v>35149.525912119403</v>
      </c>
      <c r="O639" s="126">
        <f t="shared" si="175"/>
        <v>710.91000000000008</v>
      </c>
      <c r="P639" s="126">
        <f t="shared" si="176"/>
        <v>900.4860000000001</v>
      </c>
      <c r="Q639" s="126">
        <f>SUMIF('MPG Payment '!$E$3:$E$34579,'Shayak Income '!D639,'MPG Payment '!$S$3:$S$34579)</f>
        <v>0</v>
      </c>
      <c r="R639" s="126">
        <f t="shared" si="167"/>
        <v>1054.485777363582</v>
      </c>
      <c r="S639" s="126">
        <f t="shared" si="168"/>
        <v>153.99977736358187</v>
      </c>
      <c r="T639" s="126">
        <f t="shared" si="177"/>
        <v>94.788000000000011</v>
      </c>
      <c r="U639" s="127">
        <f>(((IF(K639="New",0,SUMIF('MPG Payment '!$E$3:$E$34579,'Shayak Income '!D639,'MPG Payment '!$AC$3:$AC$34579))))+0)+0</f>
        <v>1377.5871266614386</v>
      </c>
      <c r="V639" s="127">
        <f t="shared" si="178"/>
        <v>139</v>
      </c>
      <c r="W639" s="19">
        <v>139</v>
      </c>
      <c r="X639" s="19">
        <v>0</v>
      </c>
      <c r="Y639" s="128">
        <f>IFERROR(VLOOKUP(D639,'Monthly Deduction'!$M$2:$N$64,2,0),0)</f>
        <v>0</v>
      </c>
      <c r="Z639" s="128">
        <v>0</v>
      </c>
      <c r="AA639" s="126">
        <v>0</v>
      </c>
      <c r="AB639" s="129">
        <f t="shared" si="169"/>
        <v>0</v>
      </c>
      <c r="AC639" s="130">
        <v>0</v>
      </c>
      <c r="AD639" s="35">
        <f t="shared" si="181"/>
        <v>0</v>
      </c>
      <c r="AE639" s="166" t="str">
        <f t="shared" si="182"/>
        <v>Release</v>
      </c>
      <c r="AF639" s="127"/>
      <c r="AG639" s="18">
        <v>0</v>
      </c>
      <c r="AH639" s="120"/>
      <c r="AI639" s="238">
        <v>0</v>
      </c>
      <c r="AJ639" s="132"/>
      <c r="AK639" s="151">
        <v>239.10000000000002</v>
      </c>
      <c r="AL639" s="154">
        <f t="shared" si="170"/>
        <v>0</v>
      </c>
      <c r="AM639" s="155"/>
      <c r="AN639" s="19">
        <f t="shared" si="171"/>
        <v>1861</v>
      </c>
      <c r="AO639" s="118">
        <f>SUMIF('MPG Payment '!E:E,'Shayak Income '!D639,'MPG Payment '!AJ:AJ)</f>
        <v>500</v>
      </c>
      <c r="AP639" s="19">
        <f t="shared" si="172"/>
        <v>139</v>
      </c>
      <c r="AQ639" s="119">
        <f t="shared" si="183"/>
        <v>639</v>
      </c>
      <c r="AR639" s="91" t="s">
        <v>1168</v>
      </c>
      <c r="AS639" s="91">
        <f t="shared" si="173"/>
        <v>0</v>
      </c>
      <c r="AT639" s="118"/>
      <c r="AU639" s="118"/>
      <c r="AV639" s="118"/>
    </row>
    <row r="640" spans="1:48" s="20" customFormat="1" x14ac:dyDescent="0.25">
      <c r="A640" s="17">
        <f>IFERROR(VLOOKUP(D640,'Monthly Deduction'!$I$3:$J$957,2,0),0)</f>
        <v>0</v>
      </c>
      <c r="B640" s="17">
        <f>IFERROR(VLOOKUP(D640,'Monthly Deduction'!$E$3:$F$957,2,0),0)</f>
        <v>0</v>
      </c>
      <c r="C640" s="17">
        <f t="shared" si="174"/>
        <v>0</v>
      </c>
      <c r="D640" s="41">
        <v>10570016</v>
      </c>
      <c r="E640" s="122" t="str">
        <f>VLOOKUP(D640,'MPG Payment '!$E$3:$G$498218,2,0)</f>
        <v>PARORIYA</v>
      </c>
      <c r="F640" s="146">
        <f>IFERROR(_xlfn.XLOOKUP(D640,'Monthly Deduction'!$I$3:$I$957,'Monthly Deduction'!$H$3:$H$957),0)</f>
        <v>0</v>
      </c>
      <c r="G640" s="123" t="str">
        <f>VLOOKUP(D640,'MPG Payment '!$E$3:$G$334579,3,0)</f>
        <v>vlc</v>
      </c>
      <c r="H640" s="124" t="str">
        <f>VLOOKUP(D640,'MPG Payment '!$E$3:$H$334579,4,0)</f>
        <v>Indirect</v>
      </c>
      <c r="I640" s="88">
        <f>INDEX('MPG Payment '!$C:$C,MATCH('Shayak Income '!D640,'MPG Payment '!E:E,0))</f>
        <v>1057</v>
      </c>
      <c r="J640" s="88" t="str">
        <f>INDEX('MPG Payment '!$D:$D,MATCH('Shayak Income '!D640,'MPG Payment '!E:E,0))</f>
        <v>Warisnagar</v>
      </c>
      <c r="K640" s="125" t="s">
        <v>1322</v>
      </c>
      <c r="L640" s="125">
        <v>45940</v>
      </c>
      <c r="M640" s="126">
        <f>SUMIF('MPG Payment '!$E$3:$E$34579,'Shayak Income '!D640,'MPG Payment '!$I$3:$I$34579)</f>
        <v>1982.6999999999998</v>
      </c>
      <c r="N640" s="126">
        <f>SUMIF('MPG Payment '!$E$3:$E$34579,'Shayak Income '!D640,'MPG Payment '!$J$3:$J$34579)</f>
        <v>64767.411114399998</v>
      </c>
      <c r="O640" s="126">
        <f t="shared" si="175"/>
        <v>1487.0249999999999</v>
      </c>
      <c r="P640" s="126">
        <f t="shared" si="176"/>
        <v>1883.5649999999998</v>
      </c>
      <c r="Q640" s="126">
        <f>SUMIF('MPG Payment '!$E$3:$E$34579,'Shayak Income '!D640,'MPG Payment '!$S$3:$S$34579)</f>
        <v>0</v>
      </c>
      <c r="R640" s="126">
        <f t="shared" si="167"/>
        <v>1943.0223334319999</v>
      </c>
      <c r="S640" s="126">
        <f t="shared" si="168"/>
        <v>59.457333432000041</v>
      </c>
      <c r="T640" s="126">
        <f t="shared" si="177"/>
        <v>198.26999999999998</v>
      </c>
      <c r="U640" s="127">
        <f>(((IF(K640="New",0,SUMIF('MPG Payment '!$E$3:$E$34579,'Shayak Income '!D640,'MPG Payment '!$AC$3:$AC$34579))))+0)+0</f>
        <v>582.50884009461299</v>
      </c>
      <c r="V640" s="127">
        <f t="shared" si="178"/>
        <v>2590</v>
      </c>
      <c r="W640" s="19">
        <f t="shared" si="179"/>
        <v>0</v>
      </c>
      <c r="X640" s="19">
        <f t="shared" si="180"/>
        <v>0</v>
      </c>
      <c r="Y640" s="128">
        <f>IFERROR(VLOOKUP(D640,'Monthly Deduction'!$M$2:$N$64,2,0),0)</f>
        <v>0</v>
      </c>
      <c r="Z640" s="128">
        <v>0</v>
      </c>
      <c r="AA640" s="126">
        <f>IFERROR(VLOOKUP(D640,'Monthly Deduction'!A:B,2,0),0)</f>
        <v>0</v>
      </c>
      <c r="AB640" s="129">
        <f t="shared" si="169"/>
        <v>2590</v>
      </c>
      <c r="AC640" s="130">
        <v>0</v>
      </c>
      <c r="AD640" s="35">
        <f t="shared" si="181"/>
        <v>2590</v>
      </c>
      <c r="AE640" s="166" t="str">
        <f t="shared" si="182"/>
        <v>Release</v>
      </c>
      <c r="AF640" s="127"/>
      <c r="AG640" s="18">
        <v>0</v>
      </c>
      <c r="AH640" s="132"/>
      <c r="AI640" s="238">
        <v>0</v>
      </c>
      <c r="AJ640" s="132"/>
      <c r="AK640" s="151">
        <v>137.80000000000001</v>
      </c>
      <c r="AL640" s="154">
        <f t="shared" si="170"/>
        <v>0</v>
      </c>
      <c r="AM640" s="155"/>
      <c r="AN640" s="19">
        <f t="shared" si="171"/>
        <v>0</v>
      </c>
      <c r="AO640" s="118">
        <f>SUMIF('MPG Payment '!E:E,'Shayak Income '!D640,'MPG Payment '!AJ:AJ)</f>
        <v>0</v>
      </c>
      <c r="AP640" s="19">
        <f t="shared" si="172"/>
        <v>0</v>
      </c>
      <c r="AQ640" s="119">
        <f t="shared" si="183"/>
        <v>0</v>
      </c>
      <c r="AR640" s="91" t="s">
        <v>1168</v>
      </c>
      <c r="AS640" s="91">
        <f t="shared" si="173"/>
        <v>0</v>
      </c>
      <c r="AT640" s="118"/>
      <c r="AU640" s="118"/>
      <c r="AV640" s="118"/>
    </row>
    <row r="641" spans="1:48" s="20" customFormat="1" x14ac:dyDescent="0.25">
      <c r="A641" s="17">
        <f>IFERROR(VLOOKUP(D641,'Monthly Deduction'!$I$3:$J$957,2,0),0)</f>
        <v>82690</v>
      </c>
      <c r="B641" s="17">
        <f>IFERROR(VLOOKUP(D641,'Monthly Deduction'!$E$3:$F$957,2,0),0)</f>
        <v>6089</v>
      </c>
      <c r="C641" s="17">
        <f t="shared" si="174"/>
        <v>88779</v>
      </c>
      <c r="D641" s="41">
        <v>10580001</v>
      </c>
      <c r="E641" s="122" t="str">
        <f>VLOOKUP(D641,'MPG Payment '!$E$3:$G$498218,2,0)</f>
        <v>Mahuli</v>
      </c>
      <c r="F641" s="146">
        <f>IFERROR(_xlfn.XLOOKUP(D641,'Monthly Deduction'!$I$3:$I$957,'Monthly Deduction'!$H$3:$H$957),0)</f>
        <v>0</v>
      </c>
      <c r="G641" s="123" t="str">
        <f>VLOOKUP(D641,'MPG Payment '!$E$3:$G$334579,3,0)</f>
        <v>MPG</v>
      </c>
      <c r="H641" s="124" t="str">
        <f>VLOOKUP(D641,'MPG Payment '!$E$3:$H$334579,4,0)</f>
        <v>Direct</v>
      </c>
      <c r="I641" s="88">
        <f>INDEX('MPG Payment '!$C:$C,MATCH('Shayak Income '!D641,'MPG Payment '!E:E,0))</f>
        <v>1058</v>
      </c>
      <c r="J641" s="88" t="str">
        <f>INDEX('MPG Payment '!$D:$D,MATCH('Shayak Income '!D641,'MPG Payment '!E:E,0))</f>
        <v>Hasanpur</v>
      </c>
      <c r="K641" s="125" t="s">
        <v>1322</v>
      </c>
      <c r="L641" s="125">
        <v>45946</v>
      </c>
      <c r="M641" s="126">
        <f>SUMIF('MPG Payment '!$E$3:$E$34579,'Shayak Income '!D641,'MPG Payment '!$I$3:$I$34579)</f>
        <v>1316</v>
      </c>
      <c r="N641" s="126">
        <f>SUMIF('MPG Payment '!$E$3:$E$34579,'Shayak Income '!D641,'MPG Payment '!$J$3:$J$34579)</f>
        <v>53803.706424370001</v>
      </c>
      <c r="O641" s="126">
        <f t="shared" si="175"/>
        <v>987</v>
      </c>
      <c r="P641" s="126">
        <f t="shared" si="176"/>
        <v>1250.2</v>
      </c>
      <c r="Q641" s="126">
        <f>SUMIF('MPG Payment '!$E$3:$E$34579,'Shayak Income '!D641,'MPG Payment '!$S$3:$S$34579)</f>
        <v>1465.9899408444001</v>
      </c>
      <c r="R641" s="126">
        <f t="shared" si="167"/>
        <v>1614.1111927310999</v>
      </c>
      <c r="S641" s="126">
        <f t="shared" si="168"/>
        <v>363.91119273109985</v>
      </c>
      <c r="T641" s="126">
        <f t="shared" si="177"/>
        <v>131.6</v>
      </c>
      <c r="U641" s="127">
        <f>(((IF(K641="New",0,SUMIF('MPG Payment '!$E$3:$E$34579,'Shayak Income '!D641,'MPG Payment '!$AC$3:$AC$34579))))+0)+0</f>
        <v>1217.9255480156214</v>
      </c>
      <c r="V641" s="127">
        <f t="shared" si="178"/>
        <v>2354</v>
      </c>
      <c r="W641" s="19">
        <f t="shared" si="179"/>
        <v>1861</v>
      </c>
      <c r="X641" s="19">
        <v>0</v>
      </c>
      <c r="Y641" s="128">
        <f>IFERROR(VLOOKUP(D641,'Monthly Deduction'!$M$2:$N$64,2,0),0)</f>
        <v>0</v>
      </c>
      <c r="Z641" s="128">
        <v>0</v>
      </c>
      <c r="AA641" s="126">
        <f>IFERROR(VLOOKUP(D641,'Monthly Deduction'!A:B,2,0),0)</f>
        <v>0</v>
      </c>
      <c r="AB641" s="129">
        <f t="shared" si="169"/>
        <v>493</v>
      </c>
      <c r="AC641" s="130">
        <v>0</v>
      </c>
      <c r="AD641" s="35">
        <f t="shared" si="181"/>
        <v>493</v>
      </c>
      <c r="AE641" s="166" t="str">
        <f t="shared" si="182"/>
        <v>Release</v>
      </c>
      <c r="AF641" s="127"/>
      <c r="AG641" s="18">
        <v>0</v>
      </c>
      <c r="AH641" s="120"/>
      <c r="AI641" s="238">
        <v>0</v>
      </c>
      <c r="AJ641" s="132"/>
      <c r="AK641" s="151">
        <v>488.7</v>
      </c>
      <c r="AL641" s="154">
        <f t="shared" si="170"/>
        <v>0</v>
      </c>
      <c r="AM641" s="155"/>
      <c r="AN641" s="19">
        <f t="shared" si="171"/>
        <v>1861</v>
      </c>
      <c r="AO641" s="118">
        <f>SUMIF('MPG Payment '!E:E,'Shayak Income '!D641,'MPG Payment '!AJ:AJ)</f>
        <v>0</v>
      </c>
      <c r="AP641" s="19">
        <f t="shared" si="172"/>
        <v>1861</v>
      </c>
      <c r="AQ641" s="119">
        <f t="shared" si="183"/>
        <v>1861</v>
      </c>
      <c r="AR641" s="91" t="s">
        <v>1168</v>
      </c>
      <c r="AS641" s="91">
        <f t="shared" si="173"/>
        <v>6089</v>
      </c>
      <c r="AT641" s="118"/>
      <c r="AU641" s="118"/>
      <c r="AV641" s="118"/>
    </row>
    <row r="642" spans="1:48" s="20" customFormat="1" x14ac:dyDescent="0.25">
      <c r="A642" s="17">
        <f>IFERROR(VLOOKUP(D642,'Monthly Deduction'!$I$3:$J$957,2,0),0)</f>
        <v>70314.753869784006</v>
      </c>
      <c r="B642" s="17">
        <f>IFERROR(VLOOKUP(D642,'Monthly Deduction'!$E$3:$F$957,2,0),0)</f>
        <v>0</v>
      </c>
      <c r="C642" s="17">
        <f t="shared" si="174"/>
        <v>70314.753869784006</v>
      </c>
      <c r="D642" s="41">
        <v>10090059</v>
      </c>
      <c r="E642" s="122" t="str">
        <f>VLOOKUP(D642,'MPG Payment '!$E$3:$G$498218,2,0)</f>
        <v>CHOTAHA</v>
      </c>
      <c r="F642" s="146">
        <f>IFERROR(_xlfn.XLOOKUP(D642,'Monthly Deduction'!$I$3:$I$957,'Monthly Deduction'!$H$3:$H$957),0)</f>
        <v>0</v>
      </c>
      <c r="G642" s="123" t="str">
        <f>VLOOKUP(D642,'MPG Payment '!$E$3:$G$334579,3,0)</f>
        <v>MPG</v>
      </c>
      <c r="H642" s="124" t="str">
        <f>VLOOKUP(D642,'MPG Payment '!$E$3:$H$334579,4,0)</f>
        <v>Direct</v>
      </c>
      <c r="I642" s="88">
        <f>INDEX('MPG Payment '!$C:$C,MATCH('Shayak Income '!D642,'MPG Payment '!E:E,0))</f>
        <v>1009</v>
      </c>
      <c r="J642" s="88" t="str">
        <f>INDEX('MPG Payment '!$D:$D,MATCH('Shayak Income '!D642,'MPG Payment '!E:E,0))</f>
        <v>Halsi</v>
      </c>
      <c r="K642" s="125" t="s">
        <v>1322</v>
      </c>
      <c r="L642" s="125">
        <v>45686</v>
      </c>
      <c r="M642" s="126">
        <f>SUMIF('MPG Payment '!$E$3:$E$34579,'Shayak Income '!D642,'MPG Payment '!$I$3:$I$34579)</f>
        <v>2884</v>
      </c>
      <c r="N642" s="126">
        <f>SUMIF('MPG Payment '!$E$3:$E$34579,'Shayak Income '!D642,'MPG Payment '!$J$3:$J$34579)</f>
        <v>114934.96361730949</v>
      </c>
      <c r="O642" s="126">
        <f t="shared" si="175"/>
        <v>2163</v>
      </c>
      <c r="P642" s="126">
        <f t="shared" si="176"/>
        <v>2739.7999999999997</v>
      </c>
      <c r="Q642" s="126">
        <f>SUMIF('MPG Payment '!$E$3:$E$34579,'Shayak Income '!D642,'MPG Payment '!$S$3:$S$34579)</f>
        <v>0</v>
      </c>
      <c r="R642" s="126">
        <f t="shared" si="167"/>
        <v>3448.0489085192844</v>
      </c>
      <c r="S642" s="126">
        <f t="shared" si="168"/>
        <v>708.24890851928467</v>
      </c>
      <c r="T642" s="126">
        <f t="shared" si="177"/>
        <v>288.40000000000003</v>
      </c>
      <c r="U642" s="127">
        <f>(((IF(K642="New",0,SUMIF('MPG Payment '!$E$3:$E$34579,'Shayak Income '!D642,'MPG Payment '!$AC$3:$AC$34579))))+0)+0</f>
        <v>59.881083387506322</v>
      </c>
      <c r="V642" s="127">
        <f t="shared" si="178"/>
        <v>4555</v>
      </c>
      <c r="W642" s="19">
        <f t="shared" si="179"/>
        <v>2298.6992723461899</v>
      </c>
      <c r="X642" s="19">
        <v>0</v>
      </c>
      <c r="Y642" s="128">
        <f>IFERROR(VLOOKUP(D642,'Monthly Deduction'!$M$2:$N$64,2,0),0)</f>
        <v>0</v>
      </c>
      <c r="Z642" s="128">
        <v>0</v>
      </c>
      <c r="AA642" s="126">
        <f>IFERROR(VLOOKUP(D642,'Monthly Deduction'!A:B,2,0),0)</f>
        <v>0</v>
      </c>
      <c r="AB642" s="129">
        <f t="shared" si="169"/>
        <v>2256</v>
      </c>
      <c r="AC642" s="130">
        <v>0</v>
      </c>
      <c r="AD642" s="35">
        <f t="shared" si="181"/>
        <v>2256</v>
      </c>
      <c r="AE642" s="166" t="str">
        <f t="shared" si="182"/>
        <v>Release</v>
      </c>
      <c r="AF642" s="127"/>
      <c r="AG642" s="18">
        <v>0</v>
      </c>
      <c r="AH642" s="120"/>
      <c r="AI642" s="238">
        <v>0</v>
      </c>
      <c r="AJ642" s="132"/>
      <c r="AK642" s="151">
        <v>542.79999999999995</v>
      </c>
      <c r="AL642" s="154">
        <f t="shared" si="170"/>
        <v>0</v>
      </c>
      <c r="AM642" s="155"/>
      <c r="AN642" s="19">
        <f t="shared" si="171"/>
        <v>2298.6992723461899</v>
      </c>
      <c r="AO642" s="118">
        <f>SUMIF('MPG Payment '!E:E,'Shayak Income '!D642,'MPG Payment '!AJ:AJ)</f>
        <v>0</v>
      </c>
      <c r="AP642" s="19">
        <f t="shared" si="172"/>
        <v>2298.6992723461899</v>
      </c>
      <c r="AQ642" s="119">
        <f t="shared" si="183"/>
        <v>2298.6992723461899</v>
      </c>
      <c r="AR642" s="91" t="s">
        <v>1168</v>
      </c>
      <c r="AS642" s="91">
        <f t="shared" si="173"/>
        <v>0</v>
      </c>
      <c r="AT642" s="118"/>
      <c r="AU642" s="118"/>
      <c r="AV642" s="118"/>
    </row>
    <row r="643" spans="1:48" s="20" customFormat="1" x14ac:dyDescent="0.25">
      <c r="A643" s="17">
        <f>IFERROR(VLOOKUP(D643,'Monthly Deduction'!$I$3:$J$957,2,0),0)</f>
        <v>79695.792820073533</v>
      </c>
      <c r="B643" s="17">
        <f>IFERROR(VLOOKUP(D643,'Monthly Deduction'!$E$3:$F$957,2,0),0)</f>
        <v>0</v>
      </c>
      <c r="C643" s="17">
        <f t="shared" si="174"/>
        <v>79695.792820073533</v>
      </c>
      <c r="D643" s="41">
        <v>10530091</v>
      </c>
      <c r="E643" s="122" t="str">
        <f>VLOOKUP(D643,'MPG Payment '!$E$3:$G$498218,2,0)</f>
        <v>GOMUKH TOKE</v>
      </c>
      <c r="F643" s="146">
        <f>IFERROR(_xlfn.XLOOKUP(D643,'Monthly Deduction'!$I$3:$I$957,'Monthly Deduction'!$H$3:$H$957),0)</f>
        <v>0</v>
      </c>
      <c r="G643" s="123" t="str">
        <f>VLOOKUP(D643,'MPG Payment '!$E$3:$G$334579,3,0)</f>
        <v>MPG</v>
      </c>
      <c r="H643" s="124" t="str">
        <f>VLOOKUP(D643,'MPG Payment '!$E$3:$H$334579,4,0)</f>
        <v>Direct</v>
      </c>
      <c r="I643" s="88">
        <f>INDEX('MPG Payment '!$C:$C,MATCH('Shayak Income '!D643,'MPG Payment '!E:E,0))</f>
        <v>1053</v>
      </c>
      <c r="J643" s="88" t="str">
        <f>INDEX('MPG Payment '!$D:$D,MATCH('Shayak Income '!D643,'MPG Payment '!E:E,0))</f>
        <v>Kalyanpur</v>
      </c>
      <c r="K643" s="125" t="s">
        <v>1322</v>
      </c>
      <c r="L643" s="125">
        <v>45948</v>
      </c>
      <c r="M643" s="126">
        <f>SUMIF('MPG Payment '!$E$3:$E$34579,'Shayak Income '!D643,'MPG Payment '!$I$3:$I$34579)</f>
        <v>1007.1500000000001</v>
      </c>
      <c r="N643" s="126">
        <f>SUMIF('MPG Payment '!$E$3:$E$34579,'Shayak Income '!D643,'MPG Payment '!$J$3:$J$34579)</f>
        <v>45583.503201467101</v>
      </c>
      <c r="O643" s="126">
        <f t="shared" si="175"/>
        <v>755.36250000000007</v>
      </c>
      <c r="P643" s="126">
        <f t="shared" si="176"/>
        <v>956.79250000000002</v>
      </c>
      <c r="Q643" s="126">
        <f>SUMIF('MPG Payment '!$E$3:$E$34579,'Shayak Income '!D643,'MPG Payment '!$S$3:$S$34579)</f>
        <v>1055.38016959385</v>
      </c>
      <c r="R643" s="126">
        <f t="shared" si="167"/>
        <v>1367.505096044013</v>
      </c>
      <c r="S643" s="126">
        <f t="shared" si="168"/>
        <v>410.71259604401303</v>
      </c>
      <c r="T643" s="126">
        <f t="shared" si="177"/>
        <v>100.71500000000002</v>
      </c>
      <c r="U643" s="127">
        <f>(((IF(K643="New",0,SUMIF('MPG Payment '!$E$3:$E$34579,'Shayak Income '!D643,'MPG Payment '!$AC$3:$AC$34579))))+0)+0</f>
        <v>1618.1993321613711</v>
      </c>
      <c r="V643" s="127">
        <f t="shared" si="178"/>
        <v>1049</v>
      </c>
      <c r="W643" s="19">
        <v>1049</v>
      </c>
      <c r="X643" s="19">
        <v>0</v>
      </c>
      <c r="Y643" s="128">
        <f>IFERROR(VLOOKUP(D643,'Monthly Deduction'!$M$2:$N$64,2,0),0)</f>
        <v>0</v>
      </c>
      <c r="Z643" s="128">
        <v>0</v>
      </c>
      <c r="AA643" s="126">
        <f>IFERROR(VLOOKUP(D643,'Monthly Deduction'!A:B,2,0),0)</f>
        <v>0</v>
      </c>
      <c r="AB643" s="129">
        <f t="shared" si="169"/>
        <v>0</v>
      </c>
      <c r="AC643" s="130">
        <v>0</v>
      </c>
      <c r="AD643" s="35">
        <f t="shared" si="181"/>
        <v>0</v>
      </c>
      <c r="AE643" s="166" t="str">
        <f t="shared" si="182"/>
        <v>Release</v>
      </c>
      <c r="AF643" s="127"/>
      <c r="AG643" s="127">
        <v>0</v>
      </c>
      <c r="AH643" s="120"/>
      <c r="AI643" s="238">
        <v>0</v>
      </c>
      <c r="AJ643" s="132"/>
      <c r="AK643" s="151">
        <v>203.04999999999995</v>
      </c>
      <c r="AL643" s="154">
        <f t="shared" si="170"/>
        <v>0</v>
      </c>
      <c r="AM643" s="155"/>
      <c r="AN643" s="19">
        <f t="shared" si="171"/>
        <v>1861</v>
      </c>
      <c r="AO643" s="118">
        <f>SUMIF('MPG Payment '!E:E,'Shayak Income '!D643,'MPG Payment '!AJ:AJ)</f>
        <v>0</v>
      </c>
      <c r="AP643" s="19">
        <f t="shared" si="172"/>
        <v>1049</v>
      </c>
      <c r="AQ643" s="119">
        <f t="shared" si="183"/>
        <v>1049</v>
      </c>
      <c r="AR643" s="91" t="s">
        <v>1168</v>
      </c>
      <c r="AS643" s="91">
        <f t="shared" si="173"/>
        <v>0</v>
      </c>
      <c r="AT643" s="118"/>
      <c r="AU643" s="118"/>
      <c r="AV643" s="118"/>
    </row>
    <row r="644" spans="1:48" s="20" customFormat="1" x14ac:dyDescent="0.25">
      <c r="A644" s="17">
        <f>IFERROR(VLOOKUP(D644,'Monthly Deduction'!$I$3:$J$957,2,0),0)</f>
        <v>0</v>
      </c>
      <c r="B644" s="17">
        <f>IFERROR(VLOOKUP(D644,'Monthly Deduction'!$E$3:$F$957,2,0),0)</f>
        <v>0</v>
      </c>
      <c r="C644" s="17">
        <f t="shared" si="174"/>
        <v>0</v>
      </c>
      <c r="D644" s="41">
        <v>10080012</v>
      </c>
      <c r="E644" s="122" t="str">
        <f>VLOOKUP(D644,'MPG Payment '!$E$3:$G$498218,2,0)</f>
        <v>Gomukh ID Akashpur-2</v>
      </c>
      <c r="F644" s="146">
        <f>IFERROR(_xlfn.XLOOKUP(D644,'Monthly Deduction'!$I$3:$I$957,'Monthly Deduction'!$H$3:$H$957),0)</f>
        <v>0</v>
      </c>
      <c r="G644" s="123" t="str">
        <f>VLOOKUP(D644,'MPG Payment '!$E$3:$G$334579,3,0)</f>
        <v>vlc</v>
      </c>
      <c r="H644" s="124" t="str">
        <f>VLOOKUP(D644,'MPG Payment '!$E$3:$H$334579,4,0)</f>
        <v>Indirect</v>
      </c>
      <c r="I644" s="88">
        <f>INDEX('MPG Payment '!$C:$C,MATCH('Shayak Income '!D644,'MPG Payment '!E:E,0))</f>
        <v>1008</v>
      </c>
      <c r="J644" s="88" t="str">
        <f>INDEX('MPG Payment '!$D:$D,MATCH('Shayak Income '!D644,'MPG Payment '!E:E,0))</f>
        <v>Teghra</v>
      </c>
      <c r="K644" s="125" t="s">
        <v>1322</v>
      </c>
      <c r="L644" s="125">
        <v>44257</v>
      </c>
      <c r="M644" s="126">
        <f>SUMIF('MPG Payment '!$E$3:$E$34579,'Shayak Income '!D644,'MPG Payment '!$I$3:$I$34579)</f>
        <v>4875.2000000000007</v>
      </c>
      <c r="N644" s="126">
        <f>SUMIF('MPG Payment '!$E$3:$E$34579,'Shayak Income '!D644,'MPG Payment '!$J$3:$J$34579)</f>
        <v>181168.862233224</v>
      </c>
      <c r="O644" s="126">
        <f t="shared" si="175"/>
        <v>3656.4000000000005</v>
      </c>
      <c r="P644" s="126">
        <f t="shared" si="176"/>
        <v>4631.4400000000005</v>
      </c>
      <c r="Q644" s="126">
        <f>SUMIF('MPG Payment '!$E$3:$E$34579,'Shayak Income '!D644,'MPG Payment '!$S$3:$S$34579)</f>
        <v>0</v>
      </c>
      <c r="R644" s="126">
        <f t="shared" ref="R644:R707" si="186">+N644*3%</f>
        <v>5435.0658669967197</v>
      </c>
      <c r="S644" s="126">
        <f t="shared" ref="S644:S707" si="187">R644-P644</f>
        <v>803.6258669967192</v>
      </c>
      <c r="T644" s="126">
        <f t="shared" si="177"/>
        <v>487.5200000000001</v>
      </c>
      <c r="U644" s="127">
        <f>(((IF(K644="New",0,SUMIF('MPG Payment '!$E$3:$E$34579,'Shayak Income '!D644,'MPG Payment '!$AC$3:$AC$34579))))+0)+0</f>
        <v>338.99656597428287</v>
      </c>
      <c r="V644" s="127">
        <f t="shared" si="178"/>
        <v>7461</v>
      </c>
      <c r="W644" s="19">
        <f t="shared" si="179"/>
        <v>0</v>
      </c>
      <c r="X644" s="19">
        <f t="shared" ref="X644:X707" si="188">((MIN(IF(B644&gt;0,MAX(N644*2%),0),B644)))+0</f>
        <v>0</v>
      </c>
      <c r="Y644" s="128">
        <f>IFERROR(VLOOKUP(D644,'Monthly Deduction'!$M$2:$N$64,2,0),0)</f>
        <v>0</v>
      </c>
      <c r="Z644" s="128">
        <v>0</v>
      </c>
      <c r="AA644" s="126">
        <f>IFERROR(VLOOKUP(D644,'Monthly Deduction'!A:B,2,0),0)</f>
        <v>0</v>
      </c>
      <c r="AB644" s="129">
        <f t="shared" ref="AB644:AB707" si="189">ROUND(IFERROR(V644-SUM(W644:AA644),0),0)</f>
        <v>7461</v>
      </c>
      <c r="AC644" s="130">
        <v>0</v>
      </c>
      <c r="AD644" s="35">
        <f t="shared" si="181"/>
        <v>7461</v>
      </c>
      <c r="AE644" s="166" t="str">
        <f t="shared" si="182"/>
        <v>Release</v>
      </c>
      <c r="AF644" s="127"/>
      <c r="AG644" s="18">
        <v>0</v>
      </c>
      <c r="AH644" s="120"/>
      <c r="AI644" s="238">
        <v>0</v>
      </c>
      <c r="AJ644" s="132"/>
      <c r="AK644" s="151">
        <v>1420.8000000000002</v>
      </c>
      <c r="AL644" s="154">
        <f t="shared" ref="AL644:AL707" si="190">COUNTIF(AK644:AK644,"=NA")</f>
        <v>0</v>
      </c>
      <c r="AM644" s="155"/>
      <c r="AN644" s="19">
        <f t="shared" ref="AN644:AN707" si="191">((MIN(IF(A644&gt;0,MAX(N644*2%,1861),0),A644)))+0</f>
        <v>0</v>
      </c>
      <c r="AO644" s="118">
        <f>SUMIF('MPG Payment '!E:E,'Shayak Income '!D644,'MPG Payment '!AJ:AJ)</f>
        <v>0</v>
      </c>
      <c r="AP644" s="19">
        <f t="shared" ref="AP644:AP707" si="192">W644</f>
        <v>0</v>
      </c>
      <c r="AQ644" s="119">
        <f t="shared" si="183"/>
        <v>0</v>
      </c>
      <c r="AR644" s="91" t="s">
        <v>1168</v>
      </c>
      <c r="AS644" s="91">
        <f t="shared" ref="AS644:AS707" si="193">B644-X644</f>
        <v>0</v>
      </c>
      <c r="AT644" s="118"/>
      <c r="AU644" s="118"/>
      <c r="AV644" s="118"/>
    </row>
    <row r="645" spans="1:48" s="20" customFormat="1" x14ac:dyDescent="0.25">
      <c r="A645" s="17">
        <f>IFERROR(VLOOKUP(D645,'Monthly Deduction'!$I$3:$J$957,2,0),0)</f>
        <v>0</v>
      </c>
      <c r="B645" s="17">
        <f>IFERROR(VLOOKUP(D645,'Monthly Deduction'!$E$3:$F$957,2,0),0)</f>
        <v>0</v>
      </c>
      <c r="C645" s="17">
        <f t="shared" ref="C645:C708" si="194">A645+B645</f>
        <v>0</v>
      </c>
      <c r="D645" s="41">
        <v>10530089</v>
      </c>
      <c r="E645" s="122" t="str">
        <f>VLOOKUP(D645,'MPG Payment '!$E$3:$G$498218,2,0)</f>
        <v>KHANPUR SOBHA</v>
      </c>
      <c r="F645" s="146">
        <f>IFERROR(_xlfn.XLOOKUP(D645,'Monthly Deduction'!$I$3:$I$957,'Monthly Deduction'!$H$3:$H$957),0)</f>
        <v>0</v>
      </c>
      <c r="G645" s="123" t="str">
        <f>VLOOKUP(D645,'MPG Payment '!$E$3:$G$334579,3,0)</f>
        <v>vlc</v>
      </c>
      <c r="H645" s="124" t="str">
        <f>VLOOKUP(D645,'MPG Payment '!$E$3:$H$334579,4,0)</f>
        <v>Indirect</v>
      </c>
      <c r="I645" s="88">
        <f>INDEX('MPG Payment '!$C:$C,MATCH('Shayak Income '!D645,'MPG Payment '!E:E,0))</f>
        <v>1053</v>
      </c>
      <c r="J645" s="88" t="str">
        <f>INDEX('MPG Payment '!$D:$D,MATCH('Shayak Income '!D645,'MPG Payment '!E:E,0))</f>
        <v>Kalyanpur</v>
      </c>
      <c r="K645" s="125" t="s">
        <v>1322</v>
      </c>
      <c r="L645" s="125">
        <v>45965</v>
      </c>
      <c r="M645" s="126">
        <f>SUMIF('MPG Payment '!$E$3:$E$34579,'Shayak Income '!D645,'MPG Payment '!$I$3:$I$34579)</f>
        <v>135.44999999999999</v>
      </c>
      <c r="N645" s="126">
        <f>SUMIF('MPG Payment '!$E$3:$E$34579,'Shayak Income '!D645,'MPG Payment '!$J$3:$J$34579)</f>
        <v>5310.99</v>
      </c>
      <c r="O645" s="126">
        <f t="shared" ref="O645:O708" si="195">+M645*0.75</f>
        <v>101.58749999999999</v>
      </c>
      <c r="P645" s="126">
        <f t="shared" ref="P645:P708" si="196">+M645*0.95</f>
        <v>128.67749999999998</v>
      </c>
      <c r="Q645" s="126">
        <f>SUMIF('MPG Payment '!$E$3:$E$34579,'Shayak Income '!D645,'MPG Payment '!$S$3:$S$34579)</f>
        <v>0</v>
      </c>
      <c r="R645" s="126">
        <f t="shared" si="186"/>
        <v>159.32969999999997</v>
      </c>
      <c r="S645" s="126">
        <f t="shared" si="187"/>
        <v>30.652199999999993</v>
      </c>
      <c r="T645" s="126">
        <f t="shared" ref="T645:T708" si="197">M645*0.1</f>
        <v>13.545</v>
      </c>
      <c r="U645" s="127">
        <f>(((IF(K645="New",0,SUMIF('MPG Payment '!$E$3:$E$34579,'Shayak Income '!D645,'MPG Payment '!$AC$3:$AC$34579))))+0)+-226</f>
        <v>216.71973488372095</v>
      </c>
      <c r="V645" s="127">
        <f t="shared" ref="V645:V708" si="198">ROUND((SUM(O645:Q645)-SUM(T645:U645)),0)</f>
        <v>0</v>
      </c>
      <c r="W645" s="19">
        <v>0</v>
      </c>
      <c r="X645" s="19">
        <v>0</v>
      </c>
      <c r="Y645" s="128">
        <f>IFERROR(VLOOKUP(D645,'Monthly Deduction'!$M$2:$N$64,2,0),0)</f>
        <v>0</v>
      </c>
      <c r="Z645" s="128">
        <v>0</v>
      </c>
      <c r="AA645" s="126">
        <f>IFERROR(VLOOKUP(D645,'Monthly Deduction'!A:B,2,0),0)</f>
        <v>0</v>
      </c>
      <c r="AB645" s="129">
        <f t="shared" si="189"/>
        <v>0</v>
      </c>
      <c r="AC645" s="130">
        <f t="shared" ref="AC645:AC646" si="199">AB645</f>
        <v>0</v>
      </c>
      <c r="AD645" s="35">
        <f t="shared" ref="AD645:AD708" si="200">ROUND(AB645-AC645,0)</f>
        <v>0</v>
      </c>
      <c r="AE645" s="166" t="str">
        <f t="shared" ref="AE645:AE708" si="201">IF(AC645&lt;&gt;0,"Yes","Release")</f>
        <v>Release</v>
      </c>
      <c r="AF645" s="127"/>
      <c r="AG645" s="18">
        <v>0</v>
      </c>
      <c r="AH645" s="132" t="s">
        <v>1648</v>
      </c>
      <c r="AI645" s="238">
        <v>0</v>
      </c>
      <c r="AJ645" s="132"/>
      <c r="AK645" s="151">
        <v>0</v>
      </c>
      <c r="AL645" s="154">
        <f t="shared" si="190"/>
        <v>0</v>
      </c>
      <c r="AM645" s="155"/>
      <c r="AN645" s="19">
        <f t="shared" si="191"/>
        <v>0</v>
      </c>
      <c r="AO645" s="118">
        <f>SUMIF('MPG Payment '!E:E,'Shayak Income '!D645,'MPG Payment '!AJ:AJ)</f>
        <v>0</v>
      </c>
      <c r="AP645" s="19">
        <f t="shared" si="192"/>
        <v>0</v>
      </c>
      <c r="AQ645" s="119">
        <f t="shared" ref="AQ645:AQ708" si="202">AO645+AP645</f>
        <v>0</v>
      </c>
      <c r="AR645" s="91" t="s">
        <v>1168</v>
      </c>
      <c r="AS645" s="91">
        <f t="shared" si="193"/>
        <v>0</v>
      </c>
      <c r="AT645" s="118"/>
      <c r="AU645" s="118"/>
      <c r="AV645" s="118"/>
    </row>
    <row r="646" spans="1:48" s="20" customFormat="1" x14ac:dyDescent="0.25">
      <c r="A646" s="17">
        <f>IFERROR(VLOOKUP(D646,'Monthly Deduction'!$I$3:$J$957,2,0),0)</f>
        <v>103753.4976</v>
      </c>
      <c r="B646" s="17">
        <f>IFERROR(VLOOKUP(D646,'Monthly Deduction'!$E$3:$F$957,2,0),0)</f>
        <v>0</v>
      </c>
      <c r="C646" s="17">
        <f t="shared" si="194"/>
        <v>103753.4976</v>
      </c>
      <c r="D646" s="41">
        <v>10560015</v>
      </c>
      <c r="E646" s="122" t="str">
        <f>VLOOKUP(D646,'MPG Payment '!$E$3:$G$498218,2,0)</f>
        <v>Gomukh Patel Nagar</v>
      </c>
      <c r="F646" s="146">
        <f>IFERROR(_xlfn.XLOOKUP(D646,'Monthly Deduction'!$I$3:$I$957,'Monthly Deduction'!$H$3:$H$957),0)</f>
        <v>0</v>
      </c>
      <c r="G646" s="123" t="str">
        <f>VLOOKUP(D646,'MPG Payment '!$E$3:$G$334579,3,0)</f>
        <v>vlc</v>
      </c>
      <c r="H646" s="124" t="str">
        <f>VLOOKUP(D646,'MPG Payment '!$E$3:$H$334579,4,0)</f>
        <v>Indirect</v>
      </c>
      <c r="I646" s="88">
        <f>INDEX('MPG Payment '!$C:$C,MATCH('Shayak Income '!D646,'MPG Payment '!E:E,0))</f>
        <v>1056</v>
      </c>
      <c r="J646" s="88" t="str">
        <f>INDEX('MPG Payment '!$D:$D,MATCH('Shayak Income '!D646,'MPG Payment '!E:E,0))</f>
        <v>Chautham</v>
      </c>
      <c r="K646" s="125" t="s">
        <v>1322</v>
      </c>
      <c r="L646" s="125">
        <v>45966</v>
      </c>
      <c r="M646" s="126">
        <f>SUMIF('MPG Payment '!$E$3:$E$34579,'Shayak Income '!D646,'MPG Payment '!$I$3:$I$34579)</f>
        <v>2910.2999999999997</v>
      </c>
      <c r="N646" s="126">
        <f>SUMIF('MPG Payment '!$E$3:$E$34579,'Shayak Income '!D646,'MPG Payment '!$J$3:$J$34579)</f>
        <v>102828.25716781302</v>
      </c>
      <c r="O646" s="126">
        <f t="shared" si="195"/>
        <v>2182.7249999999999</v>
      </c>
      <c r="P646" s="126">
        <f t="shared" si="196"/>
        <v>2764.7849999999994</v>
      </c>
      <c r="Q646" s="126">
        <f>SUMIF('MPG Payment '!$E$3:$E$34579,'Shayak Income '!D646,'MPG Payment '!$S$3:$S$34579)</f>
        <v>0</v>
      </c>
      <c r="R646" s="126">
        <f t="shared" si="186"/>
        <v>3084.8477150343906</v>
      </c>
      <c r="S646" s="126">
        <f t="shared" si="187"/>
        <v>320.0627150343912</v>
      </c>
      <c r="T646" s="126">
        <f t="shared" si="197"/>
        <v>291.02999999999997</v>
      </c>
      <c r="U646" s="127">
        <f>(((IF(K646="New",0,SUMIF('MPG Payment '!$E$3:$E$34579,'Shayak Income '!D646,'MPG Payment '!$AC$3:$AC$34579))))+0)+0</f>
        <v>299.20642440622436</v>
      </c>
      <c r="V646" s="127">
        <f t="shared" si="198"/>
        <v>4357</v>
      </c>
      <c r="W646" s="19">
        <f t="shared" ref="W646:W708" si="203">(((AN646-AO646)))+0</f>
        <v>2056.5651433562603</v>
      </c>
      <c r="X646" s="19">
        <v>0</v>
      </c>
      <c r="Y646" s="128">
        <f>IFERROR(VLOOKUP(D646,'Monthly Deduction'!$M$2:$N$64,2,0),0)</f>
        <v>0</v>
      </c>
      <c r="Z646" s="128">
        <v>0</v>
      </c>
      <c r="AA646" s="126">
        <f>IFERROR(VLOOKUP(D646,'Monthly Deduction'!A:B,2,0),0)</f>
        <v>0</v>
      </c>
      <c r="AB646" s="129">
        <f t="shared" si="189"/>
        <v>2300</v>
      </c>
      <c r="AC646" s="130">
        <f t="shared" si="199"/>
        <v>2300</v>
      </c>
      <c r="AD646" s="35">
        <f t="shared" si="200"/>
        <v>0</v>
      </c>
      <c r="AE646" s="166" t="str">
        <f t="shared" si="201"/>
        <v>Yes</v>
      </c>
      <c r="AF646" s="127"/>
      <c r="AG646" s="18">
        <v>0</v>
      </c>
      <c r="AH646" s="120" t="s">
        <v>1650</v>
      </c>
      <c r="AI646" s="238">
        <v>18486</v>
      </c>
      <c r="AJ646" s="132"/>
      <c r="AK646" s="151">
        <v>1931.1800000000003</v>
      </c>
      <c r="AL646" s="154">
        <f t="shared" si="190"/>
        <v>0</v>
      </c>
      <c r="AM646" s="155"/>
      <c r="AN646" s="19">
        <f t="shared" si="191"/>
        <v>2056.5651433562603</v>
      </c>
      <c r="AO646" s="118">
        <f>SUMIF('MPG Payment '!E:E,'Shayak Income '!D646,'MPG Payment '!AJ:AJ)</f>
        <v>0</v>
      </c>
      <c r="AP646" s="19">
        <f t="shared" si="192"/>
        <v>2056.5651433562603</v>
      </c>
      <c r="AQ646" s="119">
        <f t="shared" si="202"/>
        <v>2056.5651433562603</v>
      </c>
      <c r="AR646" s="91" t="s">
        <v>1168</v>
      </c>
      <c r="AS646" s="91">
        <f t="shared" si="193"/>
        <v>0</v>
      </c>
      <c r="AT646" s="118"/>
      <c r="AU646" s="118"/>
      <c r="AV646" s="118"/>
    </row>
    <row r="647" spans="1:48" s="20" customFormat="1" x14ac:dyDescent="0.25">
      <c r="A647" s="17">
        <f>IFERROR(VLOOKUP(D647,'Monthly Deduction'!$I$3:$J$957,2,0),0)</f>
        <v>88634</v>
      </c>
      <c r="B647" s="17">
        <f>IFERROR(VLOOKUP(D647,'Monthly Deduction'!$E$3:$F$957,2,0),0)</f>
        <v>6400</v>
      </c>
      <c r="C647" s="17">
        <f t="shared" si="194"/>
        <v>95034</v>
      </c>
      <c r="D647" s="41">
        <v>10580004</v>
      </c>
      <c r="E647" s="122" t="str">
        <f>VLOOKUP(D647,'MPG Payment '!$E$3:$G$498218,2,0)</f>
        <v>Patiya</v>
      </c>
      <c r="F647" s="146">
        <f>IFERROR(_xlfn.XLOOKUP(D647,'Monthly Deduction'!$I$3:$I$957,'Monthly Deduction'!$H$3:$H$957),0)</f>
        <v>0</v>
      </c>
      <c r="G647" s="123" t="str">
        <f>VLOOKUP(D647,'MPG Payment '!$E$3:$G$334579,3,0)</f>
        <v>MPG</v>
      </c>
      <c r="H647" s="124" t="str">
        <f>VLOOKUP(D647,'MPG Payment '!$E$3:$H$334579,4,0)</f>
        <v>Direct</v>
      </c>
      <c r="I647" s="88">
        <f>INDEX('MPG Payment '!$C:$C,MATCH('Shayak Income '!D647,'MPG Payment '!E:E,0))</f>
        <v>1058</v>
      </c>
      <c r="J647" s="88" t="str">
        <f>INDEX('MPG Payment '!$D:$D,MATCH('Shayak Income '!D647,'MPG Payment '!E:E,0))</f>
        <v>Hasanpur</v>
      </c>
      <c r="K647" s="125" t="s">
        <v>1322</v>
      </c>
      <c r="L647" s="125">
        <v>45962</v>
      </c>
      <c r="M647" s="126">
        <f>SUMIF('MPG Payment '!$E$3:$E$34579,'Shayak Income '!D647,'MPG Payment '!$I$3:$I$34579)</f>
        <v>1183.1000000000001</v>
      </c>
      <c r="N647" s="126">
        <f>SUMIF('MPG Payment '!$E$3:$E$34579,'Shayak Income '!D647,'MPG Payment '!$J$3:$J$34579)</f>
        <v>43212.916434547995</v>
      </c>
      <c r="O647" s="126">
        <f t="shared" si="195"/>
        <v>887.32500000000005</v>
      </c>
      <c r="P647" s="126">
        <f t="shared" si="196"/>
        <v>1123.9450000000002</v>
      </c>
      <c r="Q647" s="126">
        <f>SUMIF('MPG Payment '!$E$3:$E$34579,'Shayak Income '!D647,'MPG Payment '!$S$3:$S$34579)</f>
        <v>630.40879018060002</v>
      </c>
      <c r="R647" s="126">
        <f t="shared" si="186"/>
        <v>1296.3874930364398</v>
      </c>
      <c r="S647" s="126">
        <f t="shared" si="187"/>
        <v>172.4424930364396</v>
      </c>
      <c r="T647" s="126">
        <f t="shared" si="197"/>
        <v>118.31000000000002</v>
      </c>
      <c r="U647" s="127">
        <f>(((IF(K647="New",0,SUMIF('MPG Payment '!$E$3:$E$34579,'Shayak Income '!D647,'MPG Payment '!$AC$3:$AC$34579))))+0)+0</f>
        <v>1183.4407161466715</v>
      </c>
      <c r="V647" s="127">
        <f t="shared" si="198"/>
        <v>1340</v>
      </c>
      <c r="W647" s="19">
        <v>1340</v>
      </c>
      <c r="X647" s="19">
        <v>0</v>
      </c>
      <c r="Y647" s="128">
        <f>IFERROR(VLOOKUP(D647,'Monthly Deduction'!$M$2:$N$64,2,0),0)</f>
        <v>0</v>
      </c>
      <c r="Z647" s="128">
        <v>0</v>
      </c>
      <c r="AA647" s="126">
        <f>IFERROR(VLOOKUP(D647,'Monthly Deduction'!A:B,2,0),0)</f>
        <v>0</v>
      </c>
      <c r="AB647" s="129">
        <f t="shared" si="189"/>
        <v>0</v>
      </c>
      <c r="AC647" s="130">
        <v>0</v>
      </c>
      <c r="AD647" s="35">
        <f t="shared" si="200"/>
        <v>0</v>
      </c>
      <c r="AE647" s="166" t="str">
        <f t="shared" si="201"/>
        <v>Release</v>
      </c>
      <c r="AF647" s="127"/>
      <c r="AG647" s="18">
        <v>0</v>
      </c>
      <c r="AH647" s="120"/>
      <c r="AI647" s="238">
        <v>0</v>
      </c>
      <c r="AJ647" s="132"/>
      <c r="AK647" s="151">
        <v>260.49999999999994</v>
      </c>
      <c r="AL647" s="154">
        <f t="shared" si="190"/>
        <v>0</v>
      </c>
      <c r="AM647" s="155"/>
      <c r="AN647" s="19">
        <f t="shared" si="191"/>
        <v>1861</v>
      </c>
      <c r="AO647" s="118">
        <f>SUMIF('MPG Payment '!E:E,'Shayak Income '!D647,'MPG Payment '!AJ:AJ)</f>
        <v>0</v>
      </c>
      <c r="AP647" s="19">
        <f t="shared" si="192"/>
        <v>1340</v>
      </c>
      <c r="AQ647" s="119">
        <f t="shared" si="202"/>
        <v>1340</v>
      </c>
      <c r="AR647" s="91" t="s">
        <v>1168</v>
      </c>
      <c r="AS647" s="91">
        <f t="shared" si="193"/>
        <v>6400</v>
      </c>
      <c r="AT647" s="118"/>
      <c r="AU647" s="118"/>
      <c r="AV647" s="118"/>
    </row>
    <row r="648" spans="1:48" s="20" customFormat="1" x14ac:dyDescent="0.25">
      <c r="A648" s="17">
        <f>IFERROR(VLOOKUP(D648,'Monthly Deduction'!$I$3:$J$957,2,0),0)</f>
        <v>0</v>
      </c>
      <c r="B648" s="17">
        <f>IFERROR(VLOOKUP(D648,'Monthly Deduction'!$E$3:$F$957,2,0),0)</f>
        <v>0</v>
      </c>
      <c r="C648" s="17">
        <f t="shared" si="194"/>
        <v>0</v>
      </c>
      <c r="D648" s="41">
        <v>10020010</v>
      </c>
      <c r="E648" s="122" t="str">
        <f>VLOOKUP(D648,'MPG Payment '!$E$3:$G$498218,2,0)</f>
        <v>GOMUKH RAHATPUR</v>
      </c>
      <c r="F648" s="146">
        <f>IFERROR(_xlfn.XLOOKUP(D648,'Monthly Deduction'!$I$3:$I$957,'Monthly Deduction'!$H$3:$H$957),0)</f>
        <v>0</v>
      </c>
      <c r="G648" s="123" t="str">
        <f>VLOOKUP(D648,'MPG Payment '!$E$3:$G$334579,3,0)</f>
        <v>MPG</v>
      </c>
      <c r="H648" s="124" t="str">
        <f>VLOOKUP(D648,'MPG Payment '!$E$3:$H$334579,4,0)</f>
        <v>Direct</v>
      </c>
      <c r="I648" s="88">
        <f>INDEX('MPG Payment '!$C:$C,MATCH('Shayak Income '!D648,'MPG Payment '!E:E,0))</f>
        <v>1002</v>
      </c>
      <c r="J648" s="88" t="str">
        <f>INDEX('MPG Payment '!$D:$D,MATCH('Shayak Income '!D648,'MPG Payment '!E:E,0))</f>
        <v>Laldiyara</v>
      </c>
      <c r="K648" s="125" t="s">
        <v>1322</v>
      </c>
      <c r="L648" s="125">
        <v>44277</v>
      </c>
      <c r="M648" s="126">
        <f>SUMIF('MPG Payment '!$E$3:$E$34579,'Shayak Income '!D648,'MPG Payment '!$I$3:$I$34579)</f>
        <v>1871.6000000000001</v>
      </c>
      <c r="N648" s="126">
        <f>SUMIF('MPG Payment '!$E$3:$E$34579,'Shayak Income '!D648,'MPG Payment '!$J$3:$J$34579)</f>
        <v>67619.080201050005</v>
      </c>
      <c r="O648" s="126">
        <f t="shared" si="195"/>
        <v>1403.7</v>
      </c>
      <c r="P648" s="126">
        <f t="shared" si="196"/>
        <v>1778.02</v>
      </c>
      <c r="Q648" s="126">
        <f>SUMIF('MPG Payment '!$E$3:$E$34579,'Shayak Income '!D648,'MPG Payment '!$S$3:$S$34579)</f>
        <v>210.41906400000002</v>
      </c>
      <c r="R648" s="126">
        <f t="shared" si="186"/>
        <v>2028.5724060315001</v>
      </c>
      <c r="S648" s="126">
        <f t="shared" si="187"/>
        <v>250.55240603150014</v>
      </c>
      <c r="T648" s="126">
        <f t="shared" si="197"/>
        <v>187.16000000000003</v>
      </c>
      <c r="U648" s="127">
        <f>(((IF(K648="New",0,SUMIF('MPG Payment '!$E$3:$E$34579,'Shayak Income '!D648,'MPG Payment '!$AC$3:$AC$34579))))+0)+0</f>
        <v>670.58369679828013</v>
      </c>
      <c r="V648" s="127">
        <f t="shared" si="198"/>
        <v>2534</v>
      </c>
      <c r="W648" s="19">
        <f t="shared" si="203"/>
        <v>0</v>
      </c>
      <c r="X648" s="19">
        <f t="shared" si="188"/>
        <v>0</v>
      </c>
      <c r="Y648" s="128">
        <f>IFERROR(VLOOKUP(D648,'Monthly Deduction'!$M$2:$N$64,2,0),0)</f>
        <v>0</v>
      </c>
      <c r="Z648" s="128">
        <v>0</v>
      </c>
      <c r="AA648" s="126">
        <f>IFERROR(VLOOKUP(D648,'Monthly Deduction'!A:B,2,0),0)</f>
        <v>0</v>
      </c>
      <c r="AB648" s="129">
        <f t="shared" si="189"/>
        <v>2534</v>
      </c>
      <c r="AC648" s="130">
        <v>0</v>
      </c>
      <c r="AD648" s="35">
        <f t="shared" si="200"/>
        <v>2534</v>
      </c>
      <c r="AE648" s="166" t="str">
        <f t="shared" si="201"/>
        <v>Release</v>
      </c>
      <c r="AF648" s="127"/>
      <c r="AG648" s="18">
        <v>0</v>
      </c>
      <c r="AH648" s="120"/>
      <c r="AI648" s="238">
        <v>0</v>
      </c>
      <c r="AJ648" s="132"/>
      <c r="AK648" s="151">
        <v>385.59999999999997</v>
      </c>
      <c r="AL648" s="154">
        <f t="shared" si="190"/>
        <v>0</v>
      </c>
      <c r="AM648" s="155"/>
      <c r="AN648" s="19">
        <f t="shared" si="191"/>
        <v>0</v>
      </c>
      <c r="AO648" s="118">
        <f>SUMIF('MPG Payment '!E:E,'Shayak Income '!D648,'MPG Payment '!AJ:AJ)</f>
        <v>0</v>
      </c>
      <c r="AP648" s="19">
        <f t="shared" si="192"/>
        <v>0</v>
      </c>
      <c r="AQ648" s="119">
        <f t="shared" si="202"/>
        <v>0</v>
      </c>
      <c r="AR648" s="91" t="s">
        <v>1168</v>
      </c>
      <c r="AS648" s="91">
        <f t="shared" si="193"/>
        <v>0</v>
      </c>
      <c r="AT648" s="118"/>
      <c r="AU648" s="118"/>
      <c r="AV648" s="118"/>
    </row>
    <row r="649" spans="1:48" s="20" customFormat="1" x14ac:dyDescent="0.25">
      <c r="A649" s="17">
        <f>IFERROR(VLOOKUP(D649,'Monthly Deduction'!$I$3:$J$957,2,0),0)</f>
        <v>75159.173815561444</v>
      </c>
      <c r="B649" s="17">
        <f>IFERROR(VLOOKUP(D649,'Monthly Deduction'!$E$3:$F$957,2,0),0)</f>
        <v>0</v>
      </c>
      <c r="C649" s="17">
        <f t="shared" si="194"/>
        <v>75159.173815561444</v>
      </c>
      <c r="D649" s="41">
        <v>10560017</v>
      </c>
      <c r="E649" s="122" t="str">
        <f>VLOOKUP(D649,'MPG Payment '!$E$3:$G$498218,2,0)</f>
        <v>Gomukh Telihar</v>
      </c>
      <c r="F649" s="146">
        <f>IFERROR(_xlfn.XLOOKUP(D649,'Monthly Deduction'!$I$3:$I$957,'Monthly Deduction'!$H$3:$H$957),0)</f>
        <v>0</v>
      </c>
      <c r="G649" s="123" t="str">
        <f>VLOOKUP(D649,'MPG Payment '!$E$3:$G$334579,3,0)</f>
        <v>MPG</v>
      </c>
      <c r="H649" s="124" t="str">
        <f>VLOOKUP(D649,'MPG Payment '!$E$3:$H$334579,4,0)</f>
        <v>Direct</v>
      </c>
      <c r="I649" s="88">
        <f>INDEX('MPG Payment '!$C:$C,MATCH('Shayak Income '!D649,'MPG Payment '!E:E,0))</f>
        <v>1056</v>
      </c>
      <c r="J649" s="88" t="str">
        <f>INDEX('MPG Payment '!$D:$D,MATCH('Shayak Income '!D649,'MPG Payment '!E:E,0))</f>
        <v>Chautham</v>
      </c>
      <c r="K649" s="125" t="s">
        <v>1322</v>
      </c>
      <c r="L649" s="125">
        <v>45974</v>
      </c>
      <c r="M649" s="126">
        <f>SUMIF('MPG Payment '!$E$3:$E$34579,'Shayak Income '!D649,'MPG Payment '!$I$3:$I$34579)</f>
        <v>3997.0000000000005</v>
      </c>
      <c r="N649" s="126">
        <f>SUMIF('MPG Payment '!$E$3:$E$34579,'Shayak Income '!D649,'MPG Payment '!$J$3:$J$34579)</f>
        <v>153924.46773100749</v>
      </c>
      <c r="O649" s="126">
        <f t="shared" si="195"/>
        <v>2997.7500000000005</v>
      </c>
      <c r="P649" s="126">
        <f t="shared" si="196"/>
        <v>3797.15</v>
      </c>
      <c r="Q649" s="126">
        <f>SUMIF('MPG Payment '!$E$3:$E$34579,'Shayak Income '!D649,'MPG Payment '!$S$3:$S$34579)</f>
        <v>0</v>
      </c>
      <c r="R649" s="126">
        <f t="shared" si="186"/>
        <v>4617.7340319302248</v>
      </c>
      <c r="S649" s="126">
        <f t="shared" si="187"/>
        <v>820.58403193022468</v>
      </c>
      <c r="T649" s="126">
        <f t="shared" si="197"/>
        <v>399.70000000000005</v>
      </c>
      <c r="U649" s="127">
        <f>(((IF(K649="New",0,SUMIF('MPG Payment '!$E$3:$E$34579,'Shayak Income '!D649,'MPG Payment '!$AC$3:$AC$34579))))+0)+0</f>
        <v>0</v>
      </c>
      <c r="V649" s="127">
        <f t="shared" si="198"/>
        <v>6395</v>
      </c>
      <c r="W649" s="19">
        <f t="shared" si="203"/>
        <v>3078.4893546201497</v>
      </c>
      <c r="X649" s="19">
        <v>0</v>
      </c>
      <c r="Y649" s="128">
        <f>IFERROR(VLOOKUP(D649,'Monthly Deduction'!$M$2:$N$64,2,0),0)</f>
        <v>0</v>
      </c>
      <c r="Z649" s="128">
        <v>0</v>
      </c>
      <c r="AA649" s="126">
        <f>IFERROR(VLOOKUP(D649,'Monthly Deduction'!A:B,2,0),0)</f>
        <v>0</v>
      </c>
      <c r="AB649" s="129">
        <f t="shared" si="189"/>
        <v>3317</v>
      </c>
      <c r="AC649" s="130">
        <v>0</v>
      </c>
      <c r="AD649" s="35">
        <f t="shared" si="200"/>
        <v>3317</v>
      </c>
      <c r="AE649" s="166" t="str">
        <f t="shared" si="201"/>
        <v>Release</v>
      </c>
      <c r="AF649" s="127"/>
      <c r="AG649" s="18">
        <v>0</v>
      </c>
      <c r="AH649" s="120"/>
      <c r="AI649" s="238">
        <v>0</v>
      </c>
      <c r="AJ649" s="132"/>
      <c r="AK649" s="151">
        <v>860.39999999999986</v>
      </c>
      <c r="AL649" s="154">
        <f t="shared" si="190"/>
        <v>0</v>
      </c>
      <c r="AM649" s="155"/>
      <c r="AN649" s="19">
        <f t="shared" si="191"/>
        <v>3078.4893546201497</v>
      </c>
      <c r="AO649" s="118">
        <f>SUMIF('MPG Payment '!E:E,'Shayak Income '!D649,'MPG Payment '!AJ:AJ)</f>
        <v>0</v>
      </c>
      <c r="AP649" s="19">
        <f t="shared" si="192"/>
        <v>3078.4893546201497</v>
      </c>
      <c r="AQ649" s="119">
        <f t="shared" si="202"/>
        <v>3078.4893546201497</v>
      </c>
      <c r="AR649" s="91" t="s">
        <v>1168</v>
      </c>
      <c r="AS649" s="91">
        <f t="shared" si="193"/>
        <v>0</v>
      </c>
      <c r="AT649" s="118"/>
      <c r="AU649" s="118"/>
      <c r="AV649" s="118"/>
    </row>
    <row r="650" spans="1:48" s="20" customFormat="1" x14ac:dyDescent="0.25">
      <c r="A650" s="17">
        <f>IFERROR(VLOOKUP(D650,'Monthly Deduction'!$I$3:$J$957,2,0),0)</f>
        <v>0</v>
      </c>
      <c r="B650" s="17">
        <f>IFERROR(VLOOKUP(D650,'Monthly Deduction'!$E$3:$F$957,2,0),0)</f>
        <v>0</v>
      </c>
      <c r="C650" s="17">
        <f t="shared" si="194"/>
        <v>0</v>
      </c>
      <c r="D650" s="41">
        <v>10560019</v>
      </c>
      <c r="E650" s="122" t="str">
        <f>VLOOKUP(D650,'MPG Payment '!$E$3:$G$498218,2,0)</f>
        <v>Gomukh Pansalba Ward No 05</v>
      </c>
      <c r="F650" s="146">
        <f>IFERROR(_xlfn.XLOOKUP(D650,'Monthly Deduction'!$I$3:$I$957,'Monthly Deduction'!$H$3:$H$957),0)</f>
        <v>0</v>
      </c>
      <c r="G650" s="123" t="str">
        <f>VLOOKUP(D650,'MPG Payment '!$E$3:$G$334579,3,0)</f>
        <v>MPG</v>
      </c>
      <c r="H650" s="124" t="str">
        <f>VLOOKUP(D650,'MPG Payment '!$E$3:$H$334579,4,0)</f>
        <v>Indirect</v>
      </c>
      <c r="I650" s="88">
        <f>INDEX('MPG Payment '!$C:$C,MATCH('Shayak Income '!D650,'MPG Payment '!E:E,0))</f>
        <v>1056</v>
      </c>
      <c r="J650" s="88" t="str">
        <f>INDEX('MPG Payment '!$D:$D,MATCH('Shayak Income '!D650,'MPG Payment '!E:E,0))</f>
        <v>Chautham</v>
      </c>
      <c r="K650" s="125" t="s">
        <v>1322</v>
      </c>
      <c r="L650" s="125">
        <v>45973</v>
      </c>
      <c r="M650" s="126">
        <f>SUMIF('MPG Payment '!$E$3:$E$34579,'Shayak Income '!D650,'MPG Payment '!$I$3:$I$34579)</f>
        <v>7591.18</v>
      </c>
      <c r="N650" s="126">
        <f>SUMIF('MPG Payment '!$E$3:$E$34579,'Shayak Income '!D650,'MPG Payment '!$J$3:$J$34579)</f>
        <v>273005.50286353973</v>
      </c>
      <c r="O650" s="126">
        <f t="shared" si="195"/>
        <v>5693.3850000000002</v>
      </c>
      <c r="P650" s="126">
        <f t="shared" si="196"/>
        <v>7211.6210000000001</v>
      </c>
      <c r="Q650" s="126">
        <f>SUMIF('MPG Payment '!$E$3:$E$34579,'Shayak Income '!D650,'MPG Payment '!$S$3:$S$34579)</f>
        <v>0</v>
      </c>
      <c r="R650" s="126">
        <f t="shared" si="186"/>
        <v>8190.165085906192</v>
      </c>
      <c r="S650" s="126">
        <f t="shared" si="187"/>
        <v>978.54408590619187</v>
      </c>
      <c r="T650" s="126">
        <f t="shared" si="197"/>
        <v>759.11800000000005</v>
      </c>
      <c r="U650" s="127">
        <f>(((IF(K650="New",0,SUMIF('MPG Payment '!$E$3:$E$34579,'Shayak Income '!D650,'MPG Payment '!$AC$3:$AC$34579))))+0)+0</f>
        <v>0</v>
      </c>
      <c r="V650" s="127">
        <f t="shared" si="198"/>
        <v>12146</v>
      </c>
      <c r="W650" s="19">
        <f t="shared" si="203"/>
        <v>0</v>
      </c>
      <c r="X650" s="19">
        <f t="shared" si="188"/>
        <v>0</v>
      </c>
      <c r="Y650" s="128">
        <f>IFERROR(VLOOKUP(D650,'Monthly Deduction'!$M$2:$N$64,2,0),0)</f>
        <v>0</v>
      </c>
      <c r="Z650" s="128">
        <v>0</v>
      </c>
      <c r="AA650" s="126">
        <f>IFERROR(VLOOKUP(D650,'Monthly Deduction'!A:B,2,0),0)</f>
        <v>0</v>
      </c>
      <c r="AB650" s="129">
        <f t="shared" si="189"/>
        <v>12146</v>
      </c>
      <c r="AC650" s="130">
        <v>0</v>
      </c>
      <c r="AD650" s="35">
        <f t="shared" si="200"/>
        <v>12146</v>
      </c>
      <c r="AE650" s="166" t="str">
        <f t="shared" si="201"/>
        <v>Release</v>
      </c>
      <c r="AF650" s="127"/>
      <c r="AG650" s="127">
        <v>0</v>
      </c>
      <c r="AH650" s="120"/>
      <c r="AI650" s="238">
        <v>0</v>
      </c>
      <c r="AJ650" s="132"/>
      <c r="AK650" s="151">
        <v>1637.2400000000002</v>
      </c>
      <c r="AL650" s="154">
        <f t="shared" si="190"/>
        <v>0</v>
      </c>
      <c r="AM650" s="155"/>
      <c r="AN650" s="19">
        <f t="shared" si="191"/>
        <v>0</v>
      </c>
      <c r="AO650" s="118">
        <f>SUMIF('MPG Payment '!E:E,'Shayak Income '!D650,'MPG Payment '!AJ:AJ)</f>
        <v>0</v>
      </c>
      <c r="AP650" s="19">
        <f t="shared" si="192"/>
        <v>0</v>
      </c>
      <c r="AQ650" s="119">
        <f t="shared" si="202"/>
        <v>0</v>
      </c>
      <c r="AR650" s="91" t="s">
        <v>1168</v>
      </c>
      <c r="AS650" s="91">
        <f t="shared" si="193"/>
        <v>0</v>
      </c>
      <c r="AT650" s="118"/>
      <c r="AU650" s="118"/>
      <c r="AV650" s="118"/>
    </row>
    <row r="651" spans="1:48" s="20" customFormat="1" x14ac:dyDescent="0.25">
      <c r="A651" s="17">
        <f>IFERROR(VLOOKUP(D651,'Monthly Deduction'!$I$3:$J$957,2,0),0)</f>
        <v>59061.962974483999</v>
      </c>
      <c r="B651" s="17">
        <f>IFERROR(VLOOKUP(D651,'Monthly Deduction'!$E$3:$F$957,2,0),0)</f>
        <v>6400</v>
      </c>
      <c r="C651" s="17">
        <f t="shared" si="194"/>
        <v>65461.962974483999</v>
      </c>
      <c r="D651" s="41">
        <v>10570018</v>
      </c>
      <c r="E651" s="122" t="str">
        <f>VLOOKUP(D651,'MPG Payment '!$E$3:$G$498218,2,0)</f>
        <v>Gohi</v>
      </c>
      <c r="F651" s="146">
        <f>IFERROR(_xlfn.XLOOKUP(D651,'Monthly Deduction'!$I$3:$I$957,'Monthly Deduction'!$H$3:$H$957),0)</f>
        <v>0</v>
      </c>
      <c r="G651" s="123" t="str">
        <f>VLOOKUP(D651,'MPG Payment '!$E$3:$G$334579,3,0)</f>
        <v>MPG</v>
      </c>
      <c r="H651" s="124" t="str">
        <f>VLOOKUP(D651,'MPG Payment '!$E$3:$H$334579,4,0)</f>
        <v>Direct</v>
      </c>
      <c r="I651" s="88">
        <f>INDEX('MPG Payment '!$C:$C,MATCH('Shayak Income '!D651,'MPG Payment '!E:E,0))</f>
        <v>1057</v>
      </c>
      <c r="J651" s="88" t="str">
        <f>INDEX('MPG Payment '!$D:$D,MATCH('Shayak Income '!D651,'MPG Payment '!E:E,0))</f>
        <v>Warisnagar</v>
      </c>
      <c r="K651" s="125" t="s">
        <v>1322</v>
      </c>
      <c r="L651" s="125">
        <v>45970</v>
      </c>
      <c r="M651" s="126">
        <f>SUMIF('MPG Payment '!$E$3:$E$34579,'Shayak Income '!D651,'MPG Payment '!$I$3:$I$34579)</f>
        <v>1457.4</v>
      </c>
      <c r="N651" s="126">
        <f>SUMIF('MPG Payment '!$E$3:$E$34579,'Shayak Income '!D651,'MPG Payment '!$J$3:$J$34579)</f>
        <v>57311.871404467602</v>
      </c>
      <c r="O651" s="126">
        <f t="shared" si="195"/>
        <v>1093.0500000000002</v>
      </c>
      <c r="P651" s="126">
        <f t="shared" si="196"/>
        <v>1384.53</v>
      </c>
      <c r="Q651" s="126">
        <f>SUMIF('MPG Payment '!$E$3:$E$34579,'Shayak Income '!D651,'MPG Payment '!$S$3:$S$34579)</f>
        <v>1069.1031003516</v>
      </c>
      <c r="R651" s="126">
        <f t="shared" si="186"/>
        <v>1719.356142134028</v>
      </c>
      <c r="S651" s="126">
        <f t="shared" si="187"/>
        <v>334.82614213402803</v>
      </c>
      <c r="T651" s="126">
        <f t="shared" si="197"/>
        <v>145.74</v>
      </c>
      <c r="U651" s="127">
        <f>(((IF(K651="New",0,SUMIF('MPG Payment '!$E$3:$E$34579,'Shayak Income '!D651,'MPG Payment '!$AC$3:$AC$34579))))+0)+0</f>
        <v>1055.5352368528893</v>
      </c>
      <c r="V651" s="127">
        <f t="shared" si="198"/>
        <v>2345</v>
      </c>
      <c r="W651" s="19">
        <f t="shared" si="203"/>
        <v>1861</v>
      </c>
      <c r="X651" s="19">
        <v>0</v>
      </c>
      <c r="Y651" s="128">
        <f>IFERROR(VLOOKUP(D651,'Monthly Deduction'!$M$2:$N$64,2,0),0)</f>
        <v>0</v>
      </c>
      <c r="Z651" s="128">
        <v>0</v>
      </c>
      <c r="AA651" s="126">
        <f>IFERROR(VLOOKUP(D651,'Monthly Deduction'!A:B,2,0),0)</f>
        <v>0</v>
      </c>
      <c r="AB651" s="129">
        <f t="shared" si="189"/>
        <v>484</v>
      </c>
      <c r="AC651" s="130">
        <v>0</v>
      </c>
      <c r="AD651" s="35">
        <f t="shared" si="200"/>
        <v>484</v>
      </c>
      <c r="AE651" s="166" t="str">
        <f t="shared" si="201"/>
        <v>Release</v>
      </c>
      <c r="AF651" s="127"/>
      <c r="AG651" s="127">
        <v>0</v>
      </c>
      <c r="AH651" s="120"/>
      <c r="AI651" s="238">
        <v>0</v>
      </c>
      <c r="AJ651" s="132"/>
      <c r="AK651" s="151">
        <v>325.8</v>
      </c>
      <c r="AL651" s="154">
        <f t="shared" si="190"/>
        <v>0</v>
      </c>
      <c r="AM651" s="155"/>
      <c r="AN651" s="19">
        <f t="shared" si="191"/>
        <v>1861</v>
      </c>
      <c r="AO651" s="118">
        <f>SUMIF('MPG Payment '!E:E,'Shayak Income '!D651,'MPG Payment '!AJ:AJ)</f>
        <v>0</v>
      </c>
      <c r="AP651" s="19">
        <f t="shared" si="192"/>
        <v>1861</v>
      </c>
      <c r="AQ651" s="119">
        <f t="shared" si="202"/>
        <v>1861</v>
      </c>
      <c r="AR651" s="91" t="s">
        <v>1168</v>
      </c>
      <c r="AS651" s="91">
        <f t="shared" si="193"/>
        <v>6400</v>
      </c>
      <c r="AT651" s="118"/>
      <c r="AU651" s="118"/>
      <c r="AV651" s="118"/>
    </row>
    <row r="652" spans="1:48" s="20" customFormat="1" x14ac:dyDescent="0.25">
      <c r="A652" s="17">
        <f>IFERROR(VLOOKUP(D652,'Monthly Deduction'!$I$3:$J$957,2,0),0)</f>
        <v>76432.647076568595</v>
      </c>
      <c r="B652" s="17">
        <f>IFERROR(VLOOKUP(D652,'Monthly Deduction'!$E$3:$F$957,2,0),0)</f>
        <v>4683</v>
      </c>
      <c r="C652" s="17">
        <f t="shared" si="194"/>
        <v>81115.647076568595</v>
      </c>
      <c r="D652" s="41">
        <v>10570019</v>
      </c>
      <c r="E652" s="122" t="str">
        <f>VLOOKUP(D652,'MPG Payment '!$E$3:$G$498218,2,0)</f>
        <v>Matua</v>
      </c>
      <c r="F652" s="146">
        <f>IFERROR(_xlfn.XLOOKUP(D652,'Monthly Deduction'!$I$3:$I$957,'Monthly Deduction'!$H$3:$H$957),0)</f>
        <v>0</v>
      </c>
      <c r="G652" s="123" t="str">
        <f>VLOOKUP(D652,'MPG Payment '!$E$3:$G$334579,3,0)</f>
        <v>MPG</v>
      </c>
      <c r="H652" s="124" t="str">
        <f>VLOOKUP(D652,'MPG Payment '!$E$3:$H$334579,4,0)</f>
        <v>Direct</v>
      </c>
      <c r="I652" s="88">
        <f>INDEX('MPG Payment '!$C:$C,MATCH('Shayak Income '!D652,'MPG Payment '!E:E,0))</f>
        <v>1057</v>
      </c>
      <c r="J652" s="88" t="str">
        <f>INDEX('MPG Payment '!$D:$D,MATCH('Shayak Income '!D652,'MPG Payment '!E:E,0))</f>
        <v>Warisnagar</v>
      </c>
      <c r="K652" s="125" t="s">
        <v>1322</v>
      </c>
      <c r="L652" s="125">
        <v>45970</v>
      </c>
      <c r="M652" s="126">
        <f>SUMIF('MPG Payment '!$E$3:$E$34579,'Shayak Income '!D652,'MPG Payment '!$I$3:$I$34579)</f>
        <v>2820.3</v>
      </c>
      <c r="N652" s="126">
        <f>SUMIF('MPG Payment '!$E$3:$E$34579,'Shayak Income '!D652,'MPG Payment '!$J$3:$J$34579)</f>
        <v>119134.2212404304</v>
      </c>
      <c r="O652" s="126">
        <f t="shared" si="195"/>
        <v>2115.2250000000004</v>
      </c>
      <c r="P652" s="126">
        <f t="shared" si="196"/>
        <v>2679.2849999999999</v>
      </c>
      <c r="Q652" s="126">
        <f>SUMIF('MPG Payment '!$E$3:$E$34579,'Shayak Income '!D652,'MPG Payment '!$S$3:$S$34579)</f>
        <v>493.54109832095003</v>
      </c>
      <c r="R652" s="126">
        <f t="shared" si="186"/>
        <v>3574.0266372129117</v>
      </c>
      <c r="S652" s="126">
        <f t="shared" si="187"/>
        <v>894.74163721291188</v>
      </c>
      <c r="T652" s="126">
        <f t="shared" si="197"/>
        <v>282.03000000000003</v>
      </c>
      <c r="U652" s="127">
        <f>(((IF(K652="New",0,SUMIF('MPG Payment '!$E$3:$E$34579,'Shayak Income '!D652,'MPG Payment '!$AC$3:$AC$34579))))+0)+0</f>
        <v>52.201859421706558</v>
      </c>
      <c r="V652" s="127">
        <f t="shared" si="198"/>
        <v>4954</v>
      </c>
      <c r="W652" s="19">
        <f t="shared" si="203"/>
        <v>2382.6844248086081</v>
      </c>
      <c r="X652" s="19">
        <v>0</v>
      </c>
      <c r="Y652" s="128">
        <f>IFERROR(VLOOKUP(D652,'Monthly Deduction'!$M$2:$N$64,2,0),0)</f>
        <v>0</v>
      </c>
      <c r="Z652" s="128">
        <v>0</v>
      </c>
      <c r="AA652" s="126">
        <f>IFERROR(VLOOKUP(D652,'Monthly Deduction'!A:B,2,0),0)</f>
        <v>0</v>
      </c>
      <c r="AB652" s="129">
        <f t="shared" si="189"/>
        <v>2571</v>
      </c>
      <c r="AC652" s="130">
        <f t="shared" ref="AC652:AC654" si="204">AB652</f>
        <v>2571</v>
      </c>
      <c r="AD652" s="35">
        <f t="shared" si="200"/>
        <v>0</v>
      </c>
      <c r="AE652" s="166" t="str">
        <f t="shared" si="201"/>
        <v>Yes</v>
      </c>
      <c r="AF652" s="127"/>
      <c r="AG652" s="18">
        <v>0</v>
      </c>
      <c r="AH652" s="120" t="s">
        <v>1646</v>
      </c>
      <c r="AI652" s="238">
        <v>17905</v>
      </c>
      <c r="AJ652" s="132"/>
      <c r="AK652" s="151">
        <v>848.6</v>
      </c>
      <c r="AL652" s="154">
        <f t="shared" si="190"/>
        <v>0</v>
      </c>
      <c r="AM652" s="155"/>
      <c r="AN652" s="19">
        <f t="shared" si="191"/>
        <v>2382.6844248086081</v>
      </c>
      <c r="AO652" s="118">
        <f>SUMIF('MPG Payment '!E:E,'Shayak Income '!D652,'MPG Payment '!AJ:AJ)</f>
        <v>0</v>
      </c>
      <c r="AP652" s="19">
        <f t="shared" si="192"/>
        <v>2382.6844248086081</v>
      </c>
      <c r="AQ652" s="119">
        <f t="shared" si="202"/>
        <v>2382.6844248086081</v>
      </c>
      <c r="AR652" s="91"/>
      <c r="AS652" s="91">
        <f t="shared" si="193"/>
        <v>4683</v>
      </c>
      <c r="AT652" s="118"/>
      <c r="AU652" s="118"/>
      <c r="AV652" s="118"/>
    </row>
    <row r="653" spans="1:48" s="20" customFormat="1" x14ac:dyDescent="0.25">
      <c r="A653" s="17">
        <f>IFERROR(VLOOKUP(D653,'Monthly Deduction'!$I$3:$J$957,2,0),0)</f>
        <v>77020.161626845482</v>
      </c>
      <c r="B653" s="17">
        <f>IFERROR(VLOOKUP(D653,'Monthly Deduction'!$E$3:$F$957,2,0),0)</f>
        <v>6400</v>
      </c>
      <c r="C653" s="17">
        <f t="shared" si="194"/>
        <v>83420.161626845482</v>
      </c>
      <c r="D653" s="41">
        <v>10570020</v>
      </c>
      <c r="E653" s="122" t="str">
        <f>VLOOKUP(D653,'MPG Payment '!$E$3:$G$498218,2,0)</f>
        <v>Ratni Chouk</v>
      </c>
      <c r="F653" s="146">
        <f>IFERROR(_xlfn.XLOOKUP(D653,'Monthly Deduction'!$I$3:$I$957,'Monthly Deduction'!$H$3:$H$957),0)</f>
        <v>0</v>
      </c>
      <c r="G653" s="123" t="str">
        <f>VLOOKUP(D653,'MPG Payment '!$E$3:$G$334579,3,0)</f>
        <v>MPG</v>
      </c>
      <c r="H653" s="124" t="str">
        <f>VLOOKUP(D653,'MPG Payment '!$E$3:$H$334579,4,0)</f>
        <v>Direct</v>
      </c>
      <c r="I653" s="88">
        <f>INDEX('MPG Payment '!$C:$C,MATCH('Shayak Income '!D653,'MPG Payment '!E:E,0))</f>
        <v>1057</v>
      </c>
      <c r="J653" s="88" t="str">
        <f>INDEX('MPG Payment '!$D:$D,MATCH('Shayak Income '!D653,'MPG Payment '!E:E,0))</f>
        <v>Warisnagar</v>
      </c>
      <c r="K653" s="125" t="s">
        <v>1322</v>
      </c>
      <c r="L653" s="125">
        <v>45970</v>
      </c>
      <c r="M653" s="126">
        <f>SUMIF('MPG Payment '!$E$3:$E$34579,'Shayak Income '!D653,'MPG Payment '!$I$3:$I$34579)</f>
        <v>3189.3</v>
      </c>
      <c r="N653" s="126">
        <f>SUMIF('MPG Payment '!$E$3:$E$34579,'Shayak Income '!D653,'MPG Payment '!$J$3:$J$34579)</f>
        <v>136190.69502993609</v>
      </c>
      <c r="O653" s="126">
        <f t="shared" si="195"/>
        <v>2391.9750000000004</v>
      </c>
      <c r="P653" s="126">
        <f t="shared" si="196"/>
        <v>3029.835</v>
      </c>
      <c r="Q653" s="126">
        <f>SUMIF('MPG Payment '!$E$3:$E$34579,'Shayak Income '!D653,'MPG Payment '!$S$3:$S$34579)</f>
        <v>0</v>
      </c>
      <c r="R653" s="126">
        <f t="shared" si="186"/>
        <v>4085.7208508980825</v>
      </c>
      <c r="S653" s="126">
        <f t="shared" si="187"/>
        <v>1055.8858508980825</v>
      </c>
      <c r="T653" s="126">
        <f t="shared" si="197"/>
        <v>318.93000000000006</v>
      </c>
      <c r="U653" s="127">
        <f>(((IF(K653="New",0,SUMIF('MPG Payment '!$E$3:$E$34579,'Shayak Income '!D653,'MPG Payment '!$AC$3:$AC$34579))))+0)+0</f>
        <v>0</v>
      </c>
      <c r="V653" s="127">
        <f t="shared" si="198"/>
        <v>5103</v>
      </c>
      <c r="W653" s="19">
        <f t="shared" si="203"/>
        <v>2723.8139005987218</v>
      </c>
      <c r="X653" s="19">
        <v>0</v>
      </c>
      <c r="Y653" s="128">
        <f>IFERROR(VLOOKUP(D653,'Monthly Deduction'!$M$2:$N$64,2,0),0)</f>
        <v>0</v>
      </c>
      <c r="Z653" s="128">
        <v>0</v>
      </c>
      <c r="AA653" s="126">
        <f>IFERROR(VLOOKUP(D653,'Monthly Deduction'!A:B,2,0),0)</f>
        <v>0</v>
      </c>
      <c r="AB653" s="129">
        <f t="shared" si="189"/>
        <v>2379</v>
      </c>
      <c r="AC653" s="130">
        <f t="shared" si="204"/>
        <v>2379</v>
      </c>
      <c r="AD653" s="35">
        <f t="shared" si="200"/>
        <v>0</v>
      </c>
      <c r="AE653" s="166" t="str">
        <f t="shared" si="201"/>
        <v>Yes</v>
      </c>
      <c r="AF653" s="127"/>
      <c r="AG653" s="18">
        <v>0</v>
      </c>
      <c r="AH653" s="120" t="s">
        <v>1646</v>
      </c>
      <c r="AI653" s="238">
        <v>17963</v>
      </c>
      <c r="AJ653" s="132"/>
      <c r="AK653" s="151">
        <v>738.8</v>
      </c>
      <c r="AL653" s="154">
        <f t="shared" si="190"/>
        <v>0</v>
      </c>
      <c r="AM653" s="155"/>
      <c r="AN653" s="19">
        <f t="shared" si="191"/>
        <v>2723.8139005987218</v>
      </c>
      <c r="AO653" s="118">
        <f>SUMIF('MPG Payment '!E:E,'Shayak Income '!D653,'MPG Payment '!AJ:AJ)</f>
        <v>0</v>
      </c>
      <c r="AP653" s="19">
        <f t="shared" si="192"/>
        <v>2723.8139005987218</v>
      </c>
      <c r="AQ653" s="119">
        <f t="shared" si="202"/>
        <v>2723.8139005987218</v>
      </c>
      <c r="AR653" s="91" t="s">
        <v>1168</v>
      </c>
      <c r="AS653" s="91">
        <f t="shared" si="193"/>
        <v>6400</v>
      </c>
      <c r="AT653" s="118"/>
      <c r="AU653" s="118"/>
      <c r="AV653" s="118"/>
    </row>
    <row r="654" spans="1:48" s="20" customFormat="1" x14ac:dyDescent="0.25">
      <c r="A654" s="17">
        <f>IFERROR(VLOOKUP(D654,'Monthly Deduction'!$I$3:$J$957,2,0),0)</f>
        <v>77127.6054</v>
      </c>
      <c r="B654" s="17">
        <f>IFERROR(VLOOKUP(D654,'Monthly Deduction'!$E$3:$F$957,2,0),0)</f>
        <v>4305.6054000000004</v>
      </c>
      <c r="C654" s="17">
        <f t="shared" si="194"/>
        <v>81433.210800000001</v>
      </c>
      <c r="D654" s="41">
        <v>10570021</v>
      </c>
      <c r="E654" s="122" t="str">
        <f>VLOOKUP(D654,'MPG Payment '!$E$3:$G$498218,2,0)</f>
        <v>Balahi 2</v>
      </c>
      <c r="F654" s="146">
        <f>IFERROR(_xlfn.XLOOKUP(D654,'Monthly Deduction'!$I$3:$I$957,'Monthly Deduction'!$H$3:$H$957),0)</f>
        <v>0</v>
      </c>
      <c r="G654" s="123" t="str">
        <f>VLOOKUP(D654,'MPG Payment '!$E$3:$G$334579,3,0)</f>
        <v>MPG</v>
      </c>
      <c r="H654" s="124" t="str">
        <f>VLOOKUP(D654,'MPG Payment '!$E$3:$H$334579,4,0)</f>
        <v>Direct</v>
      </c>
      <c r="I654" s="88">
        <f>INDEX('MPG Payment '!$C:$C,MATCH('Shayak Income '!D654,'MPG Payment '!E:E,0))</f>
        <v>1057</v>
      </c>
      <c r="J654" s="88" t="str">
        <f>INDEX('MPG Payment '!$D:$D,MATCH('Shayak Income '!D654,'MPG Payment '!E:E,0))</f>
        <v>Warisnagar</v>
      </c>
      <c r="K654" s="125" t="s">
        <v>1322</v>
      </c>
      <c r="L654" s="125">
        <v>45970</v>
      </c>
      <c r="M654" s="126">
        <f>SUMIF('MPG Payment '!$E$3:$E$34579,'Shayak Income '!D654,'MPG Payment '!$I$3:$I$34579)</f>
        <v>2730.2</v>
      </c>
      <c r="N654" s="126">
        <f>SUMIF('MPG Payment '!$E$3:$E$34579,'Shayak Income '!D654,'MPG Payment '!$J$3:$J$34579)</f>
        <v>96010.478268520004</v>
      </c>
      <c r="O654" s="126">
        <f t="shared" si="195"/>
        <v>2047.6499999999999</v>
      </c>
      <c r="P654" s="126">
        <f t="shared" si="196"/>
        <v>2593.6899999999996</v>
      </c>
      <c r="Q654" s="126">
        <f>SUMIF('MPG Payment '!$E$3:$E$34579,'Shayak Income '!D654,'MPG Payment '!$S$3:$S$34579)</f>
        <v>254.04749313300005</v>
      </c>
      <c r="R654" s="126">
        <f t="shared" si="186"/>
        <v>2880.3143480556</v>
      </c>
      <c r="S654" s="126">
        <f t="shared" si="187"/>
        <v>286.62434805560042</v>
      </c>
      <c r="T654" s="126">
        <f t="shared" si="197"/>
        <v>273.02</v>
      </c>
      <c r="U654" s="127">
        <f>(((IF(K654="New",0,SUMIF('MPG Payment '!$E$3:$E$34579,'Shayak Income '!D654,'MPG Payment '!$AC$3:$AC$34579))))+0)+0</f>
        <v>58.610549560332856</v>
      </c>
      <c r="V654" s="127">
        <f t="shared" si="198"/>
        <v>4564</v>
      </c>
      <c r="W654" s="19">
        <f t="shared" si="203"/>
        <v>1920.2095653704</v>
      </c>
      <c r="X654" s="19">
        <v>0</v>
      </c>
      <c r="Y654" s="128">
        <f>IFERROR(VLOOKUP(D654,'Monthly Deduction'!$M$2:$N$64,2,0),0)</f>
        <v>0</v>
      </c>
      <c r="Z654" s="128">
        <v>0</v>
      </c>
      <c r="AA654" s="126">
        <f>IFERROR(VLOOKUP(D654,'Monthly Deduction'!A:B,2,0),0)</f>
        <v>0</v>
      </c>
      <c r="AB654" s="129">
        <f t="shared" si="189"/>
        <v>2644</v>
      </c>
      <c r="AC654" s="130">
        <f t="shared" si="204"/>
        <v>2644</v>
      </c>
      <c r="AD654" s="35">
        <f t="shared" si="200"/>
        <v>0</v>
      </c>
      <c r="AE654" s="166" t="str">
        <f t="shared" si="201"/>
        <v>Yes</v>
      </c>
      <c r="AF654" s="127"/>
      <c r="AG654" s="127">
        <v>0</v>
      </c>
      <c r="AH654" s="120" t="s">
        <v>1646</v>
      </c>
      <c r="AI654" s="238">
        <v>17944</v>
      </c>
      <c r="AJ654" s="132"/>
      <c r="AK654" s="151">
        <v>688.69999999999993</v>
      </c>
      <c r="AL654" s="154">
        <f t="shared" si="190"/>
        <v>0</v>
      </c>
      <c r="AM654" s="155"/>
      <c r="AN654" s="19">
        <f t="shared" si="191"/>
        <v>1920.2095653704</v>
      </c>
      <c r="AO654" s="118">
        <f>SUMIF('MPG Payment '!E:E,'Shayak Income '!D654,'MPG Payment '!AJ:AJ)</f>
        <v>0</v>
      </c>
      <c r="AP654" s="19">
        <f t="shared" si="192"/>
        <v>1920.2095653704</v>
      </c>
      <c r="AQ654" s="119">
        <f t="shared" si="202"/>
        <v>1920.2095653704</v>
      </c>
      <c r="AR654" s="91" t="s">
        <v>1168</v>
      </c>
      <c r="AS654" s="91">
        <f t="shared" si="193"/>
        <v>4305.6054000000004</v>
      </c>
      <c r="AT654" s="118"/>
      <c r="AU654" s="118"/>
      <c r="AV654" s="118"/>
    </row>
    <row r="655" spans="1:48" s="20" customFormat="1" x14ac:dyDescent="0.25">
      <c r="A655" s="17">
        <f>IFERROR(VLOOKUP(D655,'Monthly Deduction'!$I$3:$J$957,2,0),0)</f>
        <v>0</v>
      </c>
      <c r="B655" s="17">
        <f>IFERROR(VLOOKUP(D655,'Monthly Deduction'!$E$3:$F$957,2,0),0)</f>
        <v>0</v>
      </c>
      <c r="C655" s="17">
        <f t="shared" si="194"/>
        <v>0</v>
      </c>
      <c r="D655" s="41">
        <v>10570022</v>
      </c>
      <c r="E655" s="122" t="str">
        <f>VLOOKUP(D655,'MPG Payment '!$E$3:$G$498218,2,0)</f>
        <v>Chandauli</v>
      </c>
      <c r="F655" s="146">
        <f>IFERROR(_xlfn.XLOOKUP(D655,'Monthly Deduction'!$I$3:$I$957,'Monthly Deduction'!$H$3:$H$957),0)</f>
        <v>0</v>
      </c>
      <c r="G655" s="123" t="str">
        <f>VLOOKUP(D655,'MPG Payment '!$E$3:$G$334579,3,0)</f>
        <v>vlc</v>
      </c>
      <c r="H655" s="124" t="str">
        <f>VLOOKUP(D655,'MPG Payment '!$E$3:$H$334579,4,0)</f>
        <v>Indirect</v>
      </c>
      <c r="I655" s="88">
        <f>INDEX('MPG Payment '!$C:$C,MATCH('Shayak Income '!D655,'MPG Payment '!E:E,0))</f>
        <v>1057</v>
      </c>
      <c r="J655" s="88" t="str">
        <f>INDEX('MPG Payment '!$D:$D,MATCH('Shayak Income '!D655,'MPG Payment '!E:E,0))</f>
        <v>Warisnagar</v>
      </c>
      <c r="K655" s="125" t="s">
        <v>1322</v>
      </c>
      <c r="L655" s="125">
        <v>45970</v>
      </c>
      <c r="M655" s="126">
        <f>SUMIF('MPG Payment '!$E$3:$E$34579,'Shayak Income '!D655,'MPG Payment '!$I$3:$I$34579)</f>
        <v>1738.8999999999999</v>
      </c>
      <c r="N655" s="126">
        <f>SUMIF('MPG Payment '!$E$3:$E$34579,'Shayak Income '!D655,'MPG Payment '!$J$3:$J$34579)</f>
        <v>79520.734019073207</v>
      </c>
      <c r="O655" s="126">
        <f t="shared" si="195"/>
        <v>1304.175</v>
      </c>
      <c r="P655" s="126">
        <f t="shared" si="196"/>
        <v>1651.9549999999997</v>
      </c>
      <c r="Q655" s="126">
        <f>SUMIF('MPG Payment '!$E$3:$E$34579,'Shayak Income '!D655,'MPG Payment '!$S$3:$S$34579)</f>
        <v>0</v>
      </c>
      <c r="R655" s="126">
        <f t="shared" si="186"/>
        <v>2385.6220205721961</v>
      </c>
      <c r="S655" s="126">
        <f t="shared" si="187"/>
        <v>733.66702057219641</v>
      </c>
      <c r="T655" s="126">
        <f t="shared" si="197"/>
        <v>173.89</v>
      </c>
      <c r="U655" s="127">
        <f>(((IF(K655="New",0,SUMIF('MPG Payment '!$E$3:$E$34579,'Shayak Income '!D655,'MPG Payment '!$AC$3:$AC$34579))))+0)+0</f>
        <v>999.06689342956497</v>
      </c>
      <c r="V655" s="127">
        <f t="shared" si="198"/>
        <v>1783</v>
      </c>
      <c r="W655" s="19">
        <f t="shared" si="203"/>
        <v>0</v>
      </c>
      <c r="X655" s="19">
        <f t="shared" si="188"/>
        <v>0</v>
      </c>
      <c r="Y655" s="128">
        <f>IFERROR(VLOOKUP(D655,'Monthly Deduction'!$M$2:$N$64,2,0),0)</f>
        <v>0</v>
      </c>
      <c r="Z655" s="128">
        <v>0</v>
      </c>
      <c r="AA655" s="126">
        <f>IFERROR(VLOOKUP(D655,'Monthly Deduction'!A:B,2,0),0)</f>
        <v>0</v>
      </c>
      <c r="AB655" s="129">
        <f t="shared" si="189"/>
        <v>1783</v>
      </c>
      <c r="AC655" s="130">
        <v>0</v>
      </c>
      <c r="AD655" s="35">
        <f t="shared" si="200"/>
        <v>1783</v>
      </c>
      <c r="AE655" s="166" t="str">
        <f t="shared" si="201"/>
        <v>Release</v>
      </c>
      <c r="AF655" s="127"/>
      <c r="AG655" s="18">
        <v>0</v>
      </c>
      <c r="AH655" s="132"/>
      <c r="AI655" s="238">
        <v>0</v>
      </c>
      <c r="AJ655" s="132"/>
      <c r="AK655" s="151">
        <v>358.4</v>
      </c>
      <c r="AL655" s="154">
        <f t="shared" si="190"/>
        <v>0</v>
      </c>
      <c r="AM655" s="155"/>
      <c r="AN655" s="19">
        <f t="shared" si="191"/>
        <v>0</v>
      </c>
      <c r="AO655" s="118">
        <f>SUMIF('MPG Payment '!E:E,'Shayak Income '!D655,'MPG Payment '!AJ:AJ)</f>
        <v>0</v>
      </c>
      <c r="AP655" s="19">
        <f t="shared" si="192"/>
        <v>0</v>
      </c>
      <c r="AQ655" s="119">
        <f t="shared" si="202"/>
        <v>0</v>
      </c>
      <c r="AR655" s="91" t="s">
        <v>1168</v>
      </c>
      <c r="AS655" s="91">
        <f t="shared" si="193"/>
        <v>0</v>
      </c>
      <c r="AT655" s="118"/>
      <c r="AU655" s="118"/>
      <c r="AV655" s="118"/>
    </row>
    <row r="656" spans="1:48" s="20" customFormat="1" x14ac:dyDescent="0.25">
      <c r="A656" s="17">
        <f>IFERROR(VLOOKUP(D656,'Monthly Deduction'!$I$3:$J$957,2,0),0)</f>
        <v>0</v>
      </c>
      <c r="B656" s="17">
        <f>IFERROR(VLOOKUP(D656,'Monthly Deduction'!$E$3:$F$957,2,0),0)</f>
        <v>0</v>
      </c>
      <c r="C656" s="17">
        <f t="shared" si="194"/>
        <v>0</v>
      </c>
      <c r="D656" s="41">
        <v>10570024</v>
      </c>
      <c r="E656" s="122" t="str">
        <f>VLOOKUP(D656,'MPG Payment '!$E$3:$G$498218,2,0)</f>
        <v>Gulabi Choak</v>
      </c>
      <c r="F656" s="146">
        <f>IFERROR(_xlfn.XLOOKUP(D656,'Monthly Deduction'!$I$3:$I$957,'Monthly Deduction'!$H$3:$H$957),0)</f>
        <v>0</v>
      </c>
      <c r="G656" s="123" t="str">
        <f>VLOOKUP(D656,'MPG Payment '!$E$3:$G$334579,3,0)</f>
        <v>vlc</v>
      </c>
      <c r="H656" s="124" t="str">
        <f>VLOOKUP(D656,'MPG Payment '!$E$3:$H$334579,4,0)</f>
        <v>Indirect</v>
      </c>
      <c r="I656" s="88">
        <f>INDEX('MPG Payment '!$C:$C,MATCH('Shayak Income '!D656,'MPG Payment '!E:E,0))</f>
        <v>1057</v>
      </c>
      <c r="J656" s="88" t="str">
        <f>INDEX('MPG Payment '!$D:$D,MATCH('Shayak Income '!D656,'MPG Payment '!E:E,0))</f>
        <v>Warisnagar</v>
      </c>
      <c r="K656" s="125" t="s">
        <v>1322</v>
      </c>
      <c r="L656" s="125">
        <v>45970</v>
      </c>
      <c r="M656" s="126">
        <f>SUMIF('MPG Payment '!$E$3:$E$34579,'Shayak Income '!D656,'MPG Payment '!$I$3:$I$34579)</f>
        <v>3321.9</v>
      </c>
      <c r="N656" s="126">
        <f>SUMIF('MPG Payment '!$E$3:$E$34579,'Shayak Income '!D656,'MPG Payment '!$J$3:$J$34579)</f>
        <v>122357.89816005999</v>
      </c>
      <c r="O656" s="126">
        <f t="shared" si="195"/>
        <v>2491.4250000000002</v>
      </c>
      <c r="P656" s="126">
        <f t="shared" si="196"/>
        <v>3155.8049999999998</v>
      </c>
      <c r="Q656" s="126">
        <f>SUMIF('MPG Payment '!$E$3:$E$34579,'Shayak Income '!D656,'MPG Payment '!$S$3:$S$34579)</f>
        <v>0</v>
      </c>
      <c r="R656" s="126">
        <f t="shared" si="186"/>
        <v>3670.7369448017998</v>
      </c>
      <c r="S656" s="126">
        <f t="shared" si="187"/>
        <v>514.9319448018</v>
      </c>
      <c r="T656" s="126">
        <f t="shared" si="197"/>
        <v>332.19000000000005</v>
      </c>
      <c r="U656" s="127">
        <f>(((IF(K656="New",0,SUMIF('MPG Payment '!$E$3:$E$34579,'Shayak Income '!D656,'MPG Payment '!$AC$3:$AC$34579))))+0)+0</f>
        <v>0</v>
      </c>
      <c r="V656" s="127">
        <f t="shared" si="198"/>
        <v>5315</v>
      </c>
      <c r="W656" s="19">
        <f t="shared" si="203"/>
        <v>0</v>
      </c>
      <c r="X656" s="19">
        <f t="shared" si="188"/>
        <v>0</v>
      </c>
      <c r="Y656" s="128">
        <f>IFERROR(VLOOKUP(D656,'Monthly Deduction'!$M$2:$N$64,2,0),0)</f>
        <v>0</v>
      </c>
      <c r="Z656" s="128">
        <v>0</v>
      </c>
      <c r="AA656" s="126">
        <f>IFERROR(VLOOKUP(D656,'Monthly Deduction'!A:B,2,0),0)</f>
        <v>0</v>
      </c>
      <c r="AB656" s="129">
        <f t="shared" si="189"/>
        <v>5315</v>
      </c>
      <c r="AC656" s="130">
        <v>0</v>
      </c>
      <c r="AD656" s="35">
        <f t="shared" si="200"/>
        <v>5315</v>
      </c>
      <c r="AE656" s="166" t="str">
        <f t="shared" si="201"/>
        <v>Release</v>
      </c>
      <c r="AF656" s="127"/>
      <c r="AG656" s="18">
        <v>0</v>
      </c>
      <c r="AH656" s="120"/>
      <c r="AI656" s="238">
        <v>0</v>
      </c>
      <c r="AJ656" s="132"/>
      <c r="AK656" s="151">
        <v>841.2</v>
      </c>
      <c r="AL656" s="154">
        <f t="shared" si="190"/>
        <v>0</v>
      </c>
      <c r="AM656" s="155"/>
      <c r="AN656" s="19">
        <f t="shared" si="191"/>
        <v>0</v>
      </c>
      <c r="AO656" s="118">
        <f>SUMIF('MPG Payment '!E:E,'Shayak Income '!D656,'MPG Payment '!AJ:AJ)</f>
        <v>0</v>
      </c>
      <c r="AP656" s="19">
        <f t="shared" si="192"/>
        <v>0</v>
      </c>
      <c r="AQ656" s="119">
        <f t="shared" si="202"/>
        <v>0</v>
      </c>
      <c r="AR656" s="91" t="s">
        <v>1168</v>
      </c>
      <c r="AS656" s="91">
        <f t="shared" si="193"/>
        <v>0</v>
      </c>
      <c r="AT656" s="118"/>
      <c r="AU656" s="118"/>
      <c r="AV656" s="118"/>
    </row>
    <row r="657" spans="1:48" s="20" customFormat="1" x14ac:dyDescent="0.25">
      <c r="A657" s="17">
        <f>IFERROR(VLOOKUP(D657,'Monthly Deduction'!$I$3:$J$957,2,0),0)</f>
        <v>85437</v>
      </c>
      <c r="B657" s="17">
        <f>IFERROR(VLOOKUP(D657,'Monthly Deduction'!$E$3:$F$957,2,0),0)</f>
        <v>6400</v>
      </c>
      <c r="C657" s="17">
        <f t="shared" si="194"/>
        <v>91837</v>
      </c>
      <c r="D657" s="41">
        <v>10580002</v>
      </c>
      <c r="E657" s="122" t="str">
        <f>VLOOKUP(D657,'MPG Payment '!$E$3:$G$498218,2,0)</f>
        <v>Sakhwa Ghat</v>
      </c>
      <c r="F657" s="146">
        <f>IFERROR(_xlfn.XLOOKUP(D657,'Monthly Deduction'!$I$3:$I$957,'Monthly Deduction'!$H$3:$H$957),0)</f>
        <v>0</v>
      </c>
      <c r="G657" s="123" t="str">
        <f>VLOOKUP(D657,'MPG Payment '!$E$3:$G$334579,3,0)</f>
        <v>MPG</v>
      </c>
      <c r="H657" s="124" t="str">
        <f>VLOOKUP(D657,'MPG Payment '!$E$3:$H$334579,4,0)</f>
        <v>Direct</v>
      </c>
      <c r="I657" s="88">
        <f>INDEX('MPG Payment '!$C:$C,MATCH('Shayak Income '!D657,'MPG Payment '!E:E,0))</f>
        <v>1058</v>
      </c>
      <c r="J657" s="88" t="str">
        <f>INDEX('MPG Payment '!$D:$D,MATCH('Shayak Income '!D657,'MPG Payment '!E:E,0))</f>
        <v>Hasanpur</v>
      </c>
      <c r="K657" s="125" t="s">
        <v>1322</v>
      </c>
      <c r="L657" s="125">
        <v>45968</v>
      </c>
      <c r="M657" s="126">
        <f>SUMIF('MPG Payment '!$E$3:$E$34579,'Shayak Income '!D657,'MPG Payment '!$I$3:$I$34579)</f>
        <v>1498.5999999999997</v>
      </c>
      <c r="N657" s="126">
        <f>SUMIF('MPG Payment '!$E$3:$E$34579,'Shayak Income '!D657,'MPG Payment '!$J$3:$J$34579)</f>
        <v>59978.407660753008</v>
      </c>
      <c r="O657" s="126">
        <f t="shared" si="195"/>
        <v>1123.9499999999998</v>
      </c>
      <c r="P657" s="126">
        <f t="shared" si="196"/>
        <v>1423.6699999999996</v>
      </c>
      <c r="Q657" s="126">
        <f>SUMIF('MPG Payment '!$E$3:$E$34579,'Shayak Income '!D657,'MPG Payment '!$S$3:$S$34579)</f>
        <v>879.27962012700016</v>
      </c>
      <c r="R657" s="126">
        <f t="shared" si="186"/>
        <v>1799.3522298225901</v>
      </c>
      <c r="S657" s="126">
        <f t="shared" si="187"/>
        <v>375.68222982259044</v>
      </c>
      <c r="T657" s="126">
        <f t="shared" si="197"/>
        <v>149.85999999999999</v>
      </c>
      <c r="U657" s="127">
        <f>(((IF(K657="New",0,SUMIF('MPG Payment '!$E$3:$E$34579,'Shayak Income '!D657,'MPG Payment '!$AC$3:$AC$34579))))+0)+0</f>
        <v>1043.8829641696257</v>
      </c>
      <c r="V657" s="127">
        <f t="shared" si="198"/>
        <v>2233</v>
      </c>
      <c r="W657" s="19">
        <f t="shared" si="203"/>
        <v>1861</v>
      </c>
      <c r="X657" s="19">
        <v>0</v>
      </c>
      <c r="Y657" s="128">
        <f>IFERROR(VLOOKUP(D657,'Monthly Deduction'!$M$2:$N$64,2,0),0)</f>
        <v>0</v>
      </c>
      <c r="Z657" s="128">
        <v>0</v>
      </c>
      <c r="AA657" s="126">
        <f>IFERROR(VLOOKUP(D657,'Monthly Deduction'!A:B,2,0),0)</f>
        <v>0</v>
      </c>
      <c r="AB657" s="129">
        <f t="shared" si="189"/>
        <v>372</v>
      </c>
      <c r="AC657" s="130">
        <v>0</v>
      </c>
      <c r="AD657" s="35">
        <f t="shared" si="200"/>
        <v>372</v>
      </c>
      <c r="AE657" s="166" t="str">
        <f t="shared" si="201"/>
        <v>Release</v>
      </c>
      <c r="AF657" s="127"/>
      <c r="AG657" s="18">
        <v>0</v>
      </c>
      <c r="AH657" s="120"/>
      <c r="AI657" s="238">
        <v>0</v>
      </c>
      <c r="AJ657" s="132"/>
      <c r="AK657" s="151">
        <v>290.10000000000002</v>
      </c>
      <c r="AL657" s="154">
        <f t="shared" si="190"/>
        <v>0</v>
      </c>
      <c r="AM657" s="155"/>
      <c r="AN657" s="19">
        <f t="shared" si="191"/>
        <v>1861</v>
      </c>
      <c r="AO657" s="118">
        <f>SUMIF('MPG Payment '!E:E,'Shayak Income '!D657,'MPG Payment '!AJ:AJ)</f>
        <v>0</v>
      </c>
      <c r="AP657" s="19">
        <f t="shared" si="192"/>
        <v>1861</v>
      </c>
      <c r="AQ657" s="119">
        <f t="shared" si="202"/>
        <v>1861</v>
      </c>
      <c r="AR657" s="91" t="s">
        <v>1168</v>
      </c>
      <c r="AS657" s="91">
        <f t="shared" si="193"/>
        <v>6400</v>
      </c>
      <c r="AT657" s="118"/>
      <c r="AU657" s="118"/>
      <c r="AV657" s="118"/>
    </row>
    <row r="658" spans="1:48" s="20" customFormat="1" x14ac:dyDescent="0.25">
      <c r="A658" s="17">
        <f>IFERROR(VLOOKUP(D658,'Monthly Deduction'!$I$3:$J$957,2,0),0)</f>
        <v>0</v>
      </c>
      <c r="B658" s="17">
        <f>IFERROR(VLOOKUP(D658,'Monthly Deduction'!$E$3:$F$957,2,0),0)</f>
        <v>0</v>
      </c>
      <c r="C658" s="17">
        <f t="shared" si="194"/>
        <v>0</v>
      </c>
      <c r="D658" s="41">
        <v>10020013</v>
      </c>
      <c r="E658" s="122" t="str">
        <f>VLOOKUP(D658,'MPG Payment '!$E$3:$G$498218,2,0)</f>
        <v>Vikash Kumar</v>
      </c>
      <c r="F658" s="146">
        <f>IFERROR(_xlfn.XLOOKUP(D658,'Monthly Deduction'!$I$3:$I$957,'Monthly Deduction'!$H$3:$H$957),0)</f>
        <v>0</v>
      </c>
      <c r="G658" s="123" t="str">
        <f>VLOOKUP(D658,'MPG Payment '!$E$3:$G$334579,3,0)</f>
        <v>vlc</v>
      </c>
      <c r="H658" s="124" t="str">
        <f>VLOOKUP(D658,'MPG Payment '!$E$3:$H$334579,4,0)</f>
        <v>Indirect</v>
      </c>
      <c r="I658" s="88">
        <f>INDEX('MPG Payment '!$C:$C,MATCH('Shayak Income '!D658,'MPG Payment '!E:E,0))</f>
        <v>1002</v>
      </c>
      <c r="J658" s="88" t="str">
        <f>INDEX('MPG Payment '!$D:$D,MATCH('Shayak Income '!D658,'MPG Payment '!E:E,0))</f>
        <v>Laldiyara</v>
      </c>
      <c r="K658" s="125" t="s">
        <v>1322</v>
      </c>
      <c r="L658" s="125">
        <v>44457</v>
      </c>
      <c r="M658" s="126">
        <f>SUMIF('MPG Payment '!$E$3:$E$34579,'Shayak Income '!D658,'MPG Payment '!$I$3:$I$34579)</f>
        <v>2023.3000000000002</v>
      </c>
      <c r="N658" s="126">
        <f>SUMIF('MPG Payment '!$E$3:$E$34579,'Shayak Income '!D658,'MPG Payment '!$J$3:$J$34579)</f>
        <v>79953.242265757202</v>
      </c>
      <c r="O658" s="126">
        <f t="shared" si="195"/>
        <v>1517.4750000000001</v>
      </c>
      <c r="P658" s="126">
        <f t="shared" si="196"/>
        <v>1922.135</v>
      </c>
      <c r="Q658" s="126">
        <f>SUMIF('MPG Payment '!$E$3:$E$34579,'Shayak Income '!D658,'MPG Payment '!$S$3:$S$34579)</f>
        <v>0</v>
      </c>
      <c r="R658" s="126">
        <f t="shared" si="186"/>
        <v>2398.5972679727161</v>
      </c>
      <c r="S658" s="126">
        <f t="shared" si="187"/>
        <v>476.46226797271606</v>
      </c>
      <c r="T658" s="126">
        <f t="shared" si="197"/>
        <v>202.33000000000004</v>
      </c>
      <c r="U658" s="127">
        <f>(((IF(K658="New",0,SUMIF('MPG Payment '!$E$3:$E$34579,'Shayak Income '!D658,'MPG Payment '!$AC$3:$AC$34579))))+0)+0</f>
        <v>459.13682575272378</v>
      </c>
      <c r="V658" s="127">
        <f t="shared" si="198"/>
        <v>2778</v>
      </c>
      <c r="W658" s="19">
        <f t="shared" si="203"/>
        <v>0</v>
      </c>
      <c r="X658" s="19">
        <f t="shared" si="188"/>
        <v>0</v>
      </c>
      <c r="Y658" s="128">
        <f>IFERROR(VLOOKUP(D658,'Monthly Deduction'!$M$2:$N$64,2,0),0)</f>
        <v>0</v>
      </c>
      <c r="Z658" s="128">
        <v>0</v>
      </c>
      <c r="AA658" s="126">
        <f>IFERROR(VLOOKUP(D658,'Monthly Deduction'!A:B,2,0),0)</f>
        <v>0</v>
      </c>
      <c r="AB658" s="129">
        <f t="shared" si="189"/>
        <v>2778</v>
      </c>
      <c r="AC658" s="130">
        <v>0</v>
      </c>
      <c r="AD658" s="35">
        <f t="shared" si="200"/>
        <v>2778</v>
      </c>
      <c r="AE658" s="166" t="str">
        <f t="shared" si="201"/>
        <v>Release</v>
      </c>
      <c r="AF658" s="127"/>
      <c r="AG658" s="18">
        <v>0</v>
      </c>
      <c r="AH658" s="120"/>
      <c r="AI658" s="238">
        <v>0</v>
      </c>
      <c r="AJ658" s="132"/>
      <c r="AK658" s="151">
        <v>655</v>
      </c>
      <c r="AL658" s="154">
        <f t="shared" si="190"/>
        <v>0</v>
      </c>
      <c r="AM658" s="155"/>
      <c r="AN658" s="19">
        <f t="shared" si="191"/>
        <v>0</v>
      </c>
      <c r="AO658" s="118">
        <f>SUMIF('MPG Payment '!E:E,'Shayak Income '!D658,'MPG Payment '!AJ:AJ)</f>
        <v>0</v>
      </c>
      <c r="AP658" s="19">
        <f t="shared" si="192"/>
        <v>0</v>
      </c>
      <c r="AQ658" s="119">
        <f t="shared" si="202"/>
        <v>0</v>
      </c>
      <c r="AR658" s="91" t="s">
        <v>1168</v>
      </c>
      <c r="AS658" s="91">
        <f t="shared" si="193"/>
        <v>0</v>
      </c>
      <c r="AT658" s="118"/>
      <c r="AU658" s="118"/>
      <c r="AV658" s="118"/>
    </row>
    <row r="659" spans="1:48" s="20" customFormat="1" x14ac:dyDescent="0.25">
      <c r="A659" s="17">
        <f>IFERROR(VLOOKUP(D659,'Monthly Deduction'!$I$3:$J$957,2,0),0)</f>
        <v>83226.514972060002</v>
      </c>
      <c r="B659" s="17">
        <f>IFERROR(VLOOKUP(D659,'Monthly Deduction'!$E$3:$F$957,2,0),0)</f>
        <v>0</v>
      </c>
      <c r="C659" s="17">
        <f t="shared" si="194"/>
        <v>83226.514972060002</v>
      </c>
      <c r="D659" s="41">
        <v>10020084</v>
      </c>
      <c r="E659" s="122" t="str">
        <f>VLOOKUP(D659,'MPG Payment '!$E$3:$G$498218,2,0)</f>
        <v>MANOHARPUR</v>
      </c>
      <c r="F659" s="146">
        <f>IFERROR(_xlfn.XLOOKUP(D659,'Monthly Deduction'!$I$3:$I$957,'Monthly Deduction'!$H$3:$H$957),0)</f>
        <v>0</v>
      </c>
      <c r="G659" s="123" t="str">
        <f>VLOOKUP(D659,'MPG Payment '!$E$3:$G$334579,3,0)</f>
        <v>MPG</v>
      </c>
      <c r="H659" s="124" t="str">
        <f>VLOOKUP(D659,'MPG Payment '!$E$3:$H$334579,4,0)</f>
        <v>Direct</v>
      </c>
      <c r="I659" s="88">
        <f>INDEX('MPG Payment '!$C:$C,MATCH('Shayak Income '!D659,'MPG Payment '!E:E,0))</f>
        <v>1002</v>
      </c>
      <c r="J659" s="88" t="str">
        <f>INDEX('MPG Payment '!$D:$D,MATCH('Shayak Income '!D659,'MPG Payment '!E:E,0))</f>
        <v>Laldiyara</v>
      </c>
      <c r="K659" s="125" t="s">
        <v>1322</v>
      </c>
      <c r="L659" s="125">
        <v>45980</v>
      </c>
      <c r="M659" s="126">
        <f>SUMIF('MPG Payment '!$E$3:$E$34579,'Shayak Income '!D659,'MPG Payment '!$I$3:$I$34579)</f>
        <v>3901.4</v>
      </c>
      <c r="N659" s="126">
        <f>SUMIF('MPG Payment '!$E$3:$E$34579,'Shayak Income '!D659,'MPG Payment '!$J$3:$J$34579)</f>
        <v>148903.84672641003</v>
      </c>
      <c r="O659" s="126">
        <f t="shared" si="195"/>
        <v>2926.05</v>
      </c>
      <c r="P659" s="126">
        <f t="shared" si="196"/>
        <v>3706.33</v>
      </c>
      <c r="Q659" s="126">
        <f>SUMIF('MPG Payment '!$E$3:$E$34579,'Shayak Income '!D659,'MPG Payment '!$S$3:$S$34579)</f>
        <v>0</v>
      </c>
      <c r="R659" s="126">
        <f t="shared" si="186"/>
        <v>4467.1154017923009</v>
      </c>
      <c r="S659" s="126">
        <f t="shared" si="187"/>
        <v>760.78540179230095</v>
      </c>
      <c r="T659" s="126">
        <f t="shared" si="197"/>
        <v>390.14000000000004</v>
      </c>
      <c r="U659" s="127">
        <f>(((IF(K659="New",0,SUMIF('MPG Payment '!$E$3:$E$34579,'Shayak Income '!D659,'MPG Payment '!$AC$3:$AC$34579))))+0)+0</f>
        <v>0</v>
      </c>
      <c r="V659" s="127">
        <f t="shared" si="198"/>
        <v>6242</v>
      </c>
      <c r="W659" s="19">
        <f t="shared" si="203"/>
        <v>2978.0769345282006</v>
      </c>
      <c r="X659" s="19">
        <v>0</v>
      </c>
      <c r="Y659" s="128">
        <f>IFERROR(VLOOKUP(D659,'Monthly Deduction'!$M$2:$N$64,2,0),0)</f>
        <v>0</v>
      </c>
      <c r="Z659" s="128">
        <v>0</v>
      </c>
      <c r="AA659" s="126">
        <f>IFERROR(VLOOKUP(D659,'Monthly Deduction'!A:B,2,0),0)</f>
        <v>0</v>
      </c>
      <c r="AB659" s="129">
        <f t="shared" si="189"/>
        <v>3264</v>
      </c>
      <c r="AC659" s="130">
        <v>0</v>
      </c>
      <c r="AD659" s="35">
        <f t="shared" si="200"/>
        <v>3264</v>
      </c>
      <c r="AE659" s="166" t="str">
        <f t="shared" si="201"/>
        <v>Release</v>
      </c>
      <c r="AF659" s="127"/>
      <c r="AG659" s="18">
        <v>0</v>
      </c>
      <c r="AH659" s="132"/>
      <c r="AI659" s="238">
        <v>0</v>
      </c>
      <c r="AJ659" s="132"/>
      <c r="AK659" s="151">
        <v>992.19999999999993</v>
      </c>
      <c r="AL659" s="154">
        <f t="shared" si="190"/>
        <v>0</v>
      </c>
      <c r="AM659" s="155"/>
      <c r="AN659" s="19">
        <f t="shared" si="191"/>
        <v>2978.0769345282006</v>
      </c>
      <c r="AO659" s="118">
        <f>SUMIF('MPG Payment '!E:E,'Shayak Income '!D659,'MPG Payment '!AJ:AJ)</f>
        <v>0</v>
      </c>
      <c r="AP659" s="19">
        <f t="shared" si="192"/>
        <v>2978.0769345282006</v>
      </c>
      <c r="AQ659" s="119">
        <f t="shared" si="202"/>
        <v>2978.0769345282006</v>
      </c>
      <c r="AR659" s="91" t="s">
        <v>1168</v>
      </c>
      <c r="AS659" s="91">
        <f t="shared" si="193"/>
        <v>0</v>
      </c>
      <c r="AT659" s="118"/>
      <c r="AU659" s="118"/>
      <c r="AV659" s="118"/>
    </row>
    <row r="660" spans="1:48" s="20" customFormat="1" x14ac:dyDescent="0.25">
      <c r="A660" s="17">
        <f>IFERROR(VLOOKUP(D660,'Monthly Deduction'!$I$3:$J$957,2,0),0)</f>
        <v>86100</v>
      </c>
      <c r="B660" s="17">
        <f>IFERROR(VLOOKUP(D660,'Monthly Deduction'!$E$3:$F$957,2,0),0)</f>
        <v>0</v>
      </c>
      <c r="C660" s="17">
        <f t="shared" si="194"/>
        <v>86100</v>
      </c>
      <c r="D660" s="41">
        <v>10030078</v>
      </c>
      <c r="E660" s="122" t="str">
        <f>VLOOKUP(D660,'MPG Payment '!$E$3:$G$498218,2,0)</f>
        <v>BALADEV ITAHARI</v>
      </c>
      <c r="F660" s="146">
        <f>IFERROR(_xlfn.XLOOKUP(D660,'Monthly Deduction'!$I$3:$I$957,'Monthly Deduction'!$H$3:$H$957),0)</f>
        <v>0</v>
      </c>
      <c r="G660" s="123" t="str">
        <f>VLOOKUP(D660,'MPG Payment '!$E$3:$G$334579,3,0)</f>
        <v>MPG</v>
      </c>
      <c r="H660" s="124" t="str">
        <f>VLOOKUP(D660,'MPG Payment '!$E$3:$H$334579,4,0)</f>
        <v>Direct</v>
      </c>
      <c r="I660" s="88">
        <f>INDEX('MPG Payment '!$C:$C,MATCH('Shayak Income '!D660,'MPG Payment '!E:E,0))</f>
        <v>1003</v>
      </c>
      <c r="J660" s="88" t="str">
        <f>INDEX('MPG Payment '!$D:$D,MATCH('Shayak Income '!D660,'MPG Payment '!E:E,0))</f>
        <v>Asarganj</v>
      </c>
      <c r="K660" s="125" t="s">
        <v>1322</v>
      </c>
      <c r="L660" s="125">
        <v>45979</v>
      </c>
      <c r="M660" s="126">
        <f>SUMIF('MPG Payment '!$E$3:$E$34579,'Shayak Income '!D660,'MPG Payment '!$I$3:$I$34579)</f>
        <v>2028.85</v>
      </c>
      <c r="N660" s="126">
        <f>SUMIF('MPG Payment '!$E$3:$E$34579,'Shayak Income '!D660,'MPG Payment '!$J$3:$J$34579)</f>
        <v>73976.199233719992</v>
      </c>
      <c r="O660" s="126">
        <f t="shared" si="195"/>
        <v>1521.6374999999998</v>
      </c>
      <c r="P660" s="126">
        <f t="shared" si="196"/>
        <v>1927.4074999999998</v>
      </c>
      <c r="Q660" s="126">
        <f>SUMIF('MPG Payment '!$E$3:$E$34579,'Shayak Income '!D660,'MPG Payment '!$S$3:$S$34579)</f>
        <v>0</v>
      </c>
      <c r="R660" s="126">
        <f t="shared" si="186"/>
        <v>2219.2859770115997</v>
      </c>
      <c r="S660" s="126">
        <f t="shared" si="187"/>
        <v>291.8784770115999</v>
      </c>
      <c r="T660" s="126">
        <f t="shared" si="197"/>
        <v>202.88499999999999</v>
      </c>
      <c r="U660" s="127">
        <f>(((IF(K660="New",0,SUMIF('MPG Payment '!$E$3:$E$34579,'Shayak Income '!D660,'MPG Payment '!$AC$3:$AC$34579))))+0)+0</f>
        <v>559.44172366999828</v>
      </c>
      <c r="V660" s="127">
        <f t="shared" si="198"/>
        <v>2687</v>
      </c>
      <c r="W660" s="19">
        <f t="shared" si="203"/>
        <v>1861</v>
      </c>
      <c r="X660" s="19">
        <v>0</v>
      </c>
      <c r="Y660" s="128">
        <f>IFERROR(VLOOKUP(D660,'Monthly Deduction'!$M$2:$N$64,2,0),0)</f>
        <v>0</v>
      </c>
      <c r="Z660" s="128">
        <v>0</v>
      </c>
      <c r="AA660" s="126">
        <f>IFERROR(VLOOKUP(D660,'Monthly Deduction'!A:B,2,0),0)</f>
        <v>0</v>
      </c>
      <c r="AB660" s="129">
        <f t="shared" si="189"/>
        <v>826</v>
      </c>
      <c r="AC660" s="130">
        <v>0</v>
      </c>
      <c r="AD660" s="35">
        <f t="shared" si="200"/>
        <v>826</v>
      </c>
      <c r="AE660" s="166" t="str">
        <f t="shared" si="201"/>
        <v>Release</v>
      </c>
      <c r="AF660" s="127"/>
      <c r="AG660" s="18">
        <v>0</v>
      </c>
      <c r="AH660" s="120"/>
      <c r="AI660" s="238">
        <v>0</v>
      </c>
      <c r="AJ660" s="132"/>
      <c r="AK660" s="151">
        <v>705.2</v>
      </c>
      <c r="AL660" s="154">
        <f t="shared" si="190"/>
        <v>0</v>
      </c>
      <c r="AM660" s="155"/>
      <c r="AN660" s="19">
        <f t="shared" si="191"/>
        <v>1861</v>
      </c>
      <c r="AO660" s="118">
        <f>SUMIF('MPG Payment '!E:E,'Shayak Income '!D660,'MPG Payment '!AJ:AJ)</f>
        <v>0</v>
      </c>
      <c r="AP660" s="19">
        <f t="shared" si="192"/>
        <v>1861</v>
      </c>
      <c r="AQ660" s="119">
        <f t="shared" si="202"/>
        <v>1861</v>
      </c>
      <c r="AR660" s="91" t="s">
        <v>1168</v>
      </c>
      <c r="AS660" s="91">
        <f t="shared" si="193"/>
        <v>0</v>
      </c>
      <c r="AT660" s="118"/>
      <c r="AU660" s="118"/>
      <c r="AV660" s="118"/>
    </row>
    <row r="661" spans="1:48" s="20" customFormat="1" x14ac:dyDescent="0.25">
      <c r="A661" s="17">
        <f>IFERROR(VLOOKUP(D661,'Monthly Deduction'!$I$3:$J$957,2,0),0)</f>
        <v>92116.728000000003</v>
      </c>
      <c r="B661" s="17">
        <f>IFERROR(VLOOKUP(D661,'Monthly Deduction'!$E$3:$F$957,2,0),0)</f>
        <v>0</v>
      </c>
      <c r="C661" s="17">
        <f t="shared" si="194"/>
        <v>92116.728000000003</v>
      </c>
      <c r="D661" s="41">
        <v>10060106</v>
      </c>
      <c r="E661" s="122" t="str">
        <f>VLOOKUP(D661,'MPG Payment '!$E$3:$G$498218,2,0)</f>
        <v>PIPARPATI</v>
      </c>
      <c r="F661" s="146">
        <f>IFERROR(_xlfn.XLOOKUP(D661,'Monthly Deduction'!$I$3:$I$957,'Monthly Deduction'!$H$3:$H$957),0)</f>
        <v>0</v>
      </c>
      <c r="G661" s="123" t="str">
        <f>VLOOKUP(D661,'MPG Payment '!$E$3:$G$334579,3,0)</f>
        <v>MPG</v>
      </c>
      <c r="H661" s="124" t="str">
        <f>VLOOKUP(D661,'MPG Payment '!$E$3:$H$334579,4,0)</f>
        <v>Direct</v>
      </c>
      <c r="I661" s="88">
        <f>INDEX('MPG Payment '!$C:$C,MATCH('Shayak Income '!D661,'MPG Payment '!E:E,0))</f>
        <v>1006</v>
      </c>
      <c r="J661" s="88" t="str">
        <f>INDEX('MPG Payment '!$D:$D,MATCH('Shayak Income '!D661,'MPG Payment '!E:E,0))</f>
        <v>Sonvarsha</v>
      </c>
      <c r="K661" s="125" t="s">
        <v>1322</v>
      </c>
      <c r="L661" s="125">
        <v>45978</v>
      </c>
      <c r="M661" s="126">
        <f>SUMIF('MPG Payment '!$E$3:$E$34579,'Shayak Income '!D661,'MPG Payment '!$I$3:$I$34579)</f>
        <v>2569.8999999999996</v>
      </c>
      <c r="N661" s="126">
        <f>SUMIF('MPG Payment '!$E$3:$E$34579,'Shayak Income '!D661,'MPG Payment '!$J$3:$J$34579)</f>
        <v>123410.32746238899</v>
      </c>
      <c r="O661" s="126">
        <f t="shared" si="195"/>
        <v>1927.4249999999997</v>
      </c>
      <c r="P661" s="126">
        <f t="shared" si="196"/>
        <v>2441.4049999999997</v>
      </c>
      <c r="Q661" s="126">
        <f>SUMIF('MPG Payment '!$E$3:$E$34579,'Shayak Income '!D661,'MPG Payment '!$S$3:$S$34579)</f>
        <v>1296.26148679432</v>
      </c>
      <c r="R661" s="126">
        <f t="shared" si="186"/>
        <v>3702.3098238716693</v>
      </c>
      <c r="S661" s="126">
        <f t="shared" si="187"/>
        <v>1260.9048238716696</v>
      </c>
      <c r="T661" s="126">
        <f t="shared" si="197"/>
        <v>256.98999999999995</v>
      </c>
      <c r="U661" s="127">
        <f>(((IF(K661="New",0,SUMIF('MPG Payment '!$E$3:$E$34579,'Shayak Income '!D661,'MPG Payment '!$AC$3:$AC$34579))))+0)+0</f>
        <v>277.99521969642041</v>
      </c>
      <c r="V661" s="127">
        <f t="shared" si="198"/>
        <v>5130</v>
      </c>
      <c r="W661" s="19">
        <f t="shared" si="203"/>
        <v>2468.20654924778</v>
      </c>
      <c r="X661" s="19">
        <v>0</v>
      </c>
      <c r="Y661" s="128">
        <f>IFERROR(VLOOKUP(D661,'Monthly Deduction'!$M$2:$N$64,2,0),0)</f>
        <v>0</v>
      </c>
      <c r="Z661" s="128">
        <v>0</v>
      </c>
      <c r="AA661" s="126">
        <f>IFERROR(VLOOKUP(D661,'Monthly Deduction'!A:B,2,0),0)</f>
        <v>0</v>
      </c>
      <c r="AB661" s="129">
        <f t="shared" si="189"/>
        <v>2662</v>
      </c>
      <c r="AC661" s="130">
        <v>0</v>
      </c>
      <c r="AD661" s="35">
        <f t="shared" si="200"/>
        <v>2662</v>
      </c>
      <c r="AE661" s="166" t="str">
        <f t="shared" si="201"/>
        <v>Release</v>
      </c>
      <c r="AF661" s="127"/>
      <c r="AG661" s="18">
        <v>0</v>
      </c>
      <c r="AH661" s="120" t="s">
        <v>1646</v>
      </c>
      <c r="AI661" s="238">
        <v>0</v>
      </c>
      <c r="AJ661" s="132" t="s">
        <v>68</v>
      </c>
      <c r="AK661" s="151">
        <v>713.30000000000007</v>
      </c>
      <c r="AL661" s="154">
        <f t="shared" si="190"/>
        <v>0</v>
      </c>
      <c r="AM661" s="155"/>
      <c r="AN661" s="19">
        <f t="shared" si="191"/>
        <v>2468.20654924778</v>
      </c>
      <c r="AO661" s="118">
        <f>SUMIF('MPG Payment '!E:E,'Shayak Income '!D661,'MPG Payment '!AJ:AJ)</f>
        <v>0</v>
      </c>
      <c r="AP661" s="19">
        <f t="shared" si="192"/>
        <v>2468.20654924778</v>
      </c>
      <c r="AQ661" s="119">
        <f t="shared" si="202"/>
        <v>2468.20654924778</v>
      </c>
      <c r="AR661" s="91"/>
      <c r="AS661" s="91">
        <f t="shared" si="193"/>
        <v>0</v>
      </c>
      <c r="AT661" s="118"/>
      <c r="AU661" s="118"/>
      <c r="AV661" s="118"/>
    </row>
    <row r="662" spans="1:48" s="20" customFormat="1" x14ac:dyDescent="0.25">
      <c r="A662" s="17">
        <f>IFERROR(VLOOKUP(D662,'Monthly Deduction'!$I$3:$J$957,2,0),0)</f>
        <v>81437</v>
      </c>
      <c r="B662" s="17">
        <f>IFERROR(VLOOKUP(D662,'Monthly Deduction'!$E$3:$F$957,2,0),0)</f>
        <v>0</v>
      </c>
      <c r="C662" s="17">
        <f t="shared" si="194"/>
        <v>81437</v>
      </c>
      <c r="D662" s="41">
        <v>10110164</v>
      </c>
      <c r="E662" s="122" t="str">
        <f>VLOOKUP(D662,'MPG Payment '!$E$3:$G$498218,2,0)</f>
        <v>GOMUKH JANGLITOL</v>
      </c>
      <c r="F662" s="146">
        <f>IFERROR(_xlfn.XLOOKUP(D662,'Monthly Deduction'!$I$3:$I$957,'Monthly Deduction'!$H$3:$H$957),0)</f>
        <v>0</v>
      </c>
      <c r="G662" s="123" t="str">
        <f>VLOOKUP(D662,'MPG Payment '!$E$3:$G$334579,3,0)</f>
        <v>MPG</v>
      </c>
      <c r="H662" s="124" t="str">
        <f>VLOOKUP(D662,'MPG Payment '!$E$3:$H$334579,4,0)</f>
        <v>Direct</v>
      </c>
      <c r="I662" s="88">
        <f>INDEX('MPG Payment '!$C:$C,MATCH('Shayak Income '!D662,'MPG Payment '!E:E,0))</f>
        <v>1011</v>
      </c>
      <c r="J662" s="88" t="str">
        <f>INDEX('MPG Payment '!$D:$D,MATCH('Shayak Income '!D662,'MPG Payment '!E:E,0))</f>
        <v>Sahibpur Kamal</v>
      </c>
      <c r="K662" s="125" t="s">
        <v>1322</v>
      </c>
      <c r="L662" s="125">
        <v>45869</v>
      </c>
      <c r="M662" s="126">
        <f>SUMIF('MPG Payment '!$E$3:$E$34579,'Shayak Income '!D662,'MPG Payment '!$I$3:$I$34579)</f>
        <v>1170.0999999999999</v>
      </c>
      <c r="N662" s="126">
        <f>SUMIF('MPG Payment '!$E$3:$E$34579,'Shayak Income '!D662,'MPG Payment '!$J$3:$J$34579)</f>
        <v>48318.673997140002</v>
      </c>
      <c r="O662" s="126">
        <f t="shared" si="195"/>
        <v>877.57499999999993</v>
      </c>
      <c r="P662" s="126">
        <f t="shared" si="196"/>
        <v>1111.5949999999998</v>
      </c>
      <c r="Q662" s="126">
        <f>SUMIF('MPG Payment '!$E$3:$E$34579,'Shayak Income '!D662,'MPG Payment '!$S$3:$S$34579)</f>
        <v>0</v>
      </c>
      <c r="R662" s="126">
        <f t="shared" si="186"/>
        <v>1449.5602199141999</v>
      </c>
      <c r="S662" s="126">
        <f t="shared" si="187"/>
        <v>337.96521991420013</v>
      </c>
      <c r="T662" s="126">
        <f t="shared" si="197"/>
        <v>117.00999999999999</v>
      </c>
      <c r="U662" s="127">
        <f>(((IF(K662="New",0,SUMIF('MPG Payment '!$E$3:$E$34579,'Shayak Income '!D662,'MPG Payment '!$AC$3:$AC$34579))))+0)+0</f>
        <v>1350.4762315546823</v>
      </c>
      <c r="V662" s="127">
        <f t="shared" si="198"/>
        <v>522</v>
      </c>
      <c r="W662" s="19">
        <v>522</v>
      </c>
      <c r="X662" s="19">
        <v>0</v>
      </c>
      <c r="Y662" s="128">
        <f>IFERROR(VLOOKUP(D662,'Monthly Deduction'!$M$2:$N$64,2,0),0)</f>
        <v>0</v>
      </c>
      <c r="Z662" s="128">
        <v>0</v>
      </c>
      <c r="AA662" s="126">
        <f>IFERROR(VLOOKUP(D662,'Monthly Deduction'!A:B,2,0),0)</f>
        <v>0</v>
      </c>
      <c r="AB662" s="129">
        <f t="shared" si="189"/>
        <v>0</v>
      </c>
      <c r="AC662" s="130">
        <v>0</v>
      </c>
      <c r="AD662" s="35">
        <f t="shared" si="200"/>
        <v>0</v>
      </c>
      <c r="AE662" s="166" t="str">
        <f t="shared" si="201"/>
        <v>Release</v>
      </c>
      <c r="AF662" s="127"/>
      <c r="AG662" s="127">
        <v>0</v>
      </c>
      <c r="AH662" s="120"/>
      <c r="AI662" s="238">
        <v>0</v>
      </c>
      <c r="AJ662" s="132"/>
      <c r="AK662" s="151">
        <v>334</v>
      </c>
      <c r="AL662" s="154">
        <f t="shared" si="190"/>
        <v>0</v>
      </c>
      <c r="AM662" s="155"/>
      <c r="AN662" s="19">
        <f t="shared" si="191"/>
        <v>1861</v>
      </c>
      <c r="AO662" s="118">
        <f>SUMIF('MPG Payment '!E:E,'Shayak Income '!D662,'MPG Payment '!AJ:AJ)</f>
        <v>0</v>
      </c>
      <c r="AP662" s="19">
        <f t="shared" si="192"/>
        <v>522</v>
      </c>
      <c r="AQ662" s="119">
        <f t="shared" si="202"/>
        <v>522</v>
      </c>
      <c r="AR662" s="91"/>
      <c r="AS662" s="91">
        <f t="shared" si="193"/>
        <v>0</v>
      </c>
      <c r="AT662" s="118"/>
      <c r="AU662" s="118"/>
      <c r="AV662" s="118"/>
    </row>
    <row r="663" spans="1:48" s="20" customFormat="1" x14ac:dyDescent="0.25">
      <c r="A663" s="17">
        <f>IFERROR(VLOOKUP(D663,'Monthly Deduction'!$I$3:$J$957,2,0),0)</f>
        <v>71068.446043661592</v>
      </c>
      <c r="B663" s="17">
        <f>IFERROR(VLOOKUP(D663,'Monthly Deduction'!$E$3:$F$957,2,0),0)</f>
        <v>6400</v>
      </c>
      <c r="C663" s="17">
        <f t="shared" si="194"/>
        <v>77468.446043661592</v>
      </c>
      <c r="D663" s="41">
        <v>10110168</v>
      </c>
      <c r="E663" s="122" t="str">
        <f>VLOOKUP(D663,'MPG Payment '!$E$3:$G$498218,2,0)</f>
        <v>GOMUKH BARBIGHI</v>
      </c>
      <c r="F663" s="146">
        <f>IFERROR(_xlfn.XLOOKUP(D663,'Monthly Deduction'!$I$3:$I$957,'Monthly Deduction'!$H$3:$H$957),0)</f>
        <v>0</v>
      </c>
      <c r="G663" s="123" t="str">
        <f>VLOOKUP(D663,'MPG Payment '!$E$3:$G$334579,3,0)</f>
        <v>MPG</v>
      </c>
      <c r="H663" s="124" t="str">
        <f>VLOOKUP(D663,'MPG Payment '!$E$3:$H$334579,4,0)</f>
        <v>Direct</v>
      </c>
      <c r="I663" s="88">
        <f>INDEX('MPG Payment '!$C:$C,MATCH('Shayak Income '!D663,'MPG Payment '!E:E,0))</f>
        <v>1011</v>
      </c>
      <c r="J663" s="88" t="str">
        <f>INDEX('MPG Payment '!$D:$D,MATCH('Shayak Income '!D663,'MPG Payment '!E:E,0))</f>
        <v>Sahibpur Kamal</v>
      </c>
      <c r="K663" s="125" t="s">
        <v>1322</v>
      </c>
      <c r="L663" s="125">
        <v>45975</v>
      </c>
      <c r="M663" s="126">
        <f>SUMIF('MPG Payment '!$E$3:$E$34579,'Shayak Income '!D663,'MPG Payment '!$I$3:$I$34579)</f>
        <v>5631.7000000000007</v>
      </c>
      <c r="N663" s="126">
        <f>SUMIF('MPG Payment '!$E$3:$E$34579,'Shayak Income '!D663,'MPG Payment '!$J$3:$J$34579)</f>
        <v>205251.88894704802</v>
      </c>
      <c r="O663" s="126">
        <f t="shared" si="195"/>
        <v>4223.7750000000005</v>
      </c>
      <c r="P663" s="126">
        <f t="shared" si="196"/>
        <v>5350.1150000000007</v>
      </c>
      <c r="Q663" s="126">
        <f>SUMIF('MPG Payment '!$E$3:$E$34579,'Shayak Income '!D663,'MPG Payment '!$S$3:$S$34579)</f>
        <v>643.40013732000011</v>
      </c>
      <c r="R663" s="126">
        <f t="shared" si="186"/>
        <v>6157.5566684114401</v>
      </c>
      <c r="S663" s="126">
        <f t="shared" si="187"/>
        <v>807.44166841143942</v>
      </c>
      <c r="T663" s="126">
        <f t="shared" si="197"/>
        <v>563.17000000000007</v>
      </c>
      <c r="U663" s="127">
        <f>(((IF(K663="New",0,SUMIF('MPG Payment '!$E$3:$E$34579,'Shayak Income '!D663,'MPG Payment '!$AC$3:$AC$34579))))+0)+0</f>
        <v>0</v>
      </c>
      <c r="V663" s="127">
        <f t="shared" si="198"/>
        <v>9654</v>
      </c>
      <c r="W663" s="19">
        <f t="shared" si="203"/>
        <v>4105.0377789409604</v>
      </c>
      <c r="X663" s="19">
        <v>0</v>
      </c>
      <c r="Y663" s="128">
        <f>IFERROR(VLOOKUP(D663,'Monthly Deduction'!$M$2:$N$64,2,0),0)</f>
        <v>0</v>
      </c>
      <c r="Z663" s="128">
        <v>0</v>
      </c>
      <c r="AA663" s="126">
        <f>IFERROR(VLOOKUP(D663,'Monthly Deduction'!A:B,2,0),0)</f>
        <v>0</v>
      </c>
      <c r="AB663" s="129">
        <f t="shared" si="189"/>
        <v>5549</v>
      </c>
      <c r="AC663" s="130">
        <v>0</v>
      </c>
      <c r="AD663" s="35">
        <f t="shared" si="200"/>
        <v>5549</v>
      </c>
      <c r="AE663" s="166" t="str">
        <f t="shared" si="201"/>
        <v>Release</v>
      </c>
      <c r="AF663" s="127"/>
      <c r="AG663" s="18">
        <v>0</v>
      </c>
      <c r="AH663" s="120"/>
      <c r="AI663" s="238">
        <v>0</v>
      </c>
      <c r="AJ663" s="132"/>
      <c r="AK663" s="151">
        <v>1496.7</v>
      </c>
      <c r="AL663" s="154">
        <f t="shared" si="190"/>
        <v>0</v>
      </c>
      <c r="AM663" s="155"/>
      <c r="AN663" s="19">
        <f t="shared" si="191"/>
        <v>4105.0377789409604</v>
      </c>
      <c r="AO663" s="118">
        <f>SUMIF('MPG Payment '!E:E,'Shayak Income '!D663,'MPG Payment '!AJ:AJ)</f>
        <v>0</v>
      </c>
      <c r="AP663" s="19">
        <f t="shared" si="192"/>
        <v>4105.0377789409604</v>
      </c>
      <c r="AQ663" s="119">
        <f t="shared" si="202"/>
        <v>4105.0377789409604</v>
      </c>
      <c r="AR663" s="91"/>
      <c r="AS663" s="91">
        <f t="shared" si="193"/>
        <v>6400</v>
      </c>
      <c r="AT663" s="118"/>
      <c r="AU663" s="118"/>
      <c r="AV663" s="118"/>
    </row>
    <row r="664" spans="1:48" s="20" customFormat="1" x14ac:dyDescent="0.25">
      <c r="A664" s="17">
        <f>IFERROR(VLOOKUP(D664,'Monthly Deduction'!$I$3:$J$957,2,0),0)</f>
        <v>0</v>
      </c>
      <c r="B664" s="17">
        <f>IFERROR(VLOOKUP(D664,'Monthly Deduction'!$E$3:$F$957,2,0),0)</f>
        <v>0</v>
      </c>
      <c r="C664" s="17">
        <f t="shared" si="194"/>
        <v>0</v>
      </c>
      <c r="D664" s="41">
        <v>10110173</v>
      </c>
      <c r="E664" s="122" t="str">
        <f>VLOOKUP(D664,'MPG Payment '!$E$3:$G$498218,2,0)</f>
        <v>Barkhanditol</v>
      </c>
      <c r="F664" s="146">
        <f>IFERROR(_xlfn.XLOOKUP(D664,'Monthly Deduction'!$I$3:$I$957,'Monthly Deduction'!$H$3:$H$957),0)</f>
        <v>0</v>
      </c>
      <c r="G664" s="123" t="str">
        <f>VLOOKUP(D664,'MPG Payment '!$E$3:$G$334579,3,0)</f>
        <v>vlc</v>
      </c>
      <c r="H664" s="124" t="str">
        <f>VLOOKUP(D664,'MPG Payment '!$E$3:$H$334579,4,0)</f>
        <v>Indirect</v>
      </c>
      <c r="I664" s="88">
        <f>INDEX('MPG Payment '!$C:$C,MATCH('Shayak Income '!D664,'MPG Payment '!E:E,0))</f>
        <v>1011</v>
      </c>
      <c r="J664" s="88" t="str">
        <f>INDEX('MPG Payment '!$D:$D,MATCH('Shayak Income '!D664,'MPG Payment '!E:E,0))</f>
        <v>Sahibpur Kamal</v>
      </c>
      <c r="K664" s="125" t="s">
        <v>1322</v>
      </c>
      <c r="L664" s="125">
        <v>45980</v>
      </c>
      <c r="M664" s="126">
        <f>SUMIF('MPG Payment '!$E$3:$E$34579,'Shayak Income '!D664,'MPG Payment '!$I$3:$I$34579)</f>
        <v>2311.1999999999998</v>
      </c>
      <c r="N664" s="126">
        <f>SUMIF('MPG Payment '!$E$3:$E$34579,'Shayak Income '!D664,'MPG Payment '!$J$3:$J$34579)</f>
        <v>94620.596150419995</v>
      </c>
      <c r="O664" s="126">
        <f t="shared" si="195"/>
        <v>1733.3999999999999</v>
      </c>
      <c r="P664" s="126">
        <f t="shared" si="196"/>
        <v>2195.64</v>
      </c>
      <c r="Q664" s="126">
        <f>SUMIF('MPG Payment '!$E$3:$E$34579,'Shayak Income '!D664,'MPG Payment '!$S$3:$S$34579)</f>
        <v>0</v>
      </c>
      <c r="R664" s="126">
        <f t="shared" si="186"/>
        <v>2838.6178845125996</v>
      </c>
      <c r="S664" s="126">
        <f t="shared" si="187"/>
        <v>642.97788451259976</v>
      </c>
      <c r="T664" s="126">
        <f t="shared" si="197"/>
        <v>231.12</v>
      </c>
      <c r="U664" s="127">
        <f>(((IF(K664="New",0,SUMIF('MPG Payment '!$E$3:$E$34579,'Shayak Income '!D664,'MPG Payment '!$AC$3:$AC$34579))))+0)+0</f>
        <v>780.88890713766068</v>
      </c>
      <c r="V664" s="127">
        <f t="shared" si="198"/>
        <v>2917</v>
      </c>
      <c r="W664" s="19">
        <f t="shared" si="203"/>
        <v>0</v>
      </c>
      <c r="X664" s="19">
        <f t="shared" si="188"/>
        <v>0</v>
      </c>
      <c r="Y664" s="128">
        <f>IFERROR(VLOOKUP(D664,'Monthly Deduction'!$M$2:$N$64,2,0),0)</f>
        <v>0</v>
      </c>
      <c r="Z664" s="128">
        <v>0</v>
      </c>
      <c r="AA664" s="126">
        <f>IFERROR(VLOOKUP(D664,'Monthly Deduction'!A:B,2,0),0)</f>
        <v>0</v>
      </c>
      <c r="AB664" s="129">
        <f t="shared" si="189"/>
        <v>2917</v>
      </c>
      <c r="AC664" s="130">
        <v>0</v>
      </c>
      <c r="AD664" s="35">
        <f t="shared" si="200"/>
        <v>2917</v>
      </c>
      <c r="AE664" s="166" t="str">
        <f t="shared" si="201"/>
        <v>Release</v>
      </c>
      <c r="AF664" s="127"/>
      <c r="AG664" s="18">
        <v>0</v>
      </c>
      <c r="AH664" s="132"/>
      <c r="AI664" s="238">
        <v>0</v>
      </c>
      <c r="AJ664" s="132"/>
      <c r="AK664" s="151">
        <v>968.8</v>
      </c>
      <c r="AL664" s="154">
        <f t="shared" si="190"/>
        <v>0</v>
      </c>
      <c r="AM664" s="155"/>
      <c r="AN664" s="19">
        <f t="shared" si="191"/>
        <v>0</v>
      </c>
      <c r="AO664" s="118">
        <f>SUMIF('MPG Payment '!E:E,'Shayak Income '!D664,'MPG Payment '!AJ:AJ)</f>
        <v>0</v>
      </c>
      <c r="AP664" s="19">
        <f t="shared" si="192"/>
        <v>0</v>
      </c>
      <c r="AQ664" s="119">
        <f t="shared" si="202"/>
        <v>0</v>
      </c>
      <c r="AR664" s="91" t="s">
        <v>1168</v>
      </c>
      <c r="AS664" s="91">
        <f t="shared" si="193"/>
        <v>0</v>
      </c>
      <c r="AT664" s="118"/>
      <c r="AU664" s="118"/>
      <c r="AV664" s="118"/>
    </row>
    <row r="665" spans="1:48" s="20" customFormat="1" x14ac:dyDescent="0.25">
      <c r="A665" s="17">
        <f>IFERROR(VLOOKUP(D665,'Monthly Deduction'!$I$3:$J$957,2,0),0)</f>
        <v>0</v>
      </c>
      <c r="B665" s="17">
        <f>IFERROR(VLOOKUP(D665,'Monthly Deduction'!$E$3:$F$957,2,0),0)</f>
        <v>0</v>
      </c>
      <c r="C665" s="17">
        <f t="shared" si="194"/>
        <v>0</v>
      </c>
      <c r="D665" s="41">
        <v>10480033</v>
      </c>
      <c r="E665" s="122" t="str">
        <f>VLOOKUP(D665,'MPG Payment '!$E$3:$G$498218,2,0)</f>
        <v>Gomukh Mohanpur  VLC</v>
      </c>
      <c r="F665" s="146">
        <f>IFERROR(_xlfn.XLOOKUP(D665,'Monthly Deduction'!$I$3:$I$957,'Monthly Deduction'!$H$3:$H$957),0)</f>
        <v>0</v>
      </c>
      <c r="G665" s="123" t="str">
        <f>VLOOKUP(D665,'MPG Payment '!$E$3:$G$334579,3,0)</f>
        <v>vlc</v>
      </c>
      <c r="H665" s="124" t="str">
        <f>VLOOKUP(D665,'MPG Payment '!$E$3:$H$334579,4,0)</f>
        <v>Indirect</v>
      </c>
      <c r="I665" s="88">
        <f>INDEX('MPG Payment '!$C:$C,MATCH('Shayak Income '!D665,'MPG Payment '!E:E,0))</f>
        <v>1036</v>
      </c>
      <c r="J665" s="88" t="str">
        <f>INDEX('MPG Payment '!$D:$D,MATCH('Shayak Income '!D665,'MPG Payment '!E:E,0))</f>
        <v>MAHADAT PUR 2</v>
      </c>
      <c r="K665" s="125" t="s">
        <v>1322</v>
      </c>
      <c r="L665" s="125">
        <v>45742</v>
      </c>
      <c r="M665" s="126">
        <f>SUMIF('MPG Payment '!$E$3:$E$34579,'Shayak Income '!D665,'MPG Payment '!$I$3:$I$34579)</f>
        <v>1172.3999999999999</v>
      </c>
      <c r="N665" s="126">
        <f>SUMIF('MPG Payment '!$E$3:$E$34579,'Shayak Income '!D665,'MPG Payment '!$J$3:$J$34579)</f>
        <v>40333.759776975508</v>
      </c>
      <c r="O665" s="126">
        <f t="shared" si="195"/>
        <v>879.3</v>
      </c>
      <c r="P665" s="126">
        <f t="shared" si="196"/>
        <v>1113.7799999999997</v>
      </c>
      <c r="Q665" s="126">
        <f>SUMIF('MPG Payment '!$E$3:$E$34579,'Shayak Income '!D665,'MPG Payment '!$S$3:$S$34579)</f>
        <v>0</v>
      </c>
      <c r="R665" s="126">
        <f t="shared" si="186"/>
        <v>1210.0127933092651</v>
      </c>
      <c r="S665" s="126">
        <f t="shared" si="187"/>
        <v>96.232793309265389</v>
      </c>
      <c r="T665" s="126">
        <f t="shared" si="197"/>
        <v>117.24</v>
      </c>
      <c r="U665" s="127">
        <f>(((IF(K665="New",0,SUMIF('MPG Payment '!$E$3:$E$34579,'Shayak Income '!D665,'MPG Payment '!$AC$3:$AC$34579))))+0)+0</f>
        <v>1121.2628369138206</v>
      </c>
      <c r="V665" s="127">
        <f t="shared" si="198"/>
        <v>755</v>
      </c>
      <c r="W665" s="19">
        <f t="shared" si="203"/>
        <v>0</v>
      </c>
      <c r="X665" s="19">
        <f t="shared" si="188"/>
        <v>0</v>
      </c>
      <c r="Y665" s="128">
        <f>IFERROR(VLOOKUP(D665,'Monthly Deduction'!$M$2:$N$64,2,0),0)</f>
        <v>0</v>
      </c>
      <c r="Z665" s="128">
        <v>0</v>
      </c>
      <c r="AA665" s="126">
        <f>IFERROR(VLOOKUP(D665,'Monthly Deduction'!A:B,2,0),0)</f>
        <v>0</v>
      </c>
      <c r="AB665" s="129">
        <f t="shared" si="189"/>
        <v>755</v>
      </c>
      <c r="AC665" s="130">
        <v>0</v>
      </c>
      <c r="AD665" s="35">
        <f t="shared" si="200"/>
        <v>755</v>
      </c>
      <c r="AE665" s="166" t="str">
        <f t="shared" si="201"/>
        <v>Release</v>
      </c>
      <c r="AF665" s="127"/>
      <c r="AG665" s="18">
        <v>0</v>
      </c>
      <c r="AH665" s="132"/>
      <c r="AI665" s="238">
        <v>0</v>
      </c>
      <c r="AJ665" s="132"/>
      <c r="AK665" s="151">
        <v>272.7</v>
      </c>
      <c r="AL665" s="154">
        <f t="shared" si="190"/>
        <v>0</v>
      </c>
      <c r="AM665" s="155"/>
      <c r="AN665" s="19">
        <f t="shared" si="191"/>
        <v>0</v>
      </c>
      <c r="AO665" s="118">
        <f>SUMIF('MPG Payment '!E:E,'Shayak Income '!D665,'MPG Payment '!AJ:AJ)</f>
        <v>0</v>
      </c>
      <c r="AP665" s="19">
        <f t="shared" si="192"/>
        <v>0</v>
      </c>
      <c r="AQ665" s="119">
        <f t="shared" si="202"/>
        <v>0</v>
      </c>
      <c r="AR665" s="91"/>
      <c r="AS665" s="91">
        <f t="shared" si="193"/>
        <v>0</v>
      </c>
      <c r="AT665" s="118"/>
      <c r="AU665" s="118"/>
      <c r="AV665" s="118"/>
    </row>
    <row r="666" spans="1:48" s="20" customFormat="1" x14ac:dyDescent="0.25">
      <c r="A666" s="17">
        <f>IFERROR(VLOOKUP(D666,'Monthly Deduction'!$I$3:$J$957,2,0),0)</f>
        <v>0</v>
      </c>
      <c r="B666" s="17">
        <f>IFERROR(VLOOKUP(D666,'Monthly Deduction'!$E$3:$F$957,2,0),0)</f>
        <v>0</v>
      </c>
      <c r="C666" s="17">
        <f t="shared" si="194"/>
        <v>0</v>
      </c>
      <c r="D666" s="41">
        <v>10570025</v>
      </c>
      <c r="E666" s="122" t="str">
        <f>VLOOKUP(D666,'MPG Payment '!$E$3:$G$498218,2,0)</f>
        <v>Satmalpur</v>
      </c>
      <c r="F666" s="146">
        <f>IFERROR(_xlfn.XLOOKUP(D666,'Monthly Deduction'!$I$3:$I$957,'Monthly Deduction'!$H$3:$H$957),0)</f>
        <v>0</v>
      </c>
      <c r="G666" s="123" t="str">
        <f>VLOOKUP(D666,'MPG Payment '!$E$3:$G$334579,3,0)</f>
        <v>vlc</v>
      </c>
      <c r="H666" s="124" t="str">
        <f>VLOOKUP(D666,'MPG Payment '!$E$3:$H$334579,4,0)</f>
        <v>Indirect</v>
      </c>
      <c r="I666" s="88">
        <f>INDEX('MPG Payment '!$C:$C,MATCH('Shayak Income '!D666,'MPG Payment '!E:E,0))</f>
        <v>1057</v>
      </c>
      <c r="J666" s="88" t="str">
        <f>INDEX('MPG Payment '!$D:$D,MATCH('Shayak Income '!D666,'MPG Payment '!E:E,0))</f>
        <v>Warisnagar</v>
      </c>
      <c r="K666" s="125" t="s">
        <v>1322</v>
      </c>
      <c r="L666" s="125">
        <v>45981</v>
      </c>
      <c r="M666" s="126">
        <f>SUMIF('MPG Payment '!$E$3:$E$34579,'Shayak Income '!D666,'MPG Payment '!$I$3:$I$34579)</f>
        <v>3603.7</v>
      </c>
      <c r="N666" s="126">
        <f>SUMIF('MPG Payment '!$E$3:$E$34579,'Shayak Income '!D666,'MPG Payment '!$J$3:$J$34579)</f>
        <v>136185.58187641</v>
      </c>
      <c r="O666" s="126">
        <f t="shared" si="195"/>
        <v>2702.7749999999996</v>
      </c>
      <c r="P666" s="126">
        <f t="shared" si="196"/>
        <v>3423.5149999999999</v>
      </c>
      <c r="Q666" s="126">
        <f>SUMIF('MPG Payment '!$E$3:$E$34579,'Shayak Income '!D666,'MPG Payment '!$S$3:$S$34579)</f>
        <v>0</v>
      </c>
      <c r="R666" s="126">
        <f t="shared" si="186"/>
        <v>4085.5674562922995</v>
      </c>
      <c r="S666" s="126">
        <f t="shared" si="187"/>
        <v>662.05245629229967</v>
      </c>
      <c r="T666" s="126">
        <f t="shared" si="197"/>
        <v>360.37</v>
      </c>
      <c r="U666" s="127">
        <f>(((IF(K666="New",0,SUMIF('MPG Payment '!$E$3:$E$34579,'Shayak Income '!D666,'MPG Payment '!$AC$3:$AC$34579))))+0)+0</f>
        <v>171.34865986696241</v>
      </c>
      <c r="V666" s="127">
        <f t="shared" si="198"/>
        <v>5595</v>
      </c>
      <c r="W666" s="19">
        <f t="shared" si="203"/>
        <v>0</v>
      </c>
      <c r="X666" s="19">
        <f t="shared" si="188"/>
        <v>0</v>
      </c>
      <c r="Y666" s="128">
        <f>IFERROR(VLOOKUP(D666,'Monthly Deduction'!$M$2:$N$64,2,0),0)</f>
        <v>0</v>
      </c>
      <c r="Z666" s="128">
        <v>0</v>
      </c>
      <c r="AA666" s="126">
        <f>IFERROR(VLOOKUP(D666,'Monthly Deduction'!A:B,2,0),0)</f>
        <v>0</v>
      </c>
      <c r="AB666" s="129">
        <f t="shared" si="189"/>
        <v>5595</v>
      </c>
      <c r="AC666" s="130">
        <v>0</v>
      </c>
      <c r="AD666" s="35">
        <f t="shared" si="200"/>
        <v>5595</v>
      </c>
      <c r="AE666" s="166" t="str">
        <f t="shared" si="201"/>
        <v>Release</v>
      </c>
      <c r="AF666" s="127"/>
      <c r="AG666" s="18">
        <v>0</v>
      </c>
      <c r="AH666" s="120"/>
      <c r="AI666" s="238">
        <v>0</v>
      </c>
      <c r="AJ666" s="132"/>
      <c r="AK666" s="151">
        <v>780.19999999999993</v>
      </c>
      <c r="AL666" s="154">
        <f t="shared" si="190"/>
        <v>0</v>
      </c>
      <c r="AM666" s="155"/>
      <c r="AN666" s="19">
        <f t="shared" si="191"/>
        <v>0</v>
      </c>
      <c r="AO666" s="118">
        <f>SUMIF('MPG Payment '!E:E,'Shayak Income '!D666,'MPG Payment '!AJ:AJ)</f>
        <v>0</v>
      </c>
      <c r="AP666" s="19">
        <f t="shared" si="192"/>
        <v>0</v>
      </c>
      <c r="AQ666" s="119">
        <f t="shared" si="202"/>
        <v>0</v>
      </c>
      <c r="AR666" s="91" t="s">
        <v>1168</v>
      </c>
      <c r="AS666" s="91">
        <f t="shared" si="193"/>
        <v>0</v>
      </c>
      <c r="AT666" s="118"/>
      <c r="AU666" s="118"/>
      <c r="AV666" s="118"/>
    </row>
    <row r="667" spans="1:48" s="20" customFormat="1" x14ac:dyDescent="0.25">
      <c r="A667" s="17">
        <f>IFERROR(VLOOKUP(D667,'Monthly Deduction'!$I$3:$J$957,2,0),0)</f>
        <v>0</v>
      </c>
      <c r="B667" s="17">
        <f>IFERROR(VLOOKUP(D667,'Monthly Deduction'!$E$3:$F$957,2,0),0)</f>
        <v>0</v>
      </c>
      <c r="C667" s="17">
        <f t="shared" si="194"/>
        <v>0</v>
      </c>
      <c r="D667" s="41">
        <v>10570026</v>
      </c>
      <c r="E667" s="122" t="str">
        <f>VLOOKUP(D667,'MPG Payment '!$E$3:$G$498218,2,0)</f>
        <v>Chhatnesar</v>
      </c>
      <c r="F667" s="146">
        <f>IFERROR(_xlfn.XLOOKUP(D667,'Monthly Deduction'!$I$3:$I$957,'Monthly Deduction'!$H$3:$H$957),0)</f>
        <v>0</v>
      </c>
      <c r="G667" s="123" t="str">
        <f>VLOOKUP(D667,'MPG Payment '!$E$3:$G$334579,3,0)</f>
        <v>vlc</v>
      </c>
      <c r="H667" s="124" t="str">
        <f>VLOOKUP(D667,'MPG Payment '!$E$3:$H$334579,4,0)</f>
        <v>Indirect</v>
      </c>
      <c r="I667" s="88">
        <f>INDEX('MPG Payment '!$C:$C,MATCH('Shayak Income '!D667,'MPG Payment '!E:E,0))</f>
        <v>1057</v>
      </c>
      <c r="J667" s="88" t="str">
        <f>INDEX('MPG Payment '!$D:$D,MATCH('Shayak Income '!D667,'MPG Payment '!E:E,0))</f>
        <v>Warisnagar</v>
      </c>
      <c r="K667" s="125" t="s">
        <v>1322</v>
      </c>
      <c r="L667" s="125">
        <v>45981</v>
      </c>
      <c r="M667" s="126">
        <f>SUMIF('MPG Payment '!$E$3:$E$34579,'Shayak Income '!D667,'MPG Payment '!$I$3:$I$34579)</f>
        <v>1343.3000000000002</v>
      </c>
      <c r="N667" s="126">
        <f>SUMIF('MPG Payment '!$E$3:$E$34579,'Shayak Income '!D667,'MPG Payment '!$J$3:$J$34579)</f>
        <v>47757.625738410003</v>
      </c>
      <c r="O667" s="126">
        <f t="shared" si="195"/>
        <v>1007.4750000000001</v>
      </c>
      <c r="P667" s="126">
        <f t="shared" si="196"/>
        <v>1276.1350000000002</v>
      </c>
      <c r="Q667" s="126">
        <f>SUMIF('MPG Payment '!$E$3:$E$34579,'Shayak Income '!D667,'MPG Payment '!$S$3:$S$34579)</f>
        <v>0</v>
      </c>
      <c r="R667" s="126">
        <f t="shared" si="186"/>
        <v>1432.7287721523001</v>
      </c>
      <c r="S667" s="126">
        <f t="shared" si="187"/>
        <v>156.59377215229983</v>
      </c>
      <c r="T667" s="126">
        <f t="shared" si="197"/>
        <v>134.33000000000001</v>
      </c>
      <c r="U667" s="127">
        <f>(((IF(K667="New",0,SUMIF('MPG Payment '!$E$3:$E$34579,'Shayak Income '!D667,'MPG Payment '!$AC$3:$AC$34579))))+0)+0</f>
        <v>1034.5654899730225</v>
      </c>
      <c r="V667" s="127">
        <f t="shared" si="198"/>
        <v>1115</v>
      </c>
      <c r="W667" s="19">
        <f t="shared" si="203"/>
        <v>0</v>
      </c>
      <c r="X667" s="19">
        <f t="shared" si="188"/>
        <v>0</v>
      </c>
      <c r="Y667" s="128">
        <f>IFERROR(VLOOKUP(D667,'Monthly Deduction'!$M$2:$N$64,2,0),0)</f>
        <v>0</v>
      </c>
      <c r="Z667" s="128">
        <v>0</v>
      </c>
      <c r="AA667" s="126">
        <f>IFERROR(VLOOKUP(D667,'Monthly Deduction'!A:B,2,0),0)</f>
        <v>0</v>
      </c>
      <c r="AB667" s="129">
        <f t="shared" si="189"/>
        <v>1115</v>
      </c>
      <c r="AC667" s="130">
        <v>0</v>
      </c>
      <c r="AD667" s="35">
        <f t="shared" si="200"/>
        <v>1115</v>
      </c>
      <c r="AE667" s="166" t="str">
        <f t="shared" si="201"/>
        <v>Release</v>
      </c>
      <c r="AF667" s="127"/>
      <c r="AG667" s="18">
        <v>0</v>
      </c>
      <c r="AH667" s="120"/>
      <c r="AI667" s="238">
        <v>0</v>
      </c>
      <c r="AJ667" s="132"/>
      <c r="AK667" s="151">
        <v>350.89999999999992</v>
      </c>
      <c r="AL667" s="154">
        <f t="shared" si="190"/>
        <v>0</v>
      </c>
      <c r="AM667" s="155"/>
      <c r="AN667" s="19">
        <f t="shared" si="191"/>
        <v>0</v>
      </c>
      <c r="AO667" s="118">
        <f>SUMIF('MPG Payment '!E:E,'Shayak Income '!D667,'MPG Payment '!AJ:AJ)</f>
        <v>0</v>
      </c>
      <c r="AP667" s="19">
        <f t="shared" si="192"/>
        <v>0</v>
      </c>
      <c r="AQ667" s="119">
        <f t="shared" si="202"/>
        <v>0</v>
      </c>
      <c r="AR667" s="91" t="s">
        <v>1168</v>
      </c>
      <c r="AS667" s="91">
        <f t="shared" si="193"/>
        <v>0</v>
      </c>
      <c r="AT667" s="118"/>
      <c r="AU667" s="118"/>
      <c r="AV667" s="118"/>
    </row>
    <row r="668" spans="1:48" s="20" customFormat="1" x14ac:dyDescent="0.25">
      <c r="A668" s="17">
        <f>IFERROR(VLOOKUP(D668,'Monthly Deduction'!$I$3:$J$957,2,0),0)</f>
        <v>108195</v>
      </c>
      <c r="B668" s="17">
        <f>IFERROR(VLOOKUP(D668,'Monthly Deduction'!$E$3:$F$957,2,0),0)</f>
        <v>0</v>
      </c>
      <c r="C668" s="17">
        <f t="shared" si="194"/>
        <v>108195</v>
      </c>
      <c r="D668" s="41">
        <v>10020083</v>
      </c>
      <c r="E668" s="122" t="str">
        <f>VLOOKUP(D668,'MPG Payment '!$E$3:$G$498218,2,0)</f>
        <v>BICHWAY</v>
      </c>
      <c r="F668" s="146">
        <f>IFERROR(_xlfn.XLOOKUP(D668,'Monthly Deduction'!$I$3:$I$957,'Monthly Deduction'!$H$3:$H$957),0)</f>
        <v>0</v>
      </c>
      <c r="G668" s="123" t="str">
        <f>VLOOKUP(D668,'MPG Payment '!$E$3:$G$334579,3,0)</f>
        <v>MPG</v>
      </c>
      <c r="H668" s="124" t="str">
        <f>VLOOKUP(D668,'MPG Payment '!$E$3:$H$334579,4,0)</f>
        <v>Direct</v>
      </c>
      <c r="I668" s="88">
        <f>INDEX('MPG Payment '!$C:$C,MATCH('Shayak Income '!D668,'MPG Payment '!E:E,0))</f>
        <v>1002</v>
      </c>
      <c r="J668" s="88" t="str">
        <f>INDEX('MPG Payment '!$D:$D,MATCH('Shayak Income '!D668,'MPG Payment '!E:E,0))</f>
        <v>Laldiyara</v>
      </c>
      <c r="K668" s="125" t="s">
        <v>1322</v>
      </c>
      <c r="L668" s="125">
        <v>45988</v>
      </c>
      <c r="M668" s="126">
        <f>SUMIF('MPG Payment '!$E$3:$E$34579,'Shayak Income '!D668,'MPG Payment '!$I$3:$I$34579)</f>
        <v>1793.2000000000003</v>
      </c>
      <c r="N668" s="126">
        <f>SUMIF('MPG Payment '!$E$3:$E$34579,'Shayak Income '!D668,'MPG Payment '!$J$3:$J$34579)</f>
        <v>68067.550897520006</v>
      </c>
      <c r="O668" s="126">
        <f t="shared" si="195"/>
        <v>1344.9</v>
      </c>
      <c r="P668" s="126">
        <f t="shared" si="196"/>
        <v>1703.5400000000002</v>
      </c>
      <c r="Q668" s="126">
        <f>SUMIF('MPG Payment '!$E$3:$E$34579,'Shayak Income '!D668,'MPG Payment '!$S$3:$S$34579)</f>
        <v>0</v>
      </c>
      <c r="R668" s="126">
        <f t="shared" si="186"/>
        <v>2042.0265269256001</v>
      </c>
      <c r="S668" s="126">
        <f t="shared" si="187"/>
        <v>338.48652692559995</v>
      </c>
      <c r="T668" s="126">
        <f t="shared" si="197"/>
        <v>179.32000000000005</v>
      </c>
      <c r="U668" s="127">
        <f>(((IF(K668="New",0,SUMIF('MPG Payment '!$E$3:$E$34579,'Shayak Income '!D668,'MPG Payment '!$AC$3:$AC$34579))))+0)+0</f>
        <v>765.96777944818382</v>
      </c>
      <c r="V668" s="127">
        <f t="shared" si="198"/>
        <v>2103</v>
      </c>
      <c r="W668" s="19">
        <f t="shared" si="203"/>
        <v>1861</v>
      </c>
      <c r="X668" s="19">
        <v>0</v>
      </c>
      <c r="Y668" s="128">
        <f>IFERROR(VLOOKUP(D668,'Monthly Deduction'!$M$2:$N$64,2,0),0)</f>
        <v>0</v>
      </c>
      <c r="Z668" s="128">
        <v>0</v>
      </c>
      <c r="AA668" s="126">
        <f>IFERROR(VLOOKUP(D668,'Monthly Deduction'!A:B,2,0),0)</f>
        <v>0</v>
      </c>
      <c r="AB668" s="129">
        <f t="shared" si="189"/>
        <v>242</v>
      </c>
      <c r="AC668" s="130">
        <f>AB668</f>
        <v>242</v>
      </c>
      <c r="AD668" s="35">
        <f t="shared" si="200"/>
        <v>0</v>
      </c>
      <c r="AE668" s="166" t="str">
        <f t="shared" si="201"/>
        <v>Yes</v>
      </c>
      <c r="AF668" s="127"/>
      <c r="AG668" s="127">
        <v>0</v>
      </c>
      <c r="AH668" s="120" t="s">
        <v>1646</v>
      </c>
      <c r="AI668" s="238">
        <v>19205</v>
      </c>
      <c r="AJ668" s="132"/>
      <c r="AK668" s="151">
        <v>471</v>
      </c>
      <c r="AL668" s="154">
        <f t="shared" si="190"/>
        <v>0</v>
      </c>
      <c r="AM668" s="155"/>
      <c r="AN668" s="19">
        <f t="shared" si="191"/>
        <v>1861</v>
      </c>
      <c r="AO668" s="118">
        <f>SUMIF('MPG Payment '!E:E,'Shayak Income '!D668,'MPG Payment '!AJ:AJ)</f>
        <v>0</v>
      </c>
      <c r="AP668" s="19">
        <f t="shared" si="192"/>
        <v>1861</v>
      </c>
      <c r="AQ668" s="119">
        <f t="shared" si="202"/>
        <v>1861</v>
      </c>
      <c r="AR668" s="91" t="s">
        <v>1168</v>
      </c>
      <c r="AS668" s="91">
        <f t="shared" si="193"/>
        <v>0</v>
      </c>
      <c r="AT668" s="118"/>
      <c r="AU668" s="118"/>
      <c r="AV668" s="118"/>
    </row>
    <row r="669" spans="1:48" s="20" customFormat="1" x14ac:dyDescent="0.25">
      <c r="A669" s="17">
        <f>IFERROR(VLOOKUP(D669,'Monthly Deduction'!$I$3:$J$957,2,0),0)</f>
        <v>0</v>
      </c>
      <c r="B669" s="17">
        <f>IFERROR(VLOOKUP(D669,'Monthly Deduction'!$E$3:$F$957,2,0),0)</f>
        <v>0</v>
      </c>
      <c r="C669" s="17">
        <f t="shared" si="194"/>
        <v>0</v>
      </c>
      <c r="D669" s="41">
        <v>10030079</v>
      </c>
      <c r="E669" s="122" t="str">
        <f>VLOOKUP(D669,'MPG Payment '!$E$3:$G$498218,2,0)</f>
        <v>GOMUKH KODAND</v>
      </c>
      <c r="F669" s="146">
        <f>IFERROR(_xlfn.XLOOKUP(D669,'Monthly Deduction'!$I$3:$I$957,'Monthly Deduction'!$H$3:$H$957),0)</f>
        <v>0</v>
      </c>
      <c r="G669" s="123" t="str">
        <f>VLOOKUP(D669,'MPG Payment '!$E$3:$G$334579,3,0)</f>
        <v>vlc</v>
      </c>
      <c r="H669" s="124" t="str">
        <f>VLOOKUP(D669,'MPG Payment '!$E$3:$H$334579,4,0)</f>
        <v>Indirect</v>
      </c>
      <c r="I669" s="88">
        <f>INDEX('MPG Payment '!$C:$C,MATCH('Shayak Income '!D669,'MPG Payment '!E:E,0))</f>
        <v>1003</v>
      </c>
      <c r="J669" s="88" t="str">
        <f>INDEX('MPG Payment '!$D:$D,MATCH('Shayak Income '!D669,'MPG Payment '!E:E,0))</f>
        <v>Asarganj</v>
      </c>
      <c r="K669" s="125" t="s">
        <v>1322</v>
      </c>
      <c r="L669" s="125">
        <v>45982</v>
      </c>
      <c r="M669" s="126">
        <f>SUMIF('MPG Payment '!$E$3:$E$34579,'Shayak Income '!D669,'MPG Payment '!$I$3:$I$34579)</f>
        <v>2046.8999999999999</v>
      </c>
      <c r="N669" s="126">
        <f>SUMIF('MPG Payment '!$E$3:$E$34579,'Shayak Income '!D669,'MPG Payment '!$J$3:$J$34579)</f>
        <v>73467.871555765014</v>
      </c>
      <c r="O669" s="126">
        <f t="shared" si="195"/>
        <v>1535.175</v>
      </c>
      <c r="P669" s="126">
        <f t="shared" si="196"/>
        <v>1944.5549999999998</v>
      </c>
      <c r="Q669" s="126">
        <f>SUMIF('MPG Payment '!$E$3:$E$34579,'Shayak Income '!D669,'MPG Payment '!$S$3:$S$34579)</f>
        <v>0</v>
      </c>
      <c r="R669" s="126">
        <f t="shared" si="186"/>
        <v>2204.0361466729505</v>
      </c>
      <c r="S669" s="126">
        <f t="shared" si="187"/>
        <v>259.48114667295067</v>
      </c>
      <c r="T669" s="126">
        <f t="shared" si="197"/>
        <v>204.69</v>
      </c>
      <c r="U669" s="127">
        <f>(((IF(K669="New",0,SUMIF('MPG Payment '!$E$3:$E$34579,'Shayak Income '!D669,'MPG Payment '!$AC$3:$AC$34579))))+0)+0</f>
        <v>541.49854968604268</v>
      </c>
      <c r="V669" s="127">
        <f t="shared" si="198"/>
        <v>2734</v>
      </c>
      <c r="W669" s="19">
        <f t="shared" si="203"/>
        <v>0</v>
      </c>
      <c r="X669" s="19">
        <f t="shared" si="188"/>
        <v>0</v>
      </c>
      <c r="Y669" s="128">
        <f>IFERROR(VLOOKUP(D669,'Monthly Deduction'!$M$2:$N$64,2,0),0)</f>
        <v>0</v>
      </c>
      <c r="Z669" s="128">
        <v>0</v>
      </c>
      <c r="AA669" s="126">
        <f>IFERROR(VLOOKUP(D669,'Monthly Deduction'!A:B,2,0),0)</f>
        <v>0</v>
      </c>
      <c r="AB669" s="129">
        <f t="shared" si="189"/>
        <v>2734</v>
      </c>
      <c r="AC669" s="130">
        <v>0</v>
      </c>
      <c r="AD669" s="35">
        <f t="shared" si="200"/>
        <v>2734</v>
      </c>
      <c r="AE669" s="166" t="str">
        <f t="shared" si="201"/>
        <v>Release</v>
      </c>
      <c r="AF669" s="127"/>
      <c r="AG669" s="18">
        <v>0</v>
      </c>
      <c r="AH669" s="120"/>
      <c r="AI669" s="238">
        <v>0</v>
      </c>
      <c r="AJ669" s="132"/>
      <c r="AK669" s="151">
        <v>470.90000000000003</v>
      </c>
      <c r="AL669" s="154">
        <f t="shared" si="190"/>
        <v>0</v>
      </c>
      <c r="AM669" s="155"/>
      <c r="AN669" s="19">
        <f t="shared" si="191"/>
        <v>0</v>
      </c>
      <c r="AO669" s="118">
        <f>SUMIF('MPG Payment '!E:E,'Shayak Income '!D669,'MPG Payment '!AJ:AJ)</f>
        <v>0</v>
      </c>
      <c r="AP669" s="19">
        <f t="shared" si="192"/>
        <v>0</v>
      </c>
      <c r="AQ669" s="119">
        <f t="shared" si="202"/>
        <v>0</v>
      </c>
      <c r="AR669" s="91"/>
      <c r="AS669" s="91">
        <f t="shared" si="193"/>
        <v>0</v>
      </c>
      <c r="AT669" s="118"/>
      <c r="AU669" s="118"/>
      <c r="AV669" s="118"/>
    </row>
    <row r="670" spans="1:48" s="20" customFormat="1" x14ac:dyDescent="0.25">
      <c r="A670" s="17">
        <f>IFERROR(VLOOKUP(D670,'Monthly Deduction'!$I$3:$J$957,2,0),0)</f>
        <v>57283.8642297392</v>
      </c>
      <c r="B670" s="17">
        <f>IFERROR(VLOOKUP(D670,'Monthly Deduction'!$E$3:$F$957,2,0),0)</f>
        <v>0</v>
      </c>
      <c r="C670" s="17">
        <f t="shared" si="194"/>
        <v>57283.8642297392</v>
      </c>
      <c r="D670" s="41">
        <v>10030080</v>
      </c>
      <c r="E670" s="122" t="str">
        <f>VLOOKUP(D670,'MPG Payment '!$E$3:$G$498218,2,0)</f>
        <v>PAHALANPUR</v>
      </c>
      <c r="F670" s="146">
        <f>IFERROR(_xlfn.XLOOKUP(D670,'Monthly Deduction'!$I$3:$I$957,'Monthly Deduction'!$H$3:$H$957),0)</f>
        <v>0</v>
      </c>
      <c r="G670" s="123" t="str">
        <f>VLOOKUP(D670,'MPG Payment '!$E$3:$G$334579,3,0)</f>
        <v>MPG</v>
      </c>
      <c r="H670" s="124" t="str">
        <f>VLOOKUP(D670,'MPG Payment '!$E$3:$H$334579,4,0)</f>
        <v>Direct</v>
      </c>
      <c r="I670" s="88">
        <f>INDEX('MPG Payment '!$C:$C,MATCH('Shayak Income '!D670,'MPG Payment '!E:E,0))</f>
        <v>1003</v>
      </c>
      <c r="J670" s="88" t="str">
        <f>INDEX('MPG Payment '!$D:$D,MATCH('Shayak Income '!D670,'MPG Payment '!E:E,0))</f>
        <v>Asarganj</v>
      </c>
      <c r="K670" s="125" t="s">
        <v>1322</v>
      </c>
      <c r="L670" s="125">
        <v>45987</v>
      </c>
      <c r="M670" s="126">
        <f>SUMIF('MPG Payment '!$E$3:$E$34579,'Shayak Income '!D670,'MPG Payment '!$I$3:$I$34579)</f>
        <v>3440.35</v>
      </c>
      <c r="N670" s="126">
        <f>SUMIF('MPG Payment '!$E$3:$E$34579,'Shayak Income '!D670,'MPG Payment '!$J$3:$J$34579)</f>
        <v>134010.65137312998</v>
      </c>
      <c r="O670" s="126">
        <f t="shared" si="195"/>
        <v>2580.2624999999998</v>
      </c>
      <c r="P670" s="126">
        <f t="shared" si="196"/>
        <v>3268.3325</v>
      </c>
      <c r="Q670" s="126">
        <f>SUMIF('MPG Payment '!$E$3:$E$34579,'Shayak Income '!D670,'MPG Payment '!$S$3:$S$34579)</f>
        <v>0</v>
      </c>
      <c r="R670" s="126">
        <f t="shared" si="186"/>
        <v>4020.3195411938991</v>
      </c>
      <c r="S670" s="126">
        <f t="shared" si="187"/>
        <v>751.98704119389913</v>
      </c>
      <c r="T670" s="126">
        <f t="shared" si="197"/>
        <v>344.03500000000003</v>
      </c>
      <c r="U670" s="127">
        <f>(((IF(K670="New",0,SUMIF('MPG Payment '!$E$3:$E$34579,'Shayak Income '!D670,'MPG Payment '!$AC$3:$AC$34579))))+0)+0</f>
        <v>0</v>
      </c>
      <c r="V670" s="127">
        <f t="shared" si="198"/>
        <v>5505</v>
      </c>
      <c r="W670" s="19">
        <f t="shared" si="203"/>
        <v>2680.2130274625997</v>
      </c>
      <c r="X670" s="19">
        <v>0</v>
      </c>
      <c r="Y670" s="128">
        <f>IFERROR(VLOOKUP(D670,'Monthly Deduction'!$M$2:$N$64,2,0),0)</f>
        <v>0</v>
      </c>
      <c r="Z670" s="128">
        <v>0</v>
      </c>
      <c r="AA670" s="126">
        <f>IFERROR(VLOOKUP(D670,'Monthly Deduction'!A:B,2,0),0)</f>
        <v>0</v>
      </c>
      <c r="AB670" s="129">
        <f t="shared" si="189"/>
        <v>2825</v>
      </c>
      <c r="AC670" s="130">
        <f>AB670</f>
        <v>2825</v>
      </c>
      <c r="AD670" s="35">
        <f t="shared" si="200"/>
        <v>0</v>
      </c>
      <c r="AE670" s="166" t="str">
        <f t="shared" si="201"/>
        <v>Yes</v>
      </c>
      <c r="AF670" s="127"/>
      <c r="AG670" s="18">
        <v>0</v>
      </c>
      <c r="AH670" s="120" t="s">
        <v>1653</v>
      </c>
      <c r="AI670" s="238">
        <v>0</v>
      </c>
      <c r="AJ670" s="132"/>
      <c r="AK670" s="151">
        <v>1037.6500000000001</v>
      </c>
      <c r="AL670" s="154">
        <f t="shared" si="190"/>
        <v>0</v>
      </c>
      <c r="AM670" s="155"/>
      <c r="AN670" s="19">
        <f t="shared" si="191"/>
        <v>2680.2130274625997</v>
      </c>
      <c r="AO670" s="118">
        <f>SUMIF('MPG Payment '!E:E,'Shayak Income '!D670,'MPG Payment '!AJ:AJ)</f>
        <v>0</v>
      </c>
      <c r="AP670" s="19">
        <f t="shared" si="192"/>
        <v>2680.2130274625997</v>
      </c>
      <c r="AQ670" s="119">
        <f t="shared" si="202"/>
        <v>2680.2130274625997</v>
      </c>
      <c r="AR670" s="91" t="s">
        <v>1168</v>
      </c>
      <c r="AS670" s="91">
        <f t="shared" si="193"/>
        <v>0</v>
      </c>
      <c r="AT670" s="118"/>
      <c r="AU670" s="118"/>
      <c r="AV670" s="118"/>
    </row>
    <row r="671" spans="1:48" s="20" customFormat="1" x14ac:dyDescent="0.25">
      <c r="A671" s="17">
        <f>IFERROR(VLOOKUP(D671,'Monthly Deduction'!$I$3:$J$957,2,0),0)</f>
        <v>0</v>
      </c>
      <c r="B671" s="17">
        <f>IFERROR(VLOOKUP(D671,'Monthly Deduction'!$E$3:$F$957,2,0),0)</f>
        <v>0</v>
      </c>
      <c r="C671" s="17">
        <f t="shared" si="194"/>
        <v>0</v>
      </c>
      <c r="D671" s="41">
        <v>10030081</v>
      </c>
      <c r="E671" s="122" t="str">
        <f>VLOOKUP(D671,'MPG Payment '!$E$3:$G$498218,2,0)</f>
        <v>TETARIYA</v>
      </c>
      <c r="F671" s="146">
        <f>IFERROR(_xlfn.XLOOKUP(D671,'Monthly Deduction'!$I$3:$I$957,'Monthly Deduction'!$H$3:$H$957),0)</f>
        <v>0</v>
      </c>
      <c r="G671" s="123" t="str">
        <f>VLOOKUP(D671,'MPG Payment '!$E$3:$G$334579,3,0)</f>
        <v>vlc</v>
      </c>
      <c r="H671" s="124" t="str">
        <f>VLOOKUP(D671,'MPG Payment '!$E$3:$H$334579,4,0)</f>
        <v>Indirect</v>
      </c>
      <c r="I671" s="88">
        <f>INDEX('MPG Payment '!$C:$C,MATCH('Shayak Income '!D671,'MPG Payment '!E:E,0))</f>
        <v>1003</v>
      </c>
      <c r="J671" s="88" t="str">
        <f>INDEX('MPG Payment '!$D:$D,MATCH('Shayak Income '!D671,'MPG Payment '!E:E,0))</f>
        <v>Asarganj</v>
      </c>
      <c r="K671" s="125" t="s">
        <v>1322</v>
      </c>
      <c r="L671" s="125">
        <v>45982</v>
      </c>
      <c r="M671" s="126">
        <f>SUMIF('MPG Payment '!$E$3:$E$34579,'Shayak Income '!D671,'MPG Payment '!$I$3:$I$34579)</f>
        <v>837.40000000000009</v>
      </c>
      <c r="N671" s="126">
        <f>SUMIF('MPG Payment '!$E$3:$E$34579,'Shayak Income '!D671,'MPG Payment '!$J$3:$J$34579)</f>
        <v>28743.841118413999</v>
      </c>
      <c r="O671" s="126">
        <f t="shared" si="195"/>
        <v>628.05000000000007</v>
      </c>
      <c r="P671" s="126">
        <f t="shared" si="196"/>
        <v>795.53000000000009</v>
      </c>
      <c r="Q671" s="126">
        <f>SUMIF('MPG Payment '!$E$3:$E$34579,'Shayak Income '!D671,'MPG Payment '!$S$3:$S$34579)</f>
        <v>0</v>
      </c>
      <c r="R671" s="126">
        <f t="shared" si="186"/>
        <v>862.31523355241995</v>
      </c>
      <c r="S671" s="126">
        <f t="shared" si="187"/>
        <v>66.785233552419868</v>
      </c>
      <c r="T671" s="126">
        <f t="shared" si="197"/>
        <v>83.740000000000009</v>
      </c>
      <c r="U671" s="127">
        <f>(((IF(K671="New",0,SUMIF('MPG Payment '!$E$3:$E$34579,'Shayak Income '!D671,'MPG Payment '!$AC$3:$AC$34579))))+0)+-8</f>
        <v>1339.8739059707016</v>
      </c>
      <c r="V671" s="127">
        <f t="shared" si="198"/>
        <v>0</v>
      </c>
      <c r="W671" s="19">
        <v>0</v>
      </c>
      <c r="X671" s="19">
        <v>0</v>
      </c>
      <c r="Y671" s="128">
        <f>IFERROR(VLOOKUP(D671,'Monthly Deduction'!$M$2:$N$64,2,0),0)</f>
        <v>0</v>
      </c>
      <c r="Z671" s="128">
        <v>0</v>
      </c>
      <c r="AA671" s="126">
        <f>IFERROR(VLOOKUP(D671,'Monthly Deduction'!A:B,2,0),0)</f>
        <v>0</v>
      </c>
      <c r="AB671" s="129">
        <f t="shared" si="189"/>
        <v>0</v>
      </c>
      <c r="AC671" s="130">
        <v>0</v>
      </c>
      <c r="AD671" s="35">
        <f t="shared" si="200"/>
        <v>0</v>
      </c>
      <c r="AE671" s="166" t="str">
        <f t="shared" si="201"/>
        <v>Release</v>
      </c>
      <c r="AF671" s="127"/>
      <c r="AG671" s="127">
        <v>0</v>
      </c>
      <c r="AH671" s="132"/>
      <c r="AI671" s="238">
        <v>0</v>
      </c>
      <c r="AJ671" s="132"/>
      <c r="AK671" s="151">
        <v>85.65</v>
      </c>
      <c r="AL671" s="154">
        <f t="shared" si="190"/>
        <v>0</v>
      </c>
      <c r="AM671" s="155"/>
      <c r="AN671" s="19">
        <f t="shared" si="191"/>
        <v>0</v>
      </c>
      <c r="AO671" s="118">
        <f>SUMIF('MPG Payment '!E:E,'Shayak Income '!D671,'MPG Payment '!AJ:AJ)</f>
        <v>0</v>
      </c>
      <c r="AP671" s="19">
        <f t="shared" si="192"/>
        <v>0</v>
      </c>
      <c r="AQ671" s="119">
        <f t="shared" si="202"/>
        <v>0</v>
      </c>
      <c r="AR671" s="91"/>
      <c r="AS671" s="91">
        <f t="shared" si="193"/>
        <v>0</v>
      </c>
      <c r="AT671" s="118"/>
      <c r="AU671" s="118"/>
      <c r="AV671" s="118"/>
    </row>
    <row r="672" spans="1:48" s="20" customFormat="1" x14ac:dyDescent="0.25">
      <c r="A672" s="17">
        <f>IFERROR(VLOOKUP(D672,'Monthly Deduction'!$I$3:$J$957,2,0),0)</f>
        <v>96922</v>
      </c>
      <c r="B672" s="17">
        <f>IFERROR(VLOOKUP(D672,'Monthly Deduction'!$E$3:$F$957,2,0),0)</f>
        <v>0</v>
      </c>
      <c r="C672" s="17">
        <f t="shared" si="194"/>
        <v>96922</v>
      </c>
      <c r="D672" s="41">
        <v>10120113</v>
      </c>
      <c r="E672" s="122" t="str">
        <f>VLOOKUP(D672,'MPG Payment '!$E$3:$G$498218,2,0)</f>
        <v>GOMUKH BIBHUTIPUR</v>
      </c>
      <c r="F672" s="146">
        <f>IFERROR(_xlfn.XLOOKUP(D672,'Monthly Deduction'!$I$3:$I$957,'Monthly Deduction'!$H$3:$H$957),0)</f>
        <v>0</v>
      </c>
      <c r="G672" s="123" t="str">
        <f>VLOOKUP(D672,'MPG Payment '!$E$3:$G$334579,3,0)</f>
        <v>MPG</v>
      </c>
      <c r="H672" s="124" t="str">
        <f>VLOOKUP(D672,'MPG Payment '!$E$3:$H$334579,4,0)</f>
        <v>Direct</v>
      </c>
      <c r="I672" s="88">
        <f>INDEX('MPG Payment '!$C:$C,MATCH('Shayak Income '!D672,'MPG Payment '!E:E,0))</f>
        <v>1012</v>
      </c>
      <c r="J672" s="88" t="str">
        <f>INDEX('MPG Payment '!$D:$D,MATCH('Shayak Income '!D672,'MPG Payment '!E:E,0))</f>
        <v>DalsinghSarai</v>
      </c>
      <c r="K672" s="125" t="s">
        <v>1322</v>
      </c>
      <c r="L672" s="125">
        <v>45986</v>
      </c>
      <c r="M672" s="126">
        <f>SUMIF('MPG Payment '!$E$3:$E$34579,'Shayak Income '!D672,'MPG Payment '!$I$3:$I$34579)</f>
        <v>215.67</v>
      </c>
      <c r="N672" s="126">
        <f>SUMIF('MPG Payment '!$E$3:$E$34579,'Shayak Income '!D672,'MPG Payment '!$J$3:$J$34579)</f>
        <v>8431.3120343539995</v>
      </c>
      <c r="O672" s="126">
        <f t="shared" si="195"/>
        <v>161.7525</v>
      </c>
      <c r="P672" s="126">
        <f t="shared" si="196"/>
        <v>204.88649999999998</v>
      </c>
      <c r="Q672" s="126">
        <f>SUMIF('MPG Payment '!$E$3:$E$34579,'Shayak Income '!D672,'MPG Payment '!$S$3:$S$34579)</f>
        <v>6.7770707400000019</v>
      </c>
      <c r="R672" s="126">
        <f t="shared" si="186"/>
        <v>252.93936103061998</v>
      </c>
      <c r="S672" s="126">
        <f t="shared" si="187"/>
        <v>48.052861030619994</v>
      </c>
      <c r="T672" s="126">
        <f t="shared" si="197"/>
        <v>21.567</v>
      </c>
      <c r="U672" s="127">
        <f>(((IF(K672="New",0,SUMIF('MPG Payment '!$E$3:$E$34579,'Shayak Income '!D672,'MPG Payment '!$AC$3:$AC$34579))))+0)+-1667</f>
        <v>352.22752358772095</v>
      </c>
      <c r="V672" s="127">
        <f t="shared" si="198"/>
        <v>0</v>
      </c>
      <c r="W672" s="19">
        <v>0</v>
      </c>
      <c r="X672" s="19">
        <v>0</v>
      </c>
      <c r="Y672" s="128">
        <f>IFERROR(VLOOKUP(D672,'Monthly Deduction'!$M$2:$N$64,2,0),0)</f>
        <v>0</v>
      </c>
      <c r="Z672" s="128">
        <v>0</v>
      </c>
      <c r="AA672" s="126">
        <f>IFERROR(VLOOKUP(D672,'Monthly Deduction'!A:B,2,0),0)</f>
        <v>0</v>
      </c>
      <c r="AB672" s="129">
        <f t="shared" si="189"/>
        <v>0</v>
      </c>
      <c r="AC672" s="130">
        <f>AB672</f>
        <v>0</v>
      </c>
      <c r="AD672" s="35">
        <f t="shared" si="200"/>
        <v>0</v>
      </c>
      <c r="AE672" s="166" t="str">
        <f t="shared" si="201"/>
        <v>Release</v>
      </c>
      <c r="AF672" s="127"/>
      <c r="AG672" s="18">
        <v>0</v>
      </c>
      <c r="AH672" s="120" t="s">
        <v>1646</v>
      </c>
      <c r="AI672" s="238">
        <v>7922</v>
      </c>
      <c r="AJ672" s="132"/>
      <c r="AK672" s="151">
        <v>49.749999999999993</v>
      </c>
      <c r="AL672" s="154">
        <f t="shared" si="190"/>
        <v>0</v>
      </c>
      <c r="AM672" s="155"/>
      <c r="AN672" s="19">
        <f t="shared" si="191"/>
        <v>1861</v>
      </c>
      <c r="AO672" s="118">
        <f>SUMIF('MPG Payment '!E:E,'Shayak Income '!D672,'MPG Payment '!AJ:AJ)</f>
        <v>500</v>
      </c>
      <c r="AP672" s="19">
        <f t="shared" si="192"/>
        <v>0</v>
      </c>
      <c r="AQ672" s="119">
        <f t="shared" si="202"/>
        <v>500</v>
      </c>
      <c r="AR672" s="91"/>
      <c r="AS672" s="91">
        <f t="shared" si="193"/>
        <v>0</v>
      </c>
      <c r="AT672" s="118"/>
      <c r="AU672" s="118"/>
      <c r="AV672" s="118"/>
    </row>
    <row r="673" spans="1:48" s="20" customFormat="1" x14ac:dyDescent="0.25">
      <c r="A673" s="17">
        <f>IFERROR(VLOOKUP(D673,'Monthly Deduction'!$I$3:$J$957,2,0),0)</f>
        <v>70645.244744661963</v>
      </c>
      <c r="B673" s="17">
        <f>IFERROR(VLOOKUP(D673,'Monthly Deduction'!$E$3:$F$957,2,0),0)</f>
        <v>0</v>
      </c>
      <c r="C673" s="17">
        <f t="shared" si="194"/>
        <v>70645.244744661963</v>
      </c>
      <c r="D673" s="41">
        <v>10530084</v>
      </c>
      <c r="E673" s="122" t="str">
        <f>VLOOKUP(D673,'MPG Payment '!$E$3:$G$498218,2,0)</f>
        <v>GOMUKH JITWARIYA W-6</v>
      </c>
      <c r="F673" s="146">
        <f>IFERROR(_xlfn.XLOOKUP(D673,'Monthly Deduction'!$I$3:$I$957,'Monthly Deduction'!$H$3:$H$957),0)</f>
        <v>0</v>
      </c>
      <c r="G673" s="123" t="str">
        <f>VLOOKUP(D673,'MPG Payment '!$E$3:$G$334579,3,0)</f>
        <v>MPG</v>
      </c>
      <c r="H673" s="124" t="str">
        <f>VLOOKUP(D673,'MPG Payment '!$E$3:$H$334579,4,0)</f>
        <v>Direct</v>
      </c>
      <c r="I673" s="88">
        <f>INDEX('MPG Payment '!$C:$C,MATCH('Shayak Income '!D673,'MPG Payment '!E:E,0))</f>
        <v>1053</v>
      </c>
      <c r="J673" s="88" t="str">
        <f>INDEX('MPG Payment '!$D:$D,MATCH('Shayak Income '!D673,'MPG Payment '!E:E,0))</f>
        <v>Kalyanpur</v>
      </c>
      <c r="K673" s="125" t="s">
        <v>1322</v>
      </c>
      <c r="L673" s="125">
        <v>45982</v>
      </c>
      <c r="M673" s="126">
        <f>SUMIF('MPG Payment '!$E$3:$E$34579,'Shayak Income '!D673,'MPG Payment '!$I$3:$I$34579)</f>
        <v>7914.25</v>
      </c>
      <c r="N673" s="126">
        <f>SUMIF('MPG Payment '!$E$3:$E$34579,'Shayak Income '!D673,'MPG Payment '!$J$3:$J$34579)</f>
        <v>323099.04141711444</v>
      </c>
      <c r="O673" s="126">
        <f t="shared" si="195"/>
        <v>5935.6875</v>
      </c>
      <c r="P673" s="126">
        <f t="shared" si="196"/>
        <v>7518.5374999999995</v>
      </c>
      <c r="Q673" s="126">
        <f>SUMIF('MPG Payment '!$E$3:$E$34579,'Shayak Income '!D673,'MPG Payment '!$S$3:$S$34579)</f>
        <v>3589.9300563231009</v>
      </c>
      <c r="R673" s="126">
        <f t="shared" si="186"/>
        <v>9692.971242513433</v>
      </c>
      <c r="S673" s="126">
        <f t="shared" si="187"/>
        <v>2174.4337425134336</v>
      </c>
      <c r="T673" s="126">
        <f t="shared" si="197"/>
        <v>791.42500000000007</v>
      </c>
      <c r="U673" s="127">
        <f>(((IF(K673="New",0,SUMIF('MPG Payment '!$E$3:$E$34579,'Shayak Income '!D673,'MPG Payment '!$AC$3:$AC$34579))))+0)+0</f>
        <v>0</v>
      </c>
      <c r="V673" s="127">
        <f t="shared" si="198"/>
        <v>16253</v>
      </c>
      <c r="W673" s="19">
        <f t="shared" si="203"/>
        <v>6461.980828342289</v>
      </c>
      <c r="X673" s="19">
        <v>0</v>
      </c>
      <c r="Y673" s="128">
        <f>IFERROR(VLOOKUP(D673,'Monthly Deduction'!$M$2:$N$64,2,0),0)</f>
        <v>0</v>
      </c>
      <c r="Z673" s="128">
        <v>0</v>
      </c>
      <c r="AA673" s="126">
        <f>IFERROR(VLOOKUP(D673,'Monthly Deduction'!A:B,2,0),0)</f>
        <v>0</v>
      </c>
      <c r="AB673" s="129">
        <f t="shared" si="189"/>
        <v>9791</v>
      </c>
      <c r="AC673" s="130">
        <v>0</v>
      </c>
      <c r="AD673" s="35">
        <f t="shared" si="200"/>
        <v>9791</v>
      </c>
      <c r="AE673" s="166" t="str">
        <f t="shared" si="201"/>
        <v>Release</v>
      </c>
      <c r="AF673" s="127"/>
      <c r="AG673" s="18">
        <v>0</v>
      </c>
      <c r="AH673" s="132"/>
      <c r="AI673" s="238">
        <v>0</v>
      </c>
      <c r="AJ673" s="132"/>
      <c r="AK673" s="151">
        <v>2189.6500000000005</v>
      </c>
      <c r="AL673" s="154">
        <f t="shared" si="190"/>
        <v>0</v>
      </c>
      <c r="AM673" s="155"/>
      <c r="AN673" s="19">
        <f t="shared" si="191"/>
        <v>6461.980828342289</v>
      </c>
      <c r="AO673" s="118">
        <f>SUMIF('MPG Payment '!E:E,'Shayak Income '!D673,'MPG Payment '!AJ:AJ)</f>
        <v>0</v>
      </c>
      <c r="AP673" s="19">
        <f t="shared" si="192"/>
        <v>6461.980828342289</v>
      </c>
      <c r="AQ673" s="119">
        <f t="shared" si="202"/>
        <v>6461.980828342289</v>
      </c>
      <c r="AR673" s="91"/>
      <c r="AS673" s="91">
        <f t="shared" si="193"/>
        <v>0</v>
      </c>
      <c r="AT673" s="118"/>
      <c r="AU673" s="118"/>
      <c r="AV673" s="118"/>
    </row>
    <row r="674" spans="1:48" s="20" customFormat="1" x14ac:dyDescent="0.25">
      <c r="A674" s="17">
        <f>IFERROR(VLOOKUP(D674,'Monthly Deduction'!$I$3:$J$957,2,0),0)</f>
        <v>65240.812780763088</v>
      </c>
      <c r="B674" s="17">
        <f>IFERROR(VLOOKUP(D674,'Monthly Deduction'!$E$3:$F$957,2,0),0)</f>
        <v>0</v>
      </c>
      <c r="C674" s="17">
        <f t="shared" si="194"/>
        <v>65240.812780763088</v>
      </c>
      <c r="D674" s="41">
        <v>10030068</v>
      </c>
      <c r="E674" s="122" t="str">
        <f>VLOOKUP(D674,'MPG Payment '!$E$3:$G$498218,2,0)</f>
        <v>DORAI</v>
      </c>
      <c r="F674" s="146">
        <f>IFERROR(_xlfn.XLOOKUP(D674,'Monthly Deduction'!$I$3:$I$957,'Monthly Deduction'!$H$3:$H$957),0)</f>
        <v>0</v>
      </c>
      <c r="G674" s="123" t="str">
        <f>VLOOKUP(D674,'MPG Payment '!$E$3:$G$334579,3,0)</f>
        <v>MPG</v>
      </c>
      <c r="H674" s="124" t="str">
        <f>VLOOKUP(D674,'MPG Payment '!$E$3:$H$334579,4,0)</f>
        <v>Direct</v>
      </c>
      <c r="I674" s="88">
        <f>INDEX('MPG Payment '!$C:$C,MATCH('Shayak Income '!D674,'MPG Payment '!E:E,0))</f>
        <v>1003</v>
      </c>
      <c r="J674" s="88" t="str">
        <f>INDEX('MPG Payment '!$D:$D,MATCH('Shayak Income '!D674,'MPG Payment '!E:E,0))</f>
        <v>Asarganj</v>
      </c>
      <c r="K674" s="125" t="s">
        <v>1322</v>
      </c>
      <c r="L674" s="125">
        <v>45654</v>
      </c>
      <c r="M674" s="126">
        <f>SUMIF('MPG Payment '!$E$3:$E$34579,'Shayak Income '!D674,'MPG Payment '!$I$3:$I$34579)</f>
        <v>4439.95</v>
      </c>
      <c r="N674" s="126">
        <f>SUMIF('MPG Payment '!$E$3:$E$34579,'Shayak Income '!D674,'MPG Payment '!$J$3:$J$34579)</f>
        <v>163673.85630739998</v>
      </c>
      <c r="O674" s="126">
        <f t="shared" si="195"/>
        <v>3329.9624999999996</v>
      </c>
      <c r="P674" s="126">
        <f t="shared" si="196"/>
        <v>4217.9524999999994</v>
      </c>
      <c r="Q674" s="126">
        <f>SUMIF('MPG Payment '!$E$3:$E$34579,'Shayak Income '!D674,'MPG Payment '!$S$3:$S$34579)</f>
        <v>6145.3778785841932</v>
      </c>
      <c r="R674" s="126">
        <f t="shared" si="186"/>
        <v>4910.2156892219991</v>
      </c>
      <c r="S674" s="126">
        <f t="shared" si="187"/>
        <v>692.26318922199971</v>
      </c>
      <c r="T674" s="126">
        <f t="shared" si="197"/>
        <v>443.995</v>
      </c>
      <c r="U674" s="127">
        <f>(((IF(K674="New",0,SUMIF('MPG Payment '!$E$3:$E$34579,'Shayak Income '!D674,'MPG Payment '!$AC$3:$AC$34579))))+0)+0</f>
        <v>0</v>
      </c>
      <c r="V674" s="127">
        <f t="shared" si="198"/>
        <v>13249</v>
      </c>
      <c r="W674" s="19">
        <f t="shared" si="203"/>
        <v>3273.4771261479996</v>
      </c>
      <c r="X674" s="19">
        <v>0</v>
      </c>
      <c r="Y674" s="128">
        <f>IFERROR(VLOOKUP(D674,'Monthly Deduction'!$M$2:$N$64,2,0),0)</f>
        <v>0</v>
      </c>
      <c r="Z674" s="128">
        <v>0</v>
      </c>
      <c r="AA674" s="126">
        <f>IFERROR(VLOOKUP(D674,'Monthly Deduction'!A:B,2,0),0)</f>
        <v>0</v>
      </c>
      <c r="AB674" s="129">
        <f t="shared" si="189"/>
        <v>9976</v>
      </c>
      <c r="AC674" s="130">
        <v>0</v>
      </c>
      <c r="AD674" s="35">
        <f t="shared" si="200"/>
        <v>9976</v>
      </c>
      <c r="AE674" s="166" t="str">
        <f t="shared" si="201"/>
        <v>Release</v>
      </c>
      <c r="AF674" s="127"/>
      <c r="AG674" s="18">
        <v>0</v>
      </c>
      <c r="AH674" s="132"/>
      <c r="AI674" s="238">
        <v>0</v>
      </c>
      <c r="AJ674" s="132"/>
      <c r="AK674" s="151">
        <v>1166.9000000000001</v>
      </c>
      <c r="AL674" s="154">
        <f t="shared" si="190"/>
        <v>0</v>
      </c>
      <c r="AM674" s="155"/>
      <c r="AN674" s="19">
        <f t="shared" si="191"/>
        <v>3273.4771261479996</v>
      </c>
      <c r="AO674" s="118">
        <f>SUMIF('MPG Payment '!E:E,'Shayak Income '!D674,'MPG Payment '!AJ:AJ)</f>
        <v>0</v>
      </c>
      <c r="AP674" s="19">
        <f t="shared" si="192"/>
        <v>3273.4771261479996</v>
      </c>
      <c r="AQ674" s="119">
        <f t="shared" si="202"/>
        <v>3273.4771261479996</v>
      </c>
      <c r="AR674" s="91" t="s">
        <v>1168</v>
      </c>
      <c r="AS674" s="91">
        <f t="shared" si="193"/>
        <v>0</v>
      </c>
      <c r="AT674" s="118"/>
      <c r="AU674" s="118"/>
      <c r="AV674" s="118"/>
    </row>
    <row r="675" spans="1:48" s="20" customFormat="1" x14ac:dyDescent="0.25">
      <c r="A675" s="17">
        <f>IFERROR(VLOOKUP(D675,'Monthly Deduction'!$I$3:$J$957,2,0),0)</f>
        <v>69173</v>
      </c>
      <c r="B675" s="17">
        <f>IFERROR(VLOOKUP(D675,'Monthly Deduction'!$E$3:$F$957,2,0),0)</f>
        <v>0</v>
      </c>
      <c r="C675" s="17">
        <f t="shared" si="194"/>
        <v>69173</v>
      </c>
      <c r="D675" s="41">
        <v>10060124</v>
      </c>
      <c r="E675" s="122" t="str">
        <f>VLOOKUP(D675,'MPG Payment '!$E$3:$G$498218,2,0)</f>
        <v>SINGHOL</v>
      </c>
      <c r="F675" s="146">
        <f>IFERROR(_xlfn.XLOOKUP(D675,'Monthly Deduction'!$I$3:$I$957,'Monthly Deduction'!$H$3:$H$957),0)</f>
        <v>0</v>
      </c>
      <c r="G675" s="123" t="str">
        <f>VLOOKUP(D675,'MPG Payment '!$E$3:$G$334579,3,0)</f>
        <v>MPG</v>
      </c>
      <c r="H675" s="124" t="str">
        <f>VLOOKUP(D675,'MPG Payment '!$E$3:$H$334579,4,0)</f>
        <v>Direct</v>
      </c>
      <c r="I675" s="88">
        <f>INDEX('MPG Payment '!$C:$C,MATCH('Shayak Income '!D675,'MPG Payment '!E:E,0))</f>
        <v>1059</v>
      </c>
      <c r="J675" s="88" t="str">
        <f>INDEX('MPG Payment '!$D:$D,MATCH('Shayak Income '!D675,'MPG Payment '!E:E,0))</f>
        <v>Gopalpur Bmc</v>
      </c>
      <c r="K675" s="125" t="s">
        <v>1322</v>
      </c>
      <c r="L675" s="125">
        <v>45992</v>
      </c>
      <c r="M675" s="126">
        <f>SUMIF('MPG Payment '!$E$3:$E$34579,'Shayak Income '!D675,'MPG Payment '!$I$3:$I$34579)</f>
        <v>60.7</v>
      </c>
      <c r="N675" s="126">
        <f>SUMIF('MPG Payment '!$E$3:$E$34579,'Shayak Income '!D675,'MPG Payment '!$J$3:$J$34579)</f>
        <v>2509.9100000000003</v>
      </c>
      <c r="O675" s="126">
        <f t="shared" si="195"/>
        <v>45.525000000000006</v>
      </c>
      <c r="P675" s="126">
        <f t="shared" si="196"/>
        <v>57.664999999999999</v>
      </c>
      <c r="Q675" s="126">
        <f>SUMIF('MPG Payment '!$E$3:$E$34579,'Shayak Income '!D675,'MPG Payment '!$S$3:$S$34579)</f>
        <v>0</v>
      </c>
      <c r="R675" s="126">
        <f t="shared" si="186"/>
        <v>75.297300000000007</v>
      </c>
      <c r="S675" s="126">
        <f t="shared" si="187"/>
        <v>17.632300000000008</v>
      </c>
      <c r="T675" s="126">
        <f t="shared" si="197"/>
        <v>6.07</v>
      </c>
      <c r="U675" s="127">
        <f>(((IF(K675="New",0,SUMIF('MPG Payment '!$E$3:$E$34579,'Shayak Income '!D675,'MPG Payment '!$AC$3:$AC$34579))))+0)+-1604</f>
        <v>97.533055435746974</v>
      </c>
      <c r="V675" s="127">
        <f t="shared" si="198"/>
        <v>0</v>
      </c>
      <c r="W675" s="19">
        <v>0</v>
      </c>
      <c r="X675" s="19">
        <v>0</v>
      </c>
      <c r="Y675" s="128">
        <f>IFERROR(VLOOKUP(D675,'Monthly Deduction'!$M$2:$N$64,2,0),0)</f>
        <v>0</v>
      </c>
      <c r="Z675" s="128">
        <v>0</v>
      </c>
      <c r="AA675" s="126">
        <f>IFERROR(VLOOKUP(D675,'Monthly Deduction'!A:B,2,0),0)</f>
        <v>0</v>
      </c>
      <c r="AB675" s="129">
        <f t="shared" si="189"/>
        <v>0</v>
      </c>
      <c r="AC675" s="130">
        <f>AB675</f>
        <v>0</v>
      </c>
      <c r="AD675" s="35">
        <f t="shared" si="200"/>
        <v>0</v>
      </c>
      <c r="AE675" s="166" t="str">
        <f t="shared" si="201"/>
        <v>Release</v>
      </c>
      <c r="AF675" s="127"/>
      <c r="AG675" s="18">
        <v>0</v>
      </c>
      <c r="AH675" s="120" t="s">
        <v>1651</v>
      </c>
      <c r="AI675" s="238">
        <v>4173</v>
      </c>
      <c r="AJ675" s="132"/>
      <c r="AK675" s="151">
        <v>0</v>
      </c>
      <c r="AL675" s="154">
        <f t="shared" si="190"/>
        <v>0</v>
      </c>
      <c r="AM675" s="155"/>
      <c r="AN675" s="19">
        <f t="shared" si="191"/>
        <v>1861</v>
      </c>
      <c r="AO675" s="118">
        <f>SUMIF('MPG Payment '!E:E,'Shayak Income '!D675,'MPG Payment '!AJ:AJ)</f>
        <v>0</v>
      </c>
      <c r="AP675" s="19">
        <f t="shared" si="192"/>
        <v>0</v>
      </c>
      <c r="AQ675" s="119">
        <f t="shared" si="202"/>
        <v>0</v>
      </c>
      <c r="AR675" s="91" t="s">
        <v>1168</v>
      </c>
      <c r="AS675" s="91">
        <f t="shared" si="193"/>
        <v>0</v>
      </c>
      <c r="AT675" s="118"/>
      <c r="AU675" s="118"/>
      <c r="AV675" s="118"/>
    </row>
    <row r="676" spans="1:48" s="20" customFormat="1" x14ac:dyDescent="0.25">
      <c r="A676" s="17">
        <f>IFERROR(VLOOKUP(D676,'Monthly Deduction'!$I$3:$J$957,2,0),0)</f>
        <v>59788.036</v>
      </c>
      <c r="B676" s="17">
        <f>IFERROR(VLOOKUP(D676,'Monthly Deduction'!$E$3:$F$957,2,0),0)</f>
        <v>0</v>
      </c>
      <c r="C676" s="17">
        <f t="shared" si="194"/>
        <v>59788.036</v>
      </c>
      <c r="D676" s="41">
        <v>10080115</v>
      </c>
      <c r="E676" s="122" t="str">
        <f>VLOOKUP(D676,'MPG Payment '!$E$3:$G$498218,2,0)</f>
        <v>Gaura</v>
      </c>
      <c r="F676" s="146">
        <f>IFERROR(_xlfn.XLOOKUP(D676,'Monthly Deduction'!$I$3:$I$957,'Monthly Deduction'!$H$3:$H$957),0)</f>
        <v>0</v>
      </c>
      <c r="G676" s="123" t="str">
        <f>VLOOKUP(D676,'MPG Payment '!$E$3:$G$334579,3,0)</f>
        <v>MPG</v>
      </c>
      <c r="H676" s="124" t="str">
        <f>VLOOKUP(D676,'MPG Payment '!$E$3:$H$334579,4,0)</f>
        <v>Direct</v>
      </c>
      <c r="I676" s="88">
        <f>INDEX('MPG Payment '!$C:$C,MATCH('Shayak Income '!D676,'MPG Payment '!E:E,0))</f>
        <v>1008</v>
      </c>
      <c r="J676" s="88" t="str">
        <f>INDEX('MPG Payment '!$D:$D,MATCH('Shayak Income '!D676,'MPG Payment '!E:E,0))</f>
        <v>Teghra</v>
      </c>
      <c r="K676" s="125" t="s">
        <v>1322</v>
      </c>
      <c r="L676" s="125">
        <v>45992</v>
      </c>
      <c r="M676" s="126">
        <f>SUMIF('MPG Payment '!$E$3:$E$34579,'Shayak Income '!D676,'MPG Payment '!$I$3:$I$34579)</f>
        <v>1658.6</v>
      </c>
      <c r="N676" s="126">
        <f>SUMIF('MPG Payment '!$E$3:$E$34579,'Shayak Income '!D676,'MPG Payment '!$J$3:$J$34579)</f>
        <v>62388.923123075008</v>
      </c>
      <c r="O676" s="126">
        <f t="shared" si="195"/>
        <v>1243.9499999999998</v>
      </c>
      <c r="P676" s="126">
        <f t="shared" si="196"/>
        <v>1575.6699999999998</v>
      </c>
      <c r="Q676" s="126">
        <f>SUMIF('MPG Payment '!$E$3:$E$34579,'Shayak Income '!D676,'MPG Payment '!$S$3:$S$34579)</f>
        <v>0</v>
      </c>
      <c r="R676" s="126">
        <f t="shared" si="186"/>
        <v>1871.6676936922502</v>
      </c>
      <c r="S676" s="126">
        <f t="shared" si="187"/>
        <v>295.99769369225032</v>
      </c>
      <c r="T676" s="126">
        <f t="shared" si="197"/>
        <v>165.86</v>
      </c>
      <c r="U676" s="127">
        <f>(((IF(K676="New",0,SUMIF('MPG Payment '!$E$3:$E$34579,'Shayak Income '!D676,'MPG Payment '!$AC$3:$AC$34579))))+0)+0</f>
        <v>862.90290500077845</v>
      </c>
      <c r="V676" s="127">
        <f t="shared" si="198"/>
        <v>1791</v>
      </c>
      <c r="W676" s="19">
        <v>1791</v>
      </c>
      <c r="X676" s="19">
        <v>0</v>
      </c>
      <c r="Y676" s="128">
        <f>IFERROR(VLOOKUP(D676,'Monthly Deduction'!$M$2:$N$64,2,0),0)</f>
        <v>0</v>
      </c>
      <c r="Z676" s="128">
        <v>0</v>
      </c>
      <c r="AA676" s="126">
        <f>IFERROR(VLOOKUP(D676,'Monthly Deduction'!A:B,2,0),0)</f>
        <v>0</v>
      </c>
      <c r="AB676" s="129">
        <f t="shared" si="189"/>
        <v>0</v>
      </c>
      <c r="AC676" s="130">
        <v>0</v>
      </c>
      <c r="AD676" s="35">
        <f t="shared" si="200"/>
        <v>0</v>
      </c>
      <c r="AE676" s="166" t="str">
        <f t="shared" si="201"/>
        <v>Release</v>
      </c>
      <c r="AF676" s="127"/>
      <c r="AG676" s="127">
        <v>0</v>
      </c>
      <c r="AH676" s="120"/>
      <c r="AI676" s="238">
        <v>0</v>
      </c>
      <c r="AJ676" s="132"/>
      <c r="AK676" s="151">
        <v>477.6</v>
      </c>
      <c r="AL676" s="154">
        <f t="shared" si="190"/>
        <v>0</v>
      </c>
      <c r="AM676" s="155"/>
      <c r="AN676" s="19">
        <f t="shared" si="191"/>
        <v>1861</v>
      </c>
      <c r="AO676" s="118">
        <f>SUMIF('MPG Payment '!E:E,'Shayak Income '!D676,'MPG Payment '!AJ:AJ)</f>
        <v>0</v>
      </c>
      <c r="AP676" s="19">
        <f t="shared" si="192"/>
        <v>1791</v>
      </c>
      <c r="AQ676" s="119">
        <f t="shared" si="202"/>
        <v>1791</v>
      </c>
      <c r="AR676" s="91" t="s">
        <v>1168</v>
      </c>
      <c r="AS676" s="91">
        <f t="shared" si="193"/>
        <v>0</v>
      </c>
      <c r="AT676" s="118"/>
      <c r="AU676" s="118"/>
      <c r="AV676" s="118"/>
    </row>
    <row r="677" spans="1:48" s="20" customFormat="1" x14ac:dyDescent="0.25">
      <c r="A677" s="17">
        <f>IFERROR(VLOOKUP(D677,'Monthly Deduction'!$I$3:$J$957,2,0),0)</f>
        <v>19909.754973523493</v>
      </c>
      <c r="B677" s="17">
        <f>IFERROR(VLOOKUP(D677,'Monthly Deduction'!$E$3:$F$957,2,0),0)</f>
        <v>6400</v>
      </c>
      <c r="C677" s="17">
        <f t="shared" si="194"/>
        <v>26309.754973523493</v>
      </c>
      <c r="D677" s="41">
        <v>10110032</v>
      </c>
      <c r="E677" s="122" t="str">
        <f>VLOOKUP(D677,'MPG Payment '!$E$3:$G$498218,2,0)</f>
        <v>Gomukh Kumar Chakki</v>
      </c>
      <c r="F677" s="146">
        <f>IFERROR(_xlfn.XLOOKUP(D677,'Monthly Deduction'!$I$3:$I$957,'Monthly Deduction'!$H$3:$H$957),0)</f>
        <v>0</v>
      </c>
      <c r="G677" s="123" t="str">
        <f>VLOOKUP(D677,'MPG Payment '!$E$3:$G$334579,3,0)</f>
        <v>MPG</v>
      </c>
      <c r="H677" s="124" t="str">
        <f>VLOOKUP(D677,'MPG Payment '!$E$3:$H$334579,4,0)</f>
        <v>Direct</v>
      </c>
      <c r="I677" s="88">
        <f>INDEX('MPG Payment '!$C:$C,MATCH('Shayak Income '!D677,'MPG Payment '!E:E,0))</f>
        <v>1011</v>
      </c>
      <c r="J677" s="88" t="str">
        <f>INDEX('MPG Payment '!$D:$D,MATCH('Shayak Income '!D677,'MPG Payment '!E:E,0))</f>
        <v>Sahibpur Kamal</v>
      </c>
      <c r="K677" s="125" t="s">
        <v>1322</v>
      </c>
      <c r="L677" s="125">
        <v>45012</v>
      </c>
      <c r="M677" s="126">
        <f>SUMIF('MPG Payment '!$E$3:$E$34579,'Shayak Income '!D677,'MPG Payment '!$I$3:$I$34579)</f>
        <v>1023.3000000000001</v>
      </c>
      <c r="N677" s="126">
        <f>SUMIF('MPG Payment '!$E$3:$E$34579,'Shayak Income '!D677,'MPG Payment '!$J$3:$J$34579)</f>
        <v>35429.103393820005</v>
      </c>
      <c r="O677" s="126">
        <f t="shared" si="195"/>
        <v>767.47500000000002</v>
      </c>
      <c r="P677" s="126">
        <f t="shared" si="196"/>
        <v>972.13499999999999</v>
      </c>
      <c r="Q677" s="126">
        <f>SUMIF('MPG Payment '!$E$3:$E$34579,'Shayak Income '!D677,'MPG Payment '!$S$3:$S$34579)</f>
        <v>135.32024808</v>
      </c>
      <c r="R677" s="126">
        <f t="shared" si="186"/>
        <v>1062.8731018146002</v>
      </c>
      <c r="S677" s="126">
        <f t="shared" si="187"/>
        <v>90.738101814600213</v>
      </c>
      <c r="T677" s="126">
        <f t="shared" si="197"/>
        <v>102.33000000000001</v>
      </c>
      <c r="U677" s="127">
        <f>(((IF(K677="New",0,SUMIF('MPG Payment '!$E$3:$E$34579,'Shayak Income '!D677,'MPG Payment '!$AC$3:$AC$34579))))+0)+0</f>
        <v>1228.7545093945841</v>
      </c>
      <c r="V677" s="127">
        <f t="shared" si="198"/>
        <v>544</v>
      </c>
      <c r="W677" s="19">
        <v>544</v>
      </c>
      <c r="X677" s="19">
        <v>0</v>
      </c>
      <c r="Y677" s="128">
        <f>IFERROR(VLOOKUP(D677,'Monthly Deduction'!$M$2:$N$64,2,0),0)</f>
        <v>0</v>
      </c>
      <c r="Z677" s="128">
        <v>0</v>
      </c>
      <c r="AA677" s="126">
        <f>IFERROR(VLOOKUP(D677,'Monthly Deduction'!A:B,2,0),0)</f>
        <v>0</v>
      </c>
      <c r="AB677" s="129">
        <f t="shared" si="189"/>
        <v>0</v>
      </c>
      <c r="AC677" s="130">
        <v>0</v>
      </c>
      <c r="AD677" s="35">
        <f t="shared" si="200"/>
        <v>0</v>
      </c>
      <c r="AE677" s="166" t="str">
        <f t="shared" si="201"/>
        <v>Release</v>
      </c>
      <c r="AF677" s="127"/>
      <c r="AG677" s="18">
        <v>0</v>
      </c>
      <c r="AH677" s="120"/>
      <c r="AI677" s="238">
        <v>0</v>
      </c>
      <c r="AJ677" s="132"/>
      <c r="AK677" s="151">
        <v>285.40000000000003</v>
      </c>
      <c r="AL677" s="154">
        <f t="shared" si="190"/>
        <v>0</v>
      </c>
      <c r="AM677" s="155"/>
      <c r="AN677" s="19">
        <f t="shared" si="191"/>
        <v>1861</v>
      </c>
      <c r="AO677" s="118">
        <f>SUMIF('MPG Payment '!E:E,'Shayak Income '!D677,'MPG Payment '!AJ:AJ)</f>
        <v>500</v>
      </c>
      <c r="AP677" s="19">
        <f t="shared" si="192"/>
        <v>544</v>
      </c>
      <c r="AQ677" s="119">
        <f t="shared" si="202"/>
        <v>1044</v>
      </c>
      <c r="AR677" s="91" t="s">
        <v>1168</v>
      </c>
      <c r="AS677" s="91">
        <f t="shared" si="193"/>
        <v>6400</v>
      </c>
      <c r="AT677" s="118"/>
      <c r="AU677" s="118"/>
      <c r="AV677" s="118"/>
    </row>
    <row r="678" spans="1:48" s="20" customFormat="1" x14ac:dyDescent="0.25">
      <c r="A678" s="17">
        <f>IFERROR(VLOOKUP(D678,'Monthly Deduction'!$I$3:$J$957,2,0),0)</f>
        <v>20588.989894811049</v>
      </c>
      <c r="B678" s="17">
        <f>IFERROR(VLOOKUP(D678,'Monthly Deduction'!$E$3:$F$957,2,0),0)</f>
        <v>4822.3534</v>
      </c>
      <c r="C678" s="17">
        <f t="shared" si="194"/>
        <v>25411.343294811049</v>
      </c>
      <c r="D678" s="41">
        <v>10110049</v>
      </c>
      <c r="E678" s="122" t="str">
        <f>VLOOKUP(D678,'MPG Payment '!$E$3:$G$498218,2,0)</f>
        <v xml:space="preserve">Gomukh Kalyanpur                                                                                    </v>
      </c>
      <c r="F678" s="146">
        <f>IFERROR(_xlfn.XLOOKUP(D678,'Monthly Deduction'!$I$3:$I$957,'Monthly Deduction'!$H$3:$H$957),0)</f>
        <v>0</v>
      </c>
      <c r="G678" s="123" t="str">
        <f>VLOOKUP(D678,'MPG Payment '!$E$3:$G$334579,3,0)</f>
        <v>MPG</v>
      </c>
      <c r="H678" s="124" t="str">
        <f>VLOOKUP(D678,'MPG Payment '!$E$3:$H$334579,4,0)</f>
        <v>Direct</v>
      </c>
      <c r="I678" s="88">
        <f>INDEX('MPG Payment '!$C:$C,MATCH('Shayak Income '!D678,'MPG Payment '!E:E,0))</f>
        <v>1011</v>
      </c>
      <c r="J678" s="88" t="str">
        <f>INDEX('MPG Payment '!$D:$D,MATCH('Shayak Income '!D678,'MPG Payment '!E:E,0))</f>
        <v>Sahibpur Kamal</v>
      </c>
      <c r="K678" s="125" t="s">
        <v>1322</v>
      </c>
      <c r="L678" s="125">
        <v>45212</v>
      </c>
      <c r="M678" s="126">
        <f>SUMIF('MPG Payment '!$E$3:$E$34579,'Shayak Income '!D678,'MPG Payment '!$I$3:$I$34579)</f>
        <v>2732.2</v>
      </c>
      <c r="N678" s="126">
        <f>SUMIF('MPG Payment '!$E$3:$E$34579,'Shayak Income '!D678,'MPG Payment '!$J$3:$J$34579)</f>
        <v>104273.08529630001</v>
      </c>
      <c r="O678" s="126">
        <f t="shared" si="195"/>
        <v>2049.1499999999996</v>
      </c>
      <c r="P678" s="126">
        <f t="shared" si="196"/>
        <v>2595.5899999999997</v>
      </c>
      <c r="Q678" s="126">
        <f>SUMIF('MPG Payment '!$E$3:$E$34579,'Shayak Income '!D678,'MPG Payment '!$S$3:$S$34579)</f>
        <v>1233.79878906</v>
      </c>
      <c r="R678" s="126">
        <f t="shared" si="186"/>
        <v>3128.1925588889999</v>
      </c>
      <c r="S678" s="126">
        <f t="shared" si="187"/>
        <v>532.60255888900019</v>
      </c>
      <c r="T678" s="126">
        <f t="shared" si="197"/>
        <v>273.21999999999997</v>
      </c>
      <c r="U678" s="127">
        <f>(((IF(K678="New",0,SUMIF('MPG Payment '!$E$3:$E$34579,'Shayak Income '!D678,'MPG Payment '!$AC$3:$AC$34579))))+0)+0</f>
        <v>151.15469684040545</v>
      </c>
      <c r="V678" s="127">
        <f t="shared" si="198"/>
        <v>5454</v>
      </c>
      <c r="W678" s="19">
        <f t="shared" si="203"/>
        <v>2085.4617059260004</v>
      </c>
      <c r="X678" s="19">
        <v>0</v>
      </c>
      <c r="Y678" s="128">
        <f>IFERROR(VLOOKUP(D678,'Monthly Deduction'!$M$2:$N$64,2,0),0)</f>
        <v>0</v>
      </c>
      <c r="Z678" s="128">
        <v>0</v>
      </c>
      <c r="AA678" s="126">
        <f>IFERROR(VLOOKUP(D678,'Monthly Deduction'!A:B,2,0),0)</f>
        <v>0</v>
      </c>
      <c r="AB678" s="129">
        <f t="shared" si="189"/>
        <v>3369</v>
      </c>
      <c r="AC678" s="130">
        <v>0</v>
      </c>
      <c r="AD678" s="35">
        <f t="shared" si="200"/>
        <v>3369</v>
      </c>
      <c r="AE678" s="166" t="str">
        <f t="shared" si="201"/>
        <v>Release</v>
      </c>
      <c r="AF678" s="127"/>
      <c r="AG678" s="18">
        <v>0</v>
      </c>
      <c r="AH678" s="120"/>
      <c r="AI678" s="238">
        <v>0</v>
      </c>
      <c r="AJ678" s="132"/>
      <c r="AK678" s="151">
        <v>807.00000000000011</v>
      </c>
      <c r="AL678" s="154">
        <f t="shared" si="190"/>
        <v>0</v>
      </c>
      <c r="AM678" s="155"/>
      <c r="AN678" s="19">
        <f t="shared" si="191"/>
        <v>2085.4617059260004</v>
      </c>
      <c r="AO678" s="118">
        <f>SUMIF('MPG Payment '!E:E,'Shayak Income '!D678,'MPG Payment '!AJ:AJ)</f>
        <v>0</v>
      </c>
      <c r="AP678" s="19">
        <f t="shared" si="192"/>
        <v>2085.4617059260004</v>
      </c>
      <c r="AQ678" s="119">
        <f t="shared" si="202"/>
        <v>2085.4617059260004</v>
      </c>
      <c r="AR678" s="91" t="s">
        <v>1168</v>
      </c>
      <c r="AS678" s="91">
        <f t="shared" si="193"/>
        <v>4822.3534</v>
      </c>
      <c r="AT678" s="118"/>
      <c r="AU678" s="118"/>
      <c r="AV678" s="118"/>
    </row>
    <row r="679" spans="1:48" s="20" customFormat="1" x14ac:dyDescent="0.25">
      <c r="A679" s="17">
        <f>IFERROR(VLOOKUP(D679,'Monthly Deduction'!$I$3:$J$957,2,0),0)</f>
        <v>60492</v>
      </c>
      <c r="B679" s="17">
        <f>IFERROR(VLOOKUP(D679,'Monthly Deduction'!$E$3:$F$957,2,0),0)</f>
        <v>0</v>
      </c>
      <c r="C679" s="17">
        <f t="shared" si="194"/>
        <v>60492</v>
      </c>
      <c r="D679" s="41">
        <v>10110172</v>
      </c>
      <c r="E679" s="122" t="str">
        <f>VLOOKUP(D679,'MPG Payment '!$E$3:$G$498218,2,0)</f>
        <v>Dandari-2</v>
      </c>
      <c r="F679" s="146">
        <f>IFERROR(_xlfn.XLOOKUP(D679,'Monthly Deduction'!$I$3:$I$957,'Monthly Deduction'!$H$3:$H$957),0)</f>
        <v>0</v>
      </c>
      <c r="G679" s="123" t="str">
        <f>VLOOKUP(D679,'MPG Payment '!$E$3:$G$334579,3,0)</f>
        <v>MPG</v>
      </c>
      <c r="H679" s="124" t="str">
        <f>VLOOKUP(D679,'MPG Payment '!$E$3:$H$334579,4,0)</f>
        <v>Direct</v>
      </c>
      <c r="I679" s="88">
        <f>INDEX('MPG Payment '!$C:$C,MATCH('Shayak Income '!D679,'MPG Payment '!E:E,0))</f>
        <v>1011</v>
      </c>
      <c r="J679" s="88" t="str">
        <f>INDEX('MPG Payment '!$D:$D,MATCH('Shayak Income '!D679,'MPG Payment '!E:E,0))</f>
        <v>Sahibpur Kamal</v>
      </c>
      <c r="K679" s="125" t="s">
        <v>1322</v>
      </c>
      <c r="L679" s="125">
        <v>45991</v>
      </c>
      <c r="M679" s="126">
        <f>SUMIF('MPG Payment '!$E$3:$E$34579,'Shayak Income '!D679,'MPG Payment '!$I$3:$I$34579)</f>
        <v>1245.4000000000001</v>
      </c>
      <c r="N679" s="126">
        <f>SUMIF('MPG Payment '!$E$3:$E$34579,'Shayak Income '!D679,'MPG Payment '!$J$3:$J$34579)</f>
        <v>44396.571157897</v>
      </c>
      <c r="O679" s="126">
        <f t="shared" si="195"/>
        <v>934.05000000000007</v>
      </c>
      <c r="P679" s="126">
        <f t="shared" si="196"/>
        <v>1183.1300000000001</v>
      </c>
      <c r="Q679" s="126">
        <f>SUMIF('MPG Payment '!$E$3:$E$34579,'Shayak Income '!D679,'MPG Payment '!$S$3:$S$34579)</f>
        <v>0</v>
      </c>
      <c r="R679" s="126">
        <f t="shared" si="186"/>
        <v>1331.8971347369099</v>
      </c>
      <c r="S679" s="126">
        <f t="shared" si="187"/>
        <v>148.76713473690984</v>
      </c>
      <c r="T679" s="126">
        <f t="shared" si="197"/>
        <v>124.54000000000002</v>
      </c>
      <c r="U679" s="127">
        <f>(((IF(K679="New",0,SUMIF('MPG Payment '!$E$3:$E$34579,'Shayak Income '!D679,'MPG Payment '!$AC$3:$AC$34579))))+0)+0</f>
        <v>1107.7106163694395</v>
      </c>
      <c r="V679" s="127">
        <f t="shared" si="198"/>
        <v>885</v>
      </c>
      <c r="W679" s="19">
        <v>885</v>
      </c>
      <c r="X679" s="19">
        <v>0</v>
      </c>
      <c r="Y679" s="128">
        <f>IFERROR(VLOOKUP(D679,'Monthly Deduction'!$M$2:$N$64,2,0),0)</f>
        <v>0</v>
      </c>
      <c r="Z679" s="128">
        <v>0</v>
      </c>
      <c r="AA679" s="126">
        <f>IFERROR(VLOOKUP(D679,'Monthly Deduction'!A:B,2,0),0)</f>
        <v>0</v>
      </c>
      <c r="AB679" s="129">
        <f t="shared" si="189"/>
        <v>0</v>
      </c>
      <c r="AC679" s="130">
        <v>0</v>
      </c>
      <c r="AD679" s="35">
        <f t="shared" si="200"/>
        <v>0</v>
      </c>
      <c r="AE679" s="166" t="str">
        <f t="shared" si="201"/>
        <v>Release</v>
      </c>
      <c r="AF679" s="127"/>
      <c r="AG679" s="18">
        <v>0</v>
      </c>
      <c r="AH679" s="120"/>
      <c r="AI679" s="238">
        <v>0</v>
      </c>
      <c r="AJ679" s="132"/>
      <c r="AK679" s="151">
        <v>294.3</v>
      </c>
      <c r="AL679" s="154">
        <f t="shared" si="190"/>
        <v>0</v>
      </c>
      <c r="AM679" s="155"/>
      <c r="AN679" s="19">
        <f t="shared" si="191"/>
        <v>1861</v>
      </c>
      <c r="AO679" s="118">
        <f>SUMIF('MPG Payment '!E:E,'Shayak Income '!D679,'MPG Payment '!AJ:AJ)</f>
        <v>0</v>
      </c>
      <c r="AP679" s="19">
        <f t="shared" si="192"/>
        <v>885</v>
      </c>
      <c r="AQ679" s="119">
        <f t="shared" si="202"/>
        <v>885</v>
      </c>
      <c r="AR679" s="91" t="s">
        <v>1168</v>
      </c>
      <c r="AS679" s="91">
        <f t="shared" si="193"/>
        <v>0</v>
      </c>
      <c r="AT679" s="118"/>
      <c r="AU679" s="118"/>
      <c r="AV679" s="118"/>
    </row>
    <row r="680" spans="1:48" s="20" customFormat="1" x14ac:dyDescent="0.25">
      <c r="A680" s="17">
        <f>IFERROR(VLOOKUP(D680,'Monthly Deduction'!$I$3:$J$957,2,0),0)</f>
        <v>0</v>
      </c>
      <c r="B680" s="17">
        <f>IFERROR(VLOOKUP(D680,'Monthly Deduction'!$E$3:$F$957,2,0),0)</f>
        <v>0</v>
      </c>
      <c r="C680" s="17">
        <f t="shared" si="194"/>
        <v>0</v>
      </c>
      <c r="D680" s="41">
        <v>10120110</v>
      </c>
      <c r="E680" s="122" t="str">
        <f>VLOOKUP(D680,'MPG Payment '!$E$3:$G$498218,2,0)</f>
        <v>Gomukh MANIYAR EAST</v>
      </c>
      <c r="F680" s="146">
        <f>IFERROR(_xlfn.XLOOKUP(D680,'Monthly Deduction'!$I$3:$I$957,'Monthly Deduction'!$H$3:$H$957),0)</f>
        <v>0</v>
      </c>
      <c r="G680" s="123" t="str">
        <f>VLOOKUP(D680,'MPG Payment '!$E$3:$G$334579,3,0)</f>
        <v>vlc</v>
      </c>
      <c r="H680" s="124" t="str">
        <f>VLOOKUP(D680,'MPG Payment '!$E$3:$H$334579,4,0)</f>
        <v>Indirect</v>
      </c>
      <c r="I680" s="88">
        <f>INDEX('MPG Payment '!$C:$C,MATCH('Shayak Income '!D680,'MPG Payment '!E:E,0))</f>
        <v>1012</v>
      </c>
      <c r="J680" s="88" t="str">
        <f>INDEX('MPG Payment '!$D:$D,MATCH('Shayak Income '!D680,'MPG Payment '!E:E,0))</f>
        <v>DalsinghSarai</v>
      </c>
      <c r="K680" s="125" t="s">
        <v>1322</v>
      </c>
      <c r="L680" s="125">
        <v>45849</v>
      </c>
      <c r="M680" s="126">
        <f>SUMIF('MPG Payment '!$E$3:$E$34579,'Shayak Income '!D680,'MPG Payment '!$I$3:$I$34579)</f>
        <v>2406.04</v>
      </c>
      <c r="N680" s="126">
        <f>SUMIF('MPG Payment '!$E$3:$E$34579,'Shayak Income '!D680,'MPG Payment '!$J$3:$J$34579)</f>
        <v>97077.157932044007</v>
      </c>
      <c r="O680" s="126">
        <f t="shared" si="195"/>
        <v>1804.53</v>
      </c>
      <c r="P680" s="126">
        <f t="shared" si="196"/>
        <v>2285.7379999999998</v>
      </c>
      <c r="Q680" s="126">
        <f>SUMIF('MPG Payment '!$E$3:$E$34579,'Shayak Income '!D680,'MPG Payment '!$S$3:$S$34579)</f>
        <v>0</v>
      </c>
      <c r="R680" s="126">
        <f t="shared" si="186"/>
        <v>2912.3147379613201</v>
      </c>
      <c r="S680" s="126">
        <f t="shared" si="187"/>
        <v>626.5767379613203</v>
      </c>
      <c r="T680" s="126">
        <f t="shared" si="197"/>
        <v>240.60400000000001</v>
      </c>
      <c r="U680" s="127">
        <f>(((IF(K680="New",0,SUMIF('MPG Payment '!$E$3:$E$34579,'Shayak Income '!D680,'MPG Payment '!$AC$3:$AC$34579))))+0)+0</f>
        <v>591.50274573408376</v>
      </c>
      <c r="V680" s="127">
        <f t="shared" si="198"/>
        <v>3258</v>
      </c>
      <c r="W680" s="19">
        <f t="shared" si="203"/>
        <v>0</v>
      </c>
      <c r="X680" s="19">
        <f t="shared" si="188"/>
        <v>0</v>
      </c>
      <c r="Y680" s="128">
        <f>IFERROR(VLOOKUP(D680,'Monthly Deduction'!$M$2:$N$64,2,0),0)</f>
        <v>0</v>
      </c>
      <c r="Z680" s="128">
        <v>0</v>
      </c>
      <c r="AA680" s="126">
        <f>IFERROR(VLOOKUP(D680,'Monthly Deduction'!A:B,2,0),0)</f>
        <v>0</v>
      </c>
      <c r="AB680" s="129">
        <f t="shared" si="189"/>
        <v>3258</v>
      </c>
      <c r="AC680" s="130">
        <v>0</v>
      </c>
      <c r="AD680" s="35">
        <f t="shared" si="200"/>
        <v>3258</v>
      </c>
      <c r="AE680" s="166" t="str">
        <f t="shared" si="201"/>
        <v>Release</v>
      </c>
      <c r="AF680" s="127"/>
      <c r="AG680" s="127">
        <v>0</v>
      </c>
      <c r="AH680" s="120"/>
      <c r="AI680" s="238">
        <v>0</v>
      </c>
      <c r="AJ680" s="132"/>
      <c r="AK680" s="151">
        <v>527.26</v>
      </c>
      <c r="AL680" s="154">
        <f t="shared" si="190"/>
        <v>0</v>
      </c>
      <c r="AM680" s="155"/>
      <c r="AN680" s="19">
        <f t="shared" si="191"/>
        <v>0</v>
      </c>
      <c r="AO680" s="118">
        <f>SUMIF('MPG Payment '!E:E,'Shayak Income '!D680,'MPG Payment '!AJ:AJ)</f>
        <v>0</v>
      </c>
      <c r="AP680" s="19">
        <f t="shared" si="192"/>
        <v>0</v>
      </c>
      <c r="AQ680" s="119">
        <f t="shared" si="202"/>
        <v>0</v>
      </c>
      <c r="AR680" s="91"/>
      <c r="AS680" s="91">
        <f t="shared" si="193"/>
        <v>0</v>
      </c>
      <c r="AT680" s="118"/>
      <c r="AU680" s="118"/>
      <c r="AV680" s="118"/>
    </row>
    <row r="681" spans="1:48" s="20" customFormat="1" x14ac:dyDescent="0.25">
      <c r="A681" s="17">
        <f>IFERROR(VLOOKUP(D681,'Monthly Deduction'!$I$3:$J$957,2,0),0)</f>
        <v>50828.164799999999</v>
      </c>
      <c r="B681" s="17">
        <f>IFERROR(VLOOKUP(D681,'Monthly Deduction'!$E$3:$F$957,2,0),0)</f>
        <v>0</v>
      </c>
      <c r="C681" s="17">
        <f t="shared" si="194"/>
        <v>50828.164799999999</v>
      </c>
      <c r="D681" s="41">
        <v>10120116</v>
      </c>
      <c r="E681" s="122" t="str">
        <f>VLOOKUP(D681,'MPG Payment '!$E$3:$G$498218,2,0)</f>
        <v>GOMUKH DADHIYA RAMKRISHANPUR</v>
      </c>
      <c r="F681" s="146">
        <f>IFERROR(_xlfn.XLOOKUP(D681,'Monthly Deduction'!$I$3:$I$957,'Monthly Deduction'!$H$3:$H$957),0)</f>
        <v>0</v>
      </c>
      <c r="G681" s="123" t="str">
        <f>VLOOKUP(D681,'MPG Payment '!$E$3:$G$334579,3,0)</f>
        <v>MPG</v>
      </c>
      <c r="H681" s="124" t="str">
        <f>VLOOKUP(D681,'MPG Payment '!$E$3:$H$334579,4,0)</f>
        <v>Direct</v>
      </c>
      <c r="I681" s="88">
        <f>INDEX('MPG Payment '!$C:$C,MATCH('Shayak Income '!D681,'MPG Payment '!E:E,0))</f>
        <v>1012</v>
      </c>
      <c r="J681" s="88" t="str">
        <f>INDEX('MPG Payment '!$D:$D,MATCH('Shayak Income '!D681,'MPG Payment '!E:E,0))</f>
        <v>DalsinghSarai</v>
      </c>
      <c r="K681" s="125" t="s">
        <v>1322</v>
      </c>
      <c r="L681" s="125">
        <v>45992</v>
      </c>
      <c r="M681" s="126">
        <f>SUMIF('MPG Payment '!$E$3:$E$34579,'Shayak Income '!D681,'MPG Payment '!$I$3:$I$34579)</f>
        <v>6626.9400000000005</v>
      </c>
      <c r="N681" s="126">
        <f>SUMIF('MPG Payment '!$E$3:$E$34579,'Shayak Income '!D681,'MPG Payment '!$J$3:$J$34579)</f>
        <v>271187.30984386295</v>
      </c>
      <c r="O681" s="126">
        <f t="shared" si="195"/>
        <v>4970.2049999999999</v>
      </c>
      <c r="P681" s="126">
        <f t="shared" si="196"/>
        <v>6295.5929999999998</v>
      </c>
      <c r="Q681" s="126">
        <f>SUMIF('MPG Payment '!$E$3:$E$34579,'Shayak Income '!D681,'MPG Payment '!$S$3:$S$34579)</f>
        <v>7819.1727059677987</v>
      </c>
      <c r="R681" s="126">
        <f t="shared" si="186"/>
        <v>8135.6192953158879</v>
      </c>
      <c r="S681" s="126">
        <f t="shared" si="187"/>
        <v>1840.0262953158881</v>
      </c>
      <c r="T681" s="126">
        <f t="shared" si="197"/>
        <v>662.69400000000007</v>
      </c>
      <c r="U681" s="127">
        <f>(((IF(K681="New",0,SUMIF('MPG Payment '!$E$3:$E$34579,'Shayak Income '!D681,'MPG Payment '!$AC$3:$AC$34579))))+0)+0</f>
        <v>0</v>
      </c>
      <c r="V681" s="127">
        <f t="shared" si="198"/>
        <v>18422</v>
      </c>
      <c r="W681" s="19">
        <f t="shared" si="203"/>
        <v>5423.7461968772595</v>
      </c>
      <c r="X681" s="19">
        <v>0</v>
      </c>
      <c r="Y681" s="128">
        <f>IFERROR(VLOOKUP(D681,'Monthly Deduction'!$M$2:$N$64,2,0),0)</f>
        <v>0</v>
      </c>
      <c r="Z681" s="128">
        <v>0</v>
      </c>
      <c r="AA681" s="126">
        <f>IFERROR(VLOOKUP(D681,'Monthly Deduction'!A:B,2,0),0)</f>
        <v>0</v>
      </c>
      <c r="AB681" s="129">
        <f t="shared" si="189"/>
        <v>12998</v>
      </c>
      <c r="AC681" s="130">
        <v>0</v>
      </c>
      <c r="AD681" s="35">
        <f t="shared" si="200"/>
        <v>12998</v>
      </c>
      <c r="AE681" s="166" t="str">
        <f t="shared" si="201"/>
        <v>Release</v>
      </c>
      <c r="AF681" s="127"/>
      <c r="AG681" s="18">
        <v>0</v>
      </c>
      <c r="AH681" s="120"/>
      <c r="AI681" s="238">
        <v>0</v>
      </c>
      <c r="AJ681" s="132"/>
      <c r="AK681" s="151">
        <v>1539.05</v>
      </c>
      <c r="AL681" s="154">
        <f t="shared" si="190"/>
        <v>0</v>
      </c>
      <c r="AM681" s="155"/>
      <c r="AN681" s="19">
        <f t="shared" si="191"/>
        <v>5423.7461968772595</v>
      </c>
      <c r="AO681" s="118">
        <f>SUMIF('MPG Payment '!E:E,'Shayak Income '!D681,'MPG Payment '!AJ:AJ)</f>
        <v>0</v>
      </c>
      <c r="AP681" s="19">
        <f t="shared" si="192"/>
        <v>5423.7461968772595</v>
      </c>
      <c r="AQ681" s="119">
        <f t="shared" si="202"/>
        <v>5423.7461968772595</v>
      </c>
      <c r="AR681" s="91" t="s">
        <v>1168</v>
      </c>
      <c r="AS681" s="91">
        <f t="shared" si="193"/>
        <v>0</v>
      </c>
      <c r="AT681" s="118"/>
      <c r="AU681" s="118"/>
      <c r="AV681" s="118"/>
    </row>
    <row r="682" spans="1:48" s="20" customFormat="1" x14ac:dyDescent="0.25">
      <c r="A682" s="17">
        <f>IFERROR(VLOOKUP(D682,'Monthly Deduction'!$I$3:$J$957,2,0),0)</f>
        <v>0</v>
      </c>
      <c r="B682" s="17">
        <f>IFERROR(VLOOKUP(D682,'Monthly Deduction'!$E$3:$F$957,2,0),0)</f>
        <v>0</v>
      </c>
      <c r="C682" s="17">
        <f t="shared" si="194"/>
        <v>0</v>
      </c>
      <c r="D682" s="41">
        <v>10130081</v>
      </c>
      <c r="E682" s="122" t="str">
        <f>VLOOKUP(D682,'MPG Payment '!$E$3:$G$498218,2,0)</f>
        <v>Jitwarpur-Manisha</v>
      </c>
      <c r="F682" s="146">
        <f>IFERROR(_xlfn.XLOOKUP(D682,'Monthly Deduction'!$I$3:$I$957,'Monthly Deduction'!$H$3:$H$957),0)</f>
        <v>0</v>
      </c>
      <c r="G682" s="123" t="str">
        <f>VLOOKUP(D682,'MPG Payment '!$E$3:$G$334579,3,0)</f>
        <v>vlc</v>
      </c>
      <c r="H682" s="124" t="str">
        <f>VLOOKUP(D682,'MPG Payment '!$E$3:$H$334579,4,0)</f>
        <v>Indirect</v>
      </c>
      <c r="I682" s="88">
        <f>INDEX('MPG Payment '!$C:$C,MATCH('Shayak Income '!D682,'MPG Payment '!E:E,0))</f>
        <v>1013</v>
      </c>
      <c r="J682" s="88" t="str">
        <f>INDEX('MPG Payment '!$D:$D,MATCH('Shayak Income '!D682,'MPG Payment '!E:E,0))</f>
        <v>Musrigharari</v>
      </c>
      <c r="K682" s="125" t="s">
        <v>1322</v>
      </c>
      <c r="L682" s="125">
        <v>45630</v>
      </c>
      <c r="M682" s="126">
        <f>SUMIF('MPG Payment '!$E$3:$E$34579,'Shayak Income '!D682,'MPG Payment '!$I$3:$I$34579)</f>
        <v>390.20000000000005</v>
      </c>
      <c r="N682" s="126">
        <f>SUMIF('MPG Payment '!$E$3:$E$34579,'Shayak Income '!D682,'MPG Payment '!$J$3:$J$34579)</f>
        <v>14215.011293612502</v>
      </c>
      <c r="O682" s="126">
        <f t="shared" si="195"/>
        <v>292.65000000000003</v>
      </c>
      <c r="P682" s="126">
        <f t="shared" si="196"/>
        <v>370.69</v>
      </c>
      <c r="Q682" s="126">
        <f>SUMIF('MPG Payment '!$E$3:$E$34579,'Shayak Income '!D682,'MPG Payment '!$S$3:$S$34579)</f>
        <v>0</v>
      </c>
      <c r="R682" s="126">
        <f t="shared" si="186"/>
        <v>426.45033880837508</v>
      </c>
      <c r="S682" s="126">
        <f t="shared" si="187"/>
        <v>55.760338808375081</v>
      </c>
      <c r="T682" s="126">
        <f t="shared" si="197"/>
        <v>39.02000000000001</v>
      </c>
      <c r="U682" s="127">
        <f>(((IF(K682="New",0,SUMIF('MPG Payment '!$E$3:$E$34579,'Shayak Income '!D682,'MPG Payment '!$AC$3:$AC$34579))))+0)+-1141</f>
        <v>623.98506998477433</v>
      </c>
      <c r="V682" s="127">
        <f t="shared" si="198"/>
        <v>0</v>
      </c>
      <c r="W682" s="19">
        <v>0</v>
      </c>
      <c r="X682" s="19">
        <v>0</v>
      </c>
      <c r="Y682" s="128">
        <f>IFERROR(VLOOKUP(D682,'Monthly Deduction'!$M$2:$N$64,2,0),0)</f>
        <v>0</v>
      </c>
      <c r="Z682" s="128">
        <v>0</v>
      </c>
      <c r="AA682" s="126">
        <f>IFERROR(VLOOKUP(D682,'Monthly Deduction'!A:B,2,0),0)</f>
        <v>0</v>
      </c>
      <c r="AB682" s="129">
        <f t="shared" si="189"/>
        <v>0</v>
      </c>
      <c r="AC682" s="130">
        <v>0</v>
      </c>
      <c r="AD682" s="35">
        <f t="shared" si="200"/>
        <v>0</v>
      </c>
      <c r="AE682" s="166" t="str">
        <f t="shared" si="201"/>
        <v>Release</v>
      </c>
      <c r="AF682" s="127"/>
      <c r="AG682" s="18">
        <v>0</v>
      </c>
      <c r="AH682" s="120"/>
      <c r="AI682" s="238">
        <v>0</v>
      </c>
      <c r="AJ682" s="132"/>
      <c r="AK682" s="151">
        <v>176.79999999999998</v>
      </c>
      <c r="AL682" s="154">
        <f t="shared" si="190"/>
        <v>0</v>
      </c>
      <c r="AM682" s="155"/>
      <c r="AN682" s="19">
        <f t="shared" si="191"/>
        <v>0</v>
      </c>
      <c r="AO682" s="118">
        <f>SUMIF('MPG Payment '!E:E,'Shayak Income '!D682,'MPG Payment '!AJ:AJ)</f>
        <v>0</v>
      </c>
      <c r="AP682" s="19">
        <f t="shared" si="192"/>
        <v>0</v>
      </c>
      <c r="AQ682" s="119">
        <f t="shared" si="202"/>
        <v>0</v>
      </c>
      <c r="AR682" s="91"/>
      <c r="AS682" s="91">
        <f t="shared" si="193"/>
        <v>0</v>
      </c>
      <c r="AT682" s="118"/>
      <c r="AU682" s="118"/>
      <c r="AV682" s="118"/>
    </row>
    <row r="683" spans="1:48" s="20" customFormat="1" x14ac:dyDescent="0.25">
      <c r="A683" s="17">
        <f>IFERROR(VLOOKUP(D683,'Monthly Deduction'!$I$3:$J$957,2,0),0)</f>
        <v>0</v>
      </c>
      <c r="B683" s="17">
        <f>IFERROR(VLOOKUP(D683,'Monthly Deduction'!$E$3:$F$957,2,0),0)</f>
        <v>0</v>
      </c>
      <c r="C683" s="17">
        <f t="shared" si="194"/>
        <v>0</v>
      </c>
      <c r="D683" s="41">
        <v>10130111</v>
      </c>
      <c r="E683" s="122" t="str">
        <f>VLOOKUP(D683,'MPG Payment '!$E$3:$G$498218,2,0)</f>
        <v>Gomukh Gangapur East</v>
      </c>
      <c r="F683" s="146">
        <f>IFERROR(_xlfn.XLOOKUP(D683,'Monthly Deduction'!$I$3:$I$957,'Monthly Deduction'!$H$3:$H$957),0)</f>
        <v>0</v>
      </c>
      <c r="G683" s="123" t="str">
        <f>VLOOKUP(D683,'MPG Payment '!$E$3:$G$334579,3,0)</f>
        <v>vlc</v>
      </c>
      <c r="H683" s="124" t="str">
        <f>VLOOKUP(D683,'MPG Payment '!$E$3:$H$334579,4,0)</f>
        <v>Indirect</v>
      </c>
      <c r="I683" s="88">
        <f>INDEX('MPG Payment '!$C:$C,MATCH('Shayak Income '!D683,'MPG Payment '!E:E,0))</f>
        <v>1013</v>
      </c>
      <c r="J683" s="88" t="str">
        <f>INDEX('MPG Payment '!$D:$D,MATCH('Shayak Income '!D683,'MPG Payment '!E:E,0))</f>
        <v>Musrigharari</v>
      </c>
      <c r="K683" s="125" t="s">
        <v>1322</v>
      </c>
      <c r="L683" s="125">
        <v>45942</v>
      </c>
      <c r="M683" s="126">
        <f>SUMIF('MPG Payment '!$E$3:$E$34579,'Shayak Income '!D683,'MPG Payment '!$I$3:$I$34579)</f>
        <v>4644.8999999999996</v>
      </c>
      <c r="N683" s="126">
        <f>SUMIF('MPG Payment '!$E$3:$E$34579,'Shayak Income '!D683,'MPG Payment '!$J$3:$J$34579)</f>
        <v>138460.10778947198</v>
      </c>
      <c r="O683" s="126">
        <f t="shared" si="195"/>
        <v>3483.6749999999997</v>
      </c>
      <c r="P683" s="126">
        <f t="shared" si="196"/>
        <v>4412.6549999999997</v>
      </c>
      <c r="Q683" s="126">
        <f>SUMIF('MPG Payment '!$E$3:$E$34579,'Shayak Income '!D683,'MPG Payment '!$S$3:$S$34579)</f>
        <v>0</v>
      </c>
      <c r="R683" s="126">
        <f t="shared" si="186"/>
        <v>4153.8032336841588</v>
      </c>
      <c r="S683" s="126">
        <f t="shared" si="187"/>
        <v>-258.85176631584091</v>
      </c>
      <c r="T683" s="126">
        <f t="shared" si="197"/>
        <v>464.49</v>
      </c>
      <c r="U683" s="127">
        <f>(((IF(K683="New",0,SUMIF('MPG Payment '!$E$3:$E$34579,'Shayak Income '!D683,'MPG Payment '!$AC$3:$AC$34579))))+0)+0</f>
        <v>0</v>
      </c>
      <c r="V683" s="127">
        <f t="shared" si="198"/>
        <v>7432</v>
      </c>
      <c r="W683" s="19">
        <f t="shared" si="203"/>
        <v>0</v>
      </c>
      <c r="X683" s="19">
        <f t="shared" si="188"/>
        <v>0</v>
      </c>
      <c r="Y683" s="128">
        <f>IFERROR(VLOOKUP(D683,'Monthly Deduction'!$M$2:$N$64,2,0),0)</f>
        <v>0</v>
      </c>
      <c r="Z683" s="128">
        <v>0</v>
      </c>
      <c r="AA683" s="126">
        <f>IFERROR(VLOOKUP(D683,'Monthly Deduction'!A:B,2,0),0)</f>
        <v>0</v>
      </c>
      <c r="AB683" s="129">
        <f t="shared" si="189"/>
        <v>7432</v>
      </c>
      <c r="AC683" s="130">
        <v>0</v>
      </c>
      <c r="AD683" s="35">
        <f t="shared" si="200"/>
        <v>7432</v>
      </c>
      <c r="AE683" s="166" t="str">
        <f t="shared" si="201"/>
        <v>Release</v>
      </c>
      <c r="AF683" s="127"/>
      <c r="AG683" s="18">
        <v>0</v>
      </c>
      <c r="AH683" s="120"/>
      <c r="AI683" s="238">
        <v>0</v>
      </c>
      <c r="AJ683" s="132"/>
      <c r="AK683" s="151">
        <v>2271.7999999999997</v>
      </c>
      <c r="AL683" s="154">
        <f t="shared" si="190"/>
        <v>0</v>
      </c>
      <c r="AM683" s="155"/>
      <c r="AN683" s="19">
        <f t="shared" si="191"/>
        <v>0</v>
      </c>
      <c r="AO683" s="118">
        <f>SUMIF('MPG Payment '!E:E,'Shayak Income '!D683,'MPG Payment '!AJ:AJ)</f>
        <v>0</v>
      </c>
      <c r="AP683" s="19">
        <f t="shared" si="192"/>
        <v>0</v>
      </c>
      <c r="AQ683" s="119">
        <f t="shared" si="202"/>
        <v>0</v>
      </c>
      <c r="AR683" s="91" t="s">
        <v>1168</v>
      </c>
      <c r="AS683" s="91">
        <f t="shared" si="193"/>
        <v>0</v>
      </c>
      <c r="AT683" s="118"/>
      <c r="AU683" s="118"/>
      <c r="AV683" s="118"/>
    </row>
    <row r="684" spans="1:48" s="20" customFormat="1" x14ac:dyDescent="0.25">
      <c r="A684" s="17">
        <f>IFERROR(VLOOKUP(D684,'Monthly Deduction'!$I$3:$J$957,2,0),0)</f>
        <v>26139.532800000001</v>
      </c>
      <c r="B684" s="17">
        <f>IFERROR(VLOOKUP(D684,'Monthly Deduction'!$E$3:$F$957,2,0),0)</f>
        <v>9600</v>
      </c>
      <c r="C684" s="17">
        <f t="shared" si="194"/>
        <v>35739.532800000001</v>
      </c>
      <c r="D684" s="41">
        <v>10140020</v>
      </c>
      <c r="E684" s="122" t="str">
        <f>VLOOKUP(D684,'MPG Payment '!$E$3:$G$498218,2,0)</f>
        <v>RAJAPUR</v>
      </c>
      <c r="F684" s="146">
        <f>IFERROR(_xlfn.XLOOKUP(D684,'Monthly Deduction'!$I$3:$I$957,'Monthly Deduction'!$H$3:$H$957),0)</f>
        <v>0</v>
      </c>
      <c r="G684" s="123" t="str">
        <f>VLOOKUP(D684,'MPG Payment '!$E$3:$G$334579,3,0)</f>
        <v>MPG</v>
      </c>
      <c r="H684" s="124" t="str">
        <f>VLOOKUP(D684,'MPG Payment '!$E$3:$H$334579,4,0)</f>
        <v>Direct</v>
      </c>
      <c r="I684" s="88">
        <f>INDEX('MPG Payment '!$C:$C,MATCH('Shayak Income '!D684,'MPG Payment '!E:E,0))</f>
        <v>1014</v>
      </c>
      <c r="J684" s="88" t="str">
        <f>INDEX('MPG Payment '!$D:$D,MATCH('Shayak Income '!D684,'MPG Payment '!E:E,0))</f>
        <v>Dumraon</v>
      </c>
      <c r="K684" s="125" t="s">
        <v>1322</v>
      </c>
      <c r="L684" s="125">
        <v>44766</v>
      </c>
      <c r="M684" s="126">
        <f>SUMIF('MPG Payment '!$E$3:$E$34579,'Shayak Income '!D684,'MPG Payment '!$I$3:$I$34579)</f>
        <v>208.4</v>
      </c>
      <c r="N684" s="126">
        <f>SUMIF('MPG Payment '!$E$3:$E$34579,'Shayak Income '!D684,'MPG Payment '!$J$3:$J$34579)</f>
        <v>7364.0603582799995</v>
      </c>
      <c r="O684" s="126">
        <f t="shared" si="195"/>
        <v>156.30000000000001</v>
      </c>
      <c r="P684" s="126">
        <f t="shared" si="196"/>
        <v>197.98</v>
      </c>
      <c r="Q684" s="126">
        <f>SUMIF('MPG Payment '!$E$3:$E$34579,'Shayak Income '!D684,'MPG Payment '!$S$3:$S$34579)</f>
        <v>0</v>
      </c>
      <c r="R684" s="126">
        <f t="shared" si="186"/>
        <v>220.92181074839996</v>
      </c>
      <c r="S684" s="126">
        <f t="shared" si="187"/>
        <v>22.941810748399973</v>
      </c>
      <c r="T684" s="126">
        <f t="shared" si="197"/>
        <v>20.840000000000003</v>
      </c>
      <c r="U684" s="127">
        <f>(((IF(K684="New",0,SUMIF('MPG Payment '!$E$3:$E$34579,'Shayak Income '!D684,'MPG Payment '!$AC$3:$AC$34579))))+0)+-1491</f>
        <v>333.02287021103666</v>
      </c>
      <c r="V684" s="127">
        <f t="shared" si="198"/>
        <v>0</v>
      </c>
      <c r="W684" s="19">
        <v>0</v>
      </c>
      <c r="X684" s="19">
        <v>0</v>
      </c>
      <c r="Y684" s="128">
        <v>0</v>
      </c>
      <c r="Z684" s="128">
        <v>0</v>
      </c>
      <c r="AA684" s="126">
        <v>0</v>
      </c>
      <c r="AB684" s="129">
        <f t="shared" si="189"/>
        <v>0</v>
      </c>
      <c r="AC684" s="130">
        <v>0</v>
      </c>
      <c r="AD684" s="35">
        <f t="shared" si="200"/>
        <v>0</v>
      </c>
      <c r="AE684" s="166" t="str">
        <f t="shared" si="201"/>
        <v>Release</v>
      </c>
      <c r="AF684" s="127"/>
      <c r="AG684" s="127">
        <v>0</v>
      </c>
      <c r="AH684" s="120"/>
      <c r="AI684" s="238">
        <v>0</v>
      </c>
      <c r="AJ684" s="132"/>
      <c r="AK684" s="151">
        <v>80.900000000000006</v>
      </c>
      <c r="AL684" s="154">
        <f t="shared" si="190"/>
        <v>0</v>
      </c>
      <c r="AM684" s="155"/>
      <c r="AN684" s="19">
        <f t="shared" si="191"/>
        <v>1861</v>
      </c>
      <c r="AO684" s="118">
        <f>SUMIF('MPG Payment '!E:E,'Shayak Income '!D684,'MPG Payment '!AJ:AJ)</f>
        <v>500</v>
      </c>
      <c r="AP684" s="19">
        <f t="shared" si="192"/>
        <v>0</v>
      </c>
      <c r="AQ684" s="119">
        <f t="shared" si="202"/>
        <v>500</v>
      </c>
      <c r="AR684" s="91" t="s">
        <v>1168</v>
      </c>
      <c r="AS684" s="91">
        <f t="shared" si="193"/>
        <v>9600</v>
      </c>
      <c r="AT684" s="118"/>
      <c r="AU684" s="118"/>
      <c r="AV684" s="118"/>
    </row>
    <row r="685" spans="1:48" s="20" customFormat="1" x14ac:dyDescent="0.25">
      <c r="A685" s="17">
        <f>IFERROR(VLOOKUP(D685,'Monthly Deduction'!$I$3:$J$957,2,0),0)</f>
        <v>0</v>
      </c>
      <c r="B685" s="17">
        <f>IFERROR(VLOOKUP(D685,'Monthly Deduction'!$E$3:$F$957,2,0),0)</f>
        <v>0</v>
      </c>
      <c r="C685" s="17">
        <f t="shared" si="194"/>
        <v>0</v>
      </c>
      <c r="D685" s="41">
        <v>10430001</v>
      </c>
      <c r="E685" s="122" t="str">
        <f>VLOOKUP(D685,'MPG Payment '!$E$3:$G$498218,2,0)</f>
        <v>Gomukh Bariyarpur</v>
      </c>
      <c r="F685" s="146">
        <f>IFERROR(_xlfn.XLOOKUP(D685,'Monthly Deduction'!$I$3:$I$957,'Monthly Deduction'!$H$3:$H$957),0)</f>
        <v>0</v>
      </c>
      <c r="G685" s="123" t="str">
        <f>VLOOKUP(D685,'MPG Payment '!$E$3:$G$334579,3,0)</f>
        <v>MPG</v>
      </c>
      <c r="H685" s="124" t="str">
        <f>VLOOKUP(D685,'MPG Payment '!$E$3:$H$334579,4,0)</f>
        <v>Direct</v>
      </c>
      <c r="I685" s="88">
        <f>INDEX('MPG Payment '!$C:$C,MATCH('Shayak Income '!D685,'MPG Payment '!E:E,0))</f>
        <v>1011</v>
      </c>
      <c r="J685" s="88" t="str">
        <f>INDEX('MPG Payment '!$D:$D,MATCH('Shayak Income '!D685,'MPG Payment '!E:E,0))</f>
        <v>Sahibpur Kamal</v>
      </c>
      <c r="K685" s="125" t="s">
        <v>1322</v>
      </c>
      <c r="L685" s="125">
        <v>42979</v>
      </c>
      <c r="M685" s="126">
        <f>SUMIF('MPG Payment '!$E$3:$E$34579,'Shayak Income '!D685,'MPG Payment '!$I$3:$I$34579)</f>
        <v>1812.1000000000001</v>
      </c>
      <c r="N685" s="126">
        <f>SUMIF('MPG Payment '!$E$3:$E$34579,'Shayak Income '!D685,'MPG Payment '!$J$3:$J$34579)</f>
        <v>62955.738208234005</v>
      </c>
      <c r="O685" s="126">
        <f t="shared" si="195"/>
        <v>1359.075</v>
      </c>
      <c r="P685" s="126">
        <f t="shared" si="196"/>
        <v>1721.4950000000001</v>
      </c>
      <c r="Q685" s="126">
        <f>SUMIF('MPG Payment '!$E$3:$E$34579,'Shayak Income '!D685,'MPG Payment '!$S$3:$S$34579)</f>
        <v>0</v>
      </c>
      <c r="R685" s="126">
        <f t="shared" si="186"/>
        <v>1888.67214624702</v>
      </c>
      <c r="S685" s="126">
        <f t="shared" si="187"/>
        <v>167.17714624701989</v>
      </c>
      <c r="T685" s="126">
        <f t="shared" si="197"/>
        <v>181.21000000000004</v>
      </c>
      <c r="U685" s="127">
        <f>(((IF(K685="New",0,SUMIF('MPG Payment '!$E$3:$E$34579,'Shayak Income '!D685,'MPG Payment '!$AC$3:$AC$34579))))+0)+0</f>
        <v>139.45668529075311</v>
      </c>
      <c r="V685" s="127">
        <f t="shared" si="198"/>
        <v>2760</v>
      </c>
      <c r="W685" s="19">
        <f t="shared" si="203"/>
        <v>0</v>
      </c>
      <c r="X685" s="19">
        <f t="shared" si="188"/>
        <v>0</v>
      </c>
      <c r="Y685" s="128">
        <f>IFERROR(VLOOKUP(D685,'Monthly Deduction'!$M$2:$N$64,2,0),0)</f>
        <v>0</v>
      </c>
      <c r="Z685" s="128">
        <v>0</v>
      </c>
      <c r="AA685" s="126">
        <f>IFERROR(VLOOKUP(D685,'Monthly Deduction'!A:B,2,0),0)</f>
        <v>0</v>
      </c>
      <c r="AB685" s="129">
        <f t="shared" si="189"/>
        <v>2760</v>
      </c>
      <c r="AC685" s="130">
        <v>0</v>
      </c>
      <c r="AD685" s="35">
        <f t="shared" si="200"/>
        <v>2760</v>
      </c>
      <c r="AE685" s="166" t="str">
        <f t="shared" si="201"/>
        <v>Release</v>
      </c>
      <c r="AF685" s="127"/>
      <c r="AG685" s="127">
        <v>0</v>
      </c>
      <c r="AH685" s="120"/>
      <c r="AI685" s="238">
        <v>0</v>
      </c>
      <c r="AJ685" s="132"/>
      <c r="AK685" s="151">
        <v>562.70000000000005</v>
      </c>
      <c r="AL685" s="154">
        <f t="shared" si="190"/>
        <v>0</v>
      </c>
      <c r="AM685" s="155"/>
      <c r="AN685" s="19">
        <f t="shared" si="191"/>
        <v>0</v>
      </c>
      <c r="AO685" s="118">
        <f>SUMIF('MPG Payment '!E:E,'Shayak Income '!D685,'MPG Payment '!AJ:AJ)</f>
        <v>0</v>
      </c>
      <c r="AP685" s="19">
        <f t="shared" si="192"/>
        <v>0</v>
      </c>
      <c r="AQ685" s="119">
        <f t="shared" si="202"/>
        <v>0</v>
      </c>
      <c r="AR685" s="91"/>
      <c r="AS685" s="91">
        <f t="shared" si="193"/>
        <v>0</v>
      </c>
      <c r="AT685" s="118"/>
      <c r="AU685" s="118"/>
      <c r="AV685" s="118"/>
    </row>
    <row r="686" spans="1:48" s="20" customFormat="1" x14ac:dyDescent="0.25">
      <c r="A686" s="17">
        <f>IFERROR(VLOOKUP(D686,'Monthly Deduction'!$I$3:$J$957,2,0),0)</f>
        <v>51381.705189579719</v>
      </c>
      <c r="B686" s="17">
        <f>IFERROR(VLOOKUP(D686,'Monthly Deduction'!$E$3:$F$957,2,0),0)</f>
        <v>0</v>
      </c>
      <c r="C686" s="17">
        <f t="shared" si="194"/>
        <v>51381.705189579719</v>
      </c>
      <c r="D686" s="41">
        <v>10530096</v>
      </c>
      <c r="E686" s="122" t="str">
        <f>VLOOKUP(D686,'MPG Payment '!$E$3:$G$498218,2,0)</f>
        <v>GOMUKH BHARJA</v>
      </c>
      <c r="F686" s="146">
        <f>IFERROR(_xlfn.XLOOKUP(D686,'Monthly Deduction'!$I$3:$I$957,'Monthly Deduction'!$H$3:$H$957),0)</f>
        <v>0</v>
      </c>
      <c r="G686" s="123" t="str">
        <f>VLOOKUP(D686,'MPG Payment '!$E$3:$G$334579,3,0)</f>
        <v>MPG</v>
      </c>
      <c r="H686" s="124" t="str">
        <f>VLOOKUP(D686,'MPG Payment '!$E$3:$H$334579,4,0)</f>
        <v>Direct</v>
      </c>
      <c r="I686" s="88">
        <f>INDEX('MPG Payment '!$C:$C,MATCH('Shayak Income '!D686,'MPG Payment '!E:E,0))</f>
        <v>1053</v>
      </c>
      <c r="J686" s="88" t="str">
        <f>INDEX('MPG Payment '!$D:$D,MATCH('Shayak Income '!D686,'MPG Payment '!E:E,0))</f>
        <v>Kalyanpur</v>
      </c>
      <c r="K686" s="125" t="s">
        <v>1322</v>
      </c>
      <c r="L686" s="125">
        <v>45991</v>
      </c>
      <c r="M686" s="126">
        <f>SUMIF('MPG Payment '!$E$3:$E$34579,'Shayak Income '!D686,'MPG Payment '!$I$3:$I$34579)</f>
        <v>2096.25</v>
      </c>
      <c r="N686" s="126">
        <f>SUMIF('MPG Payment '!$E$3:$E$34579,'Shayak Income '!D686,'MPG Payment '!$J$3:$J$34579)</f>
        <v>114960.56231920701</v>
      </c>
      <c r="O686" s="126">
        <f t="shared" si="195"/>
        <v>1572.1875</v>
      </c>
      <c r="P686" s="126">
        <f t="shared" si="196"/>
        <v>1991.4375</v>
      </c>
      <c r="Q686" s="126">
        <f>SUMIF('MPG Payment '!$E$3:$E$34579,'Shayak Income '!D686,'MPG Payment '!$S$3:$S$34579)</f>
        <v>1076.2916278450002</v>
      </c>
      <c r="R686" s="126">
        <f t="shared" si="186"/>
        <v>3448.8168695762101</v>
      </c>
      <c r="S686" s="126">
        <f t="shared" si="187"/>
        <v>1457.3793695762101</v>
      </c>
      <c r="T686" s="126">
        <f t="shared" si="197"/>
        <v>209.625</v>
      </c>
      <c r="U686" s="127">
        <f>(((IF(K686="New",0,SUMIF('MPG Payment '!$E$3:$E$34579,'Shayak Income '!D686,'MPG Payment '!$AC$3:$AC$34579))))+0)+0</f>
        <v>821.61284703602166</v>
      </c>
      <c r="V686" s="127">
        <f t="shared" si="198"/>
        <v>3609</v>
      </c>
      <c r="W686" s="19">
        <f t="shared" si="203"/>
        <v>2299.2112463841399</v>
      </c>
      <c r="X686" s="19">
        <v>0</v>
      </c>
      <c r="Y686" s="128">
        <f>IFERROR(VLOOKUP(D686,'Monthly Deduction'!$M$2:$N$64,2,0),0)</f>
        <v>0</v>
      </c>
      <c r="Z686" s="128">
        <v>0</v>
      </c>
      <c r="AA686" s="126">
        <f>IFERROR(VLOOKUP(D686,'Monthly Deduction'!A:B,2,0),0)</f>
        <v>0</v>
      </c>
      <c r="AB686" s="129">
        <f t="shared" si="189"/>
        <v>1310</v>
      </c>
      <c r="AC686" s="130">
        <v>0</v>
      </c>
      <c r="AD686" s="35">
        <f t="shared" si="200"/>
        <v>1310</v>
      </c>
      <c r="AE686" s="166" t="str">
        <f t="shared" si="201"/>
        <v>Release</v>
      </c>
      <c r="AF686" s="127"/>
      <c r="AG686" s="18">
        <v>0</v>
      </c>
      <c r="AH686" s="120"/>
      <c r="AI686" s="238">
        <v>0</v>
      </c>
      <c r="AJ686" s="132"/>
      <c r="AK686" s="151">
        <v>753.65</v>
      </c>
      <c r="AL686" s="154">
        <f t="shared" si="190"/>
        <v>0</v>
      </c>
      <c r="AM686" s="155"/>
      <c r="AN686" s="19">
        <f t="shared" si="191"/>
        <v>2299.2112463841399</v>
      </c>
      <c r="AO686" s="118">
        <f>SUMIF('MPG Payment '!E:E,'Shayak Income '!D686,'MPG Payment '!AJ:AJ)</f>
        <v>0</v>
      </c>
      <c r="AP686" s="19">
        <f t="shared" si="192"/>
        <v>2299.2112463841399</v>
      </c>
      <c r="AQ686" s="119">
        <f t="shared" si="202"/>
        <v>2299.2112463841399</v>
      </c>
      <c r="AR686" s="91"/>
      <c r="AS686" s="91">
        <f t="shared" si="193"/>
        <v>0</v>
      </c>
      <c r="AT686" s="118"/>
      <c r="AU686" s="118"/>
      <c r="AV686" s="118"/>
    </row>
    <row r="687" spans="1:48" s="20" customFormat="1" x14ac:dyDescent="0.25">
      <c r="A687" s="17">
        <f>IFERROR(VLOOKUP(D687,'Monthly Deduction'!$I$3:$J$957,2,0),0)</f>
        <v>57318.154369462798</v>
      </c>
      <c r="B687" s="17">
        <f>IFERROR(VLOOKUP(D687,'Monthly Deduction'!$E$3:$F$957,2,0),0)</f>
        <v>0</v>
      </c>
      <c r="C687" s="17">
        <f t="shared" si="194"/>
        <v>57318.154369462798</v>
      </c>
      <c r="D687" s="41">
        <v>10530097</v>
      </c>
      <c r="E687" s="122" t="str">
        <f>VLOOKUP(D687,'MPG Payment '!$E$3:$G$498218,2,0)</f>
        <v>GOMUKH NAWABGANJ</v>
      </c>
      <c r="F687" s="146">
        <f>IFERROR(_xlfn.XLOOKUP(D687,'Monthly Deduction'!$I$3:$I$957,'Monthly Deduction'!$H$3:$H$957),0)</f>
        <v>0</v>
      </c>
      <c r="G687" s="123" t="str">
        <f>VLOOKUP(D687,'MPG Payment '!$E$3:$G$334579,3,0)</f>
        <v>MPG</v>
      </c>
      <c r="H687" s="124" t="str">
        <f>VLOOKUP(D687,'MPG Payment '!$E$3:$H$334579,4,0)</f>
        <v>Direct</v>
      </c>
      <c r="I687" s="88">
        <f>INDEX('MPG Payment '!$C:$C,MATCH('Shayak Income '!D687,'MPG Payment '!E:E,0))</f>
        <v>1053</v>
      </c>
      <c r="J687" s="88" t="str">
        <f>INDEX('MPG Payment '!$D:$D,MATCH('Shayak Income '!D687,'MPG Payment '!E:E,0))</f>
        <v>Kalyanpur</v>
      </c>
      <c r="K687" s="125" t="s">
        <v>1322</v>
      </c>
      <c r="L687" s="125">
        <v>45991</v>
      </c>
      <c r="M687" s="126">
        <f>SUMIF('MPG Payment '!$E$3:$E$34579,'Shayak Income '!D687,'MPG Payment '!$I$3:$I$34579)</f>
        <v>2589.25</v>
      </c>
      <c r="N687" s="126">
        <f>SUMIF('MPG Payment '!$E$3:$E$34579,'Shayak Income '!D687,'MPG Payment '!$J$3:$J$34579)</f>
        <v>108742.625047957</v>
      </c>
      <c r="O687" s="126">
        <f t="shared" si="195"/>
        <v>1941.9375</v>
      </c>
      <c r="P687" s="126">
        <f t="shared" si="196"/>
        <v>2459.7874999999999</v>
      </c>
      <c r="Q687" s="126">
        <f>SUMIF('MPG Payment '!$E$3:$E$34579,'Shayak Income '!D687,'MPG Payment '!$S$3:$S$34579)</f>
        <v>2723.8578227402804</v>
      </c>
      <c r="R687" s="126">
        <f t="shared" si="186"/>
        <v>3262.2787514387101</v>
      </c>
      <c r="S687" s="126">
        <f t="shared" si="187"/>
        <v>802.49125143871015</v>
      </c>
      <c r="T687" s="126">
        <f t="shared" si="197"/>
        <v>258.92500000000001</v>
      </c>
      <c r="U687" s="127">
        <f>(((IF(K687="New",0,SUMIF('MPG Payment '!$E$3:$E$34579,'Shayak Income '!D687,'MPG Payment '!$AC$3:$AC$34579))))+0)+0</f>
        <v>178.09427066525811</v>
      </c>
      <c r="V687" s="127">
        <f t="shared" si="198"/>
        <v>6689</v>
      </c>
      <c r="W687" s="19">
        <f t="shared" si="203"/>
        <v>2174.8525009591399</v>
      </c>
      <c r="X687" s="19">
        <v>0</v>
      </c>
      <c r="Y687" s="128">
        <f>IFERROR(VLOOKUP(D687,'Monthly Deduction'!$M$2:$N$64,2,0),0)</f>
        <v>0</v>
      </c>
      <c r="Z687" s="128">
        <v>0</v>
      </c>
      <c r="AA687" s="126">
        <f>IFERROR(VLOOKUP(D687,'Monthly Deduction'!A:B,2,0),0)</f>
        <v>0</v>
      </c>
      <c r="AB687" s="129">
        <f t="shared" si="189"/>
        <v>4514</v>
      </c>
      <c r="AC687" s="130">
        <v>0</v>
      </c>
      <c r="AD687" s="35">
        <f t="shared" si="200"/>
        <v>4514</v>
      </c>
      <c r="AE687" s="166" t="str">
        <f t="shared" si="201"/>
        <v>Release</v>
      </c>
      <c r="AF687" s="127"/>
      <c r="AG687" s="18">
        <v>0</v>
      </c>
      <c r="AH687" s="120"/>
      <c r="AI687" s="238">
        <v>0</v>
      </c>
      <c r="AJ687" s="132"/>
      <c r="AK687" s="151">
        <v>654.75</v>
      </c>
      <c r="AL687" s="154">
        <f t="shared" si="190"/>
        <v>0</v>
      </c>
      <c r="AM687" s="155"/>
      <c r="AN687" s="19">
        <f t="shared" si="191"/>
        <v>2174.8525009591399</v>
      </c>
      <c r="AO687" s="118">
        <f>SUMIF('MPG Payment '!E:E,'Shayak Income '!D687,'MPG Payment '!AJ:AJ)</f>
        <v>0</v>
      </c>
      <c r="AP687" s="19">
        <f t="shared" si="192"/>
        <v>2174.8525009591399</v>
      </c>
      <c r="AQ687" s="119">
        <f t="shared" si="202"/>
        <v>2174.8525009591399</v>
      </c>
      <c r="AR687" s="91" t="s">
        <v>1168</v>
      </c>
      <c r="AS687" s="91">
        <f t="shared" si="193"/>
        <v>0</v>
      </c>
      <c r="AT687" s="118"/>
      <c r="AU687" s="118"/>
      <c r="AV687" s="118"/>
    </row>
    <row r="688" spans="1:48" s="20" customFormat="1" x14ac:dyDescent="0.25">
      <c r="A688" s="17">
        <f>IFERROR(VLOOKUP(D688,'Monthly Deduction'!$I$3:$J$957,2,0),0)</f>
        <v>60283.399400000002</v>
      </c>
      <c r="B688" s="17">
        <f>IFERROR(VLOOKUP(D688,'Monthly Deduction'!$E$3:$F$957,2,0),0)</f>
        <v>0</v>
      </c>
      <c r="C688" s="17">
        <f t="shared" si="194"/>
        <v>60283.399400000002</v>
      </c>
      <c r="D688" s="41">
        <v>10540026</v>
      </c>
      <c r="E688" s="122" t="str">
        <f>VLOOKUP(D688,'MPG Payment '!$E$3:$G$498218,2,0)</f>
        <v>GOMUKH AMBA ICHARUA</v>
      </c>
      <c r="F688" s="146">
        <f>IFERROR(_xlfn.XLOOKUP(D688,'Monthly Deduction'!$I$3:$I$957,'Monthly Deduction'!$H$3:$H$957),0)</f>
        <v>0</v>
      </c>
      <c r="G688" s="123" t="str">
        <f>VLOOKUP(D688,'MPG Payment '!$E$3:$G$334579,3,0)</f>
        <v>MPG</v>
      </c>
      <c r="H688" s="124" t="str">
        <f>VLOOKUP(D688,'MPG Payment '!$E$3:$H$334579,4,0)</f>
        <v>Direct</v>
      </c>
      <c r="I688" s="88">
        <f>INDEX('MPG Payment '!$C:$C,MATCH('Shayak Income '!D688,'MPG Payment '!E:E,0))</f>
        <v>1054</v>
      </c>
      <c r="J688" s="88" t="str">
        <f>INDEX('MPG Payment '!$D:$D,MATCH('Shayak Income '!D688,'MPG Payment '!E:E,0))</f>
        <v xml:space="preserve">Alauli </v>
      </c>
      <c r="K688" s="125" t="s">
        <v>1322</v>
      </c>
      <c r="L688" s="125">
        <v>45994</v>
      </c>
      <c r="M688" s="126">
        <f>SUMIF('MPG Payment '!$E$3:$E$34579,'Shayak Income '!D688,'MPG Payment '!$I$3:$I$34579)</f>
        <v>2261.2800000000007</v>
      </c>
      <c r="N688" s="126">
        <f>SUMIF('MPG Payment '!$E$3:$E$34579,'Shayak Income '!D688,'MPG Payment '!$J$3:$J$34579)</f>
        <v>92276.346580001598</v>
      </c>
      <c r="O688" s="126">
        <f t="shared" si="195"/>
        <v>1695.9600000000005</v>
      </c>
      <c r="P688" s="126">
        <f t="shared" si="196"/>
        <v>2148.2160000000003</v>
      </c>
      <c r="Q688" s="126">
        <f>SUMIF('MPG Payment '!$E$3:$E$34579,'Shayak Income '!D688,'MPG Payment '!$S$3:$S$34579)</f>
        <v>0</v>
      </c>
      <c r="R688" s="126">
        <f t="shared" si="186"/>
        <v>2768.2903974000478</v>
      </c>
      <c r="S688" s="126">
        <f t="shared" si="187"/>
        <v>620.07439740004747</v>
      </c>
      <c r="T688" s="126">
        <f t="shared" si="197"/>
        <v>226.12800000000007</v>
      </c>
      <c r="U688" s="127">
        <f>(((IF(K688="New",0,SUMIF('MPG Payment '!$E$3:$E$34579,'Shayak Income '!D688,'MPG Payment '!$AC$3:$AC$34579))))+0)+0</f>
        <v>439.88245941591532</v>
      </c>
      <c r="V688" s="127">
        <f t="shared" si="198"/>
        <v>3178</v>
      </c>
      <c r="W688" s="19">
        <f t="shared" si="203"/>
        <v>1861</v>
      </c>
      <c r="X688" s="19">
        <v>0</v>
      </c>
      <c r="Y688" s="128">
        <f>IFERROR(VLOOKUP(D688,'Monthly Deduction'!$M$2:$N$64,2,0),0)</f>
        <v>0</v>
      </c>
      <c r="Z688" s="128">
        <v>0</v>
      </c>
      <c r="AA688" s="126">
        <f>IFERROR(VLOOKUP(D688,'Monthly Deduction'!A:B,2,0),0)</f>
        <v>0</v>
      </c>
      <c r="AB688" s="129">
        <f t="shared" si="189"/>
        <v>1317</v>
      </c>
      <c r="AC688" s="130">
        <v>0</v>
      </c>
      <c r="AD688" s="35">
        <f t="shared" si="200"/>
        <v>1317</v>
      </c>
      <c r="AE688" s="166" t="str">
        <f t="shared" si="201"/>
        <v>Release</v>
      </c>
      <c r="AF688" s="127"/>
      <c r="AG688" s="18">
        <v>0</v>
      </c>
      <c r="AH688" s="132"/>
      <c r="AI688" s="238">
        <v>0</v>
      </c>
      <c r="AJ688" s="132"/>
      <c r="AK688" s="151">
        <v>548.99999999999989</v>
      </c>
      <c r="AL688" s="154">
        <f t="shared" si="190"/>
        <v>0</v>
      </c>
      <c r="AM688" s="155"/>
      <c r="AN688" s="19">
        <f t="shared" si="191"/>
        <v>1861</v>
      </c>
      <c r="AO688" s="118">
        <f>SUMIF('MPG Payment '!E:E,'Shayak Income '!D688,'MPG Payment '!AJ:AJ)</f>
        <v>0</v>
      </c>
      <c r="AP688" s="19">
        <f t="shared" si="192"/>
        <v>1861</v>
      </c>
      <c r="AQ688" s="119">
        <f t="shared" si="202"/>
        <v>1861</v>
      </c>
      <c r="AR688" s="91" t="s">
        <v>1168</v>
      </c>
      <c r="AS688" s="91">
        <f t="shared" si="193"/>
        <v>0</v>
      </c>
      <c r="AT688" s="118"/>
      <c r="AU688" s="118"/>
      <c r="AV688" s="118"/>
    </row>
    <row r="689" spans="1:48" s="20" customFormat="1" x14ac:dyDescent="0.25">
      <c r="A689" s="17">
        <f>IFERROR(VLOOKUP(D689,'Monthly Deduction'!$I$3:$J$957,2,0),0)</f>
        <v>88342</v>
      </c>
      <c r="B689" s="17">
        <f>IFERROR(VLOOKUP(D689,'Monthly Deduction'!$E$3:$F$957,2,0),0)</f>
        <v>0</v>
      </c>
      <c r="C689" s="17">
        <f t="shared" si="194"/>
        <v>88342</v>
      </c>
      <c r="D689" s="41">
        <v>10540034</v>
      </c>
      <c r="E689" s="122" t="str">
        <f>VLOOKUP(D689,'MPG Payment '!$E$3:$G$498218,2,0)</f>
        <v>GOMUKH MATHURAPUR</v>
      </c>
      <c r="F689" s="146">
        <f>IFERROR(_xlfn.XLOOKUP(D689,'Monthly Deduction'!$I$3:$I$957,'Monthly Deduction'!$H$3:$H$957),0)</f>
        <v>0</v>
      </c>
      <c r="G689" s="123" t="str">
        <f>VLOOKUP(D689,'MPG Payment '!$E$3:$G$334579,3,0)</f>
        <v>MPG</v>
      </c>
      <c r="H689" s="124" t="str">
        <f>VLOOKUP(D689,'MPG Payment '!$E$3:$H$334579,4,0)</f>
        <v>Direct</v>
      </c>
      <c r="I689" s="88">
        <f>INDEX('MPG Payment '!$C:$C,MATCH('Shayak Income '!D689,'MPG Payment '!E:E,0))</f>
        <v>1054</v>
      </c>
      <c r="J689" s="88" t="str">
        <f>INDEX('MPG Payment '!$D:$D,MATCH('Shayak Income '!D689,'MPG Payment '!E:E,0))</f>
        <v xml:space="preserve">Alauli </v>
      </c>
      <c r="K689" s="125" t="s">
        <v>1322</v>
      </c>
      <c r="L689" s="125">
        <v>45989</v>
      </c>
      <c r="M689" s="126">
        <f>SUMIF('MPG Payment '!$E$3:$E$34579,'Shayak Income '!D689,'MPG Payment '!$I$3:$I$34579)</f>
        <v>1021.5600000000001</v>
      </c>
      <c r="N689" s="126">
        <f>SUMIF('MPG Payment '!$E$3:$E$34579,'Shayak Income '!D689,'MPG Payment '!$J$3:$J$34579)</f>
        <v>38595.035681715002</v>
      </c>
      <c r="O689" s="126">
        <f t="shared" si="195"/>
        <v>766.17000000000007</v>
      </c>
      <c r="P689" s="126">
        <f t="shared" si="196"/>
        <v>970.48199999999997</v>
      </c>
      <c r="Q689" s="126">
        <f>SUMIF('MPG Payment '!$E$3:$E$34579,'Shayak Income '!D689,'MPG Payment '!$S$3:$S$34579)</f>
        <v>0</v>
      </c>
      <c r="R689" s="126">
        <f t="shared" si="186"/>
        <v>1157.8510704514499</v>
      </c>
      <c r="S689" s="126">
        <f t="shared" si="187"/>
        <v>187.36907045144994</v>
      </c>
      <c r="T689" s="126">
        <f t="shared" si="197"/>
        <v>102.15600000000001</v>
      </c>
      <c r="U689" s="127">
        <f>(((IF(K689="New",0,SUMIF('MPG Payment '!$E$3:$E$34579,'Shayak Income '!D689,'MPG Payment '!$AC$3:$AC$34579))))+0)+0</f>
        <v>1349.3209833090348</v>
      </c>
      <c r="V689" s="127">
        <f t="shared" si="198"/>
        <v>285</v>
      </c>
      <c r="W689" s="19">
        <v>285</v>
      </c>
      <c r="X689" s="19">
        <v>0</v>
      </c>
      <c r="Y689" s="128">
        <f>IFERROR(VLOOKUP(D689,'Monthly Deduction'!$M$2:$N$64,2,0),0)</f>
        <v>0</v>
      </c>
      <c r="Z689" s="128">
        <v>0</v>
      </c>
      <c r="AA689" s="126">
        <f>IFERROR(VLOOKUP(D689,'Monthly Deduction'!A:B,2,0),0)</f>
        <v>0</v>
      </c>
      <c r="AB689" s="129">
        <f t="shared" si="189"/>
        <v>0</v>
      </c>
      <c r="AC689" s="130">
        <f>AB689</f>
        <v>0</v>
      </c>
      <c r="AD689" s="35">
        <f t="shared" si="200"/>
        <v>0</v>
      </c>
      <c r="AE689" s="166" t="str">
        <f t="shared" si="201"/>
        <v>Release</v>
      </c>
      <c r="AF689" s="127"/>
      <c r="AG689" s="18">
        <v>0</v>
      </c>
      <c r="AH689" s="132" t="s">
        <v>1648</v>
      </c>
      <c r="AI689" s="238">
        <v>0</v>
      </c>
      <c r="AJ689" s="132"/>
      <c r="AK689" s="151">
        <v>0</v>
      </c>
      <c r="AL689" s="154">
        <f t="shared" si="190"/>
        <v>0</v>
      </c>
      <c r="AM689" s="155"/>
      <c r="AN689" s="19">
        <f t="shared" si="191"/>
        <v>1861</v>
      </c>
      <c r="AO689" s="118">
        <f>SUMIF('MPG Payment '!E:E,'Shayak Income '!D689,'MPG Payment '!AJ:AJ)</f>
        <v>0</v>
      </c>
      <c r="AP689" s="19">
        <f t="shared" si="192"/>
        <v>285</v>
      </c>
      <c r="AQ689" s="119">
        <f t="shared" si="202"/>
        <v>285</v>
      </c>
      <c r="AR689" s="91"/>
      <c r="AS689" s="91">
        <f t="shared" si="193"/>
        <v>0</v>
      </c>
      <c r="AT689" s="118"/>
      <c r="AU689" s="118"/>
      <c r="AV689" s="118"/>
    </row>
    <row r="690" spans="1:48" s="20" customFormat="1" x14ac:dyDescent="0.25">
      <c r="A690" s="17">
        <f>IFERROR(VLOOKUP(D690,'Monthly Deduction'!$I$3:$J$957,2,0),0)</f>
        <v>75422.401516568003</v>
      </c>
      <c r="B690" s="17">
        <f>IFERROR(VLOOKUP(D690,'Monthly Deduction'!$E$3:$F$957,2,0),0)</f>
        <v>0</v>
      </c>
      <c r="C690" s="17">
        <f t="shared" si="194"/>
        <v>75422.401516568003</v>
      </c>
      <c r="D690" s="41">
        <v>10560011</v>
      </c>
      <c r="E690" s="122" t="str">
        <f>VLOOKUP(D690,'MPG Payment '!$E$3:$G$498218,2,0)</f>
        <v>Gomukh Ashatol Paharpur</v>
      </c>
      <c r="F690" s="146">
        <f>IFERROR(_xlfn.XLOOKUP(D690,'Monthly Deduction'!$I$3:$I$957,'Monthly Deduction'!$H$3:$H$957),0)</f>
        <v>0</v>
      </c>
      <c r="G690" s="123" t="str">
        <f>VLOOKUP(D690,'MPG Payment '!$E$3:$G$334579,3,0)</f>
        <v>MPG</v>
      </c>
      <c r="H690" s="124" t="str">
        <f>VLOOKUP(D690,'MPG Payment '!$E$3:$H$334579,4,0)</f>
        <v>Direct</v>
      </c>
      <c r="I690" s="88">
        <f>INDEX('MPG Payment '!$C:$C,MATCH('Shayak Income '!D690,'MPG Payment '!E:E,0))</f>
        <v>1056</v>
      </c>
      <c r="J690" s="88" t="str">
        <f>INDEX('MPG Payment '!$D:$D,MATCH('Shayak Income '!D690,'MPG Payment '!E:E,0))</f>
        <v>Chautham</v>
      </c>
      <c r="K690" s="125" t="s">
        <v>1322</v>
      </c>
      <c r="L690" s="125">
        <v>45989</v>
      </c>
      <c r="M690" s="126">
        <f>SUMIF('MPG Payment '!$E$3:$E$34579,'Shayak Income '!D690,'MPG Payment '!$I$3:$I$34579)</f>
        <v>7170.08</v>
      </c>
      <c r="N690" s="126">
        <f>SUMIF('MPG Payment '!$E$3:$E$34579,'Shayak Income '!D690,'MPG Payment '!$J$3:$J$34579)</f>
        <v>272854.95412941393</v>
      </c>
      <c r="O690" s="126">
        <f t="shared" si="195"/>
        <v>5377.5599999999995</v>
      </c>
      <c r="P690" s="126">
        <f t="shared" si="196"/>
        <v>6811.576</v>
      </c>
      <c r="Q690" s="126">
        <f>SUMIF('MPG Payment '!$E$3:$E$34579,'Shayak Income '!D690,'MPG Payment '!$S$3:$S$34579)</f>
        <v>0</v>
      </c>
      <c r="R690" s="126">
        <f t="shared" si="186"/>
        <v>8185.6486238824182</v>
      </c>
      <c r="S690" s="126">
        <f t="shared" si="187"/>
        <v>1374.0726238824182</v>
      </c>
      <c r="T690" s="126">
        <f t="shared" si="197"/>
        <v>717.00800000000004</v>
      </c>
      <c r="U690" s="127">
        <f>(((IF(K690="New",0,SUMIF('MPG Payment '!$E$3:$E$34579,'Shayak Income '!D690,'MPG Payment '!$AC$3:$AC$34579))))+0)+0</f>
        <v>0</v>
      </c>
      <c r="V690" s="127">
        <f t="shared" si="198"/>
        <v>11472</v>
      </c>
      <c r="W690" s="19">
        <f t="shared" si="203"/>
        <v>5457.0990825882791</v>
      </c>
      <c r="X690" s="19">
        <v>0</v>
      </c>
      <c r="Y690" s="128">
        <f>IFERROR(VLOOKUP(D690,'Monthly Deduction'!$M$2:$N$64,2,0),0)</f>
        <v>0</v>
      </c>
      <c r="Z690" s="128">
        <v>0</v>
      </c>
      <c r="AA690" s="126">
        <f>IFERROR(VLOOKUP(D690,'Monthly Deduction'!A:B,2,0),0)</f>
        <v>0</v>
      </c>
      <c r="AB690" s="129">
        <f t="shared" si="189"/>
        <v>6015</v>
      </c>
      <c r="AC690" s="130">
        <v>0</v>
      </c>
      <c r="AD690" s="35">
        <f t="shared" si="200"/>
        <v>6015</v>
      </c>
      <c r="AE690" s="166" t="str">
        <f t="shared" si="201"/>
        <v>Release</v>
      </c>
      <c r="AF690" s="127"/>
      <c r="AG690" s="18">
        <v>0</v>
      </c>
      <c r="AH690" s="132"/>
      <c r="AI690" s="238">
        <v>0</v>
      </c>
      <c r="AJ690" s="132"/>
      <c r="AK690" s="151">
        <v>1777.6200000000001</v>
      </c>
      <c r="AL690" s="154">
        <f t="shared" si="190"/>
        <v>0</v>
      </c>
      <c r="AM690" s="155"/>
      <c r="AN690" s="19">
        <f t="shared" si="191"/>
        <v>5457.0990825882791</v>
      </c>
      <c r="AO690" s="118">
        <f>SUMIF('MPG Payment '!E:E,'Shayak Income '!D690,'MPG Payment '!AJ:AJ)</f>
        <v>0</v>
      </c>
      <c r="AP690" s="19">
        <f t="shared" si="192"/>
        <v>5457.0990825882791</v>
      </c>
      <c r="AQ690" s="119">
        <f t="shared" si="202"/>
        <v>5457.0990825882791</v>
      </c>
      <c r="AR690" s="91"/>
      <c r="AS690" s="91">
        <f t="shared" si="193"/>
        <v>0</v>
      </c>
      <c r="AT690" s="118"/>
      <c r="AU690" s="118"/>
      <c r="AV690" s="118"/>
    </row>
    <row r="691" spans="1:48" s="20" customFormat="1" x14ac:dyDescent="0.25">
      <c r="A691" s="17">
        <f>IFERROR(VLOOKUP(D691,'Monthly Deduction'!$I$3:$J$957,2,0),0)</f>
        <v>83169.204800000007</v>
      </c>
      <c r="B691" s="17">
        <f>IFERROR(VLOOKUP(D691,'Monthly Deduction'!$E$3:$F$957,2,0),0)</f>
        <v>0</v>
      </c>
      <c r="C691" s="17">
        <f t="shared" si="194"/>
        <v>83169.204800000007</v>
      </c>
      <c r="D691" s="41">
        <v>10560012</v>
      </c>
      <c r="E691" s="122" t="str">
        <f>VLOOKUP(D691,'MPG Payment '!$E$3:$G$498218,2,0)</f>
        <v>Gomukh Kharawa</v>
      </c>
      <c r="F691" s="146">
        <f>IFERROR(_xlfn.XLOOKUP(D691,'Monthly Deduction'!$I$3:$I$957,'Monthly Deduction'!$H$3:$H$957),0)</f>
        <v>0</v>
      </c>
      <c r="G691" s="123" t="str">
        <f>VLOOKUP(D691,'MPG Payment '!$E$3:$G$334579,3,0)</f>
        <v>MPG</v>
      </c>
      <c r="H691" s="124" t="str">
        <f>VLOOKUP(D691,'MPG Payment '!$E$3:$H$334579,4,0)</f>
        <v>Direct</v>
      </c>
      <c r="I691" s="88">
        <f>INDEX('MPG Payment '!$C:$C,MATCH('Shayak Income '!D691,'MPG Payment '!E:E,0))</f>
        <v>1056</v>
      </c>
      <c r="J691" s="88" t="str">
        <f>INDEX('MPG Payment '!$D:$D,MATCH('Shayak Income '!D691,'MPG Payment '!E:E,0))</f>
        <v>Chautham</v>
      </c>
      <c r="K691" s="125" t="s">
        <v>1322</v>
      </c>
      <c r="L691" s="125">
        <v>45989</v>
      </c>
      <c r="M691" s="126">
        <f>SUMIF('MPG Payment '!$E$3:$E$34579,'Shayak Income '!D691,'MPG Payment '!$I$3:$I$34579)</f>
        <v>4611.9399999999996</v>
      </c>
      <c r="N691" s="126">
        <f>SUMIF('MPG Payment '!$E$3:$E$34579,'Shayak Income '!D691,'MPG Payment '!$J$3:$J$34579)</f>
        <v>176240.87674706196</v>
      </c>
      <c r="O691" s="126">
        <f t="shared" si="195"/>
        <v>3458.9549999999999</v>
      </c>
      <c r="P691" s="126">
        <f t="shared" si="196"/>
        <v>4381.3429999999998</v>
      </c>
      <c r="Q691" s="126">
        <f>SUMIF('MPG Payment '!$E$3:$E$34579,'Shayak Income '!D691,'MPG Payment '!$S$3:$S$34579)</f>
        <v>0</v>
      </c>
      <c r="R691" s="126">
        <f t="shared" si="186"/>
        <v>5287.2263024118583</v>
      </c>
      <c r="S691" s="126">
        <f t="shared" si="187"/>
        <v>905.88330241185849</v>
      </c>
      <c r="T691" s="126">
        <f t="shared" si="197"/>
        <v>461.19399999999996</v>
      </c>
      <c r="U691" s="127">
        <f>(((IF(K691="New",0,SUMIF('MPG Payment '!$E$3:$E$34579,'Shayak Income '!D691,'MPG Payment '!$AC$3:$AC$34579))))+0)+0</f>
        <v>0</v>
      </c>
      <c r="V691" s="127">
        <f t="shared" si="198"/>
        <v>7379</v>
      </c>
      <c r="W691" s="19">
        <f t="shared" si="203"/>
        <v>3524.8175349412395</v>
      </c>
      <c r="X691" s="19">
        <v>0</v>
      </c>
      <c r="Y691" s="128">
        <f>IFERROR(VLOOKUP(D691,'Monthly Deduction'!$M$2:$N$64,2,0),0)</f>
        <v>0</v>
      </c>
      <c r="Z691" s="128">
        <v>0</v>
      </c>
      <c r="AA691" s="126">
        <f>IFERROR(VLOOKUP(D691,'Monthly Deduction'!A:B,2,0),0)</f>
        <v>0</v>
      </c>
      <c r="AB691" s="129">
        <f t="shared" si="189"/>
        <v>3854</v>
      </c>
      <c r="AC691" s="130">
        <v>0</v>
      </c>
      <c r="AD691" s="35">
        <f t="shared" si="200"/>
        <v>3854</v>
      </c>
      <c r="AE691" s="166" t="str">
        <f t="shared" si="201"/>
        <v>Release</v>
      </c>
      <c r="AF691" s="127"/>
      <c r="AG691" s="127">
        <v>0</v>
      </c>
      <c r="AH691" s="120"/>
      <c r="AI691" s="238">
        <v>0</v>
      </c>
      <c r="AJ691" s="132"/>
      <c r="AK691" s="151">
        <v>1118.46</v>
      </c>
      <c r="AL691" s="154">
        <f t="shared" si="190"/>
        <v>0</v>
      </c>
      <c r="AM691" s="155"/>
      <c r="AN691" s="19">
        <f t="shared" si="191"/>
        <v>3524.8175349412395</v>
      </c>
      <c r="AO691" s="118">
        <f>SUMIF('MPG Payment '!E:E,'Shayak Income '!D691,'MPG Payment '!AJ:AJ)</f>
        <v>0</v>
      </c>
      <c r="AP691" s="19">
        <f t="shared" si="192"/>
        <v>3524.8175349412395</v>
      </c>
      <c r="AQ691" s="119">
        <f t="shared" si="202"/>
        <v>3524.8175349412395</v>
      </c>
      <c r="AR691" s="91" t="s">
        <v>1168</v>
      </c>
      <c r="AS691" s="91">
        <f t="shared" si="193"/>
        <v>0</v>
      </c>
      <c r="AT691" s="118"/>
      <c r="AU691" s="118"/>
      <c r="AV691" s="118"/>
    </row>
    <row r="692" spans="1:48" s="20" customFormat="1" x14ac:dyDescent="0.25">
      <c r="A692" s="17">
        <f>IFERROR(VLOOKUP(D692,'Monthly Deduction'!$I$3:$J$957,2,0),0)</f>
        <v>86642</v>
      </c>
      <c r="B692" s="17">
        <f>IFERROR(VLOOKUP(D692,'Monthly Deduction'!$E$3:$F$957,2,0),0)</f>
        <v>6400</v>
      </c>
      <c r="C692" s="17">
        <f t="shared" si="194"/>
        <v>93042</v>
      </c>
      <c r="D692" s="41">
        <v>10570017</v>
      </c>
      <c r="E692" s="122" t="str">
        <f>VLOOKUP(D692,'MPG Payment '!$E$3:$G$498218,2,0)</f>
        <v>Dewanpur</v>
      </c>
      <c r="F692" s="146">
        <f>IFERROR(_xlfn.XLOOKUP(D692,'Monthly Deduction'!$I$3:$I$957,'Monthly Deduction'!$H$3:$H$957),0)</f>
        <v>0</v>
      </c>
      <c r="G692" s="123" t="str">
        <f>VLOOKUP(D692,'MPG Payment '!$E$3:$G$334579,3,0)</f>
        <v>MPG</v>
      </c>
      <c r="H692" s="124" t="str">
        <f>VLOOKUP(D692,'MPG Payment '!$E$3:$H$334579,4,0)</f>
        <v>Direct</v>
      </c>
      <c r="I692" s="88">
        <f>INDEX('MPG Payment '!$C:$C,MATCH('Shayak Income '!D692,'MPG Payment '!E:E,0))</f>
        <v>1057</v>
      </c>
      <c r="J692" s="88" t="str">
        <f>INDEX('MPG Payment '!$D:$D,MATCH('Shayak Income '!D692,'MPG Payment '!E:E,0))</f>
        <v>Warisnagar</v>
      </c>
      <c r="K692" s="125" t="s">
        <v>1322</v>
      </c>
      <c r="L692" s="125">
        <v>45989</v>
      </c>
      <c r="M692" s="126">
        <f>SUMIF('MPG Payment '!$E$3:$E$34579,'Shayak Income '!D692,'MPG Payment '!$I$3:$I$34579)</f>
        <v>396.4</v>
      </c>
      <c r="N692" s="126">
        <f>SUMIF('MPG Payment '!$E$3:$E$34579,'Shayak Income '!D692,'MPG Payment '!$J$3:$J$34579)</f>
        <v>16901.254005888</v>
      </c>
      <c r="O692" s="126">
        <f t="shared" si="195"/>
        <v>297.29999999999995</v>
      </c>
      <c r="P692" s="126">
        <f t="shared" si="196"/>
        <v>376.58</v>
      </c>
      <c r="Q692" s="126">
        <f>SUMIF('MPG Payment '!$E$3:$E$34579,'Shayak Income '!D692,'MPG Payment '!$S$3:$S$34579)</f>
        <v>0</v>
      </c>
      <c r="R692" s="126">
        <f t="shared" si="186"/>
        <v>507.03762017664002</v>
      </c>
      <c r="S692" s="126">
        <f t="shared" si="187"/>
        <v>130.45762017664003</v>
      </c>
      <c r="T692" s="126">
        <f t="shared" si="197"/>
        <v>39.64</v>
      </c>
      <c r="U692" s="127">
        <f>(((IF(K692="New",0,SUMIF('MPG Payment '!$E$3:$E$34579,'Shayak Income '!D692,'MPG Payment '!$AC$3:$AC$34579))))+0)+-1403</f>
        <v>634.27349644588116</v>
      </c>
      <c r="V692" s="127">
        <f t="shared" si="198"/>
        <v>0</v>
      </c>
      <c r="W692" s="19">
        <v>0</v>
      </c>
      <c r="X692" s="19">
        <v>0</v>
      </c>
      <c r="Y692" s="128">
        <v>0</v>
      </c>
      <c r="Z692" s="128">
        <v>0</v>
      </c>
      <c r="AA692" s="126">
        <v>0</v>
      </c>
      <c r="AB692" s="129">
        <f t="shared" si="189"/>
        <v>0</v>
      </c>
      <c r="AC692" s="130">
        <v>0</v>
      </c>
      <c r="AD692" s="35">
        <f t="shared" si="200"/>
        <v>0</v>
      </c>
      <c r="AE692" s="166" t="str">
        <f t="shared" si="201"/>
        <v>Release</v>
      </c>
      <c r="AF692" s="127"/>
      <c r="AG692" s="127">
        <v>0</v>
      </c>
      <c r="AH692" s="120"/>
      <c r="AI692" s="238">
        <v>0</v>
      </c>
      <c r="AJ692" s="132"/>
      <c r="AK692" s="151">
        <v>137.30000000000001</v>
      </c>
      <c r="AL692" s="154">
        <f t="shared" si="190"/>
        <v>0</v>
      </c>
      <c r="AM692" s="155"/>
      <c r="AN692" s="19">
        <f t="shared" si="191"/>
        <v>1861</v>
      </c>
      <c r="AO692" s="118">
        <f>SUMIF('MPG Payment '!E:E,'Shayak Income '!D692,'MPG Payment '!AJ:AJ)</f>
        <v>500</v>
      </c>
      <c r="AP692" s="19">
        <f t="shared" si="192"/>
        <v>0</v>
      </c>
      <c r="AQ692" s="119">
        <f t="shared" si="202"/>
        <v>500</v>
      </c>
      <c r="AR692" s="91" t="s">
        <v>1168</v>
      </c>
      <c r="AS692" s="91">
        <f t="shared" si="193"/>
        <v>6400</v>
      </c>
      <c r="AT692" s="118"/>
      <c r="AU692" s="118"/>
      <c r="AV692" s="118"/>
    </row>
    <row r="693" spans="1:48" s="20" customFormat="1" x14ac:dyDescent="0.25">
      <c r="A693" s="17">
        <f>IFERROR(VLOOKUP(D693,'Monthly Deduction'!$I$3:$J$957,2,0),0)</f>
        <v>59417</v>
      </c>
      <c r="B693" s="17">
        <f>IFERROR(VLOOKUP(D693,'Monthly Deduction'!$E$3:$F$957,2,0),0)</f>
        <v>4648</v>
      </c>
      <c r="C693" s="17">
        <f t="shared" si="194"/>
        <v>64065</v>
      </c>
      <c r="D693" s="41">
        <v>10580005</v>
      </c>
      <c r="E693" s="122" t="str">
        <f>VLOOKUP(D693,'MPG Payment '!$E$3:$G$498218,2,0)</f>
        <v>Kasiya</v>
      </c>
      <c r="F693" s="146">
        <f>IFERROR(_xlfn.XLOOKUP(D693,'Monthly Deduction'!$I$3:$I$957,'Monthly Deduction'!$H$3:$H$957),0)</f>
        <v>0</v>
      </c>
      <c r="G693" s="123" t="str">
        <f>VLOOKUP(D693,'MPG Payment '!$E$3:$G$334579,3,0)</f>
        <v>MPG</v>
      </c>
      <c r="H693" s="124" t="str">
        <f>VLOOKUP(D693,'MPG Payment '!$E$3:$H$334579,4,0)</f>
        <v>Direct</v>
      </c>
      <c r="I693" s="88">
        <f>INDEX('MPG Payment '!$C:$C,MATCH('Shayak Income '!D693,'MPG Payment '!E:E,0))</f>
        <v>1058</v>
      </c>
      <c r="J693" s="88" t="str">
        <f>INDEX('MPG Payment '!$D:$D,MATCH('Shayak Income '!D693,'MPG Payment '!E:E,0))</f>
        <v>Hasanpur</v>
      </c>
      <c r="K693" s="125" t="s">
        <v>1322</v>
      </c>
      <c r="L693" s="125">
        <v>45990</v>
      </c>
      <c r="M693" s="126">
        <f>SUMIF('MPG Payment '!$E$3:$E$34579,'Shayak Income '!D693,'MPG Payment '!$I$3:$I$34579)</f>
        <v>2050.6999999999998</v>
      </c>
      <c r="N693" s="126">
        <f>SUMIF('MPG Payment '!$E$3:$E$34579,'Shayak Income '!D693,'MPG Payment '!$J$3:$J$34579)</f>
        <v>77542.69773761199</v>
      </c>
      <c r="O693" s="126">
        <f t="shared" si="195"/>
        <v>1538.0249999999999</v>
      </c>
      <c r="P693" s="126">
        <f t="shared" si="196"/>
        <v>1948.1649999999997</v>
      </c>
      <c r="Q693" s="126">
        <f>SUMIF('MPG Payment '!$E$3:$E$34579,'Shayak Income '!D693,'MPG Payment '!$S$3:$S$34579)</f>
        <v>1192.5957759570001</v>
      </c>
      <c r="R693" s="126">
        <f t="shared" si="186"/>
        <v>2326.2809321283598</v>
      </c>
      <c r="S693" s="126">
        <f t="shared" si="187"/>
        <v>378.1159321283601</v>
      </c>
      <c r="T693" s="126">
        <f t="shared" si="197"/>
        <v>205.07</v>
      </c>
      <c r="U693" s="127">
        <f>(((IF(K693="New",0,SUMIF('MPG Payment '!$E$3:$E$34579,'Shayak Income '!D693,'MPG Payment '!$AC$3:$AC$34579))))+0)+0</f>
        <v>568.87800405499434</v>
      </c>
      <c r="V693" s="127">
        <f t="shared" si="198"/>
        <v>3905</v>
      </c>
      <c r="W693" s="19">
        <f t="shared" si="203"/>
        <v>1861</v>
      </c>
      <c r="X693" s="19">
        <v>0</v>
      </c>
      <c r="Y693" s="128">
        <f>IFERROR(VLOOKUP(D693,'Monthly Deduction'!$M$2:$N$64,2,0),0)</f>
        <v>0</v>
      </c>
      <c r="Z693" s="128">
        <v>0</v>
      </c>
      <c r="AA693" s="126">
        <f>IFERROR(VLOOKUP(D693,'Monthly Deduction'!A:B,2,0),0)</f>
        <v>0</v>
      </c>
      <c r="AB693" s="129">
        <f t="shared" si="189"/>
        <v>2044</v>
      </c>
      <c r="AC693" s="130">
        <v>0</v>
      </c>
      <c r="AD693" s="35">
        <f t="shared" si="200"/>
        <v>2044</v>
      </c>
      <c r="AE693" s="166" t="str">
        <f t="shared" si="201"/>
        <v>Release</v>
      </c>
      <c r="AF693" s="127"/>
      <c r="AG693" s="127">
        <v>0</v>
      </c>
      <c r="AH693" s="120"/>
      <c r="AI693" s="238">
        <v>0</v>
      </c>
      <c r="AJ693" s="132"/>
      <c r="AK693" s="151">
        <v>368.39999999999992</v>
      </c>
      <c r="AL693" s="154">
        <f t="shared" si="190"/>
        <v>0</v>
      </c>
      <c r="AM693" s="155"/>
      <c r="AN693" s="19">
        <f t="shared" si="191"/>
        <v>1861</v>
      </c>
      <c r="AO693" s="118">
        <f>SUMIF('MPG Payment '!E:E,'Shayak Income '!D693,'MPG Payment '!AJ:AJ)</f>
        <v>0</v>
      </c>
      <c r="AP693" s="19">
        <f t="shared" si="192"/>
        <v>1861</v>
      </c>
      <c r="AQ693" s="119">
        <f t="shared" si="202"/>
        <v>1861</v>
      </c>
      <c r="AR693" s="91"/>
      <c r="AS693" s="91">
        <f t="shared" si="193"/>
        <v>4648</v>
      </c>
      <c r="AT693" s="118"/>
      <c r="AU693" s="118"/>
      <c r="AV693" s="118"/>
    </row>
    <row r="694" spans="1:48" s="20" customFormat="1" x14ac:dyDescent="0.25">
      <c r="A694" s="17">
        <f>IFERROR(VLOOKUP(D694,'Monthly Deduction'!$I$3:$J$957,2,0),0)</f>
        <v>60694</v>
      </c>
      <c r="B694" s="17">
        <f>IFERROR(VLOOKUP(D694,'Monthly Deduction'!$E$3:$F$957,2,0),0)</f>
        <v>5512</v>
      </c>
      <c r="C694" s="17">
        <f t="shared" si="194"/>
        <v>66206</v>
      </c>
      <c r="D694" s="41">
        <v>10580007</v>
      </c>
      <c r="E694" s="122" t="str">
        <f>VLOOKUP(D694,'MPG Payment '!$E$3:$G$498218,2,0)</f>
        <v>Belshandi</v>
      </c>
      <c r="F694" s="146">
        <f>IFERROR(_xlfn.XLOOKUP(D694,'Monthly Deduction'!$I$3:$I$957,'Monthly Deduction'!$H$3:$H$957),0)</f>
        <v>0</v>
      </c>
      <c r="G694" s="123" t="str">
        <f>VLOOKUP(D694,'MPG Payment '!$E$3:$G$334579,3,0)</f>
        <v>MPG</v>
      </c>
      <c r="H694" s="124" t="str">
        <f>VLOOKUP(D694,'MPG Payment '!$E$3:$H$334579,4,0)</f>
        <v>Direct</v>
      </c>
      <c r="I694" s="88">
        <f>INDEX('MPG Payment '!$C:$C,MATCH('Shayak Income '!D694,'MPG Payment '!E:E,0))</f>
        <v>1058</v>
      </c>
      <c r="J694" s="88" t="str">
        <f>INDEX('MPG Payment '!$D:$D,MATCH('Shayak Income '!D694,'MPG Payment '!E:E,0))</f>
        <v>Hasanpur</v>
      </c>
      <c r="K694" s="125" t="s">
        <v>1322</v>
      </c>
      <c r="L694" s="125">
        <v>45991</v>
      </c>
      <c r="M694" s="126">
        <f>SUMIF('MPG Payment '!$E$3:$E$34579,'Shayak Income '!D694,'MPG Payment '!$I$3:$I$34579)</f>
        <v>529.09999999999991</v>
      </c>
      <c r="N694" s="126">
        <f>SUMIF('MPG Payment '!$E$3:$E$34579,'Shayak Income '!D694,'MPG Payment '!$J$3:$J$34579)</f>
        <v>19412.122507488002</v>
      </c>
      <c r="O694" s="126">
        <f t="shared" si="195"/>
        <v>396.82499999999993</v>
      </c>
      <c r="P694" s="126">
        <f t="shared" si="196"/>
        <v>502.64499999999987</v>
      </c>
      <c r="Q694" s="126">
        <f>SUMIF('MPG Payment '!$E$3:$E$34579,'Shayak Income '!D694,'MPG Payment '!$S$3:$S$34579)</f>
        <v>338.56879448642007</v>
      </c>
      <c r="R694" s="126">
        <f t="shared" si="186"/>
        <v>582.36367522464002</v>
      </c>
      <c r="S694" s="126">
        <f t="shared" si="187"/>
        <v>79.718675224640151</v>
      </c>
      <c r="T694" s="126">
        <f t="shared" si="197"/>
        <v>52.91</v>
      </c>
      <c r="U694" s="127">
        <f>(((IF(K694="New",0,SUMIF('MPG Payment '!$E$3:$E$34579,'Shayak Income '!D694,'MPG Payment '!$AC$3:$AC$34579))))+0)+-470</f>
        <v>1185.3901458141515</v>
      </c>
      <c r="V694" s="127">
        <f t="shared" si="198"/>
        <v>0</v>
      </c>
      <c r="W694" s="19">
        <v>0</v>
      </c>
      <c r="X694" s="19">
        <v>0</v>
      </c>
      <c r="Y694" s="128">
        <f>IFERROR(VLOOKUP(D694,'Monthly Deduction'!$M$2:$N$64,2,0),0)</f>
        <v>0</v>
      </c>
      <c r="Z694" s="128">
        <v>0</v>
      </c>
      <c r="AA694" s="126">
        <f>IFERROR(VLOOKUP(D694,'Monthly Deduction'!A:B,2,0),0)</f>
        <v>0</v>
      </c>
      <c r="AB694" s="129">
        <f t="shared" si="189"/>
        <v>0</v>
      </c>
      <c r="AC694" s="130">
        <v>0</v>
      </c>
      <c r="AD694" s="35">
        <f t="shared" si="200"/>
        <v>0</v>
      </c>
      <c r="AE694" s="166" t="str">
        <f t="shared" si="201"/>
        <v>Release</v>
      </c>
      <c r="AF694" s="127"/>
      <c r="AG694" s="18">
        <v>0</v>
      </c>
      <c r="AH694" s="120"/>
      <c r="AI694" s="238">
        <v>0</v>
      </c>
      <c r="AJ694" s="132"/>
      <c r="AK694" s="151">
        <v>128.9</v>
      </c>
      <c r="AL694" s="154">
        <f t="shared" si="190"/>
        <v>0</v>
      </c>
      <c r="AM694" s="155"/>
      <c r="AN694" s="19">
        <f t="shared" si="191"/>
        <v>1861</v>
      </c>
      <c r="AO694" s="118">
        <f>SUMIF('MPG Payment '!E:E,'Shayak Income '!D694,'MPG Payment '!AJ:AJ)</f>
        <v>0</v>
      </c>
      <c r="AP694" s="19">
        <f t="shared" si="192"/>
        <v>0</v>
      </c>
      <c r="AQ694" s="119">
        <f t="shared" si="202"/>
        <v>0</v>
      </c>
      <c r="AR694" s="91" t="s">
        <v>1168</v>
      </c>
      <c r="AS694" s="91">
        <f t="shared" si="193"/>
        <v>5512</v>
      </c>
      <c r="AT694" s="118"/>
      <c r="AU694" s="118"/>
      <c r="AV694" s="118"/>
    </row>
    <row r="695" spans="1:48" s="20" customFormat="1" x14ac:dyDescent="0.25">
      <c r="A695" s="17">
        <f>IFERROR(VLOOKUP(D695,'Monthly Deduction'!$I$3:$J$957,2,0),0)</f>
        <v>61670</v>
      </c>
      <c r="B695" s="17">
        <f>IFERROR(VLOOKUP(D695,'Monthly Deduction'!$E$3:$F$957,2,0),0)</f>
        <v>0</v>
      </c>
      <c r="C695" s="17">
        <f t="shared" si="194"/>
        <v>61670</v>
      </c>
      <c r="D695" s="41">
        <v>10010140</v>
      </c>
      <c r="E695" s="122" t="str">
        <f>VLOOKUP(D695,'MPG Payment '!$E$3:$G$498218,2,0)</f>
        <v>Shri Bhairav Laxmipur</v>
      </c>
      <c r="F695" s="146">
        <f>IFERROR(_xlfn.XLOOKUP(D695,'Monthly Deduction'!$I$3:$I$957,'Monthly Deduction'!$H$3:$H$957),0)</f>
        <v>0</v>
      </c>
      <c r="G695" s="123" t="str">
        <f>VLOOKUP(D695,'MPG Payment '!$E$3:$G$334579,3,0)</f>
        <v>MPG</v>
      </c>
      <c r="H695" s="124" t="str">
        <f>VLOOKUP(D695,'MPG Payment '!$E$3:$H$334579,4,0)</f>
        <v>Direct</v>
      </c>
      <c r="I695" s="88">
        <f>INDEX('MPG Payment '!$C:$C,MATCH('Shayak Income '!D695,'MPG Payment '!E:E,0))</f>
        <v>1001</v>
      </c>
      <c r="J695" s="88" t="str">
        <f>INDEX('MPG Payment '!$D:$D,MATCH('Shayak Income '!D695,'MPG Payment '!E:E,0))</f>
        <v>Majhaul</v>
      </c>
      <c r="K695" s="125" t="s">
        <v>1322</v>
      </c>
      <c r="L695" s="125">
        <v>45996</v>
      </c>
      <c r="M695" s="126">
        <f>SUMIF('MPG Payment '!$E$3:$E$34579,'Shayak Income '!D695,'MPG Payment '!$I$3:$I$34579)</f>
        <v>993.30000000000018</v>
      </c>
      <c r="N695" s="126">
        <f>SUMIF('MPG Payment '!$E$3:$E$34579,'Shayak Income '!D695,'MPG Payment '!$J$3:$J$34579)</f>
        <v>40152.685276656928</v>
      </c>
      <c r="O695" s="126">
        <f t="shared" si="195"/>
        <v>744.97500000000014</v>
      </c>
      <c r="P695" s="126">
        <f t="shared" si="196"/>
        <v>943.6350000000001</v>
      </c>
      <c r="Q695" s="126">
        <f>SUMIF('MPG Payment '!$E$3:$E$34579,'Shayak Income '!D695,'MPG Payment '!$S$3:$S$34579)</f>
        <v>0</v>
      </c>
      <c r="R695" s="126">
        <f t="shared" si="186"/>
        <v>1204.5805582997077</v>
      </c>
      <c r="S695" s="126">
        <f t="shared" si="187"/>
        <v>260.94555829970761</v>
      </c>
      <c r="T695" s="126">
        <f t="shared" si="197"/>
        <v>99.330000000000027</v>
      </c>
      <c r="U695" s="127">
        <f>(((IF(K695="New",0,SUMIF('MPG Payment '!$E$3:$E$34579,'Shayak Income '!D695,'MPG Payment '!$AC$3:$AC$34579))))+0)+0</f>
        <v>1469.0498419004475</v>
      </c>
      <c r="V695" s="127">
        <f t="shared" si="198"/>
        <v>120</v>
      </c>
      <c r="W695" s="19">
        <v>120</v>
      </c>
      <c r="X695" s="19">
        <v>0</v>
      </c>
      <c r="Y695" s="128">
        <f>IFERROR(VLOOKUP(D695,'Monthly Deduction'!$M$2:$N$64,2,0),0)</f>
        <v>0</v>
      </c>
      <c r="Z695" s="128">
        <v>0</v>
      </c>
      <c r="AA695" s="126">
        <f>IFERROR(VLOOKUP(D695,'Monthly Deduction'!A:B,2,0),0)</f>
        <v>0</v>
      </c>
      <c r="AB695" s="129">
        <f t="shared" si="189"/>
        <v>0</v>
      </c>
      <c r="AC695" s="130">
        <v>0</v>
      </c>
      <c r="AD695" s="35">
        <f t="shared" si="200"/>
        <v>0</v>
      </c>
      <c r="AE695" s="166" t="str">
        <f t="shared" si="201"/>
        <v>Release</v>
      </c>
      <c r="AF695" s="127"/>
      <c r="AG695" s="18">
        <v>0</v>
      </c>
      <c r="AH695" s="120"/>
      <c r="AI695" s="238">
        <v>0</v>
      </c>
      <c r="AJ695" s="132"/>
      <c r="AK695" s="151">
        <v>231.00000000000003</v>
      </c>
      <c r="AL695" s="154">
        <f t="shared" si="190"/>
        <v>0</v>
      </c>
      <c r="AM695" s="155"/>
      <c r="AN695" s="19">
        <f t="shared" si="191"/>
        <v>1861</v>
      </c>
      <c r="AO695" s="118">
        <f>SUMIF('MPG Payment '!E:E,'Shayak Income '!D695,'MPG Payment '!AJ:AJ)</f>
        <v>0</v>
      </c>
      <c r="AP695" s="19">
        <f t="shared" si="192"/>
        <v>120</v>
      </c>
      <c r="AQ695" s="119">
        <f t="shared" si="202"/>
        <v>120</v>
      </c>
      <c r="AR695" s="91" t="s">
        <v>1168</v>
      </c>
      <c r="AS695" s="91">
        <f t="shared" si="193"/>
        <v>0</v>
      </c>
      <c r="AT695" s="118"/>
      <c r="AU695" s="118"/>
      <c r="AV695" s="118"/>
    </row>
    <row r="696" spans="1:48" s="20" customFormat="1" x14ac:dyDescent="0.25">
      <c r="A696" s="17">
        <f>IFERROR(VLOOKUP(D696,'Monthly Deduction'!$I$3:$J$957,2,0),0)</f>
        <v>0</v>
      </c>
      <c r="B696" s="17">
        <f>IFERROR(VLOOKUP(D696,'Monthly Deduction'!$E$3:$F$957,2,0),0)</f>
        <v>0</v>
      </c>
      <c r="C696" s="17">
        <f t="shared" si="194"/>
        <v>0</v>
      </c>
      <c r="D696" s="41">
        <v>10080089</v>
      </c>
      <c r="E696" s="122" t="str">
        <f>VLOOKUP(D696,'MPG Payment '!$E$3:$G$498218,2,0)</f>
        <v>Bihat - Sonu Kumar</v>
      </c>
      <c r="F696" s="146">
        <f>IFERROR(_xlfn.XLOOKUP(D696,'Monthly Deduction'!$I$3:$I$957,'Monthly Deduction'!$H$3:$H$957),0)</f>
        <v>0</v>
      </c>
      <c r="G696" s="123" t="str">
        <f>VLOOKUP(D696,'MPG Payment '!$E$3:$G$334579,3,0)</f>
        <v>vlc</v>
      </c>
      <c r="H696" s="124" t="str">
        <f>VLOOKUP(D696,'MPG Payment '!$E$3:$H$334579,4,0)</f>
        <v>Indirect</v>
      </c>
      <c r="I696" s="88">
        <f>INDEX('MPG Payment '!$C:$C,MATCH('Shayak Income '!D696,'MPG Payment '!E:E,0))</f>
        <v>1008</v>
      </c>
      <c r="J696" s="88" t="str">
        <f>INDEX('MPG Payment '!$D:$D,MATCH('Shayak Income '!D696,'MPG Payment '!E:E,0))</f>
        <v>Teghra</v>
      </c>
      <c r="K696" s="125" t="s">
        <v>1322</v>
      </c>
      <c r="L696" s="125">
        <v>45802</v>
      </c>
      <c r="M696" s="126">
        <f>SUMIF('MPG Payment '!$E$3:$E$34579,'Shayak Income '!D696,'MPG Payment '!$I$3:$I$34579)</f>
        <v>1464.3999999999999</v>
      </c>
      <c r="N696" s="126">
        <f>SUMIF('MPG Payment '!$E$3:$E$34579,'Shayak Income '!D696,'MPG Payment '!$J$3:$J$34579)</f>
        <v>50812.1836656425</v>
      </c>
      <c r="O696" s="126">
        <f t="shared" si="195"/>
        <v>1098.3</v>
      </c>
      <c r="P696" s="126">
        <f t="shared" si="196"/>
        <v>1391.1799999999998</v>
      </c>
      <c r="Q696" s="126">
        <f>SUMIF('MPG Payment '!$E$3:$E$34579,'Shayak Income '!D696,'MPG Payment '!$S$3:$S$34579)</f>
        <v>0</v>
      </c>
      <c r="R696" s="126">
        <f t="shared" si="186"/>
        <v>1524.3655099692749</v>
      </c>
      <c r="S696" s="126">
        <f t="shared" si="187"/>
        <v>133.18550996927502</v>
      </c>
      <c r="T696" s="126">
        <f t="shared" si="197"/>
        <v>146.44</v>
      </c>
      <c r="U696" s="127">
        <f>(((IF(K696="New",0,SUMIF('MPG Payment '!$E$3:$E$34579,'Shayak Income '!D696,'MPG Payment '!$AC$3:$AC$34579))))+0)+0</f>
        <v>917.98530291531051</v>
      </c>
      <c r="V696" s="127">
        <f t="shared" si="198"/>
        <v>1425</v>
      </c>
      <c r="W696" s="19">
        <f t="shared" si="203"/>
        <v>0</v>
      </c>
      <c r="X696" s="19">
        <f t="shared" si="188"/>
        <v>0</v>
      </c>
      <c r="Y696" s="128">
        <f>IFERROR(VLOOKUP(D696,'Monthly Deduction'!$M$2:$N$64,2,0),0)</f>
        <v>0</v>
      </c>
      <c r="Z696" s="128">
        <v>0</v>
      </c>
      <c r="AA696" s="126">
        <f>IFERROR(VLOOKUP(D696,'Monthly Deduction'!A:B,2,0),0)</f>
        <v>0</v>
      </c>
      <c r="AB696" s="129">
        <f t="shared" si="189"/>
        <v>1425</v>
      </c>
      <c r="AC696" s="130">
        <v>0</v>
      </c>
      <c r="AD696" s="35">
        <f t="shared" si="200"/>
        <v>1425</v>
      </c>
      <c r="AE696" s="166" t="str">
        <f t="shared" si="201"/>
        <v>Release</v>
      </c>
      <c r="AF696" s="127"/>
      <c r="AG696" s="18">
        <v>0</v>
      </c>
      <c r="AH696" s="132"/>
      <c r="AI696" s="238">
        <v>0</v>
      </c>
      <c r="AJ696" s="132"/>
      <c r="AK696" s="151">
        <v>725.35</v>
      </c>
      <c r="AL696" s="154">
        <f t="shared" si="190"/>
        <v>0</v>
      </c>
      <c r="AM696" s="155"/>
      <c r="AN696" s="19">
        <f t="shared" si="191"/>
        <v>0</v>
      </c>
      <c r="AO696" s="118">
        <f>SUMIF('MPG Payment '!E:E,'Shayak Income '!D696,'MPG Payment '!AJ:AJ)</f>
        <v>0</v>
      </c>
      <c r="AP696" s="19">
        <f t="shared" si="192"/>
        <v>0</v>
      </c>
      <c r="AQ696" s="119">
        <f t="shared" si="202"/>
        <v>0</v>
      </c>
      <c r="AR696" s="91" t="s">
        <v>1168</v>
      </c>
      <c r="AS696" s="91">
        <f t="shared" si="193"/>
        <v>0</v>
      </c>
      <c r="AT696" s="118"/>
      <c r="AU696" s="118"/>
      <c r="AV696" s="118"/>
    </row>
    <row r="697" spans="1:48" s="20" customFormat="1" x14ac:dyDescent="0.25">
      <c r="A697" s="17">
        <f>IFERROR(VLOOKUP(D697,'Monthly Deduction'!$I$3:$J$957,2,0),0)</f>
        <v>56246.318094951719</v>
      </c>
      <c r="B697" s="17">
        <f>IFERROR(VLOOKUP(D697,'Monthly Deduction'!$E$3:$F$957,2,0),0)</f>
        <v>12800</v>
      </c>
      <c r="C697" s="17">
        <f t="shared" si="194"/>
        <v>69046.318094951712</v>
      </c>
      <c r="D697" s="41">
        <v>10100016</v>
      </c>
      <c r="E697" s="122" t="str">
        <f>VLOOKUP(D697,'MPG Payment '!$E$3:$G$498218,2,0)</f>
        <v>Gomukh Dumariya Bujurg Madhay</v>
      </c>
      <c r="F697" s="146">
        <f>IFERROR(_xlfn.XLOOKUP(D697,'Monthly Deduction'!$I$3:$I$957,'Monthly Deduction'!$H$3:$H$957),0)</f>
        <v>0</v>
      </c>
      <c r="G697" s="123" t="str">
        <f>VLOOKUP(D697,'MPG Payment '!$E$3:$G$334579,3,0)</f>
        <v>MPG</v>
      </c>
      <c r="H697" s="124" t="str">
        <f>VLOOKUP(D697,'MPG Payment '!$E$3:$H$334579,4,0)</f>
        <v>Direct</v>
      </c>
      <c r="I697" s="88">
        <f>INDEX('MPG Payment '!$C:$C,MATCH('Shayak Income '!D697,'MPG Payment '!E:E,0))</f>
        <v>1010</v>
      </c>
      <c r="J697" s="88" t="str">
        <f>INDEX('MPG Payment '!$D:$D,MATCH('Shayak Income '!D697,'MPG Payment '!E:E,0))</f>
        <v>Parbatta</v>
      </c>
      <c r="K697" s="125" t="s">
        <v>1322</v>
      </c>
      <c r="L697" s="125">
        <v>45016</v>
      </c>
      <c r="M697" s="126">
        <f>SUMIF('MPG Payment '!$E$3:$E$34579,'Shayak Income '!D697,'MPG Payment '!$I$3:$I$34579)</f>
        <v>537.4</v>
      </c>
      <c r="N697" s="126">
        <f>SUMIF('MPG Payment '!$E$3:$E$34579,'Shayak Income '!D697,'MPG Payment '!$J$3:$J$34579)</f>
        <v>22108.839050561997</v>
      </c>
      <c r="O697" s="126">
        <f t="shared" si="195"/>
        <v>403.04999999999995</v>
      </c>
      <c r="P697" s="126">
        <f t="shared" si="196"/>
        <v>510.53</v>
      </c>
      <c r="Q697" s="126">
        <f>SUMIF('MPG Payment '!$E$3:$E$34579,'Shayak Income '!D697,'MPG Payment '!$S$3:$S$34579)</f>
        <v>0</v>
      </c>
      <c r="R697" s="126">
        <f t="shared" si="186"/>
        <v>663.26517151685994</v>
      </c>
      <c r="S697" s="126">
        <f t="shared" si="187"/>
        <v>152.73517151685996</v>
      </c>
      <c r="T697" s="126">
        <f t="shared" si="197"/>
        <v>53.74</v>
      </c>
      <c r="U697" s="127">
        <f>(((IF(K697="New",0,SUMIF('MPG Payment '!$E$3:$E$34579,'Shayak Income '!D697,'MPG Payment '!$AC$3:$AC$34579))))+0)+-1000</f>
        <v>859.42593327316354</v>
      </c>
      <c r="V697" s="127">
        <f t="shared" si="198"/>
        <v>0</v>
      </c>
      <c r="W697" s="19">
        <v>0</v>
      </c>
      <c r="X697" s="19">
        <v>0</v>
      </c>
      <c r="Y697" s="128">
        <f>IFERROR(VLOOKUP(D697,'Monthly Deduction'!$M$2:$N$64,2,0),0)</f>
        <v>0</v>
      </c>
      <c r="Z697" s="128">
        <v>0</v>
      </c>
      <c r="AA697" s="126">
        <f>IFERROR(VLOOKUP(D697,'Monthly Deduction'!A:B,2,0),0)</f>
        <v>0</v>
      </c>
      <c r="AB697" s="129">
        <f t="shared" si="189"/>
        <v>0</v>
      </c>
      <c r="AC697" s="130">
        <v>0</v>
      </c>
      <c r="AD697" s="35">
        <f t="shared" si="200"/>
        <v>0</v>
      </c>
      <c r="AE697" s="166" t="str">
        <f t="shared" si="201"/>
        <v>Release</v>
      </c>
      <c r="AF697" s="127"/>
      <c r="AG697" s="18">
        <v>0</v>
      </c>
      <c r="AH697" s="120"/>
      <c r="AI697" s="238">
        <v>0</v>
      </c>
      <c r="AJ697" s="132"/>
      <c r="AK697" s="151">
        <v>194.1</v>
      </c>
      <c r="AL697" s="154">
        <f t="shared" si="190"/>
        <v>0</v>
      </c>
      <c r="AM697" s="155"/>
      <c r="AN697" s="19">
        <f t="shared" si="191"/>
        <v>1861</v>
      </c>
      <c r="AO697" s="118">
        <f>SUMIF('MPG Payment '!E:E,'Shayak Income '!D697,'MPG Payment '!AJ:AJ)</f>
        <v>0</v>
      </c>
      <c r="AP697" s="19">
        <f t="shared" si="192"/>
        <v>0</v>
      </c>
      <c r="AQ697" s="119">
        <f t="shared" si="202"/>
        <v>0</v>
      </c>
      <c r="AR697" s="91" t="s">
        <v>65</v>
      </c>
      <c r="AS697" s="91">
        <f t="shared" si="193"/>
        <v>12800</v>
      </c>
      <c r="AT697" s="118"/>
      <c r="AU697" s="118"/>
      <c r="AV697" s="118"/>
    </row>
    <row r="698" spans="1:48" s="20" customFormat="1" x14ac:dyDescent="0.25">
      <c r="A698" s="17">
        <f>IFERROR(VLOOKUP(D698,'Monthly Deduction'!$I$3:$J$957,2,0),0)</f>
        <v>0</v>
      </c>
      <c r="B698" s="17">
        <f>IFERROR(VLOOKUP(D698,'Monthly Deduction'!$E$3:$F$957,2,0),0)</f>
        <v>0</v>
      </c>
      <c r="C698" s="17">
        <f t="shared" si="194"/>
        <v>0</v>
      </c>
      <c r="D698" s="41">
        <v>10100044</v>
      </c>
      <c r="E698" s="122" t="str">
        <f>VLOOKUP(D698,'MPG Payment '!$E$3:$G$498218,2,0)</f>
        <v>Gomukh Buddhnagar</v>
      </c>
      <c r="F698" s="146">
        <f>IFERROR(_xlfn.XLOOKUP(D698,'Monthly Deduction'!$I$3:$I$957,'Monthly Deduction'!$H$3:$H$957),0)</f>
        <v>0</v>
      </c>
      <c r="G698" s="123" t="str">
        <f>VLOOKUP(D698,'MPG Payment '!$E$3:$G$334579,3,0)</f>
        <v>vlc</v>
      </c>
      <c r="H698" s="124" t="str">
        <f>VLOOKUP(D698,'MPG Payment '!$E$3:$H$334579,4,0)</f>
        <v>Indirect</v>
      </c>
      <c r="I698" s="88">
        <f>INDEX('MPG Payment '!$C:$C,MATCH('Shayak Income '!D698,'MPG Payment '!E:E,0))</f>
        <v>1007</v>
      </c>
      <c r="J698" s="88" t="str">
        <f>INDEX('MPG Payment '!$D:$D,MATCH('Shayak Income '!D698,'MPG Payment '!E:E,0))</f>
        <v>Araria</v>
      </c>
      <c r="K698" s="125" t="s">
        <v>1322</v>
      </c>
      <c r="L698" s="125">
        <v>45471</v>
      </c>
      <c r="M698" s="126">
        <f>SUMIF('MPG Payment '!$E$3:$E$34579,'Shayak Income '!D698,'MPG Payment '!$I$3:$I$34579)</f>
        <v>4710.2000000000007</v>
      </c>
      <c r="N698" s="126">
        <f>SUMIF('MPG Payment '!$E$3:$E$34579,'Shayak Income '!D698,'MPG Payment '!$J$3:$J$34579)</f>
        <v>168521.39070013451</v>
      </c>
      <c r="O698" s="126">
        <f t="shared" si="195"/>
        <v>3532.6500000000005</v>
      </c>
      <c r="P698" s="126">
        <f t="shared" si="196"/>
        <v>4474.6900000000005</v>
      </c>
      <c r="Q698" s="126">
        <f>SUMIF('MPG Payment '!$E$3:$E$34579,'Shayak Income '!D698,'MPG Payment '!$S$3:$S$34579)</f>
        <v>0</v>
      </c>
      <c r="R698" s="126">
        <f t="shared" si="186"/>
        <v>5055.6417210040354</v>
      </c>
      <c r="S698" s="126">
        <f t="shared" si="187"/>
        <v>580.95172100403488</v>
      </c>
      <c r="T698" s="126">
        <f t="shared" si="197"/>
        <v>471.0200000000001</v>
      </c>
      <c r="U698" s="127">
        <f>(((IF(K698="New",0,SUMIF('MPG Payment '!$E$3:$E$34579,'Shayak Income '!D698,'MPG Payment '!$AC$3:$AC$34579))))+0)+0</f>
        <v>0</v>
      </c>
      <c r="V698" s="127">
        <f t="shared" si="198"/>
        <v>7536</v>
      </c>
      <c r="W698" s="19">
        <f t="shared" si="203"/>
        <v>0</v>
      </c>
      <c r="X698" s="19">
        <v>3047</v>
      </c>
      <c r="Y698" s="128">
        <f>IFERROR(VLOOKUP(D698,'Monthly Deduction'!$M$2:$N$64,2,0),0)</f>
        <v>0</v>
      </c>
      <c r="Z698" s="128">
        <v>4489</v>
      </c>
      <c r="AA698" s="126">
        <f>IFERROR(VLOOKUP(D698,'Monthly Deduction'!A:B,2,0),0)</f>
        <v>0</v>
      </c>
      <c r="AB698" s="129">
        <f t="shared" si="189"/>
        <v>0</v>
      </c>
      <c r="AC698" s="130">
        <f>AB698</f>
        <v>0</v>
      </c>
      <c r="AD698" s="35">
        <f t="shared" si="200"/>
        <v>0</v>
      </c>
      <c r="AE698" s="166" t="str">
        <f t="shared" si="201"/>
        <v>Release</v>
      </c>
      <c r="AF698" s="127"/>
      <c r="AG698" s="18">
        <v>0</v>
      </c>
      <c r="AH698" s="120" t="s">
        <v>1703</v>
      </c>
      <c r="AI698" s="238">
        <v>0</v>
      </c>
      <c r="AJ698" s="132"/>
      <c r="AK698" s="151">
        <v>1164.8000000000002</v>
      </c>
      <c r="AL698" s="154">
        <f t="shared" si="190"/>
        <v>0</v>
      </c>
      <c r="AM698" s="155"/>
      <c r="AN698" s="19">
        <f t="shared" si="191"/>
        <v>0</v>
      </c>
      <c r="AO698" s="118">
        <f>SUMIF('MPG Payment '!E:E,'Shayak Income '!D698,'MPG Payment '!AJ:AJ)</f>
        <v>0</v>
      </c>
      <c r="AP698" s="19">
        <f t="shared" si="192"/>
        <v>0</v>
      </c>
      <c r="AQ698" s="119">
        <f t="shared" si="202"/>
        <v>0</v>
      </c>
      <c r="AR698" s="91" t="s">
        <v>1168</v>
      </c>
      <c r="AS698" s="91">
        <f t="shared" si="193"/>
        <v>-3047</v>
      </c>
      <c r="AT698" s="118"/>
      <c r="AU698" s="118"/>
      <c r="AV698" s="118"/>
    </row>
    <row r="699" spans="1:48" s="20" customFormat="1" x14ac:dyDescent="0.25">
      <c r="A699" s="17">
        <f>IFERROR(VLOOKUP(D699,'Monthly Deduction'!$I$3:$J$957,2,0),0)</f>
        <v>0</v>
      </c>
      <c r="B699" s="17">
        <f>IFERROR(VLOOKUP(D699,'Monthly Deduction'!$E$3:$F$957,2,0),0)</f>
        <v>0</v>
      </c>
      <c r="C699" s="17">
        <f t="shared" si="194"/>
        <v>0</v>
      </c>
      <c r="D699" s="41">
        <v>10110176</v>
      </c>
      <c r="E699" s="122" t="str">
        <f>VLOOKUP(D699,'MPG Payment '!$E$3:$G$498218,2,0)</f>
        <v>Chauki-VLC</v>
      </c>
      <c r="F699" s="146">
        <f>IFERROR(_xlfn.XLOOKUP(D699,'Monthly Deduction'!$I$3:$I$957,'Monthly Deduction'!$H$3:$H$957),0)</f>
        <v>0</v>
      </c>
      <c r="G699" s="123" t="str">
        <f>VLOOKUP(D699,'MPG Payment '!$E$3:$G$334579,3,0)</f>
        <v>vlc</v>
      </c>
      <c r="H699" s="124" t="str">
        <f>VLOOKUP(D699,'MPG Payment '!$E$3:$H$334579,4,0)</f>
        <v>Indirect</v>
      </c>
      <c r="I699" s="88">
        <f>INDEX('MPG Payment '!$C:$C,MATCH('Shayak Income '!D699,'MPG Payment '!E:E,0))</f>
        <v>1011</v>
      </c>
      <c r="J699" s="88" t="str">
        <f>INDEX('MPG Payment '!$D:$D,MATCH('Shayak Income '!D699,'MPG Payment '!E:E,0))</f>
        <v>Sahibpur Kamal</v>
      </c>
      <c r="K699" s="125" t="s">
        <v>1322</v>
      </c>
      <c r="L699" s="125">
        <v>45996</v>
      </c>
      <c r="M699" s="126">
        <f>SUMIF('MPG Payment '!$E$3:$E$34579,'Shayak Income '!D699,'MPG Payment '!$I$3:$I$34579)</f>
        <v>531.1</v>
      </c>
      <c r="N699" s="126">
        <f>SUMIF('MPG Payment '!$E$3:$E$34579,'Shayak Income '!D699,'MPG Payment '!$J$3:$J$34579)</f>
        <v>19043.549679078002</v>
      </c>
      <c r="O699" s="126">
        <f t="shared" si="195"/>
        <v>398.32500000000005</v>
      </c>
      <c r="P699" s="126">
        <f t="shared" si="196"/>
        <v>504.54500000000002</v>
      </c>
      <c r="Q699" s="126">
        <f>SUMIF('MPG Payment '!$E$3:$E$34579,'Shayak Income '!D699,'MPG Payment '!$S$3:$S$34579)</f>
        <v>0</v>
      </c>
      <c r="R699" s="126">
        <f t="shared" si="186"/>
        <v>571.30649037234002</v>
      </c>
      <c r="S699" s="126">
        <f t="shared" si="187"/>
        <v>66.761490372340006</v>
      </c>
      <c r="T699" s="126">
        <f t="shared" si="197"/>
        <v>53.110000000000007</v>
      </c>
      <c r="U699" s="127">
        <f>(((IF(K699="New",0,SUMIF('MPG Payment '!$E$3:$E$34579,'Shayak Income '!D699,'MPG Payment '!$AC$3:$AC$34579))))+0)+-772</f>
        <v>849.84483693234142</v>
      </c>
      <c r="V699" s="127">
        <f t="shared" si="198"/>
        <v>0</v>
      </c>
      <c r="W699" s="19">
        <v>0</v>
      </c>
      <c r="X699" s="19">
        <v>0</v>
      </c>
      <c r="Y699" s="128">
        <f>IFERROR(VLOOKUP(D699,'Monthly Deduction'!$M$2:$N$64,2,0),0)</f>
        <v>0</v>
      </c>
      <c r="Z699" s="128">
        <v>0</v>
      </c>
      <c r="AA699" s="126">
        <f>IFERROR(VLOOKUP(D699,'Monthly Deduction'!A:B,2,0),0)</f>
        <v>0</v>
      </c>
      <c r="AB699" s="129">
        <f t="shared" si="189"/>
        <v>0</v>
      </c>
      <c r="AC699" s="130">
        <v>0</v>
      </c>
      <c r="AD699" s="35">
        <f t="shared" si="200"/>
        <v>0</v>
      </c>
      <c r="AE699" s="166" t="str">
        <f t="shared" si="201"/>
        <v>Release</v>
      </c>
      <c r="AF699" s="127"/>
      <c r="AG699" s="18">
        <v>0</v>
      </c>
      <c r="AH699" s="120"/>
      <c r="AI699" s="238">
        <v>0</v>
      </c>
      <c r="AJ699" s="132"/>
      <c r="AK699" s="151">
        <v>145.70000000000002</v>
      </c>
      <c r="AL699" s="154">
        <f t="shared" si="190"/>
        <v>0</v>
      </c>
      <c r="AM699" s="155"/>
      <c r="AN699" s="19">
        <f t="shared" si="191"/>
        <v>0</v>
      </c>
      <c r="AO699" s="118">
        <f>SUMIF('MPG Payment '!E:E,'Shayak Income '!D699,'MPG Payment '!AJ:AJ)</f>
        <v>0</v>
      </c>
      <c r="AP699" s="19">
        <f t="shared" si="192"/>
        <v>0</v>
      </c>
      <c r="AQ699" s="119">
        <f t="shared" si="202"/>
        <v>0</v>
      </c>
      <c r="AR699" s="91" t="s">
        <v>1168</v>
      </c>
      <c r="AS699" s="91">
        <f t="shared" si="193"/>
        <v>0</v>
      </c>
      <c r="AT699" s="118"/>
      <c r="AU699" s="118"/>
      <c r="AV699" s="118"/>
    </row>
    <row r="700" spans="1:48" s="20" customFormat="1" x14ac:dyDescent="0.25">
      <c r="A700" s="17">
        <f>IFERROR(VLOOKUP(D700,'Monthly Deduction'!$I$3:$J$957,2,0),0)</f>
        <v>0</v>
      </c>
      <c r="B700" s="17">
        <f>IFERROR(VLOOKUP(D700,'Monthly Deduction'!$E$3:$F$957,2,0),0)</f>
        <v>0</v>
      </c>
      <c r="C700" s="17">
        <f t="shared" si="194"/>
        <v>0</v>
      </c>
      <c r="D700" s="41">
        <v>10130088</v>
      </c>
      <c r="E700" s="122" t="str">
        <f>VLOOKUP(D700,'MPG Payment '!$E$3:$G$498218,2,0)</f>
        <v>Gomukh Patepur</v>
      </c>
      <c r="F700" s="146">
        <f>IFERROR(_xlfn.XLOOKUP(D700,'Monthly Deduction'!$I$3:$I$957,'Monthly Deduction'!$H$3:$H$957),0)</f>
        <v>0</v>
      </c>
      <c r="G700" s="123" t="str">
        <f>VLOOKUP(D700,'MPG Payment '!$E$3:$G$334579,3,0)</f>
        <v>vlc</v>
      </c>
      <c r="H700" s="124" t="str">
        <f>VLOOKUP(D700,'MPG Payment '!$E$3:$H$334579,4,0)</f>
        <v>Indirect</v>
      </c>
      <c r="I700" s="88">
        <f>INDEX('MPG Payment '!$C:$C,MATCH('Shayak Income '!D700,'MPG Payment '!E:E,0))</f>
        <v>1013</v>
      </c>
      <c r="J700" s="88" t="str">
        <f>INDEX('MPG Payment '!$D:$D,MATCH('Shayak Income '!D700,'MPG Payment '!E:E,0))</f>
        <v>Musrigharari</v>
      </c>
      <c r="K700" s="125" t="s">
        <v>1322</v>
      </c>
      <c r="L700" s="125">
        <v>45690</v>
      </c>
      <c r="M700" s="126">
        <f>SUMIF('MPG Payment '!$E$3:$E$34579,'Shayak Income '!D700,'MPG Payment '!$I$3:$I$34579)</f>
        <v>84.9</v>
      </c>
      <c r="N700" s="126">
        <f>SUMIF('MPG Payment '!$E$3:$E$34579,'Shayak Income '!D700,'MPG Payment '!$J$3:$J$34579)</f>
        <v>2910.8575032930003</v>
      </c>
      <c r="O700" s="126">
        <f t="shared" si="195"/>
        <v>63.675000000000004</v>
      </c>
      <c r="P700" s="126">
        <f t="shared" si="196"/>
        <v>80.655000000000001</v>
      </c>
      <c r="Q700" s="126">
        <f>SUMIF('MPG Payment '!$E$3:$E$34579,'Shayak Income '!D700,'MPG Payment '!$S$3:$S$34579)</f>
        <v>0</v>
      </c>
      <c r="R700" s="126">
        <f t="shared" si="186"/>
        <v>87.325725098790002</v>
      </c>
      <c r="S700" s="126">
        <f t="shared" si="187"/>
        <v>6.6707250987900011</v>
      </c>
      <c r="T700" s="126">
        <f t="shared" si="197"/>
        <v>8.49</v>
      </c>
      <c r="U700" s="127">
        <f>(((IF(K700="New",0,SUMIF('MPG Payment '!$E$3:$E$34579,'Shayak Income '!D700,'MPG Payment '!$AC$3:$AC$34579))))+0)+-286</f>
        <v>135.7829093699703</v>
      </c>
      <c r="V700" s="127">
        <f t="shared" si="198"/>
        <v>0</v>
      </c>
      <c r="W700" s="19">
        <v>0</v>
      </c>
      <c r="X700" s="19">
        <v>0</v>
      </c>
      <c r="Y700" s="128">
        <f>IFERROR(VLOOKUP(D700,'Monthly Deduction'!$M$2:$N$64,2,0),0)</f>
        <v>0</v>
      </c>
      <c r="Z700" s="128">
        <v>0</v>
      </c>
      <c r="AA700" s="126">
        <f>IFERROR(VLOOKUP(D700,'Monthly Deduction'!A:B,2,0),0)</f>
        <v>0</v>
      </c>
      <c r="AB700" s="129">
        <f t="shared" si="189"/>
        <v>0</v>
      </c>
      <c r="AC700" s="130">
        <v>0</v>
      </c>
      <c r="AD700" s="35">
        <f t="shared" si="200"/>
        <v>0</v>
      </c>
      <c r="AE700" s="166" t="str">
        <f t="shared" si="201"/>
        <v>Release</v>
      </c>
      <c r="AF700" s="127"/>
      <c r="AG700" s="18">
        <v>0</v>
      </c>
      <c r="AH700" s="120"/>
      <c r="AI700" s="238">
        <v>0</v>
      </c>
      <c r="AJ700" s="132"/>
      <c r="AK700" s="151">
        <v>219.79999999999998</v>
      </c>
      <c r="AL700" s="154">
        <f t="shared" si="190"/>
        <v>0</v>
      </c>
      <c r="AM700" s="155"/>
      <c r="AN700" s="19">
        <f t="shared" si="191"/>
        <v>0</v>
      </c>
      <c r="AO700" s="118">
        <f>SUMIF('MPG Payment '!E:E,'Shayak Income '!D700,'MPG Payment '!AJ:AJ)</f>
        <v>0</v>
      </c>
      <c r="AP700" s="19">
        <f t="shared" si="192"/>
        <v>0</v>
      </c>
      <c r="AQ700" s="119">
        <f t="shared" si="202"/>
        <v>0</v>
      </c>
      <c r="AR700" s="91" t="s">
        <v>65</v>
      </c>
      <c r="AS700" s="91">
        <f t="shared" si="193"/>
        <v>0</v>
      </c>
      <c r="AT700" s="118"/>
      <c r="AU700" s="118"/>
      <c r="AV700" s="118"/>
    </row>
    <row r="701" spans="1:48" s="20" customFormat="1" x14ac:dyDescent="0.25">
      <c r="A701" s="17">
        <f>IFERROR(VLOOKUP(D701,'Monthly Deduction'!$I$3:$J$957,2,0),0)</f>
        <v>0</v>
      </c>
      <c r="B701" s="17">
        <f>IFERROR(VLOOKUP(D701,'Monthly Deduction'!$E$3:$F$957,2,0),0)</f>
        <v>0</v>
      </c>
      <c r="C701" s="17">
        <f t="shared" si="194"/>
        <v>0</v>
      </c>
      <c r="D701" s="41">
        <v>10140157</v>
      </c>
      <c r="E701" s="122" t="str">
        <f>VLOOKUP(D701,'MPG Payment '!$E$3:$G$498218,2,0)</f>
        <v>Gomukh Basawkala Sudhir Kumar</v>
      </c>
      <c r="F701" s="146">
        <f>IFERROR(_xlfn.XLOOKUP(D701,'Monthly Deduction'!$I$3:$I$957,'Monthly Deduction'!$H$3:$H$957),0)</f>
        <v>0</v>
      </c>
      <c r="G701" s="123" t="str">
        <f>VLOOKUP(D701,'MPG Payment '!$E$3:$G$334579,3,0)</f>
        <v>vlc</v>
      </c>
      <c r="H701" s="124" t="str">
        <f>VLOOKUP(D701,'MPG Payment '!$E$3:$H$334579,4,0)</f>
        <v>Indirect</v>
      </c>
      <c r="I701" s="88">
        <f>INDEX('MPG Payment '!$C:$C,MATCH('Shayak Income '!D701,'MPG Payment '!E:E,0))</f>
        <v>1014</v>
      </c>
      <c r="J701" s="88" t="str">
        <f>INDEX('MPG Payment '!$D:$D,MATCH('Shayak Income '!D701,'MPG Payment '!E:E,0))</f>
        <v>Dumraon</v>
      </c>
      <c r="K701" s="125" t="s">
        <v>1322</v>
      </c>
      <c r="L701" s="125">
        <v>45687</v>
      </c>
      <c r="M701" s="126">
        <f>SUMIF('MPG Payment '!$E$3:$E$34579,'Shayak Income '!D701,'MPG Payment '!$I$3:$I$34579)</f>
        <v>726.90000000000009</v>
      </c>
      <c r="N701" s="126">
        <f>SUMIF('MPG Payment '!$E$3:$E$34579,'Shayak Income '!D701,'MPG Payment '!$J$3:$J$34579)</f>
        <v>31866.613710387901</v>
      </c>
      <c r="O701" s="126">
        <f t="shared" si="195"/>
        <v>545.17500000000007</v>
      </c>
      <c r="P701" s="126">
        <f t="shared" si="196"/>
        <v>690.55500000000006</v>
      </c>
      <c r="Q701" s="126">
        <f>SUMIF('MPG Payment '!$E$3:$E$34579,'Shayak Income '!D701,'MPG Payment '!$S$3:$S$34579)</f>
        <v>0</v>
      </c>
      <c r="R701" s="126">
        <f t="shared" si="186"/>
        <v>955.99841131163703</v>
      </c>
      <c r="S701" s="126">
        <f t="shared" si="187"/>
        <v>265.44341131163696</v>
      </c>
      <c r="T701" s="126">
        <f t="shared" si="197"/>
        <v>72.690000000000012</v>
      </c>
      <c r="U701" s="127">
        <f>(((IF(K701="New",0,SUMIF('MPG Payment '!$E$3:$E$34579,'Shayak Income '!D701,'MPG Payment '!$AC$3:$AC$34579))))+0)+-393</f>
        <v>1162.6783082920538</v>
      </c>
      <c r="V701" s="127">
        <f t="shared" si="198"/>
        <v>0</v>
      </c>
      <c r="W701" s="19">
        <v>0</v>
      </c>
      <c r="X701" s="19">
        <v>0</v>
      </c>
      <c r="Y701" s="128">
        <f>IFERROR(VLOOKUP(D701,'Monthly Deduction'!$M$2:$N$64,2,0),0)</f>
        <v>0</v>
      </c>
      <c r="Z701" s="128">
        <v>0</v>
      </c>
      <c r="AA701" s="126">
        <f>IFERROR(VLOOKUP(D701,'Monthly Deduction'!A:B,2,0),0)</f>
        <v>0</v>
      </c>
      <c r="AB701" s="129">
        <f t="shared" si="189"/>
        <v>0</v>
      </c>
      <c r="AC701" s="130">
        <v>0</v>
      </c>
      <c r="AD701" s="35">
        <f t="shared" si="200"/>
        <v>0</v>
      </c>
      <c r="AE701" s="166" t="str">
        <f t="shared" si="201"/>
        <v>Release</v>
      </c>
      <c r="AF701" s="127"/>
      <c r="AG701" s="18">
        <v>0</v>
      </c>
      <c r="AH701" s="120"/>
      <c r="AI701" s="238">
        <v>0</v>
      </c>
      <c r="AJ701" s="132"/>
      <c r="AK701" s="151">
        <v>401.60000000000008</v>
      </c>
      <c r="AL701" s="154">
        <f t="shared" si="190"/>
        <v>0</v>
      </c>
      <c r="AM701" s="155"/>
      <c r="AN701" s="19">
        <f t="shared" si="191"/>
        <v>0</v>
      </c>
      <c r="AO701" s="118">
        <f>SUMIF('MPG Payment '!E:E,'Shayak Income '!D701,'MPG Payment '!AJ:AJ)</f>
        <v>0</v>
      </c>
      <c r="AP701" s="19">
        <f t="shared" si="192"/>
        <v>0</v>
      </c>
      <c r="AQ701" s="119">
        <f t="shared" si="202"/>
        <v>0</v>
      </c>
      <c r="AR701" s="91" t="s">
        <v>1168</v>
      </c>
      <c r="AS701" s="91">
        <f t="shared" si="193"/>
        <v>0</v>
      </c>
      <c r="AT701" s="118"/>
      <c r="AU701" s="118"/>
      <c r="AV701" s="118"/>
    </row>
    <row r="702" spans="1:48" s="20" customFormat="1" x14ac:dyDescent="0.25">
      <c r="A702" s="17">
        <f>IFERROR(VLOOKUP(D702,'Monthly Deduction'!$I$3:$J$957,2,0),0)</f>
        <v>0</v>
      </c>
      <c r="B702" s="17">
        <f>IFERROR(VLOOKUP(D702,'Monthly Deduction'!$E$3:$F$957,2,0),0)</f>
        <v>0</v>
      </c>
      <c r="C702" s="17">
        <f t="shared" si="194"/>
        <v>0</v>
      </c>
      <c r="D702" s="41">
        <v>10140193</v>
      </c>
      <c r="E702" s="122" t="str">
        <f>VLOOKUP(D702,'MPG Payment '!$E$3:$G$498218,2,0)</f>
        <v>Gaya Jee Pathak</v>
      </c>
      <c r="F702" s="146">
        <f>IFERROR(_xlfn.XLOOKUP(D702,'Monthly Deduction'!$I$3:$I$957,'Monthly Deduction'!$H$3:$H$957),0)</f>
        <v>0</v>
      </c>
      <c r="G702" s="123" t="str">
        <f>VLOOKUP(D702,'MPG Payment '!$E$3:$G$334579,3,0)</f>
        <v>vlc</v>
      </c>
      <c r="H702" s="124" t="str">
        <f>VLOOKUP(D702,'MPG Payment '!$E$3:$H$334579,4,0)</f>
        <v>Indirect</v>
      </c>
      <c r="I702" s="88">
        <f>INDEX('MPG Payment '!$C:$C,MATCH('Shayak Income '!D702,'MPG Payment '!E:E,0))</f>
        <v>1014</v>
      </c>
      <c r="J702" s="88" t="str">
        <f>INDEX('MPG Payment '!$D:$D,MATCH('Shayak Income '!D702,'MPG Payment '!E:E,0))</f>
        <v>Dumraon</v>
      </c>
      <c r="K702" s="125" t="s">
        <v>1322</v>
      </c>
      <c r="L702" s="125">
        <v>46002</v>
      </c>
      <c r="M702" s="126">
        <f>SUMIF('MPG Payment '!$E$3:$E$34579,'Shayak Income '!D702,'MPG Payment '!$I$3:$I$34579)</f>
        <v>925.5</v>
      </c>
      <c r="N702" s="126">
        <f>SUMIF('MPG Payment '!$E$3:$E$34579,'Shayak Income '!D702,'MPG Payment '!$J$3:$J$34579)</f>
        <v>31951.619217720003</v>
      </c>
      <c r="O702" s="126">
        <f t="shared" si="195"/>
        <v>694.125</v>
      </c>
      <c r="P702" s="126">
        <f t="shared" si="196"/>
        <v>879.22499999999991</v>
      </c>
      <c r="Q702" s="126">
        <f>SUMIF('MPG Payment '!$E$3:$E$34579,'Shayak Income '!D702,'MPG Payment '!$S$3:$S$34579)</f>
        <v>0</v>
      </c>
      <c r="R702" s="126">
        <f t="shared" si="186"/>
        <v>958.54857653160002</v>
      </c>
      <c r="S702" s="126">
        <f t="shared" si="187"/>
        <v>79.323576531600111</v>
      </c>
      <c r="T702" s="126">
        <f t="shared" si="197"/>
        <v>92.550000000000011</v>
      </c>
      <c r="U702" s="127">
        <f>(((IF(K702="New",0,SUMIF('MPG Payment '!$E$3:$E$34579,'Shayak Income '!D702,'MPG Payment '!$AC$3:$AC$34579))))+0)+0</f>
        <v>423.20397262638721</v>
      </c>
      <c r="V702" s="127">
        <f t="shared" si="198"/>
        <v>1058</v>
      </c>
      <c r="W702" s="19">
        <f t="shared" si="203"/>
        <v>0</v>
      </c>
      <c r="X702" s="19">
        <f t="shared" si="188"/>
        <v>0</v>
      </c>
      <c r="Y702" s="128">
        <f>IFERROR(VLOOKUP(D702,'Monthly Deduction'!$M$2:$N$64,2,0),0)</f>
        <v>0</v>
      </c>
      <c r="Z702" s="128">
        <v>0</v>
      </c>
      <c r="AA702" s="126">
        <f>IFERROR(VLOOKUP(D702,'Monthly Deduction'!A:B,2,0),0)</f>
        <v>0</v>
      </c>
      <c r="AB702" s="129">
        <f t="shared" si="189"/>
        <v>1058</v>
      </c>
      <c r="AC702" s="130">
        <v>0</v>
      </c>
      <c r="AD702" s="35">
        <f t="shared" si="200"/>
        <v>1058</v>
      </c>
      <c r="AE702" s="166" t="str">
        <f t="shared" si="201"/>
        <v>Release</v>
      </c>
      <c r="AF702" s="127"/>
      <c r="AG702" s="18">
        <v>0</v>
      </c>
      <c r="AH702" s="120"/>
      <c r="AI702" s="238">
        <v>0</v>
      </c>
      <c r="AJ702" s="132"/>
      <c r="AK702" s="151">
        <v>1272.3</v>
      </c>
      <c r="AL702" s="154">
        <f t="shared" si="190"/>
        <v>0</v>
      </c>
      <c r="AM702" s="155"/>
      <c r="AN702" s="19">
        <f t="shared" si="191"/>
        <v>0</v>
      </c>
      <c r="AO702" s="118">
        <f>SUMIF('MPG Payment '!E:E,'Shayak Income '!D702,'MPG Payment '!AJ:AJ)</f>
        <v>0</v>
      </c>
      <c r="AP702" s="19">
        <f t="shared" si="192"/>
        <v>0</v>
      </c>
      <c r="AQ702" s="119">
        <f t="shared" si="202"/>
        <v>0</v>
      </c>
      <c r="AR702" s="91" t="s">
        <v>1168</v>
      </c>
      <c r="AS702" s="91">
        <f t="shared" si="193"/>
        <v>0</v>
      </c>
      <c r="AT702" s="118"/>
      <c r="AU702" s="118"/>
      <c r="AV702" s="118"/>
    </row>
    <row r="703" spans="1:48" s="20" customFormat="1" x14ac:dyDescent="0.25">
      <c r="A703" s="17">
        <f>IFERROR(VLOOKUP(D703,'Monthly Deduction'!$I$3:$J$957,2,0),0)</f>
        <v>0</v>
      </c>
      <c r="B703" s="17">
        <f>IFERROR(VLOOKUP(D703,'Monthly Deduction'!$E$3:$F$957,2,0),0)</f>
        <v>0</v>
      </c>
      <c r="C703" s="17">
        <f t="shared" si="194"/>
        <v>0</v>
      </c>
      <c r="D703" s="41">
        <v>10540027</v>
      </c>
      <c r="E703" s="122" t="str">
        <f>VLOOKUP(D703,'MPG Payment '!$E$3:$G$498218,2,0)</f>
        <v>RAJAURA VLC</v>
      </c>
      <c r="F703" s="146">
        <f>IFERROR(_xlfn.XLOOKUP(D703,'Monthly Deduction'!$I$3:$I$957,'Monthly Deduction'!$H$3:$H$957),0)</f>
        <v>0</v>
      </c>
      <c r="G703" s="123" t="str">
        <f>VLOOKUP(D703,'MPG Payment '!$E$3:$G$334579,3,0)</f>
        <v>vlc</v>
      </c>
      <c r="H703" s="124" t="str">
        <f>VLOOKUP(D703,'MPG Payment '!$E$3:$H$334579,4,0)</f>
        <v>Indirect</v>
      </c>
      <c r="I703" s="88">
        <f>INDEX('MPG Payment '!$C:$C,MATCH('Shayak Income '!D703,'MPG Payment '!E:E,0))</f>
        <v>1054</v>
      </c>
      <c r="J703" s="88" t="str">
        <f>INDEX('MPG Payment '!$D:$D,MATCH('Shayak Income '!D703,'MPG Payment '!E:E,0))</f>
        <v xml:space="preserve">Alauli </v>
      </c>
      <c r="K703" s="125" t="s">
        <v>1322</v>
      </c>
      <c r="L703" s="125">
        <v>46000</v>
      </c>
      <c r="M703" s="126">
        <f>SUMIF('MPG Payment '!$E$3:$E$34579,'Shayak Income '!D703,'MPG Payment '!$I$3:$I$34579)</f>
        <v>1928.08</v>
      </c>
      <c r="N703" s="126">
        <f>SUMIF('MPG Payment '!$E$3:$E$34579,'Shayak Income '!D703,'MPG Payment '!$J$3:$J$34579)</f>
        <v>71641.039542738814</v>
      </c>
      <c r="O703" s="126">
        <f t="shared" si="195"/>
        <v>1446.06</v>
      </c>
      <c r="P703" s="126">
        <f t="shared" si="196"/>
        <v>1831.6759999999999</v>
      </c>
      <c r="Q703" s="126">
        <f>SUMIF('MPG Payment '!$E$3:$E$34579,'Shayak Income '!D703,'MPG Payment '!$S$3:$S$34579)</f>
        <v>0</v>
      </c>
      <c r="R703" s="126">
        <f t="shared" si="186"/>
        <v>2149.2311862821643</v>
      </c>
      <c r="S703" s="126">
        <f t="shared" si="187"/>
        <v>317.55518628216441</v>
      </c>
      <c r="T703" s="126">
        <f t="shared" si="197"/>
        <v>192.80799999999999</v>
      </c>
      <c r="U703" s="127">
        <f>(((IF(K703="New",0,SUMIF('MPG Payment '!$E$3:$E$34579,'Shayak Income '!D703,'MPG Payment '!$AC$3:$AC$34579))))+0)+0</f>
        <v>656.87656496338388</v>
      </c>
      <c r="V703" s="127">
        <f t="shared" si="198"/>
        <v>2428</v>
      </c>
      <c r="W703" s="19">
        <f t="shared" si="203"/>
        <v>0</v>
      </c>
      <c r="X703" s="19">
        <f t="shared" si="188"/>
        <v>0</v>
      </c>
      <c r="Y703" s="128">
        <f>IFERROR(VLOOKUP(D703,'Monthly Deduction'!$M$2:$N$64,2,0),0)</f>
        <v>0</v>
      </c>
      <c r="Z703" s="128">
        <v>0</v>
      </c>
      <c r="AA703" s="126">
        <f>IFERROR(VLOOKUP(D703,'Monthly Deduction'!A:B,2,0),0)</f>
        <v>0</v>
      </c>
      <c r="AB703" s="129">
        <f t="shared" si="189"/>
        <v>2428</v>
      </c>
      <c r="AC703" s="130">
        <v>0</v>
      </c>
      <c r="AD703" s="35">
        <f t="shared" si="200"/>
        <v>2428</v>
      </c>
      <c r="AE703" s="166" t="str">
        <f t="shared" si="201"/>
        <v>Release</v>
      </c>
      <c r="AF703" s="127"/>
      <c r="AG703" s="18">
        <v>0</v>
      </c>
      <c r="AH703" s="120"/>
      <c r="AI703" s="238">
        <v>0</v>
      </c>
      <c r="AJ703" s="132"/>
      <c r="AK703" s="151">
        <v>626.1</v>
      </c>
      <c r="AL703" s="154">
        <f t="shared" si="190"/>
        <v>0</v>
      </c>
      <c r="AM703" s="155"/>
      <c r="AN703" s="19">
        <f t="shared" si="191"/>
        <v>0</v>
      </c>
      <c r="AO703" s="118">
        <f>SUMIF('MPG Payment '!E:E,'Shayak Income '!D703,'MPG Payment '!AJ:AJ)</f>
        <v>0</v>
      </c>
      <c r="AP703" s="19">
        <f t="shared" si="192"/>
        <v>0</v>
      </c>
      <c r="AQ703" s="119">
        <f t="shared" si="202"/>
        <v>0</v>
      </c>
      <c r="AR703" s="91"/>
      <c r="AS703" s="91">
        <f t="shared" si="193"/>
        <v>0</v>
      </c>
      <c r="AT703" s="118"/>
      <c r="AU703" s="118"/>
      <c r="AV703" s="118"/>
    </row>
    <row r="704" spans="1:48" s="20" customFormat="1" x14ac:dyDescent="0.25">
      <c r="A704" s="17">
        <f>IFERROR(VLOOKUP(D704,'Monthly Deduction'!$I$3:$J$957,2,0),0)</f>
        <v>0</v>
      </c>
      <c r="B704" s="17">
        <f>IFERROR(VLOOKUP(D704,'Monthly Deduction'!$E$3:$F$957,2,0),0)</f>
        <v>0</v>
      </c>
      <c r="C704" s="17">
        <f t="shared" si="194"/>
        <v>0</v>
      </c>
      <c r="D704" s="41">
        <v>10070058</v>
      </c>
      <c r="E704" s="122" t="str">
        <f>VLOOKUP(D704,'MPG Payment '!$E$3:$G$498218,2,0)</f>
        <v>Gomukh Malpa Dhutauli VLC</v>
      </c>
      <c r="F704" s="146">
        <f>IFERROR(_xlfn.XLOOKUP(D704,'Monthly Deduction'!$I$3:$I$957,'Monthly Deduction'!$H$3:$H$957),0)</f>
        <v>0</v>
      </c>
      <c r="G704" s="123" t="str">
        <f>VLOOKUP(D704,'MPG Payment '!$E$3:$G$334579,3,0)</f>
        <v>vlc</v>
      </c>
      <c r="H704" s="124" t="str">
        <f>VLOOKUP(D704,'MPG Payment '!$E$3:$H$334579,4,0)</f>
        <v>Indirect</v>
      </c>
      <c r="I704" s="88">
        <f>INDEX('MPG Payment '!$C:$C,MATCH('Shayak Income '!D704,'MPG Payment '!E:E,0))</f>
        <v>1056</v>
      </c>
      <c r="J704" s="88" t="str">
        <f>INDEX('MPG Payment '!$D:$D,MATCH('Shayak Income '!D704,'MPG Payment '!E:E,0))</f>
        <v>Chautham</v>
      </c>
      <c r="K704" s="125" t="s">
        <v>1322</v>
      </c>
      <c r="L704" s="125">
        <v>45709</v>
      </c>
      <c r="M704" s="126">
        <f>SUMIF('MPG Payment '!$E$3:$E$34579,'Shayak Income '!D704,'MPG Payment '!$I$3:$I$34579)</f>
        <v>370.59999999999997</v>
      </c>
      <c r="N704" s="126">
        <f>SUMIF('MPG Payment '!$E$3:$E$34579,'Shayak Income '!D704,'MPG Payment '!$J$3:$J$34579)</f>
        <v>12252.751820096002</v>
      </c>
      <c r="O704" s="126">
        <f t="shared" si="195"/>
        <v>277.95</v>
      </c>
      <c r="P704" s="126">
        <f t="shared" si="196"/>
        <v>352.06999999999994</v>
      </c>
      <c r="Q704" s="126">
        <f>SUMIF('MPG Payment '!$E$3:$E$34579,'Shayak Income '!D704,'MPG Payment '!$S$3:$S$34579)</f>
        <v>0</v>
      </c>
      <c r="R704" s="126">
        <f t="shared" si="186"/>
        <v>367.58255460288007</v>
      </c>
      <c r="S704" s="126">
        <f t="shared" si="187"/>
        <v>15.51255460288013</v>
      </c>
      <c r="T704" s="126">
        <f t="shared" si="197"/>
        <v>37.059999999999995</v>
      </c>
      <c r="U704" s="127">
        <f>(((IF(K704="New",0,SUMIF('MPG Payment '!$E$3:$E$34579,'Shayak Income '!D704,'MPG Payment '!$AC$3:$AC$34579))))+0)+-1033</f>
        <v>593.32657105125327</v>
      </c>
      <c r="V704" s="127">
        <f t="shared" si="198"/>
        <v>0</v>
      </c>
      <c r="W704" s="19">
        <v>0</v>
      </c>
      <c r="X704" s="19">
        <v>0</v>
      </c>
      <c r="Y704" s="128">
        <f>IFERROR(VLOOKUP(D704,'Monthly Deduction'!$M$2:$N$64,2,0),0)</f>
        <v>0</v>
      </c>
      <c r="Z704" s="128">
        <v>0</v>
      </c>
      <c r="AA704" s="126">
        <f>IFERROR(VLOOKUP(D704,'Monthly Deduction'!A:B,2,0),0)</f>
        <v>0</v>
      </c>
      <c r="AB704" s="129">
        <f t="shared" si="189"/>
        <v>0</v>
      </c>
      <c r="AC704" s="130">
        <v>0</v>
      </c>
      <c r="AD704" s="35">
        <f t="shared" si="200"/>
        <v>0</v>
      </c>
      <c r="AE704" s="166" t="str">
        <f t="shared" si="201"/>
        <v>Release</v>
      </c>
      <c r="AF704" s="127"/>
      <c r="AG704" s="18">
        <v>0</v>
      </c>
      <c r="AH704" s="120"/>
      <c r="AI704" s="238">
        <v>0</v>
      </c>
      <c r="AJ704" s="132"/>
      <c r="AK704" s="151">
        <v>43.78</v>
      </c>
      <c r="AL704" s="154">
        <f t="shared" si="190"/>
        <v>0</v>
      </c>
      <c r="AM704" s="155"/>
      <c r="AN704" s="19">
        <f t="shared" si="191"/>
        <v>0</v>
      </c>
      <c r="AO704" s="118">
        <f>SUMIF('MPG Payment '!E:E,'Shayak Income '!D704,'MPG Payment '!AJ:AJ)</f>
        <v>0</v>
      </c>
      <c r="AP704" s="19">
        <f t="shared" si="192"/>
        <v>0</v>
      </c>
      <c r="AQ704" s="119">
        <f t="shared" si="202"/>
        <v>0</v>
      </c>
      <c r="AR704" s="91"/>
      <c r="AS704" s="91">
        <f t="shared" si="193"/>
        <v>0</v>
      </c>
      <c r="AT704" s="118"/>
      <c r="AU704" s="118"/>
      <c r="AV704" s="118"/>
    </row>
    <row r="705" spans="1:48" s="20" customFormat="1" x14ac:dyDescent="0.25">
      <c r="A705" s="17">
        <f>IFERROR(VLOOKUP(D705,'Monthly Deduction'!$I$3:$J$957,2,0),0)</f>
        <v>0</v>
      </c>
      <c r="B705" s="17">
        <f>IFERROR(VLOOKUP(D705,'Monthly Deduction'!$E$3:$F$957,2,0),0)</f>
        <v>0</v>
      </c>
      <c r="C705" s="17">
        <f t="shared" si="194"/>
        <v>0</v>
      </c>
      <c r="D705" s="41">
        <v>10080117</v>
      </c>
      <c r="E705" s="122" t="str">
        <f>VLOOKUP(D705,'MPG Payment '!$E$3:$G$498218,2,0)</f>
        <v>Nipania-VLC</v>
      </c>
      <c r="F705" s="146">
        <f>IFERROR(_xlfn.XLOOKUP(D705,'Monthly Deduction'!$I$3:$I$957,'Monthly Deduction'!$H$3:$H$957),0)</f>
        <v>0</v>
      </c>
      <c r="G705" s="123" t="str">
        <f>VLOOKUP(D705,'MPG Payment '!$E$3:$G$334579,3,0)</f>
        <v>vlc</v>
      </c>
      <c r="H705" s="124" t="str">
        <f>VLOOKUP(D705,'MPG Payment '!$E$3:$H$334579,4,0)</f>
        <v>Indirect</v>
      </c>
      <c r="I705" s="88">
        <f>INDEX('MPG Payment '!$C:$C,MATCH('Shayak Income '!D705,'MPG Payment '!E:E,0))</f>
        <v>1008</v>
      </c>
      <c r="J705" s="88" t="str">
        <f>INDEX('MPG Payment '!$D:$D,MATCH('Shayak Income '!D705,'MPG Payment '!E:E,0))</f>
        <v>Teghra</v>
      </c>
      <c r="K705" s="125" t="s">
        <v>1322</v>
      </c>
      <c r="L705" s="125">
        <v>46008</v>
      </c>
      <c r="M705" s="126">
        <f>SUMIF('MPG Payment '!$E$3:$E$34579,'Shayak Income '!D705,'MPG Payment '!$I$3:$I$34579)</f>
        <v>467</v>
      </c>
      <c r="N705" s="126">
        <f>SUMIF('MPG Payment '!$E$3:$E$34579,'Shayak Income '!D705,'MPG Payment '!$J$3:$J$34579)</f>
        <v>16741.059262485</v>
      </c>
      <c r="O705" s="126">
        <f t="shared" si="195"/>
        <v>350.25</v>
      </c>
      <c r="P705" s="126">
        <f t="shared" si="196"/>
        <v>443.65</v>
      </c>
      <c r="Q705" s="126">
        <f>SUMIF('MPG Payment '!$E$3:$E$34579,'Shayak Income '!D705,'MPG Payment '!$S$3:$S$34579)</f>
        <v>0</v>
      </c>
      <c r="R705" s="126">
        <f t="shared" si="186"/>
        <v>502.23177787454995</v>
      </c>
      <c r="S705" s="126">
        <f t="shared" si="187"/>
        <v>58.581777874549971</v>
      </c>
      <c r="T705" s="126">
        <f t="shared" si="197"/>
        <v>46.7</v>
      </c>
      <c r="U705" s="127">
        <f>(((IF(K705="New",0,SUMIF('MPG Payment '!$E$3:$E$34579,'Shayak Income '!D705,'MPG Payment '!$AC$3:$AC$34579))))+0)+-449</f>
        <v>747.03460549722649</v>
      </c>
      <c r="V705" s="127">
        <f t="shared" si="198"/>
        <v>0</v>
      </c>
      <c r="W705" s="19">
        <v>0</v>
      </c>
      <c r="X705" s="19">
        <v>0</v>
      </c>
      <c r="Y705" s="128">
        <f>IFERROR(VLOOKUP(D705,'Monthly Deduction'!$M$2:$N$64,2,0),0)</f>
        <v>0</v>
      </c>
      <c r="Z705" s="128">
        <v>0</v>
      </c>
      <c r="AA705" s="126">
        <f>IFERROR(VLOOKUP(D705,'Monthly Deduction'!A:B,2,0),0)</f>
        <v>0</v>
      </c>
      <c r="AB705" s="129">
        <f t="shared" si="189"/>
        <v>0</v>
      </c>
      <c r="AC705" s="130">
        <v>0</v>
      </c>
      <c r="AD705" s="35">
        <f t="shared" si="200"/>
        <v>0</v>
      </c>
      <c r="AE705" s="166" t="str">
        <f t="shared" si="201"/>
        <v>Release</v>
      </c>
      <c r="AF705" s="127"/>
      <c r="AG705" s="18">
        <v>0</v>
      </c>
      <c r="AH705" s="120"/>
      <c r="AI705" s="238">
        <v>0</v>
      </c>
      <c r="AJ705" s="132"/>
      <c r="AK705" s="151">
        <v>112.19999999999999</v>
      </c>
      <c r="AL705" s="154">
        <f t="shared" si="190"/>
        <v>0</v>
      </c>
      <c r="AM705" s="155"/>
      <c r="AN705" s="19">
        <f t="shared" si="191"/>
        <v>0</v>
      </c>
      <c r="AO705" s="118">
        <f>SUMIF('MPG Payment '!E:E,'Shayak Income '!D705,'MPG Payment '!AJ:AJ)</f>
        <v>0</v>
      </c>
      <c r="AP705" s="19">
        <f t="shared" si="192"/>
        <v>0</v>
      </c>
      <c r="AQ705" s="119">
        <f t="shared" si="202"/>
        <v>0</v>
      </c>
      <c r="AR705" s="91"/>
      <c r="AS705" s="91">
        <f t="shared" si="193"/>
        <v>0</v>
      </c>
      <c r="AT705" s="118"/>
      <c r="AU705" s="118"/>
      <c r="AV705" s="118"/>
    </row>
    <row r="706" spans="1:48" s="20" customFormat="1" x14ac:dyDescent="0.25">
      <c r="A706" s="17">
        <f>IFERROR(VLOOKUP(D706,'Monthly Deduction'!$I$3:$J$957,2,0),0)</f>
        <v>87405</v>
      </c>
      <c r="B706" s="17">
        <f>IFERROR(VLOOKUP(D706,'Monthly Deduction'!$E$3:$F$957,2,0),0)</f>
        <v>0</v>
      </c>
      <c r="C706" s="17">
        <f t="shared" si="194"/>
        <v>87405</v>
      </c>
      <c r="D706" s="41">
        <v>10090072</v>
      </c>
      <c r="E706" s="122" t="str">
        <f>VLOOKUP(D706,'MPG Payment '!$E$3:$G$498218,2,0)</f>
        <v>BOUDHNAGAR</v>
      </c>
      <c r="F706" s="146">
        <f>IFERROR(_xlfn.XLOOKUP(D706,'Monthly Deduction'!$I$3:$I$957,'Monthly Deduction'!$H$3:$H$957),0)</f>
        <v>0</v>
      </c>
      <c r="G706" s="123" t="str">
        <f>VLOOKUP(D706,'MPG Payment '!$E$3:$G$334579,3,0)</f>
        <v>MPG</v>
      </c>
      <c r="H706" s="124" t="str">
        <f>VLOOKUP(D706,'MPG Payment '!$E$3:$H$334579,4,0)</f>
        <v>Direct</v>
      </c>
      <c r="I706" s="88">
        <f>INDEX('MPG Payment '!$C:$C,MATCH('Shayak Income '!D706,'MPG Payment '!E:E,0))</f>
        <v>1009</v>
      </c>
      <c r="J706" s="88" t="str">
        <f>INDEX('MPG Payment '!$D:$D,MATCH('Shayak Income '!D706,'MPG Payment '!E:E,0))</f>
        <v>Halsi</v>
      </c>
      <c r="K706" s="125" t="s">
        <v>1322</v>
      </c>
      <c r="L706" s="125">
        <v>46005</v>
      </c>
      <c r="M706" s="126">
        <f>SUMIF('MPG Payment '!$E$3:$E$34579,'Shayak Income '!D706,'MPG Payment '!$I$3:$I$34579)</f>
        <v>1651.3000000000002</v>
      </c>
      <c r="N706" s="126">
        <f>SUMIF('MPG Payment '!$E$3:$E$34579,'Shayak Income '!D706,'MPG Payment '!$J$3:$J$34579)</f>
        <v>63288.539238532001</v>
      </c>
      <c r="O706" s="126">
        <f t="shared" si="195"/>
        <v>1238.4750000000001</v>
      </c>
      <c r="P706" s="126">
        <f t="shared" si="196"/>
        <v>1568.7350000000001</v>
      </c>
      <c r="Q706" s="126">
        <f>SUMIF('MPG Payment '!$E$3:$E$34579,'Shayak Income '!D706,'MPG Payment '!$S$3:$S$34579)</f>
        <v>0</v>
      </c>
      <c r="R706" s="126">
        <f t="shared" si="186"/>
        <v>1898.65617715596</v>
      </c>
      <c r="S706" s="126">
        <f t="shared" si="187"/>
        <v>329.92117715595987</v>
      </c>
      <c r="T706" s="126">
        <f t="shared" si="197"/>
        <v>165.13000000000002</v>
      </c>
      <c r="U706" s="127">
        <f>(((IF(K706="New",0,SUMIF('MPG Payment '!$E$3:$E$34579,'Shayak Income '!D706,'MPG Payment '!$AC$3:$AC$34579))))+0)+0</f>
        <v>880.24004748003529</v>
      </c>
      <c r="V706" s="127">
        <f t="shared" si="198"/>
        <v>1762</v>
      </c>
      <c r="W706" s="19">
        <v>1762</v>
      </c>
      <c r="X706" s="19">
        <v>0</v>
      </c>
      <c r="Y706" s="128">
        <f>IFERROR(VLOOKUP(D706,'Monthly Deduction'!$M$2:$N$64,2,0),0)</f>
        <v>0</v>
      </c>
      <c r="Z706" s="128">
        <v>0</v>
      </c>
      <c r="AA706" s="126">
        <f>IFERROR(VLOOKUP(D706,'Monthly Deduction'!A:B,2,0),0)</f>
        <v>0</v>
      </c>
      <c r="AB706" s="129">
        <f t="shared" si="189"/>
        <v>0</v>
      </c>
      <c r="AC706" s="130">
        <v>0</v>
      </c>
      <c r="AD706" s="35">
        <f t="shared" si="200"/>
        <v>0</v>
      </c>
      <c r="AE706" s="166" t="str">
        <f t="shared" si="201"/>
        <v>Release</v>
      </c>
      <c r="AF706" s="127"/>
      <c r="AG706" s="18">
        <v>0</v>
      </c>
      <c r="AH706" s="120"/>
      <c r="AI706" s="238">
        <v>0</v>
      </c>
      <c r="AJ706" s="132"/>
      <c r="AK706" s="151">
        <v>508.00000000000006</v>
      </c>
      <c r="AL706" s="154">
        <f t="shared" si="190"/>
        <v>0</v>
      </c>
      <c r="AM706" s="155"/>
      <c r="AN706" s="19">
        <f t="shared" si="191"/>
        <v>1861</v>
      </c>
      <c r="AO706" s="118">
        <f>SUMIF('MPG Payment '!E:E,'Shayak Income '!D706,'MPG Payment '!AJ:AJ)</f>
        <v>0</v>
      </c>
      <c r="AP706" s="19">
        <f t="shared" si="192"/>
        <v>1762</v>
      </c>
      <c r="AQ706" s="119">
        <f t="shared" si="202"/>
        <v>1762</v>
      </c>
      <c r="AR706" s="91" t="s">
        <v>1168</v>
      </c>
      <c r="AS706" s="91">
        <f t="shared" si="193"/>
        <v>0</v>
      </c>
      <c r="AT706" s="118"/>
      <c r="AU706" s="118"/>
      <c r="AV706" s="118"/>
    </row>
    <row r="707" spans="1:48" s="20" customFormat="1" x14ac:dyDescent="0.25">
      <c r="A707" s="17">
        <f>IFERROR(VLOOKUP(D707,'Monthly Deduction'!$I$3:$J$957,2,0),0)</f>
        <v>0</v>
      </c>
      <c r="B707" s="17">
        <f>IFERROR(VLOOKUP(D707,'Monthly Deduction'!$E$3:$F$957,2,0),0)</f>
        <v>0</v>
      </c>
      <c r="C707" s="17">
        <f t="shared" si="194"/>
        <v>0</v>
      </c>
      <c r="D707" s="41">
        <v>10540039</v>
      </c>
      <c r="E707" s="122" t="str">
        <f>VLOOKUP(D707,'MPG Payment '!$E$3:$G$498218,2,0)</f>
        <v>VLC Dhushmuri Bishanpur</v>
      </c>
      <c r="F707" s="146">
        <f>IFERROR(_xlfn.XLOOKUP(D707,'Monthly Deduction'!$I$3:$I$957,'Monthly Deduction'!$H$3:$H$957),0)</f>
        <v>0</v>
      </c>
      <c r="G707" s="123" t="str">
        <f>VLOOKUP(D707,'MPG Payment '!$E$3:$G$334579,3,0)</f>
        <v>vlc</v>
      </c>
      <c r="H707" s="124" t="str">
        <f>VLOOKUP(D707,'MPG Payment '!$E$3:$H$334579,4,0)</f>
        <v>Indirect</v>
      </c>
      <c r="I707" s="88">
        <f>INDEX('MPG Payment '!$C:$C,MATCH('Shayak Income '!D707,'MPG Payment '!E:E,0))</f>
        <v>1054</v>
      </c>
      <c r="J707" s="88" t="str">
        <f>INDEX('MPG Payment '!$D:$D,MATCH('Shayak Income '!D707,'MPG Payment '!E:E,0))</f>
        <v xml:space="preserve">Alauli </v>
      </c>
      <c r="K707" s="125" t="s">
        <v>1322</v>
      </c>
      <c r="L707" s="125">
        <v>46007</v>
      </c>
      <c r="M707" s="126">
        <f>SUMIF('MPG Payment '!$E$3:$E$34579,'Shayak Income '!D707,'MPG Payment '!$I$3:$I$34579)</f>
        <v>2725.98</v>
      </c>
      <c r="N707" s="126">
        <f>SUMIF('MPG Payment '!$E$3:$E$34579,'Shayak Income '!D707,'MPG Payment '!$J$3:$J$34579)</f>
        <v>89678.599065703311</v>
      </c>
      <c r="O707" s="126">
        <f t="shared" si="195"/>
        <v>2044.4850000000001</v>
      </c>
      <c r="P707" s="126">
        <f t="shared" si="196"/>
        <v>2589.681</v>
      </c>
      <c r="Q707" s="126">
        <f>SUMIF('MPG Payment '!$E$3:$E$34579,'Shayak Income '!D707,'MPG Payment '!$S$3:$S$34579)</f>
        <v>0</v>
      </c>
      <c r="R707" s="126">
        <f t="shared" si="186"/>
        <v>2690.3579719710992</v>
      </c>
      <c r="S707" s="126">
        <f t="shared" si="187"/>
        <v>100.67697197109919</v>
      </c>
      <c r="T707" s="126">
        <f t="shared" si="197"/>
        <v>272.59800000000001</v>
      </c>
      <c r="U707" s="127">
        <f>(((IF(K707="New",0,SUMIF('MPG Payment '!$E$3:$E$34579,'Shayak Income '!D707,'MPG Payment '!$AC$3:$AC$34579))))+0)+0</f>
        <v>146.47527809056209</v>
      </c>
      <c r="V707" s="127">
        <f t="shared" si="198"/>
        <v>4215</v>
      </c>
      <c r="W707" s="19">
        <f t="shared" si="203"/>
        <v>0</v>
      </c>
      <c r="X707" s="19">
        <f t="shared" si="188"/>
        <v>0</v>
      </c>
      <c r="Y707" s="128">
        <f>IFERROR(VLOOKUP(D707,'Monthly Deduction'!$M$2:$N$64,2,0),0)</f>
        <v>0</v>
      </c>
      <c r="Z707" s="128">
        <v>0</v>
      </c>
      <c r="AA707" s="126">
        <f>IFERROR(VLOOKUP(D707,'Monthly Deduction'!A:B,2,0),0)</f>
        <v>0</v>
      </c>
      <c r="AB707" s="129">
        <f t="shared" si="189"/>
        <v>4215</v>
      </c>
      <c r="AC707" s="130">
        <v>0</v>
      </c>
      <c r="AD707" s="35">
        <f t="shared" si="200"/>
        <v>4215</v>
      </c>
      <c r="AE707" s="166" t="str">
        <f t="shared" si="201"/>
        <v>Release</v>
      </c>
      <c r="AF707" s="127"/>
      <c r="AG707" s="18">
        <v>0</v>
      </c>
      <c r="AH707" s="120"/>
      <c r="AI707" s="238">
        <v>0</v>
      </c>
      <c r="AJ707" s="132"/>
      <c r="AK707" s="151">
        <v>813.6</v>
      </c>
      <c r="AL707" s="154">
        <f t="shared" si="190"/>
        <v>0</v>
      </c>
      <c r="AM707" s="155"/>
      <c r="AN707" s="19">
        <f t="shared" si="191"/>
        <v>0</v>
      </c>
      <c r="AO707" s="118">
        <f>SUMIF('MPG Payment '!E:E,'Shayak Income '!D707,'MPG Payment '!AJ:AJ)</f>
        <v>0</v>
      </c>
      <c r="AP707" s="19">
        <f t="shared" si="192"/>
        <v>0</v>
      </c>
      <c r="AQ707" s="119">
        <f t="shared" si="202"/>
        <v>0</v>
      </c>
      <c r="AR707" s="91"/>
      <c r="AS707" s="91">
        <f t="shared" si="193"/>
        <v>0</v>
      </c>
      <c r="AT707" s="118"/>
      <c r="AU707" s="118"/>
      <c r="AV707" s="118"/>
    </row>
    <row r="708" spans="1:48" s="20" customFormat="1" x14ac:dyDescent="0.25">
      <c r="A708" s="17">
        <f>IFERROR(VLOOKUP(D708,'Monthly Deduction'!$I$3:$J$957,2,0),0)</f>
        <v>0</v>
      </c>
      <c r="B708" s="17">
        <f>IFERROR(VLOOKUP(D708,'Monthly Deduction'!$E$3:$F$957,2,0),0)</f>
        <v>0</v>
      </c>
      <c r="C708" s="17">
        <f t="shared" si="194"/>
        <v>0</v>
      </c>
      <c r="D708" s="41">
        <v>10540040</v>
      </c>
      <c r="E708" s="122" t="str">
        <f>VLOOKUP(D708,'MPG Payment '!$E$3:$G$498218,2,0)</f>
        <v>VLC Govindpur</v>
      </c>
      <c r="F708" s="146">
        <f>IFERROR(_xlfn.XLOOKUP(D708,'Monthly Deduction'!$I$3:$I$957,'Monthly Deduction'!$H$3:$H$957),0)</f>
        <v>0</v>
      </c>
      <c r="G708" s="123" t="str">
        <f>VLOOKUP(D708,'MPG Payment '!$E$3:$G$334579,3,0)</f>
        <v>vlc</v>
      </c>
      <c r="H708" s="124" t="str">
        <f>VLOOKUP(D708,'MPG Payment '!$E$3:$H$334579,4,0)</f>
        <v>Indirect</v>
      </c>
      <c r="I708" s="88">
        <f>INDEX('MPG Payment '!$C:$C,MATCH('Shayak Income '!D708,'MPG Payment '!E:E,0))</f>
        <v>1054</v>
      </c>
      <c r="J708" s="88" t="str">
        <f>INDEX('MPG Payment '!$D:$D,MATCH('Shayak Income '!D708,'MPG Payment '!E:E,0))</f>
        <v xml:space="preserve">Alauli </v>
      </c>
      <c r="K708" s="125" t="s">
        <v>1322</v>
      </c>
      <c r="L708" s="125">
        <v>46007</v>
      </c>
      <c r="M708" s="126">
        <f>SUMIF('MPG Payment '!$E$3:$E$34579,'Shayak Income '!D708,'MPG Payment '!$I$3:$I$34579)</f>
        <v>1875.5599999999997</v>
      </c>
      <c r="N708" s="126">
        <f>SUMIF('MPG Payment '!$E$3:$E$34579,'Shayak Income '!D708,'MPG Payment '!$J$3:$J$34579)</f>
        <v>66160.082379993415</v>
      </c>
      <c r="O708" s="126">
        <f t="shared" si="195"/>
        <v>1406.6699999999998</v>
      </c>
      <c r="P708" s="126">
        <f t="shared" si="196"/>
        <v>1781.7819999999997</v>
      </c>
      <c r="Q708" s="126">
        <f>SUMIF('MPG Payment '!$E$3:$E$34579,'Shayak Income '!D708,'MPG Payment '!$S$3:$S$34579)</f>
        <v>0</v>
      </c>
      <c r="R708" s="126">
        <f t="shared" ref="R708:R771" si="205">+N708*3%</f>
        <v>1984.8024713998025</v>
      </c>
      <c r="S708" s="126">
        <f t="shared" ref="S708:S771" si="206">R708-P708</f>
        <v>203.02047139980277</v>
      </c>
      <c r="T708" s="126">
        <f t="shared" si="197"/>
        <v>187.55599999999998</v>
      </c>
      <c r="U708" s="127">
        <f>(((IF(K708="New",0,SUMIF('MPG Payment '!$E$3:$E$34579,'Shayak Income '!D708,'MPG Payment '!$AC$3:$AC$34579))))+0)+0</f>
        <v>207.54597943573447</v>
      </c>
      <c r="V708" s="127">
        <f t="shared" si="198"/>
        <v>2793</v>
      </c>
      <c r="W708" s="19">
        <f t="shared" si="203"/>
        <v>0</v>
      </c>
      <c r="X708" s="19">
        <f t="shared" ref="X708:X765" si="207">((MIN(IF(B708&gt;0,MAX(N708*2%),0),B708)))+0</f>
        <v>0</v>
      </c>
      <c r="Y708" s="128">
        <f>IFERROR(VLOOKUP(D708,'Monthly Deduction'!$M$2:$N$64,2,0),0)</f>
        <v>0</v>
      </c>
      <c r="Z708" s="128">
        <v>0</v>
      </c>
      <c r="AA708" s="126">
        <f>IFERROR(VLOOKUP(D708,'Monthly Deduction'!A:B,2,0),0)</f>
        <v>0</v>
      </c>
      <c r="AB708" s="129">
        <f t="shared" ref="AB708:AB771" si="208">ROUND(IFERROR(V708-SUM(W708:AA708),0),0)</f>
        <v>2793</v>
      </c>
      <c r="AC708" s="130">
        <v>0</v>
      </c>
      <c r="AD708" s="35">
        <f t="shared" si="200"/>
        <v>2793</v>
      </c>
      <c r="AE708" s="166" t="str">
        <f t="shared" si="201"/>
        <v>Release</v>
      </c>
      <c r="AF708" s="127"/>
      <c r="AG708" s="18">
        <v>0</v>
      </c>
      <c r="AH708" s="120"/>
      <c r="AI708" s="238">
        <v>0</v>
      </c>
      <c r="AJ708" s="132"/>
      <c r="AK708" s="151">
        <v>670.19999999999993</v>
      </c>
      <c r="AL708" s="154">
        <f t="shared" ref="AL708:AL800" si="209">COUNTIF(AK708:AK708,"=NA")</f>
        <v>0</v>
      </c>
      <c r="AM708" s="155"/>
      <c r="AN708" s="19">
        <f t="shared" ref="AN708:AN771" si="210">((MIN(IF(A708&gt;0,MAX(N708*2%,1861),0),A708)))+0</f>
        <v>0</v>
      </c>
      <c r="AO708" s="118">
        <f>SUMIF('MPG Payment '!E:E,'Shayak Income '!D708,'MPG Payment '!AJ:AJ)</f>
        <v>0</v>
      </c>
      <c r="AP708" s="19">
        <f t="shared" ref="AP708:AP771" si="211">W708</f>
        <v>0</v>
      </c>
      <c r="AQ708" s="119">
        <f t="shared" si="202"/>
        <v>0</v>
      </c>
      <c r="AR708" s="91" t="s">
        <v>1168</v>
      </c>
      <c r="AS708" s="91">
        <f t="shared" ref="AS708:AS771" si="212">B708-X708</f>
        <v>0</v>
      </c>
      <c r="AT708" s="118"/>
      <c r="AU708" s="118"/>
      <c r="AV708" s="118"/>
    </row>
    <row r="709" spans="1:48" s="20" customFormat="1" x14ac:dyDescent="0.25">
      <c r="A709" s="17">
        <f>IFERROR(VLOOKUP(D709,'Monthly Deduction'!$I$3:$J$957,2,0),0)</f>
        <v>81347</v>
      </c>
      <c r="B709" s="17">
        <f>IFERROR(VLOOKUP(D709,'Monthly Deduction'!$E$3:$F$957,2,0),0)</f>
        <v>0</v>
      </c>
      <c r="C709" s="17">
        <f t="shared" ref="C709:C710" si="213">A709+B709</f>
        <v>81347</v>
      </c>
      <c r="D709" s="41">
        <v>10570028</v>
      </c>
      <c r="E709" s="122" t="str">
        <f>VLOOKUP(D709,'MPG Payment '!$E$3:$G$498218,2,0)</f>
        <v>Chhatnesar 2</v>
      </c>
      <c r="F709" s="146">
        <f>IFERROR(_xlfn.XLOOKUP(D709,'Monthly Deduction'!$I$3:$I$957,'Monthly Deduction'!$H$3:$H$957),0)</f>
        <v>0</v>
      </c>
      <c r="G709" s="123" t="str">
        <f>VLOOKUP(D709,'MPG Payment '!$E$3:$G$334579,3,0)</f>
        <v>MPG</v>
      </c>
      <c r="H709" s="124" t="str">
        <f>VLOOKUP(D709,'MPG Payment '!$E$3:$H$334579,4,0)</f>
        <v>Direct</v>
      </c>
      <c r="I709" s="88">
        <f>INDEX('MPG Payment '!$C:$C,MATCH('Shayak Income '!D709,'MPG Payment '!E:E,0))</f>
        <v>1057</v>
      </c>
      <c r="J709" s="88" t="str">
        <f>INDEX('MPG Payment '!$D:$D,MATCH('Shayak Income '!D709,'MPG Payment '!E:E,0))</f>
        <v>Warisnagar</v>
      </c>
      <c r="K709" s="125" t="s">
        <v>1322</v>
      </c>
      <c r="L709" s="125">
        <v>46005</v>
      </c>
      <c r="M709" s="126">
        <f>SUMIF('MPG Payment '!$E$3:$E$34579,'Shayak Income '!D709,'MPG Payment '!$I$3:$I$34579)</f>
        <v>1118.4000000000001</v>
      </c>
      <c r="N709" s="126">
        <f>SUMIF('MPG Payment '!$E$3:$E$34579,'Shayak Income '!D709,'MPG Payment '!$J$3:$J$34579)</f>
        <v>40666.666978830006</v>
      </c>
      <c r="O709" s="126">
        <f t="shared" ref="O709:O772" si="214">+M709*0.75</f>
        <v>838.80000000000007</v>
      </c>
      <c r="P709" s="126">
        <f t="shared" ref="P709:P772" si="215">+M709*0.95</f>
        <v>1062.48</v>
      </c>
      <c r="Q709" s="126">
        <f>SUMIF('MPG Payment '!$E$3:$E$34579,'Shayak Income '!D709,'MPG Payment '!$S$3:$S$34579)</f>
        <v>0</v>
      </c>
      <c r="R709" s="126">
        <f t="shared" si="205"/>
        <v>1220.0000093649001</v>
      </c>
      <c r="S709" s="126">
        <f t="shared" si="206"/>
        <v>157.52000936490003</v>
      </c>
      <c r="T709" s="126">
        <f t="shared" ref="T709:T772" si="216">M709*0.1</f>
        <v>111.84000000000002</v>
      </c>
      <c r="U709" s="127">
        <f>(((IF(K709="New",0,SUMIF('MPG Payment '!$E$3:$E$34579,'Shayak Income '!D709,'MPG Payment '!$AC$3:$AC$34579))))+0)+0</f>
        <v>1225.4098831488996</v>
      </c>
      <c r="V709" s="127">
        <f t="shared" ref="V709:V772" si="217">ROUND((SUM(O709:Q709)-SUM(T709:U709)),0)</f>
        <v>564</v>
      </c>
      <c r="W709" s="19">
        <v>564</v>
      </c>
      <c r="X709" s="19">
        <v>0</v>
      </c>
      <c r="Y709" s="128">
        <f>IFERROR(VLOOKUP(D709,'Monthly Deduction'!$M$2:$N$64,2,0),0)</f>
        <v>0</v>
      </c>
      <c r="Z709" s="128">
        <v>0</v>
      </c>
      <c r="AA709" s="126">
        <v>0</v>
      </c>
      <c r="AB709" s="129">
        <f t="shared" si="208"/>
        <v>0</v>
      </c>
      <c r="AC709" s="130">
        <f t="shared" ref="AC709:AC712" si="218">AB709</f>
        <v>0</v>
      </c>
      <c r="AD709" s="35">
        <f t="shared" ref="AD709:AD710" si="219">ROUND(AB709-AC709,0)</f>
        <v>0</v>
      </c>
      <c r="AE709" s="166" t="str">
        <f t="shared" ref="AE709:AE772" si="220">IF(AC709&lt;&gt;0,"Yes","Release")</f>
        <v>Release</v>
      </c>
      <c r="AF709" s="127"/>
      <c r="AG709" s="18">
        <v>0</v>
      </c>
      <c r="AH709" s="120" t="s">
        <v>1646</v>
      </c>
      <c r="AI709" s="238">
        <v>19423</v>
      </c>
      <c r="AJ709" s="132"/>
      <c r="AK709" s="151">
        <v>242.9</v>
      </c>
      <c r="AL709" s="154">
        <f t="shared" si="209"/>
        <v>0</v>
      </c>
      <c r="AM709" s="155"/>
      <c r="AN709" s="19">
        <f t="shared" si="210"/>
        <v>1861</v>
      </c>
      <c r="AO709" s="118">
        <f>SUMIF('MPG Payment '!E:E,'Shayak Income '!D709,'MPG Payment '!AJ:AJ)</f>
        <v>0</v>
      </c>
      <c r="AP709" s="19">
        <f t="shared" si="211"/>
        <v>564</v>
      </c>
      <c r="AQ709" s="119">
        <f t="shared" ref="AQ709:AQ710" si="221">AO709+AP709</f>
        <v>564</v>
      </c>
      <c r="AR709" s="91" t="s">
        <v>1168</v>
      </c>
      <c r="AS709" s="91">
        <f t="shared" si="212"/>
        <v>0</v>
      </c>
      <c r="AT709" s="118"/>
      <c r="AU709" s="118"/>
      <c r="AV709" s="118"/>
    </row>
    <row r="710" spans="1:48" s="20" customFormat="1" x14ac:dyDescent="0.25">
      <c r="A710" s="17">
        <f>IFERROR(VLOOKUP(D710,'Monthly Deduction'!$I$3:$J$957,2,0),0)</f>
        <v>82571</v>
      </c>
      <c r="B710" s="17">
        <f>IFERROR(VLOOKUP(D710,'Monthly Deduction'!$E$3:$F$957,2,0),0)</f>
        <v>0</v>
      </c>
      <c r="C710" s="17">
        <f t="shared" si="213"/>
        <v>82571</v>
      </c>
      <c r="D710" s="41">
        <v>10570029</v>
      </c>
      <c r="E710" s="122" t="str">
        <f>VLOOKUP(D710,'MPG Payment '!$E$3:$G$498218,2,0)</f>
        <v>Hajpurwa</v>
      </c>
      <c r="F710" s="146">
        <f>IFERROR(_xlfn.XLOOKUP(D710,'Monthly Deduction'!$I$3:$I$957,'Monthly Deduction'!$H$3:$H$957),0)</f>
        <v>0</v>
      </c>
      <c r="G710" s="123" t="str">
        <f>VLOOKUP(D710,'MPG Payment '!$E$3:$G$334579,3,0)</f>
        <v>MPG</v>
      </c>
      <c r="H710" s="124" t="str">
        <f>VLOOKUP(D710,'MPG Payment '!$E$3:$H$334579,4,0)</f>
        <v>Direct</v>
      </c>
      <c r="I710" s="88">
        <f>INDEX('MPG Payment '!$C:$C,MATCH('Shayak Income '!D710,'MPG Payment '!E:E,0))</f>
        <v>1057</v>
      </c>
      <c r="J710" s="88" t="str">
        <f>INDEX('MPG Payment '!$D:$D,MATCH('Shayak Income '!D710,'MPG Payment '!E:E,0))</f>
        <v>Warisnagar</v>
      </c>
      <c r="K710" s="125" t="s">
        <v>1322</v>
      </c>
      <c r="L710" s="125">
        <v>46005</v>
      </c>
      <c r="M710" s="126">
        <f>SUMIF('MPG Payment '!$E$3:$E$34579,'Shayak Income '!D710,'MPG Payment '!$I$3:$I$34579)</f>
        <v>720.19999999999993</v>
      </c>
      <c r="N710" s="126">
        <f>SUMIF('MPG Payment '!$E$3:$E$34579,'Shayak Income '!D710,'MPG Payment '!$J$3:$J$34579)</f>
        <v>29837.709438741622</v>
      </c>
      <c r="O710" s="126">
        <f t="shared" si="214"/>
        <v>540.15</v>
      </c>
      <c r="P710" s="126">
        <f t="shared" si="215"/>
        <v>684.18999999999994</v>
      </c>
      <c r="Q710" s="126">
        <f>SUMIF('MPG Payment '!$E$3:$E$34579,'Shayak Income '!D710,'MPG Payment '!$S$3:$S$34579)</f>
        <v>0</v>
      </c>
      <c r="R710" s="126">
        <f t="shared" si="205"/>
        <v>895.13128316224868</v>
      </c>
      <c r="S710" s="126">
        <f t="shared" si="206"/>
        <v>210.94128316224874</v>
      </c>
      <c r="T710" s="126">
        <f t="shared" si="216"/>
        <v>72.02</v>
      </c>
      <c r="U710" s="127">
        <f>(((IF(K710="New",0,SUMIF('MPG Payment '!$E$3:$E$34579,'Shayak Income '!D710,'MPG Payment '!$AC$3:$AC$34579))))+0)+-572</f>
        <v>1152.248890036396</v>
      </c>
      <c r="V710" s="127">
        <f t="shared" si="217"/>
        <v>0</v>
      </c>
      <c r="W710" s="19">
        <v>0</v>
      </c>
      <c r="X710" s="19">
        <v>0</v>
      </c>
      <c r="Y710" s="128">
        <v>0</v>
      </c>
      <c r="Z710" s="128">
        <v>0</v>
      </c>
      <c r="AA710" s="126">
        <v>0</v>
      </c>
      <c r="AB710" s="129">
        <f t="shared" si="208"/>
        <v>0</v>
      </c>
      <c r="AC710" s="130">
        <f t="shared" si="218"/>
        <v>0</v>
      </c>
      <c r="AD710" s="35">
        <f t="shared" si="219"/>
        <v>0</v>
      </c>
      <c r="AE710" s="166" t="str">
        <f t="shared" si="220"/>
        <v>Release</v>
      </c>
      <c r="AF710" s="127"/>
      <c r="AG710" s="18">
        <v>0</v>
      </c>
      <c r="AH710" s="120" t="s">
        <v>1650</v>
      </c>
      <c r="AI710" s="238">
        <v>19055</v>
      </c>
      <c r="AJ710" s="132"/>
      <c r="AK710" s="151">
        <v>229.3</v>
      </c>
      <c r="AL710" s="154">
        <f t="shared" si="209"/>
        <v>0</v>
      </c>
      <c r="AM710" s="155"/>
      <c r="AN710" s="19">
        <f t="shared" si="210"/>
        <v>1861</v>
      </c>
      <c r="AO710" s="118">
        <f>SUMIF('MPG Payment '!E:E,'Shayak Income '!D710,'MPG Payment '!AJ:AJ)</f>
        <v>0</v>
      </c>
      <c r="AP710" s="19">
        <f t="shared" si="211"/>
        <v>0</v>
      </c>
      <c r="AQ710" s="119">
        <f t="shared" si="221"/>
        <v>0</v>
      </c>
      <c r="AR710" s="91"/>
      <c r="AS710" s="91">
        <f t="shared" si="212"/>
        <v>0</v>
      </c>
      <c r="AT710" s="118"/>
      <c r="AU710" s="118"/>
      <c r="AV710" s="118"/>
    </row>
    <row r="711" spans="1:48" s="20" customFormat="1" x14ac:dyDescent="0.25">
      <c r="A711" s="17">
        <f>IFERROR(VLOOKUP(D711,'Monthly Deduction'!$I$3:$J$957,2,0),0)</f>
        <v>61457.873599999999</v>
      </c>
      <c r="B711" s="17">
        <f>IFERROR(VLOOKUP(D711,'Monthly Deduction'!$E$3:$F$957,2,0),0)</f>
        <v>0</v>
      </c>
      <c r="C711" s="17">
        <f t="shared" ref="C711:C800" si="222">A711+B711</f>
        <v>61457.873599999999</v>
      </c>
      <c r="D711" s="41">
        <v>10570030</v>
      </c>
      <c r="E711" s="122" t="str">
        <f>VLOOKUP(D711,'MPG Payment '!$E$3:$G$498218,2,0)</f>
        <v>Shekhopur</v>
      </c>
      <c r="F711" s="146">
        <f>IFERROR(_xlfn.XLOOKUP(D711,'Monthly Deduction'!$I$3:$I$957,'Monthly Deduction'!$H$3:$H$957),0)</f>
        <v>0</v>
      </c>
      <c r="G711" s="123" t="str">
        <f>VLOOKUP(D711,'MPG Payment '!$E$3:$G$334579,3,0)</f>
        <v>MPG</v>
      </c>
      <c r="H711" s="124" t="str">
        <f>VLOOKUP(D711,'MPG Payment '!$E$3:$H$334579,4,0)</f>
        <v>Direct</v>
      </c>
      <c r="I711" s="88">
        <f>INDEX('MPG Payment '!$C:$C,MATCH('Shayak Income '!D711,'MPG Payment '!E:E,0))</f>
        <v>1057</v>
      </c>
      <c r="J711" s="88" t="str">
        <f>INDEX('MPG Payment '!$D:$D,MATCH('Shayak Income '!D711,'MPG Payment '!E:E,0))</f>
        <v>Warisnagar</v>
      </c>
      <c r="K711" s="125" t="s">
        <v>1322</v>
      </c>
      <c r="L711" s="125">
        <v>46006</v>
      </c>
      <c r="M711" s="126">
        <f>SUMIF('MPG Payment '!$E$3:$E$34579,'Shayak Income '!D711,'MPG Payment '!$I$3:$I$34579)</f>
        <v>1193</v>
      </c>
      <c r="N711" s="126">
        <f>SUMIF('MPG Payment '!$E$3:$E$34579,'Shayak Income '!D711,'MPG Payment '!$J$3:$J$34579)</f>
        <v>41457.084812800007</v>
      </c>
      <c r="O711" s="126">
        <f t="shared" si="214"/>
        <v>894.75</v>
      </c>
      <c r="P711" s="126">
        <f t="shared" si="215"/>
        <v>1133.3499999999999</v>
      </c>
      <c r="Q711" s="126">
        <f>SUMIF('MPG Payment '!$E$3:$E$34579,'Shayak Income '!D711,'MPG Payment '!$S$3:$S$34579)</f>
        <v>0</v>
      </c>
      <c r="R711" s="126">
        <f t="shared" si="205"/>
        <v>1243.7125443840002</v>
      </c>
      <c r="S711" s="126">
        <f t="shared" si="206"/>
        <v>110.36254438400033</v>
      </c>
      <c r="T711" s="126">
        <f t="shared" si="216"/>
        <v>119.30000000000001</v>
      </c>
      <c r="U711" s="127">
        <f>(((IF(K711="New",0,SUMIF('MPG Payment '!$E$3:$E$34579,'Shayak Income '!D711,'MPG Payment '!$AC$3:$AC$34579))))+0)+0</f>
        <v>1120.2091846369658</v>
      </c>
      <c r="V711" s="127">
        <f t="shared" si="217"/>
        <v>789</v>
      </c>
      <c r="W711" s="19">
        <v>789</v>
      </c>
      <c r="X711" s="19">
        <v>0</v>
      </c>
      <c r="Y711" s="128">
        <f>IFERROR(VLOOKUP(D711,'Monthly Deduction'!$M$2:$N$64,2,0),0)</f>
        <v>0</v>
      </c>
      <c r="Z711" s="128">
        <v>0</v>
      </c>
      <c r="AA711" s="126">
        <v>0</v>
      </c>
      <c r="AB711" s="129">
        <f t="shared" si="208"/>
        <v>0</v>
      </c>
      <c r="AC711" s="130">
        <f t="shared" si="218"/>
        <v>0</v>
      </c>
      <c r="AD711" s="35">
        <f t="shared" ref="AD711:AD800" si="223">ROUND(AB711-AC711,0)</f>
        <v>0</v>
      </c>
      <c r="AE711" s="166" t="str">
        <f t="shared" si="220"/>
        <v>Release</v>
      </c>
      <c r="AF711" s="127"/>
      <c r="AG711" s="18">
        <v>0</v>
      </c>
      <c r="AH711" s="120" t="s">
        <v>1653</v>
      </c>
      <c r="AI711" s="238">
        <v>0</v>
      </c>
      <c r="AJ711" s="132"/>
      <c r="AK711" s="151">
        <v>233.99999999999997</v>
      </c>
      <c r="AL711" s="154">
        <f t="shared" si="209"/>
        <v>0</v>
      </c>
      <c r="AM711" s="155"/>
      <c r="AN711" s="19">
        <f t="shared" si="210"/>
        <v>1861</v>
      </c>
      <c r="AO711" s="118">
        <f>SUMIF('MPG Payment '!E:E,'Shayak Income '!D711,'MPG Payment '!AJ:AJ)</f>
        <v>0</v>
      </c>
      <c r="AP711" s="19">
        <f t="shared" si="211"/>
        <v>789</v>
      </c>
      <c r="AQ711" s="119">
        <f t="shared" ref="AQ711:AQ800" si="224">AO711+AP711</f>
        <v>789</v>
      </c>
      <c r="AR711" s="91"/>
      <c r="AS711" s="91">
        <f t="shared" si="212"/>
        <v>0</v>
      </c>
      <c r="AT711" s="118"/>
      <c r="AU711" s="118"/>
      <c r="AV711" s="118"/>
    </row>
    <row r="712" spans="1:48" s="20" customFormat="1" x14ac:dyDescent="0.25">
      <c r="A712" s="17">
        <f>IFERROR(VLOOKUP(D712,'Monthly Deduction'!$I$3:$J$957,2,0),0)</f>
        <v>71099</v>
      </c>
      <c r="B712" s="17">
        <f>IFERROR(VLOOKUP(D712,'Monthly Deduction'!$E$3:$F$957,2,0),0)</f>
        <v>0</v>
      </c>
      <c r="C712" s="17">
        <f t="shared" si="222"/>
        <v>71099</v>
      </c>
      <c r="D712" s="41">
        <v>10570031</v>
      </c>
      <c r="E712" s="122" t="str">
        <f>VLOOKUP(D712,'MPG Payment '!$E$3:$G$498218,2,0)</f>
        <v>Dharampur</v>
      </c>
      <c r="F712" s="146">
        <f>IFERROR(_xlfn.XLOOKUP(D712,'Monthly Deduction'!$I$3:$I$957,'Monthly Deduction'!$H$3:$H$957),0)</f>
        <v>0</v>
      </c>
      <c r="G712" s="123" t="str">
        <f>VLOOKUP(D712,'MPG Payment '!$E$3:$G$334579,3,0)</f>
        <v>MPG</v>
      </c>
      <c r="H712" s="124" t="str">
        <f>VLOOKUP(D712,'MPG Payment '!$E$3:$H$334579,4,0)</f>
        <v>Direct</v>
      </c>
      <c r="I712" s="88">
        <f>INDEX('MPG Payment '!$C:$C,MATCH('Shayak Income '!D712,'MPG Payment '!E:E,0))</f>
        <v>1057</v>
      </c>
      <c r="J712" s="88" t="str">
        <f>INDEX('MPG Payment '!$D:$D,MATCH('Shayak Income '!D712,'MPG Payment '!E:E,0))</f>
        <v>Warisnagar</v>
      </c>
      <c r="K712" s="125" t="s">
        <v>1322</v>
      </c>
      <c r="L712" s="125">
        <v>46005</v>
      </c>
      <c r="M712" s="126">
        <f>SUMIF('MPG Payment '!$E$3:$E$34579,'Shayak Income '!D712,'MPG Payment '!$I$3:$I$34579)</f>
        <v>630.79999999999995</v>
      </c>
      <c r="N712" s="126">
        <f>SUMIF('MPG Payment '!$E$3:$E$34579,'Shayak Income '!D712,'MPG Payment '!$J$3:$J$34579)</f>
        <v>24839.603858689999</v>
      </c>
      <c r="O712" s="126">
        <f t="shared" si="214"/>
        <v>473.09999999999997</v>
      </c>
      <c r="P712" s="126">
        <f t="shared" si="215"/>
        <v>599.25999999999988</v>
      </c>
      <c r="Q712" s="126">
        <f>SUMIF('MPG Payment '!$E$3:$E$34579,'Shayak Income '!D712,'MPG Payment '!$S$3:$S$34579)</f>
        <v>67.018267800000004</v>
      </c>
      <c r="R712" s="126">
        <f t="shared" si="205"/>
        <v>745.18811576069993</v>
      </c>
      <c r="S712" s="126">
        <f t="shared" si="206"/>
        <v>145.92811576070005</v>
      </c>
      <c r="T712" s="126">
        <f t="shared" si="216"/>
        <v>63.08</v>
      </c>
      <c r="U712" s="127">
        <f>(((IF(K712="New",0,SUMIF('MPG Payment '!$E$3:$E$34579,'Shayak Income '!D712,'MPG Payment '!$AC$3:$AC$34579))))+0)+-631</f>
        <v>1076.717636668501</v>
      </c>
      <c r="V712" s="127">
        <f t="shared" si="217"/>
        <v>0</v>
      </c>
      <c r="W712" s="19">
        <v>0</v>
      </c>
      <c r="X712" s="19">
        <v>0</v>
      </c>
      <c r="Y712" s="128">
        <v>0</v>
      </c>
      <c r="Z712" s="128">
        <v>0</v>
      </c>
      <c r="AA712" s="126">
        <v>0</v>
      </c>
      <c r="AB712" s="129">
        <f t="shared" si="208"/>
        <v>0</v>
      </c>
      <c r="AC712" s="130">
        <f t="shared" si="218"/>
        <v>0</v>
      </c>
      <c r="AD712" s="35">
        <f t="shared" si="223"/>
        <v>0</v>
      </c>
      <c r="AE712" s="166" t="str">
        <f t="shared" si="220"/>
        <v>Release</v>
      </c>
      <c r="AF712" s="127"/>
      <c r="AG712" s="18">
        <v>0</v>
      </c>
      <c r="AH712" s="120" t="s">
        <v>1646</v>
      </c>
      <c r="AI712" s="238">
        <v>7099</v>
      </c>
      <c r="AJ712" s="132"/>
      <c r="AK712" s="151">
        <v>147.5</v>
      </c>
      <c r="AL712" s="154">
        <f t="shared" si="209"/>
        <v>0</v>
      </c>
      <c r="AM712" s="155"/>
      <c r="AN712" s="19">
        <f t="shared" si="210"/>
        <v>1861</v>
      </c>
      <c r="AO712" s="118">
        <f>SUMIF('MPG Payment '!E:E,'Shayak Income '!D712,'MPG Payment '!AJ:AJ)</f>
        <v>500</v>
      </c>
      <c r="AP712" s="19">
        <f t="shared" si="211"/>
        <v>0</v>
      </c>
      <c r="AQ712" s="119">
        <f t="shared" si="224"/>
        <v>500</v>
      </c>
      <c r="AR712" s="91"/>
      <c r="AS712" s="91">
        <f t="shared" si="212"/>
        <v>0</v>
      </c>
      <c r="AT712" s="118"/>
      <c r="AU712" s="118"/>
      <c r="AV712" s="118"/>
    </row>
    <row r="713" spans="1:48" s="20" customFormat="1" x14ac:dyDescent="0.25">
      <c r="A713" s="17">
        <f>IFERROR(VLOOKUP(D713,'Monthly Deduction'!$I$3:$J$957,2,0),0)</f>
        <v>0</v>
      </c>
      <c r="B713" s="17">
        <f>IFERROR(VLOOKUP(D713,'Monthly Deduction'!$E$3:$F$957,2,0),0)</f>
        <v>0</v>
      </c>
      <c r="C713" s="17">
        <f t="shared" si="222"/>
        <v>0</v>
      </c>
      <c r="D713" s="41">
        <v>10570033</v>
      </c>
      <c r="E713" s="122" t="str">
        <f>VLOOKUP(D713,'MPG Payment '!$E$3:$G$498218,2,0)</f>
        <v>Chatnesar Pachiam</v>
      </c>
      <c r="F713" s="146">
        <f>IFERROR(_xlfn.XLOOKUP(D713,'Monthly Deduction'!$I$3:$I$957,'Monthly Deduction'!$H$3:$H$957),0)</f>
        <v>0</v>
      </c>
      <c r="G713" s="123" t="str">
        <f>VLOOKUP(D713,'MPG Payment '!$E$3:$G$334579,3,0)</f>
        <v>vlc</v>
      </c>
      <c r="H713" s="124" t="str">
        <f>VLOOKUP(D713,'MPG Payment '!$E$3:$H$334579,4,0)</f>
        <v>Indirect</v>
      </c>
      <c r="I713" s="88">
        <f>INDEX('MPG Payment '!$C:$C,MATCH('Shayak Income '!D713,'MPG Payment '!E:E,0))</f>
        <v>1057</v>
      </c>
      <c r="J713" s="88" t="str">
        <f>INDEX('MPG Payment '!$D:$D,MATCH('Shayak Income '!D713,'MPG Payment '!E:E,0))</f>
        <v>Warisnagar</v>
      </c>
      <c r="K713" s="125" t="s">
        <v>1322</v>
      </c>
      <c r="L713" s="125">
        <v>46009</v>
      </c>
      <c r="M713" s="126">
        <f>SUMIF('MPG Payment '!$E$3:$E$34579,'Shayak Income '!D713,'MPG Payment '!$I$3:$I$34579)</f>
        <v>687.59999999999991</v>
      </c>
      <c r="N713" s="126">
        <f>SUMIF('MPG Payment '!$E$3:$E$34579,'Shayak Income '!D713,'MPG Payment '!$J$3:$J$34579)</f>
        <v>26236.99906971</v>
      </c>
      <c r="O713" s="126">
        <f t="shared" si="214"/>
        <v>515.69999999999993</v>
      </c>
      <c r="P713" s="126">
        <f t="shared" si="215"/>
        <v>653.21999999999991</v>
      </c>
      <c r="Q713" s="126">
        <f>SUMIF('MPG Payment '!$E$3:$E$34579,'Shayak Income '!D713,'MPG Payment '!$S$3:$S$34579)</f>
        <v>0</v>
      </c>
      <c r="R713" s="126">
        <f t="shared" si="205"/>
        <v>787.10997209129994</v>
      </c>
      <c r="S713" s="126">
        <f t="shared" si="206"/>
        <v>133.88997209130002</v>
      </c>
      <c r="T713" s="126">
        <f t="shared" si="216"/>
        <v>68.759999999999991</v>
      </c>
      <c r="U713" s="127">
        <f>(((IF(K713="New",0,SUMIF('MPG Payment '!$E$3:$E$34579,'Shayak Income '!D713,'MPG Payment '!$AC$3:$AC$34579))))+0)+-519</f>
        <v>1100.0494738695086</v>
      </c>
      <c r="V713" s="127">
        <f t="shared" si="217"/>
        <v>0</v>
      </c>
      <c r="W713" s="19">
        <v>0</v>
      </c>
      <c r="X713" s="19">
        <v>0</v>
      </c>
      <c r="Y713" s="128">
        <f>IFERROR(VLOOKUP(D713,'Monthly Deduction'!$M$2:$N$64,2,0),0)</f>
        <v>0</v>
      </c>
      <c r="Z713" s="128">
        <v>0</v>
      </c>
      <c r="AA713" s="126">
        <f>IFERROR(VLOOKUP(D713,'Monthly Deduction'!A:B,2,0),0)</f>
        <v>0</v>
      </c>
      <c r="AB713" s="129">
        <f t="shared" si="208"/>
        <v>0</v>
      </c>
      <c r="AC713" s="130">
        <v>0</v>
      </c>
      <c r="AD713" s="35">
        <f t="shared" si="223"/>
        <v>0</v>
      </c>
      <c r="AE713" s="166" t="str">
        <f t="shared" si="220"/>
        <v>Release</v>
      </c>
      <c r="AF713" s="127"/>
      <c r="AG713" s="18">
        <v>0</v>
      </c>
      <c r="AH713" s="120"/>
      <c r="AI713" s="238">
        <v>0</v>
      </c>
      <c r="AJ713" s="132"/>
      <c r="AK713" s="151">
        <v>96.8</v>
      </c>
      <c r="AL713" s="154">
        <f t="shared" si="209"/>
        <v>0</v>
      </c>
      <c r="AM713" s="155"/>
      <c r="AN713" s="19">
        <f t="shared" si="210"/>
        <v>0</v>
      </c>
      <c r="AO713" s="118">
        <f>SUMIF('MPG Payment '!E:E,'Shayak Income '!D713,'MPG Payment '!AJ:AJ)</f>
        <v>0</v>
      </c>
      <c r="AP713" s="19">
        <f t="shared" si="211"/>
        <v>0</v>
      </c>
      <c r="AQ713" s="119">
        <f t="shared" si="224"/>
        <v>0</v>
      </c>
      <c r="AR713" s="91" t="s">
        <v>1168</v>
      </c>
      <c r="AS713" s="91">
        <f t="shared" si="212"/>
        <v>0</v>
      </c>
      <c r="AT713" s="118"/>
      <c r="AU713" s="118"/>
      <c r="AV713" s="118"/>
    </row>
    <row r="714" spans="1:48" s="20" customFormat="1" x14ac:dyDescent="0.25">
      <c r="A714" s="17">
        <f>IFERROR(VLOOKUP(D714,'Monthly Deduction'!$I$3:$J$957,2,0),0)</f>
        <v>62651.645400000001</v>
      </c>
      <c r="B714" s="17">
        <f>IFERROR(VLOOKUP(D714,'Monthly Deduction'!$E$3:$F$957,2,0),0)</f>
        <v>5608</v>
      </c>
      <c r="C714" s="17">
        <f t="shared" si="222"/>
        <v>68259.645400000009</v>
      </c>
      <c r="D714" s="41">
        <v>10580009</v>
      </c>
      <c r="E714" s="122" t="str">
        <f>VLOOKUP(D714,'MPG Payment '!$E$3:$G$498218,2,0)</f>
        <v>Belshandi-2</v>
      </c>
      <c r="F714" s="146">
        <f>IFERROR(_xlfn.XLOOKUP(D714,'Monthly Deduction'!$I$3:$I$957,'Monthly Deduction'!$H$3:$H$957),0)</f>
        <v>0</v>
      </c>
      <c r="G714" s="123" t="str">
        <f>VLOOKUP(D714,'MPG Payment '!$E$3:$G$334579,3,0)</f>
        <v>MPG</v>
      </c>
      <c r="H714" s="124" t="str">
        <f>VLOOKUP(D714,'MPG Payment '!$E$3:$H$334579,4,0)</f>
        <v>Direct</v>
      </c>
      <c r="I714" s="88">
        <f>INDEX('MPG Payment '!$C:$C,MATCH('Shayak Income '!D714,'MPG Payment '!E:E,0))</f>
        <v>1058</v>
      </c>
      <c r="J714" s="88" t="str">
        <f>INDEX('MPG Payment '!$D:$D,MATCH('Shayak Income '!D714,'MPG Payment '!E:E,0))</f>
        <v>Hasanpur</v>
      </c>
      <c r="K714" s="125" t="s">
        <v>1322</v>
      </c>
      <c r="L714" s="125">
        <v>46005</v>
      </c>
      <c r="M714" s="126">
        <f>SUMIF('MPG Payment '!$E$3:$E$34579,'Shayak Income '!D714,'MPG Payment '!$I$3:$I$34579)</f>
        <v>455.20000000000005</v>
      </c>
      <c r="N714" s="126">
        <f>SUMIF('MPG Payment '!$E$3:$E$34579,'Shayak Income '!D714,'MPG Payment '!$J$3:$J$34579)</f>
        <v>19840.5</v>
      </c>
      <c r="O714" s="126">
        <f t="shared" si="214"/>
        <v>341.40000000000003</v>
      </c>
      <c r="P714" s="126">
        <f t="shared" si="215"/>
        <v>432.44</v>
      </c>
      <c r="Q714" s="126">
        <f>SUMIF('MPG Payment '!$E$3:$E$34579,'Shayak Income '!D714,'MPG Payment '!$S$3:$S$34579)</f>
        <v>105.65559972000003</v>
      </c>
      <c r="R714" s="126">
        <f t="shared" si="205"/>
        <v>595.21500000000003</v>
      </c>
      <c r="S714" s="126">
        <f t="shared" si="206"/>
        <v>162.77500000000003</v>
      </c>
      <c r="T714" s="126">
        <f t="shared" si="216"/>
        <v>45.52000000000001</v>
      </c>
      <c r="U714" s="127">
        <f>(((IF(K714="New",0,SUMIF('MPG Payment '!$E$3:$E$34579,'Shayak Income '!D714,'MPG Payment '!$AC$3:$AC$34579))))+0)+-618</f>
        <v>834.38675486892203</v>
      </c>
      <c r="V714" s="127">
        <f t="shared" si="217"/>
        <v>0</v>
      </c>
      <c r="W714" s="19">
        <v>0</v>
      </c>
      <c r="X714" s="19">
        <v>0</v>
      </c>
      <c r="Y714" s="128">
        <f>IFERROR(VLOOKUP(D714,'Monthly Deduction'!$M$2:$N$64,2,0),0)</f>
        <v>0</v>
      </c>
      <c r="Z714" s="128">
        <v>0</v>
      </c>
      <c r="AA714" s="126">
        <f>IFERROR(VLOOKUP(D714,'Monthly Deduction'!A:B,2,0),0)</f>
        <v>0</v>
      </c>
      <c r="AB714" s="129">
        <f t="shared" si="208"/>
        <v>0</v>
      </c>
      <c r="AC714" s="130">
        <f t="shared" ref="AC714:AC716" si="225">AB714</f>
        <v>0</v>
      </c>
      <c r="AD714" s="35">
        <f t="shared" si="223"/>
        <v>0</v>
      </c>
      <c r="AE714" s="166" t="str">
        <f t="shared" si="220"/>
        <v>Release</v>
      </c>
      <c r="AF714" s="127"/>
      <c r="AG714" s="18">
        <v>0</v>
      </c>
      <c r="AH714" s="132" t="s">
        <v>1648</v>
      </c>
      <c r="AI714" s="238">
        <v>0</v>
      </c>
      <c r="AJ714" s="132"/>
      <c r="AK714" s="151">
        <v>0</v>
      </c>
      <c r="AL714" s="154">
        <f t="shared" si="209"/>
        <v>0</v>
      </c>
      <c r="AM714" s="155"/>
      <c r="AN714" s="19">
        <f t="shared" si="210"/>
        <v>1861</v>
      </c>
      <c r="AO714" s="118">
        <f>SUMIF('MPG Payment '!E:E,'Shayak Income '!D714,'MPG Payment '!AJ:AJ)</f>
        <v>0</v>
      </c>
      <c r="AP714" s="19">
        <f t="shared" si="211"/>
        <v>0</v>
      </c>
      <c r="AQ714" s="119">
        <f t="shared" si="224"/>
        <v>0</v>
      </c>
      <c r="AR714" s="91"/>
      <c r="AS714" s="91">
        <f t="shared" si="212"/>
        <v>5608</v>
      </c>
      <c r="AT714" s="118"/>
      <c r="AU714" s="118"/>
      <c r="AV714" s="118"/>
    </row>
    <row r="715" spans="1:48" s="20" customFormat="1" x14ac:dyDescent="0.25">
      <c r="A715" s="17">
        <f>IFERROR(VLOOKUP(D715,'Monthly Deduction'!$I$3:$J$957,2,0),0)</f>
        <v>0</v>
      </c>
      <c r="B715" s="17">
        <f>IFERROR(VLOOKUP(D715,'Monthly Deduction'!$E$3:$F$957,2,0),0)</f>
        <v>0</v>
      </c>
      <c r="C715" s="17">
        <f t="shared" si="222"/>
        <v>0</v>
      </c>
      <c r="D715" s="41">
        <v>10040001</v>
      </c>
      <c r="E715" s="122" t="str">
        <f>VLOOKUP(D715,'MPG Payment '!$E$3:$G$498218,2,0)</f>
        <v>GOMUKH GANGA SAHYOG</v>
      </c>
      <c r="F715" s="146">
        <f>IFERROR(_xlfn.XLOOKUP(D715,'Monthly Deduction'!$I$3:$I$957,'Monthly Deduction'!$H$3:$H$957),0)</f>
        <v>0</v>
      </c>
      <c r="G715" s="123" t="str">
        <f>VLOOKUP(D715,'MPG Payment '!$E$3:$G$334579,3,0)</f>
        <v>vlc</v>
      </c>
      <c r="H715" s="124" t="str">
        <f>VLOOKUP(D715,'MPG Payment '!$E$3:$H$334579,4,0)</f>
        <v>Indirect</v>
      </c>
      <c r="I715" s="88">
        <f>INDEX('MPG Payment '!$C:$C,MATCH('Shayak Income '!D715,'MPG Payment '!E:E,0))</f>
        <v>1004</v>
      </c>
      <c r="J715" s="88" t="str">
        <f>INDEX('MPG Payment '!$D:$D,MATCH('Shayak Income '!D715,'MPG Payment '!E:E,0))</f>
        <v>Tofir</v>
      </c>
      <c r="K715" s="125" t="s">
        <v>1322</v>
      </c>
      <c r="L715" s="125">
        <v>43376</v>
      </c>
      <c r="M715" s="126">
        <f>SUMIF('MPG Payment '!$E$3:$E$34579,'Shayak Income '!D715,'MPG Payment '!$I$3:$I$34579)</f>
        <v>436.9</v>
      </c>
      <c r="N715" s="126">
        <f>SUMIF('MPG Payment '!$E$3:$E$34579,'Shayak Income '!D715,'MPG Payment '!$J$3:$J$34579)</f>
        <v>15627.91</v>
      </c>
      <c r="O715" s="126">
        <f t="shared" si="214"/>
        <v>327.67499999999995</v>
      </c>
      <c r="P715" s="126">
        <f t="shared" si="215"/>
        <v>415.05499999999995</v>
      </c>
      <c r="Q715" s="126">
        <f>SUMIF('MPG Payment '!$E$3:$E$34579,'Shayak Income '!D715,'MPG Payment '!$S$3:$S$34579)</f>
        <v>0</v>
      </c>
      <c r="R715" s="126">
        <f t="shared" si="205"/>
        <v>468.83729999999997</v>
      </c>
      <c r="S715" s="126">
        <f t="shared" si="206"/>
        <v>53.782300000000021</v>
      </c>
      <c r="T715" s="126">
        <f t="shared" si="216"/>
        <v>43.69</v>
      </c>
      <c r="U715" s="127">
        <f>(((IF(K715="New",0,SUMIF('MPG Payment '!$E$3:$E$34579,'Shayak Income '!D715,'MPG Payment '!$AC$3:$AC$34579))))+0)+0</f>
        <v>188.22170386816208</v>
      </c>
      <c r="V715" s="127">
        <f t="shared" si="217"/>
        <v>511</v>
      </c>
      <c r="W715" s="19">
        <f t="shared" ref="W715:W770" si="226">(((AN715-AO715)))+0</f>
        <v>0</v>
      </c>
      <c r="X715" s="19">
        <f t="shared" si="207"/>
        <v>0</v>
      </c>
      <c r="Y715" s="128">
        <f>IFERROR(VLOOKUP(D715,'Monthly Deduction'!$M$2:$N$64,2,0),0)</f>
        <v>0</v>
      </c>
      <c r="Z715" s="128">
        <v>0</v>
      </c>
      <c r="AA715" s="126">
        <f>IFERROR(VLOOKUP(D715,'Monthly Deduction'!A:B,2,0),0)</f>
        <v>0</v>
      </c>
      <c r="AB715" s="129">
        <f t="shared" si="208"/>
        <v>511</v>
      </c>
      <c r="AC715" s="130">
        <f t="shared" si="225"/>
        <v>511</v>
      </c>
      <c r="AD715" s="35">
        <f t="shared" si="223"/>
        <v>0</v>
      </c>
      <c r="AE715" s="166" t="str">
        <f t="shared" si="220"/>
        <v>Yes</v>
      </c>
      <c r="AF715" s="127"/>
      <c r="AG715" s="18">
        <v>0</v>
      </c>
      <c r="AH715" s="132" t="s">
        <v>1648</v>
      </c>
      <c r="AI715" s="238">
        <v>0</v>
      </c>
      <c r="AJ715" s="132"/>
      <c r="AK715" s="151">
        <v>0</v>
      </c>
      <c r="AL715" s="154">
        <f t="shared" si="209"/>
        <v>0</v>
      </c>
      <c r="AM715" s="155"/>
      <c r="AN715" s="19">
        <f t="shared" si="210"/>
        <v>0</v>
      </c>
      <c r="AO715" s="118">
        <f>SUMIF('MPG Payment '!E:E,'Shayak Income '!D715,'MPG Payment '!AJ:AJ)</f>
        <v>0</v>
      </c>
      <c r="AP715" s="19">
        <f t="shared" si="211"/>
        <v>0</v>
      </c>
      <c r="AQ715" s="119">
        <f t="shared" si="224"/>
        <v>0</v>
      </c>
      <c r="AR715" s="91" t="s">
        <v>1168</v>
      </c>
      <c r="AS715" s="91">
        <f t="shared" si="212"/>
        <v>0</v>
      </c>
      <c r="AT715" s="118"/>
      <c r="AU715" s="118"/>
      <c r="AV715" s="118"/>
    </row>
    <row r="716" spans="1:48" s="20" customFormat="1" x14ac:dyDescent="0.25">
      <c r="A716" s="17">
        <f>IFERROR(VLOOKUP(D716,'Monthly Deduction'!$I$3:$J$957,2,0),0)</f>
        <v>73196</v>
      </c>
      <c r="B716" s="17">
        <f>IFERROR(VLOOKUP(D716,'Monthly Deduction'!$E$3:$F$957,2,0),0)</f>
        <v>0</v>
      </c>
      <c r="C716" s="17">
        <f t="shared" si="222"/>
        <v>73196</v>
      </c>
      <c r="D716" s="41">
        <v>10070053</v>
      </c>
      <c r="E716" s="122" t="str">
        <f>VLOOKUP(D716,'MPG Payment '!$E$3:$G$498218,2,0)</f>
        <v>Gomukh Saraiya</v>
      </c>
      <c r="F716" s="146">
        <f>IFERROR(_xlfn.XLOOKUP(D716,'Monthly Deduction'!$I$3:$I$957,'Monthly Deduction'!$H$3:$H$957),0)</f>
        <v>0</v>
      </c>
      <c r="G716" s="123" t="str">
        <f>VLOOKUP(D716,'MPG Payment '!$E$3:$G$334579,3,0)</f>
        <v>vlc</v>
      </c>
      <c r="H716" s="124" t="str">
        <f>VLOOKUP(D716,'MPG Payment '!$E$3:$H$334579,4,0)</f>
        <v>Direct</v>
      </c>
      <c r="I716" s="88">
        <f>INDEX('MPG Payment '!$C:$C,MATCH('Shayak Income '!D716,'MPG Payment '!E:E,0))</f>
        <v>1056</v>
      </c>
      <c r="J716" s="88" t="str">
        <f>INDEX('MPG Payment '!$D:$D,MATCH('Shayak Income '!D716,'MPG Payment '!E:E,0))</f>
        <v>Chautham</v>
      </c>
      <c r="K716" s="125" t="s">
        <v>1322</v>
      </c>
      <c r="L716" s="125">
        <v>45706</v>
      </c>
      <c r="M716" s="126">
        <f>SUMIF('MPG Payment '!$E$3:$E$34579,'Shayak Income '!D716,'MPG Payment '!$I$3:$I$34579)</f>
        <v>1134.8400000000001</v>
      </c>
      <c r="N716" s="126">
        <f>SUMIF('MPG Payment '!$E$3:$E$34579,'Shayak Income '!D716,'MPG Payment '!$J$3:$J$34579)</f>
        <v>40178.726796963601</v>
      </c>
      <c r="O716" s="126">
        <f t="shared" si="214"/>
        <v>851.13000000000011</v>
      </c>
      <c r="P716" s="126">
        <f t="shared" si="215"/>
        <v>1078.0980000000002</v>
      </c>
      <c r="Q716" s="126">
        <f>SUMIF('MPG Payment '!$E$3:$E$34579,'Shayak Income '!D716,'MPG Payment '!$S$3:$S$34579)</f>
        <v>0</v>
      </c>
      <c r="R716" s="126">
        <f t="shared" si="205"/>
        <v>1205.3618039089081</v>
      </c>
      <c r="S716" s="126">
        <f t="shared" si="206"/>
        <v>127.2638039089079</v>
      </c>
      <c r="T716" s="126">
        <f t="shared" si="216"/>
        <v>113.48400000000002</v>
      </c>
      <c r="U716" s="127">
        <f>(((IF(K716="New",0,SUMIF('MPG Payment '!$E$3:$E$34579,'Shayak Income '!D716,'MPG Payment '!$AC$3:$AC$34579))))+0)+0</f>
        <v>1180.0298901318363</v>
      </c>
      <c r="V716" s="127">
        <f t="shared" si="217"/>
        <v>636</v>
      </c>
      <c r="W716" s="19">
        <v>636</v>
      </c>
      <c r="X716" s="19">
        <v>0</v>
      </c>
      <c r="Y716" s="128">
        <f>IFERROR(VLOOKUP(D716,'Monthly Deduction'!$M$2:$N$64,2,0),0)</f>
        <v>0</v>
      </c>
      <c r="Z716" s="128">
        <v>0</v>
      </c>
      <c r="AA716" s="126">
        <f>IFERROR(VLOOKUP(D716,'Monthly Deduction'!A:B,2,0),0)</f>
        <v>0</v>
      </c>
      <c r="AB716" s="129">
        <f t="shared" si="208"/>
        <v>0</v>
      </c>
      <c r="AC716" s="130">
        <f t="shared" si="225"/>
        <v>0</v>
      </c>
      <c r="AD716" s="35">
        <f t="shared" si="223"/>
        <v>0</v>
      </c>
      <c r="AE716" s="166" t="str">
        <f t="shared" si="220"/>
        <v>Release</v>
      </c>
      <c r="AF716" s="127"/>
      <c r="AG716" s="18">
        <v>0</v>
      </c>
      <c r="AH716" s="120" t="s">
        <v>1646</v>
      </c>
      <c r="AI716" s="238">
        <v>10000</v>
      </c>
      <c r="AJ716" s="132"/>
      <c r="AK716" s="151">
        <v>266.45999999999998</v>
      </c>
      <c r="AL716" s="154">
        <f t="shared" si="209"/>
        <v>0</v>
      </c>
      <c r="AM716" s="155"/>
      <c r="AN716" s="19">
        <f t="shared" si="210"/>
        <v>1861</v>
      </c>
      <c r="AO716" s="118">
        <f>SUMIF('MPG Payment '!E:E,'Shayak Income '!D716,'MPG Payment '!AJ:AJ)</f>
        <v>0</v>
      </c>
      <c r="AP716" s="19">
        <f t="shared" si="211"/>
        <v>636</v>
      </c>
      <c r="AQ716" s="119">
        <f t="shared" si="224"/>
        <v>636</v>
      </c>
      <c r="AR716" s="91" t="s">
        <v>1168</v>
      </c>
      <c r="AS716" s="91">
        <f t="shared" si="212"/>
        <v>0</v>
      </c>
      <c r="AT716" s="118"/>
      <c r="AU716" s="118"/>
      <c r="AV716" s="118"/>
    </row>
    <row r="717" spans="1:48" s="20" customFormat="1" x14ac:dyDescent="0.25">
      <c r="A717" s="17">
        <f>IFERROR(VLOOKUP(D717,'Monthly Deduction'!$I$3:$J$957,2,0),0)</f>
        <v>0</v>
      </c>
      <c r="B717" s="17">
        <f>IFERROR(VLOOKUP(D717,'Monthly Deduction'!$E$3:$F$957,2,0),0)</f>
        <v>0</v>
      </c>
      <c r="C717" s="17">
        <f t="shared" si="222"/>
        <v>0</v>
      </c>
      <c r="D717" s="41">
        <v>10110178</v>
      </c>
      <c r="E717" s="122" t="str">
        <f>VLOOKUP(D717,'MPG Payment '!$E$3:$G$498218,2,0)</f>
        <v>Pachveer</v>
      </c>
      <c r="F717" s="146">
        <f>IFERROR(_xlfn.XLOOKUP(D717,'Monthly Deduction'!$I$3:$I$957,'Monthly Deduction'!$H$3:$H$957),0)</f>
        <v>0</v>
      </c>
      <c r="G717" s="123" t="str">
        <f>VLOOKUP(D717,'MPG Payment '!$E$3:$G$334579,3,0)</f>
        <v>vlc</v>
      </c>
      <c r="H717" s="124" t="str">
        <f>VLOOKUP(D717,'MPG Payment '!$E$3:$H$334579,4,0)</f>
        <v>Indirect</v>
      </c>
      <c r="I717" s="88">
        <f>INDEX('MPG Payment '!$C:$C,MATCH('Shayak Income '!D717,'MPG Payment '!E:E,0))</f>
        <v>1011</v>
      </c>
      <c r="J717" s="88" t="str">
        <f>INDEX('MPG Payment '!$D:$D,MATCH('Shayak Income '!D717,'MPG Payment '!E:E,0))</f>
        <v>Sahibpur Kamal</v>
      </c>
      <c r="K717" s="125" t="s">
        <v>1322</v>
      </c>
      <c r="L717" s="125">
        <v>46015</v>
      </c>
      <c r="M717" s="126">
        <f>SUMIF('MPG Payment '!$E$3:$E$34579,'Shayak Income '!D717,'MPG Payment '!$I$3:$I$34579)</f>
        <v>38831.199999999997</v>
      </c>
      <c r="N717" s="126">
        <f>SUMIF('MPG Payment '!$E$3:$E$34579,'Shayak Income '!D717,'MPG Payment '!$J$3:$J$34579)</f>
        <v>1462258.4821603261</v>
      </c>
      <c r="O717" s="126">
        <f t="shared" si="214"/>
        <v>29123.399999999998</v>
      </c>
      <c r="P717" s="126">
        <f t="shared" si="215"/>
        <v>36889.639999999992</v>
      </c>
      <c r="Q717" s="126">
        <f>SUMIF('MPG Payment '!$E$3:$E$34579,'Shayak Income '!D717,'MPG Payment '!$S$3:$S$34579)</f>
        <v>0</v>
      </c>
      <c r="R717" s="126">
        <f t="shared" si="205"/>
        <v>43867.754464809783</v>
      </c>
      <c r="S717" s="126">
        <f t="shared" si="206"/>
        <v>6978.1144648097907</v>
      </c>
      <c r="T717" s="126">
        <f t="shared" si="216"/>
        <v>3883.12</v>
      </c>
      <c r="U717" s="127">
        <f>(((IF(K717="New",0,SUMIF('MPG Payment '!$E$3:$E$34579,'Shayak Income '!D717,'MPG Payment '!$AC$3:$AC$34579))))+0)+0</f>
        <v>0</v>
      </c>
      <c r="V717" s="127">
        <f t="shared" si="217"/>
        <v>62130</v>
      </c>
      <c r="W717" s="19">
        <f t="shared" si="226"/>
        <v>0</v>
      </c>
      <c r="X717" s="19">
        <f t="shared" si="207"/>
        <v>0</v>
      </c>
      <c r="Y717" s="128">
        <f>IFERROR(VLOOKUP(D717,'Monthly Deduction'!$M$2:$N$64,2,0),0)</f>
        <v>0</v>
      </c>
      <c r="Z717" s="128">
        <v>0</v>
      </c>
      <c r="AA717" s="126">
        <f>IFERROR(VLOOKUP(D717,'Monthly Deduction'!A:B,2,0),0)</f>
        <v>0</v>
      </c>
      <c r="AB717" s="129">
        <f t="shared" si="208"/>
        <v>62130</v>
      </c>
      <c r="AC717" s="130">
        <v>0</v>
      </c>
      <c r="AD717" s="35">
        <f t="shared" si="223"/>
        <v>62130</v>
      </c>
      <c r="AE717" s="166" t="str">
        <f t="shared" si="220"/>
        <v>Release</v>
      </c>
      <c r="AF717" s="127"/>
      <c r="AG717" s="18">
        <v>0</v>
      </c>
      <c r="AH717" s="132"/>
      <c r="AI717" s="238">
        <v>0</v>
      </c>
      <c r="AJ717" s="132"/>
      <c r="AK717" s="151">
        <v>8291.7000000000007</v>
      </c>
      <c r="AL717" s="154">
        <f t="shared" si="209"/>
        <v>0</v>
      </c>
      <c r="AM717" s="155"/>
      <c r="AN717" s="19">
        <f t="shared" si="210"/>
        <v>0</v>
      </c>
      <c r="AO717" s="118">
        <f>SUMIF('MPG Payment '!E:E,'Shayak Income '!D717,'MPG Payment '!AJ:AJ)</f>
        <v>0</v>
      </c>
      <c r="AP717" s="19">
        <f t="shared" si="211"/>
        <v>0</v>
      </c>
      <c r="AQ717" s="119">
        <f t="shared" si="224"/>
        <v>0</v>
      </c>
      <c r="AR717" s="91"/>
      <c r="AS717" s="91">
        <f t="shared" si="212"/>
        <v>0</v>
      </c>
      <c r="AT717" s="118"/>
      <c r="AU717" s="118"/>
      <c r="AV717" s="118"/>
    </row>
    <row r="718" spans="1:48" s="20" customFormat="1" x14ac:dyDescent="0.25">
      <c r="A718" s="17">
        <f>IFERROR(VLOOKUP(D718,'Monthly Deduction'!$I$3:$J$957,2,0),0)</f>
        <v>0</v>
      </c>
      <c r="B718" s="17">
        <f>IFERROR(VLOOKUP(D718,'Monthly Deduction'!$E$3:$F$957,2,0),0)</f>
        <v>0</v>
      </c>
      <c r="C718" s="17">
        <f t="shared" si="222"/>
        <v>0</v>
      </c>
      <c r="D718" s="41">
        <v>10130113</v>
      </c>
      <c r="E718" s="122" t="str">
        <f>VLOOKUP(D718,'MPG Payment '!$E$3:$G$498218,2,0)</f>
        <v>GOMUKH Laguniya</v>
      </c>
      <c r="F718" s="146">
        <f>IFERROR(_xlfn.XLOOKUP(D718,'Monthly Deduction'!$I$3:$I$957,'Monthly Deduction'!$H$3:$H$957),0)</f>
        <v>0</v>
      </c>
      <c r="G718" s="123" t="str">
        <f>VLOOKUP(D718,'MPG Payment '!$E$3:$G$334579,3,0)</f>
        <v>vlc</v>
      </c>
      <c r="H718" s="124" t="str">
        <f>VLOOKUP(D718,'MPG Payment '!$E$3:$H$334579,4,0)</f>
        <v>Indirect</v>
      </c>
      <c r="I718" s="88">
        <f>INDEX('MPG Payment '!$C:$C,MATCH('Shayak Income '!D718,'MPG Payment '!E:E,0))</f>
        <v>1013</v>
      </c>
      <c r="J718" s="88" t="str">
        <f>INDEX('MPG Payment '!$D:$D,MATCH('Shayak Income '!D718,'MPG Payment '!E:E,0))</f>
        <v>Musrigharari</v>
      </c>
      <c r="K718" s="125" t="s">
        <v>1322</v>
      </c>
      <c r="L718" s="125">
        <v>46011</v>
      </c>
      <c r="M718" s="126">
        <f>SUMIF('MPG Payment '!$E$3:$E$34579,'Shayak Income '!D718,'MPG Payment '!$I$3:$I$34579)</f>
        <v>850.3</v>
      </c>
      <c r="N718" s="126">
        <f>SUMIF('MPG Payment '!$E$3:$E$34579,'Shayak Income '!D718,'MPG Payment '!$J$3:$J$34579)</f>
        <v>29987.195514539999</v>
      </c>
      <c r="O718" s="126">
        <f t="shared" si="214"/>
        <v>637.72499999999991</v>
      </c>
      <c r="P718" s="126">
        <f t="shared" si="215"/>
        <v>807.78499999999997</v>
      </c>
      <c r="Q718" s="126">
        <f>SUMIF('MPG Payment '!$E$3:$E$34579,'Shayak Income '!D718,'MPG Payment '!$S$3:$S$34579)</f>
        <v>0</v>
      </c>
      <c r="R718" s="126">
        <f t="shared" si="205"/>
        <v>899.6158654361999</v>
      </c>
      <c r="S718" s="126">
        <f t="shared" si="206"/>
        <v>91.830865436199929</v>
      </c>
      <c r="T718" s="126">
        <f t="shared" si="216"/>
        <v>85.03</v>
      </c>
      <c r="U718" s="127">
        <f>(((IF(K718="New",0,SUMIF('MPG Payment '!$E$3:$E$34579,'Shayak Income '!D718,'MPG Payment '!$AC$3:$AC$34579))))+0)+0</f>
        <v>844.25366814040137</v>
      </c>
      <c r="V718" s="127">
        <f t="shared" si="217"/>
        <v>516</v>
      </c>
      <c r="W718" s="19">
        <f t="shared" si="226"/>
        <v>0</v>
      </c>
      <c r="X718" s="19">
        <f t="shared" si="207"/>
        <v>0</v>
      </c>
      <c r="Y718" s="128">
        <f>IFERROR(VLOOKUP(D718,'Monthly Deduction'!$M$2:$N$64,2,0),0)</f>
        <v>0</v>
      </c>
      <c r="Z718" s="128">
        <v>0</v>
      </c>
      <c r="AA718" s="126">
        <f>IFERROR(VLOOKUP(D718,'Monthly Deduction'!A:B,2,0),0)</f>
        <v>0</v>
      </c>
      <c r="AB718" s="129">
        <f t="shared" si="208"/>
        <v>516</v>
      </c>
      <c r="AC718" s="130">
        <v>0</v>
      </c>
      <c r="AD718" s="35">
        <f t="shared" si="223"/>
        <v>516</v>
      </c>
      <c r="AE718" s="166" t="str">
        <f t="shared" si="220"/>
        <v>Release</v>
      </c>
      <c r="AF718" s="127"/>
      <c r="AG718" s="18">
        <v>0</v>
      </c>
      <c r="AH718" s="132"/>
      <c r="AI718" s="238">
        <v>0</v>
      </c>
      <c r="AJ718" s="132"/>
      <c r="AK718" s="151">
        <v>441.1</v>
      </c>
      <c r="AL718" s="154">
        <f t="shared" si="209"/>
        <v>0</v>
      </c>
      <c r="AM718" s="155"/>
      <c r="AN718" s="19">
        <f t="shared" si="210"/>
        <v>0</v>
      </c>
      <c r="AO718" s="118">
        <f>SUMIF('MPG Payment '!E:E,'Shayak Income '!D718,'MPG Payment '!AJ:AJ)</f>
        <v>0</v>
      </c>
      <c r="AP718" s="19">
        <f t="shared" si="211"/>
        <v>0</v>
      </c>
      <c r="AQ718" s="119">
        <f t="shared" si="224"/>
        <v>0</v>
      </c>
      <c r="AR718" s="91" t="s">
        <v>1168</v>
      </c>
      <c r="AS718" s="91">
        <f t="shared" si="212"/>
        <v>0</v>
      </c>
      <c r="AT718" s="118"/>
      <c r="AU718" s="118"/>
      <c r="AV718" s="118"/>
    </row>
    <row r="719" spans="1:48" s="20" customFormat="1" x14ac:dyDescent="0.25">
      <c r="A719" s="17">
        <f>IFERROR(VLOOKUP(D719,'Monthly Deduction'!$I$3:$J$957,2,0),0)</f>
        <v>0</v>
      </c>
      <c r="B719" s="17">
        <f>IFERROR(VLOOKUP(D719,'Monthly Deduction'!$E$3:$F$957,2,0),0)</f>
        <v>0</v>
      </c>
      <c r="C719" s="17">
        <f t="shared" si="222"/>
        <v>0</v>
      </c>
      <c r="D719" s="41">
        <v>10140196</v>
      </c>
      <c r="E719" s="122" t="str">
        <f>VLOOKUP(D719,'MPG Payment '!$E$3:$G$498218,2,0)</f>
        <v>Gomukh Daunpura Manendra</v>
      </c>
      <c r="F719" s="146">
        <f>IFERROR(_xlfn.XLOOKUP(D719,'Monthly Deduction'!$I$3:$I$957,'Monthly Deduction'!$H$3:$H$957),0)</f>
        <v>0</v>
      </c>
      <c r="G719" s="123" t="str">
        <f>VLOOKUP(D719,'MPG Payment '!$E$3:$G$334579,3,0)</f>
        <v>vlc</v>
      </c>
      <c r="H719" s="124" t="str">
        <f>VLOOKUP(D719,'MPG Payment '!$E$3:$H$334579,4,0)</f>
        <v>Indirect</v>
      </c>
      <c r="I719" s="88">
        <f>INDEX('MPG Payment '!$C:$C,MATCH('Shayak Income '!D719,'MPG Payment '!E:E,0))</f>
        <v>1014</v>
      </c>
      <c r="J719" s="88" t="str">
        <f>INDEX('MPG Payment '!$D:$D,MATCH('Shayak Income '!D719,'MPG Payment '!E:E,0))</f>
        <v>Dumraon</v>
      </c>
      <c r="K719" s="125" t="s">
        <v>1322</v>
      </c>
      <c r="L719" s="125">
        <v>46010</v>
      </c>
      <c r="M719" s="126">
        <f>SUMIF('MPG Payment '!$E$3:$E$34579,'Shayak Income '!D719,'MPG Payment '!$I$3:$I$34579)</f>
        <v>1028.0999999999999</v>
      </c>
      <c r="N719" s="126">
        <f>SUMIF('MPG Payment '!$E$3:$E$34579,'Shayak Income '!D719,'MPG Payment '!$J$3:$J$34579)</f>
        <v>38849.10064027</v>
      </c>
      <c r="O719" s="126">
        <f t="shared" si="214"/>
        <v>771.07499999999993</v>
      </c>
      <c r="P719" s="126">
        <f t="shared" si="215"/>
        <v>976.69499999999982</v>
      </c>
      <c r="Q719" s="126">
        <f>SUMIF('MPG Payment '!$E$3:$E$34579,'Shayak Income '!D719,'MPG Payment '!$S$3:$S$34579)</f>
        <v>0</v>
      </c>
      <c r="R719" s="126">
        <f t="shared" si="205"/>
        <v>1165.4730192080999</v>
      </c>
      <c r="S719" s="126">
        <f t="shared" si="206"/>
        <v>188.77801920810009</v>
      </c>
      <c r="T719" s="126">
        <f t="shared" si="216"/>
        <v>102.81</v>
      </c>
      <c r="U719" s="127">
        <f>(((IF(K719="New",0,SUMIF('MPG Payment '!$E$3:$E$34579,'Shayak Income '!D719,'MPG Payment '!$AC$3:$AC$34579))))+0)+0</f>
        <v>1338.8688828090346</v>
      </c>
      <c r="V719" s="127">
        <f t="shared" si="217"/>
        <v>306</v>
      </c>
      <c r="W719" s="19">
        <f t="shared" si="226"/>
        <v>0</v>
      </c>
      <c r="X719" s="19">
        <f t="shared" si="207"/>
        <v>0</v>
      </c>
      <c r="Y719" s="128">
        <f>IFERROR(VLOOKUP(D719,'Monthly Deduction'!$M$2:$N$64,2,0),0)</f>
        <v>0</v>
      </c>
      <c r="Z719" s="128">
        <v>0</v>
      </c>
      <c r="AA719" s="126">
        <f>IFERROR(VLOOKUP(D719,'Monthly Deduction'!A:B,2,0),0)</f>
        <v>0</v>
      </c>
      <c r="AB719" s="129">
        <f t="shared" si="208"/>
        <v>306</v>
      </c>
      <c r="AC719" s="130">
        <v>0</v>
      </c>
      <c r="AD719" s="35">
        <f t="shared" si="223"/>
        <v>306</v>
      </c>
      <c r="AE719" s="166" t="str">
        <f t="shared" si="220"/>
        <v>Release</v>
      </c>
      <c r="AF719" s="127"/>
      <c r="AG719" s="18">
        <v>0</v>
      </c>
      <c r="AH719" s="120"/>
      <c r="AI719" s="238">
        <v>0</v>
      </c>
      <c r="AJ719" s="132"/>
      <c r="AK719" s="151">
        <v>414.40000000000003</v>
      </c>
      <c r="AL719" s="154">
        <f t="shared" si="209"/>
        <v>0</v>
      </c>
      <c r="AM719" s="155"/>
      <c r="AN719" s="19">
        <f t="shared" si="210"/>
        <v>0</v>
      </c>
      <c r="AO719" s="118">
        <f>SUMIF('MPG Payment '!E:E,'Shayak Income '!D719,'MPG Payment '!AJ:AJ)</f>
        <v>0</v>
      </c>
      <c r="AP719" s="19">
        <f t="shared" si="211"/>
        <v>0</v>
      </c>
      <c r="AQ719" s="119">
        <f t="shared" si="224"/>
        <v>0</v>
      </c>
      <c r="AR719" s="91" t="s">
        <v>1168</v>
      </c>
      <c r="AS719" s="91">
        <f t="shared" si="212"/>
        <v>0</v>
      </c>
      <c r="AT719" s="118"/>
      <c r="AU719" s="118"/>
      <c r="AV719" s="118"/>
    </row>
    <row r="720" spans="1:48" s="20" customFormat="1" x14ac:dyDescent="0.25">
      <c r="A720" s="17">
        <f>IFERROR(VLOOKUP(D720,'Monthly Deduction'!$I$3:$J$957,2,0),0)</f>
        <v>0</v>
      </c>
      <c r="B720" s="17">
        <f>IFERROR(VLOOKUP(D720,'Monthly Deduction'!$E$3:$F$957,2,0),0)</f>
        <v>0</v>
      </c>
      <c r="C720" s="17">
        <f t="shared" si="222"/>
        <v>0</v>
      </c>
      <c r="D720" s="41">
        <v>10530077</v>
      </c>
      <c r="E720" s="122" t="str">
        <f>VLOOKUP(D720,'MPG Payment '!$E$3:$G$498218,2,0)</f>
        <v>Gomukh Namapur East (08)</v>
      </c>
      <c r="F720" s="146">
        <f>IFERROR(_xlfn.XLOOKUP(D720,'Monthly Deduction'!$I$3:$I$957,'Monthly Deduction'!$H$3:$H$957),0)</f>
        <v>0</v>
      </c>
      <c r="G720" s="123" t="str">
        <f>VLOOKUP(D720,'MPG Payment '!$E$3:$G$334579,3,0)</f>
        <v>vlc</v>
      </c>
      <c r="H720" s="124" t="str">
        <f>VLOOKUP(D720,'MPG Payment '!$E$3:$H$334579,4,0)</f>
        <v>Indirect</v>
      </c>
      <c r="I720" s="88">
        <f>INDEX('MPG Payment '!$C:$C,MATCH('Shayak Income '!D720,'MPG Payment '!E:E,0))</f>
        <v>1053</v>
      </c>
      <c r="J720" s="88" t="str">
        <f>INDEX('MPG Payment '!$D:$D,MATCH('Shayak Income '!D720,'MPG Payment '!E:E,0))</f>
        <v>Kalyanpur</v>
      </c>
      <c r="K720" s="125" t="s">
        <v>1322</v>
      </c>
      <c r="L720" s="125">
        <v>46012</v>
      </c>
      <c r="M720" s="126">
        <f>SUMIF('MPG Payment '!$E$3:$E$34579,'Shayak Income '!D720,'MPG Payment '!$I$3:$I$34579)</f>
        <v>1843.3</v>
      </c>
      <c r="N720" s="126">
        <f>SUMIF('MPG Payment '!$E$3:$E$34579,'Shayak Income '!D720,'MPG Payment '!$J$3:$J$34579)</f>
        <v>66800.350437550005</v>
      </c>
      <c r="O720" s="126">
        <f t="shared" si="214"/>
        <v>1382.4749999999999</v>
      </c>
      <c r="P720" s="126">
        <f t="shared" si="215"/>
        <v>1751.1349999999998</v>
      </c>
      <c r="Q720" s="126">
        <f>SUMIF('MPG Payment '!$E$3:$E$34579,'Shayak Income '!D720,'MPG Payment '!$S$3:$S$34579)</f>
        <v>0</v>
      </c>
      <c r="R720" s="126">
        <f t="shared" si="205"/>
        <v>2004.0105131265</v>
      </c>
      <c r="S720" s="126">
        <f t="shared" si="206"/>
        <v>252.87551312650021</v>
      </c>
      <c r="T720" s="126">
        <f t="shared" si="216"/>
        <v>184.33</v>
      </c>
      <c r="U720" s="127">
        <f>(((IF(K720="New",0,SUMIF('MPG Payment '!$E$3:$E$34579,'Shayak Income '!D720,'MPG Payment '!$AC$3:$AC$34579))))+0)+0</f>
        <v>695.07715586190216</v>
      </c>
      <c r="V720" s="127">
        <f t="shared" si="217"/>
        <v>2254</v>
      </c>
      <c r="W720" s="19">
        <f t="shared" si="226"/>
        <v>0</v>
      </c>
      <c r="X720" s="19">
        <f t="shared" si="207"/>
        <v>0</v>
      </c>
      <c r="Y720" s="128">
        <f>IFERROR(VLOOKUP(D720,'Monthly Deduction'!$M$2:$N$64,2,0),0)</f>
        <v>0</v>
      </c>
      <c r="Z720" s="128">
        <v>0</v>
      </c>
      <c r="AA720" s="126">
        <f>IFERROR(VLOOKUP(D720,'Monthly Deduction'!A:B,2,0),0)</f>
        <v>0</v>
      </c>
      <c r="AB720" s="129">
        <f t="shared" si="208"/>
        <v>2254</v>
      </c>
      <c r="AC720" s="130">
        <v>0</v>
      </c>
      <c r="AD720" s="35">
        <f t="shared" si="223"/>
        <v>2254</v>
      </c>
      <c r="AE720" s="166" t="str">
        <f t="shared" si="220"/>
        <v>Release</v>
      </c>
      <c r="AF720" s="127"/>
      <c r="AG720" s="18">
        <v>0</v>
      </c>
      <c r="AH720" s="132"/>
      <c r="AI720" s="238">
        <v>0</v>
      </c>
      <c r="AJ720" s="132"/>
      <c r="AK720" s="151">
        <v>631.6</v>
      </c>
      <c r="AL720" s="154">
        <f t="shared" si="209"/>
        <v>0</v>
      </c>
      <c r="AM720" s="155"/>
      <c r="AN720" s="19">
        <f t="shared" si="210"/>
        <v>0</v>
      </c>
      <c r="AO720" s="118">
        <f>SUMIF('MPG Payment '!E:E,'Shayak Income '!D720,'MPG Payment '!AJ:AJ)</f>
        <v>0</v>
      </c>
      <c r="AP720" s="19">
        <f t="shared" si="211"/>
        <v>0</v>
      </c>
      <c r="AQ720" s="119">
        <f t="shared" si="224"/>
        <v>0</v>
      </c>
      <c r="AR720" s="91"/>
      <c r="AS720" s="91">
        <f t="shared" si="212"/>
        <v>0</v>
      </c>
      <c r="AT720" s="118"/>
      <c r="AU720" s="118"/>
      <c r="AV720" s="118"/>
    </row>
    <row r="721" spans="1:48" s="20" customFormat="1" x14ac:dyDescent="0.25">
      <c r="A721" s="17">
        <f>IFERROR(VLOOKUP(D721,'Monthly Deduction'!$I$3:$J$957,2,0),0)</f>
        <v>0</v>
      </c>
      <c r="B721" s="17">
        <f>IFERROR(VLOOKUP(D721,'Monthly Deduction'!$E$3:$F$957,2,0),0)</f>
        <v>0</v>
      </c>
      <c r="C721" s="17">
        <f t="shared" si="222"/>
        <v>0</v>
      </c>
      <c r="D721" s="41">
        <v>10060125</v>
      </c>
      <c r="E721" s="122" t="str">
        <f>VLOOKUP(D721,'MPG Payment '!$E$3:$G$498218,2,0)</f>
        <v>GOMUKH OJONTOLA</v>
      </c>
      <c r="F721" s="146">
        <f>IFERROR(_xlfn.XLOOKUP(D721,'Monthly Deduction'!$I$3:$I$957,'Monthly Deduction'!$H$3:$H$957),0)</f>
        <v>0</v>
      </c>
      <c r="G721" s="123" t="str">
        <f>VLOOKUP(D721,'MPG Payment '!$E$3:$G$334579,3,0)</f>
        <v>vlc</v>
      </c>
      <c r="H721" s="124" t="str">
        <f>VLOOKUP(D721,'MPG Payment '!$E$3:$H$334579,4,0)</f>
        <v>Indirect</v>
      </c>
      <c r="I721" s="88">
        <f>INDEX('MPG Payment '!$C:$C,MATCH('Shayak Income '!D721,'MPG Payment '!E:E,0))</f>
        <v>1006</v>
      </c>
      <c r="J721" s="88" t="str">
        <f>INDEX('MPG Payment '!$D:$D,MATCH('Shayak Income '!D721,'MPG Payment '!E:E,0))</f>
        <v>Sonvarsha</v>
      </c>
      <c r="K721" s="125" t="s">
        <v>1322</v>
      </c>
      <c r="L721" s="125">
        <v>46021</v>
      </c>
      <c r="M721" s="126">
        <f>SUMIF('MPG Payment '!$E$3:$E$34579,'Shayak Income '!D721,'MPG Payment '!$I$3:$I$34579)</f>
        <v>531.00000000000011</v>
      </c>
      <c r="N721" s="126">
        <f>SUMIF('MPG Payment '!$E$3:$E$34579,'Shayak Income '!D721,'MPG Payment '!$J$3:$J$34579)</f>
        <v>23785.200444398004</v>
      </c>
      <c r="O721" s="126">
        <f t="shared" si="214"/>
        <v>398.25000000000011</v>
      </c>
      <c r="P721" s="126">
        <f t="shared" si="215"/>
        <v>504.4500000000001</v>
      </c>
      <c r="Q721" s="126">
        <f>SUMIF('MPG Payment '!$E$3:$E$34579,'Shayak Income '!D721,'MPG Payment '!$S$3:$S$34579)</f>
        <v>0</v>
      </c>
      <c r="R721" s="126">
        <f t="shared" si="205"/>
        <v>713.55601333194011</v>
      </c>
      <c r="S721" s="126">
        <f t="shared" si="206"/>
        <v>209.10601333194001</v>
      </c>
      <c r="T721" s="126">
        <f t="shared" si="216"/>
        <v>53.100000000000016</v>
      </c>
      <c r="U721" s="127">
        <f>(((IF(K721="New",0,SUMIF('MPG Payment '!$E$3:$E$34579,'Shayak Income '!D721,'MPG Payment '!$AC$3:$AC$34579))))+0)+-1188</f>
        <v>849.9911193270741</v>
      </c>
      <c r="V721" s="127">
        <f t="shared" si="217"/>
        <v>0</v>
      </c>
      <c r="W721" s="19">
        <v>0</v>
      </c>
      <c r="X721" s="19">
        <v>0</v>
      </c>
      <c r="Y721" s="128">
        <f>IFERROR(VLOOKUP(D721,'Monthly Deduction'!$M$2:$N$64,2,0),0)</f>
        <v>0</v>
      </c>
      <c r="Z721" s="128">
        <v>0</v>
      </c>
      <c r="AA721" s="126">
        <f>IFERROR(VLOOKUP(D721,'Monthly Deduction'!A:B,2,0),0)</f>
        <v>0</v>
      </c>
      <c r="AB721" s="129">
        <f t="shared" si="208"/>
        <v>0</v>
      </c>
      <c r="AC721" s="130">
        <v>0</v>
      </c>
      <c r="AD721" s="35">
        <f t="shared" si="223"/>
        <v>0</v>
      </c>
      <c r="AE721" s="166" t="str">
        <f t="shared" si="220"/>
        <v>Release</v>
      </c>
      <c r="AF721" s="127"/>
      <c r="AG721" s="18">
        <v>0</v>
      </c>
      <c r="AH721" s="120"/>
      <c r="AI721" s="238">
        <v>0</v>
      </c>
      <c r="AJ721" s="132"/>
      <c r="AK721" s="151">
        <v>119.29999999999998</v>
      </c>
      <c r="AL721" s="154">
        <f t="shared" si="209"/>
        <v>0</v>
      </c>
      <c r="AM721" s="155"/>
      <c r="AN721" s="19">
        <f t="shared" si="210"/>
        <v>0</v>
      </c>
      <c r="AO721" s="118">
        <f>SUMIF('MPG Payment '!E:E,'Shayak Income '!D721,'MPG Payment '!AJ:AJ)</f>
        <v>0</v>
      </c>
      <c r="AP721" s="19">
        <f t="shared" si="211"/>
        <v>0</v>
      </c>
      <c r="AQ721" s="119">
        <f t="shared" si="224"/>
        <v>0</v>
      </c>
      <c r="AR721" s="91"/>
      <c r="AS721" s="91">
        <f t="shared" si="212"/>
        <v>0</v>
      </c>
      <c r="AT721" s="118"/>
      <c r="AU721" s="118"/>
      <c r="AV721" s="118"/>
    </row>
    <row r="722" spans="1:48" s="20" customFormat="1" x14ac:dyDescent="0.25">
      <c r="A722" s="17">
        <f>IFERROR(VLOOKUP(D722,'Monthly Deduction'!$I$3:$J$957,2,0),0)</f>
        <v>66395</v>
      </c>
      <c r="B722" s="17">
        <f>IFERROR(VLOOKUP(D722,'Monthly Deduction'!$E$3:$F$957,2,0),0)</f>
        <v>0</v>
      </c>
      <c r="C722" s="17">
        <f t="shared" si="222"/>
        <v>66395</v>
      </c>
      <c r="D722" s="41">
        <v>10060126</v>
      </c>
      <c r="E722" s="122" t="str">
        <f>VLOOKUP(D722,'MPG Payment '!$E$3:$G$498218,2,0)</f>
        <v>KHUDDIBAN SHIVNAGAR</v>
      </c>
      <c r="F722" s="146">
        <f>IFERROR(_xlfn.XLOOKUP(D722,'Monthly Deduction'!$I$3:$I$957,'Monthly Deduction'!$H$3:$H$957),0)</f>
        <v>0</v>
      </c>
      <c r="G722" s="123" t="str">
        <f>VLOOKUP(D722,'MPG Payment '!$E$3:$G$334579,3,0)</f>
        <v>MPG</v>
      </c>
      <c r="H722" s="124" t="str">
        <f>VLOOKUP(D722,'MPG Payment '!$E$3:$H$334579,4,0)</f>
        <v>Direct</v>
      </c>
      <c r="I722" s="88">
        <f>INDEX('MPG Payment '!$C:$C,MATCH('Shayak Income '!D722,'MPG Payment '!E:E,0))</f>
        <v>1006</v>
      </c>
      <c r="J722" s="88" t="str">
        <f>INDEX('MPG Payment '!$D:$D,MATCH('Shayak Income '!D722,'MPG Payment '!E:E,0))</f>
        <v>Sonvarsha</v>
      </c>
      <c r="K722" s="125" t="s">
        <v>1322</v>
      </c>
      <c r="L722" s="125">
        <v>46021</v>
      </c>
      <c r="M722" s="126">
        <f>SUMIF('MPG Payment '!$E$3:$E$34579,'Shayak Income '!D722,'MPG Payment '!$I$3:$I$34579)</f>
        <v>2530</v>
      </c>
      <c r="N722" s="126">
        <f>SUMIF('MPG Payment '!$E$3:$E$34579,'Shayak Income '!D722,'MPG Payment '!$J$3:$J$34579)</f>
        <v>83116.406351485508</v>
      </c>
      <c r="O722" s="126">
        <f t="shared" si="214"/>
        <v>1897.5</v>
      </c>
      <c r="P722" s="126">
        <f t="shared" si="215"/>
        <v>2403.5</v>
      </c>
      <c r="Q722" s="126">
        <f>SUMIF('MPG Payment '!$E$3:$E$34579,'Shayak Income '!D722,'MPG Payment '!$S$3:$S$34579)</f>
        <v>0</v>
      </c>
      <c r="R722" s="126">
        <f t="shared" si="205"/>
        <v>2493.4921905445653</v>
      </c>
      <c r="S722" s="126">
        <f t="shared" si="206"/>
        <v>89.992190544565346</v>
      </c>
      <c r="T722" s="126">
        <f t="shared" si="216"/>
        <v>253</v>
      </c>
      <c r="U722" s="127">
        <f>(((IF(K722="New",0,SUMIF('MPG Payment '!$E$3:$E$34579,'Shayak Income '!D722,'MPG Payment '!$AC$3:$AC$34579))))+0)+0</f>
        <v>724.15551610412581</v>
      </c>
      <c r="V722" s="127">
        <f t="shared" si="217"/>
        <v>3324</v>
      </c>
      <c r="W722" s="19">
        <f t="shared" si="226"/>
        <v>1861</v>
      </c>
      <c r="X722" s="19">
        <v>0</v>
      </c>
      <c r="Y722" s="128">
        <f>IFERROR(VLOOKUP(D722,'Monthly Deduction'!$M$2:$N$64,2,0),0)</f>
        <v>0</v>
      </c>
      <c r="Z722" s="128">
        <v>0</v>
      </c>
      <c r="AA722" s="126">
        <f>IFERROR(VLOOKUP(D722,'Monthly Deduction'!A:B,2,0),0)</f>
        <v>0</v>
      </c>
      <c r="AB722" s="129">
        <f t="shared" si="208"/>
        <v>1463</v>
      </c>
      <c r="AC722" s="130">
        <f t="shared" ref="AC722:AC723" si="227">AB722</f>
        <v>1463</v>
      </c>
      <c r="AD722" s="35">
        <f t="shared" si="223"/>
        <v>0</v>
      </c>
      <c r="AE722" s="166" t="str">
        <f t="shared" si="220"/>
        <v>Yes</v>
      </c>
      <c r="AF722" s="127"/>
      <c r="AG722" s="18">
        <v>0</v>
      </c>
      <c r="AH722" s="120" t="s">
        <v>1646</v>
      </c>
      <c r="AI722" s="238">
        <v>4845</v>
      </c>
      <c r="AJ722" s="132"/>
      <c r="AK722" s="151">
        <v>859.50000000000011</v>
      </c>
      <c r="AL722" s="154">
        <f t="shared" si="209"/>
        <v>0</v>
      </c>
      <c r="AM722" s="155"/>
      <c r="AN722" s="19">
        <f t="shared" si="210"/>
        <v>1861</v>
      </c>
      <c r="AO722" s="118">
        <f>SUMIF('MPG Payment '!E:E,'Shayak Income '!D722,'MPG Payment '!AJ:AJ)</f>
        <v>0</v>
      </c>
      <c r="AP722" s="19">
        <f t="shared" si="211"/>
        <v>1861</v>
      </c>
      <c r="AQ722" s="119">
        <f t="shared" si="224"/>
        <v>1861</v>
      </c>
      <c r="AR722" s="91"/>
      <c r="AS722" s="91">
        <f t="shared" si="212"/>
        <v>0</v>
      </c>
      <c r="AT722" s="118"/>
      <c r="AU722" s="118"/>
      <c r="AV722" s="118"/>
    </row>
    <row r="723" spans="1:48" s="20" customFormat="1" x14ac:dyDescent="0.25">
      <c r="A723" s="17">
        <f>IFERROR(VLOOKUP(D723,'Monthly Deduction'!$I$3:$J$957,2,0),0)</f>
        <v>80632.724000000002</v>
      </c>
      <c r="B723" s="17">
        <f>IFERROR(VLOOKUP(D723,'Monthly Deduction'!$E$3:$F$957,2,0),0)</f>
        <v>0</v>
      </c>
      <c r="C723" s="17">
        <f t="shared" si="222"/>
        <v>80632.724000000002</v>
      </c>
      <c r="D723" s="41">
        <v>10090074</v>
      </c>
      <c r="E723" s="122" t="str">
        <f>VLOOKUP(D723,'MPG Payment '!$E$3:$G$498218,2,0)</f>
        <v>MOHADDINGAR</v>
      </c>
      <c r="F723" s="146">
        <f>IFERROR(_xlfn.XLOOKUP(D723,'Monthly Deduction'!$I$3:$I$957,'Monthly Deduction'!$H$3:$H$957),0)</f>
        <v>0</v>
      </c>
      <c r="G723" s="123" t="str">
        <f>VLOOKUP(D723,'MPG Payment '!$E$3:$G$334579,3,0)</f>
        <v>MPG</v>
      </c>
      <c r="H723" s="124" t="str">
        <f>VLOOKUP(D723,'MPG Payment '!$E$3:$H$334579,4,0)</f>
        <v>Direct</v>
      </c>
      <c r="I723" s="88">
        <f>INDEX('MPG Payment '!$C:$C,MATCH('Shayak Income '!D723,'MPG Payment '!E:E,0))</f>
        <v>1009</v>
      </c>
      <c r="J723" s="88" t="str">
        <f>INDEX('MPG Payment '!$D:$D,MATCH('Shayak Income '!D723,'MPG Payment '!E:E,0))</f>
        <v>Halsi</v>
      </c>
      <c r="K723" s="125" t="s">
        <v>1322</v>
      </c>
      <c r="L723" s="125">
        <v>46017</v>
      </c>
      <c r="M723" s="126">
        <f>SUMIF('MPG Payment '!$E$3:$E$34579,'Shayak Income '!D723,'MPG Payment '!$I$3:$I$34579)</f>
        <v>1877.8</v>
      </c>
      <c r="N723" s="126">
        <f>SUMIF('MPG Payment '!$E$3:$E$34579,'Shayak Income '!D723,'MPG Payment '!$J$3:$J$34579)</f>
        <v>74290.36613277701</v>
      </c>
      <c r="O723" s="126">
        <f t="shared" si="214"/>
        <v>1408.35</v>
      </c>
      <c r="P723" s="126">
        <f t="shared" si="215"/>
        <v>1783.9099999999999</v>
      </c>
      <c r="Q723" s="126">
        <f>SUMIF('MPG Payment '!$E$3:$E$34579,'Shayak Income '!D723,'MPG Payment '!$S$3:$S$34579)</f>
        <v>0</v>
      </c>
      <c r="R723" s="126">
        <f t="shared" si="205"/>
        <v>2228.7109839833101</v>
      </c>
      <c r="S723" s="126">
        <f t="shared" si="206"/>
        <v>444.80098398331029</v>
      </c>
      <c r="T723" s="126">
        <f t="shared" si="216"/>
        <v>187.78</v>
      </c>
      <c r="U723" s="127">
        <f>(((IF(K723="New",0,SUMIF('MPG Payment '!$E$3:$E$34579,'Shayak Income '!D723,'MPG Payment '!$AC$3:$AC$34579))))+0)+0</f>
        <v>735.02002595304987</v>
      </c>
      <c r="V723" s="127">
        <f t="shared" si="217"/>
        <v>2269</v>
      </c>
      <c r="W723" s="19">
        <f t="shared" si="226"/>
        <v>1861</v>
      </c>
      <c r="X723" s="19">
        <v>0</v>
      </c>
      <c r="Y723" s="128">
        <f>IFERROR(VLOOKUP(D723,'Monthly Deduction'!$M$2:$N$64,2,0),0)</f>
        <v>0</v>
      </c>
      <c r="Z723" s="128">
        <v>0</v>
      </c>
      <c r="AA723" s="126">
        <f>IFERROR(VLOOKUP(D723,'Monthly Deduction'!A:B,2,0),0)</f>
        <v>0</v>
      </c>
      <c r="AB723" s="129">
        <f t="shared" si="208"/>
        <v>408</v>
      </c>
      <c r="AC723" s="130">
        <f t="shared" si="227"/>
        <v>408</v>
      </c>
      <c r="AD723" s="35">
        <f t="shared" si="223"/>
        <v>0</v>
      </c>
      <c r="AE723" s="166" t="str">
        <f t="shared" si="220"/>
        <v>Yes</v>
      </c>
      <c r="AF723" s="127"/>
      <c r="AG723" s="18">
        <v>0</v>
      </c>
      <c r="AH723" s="120" t="s">
        <v>1650</v>
      </c>
      <c r="AI723" s="238">
        <v>19621</v>
      </c>
      <c r="AJ723" s="132"/>
      <c r="AK723" s="151">
        <v>371.79999999999995</v>
      </c>
      <c r="AL723" s="154">
        <f t="shared" si="209"/>
        <v>0</v>
      </c>
      <c r="AM723" s="155"/>
      <c r="AN723" s="19">
        <f t="shared" si="210"/>
        <v>1861</v>
      </c>
      <c r="AO723" s="118">
        <f>SUMIF('MPG Payment '!E:E,'Shayak Income '!D723,'MPG Payment '!AJ:AJ)</f>
        <v>0</v>
      </c>
      <c r="AP723" s="19">
        <f t="shared" si="211"/>
        <v>1861</v>
      </c>
      <c r="AQ723" s="119">
        <f t="shared" si="224"/>
        <v>1861</v>
      </c>
      <c r="AR723" s="91" t="s">
        <v>1168</v>
      </c>
      <c r="AS723" s="91">
        <f t="shared" si="212"/>
        <v>0</v>
      </c>
      <c r="AT723" s="118"/>
      <c r="AU723" s="118"/>
      <c r="AV723" s="118"/>
    </row>
    <row r="724" spans="1:48" s="20" customFormat="1" x14ac:dyDescent="0.25">
      <c r="A724" s="17">
        <f>IFERROR(VLOOKUP(D724,'Monthly Deduction'!$I$3:$J$957,2,0),0)</f>
        <v>0</v>
      </c>
      <c r="B724" s="17">
        <f>IFERROR(VLOOKUP(D724,'Monthly Deduction'!$E$3:$F$957,2,0),0)</f>
        <v>0</v>
      </c>
      <c r="C724" s="17">
        <f t="shared" si="222"/>
        <v>0</v>
      </c>
      <c r="D724" s="41">
        <v>10120119</v>
      </c>
      <c r="E724" s="122" t="str">
        <f>VLOOKUP(D724,'MPG Payment '!$E$3:$G$498218,2,0)</f>
        <v>Gomukh Simri Ward 4</v>
      </c>
      <c r="F724" s="146">
        <f>IFERROR(_xlfn.XLOOKUP(D724,'Monthly Deduction'!$I$3:$I$957,'Monthly Deduction'!$H$3:$H$957),0)</f>
        <v>0</v>
      </c>
      <c r="G724" s="123" t="str">
        <f>VLOOKUP(D724,'MPG Payment '!$E$3:$G$334579,3,0)</f>
        <v>vlc</v>
      </c>
      <c r="H724" s="124" t="str">
        <f>VLOOKUP(D724,'MPG Payment '!$E$3:$H$334579,4,0)</f>
        <v>Indirect</v>
      </c>
      <c r="I724" s="88">
        <f>INDEX('MPG Payment '!$C:$C,MATCH('Shayak Income '!D724,'MPG Payment '!E:E,0))</f>
        <v>1012</v>
      </c>
      <c r="J724" s="88" t="str">
        <f>INDEX('MPG Payment '!$D:$D,MATCH('Shayak Income '!D724,'MPG Payment '!E:E,0))</f>
        <v>DalsinghSarai</v>
      </c>
      <c r="K724" s="125" t="s">
        <v>1322</v>
      </c>
      <c r="L724" s="125">
        <v>46021</v>
      </c>
      <c r="M724" s="126">
        <f>SUMIF('MPG Payment '!$E$3:$E$34579,'Shayak Income '!D724,'MPG Payment '!$I$3:$I$34579)</f>
        <v>4140</v>
      </c>
      <c r="N724" s="126">
        <f>SUMIF('MPG Payment '!$E$3:$E$34579,'Shayak Income '!D724,'MPG Payment '!$J$3:$J$34579)</f>
        <v>158951.20388300001</v>
      </c>
      <c r="O724" s="126">
        <f t="shared" si="214"/>
        <v>3105</v>
      </c>
      <c r="P724" s="126">
        <f t="shared" si="215"/>
        <v>3933</v>
      </c>
      <c r="Q724" s="126">
        <f>SUMIF('MPG Payment '!$E$3:$E$34579,'Shayak Income '!D724,'MPG Payment '!$S$3:$S$34579)</f>
        <v>0</v>
      </c>
      <c r="R724" s="126">
        <f t="shared" si="205"/>
        <v>4768.5361164900005</v>
      </c>
      <c r="S724" s="126">
        <f t="shared" si="206"/>
        <v>835.5361164900005</v>
      </c>
      <c r="T724" s="126">
        <f t="shared" si="216"/>
        <v>414</v>
      </c>
      <c r="U724" s="127">
        <f>(((IF(K724="New",0,SUMIF('MPG Payment '!$E$3:$E$34579,'Shayak Income '!D724,'MPG Payment '!$AC$3:$AC$34579))))+0)+0</f>
        <v>227.12</v>
      </c>
      <c r="V724" s="127">
        <f t="shared" si="217"/>
        <v>6397</v>
      </c>
      <c r="W724" s="19">
        <f t="shared" si="226"/>
        <v>0</v>
      </c>
      <c r="X724" s="19">
        <f t="shared" si="207"/>
        <v>0</v>
      </c>
      <c r="Y724" s="128">
        <f>IFERROR(VLOOKUP(D724,'Monthly Deduction'!$M$2:$N$64,2,0),0)</f>
        <v>0</v>
      </c>
      <c r="Z724" s="128">
        <v>0</v>
      </c>
      <c r="AA724" s="126">
        <f>IFERROR(VLOOKUP(D724,'Monthly Deduction'!A:B,2,0),0)</f>
        <v>0</v>
      </c>
      <c r="AB724" s="129">
        <f t="shared" si="208"/>
        <v>6397</v>
      </c>
      <c r="AC724" s="130">
        <v>0</v>
      </c>
      <c r="AD724" s="35">
        <f t="shared" si="223"/>
        <v>6397</v>
      </c>
      <c r="AE724" s="166" t="str">
        <f t="shared" si="220"/>
        <v>Release</v>
      </c>
      <c r="AF724" s="127"/>
      <c r="AG724" s="18">
        <v>0</v>
      </c>
      <c r="AH724" s="132"/>
      <c r="AI724" s="238">
        <v>0</v>
      </c>
      <c r="AJ724" s="132"/>
      <c r="AK724" s="151">
        <v>600</v>
      </c>
      <c r="AL724" s="154">
        <f t="shared" si="209"/>
        <v>0</v>
      </c>
      <c r="AM724" s="155"/>
      <c r="AN724" s="19">
        <f t="shared" si="210"/>
        <v>0</v>
      </c>
      <c r="AO724" s="118">
        <f>SUMIF('MPG Payment '!E:E,'Shayak Income '!D724,'MPG Payment '!AJ:AJ)</f>
        <v>0</v>
      </c>
      <c r="AP724" s="19">
        <f t="shared" si="211"/>
        <v>0</v>
      </c>
      <c r="AQ724" s="119">
        <f t="shared" si="224"/>
        <v>0</v>
      </c>
      <c r="AR724" s="91"/>
      <c r="AS724" s="91">
        <f t="shared" si="212"/>
        <v>0</v>
      </c>
      <c r="AT724" s="118"/>
      <c r="AU724" s="118"/>
      <c r="AV724" s="118"/>
    </row>
    <row r="725" spans="1:48" s="20" customFormat="1" x14ac:dyDescent="0.25">
      <c r="A725" s="17">
        <f>IFERROR(VLOOKUP(D725,'Monthly Deduction'!$I$3:$J$957,2,0),0)</f>
        <v>70269</v>
      </c>
      <c r="B725" s="17">
        <f>IFERROR(VLOOKUP(D725,'Monthly Deduction'!$E$3:$F$957,2,0),0)</f>
        <v>5511</v>
      </c>
      <c r="C725" s="17">
        <f t="shared" si="222"/>
        <v>75780</v>
      </c>
      <c r="D725" s="41">
        <v>10140194</v>
      </c>
      <c r="E725" s="122" t="str">
        <f>VLOOKUP(D725,'MPG Payment '!$E$3:$G$498218,2,0)</f>
        <v>Gumukh Orap Khurd</v>
      </c>
      <c r="F725" s="146">
        <f>IFERROR(_xlfn.XLOOKUP(D725,'Monthly Deduction'!$I$3:$I$957,'Monthly Deduction'!$H$3:$H$957),0)</f>
        <v>0</v>
      </c>
      <c r="G725" s="123" t="str">
        <f>VLOOKUP(D725,'MPG Payment '!$E$3:$G$334579,3,0)</f>
        <v>MPG</v>
      </c>
      <c r="H725" s="124" t="str">
        <f>VLOOKUP(D725,'MPG Payment '!$E$3:$H$334579,4,0)</f>
        <v>Direct</v>
      </c>
      <c r="I725" s="88">
        <f>INDEX('MPG Payment '!$C:$C,MATCH('Shayak Income '!D725,'MPG Payment '!E:E,0))</f>
        <v>1014</v>
      </c>
      <c r="J725" s="88" t="str">
        <f>INDEX('MPG Payment '!$D:$D,MATCH('Shayak Income '!D725,'MPG Payment '!E:E,0))</f>
        <v>Dumraon</v>
      </c>
      <c r="K725" s="125" t="s">
        <v>1322</v>
      </c>
      <c r="L725" s="125">
        <v>46020</v>
      </c>
      <c r="M725" s="126">
        <f>SUMIF('MPG Payment '!$E$3:$E$34579,'Shayak Income '!D725,'MPG Payment '!$I$3:$I$34579)</f>
        <v>1864.4</v>
      </c>
      <c r="N725" s="126">
        <f>SUMIF('MPG Payment '!$E$3:$E$34579,'Shayak Income '!D725,'MPG Payment '!$J$3:$J$34579)</f>
        <v>68127.989709339992</v>
      </c>
      <c r="O725" s="126">
        <f t="shared" si="214"/>
        <v>1398.3000000000002</v>
      </c>
      <c r="P725" s="126">
        <f t="shared" si="215"/>
        <v>1771.18</v>
      </c>
      <c r="Q725" s="126">
        <f>SUMIF('MPG Payment '!$E$3:$E$34579,'Shayak Income '!D725,'MPG Payment '!$S$3:$S$34579)</f>
        <v>0</v>
      </c>
      <c r="R725" s="126">
        <f t="shared" si="205"/>
        <v>2043.8396912801998</v>
      </c>
      <c r="S725" s="126">
        <f t="shared" si="206"/>
        <v>272.6596912801997</v>
      </c>
      <c r="T725" s="126">
        <f t="shared" si="216"/>
        <v>186.44000000000003</v>
      </c>
      <c r="U725" s="127">
        <f>(((IF(K725="New",0,SUMIF('MPG Payment '!$E$3:$E$34579,'Shayak Income '!D725,'MPG Payment '!$AC$3:$AC$34579))))+0)+0</f>
        <v>662.65252256135409</v>
      </c>
      <c r="V725" s="127">
        <f t="shared" si="217"/>
        <v>2320</v>
      </c>
      <c r="W725" s="19">
        <f t="shared" si="226"/>
        <v>1861</v>
      </c>
      <c r="X725" s="19">
        <v>0</v>
      </c>
      <c r="Y725" s="128">
        <f>IFERROR(VLOOKUP(D725,'Monthly Deduction'!$M$2:$N$64,2,0),0)</f>
        <v>0</v>
      </c>
      <c r="Z725" s="128">
        <v>0</v>
      </c>
      <c r="AA725" s="126">
        <v>459</v>
      </c>
      <c r="AB725" s="129">
        <f t="shared" si="208"/>
        <v>0</v>
      </c>
      <c r="AC725" s="130">
        <f t="shared" ref="AC725:AC726" si="228">AB725</f>
        <v>0</v>
      </c>
      <c r="AD725" s="35">
        <f t="shared" si="223"/>
        <v>0</v>
      </c>
      <c r="AE725" s="166" t="str">
        <f t="shared" si="220"/>
        <v>Release</v>
      </c>
      <c r="AF725" s="127"/>
      <c r="AG725" s="18">
        <v>0</v>
      </c>
      <c r="AH725" s="120" t="s">
        <v>1650</v>
      </c>
      <c r="AI725" s="238">
        <v>7849</v>
      </c>
      <c r="AJ725" s="132"/>
      <c r="AK725" s="151">
        <v>572.09999999999991</v>
      </c>
      <c r="AL725" s="154">
        <f t="shared" si="209"/>
        <v>0</v>
      </c>
      <c r="AM725" s="155"/>
      <c r="AN725" s="19">
        <f t="shared" si="210"/>
        <v>1861</v>
      </c>
      <c r="AO725" s="118">
        <f>SUMIF('MPG Payment '!E:E,'Shayak Income '!D725,'MPG Payment '!AJ:AJ)</f>
        <v>0</v>
      </c>
      <c r="AP725" s="19">
        <f t="shared" si="211"/>
        <v>1861</v>
      </c>
      <c r="AQ725" s="119">
        <f t="shared" si="224"/>
        <v>1861</v>
      </c>
      <c r="AR725" s="91"/>
      <c r="AS725" s="91">
        <f t="shared" si="212"/>
        <v>5511</v>
      </c>
      <c r="AT725" s="118"/>
      <c r="AU725" s="118"/>
      <c r="AV725" s="118"/>
    </row>
    <row r="726" spans="1:48" s="20" customFormat="1" x14ac:dyDescent="0.25">
      <c r="A726" s="17">
        <f>IFERROR(VLOOKUP(D726,'Monthly Deduction'!$I$3:$J$957,2,0),0)</f>
        <v>83762</v>
      </c>
      <c r="B726" s="17">
        <f>IFERROR(VLOOKUP(D726,'Monthly Deduction'!$E$3:$F$957,2,0),0)</f>
        <v>6400</v>
      </c>
      <c r="C726" s="17">
        <f t="shared" si="222"/>
        <v>90162</v>
      </c>
      <c r="D726" s="41">
        <v>10140197</v>
      </c>
      <c r="E726" s="122" t="str">
        <f>VLOOKUP(D726,'MPG Payment '!$E$3:$G$498218,2,0)</f>
        <v>Gumukh Mathiyapur</v>
      </c>
      <c r="F726" s="146">
        <f>IFERROR(_xlfn.XLOOKUP(D726,'Monthly Deduction'!$I$3:$I$957,'Monthly Deduction'!$H$3:$H$957),0)</f>
        <v>0</v>
      </c>
      <c r="G726" s="123" t="str">
        <f>VLOOKUP(D726,'MPG Payment '!$E$3:$G$334579,3,0)</f>
        <v>MPG</v>
      </c>
      <c r="H726" s="124" t="str">
        <f>VLOOKUP(D726,'MPG Payment '!$E$3:$H$334579,4,0)</f>
        <v>Direct</v>
      </c>
      <c r="I726" s="88">
        <f>INDEX('MPG Payment '!$C:$C,MATCH('Shayak Income '!D726,'MPG Payment '!E:E,0))</f>
        <v>1014</v>
      </c>
      <c r="J726" s="88" t="str">
        <f>INDEX('MPG Payment '!$D:$D,MATCH('Shayak Income '!D726,'MPG Payment '!E:E,0))</f>
        <v>Dumraon</v>
      </c>
      <c r="K726" s="125" t="s">
        <v>1322</v>
      </c>
      <c r="L726" s="125">
        <v>46018</v>
      </c>
      <c r="M726" s="126">
        <f>SUMIF('MPG Payment '!$E$3:$E$34579,'Shayak Income '!D726,'MPG Payment '!$I$3:$I$34579)</f>
        <v>1013.8000000000001</v>
      </c>
      <c r="N726" s="126">
        <f>SUMIF('MPG Payment '!$E$3:$E$34579,'Shayak Income '!D726,'MPG Payment '!$J$3:$J$34579)</f>
        <v>39183.737494319997</v>
      </c>
      <c r="O726" s="126">
        <f t="shared" si="214"/>
        <v>760.35</v>
      </c>
      <c r="P726" s="126">
        <f t="shared" si="215"/>
        <v>963.11</v>
      </c>
      <c r="Q726" s="126">
        <f>SUMIF('MPG Payment '!$E$3:$E$34579,'Shayak Income '!D726,'MPG Payment '!$S$3:$S$34579)</f>
        <v>0</v>
      </c>
      <c r="R726" s="126">
        <f t="shared" si="205"/>
        <v>1175.5121248295998</v>
      </c>
      <c r="S726" s="126">
        <f t="shared" si="206"/>
        <v>212.40212482959976</v>
      </c>
      <c r="T726" s="126">
        <f t="shared" si="216"/>
        <v>101.38000000000001</v>
      </c>
      <c r="U726" s="127">
        <f>(((IF(K726="New",0,SUMIF('MPG Payment '!$E$3:$E$34579,'Shayak Income '!D726,'MPG Payment '!$AC$3:$AC$34579))))+0)+0</f>
        <v>1381.382939101177</v>
      </c>
      <c r="V726" s="127">
        <f t="shared" si="217"/>
        <v>241</v>
      </c>
      <c r="W726" s="19">
        <v>241</v>
      </c>
      <c r="X726" s="19">
        <v>0</v>
      </c>
      <c r="Y726" s="128">
        <f>IFERROR(VLOOKUP(D726,'Monthly Deduction'!$M$2:$N$64,2,0),0)</f>
        <v>0</v>
      </c>
      <c r="Z726" s="128">
        <v>0</v>
      </c>
      <c r="AA726" s="126">
        <v>0</v>
      </c>
      <c r="AB726" s="129">
        <f t="shared" si="208"/>
        <v>0</v>
      </c>
      <c r="AC726" s="130">
        <f t="shared" si="228"/>
        <v>0</v>
      </c>
      <c r="AD726" s="35">
        <f t="shared" si="223"/>
        <v>0</v>
      </c>
      <c r="AE726" s="166" t="str">
        <f t="shared" si="220"/>
        <v>Release</v>
      </c>
      <c r="AF726" s="127"/>
      <c r="AG726" s="18">
        <v>0</v>
      </c>
      <c r="AH726" s="120" t="s">
        <v>1650</v>
      </c>
      <c r="AI726" s="238">
        <v>19743</v>
      </c>
      <c r="AJ726" s="132"/>
      <c r="AK726" s="151">
        <v>272.60000000000002</v>
      </c>
      <c r="AL726" s="154">
        <f t="shared" si="209"/>
        <v>0</v>
      </c>
      <c r="AM726" s="155"/>
      <c r="AN726" s="19">
        <f t="shared" si="210"/>
        <v>1861</v>
      </c>
      <c r="AO726" s="118">
        <f>SUMIF('MPG Payment '!E:E,'Shayak Income '!D726,'MPG Payment '!AJ:AJ)</f>
        <v>0</v>
      </c>
      <c r="AP726" s="19">
        <f t="shared" si="211"/>
        <v>241</v>
      </c>
      <c r="AQ726" s="119">
        <f t="shared" si="224"/>
        <v>241</v>
      </c>
      <c r="AR726" s="91" t="s">
        <v>1168</v>
      </c>
      <c r="AS726" s="91">
        <f t="shared" si="212"/>
        <v>6400</v>
      </c>
      <c r="AT726" s="118"/>
      <c r="AU726" s="118"/>
      <c r="AV726" s="118"/>
    </row>
    <row r="727" spans="1:48" s="20" customFormat="1" x14ac:dyDescent="0.25">
      <c r="A727" s="17">
        <f>IFERROR(VLOOKUP(D727,'Monthly Deduction'!$I$3:$J$957,2,0),0)</f>
        <v>0</v>
      </c>
      <c r="B727" s="17">
        <f>IFERROR(VLOOKUP(D727,'Monthly Deduction'!$E$3:$F$957,2,0),0)</f>
        <v>0</v>
      </c>
      <c r="C727" s="17">
        <f t="shared" si="222"/>
        <v>0</v>
      </c>
      <c r="D727" s="41">
        <v>10140198</v>
      </c>
      <c r="E727" s="122" t="str">
        <f>VLOOKUP(D727,'MPG Payment '!$E$3:$G$498218,2,0)</f>
        <v>Gomukh Raghunathpur Dasrath</v>
      </c>
      <c r="F727" s="146">
        <f>IFERROR(_xlfn.XLOOKUP(D727,'Monthly Deduction'!$I$3:$I$957,'Monthly Deduction'!$H$3:$H$957),0)</f>
        <v>0</v>
      </c>
      <c r="G727" s="123" t="str">
        <f>VLOOKUP(D727,'MPG Payment '!$E$3:$G$334579,3,0)</f>
        <v>vlc</v>
      </c>
      <c r="H727" s="124" t="str">
        <f>VLOOKUP(D727,'MPG Payment '!$E$3:$H$334579,4,0)</f>
        <v>Indirect</v>
      </c>
      <c r="I727" s="88">
        <f>INDEX('MPG Payment '!$C:$C,MATCH('Shayak Income '!D727,'MPG Payment '!E:E,0))</f>
        <v>1014</v>
      </c>
      <c r="J727" s="88" t="str">
        <f>INDEX('MPG Payment '!$D:$D,MATCH('Shayak Income '!D727,'MPG Payment '!E:E,0))</f>
        <v>Dumraon</v>
      </c>
      <c r="K727" s="125" t="s">
        <v>1322</v>
      </c>
      <c r="L727" s="125">
        <v>46017</v>
      </c>
      <c r="M727" s="126">
        <f>SUMIF('MPG Payment '!$E$3:$E$34579,'Shayak Income '!D727,'MPG Payment '!$I$3:$I$34579)</f>
        <v>2943.3</v>
      </c>
      <c r="N727" s="126">
        <f>SUMIF('MPG Payment '!$E$3:$E$34579,'Shayak Income '!D727,'MPG Payment '!$J$3:$J$34579)</f>
        <v>115672.55996145001</v>
      </c>
      <c r="O727" s="126">
        <f t="shared" si="214"/>
        <v>2207.4750000000004</v>
      </c>
      <c r="P727" s="126">
        <f t="shared" si="215"/>
        <v>2796.1350000000002</v>
      </c>
      <c r="Q727" s="126">
        <f>SUMIF('MPG Payment '!$E$3:$E$34579,'Shayak Income '!D727,'MPG Payment '!$S$3:$S$34579)</f>
        <v>0</v>
      </c>
      <c r="R727" s="126">
        <f t="shared" si="205"/>
        <v>3470.1767988435004</v>
      </c>
      <c r="S727" s="126">
        <f t="shared" si="206"/>
        <v>674.04179884350015</v>
      </c>
      <c r="T727" s="126">
        <f t="shared" si="216"/>
        <v>294.33000000000004</v>
      </c>
      <c r="U727" s="127">
        <f>(((IF(K727="New",0,SUMIF('MPG Payment '!$E$3:$E$34579,'Shayak Income '!D727,'MPG Payment '!$AC$3:$AC$34579))))+0)+0</f>
        <v>224.3931731958763</v>
      </c>
      <c r="V727" s="127">
        <f t="shared" si="217"/>
        <v>4485</v>
      </c>
      <c r="W727" s="19">
        <f t="shared" si="226"/>
        <v>0</v>
      </c>
      <c r="X727" s="19">
        <f t="shared" si="207"/>
        <v>0</v>
      </c>
      <c r="Y727" s="128">
        <f>IFERROR(VLOOKUP(D727,'Monthly Deduction'!$M$2:$N$64,2,0),0)</f>
        <v>0</v>
      </c>
      <c r="Z727" s="128">
        <v>0</v>
      </c>
      <c r="AA727" s="126">
        <f>IFERROR(VLOOKUP(D727,'Monthly Deduction'!A:B,2,0),0)</f>
        <v>102.6</v>
      </c>
      <c r="AB727" s="129">
        <f t="shared" si="208"/>
        <v>4382</v>
      </c>
      <c r="AC727" s="130">
        <v>0</v>
      </c>
      <c r="AD727" s="35">
        <f t="shared" si="223"/>
        <v>4382</v>
      </c>
      <c r="AE727" s="166" t="str">
        <f t="shared" si="220"/>
        <v>Release</v>
      </c>
      <c r="AF727" s="127"/>
      <c r="AG727" s="18">
        <v>0</v>
      </c>
      <c r="AH727" s="132"/>
      <c r="AI727" s="238">
        <v>0</v>
      </c>
      <c r="AJ727" s="132"/>
      <c r="AK727" s="151">
        <v>992.3</v>
      </c>
      <c r="AL727" s="154">
        <f t="shared" si="209"/>
        <v>0</v>
      </c>
      <c r="AM727" s="155"/>
      <c r="AN727" s="19">
        <f t="shared" si="210"/>
        <v>0</v>
      </c>
      <c r="AO727" s="118">
        <f>SUMIF('MPG Payment '!E:E,'Shayak Income '!D727,'MPG Payment '!AJ:AJ)</f>
        <v>0</v>
      </c>
      <c r="AP727" s="19">
        <f t="shared" si="211"/>
        <v>0</v>
      </c>
      <c r="AQ727" s="119">
        <f t="shared" si="224"/>
        <v>0</v>
      </c>
      <c r="AR727" s="91" t="s">
        <v>1168</v>
      </c>
      <c r="AS727" s="91">
        <f t="shared" si="212"/>
        <v>0</v>
      </c>
      <c r="AT727" s="118"/>
      <c r="AU727" s="118"/>
      <c r="AV727" s="118"/>
    </row>
    <row r="728" spans="1:48" s="20" customFormat="1" x14ac:dyDescent="0.25">
      <c r="A728" s="17">
        <f>IFERROR(VLOOKUP(D728,'Monthly Deduction'!$I$3:$J$957,2,0),0)</f>
        <v>0</v>
      </c>
      <c r="B728" s="17">
        <f>IFERROR(VLOOKUP(D728,'Monthly Deduction'!$E$3:$F$957,2,0),0)</f>
        <v>0</v>
      </c>
      <c r="C728" s="17">
        <f t="shared" si="222"/>
        <v>0</v>
      </c>
      <c r="D728" s="41">
        <v>10560025</v>
      </c>
      <c r="E728" s="122" t="str">
        <f>VLOOKUP(D728,'MPG Payment '!$E$3:$G$498218,2,0)</f>
        <v>Gomukh Debka Vlc</v>
      </c>
      <c r="F728" s="146">
        <f>IFERROR(_xlfn.XLOOKUP(D728,'Monthly Deduction'!$I$3:$I$957,'Monthly Deduction'!$H$3:$H$957),0)</f>
        <v>0</v>
      </c>
      <c r="G728" s="123" t="str">
        <f>VLOOKUP(D728,'MPG Payment '!$E$3:$G$334579,3,0)</f>
        <v>vlc</v>
      </c>
      <c r="H728" s="124" t="str">
        <f>VLOOKUP(D728,'MPG Payment '!$E$3:$H$334579,4,0)</f>
        <v>Indirect</v>
      </c>
      <c r="I728" s="88">
        <f>INDEX('MPG Payment '!$C:$C,MATCH('Shayak Income '!D728,'MPG Payment '!E:E,0))</f>
        <v>1056</v>
      </c>
      <c r="J728" s="88" t="str">
        <f>INDEX('MPG Payment '!$D:$D,MATCH('Shayak Income '!D728,'MPG Payment '!E:E,0))</f>
        <v>Chautham</v>
      </c>
      <c r="K728" s="125" t="s">
        <v>1322</v>
      </c>
      <c r="L728" s="125">
        <v>46020</v>
      </c>
      <c r="M728" s="126">
        <f>SUMIF('MPG Payment '!$E$3:$E$34579,'Shayak Income '!D728,'MPG Payment '!$I$3:$I$34579)</f>
        <v>485.1</v>
      </c>
      <c r="N728" s="126">
        <f>SUMIF('MPG Payment '!$E$3:$E$34579,'Shayak Income '!D728,'MPG Payment '!$J$3:$J$34579)</f>
        <v>20435.739586193602</v>
      </c>
      <c r="O728" s="126">
        <f t="shared" si="214"/>
        <v>363.82500000000005</v>
      </c>
      <c r="P728" s="126">
        <f t="shared" si="215"/>
        <v>460.84500000000003</v>
      </c>
      <c r="Q728" s="126">
        <f>SUMIF('MPG Payment '!$E$3:$E$34579,'Shayak Income '!D728,'MPG Payment '!$S$3:$S$34579)</f>
        <v>0</v>
      </c>
      <c r="R728" s="126">
        <f t="shared" si="205"/>
        <v>613.07218758580802</v>
      </c>
      <c r="S728" s="126">
        <f t="shared" si="206"/>
        <v>152.227187585808</v>
      </c>
      <c r="T728" s="126">
        <f t="shared" si="216"/>
        <v>48.510000000000005</v>
      </c>
      <c r="U728" s="127">
        <f>(((IF(K728="New",0,SUMIF('MPG Payment '!$E$3:$E$34579,'Shayak Income '!D728,'MPG Payment '!$AC$3:$AC$34579))))+0)+-1173</f>
        <v>776.61487288755825</v>
      </c>
      <c r="V728" s="127">
        <f t="shared" si="217"/>
        <v>0</v>
      </c>
      <c r="W728" s="19">
        <v>0</v>
      </c>
      <c r="X728" s="19">
        <v>0</v>
      </c>
      <c r="Y728" s="128">
        <f>IFERROR(VLOOKUP(D728,'Monthly Deduction'!$M$2:$N$64,2,0),0)</f>
        <v>0</v>
      </c>
      <c r="Z728" s="128">
        <v>0</v>
      </c>
      <c r="AA728" s="126">
        <f>IFERROR(VLOOKUP(D728,'Monthly Deduction'!A:B,2,0),0)</f>
        <v>0</v>
      </c>
      <c r="AB728" s="129">
        <f t="shared" si="208"/>
        <v>0</v>
      </c>
      <c r="AC728" s="130">
        <v>0</v>
      </c>
      <c r="AD728" s="35">
        <f t="shared" si="223"/>
        <v>0</v>
      </c>
      <c r="AE728" s="166" t="str">
        <f t="shared" si="220"/>
        <v>Release</v>
      </c>
      <c r="AF728" s="127"/>
      <c r="AG728" s="18">
        <v>0</v>
      </c>
      <c r="AH728" s="132"/>
      <c r="AI728" s="238">
        <v>0</v>
      </c>
      <c r="AJ728" s="132"/>
      <c r="AK728" s="151">
        <v>94.419999999999987</v>
      </c>
      <c r="AL728" s="154">
        <f t="shared" si="209"/>
        <v>0</v>
      </c>
      <c r="AM728" s="155"/>
      <c r="AN728" s="19">
        <f t="shared" si="210"/>
        <v>0</v>
      </c>
      <c r="AO728" s="118">
        <f>SUMIF('MPG Payment '!E:E,'Shayak Income '!D728,'MPG Payment '!AJ:AJ)</f>
        <v>0</v>
      </c>
      <c r="AP728" s="19">
        <f t="shared" si="211"/>
        <v>0</v>
      </c>
      <c r="AQ728" s="119">
        <f t="shared" si="224"/>
        <v>0</v>
      </c>
      <c r="AR728" s="91" t="s">
        <v>1168</v>
      </c>
      <c r="AS728" s="91">
        <f t="shared" si="212"/>
        <v>0</v>
      </c>
      <c r="AT728" s="118"/>
      <c r="AU728" s="118"/>
      <c r="AV728" s="118"/>
    </row>
    <row r="729" spans="1:48" s="20" customFormat="1" x14ac:dyDescent="0.25">
      <c r="A729" s="17">
        <f>IFERROR(VLOOKUP(D729,'Monthly Deduction'!$I$3:$J$957,2,0),0)</f>
        <v>0</v>
      </c>
      <c r="B729" s="17">
        <f>IFERROR(VLOOKUP(D729,'Monthly Deduction'!$E$3:$F$957,2,0),0)</f>
        <v>0</v>
      </c>
      <c r="C729" s="17">
        <f t="shared" si="222"/>
        <v>0</v>
      </c>
      <c r="D729" s="41">
        <v>10570037</v>
      </c>
      <c r="E729" s="122" t="str">
        <f>VLOOKUP(D729,'MPG Payment '!$E$3:$G$498218,2,0)</f>
        <v>Almasnagar</v>
      </c>
      <c r="F729" s="146">
        <f>IFERROR(_xlfn.XLOOKUP(D729,'Monthly Deduction'!$I$3:$I$957,'Monthly Deduction'!$H$3:$H$957),0)</f>
        <v>0</v>
      </c>
      <c r="G729" s="123" t="str">
        <f>VLOOKUP(D729,'MPG Payment '!$E$3:$G$334579,3,0)</f>
        <v>vlc</v>
      </c>
      <c r="H729" s="124" t="str">
        <f>VLOOKUP(D729,'MPG Payment '!$E$3:$H$334579,4,0)</f>
        <v>Indirect</v>
      </c>
      <c r="I729" s="88">
        <f>INDEX('MPG Payment '!$C:$C,MATCH('Shayak Income '!D729,'MPG Payment '!E:E,0))</f>
        <v>1057</v>
      </c>
      <c r="J729" s="88" t="str">
        <f>INDEX('MPG Payment '!$D:$D,MATCH('Shayak Income '!D729,'MPG Payment '!E:E,0))</f>
        <v>Warisnagar</v>
      </c>
      <c r="K729" s="125" t="s">
        <v>1322</v>
      </c>
      <c r="L729" s="125">
        <v>46018</v>
      </c>
      <c r="M729" s="126">
        <f>SUMIF('MPG Payment '!$E$3:$E$34579,'Shayak Income '!D729,'MPG Payment '!$I$3:$I$34579)</f>
        <v>1388.6</v>
      </c>
      <c r="N729" s="126">
        <f>SUMIF('MPG Payment '!$E$3:$E$34579,'Shayak Income '!D729,'MPG Payment '!$J$3:$J$34579)</f>
        <v>46422.581608759996</v>
      </c>
      <c r="O729" s="126">
        <f t="shared" si="214"/>
        <v>1041.4499999999998</v>
      </c>
      <c r="P729" s="126">
        <f t="shared" si="215"/>
        <v>1319.1699999999998</v>
      </c>
      <c r="Q729" s="126">
        <f>SUMIF('MPG Payment '!$E$3:$E$34579,'Shayak Income '!D729,'MPG Payment '!$S$3:$S$34579)</f>
        <v>0</v>
      </c>
      <c r="R729" s="126">
        <f t="shared" si="205"/>
        <v>1392.6774482627998</v>
      </c>
      <c r="S729" s="126">
        <f t="shared" si="206"/>
        <v>73.507448262799926</v>
      </c>
      <c r="T729" s="126">
        <f t="shared" si="216"/>
        <v>138.85999999999999</v>
      </c>
      <c r="U729" s="127">
        <f>(((IF(K729="New",0,SUMIF('MPG Payment '!$E$3:$E$34579,'Shayak Income '!D729,'MPG Payment '!$AC$3:$AC$34579))))+0)+0</f>
        <v>942.52434241190508</v>
      </c>
      <c r="V729" s="127">
        <f t="shared" si="217"/>
        <v>1279</v>
      </c>
      <c r="W729" s="19">
        <f t="shared" si="226"/>
        <v>0</v>
      </c>
      <c r="X729" s="19">
        <f t="shared" si="207"/>
        <v>0</v>
      </c>
      <c r="Y729" s="128">
        <f>IFERROR(VLOOKUP(D729,'Monthly Deduction'!$M$2:$N$64,2,0),0)</f>
        <v>0</v>
      </c>
      <c r="Z729" s="128">
        <v>0</v>
      </c>
      <c r="AA729" s="126">
        <f>IFERROR(VLOOKUP(D729,'Monthly Deduction'!A:B,2,0),0)</f>
        <v>0</v>
      </c>
      <c r="AB729" s="129">
        <f t="shared" si="208"/>
        <v>1279</v>
      </c>
      <c r="AC729" s="130">
        <v>0</v>
      </c>
      <c r="AD729" s="35">
        <f t="shared" si="223"/>
        <v>1279</v>
      </c>
      <c r="AE729" s="166" t="str">
        <f t="shared" si="220"/>
        <v>Release</v>
      </c>
      <c r="AF729" s="127"/>
      <c r="AG729" s="18">
        <v>0</v>
      </c>
      <c r="AH729" s="120"/>
      <c r="AI729" s="238">
        <v>0</v>
      </c>
      <c r="AJ729" s="132"/>
      <c r="AK729" s="151">
        <v>374.89999999999992</v>
      </c>
      <c r="AL729" s="154">
        <f t="shared" si="209"/>
        <v>0</v>
      </c>
      <c r="AM729" s="155"/>
      <c r="AN729" s="19">
        <f t="shared" si="210"/>
        <v>0</v>
      </c>
      <c r="AO729" s="118">
        <f>SUMIF('MPG Payment '!E:E,'Shayak Income '!D729,'MPG Payment '!AJ:AJ)</f>
        <v>0</v>
      </c>
      <c r="AP729" s="19">
        <f t="shared" si="211"/>
        <v>0</v>
      </c>
      <c r="AQ729" s="119">
        <f t="shared" si="224"/>
        <v>0</v>
      </c>
      <c r="AR729" s="91" t="s">
        <v>1168</v>
      </c>
      <c r="AS729" s="91">
        <f t="shared" si="212"/>
        <v>0</v>
      </c>
      <c r="AT729" s="118"/>
      <c r="AU729" s="118"/>
      <c r="AV729" s="118"/>
    </row>
    <row r="730" spans="1:48" s="20" customFormat="1" x14ac:dyDescent="0.25">
      <c r="A730" s="17">
        <f>IFERROR(VLOOKUP(D730,'Monthly Deduction'!$I$3:$J$957,2,0),0)</f>
        <v>0</v>
      </c>
      <c r="B730" s="17">
        <f>IFERROR(VLOOKUP(D730,'Monthly Deduction'!$E$3:$F$957,2,0),0)</f>
        <v>0</v>
      </c>
      <c r="C730" s="17">
        <f t="shared" si="222"/>
        <v>0</v>
      </c>
      <c r="D730" s="41">
        <v>10570038</v>
      </c>
      <c r="E730" s="122" t="str">
        <f>VLOOKUP(D730,'MPG Payment '!$E$3:$G$498218,2,0)</f>
        <v>Kadarchak</v>
      </c>
      <c r="F730" s="146">
        <f>IFERROR(_xlfn.XLOOKUP(D730,'Monthly Deduction'!$I$3:$I$957,'Monthly Deduction'!$H$3:$H$957),0)</f>
        <v>0</v>
      </c>
      <c r="G730" s="123" t="str">
        <f>VLOOKUP(D730,'MPG Payment '!$E$3:$G$334579,3,0)</f>
        <v>vlc</v>
      </c>
      <c r="H730" s="124" t="str">
        <f>VLOOKUP(D730,'MPG Payment '!$E$3:$H$334579,4,0)</f>
        <v>Indirect</v>
      </c>
      <c r="I730" s="88">
        <f>INDEX('MPG Payment '!$C:$C,MATCH('Shayak Income '!D730,'MPG Payment '!E:E,0))</f>
        <v>1057</v>
      </c>
      <c r="J730" s="88" t="str">
        <f>INDEX('MPG Payment '!$D:$D,MATCH('Shayak Income '!D730,'MPG Payment '!E:E,0))</f>
        <v>Warisnagar</v>
      </c>
      <c r="K730" s="125" t="s">
        <v>1322</v>
      </c>
      <c r="L730" s="125">
        <v>46018</v>
      </c>
      <c r="M730" s="126">
        <f>SUMIF('MPG Payment '!$E$3:$E$34579,'Shayak Income '!D730,'MPG Payment '!$I$3:$I$34579)</f>
        <v>490.8</v>
      </c>
      <c r="N730" s="126">
        <f>SUMIF('MPG Payment '!$E$3:$E$34579,'Shayak Income '!D730,'MPG Payment '!$J$3:$J$34579)</f>
        <v>17473.853657880001</v>
      </c>
      <c r="O730" s="126">
        <f t="shared" si="214"/>
        <v>368.1</v>
      </c>
      <c r="P730" s="126">
        <f t="shared" si="215"/>
        <v>466.26</v>
      </c>
      <c r="Q730" s="126">
        <f>SUMIF('MPG Payment '!$E$3:$E$34579,'Shayak Income '!D730,'MPG Payment '!$S$3:$S$34579)</f>
        <v>0</v>
      </c>
      <c r="R730" s="126">
        <f t="shared" si="205"/>
        <v>524.21560973639998</v>
      </c>
      <c r="S730" s="126">
        <f t="shared" si="206"/>
        <v>57.955609736399992</v>
      </c>
      <c r="T730" s="126">
        <f t="shared" si="216"/>
        <v>49.080000000000005</v>
      </c>
      <c r="U730" s="127">
        <f>(((IF(K730="New",0,SUMIF('MPG Payment '!$E$3:$E$34579,'Shayak Income '!D730,'MPG Payment '!$AC$3:$AC$34579))))+0)+-866</f>
        <v>785.16807669074296</v>
      </c>
      <c r="V730" s="127">
        <f t="shared" si="217"/>
        <v>0</v>
      </c>
      <c r="W730" s="19">
        <v>0</v>
      </c>
      <c r="X730" s="19">
        <v>0</v>
      </c>
      <c r="Y730" s="128">
        <f>IFERROR(VLOOKUP(D730,'Monthly Deduction'!$M$2:$N$64,2,0),0)</f>
        <v>0</v>
      </c>
      <c r="Z730" s="128">
        <v>0</v>
      </c>
      <c r="AA730" s="126">
        <f>IFERROR(VLOOKUP(D730,'Monthly Deduction'!A:B,2,0),0)</f>
        <v>0</v>
      </c>
      <c r="AB730" s="129">
        <f t="shared" si="208"/>
        <v>0</v>
      </c>
      <c r="AC730" s="130">
        <v>0</v>
      </c>
      <c r="AD730" s="35">
        <f t="shared" si="223"/>
        <v>0</v>
      </c>
      <c r="AE730" s="166" t="str">
        <f t="shared" si="220"/>
        <v>Release</v>
      </c>
      <c r="AF730" s="127"/>
      <c r="AG730" s="18">
        <v>0</v>
      </c>
      <c r="AH730" s="132"/>
      <c r="AI730" s="238">
        <v>0</v>
      </c>
      <c r="AJ730" s="132"/>
      <c r="AK730" s="151">
        <v>77.7</v>
      </c>
      <c r="AL730" s="154">
        <f t="shared" si="209"/>
        <v>0</v>
      </c>
      <c r="AM730" s="155"/>
      <c r="AN730" s="19">
        <f t="shared" si="210"/>
        <v>0</v>
      </c>
      <c r="AO730" s="118">
        <f>SUMIF('MPG Payment '!E:E,'Shayak Income '!D730,'MPG Payment '!AJ:AJ)</f>
        <v>0</v>
      </c>
      <c r="AP730" s="19">
        <f t="shared" si="211"/>
        <v>0</v>
      </c>
      <c r="AQ730" s="119">
        <f t="shared" si="224"/>
        <v>0</v>
      </c>
      <c r="AR730" s="91" t="s">
        <v>1168</v>
      </c>
      <c r="AS730" s="91">
        <f t="shared" si="212"/>
        <v>0</v>
      </c>
      <c r="AT730" s="118"/>
      <c r="AU730" s="118"/>
      <c r="AV730" s="118"/>
    </row>
    <row r="731" spans="1:48" s="20" customFormat="1" x14ac:dyDescent="0.25">
      <c r="A731" s="17">
        <f>IFERROR(VLOOKUP(D731,'Monthly Deduction'!$I$3:$J$957,2,0),0)</f>
        <v>64000</v>
      </c>
      <c r="B731" s="17">
        <f>IFERROR(VLOOKUP(D731,'Monthly Deduction'!$E$3:$F$957,2,0),0)</f>
        <v>0</v>
      </c>
      <c r="C731" s="17">
        <f t="shared" si="222"/>
        <v>64000</v>
      </c>
      <c r="D731" s="41">
        <v>10030082</v>
      </c>
      <c r="E731" s="122" t="str">
        <f>VLOOKUP(D731,'MPG Payment '!$E$3:$G$498218,2,0)</f>
        <v>RAMBRAN YADAV</v>
      </c>
      <c r="F731" s="146">
        <f>IFERROR(_xlfn.XLOOKUP(D731,'Monthly Deduction'!$I$3:$I$957,'Monthly Deduction'!$H$3:$H$957),0)</f>
        <v>0</v>
      </c>
      <c r="G731" s="123" t="str">
        <f>VLOOKUP(D731,'MPG Payment '!$E$3:$G$334579,3,0)</f>
        <v>MPG</v>
      </c>
      <c r="H731" s="124" t="str">
        <f>VLOOKUP(D731,'MPG Payment '!$E$3:$H$334579,4,0)</f>
        <v>Direct</v>
      </c>
      <c r="I731" s="88">
        <f>INDEX('MPG Payment '!$C:$C,MATCH('Shayak Income '!D731,'MPG Payment '!E:E,0))</f>
        <v>1003</v>
      </c>
      <c r="J731" s="88" t="str">
        <f>INDEX('MPG Payment '!$D:$D,MATCH('Shayak Income '!D731,'MPG Payment '!E:E,0))</f>
        <v>Asarganj</v>
      </c>
      <c r="K731" s="125" t="s">
        <v>1322</v>
      </c>
      <c r="L731" s="125">
        <v>46024</v>
      </c>
      <c r="M731" s="126">
        <f>SUMIF('MPG Payment '!$E$3:$E$34579,'Shayak Income '!D731,'MPG Payment '!$I$3:$I$34579)</f>
        <v>950.64999999999986</v>
      </c>
      <c r="N731" s="126">
        <f>SUMIF('MPG Payment '!$E$3:$E$34579,'Shayak Income '!D731,'MPG Payment '!$J$3:$J$34579)</f>
        <v>35378.352106295002</v>
      </c>
      <c r="O731" s="126">
        <f t="shared" si="214"/>
        <v>712.98749999999995</v>
      </c>
      <c r="P731" s="126">
        <f t="shared" si="215"/>
        <v>903.11749999999984</v>
      </c>
      <c r="Q731" s="126">
        <f>SUMIF('MPG Payment '!$E$3:$E$34579,'Shayak Income '!D731,'MPG Payment '!$S$3:$S$34579)</f>
        <v>0</v>
      </c>
      <c r="R731" s="126">
        <f t="shared" si="205"/>
        <v>1061.3505631888499</v>
      </c>
      <c r="S731" s="126">
        <f t="shared" si="206"/>
        <v>158.23306318885011</v>
      </c>
      <c r="T731" s="126">
        <f t="shared" si="216"/>
        <v>95.064999999999998</v>
      </c>
      <c r="U731" s="127">
        <f>(((IF(K731="New",0,SUMIF('MPG Payment '!$E$3:$E$34579,'Shayak Income '!D731,'MPG Payment '!$AC$3:$AC$34579))))+0)+0</f>
        <v>1344.9191087038266</v>
      </c>
      <c r="V731" s="127">
        <f t="shared" si="217"/>
        <v>176</v>
      </c>
      <c r="W731" s="19">
        <v>176</v>
      </c>
      <c r="X731" s="19">
        <v>0</v>
      </c>
      <c r="Y731" s="128">
        <f>IFERROR(VLOOKUP(D731,'Monthly Deduction'!$M$2:$N$64,2,0),0)</f>
        <v>0</v>
      </c>
      <c r="Z731" s="128">
        <v>0</v>
      </c>
      <c r="AA731" s="126">
        <f>IFERROR(VLOOKUP(D731,'Monthly Deduction'!A:B,2,0),0)</f>
        <v>0</v>
      </c>
      <c r="AB731" s="129">
        <f t="shared" si="208"/>
        <v>0</v>
      </c>
      <c r="AC731" s="130">
        <f>AB731</f>
        <v>0</v>
      </c>
      <c r="AD731" s="35">
        <f t="shared" si="223"/>
        <v>0</v>
      </c>
      <c r="AE731" s="166" t="str">
        <f t="shared" si="220"/>
        <v>Release</v>
      </c>
      <c r="AF731" s="127"/>
      <c r="AG731" s="18">
        <v>0</v>
      </c>
      <c r="AH731" s="120" t="s">
        <v>1653</v>
      </c>
      <c r="AI731" s="238">
        <v>0</v>
      </c>
      <c r="AJ731" s="132"/>
      <c r="AK731" s="151">
        <v>514.44999999999993</v>
      </c>
      <c r="AL731" s="154">
        <f t="shared" si="209"/>
        <v>0</v>
      </c>
      <c r="AM731" s="155"/>
      <c r="AN731" s="19">
        <f t="shared" si="210"/>
        <v>1861</v>
      </c>
      <c r="AO731" s="118">
        <f>SUMIF('MPG Payment '!E:E,'Shayak Income '!D731,'MPG Payment '!AJ:AJ)</f>
        <v>500</v>
      </c>
      <c r="AP731" s="19">
        <f t="shared" si="211"/>
        <v>176</v>
      </c>
      <c r="AQ731" s="119">
        <f t="shared" si="224"/>
        <v>676</v>
      </c>
      <c r="AR731" s="91" t="s">
        <v>1168</v>
      </c>
      <c r="AS731" s="91">
        <f t="shared" si="212"/>
        <v>0</v>
      </c>
      <c r="AT731" s="118"/>
      <c r="AU731" s="118"/>
      <c r="AV731" s="118"/>
    </row>
    <row r="732" spans="1:48" s="20" customFormat="1" x14ac:dyDescent="0.25">
      <c r="A732" s="17">
        <f>IFERROR(VLOOKUP(D732,'Monthly Deduction'!$I$3:$J$957,2,0),0)</f>
        <v>62287.422399999996</v>
      </c>
      <c r="B732" s="17">
        <f>IFERROR(VLOOKUP(D732,'Monthly Deduction'!$E$3:$F$957,2,0),0)</f>
        <v>0</v>
      </c>
      <c r="C732" s="17">
        <f t="shared" si="222"/>
        <v>62287.422399999996</v>
      </c>
      <c r="D732" s="41">
        <v>10080119</v>
      </c>
      <c r="E732" s="122" t="str">
        <f>VLOOKUP(D732,'MPG Payment '!$E$3:$G$498218,2,0)</f>
        <v>Mukhtiyarpur</v>
      </c>
      <c r="F732" s="146">
        <f>IFERROR(_xlfn.XLOOKUP(D732,'Monthly Deduction'!$I$3:$I$957,'Monthly Deduction'!$H$3:$H$957),0)</f>
        <v>0</v>
      </c>
      <c r="G732" s="123" t="str">
        <f>VLOOKUP(D732,'MPG Payment '!$E$3:$G$334579,3,0)</f>
        <v>MPG</v>
      </c>
      <c r="H732" s="124" t="str">
        <f>VLOOKUP(D732,'MPG Payment '!$E$3:$H$334579,4,0)</f>
        <v>Direct</v>
      </c>
      <c r="I732" s="88">
        <f>INDEX('MPG Payment '!$C:$C,MATCH('Shayak Income '!D732,'MPG Payment '!E:E,0))</f>
        <v>1008</v>
      </c>
      <c r="J732" s="88" t="str">
        <f>INDEX('MPG Payment '!$D:$D,MATCH('Shayak Income '!D732,'MPG Payment '!E:E,0))</f>
        <v>Teghra</v>
      </c>
      <c r="K732" s="125" t="s">
        <v>1322</v>
      </c>
      <c r="L732" s="125">
        <v>46027</v>
      </c>
      <c r="M732" s="126">
        <f>SUMIF('MPG Payment '!$E$3:$E$34579,'Shayak Income '!D732,'MPG Payment '!$I$3:$I$34579)</f>
        <v>1280.5</v>
      </c>
      <c r="N732" s="126">
        <f>SUMIF('MPG Payment '!$E$3:$E$34579,'Shayak Income '!D732,'MPG Payment '!$J$3:$J$34579)</f>
        <v>46535.753801396015</v>
      </c>
      <c r="O732" s="126">
        <f t="shared" si="214"/>
        <v>960.375</v>
      </c>
      <c r="P732" s="126">
        <f t="shared" si="215"/>
        <v>1216.4749999999999</v>
      </c>
      <c r="Q732" s="126">
        <f>SUMIF('MPG Payment '!$E$3:$E$34579,'Shayak Income '!D732,'MPG Payment '!$S$3:$S$34579)</f>
        <v>0</v>
      </c>
      <c r="R732" s="126">
        <f t="shared" si="205"/>
        <v>1396.0726140418803</v>
      </c>
      <c r="S732" s="126">
        <f t="shared" si="206"/>
        <v>179.59761404188043</v>
      </c>
      <c r="T732" s="126">
        <f t="shared" si="216"/>
        <v>128.05000000000001</v>
      </c>
      <c r="U732" s="127">
        <f>(((IF(K732="New",0,SUMIF('MPG Payment '!$E$3:$E$34579,'Shayak Income '!D732,'MPG Payment '!$AC$3:$AC$34579))))+0)+0</f>
        <v>1113.7704329205817</v>
      </c>
      <c r="V732" s="127">
        <f t="shared" si="217"/>
        <v>935</v>
      </c>
      <c r="W732" s="19">
        <v>935</v>
      </c>
      <c r="X732" s="19">
        <v>0</v>
      </c>
      <c r="Y732" s="128">
        <f>IFERROR(VLOOKUP(D732,'Monthly Deduction'!$M$2:$N$64,2,0),0)</f>
        <v>0</v>
      </c>
      <c r="Z732" s="128">
        <v>0</v>
      </c>
      <c r="AA732" s="126">
        <f>IFERROR(VLOOKUP(D732,'Monthly Deduction'!A:B,2,0),0)</f>
        <v>0</v>
      </c>
      <c r="AB732" s="129">
        <f t="shared" si="208"/>
        <v>0</v>
      </c>
      <c r="AC732" s="130">
        <v>0</v>
      </c>
      <c r="AD732" s="35">
        <f t="shared" si="223"/>
        <v>0</v>
      </c>
      <c r="AE732" s="166" t="str">
        <f t="shared" si="220"/>
        <v>Release</v>
      </c>
      <c r="AF732" s="127"/>
      <c r="AG732" s="18">
        <v>0</v>
      </c>
      <c r="AH732" s="132"/>
      <c r="AI732" s="238">
        <v>0</v>
      </c>
      <c r="AJ732" s="132"/>
      <c r="AK732" s="151">
        <v>360.59999999999997</v>
      </c>
      <c r="AL732" s="154">
        <f t="shared" si="209"/>
        <v>0</v>
      </c>
      <c r="AM732" s="155"/>
      <c r="AN732" s="19">
        <f t="shared" si="210"/>
        <v>1861</v>
      </c>
      <c r="AO732" s="118">
        <f>SUMIF('MPG Payment '!E:E,'Shayak Income '!D732,'MPG Payment '!AJ:AJ)</f>
        <v>0</v>
      </c>
      <c r="AP732" s="19">
        <f t="shared" si="211"/>
        <v>935</v>
      </c>
      <c r="AQ732" s="119">
        <f t="shared" si="224"/>
        <v>935</v>
      </c>
      <c r="AR732" s="91" t="s">
        <v>1168</v>
      </c>
      <c r="AS732" s="91">
        <f t="shared" si="212"/>
        <v>0</v>
      </c>
      <c r="AT732" s="118"/>
      <c r="AU732" s="118"/>
      <c r="AV732" s="118"/>
    </row>
    <row r="733" spans="1:48" s="20" customFormat="1" x14ac:dyDescent="0.25">
      <c r="A733" s="17">
        <f>IFERROR(VLOOKUP(D733,'Monthly Deduction'!$I$3:$J$957,2,0),0)</f>
        <v>62866.569799999997</v>
      </c>
      <c r="B733" s="17">
        <f>IFERROR(VLOOKUP(D733,'Monthly Deduction'!$E$3:$F$957,2,0),0)</f>
        <v>0</v>
      </c>
      <c r="C733" s="17">
        <f t="shared" si="222"/>
        <v>62866.569799999997</v>
      </c>
      <c r="D733" s="41">
        <v>10090075</v>
      </c>
      <c r="E733" s="122" t="str">
        <f>VLOOKUP(D733,'MPG Payment '!$E$3:$G$498218,2,0)</f>
        <v>PACHAUTA</v>
      </c>
      <c r="F733" s="146">
        <f>IFERROR(_xlfn.XLOOKUP(D733,'Monthly Deduction'!$I$3:$I$957,'Monthly Deduction'!$H$3:$H$957),0)</f>
        <v>0</v>
      </c>
      <c r="G733" s="123" t="str">
        <f>VLOOKUP(D733,'MPG Payment '!$E$3:$G$334579,3,0)</f>
        <v>MPG</v>
      </c>
      <c r="H733" s="124" t="str">
        <f>VLOOKUP(D733,'MPG Payment '!$E$3:$H$334579,4,0)</f>
        <v>Direct</v>
      </c>
      <c r="I733" s="88">
        <f>INDEX('MPG Payment '!$C:$C,MATCH('Shayak Income '!D733,'MPG Payment '!E:E,0))</f>
        <v>1009</v>
      </c>
      <c r="J733" s="88" t="str">
        <f>INDEX('MPG Payment '!$D:$D,MATCH('Shayak Income '!D733,'MPG Payment '!E:E,0))</f>
        <v>Halsi</v>
      </c>
      <c r="K733" s="125" t="s">
        <v>1322</v>
      </c>
      <c r="L733" s="125">
        <v>46026</v>
      </c>
      <c r="M733" s="126">
        <f>SUMIF('MPG Payment '!$E$3:$E$34579,'Shayak Income '!D733,'MPG Payment '!$I$3:$I$34579)</f>
        <v>2609</v>
      </c>
      <c r="N733" s="126">
        <f>SUMIF('MPG Payment '!$E$3:$E$34579,'Shayak Income '!D733,'MPG Payment '!$J$3:$J$34579)</f>
        <v>102685.8142987215</v>
      </c>
      <c r="O733" s="126">
        <f t="shared" si="214"/>
        <v>1956.75</v>
      </c>
      <c r="P733" s="126">
        <f t="shared" si="215"/>
        <v>2478.5499999999997</v>
      </c>
      <c r="Q733" s="126">
        <f>SUMIF('MPG Payment '!$E$3:$E$34579,'Shayak Income '!D733,'MPG Payment '!$S$3:$S$34579)</f>
        <v>0</v>
      </c>
      <c r="R733" s="126">
        <f t="shared" si="205"/>
        <v>3080.5744289616446</v>
      </c>
      <c r="S733" s="126">
        <f t="shared" si="206"/>
        <v>602.02442896164484</v>
      </c>
      <c r="T733" s="126">
        <f t="shared" si="216"/>
        <v>260.90000000000003</v>
      </c>
      <c r="U733" s="127">
        <f>(((IF(K733="New",0,SUMIF('MPG Payment '!$E$3:$E$34579,'Shayak Income '!D733,'MPG Payment '!$AC$3:$AC$34579))))+0)+0</f>
        <v>158.12580424808309</v>
      </c>
      <c r="V733" s="127">
        <f t="shared" si="217"/>
        <v>4016</v>
      </c>
      <c r="W733" s="19">
        <f t="shared" si="226"/>
        <v>2053.7162859744299</v>
      </c>
      <c r="X733" s="19">
        <v>0</v>
      </c>
      <c r="Y733" s="128">
        <f>IFERROR(VLOOKUP(D733,'Monthly Deduction'!$M$2:$N$64,2,0),0)</f>
        <v>0</v>
      </c>
      <c r="Z733" s="128">
        <v>0</v>
      </c>
      <c r="AA733" s="126">
        <f>IFERROR(VLOOKUP(D733,'Monthly Deduction'!A:B,2,0),0)</f>
        <v>0</v>
      </c>
      <c r="AB733" s="129">
        <f t="shared" si="208"/>
        <v>1962</v>
      </c>
      <c r="AC733" s="130">
        <v>0</v>
      </c>
      <c r="AD733" s="35">
        <f t="shared" si="223"/>
        <v>1962</v>
      </c>
      <c r="AE733" s="166" t="str">
        <f t="shared" si="220"/>
        <v>Release</v>
      </c>
      <c r="AF733" s="127"/>
      <c r="AG733" s="18">
        <v>0</v>
      </c>
      <c r="AH733" s="132"/>
      <c r="AI733" s="238">
        <v>0</v>
      </c>
      <c r="AJ733" s="132"/>
      <c r="AK733" s="151">
        <v>621.6</v>
      </c>
      <c r="AL733" s="154">
        <f t="shared" si="209"/>
        <v>0</v>
      </c>
      <c r="AM733" s="155"/>
      <c r="AN733" s="19">
        <f t="shared" si="210"/>
        <v>2053.7162859744299</v>
      </c>
      <c r="AO733" s="118">
        <f>SUMIF('MPG Payment '!E:E,'Shayak Income '!D733,'MPG Payment '!AJ:AJ)</f>
        <v>0</v>
      </c>
      <c r="AP733" s="19">
        <f t="shared" si="211"/>
        <v>2053.7162859744299</v>
      </c>
      <c r="AQ733" s="119">
        <f t="shared" si="224"/>
        <v>2053.7162859744299</v>
      </c>
      <c r="AR733" s="91" t="s">
        <v>1168</v>
      </c>
      <c r="AS733" s="91">
        <f t="shared" si="212"/>
        <v>0</v>
      </c>
      <c r="AT733" s="118"/>
      <c r="AU733" s="118"/>
      <c r="AV733" s="118"/>
    </row>
    <row r="734" spans="1:48" s="20" customFormat="1" x14ac:dyDescent="0.25">
      <c r="A734" s="17">
        <f>IFERROR(VLOOKUP(D734,'Monthly Deduction'!$I$3:$J$957,2,0),0)</f>
        <v>0</v>
      </c>
      <c r="B734" s="17">
        <f>IFERROR(VLOOKUP(D734,'Monthly Deduction'!$E$3:$F$957,2,0),0)</f>
        <v>0</v>
      </c>
      <c r="C734" s="17">
        <f t="shared" si="222"/>
        <v>0</v>
      </c>
      <c r="D734" s="41">
        <v>10130114</v>
      </c>
      <c r="E734" s="122" t="str">
        <f>VLOOKUP(D734,'MPG Payment '!$E$3:$G$498218,2,0)</f>
        <v>GOMUKH MAHINDWARA</v>
      </c>
      <c r="F734" s="146">
        <f>IFERROR(_xlfn.XLOOKUP(D734,'Monthly Deduction'!$I$3:$I$957,'Monthly Deduction'!$H$3:$H$957),0)</f>
        <v>0</v>
      </c>
      <c r="G734" s="123" t="str">
        <f>VLOOKUP(D734,'MPG Payment '!$E$3:$G$334579,3,0)</f>
        <v>vlc</v>
      </c>
      <c r="H734" s="124" t="str">
        <f>VLOOKUP(D734,'MPG Payment '!$E$3:$H$334579,4,0)</f>
        <v>Indirect</v>
      </c>
      <c r="I734" s="88">
        <f>INDEX('MPG Payment '!$C:$C,MATCH('Shayak Income '!D734,'MPG Payment '!E:E,0))</f>
        <v>1013</v>
      </c>
      <c r="J734" s="88" t="str">
        <f>INDEX('MPG Payment '!$D:$D,MATCH('Shayak Income '!D734,'MPG Payment '!E:E,0))</f>
        <v>Musrigharari</v>
      </c>
      <c r="K734" s="125" t="s">
        <v>1322</v>
      </c>
      <c r="L734" s="125">
        <v>46027</v>
      </c>
      <c r="M734" s="126">
        <f>SUMIF('MPG Payment '!$E$3:$E$34579,'Shayak Income '!D734,'MPG Payment '!$I$3:$I$34579)</f>
        <v>1341.6</v>
      </c>
      <c r="N734" s="126">
        <f>SUMIF('MPG Payment '!$E$3:$E$34579,'Shayak Income '!D734,'MPG Payment '!$J$3:$J$34579)</f>
        <v>47579.560503357505</v>
      </c>
      <c r="O734" s="126">
        <f t="shared" si="214"/>
        <v>1006.1999999999999</v>
      </c>
      <c r="P734" s="126">
        <f t="shared" si="215"/>
        <v>1274.5199999999998</v>
      </c>
      <c r="Q734" s="126">
        <f>SUMIF('MPG Payment '!$E$3:$E$34579,'Shayak Income '!D734,'MPG Payment '!$S$3:$S$34579)</f>
        <v>0</v>
      </c>
      <c r="R734" s="126">
        <f t="shared" si="205"/>
        <v>1427.386815100725</v>
      </c>
      <c r="S734" s="126">
        <f t="shared" si="206"/>
        <v>152.86681510072526</v>
      </c>
      <c r="T734" s="126">
        <f t="shared" si="216"/>
        <v>134.16</v>
      </c>
      <c r="U734" s="127">
        <f>(((IF(K734="New",0,SUMIF('MPG Payment '!$E$3:$E$34579,'Shayak Income '!D734,'MPG Payment '!$AC$3:$AC$34579))))+0)+0</f>
        <v>1029.7026164556091</v>
      </c>
      <c r="V734" s="127">
        <f t="shared" si="217"/>
        <v>1117</v>
      </c>
      <c r="W734" s="19">
        <f t="shared" si="226"/>
        <v>0</v>
      </c>
      <c r="X734" s="19">
        <f t="shared" si="207"/>
        <v>0</v>
      </c>
      <c r="Y734" s="128">
        <f>IFERROR(VLOOKUP(D734,'Monthly Deduction'!$M$2:$N$64,2,0),0)</f>
        <v>0</v>
      </c>
      <c r="Z734" s="128">
        <v>0</v>
      </c>
      <c r="AA734" s="126">
        <f>IFERROR(VLOOKUP(D734,'Monthly Deduction'!A:B,2,0),0)</f>
        <v>0</v>
      </c>
      <c r="AB734" s="129">
        <f t="shared" si="208"/>
        <v>1117</v>
      </c>
      <c r="AC734" s="130">
        <v>0</v>
      </c>
      <c r="AD734" s="35">
        <f t="shared" si="223"/>
        <v>1117</v>
      </c>
      <c r="AE734" s="166" t="str">
        <f t="shared" si="220"/>
        <v>Release</v>
      </c>
      <c r="AF734" s="127"/>
      <c r="AG734" s="18">
        <v>0</v>
      </c>
      <c r="AH734" s="132"/>
      <c r="AI734" s="238">
        <v>0</v>
      </c>
      <c r="AJ734" s="132"/>
      <c r="AK734" s="151">
        <v>355.8</v>
      </c>
      <c r="AL734" s="154">
        <f t="shared" si="209"/>
        <v>0</v>
      </c>
      <c r="AM734" s="155"/>
      <c r="AN734" s="19">
        <f t="shared" si="210"/>
        <v>0</v>
      </c>
      <c r="AO734" s="118">
        <f>SUMIF('MPG Payment '!E:E,'Shayak Income '!D734,'MPG Payment '!AJ:AJ)</f>
        <v>0</v>
      </c>
      <c r="AP734" s="19">
        <f t="shared" si="211"/>
        <v>0</v>
      </c>
      <c r="AQ734" s="119">
        <f t="shared" si="224"/>
        <v>0</v>
      </c>
      <c r="AR734" s="91" t="s">
        <v>1168</v>
      </c>
      <c r="AS734" s="91">
        <f t="shared" si="212"/>
        <v>0</v>
      </c>
      <c r="AT734" s="118"/>
      <c r="AU734" s="118"/>
      <c r="AV734" s="118"/>
    </row>
    <row r="735" spans="1:48" s="20" customFormat="1" x14ac:dyDescent="0.25">
      <c r="A735" s="17">
        <f>IFERROR(VLOOKUP(D735,'Monthly Deduction'!$I$3:$J$957,2,0),0)</f>
        <v>0</v>
      </c>
      <c r="B735" s="17">
        <f>IFERROR(VLOOKUP(D735,'Monthly Deduction'!$E$3:$F$957,2,0),0)</f>
        <v>0</v>
      </c>
      <c r="C735" s="17">
        <f t="shared" si="222"/>
        <v>0</v>
      </c>
      <c r="D735" s="41">
        <v>10140147</v>
      </c>
      <c r="E735" s="122" t="str">
        <f>VLOOKUP(D735,'MPG Payment '!$E$3:$G$498218,2,0)</f>
        <v xml:space="preserve">Gomukh Mathuradera Upendra </v>
      </c>
      <c r="F735" s="146">
        <f>IFERROR(_xlfn.XLOOKUP(D735,'Monthly Deduction'!$I$3:$I$957,'Monthly Deduction'!$H$3:$H$957),0)</f>
        <v>0</v>
      </c>
      <c r="G735" s="123" t="str">
        <f>VLOOKUP(D735,'MPG Payment '!$E$3:$G$334579,3,0)</f>
        <v>vlc</v>
      </c>
      <c r="H735" s="124" t="str">
        <f>VLOOKUP(D735,'MPG Payment '!$E$3:$H$334579,4,0)</f>
        <v>Indirect</v>
      </c>
      <c r="I735" s="88">
        <f>INDEX('MPG Payment '!$C:$C,MATCH('Shayak Income '!D735,'MPG Payment '!E:E,0))</f>
        <v>1014</v>
      </c>
      <c r="J735" s="88" t="str">
        <f>INDEX('MPG Payment '!$D:$D,MATCH('Shayak Income '!D735,'MPG Payment '!E:E,0))</f>
        <v>Dumraon</v>
      </c>
      <c r="K735" s="125" t="s">
        <v>1322</v>
      </c>
      <c r="L735" s="125">
        <v>46025</v>
      </c>
      <c r="M735" s="126">
        <f>SUMIF('MPG Payment '!$E$3:$E$34579,'Shayak Income '!D735,'MPG Payment '!$I$3:$I$34579)</f>
        <v>1210.2999999999997</v>
      </c>
      <c r="N735" s="126">
        <f>SUMIF('MPG Payment '!$E$3:$E$34579,'Shayak Income '!D735,'MPG Payment '!$J$3:$J$34579)</f>
        <v>44145.427196670003</v>
      </c>
      <c r="O735" s="126">
        <f t="shared" si="214"/>
        <v>907.7249999999998</v>
      </c>
      <c r="P735" s="126">
        <f t="shared" si="215"/>
        <v>1149.7849999999996</v>
      </c>
      <c r="Q735" s="126">
        <f>SUMIF('MPG Payment '!$E$3:$E$34579,'Shayak Income '!D735,'MPG Payment '!$S$3:$S$34579)</f>
        <v>0</v>
      </c>
      <c r="R735" s="126">
        <f t="shared" si="205"/>
        <v>1324.3628159001</v>
      </c>
      <c r="S735" s="126">
        <f t="shared" si="206"/>
        <v>174.5778159001004</v>
      </c>
      <c r="T735" s="126">
        <f t="shared" si="216"/>
        <v>121.02999999999997</v>
      </c>
      <c r="U735" s="127">
        <f>(((IF(K735="New",0,SUMIF('MPG Payment '!$E$3:$E$34579,'Shayak Income '!D735,'MPG Payment '!$AC$3:$AC$34579))))+0)+0</f>
        <v>1145.5073534956985</v>
      </c>
      <c r="V735" s="127">
        <f t="shared" si="217"/>
        <v>791</v>
      </c>
      <c r="W735" s="19">
        <f t="shared" si="226"/>
        <v>0</v>
      </c>
      <c r="X735" s="19">
        <f t="shared" si="207"/>
        <v>0</v>
      </c>
      <c r="Y735" s="128">
        <f>IFERROR(VLOOKUP(D735,'Monthly Deduction'!$M$2:$N$64,2,0),0)</f>
        <v>0</v>
      </c>
      <c r="Z735" s="128">
        <v>0</v>
      </c>
      <c r="AA735" s="126">
        <f>IFERROR(VLOOKUP(D735,'Monthly Deduction'!A:B,2,0),0)</f>
        <v>0</v>
      </c>
      <c r="AB735" s="129">
        <f t="shared" si="208"/>
        <v>791</v>
      </c>
      <c r="AC735" s="130">
        <v>0</v>
      </c>
      <c r="AD735" s="35">
        <f t="shared" si="223"/>
        <v>791</v>
      </c>
      <c r="AE735" s="166" t="str">
        <f t="shared" si="220"/>
        <v>Release</v>
      </c>
      <c r="AF735" s="127"/>
      <c r="AG735" s="18">
        <v>0</v>
      </c>
      <c r="AH735" s="120"/>
      <c r="AI735" s="238">
        <v>0</v>
      </c>
      <c r="AJ735" s="132"/>
      <c r="AK735" s="151">
        <v>583.4</v>
      </c>
      <c r="AL735" s="154">
        <f t="shared" si="209"/>
        <v>0</v>
      </c>
      <c r="AM735" s="155"/>
      <c r="AN735" s="19">
        <f t="shared" si="210"/>
        <v>0</v>
      </c>
      <c r="AO735" s="118">
        <f>SUMIF('MPG Payment '!E:E,'Shayak Income '!D735,'MPG Payment '!AJ:AJ)</f>
        <v>0</v>
      </c>
      <c r="AP735" s="19">
        <f t="shared" si="211"/>
        <v>0</v>
      </c>
      <c r="AQ735" s="119">
        <f t="shared" si="224"/>
        <v>0</v>
      </c>
      <c r="AR735" s="91" t="s">
        <v>1168</v>
      </c>
      <c r="AS735" s="91">
        <f t="shared" si="212"/>
        <v>0</v>
      </c>
      <c r="AT735" s="118"/>
      <c r="AU735" s="118"/>
      <c r="AV735" s="118"/>
    </row>
    <row r="736" spans="1:48" s="20" customFormat="1" x14ac:dyDescent="0.25">
      <c r="A736" s="17">
        <f>IFERROR(VLOOKUP(D736,'Monthly Deduction'!$I$3:$J$957,2,0),0)</f>
        <v>0</v>
      </c>
      <c r="B736" s="17">
        <f>IFERROR(VLOOKUP(D736,'Monthly Deduction'!$E$3:$F$957,2,0),0)</f>
        <v>0</v>
      </c>
      <c r="C736" s="17">
        <f t="shared" si="222"/>
        <v>0</v>
      </c>
      <c r="D736" s="41">
        <v>10480036</v>
      </c>
      <c r="E736" s="122" t="str">
        <f>VLOOKUP(D736,'MPG Payment '!$E$3:$G$498218,2,0)</f>
        <v>Gomukh Pachgachhia Vlc</v>
      </c>
      <c r="F736" s="146">
        <f>IFERROR(_xlfn.XLOOKUP(D736,'Monthly Deduction'!$I$3:$I$957,'Monthly Deduction'!$H$3:$H$957),0)</f>
        <v>0</v>
      </c>
      <c r="G736" s="123" t="str">
        <f>VLOOKUP(D736,'MPG Payment '!$E$3:$G$334579,3,0)</f>
        <v>vlc</v>
      </c>
      <c r="H736" s="124" t="str">
        <f>VLOOKUP(D736,'MPG Payment '!$E$3:$H$334579,4,0)</f>
        <v>Indirect</v>
      </c>
      <c r="I736" s="88">
        <f>INDEX('MPG Payment '!$C:$C,MATCH('Shayak Income '!D736,'MPG Payment '!E:E,0))</f>
        <v>1036</v>
      </c>
      <c r="J736" s="88" t="str">
        <f>INDEX('MPG Payment '!$D:$D,MATCH('Shayak Income '!D736,'MPG Payment '!E:E,0))</f>
        <v>MAHADAT PUR 2</v>
      </c>
      <c r="K736" s="125" t="s">
        <v>1322</v>
      </c>
      <c r="L736" s="125">
        <v>46024</v>
      </c>
      <c r="M736" s="126">
        <f>SUMIF('MPG Payment '!$E$3:$E$34579,'Shayak Income '!D736,'MPG Payment '!$I$3:$I$34579)</f>
        <v>682.50000000000011</v>
      </c>
      <c r="N736" s="126">
        <f>SUMIF('MPG Payment '!$E$3:$E$34579,'Shayak Income '!D736,'MPG Payment '!$J$3:$J$34579)</f>
        <v>23634.516299672501</v>
      </c>
      <c r="O736" s="126">
        <f t="shared" si="214"/>
        <v>511.87500000000011</v>
      </c>
      <c r="P736" s="126">
        <f t="shared" si="215"/>
        <v>648.37500000000011</v>
      </c>
      <c r="Q736" s="126">
        <f>SUMIF('MPG Payment '!$E$3:$E$34579,'Shayak Income '!D736,'MPG Payment '!$S$3:$S$34579)</f>
        <v>0</v>
      </c>
      <c r="R736" s="126">
        <f t="shared" si="205"/>
        <v>709.03548899017505</v>
      </c>
      <c r="S736" s="126">
        <f t="shared" si="206"/>
        <v>60.66048899017494</v>
      </c>
      <c r="T736" s="126">
        <f t="shared" si="216"/>
        <v>68.250000000000014</v>
      </c>
      <c r="U736" s="127">
        <f>(((IF(K736="New",0,SUMIF('MPG Payment '!$E$3:$E$34579,'Shayak Income '!D736,'MPG Payment '!$AC$3:$AC$34579))))+0)+-373</f>
        <v>1092.2132273054674</v>
      </c>
      <c r="V736" s="127">
        <f t="shared" si="217"/>
        <v>0</v>
      </c>
      <c r="W736" s="19">
        <v>0</v>
      </c>
      <c r="X736" s="19">
        <v>0</v>
      </c>
      <c r="Y736" s="128">
        <f>IFERROR(VLOOKUP(D736,'Monthly Deduction'!$M$2:$N$64,2,0),0)</f>
        <v>0</v>
      </c>
      <c r="Z736" s="128">
        <v>0</v>
      </c>
      <c r="AA736" s="126">
        <f>IFERROR(VLOOKUP(D736,'Monthly Deduction'!A:B,2,0),0)</f>
        <v>0</v>
      </c>
      <c r="AB736" s="129">
        <f t="shared" si="208"/>
        <v>0</v>
      </c>
      <c r="AC736" s="130">
        <v>0</v>
      </c>
      <c r="AD736" s="35">
        <f t="shared" si="223"/>
        <v>0</v>
      </c>
      <c r="AE736" s="166" t="str">
        <f t="shared" si="220"/>
        <v>Release</v>
      </c>
      <c r="AF736" s="127"/>
      <c r="AG736" s="18">
        <v>0</v>
      </c>
      <c r="AH736" s="120"/>
      <c r="AI736" s="238">
        <v>0</v>
      </c>
      <c r="AJ736" s="132"/>
      <c r="AK736" s="151">
        <v>164.7</v>
      </c>
      <c r="AL736" s="154">
        <f t="shared" si="209"/>
        <v>0</v>
      </c>
      <c r="AM736" s="155"/>
      <c r="AN736" s="19">
        <f t="shared" si="210"/>
        <v>0</v>
      </c>
      <c r="AO736" s="118">
        <f>SUMIF('MPG Payment '!E:E,'Shayak Income '!D736,'MPG Payment '!AJ:AJ)</f>
        <v>0</v>
      </c>
      <c r="AP736" s="19">
        <f t="shared" si="211"/>
        <v>0</v>
      </c>
      <c r="AQ736" s="119">
        <f t="shared" si="224"/>
        <v>0</v>
      </c>
      <c r="AR736" s="91" t="s">
        <v>1168</v>
      </c>
      <c r="AS736" s="91">
        <f t="shared" si="212"/>
        <v>0</v>
      </c>
      <c r="AT736" s="118"/>
      <c r="AU736" s="118"/>
      <c r="AV736" s="118"/>
    </row>
    <row r="737" spans="1:48" s="20" customFormat="1" x14ac:dyDescent="0.25">
      <c r="A737" s="17">
        <f>IFERROR(VLOOKUP(D737,'Monthly Deduction'!$I$3:$J$957,2,0),0)</f>
        <v>0</v>
      </c>
      <c r="B737" s="17">
        <f>IFERROR(VLOOKUP(D737,'Monthly Deduction'!$E$3:$F$957,2,0),0)</f>
        <v>0</v>
      </c>
      <c r="C737" s="17">
        <f t="shared" si="222"/>
        <v>0</v>
      </c>
      <c r="D737" s="41">
        <v>10520010</v>
      </c>
      <c r="E737" s="122" t="str">
        <f>VLOOKUP(D737,'MPG Payment '!$E$3:$G$498218,2,0)</f>
        <v>Anik Kumar</v>
      </c>
      <c r="F737" s="146">
        <f>IFERROR(_xlfn.XLOOKUP(D737,'Monthly Deduction'!$I$3:$I$957,'Monthly Deduction'!$H$3:$H$957),0)</f>
        <v>0</v>
      </c>
      <c r="G737" s="123" t="str">
        <f>VLOOKUP(D737,'MPG Payment '!$E$3:$G$334579,3,0)</f>
        <v>vlc</v>
      </c>
      <c r="H737" s="124" t="str">
        <f>VLOOKUP(D737,'MPG Payment '!$E$3:$H$334579,4,0)</f>
        <v>Indirect</v>
      </c>
      <c r="I737" s="88">
        <f>INDEX('MPG Payment '!$C:$C,MATCH('Shayak Income '!D737,'MPG Payment '!E:E,0))</f>
        <v>1053</v>
      </c>
      <c r="J737" s="88" t="str">
        <f>INDEX('MPG Payment '!$D:$D,MATCH('Shayak Income '!D737,'MPG Payment '!E:E,0))</f>
        <v>Kalyanpur</v>
      </c>
      <c r="K737" s="125" t="s">
        <v>1322</v>
      </c>
      <c r="L737" s="125">
        <v>46029</v>
      </c>
      <c r="M737" s="126">
        <f>SUMIF('MPG Payment '!$E$3:$E$34579,'Shayak Income '!D737,'MPG Payment '!$I$3:$I$34579)</f>
        <v>19649</v>
      </c>
      <c r="N737" s="126">
        <f>SUMIF('MPG Payment '!$E$3:$E$34579,'Shayak Income '!D737,'MPG Payment '!$J$3:$J$34579)</f>
        <v>785567.70762969996</v>
      </c>
      <c r="O737" s="126">
        <f t="shared" si="214"/>
        <v>14736.75</v>
      </c>
      <c r="P737" s="126">
        <f t="shared" si="215"/>
        <v>18666.55</v>
      </c>
      <c r="Q737" s="126">
        <f>SUMIF('MPG Payment '!$E$3:$E$34579,'Shayak Income '!D737,'MPG Payment '!$S$3:$S$34579)</f>
        <v>0</v>
      </c>
      <c r="R737" s="126">
        <f t="shared" si="205"/>
        <v>23567.031228890999</v>
      </c>
      <c r="S737" s="126">
        <f t="shared" si="206"/>
        <v>4900.4812288909998</v>
      </c>
      <c r="T737" s="126">
        <v>0</v>
      </c>
      <c r="U737" s="127">
        <f>(((IF(K737="New",0,SUMIF('MPG Payment '!$E$3:$E$34579,'Shayak Income '!D737,'MPG Payment '!$AC$3:$AC$34579))))+0)+0</f>
        <v>0</v>
      </c>
      <c r="V737" s="127">
        <f t="shared" si="217"/>
        <v>33403</v>
      </c>
      <c r="W737" s="19">
        <f t="shared" si="226"/>
        <v>0</v>
      </c>
      <c r="X737" s="19">
        <f t="shared" si="207"/>
        <v>0</v>
      </c>
      <c r="Y737" s="128">
        <f>IFERROR(VLOOKUP(D737,'Monthly Deduction'!$M$2:$N$64,2,0),0)</f>
        <v>0</v>
      </c>
      <c r="Z737" s="128">
        <v>0</v>
      </c>
      <c r="AA737" s="126">
        <f>IFERROR(VLOOKUP(D737,'Monthly Deduction'!A:B,2,0),0)</f>
        <v>0</v>
      </c>
      <c r="AB737" s="129">
        <f t="shared" si="208"/>
        <v>33403</v>
      </c>
      <c r="AC737" s="130">
        <v>0</v>
      </c>
      <c r="AD737" s="35">
        <f t="shared" si="223"/>
        <v>33403</v>
      </c>
      <c r="AE737" s="166" t="str">
        <f t="shared" si="220"/>
        <v>Release</v>
      </c>
      <c r="AF737" s="127"/>
      <c r="AG737" s="18">
        <v>0</v>
      </c>
      <c r="AH737" s="132"/>
      <c r="AI737" s="238">
        <v>0</v>
      </c>
      <c r="AJ737" s="132"/>
      <c r="AK737" s="151">
        <v>5613</v>
      </c>
      <c r="AL737" s="154">
        <f t="shared" si="209"/>
        <v>0</v>
      </c>
      <c r="AM737" s="155"/>
      <c r="AN737" s="19">
        <f t="shared" si="210"/>
        <v>0</v>
      </c>
      <c r="AO737" s="118">
        <f>SUMIF('MPG Payment '!E:E,'Shayak Income '!D737,'MPG Payment '!AJ:AJ)</f>
        <v>0</v>
      </c>
      <c r="AP737" s="19">
        <f t="shared" si="211"/>
        <v>0</v>
      </c>
      <c r="AQ737" s="119">
        <f t="shared" si="224"/>
        <v>0</v>
      </c>
      <c r="AR737" s="91" t="s">
        <v>1168</v>
      </c>
      <c r="AS737" s="91">
        <f t="shared" si="212"/>
        <v>0</v>
      </c>
      <c r="AT737" s="118"/>
      <c r="AU737" s="118"/>
      <c r="AV737" s="118"/>
    </row>
    <row r="738" spans="1:48" s="20" customFormat="1" x14ac:dyDescent="0.25">
      <c r="A738" s="17">
        <f>IFERROR(VLOOKUP(D738,'Monthly Deduction'!$I$3:$J$957,2,0),0)</f>
        <v>0</v>
      </c>
      <c r="B738" s="17">
        <f>IFERROR(VLOOKUP(D738,'Monthly Deduction'!$E$3:$F$957,2,0),0)</f>
        <v>0</v>
      </c>
      <c r="C738" s="17">
        <f t="shared" si="222"/>
        <v>0</v>
      </c>
      <c r="D738" s="41">
        <v>10540015</v>
      </c>
      <c r="E738" s="122" t="str">
        <f>VLOOKUP(D738,'MPG Payment '!$E$3:$G$498218,2,0)</f>
        <v>SUNIL KUMAR VLC</v>
      </c>
      <c r="F738" s="146">
        <f>IFERROR(_xlfn.XLOOKUP(D738,'Monthly Deduction'!$I$3:$I$957,'Monthly Deduction'!$H$3:$H$957),0)</f>
        <v>0</v>
      </c>
      <c r="G738" s="123" t="str">
        <f>VLOOKUP(D738,'MPG Payment '!$E$3:$G$334579,3,0)</f>
        <v>vlc</v>
      </c>
      <c r="H738" s="124" t="str">
        <f>VLOOKUP(D738,'MPG Payment '!$E$3:$H$334579,4,0)</f>
        <v>Indirect</v>
      </c>
      <c r="I738" s="88">
        <f>INDEX('MPG Payment '!$C:$C,MATCH('Shayak Income '!D738,'MPG Payment '!E:E,0))</f>
        <v>1054</v>
      </c>
      <c r="J738" s="88" t="str">
        <f>INDEX('MPG Payment '!$D:$D,MATCH('Shayak Income '!D738,'MPG Payment '!E:E,0))</f>
        <v xml:space="preserve">Alauli </v>
      </c>
      <c r="K738" s="125" t="s">
        <v>1322</v>
      </c>
      <c r="L738" s="125">
        <v>45850</v>
      </c>
      <c r="M738" s="126">
        <f>SUMIF('MPG Payment '!$E$3:$E$34579,'Shayak Income '!D738,'MPG Payment '!$I$3:$I$34579)</f>
        <v>1054.24</v>
      </c>
      <c r="N738" s="126">
        <f>SUMIF('MPG Payment '!$E$3:$E$34579,'Shayak Income '!D738,'MPG Payment '!$J$3:$J$34579)</f>
        <v>40165.112511956002</v>
      </c>
      <c r="O738" s="126">
        <f t="shared" si="214"/>
        <v>790.68000000000006</v>
      </c>
      <c r="P738" s="126">
        <f t="shared" si="215"/>
        <v>1001.5279999999999</v>
      </c>
      <c r="Q738" s="126">
        <f>SUMIF('MPG Payment '!$E$3:$E$34579,'Shayak Income '!D738,'MPG Payment '!$S$3:$S$34579)</f>
        <v>0</v>
      </c>
      <c r="R738" s="126">
        <f t="shared" si="205"/>
        <v>1204.95337535868</v>
      </c>
      <c r="S738" s="126">
        <f t="shared" si="206"/>
        <v>203.42537535868007</v>
      </c>
      <c r="T738" s="126">
        <f t="shared" si="216"/>
        <v>105.42400000000001</v>
      </c>
      <c r="U738" s="127">
        <f>(((IF(K738="New",0,SUMIF('MPG Payment '!$E$3:$E$34579,'Shayak Income '!D738,'MPG Payment '!$AC$3:$AC$34579))))+0)+0</f>
        <v>795.77129582477369</v>
      </c>
      <c r="V738" s="127">
        <f t="shared" si="217"/>
        <v>891</v>
      </c>
      <c r="W738" s="19">
        <f t="shared" si="226"/>
        <v>0</v>
      </c>
      <c r="X738" s="19">
        <f t="shared" si="207"/>
        <v>0</v>
      </c>
      <c r="Y738" s="128">
        <f>IFERROR(VLOOKUP(D738,'Monthly Deduction'!$M$2:$N$64,2,0),0)</f>
        <v>0</v>
      </c>
      <c r="Z738" s="128">
        <v>0</v>
      </c>
      <c r="AA738" s="126">
        <f>IFERROR(VLOOKUP(D738,'Monthly Deduction'!A:B,2,0),0)</f>
        <v>0</v>
      </c>
      <c r="AB738" s="129">
        <f t="shared" si="208"/>
        <v>891</v>
      </c>
      <c r="AC738" s="130">
        <v>0</v>
      </c>
      <c r="AD738" s="35">
        <f t="shared" si="223"/>
        <v>891</v>
      </c>
      <c r="AE738" s="166" t="str">
        <f t="shared" si="220"/>
        <v>Release</v>
      </c>
      <c r="AF738" s="127"/>
      <c r="AG738" s="18">
        <v>0</v>
      </c>
      <c r="AH738" s="120"/>
      <c r="AI738" s="238">
        <v>0</v>
      </c>
      <c r="AJ738" s="132"/>
      <c r="AK738" s="151">
        <v>856.2</v>
      </c>
      <c r="AL738" s="154">
        <f t="shared" si="209"/>
        <v>0</v>
      </c>
      <c r="AM738" s="155"/>
      <c r="AN738" s="19">
        <f t="shared" si="210"/>
        <v>0</v>
      </c>
      <c r="AO738" s="118">
        <f>SUMIF('MPG Payment '!E:E,'Shayak Income '!D738,'MPG Payment '!AJ:AJ)</f>
        <v>0</v>
      </c>
      <c r="AP738" s="19">
        <f t="shared" si="211"/>
        <v>0</v>
      </c>
      <c r="AQ738" s="119">
        <f t="shared" si="224"/>
        <v>0</v>
      </c>
      <c r="AR738" s="91" t="s">
        <v>1168</v>
      </c>
      <c r="AS738" s="91">
        <f t="shared" si="212"/>
        <v>0</v>
      </c>
      <c r="AT738" s="118"/>
      <c r="AU738" s="118"/>
      <c r="AV738" s="118"/>
    </row>
    <row r="739" spans="1:48" s="20" customFormat="1" x14ac:dyDescent="0.25">
      <c r="A739" s="17">
        <f>IFERROR(VLOOKUP(D739,'Monthly Deduction'!$I$3:$J$957,2,0),0)</f>
        <v>0</v>
      </c>
      <c r="B739" s="17">
        <f>IFERROR(VLOOKUP(D739,'Monthly Deduction'!$E$3:$F$957,2,0),0)</f>
        <v>0</v>
      </c>
      <c r="C739" s="17">
        <f t="shared" si="222"/>
        <v>0</v>
      </c>
      <c r="D739" s="41">
        <v>10540041</v>
      </c>
      <c r="E739" s="122" t="str">
        <f>VLOOKUP(D739,'MPG Payment '!$E$3:$G$498218,2,0)</f>
        <v>Gomukh Darhi Mor</v>
      </c>
      <c r="F739" s="146">
        <f>IFERROR(_xlfn.XLOOKUP(D739,'Monthly Deduction'!$I$3:$I$957,'Monthly Deduction'!$H$3:$H$957),0)</f>
        <v>0</v>
      </c>
      <c r="G739" s="123" t="str">
        <f>VLOOKUP(D739,'MPG Payment '!$E$3:$G$334579,3,0)</f>
        <v>MPG</v>
      </c>
      <c r="H739" s="124" t="str">
        <f>VLOOKUP(D739,'MPG Payment '!$E$3:$H$334579,4,0)</f>
        <v>Indirect</v>
      </c>
      <c r="I739" s="88">
        <f>INDEX('MPG Payment '!$C:$C,MATCH('Shayak Income '!D739,'MPG Payment '!E:E,0))</f>
        <v>1054</v>
      </c>
      <c r="J739" s="88" t="str">
        <f>INDEX('MPG Payment '!$D:$D,MATCH('Shayak Income '!D739,'MPG Payment '!E:E,0))</f>
        <v xml:space="preserve">Alauli </v>
      </c>
      <c r="K739" s="125" t="s">
        <v>1322</v>
      </c>
      <c r="L739" s="125">
        <v>46027</v>
      </c>
      <c r="M739" s="126">
        <f>SUMIF('MPG Payment '!$E$3:$E$34579,'Shayak Income '!D739,'MPG Payment '!$I$3:$I$34579)</f>
        <v>604.9</v>
      </c>
      <c r="N739" s="126">
        <f>SUMIF('MPG Payment '!$E$3:$E$34579,'Shayak Income '!D739,'MPG Payment '!$J$3:$J$34579)</f>
        <v>21069.0217231715</v>
      </c>
      <c r="O739" s="126">
        <f t="shared" si="214"/>
        <v>453.67499999999995</v>
      </c>
      <c r="P739" s="126">
        <f t="shared" si="215"/>
        <v>574.65499999999997</v>
      </c>
      <c r="Q739" s="126">
        <f>SUMIF('MPG Payment '!$E$3:$E$34579,'Shayak Income '!D739,'MPG Payment '!$S$3:$S$34579)</f>
        <v>0</v>
      </c>
      <c r="R739" s="126">
        <f t="shared" si="205"/>
        <v>632.07065169514499</v>
      </c>
      <c r="S739" s="126">
        <f t="shared" si="206"/>
        <v>57.415651695145016</v>
      </c>
      <c r="T739" s="126">
        <f t="shared" si="216"/>
        <v>60.49</v>
      </c>
      <c r="U739" s="127">
        <f>(((IF(K739="New",0,SUMIF('MPG Payment '!$E$3:$E$34579,'Shayak Income '!D739,'MPG Payment '!$AC$3:$AC$34579))))+0)+-568</f>
        <v>968.08153393101588</v>
      </c>
      <c r="V739" s="127">
        <f t="shared" si="217"/>
        <v>0</v>
      </c>
      <c r="W739" s="19">
        <v>0</v>
      </c>
      <c r="X739" s="19">
        <v>0</v>
      </c>
      <c r="Y739" s="128">
        <f>IFERROR(VLOOKUP(D739,'Monthly Deduction'!$M$2:$N$64,2,0),0)</f>
        <v>0</v>
      </c>
      <c r="Z739" s="128">
        <v>0</v>
      </c>
      <c r="AA739" s="126">
        <f>IFERROR(VLOOKUP(D739,'Monthly Deduction'!A:B,2,0),0)</f>
        <v>0</v>
      </c>
      <c r="AB739" s="129">
        <f t="shared" si="208"/>
        <v>0</v>
      </c>
      <c r="AC739" s="130">
        <v>0</v>
      </c>
      <c r="AD739" s="35">
        <f t="shared" si="223"/>
        <v>0</v>
      </c>
      <c r="AE739" s="166" t="str">
        <f t="shared" si="220"/>
        <v>Release</v>
      </c>
      <c r="AF739" s="127"/>
      <c r="AG739" s="18">
        <v>0</v>
      </c>
      <c r="AH739" s="120"/>
      <c r="AI739" s="238">
        <v>0</v>
      </c>
      <c r="AJ739" s="132"/>
      <c r="AK739" s="151">
        <v>95.100000000000009</v>
      </c>
      <c r="AL739" s="154">
        <f t="shared" si="209"/>
        <v>0</v>
      </c>
      <c r="AM739" s="155"/>
      <c r="AN739" s="19">
        <f t="shared" si="210"/>
        <v>0</v>
      </c>
      <c r="AO739" s="118">
        <f>SUMIF('MPG Payment '!E:E,'Shayak Income '!D739,'MPG Payment '!AJ:AJ)</f>
        <v>0</v>
      </c>
      <c r="AP739" s="19">
        <f t="shared" si="211"/>
        <v>0</v>
      </c>
      <c r="AQ739" s="119">
        <f t="shared" si="224"/>
        <v>0</v>
      </c>
      <c r="AR739" s="91" t="s">
        <v>1168</v>
      </c>
      <c r="AS739" s="91">
        <f t="shared" si="212"/>
        <v>0</v>
      </c>
      <c r="AT739" s="118"/>
      <c r="AU739" s="118"/>
      <c r="AV739" s="118"/>
    </row>
    <row r="740" spans="1:48" s="20" customFormat="1" x14ac:dyDescent="0.25">
      <c r="A740" s="17">
        <f>IFERROR(VLOOKUP(D740,'Monthly Deduction'!$I$3:$J$957,2,0),0)</f>
        <v>0</v>
      </c>
      <c r="B740" s="17">
        <f>IFERROR(VLOOKUP(D740,'Monthly Deduction'!$E$3:$F$957,2,0),0)</f>
        <v>0</v>
      </c>
      <c r="C740" s="17">
        <f t="shared" si="222"/>
        <v>0</v>
      </c>
      <c r="D740" s="41">
        <v>10030084</v>
      </c>
      <c r="E740" s="122" t="str">
        <f>VLOOKUP(D740,'MPG Payment '!$E$3:$G$498218,2,0)</f>
        <v>Gomukh Beldra</v>
      </c>
      <c r="F740" s="146">
        <f>IFERROR(_xlfn.XLOOKUP(D740,'Monthly Deduction'!$I$3:$I$957,'Monthly Deduction'!$H$3:$H$957),0)</f>
        <v>0</v>
      </c>
      <c r="G740" s="123" t="str">
        <f>VLOOKUP(D740,'MPG Payment '!$E$3:$G$334579,3,0)</f>
        <v>MPG</v>
      </c>
      <c r="H740" s="124" t="str">
        <f>VLOOKUP(D740,'MPG Payment '!$E$3:$H$334579,4,0)</f>
        <v>Direct</v>
      </c>
      <c r="I740" s="88">
        <f>INDEX('MPG Payment '!$C:$C,MATCH('Shayak Income '!D740,'MPG Payment '!E:E,0))</f>
        <v>1003</v>
      </c>
      <c r="J740" s="88" t="str">
        <f>INDEX('MPG Payment '!$D:$D,MATCH('Shayak Income '!D740,'MPG Payment '!E:E,0))</f>
        <v>Asarganj</v>
      </c>
      <c r="K740" s="125" t="s">
        <v>1322</v>
      </c>
      <c r="L740" s="125">
        <v>46032</v>
      </c>
      <c r="M740" s="126">
        <f>SUMIF('MPG Payment '!$E$3:$E$34579,'Shayak Income '!D740,'MPG Payment '!$I$3:$I$34579)</f>
        <v>816.2</v>
      </c>
      <c r="N740" s="126">
        <f>SUMIF('MPG Payment '!$E$3:$E$34579,'Shayak Income '!D740,'MPG Payment '!$J$3:$J$34579)</f>
        <v>27954.849998825004</v>
      </c>
      <c r="O740" s="126">
        <f t="shared" si="214"/>
        <v>612.15000000000009</v>
      </c>
      <c r="P740" s="126">
        <f t="shared" si="215"/>
        <v>775.39</v>
      </c>
      <c r="Q740" s="126">
        <f>SUMIF('MPG Payment '!$E$3:$E$34579,'Shayak Income '!D740,'MPG Payment '!$S$3:$S$34579)</f>
        <v>0</v>
      </c>
      <c r="R740" s="126">
        <f t="shared" si="205"/>
        <v>838.64549996475012</v>
      </c>
      <c r="S740" s="126">
        <f t="shared" si="206"/>
        <v>63.255499964750129</v>
      </c>
      <c r="T740" s="126">
        <f t="shared" si="216"/>
        <v>81.62</v>
      </c>
      <c r="U740" s="127">
        <f>(((IF(K740="New",0,SUMIF('MPG Payment '!$E$3:$E$34579,'Shayak Income '!D740,'MPG Payment '!$AC$3:$AC$34579))))+0)+-49</f>
        <v>1305.4419407774383</v>
      </c>
      <c r="V740" s="127">
        <f t="shared" si="217"/>
        <v>0</v>
      </c>
      <c r="W740" s="19">
        <v>0</v>
      </c>
      <c r="X740" s="19">
        <v>0</v>
      </c>
      <c r="Y740" s="128">
        <f>IFERROR(VLOOKUP(D740,'Monthly Deduction'!$M$2:$N$64,2,0),0)</f>
        <v>0</v>
      </c>
      <c r="Z740" s="128">
        <v>0</v>
      </c>
      <c r="AA740" s="126">
        <f>IFERROR(VLOOKUP(D740,'Monthly Deduction'!A:B,2,0),0)</f>
        <v>0</v>
      </c>
      <c r="AB740" s="129">
        <f t="shared" si="208"/>
        <v>0</v>
      </c>
      <c r="AC740" s="130">
        <v>0</v>
      </c>
      <c r="AD740" s="35">
        <f t="shared" si="223"/>
        <v>0</v>
      </c>
      <c r="AE740" s="166" t="str">
        <f t="shared" si="220"/>
        <v>Release</v>
      </c>
      <c r="AF740" s="127"/>
      <c r="AG740" s="18">
        <v>0</v>
      </c>
      <c r="AH740" s="120"/>
      <c r="AI740" s="238">
        <v>0</v>
      </c>
      <c r="AJ740" s="132"/>
      <c r="AK740" s="151">
        <v>233.8</v>
      </c>
      <c r="AL740" s="154">
        <f t="shared" si="209"/>
        <v>0</v>
      </c>
      <c r="AM740" s="155"/>
      <c r="AN740" s="19">
        <f t="shared" si="210"/>
        <v>0</v>
      </c>
      <c r="AO740" s="118">
        <f>SUMIF('MPG Payment '!E:E,'Shayak Income '!D740,'MPG Payment '!AJ:AJ)</f>
        <v>0</v>
      </c>
      <c r="AP740" s="19">
        <f t="shared" si="211"/>
        <v>0</v>
      </c>
      <c r="AQ740" s="119">
        <f t="shared" si="224"/>
        <v>0</v>
      </c>
      <c r="AR740" s="91" t="s">
        <v>1168</v>
      </c>
      <c r="AS740" s="91">
        <f t="shared" si="212"/>
        <v>0</v>
      </c>
      <c r="AT740" s="118"/>
      <c r="AU740" s="118"/>
      <c r="AV740" s="118"/>
    </row>
    <row r="741" spans="1:48" s="20" customFormat="1" x14ac:dyDescent="0.25">
      <c r="A741" s="17">
        <f>IFERROR(VLOOKUP(D741,'Monthly Deduction'!$I$3:$J$957,2,0),0)</f>
        <v>0</v>
      </c>
      <c r="B741" s="17">
        <f>IFERROR(VLOOKUP(D741,'Monthly Deduction'!$E$3:$F$957,2,0),0)</f>
        <v>0</v>
      </c>
      <c r="C741" s="17">
        <f t="shared" si="222"/>
        <v>0</v>
      </c>
      <c r="D741" s="41">
        <v>10030085</v>
      </c>
      <c r="E741" s="122" t="str">
        <f>VLOOKUP(D741,'MPG Payment '!$E$3:$G$498218,2,0)</f>
        <v>Gomukh Chandanpura</v>
      </c>
      <c r="F741" s="146">
        <f>IFERROR(_xlfn.XLOOKUP(D741,'Monthly Deduction'!$I$3:$I$957,'Monthly Deduction'!$H$3:$H$957),0)</f>
        <v>0</v>
      </c>
      <c r="G741" s="123" t="str">
        <f>VLOOKUP(D741,'MPG Payment '!$E$3:$G$334579,3,0)</f>
        <v>MPG</v>
      </c>
      <c r="H741" s="124" t="str">
        <f>VLOOKUP(D741,'MPG Payment '!$E$3:$H$334579,4,0)</f>
        <v>Direct</v>
      </c>
      <c r="I741" s="88">
        <f>INDEX('MPG Payment '!$C:$C,MATCH('Shayak Income '!D741,'MPG Payment '!E:E,0))</f>
        <v>1003</v>
      </c>
      <c r="J741" s="88" t="str">
        <f>INDEX('MPG Payment '!$D:$D,MATCH('Shayak Income '!D741,'MPG Payment '!E:E,0))</f>
        <v>Asarganj</v>
      </c>
      <c r="K741" s="125" t="s">
        <v>1322</v>
      </c>
      <c r="L741" s="125">
        <v>46032</v>
      </c>
      <c r="M741" s="126">
        <f>SUMIF('MPG Payment '!$E$3:$E$34579,'Shayak Income '!D741,'MPG Payment '!$I$3:$I$34579)</f>
        <v>1784.85</v>
      </c>
      <c r="N741" s="126">
        <f>SUMIF('MPG Payment '!$E$3:$E$34579,'Shayak Income '!D741,'MPG Payment '!$J$3:$J$34579)</f>
        <v>70603.136409690007</v>
      </c>
      <c r="O741" s="126">
        <f t="shared" si="214"/>
        <v>1338.6374999999998</v>
      </c>
      <c r="P741" s="126">
        <f t="shared" si="215"/>
        <v>1695.6074999999998</v>
      </c>
      <c r="Q741" s="126">
        <f>SUMIF('MPG Payment '!$E$3:$E$34579,'Shayak Income '!D741,'MPG Payment '!$S$3:$S$34579)</f>
        <v>0</v>
      </c>
      <c r="R741" s="126">
        <f t="shared" si="205"/>
        <v>2118.0940922907002</v>
      </c>
      <c r="S741" s="126">
        <f t="shared" si="206"/>
        <v>422.4865922907004</v>
      </c>
      <c r="T741" s="126">
        <f t="shared" si="216"/>
        <v>178.48500000000001</v>
      </c>
      <c r="U741" s="127">
        <f>(((IF(K741="New",0,SUMIF('MPG Payment '!$E$3:$E$34579,'Shayak Income '!D741,'MPG Payment '!$AC$3:$AC$34579))))+0)+0</f>
        <v>790.76412617981725</v>
      </c>
      <c r="V741" s="127">
        <f t="shared" si="217"/>
        <v>2065</v>
      </c>
      <c r="W741" s="19">
        <f t="shared" si="226"/>
        <v>0</v>
      </c>
      <c r="X741" s="19">
        <f t="shared" si="207"/>
        <v>0</v>
      </c>
      <c r="Y741" s="128">
        <f>IFERROR(VLOOKUP(D741,'Monthly Deduction'!$M$2:$N$64,2,0),0)</f>
        <v>0</v>
      </c>
      <c r="Z741" s="128">
        <v>0</v>
      </c>
      <c r="AA741" s="126">
        <f>IFERROR(VLOOKUP(D741,'Monthly Deduction'!A:B,2,0),0)</f>
        <v>0</v>
      </c>
      <c r="AB741" s="129">
        <f t="shared" si="208"/>
        <v>2065</v>
      </c>
      <c r="AC741" s="130">
        <v>0</v>
      </c>
      <c r="AD741" s="35">
        <f t="shared" si="223"/>
        <v>2065</v>
      </c>
      <c r="AE741" s="166" t="str">
        <f t="shared" si="220"/>
        <v>Release</v>
      </c>
      <c r="AF741" s="127"/>
      <c r="AG741" s="18">
        <v>0</v>
      </c>
      <c r="AH741" s="120"/>
      <c r="AI741" s="238">
        <v>0</v>
      </c>
      <c r="AJ741" s="132"/>
      <c r="AK741" s="151">
        <v>607.94999999999993</v>
      </c>
      <c r="AL741" s="154">
        <f t="shared" si="209"/>
        <v>0</v>
      </c>
      <c r="AM741" s="155"/>
      <c r="AN741" s="19">
        <f t="shared" si="210"/>
        <v>0</v>
      </c>
      <c r="AO741" s="118">
        <f>SUMIF('MPG Payment '!E:E,'Shayak Income '!D741,'MPG Payment '!AJ:AJ)</f>
        <v>0</v>
      </c>
      <c r="AP741" s="19">
        <f t="shared" si="211"/>
        <v>0</v>
      </c>
      <c r="AQ741" s="119">
        <f t="shared" si="224"/>
        <v>0</v>
      </c>
      <c r="AR741" s="91" t="s">
        <v>1168</v>
      </c>
      <c r="AS741" s="91">
        <f t="shared" si="212"/>
        <v>0</v>
      </c>
      <c r="AT741" s="118"/>
      <c r="AU741" s="118"/>
      <c r="AV741" s="118"/>
    </row>
    <row r="742" spans="1:48" s="20" customFormat="1" x14ac:dyDescent="0.25">
      <c r="A742" s="17">
        <f>IFERROR(VLOOKUP(D742,'Monthly Deduction'!$I$3:$J$957,2,0),0)</f>
        <v>0</v>
      </c>
      <c r="B742" s="17">
        <f>IFERROR(VLOOKUP(D742,'Monthly Deduction'!$E$3:$F$957,2,0),0)</f>
        <v>0</v>
      </c>
      <c r="C742" s="17">
        <f t="shared" si="222"/>
        <v>0</v>
      </c>
      <c r="D742" s="41">
        <v>10090076</v>
      </c>
      <c r="E742" s="122" t="str">
        <f>VLOOKUP(D742,'MPG Payment '!$E$3:$G$498218,2,0)</f>
        <v>Gomukh Champa</v>
      </c>
      <c r="F742" s="146">
        <f>IFERROR(_xlfn.XLOOKUP(D742,'Monthly Deduction'!$I$3:$I$957,'Monthly Deduction'!$H$3:$H$957),0)</f>
        <v>0</v>
      </c>
      <c r="G742" s="123" t="str">
        <f>VLOOKUP(D742,'MPG Payment '!$E$3:$G$334579,3,0)</f>
        <v>vlc</v>
      </c>
      <c r="H742" s="124" t="str">
        <f>VLOOKUP(D742,'MPG Payment '!$E$3:$H$334579,4,0)</f>
        <v>Indirect</v>
      </c>
      <c r="I742" s="88">
        <f>INDEX('MPG Payment '!$C:$C,MATCH('Shayak Income '!D742,'MPG Payment '!E:E,0))</f>
        <v>1009</v>
      </c>
      <c r="J742" s="88" t="str">
        <f>INDEX('MPG Payment '!$D:$D,MATCH('Shayak Income '!D742,'MPG Payment '!E:E,0))</f>
        <v>Halsi</v>
      </c>
      <c r="K742" s="125" t="s">
        <v>1322</v>
      </c>
      <c r="L742" s="125">
        <v>46036</v>
      </c>
      <c r="M742" s="126">
        <f>SUMIF('MPG Payment '!$E$3:$E$34579,'Shayak Income '!D742,'MPG Payment '!$I$3:$I$34579)</f>
        <v>58520</v>
      </c>
      <c r="N742" s="126">
        <f>SUMIF('MPG Payment '!$E$3:$E$34579,'Shayak Income '!D742,'MPG Payment '!$J$3:$J$34579)</f>
        <v>2224983.2200999996</v>
      </c>
      <c r="O742" s="126">
        <f t="shared" si="214"/>
        <v>43890</v>
      </c>
      <c r="P742" s="126">
        <f t="shared" si="215"/>
        <v>55594</v>
      </c>
      <c r="Q742" s="126">
        <f>SUMIF('MPG Payment '!$E$3:$E$34579,'Shayak Income '!D742,'MPG Payment '!$S$3:$S$34579)</f>
        <v>0</v>
      </c>
      <c r="R742" s="126">
        <f t="shared" si="205"/>
        <v>66749.496602999978</v>
      </c>
      <c r="S742" s="126">
        <f t="shared" si="206"/>
        <v>11155.496602999978</v>
      </c>
      <c r="T742" s="126">
        <f t="shared" si="216"/>
        <v>5852</v>
      </c>
      <c r="U742" s="127">
        <f>(((IF(K742="New",0,SUMIF('MPG Payment '!$E$3:$E$34579,'Shayak Income '!D742,'MPG Payment '!$AC$3:$AC$34579))))+0)+0</f>
        <v>0</v>
      </c>
      <c r="V742" s="127">
        <f t="shared" si="217"/>
        <v>93632</v>
      </c>
      <c r="W742" s="19">
        <f t="shared" si="226"/>
        <v>0</v>
      </c>
      <c r="X742" s="19">
        <f t="shared" si="207"/>
        <v>0</v>
      </c>
      <c r="Y742" s="128">
        <f>IFERROR(VLOOKUP(D742,'Monthly Deduction'!$M$2:$N$64,2,0),0)</f>
        <v>0</v>
      </c>
      <c r="Z742" s="128">
        <v>0</v>
      </c>
      <c r="AA742" s="126">
        <f>IFERROR(VLOOKUP(D742,'Monthly Deduction'!A:B,2,0),0)</f>
        <v>0</v>
      </c>
      <c r="AB742" s="129">
        <f t="shared" si="208"/>
        <v>93632</v>
      </c>
      <c r="AC742" s="130">
        <v>0</v>
      </c>
      <c r="AD742" s="35">
        <f t="shared" si="223"/>
        <v>93632</v>
      </c>
      <c r="AE742" s="166" t="str">
        <f t="shared" si="220"/>
        <v>Release</v>
      </c>
      <c r="AF742" s="127"/>
      <c r="AG742" s="18">
        <v>0</v>
      </c>
      <c r="AH742" s="132"/>
      <c r="AI742" s="238">
        <v>0</v>
      </c>
      <c r="AJ742" s="132"/>
      <c r="AK742" s="151">
        <v>12500</v>
      </c>
      <c r="AL742" s="154">
        <f t="shared" si="209"/>
        <v>0</v>
      </c>
      <c r="AM742" s="155"/>
      <c r="AN742" s="19">
        <f t="shared" si="210"/>
        <v>0</v>
      </c>
      <c r="AO742" s="118">
        <f>SUMIF('MPG Payment '!E:E,'Shayak Income '!D742,'MPG Payment '!AJ:AJ)</f>
        <v>0</v>
      </c>
      <c r="AP742" s="19">
        <f t="shared" si="211"/>
        <v>0</v>
      </c>
      <c r="AQ742" s="119">
        <f t="shared" si="224"/>
        <v>0</v>
      </c>
      <c r="AR742" s="91" t="s">
        <v>1168</v>
      </c>
      <c r="AS742" s="91">
        <f t="shared" si="212"/>
        <v>0</v>
      </c>
      <c r="AT742" s="118"/>
      <c r="AU742" s="118"/>
      <c r="AV742" s="118"/>
    </row>
    <row r="743" spans="1:48" s="20" customFormat="1" x14ac:dyDescent="0.25">
      <c r="A743" s="17">
        <f>IFERROR(VLOOKUP(D743,'Monthly Deduction'!$I$3:$J$957,2,0),0)</f>
        <v>0</v>
      </c>
      <c r="B743" s="17">
        <f>IFERROR(VLOOKUP(D743,'Monthly Deduction'!$E$3:$F$957,2,0),0)</f>
        <v>0</v>
      </c>
      <c r="C743" s="17">
        <f t="shared" si="222"/>
        <v>0</v>
      </c>
      <c r="D743" s="41">
        <v>10090077</v>
      </c>
      <c r="E743" s="122" t="str">
        <f>VLOOKUP(D743,'MPG Payment '!$E$3:$G$498218,2,0)</f>
        <v>GOMUKH DAKRA</v>
      </c>
      <c r="F743" s="146">
        <f>IFERROR(_xlfn.XLOOKUP(D743,'Monthly Deduction'!$I$3:$I$957,'Monthly Deduction'!$H$3:$H$957),0)</f>
        <v>0</v>
      </c>
      <c r="G743" s="123" t="str">
        <f>VLOOKUP(D743,'MPG Payment '!$E$3:$G$334579,3,0)</f>
        <v>vlc</v>
      </c>
      <c r="H743" s="124" t="str">
        <f>VLOOKUP(D743,'MPG Payment '!$E$3:$H$334579,4,0)</f>
        <v>Indirect</v>
      </c>
      <c r="I743" s="88">
        <f>INDEX('MPG Payment '!$C:$C,MATCH('Shayak Income '!D743,'MPG Payment '!E:E,0))</f>
        <v>1009</v>
      </c>
      <c r="J743" s="88" t="str">
        <f>INDEX('MPG Payment '!$D:$D,MATCH('Shayak Income '!D743,'MPG Payment '!E:E,0))</f>
        <v>Halsi</v>
      </c>
      <c r="K743" s="125" t="s">
        <v>1322</v>
      </c>
      <c r="L743" s="125">
        <v>46036</v>
      </c>
      <c r="M743" s="126">
        <f>SUMIF('MPG Payment '!$E$3:$E$34579,'Shayak Income '!D743,'MPG Payment '!$I$3:$I$34579)</f>
        <v>59100.6</v>
      </c>
      <c r="N743" s="126">
        <f>SUMIF('MPG Payment '!$E$3:$E$34579,'Shayak Income '!D743,'MPG Payment '!$J$3:$J$34579)</f>
        <v>2245577.1223499998</v>
      </c>
      <c r="O743" s="126">
        <f t="shared" si="214"/>
        <v>44325.45</v>
      </c>
      <c r="P743" s="126">
        <f t="shared" si="215"/>
        <v>56145.569999999992</v>
      </c>
      <c r="Q743" s="126">
        <f>SUMIF('MPG Payment '!$E$3:$E$34579,'Shayak Income '!D743,'MPG Payment '!$S$3:$S$34579)</f>
        <v>0</v>
      </c>
      <c r="R743" s="126">
        <f t="shared" si="205"/>
        <v>67367.313670499992</v>
      </c>
      <c r="S743" s="126">
        <f t="shared" si="206"/>
        <v>11221.7436705</v>
      </c>
      <c r="T743" s="126">
        <f t="shared" si="216"/>
        <v>5910.06</v>
      </c>
      <c r="U743" s="127">
        <f>(((IF(K743="New",0,SUMIF('MPG Payment '!$E$3:$E$34579,'Shayak Income '!D743,'MPG Payment '!$AC$3:$AC$34579))))+0)+0</f>
        <v>0</v>
      </c>
      <c r="V743" s="127">
        <f t="shared" si="217"/>
        <v>94561</v>
      </c>
      <c r="W743" s="19">
        <f t="shared" si="226"/>
        <v>0</v>
      </c>
      <c r="X743" s="19">
        <f t="shared" si="207"/>
        <v>0</v>
      </c>
      <c r="Y743" s="128">
        <f>IFERROR(VLOOKUP(D743,'Monthly Deduction'!$M$2:$N$64,2,0),0)</f>
        <v>0</v>
      </c>
      <c r="Z743" s="128">
        <v>0</v>
      </c>
      <c r="AA743" s="126">
        <f>IFERROR(VLOOKUP(D743,'Monthly Deduction'!A:B,2,0),0)</f>
        <v>0</v>
      </c>
      <c r="AB743" s="129">
        <f t="shared" si="208"/>
        <v>94561</v>
      </c>
      <c r="AC743" s="130">
        <v>0</v>
      </c>
      <c r="AD743" s="35">
        <f t="shared" si="223"/>
        <v>94561</v>
      </c>
      <c r="AE743" s="166" t="str">
        <f t="shared" si="220"/>
        <v>Release</v>
      </c>
      <c r="AF743" s="127"/>
      <c r="AG743" s="18">
        <v>0</v>
      </c>
      <c r="AH743" s="132"/>
      <c r="AI743" s="238">
        <v>0</v>
      </c>
      <c r="AJ743" s="132"/>
      <c r="AK743" s="151">
        <v>14000</v>
      </c>
      <c r="AL743" s="154">
        <f t="shared" si="209"/>
        <v>0</v>
      </c>
      <c r="AM743" s="155"/>
      <c r="AN743" s="19">
        <f t="shared" si="210"/>
        <v>0</v>
      </c>
      <c r="AO743" s="118">
        <f>SUMIF('MPG Payment '!E:E,'Shayak Income '!D743,'MPG Payment '!AJ:AJ)</f>
        <v>0</v>
      </c>
      <c r="AP743" s="19">
        <f t="shared" si="211"/>
        <v>0</v>
      </c>
      <c r="AQ743" s="119">
        <f t="shared" si="224"/>
        <v>0</v>
      </c>
      <c r="AR743" s="91" t="s">
        <v>1168</v>
      </c>
      <c r="AS743" s="91">
        <f t="shared" si="212"/>
        <v>0</v>
      </c>
      <c r="AT743" s="118"/>
      <c r="AU743" s="118"/>
      <c r="AV743" s="118"/>
    </row>
    <row r="744" spans="1:48" s="20" customFormat="1" x14ac:dyDescent="0.25">
      <c r="A744" s="17">
        <f>IFERROR(VLOOKUP(D744,'Monthly Deduction'!$I$3:$J$957,2,0),0)</f>
        <v>63139</v>
      </c>
      <c r="B744" s="17">
        <f>IFERROR(VLOOKUP(D744,'Monthly Deduction'!$E$3:$F$957,2,0),0)</f>
        <v>0</v>
      </c>
      <c r="C744" s="17">
        <f t="shared" si="222"/>
        <v>63139</v>
      </c>
      <c r="D744" s="41">
        <v>10530101</v>
      </c>
      <c r="E744" s="122" t="str">
        <f>VLOOKUP(D744,'MPG Payment '!$E$3:$G$498218,2,0)</f>
        <v>GOMUKH LAKSHMAN NAGAR</v>
      </c>
      <c r="F744" s="146">
        <f>IFERROR(_xlfn.XLOOKUP(D744,'Monthly Deduction'!$I$3:$I$957,'Monthly Deduction'!$H$3:$H$957),0)</f>
        <v>0</v>
      </c>
      <c r="G744" s="123" t="str">
        <f>VLOOKUP(D744,'MPG Payment '!$E$3:$G$334579,3,0)</f>
        <v>MPG</v>
      </c>
      <c r="H744" s="124" t="str">
        <f>VLOOKUP(D744,'MPG Payment '!$E$3:$H$334579,4,0)</f>
        <v>Direct</v>
      </c>
      <c r="I744" s="88">
        <f>INDEX('MPG Payment '!$C:$C,MATCH('Shayak Income '!D744,'MPG Payment '!E:E,0))</f>
        <v>1053</v>
      </c>
      <c r="J744" s="88" t="str">
        <f>INDEX('MPG Payment '!$D:$D,MATCH('Shayak Income '!D744,'MPG Payment '!E:E,0))</f>
        <v>Kalyanpur</v>
      </c>
      <c r="K744" s="125" t="s">
        <v>1322</v>
      </c>
      <c r="L744" s="125">
        <v>46036</v>
      </c>
      <c r="M744" s="126">
        <f>SUMIF('MPG Payment '!$E$3:$E$34579,'Shayak Income '!D744,'MPG Payment '!$I$3:$I$34579)</f>
        <v>1328.9499999999998</v>
      </c>
      <c r="N744" s="126">
        <f>SUMIF('MPG Payment '!$E$3:$E$34579,'Shayak Income '!D744,'MPG Payment '!$J$3:$J$34579)</f>
        <v>58424.158783829909</v>
      </c>
      <c r="O744" s="126">
        <f t="shared" si="214"/>
        <v>996.71249999999986</v>
      </c>
      <c r="P744" s="126">
        <f t="shared" si="215"/>
        <v>1262.5024999999998</v>
      </c>
      <c r="Q744" s="126">
        <f>SUMIF('MPG Payment '!$E$3:$E$34579,'Shayak Income '!D744,'MPG Payment '!$S$3:$S$34579)</f>
        <v>509.05905123158999</v>
      </c>
      <c r="R744" s="126">
        <f t="shared" si="205"/>
        <v>1752.7247635148972</v>
      </c>
      <c r="S744" s="126">
        <f t="shared" si="206"/>
        <v>490.22226351489735</v>
      </c>
      <c r="T744" s="126">
        <f t="shared" si="216"/>
        <v>132.89499999999998</v>
      </c>
      <c r="U744" s="127">
        <f>(((IF(K744="New",0,SUMIF('MPG Payment '!$E$3:$E$34579,'Shayak Income '!D744,'MPG Payment '!$AC$3:$AC$34579))))+0)+0</f>
        <v>1294.0299435785114</v>
      </c>
      <c r="V744" s="127">
        <f t="shared" si="217"/>
        <v>1341</v>
      </c>
      <c r="W744" s="19">
        <v>1341</v>
      </c>
      <c r="X744" s="19">
        <v>0</v>
      </c>
      <c r="Y744" s="128">
        <f>IFERROR(VLOOKUP(D744,'Monthly Deduction'!$M$2:$N$64,2,0),0)</f>
        <v>0</v>
      </c>
      <c r="Z744" s="128">
        <v>0</v>
      </c>
      <c r="AA744" s="126">
        <f>IFERROR(VLOOKUP(D744,'Monthly Deduction'!A:B,2,0),0)</f>
        <v>0</v>
      </c>
      <c r="AB744" s="129">
        <f t="shared" si="208"/>
        <v>0</v>
      </c>
      <c r="AC744" s="130">
        <v>0</v>
      </c>
      <c r="AD744" s="35">
        <f t="shared" si="223"/>
        <v>0</v>
      </c>
      <c r="AE744" s="166" t="str">
        <f t="shared" si="220"/>
        <v>Release</v>
      </c>
      <c r="AF744" s="127"/>
      <c r="AG744" s="18">
        <v>0</v>
      </c>
      <c r="AH744" s="132"/>
      <c r="AI744" s="238">
        <v>0</v>
      </c>
      <c r="AJ744" s="132"/>
      <c r="AK744" s="151">
        <v>382.29999999999995</v>
      </c>
      <c r="AL744" s="154">
        <f t="shared" si="209"/>
        <v>0</v>
      </c>
      <c r="AM744" s="155"/>
      <c r="AN744" s="19">
        <f t="shared" si="210"/>
        <v>1861</v>
      </c>
      <c r="AO744" s="118">
        <f>SUMIF('MPG Payment '!E:E,'Shayak Income '!D744,'MPG Payment '!AJ:AJ)</f>
        <v>0</v>
      </c>
      <c r="AP744" s="19">
        <f t="shared" si="211"/>
        <v>1341</v>
      </c>
      <c r="AQ744" s="119">
        <f t="shared" si="224"/>
        <v>1341</v>
      </c>
      <c r="AR744" s="91" t="s">
        <v>1168</v>
      </c>
      <c r="AS744" s="91">
        <f t="shared" si="212"/>
        <v>0</v>
      </c>
      <c r="AT744" s="118"/>
      <c r="AU744" s="118"/>
      <c r="AV744" s="118"/>
    </row>
    <row r="745" spans="1:48" s="20" customFormat="1" x14ac:dyDescent="0.25">
      <c r="A745" s="17">
        <f>IFERROR(VLOOKUP(D745,'Monthly Deduction'!$I$3:$J$957,2,0),0)</f>
        <v>58054.9902</v>
      </c>
      <c r="B745" s="17">
        <f>IFERROR(VLOOKUP(D745,'Monthly Deduction'!$E$3:$F$957,2,0),0)</f>
        <v>0</v>
      </c>
      <c r="C745" s="17">
        <f t="shared" si="222"/>
        <v>58054.9902</v>
      </c>
      <c r="D745" s="41">
        <v>10530103</v>
      </c>
      <c r="E745" s="122" t="str">
        <f>VLOOKUP(D745,'MPG Payment '!$E$3:$G$498218,2,0)</f>
        <v>GOMUKH JHAHURI</v>
      </c>
      <c r="F745" s="146">
        <f>IFERROR(_xlfn.XLOOKUP(D745,'Monthly Deduction'!$I$3:$I$957,'Monthly Deduction'!$H$3:$H$957),0)</f>
        <v>0</v>
      </c>
      <c r="G745" s="123" t="str">
        <f>VLOOKUP(D745,'MPG Payment '!$E$3:$G$334579,3,0)</f>
        <v>MPG</v>
      </c>
      <c r="H745" s="124" t="str">
        <f>VLOOKUP(D745,'MPG Payment '!$E$3:$H$334579,4,0)</f>
        <v>Direct</v>
      </c>
      <c r="I745" s="88">
        <f>INDEX('MPG Payment '!$C:$C,MATCH('Shayak Income '!D745,'MPG Payment '!E:E,0))</f>
        <v>1053</v>
      </c>
      <c r="J745" s="88" t="str">
        <f>INDEX('MPG Payment '!$D:$D,MATCH('Shayak Income '!D745,'MPG Payment '!E:E,0))</f>
        <v>Kalyanpur</v>
      </c>
      <c r="K745" s="125" t="s">
        <v>1322</v>
      </c>
      <c r="L745" s="125">
        <v>46037</v>
      </c>
      <c r="M745" s="126">
        <f>SUMIF('MPG Payment '!$E$3:$E$34579,'Shayak Income '!D745,'MPG Payment '!$I$3:$I$34579)</f>
        <v>9706.4000000000015</v>
      </c>
      <c r="N745" s="126">
        <f>SUMIF('MPG Payment '!$E$3:$E$34579,'Shayak Income '!D745,'MPG Payment '!$J$3:$J$34579)</f>
        <v>423754.71348276513</v>
      </c>
      <c r="O745" s="126">
        <f t="shared" si="214"/>
        <v>7279.8000000000011</v>
      </c>
      <c r="P745" s="126">
        <f t="shared" si="215"/>
        <v>9221.0800000000017</v>
      </c>
      <c r="Q745" s="126">
        <f>SUMIF('MPG Payment '!$E$3:$E$34579,'Shayak Income '!D745,'MPG Payment '!$S$3:$S$34579)</f>
        <v>4974.109607280001</v>
      </c>
      <c r="R745" s="126">
        <f t="shared" si="205"/>
        <v>12712.641404482954</v>
      </c>
      <c r="S745" s="126">
        <f t="shared" si="206"/>
        <v>3491.5614044829526</v>
      </c>
      <c r="T745" s="126">
        <f t="shared" si="216"/>
        <v>970.64000000000021</v>
      </c>
      <c r="U745" s="127">
        <f>(((IF(K745="New",0,SUMIF('MPG Payment '!$E$3:$E$34579,'Shayak Income '!D745,'MPG Payment '!$AC$3:$AC$34579))))+0)+0</f>
        <v>0</v>
      </c>
      <c r="V745" s="127">
        <f t="shared" si="217"/>
        <v>20504</v>
      </c>
      <c r="W745" s="19">
        <f t="shared" si="226"/>
        <v>8475.0942696553029</v>
      </c>
      <c r="X745" s="19">
        <v>0</v>
      </c>
      <c r="Y745" s="128">
        <f>IFERROR(VLOOKUP(D745,'Monthly Deduction'!$M$2:$N$64,2,0),0)</f>
        <v>0</v>
      </c>
      <c r="Z745" s="128">
        <v>0</v>
      </c>
      <c r="AA745" s="126">
        <f>IFERROR(VLOOKUP(D745,'Monthly Deduction'!A:B,2,0),0)</f>
        <v>0</v>
      </c>
      <c r="AB745" s="129">
        <f t="shared" si="208"/>
        <v>12029</v>
      </c>
      <c r="AC745" s="130">
        <v>0</v>
      </c>
      <c r="AD745" s="35">
        <f t="shared" si="223"/>
        <v>12029</v>
      </c>
      <c r="AE745" s="166" t="str">
        <f t="shared" si="220"/>
        <v>Release</v>
      </c>
      <c r="AF745" s="127"/>
      <c r="AG745" s="18">
        <v>0</v>
      </c>
      <c r="AH745" s="132"/>
      <c r="AI745" s="238">
        <v>0</v>
      </c>
      <c r="AJ745" s="132"/>
      <c r="AK745" s="151">
        <v>2537.2499999999995</v>
      </c>
      <c r="AL745" s="154">
        <f t="shared" si="209"/>
        <v>0</v>
      </c>
      <c r="AM745" s="155"/>
      <c r="AN745" s="19">
        <f t="shared" si="210"/>
        <v>8475.0942696553029</v>
      </c>
      <c r="AO745" s="118">
        <f>SUMIF('MPG Payment '!E:E,'Shayak Income '!D745,'MPG Payment '!AJ:AJ)</f>
        <v>0</v>
      </c>
      <c r="AP745" s="19">
        <f t="shared" si="211"/>
        <v>8475.0942696553029</v>
      </c>
      <c r="AQ745" s="119">
        <f t="shared" si="224"/>
        <v>8475.0942696553029</v>
      </c>
      <c r="AR745" s="91" t="s">
        <v>1168</v>
      </c>
      <c r="AS745" s="91">
        <f t="shared" si="212"/>
        <v>0</v>
      </c>
      <c r="AT745" s="118"/>
      <c r="AU745" s="118"/>
      <c r="AV745" s="118"/>
    </row>
    <row r="746" spans="1:48" s="20" customFormat="1" x14ac:dyDescent="0.25">
      <c r="A746" s="17">
        <f>IFERROR(VLOOKUP(D746,'Monthly Deduction'!$I$3:$J$957,2,0),0)</f>
        <v>64696.5982</v>
      </c>
      <c r="B746" s="17">
        <f>IFERROR(VLOOKUP(D746,'Monthly Deduction'!$E$3:$F$957,2,0),0)</f>
        <v>0</v>
      </c>
      <c r="C746" s="17">
        <f t="shared" si="222"/>
        <v>64696.5982</v>
      </c>
      <c r="D746" s="41">
        <v>10560022</v>
      </c>
      <c r="E746" s="122" t="str">
        <f>VLOOKUP(D746,'MPG Payment '!$E$3:$G$498218,2,0)</f>
        <v xml:space="preserve">Gomukh Paharpur Jilebya </v>
      </c>
      <c r="F746" s="146">
        <f>IFERROR(_xlfn.XLOOKUP(D746,'Monthly Deduction'!$I$3:$I$957,'Monthly Deduction'!$H$3:$H$957),0)</f>
        <v>0</v>
      </c>
      <c r="G746" s="123" t="str">
        <f>VLOOKUP(D746,'MPG Payment '!$E$3:$G$334579,3,0)</f>
        <v>MPG</v>
      </c>
      <c r="H746" s="124" t="str">
        <f>VLOOKUP(D746,'MPG Payment '!$E$3:$H$334579,4,0)</f>
        <v>Direct</v>
      </c>
      <c r="I746" s="88">
        <f>INDEX('MPG Payment '!$C:$C,MATCH('Shayak Income '!D746,'MPG Payment '!E:E,0))</f>
        <v>1056</v>
      </c>
      <c r="J746" s="88" t="str">
        <f>INDEX('MPG Payment '!$D:$D,MATCH('Shayak Income '!D746,'MPG Payment '!E:E,0))</f>
        <v>Chautham</v>
      </c>
      <c r="K746" s="125" t="s">
        <v>1322</v>
      </c>
      <c r="L746" s="125">
        <v>46037</v>
      </c>
      <c r="M746" s="126">
        <f>SUMIF('MPG Payment '!$E$3:$E$34579,'Shayak Income '!D746,'MPG Payment '!$I$3:$I$34579)</f>
        <v>8172.4400000000005</v>
      </c>
      <c r="N746" s="126">
        <f>SUMIF('MPG Payment '!$E$3:$E$34579,'Shayak Income '!D746,'MPG Payment '!$J$3:$J$34579)</f>
        <v>347697.44435231597</v>
      </c>
      <c r="O746" s="126">
        <f t="shared" si="214"/>
        <v>6129.33</v>
      </c>
      <c r="P746" s="126">
        <f t="shared" si="215"/>
        <v>7763.8180000000002</v>
      </c>
      <c r="Q746" s="126">
        <f>SUMIF('MPG Payment '!$E$3:$E$34579,'Shayak Income '!D746,'MPG Payment '!$S$3:$S$34579)</f>
        <v>0</v>
      </c>
      <c r="R746" s="126">
        <f t="shared" si="205"/>
        <v>10430.923330569478</v>
      </c>
      <c r="S746" s="126">
        <f t="shared" si="206"/>
        <v>2667.1053305694777</v>
      </c>
      <c r="T746" s="126">
        <f t="shared" si="216"/>
        <v>817.24400000000014</v>
      </c>
      <c r="U746" s="127">
        <f>(((IF(K746="New",0,SUMIF('MPG Payment '!$E$3:$E$34579,'Shayak Income '!D746,'MPG Payment '!$AC$3:$AC$34579))))+0)+0</f>
        <v>0</v>
      </c>
      <c r="V746" s="127">
        <f t="shared" si="217"/>
        <v>13076</v>
      </c>
      <c r="W746" s="19">
        <f t="shared" si="226"/>
        <v>6953.9488870463192</v>
      </c>
      <c r="X746" s="19">
        <v>0</v>
      </c>
      <c r="Y746" s="128">
        <f>IFERROR(VLOOKUP(D746,'Monthly Deduction'!$M$2:$N$64,2,0),0)</f>
        <v>0</v>
      </c>
      <c r="Z746" s="128">
        <v>729</v>
      </c>
      <c r="AA746" s="126">
        <f>IFERROR(VLOOKUP(D746,'Monthly Deduction'!A:B,2,0),0)</f>
        <v>0</v>
      </c>
      <c r="AB746" s="129">
        <f t="shared" si="208"/>
        <v>5393</v>
      </c>
      <c r="AC746" s="130">
        <v>0</v>
      </c>
      <c r="AD746" s="35">
        <f t="shared" si="223"/>
        <v>5393</v>
      </c>
      <c r="AE746" s="166" t="str">
        <f t="shared" si="220"/>
        <v>Release</v>
      </c>
      <c r="AF746" s="127"/>
      <c r="AG746" s="18">
        <v>0</v>
      </c>
      <c r="AH746" s="120" t="s">
        <v>1646</v>
      </c>
      <c r="AI746" s="238">
        <v>7545</v>
      </c>
      <c r="AJ746" s="132" t="s">
        <v>1705</v>
      </c>
      <c r="AK746" s="151">
        <v>2058.7999999999997</v>
      </c>
      <c r="AL746" s="154">
        <f t="shared" si="209"/>
        <v>0</v>
      </c>
      <c r="AM746" s="155"/>
      <c r="AN746" s="19">
        <f t="shared" si="210"/>
        <v>6953.9488870463192</v>
      </c>
      <c r="AO746" s="118">
        <f>SUMIF('MPG Payment '!E:E,'Shayak Income '!D746,'MPG Payment '!AJ:AJ)</f>
        <v>0</v>
      </c>
      <c r="AP746" s="19">
        <f t="shared" si="211"/>
        <v>6953.9488870463192</v>
      </c>
      <c r="AQ746" s="119">
        <f t="shared" si="224"/>
        <v>6953.9488870463192</v>
      </c>
      <c r="AR746" s="91" t="s">
        <v>1168</v>
      </c>
      <c r="AS746" s="91">
        <f t="shared" si="212"/>
        <v>0</v>
      </c>
      <c r="AT746" s="118"/>
      <c r="AU746" s="118"/>
      <c r="AV746" s="118"/>
    </row>
    <row r="747" spans="1:48" s="20" customFormat="1" x14ac:dyDescent="0.25">
      <c r="A747" s="17">
        <f>IFERROR(VLOOKUP(D747,'Monthly Deduction'!$I$3:$J$957,2,0),0)</f>
        <v>70304.534</v>
      </c>
      <c r="B747" s="17">
        <f>IFERROR(VLOOKUP(D747,'Monthly Deduction'!$E$3:$F$957,2,0),0)</f>
        <v>0</v>
      </c>
      <c r="C747" s="17">
        <f t="shared" si="222"/>
        <v>70304.534</v>
      </c>
      <c r="D747" s="41">
        <v>10560026</v>
      </c>
      <c r="E747" s="122" t="str">
        <f>VLOOKUP(D747,'MPG Payment '!$E$3:$G$498218,2,0)</f>
        <v>Gomukh Azad Nagar</v>
      </c>
      <c r="F747" s="146">
        <f>IFERROR(_xlfn.XLOOKUP(D747,'Monthly Deduction'!$I$3:$I$957,'Monthly Deduction'!$H$3:$H$957),0)</f>
        <v>0</v>
      </c>
      <c r="G747" s="123" t="str">
        <f>VLOOKUP(D747,'MPG Payment '!$E$3:$G$334579,3,0)</f>
        <v>MPG</v>
      </c>
      <c r="H747" s="124" t="str">
        <f>VLOOKUP(D747,'MPG Payment '!$E$3:$H$334579,4,0)</f>
        <v>Direct</v>
      </c>
      <c r="I747" s="88">
        <f>INDEX('MPG Payment '!$C:$C,MATCH('Shayak Income '!D747,'MPG Payment '!E:E,0))</f>
        <v>1056</v>
      </c>
      <c r="J747" s="88" t="str">
        <f>INDEX('MPG Payment '!$D:$D,MATCH('Shayak Income '!D747,'MPG Payment '!E:E,0))</f>
        <v>Chautham</v>
      </c>
      <c r="K747" s="125" t="s">
        <v>1322</v>
      </c>
      <c r="L747" s="125">
        <v>46037</v>
      </c>
      <c r="M747" s="126">
        <f>SUMIF('MPG Payment '!$E$3:$E$34579,'Shayak Income '!D747,'MPG Payment '!$I$3:$I$34579)</f>
        <v>4695.3600000000006</v>
      </c>
      <c r="N747" s="126">
        <f>SUMIF('MPG Payment '!$E$3:$E$34579,'Shayak Income '!D747,'MPG Payment '!$J$3:$J$34579)</f>
        <v>181527.542506898</v>
      </c>
      <c r="O747" s="126">
        <f t="shared" si="214"/>
        <v>3521.5200000000004</v>
      </c>
      <c r="P747" s="126">
        <f t="shared" si="215"/>
        <v>4460.5920000000006</v>
      </c>
      <c r="Q747" s="126">
        <f>SUMIF('MPG Payment '!$E$3:$E$34579,'Shayak Income '!D747,'MPG Payment '!$S$3:$S$34579)</f>
        <v>0</v>
      </c>
      <c r="R747" s="126">
        <f t="shared" si="205"/>
        <v>5445.8262752069395</v>
      </c>
      <c r="S747" s="126">
        <f t="shared" si="206"/>
        <v>985.23427520693895</v>
      </c>
      <c r="T747" s="126">
        <f t="shared" si="216"/>
        <v>469.53600000000006</v>
      </c>
      <c r="U747" s="127">
        <f>(((IF(K747="New",0,SUMIF('MPG Payment '!$E$3:$E$34579,'Shayak Income '!D747,'MPG Payment '!$AC$3:$AC$34579))))+0)+0</f>
        <v>0</v>
      </c>
      <c r="V747" s="127">
        <f t="shared" si="217"/>
        <v>7513</v>
      </c>
      <c r="W747" s="19">
        <f t="shared" si="226"/>
        <v>3630.55085013796</v>
      </c>
      <c r="X747" s="19">
        <v>0</v>
      </c>
      <c r="Y747" s="128">
        <f>IFERROR(VLOOKUP(D747,'Monthly Deduction'!$M$2:$N$64,2,0),0)</f>
        <v>0</v>
      </c>
      <c r="Z747" s="128">
        <v>0</v>
      </c>
      <c r="AA747" s="126">
        <f>IFERROR(VLOOKUP(D747,'Monthly Deduction'!A:B,2,0),0)</f>
        <v>0</v>
      </c>
      <c r="AB747" s="129">
        <f t="shared" si="208"/>
        <v>3882</v>
      </c>
      <c r="AC747" s="130">
        <v>0</v>
      </c>
      <c r="AD747" s="35">
        <f t="shared" si="223"/>
        <v>3882</v>
      </c>
      <c r="AE747" s="166" t="str">
        <f t="shared" si="220"/>
        <v>Release</v>
      </c>
      <c r="AF747" s="127"/>
      <c r="AG747" s="18">
        <v>0</v>
      </c>
      <c r="AH747" s="120" t="s">
        <v>1646</v>
      </c>
      <c r="AI747" s="238">
        <v>0</v>
      </c>
      <c r="AJ747" s="132" t="s">
        <v>1659</v>
      </c>
      <c r="AK747" s="151">
        <v>1179.3200000000002</v>
      </c>
      <c r="AL747" s="154">
        <f t="shared" si="209"/>
        <v>0</v>
      </c>
      <c r="AM747" s="155"/>
      <c r="AN747" s="19">
        <f t="shared" si="210"/>
        <v>3630.55085013796</v>
      </c>
      <c r="AO747" s="118">
        <f>SUMIF('MPG Payment '!E:E,'Shayak Income '!D747,'MPG Payment '!AJ:AJ)</f>
        <v>0</v>
      </c>
      <c r="AP747" s="19">
        <f t="shared" si="211"/>
        <v>3630.55085013796</v>
      </c>
      <c r="AQ747" s="119">
        <f t="shared" si="224"/>
        <v>3630.55085013796</v>
      </c>
      <c r="AR747" s="91" t="s">
        <v>1168</v>
      </c>
      <c r="AS747" s="91">
        <f t="shared" si="212"/>
        <v>0</v>
      </c>
      <c r="AT747" s="118"/>
      <c r="AU747" s="118"/>
      <c r="AV747" s="118"/>
    </row>
    <row r="748" spans="1:48" s="20" customFormat="1" x14ac:dyDescent="0.25">
      <c r="A748" s="17">
        <f>IFERROR(VLOOKUP(D748,'Monthly Deduction'!$I$3:$J$957,2,0),0)</f>
        <v>64509.332200000004</v>
      </c>
      <c r="B748" s="17">
        <f>IFERROR(VLOOKUP(D748,'Monthly Deduction'!$E$3:$F$957,2,0),0)</f>
        <v>0</v>
      </c>
      <c r="C748" s="17">
        <f t="shared" si="222"/>
        <v>64509.332200000004</v>
      </c>
      <c r="D748" s="41">
        <v>10590001</v>
      </c>
      <c r="E748" s="122" t="str">
        <f>VLOOKUP(D748,'MPG Payment '!$E$3:$G$498218,2,0)</f>
        <v>MISHRBIGHA</v>
      </c>
      <c r="F748" s="146">
        <f>IFERROR(_xlfn.XLOOKUP(D748,'Monthly Deduction'!$I$3:$I$957,'Monthly Deduction'!$H$3:$H$957),0)</f>
        <v>0</v>
      </c>
      <c r="G748" s="123" t="str">
        <f>VLOOKUP(D748,'MPG Payment '!$E$3:$G$334579,3,0)</f>
        <v>MPG</v>
      </c>
      <c r="H748" s="124" t="str">
        <f>VLOOKUP(D748,'MPG Payment '!$E$3:$H$334579,4,0)</f>
        <v>Direct</v>
      </c>
      <c r="I748" s="88">
        <f>INDEX('MPG Payment '!$C:$C,MATCH('Shayak Income '!D748,'MPG Payment '!E:E,0))</f>
        <v>1059</v>
      </c>
      <c r="J748" s="88" t="str">
        <f>INDEX('MPG Payment '!$D:$D,MATCH('Shayak Income '!D748,'MPG Payment '!E:E,0))</f>
        <v>Gopalpur Bmc</v>
      </c>
      <c r="K748" s="125" t="s">
        <v>1322</v>
      </c>
      <c r="L748" s="125">
        <v>46032</v>
      </c>
      <c r="M748" s="126">
        <f>SUMIF('MPG Payment '!$E$3:$E$34579,'Shayak Income '!D748,'MPG Payment '!$I$3:$I$34579)</f>
        <v>3111.4000000000005</v>
      </c>
      <c r="N748" s="126">
        <f>SUMIF('MPG Payment '!$E$3:$E$34579,'Shayak Income '!D748,'MPG Payment '!$J$3:$J$34579)</f>
        <v>167860.58394438701</v>
      </c>
      <c r="O748" s="126">
        <f t="shared" si="214"/>
        <v>2333.5500000000002</v>
      </c>
      <c r="P748" s="126">
        <f t="shared" si="215"/>
        <v>2955.8300000000004</v>
      </c>
      <c r="Q748" s="126">
        <f>SUMIF('MPG Payment '!$E$3:$E$34579,'Shayak Income '!D748,'MPG Payment '!$S$3:$S$34579)</f>
        <v>156.18012373160005</v>
      </c>
      <c r="R748" s="126">
        <f t="shared" si="205"/>
        <v>5035.8175183316098</v>
      </c>
      <c r="S748" s="126">
        <f t="shared" si="206"/>
        <v>2079.9875183316094</v>
      </c>
      <c r="T748" s="126">
        <f t="shared" si="216"/>
        <v>311.1400000000001</v>
      </c>
      <c r="U748" s="127">
        <f>(((IF(K748="New",0,SUMIF('MPG Payment '!$E$3:$E$34579,'Shayak Income '!D748,'MPG Payment '!$AC$3:$AC$34579))))+0)+0</f>
        <v>0</v>
      </c>
      <c r="V748" s="127">
        <f t="shared" si="217"/>
        <v>5134</v>
      </c>
      <c r="W748" s="19">
        <f t="shared" si="226"/>
        <v>3357.2116788877402</v>
      </c>
      <c r="X748" s="19">
        <v>0</v>
      </c>
      <c r="Y748" s="128">
        <f>IFERROR(VLOOKUP(D748,'Monthly Deduction'!$M$2:$N$64,2,0),0)</f>
        <v>0</v>
      </c>
      <c r="Z748" s="128">
        <v>0</v>
      </c>
      <c r="AA748" s="126">
        <f>IFERROR(VLOOKUP(D748,'Monthly Deduction'!A:B,2,0),0)</f>
        <v>0</v>
      </c>
      <c r="AB748" s="129">
        <f t="shared" si="208"/>
        <v>1777</v>
      </c>
      <c r="AC748" s="130">
        <v>0</v>
      </c>
      <c r="AD748" s="35">
        <f t="shared" si="223"/>
        <v>1777</v>
      </c>
      <c r="AE748" s="166" t="str">
        <f t="shared" si="220"/>
        <v>Release</v>
      </c>
      <c r="AF748" s="127"/>
      <c r="AG748" s="18">
        <v>0</v>
      </c>
      <c r="AH748" s="120" t="s">
        <v>1646</v>
      </c>
      <c r="AI748" s="238">
        <v>2380</v>
      </c>
      <c r="AJ748" s="132" t="s">
        <v>1704</v>
      </c>
      <c r="AK748" s="151">
        <v>833.19999999999993</v>
      </c>
      <c r="AL748" s="154">
        <f t="shared" si="209"/>
        <v>0</v>
      </c>
      <c r="AM748" s="155"/>
      <c r="AN748" s="19">
        <f t="shared" si="210"/>
        <v>3357.2116788877402</v>
      </c>
      <c r="AO748" s="118">
        <f>SUMIF('MPG Payment '!E:E,'Shayak Income '!D748,'MPG Payment '!AJ:AJ)</f>
        <v>0</v>
      </c>
      <c r="AP748" s="19">
        <f t="shared" si="211"/>
        <v>3357.2116788877402</v>
      </c>
      <c r="AQ748" s="119">
        <f t="shared" si="224"/>
        <v>3357.2116788877402</v>
      </c>
      <c r="AR748" s="91" t="s">
        <v>1168</v>
      </c>
      <c r="AS748" s="91">
        <f t="shared" si="212"/>
        <v>0</v>
      </c>
      <c r="AT748" s="118"/>
      <c r="AU748" s="118"/>
      <c r="AV748" s="118"/>
    </row>
    <row r="749" spans="1:48" s="20" customFormat="1" x14ac:dyDescent="0.25">
      <c r="A749" s="17">
        <f>IFERROR(VLOOKUP(D749,'Monthly Deduction'!$I$3:$J$957,2,0),0)</f>
        <v>82467</v>
      </c>
      <c r="B749" s="17">
        <f>IFERROR(VLOOKUP(D749,'Monthly Deduction'!$E$3:$F$957,2,0),0)</f>
        <v>0</v>
      </c>
      <c r="C749" s="17">
        <f t="shared" si="222"/>
        <v>82467</v>
      </c>
      <c r="D749" s="41">
        <v>10590002</v>
      </c>
      <c r="E749" s="122" t="str">
        <f>VLOOKUP(D749,'MPG Payment '!$E$3:$G$498218,2,0)</f>
        <v>DIGHOI</v>
      </c>
      <c r="F749" s="146">
        <f>IFERROR(_xlfn.XLOOKUP(D749,'Monthly Deduction'!$I$3:$I$957,'Monthly Deduction'!$H$3:$H$957),0)</f>
        <v>0</v>
      </c>
      <c r="G749" s="123" t="str">
        <f>VLOOKUP(D749,'MPG Payment '!$E$3:$G$334579,3,0)</f>
        <v>MPG</v>
      </c>
      <c r="H749" s="124" t="str">
        <f>VLOOKUP(D749,'MPG Payment '!$E$3:$H$334579,4,0)</f>
        <v>Direct</v>
      </c>
      <c r="I749" s="88">
        <f>INDEX('MPG Payment '!$C:$C,MATCH('Shayak Income '!D749,'MPG Payment '!E:E,0))</f>
        <v>1059</v>
      </c>
      <c r="J749" s="88" t="str">
        <f>INDEX('MPG Payment '!$D:$D,MATCH('Shayak Income '!D749,'MPG Payment '!E:E,0))</f>
        <v>Gopalpur Bmc</v>
      </c>
      <c r="K749" s="125" t="s">
        <v>1322</v>
      </c>
      <c r="L749" s="125">
        <v>46032</v>
      </c>
      <c r="M749" s="126">
        <f>SUMIF('MPG Payment '!$E$3:$E$34579,'Shayak Income '!D749,'MPG Payment '!$I$3:$I$34579)</f>
        <v>592.19999999999993</v>
      </c>
      <c r="N749" s="126">
        <f>SUMIF('MPG Payment '!$E$3:$E$34579,'Shayak Income '!D749,'MPG Payment '!$J$3:$J$34579)</f>
        <v>36329.942369084005</v>
      </c>
      <c r="O749" s="126">
        <f t="shared" si="214"/>
        <v>444.15</v>
      </c>
      <c r="P749" s="126">
        <f t="shared" si="215"/>
        <v>562.58999999999992</v>
      </c>
      <c r="Q749" s="126">
        <f>SUMIF('MPG Payment '!$E$3:$E$34579,'Shayak Income '!D749,'MPG Payment '!$S$3:$S$34579)</f>
        <v>0</v>
      </c>
      <c r="R749" s="126">
        <f t="shared" si="205"/>
        <v>1089.8982710725202</v>
      </c>
      <c r="S749" s="126">
        <f t="shared" si="206"/>
        <v>527.30827107252026</v>
      </c>
      <c r="T749" s="126">
        <f t="shared" si="216"/>
        <v>59.22</v>
      </c>
      <c r="U749" s="127">
        <f>(((IF(K749="New",0,SUMIF('MPG Payment '!$E$3:$E$34579,'Shayak Income '!D749,'MPG Payment '!$AC$3:$AC$34579))))+0)+-1761</f>
        <v>947.38910595171137</v>
      </c>
      <c r="V749" s="127">
        <f t="shared" si="217"/>
        <v>0</v>
      </c>
      <c r="W749" s="19">
        <v>0</v>
      </c>
      <c r="X749" s="19">
        <v>0</v>
      </c>
      <c r="Y749" s="128">
        <f>IFERROR(VLOOKUP(D749,'Monthly Deduction'!$M$2:$N$64,2,0),0)</f>
        <v>0</v>
      </c>
      <c r="Z749" s="128">
        <v>0</v>
      </c>
      <c r="AA749" s="126">
        <f>IFERROR(VLOOKUP(D749,'Monthly Deduction'!A:B,2,0),0)</f>
        <v>0</v>
      </c>
      <c r="AB749" s="129">
        <f t="shared" si="208"/>
        <v>0</v>
      </c>
      <c r="AC749" s="130">
        <f t="shared" ref="AC746:AC749" si="229">AB749</f>
        <v>0</v>
      </c>
      <c r="AD749" s="35">
        <f t="shared" si="223"/>
        <v>0</v>
      </c>
      <c r="AE749" s="166" t="str">
        <f t="shared" si="220"/>
        <v>Release</v>
      </c>
      <c r="AF749" s="127"/>
      <c r="AG749" s="18">
        <v>0</v>
      </c>
      <c r="AH749" s="120" t="s">
        <v>1646</v>
      </c>
      <c r="AI749" s="238">
        <v>18467</v>
      </c>
      <c r="AJ749" s="132"/>
      <c r="AK749" s="151">
        <v>139.10000000000002</v>
      </c>
      <c r="AL749" s="154">
        <f t="shared" si="209"/>
        <v>0</v>
      </c>
      <c r="AM749" s="155"/>
      <c r="AN749" s="19">
        <f t="shared" si="210"/>
        <v>1861</v>
      </c>
      <c r="AO749" s="118">
        <f>SUMIF('MPG Payment '!E:E,'Shayak Income '!D749,'MPG Payment '!AJ:AJ)</f>
        <v>500</v>
      </c>
      <c r="AP749" s="19">
        <f t="shared" si="211"/>
        <v>0</v>
      </c>
      <c r="AQ749" s="119">
        <f t="shared" si="224"/>
        <v>500</v>
      </c>
      <c r="AR749" s="91" t="s">
        <v>1168</v>
      </c>
      <c r="AS749" s="91">
        <f t="shared" si="212"/>
        <v>0</v>
      </c>
      <c r="AT749" s="118"/>
      <c r="AU749" s="118"/>
      <c r="AV749" s="118"/>
    </row>
    <row r="750" spans="1:48" s="20" customFormat="1" x14ac:dyDescent="0.25">
      <c r="A750" s="17">
        <f>IFERROR(VLOOKUP(D750,'Monthly Deduction'!$I$3:$J$957,2,0),0)</f>
        <v>64623.726200000005</v>
      </c>
      <c r="B750" s="17">
        <f>IFERROR(VLOOKUP(D750,'Monthly Deduction'!$E$3:$F$957,2,0),0)</f>
        <v>0</v>
      </c>
      <c r="C750" s="17">
        <f t="shared" si="222"/>
        <v>64623.726200000005</v>
      </c>
      <c r="D750" s="41">
        <v>10590004</v>
      </c>
      <c r="E750" s="122" t="str">
        <f>VLOOKUP(D750,'MPG Payment '!$E$3:$G$498218,2,0)</f>
        <v>PRATAPUR</v>
      </c>
      <c r="F750" s="146">
        <f>IFERROR(_xlfn.XLOOKUP(D750,'Monthly Deduction'!$I$3:$I$957,'Monthly Deduction'!$H$3:$H$957),0)</f>
        <v>0</v>
      </c>
      <c r="G750" s="123" t="str">
        <f>VLOOKUP(D750,'MPG Payment '!$E$3:$G$334579,3,0)</f>
        <v>MPG</v>
      </c>
      <c r="H750" s="124" t="str">
        <f>VLOOKUP(D750,'MPG Payment '!$E$3:$H$334579,4,0)</f>
        <v>Direct</v>
      </c>
      <c r="I750" s="88">
        <f>INDEX('MPG Payment '!$C:$C,MATCH('Shayak Income '!D750,'MPG Payment '!E:E,0))</f>
        <v>1059</v>
      </c>
      <c r="J750" s="88" t="str">
        <f>INDEX('MPG Payment '!$D:$D,MATCH('Shayak Income '!D750,'MPG Payment '!E:E,0))</f>
        <v>Gopalpur Bmc</v>
      </c>
      <c r="K750" s="125" t="s">
        <v>1322</v>
      </c>
      <c r="L750" s="125">
        <v>46032</v>
      </c>
      <c r="M750" s="126">
        <f>SUMIF('MPG Payment '!$E$3:$E$34579,'Shayak Income '!D750,'MPG Payment '!$I$3:$I$34579)</f>
        <v>4043</v>
      </c>
      <c r="N750" s="126">
        <f>SUMIF('MPG Payment '!$E$3:$E$34579,'Shayak Income '!D750,'MPG Payment '!$J$3:$J$34579)</f>
        <v>152447.44432762</v>
      </c>
      <c r="O750" s="126">
        <f t="shared" si="214"/>
        <v>3032.25</v>
      </c>
      <c r="P750" s="126">
        <f t="shared" si="215"/>
        <v>3840.85</v>
      </c>
      <c r="Q750" s="126">
        <f>SUMIF('MPG Payment '!$E$3:$E$34579,'Shayak Income '!D750,'MPG Payment '!$S$3:$S$34579)</f>
        <v>0</v>
      </c>
      <c r="R750" s="126">
        <f t="shared" si="205"/>
        <v>4573.4233298285999</v>
      </c>
      <c r="S750" s="126">
        <f t="shared" si="206"/>
        <v>732.57332982859998</v>
      </c>
      <c r="T750" s="126">
        <f t="shared" si="216"/>
        <v>404.3</v>
      </c>
      <c r="U750" s="127">
        <f>(((IF(K750="New",0,SUMIF('MPG Payment '!$E$3:$E$34579,'Shayak Income '!D750,'MPG Payment '!$AC$3:$AC$34579))))+0)+0</f>
        <v>0</v>
      </c>
      <c r="V750" s="127">
        <f t="shared" si="217"/>
        <v>6469</v>
      </c>
      <c r="W750" s="19">
        <f t="shared" si="226"/>
        <v>3048.9488865523999</v>
      </c>
      <c r="X750" s="19">
        <v>0</v>
      </c>
      <c r="Y750" s="128">
        <f>IFERROR(VLOOKUP(D750,'Monthly Deduction'!$M$2:$N$64,2,0),0)</f>
        <v>0</v>
      </c>
      <c r="Z750" s="128">
        <v>0</v>
      </c>
      <c r="AA750" s="126">
        <f>IFERROR(VLOOKUP(D750,'Monthly Deduction'!A:B,2,0),0)</f>
        <v>0</v>
      </c>
      <c r="AB750" s="129">
        <f t="shared" si="208"/>
        <v>3420</v>
      </c>
      <c r="AC750" s="130">
        <v>0</v>
      </c>
      <c r="AD750" s="35">
        <f t="shared" si="223"/>
        <v>3420</v>
      </c>
      <c r="AE750" s="166" t="str">
        <f t="shared" si="220"/>
        <v>Release</v>
      </c>
      <c r="AF750" s="127"/>
      <c r="AG750" s="18">
        <v>0</v>
      </c>
      <c r="AH750" s="120" t="s">
        <v>1646</v>
      </c>
      <c r="AI750" s="238">
        <v>3191</v>
      </c>
      <c r="AJ750" s="132" t="s">
        <v>1704</v>
      </c>
      <c r="AK750" s="151">
        <v>1135.2</v>
      </c>
      <c r="AL750" s="154">
        <f t="shared" si="209"/>
        <v>0</v>
      </c>
      <c r="AM750" s="155"/>
      <c r="AN750" s="19">
        <f t="shared" si="210"/>
        <v>3048.9488865523999</v>
      </c>
      <c r="AO750" s="118">
        <f>SUMIF('MPG Payment '!E:E,'Shayak Income '!D750,'MPG Payment '!AJ:AJ)</f>
        <v>0</v>
      </c>
      <c r="AP750" s="19">
        <f t="shared" si="211"/>
        <v>3048.9488865523999</v>
      </c>
      <c r="AQ750" s="119">
        <f t="shared" si="224"/>
        <v>3048.9488865523999</v>
      </c>
      <c r="AR750" s="91" t="s">
        <v>1168</v>
      </c>
      <c r="AS750" s="91">
        <f t="shared" si="212"/>
        <v>0</v>
      </c>
      <c r="AT750" s="118"/>
      <c r="AU750" s="118"/>
      <c r="AV750" s="118"/>
    </row>
    <row r="751" spans="1:48" s="20" customFormat="1" x14ac:dyDescent="0.25">
      <c r="A751" s="17">
        <f>IFERROR(VLOOKUP(D751,'Monthly Deduction'!$I$3:$J$957,2,0),0)</f>
        <v>64000</v>
      </c>
      <c r="B751" s="17">
        <f>IFERROR(VLOOKUP(D751,'Monthly Deduction'!$E$3:$F$957,2,0),0)</f>
        <v>0</v>
      </c>
      <c r="C751" s="17">
        <f t="shared" si="222"/>
        <v>64000</v>
      </c>
      <c r="D751" s="41">
        <v>10010141</v>
      </c>
      <c r="E751" s="122" t="str">
        <f>VLOOKUP(D751,'MPG Payment '!$E$3:$G$498218,2,0)</f>
        <v>Goapalpur</v>
      </c>
      <c r="F751" s="146">
        <f>IFERROR(_xlfn.XLOOKUP(D751,'Monthly Deduction'!$I$3:$I$957,'Monthly Deduction'!$H$3:$H$957),0)</f>
        <v>0</v>
      </c>
      <c r="G751" s="123" t="str">
        <f>VLOOKUP(D751,'MPG Payment '!$E$3:$G$334579,3,0)</f>
        <v>MPG</v>
      </c>
      <c r="H751" s="124" t="str">
        <f>VLOOKUP(D751,'MPG Payment '!$E$3:$H$334579,4,0)</f>
        <v>Direct</v>
      </c>
      <c r="I751" s="88">
        <f>INDEX('MPG Payment '!$C:$C,MATCH('Shayak Income '!D751,'MPG Payment '!E:E,0))</f>
        <v>1001</v>
      </c>
      <c r="J751" s="88" t="str">
        <f>INDEX('MPG Payment '!$D:$D,MATCH('Shayak Income '!D751,'MPG Payment '!E:E,0))</f>
        <v>Majhaul</v>
      </c>
      <c r="K751" s="125" t="s">
        <v>1322</v>
      </c>
      <c r="L751" s="125">
        <v>46042</v>
      </c>
      <c r="M751" s="126">
        <f>SUMIF('MPG Payment '!$E$3:$E$34579,'Shayak Income '!D751,'MPG Payment '!$I$3:$I$34579)</f>
        <v>564.80000000000007</v>
      </c>
      <c r="N751" s="126">
        <f>SUMIF('MPG Payment '!$E$3:$E$34579,'Shayak Income '!D751,'MPG Payment '!$J$3:$J$34579)</f>
        <v>21938.342676250002</v>
      </c>
      <c r="O751" s="126">
        <f t="shared" si="214"/>
        <v>423.6</v>
      </c>
      <c r="P751" s="126">
        <f t="shared" si="215"/>
        <v>536.56000000000006</v>
      </c>
      <c r="Q751" s="126">
        <f>SUMIF('MPG Payment '!$E$3:$E$34579,'Shayak Income '!D751,'MPG Payment '!$S$3:$S$34579)</f>
        <v>0</v>
      </c>
      <c r="R751" s="126">
        <f t="shared" si="205"/>
        <v>658.1502802875001</v>
      </c>
      <c r="S751" s="126">
        <f t="shared" si="206"/>
        <v>121.59028028750004</v>
      </c>
      <c r="T751" s="126">
        <f t="shared" si="216"/>
        <v>56.480000000000011</v>
      </c>
      <c r="U751" s="127">
        <f>(((IF(K751="New",0,SUMIF('MPG Payment '!$E$3:$E$34579,'Shayak Income '!D751,'MPG Payment '!$AC$3:$AC$34579))))+0)+-835</f>
        <v>903.44736238457472</v>
      </c>
      <c r="V751" s="127">
        <f t="shared" si="217"/>
        <v>0</v>
      </c>
      <c r="W751" s="19">
        <v>0</v>
      </c>
      <c r="X751" s="19">
        <v>0</v>
      </c>
      <c r="Y751" s="128">
        <f>IFERROR(VLOOKUP(D751,'Monthly Deduction'!$M$2:$N$64,2,0),0)</f>
        <v>0</v>
      </c>
      <c r="Z751" s="128">
        <v>0</v>
      </c>
      <c r="AA751" s="126">
        <f>IFERROR(VLOOKUP(D751,'Monthly Deduction'!A:B,2,0),0)</f>
        <v>0</v>
      </c>
      <c r="AB751" s="129">
        <f t="shared" si="208"/>
        <v>0</v>
      </c>
      <c r="AC751" s="130">
        <v>0</v>
      </c>
      <c r="AD751" s="35">
        <f t="shared" si="223"/>
        <v>0</v>
      </c>
      <c r="AE751" s="166" t="str">
        <f t="shared" si="220"/>
        <v>Release</v>
      </c>
      <c r="AF751" s="127"/>
      <c r="AG751" s="18">
        <v>0</v>
      </c>
      <c r="AH751" s="120"/>
      <c r="AI751" s="238">
        <v>0</v>
      </c>
      <c r="AJ751" s="132"/>
      <c r="AK751" s="151">
        <v>79.400000000000006</v>
      </c>
      <c r="AL751" s="154">
        <f t="shared" si="209"/>
        <v>0</v>
      </c>
      <c r="AM751" s="155"/>
      <c r="AN751" s="19">
        <f t="shared" si="210"/>
        <v>1861</v>
      </c>
      <c r="AO751" s="118">
        <f>SUMIF('MPG Payment '!E:E,'Shayak Income '!D751,'MPG Payment '!AJ:AJ)</f>
        <v>500</v>
      </c>
      <c r="AP751" s="19">
        <f t="shared" si="211"/>
        <v>0</v>
      </c>
      <c r="AQ751" s="119">
        <f t="shared" si="224"/>
        <v>500</v>
      </c>
      <c r="AR751" s="91" t="s">
        <v>1168</v>
      </c>
      <c r="AS751" s="91">
        <f t="shared" si="212"/>
        <v>0</v>
      </c>
      <c r="AT751" s="118"/>
      <c r="AU751" s="118"/>
      <c r="AV751" s="118"/>
    </row>
    <row r="752" spans="1:48" s="20" customFormat="1" x14ac:dyDescent="0.25">
      <c r="A752" s="17">
        <f>IFERROR(VLOOKUP(D752,'Monthly Deduction'!$I$3:$J$957,2,0),0)</f>
        <v>0</v>
      </c>
      <c r="B752" s="17">
        <f>IFERROR(VLOOKUP(D752,'Monthly Deduction'!$E$3:$F$957,2,0),0)</f>
        <v>0</v>
      </c>
      <c r="C752" s="17">
        <f t="shared" si="222"/>
        <v>0</v>
      </c>
      <c r="D752" s="41">
        <v>10070060</v>
      </c>
      <c r="E752" s="122" t="str">
        <f>VLOOKUP(D752,'MPG Payment '!$E$3:$G$498218,2,0)</f>
        <v>Gomukh Pakrail Shirnia VLC</v>
      </c>
      <c r="F752" s="146">
        <f>IFERROR(_xlfn.XLOOKUP(D752,'Monthly Deduction'!$I$3:$I$957,'Monthly Deduction'!$H$3:$H$957),0)</f>
        <v>0</v>
      </c>
      <c r="G752" s="123" t="str">
        <f>VLOOKUP(D752,'MPG Payment '!$E$3:$G$334579,3,0)</f>
        <v>vlc</v>
      </c>
      <c r="H752" s="124" t="str">
        <f>VLOOKUP(D752,'MPG Payment '!$E$3:$H$334579,4,0)</f>
        <v>Indirect</v>
      </c>
      <c r="I752" s="88">
        <f>INDEX('MPG Payment '!$C:$C,MATCH('Shayak Income '!D752,'MPG Payment '!E:E,0))</f>
        <v>1056</v>
      </c>
      <c r="J752" s="88" t="str">
        <f>INDEX('MPG Payment '!$D:$D,MATCH('Shayak Income '!D752,'MPG Payment '!E:E,0))</f>
        <v>Chautham</v>
      </c>
      <c r="K752" s="125" t="s">
        <v>1322</v>
      </c>
      <c r="L752" s="125">
        <v>45735</v>
      </c>
      <c r="M752" s="126">
        <f>SUMIF('MPG Payment '!$E$3:$E$34579,'Shayak Income '!D752,'MPG Payment '!$I$3:$I$34579)</f>
        <v>408.3</v>
      </c>
      <c r="N752" s="126">
        <f>SUMIF('MPG Payment '!$E$3:$E$34579,'Shayak Income '!D752,'MPG Payment '!$J$3:$J$34579)</f>
        <v>14693.134221787801</v>
      </c>
      <c r="O752" s="126">
        <f t="shared" si="214"/>
        <v>306.22500000000002</v>
      </c>
      <c r="P752" s="126">
        <f t="shared" si="215"/>
        <v>387.88499999999999</v>
      </c>
      <c r="Q752" s="126">
        <f>SUMIF('MPG Payment '!$E$3:$E$34579,'Shayak Income '!D752,'MPG Payment '!$S$3:$S$34579)</f>
        <v>0</v>
      </c>
      <c r="R752" s="126">
        <f t="shared" si="205"/>
        <v>440.79402665363403</v>
      </c>
      <c r="S752" s="126">
        <f t="shared" si="206"/>
        <v>52.909026653634044</v>
      </c>
      <c r="T752" s="126">
        <f t="shared" si="216"/>
        <v>40.830000000000005</v>
      </c>
      <c r="U752" s="127">
        <f>(((IF(K752="New",0,SUMIF('MPG Payment '!$E$3:$E$34579,'Shayak Income '!D752,'MPG Payment '!$AC$3:$AC$34579))))+0)+-1079</f>
        <v>653.50939324054752</v>
      </c>
      <c r="V752" s="127">
        <f t="shared" si="217"/>
        <v>0</v>
      </c>
      <c r="W752" s="19">
        <v>0</v>
      </c>
      <c r="X752" s="19">
        <v>0</v>
      </c>
      <c r="Y752" s="128">
        <f>IFERROR(VLOOKUP(D752,'Monthly Deduction'!$M$2:$N$64,2,0),0)</f>
        <v>0</v>
      </c>
      <c r="Z752" s="128">
        <v>0</v>
      </c>
      <c r="AA752" s="126">
        <f>IFERROR(VLOOKUP(D752,'Monthly Deduction'!A:B,2,0),0)</f>
        <v>0</v>
      </c>
      <c r="AB752" s="129">
        <f t="shared" si="208"/>
        <v>0</v>
      </c>
      <c r="AC752" s="130">
        <v>0</v>
      </c>
      <c r="AD752" s="35">
        <f t="shared" si="223"/>
        <v>0</v>
      </c>
      <c r="AE752" s="166" t="str">
        <f t="shared" si="220"/>
        <v>Release</v>
      </c>
      <c r="AF752" s="127"/>
      <c r="AG752" s="18">
        <v>0</v>
      </c>
      <c r="AH752" s="132"/>
      <c r="AI752" s="238">
        <v>0</v>
      </c>
      <c r="AJ752" s="132"/>
      <c r="AK752" s="151">
        <v>123</v>
      </c>
      <c r="AL752" s="154">
        <f t="shared" si="209"/>
        <v>0</v>
      </c>
      <c r="AM752" s="155"/>
      <c r="AN752" s="19">
        <f t="shared" si="210"/>
        <v>0</v>
      </c>
      <c r="AO752" s="118">
        <f>SUMIF('MPG Payment '!E:E,'Shayak Income '!D752,'MPG Payment '!AJ:AJ)</f>
        <v>0</v>
      </c>
      <c r="AP752" s="19">
        <f t="shared" si="211"/>
        <v>0</v>
      </c>
      <c r="AQ752" s="119">
        <f t="shared" si="224"/>
        <v>0</v>
      </c>
      <c r="AR752" s="91" t="s">
        <v>1168</v>
      </c>
      <c r="AS752" s="91">
        <f t="shared" si="212"/>
        <v>0</v>
      </c>
      <c r="AT752" s="118"/>
      <c r="AU752" s="118"/>
      <c r="AV752" s="118"/>
    </row>
    <row r="753" spans="1:48" s="20" customFormat="1" x14ac:dyDescent="0.25">
      <c r="A753" s="17">
        <f>IFERROR(VLOOKUP(D753,'Monthly Deduction'!$I$3:$J$957,2,0),0)</f>
        <v>78569</v>
      </c>
      <c r="B753" s="17">
        <f>IFERROR(VLOOKUP(D753,'Monthly Deduction'!$E$3:$F$957,2,0),0)</f>
        <v>0</v>
      </c>
      <c r="C753" s="17">
        <f t="shared" si="222"/>
        <v>78569</v>
      </c>
      <c r="D753" s="41">
        <v>10070077</v>
      </c>
      <c r="E753" s="122" t="str">
        <f>VLOOKUP(D753,'MPG Payment '!$E$3:$G$498218,2,0)</f>
        <v>Gomukh Bari Chak Gogri</v>
      </c>
      <c r="F753" s="146">
        <f>IFERROR(_xlfn.XLOOKUP(D753,'Monthly Deduction'!$I$3:$I$957,'Monthly Deduction'!$H$3:$H$957),0)</f>
        <v>0</v>
      </c>
      <c r="G753" s="123" t="str">
        <f>VLOOKUP(D753,'MPG Payment '!$E$3:$G$334579,3,0)</f>
        <v>MPG</v>
      </c>
      <c r="H753" s="124" t="str">
        <f>VLOOKUP(D753,'MPG Payment '!$E$3:$H$334579,4,0)</f>
        <v>Direct</v>
      </c>
      <c r="I753" s="88">
        <f>INDEX('MPG Payment '!$C:$C,MATCH('Shayak Income '!D753,'MPG Payment '!E:E,0))</f>
        <v>1007</v>
      </c>
      <c r="J753" s="88" t="str">
        <f>INDEX('MPG Payment '!$D:$D,MATCH('Shayak Income '!D753,'MPG Payment '!E:E,0))</f>
        <v>Araria</v>
      </c>
      <c r="K753" s="125" t="s">
        <v>1322</v>
      </c>
      <c r="L753" s="125">
        <v>46040</v>
      </c>
      <c r="M753" s="126">
        <f>SUMIF('MPG Payment '!$E$3:$E$34579,'Shayak Income '!D753,'MPG Payment '!$I$3:$I$34579)</f>
        <v>758.4</v>
      </c>
      <c r="N753" s="126">
        <f>SUMIF('MPG Payment '!$E$3:$E$34579,'Shayak Income '!D753,'MPG Payment '!$J$3:$J$34579)</f>
        <v>26600.057934190001</v>
      </c>
      <c r="O753" s="126">
        <f t="shared" si="214"/>
        <v>568.79999999999995</v>
      </c>
      <c r="P753" s="126">
        <f t="shared" si="215"/>
        <v>720.4799999999999</v>
      </c>
      <c r="Q753" s="126">
        <f>SUMIF('MPG Payment '!$E$3:$E$34579,'Shayak Income '!D753,'MPG Payment '!$S$3:$S$34579)</f>
        <v>0</v>
      </c>
      <c r="R753" s="126">
        <f t="shared" si="205"/>
        <v>798.00173802569998</v>
      </c>
      <c r="S753" s="126">
        <f t="shared" si="206"/>
        <v>77.521738025700074</v>
      </c>
      <c r="T753" s="126">
        <f t="shared" si="216"/>
        <v>75.84</v>
      </c>
      <c r="U753" s="127">
        <f>(((IF(K753="New",0,SUMIF('MPG Payment '!$E$3:$E$34579,'Shayak Income '!D753,'MPG Payment '!$AC$3:$AC$34579))))+0)+-216</f>
        <v>1212.9501583705442</v>
      </c>
      <c r="V753" s="127">
        <f t="shared" si="217"/>
        <v>0</v>
      </c>
      <c r="W753" s="19">
        <v>0</v>
      </c>
      <c r="X753" s="19">
        <v>0</v>
      </c>
      <c r="Y753" s="128">
        <f>IFERROR(VLOOKUP(D753,'Monthly Deduction'!$M$2:$N$64,2,0),0)</f>
        <v>0</v>
      </c>
      <c r="Z753" s="128">
        <v>0</v>
      </c>
      <c r="AA753" s="126">
        <f>IFERROR(VLOOKUP(D753,'Monthly Deduction'!A:B,2,0),0)</f>
        <v>0</v>
      </c>
      <c r="AB753" s="129">
        <f t="shared" si="208"/>
        <v>0</v>
      </c>
      <c r="AC753" s="130">
        <f t="shared" ref="AC753:AC754" si="230">AB753</f>
        <v>0</v>
      </c>
      <c r="AD753" s="35">
        <f t="shared" si="223"/>
        <v>0</v>
      </c>
      <c r="AE753" s="166" t="str">
        <f t="shared" si="220"/>
        <v>Release</v>
      </c>
      <c r="AF753" s="127"/>
      <c r="AG753" s="18">
        <v>0</v>
      </c>
      <c r="AH753" s="120" t="s">
        <v>1650</v>
      </c>
      <c r="AI753" s="238">
        <v>14569</v>
      </c>
      <c r="AJ753" s="132"/>
      <c r="AK753" s="151">
        <v>320.7</v>
      </c>
      <c r="AL753" s="154">
        <f t="shared" si="209"/>
        <v>0</v>
      </c>
      <c r="AM753" s="155"/>
      <c r="AN753" s="19">
        <f t="shared" si="210"/>
        <v>1861</v>
      </c>
      <c r="AO753" s="118">
        <f>SUMIF('MPG Payment '!E:E,'Shayak Income '!D753,'MPG Payment '!AJ:AJ)</f>
        <v>500</v>
      </c>
      <c r="AP753" s="19">
        <f t="shared" si="211"/>
        <v>0</v>
      </c>
      <c r="AQ753" s="119">
        <f t="shared" si="224"/>
        <v>500</v>
      </c>
      <c r="AR753" s="91" t="s">
        <v>1168</v>
      </c>
      <c r="AS753" s="91">
        <f t="shared" si="212"/>
        <v>0</v>
      </c>
      <c r="AT753" s="118"/>
      <c r="AU753" s="118"/>
      <c r="AV753" s="118"/>
    </row>
    <row r="754" spans="1:48" s="20" customFormat="1" x14ac:dyDescent="0.25">
      <c r="A754" s="17">
        <f>IFERROR(VLOOKUP(D754,'Monthly Deduction'!$I$3:$J$957,2,0),0)</f>
        <v>75733.464200000002</v>
      </c>
      <c r="B754" s="17">
        <f>IFERROR(VLOOKUP(D754,'Monthly Deduction'!$E$3:$F$957,2,0),0)</f>
        <v>0</v>
      </c>
      <c r="C754" s="17">
        <f t="shared" si="222"/>
        <v>75733.464200000002</v>
      </c>
      <c r="D754" s="41">
        <v>10070078</v>
      </c>
      <c r="E754" s="122" t="str">
        <f>VLOOKUP(D754,'MPG Payment '!$E$3:$G$498218,2,0)</f>
        <v>Gomukh Khatha</v>
      </c>
      <c r="F754" s="146">
        <f>IFERROR(_xlfn.XLOOKUP(D754,'Monthly Deduction'!$I$3:$I$957,'Monthly Deduction'!$H$3:$H$957),0)</f>
        <v>0</v>
      </c>
      <c r="G754" s="123" t="str">
        <f>VLOOKUP(D754,'MPG Payment '!$E$3:$G$334579,3,0)</f>
        <v>MPG</v>
      </c>
      <c r="H754" s="124" t="str">
        <f>VLOOKUP(D754,'MPG Payment '!$E$3:$H$334579,4,0)</f>
        <v>Direct</v>
      </c>
      <c r="I754" s="88">
        <f>INDEX('MPG Payment '!$C:$C,MATCH('Shayak Income '!D754,'MPG Payment '!E:E,0))</f>
        <v>1007</v>
      </c>
      <c r="J754" s="88" t="str">
        <f>INDEX('MPG Payment '!$D:$D,MATCH('Shayak Income '!D754,'MPG Payment '!E:E,0))</f>
        <v>Araria</v>
      </c>
      <c r="K754" s="125" t="s">
        <v>1322</v>
      </c>
      <c r="L754" s="125">
        <v>46038</v>
      </c>
      <c r="M754" s="126">
        <f>SUMIF('MPG Payment '!$E$3:$E$34579,'Shayak Income '!D754,'MPG Payment '!$I$3:$I$34579)</f>
        <v>3952.6000000000004</v>
      </c>
      <c r="N754" s="126">
        <f>SUMIF('MPG Payment '!$E$3:$E$34579,'Shayak Income '!D754,'MPG Payment '!$J$3:$J$34579)</f>
        <v>142753.38153025851</v>
      </c>
      <c r="O754" s="126">
        <f t="shared" si="214"/>
        <v>2964.4500000000003</v>
      </c>
      <c r="P754" s="126">
        <f t="shared" si="215"/>
        <v>3754.9700000000003</v>
      </c>
      <c r="Q754" s="126">
        <f>SUMIF('MPG Payment '!$E$3:$E$34579,'Shayak Income '!D754,'MPG Payment '!$S$3:$S$34579)</f>
        <v>0</v>
      </c>
      <c r="R754" s="126">
        <f t="shared" si="205"/>
        <v>4282.6014459077551</v>
      </c>
      <c r="S754" s="126">
        <f t="shared" si="206"/>
        <v>527.63144590775482</v>
      </c>
      <c r="T754" s="126">
        <f t="shared" si="216"/>
        <v>395.26000000000005</v>
      </c>
      <c r="U754" s="127">
        <f>(((IF(K754="New",0,SUMIF('MPG Payment '!$E$3:$E$34579,'Shayak Income '!D754,'MPG Payment '!$AC$3:$AC$34579))))+0)+0</f>
        <v>0</v>
      </c>
      <c r="V754" s="127">
        <f t="shared" si="217"/>
        <v>6324</v>
      </c>
      <c r="W754" s="19">
        <f t="shared" si="226"/>
        <v>2855.0676306051705</v>
      </c>
      <c r="X754" s="19">
        <v>0</v>
      </c>
      <c r="Y754" s="128">
        <f>IFERROR(VLOOKUP(D754,'Monthly Deduction'!$M$2:$N$64,2,0),0)</f>
        <v>0</v>
      </c>
      <c r="Z754" s="128">
        <v>0</v>
      </c>
      <c r="AA754" s="126">
        <f>IFERROR(VLOOKUP(D754,'Monthly Deduction'!A:B,2,0),0)</f>
        <v>0</v>
      </c>
      <c r="AB754" s="129">
        <f t="shared" si="208"/>
        <v>3469</v>
      </c>
      <c r="AC754" s="130">
        <f t="shared" si="230"/>
        <v>3469</v>
      </c>
      <c r="AD754" s="35">
        <f t="shared" si="223"/>
        <v>0</v>
      </c>
      <c r="AE754" s="166" t="str">
        <f t="shared" si="220"/>
        <v>Yes</v>
      </c>
      <c r="AF754" s="127"/>
      <c r="AG754" s="18">
        <v>0</v>
      </c>
      <c r="AH754" s="120" t="s">
        <v>1646</v>
      </c>
      <c r="AI754" s="238">
        <v>13770</v>
      </c>
      <c r="AJ754" s="132"/>
      <c r="AK754" s="151">
        <v>920.40000000000009</v>
      </c>
      <c r="AL754" s="154">
        <f t="shared" si="209"/>
        <v>0</v>
      </c>
      <c r="AM754" s="155"/>
      <c r="AN754" s="19">
        <f t="shared" si="210"/>
        <v>2855.0676306051705</v>
      </c>
      <c r="AO754" s="118">
        <f>SUMIF('MPG Payment '!E:E,'Shayak Income '!D754,'MPG Payment '!AJ:AJ)</f>
        <v>0</v>
      </c>
      <c r="AP754" s="19">
        <f t="shared" si="211"/>
        <v>2855.0676306051705</v>
      </c>
      <c r="AQ754" s="119">
        <f t="shared" si="224"/>
        <v>2855.0676306051705</v>
      </c>
      <c r="AR754" s="91"/>
      <c r="AS754" s="91">
        <f t="shared" si="212"/>
        <v>0</v>
      </c>
      <c r="AT754" s="118"/>
      <c r="AU754" s="118"/>
      <c r="AV754" s="118"/>
    </row>
    <row r="755" spans="1:48" s="20" customFormat="1" x14ac:dyDescent="0.25">
      <c r="A755" s="17">
        <f>IFERROR(VLOOKUP(D755,'Monthly Deduction'!$I$3:$J$957,2,0),0)</f>
        <v>0</v>
      </c>
      <c r="B755" s="17">
        <f>IFERROR(VLOOKUP(D755,'Monthly Deduction'!$E$3:$F$957,2,0),0)</f>
        <v>0</v>
      </c>
      <c r="C755" s="17">
        <f t="shared" si="222"/>
        <v>0</v>
      </c>
      <c r="D755" s="41">
        <v>10140201</v>
      </c>
      <c r="E755" s="122" t="str">
        <f>VLOOKUP(D755,'MPG Payment '!$E$3:$G$498218,2,0)</f>
        <v>Gomukh Lakshman Dera Raja</v>
      </c>
      <c r="F755" s="146">
        <f>IFERROR(_xlfn.XLOOKUP(D755,'Monthly Deduction'!$I$3:$I$957,'Monthly Deduction'!$H$3:$H$957),0)</f>
        <v>0</v>
      </c>
      <c r="G755" s="123" t="str">
        <f>VLOOKUP(D755,'MPG Payment '!$E$3:$G$334579,3,0)</f>
        <v>vlc</v>
      </c>
      <c r="H755" s="124" t="str">
        <f>VLOOKUP(D755,'MPG Payment '!$E$3:$H$334579,4,0)</f>
        <v>Indirect</v>
      </c>
      <c r="I755" s="88">
        <f>INDEX('MPG Payment '!$C:$C,MATCH('Shayak Income '!D755,'MPG Payment '!E:E,0))</f>
        <v>1014</v>
      </c>
      <c r="J755" s="88" t="str">
        <f>INDEX('MPG Payment '!$D:$D,MATCH('Shayak Income '!D755,'MPG Payment '!E:E,0))</f>
        <v>Dumraon</v>
      </c>
      <c r="K755" s="125" t="s">
        <v>1322</v>
      </c>
      <c r="L755" s="125">
        <v>46042</v>
      </c>
      <c r="M755" s="126">
        <f>SUMIF('MPG Payment '!$E$3:$E$34579,'Shayak Income '!D755,'MPG Payment '!$I$3:$I$34579)</f>
        <v>1205.7999999999997</v>
      </c>
      <c r="N755" s="126">
        <f>SUMIF('MPG Payment '!$E$3:$E$34579,'Shayak Income '!D755,'MPG Payment '!$J$3:$J$34579)</f>
        <v>40607.727544000001</v>
      </c>
      <c r="O755" s="126">
        <f t="shared" si="214"/>
        <v>904.3499999999998</v>
      </c>
      <c r="P755" s="126">
        <f t="shared" si="215"/>
        <v>1145.5099999999998</v>
      </c>
      <c r="Q755" s="126">
        <f>SUMIF('MPG Payment '!$E$3:$E$34579,'Shayak Income '!D755,'MPG Payment '!$S$3:$S$34579)</f>
        <v>0</v>
      </c>
      <c r="R755" s="126">
        <f t="shared" si="205"/>
        <v>1218.23182632</v>
      </c>
      <c r="S755" s="126">
        <f t="shared" si="206"/>
        <v>72.721826320000218</v>
      </c>
      <c r="T755" s="126">
        <f t="shared" si="216"/>
        <v>120.57999999999998</v>
      </c>
      <c r="U755" s="127">
        <f>(((IF(K755="New",0,SUMIF('MPG Payment '!$E$3:$E$34579,'Shayak Income '!D755,'MPG Payment '!$AC$3:$AC$34579))))+0)+0</f>
        <v>1076.0777739207267</v>
      </c>
      <c r="V755" s="127">
        <f t="shared" si="217"/>
        <v>853</v>
      </c>
      <c r="W755" s="19">
        <f t="shared" si="226"/>
        <v>0</v>
      </c>
      <c r="X755" s="19">
        <f t="shared" si="207"/>
        <v>0</v>
      </c>
      <c r="Y755" s="128">
        <f>IFERROR(VLOOKUP(D755,'Monthly Deduction'!$M$2:$N$64,2,0),0)</f>
        <v>0</v>
      </c>
      <c r="Z755" s="128">
        <v>0</v>
      </c>
      <c r="AA755" s="126">
        <f>IFERROR(VLOOKUP(D755,'Monthly Deduction'!A:B,2,0),0)</f>
        <v>54.900000000000006</v>
      </c>
      <c r="AB755" s="129">
        <f t="shared" si="208"/>
        <v>798</v>
      </c>
      <c r="AC755" s="130">
        <v>0</v>
      </c>
      <c r="AD755" s="35">
        <f t="shared" si="223"/>
        <v>798</v>
      </c>
      <c r="AE755" s="166" t="str">
        <f t="shared" si="220"/>
        <v>Release</v>
      </c>
      <c r="AF755" s="127"/>
      <c r="AG755" s="18">
        <v>0</v>
      </c>
      <c r="AH755" s="120"/>
      <c r="AI755" s="238">
        <v>0</v>
      </c>
      <c r="AJ755" s="132"/>
      <c r="AK755" s="151">
        <v>200.09999999999997</v>
      </c>
      <c r="AL755" s="154">
        <f t="shared" si="209"/>
        <v>0</v>
      </c>
      <c r="AM755" s="155"/>
      <c r="AN755" s="19">
        <f t="shared" si="210"/>
        <v>0</v>
      </c>
      <c r="AO755" s="118">
        <f>SUMIF('MPG Payment '!E:E,'Shayak Income '!D755,'MPG Payment '!AJ:AJ)</f>
        <v>0</v>
      </c>
      <c r="AP755" s="19">
        <f t="shared" si="211"/>
        <v>0</v>
      </c>
      <c r="AQ755" s="119">
        <f t="shared" si="224"/>
        <v>0</v>
      </c>
      <c r="AR755" s="91" t="s">
        <v>1168</v>
      </c>
      <c r="AS755" s="91">
        <f t="shared" si="212"/>
        <v>0</v>
      </c>
      <c r="AT755" s="118"/>
      <c r="AU755" s="118"/>
      <c r="AV755" s="118"/>
    </row>
    <row r="756" spans="1:48" s="20" customFormat="1" x14ac:dyDescent="0.25">
      <c r="A756" s="17">
        <f>IFERROR(VLOOKUP(D756,'Monthly Deduction'!$I$3:$J$957,2,0),0)</f>
        <v>63139</v>
      </c>
      <c r="B756" s="17">
        <f>IFERROR(VLOOKUP(D756,'Monthly Deduction'!$E$3:$F$957,2,0),0)</f>
        <v>0</v>
      </c>
      <c r="C756" s="17">
        <f t="shared" si="222"/>
        <v>63139</v>
      </c>
      <c r="D756" s="41">
        <v>10530100</v>
      </c>
      <c r="E756" s="122" t="str">
        <f>VLOOKUP(D756,'MPG Payment '!$E$3:$G$498218,2,0)</f>
        <v>GOMUKH CHAKKI</v>
      </c>
      <c r="F756" s="146">
        <f>IFERROR(_xlfn.XLOOKUP(D756,'Monthly Deduction'!$I$3:$I$957,'Monthly Deduction'!$H$3:$H$957),0)</f>
        <v>0</v>
      </c>
      <c r="G756" s="123" t="str">
        <f>VLOOKUP(D756,'MPG Payment '!$E$3:$G$334579,3,0)</f>
        <v>MPG</v>
      </c>
      <c r="H756" s="124" t="str">
        <f>VLOOKUP(D756,'MPG Payment '!$E$3:$H$334579,4,0)</f>
        <v>Direct</v>
      </c>
      <c r="I756" s="88">
        <f>INDEX('MPG Payment '!$C:$C,MATCH('Shayak Income '!D756,'MPG Payment '!E:E,0))</f>
        <v>1053</v>
      </c>
      <c r="J756" s="88" t="str">
        <f>INDEX('MPG Payment '!$D:$D,MATCH('Shayak Income '!D756,'MPG Payment '!E:E,0))</f>
        <v>Kalyanpur</v>
      </c>
      <c r="K756" s="125" t="s">
        <v>1322</v>
      </c>
      <c r="L756" s="125">
        <v>46038</v>
      </c>
      <c r="M756" s="126">
        <f>SUMIF('MPG Payment '!$E$3:$E$34579,'Shayak Income '!D756,'MPG Payment '!$I$3:$I$34579)</f>
        <v>991.44999999999993</v>
      </c>
      <c r="N756" s="126">
        <f>SUMIF('MPG Payment '!$E$3:$E$34579,'Shayak Income '!D756,'MPG Payment '!$J$3:$J$34579)</f>
        <v>40637.245529760505</v>
      </c>
      <c r="O756" s="126">
        <f t="shared" si="214"/>
        <v>743.58749999999998</v>
      </c>
      <c r="P756" s="126">
        <f t="shared" si="215"/>
        <v>941.87749999999994</v>
      </c>
      <c r="Q756" s="126">
        <f>SUMIF('MPG Payment '!$E$3:$E$34579,'Shayak Income '!D756,'MPG Payment '!$S$3:$S$34579)</f>
        <v>367.55481648036005</v>
      </c>
      <c r="R756" s="126">
        <f t="shared" si="205"/>
        <v>1219.1173658928151</v>
      </c>
      <c r="S756" s="126">
        <f t="shared" si="206"/>
        <v>277.23986589281515</v>
      </c>
      <c r="T756" s="126">
        <f t="shared" si="216"/>
        <v>99.144999999999996</v>
      </c>
      <c r="U756" s="127">
        <f>(((IF(K756="New",0,SUMIF('MPG Payment '!$E$3:$E$34579,'Shayak Income '!D756,'MPG Payment '!$AC$3:$AC$34579))))+0)+0</f>
        <v>1484.3458161353792</v>
      </c>
      <c r="V756" s="127">
        <f t="shared" si="217"/>
        <v>470</v>
      </c>
      <c r="W756" s="19">
        <v>470</v>
      </c>
      <c r="X756" s="19">
        <v>0</v>
      </c>
      <c r="Y756" s="128">
        <f>IFERROR(VLOOKUP(D756,'Monthly Deduction'!$M$2:$N$64,2,0),0)</f>
        <v>0</v>
      </c>
      <c r="Z756" s="128">
        <v>0</v>
      </c>
      <c r="AA756" s="126">
        <f>IFERROR(VLOOKUP(D756,'Monthly Deduction'!A:B,2,0),0)</f>
        <v>0</v>
      </c>
      <c r="AB756" s="129">
        <f t="shared" si="208"/>
        <v>0</v>
      </c>
      <c r="AC756" s="130">
        <v>0</v>
      </c>
      <c r="AD756" s="35">
        <f t="shared" si="223"/>
        <v>0</v>
      </c>
      <c r="AE756" s="166" t="str">
        <f t="shared" si="220"/>
        <v>Release</v>
      </c>
      <c r="AF756" s="127"/>
      <c r="AG756" s="127">
        <v>0</v>
      </c>
      <c r="AH756" s="120"/>
      <c r="AI756" s="238">
        <v>0</v>
      </c>
      <c r="AJ756" s="132"/>
      <c r="AK756" s="151">
        <v>280.04999999999995</v>
      </c>
      <c r="AL756" s="154">
        <f t="shared" si="209"/>
        <v>0</v>
      </c>
      <c r="AM756" s="155"/>
      <c r="AN756" s="19">
        <f t="shared" si="210"/>
        <v>1861</v>
      </c>
      <c r="AO756" s="118">
        <f>SUMIF('MPG Payment '!E:E,'Shayak Income '!D756,'MPG Payment '!AJ:AJ)</f>
        <v>0</v>
      </c>
      <c r="AP756" s="19">
        <f t="shared" si="211"/>
        <v>470</v>
      </c>
      <c r="AQ756" s="119">
        <f t="shared" si="224"/>
        <v>470</v>
      </c>
      <c r="AR756" s="91" t="s">
        <v>1168</v>
      </c>
      <c r="AS756" s="91">
        <f t="shared" si="212"/>
        <v>0</v>
      </c>
      <c r="AT756" s="118"/>
      <c r="AU756" s="118"/>
      <c r="AV756" s="118"/>
    </row>
    <row r="757" spans="1:48" s="20" customFormat="1" x14ac:dyDescent="0.25">
      <c r="A757" s="17">
        <f>IFERROR(VLOOKUP(D757,'Monthly Deduction'!$I$3:$J$957,2,0),0)</f>
        <v>71966</v>
      </c>
      <c r="B757" s="17">
        <f>IFERROR(VLOOKUP(D757,'Monthly Deduction'!$E$3:$F$957,2,0),0)</f>
        <v>0</v>
      </c>
      <c r="C757" s="17">
        <f t="shared" si="222"/>
        <v>71966</v>
      </c>
      <c r="D757" s="41">
        <v>10530102</v>
      </c>
      <c r="E757" s="122" t="str">
        <f>VLOOKUP(D757,'MPG Payment '!$E$3:$G$498218,2,0)</f>
        <v>GOMUKH KOTHIYA</v>
      </c>
      <c r="F757" s="146">
        <f>IFERROR(_xlfn.XLOOKUP(D757,'Monthly Deduction'!$I$3:$I$957,'Monthly Deduction'!$H$3:$H$957),0)</f>
        <v>0</v>
      </c>
      <c r="G757" s="123" t="str">
        <f>VLOOKUP(D757,'MPG Payment '!$E$3:$G$334579,3,0)</f>
        <v>MPG</v>
      </c>
      <c r="H757" s="124" t="str">
        <f>VLOOKUP(D757,'MPG Payment '!$E$3:$H$334579,4,0)</f>
        <v>Direct</v>
      </c>
      <c r="I757" s="88">
        <f>INDEX('MPG Payment '!$C:$C,MATCH('Shayak Income '!D757,'MPG Payment '!E:E,0))</f>
        <v>1053</v>
      </c>
      <c r="J757" s="88" t="str">
        <f>INDEX('MPG Payment '!$D:$D,MATCH('Shayak Income '!D757,'MPG Payment '!E:E,0))</f>
        <v>Kalyanpur</v>
      </c>
      <c r="K757" s="125" t="s">
        <v>1322</v>
      </c>
      <c r="L757" s="125">
        <v>46043</v>
      </c>
      <c r="M757" s="126">
        <f>SUMIF('MPG Payment '!$E$3:$E$34579,'Shayak Income '!D757,'MPG Payment '!$I$3:$I$34579)</f>
        <v>402.15</v>
      </c>
      <c r="N757" s="126">
        <f>SUMIF('MPG Payment '!$E$3:$E$34579,'Shayak Income '!D757,'MPG Payment '!$J$3:$J$34579)</f>
        <v>16390.26320739225</v>
      </c>
      <c r="O757" s="126">
        <f t="shared" si="214"/>
        <v>301.61249999999995</v>
      </c>
      <c r="P757" s="126">
        <f t="shared" si="215"/>
        <v>382.04249999999996</v>
      </c>
      <c r="Q757" s="126">
        <f>SUMIF('MPG Payment '!$E$3:$E$34579,'Shayak Income '!D757,'MPG Payment '!$S$3:$S$34579)</f>
        <v>7.7142756240000017</v>
      </c>
      <c r="R757" s="126">
        <f t="shared" si="205"/>
        <v>491.7078962217675</v>
      </c>
      <c r="S757" s="126">
        <f t="shared" si="206"/>
        <v>109.66539622176754</v>
      </c>
      <c r="T757" s="126">
        <f t="shared" si="216"/>
        <v>40.215000000000003</v>
      </c>
      <c r="U757" s="127">
        <f>(((IF(K757="New",0,SUMIF('MPG Payment '!$E$3:$E$34579,'Shayak Income '!D757,'MPG Payment '!$AC$3:$AC$34579))))+0)+-1304</f>
        <v>651.21460198742534</v>
      </c>
      <c r="V757" s="127">
        <f t="shared" si="217"/>
        <v>0</v>
      </c>
      <c r="W757" s="19">
        <v>0</v>
      </c>
      <c r="X757" s="19">
        <v>0</v>
      </c>
      <c r="Y757" s="128">
        <f>IFERROR(VLOOKUP(D757,'Monthly Deduction'!$M$2:$N$64,2,0),0)</f>
        <v>0</v>
      </c>
      <c r="Z757" s="128">
        <v>0</v>
      </c>
      <c r="AA757" s="126">
        <f>IFERROR(VLOOKUP(D757,'Monthly Deduction'!A:B,2,0),0)</f>
        <v>0</v>
      </c>
      <c r="AB757" s="129">
        <f t="shared" si="208"/>
        <v>0</v>
      </c>
      <c r="AC757" s="130">
        <f>AB757</f>
        <v>0</v>
      </c>
      <c r="AD757" s="35">
        <f t="shared" si="223"/>
        <v>0</v>
      </c>
      <c r="AE757" s="166" t="str">
        <f t="shared" si="220"/>
        <v>Release</v>
      </c>
      <c r="AF757" s="127"/>
      <c r="AG757" s="18">
        <v>0</v>
      </c>
      <c r="AH757" s="120" t="s">
        <v>1646</v>
      </c>
      <c r="AI757" s="238">
        <v>7966</v>
      </c>
      <c r="AJ757" s="132"/>
      <c r="AK757" s="151">
        <v>105.85</v>
      </c>
      <c r="AL757" s="154">
        <f t="shared" si="209"/>
        <v>0</v>
      </c>
      <c r="AM757" s="155"/>
      <c r="AN757" s="19">
        <f t="shared" si="210"/>
        <v>1861</v>
      </c>
      <c r="AO757" s="118">
        <f>SUMIF('MPG Payment '!E:E,'Shayak Income '!D757,'MPG Payment '!AJ:AJ)</f>
        <v>500</v>
      </c>
      <c r="AP757" s="19">
        <f t="shared" si="211"/>
        <v>0</v>
      </c>
      <c r="AQ757" s="119">
        <f t="shared" si="224"/>
        <v>500</v>
      </c>
      <c r="AR757" s="91" t="s">
        <v>1168</v>
      </c>
      <c r="AS757" s="91">
        <f t="shared" si="212"/>
        <v>0</v>
      </c>
      <c r="AT757" s="118"/>
      <c r="AU757" s="118"/>
      <c r="AV757" s="118"/>
    </row>
    <row r="758" spans="1:48" s="20" customFormat="1" x14ac:dyDescent="0.25">
      <c r="A758" s="17">
        <f>IFERROR(VLOOKUP(D758,'Monthly Deduction'!$I$3:$J$957,2,0),0)</f>
        <v>64284</v>
      </c>
      <c r="B758" s="17">
        <f>IFERROR(VLOOKUP(D758,'Monthly Deduction'!$E$3:$F$957,2,0),0)</f>
        <v>6400</v>
      </c>
      <c r="C758" s="17">
        <f t="shared" si="222"/>
        <v>70684</v>
      </c>
      <c r="D758" s="41">
        <v>10580010</v>
      </c>
      <c r="E758" s="122" t="str">
        <f>VLOOKUP(D758,'MPG Payment '!$E$3:$G$498218,2,0)</f>
        <v>Godah</v>
      </c>
      <c r="F758" s="146">
        <f>IFERROR(_xlfn.XLOOKUP(D758,'Monthly Deduction'!$I$3:$I$957,'Monthly Deduction'!$H$3:$H$957),0)</f>
        <v>0</v>
      </c>
      <c r="G758" s="123" t="str">
        <f>VLOOKUP(D758,'MPG Payment '!$E$3:$G$334579,3,0)</f>
        <v>MPG</v>
      </c>
      <c r="H758" s="124" t="str">
        <f>VLOOKUP(D758,'MPG Payment '!$E$3:$H$334579,4,0)</f>
        <v>Direct</v>
      </c>
      <c r="I758" s="88">
        <f>INDEX('MPG Payment '!$C:$C,MATCH('Shayak Income '!D758,'MPG Payment '!E:E,0))</f>
        <v>1058</v>
      </c>
      <c r="J758" s="88" t="str">
        <f>INDEX('MPG Payment '!$D:$D,MATCH('Shayak Income '!D758,'MPG Payment '!E:E,0))</f>
        <v>Hasanpur</v>
      </c>
      <c r="K758" s="125" t="s">
        <v>1322</v>
      </c>
      <c r="L758" s="125">
        <v>46039</v>
      </c>
      <c r="M758" s="126">
        <f>SUMIF('MPG Payment '!$E$3:$E$34579,'Shayak Income '!D758,'MPG Payment '!$I$3:$I$34579)</f>
        <v>1063.2</v>
      </c>
      <c r="N758" s="126">
        <f>SUMIF('MPG Payment '!$E$3:$E$34579,'Shayak Income '!D758,'MPG Payment '!$J$3:$J$34579)</f>
        <v>38706.397768263996</v>
      </c>
      <c r="O758" s="126">
        <f t="shared" si="214"/>
        <v>797.40000000000009</v>
      </c>
      <c r="P758" s="126">
        <f t="shared" si="215"/>
        <v>1010.04</v>
      </c>
      <c r="Q758" s="126">
        <f>SUMIF('MPG Payment '!$E$3:$E$34579,'Shayak Income '!D758,'MPG Payment '!$S$3:$S$34579)</f>
        <v>0</v>
      </c>
      <c r="R758" s="126">
        <f t="shared" si="205"/>
        <v>1161.1919330479197</v>
      </c>
      <c r="S758" s="126">
        <f t="shared" si="206"/>
        <v>151.15193304791978</v>
      </c>
      <c r="T758" s="126">
        <f t="shared" si="216"/>
        <v>106.32000000000001</v>
      </c>
      <c r="U758" s="127">
        <f>(((IF(K758="New",0,SUMIF('MPG Payment '!$E$3:$E$34579,'Shayak Income '!D758,'MPG Payment '!$AC$3:$AC$34579))))+0)+0</f>
        <v>1264.8912006414091</v>
      </c>
      <c r="V758" s="127">
        <f t="shared" si="217"/>
        <v>436</v>
      </c>
      <c r="W758" s="19">
        <v>436</v>
      </c>
      <c r="X758" s="19">
        <v>0</v>
      </c>
      <c r="Y758" s="128">
        <f>IFERROR(VLOOKUP(D758,'Monthly Deduction'!$M$2:$N$64,2,0),0)</f>
        <v>0</v>
      </c>
      <c r="Z758" s="128">
        <v>0</v>
      </c>
      <c r="AA758" s="126">
        <f>IFERROR(VLOOKUP(D758,'Monthly Deduction'!A:B,2,0),0)</f>
        <v>0</v>
      </c>
      <c r="AB758" s="129">
        <f t="shared" si="208"/>
        <v>0</v>
      </c>
      <c r="AC758" s="130">
        <v>0</v>
      </c>
      <c r="AD758" s="35">
        <f t="shared" si="223"/>
        <v>0</v>
      </c>
      <c r="AE758" s="166" t="str">
        <f t="shared" si="220"/>
        <v>Release</v>
      </c>
      <c r="AF758" s="127"/>
      <c r="AG758" s="18">
        <v>0</v>
      </c>
      <c r="AH758" s="120"/>
      <c r="AI758" s="238">
        <v>0</v>
      </c>
      <c r="AJ758" s="132"/>
      <c r="AK758" s="151">
        <v>249.70000000000002</v>
      </c>
      <c r="AL758" s="154">
        <f t="shared" si="209"/>
        <v>0</v>
      </c>
      <c r="AM758" s="155"/>
      <c r="AN758" s="19">
        <f t="shared" si="210"/>
        <v>1861</v>
      </c>
      <c r="AO758" s="118">
        <f>SUMIF('MPG Payment '!E:E,'Shayak Income '!D758,'MPG Payment '!AJ:AJ)</f>
        <v>0</v>
      </c>
      <c r="AP758" s="19">
        <f t="shared" si="211"/>
        <v>436</v>
      </c>
      <c r="AQ758" s="119">
        <f t="shared" si="224"/>
        <v>436</v>
      </c>
      <c r="AR758" s="91" t="s">
        <v>1168</v>
      </c>
      <c r="AS758" s="91">
        <f t="shared" si="212"/>
        <v>6400</v>
      </c>
      <c r="AT758" s="118"/>
      <c r="AU758" s="118"/>
      <c r="AV758" s="118"/>
    </row>
    <row r="759" spans="1:48" s="20" customFormat="1" x14ac:dyDescent="0.25">
      <c r="A759" s="17">
        <f>IFERROR(VLOOKUP(D759,'Monthly Deduction'!$I$3:$J$957,2,0),0)</f>
        <v>64000</v>
      </c>
      <c r="B759" s="17">
        <f>IFERROR(VLOOKUP(D759,'Monthly Deduction'!$E$3:$F$957,2,0),0)</f>
        <v>6400</v>
      </c>
      <c r="C759" s="17">
        <f t="shared" si="222"/>
        <v>70400</v>
      </c>
      <c r="D759" s="41">
        <v>10580012</v>
      </c>
      <c r="E759" s="122" t="str">
        <f>VLOOKUP(D759,'MPG Payment '!$E$3:$G$498218,2,0)</f>
        <v>Ballahpur</v>
      </c>
      <c r="F759" s="146">
        <f>IFERROR(_xlfn.XLOOKUP(D759,'Monthly Deduction'!$I$3:$I$957,'Monthly Deduction'!$H$3:$H$957),0)</f>
        <v>0</v>
      </c>
      <c r="G759" s="123" t="str">
        <f>VLOOKUP(D759,'MPG Payment '!$E$3:$G$334579,3,0)</f>
        <v>MPG</v>
      </c>
      <c r="H759" s="124" t="str">
        <f>VLOOKUP(D759,'MPG Payment '!$E$3:$H$334579,4,0)</f>
        <v>Direct</v>
      </c>
      <c r="I759" s="88">
        <f>INDEX('MPG Payment '!$C:$C,MATCH('Shayak Income '!D759,'MPG Payment '!E:E,0))</f>
        <v>1058</v>
      </c>
      <c r="J759" s="88" t="str">
        <f>INDEX('MPG Payment '!$D:$D,MATCH('Shayak Income '!D759,'MPG Payment '!E:E,0))</f>
        <v>Hasanpur</v>
      </c>
      <c r="K759" s="125" t="s">
        <v>1322</v>
      </c>
      <c r="L759" s="125">
        <v>46038</v>
      </c>
      <c r="M759" s="126">
        <f>SUMIF('MPG Payment '!$E$3:$E$34579,'Shayak Income '!D759,'MPG Payment '!$I$3:$I$34579)</f>
        <v>539.6</v>
      </c>
      <c r="N759" s="126">
        <f>SUMIF('MPG Payment '!$E$3:$E$34579,'Shayak Income '!D759,'MPG Payment '!$J$3:$J$34579)</f>
        <v>20837.42172033</v>
      </c>
      <c r="O759" s="126">
        <f t="shared" si="214"/>
        <v>404.70000000000005</v>
      </c>
      <c r="P759" s="126">
        <f t="shared" si="215"/>
        <v>512.62</v>
      </c>
      <c r="Q759" s="126">
        <f>SUMIF('MPG Payment '!$E$3:$E$34579,'Shayak Income '!D759,'MPG Payment '!$S$3:$S$34579)</f>
        <v>0</v>
      </c>
      <c r="R759" s="126">
        <f t="shared" si="205"/>
        <v>625.1226516099</v>
      </c>
      <c r="S759" s="126">
        <f t="shared" si="206"/>
        <v>112.5026516099</v>
      </c>
      <c r="T759" s="126">
        <f t="shared" si="216"/>
        <v>53.960000000000008</v>
      </c>
      <c r="U759" s="127">
        <f>(((IF(K759="New",0,SUMIF('MPG Payment '!$E$3:$E$34579,'Shayak Income '!D759,'MPG Payment '!$AC$3:$AC$34579))))+0)+-869</f>
        <v>863.7210615449078</v>
      </c>
      <c r="V759" s="127">
        <f t="shared" si="217"/>
        <v>0</v>
      </c>
      <c r="W759" s="19">
        <v>0</v>
      </c>
      <c r="X759" s="19">
        <v>0</v>
      </c>
      <c r="Y759" s="128">
        <f>IFERROR(VLOOKUP(D759,'Monthly Deduction'!$M$2:$N$64,2,0),0)</f>
        <v>0</v>
      </c>
      <c r="Z759" s="128">
        <v>0</v>
      </c>
      <c r="AA759" s="126">
        <f>IFERROR(VLOOKUP(D759,'Monthly Deduction'!A:B,2,0),0)</f>
        <v>0</v>
      </c>
      <c r="AB759" s="129">
        <f t="shared" si="208"/>
        <v>0</v>
      </c>
      <c r="AC759" s="130">
        <f t="shared" ref="AC759:AC762" si="231">AB759</f>
        <v>0</v>
      </c>
      <c r="AD759" s="35">
        <f t="shared" si="223"/>
        <v>0</v>
      </c>
      <c r="AE759" s="166" t="str">
        <f t="shared" si="220"/>
        <v>Release</v>
      </c>
      <c r="AF759" s="127"/>
      <c r="AG759" s="18">
        <v>0</v>
      </c>
      <c r="AH759" s="120" t="s">
        <v>1653</v>
      </c>
      <c r="AI759" s="238">
        <v>0</v>
      </c>
      <c r="AJ759" s="132"/>
      <c r="AK759" s="151">
        <v>294.2</v>
      </c>
      <c r="AL759" s="154">
        <f t="shared" si="209"/>
        <v>0</v>
      </c>
      <c r="AM759" s="155"/>
      <c r="AN759" s="19">
        <f t="shared" si="210"/>
        <v>1861</v>
      </c>
      <c r="AO759" s="118">
        <f>SUMIF('MPG Payment '!E:E,'Shayak Income '!D759,'MPG Payment '!AJ:AJ)</f>
        <v>500</v>
      </c>
      <c r="AP759" s="19">
        <f t="shared" si="211"/>
        <v>0</v>
      </c>
      <c r="AQ759" s="119">
        <f t="shared" si="224"/>
        <v>500</v>
      </c>
      <c r="AR759" s="91" t="s">
        <v>1168</v>
      </c>
      <c r="AS759" s="91">
        <f t="shared" si="212"/>
        <v>6400</v>
      </c>
      <c r="AT759" s="118"/>
      <c r="AU759" s="118"/>
      <c r="AV759" s="118"/>
    </row>
    <row r="760" spans="1:48" s="20" customFormat="1" x14ac:dyDescent="0.25">
      <c r="A760" s="17">
        <f>IFERROR(VLOOKUP(D760,'Monthly Deduction'!$I$3:$J$957,2,0),0)</f>
        <v>63139</v>
      </c>
      <c r="B760" s="17">
        <f>IFERROR(VLOOKUP(D760,'Monthly Deduction'!$E$3:$F$957,2,0),0)</f>
        <v>6400</v>
      </c>
      <c r="C760" s="17">
        <f t="shared" si="222"/>
        <v>69539</v>
      </c>
      <c r="D760" s="41">
        <v>10580015</v>
      </c>
      <c r="E760" s="122" t="str">
        <f>VLOOKUP(D760,'MPG Payment '!$E$3:$G$498218,2,0)</f>
        <v>Birpur</v>
      </c>
      <c r="F760" s="146">
        <f>IFERROR(_xlfn.XLOOKUP(D760,'Monthly Deduction'!$I$3:$I$957,'Monthly Deduction'!$H$3:$H$957),0)</f>
        <v>0</v>
      </c>
      <c r="G760" s="123" t="str">
        <f>VLOOKUP(D760,'MPG Payment '!$E$3:$G$334579,3,0)</f>
        <v>MPG</v>
      </c>
      <c r="H760" s="124" t="str">
        <f>VLOOKUP(D760,'MPG Payment '!$E$3:$H$334579,4,0)</f>
        <v>Direct</v>
      </c>
      <c r="I760" s="88">
        <f>INDEX('MPG Payment '!$C:$C,MATCH('Shayak Income '!D760,'MPG Payment '!E:E,0))</f>
        <v>1058</v>
      </c>
      <c r="J760" s="88" t="str">
        <f>INDEX('MPG Payment '!$D:$D,MATCH('Shayak Income '!D760,'MPG Payment '!E:E,0))</f>
        <v>Hasanpur</v>
      </c>
      <c r="K760" s="125" t="s">
        <v>1322</v>
      </c>
      <c r="L760" s="125">
        <v>46038</v>
      </c>
      <c r="M760" s="126">
        <f>SUMIF('MPG Payment '!$E$3:$E$34579,'Shayak Income '!D760,'MPG Payment '!$I$3:$I$34579)</f>
        <v>1956.6</v>
      </c>
      <c r="N760" s="126">
        <f>SUMIF('MPG Payment '!$E$3:$E$34579,'Shayak Income '!D760,'MPG Payment '!$J$3:$J$34579)</f>
        <v>65571.383330701996</v>
      </c>
      <c r="O760" s="126">
        <f t="shared" si="214"/>
        <v>1467.4499999999998</v>
      </c>
      <c r="P760" s="126">
        <f t="shared" si="215"/>
        <v>1858.7699999999998</v>
      </c>
      <c r="Q760" s="126">
        <f>SUMIF('MPG Payment '!$E$3:$E$34579,'Shayak Income '!D760,'MPG Payment '!$S$3:$S$34579)</f>
        <v>0</v>
      </c>
      <c r="R760" s="126">
        <f t="shared" si="205"/>
        <v>1967.1414999210599</v>
      </c>
      <c r="S760" s="126">
        <f t="shared" si="206"/>
        <v>108.37149992106015</v>
      </c>
      <c r="T760" s="126">
        <f t="shared" si="216"/>
        <v>195.66</v>
      </c>
      <c r="U760" s="127">
        <f>(((IF(K760="New",0,SUMIF('MPG Payment '!$E$3:$E$34579,'Shayak Income '!D760,'MPG Payment '!$AC$3:$AC$34579))))+0)+0</f>
        <v>567.36857998126197</v>
      </c>
      <c r="V760" s="127">
        <f t="shared" si="217"/>
        <v>2563</v>
      </c>
      <c r="W760" s="19">
        <f t="shared" si="226"/>
        <v>1861</v>
      </c>
      <c r="X760" s="19">
        <v>0</v>
      </c>
      <c r="Y760" s="128">
        <f>IFERROR(VLOOKUP(D760,'Monthly Deduction'!$M$2:$N$64,2,0),0)</f>
        <v>0</v>
      </c>
      <c r="Z760" s="128">
        <v>0</v>
      </c>
      <c r="AA760" s="126">
        <f>IFERROR(VLOOKUP(D760,'Monthly Deduction'!A:B,2,0),0)</f>
        <v>0</v>
      </c>
      <c r="AB760" s="129">
        <f t="shared" si="208"/>
        <v>702</v>
      </c>
      <c r="AC760" s="130">
        <f t="shared" si="231"/>
        <v>702</v>
      </c>
      <c r="AD760" s="35">
        <f t="shared" si="223"/>
        <v>0</v>
      </c>
      <c r="AE760" s="166" t="str">
        <f t="shared" si="220"/>
        <v>Yes</v>
      </c>
      <c r="AF760" s="127"/>
      <c r="AG760" s="18">
        <v>0</v>
      </c>
      <c r="AH760" s="120" t="s">
        <v>1653</v>
      </c>
      <c r="AI760" s="238">
        <v>0</v>
      </c>
      <c r="AJ760" s="132"/>
      <c r="AK760" s="151">
        <v>629.79999999999995</v>
      </c>
      <c r="AL760" s="154">
        <f t="shared" si="209"/>
        <v>0</v>
      </c>
      <c r="AM760" s="155"/>
      <c r="AN760" s="19">
        <f t="shared" si="210"/>
        <v>1861</v>
      </c>
      <c r="AO760" s="118">
        <f>SUMIF('MPG Payment '!E:E,'Shayak Income '!D760,'MPG Payment '!AJ:AJ)</f>
        <v>0</v>
      </c>
      <c r="AP760" s="19">
        <f t="shared" si="211"/>
        <v>1861</v>
      </c>
      <c r="AQ760" s="119">
        <f t="shared" si="224"/>
        <v>1861</v>
      </c>
      <c r="AR760" s="91" t="s">
        <v>1168</v>
      </c>
      <c r="AS760" s="91">
        <f t="shared" si="212"/>
        <v>6400</v>
      </c>
      <c r="AT760" s="118"/>
      <c r="AU760" s="118"/>
      <c r="AV760" s="118"/>
    </row>
    <row r="761" spans="1:48" s="20" customFormat="1" x14ac:dyDescent="0.25">
      <c r="A761" s="17">
        <f>IFERROR(VLOOKUP(D761,'Monthly Deduction'!$I$3:$J$957,2,0),0)</f>
        <v>61971.521399999998</v>
      </c>
      <c r="B761" s="17">
        <f>IFERROR(VLOOKUP(D761,'Monthly Deduction'!$E$3:$F$957,2,0),0)</f>
        <v>6400</v>
      </c>
      <c r="C761" s="17">
        <f t="shared" si="222"/>
        <v>68371.521399999998</v>
      </c>
      <c r="D761" s="41">
        <v>10580017</v>
      </c>
      <c r="E761" s="122" t="str">
        <f>VLOOKUP(D761,'MPG Payment '!$E$3:$G$498218,2,0)</f>
        <v>Ahilwar</v>
      </c>
      <c r="F761" s="146">
        <f>IFERROR(_xlfn.XLOOKUP(D761,'Monthly Deduction'!$I$3:$I$957,'Monthly Deduction'!$H$3:$H$957),0)</f>
        <v>0</v>
      </c>
      <c r="G761" s="123" t="str">
        <f>VLOOKUP(D761,'MPG Payment '!$E$3:$G$334579,3,0)</f>
        <v>MPG</v>
      </c>
      <c r="H761" s="124" t="str">
        <f>VLOOKUP(D761,'MPG Payment '!$E$3:$H$334579,4,0)</f>
        <v>Direct</v>
      </c>
      <c r="I761" s="88">
        <f>INDEX('MPG Payment '!$C:$C,MATCH('Shayak Income '!D761,'MPG Payment '!E:E,0))</f>
        <v>1058</v>
      </c>
      <c r="J761" s="88" t="str">
        <f>INDEX('MPG Payment '!$D:$D,MATCH('Shayak Income '!D761,'MPG Payment '!E:E,0))</f>
        <v>Hasanpur</v>
      </c>
      <c r="K761" s="125" t="s">
        <v>1322</v>
      </c>
      <c r="L761" s="125">
        <v>46039</v>
      </c>
      <c r="M761" s="126">
        <f>SUMIF('MPG Payment '!$E$3:$E$34579,'Shayak Income '!D761,'MPG Payment '!$I$3:$I$34579)</f>
        <v>4824</v>
      </c>
      <c r="N761" s="126">
        <f>SUMIF('MPG Payment '!$E$3:$E$34579,'Shayak Income '!D761,'MPG Payment '!$J$3:$J$34579)</f>
        <v>194779.36578502198</v>
      </c>
      <c r="O761" s="126">
        <f t="shared" si="214"/>
        <v>3618</v>
      </c>
      <c r="P761" s="126">
        <f t="shared" si="215"/>
        <v>4582.8</v>
      </c>
      <c r="Q761" s="126">
        <f>SUMIF('MPG Payment '!$E$3:$E$34579,'Shayak Income '!D761,'MPG Payment '!$S$3:$S$34579)</f>
        <v>876.24996683000006</v>
      </c>
      <c r="R761" s="126">
        <f t="shared" si="205"/>
        <v>5843.3809735506593</v>
      </c>
      <c r="S761" s="126">
        <f t="shared" si="206"/>
        <v>1260.5809735506591</v>
      </c>
      <c r="T761" s="126">
        <f t="shared" si="216"/>
        <v>482.40000000000003</v>
      </c>
      <c r="U761" s="127">
        <f>(((IF(K761="New",0,SUMIF('MPG Payment '!$E$3:$E$34579,'Shayak Income '!D761,'MPG Payment '!$AC$3:$AC$34579))))+0)+0</f>
        <v>0</v>
      </c>
      <c r="V761" s="127">
        <f t="shared" si="217"/>
        <v>8595</v>
      </c>
      <c r="W761" s="19">
        <f t="shared" si="226"/>
        <v>3895.5873157004394</v>
      </c>
      <c r="X761" s="19">
        <v>0</v>
      </c>
      <c r="Y761" s="128">
        <f>IFERROR(VLOOKUP(D761,'Monthly Deduction'!$M$2:$N$64,2,0),0)</f>
        <v>0</v>
      </c>
      <c r="Z761" s="128">
        <v>0</v>
      </c>
      <c r="AA761" s="126">
        <f>IFERROR(VLOOKUP(D761,'Monthly Deduction'!A:B,2,0),0)</f>
        <v>0</v>
      </c>
      <c r="AB761" s="129">
        <f t="shared" si="208"/>
        <v>4699</v>
      </c>
      <c r="AC761" s="130">
        <f t="shared" si="231"/>
        <v>4699</v>
      </c>
      <c r="AD761" s="35">
        <f t="shared" si="223"/>
        <v>0</v>
      </c>
      <c r="AE761" s="166" t="str">
        <f t="shared" si="220"/>
        <v>Yes</v>
      </c>
      <c r="AF761" s="127"/>
      <c r="AG761" s="18">
        <v>0</v>
      </c>
      <c r="AH761" s="120" t="s">
        <v>1653</v>
      </c>
      <c r="AI761" s="238">
        <v>0</v>
      </c>
      <c r="AJ761" s="132"/>
      <c r="AK761" s="151">
        <v>1349.6</v>
      </c>
      <c r="AL761" s="154">
        <f t="shared" si="209"/>
        <v>0</v>
      </c>
      <c r="AM761" s="155"/>
      <c r="AN761" s="19">
        <f t="shared" si="210"/>
        <v>3895.5873157004394</v>
      </c>
      <c r="AO761" s="118">
        <f>SUMIF('MPG Payment '!E:E,'Shayak Income '!D761,'MPG Payment '!AJ:AJ)</f>
        <v>0</v>
      </c>
      <c r="AP761" s="19">
        <f t="shared" si="211"/>
        <v>3895.5873157004394</v>
      </c>
      <c r="AQ761" s="119">
        <f t="shared" si="224"/>
        <v>3895.5873157004394</v>
      </c>
      <c r="AR761" s="91" t="s">
        <v>1168</v>
      </c>
      <c r="AS761" s="91">
        <f t="shared" si="212"/>
        <v>6400</v>
      </c>
      <c r="AT761" s="118"/>
      <c r="AU761" s="118"/>
      <c r="AV761" s="118"/>
    </row>
    <row r="762" spans="1:48" s="20" customFormat="1" x14ac:dyDescent="0.25">
      <c r="A762" s="17">
        <f>IFERROR(VLOOKUP(D762,'Monthly Deduction'!$I$3:$J$957,2,0),0)</f>
        <v>66951</v>
      </c>
      <c r="B762" s="17">
        <f>IFERROR(VLOOKUP(D762,'Monthly Deduction'!$E$3:$F$957,2,0),0)</f>
        <v>0</v>
      </c>
      <c r="C762" s="17">
        <f t="shared" si="222"/>
        <v>66951</v>
      </c>
      <c r="D762" s="41">
        <v>10590006</v>
      </c>
      <c r="E762" s="122" t="str">
        <f>VLOOKUP(D762,'MPG Payment '!$E$3:$G$498218,2,0)</f>
        <v>GOPALPUR</v>
      </c>
      <c r="F762" s="146">
        <f>IFERROR(_xlfn.XLOOKUP(D762,'Monthly Deduction'!$I$3:$I$957,'Monthly Deduction'!$H$3:$H$957),0)</f>
        <v>0</v>
      </c>
      <c r="G762" s="123" t="str">
        <f>VLOOKUP(D762,'MPG Payment '!$E$3:$G$334579,3,0)</f>
        <v>MPG</v>
      </c>
      <c r="H762" s="124" t="str">
        <f>VLOOKUP(D762,'MPG Payment '!$E$3:$H$334579,4,0)</f>
        <v>Direct</v>
      </c>
      <c r="I762" s="88">
        <f>INDEX('MPG Payment '!$C:$C,MATCH('Shayak Income '!D762,'MPG Payment '!E:E,0))</f>
        <v>1059</v>
      </c>
      <c r="J762" s="88" t="str">
        <f>INDEX('MPG Payment '!$D:$D,MATCH('Shayak Income '!D762,'MPG Payment '!E:E,0))</f>
        <v>Gopalpur Bmc</v>
      </c>
      <c r="K762" s="125" t="s">
        <v>1322</v>
      </c>
      <c r="L762" s="125">
        <v>46038</v>
      </c>
      <c r="M762" s="126">
        <f>SUMIF('MPG Payment '!$E$3:$E$34579,'Shayak Income '!D762,'MPG Payment '!$I$3:$I$34579)</f>
        <v>2626.9</v>
      </c>
      <c r="N762" s="126">
        <f>SUMIF('MPG Payment '!$E$3:$E$34579,'Shayak Income '!D762,'MPG Payment '!$J$3:$J$34579)</f>
        <v>111244.0726827</v>
      </c>
      <c r="O762" s="126">
        <f t="shared" si="214"/>
        <v>1970.1750000000002</v>
      </c>
      <c r="P762" s="126">
        <f t="shared" si="215"/>
        <v>2495.5549999999998</v>
      </c>
      <c r="Q762" s="126">
        <f>SUMIF('MPG Payment '!$E$3:$E$34579,'Shayak Income '!D762,'MPG Payment '!$S$3:$S$34579)</f>
        <v>0</v>
      </c>
      <c r="R762" s="126">
        <f t="shared" si="205"/>
        <v>3337.322180481</v>
      </c>
      <c r="S762" s="126">
        <f t="shared" si="206"/>
        <v>841.7671804810002</v>
      </c>
      <c r="T762" s="126">
        <f t="shared" si="216"/>
        <v>262.69</v>
      </c>
      <c r="U762" s="127">
        <f>(((IF(K762="New",0,SUMIF('MPG Payment '!$E$3:$E$34579,'Shayak Income '!D762,'MPG Payment '!$AC$3:$AC$34579))))+0)+0</f>
        <v>628.91613268662206</v>
      </c>
      <c r="V762" s="127">
        <f t="shared" si="217"/>
        <v>3574</v>
      </c>
      <c r="W762" s="19">
        <f t="shared" si="226"/>
        <v>2224.8814536540003</v>
      </c>
      <c r="X762" s="19">
        <v>0</v>
      </c>
      <c r="Y762" s="128">
        <f>IFERROR(VLOOKUP(D762,'Monthly Deduction'!$M$2:$N$64,2,0),0)</f>
        <v>0</v>
      </c>
      <c r="Z762" s="128">
        <v>0</v>
      </c>
      <c r="AA762" s="126">
        <f>IFERROR(VLOOKUP(D762,'Monthly Deduction'!A:B,2,0),0)</f>
        <v>0</v>
      </c>
      <c r="AB762" s="129">
        <f t="shared" si="208"/>
        <v>1349</v>
      </c>
      <c r="AC762" s="130">
        <f t="shared" si="231"/>
        <v>1349</v>
      </c>
      <c r="AD762" s="35">
        <f t="shared" si="223"/>
        <v>0</v>
      </c>
      <c r="AE762" s="166" t="str">
        <f t="shared" si="220"/>
        <v>Yes</v>
      </c>
      <c r="AF762" s="127"/>
      <c r="AG762" s="18">
        <v>0</v>
      </c>
      <c r="AH762" s="120" t="s">
        <v>1650</v>
      </c>
      <c r="AI762" s="238">
        <v>3812</v>
      </c>
      <c r="AJ762" s="132"/>
      <c r="AK762" s="151">
        <v>1671.6</v>
      </c>
      <c r="AL762" s="154">
        <f t="shared" si="209"/>
        <v>0</v>
      </c>
      <c r="AM762" s="155"/>
      <c r="AN762" s="19">
        <f t="shared" si="210"/>
        <v>2224.8814536540003</v>
      </c>
      <c r="AO762" s="118">
        <f>SUMIF('MPG Payment '!E:E,'Shayak Income '!D762,'MPG Payment '!AJ:AJ)</f>
        <v>0</v>
      </c>
      <c r="AP762" s="19">
        <f t="shared" si="211"/>
        <v>2224.8814536540003</v>
      </c>
      <c r="AQ762" s="119">
        <f t="shared" si="224"/>
        <v>2224.8814536540003</v>
      </c>
      <c r="AR762" s="91" t="s">
        <v>1168</v>
      </c>
      <c r="AS762" s="91">
        <f t="shared" si="212"/>
        <v>0</v>
      </c>
      <c r="AT762" s="118"/>
      <c r="AU762" s="118"/>
      <c r="AV762" s="118"/>
    </row>
    <row r="763" spans="1:48" s="20" customFormat="1" x14ac:dyDescent="0.25">
      <c r="A763" s="17">
        <f>IFERROR(VLOOKUP(D763,'Monthly Deduction'!$I$3:$J$957,2,0),0)</f>
        <v>0</v>
      </c>
      <c r="B763" s="17">
        <f>IFERROR(VLOOKUP(D763,'Monthly Deduction'!$E$3:$F$957,2,0),0)</f>
        <v>6400</v>
      </c>
      <c r="C763" s="17">
        <f t="shared" ref="C763" si="232">A763+B763</f>
        <v>6400</v>
      </c>
      <c r="D763" s="41">
        <v>10100004</v>
      </c>
      <c r="E763" s="122" t="str">
        <f>VLOOKUP(D763,'MPG Payment '!$E$3:$G$498218,2,0)</f>
        <v>Gomukh Muradpur</v>
      </c>
      <c r="F763" s="146">
        <f>IFERROR(_xlfn.XLOOKUP(D763,'Monthly Deduction'!$I$3:$I$957,'Monthly Deduction'!$H$3:$H$957),0)</f>
        <v>0</v>
      </c>
      <c r="G763" s="123" t="str">
        <f>VLOOKUP(D763,'MPG Payment '!$E$3:$G$334579,3,0)</f>
        <v>vlc</v>
      </c>
      <c r="H763" s="124" t="str">
        <f>VLOOKUP(D763,'MPG Payment '!$E$3:$H$334579,4,0)</f>
        <v>Indirect</v>
      </c>
      <c r="I763" s="88">
        <f>INDEX('MPG Payment '!$C:$C,MATCH('Shayak Income '!D763,'MPG Payment '!E:E,0))</f>
        <v>1010</v>
      </c>
      <c r="J763" s="88" t="str">
        <f>INDEX('MPG Payment '!$D:$D,MATCH('Shayak Income '!D763,'MPG Payment '!E:E,0))</f>
        <v>Parbatta</v>
      </c>
      <c r="K763" s="125" t="s">
        <v>1322</v>
      </c>
      <c r="L763" s="125">
        <v>44987</v>
      </c>
      <c r="M763" s="126">
        <f>SUMIF('MPG Payment '!$E$3:$E$34579,'Shayak Income '!D763,'MPG Payment '!$I$3:$I$34579)</f>
        <v>516.20000000000005</v>
      </c>
      <c r="N763" s="126">
        <f>SUMIF('MPG Payment '!$E$3:$E$34579,'Shayak Income '!D763,'MPG Payment '!$J$3:$J$34579)</f>
        <v>16823.805235456002</v>
      </c>
      <c r="O763" s="126">
        <f t="shared" si="214"/>
        <v>387.15000000000003</v>
      </c>
      <c r="P763" s="126">
        <f t="shared" si="215"/>
        <v>490.39000000000004</v>
      </c>
      <c r="Q763" s="126">
        <f>SUMIF('MPG Payment '!$E$3:$E$34579,'Shayak Income '!D763,'MPG Payment '!$S$3:$S$34579)</f>
        <v>0</v>
      </c>
      <c r="R763" s="126">
        <f t="shared" si="205"/>
        <v>504.71415706368003</v>
      </c>
      <c r="S763" s="126">
        <f t="shared" si="206"/>
        <v>14.324157063679991</v>
      </c>
      <c r="T763" s="126">
        <f t="shared" si="216"/>
        <v>51.620000000000005</v>
      </c>
      <c r="U763" s="127">
        <f>(((IF(K763="New",0,SUMIF('MPG Payment '!$E$3:$E$34579,'Shayak Income '!D763,'MPG Payment '!$AC$3:$AC$34579))))+0)+-663</f>
        <v>825.89442615756752</v>
      </c>
      <c r="V763" s="127">
        <f t="shared" si="217"/>
        <v>0</v>
      </c>
      <c r="W763" s="19">
        <v>0</v>
      </c>
      <c r="X763" s="19">
        <v>0</v>
      </c>
      <c r="Y763" s="128">
        <v>0</v>
      </c>
      <c r="Z763" s="128">
        <v>0</v>
      </c>
      <c r="AA763" s="126">
        <v>0</v>
      </c>
      <c r="AB763" s="129">
        <f t="shared" si="208"/>
        <v>0</v>
      </c>
      <c r="AC763" s="130">
        <v>0</v>
      </c>
      <c r="AD763" s="35">
        <f t="shared" ref="AD763" si="233">ROUND(AB763-AC763,0)</f>
        <v>0</v>
      </c>
      <c r="AE763" s="166" t="str">
        <f t="shared" si="220"/>
        <v>Release</v>
      </c>
      <c r="AF763" s="127"/>
      <c r="AG763" s="18">
        <v>0</v>
      </c>
      <c r="AH763" s="132"/>
      <c r="AI763" s="238">
        <v>0</v>
      </c>
      <c r="AJ763" s="132"/>
      <c r="AK763" s="151">
        <v>111.89999999999999</v>
      </c>
      <c r="AL763" s="154">
        <f t="shared" ref="AL763" si="234">COUNTIF(AK763:AK763,"=NA")</f>
        <v>0</v>
      </c>
      <c r="AM763" s="155"/>
      <c r="AN763" s="19">
        <f t="shared" si="210"/>
        <v>0</v>
      </c>
      <c r="AO763" s="118">
        <f>SUMIF('MPG Payment '!E:E,'Shayak Income '!D763,'MPG Payment '!AJ:AJ)</f>
        <v>0</v>
      </c>
      <c r="AP763" s="19">
        <f t="shared" si="211"/>
        <v>0</v>
      </c>
      <c r="AQ763" s="119">
        <f t="shared" ref="AQ763" si="235">AO763+AP763</f>
        <v>0</v>
      </c>
      <c r="AR763" s="91" t="s">
        <v>1168</v>
      </c>
      <c r="AS763" s="91">
        <f t="shared" si="212"/>
        <v>6400</v>
      </c>
      <c r="AT763" s="118"/>
      <c r="AU763" s="118"/>
      <c r="AV763" s="118"/>
    </row>
    <row r="764" spans="1:48" s="20" customFormat="1" x14ac:dyDescent="0.25">
      <c r="A764" s="17">
        <f>IFERROR(VLOOKUP(D764,'Monthly Deduction'!$I$3:$J$957,2,0),0)</f>
        <v>0</v>
      </c>
      <c r="B764" s="17">
        <f>IFERROR(VLOOKUP(D764,'Monthly Deduction'!$E$3:$F$957,2,0),0)</f>
        <v>0</v>
      </c>
      <c r="C764" s="17">
        <f t="shared" ref="C764:C798" si="236">A764+B764</f>
        <v>0</v>
      </c>
      <c r="D764" s="41">
        <v>10100026</v>
      </c>
      <c r="E764" s="122" t="str">
        <f>VLOOKUP(D764,'MPG Payment '!$E$3:$G$498218,2,0)</f>
        <v>Gomukh Badi Lagar-1 Kiran</v>
      </c>
      <c r="F764" s="146">
        <f>IFERROR(_xlfn.XLOOKUP(D764,'Monthly Deduction'!$I$3:$I$957,'Monthly Deduction'!$H$3:$H$957),0)</f>
        <v>0</v>
      </c>
      <c r="G764" s="123" t="str">
        <f>VLOOKUP(D764,'MPG Payment '!$E$3:$G$334579,3,0)</f>
        <v>vlc</v>
      </c>
      <c r="H764" s="124" t="str">
        <f>VLOOKUP(D764,'MPG Payment '!$E$3:$H$334579,4,0)</f>
        <v>Indirect</v>
      </c>
      <c r="I764" s="88">
        <f>INDEX('MPG Payment '!$C:$C,MATCH('Shayak Income '!D764,'MPG Payment '!E:E,0))</f>
        <v>1010</v>
      </c>
      <c r="J764" s="88" t="str">
        <f>INDEX('MPG Payment '!$D:$D,MATCH('Shayak Income '!D764,'MPG Payment '!E:E,0))</f>
        <v>Parbatta</v>
      </c>
      <c r="K764" s="125" t="s">
        <v>1322</v>
      </c>
      <c r="L764" s="125">
        <v>45147</v>
      </c>
      <c r="M764" s="126">
        <f>SUMIF('MPG Payment '!$E$3:$E$34579,'Shayak Income '!D764,'MPG Payment '!$I$3:$I$34579)</f>
        <v>2170.3999999999996</v>
      </c>
      <c r="N764" s="126">
        <f>SUMIF('MPG Payment '!$E$3:$E$34579,'Shayak Income '!D764,'MPG Payment '!$J$3:$J$34579)</f>
        <v>77980.89814269921</v>
      </c>
      <c r="O764" s="126">
        <f t="shared" si="214"/>
        <v>1627.7999999999997</v>
      </c>
      <c r="P764" s="126">
        <f t="shared" si="215"/>
        <v>2061.8799999999997</v>
      </c>
      <c r="Q764" s="126">
        <f>SUMIF('MPG Payment '!$E$3:$E$34579,'Shayak Income '!D764,'MPG Payment '!$S$3:$S$34579)</f>
        <v>0</v>
      </c>
      <c r="R764" s="126">
        <f t="shared" si="205"/>
        <v>2339.4269442809764</v>
      </c>
      <c r="S764" s="126">
        <f t="shared" si="206"/>
        <v>277.54694428097673</v>
      </c>
      <c r="T764" s="126">
        <f t="shared" si="216"/>
        <v>217.03999999999996</v>
      </c>
      <c r="U764" s="127">
        <f>(((IF(K764="New",0,SUMIF('MPG Payment '!$E$3:$E$34579,'Shayak Income '!D764,'MPG Payment '!$AC$3:$AC$34579))))+0)+0</f>
        <v>455.33429010836909</v>
      </c>
      <c r="V764" s="127">
        <f t="shared" si="217"/>
        <v>3017</v>
      </c>
      <c r="W764" s="19">
        <f t="shared" si="226"/>
        <v>0</v>
      </c>
      <c r="X764" s="19">
        <f t="shared" si="207"/>
        <v>0</v>
      </c>
      <c r="Y764" s="128">
        <f>IFERROR(VLOOKUP(D764,'Monthly Deduction'!$M$2:$N$64,2,0),0)</f>
        <v>0</v>
      </c>
      <c r="Z764" s="128">
        <v>0</v>
      </c>
      <c r="AA764" s="126">
        <f>IFERROR(VLOOKUP(D764,'Monthly Deduction'!A:B,2,0),0)</f>
        <v>0</v>
      </c>
      <c r="AB764" s="129">
        <f t="shared" si="208"/>
        <v>3017</v>
      </c>
      <c r="AC764" s="130">
        <v>0</v>
      </c>
      <c r="AD764" s="35">
        <f t="shared" ref="AD764:AD798" si="237">ROUND(AB764-AC764,0)</f>
        <v>3017</v>
      </c>
      <c r="AE764" s="166" t="str">
        <f t="shared" si="220"/>
        <v>Release</v>
      </c>
      <c r="AF764" s="127"/>
      <c r="AG764" s="18">
        <v>0</v>
      </c>
      <c r="AH764" s="120"/>
      <c r="AI764" s="238">
        <v>0</v>
      </c>
      <c r="AJ764" s="132"/>
      <c r="AK764" s="151">
        <v>714.2</v>
      </c>
      <c r="AL764" s="154">
        <f t="shared" ref="AL764:AL798" si="238">COUNTIF(AK764:AK764,"=NA")</f>
        <v>0</v>
      </c>
      <c r="AM764" s="155"/>
      <c r="AN764" s="19">
        <f t="shared" si="210"/>
        <v>0</v>
      </c>
      <c r="AO764" s="118">
        <f>SUMIF('MPG Payment '!E:E,'Shayak Income '!D764,'MPG Payment '!AJ:AJ)</f>
        <v>0</v>
      </c>
      <c r="AP764" s="19">
        <f t="shared" si="211"/>
        <v>0</v>
      </c>
      <c r="AQ764" s="119">
        <f t="shared" ref="AQ764:AQ798" si="239">AO764+AP764</f>
        <v>0</v>
      </c>
      <c r="AR764" s="91" t="s">
        <v>1168</v>
      </c>
      <c r="AS764" s="91">
        <f t="shared" si="212"/>
        <v>0</v>
      </c>
      <c r="AT764" s="118"/>
      <c r="AU764" s="118"/>
      <c r="AV764" s="118"/>
    </row>
    <row r="765" spans="1:48" s="20" customFormat="1" x14ac:dyDescent="0.25">
      <c r="A765" s="17">
        <f>IFERROR(VLOOKUP(D765,'Monthly Deduction'!$I$3:$J$957,2,0),0)</f>
        <v>0</v>
      </c>
      <c r="B765" s="17">
        <f>IFERROR(VLOOKUP(D765,'Monthly Deduction'!$E$3:$F$957,2,0),0)</f>
        <v>0</v>
      </c>
      <c r="C765" s="17">
        <f t="shared" si="236"/>
        <v>0</v>
      </c>
      <c r="D765" s="41">
        <v>10100062</v>
      </c>
      <c r="E765" s="122" t="str">
        <f>VLOOKUP(D765,'MPG Payment '!$E$3:$G$498218,2,0)</f>
        <v>Gomukh Khutha VLC</v>
      </c>
      <c r="F765" s="146">
        <f>IFERROR(_xlfn.XLOOKUP(D765,'Monthly Deduction'!$I$3:$I$957,'Monthly Deduction'!$H$3:$H$957),0)</f>
        <v>0</v>
      </c>
      <c r="G765" s="123" t="str">
        <f>VLOOKUP(D765,'MPG Payment '!$E$3:$G$334579,3,0)</f>
        <v>vlc</v>
      </c>
      <c r="H765" s="124" t="str">
        <f>VLOOKUP(D765,'MPG Payment '!$E$3:$H$334579,4,0)</f>
        <v>Indirect</v>
      </c>
      <c r="I765" s="88">
        <f>INDEX('MPG Payment '!$C:$C,MATCH('Shayak Income '!D765,'MPG Payment '!E:E,0))</f>
        <v>1010</v>
      </c>
      <c r="J765" s="88" t="str">
        <f>INDEX('MPG Payment '!$D:$D,MATCH('Shayak Income '!D765,'MPG Payment '!E:E,0))</f>
        <v>Parbatta</v>
      </c>
      <c r="K765" s="125" t="s">
        <v>1322</v>
      </c>
      <c r="L765" s="125">
        <v>46050</v>
      </c>
      <c r="M765" s="126">
        <f>SUMIF('MPG Payment '!$E$3:$E$34579,'Shayak Income '!D765,'MPG Payment '!$I$3:$I$34579)</f>
        <v>31768</v>
      </c>
      <c r="N765" s="126">
        <f>SUMIF('MPG Payment '!$E$3:$E$34579,'Shayak Income '!D765,'MPG Payment '!$J$3:$J$34579)</f>
        <v>1270989.12702651</v>
      </c>
      <c r="O765" s="126">
        <f t="shared" si="214"/>
        <v>23826</v>
      </c>
      <c r="P765" s="126">
        <f t="shared" si="215"/>
        <v>30179.599999999999</v>
      </c>
      <c r="Q765" s="126">
        <f>SUMIF('MPG Payment '!$E$3:$E$34579,'Shayak Income '!D765,'MPG Payment '!$S$3:$S$34579)</f>
        <v>0</v>
      </c>
      <c r="R765" s="126">
        <f t="shared" si="205"/>
        <v>38129.673810795299</v>
      </c>
      <c r="S765" s="126">
        <f t="shared" si="206"/>
        <v>7950.0738107953002</v>
      </c>
      <c r="T765" s="126">
        <f t="shared" si="216"/>
        <v>3176.8</v>
      </c>
      <c r="U765" s="127">
        <f>(((IF(K765="New",0,SUMIF('MPG Payment '!$E$3:$E$34579,'Shayak Income '!D765,'MPG Payment '!$AC$3:$AC$34579))))+0)+0</f>
        <v>0</v>
      </c>
      <c r="V765" s="127">
        <f t="shared" si="217"/>
        <v>50829</v>
      </c>
      <c r="W765" s="19">
        <f t="shared" si="226"/>
        <v>0</v>
      </c>
      <c r="X765" s="19">
        <f t="shared" si="207"/>
        <v>0</v>
      </c>
      <c r="Y765" s="128">
        <f>IFERROR(VLOOKUP(D765,'Monthly Deduction'!$M$2:$N$64,2,0),0)</f>
        <v>0</v>
      </c>
      <c r="Z765" s="128">
        <v>0</v>
      </c>
      <c r="AA765" s="126">
        <f>IFERROR(VLOOKUP(D765,'Monthly Deduction'!A:B,2,0),0)</f>
        <v>0</v>
      </c>
      <c r="AB765" s="129">
        <f t="shared" si="208"/>
        <v>50829</v>
      </c>
      <c r="AC765" s="130">
        <v>0</v>
      </c>
      <c r="AD765" s="35">
        <f t="shared" si="237"/>
        <v>50829</v>
      </c>
      <c r="AE765" s="166" t="str">
        <f t="shared" si="220"/>
        <v>Release</v>
      </c>
      <c r="AF765" s="127"/>
      <c r="AG765" s="18">
        <v>0</v>
      </c>
      <c r="AH765" s="120"/>
      <c r="AI765" s="238">
        <v>0</v>
      </c>
      <c r="AJ765" s="132"/>
      <c r="AK765" s="151">
        <v>9989.2999999999993</v>
      </c>
      <c r="AL765" s="154">
        <f t="shared" si="238"/>
        <v>0</v>
      </c>
      <c r="AM765" s="155"/>
      <c r="AN765" s="19">
        <f t="shared" si="210"/>
        <v>0</v>
      </c>
      <c r="AO765" s="118">
        <f>SUMIF('MPG Payment '!E:E,'Shayak Income '!D765,'MPG Payment '!AJ:AJ)</f>
        <v>0</v>
      </c>
      <c r="AP765" s="19">
        <f t="shared" si="211"/>
        <v>0</v>
      </c>
      <c r="AQ765" s="119">
        <f t="shared" si="239"/>
        <v>0</v>
      </c>
      <c r="AR765" s="91" t="s">
        <v>1168</v>
      </c>
      <c r="AS765" s="91">
        <f t="shared" si="212"/>
        <v>0</v>
      </c>
      <c r="AT765" s="118"/>
      <c r="AU765" s="118"/>
      <c r="AV765" s="118"/>
    </row>
    <row r="766" spans="1:48" s="20" customFormat="1" x14ac:dyDescent="0.25">
      <c r="A766" s="17">
        <f>IFERROR(VLOOKUP(D766,'Monthly Deduction'!$I$3:$J$957,2,0),0)</f>
        <v>60988.977599999998</v>
      </c>
      <c r="B766" s="17">
        <f>IFERROR(VLOOKUP(D766,'Monthly Deduction'!$E$3:$F$957,2,0),0)</f>
        <v>0</v>
      </c>
      <c r="C766" s="17">
        <f t="shared" si="236"/>
        <v>60988.977599999998</v>
      </c>
      <c r="D766" s="41">
        <v>10120122</v>
      </c>
      <c r="E766" s="122" t="str">
        <f>VLOOKUP(D766,'MPG Payment '!$E$3:$G$498218,2,0)</f>
        <v>GOMUKH BHASINGPUR</v>
      </c>
      <c r="F766" s="146">
        <f>IFERROR(_xlfn.XLOOKUP(D766,'Monthly Deduction'!$I$3:$I$957,'Monthly Deduction'!$H$3:$H$957),0)</f>
        <v>0</v>
      </c>
      <c r="G766" s="123" t="str">
        <f>VLOOKUP(D766,'MPG Payment '!$E$3:$G$334579,3,0)</f>
        <v>MPG</v>
      </c>
      <c r="H766" s="124" t="str">
        <f>VLOOKUP(D766,'MPG Payment '!$E$3:$H$334579,4,0)</f>
        <v>Direct</v>
      </c>
      <c r="I766" s="88">
        <f>INDEX('MPG Payment '!$C:$C,MATCH('Shayak Income '!D766,'MPG Payment '!E:E,0))</f>
        <v>1012</v>
      </c>
      <c r="J766" s="88" t="str">
        <f>INDEX('MPG Payment '!$D:$D,MATCH('Shayak Income '!D766,'MPG Payment '!E:E,0))</f>
        <v>DalsinghSarai</v>
      </c>
      <c r="K766" s="125" t="s">
        <v>1322</v>
      </c>
      <c r="L766" s="125">
        <v>46045</v>
      </c>
      <c r="M766" s="126">
        <f>SUMIF('MPG Payment '!$E$3:$E$34579,'Shayak Income '!D766,'MPG Payment '!$I$3:$I$34579)</f>
        <v>4441.8499999999995</v>
      </c>
      <c r="N766" s="126">
        <f>SUMIF('MPG Payment '!$E$3:$E$34579,'Shayak Income '!D766,'MPG Payment '!$J$3:$J$34579)</f>
        <v>189343.9167630283</v>
      </c>
      <c r="O766" s="126">
        <f t="shared" si="214"/>
        <v>3331.3874999999998</v>
      </c>
      <c r="P766" s="126">
        <f t="shared" si="215"/>
        <v>4219.7574999999997</v>
      </c>
      <c r="Q766" s="126">
        <f>SUMIF('MPG Payment '!$E$3:$E$34579,'Shayak Income '!D766,'MPG Payment '!$S$3:$S$34579)</f>
        <v>0</v>
      </c>
      <c r="R766" s="126">
        <f t="shared" si="205"/>
        <v>5680.317502890849</v>
      </c>
      <c r="S766" s="126">
        <f t="shared" si="206"/>
        <v>1460.5600028908493</v>
      </c>
      <c r="T766" s="126">
        <f t="shared" si="216"/>
        <v>444.18499999999995</v>
      </c>
      <c r="U766" s="127">
        <f>(((IF(K766="New",0,SUMIF('MPG Payment '!$E$3:$E$34579,'Shayak Income '!D766,'MPG Payment '!$AC$3:$AC$34579))))+0)+0</f>
        <v>0</v>
      </c>
      <c r="V766" s="127">
        <f t="shared" si="217"/>
        <v>7107</v>
      </c>
      <c r="W766" s="19">
        <f t="shared" si="226"/>
        <v>3786.878335260566</v>
      </c>
      <c r="X766" s="19">
        <v>0</v>
      </c>
      <c r="Y766" s="128">
        <f>IFERROR(VLOOKUP(D766,'Monthly Deduction'!$M$2:$N$64,2,0),0)</f>
        <v>0</v>
      </c>
      <c r="Z766" s="128">
        <v>0</v>
      </c>
      <c r="AA766" s="126">
        <f>IFERROR(VLOOKUP(D766,'Monthly Deduction'!A:B,2,0),0)</f>
        <v>0</v>
      </c>
      <c r="AB766" s="129">
        <f t="shared" si="208"/>
        <v>3320</v>
      </c>
      <c r="AC766" s="130">
        <v>0</v>
      </c>
      <c r="AD766" s="35">
        <f t="shared" si="237"/>
        <v>3320</v>
      </c>
      <c r="AE766" s="166" t="str">
        <f t="shared" si="220"/>
        <v>Release</v>
      </c>
      <c r="AF766" s="127"/>
      <c r="AG766" s="18">
        <v>0</v>
      </c>
      <c r="AH766" s="120"/>
      <c r="AI766" s="238">
        <v>0</v>
      </c>
      <c r="AJ766" s="132"/>
      <c r="AK766" s="151">
        <v>1196.0400000000002</v>
      </c>
      <c r="AL766" s="154">
        <f t="shared" si="238"/>
        <v>0</v>
      </c>
      <c r="AM766" s="155"/>
      <c r="AN766" s="19">
        <f t="shared" si="210"/>
        <v>3786.878335260566</v>
      </c>
      <c r="AO766" s="118">
        <f>SUMIF('MPG Payment '!E:E,'Shayak Income '!D766,'MPG Payment '!AJ:AJ)</f>
        <v>0</v>
      </c>
      <c r="AP766" s="19">
        <f t="shared" si="211"/>
        <v>3786.878335260566</v>
      </c>
      <c r="AQ766" s="119">
        <f t="shared" si="239"/>
        <v>3786.878335260566</v>
      </c>
      <c r="AR766" s="91" t="s">
        <v>1168</v>
      </c>
      <c r="AS766" s="91">
        <f t="shared" si="212"/>
        <v>0</v>
      </c>
      <c r="AT766" s="118"/>
      <c r="AU766" s="118"/>
      <c r="AV766" s="118"/>
    </row>
    <row r="767" spans="1:48" s="20" customFormat="1" x14ac:dyDescent="0.25">
      <c r="A767" s="17">
        <f>IFERROR(VLOOKUP(D767,'Monthly Deduction'!$I$3:$J$957,2,0),0)</f>
        <v>61009.3226</v>
      </c>
      <c r="B767" s="17">
        <f>IFERROR(VLOOKUP(D767,'Monthly Deduction'!$E$3:$F$957,2,0),0)</f>
        <v>0</v>
      </c>
      <c r="C767" s="17">
        <f t="shared" si="236"/>
        <v>61009.3226</v>
      </c>
      <c r="D767" s="41">
        <v>10540042</v>
      </c>
      <c r="E767" s="122" t="str">
        <f>VLOOKUP(D767,'MPG Payment '!$E$3:$G$498218,2,0)</f>
        <v>Gomukh Balaur</v>
      </c>
      <c r="F767" s="146">
        <f>IFERROR(_xlfn.XLOOKUP(D767,'Monthly Deduction'!$I$3:$I$957,'Monthly Deduction'!$H$3:$H$957),0)</f>
        <v>0</v>
      </c>
      <c r="G767" s="123" t="str">
        <f>VLOOKUP(D767,'MPG Payment '!$E$3:$G$334579,3,0)</f>
        <v>MPG</v>
      </c>
      <c r="H767" s="124" t="str">
        <f>VLOOKUP(D767,'MPG Payment '!$E$3:$H$334579,4,0)</f>
        <v>Direct</v>
      </c>
      <c r="I767" s="88">
        <f>INDEX('MPG Payment '!$C:$C,MATCH('Shayak Income '!D767,'MPG Payment '!E:E,0))</f>
        <v>1054</v>
      </c>
      <c r="J767" s="88" t="str">
        <f>INDEX('MPG Payment '!$D:$D,MATCH('Shayak Income '!D767,'MPG Payment '!E:E,0))</f>
        <v xml:space="preserve">Alauli </v>
      </c>
      <c r="K767" s="125" t="s">
        <v>1322</v>
      </c>
      <c r="L767" s="125">
        <v>46046</v>
      </c>
      <c r="M767" s="126">
        <f>SUMIF('MPG Payment '!$E$3:$E$34579,'Shayak Income '!D767,'MPG Payment '!$I$3:$I$34579)</f>
        <v>5436.4800000000005</v>
      </c>
      <c r="N767" s="126">
        <f>SUMIF('MPG Payment '!$E$3:$E$34579,'Shayak Income '!D767,'MPG Payment '!$J$3:$J$34579)</f>
        <v>275006.0109236181</v>
      </c>
      <c r="O767" s="126">
        <f t="shared" si="214"/>
        <v>4077.3600000000006</v>
      </c>
      <c r="P767" s="126">
        <f t="shared" si="215"/>
        <v>5164.6559999999999</v>
      </c>
      <c r="Q767" s="126">
        <f>SUMIF('MPG Payment '!$E$3:$E$34579,'Shayak Income '!D767,'MPG Payment '!$S$3:$S$34579)</f>
        <v>0</v>
      </c>
      <c r="R767" s="126">
        <f t="shared" si="205"/>
        <v>8250.1803277085419</v>
      </c>
      <c r="S767" s="126">
        <f t="shared" si="206"/>
        <v>3085.5243277085419</v>
      </c>
      <c r="T767" s="126">
        <f t="shared" si="216"/>
        <v>543.64800000000002</v>
      </c>
      <c r="U767" s="127">
        <f>(((IF(K767="New",0,SUMIF('MPG Payment '!$E$3:$E$34579,'Shayak Income '!D767,'MPG Payment '!$AC$3:$AC$34579))))+0)+0</f>
        <v>0</v>
      </c>
      <c r="V767" s="127">
        <f t="shared" si="217"/>
        <v>8698</v>
      </c>
      <c r="W767" s="19">
        <f t="shared" si="226"/>
        <v>5500.1202184723625</v>
      </c>
      <c r="X767" s="19">
        <v>0</v>
      </c>
      <c r="Y767" s="128">
        <f>IFERROR(VLOOKUP(D767,'Monthly Deduction'!$M$2:$N$64,2,0),0)</f>
        <v>0</v>
      </c>
      <c r="Z767" s="128">
        <v>0</v>
      </c>
      <c r="AA767" s="126">
        <f>IFERROR(VLOOKUP(D767,'Monthly Deduction'!A:B,2,0),0)</f>
        <v>0</v>
      </c>
      <c r="AB767" s="129">
        <f t="shared" si="208"/>
        <v>3198</v>
      </c>
      <c r="AC767" s="130">
        <v>0</v>
      </c>
      <c r="AD767" s="35">
        <f t="shared" si="237"/>
        <v>3198</v>
      </c>
      <c r="AE767" s="166" t="str">
        <f t="shared" si="220"/>
        <v>Release</v>
      </c>
      <c r="AF767" s="127"/>
      <c r="AG767" s="18">
        <v>0</v>
      </c>
      <c r="AH767" s="120"/>
      <c r="AI767" s="238">
        <v>0</v>
      </c>
      <c r="AJ767" s="132"/>
      <c r="AK767" s="151">
        <v>1458.1</v>
      </c>
      <c r="AL767" s="154">
        <f t="shared" si="238"/>
        <v>0</v>
      </c>
      <c r="AM767" s="155"/>
      <c r="AN767" s="19">
        <f t="shared" si="210"/>
        <v>5500.1202184723625</v>
      </c>
      <c r="AO767" s="118">
        <f>SUMIF('MPG Payment '!E:E,'Shayak Income '!D767,'MPG Payment '!AJ:AJ)</f>
        <v>0</v>
      </c>
      <c r="AP767" s="19">
        <f t="shared" si="211"/>
        <v>5500.1202184723625</v>
      </c>
      <c r="AQ767" s="119">
        <f t="shared" si="239"/>
        <v>5500.1202184723625</v>
      </c>
      <c r="AR767" s="91" t="s">
        <v>1168</v>
      </c>
      <c r="AS767" s="91">
        <f t="shared" si="212"/>
        <v>0</v>
      </c>
      <c r="AT767" s="118"/>
      <c r="AU767" s="118"/>
      <c r="AV767" s="118"/>
    </row>
    <row r="768" spans="1:48" s="20" customFormat="1" x14ac:dyDescent="0.25">
      <c r="A768" s="17">
        <f>IFERROR(VLOOKUP(D768,'Monthly Deduction'!$I$3:$J$957,2,0),0)</f>
        <v>64500</v>
      </c>
      <c r="B768" s="17">
        <f>IFERROR(VLOOKUP(D768,'Monthly Deduction'!$E$3:$F$957,2,0),0)</f>
        <v>6400</v>
      </c>
      <c r="C768" s="17">
        <f t="shared" si="236"/>
        <v>70900</v>
      </c>
      <c r="D768" s="41">
        <v>10580018</v>
      </c>
      <c r="E768" s="122" t="str">
        <f>VLOOKUP(D768,'MPG Payment '!$E$3:$G$498218,2,0)</f>
        <v>Paridah</v>
      </c>
      <c r="F768" s="146">
        <f>IFERROR(_xlfn.XLOOKUP(D768,'Monthly Deduction'!$I$3:$I$957,'Monthly Deduction'!$H$3:$H$957),0)</f>
        <v>0</v>
      </c>
      <c r="G768" s="123" t="str">
        <f>VLOOKUP(D768,'MPG Payment '!$E$3:$G$334579,3,0)</f>
        <v>MPG</v>
      </c>
      <c r="H768" s="124" t="str">
        <f>VLOOKUP(D768,'MPG Payment '!$E$3:$H$334579,4,0)</f>
        <v>Direct</v>
      </c>
      <c r="I768" s="88">
        <f>INDEX('MPG Payment '!$C:$C,MATCH('Shayak Income '!D768,'MPG Payment '!E:E,0))</f>
        <v>1058</v>
      </c>
      <c r="J768" s="88" t="str">
        <f>INDEX('MPG Payment '!$D:$D,MATCH('Shayak Income '!D768,'MPG Payment '!E:E,0))</f>
        <v>Hasanpur</v>
      </c>
      <c r="K768" s="125" t="s">
        <v>1322</v>
      </c>
      <c r="L768" s="125">
        <v>46046</v>
      </c>
      <c r="M768" s="126">
        <f>SUMIF('MPG Payment '!$E$3:$E$34579,'Shayak Income '!D768,'MPG Payment '!$I$3:$I$34579)</f>
        <v>681.8</v>
      </c>
      <c r="N768" s="126">
        <f>SUMIF('MPG Payment '!$E$3:$E$34579,'Shayak Income '!D768,'MPG Payment '!$J$3:$J$34579)</f>
        <v>29080.90264987</v>
      </c>
      <c r="O768" s="126">
        <f t="shared" si="214"/>
        <v>511.34999999999997</v>
      </c>
      <c r="P768" s="126">
        <f t="shared" si="215"/>
        <v>647.70999999999992</v>
      </c>
      <c r="Q768" s="126">
        <f>SUMIF('MPG Payment '!$E$3:$E$34579,'Shayak Income '!D768,'MPG Payment '!$S$3:$S$34579)</f>
        <v>0</v>
      </c>
      <c r="R768" s="126">
        <f t="shared" si="205"/>
        <v>872.42707949609996</v>
      </c>
      <c r="S768" s="126">
        <f t="shared" si="206"/>
        <v>224.71707949610004</v>
      </c>
      <c r="T768" s="126">
        <f t="shared" si="216"/>
        <v>68.179999999999993</v>
      </c>
      <c r="U768" s="127">
        <f>(((IF(K768="New",0,SUMIF('MPG Payment '!$E$3:$E$34579,'Shayak Income '!D768,'MPG Payment '!$AC$3:$AC$34579))))+0)+-713</f>
        <v>1091.1020386768284</v>
      </c>
      <c r="V768" s="127">
        <f t="shared" si="217"/>
        <v>0</v>
      </c>
      <c r="W768" s="19">
        <v>0</v>
      </c>
      <c r="X768" s="19">
        <v>0</v>
      </c>
      <c r="Y768" s="128">
        <f>IFERROR(VLOOKUP(D768,'Monthly Deduction'!$M$2:$N$64,2,0),0)</f>
        <v>0</v>
      </c>
      <c r="Z768" s="128">
        <v>0</v>
      </c>
      <c r="AA768" s="126">
        <f>IFERROR(VLOOKUP(D768,'Monthly Deduction'!A:B,2,0),0)</f>
        <v>0</v>
      </c>
      <c r="AB768" s="129">
        <f t="shared" si="208"/>
        <v>0</v>
      </c>
      <c r="AC768" s="130">
        <f t="shared" ref="AC768:AC771" si="240">AB768</f>
        <v>0</v>
      </c>
      <c r="AD768" s="35">
        <f t="shared" si="237"/>
        <v>0</v>
      </c>
      <c r="AE768" s="166" t="str">
        <f t="shared" si="220"/>
        <v>Release</v>
      </c>
      <c r="AF768" s="127"/>
      <c r="AG768" s="18">
        <v>0</v>
      </c>
      <c r="AH768" s="120" t="s">
        <v>1653</v>
      </c>
      <c r="AI768" s="238">
        <v>0</v>
      </c>
      <c r="AJ768" s="132"/>
      <c r="AK768" s="151">
        <v>196.7</v>
      </c>
      <c r="AL768" s="154">
        <f t="shared" si="238"/>
        <v>0</v>
      </c>
      <c r="AM768" s="155"/>
      <c r="AN768" s="19">
        <f t="shared" si="210"/>
        <v>1861</v>
      </c>
      <c r="AO768" s="118">
        <f>SUMIF('MPG Payment '!E:E,'Shayak Income '!D768,'MPG Payment '!AJ:AJ)</f>
        <v>500</v>
      </c>
      <c r="AP768" s="19">
        <f t="shared" si="211"/>
        <v>0</v>
      </c>
      <c r="AQ768" s="119">
        <f t="shared" si="239"/>
        <v>500</v>
      </c>
      <c r="AR768" s="91" t="s">
        <v>1168</v>
      </c>
      <c r="AS768" s="91">
        <f t="shared" si="212"/>
        <v>6400</v>
      </c>
      <c r="AT768" s="118"/>
      <c r="AU768" s="118"/>
      <c r="AV768" s="118"/>
    </row>
    <row r="769" spans="1:48" s="20" customFormat="1" x14ac:dyDescent="0.25">
      <c r="A769" s="17">
        <f>IFERROR(VLOOKUP(D769,'Monthly Deduction'!$I$3:$J$957,2,0),0)</f>
        <v>65000</v>
      </c>
      <c r="B769" s="17">
        <f>IFERROR(VLOOKUP(D769,'Monthly Deduction'!$E$3:$F$957,2,0),0)</f>
        <v>0</v>
      </c>
      <c r="C769" s="17">
        <f t="shared" si="236"/>
        <v>65000</v>
      </c>
      <c r="D769" s="41">
        <v>10090078</v>
      </c>
      <c r="E769" s="122" t="str">
        <f>VLOOKUP(D769,'MPG Payment '!$E$3:$G$498218,2,0)</f>
        <v>TIYAY</v>
      </c>
      <c r="F769" s="146">
        <f>IFERROR(_xlfn.XLOOKUP(D769,'Monthly Deduction'!$I$3:$I$957,'Monthly Deduction'!$H$3:$H$957),0)</f>
        <v>0</v>
      </c>
      <c r="G769" s="123" t="str">
        <f>VLOOKUP(D769,'MPG Payment '!$E$3:$G$334579,3,0)</f>
        <v>MPG</v>
      </c>
      <c r="H769" s="124" t="str">
        <f>VLOOKUP(D769,'MPG Payment '!$E$3:$H$334579,4,0)</f>
        <v>Direct</v>
      </c>
      <c r="I769" s="88">
        <f>INDEX('MPG Payment '!$C:$C,MATCH('Shayak Income '!D769,'MPG Payment '!E:E,0))</f>
        <v>1009</v>
      </c>
      <c r="J769" s="88" t="str">
        <f>INDEX('MPG Payment '!$D:$D,MATCH('Shayak Income '!D769,'MPG Payment '!E:E,0))</f>
        <v>Halsi</v>
      </c>
      <c r="K769" s="125" t="s">
        <v>1322</v>
      </c>
      <c r="L769" s="125">
        <v>46058</v>
      </c>
      <c r="M769" s="126">
        <f>SUMIF('MPG Payment '!$E$3:$E$34579,'Shayak Income '!D769,'MPG Payment '!$I$3:$I$34579)</f>
        <v>1235.1999999999998</v>
      </c>
      <c r="N769" s="126">
        <f>SUMIF('MPG Payment '!$E$3:$E$34579,'Shayak Income '!D769,'MPG Payment '!$J$3:$J$34579)</f>
        <v>46014.993440448001</v>
      </c>
      <c r="O769" s="126">
        <f t="shared" si="214"/>
        <v>926.39999999999986</v>
      </c>
      <c r="P769" s="126">
        <f t="shared" si="215"/>
        <v>1173.4399999999998</v>
      </c>
      <c r="Q769" s="126">
        <f>SUMIF('MPG Payment '!$E$3:$E$34579,'Shayak Income '!D769,'MPG Payment '!$S$3:$S$34579)</f>
        <v>0</v>
      </c>
      <c r="R769" s="126">
        <f t="shared" si="205"/>
        <v>1380.44980321344</v>
      </c>
      <c r="S769" s="126">
        <f t="shared" si="206"/>
        <v>207.00980321344014</v>
      </c>
      <c r="T769" s="126">
        <f t="shared" si="216"/>
        <v>123.51999999999998</v>
      </c>
      <c r="U769" s="127">
        <f>(((IF(K769="New",0,SUMIF('MPG Payment '!$E$3:$E$34579,'Shayak Income '!D769,'MPG Payment '!$AC$3:$AC$34579))))+0)+0</f>
        <v>1163.799602597903</v>
      </c>
      <c r="V769" s="127">
        <f t="shared" si="217"/>
        <v>813</v>
      </c>
      <c r="W769" s="19">
        <v>813</v>
      </c>
      <c r="X769" s="19">
        <v>0</v>
      </c>
      <c r="Y769" s="128">
        <f>IFERROR(VLOOKUP(D769,'Monthly Deduction'!$M$2:$N$64,2,0),0)</f>
        <v>0</v>
      </c>
      <c r="Z769" s="128">
        <v>0</v>
      </c>
      <c r="AA769" s="126">
        <f>IFERROR(VLOOKUP(D769,'Monthly Deduction'!A:B,2,0),0)</f>
        <v>0</v>
      </c>
      <c r="AB769" s="129">
        <f t="shared" si="208"/>
        <v>0</v>
      </c>
      <c r="AC769" s="130">
        <f t="shared" si="240"/>
        <v>0</v>
      </c>
      <c r="AD769" s="35">
        <f t="shared" si="237"/>
        <v>0</v>
      </c>
      <c r="AE769" s="166" t="str">
        <f t="shared" si="220"/>
        <v>Release</v>
      </c>
      <c r="AF769" s="127"/>
      <c r="AG769" s="18">
        <v>0</v>
      </c>
      <c r="AH769" s="120" t="s">
        <v>1653</v>
      </c>
      <c r="AI769" s="238">
        <v>0</v>
      </c>
      <c r="AJ769" s="132"/>
      <c r="AK769" s="151">
        <v>341.00000000000006</v>
      </c>
      <c r="AL769" s="154">
        <f t="shared" si="238"/>
        <v>0</v>
      </c>
      <c r="AM769" s="155"/>
      <c r="AN769" s="19">
        <f t="shared" si="210"/>
        <v>1861</v>
      </c>
      <c r="AO769" s="118">
        <f>SUMIF('MPG Payment '!E:E,'Shayak Income '!D769,'MPG Payment '!AJ:AJ)</f>
        <v>0</v>
      </c>
      <c r="AP769" s="19">
        <f t="shared" si="211"/>
        <v>813</v>
      </c>
      <c r="AQ769" s="119">
        <f t="shared" si="239"/>
        <v>813</v>
      </c>
      <c r="AR769" s="91" t="s">
        <v>1168</v>
      </c>
      <c r="AS769" s="91">
        <f t="shared" si="212"/>
        <v>0</v>
      </c>
      <c r="AT769" s="118"/>
      <c r="AU769" s="118"/>
      <c r="AV769" s="118"/>
    </row>
    <row r="770" spans="1:48" s="20" customFormat="1" x14ac:dyDescent="0.25">
      <c r="A770" s="17">
        <f>IFERROR(VLOOKUP(D770,'Monthly Deduction'!$I$3:$J$957,2,0),0)</f>
        <v>75000</v>
      </c>
      <c r="B770" s="17">
        <f>IFERROR(VLOOKUP(D770,'Monthly Deduction'!$E$3:$F$957,2,0),0)</f>
        <v>0</v>
      </c>
      <c r="C770" s="17">
        <f t="shared" si="236"/>
        <v>75000</v>
      </c>
      <c r="D770" s="41">
        <v>10130115</v>
      </c>
      <c r="E770" s="122" t="str">
        <f>VLOOKUP(D770,'MPG Payment '!$E$3:$G$498218,2,0)</f>
        <v>GOMUKH MISHRAULIA</v>
      </c>
      <c r="F770" s="146">
        <f>IFERROR(_xlfn.XLOOKUP(D770,'Monthly Deduction'!$I$3:$I$957,'Monthly Deduction'!$H$3:$H$957),0)</f>
        <v>0</v>
      </c>
      <c r="G770" s="123" t="str">
        <f>VLOOKUP(D770,'MPG Payment '!$E$3:$G$334579,3,0)</f>
        <v>MPG</v>
      </c>
      <c r="H770" s="124" t="str">
        <f>VLOOKUP(D770,'MPG Payment '!$E$3:$H$334579,4,0)</f>
        <v>Direct</v>
      </c>
      <c r="I770" s="88">
        <f>INDEX('MPG Payment '!$C:$C,MATCH('Shayak Income '!D770,'MPG Payment '!E:E,0))</f>
        <v>1013</v>
      </c>
      <c r="J770" s="88" t="str">
        <f>INDEX('MPG Payment '!$D:$D,MATCH('Shayak Income '!D770,'MPG Payment '!E:E,0))</f>
        <v>Musrigharari</v>
      </c>
      <c r="K770" s="125" t="s">
        <v>1322</v>
      </c>
      <c r="L770" s="125">
        <v>46054</v>
      </c>
      <c r="M770" s="126">
        <f>SUMIF('MPG Payment '!$E$3:$E$34579,'Shayak Income '!D770,'MPG Payment '!$I$3:$I$34579)</f>
        <v>1741.8999999999999</v>
      </c>
      <c r="N770" s="126">
        <f>SUMIF('MPG Payment '!$E$3:$E$34579,'Shayak Income '!D770,'MPG Payment '!$J$3:$J$34579)</f>
        <v>80095.29886016871</v>
      </c>
      <c r="O770" s="126">
        <f t="shared" si="214"/>
        <v>1306.425</v>
      </c>
      <c r="P770" s="126">
        <f t="shared" si="215"/>
        <v>1654.8049999999998</v>
      </c>
      <c r="Q770" s="126">
        <f>SUMIF('MPG Payment '!$E$3:$E$34579,'Shayak Income '!D770,'MPG Payment '!$S$3:$S$34579)</f>
        <v>257.91362150400005</v>
      </c>
      <c r="R770" s="126">
        <f t="shared" si="205"/>
        <v>2402.8589658050614</v>
      </c>
      <c r="S770" s="126">
        <f t="shared" si="206"/>
        <v>748.05396580506158</v>
      </c>
      <c r="T770" s="126">
        <f t="shared" si="216"/>
        <v>174.19</v>
      </c>
      <c r="U770" s="127">
        <f>(((IF(K770="New",0,SUMIF('MPG Payment '!$E$3:$E$34579,'Shayak Income '!D770,'MPG Payment '!$AC$3:$AC$34579))))+0)+0</f>
        <v>969.02809796383883</v>
      </c>
      <c r="V770" s="127">
        <f t="shared" si="217"/>
        <v>2076</v>
      </c>
      <c r="W770" s="19">
        <f t="shared" si="226"/>
        <v>1861</v>
      </c>
      <c r="X770" s="19">
        <v>0</v>
      </c>
      <c r="Y770" s="128">
        <f>IFERROR(VLOOKUP(D770,'Monthly Deduction'!$M$2:$N$64,2,0),0)</f>
        <v>0</v>
      </c>
      <c r="Z770" s="128">
        <v>0</v>
      </c>
      <c r="AA770" s="126">
        <f>IFERROR(VLOOKUP(D770,'Monthly Deduction'!A:B,2,0),0)</f>
        <v>0</v>
      </c>
      <c r="AB770" s="129">
        <f t="shared" si="208"/>
        <v>215</v>
      </c>
      <c r="AC770" s="130">
        <f t="shared" si="240"/>
        <v>215</v>
      </c>
      <c r="AD770" s="35">
        <f t="shared" si="237"/>
        <v>0</v>
      </c>
      <c r="AE770" s="166" t="str">
        <f t="shared" si="220"/>
        <v>Yes</v>
      </c>
      <c r="AF770" s="127"/>
      <c r="AG770" s="18">
        <v>0</v>
      </c>
      <c r="AH770" s="120" t="s">
        <v>1650</v>
      </c>
      <c r="AI770" s="238">
        <v>10000</v>
      </c>
      <c r="AJ770" s="132"/>
      <c r="AK770" s="151">
        <v>603.39999999999986</v>
      </c>
      <c r="AL770" s="154">
        <f t="shared" si="238"/>
        <v>0</v>
      </c>
      <c r="AM770" s="155"/>
      <c r="AN770" s="19">
        <f t="shared" si="210"/>
        <v>1861</v>
      </c>
      <c r="AO770" s="118">
        <f>SUMIF('MPG Payment '!E:E,'Shayak Income '!D770,'MPG Payment '!AJ:AJ)</f>
        <v>0</v>
      </c>
      <c r="AP770" s="19">
        <f t="shared" si="211"/>
        <v>1861</v>
      </c>
      <c r="AQ770" s="119">
        <f t="shared" si="239"/>
        <v>1861</v>
      </c>
      <c r="AR770" s="91" t="s">
        <v>1168</v>
      </c>
      <c r="AS770" s="91">
        <f t="shared" si="212"/>
        <v>0</v>
      </c>
      <c r="AT770" s="118"/>
      <c r="AU770" s="118"/>
      <c r="AV770" s="118"/>
    </row>
    <row r="771" spans="1:48" s="20" customFormat="1" x14ac:dyDescent="0.25">
      <c r="A771" s="17">
        <f>IFERROR(VLOOKUP(D771,'Monthly Deduction'!$I$3:$J$957,2,0),0)</f>
        <v>84067</v>
      </c>
      <c r="B771" s="17">
        <f>IFERROR(VLOOKUP(D771,'Monthly Deduction'!$E$3:$F$957,2,0),0)</f>
        <v>0</v>
      </c>
      <c r="C771" s="17">
        <f t="shared" si="236"/>
        <v>84067</v>
      </c>
      <c r="D771" s="41">
        <v>10130116</v>
      </c>
      <c r="E771" s="122" t="str">
        <f>VLOOKUP(D771,'MPG Payment '!$E$3:$G$498218,2,0)</f>
        <v>GOMUKH CHAKIRDI</v>
      </c>
      <c r="F771" s="146">
        <f>IFERROR(_xlfn.XLOOKUP(D771,'Monthly Deduction'!$I$3:$I$957,'Monthly Deduction'!$H$3:$H$957),0)</f>
        <v>0</v>
      </c>
      <c r="G771" s="123" t="str">
        <f>VLOOKUP(D771,'MPG Payment '!$E$3:$G$334579,3,0)</f>
        <v>MPG</v>
      </c>
      <c r="H771" s="124" t="str">
        <f>VLOOKUP(D771,'MPG Payment '!$E$3:$H$334579,4,0)</f>
        <v>Direct</v>
      </c>
      <c r="I771" s="88">
        <f>INDEX('MPG Payment '!$C:$C,MATCH('Shayak Income '!D771,'MPG Payment '!E:E,0))</f>
        <v>1013</v>
      </c>
      <c r="J771" s="88" t="str">
        <f>INDEX('MPG Payment '!$D:$D,MATCH('Shayak Income '!D771,'MPG Payment '!E:E,0))</f>
        <v>Musrigharari</v>
      </c>
      <c r="K771" s="125" t="s">
        <v>1322</v>
      </c>
      <c r="L771" s="125">
        <v>46053</v>
      </c>
      <c r="M771" s="126">
        <f>SUMIF('MPG Payment '!$E$3:$E$34579,'Shayak Income '!D771,'MPG Payment '!$I$3:$I$34579)</f>
        <v>253</v>
      </c>
      <c r="N771" s="126">
        <f>SUMIF('MPG Payment '!$E$3:$E$34579,'Shayak Income '!D771,'MPG Payment '!$J$3:$J$34579)</f>
        <v>8876.9758375695001</v>
      </c>
      <c r="O771" s="126">
        <f t="shared" si="214"/>
        <v>189.75</v>
      </c>
      <c r="P771" s="126">
        <f t="shared" si="215"/>
        <v>240.35</v>
      </c>
      <c r="Q771" s="126">
        <f>SUMIF('MPG Payment '!$E$3:$E$34579,'Shayak Income '!D771,'MPG Payment '!$S$3:$S$34579)</f>
        <v>0</v>
      </c>
      <c r="R771" s="126">
        <f t="shared" si="205"/>
        <v>266.30927512708502</v>
      </c>
      <c r="S771" s="126">
        <f t="shared" si="206"/>
        <v>25.959275127085021</v>
      </c>
      <c r="T771" s="126">
        <f t="shared" si="216"/>
        <v>25.3</v>
      </c>
      <c r="U771" s="127">
        <f>(((IF(K771="New",0,SUMIF('MPG Payment '!$E$3:$E$34579,'Shayak Income '!D771,'MPG Payment '!$AC$3:$AC$34579))))+0)+-1379</f>
        <v>405.29709784771899</v>
      </c>
      <c r="V771" s="127">
        <f t="shared" si="217"/>
        <v>0</v>
      </c>
      <c r="W771" s="19">
        <v>0</v>
      </c>
      <c r="X771" s="19">
        <v>0</v>
      </c>
      <c r="Y771" s="128">
        <f>IFERROR(VLOOKUP(D771,'Monthly Deduction'!$M$2:$N$64,2,0),0)</f>
        <v>0</v>
      </c>
      <c r="Z771" s="128">
        <v>0</v>
      </c>
      <c r="AA771" s="126">
        <f>IFERROR(VLOOKUP(D771,'Monthly Deduction'!A:B,2,0),0)</f>
        <v>0</v>
      </c>
      <c r="AB771" s="129">
        <f t="shared" si="208"/>
        <v>0</v>
      </c>
      <c r="AC771" s="130">
        <f t="shared" si="240"/>
        <v>0</v>
      </c>
      <c r="AD771" s="35">
        <f t="shared" si="237"/>
        <v>0</v>
      </c>
      <c r="AE771" s="166" t="str">
        <f t="shared" si="220"/>
        <v>Release</v>
      </c>
      <c r="AF771" s="127"/>
      <c r="AG771" s="18">
        <v>0</v>
      </c>
      <c r="AH771" s="120" t="s">
        <v>1650</v>
      </c>
      <c r="AI771" s="238">
        <v>20000</v>
      </c>
      <c r="AJ771" s="132"/>
      <c r="AK771" s="151">
        <v>12.9</v>
      </c>
      <c r="AL771" s="154">
        <f t="shared" si="238"/>
        <v>0</v>
      </c>
      <c r="AM771" s="155"/>
      <c r="AN771" s="19">
        <f t="shared" si="210"/>
        <v>1861</v>
      </c>
      <c r="AO771" s="118">
        <f>SUMIF('MPG Payment '!E:E,'Shayak Income '!D771,'MPG Payment '!AJ:AJ)</f>
        <v>500</v>
      </c>
      <c r="AP771" s="19">
        <f t="shared" si="211"/>
        <v>0</v>
      </c>
      <c r="AQ771" s="119">
        <f t="shared" si="239"/>
        <v>500</v>
      </c>
      <c r="AR771" s="91" t="s">
        <v>1168</v>
      </c>
      <c r="AS771" s="91">
        <f t="shared" si="212"/>
        <v>0</v>
      </c>
      <c r="AT771" s="118"/>
      <c r="AU771" s="118"/>
      <c r="AV771" s="118"/>
    </row>
    <row r="772" spans="1:48" s="20" customFormat="1" x14ac:dyDescent="0.25">
      <c r="A772" s="17">
        <f>IFERROR(VLOOKUP(D772,'Monthly Deduction'!$I$3:$J$957,2,0),0)</f>
        <v>0</v>
      </c>
      <c r="B772" s="17">
        <f>IFERROR(VLOOKUP(D772,'Monthly Deduction'!$E$3:$F$957,2,0),0)</f>
        <v>0</v>
      </c>
      <c r="C772" s="17">
        <f t="shared" ref="C772" si="241">A772+B772</f>
        <v>0</v>
      </c>
      <c r="D772" s="41">
        <v>10530073</v>
      </c>
      <c r="E772" s="122" t="str">
        <f>VLOOKUP(D772,'MPG Payment '!$E$3:$G$498218,2,0)</f>
        <v>BELSANDI DIH</v>
      </c>
      <c r="F772" s="146">
        <f>IFERROR(_xlfn.XLOOKUP(D772,'Monthly Deduction'!$I$3:$I$957,'Monthly Deduction'!$H$3:$H$957),0)</f>
        <v>0</v>
      </c>
      <c r="G772" s="123" t="str">
        <f>VLOOKUP(D772,'MPG Payment '!$E$3:$G$334579,3,0)</f>
        <v>vlc</v>
      </c>
      <c r="H772" s="124" t="str">
        <f>VLOOKUP(D772,'MPG Payment '!$E$3:$H$334579,4,0)</f>
        <v>Indirect</v>
      </c>
      <c r="I772" s="88">
        <f>INDEX('MPG Payment '!$C:$C,MATCH('Shayak Income '!D772,'MPG Payment '!E:E,0))</f>
        <v>1053</v>
      </c>
      <c r="J772" s="88" t="str">
        <f>INDEX('MPG Payment '!$D:$D,MATCH('Shayak Income '!D772,'MPG Payment '!E:E,0))</f>
        <v>Kalyanpur</v>
      </c>
      <c r="K772" s="125" t="s">
        <v>1322</v>
      </c>
      <c r="L772" s="125">
        <v>46057</v>
      </c>
      <c r="M772" s="126">
        <f>SUMIF('MPG Payment '!$E$3:$E$34579,'Shayak Income '!D772,'MPG Payment '!$I$3:$I$34579)</f>
        <v>196.25</v>
      </c>
      <c r="N772" s="126">
        <f>SUMIF('MPG Payment '!$E$3:$E$34579,'Shayak Income '!D772,'MPG Payment '!$J$3:$J$34579)</f>
        <v>6719.1037428920008</v>
      </c>
      <c r="O772" s="126">
        <f t="shared" si="214"/>
        <v>147.1875</v>
      </c>
      <c r="P772" s="126">
        <f t="shared" si="215"/>
        <v>186.4375</v>
      </c>
      <c r="Q772" s="126">
        <f>SUMIF('MPG Payment '!$E$3:$E$34579,'Shayak Income '!D772,'MPG Payment '!$S$3:$S$34579)</f>
        <v>0</v>
      </c>
      <c r="R772" s="126">
        <f t="shared" ref="R772:R886" si="242">+N772*3%</f>
        <v>201.57311228676002</v>
      </c>
      <c r="S772" s="126">
        <f t="shared" ref="S772:S886" si="243">R772-P772</f>
        <v>15.135612286760022</v>
      </c>
      <c r="T772" s="126">
        <f t="shared" si="216"/>
        <v>19.625</v>
      </c>
      <c r="U772" s="127">
        <f>(((IF(K772="New",0,SUMIF('MPG Payment '!$E$3:$E$34579,'Shayak Income '!D772,'MPG Payment '!$AC$3:$AC$34579))))+0)+-502</f>
        <v>313.67804639873532</v>
      </c>
      <c r="V772" s="127">
        <f t="shared" si="217"/>
        <v>0</v>
      </c>
      <c r="W772" s="19">
        <v>0</v>
      </c>
      <c r="X772" s="19">
        <v>0</v>
      </c>
      <c r="Y772" s="128">
        <f>IFERROR(VLOOKUP(D772,'Monthly Deduction'!$M$2:$N$64,2,0),0)</f>
        <v>0</v>
      </c>
      <c r="Z772" s="128">
        <v>0</v>
      </c>
      <c r="AA772" s="126">
        <f>IFERROR(VLOOKUP(D772,'Monthly Deduction'!A:B,2,0),0)</f>
        <v>0</v>
      </c>
      <c r="AB772" s="129">
        <f t="shared" ref="AB772:AB886" si="244">ROUND(IFERROR(V772-SUM(W772:AA772),0),0)</f>
        <v>0</v>
      </c>
      <c r="AC772" s="130">
        <v>0</v>
      </c>
      <c r="AD772" s="35">
        <f t="shared" ref="AD772" si="245">ROUND(AB772-AC772,0)</f>
        <v>0</v>
      </c>
      <c r="AE772" s="166" t="str">
        <f t="shared" si="220"/>
        <v>Release</v>
      </c>
      <c r="AF772" s="127"/>
      <c r="AG772" s="18">
        <v>0</v>
      </c>
      <c r="AH772" s="120"/>
      <c r="AI772" s="238">
        <v>0</v>
      </c>
      <c r="AJ772" s="132"/>
      <c r="AK772" s="151">
        <v>102.19999999999999</v>
      </c>
      <c r="AL772" s="154">
        <f t="shared" ref="AL772" si="246">COUNTIF(AK772:AK772,"=NA")</f>
        <v>0</v>
      </c>
      <c r="AM772" s="155"/>
      <c r="AN772" s="19">
        <f t="shared" ref="AN772:AN835" si="247">((MIN(IF(A772&gt;0,MAX(N772*2%,1861),0),A772)))+0</f>
        <v>0</v>
      </c>
      <c r="AO772" s="118">
        <f>SUMIF('MPG Payment '!E:E,'Shayak Income '!D772,'MPG Payment '!AJ:AJ)</f>
        <v>0</v>
      </c>
      <c r="AP772" s="19">
        <f t="shared" ref="AP772:AP835" si="248">W772</f>
        <v>0</v>
      </c>
      <c r="AQ772" s="119">
        <f t="shared" ref="AQ772" si="249">AO772+AP772</f>
        <v>0</v>
      </c>
      <c r="AR772" s="91" t="s">
        <v>1168</v>
      </c>
      <c r="AS772" s="91">
        <f t="shared" ref="AS772:AS835" si="250">B772-X772</f>
        <v>0</v>
      </c>
      <c r="AT772" s="118"/>
      <c r="AU772" s="118"/>
      <c r="AV772" s="118"/>
    </row>
    <row r="773" spans="1:48" s="20" customFormat="1" x14ac:dyDescent="0.25">
      <c r="A773" s="17">
        <f>IFERROR(VLOOKUP(D773,'Monthly Deduction'!$I$3:$J$957,2,0),0)</f>
        <v>63387</v>
      </c>
      <c r="B773" s="17">
        <f>IFERROR(VLOOKUP(D773,'Monthly Deduction'!$E$3:$F$957,2,0),0)</f>
        <v>0</v>
      </c>
      <c r="C773" s="17">
        <f t="shared" ref="C773:C790" si="251">A773+B773</f>
        <v>63387</v>
      </c>
      <c r="D773" s="41">
        <v>10540044</v>
      </c>
      <c r="E773" s="122" t="str">
        <f>VLOOKUP(D773,'MPG Payment '!$E$3:$G$498218,2,0)</f>
        <v>Gomukh Hathwan - 2</v>
      </c>
      <c r="F773" s="146">
        <f>IFERROR(_xlfn.XLOOKUP(D773,'Monthly Deduction'!$I$3:$I$957,'Monthly Deduction'!$H$3:$H$957),0)</f>
        <v>0</v>
      </c>
      <c r="G773" s="123" t="str">
        <f>VLOOKUP(D773,'MPG Payment '!$E$3:$G$334579,3,0)</f>
        <v>MPG</v>
      </c>
      <c r="H773" s="124" t="str">
        <f>VLOOKUP(D773,'MPG Payment '!$E$3:$H$334579,4,0)</f>
        <v>Direct</v>
      </c>
      <c r="I773" s="88">
        <f>INDEX('MPG Payment '!$C:$C,MATCH('Shayak Income '!D773,'MPG Payment '!E:E,0))</f>
        <v>1054</v>
      </c>
      <c r="J773" s="88" t="str">
        <f>INDEX('MPG Payment '!$D:$D,MATCH('Shayak Income '!D773,'MPG Payment '!E:E,0))</f>
        <v xml:space="preserve">Alauli </v>
      </c>
      <c r="K773" s="125" t="s">
        <v>1322</v>
      </c>
      <c r="L773" s="125">
        <v>46053</v>
      </c>
      <c r="M773" s="126">
        <f>SUMIF('MPG Payment '!$E$3:$E$34579,'Shayak Income '!D773,'MPG Payment '!$I$3:$I$34579)</f>
        <v>1592.48</v>
      </c>
      <c r="N773" s="126">
        <f>SUMIF('MPG Payment '!$E$3:$E$34579,'Shayak Income '!D773,'MPG Payment '!$J$3:$J$34579)</f>
        <v>58570.392225015799</v>
      </c>
      <c r="O773" s="126">
        <f t="shared" ref="O773:O886" si="252">+M773*0.75</f>
        <v>1194.3600000000001</v>
      </c>
      <c r="P773" s="126">
        <f t="shared" ref="P773:P886" si="253">+M773*0.95</f>
        <v>1512.856</v>
      </c>
      <c r="Q773" s="126">
        <f>SUMIF('MPG Payment '!$E$3:$E$34579,'Shayak Income '!D773,'MPG Payment '!$S$3:$S$34579)</f>
        <v>0</v>
      </c>
      <c r="R773" s="126">
        <f t="shared" si="242"/>
        <v>1757.1117667504739</v>
      </c>
      <c r="S773" s="126">
        <f t="shared" si="243"/>
        <v>244.25576675047387</v>
      </c>
      <c r="T773" s="126">
        <f t="shared" ref="T773:T836" si="254">M773*0.1</f>
        <v>159.24800000000002</v>
      </c>
      <c r="U773" s="127">
        <f>(((IF(K773="New",0,SUMIF('MPG Payment '!$E$3:$E$34579,'Shayak Income '!D773,'MPG Payment '!$AC$3:$AC$34579))))+0)+0</f>
        <v>887.46755941148047</v>
      </c>
      <c r="V773" s="127">
        <f t="shared" ref="V773:V836" si="255">ROUND((SUM(O773:Q773)-SUM(T773:U773)),0)</f>
        <v>1661</v>
      </c>
      <c r="W773" s="19">
        <v>1661</v>
      </c>
      <c r="X773" s="19">
        <v>0</v>
      </c>
      <c r="Y773" s="128">
        <f>IFERROR(VLOOKUP(D773,'Monthly Deduction'!$M$2:$N$64,2,0),0)</f>
        <v>0</v>
      </c>
      <c r="Z773" s="128">
        <v>0</v>
      </c>
      <c r="AA773" s="126">
        <f>IFERROR(VLOOKUP(D773,'Monthly Deduction'!A:B,2,0),0)</f>
        <v>0</v>
      </c>
      <c r="AB773" s="129">
        <f t="shared" si="244"/>
        <v>0</v>
      </c>
      <c r="AC773" s="130">
        <f t="shared" ref="AC773:AC774" si="256">AB773</f>
        <v>0</v>
      </c>
      <c r="AD773" s="35">
        <f t="shared" ref="AD773:AD790" si="257">ROUND(AB773-AC773,0)</f>
        <v>0</v>
      </c>
      <c r="AE773" s="166" t="str">
        <f t="shared" ref="AE773:AE886" si="258">IF(AC773&lt;&gt;0,"Yes","Release")</f>
        <v>Release</v>
      </c>
      <c r="AF773" s="127"/>
      <c r="AG773" s="18">
        <v>0</v>
      </c>
      <c r="AH773" s="120" t="s">
        <v>1653</v>
      </c>
      <c r="AI773" s="238">
        <v>0</v>
      </c>
      <c r="AJ773" s="132"/>
      <c r="AK773" s="151">
        <v>370.1</v>
      </c>
      <c r="AL773" s="154">
        <f t="shared" ref="AL773:AL790" si="259">COUNTIF(AK773:AK773,"=NA")</f>
        <v>0</v>
      </c>
      <c r="AM773" s="155"/>
      <c r="AN773" s="19">
        <f t="shared" si="247"/>
        <v>1861</v>
      </c>
      <c r="AO773" s="118">
        <f>SUMIF('MPG Payment '!E:E,'Shayak Income '!D773,'MPG Payment '!AJ:AJ)</f>
        <v>0</v>
      </c>
      <c r="AP773" s="19">
        <f t="shared" si="248"/>
        <v>1661</v>
      </c>
      <c r="AQ773" s="119">
        <f t="shared" ref="AQ773:AQ790" si="260">AO773+AP773</f>
        <v>1661</v>
      </c>
      <c r="AR773" s="91" t="s">
        <v>1168</v>
      </c>
      <c r="AS773" s="91">
        <f t="shared" si="250"/>
        <v>0</v>
      </c>
      <c r="AT773" s="118"/>
      <c r="AU773" s="118"/>
      <c r="AV773" s="118"/>
    </row>
    <row r="774" spans="1:48" s="20" customFormat="1" x14ac:dyDescent="0.25">
      <c r="A774" s="17">
        <f>IFERROR(VLOOKUP(D774,'Monthly Deduction'!$I$3:$J$957,2,0),0)</f>
        <v>75000</v>
      </c>
      <c r="B774" s="17">
        <f>IFERROR(VLOOKUP(D774,'Monthly Deduction'!$E$3:$F$957,2,0),0)</f>
        <v>0</v>
      </c>
      <c r="C774" s="17">
        <f t="shared" si="251"/>
        <v>75000</v>
      </c>
      <c r="D774" s="41">
        <v>10570036</v>
      </c>
      <c r="E774" s="122" t="str">
        <f>VLOOKUP(D774,'MPG Payment '!$E$3:$G$498218,2,0)</f>
        <v>Hajpurwa Pachim</v>
      </c>
      <c r="F774" s="146">
        <f>IFERROR(_xlfn.XLOOKUP(D774,'Monthly Deduction'!$I$3:$I$957,'Monthly Deduction'!$H$3:$H$957),0)</f>
        <v>0</v>
      </c>
      <c r="G774" s="123" t="str">
        <f>VLOOKUP(D774,'MPG Payment '!$E$3:$G$334579,3,0)</f>
        <v>MPG</v>
      </c>
      <c r="H774" s="124" t="str">
        <f>VLOOKUP(D774,'MPG Payment '!$E$3:$H$334579,4,0)</f>
        <v>Direct</v>
      </c>
      <c r="I774" s="88">
        <f>INDEX('MPG Payment '!$C:$C,MATCH('Shayak Income '!D774,'MPG Payment '!E:E,0))</f>
        <v>1057</v>
      </c>
      <c r="J774" s="88" t="str">
        <f>INDEX('MPG Payment '!$D:$D,MATCH('Shayak Income '!D774,'MPG Payment '!E:E,0))</f>
        <v>Warisnagar</v>
      </c>
      <c r="K774" s="125" t="s">
        <v>1322</v>
      </c>
      <c r="L774" s="125">
        <v>46057</v>
      </c>
      <c r="M774" s="126">
        <f>SUMIF('MPG Payment '!$E$3:$E$34579,'Shayak Income '!D774,'MPG Payment '!$I$3:$I$34579)</f>
        <v>1183.4000000000001</v>
      </c>
      <c r="N774" s="126">
        <f>SUMIF('MPG Payment '!$E$3:$E$34579,'Shayak Income '!D774,'MPG Payment '!$J$3:$J$34579)</f>
        <v>47520.742006807995</v>
      </c>
      <c r="O774" s="126">
        <f t="shared" si="252"/>
        <v>887.55000000000007</v>
      </c>
      <c r="P774" s="126">
        <f t="shared" si="253"/>
        <v>1124.23</v>
      </c>
      <c r="Q774" s="126">
        <f>SUMIF('MPG Payment '!$E$3:$E$34579,'Shayak Income '!D774,'MPG Payment '!$S$3:$S$34579)</f>
        <v>0</v>
      </c>
      <c r="R774" s="126">
        <f t="shared" si="242"/>
        <v>1425.6222602042399</v>
      </c>
      <c r="S774" s="126">
        <f t="shared" si="243"/>
        <v>301.39226020423985</v>
      </c>
      <c r="T774" s="126">
        <f t="shared" si="254"/>
        <v>118.34000000000002</v>
      </c>
      <c r="U774" s="127">
        <f>(((IF(K774="New",0,SUMIF('MPG Payment '!$E$3:$E$34579,'Shayak Income '!D774,'MPG Payment '!$AC$3:$AC$34579))))+0)+0</f>
        <v>1295.4856997919574</v>
      </c>
      <c r="V774" s="127">
        <f t="shared" si="255"/>
        <v>598</v>
      </c>
      <c r="W774" s="19">
        <v>598</v>
      </c>
      <c r="X774" s="19">
        <v>0</v>
      </c>
      <c r="Y774" s="128">
        <f>IFERROR(VLOOKUP(D774,'Monthly Deduction'!$M$2:$N$64,2,0),0)</f>
        <v>0</v>
      </c>
      <c r="Z774" s="128">
        <v>0</v>
      </c>
      <c r="AA774" s="126">
        <f>IFERROR(VLOOKUP(D774,'Monthly Deduction'!A:B,2,0),0)</f>
        <v>0</v>
      </c>
      <c r="AB774" s="129">
        <f t="shared" si="244"/>
        <v>0</v>
      </c>
      <c r="AC774" s="130">
        <f t="shared" si="256"/>
        <v>0</v>
      </c>
      <c r="AD774" s="35">
        <f t="shared" si="257"/>
        <v>0</v>
      </c>
      <c r="AE774" s="166" t="str">
        <f t="shared" si="258"/>
        <v>Release</v>
      </c>
      <c r="AF774" s="127"/>
      <c r="AG774" s="18">
        <v>0</v>
      </c>
      <c r="AH774" s="120" t="s">
        <v>1646</v>
      </c>
      <c r="AI774" s="238">
        <v>10000</v>
      </c>
      <c r="AJ774" s="132"/>
      <c r="AK774" s="151">
        <v>322.3</v>
      </c>
      <c r="AL774" s="154">
        <f t="shared" si="259"/>
        <v>0</v>
      </c>
      <c r="AM774" s="155"/>
      <c r="AN774" s="19">
        <f t="shared" si="247"/>
        <v>1861</v>
      </c>
      <c r="AO774" s="118">
        <f>SUMIF('MPG Payment '!E:E,'Shayak Income '!D774,'MPG Payment '!AJ:AJ)</f>
        <v>0</v>
      </c>
      <c r="AP774" s="19">
        <f t="shared" si="248"/>
        <v>598</v>
      </c>
      <c r="AQ774" s="119">
        <f t="shared" si="260"/>
        <v>598</v>
      </c>
      <c r="AR774" s="91" t="s">
        <v>1168</v>
      </c>
      <c r="AS774" s="91">
        <f t="shared" si="250"/>
        <v>0</v>
      </c>
      <c r="AT774" s="118"/>
      <c r="AU774" s="118"/>
      <c r="AV774" s="118"/>
    </row>
    <row r="775" spans="1:48" s="20" customFormat="1" x14ac:dyDescent="0.25">
      <c r="A775" s="17">
        <f>IFERROR(VLOOKUP(D775,'Monthly Deduction'!$I$3:$J$957,2,0),0)</f>
        <v>62894.273000000001</v>
      </c>
      <c r="B775" s="17">
        <f>IFERROR(VLOOKUP(D775,'Monthly Deduction'!$E$3:$F$957,2,0),0)</f>
        <v>0</v>
      </c>
      <c r="C775" s="17">
        <f t="shared" si="251"/>
        <v>62894.273000000001</v>
      </c>
      <c r="D775" s="41">
        <v>10600001</v>
      </c>
      <c r="E775" s="122" t="str">
        <f>VLOOKUP(D775,'MPG Payment '!$E$3:$G$498218,2,0)</f>
        <v>Gomukh Karisath</v>
      </c>
      <c r="F775" s="146">
        <f>IFERROR(_xlfn.XLOOKUP(D775,'Monthly Deduction'!$I$3:$I$957,'Monthly Deduction'!$H$3:$H$957),0)</f>
        <v>0</v>
      </c>
      <c r="G775" s="123" t="str">
        <f>VLOOKUP(D775,'MPG Payment '!$E$3:$G$334579,3,0)</f>
        <v>MPG</v>
      </c>
      <c r="H775" s="124" t="str">
        <f>VLOOKUP(D775,'MPG Payment '!$E$3:$H$334579,4,0)</f>
        <v>Direct</v>
      </c>
      <c r="I775" s="88">
        <f>INDEX('MPG Payment '!$C:$C,MATCH('Shayak Income '!D775,'MPG Payment '!E:E,0))</f>
        <v>1014</v>
      </c>
      <c r="J775" s="88" t="str">
        <f>INDEX('MPG Payment '!$D:$D,MATCH('Shayak Income '!D775,'MPG Payment '!E:E,0))</f>
        <v>Dumraon</v>
      </c>
      <c r="K775" s="125" t="s">
        <v>1322</v>
      </c>
      <c r="L775" s="125">
        <v>46052</v>
      </c>
      <c r="M775" s="126">
        <f>SUMIF('MPG Payment '!$E$3:$E$34579,'Shayak Income '!D775,'MPG Payment '!$I$3:$I$34579)</f>
        <v>1214.0999999999999</v>
      </c>
      <c r="N775" s="126">
        <f>SUMIF('MPG Payment '!$E$3:$E$34579,'Shayak Income '!D775,'MPG Payment '!$J$3:$J$34579)</f>
        <v>42245.058344460005</v>
      </c>
      <c r="O775" s="126">
        <f t="shared" si="252"/>
        <v>910.57499999999993</v>
      </c>
      <c r="P775" s="126">
        <f t="shared" si="253"/>
        <v>1153.3949999999998</v>
      </c>
      <c r="Q775" s="126">
        <f>SUMIF('MPG Payment '!$E$3:$E$34579,'Shayak Income '!D775,'MPG Payment '!$S$3:$S$34579)</f>
        <v>0</v>
      </c>
      <c r="R775" s="126">
        <f t="shared" si="242"/>
        <v>1267.3517503338001</v>
      </c>
      <c r="S775" s="126">
        <f t="shared" si="243"/>
        <v>113.9567503338003</v>
      </c>
      <c r="T775" s="126">
        <f t="shared" si="254"/>
        <v>121.41</v>
      </c>
      <c r="U775" s="127">
        <f>(((IF(K775="New",0,SUMIF('MPG Payment '!$E$3:$E$34579,'Shayak Income '!D775,'MPG Payment '!$AC$3:$AC$34579))))+0)+0</f>
        <v>1098.1519799221865</v>
      </c>
      <c r="V775" s="127">
        <f t="shared" si="255"/>
        <v>844</v>
      </c>
      <c r="W775" s="19">
        <v>844</v>
      </c>
      <c r="X775" s="19">
        <v>0</v>
      </c>
      <c r="Y775" s="128">
        <f>IFERROR(VLOOKUP(D775,'Monthly Deduction'!$M$2:$N$64,2,0),0)</f>
        <v>0</v>
      </c>
      <c r="Z775" s="128">
        <v>0</v>
      </c>
      <c r="AA775" s="126">
        <v>0</v>
      </c>
      <c r="AB775" s="129">
        <f t="shared" si="244"/>
        <v>0</v>
      </c>
      <c r="AC775" s="130">
        <v>0</v>
      </c>
      <c r="AD775" s="35">
        <f t="shared" si="257"/>
        <v>0</v>
      </c>
      <c r="AE775" s="166" t="str">
        <f t="shared" si="258"/>
        <v>Release</v>
      </c>
      <c r="AF775" s="127"/>
      <c r="AG775" s="18">
        <v>0</v>
      </c>
      <c r="AH775" s="120"/>
      <c r="AI775" s="238">
        <v>0</v>
      </c>
      <c r="AJ775" s="132"/>
      <c r="AK775" s="151">
        <v>224.20000000000002</v>
      </c>
      <c r="AL775" s="154">
        <f t="shared" si="259"/>
        <v>0</v>
      </c>
      <c r="AM775" s="155"/>
      <c r="AN775" s="19">
        <f t="shared" si="247"/>
        <v>1861</v>
      </c>
      <c r="AO775" s="118">
        <f>SUMIF('MPG Payment '!E:E,'Shayak Income '!D775,'MPG Payment '!AJ:AJ)</f>
        <v>0</v>
      </c>
      <c r="AP775" s="19">
        <f t="shared" si="248"/>
        <v>844</v>
      </c>
      <c r="AQ775" s="119">
        <f t="shared" si="260"/>
        <v>844</v>
      </c>
      <c r="AR775" s="91" t="s">
        <v>1168</v>
      </c>
      <c r="AS775" s="91">
        <f t="shared" si="250"/>
        <v>0</v>
      </c>
      <c r="AT775" s="118"/>
      <c r="AU775" s="118"/>
      <c r="AV775" s="118"/>
    </row>
    <row r="776" spans="1:48" s="20" customFormat="1" x14ac:dyDescent="0.25">
      <c r="A776" s="17">
        <f>IFERROR(VLOOKUP(D776,'Monthly Deduction'!$I$3:$J$957,2,0),0)</f>
        <v>61885.042600000001</v>
      </c>
      <c r="B776" s="17">
        <f>IFERROR(VLOOKUP(D776,'Monthly Deduction'!$E$3:$F$957,2,0),0)</f>
        <v>0</v>
      </c>
      <c r="C776" s="17">
        <f t="shared" si="251"/>
        <v>61885.042600000001</v>
      </c>
      <c r="D776" s="41">
        <v>10600002</v>
      </c>
      <c r="E776" s="122" t="str">
        <f>VLOOKUP(D776,'MPG Payment '!$E$3:$G$498218,2,0)</f>
        <v>Gomukh Ama</v>
      </c>
      <c r="F776" s="146">
        <f>IFERROR(_xlfn.XLOOKUP(D776,'Monthly Deduction'!$I$3:$I$957,'Monthly Deduction'!$H$3:$H$957),0)</f>
        <v>0</v>
      </c>
      <c r="G776" s="123" t="str">
        <f>VLOOKUP(D776,'MPG Payment '!$E$3:$G$334579,3,0)</f>
        <v>MPG</v>
      </c>
      <c r="H776" s="124" t="str">
        <f>VLOOKUP(D776,'MPG Payment '!$E$3:$H$334579,4,0)</f>
        <v>Direct</v>
      </c>
      <c r="I776" s="88">
        <f>INDEX('MPG Payment '!$C:$C,MATCH('Shayak Income '!D776,'MPG Payment '!E:E,0))</f>
        <v>1014</v>
      </c>
      <c r="J776" s="88" t="str">
        <f>INDEX('MPG Payment '!$D:$D,MATCH('Shayak Income '!D776,'MPG Payment '!E:E,0))</f>
        <v>Dumraon</v>
      </c>
      <c r="K776" s="125" t="s">
        <v>1322</v>
      </c>
      <c r="L776" s="125">
        <v>46052</v>
      </c>
      <c r="M776" s="126">
        <f>SUMIF('MPG Payment '!$E$3:$E$34579,'Shayak Income '!D776,'MPG Payment '!$I$3:$I$34579)</f>
        <v>2140.4</v>
      </c>
      <c r="N776" s="126">
        <f>SUMIF('MPG Payment '!$E$3:$E$34579,'Shayak Income '!D776,'MPG Payment '!$J$3:$J$34579)</f>
        <v>75190.935915270005</v>
      </c>
      <c r="O776" s="126">
        <f t="shared" si="252"/>
        <v>1605.3000000000002</v>
      </c>
      <c r="P776" s="126">
        <f t="shared" si="253"/>
        <v>2033.3799999999999</v>
      </c>
      <c r="Q776" s="126">
        <f>SUMIF('MPG Payment '!$E$3:$E$34579,'Shayak Income '!D776,'MPG Payment '!$S$3:$S$34579)</f>
        <v>0</v>
      </c>
      <c r="R776" s="126">
        <f t="shared" si="242"/>
        <v>2255.7280774581</v>
      </c>
      <c r="S776" s="126">
        <f t="shared" si="243"/>
        <v>222.34807745810008</v>
      </c>
      <c r="T776" s="126">
        <f t="shared" si="254"/>
        <v>214.04000000000002</v>
      </c>
      <c r="U776" s="127">
        <f>(((IF(K776="New",0,SUMIF('MPG Payment '!$E$3:$E$34579,'Shayak Income '!D776,'MPG Payment '!$AC$3:$AC$34579))))+0)+0</f>
        <v>463.61589584570481</v>
      </c>
      <c r="V776" s="127">
        <f t="shared" si="255"/>
        <v>2961</v>
      </c>
      <c r="W776" s="19">
        <f t="shared" ref="W776:W833" si="261">(((AN776-AO776)))+0</f>
        <v>1861</v>
      </c>
      <c r="X776" s="19">
        <v>0</v>
      </c>
      <c r="Y776" s="128">
        <f>IFERROR(VLOOKUP(D776,'Monthly Deduction'!$M$2:$N$64,2,0),0)</f>
        <v>0</v>
      </c>
      <c r="Z776" s="128">
        <v>0</v>
      </c>
      <c r="AA776" s="126">
        <f>IFERROR(VLOOKUP(D776,'Monthly Deduction'!A:B,2,0),0)</f>
        <v>310.90000000000003</v>
      </c>
      <c r="AB776" s="129">
        <f t="shared" si="244"/>
        <v>789</v>
      </c>
      <c r="AC776" s="130">
        <v>0</v>
      </c>
      <c r="AD776" s="35">
        <f t="shared" si="257"/>
        <v>789</v>
      </c>
      <c r="AE776" s="166" t="str">
        <f t="shared" si="258"/>
        <v>Release</v>
      </c>
      <c r="AF776" s="127"/>
      <c r="AG776" s="18">
        <v>0</v>
      </c>
      <c r="AH776" s="120"/>
      <c r="AI776" s="238">
        <v>0</v>
      </c>
      <c r="AJ776" s="132"/>
      <c r="AK776" s="151">
        <v>627.6</v>
      </c>
      <c r="AL776" s="154">
        <f t="shared" si="259"/>
        <v>0</v>
      </c>
      <c r="AM776" s="155"/>
      <c r="AN776" s="19">
        <f t="shared" si="247"/>
        <v>1861</v>
      </c>
      <c r="AO776" s="118">
        <f>SUMIF('MPG Payment '!E:E,'Shayak Income '!D776,'MPG Payment '!AJ:AJ)</f>
        <v>0</v>
      </c>
      <c r="AP776" s="19">
        <f t="shared" si="248"/>
        <v>1861</v>
      </c>
      <c r="AQ776" s="119">
        <f t="shared" si="260"/>
        <v>1861</v>
      </c>
      <c r="AR776" s="91" t="s">
        <v>1168</v>
      </c>
      <c r="AS776" s="91">
        <f t="shared" si="250"/>
        <v>0</v>
      </c>
      <c r="AT776" s="118"/>
      <c r="AU776" s="118"/>
      <c r="AV776" s="118"/>
    </row>
    <row r="777" spans="1:48" s="20" customFormat="1" x14ac:dyDescent="0.25">
      <c r="A777" s="17">
        <f>IFERROR(VLOOKUP(D777,'Monthly Deduction'!$I$3:$J$957,2,0),0)</f>
        <v>75000</v>
      </c>
      <c r="B777" s="17">
        <f>IFERROR(VLOOKUP(D777,'Monthly Deduction'!$E$3:$F$957,2,0),0)</f>
        <v>0</v>
      </c>
      <c r="C777" s="17">
        <f t="shared" si="251"/>
        <v>75000</v>
      </c>
      <c r="D777" s="41">
        <v>10600004</v>
      </c>
      <c r="E777" s="122" t="str">
        <f>VLOOKUP(D777,'MPG Payment '!$E$3:$G$498218,2,0)</f>
        <v>Gomukh Pawat</v>
      </c>
      <c r="F777" s="146">
        <f>IFERROR(_xlfn.XLOOKUP(D777,'Monthly Deduction'!$I$3:$I$957,'Monthly Deduction'!$H$3:$H$957),0)</f>
        <v>0</v>
      </c>
      <c r="G777" s="123" t="str">
        <f>VLOOKUP(D777,'MPG Payment '!$E$3:$G$334579,3,0)</f>
        <v>MPG</v>
      </c>
      <c r="H777" s="124" t="str">
        <f>VLOOKUP(D777,'MPG Payment '!$E$3:$H$334579,4,0)</f>
        <v>Direct</v>
      </c>
      <c r="I777" s="88">
        <f>INDEX('MPG Payment '!$C:$C,MATCH('Shayak Income '!D777,'MPG Payment '!E:E,0))</f>
        <v>1014</v>
      </c>
      <c r="J777" s="88" t="str">
        <f>INDEX('MPG Payment '!$D:$D,MATCH('Shayak Income '!D777,'MPG Payment '!E:E,0))</f>
        <v>Dumraon</v>
      </c>
      <c r="K777" s="125" t="s">
        <v>1322</v>
      </c>
      <c r="L777" s="125">
        <v>46054</v>
      </c>
      <c r="M777" s="126">
        <f>SUMIF('MPG Payment '!$E$3:$E$34579,'Shayak Income '!D777,'MPG Payment '!$I$3:$I$34579)</f>
        <v>2493.1999999999998</v>
      </c>
      <c r="N777" s="126">
        <f>SUMIF('MPG Payment '!$E$3:$E$34579,'Shayak Income '!D777,'MPG Payment '!$J$3:$J$34579)</f>
        <v>84146.772563680002</v>
      </c>
      <c r="O777" s="126">
        <f t="shared" si="252"/>
        <v>1869.8999999999999</v>
      </c>
      <c r="P777" s="126">
        <f t="shared" si="253"/>
        <v>2368.5399999999995</v>
      </c>
      <c r="Q777" s="126">
        <f>SUMIF('MPG Payment '!$E$3:$E$34579,'Shayak Income '!D777,'MPG Payment '!$S$3:$S$34579)</f>
        <v>0</v>
      </c>
      <c r="R777" s="126">
        <f t="shared" si="242"/>
        <v>2524.4031769103999</v>
      </c>
      <c r="S777" s="126">
        <f t="shared" si="243"/>
        <v>155.8631769104004</v>
      </c>
      <c r="T777" s="126">
        <f t="shared" si="254"/>
        <v>249.32</v>
      </c>
      <c r="U777" s="127">
        <f>(((IF(K777="New",0,SUMIF('MPG Payment '!$E$3:$E$34579,'Shayak Income '!D777,'MPG Payment '!$AC$3:$AC$34579))))+0)+0</f>
        <v>475.44376590849373</v>
      </c>
      <c r="V777" s="127">
        <f t="shared" si="255"/>
        <v>3514</v>
      </c>
      <c r="W777" s="19">
        <f t="shared" si="261"/>
        <v>1861</v>
      </c>
      <c r="X777" s="19">
        <v>0</v>
      </c>
      <c r="Y777" s="128">
        <f>IFERROR(VLOOKUP(D777,'Monthly Deduction'!$M$2:$N$64,2,0),0)</f>
        <v>0</v>
      </c>
      <c r="Z777" s="128">
        <v>0</v>
      </c>
      <c r="AA777" s="126">
        <f>IFERROR(VLOOKUP(D777,'Monthly Deduction'!A:B,2,0),0)</f>
        <v>259.60000000000002</v>
      </c>
      <c r="AB777" s="129">
        <f t="shared" si="244"/>
        <v>1393</v>
      </c>
      <c r="AC777" s="130">
        <f>AB777</f>
        <v>1393</v>
      </c>
      <c r="AD777" s="35">
        <f t="shared" si="257"/>
        <v>0</v>
      </c>
      <c r="AE777" s="166" t="str">
        <f t="shared" si="258"/>
        <v>Yes</v>
      </c>
      <c r="AF777" s="127"/>
      <c r="AG777" s="18">
        <v>0</v>
      </c>
      <c r="AH777" s="120" t="s">
        <v>1646</v>
      </c>
      <c r="AI777" s="238">
        <v>10000</v>
      </c>
      <c r="AJ777" s="132"/>
      <c r="AK777" s="151">
        <v>698.00000000000011</v>
      </c>
      <c r="AL777" s="154">
        <f t="shared" si="259"/>
        <v>0</v>
      </c>
      <c r="AM777" s="155"/>
      <c r="AN777" s="19">
        <f t="shared" si="247"/>
        <v>1861</v>
      </c>
      <c r="AO777" s="118">
        <f>SUMIF('MPG Payment '!E:E,'Shayak Income '!D777,'MPG Payment '!AJ:AJ)</f>
        <v>0</v>
      </c>
      <c r="AP777" s="19">
        <f t="shared" si="248"/>
        <v>1861</v>
      </c>
      <c r="AQ777" s="119">
        <f t="shared" si="260"/>
        <v>1861</v>
      </c>
      <c r="AR777" s="91" t="s">
        <v>1168</v>
      </c>
      <c r="AS777" s="91">
        <f t="shared" si="250"/>
        <v>0</v>
      </c>
      <c r="AT777" s="118"/>
      <c r="AU777" s="118"/>
      <c r="AV777" s="118"/>
    </row>
    <row r="778" spans="1:48" s="20" customFormat="1" x14ac:dyDescent="0.25">
      <c r="A778" s="17">
        <f>IFERROR(VLOOKUP(D778,'Monthly Deduction'!$I$3:$J$957,2,0),0)</f>
        <v>63923</v>
      </c>
      <c r="B778" s="17">
        <f>IFERROR(VLOOKUP(D778,'Monthly Deduction'!$E$3:$F$957,2,0),0)</f>
        <v>0</v>
      </c>
      <c r="C778" s="17">
        <f t="shared" si="251"/>
        <v>63923</v>
      </c>
      <c r="D778" s="41">
        <v>10600006</v>
      </c>
      <c r="E778" s="122" t="str">
        <f>VLOOKUP(D778,'MPG Payment '!$E$3:$G$498218,2,0)</f>
        <v>Gomukh Charghat</v>
      </c>
      <c r="F778" s="146">
        <f>IFERROR(_xlfn.XLOOKUP(D778,'Monthly Deduction'!$I$3:$I$957,'Monthly Deduction'!$H$3:$H$957),0)</f>
        <v>0</v>
      </c>
      <c r="G778" s="123" t="str">
        <f>VLOOKUP(D778,'MPG Payment '!$E$3:$G$334579,3,0)</f>
        <v>MPG</v>
      </c>
      <c r="H778" s="124" t="str">
        <f>VLOOKUP(D778,'MPG Payment '!$E$3:$H$334579,4,0)</f>
        <v>Direct</v>
      </c>
      <c r="I778" s="88">
        <f>INDEX('MPG Payment '!$C:$C,MATCH('Shayak Income '!D778,'MPG Payment '!E:E,0))</f>
        <v>1014</v>
      </c>
      <c r="J778" s="88" t="str">
        <f>INDEX('MPG Payment '!$D:$D,MATCH('Shayak Income '!D778,'MPG Payment '!E:E,0))</f>
        <v>Dumraon</v>
      </c>
      <c r="K778" s="125" t="s">
        <v>1322</v>
      </c>
      <c r="L778" s="125">
        <v>46052</v>
      </c>
      <c r="M778" s="126">
        <f>SUMIF('MPG Payment '!$E$3:$E$34579,'Shayak Income '!D778,'MPG Payment '!$I$3:$I$34579)</f>
        <v>1539.9</v>
      </c>
      <c r="N778" s="126">
        <f>SUMIF('MPG Payment '!$E$3:$E$34579,'Shayak Income '!D778,'MPG Payment '!$J$3:$J$34579)</f>
        <v>60300.866592880004</v>
      </c>
      <c r="O778" s="126">
        <f t="shared" si="252"/>
        <v>1154.9250000000002</v>
      </c>
      <c r="P778" s="126">
        <f t="shared" si="253"/>
        <v>1462.905</v>
      </c>
      <c r="Q778" s="126">
        <f>SUMIF('MPG Payment '!$E$3:$E$34579,'Shayak Income '!D778,'MPG Payment '!$S$3:$S$34579)</f>
        <v>0</v>
      </c>
      <c r="R778" s="126">
        <f t="shared" si="242"/>
        <v>1809.0259977864</v>
      </c>
      <c r="S778" s="126">
        <f t="shared" si="243"/>
        <v>346.12099778640004</v>
      </c>
      <c r="T778" s="126">
        <f t="shared" si="254"/>
        <v>153.99</v>
      </c>
      <c r="U778" s="127">
        <f>(((IF(K778="New",0,SUMIF('MPG Payment '!$E$3:$E$34579,'Shayak Income '!D778,'MPG Payment '!$AC$3:$AC$34579))))+0)+0</f>
        <v>979.01728856729119</v>
      </c>
      <c r="V778" s="127">
        <f t="shared" si="255"/>
        <v>1485</v>
      </c>
      <c r="W778" s="19">
        <v>1485</v>
      </c>
      <c r="X778" s="19">
        <v>0</v>
      </c>
      <c r="Y778" s="128">
        <f>IFERROR(VLOOKUP(D778,'Monthly Deduction'!$M$2:$N$64,2,0),0)</f>
        <v>0</v>
      </c>
      <c r="Z778" s="128">
        <v>0</v>
      </c>
      <c r="AA778" s="126">
        <v>0</v>
      </c>
      <c r="AB778" s="129">
        <f t="shared" si="244"/>
        <v>0</v>
      </c>
      <c r="AC778" s="130">
        <v>0</v>
      </c>
      <c r="AD778" s="35">
        <f t="shared" si="257"/>
        <v>0</v>
      </c>
      <c r="AE778" s="166" t="str">
        <f t="shared" si="258"/>
        <v>Release</v>
      </c>
      <c r="AF778" s="127"/>
      <c r="AG778" s="18">
        <v>0</v>
      </c>
      <c r="AH778" s="120"/>
      <c r="AI778" s="238">
        <v>0</v>
      </c>
      <c r="AJ778" s="132"/>
      <c r="AK778" s="151">
        <v>229.3</v>
      </c>
      <c r="AL778" s="154">
        <f t="shared" si="259"/>
        <v>0</v>
      </c>
      <c r="AM778" s="155"/>
      <c r="AN778" s="19">
        <f t="shared" si="247"/>
        <v>1861</v>
      </c>
      <c r="AO778" s="118">
        <f>SUMIF('MPG Payment '!E:E,'Shayak Income '!D778,'MPG Payment '!AJ:AJ)</f>
        <v>0</v>
      </c>
      <c r="AP778" s="19">
        <f t="shared" si="248"/>
        <v>1485</v>
      </c>
      <c r="AQ778" s="119">
        <f t="shared" si="260"/>
        <v>1485</v>
      </c>
      <c r="AR778" s="91" t="s">
        <v>1168</v>
      </c>
      <c r="AS778" s="91">
        <f t="shared" si="250"/>
        <v>0</v>
      </c>
      <c r="AT778" s="118"/>
      <c r="AU778" s="118"/>
      <c r="AV778" s="118"/>
    </row>
    <row r="779" spans="1:48" s="20" customFormat="1" x14ac:dyDescent="0.25">
      <c r="A779" s="17">
        <f>IFERROR(VLOOKUP(D779,'Monthly Deduction'!$I$3:$J$957,2,0),0)</f>
        <v>74000</v>
      </c>
      <c r="B779" s="17">
        <f>IFERROR(VLOOKUP(D779,'Monthly Deduction'!$E$3:$F$957,2,0),0)</f>
        <v>0</v>
      </c>
      <c r="C779" s="17">
        <f t="shared" si="251"/>
        <v>74000</v>
      </c>
      <c r="D779" s="41">
        <v>10600008</v>
      </c>
      <c r="E779" s="122" t="str">
        <f>VLOOKUP(D779,'MPG Payment '!$E$3:$G$498218,2,0)</f>
        <v>Gomukh Ramdihra</v>
      </c>
      <c r="F779" s="146">
        <f>IFERROR(_xlfn.XLOOKUP(D779,'Monthly Deduction'!$I$3:$I$957,'Monthly Deduction'!$H$3:$H$957),0)</f>
        <v>0</v>
      </c>
      <c r="G779" s="123" t="str">
        <f>VLOOKUP(D779,'MPG Payment '!$E$3:$G$334579,3,0)</f>
        <v>MPG</v>
      </c>
      <c r="H779" s="124" t="str">
        <f>VLOOKUP(D779,'MPG Payment '!$E$3:$H$334579,4,0)</f>
        <v>Direct</v>
      </c>
      <c r="I779" s="88">
        <f>INDEX('MPG Payment '!$C:$C,MATCH('Shayak Income '!D779,'MPG Payment '!E:E,0))</f>
        <v>1014</v>
      </c>
      <c r="J779" s="88" t="str">
        <f>INDEX('MPG Payment '!$D:$D,MATCH('Shayak Income '!D779,'MPG Payment '!E:E,0))</f>
        <v>Dumraon</v>
      </c>
      <c r="K779" s="125" t="s">
        <v>1322</v>
      </c>
      <c r="L779" s="125">
        <v>46052</v>
      </c>
      <c r="M779" s="126">
        <f>SUMIF('MPG Payment '!$E$3:$E$34579,'Shayak Income '!D779,'MPG Payment '!$I$3:$I$34579)</f>
        <v>466.2</v>
      </c>
      <c r="N779" s="126">
        <f>SUMIF('MPG Payment '!$E$3:$E$34579,'Shayak Income '!D779,'MPG Payment '!$J$3:$J$34579)</f>
        <v>15364.747564639998</v>
      </c>
      <c r="O779" s="126">
        <f t="shared" si="252"/>
        <v>349.65</v>
      </c>
      <c r="P779" s="126">
        <f t="shared" si="253"/>
        <v>442.89</v>
      </c>
      <c r="Q779" s="126">
        <f>SUMIF('MPG Payment '!$E$3:$E$34579,'Shayak Income '!D779,'MPG Payment '!$S$3:$S$34579)</f>
        <v>0</v>
      </c>
      <c r="R779" s="126">
        <f t="shared" si="242"/>
        <v>460.94242693919995</v>
      </c>
      <c r="S779" s="126">
        <f t="shared" si="243"/>
        <v>18.052426939199961</v>
      </c>
      <c r="T779" s="126">
        <f t="shared" si="254"/>
        <v>46.620000000000005</v>
      </c>
      <c r="U779" s="127">
        <f>(((IF(K779="New",0,SUMIF('MPG Payment '!$E$3:$E$34579,'Shayak Income '!D779,'MPG Payment '!$AC$3:$AC$34579))))+0)+-790</f>
        <v>745.94494175062846</v>
      </c>
      <c r="V779" s="127">
        <f t="shared" si="255"/>
        <v>0</v>
      </c>
      <c r="W779" s="19">
        <v>0</v>
      </c>
      <c r="X779" s="19">
        <v>0</v>
      </c>
      <c r="Y779" s="128">
        <v>0</v>
      </c>
      <c r="Z779" s="128">
        <v>0</v>
      </c>
      <c r="AA779" s="126">
        <v>0</v>
      </c>
      <c r="AB779" s="129">
        <f t="shared" si="244"/>
        <v>0</v>
      </c>
      <c r="AC779" s="130">
        <f t="shared" ref="AC779:AC786" si="262">AB779</f>
        <v>0</v>
      </c>
      <c r="AD779" s="35">
        <f t="shared" si="257"/>
        <v>0</v>
      </c>
      <c r="AE779" s="166" t="str">
        <f t="shared" si="258"/>
        <v>Release</v>
      </c>
      <c r="AF779" s="127"/>
      <c r="AG779" s="18">
        <v>0</v>
      </c>
      <c r="AH779" s="120" t="s">
        <v>1646</v>
      </c>
      <c r="AI779" s="238">
        <v>10000</v>
      </c>
      <c r="AJ779" s="132"/>
      <c r="AK779" s="151">
        <v>82.5</v>
      </c>
      <c r="AL779" s="154">
        <f t="shared" si="259"/>
        <v>0</v>
      </c>
      <c r="AM779" s="155"/>
      <c r="AN779" s="19">
        <f t="shared" si="247"/>
        <v>1861</v>
      </c>
      <c r="AO779" s="118">
        <f>SUMIF('MPG Payment '!E:E,'Shayak Income '!D779,'MPG Payment '!AJ:AJ)</f>
        <v>500</v>
      </c>
      <c r="AP779" s="19">
        <f t="shared" si="248"/>
        <v>0</v>
      </c>
      <c r="AQ779" s="119">
        <f t="shared" si="260"/>
        <v>500</v>
      </c>
      <c r="AR779" s="91" t="s">
        <v>1168</v>
      </c>
      <c r="AS779" s="91">
        <f t="shared" si="250"/>
        <v>0</v>
      </c>
      <c r="AT779" s="118"/>
      <c r="AU779" s="118"/>
      <c r="AV779" s="118"/>
    </row>
    <row r="780" spans="1:48" s="20" customFormat="1" x14ac:dyDescent="0.25">
      <c r="A780" s="17">
        <f>IFERROR(VLOOKUP(D780,'Monthly Deduction'!$I$3:$J$957,2,0),0)</f>
        <v>79000</v>
      </c>
      <c r="B780" s="17">
        <f>IFERROR(VLOOKUP(D780,'Monthly Deduction'!$E$3:$F$957,2,0),0)</f>
        <v>0</v>
      </c>
      <c r="C780" s="17">
        <f t="shared" si="251"/>
        <v>79000</v>
      </c>
      <c r="D780" s="41">
        <v>10600009</v>
      </c>
      <c r="E780" s="122" t="str">
        <f>VLOOKUP(D780,'MPG Payment '!$E$3:$G$498218,2,0)</f>
        <v>Gomukh Bara</v>
      </c>
      <c r="F780" s="146">
        <f>IFERROR(_xlfn.XLOOKUP(D780,'Monthly Deduction'!$I$3:$I$957,'Monthly Deduction'!$H$3:$H$957),0)</f>
        <v>0</v>
      </c>
      <c r="G780" s="123" t="str">
        <f>VLOOKUP(D780,'MPG Payment '!$E$3:$G$334579,3,0)</f>
        <v>MPG</v>
      </c>
      <c r="H780" s="124" t="str">
        <f>VLOOKUP(D780,'MPG Payment '!$E$3:$H$334579,4,0)</f>
        <v>Direct</v>
      </c>
      <c r="I780" s="88">
        <f>INDEX('MPG Payment '!$C:$C,MATCH('Shayak Income '!D780,'MPG Payment '!E:E,0))</f>
        <v>1014</v>
      </c>
      <c r="J780" s="88" t="str">
        <f>INDEX('MPG Payment '!$D:$D,MATCH('Shayak Income '!D780,'MPG Payment '!E:E,0))</f>
        <v>Dumraon</v>
      </c>
      <c r="K780" s="125" t="s">
        <v>1322</v>
      </c>
      <c r="L780" s="125">
        <v>46057</v>
      </c>
      <c r="M780" s="126">
        <f>SUMIF('MPG Payment '!$E$3:$E$34579,'Shayak Income '!D780,'MPG Payment '!$I$3:$I$34579)</f>
        <v>1507.1999999999998</v>
      </c>
      <c r="N780" s="126">
        <f>SUMIF('MPG Payment '!$E$3:$E$34579,'Shayak Income '!D780,'MPG Payment '!$J$3:$J$34579)</f>
        <v>54903.755823529995</v>
      </c>
      <c r="O780" s="126">
        <f t="shared" si="252"/>
        <v>1130.3999999999999</v>
      </c>
      <c r="P780" s="126">
        <f t="shared" si="253"/>
        <v>1431.8399999999997</v>
      </c>
      <c r="Q780" s="126">
        <f>SUMIF('MPG Payment '!$E$3:$E$34579,'Shayak Income '!D780,'MPG Payment '!$S$3:$S$34579)</f>
        <v>0</v>
      </c>
      <c r="R780" s="126">
        <f t="shared" si="242"/>
        <v>1647.1126747058997</v>
      </c>
      <c r="S780" s="126">
        <f t="shared" si="243"/>
        <v>215.27267470590004</v>
      </c>
      <c r="T780" s="126">
        <f t="shared" si="254"/>
        <v>150.72</v>
      </c>
      <c r="U780" s="127">
        <f>(((IF(K780="New",0,SUMIF('MPG Payment '!$E$3:$E$34579,'Shayak Income '!D780,'MPG Payment '!$AC$3:$AC$34579))))+0)+0</f>
        <v>943.73515121409332</v>
      </c>
      <c r="V780" s="127">
        <f t="shared" si="255"/>
        <v>1468</v>
      </c>
      <c r="W780" s="19">
        <v>1468</v>
      </c>
      <c r="X780" s="19">
        <v>0</v>
      </c>
      <c r="Y780" s="128">
        <f>IFERROR(VLOOKUP(D780,'Monthly Deduction'!$M$2:$N$64,2,0),0)</f>
        <v>0</v>
      </c>
      <c r="Z780" s="128">
        <v>0</v>
      </c>
      <c r="AA780" s="126">
        <v>0</v>
      </c>
      <c r="AB780" s="129">
        <f t="shared" si="244"/>
        <v>0</v>
      </c>
      <c r="AC780" s="130">
        <f t="shared" si="262"/>
        <v>0</v>
      </c>
      <c r="AD780" s="35">
        <f t="shared" si="257"/>
        <v>0</v>
      </c>
      <c r="AE780" s="166" t="str">
        <f t="shared" si="258"/>
        <v>Release</v>
      </c>
      <c r="AF780" s="127"/>
      <c r="AG780" s="18">
        <v>0</v>
      </c>
      <c r="AH780" s="120" t="s">
        <v>1646</v>
      </c>
      <c r="AI780" s="238">
        <v>14000</v>
      </c>
      <c r="AJ780" s="132"/>
      <c r="AK780" s="151">
        <v>278.7</v>
      </c>
      <c r="AL780" s="154">
        <f t="shared" si="259"/>
        <v>0</v>
      </c>
      <c r="AM780" s="155"/>
      <c r="AN780" s="19">
        <f t="shared" si="247"/>
        <v>1861</v>
      </c>
      <c r="AO780" s="118">
        <f>SUMIF('MPG Payment '!E:E,'Shayak Income '!D780,'MPG Payment '!AJ:AJ)</f>
        <v>0</v>
      </c>
      <c r="AP780" s="19">
        <f t="shared" si="248"/>
        <v>1468</v>
      </c>
      <c r="AQ780" s="119">
        <f t="shared" si="260"/>
        <v>1468</v>
      </c>
      <c r="AR780" s="91" t="s">
        <v>1168</v>
      </c>
      <c r="AS780" s="91">
        <f t="shared" si="250"/>
        <v>0</v>
      </c>
      <c r="AT780" s="118"/>
      <c r="AU780" s="118"/>
      <c r="AV780" s="118"/>
    </row>
    <row r="781" spans="1:48" s="20" customFormat="1" x14ac:dyDescent="0.25">
      <c r="A781" s="17">
        <f>IFERROR(VLOOKUP(D781,'Monthly Deduction'!$I$3:$J$957,2,0),0)</f>
        <v>63393</v>
      </c>
      <c r="B781" s="17">
        <f>IFERROR(VLOOKUP(D781,'Monthly Deduction'!$E$3:$F$957,2,0),0)</f>
        <v>0</v>
      </c>
      <c r="C781" s="17">
        <f t="shared" si="251"/>
        <v>63393</v>
      </c>
      <c r="D781" s="41">
        <v>10610002</v>
      </c>
      <c r="E781" s="122" t="str">
        <f>VLOOKUP(D781,'MPG Payment '!$E$3:$G$498218,2,0)</f>
        <v>GOMUKH CHEHRAKALA</v>
      </c>
      <c r="F781" s="146">
        <f>IFERROR(_xlfn.XLOOKUP(D781,'Monthly Deduction'!$I$3:$I$957,'Monthly Deduction'!$H$3:$H$957),0)</f>
        <v>0</v>
      </c>
      <c r="G781" s="123" t="str">
        <f>VLOOKUP(D781,'MPG Payment '!$E$3:$G$334579,3,0)</f>
        <v>MPG</v>
      </c>
      <c r="H781" s="124" t="str">
        <f>VLOOKUP(D781,'MPG Payment '!$E$3:$H$334579,4,0)</f>
        <v>Direct</v>
      </c>
      <c r="I781" s="88">
        <f>INDEX('MPG Payment '!$C:$C,MATCH('Shayak Income '!D781,'MPG Payment '!E:E,0))</f>
        <v>1061</v>
      </c>
      <c r="J781" s="88" t="str">
        <f>INDEX('MPG Payment '!$D:$D,MATCH('Shayak Income '!D781,'MPG Payment '!E:E,0))</f>
        <v>Mahua BMC</v>
      </c>
      <c r="K781" s="125" t="s">
        <v>1322</v>
      </c>
      <c r="L781" s="125">
        <v>46053</v>
      </c>
      <c r="M781" s="126">
        <f>SUMIF('MPG Payment '!$E$3:$E$34579,'Shayak Income '!D781,'MPG Payment '!$I$3:$I$34579)</f>
        <v>1358.1999999999998</v>
      </c>
      <c r="N781" s="126">
        <f>SUMIF('MPG Payment '!$E$3:$E$34579,'Shayak Income '!D781,'MPG Payment '!$J$3:$J$34579)</f>
        <v>63779.783491003007</v>
      </c>
      <c r="O781" s="126">
        <f t="shared" si="252"/>
        <v>1018.6499999999999</v>
      </c>
      <c r="P781" s="126">
        <f t="shared" si="253"/>
        <v>1290.2899999999997</v>
      </c>
      <c r="Q781" s="126">
        <f>SUMIF('MPG Payment '!$E$3:$E$34579,'Shayak Income '!D781,'MPG Payment '!$S$3:$S$34579)</f>
        <v>0</v>
      </c>
      <c r="R781" s="126">
        <f t="shared" si="242"/>
        <v>1913.3935047300902</v>
      </c>
      <c r="S781" s="126">
        <f t="shared" si="243"/>
        <v>623.10350473009044</v>
      </c>
      <c r="T781" s="126">
        <f t="shared" si="254"/>
        <v>135.82</v>
      </c>
      <c r="U781" s="127">
        <f>(((IF(K781="New",0,SUMIF('MPG Payment '!$E$3:$E$34579,'Shayak Income '!D781,'MPG Payment '!$AC$3:$AC$34579))))+0)+0</f>
        <v>1352.1841460866219</v>
      </c>
      <c r="V781" s="127">
        <f t="shared" si="255"/>
        <v>821</v>
      </c>
      <c r="W781" s="19">
        <v>821</v>
      </c>
      <c r="X781" s="19">
        <v>0</v>
      </c>
      <c r="Y781" s="128">
        <f>IFERROR(VLOOKUP(D781,'Monthly Deduction'!$M$2:$N$64,2,0),0)</f>
        <v>0</v>
      </c>
      <c r="Z781" s="128">
        <v>0</v>
      </c>
      <c r="AA781" s="126">
        <f>IFERROR(VLOOKUP(D781,'Monthly Deduction'!A:B,2,0),0)</f>
        <v>0</v>
      </c>
      <c r="AB781" s="129">
        <f t="shared" si="244"/>
        <v>0</v>
      </c>
      <c r="AC781" s="130">
        <f t="shared" si="262"/>
        <v>0</v>
      </c>
      <c r="AD781" s="35">
        <f t="shared" si="257"/>
        <v>0</v>
      </c>
      <c r="AE781" s="166" t="str">
        <f t="shared" si="258"/>
        <v>Release</v>
      </c>
      <c r="AF781" s="127"/>
      <c r="AG781" s="18">
        <v>0</v>
      </c>
      <c r="AH781" s="120" t="s">
        <v>1653</v>
      </c>
      <c r="AI781" s="238">
        <v>0</v>
      </c>
      <c r="AJ781" s="132"/>
      <c r="AK781" s="151">
        <v>347.50000000000006</v>
      </c>
      <c r="AL781" s="154">
        <f t="shared" si="259"/>
        <v>0</v>
      </c>
      <c r="AM781" s="155"/>
      <c r="AN781" s="19">
        <f t="shared" si="247"/>
        <v>1861</v>
      </c>
      <c r="AO781" s="118">
        <f>SUMIF('MPG Payment '!E:E,'Shayak Income '!D781,'MPG Payment '!AJ:AJ)</f>
        <v>0</v>
      </c>
      <c r="AP781" s="19">
        <f t="shared" si="248"/>
        <v>821</v>
      </c>
      <c r="AQ781" s="119">
        <f t="shared" si="260"/>
        <v>821</v>
      </c>
      <c r="AR781" s="91" t="s">
        <v>1168</v>
      </c>
      <c r="AS781" s="91">
        <f t="shared" si="250"/>
        <v>0</v>
      </c>
      <c r="AT781" s="118"/>
      <c r="AU781" s="118"/>
      <c r="AV781" s="118"/>
    </row>
    <row r="782" spans="1:48" s="20" customFormat="1" x14ac:dyDescent="0.25">
      <c r="A782" s="17">
        <f>IFERROR(VLOOKUP(D782,'Monthly Deduction'!$I$3:$J$957,2,0),0)</f>
        <v>73139</v>
      </c>
      <c r="B782" s="17">
        <f>IFERROR(VLOOKUP(D782,'Monthly Deduction'!$E$3:$F$957,2,0),0)</f>
        <v>0</v>
      </c>
      <c r="C782" s="17">
        <f t="shared" si="251"/>
        <v>73139</v>
      </c>
      <c r="D782" s="41">
        <v>10610006</v>
      </c>
      <c r="E782" s="122" t="str">
        <f>VLOOKUP(D782,'MPG Payment '!$E$3:$G$498218,2,0)</f>
        <v>GOMUKH PREMRAJ</v>
      </c>
      <c r="F782" s="146">
        <f>IFERROR(_xlfn.XLOOKUP(D782,'Monthly Deduction'!$I$3:$I$957,'Monthly Deduction'!$H$3:$H$957),0)</f>
        <v>0</v>
      </c>
      <c r="G782" s="123" t="str">
        <f>VLOOKUP(D782,'MPG Payment '!$E$3:$G$334579,3,0)</f>
        <v>MPG</v>
      </c>
      <c r="H782" s="124" t="str">
        <f>VLOOKUP(D782,'MPG Payment '!$E$3:$H$334579,4,0)</f>
        <v>Direct</v>
      </c>
      <c r="I782" s="88">
        <f>INDEX('MPG Payment '!$C:$C,MATCH('Shayak Income '!D782,'MPG Payment '!E:E,0))</f>
        <v>1061</v>
      </c>
      <c r="J782" s="88" t="str">
        <f>INDEX('MPG Payment '!$D:$D,MATCH('Shayak Income '!D782,'MPG Payment '!E:E,0))</f>
        <v>Mahua BMC</v>
      </c>
      <c r="K782" s="125" t="s">
        <v>1322</v>
      </c>
      <c r="L782" s="125">
        <v>46053</v>
      </c>
      <c r="M782" s="126">
        <f>SUMIF('MPG Payment '!$E$3:$E$34579,'Shayak Income '!D782,'MPG Payment '!$I$3:$I$34579)</f>
        <v>1421.8999999999999</v>
      </c>
      <c r="N782" s="126">
        <f>SUMIF('MPG Payment '!$E$3:$E$34579,'Shayak Income '!D782,'MPG Payment '!$J$3:$J$34579)</f>
        <v>67545.511461988004</v>
      </c>
      <c r="O782" s="126">
        <f t="shared" si="252"/>
        <v>1066.425</v>
      </c>
      <c r="P782" s="126">
        <f t="shared" si="253"/>
        <v>1350.8049999999998</v>
      </c>
      <c r="Q782" s="126">
        <f>SUMIF('MPG Payment '!$E$3:$E$34579,'Shayak Income '!D782,'MPG Payment '!$S$3:$S$34579)</f>
        <v>507.52765998000007</v>
      </c>
      <c r="R782" s="126">
        <f t="shared" si="242"/>
        <v>2026.36534385964</v>
      </c>
      <c r="S782" s="126">
        <f t="shared" si="243"/>
        <v>675.56034385964017</v>
      </c>
      <c r="T782" s="126">
        <f t="shared" si="254"/>
        <v>142.19</v>
      </c>
      <c r="U782" s="127">
        <f>(((IF(K782="New",0,SUMIF('MPG Payment '!$E$3:$E$34579,'Shayak Income '!D782,'MPG Payment '!$AC$3:$AC$34579))))+0)+0</f>
        <v>1310.751616776241</v>
      </c>
      <c r="V782" s="127">
        <f t="shared" si="255"/>
        <v>1472</v>
      </c>
      <c r="W782" s="19">
        <v>1472</v>
      </c>
      <c r="X782" s="19">
        <v>0</v>
      </c>
      <c r="Y782" s="128">
        <f>IFERROR(VLOOKUP(D782,'Monthly Deduction'!$M$2:$N$64,2,0),0)</f>
        <v>0</v>
      </c>
      <c r="Z782" s="128">
        <v>0</v>
      </c>
      <c r="AA782" s="126">
        <f>IFERROR(VLOOKUP(D782,'Monthly Deduction'!A:B,2,0),0)</f>
        <v>0</v>
      </c>
      <c r="AB782" s="129">
        <f t="shared" si="244"/>
        <v>0</v>
      </c>
      <c r="AC782" s="130">
        <f t="shared" si="262"/>
        <v>0</v>
      </c>
      <c r="AD782" s="35">
        <f t="shared" si="257"/>
        <v>0</v>
      </c>
      <c r="AE782" s="166" t="str">
        <f t="shared" si="258"/>
        <v>Release</v>
      </c>
      <c r="AF782" s="127"/>
      <c r="AG782" s="18">
        <v>0</v>
      </c>
      <c r="AH782" s="120" t="s">
        <v>1650</v>
      </c>
      <c r="AI782" s="238">
        <v>10000</v>
      </c>
      <c r="AJ782" s="132"/>
      <c r="AK782" s="151">
        <v>270.89999999999998</v>
      </c>
      <c r="AL782" s="154">
        <f t="shared" si="259"/>
        <v>0</v>
      </c>
      <c r="AM782" s="155"/>
      <c r="AN782" s="19">
        <f t="shared" si="247"/>
        <v>1861</v>
      </c>
      <c r="AO782" s="118">
        <f>SUMIF('MPG Payment '!E:E,'Shayak Income '!D782,'MPG Payment '!AJ:AJ)</f>
        <v>0</v>
      </c>
      <c r="AP782" s="19">
        <f t="shared" si="248"/>
        <v>1472</v>
      </c>
      <c r="AQ782" s="119">
        <f t="shared" si="260"/>
        <v>1472</v>
      </c>
      <c r="AR782" s="91" t="s">
        <v>1168</v>
      </c>
      <c r="AS782" s="91">
        <f t="shared" si="250"/>
        <v>0</v>
      </c>
      <c r="AT782" s="118"/>
      <c r="AU782" s="118"/>
      <c r="AV782" s="118"/>
    </row>
    <row r="783" spans="1:48" s="20" customFormat="1" x14ac:dyDescent="0.25">
      <c r="A783" s="17">
        <f>IFERROR(VLOOKUP(D783,'Monthly Deduction'!$I$3:$J$957,2,0),0)</f>
        <v>68139</v>
      </c>
      <c r="B783" s="17">
        <f>IFERROR(VLOOKUP(D783,'Monthly Deduction'!$E$3:$F$957,2,0),0)</f>
        <v>0</v>
      </c>
      <c r="C783" s="17">
        <f t="shared" si="251"/>
        <v>68139</v>
      </c>
      <c r="D783" s="41">
        <v>10610007</v>
      </c>
      <c r="E783" s="122" t="str">
        <f>VLOOKUP(D783,'MPG Payment '!$E$3:$G$498218,2,0)</f>
        <v>GOMUKH MAGURAHI</v>
      </c>
      <c r="F783" s="146">
        <f>IFERROR(_xlfn.XLOOKUP(D783,'Monthly Deduction'!$I$3:$I$957,'Monthly Deduction'!$H$3:$H$957),0)</f>
        <v>0</v>
      </c>
      <c r="G783" s="123" t="str">
        <f>VLOOKUP(D783,'MPG Payment '!$E$3:$G$334579,3,0)</f>
        <v>MPG</v>
      </c>
      <c r="H783" s="124" t="str">
        <f>VLOOKUP(D783,'MPG Payment '!$E$3:$H$334579,4,0)</f>
        <v>Direct</v>
      </c>
      <c r="I783" s="88">
        <f>INDEX('MPG Payment '!$C:$C,MATCH('Shayak Income '!D783,'MPG Payment '!E:E,0))</f>
        <v>1061</v>
      </c>
      <c r="J783" s="88" t="str">
        <f>INDEX('MPG Payment '!$D:$D,MATCH('Shayak Income '!D783,'MPG Payment '!E:E,0))</f>
        <v>Mahua BMC</v>
      </c>
      <c r="K783" s="125" t="s">
        <v>1322</v>
      </c>
      <c r="L783" s="125">
        <v>46053</v>
      </c>
      <c r="M783" s="126">
        <f>SUMIF('MPG Payment '!$E$3:$E$34579,'Shayak Income '!D783,'MPG Payment '!$I$3:$I$34579)</f>
        <v>1142.0999999999999</v>
      </c>
      <c r="N783" s="126">
        <f>SUMIF('MPG Payment '!$E$3:$E$34579,'Shayak Income '!D783,'MPG Payment '!$J$3:$J$34579)</f>
        <v>58621.038026329399</v>
      </c>
      <c r="O783" s="126">
        <f t="shared" si="252"/>
        <v>856.57499999999993</v>
      </c>
      <c r="P783" s="126">
        <f t="shared" si="253"/>
        <v>1084.9949999999999</v>
      </c>
      <c r="Q783" s="126">
        <f>SUMIF('MPG Payment '!$E$3:$E$34579,'Shayak Income '!D783,'MPG Payment '!$S$3:$S$34579)</f>
        <v>1309.33278218394</v>
      </c>
      <c r="R783" s="126">
        <f t="shared" si="242"/>
        <v>1758.631140789882</v>
      </c>
      <c r="S783" s="126">
        <v>0</v>
      </c>
      <c r="T783" s="126">
        <f t="shared" si="254"/>
        <v>114.21</v>
      </c>
      <c r="U783" s="127">
        <f>(((IF(K783="New",0,SUMIF('MPG Payment '!$E$3:$E$34579,'Shayak Income '!D783,'MPG Payment '!$AC$3:$AC$34579))))+0)+0</f>
        <v>1702.7384066432119</v>
      </c>
      <c r="V783" s="127">
        <v>0</v>
      </c>
      <c r="W783" s="19">
        <v>0</v>
      </c>
      <c r="X783" s="19">
        <v>0</v>
      </c>
      <c r="Y783" s="128">
        <f>IFERROR(VLOOKUP(D783,'Monthly Deduction'!$M$2:$N$64,2,0),0)</f>
        <v>0</v>
      </c>
      <c r="Z783" s="128">
        <v>0</v>
      </c>
      <c r="AA783" s="126">
        <f>IFERROR(VLOOKUP(D783,'Monthly Deduction'!A:B,2,0),0)</f>
        <v>0</v>
      </c>
      <c r="AB783" s="129">
        <f t="shared" si="244"/>
        <v>0</v>
      </c>
      <c r="AC783" s="130">
        <f t="shared" si="262"/>
        <v>0</v>
      </c>
      <c r="AD783" s="35">
        <f t="shared" si="257"/>
        <v>0</v>
      </c>
      <c r="AE783" s="166" t="str">
        <f t="shared" si="258"/>
        <v>Release</v>
      </c>
      <c r="AF783" s="127"/>
      <c r="AG783" s="18">
        <v>0</v>
      </c>
      <c r="AH783" s="120" t="s">
        <v>1650</v>
      </c>
      <c r="AI783" s="238">
        <v>5000</v>
      </c>
      <c r="AJ783" s="132"/>
      <c r="AK783" s="151">
        <v>269.29999999999995</v>
      </c>
      <c r="AL783" s="154">
        <f t="shared" si="259"/>
        <v>0</v>
      </c>
      <c r="AM783" s="155"/>
      <c r="AN783" s="19">
        <f t="shared" si="247"/>
        <v>1861</v>
      </c>
      <c r="AO783" s="118">
        <f>SUMIF('MPG Payment '!E:E,'Shayak Income '!D783,'MPG Payment '!AJ:AJ)</f>
        <v>0</v>
      </c>
      <c r="AP783" s="19">
        <f t="shared" si="248"/>
        <v>0</v>
      </c>
      <c r="AQ783" s="119">
        <f t="shared" si="260"/>
        <v>0</v>
      </c>
      <c r="AR783" s="91" t="s">
        <v>1168</v>
      </c>
      <c r="AS783" s="91">
        <f t="shared" si="250"/>
        <v>0</v>
      </c>
      <c r="AT783" s="118"/>
      <c r="AU783" s="118"/>
      <c r="AV783" s="118"/>
    </row>
    <row r="784" spans="1:48" s="20" customFormat="1" x14ac:dyDescent="0.25">
      <c r="A784" s="17">
        <f>IFERROR(VLOOKUP(D784,'Monthly Deduction'!$I$3:$J$957,2,0),0)</f>
        <v>63139</v>
      </c>
      <c r="B784" s="17">
        <f>IFERROR(VLOOKUP(D784,'Monthly Deduction'!$E$3:$F$957,2,0),0)</f>
        <v>0</v>
      </c>
      <c r="C784" s="17">
        <f t="shared" si="251"/>
        <v>63139</v>
      </c>
      <c r="D784" s="41">
        <v>10610008</v>
      </c>
      <c r="E784" s="122" t="str">
        <f>VLOOKUP(D784,'MPG Payment '!$E$3:$G$498218,2,0)</f>
        <v>GOMUKH GANGATI</v>
      </c>
      <c r="F784" s="146">
        <f>IFERROR(_xlfn.XLOOKUP(D784,'Monthly Deduction'!$I$3:$I$957,'Monthly Deduction'!$H$3:$H$957),0)</f>
        <v>0</v>
      </c>
      <c r="G784" s="123" t="str">
        <f>VLOOKUP(D784,'MPG Payment '!$E$3:$G$334579,3,0)</f>
        <v>MPG</v>
      </c>
      <c r="H784" s="124" t="str">
        <f>VLOOKUP(D784,'MPG Payment '!$E$3:$H$334579,4,0)</f>
        <v>Direct</v>
      </c>
      <c r="I784" s="88">
        <f>INDEX('MPG Payment '!$C:$C,MATCH('Shayak Income '!D784,'MPG Payment '!E:E,0))</f>
        <v>1061</v>
      </c>
      <c r="J784" s="88" t="str">
        <f>INDEX('MPG Payment '!$D:$D,MATCH('Shayak Income '!D784,'MPG Payment '!E:E,0))</f>
        <v>Mahua BMC</v>
      </c>
      <c r="K784" s="125" t="s">
        <v>1322</v>
      </c>
      <c r="L784" s="125">
        <v>46053</v>
      </c>
      <c r="M784" s="126">
        <f>SUMIF('MPG Payment '!$E$3:$E$34579,'Shayak Income '!D784,'MPG Payment '!$I$3:$I$34579)</f>
        <v>2003.5</v>
      </c>
      <c r="N784" s="126">
        <f>SUMIF('MPG Payment '!$E$3:$E$34579,'Shayak Income '!D784,'MPG Payment '!$J$3:$J$34579)</f>
        <v>87514.049857424136</v>
      </c>
      <c r="O784" s="126">
        <f t="shared" si="252"/>
        <v>1502.625</v>
      </c>
      <c r="P784" s="126">
        <f t="shared" si="253"/>
        <v>1903.3249999999998</v>
      </c>
      <c r="Q784" s="126">
        <f>SUMIF('MPG Payment '!$E$3:$E$34579,'Shayak Income '!D784,'MPG Payment '!$S$3:$S$34579)</f>
        <v>0</v>
      </c>
      <c r="R784" s="126">
        <f t="shared" si="242"/>
        <v>2625.4214957227241</v>
      </c>
      <c r="S784" s="126">
        <f t="shared" si="243"/>
        <v>722.09649572272428</v>
      </c>
      <c r="T784" s="126">
        <f t="shared" si="254"/>
        <v>200.35000000000002</v>
      </c>
      <c r="U784" s="127">
        <f>(((IF(K784="New",0,SUMIF('MPG Payment '!$E$3:$E$34579,'Shayak Income '!D784,'MPG Payment '!$AC$3:$AC$34579))))+0)+0</f>
        <v>693.56796299842017</v>
      </c>
      <c r="V784" s="127">
        <f t="shared" si="255"/>
        <v>2512</v>
      </c>
      <c r="W784" s="19">
        <f t="shared" si="261"/>
        <v>1861</v>
      </c>
      <c r="X784" s="19">
        <v>0</v>
      </c>
      <c r="Y784" s="128">
        <f>IFERROR(VLOOKUP(D784,'Monthly Deduction'!$M$2:$N$64,2,0),0)</f>
        <v>0</v>
      </c>
      <c r="Z784" s="128">
        <v>0</v>
      </c>
      <c r="AA784" s="126">
        <f>IFERROR(VLOOKUP(D784,'Monthly Deduction'!A:B,2,0),0)</f>
        <v>0</v>
      </c>
      <c r="AB784" s="129">
        <f t="shared" si="244"/>
        <v>651</v>
      </c>
      <c r="AC784" s="130">
        <v>0</v>
      </c>
      <c r="AD784" s="35">
        <f t="shared" si="257"/>
        <v>651</v>
      </c>
      <c r="AE784" s="166" t="str">
        <f t="shared" si="258"/>
        <v>Release</v>
      </c>
      <c r="AF784" s="127"/>
      <c r="AG784" s="18">
        <v>0</v>
      </c>
      <c r="AH784" s="120" t="s">
        <v>1653</v>
      </c>
      <c r="AI784" s="238">
        <v>0</v>
      </c>
      <c r="AJ784" s="132" t="s">
        <v>68</v>
      </c>
      <c r="AK784" s="151">
        <v>386.90000000000003</v>
      </c>
      <c r="AL784" s="154">
        <f t="shared" si="259"/>
        <v>0</v>
      </c>
      <c r="AM784" s="155"/>
      <c r="AN784" s="19">
        <f t="shared" si="247"/>
        <v>1861</v>
      </c>
      <c r="AO784" s="118">
        <f>SUMIF('MPG Payment '!E:E,'Shayak Income '!D784,'MPG Payment '!AJ:AJ)</f>
        <v>0</v>
      </c>
      <c r="AP784" s="19">
        <f t="shared" si="248"/>
        <v>1861</v>
      </c>
      <c r="AQ784" s="119">
        <f t="shared" si="260"/>
        <v>1861</v>
      </c>
      <c r="AR784" s="91" t="s">
        <v>1168</v>
      </c>
      <c r="AS784" s="91">
        <f t="shared" si="250"/>
        <v>0</v>
      </c>
      <c r="AT784" s="118"/>
      <c r="AU784" s="118"/>
      <c r="AV784" s="118"/>
    </row>
    <row r="785" spans="1:48" s="20" customFormat="1" x14ac:dyDescent="0.25">
      <c r="A785" s="17">
        <f>IFERROR(VLOOKUP(D785,'Monthly Deduction'!$I$3:$J$957,2,0),0)</f>
        <v>74216</v>
      </c>
      <c r="B785" s="17">
        <f>IFERROR(VLOOKUP(D785,'Monthly Deduction'!$E$3:$F$957,2,0),0)</f>
        <v>0</v>
      </c>
      <c r="C785" s="17">
        <f t="shared" si="251"/>
        <v>74216</v>
      </c>
      <c r="D785" s="41">
        <v>10610010</v>
      </c>
      <c r="E785" s="122" t="str">
        <f>VLOOKUP(D785,'MPG Payment '!$E$3:$G$498218,2,0)</f>
        <v>GOMUKH Bhagwatpur</v>
      </c>
      <c r="F785" s="146">
        <f>IFERROR(_xlfn.XLOOKUP(D785,'Monthly Deduction'!$I$3:$I$957,'Monthly Deduction'!$H$3:$H$957),0)</f>
        <v>0</v>
      </c>
      <c r="G785" s="123" t="str">
        <f>VLOOKUP(D785,'MPG Payment '!$E$3:$G$334579,3,0)</f>
        <v>MPG</v>
      </c>
      <c r="H785" s="124" t="str">
        <f>VLOOKUP(D785,'MPG Payment '!$E$3:$H$334579,4,0)</f>
        <v>Direct</v>
      </c>
      <c r="I785" s="88">
        <f>INDEX('MPG Payment '!$C:$C,MATCH('Shayak Income '!D785,'MPG Payment '!E:E,0))</f>
        <v>1061</v>
      </c>
      <c r="J785" s="88" t="str">
        <f>INDEX('MPG Payment '!$D:$D,MATCH('Shayak Income '!D785,'MPG Payment '!E:E,0))</f>
        <v>Mahua BMC</v>
      </c>
      <c r="K785" s="125" t="s">
        <v>1322</v>
      </c>
      <c r="L785" s="125">
        <v>46053</v>
      </c>
      <c r="M785" s="126">
        <f>SUMIF('MPG Payment '!$E$3:$E$34579,'Shayak Income '!D785,'MPG Payment '!$I$3:$I$34579)</f>
        <v>1837.6000000000001</v>
      </c>
      <c r="N785" s="126">
        <f>SUMIF('MPG Payment '!$E$3:$E$34579,'Shayak Income '!D785,'MPG Payment '!$J$3:$J$34579)</f>
        <v>77916.534707330793</v>
      </c>
      <c r="O785" s="126">
        <f t="shared" si="252"/>
        <v>1378.2</v>
      </c>
      <c r="P785" s="126">
        <f t="shared" si="253"/>
        <v>1745.72</v>
      </c>
      <c r="Q785" s="126">
        <f>SUMIF('MPG Payment '!$E$3:$E$34579,'Shayak Income '!D785,'MPG Payment '!$S$3:$S$34579)</f>
        <v>0</v>
      </c>
      <c r="R785" s="126">
        <f t="shared" si="242"/>
        <v>2337.4960412199239</v>
      </c>
      <c r="S785" s="126">
        <f t="shared" si="243"/>
        <v>591.77604121992385</v>
      </c>
      <c r="T785" s="126">
        <f t="shared" si="254"/>
        <v>183.76000000000002</v>
      </c>
      <c r="U785" s="127">
        <f>(((IF(K785="New",0,SUMIF('MPG Payment '!$E$3:$E$34579,'Shayak Income '!D785,'MPG Payment '!$AC$3:$AC$34579))))+0)+0</f>
        <v>831.62846492280812</v>
      </c>
      <c r="V785" s="127">
        <f t="shared" si="255"/>
        <v>2109</v>
      </c>
      <c r="W785" s="19">
        <f t="shared" si="261"/>
        <v>1861</v>
      </c>
      <c r="X785" s="19">
        <v>0</v>
      </c>
      <c r="Y785" s="128">
        <f>IFERROR(VLOOKUP(D785,'Monthly Deduction'!$M$2:$N$64,2,0),0)</f>
        <v>0</v>
      </c>
      <c r="Z785" s="128">
        <v>0</v>
      </c>
      <c r="AA785" s="126">
        <f>IFERROR(VLOOKUP(D785,'Monthly Deduction'!A:B,2,0),0)</f>
        <v>0</v>
      </c>
      <c r="AB785" s="129">
        <f t="shared" si="244"/>
        <v>248</v>
      </c>
      <c r="AC785" s="130">
        <v>0</v>
      </c>
      <c r="AD785" s="35">
        <f t="shared" si="257"/>
        <v>248</v>
      </c>
      <c r="AE785" s="166" t="str">
        <f t="shared" si="258"/>
        <v>Release</v>
      </c>
      <c r="AF785" s="127"/>
      <c r="AG785" s="18">
        <v>0</v>
      </c>
      <c r="AH785" s="120" t="s">
        <v>1650</v>
      </c>
      <c r="AI785" s="238">
        <v>10000</v>
      </c>
      <c r="AJ785" s="132" t="s">
        <v>68</v>
      </c>
      <c r="AK785" s="151">
        <v>623.9</v>
      </c>
      <c r="AL785" s="154">
        <f t="shared" si="259"/>
        <v>0</v>
      </c>
      <c r="AM785" s="155"/>
      <c r="AN785" s="19">
        <f t="shared" si="247"/>
        <v>1861</v>
      </c>
      <c r="AO785" s="118">
        <f>SUMIF('MPG Payment '!E:E,'Shayak Income '!D785,'MPG Payment '!AJ:AJ)</f>
        <v>0</v>
      </c>
      <c r="AP785" s="19">
        <f t="shared" si="248"/>
        <v>1861</v>
      </c>
      <c r="AQ785" s="119">
        <f t="shared" si="260"/>
        <v>1861</v>
      </c>
      <c r="AR785" s="91" t="s">
        <v>1168</v>
      </c>
      <c r="AS785" s="91">
        <f t="shared" si="250"/>
        <v>0</v>
      </c>
      <c r="AT785" s="118"/>
      <c r="AU785" s="118"/>
      <c r="AV785" s="118"/>
    </row>
    <row r="786" spans="1:48" s="20" customFormat="1" x14ac:dyDescent="0.25">
      <c r="A786" s="17">
        <f>IFERROR(VLOOKUP(D786,'Monthly Deduction'!$I$3:$J$957,2,0),0)</f>
        <v>75000</v>
      </c>
      <c r="B786" s="17">
        <f>IFERROR(VLOOKUP(D786,'Monthly Deduction'!$E$3:$F$957,2,0),0)</f>
        <v>0</v>
      </c>
      <c r="C786" s="17">
        <f t="shared" si="251"/>
        <v>75000</v>
      </c>
      <c r="D786" s="41">
        <v>10060130</v>
      </c>
      <c r="E786" s="122" t="str">
        <f>VLOOKUP(D786,'MPG Payment '!$E$3:$G$498218,2,0)</f>
        <v>MASUDAN</v>
      </c>
      <c r="F786" s="146">
        <f>IFERROR(_xlfn.XLOOKUP(D786,'Monthly Deduction'!$I$3:$I$957,'Monthly Deduction'!$H$3:$H$957),0)</f>
        <v>0</v>
      </c>
      <c r="G786" s="123" t="str">
        <f>VLOOKUP(D786,'MPG Payment '!$E$3:$G$334579,3,0)</f>
        <v>MPG</v>
      </c>
      <c r="H786" s="124" t="str">
        <f>VLOOKUP(D786,'MPG Payment '!$E$3:$H$334579,4,0)</f>
        <v>Direct</v>
      </c>
      <c r="I786" s="88">
        <f>INDEX('MPG Payment '!$C:$C,MATCH('Shayak Income '!D786,'MPG Payment '!E:E,0))</f>
        <v>1006</v>
      </c>
      <c r="J786" s="88" t="str">
        <f>INDEX('MPG Payment '!$D:$D,MATCH('Shayak Income '!D786,'MPG Payment '!E:E,0))</f>
        <v>Sonvarsha</v>
      </c>
      <c r="K786" s="125" t="s">
        <v>1322</v>
      </c>
      <c r="L786" s="125">
        <v>46064</v>
      </c>
      <c r="M786" s="126">
        <f>SUMIF('MPG Payment '!$E$3:$E$34579,'Shayak Income '!D786,'MPG Payment '!$I$3:$I$34579)</f>
        <v>2802</v>
      </c>
      <c r="N786" s="126">
        <f>SUMIF('MPG Payment '!$E$3:$E$34579,'Shayak Income '!D786,'MPG Payment '!$J$3:$J$34579)</f>
        <v>110596.95987573999</v>
      </c>
      <c r="O786" s="126">
        <f t="shared" si="252"/>
        <v>2101.5</v>
      </c>
      <c r="P786" s="126">
        <f t="shared" si="253"/>
        <v>2661.9</v>
      </c>
      <c r="Q786" s="126">
        <f>SUMIF('MPG Payment '!$E$3:$E$34579,'Shayak Income '!D786,'MPG Payment '!$S$3:$S$34579)</f>
        <v>16.83178002</v>
      </c>
      <c r="R786" s="126">
        <f t="shared" si="242"/>
        <v>3317.9087962721997</v>
      </c>
      <c r="S786" s="126">
        <f t="shared" si="243"/>
        <v>656.00879627219956</v>
      </c>
      <c r="T786" s="126">
        <f t="shared" si="254"/>
        <v>280.2</v>
      </c>
      <c r="U786" s="127">
        <f>(((IF(K786="New",0,SUMIF('MPG Payment '!$E$3:$E$34579,'Shayak Income '!D786,'MPG Payment '!$AC$3:$AC$34579))))+0)+0</f>
        <v>233.26530206805066</v>
      </c>
      <c r="V786" s="127">
        <f t="shared" si="255"/>
        <v>4267</v>
      </c>
      <c r="W786" s="19">
        <f t="shared" si="261"/>
        <v>2211.9391975148001</v>
      </c>
      <c r="X786" s="19">
        <v>0</v>
      </c>
      <c r="Y786" s="128">
        <f>IFERROR(VLOOKUP(D786,'Monthly Deduction'!$M$2:$N$64,2,0),0)</f>
        <v>0</v>
      </c>
      <c r="Z786" s="128">
        <v>0</v>
      </c>
      <c r="AA786" s="126">
        <f>IFERROR(VLOOKUP(D786,'Monthly Deduction'!A:B,2,0),0)</f>
        <v>0</v>
      </c>
      <c r="AB786" s="129">
        <f t="shared" si="244"/>
        <v>2055</v>
      </c>
      <c r="AC786" s="130">
        <f t="shared" si="262"/>
        <v>2055</v>
      </c>
      <c r="AD786" s="35">
        <f t="shared" si="257"/>
        <v>0</v>
      </c>
      <c r="AE786" s="166" t="str">
        <f t="shared" si="258"/>
        <v>Yes</v>
      </c>
      <c r="AF786" s="127"/>
      <c r="AG786" s="18">
        <v>0</v>
      </c>
      <c r="AH786" s="120" t="s">
        <v>1646</v>
      </c>
      <c r="AI786" s="238">
        <v>10000</v>
      </c>
      <c r="AJ786" s="132"/>
      <c r="AK786" s="151">
        <v>967.30000000000007</v>
      </c>
      <c r="AL786" s="154">
        <f t="shared" si="259"/>
        <v>0</v>
      </c>
      <c r="AM786" s="155"/>
      <c r="AN786" s="19">
        <f t="shared" si="247"/>
        <v>2211.9391975148001</v>
      </c>
      <c r="AO786" s="118">
        <f>SUMIF('MPG Payment '!E:E,'Shayak Income '!D786,'MPG Payment '!AJ:AJ)</f>
        <v>0</v>
      </c>
      <c r="AP786" s="19">
        <f t="shared" si="248"/>
        <v>2211.9391975148001</v>
      </c>
      <c r="AQ786" s="119">
        <f t="shared" si="260"/>
        <v>2211.9391975148001</v>
      </c>
      <c r="AR786" s="91" t="s">
        <v>1168</v>
      </c>
      <c r="AS786" s="91">
        <f t="shared" si="250"/>
        <v>0</v>
      </c>
      <c r="AT786" s="118"/>
      <c r="AU786" s="118"/>
      <c r="AV786" s="118"/>
    </row>
    <row r="787" spans="1:48" s="20" customFormat="1" x14ac:dyDescent="0.25">
      <c r="A787" s="17">
        <f>IFERROR(VLOOKUP(D787,'Monthly Deduction'!$I$3:$J$957,2,0),0)</f>
        <v>0</v>
      </c>
      <c r="B787" s="17">
        <f>IFERROR(VLOOKUP(D787,'Monthly Deduction'!$E$3:$F$957,2,0),0)</f>
        <v>0</v>
      </c>
      <c r="C787" s="17">
        <f t="shared" si="251"/>
        <v>0</v>
      </c>
      <c r="D787" s="41">
        <v>10100065</v>
      </c>
      <c r="E787" s="122" t="str">
        <f>VLOOKUP(D787,'MPG Payment '!$E$3:$G$498218,2,0)</f>
        <v>Gomukh Kabela Vlc</v>
      </c>
      <c r="F787" s="146">
        <f>IFERROR(_xlfn.XLOOKUP(D787,'Monthly Deduction'!$I$3:$I$957,'Monthly Deduction'!$H$3:$H$957),0)</f>
        <v>0</v>
      </c>
      <c r="G787" s="123" t="str">
        <f>VLOOKUP(D787,'MPG Payment '!$E$3:$G$334579,3,0)</f>
        <v>vlc</v>
      </c>
      <c r="H787" s="124" t="str">
        <f>VLOOKUP(D787,'MPG Payment '!$E$3:$H$334579,4,0)</f>
        <v>Indirect</v>
      </c>
      <c r="I787" s="88">
        <f>INDEX('MPG Payment '!$C:$C,MATCH('Shayak Income '!D787,'MPG Payment '!E:E,0))</f>
        <v>1010</v>
      </c>
      <c r="J787" s="88" t="str">
        <f>INDEX('MPG Payment '!$D:$D,MATCH('Shayak Income '!D787,'MPG Payment '!E:E,0))</f>
        <v>Parbatta</v>
      </c>
      <c r="K787" s="125" t="s">
        <v>1322</v>
      </c>
      <c r="L787" s="125">
        <v>46063</v>
      </c>
      <c r="M787" s="126">
        <f>SUMIF('MPG Payment '!$E$3:$E$34579,'Shayak Income '!D787,'MPG Payment '!$I$3:$I$34579)</f>
        <v>3802.6</v>
      </c>
      <c r="N787" s="126">
        <f>SUMIF('MPG Payment '!$E$3:$E$34579,'Shayak Income '!D787,'MPG Payment '!$J$3:$J$34579)</f>
        <v>131101.25060816098</v>
      </c>
      <c r="O787" s="126">
        <f t="shared" si="252"/>
        <v>2851.95</v>
      </c>
      <c r="P787" s="126">
        <f t="shared" si="253"/>
        <v>3612.47</v>
      </c>
      <c r="Q787" s="126">
        <f>SUMIF('MPG Payment '!$E$3:$E$34579,'Shayak Income '!D787,'MPG Payment '!$S$3:$S$34579)</f>
        <v>0</v>
      </c>
      <c r="R787" s="126">
        <f t="shared" si="242"/>
        <v>3933.0375182448292</v>
      </c>
      <c r="S787" s="126">
        <f t="shared" si="243"/>
        <v>320.56751824482944</v>
      </c>
      <c r="T787" s="126">
        <f t="shared" si="254"/>
        <v>380.26</v>
      </c>
      <c r="U787" s="127">
        <f>(((IF(K787="New",0,SUMIF('MPG Payment '!$E$3:$E$34579,'Shayak Income '!D787,'MPG Payment '!$AC$3:$AC$34579))))+0)+0</f>
        <v>0</v>
      </c>
      <c r="V787" s="127">
        <f t="shared" si="255"/>
        <v>6084</v>
      </c>
      <c r="W787" s="19">
        <f t="shared" si="261"/>
        <v>0</v>
      </c>
      <c r="X787" s="19">
        <f t="shared" ref="X787:X833" si="263">((MIN(IF(B787&gt;0,MAX(N787*2%),0),B787)))+0</f>
        <v>0</v>
      </c>
      <c r="Y787" s="128">
        <f>IFERROR(VLOOKUP(D787,'Monthly Deduction'!$M$2:$N$64,2,0),0)</f>
        <v>0</v>
      </c>
      <c r="Z787" s="128">
        <v>0</v>
      </c>
      <c r="AA787" s="126">
        <f>IFERROR(VLOOKUP(D787,'Monthly Deduction'!A:B,2,0),0)</f>
        <v>0</v>
      </c>
      <c r="AB787" s="129">
        <f t="shared" si="244"/>
        <v>6084</v>
      </c>
      <c r="AC787" s="130">
        <v>0</v>
      </c>
      <c r="AD787" s="35">
        <f t="shared" si="257"/>
        <v>6084</v>
      </c>
      <c r="AE787" s="166" t="str">
        <f t="shared" si="258"/>
        <v>Release</v>
      </c>
      <c r="AF787" s="127"/>
      <c r="AG787" s="18">
        <v>0</v>
      </c>
      <c r="AH787" s="120"/>
      <c r="AI787" s="238">
        <v>0</v>
      </c>
      <c r="AJ787" s="132"/>
      <c r="AK787" s="151">
        <v>1064.9000000000001</v>
      </c>
      <c r="AL787" s="154">
        <f t="shared" si="259"/>
        <v>0</v>
      </c>
      <c r="AM787" s="155"/>
      <c r="AN787" s="19">
        <f t="shared" si="247"/>
        <v>0</v>
      </c>
      <c r="AO787" s="118">
        <f>SUMIF('MPG Payment '!E:E,'Shayak Income '!D787,'MPG Payment '!AJ:AJ)</f>
        <v>0</v>
      </c>
      <c r="AP787" s="19">
        <f t="shared" si="248"/>
        <v>0</v>
      </c>
      <c r="AQ787" s="119">
        <f t="shared" si="260"/>
        <v>0</v>
      </c>
      <c r="AR787" s="91" t="s">
        <v>1168</v>
      </c>
      <c r="AS787" s="91">
        <f t="shared" si="250"/>
        <v>0</v>
      </c>
      <c r="AT787" s="118"/>
      <c r="AU787" s="118"/>
      <c r="AV787" s="118"/>
    </row>
    <row r="788" spans="1:48" s="20" customFormat="1" x14ac:dyDescent="0.25">
      <c r="A788" s="17">
        <f>IFERROR(VLOOKUP(D788,'Monthly Deduction'!$I$3:$J$957,2,0),0)</f>
        <v>0</v>
      </c>
      <c r="B788" s="17">
        <f>IFERROR(VLOOKUP(D788,'Monthly Deduction'!$E$3:$F$957,2,0),0)</f>
        <v>0</v>
      </c>
      <c r="C788" s="17">
        <f t="shared" si="251"/>
        <v>0</v>
      </c>
      <c r="D788" s="41">
        <v>10140203</v>
      </c>
      <c r="E788" s="122" t="str">
        <f>VLOOKUP(D788,'MPG Payment '!$E$3:$G$498218,2,0)</f>
        <v>Sohan Narayan Farmer Dairy Producer Company Ltd</v>
      </c>
      <c r="F788" s="146">
        <f>IFERROR(_xlfn.XLOOKUP(D788,'Monthly Deduction'!$I$3:$I$957,'Monthly Deduction'!$H$3:$H$957),0)</f>
        <v>0</v>
      </c>
      <c r="G788" s="123" t="str">
        <f>VLOOKUP(D788,'MPG Payment '!$E$3:$G$334579,3,0)</f>
        <v>vlc</v>
      </c>
      <c r="H788" s="124" t="str">
        <f>VLOOKUP(D788,'MPG Payment '!$E$3:$H$334579,4,0)</f>
        <v>Indirect</v>
      </c>
      <c r="I788" s="88">
        <f>INDEX('MPG Payment '!$C:$C,MATCH('Shayak Income '!D788,'MPG Payment '!E:E,0))</f>
        <v>1014</v>
      </c>
      <c r="J788" s="88" t="str">
        <f>INDEX('MPG Payment '!$D:$D,MATCH('Shayak Income '!D788,'MPG Payment '!E:E,0))</f>
        <v>Dumraon</v>
      </c>
      <c r="K788" s="125" t="s">
        <v>1322</v>
      </c>
      <c r="L788" s="125">
        <v>46065</v>
      </c>
      <c r="M788" s="126">
        <f>SUMIF('MPG Payment '!$E$3:$E$34579,'Shayak Income '!D788,'MPG Payment '!$I$3:$I$34579)</f>
        <v>8482.2000000000007</v>
      </c>
      <c r="N788" s="126">
        <f>SUMIF('MPG Payment '!$E$3:$E$34579,'Shayak Income '!D788,'MPG Payment '!$J$3:$J$34579)</f>
        <v>309423.26124205999</v>
      </c>
      <c r="O788" s="126">
        <f t="shared" si="252"/>
        <v>6361.6500000000005</v>
      </c>
      <c r="P788" s="126">
        <f t="shared" si="253"/>
        <v>8058.09</v>
      </c>
      <c r="Q788" s="126">
        <f>SUMIF('MPG Payment '!$E$3:$E$34579,'Shayak Income '!D788,'MPG Payment '!$S$3:$S$34579)</f>
        <v>0</v>
      </c>
      <c r="R788" s="126">
        <f t="shared" si="242"/>
        <v>9282.6978372617996</v>
      </c>
      <c r="S788" s="126">
        <f t="shared" si="243"/>
        <v>1224.6078372617994</v>
      </c>
      <c r="T788" s="126">
        <f t="shared" si="254"/>
        <v>848.22000000000014</v>
      </c>
      <c r="U788" s="127">
        <f>(((IF(K788="New",0,SUMIF('MPG Payment '!$E$3:$E$34579,'Shayak Income '!D788,'MPG Payment '!$AC$3:$AC$34579))))+0)+0</f>
        <v>0</v>
      </c>
      <c r="V788" s="127">
        <f t="shared" si="255"/>
        <v>13572</v>
      </c>
      <c r="W788" s="19">
        <f t="shared" si="261"/>
        <v>0</v>
      </c>
      <c r="X788" s="19">
        <f t="shared" si="263"/>
        <v>0</v>
      </c>
      <c r="Y788" s="128">
        <f>IFERROR(VLOOKUP(D788,'Monthly Deduction'!$M$2:$N$64,2,0),0)</f>
        <v>0</v>
      </c>
      <c r="Z788" s="128">
        <v>0</v>
      </c>
      <c r="AA788" s="126">
        <f>IFERROR(VLOOKUP(D788,'Monthly Deduction'!A:B,2,0),0)</f>
        <v>0</v>
      </c>
      <c r="AB788" s="129">
        <f t="shared" si="244"/>
        <v>13572</v>
      </c>
      <c r="AC788" s="130">
        <v>0</v>
      </c>
      <c r="AD788" s="35">
        <f t="shared" si="257"/>
        <v>13572</v>
      </c>
      <c r="AE788" s="166" t="str">
        <f t="shared" si="258"/>
        <v>Release</v>
      </c>
      <c r="AF788" s="127"/>
      <c r="AG788" s="18">
        <v>0</v>
      </c>
      <c r="AH788" s="132"/>
      <c r="AI788" s="238">
        <v>0</v>
      </c>
      <c r="AJ788" s="132"/>
      <c r="AK788" s="151">
        <v>3138.5</v>
      </c>
      <c r="AL788" s="154">
        <f t="shared" si="259"/>
        <v>0</v>
      </c>
      <c r="AM788" s="155"/>
      <c r="AN788" s="19">
        <f t="shared" si="247"/>
        <v>0</v>
      </c>
      <c r="AO788" s="118">
        <f>SUMIF('MPG Payment '!E:E,'Shayak Income '!D788,'MPG Payment '!AJ:AJ)</f>
        <v>0</v>
      </c>
      <c r="AP788" s="19">
        <f t="shared" si="248"/>
        <v>0</v>
      </c>
      <c r="AQ788" s="119">
        <f t="shared" si="260"/>
        <v>0</v>
      </c>
      <c r="AR788" s="91" t="s">
        <v>1168</v>
      </c>
      <c r="AS788" s="91">
        <f t="shared" si="250"/>
        <v>0</v>
      </c>
      <c r="AT788" s="118"/>
      <c r="AU788" s="118"/>
      <c r="AV788" s="118"/>
    </row>
    <row r="789" spans="1:48" s="20" customFormat="1" x14ac:dyDescent="0.25">
      <c r="A789" s="17">
        <f>IFERROR(VLOOKUP(D789,'Monthly Deduction'!$I$3:$J$957,2,0),0)</f>
        <v>65000</v>
      </c>
      <c r="B789" s="17">
        <f>IFERROR(VLOOKUP(D789,'Monthly Deduction'!$E$3:$F$957,2,0),0)</f>
        <v>0</v>
      </c>
      <c r="C789" s="17">
        <f t="shared" si="251"/>
        <v>65000</v>
      </c>
      <c r="D789" s="41">
        <v>10530105</v>
      </c>
      <c r="E789" s="122" t="str">
        <f>VLOOKUP(D789,'MPG Payment '!$E$3:$G$498218,2,0)</f>
        <v>GOMUKH Gopalpur Ward 1</v>
      </c>
      <c r="F789" s="146">
        <f>IFERROR(_xlfn.XLOOKUP(D789,'Monthly Deduction'!$I$3:$I$957,'Monthly Deduction'!$H$3:$H$957),0)</f>
        <v>0</v>
      </c>
      <c r="G789" s="123" t="str">
        <f>VLOOKUP(D789,'MPG Payment '!$E$3:$G$334579,3,0)</f>
        <v>MPG</v>
      </c>
      <c r="H789" s="124" t="str">
        <f>VLOOKUP(D789,'MPG Payment '!$E$3:$H$334579,4,0)</f>
        <v>Direct</v>
      </c>
      <c r="I789" s="88">
        <f>INDEX('MPG Payment '!$C:$C,MATCH('Shayak Income '!D789,'MPG Payment '!E:E,0))</f>
        <v>1053</v>
      </c>
      <c r="J789" s="88" t="str">
        <f>INDEX('MPG Payment '!$D:$D,MATCH('Shayak Income '!D789,'MPG Payment '!E:E,0))</f>
        <v>Kalyanpur</v>
      </c>
      <c r="K789" s="125" t="s">
        <v>1322</v>
      </c>
      <c r="L789" s="125">
        <v>46064</v>
      </c>
      <c r="M789" s="126">
        <f>SUMIF('MPG Payment '!$E$3:$E$34579,'Shayak Income '!D789,'MPG Payment '!$I$3:$I$34579)</f>
        <v>601.65000000000009</v>
      </c>
      <c r="N789" s="126">
        <f>SUMIF('MPG Payment '!$E$3:$E$34579,'Shayak Income '!D789,'MPG Payment '!$J$3:$J$34579)</f>
        <v>23287.347138179</v>
      </c>
      <c r="O789" s="126">
        <f t="shared" si="252"/>
        <v>451.23750000000007</v>
      </c>
      <c r="P789" s="126">
        <f t="shared" si="253"/>
        <v>571.56750000000011</v>
      </c>
      <c r="Q789" s="126">
        <f>SUMIF('MPG Payment '!$E$3:$E$34579,'Shayak Income '!D789,'MPG Payment '!$S$3:$S$34579)</f>
        <v>185.08993629180003</v>
      </c>
      <c r="R789" s="126">
        <f t="shared" si="242"/>
        <v>698.62041414536998</v>
      </c>
      <c r="S789" s="126">
        <f t="shared" si="243"/>
        <v>127.05291414536987</v>
      </c>
      <c r="T789" s="126">
        <f t="shared" si="254"/>
        <v>60.165000000000013</v>
      </c>
      <c r="U789" s="127">
        <f>(((IF(K789="New",0,SUMIF('MPG Payment '!$E$3:$E$34579,'Shayak Income '!D789,'MPG Payment '!$AC$3:$AC$34579))))+0)+-553</f>
        <v>1147.6274850539789</v>
      </c>
      <c r="V789" s="127">
        <f t="shared" si="255"/>
        <v>0</v>
      </c>
      <c r="W789" s="19">
        <v>0</v>
      </c>
      <c r="X789" s="19">
        <v>0</v>
      </c>
      <c r="Y789" s="128">
        <f>IFERROR(VLOOKUP(D789,'Monthly Deduction'!$M$2:$N$64,2,0),0)</f>
        <v>0</v>
      </c>
      <c r="Z789" s="128">
        <v>0</v>
      </c>
      <c r="AA789" s="126">
        <f>IFERROR(VLOOKUP(D789,'Monthly Deduction'!A:B,2,0),0)</f>
        <v>0</v>
      </c>
      <c r="AB789" s="129">
        <f t="shared" si="244"/>
        <v>0</v>
      </c>
      <c r="AC789" s="130">
        <v>0</v>
      </c>
      <c r="AD789" s="35">
        <f t="shared" si="257"/>
        <v>0</v>
      </c>
      <c r="AE789" s="166" t="str">
        <f t="shared" si="258"/>
        <v>Release</v>
      </c>
      <c r="AF789" s="127"/>
      <c r="AG789" s="18">
        <v>0</v>
      </c>
      <c r="AH789" s="120"/>
      <c r="AI789" s="238">
        <v>0</v>
      </c>
      <c r="AJ789" s="132"/>
      <c r="AK789" s="151">
        <v>137.45000000000002</v>
      </c>
      <c r="AL789" s="154">
        <f t="shared" si="259"/>
        <v>0</v>
      </c>
      <c r="AM789" s="155"/>
      <c r="AN789" s="19">
        <f t="shared" si="247"/>
        <v>1861</v>
      </c>
      <c r="AO789" s="118">
        <f>SUMIF('MPG Payment '!E:E,'Shayak Income '!D789,'MPG Payment '!AJ:AJ)</f>
        <v>0</v>
      </c>
      <c r="AP789" s="19">
        <f t="shared" si="248"/>
        <v>0</v>
      </c>
      <c r="AQ789" s="119">
        <f t="shared" si="260"/>
        <v>0</v>
      </c>
      <c r="AR789" s="91" t="s">
        <v>1168</v>
      </c>
      <c r="AS789" s="91">
        <f t="shared" si="250"/>
        <v>0</v>
      </c>
      <c r="AT789" s="118"/>
      <c r="AU789" s="118"/>
      <c r="AV789" s="118"/>
    </row>
    <row r="790" spans="1:48" s="20" customFormat="1" x14ac:dyDescent="0.25">
      <c r="A790" s="17">
        <f>IFERROR(VLOOKUP(D790,'Monthly Deduction'!$I$3:$J$957,2,0),0)</f>
        <v>65000</v>
      </c>
      <c r="B790" s="17">
        <f>IFERROR(VLOOKUP(D790,'Monthly Deduction'!$E$3:$F$957,2,0),0)</f>
        <v>0</v>
      </c>
      <c r="C790" s="17">
        <f t="shared" si="251"/>
        <v>65000</v>
      </c>
      <c r="D790" s="41">
        <v>10560027</v>
      </c>
      <c r="E790" s="122" t="str">
        <f>VLOOKUP(D790,'MPG Payment '!$E$3:$G$498218,2,0)</f>
        <v>Gomukh Purani Hrdia</v>
      </c>
      <c r="F790" s="146">
        <f>IFERROR(_xlfn.XLOOKUP(D790,'Monthly Deduction'!$I$3:$I$957,'Monthly Deduction'!$H$3:$H$957),0)</f>
        <v>0</v>
      </c>
      <c r="G790" s="123" t="str">
        <f>VLOOKUP(D790,'MPG Payment '!$E$3:$G$334579,3,0)</f>
        <v>MPG</v>
      </c>
      <c r="H790" s="124" t="str">
        <f>VLOOKUP(D790,'MPG Payment '!$E$3:$H$334579,4,0)</f>
        <v>Direct</v>
      </c>
      <c r="I790" s="88">
        <f>INDEX('MPG Payment '!$C:$C,MATCH('Shayak Income '!D790,'MPG Payment '!E:E,0))</f>
        <v>1056</v>
      </c>
      <c r="J790" s="88" t="str">
        <f>INDEX('MPG Payment '!$D:$D,MATCH('Shayak Income '!D790,'MPG Payment '!E:E,0))</f>
        <v>Chautham</v>
      </c>
      <c r="K790" s="125" t="s">
        <v>1322</v>
      </c>
      <c r="L790" s="125">
        <v>46065</v>
      </c>
      <c r="M790" s="126">
        <f>SUMIF('MPG Payment '!$E$3:$E$34579,'Shayak Income '!D790,'MPG Payment '!$I$3:$I$34579)</f>
        <v>659.52</v>
      </c>
      <c r="N790" s="126">
        <f>SUMIF('MPG Payment '!$E$3:$E$34579,'Shayak Income '!D790,'MPG Payment '!$J$3:$J$34579)</f>
        <v>25437.8</v>
      </c>
      <c r="O790" s="126">
        <f t="shared" si="252"/>
        <v>494.64</v>
      </c>
      <c r="P790" s="126">
        <f t="shared" si="253"/>
        <v>626.54399999999998</v>
      </c>
      <c r="Q790" s="126">
        <f>SUMIF('MPG Payment '!$E$3:$E$34579,'Shayak Income '!D790,'MPG Payment '!$S$3:$S$34579)</f>
        <v>0</v>
      </c>
      <c r="R790" s="126">
        <f t="shared" si="242"/>
        <v>763.1339999999999</v>
      </c>
      <c r="S790" s="126">
        <f t="shared" si="243"/>
        <v>136.58999999999992</v>
      </c>
      <c r="T790" s="126">
        <f t="shared" si="254"/>
        <v>65.951999999999998</v>
      </c>
      <c r="U790" s="127">
        <f>(((IF(K790="New",0,SUMIF('MPG Payment '!$E$3:$E$34579,'Shayak Income '!D790,'MPG Payment '!$AC$3:$AC$34579))))+0)+-55</f>
        <v>1055.1500807530424</v>
      </c>
      <c r="V790" s="127">
        <f t="shared" si="255"/>
        <v>0</v>
      </c>
      <c r="W790" s="19">
        <v>0</v>
      </c>
      <c r="X790" s="19">
        <v>0</v>
      </c>
      <c r="Y790" s="128">
        <f>IFERROR(VLOOKUP(D790,'Monthly Deduction'!$M$2:$N$64,2,0),0)</f>
        <v>0</v>
      </c>
      <c r="Z790" s="128">
        <v>0</v>
      </c>
      <c r="AA790" s="126">
        <f>IFERROR(VLOOKUP(D790,'Monthly Deduction'!A:B,2,0),0)</f>
        <v>0</v>
      </c>
      <c r="AB790" s="129">
        <f t="shared" si="244"/>
        <v>0</v>
      </c>
      <c r="AC790" s="130">
        <f t="shared" ref="AC790:AC791" si="264">AB790</f>
        <v>0</v>
      </c>
      <c r="AD790" s="35">
        <f t="shared" si="257"/>
        <v>0</v>
      </c>
      <c r="AE790" s="166" t="str">
        <f t="shared" si="258"/>
        <v>Release</v>
      </c>
      <c r="AF790" s="127"/>
      <c r="AG790" s="18">
        <v>0</v>
      </c>
      <c r="AH790" s="132" t="s">
        <v>1648</v>
      </c>
      <c r="AI790" s="238">
        <v>0</v>
      </c>
      <c r="AJ790" s="132"/>
      <c r="AK790" s="151">
        <v>0</v>
      </c>
      <c r="AL790" s="154">
        <f t="shared" si="259"/>
        <v>0</v>
      </c>
      <c r="AM790" s="155"/>
      <c r="AN790" s="19">
        <f t="shared" si="247"/>
        <v>1861</v>
      </c>
      <c r="AO790" s="118">
        <f>SUMIF('MPG Payment '!E:E,'Shayak Income '!D790,'MPG Payment '!AJ:AJ)</f>
        <v>0</v>
      </c>
      <c r="AP790" s="19">
        <f t="shared" si="248"/>
        <v>0</v>
      </c>
      <c r="AQ790" s="119">
        <f t="shared" si="260"/>
        <v>0</v>
      </c>
      <c r="AR790" s="91" t="s">
        <v>1168</v>
      </c>
      <c r="AS790" s="91">
        <f t="shared" si="250"/>
        <v>0</v>
      </c>
      <c r="AT790" s="118"/>
      <c r="AU790" s="118"/>
      <c r="AV790" s="118"/>
    </row>
    <row r="791" spans="1:48" s="20" customFormat="1" x14ac:dyDescent="0.25">
      <c r="A791" s="17">
        <f>IFERROR(VLOOKUP(D791,'Monthly Deduction'!$I$3:$J$957,2,0),0)</f>
        <v>75000</v>
      </c>
      <c r="B791" s="17">
        <f>IFERROR(VLOOKUP(D791,'Monthly Deduction'!$E$3:$F$957,2,0),0)</f>
        <v>0</v>
      </c>
      <c r="C791" s="17">
        <f t="shared" si="236"/>
        <v>75000</v>
      </c>
      <c r="D791" s="41">
        <v>10600005</v>
      </c>
      <c r="E791" s="122" t="str">
        <f>VLOOKUP(D791,'MPG Payment '!$E$3:$G$498218,2,0)</f>
        <v>Gomukh Barja</v>
      </c>
      <c r="F791" s="146">
        <f>IFERROR(_xlfn.XLOOKUP(D791,'Monthly Deduction'!$I$3:$I$957,'Monthly Deduction'!$H$3:$H$957),0)</f>
        <v>0</v>
      </c>
      <c r="G791" s="123" t="str">
        <f>VLOOKUP(D791,'MPG Payment '!$E$3:$G$334579,3,0)</f>
        <v>MPG</v>
      </c>
      <c r="H791" s="124" t="str">
        <f>VLOOKUP(D791,'MPG Payment '!$E$3:$H$334579,4,0)</f>
        <v>Direct</v>
      </c>
      <c r="I791" s="88">
        <f>INDEX('MPG Payment '!$C:$C,MATCH('Shayak Income '!D791,'MPG Payment '!E:E,0))</f>
        <v>1014</v>
      </c>
      <c r="J791" s="88" t="str">
        <f>INDEX('MPG Payment '!$D:$D,MATCH('Shayak Income '!D791,'MPG Payment '!E:E,0))</f>
        <v>Dumraon</v>
      </c>
      <c r="K791" s="125" t="s">
        <v>1322</v>
      </c>
      <c r="L791" s="125">
        <v>46065</v>
      </c>
      <c r="M791" s="126">
        <f>SUMIF('MPG Payment '!$E$3:$E$34579,'Shayak Income '!D791,'MPG Payment '!$I$3:$I$34579)</f>
        <v>855</v>
      </c>
      <c r="N791" s="126">
        <f>SUMIF('MPG Payment '!$E$3:$E$34579,'Shayak Income '!D791,'MPG Payment '!$J$3:$J$34579)</f>
        <v>31695.644504560001</v>
      </c>
      <c r="O791" s="126">
        <f t="shared" si="252"/>
        <v>641.25</v>
      </c>
      <c r="P791" s="126">
        <f t="shared" si="253"/>
        <v>812.25</v>
      </c>
      <c r="Q791" s="126">
        <f>SUMIF('MPG Payment '!$E$3:$E$34579,'Shayak Income '!D791,'MPG Payment '!$S$3:$S$34579)</f>
        <v>1281.4393249584002</v>
      </c>
      <c r="R791" s="126">
        <f t="shared" si="242"/>
        <v>950.86933513680003</v>
      </c>
      <c r="S791" s="126">
        <f t="shared" si="243"/>
        <v>138.61933513680003</v>
      </c>
      <c r="T791" s="126">
        <f t="shared" si="254"/>
        <v>85.5</v>
      </c>
      <c r="U791" s="127">
        <f>(((IF(K791="New",0,SUMIF('MPG Payment '!$E$3:$E$34579,'Shayak Income '!D791,'MPG Payment '!$AC$3:$AC$34579))))+0)+0</f>
        <v>1452.3966361022588</v>
      </c>
      <c r="V791" s="127">
        <f t="shared" si="255"/>
        <v>1197</v>
      </c>
      <c r="W791" s="19">
        <v>1197</v>
      </c>
      <c r="X791" s="19">
        <v>0</v>
      </c>
      <c r="Y791" s="128">
        <f>IFERROR(VLOOKUP(D791,'Monthly Deduction'!$M$2:$N$64,2,0),0)</f>
        <v>0</v>
      </c>
      <c r="Z791" s="128">
        <v>0</v>
      </c>
      <c r="AA791" s="126">
        <v>0</v>
      </c>
      <c r="AB791" s="129">
        <f t="shared" si="244"/>
        <v>0</v>
      </c>
      <c r="AC791" s="130">
        <f t="shared" si="264"/>
        <v>0</v>
      </c>
      <c r="AD791" s="35">
        <f t="shared" si="237"/>
        <v>0</v>
      </c>
      <c r="AE791" s="166" t="str">
        <f t="shared" si="258"/>
        <v>Release</v>
      </c>
      <c r="AF791" s="127"/>
      <c r="AG791" s="18">
        <v>0</v>
      </c>
      <c r="AH791" s="120" t="s">
        <v>1646</v>
      </c>
      <c r="AI791" s="238">
        <v>10000</v>
      </c>
      <c r="AJ791" s="132"/>
      <c r="AK791" s="151">
        <v>105.7</v>
      </c>
      <c r="AL791" s="154">
        <f t="shared" si="238"/>
        <v>0</v>
      </c>
      <c r="AM791" s="155"/>
      <c r="AN791" s="19">
        <f t="shared" si="247"/>
        <v>1861</v>
      </c>
      <c r="AO791" s="118">
        <f>SUMIF('MPG Payment '!E:E,'Shayak Income '!D791,'MPG Payment '!AJ:AJ)</f>
        <v>0</v>
      </c>
      <c r="AP791" s="19">
        <f t="shared" si="248"/>
        <v>1197</v>
      </c>
      <c r="AQ791" s="119">
        <f t="shared" si="239"/>
        <v>1197</v>
      </c>
      <c r="AR791" s="91" t="s">
        <v>1168</v>
      </c>
      <c r="AS791" s="91">
        <f t="shared" si="250"/>
        <v>0</v>
      </c>
      <c r="AT791" s="118"/>
      <c r="AU791" s="118"/>
      <c r="AV791" s="118"/>
    </row>
    <row r="792" spans="1:48" s="20" customFormat="1" x14ac:dyDescent="0.25">
      <c r="A792" s="17">
        <f>IFERROR(VLOOKUP(D792,'Monthly Deduction'!$I$3:$J$957,2,0),0)</f>
        <v>49439.326399999998</v>
      </c>
      <c r="B792" s="17">
        <f>IFERROR(VLOOKUP(D792,'Monthly Deduction'!$E$3:$F$957,2,0),0)</f>
        <v>6400</v>
      </c>
      <c r="C792" s="17">
        <f t="shared" si="236"/>
        <v>55839.326399999998</v>
      </c>
      <c r="D792" s="41">
        <v>10020027</v>
      </c>
      <c r="E792" s="122" t="str">
        <f>VLOOKUP(D792,'MPG Payment '!$E$3:$G$498218,2,0)</f>
        <v>Gomukh Repura</v>
      </c>
      <c r="F792" s="146">
        <f>IFERROR(_xlfn.XLOOKUP(D792,'Monthly Deduction'!$I$3:$I$957,'Monthly Deduction'!$H$3:$H$957),0)</f>
        <v>0</v>
      </c>
      <c r="G792" s="123" t="str">
        <f>VLOOKUP(D792,'MPG Payment '!$E$3:$G$334579,3,0)</f>
        <v>MPG</v>
      </c>
      <c r="H792" s="124" t="str">
        <f>VLOOKUP(D792,'MPG Payment '!$E$3:$H$334579,4,0)</f>
        <v>Direct</v>
      </c>
      <c r="I792" s="88">
        <f>INDEX('MPG Payment '!$C:$C,MATCH('Shayak Income '!D792,'MPG Payment '!E:E,0))</f>
        <v>1002</v>
      </c>
      <c r="J792" s="88" t="str">
        <f>INDEX('MPG Payment '!$D:$D,MATCH('Shayak Income '!D792,'MPG Payment '!E:E,0))</f>
        <v>Laldiyara</v>
      </c>
      <c r="K792" s="125" t="s">
        <v>1322</v>
      </c>
      <c r="L792" s="125">
        <v>44866</v>
      </c>
      <c r="M792" s="126">
        <f>SUMIF('MPG Payment '!$E$3:$E$34579,'Shayak Income '!D792,'MPG Payment '!$I$3:$I$34579)</f>
        <v>2551.6999999999998</v>
      </c>
      <c r="N792" s="126">
        <f>SUMIF('MPG Payment '!$E$3:$E$34579,'Shayak Income '!D792,'MPG Payment '!$J$3:$J$34579)</f>
        <v>94115.343022999994</v>
      </c>
      <c r="O792" s="126">
        <f t="shared" si="252"/>
        <v>1913.7749999999999</v>
      </c>
      <c r="P792" s="126">
        <f t="shared" si="253"/>
        <v>2424.1149999999998</v>
      </c>
      <c r="Q792" s="126">
        <f>SUMIF('MPG Payment '!$E$3:$E$34579,'Shayak Income '!D792,'MPG Payment '!$S$3:$S$34579)</f>
        <v>0</v>
      </c>
      <c r="R792" s="126">
        <f t="shared" si="242"/>
        <v>2823.4602906899995</v>
      </c>
      <c r="S792" s="126">
        <f t="shared" si="243"/>
        <v>399.34529068999973</v>
      </c>
      <c r="T792" s="126">
        <f t="shared" si="254"/>
        <v>255.17</v>
      </c>
      <c r="U792" s="127">
        <f>(((IF(K792="New",0,SUMIF('MPG Payment '!$E$3:$E$34579,'Shayak Income '!D792,'MPG Payment '!$AC$3:$AC$34579))))+0)+0</f>
        <v>210.84628096456001</v>
      </c>
      <c r="V792" s="127">
        <f t="shared" si="255"/>
        <v>3872</v>
      </c>
      <c r="W792" s="19">
        <f t="shared" si="261"/>
        <v>1882.3068604599998</v>
      </c>
      <c r="X792" s="19">
        <v>0</v>
      </c>
      <c r="Y792" s="128">
        <f>IFERROR(VLOOKUP(D792,'Monthly Deduction'!$M$2:$N$64,2,0),0)</f>
        <v>0</v>
      </c>
      <c r="Z792" s="128">
        <v>0</v>
      </c>
      <c r="AA792" s="126">
        <f>IFERROR(VLOOKUP(D792,'Monthly Deduction'!A:B,2,0),0)</f>
        <v>0</v>
      </c>
      <c r="AB792" s="129">
        <f t="shared" si="244"/>
        <v>1990</v>
      </c>
      <c r="AC792" s="130">
        <v>0</v>
      </c>
      <c r="AD792" s="35">
        <f t="shared" si="237"/>
        <v>1990</v>
      </c>
      <c r="AE792" s="166" t="str">
        <f t="shared" si="258"/>
        <v>Release</v>
      </c>
      <c r="AF792" s="127"/>
      <c r="AG792" s="18">
        <v>0</v>
      </c>
      <c r="AH792" s="120"/>
      <c r="AI792" s="238">
        <v>0</v>
      </c>
      <c r="AJ792" s="132"/>
      <c r="AK792" s="151">
        <v>753.1</v>
      </c>
      <c r="AL792" s="154">
        <f t="shared" si="238"/>
        <v>0</v>
      </c>
      <c r="AM792" s="155"/>
      <c r="AN792" s="19">
        <f t="shared" si="247"/>
        <v>1882.3068604599998</v>
      </c>
      <c r="AO792" s="118">
        <f>SUMIF('MPG Payment '!E:E,'Shayak Income '!D792,'MPG Payment '!AJ:AJ)</f>
        <v>0</v>
      </c>
      <c r="AP792" s="19">
        <f t="shared" si="248"/>
        <v>1882.3068604599998</v>
      </c>
      <c r="AQ792" s="119">
        <f t="shared" si="239"/>
        <v>1882.3068604599998</v>
      </c>
      <c r="AR792" s="91" t="s">
        <v>1168</v>
      </c>
      <c r="AS792" s="91">
        <f t="shared" si="250"/>
        <v>6400</v>
      </c>
      <c r="AT792" s="118"/>
      <c r="AU792" s="118"/>
      <c r="AV792" s="118"/>
    </row>
    <row r="793" spans="1:48" s="20" customFormat="1" x14ac:dyDescent="0.25">
      <c r="A793" s="17">
        <f>IFERROR(VLOOKUP(D793,'Monthly Deduction'!$I$3:$J$957,2,0),0)</f>
        <v>65000</v>
      </c>
      <c r="B793" s="17">
        <f>IFERROR(VLOOKUP(D793,'Monthly Deduction'!$E$3:$F$957,2,0),0)</f>
        <v>0</v>
      </c>
      <c r="C793" s="17">
        <f t="shared" si="236"/>
        <v>65000</v>
      </c>
      <c r="D793" s="41">
        <v>10080120</v>
      </c>
      <c r="E793" s="122" t="str">
        <f>VLOOKUP(D793,'MPG Payment '!$E$3:$G$498218,2,0)</f>
        <v>Gomukh Rudauli-02</v>
      </c>
      <c r="F793" s="146">
        <f>IFERROR(_xlfn.XLOOKUP(D793,'Monthly Deduction'!$I$3:$I$957,'Monthly Deduction'!$H$3:$H$957),0)</f>
        <v>0</v>
      </c>
      <c r="G793" s="123" t="str">
        <f>VLOOKUP(D793,'MPG Payment '!$E$3:$G$334579,3,0)</f>
        <v>MPG</v>
      </c>
      <c r="H793" s="124" t="str">
        <f>VLOOKUP(D793,'MPG Payment '!$E$3:$H$334579,4,0)</f>
        <v>Direct</v>
      </c>
      <c r="I793" s="88">
        <f>INDEX('MPG Payment '!$C:$C,MATCH('Shayak Income '!D793,'MPG Payment '!E:E,0))</f>
        <v>1008</v>
      </c>
      <c r="J793" s="88" t="str">
        <f>INDEX('MPG Payment '!$D:$D,MATCH('Shayak Income '!D793,'MPG Payment '!E:E,0))</f>
        <v>Teghra</v>
      </c>
      <c r="K793" s="125" t="s">
        <v>1322</v>
      </c>
      <c r="L793" s="125">
        <v>46066</v>
      </c>
      <c r="M793" s="126">
        <f>SUMIF('MPG Payment '!$E$3:$E$34579,'Shayak Income '!D793,'MPG Payment '!$I$3:$I$34579)</f>
        <v>1466.5500000000002</v>
      </c>
      <c r="N793" s="126">
        <f>SUMIF('MPG Payment '!$E$3:$E$34579,'Shayak Income '!D793,'MPG Payment '!$J$3:$J$34579)</f>
        <v>55195.357227075001</v>
      </c>
      <c r="O793" s="126">
        <f t="shared" si="252"/>
        <v>1099.9125000000001</v>
      </c>
      <c r="P793" s="126">
        <f t="shared" si="253"/>
        <v>1393.2225000000001</v>
      </c>
      <c r="Q793" s="126">
        <f>SUMIF('MPG Payment '!$E$3:$E$34579,'Shayak Income '!D793,'MPG Payment '!$S$3:$S$34579)</f>
        <v>0</v>
      </c>
      <c r="R793" s="126">
        <f t="shared" si="242"/>
        <v>1655.8607168122501</v>
      </c>
      <c r="S793" s="126">
        <f t="shared" si="243"/>
        <v>262.63821681224999</v>
      </c>
      <c r="T793" s="126">
        <f t="shared" si="254"/>
        <v>146.65500000000003</v>
      </c>
      <c r="U793" s="127">
        <f>(((IF(K793="New",0,SUMIF('MPG Payment '!$E$3:$E$34579,'Shayak Income '!D793,'MPG Payment '!$AC$3:$AC$34579))))+0)+0</f>
        <v>1004.9561673368112</v>
      </c>
      <c r="V793" s="127">
        <f t="shared" si="255"/>
        <v>1342</v>
      </c>
      <c r="W793" s="19">
        <v>1342</v>
      </c>
      <c r="X793" s="19">
        <v>0</v>
      </c>
      <c r="Y793" s="128">
        <f>IFERROR(VLOOKUP(D793,'Monthly Deduction'!$M$2:$N$64,2,0),0)</f>
        <v>0</v>
      </c>
      <c r="Z793" s="128">
        <v>0</v>
      </c>
      <c r="AA793" s="126">
        <f>IFERROR(VLOOKUP(D793,'Monthly Deduction'!A:B,2,0),0)</f>
        <v>0</v>
      </c>
      <c r="AB793" s="129">
        <f t="shared" si="244"/>
        <v>0</v>
      </c>
      <c r="AC793" s="130">
        <v>0</v>
      </c>
      <c r="AD793" s="35">
        <f t="shared" si="237"/>
        <v>0</v>
      </c>
      <c r="AE793" s="166" t="str">
        <f t="shared" si="258"/>
        <v>Release</v>
      </c>
      <c r="AF793" s="127"/>
      <c r="AG793" s="18">
        <v>0</v>
      </c>
      <c r="AH793" s="120"/>
      <c r="AI793" s="238">
        <v>0</v>
      </c>
      <c r="AJ793" s="132"/>
      <c r="AK793" s="151">
        <v>345.15</v>
      </c>
      <c r="AL793" s="154">
        <f t="shared" si="238"/>
        <v>0</v>
      </c>
      <c r="AM793" s="155"/>
      <c r="AN793" s="19">
        <f t="shared" si="247"/>
        <v>1861</v>
      </c>
      <c r="AO793" s="118">
        <f>SUMIF('MPG Payment '!E:E,'Shayak Income '!D793,'MPG Payment '!AJ:AJ)</f>
        <v>0</v>
      </c>
      <c r="AP793" s="19">
        <f t="shared" si="248"/>
        <v>1342</v>
      </c>
      <c r="AQ793" s="119">
        <f t="shared" si="239"/>
        <v>1342</v>
      </c>
      <c r="AR793" s="91" t="s">
        <v>1168</v>
      </c>
      <c r="AS793" s="91">
        <f t="shared" si="250"/>
        <v>0</v>
      </c>
      <c r="AT793" s="118"/>
      <c r="AU793" s="118"/>
      <c r="AV793" s="118"/>
    </row>
    <row r="794" spans="1:48" s="20" customFormat="1" x14ac:dyDescent="0.25">
      <c r="A794" s="17">
        <f>IFERROR(VLOOKUP(D794,'Monthly Deduction'!$I$3:$J$957,2,0),0)</f>
        <v>65000</v>
      </c>
      <c r="B794" s="17">
        <f>IFERROR(VLOOKUP(D794,'Monthly Deduction'!$E$3:$F$957,2,0),0)</f>
        <v>0</v>
      </c>
      <c r="C794" s="17">
        <f t="shared" si="236"/>
        <v>65000</v>
      </c>
      <c r="D794" s="41">
        <v>10110177</v>
      </c>
      <c r="E794" s="122" t="str">
        <f>VLOOKUP(D794,'MPG Payment '!$E$3:$G$498218,2,0)</f>
        <v>Hardia</v>
      </c>
      <c r="F794" s="146">
        <f>IFERROR(_xlfn.XLOOKUP(D794,'Monthly Deduction'!$I$3:$I$957,'Monthly Deduction'!$H$3:$H$957),0)</f>
        <v>0</v>
      </c>
      <c r="G794" s="123" t="str">
        <f>VLOOKUP(D794,'MPG Payment '!$E$3:$G$334579,3,0)</f>
        <v>MPG</v>
      </c>
      <c r="H794" s="124" t="str">
        <f>VLOOKUP(D794,'MPG Payment '!$E$3:$H$334579,4,0)</f>
        <v>Direct</v>
      </c>
      <c r="I794" s="88">
        <f>INDEX('MPG Payment '!$C:$C,MATCH('Shayak Income '!D794,'MPG Payment '!E:E,0))</f>
        <v>1011</v>
      </c>
      <c r="J794" s="88" t="str">
        <f>INDEX('MPG Payment '!$D:$D,MATCH('Shayak Income '!D794,'MPG Payment '!E:E,0))</f>
        <v>Sahibpur Kamal</v>
      </c>
      <c r="K794" s="125" t="s">
        <v>1322</v>
      </c>
      <c r="L794" s="125">
        <v>46067</v>
      </c>
      <c r="M794" s="126">
        <f>SUMIF('MPG Payment '!$E$3:$E$34579,'Shayak Income '!D794,'MPG Payment '!$I$3:$I$34579)</f>
        <v>2287.5</v>
      </c>
      <c r="N794" s="126">
        <f>SUMIF('MPG Payment '!$E$3:$E$34579,'Shayak Income '!D794,'MPG Payment '!$J$3:$J$34579)</f>
        <v>95814.487063568013</v>
      </c>
      <c r="O794" s="126">
        <f t="shared" si="252"/>
        <v>1715.625</v>
      </c>
      <c r="P794" s="126">
        <f t="shared" si="253"/>
        <v>2173.125</v>
      </c>
      <c r="Q794" s="126">
        <f>SUMIF('MPG Payment '!$E$3:$E$34579,'Shayak Income '!D794,'MPG Payment '!$S$3:$S$34579)</f>
        <v>1040.1622679925001</v>
      </c>
      <c r="R794" s="126">
        <f t="shared" si="242"/>
        <v>2874.4346119070401</v>
      </c>
      <c r="S794" s="126">
        <f t="shared" si="243"/>
        <v>701.30961190704011</v>
      </c>
      <c r="T794" s="126">
        <f t="shared" si="254"/>
        <v>228.75</v>
      </c>
      <c r="U794" s="127">
        <f>(((IF(K794="New",0,SUMIF('MPG Payment '!$E$3:$E$34579,'Shayak Income '!D794,'MPG Payment '!$AC$3:$AC$34579))))+0)+0</f>
        <v>429.73279310085707</v>
      </c>
      <c r="V794" s="127">
        <f t="shared" si="255"/>
        <v>4270</v>
      </c>
      <c r="W794" s="19">
        <f t="shared" si="261"/>
        <v>1916.2897412713603</v>
      </c>
      <c r="X794" s="19">
        <v>0</v>
      </c>
      <c r="Y794" s="128">
        <f>IFERROR(VLOOKUP(D794,'Monthly Deduction'!$M$2:$N$64,2,0),0)</f>
        <v>0</v>
      </c>
      <c r="Z794" s="128">
        <v>0</v>
      </c>
      <c r="AA794" s="126">
        <f>IFERROR(VLOOKUP(D794,'Monthly Deduction'!A:B,2,0),0)</f>
        <v>0</v>
      </c>
      <c r="AB794" s="129">
        <f t="shared" si="244"/>
        <v>2354</v>
      </c>
      <c r="AC794" s="130">
        <v>0</v>
      </c>
      <c r="AD794" s="35">
        <f t="shared" si="237"/>
        <v>2354</v>
      </c>
      <c r="AE794" s="166" t="str">
        <f t="shared" si="258"/>
        <v>Release</v>
      </c>
      <c r="AF794" s="127"/>
      <c r="AG794" s="18">
        <v>0</v>
      </c>
      <c r="AH794" s="120"/>
      <c r="AI794" s="238">
        <v>0</v>
      </c>
      <c r="AJ794" s="132"/>
      <c r="AK794" s="151">
        <v>564.9</v>
      </c>
      <c r="AL794" s="154">
        <f t="shared" si="238"/>
        <v>0</v>
      </c>
      <c r="AM794" s="155"/>
      <c r="AN794" s="19">
        <f t="shared" si="247"/>
        <v>1916.2897412713603</v>
      </c>
      <c r="AO794" s="118">
        <f>SUMIF('MPG Payment '!E:E,'Shayak Income '!D794,'MPG Payment '!AJ:AJ)</f>
        <v>0</v>
      </c>
      <c r="AP794" s="19">
        <f t="shared" si="248"/>
        <v>1916.2897412713603</v>
      </c>
      <c r="AQ794" s="119">
        <f t="shared" si="239"/>
        <v>1916.2897412713603</v>
      </c>
      <c r="AR794" s="91" t="s">
        <v>1168</v>
      </c>
      <c r="AS794" s="91">
        <f t="shared" si="250"/>
        <v>0</v>
      </c>
      <c r="AT794" s="118"/>
      <c r="AU794" s="118"/>
      <c r="AV794" s="118"/>
    </row>
    <row r="795" spans="1:48" s="20" customFormat="1" x14ac:dyDescent="0.25">
      <c r="A795" s="17">
        <f>IFERROR(VLOOKUP(D795,'Monthly Deduction'!$I$3:$J$957,2,0),0)</f>
        <v>0</v>
      </c>
      <c r="B795" s="17">
        <f>IFERROR(VLOOKUP(D795,'Monthly Deduction'!$E$3:$F$957,2,0),0)</f>
        <v>0</v>
      </c>
      <c r="C795" s="17">
        <f t="shared" si="236"/>
        <v>0</v>
      </c>
      <c r="D795" s="41">
        <v>10120088</v>
      </c>
      <c r="E795" s="122" t="str">
        <f>VLOOKUP(D795,'MPG Payment '!$E$3:$G$498218,2,0)</f>
        <v>Mithilanchal Dairy Products</v>
      </c>
      <c r="F795" s="146">
        <f>IFERROR(_xlfn.XLOOKUP(D795,'Monthly Deduction'!$I$3:$I$957,'Monthly Deduction'!$H$3:$H$957),0)</f>
        <v>0</v>
      </c>
      <c r="G795" s="123" t="str">
        <f>VLOOKUP(D795,'MPG Payment '!$E$3:$G$334579,3,0)</f>
        <v>vlc</v>
      </c>
      <c r="H795" s="124" t="str">
        <f>VLOOKUP(D795,'MPG Payment '!$E$3:$H$334579,4,0)</f>
        <v>Indirect</v>
      </c>
      <c r="I795" s="88">
        <f>INDEX('MPG Payment '!$C:$C,MATCH('Shayak Income '!D795,'MPG Payment '!E:E,0))</f>
        <v>1062</v>
      </c>
      <c r="J795" s="88" t="str">
        <f>INDEX('MPG Payment '!$D:$D,MATCH('Shayak Income '!D795,'MPG Payment '!E:E,0))</f>
        <v>Singhia BMC</v>
      </c>
      <c r="K795" s="125" t="s">
        <v>1322</v>
      </c>
      <c r="L795" s="125">
        <v>45597</v>
      </c>
      <c r="M795" s="126">
        <f>SUMIF('MPG Payment '!$E$3:$E$34579,'Shayak Income '!D795,'MPG Payment '!$I$3:$I$34579)</f>
        <v>13231.099999999999</v>
      </c>
      <c r="N795" s="126">
        <f>SUMIF('MPG Payment '!$E$3:$E$34579,'Shayak Income '!D795,'MPG Payment '!$J$3:$J$34579)</f>
        <v>505113.21539730998</v>
      </c>
      <c r="O795" s="126">
        <f t="shared" si="252"/>
        <v>9923.3249999999989</v>
      </c>
      <c r="P795" s="126">
        <f t="shared" si="253"/>
        <v>12569.544999999998</v>
      </c>
      <c r="Q795" s="126">
        <f>SUMIF('MPG Payment '!$E$3:$E$34579,'Shayak Income '!D795,'MPG Payment '!$S$3:$S$34579)</f>
        <v>0</v>
      </c>
      <c r="R795" s="126">
        <f t="shared" si="242"/>
        <v>15153.396461919299</v>
      </c>
      <c r="S795" s="126">
        <f t="shared" si="243"/>
        <v>2583.8514619193011</v>
      </c>
      <c r="T795" s="126">
        <f t="shared" si="254"/>
        <v>1323.11</v>
      </c>
      <c r="U795" s="127">
        <f>(((IF(K795="New",0,SUMIF('MPG Payment '!$E$3:$E$34579,'Shayak Income '!D795,'MPG Payment '!$AC$3:$AC$34579))))+0)+0</f>
        <v>0</v>
      </c>
      <c r="V795" s="127">
        <f t="shared" si="255"/>
        <v>21170</v>
      </c>
      <c r="W795" s="19">
        <f t="shared" si="261"/>
        <v>0</v>
      </c>
      <c r="X795" s="19">
        <f t="shared" si="263"/>
        <v>0</v>
      </c>
      <c r="Y795" s="128">
        <f>IFERROR(VLOOKUP(D795,'Monthly Deduction'!$M$2:$N$64,2,0),0)</f>
        <v>0</v>
      </c>
      <c r="Z795" s="128">
        <v>0</v>
      </c>
      <c r="AA795" s="126">
        <f>IFERROR(VLOOKUP(D795,'Monthly Deduction'!A:B,2,0),0)</f>
        <v>0</v>
      </c>
      <c r="AB795" s="129">
        <f t="shared" si="244"/>
        <v>21170</v>
      </c>
      <c r="AC795" s="130">
        <v>0</v>
      </c>
      <c r="AD795" s="35">
        <f t="shared" si="237"/>
        <v>21170</v>
      </c>
      <c r="AE795" s="166" t="str">
        <f t="shared" si="258"/>
        <v>Release</v>
      </c>
      <c r="AF795" s="127"/>
      <c r="AG795" s="18">
        <v>0</v>
      </c>
      <c r="AH795" s="120"/>
      <c r="AI795" s="238">
        <v>0</v>
      </c>
      <c r="AJ795" s="132"/>
      <c r="AK795" s="151">
        <v>4664.7</v>
      </c>
      <c r="AL795" s="154">
        <f t="shared" si="238"/>
        <v>0</v>
      </c>
      <c r="AM795" s="155"/>
      <c r="AN795" s="19">
        <f t="shared" si="247"/>
        <v>0</v>
      </c>
      <c r="AO795" s="118">
        <f>SUMIF('MPG Payment '!E:E,'Shayak Income '!D795,'MPG Payment '!AJ:AJ)</f>
        <v>0</v>
      </c>
      <c r="AP795" s="19">
        <f t="shared" si="248"/>
        <v>0</v>
      </c>
      <c r="AQ795" s="119">
        <f t="shared" si="239"/>
        <v>0</v>
      </c>
      <c r="AR795" s="91" t="s">
        <v>1168</v>
      </c>
      <c r="AS795" s="91">
        <f t="shared" si="250"/>
        <v>0</v>
      </c>
      <c r="AT795" s="118"/>
      <c r="AU795" s="118"/>
      <c r="AV795" s="118"/>
    </row>
    <row r="796" spans="1:48" s="20" customFormat="1" x14ac:dyDescent="0.25">
      <c r="A796" s="17">
        <f>IFERROR(VLOOKUP(D796,'Monthly Deduction'!$I$3:$J$957,2,0),0)</f>
        <v>75000</v>
      </c>
      <c r="B796" s="17">
        <f>IFERROR(VLOOKUP(D796,'Monthly Deduction'!$E$3:$F$957,2,0),0)</f>
        <v>0</v>
      </c>
      <c r="C796" s="17">
        <f t="shared" si="236"/>
        <v>75000</v>
      </c>
      <c r="D796" s="41">
        <v>10130117</v>
      </c>
      <c r="E796" s="122" t="str">
        <f>VLOOKUP(D796,'MPG Payment '!$E$3:$G$498218,2,0)</f>
        <v>GOMUKH Bhagwatpur East</v>
      </c>
      <c r="F796" s="146">
        <f>IFERROR(_xlfn.XLOOKUP(D796,'Monthly Deduction'!$I$3:$I$957,'Monthly Deduction'!$H$3:$H$957),0)</f>
        <v>0</v>
      </c>
      <c r="G796" s="123" t="str">
        <f>VLOOKUP(D796,'MPG Payment '!$E$3:$G$334579,3,0)</f>
        <v>MPG</v>
      </c>
      <c r="H796" s="124" t="str">
        <f>VLOOKUP(D796,'MPG Payment '!$E$3:$H$334579,4,0)</f>
        <v>Direct</v>
      </c>
      <c r="I796" s="88">
        <f>INDEX('MPG Payment '!$C:$C,MATCH('Shayak Income '!D796,'MPG Payment '!E:E,0))</f>
        <v>1013</v>
      </c>
      <c r="J796" s="88" t="str">
        <f>INDEX('MPG Payment '!$D:$D,MATCH('Shayak Income '!D796,'MPG Payment '!E:E,0))</f>
        <v>Musrigharari</v>
      </c>
      <c r="K796" s="125" t="s">
        <v>1322</v>
      </c>
      <c r="L796" s="125">
        <v>46069</v>
      </c>
      <c r="M796" s="126">
        <f>SUMIF('MPG Payment '!$E$3:$E$34579,'Shayak Income '!D796,'MPG Payment '!$I$3:$I$34579)</f>
        <v>1260</v>
      </c>
      <c r="N796" s="126">
        <f>SUMIF('MPG Payment '!$E$3:$E$34579,'Shayak Income '!D796,'MPG Payment '!$J$3:$J$34579)</f>
        <v>38184.580078408493</v>
      </c>
      <c r="O796" s="126">
        <f t="shared" si="252"/>
        <v>945</v>
      </c>
      <c r="P796" s="126">
        <f t="shared" si="253"/>
        <v>1197</v>
      </c>
      <c r="Q796" s="126">
        <f>SUMIF('MPG Payment '!$E$3:$E$34579,'Shayak Income '!D796,'MPG Payment '!$S$3:$S$34579)</f>
        <v>0</v>
      </c>
      <c r="R796" s="126">
        <f t="shared" si="242"/>
        <v>1145.5374023522547</v>
      </c>
      <c r="S796" s="126">
        <f t="shared" si="243"/>
        <v>-51.46259764774527</v>
      </c>
      <c r="T796" s="126">
        <f t="shared" si="254"/>
        <v>126</v>
      </c>
      <c r="U796" s="127">
        <f>(((IF(K796="New",0,SUMIF('MPG Payment '!$E$3:$E$34579,'Shayak Income '!D796,'MPG Payment '!$AC$3:$AC$34579))))+0)+0</f>
        <v>929.1166655077061</v>
      </c>
      <c r="V796" s="127">
        <f t="shared" si="255"/>
        <v>1087</v>
      </c>
      <c r="W796" s="19">
        <v>1087</v>
      </c>
      <c r="X796" s="19">
        <v>0</v>
      </c>
      <c r="Y796" s="128">
        <f>IFERROR(VLOOKUP(D796,'Monthly Deduction'!$M$2:$N$64,2,0),0)</f>
        <v>0</v>
      </c>
      <c r="Z796" s="128">
        <v>0</v>
      </c>
      <c r="AA796" s="126">
        <f>IFERROR(VLOOKUP(D796,'Monthly Deduction'!A:B,2,0),0)</f>
        <v>0</v>
      </c>
      <c r="AB796" s="129">
        <f t="shared" si="244"/>
        <v>0</v>
      </c>
      <c r="AC796" s="130">
        <f>AB796</f>
        <v>0</v>
      </c>
      <c r="AD796" s="35">
        <f t="shared" si="237"/>
        <v>0</v>
      </c>
      <c r="AE796" s="166" t="str">
        <f t="shared" si="258"/>
        <v>Release</v>
      </c>
      <c r="AF796" s="127"/>
      <c r="AG796" s="18">
        <v>0</v>
      </c>
      <c r="AH796" s="120" t="s">
        <v>1650</v>
      </c>
      <c r="AI796" s="238">
        <v>10000</v>
      </c>
      <c r="AJ796" s="132"/>
      <c r="AK796" s="151">
        <v>289.3</v>
      </c>
      <c r="AL796" s="154">
        <f t="shared" si="238"/>
        <v>0</v>
      </c>
      <c r="AM796" s="155"/>
      <c r="AN796" s="19">
        <f t="shared" si="247"/>
        <v>1861</v>
      </c>
      <c r="AO796" s="118">
        <f>SUMIF('MPG Payment '!E:E,'Shayak Income '!D796,'MPG Payment '!AJ:AJ)</f>
        <v>0</v>
      </c>
      <c r="AP796" s="19">
        <f t="shared" si="248"/>
        <v>1087</v>
      </c>
      <c r="AQ796" s="119">
        <f t="shared" si="239"/>
        <v>1087</v>
      </c>
      <c r="AR796" s="91" t="s">
        <v>1168</v>
      </c>
      <c r="AS796" s="91">
        <f t="shared" si="250"/>
        <v>0</v>
      </c>
      <c r="AT796" s="118"/>
      <c r="AU796" s="118"/>
      <c r="AV796" s="118"/>
    </row>
    <row r="797" spans="1:48" s="20" customFormat="1" x14ac:dyDescent="0.25">
      <c r="A797" s="17">
        <f>IFERROR(VLOOKUP(D797,'Monthly Deduction'!$I$3:$J$957,2,0),0)</f>
        <v>0</v>
      </c>
      <c r="B797" s="17">
        <f>IFERROR(VLOOKUP(D797,'Monthly Deduction'!$E$3:$F$957,2,0),0)</f>
        <v>0</v>
      </c>
      <c r="C797" s="17">
        <f t="shared" si="236"/>
        <v>0</v>
      </c>
      <c r="D797" s="41">
        <v>10530107</v>
      </c>
      <c r="E797" s="122" t="str">
        <f>VLOOKUP(D797,'MPG Payment '!$E$3:$G$498218,2,0)</f>
        <v>Gomukh Namapur East</v>
      </c>
      <c r="F797" s="146">
        <f>IFERROR(_xlfn.XLOOKUP(D797,'Monthly Deduction'!$I$3:$I$957,'Monthly Deduction'!$H$3:$H$957),0)</f>
        <v>0</v>
      </c>
      <c r="G797" s="123" t="str">
        <f>VLOOKUP(D797,'MPG Payment '!$E$3:$G$334579,3,0)</f>
        <v>vlc</v>
      </c>
      <c r="H797" s="124" t="str">
        <f>VLOOKUP(D797,'MPG Payment '!$E$3:$H$334579,4,0)</f>
        <v>Indirect</v>
      </c>
      <c r="I797" s="88">
        <f>INDEX('MPG Payment '!$C:$C,MATCH('Shayak Income '!D797,'MPG Payment '!E:E,0))</f>
        <v>1053</v>
      </c>
      <c r="J797" s="88" t="str">
        <f>INDEX('MPG Payment '!$D:$D,MATCH('Shayak Income '!D797,'MPG Payment '!E:E,0))</f>
        <v>Kalyanpur</v>
      </c>
      <c r="K797" s="125" t="s">
        <v>1322</v>
      </c>
      <c r="L797" s="125">
        <v>46067</v>
      </c>
      <c r="M797" s="126">
        <f>SUMIF('MPG Payment '!$E$3:$E$34579,'Shayak Income '!D797,'MPG Payment '!$I$3:$I$34579)</f>
        <v>1015.25</v>
      </c>
      <c r="N797" s="126">
        <f>SUMIF('MPG Payment '!$E$3:$E$34579,'Shayak Income '!D797,'MPG Payment '!$J$3:$J$34579)</f>
        <v>53569.228784971296</v>
      </c>
      <c r="O797" s="126">
        <f t="shared" si="252"/>
        <v>761.4375</v>
      </c>
      <c r="P797" s="126">
        <f t="shared" si="253"/>
        <v>964.48749999999995</v>
      </c>
      <c r="Q797" s="126">
        <f>SUMIF('MPG Payment '!$E$3:$E$34579,'Shayak Income '!D797,'MPG Payment '!$S$3:$S$34579)</f>
        <v>0</v>
      </c>
      <c r="R797" s="126">
        <f t="shared" si="242"/>
        <v>1607.0768635491388</v>
      </c>
      <c r="S797" s="126">
        <f t="shared" si="243"/>
        <v>642.58936354913885</v>
      </c>
      <c r="T797" s="126">
        <f t="shared" si="254"/>
        <v>101.52500000000001</v>
      </c>
      <c r="U797" s="127">
        <f>(((IF(K797="New",0,SUMIF('MPG Payment '!$E$3:$E$34579,'Shayak Income '!D797,'MPG Payment '!$AC$3:$AC$34579))))+0)+-275</f>
        <v>1624.2385488956024</v>
      </c>
      <c r="V797" s="127">
        <f t="shared" si="255"/>
        <v>0</v>
      </c>
      <c r="W797" s="19">
        <v>0</v>
      </c>
      <c r="X797" s="19">
        <v>0</v>
      </c>
      <c r="Y797" s="128">
        <f>IFERROR(VLOOKUP(D797,'Monthly Deduction'!$M$2:$N$64,2,0),0)</f>
        <v>0</v>
      </c>
      <c r="Z797" s="128">
        <v>0</v>
      </c>
      <c r="AA797" s="126">
        <f>IFERROR(VLOOKUP(D797,'Monthly Deduction'!A:B,2,0),0)</f>
        <v>0</v>
      </c>
      <c r="AB797" s="129">
        <f t="shared" si="244"/>
        <v>0</v>
      </c>
      <c r="AC797" s="130">
        <v>0</v>
      </c>
      <c r="AD797" s="35">
        <f t="shared" si="237"/>
        <v>0</v>
      </c>
      <c r="AE797" s="166" t="str">
        <f t="shared" si="258"/>
        <v>Release</v>
      </c>
      <c r="AF797" s="127"/>
      <c r="AG797" s="18">
        <v>0</v>
      </c>
      <c r="AH797" s="132"/>
      <c r="AI797" s="238">
        <v>0</v>
      </c>
      <c r="AJ797" s="132"/>
      <c r="AK797" s="151">
        <v>458.15</v>
      </c>
      <c r="AL797" s="154">
        <f t="shared" si="238"/>
        <v>0</v>
      </c>
      <c r="AM797" s="155"/>
      <c r="AN797" s="19">
        <f t="shared" si="247"/>
        <v>0</v>
      </c>
      <c r="AO797" s="118">
        <f>SUMIF('MPG Payment '!E:E,'Shayak Income '!D797,'MPG Payment '!AJ:AJ)</f>
        <v>0</v>
      </c>
      <c r="AP797" s="19">
        <f t="shared" si="248"/>
        <v>0</v>
      </c>
      <c r="AQ797" s="119">
        <f t="shared" si="239"/>
        <v>0</v>
      </c>
      <c r="AR797" s="91" t="s">
        <v>1168</v>
      </c>
      <c r="AS797" s="91">
        <f t="shared" si="250"/>
        <v>0</v>
      </c>
      <c r="AT797" s="118"/>
      <c r="AU797" s="118"/>
      <c r="AV797" s="118"/>
    </row>
    <row r="798" spans="1:48" s="20" customFormat="1" x14ac:dyDescent="0.25">
      <c r="A798" s="17">
        <f>IFERROR(VLOOKUP(D798,'Monthly Deduction'!$I$3:$J$957,2,0),0)</f>
        <v>0</v>
      </c>
      <c r="B798" s="17">
        <f>IFERROR(VLOOKUP(D798,'Monthly Deduction'!$E$3:$F$957,2,0),0)</f>
        <v>0</v>
      </c>
      <c r="C798" s="17">
        <f t="shared" si="236"/>
        <v>0</v>
      </c>
      <c r="D798" s="41">
        <v>10540045</v>
      </c>
      <c r="E798" s="122" t="str">
        <f>VLOOKUP(D798,'MPG Payment '!$E$3:$G$498218,2,0)</f>
        <v>VLC Sunil Khas</v>
      </c>
      <c r="F798" s="146">
        <f>IFERROR(_xlfn.XLOOKUP(D798,'Monthly Deduction'!$I$3:$I$957,'Monthly Deduction'!$H$3:$H$957),0)</f>
        <v>0</v>
      </c>
      <c r="G798" s="123" t="str">
        <f>VLOOKUP(D798,'MPG Payment '!$E$3:$G$334579,3,0)</f>
        <v>vlc</v>
      </c>
      <c r="H798" s="124" t="str">
        <f>VLOOKUP(D798,'MPG Payment '!$E$3:$H$334579,4,0)</f>
        <v>Indirect</v>
      </c>
      <c r="I798" s="88">
        <f>INDEX('MPG Payment '!$C:$C,MATCH('Shayak Income '!D798,'MPG Payment '!E:E,0))</f>
        <v>1054</v>
      </c>
      <c r="J798" s="88" t="str">
        <f>INDEX('MPG Payment '!$D:$D,MATCH('Shayak Income '!D798,'MPG Payment '!E:E,0))</f>
        <v xml:space="preserve">Alauli </v>
      </c>
      <c r="K798" s="125" t="s">
        <v>1322</v>
      </c>
      <c r="L798" s="125">
        <v>46070</v>
      </c>
      <c r="M798" s="126">
        <f>SUMIF('MPG Payment '!$E$3:$E$34579,'Shayak Income '!D798,'MPG Payment '!$I$3:$I$34579)</f>
        <v>2342.1999999999998</v>
      </c>
      <c r="N798" s="126">
        <f>SUMIF('MPG Payment '!$E$3:$E$34579,'Shayak Income '!D798,'MPG Payment '!$J$3:$J$34579)</f>
        <v>102040.35163731128</v>
      </c>
      <c r="O798" s="126">
        <f t="shared" si="252"/>
        <v>1756.6499999999999</v>
      </c>
      <c r="P798" s="126">
        <f t="shared" si="253"/>
        <v>2225.0899999999997</v>
      </c>
      <c r="Q798" s="126">
        <f>SUMIF('MPG Payment '!$E$3:$E$34579,'Shayak Income '!D798,'MPG Payment '!$S$3:$S$34579)</f>
        <v>0</v>
      </c>
      <c r="R798" s="126">
        <f t="shared" si="242"/>
        <v>3061.2105491193383</v>
      </c>
      <c r="S798" s="126">
        <f t="shared" si="243"/>
        <v>836.12054911933865</v>
      </c>
      <c r="T798" s="126">
        <f t="shared" si="254"/>
        <v>234.22</v>
      </c>
      <c r="U798" s="127">
        <f>(((IF(K798="New",0,SUMIF('MPG Payment '!$E$3:$E$34579,'Shayak Income '!D798,'MPG Payment '!$AC$3:$AC$34579))))+0)+0</f>
        <v>474.86020583693141</v>
      </c>
      <c r="V798" s="127">
        <f t="shared" si="255"/>
        <v>3273</v>
      </c>
      <c r="W798" s="19">
        <f t="shared" si="261"/>
        <v>0</v>
      </c>
      <c r="X798" s="19">
        <f t="shared" si="263"/>
        <v>0</v>
      </c>
      <c r="Y798" s="128">
        <f>IFERROR(VLOOKUP(D798,'Monthly Deduction'!$M$2:$N$64,2,0),0)</f>
        <v>0</v>
      </c>
      <c r="Z798" s="128">
        <v>0</v>
      </c>
      <c r="AA798" s="126">
        <f>IFERROR(VLOOKUP(D798,'Monthly Deduction'!A:B,2,0),0)</f>
        <v>0</v>
      </c>
      <c r="AB798" s="129">
        <f t="shared" si="244"/>
        <v>3273</v>
      </c>
      <c r="AC798" s="130">
        <v>0</v>
      </c>
      <c r="AD798" s="35">
        <f t="shared" si="237"/>
        <v>3273</v>
      </c>
      <c r="AE798" s="166" t="str">
        <f t="shared" si="258"/>
        <v>Release</v>
      </c>
      <c r="AF798" s="127"/>
      <c r="AG798" s="18">
        <v>0</v>
      </c>
      <c r="AH798" s="120"/>
      <c r="AI798" s="238">
        <v>0</v>
      </c>
      <c r="AJ798" s="132"/>
      <c r="AK798" s="151">
        <v>786.80000000000007</v>
      </c>
      <c r="AL798" s="154">
        <f t="shared" si="238"/>
        <v>0</v>
      </c>
      <c r="AM798" s="155"/>
      <c r="AN798" s="19">
        <f t="shared" si="247"/>
        <v>0</v>
      </c>
      <c r="AO798" s="118">
        <f>SUMIF('MPG Payment '!E:E,'Shayak Income '!D798,'MPG Payment '!AJ:AJ)</f>
        <v>0</v>
      </c>
      <c r="AP798" s="19">
        <f t="shared" si="248"/>
        <v>0</v>
      </c>
      <c r="AQ798" s="119">
        <f t="shared" si="239"/>
        <v>0</v>
      </c>
      <c r="AR798" s="91" t="s">
        <v>1168</v>
      </c>
      <c r="AS798" s="91">
        <f t="shared" si="250"/>
        <v>0</v>
      </c>
      <c r="AT798" s="118"/>
      <c r="AU798" s="118"/>
      <c r="AV798" s="118"/>
    </row>
    <row r="799" spans="1:48" s="20" customFormat="1" x14ac:dyDescent="0.25">
      <c r="A799" s="17">
        <f>IFERROR(VLOOKUP(D799,'Monthly Deduction'!$I$3:$J$957,2,0),0)</f>
        <v>0</v>
      </c>
      <c r="B799" s="17">
        <f>IFERROR(VLOOKUP(D799,'Monthly Deduction'!$E$3:$F$957,2,0),0)</f>
        <v>0</v>
      </c>
      <c r="C799" s="17">
        <f t="shared" si="222"/>
        <v>0</v>
      </c>
      <c r="D799" s="41">
        <v>10560034</v>
      </c>
      <c r="E799" s="122" t="str">
        <f>VLOOKUP(D799,'MPG Payment '!$E$3:$G$498218,2,0)</f>
        <v>Gomukh Nawadai Vlc</v>
      </c>
      <c r="F799" s="146">
        <f>IFERROR(_xlfn.XLOOKUP(D799,'Monthly Deduction'!$I$3:$I$957,'Monthly Deduction'!$H$3:$H$957),0)</f>
        <v>0</v>
      </c>
      <c r="G799" s="123" t="str">
        <f>VLOOKUP(D799,'MPG Payment '!$E$3:$G$334579,3,0)</f>
        <v>vlc</v>
      </c>
      <c r="H799" s="124" t="str">
        <f>VLOOKUP(D799,'MPG Payment '!$E$3:$H$334579,4,0)</f>
        <v>Indirect</v>
      </c>
      <c r="I799" s="88">
        <f>INDEX('MPG Payment '!$C:$C,MATCH('Shayak Income '!D799,'MPG Payment '!E:E,0))</f>
        <v>1056</v>
      </c>
      <c r="J799" s="88" t="str">
        <f>INDEX('MPG Payment '!$D:$D,MATCH('Shayak Income '!D799,'MPG Payment '!E:E,0))</f>
        <v>Chautham</v>
      </c>
      <c r="K799" s="125" t="s">
        <v>1322</v>
      </c>
      <c r="L799" s="125">
        <v>46066</v>
      </c>
      <c r="M799" s="126">
        <f>SUMIF('MPG Payment '!$E$3:$E$34579,'Shayak Income '!D799,'MPG Payment '!$I$3:$I$34579)</f>
        <v>936.95999999999981</v>
      </c>
      <c r="N799" s="126">
        <f>SUMIF('MPG Payment '!$E$3:$E$34579,'Shayak Income '!D799,'MPG Payment '!$J$3:$J$34579)</f>
        <v>32102.346625182006</v>
      </c>
      <c r="O799" s="126">
        <f t="shared" si="252"/>
        <v>702.7199999999998</v>
      </c>
      <c r="P799" s="126">
        <f t="shared" si="253"/>
        <v>890.11199999999974</v>
      </c>
      <c r="Q799" s="126">
        <f>SUMIF('MPG Payment '!$E$3:$E$34579,'Shayak Income '!D799,'MPG Payment '!$S$3:$S$34579)</f>
        <v>0</v>
      </c>
      <c r="R799" s="126">
        <f t="shared" si="242"/>
        <v>963.07039875546013</v>
      </c>
      <c r="S799" s="126">
        <f t="shared" si="243"/>
        <v>72.958398755460394</v>
      </c>
      <c r="T799" s="126">
        <f t="shared" si="254"/>
        <v>93.695999999999984</v>
      </c>
      <c r="U799" s="127">
        <f>(((IF(K799="New",0,SUMIF('MPG Payment '!$E$3:$E$34579,'Shayak Income '!D799,'MPG Payment '!$AC$3:$AC$34579))))+0)+0</f>
        <v>1267.9788823716399</v>
      </c>
      <c r="V799" s="127">
        <f t="shared" si="255"/>
        <v>231</v>
      </c>
      <c r="W799" s="19">
        <f t="shared" si="261"/>
        <v>0</v>
      </c>
      <c r="X799" s="19">
        <f t="shared" si="263"/>
        <v>0</v>
      </c>
      <c r="Y799" s="128">
        <f>IFERROR(VLOOKUP(D799,'Monthly Deduction'!$M$2:$N$64,2,0),0)</f>
        <v>0</v>
      </c>
      <c r="Z799" s="128">
        <v>0</v>
      </c>
      <c r="AA799" s="126">
        <f>IFERROR(VLOOKUP(D799,'Monthly Deduction'!A:B,2,0),0)</f>
        <v>0</v>
      </c>
      <c r="AB799" s="129">
        <f t="shared" si="244"/>
        <v>231</v>
      </c>
      <c r="AC799" s="130">
        <v>0</v>
      </c>
      <c r="AD799" s="35">
        <f t="shared" si="223"/>
        <v>231</v>
      </c>
      <c r="AE799" s="166" t="str">
        <f t="shared" si="258"/>
        <v>Release</v>
      </c>
      <c r="AF799" s="127"/>
      <c r="AG799" s="18">
        <v>0</v>
      </c>
      <c r="AH799" s="120"/>
      <c r="AI799" s="238">
        <v>0</v>
      </c>
      <c r="AJ799" s="132"/>
      <c r="AK799" s="151">
        <v>129.24</v>
      </c>
      <c r="AL799" s="154">
        <f t="shared" si="209"/>
        <v>0</v>
      </c>
      <c r="AM799" s="155"/>
      <c r="AN799" s="19">
        <f t="shared" si="247"/>
        <v>0</v>
      </c>
      <c r="AO799" s="118">
        <f>SUMIF('MPG Payment '!E:E,'Shayak Income '!D799,'MPG Payment '!AJ:AJ)</f>
        <v>0</v>
      </c>
      <c r="AP799" s="19">
        <f t="shared" si="248"/>
        <v>0</v>
      </c>
      <c r="AQ799" s="119">
        <f t="shared" si="224"/>
        <v>0</v>
      </c>
      <c r="AR799" s="91" t="s">
        <v>1168</v>
      </c>
      <c r="AS799" s="91">
        <f t="shared" si="250"/>
        <v>0</v>
      </c>
      <c r="AT799" s="118"/>
      <c r="AU799" s="118"/>
      <c r="AV799" s="118"/>
    </row>
    <row r="800" spans="1:48" s="20" customFormat="1" x14ac:dyDescent="0.25">
      <c r="A800" s="17">
        <f>IFERROR(VLOOKUP(D800,'Monthly Deduction'!$I$3:$J$957,2,0),0)</f>
        <v>85000</v>
      </c>
      <c r="B800" s="17">
        <f>IFERROR(VLOOKUP(D800,'Monthly Deduction'!$E$3:$F$957,2,0),0)</f>
        <v>0</v>
      </c>
      <c r="C800" s="17">
        <f t="shared" si="222"/>
        <v>85000</v>
      </c>
      <c r="D800" s="41">
        <v>10570045</v>
      </c>
      <c r="E800" s="122" t="str">
        <f>VLOOKUP(D800,'MPG Payment '!$E$3:$G$498218,2,0)</f>
        <v>Buzurgdoar</v>
      </c>
      <c r="F800" s="146">
        <f>IFERROR(_xlfn.XLOOKUP(D800,'Monthly Deduction'!$I$3:$I$957,'Monthly Deduction'!$H$3:$H$957),0)</f>
        <v>0</v>
      </c>
      <c r="G800" s="123" t="str">
        <f>VLOOKUP(D800,'MPG Payment '!$E$3:$G$334579,3,0)</f>
        <v>MPG</v>
      </c>
      <c r="H800" s="124" t="str">
        <f>VLOOKUP(D800,'MPG Payment '!$E$3:$H$334579,4,0)</f>
        <v>Direct</v>
      </c>
      <c r="I800" s="88">
        <f>INDEX('MPG Payment '!$C:$C,MATCH('Shayak Income '!D800,'MPG Payment '!E:E,0))</f>
        <v>1057</v>
      </c>
      <c r="J800" s="88" t="str">
        <f>INDEX('MPG Payment '!$D:$D,MATCH('Shayak Income '!D800,'MPG Payment '!E:E,0))</f>
        <v>Warisnagar</v>
      </c>
      <c r="K800" s="125" t="s">
        <v>1322</v>
      </c>
      <c r="L800" s="125">
        <v>46066</v>
      </c>
      <c r="M800" s="126">
        <f>SUMIF('MPG Payment '!$E$3:$E$34579,'Shayak Income '!D800,'MPG Payment '!$I$3:$I$34579)</f>
        <v>4543.3</v>
      </c>
      <c r="N800" s="126">
        <f>SUMIF('MPG Payment '!$E$3:$E$34579,'Shayak Income '!D800,'MPG Payment '!$J$3:$J$34579)</f>
        <v>169966.35455514997</v>
      </c>
      <c r="O800" s="126">
        <f t="shared" si="252"/>
        <v>3407.4750000000004</v>
      </c>
      <c r="P800" s="126">
        <f t="shared" si="253"/>
        <v>4316.1350000000002</v>
      </c>
      <c r="Q800" s="126">
        <f>SUMIF('MPG Payment '!$E$3:$E$34579,'Shayak Income '!D800,'MPG Payment '!$S$3:$S$34579)</f>
        <v>0</v>
      </c>
      <c r="R800" s="126">
        <f t="shared" si="242"/>
        <v>5098.9906366544992</v>
      </c>
      <c r="S800" s="126">
        <f t="shared" si="243"/>
        <v>782.85563665449899</v>
      </c>
      <c r="T800" s="126">
        <f t="shared" si="254"/>
        <v>454.33000000000004</v>
      </c>
      <c r="U800" s="127">
        <f>(((IF(K800="New",0,SUMIF('MPG Payment '!$E$3:$E$34579,'Shayak Income '!D800,'MPG Payment '!$AC$3:$AC$34579))))+0)+0</f>
        <v>0</v>
      </c>
      <c r="V800" s="127">
        <f t="shared" si="255"/>
        <v>7269</v>
      </c>
      <c r="W800" s="19">
        <f t="shared" si="261"/>
        <v>3399.3270911029995</v>
      </c>
      <c r="X800" s="19">
        <v>0</v>
      </c>
      <c r="Y800" s="128">
        <f>IFERROR(VLOOKUP(D800,'Monthly Deduction'!$M$2:$N$64,2,0),0)</f>
        <v>0</v>
      </c>
      <c r="Z800" s="128">
        <v>0</v>
      </c>
      <c r="AA800" s="126">
        <f>IFERROR(VLOOKUP(D800,'Monthly Deduction'!A:B,2,0),0)</f>
        <v>0</v>
      </c>
      <c r="AB800" s="129">
        <f t="shared" si="244"/>
        <v>3870</v>
      </c>
      <c r="AC800" s="130">
        <f>AB800</f>
        <v>3870</v>
      </c>
      <c r="AD800" s="35">
        <f t="shared" si="223"/>
        <v>0</v>
      </c>
      <c r="AE800" s="166" t="str">
        <f t="shared" si="258"/>
        <v>Yes</v>
      </c>
      <c r="AF800" s="127"/>
      <c r="AG800" s="18">
        <v>0</v>
      </c>
      <c r="AH800" s="120" t="s">
        <v>1646</v>
      </c>
      <c r="AI800" s="238">
        <v>20000</v>
      </c>
      <c r="AJ800" s="132"/>
      <c r="AK800" s="151">
        <v>957.30000000000007</v>
      </c>
      <c r="AL800" s="154">
        <f t="shared" si="209"/>
        <v>0</v>
      </c>
      <c r="AM800" s="155"/>
      <c r="AN800" s="19">
        <f t="shared" si="247"/>
        <v>3399.3270911029995</v>
      </c>
      <c r="AO800" s="118">
        <f>SUMIF('MPG Payment '!E:E,'Shayak Income '!D800,'MPG Payment '!AJ:AJ)</f>
        <v>0</v>
      </c>
      <c r="AP800" s="19">
        <f t="shared" si="248"/>
        <v>3399.3270911029995</v>
      </c>
      <c r="AQ800" s="119">
        <f t="shared" si="224"/>
        <v>3399.3270911029995</v>
      </c>
      <c r="AR800" s="91" t="s">
        <v>1168</v>
      </c>
      <c r="AS800" s="91">
        <f t="shared" si="250"/>
        <v>0</v>
      </c>
      <c r="AT800" s="118"/>
      <c r="AU800" s="118"/>
      <c r="AV800" s="118"/>
    </row>
    <row r="801" spans="1:48" s="20" customFormat="1" x14ac:dyDescent="0.25">
      <c r="A801" s="17">
        <f>IFERROR(VLOOKUP(D801,'Monthly Deduction'!$I$3:$J$957,2,0),0)</f>
        <v>0</v>
      </c>
      <c r="B801" s="17">
        <f>IFERROR(VLOOKUP(D801,'Monthly Deduction'!$E$3:$F$957,2,0),0)</f>
        <v>0</v>
      </c>
      <c r="C801" s="17">
        <f t="shared" ref="C801:C885" si="265">A801+B801</f>
        <v>0</v>
      </c>
      <c r="D801" s="41">
        <v>10570046</v>
      </c>
      <c r="E801" s="122" t="str">
        <f>VLOOKUP(D801,'MPG Payment '!$E$3:$G$498218,2,0)</f>
        <v>Patpara</v>
      </c>
      <c r="F801" s="146">
        <f>IFERROR(_xlfn.XLOOKUP(D801,'Monthly Deduction'!$I$3:$I$957,'Monthly Deduction'!$H$3:$H$957),0)</f>
        <v>0</v>
      </c>
      <c r="G801" s="123" t="str">
        <f>VLOOKUP(D801,'MPG Payment '!$E$3:$G$334579,3,0)</f>
        <v>vlc</v>
      </c>
      <c r="H801" s="124" t="str">
        <f>VLOOKUP(D801,'MPG Payment '!$E$3:$H$334579,4,0)</f>
        <v>Indirect</v>
      </c>
      <c r="I801" s="88">
        <f>INDEX('MPG Payment '!$C:$C,MATCH('Shayak Income '!D801,'MPG Payment '!E:E,0))</f>
        <v>1057</v>
      </c>
      <c r="J801" s="88" t="str">
        <f>INDEX('MPG Payment '!$D:$D,MATCH('Shayak Income '!D801,'MPG Payment '!E:E,0))</f>
        <v>Warisnagar</v>
      </c>
      <c r="K801" s="125" t="s">
        <v>1322</v>
      </c>
      <c r="L801" s="125">
        <v>46066</v>
      </c>
      <c r="M801" s="126">
        <f>SUMIF('MPG Payment '!$E$3:$E$34579,'Shayak Income '!D801,'MPG Payment '!$I$3:$I$34579)</f>
        <v>2088.1</v>
      </c>
      <c r="N801" s="126">
        <f>SUMIF('MPG Payment '!$E$3:$E$34579,'Shayak Income '!D801,'MPG Payment '!$J$3:$J$34579)</f>
        <v>70622.939153696003</v>
      </c>
      <c r="O801" s="126">
        <f t="shared" si="252"/>
        <v>1566.0749999999998</v>
      </c>
      <c r="P801" s="126">
        <f t="shared" si="253"/>
        <v>1983.6949999999997</v>
      </c>
      <c r="Q801" s="126">
        <f>SUMIF('MPG Payment '!$E$3:$E$34579,'Shayak Income '!D801,'MPG Payment '!$S$3:$S$34579)</f>
        <v>0</v>
      </c>
      <c r="R801" s="126">
        <f t="shared" si="242"/>
        <v>2118.6881746108802</v>
      </c>
      <c r="S801" s="126">
        <f t="shared" si="243"/>
        <v>134.99317461088049</v>
      </c>
      <c r="T801" s="126">
        <f t="shared" si="254"/>
        <v>208.81</v>
      </c>
      <c r="U801" s="127">
        <f>(((IF(K801="New",0,SUMIF('MPG Payment '!$E$3:$E$34579,'Shayak Income '!D801,'MPG Payment '!$AC$3:$AC$34579))))+0)+0</f>
        <v>484.83928582908453</v>
      </c>
      <c r="V801" s="127">
        <f t="shared" si="255"/>
        <v>2856</v>
      </c>
      <c r="W801" s="19">
        <f t="shared" si="261"/>
        <v>0</v>
      </c>
      <c r="X801" s="19">
        <f t="shared" si="263"/>
        <v>0</v>
      </c>
      <c r="Y801" s="128">
        <f>IFERROR(VLOOKUP(D801,'Monthly Deduction'!$M$2:$N$64,2,0),0)</f>
        <v>0</v>
      </c>
      <c r="Z801" s="128">
        <v>0</v>
      </c>
      <c r="AA801" s="126">
        <f>IFERROR(VLOOKUP(D801,'Monthly Deduction'!A:B,2,0),0)</f>
        <v>0</v>
      </c>
      <c r="AB801" s="129">
        <f t="shared" si="244"/>
        <v>2856</v>
      </c>
      <c r="AC801" s="130">
        <v>0</v>
      </c>
      <c r="AD801" s="35">
        <f t="shared" ref="AD801:AD885" si="266">ROUND(AB801-AC801,0)</f>
        <v>2856</v>
      </c>
      <c r="AE801" s="166" t="str">
        <f t="shared" si="258"/>
        <v>Release</v>
      </c>
      <c r="AF801" s="127"/>
      <c r="AG801" s="18">
        <v>0</v>
      </c>
      <c r="AH801" s="132"/>
      <c r="AI801" s="238">
        <v>0</v>
      </c>
      <c r="AJ801" s="132"/>
      <c r="AK801" s="151">
        <v>576.90000000000009</v>
      </c>
      <c r="AL801" s="154">
        <f t="shared" ref="AL801:AL885" si="267">COUNTIF(AK801:AK801,"=NA")</f>
        <v>0</v>
      </c>
      <c r="AM801" s="155"/>
      <c r="AN801" s="19">
        <f t="shared" si="247"/>
        <v>0</v>
      </c>
      <c r="AO801" s="118">
        <f>SUMIF('MPG Payment '!E:E,'Shayak Income '!D801,'MPG Payment '!AJ:AJ)</f>
        <v>0</v>
      </c>
      <c r="AP801" s="19">
        <f t="shared" si="248"/>
        <v>0</v>
      </c>
      <c r="AQ801" s="119">
        <f t="shared" ref="AQ801:AQ885" si="268">AO801+AP801</f>
        <v>0</v>
      </c>
      <c r="AR801" s="91" t="s">
        <v>1168</v>
      </c>
      <c r="AS801" s="91">
        <f t="shared" si="250"/>
        <v>0</v>
      </c>
      <c r="AT801" s="118"/>
      <c r="AU801" s="118"/>
      <c r="AV801" s="118"/>
    </row>
    <row r="802" spans="1:48" s="20" customFormat="1" x14ac:dyDescent="0.25">
      <c r="A802" s="17">
        <f>IFERROR(VLOOKUP(D802,'Monthly Deduction'!$I$3:$J$957,2,0),0)</f>
        <v>85000</v>
      </c>
      <c r="B802" s="17">
        <f>IFERROR(VLOOKUP(D802,'Monthly Deduction'!$E$3:$F$957,2,0),0)</f>
        <v>0</v>
      </c>
      <c r="C802" s="17">
        <f t="shared" si="265"/>
        <v>85000</v>
      </c>
      <c r="D802" s="41">
        <v>10580022</v>
      </c>
      <c r="E802" s="122" t="str">
        <f>VLOOKUP(D802,'MPG Payment '!$E$3:$G$498218,2,0)</f>
        <v>KOLAWARI</v>
      </c>
      <c r="F802" s="146">
        <f>IFERROR(_xlfn.XLOOKUP(D802,'Monthly Deduction'!$I$3:$I$957,'Monthly Deduction'!$H$3:$H$957),0)</f>
        <v>0</v>
      </c>
      <c r="G802" s="123" t="str">
        <f>VLOOKUP(D802,'MPG Payment '!$E$3:$G$334579,3,0)</f>
        <v>MPG</v>
      </c>
      <c r="H802" s="124" t="str">
        <f>VLOOKUP(D802,'MPG Payment '!$E$3:$H$334579,4,0)</f>
        <v>Direct</v>
      </c>
      <c r="I802" s="88">
        <f>INDEX('MPG Payment '!$C:$C,MATCH('Shayak Income '!D802,'MPG Payment '!E:E,0))</f>
        <v>1058</v>
      </c>
      <c r="J802" s="88" t="str">
        <f>INDEX('MPG Payment '!$D:$D,MATCH('Shayak Income '!D802,'MPG Payment '!E:E,0))</f>
        <v>Hasanpur</v>
      </c>
      <c r="K802" s="125" t="s">
        <v>1322</v>
      </c>
      <c r="L802" s="125">
        <v>46072</v>
      </c>
      <c r="M802" s="126">
        <f>SUMIF('MPG Payment '!$E$3:$E$34579,'Shayak Income '!D802,'MPG Payment '!$I$3:$I$34579)</f>
        <v>897.8</v>
      </c>
      <c r="N802" s="126">
        <f>SUMIF('MPG Payment '!$E$3:$E$34579,'Shayak Income '!D802,'MPG Payment '!$J$3:$J$34579)</f>
        <v>42955.510218327589</v>
      </c>
      <c r="O802" s="126">
        <f t="shared" si="252"/>
        <v>673.34999999999991</v>
      </c>
      <c r="P802" s="126">
        <f t="shared" si="253"/>
        <v>852.91</v>
      </c>
      <c r="Q802" s="126">
        <f>SUMIF('MPG Payment '!$E$3:$E$34579,'Shayak Income '!D802,'MPG Payment '!$S$3:$S$34579)</f>
        <v>0</v>
      </c>
      <c r="R802" s="126">
        <f t="shared" si="242"/>
        <v>1288.6653065498276</v>
      </c>
      <c r="S802" s="126">
        <f t="shared" si="243"/>
        <v>435.75530654982765</v>
      </c>
      <c r="T802" s="126">
        <f t="shared" si="254"/>
        <v>89.78</v>
      </c>
      <c r="U802" s="127">
        <f>(((IF(K802="New",0,SUMIF('MPG Payment '!$E$3:$E$34579,'Shayak Income '!D802,'MPG Payment '!$AC$3:$AC$34579))))+0)+-406</f>
        <v>1436.4451013680684</v>
      </c>
      <c r="V802" s="127">
        <f t="shared" si="255"/>
        <v>0</v>
      </c>
      <c r="W802" s="19">
        <v>0</v>
      </c>
      <c r="X802" s="19">
        <v>0</v>
      </c>
      <c r="Y802" s="128">
        <f>IFERROR(VLOOKUP(D802,'Monthly Deduction'!$M$2:$N$64,2,0),0)</f>
        <v>0</v>
      </c>
      <c r="Z802" s="128">
        <v>0</v>
      </c>
      <c r="AA802" s="126">
        <f>IFERROR(VLOOKUP(D802,'Monthly Deduction'!A:B,2,0),0)</f>
        <v>0</v>
      </c>
      <c r="AB802" s="129">
        <f t="shared" si="244"/>
        <v>0</v>
      </c>
      <c r="AC802" s="130">
        <f>AB802</f>
        <v>0</v>
      </c>
      <c r="AD802" s="35">
        <f t="shared" si="266"/>
        <v>0</v>
      </c>
      <c r="AE802" s="166" t="str">
        <f t="shared" si="258"/>
        <v>Release</v>
      </c>
      <c r="AF802" s="127"/>
      <c r="AG802" s="18">
        <v>0</v>
      </c>
      <c r="AH802" s="120" t="s">
        <v>1650</v>
      </c>
      <c r="AI802" s="238">
        <v>20000</v>
      </c>
      <c r="AJ802" s="132"/>
      <c r="AK802" s="151">
        <v>294.39999999999998</v>
      </c>
      <c r="AL802" s="154">
        <f t="shared" si="267"/>
        <v>0</v>
      </c>
      <c r="AM802" s="155"/>
      <c r="AN802" s="19">
        <f t="shared" si="247"/>
        <v>1861</v>
      </c>
      <c r="AO802" s="118">
        <f>SUMIF('MPG Payment '!E:E,'Shayak Income '!D802,'MPG Payment '!AJ:AJ)</f>
        <v>0</v>
      </c>
      <c r="AP802" s="19">
        <f t="shared" si="248"/>
        <v>0</v>
      </c>
      <c r="AQ802" s="119">
        <f t="shared" si="268"/>
        <v>0</v>
      </c>
      <c r="AR802" s="91" t="s">
        <v>1168</v>
      </c>
      <c r="AS802" s="91">
        <f t="shared" si="250"/>
        <v>0</v>
      </c>
      <c r="AT802" s="118"/>
      <c r="AU802" s="118"/>
      <c r="AV802" s="118"/>
    </row>
    <row r="803" spans="1:48" s="20" customFormat="1" x14ac:dyDescent="0.25">
      <c r="A803" s="17">
        <f>IFERROR(VLOOKUP(D803,'Monthly Deduction'!$I$3:$J$957,2,0),0)</f>
        <v>0</v>
      </c>
      <c r="B803" s="17">
        <f>IFERROR(VLOOKUP(D803,'Monthly Deduction'!$E$3:$F$957,2,0),0)</f>
        <v>0</v>
      </c>
      <c r="C803" s="17">
        <f t="shared" ref="C803:C858" si="269">A803+B803</f>
        <v>0</v>
      </c>
      <c r="D803" s="41">
        <v>10580023</v>
      </c>
      <c r="E803" s="122" t="str">
        <f>VLOOKUP(D803,'MPG Payment '!$E$3:$G$498218,2,0)</f>
        <v>MALDAH</v>
      </c>
      <c r="F803" s="146">
        <f>IFERROR(_xlfn.XLOOKUP(D803,'Monthly Deduction'!$I$3:$I$957,'Monthly Deduction'!$H$3:$H$957),0)</f>
        <v>0</v>
      </c>
      <c r="G803" s="123" t="str">
        <f>VLOOKUP(D803,'MPG Payment '!$E$3:$G$334579,3,0)</f>
        <v>vlc</v>
      </c>
      <c r="H803" s="124" t="str">
        <f>VLOOKUP(D803,'MPG Payment '!$E$3:$H$334579,4,0)</f>
        <v>Indirect</v>
      </c>
      <c r="I803" s="88">
        <f>INDEX('MPG Payment '!$C:$C,MATCH('Shayak Income '!D803,'MPG Payment '!E:E,0))</f>
        <v>1058</v>
      </c>
      <c r="J803" s="88" t="str">
        <f>INDEX('MPG Payment '!$D:$D,MATCH('Shayak Income '!D803,'MPG Payment '!E:E,0))</f>
        <v>Hasanpur</v>
      </c>
      <c r="K803" s="125" t="s">
        <v>1322</v>
      </c>
      <c r="L803" s="125">
        <v>46066</v>
      </c>
      <c r="M803" s="126">
        <f>SUMIF('MPG Payment '!$E$3:$E$34579,'Shayak Income '!D803,'MPG Payment '!$I$3:$I$34579)</f>
        <v>3170.5000000000005</v>
      </c>
      <c r="N803" s="126">
        <f>SUMIF('MPG Payment '!$E$3:$E$34579,'Shayak Income '!D803,'MPG Payment '!$J$3:$J$34579)</f>
        <v>123940.70677428599</v>
      </c>
      <c r="O803" s="126">
        <f t="shared" ref="O803:O858" si="270">+M803*0.75</f>
        <v>2377.8750000000005</v>
      </c>
      <c r="P803" s="126">
        <f t="shared" ref="P803:P858" si="271">+M803*0.95</f>
        <v>3011.9750000000004</v>
      </c>
      <c r="Q803" s="126">
        <f>SUMIF('MPG Payment '!$E$3:$E$34579,'Shayak Income '!D803,'MPG Payment '!$S$3:$S$34579)</f>
        <v>0</v>
      </c>
      <c r="R803" s="126">
        <f t="shared" ref="R803:R858" si="272">+N803*3%</f>
        <v>3718.2212032285797</v>
      </c>
      <c r="S803" s="126">
        <f t="shared" ref="S803:S858" si="273">R803-P803</f>
        <v>706.24620322857936</v>
      </c>
      <c r="T803" s="126">
        <f t="shared" si="254"/>
        <v>317.05000000000007</v>
      </c>
      <c r="U803" s="127">
        <f>(((IF(K803="New",0,SUMIF('MPG Payment '!$E$3:$E$34579,'Shayak Income '!D803,'MPG Payment '!$AC$3:$AC$34579))))+0)+0</f>
        <v>0</v>
      </c>
      <c r="V803" s="127">
        <f t="shared" si="255"/>
        <v>5073</v>
      </c>
      <c r="W803" s="19">
        <f t="shared" si="261"/>
        <v>0</v>
      </c>
      <c r="X803" s="19">
        <f t="shared" si="263"/>
        <v>0</v>
      </c>
      <c r="Y803" s="128">
        <f>IFERROR(VLOOKUP(D803,'Monthly Deduction'!$M$2:$N$64,2,0),0)</f>
        <v>0</v>
      </c>
      <c r="Z803" s="128">
        <v>0</v>
      </c>
      <c r="AA803" s="126">
        <f>IFERROR(VLOOKUP(D803,'Monthly Deduction'!A:B,2,0),0)</f>
        <v>0</v>
      </c>
      <c r="AB803" s="129">
        <f t="shared" ref="AB803:AB858" si="274">ROUND(IFERROR(V803-SUM(W803:AA803),0),0)</f>
        <v>5073</v>
      </c>
      <c r="AC803" s="130">
        <v>0</v>
      </c>
      <c r="AD803" s="35">
        <f t="shared" ref="AD803:AD858" si="275">ROUND(AB803-AC803,0)</f>
        <v>5073</v>
      </c>
      <c r="AE803" s="166" t="str">
        <f t="shared" si="258"/>
        <v>Release</v>
      </c>
      <c r="AF803" s="127"/>
      <c r="AG803" s="18">
        <v>0</v>
      </c>
      <c r="AH803" s="132"/>
      <c r="AI803" s="238">
        <v>0</v>
      </c>
      <c r="AJ803" s="132"/>
      <c r="AK803" s="151">
        <v>947.5</v>
      </c>
      <c r="AL803" s="154">
        <f t="shared" ref="AL803:AL858" si="276">COUNTIF(AK803:AK803,"=NA")</f>
        <v>0</v>
      </c>
      <c r="AM803" s="155"/>
      <c r="AN803" s="19">
        <f t="shared" si="247"/>
        <v>0</v>
      </c>
      <c r="AO803" s="118">
        <f>SUMIF('MPG Payment '!E:E,'Shayak Income '!D803,'MPG Payment '!AJ:AJ)</f>
        <v>0</v>
      </c>
      <c r="AP803" s="19">
        <f t="shared" si="248"/>
        <v>0</v>
      </c>
      <c r="AQ803" s="119">
        <f t="shared" ref="AQ803:AQ858" si="277">AO803+AP803</f>
        <v>0</v>
      </c>
      <c r="AR803" s="91" t="s">
        <v>1168</v>
      </c>
      <c r="AS803" s="91">
        <f t="shared" si="250"/>
        <v>0</v>
      </c>
      <c r="AT803" s="118"/>
      <c r="AU803" s="118"/>
      <c r="AV803" s="118"/>
    </row>
    <row r="804" spans="1:48" s="20" customFormat="1" x14ac:dyDescent="0.25">
      <c r="A804" s="17">
        <f>IFERROR(VLOOKUP(D804,'Monthly Deduction'!$I$3:$J$957,2,0),0)</f>
        <v>75000</v>
      </c>
      <c r="B804" s="17">
        <f>IFERROR(VLOOKUP(D804,'Monthly Deduction'!$E$3:$F$957,2,0),0)</f>
        <v>0</v>
      </c>
      <c r="C804" s="17">
        <f t="shared" si="269"/>
        <v>75000</v>
      </c>
      <c r="D804" s="41">
        <v>10610009</v>
      </c>
      <c r="E804" s="122" t="str">
        <f>VLOOKUP(D804,'MPG Payment '!$E$3:$G$498218,2,0)</f>
        <v>GOMUKH Khanpatti</v>
      </c>
      <c r="F804" s="146">
        <f>IFERROR(_xlfn.XLOOKUP(D804,'Monthly Deduction'!$I$3:$I$957,'Monthly Deduction'!$H$3:$H$957),0)</f>
        <v>0</v>
      </c>
      <c r="G804" s="123" t="str">
        <f>VLOOKUP(D804,'MPG Payment '!$E$3:$G$334579,3,0)</f>
        <v>MPG</v>
      </c>
      <c r="H804" s="124" t="str">
        <f>VLOOKUP(D804,'MPG Payment '!$E$3:$H$334579,4,0)</f>
        <v>Direct</v>
      </c>
      <c r="I804" s="88">
        <f>INDEX('MPG Payment '!$C:$C,MATCH('Shayak Income '!D804,'MPG Payment '!E:E,0))</f>
        <v>1061</v>
      </c>
      <c r="J804" s="88" t="str">
        <f>INDEX('MPG Payment '!$D:$D,MATCH('Shayak Income '!D804,'MPG Payment '!E:E,0))</f>
        <v>Mahua BMC</v>
      </c>
      <c r="K804" s="125" t="s">
        <v>1322</v>
      </c>
      <c r="L804" s="125">
        <v>46071</v>
      </c>
      <c r="M804" s="126">
        <f>SUMIF('MPG Payment '!$E$3:$E$34579,'Shayak Income '!D804,'MPG Payment '!$I$3:$I$34579)</f>
        <v>3795.06</v>
      </c>
      <c r="N804" s="126">
        <f>SUMIF('MPG Payment '!$E$3:$E$34579,'Shayak Income '!D804,'MPG Payment '!$J$3:$J$34579)</f>
        <v>170116.62224452797</v>
      </c>
      <c r="O804" s="126">
        <f t="shared" si="270"/>
        <v>2846.2950000000001</v>
      </c>
      <c r="P804" s="126">
        <f t="shared" si="271"/>
        <v>3605.3069999999998</v>
      </c>
      <c r="Q804" s="126">
        <f>SUMIF('MPG Payment '!$E$3:$E$34579,'Shayak Income '!D804,'MPG Payment '!$S$3:$S$34579)</f>
        <v>979.39073105399996</v>
      </c>
      <c r="R804" s="126">
        <f t="shared" si="272"/>
        <v>5103.4986673358389</v>
      </c>
      <c r="S804" s="126">
        <f t="shared" si="273"/>
        <v>1498.1916673358392</v>
      </c>
      <c r="T804" s="126">
        <f t="shared" si="254"/>
        <v>379.50600000000003</v>
      </c>
      <c r="U804" s="127">
        <f>(((IF(K804="New",0,SUMIF('MPG Payment '!$E$3:$E$34579,'Shayak Income '!D804,'MPG Payment '!$AC$3:$AC$34579))))+0)+0</f>
        <v>0</v>
      </c>
      <c r="V804" s="127">
        <f t="shared" si="255"/>
        <v>7051</v>
      </c>
      <c r="W804" s="19">
        <f t="shared" si="261"/>
        <v>3402.3324448905596</v>
      </c>
      <c r="X804" s="19">
        <v>0</v>
      </c>
      <c r="Y804" s="128">
        <f>IFERROR(VLOOKUP(D804,'Monthly Deduction'!$M$2:$N$64,2,0),0)</f>
        <v>0</v>
      </c>
      <c r="Z804" s="128">
        <v>0</v>
      </c>
      <c r="AA804" s="126">
        <f>IFERROR(VLOOKUP(D804,'Monthly Deduction'!A:B,2,0),0)</f>
        <v>0</v>
      </c>
      <c r="AB804" s="129">
        <f t="shared" si="274"/>
        <v>3649</v>
      </c>
      <c r="AC804" s="130">
        <v>0</v>
      </c>
      <c r="AD804" s="35">
        <f t="shared" si="275"/>
        <v>3649</v>
      </c>
      <c r="AE804" s="166" t="str">
        <f t="shared" si="258"/>
        <v>Release</v>
      </c>
      <c r="AF804" s="127"/>
      <c r="AG804" s="18">
        <v>0</v>
      </c>
      <c r="AH804" s="120" t="s">
        <v>1650</v>
      </c>
      <c r="AI804" s="238">
        <v>10000</v>
      </c>
      <c r="AJ804" s="132" t="s">
        <v>68</v>
      </c>
      <c r="AK804" s="151">
        <v>1165.4000000000003</v>
      </c>
      <c r="AL804" s="154">
        <f t="shared" si="276"/>
        <v>0</v>
      </c>
      <c r="AM804" s="155"/>
      <c r="AN804" s="19">
        <f t="shared" si="247"/>
        <v>3402.3324448905596</v>
      </c>
      <c r="AO804" s="118">
        <f>SUMIF('MPG Payment '!E:E,'Shayak Income '!D804,'MPG Payment '!AJ:AJ)</f>
        <v>0</v>
      </c>
      <c r="AP804" s="19">
        <f t="shared" si="248"/>
        <v>3402.3324448905596</v>
      </c>
      <c r="AQ804" s="119">
        <f t="shared" si="277"/>
        <v>3402.3324448905596</v>
      </c>
      <c r="AR804" s="91" t="s">
        <v>1168</v>
      </c>
      <c r="AS804" s="91">
        <f t="shared" si="250"/>
        <v>0</v>
      </c>
      <c r="AT804" s="118"/>
      <c r="AU804" s="118"/>
      <c r="AV804" s="118"/>
    </row>
    <row r="805" spans="1:48" s="20" customFormat="1" x14ac:dyDescent="0.25">
      <c r="A805" s="17">
        <f>IFERROR(VLOOKUP(D805,'Monthly Deduction'!$I$3:$J$957,2,0),0)</f>
        <v>65000</v>
      </c>
      <c r="B805" s="17">
        <f>IFERROR(VLOOKUP(D805,'Monthly Deduction'!$E$3:$F$957,2,0),0)</f>
        <v>0</v>
      </c>
      <c r="C805" s="17">
        <f t="shared" si="269"/>
        <v>65000</v>
      </c>
      <c r="D805" s="41">
        <v>10060129</v>
      </c>
      <c r="E805" s="122" t="str">
        <f>VLOOKUP(D805,'MPG Payment '!$E$3:$G$498218,2,0)</f>
        <v>BARIYARPUR</v>
      </c>
      <c r="F805" s="146">
        <f>IFERROR(_xlfn.XLOOKUP(D805,'Monthly Deduction'!$I$3:$I$957,'Monthly Deduction'!$H$3:$H$957),0)</f>
        <v>0</v>
      </c>
      <c r="G805" s="123" t="str">
        <f>VLOOKUP(D805,'MPG Payment '!$E$3:$G$334579,3,0)</f>
        <v>MPG</v>
      </c>
      <c r="H805" s="124" t="str">
        <f>VLOOKUP(D805,'MPG Payment '!$E$3:$H$334579,4,0)</f>
        <v>Direct</v>
      </c>
      <c r="I805" s="88">
        <f>INDEX('MPG Payment '!$C:$C,MATCH('Shayak Income '!D805,'MPG Payment '!E:E,0))</f>
        <v>1006</v>
      </c>
      <c r="J805" s="88" t="str">
        <f>INDEX('MPG Payment '!$D:$D,MATCH('Shayak Income '!D805,'MPG Payment '!E:E,0))</f>
        <v>Sonvarsha</v>
      </c>
      <c r="K805" s="125" t="s">
        <v>1322</v>
      </c>
      <c r="L805" s="125">
        <v>46073</v>
      </c>
      <c r="M805" s="126">
        <f>SUMIF('MPG Payment '!$E$3:$E$34579,'Shayak Income '!D805,'MPG Payment '!$I$3:$I$34579)</f>
        <v>996.30000000000007</v>
      </c>
      <c r="N805" s="126">
        <f>SUMIF('MPG Payment '!$E$3:$E$34579,'Shayak Income '!D805,'MPG Payment '!$J$3:$J$34579)</f>
        <v>39372.125283460002</v>
      </c>
      <c r="O805" s="126">
        <f t="shared" si="270"/>
        <v>747.22500000000002</v>
      </c>
      <c r="P805" s="126">
        <f t="shared" si="271"/>
        <v>946.48500000000001</v>
      </c>
      <c r="Q805" s="126">
        <f>SUMIF('MPG Payment '!$E$3:$E$34579,'Shayak Income '!D805,'MPG Payment '!$S$3:$S$34579)</f>
        <v>545.50707423000006</v>
      </c>
      <c r="R805" s="126">
        <f t="shared" si="272"/>
        <v>1181.1637585038</v>
      </c>
      <c r="S805" s="126">
        <f t="shared" si="273"/>
        <v>234.67875850379994</v>
      </c>
      <c r="T805" s="126">
        <f t="shared" si="254"/>
        <v>99.63000000000001</v>
      </c>
      <c r="U805" s="127">
        <f>(((IF(K805="New",0,SUMIF('MPG Payment '!$E$3:$E$34579,'Shayak Income '!D805,'MPG Payment '!$AC$3:$AC$34579))))+0)+0</f>
        <v>1427.3993817854907</v>
      </c>
      <c r="V805" s="127">
        <f t="shared" si="255"/>
        <v>712</v>
      </c>
      <c r="W805" s="19">
        <v>712</v>
      </c>
      <c r="X805" s="19">
        <v>0</v>
      </c>
      <c r="Y805" s="128">
        <f>IFERROR(VLOOKUP(D805,'Monthly Deduction'!$M$2:$N$64,2,0),0)</f>
        <v>0</v>
      </c>
      <c r="Z805" s="128">
        <v>0</v>
      </c>
      <c r="AA805" s="126">
        <f>IFERROR(VLOOKUP(D805,'Monthly Deduction'!A:B,2,0),0)</f>
        <v>0</v>
      </c>
      <c r="AB805" s="129">
        <f t="shared" si="274"/>
        <v>0</v>
      </c>
      <c r="AC805" s="130">
        <v>0</v>
      </c>
      <c r="AD805" s="35">
        <f t="shared" si="275"/>
        <v>0</v>
      </c>
      <c r="AE805" s="166" t="str">
        <f t="shared" si="258"/>
        <v>Release</v>
      </c>
      <c r="AF805" s="127"/>
      <c r="AG805" s="18">
        <v>0</v>
      </c>
      <c r="AH805" s="132"/>
      <c r="AI805" s="238">
        <v>0</v>
      </c>
      <c r="AJ805" s="132"/>
      <c r="AK805" s="151">
        <v>423.2</v>
      </c>
      <c r="AL805" s="154">
        <f t="shared" si="276"/>
        <v>0</v>
      </c>
      <c r="AM805" s="155"/>
      <c r="AN805" s="19">
        <f t="shared" si="247"/>
        <v>1861</v>
      </c>
      <c r="AO805" s="118">
        <f>SUMIF('MPG Payment '!E:E,'Shayak Income '!D805,'MPG Payment '!AJ:AJ)</f>
        <v>0</v>
      </c>
      <c r="AP805" s="19">
        <f t="shared" si="248"/>
        <v>712</v>
      </c>
      <c r="AQ805" s="119">
        <f t="shared" si="277"/>
        <v>712</v>
      </c>
      <c r="AR805" s="91" t="s">
        <v>1168</v>
      </c>
      <c r="AS805" s="91">
        <f t="shared" si="250"/>
        <v>0</v>
      </c>
      <c r="AT805" s="118"/>
      <c r="AU805" s="118"/>
      <c r="AV805" s="118"/>
    </row>
    <row r="806" spans="1:48" s="20" customFormat="1" x14ac:dyDescent="0.25">
      <c r="A806" s="17">
        <f>IFERROR(VLOOKUP(D806,'Monthly Deduction'!$I$3:$J$957,2,0),0)</f>
        <v>70000</v>
      </c>
      <c r="B806" s="17">
        <f>IFERROR(VLOOKUP(D806,'Monthly Deduction'!$E$3:$F$957,2,0),0)</f>
        <v>0</v>
      </c>
      <c r="C806" s="17">
        <f t="shared" si="269"/>
        <v>70000</v>
      </c>
      <c r="D806" s="41">
        <v>10080122</v>
      </c>
      <c r="E806" s="122" t="str">
        <f>VLOOKUP(D806,'MPG Payment '!$E$3:$G$498218,2,0)</f>
        <v>Gomukh Puranatol Raichiahi</v>
      </c>
      <c r="F806" s="146">
        <f>IFERROR(_xlfn.XLOOKUP(D806,'Monthly Deduction'!$I$3:$I$957,'Monthly Deduction'!$H$3:$H$957),0)</f>
        <v>0</v>
      </c>
      <c r="G806" s="123" t="str">
        <f>VLOOKUP(D806,'MPG Payment '!$E$3:$G$334579,3,0)</f>
        <v>MPG</v>
      </c>
      <c r="H806" s="124" t="str">
        <f>VLOOKUP(D806,'MPG Payment '!$E$3:$H$334579,4,0)</f>
        <v>Direct</v>
      </c>
      <c r="I806" s="88">
        <f>INDEX('MPG Payment '!$C:$C,MATCH('Shayak Income '!D806,'MPG Payment '!E:E,0))</f>
        <v>1008</v>
      </c>
      <c r="J806" s="88" t="str">
        <f>INDEX('MPG Payment '!$D:$D,MATCH('Shayak Income '!D806,'MPG Payment '!E:E,0))</f>
        <v>Teghra</v>
      </c>
      <c r="K806" s="125" t="s">
        <v>1322</v>
      </c>
      <c r="L806" s="125">
        <v>46077</v>
      </c>
      <c r="M806" s="126">
        <f>SUMIF('MPG Payment '!$E$3:$E$34579,'Shayak Income '!D806,'MPG Payment '!$I$3:$I$34579)</f>
        <v>2609.1000000000004</v>
      </c>
      <c r="N806" s="126">
        <f>SUMIF('MPG Payment '!$E$3:$E$34579,'Shayak Income '!D806,'MPG Payment '!$J$3:$J$34579)</f>
        <v>98272.077262700011</v>
      </c>
      <c r="O806" s="126">
        <f t="shared" si="270"/>
        <v>1956.8250000000003</v>
      </c>
      <c r="P806" s="126">
        <f t="shared" si="271"/>
        <v>2478.6450000000004</v>
      </c>
      <c r="Q806" s="126">
        <f>SUMIF('MPG Payment '!$E$3:$E$34579,'Shayak Income '!D806,'MPG Payment '!$S$3:$S$34579)</f>
        <v>0</v>
      </c>
      <c r="R806" s="126">
        <f t="shared" si="272"/>
        <v>2948.162317881</v>
      </c>
      <c r="S806" s="126">
        <f t="shared" si="273"/>
        <v>469.5173178809996</v>
      </c>
      <c r="T806" s="126">
        <f t="shared" si="254"/>
        <v>260.91000000000003</v>
      </c>
      <c r="U806" s="127">
        <f>(((IF(K806="New",0,SUMIF('MPG Payment '!$E$3:$E$34579,'Shayak Income '!D806,'MPG Payment '!$AC$3:$AC$34579))))+0)+0</f>
        <v>165.20498863538387</v>
      </c>
      <c r="V806" s="127">
        <f t="shared" si="255"/>
        <v>4009</v>
      </c>
      <c r="W806" s="19">
        <f t="shared" si="261"/>
        <v>1965.4415452540002</v>
      </c>
      <c r="X806" s="19">
        <v>0</v>
      </c>
      <c r="Y806" s="128">
        <f>IFERROR(VLOOKUP(D806,'Monthly Deduction'!$M$2:$N$64,2,0),0)</f>
        <v>0</v>
      </c>
      <c r="Z806" s="128">
        <v>0</v>
      </c>
      <c r="AA806" s="126">
        <f>IFERROR(VLOOKUP(D806,'Monthly Deduction'!A:B,2,0),0)</f>
        <v>0</v>
      </c>
      <c r="AB806" s="129">
        <f t="shared" si="274"/>
        <v>2044</v>
      </c>
      <c r="AC806" s="130">
        <f t="shared" ref="AC806:AC807" si="278">AB806</f>
        <v>2044</v>
      </c>
      <c r="AD806" s="35">
        <f t="shared" si="275"/>
        <v>0</v>
      </c>
      <c r="AE806" s="166" t="str">
        <f t="shared" si="258"/>
        <v>Yes</v>
      </c>
      <c r="AF806" s="127"/>
      <c r="AG806" s="18">
        <v>0</v>
      </c>
      <c r="AH806" s="120" t="s">
        <v>1650</v>
      </c>
      <c r="AI806" s="238">
        <v>5000</v>
      </c>
      <c r="AJ806" s="132"/>
      <c r="AK806" s="151">
        <v>650.04999999999995</v>
      </c>
      <c r="AL806" s="154">
        <f t="shared" si="276"/>
        <v>0</v>
      </c>
      <c r="AM806" s="155"/>
      <c r="AN806" s="19">
        <f t="shared" si="247"/>
        <v>1965.4415452540002</v>
      </c>
      <c r="AO806" s="118">
        <f>SUMIF('MPG Payment '!E:E,'Shayak Income '!D806,'MPG Payment '!AJ:AJ)</f>
        <v>0</v>
      </c>
      <c r="AP806" s="19">
        <f t="shared" si="248"/>
        <v>1965.4415452540002</v>
      </c>
      <c r="AQ806" s="119">
        <f t="shared" si="277"/>
        <v>1965.4415452540002</v>
      </c>
      <c r="AR806" s="91" t="s">
        <v>1168</v>
      </c>
      <c r="AS806" s="91">
        <f t="shared" si="250"/>
        <v>0</v>
      </c>
      <c r="AT806" s="118"/>
      <c r="AU806" s="118"/>
      <c r="AV806" s="118"/>
    </row>
    <row r="807" spans="1:48" s="20" customFormat="1" x14ac:dyDescent="0.25">
      <c r="A807" s="17">
        <f>IFERROR(VLOOKUP(D807,'Monthly Deduction'!$I$3:$J$957,2,0),0)</f>
        <v>75000</v>
      </c>
      <c r="B807" s="17">
        <f>IFERROR(VLOOKUP(D807,'Monthly Deduction'!$E$3:$F$957,2,0),0)</f>
        <v>0</v>
      </c>
      <c r="C807" s="17">
        <f t="shared" si="269"/>
        <v>75000</v>
      </c>
      <c r="D807" s="41">
        <v>10110181</v>
      </c>
      <c r="E807" s="122" t="str">
        <f>VLOOKUP(D807,'MPG Payment '!$E$3:$G$498218,2,0)</f>
        <v>Gomukh Mirjapur Bari</v>
      </c>
      <c r="F807" s="146">
        <f>IFERROR(_xlfn.XLOOKUP(D807,'Monthly Deduction'!$I$3:$I$957,'Monthly Deduction'!$H$3:$H$957),0)</f>
        <v>0</v>
      </c>
      <c r="G807" s="123" t="str">
        <f>VLOOKUP(D807,'MPG Payment '!$E$3:$G$334579,3,0)</f>
        <v>MPG</v>
      </c>
      <c r="H807" s="124" t="str">
        <f>VLOOKUP(D807,'MPG Payment '!$E$3:$H$334579,4,0)</f>
        <v>Direct</v>
      </c>
      <c r="I807" s="88">
        <f>INDEX('MPG Payment '!$C:$C,MATCH('Shayak Income '!D807,'MPG Payment '!E:E,0))</f>
        <v>1011</v>
      </c>
      <c r="J807" s="88" t="str">
        <f>INDEX('MPG Payment '!$D:$D,MATCH('Shayak Income '!D807,'MPG Payment '!E:E,0))</f>
        <v>Sahibpur Kamal</v>
      </c>
      <c r="K807" s="125" t="s">
        <v>1322</v>
      </c>
      <c r="L807" s="125">
        <v>46075</v>
      </c>
      <c r="M807" s="126">
        <f>SUMIF('MPG Payment '!$E$3:$E$34579,'Shayak Income '!D807,'MPG Payment '!$I$3:$I$34579)</f>
        <v>87.7</v>
      </c>
      <c r="N807" s="126">
        <f>SUMIF('MPG Payment '!$E$3:$E$34579,'Shayak Income '!D807,'MPG Payment '!$J$3:$J$34579)</f>
        <v>3214.5200000000004</v>
      </c>
      <c r="O807" s="126">
        <f t="shared" si="270"/>
        <v>65.775000000000006</v>
      </c>
      <c r="P807" s="126">
        <f t="shared" si="271"/>
        <v>83.314999999999998</v>
      </c>
      <c r="Q807" s="126">
        <f>SUMIF('MPG Payment '!$E$3:$E$34579,'Shayak Income '!D807,'MPG Payment '!$S$3:$S$34579)</f>
        <v>0</v>
      </c>
      <c r="R807" s="126">
        <f t="shared" si="272"/>
        <v>96.435600000000008</v>
      </c>
      <c r="S807" s="126">
        <f t="shared" si="273"/>
        <v>13.12060000000001</v>
      </c>
      <c r="T807" s="126">
        <f t="shared" si="254"/>
        <v>8.7700000000000014</v>
      </c>
      <c r="U807" s="127">
        <f>(((IF(K807="New",0,SUMIF('MPG Payment '!$E$3:$E$34579,'Shayak Income '!D807,'MPG Payment '!$AC$3:$AC$34579))))+0)+-830</f>
        <v>140.63296678832126</v>
      </c>
      <c r="V807" s="127">
        <f t="shared" si="255"/>
        <v>0</v>
      </c>
      <c r="W807" s="19">
        <v>0</v>
      </c>
      <c r="X807" s="19">
        <v>0</v>
      </c>
      <c r="Y807" s="128">
        <f>IFERROR(VLOOKUP(D807,'Monthly Deduction'!$M$2:$N$64,2,0),0)</f>
        <v>0</v>
      </c>
      <c r="Z807" s="128">
        <v>0</v>
      </c>
      <c r="AA807" s="126">
        <f>IFERROR(VLOOKUP(D807,'Monthly Deduction'!A:B,2,0),0)</f>
        <v>0</v>
      </c>
      <c r="AB807" s="129">
        <f t="shared" si="274"/>
        <v>0</v>
      </c>
      <c r="AC807" s="130">
        <f t="shared" si="278"/>
        <v>0</v>
      </c>
      <c r="AD807" s="35">
        <f t="shared" si="275"/>
        <v>0</v>
      </c>
      <c r="AE807" s="166" t="str">
        <f t="shared" si="258"/>
        <v>Release</v>
      </c>
      <c r="AF807" s="127"/>
      <c r="AG807" s="18">
        <v>0</v>
      </c>
      <c r="AH807" s="120" t="s">
        <v>1651</v>
      </c>
      <c r="AI807" s="238">
        <v>10000</v>
      </c>
      <c r="AJ807" s="132"/>
      <c r="AK807" s="151">
        <v>0</v>
      </c>
      <c r="AL807" s="154">
        <f t="shared" si="276"/>
        <v>0</v>
      </c>
      <c r="AM807" s="155"/>
      <c r="AN807" s="19">
        <f t="shared" si="247"/>
        <v>1861</v>
      </c>
      <c r="AO807" s="118">
        <f>SUMIF('MPG Payment '!E:E,'Shayak Income '!D807,'MPG Payment '!AJ:AJ)</f>
        <v>0</v>
      </c>
      <c r="AP807" s="19">
        <f t="shared" si="248"/>
        <v>0</v>
      </c>
      <c r="AQ807" s="119">
        <f t="shared" si="277"/>
        <v>0</v>
      </c>
      <c r="AR807" s="91" t="s">
        <v>1168</v>
      </c>
      <c r="AS807" s="91">
        <f t="shared" si="250"/>
        <v>0</v>
      </c>
      <c r="AT807" s="118"/>
      <c r="AU807" s="118"/>
      <c r="AV807" s="118"/>
    </row>
    <row r="808" spans="1:48" s="20" customFormat="1" x14ac:dyDescent="0.25">
      <c r="A808" s="17">
        <f>IFERROR(VLOOKUP(D808,'Monthly Deduction'!$I$3:$J$957,2,0),0)</f>
        <v>0</v>
      </c>
      <c r="B808" s="17">
        <f>IFERROR(VLOOKUP(D808,'Monthly Deduction'!$E$3:$F$957,2,0),0)</f>
        <v>0</v>
      </c>
      <c r="C808" s="17">
        <f t="shared" si="269"/>
        <v>0</v>
      </c>
      <c r="D808" s="41">
        <v>10110183</v>
      </c>
      <c r="E808" s="122" t="str">
        <f>VLOOKUP(D808,'MPG Payment '!$E$3:$G$498218,2,0)</f>
        <v>Mathar-3</v>
      </c>
      <c r="F808" s="146">
        <f>IFERROR(_xlfn.XLOOKUP(D808,'Monthly Deduction'!$I$3:$I$957,'Monthly Deduction'!$H$3:$H$957),0)</f>
        <v>0</v>
      </c>
      <c r="G808" s="123" t="str">
        <f>VLOOKUP(D808,'MPG Payment '!$E$3:$G$334579,3,0)</f>
        <v>vlc</v>
      </c>
      <c r="H808" s="124" t="str">
        <f>VLOOKUP(D808,'MPG Payment '!$E$3:$H$334579,4,0)</f>
        <v>Indirect</v>
      </c>
      <c r="I808" s="88">
        <f>INDEX('MPG Payment '!$C:$C,MATCH('Shayak Income '!D808,'MPG Payment '!E:E,0))</f>
        <v>1011</v>
      </c>
      <c r="J808" s="88" t="str">
        <f>INDEX('MPG Payment '!$D:$D,MATCH('Shayak Income '!D808,'MPG Payment '!E:E,0))</f>
        <v>Sahibpur Kamal</v>
      </c>
      <c r="K808" s="125" t="s">
        <v>1322</v>
      </c>
      <c r="L808" s="125">
        <v>46073</v>
      </c>
      <c r="M808" s="126">
        <f>SUMIF('MPG Payment '!$E$3:$E$34579,'Shayak Income '!D808,'MPG Payment '!$I$3:$I$34579)</f>
        <v>7296.8000000000011</v>
      </c>
      <c r="N808" s="126">
        <f>SUMIF('MPG Payment '!$E$3:$E$34579,'Shayak Income '!D808,'MPG Payment '!$J$3:$J$34579)</f>
        <v>294197.41495904</v>
      </c>
      <c r="O808" s="126">
        <f t="shared" si="270"/>
        <v>5472.6</v>
      </c>
      <c r="P808" s="126">
        <f t="shared" si="271"/>
        <v>6931.9600000000009</v>
      </c>
      <c r="Q808" s="126">
        <f>SUMIF('MPG Payment '!$E$3:$E$34579,'Shayak Income '!D808,'MPG Payment '!$S$3:$S$34579)</f>
        <v>0</v>
      </c>
      <c r="R808" s="126">
        <f t="shared" si="272"/>
        <v>8825.9224487711999</v>
      </c>
      <c r="S808" s="126">
        <f t="shared" si="273"/>
        <v>1893.962448771199</v>
      </c>
      <c r="T808" s="126">
        <f t="shared" si="254"/>
        <v>729.68000000000018</v>
      </c>
      <c r="U808" s="127">
        <f>(((IF(K808="New",0,SUMIF('MPG Payment '!$E$3:$E$34579,'Shayak Income '!D808,'MPG Payment '!$AC$3:$AC$34579))))+0)+0</f>
        <v>0</v>
      </c>
      <c r="V808" s="127">
        <f t="shared" si="255"/>
        <v>11675</v>
      </c>
      <c r="W808" s="19">
        <f t="shared" si="261"/>
        <v>0</v>
      </c>
      <c r="X808" s="19">
        <f t="shared" si="263"/>
        <v>0</v>
      </c>
      <c r="Y808" s="128">
        <f>IFERROR(VLOOKUP(D808,'Monthly Deduction'!$M$2:$N$64,2,0),0)</f>
        <v>0</v>
      </c>
      <c r="Z808" s="128">
        <v>0</v>
      </c>
      <c r="AA808" s="126">
        <f>IFERROR(VLOOKUP(D808,'Monthly Deduction'!A:B,2,0),0)</f>
        <v>0</v>
      </c>
      <c r="AB808" s="129">
        <f t="shared" si="274"/>
        <v>11675</v>
      </c>
      <c r="AC808" s="130">
        <v>0</v>
      </c>
      <c r="AD808" s="35">
        <f t="shared" si="275"/>
        <v>11675</v>
      </c>
      <c r="AE808" s="166" t="str">
        <f t="shared" si="258"/>
        <v>Release</v>
      </c>
      <c r="AF808" s="127"/>
      <c r="AG808" s="18">
        <v>0</v>
      </c>
      <c r="AH808" s="120"/>
      <c r="AI808" s="238">
        <v>0</v>
      </c>
      <c r="AJ808" s="132"/>
      <c r="AK808" s="151">
        <v>2547.5000000000005</v>
      </c>
      <c r="AL808" s="154">
        <f t="shared" si="276"/>
        <v>0</v>
      </c>
      <c r="AM808" s="155"/>
      <c r="AN808" s="19">
        <f t="shared" si="247"/>
        <v>0</v>
      </c>
      <c r="AO808" s="118">
        <f>SUMIF('MPG Payment '!E:E,'Shayak Income '!D808,'MPG Payment '!AJ:AJ)</f>
        <v>0</v>
      </c>
      <c r="AP808" s="19">
        <f t="shared" si="248"/>
        <v>0</v>
      </c>
      <c r="AQ808" s="119">
        <f t="shared" si="277"/>
        <v>0</v>
      </c>
      <c r="AR808" s="91" t="s">
        <v>1168</v>
      </c>
      <c r="AS808" s="91">
        <f t="shared" si="250"/>
        <v>0</v>
      </c>
      <c r="AT808" s="118"/>
      <c r="AU808" s="118"/>
      <c r="AV808" s="118"/>
    </row>
    <row r="809" spans="1:48" s="20" customFormat="1" x14ac:dyDescent="0.25">
      <c r="A809" s="17">
        <f>IFERROR(VLOOKUP(D809,'Monthly Deduction'!$I$3:$J$957,2,0),0)</f>
        <v>0</v>
      </c>
      <c r="B809" s="17">
        <f>IFERROR(VLOOKUP(D809,'Monthly Deduction'!$E$3:$F$957,2,0),0)</f>
        <v>0</v>
      </c>
      <c r="C809" s="17">
        <f t="shared" si="269"/>
        <v>0</v>
      </c>
      <c r="D809" s="41">
        <v>10110184</v>
      </c>
      <c r="E809" s="122" t="str">
        <f>VLOOKUP(D809,'MPG Payment '!$E$3:$G$498218,2,0)</f>
        <v>Ahoghat</v>
      </c>
      <c r="F809" s="146">
        <f>IFERROR(_xlfn.XLOOKUP(D809,'Monthly Deduction'!$I$3:$I$957,'Monthly Deduction'!$H$3:$H$957),0)</f>
        <v>0</v>
      </c>
      <c r="G809" s="123" t="str">
        <f>VLOOKUP(D809,'MPG Payment '!$E$3:$G$334579,3,0)</f>
        <v>vlc</v>
      </c>
      <c r="H809" s="124" t="str">
        <f>VLOOKUP(D809,'MPG Payment '!$E$3:$H$334579,4,0)</f>
        <v>Indirect</v>
      </c>
      <c r="I809" s="88">
        <f>INDEX('MPG Payment '!$C:$C,MATCH('Shayak Income '!D809,'MPG Payment '!E:E,0))</f>
        <v>1011</v>
      </c>
      <c r="J809" s="88" t="str">
        <f>INDEX('MPG Payment '!$D:$D,MATCH('Shayak Income '!D809,'MPG Payment '!E:E,0))</f>
        <v>Sahibpur Kamal</v>
      </c>
      <c r="K809" s="125" t="s">
        <v>1322</v>
      </c>
      <c r="L809" s="125">
        <v>46073</v>
      </c>
      <c r="M809" s="126">
        <f>SUMIF('MPG Payment '!$E$3:$E$34579,'Shayak Income '!D809,'MPG Payment '!$I$3:$I$34579)</f>
        <v>1794.2000000000003</v>
      </c>
      <c r="N809" s="126">
        <f>SUMIF('MPG Payment '!$E$3:$E$34579,'Shayak Income '!D809,'MPG Payment '!$J$3:$J$34579)</f>
        <v>70474.300898919988</v>
      </c>
      <c r="O809" s="126">
        <f t="shared" si="270"/>
        <v>1345.65</v>
      </c>
      <c r="P809" s="126">
        <f t="shared" si="271"/>
        <v>1704.4900000000002</v>
      </c>
      <c r="Q809" s="126">
        <f>SUMIF('MPG Payment '!$E$3:$E$34579,'Shayak Income '!D809,'MPG Payment '!$S$3:$S$34579)</f>
        <v>0</v>
      </c>
      <c r="R809" s="126">
        <f t="shared" si="272"/>
        <v>2114.2290269675996</v>
      </c>
      <c r="S809" s="126">
        <f t="shared" si="273"/>
        <v>409.73902696759933</v>
      </c>
      <c r="T809" s="126">
        <f t="shared" si="254"/>
        <v>179.42000000000004</v>
      </c>
      <c r="U809" s="127">
        <f>(((IF(K809="New",0,SUMIF('MPG Payment '!$E$3:$E$34579,'Shayak Income '!D809,'MPG Payment '!$AC$3:$AC$34579))))+0)+0</f>
        <v>785.65396726370705</v>
      </c>
      <c r="V809" s="127">
        <f t="shared" si="255"/>
        <v>2085</v>
      </c>
      <c r="W809" s="19">
        <f t="shared" si="261"/>
        <v>0</v>
      </c>
      <c r="X809" s="19">
        <f t="shared" si="263"/>
        <v>0</v>
      </c>
      <c r="Y809" s="128">
        <f>IFERROR(VLOOKUP(D809,'Monthly Deduction'!$M$2:$N$64,2,0),0)</f>
        <v>0</v>
      </c>
      <c r="Z809" s="128">
        <v>0</v>
      </c>
      <c r="AA809" s="126">
        <f>IFERROR(VLOOKUP(D809,'Monthly Deduction'!A:B,2,0),0)</f>
        <v>0</v>
      </c>
      <c r="AB809" s="129">
        <f t="shared" si="274"/>
        <v>2085</v>
      </c>
      <c r="AC809" s="130">
        <v>0</v>
      </c>
      <c r="AD809" s="35">
        <f t="shared" si="275"/>
        <v>2085</v>
      </c>
      <c r="AE809" s="166" t="str">
        <f t="shared" si="258"/>
        <v>Release</v>
      </c>
      <c r="AF809" s="127"/>
      <c r="AG809" s="18">
        <v>0</v>
      </c>
      <c r="AH809" s="120"/>
      <c r="AI809" s="238">
        <v>0</v>
      </c>
      <c r="AJ809" s="132"/>
      <c r="AK809" s="151">
        <v>350.7</v>
      </c>
      <c r="AL809" s="154">
        <f t="shared" si="276"/>
        <v>0</v>
      </c>
      <c r="AM809" s="155"/>
      <c r="AN809" s="19">
        <f t="shared" si="247"/>
        <v>0</v>
      </c>
      <c r="AO809" s="118">
        <f>SUMIF('MPG Payment '!E:E,'Shayak Income '!D809,'MPG Payment '!AJ:AJ)</f>
        <v>0</v>
      </c>
      <c r="AP809" s="19">
        <f t="shared" si="248"/>
        <v>0</v>
      </c>
      <c r="AQ809" s="119">
        <f t="shared" si="277"/>
        <v>0</v>
      </c>
      <c r="AR809" s="91" t="s">
        <v>1168</v>
      </c>
      <c r="AS809" s="91">
        <f t="shared" si="250"/>
        <v>0</v>
      </c>
      <c r="AT809" s="118"/>
      <c r="AU809" s="118"/>
      <c r="AV809" s="118"/>
    </row>
    <row r="810" spans="1:48" s="20" customFormat="1" x14ac:dyDescent="0.25">
      <c r="A810" s="17">
        <f>IFERROR(VLOOKUP(D810,'Monthly Deduction'!$I$3:$J$957,2,0),0)</f>
        <v>0</v>
      </c>
      <c r="B810" s="17">
        <f>IFERROR(VLOOKUP(D810,'Monthly Deduction'!$E$3:$F$957,2,0),0)</f>
        <v>0</v>
      </c>
      <c r="C810" s="17">
        <f t="shared" si="269"/>
        <v>0</v>
      </c>
      <c r="D810" s="41">
        <v>10130118</v>
      </c>
      <c r="E810" s="122" t="str">
        <f>VLOOKUP(D810,'MPG Payment '!$E$3:$G$498218,2,0)</f>
        <v>Gomukh Rupauli Buzurg</v>
      </c>
      <c r="F810" s="146">
        <f>IFERROR(_xlfn.XLOOKUP(D810,'Monthly Deduction'!$I$3:$I$957,'Monthly Deduction'!$H$3:$H$957),0)</f>
        <v>0</v>
      </c>
      <c r="G810" s="123" t="str">
        <f>VLOOKUP(D810,'MPG Payment '!$E$3:$G$334579,3,0)</f>
        <v>vlc</v>
      </c>
      <c r="H810" s="124" t="str">
        <f>VLOOKUP(D810,'MPG Payment '!$E$3:$H$334579,4,0)</f>
        <v>Indirect</v>
      </c>
      <c r="I810" s="88">
        <f>INDEX('MPG Payment '!$C:$C,MATCH('Shayak Income '!D810,'MPG Payment '!E:E,0))</f>
        <v>1013</v>
      </c>
      <c r="J810" s="88" t="str">
        <f>INDEX('MPG Payment '!$D:$D,MATCH('Shayak Income '!D810,'MPG Payment '!E:E,0))</f>
        <v>Musrigharari</v>
      </c>
      <c r="K810" s="125" t="s">
        <v>1322</v>
      </c>
      <c r="L810" s="125">
        <v>46076</v>
      </c>
      <c r="M810" s="126">
        <f>SUMIF('MPG Payment '!$E$3:$E$34579,'Shayak Income '!D810,'MPG Payment '!$I$3:$I$34579)</f>
        <v>32521.7</v>
      </c>
      <c r="N810" s="126">
        <f>SUMIF('MPG Payment '!$E$3:$E$34579,'Shayak Income '!D810,'MPG Payment '!$J$3:$J$34579)</f>
        <v>1117667.7024800791</v>
      </c>
      <c r="O810" s="126">
        <f t="shared" si="270"/>
        <v>24391.275000000001</v>
      </c>
      <c r="P810" s="126">
        <f t="shared" si="271"/>
        <v>30895.614999999998</v>
      </c>
      <c r="Q810" s="126">
        <f>SUMIF('MPG Payment '!$E$3:$E$34579,'Shayak Income '!D810,'MPG Payment '!$S$3:$S$34579)</f>
        <v>0</v>
      </c>
      <c r="R810" s="126">
        <f t="shared" si="272"/>
        <v>33530.031074402374</v>
      </c>
      <c r="S810" s="126">
        <f t="shared" si="273"/>
        <v>2634.4160744023757</v>
      </c>
      <c r="T810" s="126">
        <f t="shared" si="254"/>
        <v>3252.17</v>
      </c>
      <c r="U810" s="127">
        <f>(((IF(K810="New",0,SUMIF('MPG Payment '!$E$3:$E$34579,'Shayak Income '!D810,'MPG Payment '!$AC$3:$AC$34579))))+0)+0</f>
        <v>0</v>
      </c>
      <c r="V810" s="127">
        <f t="shared" si="255"/>
        <v>52035</v>
      </c>
      <c r="W810" s="19">
        <f t="shared" si="261"/>
        <v>0</v>
      </c>
      <c r="X810" s="19">
        <f t="shared" si="263"/>
        <v>0</v>
      </c>
      <c r="Y810" s="128">
        <f>IFERROR(VLOOKUP(D810,'Monthly Deduction'!$M$2:$N$64,2,0),0)</f>
        <v>0</v>
      </c>
      <c r="Z810" s="128">
        <v>0</v>
      </c>
      <c r="AA810" s="126">
        <f>IFERROR(VLOOKUP(D810,'Monthly Deduction'!A:B,2,0),0)</f>
        <v>0</v>
      </c>
      <c r="AB810" s="129">
        <f t="shared" si="274"/>
        <v>52035</v>
      </c>
      <c r="AC810" s="130">
        <v>0</v>
      </c>
      <c r="AD810" s="35">
        <f t="shared" si="275"/>
        <v>52035</v>
      </c>
      <c r="AE810" s="166" t="str">
        <f t="shared" si="258"/>
        <v>Release</v>
      </c>
      <c r="AF810" s="127"/>
      <c r="AG810" s="18">
        <v>0</v>
      </c>
      <c r="AH810" s="120"/>
      <c r="AI810" s="238">
        <v>0</v>
      </c>
      <c r="AJ810" s="132"/>
      <c r="AK810" s="151">
        <v>6535</v>
      </c>
      <c r="AL810" s="154">
        <f t="shared" si="276"/>
        <v>0</v>
      </c>
      <c r="AM810" s="155"/>
      <c r="AN810" s="19">
        <f t="shared" si="247"/>
        <v>0</v>
      </c>
      <c r="AO810" s="118">
        <f>SUMIF('MPG Payment '!E:E,'Shayak Income '!D810,'MPG Payment '!AJ:AJ)</f>
        <v>0</v>
      </c>
      <c r="AP810" s="19">
        <f t="shared" si="248"/>
        <v>0</v>
      </c>
      <c r="AQ810" s="119">
        <f t="shared" si="277"/>
        <v>0</v>
      </c>
      <c r="AR810" s="91" t="s">
        <v>1168</v>
      </c>
      <c r="AS810" s="91">
        <f t="shared" si="250"/>
        <v>0</v>
      </c>
      <c r="AT810" s="118"/>
      <c r="AU810" s="118"/>
      <c r="AV810" s="118"/>
    </row>
    <row r="811" spans="1:48" s="20" customFormat="1" x14ac:dyDescent="0.25">
      <c r="A811" s="17">
        <f>IFERROR(VLOOKUP(D811,'Monthly Deduction'!$I$3:$J$957,2,0),0)</f>
        <v>65000</v>
      </c>
      <c r="B811" s="17">
        <f>IFERROR(VLOOKUP(D811,'Monthly Deduction'!$E$3:$F$957,2,0),0)</f>
        <v>0</v>
      </c>
      <c r="C811" s="17">
        <f t="shared" si="269"/>
        <v>65000</v>
      </c>
      <c r="D811" s="41">
        <v>10530109</v>
      </c>
      <c r="E811" s="122" t="str">
        <f>VLOOKUP(D811,'MPG Payment '!$E$3:$G$498218,2,0)</f>
        <v>GOMUKH SAKARI</v>
      </c>
      <c r="F811" s="146">
        <f>IFERROR(_xlfn.XLOOKUP(D811,'Monthly Deduction'!$I$3:$I$957,'Monthly Deduction'!$H$3:$H$957),0)</f>
        <v>0</v>
      </c>
      <c r="G811" s="123" t="str">
        <f>VLOOKUP(D811,'MPG Payment '!$E$3:$G$334579,3,0)</f>
        <v>MPG</v>
      </c>
      <c r="H811" s="124" t="str">
        <f>VLOOKUP(D811,'MPG Payment '!$E$3:$H$334579,4,0)</f>
        <v>Direct</v>
      </c>
      <c r="I811" s="88">
        <f>INDEX('MPG Payment '!$C:$C,MATCH('Shayak Income '!D811,'MPG Payment '!E:E,0))</f>
        <v>1053</v>
      </c>
      <c r="J811" s="88" t="str">
        <f>INDEX('MPG Payment '!$D:$D,MATCH('Shayak Income '!D811,'MPG Payment '!E:E,0))</f>
        <v>Kalyanpur</v>
      </c>
      <c r="K811" s="125" t="s">
        <v>1322</v>
      </c>
      <c r="L811" s="125">
        <v>46077</v>
      </c>
      <c r="M811" s="126">
        <f>SUMIF('MPG Payment '!$E$3:$E$34579,'Shayak Income '!D811,'MPG Payment '!$I$3:$I$34579)</f>
        <v>6172.0499999999993</v>
      </c>
      <c r="N811" s="126">
        <f>SUMIF('MPG Payment '!$E$3:$E$34579,'Shayak Income '!D811,'MPG Payment '!$J$3:$J$34579)</f>
        <v>256238.30915872479</v>
      </c>
      <c r="O811" s="126">
        <f t="shared" si="270"/>
        <v>4629.0374999999995</v>
      </c>
      <c r="P811" s="126">
        <f t="shared" si="271"/>
        <v>5863.4474999999993</v>
      </c>
      <c r="Q811" s="126">
        <f>SUMIF('MPG Payment '!$E$3:$E$34579,'Shayak Income '!D811,'MPG Payment '!$S$3:$S$34579)</f>
        <v>1712.1440031809002</v>
      </c>
      <c r="R811" s="126">
        <f t="shared" si="272"/>
        <v>7687.1492747617431</v>
      </c>
      <c r="S811" s="126">
        <f t="shared" si="273"/>
        <v>1823.7017747617438</v>
      </c>
      <c r="T811" s="126">
        <f t="shared" si="254"/>
        <v>617.20499999999993</v>
      </c>
      <c r="U811" s="127">
        <f>(((IF(K811="New",0,SUMIF('MPG Payment '!$E$3:$E$34579,'Shayak Income '!D811,'MPG Payment '!$AC$3:$AC$34579))))+0)+0</f>
        <v>0</v>
      </c>
      <c r="V811" s="127">
        <f t="shared" si="255"/>
        <v>11587</v>
      </c>
      <c r="W811" s="19">
        <f t="shared" si="261"/>
        <v>5124.7661831744963</v>
      </c>
      <c r="X811" s="19">
        <v>0</v>
      </c>
      <c r="Y811" s="128">
        <f>IFERROR(VLOOKUP(D811,'Monthly Deduction'!$M$2:$N$64,2,0),0)</f>
        <v>0</v>
      </c>
      <c r="Z811" s="128">
        <v>0</v>
      </c>
      <c r="AA811" s="126">
        <f>IFERROR(VLOOKUP(D811,'Monthly Deduction'!A:B,2,0),0)</f>
        <v>0</v>
      </c>
      <c r="AB811" s="129">
        <f t="shared" si="274"/>
        <v>6462</v>
      </c>
      <c r="AC811" s="130">
        <v>0</v>
      </c>
      <c r="AD811" s="35">
        <f t="shared" si="275"/>
        <v>6462</v>
      </c>
      <c r="AE811" s="166" t="str">
        <f t="shared" si="258"/>
        <v>Release</v>
      </c>
      <c r="AF811" s="127"/>
      <c r="AG811" s="18">
        <v>0</v>
      </c>
      <c r="AH811" s="120"/>
      <c r="AI811" s="238">
        <v>0</v>
      </c>
      <c r="AJ811" s="132"/>
      <c r="AK811" s="151">
        <v>1613.0999999999995</v>
      </c>
      <c r="AL811" s="154">
        <f t="shared" si="276"/>
        <v>0</v>
      </c>
      <c r="AM811" s="155"/>
      <c r="AN811" s="19">
        <f t="shared" si="247"/>
        <v>5124.7661831744963</v>
      </c>
      <c r="AO811" s="118">
        <f>SUMIF('MPG Payment '!E:E,'Shayak Income '!D811,'MPG Payment '!AJ:AJ)</f>
        <v>0</v>
      </c>
      <c r="AP811" s="19">
        <f t="shared" si="248"/>
        <v>5124.7661831744963</v>
      </c>
      <c r="AQ811" s="119">
        <f t="shared" si="277"/>
        <v>5124.7661831744963</v>
      </c>
      <c r="AR811" s="91" t="s">
        <v>1168</v>
      </c>
      <c r="AS811" s="91">
        <f t="shared" si="250"/>
        <v>0</v>
      </c>
      <c r="AT811" s="118"/>
      <c r="AU811" s="118"/>
      <c r="AV811" s="118"/>
    </row>
    <row r="812" spans="1:48" s="20" customFormat="1" x14ac:dyDescent="0.25">
      <c r="A812" s="17">
        <f>IFERROR(VLOOKUP(D812,'Monthly Deduction'!$I$3:$J$957,2,0),0)</f>
        <v>85000</v>
      </c>
      <c r="B812" s="17">
        <f>IFERROR(VLOOKUP(D812,'Monthly Deduction'!$E$3:$F$957,2,0),0)</f>
        <v>0</v>
      </c>
      <c r="C812" s="17">
        <f t="shared" si="269"/>
        <v>85000</v>
      </c>
      <c r="D812" s="41">
        <v>10630001</v>
      </c>
      <c r="E812" s="122" t="str">
        <f>VLOOKUP(D812,'MPG Payment '!$E$3:$G$498218,2,0)</f>
        <v>Madhuvan</v>
      </c>
      <c r="F812" s="146">
        <f>IFERROR(_xlfn.XLOOKUP(D812,'Monthly Deduction'!$I$3:$I$957,'Monthly Deduction'!$H$3:$H$957),0)</f>
        <v>0</v>
      </c>
      <c r="G812" s="123" t="str">
        <f>VLOOKUP(D812,'MPG Payment '!$E$3:$G$334579,3,0)</f>
        <v>MPG</v>
      </c>
      <c r="H812" s="124" t="str">
        <f>VLOOKUP(D812,'MPG Payment '!$E$3:$H$334579,4,0)</f>
        <v>Direct</v>
      </c>
      <c r="I812" s="88">
        <f>INDEX('MPG Payment '!$C:$C,MATCH('Shayak Income '!D812,'MPG Payment '!E:E,0))</f>
        <v>1057</v>
      </c>
      <c r="J812" s="88" t="str">
        <f>INDEX('MPG Payment '!$D:$D,MATCH('Shayak Income '!D812,'MPG Payment '!E:E,0))</f>
        <v>Warisnagar</v>
      </c>
      <c r="K812" s="125" t="s">
        <v>1322</v>
      </c>
      <c r="L812" s="125">
        <v>46073</v>
      </c>
      <c r="M812" s="126">
        <f>SUMIF('MPG Payment '!$E$3:$E$34579,'Shayak Income '!D812,'MPG Payment '!$I$3:$I$34579)</f>
        <v>0.01</v>
      </c>
      <c r="N812" s="126">
        <f>SUMIF('MPG Payment '!$E$3:$E$34579,'Shayak Income '!D812,'MPG Payment '!$J$3:$J$34579)</f>
        <v>0.33</v>
      </c>
      <c r="O812" s="126">
        <f t="shared" si="270"/>
        <v>7.4999999999999997E-3</v>
      </c>
      <c r="P812" s="126">
        <f t="shared" si="271"/>
        <v>9.4999999999999998E-3</v>
      </c>
      <c r="Q812" s="126">
        <f>SUMIF('MPG Payment '!$E$3:$E$34579,'Shayak Income '!D812,'MPG Payment '!$S$3:$S$34579)</f>
        <v>0</v>
      </c>
      <c r="R812" s="126">
        <f t="shared" si="272"/>
        <v>9.9000000000000008E-3</v>
      </c>
      <c r="S812" s="126">
        <f t="shared" si="273"/>
        <v>4.0000000000000105E-4</v>
      </c>
      <c r="T812" s="126">
        <f t="shared" si="254"/>
        <v>1E-3</v>
      </c>
      <c r="U812" s="127">
        <f>(((IF(K812="New",0,SUMIF('MPG Payment '!$E$3:$E$34579,'Shayak Income '!D812,'MPG Payment '!$AC$3:$AC$34579))))+0)+-462</f>
        <v>-6.5999999999348802E-3</v>
      </c>
      <c r="V812" s="127">
        <f t="shared" si="255"/>
        <v>0</v>
      </c>
      <c r="W812" s="19">
        <v>0</v>
      </c>
      <c r="X812" s="19">
        <v>0</v>
      </c>
      <c r="Y812" s="128">
        <f>IFERROR(VLOOKUP(D812,'Monthly Deduction'!$M$2:$N$64,2,0),0)</f>
        <v>0</v>
      </c>
      <c r="Z812" s="128">
        <v>0</v>
      </c>
      <c r="AA812" s="126">
        <f>IFERROR(VLOOKUP(D812,'Monthly Deduction'!A:B,2,0),0)</f>
        <v>0</v>
      </c>
      <c r="AB812" s="129">
        <f t="shared" si="274"/>
        <v>0</v>
      </c>
      <c r="AC812" s="130">
        <f t="shared" ref="AC812:AC816" si="279">AB812</f>
        <v>0</v>
      </c>
      <c r="AD812" s="35">
        <f t="shared" si="275"/>
        <v>0</v>
      </c>
      <c r="AE812" s="166" t="str">
        <f t="shared" si="258"/>
        <v>Release</v>
      </c>
      <c r="AF812" s="127"/>
      <c r="AG812" s="18">
        <v>0</v>
      </c>
      <c r="AH812" s="120" t="s">
        <v>1651</v>
      </c>
      <c r="AI812" s="238">
        <v>20000</v>
      </c>
      <c r="AJ812" s="132"/>
      <c r="AK812" s="151">
        <v>0</v>
      </c>
      <c r="AL812" s="154">
        <f t="shared" si="276"/>
        <v>0</v>
      </c>
      <c r="AM812" s="155"/>
      <c r="AN812" s="19">
        <f t="shared" si="247"/>
        <v>1861</v>
      </c>
      <c r="AO812" s="118">
        <f>SUMIF('MPG Payment '!E:E,'Shayak Income '!D812,'MPG Payment '!AJ:AJ)</f>
        <v>0</v>
      </c>
      <c r="AP812" s="19">
        <f t="shared" si="248"/>
        <v>0</v>
      </c>
      <c r="AQ812" s="119">
        <f t="shared" si="277"/>
        <v>0</v>
      </c>
      <c r="AR812" s="91" t="s">
        <v>1168</v>
      </c>
      <c r="AS812" s="91">
        <f t="shared" si="250"/>
        <v>0</v>
      </c>
      <c r="AT812" s="118"/>
      <c r="AU812" s="118"/>
      <c r="AV812" s="118"/>
    </row>
    <row r="813" spans="1:48" s="20" customFormat="1" x14ac:dyDescent="0.25">
      <c r="A813" s="17">
        <f>IFERROR(VLOOKUP(D813,'Monthly Deduction'!$I$3:$J$957,2,0),0)</f>
        <v>85000</v>
      </c>
      <c r="B813" s="17">
        <f>IFERROR(VLOOKUP(D813,'Monthly Deduction'!$E$3:$F$957,2,0),0)</f>
        <v>0</v>
      </c>
      <c r="C813" s="17">
        <f t="shared" si="269"/>
        <v>85000</v>
      </c>
      <c r="D813" s="41">
        <v>10630003</v>
      </c>
      <c r="E813" s="122" t="str">
        <f>VLOOKUP(D813,'MPG Payment '!$E$3:$G$498218,2,0)</f>
        <v>Erout</v>
      </c>
      <c r="F813" s="146">
        <f>IFERROR(_xlfn.XLOOKUP(D813,'Monthly Deduction'!$I$3:$I$957,'Monthly Deduction'!$H$3:$H$957),0)</f>
        <v>0</v>
      </c>
      <c r="G813" s="123" t="str">
        <f>VLOOKUP(D813,'MPG Payment '!$E$3:$G$334579,3,0)</f>
        <v>MPG</v>
      </c>
      <c r="H813" s="124" t="str">
        <f>VLOOKUP(D813,'MPG Payment '!$E$3:$H$334579,4,0)</f>
        <v>Direct</v>
      </c>
      <c r="I813" s="88">
        <f>INDEX('MPG Payment '!$C:$C,MATCH('Shayak Income '!D813,'MPG Payment '!E:E,0))</f>
        <v>1057</v>
      </c>
      <c r="J813" s="88" t="str">
        <f>INDEX('MPG Payment '!$D:$D,MATCH('Shayak Income '!D813,'MPG Payment '!E:E,0))</f>
        <v>Warisnagar</v>
      </c>
      <c r="K813" s="125" t="s">
        <v>1322</v>
      </c>
      <c r="L813" s="125">
        <v>46073</v>
      </c>
      <c r="M813" s="126">
        <f>SUMIF('MPG Payment '!$E$3:$E$34579,'Shayak Income '!D813,'MPG Payment '!$I$3:$I$34579)</f>
        <v>499.19999999999993</v>
      </c>
      <c r="N813" s="126">
        <f>SUMIF('MPG Payment '!$E$3:$E$34579,'Shayak Income '!D813,'MPG Payment '!$J$3:$J$34579)</f>
        <v>24244.421290853301</v>
      </c>
      <c r="O813" s="126">
        <f t="shared" si="270"/>
        <v>374.4</v>
      </c>
      <c r="P813" s="126">
        <f t="shared" si="271"/>
        <v>474.2399999999999</v>
      </c>
      <c r="Q813" s="126">
        <f>SUMIF('MPG Payment '!$E$3:$E$34579,'Shayak Income '!D813,'MPG Payment '!$S$3:$S$34579)</f>
        <v>9.9717518263500011</v>
      </c>
      <c r="R813" s="126">
        <f t="shared" si="272"/>
        <v>727.33263872559905</v>
      </c>
      <c r="S813" s="126">
        <f t="shared" si="273"/>
        <v>253.09263872559916</v>
      </c>
      <c r="T813" s="126">
        <f t="shared" si="254"/>
        <v>49.919999999999995</v>
      </c>
      <c r="U813" s="127">
        <f>(((IF(K813="New",0,SUMIF('MPG Payment '!$E$3:$E$34579,'Shayak Income '!D813,'MPG Payment '!$AC$3:$AC$34579))))+0)+-1425</f>
        <v>808.35106880519106</v>
      </c>
      <c r="V813" s="127">
        <f t="shared" si="255"/>
        <v>0</v>
      </c>
      <c r="W813" s="19">
        <v>0</v>
      </c>
      <c r="X813" s="19">
        <v>0</v>
      </c>
      <c r="Y813" s="128">
        <f>IFERROR(VLOOKUP(D813,'Monthly Deduction'!$M$2:$N$64,2,0),0)</f>
        <v>0</v>
      </c>
      <c r="Z813" s="128">
        <v>0</v>
      </c>
      <c r="AA813" s="126">
        <f>IFERROR(VLOOKUP(D813,'Monthly Deduction'!A:B,2,0),0)</f>
        <v>0</v>
      </c>
      <c r="AB813" s="129">
        <f t="shared" si="274"/>
        <v>0</v>
      </c>
      <c r="AC813" s="130">
        <f t="shared" si="279"/>
        <v>0</v>
      </c>
      <c r="AD813" s="35">
        <f t="shared" si="275"/>
        <v>0</v>
      </c>
      <c r="AE813" s="166" t="str">
        <f t="shared" si="258"/>
        <v>Release</v>
      </c>
      <c r="AF813" s="127"/>
      <c r="AG813" s="18">
        <v>0</v>
      </c>
      <c r="AH813" s="120" t="s">
        <v>1650</v>
      </c>
      <c r="AI813" s="238">
        <v>20000</v>
      </c>
      <c r="AJ813" s="132"/>
      <c r="AK813" s="151">
        <v>79.900000000000006</v>
      </c>
      <c r="AL813" s="154">
        <f t="shared" si="276"/>
        <v>0</v>
      </c>
      <c r="AM813" s="155"/>
      <c r="AN813" s="19">
        <f t="shared" si="247"/>
        <v>1861</v>
      </c>
      <c r="AO813" s="118">
        <f>SUMIF('MPG Payment '!E:E,'Shayak Income '!D813,'MPG Payment '!AJ:AJ)</f>
        <v>0</v>
      </c>
      <c r="AP813" s="19">
        <f t="shared" si="248"/>
        <v>0</v>
      </c>
      <c r="AQ813" s="119">
        <f t="shared" si="277"/>
        <v>0</v>
      </c>
      <c r="AR813" s="91" t="s">
        <v>1168</v>
      </c>
      <c r="AS813" s="91">
        <f t="shared" si="250"/>
        <v>0</v>
      </c>
      <c r="AT813" s="118"/>
      <c r="AU813" s="118"/>
      <c r="AV813" s="118"/>
    </row>
    <row r="814" spans="1:48" s="20" customFormat="1" x14ac:dyDescent="0.25">
      <c r="A814" s="17">
        <f>IFERROR(VLOOKUP(D814,'Monthly Deduction'!$I$3:$J$957,2,0),0)</f>
        <v>85000</v>
      </c>
      <c r="B814" s="17">
        <f>IFERROR(VLOOKUP(D814,'Monthly Deduction'!$E$3:$F$957,2,0),0)</f>
        <v>0</v>
      </c>
      <c r="C814" s="17">
        <f t="shared" si="269"/>
        <v>85000</v>
      </c>
      <c r="D814" s="41">
        <v>10630007</v>
      </c>
      <c r="E814" s="122" t="str">
        <f>VLOOKUP(D814,'MPG Payment '!$E$3:$G$498218,2,0)</f>
        <v>Mahespur</v>
      </c>
      <c r="F814" s="146">
        <f>IFERROR(_xlfn.XLOOKUP(D814,'Monthly Deduction'!$I$3:$I$957,'Monthly Deduction'!$H$3:$H$957),0)</f>
        <v>0</v>
      </c>
      <c r="G814" s="123" t="str">
        <f>VLOOKUP(D814,'MPG Payment '!$E$3:$G$334579,3,0)</f>
        <v>MPG</v>
      </c>
      <c r="H814" s="124" t="str">
        <f>VLOOKUP(D814,'MPG Payment '!$E$3:$H$334579,4,0)</f>
        <v>Direct</v>
      </c>
      <c r="I814" s="88">
        <f>INDEX('MPG Payment '!$C:$C,MATCH('Shayak Income '!D814,'MPG Payment '!E:E,0))</f>
        <v>1057</v>
      </c>
      <c r="J814" s="88" t="str">
        <f>INDEX('MPG Payment '!$D:$D,MATCH('Shayak Income '!D814,'MPG Payment '!E:E,0))</f>
        <v>Warisnagar</v>
      </c>
      <c r="K814" s="125" t="s">
        <v>1322</v>
      </c>
      <c r="L814" s="125">
        <v>46073</v>
      </c>
      <c r="M814" s="126">
        <f>SUMIF('MPG Payment '!$E$3:$E$34579,'Shayak Income '!D814,'MPG Payment '!$I$3:$I$34579)</f>
        <v>242.39999999999998</v>
      </c>
      <c r="N814" s="126">
        <f>SUMIF('MPG Payment '!$E$3:$E$34579,'Shayak Income '!D814,'MPG Payment '!$J$3:$J$34579)</f>
        <v>10722.128716997202</v>
      </c>
      <c r="O814" s="126">
        <f t="shared" si="270"/>
        <v>181.79999999999998</v>
      </c>
      <c r="P814" s="126">
        <f t="shared" si="271"/>
        <v>230.27999999999997</v>
      </c>
      <c r="Q814" s="126">
        <f>SUMIF('MPG Payment '!$E$3:$E$34579,'Shayak Income '!D814,'MPG Payment '!$S$3:$S$34579)</f>
        <v>0</v>
      </c>
      <c r="R814" s="126">
        <f t="shared" si="272"/>
        <v>321.66386150991605</v>
      </c>
      <c r="S814" s="126">
        <f t="shared" si="273"/>
        <v>91.383861509916073</v>
      </c>
      <c r="T814" s="126">
        <f t="shared" si="254"/>
        <v>24.24</v>
      </c>
      <c r="U814" s="127">
        <f>(((IF(K814="New",0,SUMIF('MPG Payment '!$E$3:$E$34579,'Shayak Income '!D814,'MPG Payment '!$AC$3:$AC$34579))))+0)+-1885</f>
        <v>388.11107856203307</v>
      </c>
      <c r="V814" s="127">
        <f t="shared" si="255"/>
        <v>0</v>
      </c>
      <c r="W814" s="19">
        <v>0</v>
      </c>
      <c r="X814" s="19">
        <v>0</v>
      </c>
      <c r="Y814" s="128">
        <f>IFERROR(VLOOKUP(D814,'Monthly Deduction'!$M$2:$N$64,2,0),0)</f>
        <v>0</v>
      </c>
      <c r="Z814" s="128">
        <v>0</v>
      </c>
      <c r="AA814" s="126">
        <f>IFERROR(VLOOKUP(D814,'Monthly Deduction'!A:B,2,0),0)</f>
        <v>0</v>
      </c>
      <c r="AB814" s="129">
        <f t="shared" si="274"/>
        <v>0</v>
      </c>
      <c r="AC814" s="130">
        <f t="shared" si="279"/>
        <v>0</v>
      </c>
      <c r="AD814" s="35">
        <f t="shared" si="275"/>
        <v>0</v>
      </c>
      <c r="AE814" s="166" t="str">
        <f t="shared" si="258"/>
        <v>Release</v>
      </c>
      <c r="AF814" s="127"/>
      <c r="AG814" s="18">
        <v>0</v>
      </c>
      <c r="AH814" s="120" t="s">
        <v>1650</v>
      </c>
      <c r="AI814" s="238">
        <v>20000</v>
      </c>
      <c r="AJ814" s="132"/>
      <c r="AK814" s="151">
        <v>25.4</v>
      </c>
      <c r="AL814" s="154">
        <f t="shared" si="276"/>
        <v>0</v>
      </c>
      <c r="AM814" s="155"/>
      <c r="AN814" s="19">
        <f t="shared" si="247"/>
        <v>1861</v>
      </c>
      <c r="AO814" s="118">
        <f>SUMIF('MPG Payment '!E:E,'Shayak Income '!D814,'MPG Payment '!AJ:AJ)</f>
        <v>0</v>
      </c>
      <c r="AP814" s="19">
        <f t="shared" si="248"/>
        <v>0</v>
      </c>
      <c r="AQ814" s="119">
        <f t="shared" si="277"/>
        <v>0</v>
      </c>
      <c r="AR814" s="91" t="s">
        <v>1168</v>
      </c>
      <c r="AS814" s="91">
        <f t="shared" si="250"/>
        <v>0</v>
      </c>
      <c r="AT814" s="118"/>
      <c r="AU814" s="118"/>
      <c r="AV814" s="118"/>
    </row>
    <row r="815" spans="1:48" s="20" customFormat="1" x14ac:dyDescent="0.25">
      <c r="A815" s="17">
        <f>IFERROR(VLOOKUP(D815,'Monthly Deduction'!$I$3:$J$957,2,0),0)</f>
        <v>85000</v>
      </c>
      <c r="B815" s="17">
        <f>IFERROR(VLOOKUP(D815,'Monthly Deduction'!$E$3:$F$957,2,0),0)</f>
        <v>0</v>
      </c>
      <c r="C815" s="17">
        <f t="shared" si="269"/>
        <v>85000</v>
      </c>
      <c r="D815" s="41">
        <v>10630008</v>
      </c>
      <c r="E815" s="122" t="str">
        <f>VLOOKUP(D815,'MPG Payment '!$E$3:$G$498218,2,0)</f>
        <v>Raj Nagar</v>
      </c>
      <c r="F815" s="146">
        <f>IFERROR(_xlfn.XLOOKUP(D815,'Monthly Deduction'!$I$3:$I$957,'Monthly Deduction'!$H$3:$H$957),0)</f>
        <v>0</v>
      </c>
      <c r="G815" s="123" t="str">
        <f>VLOOKUP(D815,'MPG Payment '!$E$3:$G$334579,3,0)</f>
        <v>MPG</v>
      </c>
      <c r="H815" s="124" t="str">
        <f>VLOOKUP(D815,'MPG Payment '!$E$3:$H$334579,4,0)</f>
        <v>Direct</v>
      </c>
      <c r="I815" s="88">
        <f>INDEX('MPG Payment '!$C:$C,MATCH('Shayak Income '!D815,'MPG Payment '!E:E,0))</f>
        <v>1057</v>
      </c>
      <c r="J815" s="88" t="str">
        <f>INDEX('MPG Payment '!$D:$D,MATCH('Shayak Income '!D815,'MPG Payment '!E:E,0))</f>
        <v>Warisnagar</v>
      </c>
      <c r="K815" s="125" t="s">
        <v>1322</v>
      </c>
      <c r="L815" s="125">
        <v>46073</v>
      </c>
      <c r="M815" s="126">
        <f>SUMIF('MPG Payment '!$E$3:$E$34579,'Shayak Income '!D815,'MPG Payment '!$I$3:$I$34579)</f>
        <v>2882.6</v>
      </c>
      <c r="N815" s="126">
        <f>SUMIF('MPG Payment '!$E$3:$E$34579,'Shayak Income '!D815,'MPG Payment '!$J$3:$J$34579)</f>
        <v>112342.65100413999</v>
      </c>
      <c r="O815" s="126">
        <f t="shared" si="270"/>
        <v>2161.9499999999998</v>
      </c>
      <c r="P815" s="126">
        <f t="shared" si="271"/>
        <v>2738.47</v>
      </c>
      <c r="Q815" s="126">
        <f>SUMIF('MPG Payment '!$E$3:$E$34579,'Shayak Income '!D815,'MPG Payment '!$S$3:$S$34579)</f>
        <v>0</v>
      </c>
      <c r="R815" s="126">
        <f t="shared" si="272"/>
        <v>3370.2795301241995</v>
      </c>
      <c r="S815" s="126">
        <f t="shared" si="273"/>
        <v>631.80953012419968</v>
      </c>
      <c r="T815" s="126">
        <f t="shared" si="254"/>
        <v>288.26</v>
      </c>
      <c r="U815" s="127">
        <f>(((IF(K815="New",0,SUMIF('MPG Payment '!$E$3:$E$34579,'Shayak Income '!D815,'MPG Payment '!$AC$3:$AC$34579))))+0)+0</f>
        <v>157.67971031127587</v>
      </c>
      <c r="V815" s="127">
        <f t="shared" si="255"/>
        <v>4454</v>
      </c>
      <c r="W815" s="19">
        <f t="shared" si="261"/>
        <v>2246.8530200828</v>
      </c>
      <c r="X815" s="19">
        <v>0</v>
      </c>
      <c r="Y815" s="128">
        <f>IFERROR(VLOOKUP(D815,'Monthly Deduction'!$M$2:$N$64,2,0),0)</f>
        <v>0</v>
      </c>
      <c r="Z815" s="128">
        <v>0</v>
      </c>
      <c r="AA815" s="126">
        <f>IFERROR(VLOOKUP(D815,'Monthly Deduction'!A:B,2,0),0)</f>
        <v>0</v>
      </c>
      <c r="AB815" s="129">
        <f t="shared" si="274"/>
        <v>2207</v>
      </c>
      <c r="AC815" s="130">
        <f t="shared" si="279"/>
        <v>2207</v>
      </c>
      <c r="AD815" s="35">
        <f t="shared" si="275"/>
        <v>0</v>
      </c>
      <c r="AE815" s="166" t="str">
        <f t="shared" si="258"/>
        <v>Yes</v>
      </c>
      <c r="AF815" s="127"/>
      <c r="AG815" s="18">
        <v>0</v>
      </c>
      <c r="AH815" s="120" t="s">
        <v>1650</v>
      </c>
      <c r="AI815" s="238">
        <v>20000</v>
      </c>
      <c r="AJ815" s="132"/>
      <c r="AK815" s="151">
        <v>177.60000000000002</v>
      </c>
      <c r="AL815" s="154">
        <f t="shared" si="276"/>
        <v>0</v>
      </c>
      <c r="AM815" s="155"/>
      <c r="AN815" s="19">
        <f t="shared" si="247"/>
        <v>2246.8530200828</v>
      </c>
      <c r="AO815" s="118">
        <f>SUMIF('MPG Payment '!E:E,'Shayak Income '!D815,'MPG Payment '!AJ:AJ)</f>
        <v>0</v>
      </c>
      <c r="AP815" s="19">
        <f t="shared" si="248"/>
        <v>2246.8530200828</v>
      </c>
      <c r="AQ815" s="119">
        <f t="shared" si="277"/>
        <v>2246.8530200828</v>
      </c>
      <c r="AR815" s="91" t="s">
        <v>1168</v>
      </c>
      <c r="AS815" s="91">
        <f t="shared" si="250"/>
        <v>0</v>
      </c>
      <c r="AT815" s="118"/>
      <c r="AU815" s="118"/>
      <c r="AV815" s="118"/>
    </row>
    <row r="816" spans="1:48" s="20" customFormat="1" x14ac:dyDescent="0.25">
      <c r="A816" s="17">
        <f>IFERROR(VLOOKUP(D816,'Monthly Deduction'!$I$3:$J$957,2,0),0)</f>
        <v>85000</v>
      </c>
      <c r="B816" s="17">
        <f>IFERROR(VLOOKUP(D816,'Monthly Deduction'!$E$3:$F$957,2,0),0)</f>
        <v>0</v>
      </c>
      <c r="C816" s="17">
        <f t="shared" si="269"/>
        <v>85000</v>
      </c>
      <c r="D816" s="41">
        <v>10630009</v>
      </c>
      <c r="E816" s="122" t="str">
        <f>VLOOKUP(D816,'MPG Payment '!$E$3:$G$498218,2,0)</f>
        <v>Nauapokhar</v>
      </c>
      <c r="F816" s="146">
        <f>IFERROR(_xlfn.XLOOKUP(D816,'Monthly Deduction'!$I$3:$I$957,'Monthly Deduction'!$H$3:$H$957),0)</f>
        <v>0</v>
      </c>
      <c r="G816" s="123" t="str">
        <f>VLOOKUP(D816,'MPG Payment '!$E$3:$G$334579,3,0)</f>
        <v>MPG</v>
      </c>
      <c r="H816" s="124" t="str">
        <f>VLOOKUP(D816,'MPG Payment '!$E$3:$H$334579,4,0)</f>
        <v>Direct</v>
      </c>
      <c r="I816" s="88">
        <f>INDEX('MPG Payment '!$C:$C,MATCH('Shayak Income '!D816,'MPG Payment '!E:E,0))</f>
        <v>1057</v>
      </c>
      <c r="J816" s="88" t="str">
        <f>INDEX('MPG Payment '!$D:$D,MATCH('Shayak Income '!D816,'MPG Payment '!E:E,0))</f>
        <v>Warisnagar</v>
      </c>
      <c r="K816" s="125" t="s">
        <v>1322</v>
      </c>
      <c r="L816" s="125">
        <v>46073</v>
      </c>
      <c r="M816" s="126">
        <f>SUMIF('MPG Payment '!$E$3:$E$34579,'Shayak Income '!D816,'MPG Payment '!$I$3:$I$34579)</f>
        <v>991.2</v>
      </c>
      <c r="N816" s="126">
        <f>SUMIF('MPG Payment '!$E$3:$E$34579,'Shayak Income '!D816,'MPG Payment '!$J$3:$J$34579)</f>
        <v>48364.485990629597</v>
      </c>
      <c r="O816" s="126">
        <f t="shared" si="270"/>
        <v>743.40000000000009</v>
      </c>
      <c r="P816" s="126">
        <f t="shared" si="271"/>
        <v>941.64</v>
      </c>
      <c r="Q816" s="126">
        <f>SUMIF('MPG Payment '!$E$3:$E$34579,'Shayak Income '!D816,'MPG Payment '!$S$3:$S$34579)</f>
        <v>236.53251833996001</v>
      </c>
      <c r="R816" s="126">
        <f t="shared" si="272"/>
        <v>1450.9345797188878</v>
      </c>
      <c r="S816" s="126">
        <f t="shared" si="273"/>
        <v>509.2945797188878</v>
      </c>
      <c r="T816" s="126">
        <f t="shared" si="254"/>
        <v>99.12</v>
      </c>
      <c r="U816" s="127">
        <f>(((IF(K816="New",0,SUMIF('MPG Payment '!$E$3:$E$34579,'Shayak Income '!D816,'MPG Payment '!$AC$3:$AC$34579))))+0)+0</f>
        <v>1757.8521412756791</v>
      </c>
      <c r="V816" s="127">
        <f t="shared" si="255"/>
        <v>65</v>
      </c>
      <c r="W816" s="19">
        <v>65</v>
      </c>
      <c r="X816" s="19">
        <v>0</v>
      </c>
      <c r="Y816" s="128">
        <f>IFERROR(VLOOKUP(D816,'Monthly Deduction'!$M$2:$N$64,2,0),0)</f>
        <v>0</v>
      </c>
      <c r="Z816" s="128">
        <v>0</v>
      </c>
      <c r="AA816" s="126">
        <f>IFERROR(VLOOKUP(D816,'Monthly Deduction'!A:B,2,0),0)</f>
        <v>0</v>
      </c>
      <c r="AB816" s="129">
        <f t="shared" si="274"/>
        <v>0</v>
      </c>
      <c r="AC816" s="130">
        <f t="shared" si="279"/>
        <v>0</v>
      </c>
      <c r="AD816" s="35">
        <f t="shared" si="275"/>
        <v>0</v>
      </c>
      <c r="AE816" s="166" t="str">
        <f t="shared" si="258"/>
        <v>Release</v>
      </c>
      <c r="AF816" s="127"/>
      <c r="AG816" s="18">
        <v>0</v>
      </c>
      <c r="AH816" s="120" t="s">
        <v>1650</v>
      </c>
      <c r="AI816" s="238">
        <v>20000</v>
      </c>
      <c r="AJ816" s="132"/>
      <c r="AK816" s="151">
        <v>353.39999999999992</v>
      </c>
      <c r="AL816" s="154">
        <f t="shared" si="276"/>
        <v>0</v>
      </c>
      <c r="AM816" s="155"/>
      <c r="AN816" s="19">
        <f t="shared" si="247"/>
        <v>1861</v>
      </c>
      <c r="AO816" s="118">
        <f>SUMIF('MPG Payment '!E:E,'Shayak Income '!D816,'MPG Payment '!AJ:AJ)</f>
        <v>0</v>
      </c>
      <c r="AP816" s="19">
        <f t="shared" si="248"/>
        <v>65</v>
      </c>
      <c r="AQ816" s="119">
        <f t="shared" si="277"/>
        <v>65</v>
      </c>
      <c r="AR816" s="91" t="s">
        <v>1168</v>
      </c>
      <c r="AS816" s="91">
        <f t="shared" si="250"/>
        <v>0</v>
      </c>
      <c r="AT816" s="118"/>
      <c r="AU816" s="118"/>
      <c r="AV816" s="118"/>
    </row>
    <row r="817" spans="1:48" s="20" customFormat="1" x14ac:dyDescent="0.25">
      <c r="A817" s="17">
        <f>IFERROR(VLOOKUP(D817,'Monthly Deduction'!$I$3:$J$957,2,0),0)</f>
        <v>0</v>
      </c>
      <c r="B817" s="17">
        <f>IFERROR(VLOOKUP(D817,'Monthly Deduction'!$E$3:$F$957,2,0),0)</f>
        <v>0</v>
      </c>
      <c r="C817" s="17">
        <f t="shared" si="269"/>
        <v>0</v>
      </c>
      <c r="D817" s="41">
        <v>10630010</v>
      </c>
      <c r="E817" s="122" t="str">
        <f>VLOOKUP(D817,'MPG Payment '!$E$3:$G$498218,2,0)</f>
        <v>Erout 2</v>
      </c>
      <c r="F817" s="146">
        <f>IFERROR(_xlfn.XLOOKUP(D817,'Monthly Deduction'!$I$3:$I$957,'Monthly Deduction'!$H$3:$H$957),0)</f>
        <v>0</v>
      </c>
      <c r="G817" s="123" t="str">
        <f>VLOOKUP(D817,'MPG Payment '!$E$3:$G$334579,3,0)</f>
        <v>vlc</v>
      </c>
      <c r="H817" s="124" t="str">
        <f>VLOOKUP(D817,'MPG Payment '!$E$3:$H$334579,4,0)</f>
        <v>Indirect</v>
      </c>
      <c r="I817" s="88">
        <f>INDEX('MPG Payment '!$C:$C,MATCH('Shayak Income '!D817,'MPG Payment '!E:E,0))</f>
        <v>1057</v>
      </c>
      <c r="J817" s="88" t="str">
        <f>INDEX('MPG Payment '!$D:$D,MATCH('Shayak Income '!D817,'MPG Payment '!E:E,0))</f>
        <v>Warisnagar</v>
      </c>
      <c r="K817" s="125" t="s">
        <v>1322</v>
      </c>
      <c r="L817" s="125">
        <v>46073</v>
      </c>
      <c r="M817" s="126">
        <f>SUMIF('MPG Payment '!$E$3:$E$34579,'Shayak Income '!D817,'MPG Payment '!$I$3:$I$34579)</f>
        <v>1409.7000000000003</v>
      </c>
      <c r="N817" s="126">
        <f>SUMIF('MPG Payment '!$E$3:$E$34579,'Shayak Income '!D817,'MPG Payment '!$J$3:$J$34579)</f>
        <v>51985.088057929999</v>
      </c>
      <c r="O817" s="126">
        <f t="shared" si="270"/>
        <v>1057.2750000000001</v>
      </c>
      <c r="P817" s="126">
        <f t="shared" si="271"/>
        <v>1339.2150000000001</v>
      </c>
      <c r="Q817" s="126">
        <f>SUMIF('MPG Payment '!$E$3:$E$34579,'Shayak Income '!D817,'MPG Payment '!$S$3:$S$34579)</f>
        <v>0</v>
      </c>
      <c r="R817" s="126">
        <f t="shared" si="272"/>
        <v>1559.5526417378999</v>
      </c>
      <c r="S817" s="126">
        <f t="shared" si="273"/>
        <v>220.33764173789973</v>
      </c>
      <c r="T817" s="126">
        <f t="shared" si="254"/>
        <v>140.97000000000003</v>
      </c>
      <c r="U817" s="127">
        <f>(((IF(K817="New",0,SUMIF('MPG Payment '!$E$3:$E$34579,'Shayak Income '!D817,'MPG Payment '!$AC$3:$AC$34579))))+0)+0</f>
        <v>1028.8327314095836</v>
      </c>
      <c r="V817" s="127">
        <f t="shared" si="255"/>
        <v>1227</v>
      </c>
      <c r="W817" s="19">
        <f t="shared" si="261"/>
        <v>0</v>
      </c>
      <c r="X817" s="19">
        <f t="shared" si="263"/>
        <v>0</v>
      </c>
      <c r="Y817" s="128">
        <f>IFERROR(VLOOKUP(D817,'Monthly Deduction'!$M$2:$N$64,2,0),0)</f>
        <v>0</v>
      </c>
      <c r="Z817" s="128">
        <v>0</v>
      </c>
      <c r="AA817" s="126">
        <f>IFERROR(VLOOKUP(D817,'Monthly Deduction'!A:B,2,0),0)</f>
        <v>0</v>
      </c>
      <c r="AB817" s="129">
        <f t="shared" si="274"/>
        <v>1227</v>
      </c>
      <c r="AC817" s="130">
        <v>0</v>
      </c>
      <c r="AD817" s="35">
        <f t="shared" si="275"/>
        <v>1227</v>
      </c>
      <c r="AE817" s="166" t="str">
        <f t="shared" si="258"/>
        <v>Release</v>
      </c>
      <c r="AF817" s="127"/>
      <c r="AG817" s="18">
        <v>0</v>
      </c>
      <c r="AH817" s="132"/>
      <c r="AI817" s="238">
        <v>0</v>
      </c>
      <c r="AJ817" s="132"/>
      <c r="AK817" s="151">
        <v>419.8</v>
      </c>
      <c r="AL817" s="154">
        <f t="shared" si="276"/>
        <v>0</v>
      </c>
      <c r="AM817" s="155"/>
      <c r="AN817" s="19">
        <f t="shared" si="247"/>
        <v>0</v>
      </c>
      <c r="AO817" s="118">
        <f>SUMIF('MPG Payment '!E:E,'Shayak Income '!D817,'MPG Payment '!AJ:AJ)</f>
        <v>0</v>
      </c>
      <c r="AP817" s="19">
        <f t="shared" si="248"/>
        <v>0</v>
      </c>
      <c r="AQ817" s="119">
        <f t="shared" si="277"/>
        <v>0</v>
      </c>
      <c r="AR817" s="91" t="s">
        <v>1168</v>
      </c>
      <c r="AS817" s="91">
        <f t="shared" si="250"/>
        <v>0</v>
      </c>
      <c r="AT817" s="118"/>
      <c r="AU817" s="118"/>
      <c r="AV817" s="118"/>
    </row>
    <row r="818" spans="1:48" s="20" customFormat="1" x14ac:dyDescent="0.25">
      <c r="A818" s="17">
        <f>IFERROR(VLOOKUP(D818,'Monthly Deduction'!$I$3:$J$957,2,0),0)</f>
        <v>0</v>
      </c>
      <c r="B818" s="17">
        <f>IFERROR(VLOOKUP(D818,'Monthly Deduction'!$E$3:$F$957,2,0),0)</f>
        <v>0</v>
      </c>
      <c r="C818" s="17">
        <f t="shared" ref="C818:C853" si="280">A818+B818</f>
        <v>0</v>
      </c>
      <c r="D818" s="41">
        <v>10630011</v>
      </c>
      <c r="E818" s="122" t="str">
        <f>VLOOKUP(D818,'MPG Payment '!$E$3:$G$498218,2,0)</f>
        <v>Parsuram</v>
      </c>
      <c r="F818" s="146">
        <f>IFERROR(_xlfn.XLOOKUP(D818,'Monthly Deduction'!$I$3:$I$957,'Monthly Deduction'!$H$3:$H$957),0)</f>
        <v>0</v>
      </c>
      <c r="G818" s="123" t="str">
        <f>VLOOKUP(D818,'MPG Payment '!$E$3:$G$334579,3,0)</f>
        <v>vlc</v>
      </c>
      <c r="H818" s="124" t="str">
        <f>VLOOKUP(D818,'MPG Payment '!$E$3:$H$334579,4,0)</f>
        <v>Indirect</v>
      </c>
      <c r="I818" s="88">
        <f>INDEX('MPG Payment '!$C:$C,MATCH('Shayak Income '!D818,'MPG Payment '!E:E,0))</f>
        <v>1057</v>
      </c>
      <c r="J818" s="88" t="str">
        <f>INDEX('MPG Payment '!$D:$D,MATCH('Shayak Income '!D818,'MPG Payment '!E:E,0))</f>
        <v>Warisnagar</v>
      </c>
      <c r="K818" s="125" t="s">
        <v>1322</v>
      </c>
      <c r="L818" s="125">
        <v>46073</v>
      </c>
      <c r="M818" s="126">
        <f>SUMIF('MPG Payment '!$E$3:$E$34579,'Shayak Income '!D818,'MPG Payment '!$I$3:$I$34579)</f>
        <v>462.6</v>
      </c>
      <c r="N818" s="126">
        <f>SUMIF('MPG Payment '!$E$3:$E$34579,'Shayak Income '!D818,'MPG Payment '!$J$3:$J$34579)</f>
        <v>14774.139502368998</v>
      </c>
      <c r="O818" s="126">
        <f t="shared" ref="O818:O853" si="281">+M818*0.75</f>
        <v>346.95000000000005</v>
      </c>
      <c r="P818" s="126">
        <f t="shared" ref="P818:P853" si="282">+M818*0.95</f>
        <v>439.47</v>
      </c>
      <c r="Q818" s="126">
        <f>SUMIF('MPG Payment '!$E$3:$E$34579,'Shayak Income '!D818,'MPG Payment '!$S$3:$S$34579)</f>
        <v>0</v>
      </c>
      <c r="R818" s="126">
        <f t="shared" ref="R818:R853" si="283">+N818*3%</f>
        <v>443.22418507106994</v>
      </c>
      <c r="S818" s="126">
        <f t="shared" ref="S818:S853" si="284">R818-P818</f>
        <v>3.7541850710699123</v>
      </c>
      <c r="T818" s="126">
        <f t="shared" si="254"/>
        <v>46.260000000000005</v>
      </c>
      <c r="U818" s="127">
        <f>(((IF(K818="New",0,SUMIF('MPG Payment '!$E$3:$E$34579,'Shayak Income '!D818,'MPG Payment '!$AC$3:$AC$34579))))+0)+-761</f>
        <v>739.91706754771167</v>
      </c>
      <c r="V818" s="127">
        <f t="shared" si="255"/>
        <v>0</v>
      </c>
      <c r="W818" s="19">
        <v>0</v>
      </c>
      <c r="X818" s="19">
        <v>0</v>
      </c>
      <c r="Y818" s="128">
        <f>IFERROR(VLOOKUP(D818,'Monthly Deduction'!$M$2:$N$64,2,0),0)</f>
        <v>0</v>
      </c>
      <c r="Z818" s="128">
        <v>0</v>
      </c>
      <c r="AA818" s="126">
        <f>IFERROR(VLOOKUP(D818,'Monthly Deduction'!A:B,2,0),0)</f>
        <v>0</v>
      </c>
      <c r="AB818" s="129">
        <f t="shared" ref="AB818:AB853" si="285">ROUND(IFERROR(V818-SUM(W818:AA818),0),0)</f>
        <v>0</v>
      </c>
      <c r="AC818" s="130">
        <v>0</v>
      </c>
      <c r="AD818" s="35">
        <f t="shared" ref="AD818:AD853" si="286">ROUND(AB818-AC818,0)</f>
        <v>0</v>
      </c>
      <c r="AE818" s="166" t="str">
        <f t="shared" ref="AE818:AE853" si="287">IF(AC818&lt;&gt;0,"Yes","Release")</f>
        <v>Release</v>
      </c>
      <c r="AF818" s="127"/>
      <c r="AG818" s="18">
        <v>0</v>
      </c>
      <c r="AH818" s="120"/>
      <c r="AI818" s="238">
        <v>0</v>
      </c>
      <c r="AJ818" s="132"/>
      <c r="AK818" s="151">
        <v>122.69999999999999</v>
      </c>
      <c r="AL818" s="154">
        <f t="shared" ref="AL818:AL853" si="288">COUNTIF(AK818:AK818,"=NA")</f>
        <v>0</v>
      </c>
      <c r="AM818" s="155"/>
      <c r="AN818" s="19">
        <f t="shared" si="247"/>
        <v>0</v>
      </c>
      <c r="AO818" s="118">
        <f>SUMIF('MPG Payment '!E:E,'Shayak Income '!D818,'MPG Payment '!AJ:AJ)</f>
        <v>0</v>
      </c>
      <c r="AP818" s="19">
        <f t="shared" si="248"/>
        <v>0</v>
      </c>
      <c r="AQ818" s="119">
        <f t="shared" ref="AQ818:AQ853" si="289">AO818+AP818</f>
        <v>0</v>
      </c>
      <c r="AR818" s="91" t="s">
        <v>1168</v>
      </c>
      <c r="AS818" s="91">
        <f t="shared" si="250"/>
        <v>0</v>
      </c>
      <c r="AT818" s="118"/>
      <c r="AU818" s="118"/>
      <c r="AV818" s="118"/>
    </row>
    <row r="819" spans="1:48" s="20" customFormat="1" x14ac:dyDescent="0.25">
      <c r="A819" s="17">
        <f>IFERROR(VLOOKUP(D819,'Monthly Deduction'!$I$3:$J$957,2,0),0)</f>
        <v>0</v>
      </c>
      <c r="B819" s="17">
        <f>IFERROR(VLOOKUP(D819,'Monthly Deduction'!$E$3:$F$957,2,0),0)</f>
        <v>0</v>
      </c>
      <c r="C819" s="17">
        <f t="shared" si="280"/>
        <v>0</v>
      </c>
      <c r="D819" s="41">
        <v>10630012</v>
      </c>
      <c r="E819" s="122" t="str">
        <f>VLOOKUP(D819,'MPG Payment '!$E$3:$G$498218,2,0)</f>
        <v>Gudarghat</v>
      </c>
      <c r="F819" s="146">
        <f>IFERROR(_xlfn.XLOOKUP(D819,'Monthly Deduction'!$I$3:$I$957,'Monthly Deduction'!$H$3:$H$957),0)</f>
        <v>0</v>
      </c>
      <c r="G819" s="123" t="str">
        <f>VLOOKUP(D819,'MPG Payment '!$E$3:$G$334579,3,0)</f>
        <v>vlc</v>
      </c>
      <c r="H819" s="124" t="str">
        <f>VLOOKUP(D819,'MPG Payment '!$E$3:$H$334579,4,0)</f>
        <v>Indirect</v>
      </c>
      <c r="I819" s="88">
        <f>INDEX('MPG Payment '!$C:$C,MATCH('Shayak Income '!D819,'MPG Payment '!E:E,0))</f>
        <v>1057</v>
      </c>
      <c r="J819" s="88" t="str">
        <f>INDEX('MPG Payment '!$D:$D,MATCH('Shayak Income '!D819,'MPG Payment '!E:E,0))</f>
        <v>Warisnagar</v>
      </c>
      <c r="K819" s="125" t="s">
        <v>1322</v>
      </c>
      <c r="L819" s="125">
        <v>46073</v>
      </c>
      <c r="M819" s="126">
        <f>SUMIF('MPG Payment '!$E$3:$E$34579,'Shayak Income '!D819,'MPG Payment '!$I$3:$I$34579)</f>
        <v>1079.3999999999999</v>
      </c>
      <c r="N819" s="126">
        <f>SUMIF('MPG Payment '!$E$3:$E$34579,'Shayak Income '!D819,'MPG Payment '!$J$3:$J$34579)</f>
        <v>40114.604702180004</v>
      </c>
      <c r="O819" s="126">
        <f t="shared" si="281"/>
        <v>809.55</v>
      </c>
      <c r="P819" s="126">
        <f t="shared" si="282"/>
        <v>1025.4299999999998</v>
      </c>
      <c r="Q819" s="126">
        <f>SUMIF('MPG Payment '!$E$3:$E$34579,'Shayak Income '!D819,'MPG Payment '!$S$3:$S$34579)</f>
        <v>0</v>
      </c>
      <c r="R819" s="126">
        <f t="shared" si="283"/>
        <v>1203.4381410654</v>
      </c>
      <c r="S819" s="126">
        <f t="shared" si="284"/>
        <v>178.0081410654002</v>
      </c>
      <c r="T819" s="126">
        <f t="shared" si="254"/>
        <v>107.94</v>
      </c>
      <c r="U819" s="127">
        <f>(((IF(K819="New",0,SUMIF('MPG Payment '!$E$3:$E$34579,'Shayak Income '!D819,'MPG Payment '!$AC$3:$AC$34579))))+0)+0</f>
        <v>1278.7184446197832</v>
      </c>
      <c r="V819" s="127">
        <f t="shared" si="255"/>
        <v>448</v>
      </c>
      <c r="W819" s="19">
        <f t="shared" si="261"/>
        <v>0</v>
      </c>
      <c r="X819" s="19">
        <f t="shared" si="263"/>
        <v>0</v>
      </c>
      <c r="Y819" s="128">
        <f>IFERROR(VLOOKUP(D819,'Monthly Deduction'!$M$2:$N$64,2,0),0)</f>
        <v>0</v>
      </c>
      <c r="Z819" s="128">
        <v>0</v>
      </c>
      <c r="AA819" s="126">
        <f>IFERROR(VLOOKUP(D819,'Monthly Deduction'!A:B,2,0),0)</f>
        <v>0</v>
      </c>
      <c r="AB819" s="129">
        <f t="shared" si="285"/>
        <v>448</v>
      </c>
      <c r="AC819" s="130">
        <v>0</v>
      </c>
      <c r="AD819" s="35">
        <f t="shared" si="286"/>
        <v>448</v>
      </c>
      <c r="AE819" s="166" t="str">
        <f t="shared" si="287"/>
        <v>Release</v>
      </c>
      <c r="AF819" s="127"/>
      <c r="AG819" s="18">
        <v>0</v>
      </c>
      <c r="AH819" s="120"/>
      <c r="AI819" s="238">
        <v>0</v>
      </c>
      <c r="AJ819" s="132"/>
      <c r="AK819" s="151">
        <v>240.39999999999998</v>
      </c>
      <c r="AL819" s="154">
        <f t="shared" si="288"/>
        <v>0</v>
      </c>
      <c r="AM819" s="155"/>
      <c r="AN819" s="19">
        <f t="shared" si="247"/>
        <v>0</v>
      </c>
      <c r="AO819" s="118">
        <f>SUMIF('MPG Payment '!E:E,'Shayak Income '!D819,'MPG Payment '!AJ:AJ)</f>
        <v>0</v>
      </c>
      <c r="AP819" s="19">
        <f t="shared" si="248"/>
        <v>0</v>
      </c>
      <c r="AQ819" s="119">
        <f t="shared" si="289"/>
        <v>0</v>
      </c>
      <c r="AR819" s="91" t="s">
        <v>1168</v>
      </c>
      <c r="AS819" s="91">
        <f t="shared" si="250"/>
        <v>0</v>
      </c>
      <c r="AT819" s="118"/>
      <c r="AU819" s="118"/>
      <c r="AV819" s="118"/>
    </row>
    <row r="820" spans="1:48" s="20" customFormat="1" x14ac:dyDescent="0.25">
      <c r="A820" s="17">
        <f>IFERROR(VLOOKUP(D820,'Monthly Deduction'!$I$3:$J$957,2,0),0)</f>
        <v>0</v>
      </c>
      <c r="B820" s="17">
        <f>IFERROR(VLOOKUP(D820,'Monthly Deduction'!$E$3:$F$957,2,0),0)</f>
        <v>0</v>
      </c>
      <c r="C820" s="17">
        <f t="shared" si="280"/>
        <v>0</v>
      </c>
      <c r="D820" s="41">
        <v>10060051</v>
      </c>
      <c r="E820" s="122" t="str">
        <f>VLOOKUP(D820,'MPG Payment '!$E$3:$G$498218,2,0)</f>
        <v>ABGIL RAMPUR</v>
      </c>
      <c r="F820" s="146">
        <f>IFERROR(_xlfn.XLOOKUP(D820,'Monthly Deduction'!$I$3:$I$957,'Monthly Deduction'!$H$3:$H$957),0)</f>
        <v>0</v>
      </c>
      <c r="G820" s="123" t="str">
        <f>VLOOKUP(D820,'MPG Payment '!$E$3:$G$334579,3,0)</f>
        <v>vlc</v>
      </c>
      <c r="H820" s="124" t="str">
        <f>VLOOKUP(D820,'MPG Payment '!$E$3:$H$334579,4,0)</f>
        <v>Indirect</v>
      </c>
      <c r="I820" s="88">
        <f>INDEX('MPG Payment '!$C:$C,MATCH('Shayak Income '!D820,'MPG Payment '!E:E,0))</f>
        <v>1006</v>
      </c>
      <c r="J820" s="88" t="str">
        <f>INDEX('MPG Payment '!$D:$D,MATCH('Shayak Income '!D820,'MPG Payment '!E:E,0))</f>
        <v>Sonvarsha</v>
      </c>
      <c r="K820" s="125" t="s">
        <v>1322</v>
      </c>
      <c r="L820" s="125">
        <v>45254</v>
      </c>
      <c r="M820" s="126">
        <f>SUMIF('MPG Payment '!$E$3:$E$34579,'Shayak Income '!D820,'MPG Payment '!$I$3:$I$34579)</f>
        <v>477.49999999999994</v>
      </c>
      <c r="N820" s="126">
        <f>SUMIF('MPG Payment '!$E$3:$E$34579,'Shayak Income '!D820,'MPG Payment '!$J$3:$J$34579)</f>
        <v>17281.231608914499</v>
      </c>
      <c r="O820" s="126">
        <f t="shared" si="281"/>
        <v>358.12499999999994</v>
      </c>
      <c r="P820" s="126">
        <f t="shared" si="282"/>
        <v>453.62499999999994</v>
      </c>
      <c r="Q820" s="126">
        <f>SUMIF('MPG Payment '!$E$3:$E$34579,'Shayak Income '!D820,'MPG Payment '!$S$3:$S$34579)</f>
        <v>0</v>
      </c>
      <c r="R820" s="126">
        <f t="shared" si="283"/>
        <v>518.4369482674349</v>
      </c>
      <c r="S820" s="126">
        <f t="shared" si="284"/>
        <v>64.811948267434957</v>
      </c>
      <c r="T820" s="126">
        <f t="shared" si="254"/>
        <v>47.75</v>
      </c>
      <c r="U820" s="127">
        <f>(((IF(K820="New",0,SUMIF('MPG Payment '!$E$3:$E$34579,'Shayak Income '!D820,'MPG Payment '!$AC$3:$AC$34579))))+0)+-398</f>
        <v>764.19793556445916</v>
      </c>
      <c r="V820" s="127">
        <f t="shared" si="255"/>
        <v>0</v>
      </c>
      <c r="W820" s="19">
        <v>0</v>
      </c>
      <c r="X820" s="19">
        <v>0</v>
      </c>
      <c r="Y820" s="128">
        <f>IFERROR(VLOOKUP(D820,'Monthly Deduction'!$M$2:$N$64,2,0),0)</f>
        <v>0</v>
      </c>
      <c r="Z820" s="128">
        <v>0</v>
      </c>
      <c r="AA820" s="126">
        <f>IFERROR(VLOOKUP(D820,'Monthly Deduction'!A:B,2,0),0)</f>
        <v>0</v>
      </c>
      <c r="AB820" s="129">
        <f t="shared" si="285"/>
        <v>0</v>
      </c>
      <c r="AC820" s="130">
        <v>0</v>
      </c>
      <c r="AD820" s="35">
        <f t="shared" si="286"/>
        <v>0</v>
      </c>
      <c r="AE820" s="166" t="str">
        <f t="shared" si="287"/>
        <v>Release</v>
      </c>
      <c r="AF820" s="127"/>
      <c r="AG820" s="18">
        <v>0</v>
      </c>
      <c r="AH820" s="120"/>
      <c r="AI820" s="238">
        <v>0</v>
      </c>
      <c r="AJ820" s="132"/>
      <c r="AK820" s="151">
        <v>154.70000000000002</v>
      </c>
      <c r="AL820" s="154">
        <f t="shared" si="288"/>
        <v>0</v>
      </c>
      <c r="AM820" s="155"/>
      <c r="AN820" s="19">
        <f t="shared" si="247"/>
        <v>0</v>
      </c>
      <c r="AO820" s="118">
        <f>SUMIF('MPG Payment '!E:E,'Shayak Income '!D820,'MPG Payment '!AJ:AJ)</f>
        <v>0</v>
      </c>
      <c r="AP820" s="19">
        <f t="shared" si="248"/>
        <v>0</v>
      </c>
      <c r="AQ820" s="119">
        <f t="shared" si="289"/>
        <v>0</v>
      </c>
      <c r="AR820" s="91" t="s">
        <v>1168</v>
      </c>
      <c r="AS820" s="91">
        <f t="shared" si="250"/>
        <v>0</v>
      </c>
      <c r="AT820" s="118"/>
      <c r="AU820" s="118"/>
      <c r="AV820" s="118"/>
    </row>
    <row r="821" spans="1:48" s="20" customFormat="1" x14ac:dyDescent="0.25">
      <c r="A821" s="17">
        <f>IFERROR(VLOOKUP(D821,'Monthly Deduction'!$I$3:$J$957,2,0),0)</f>
        <v>0</v>
      </c>
      <c r="B821" s="17">
        <f>IFERROR(VLOOKUP(D821,'Monthly Deduction'!$E$3:$F$957,2,0),0)</f>
        <v>0</v>
      </c>
      <c r="C821" s="17">
        <f t="shared" si="280"/>
        <v>0</v>
      </c>
      <c r="D821" s="41">
        <v>10060120</v>
      </c>
      <c r="E821" s="122" t="str">
        <f>VLOOKUP(D821,'MPG Payment '!$E$3:$G$498218,2,0)</f>
        <v>GOMUKH LARYATAL</v>
      </c>
      <c r="F821" s="146">
        <f>IFERROR(_xlfn.XLOOKUP(D821,'Monthly Deduction'!$I$3:$I$957,'Monthly Deduction'!$H$3:$H$957),0)</f>
        <v>0</v>
      </c>
      <c r="G821" s="123" t="str">
        <f>VLOOKUP(D821,'MPG Payment '!$E$3:$G$334579,3,0)</f>
        <v>vlc</v>
      </c>
      <c r="H821" s="124" t="str">
        <f>VLOOKUP(D821,'MPG Payment '!$E$3:$H$334579,4,0)</f>
        <v>Indirect</v>
      </c>
      <c r="I821" s="88">
        <f>INDEX('MPG Payment '!$C:$C,MATCH('Shayak Income '!D821,'MPG Payment '!E:E,0))</f>
        <v>1006</v>
      </c>
      <c r="J821" s="88" t="str">
        <f>INDEX('MPG Payment '!$D:$D,MATCH('Shayak Income '!D821,'MPG Payment '!E:E,0))</f>
        <v>Sonvarsha</v>
      </c>
      <c r="K821" s="125" t="s">
        <v>1322</v>
      </c>
      <c r="L821" s="125">
        <v>45925</v>
      </c>
      <c r="M821" s="126">
        <f>SUMIF('MPG Payment '!$E$3:$E$34579,'Shayak Income '!D821,'MPG Payment '!$I$3:$I$34579)</f>
        <v>667.5</v>
      </c>
      <c r="N821" s="126">
        <f>SUMIF('MPG Payment '!$E$3:$E$34579,'Shayak Income '!D821,'MPG Payment '!$J$3:$J$34579)</f>
        <v>30762.597324667</v>
      </c>
      <c r="O821" s="126">
        <f t="shared" si="281"/>
        <v>500.625</v>
      </c>
      <c r="P821" s="126">
        <f t="shared" si="282"/>
        <v>634.125</v>
      </c>
      <c r="Q821" s="126">
        <f>SUMIF('MPG Payment '!$E$3:$E$34579,'Shayak Income '!D821,'MPG Payment '!$S$3:$S$34579)</f>
        <v>0</v>
      </c>
      <c r="R821" s="126">
        <f t="shared" si="283"/>
        <v>922.87791974000993</v>
      </c>
      <c r="S821" s="126">
        <f t="shared" si="284"/>
        <v>288.75291974000993</v>
      </c>
      <c r="T821" s="126">
        <f t="shared" si="254"/>
        <v>66.75</v>
      </c>
      <c r="U821" s="127">
        <f>(((IF(K821="New",0,SUMIF('MPG Payment '!$E$3:$E$34579,'Shayak Income '!D821,'MPG Payment '!$AC$3:$AC$34579))))+0)+-935</f>
        <v>1068.2854832095045</v>
      </c>
      <c r="V821" s="127">
        <f t="shared" si="255"/>
        <v>0</v>
      </c>
      <c r="W821" s="19">
        <v>0</v>
      </c>
      <c r="X821" s="19">
        <v>0</v>
      </c>
      <c r="Y821" s="128">
        <f>IFERROR(VLOOKUP(D821,'Monthly Deduction'!$M$2:$N$64,2,0),0)</f>
        <v>0</v>
      </c>
      <c r="Z821" s="128">
        <v>0</v>
      </c>
      <c r="AA821" s="126">
        <f>IFERROR(VLOOKUP(D821,'Monthly Deduction'!A:B,2,0),0)</f>
        <v>0</v>
      </c>
      <c r="AB821" s="129">
        <f t="shared" si="285"/>
        <v>0</v>
      </c>
      <c r="AC821" s="130">
        <f t="shared" ref="AC821:AC822" si="290">AB821</f>
        <v>0</v>
      </c>
      <c r="AD821" s="35">
        <f t="shared" si="286"/>
        <v>0</v>
      </c>
      <c r="AE821" s="166" t="str">
        <f t="shared" si="287"/>
        <v>Release</v>
      </c>
      <c r="AF821" s="127"/>
      <c r="AG821" s="18">
        <v>0</v>
      </c>
      <c r="AH821" s="132" t="s">
        <v>1648</v>
      </c>
      <c r="AI821" s="238">
        <v>0</v>
      </c>
      <c r="AJ821" s="132"/>
      <c r="AK821" s="151">
        <v>0</v>
      </c>
      <c r="AL821" s="154">
        <f t="shared" si="288"/>
        <v>0</v>
      </c>
      <c r="AM821" s="155"/>
      <c r="AN821" s="19">
        <f t="shared" si="247"/>
        <v>0</v>
      </c>
      <c r="AO821" s="118">
        <f>SUMIF('MPG Payment '!E:E,'Shayak Income '!D821,'MPG Payment '!AJ:AJ)</f>
        <v>0</v>
      </c>
      <c r="AP821" s="19">
        <f t="shared" si="248"/>
        <v>0</v>
      </c>
      <c r="AQ821" s="119">
        <f t="shared" si="289"/>
        <v>0</v>
      </c>
      <c r="AR821" s="91" t="s">
        <v>1168</v>
      </c>
      <c r="AS821" s="91">
        <f t="shared" si="250"/>
        <v>0</v>
      </c>
      <c r="AT821" s="118"/>
      <c r="AU821" s="118"/>
      <c r="AV821" s="118"/>
    </row>
    <row r="822" spans="1:48" s="20" customFormat="1" x14ac:dyDescent="0.25">
      <c r="A822" s="17">
        <f>IFERROR(VLOOKUP(D822,'Monthly Deduction'!$I$3:$J$957,2,0),0)</f>
        <v>65000</v>
      </c>
      <c r="B822" s="17">
        <f>IFERROR(VLOOKUP(D822,'Monthly Deduction'!$E$3:$F$957,2,0),0)</f>
        <v>0</v>
      </c>
      <c r="C822" s="17">
        <f t="shared" si="280"/>
        <v>65000</v>
      </c>
      <c r="D822" s="41">
        <v>10080124</v>
      </c>
      <c r="E822" s="122" t="str">
        <f>VLOOKUP(D822,'MPG Payment '!$E$3:$G$498218,2,0)</f>
        <v>Bihat-Gududaspur</v>
      </c>
      <c r="F822" s="146">
        <f>IFERROR(_xlfn.XLOOKUP(D822,'Monthly Deduction'!$I$3:$I$957,'Monthly Deduction'!$H$3:$H$957),0)</f>
        <v>0</v>
      </c>
      <c r="G822" s="123" t="str">
        <f>VLOOKUP(D822,'MPG Payment '!$E$3:$G$334579,3,0)</f>
        <v>MPG</v>
      </c>
      <c r="H822" s="124" t="str">
        <f>VLOOKUP(D822,'MPG Payment '!$E$3:$H$334579,4,0)</f>
        <v>Direct</v>
      </c>
      <c r="I822" s="88">
        <f>INDEX('MPG Payment '!$C:$C,MATCH('Shayak Income '!D822,'MPG Payment '!E:E,0))</f>
        <v>1008</v>
      </c>
      <c r="J822" s="88" t="str">
        <f>INDEX('MPG Payment '!$D:$D,MATCH('Shayak Income '!D822,'MPG Payment '!E:E,0))</f>
        <v>Teghra</v>
      </c>
      <c r="K822" s="125" t="s">
        <v>1322</v>
      </c>
      <c r="L822" s="125">
        <v>46081</v>
      </c>
      <c r="M822" s="126">
        <f>SUMIF('MPG Payment '!$E$3:$E$34579,'Shayak Income '!D822,'MPG Payment '!$I$3:$I$34579)</f>
        <v>1004.3</v>
      </c>
      <c r="N822" s="126">
        <f>SUMIF('MPG Payment '!$E$3:$E$34579,'Shayak Income '!D822,'MPG Payment '!$J$3:$J$34579)</f>
        <v>41102.8326616005</v>
      </c>
      <c r="O822" s="126">
        <f t="shared" si="281"/>
        <v>753.22499999999991</v>
      </c>
      <c r="P822" s="126">
        <f t="shared" si="282"/>
        <v>954.08499999999992</v>
      </c>
      <c r="Q822" s="126">
        <f>SUMIF('MPG Payment '!$E$3:$E$34579,'Shayak Income '!D822,'MPG Payment '!$S$3:$S$34579)</f>
        <v>0</v>
      </c>
      <c r="R822" s="126">
        <f t="shared" si="283"/>
        <v>1233.0849798480149</v>
      </c>
      <c r="S822" s="126">
        <f t="shared" si="284"/>
        <v>278.99997984801496</v>
      </c>
      <c r="T822" s="126">
        <f t="shared" si="254"/>
        <v>100.43</v>
      </c>
      <c r="U822" s="127">
        <f>(((IF(K822="New",0,SUMIF('MPG Payment '!$E$3:$E$34579,'Shayak Income '!D822,'MPG Payment '!$AC$3:$AC$34579))))+0)+0</f>
        <v>1477.6115357080694</v>
      </c>
      <c r="V822" s="127">
        <f t="shared" si="255"/>
        <v>129</v>
      </c>
      <c r="W822" s="19">
        <v>129</v>
      </c>
      <c r="X822" s="19">
        <v>0</v>
      </c>
      <c r="Y822" s="128">
        <f>IFERROR(VLOOKUP(D822,'Monthly Deduction'!$M$2:$N$64,2,0),0)</f>
        <v>0</v>
      </c>
      <c r="Z822" s="128">
        <v>0</v>
      </c>
      <c r="AA822" s="126">
        <f>IFERROR(VLOOKUP(D822,'Monthly Deduction'!A:B,2,0),0)</f>
        <v>0</v>
      </c>
      <c r="AB822" s="129">
        <f t="shared" si="285"/>
        <v>0</v>
      </c>
      <c r="AC822" s="130">
        <f t="shared" si="290"/>
        <v>0</v>
      </c>
      <c r="AD822" s="35">
        <f t="shared" si="286"/>
        <v>0</v>
      </c>
      <c r="AE822" s="166" t="str">
        <f t="shared" si="287"/>
        <v>Release</v>
      </c>
      <c r="AF822" s="127"/>
      <c r="AG822" s="18">
        <v>0</v>
      </c>
      <c r="AH822" s="120" t="s">
        <v>1653</v>
      </c>
      <c r="AI822" s="238">
        <v>0</v>
      </c>
      <c r="AJ822" s="132"/>
      <c r="AK822" s="151">
        <v>193.5</v>
      </c>
      <c r="AL822" s="154">
        <f t="shared" si="288"/>
        <v>0</v>
      </c>
      <c r="AM822" s="155"/>
      <c r="AN822" s="19">
        <f t="shared" si="247"/>
        <v>1861</v>
      </c>
      <c r="AO822" s="118">
        <f>SUMIF('MPG Payment '!E:E,'Shayak Income '!D822,'MPG Payment '!AJ:AJ)</f>
        <v>0</v>
      </c>
      <c r="AP822" s="19">
        <f t="shared" si="248"/>
        <v>129</v>
      </c>
      <c r="AQ822" s="119">
        <f t="shared" si="289"/>
        <v>129</v>
      </c>
      <c r="AR822" s="91" t="s">
        <v>1168</v>
      </c>
      <c r="AS822" s="91">
        <f t="shared" si="250"/>
        <v>0</v>
      </c>
      <c r="AT822" s="118"/>
      <c r="AU822" s="118"/>
      <c r="AV822" s="118"/>
    </row>
    <row r="823" spans="1:48" s="20" customFormat="1" x14ac:dyDescent="0.25">
      <c r="A823" s="17">
        <f>IFERROR(VLOOKUP(D823,'Monthly Deduction'!$I$3:$J$957,2,0),0)</f>
        <v>0</v>
      </c>
      <c r="B823" s="17">
        <f>IFERROR(VLOOKUP(D823,'Monthly Deduction'!$E$3:$F$957,2,0),0)</f>
        <v>0</v>
      </c>
      <c r="C823" s="17">
        <f t="shared" si="280"/>
        <v>0</v>
      </c>
      <c r="D823" s="41">
        <v>10110185</v>
      </c>
      <c r="E823" s="122" t="str">
        <f>VLOOKUP(D823,'MPG Payment '!$E$3:$G$498218,2,0)</f>
        <v>Mathar-4</v>
      </c>
      <c r="F823" s="146">
        <f>IFERROR(_xlfn.XLOOKUP(D823,'Monthly Deduction'!$I$3:$I$957,'Monthly Deduction'!$H$3:$H$957),0)</f>
        <v>0</v>
      </c>
      <c r="G823" s="123" t="str">
        <f>VLOOKUP(D823,'MPG Payment '!$E$3:$G$334579,3,0)</f>
        <v>vlc</v>
      </c>
      <c r="H823" s="124" t="str">
        <f>VLOOKUP(D823,'MPG Payment '!$E$3:$H$334579,4,0)</f>
        <v>Indirect</v>
      </c>
      <c r="I823" s="88">
        <f>INDEX('MPG Payment '!$C:$C,MATCH('Shayak Income '!D823,'MPG Payment '!E:E,0))</f>
        <v>1011</v>
      </c>
      <c r="J823" s="88" t="str">
        <f>INDEX('MPG Payment '!$D:$D,MATCH('Shayak Income '!D823,'MPG Payment '!E:E,0))</f>
        <v>Sahibpur Kamal</v>
      </c>
      <c r="K823" s="125" t="s">
        <v>1323</v>
      </c>
      <c r="L823" s="125">
        <v>46086</v>
      </c>
      <c r="M823" s="126">
        <f>SUMIF('MPG Payment '!$E$3:$E$34579,'Shayak Income '!D823,'MPG Payment '!$I$3:$I$34579)</f>
        <v>1326</v>
      </c>
      <c r="N823" s="126">
        <f>SUMIF('MPG Payment '!$E$3:$E$34579,'Shayak Income '!D823,'MPG Payment '!$J$3:$J$34579)</f>
        <v>48851.580651199998</v>
      </c>
      <c r="O823" s="126">
        <f t="shared" si="281"/>
        <v>994.5</v>
      </c>
      <c r="P823" s="126">
        <f t="shared" si="282"/>
        <v>1259.7</v>
      </c>
      <c r="Q823" s="126">
        <f>SUMIF('MPG Payment '!$E$3:$E$34579,'Shayak Income '!D823,'MPG Payment '!$S$3:$S$34579)</f>
        <v>0</v>
      </c>
      <c r="R823" s="126">
        <f t="shared" si="283"/>
        <v>1465.5474195359998</v>
      </c>
      <c r="S823" s="126">
        <f t="shared" si="284"/>
        <v>205.84741953599973</v>
      </c>
      <c r="T823" s="126">
        <f t="shared" si="254"/>
        <v>132.6</v>
      </c>
      <c r="U823" s="127">
        <f>(((IF(K823="New",0,SUMIF('MPG Payment '!$E$3:$E$34579,'Shayak Income '!D823,'MPG Payment '!$AC$3:$AC$34579))))+0)+0</f>
        <v>0</v>
      </c>
      <c r="V823" s="127">
        <f t="shared" si="255"/>
        <v>2122</v>
      </c>
      <c r="W823" s="19">
        <v>0</v>
      </c>
      <c r="X823" s="19">
        <v>0</v>
      </c>
      <c r="Y823" s="128">
        <f>IFERROR(VLOOKUP(D823,'Monthly Deduction'!$M$2:$N$64,2,0),0)</f>
        <v>0</v>
      </c>
      <c r="Z823" s="128">
        <v>0</v>
      </c>
      <c r="AA823" s="126">
        <f>IFERROR(VLOOKUP(D823,'Monthly Deduction'!A:B,2,0),0)</f>
        <v>0</v>
      </c>
      <c r="AB823" s="129">
        <f t="shared" si="285"/>
        <v>2122</v>
      </c>
      <c r="AC823" s="130">
        <v>0</v>
      </c>
      <c r="AD823" s="35">
        <f t="shared" si="286"/>
        <v>2122</v>
      </c>
      <c r="AE823" s="166" t="str">
        <f t="shared" si="287"/>
        <v>Release</v>
      </c>
      <c r="AF823" s="127"/>
      <c r="AG823" s="18">
        <v>0</v>
      </c>
      <c r="AH823" s="120"/>
      <c r="AI823" s="238">
        <v>0</v>
      </c>
      <c r="AJ823" s="132"/>
      <c r="AK823" s="151">
        <v>372</v>
      </c>
      <c r="AL823" s="154">
        <f t="shared" si="288"/>
        <v>0</v>
      </c>
      <c r="AM823" s="155"/>
      <c r="AN823" s="19">
        <f t="shared" si="247"/>
        <v>0</v>
      </c>
      <c r="AO823" s="118">
        <f>SUMIF('MPG Payment '!E:E,'Shayak Income '!D823,'MPG Payment '!AJ:AJ)</f>
        <v>0</v>
      </c>
      <c r="AP823" s="19">
        <f t="shared" si="248"/>
        <v>0</v>
      </c>
      <c r="AQ823" s="119">
        <f t="shared" si="289"/>
        <v>0</v>
      </c>
      <c r="AR823" s="91" t="s">
        <v>1168</v>
      </c>
      <c r="AS823" s="91">
        <f t="shared" si="250"/>
        <v>0</v>
      </c>
      <c r="AT823" s="118"/>
      <c r="AU823" s="118"/>
      <c r="AV823" s="118"/>
    </row>
    <row r="824" spans="1:48" s="20" customFormat="1" x14ac:dyDescent="0.25">
      <c r="A824" s="17">
        <f>IFERROR(VLOOKUP(D824,'Monthly Deduction'!$I$3:$J$957,2,0),0)</f>
        <v>75000</v>
      </c>
      <c r="B824" s="17">
        <f>IFERROR(VLOOKUP(D824,'Monthly Deduction'!$E$3:$F$957,2,0),0)</f>
        <v>0</v>
      </c>
      <c r="C824" s="17">
        <f t="shared" si="280"/>
        <v>75000</v>
      </c>
      <c r="D824" s="41">
        <v>10120120</v>
      </c>
      <c r="E824" s="122" t="str">
        <f>VLOOKUP(D824,'MPG Payment '!$E$3:$G$498218,2,0)</f>
        <v>GOMUKH BALTHARA</v>
      </c>
      <c r="F824" s="146">
        <f>IFERROR(_xlfn.XLOOKUP(D824,'Monthly Deduction'!$I$3:$I$957,'Monthly Deduction'!$H$3:$H$957),0)</f>
        <v>0</v>
      </c>
      <c r="G824" s="123" t="str">
        <f>VLOOKUP(D824,'MPG Payment '!$E$3:$G$334579,3,0)</f>
        <v>MPG</v>
      </c>
      <c r="H824" s="124" t="str">
        <f>VLOOKUP(D824,'MPG Payment '!$E$3:$H$334579,4,0)</f>
        <v>Direct</v>
      </c>
      <c r="I824" s="88">
        <f>INDEX('MPG Payment '!$C:$C,MATCH('Shayak Income '!D824,'MPG Payment '!E:E,0))</f>
        <v>1012</v>
      </c>
      <c r="J824" s="88" t="str">
        <f>INDEX('MPG Payment '!$D:$D,MATCH('Shayak Income '!D824,'MPG Payment '!E:E,0))</f>
        <v>DalsinghSarai</v>
      </c>
      <c r="K824" s="125" t="s">
        <v>1323</v>
      </c>
      <c r="L824" s="125">
        <v>46082</v>
      </c>
      <c r="M824" s="126">
        <f>SUMIF('MPG Payment '!$E$3:$E$34579,'Shayak Income '!D824,'MPG Payment '!$I$3:$I$34579)</f>
        <v>1203.6600000000001</v>
      </c>
      <c r="N824" s="126">
        <f>SUMIF('MPG Payment '!$E$3:$E$34579,'Shayak Income '!D824,'MPG Payment '!$J$3:$J$34579)</f>
        <v>45547.64633330419</v>
      </c>
      <c r="O824" s="126">
        <f t="shared" si="281"/>
        <v>902.74500000000012</v>
      </c>
      <c r="P824" s="126">
        <f t="shared" si="282"/>
        <v>1143.4770000000001</v>
      </c>
      <c r="Q824" s="126">
        <f>SUMIF('MPG Payment '!$E$3:$E$34579,'Shayak Income '!D824,'MPG Payment '!$S$3:$S$34579)</f>
        <v>0</v>
      </c>
      <c r="R824" s="126">
        <f t="shared" si="283"/>
        <v>1366.4293899991258</v>
      </c>
      <c r="S824" s="126">
        <f t="shared" si="284"/>
        <v>222.95238999912567</v>
      </c>
      <c r="T824" s="126">
        <f t="shared" si="254"/>
        <v>120.36600000000001</v>
      </c>
      <c r="U824" s="127">
        <f>(((IF(K824="New",0,SUMIF('MPG Payment '!$E$3:$E$34579,'Shayak Income '!D824,'MPG Payment '!$AC$3:$AC$34579))))+0)+0</f>
        <v>0</v>
      </c>
      <c r="V824" s="127">
        <f t="shared" si="255"/>
        <v>1926</v>
      </c>
      <c r="W824" s="19">
        <v>0</v>
      </c>
      <c r="X824" s="19">
        <v>0</v>
      </c>
      <c r="Y824" s="128">
        <f>IFERROR(VLOOKUP(D824,'Monthly Deduction'!$M$2:$N$64,2,0),0)</f>
        <v>0</v>
      </c>
      <c r="Z824" s="128">
        <v>0</v>
      </c>
      <c r="AA824" s="126">
        <f>IFERROR(VLOOKUP(D824,'Monthly Deduction'!A:B,2,0),0)</f>
        <v>0</v>
      </c>
      <c r="AB824" s="129">
        <f t="shared" si="285"/>
        <v>1926</v>
      </c>
      <c r="AC824" s="130">
        <f>AB824</f>
        <v>1926</v>
      </c>
      <c r="AD824" s="35">
        <f t="shared" si="286"/>
        <v>0</v>
      </c>
      <c r="AE824" s="166" t="str">
        <f t="shared" si="287"/>
        <v>Yes</v>
      </c>
      <c r="AF824" s="127"/>
      <c r="AG824" s="18">
        <v>0</v>
      </c>
      <c r="AH824" s="120" t="s">
        <v>1650</v>
      </c>
      <c r="AI824" s="238">
        <v>10000</v>
      </c>
      <c r="AJ824" s="132"/>
      <c r="AK824" s="151">
        <v>300.17</v>
      </c>
      <c r="AL824" s="154">
        <f t="shared" si="288"/>
        <v>0</v>
      </c>
      <c r="AM824" s="155"/>
      <c r="AN824" s="19">
        <f t="shared" si="247"/>
        <v>1861</v>
      </c>
      <c r="AO824" s="118">
        <f>SUMIF('MPG Payment '!E:E,'Shayak Income '!D824,'MPG Payment '!AJ:AJ)</f>
        <v>0</v>
      </c>
      <c r="AP824" s="19">
        <f t="shared" si="248"/>
        <v>0</v>
      </c>
      <c r="AQ824" s="119">
        <f t="shared" si="289"/>
        <v>0</v>
      </c>
      <c r="AR824" s="91" t="s">
        <v>1168</v>
      </c>
      <c r="AS824" s="91">
        <f t="shared" si="250"/>
        <v>0</v>
      </c>
      <c r="AT824" s="118"/>
      <c r="AU824" s="118"/>
      <c r="AV824" s="118"/>
    </row>
    <row r="825" spans="1:48" s="20" customFormat="1" x14ac:dyDescent="0.25">
      <c r="A825" s="17">
        <f>IFERROR(VLOOKUP(D825,'Monthly Deduction'!$I$3:$J$957,2,0),0)</f>
        <v>65000</v>
      </c>
      <c r="B825" s="17">
        <f>IFERROR(VLOOKUP(D825,'Monthly Deduction'!$E$3:$F$957,2,0),0)</f>
        <v>0</v>
      </c>
      <c r="C825" s="17">
        <f t="shared" si="280"/>
        <v>65000</v>
      </c>
      <c r="D825" s="41">
        <v>10120123</v>
      </c>
      <c r="E825" s="122" t="str">
        <f>VLOOKUP(D825,'MPG Payment '!$E$3:$G$498218,2,0)</f>
        <v>GOMUKH Chakhale Dad</v>
      </c>
      <c r="F825" s="146">
        <f>IFERROR(_xlfn.XLOOKUP(D825,'Monthly Deduction'!$I$3:$I$957,'Monthly Deduction'!$H$3:$H$957),0)</f>
        <v>0</v>
      </c>
      <c r="G825" s="123" t="str">
        <f>VLOOKUP(D825,'MPG Payment '!$E$3:$G$334579,3,0)</f>
        <v>MPG</v>
      </c>
      <c r="H825" s="124" t="str">
        <f>VLOOKUP(D825,'MPG Payment '!$E$3:$H$334579,4,0)</f>
        <v>Direct</v>
      </c>
      <c r="I825" s="88">
        <f>INDEX('MPG Payment '!$C:$C,MATCH('Shayak Income '!D825,'MPG Payment '!E:E,0))</f>
        <v>1012</v>
      </c>
      <c r="J825" s="88" t="str">
        <f>INDEX('MPG Payment '!$D:$D,MATCH('Shayak Income '!D825,'MPG Payment '!E:E,0))</f>
        <v>DalsinghSarai</v>
      </c>
      <c r="K825" s="125" t="s">
        <v>1323</v>
      </c>
      <c r="L825" s="125">
        <v>46083</v>
      </c>
      <c r="M825" s="126">
        <f>SUMIF('MPG Payment '!$E$3:$E$34579,'Shayak Income '!D825,'MPG Payment '!$I$3:$I$34579)</f>
        <v>2993.3999999999996</v>
      </c>
      <c r="N825" s="126">
        <f>SUMIF('MPG Payment '!$E$3:$E$34579,'Shayak Income '!D825,'MPG Payment '!$J$3:$J$34579)</f>
        <v>112519.74302271099</v>
      </c>
      <c r="O825" s="126">
        <f t="shared" si="281"/>
        <v>2245.0499999999997</v>
      </c>
      <c r="P825" s="126">
        <f t="shared" si="282"/>
        <v>2843.7299999999996</v>
      </c>
      <c r="Q825" s="126">
        <f>SUMIF('MPG Payment '!$E$3:$E$34579,'Shayak Income '!D825,'MPG Payment '!$S$3:$S$34579)</f>
        <v>453.29374218135001</v>
      </c>
      <c r="R825" s="126">
        <f t="shared" si="283"/>
        <v>3375.5922906813294</v>
      </c>
      <c r="S825" s="126">
        <f t="shared" si="284"/>
        <v>531.8622906813298</v>
      </c>
      <c r="T825" s="126">
        <f t="shared" si="254"/>
        <v>299.33999999999997</v>
      </c>
      <c r="U825" s="127">
        <f>(((IF(K825="New",0,SUMIF('MPG Payment '!$E$3:$E$34579,'Shayak Income '!D825,'MPG Payment '!$AC$3:$AC$34579))))+0)+0</f>
        <v>0</v>
      </c>
      <c r="V825" s="127">
        <f t="shared" si="255"/>
        <v>5243</v>
      </c>
      <c r="W825" s="19">
        <v>0</v>
      </c>
      <c r="X825" s="19">
        <v>0</v>
      </c>
      <c r="Y825" s="128">
        <f>IFERROR(VLOOKUP(D825,'Monthly Deduction'!$M$2:$N$64,2,0),0)</f>
        <v>0</v>
      </c>
      <c r="Z825" s="128">
        <v>0</v>
      </c>
      <c r="AA825" s="126">
        <f>IFERROR(VLOOKUP(D825,'Monthly Deduction'!A:B,2,0),0)</f>
        <v>0</v>
      </c>
      <c r="AB825" s="129">
        <f t="shared" si="285"/>
        <v>5243</v>
      </c>
      <c r="AC825" s="130">
        <v>0</v>
      </c>
      <c r="AD825" s="35">
        <f t="shared" si="286"/>
        <v>5243</v>
      </c>
      <c r="AE825" s="166" t="str">
        <f t="shared" si="287"/>
        <v>Release</v>
      </c>
      <c r="AF825" s="127"/>
      <c r="AG825" s="18">
        <v>0</v>
      </c>
      <c r="AH825" s="132"/>
      <c r="AI825" s="238">
        <v>0</v>
      </c>
      <c r="AJ825" s="132"/>
      <c r="AK825" s="151">
        <v>784.22</v>
      </c>
      <c r="AL825" s="154">
        <f t="shared" si="288"/>
        <v>0</v>
      </c>
      <c r="AM825" s="155"/>
      <c r="AN825" s="19">
        <f t="shared" si="247"/>
        <v>2250.3948604542197</v>
      </c>
      <c r="AO825" s="118">
        <f>SUMIF('MPG Payment '!E:E,'Shayak Income '!D825,'MPG Payment '!AJ:AJ)</f>
        <v>0</v>
      </c>
      <c r="AP825" s="19">
        <f t="shared" si="248"/>
        <v>0</v>
      </c>
      <c r="AQ825" s="119">
        <f t="shared" si="289"/>
        <v>0</v>
      </c>
      <c r="AR825" s="91" t="s">
        <v>1168</v>
      </c>
      <c r="AS825" s="91">
        <f t="shared" si="250"/>
        <v>0</v>
      </c>
      <c r="AT825" s="118"/>
      <c r="AU825" s="118"/>
      <c r="AV825" s="118"/>
    </row>
    <row r="826" spans="1:48" s="20" customFormat="1" x14ac:dyDescent="0.25">
      <c r="A826" s="17">
        <f>IFERROR(VLOOKUP(D826,'Monthly Deduction'!$I$3:$J$957,2,0),0)</f>
        <v>65000</v>
      </c>
      <c r="B826" s="17">
        <f>IFERROR(VLOOKUP(D826,'Monthly Deduction'!$E$3:$F$957,2,0),0)</f>
        <v>0</v>
      </c>
      <c r="C826" s="17">
        <f t="shared" si="280"/>
        <v>65000</v>
      </c>
      <c r="D826" s="41">
        <v>10140205</v>
      </c>
      <c r="E826" s="122" t="str">
        <f>VLOOKUP(D826,'MPG Payment '!$E$3:$G$498218,2,0)</f>
        <v>Gumukh Niyajipur Nakchhedi Pathak Dera</v>
      </c>
      <c r="F826" s="146">
        <f>IFERROR(_xlfn.XLOOKUP(D826,'Monthly Deduction'!$I$3:$I$957,'Monthly Deduction'!$H$3:$H$957),0)</f>
        <v>0</v>
      </c>
      <c r="G826" s="123" t="str">
        <f>VLOOKUP(D826,'MPG Payment '!$E$3:$G$334579,3,0)</f>
        <v>MPG</v>
      </c>
      <c r="H826" s="124" t="str">
        <f>VLOOKUP(D826,'MPG Payment '!$E$3:$H$334579,4,0)</f>
        <v>Direct</v>
      </c>
      <c r="I826" s="88">
        <f>INDEX('MPG Payment '!$C:$C,MATCH('Shayak Income '!D826,'MPG Payment '!E:E,0))</f>
        <v>1014</v>
      </c>
      <c r="J826" s="88" t="str">
        <f>INDEX('MPG Payment '!$D:$D,MATCH('Shayak Income '!D826,'MPG Payment '!E:E,0))</f>
        <v>Dumraon</v>
      </c>
      <c r="K826" s="125" t="s">
        <v>1323</v>
      </c>
      <c r="L826" s="125">
        <v>46083</v>
      </c>
      <c r="M826" s="126">
        <f>SUMIF('MPG Payment '!$E$3:$E$34579,'Shayak Income '!D826,'MPG Payment '!$I$3:$I$34579)</f>
        <v>1239.2</v>
      </c>
      <c r="N826" s="126">
        <f>SUMIF('MPG Payment '!$E$3:$E$34579,'Shayak Income '!D826,'MPG Payment '!$J$3:$J$34579)</f>
        <v>56607.058844125007</v>
      </c>
      <c r="O826" s="126">
        <f t="shared" si="281"/>
        <v>929.40000000000009</v>
      </c>
      <c r="P826" s="126">
        <f t="shared" si="282"/>
        <v>1177.24</v>
      </c>
      <c r="Q826" s="126">
        <f>SUMIF('MPG Payment '!$E$3:$E$34579,'Shayak Income '!D826,'MPG Payment '!$S$3:$S$34579)</f>
        <v>0</v>
      </c>
      <c r="R826" s="126">
        <f t="shared" si="283"/>
        <v>1698.2117653237501</v>
      </c>
      <c r="S826" s="126">
        <f t="shared" si="284"/>
        <v>520.97176532375011</v>
      </c>
      <c r="T826" s="126">
        <f t="shared" si="254"/>
        <v>123.92000000000002</v>
      </c>
      <c r="U826" s="127">
        <f>(((IF(K826="New",0,SUMIF('MPG Payment '!$E$3:$E$34579,'Shayak Income '!D826,'MPG Payment '!$AC$3:$AC$34579))))+0)+0</f>
        <v>0</v>
      </c>
      <c r="V826" s="127">
        <f t="shared" si="255"/>
        <v>1983</v>
      </c>
      <c r="W826" s="19">
        <v>0</v>
      </c>
      <c r="X826" s="19">
        <v>0</v>
      </c>
      <c r="Y826" s="128">
        <f>IFERROR(VLOOKUP(D826,'Monthly Deduction'!$M$2:$N$64,2,0),0)</f>
        <v>0</v>
      </c>
      <c r="Z826" s="128">
        <v>0</v>
      </c>
      <c r="AA826" s="126">
        <f>IFERROR(VLOOKUP(D826,'Monthly Deduction'!A:B,2,0),0)</f>
        <v>590.36</v>
      </c>
      <c r="AB826" s="129">
        <f t="shared" si="285"/>
        <v>1393</v>
      </c>
      <c r="AC826" s="130">
        <f t="shared" ref="AC826:AC827" si="291">AB826</f>
        <v>1393</v>
      </c>
      <c r="AD826" s="35">
        <f t="shared" si="286"/>
        <v>0</v>
      </c>
      <c r="AE826" s="166" t="str">
        <f t="shared" si="287"/>
        <v>Yes</v>
      </c>
      <c r="AF826" s="127"/>
      <c r="AG826" s="18">
        <v>0</v>
      </c>
      <c r="AH826" s="120" t="s">
        <v>1653</v>
      </c>
      <c r="AI826" s="238">
        <v>0</v>
      </c>
      <c r="AJ826" s="132"/>
      <c r="AK826" s="151">
        <v>246.4</v>
      </c>
      <c r="AL826" s="154">
        <f t="shared" si="288"/>
        <v>0</v>
      </c>
      <c r="AM826" s="155"/>
      <c r="AN826" s="19">
        <f t="shared" si="247"/>
        <v>1861</v>
      </c>
      <c r="AO826" s="118">
        <f>SUMIF('MPG Payment '!E:E,'Shayak Income '!D826,'MPG Payment '!AJ:AJ)</f>
        <v>0</v>
      </c>
      <c r="AP826" s="19">
        <f t="shared" si="248"/>
        <v>0</v>
      </c>
      <c r="AQ826" s="119">
        <f t="shared" si="289"/>
        <v>0</v>
      </c>
      <c r="AR826" s="91" t="s">
        <v>1168</v>
      </c>
      <c r="AS826" s="91">
        <f t="shared" si="250"/>
        <v>0</v>
      </c>
      <c r="AT826" s="118"/>
      <c r="AU826" s="118"/>
      <c r="AV826" s="118"/>
    </row>
    <row r="827" spans="1:48" s="20" customFormat="1" x14ac:dyDescent="0.25">
      <c r="A827" s="17">
        <f>IFERROR(VLOOKUP(D827,'Monthly Deduction'!$I$3:$J$957,2,0),0)</f>
        <v>75000</v>
      </c>
      <c r="B827" s="17">
        <f>IFERROR(VLOOKUP(D827,'Monthly Deduction'!$E$3:$F$957,2,0),0)</f>
        <v>0</v>
      </c>
      <c r="C827" s="17">
        <f t="shared" si="280"/>
        <v>75000</v>
      </c>
      <c r="D827" s="41">
        <v>10550005</v>
      </c>
      <c r="E827" s="122" t="str">
        <f>VLOOKUP(D827,'MPG Payment '!$E$3:$G$498218,2,0)</f>
        <v>Gomukh Matihani</v>
      </c>
      <c r="F827" s="146">
        <f>IFERROR(_xlfn.XLOOKUP(D827,'Monthly Deduction'!$I$3:$I$957,'Monthly Deduction'!$H$3:$H$957),0)</f>
        <v>0</v>
      </c>
      <c r="G827" s="123" t="str">
        <f>VLOOKUP(D827,'MPG Payment '!$E$3:$G$334579,3,0)</f>
        <v>MPG</v>
      </c>
      <c r="H827" s="124" t="str">
        <f>VLOOKUP(D827,'MPG Payment '!$E$3:$H$334579,4,0)</f>
        <v>Direct</v>
      </c>
      <c r="I827" s="88">
        <f>INDEX('MPG Payment '!$C:$C,MATCH('Shayak Income '!D827,'MPG Payment '!E:E,0))</f>
        <v>1055</v>
      </c>
      <c r="J827" s="88" t="str">
        <f>INDEX('MPG Payment '!$D:$D,MATCH('Shayak Income '!D827,'MPG Payment '!E:E,0))</f>
        <v>Matihani</v>
      </c>
      <c r="K827" s="125" t="s">
        <v>1322</v>
      </c>
      <c r="L827" s="125">
        <v>46080</v>
      </c>
      <c r="M827" s="126">
        <f>SUMIF('MPG Payment '!$E$3:$E$34579,'Shayak Income '!D827,'MPG Payment '!$I$3:$I$34579)</f>
        <v>921.69999999999982</v>
      </c>
      <c r="N827" s="126">
        <f>SUMIF('MPG Payment '!$E$3:$E$34579,'Shayak Income '!D827,'MPG Payment '!$J$3:$J$34579)</f>
        <v>34895.886215813</v>
      </c>
      <c r="O827" s="126">
        <f t="shared" si="281"/>
        <v>691.27499999999986</v>
      </c>
      <c r="P827" s="126">
        <f t="shared" si="282"/>
        <v>875.61499999999978</v>
      </c>
      <c r="Q827" s="126">
        <f>SUMIF('MPG Payment '!$E$3:$E$34579,'Shayak Income '!D827,'MPG Payment '!$S$3:$S$34579)</f>
        <v>5936.2939804212001</v>
      </c>
      <c r="R827" s="126">
        <f t="shared" si="283"/>
        <v>1046.87658647439</v>
      </c>
      <c r="S827" s="126">
        <f t="shared" si="284"/>
        <v>171.26158647439024</v>
      </c>
      <c r="T827" s="126">
        <f t="shared" si="254"/>
        <v>92.169999999999987</v>
      </c>
      <c r="U827" s="127">
        <f>(((IF(K827="New",0,SUMIF('MPG Payment '!$E$3:$E$34579,'Shayak Income '!D827,'MPG Payment '!$AC$3:$AC$34579))))+0)+0</f>
        <v>1421.1751545596549</v>
      </c>
      <c r="V827" s="127">
        <f t="shared" si="255"/>
        <v>5990</v>
      </c>
      <c r="W827" s="19">
        <f t="shared" si="261"/>
        <v>1861</v>
      </c>
      <c r="X827" s="19">
        <v>0</v>
      </c>
      <c r="Y827" s="128">
        <f>IFERROR(VLOOKUP(D827,'Monthly Deduction'!$M$2:$N$64,2,0),0)</f>
        <v>0</v>
      </c>
      <c r="Z827" s="128">
        <v>0</v>
      </c>
      <c r="AA827" s="126">
        <f>IFERROR(VLOOKUP(D827,'Monthly Deduction'!A:B,2,0),0)</f>
        <v>0</v>
      </c>
      <c r="AB827" s="129">
        <f t="shared" si="285"/>
        <v>4129</v>
      </c>
      <c r="AC827" s="130">
        <f t="shared" si="291"/>
        <v>4129</v>
      </c>
      <c r="AD827" s="35">
        <f t="shared" si="286"/>
        <v>0</v>
      </c>
      <c r="AE827" s="166" t="str">
        <f t="shared" si="287"/>
        <v>Yes</v>
      </c>
      <c r="AF827" s="127"/>
      <c r="AG827" s="18">
        <v>0</v>
      </c>
      <c r="AH827" s="120" t="s">
        <v>1650</v>
      </c>
      <c r="AI827" s="238">
        <v>10000</v>
      </c>
      <c r="AJ827" s="132"/>
      <c r="AK827" s="151">
        <v>215.30000000000004</v>
      </c>
      <c r="AL827" s="154">
        <f t="shared" si="288"/>
        <v>0</v>
      </c>
      <c r="AM827" s="155"/>
      <c r="AN827" s="19">
        <f t="shared" si="247"/>
        <v>1861</v>
      </c>
      <c r="AO827" s="118">
        <f>SUMIF('MPG Payment '!E:E,'Shayak Income '!D827,'MPG Payment '!AJ:AJ)</f>
        <v>0</v>
      </c>
      <c r="AP827" s="19">
        <f t="shared" si="248"/>
        <v>1861</v>
      </c>
      <c r="AQ827" s="119">
        <f t="shared" si="289"/>
        <v>1861</v>
      </c>
      <c r="AR827" s="91" t="s">
        <v>1168</v>
      </c>
      <c r="AS827" s="91">
        <f t="shared" si="250"/>
        <v>0</v>
      </c>
      <c r="AT827" s="118"/>
      <c r="AU827" s="118"/>
      <c r="AV827" s="118"/>
    </row>
    <row r="828" spans="1:48" s="20" customFormat="1" x14ac:dyDescent="0.25">
      <c r="A828" s="17">
        <f>IFERROR(VLOOKUP(D828,'Monthly Deduction'!$I$3:$J$957,2,0),0)</f>
        <v>0</v>
      </c>
      <c r="B828" s="17">
        <f>IFERROR(VLOOKUP(D828,'Monthly Deduction'!$E$3:$F$957,2,0),0)</f>
        <v>0</v>
      </c>
      <c r="C828" s="17">
        <f t="shared" si="280"/>
        <v>0</v>
      </c>
      <c r="D828" s="41">
        <v>10550007</v>
      </c>
      <c r="E828" s="122" t="str">
        <f>VLOOKUP(D828,'MPG Payment '!$E$3:$G$498218,2,0)</f>
        <v>Jalalpur</v>
      </c>
      <c r="F828" s="146">
        <f>IFERROR(_xlfn.XLOOKUP(D828,'Monthly Deduction'!$I$3:$I$957,'Monthly Deduction'!$H$3:$H$957),0)</f>
        <v>0</v>
      </c>
      <c r="G828" s="123" t="str">
        <f>VLOOKUP(D828,'MPG Payment '!$E$3:$G$334579,3,0)</f>
        <v>vlc</v>
      </c>
      <c r="H828" s="124" t="str">
        <f>VLOOKUP(D828,'MPG Payment '!$E$3:$H$334579,4,0)</f>
        <v>Indirect</v>
      </c>
      <c r="I828" s="88">
        <f>INDEX('MPG Payment '!$C:$C,MATCH('Shayak Income '!D828,'MPG Payment '!E:E,0))</f>
        <v>1055</v>
      </c>
      <c r="J828" s="88" t="str">
        <f>INDEX('MPG Payment '!$D:$D,MATCH('Shayak Income '!D828,'MPG Payment '!E:E,0))</f>
        <v>Matihani</v>
      </c>
      <c r="K828" s="125" t="s">
        <v>1322</v>
      </c>
      <c r="L828" s="125">
        <v>46080</v>
      </c>
      <c r="M828" s="126">
        <f>SUMIF('MPG Payment '!$E$3:$E$34579,'Shayak Income '!D828,'MPG Payment '!$I$3:$I$34579)</f>
        <v>7344.1</v>
      </c>
      <c r="N828" s="126">
        <f>SUMIF('MPG Payment '!$E$3:$E$34579,'Shayak Income '!D828,'MPG Payment '!$J$3:$J$34579)</f>
        <v>252943.16239705455</v>
      </c>
      <c r="O828" s="126">
        <f t="shared" si="281"/>
        <v>5508.0750000000007</v>
      </c>
      <c r="P828" s="126">
        <f t="shared" si="282"/>
        <v>6976.8950000000004</v>
      </c>
      <c r="Q828" s="126">
        <f>SUMIF('MPG Payment '!$E$3:$E$34579,'Shayak Income '!D828,'MPG Payment '!$S$3:$S$34579)</f>
        <v>0</v>
      </c>
      <c r="R828" s="126">
        <f t="shared" si="283"/>
        <v>7588.2948719116357</v>
      </c>
      <c r="S828" s="126">
        <f t="shared" si="284"/>
        <v>611.39987191163527</v>
      </c>
      <c r="T828" s="126">
        <f t="shared" si="254"/>
        <v>734.41000000000008</v>
      </c>
      <c r="U828" s="127">
        <f>(((IF(K828="New",0,SUMIF('MPG Payment '!$E$3:$E$34579,'Shayak Income '!D828,'MPG Payment '!$AC$3:$AC$34579))))+0)+0</f>
        <v>0</v>
      </c>
      <c r="V828" s="127">
        <f t="shared" si="255"/>
        <v>11751</v>
      </c>
      <c r="W828" s="19">
        <f t="shared" si="261"/>
        <v>0</v>
      </c>
      <c r="X828" s="19">
        <f t="shared" si="263"/>
        <v>0</v>
      </c>
      <c r="Y828" s="128">
        <f>IFERROR(VLOOKUP(D828,'Monthly Deduction'!$M$2:$N$64,2,0),0)</f>
        <v>0</v>
      </c>
      <c r="Z828" s="128">
        <v>0</v>
      </c>
      <c r="AA828" s="126">
        <f>IFERROR(VLOOKUP(D828,'Monthly Deduction'!A:B,2,0),0)</f>
        <v>0</v>
      </c>
      <c r="AB828" s="129">
        <f t="shared" si="285"/>
        <v>11751</v>
      </c>
      <c r="AC828" s="130">
        <v>0</v>
      </c>
      <c r="AD828" s="35">
        <f t="shared" si="286"/>
        <v>11751</v>
      </c>
      <c r="AE828" s="166" t="str">
        <f t="shared" si="287"/>
        <v>Release</v>
      </c>
      <c r="AF828" s="127"/>
      <c r="AG828" s="18">
        <v>0</v>
      </c>
      <c r="AH828" s="120"/>
      <c r="AI828" s="238">
        <v>0</v>
      </c>
      <c r="AJ828" s="132"/>
      <c r="AK828" s="151">
        <v>1336.6999999999998</v>
      </c>
      <c r="AL828" s="154">
        <f t="shared" si="288"/>
        <v>0</v>
      </c>
      <c r="AM828" s="155"/>
      <c r="AN828" s="19">
        <f t="shared" si="247"/>
        <v>0</v>
      </c>
      <c r="AO828" s="118">
        <f>SUMIF('MPG Payment '!E:E,'Shayak Income '!D828,'MPG Payment '!AJ:AJ)</f>
        <v>0</v>
      </c>
      <c r="AP828" s="19">
        <f t="shared" si="248"/>
        <v>0</v>
      </c>
      <c r="AQ828" s="119">
        <f t="shared" si="289"/>
        <v>0</v>
      </c>
      <c r="AR828" s="91" t="s">
        <v>1168</v>
      </c>
      <c r="AS828" s="91">
        <f t="shared" si="250"/>
        <v>0</v>
      </c>
      <c r="AT828" s="118"/>
      <c r="AU828" s="118"/>
      <c r="AV828" s="118"/>
    </row>
    <row r="829" spans="1:48" s="20" customFormat="1" x14ac:dyDescent="0.25">
      <c r="A829" s="17">
        <f>IFERROR(VLOOKUP(D829,'Monthly Deduction'!$I$3:$J$957,2,0),0)</f>
        <v>65000</v>
      </c>
      <c r="B829" s="17">
        <f>IFERROR(VLOOKUP(D829,'Monthly Deduction'!$E$3:$F$957,2,0),0)</f>
        <v>0</v>
      </c>
      <c r="C829" s="17">
        <f t="shared" si="280"/>
        <v>65000</v>
      </c>
      <c r="D829" s="41">
        <v>10590008</v>
      </c>
      <c r="E829" s="122" t="str">
        <f>VLOOKUP(D829,'MPG Payment '!$E$3:$G$498218,2,0)</f>
        <v>NARMDA</v>
      </c>
      <c r="F829" s="146">
        <f>IFERROR(_xlfn.XLOOKUP(D829,'Monthly Deduction'!$I$3:$I$957,'Monthly Deduction'!$H$3:$H$957),0)</f>
        <v>0</v>
      </c>
      <c r="G829" s="123" t="str">
        <f>VLOOKUP(D829,'MPG Payment '!$E$3:$G$334579,3,0)</f>
        <v>MPG</v>
      </c>
      <c r="H829" s="124" t="str">
        <f>VLOOKUP(D829,'MPG Payment '!$E$3:$H$334579,4,0)</f>
        <v>Direct</v>
      </c>
      <c r="I829" s="88">
        <f>INDEX('MPG Payment '!$C:$C,MATCH('Shayak Income '!D829,'MPG Payment '!E:E,0))</f>
        <v>1059</v>
      </c>
      <c r="J829" s="88" t="str">
        <f>INDEX('MPG Payment '!$D:$D,MATCH('Shayak Income '!D829,'MPG Payment '!E:E,0))</f>
        <v>Gopalpur Bmc</v>
      </c>
      <c r="K829" s="125" t="s">
        <v>1323</v>
      </c>
      <c r="L829" s="125">
        <v>46086</v>
      </c>
      <c r="M829" s="126">
        <f>SUMIF('MPG Payment '!$E$3:$E$34579,'Shayak Income '!D829,'MPG Payment '!$I$3:$I$34579)</f>
        <v>1275.9000000000001</v>
      </c>
      <c r="N829" s="126">
        <f>SUMIF('MPG Payment '!$E$3:$E$34579,'Shayak Income '!D829,'MPG Payment '!$J$3:$J$34579)</f>
        <v>57847.084222496</v>
      </c>
      <c r="O829" s="126">
        <f t="shared" si="281"/>
        <v>956.92500000000007</v>
      </c>
      <c r="P829" s="126">
        <f t="shared" si="282"/>
        <v>1212.105</v>
      </c>
      <c r="Q829" s="126">
        <f>SUMIF('MPG Payment '!$E$3:$E$34579,'Shayak Income '!D829,'MPG Payment '!$S$3:$S$34579)</f>
        <v>0</v>
      </c>
      <c r="R829" s="126">
        <f t="shared" si="283"/>
        <v>1735.4125266748799</v>
      </c>
      <c r="S829" s="126">
        <f t="shared" si="284"/>
        <v>523.30752667487991</v>
      </c>
      <c r="T829" s="126">
        <f t="shared" si="254"/>
        <v>127.59000000000002</v>
      </c>
      <c r="U829" s="127">
        <f>(((IF(K829="New",0,SUMIF('MPG Payment '!$E$3:$E$34579,'Shayak Income '!D829,'MPG Payment '!$AC$3:$AC$34579))))+0)+0</f>
        <v>0</v>
      </c>
      <c r="V829" s="127">
        <f t="shared" si="255"/>
        <v>2041</v>
      </c>
      <c r="W829" s="19">
        <v>0</v>
      </c>
      <c r="X829" s="19">
        <v>0</v>
      </c>
      <c r="Y829" s="128">
        <f>IFERROR(VLOOKUP(D829,'Monthly Deduction'!$M$2:$N$64,2,0),0)</f>
        <v>0</v>
      </c>
      <c r="Z829" s="128">
        <v>0</v>
      </c>
      <c r="AA829" s="126">
        <f>IFERROR(VLOOKUP(D829,'Monthly Deduction'!A:B,2,0),0)</f>
        <v>0</v>
      </c>
      <c r="AB829" s="129">
        <f t="shared" si="285"/>
        <v>2041</v>
      </c>
      <c r="AC829" s="130">
        <v>0</v>
      </c>
      <c r="AD829" s="35">
        <f t="shared" si="286"/>
        <v>2041</v>
      </c>
      <c r="AE829" s="166" t="str">
        <f t="shared" si="287"/>
        <v>Release</v>
      </c>
      <c r="AF829" s="127"/>
      <c r="AG829" s="18">
        <v>0</v>
      </c>
      <c r="AH829" s="120"/>
      <c r="AI829" s="238">
        <v>0</v>
      </c>
      <c r="AJ829" s="132"/>
      <c r="AK829" s="151">
        <v>347.59999999999991</v>
      </c>
      <c r="AL829" s="154">
        <f t="shared" si="288"/>
        <v>0</v>
      </c>
      <c r="AM829" s="155"/>
      <c r="AN829" s="19">
        <f t="shared" si="247"/>
        <v>1861</v>
      </c>
      <c r="AO829" s="118">
        <f>SUMIF('MPG Payment '!E:E,'Shayak Income '!D829,'MPG Payment '!AJ:AJ)</f>
        <v>0</v>
      </c>
      <c r="AP829" s="19">
        <f t="shared" si="248"/>
        <v>0</v>
      </c>
      <c r="AQ829" s="119">
        <f t="shared" si="289"/>
        <v>0</v>
      </c>
      <c r="AR829" s="91" t="s">
        <v>1168</v>
      </c>
      <c r="AS829" s="91">
        <f t="shared" si="250"/>
        <v>0</v>
      </c>
      <c r="AT829" s="118"/>
      <c r="AU829" s="118"/>
      <c r="AV829" s="118"/>
    </row>
    <row r="830" spans="1:48" s="20" customFormat="1" x14ac:dyDescent="0.25">
      <c r="A830" s="17">
        <f>IFERROR(VLOOKUP(D830,'Monthly Deduction'!$I$3:$J$957,2,0),0)</f>
        <v>65000</v>
      </c>
      <c r="B830" s="17">
        <f>IFERROR(VLOOKUP(D830,'Monthly Deduction'!$E$3:$F$957,2,0),0)</f>
        <v>0</v>
      </c>
      <c r="C830" s="17">
        <f t="shared" si="280"/>
        <v>65000</v>
      </c>
      <c r="D830" s="41">
        <v>10590010</v>
      </c>
      <c r="E830" s="122" t="str">
        <f>VLOOKUP(D830,'MPG Payment '!$E$3:$G$498218,2,0)</f>
        <v>AMRATH</v>
      </c>
      <c r="F830" s="146">
        <f>IFERROR(_xlfn.XLOOKUP(D830,'Monthly Deduction'!$I$3:$I$957,'Monthly Deduction'!$H$3:$H$957),0)</f>
        <v>0</v>
      </c>
      <c r="G830" s="123" t="str">
        <f>VLOOKUP(D830,'MPG Payment '!$E$3:$G$334579,3,0)</f>
        <v>MPG</v>
      </c>
      <c r="H830" s="124" t="str">
        <f>VLOOKUP(D830,'MPG Payment '!$E$3:$H$334579,4,0)</f>
        <v>Direct</v>
      </c>
      <c r="I830" s="88">
        <f>INDEX('MPG Payment '!$C:$C,MATCH('Shayak Income '!D830,'MPG Payment '!E:E,0))</f>
        <v>1059</v>
      </c>
      <c r="J830" s="88" t="str">
        <f>INDEX('MPG Payment '!$D:$D,MATCH('Shayak Income '!D830,'MPG Payment '!E:E,0))</f>
        <v>Gopalpur Bmc</v>
      </c>
      <c r="K830" s="125" t="s">
        <v>1323</v>
      </c>
      <c r="L830" s="125">
        <v>46086</v>
      </c>
      <c r="M830" s="126">
        <f>SUMIF('MPG Payment '!$E$3:$E$34579,'Shayak Income '!D830,'MPG Payment '!$I$3:$I$34579)</f>
        <v>5242.9000000000005</v>
      </c>
      <c r="N830" s="126">
        <f>SUMIF('MPG Payment '!$E$3:$E$34579,'Shayak Income '!D830,'MPG Payment '!$J$3:$J$34579)</f>
        <v>253448.44386276265</v>
      </c>
      <c r="O830" s="126">
        <f t="shared" si="281"/>
        <v>3932.1750000000002</v>
      </c>
      <c r="P830" s="126">
        <f t="shared" si="282"/>
        <v>4980.7550000000001</v>
      </c>
      <c r="Q830" s="126">
        <f>SUMIF('MPG Payment '!$E$3:$E$34579,'Shayak Income '!D830,'MPG Payment '!$S$3:$S$34579)</f>
        <v>0</v>
      </c>
      <c r="R830" s="126">
        <f t="shared" si="283"/>
        <v>7603.453315882879</v>
      </c>
      <c r="S830" s="126">
        <f t="shared" si="284"/>
        <v>2622.6983158828789</v>
      </c>
      <c r="T830" s="126">
        <f t="shared" si="254"/>
        <v>524.29000000000008</v>
      </c>
      <c r="U830" s="127">
        <f>(((IF(K830="New",0,SUMIF('MPG Payment '!$E$3:$E$34579,'Shayak Income '!D830,'MPG Payment '!$AC$3:$AC$34579))))+0)+0</f>
        <v>0</v>
      </c>
      <c r="V830" s="127">
        <f t="shared" si="255"/>
        <v>8389</v>
      </c>
      <c r="W830" s="19">
        <v>0</v>
      </c>
      <c r="X830" s="19">
        <v>0</v>
      </c>
      <c r="Y830" s="128">
        <f>IFERROR(VLOOKUP(D830,'Monthly Deduction'!$M$2:$N$64,2,0),0)</f>
        <v>0</v>
      </c>
      <c r="Z830" s="128">
        <v>0</v>
      </c>
      <c r="AA830" s="126">
        <f>IFERROR(VLOOKUP(D830,'Monthly Deduction'!A:B,2,0),0)</f>
        <v>0</v>
      </c>
      <c r="AB830" s="129">
        <f t="shared" si="285"/>
        <v>8389</v>
      </c>
      <c r="AC830" s="130">
        <v>0</v>
      </c>
      <c r="AD830" s="35">
        <f t="shared" si="286"/>
        <v>8389</v>
      </c>
      <c r="AE830" s="166" t="str">
        <f t="shared" si="287"/>
        <v>Release</v>
      </c>
      <c r="AF830" s="127"/>
      <c r="AG830" s="18">
        <v>0</v>
      </c>
      <c r="AH830" s="120"/>
      <c r="AI830" s="238">
        <v>0</v>
      </c>
      <c r="AJ830" s="132"/>
      <c r="AK830" s="151">
        <v>1523.3999999999999</v>
      </c>
      <c r="AL830" s="154">
        <f t="shared" si="288"/>
        <v>0</v>
      </c>
      <c r="AM830" s="155"/>
      <c r="AN830" s="19">
        <f t="shared" si="247"/>
        <v>5068.9688772552536</v>
      </c>
      <c r="AO830" s="118">
        <f>SUMIF('MPG Payment '!E:E,'Shayak Income '!D830,'MPG Payment '!AJ:AJ)</f>
        <v>0</v>
      </c>
      <c r="AP830" s="19">
        <f t="shared" si="248"/>
        <v>0</v>
      </c>
      <c r="AQ830" s="119">
        <f t="shared" si="289"/>
        <v>0</v>
      </c>
      <c r="AR830" s="91" t="s">
        <v>1168</v>
      </c>
      <c r="AS830" s="91">
        <f t="shared" si="250"/>
        <v>0</v>
      </c>
      <c r="AT830" s="118"/>
      <c r="AU830" s="118"/>
      <c r="AV830" s="118"/>
    </row>
    <row r="831" spans="1:48" s="20" customFormat="1" x14ac:dyDescent="0.25">
      <c r="A831" s="17">
        <f>IFERROR(VLOOKUP(D831,'Monthly Deduction'!$I$3:$J$957,2,0),0)</f>
        <v>65000</v>
      </c>
      <c r="B831" s="17">
        <f>IFERROR(VLOOKUP(D831,'Monthly Deduction'!$E$3:$F$957,2,0),0)</f>
        <v>0</v>
      </c>
      <c r="C831" s="17">
        <f t="shared" si="280"/>
        <v>65000</v>
      </c>
      <c r="D831" s="41">
        <v>10590011</v>
      </c>
      <c r="E831" s="122" t="str">
        <f>VLOOKUP(D831,'MPG Payment '!$E$3:$G$498218,2,0)</f>
        <v>PUTERIA</v>
      </c>
      <c r="F831" s="146">
        <f>IFERROR(_xlfn.XLOOKUP(D831,'Monthly Deduction'!$I$3:$I$957,'Monthly Deduction'!$H$3:$H$957),0)</f>
        <v>0</v>
      </c>
      <c r="G831" s="123" t="str">
        <f>VLOOKUP(D831,'MPG Payment '!$E$3:$G$334579,3,0)</f>
        <v>MPG</v>
      </c>
      <c r="H831" s="124" t="str">
        <f>VLOOKUP(D831,'MPG Payment '!$E$3:$H$334579,4,0)</f>
        <v>Direct</v>
      </c>
      <c r="I831" s="88">
        <f>INDEX('MPG Payment '!$C:$C,MATCH('Shayak Income '!D831,'MPG Payment '!E:E,0))</f>
        <v>1059</v>
      </c>
      <c r="J831" s="88" t="str">
        <f>INDEX('MPG Payment '!$D:$D,MATCH('Shayak Income '!D831,'MPG Payment '!E:E,0))</f>
        <v>Gopalpur Bmc</v>
      </c>
      <c r="K831" s="125" t="s">
        <v>1323</v>
      </c>
      <c r="L831" s="125">
        <v>46085</v>
      </c>
      <c r="M831" s="126">
        <f>SUMIF('MPG Payment '!$E$3:$E$34579,'Shayak Income '!D831,'MPG Payment '!$I$3:$I$34579)</f>
        <v>2570.6</v>
      </c>
      <c r="N831" s="126">
        <f>SUMIF('MPG Payment '!$E$3:$E$34579,'Shayak Income '!D831,'MPG Payment '!$J$3:$J$34579)</f>
        <v>99485.508405700006</v>
      </c>
      <c r="O831" s="126">
        <f t="shared" si="281"/>
        <v>1927.9499999999998</v>
      </c>
      <c r="P831" s="126">
        <f t="shared" si="282"/>
        <v>2442.0699999999997</v>
      </c>
      <c r="Q831" s="126">
        <f>SUMIF('MPG Payment '!$E$3:$E$34579,'Shayak Income '!D831,'MPG Payment '!$S$3:$S$34579)</f>
        <v>0</v>
      </c>
      <c r="R831" s="126">
        <f t="shared" si="283"/>
        <v>2984.5652521709999</v>
      </c>
      <c r="S831" s="126">
        <f t="shared" si="284"/>
        <v>542.49525217100017</v>
      </c>
      <c r="T831" s="126">
        <f t="shared" si="254"/>
        <v>257.06</v>
      </c>
      <c r="U831" s="127">
        <f>(((IF(K831="New",0,SUMIF('MPG Payment '!$E$3:$E$34579,'Shayak Income '!D831,'MPG Payment '!$AC$3:$AC$34579))))+0)+0</f>
        <v>0</v>
      </c>
      <c r="V831" s="127">
        <f t="shared" si="255"/>
        <v>4113</v>
      </c>
      <c r="W831" s="19">
        <v>0</v>
      </c>
      <c r="X831" s="19">
        <v>0</v>
      </c>
      <c r="Y831" s="128">
        <f>IFERROR(VLOOKUP(D831,'Monthly Deduction'!$M$2:$N$64,2,0),0)</f>
        <v>0</v>
      </c>
      <c r="Z831" s="128">
        <v>0</v>
      </c>
      <c r="AA831" s="126">
        <f>IFERROR(VLOOKUP(D831,'Monthly Deduction'!A:B,2,0),0)</f>
        <v>0</v>
      </c>
      <c r="AB831" s="129">
        <f t="shared" si="285"/>
        <v>4113</v>
      </c>
      <c r="AC831" s="130">
        <v>0</v>
      </c>
      <c r="AD831" s="35">
        <f t="shared" si="286"/>
        <v>4113</v>
      </c>
      <c r="AE831" s="166" t="str">
        <f t="shared" si="287"/>
        <v>Release</v>
      </c>
      <c r="AF831" s="127"/>
      <c r="AG831" s="18">
        <v>0</v>
      </c>
      <c r="AH831" s="132"/>
      <c r="AI831" s="238">
        <v>0</v>
      </c>
      <c r="AJ831" s="132"/>
      <c r="AK831" s="151">
        <v>640</v>
      </c>
      <c r="AL831" s="154">
        <f t="shared" si="288"/>
        <v>0</v>
      </c>
      <c r="AM831" s="155"/>
      <c r="AN831" s="19">
        <f t="shared" si="247"/>
        <v>1989.7101681140002</v>
      </c>
      <c r="AO831" s="118">
        <f>SUMIF('MPG Payment '!E:E,'Shayak Income '!D831,'MPG Payment '!AJ:AJ)</f>
        <v>0</v>
      </c>
      <c r="AP831" s="19">
        <f t="shared" si="248"/>
        <v>0</v>
      </c>
      <c r="AQ831" s="119">
        <f t="shared" si="289"/>
        <v>0</v>
      </c>
      <c r="AR831" s="91" t="s">
        <v>1168</v>
      </c>
      <c r="AS831" s="91">
        <f t="shared" si="250"/>
        <v>0</v>
      </c>
      <c r="AT831" s="118"/>
      <c r="AU831" s="118"/>
      <c r="AV831" s="118"/>
    </row>
    <row r="832" spans="1:48" s="20" customFormat="1" x14ac:dyDescent="0.25">
      <c r="A832" s="17">
        <f>IFERROR(VLOOKUP(D832,'Monthly Deduction'!$I$3:$J$957,2,0),0)</f>
        <v>65000</v>
      </c>
      <c r="B832" s="17">
        <f>IFERROR(VLOOKUP(D832,'Monthly Deduction'!$E$3:$F$957,2,0),0)</f>
        <v>0</v>
      </c>
      <c r="C832" s="17">
        <f t="shared" si="280"/>
        <v>65000</v>
      </c>
      <c r="D832" s="41">
        <v>10590012</v>
      </c>
      <c r="E832" s="122" t="str">
        <f>VLOOKUP(D832,'MPG Payment '!$E$3:$G$498218,2,0)</f>
        <v>LAKHAPUR</v>
      </c>
      <c r="F832" s="146">
        <f>IFERROR(_xlfn.XLOOKUP(D832,'Monthly Deduction'!$I$3:$I$957,'Monthly Deduction'!$H$3:$H$957),0)</f>
        <v>0</v>
      </c>
      <c r="G832" s="123" t="str">
        <f>VLOOKUP(D832,'MPG Payment '!$E$3:$G$334579,3,0)</f>
        <v>MPG</v>
      </c>
      <c r="H832" s="124" t="str">
        <f>VLOOKUP(D832,'MPG Payment '!$E$3:$H$334579,4,0)</f>
        <v>Direct</v>
      </c>
      <c r="I832" s="88">
        <f>INDEX('MPG Payment '!$C:$C,MATCH('Shayak Income '!D832,'MPG Payment '!E:E,0))</f>
        <v>1059</v>
      </c>
      <c r="J832" s="88" t="str">
        <f>INDEX('MPG Payment '!$D:$D,MATCH('Shayak Income '!D832,'MPG Payment '!E:E,0))</f>
        <v>Gopalpur Bmc</v>
      </c>
      <c r="K832" s="125" t="s">
        <v>1323</v>
      </c>
      <c r="L832" s="125">
        <v>46086</v>
      </c>
      <c r="M832" s="126">
        <f>SUMIF('MPG Payment '!$E$3:$E$34579,'Shayak Income '!D832,'MPG Payment '!$I$3:$I$34579)</f>
        <v>2630.3</v>
      </c>
      <c r="N832" s="126">
        <f>SUMIF('MPG Payment '!$E$3:$E$34579,'Shayak Income '!D832,'MPG Payment '!$J$3:$J$34579)</f>
        <v>108333.08976985031</v>
      </c>
      <c r="O832" s="126">
        <f t="shared" si="281"/>
        <v>1972.7250000000001</v>
      </c>
      <c r="P832" s="126">
        <f t="shared" si="282"/>
        <v>2498.7849999999999</v>
      </c>
      <c r="Q832" s="126">
        <f>SUMIF('MPG Payment '!$E$3:$E$34579,'Shayak Income '!D832,'MPG Payment '!$S$3:$S$34579)</f>
        <v>0</v>
      </c>
      <c r="R832" s="126">
        <f t="shared" si="283"/>
        <v>3249.9926930955094</v>
      </c>
      <c r="S832" s="126">
        <f t="shared" si="284"/>
        <v>751.20769309550951</v>
      </c>
      <c r="T832" s="126">
        <f t="shared" si="254"/>
        <v>263.03000000000003</v>
      </c>
      <c r="U832" s="127">
        <f>(((IF(K832="New",0,SUMIF('MPG Payment '!$E$3:$E$34579,'Shayak Income '!D832,'MPG Payment '!$AC$3:$AC$34579))))+0)+0</f>
        <v>0</v>
      </c>
      <c r="V832" s="127">
        <f t="shared" si="255"/>
        <v>4208</v>
      </c>
      <c r="W832" s="19">
        <v>0</v>
      </c>
      <c r="X832" s="19">
        <v>0</v>
      </c>
      <c r="Y832" s="128">
        <f>IFERROR(VLOOKUP(D832,'Monthly Deduction'!$M$2:$N$64,2,0),0)</f>
        <v>0</v>
      </c>
      <c r="Z832" s="128">
        <v>0</v>
      </c>
      <c r="AA832" s="126">
        <f>IFERROR(VLOOKUP(D832,'Monthly Deduction'!A:B,2,0),0)</f>
        <v>0</v>
      </c>
      <c r="AB832" s="129">
        <f t="shared" si="285"/>
        <v>4208</v>
      </c>
      <c r="AC832" s="130">
        <v>0</v>
      </c>
      <c r="AD832" s="35">
        <f t="shared" si="286"/>
        <v>4208</v>
      </c>
      <c r="AE832" s="166" t="str">
        <f t="shared" si="287"/>
        <v>Release</v>
      </c>
      <c r="AF832" s="127"/>
      <c r="AG832" s="234">
        <v>0</v>
      </c>
      <c r="AH832" s="120"/>
      <c r="AI832" s="238">
        <v>0</v>
      </c>
      <c r="AJ832" s="132"/>
      <c r="AK832" s="151">
        <v>769.60000000000014</v>
      </c>
      <c r="AL832" s="154">
        <f t="shared" si="288"/>
        <v>0</v>
      </c>
      <c r="AM832" s="155"/>
      <c r="AN832" s="19">
        <f t="shared" si="247"/>
        <v>2166.6617953970062</v>
      </c>
      <c r="AO832" s="118">
        <f>SUMIF('MPG Payment '!E:E,'Shayak Income '!D832,'MPG Payment '!AJ:AJ)</f>
        <v>0</v>
      </c>
      <c r="AP832" s="19">
        <f t="shared" si="248"/>
        <v>0</v>
      </c>
      <c r="AQ832" s="119">
        <f t="shared" si="289"/>
        <v>0</v>
      </c>
      <c r="AR832" s="91" t="s">
        <v>1168</v>
      </c>
      <c r="AS832" s="91">
        <f t="shared" si="250"/>
        <v>0</v>
      </c>
      <c r="AT832" s="118"/>
      <c r="AU832" s="118"/>
      <c r="AV832" s="118"/>
    </row>
    <row r="833" spans="1:48" s="20" customFormat="1" x14ac:dyDescent="0.25">
      <c r="A833" s="17">
        <f>IFERROR(VLOOKUP(D833,'Monthly Deduction'!$I$3:$J$957,2,0),0)</f>
        <v>0</v>
      </c>
      <c r="B833" s="17">
        <f>IFERROR(VLOOKUP(D833,'Monthly Deduction'!$E$3:$F$957,2,0),0)</f>
        <v>0</v>
      </c>
      <c r="C833" s="17">
        <f t="shared" si="280"/>
        <v>0</v>
      </c>
      <c r="D833" s="41">
        <v>10060055</v>
      </c>
      <c r="E833" s="122" t="str">
        <f>VLOOKUP(D833,'MPG Payment '!$E$3:$G$498218,2,0)</f>
        <v>RUPESH KUMAR</v>
      </c>
      <c r="F833" s="146">
        <f>IFERROR(_xlfn.XLOOKUP(D833,'Monthly Deduction'!$I$3:$I$957,'Monthly Deduction'!$H$3:$H$957),0)</f>
        <v>0</v>
      </c>
      <c r="G833" s="123" t="str">
        <f>VLOOKUP(D833,'MPG Payment '!$E$3:$G$334579,3,0)</f>
        <v>vlc</v>
      </c>
      <c r="H833" s="124" t="str">
        <f>VLOOKUP(D833,'MPG Payment '!$E$3:$H$334579,4,0)</f>
        <v>Indirect</v>
      </c>
      <c r="I833" s="88">
        <f>INDEX('MPG Payment '!$C:$C,MATCH('Shayak Income '!D833,'MPG Payment '!E:E,0))</f>
        <v>1006</v>
      </c>
      <c r="J833" s="88" t="str">
        <f>INDEX('MPG Payment '!$D:$D,MATCH('Shayak Income '!D833,'MPG Payment '!E:E,0))</f>
        <v>Sonvarsha</v>
      </c>
      <c r="K833" s="125" t="s">
        <v>1322</v>
      </c>
      <c r="L833" s="125">
        <v>44361</v>
      </c>
      <c r="M833" s="126">
        <f>SUMIF('MPG Payment '!$E$3:$E$34579,'Shayak Income '!D833,'MPG Payment '!$I$3:$I$34579)</f>
        <v>1171.2</v>
      </c>
      <c r="N833" s="126">
        <f>SUMIF('MPG Payment '!$E$3:$E$34579,'Shayak Income '!D833,'MPG Payment '!$J$3:$J$34579)</f>
        <v>41476.726283719996</v>
      </c>
      <c r="O833" s="126">
        <f t="shared" si="281"/>
        <v>878.40000000000009</v>
      </c>
      <c r="P833" s="126">
        <f t="shared" si="282"/>
        <v>1112.6400000000001</v>
      </c>
      <c r="Q833" s="126">
        <f>SUMIF('MPG Payment '!$E$3:$E$34579,'Shayak Income '!D833,'MPG Payment '!$S$3:$S$34579)</f>
        <v>0</v>
      </c>
      <c r="R833" s="126">
        <f t="shared" si="283"/>
        <v>1244.3017885115999</v>
      </c>
      <c r="S833" s="126">
        <f t="shared" si="284"/>
        <v>131.66178851159975</v>
      </c>
      <c r="T833" s="126">
        <f t="shared" si="254"/>
        <v>117.12</v>
      </c>
      <c r="U833" s="127">
        <f>(((IF(K833="New",0,SUMIF('MPG Payment '!$E$3:$E$34579,'Shayak Income '!D833,'MPG Payment '!$AC$3:$AC$34579))))+0)+0</f>
        <v>1145.1429163761632</v>
      </c>
      <c r="V833" s="127">
        <f t="shared" si="255"/>
        <v>729</v>
      </c>
      <c r="W833" s="19">
        <f t="shared" si="261"/>
        <v>0</v>
      </c>
      <c r="X833" s="19">
        <f t="shared" si="263"/>
        <v>0</v>
      </c>
      <c r="Y833" s="128">
        <f>IFERROR(VLOOKUP(D833,'Monthly Deduction'!$M$2:$N$64,2,0),0)</f>
        <v>0</v>
      </c>
      <c r="Z833" s="128">
        <v>0</v>
      </c>
      <c r="AA833" s="126">
        <f>IFERROR(VLOOKUP(D833,'Monthly Deduction'!A:B,2,0),0)</f>
        <v>0</v>
      </c>
      <c r="AB833" s="129">
        <f t="shared" si="285"/>
        <v>729</v>
      </c>
      <c r="AC833" s="130">
        <v>0</v>
      </c>
      <c r="AD833" s="35">
        <f t="shared" si="286"/>
        <v>729</v>
      </c>
      <c r="AE833" s="166" t="str">
        <f t="shared" si="287"/>
        <v>Release</v>
      </c>
      <c r="AF833" s="127"/>
      <c r="AG833" s="234">
        <v>0</v>
      </c>
      <c r="AH833" s="120"/>
      <c r="AI833" s="238">
        <v>0</v>
      </c>
      <c r="AJ833" s="132"/>
      <c r="AK833" s="151">
        <v>591</v>
      </c>
      <c r="AL833" s="154">
        <f t="shared" si="288"/>
        <v>0</v>
      </c>
      <c r="AM833" s="155"/>
      <c r="AN833" s="19">
        <f t="shared" si="247"/>
        <v>0</v>
      </c>
      <c r="AO833" s="118">
        <f>SUMIF('MPG Payment '!E:E,'Shayak Income '!D833,'MPG Payment '!AJ:AJ)</f>
        <v>0</v>
      </c>
      <c r="AP833" s="19">
        <f t="shared" si="248"/>
        <v>0</v>
      </c>
      <c r="AQ833" s="119">
        <f t="shared" si="289"/>
        <v>0</v>
      </c>
      <c r="AR833" s="91" t="s">
        <v>1168</v>
      </c>
      <c r="AS833" s="91">
        <f t="shared" si="250"/>
        <v>0</v>
      </c>
      <c r="AT833" s="118"/>
      <c r="AU833" s="118"/>
      <c r="AV833" s="118"/>
    </row>
    <row r="834" spans="1:48" s="20" customFormat="1" x14ac:dyDescent="0.25">
      <c r="A834" s="17">
        <f>IFERROR(VLOOKUP(D834,'Monthly Deduction'!$I$3:$J$957,2,0),0)</f>
        <v>65000</v>
      </c>
      <c r="B834" s="17">
        <f>IFERROR(VLOOKUP(D834,'Monthly Deduction'!$E$3:$F$957,2,0),0)</f>
        <v>0</v>
      </c>
      <c r="C834" s="17">
        <f t="shared" si="280"/>
        <v>65000</v>
      </c>
      <c r="D834" s="41">
        <v>10140206</v>
      </c>
      <c r="E834" s="122" t="str">
        <f>VLOOKUP(D834,'MPG Payment '!$E$3:$G$498218,2,0)</f>
        <v>Gumukh Basawkala Dahpura Tola</v>
      </c>
      <c r="F834" s="146">
        <f>IFERROR(_xlfn.XLOOKUP(D834,'Monthly Deduction'!$I$3:$I$957,'Monthly Deduction'!$H$3:$H$957),0)</f>
        <v>0</v>
      </c>
      <c r="G834" s="123" t="str">
        <f>VLOOKUP(D834,'MPG Payment '!$E$3:$G$334579,3,0)</f>
        <v>MPG</v>
      </c>
      <c r="H834" s="124" t="str">
        <f>VLOOKUP(D834,'MPG Payment '!$E$3:$H$334579,4,0)</f>
        <v>Direct</v>
      </c>
      <c r="I834" s="88">
        <f>INDEX('MPG Payment '!$C:$C,MATCH('Shayak Income '!D834,'MPG Payment '!E:E,0))</f>
        <v>1014</v>
      </c>
      <c r="J834" s="88" t="str">
        <f>INDEX('MPG Payment '!$D:$D,MATCH('Shayak Income '!D834,'MPG Payment '!E:E,0))</f>
        <v>Dumraon</v>
      </c>
      <c r="K834" s="125" t="s">
        <v>1323</v>
      </c>
      <c r="L834" s="125">
        <v>46092</v>
      </c>
      <c r="M834" s="126">
        <f>SUMIF('MPG Payment '!$E$3:$E$34579,'Shayak Income '!D834,'MPG Payment '!$I$3:$I$34579)</f>
        <v>2209.9000000000005</v>
      </c>
      <c r="N834" s="126">
        <f>SUMIF('MPG Payment '!$E$3:$E$34579,'Shayak Income '!D834,'MPG Payment '!$J$3:$J$34579)</f>
        <v>92063.930616410609</v>
      </c>
      <c r="O834" s="126">
        <f t="shared" si="281"/>
        <v>1657.4250000000004</v>
      </c>
      <c r="P834" s="126">
        <f t="shared" si="282"/>
        <v>2099.4050000000002</v>
      </c>
      <c r="Q834" s="126">
        <f>SUMIF('MPG Payment '!$E$3:$E$34579,'Shayak Income '!D834,'MPG Payment '!$S$3:$S$34579)</f>
        <v>0</v>
      </c>
      <c r="R834" s="126">
        <f t="shared" si="283"/>
        <v>2761.9179184923182</v>
      </c>
      <c r="S834" s="126">
        <f t="shared" si="284"/>
        <v>662.51291849231802</v>
      </c>
      <c r="T834" s="126">
        <f t="shared" si="254"/>
        <v>220.99000000000007</v>
      </c>
      <c r="U834" s="127">
        <f>(((IF(K834="New",0,SUMIF('MPG Payment '!$E$3:$E$34579,'Shayak Income '!D834,'MPG Payment '!$AC$3:$AC$34579))))+0)+0</f>
        <v>0</v>
      </c>
      <c r="V834" s="127">
        <f t="shared" si="255"/>
        <v>3536</v>
      </c>
      <c r="W834" s="19">
        <v>0</v>
      </c>
      <c r="X834" s="19">
        <v>0</v>
      </c>
      <c r="Y834" s="128">
        <f>IFERROR(VLOOKUP(D834,'Monthly Deduction'!$M$2:$N$64,2,0),0)</f>
        <v>0</v>
      </c>
      <c r="Z834" s="128">
        <v>0</v>
      </c>
      <c r="AA834" s="126">
        <f>IFERROR(VLOOKUP(D834,'Monthly Deduction'!A:B,2,0),0)</f>
        <v>115.02000000000001</v>
      </c>
      <c r="AB834" s="129">
        <f t="shared" si="285"/>
        <v>3421</v>
      </c>
      <c r="AC834" s="130">
        <f>AB834</f>
        <v>3421</v>
      </c>
      <c r="AD834" s="35">
        <f t="shared" si="286"/>
        <v>0</v>
      </c>
      <c r="AE834" s="166" t="str">
        <f t="shared" si="287"/>
        <v>Yes</v>
      </c>
      <c r="AF834" s="127"/>
      <c r="AG834" s="234">
        <v>0</v>
      </c>
      <c r="AH834" s="120" t="s">
        <v>1653</v>
      </c>
      <c r="AI834" s="238">
        <v>0</v>
      </c>
      <c r="AJ834" s="132"/>
      <c r="AK834" s="151">
        <v>580.79999999999995</v>
      </c>
      <c r="AL834" s="154">
        <f t="shared" si="288"/>
        <v>0</v>
      </c>
      <c r="AM834" s="155"/>
      <c r="AN834" s="19">
        <f t="shared" si="247"/>
        <v>1861</v>
      </c>
      <c r="AO834" s="118">
        <f>SUMIF('MPG Payment '!E:E,'Shayak Income '!D834,'MPG Payment '!AJ:AJ)</f>
        <v>0</v>
      </c>
      <c r="AP834" s="19">
        <f t="shared" si="248"/>
        <v>0</v>
      </c>
      <c r="AQ834" s="119">
        <f t="shared" si="289"/>
        <v>0</v>
      </c>
      <c r="AR834" s="91" t="s">
        <v>1168</v>
      </c>
      <c r="AS834" s="91">
        <f t="shared" si="250"/>
        <v>0</v>
      </c>
      <c r="AT834" s="118"/>
      <c r="AU834" s="118"/>
      <c r="AV834" s="118"/>
    </row>
    <row r="835" spans="1:48" s="20" customFormat="1" x14ac:dyDescent="0.25">
      <c r="A835" s="17">
        <f>IFERROR(VLOOKUP(D835,'Monthly Deduction'!$I$3:$J$957,2,0),0)</f>
        <v>65000</v>
      </c>
      <c r="B835" s="17">
        <f>IFERROR(VLOOKUP(D835,'Monthly Deduction'!$E$3:$F$957,2,0),0)</f>
        <v>0</v>
      </c>
      <c r="C835" s="17">
        <f t="shared" si="280"/>
        <v>65000</v>
      </c>
      <c r="D835" s="41">
        <v>10530106</v>
      </c>
      <c r="E835" s="122" t="str">
        <f>VLOOKUP(D835,'MPG Payment '!$E$3:$G$498218,2,0)</f>
        <v>GOMUKH Keotsa</v>
      </c>
      <c r="F835" s="146">
        <f>IFERROR(_xlfn.XLOOKUP(D835,'Monthly Deduction'!$I$3:$I$957,'Monthly Deduction'!$H$3:$H$957),0)</f>
        <v>0</v>
      </c>
      <c r="G835" s="123" t="str">
        <f>VLOOKUP(D835,'MPG Payment '!$E$3:$G$334579,3,0)</f>
        <v>MPG</v>
      </c>
      <c r="H835" s="124" t="str">
        <f>VLOOKUP(D835,'MPG Payment '!$E$3:$H$334579,4,0)</f>
        <v>Direct</v>
      </c>
      <c r="I835" s="88">
        <f>INDEX('MPG Payment '!$C:$C,MATCH('Shayak Income '!D835,'MPG Payment '!E:E,0))</f>
        <v>1053</v>
      </c>
      <c r="J835" s="88" t="str">
        <f>INDEX('MPG Payment '!$D:$D,MATCH('Shayak Income '!D835,'MPG Payment '!E:E,0))</f>
        <v>Kalyanpur</v>
      </c>
      <c r="K835" s="125" t="s">
        <v>1323</v>
      </c>
      <c r="L835" s="125">
        <v>46091</v>
      </c>
      <c r="M835" s="126">
        <f>SUMIF('MPG Payment '!$E$3:$E$34579,'Shayak Income '!D835,'MPG Payment '!$I$3:$I$34579)</f>
        <v>1643.8000000000002</v>
      </c>
      <c r="N835" s="126">
        <f>SUMIF('MPG Payment '!$E$3:$E$34579,'Shayak Income '!D835,'MPG Payment '!$J$3:$J$34579)</f>
        <v>61091.125012655</v>
      </c>
      <c r="O835" s="126">
        <f t="shared" si="281"/>
        <v>1232.8500000000001</v>
      </c>
      <c r="P835" s="126">
        <f t="shared" si="282"/>
        <v>1561.6100000000001</v>
      </c>
      <c r="Q835" s="126">
        <f>SUMIF('MPG Payment '!$E$3:$E$34579,'Shayak Income '!D835,'MPG Payment '!$S$3:$S$34579)</f>
        <v>1022.8030138026802</v>
      </c>
      <c r="R835" s="126">
        <f t="shared" si="283"/>
        <v>1832.73375037965</v>
      </c>
      <c r="S835" s="126">
        <f t="shared" si="284"/>
        <v>271.12375037964989</v>
      </c>
      <c r="T835" s="126">
        <f t="shared" si="254"/>
        <v>164.38000000000002</v>
      </c>
      <c r="U835" s="127">
        <f>(((IF(K835="New",0,SUMIF('MPG Payment '!$E$3:$E$34579,'Shayak Income '!D835,'MPG Payment '!$AC$3:$AC$34579))))+0)+0</f>
        <v>0</v>
      </c>
      <c r="V835" s="127">
        <f t="shared" si="255"/>
        <v>3653</v>
      </c>
      <c r="W835" s="19">
        <v>0</v>
      </c>
      <c r="X835" s="19">
        <v>0</v>
      </c>
      <c r="Y835" s="128">
        <f>IFERROR(VLOOKUP(D835,'Monthly Deduction'!$M$2:$N$64,2,0),0)</f>
        <v>0</v>
      </c>
      <c r="Z835" s="128">
        <v>0</v>
      </c>
      <c r="AA835" s="126">
        <f>IFERROR(VLOOKUP(D835,'Monthly Deduction'!A:B,2,0),0)</f>
        <v>0</v>
      </c>
      <c r="AB835" s="129">
        <f t="shared" si="285"/>
        <v>3653</v>
      </c>
      <c r="AC835" s="130">
        <v>0</v>
      </c>
      <c r="AD835" s="35">
        <f t="shared" si="286"/>
        <v>3653</v>
      </c>
      <c r="AE835" s="166" t="str">
        <f t="shared" si="287"/>
        <v>Release</v>
      </c>
      <c r="AF835" s="127"/>
      <c r="AG835" s="234">
        <v>0</v>
      </c>
      <c r="AH835" s="120"/>
      <c r="AI835" s="238">
        <v>0</v>
      </c>
      <c r="AJ835" s="132"/>
      <c r="AK835" s="151">
        <v>450.95</v>
      </c>
      <c r="AL835" s="154">
        <f t="shared" si="288"/>
        <v>0</v>
      </c>
      <c r="AM835" s="155"/>
      <c r="AN835" s="19">
        <f t="shared" si="247"/>
        <v>1861</v>
      </c>
      <c r="AO835" s="118">
        <f>SUMIF('MPG Payment '!E:E,'Shayak Income '!D835,'MPG Payment '!AJ:AJ)</f>
        <v>0</v>
      </c>
      <c r="AP835" s="19">
        <f t="shared" si="248"/>
        <v>0</v>
      </c>
      <c r="AQ835" s="119">
        <f t="shared" si="289"/>
        <v>0</v>
      </c>
      <c r="AR835" s="91" t="s">
        <v>1168</v>
      </c>
      <c r="AS835" s="91">
        <f t="shared" si="250"/>
        <v>0</v>
      </c>
      <c r="AT835" s="118"/>
      <c r="AU835" s="118"/>
      <c r="AV835" s="118"/>
    </row>
    <row r="836" spans="1:48" s="20" customFormat="1" x14ac:dyDescent="0.25">
      <c r="A836" s="17">
        <f>IFERROR(VLOOKUP(D836,'Monthly Deduction'!$I$3:$J$957,2,0),0)</f>
        <v>65000</v>
      </c>
      <c r="B836" s="17">
        <f>IFERROR(VLOOKUP(D836,'Monthly Deduction'!$E$3:$F$957,2,0),0)</f>
        <v>0</v>
      </c>
      <c r="C836" s="17">
        <f t="shared" si="280"/>
        <v>65000</v>
      </c>
      <c r="D836" s="41">
        <v>10530108</v>
      </c>
      <c r="E836" s="122" t="str">
        <f>VLOOKUP(D836,'MPG Payment '!$E$3:$G$498218,2,0)</f>
        <v>GOMUKH Waini</v>
      </c>
      <c r="F836" s="146">
        <f>IFERROR(_xlfn.XLOOKUP(D836,'Monthly Deduction'!$I$3:$I$957,'Monthly Deduction'!$H$3:$H$957),0)</f>
        <v>0</v>
      </c>
      <c r="G836" s="123" t="str">
        <f>VLOOKUP(D836,'MPG Payment '!$E$3:$G$334579,3,0)</f>
        <v>MPG</v>
      </c>
      <c r="H836" s="124" t="str">
        <f>VLOOKUP(D836,'MPG Payment '!$E$3:$H$334579,4,0)</f>
        <v>Direct</v>
      </c>
      <c r="I836" s="88">
        <f>INDEX('MPG Payment '!$C:$C,MATCH('Shayak Income '!D836,'MPG Payment '!E:E,0))</f>
        <v>1053</v>
      </c>
      <c r="J836" s="88" t="str">
        <f>INDEX('MPG Payment '!$D:$D,MATCH('Shayak Income '!D836,'MPG Payment '!E:E,0))</f>
        <v>Kalyanpur</v>
      </c>
      <c r="K836" s="125" t="s">
        <v>1323</v>
      </c>
      <c r="L836" s="125">
        <v>46090</v>
      </c>
      <c r="M836" s="126">
        <f>SUMIF('MPG Payment '!$E$3:$E$34579,'Shayak Income '!D836,'MPG Payment '!$I$3:$I$34579)</f>
        <v>804.45</v>
      </c>
      <c r="N836" s="126">
        <f>SUMIF('MPG Payment '!$E$3:$E$34579,'Shayak Income '!D836,'MPG Payment '!$J$3:$J$34579)</f>
        <v>31827.537430061002</v>
      </c>
      <c r="O836" s="126">
        <f t="shared" si="281"/>
        <v>603.33750000000009</v>
      </c>
      <c r="P836" s="126">
        <f t="shared" si="282"/>
        <v>764.22749999999996</v>
      </c>
      <c r="Q836" s="126">
        <f>SUMIF('MPG Payment '!$E$3:$E$34579,'Shayak Income '!D836,'MPG Payment '!$S$3:$S$34579)</f>
        <v>725.50273600980017</v>
      </c>
      <c r="R836" s="126">
        <f t="shared" si="283"/>
        <v>954.82612290182999</v>
      </c>
      <c r="S836" s="126">
        <f t="shared" si="284"/>
        <v>190.59862290183003</v>
      </c>
      <c r="T836" s="126">
        <f t="shared" si="254"/>
        <v>80.445000000000007</v>
      </c>
      <c r="U836" s="127">
        <f>(((IF(K836="New",0,SUMIF('MPG Payment '!$E$3:$E$34579,'Shayak Income '!D836,'MPG Payment '!$AC$3:$AC$34579))))+0)+0</f>
        <v>0</v>
      </c>
      <c r="V836" s="127">
        <f t="shared" si="255"/>
        <v>2013</v>
      </c>
      <c r="W836" s="19">
        <v>0</v>
      </c>
      <c r="X836" s="19">
        <v>0</v>
      </c>
      <c r="Y836" s="128">
        <f>IFERROR(VLOOKUP(D836,'Monthly Deduction'!$M$2:$N$64,2,0),0)</f>
        <v>0</v>
      </c>
      <c r="Z836" s="128">
        <v>0</v>
      </c>
      <c r="AA836" s="126">
        <f>IFERROR(VLOOKUP(D836,'Monthly Deduction'!A:B,2,0),0)</f>
        <v>0</v>
      </c>
      <c r="AB836" s="129">
        <f t="shared" si="285"/>
        <v>2013</v>
      </c>
      <c r="AC836" s="130">
        <v>0</v>
      </c>
      <c r="AD836" s="35">
        <f t="shared" si="286"/>
        <v>2013</v>
      </c>
      <c r="AE836" s="166" t="str">
        <f t="shared" si="287"/>
        <v>Release</v>
      </c>
      <c r="AF836" s="127"/>
      <c r="AG836" s="234">
        <v>0</v>
      </c>
      <c r="AH836" s="120" t="s">
        <v>1653</v>
      </c>
      <c r="AI836" s="238">
        <v>0</v>
      </c>
      <c r="AJ836" s="132" t="s">
        <v>1660</v>
      </c>
      <c r="AK836" s="151">
        <v>337.09999999999997</v>
      </c>
      <c r="AL836" s="154">
        <f t="shared" si="288"/>
        <v>0</v>
      </c>
      <c r="AM836" s="155"/>
      <c r="AN836" s="19">
        <f t="shared" ref="AN836:AN899" si="292">((MIN(IF(A836&gt;0,MAX(N836*2%,1861),0),A836)))+0</f>
        <v>1861</v>
      </c>
      <c r="AO836" s="118">
        <f>SUMIF('MPG Payment '!E:E,'Shayak Income '!D836,'MPG Payment '!AJ:AJ)</f>
        <v>0</v>
      </c>
      <c r="AP836" s="19">
        <f t="shared" ref="AP836:AP899" si="293">W836</f>
        <v>0</v>
      </c>
      <c r="AQ836" s="119">
        <f t="shared" si="289"/>
        <v>0</v>
      </c>
      <c r="AR836" s="91" t="s">
        <v>1168</v>
      </c>
      <c r="AS836" s="91">
        <f t="shared" ref="AS836:AS899" si="294">B836-X836</f>
        <v>0</v>
      </c>
      <c r="AT836" s="118"/>
      <c r="AU836" s="118"/>
      <c r="AV836" s="118"/>
    </row>
    <row r="837" spans="1:48" s="20" customFormat="1" x14ac:dyDescent="0.25">
      <c r="A837" s="17">
        <f>IFERROR(VLOOKUP(D837,'Monthly Deduction'!$I$3:$J$957,2,0),0)</f>
        <v>65000</v>
      </c>
      <c r="B837" s="17">
        <f>IFERROR(VLOOKUP(D837,'Monthly Deduction'!$E$3:$F$957,2,0),0)</f>
        <v>0</v>
      </c>
      <c r="C837" s="17">
        <f t="shared" si="280"/>
        <v>65000</v>
      </c>
      <c r="D837" s="41">
        <v>10530110</v>
      </c>
      <c r="E837" s="122" t="str">
        <f>VLOOKUP(D837,'MPG Payment '!$E$3:$G$498218,2,0)</f>
        <v>GOMUKH DHOBGAMA</v>
      </c>
      <c r="F837" s="146">
        <f>IFERROR(_xlfn.XLOOKUP(D837,'Monthly Deduction'!$I$3:$I$957,'Monthly Deduction'!$H$3:$H$957),0)</f>
        <v>0</v>
      </c>
      <c r="G837" s="123" t="str">
        <f>VLOOKUP(D837,'MPG Payment '!$E$3:$G$334579,3,0)</f>
        <v>MPG</v>
      </c>
      <c r="H837" s="124" t="str">
        <f>VLOOKUP(D837,'MPG Payment '!$E$3:$H$334579,4,0)</f>
        <v>Direct</v>
      </c>
      <c r="I837" s="88">
        <f>INDEX('MPG Payment '!$C:$C,MATCH('Shayak Income '!D837,'MPG Payment '!E:E,0))</f>
        <v>1053</v>
      </c>
      <c r="J837" s="88" t="str">
        <f>INDEX('MPG Payment '!$D:$D,MATCH('Shayak Income '!D837,'MPG Payment '!E:E,0))</f>
        <v>Kalyanpur</v>
      </c>
      <c r="K837" s="125" t="s">
        <v>1323</v>
      </c>
      <c r="L837" s="125">
        <v>46092</v>
      </c>
      <c r="M837" s="126">
        <f>SUMIF('MPG Payment '!$E$3:$E$34579,'Shayak Income '!D837,'MPG Payment '!$I$3:$I$34579)</f>
        <v>3055.0499999999997</v>
      </c>
      <c r="N837" s="126">
        <f>SUMIF('MPG Payment '!$E$3:$E$34579,'Shayak Income '!D837,'MPG Payment '!$J$3:$J$34579)</f>
        <v>120244.40994933055</v>
      </c>
      <c r="O837" s="126">
        <f t="shared" si="281"/>
        <v>2291.2874999999999</v>
      </c>
      <c r="P837" s="126">
        <f t="shared" si="282"/>
        <v>2902.2974999999997</v>
      </c>
      <c r="Q837" s="126">
        <f>SUMIF('MPG Payment '!$E$3:$E$34579,'Shayak Income '!D837,'MPG Payment '!$S$3:$S$34579)</f>
        <v>3504.1198643370003</v>
      </c>
      <c r="R837" s="126">
        <f t="shared" si="283"/>
        <v>3607.3322984799165</v>
      </c>
      <c r="S837" s="126">
        <f t="shared" si="284"/>
        <v>705.03479847991684</v>
      </c>
      <c r="T837" s="126">
        <f t="shared" ref="T837:T900" si="295">M837*0.1</f>
        <v>305.505</v>
      </c>
      <c r="U837" s="127">
        <f>(((IF(K837="New",0,SUMIF('MPG Payment '!$E$3:$E$34579,'Shayak Income '!D837,'MPG Payment '!$AC$3:$AC$34579))))+0)+0</f>
        <v>0</v>
      </c>
      <c r="V837" s="127">
        <f t="shared" ref="V837:V900" si="296">ROUND((SUM(O837:Q837)-SUM(T837:U837)),0)</f>
        <v>8392</v>
      </c>
      <c r="W837" s="19">
        <v>0</v>
      </c>
      <c r="X837" s="19">
        <v>0</v>
      </c>
      <c r="Y837" s="128">
        <f>IFERROR(VLOOKUP(D837,'Monthly Deduction'!$M$2:$N$64,2,0),0)</f>
        <v>0</v>
      </c>
      <c r="Z837" s="128">
        <v>0</v>
      </c>
      <c r="AA837" s="126">
        <f>IFERROR(VLOOKUP(D837,'Monthly Deduction'!A:B,2,0),0)</f>
        <v>0</v>
      </c>
      <c r="AB837" s="129">
        <f t="shared" si="285"/>
        <v>8392</v>
      </c>
      <c r="AC837" s="130">
        <v>0</v>
      </c>
      <c r="AD837" s="35">
        <f t="shared" si="286"/>
        <v>8392</v>
      </c>
      <c r="AE837" s="166" t="str">
        <f t="shared" si="287"/>
        <v>Release</v>
      </c>
      <c r="AF837" s="127"/>
      <c r="AG837" s="18">
        <v>0</v>
      </c>
      <c r="AH837" s="120"/>
      <c r="AI837" s="238">
        <v>0</v>
      </c>
      <c r="AJ837" s="132"/>
      <c r="AK837" s="151">
        <v>742.9</v>
      </c>
      <c r="AL837" s="154">
        <f t="shared" si="288"/>
        <v>0</v>
      </c>
      <c r="AM837" s="155"/>
      <c r="AN837" s="19">
        <f t="shared" si="292"/>
        <v>2404.8881989866113</v>
      </c>
      <c r="AO837" s="118">
        <f>SUMIF('MPG Payment '!E:E,'Shayak Income '!D837,'MPG Payment '!AJ:AJ)</f>
        <v>0</v>
      </c>
      <c r="AP837" s="19">
        <f t="shared" si="293"/>
        <v>0</v>
      </c>
      <c r="AQ837" s="119">
        <f t="shared" si="289"/>
        <v>0</v>
      </c>
      <c r="AR837" s="91" t="s">
        <v>1168</v>
      </c>
      <c r="AS837" s="91">
        <f t="shared" si="294"/>
        <v>0</v>
      </c>
      <c r="AT837" s="118"/>
      <c r="AU837" s="118"/>
      <c r="AV837" s="118"/>
    </row>
    <row r="838" spans="1:48" s="20" customFormat="1" x14ac:dyDescent="0.25">
      <c r="A838" s="17">
        <f>IFERROR(VLOOKUP(D838,'Monthly Deduction'!$I$3:$J$957,2,0),0)</f>
        <v>84280.039600000004</v>
      </c>
      <c r="B838" s="17">
        <f>IFERROR(VLOOKUP(D838,'Monthly Deduction'!$E$3:$F$957,2,0),0)</f>
        <v>0</v>
      </c>
      <c r="C838" s="17">
        <f t="shared" si="280"/>
        <v>84280.039600000004</v>
      </c>
      <c r="D838" s="41">
        <v>10560016</v>
      </c>
      <c r="E838" s="122" t="str">
        <f>VLOOKUP(D838,'MPG Payment '!$E$3:$G$498218,2,0)</f>
        <v>Gomukh Pachout</v>
      </c>
      <c r="F838" s="146">
        <f>IFERROR(_xlfn.XLOOKUP(D838,'Monthly Deduction'!$I$3:$I$957,'Monthly Deduction'!$H$3:$H$957),0)</f>
        <v>0</v>
      </c>
      <c r="G838" s="123" t="str">
        <f>VLOOKUP(D838,'MPG Payment '!$E$3:$G$334579,3,0)</f>
        <v>MPG</v>
      </c>
      <c r="H838" s="124" t="str">
        <f>VLOOKUP(D838,'MPG Payment '!$E$3:$H$334579,4,0)</f>
        <v>Direct</v>
      </c>
      <c r="I838" s="88">
        <f>INDEX('MPG Payment '!$C:$C,MATCH('Shayak Income '!D838,'MPG Payment '!E:E,0))</f>
        <v>1056</v>
      </c>
      <c r="J838" s="88" t="str">
        <f>INDEX('MPG Payment '!$D:$D,MATCH('Shayak Income '!D838,'MPG Payment '!E:E,0))</f>
        <v>Chautham</v>
      </c>
      <c r="K838" s="125" t="s">
        <v>1322</v>
      </c>
      <c r="L838" s="125">
        <v>45999</v>
      </c>
      <c r="M838" s="126">
        <f>SUMIF('MPG Payment '!$E$3:$E$34579,'Shayak Income '!D838,'MPG Payment '!$I$3:$I$34579)</f>
        <v>3984.16</v>
      </c>
      <c r="N838" s="126">
        <f>SUMIF('MPG Payment '!$E$3:$E$34579,'Shayak Income '!D838,'MPG Payment '!$J$3:$J$34579)</f>
        <v>150583.13638260693</v>
      </c>
      <c r="O838" s="126">
        <f t="shared" si="281"/>
        <v>2988.12</v>
      </c>
      <c r="P838" s="126">
        <f t="shared" si="282"/>
        <v>3784.9519999999998</v>
      </c>
      <c r="Q838" s="126">
        <f>SUMIF('MPG Payment '!$E$3:$E$34579,'Shayak Income '!D838,'MPG Payment '!$S$3:$S$34579)</f>
        <v>0</v>
      </c>
      <c r="R838" s="126">
        <f t="shared" si="283"/>
        <v>4517.4940914782073</v>
      </c>
      <c r="S838" s="126">
        <f t="shared" si="284"/>
        <v>732.54209147820757</v>
      </c>
      <c r="T838" s="126">
        <f t="shared" si="295"/>
        <v>398.416</v>
      </c>
      <c r="U838" s="127">
        <f>(((IF(K838="New",0,SUMIF('MPG Payment '!$E$3:$E$34579,'Shayak Income '!D838,'MPG Payment '!$AC$3:$AC$34579))))+0)+0</f>
        <v>0</v>
      </c>
      <c r="V838" s="127">
        <f t="shared" si="296"/>
        <v>6375</v>
      </c>
      <c r="W838" s="19">
        <f t="shared" ref="W838:W898" si="297">(((AN838-AO838)))+0</f>
        <v>3011.6627276521385</v>
      </c>
      <c r="X838" s="19">
        <v>0</v>
      </c>
      <c r="Y838" s="128">
        <f>IFERROR(VLOOKUP(D838,'Monthly Deduction'!$M$2:$N$64,2,0),0)</f>
        <v>0</v>
      </c>
      <c r="Z838" s="128">
        <v>0</v>
      </c>
      <c r="AA838" s="126">
        <f>IFERROR(VLOOKUP(D838,'Monthly Deduction'!A:B,2,0),0)</f>
        <v>0</v>
      </c>
      <c r="AB838" s="129">
        <f t="shared" si="285"/>
        <v>3363</v>
      </c>
      <c r="AC838" s="130">
        <v>0</v>
      </c>
      <c r="AD838" s="35">
        <f t="shared" si="286"/>
        <v>3363</v>
      </c>
      <c r="AE838" s="166" t="str">
        <f t="shared" si="287"/>
        <v>Release</v>
      </c>
      <c r="AF838" s="127"/>
      <c r="AG838" s="18">
        <v>0</v>
      </c>
      <c r="AH838" s="132"/>
      <c r="AI838" s="238">
        <v>0</v>
      </c>
      <c r="AJ838" s="132"/>
      <c r="AK838" s="151">
        <v>979.1400000000001</v>
      </c>
      <c r="AL838" s="154">
        <f t="shared" si="288"/>
        <v>0</v>
      </c>
      <c r="AM838" s="155"/>
      <c r="AN838" s="19">
        <f t="shared" si="292"/>
        <v>3011.6627276521385</v>
      </c>
      <c r="AO838" s="118">
        <f>SUMIF('MPG Payment '!E:E,'Shayak Income '!D838,'MPG Payment '!AJ:AJ)</f>
        <v>0</v>
      </c>
      <c r="AP838" s="19">
        <f t="shared" si="293"/>
        <v>3011.6627276521385</v>
      </c>
      <c r="AQ838" s="119">
        <f t="shared" si="289"/>
        <v>3011.6627276521385</v>
      </c>
      <c r="AR838" s="91" t="s">
        <v>1168</v>
      </c>
      <c r="AS838" s="91">
        <f t="shared" si="294"/>
        <v>0</v>
      </c>
      <c r="AT838" s="118"/>
      <c r="AU838" s="118"/>
      <c r="AV838" s="118"/>
    </row>
    <row r="839" spans="1:48" s="20" customFormat="1" x14ac:dyDescent="0.25">
      <c r="A839" s="17">
        <f>IFERROR(VLOOKUP(D839,'Monthly Deduction'!$I$3:$J$957,2,0),0)</f>
        <v>75000</v>
      </c>
      <c r="B839" s="17">
        <f>IFERROR(VLOOKUP(D839,'Monthly Deduction'!$E$3:$F$957,2,0),0)</f>
        <v>0</v>
      </c>
      <c r="C839" s="17">
        <f t="shared" si="280"/>
        <v>75000</v>
      </c>
      <c r="D839" s="41">
        <v>10560029</v>
      </c>
      <c r="E839" s="122" t="str">
        <f>VLOOKUP(D839,'MPG Payment '!$E$3:$G$498218,2,0)</f>
        <v>Gomukh Murli</v>
      </c>
      <c r="F839" s="146">
        <f>IFERROR(_xlfn.XLOOKUP(D839,'Monthly Deduction'!$I$3:$I$957,'Monthly Deduction'!$H$3:$H$957),0)</f>
        <v>0</v>
      </c>
      <c r="G839" s="123" t="str">
        <f>VLOOKUP(D839,'MPG Payment '!$E$3:$G$334579,3,0)</f>
        <v>MPG</v>
      </c>
      <c r="H839" s="124" t="str">
        <f>VLOOKUP(D839,'MPG Payment '!$E$3:$H$334579,4,0)</f>
        <v>Direct</v>
      </c>
      <c r="I839" s="88">
        <f>INDEX('MPG Payment '!$C:$C,MATCH('Shayak Income '!D839,'MPG Payment '!E:E,0))</f>
        <v>1056</v>
      </c>
      <c r="J839" s="88" t="str">
        <f>INDEX('MPG Payment '!$D:$D,MATCH('Shayak Income '!D839,'MPG Payment '!E:E,0))</f>
        <v>Chautham</v>
      </c>
      <c r="K839" s="125" t="s">
        <v>1323</v>
      </c>
      <c r="L839" s="125">
        <v>46088</v>
      </c>
      <c r="M839" s="126">
        <f>SUMIF('MPG Payment '!$E$3:$E$34579,'Shayak Income '!D839,'MPG Payment '!$I$3:$I$34579)</f>
        <v>431.16</v>
      </c>
      <c r="N839" s="126">
        <f>SUMIF('MPG Payment '!$E$3:$E$34579,'Shayak Income '!D839,'MPG Payment '!$J$3:$J$34579)</f>
        <v>18283.574247896002</v>
      </c>
      <c r="O839" s="126">
        <f t="shared" si="281"/>
        <v>323.37</v>
      </c>
      <c r="P839" s="126">
        <f t="shared" si="282"/>
        <v>409.60200000000003</v>
      </c>
      <c r="Q839" s="126">
        <f>SUMIF('MPG Payment '!$E$3:$E$34579,'Shayak Income '!D839,'MPG Payment '!$S$3:$S$34579)</f>
        <v>0</v>
      </c>
      <c r="R839" s="126">
        <f t="shared" si="283"/>
        <v>548.50722743688004</v>
      </c>
      <c r="S839" s="126">
        <f t="shared" si="284"/>
        <v>138.90522743688001</v>
      </c>
      <c r="T839" s="126">
        <f t="shared" si="295"/>
        <v>43.116000000000007</v>
      </c>
      <c r="U839" s="127">
        <f>(((IF(K839="New",0,SUMIF('MPG Payment '!$E$3:$E$34579,'Shayak Income '!D839,'MPG Payment '!$AC$3:$AC$34579))))+0)+0</f>
        <v>0</v>
      </c>
      <c r="V839" s="127">
        <f t="shared" si="296"/>
        <v>690</v>
      </c>
      <c r="W839" s="19">
        <v>0</v>
      </c>
      <c r="X839" s="19">
        <v>0</v>
      </c>
      <c r="Y839" s="128">
        <f>IFERROR(VLOOKUP(D839,'Monthly Deduction'!$M$2:$N$64,2,0),0)</f>
        <v>0</v>
      </c>
      <c r="Z839" s="128">
        <v>0</v>
      </c>
      <c r="AA839" s="126">
        <f>IFERROR(VLOOKUP(D839,'Monthly Deduction'!A:B,2,0),0)</f>
        <v>0</v>
      </c>
      <c r="AB839" s="129">
        <f t="shared" si="285"/>
        <v>690</v>
      </c>
      <c r="AC839" s="130">
        <f t="shared" ref="AC839:AC846" si="298">AB839</f>
        <v>690</v>
      </c>
      <c r="AD839" s="35">
        <f t="shared" si="286"/>
        <v>0</v>
      </c>
      <c r="AE839" s="166" t="str">
        <f t="shared" si="287"/>
        <v>Yes</v>
      </c>
      <c r="AF839" s="127"/>
      <c r="AG839" s="18">
        <v>0</v>
      </c>
      <c r="AH839" s="120" t="s">
        <v>1646</v>
      </c>
      <c r="AI839" s="238">
        <v>10000</v>
      </c>
      <c r="AJ839" s="132"/>
      <c r="AK839" s="151">
        <v>70.3</v>
      </c>
      <c r="AL839" s="154">
        <f t="shared" si="288"/>
        <v>0</v>
      </c>
      <c r="AM839" s="155"/>
      <c r="AN839" s="19">
        <f t="shared" si="292"/>
        <v>1861</v>
      </c>
      <c r="AO839" s="118">
        <f>SUMIF('MPG Payment '!E:E,'Shayak Income '!D839,'MPG Payment '!AJ:AJ)</f>
        <v>0</v>
      </c>
      <c r="AP839" s="19">
        <f t="shared" si="293"/>
        <v>0</v>
      </c>
      <c r="AQ839" s="119">
        <f t="shared" si="289"/>
        <v>0</v>
      </c>
      <c r="AR839" s="91" t="s">
        <v>1168</v>
      </c>
      <c r="AS839" s="91">
        <f t="shared" si="294"/>
        <v>0</v>
      </c>
      <c r="AT839" s="118"/>
      <c r="AU839" s="118"/>
      <c r="AV839" s="118"/>
    </row>
    <row r="840" spans="1:48" s="20" customFormat="1" x14ac:dyDescent="0.25">
      <c r="A840" s="17">
        <f>IFERROR(VLOOKUP(D840,'Monthly Deduction'!$I$3:$J$957,2,0),0)</f>
        <v>85000</v>
      </c>
      <c r="B840" s="17">
        <f>IFERROR(VLOOKUP(D840,'Monthly Deduction'!$E$3:$F$957,2,0),0)</f>
        <v>0</v>
      </c>
      <c r="C840" s="17">
        <f t="shared" si="280"/>
        <v>85000</v>
      </c>
      <c r="D840" s="41">
        <v>10570047</v>
      </c>
      <c r="E840" s="122" t="str">
        <f>VLOOKUP(D840,'MPG Payment '!$E$3:$G$498218,2,0)</f>
        <v>Kamopur</v>
      </c>
      <c r="F840" s="146">
        <f>IFERROR(_xlfn.XLOOKUP(D840,'Monthly Deduction'!$I$3:$I$957,'Monthly Deduction'!$H$3:$H$957),0)</f>
        <v>0</v>
      </c>
      <c r="G840" s="123" t="str">
        <f>VLOOKUP(D840,'MPG Payment '!$E$3:$G$334579,3,0)</f>
        <v>MPG</v>
      </c>
      <c r="H840" s="124" t="str">
        <f>VLOOKUP(D840,'MPG Payment '!$E$3:$H$334579,4,0)</f>
        <v>Direct</v>
      </c>
      <c r="I840" s="88">
        <f>INDEX('MPG Payment '!$C:$C,MATCH('Shayak Income '!D840,'MPG Payment '!E:E,0))</f>
        <v>1057</v>
      </c>
      <c r="J840" s="88" t="str">
        <f>INDEX('MPG Payment '!$D:$D,MATCH('Shayak Income '!D840,'MPG Payment '!E:E,0))</f>
        <v>Warisnagar</v>
      </c>
      <c r="K840" s="125" t="s">
        <v>1323</v>
      </c>
      <c r="L840" s="125">
        <v>46092</v>
      </c>
      <c r="M840" s="126">
        <f>SUMIF('MPG Payment '!$E$3:$E$34579,'Shayak Income '!D840,'MPG Payment '!$I$3:$I$34579)</f>
        <v>1423.6</v>
      </c>
      <c r="N840" s="126">
        <f>SUMIF('MPG Payment '!$E$3:$E$34579,'Shayak Income '!D840,'MPG Payment '!$J$3:$J$34579)</f>
        <v>55519.698414230006</v>
      </c>
      <c r="O840" s="126">
        <f t="shared" si="281"/>
        <v>1067.6999999999998</v>
      </c>
      <c r="P840" s="126">
        <f t="shared" si="282"/>
        <v>1352.4199999999998</v>
      </c>
      <c r="Q840" s="126">
        <f>SUMIF('MPG Payment '!$E$3:$E$34579,'Shayak Income '!D840,'MPG Payment '!$S$3:$S$34579)</f>
        <v>0</v>
      </c>
      <c r="R840" s="126">
        <f t="shared" si="283"/>
        <v>1665.5909524269002</v>
      </c>
      <c r="S840" s="126">
        <f t="shared" si="284"/>
        <v>313.17095242690039</v>
      </c>
      <c r="T840" s="126">
        <f t="shared" si="295"/>
        <v>142.35999999999999</v>
      </c>
      <c r="U840" s="127">
        <f>(((IF(K840="New",0,SUMIF('MPG Payment '!$E$3:$E$34579,'Shayak Income '!D840,'MPG Payment '!$AC$3:$AC$34579))))+0)+0</f>
        <v>0</v>
      </c>
      <c r="V840" s="127">
        <f t="shared" si="296"/>
        <v>2278</v>
      </c>
      <c r="W840" s="19">
        <v>0</v>
      </c>
      <c r="X840" s="19">
        <v>0</v>
      </c>
      <c r="Y840" s="128">
        <f>IFERROR(VLOOKUP(D840,'Monthly Deduction'!$M$2:$N$64,2,0),0)</f>
        <v>0</v>
      </c>
      <c r="Z840" s="128">
        <v>0</v>
      </c>
      <c r="AA840" s="126">
        <f>IFERROR(VLOOKUP(D840,'Monthly Deduction'!A:B,2,0),0)</f>
        <v>0</v>
      </c>
      <c r="AB840" s="129">
        <f t="shared" si="285"/>
        <v>2278</v>
      </c>
      <c r="AC840" s="130">
        <f t="shared" si="298"/>
        <v>2278</v>
      </c>
      <c r="AD840" s="35">
        <f t="shared" si="286"/>
        <v>0</v>
      </c>
      <c r="AE840" s="166" t="str">
        <f t="shared" si="287"/>
        <v>Yes</v>
      </c>
      <c r="AF840" s="127"/>
      <c r="AG840" s="18">
        <v>0</v>
      </c>
      <c r="AH840" s="120" t="s">
        <v>1646</v>
      </c>
      <c r="AI840" s="238">
        <v>20000</v>
      </c>
      <c r="AJ840" s="132"/>
      <c r="AK840" s="151">
        <v>331.7</v>
      </c>
      <c r="AL840" s="154">
        <f t="shared" si="288"/>
        <v>0</v>
      </c>
      <c r="AM840" s="155"/>
      <c r="AN840" s="19">
        <f t="shared" si="292"/>
        <v>1861</v>
      </c>
      <c r="AO840" s="118">
        <f>SUMIF('MPG Payment '!E:E,'Shayak Income '!D840,'MPG Payment '!AJ:AJ)</f>
        <v>0</v>
      </c>
      <c r="AP840" s="19">
        <f t="shared" si="293"/>
        <v>0</v>
      </c>
      <c r="AQ840" s="119">
        <f t="shared" si="289"/>
        <v>0</v>
      </c>
      <c r="AR840" s="91" t="s">
        <v>1168</v>
      </c>
      <c r="AS840" s="91">
        <f t="shared" si="294"/>
        <v>0</v>
      </c>
      <c r="AT840" s="118"/>
      <c r="AU840" s="118"/>
      <c r="AV840" s="118"/>
    </row>
    <row r="841" spans="1:48" s="20" customFormat="1" x14ac:dyDescent="0.25">
      <c r="A841" s="17">
        <f>IFERROR(VLOOKUP(D841,'Monthly Deduction'!$I$3:$J$957,2,0),0)</f>
        <v>85000</v>
      </c>
      <c r="B841" s="17">
        <f>IFERROR(VLOOKUP(D841,'Monthly Deduction'!$E$3:$F$957,2,0),0)</f>
        <v>0</v>
      </c>
      <c r="C841" s="17">
        <f t="shared" si="280"/>
        <v>85000</v>
      </c>
      <c r="D841" s="41">
        <v>10630004</v>
      </c>
      <c r="E841" s="122" t="str">
        <f>VLOOKUP(D841,'MPG Payment '!$E$3:$G$498218,2,0)</f>
        <v>Murli</v>
      </c>
      <c r="F841" s="146">
        <f>IFERROR(_xlfn.XLOOKUP(D841,'Monthly Deduction'!$I$3:$I$957,'Monthly Deduction'!$H$3:$H$957),0)</f>
        <v>0</v>
      </c>
      <c r="G841" s="123" t="str">
        <f>VLOOKUP(D841,'MPG Payment '!$E$3:$G$334579,3,0)</f>
        <v>MPG</v>
      </c>
      <c r="H841" s="124" t="str">
        <f>VLOOKUP(D841,'MPG Payment '!$E$3:$H$334579,4,0)</f>
        <v>Direct</v>
      </c>
      <c r="I841" s="88">
        <f>INDEX('MPG Payment '!$C:$C,MATCH('Shayak Income '!D841,'MPG Payment '!E:E,0))</f>
        <v>1057</v>
      </c>
      <c r="J841" s="88" t="str">
        <f>INDEX('MPG Payment '!$D:$D,MATCH('Shayak Income '!D841,'MPG Payment '!E:E,0))</f>
        <v>Warisnagar</v>
      </c>
      <c r="K841" s="125" t="s">
        <v>1323</v>
      </c>
      <c r="L841" s="125">
        <v>46087</v>
      </c>
      <c r="M841" s="126">
        <f>SUMIF('MPG Payment '!$E$3:$E$34579,'Shayak Income '!D841,'MPG Payment '!$I$3:$I$34579)</f>
        <v>534.79999999999995</v>
      </c>
      <c r="N841" s="126">
        <f>SUMIF('MPG Payment '!$E$3:$E$34579,'Shayak Income '!D841,'MPG Payment '!$J$3:$J$34579)</f>
        <v>27185.0881687849</v>
      </c>
      <c r="O841" s="126">
        <f t="shared" si="281"/>
        <v>401.09999999999997</v>
      </c>
      <c r="P841" s="126">
        <f t="shared" si="282"/>
        <v>508.05999999999995</v>
      </c>
      <c r="Q841" s="126">
        <f>SUMIF('MPG Payment '!$E$3:$E$34579,'Shayak Income '!D841,'MPG Payment '!$S$3:$S$34579)</f>
        <v>123.44283275793001</v>
      </c>
      <c r="R841" s="126">
        <f t="shared" si="283"/>
        <v>815.55264506354695</v>
      </c>
      <c r="S841" s="126">
        <f t="shared" si="284"/>
        <v>307.492645063547</v>
      </c>
      <c r="T841" s="126">
        <f t="shared" si="295"/>
        <v>53.48</v>
      </c>
      <c r="U841" s="127">
        <f>(((IF(K841="New",0,SUMIF('MPG Payment '!$E$3:$E$34579,'Shayak Income '!D841,'MPG Payment '!$AC$3:$AC$34579))))+0)+0</f>
        <v>0</v>
      </c>
      <c r="V841" s="127">
        <f t="shared" si="296"/>
        <v>979</v>
      </c>
      <c r="W841" s="19">
        <v>0</v>
      </c>
      <c r="X841" s="19">
        <v>0</v>
      </c>
      <c r="Y841" s="128">
        <f>IFERROR(VLOOKUP(D841,'Monthly Deduction'!$M$2:$N$64,2,0),0)</f>
        <v>0</v>
      </c>
      <c r="Z841" s="128">
        <v>0</v>
      </c>
      <c r="AA841" s="126">
        <f>IFERROR(VLOOKUP(D841,'Monthly Deduction'!A:B,2,0),0)</f>
        <v>0</v>
      </c>
      <c r="AB841" s="129">
        <f t="shared" si="285"/>
        <v>979</v>
      </c>
      <c r="AC841" s="130">
        <f t="shared" si="298"/>
        <v>979</v>
      </c>
      <c r="AD841" s="35">
        <f t="shared" si="286"/>
        <v>0</v>
      </c>
      <c r="AE841" s="166" t="str">
        <f t="shared" si="287"/>
        <v>Yes</v>
      </c>
      <c r="AF841" s="127"/>
      <c r="AG841" s="18">
        <v>0</v>
      </c>
      <c r="AH841" s="120" t="s">
        <v>1650</v>
      </c>
      <c r="AI841" s="238">
        <v>20000</v>
      </c>
      <c r="AJ841" s="132"/>
      <c r="AK841" s="151">
        <v>164.7</v>
      </c>
      <c r="AL841" s="154">
        <f t="shared" si="288"/>
        <v>0</v>
      </c>
      <c r="AM841" s="155"/>
      <c r="AN841" s="19">
        <f t="shared" si="292"/>
        <v>1861</v>
      </c>
      <c r="AO841" s="118">
        <f>SUMIF('MPG Payment '!E:E,'Shayak Income '!D841,'MPG Payment '!AJ:AJ)</f>
        <v>0</v>
      </c>
      <c r="AP841" s="19">
        <f t="shared" si="293"/>
        <v>0</v>
      </c>
      <c r="AQ841" s="119">
        <f t="shared" si="289"/>
        <v>0</v>
      </c>
      <c r="AR841" s="91" t="s">
        <v>1168</v>
      </c>
      <c r="AS841" s="91">
        <f t="shared" si="294"/>
        <v>0</v>
      </c>
      <c r="AT841" s="118"/>
      <c r="AU841" s="118"/>
      <c r="AV841" s="118"/>
    </row>
    <row r="842" spans="1:48" s="20" customFormat="1" x14ac:dyDescent="0.25">
      <c r="A842" s="17">
        <f>IFERROR(VLOOKUP(D842,'Monthly Deduction'!$I$3:$J$957,2,0),0)</f>
        <v>65000</v>
      </c>
      <c r="B842" s="17">
        <f>IFERROR(VLOOKUP(D842,'Monthly Deduction'!$E$3:$F$957,2,0),0)</f>
        <v>0</v>
      </c>
      <c r="C842" s="17">
        <f t="shared" si="280"/>
        <v>65000</v>
      </c>
      <c r="D842" s="41">
        <v>10640001</v>
      </c>
      <c r="E842" s="122" t="str">
        <f>VLOOKUP(D842,'MPG Payment '!$E$3:$G$498218,2,0)</f>
        <v xml:space="preserve">DUMRA </v>
      </c>
      <c r="F842" s="146">
        <f>IFERROR(_xlfn.XLOOKUP(D842,'Monthly Deduction'!$I$3:$I$957,'Monthly Deduction'!$H$3:$H$957),0)</f>
        <v>0</v>
      </c>
      <c r="G842" s="123" t="str">
        <f>VLOOKUP(D842,'MPG Payment '!$E$3:$G$334579,3,0)</f>
        <v>MPG</v>
      </c>
      <c r="H842" s="124" t="str">
        <f>VLOOKUP(D842,'MPG Payment '!$E$3:$H$334579,4,0)</f>
        <v>Direct</v>
      </c>
      <c r="I842" s="88">
        <f>INDEX('MPG Payment '!$C:$C,MATCH('Shayak Income '!D842,'MPG Payment '!E:E,0))</f>
        <v>1062</v>
      </c>
      <c r="J842" s="88" t="str">
        <f>INDEX('MPG Payment '!$D:$D,MATCH('Shayak Income '!D842,'MPG Payment '!E:E,0))</f>
        <v>Singhia BMC</v>
      </c>
      <c r="K842" s="125" t="s">
        <v>1323</v>
      </c>
      <c r="L842" s="125">
        <v>46090</v>
      </c>
      <c r="M842" s="126">
        <f>SUMIF('MPG Payment '!$E$3:$E$34579,'Shayak Income '!D842,'MPG Payment '!$I$3:$I$34579)</f>
        <v>3232.119999999999</v>
      </c>
      <c r="N842" s="126">
        <f>SUMIF('MPG Payment '!$E$3:$E$34579,'Shayak Income '!D842,'MPG Payment '!$J$3:$J$34579)</f>
        <v>124510.51161222989</v>
      </c>
      <c r="O842" s="126">
        <f t="shared" si="281"/>
        <v>2424.0899999999992</v>
      </c>
      <c r="P842" s="126">
        <f t="shared" si="282"/>
        <v>3070.5139999999988</v>
      </c>
      <c r="Q842" s="126">
        <f>SUMIF('MPG Payment '!$E$3:$E$34579,'Shayak Income '!D842,'MPG Payment '!$S$3:$S$34579)</f>
        <v>1124.87430999</v>
      </c>
      <c r="R842" s="126">
        <f t="shared" si="283"/>
        <v>3735.3153483668966</v>
      </c>
      <c r="S842" s="126">
        <f t="shared" si="284"/>
        <v>664.80134836689786</v>
      </c>
      <c r="T842" s="126">
        <f t="shared" si="295"/>
        <v>323.21199999999993</v>
      </c>
      <c r="U842" s="127">
        <f>(((IF(K842="New",0,SUMIF('MPG Payment '!$E$3:$E$34579,'Shayak Income '!D842,'MPG Payment '!$AC$3:$AC$34579))))+0)+0</f>
        <v>0</v>
      </c>
      <c r="V842" s="127">
        <f t="shared" si="296"/>
        <v>6296</v>
      </c>
      <c r="W842" s="19">
        <v>0</v>
      </c>
      <c r="X842" s="19">
        <v>0</v>
      </c>
      <c r="Y842" s="128">
        <f>IFERROR(VLOOKUP(D842,'Monthly Deduction'!$M$2:$N$64,2,0),0)</f>
        <v>0</v>
      </c>
      <c r="Z842" s="128">
        <v>0</v>
      </c>
      <c r="AA842" s="126">
        <f>IFERROR(VLOOKUP(D842,'Monthly Deduction'!A:B,2,0),0)</f>
        <v>0</v>
      </c>
      <c r="AB842" s="129">
        <f t="shared" si="285"/>
        <v>6296</v>
      </c>
      <c r="AC842" s="130">
        <f t="shared" si="298"/>
        <v>6296</v>
      </c>
      <c r="AD842" s="35">
        <f t="shared" si="286"/>
        <v>0</v>
      </c>
      <c r="AE842" s="166" t="str">
        <f t="shared" si="287"/>
        <v>Yes</v>
      </c>
      <c r="AF842" s="127"/>
      <c r="AG842" s="18">
        <v>0</v>
      </c>
      <c r="AH842" s="120" t="s">
        <v>1653</v>
      </c>
      <c r="AI842" s="238">
        <v>0</v>
      </c>
      <c r="AJ842" s="132"/>
      <c r="AK842" s="151">
        <v>931.65000000000009</v>
      </c>
      <c r="AL842" s="154">
        <f t="shared" si="288"/>
        <v>0</v>
      </c>
      <c r="AM842" s="155"/>
      <c r="AN842" s="19">
        <f t="shared" si="292"/>
        <v>2490.210232244598</v>
      </c>
      <c r="AO842" s="118">
        <f>SUMIF('MPG Payment '!E:E,'Shayak Income '!D842,'MPG Payment '!AJ:AJ)</f>
        <v>0</v>
      </c>
      <c r="AP842" s="19">
        <f t="shared" si="293"/>
        <v>0</v>
      </c>
      <c r="AQ842" s="119">
        <f t="shared" si="289"/>
        <v>0</v>
      </c>
      <c r="AR842" s="91" t="s">
        <v>1168</v>
      </c>
      <c r="AS842" s="91">
        <f t="shared" si="294"/>
        <v>0</v>
      </c>
      <c r="AT842" s="118"/>
      <c r="AU842" s="118"/>
      <c r="AV842" s="118"/>
    </row>
    <row r="843" spans="1:48" s="20" customFormat="1" x14ac:dyDescent="0.25">
      <c r="A843" s="17">
        <f>IFERROR(VLOOKUP(D843,'Monthly Deduction'!$I$3:$J$957,2,0),0)</f>
        <v>65000</v>
      </c>
      <c r="B843" s="17">
        <f>IFERROR(VLOOKUP(D843,'Monthly Deduction'!$E$3:$F$957,2,0),0)</f>
        <v>0</v>
      </c>
      <c r="C843" s="17">
        <f t="shared" si="280"/>
        <v>65000</v>
      </c>
      <c r="D843" s="41">
        <v>10640003</v>
      </c>
      <c r="E843" s="122" t="str">
        <f>VLOOKUP(D843,'MPG Payment '!$E$3:$G$498218,2,0)</f>
        <v>BALHA</v>
      </c>
      <c r="F843" s="146">
        <f>IFERROR(_xlfn.XLOOKUP(D843,'Monthly Deduction'!$I$3:$I$957,'Monthly Deduction'!$H$3:$H$957),0)</f>
        <v>0</v>
      </c>
      <c r="G843" s="123" t="str">
        <f>VLOOKUP(D843,'MPG Payment '!$E$3:$G$334579,3,0)</f>
        <v>MPG</v>
      </c>
      <c r="H843" s="124" t="str">
        <f>VLOOKUP(D843,'MPG Payment '!$E$3:$H$334579,4,0)</f>
        <v>Direct</v>
      </c>
      <c r="I843" s="88">
        <f>INDEX('MPG Payment '!$C:$C,MATCH('Shayak Income '!D843,'MPG Payment '!E:E,0))</f>
        <v>1062</v>
      </c>
      <c r="J843" s="88" t="str">
        <f>INDEX('MPG Payment '!$D:$D,MATCH('Shayak Income '!D843,'MPG Payment '!E:E,0))</f>
        <v>Singhia BMC</v>
      </c>
      <c r="K843" s="125" t="s">
        <v>1323</v>
      </c>
      <c r="L843" s="125">
        <v>46090</v>
      </c>
      <c r="M843" s="126">
        <f>SUMIF('MPG Payment '!$E$3:$E$34579,'Shayak Income '!D843,'MPG Payment '!$I$3:$I$34579)</f>
        <v>3704.13</v>
      </c>
      <c r="N843" s="126">
        <f>SUMIF('MPG Payment '!$E$3:$E$34579,'Shayak Income '!D843,'MPG Payment '!$J$3:$J$34579)</f>
        <v>153695.302655754</v>
      </c>
      <c r="O843" s="126">
        <f t="shared" si="281"/>
        <v>2778.0974999999999</v>
      </c>
      <c r="P843" s="126">
        <f t="shared" si="282"/>
        <v>3518.9234999999999</v>
      </c>
      <c r="Q843" s="126">
        <f>SUMIF('MPG Payment '!$E$3:$E$34579,'Shayak Income '!D843,'MPG Payment '!$S$3:$S$34579)</f>
        <v>1921.9674655440001</v>
      </c>
      <c r="R843" s="126">
        <f t="shared" si="283"/>
        <v>4610.8590796726194</v>
      </c>
      <c r="S843" s="126">
        <f t="shared" si="284"/>
        <v>1091.9355796726195</v>
      </c>
      <c r="T843" s="126">
        <f t="shared" si="295"/>
        <v>370.41300000000001</v>
      </c>
      <c r="U843" s="127">
        <f>(((IF(K843="New",0,SUMIF('MPG Payment '!$E$3:$E$34579,'Shayak Income '!D843,'MPG Payment '!$AC$3:$AC$34579))))+0)+0</f>
        <v>0</v>
      </c>
      <c r="V843" s="127">
        <f t="shared" si="296"/>
        <v>7849</v>
      </c>
      <c r="W843" s="19">
        <v>0</v>
      </c>
      <c r="X843" s="19">
        <v>0</v>
      </c>
      <c r="Y843" s="128">
        <f>IFERROR(VLOOKUP(D843,'Monthly Deduction'!$M$2:$N$64,2,0),0)</f>
        <v>0</v>
      </c>
      <c r="Z843" s="128">
        <v>0</v>
      </c>
      <c r="AA843" s="126">
        <f>IFERROR(VLOOKUP(D843,'Monthly Deduction'!A:B,2,0),0)</f>
        <v>0</v>
      </c>
      <c r="AB843" s="129">
        <f t="shared" si="285"/>
        <v>7849</v>
      </c>
      <c r="AC843" s="130">
        <f t="shared" si="298"/>
        <v>7849</v>
      </c>
      <c r="AD843" s="35">
        <f t="shared" si="286"/>
        <v>0</v>
      </c>
      <c r="AE843" s="166" t="str">
        <f t="shared" si="287"/>
        <v>Yes</v>
      </c>
      <c r="AF843" s="127"/>
      <c r="AG843" s="18">
        <v>0</v>
      </c>
      <c r="AH843" s="120" t="s">
        <v>1653</v>
      </c>
      <c r="AI843" s="238">
        <v>0</v>
      </c>
      <c r="AJ843" s="132"/>
      <c r="AK843" s="151">
        <v>1085.53</v>
      </c>
      <c r="AL843" s="154">
        <f t="shared" si="288"/>
        <v>0</v>
      </c>
      <c r="AM843" s="155"/>
      <c r="AN843" s="19">
        <f t="shared" si="292"/>
        <v>3073.9060531150799</v>
      </c>
      <c r="AO843" s="118">
        <f>SUMIF('MPG Payment '!E:E,'Shayak Income '!D843,'MPG Payment '!AJ:AJ)</f>
        <v>0</v>
      </c>
      <c r="AP843" s="19">
        <f t="shared" si="293"/>
        <v>0</v>
      </c>
      <c r="AQ843" s="119">
        <f t="shared" si="289"/>
        <v>0</v>
      </c>
      <c r="AR843" s="91" t="s">
        <v>1168</v>
      </c>
      <c r="AS843" s="91">
        <f t="shared" si="294"/>
        <v>0</v>
      </c>
      <c r="AT843" s="118"/>
      <c r="AU843" s="118"/>
      <c r="AV843" s="118"/>
    </row>
    <row r="844" spans="1:48" s="20" customFormat="1" x14ac:dyDescent="0.25">
      <c r="A844" s="17">
        <f>IFERROR(VLOOKUP(D844,'Monthly Deduction'!$I$3:$J$957,2,0),0)</f>
        <v>75000</v>
      </c>
      <c r="B844" s="17">
        <f>IFERROR(VLOOKUP(D844,'Monthly Deduction'!$E$3:$F$957,2,0),0)</f>
        <v>0</v>
      </c>
      <c r="C844" s="17">
        <f t="shared" si="280"/>
        <v>75000</v>
      </c>
      <c r="D844" s="41">
        <v>10640004</v>
      </c>
      <c r="E844" s="122" t="str">
        <f>VLOOKUP(D844,'MPG Payment '!$E$3:$G$498218,2,0)</f>
        <v>BHARIHAR</v>
      </c>
      <c r="F844" s="146">
        <f>IFERROR(_xlfn.XLOOKUP(D844,'Monthly Deduction'!$I$3:$I$957,'Monthly Deduction'!$H$3:$H$957),0)</f>
        <v>0</v>
      </c>
      <c r="G844" s="123" t="str">
        <f>VLOOKUP(D844,'MPG Payment '!$E$3:$G$334579,3,0)</f>
        <v>MPG</v>
      </c>
      <c r="H844" s="124" t="str">
        <f>VLOOKUP(D844,'MPG Payment '!$E$3:$H$334579,4,0)</f>
        <v>Direct</v>
      </c>
      <c r="I844" s="88">
        <f>INDEX('MPG Payment '!$C:$C,MATCH('Shayak Income '!D844,'MPG Payment '!E:E,0))</f>
        <v>1062</v>
      </c>
      <c r="J844" s="88" t="str">
        <f>INDEX('MPG Payment '!$D:$D,MATCH('Shayak Income '!D844,'MPG Payment '!E:E,0))</f>
        <v>Singhia BMC</v>
      </c>
      <c r="K844" s="125" t="s">
        <v>1323</v>
      </c>
      <c r="L844" s="125">
        <v>46091</v>
      </c>
      <c r="M844" s="126">
        <f>SUMIF('MPG Payment '!$E$3:$E$34579,'Shayak Income '!D844,'MPG Payment '!$I$3:$I$34579)</f>
        <v>677.58999999999992</v>
      </c>
      <c r="N844" s="126">
        <f>SUMIF('MPG Payment '!$E$3:$E$34579,'Shayak Income '!D844,'MPG Payment '!$J$3:$J$34579)</f>
        <v>25753.504629264</v>
      </c>
      <c r="O844" s="126">
        <f t="shared" si="281"/>
        <v>508.19249999999994</v>
      </c>
      <c r="P844" s="126">
        <f t="shared" si="282"/>
        <v>643.71049999999991</v>
      </c>
      <c r="Q844" s="126">
        <f>SUMIF('MPG Payment '!$E$3:$E$34579,'Shayak Income '!D844,'MPG Payment '!$S$3:$S$34579)</f>
        <v>174.32941712700003</v>
      </c>
      <c r="R844" s="126">
        <f t="shared" si="283"/>
        <v>772.60513887792001</v>
      </c>
      <c r="S844" s="126">
        <f t="shared" si="284"/>
        <v>128.8946388779201</v>
      </c>
      <c r="T844" s="126">
        <f t="shared" si="295"/>
        <v>67.759</v>
      </c>
      <c r="U844" s="127">
        <f>(((IF(K844="New",0,SUMIF('MPG Payment '!$E$3:$E$34579,'Shayak Income '!D844,'MPG Payment '!$AC$3:$AC$34579))))+0)+0</f>
        <v>0</v>
      </c>
      <c r="V844" s="127">
        <f t="shared" si="296"/>
        <v>1258</v>
      </c>
      <c r="W844" s="19">
        <v>0</v>
      </c>
      <c r="X844" s="19">
        <v>0</v>
      </c>
      <c r="Y844" s="128">
        <f>IFERROR(VLOOKUP(D844,'Monthly Deduction'!$M$2:$N$64,2,0),0)</f>
        <v>0</v>
      </c>
      <c r="Z844" s="128">
        <v>0</v>
      </c>
      <c r="AA844" s="126">
        <f>IFERROR(VLOOKUP(D844,'Monthly Deduction'!A:B,2,0),0)</f>
        <v>0</v>
      </c>
      <c r="AB844" s="129">
        <f t="shared" si="285"/>
        <v>1258</v>
      </c>
      <c r="AC844" s="130">
        <f t="shared" si="298"/>
        <v>1258</v>
      </c>
      <c r="AD844" s="35">
        <f t="shared" si="286"/>
        <v>0</v>
      </c>
      <c r="AE844" s="166" t="str">
        <f t="shared" si="287"/>
        <v>Yes</v>
      </c>
      <c r="AF844" s="127"/>
      <c r="AG844" s="18">
        <v>0</v>
      </c>
      <c r="AH844" s="120" t="s">
        <v>1650</v>
      </c>
      <c r="AI844" s="238">
        <v>10000</v>
      </c>
      <c r="AJ844" s="132"/>
      <c r="AK844" s="151">
        <v>76.5</v>
      </c>
      <c r="AL844" s="154">
        <f t="shared" si="288"/>
        <v>0</v>
      </c>
      <c r="AM844" s="155"/>
      <c r="AN844" s="19">
        <f t="shared" si="292"/>
        <v>1861</v>
      </c>
      <c r="AO844" s="118">
        <f>SUMIF('MPG Payment '!E:E,'Shayak Income '!D844,'MPG Payment '!AJ:AJ)</f>
        <v>0</v>
      </c>
      <c r="AP844" s="19">
        <f t="shared" si="293"/>
        <v>0</v>
      </c>
      <c r="AQ844" s="119">
        <f t="shared" si="289"/>
        <v>0</v>
      </c>
      <c r="AR844" s="91" t="s">
        <v>1168</v>
      </c>
      <c r="AS844" s="91">
        <f t="shared" si="294"/>
        <v>0</v>
      </c>
      <c r="AT844" s="118"/>
      <c r="AU844" s="118"/>
      <c r="AV844" s="118"/>
    </row>
    <row r="845" spans="1:48" s="20" customFormat="1" x14ac:dyDescent="0.25">
      <c r="A845" s="17">
        <f>IFERROR(VLOOKUP(D845,'Monthly Deduction'!$I$3:$J$957,2,0),0)</f>
        <v>80000</v>
      </c>
      <c r="B845" s="17">
        <f>IFERROR(VLOOKUP(D845,'Monthly Deduction'!$E$3:$F$957,2,0),0)</f>
        <v>0</v>
      </c>
      <c r="C845" s="17">
        <f t="shared" si="280"/>
        <v>80000</v>
      </c>
      <c r="D845" s="41">
        <v>10640005</v>
      </c>
      <c r="E845" s="122" t="str">
        <f>VLOOKUP(D845,'MPG Payment '!$E$3:$G$498218,2,0)</f>
        <v>BARA</v>
      </c>
      <c r="F845" s="146">
        <f>IFERROR(_xlfn.XLOOKUP(D845,'Monthly Deduction'!$I$3:$I$957,'Monthly Deduction'!$H$3:$H$957),0)</f>
        <v>0</v>
      </c>
      <c r="G845" s="123" t="str">
        <f>VLOOKUP(D845,'MPG Payment '!$E$3:$G$334579,3,0)</f>
        <v>MPG</v>
      </c>
      <c r="H845" s="124" t="str">
        <f>VLOOKUP(D845,'MPG Payment '!$E$3:$H$334579,4,0)</f>
        <v>Direct</v>
      </c>
      <c r="I845" s="88">
        <f>INDEX('MPG Payment '!$C:$C,MATCH('Shayak Income '!D845,'MPG Payment '!E:E,0))</f>
        <v>1062</v>
      </c>
      <c r="J845" s="88" t="str">
        <f>INDEX('MPG Payment '!$D:$D,MATCH('Shayak Income '!D845,'MPG Payment '!E:E,0))</f>
        <v>Singhia BMC</v>
      </c>
      <c r="K845" s="125" t="s">
        <v>1323</v>
      </c>
      <c r="L845" s="125">
        <v>46090</v>
      </c>
      <c r="M845" s="126">
        <f>SUMIF('MPG Payment '!$E$3:$E$34579,'Shayak Income '!D845,'MPG Payment '!$I$3:$I$34579)</f>
        <v>702.4899999999999</v>
      </c>
      <c r="N845" s="126">
        <f>SUMIF('MPG Payment '!$E$3:$E$34579,'Shayak Income '!D845,'MPG Payment '!$J$3:$J$34579)</f>
        <v>30765.789255516422</v>
      </c>
      <c r="O845" s="126">
        <f t="shared" si="281"/>
        <v>526.86749999999995</v>
      </c>
      <c r="P845" s="126">
        <f t="shared" si="282"/>
        <v>667.36549999999988</v>
      </c>
      <c r="Q845" s="126">
        <f>SUMIF('MPG Payment '!$E$3:$E$34579,'Shayak Income '!D845,'MPG Payment '!$S$3:$S$34579)</f>
        <v>287.18791532864003</v>
      </c>
      <c r="R845" s="126">
        <f t="shared" si="283"/>
        <v>922.97367766549257</v>
      </c>
      <c r="S845" s="126">
        <f t="shared" si="284"/>
        <v>255.60817766549269</v>
      </c>
      <c r="T845" s="126">
        <f t="shared" si="295"/>
        <v>70.248999999999995</v>
      </c>
      <c r="U845" s="127">
        <f>(((IF(K845="New",0,SUMIF('MPG Payment '!$E$3:$E$34579,'Shayak Income '!D845,'MPG Payment '!$AC$3:$AC$34579))))+0)+0</f>
        <v>0</v>
      </c>
      <c r="V845" s="127">
        <f t="shared" si="296"/>
        <v>1411</v>
      </c>
      <c r="W845" s="19">
        <v>0</v>
      </c>
      <c r="X845" s="19">
        <v>0</v>
      </c>
      <c r="Y845" s="128">
        <f>IFERROR(VLOOKUP(D845,'Monthly Deduction'!$M$2:$N$64,2,0),0)</f>
        <v>0</v>
      </c>
      <c r="Z845" s="128">
        <v>0</v>
      </c>
      <c r="AA845" s="126">
        <f>IFERROR(VLOOKUP(D845,'Monthly Deduction'!A:B,2,0),0)</f>
        <v>0</v>
      </c>
      <c r="AB845" s="129">
        <f t="shared" si="285"/>
        <v>1411</v>
      </c>
      <c r="AC845" s="130">
        <f t="shared" si="298"/>
        <v>1411</v>
      </c>
      <c r="AD845" s="35">
        <f t="shared" si="286"/>
        <v>0</v>
      </c>
      <c r="AE845" s="166" t="str">
        <f t="shared" si="287"/>
        <v>Yes</v>
      </c>
      <c r="AF845" s="127"/>
      <c r="AG845" s="18">
        <v>0</v>
      </c>
      <c r="AH845" s="120" t="s">
        <v>1650</v>
      </c>
      <c r="AI845" s="238">
        <v>15000</v>
      </c>
      <c r="AJ845" s="132"/>
      <c r="AK845" s="151">
        <v>183.92000000000002</v>
      </c>
      <c r="AL845" s="154">
        <f t="shared" si="288"/>
        <v>0</v>
      </c>
      <c r="AM845" s="155"/>
      <c r="AN845" s="19">
        <f t="shared" si="292"/>
        <v>1861</v>
      </c>
      <c r="AO845" s="118">
        <f>SUMIF('MPG Payment '!E:E,'Shayak Income '!D845,'MPG Payment '!AJ:AJ)</f>
        <v>0</v>
      </c>
      <c r="AP845" s="19">
        <f t="shared" si="293"/>
        <v>0</v>
      </c>
      <c r="AQ845" s="119">
        <f t="shared" si="289"/>
        <v>0</v>
      </c>
      <c r="AR845" s="91" t="s">
        <v>1168</v>
      </c>
      <c r="AS845" s="91">
        <f t="shared" si="294"/>
        <v>0</v>
      </c>
      <c r="AT845" s="118"/>
      <c r="AU845" s="118"/>
      <c r="AV845" s="118"/>
    </row>
    <row r="846" spans="1:48" s="20" customFormat="1" x14ac:dyDescent="0.25">
      <c r="A846" s="17">
        <f>IFERROR(VLOOKUP(D846,'Monthly Deduction'!$I$3:$J$957,2,0),0)</f>
        <v>80000</v>
      </c>
      <c r="B846" s="17">
        <f>IFERROR(VLOOKUP(D846,'Monthly Deduction'!$E$3:$F$957,2,0),0)</f>
        <v>0</v>
      </c>
      <c r="C846" s="17">
        <f t="shared" si="280"/>
        <v>80000</v>
      </c>
      <c r="D846" s="41">
        <v>10640006</v>
      </c>
      <c r="E846" s="122" t="str">
        <f>VLOOKUP(D846,'MPG Payment '!$E$3:$G$498218,2,0)</f>
        <v>KABILASHI</v>
      </c>
      <c r="F846" s="146">
        <f>IFERROR(_xlfn.XLOOKUP(D846,'Monthly Deduction'!$I$3:$I$957,'Monthly Deduction'!$H$3:$H$957),0)</f>
        <v>0</v>
      </c>
      <c r="G846" s="123" t="str">
        <f>VLOOKUP(D846,'MPG Payment '!$E$3:$G$334579,3,0)</f>
        <v>MPG</v>
      </c>
      <c r="H846" s="124" t="str">
        <f>VLOOKUP(D846,'MPG Payment '!$E$3:$H$334579,4,0)</f>
        <v>Direct</v>
      </c>
      <c r="I846" s="88">
        <f>INDEX('MPG Payment '!$C:$C,MATCH('Shayak Income '!D846,'MPG Payment '!E:E,0))</f>
        <v>1062</v>
      </c>
      <c r="J846" s="88" t="str">
        <f>INDEX('MPG Payment '!$D:$D,MATCH('Shayak Income '!D846,'MPG Payment '!E:E,0))</f>
        <v>Singhia BMC</v>
      </c>
      <c r="K846" s="125" t="s">
        <v>1323</v>
      </c>
      <c r="L846" s="125">
        <v>46090</v>
      </c>
      <c r="M846" s="126">
        <f>SUMIF('MPG Payment '!$E$3:$E$34579,'Shayak Income '!D846,'MPG Payment '!$I$3:$I$34579)</f>
        <v>697.67</v>
      </c>
      <c r="N846" s="126">
        <f>SUMIF('MPG Payment '!$E$3:$E$34579,'Shayak Income '!D846,'MPG Payment '!$J$3:$J$34579)</f>
        <v>36030.748080835197</v>
      </c>
      <c r="O846" s="126">
        <f t="shared" si="281"/>
        <v>523.25249999999994</v>
      </c>
      <c r="P846" s="126">
        <f t="shared" si="282"/>
        <v>662.78649999999993</v>
      </c>
      <c r="Q846" s="126">
        <f>SUMIF('MPG Payment '!$E$3:$E$34579,'Shayak Income '!D846,'MPG Payment '!$S$3:$S$34579)</f>
        <v>1026.4075138392002</v>
      </c>
      <c r="R846" s="126">
        <f t="shared" si="283"/>
        <v>1080.9224424250558</v>
      </c>
      <c r="S846" s="126">
        <f t="shared" si="284"/>
        <v>418.13594242505587</v>
      </c>
      <c r="T846" s="126">
        <f t="shared" si="295"/>
        <v>69.766999999999996</v>
      </c>
      <c r="U846" s="127">
        <f>(((IF(K846="New",0,SUMIF('MPG Payment '!$E$3:$E$34579,'Shayak Income '!D846,'MPG Payment '!$AC$3:$AC$34579))))+0)+0</f>
        <v>0</v>
      </c>
      <c r="V846" s="127">
        <f t="shared" si="296"/>
        <v>2143</v>
      </c>
      <c r="W846" s="19">
        <v>0</v>
      </c>
      <c r="X846" s="19">
        <v>0</v>
      </c>
      <c r="Y846" s="128">
        <f>IFERROR(VLOOKUP(D846,'Monthly Deduction'!$M$2:$N$64,2,0),0)</f>
        <v>0</v>
      </c>
      <c r="Z846" s="128">
        <v>0</v>
      </c>
      <c r="AA846" s="126">
        <f>IFERROR(VLOOKUP(D846,'Monthly Deduction'!A:B,2,0),0)</f>
        <v>0</v>
      </c>
      <c r="AB846" s="129">
        <f t="shared" si="285"/>
        <v>2143</v>
      </c>
      <c r="AC846" s="130">
        <f t="shared" si="298"/>
        <v>2143</v>
      </c>
      <c r="AD846" s="35">
        <f t="shared" si="286"/>
        <v>0</v>
      </c>
      <c r="AE846" s="166" t="str">
        <f t="shared" si="287"/>
        <v>Yes</v>
      </c>
      <c r="AF846" s="127"/>
      <c r="AG846" s="18">
        <v>0</v>
      </c>
      <c r="AH846" s="120" t="s">
        <v>1650</v>
      </c>
      <c r="AI846" s="238">
        <v>15000</v>
      </c>
      <c r="AJ846" s="132"/>
      <c r="AK846" s="151">
        <v>217.04000000000002</v>
      </c>
      <c r="AL846" s="154">
        <f t="shared" si="288"/>
        <v>0</v>
      </c>
      <c r="AM846" s="155"/>
      <c r="AN846" s="19">
        <f t="shared" si="292"/>
        <v>1861</v>
      </c>
      <c r="AO846" s="118">
        <f>SUMIF('MPG Payment '!E:E,'Shayak Income '!D846,'MPG Payment '!AJ:AJ)</f>
        <v>0</v>
      </c>
      <c r="AP846" s="19">
        <f t="shared" si="293"/>
        <v>0</v>
      </c>
      <c r="AQ846" s="119">
        <f t="shared" si="289"/>
        <v>0</v>
      </c>
      <c r="AR846" s="91" t="s">
        <v>1168</v>
      </c>
      <c r="AS846" s="91">
        <f t="shared" si="294"/>
        <v>0</v>
      </c>
      <c r="AT846" s="118"/>
      <c r="AU846" s="118"/>
      <c r="AV846" s="118"/>
    </row>
    <row r="847" spans="1:48" s="20" customFormat="1" x14ac:dyDescent="0.25">
      <c r="A847" s="17">
        <f>IFERROR(VLOOKUP(D847,'Monthly Deduction'!$I$3:$J$957,2,0),0)</f>
        <v>0</v>
      </c>
      <c r="B847" s="17">
        <f>IFERROR(VLOOKUP(D847,'Monthly Deduction'!$E$3:$F$957,2,0),0)</f>
        <v>0</v>
      </c>
      <c r="C847" s="17">
        <f t="shared" si="280"/>
        <v>0</v>
      </c>
      <c r="D847" s="41">
        <v>10640007</v>
      </c>
      <c r="E847" s="122" t="str">
        <f>VLOOKUP(D847,'MPG Payment '!$E$3:$G$498218,2,0)</f>
        <v>SULTANPUR</v>
      </c>
      <c r="F847" s="146">
        <f>IFERROR(_xlfn.XLOOKUP(D847,'Monthly Deduction'!$I$3:$I$957,'Monthly Deduction'!$H$3:$H$957),0)</f>
        <v>0</v>
      </c>
      <c r="G847" s="123" t="str">
        <f>VLOOKUP(D847,'MPG Payment '!$E$3:$G$334579,3,0)</f>
        <v>vlc</v>
      </c>
      <c r="H847" s="124" t="str">
        <f>VLOOKUP(D847,'MPG Payment '!$E$3:$H$334579,4,0)</f>
        <v>Indirect</v>
      </c>
      <c r="I847" s="88">
        <f>INDEX('MPG Payment '!$C:$C,MATCH('Shayak Income '!D847,'MPG Payment '!E:E,0))</f>
        <v>1062</v>
      </c>
      <c r="J847" s="88" t="str">
        <f>INDEX('MPG Payment '!$D:$D,MATCH('Shayak Income '!D847,'MPG Payment '!E:E,0))</f>
        <v>Singhia BMC</v>
      </c>
      <c r="K847" s="125" t="s">
        <v>1323</v>
      </c>
      <c r="L847" s="125">
        <v>46092</v>
      </c>
      <c r="M847" s="126">
        <f>SUMIF('MPG Payment '!$E$3:$E$34579,'Shayak Income '!D847,'MPG Payment '!$I$3:$I$34579)</f>
        <v>921.34</v>
      </c>
      <c r="N847" s="126">
        <f>SUMIF('MPG Payment '!$E$3:$E$34579,'Shayak Income '!D847,'MPG Payment '!$J$3:$J$34579)</f>
        <v>39351.176937083357</v>
      </c>
      <c r="O847" s="126">
        <f t="shared" si="281"/>
        <v>691.005</v>
      </c>
      <c r="P847" s="126">
        <f t="shared" si="282"/>
        <v>875.27300000000002</v>
      </c>
      <c r="Q847" s="126">
        <f>SUMIF('MPG Payment '!$E$3:$E$34579,'Shayak Income '!D847,'MPG Payment '!$S$3:$S$34579)</f>
        <v>0</v>
      </c>
      <c r="R847" s="126">
        <f t="shared" si="283"/>
        <v>1180.5353081125006</v>
      </c>
      <c r="S847" s="126">
        <f t="shared" si="284"/>
        <v>305.26230811250059</v>
      </c>
      <c r="T847" s="126">
        <f t="shared" si="295"/>
        <v>92.134000000000015</v>
      </c>
      <c r="U847" s="127">
        <f>(((IF(K847="New",0,SUMIF('MPG Payment '!$E$3:$E$34579,'Shayak Income '!D847,'MPG Payment '!$AC$3:$AC$34579))))+0)+0</f>
        <v>0</v>
      </c>
      <c r="V847" s="127">
        <f t="shared" si="296"/>
        <v>1474</v>
      </c>
      <c r="W847" s="19">
        <v>0</v>
      </c>
      <c r="X847" s="19">
        <v>0</v>
      </c>
      <c r="Y847" s="128">
        <f>IFERROR(VLOOKUP(D847,'Monthly Deduction'!$M$2:$N$64,2,0),0)</f>
        <v>0</v>
      </c>
      <c r="Z847" s="128">
        <v>0</v>
      </c>
      <c r="AA847" s="126">
        <f>IFERROR(VLOOKUP(D847,'Monthly Deduction'!A:B,2,0),0)</f>
        <v>0</v>
      </c>
      <c r="AB847" s="129">
        <f t="shared" si="285"/>
        <v>1474</v>
      </c>
      <c r="AC847" s="130">
        <v>0</v>
      </c>
      <c r="AD847" s="35">
        <f t="shared" si="286"/>
        <v>1474</v>
      </c>
      <c r="AE847" s="166" t="str">
        <f t="shared" si="287"/>
        <v>Release</v>
      </c>
      <c r="AF847" s="127"/>
      <c r="AG847" s="18">
        <v>0</v>
      </c>
      <c r="AH847" s="120"/>
      <c r="AI847" s="238">
        <v>0</v>
      </c>
      <c r="AJ847" s="132"/>
      <c r="AK847" s="151">
        <v>223.24</v>
      </c>
      <c r="AL847" s="154">
        <f t="shared" si="288"/>
        <v>0</v>
      </c>
      <c r="AM847" s="155"/>
      <c r="AN847" s="19">
        <f t="shared" si="292"/>
        <v>0</v>
      </c>
      <c r="AO847" s="118">
        <f>SUMIF('MPG Payment '!E:E,'Shayak Income '!D847,'MPG Payment '!AJ:AJ)</f>
        <v>0</v>
      </c>
      <c r="AP847" s="19">
        <f t="shared" si="293"/>
        <v>0</v>
      </c>
      <c r="AQ847" s="119">
        <f t="shared" si="289"/>
        <v>0</v>
      </c>
      <c r="AR847" s="91" t="s">
        <v>1168</v>
      </c>
      <c r="AS847" s="91">
        <f t="shared" si="294"/>
        <v>0</v>
      </c>
      <c r="AT847" s="118"/>
      <c r="AU847" s="118"/>
      <c r="AV847" s="118"/>
    </row>
    <row r="848" spans="1:48" s="20" customFormat="1" x14ac:dyDescent="0.25">
      <c r="A848" s="17">
        <f>IFERROR(VLOOKUP(D848,'Monthly Deduction'!$I$3:$J$957,2,0),0)</f>
        <v>0</v>
      </c>
      <c r="B848" s="17">
        <f>IFERROR(VLOOKUP(D848,'Monthly Deduction'!$E$3:$F$957,2,0),0)</f>
        <v>0</v>
      </c>
      <c r="C848" s="17">
        <f t="shared" si="280"/>
        <v>0</v>
      </c>
      <c r="D848" s="41">
        <v>10060061</v>
      </c>
      <c r="E848" s="122" t="str">
        <f>VLOOKUP(D848,'MPG Payment '!$E$3:$G$498218,2,0)</f>
        <v xml:space="preserve">Manish Kumar                                                                                        </v>
      </c>
      <c r="F848" s="146">
        <f>IFERROR(_xlfn.XLOOKUP(D848,'Monthly Deduction'!$I$3:$I$957,'Monthly Deduction'!$H$3:$H$957),0)</f>
        <v>0</v>
      </c>
      <c r="G848" s="123" t="str">
        <f>VLOOKUP(D848,'MPG Payment '!$E$3:$G$334579,3,0)</f>
        <v>vlc</v>
      </c>
      <c r="H848" s="124" t="str">
        <f>VLOOKUP(D848,'MPG Payment '!$E$3:$H$334579,4,0)</f>
        <v>Indirect</v>
      </c>
      <c r="I848" s="88">
        <f>INDEX('MPG Payment '!$C:$C,MATCH('Shayak Income '!D848,'MPG Payment '!E:E,0))</f>
        <v>1006</v>
      </c>
      <c r="J848" s="88" t="str">
        <f>INDEX('MPG Payment '!$D:$D,MATCH('Shayak Income '!D848,'MPG Payment '!E:E,0))</f>
        <v>Sonvarsha</v>
      </c>
      <c r="K848" s="125" t="s">
        <v>1322</v>
      </c>
      <c r="L848" s="125">
        <v>45205</v>
      </c>
      <c r="M848" s="126">
        <f>SUMIF('MPG Payment '!$E$3:$E$34579,'Shayak Income '!D848,'MPG Payment '!$I$3:$I$34579)</f>
        <v>900.5</v>
      </c>
      <c r="N848" s="126">
        <f>SUMIF('MPG Payment '!$E$3:$E$34579,'Shayak Income '!D848,'MPG Payment '!$J$3:$J$34579)</f>
        <v>31579.108917491998</v>
      </c>
      <c r="O848" s="126">
        <f t="shared" si="281"/>
        <v>675.375</v>
      </c>
      <c r="P848" s="126">
        <f t="shared" si="282"/>
        <v>855.47499999999991</v>
      </c>
      <c r="Q848" s="126">
        <f>SUMIF('MPG Payment '!$E$3:$E$34579,'Shayak Income '!D848,'MPG Payment '!$S$3:$S$34579)</f>
        <v>0</v>
      </c>
      <c r="R848" s="126">
        <f t="shared" si="283"/>
        <v>947.37326752475985</v>
      </c>
      <c r="S848" s="126">
        <f t="shared" si="284"/>
        <v>91.898267524759945</v>
      </c>
      <c r="T848" s="126">
        <f t="shared" si="295"/>
        <v>90.050000000000011</v>
      </c>
      <c r="U848" s="127">
        <f>(((IF(K848="New",0,SUMIF('MPG Payment '!$E$3:$E$34579,'Shayak Income '!D848,'MPG Payment '!$AC$3:$AC$34579))))+0)+0</f>
        <v>1322.7103691173954</v>
      </c>
      <c r="V848" s="127">
        <f t="shared" si="296"/>
        <v>118</v>
      </c>
      <c r="W848" s="19">
        <f t="shared" si="297"/>
        <v>0</v>
      </c>
      <c r="X848" s="19">
        <f t="shared" ref="X848:X898" si="299">((MIN(IF(B848&gt;0,MAX(N848*2%),0),B848)))+0</f>
        <v>0</v>
      </c>
      <c r="Y848" s="128">
        <f>IFERROR(VLOOKUP(D848,'Monthly Deduction'!$M$2:$N$64,2,0),0)</f>
        <v>0</v>
      </c>
      <c r="Z848" s="128">
        <v>0</v>
      </c>
      <c r="AA848" s="126">
        <f>IFERROR(VLOOKUP(D848,'Monthly Deduction'!A:B,2,0),0)</f>
        <v>0</v>
      </c>
      <c r="AB848" s="129">
        <f t="shared" si="285"/>
        <v>118</v>
      </c>
      <c r="AC848" s="130">
        <v>0</v>
      </c>
      <c r="AD848" s="35">
        <f t="shared" si="286"/>
        <v>118</v>
      </c>
      <c r="AE848" s="166" t="str">
        <f t="shared" si="287"/>
        <v>Release</v>
      </c>
      <c r="AF848" s="127"/>
      <c r="AG848" s="18">
        <v>0</v>
      </c>
      <c r="AH848" s="120"/>
      <c r="AI848" s="238">
        <v>0</v>
      </c>
      <c r="AJ848" s="132"/>
      <c r="AK848" s="151">
        <v>583.20000000000005</v>
      </c>
      <c r="AL848" s="154">
        <f t="shared" si="288"/>
        <v>0</v>
      </c>
      <c r="AM848" s="155"/>
      <c r="AN848" s="19">
        <f t="shared" si="292"/>
        <v>0</v>
      </c>
      <c r="AO848" s="118">
        <f>SUMIF('MPG Payment '!E:E,'Shayak Income '!D848,'MPG Payment '!AJ:AJ)</f>
        <v>0</v>
      </c>
      <c r="AP848" s="19">
        <f t="shared" si="293"/>
        <v>0</v>
      </c>
      <c r="AQ848" s="119">
        <f t="shared" si="289"/>
        <v>0</v>
      </c>
      <c r="AR848" s="91" t="s">
        <v>1168</v>
      </c>
      <c r="AS848" s="91">
        <f t="shared" si="294"/>
        <v>0</v>
      </c>
      <c r="AT848" s="118"/>
      <c r="AU848" s="118"/>
      <c r="AV848" s="118"/>
    </row>
    <row r="849" spans="1:48" s="20" customFormat="1" x14ac:dyDescent="0.25">
      <c r="A849" s="17">
        <f>IFERROR(VLOOKUP(D849,'Monthly Deduction'!$I$3:$J$957,2,0),0)</f>
        <v>75000</v>
      </c>
      <c r="B849" s="17">
        <f>IFERROR(VLOOKUP(D849,'Monthly Deduction'!$E$3:$F$957,2,0),0)</f>
        <v>0</v>
      </c>
      <c r="C849" s="17">
        <f t="shared" si="280"/>
        <v>75000</v>
      </c>
      <c r="D849" s="41">
        <v>10100061</v>
      </c>
      <c r="E849" s="122" t="str">
        <f>VLOOKUP(D849,'MPG Payment '!$E$3:$G$498218,2,0)</f>
        <v>Gomukh Bhorkanth Purbi</v>
      </c>
      <c r="F849" s="146">
        <f>IFERROR(_xlfn.XLOOKUP(D849,'Monthly Deduction'!$I$3:$I$957,'Monthly Deduction'!$H$3:$H$957),0)</f>
        <v>0</v>
      </c>
      <c r="G849" s="123" t="str">
        <f>VLOOKUP(D849,'MPG Payment '!$E$3:$G$334579,3,0)</f>
        <v>MPG</v>
      </c>
      <c r="H849" s="124" t="str">
        <f>VLOOKUP(D849,'MPG Payment '!$E$3:$H$334579,4,0)</f>
        <v>Direct</v>
      </c>
      <c r="I849" s="88">
        <f>INDEX('MPG Payment '!$C:$C,MATCH('Shayak Income '!D849,'MPG Payment '!E:E,0))</f>
        <v>1010</v>
      </c>
      <c r="J849" s="88" t="str">
        <f>INDEX('MPG Payment '!$D:$D,MATCH('Shayak Income '!D849,'MPG Payment '!E:E,0))</f>
        <v>Parbatta</v>
      </c>
      <c r="K849" s="125" t="s">
        <v>1323</v>
      </c>
      <c r="L849" s="125">
        <v>46098</v>
      </c>
      <c r="M849" s="126">
        <f>SUMIF('MPG Payment '!$E$3:$E$34579,'Shayak Income '!D849,'MPG Payment '!$I$3:$I$34579)</f>
        <v>675.6</v>
      </c>
      <c r="N849" s="126">
        <f>SUMIF('MPG Payment '!$E$3:$E$34579,'Shayak Income '!D849,'MPG Payment '!$J$3:$J$34579)</f>
        <v>22967.5706045857</v>
      </c>
      <c r="O849" s="126">
        <f t="shared" si="281"/>
        <v>506.70000000000005</v>
      </c>
      <c r="P849" s="126">
        <f t="shared" si="282"/>
        <v>641.81999999999994</v>
      </c>
      <c r="Q849" s="126">
        <f>SUMIF('MPG Payment '!$E$3:$E$34579,'Shayak Income '!D849,'MPG Payment '!$S$3:$S$34579)</f>
        <v>0</v>
      </c>
      <c r="R849" s="126">
        <f t="shared" si="283"/>
        <v>689.02711813757094</v>
      </c>
      <c r="S849" s="126">
        <f t="shared" si="284"/>
        <v>47.207118137571001</v>
      </c>
      <c r="T849" s="126">
        <f t="shared" si="295"/>
        <v>67.56</v>
      </c>
      <c r="U849" s="127">
        <f>(((IF(K849="New",0,SUMIF('MPG Payment '!$E$3:$E$34579,'Shayak Income '!D849,'MPG Payment '!$AC$3:$AC$34579))))+0)+0</f>
        <v>0</v>
      </c>
      <c r="V849" s="127">
        <f t="shared" si="296"/>
        <v>1081</v>
      </c>
      <c r="W849" s="19">
        <v>0</v>
      </c>
      <c r="X849" s="19">
        <v>0</v>
      </c>
      <c r="Y849" s="128">
        <f>IFERROR(VLOOKUP(D849,'Monthly Deduction'!$M$2:$N$64,2,0),0)</f>
        <v>0</v>
      </c>
      <c r="Z849" s="128">
        <v>0</v>
      </c>
      <c r="AA849" s="126">
        <f>IFERROR(VLOOKUP(D849,'Monthly Deduction'!A:B,2,0),0)</f>
        <v>0</v>
      </c>
      <c r="AB849" s="129">
        <f t="shared" si="285"/>
        <v>1081</v>
      </c>
      <c r="AC849" s="130">
        <f>AB849</f>
        <v>1081</v>
      </c>
      <c r="AD849" s="35">
        <f t="shared" si="286"/>
        <v>0</v>
      </c>
      <c r="AE849" s="166" t="str">
        <f t="shared" si="287"/>
        <v>Yes</v>
      </c>
      <c r="AF849" s="127"/>
      <c r="AG849" s="18">
        <v>0</v>
      </c>
      <c r="AH849" s="120" t="s">
        <v>1646</v>
      </c>
      <c r="AI849" s="238">
        <v>10000</v>
      </c>
      <c r="AJ849" s="132"/>
      <c r="AK849" s="151">
        <v>402.69999999999993</v>
      </c>
      <c r="AL849" s="154">
        <f t="shared" si="288"/>
        <v>0</v>
      </c>
      <c r="AM849" s="155"/>
      <c r="AN849" s="19">
        <f t="shared" si="292"/>
        <v>1861</v>
      </c>
      <c r="AO849" s="118">
        <f>SUMIF('MPG Payment '!E:E,'Shayak Income '!D849,'MPG Payment '!AJ:AJ)</f>
        <v>0</v>
      </c>
      <c r="AP849" s="19">
        <f t="shared" si="293"/>
        <v>0</v>
      </c>
      <c r="AQ849" s="119">
        <f t="shared" si="289"/>
        <v>0</v>
      </c>
      <c r="AR849" s="91" t="s">
        <v>1168</v>
      </c>
      <c r="AS849" s="91">
        <f t="shared" si="294"/>
        <v>0</v>
      </c>
      <c r="AT849" s="118"/>
      <c r="AU849" s="118"/>
      <c r="AV849" s="118"/>
    </row>
    <row r="850" spans="1:48" s="20" customFormat="1" x14ac:dyDescent="0.25">
      <c r="A850" s="17">
        <f>IFERROR(VLOOKUP(D850,'Monthly Deduction'!$I$3:$J$957,2,0),0)</f>
        <v>0</v>
      </c>
      <c r="B850" s="17">
        <f>IFERROR(VLOOKUP(D850,'Monthly Deduction'!$E$3:$F$957,2,0),0)</f>
        <v>0</v>
      </c>
      <c r="C850" s="17">
        <f t="shared" si="280"/>
        <v>0</v>
      </c>
      <c r="D850" s="41">
        <v>10130101</v>
      </c>
      <c r="E850" s="122" t="str">
        <f>VLOOKUP(D850,'MPG Payment '!$E$3:$G$498218,2,0)</f>
        <v>Gomukh Karhatiya Bujurg</v>
      </c>
      <c r="F850" s="146">
        <f>IFERROR(_xlfn.XLOOKUP(D850,'Monthly Deduction'!$I$3:$I$957,'Monthly Deduction'!$H$3:$H$957),0)</f>
        <v>0</v>
      </c>
      <c r="G850" s="123" t="str">
        <f>VLOOKUP(D850,'MPG Payment '!$E$3:$G$334579,3,0)</f>
        <v>vlc</v>
      </c>
      <c r="H850" s="124" t="str">
        <f>VLOOKUP(D850,'MPG Payment '!$E$3:$H$334579,4,0)</f>
        <v>Indirect</v>
      </c>
      <c r="I850" s="88">
        <f>INDEX('MPG Payment '!$C:$C,MATCH('Shayak Income '!D850,'MPG Payment '!E:E,0))</f>
        <v>1061</v>
      </c>
      <c r="J850" s="88" t="str">
        <f>INDEX('MPG Payment '!$D:$D,MATCH('Shayak Income '!D850,'MPG Payment '!E:E,0))</f>
        <v>Mahua BMC</v>
      </c>
      <c r="K850" s="125" t="s">
        <v>1322</v>
      </c>
      <c r="L850" s="125">
        <v>45788</v>
      </c>
      <c r="M850" s="126">
        <f>SUMIF('MPG Payment '!$E$3:$E$34579,'Shayak Income '!D850,'MPG Payment '!$I$3:$I$34579)</f>
        <v>340.4</v>
      </c>
      <c r="N850" s="126">
        <f>SUMIF('MPG Payment '!$E$3:$E$34579,'Shayak Income '!D850,'MPG Payment '!$J$3:$J$34579)</f>
        <v>13995.795360720002</v>
      </c>
      <c r="O850" s="126">
        <f t="shared" si="281"/>
        <v>255.29999999999998</v>
      </c>
      <c r="P850" s="126">
        <f t="shared" si="282"/>
        <v>323.37999999999994</v>
      </c>
      <c r="Q850" s="126">
        <f>SUMIF('MPG Payment '!$E$3:$E$34579,'Shayak Income '!D850,'MPG Payment '!$S$3:$S$34579)</f>
        <v>0</v>
      </c>
      <c r="R850" s="126">
        <f t="shared" si="283"/>
        <v>419.87386082160003</v>
      </c>
      <c r="S850" s="126">
        <f t="shared" si="284"/>
        <v>96.493860821600094</v>
      </c>
      <c r="T850" s="126">
        <f t="shared" si="295"/>
        <v>34.04</v>
      </c>
      <c r="U850" s="127">
        <f>(((IF(K850="New",0,SUMIF('MPG Payment '!$E$3:$E$34579,'Shayak Income '!D850,'MPG Payment '!$AC$3:$AC$34579))))+0)+-1484</f>
        <v>544.60774394932787</v>
      </c>
      <c r="V850" s="127">
        <f t="shared" si="296"/>
        <v>0</v>
      </c>
      <c r="W850" s="19">
        <v>0</v>
      </c>
      <c r="X850" s="19">
        <v>0</v>
      </c>
      <c r="Y850" s="128">
        <f>IFERROR(VLOOKUP(D850,'Monthly Deduction'!$M$2:$N$64,2,0),0)</f>
        <v>0</v>
      </c>
      <c r="Z850" s="128">
        <v>0</v>
      </c>
      <c r="AA850" s="126">
        <f>IFERROR(VLOOKUP(D850,'Monthly Deduction'!A:B,2,0),0)</f>
        <v>0</v>
      </c>
      <c r="AB850" s="129">
        <f t="shared" si="285"/>
        <v>0</v>
      </c>
      <c r="AC850" s="130">
        <v>0</v>
      </c>
      <c r="AD850" s="35">
        <f t="shared" si="286"/>
        <v>0</v>
      </c>
      <c r="AE850" s="166" t="str">
        <f t="shared" si="287"/>
        <v>Release</v>
      </c>
      <c r="AF850" s="127"/>
      <c r="AG850" s="18">
        <v>0</v>
      </c>
      <c r="AH850" s="120"/>
      <c r="AI850" s="238">
        <v>0</v>
      </c>
      <c r="AJ850" s="132"/>
      <c r="AK850" s="151">
        <v>96.499999999999986</v>
      </c>
      <c r="AL850" s="154">
        <f t="shared" si="288"/>
        <v>0</v>
      </c>
      <c r="AM850" s="155"/>
      <c r="AN850" s="19">
        <f t="shared" si="292"/>
        <v>0</v>
      </c>
      <c r="AO850" s="118">
        <f>SUMIF('MPG Payment '!E:E,'Shayak Income '!D850,'MPG Payment '!AJ:AJ)</f>
        <v>0</v>
      </c>
      <c r="AP850" s="19">
        <f t="shared" si="293"/>
        <v>0</v>
      </c>
      <c r="AQ850" s="119">
        <f t="shared" si="289"/>
        <v>0</v>
      </c>
      <c r="AR850" s="91" t="s">
        <v>1168</v>
      </c>
      <c r="AS850" s="91">
        <f t="shared" si="294"/>
        <v>0</v>
      </c>
      <c r="AT850" s="118"/>
      <c r="AU850" s="118"/>
      <c r="AV850" s="118"/>
    </row>
    <row r="851" spans="1:48" s="20" customFormat="1" x14ac:dyDescent="0.25">
      <c r="A851" s="17">
        <f>IFERROR(VLOOKUP(D851,'Monthly Deduction'!$I$3:$J$957,2,0),0)</f>
        <v>75000</v>
      </c>
      <c r="B851" s="17">
        <f>IFERROR(VLOOKUP(D851,'Monthly Deduction'!$E$3:$F$957,2,0),0)</f>
        <v>0</v>
      </c>
      <c r="C851" s="17">
        <f t="shared" si="280"/>
        <v>75000</v>
      </c>
      <c r="D851" s="41">
        <v>10560028</v>
      </c>
      <c r="E851" s="122" t="str">
        <f>VLOOKUP(D851,'MPG Payment '!$E$3:$G$498218,2,0)</f>
        <v>Gomukh Uttari Hardia</v>
      </c>
      <c r="F851" s="146">
        <f>IFERROR(_xlfn.XLOOKUP(D851,'Monthly Deduction'!$I$3:$I$957,'Monthly Deduction'!$H$3:$H$957),0)</f>
        <v>0</v>
      </c>
      <c r="G851" s="123" t="str">
        <f>VLOOKUP(D851,'MPG Payment '!$E$3:$G$334579,3,0)</f>
        <v>MPG</v>
      </c>
      <c r="H851" s="124" t="str">
        <f>VLOOKUP(D851,'MPG Payment '!$E$3:$H$334579,4,0)</f>
        <v>Direct</v>
      </c>
      <c r="I851" s="88">
        <f>INDEX('MPG Payment '!$C:$C,MATCH('Shayak Income '!D851,'MPG Payment '!E:E,0))</f>
        <v>1056</v>
      </c>
      <c r="J851" s="88" t="str">
        <f>INDEX('MPG Payment '!$D:$D,MATCH('Shayak Income '!D851,'MPG Payment '!E:E,0))</f>
        <v>Chautham</v>
      </c>
      <c r="K851" s="125" t="s">
        <v>1323</v>
      </c>
      <c r="L851" s="125">
        <v>46095</v>
      </c>
      <c r="M851" s="126">
        <f>SUMIF('MPG Payment '!$E$3:$E$34579,'Shayak Income '!D851,'MPG Payment '!$I$3:$I$34579)</f>
        <v>1497.74</v>
      </c>
      <c r="N851" s="126">
        <f>SUMIF('MPG Payment '!$E$3:$E$34579,'Shayak Income '!D851,'MPG Payment '!$J$3:$J$34579)</f>
        <v>65085.711739397797</v>
      </c>
      <c r="O851" s="126">
        <f t="shared" si="281"/>
        <v>1123.3050000000001</v>
      </c>
      <c r="P851" s="126">
        <f t="shared" si="282"/>
        <v>1422.8529999999998</v>
      </c>
      <c r="Q851" s="126">
        <f>SUMIF('MPG Payment '!$E$3:$E$34579,'Shayak Income '!D851,'MPG Payment '!$S$3:$S$34579)</f>
        <v>0</v>
      </c>
      <c r="R851" s="126">
        <f t="shared" si="283"/>
        <v>1952.5713521819339</v>
      </c>
      <c r="S851" s="126">
        <f t="shared" si="284"/>
        <v>529.71835218193405</v>
      </c>
      <c r="T851" s="126">
        <f t="shared" si="295"/>
        <v>149.774</v>
      </c>
      <c r="U851" s="127">
        <f>(((IF(K851="New",0,SUMIF('MPG Payment '!$E$3:$E$34579,'Shayak Income '!D851,'MPG Payment '!$AC$3:$AC$34579))))+0)+0</f>
        <v>0</v>
      </c>
      <c r="V851" s="127">
        <f t="shared" si="296"/>
        <v>2396</v>
      </c>
      <c r="W851" s="19">
        <v>0</v>
      </c>
      <c r="X851" s="19">
        <v>0</v>
      </c>
      <c r="Y851" s="128">
        <f>IFERROR(VLOOKUP(D851,'Monthly Deduction'!$M$2:$N$64,2,0),0)</f>
        <v>0</v>
      </c>
      <c r="Z851" s="128">
        <v>0</v>
      </c>
      <c r="AA851" s="126">
        <f>IFERROR(VLOOKUP(D851,'Monthly Deduction'!A:B,2,0),0)</f>
        <v>0</v>
      </c>
      <c r="AB851" s="129">
        <f t="shared" si="285"/>
        <v>2396</v>
      </c>
      <c r="AC851" s="130">
        <f t="shared" ref="AC851:AC856" si="300">AB851</f>
        <v>2396</v>
      </c>
      <c r="AD851" s="35">
        <f t="shared" si="286"/>
        <v>0</v>
      </c>
      <c r="AE851" s="166" t="str">
        <f t="shared" si="287"/>
        <v>Yes</v>
      </c>
      <c r="AF851" s="127"/>
      <c r="AG851" s="18">
        <v>0</v>
      </c>
      <c r="AH851" s="120" t="s">
        <v>1650</v>
      </c>
      <c r="AI851" s="238">
        <v>10000</v>
      </c>
      <c r="AJ851" s="132"/>
      <c r="AK851" s="151">
        <v>392.92</v>
      </c>
      <c r="AL851" s="154">
        <f t="shared" si="288"/>
        <v>0</v>
      </c>
      <c r="AM851" s="155"/>
      <c r="AN851" s="19">
        <f t="shared" si="292"/>
        <v>1861</v>
      </c>
      <c r="AO851" s="118">
        <f>SUMIF('MPG Payment '!E:E,'Shayak Income '!D851,'MPG Payment '!AJ:AJ)</f>
        <v>0</v>
      </c>
      <c r="AP851" s="19">
        <f t="shared" si="293"/>
        <v>0</v>
      </c>
      <c r="AQ851" s="119">
        <f t="shared" si="289"/>
        <v>0</v>
      </c>
      <c r="AR851" s="91" t="s">
        <v>1168</v>
      </c>
      <c r="AS851" s="91">
        <f t="shared" si="294"/>
        <v>0</v>
      </c>
      <c r="AT851" s="118"/>
      <c r="AU851" s="118"/>
      <c r="AV851" s="118"/>
    </row>
    <row r="852" spans="1:48" s="20" customFormat="1" x14ac:dyDescent="0.25">
      <c r="A852" s="17">
        <f>IFERROR(VLOOKUP(D852,'Monthly Deduction'!$I$3:$J$957,2,0),0)</f>
        <v>75000</v>
      </c>
      <c r="B852" s="17">
        <f>IFERROR(VLOOKUP(D852,'Monthly Deduction'!$E$3:$F$957,2,0),0)</f>
        <v>0</v>
      </c>
      <c r="C852" s="17">
        <f t="shared" si="280"/>
        <v>75000</v>
      </c>
      <c r="D852" s="41">
        <v>10560031</v>
      </c>
      <c r="E852" s="122" t="str">
        <f>VLOOKUP(D852,'MPG Payment '!$E$3:$G$498218,2,0)</f>
        <v>Gomukh Nirpur Keshv Nagar</v>
      </c>
      <c r="F852" s="146">
        <f>IFERROR(_xlfn.XLOOKUP(D852,'Monthly Deduction'!$I$3:$I$957,'Monthly Deduction'!$H$3:$H$957),0)</f>
        <v>0</v>
      </c>
      <c r="G852" s="123" t="str">
        <f>VLOOKUP(D852,'MPG Payment '!$E$3:$G$334579,3,0)</f>
        <v>MPG</v>
      </c>
      <c r="H852" s="124" t="str">
        <f>VLOOKUP(D852,'MPG Payment '!$E$3:$H$334579,4,0)</f>
        <v>Direct</v>
      </c>
      <c r="I852" s="88">
        <f>INDEX('MPG Payment '!$C:$C,MATCH('Shayak Income '!D852,'MPG Payment '!E:E,0))</f>
        <v>1056</v>
      </c>
      <c r="J852" s="88" t="str">
        <f>INDEX('MPG Payment '!$D:$D,MATCH('Shayak Income '!D852,'MPG Payment '!E:E,0))</f>
        <v>Chautham</v>
      </c>
      <c r="K852" s="125" t="s">
        <v>1323</v>
      </c>
      <c r="L852" s="125">
        <v>46097</v>
      </c>
      <c r="M852" s="126">
        <f>SUMIF('MPG Payment '!$E$3:$E$34579,'Shayak Income '!D852,'MPG Payment '!$I$3:$I$34579)</f>
        <v>2589.84</v>
      </c>
      <c r="N852" s="126">
        <f>SUMIF('MPG Payment '!$E$3:$E$34579,'Shayak Income '!D852,'MPG Payment '!$J$3:$J$34579)</f>
        <v>94049.142423122001</v>
      </c>
      <c r="O852" s="126">
        <f t="shared" si="281"/>
        <v>1942.38</v>
      </c>
      <c r="P852" s="126">
        <f t="shared" si="282"/>
        <v>2460.348</v>
      </c>
      <c r="Q852" s="126">
        <f>SUMIF('MPG Payment '!$E$3:$E$34579,'Shayak Income '!D852,'MPG Payment '!$S$3:$S$34579)</f>
        <v>0</v>
      </c>
      <c r="R852" s="126">
        <f t="shared" si="283"/>
        <v>2821.4742726936597</v>
      </c>
      <c r="S852" s="126">
        <f t="shared" si="284"/>
        <v>361.12627269365976</v>
      </c>
      <c r="T852" s="126">
        <f t="shared" si="295"/>
        <v>258.98400000000004</v>
      </c>
      <c r="U852" s="127">
        <f>(((IF(K852="New",0,SUMIF('MPG Payment '!$E$3:$E$34579,'Shayak Income '!D852,'MPG Payment '!$AC$3:$AC$34579))))+0)+0</f>
        <v>0</v>
      </c>
      <c r="V852" s="127">
        <f t="shared" si="296"/>
        <v>4144</v>
      </c>
      <c r="W852" s="19">
        <v>0</v>
      </c>
      <c r="X852" s="19">
        <v>0</v>
      </c>
      <c r="Y852" s="128">
        <f>IFERROR(VLOOKUP(D852,'Monthly Deduction'!$M$2:$N$64,2,0),0)</f>
        <v>0</v>
      </c>
      <c r="Z852" s="128">
        <v>0</v>
      </c>
      <c r="AA852" s="126">
        <f>IFERROR(VLOOKUP(D852,'Monthly Deduction'!A:B,2,0),0)</f>
        <v>0</v>
      </c>
      <c r="AB852" s="129">
        <f t="shared" si="285"/>
        <v>4144</v>
      </c>
      <c r="AC852" s="130">
        <f t="shared" si="300"/>
        <v>4144</v>
      </c>
      <c r="AD852" s="35">
        <f t="shared" si="286"/>
        <v>0</v>
      </c>
      <c r="AE852" s="166" t="str">
        <f t="shared" si="287"/>
        <v>Yes</v>
      </c>
      <c r="AF852" s="127"/>
      <c r="AG852" s="18">
        <v>0</v>
      </c>
      <c r="AH852" s="120" t="s">
        <v>1646</v>
      </c>
      <c r="AI852" s="238">
        <v>10000</v>
      </c>
      <c r="AJ852" s="132"/>
      <c r="AK852" s="151">
        <v>595.38</v>
      </c>
      <c r="AL852" s="154">
        <f t="shared" si="288"/>
        <v>0</v>
      </c>
      <c r="AM852" s="155"/>
      <c r="AN852" s="19">
        <f t="shared" si="292"/>
        <v>1880.98284846244</v>
      </c>
      <c r="AO852" s="118">
        <f>SUMIF('MPG Payment '!E:E,'Shayak Income '!D852,'MPG Payment '!AJ:AJ)</f>
        <v>0</v>
      </c>
      <c r="AP852" s="19">
        <f t="shared" si="293"/>
        <v>0</v>
      </c>
      <c r="AQ852" s="119">
        <f t="shared" si="289"/>
        <v>0</v>
      </c>
      <c r="AR852" s="91" t="s">
        <v>1168</v>
      </c>
      <c r="AS852" s="91">
        <f t="shared" si="294"/>
        <v>0</v>
      </c>
      <c r="AT852" s="118"/>
      <c r="AU852" s="118"/>
      <c r="AV852" s="118"/>
    </row>
    <row r="853" spans="1:48" s="20" customFormat="1" x14ac:dyDescent="0.25">
      <c r="A853" s="17">
        <f>IFERROR(VLOOKUP(D853,'Monthly Deduction'!$I$3:$J$957,2,0),0)</f>
        <v>85000</v>
      </c>
      <c r="B853" s="17">
        <f>IFERROR(VLOOKUP(D853,'Monthly Deduction'!$E$3:$F$957,2,0),0)</f>
        <v>0</v>
      </c>
      <c r="C853" s="17">
        <f t="shared" si="280"/>
        <v>85000</v>
      </c>
      <c r="D853" s="41">
        <v>10570044</v>
      </c>
      <c r="E853" s="122" t="str">
        <f>VLOOKUP(D853,'MPG Payment '!$E$3:$G$498218,2,0)</f>
        <v>Dagrua</v>
      </c>
      <c r="F853" s="146">
        <f>IFERROR(_xlfn.XLOOKUP(D853,'Monthly Deduction'!$I$3:$I$957,'Monthly Deduction'!$H$3:$H$957),0)</f>
        <v>0</v>
      </c>
      <c r="G853" s="123" t="str">
        <f>VLOOKUP(D853,'MPG Payment '!$E$3:$G$334579,3,0)</f>
        <v>MPG</v>
      </c>
      <c r="H853" s="124" t="str">
        <f>VLOOKUP(D853,'MPG Payment '!$E$3:$H$334579,4,0)</f>
        <v>Direct</v>
      </c>
      <c r="I853" s="88">
        <f>INDEX('MPG Payment '!$C:$C,MATCH('Shayak Income '!D853,'MPG Payment '!E:E,0))</f>
        <v>1057</v>
      </c>
      <c r="J853" s="88" t="str">
        <f>INDEX('MPG Payment '!$D:$D,MATCH('Shayak Income '!D853,'MPG Payment '!E:E,0))</f>
        <v>Warisnagar</v>
      </c>
      <c r="K853" s="125" t="s">
        <v>1323</v>
      </c>
      <c r="L853" s="125">
        <v>46097</v>
      </c>
      <c r="M853" s="126">
        <f>SUMIF('MPG Payment '!$E$3:$E$34579,'Shayak Income '!D853,'MPG Payment '!$I$3:$I$34579)</f>
        <v>389.5</v>
      </c>
      <c r="N853" s="126">
        <f>SUMIF('MPG Payment '!$E$3:$E$34579,'Shayak Income '!D853,'MPG Payment '!$J$3:$J$34579)</f>
        <v>17660.148590668203</v>
      </c>
      <c r="O853" s="126">
        <f t="shared" si="281"/>
        <v>292.125</v>
      </c>
      <c r="P853" s="126">
        <f t="shared" si="282"/>
        <v>370.02499999999998</v>
      </c>
      <c r="Q853" s="126">
        <f>SUMIF('MPG Payment '!$E$3:$E$34579,'Shayak Income '!D853,'MPG Payment '!$S$3:$S$34579)</f>
        <v>0</v>
      </c>
      <c r="R853" s="126">
        <f t="shared" si="283"/>
        <v>529.80445772004612</v>
      </c>
      <c r="S853" s="126">
        <f t="shared" si="284"/>
        <v>159.77945772004614</v>
      </c>
      <c r="T853" s="126">
        <f t="shared" si="295"/>
        <v>38.950000000000003</v>
      </c>
      <c r="U853" s="127">
        <f>(((IF(K853="New",0,SUMIF('MPG Payment '!$E$3:$E$34579,'Shayak Income '!D853,'MPG Payment '!$AC$3:$AC$34579))))+0)+0</f>
        <v>0</v>
      </c>
      <c r="V853" s="127">
        <f t="shared" si="296"/>
        <v>623</v>
      </c>
      <c r="W853" s="19">
        <v>0</v>
      </c>
      <c r="X853" s="19">
        <v>0</v>
      </c>
      <c r="Y853" s="128">
        <f>IFERROR(VLOOKUP(D853,'Monthly Deduction'!$M$2:$N$64,2,0),0)</f>
        <v>0</v>
      </c>
      <c r="Z853" s="128">
        <v>0</v>
      </c>
      <c r="AA853" s="126">
        <f>IFERROR(VLOOKUP(D853,'Monthly Deduction'!A:B,2,0),0)</f>
        <v>0</v>
      </c>
      <c r="AB853" s="129">
        <f t="shared" si="285"/>
        <v>623</v>
      </c>
      <c r="AC853" s="130">
        <f t="shared" si="300"/>
        <v>623</v>
      </c>
      <c r="AD853" s="35">
        <f t="shared" si="286"/>
        <v>0</v>
      </c>
      <c r="AE853" s="166" t="str">
        <f t="shared" si="287"/>
        <v>Yes</v>
      </c>
      <c r="AF853" s="127"/>
      <c r="AG853" s="18">
        <v>0</v>
      </c>
      <c r="AH853" s="120" t="s">
        <v>1650</v>
      </c>
      <c r="AI853" s="238">
        <v>20000</v>
      </c>
      <c r="AJ853" s="132"/>
      <c r="AK853" s="151">
        <v>94.5</v>
      </c>
      <c r="AL853" s="154">
        <f t="shared" si="288"/>
        <v>0</v>
      </c>
      <c r="AM853" s="155"/>
      <c r="AN853" s="19">
        <f t="shared" si="292"/>
        <v>1861</v>
      </c>
      <c r="AO853" s="118">
        <f>SUMIF('MPG Payment '!E:E,'Shayak Income '!D853,'MPG Payment '!AJ:AJ)</f>
        <v>0</v>
      </c>
      <c r="AP853" s="19">
        <f t="shared" si="293"/>
        <v>0</v>
      </c>
      <c r="AQ853" s="119">
        <f t="shared" si="289"/>
        <v>0</v>
      </c>
      <c r="AR853" s="91" t="s">
        <v>1168</v>
      </c>
      <c r="AS853" s="91">
        <f t="shared" si="294"/>
        <v>0</v>
      </c>
      <c r="AT853" s="118"/>
      <c r="AU853" s="118"/>
      <c r="AV853" s="118"/>
    </row>
    <row r="854" spans="1:48" s="20" customFormat="1" x14ac:dyDescent="0.25">
      <c r="A854" s="17">
        <f>IFERROR(VLOOKUP(D854,'Monthly Deduction'!$I$3:$J$957,2,0),0)</f>
        <v>85000</v>
      </c>
      <c r="B854" s="17">
        <f>IFERROR(VLOOKUP(D854,'Monthly Deduction'!$E$3:$F$957,2,0),0)</f>
        <v>0</v>
      </c>
      <c r="C854" s="17">
        <f t="shared" si="269"/>
        <v>85000</v>
      </c>
      <c r="D854" s="41">
        <v>10570049</v>
      </c>
      <c r="E854" s="122" t="str">
        <f>VLOOKUP(D854,'MPG Payment '!$E$3:$G$498218,2,0)</f>
        <v>Kussaiya</v>
      </c>
      <c r="F854" s="146">
        <f>IFERROR(_xlfn.XLOOKUP(D854,'Monthly Deduction'!$I$3:$I$957,'Monthly Deduction'!$H$3:$H$957),0)</f>
        <v>0</v>
      </c>
      <c r="G854" s="123" t="str">
        <f>VLOOKUP(D854,'MPG Payment '!$E$3:$G$334579,3,0)</f>
        <v>MPG</v>
      </c>
      <c r="H854" s="124" t="str">
        <f>VLOOKUP(D854,'MPG Payment '!$E$3:$H$334579,4,0)</f>
        <v>Direct</v>
      </c>
      <c r="I854" s="88">
        <f>INDEX('MPG Payment '!$C:$C,MATCH('Shayak Income '!D854,'MPG Payment '!E:E,0))</f>
        <v>1057</v>
      </c>
      <c r="J854" s="88" t="str">
        <f>INDEX('MPG Payment '!$D:$D,MATCH('Shayak Income '!D854,'MPG Payment '!E:E,0))</f>
        <v>Warisnagar</v>
      </c>
      <c r="K854" s="125" t="s">
        <v>1323</v>
      </c>
      <c r="L854" s="125">
        <v>46098</v>
      </c>
      <c r="M854" s="126">
        <f>SUMIF('MPG Payment '!$E$3:$E$34579,'Shayak Income '!D854,'MPG Payment '!$I$3:$I$34579)</f>
        <v>1074.4000000000001</v>
      </c>
      <c r="N854" s="126">
        <f>SUMIF('MPG Payment '!$E$3:$E$34579,'Shayak Income '!D854,'MPG Payment '!$J$3:$J$34579)</f>
        <v>54050.1086810696</v>
      </c>
      <c r="O854" s="126">
        <f t="shared" si="270"/>
        <v>805.80000000000007</v>
      </c>
      <c r="P854" s="126">
        <f t="shared" si="271"/>
        <v>1020.6800000000001</v>
      </c>
      <c r="Q854" s="126">
        <f>SUMIF('MPG Payment '!$E$3:$E$34579,'Shayak Income '!D854,'MPG Payment '!$S$3:$S$34579)</f>
        <v>0</v>
      </c>
      <c r="R854" s="126">
        <f t="shared" si="272"/>
        <v>1621.5032604320879</v>
      </c>
      <c r="S854" s="126">
        <f t="shared" si="273"/>
        <v>600.82326043208786</v>
      </c>
      <c r="T854" s="126">
        <f t="shared" si="295"/>
        <v>107.44000000000001</v>
      </c>
      <c r="U854" s="127">
        <f>(((IF(K854="New",0,SUMIF('MPG Payment '!$E$3:$E$34579,'Shayak Income '!D854,'MPG Payment '!$AC$3:$AC$34579))))+0)+0</f>
        <v>0</v>
      </c>
      <c r="V854" s="127">
        <f t="shared" si="296"/>
        <v>1719</v>
      </c>
      <c r="W854" s="19">
        <v>0</v>
      </c>
      <c r="X854" s="19">
        <v>0</v>
      </c>
      <c r="Y854" s="128">
        <f>IFERROR(VLOOKUP(D854,'Monthly Deduction'!$M$2:$N$64,2,0),0)</f>
        <v>0</v>
      </c>
      <c r="Z854" s="128">
        <v>0</v>
      </c>
      <c r="AA854" s="126">
        <f>IFERROR(VLOOKUP(D854,'Monthly Deduction'!A:B,2,0),0)</f>
        <v>0</v>
      </c>
      <c r="AB854" s="129">
        <f t="shared" si="274"/>
        <v>1719</v>
      </c>
      <c r="AC854" s="130">
        <f t="shared" si="300"/>
        <v>1719</v>
      </c>
      <c r="AD854" s="35">
        <f t="shared" si="275"/>
        <v>0</v>
      </c>
      <c r="AE854" s="166" t="str">
        <f t="shared" si="258"/>
        <v>Yes</v>
      </c>
      <c r="AF854" s="127"/>
      <c r="AG854" s="18">
        <v>0</v>
      </c>
      <c r="AH854" s="120" t="s">
        <v>1646</v>
      </c>
      <c r="AI854" s="238">
        <v>20000</v>
      </c>
      <c r="AJ854" s="132"/>
      <c r="AK854" s="151">
        <v>419.09999999999997</v>
      </c>
      <c r="AL854" s="154">
        <f t="shared" si="276"/>
        <v>0</v>
      </c>
      <c r="AM854" s="155"/>
      <c r="AN854" s="19">
        <f t="shared" si="292"/>
        <v>1861</v>
      </c>
      <c r="AO854" s="118">
        <f>SUMIF('MPG Payment '!E:E,'Shayak Income '!D854,'MPG Payment '!AJ:AJ)</f>
        <v>0</v>
      </c>
      <c r="AP854" s="19">
        <f t="shared" si="293"/>
        <v>0</v>
      </c>
      <c r="AQ854" s="119">
        <f t="shared" si="277"/>
        <v>0</v>
      </c>
      <c r="AR854" s="91" t="s">
        <v>1168</v>
      </c>
      <c r="AS854" s="91">
        <f t="shared" si="294"/>
        <v>0</v>
      </c>
      <c r="AT854" s="118"/>
      <c r="AU854" s="118"/>
      <c r="AV854" s="118"/>
    </row>
    <row r="855" spans="1:48" s="20" customFormat="1" x14ac:dyDescent="0.25">
      <c r="A855" s="17">
        <f>IFERROR(VLOOKUP(D855,'Monthly Deduction'!$I$3:$J$957,2,0),0)</f>
        <v>75000</v>
      </c>
      <c r="B855" s="17">
        <f>IFERROR(VLOOKUP(D855,'Monthly Deduction'!$E$3:$F$957,2,0),0)</f>
        <v>0</v>
      </c>
      <c r="C855" s="17">
        <f t="shared" si="269"/>
        <v>75000</v>
      </c>
      <c r="D855" s="41">
        <v>10600012</v>
      </c>
      <c r="E855" s="122" t="str">
        <f>VLOOKUP(D855,'MPG Payment '!$E$3:$G$498218,2,0)</f>
        <v>Gumukh Khajuriya</v>
      </c>
      <c r="F855" s="146">
        <f>IFERROR(_xlfn.XLOOKUP(D855,'Monthly Deduction'!$I$3:$I$957,'Monthly Deduction'!$H$3:$H$957),0)</f>
        <v>0</v>
      </c>
      <c r="G855" s="123" t="str">
        <f>VLOOKUP(D855,'MPG Payment '!$E$3:$G$334579,3,0)</f>
        <v>MPG</v>
      </c>
      <c r="H855" s="124" t="str">
        <f>VLOOKUP(D855,'MPG Payment '!$E$3:$H$334579,4,0)</f>
        <v>Direct</v>
      </c>
      <c r="I855" s="88">
        <f>INDEX('MPG Payment '!$C:$C,MATCH('Shayak Income '!D855,'MPG Payment '!E:E,0))</f>
        <v>1014</v>
      </c>
      <c r="J855" s="88" t="str">
        <f>INDEX('MPG Payment '!$D:$D,MATCH('Shayak Income '!D855,'MPG Payment '!E:E,0))</f>
        <v>Dumraon</v>
      </c>
      <c r="K855" s="125" t="s">
        <v>1323</v>
      </c>
      <c r="L855" s="125">
        <v>46098</v>
      </c>
      <c r="M855" s="126">
        <f>SUMIF('MPG Payment '!$E$3:$E$34579,'Shayak Income '!D855,'MPG Payment '!$I$3:$I$34579)</f>
        <v>1935.3000000000002</v>
      </c>
      <c r="N855" s="126">
        <f>SUMIF('MPG Payment '!$E$3:$E$34579,'Shayak Income '!D855,'MPG Payment '!$J$3:$J$34579)</f>
        <v>68828.204102379997</v>
      </c>
      <c r="O855" s="126">
        <f t="shared" si="270"/>
        <v>1451.4750000000001</v>
      </c>
      <c r="P855" s="126">
        <f t="shared" si="271"/>
        <v>1838.5350000000001</v>
      </c>
      <c r="Q855" s="126">
        <f>SUMIF('MPG Payment '!$E$3:$E$34579,'Shayak Income '!D855,'MPG Payment '!$S$3:$S$34579)</f>
        <v>292.75785315090002</v>
      </c>
      <c r="R855" s="126">
        <f t="shared" si="272"/>
        <v>2064.8461230713997</v>
      </c>
      <c r="S855" s="126">
        <f t="shared" si="273"/>
        <v>226.31112307139961</v>
      </c>
      <c r="T855" s="126">
        <f t="shared" si="295"/>
        <v>193.53000000000003</v>
      </c>
      <c r="U855" s="127">
        <f>(((IF(K855="New",0,SUMIF('MPG Payment '!$E$3:$E$34579,'Shayak Income '!D855,'MPG Payment '!$AC$3:$AC$34579))))+0)+0</f>
        <v>0</v>
      </c>
      <c r="V855" s="127">
        <f t="shared" si="296"/>
        <v>3389</v>
      </c>
      <c r="W855" s="19">
        <v>0</v>
      </c>
      <c r="X855" s="19">
        <v>0</v>
      </c>
      <c r="Y855" s="128">
        <f>IFERROR(VLOOKUP(D855,'Monthly Deduction'!$M$2:$N$64,2,0),0)</f>
        <v>0</v>
      </c>
      <c r="Z855" s="128">
        <v>0</v>
      </c>
      <c r="AA855" s="126">
        <f>IFERROR(VLOOKUP(D855,'Monthly Deduction'!A:B,2,0),0)</f>
        <v>285.25</v>
      </c>
      <c r="AB855" s="129">
        <f t="shared" si="274"/>
        <v>3104</v>
      </c>
      <c r="AC855" s="130">
        <f t="shared" si="300"/>
        <v>3104</v>
      </c>
      <c r="AD855" s="35">
        <f t="shared" si="275"/>
        <v>0</v>
      </c>
      <c r="AE855" s="166" t="str">
        <f t="shared" si="258"/>
        <v>Yes</v>
      </c>
      <c r="AF855" s="127"/>
      <c r="AG855" s="18">
        <v>0</v>
      </c>
      <c r="AH855" s="120" t="s">
        <v>1646</v>
      </c>
      <c r="AI855" s="238">
        <v>10000</v>
      </c>
      <c r="AJ855" s="132"/>
      <c r="AK855" s="151">
        <v>510.00000000000006</v>
      </c>
      <c r="AL855" s="154">
        <f t="shared" si="276"/>
        <v>0</v>
      </c>
      <c r="AM855" s="155"/>
      <c r="AN855" s="19">
        <f t="shared" si="292"/>
        <v>1861</v>
      </c>
      <c r="AO855" s="118">
        <f>SUMIF('MPG Payment '!E:E,'Shayak Income '!D855,'MPG Payment '!AJ:AJ)</f>
        <v>0</v>
      </c>
      <c r="AP855" s="19">
        <f t="shared" si="293"/>
        <v>0</v>
      </c>
      <c r="AQ855" s="119">
        <f t="shared" si="277"/>
        <v>0</v>
      </c>
      <c r="AR855" s="91" t="s">
        <v>1168</v>
      </c>
      <c r="AS855" s="91">
        <f t="shared" si="294"/>
        <v>0</v>
      </c>
      <c r="AT855" s="118"/>
      <c r="AU855" s="118"/>
      <c r="AV855" s="118"/>
    </row>
    <row r="856" spans="1:48" s="20" customFormat="1" x14ac:dyDescent="0.25">
      <c r="A856" s="17">
        <f>IFERROR(VLOOKUP(D856,'Monthly Deduction'!$I$3:$J$957,2,0),0)</f>
        <v>75000</v>
      </c>
      <c r="B856" s="17">
        <f>IFERROR(VLOOKUP(D856,'Monthly Deduction'!$E$3:$F$957,2,0),0)</f>
        <v>0</v>
      </c>
      <c r="C856" s="17">
        <f t="shared" si="269"/>
        <v>75000</v>
      </c>
      <c r="D856" s="41">
        <v>10600013</v>
      </c>
      <c r="E856" s="122" t="str">
        <f>VLOOKUP(D856,'MPG Payment '!$E$3:$G$498218,2,0)</f>
        <v>Gomukh Chhotaki Hardiya</v>
      </c>
      <c r="F856" s="146">
        <f>IFERROR(_xlfn.XLOOKUP(D856,'Monthly Deduction'!$I$3:$I$957,'Monthly Deduction'!$H$3:$H$957),0)</f>
        <v>0</v>
      </c>
      <c r="G856" s="123" t="str">
        <f>VLOOKUP(D856,'MPG Payment '!$E$3:$G$334579,3,0)</f>
        <v>MPG</v>
      </c>
      <c r="H856" s="124" t="str">
        <f>VLOOKUP(D856,'MPG Payment '!$E$3:$H$334579,4,0)</f>
        <v>Direct</v>
      </c>
      <c r="I856" s="88">
        <f>INDEX('MPG Payment '!$C:$C,MATCH('Shayak Income '!D856,'MPG Payment '!E:E,0))</f>
        <v>1014</v>
      </c>
      <c r="J856" s="88" t="str">
        <f>INDEX('MPG Payment '!$D:$D,MATCH('Shayak Income '!D856,'MPG Payment '!E:E,0))</f>
        <v>Dumraon</v>
      </c>
      <c r="K856" s="125" t="s">
        <v>1323</v>
      </c>
      <c r="L856" s="125">
        <v>46100</v>
      </c>
      <c r="M856" s="126">
        <f>SUMIF('MPG Payment '!$E$3:$E$34579,'Shayak Income '!D856,'MPG Payment '!$I$3:$I$34579)</f>
        <v>267.8</v>
      </c>
      <c r="N856" s="126">
        <f>SUMIF('MPG Payment '!$E$3:$E$34579,'Shayak Income '!D856,'MPG Payment '!$J$3:$J$34579)</f>
        <v>11654.23</v>
      </c>
      <c r="O856" s="126">
        <f t="shared" si="270"/>
        <v>200.85000000000002</v>
      </c>
      <c r="P856" s="126">
        <f t="shared" si="271"/>
        <v>254.41</v>
      </c>
      <c r="Q856" s="126">
        <f>SUMIF('MPG Payment '!$E$3:$E$34579,'Shayak Income '!D856,'MPG Payment '!$S$3:$S$34579)</f>
        <v>34.126761990600002</v>
      </c>
      <c r="R856" s="126">
        <f t="shared" si="272"/>
        <v>349.62689999999998</v>
      </c>
      <c r="S856" s="126">
        <f t="shared" si="273"/>
        <v>95.216899999999981</v>
      </c>
      <c r="T856" s="126">
        <f t="shared" si="295"/>
        <v>26.78</v>
      </c>
      <c r="U856" s="127">
        <f>(((IF(K856="New",0,SUMIF('MPG Payment '!$E$3:$E$34579,'Shayak Income '!D856,'MPG Payment '!$AC$3:$AC$34579))))+0)+0</f>
        <v>0</v>
      </c>
      <c r="V856" s="127">
        <f t="shared" si="296"/>
        <v>463</v>
      </c>
      <c r="W856" s="19">
        <v>0</v>
      </c>
      <c r="X856" s="19">
        <v>0</v>
      </c>
      <c r="Y856" s="128">
        <f>IFERROR(VLOOKUP(D856,'Monthly Deduction'!$M$2:$N$64,2,0),0)</f>
        <v>0</v>
      </c>
      <c r="Z856" s="128">
        <v>0</v>
      </c>
      <c r="AA856" s="126">
        <f>IFERROR(VLOOKUP(D856,'Monthly Deduction'!A:B,2,0),0)</f>
        <v>259.60000000000002</v>
      </c>
      <c r="AB856" s="129">
        <f t="shared" si="274"/>
        <v>203</v>
      </c>
      <c r="AC856" s="130">
        <f t="shared" si="300"/>
        <v>203</v>
      </c>
      <c r="AD856" s="35">
        <f t="shared" si="275"/>
        <v>0</v>
      </c>
      <c r="AE856" s="166" t="str">
        <f t="shared" si="258"/>
        <v>Yes</v>
      </c>
      <c r="AF856" s="127"/>
      <c r="AG856" s="18">
        <v>0</v>
      </c>
      <c r="AH856" s="120" t="s">
        <v>1649</v>
      </c>
      <c r="AI856" s="238">
        <v>10000</v>
      </c>
      <c r="AJ856" s="132"/>
      <c r="AK856" s="151">
        <v>0</v>
      </c>
      <c r="AL856" s="154">
        <f t="shared" si="276"/>
        <v>0</v>
      </c>
      <c r="AM856" s="155"/>
      <c r="AN856" s="19">
        <f t="shared" si="292"/>
        <v>1861</v>
      </c>
      <c r="AO856" s="118">
        <f>SUMIF('MPG Payment '!E:E,'Shayak Income '!D856,'MPG Payment '!AJ:AJ)</f>
        <v>0</v>
      </c>
      <c r="AP856" s="19">
        <f t="shared" si="293"/>
        <v>0</v>
      </c>
      <c r="AQ856" s="119">
        <f t="shared" si="277"/>
        <v>0</v>
      </c>
      <c r="AR856" s="91" t="s">
        <v>1168</v>
      </c>
      <c r="AS856" s="91">
        <f t="shared" si="294"/>
        <v>0</v>
      </c>
      <c r="AT856" s="118"/>
      <c r="AU856" s="118"/>
      <c r="AV856" s="118"/>
    </row>
    <row r="857" spans="1:48" s="20" customFormat="1" x14ac:dyDescent="0.25">
      <c r="A857" s="17">
        <f>IFERROR(VLOOKUP(D857,'Monthly Deduction'!$I$3:$J$957,2,0),0)</f>
        <v>65000</v>
      </c>
      <c r="B857" s="17">
        <f>IFERROR(VLOOKUP(D857,'Monthly Deduction'!$E$3:$F$957,2,0),0)</f>
        <v>0</v>
      </c>
      <c r="C857" s="17">
        <f t="shared" si="269"/>
        <v>65000</v>
      </c>
      <c r="D857" s="41">
        <v>10610001</v>
      </c>
      <c r="E857" s="122" t="str">
        <f>VLOOKUP(D857,'MPG Payment '!$E$3:$G$498218,2,0)</f>
        <v>GOMUKH BHATOLIYA</v>
      </c>
      <c r="F857" s="146">
        <f>IFERROR(_xlfn.XLOOKUP(D857,'Monthly Deduction'!$I$3:$I$957,'Monthly Deduction'!$H$3:$H$957),0)</f>
        <v>0</v>
      </c>
      <c r="G857" s="123" t="str">
        <f>VLOOKUP(D857,'MPG Payment '!$E$3:$G$334579,3,0)</f>
        <v>MPG</v>
      </c>
      <c r="H857" s="124" t="str">
        <f>VLOOKUP(D857,'MPG Payment '!$E$3:$H$334579,4,0)</f>
        <v>Direct</v>
      </c>
      <c r="I857" s="88">
        <f>INDEX('MPG Payment '!$C:$C,MATCH('Shayak Income '!D857,'MPG Payment '!E:E,0))</f>
        <v>1061</v>
      </c>
      <c r="J857" s="88" t="str">
        <f>INDEX('MPG Payment '!$D:$D,MATCH('Shayak Income '!D857,'MPG Payment '!E:E,0))</f>
        <v>Mahua BMC</v>
      </c>
      <c r="K857" s="125" t="s">
        <v>1323</v>
      </c>
      <c r="L857" s="125">
        <v>46097</v>
      </c>
      <c r="M857" s="126">
        <f>SUMIF('MPG Payment '!$E$3:$E$34579,'Shayak Income '!D857,'MPG Payment '!$I$3:$I$34579)</f>
        <v>3502.2000000000007</v>
      </c>
      <c r="N857" s="126">
        <f>SUMIF('MPG Payment '!$E$3:$E$34579,'Shayak Income '!D857,'MPG Payment '!$J$3:$J$34579)</f>
        <v>152429.46388925001</v>
      </c>
      <c r="O857" s="126">
        <f t="shared" si="270"/>
        <v>2626.6500000000005</v>
      </c>
      <c r="P857" s="126">
        <f t="shared" si="271"/>
        <v>3327.0900000000006</v>
      </c>
      <c r="Q857" s="126">
        <f>SUMIF('MPG Payment '!$E$3:$E$34579,'Shayak Income '!D857,'MPG Payment '!$S$3:$S$34579)</f>
        <v>1130.4824961265001</v>
      </c>
      <c r="R857" s="126">
        <f t="shared" si="272"/>
        <v>4572.8839166774997</v>
      </c>
      <c r="S857" s="126">
        <f t="shared" si="273"/>
        <v>1245.7939166774991</v>
      </c>
      <c r="T857" s="126">
        <f t="shared" si="295"/>
        <v>350.22000000000008</v>
      </c>
      <c r="U857" s="127">
        <f>(((IF(K857="New",0,SUMIF('MPG Payment '!$E$3:$E$34579,'Shayak Income '!D857,'MPG Payment '!$AC$3:$AC$34579))))+0)+0</f>
        <v>0</v>
      </c>
      <c r="V857" s="127">
        <f t="shared" si="296"/>
        <v>6734</v>
      </c>
      <c r="W857" s="19">
        <v>0</v>
      </c>
      <c r="X857" s="19">
        <v>0</v>
      </c>
      <c r="Y857" s="128">
        <f>IFERROR(VLOOKUP(D857,'Monthly Deduction'!$M$2:$N$64,2,0),0)</f>
        <v>0</v>
      </c>
      <c r="Z857" s="128">
        <v>0</v>
      </c>
      <c r="AA857" s="126">
        <f>IFERROR(VLOOKUP(D857,'Monthly Deduction'!A:B,2,0),0)</f>
        <v>0</v>
      </c>
      <c r="AB857" s="129">
        <f t="shared" si="274"/>
        <v>6734</v>
      </c>
      <c r="AC857" s="130">
        <v>0</v>
      </c>
      <c r="AD857" s="35">
        <f t="shared" si="275"/>
        <v>6734</v>
      </c>
      <c r="AE857" s="166" t="str">
        <f t="shared" si="258"/>
        <v>Release</v>
      </c>
      <c r="AF857" s="127"/>
      <c r="AG857" s="18">
        <v>0</v>
      </c>
      <c r="AH857" s="120" t="s">
        <v>1653</v>
      </c>
      <c r="AI857" s="238">
        <v>0</v>
      </c>
      <c r="AJ857" s="132" t="s">
        <v>68</v>
      </c>
      <c r="AK857" s="151">
        <v>815.00000000000011</v>
      </c>
      <c r="AL857" s="154">
        <f t="shared" si="276"/>
        <v>0</v>
      </c>
      <c r="AM857" s="155"/>
      <c r="AN857" s="19">
        <f t="shared" si="292"/>
        <v>3048.5892777850004</v>
      </c>
      <c r="AO857" s="118">
        <f>SUMIF('MPG Payment '!E:E,'Shayak Income '!D857,'MPG Payment '!AJ:AJ)</f>
        <v>0</v>
      </c>
      <c r="AP857" s="19">
        <f t="shared" si="293"/>
        <v>0</v>
      </c>
      <c r="AQ857" s="119">
        <f t="shared" si="277"/>
        <v>0</v>
      </c>
      <c r="AR857" s="91" t="s">
        <v>1168</v>
      </c>
      <c r="AS857" s="91">
        <f t="shared" si="294"/>
        <v>0</v>
      </c>
      <c r="AT857" s="118"/>
      <c r="AU857" s="118"/>
      <c r="AV857" s="118"/>
    </row>
    <row r="858" spans="1:48" s="20" customFormat="1" x14ac:dyDescent="0.25">
      <c r="A858" s="17">
        <f>IFERROR(VLOOKUP(D858,'Monthly Deduction'!$I$3:$J$957,2,0),0)</f>
        <v>65000</v>
      </c>
      <c r="B858" s="17">
        <f>IFERROR(VLOOKUP(D858,'Monthly Deduction'!$E$3:$F$957,2,0),0)</f>
        <v>0</v>
      </c>
      <c r="C858" s="17">
        <f t="shared" si="269"/>
        <v>65000</v>
      </c>
      <c r="D858" s="41">
        <v>10610003</v>
      </c>
      <c r="E858" s="122" t="str">
        <f>VLOOKUP(D858,'MPG Payment '!$E$3:$G$498218,2,0)</f>
        <v>GOMUKH KHAJECHAND</v>
      </c>
      <c r="F858" s="146">
        <f>IFERROR(_xlfn.XLOOKUP(D858,'Monthly Deduction'!$I$3:$I$957,'Monthly Deduction'!$H$3:$H$957),0)</f>
        <v>0</v>
      </c>
      <c r="G858" s="123" t="str">
        <f>VLOOKUP(D858,'MPG Payment '!$E$3:$G$334579,3,0)</f>
        <v>MPG</v>
      </c>
      <c r="H858" s="124" t="str">
        <f>VLOOKUP(D858,'MPG Payment '!$E$3:$H$334579,4,0)</f>
        <v>Direct</v>
      </c>
      <c r="I858" s="88">
        <f>INDEX('MPG Payment '!$C:$C,MATCH('Shayak Income '!D858,'MPG Payment '!E:E,0))</f>
        <v>1061</v>
      </c>
      <c r="J858" s="88" t="str">
        <f>INDEX('MPG Payment '!$D:$D,MATCH('Shayak Income '!D858,'MPG Payment '!E:E,0))</f>
        <v>Mahua BMC</v>
      </c>
      <c r="K858" s="125" t="s">
        <v>1323</v>
      </c>
      <c r="L858" s="125">
        <v>46097</v>
      </c>
      <c r="M858" s="126">
        <f>SUMIF('MPG Payment '!$E$3:$E$34579,'Shayak Income '!D858,'MPG Payment '!$I$3:$I$34579)</f>
        <v>1637.5000000000002</v>
      </c>
      <c r="N858" s="126">
        <f>SUMIF('MPG Payment '!$E$3:$E$34579,'Shayak Income '!D858,'MPG Payment '!$J$3:$J$34579)</f>
        <v>64818.104748269994</v>
      </c>
      <c r="O858" s="126">
        <f t="shared" si="270"/>
        <v>1228.1250000000002</v>
      </c>
      <c r="P858" s="126">
        <f t="shared" si="271"/>
        <v>1555.6250000000002</v>
      </c>
      <c r="Q858" s="126">
        <f>SUMIF('MPG Payment '!$E$3:$E$34579,'Shayak Income '!D858,'MPG Payment '!$S$3:$S$34579)</f>
        <v>0</v>
      </c>
      <c r="R858" s="126">
        <f t="shared" si="272"/>
        <v>1944.5431424480998</v>
      </c>
      <c r="S858" s="126">
        <f t="shared" si="273"/>
        <v>388.91814244809962</v>
      </c>
      <c r="T858" s="126">
        <f t="shared" si="295"/>
        <v>163.75000000000003</v>
      </c>
      <c r="U858" s="127">
        <f>(((IF(K858="New",0,SUMIF('MPG Payment '!$E$3:$E$34579,'Shayak Income '!D858,'MPG Payment '!$AC$3:$AC$34579))))+0)+0</f>
        <v>0</v>
      </c>
      <c r="V858" s="127">
        <f t="shared" si="296"/>
        <v>2620</v>
      </c>
      <c r="W858" s="19">
        <v>0</v>
      </c>
      <c r="X858" s="19">
        <v>0</v>
      </c>
      <c r="Y858" s="128">
        <f>IFERROR(VLOOKUP(D858,'Monthly Deduction'!$M$2:$N$64,2,0),0)</f>
        <v>0</v>
      </c>
      <c r="Z858" s="128">
        <v>0</v>
      </c>
      <c r="AA858" s="126">
        <f>IFERROR(VLOOKUP(D858,'Monthly Deduction'!A:B,2,0),0)</f>
        <v>0</v>
      </c>
      <c r="AB858" s="129">
        <f t="shared" si="274"/>
        <v>2620</v>
      </c>
      <c r="AC858" s="130">
        <v>0</v>
      </c>
      <c r="AD858" s="35">
        <f t="shared" si="275"/>
        <v>2620</v>
      </c>
      <c r="AE858" s="166" t="str">
        <f t="shared" si="258"/>
        <v>Release</v>
      </c>
      <c r="AF858" s="127"/>
      <c r="AG858" s="234">
        <v>0</v>
      </c>
      <c r="AH858" s="120" t="s">
        <v>1653</v>
      </c>
      <c r="AI858" s="238">
        <v>0</v>
      </c>
      <c r="AJ858" s="132" t="s">
        <v>68</v>
      </c>
      <c r="AK858" s="151">
        <v>365.09999999999997</v>
      </c>
      <c r="AL858" s="154">
        <f t="shared" si="276"/>
        <v>0</v>
      </c>
      <c r="AM858" s="155"/>
      <c r="AN858" s="19">
        <f t="shared" si="292"/>
        <v>1861</v>
      </c>
      <c r="AO858" s="118">
        <f>SUMIF('MPG Payment '!E:E,'Shayak Income '!D858,'MPG Payment '!AJ:AJ)</f>
        <v>0</v>
      </c>
      <c r="AP858" s="19">
        <f t="shared" si="293"/>
        <v>0</v>
      </c>
      <c r="AQ858" s="119">
        <f t="shared" si="277"/>
        <v>0</v>
      </c>
      <c r="AR858" s="91" t="s">
        <v>1168</v>
      </c>
      <c r="AS858" s="91">
        <f t="shared" si="294"/>
        <v>0</v>
      </c>
      <c r="AT858" s="118"/>
      <c r="AU858" s="118"/>
      <c r="AV858" s="118"/>
    </row>
    <row r="859" spans="1:48" s="20" customFormat="1" x14ac:dyDescent="0.25">
      <c r="A859" s="17">
        <f>IFERROR(VLOOKUP(D859,'Monthly Deduction'!$I$3:$J$957,2,0),0)</f>
        <v>75000</v>
      </c>
      <c r="B859" s="17">
        <f>IFERROR(VLOOKUP(D859,'Monthly Deduction'!$E$3:$F$957,2,0),0)</f>
        <v>0</v>
      </c>
      <c r="C859" s="17">
        <f t="shared" si="265"/>
        <v>75000</v>
      </c>
      <c r="D859" s="41">
        <v>10610004</v>
      </c>
      <c r="E859" s="122" t="str">
        <f>VLOOKUP(D859,'MPG Payment '!$E$3:$G$498218,2,0)</f>
        <v>GOMUKH SALEMPUR</v>
      </c>
      <c r="F859" s="146">
        <f>IFERROR(_xlfn.XLOOKUP(D859,'Monthly Deduction'!$I$3:$I$957,'Monthly Deduction'!$H$3:$H$957),0)</f>
        <v>0</v>
      </c>
      <c r="G859" s="123" t="str">
        <f>VLOOKUP(D859,'MPG Payment '!$E$3:$G$334579,3,0)</f>
        <v>MPG</v>
      </c>
      <c r="H859" s="124" t="str">
        <f>VLOOKUP(D859,'MPG Payment '!$E$3:$H$334579,4,0)</f>
        <v>Direct</v>
      </c>
      <c r="I859" s="88">
        <f>INDEX('MPG Payment '!$C:$C,MATCH('Shayak Income '!D859,'MPG Payment '!E:E,0))</f>
        <v>1061</v>
      </c>
      <c r="J859" s="88" t="str">
        <f>INDEX('MPG Payment '!$D:$D,MATCH('Shayak Income '!D859,'MPG Payment '!E:E,0))</f>
        <v>Mahua BMC</v>
      </c>
      <c r="K859" s="125" t="s">
        <v>1323</v>
      </c>
      <c r="L859" s="125">
        <v>46097</v>
      </c>
      <c r="M859" s="126">
        <f>SUMIF('MPG Payment '!$E$3:$E$34579,'Shayak Income '!D859,'MPG Payment '!$I$3:$I$34579)</f>
        <v>651.9</v>
      </c>
      <c r="N859" s="126">
        <f>SUMIF('MPG Payment '!$E$3:$E$34579,'Shayak Income '!D859,'MPG Payment '!$J$3:$J$34579)</f>
        <v>27768.048748979501</v>
      </c>
      <c r="O859" s="126">
        <f t="shared" si="252"/>
        <v>488.92499999999995</v>
      </c>
      <c r="P859" s="126">
        <f t="shared" si="253"/>
        <v>619.30499999999995</v>
      </c>
      <c r="Q859" s="126">
        <f>SUMIF('MPG Payment '!$E$3:$E$34579,'Shayak Income '!D859,'MPG Payment '!$S$3:$S$34579)</f>
        <v>609.17569023213014</v>
      </c>
      <c r="R859" s="126">
        <f t="shared" si="242"/>
        <v>833.04146246938501</v>
      </c>
      <c r="S859" s="126">
        <f t="shared" si="243"/>
        <v>213.73646246938506</v>
      </c>
      <c r="T859" s="126">
        <f t="shared" si="295"/>
        <v>65.19</v>
      </c>
      <c r="U859" s="127">
        <f>(((IF(K859="New",0,SUMIF('MPG Payment '!$E$3:$E$34579,'Shayak Income '!D859,'MPG Payment '!$AC$3:$AC$34579))))+0)+0</f>
        <v>0</v>
      </c>
      <c r="V859" s="127">
        <f t="shared" si="296"/>
        <v>1652</v>
      </c>
      <c r="W859" s="19">
        <v>0</v>
      </c>
      <c r="X859" s="19">
        <v>0</v>
      </c>
      <c r="Y859" s="128">
        <f>IFERROR(VLOOKUP(D859,'Monthly Deduction'!$M$2:$N$64,2,0),0)</f>
        <v>0</v>
      </c>
      <c r="Z859" s="128">
        <v>0</v>
      </c>
      <c r="AA859" s="126">
        <f>IFERROR(VLOOKUP(D859,'Monthly Deduction'!A:B,2,0),0)</f>
        <v>0</v>
      </c>
      <c r="AB859" s="129">
        <f t="shared" si="244"/>
        <v>1652</v>
      </c>
      <c r="AC859" s="130">
        <v>0</v>
      </c>
      <c r="AD859" s="35">
        <f t="shared" si="266"/>
        <v>1652</v>
      </c>
      <c r="AE859" s="166" t="str">
        <f t="shared" si="258"/>
        <v>Release</v>
      </c>
      <c r="AF859" s="127"/>
      <c r="AG859" s="18">
        <v>0</v>
      </c>
      <c r="AH859" s="120" t="s">
        <v>1650</v>
      </c>
      <c r="AI859" s="238">
        <v>10000</v>
      </c>
      <c r="AJ859" s="132" t="s">
        <v>68</v>
      </c>
      <c r="AK859" s="151">
        <v>148.30000000000001</v>
      </c>
      <c r="AL859" s="154">
        <f t="shared" si="267"/>
        <v>0</v>
      </c>
      <c r="AM859" s="155"/>
      <c r="AN859" s="19">
        <f t="shared" si="292"/>
        <v>1861</v>
      </c>
      <c r="AO859" s="118">
        <f>SUMIF('MPG Payment '!E:E,'Shayak Income '!D859,'MPG Payment '!AJ:AJ)</f>
        <v>0</v>
      </c>
      <c r="AP859" s="19">
        <f t="shared" si="293"/>
        <v>0</v>
      </c>
      <c r="AQ859" s="119">
        <f t="shared" si="268"/>
        <v>0</v>
      </c>
      <c r="AR859" s="91" t="s">
        <v>1168</v>
      </c>
      <c r="AS859" s="91">
        <f t="shared" si="294"/>
        <v>0</v>
      </c>
      <c r="AT859" s="118"/>
      <c r="AU859" s="118"/>
      <c r="AV859" s="118"/>
    </row>
    <row r="860" spans="1:48" s="20" customFormat="1" x14ac:dyDescent="0.25">
      <c r="A860" s="17">
        <f>IFERROR(VLOOKUP(D860,'Monthly Deduction'!$I$3:$J$957,2,0),0)</f>
        <v>65000</v>
      </c>
      <c r="B860" s="17">
        <f>IFERROR(VLOOKUP(D860,'Monthly Deduction'!$E$3:$F$957,2,0),0)</f>
        <v>0</v>
      </c>
      <c r="C860" s="17">
        <f t="shared" si="265"/>
        <v>65000</v>
      </c>
      <c r="D860" s="41">
        <v>10610005</v>
      </c>
      <c r="E860" s="122" t="str">
        <f>VLOOKUP(D860,'MPG Payment '!$E$3:$G$498218,2,0)</f>
        <v>Gomukh Paharpur</v>
      </c>
      <c r="F860" s="146">
        <f>IFERROR(_xlfn.XLOOKUP(D860,'Monthly Deduction'!$I$3:$I$957,'Monthly Deduction'!$H$3:$H$957),0)</f>
        <v>0</v>
      </c>
      <c r="G860" s="123" t="str">
        <f>VLOOKUP(D860,'MPG Payment '!$E$3:$G$334579,3,0)</f>
        <v>MPG</v>
      </c>
      <c r="H860" s="124" t="str">
        <f>VLOOKUP(D860,'MPG Payment '!$E$3:$H$334579,4,0)</f>
        <v>Direct</v>
      </c>
      <c r="I860" s="88">
        <f>INDEX('MPG Payment '!$C:$C,MATCH('Shayak Income '!D860,'MPG Payment '!E:E,0))</f>
        <v>1061</v>
      </c>
      <c r="J860" s="88" t="str">
        <f>INDEX('MPG Payment '!$D:$D,MATCH('Shayak Income '!D860,'MPG Payment '!E:E,0))</f>
        <v>Mahua BMC</v>
      </c>
      <c r="K860" s="125" t="s">
        <v>1323</v>
      </c>
      <c r="L860" s="125">
        <v>46097</v>
      </c>
      <c r="M860" s="126">
        <f>SUMIF('MPG Payment '!$E$3:$E$34579,'Shayak Income '!D860,'MPG Payment '!$I$3:$I$34579)</f>
        <v>1786.0000000000002</v>
      </c>
      <c r="N860" s="126">
        <f>SUMIF('MPG Payment '!$E$3:$E$34579,'Shayak Income '!D860,'MPG Payment '!$J$3:$J$34579)</f>
        <v>75963.544551143001</v>
      </c>
      <c r="O860" s="126">
        <f t="shared" si="252"/>
        <v>1339.5000000000002</v>
      </c>
      <c r="P860" s="126">
        <f t="shared" si="253"/>
        <v>1696.7</v>
      </c>
      <c r="Q860" s="126">
        <f>SUMIF('MPG Payment '!$E$3:$E$34579,'Shayak Income '!D860,'MPG Payment '!$S$3:$S$34579)</f>
        <v>0</v>
      </c>
      <c r="R860" s="126">
        <f t="shared" si="242"/>
        <v>2278.9063365342899</v>
      </c>
      <c r="S860" s="126">
        <f t="shared" si="243"/>
        <v>582.2063365342899</v>
      </c>
      <c r="T860" s="126">
        <f t="shared" si="295"/>
        <v>178.60000000000002</v>
      </c>
      <c r="U860" s="127">
        <f>(((IF(K860="New",0,SUMIF('MPG Payment '!$E$3:$E$34579,'Shayak Income '!D860,'MPG Payment '!$AC$3:$AC$34579))))+0)+0</f>
        <v>0</v>
      </c>
      <c r="V860" s="127">
        <f t="shared" si="296"/>
        <v>2858</v>
      </c>
      <c r="W860" s="19">
        <v>0</v>
      </c>
      <c r="X860" s="19">
        <v>0</v>
      </c>
      <c r="Y860" s="128">
        <f>IFERROR(VLOOKUP(D860,'Monthly Deduction'!$M$2:$N$64,2,0),0)</f>
        <v>0</v>
      </c>
      <c r="Z860" s="128">
        <v>0</v>
      </c>
      <c r="AA860" s="126">
        <f>IFERROR(VLOOKUP(D860,'Monthly Deduction'!A:B,2,0),0)</f>
        <v>0</v>
      </c>
      <c r="AB860" s="129">
        <f t="shared" si="244"/>
        <v>2858</v>
      </c>
      <c r="AC860" s="130">
        <v>0</v>
      </c>
      <c r="AD860" s="35">
        <f t="shared" si="266"/>
        <v>2858</v>
      </c>
      <c r="AE860" s="166" t="str">
        <f t="shared" si="258"/>
        <v>Release</v>
      </c>
      <c r="AF860" s="127"/>
      <c r="AG860" s="18">
        <v>0</v>
      </c>
      <c r="AH860" s="120" t="s">
        <v>1653</v>
      </c>
      <c r="AI860" s="238">
        <v>0</v>
      </c>
      <c r="AJ860" s="132" t="s">
        <v>68</v>
      </c>
      <c r="AK860" s="151">
        <v>544.19999999999993</v>
      </c>
      <c r="AL860" s="154">
        <f t="shared" si="267"/>
        <v>0</v>
      </c>
      <c r="AM860" s="155"/>
      <c r="AN860" s="19">
        <f t="shared" si="292"/>
        <v>1861</v>
      </c>
      <c r="AO860" s="118">
        <f>SUMIF('MPG Payment '!E:E,'Shayak Income '!D860,'MPG Payment '!AJ:AJ)</f>
        <v>0</v>
      </c>
      <c r="AP860" s="19">
        <f t="shared" si="293"/>
        <v>0</v>
      </c>
      <c r="AQ860" s="119">
        <f t="shared" si="268"/>
        <v>0</v>
      </c>
      <c r="AR860" s="91" t="s">
        <v>1168</v>
      </c>
      <c r="AS860" s="91">
        <f t="shared" si="294"/>
        <v>0</v>
      </c>
      <c r="AT860" s="118"/>
      <c r="AU860" s="118"/>
      <c r="AV860" s="118"/>
    </row>
    <row r="861" spans="1:48" s="20" customFormat="1" x14ac:dyDescent="0.25">
      <c r="A861" s="17">
        <f>IFERROR(VLOOKUP(D861,'Monthly Deduction'!$I$3:$J$957,2,0),0)</f>
        <v>0</v>
      </c>
      <c r="B861" s="17">
        <f>IFERROR(VLOOKUP(D861,'Monthly Deduction'!$E$3:$F$957,2,0),0)</f>
        <v>0</v>
      </c>
      <c r="C861" s="17">
        <f t="shared" si="265"/>
        <v>0</v>
      </c>
      <c r="D861" s="41">
        <v>10610011</v>
      </c>
      <c r="E861" s="122" t="str">
        <f>VLOOKUP(D861,'MPG Payment '!$E$3:$G$498218,2,0)</f>
        <v>GOMUKH JIRWARA</v>
      </c>
      <c r="F861" s="146">
        <f>IFERROR(_xlfn.XLOOKUP(D861,'Monthly Deduction'!$I$3:$I$957,'Monthly Deduction'!$H$3:$H$957),0)</f>
        <v>0</v>
      </c>
      <c r="G861" s="123" t="str">
        <f>VLOOKUP(D861,'MPG Payment '!$E$3:$G$334579,3,0)</f>
        <v>vlc</v>
      </c>
      <c r="H861" s="124" t="str">
        <f>VLOOKUP(D861,'MPG Payment '!$E$3:$H$334579,4,0)</f>
        <v>Indirect</v>
      </c>
      <c r="I861" s="88">
        <f>INDEX('MPG Payment '!$C:$C,MATCH('Shayak Income '!D861,'MPG Payment '!E:E,0))</f>
        <v>1061</v>
      </c>
      <c r="J861" s="88" t="str">
        <f>INDEX('MPG Payment '!$D:$D,MATCH('Shayak Income '!D861,'MPG Payment '!E:E,0))</f>
        <v>Mahua BMC</v>
      </c>
      <c r="K861" s="125" t="s">
        <v>1323</v>
      </c>
      <c r="L861" s="125">
        <v>46097</v>
      </c>
      <c r="M861" s="126">
        <f>SUMIF('MPG Payment '!$E$3:$E$34579,'Shayak Income '!D861,'MPG Payment '!$I$3:$I$34579)</f>
        <v>1217.5999999999999</v>
      </c>
      <c r="N861" s="126">
        <f>SUMIF('MPG Payment '!$E$3:$E$34579,'Shayak Income '!D861,'MPG Payment '!$J$3:$J$34579)</f>
        <v>48086.76912395408</v>
      </c>
      <c r="O861" s="126">
        <f t="shared" si="252"/>
        <v>913.19999999999993</v>
      </c>
      <c r="P861" s="126">
        <f t="shared" si="253"/>
        <v>1156.7199999999998</v>
      </c>
      <c r="Q861" s="126">
        <f>SUMIF('MPG Payment '!$E$3:$E$34579,'Shayak Income '!D861,'MPG Payment '!$S$3:$S$34579)</f>
        <v>0</v>
      </c>
      <c r="R861" s="126">
        <f t="shared" si="242"/>
        <v>1442.6030737186225</v>
      </c>
      <c r="S861" s="126">
        <f t="shared" si="243"/>
        <v>285.88307371862265</v>
      </c>
      <c r="T861" s="126">
        <f t="shared" si="295"/>
        <v>121.75999999999999</v>
      </c>
      <c r="U861" s="127">
        <f>(((IF(K861="New",0,SUMIF('MPG Payment '!$E$3:$E$34579,'Shayak Income '!D861,'MPG Payment '!$AC$3:$AC$34579))))+0)+0</f>
        <v>0</v>
      </c>
      <c r="V861" s="127">
        <f t="shared" si="296"/>
        <v>1948</v>
      </c>
      <c r="W861" s="19">
        <v>0</v>
      </c>
      <c r="X861" s="19">
        <v>0</v>
      </c>
      <c r="Y861" s="128">
        <f>IFERROR(VLOOKUP(D861,'Monthly Deduction'!$M$2:$N$64,2,0),0)</f>
        <v>0</v>
      </c>
      <c r="Z861" s="128">
        <v>0</v>
      </c>
      <c r="AA861" s="126">
        <f>IFERROR(VLOOKUP(D861,'Monthly Deduction'!A:B,2,0),0)</f>
        <v>0</v>
      </c>
      <c r="AB861" s="129">
        <f t="shared" si="244"/>
        <v>1948</v>
      </c>
      <c r="AC861" s="130">
        <v>0</v>
      </c>
      <c r="AD861" s="35">
        <f t="shared" si="266"/>
        <v>1948</v>
      </c>
      <c r="AE861" s="166" t="str">
        <f t="shared" si="258"/>
        <v>Release</v>
      </c>
      <c r="AF861" s="127"/>
      <c r="AG861" s="18">
        <v>0</v>
      </c>
      <c r="AH861" s="132"/>
      <c r="AI861" s="238">
        <v>0</v>
      </c>
      <c r="AJ861" s="132"/>
      <c r="AK861" s="151">
        <v>219.5</v>
      </c>
      <c r="AL861" s="154">
        <f t="shared" si="267"/>
        <v>0</v>
      </c>
      <c r="AM861" s="155"/>
      <c r="AN861" s="19">
        <f t="shared" si="292"/>
        <v>0</v>
      </c>
      <c r="AO861" s="118">
        <f>SUMIF('MPG Payment '!E:E,'Shayak Income '!D861,'MPG Payment '!AJ:AJ)</f>
        <v>0</v>
      </c>
      <c r="AP861" s="19">
        <f t="shared" si="293"/>
        <v>0</v>
      </c>
      <c r="AQ861" s="119">
        <f t="shared" si="268"/>
        <v>0</v>
      </c>
      <c r="AR861" s="91" t="s">
        <v>1168</v>
      </c>
      <c r="AS861" s="91">
        <f t="shared" si="294"/>
        <v>0</v>
      </c>
      <c r="AT861" s="118"/>
      <c r="AU861" s="118"/>
      <c r="AV861" s="118"/>
    </row>
    <row r="862" spans="1:48" s="20" customFormat="1" x14ac:dyDescent="0.25">
      <c r="A862" s="17">
        <f>IFERROR(VLOOKUP(D862,'Monthly Deduction'!$I$3:$J$957,2,0),0)</f>
        <v>0</v>
      </c>
      <c r="B862" s="17">
        <f>IFERROR(VLOOKUP(D862,'Monthly Deduction'!$E$3:$F$957,2,0),0)</f>
        <v>0</v>
      </c>
      <c r="C862" s="17">
        <f t="shared" si="265"/>
        <v>0</v>
      </c>
      <c r="D862" s="41">
        <v>10610013</v>
      </c>
      <c r="E862" s="122" t="str">
        <f>VLOOKUP(D862,'MPG Payment '!$E$3:$G$498218,2,0)</f>
        <v>GOMUKH Karhatiya</v>
      </c>
      <c r="F862" s="146">
        <f>IFERROR(_xlfn.XLOOKUP(D862,'Monthly Deduction'!$I$3:$I$957,'Monthly Deduction'!$H$3:$H$957),0)</f>
        <v>0</v>
      </c>
      <c r="G862" s="123" t="str">
        <f>VLOOKUP(D862,'MPG Payment '!$E$3:$G$334579,3,0)</f>
        <v>vlc</v>
      </c>
      <c r="H862" s="124" t="str">
        <f>VLOOKUP(D862,'MPG Payment '!$E$3:$H$334579,4,0)</f>
        <v>Indirect</v>
      </c>
      <c r="I862" s="88">
        <f>INDEX('MPG Payment '!$C:$C,MATCH('Shayak Income '!D862,'MPG Payment '!E:E,0))</f>
        <v>1061</v>
      </c>
      <c r="J862" s="88" t="str">
        <f>INDEX('MPG Payment '!$D:$D,MATCH('Shayak Income '!D862,'MPG Payment '!E:E,0))</f>
        <v>Mahua BMC</v>
      </c>
      <c r="K862" s="125" t="s">
        <v>1323</v>
      </c>
      <c r="L862" s="125">
        <v>46097</v>
      </c>
      <c r="M862" s="126">
        <f>SUMIF('MPG Payment '!$E$3:$E$34579,'Shayak Income '!D862,'MPG Payment '!$I$3:$I$34579)</f>
        <v>1083.8</v>
      </c>
      <c r="N862" s="126">
        <f>SUMIF('MPG Payment '!$E$3:$E$34579,'Shayak Income '!D862,'MPG Payment '!$J$3:$J$34579)</f>
        <v>39638.403585602995</v>
      </c>
      <c r="O862" s="126">
        <f t="shared" si="252"/>
        <v>812.84999999999991</v>
      </c>
      <c r="P862" s="126">
        <f t="shared" si="253"/>
        <v>1029.6099999999999</v>
      </c>
      <c r="Q862" s="126">
        <f>SUMIF('MPG Payment '!$E$3:$E$34579,'Shayak Income '!D862,'MPG Payment '!$S$3:$S$34579)</f>
        <v>0</v>
      </c>
      <c r="R862" s="126">
        <f t="shared" si="242"/>
        <v>1189.1521075680898</v>
      </c>
      <c r="S862" s="126">
        <f t="shared" si="243"/>
        <v>159.54210756808993</v>
      </c>
      <c r="T862" s="126">
        <f t="shared" si="295"/>
        <v>108.38</v>
      </c>
      <c r="U862" s="127">
        <f>(((IF(K862="New",0,SUMIF('MPG Payment '!$E$3:$E$34579,'Shayak Income '!D862,'MPG Payment '!$AC$3:$AC$34579))))+0)+0</f>
        <v>0</v>
      </c>
      <c r="V862" s="127">
        <f t="shared" si="296"/>
        <v>1734</v>
      </c>
      <c r="W862" s="19">
        <v>0</v>
      </c>
      <c r="X862" s="19">
        <v>0</v>
      </c>
      <c r="Y862" s="128">
        <f>IFERROR(VLOOKUP(D862,'Monthly Deduction'!$M$2:$N$64,2,0),0)</f>
        <v>0</v>
      </c>
      <c r="Z862" s="128">
        <v>0</v>
      </c>
      <c r="AA862" s="126">
        <f>IFERROR(VLOOKUP(D862,'Monthly Deduction'!A:B,2,0),0)</f>
        <v>0</v>
      </c>
      <c r="AB862" s="129">
        <f t="shared" si="244"/>
        <v>1734</v>
      </c>
      <c r="AC862" s="130">
        <v>0</v>
      </c>
      <c r="AD862" s="35">
        <f t="shared" si="266"/>
        <v>1734</v>
      </c>
      <c r="AE862" s="166" t="str">
        <f t="shared" si="258"/>
        <v>Release</v>
      </c>
      <c r="AF862" s="127"/>
      <c r="AG862" s="18">
        <v>0</v>
      </c>
      <c r="AH862" s="120"/>
      <c r="AI862" s="238">
        <v>0</v>
      </c>
      <c r="AJ862" s="132"/>
      <c r="AK862" s="151">
        <v>329.20000000000005</v>
      </c>
      <c r="AL862" s="154">
        <f t="shared" si="267"/>
        <v>0</v>
      </c>
      <c r="AM862" s="155"/>
      <c r="AN862" s="19">
        <f t="shared" si="292"/>
        <v>0</v>
      </c>
      <c r="AO862" s="118">
        <f>SUMIF('MPG Payment '!E:E,'Shayak Income '!D862,'MPG Payment '!AJ:AJ)</f>
        <v>0</v>
      </c>
      <c r="AP862" s="19">
        <f t="shared" si="293"/>
        <v>0</v>
      </c>
      <c r="AQ862" s="119">
        <f t="shared" si="268"/>
        <v>0</v>
      </c>
      <c r="AR862" s="91" t="s">
        <v>1168</v>
      </c>
      <c r="AS862" s="91">
        <f t="shared" si="294"/>
        <v>0</v>
      </c>
      <c r="AT862" s="118"/>
      <c r="AU862" s="118"/>
      <c r="AV862" s="118"/>
    </row>
    <row r="863" spans="1:48" s="20" customFormat="1" x14ac:dyDescent="0.25">
      <c r="A863" s="17">
        <f>IFERROR(VLOOKUP(D863,'Monthly Deduction'!$I$3:$J$957,2,0),0)</f>
        <v>0</v>
      </c>
      <c r="B863" s="17">
        <f>IFERROR(VLOOKUP(D863,'Monthly Deduction'!$E$3:$F$957,2,0),0)</f>
        <v>0</v>
      </c>
      <c r="C863" s="17">
        <f t="shared" ref="C863:C883" si="301">A863+B863</f>
        <v>0</v>
      </c>
      <c r="D863" s="41">
        <v>10610015</v>
      </c>
      <c r="E863" s="122" t="str">
        <f>VLOOKUP(D863,'MPG Payment '!$E$3:$G$498218,2,0)</f>
        <v>Gomukh Karhatiya Bujurg</v>
      </c>
      <c r="F863" s="146">
        <f>IFERROR(_xlfn.XLOOKUP(D863,'Monthly Deduction'!$I$3:$I$957,'Monthly Deduction'!$H$3:$H$957),0)</f>
        <v>0</v>
      </c>
      <c r="G863" s="123" t="str">
        <f>VLOOKUP(D863,'MPG Payment '!$E$3:$G$334579,3,0)</f>
        <v>vlc</v>
      </c>
      <c r="H863" s="124" t="str">
        <f>VLOOKUP(D863,'MPG Payment '!$E$3:$H$334579,4,0)</f>
        <v>Indirect</v>
      </c>
      <c r="I863" s="88">
        <f>INDEX('MPG Payment '!$C:$C,MATCH('Shayak Income '!D863,'MPG Payment '!E:E,0))</f>
        <v>1061</v>
      </c>
      <c r="J863" s="88" t="str">
        <f>INDEX('MPG Payment '!$D:$D,MATCH('Shayak Income '!D863,'MPG Payment '!E:E,0))</f>
        <v>Mahua BMC</v>
      </c>
      <c r="K863" s="125" t="s">
        <v>1323</v>
      </c>
      <c r="L863" s="125">
        <v>46097</v>
      </c>
      <c r="M863" s="126">
        <f>SUMIF('MPG Payment '!$E$3:$E$34579,'Shayak Income '!D863,'MPG Payment '!$I$3:$I$34579)</f>
        <v>1024.5999999999999</v>
      </c>
      <c r="N863" s="126">
        <f>SUMIF('MPG Payment '!$E$3:$E$34579,'Shayak Income '!D863,'MPG Payment '!$J$3:$J$34579)</f>
        <v>36365.173771550006</v>
      </c>
      <c r="O863" s="126">
        <f t="shared" ref="O863:O883" si="302">+M863*0.75</f>
        <v>768.44999999999993</v>
      </c>
      <c r="P863" s="126">
        <f t="shared" ref="P863:P883" si="303">+M863*0.95</f>
        <v>973.36999999999989</v>
      </c>
      <c r="Q863" s="126">
        <f>SUMIF('MPG Payment '!$E$3:$E$34579,'Shayak Income '!D863,'MPG Payment '!$S$3:$S$34579)</f>
        <v>0</v>
      </c>
      <c r="R863" s="126">
        <f t="shared" ref="R863:R883" si="304">+N863*3%</f>
        <v>1090.9552131465002</v>
      </c>
      <c r="S863" s="126">
        <f t="shared" ref="S863:S883" si="305">R863-P863</f>
        <v>117.58521314650034</v>
      </c>
      <c r="T863" s="126">
        <f t="shared" si="295"/>
        <v>102.46</v>
      </c>
      <c r="U863" s="127">
        <f>(((IF(K863="New",0,SUMIF('MPG Payment '!$E$3:$E$34579,'Shayak Income '!D863,'MPG Payment '!$AC$3:$AC$34579))))+0)+0</f>
        <v>0</v>
      </c>
      <c r="V863" s="127">
        <f t="shared" si="296"/>
        <v>1639</v>
      </c>
      <c r="W863" s="19">
        <v>0</v>
      </c>
      <c r="X863" s="19">
        <v>0</v>
      </c>
      <c r="Y863" s="128">
        <f>IFERROR(VLOOKUP(D863,'Monthly Deduction'!$M$2:$N$64,2,0),0)</f>
        <v>0</v>
      </c>
      <c r="Z863" s="128">
        <v>0</v>
      </c>
      <c r="AA863" s="126">
        <f>IFERROR(VLOOKUP(D863,'Monthly Deduction'!A:B,2,0),0)</f>
        <v>0</v>
      </c>
      <c r="AB863" s="129">
        <f t="shared" ref="AB863:AB883" si="306">ROUND(IFERROR(V863-SUM(W863:AA863),0),0)</f>
        <v>1639</v>
      </c>
      <c r="AC863" s="130">
        <v>0</v>
      </c>
      <c r="AD863" s="35">
        <f t="shared" ref="AD863:AD883" si="307">ROUND(AB863-AC863,0)</f>
        <v>1639</v>
      </c>
      <c r="AE863" s="166" t="str">
        <f t="shared" ref="AE863:AE883" si="308">IF(AC863&lt;&gt;0,"Yes","Release")</f>
        <v>Release</v>
      </c>
      <c r="AF863" s="127"/>
      <c r="AG863" s="18">
        <v>0</v>
      </c>
      <c r="AH863" s="132" t="s">
        <v>1648</v>
      </c>
      <c r="AI863" s="238">
        <v>0</v>
      </c>
      <c r="AJ863" s="132" t="s">
        <v>68</v>
      </c>
      <c r="AK863" s="151">
        <v>0</v>
      </c>
      <c r="AL863" s="154">
        <f t="shared" ref="AL863:AL883" si="309">COUNTIF(AK863:AK863,"=NA")</f>
        <v>0</v>
      </c>
      <c r="AM863" s="155"/>
      <c r="AN863" s="19">
        <f t="shared" si="292"/>
        <v>0</v>
      </c>
      <c r="AO863" s="118">
        <f>SUMIF('MPG Payment '!E:E,'Shayak Income '!D863,'MPG Payment '!AJ:AJ)</f>
        <v>0</v>
      </c>
      <c r="AP863" s="19">
        <f t="shared" si="293"/>
        <v>0</v>
      </c>
      <c r="AQ863" s="119">
        <f t="shared" ref="AQ863:AQ883" si="310">AO863+AP863</f>
        <v>0</v>
      </c>
      <c r="AR863" s="91" t="s">
        <v>1168</v>
      </c>
      <c r="AS863" s="91">
        <f t="shared" si="294"/>
        <v>0</v>
      </c>
      <c r="AT863" s="118"/>
      <c r="AU863" s="118"/>
      <c r="AV863" s="118"/>
    </row>
    <row r="864" spans="1:48" s="20" customFormat="1" x14ac:dyDescent="0.25">
      <c r="A864" s="17">
        <f>IFERROR(VLOOKUP(D864,'Monthly Deduction'!$I$3:$J$957,2,0),0)</f>
        <v>75000</v>
      </c>
      <c r="B864" s="17">
        <f>IFERROR(VLOOKUP(D864,'Monthly Deduction'!$E$3:$F$957,2,0),0)</f>
        <v>0</v>
      </c>
      <c r="C864" s="17">
        <f t="shared" si="301"/>
        <v>75000</v>
      </c>
      <c r="D864" s="41">
        <v>10610017</v>
      </c>
      <c r="E864" s="122" t="str">
        <f>VLOOKUP(D864,'MPG Payment '!$E$3:$G$498218,2,0)</f>
        <v>GOMUKH Bheraukhara</v>
      </c>
      <c r="F864" s="146">
        <f>IFERROR(_xlfn.XLOOKUP(D864,'Monthly Deduction'!$I$3:$I$957,'Monthly Deduction'!$H$3:$H$957),0)</f>
        <v>0</v>
      </c>
      <c r="G864" s="123" t="str">
        <f>VLOOKUP(D864,'MPG Payment '!$E$3:$G$334579,3,0)</f>
        <v>MPG</v>
      </c>
      <c r="H864" s="124" t="str">
        <f>VLOOKUP(D864,'MPG Payment '!$E$3:$H$334579,4,0)</f>
        <v>Direct</v>
      </c>
      <c r="I864" s="88">
        <f>INDEX('MPG Payment '!$C:$C,MATCH('Shayak Income '!D864,'MPG Payment '!E:E,0))</f>
        <v>1061</v>
      </c>
      <c r="J864" s="88" t="str">
        <f>INDEX('MPG Payment '!$D:$D,MATCH('Shayak Income '!D864,'MPG Payment '!E:E,0))</f>
        <v>Mahua BMC</v>
      </c>
      <c r="K864" s="125" t="s">
        <v>1323</v>
      </c>
      <c r="L864" s="125">
        <v>46097</v>
      </c>
      <c r="M864" s="126">
        <f>SUMIF('MPG Payment '!$E$3:$E$34579,'Shayak Income '!D864,'MPG Payment '!$I$3:$I$34579)</f>
        <v>810.19999999999993</v>
      </c>
      <c r="N864" s="126">
        <f>SUMIF('MPG Payment '!$E$3:$E$34579,'Shayak Income '!D864,'MPG Payment '!$J$3:$J$34579)</f>
        <v>32818.884989066995</v>
      </c>
      <c r="O864" s="126">
        <f t="shared" si="302"/>
        <v>607.65</v>
      </c>
      <c r="P864" s="126">
        <f t="shared" si="303"/>
        <v>769.68999999999994</v>
      </c>
      <c r="Q864" s="126">
        <f>SUMIF('MPG Payment '!$E$3:$E$34579,'Shayak Income '!D864,'MPG Payment '!$S$3:$S$34579)</f>
        <v>0</v>
      </c>
      <c r="R864" s="126">
        <f t="shared" si="304"/>
        <v>984.56654967200984</v>
      </c>
      <c r="S864" s="126">
        <f t="shared" si="305"/>
        <v>214.8765496720099</v>
      </c>
      <c r="T864" s="126">
        <f t="shared" si="295"/>
        <v>81.02</v>
      </c>
      <c r="U864" s="127">
        <f>(((IF(K864="New",0,SUMIF('MPG Payment '!$E$3:$E$34579,'Shayak Income '!D864,'MPG Payment '!$AC$3:$AC$34579))))+0)+0</f>
        <v>0</v>
      </c>
      <c r="V864" s="127">
        <f t="shared" si="296"/>
        <v>1296</v>
      </c>
      <c r="W864" s="19">
        <v>0</v>
      </c>
      <c r="X864" s="19">
        <v>0</v>
      </c>
      <c r="Y864" s="128">
        <f>IFERROR(VLOOKUP(D864,'Monthly Deduction'!$M$2:$N$64,2,0),0)</f>
        <v>0</v>
      </c>
      <c r="Z864" s="128">
        <v>0</v>
      </c>
      <c r="AA864" s="126">
        <f>IFERROR(VLOOKUP(D864,'Monthly Deduction'!A:B,2,0),0)</f>
        <v>0</v>
      </c>
      <c r="AB864" s="129">
        <f t="shared" si="306"/>
        <v>1296</v>
      </c>
      <c r="AC864" s="130">
        <v>0</v>
      </c>
      <c r="AD864" s="35">
        <f t="shared" si="307"/>
        <v>1296</v>
      </c>
      <c r="AE864" s="166" t="str">
        <f t="shared" si="308"/>
        <v>Release</v>
      </c>
      <c r="AF864" s="127"/>
      <c r="AG864" s="18">
        <v>0</v>
      </c>
      <c r="AH864" s="120" t="s">
        <v>1650</v>
      </c>
      <c r="AI864" s="238">
        <v>10000</v>
      </c>
      <c r="AJ864" s="132" t="s">
        <v>68</v>
      </c>
      <c r="AK864" s="151">
        <v>139.89999999999998</v>
      </c>
      <c r="AL864" s="154">
        <f t="shared" si="309"/>
        <v>0</v>
      </c>
      <c r="AM864" s="155"/>
      <c r="AN864" s="19">
        <f t="shared" si="292"/>
        <v>1861</v>
      </c>
      <c r="AO864" s="118">
        <f>SUMIF('MPG Payment '!E:E,'Shayak Income '!D864,'MPG Payment '!AJ:AJ)</f>
        <v>0</v>
      </c>
      <c r="AP864" s="19">
        <f t="shared" si="293"/>
        <v>0</v>
      </c>
      <c r="AQ864" s="119">
        <f t="shared" si="310"/>
        <v>0</v>
      </c>
      <c r="AR864" s="91" t="s">
        <v>1168</v>
      </c>
      <c r="AS864" s="91">
        <f t="shared" si="294"/>
        <v>0</v>
      </c>
      <c r="AT864" s="118"/>
      <c r="AU864" s="118"/>
      <c r="AV864" s="118"/>
    </row>
    <row r="865" spans="1:48" s="20" customFormat="1" x14ac:dyDescent="0.25">
      <c r="A865" s="17">
        <f>IFERROR(VLOOKUP(D865,'Monthly Deduction'!$I$3:$J$957,2,0),0)</f>
        <v>75000</v>
      </c>
      <c r="B865" s="17">
        <f>IFERROR(VLOOKUP(D865,'Monthly Deduction'!$E$3:$F$957,2,0),0)</f>
        <v>0</v>
      </c>
      <c r="C865" s="17">
        <f t="shared" si="301"/>
        <v>75000</v>
      </c>
      <c r="D865" s="41">
        <v>10610018</v>
      </c>
      <c r="E865" s="122" t="str">
        <f>VLOOKUP(D865,'MPG Payment '!$E$3:$G$498218,2,0)</f>
        <v>GOMUKH SUPOLTARIYA</v>
      </c>
      <c r="F865" s="146">
        <f>IFERROR(_xlfn.XLOOKUP(D865,'Monthly Deduction'!$I$3:$I$957,'Monthly Deduction'!$H$3:$H$957),0)</f>
        <v>0</v>
      </c>
      <c r="G865" s="123" t="str">
        <f>VLOOKUP(D865,'MPG Payment '!$E$3:$G$334579,3,0)</f>
        <v>MPG</v>
      </c>
      <c r="H865" s="124" t="str">
        <f>VLOOKUP(D865,'MPG Payment '!$E$3:$H$334579,4,0)</f>
        <v>Direct</v>
      </c>
      <c r="I865" s="88">
        <f>INDEX('MPG Payment '!$C:$C,MATCH('Shayak Income '!D865,'MPG Payment '!E:E,0))</f>
        <v>1061</v>
      </c>
      <c r="J865" s="88" t="str">
        <f>INDEX('MPG Payment '!$D:$D,MATCH('Shayak Income '!D865,'MPG Payment '!E:E,0))</f>
        <v>Mahua BMC</v>
      </c>
      <c r="K865" s="125" t="s">
        <v>1323</v>
      </c>
      <c r="L865" s="125">
        <v>46097</v>
      </c>
      <c r="M865" s="126">
        <f>SUMIF('MPG Payment '!$E$3:$E$34579,'Shayak Income '!D865,'MPG Payment '!$I$3:$I$34579)</f>
        <v>1931.5</v>
      </c>
      <c r="N865" s="126">
        <f>SUMIF('MPG Payment '!$E$3:$E$34579,'Shayak Income '!D865,'MPG Payment '!$J$3:$J$34579)</f>
        <v>85431.683812514006</v>
      </c>
      <c r="O865" s="126">
        <f t="shared" si="302"/>
        <v>1448.625</v>
      </c>
      <c r="P865" s="126">
        <f t="shared" si="303"/>
        <v>1834.925</v>
      </c>
      <c r="Q865" s="126">
        <f>SUMIF('MPG Payment '!$E$3:$E$34579,'Shayak Income '!D865,'MPG Payment '!$S$3:$S$34579)</f>
        <v>0</v>
      </c>
      <c r="R865" s="126">
        <f t="shared" si="304"/>
        <v>2562.95051437542</v>
      </c>
      <c r="S865" s="126">
        <f t="shared" si="305"/>
        <v>728.02551437542002</v>
      </c>
      <c r="T865" s="126">
        <f t="shared" si="295"/>
        <v>193.15</v>
      </c>
      <c r="U865" s="127">
        <f>(((IF(K865="New",0,SUMIF('MPG Payment '!$E$3:$E$34579,'Shayak Income '!D865,'MPG Payment '!$AC$3:$AC$34579))))+0)+0</f>
        <v>0</v>
      </c>
      <c r="V865" s="127">
        <f t="shared" si="296"/>
        <v>3090</v>
      </c>
      <c r="W865" s="19">
        <v>0</v>
      </c>
      <c r="X865" s="19">
        <v>0</v>
      </c>
      <c r="Y865" s="128">
        <f>IFERROR(VLOOKUP(D865,'Monthly Deduction'!$M$2:$N$64,2,0),0)</f>
        <v>0</v>
      </c>
      <c r="Z865" s="128">
        <v>0</v>
      </c>
      <c r="AA865" s="126">
        <f>IFERROR(VLOOKUP(D865,'Monthly Deduction'!A:B,2,0),0)</f>
        <v>0</v>
      </c>
      <c r="AB865" s="129">
        <f t="shared" si="306"/>
        <v>3090</v>
      </c>
      <c r="AC865" s="130">
        <v>0</v>
      </c>
      <c r="AD865" s="35">
        <f t="shared" si="307"/>
        <v>3090</v>
      </c>
      <c r="AE865" s="166" t="str">
        <f t="shared" si="308"/>
        <v>Release</v>
      </c>
      <c r="AF865" s="127"/>
      <c r="AG865" s="18">
        <v>0</v>
      </c>
      <c r="AH865" s="120" t="s">
        <v>1650</v>
      </c>
      <c r="AI865" s="238">
        <v>10000</v>
      </c>
      <c r="AJ865" s="132" t="s">
        <v>68</v>
      </c>
      <c r="AK865" s="151">
        <v>352.9</v>
      </c>
      <c r="AL865" s="154">
        <f t="shared" si="309"/>
        <v>0</v>
      </c>
      <c r="AM865" s="155"/>
      <c r="AN865" s="19">
        <f t="shared" si="292"/>
        <v>1861</v>
      </c>
      <c r="AO865" s="118">
        <f>SUMIF('MPG Payment '!E:E,'Shayak Income '!D865,'MPG Payment '!AJ:AJ)</f>
        <v>0</v>
      </c>
      <c r="AP865" s="19">
        <f t="shared" si="293"/>
        <v>0</v>
      </c>
      <c r="AQ865" s="119">
        <f t="shared" si="310"/>
        <v>0</v>
      </c>
      <c r="AR865" s="91" t="s">
        <v>1168</v>
      </c>
      <c r="AS865" s="91">
        <f t="shared" si="294"/>
        <v>0</v>
      </c>
      <c r="AT865" s="118"/>
      <c r="AU865" s="118"/>
      <c r="AV865" s="118"/>
    </row>
    <row r="866" spans="1:48" s="20" customFormat="1" x14ac:dyDescent="0.25">
      <c r="A866" s="17">
        <f>IFERROR(VLOOKUP(D866,'Monthly Deduction'!$I$3:$J$957,2,0),0)</f>
        <v>65000</v>
      </c>
      <c r="B866" s="17">
        <f>IFERROR(VLOOKUP(D866,'Monthly Deduction'!$E$3:$F$957,2,0),0)</f>
        <v>0</v>
      </c>
      <c r="C866" s="17">
        <f t="shared" si="301"/>
        <v>65000</v>
      </c>
      <c r="D866" s="41">
        <v>10610020</v>
      </c>
      <c r="E866" s="122" t="str">
        <f>VLOOKUP(D866,'MPG Payment '!$E$3:$G$498218,2,0)</f>
        <v>GOMUKH Jilwara</v>
      </c>
      <c r="F866" s="146">
        <f>IFERROR(_xlfn.XLOOKUP(D866,'Monthly Deduction'!$I$3:$I$957,'Monthly Deduction'!$H$3:$H$957),0)</f>
        <v>0</v>
      </c>
      <c r="G866" s="123" t="str">
        <f>VLOOKUP(D866,'MPG Payment '!$E$3:$G$334579,3,0)</f>
        <v>MPG</v>
      </c>
      <c r="H866" s="124" t="str">
        <f>VLOOKUP(D866,'MPG Payment '!$E$3:$H$334579,4,0)</f>
        <v>Direct</v>
      </c>
      <c r="I866" s="88">
        <f>INDEX('MPG Payment '!$C:$C,MATCH('Shayak Income '!D866,'MPG Payment '!E:E,0))</f>
        <v>1061</v>
      </c>
      <c r="J866" s="88" t="str">
        <f>INDEX('MPG Payment '!$D:$D,MATCH('Shayak Income '!D866,'MPG Payment '!E:E,0))</f>
        <v>Mahua BMC</v>
      </c>
      <c r="K866" s="125" t="s">
        <v>1323</v>
      </c>
      <c r="L866" s="125">
        <v>46097</v>
      </c>
      <c r="M866" s="126">
        <f>SUMIF('MPG Payment '!$E$3:$E$34579,'Shayak Income '!D866,'MPG Payment '!$I$3:$I$34579)</f>
        <v>1607.4999999999998</v>
      </c>
      <c r="N866" s="126">
        <f>SUMIF('MPG Payment '!$E$3:$E$34579,'Shayak Income '!D866,'MPG Payment '!$J$3:$J$34579)</f>
        <v>65022.825328003004</v>
      </c>
      <c r="O866" s="126">
        <f t="shared" si="302"/>
        <v>1205.6249999999998</v>
      </c>
      <c r="P866" s="126">
        <f t="shared" si="303"/>
        <v>1527.1249999999998</v>
      </c>
      <c r="Q866" s="126">
        <f>SUMIF('MPG Payment '!$E$3:$E$34579,'Shayak Income '!D866,'MPG Payment '!$S$3:$S$34579)</f>
        <v>0</v>
      </c>
      <c r="R866" s="126">
        <f t="shared" si="304"/>
        <v>1950.68475984009</v>
      </c>
      <c r="S866" s="126">
        <f t="shared" si="305"/>
        <v>423.55975984009024</v>
      </c>
      <c r="T866" s="126">
        <f t="shared" si="295"/>
        <v>160.75</v>
      </c>
      <c r="U866" s="127">
        <f>(((IF(K866="New",0,SUMIF('MPG Payment '!$E$3:$E$34579,'Shayak Income '!D866,'MPG Payment '!$AC$3:$AC$34579))))+0)+0</f>
        <v>0</v>
      </c>
      <c r="V866" s="127">
        <f t="shared" si="296"/>
        <v>2572</v>
      </c>
      <c r="W866" s="19">
        <v>0</v>
      </c>
      <c r="X866" s="19">
        <v>0</v>
      </c>
      <c r="Y866" s="128">
        <f>IFERROR(VLOOKUP(D866,'Monthly Deduction'!$M$2:$N$64,2,0),0)</f>
        <v>0</v>
      </c>
      <c r="Z866" s="128">
        <v>0</v>
      </c>
      <c r="AA866" s="126">
        <f>IFERROR(VLOOKUP(D866,'Monthly Deduction'!A:B,2,0),0)</f>
        <v>0</v>
      </c>
      <c r="AB866" s="129">
        <f t="shared" si="306"/>
        <v>2572</v>
      </c>
      <c r="AC866" s="130">
        <v>0</v>
      </c>
      <c r="AD866" s="35">
        <f t="shared" si="307"/>
        <v>2572</v>
      </c>
      <c r="AE866" s="166" t="str">
        <f t="shared" si="308"/>
        <v>Release</v>
      </c>
      <c r="AF866" s="127"/>
      <c r="AG866" s="18">
        <v>0</v>
      </c>
      <c r="AH866" s="120" t="s">
        <v>1653</v>
      </c>
      <c r="AI866" s="238">
        <v>0</v>
      </c>
      <c r="AJ866" s="132" t="s">
        <v>68</v>
      </c>
      <c r="AK866" s="151">
        <v>395.10000000000008</v>
      </c>
      <c r="AL866" s="154">
        <f t="shared" si="309"/>
        <v>0</v>
      </c>
      <c r="AM866" s="155"/>
      <c r="AN866" s="19">
        <f t="shared" si="292"/>
        <v>1861</v>
      </c>
      <c r="AO866" s="118">
        <f>SUMIF('MPG Payment '!E:E,'Shayak Income '!D866,'MPG Payment '!AJ:AJ)</f>
        <v>0</v>
      </c>
      <c r="AP866" s="19">
        <f t="shared" si="293"/>
        <v>0</v>
      </c>
      <c r="AQ866" s="119">
        <f t="shared" si="310"/>
        <v>0</v>
      </c>
      <c r="AR866" s="91" t="s">
        <v>1168</v>
      </c>
      <c r="AS866" s="91">
        <f t="shared" si="294"/>
        <v>0</v>
      </c>
      <c r="AT866" s="118"/>
      <c r="AU866" s="118"/>
      <c r="AV866" s="118"/>
    </row>
    <row r="867" spans="1:48" s="20" customFormat="1" x14ac:dyDescent="0.25">
      <c r="A867" s="17">
        <f>IFERROR(VLOOKUP(D867,'Monthly Deduction'!$I$3:$J$957,2,0),0)</f>
        <v>85000</v>
      </c>
      <c r="B867" s="17">
        <f>IFERROR(VLOOKUP(D867,'Monthly Deduction'!$E$3:$F$957,2,0),0)</f>
        <v>0</v>
      </c>
      <c r="C867" s="17">
        <f t="shared" si="301"/>
        <v>85000</v>
      </c>
      <c r="D867" s="41">
        <v>10610022</v>
      </c>
      <c r="E867" s="122" t="str">
        <f>VLOOKUP(D867,'MPG Payment '!$E$3:$G$498218,2,0)</f>
        <v>GOMUKH ABBUCHAK</v>
      </c>
      <c r="F867" s="146">
        <f>IFERROR(_xlfn.XLOOKUP(D867,'Monthly Deduction'!$I$3:$I$957,'Monthly Deduction'!$H$3:$H$957),0)</f>
        <v>0</v>
      </c>
      <c r="G867" s="123" t="str">
        <f>VLOOKUP(D867,'MPG Payment '!$E$3:$G$334579,3,0)</f>
        <v>MPG</v>
      </c>
      <c r="H867" s="124" t="str">
        <f>VLOOKUP(D867,'MPG Payment '!$E$3:$H$334579,4,0)</f>
        <v>Direct</v>
      </c>
      <c r="I867" s="88">
        <f>INDEX('MPG Payment '!$C:$C,MATCH('Shayak Income '!D867,'MPG Payment '!E:E,0))</f>
        <v>1061</v>
      </c>
      <c r="J867" s="88" t="str">
        <f>INDEX('MPG Payment '!$D:$D,MATCH('Shayak Income '!D867,'MPG Payment '!E:E,0))</f>
        <v>Mahua BMC</v>
      </c>
      <c r="K867" s="125" t="s">
        <v>1323</v>
      </c>
      <c r="L867" s="125">
        <v>46097</v>
      </c>
      <c r="M867" s="126">
        <f>SUMIF('MPG Payment '!$E$3:$E$34579,'Shayak Income '!D867,'MPG Payment '!$I$3:$I$34579)</f>
        <v>924.90000000000009</v>
      </c>
      <c r="N867" s="126">
        <f>SUMIF('MPG Payment '!$E$3:$E$34579,'Shayak Income '!D867,'MPG Payment '!$J$3:$J$34579)</f>
        <v>39161.727273500699</v>
      </c>
      <c r="O867" s="126">
        <f t="shared" si="302"/>
        <v>693.67500000000007</v>
      </c>
      <c r="P867" s="126">
        <f t="shared" si="303"/>
        <v>878.65500000000009</v>
      </c>
      <c r="Q867" s="126">
        <f>SUMIF('MPG Payment '!$E$3:$E$34579,'Shayak Income '!D867,'MPG Payment '!$S$3:$S$34579)</f>
        <v>0</v>
      </c>
      <c r="R867" s="126">
        <f t="shared" si="304"/>
        <v>1174.8518182050209</v>
      </c>
      <c r="S867" s="126">
        <f t="shared" si="305"/>
        <v>296.1968182050208</v>
      </c>
      <c r="T867" s="126">
        <f t="shared" si="295"/>
        <v>92.490000000000009</v>
      </c>
      <c r="U867" s="127">
        <f>(((IF(K867="New",0,SUMIF('MPG Payment '!$E$3:$E$34579,'Shayak Income '!D867,'MPG Payment '!$AC$3:$AC$34579))))+0)+0</f>
        <v>0</v>
      </c>
      <c r="V867" s="127">
        <f t="shared" si="296"/>
        <v>1480</v>
      </c>
      <c r="W867" s="19">
        <v>0</v>
      </c>
      <c r="X867" s="19">
        <v>0</v>
      </c>
      <c r="Y867" s="128">
        <f>IFERROR(VLOOKUP(D867,'Monthly Deduction'!$M$2:$N$64,2,0),0)</f>
        <v>0</v>
      </c>
      <c r="Z867" s="128">
        <v>0</v>
      </c>
      <c r="AA867" s="126">
        <f>IFERROR(VLOOKUP(D867,'Monthly Deduction'!A:B,2,0),0)</f>
        <v>0</v>
      </c>
      <c r="AB867" s="129">
        <f t="shared" si="306"/>
        <v>1480</v>
      </c>
      <c r="AC867" s="130">
        <v>0</v>
      </c>
      <c r="AD867" s="35">
        <f t="shared" si="307"/>
        <v>1480</v>
      </c>
      <c r="AE867" s="166" t="str">
        <f t="shared" si="308"/>
        <v>Release</v>
      </c>
      <c r="AF867" s="127"/>
      <c r="AG867" s="18">
        <v>0</v>
      </c>
      <c r="AH867" s="120" t="s">
        <v>1650</v>
      </c>
      <c r="AI867" s="238">
        <v>20000</v>
      </c>
      <c r="AJ867" s="132" t="s">
        <v>68</v>
      </c>
      <c r="AK867" s="151">
        <v>231.6</v>
      </c>
      <c r="AL867" s="154">
        <f t="shared" si="309"/>
        <v>0</v>
      </c>
      <c r="AM867" s="155"/>
      <c r="AN867" s="19">
        <f t="shared" si="292"/>
        <v>1861</v>
      </c>
      <c r="AO867" s="118">
        <f>SUMIF('MPG Payment '!E:E,'Shayak Income '!D867,'MPG Payment '!AJ:AJ)</f>
        <v>0</v>
      </c>
      <c r="AP867" s="19">
        <f t="shared" si="293"/>
        <v>0</v>
      </c>
      <c r="AQ867" s="119">
        <f t="shared" si="310"/>
        <v>0</v>
      </c>
      <c r="AR867" s="91" t="s">
        <v>1168</v>
      </c>
      <c r="AS867" s="91">
        <f t="shared" si="294"/>
        <v>0</v>
      </c>
      <c r="AT867" s="118"/>
      <c r="AU867" s="118"/>
      <c r="AV867" s="118"/>
    </row>
    <row r="868" spans="1:48" s="20" customFormat="1" x14ac:dyDescent="0.25">
      <c r="A868" s="17">
        <f>IFERROR(VLOOKUP(D868,'Monthly Deduction'!$I$3:$J$957,2,0),0)</f>
        <v>0</v>
      </c>
      <c r="B868" s="17">
        <f>IFERROR(VLOOKUP(D868,'Monthly Deduction'!$E$3:$F$957,2,0),0)</f>
        <v>0</v>
      </c>
      <c r="C868" s="17">
        <f t="shared" si="301"/>
        <v>0</v>
      </c>
      <c r="D868" s="41">
        <v>10610025</v>
      </c>
      <c r="E868" s="122" t="str">
        <f>VLOOKUP(D868,'MPG Payment '!$E$3:$G$498218,2,0)</f>
        <v>Gomukh Dumari</v>
      </c>
      <c r="F868" s="146">
        <f>IFERROR(_xlfn.XLOOKUP(D868,'Monthly Deduction'!$I$3:$I$957,'Monthly Deduction'!$H$3:$H$957),0)</f>
        <v>0</v>
      </c>
      <c r="G868" s="123" t="str">
        <f>VLOOKUP(D868,'MPG Payment '!$E$3:$G$334579,3,0)</f>
        <v>vlc</v>
      </c>
      <c r="H868" s="124" t="str">
        <f>VLOOKUP(D868,'MPG Payment '!$E$3:$H$334579,4,0)</f>
        <v>Indirect</v>
      </c>
      <c r="I868" s="88">
        <f>INDEX('MPG Payment '!$C:$C,MATCH('Shayak Income '!D868,'MPG Payment '!E:E,0))</f>
        <v>1061</v>
      </c>
      <c r="J868" s="88" t="str">
        <f>INDEX('MPG Payment '!$D:$D,MATCH('Shayak Income '!D868,'MPG Payment '!E:E,0))</f>
        <v>Mahua BMC</v>
      </c>
      <c r="K868" s="125" t="s">
        <v>1323</v>
      </c>
      <c r="L868" s="125">
        <v>46097</v>
      </c>
      <c r="M868" s="126">
        <f>SUMIF('MPG Payment '!$E$3:$E$34579,'Shayak Income '!D868,'MPG Payment '!$I$3:$I$34579)</f>
        <v>153.20000000000002</v>
      </c>
      <c r="N868" s="126">
        <f>SUMIF('MPG Payment '!$E$3:$E$34579,'Shayak Income '!D868,'MPG Payment '!$J$3:$J$34579)</f>
        <v>5588.22</v>
      </c>
      <c r="O868" s="126">
        <f t="shared" si="302"/>
        <v>114.9</v>
      </c>
      <c r="P868" s="126">
        <f t="shared" si="303"/>
        <v>145.54000000000002</v>
      </c>
      <c r="Q868" s="126">
        <f>SUMIF('MPG Payment '!$E$3:$E$34579,'Shayak Income '!D868,'MPG Payment '!$S$3:$S$34579)</f>
        <v>0</v>
      </c>
      <c r="R868" s="126">
        <f t="shared" si="304"/>
        <v>167.64660000000001</v>
      </c>
      <c r="S868" s="126">
        <f t="shared" si="305"/>
        <v>22.106599999999986</v>
      </c>
      <c r="T868" s="126">
        <f t="shared" si="295"/>
        <v>15.320000000000002</v>
      </c>
      <c r="U868" s="127">
        <f>(((IF(K868="New",0,SUMIF('MPG Payment '!$E$3:$E$34579,'Shayak Income '!D868,'MPG Payment '!$AC$3:$AC$34579))))+0)+0</f>
        <v>0</v>
      </c>
      <c r="V868" s="127">
        <f t="shared" si="296"/>
        <v>245</v>
      </c>
      <c r="W868" s="19">
        <v>0</v>
      </c>
      <c r="X868" s="19">
        <v>0</v>
      </c>
      <c r="Y868" s="128">
        <f>IFERROR(VLOOKUP(D868,'Monthly Deduction'!$M$2:$N$64,2,0),0)</f>
        <v>0</v>
      </c>
      <c r="Z868" s="128">
        <v>0</v>
      </c>
      <c r="AA868" s="126">
        <f>IFERROR(VLOOKUP(D868,'Monthly Deduction'!A:B,2,0),0)</f>
        <v>0</v>
      </c>
      <c r="AB868" s="129">
        <f t="shared" si="306"/>
        <v>245</v>
      </c>
      <c r="AC868" s="130">
        <v>0</v>
      </c>
      <c r="AD868" s="35">
        <f t="shared" si="307"/>
        <v>245</v>
      </c>
      <c r="AE868" s="166" t="str">
        <f t="shared" si="308"/>
        <v>Release</v>
      </c>
      <c r="AF868" s="127"/>
      <c r="AG868" s="18">
        <v>0</v>
      </c>
      <c r="AH868" s="132" t="s">
        <v>1648</v>
      </c>
      <c r="AI868" s="238">
        <v>0</v>
      </c>
      <c r="AJ868" s="132" t="s">
        <v>68</v>
      </c>
      <c r="AK868" s="151">
        <v>0</v>
      </c>
      <c r="AL868" s="154">
        <f t="shared" si="309"/>
        <v>0</v>
      </c>
      <c r="AM868" s="155"/>
      <c r="AN868" s="19">
        <f t="shared" si="292"/>
        <v>0</v>
      </c>
      <c r="AO868" s="118">
        <f>SUMIF('MPG Payment '!E:E,'Shayak Income '!D868,'MPG Payment '!AJ:AJ)</f>
        <v>0</v>
      </c>
      <c r="AP868" s="19">
        <f t="shared" si="293"/>
        <v>0</v>
      </c>
      <c r="AQ868" s="119">
        <f t="shared" si="310"/>
        <v>0</v>
      </c>
      <c r="AR868" s="91" t="s">
        <v>1168</v>
      </c>
      <c r="AS868" s="91">
        <f t="shared" si="294"/>
        <v>0</v>
      </c>
      <c r="AT868" s="118"/>
      <c r="AU868" s="118"/>
      <c r="AV868" s="118"/>
    </row>
    <row r="869" spans="1:48" s="20" customFormat="1" x14ac:dyDescent="0.25">
      <c r="A869" s="17">
        <f>IFERROR(VLOOKUP(D869,'Monthly Deduction'!$I$3:$J$957,2,0),0)</f>
        <v>0</v>
      </c>
      <c r="B869" s="17">
        <f>IFERROR(VLOOKUP(D869,'Monthly Deduction'!$E$3:$F$957,2,0),0)</f>
        <v>0</v>
      </c>
      <c r="C869" s="17">
        <f t="shared" si="301"/>
        <v>0</v>
      </c>
      <c r="D869" s="41">
        <v>10630016</v>
      </c>
      <c r="E869" s="122" t="str">
        <f>VLOOKUP(D869,'MPG Payment '!$E$3:$G$498218,2,0)</f>
        <v>Madhuban 2</v>
      </c>
      <c r="F869" s="146">
        <f>IFERROR(_xlfn.XLOOKUP(D869,'Monthly Deduction'!$I$3:$I$957,'Monthly Deduction'!$H$3:$H$957),0)</f>
        <v>0</v>
      </c>
      <c r="G869" s="123" t="str">
        <f>VLOOKUP(D869,'MPG Payment '!$E$3:$G$334579,3,0)</f>
        <v>vlc</v>
      </c>
      <c r="H869" s="124" t="str">
        <f>VLOOKUP(D869,'MPG Payment '!$E$3:$H$334579,4,0)</f>
        <v>Indirect</v>
      </c>
      <c r="I869" s="88">
        <f>INDEX('MPG Payment '!$C:$C,MATCH('Shayak Income '!D869,'MPG Payment '!E:E,0))</f>
        <v>1057</v>
      </c>
      <c r="J869" s="88" t="str">
        <f>INDEX('MPG Payment '!$D:$D,MATCH('Shayak Income '!D869,'MPG Payment '!E:E,0))</f>
        <v>Warisnagar</v>
      </c>
      <c r="K869" s="125" t="s">
        <v>1323</v>
      </c>
      <c r="L869" s="125">
        <v>46100</v>
      </c>
      <c r="M869" s="126">
        <f>SUMIF('MPG Payment '!$E$3:$E$34579,'Shayak Income '!D869,'MPG Payment '!$I$3:$I$34579)</f>
        <v>1596.5</v>
      </c>
      <c r="N869" s="126">
        <f>SUMIF('MPG Payment '!$E$3:$E$34579,'Shayak Income '!D869,'MPG Payment '!$J$3:$J$34579)</f>
        <v>55668.357350894003</v>
      </c>
      <c r="O869" s="126">
        <f t="shared" si="302"/>
        <v>1197.375</v>
      </c>
      <c r="P869" s="126">
        <f t="shared" si="303"/>
        <v>1516.675</v>
      </c>
      <c r="Q869" s="126">
        <f>SUMIF('MPG Payment '!$E$3:$E$34579,'Shayak Income '!D869,'MPG Payment '!$S$3:$S$34579)</f>
        <v>0</v>
      </c>
      <c r="R869" s="126">
        <f t="shared" si="304"/>
        <v>1670.05072052682</v>
      </c>
      <c r="S869" s="126">
        <f t="shared" si="305"/>
        <v>153.37572052682003</v>
      </c>
      <c r="T869" s="126">
        <f t="shared" si="295"/>
        <v>159.65</v>
      </c>
      <c r="U869" s="127">
        <f>(((IF(K869="New",0,SUMIF('MPG Payment '!$E$3:$E$34579,'Shayak Income '!D869,'MPG Payment '!$AC$3:$AC$34579))))+0)+0</f>
        <v>0</v>
      </c>
      <c r="V869" s="127">
        <f t="shared" si="296"/>
        <v>2554</v>
      </c>
      <c r="W869" s="19">
        <v>0</v>
      </c>
      <c r="X869" s="19">
        <v>0</v>
      </c>
      <c r="Y869" s="128">
        <f>IFERROR(VLOOKUP(D869,'Monthly Deduction'!$M$2:$N$64,2,0),0)</f>
        <v>0</v>
      </c>
      <c r="Z869" s="128">
        <v>0</v>
      </c>
      <c r="AA869" s="126">
        <f>IFERROR(VLOOKUP(D869,'Monthly Deduction'!A:B,2,0),0)</f>
        <v>0</v>
      </c>
      <c r="AB869" s="129">
        <f t="shared" si="306"/>
        <v>2554</v>
      </c>
      <c r="AC869" s="130">
        <v>0</v>
      </c>
      <c r="AD869" s="35">
        <f t="shared" si="307"/>
        <v>2554</v>
      </c>
      <c r="AE869" s="166" t="str">
        <f t="shared" si="308"/>
        <v>Release</v>
      </c>
      <c r="AF869" s="127"/>
      <c r="AG869" s="18">
        <v>0</v>
      </c>
      <c r="AH869" s="120"/>
      <c r="AI869" s="238">
        <v>0</v>
      </c>
      <c r="AJ869" s="132"/>
      <c r="AK869" s="151">
        <v>455.8</v>
      </c>
      <c r="AL869" s="154">
        <f t="shared" si="309"/>
        <v>0</v>
      </c>
      <c r="AM869" s="155"/>
      <c r="AN869" s="19">
        <f t="shared" si="292"/>
        <v>0</v>
      </c>
      <c r="AO869" s="118">
        <f>SUMIF('MPG Payment '!E:E,'Shayak Income '!D869,'MPG Payment '!AJ:AJ)</f>
        <v>0</v>
      </c>
      <c r="AP869" s="19">
        <f t="shared" si="293"/>
        <v>0</v>
      </c>
      <c r="AQ869" s="119">
        <f t="shared" si="310"/>
        <v>0</v>
      </c>
      <c r="AR869" s="91" t="s">
        <v>1168</v>
      </c>
      <c r="AS869" s="91">
        <f t="shared" si="294"/>
        <v>0</v>
      </c>
      <c r="AT869" s="118"/>
      <c r="AU869" s="118"/>
      <c r="AV869" s="118"/>
    </row>
    <row r="870" spans="1:48" s="20" customFormat="1" x14ac:dyDescent="0.25">
      <c r="A870" s="17">
        <f>IFERROR(VLOOKUP(D870,'Monthly Deduction'!$I$3:$J$957,2,0),0)</f>
        <v>0</v>
      </c>
      <c r="B870" s="17">
        <f>IFERROR(VLOOKUP(D870,'Monthly Deduction'!$E$3:$F$957,2,0),0)</f>
        <v>0</v>
      </c>
      <c r="C870" s="17">
        <f t="shared" si="301"/>
        <v>0</v>
      </c>
      <c r="D870" s="41">
        <v>10630017</v>
      </c>
      <c r="E870" s="122" t="str">
        <f>VLOOKUP(D870,'MPG Payment '!$E$3:$G$498218,2,0)</f>
        <v>Yadav Jee</v>
      </c>
      <c r="F870" s="146">
        <f>IFERROR(_xlfn.XLOOKUP(D870,'Monthly Deduction'!$I$3:$I$957,'Monthly Deduction'!$H$3:$H$957),0)</f>
        <v>0</v>
      </c>
      <c r="G870" s="123" t="str">
        <f>VLOOKUP(D870,'MPG Payment '!$E$3:$G$334579,3,0)</f>
        <v>vlc</v>
      </c>
      <c r="H870" s="124" t="str">
        <f>VLOOKUP(D870,'MPG Payment '!$E$3:$H$334579,4,0)</f>
        <v>Indirect</v>
      </c>
      <c r="I870" s="88">
        <f>INDEX('MPG Payment '!$C:$C,MATCH('Shayak Income '!D870,'MPG Payment '!E:E,0))</f>
        <v>1057</v>
      </c>
      <c r="J870" s="88" t="str">
        <f>INDEX('MPG Payment '!$D:$D,MATCH('Shayak Income '!D870,'MPG Payment '!E:E,0))</f>
        <v>Warisnagar</v>
      </c>
      <c r="K870" s="125" t="s">
        <v>1323</v>
      </c>
      <c r="L870" s="125">
        <v>46100</v>
      </c>
      <c r="M870" s="126">
        <f>SUMIF('MPG Payment '!$E$3:$E$34579,'Shayak Income '!D870,'MPG Payment '!$I$3:$I$34579)</f>
        <v>62.9</v>
      </c>
      <c r="N870" s="126">
        <f>SUMIF('MPG Payment '!$E$3:$E$34579,'Shayak Income '!D870,'MPG Payment '!$J$3:$J$34579)</f>
        <v>2070.4700000000003</v>
      </c>
      <c r="O870" s="126">
        <f t="shared" si="302"/>
        <v>47.174999999999997</v>
      </c>
      <c r="P870" s="126">
        <f t="shared" si="303"/>
        <v>59.754999999999995</v>
      </c>
      <c r="Q870" s="126">
        <f>SUMIF('MPG Payment '!$E$3:$E$34579,'Shayak Income '!D870,'MPG Payment '!$S$3:$S$34579)</f>
        <v>0</v>
      </c>
      <c r="R870" s="126">
        <f t="shared" si="304"/>
        <v>62.114100000000008</v>
      </c>
      <c r="S870" s="126">
        <f t="shared" si="305"/>
        <v>2.3591000000000122</v>
      </c>
      <c r="T870" s="126">
        <f t="shared" si="295"/>
        <v>6.29</v>
      </c>
      <c r="U870" s="127">
        <f>(((IF(K870="New",0,SUMIF('MPG Payment '!$E$3:$E$34579,'Shayak Income '!D870,'MPG Payment '!$AC$3:$AC$34579))))+0)+0</f>
        <v>0</v>
      </c>
      <c r="V870" s="127">
        <f t="shared" si="296"/>
        <v>101</v>
      </c>
      <c r="W870" s="19">
        <v>0</v>
      </c>
      <c r="X870" s="19">
        <v>0</v>
      </c>
      <c r="Y870" s="128">
        <f>IFERROR(VLOOKUP(D870,'Monthly Deduction'!$M$2:$N$64,2,0),0)</f>
        <v>0</v>
      </c>
      <c r="Z870" s="128">
        <v>0</v>
      </c>
      <c r="AA870" s="126">
        <f>IFERROR(VLOOKUP(D870,'Monthly Deduction'!A:B,2,0),0)</f>
        <v>0</v>
      </c>
      <c r="AB870" s="129">
        <f t="shared" si="306"/>
        <v>101</v>
      </c>
      <c r="AC870" s="130">
        <f>AB870</f>
        <v>101</v>
      </c>
      <c r="AD870" s="35">
        <f t="shared" si="307"/>
        <v>0</v>
      </c>
      <c r="AE870" s="166" t="str">
        <f t="shared" si="308"/>
        <v>Yes</v>
      </c>
      <c r="AF870" s="127"/>
      <c r="AG870" s="18">
        <v>0</v>
      </c>
      <c r="AH870" s="132" t="s">
        <v>1648</v>
      </c>
      <c r="AI870" s="238">
        <v>0</v>
      </c>
      <c r="AJ870" s="132"/>
      <c r="AK870" s="151">
        <v>0</v>
      </c>
      <c r="AL870" s="154">
        <f t="shared" si="309"/>
        <v>0</v>
      </c>
      <c r="AM870" s="155"/>
      <c r="AN870" s="19">
        <f t="shared" si="292"/>
        <v>0</v>
      </c>
      <c r="AO870" s="118">
        <f>SUMIF('MPG Payment '!E:E,'Shayak Income '!D870,'MPG Payment '!AJ:AJ)</f>
        <v>0</v>
      </c>
      <c r="AP870" s="19">
        <f t="shared" si="293"/>
        <v>0</v>
      </c>
      <c r="AQ870" s="119">
        <f t="shared" si="310"/>
        <v>0</v>
      </c>
      <c r="AR870" s="91" t="s">
        <v>1168</v>
      </c>
      <c r="AS870" s="91">
        <f t="shared" si="294"/>
        <v>0</v>
      </c>
      <c r="AT870" s="118"/>
      <c r="AU870" s="118"/>
      <c r="AV870" s="118"/>
    </row>
    <row r="871" spans="1:48" s="20" customFormat="1" x14ac:dyDescent="0.25">
      <c r="A871" s="17">
        <f>IFERROR(VLOOKUP(D871,'Monthly Deduction'!$I$3:$J$957,2,0),0)</f>
        <v>0</v>
      </c>
      <c r="B871" s="17">
        <f>IFERROR(VLOOKUP(D871,'Monthly Deduction'!$E$3:$F$957,2,0),0)</f>
        <v>0</v>
      </c>
      <c r="C871" s="17">
        <f t="shared" si="301"/>
        <v>0</v>
      </c>
      <c r="D871" s="41">
        <v>10630019</v>
      </c>
      <c r="E871" s="122" t="str">
        <f>VLOOKUP(D871,'MPG Payment '!$E$3:$G$498218,2,0)</f>
        <v xml:space="preserve">Durgaashtan </v>
      </c>
      <c r="F871" s="146">
        <f>IFERROR(_xlfn.XLOOKUP(D871,'Monthly Deduction'!$I$3:$I$957,'Monthly Deduction'!$H$3:$H$957),0)</f>
        <v>0</v>
      </c>
      <c r="G871" s="123" t="str">
        <f>VLOOKUP(D871,'MPG Payment '!$E$3:$G$334579,3,0)</f>
        <v>vlc</v>
      </c>
      <c r="H871" s="124" t="str">
        <f>VLOOKUP(D871,'MPG Payment '!$E$3:$H$334579,4,0)</f>
        <v>Indirect</v>
      </c>
      <c r="I871" s="88">
        <f>INDEX('MPG Payment '!$C:$C,MATCH('Shayak Income '!D871,'MPG Payment '!E:E,0))</f>
        <v>1057</v>
      </c>
      <c r="J871" s="88" t="str">
        <f>INDEX('MPG Payment '!$D:$D,MATCH('Shayak Income '!D871,'MPG Payment '!E:E,0))</f>
        <v>Warisnagar</v>
      </c>
      <c r="K871" s="125" t="s">
        <v>1323</v>
      </c>
      <c r="L871" s="125">
        <v>46099</v>
      </c>
      <c r="M871" s="126">
        <f>SUMIF('MPG Payment '!$E$3:$E$34579,'Shayak Income '!D871,'MPG Payment '!$I$3:$I$34579)</f>
        <v>1633.3</v>
      </c>
      <c r="N871" s="126">
        <f>SUMIF('MPG Payment '!$E$3:$E$34579,'Shayak Income '!D871,'MPG Payment '!$J$3:$J$34579)</f>
        <v>55591.430113980008</v>
      </c>
      <c r="O871" s="126">
        <f t="shared" si="302"/>
        <v>1224.9749999999999</v>
      </c>
      <c r="P871" s="126">
        <f t="shared" si="303"/>
        <v>1551.635</v>
      </c>
      <c r="Q871" s="126">
        <f>SUMIF('MPG Payment '!$E$3:$E$34579,'Shayak Income '!D871,'MPG Payment '!$S$3:$S$34579)</f>
        <v>0</v>
      </c>
      <c r="R871" s="126">
        <f t="shared" si="304"/>
        <v>1667.7429034194001</v>
      </c>
      <c r="S871" s="126">
        <f t="shared" si="305"/>
        <v>116.10790341940015</v>
      </c>
      <c r="T871" s="126">
        <f t="shared" si="295"/>
        <v>163.33000000000001</v>
      </c>
      <c r="U871" s="127">
        <f>(((IF(K871="New",0,SUMIF('MPG Payment '!$E$3:$E$34579,'Shayak Income '!D871,'MPG Payment '!$AC$3:$AC$34579))))+0)+0</f>
        <v>0</v>
      </c>
      <c r="V871" s="127">
        <f t="shared" si="296"/>
        <v>2613</v>
      </c>
      <c r="W871" s="19">
        <v>0</v>
      </c>
      <c r="X871" s="19">
        <v>0</v>
      </c>
      <c r="Y871" s="128">
        <f>IFERROR(VLOOKUP(D871,'Monthly Deduction'!$M$2:$N$64,2,0),0)</f>
        <v>0</v>
      </c>
      <c r="Z871" s="128">
        <v>0</v>
      </c>
      <c r="AA871" s="126">
        <f>IFERROR(VLOOKUP(D871,'Monthly Deduction'!A:B,2,0),0)</f>
        <v>0</v>
      </c>
      <c r="AB871" s="129">
        <f t="shared" si="306"/>
        <v>2613</v>
      </c>
      <c r="AC871" s="130">
        <v>0</v>
      </c>
      <c r="AD871" s="35">
        <f t="shared" si="307"/>
        <v>2613</v>
      </c>
      <c r="AE871" s="166" t="str">
        <f t="shared" si="308"/>
        <v>Release</v>
      </c>
      <c r="AF871" s="127"/>
      <c r="AG871" s="18">
        <v>0</v>
      </c>
      <c r="AH871" s="120"/>
      <c r="AI871" s="238">
        <v>0</v>
      </c>
      <c r="AJ871" s="132"/>
      <c r="AK871" s="151">
        <v>158</v>
      </c>
      <c r="AL871" s="154">
        <f t="shared" si="309"/>
        <v>0</v>
      </c>
      <c r="AM871" s="155"/>
      <c r="AN871" s="19">
        <f t="shared" si="292"/>
        <v>0</v>
      </c>
      <c r="AO871" s="118">
        <f>SUMIF('MPG Payment '!E:E,'Shayak Income '!D871,'MPG Payment '!AJ:AJ)</f>
        <v>0</v>
      </c>
      <c r="AP871" s="19">
        <f t="shared" si="293"/>
        <v>0</v>
      </c>
      <c r="AQ871" s="119">
        <f t="shared" si="310"/>
        <v>0</v>
      </c>
      <c r="AR871" s="91" t="s">
        <v>1168</v>
      </c>
      <c r="AS871" s="91">
        <f t="shared" si="294"/>
        <v>0</v>
      </c>
      <c r="AT871" s="118"/>
      <c r="AU871" s="118"/>
      <c r="AV871" s="118"/>
    </row>
    <row r="872" spans="1:48" s="20" customFormat="1" x14ac:dyDescent="0.25">
      <c r="A872" s="17">
        <f>IFERROR(VLOOKUP(D872,'Monthly Deduction'!$I$3:$J$957,2,0),0)</f>
        <v>65000</v>
      </c>
      <c r="B872" s="17">
        <f>IFERROR(VLOOKUP(D872,'Monthly Deduction'!$E$3:$F$957,2,0),0)</f>
        <v>0</v>
      </c>
      <c r="C872" s="17">
        <f t="shared" si="301"/>
        <v>65000</v>
      </c>
      <c r="D872" s="41">
        <v>10650001</v>
      </c>
      <c r="E872" s="122" t="str">
        <f>VLOOKUP(D872,'MPG Payment '!$E$3:$G$498218,2,0)</f>
        <v>Gomukh Vijaiya</v>
      </c>
      <c r="F872" s="146">
        <f>IFERROR(_xlfn.XLOOKUP(D872,'Monthly Deduction'!$I$3:$I$957,'Monthly Deduction'!$H$3:$H$957),0)</f>
        <v>0</v>
      </c>
      <c r="G872" s="123" t="str">
        <f>VLOOKUP(D872,'MPG Payment '!$E$3:$G$334579,3,0)</f>
        <v>MPG</v>
      </c>
      <c r="H872" s="124" t="str">
        <f>VLOOKUP(D872,'MPG Payment '!$E$3:$H$334579,4,0)</f>
        <v>Direct</v>
      </c>
      <c r="I872" s="88">
        <f>INDEX('MPG Payment '!$C:$C,MATCH('Shayak Income '!D872,'MPG Payment '!E:E,0))</f>
        <v>1065</v>
      </c>
      <c r="J872" s="88" t="str">
        <f>INDEX('MPG Payment '!$D:$D,MATCH('Shayak Income '!D872,'MPG Payment '!E:E,0))</f>
        <v>Bachhwara BMC</v>
      </c>
      <c r="K872" s="125" t="s">
        <v>1323</v>
      </c>
      <c r="L872" s="125">
        <v>46097</v>
      </c>
      <c r="M872" s="126">
        <f>SUMIF('MPG Payment '!$E$3:$E$34579,'Shayak Income '!D872,'MPG Payment '!$I$3:$I$34579)</f>
        <v>614.29999999999995</v>
      </c>
      <c r="N872" s="126">
        <f>SUMIF('MPG Payment '!$E$3:$E$34579,'Shayak Income '!D872,'MPG Payment '!$J$3:$J$34579)</f>
        <v>24021.049724620003</v>
      </c>
      <c r="O872" s="126">
        <f t="shared" si="302"/>
        <v>460.72499999999997</v>
      </c>
      <c r="P872" s="126">
        <f t="shared" si="303"/>
        <v>583.58499999999992</v>
      </c>
      <c r="Q872" s="126">
        <f>SUMIF('MPG Payment '!$E$3:$E$34579,'Shayak Income '!D872,'MPG Payment '!$S$3:$S$34579)</f>
        <v>0</v>
      </c>
      <c r="R872" s="126">
        <f t="shared" si="304"/>
        <v>720.63149173860006</v>
      </c>
      <c r="S872" s="126">
        <f t="shared" si="305"/>
        <v>137.04649173860014</v>
      </c>
      <c r="T872" s="126">
        <f t="shared" si="295"/>
        <v>61.43</v>
      </c>
      <c r="U872" s="127">
        <f>(((IF(K872="New",0,SUMIF('MPG Payment '!$E$3:$E$34579,'Shayak Income '!D872,'MPG Payment '!$AC$3:$AC$34579))))+0)+0</f>
        <v>0</v>
      </c>
      <c r="V872" s="127">
        <f t="shared" si="296"/>
        <v>983</v>
      </c>
      <c r="W872" s="19">
        <v>0</v>
      </c>
      <c r="X872" s="19">
        <v>0</v>
      </c>
      <c r="Y872" s="128">
        <f>IFERROR(VLOOKUP(D872,'Monthly Deduction'!$M$2:$N$64,2,0),0)</f>
        <v>0</v>
      </c>
      <c r="Z872" s="128">
        <v>0</v>
      </c>
      <c r="AA872" s="126">
        <f>IFERROR(VLOOKUP(D872,'Monthly Deduction'!A:B,2,0),0)</f>
        <v>0</v>
      </c>
      <c r="AB872" s="129">
        <f t="shared" si="306"/>
        <v>983</v>
      </c>
      <c r="AC872" s="130">
        <f t="shared" ref="AC872:AC874" si="311">AB872</f>
        <v>983</v>
      </c>
      <c r="AD872" s="35">
        <f t="shared" si="307"/>
        <v>0</v>
      </c>
      <c r="AE872" s="166" t="str">
        <f t="shared" si="308"/>
        <v>Yes</v>
      </c>
      <c r="AF872" s="127"/>
      <c r="AG872" s="18">
        <v>0</v>
      </c>
      <c r="AH872" s="120" t="s">
        <v>1653</v>
      </c>
      <c r="AI872" s="238">
        <v>0</v>
      </c>
      <c r="AJ872" s="132"/>
      <c r="AK872" s="151">
        <v>265.89999999999998</v>
      </c>
      <c r="AL872" s="154">
        <f t="shared" si="309"/>
        <v>0</v>
      </c>
      <c r="AM872" s="155"/>
      <c r="AN872" s="19">
        <f t="shared" si="292"/>
        <v>1861</v>
      </c>
      <c r="AO872" s="118">
        <f>SUMIF('MPG Payment '!E:E,'Shayak Income '!D872,'MPG Payment '!AJ:AJ)</f>
        <v>0</v>
      </c>
      <c r="AP872" s="19">
        <f t="shared" si="293"/>
        <v>0</v>
      </c>
      <c r="AQ872" s="119">
        <f t="shared" si="310"/>
        <v>0</v>
      </c>
      <c r="AR872" s="91" t="s">
        <v>1168</v>
      </c>
      <c r="AS872" s="91">
        <f t="shared" si="294"/>
        <v>0</v>
      </c>
      <c r="AT872" s="118"/>
      <c r="AU872" s="118"/>
      <c r="AV872" s="118"/>
    </row>
    <row r="873" spans="1:48" s="20" customFormat="1" x14ac:dyDescent="0.25">
      <c r="A873" s="17">
        <f>IFERROR(VLOOKUP(D873,'Monthly Deduction'!$I$3:$J$957,2,0),0)</f>
        <v>65000</v>
      </c>
      <c r="B873" s="17">
        <f>IFERROR(VLOOKUP(D873,'Monthly Deduction'!$E$3:$F$957,2,0),0)</f>
        <v>0</v>
      </c>
      <c r="C873" s="17">
        <f t="shared" si="301"/>
        <v>65000</v>
      </c>
      <c r="D873" s="41">
        <v>10650003</v>
      </c>
      <c r="E873" s="122" t="str">
        <f>VLOOKUP(D873,'MPG Payment '!$E$3:$G$498218,2,0)</f>
        <v>Gomukh Gangauli</v>
      </c>
      <c r="F873" s="146">
        <f>IFERROR(_xlfn.XLOOKUP(D873,'Monthly Deduction'!$I$3:$I$957,'Monthly Deduction'!$H$3:$H$957),0)</f>
        <v>0</v>
      </c>
      <c r="G873" s="123" t="str">
        <f>VLOOKUP(D873,'MPG Payment '!$E$3:$G$334579,3,0)</f>
        <v>MPG</v>
      </c>
      <c r="H873" s="124" t="str">
        <f>VLOOKUP(D873,'MPG Payment '!$E$3:$H$334579,4,0)</f>
        <v>Direct</v>
      </c>
      <c r="I873" s="88">
        <f>INDEX('MPG Payment '!$C:$C,MATCH('Shayak Income '!D873,'MPG Payment '!E:E,0))</f>
        <v>1065</v>
      </c>
      <c r="J873" s="88" t="str">
        <f>INDEX('MPG Payment '!$D:$D,MATCH('Shayak Income '!D873,'MPG Payment '!E:E,0))</f>
        <v>Bachhwara BMC</v>
      </c>
      <c r="K873" s="125" t="s">
        <v>1323</v>
      </c>
      <c r="L873" s="125">
        <v>46097</v>
      </c>
      <c r="M873" s="126">
        <f>SUMIF('MPG Payment '!$E$3:$E$34579,'Shayak Income '!D873,'MPG Payment '!$I$3:$I$34579)</f>
        <v>4451.7000000000007</v>
      </c>
      <c r="N873" s="126">
        <f>SUMIF('MPG Payment '!$E$3:$E$34579,'Shayak Income '!D873,'MPG Payment '!$J$3:$J$34579)</f>
        <v>179219.23667935</v>
      </c>
      <c r="O873" s="126">
        <f t="shared" si="302"/>
        <v>3338.7750000000005</v>
      </c>
      <c r="P873" s="126">
        <f t="shared" si="303"/>
        <v>4229.1150000000007</v>
      </c>
      <c r="Q873" s="126">
        <f>SUMIF('MPG Payment '!$E$3:$E$34579,'Shayak Income '!D873,'MPG Payment '!$S$3:$S$34579)</f>
        <v>0</v>
      </c>
      <c r="R873" s="126">
        <f t="shared" si="304"/>
        <v>5376.5771003804994</v>
      </c>
      <c r="S873" s="126">
        <f t="shared" si="305"/>
        <v>1147.4621003804987</v>
      </c>
      <c r="T873" s="126">
        <f t="shared" si="295"/>
        <v>445.17000000000007</v>
      </c>
      <c r="U873" s="127">
        <f>(((IF(K873="New",0,SUMIF('MPG Payment '!$E$3:$E$34579,'Shayak Income '!D873,'MPG Payment '!$AC$3:$AC$34579))))+0)+0</f>
        <v>0</v>
      </c>
      <c r="V873" s="127">
        <f t="shared" si="296"/>
        <v>7123</v>
      </c>
      <c r="W873" s="19">
        <v>0</v>
      </c>
      <c r="X873" s="19">
        <v>0</v>
      </c>
      <c r="Y873" s="128">
        <f>IFERROR(VLOOKUP(D873,'Monthly Deduction'!$M$2:$N$64,2,0),0)</f>
        <v>0</v>
      </c>
      <c r="Z873" s="128">
        <v>0</v>
      </c>
      <c r="AA873" s="126">
        <f>IFERROR(VLOOKUP(D873,'Monthly Deduction'!A:B,2,0),0)</f>
        <v>0</v>
      </c>
      <c r="AB873" s="129">
        <f t="shared" si="306"/>
        <v>7123</v>
      </c>
      <c r="AC873" s="130">
        <f t="shared" si="311"/>
        <v>7123</v>
      </c>
      <c r="AD873" s="35">
        <f t="shared" si="307"/>
        <v>0</v>
      </c>
      <c r="AE873" s="166" t="str">
        <f t="shared" si="308"/>
        <v>Yes</v>
      </c>
      <c r="AF873" s="127"/>
      <c r="AG873" s="18">
        <v>0</v>
      </c>
      <c r="AH873" s="120" t="s">
        <v>1653</v>
      </c>
      <c r="AI873" s="238">
        <v>0</v>
      </c>
      <c r="AJ873" s="132"/>
      <c r="AK873" s="151">
        <v>1111.3000000000002</v>
      </c>
      <c r="AL873" s="154">
        <f t="shared" si="309"/>
        <v>0</v>
      </c>
      <c r="AM873" s="155"/>
      <c r="AN873" s="19">
        <f t="shared" si="292"/>
        <v>3584.384733587</v>
      </c>
      <c r="AO873" s="118">
        <f>SUMIF('MPG Payment '!E:E,'Shayak Income '!D873,'MPG Payment '!AJ:AJ)</f>
        <v>0</v>
      </c>
      <c r="AP873" s="19">
        <f t="shared" si="293"/>
        <v>0</v>
      </c>
      <c r="AQ873" s="119">
        <f t="shared" si="310"/>
        <v>0</v>
      </c>
      <c r="AR873" s="91" t="s">
        <v>1168</v>
      </c>
      <c r="AS873" s="91">
        <f t="shared" si="294"/>
        <v>0</v>
      </c>
      <c r="AT873" s="118"/>
      <c r="AU873" s="118"/>
      <c r="AV873" s="118"/>
    </row>
    <row r="874" spans="1:48" s="20" customFormat="1" x14ac:dyDescent="0.25">
      <c r="A874" s="17">
        <f>IFERROR(VLOOKUP(D874,'Monthly Deduction'!$I$3:$J$957,2,0),0)</f>
        <v>0</v>
      </c>
      <c r="B874" s="17">
        <f>IFERROR(VLOOKUP(D874,'Monthly Deduction'!$E$3:$F$957,2,0),0)</f>
        <v>0</v>
      </c>
      <c r="C874" s="17">
        <f t="shared" si="301"/>
        <v>0</v>
      </c>
      <c r="D874" s="41">
        <v>10650006</v>
      </c>
      <c r="E874" s="122" t="str">
        <f>VLOOKUP(D874,'MPG Payment '!$E$3:$G$498218,2,0)</f>
        <v>MANDA</v>
      </c>
      <c r="F874" s="146">
        <f>IFERROR(_xlfn.XLOOKUP(D874,'Monthly Deduction'!$I$3:$I$957,'Monthly Deduction'!$H$3:$H$957),0)</f>
        <v>0</v>
      </c>
      <c r="G874" s="123" t="str">
        <f>VLOOKUP(D874,'MPG Payment '!$E$3:$G$334579,3,0)</f>
        <v>vlc</v>
      </c>
      <c r="H874" s="124" t="str">
        <f>VLOOKUP(D874,'MPG Payment '!$E$3:$H$334579,4,0)</f>
        <v>Indirect</v>
      </c>
      <c r="I874" s="88">
        <f>INDEX('MPG Payment '!$C:$C,MATCH('Shayak Income '!D874,'MPG Payment '!E:E,0))</f>
        <v>1065</v>
      </c>
      <c r="J874" s="88" t="str">
        <f>INDEX('MPG Payment '!$D:$D,MATCH('Shayak Income '!D874,'MPG Payment '!E:E,0))</f>
        <v>Bachhwara BMC</v>
      </c>
      <c r="K874" s="125" t="s">
        <v>1323</v>
      </c>
      <c r="L874" s="125">
        <v>46097</v>
      </c>
      <c r="M874" s="126">
        <f>SUMIF('MPG Payment '!$E$3:$E$34579,'Shayak Income '!D874,'MPG Payment '!$I$3:$I$34579)</f>
        <v>437.3</v>
      </c>
      <c r="N874" s="126">
        <f>SUMIF('MPG Payment '!$E$3:$E$34579,'Shayak Income '!D874,'MPG Payment '!$J$3:$J$34579)</f>
        <v>16671.119999999995</v>
      </c>
      <c r="O874" s="126">
        <f t="shared" si="302"/>
        <v>327.97500000000002</v>
      </c>
      <c r="P874" s="126">
        <f t="shared" si="303"/>
        <v>415.435</v>
      </c>
      <c r="Q874" s="126">
        <f>SUMIF('MPG Payment '!$E$3:$E$34579,'Shayak Income '!D874,'MPG Payment '!$S$3:$S$34579)</f>
        <v>0</v>
      </c>
      <c r="R874" s="126">
        <f t="shared" si="304"/>
        <v>500.13359999999983</v>
      </c>
      <c r="S874" s="126">
        <f t="shared" si="305"/>
        <v>84.698599999999828</v>
      </c>
      <c r="T874" s="126">
        <f t="shared" si="295"/>
        <v>43.730000000000004</v>
      </c>
      <c r="U874" s="127">
        <f>(((IF(K874="New",0,SUMIF('MPG Payment '!$E$3:$E$34579,'Shayak Income '!D874,'MPG Payment '!$AC$3:$AC$34579))))+0)+0</f>
        <v>0</v>
      </c>
      <c r="V874" s="127">
        <f t="shared" si="296"/>
        <v>700</v>
      </c>
      <c r="W874" s="19">
        <v>0</v>
      </c>
      <c r="X874" s="19">
        <v>0</v>
      </c>
      <c r="Y874" s="128">
        <f>IFERROR(VLOOKUP(D874,'Monthly Deduction'!$M$2:$N$64,2,0),0)</f>
        <v>0</v>
      </c>
      <c r="Z874" s="128">
        <v>0</v>
      </c>
      <c r="AA874" s="126">
        <f>IFERROR(VLOOKUP(D874,'Monthly Deduction'!A:B,2,0),0)</f>
        <v>0</v>
      </c>
      <c r="AB874" s="129">
        <f t="shared" si="306"/>
        <v>700</v>
      </c>
      <c r="AC874" s="130">
        <f t="shared" si="311"/>
        <v>700</v>
      </c>
      <c r="AD874" s="35">
        <f t="shared" si="307"/>
        <v>0</v>
      </c>
      <c r="AE874" s="166" t="str">
        <f t="shared" si="308"/>
        <v>Yes</v>
      </c>
      <c r="AF874" s="127"/>
      <c r="AG874" s="18">
        <v>0</v>
      </c>
      <c r="AH874" s="132" t="s">
        <v>1648</v>
      </c>
      <c r="AI874" s="238">
        <v>0</v>
      </c>
      <c r="AJ874" s="132"/>
      <c r="AK874" s="151">
        <v>0</v>
      </c>
      <c r="AL874" s="154">
        <f t="shared" si="309"/>
        <v>0</v>
      </c>
      <c r="AM874" s="155"/>
      <c r="AN874" s="19">
        <f t="shared" si="292"/>
        <v>0</v>
      </c>
      <c r="AO874" s="118">
        <f>SUMIF('MPG Payment '!E:E,'Shayak Income '!D874,'MPG Payment '!AJ:AJ)</f>
        <v>0</v>
      </c>
      <c r="AP874" s="19">
        <f t="shared" si="293"/>
        <v>0</v>
      </c>
      <c r="AQ874" s="119">
        <f t="shared" si="310"/>
        <v>0</v>
      </c>
      <c r="AR874" s="91" t="s">
        <v>1168</v>
      </c>
      <c r="AS874" s="91">
        <f t="shared" si="294"/>
        <v>0</v>
      </c>
      <c r="AT874" s="118"/>
      <c r="AU874" s="118"/>
      <c r="AV874" s="118"/>
    </row>
    <row r="875" spans="1:48" s="20" customFormat="1" x14ac:dyDescent="0.25">
      <c r="A875" s="17">
        <f>IFERROR(VLOOKUP(D875,'Monthly Deduction'!$I$3:$J$957,2,0),0)</f>
        <v>0</v>
      </c>
      <c r="B875" s="17">
        <f>IFERROR(VLOOKUP(D875,'Monthly Deduction'!$E$3:$F$957,2,0),0)</f>
        <v>0</v>
      </c>
      <c r="C875" s="17">
        <f t="shared" si="301"/>
        <v>0</v>
      </c>
      <c r="D875" s="41">
        <v>10110188</v>
      </c>
      <c r="E875" s="122" t="str">
        <f>VLOOKUP(D875,'MPG Payment '!$E$3:$G$498218,2,0)</f>
        <v>Phulmalik</v>
      </c>
      <c r="F875" s="146">
        <f>IFERROR(_xlfn.XLOOKUP(D875,'Monthly Deduction'!$I$3:$I$957,'Monthly Deduction'!$H$3:$H$957),0)</f>
        <v>0</v>
      </c>
      <c r="G875" s="123" t="str">
        <f>VLOOKUP(D875,'MPG Payment '!$E$3:$G$334579,3,0)</f>
        <v>vlc</v>
      </c>
      <c r="H875" s="124" t="str">
        <f>VLOOKUP(D875,'MPG Payment '!$E$3:$H$334579,4,0)</f>
        <v>Indirect</v>
      </c>
      <c r="I875" s="88">
        <f>INDEX('MPG Payment '!$C:$C,MATCH('Shayak Income '!D875,'MPG Payment '!E:E,0))</f>
        <v>1011</v>
      </c>
      <c r="J875" s="88" t="str">
        <f>INDEX('MPG Payment '!$D:$D,MATCH('Shayak Income '!D875,'MPG Payment '!E:E,0))</f>
        <v>Sahibpur Kamal</v>
      </c>
      <c r="K875" s="125" t="s">
        <v>1323</v>
      </c>
      <c r="L875" s="125">
        <v>46102</v>
      </c>
      <c r="M875" s="126">
        <f>SUMIF('MPG Payment '!$E$3:$E$34579,'Shayak Income '!D875,'MPG Payment '!$I$3:$I$34579)</f>
        <v>1168.1999999999998</v>
      </c>
      <c r="N875" s="126">
        <f>SUMIF('MPG Payment '!$E$3:$E$34579,'Shayak Income '!D875,'MPG Payment '!$J$3:$J$34579)</f>
        <v>44518.884237930004</v>
      </c>
      <c r="O875" s="126">
        <f t="shared" si="302"/>
        <v>876.14999999999986</v>
      </c>
      <c r="P875" s="126">
        <f t="shared" si="303"/>
        <v>1109.7899999999997</v>
      </c>
      <c r="Q875" s="126">
        <f>SUMIF('MPG Payment '!$E$3:$E$34579,'Shayak Income '!D875,'MPG Payment '!$S$3:$S$34579)</f>
        <v>0</v>
      </c>
      <c r="R875" s="126">
        <f t="shared" si="304"/>
        <v>1335.5665271379</v>
      </c>
      <c r="S875" s="126">
        <f t="shared" si="305"/>
        <v>225.7765271379003</v>
      </c>
      <c r="T875" s="126">
        <f t="shared" si="295"/>
        <v>116.82</v>
      </c>
      <c r="U875" s="127">
        <f>(((IF(K875="New",0,SUMIF('MPG Payment '!$E$3:$E$34579,'Shayak Income '!D875,'MPG Payment '!$AC$3:$AC$34579))))+0)+0</f>
        <v>0</v>
      </c>
      <c r="V875" s="127">
        <f t="shared" si="296"/>
        <v>1869</v>
      </c>
      <c r="W875" s="19">
        <v>0</v>
      </c>
      <c r="X875" s="19">
        <v>0</v>
      </c>
      <c r="Y875" s="128">
        <f>IFERROR(VLOOKUP(D875,'Monthly Deduction'!$M$2:$N$64,2,0),0)</f>
        <v>0</v>
      </c>
      <c r="Z875" s="128">
        <v>0</v>
      </c>
      <c r="AA875" s="126">
        <f>IFERROR(VLOOKUP(D875,'Monthly Deduction'!A:B,2,0),0)</f>
        <v>0</v>
      </c>
      <c r="AB875" s="129">
        <f t="shared" si="306"/>
        <v>1869</v>
      </c>
      <c r="AC875" s="130">
        <v>0</v>
      </c>
      <c r="AD875" s="35">
        <f t="shared" si="307"/>
        <v>1869</v>
      </c>
      <c r="AE875" s="166" t="str">
        <f t="shared" si="308"/>
        <v>Release</v>
      </c>
      <c r="AF875" s="127"/>
      <c r="AG875" s="18">
        <v>0</v>
      </c>
      <c r="AH875" s="132"/>
      <c r="AI875" s="238">
        <v>0</v>
      </c>
      <c r="AJ875" s="132"/>
      <c r="AK875" s="151">
        <v>790.5</v>
      </c>
      <c r="AL875" s="154">
        <f t="shared" si="309"/>
        <v>0</v>
      </c>
      <c r="AM875" s="155"/>
      <c r="AN875" s="19">
        <f t="shared" si="292"/>
        <v>0</v>
      </c>
      <c r="AO875" s="118">
        <f>SUMIF('MPG Payment '!E:E,'Shayak Income '!D875,'MPG Payment '!AJ:AJ)</f>
        <v>0</v>
      </c>
      <c r="AP875" s="19">
        <f t="shared" si="293"/>
        <v>0</v>
      </c>
      <c r="AQ875" s="119">
        <f t="shared" si="310"/>
        <v>0</v>
      </c>
      <c r="AR875" s="91" t="s">
        <v>1168</v>
      </c>
      <c r="AS875" s="91">
        <f t="shared" si="294"/>
        <v>0</v>
      </c>
      <c r="AT875" s="118"/>
      <c r="AU875" s="118"/>
      <c r="AV875" s="118"/>
    </row>
    <row r="876" spans="1:48" s="20" customFormat="1" x14ac:dyDescent="0.25">
      <c r="A876" s="17">
        <f>IFERROR(VLOOKUP(D876,'Monthly Deduction'!$I$3:$J$957,2,0),0)</f>
        <v>65000</v>
      </c>
      <c r="B876" s="17">
        <f>IFERROR(VLOOKUP(D876,'Monthly Deduction'!$E$3:$F$957,2,0),0)</f>
        <v>0</v>
      </c>
      <c r="C876" s="17">
        <f t="shared" si="301"/>
        <v>65000</v>
      </c>
      <c r="D876" s="41">
        <v>10540046</v>
      </c>
      <c r="E876" s="122" t="str">
        <f>VLOOKUP(D876,'MPG Payment '!$E$3:$G$498218,2,0)</f>
        <v xml:space="preserve">Gomukh Hathwan </v>
      </c>
      <c r="F876" s="146">
        <f>IFERROR(_xlfn.XLOOKUP(D876,'Monthly Deduction'!$I$3:$I$957,'Monthly Deduction'!$H$3:$H$957),0)</f>
        <v>0</v>
      </c>
      <c r="G876" s="123" t="str">
        <f>VLOOKUP(D876,'MPG Payment '!$E$3:$G$334579,3,0)</f>
        <v>MPG</v>
      </c>
      <c r="H876" s="124" t="str">
        <f>VLOOKUP(D876,'MPG Payment '!$E$3:$H$334579,4,0)</f>
        <v>Direct</v>
      </c>
      <c r="I876" s="88">
        <f>INDEX('MPG Payment '!$C:$C,MATCH('Shayak Income '!D876,'MPG Payment '!E:E,0))</f>
        <v>1054</v>
      </c>
      <c r="J876" s="88" t="str">
        <f>INDEX('MPG Payment '!$D:$D,MATCH('Shayak Income '!D876,'MPG Payment '!E:E,0))</f>
        <v xml:space="preserve">Alauli </v>
      </c>
      <c r="K876" s="125" t="s">
        <v>1323</v>
      </c>
      <c r="L876" s="125">
        <v>46101</v>
      </c>
      <c r="M876" s="126">
        <f>SUMIF('MPG Payment '!$E$3:$E$34579,'Shayak Income '!D876,'MPG Payment '!$I$3:$I$34579)</f>
        <v>1654.1999999999998</v>
      </c>
      <c r="N876" s="126">
        <f>SUMIF('MPG Payment '!$E$3:$E$34579,'Shayak Income '!D876,'MPG Payment '!$J$3:$J$34579)</f>
        <v>72162.587323172571</v>
      </c>
      <c r="O876" s="126">
        <f t="shared" si="302"/>
        <v>1240.6499999999999</v>
      </c>
      <c r="P876" s="126">
        <f t="shared" si="303"/>
        <v>1571.4899999999998</v>
      </c>
      <c r="Q876" s="126">
        <f>SUMIF('MPG Payment '!$E$3:$E$34579,'Shayak Income '!D876,'MPG Payment '!$S$3:$S$34579)</f>
        <v>0</v>
      </c>
      <c r="R876" s="126">
        <f t="shared" si="304"/>
        <v>2164.8776196951771</v>
      </c>
      <c r="S876" s="126">
        <f t="shared" si="305"/>
        <v>593.38761969517736</v>
      </c>
      <c r="T876" s="126">
        <f t="shared" si="295"/>
        <v>165.42</v>
      </c>
      <c r="U876" s="127">
        <f>(((IF(K876="New",0,SUMIF('MPG Payment '!$E$3:$E$34579,'Shayak Income '!D876,'MPG Payment '!$AC$3:$AC$34579))))+0)+0</f>
        <v>0</v>
      </c>
      <c r="V876" s="127">
        <f t="shared" si="296"/>
        <v>2647</v>
      </c>
      <c r="W876" s="19">
        <v>0</v>
      </c>
      <c r="X876" s="19">
        <v>0</v>
      </c>
      <c r="Y876" s="128">
        <f>IFERROR(VLOOKUP(D876,'Monthly Deduction'!$M$2:$N$64,2,0),0)</f>
        <v>0</v>
      </c>
      <c r="Z876" s="128">
        <v>0</v>
      </c>
      <c r="AA876" s="126">
        <f>IFERROR(VLOOKUP(D876,'Monthly Deduction'!A:B,2,0),0)</f>
        <v>0</v>
      </c>
      <c r="AB876" s="129">
        <f t="shared" si="306"/>
        <v>2647</v>
      </c>
      <c r="AC876" s="130">
        <v>0</v>
      </c>
      <c r="AD876" s="35">
        <f t="shared" si="307"/>
        <v>2647</v>
      </c>
      <c r="AE876" s="166" t="str">
        <f t="shared" si="308"/>
        <v>Release</v>
      </c>
      <c r="AF876" s="127"/>
      <c r="AG876" s="18">
        <v>0</v>
      </c>
      <c r="AH876" s="120" t="s">
        <v>1653</v>
      </c>
      <c r="AI876" s="238">
        <v>0</v>
      </c>
      <c r="AJ876" s="132" t="s">
        <v>1661</v>
      </c>
      <c r="AK876" s="151">
        <v>558</v>
      </c>
      <c r="AL876" s="154">
        <f t="shared" si="309"/>
        <v>0</v>
      </c>
      <c r="AM876" s="155"/>
      <c r="AN876" s="19">
        <f t="shared" si="292"/>
        <v>1861</v>
      </c>
      <c r="AO876" s="118">
        <f>SUMIF('MPG Payment '!E:E,'Shayak Income '!D876,'MPG Payment '!AJ:AJ)</f>
        <v>0</v>
      </c>
      <c r="AP876" s="19">
        <f t="shared" si="293"/>
        <v>0</v>
      </c>
      <c r="AQ876" s="119">
        <f t="shared" si="310"/>
        <v>0</v>
      </c>
      <c r="AR876" s="91" t="s">
        <v>1168</v>
      </c>
      <c r="AS876" s="91">
        <f t="shared" si="294"/>
        <v>0</v>
      </c>
      <c r="AT876" s="118"/>
      <c r="AU876" s="118"/>
      <c r="AV876" s="118"/>
    </row>
    <row r="877" spans="1:48" s="20" customFormat="1" x14ac:dyDescent="0.25">
      <c r="A877" s="17">
        <f>IFERROR(VLOOKUP(D877,'Monthly Deduction'!$I$3:$J$957,2,0),0)</f>
        <v>0</v>
      </c>
      <c r="B877" s="17">
        <f>IFERROR(VLOOKUP(D877,'Monthly Deduction'!$E$3:$F$957,2,0),0)</f>
        <v>0</v>
      </c>
      <c r="C877" s="17">
        <f t="shared" si="301"/>
        <v>0</v>
      </c>
      <c r="D877" s="41">
        <v>10550008</v>
      </c>
      <c r="E877" s="122" t="str">
        <f>VLOOKUP(D877,'MPG Payment '!$E$3:$G$498218,2,0)</f>
        <v>Saidpur</v>
      </c>
      <c r="F877" s="146">
        <f>IFERROR(_xlfn.XLOOKUP(D877,'Monthly Deduction'!$I$3:$I$957,'Monthly Deduction'!$H$3:$H$957),0)</f>
        <v>0</v>
      </c>
      <c r="G877" s="123" t="str">
        <f>VLOOKUP(D877,'MPG Payment '!$E$3:$G$334579,3,0)</f>
        <v>vlc</v>
      </c>
      <c r="H877" s="124" t="str">
        <f>VLOOKUP(D877,'MPG Payment '!$E$3:$H$334579,4,0)</f>
        <v>Indirect</v>
      </c>
      <c r="I877" s="88">
        <f>INDEX('MPG Payment '!$C:$C,MATCH('Shayak Income '!D877,'MPG Payment '!E:E,0))</f>
        <v>1055</v>
      </c>
      <c r="J877" s="88" t="str">
        <f>INDEX('MPG Payment '!$D:$D,MATCH('Shayak Income '!D877,'MPG Payment '!E:E,0))</f>
        <v>Matihani</v>
      </c>
      <c r="K877" s="125" t="s">
        <v>1323</v>
      </c>
      <c r="L877" s="125">
        <v>46102</v>
      </c>
      <c r="M877" s="126">
        <f>SUMIF('MPG Payment '!$E$3:$E$34579,'Shayak Income '!D877,'MPG Payment '!$I$3:$I$34579)</f>
        <v>323.70000000000005</v>
      </c>
      <c r="N877" s="126">
        <f>SUMIF('MPG Payment '!$E$3:$E$34579,'Shayak Income '!D877,'MPG Payment '!$J$3:$J$34579)</f>
        <v>10893.91</v>
      </c>
      <c r="O877" s="126">
        <f t="shared" si="302"/>
        <v>242.77500000000003</v>
      </c>
      <c r="P877" s="126">
        <f t="shared" si="303"/>
        <v>307.51500000000004</v>
      </c>
      <c r="Q877" s="126">
        <f>SUMIF('MPG Payment '!$E$3:$E$34579,'Shayak Income '!D877,'MPG Payment '!$S$3:$S$34579)</f>
        <v>0</v>
      </c>
      <c r="R877" s="126">
        <f t="shared" si="304"/>
        <v>326.81729999999999</v>
      </c>
      <c r="S877" s="126">
        <f t="shared" si="305"/>
        <v>19.302299999999946</v>
      </c>
      <c r="T877" s="126">
        <f t="shared" si="295"/>
        <v>32.370000000000005</v>
      </c>
      <c r="U877" s="127">
        <f>(((IF(K877="New",0,SUMIF('MPG Payment '!$E$3:$E$34579,'Shayak Income '!D877,'MPG Payment '!$AC$3:$AC$34579))))+0)+0</f>
        <v>0</v>
      </c>
      <c r="V877" s="127">
        <f t="shared" si="296"/>
        <v>518</v>
      </c>
      <c r="W877" s="19">
        <v>0</v>
      </c>
      <c r="X877" s="19">
        <v>0</v>
      </c>
      <c r="Y877" s="128">
        <f>IFERROR(VLOOKUP(D877,'Monthly Deduction'!$M$2:$N$64,2,0),0)</f>
        <v>0</v>
      </c>
      <c r="Z877" s="128">
        <v>0</v>
      </c>
      <c r="AA877" s="126">
        <f>IFERROR(VLOOKUP(D877,'Monthly Deduction'!A:B,2,0),0)</f>
        <v>0</v>
      </c>
      <c r="AB877" s="129">
        <f t="shared" si="306"/>
        <v>518</v>
      </c>
      <c r="AC877" s="130">
        <f t="shared" ref="AC877" si="312">AB877</f>
        <v>518</v>
      </c>
      <c r="AD877" s="35">
        <f t="shared" si="307"/>
        <v>0</v>
      </c>
      <c r="AE877" s="166" t="str">
        <f t="shared" si="308"/>
        <v>Yes</v>
      </c>
      <c r="AF877" s="127"/>
      <c r="AG877" s="18">
        <v>0</v>
      </c>
      <c r="AH877" s="132" t="s">
        <v>1648</v>
      </c>
      <c r="AI877" s="238">
        <v>0</v>
      </c>
      <c r="AJ877" s="132"/>
      <c r="AK877" s="151">
        <v>0</v>
      </c>
      <c r="AL877" s="154">
        <f t="shared" si="309"/>
        <v>0</v>
      </c>
      <c r="AM877" s="155"/>
      <c r="AN877" s="19">
        <f t="shared" si="292"/>
        <v>0</v>
      </c>
      <c r="AO877" s="118">
        <f>SUMIF('MPG Payment '!E:E,'Shayak Income '!D877,'MPG Payment '!AJ:AJ)</f>
        <v>0</v>
      </c>
      <c r="AP877" s="19">
        <f t="shared" si="293"/>
        <v>0</v>
      </c>
      <c r="AQ877" s="119">
        <f t="shared" si="310"/>
        <v>0</v>
      </c>
      <c r="AR877" s="91" t="s">
        <v>1168</v>
      </c>
      <c r="AS877" s="91">
        <f t="shared" si="294"/>
        <v>0</v>
      </c>
      <c r="AT877" s="118"/>
      <c r="AU877" s="118"/>
      <c r="AV877" s="118"/>
    </row>
    <row r="878" spans="1:48" s="20" customFormat="1" x14ac:dyDescent="0.25">
      <c r="A878" s="17">
        <f>IFERROR(VLOOKUP(D878,'Monthly Deduction'!$I$3:$J$957,2,0),0)</f>
        <v>0</v>
      </c>
      <c r="B878" s="17">
        <f>IFERROR(VLOOKUP(D878,'Monthly Deduction'!$E$3:$F$957,2,0),0)</f>
        <v>0</v>
      </c>
      <c r="C878" s="17">
        <f t="shared" si="301"/>
        <v>0</v>
      </c>
      <c r="D878" s="41">
        <v>10570053</v>
      </c>
      <c r="E878" s="122" t="str">
        <f>VLOOKUP(D878,'MPG Payment '!$E$3:$G$498218,2,0)</f>
        <v>Kanu Bisanpur</v>
      </c>
      <c r="F878" s="146">
        <f>IFERROR(_xlfn.XLOOKUP(D878,'Monthly Deduction'!$I$3:$I$957,'Monthly Deduction'!$H$3:$H$957),0)</f>
        <v>0</v>
      </c>
      <c r="G878" s="123" t="str">
        <f>VLOOKUP(D878,'MPG Payment '!$E$3:$G$334579,3,0)</f>
        <v>vlc</v>
      </c>
      <c r="H878" s="124" t="str">
        <f>VLOOKUP(D878,'MPG Payment '!$E$3:$H$334579,4,0)</f>
        <v>Indirect</v>
      </c>
      <c r="I878" s="88">
        <f>INDEX('MPG Payment '!$C:$C,MATCH('Shayak Income '!D878,'MPG Payment '!E:E,0))</f>
        <v>1057</v>
      </c>
      <c r="J878" s="88" t="str">
        <f>INDEX('MPG Payment '!$D:$D,MATCH('Shayak Income '!D878,'MPG Payment '!E:E,0))</f>
        <v>Warisnagar</v>
      </c>
      <c r="K878" s="125" t="s">
        <v>1323</v>
      </c>
      <c r="L878" s="125">
        <v>46107</v>
      </c>
      <c r="M878" s="126">
        <f>SUMIF('MPG Payment '!$E$3:$E$34579,'Shayak Income '!D878,'MPG Payment '!$I$3:$I$34579)</f>
        <v>1031.8000000000002</v>
      </c>
      <c r="N878" s="126">
        <f>SUMIF('MPG Payment '!$E$3:$E$34579,'Shayak Income '!D878,'MPG Payment '!$J$3:$J$34579)</f>
        <v>38018.197254850005</v>
      </c>
      <c r="O878" s="126">
        <f t="shared" si="302"/>
        <v>773.85000000000014</v>
      </c>
      <c r="P878" s="126">
        <f t="shared" si="303"/>
        <v>980.21000000000015</v>
      </c>
      <c r="Q878" s="126">
        <f>SUMIF('MPG Payment '!$E$3:$E$34579,'Shayak Income '!D878,'MPG Payment '!$S$3:$S$34579)</f>
        <v>0</v>
      </c>
      <c r="R878" s="126">
        <f t="shared" si="304"/>
        <v>1140.5459176455001</v>
      </c>
      <c r="S878" s="126">
        <f t="shared" si="305"/>
        <v>160.33591764549999</v>
      </c>
      <c r="T878" s="126">
        <f t="shared" si="295"/>
        <v>103.18000000000002</v>
      </c>
      <c r="U878" s="127">
        <f>(((IF(K878="New",0,SUMIF('MPG Payment '!$E$3:$E$34579,'Shayak Income '!D878,'MPG Payment '!$AC$3:$AC$34579))))+0)+0</f>
        <v>0</v>
      </c>
      <c r="V878" s="127">
        <f t="shared" si="296"/>
        <v>1651</v>
      </c>
      <c r="W878" s="19">
        <v>0</v>
      </c>
      <c r="X878" s="19">
        <v>0</v>
      </c>
      <c r="Y878" s="128">
        <f>IFERROR(VLOOKUP(D878,'Monthly Deduction'!$M$2:$N$64,2,0),0)</f>
        <v>0</v>
      </c>
      <c r="Z878" s="128">
        <v>0</v>
      </c>
      <c r="AA878" s="126">
        <f>IFERROR(VLOOKUP(D878,'Monthly Deduction'!A:B,2,0),0)</f>
        <v>0</v>
      </c>
      <c r="AB878" s="129">
        <f t="shared" si="306"/>
        <v>1651</v>
      </c>
      <c r="AC878" s="130">
        <v>0</v>
      </c>
      <c r="AD878" s="35">
        <f t="shared" si="307"/>
        <v>1651</v>
      </c>
      <c r="AE878" s="166" t="str">
        <f t="shared" si="308"/>
        <v>Release</v>
      </c>
      <c r="AF878" s="127"/>
      <c r="AG878" s="18">
        <v>0</v>
      </c>
      <c r="AH878" s="120"/>
      <c r="AI878" s="238">
        <v>0</v>
      </c>
      <c r="AJ878" s="132"/>
      <c r="AK878" s="151">
        <v>174.89999999999998</v>
      </c>
      <c r="AL878" s="154">
        <f t="shared" si="309"/>
        <v>0</v>
      </c>
      <c r="AM878" s="155"/>
      <c r="AN878" s="19">
        <f t="shared" si="292"/>
        <v>0</v>
      </c>
      <c r="AO878" s="118">
        <f>SUMIF('MPG Payment '!E:E,'Shayak Income '!D878,'MPG Payment '!AJ:AJ)</f>
        <v>0</v>
      </c>
      <c r="AP878" s="19">
        <f t="shared" si="293"/>
        <v>0</v>
      </c>
      <c r="AQ878" s="119">
        <f t="shared" si="310"/>
        <v>0</v>
      </c>
      <c r="AR878" s="91" t="s">
        <v>1168</v>
      </c>
      <c r="AS878" s="91">
        <f t="shared" si="294"/>
        <v>0</v>
      </c>
      <c r="AT878" s="118"/>
      <c r="AU878" s="118"/>
      <c r="AV878" s="118"/>
    </row>
    <row r="879" spans="1:48" s="20" customFormat="1" x14ac:dyDescent="0.25">
      <c r="A879" s="17">
        <f>IFERROR(VLOOKUP(D879,'Monthly Deduction'!$I$3:$J$957,2,0),0)</f>
        <v>75000</v>
      </c>
      <c r="B879" s="17">
        <f>IFERROR(VLOOKUP(D879,'Monthly Deduction'!$E$3:$F$957,2,0),0)</f>
        <v>0</v>
      </c>
      <c r="C879" s="17">
        <f t="shared" si="301"/>
        <v>75000</v>
      </c>
      <c r="D879" s="41">
        <v>10610019</v>
      </c>
      <c r="E879" s="122" t="str">
        <f>VLOOKUP(D879,'MPG Payment '!$E$3:$G$498218,2,0)</f>
        <v>GOMUKH Shravanapatti</v>
      </c>
      <c r="F879" s="146">
        <f>IFERROR(_xlfn.XLOOKUP(D879,'Monthly Deduction'!$I$3:$I$957,'Monthly Deduction'!$H$3:$H$957),0)</f>
        <v>0</v>
      </c>
      <c r="G879" s="123" t="str">
        <f>VLOOKUP(D879,'MPG Payment '!$E$3:$G$334579,3,0)</f>
        <v>MPG</v>
      </c>
      <c r="H879" s="124" t="str">
        <f>VLOOKUP(D879,'MPG Payment '!$E$3:$H$334579,4,0)</f>
        <v>Direct</v>
      </c>
      <c r="I879" s="88">
        <f>INDEX('MPG Payment '!$C:$C,MATCH('Shayak Income '!D879,'MPG Payment '!E:E,0))</f>
        <v>1061</v>
      </c>
      <c r="J879" s="88" t="str">
        <f>INDEX('MPG Payment '!$D:$D,MATCH('Shayak Income '!D879,'MPG Payment '!E:E,0))</f>
        <v>Mahua BMC</v>
      </c>
      <c r="K879" s="125" t="s">
        <v>1323</v>
      </c>
      <c r="L879" s="125">
        <v>46103</v>
      </c>
      <c r="M879" s="126">
        <f>SUMIF('MPG Payment '!$E$3:$E$34579,'Shayak Income '!D879,'MPG Payment '!$I$3:$I$34579)</f>
        <v>583.29999999999995</v>
      </c>
      <c r="N879" s="126">
        <f>SUMIF('MPG Payment '!$E$3:$E$34579,'Shayak Income '!D879,'MPG Payment '!$J$3:$J$34579)</f>
        <v>27719.239694642602</v>
      </c>
      <c r="O879" s="126">
        <f t="shared" si="302"/>
        <v>437.47499999999997</v>
      </c>
      <c r="P879" s="126">
        <f t="shared" si="303"/>
        <v>554.13499999999988</v>
      </c>
      <c r="Q879" s="126">
        <f>SUMIF('MPG Payment '!$E$3:$E$34579,'Shayak Income '!D879,'MPG Payment '!$S$3:$S$34579)</f>
        <v>0</v>
      </c>
      <c r="R879" s="126">
        <f t="shared" si="304"/>
        <v>831.57719083927805</v>
      </c>
      <c r="S879" s="126">
        <f t="shared" si="305"/>
        <v>277.44219083927817</v>
      </c>
      <c r="T879" s="126">
        <f t="shared" si="295"/>
        <v>58.33</v>
      </c>
      <c r="U879" s="127">
        <f>(((IF(K879="New",0,SUMIF('MPG Payment '!$E$3:$E$34579,'Shayak Income '!D879,'MPG Payment '!$AC$3:$AC$34579))))+0)+0</f>
        <v>0</v>
      </c>
      <c r="V879" s="127">
        <f t="shared" si="296"/>
        <v>933</v>
      </c>
      <c r="W879" s="19">
        <v>0</v>
      </c>
      <c r="X879" s="19">
        <v>0</v>
      </c>
      <c r="Y879" s="128">
        <f>IFERROR(VLOOKUP(D879,'Monthly Deduction'!$M$2:$N$64,2,0),0)</f>
        <v>0</v>
      </c>
      <c r="Z879" s="128">
        <v>0</v>
      </c>
      <c r="AA879" s="126">
        <f>IFERROR(VLOOKUP(D879,'Monthly Deduction'!A:B,2,0),0)</f>
        <v>0</v>
      </c>
      <c r="AB879" s="129">
        <f t="shared" si="306"/>
        <v>933</v>
      </c>
      <c r="AC879" s="130">
        <v>0</v>
      </c>
      <c r="AD879" s="35">
        <f t="shared" si="307"/>
        <v>933</v>
      </c>
      <c r="AE879" s="166" t="str">
        <f t="shared" si="308"/>
        <v>Release</v>
      </c>
      <c r="AF879" s="127"/>
      <c r="AG879" s="18">
        <v>0</v>
      </c>
      <c r="AH879" s="120" t="s">
        <v>1650</v>
      </c>
      <c r="AI879" s="238">
        <v>10000</v>
      </c>
      <c r="AJ879" s="132" t="s">
        <v>68</v>
      </c>
      <c r="AK879" s="151">
        <v>110.09999999999998</v>
      </c>
      <c r="AL879" s="154">
        <f t="shared" si="309"/>
        <v>0</v>
      </c>
      <c r="AM879" s="155"/>
      <c r="AN879" s="19">
        <f t="shared" si="292"/>
        <v>1861</v>
      </c>
      <c r="AO879" s="118">
        <f>SUMIF('MPG Payment '!E:E,'Shayak Income '!D879,'MPG Payment '!AJ:AJ)</f>
        <v>0</v>
      </c>
      <c r="AP879" s="19">
        <f t="shared" si="293"/>
        <v>0</v>
      </c>
      <c r="AQ879" s="119">
        <f t="shared" si="310"/>
        <v>0</v>
      </c>
      <c r="AR879" s="91" t="s">
        <v>1168</v>
      </c>
      <c r="AS879" s="91">
        <f t="shared" si="294"/>
        <v>0</v>
      </c>
      <c r="AT879" s="118"/>
      <c r="AU879" s="118"/>
      <c r="AV879" s="118"/>
    </row>
    <row r="880" spans="1:48" s="20" customFormat="1" x14ac:dyDescent="0.25">
      <c r="A880" s="17">
        <f>IFERROR(VLOOKUP(D880,'Monthly Deduction'!$I$3:$J$957,2,0),0)</f>
        <v>0</v>
      </c>
      <c r="B880" s="17">
        <f>IFERROR(VLOOKUP(D880,'Monthly Deduction'!$E$3:$F$957,2,0),0)</f>
        <v>0</v>
      </c>
      <c r="C880" s="17">
        <f t="shared" si="301"/>
        <v>0</v>
      </c>
      <c r="D880" s="41">
        <v>10610021</v>
      </c>
      <c r="E880" s="122" t="str">
        <f>VLOOKUP(D880,'MPG Payment '!$E$3:$G$498218,2,0)</f>
        <v>GOMUKH KHANPATTI EAST</v>
      </c>
      <c r="F880" s="146">
        <f>IFERROR(_xlfn.XLOOKUP(D880,'Monthly Deduction'!$I$3:$I$957,'Monthly Deduction'!$H$3:$H$957),0)</f>
        <v>0</v>
      </c>
      <c r="G880" s="123" t="str">
        <f>VLOOKUP(D880,'MPG Payment '!$E$3:$G$334579,3,0)</f>
        <v>vlc</v>
      </c>
      <c r="H880" s="124" t="str">
        <f>VLOOKUP(D880,'MPG Payment '!$E$3:$H$334579,4,0)</f>
        <v>Indirect</v>
      </c>
      <c r="I880" s="88">
        <f>INDEX('MPG Payment '!$C:$C,MATCH('Shayak Income '!D880,'MPG Payment '!E:E,0))</f>
        <v>1061</v>
      </c>
      <c r="J880" s="88" t="str">
        <f>INDEX('MPG Payment '!$D:$D,MATCH('Shayak Income '!D880,'MPG Payment '!E:E,0))</f>
        <v>Mahua BMC</v>
      </c>
      <c r="K880" s="125" t="s">
        <v>1323</v>
      </c>
      <c r="L880" s="125">
        <v>46102</v>
      </c>
      <c r="M880" s="126">
        <f>SUMIF('MPG Payment '!$E$3:$E$34579,'Shayak Income '!D880,'MPG Payment '!$I$3:$I$34579)</f>
        <v>67.2</v>
      </c>
      <c r="N880" s="126">
        <f>SUMIF('MPG Payment '!$E$3:$E$34579,'Shayak Income '!D880,'MPG Payment '!$J$3:$J$34579)</f>
        <v>3063.4256596512</v>
      </c>
      <c r="O880" s="126">
        <f t="shared" si="302"/>
        <v>50.400000000000006</v>
      </c>
      <c r="P880" s="126">
        <f t="shared" si="303"/>
        <v>63.839999999999996</v>
      </c>
      <c r="Q880" s="126">
        <f>SUMIF('MPG Payment '!$E$3:$E$34579,'Shayak Income '!D880,'MPG Payment '!$S$3:$S$34579)</f>
        <v>0</v>
      </c>
      <c r="R880" s="126">
        <f t="shared" si="304"/>
        <v>91.902769789535995</v>
      </c>
      <c r="S880" s="126">
        <f t="shared" si="305"/>
        <v>28.062769789535999</v>
      </c>
      <c r="T880" s="126">
        <f t="shared" si="295"/>
        <v>6.7200000000000006</v>
      </c>
      <c r="U880" s="127">
        <f>(((IF(K880="New",0,SUMIF('MPG Payment '!$E$3:$E$34579,'Shayak Income '!D880,'MPG Payment '!$AC$3:$AC$34579))))+0)+0</f>
        <v>0</v>
      </c>
      <c r="V880" s="127">
        <f t="shared" si="296"/>
        <v>108</v>
      </c>
      <c r="W880" s="19">
        <v>0</v>
      </c>
      <c r="X880" s="19">
        <v>0</v>
      </c>
      <c r="Y880" s="128">
        <f>IFERROR(VLOOKUP(D880,'Monthly Deduction'!$M$2:$N$64,2,0),0)</f>
        <v>0</v>
      </c>
      <c r="Z880" s="128">
        <v>0</v>
      </c>
      <c r="AA880" s="126">
        <f>IFERROR(VLOOKUP(D880,'Monthly Deduction'!A:B,2,0),0)</f>
        <v>0</v>
      </c>
      <c r="AB880" s="129">
        <f t="shared" si="306"/>
        <v>108</v>
      </c>
      <c r="AC880" s="130">
        <v>0</v>
      </c>
      <c r="AD880" s="35">
        <f t="shared" si="307"/>
        <v>108</v>
      </c>
      <c r="AE880" s="166" t="str">
        <f t="shared" si="308"/>
        <v>Release</v>
      </c>
      <c r="AF880" s="127"/>
      <c r="AG880" s="18">
        <v>0</v>
      </c>
      <c r="AH880" s="120"/>
      <c r="AI880" s="238">
        <v>0</v>
      </c>
      <c r="AJ880" s="132"/>
      <c r="AK880" s="151">
        <v>26.099999999999998</v>
      </c>
      <c r="AL880" s="154">
        <f t="shared" si="309"/>
        <v>0</v>
      </c>
      <c r="AM880" s="155"/>
      <c r="AN880" s="19">
        <f t="shared" si="292"/>
        <v>0</v>
      </c>
      <c r="AO880" s="118">
        <f>SUMIF('MPG Payment '!E:E,'Shayak Income '!D880,'MPG Payment '!AJ:AJ)</f>
        <v>0</v>
      </c>
      <c r="AP880" s="19">
        <f t="shared" si="293"/>
        <v>0</v>
      </c>
      <c r="AQ880" s="119">
        <f t="shared" si="310"/>
        <v>0</v>
      </c>
      <c r="AR880" s="91" t="s">
        <v>1168</v>
      </c>
      <c r="AS880" s="91">
        <f t="shared" si="294"/>
        <v>0</v>
      </c>
      <c r="AT880" s="118"/>
      <c r="AU880" s="118"/>
      <c r="AV880" s="118"/>
    </row>
    <row r="881" spans="1:48" s="20" customFormat="1" x14ac:dyDescent="0.25">
      <c r="A881" s="17">
        <f>IFERROR(VLOOKUP(D881,'Monthly Deduction'!$I$3:$J$957,2,0),0)</f>
        <v>65000</v>
      </c>
      <c r="B881" s="17">
        <f>IFERROR(VLOOKUP(D881,'Monthly Deduction'!$E$3:$F$957,2,0),0)</f>
        <v>0</v>
      </c>
      <c r="C881" s="17">
        <f t="shared" si="301"/>
        <v>65000</v>
      </c>
      <c r="D881" s="41">
        <v>10610024</v>
      </c>
      <c r="E881" s="122" t="str">
        <f>VLOOKUP(D881,'MPG Payment '!$E$3:$G$498218,2,0)</f>
        <v>GOMUKH KAILA JALALPUR</v>
      </c>
      <c r="F881" s="146">
        <f>IFERROR(_xlfn.XLOOKUP(D881,'Monthly Deduction'!$I$3:$I$957,'Monthly Deduction'!$H$3:$H$957),0)</f>
        <v>0</v>
      </c>
      <c r="G881" s="123" t="str">
        <f>VLOOKUP(D881,'MPG Payment '!$E$3:$G$334579,3,0)</f>
        <v>MPG</v>
      </c>
      <c r="H881" s="124" t="str">
        <f>VLOOKUP(D881,'MPG Payment '!$E$3:$H$334579,4,0)</f>
        <v>Direct</v>
      </c>
      <c r="I881" s="88">
        <f>INDEX('MPG Payment '!$C:$C,MATCH('Shayak Income '!D881,'MPG Payment '!E:E,0))</f>
        <v>1061</v>
      </c>
      <c r="J881" s="88" t="str">
        <f>INDEX('MPG Payment '!$D:$D,MATCH('Shayak Income '!D881,'MPG Payment '!E:E,0))</f>
        <v>Mahua BMC</v>
      </c>
      <c r="K881" s="125" t="s">
        <v>1323</v>
      </c>
      <c r="L881" s="125">
        <v>46107</v>
      </c>
      <c r="M881" s="126">
        <f>SUMIF('MPG Payment '!$E$3:$E$34579,'Shayak Income '!D881,'MPG Payment '!$I$3:$I$34579)</f>
        <v>1017.0999999999999</v>
      </c>
      <c r="N881" s="126">
        <f>SUMIF('MPG Payment '!$E$3:$E$34579,'Shayak Income '!D881,'MPG Payment '!$J$3:$J$34579)</f>
        <v>38892.768837470008</v>
      </c>
      <c r="O881" s="126">
        <f t="shared" si="302"/>
        <v>762.82499999999993</v>
      </c>
      <c r="P881" s="126">
        <f t="shared" si="303"/>
        <v>966.24499999999989</v>
      </c>
      <c r="Q881" s="126">
        <f>SUMIF('MPG Payment '!$E$3:$E$34579,'Shayak Income '!D881,'MPG Payment '!$S$3:$S$34579)</f>
        <v>517.77916990327503</v>
      </c>
      <c r="R881" s="126">
        <f t="shared" si="304"/>
        <v>1166.7830651241002</v>
      </c>
      <c r="S881" s="126">
        <f t="shared" si="305"/>
        <v>200.53806512410029</v>
      </c>
      <c r="T881" s="126">
        <f t="shared" si="295"/>
        <v>101.71</v>
      </c>
      <c r="U881" s="127">
        <f>(((IF(K881="New",0,SUMIF('MPG Payment '!$E$3:$E$34579,'Shayak Income '!D881,'MPG Payment '!$AC$3:$AC$34579))))+0)+0</f>
        <v>0</v>
      </c>
      <c r="V881" s="127">
        <f t="shared" si="296"/>
        <v>2145</v>
      </c>
      <c r="W881" s="19">
        <v>0</v>
      </c>
      <c r="X881" s="19">
        <v>0</v>
      </c>
      <c r="Y881" s="128">
        <f>IFERROR(VLOOKUP(D881,'Monthly Deduction'!$M$2:$N$64,2,0),0)</f>
        <v>0</v>
      </c>
      <c r="Z881" s="128">
        <v>0</v>
      </c>
      <c r="AA881" s="126">
        <f>IFERROR(VLOOKUP(D881,'Monthly Deduction'!A:B,2,0),0)</f>
        <v>0</v>
      </c>
      <c r="AB881" s="129">
        <f t="shared" si="306"/>
        <v>2145</v>
      </c>
      <c r="AC881" s="130">
        <v>0</v>
      </c>
      <c r="AD881" s="35">
        <f t="shared" si="307"/>
        <v>2145</v>
      </c>
      <c r="AE881" s="166" t="str">
        <f t="shared" si="308"/>
        <v>Release</v>
      </c>
      <c r="AF881" s="127"/>
      <c r="AG881" s="18">
        <v>0</v>
      </c>
      <c r="AH881" s="120" t="s">
        <v>1653</v>
      </c>
      <c r="AI881" s="238">
        <v>0</v>
      </c>
      <c r="AJ881" s="132" t="s">
        <v>68</v>
      </c>
      <c r="AK881" s="151">
        <v>244.9</v>
      </c>
      <c r="AL881" s="154">
        <f t="shared" si="309"/>
        <v>0</v>
      </c>
      <c r="AM881" s="155"/>
      <c r="AN881" s="19">
        <f t="shared" si="292"/>
        <v>1861</v>
      </c>
      <c r="AO881" s="118">
        <f>SUMIF('MPG Payment '!E:E,'Shayak Income '!D881,'MPG Payment '!AJ:AJ)</f>
        <v>0</v>
      </c>
      <c r="AP881" s="19">
        <f t="shared" si="293"/>
        <v>0</v>
      </c>
      <c r="AQ881" s="119">
        <f t="shared" si="310"/>
        <v>0</v>
      </c>
      <c r="AR881" s="91" t="s">
        <v>1168</v>
      </c>
      <c r="AS881" s="91">
        <f t="shared" si="294"/>
        <v>0</v>
      </c>
      <c r="AT881" s="118"/>
      <c r="AU881" s="118"/>
      <c r="AV881" s="118"/>
    </row>
    <row r="882" spans="1:48" s="20" customFormat="1" x14ac:dyDescent="0.25">
      <c r="A882" s="17">
        <f>IFERROR(VLOOKUP(D882,'Monthly Deduction'!$I$3:$J$957,2,0),0)</f>
        <v>85000</v>
      </c>
      <c r="B882" s="17">
        <f>IFERROR(VLOOKUP(D882,'Monthly Deduction'!$E$3:$F$957,2,0),0)</f>
        <v>0</v>
      </c>
      <c r="C882" s="17">
        <f t="shared" si="301"/>
        <v>85000</v>
      </c>
      <c r="D882" s="41">
        <v>10630015</v>
      </c>
      <c r="E882" s="122" t="str">
        <f>VLOOKUP(D882,'MPG Payment '!$E$3:$G$498218,2,0)</f>
        <v>Maheshwara</v>
      </c>
      <c r="F882" s="146">
        <f>IFERROR(_xlfn.XLOOKUP(D882,'Monthly Deduction'!$I$3:$I$957,'Monthly Deduction'!$H$3:$H$957),0)</f>
        <v>0</v>
      </c>
      <c r="G882" s="123" t="str">
        <f>VLOOKUP(D882,'MPG Payment '!$E$3:$G$334579,3,0)</f>
        <v>MPG</v>
      </c>
      <c r="H882" s="124" t="str">
        <f>VLOOKUP(D882,'MPG Payment '!$E$3:$H$334579,4,0)</f>
        <v>Direct</v>
      </c>
      <c r="I882" s="88">
        <f>INDEX('MPG Payment '!$C:$C,MATCH('Shayak Income '!D882,'MPG Payment '!E:E,0))</f>
        <v>1057</v>
      </c>
      <c r="J882" s="88" t="str">
        <f>INDEX('MPG Payment '!$D:$D,MATCH('Shayak Income '!D882,'MPG Payment '!E:E,0))</f>
        <v>Warisnagar</v>
      </c>
      <c r="K882" s="125" t="s">
        <v>1323</v>
      </c>
      <c r="L882" s="125">
        <v>46101</v>
      </c>
      <c r="M882" s="126">
        <f>SUMIF('MPG Payment '!$E$3:$E$34579,'Shayak Income '!D882,'MPG Payment '!$I$3:$I$34579)</f>
        <v>809.00000000000011</v>
      </c>
      <c r="N882" s="126">
        <f>SUMIF('MPG Payment '!$E$3:$E$34579,'Shayak Income '!D882,'MPG Payment '!$J$3:$J$34579)</f>
        <v>30175.434350854401</v>
      </c>
      <c r="O882" s="126">
        <f t="shared" si="302"/>
        <v>606.75000000000011</v>
      </c>
      <c r="P882" s="126">
        <f t="shared" si="303"/>
        <v>768.55000000000007</v>
      </c>
      <c r="Q882" s="126">
        <f>SUMIF('MPG Payment '!$E$3:$E$34579,'Shayak Income '!D882,'MPG Payment '!$S$3:$S$34579)</f>
        <v>0</v>
      </c>
      <c r="R882" s="126">
        <f t="shared" si="304"/>
        <v>905.26303052563196</v>
      </c>
      <c r="S882" s="126">
        <f t="shared" si="305"/>
        <v>136.71303052563189</v>
      </c>
      <c r="T882" s="126">
        <f t="shared" si="295"/>
        <v>80.90000000000002</v>
      </c>
      <c r="U882" s="127">
        <f>(((IF(K882="New",0,SUMIF('MPG Payment '!$E$3:$E$34579,'Shayak Income '!D882,'MPG Payment '!$AC$3:$AC$34579))))+0)+0</f>
        <v>0</v>
      </c>
      <c r="V882" s="127">
        <f t="shared" si="296"/>
        <v>1294</v>
      </c>
      <c r="W882" s="19">
        <v>0</v>
      </c>
      <c r="X882" s="19">
        <v>0</v>
      </c>
      <c r="Y882" s="128">
        <f>IFERROR(VLOOKUP(D882,'Monthly Deduction'!$M$2:$N$64,2,0),0)</f>
        <v>0</v>
      </c>
      <c r="Z882" s="128">
        <v>0</v>
      </c>
      <c r="AA882" s="126">
        <f>IFERROR(VLOOKUP(D882,'Monthly Deduction'!A:B,2,0),0)</f>
        <v>0</v>
      </c>
      <c r="AB882" s="129">
        <f t="shared" si="306"/>
        <v>1294</v>
      </c>
      <c r="AC882" s="130">
        <f t="shared" ref="AC882" si="313">AB882</f>
        <v>1294</v>
      </c>
      <c r="AD882" s="35">
        <f t="shared" si="307"/>
        <v>0</v>
      </c>
      <c r="AE882" s="166" t="str">
        <f t="shared" si="308"/>
        <v>Yes</v>
      </c>
      <c r="AF882" s="127"/>
      <c r="AG882" s="18">
        <v>0</v>
      </c>
      <c r="AH882" s="120" t="s">
        <v>1650</v>
      </c>
      <c r="AI882" s="238">
        <v>20000</v>
      </c>
      <c r="AJ882" s="132"/>
      <c r="AK882" s="151">
        <v>227.60000000000002</v>
      </c>
      <c r="AL882" s="154">
        <f t="shared" si="309"/>
        <v>0</v>
      </c>
      <c r="AM882" s="155"/>
      <c r="AN882" s="19">
        <f t="shared" si="292"/>
        <v>1861</v>
      </c>
      <c r="AO882" s="118">
        <f>SUMIF('MPG Payment '!E:E,'Shayak Income '!D882,'MPG Payment '!AJ:AJ)</f>
        <v>0</v>
      </c>
      <c r="AP882" s="19">
        <f t="shared" si="293"/>
        <v>0</v>
      </c>
      <c r="AQ882" s="119">
        <f t="shared" si="310"/>
        <v>0</v>
      </c>
      <c r="AR882" s="91" t="s">
        <v>1168</v>
      </c>
      <c r="AS882" s="91">
        <f t="shared" si="294"/>
        <v>0</v>
      </c>
      <c r="AT882" s="118"/>
      <c r="AU882" s="118"/>
      <c r="AV882" s="118"/>
    </row>
    <row r="883" spans="1:48" s="20" customFormat="1" x14ac:dyDescent="0.25">
      <c r="A883" s="17">
        <f>IFERROR(VLOOKUP(D883,'Monthly Deduction'!$I$3:$J$957,2,0),0)</f>
        <v>0</v>
      </c>
      <c r="B883" s="17">
        <f>IFERROR(VLOOKUP(D883,'Monthly Deduction'!$E$3:$F$957,2,0),0)</f>
        <v>0</v>
      </c>
      <c r="C883" s="17">
        <f t="shared" si="301"/>
        <v>0</v>
      </c>
      <c r="D883" s="41">
        <v>10640010</v>
      </c>
      <c r="E883" s="122" t="str">
        <f>VLOOKUP(D883,'MPG Payment '!$E$3:$G$498218,2,0)</f>
        <v>SISAUNA VLC</v>
      </c>
      <c r="F883" s="146">
        <f>IFERROR(_xlfn.XLOOKUP(D883,'Monthly Deduction'!$I$3:$I$957,'Monthly Deduction'!$H$3:$H$957),0)</f>
        <v>0</v>
      </c>
      <c r="G883" s="123" t="str">
        <f>VLOOKUP(D883,'MPG Payment '!$E$3:$G$334579,3,0)</f>
        <v>vlc</v>
      </c>
      <c r="H883" s="124" t="str">
        <f>VLOOKUP(D883,'MPG Payment '!$E$3:$H$334579,4,0)</f>
        <v>Indirect</v>
      </c>
      <c r="I883" s="88">
        <f>INDEX('MPG Payment '!$C:$C,MATCH('Shayak Income '!D883,'MPG Payment '!E:E,0))</f>
        <v>1062</v>
      </c>
      <c r="J883" s="88" t="str">
        <f>INDEX('MPG Payment '!$D:$D,MATCH('Shayak Income '!D883,'MPG Payment '!E:E,0))</f>
        <v>Singhia BMC</v>
      </c>
      <c r="K883" s="125" t="s">
        <v>1323</v>
      </c>
      <c r="L883" s="125">
        <v>46104</v>
      </c>
      <c r="M883" s="126">
        <f>SUMIF('MPG Payment '!$E$3:$E$34579,'Shayak Income '!D883,'MPG Payment '!$I$3:$I$34579)</f>
        <v>1102.46</v>
      </c>
      <c r="N883" s="126">
        <f>SUMIF('MPG Payment '!$E$3:$E$34579,'Shayak Income '!D883,'MPG Payment '!$J$3:$J$34579)</f>
        <v>41108.689402705051</v>
      </c>
      <c r="O883" s="126">
        <f t="shared" si="302"/>
        <v>826.84500000000003</v>
      </c>
      <c r="P883" s="126">
        <f t="shared" si="303"/>
        <v>1047.337</v>
      </c>
      <c r="Q883" s="126">
        <f>SUMIF('MPG Payment '!$E$3:$E$34579,'Shayak Income '!D883,'MPG Payment '!$S$3:$S$34579)</f>
        <v>0</v>
      </c>
      <c r="R883" s="126">
        <f t="shared" si="304"/>
        <v>1233.2606820811516</v>
      </c>
      <c r="S883" s="126">
        <f t="shared" si="305"/>
        <v>185.92368208115158</v>
      </c>
      <c r="T883" s="126">
        <f t="shared" si="295"/>
        <v>110.24600000000001</v>
      </c>
      <c r="U883" s="127">
        <f>(((IF(K883="New",0,SUMIF('MPG Payment '!$E$3:$E$34579,'Shayak Income '!D883,'MPG Payment '!$AC$3:$AC$34579))))+0)+0</f>
        <v>0</v>
      </c>
      <c r="V883" s="127">
        <f t="shared" si="296"/>
        <v>1764</v>
      </c>
      <c r="W883" s="19">
        <v>0</v>
      </c>
      <c r="X883" s="19">
        <v>0</v>
      </c>
      <c r="Y883" s="128">
        <f>IFERROR(VLOOKUP(D883,'Monthly Deduction'!$M$2:$N$64,2,0),0)</f>
        <v>0</v>
      </c>
      <c r="Z883" s="128">
        <v>0</v>
      </c>
      <c r="AA883" s="126">
        <f>IFERROR(VLOOKUP(D883,'Monthly Deduction'!A:B,2,0),0)</f>
        <v>0</v>
      </c>
      <c r="AB883" s="129">
        <f t="shared" si="306"/>
        <v>1764</v>
      </c>
      <c r="AC883" s="130">
        <v>0</v>
      </c>
      <c r="AD883" s="35">
        <f t="shared" si="307"/>
        <v>1764</v>
      </c>
      <c r="AE883" s="166" t="str">
        <f t="shared" si="308"/>
        <v>Release</v>
      </c>
      <c r="AF883" s="127"/>
      <c r="AG883" s="18">
        <v>0</v>
      </c>
      <c r="AH883" s="120"/>
      <c r="AI883" s="238">
        <v>0</v>
      </c>
      <c r="AJ883" s="132"/>
      <c r="AK883" s="151">
        <v>275.22999999999996</v>
      </c>
      <c r="AL883" s="154">
        <f t="shared" si="309"/>
        <v>0</v>
      </c>
      <c r="AM883" s="155"/>
      <c r="AN883" s="19">
        <f t="shared" si="292"/>
        <v>0</v>
      </c>
      <c r="AO883" s="118">
        <f>SUMIF('MPG Payment '!E:E,'Shayak Income '!D883,'MPG Payment '!AJ:AJ)</f>
        <v>0</v>
      </c>
      <c r="AP883" s="19">
        <f t="shared" si="293"/>
        <v>0</v>
      </c>
      <c r="AQ883" s="119">
        <f t="shared" si="310"/>
        <v>0</v>
      </c>
      <c r="AR883" s="91" t="s">
        <v>1168</v>
      </c>
      <c r="AS883" s="91">
        <f t="shared" si="294"/>
        <v>0</v>
      </c>
      <c r="AT883" s="118"/>
      <c r="AU883" s="118"/>
      <c r="AV883" s="118"/>
    </row>
    <row r="884" spans="1:48" s="20" customFormat="1" x14ac:dyDescent="0.25">
      <c r="A884" s="17">
        <f>IFERROR(VLOOKUP(D884,'Monthly Deduction'!$I$3:$J$957,2,0),0)</f>
        <v>0</v>
      </c>
      <c r="B884" s="17">
        <f>IFERROR(VLOOKUP(D884,'Monthly Deduction'!$E$3:$F$957,2,0),0)</f>
        <v>0</v>
      </c>
      <c r="C884" s="17">
        <f t="shared" si="265"/>
        <v>0</v>
      </c>
      <c r="D884" s="41">
        <v>10640011</v>
      </c>
      <c r="E884" s="122" t="str">
        <f>VLOOKUP(D884,'MPG Payment '!$E$3:$G$498218,2,0)</f>
        <v xml:space="preserve">Aditya Bishwas </v>
      </c>
      <c r="F884" s="146">
        <f>IFERROR(_xlfn.XLOOKUP(D884,'Monthly Deduction'!$I$3:$I$957,'Monthly Deduction'!$H$3:$H$957),0)</f>
        <v>0</v>
      </c>
      <c r="G884" s="123" t="str">
        <f>VLOOKUP(D884,'MPG Payment '!$E$3:$G$334579,3,0)</f>
        <v>vlc</v>
      </c>
      <c r="H884" s="124" t="str">
        <f>VLOOKUP(D884,'MPG Payment '!$E$3:$H$334579,4,0)</f>
        <v>Indirect</v>
      </c>
      <c r="I884" s="88">
        <f>INDEX('MPG Payment '!$C:$C,MATCH('Shayak Income '!D884,'MPG Payment '!E:E,0))</f>
        <v>1062</v>
      </c>
      <c r="J884" s="88" t="str">
        <f>INDEX('MPG Payment '!$D:$D,MATCH('Shayak Income '!D884,'MPG Payment '!E:E,0))</f>
        <v>Singhia BMC</v>
      </c>
      <c r="K884" s="125" t="s">
        <v>1323</v>
      </c>
      <c r="L884" s="125">
        <v>46104</v>
      </c>
      <c r="M884" s="126">
        <f>SUMIF('MPG Payment '!$E$3:$E$34579,'Shayak Income '!D884,'MPG Payment '!$I$3:$I$34579)</f>
        <v>860.44999999999993</v>
      </c>
      <c r="N884" s="126">
        <f>SUMIF('MPG Payment '!$E$3:$E$34579,'Shayak Income '!D884,'MPG Payment '!$J$3:$J$34579)</f>
        <v>38408.87084827268</v>
      </c>
      <c r="O884" s="126">
        <f t="shared" si="252"/>
        <v>645.33749999999998</v>
      </c>
      <c r="P884" s="126">
        <f t="shared" si="253"/>
        <v>817.4274999999999</v>
      </c>
      <c r="Q884" s="126">
        <f>SUMIF('MPG Payment '!$E$3:$E$34579,'Shayak Income '!D884,'MPG Payment '!$S$3:$S$34579)</f>
        <v>0</v>
      </c>
      <c r="R884" s="126">
        <f t="shared" si="242"/>
        <v>1152.2661254481804</v>
      </c>
      <c r="S884" s="126">
        <f t="shared" si="243"/>
        <v>334.83862544818055</v>
      </c>
      <c r="T884" s="126">
        <f t="shared" si="295"/>
        <v>86.045000000000002</v>
      </c>
      <c r="U884" s="127">
        <f>(((IF(K884="New",0,SUMIF('MPG Payment '!$E$3:$E$34579,'Shayak Income '!D884,'MPG Payment '!$AC$3:$AC$34579))))+0)+0</f>
        <v>0</v>
      </c>
      <c r="V884" s="127">
        <f t="shared" si="296"/>
        <v>1377</v>
      </c>
      <c r="W884" s="19">
        <v>0</v>
      </c>
      <c r="X884" s="19">
        <v>0</v>
      </c>
      <c r="Y884" s="128">
        <f>IFERROR(VLOOKUP(D884,'Monthly Deduction'!$M$2:$N$64,2,0),0)</f>
        <v>0</v>
      </c>
      <c r="Z884" s="128">
        <v>0</v>
      </c>
      <c r="AA884" s="126">
        <f>IFERROR(VLOOKUP(D884,'Monthly Deduction'!A:B,2,0),0)</f>
        <v>0</v>
      </c>
      <c r="AB884" s="129">
        <f t="shared" si="244"/>
        <v>1377</v>
      </c>
      <c r="AC884" s="130">
        <v>0</v>
      </c>
      <c r="AD884" s="35">
        <f t="shared" si="266"/>
        <v>1377</v>
      </c>
      <c r="AE884" s="166" t="str">
        <f t="shared" si="258"/>
        <v>Release</v>
      </c>
      <c r="AF884" s="127"/>
      <c r="AG884" s="18">
        <v>0</v>
      </c>
      <c r="AH884" s="120"/>
      <c r="AI884" s="238">
        <v>0</v>
      </c>
      <c r="AJ884" s="132"/>
      <c r="AK884" s="151">
        <v>304.86</v>
      </c>
      <c r="AL884" s="154">
        <f t="shared" si="267"/>
        <v>0</v>
      </c>
      <c r="AM884" s="155"/>
      <c r="AN884" s="19">
        <f t="shared" si="292"/>
        <v>0</v>
      </c>
      <c r="AO884" s="118">
        <f>SUMIF('MPG Payment '!E:E,'Shayak Income '!D884,'MPG Payment '!AJ:AJ)</f>
        <v>0</v>
      </c>
      <c r="AP884" s="19">
        <f t="shared" si="293"/>
        <v>0</v>
      </c>
      <c r="AQ884" s="119">
        <f t="shared" si="268"/>
        <v>0</v>
      </c>
      <c r="AR884" s="91" t="s">
        <v>1168</v>
      </c>
      <c r="AS884" s="91">
        <f t="shared" si="294"/>
        <v>0</v>
      </c>
      <c r="AT884" s="118"/>
      <c r="AU884" s="118"/>
      <c r="AV884" s="118"/>
    </row>
    <row r="885" spans="1:48" s="20" customFormat="1" x14ac:dyDescent="0.25">
      <c r="A885" s="17">
        <f>IFERROR(VLOOKUP(D885,'Monthly Deduction'!$I$3:$J$957,2,0),0)</f>
        <v>75000</v>
      </c>
      <c r="B885" s="17">
        <f>IFERROR(VLOOKUP(D885,'Monthly Deduction'!$E$3:$F$957,2,0),0)</f>
        <v>0</v>
      </c>
      <c r="C885" s="17">
        <f t="shared" si="265"/>
        <v>75000</v>
      </c>
      <c r="D885" s="41">
        <v>10010143</v>
      </c>
      <c r="E885" s="122" t="str">
        <f>VLOOKUP(D885,'MPG Payment '!$E$3:$G$498218,2,0)</f>
        <v>Gomukh Akaha</v>
      </c>
      <c r="F885" s="146">
        <f>IFERROR(_xlfn.XLOOKUP(D885,'Monthly Deduction'!$I$3:$I$957,'Monthly Deduction'!$H$3:$H$957),0)</f>
        <v>0</v>
      </c>
      <c r="G885" s="123" t="str">
        <f>VLOOKUP(D885,'MPG Payment '!$E$3:$G$334579,3,0)</f>
        <v>MPG</v>
      </c>
      <c r="H885" s="124" t="str">
        <f>VLOOKUP(D885,'MPG Payment '!$E$3:$H$334579,4,0)</f>
        <v>Direct</v>
      </c>
      <c r="I885" s="88">
        <f>INDEX('MPG Payment '!$C:$C,MATCH('Shayak Income '!D885,'MPG Payment '!E:E,0))</f>
        <v>1001</v>
      </c>
      <c r="J885" s="88" t="str">
        <f>INDEX('MPG Payment '!$D:$D,MATCH('Shayak Income '!D885,'MPG Payment '!E:E,0))</f>
        <v>Majhaul</v>
      </c>
      <c r="K885" s="125" t="s">
        <v>1323</v>
      </c>
      <c r="L885" s="125">
        <v>46112</v>
      </c>
      <c r="M885" s="126">
        <f>SUMIF('MPG Payment '!$E$3:$E$34579,'Shayak Income '!D885,'MPG Payment '!$I$3:$I$34579)</f>
        <v>671.69999999999993</v>
      </c>
      <c r="N885" s="126">
        <f>SUMIF('MPG Payment '!$E$3:$E$34579,'Shayak Income '!D885,'MPG Payment '!$J$3:$J$34579)</f>
        <v>23568.178934852003</v>
      </c>
      <c r="O885" s="126">
        <f t="shared" si="252"/>
        <v>503.77499999999998</v>
      </c>
      <c r="P885" s="126">
        <f t="shared" si="253"/>
        <v>638.1149999999999</v>
      </c>
      <c r="Q885" s="126">
        <f>SUMIF('MPG Payment '!$E$3:$E$34579,'Shayak Income '!D885,'MPG Payment '!$S$3:$S$34579)</f>
        <v>0</v>
      </c>
      <c r="R885" s="126">
        <f t="shared" si="242"/>
        <v>707.04536804556005</v>
      </c>
      <c r="S885" s="126">
        <f t="shared" si="243"/>
        <v>68.930368045560158</v>
      </c>
      <c r="T885" s="126">
        <f t="shared" si="295"/>
        <v>67.17</v>
      </c>
      <c r="U885" s="127">
        <f>(((IF(K885="New",0,SUMIF('MPG Payment '!$E$3:$E$34579,'Shayak Income '!D885,'MPG Payment '!$AC$3:$AC$34579))))+0)+0</f>
        <v>0</v>
      </c>
      <c r="V885" s="127">
        <f t="shared" si="296"/>
        <v>1075</v>
      </c>
      <c r="W885" s="19">
        <v>0</v>
      </c>
      <c r="X885" s="19">
        <v>0</v>
      </c>
      <c r="Y885" s="128">
        <f>IFERROR(VLOOKUP(D885,'Monthly Deduction'!$M$2:$N$64,2,0),0)</f>
        <v>0</v>
      </c>
      <c r="Z885" s="128">
        <v>0</v>
      </c>
      <c r="AA885" s="126">
        <f>IFERROR(VLOOKUP(D885,'Monthly Deduction'!A:B,2,0),0)</f>
        <v>0</v>
      </c>
      <c r="AB885" s="129">
        <f t="shared" si="244"/>
        <v>1075</v>
      </c>
      <c r="AC885" s="130">
        <f t="shared" ref="AC885:AC889" si="314">AB885</f>
        <v>1075</v>
      </c>
      <c r="AD885" s="35">
        <f t="shared" si="266"/>
        <v>0</v>
      </c>
      <c r="AE885" s="166" t="str">
        <f t="shared" si="258"/>
        <v>Yes</v>
      </c>
      <c r="AF885" s="127"/>
      <c r="AG885" s="18">
        <v>0</v>
      </c>
      <c r="AH885" s="120" t="s">
        <v>1646</v>
      </c>
      <c r="AI885" s="238">
        <v>10000</v>
      </c>
      <c r="AJ885" s="132"/>
      <c r="AK885" s="151">
        <v>206.6</v>
      </c>
      <c r="AL885" s="154">
        <f t="shared" si="267"/>
        <v>0</v>
      </c>
      <c r="AM885" s="155"/>
      <c r="AN885" s="19">
        <f t="shared" si="292"/>
        <v>1861</v>
      </c>
      <c r="AO885" s="118">
        <f>SUMIF('MPG Payment '!E:E,'Shayak Income '!D885,'MPG Payment '!AJ:AJ)</f>
        <v>0</v>
      </c>
      <c r="AP885" s="19">
        <f t="shared" si="293"/>
        <v>0</v>
      </c>
      <c r="AQ885" s="119">
        <f t="shared" si="268"/>
        <v>0</v>
      </c>
      <c r="AR885" s="91" t="s">
        <v>1168</v>
      </c>
      <c r="AS885" s="91">
        <f t="shared" si="294"/>
        <v>0</v>
      </c>
      <c r="AT885" s="118"/>
      <c r="AU885" s="118"/>
      <c r="AV885" s="118"/>
    </row>
    <row r="886" spans="1:48" s="20" customFormat="1" x14ac:dyDescent="0.25">
      <c r="A886" s="17">
        <f>IFERROR(VLOOKUP(D886,'Monthly Deduction'!$I$3:$J$957,2,0),0)</f>
        <v>75000</v>
      </c>
      <c r="B886" s="17">
        <f>IFERROR(VLOOKUP(D886,'Monthly Deduction'!$E$3:$F$957,2,0),0)</f>
        <v>0</v>
      </c>
      <c r="C886" s="17">
        <f t="shared" ref="C886" si="315">A886+B886</f>
        <v>75000</v>
      </c>
      <c r="D886" s="41">
        <v>10010144</v>
      </c>
      <c r="E886" s="122" t="str">
        <f>VLOOKUP(D886,'MPG Payment '!$E$3:$G$498218,2,0)</f>
        <v>Gomukh Rajakpur</v>
      </c>
      <c r="F886" s="146">
        <f>IFERROR(_xlfn.XLOOKUP(D886,'Monthly Deduction'!$I$3:$I$957,'Monthly Deduction'!$H$3:$H$957),0)</f>
        <v>0</v>
      </c>
      <c r="G886" s="123" t="str">
        <f>VLOOKUP(D886,'MPG Payment '!$E$3:$G$334579,3,0)</f>
        <v>MPG</v>
      </c>
      <c r="H886" s="124" t="str">
        <f>VLOOKUP(D886,'MPG Payment '!$E$3:$H$334579,4,0)</f>
        <v>Direct</v>
      </c>
      <c r="I886" s="88">
        <f>INDEX('MPG Payment '!$C:$C,MATCH('Shayak Income '!D886,'MPG Payment '!E:E,0))</f>
        <v>1001</v>
      </c>
      <c r="J886" s="88" t="str">
        <f>INDEX('MPG Payment '!$D:$D,MATCH('Shayak Income '!D886,'MPG Payment '!E:E,0))</f>
        <v>Majhaul</v>
      </c>
      <c r="K886" s="125" t="s">
        <v>1323</v>
      </c>
      <c r="L886" s="125">
        <v>46112</v>
      </c>
      <c r="M886" s="126">
        <f>SUMIF('MPG Payment '!$E$3:$E$34579,'Shayak Income '!D886,'MPG Payment '!$I$3:$I$34579)</f>
        <v>143.19999999999999</v>
      </c>
      <c r="N886" s="126">
        <f>SUMIF('MPG Payment '!$E$3:$E$34579,'Shayak Income '!D886,'MPG Payment '!$J$3:$J$34579)</f>
        <v>4419.4834667879995</v>
      </c>
      <c r="O886" s="126">
        <f t="shared" si="252"/>
        <v>107.39999999999999</v>
      </c>
      <c r="P886" s="126">
        <f t="shared" si="253"/>
        <v>136.04</v>
      </c>
      <c r="Q886" s="126">
        <f>SUMIF('MPG Payment '!$E$3:$E$34579,'Shayak Income '!D886,'MPG Payment '!$S$3:$S$34579)</f>
        <v>0</v>
      </c>
      <c r="R886" s="126">
        <f t="shared" si="242"/>
        <v>132.58450400363998</v>
      </c>
      <c r="S886" s="126">
        <f t="shared" si="243"/>
        <v>-3.455495996360014</v>
      </c>
      <c r="T886" s="126">
        <f t="shared" si="295"/>
        <v>14.32</v>
      </c>
      <c r="U886" s="127">
        <f>(((IF(K886="New",0,SUMIF('MPG Payment '!$E$3:$E$34579,'Shayak Income '!D886,'MPG Payment '!$AC$3:$AC$34579))))+0)+0</f>
        <v>0</v>
      </c>
      <c r="V886" s="127">
        <f t="shared" si="296"/>
        <v>229</v>
      </c>
      <c r="W886" s="19">
        <v>0</v>
      </c>
      <c r="X886" s="19">
        <v>0</v>
      </c>
      <c r="Y886" s="128">
        <f>IFERROR(VLOOKUP(D886,'Monthly Deduction'!$M$2:$N$64,2,0),0)</f>
        <v>0</v>
      </c>
      <c r="Z886" s="128">
        <v>0</v>
      </c>
      <c r="AA886" s="126">
        <f>IFERROR(VLOOKUP(D886,'Monthly Deduction'!A:B,2,0),0)</f>
        <v>0</v>
      </c>
      <c r="AB886" s="129">
        <f t="shared" si="244"/>
        <v>229</v>
      </c>
      <c r="AC886" s="130">
        <f t="shared" si="314"/>
        <v>229</v>
      </c>
      <c r="AD886" s="35">
        <f t="shared" ref="AD886" si="316">ROUND(AB886-AC886,0)</f>
        <v>0</v>
      </c>
      <c r="AE886" s="166" t="str">
        <f t="shared" si="258"/>
        <v>Yes</v>
      </c>
      <c r="AF886" s="127"/>
      <c r="AG886" s="18">
        <v>0</v>
      </c>
      <c r="AH886" s="120" t="s">
        <v>1646</v>
      </c>
      <c r="AI886" s="238">
        <v>10000</v>
      </c>
      <c r="AJ886" s="132"/>
      <c r="AK886" s="151">
        <v>97.399999999999991</v>
      </c>
      <c r="AL886" s="154">
        <f t="shared" ref="AL886" si="317">COUNTIF(AK886:AK886,"=NA")</f>
        <v>0</v>
      </c>
      <c r="AM886" s="155"/>
      <c r="AN886" s="19">
        <f t="shared" si="292"/>
        <v>1861</v>
      </c>
      <c r="AO886" s="118">
        <f>SUMIF('MPG Payment '!E:E,'Shayak Income '!D886,'MPG Payment '!AJ:AJ)</f>
        <v>0</v>
      </c>
      <c r="AP886" s="19">
        <f t="shared" si="293"/>
        <v>0</v>
      </c>
      <c r="AQ886" s="119">
        <f t="shared" ref="AQ886" si="318">AO886+AP886</f>
        <v>0</v>
      </c>
      <c r="AR886" s="91" t="s">
        <v>1168</v>
      </c>
      <c r="AS886" s="91">
        <f t="shared" si="294"/>
        <v>0</v>
      </c>
      <c r="AT886" s="118"/>
      <c r="AU886" s="118"/>
      <c r="AV886" s="118"/>
    </row>
    <row r="887" spans="1:48" s="20" customFormat="1" x14ac:dyDescent="0.25">
      <c r="A887" s="17">
        <f>IFERROR(VLOOKUP(D887,'Monthly Deduction'!$I$3:$J$957,2,0),0)</f>
        <v>75000</v>
      </c>
      <c r="B887" s="17">
        <f>IFERROR(VLOOKUP(D887,'Monthly Deduction'!$E$3:$F$957,2,0),0)</f>
        <v>0</v>
      </c>
      <c r="C887" s="17">
        <f t="shared" ref="C887:C947" si="319">A887+B887</f>
        <v>75000</v>
      </c>
      <c r="D887" s="41">
        <v>10010145</v>
      </c>
      <c r="E887" s="122" t="str">
        <f>VLOOKUP(D887,'MPG Payment '!$E$3:$G$498218,2,0)</f>
        <v>Gomukh Mohanpur</v>
      </c>
      <c r="F887" s="146">
        <f>IFERROR(_xlfn.XLOOKUP(D887,'Monthly Deduction'!$I$3:$I$957,'Monthly Deduction'!$H$3:$H$957),0)</f>
        <v>0</v>
      </c>
      <c r="G887" s="123" t="str">
        <f>VLOOKUP(D887,'MPG Payment '!$E$3:$G$334579,3,0)</f>
        <v>MPG</v>
      </c>
      <c r="H887" s="124" t="str">
        <f>VLOOKUP(D887,'MPG Payment '!$E$3:$H$334579,4,0)</f>
        <v>Direct</v>
      </c>
      <c r="I887" s="88">
        <f>INDEX('MPG Payment '!$C:$C,MATCH('Shayak Income '!D887,'MPG Payment '!E:E,0))</f>
        <v>1001</v>
      </c>
      <c r="J887" s="88" t="str">
        <f>INDEX('MPG Payment '!$D:$D,MATCH('Shayak Income '!D887,'MPG Payment '!E:E,0))</f>
        <v>Majhaul</v>
      </c>
      <c r="K887" s="125" t="s">
        <v>1323</v>
      </c>
      <c r="L887" s="125">
        <v>46112</v>
      </c>
      <c r="M887" s="126">
        <f>SUMIF('MPG Payment '!$E$3:$E$34579,'Shayak Income '!D887,'MPG Payment '!$I$3:$I$34579)</f>
        <v>1082.3</v>
      </c>
      <c r="N887" s="126">
        <f>SUMIF('MPG Payment '!$E$3:$E$34579,'Shayak Income '!D887,'MPG Payment '!$J$3:$J$34579)</f>
        <v>41368.664629849998</v>
      </c>
      <c r="O887" s="126">
        <f t="shared" ref="O887:O947" si="320">+M887*0.75</f>
        <v>811.72499999999991</v>
      </c>
      <c r="P887" s="126">
        <f t="shared" ref="P887:P947" si="321">+M887*0.95</f>
        <v>1028.1849999999999</v>
      </c>
      <c r="Q887" s="126">
        <f>SUMIF('MPG Payment '!$E$3:$E$34579,'Shayak Income '!D887,'MPG Payment '!$S$3:$S$34579)</f>
        <v>554.16436898325003</v>
      </c>
      <c r="R887" s="126">
        <f t="shared" ref="R887:R947" si="322">+N887*3%</f>
        <v>1241.0599388955</v>
      </c>
      <c r="S887" s="126">
        <f t="shared" ref="S887:S947" si="323">R887-P887</f>
        <v>212.87493889550001</v>
      </c>
      <c r="T887" s="126">
        <f t="shared" si="295"/>
        <v>108.23</v>
      </c>
      <c r="U887" s="127">
        <f>(((IF(K887="New",0,SUMIF('MPG Payment '!$E$3:$E$34579,'Shayak Income '!D887,'MPG Payment '!$AC$3:$AC$34579))))+0)+0</f>
        <v>0</v>
      </c>
      <c r="V887" s="127">
        <f t="shared" si="296"/>
        <v>2286</v>
      </c>
      <c r="W887" s="19">
        <v>0</v>
      </c>
      <c r="X887" s="19">
        <v>0</v>
      </c>
      <c r="Y887" s="128">
        <f>IFERROR(VLOOKUP(D887,'Monthly Deduction'!$M$2:$N$64,2,0),0)</f>
        <v>0</v>
      </c>
      <c r="Z887" s="128">
        <v>0</v>
      </c>
      <c r="AA887" s="126">
        <f>IFERROR(VLOOKUP(D887,'Monthly Deduction'!A:B,2,0),0)</f>
        <v>0</v>
      </c>
      <c r="AB887" s="129">
        <f t="shared" ref="AB887:AB947" si="324">ROUND(IFERROR(V887-SUM(W887:AA887),0),0)</f>
        <v>2286</v>
      </c>
      <c r="AC887" s="130">
        <f t="shared" si="314"/>
        <v>2286</v>
      </c>
      <c r="AD887" s="35">
        <f t="shared" ref="AD887:AD947" si="325">ROUND(AB887-AC887,0)</f>
        <v>0</v>
      </c>
      <c r="AE887" s="166" t="str">
        <f t="shared" ref="AE887:AE947" si="326">IF(AC887&lt;&gt;0,"Yes","Release")</f>
        <v>Yes</v>
      </c>
      <c r="AF887" s="127"/>
      <c r="AG887" s="18">
        <v>0</v>
      </c>
      <c r="AH887" s="120" t="s">
        <v>1646</v>
      </c>
      <c r="AI887" s="238">
        <v>10000</v>
      </c>
      <c r="AJ887" s="132"/>
      <c r="AK887" s="151">
        <v>259.3</v>
      </c>
      <c r="AL887" s="154">
        <f t="shared" ref="AL887:AL947" si="327">COUNTIF(AK887:AK887,"=NA")</f>
        <v>0</v>
      </c>
      <c r="AM887" s="155"/>
      <c r="AN887" s="19">
        <f t="shared" si="292"/>
        <v>1861</v>
      </c>
      <c r="AO887" s="118">
        <f>SUMIF('MPG Payment '!E:E,'Shayak Income '!D887,'MPG Payment '!AJ:AJ)</f>
        <v>0</v>
      </c>
      <c r="AP887" s="19">
        <f t="shared" si="293"/>
        <v>0</v>
      </c>
      <c r="AQ887" s="119">
        <f t="shared" ref="AQ887:AQ947" si="328">AO887+AP887</f>
        <v>0</v>
      </c>
      <c r="AR887" s="91" t="s">
        <v>1168</v>
      </c>
      <c r="AS887" s="91">
        <f t="shared" si="294"/>
        <v>0</v>
      </c>
      <c r="AT887" s="118"/>
      <c r="AU887" s="118"/>
      <c r="AV887" s="118"/>
    </row>
    <row r="888" spans="1:48" s="20" customFormat="1" x14ac:dyDescent="0.25">
      <c r="A888" s="17">
        <f>IFERROR(VLOOKUP(D888,'Monthly Deduction'!$I$3:$J$957,2,0),0)</f>
        <v>75000</v>
      </c>
      <c r="B888" s="17">
        <f>IFERROR(VLOOKUP(D888,'Monthly Deduction'!$E$3:$F$957,2,0),0)</f>
        <v>0</v>
      </c>
      <c r="C888" s="17">
        <f t="shared" si="319"/>
        <v>75000</v>
      </c>
      <c r="D888" s="41">
        <v>10010146</v>
      </c>
      <c r="E888" s="122" t="str">
        <f>VLOOKUP(D888,'MPG Payment '!$E$3:$G$498218,2,0)</f>
        <v>Gomukh Chakka</v>
      </c>
      <c r="F888" s="146">
        <f>IFERROR(_xlfn.XLOOKUP(D888,'Monthly Deduction'!$I$3:$I$957,'Monthly Deduction'!$H$3:$H$957),0)</f>
        <v>0</v>
      </c>
      <c r="G888" s="123" t="str">
        <f>VLOOKUP(D888,'MPG Payment '!$E$3:$G$334579,3,0)</f>
        <v>MPG</v>
      </c>
      <c r="H888" s="124" t="str">
        <f>VLOOKUP(D888,'MPG Payment '!$E$3:$H$334579,4,0)</f>
        <v>Direct</v>
      </c>
      <c r="I888" s="88">
        <f>INDEX('MPG Payment '!$C:$C,MATCH('Shayak Income '!D888,'MPG Payment '!E:E,0))</f>
        <v>1001</v>
      </c>
      <c r="J888" s="88" t="str">
        <f>INDEX('MPG Payment '!$D:$D,MATCH('Shayak Income '!D888,'MPG Payment '!E:E,0))</f>
        <v>Majhaul</v>
      </c>
      <c r="K888" s="125" t="s">
        <v>1323</v>
      </c>
      <c r="L888" s="125">
        <v>46112</v>
      </c>
      <c r="M888" s="126">
        <f>SUMIF('MPG Payment '!$E$3:$E$34579,'Shayak Income '!D888,'MPG Payment '!$I$3:$I$34579)</f>
        <v>851.40000000000009</v>
      </c>
      <c r="N888" s="126">
        <f>SUMIF('MPG Payment '!$E$3:$E$34579,'Shayak Income '!D888,'MPG Payment '!$J$3:$J$34579)</f>
        <v>30923.804682590002</v>
      </c>
      <c r="O888" s="126">
        <f t="shared" si="320"/>
        <v>638.55000000000007</v>
      </c>
      <c r="P888" s="126">
        <f t="shared" si="321"/>
        <v>808.83</v>
      </c>
      <c r="Q888" s="126">
        <f>SUMIF('MPG Payment '!$E$3:$E$34579,'Shayak Income '!D888,'MPG Payment '!$S$3:$S$34579)</f>
        <v>83.318152169400008</v>
      </c>
      <c r="R888" s="126">
        <f t="shared" si="322"/>
        <v>927.71414047769997</v>
      </c>
      <c r="S888" s="126">
        <f t="shared" si="323"/>
        <v>118.88414047769993</v>
      </c>
      <c r="T888" s="126">
        <f t="shared" si="295"/>
        <v>85.140000000000015</v>
      </c>
      <c r="U888" s="127">
        <f>(((IF(K888="New",0,SUMIF('MPG Payment '!$E$3:$E$34579,'Shayak Income '!D888,'MPG Payment '!$AC$3:$AC$34579))))+0)+0</f>
        <v>0</v>
      </c>
      <c r="V888" s="127">
        <f t="shared" si="296"/>
        <v>1446</v>
      </c>
      <c r="W888" s="19">
        <v>0</v>
      </c>
      <c r="X888" s="19">
        <v>0</v>
      </c>
      <c r="Y888" s="128">
        <f>IFERROR(VLOOKUP(D888,'Monthly Deduction'!$M$2:$N$64,2,0),0)</f>
        <v>0</v>
      </c>
      <c r="Z888" s="128">
        <v>0</v>
      </c>
      <c r="AA888" s="126">
        <f>IFERROR(VLOOKUP(D888,'Monthly Deduction'!A:B,2,0),0)</f>
        <v>0</v>
      </c>
      <c r="AB888" s="129">
        <f t="shared" si="324"/>
        <v>1446</v>
      </c>
      <c r="AC888" s="130">
        <f t="shared" si="314"/>
        <v>1446</v>
      </c>
      <c r="AD888" s="35">
        <f t="shared" si="325"/>
        <v>0</v>
      </c>
      <c r="AE888" s="166" t="str">
        <f t="shared" si="326"/>
        <v>Yes</v>
      </c>
      <c r="AF888" s="127"/>
      <c r="AG888" s="18">
        <v>0</v>
      </c>
      <c r="AH888" s="120" t="s">
        <v>1646</v>
      </c>
      <c r="AI888" s="238">
        <v>10000</v>
      </c>
      <c r="AJ888" s="132"/>
      <c r="AK888" s="151">
        <v>257.40000000000003</v>
      </c>
      <c r="AL888" s="154">
        <f t="shared" si="327"/>
        <v>0</v>
      </c>
      <c r="AM888" s="155"/>
      <c r="AN888" s="19">
        <f t="shared" si="292"/>
        <v>1861</v>
      </c>
      <c r="AO888" s="118">
        <f>SUMIF('MPG Payment '!E:E,'Shayak Income '!D888,'MPG Payment '!AJ:AJ)</f>
        <v>0</v>
      </c>
      <c r="AP888" s="19">
        <f t="shared" si="293"/>
        <v>0</v>
      </c>
      <c r="AQ888" s="119">
        <f t="shared" si="328"/>
        <v>0</v>
      </c>
      <c r="AR888" s="91" t="s">
        <v>1168</v>
      </c>
      <c r="AS888" s="91">
        <f t="shared" si="294"/>
        <v>0</v>
      </c>
      <c r="AT888" s="118"/>
      <c r="AU888" s="118"/>
      <c r="AV888" s="118"/>
    </row>
    <row r="889" spans="1:48" s="20" customFormat="1" x14ac:dyDescent="0.25">
      <c r="A889" s="17">
        <f>IFERROR(VLOOKUP(D889,'Monthly Deduction'!$I$3:$J$957,2,0),0)</f>
        <v>85000</v>
      </c>
      <c r="B889" s="17">
        <f>IFERROR(VLOOKUP(D889,'Monthly Deduction'!$E$3:$F$957,2,0),0)</f>
        <v>0</v>
      </c>
      <c r="C889" s="17">
        <f t="shared" si="319"/>
        <v>85000</v>
      </c>
      <c r="D889" s="41">
        <v>10010147</v>
      </c>
      <c r="E889" s="122" t="str">
        <f>VLOOKUP(D889,'MPG Payment '!$E$3:$G$498218,2,0)</f>
        <v>Gamharia</v>
      </c>
      <c r="F889" s="146">
        <f>IFERROR(_xlfn.XLOOKUP(D889,'Monthly Deduction'!$I$3:$I$957,'Monthly Deduction'!$H$3:$H$957),0)</f>
        <v>0</v>
      </c>
      <c r="G889" s="123" t="str">
        <f>VLOOKUP(D889,'MPG Payment '!$E$3:$G$334579,3,0)</f>
        <v>vlc</v>
      </c>
      <c r="H889" s="124" t="str">
        <f>VLOOKUP(D889,'MPG Payment '!$E$3:$H$334579,4,0)</f>
        <v>Indirect</v>
      </c>
      <c r="I889" s="88">
        <f>INDEX('MPG Payment '!$C:$C,MATCH('Shayak Income '!D889,'MPG Payment '!E:E,0))</f>
        <v>1001</v>
      </c>
      <c r="J889" s="88" t="str">
        <f>INDEX('MPG Payment '!$D:$D,MATCH('Shayak Income '!D889,'MPG Payment '!E:E,0))</f>
        <v>Majhaul</v>
      </c>
      <c r="K889" s="125" t="s">
        <v>1323</v>
      </c>
      <c r="L889" s="125">
        <v>46112</v>
      </c>
      <c r="M889" s="126">
        <f>SUMIF('MPG Payment '!$E$3:$E$34579,'Shayak Income '!D889,'MPG Payment '!$I$3:$I$34579)</f>
        <v>425</v>
      </c>
      <c r="N889" s="126">
        <f>SUMIF('MPG Payment '!$E$3:$E$34579,'Shayak Income '!D889,'MPG Payment '!$J$3:$J$34579)</f>
        <v>16465.022278578002</v>
      </c>
      <c r="O889" s="126">
        <f t="shared" si="320"/>
        <v>318.75</v>
      </c>
      <c r="P889" s="126">
        <f t="shared" si="321"/>
        <v>403.75</v>
      </c>
      <c r="Q889" s="126">
        <f>SUMIF('MPG Payment '!$E$3:$E$34579,'Shayak Income '!D889,'MPG Payment '!$S$3:$S$34579)</f>
        <v>0</v>
      </c>
      <c r="R889" s="126">
        <f t="shared" si="322"/>
        <v>493.95066835734008</v>
      </c>
      <c r="S889" s="126">
        <f t="shared" si="323"/>
        <v>90.200668357340078</v>
      </c>
      <c r="T889" s="126">
        <f t="shared" si="295"/>
        <v>42.5</v>
      </c>
      <c r="U889" s="127">
        <f>(((IF(K889="New",0,SUMIF('MPG Payment '!$E$3:$E$34579,'Shayak Income '!D889,'MPG Payment '!$AC$3:$AC$34579))))+0)+0</f>
        <v>0</v>
      </c>
      <c r="V889" s="127">
        <f t="shared" si="296"/>
        <v>680</v>
      </c>
      <c r="W889" s="19">
        <v>0</v>
      </c>
      <c r="X889" s="19">
        <v>0</v>
      </c>
      <c r="Y889" s="128">
        <f>IFERROR(VLOOKUP(D889,'Monthly Deduction'!$M$2:$N$64,2,0),0)</f>
        <v>0</v>
      </c>
      <c r="Z889" s="128">
        <v>0</v>
      </c>
      <c r="AA889" s="126">
        <f>IFERROR(VLOOKUP(D889,'Monthly Deduction'!A:B,2,0),0)</f>
        <v>0</v>
      </c>
      <c r="AB889" s="129">
        <f t="shared" si="324"/>
        <v>680</v>
      </c>
      <c r="AC889" s="130">
        <f t="shared" si="314"/>
        <v>680</v>
      </c>
      <c r="AD889" s="35">
        <f t="shared" si="325"/>
        <v>0</v>
      </c>
      <c r="AE889" s="166" t="str">
        <f t="shared" si="326"/>
        <v>Yes</v>
      </c>
      <c r="AF889" s="127"/>
      <c r="AG889" s="18">
        <v>0</v>
      </c>
      <c r="AH889" s="120" t="s">
        <v>1646</v>
      </c>
      <c r="AI889" s="238">
        <v>20000</v>
      </c>
      <c r="AJ889" s="132"/>
      <c r="AK889" s="151">
        <v>169.9</v>
      </c>
      <c r="AL889" s="154">
        <f t="shared" si="327"/>
        <v>0</v>
      </c>
      <c r="AM889" s="155"/>
      <c r="AN889" s="19">
        <f t="shared" si="292"/>
        <v>1861</v>
      </c>
      <c r="AO889" s="118">
        <f>SUMIF('MPG Payment '!E:E,'Shayak Income '!D889,'MPG Payment '!AJ:AJ)</f>
        <v>0</v>
      </c>
      <c r="AP889" s="19">
        <f t="shared" si="293"/>
        <v>0</v>
      </c>
      <c r="AQ889" s="119">
        <f t="shared" si="328"/>
        <v>0</v>
      </c>
      <c r="AR889" s="91" t="s">
        <v>1168</v>
      </c>
      <c r="AS889" s="91">
        <f t="shared" si="294"/>
        <v>0</v>
      </c>
      <c r="AT889" s="118"/>
      <c r="AU889" s="118"/>
      <c r="AV889" s="118"/>
    </row>
    <row r="890" spans="1:48" s="20" customFormat="1" x14ac:dyDescent="0.25">
      <c r="A890" s="17">
        <f>IFERROR(VLOOKUP(D890,'Monthly Deduction'!$I$3:$J$957,2,0),0)</f>
        <v>65000</v>
      </c>
      <c r="B890" s="17">
        <f>IFERROR(VLOOKUP(D890,'Monthly Deduction'!$E$3:$F$957,2,0),0)</f>
        <v>0</v>
      </c>
      <c r="C890" s="17">
        <f t="shared" si="319"/>
        <v>65000</v>
      </c>
      <c r="D890" s="41">
        <v>10010148</v>
      </c>
      <c r="E890" s="122" t="str">
        <f>VLOOKUP(D890,'MPG Payment '!$E$3:$G$498218,2,0)</f>
        <v>Gomukh Meghaul-02</v>
      </c>
      <c r="F890" s="146">
        <f>IFERROR(_xlfn.XLOOKUP(D890,'Monthly Deduction'!$I$3:$I$957,'Monthly Deduction'!$H$3:$H$957),0)</f>
        <v>0</v>
      </c>
      <c r="G890" s="123" t="str">
        <f>VLOOKUP(D890,'MPG Payment '!$E$3:$G$334579,3,0)</f>
        <v>MPG</v>
      </c>
      <c r="H890" s="124" t="str">
        <f>VLOOKUP(D890,'MPG Payment '!$E$3:$H$334579,4,0)</f>
        <v>Direct</v>
      </c>
      <c r="I890" s="88">
        <f>INDEX('MPG Payment '!$C:$C,MATCH('Shayak Income '!D890,'MPG Payment '!E:E,0))</f>
        <v>1001</v>
      </c>
      <c r="J890" s="88" t="str">
        <f>INDEX('MPG Payment '!$D:$D,MATCH('Shayak Income '!D890,'MPG Payment '!E:E,0))</f>
        <v>Majhaul</v>
      </c>
      <c r="K890" s="125" t="s">
        <v>1323</v>
      </c>
      <c r="L890" s="125">
        <v>46112</v>
      </c>
      <c r="M890" s="126">
        <f>SUMIF('MPG Payment '!$E$3:$E$34579,'Shayak Income '!D890,'MPG Payment '!$I$3:$I$34579)</f>
        <v>1747.2</v>
      </c>
      <c r="N890" s="126">
        <f>SUMIF('MPG Payment '!$E$3:$E$34579,'Shayak Income '!D890,'MPG Payment '!$J$3:$J$34579)</f>
        <v>72958.820161920012</v>
      </c>
      <c r="O890" s="126">
        <f t="shared" si="320"/>
        <v>1310.4000000000001</v>
      </c>
      <c r="P890" s="126">
        <f t="shared" si="321"/>
        <v>1659.84</v>
      </c>
      <c r="Q890" s="126">
        <f>SUMIF('MPG Payment '!$E$3:$E$34579,'Shayak Income '!D890,'MPG Payment '!$S$3:$S$34579)</f>
        <v>829.55954240400013</v>
      </c>
      <c r="R890" s="126">
        <f t="shared" si="322"/>
        <v>2188.7646048576003</v>
      </c>
      <c r="S890" s="126">
        <f t="shared" si="323"/>
        <v>528.92460485760034</v>
      </c>
      <c r="T890" s="126">
        <f t="shared" si="295"/>
        <v>174.72000000000003</v>
      </c>
      <c r="U890" s="127">
        <f>(((IF(K890="New",0,SUMIF('MPG Payment '!$E$3:$E$34579,'Shayak Income '!D890,'MPG Payment '!$AC$3:$AC$34579))))+0)+0</f>
        <v>0</v>
      </c>
      <c r="V890" s="127">
        <f t="shared" si="296"/>
        <v>3625</v>
      </c>
      <c r="W890" s="19">
        <v>0</v>
      </c>
      <c r="X890" s="19">
        <v>0</v>
      </c>
      <c r="Y890" s="128">
        <f>IFERROR(VLOOKUP(D890,'Monthly Deduction'!$M$2:$N$64,2,0),0)</f>
        <v>0</v>
      </c>
      <c r="Z890" s="128">
        <v>0</v>
      </c>
      <c r="AA890" s="126">
        <f>IFERROR(VLOOKUP(D890,'Monthly Deduction'!A:B,2,0),0)</f>
        <v>0</v>
      </c>
      <c r="AB890" s="129">
        <f t="shared" si="324"/>
        <v>3625</v>
      </c>
      <c r="AC890" s="130">
        <v>0</v>
      </c>
      <c r="AD890" s="35">
        <f t="shared" si="325"/>
        <v>3625</v>
      </c>
      <c r="AE890" s="166" t="str">
        <f t="shared" si="326"/>
        <v>Release</v>
      </c>
      <c r="AF890" s="127"/>
      <c r="AG890" s="18">
        <v>0</v>
      </c>
      <c r="AH890" s="132"/>
      <c r="AI890" s="238">
        <v>0</v>
      </c>
      <c r="AJ890" s="132"/>
      <c r="AK890" s="151">
        <v>416.59999999999997</v>
      </c>
      <c r="AL890" s="154">
        <f t="shared" si="327"/>
        <v>0</v>
      </c>
      <c r="AM890" s="155"/>
      <c r="AN890" s="19">
        <f t="shared" si="292"/>
        <v>1861</v>
      </c>
      <c r="AO890" s="118">
        <f>SUMIF('MPG Payment '!E:E,'Shayak Income '!D890,'MPG Payment '!AJ:AJ)</f>
        <v>0</v>
      </c>
      <c r="AP890" s="19">
        <f t="shared" si="293"/>
        <v>0</v>
      </c>
      <c r="AQ890" s="119">
        <f t="shared" si="328"/>
        <v>0</v>
      </c>
      <c r="AR890" s="91" t="s">
        <v>1168</v>
      </c>
      <c r="AS890" s="91">
        <f t="shared" si="294"/>
        <v>0</v>
      </c>
      <c r="AT890" s="118"/>
      <c r="AU890" s="118"/>
      <c r="AV890" s="118"/>
    </row>
    <row r="891" spans="1:48" s="20" customFormat="1" x14ac:dyDescent="0.25">
      <c r="A891" s="17">
        <f>IFERROR(VLOOKUP(D891,'Monthly Deduction'!$I$3:$J$957,2,0),0)</f>
        <v>0</v>
      </c>
      <c r="B891" s="17">
        <f>IFERROR(VLOOKUP(D891,'Monthly Deduction'!$E$3:$F$957,2,0),0)</f>
        <v>0</v>
      </c>
      <c r="C891" s="17">
        <f t="shared" si="319"/>
        <v>0</v>
      </c>
      <c r="D891" s="41">
        <v>10010149</v>
      </c>
      <c r="E891" s="122" t="str">
        <f>VLOOKUP(D891,'MPG Payment '!$E$3:$G$498218,2,0)</f>
        <v>Gomukh Meida</v>
      </c>
      <c r="F891" s="146">
        <f>IFERROR(_xlfn.XLOOKUP(D891,'Monthly Deduction'!$I$3:$I$957,'Monthly Deduction'!$H$3:$H$957),0)</f>
        <v>0</v>
      </c>
      <c r="G891" s="123" t="str">
        <f>VLOOKUP(D891,'MPG Payment '!$E$3:$G$334579,3,0)</f>
        <v>MPG</v>
      </c>
      <c r="H891" s="124" t="str">
        <f>VLOOKUP(D891,'MPG Payment '!$E$3:$H$334579,4,0)</f>
        <v>Direct</v>
      </c>
      <c r="I891" s="88">
        <f>INDEX('MPG Payment '!$C:$C,MATCH('Shayak Income '!D891,'MPG Payment '!E:E,0))</f>
        <v>1001</v>
      </c>
      <c r="J891" s="88" t="str">
        <f>INDEX('MPG Payment '!$D:$D,MATCH('Shayak Income '!D891,'MPG Payment '!E:E,0))</f>
        <v>Majhaul</v>
      </c>
      <c r="K891" s="125" t="s">
        <v>1323</v>
      </c>
      <c r="L891" s="125">
        <v>46112</v>
      </c>
      <c r="M891" s="126">
        <f>SUMIF('MPG Payment '!$E$3:$E$34579,'Shayak Income '!D891,'MPG Payment '!$I$3:$I$34579)</f>
        <v>1158.4000000000001</v>
      </c>
      <c r="N891" s="126">
        <f>SUMIF('MPG Payment '!$E$3:$E$34579,'Shayak Income '!D891,'MPG Payment '!$J$3:$J$34579)</f>
        <v>42837.491778448006</v>
      </c>
      <c r="O891" s="126">
        <f t="shared" si="320"/>
        <v>868.80000000000007</v>
      </c>
      <c r="P891" s="126">
        <f t="shared" si="321"/>
        <v>1100.48</v>
      </c>
      <c r="Q891" s="126">
        <f>SUMIF('MPG Payment '!$E$3:$E$34579,'Shayak Income '!D891,'MPG Payment '!$S$3:$S$34579)</f>
        <v>0</v>
      </c>
      <c r="R891" s="126">
        <f t="shared" si="322"/>
        <v>1285.1247533534402</v>
      </c>
      <c r="S891" s="126">
        <f t="shared" si="323"/>
        <v>184.64475335344014</v>
      </c>
      <c r="T891" s="126">
        <f t="shared" si="295"/>
        <v>115.84000000000002</v>
      </c>
      <c r="U891" s="127">
        <f>(((IF(K891="New",0,SUMIF('MPG Payment '!$E$3:$E$34579,'Shayak Income '!D891,'MPG Payment '!$AC$3:$AC$34579))))+0)+0</f>
        <v>0</v>
      </c>
      <c r="V891" s="127">
        <f t="shared" si="296"/>
        <v>1853</v>
      </c>
      <c r="W891" s="19">
        <v>0</v>
      </c>
      <c r="X891" s="19">
        <v>0</v>
      </c>
      <c r="Y891" s="128">
        <f>IFERROR(VLOOKUP(D891,'Monthly Deduction'!$M$2:$N$64,2,0),0)</f>
        <v>0</v>
      </c>
      <c r="Z891" s="128">
        <v>0</v>
      </c>
      <c r="AA891" s="126">
        <f>IFERROR(VLOOKUP(D891,'Monthly Deduction'!A:B,2,0),0)</f>
        <v>0</v>
      </c>
      <c r="AB891" s="129">
        <f t="shared" si="324"/>
        <v>1853</v>
      </c>
      <c r="AC891" s="130">
        <v>0</v>
      </c>
      <c r="AD891" s="35">
        <f t="shared" si="325"/>
        <v>1853</v>
      </c>
      <c r="AE891" s="166" t="str">
        <f t="shared" si="326"/>
        <v>Release</v>
      </c>
      <c r="AF891" s="127"/>
      <c r="AG891" s="18">
        <v>0</v>
      </c>
      <c r="AH891" s="120"/>
      <c r="AI891" s="238">
        <v>0</v>
      </c>
      <c r="AJ891" s="132"/>
      <c r="AK891" s="151">
        <v>238.00000000000006</v>
      </c>
      <c r="AL891" s="154">
        <f t="shared" si="327"/>
        <v>0</v>
      </c>
      <c r="AM891" s="155"/>
      <c r="AN891" s="19">
        <f t="shared" si="292"/>
        <v>0</v>
      </c>
      <c r="AO891" s="118">
        <f>SUMIF('MPG Payment '!E:E,'Shayak Income '!D891,'MPG Payment '!AJ:AJ)</f>
        <v>0</v>
      </c>
      <c r="AP891" s="19">
        <f t="shared" si="293"/>
        <v>0</v>
      </c>
      <c r="AQ891" s="119">
        <f t="shared" si="328"/>
        <v>0</v>
      </c>
      <c r="AR891" s="91" t="s">
        <v>1168</v>
      </c>
      <c r="AS891" s="91">
        <f t="shared" si="294"/>
        <v>0</v>
      </c>
      <c r="AT891" s="118"/>
      <c r="AU891" s="118"/>
      <c r="AV891" s="118"/>
    </row>
    <row r="892" spans="1:48" s="20" customFormat="1" x14ac:dyDescent="0.25">
      <c r="A892" s="17">
        <f>IFERROR(VLOOKUP(D892,'Monthly Deduction'!$I$3:$J$957,2,0),0)</f>
        <v>65000</v>
      </c>
      <c r="B892" s="17">
        <f>IFERROR(VLOOKUP(D892,'Monthly Deduction'!$E$3:$F$957,2,0),0)</f>
        <v>0</v>
      </c>
      <c r="C892" s="17">
        <f t="shared" si="319"/>
        <v>65000</v>
      </c>
      <c r="D892" s="41">
        <v>10080126</v>
      </c>
      <c r="E892" s="122" t="str">
        <f>VLOOKUP(D892,'MPG Payment '!$E$3:$G$498218,2,0)</f>
        <v>Labharchak-2</v>
      </c>
      <c r="F892" s="146">
        <f>IFERROR(_xlfn.XLOOKUP(D892,'Monthly Deduction'!$I$3:$I$957,'Monthly Deduction'!$H$3:$H$957),0)</f>
        <v>0</v>
      </c>
      <c r="G892" s="123" t="str">
        <f>VLOOKUP(D892,'MPG Payment '!$E$3:$G$334579,3,0)</f>
        <v>MPG</v>
      </c>
      <c r="H892" s="124" t="str">
        <f>VLOOKUP(D892,'MPG Payment '!$E$3:$H$334579,4,0)</f>
        <v>Direct</v>
      </c>
      <c r="I892" s="88">
        <f>INDEX('MPG Payment '!$C:$C,MATCH('Shayak Income '!D892,'MPG Payment '!E:E,0))</f>
        <v>1008</v>
      </c>
      <c r="J892" s="88" t="str">
        <f>INDEX('MPG Payment '!$D:$D,MATCH('Shayak Income '!D892,'MPG Payment '!E:E,0))</f>
        <v>Teghra</v>
      </c>
      <c r="K892" s="125" t="s">
        <v>1323</v>
      </c>
      <c r="L892" s="125">
        <v>46109</v>
      </c>
      <c r="M892" s="126">
        <f>SUMIF('MPG Payment '!$E$3:$E$34579,'Shayak Income '!D892,'MPG Payment '!$I$3:$I$34579)</f>
        <v>970.45</v>
      </c>
      <c r="N892" s="126">
        <f>SUMIF('MPG Payment '!$E$3:$E$34579,'Shayak Income '!D892,'MPG Payment '!$J$3:$J$34579)</f>
        <v>34928.249038497001</v>
      </c>
      <c r="O892" s="126">
        <f t="shared" si="320"/>
        <v>727.83750000000009</v>
      </c>
      <c r="P892" s="126">
        <f t="shared" si="321"/>
        <v>921.92750000000001</v>
      </c>
      <c r="Q892" s="126">
        <f>SUMIF('MPG Payment '!$E$3:$E$34579,'Shayak Income '!D892,'MPG Payment '!$S$3:$S$34579)</f>
        <v>0</v>
      </c>
      <c r="R892" s="126">
        <f t="shared" si="322"/>
        <v>1047.84747115491</v>
      </c>
      <c r="S892" s="126">
        <f t="shared" si="323"/>
        <v>125.91997115490994</v>
      </c>
      <c r="T892" s="126">
        <f t="shared" si="295"/>
        <v>97.045000000000016</v>
      </c>
      <c r="U892" s="127">
        <f>(((IF(K892="New",0,SUMIF('MPG Payment '!$E$3:$E$34579,'Shayak Income '!D892,'MPG Payment '!$AC$3:$AC$34579))))+0)+0</f>
        <v>0</v>
      </c>
      <c r="V892" s="127">
        <f t="shared" si="296"/>
        <v>1553</v>
      </c>
      <c r="W892" s="19">
        <v>0</v>
      </c>
      <c r="X892" s="19">
        <v>0</v>
      </c>
      <c r="Y892" s="128">
        <f>IFERROR(VLOOKUP(D892,'Monthly Deduction'!$M$2:$N$64,2,0),0)</f>
        <v>0</v>
      </c>
      <c r="Z892" s="128">
        <v>0</v>
      </c>
      <c r="AA892" s="126">
        <f>IFERROR(VLOOKUP(D892,'Monthly Deduction'!A:B,2,0),0)</f>
        <v>0</v>
      </c>
      <c r="AB892" s="129">
        <f t="shared" si="324"/>
        <v>1553</v>
      </c>
      <c r="AC892" s="130">
        <f t="shared" ref="AC892:AC893" si="329">AB892</f>
        <v>1553</v>
      </c>
      <c r="AD892" s="35">
        <f t="shared" si="325"/>
        <v>0</v>
      </c>
      <c r="AE892" s="166" t="str">
        <f t="shared" si="326"/>
        <v>Yes</v>
      </c>
      <c r="AF892" s="127"/>
      <c r="AG892" s="18">
        <v>0</v>
      </c>
      <c r="AH892" s="120" t="s">
        <v>1653</v>
      </c>
      <c r="AI892" s="238">
        <v>0</v>
      </c>
      <c r="AJ892" s="132"/>
      <c r="AK892" s="151">
        <v>233</v>
      </c>
      <c r="AL892" s="154">
        <f t="shared" si="327"/>
        <v>0</v>
      </c>
      <c r="AM892" s="155"/>
      <c r="AN892" s="19">
        <f t="shared" si="292"/>
        <v>1861</v>
      </c>
      <c r="AO892" s="118">
        <f>SUMIF('MPG Payment '!E:E,'Shayak Income '!D892,'MPG Payment '!AJ:AJ)</f>
        <v>0</v>
      </c>
      <c r="AP892" s="19">
        <f t="shared" si="293"/>
        <v>0</v>
      </c>
      <c r="AQ892" s="119">
        <f t="shared" si="328"/>
        <v>0</v>
      </c>
      <c r="AR892" s="91" t="s">
        <v>1168</v>
      </c>
      <c r="AS892" s="91">
        <f t="shared" si="294"/>
        <v>0</v>
      </c>
      <c r="AT892" s="118"/>
      <c r="AU892" s="118"/>
      <c r="AV892" s="118"/>
    </row>
    <row r="893" spans="1:48" s="20" customFormat="1" x14ac:dyDescent="0.25">
      <c r="A893" s="17">
        <f>IFERROR(VLOOKUP(D893,'Monthly Deduction'!$I$3:$J$957,2,0),0)</f>
        <v>65000</v>
      </c>
      <c r="B893" s="17">
        <f>IFERROR(VLOOKUP(D893,'Monthly Deduction'!$E$3:$F$957,2,0),0)</f>
        <v>0</v>
      </c>
      <c r="C893" s="17">
        <f t="shared" si="319"/>
        <v>65000</v>
      </c>
      <c r="D893" s="41">
        <v>10090079</v>
      </c>
      <c r="E893" s="122" t="str">
        <f>VLOOKUP(D893,'MPG Payment '!$E$3:$G$498218,2,0)</f>
        <v>BILLO 2</v>
      </c>
      <c r="F893" s="146">
        <f>IFERROR(_xlfn.XLOOKUP(D893,'Monthly Deduction'!$I$3:$I$957,'Monthly Deduction'!$H$3:$H$957),0)</f>
        <v>0</v>
      </c>
      <c r="G893" s="123" t="str">
        <f>VLOOKUP(D893,'MPG Payment '!$E$3:$G$334579,3,0)</f>
        <v>MPG</v>
      </c>
      <c r="H893" s="124" t="str">
        <f>VLOOKUP(D893,'MPG Payment '!$E$3:$H$334579,4,0)</f>
        <v>Direct</v>
      </c>
      <c r="I893" s="88">
        <f>INDEX('MPG Payment '!$C:$C,MATCH('Shayak Income '!D893,'MPG Payment '!E:E,0))</f>
        <v>1009</v>
      </c>
      <c r="J893" s="88" t="str">
        <f>INDEX('MPG Payment '!$D:$D,MATCH('Shayak Income '!D893,'MPG Payment '!E:E,0))</f>
        <v>Halsi</v>
      </c>
      <c r="K893" s="125" t="s">
        <v>1323</v>
      </c>
      <c r="L893" s="125">
        <v>46112</v>
      </c>
      <c r="M893" s="126">
        <f>SUMIF('MPG Payment '!$E$3:$E$34579,'Shayak Income '!D893,'MPG Payment '!$I$3:$I$34579)</f>
        <v>1034</v>
      </c>
      <c r="N893" s="126">
        <f>SUMIF('MPG Payment '!$E$3:$E$34579,'Shayak Income '!D893,'MPG Payment '!$J$3:$J$34579)</f>
        <v>39353.488279609999</v>
      </c>
      <c r="O893" s="126">
        <f t="shared" si="320"/>
        <v>775.5</v>
      </c>
      <c r="P893" s="126">
        <f t="shared" si="321"/>
        <v>982.3</v>
      </c>
      <c r="Q893" s="126">
        <f>SUMIF('MPG Payment '!$E$3:$E$34579,'Shayak Income '!D893,'MPG Payment '!$S$3:$S$34579)</f>
        <v>0</v>
      </c>
      <c r="R893" s="126">
        <f t="shared" si="322"/>
        <v>1180.6046483882999</v>
      </c>
      <c r="S893" s="126">
        <f t="shared" si="323"/>
        <v>198.30464838829994</v>
      </c>
      <c r="T893" s="126">
        <f t="shared" si="295"/>
        <v>103.4</v>
      </c>
      <c r="U893" s="127">
        <f>(((IF(K893="New",0,SUMIF('MPG Payment '!$E$3:$E$34579,'Shayak Income '!D893,'MPG Payment '!$AC$3:$AC$34579))))+0)+0</f>
        <v>0</v>
      </c>
      <c r="V893" s="127">
        <f t="shared" si="296"/>
        <v>1654</v>
      </c>
      <c r="W893" s="19">
        <v>0</v>
      </c>
      <c r="X893" s="19">
        <v>0</v>
      </c>
      <c r="Y893" s="128">
        <f>IFERROR(VLOOKUP(D893,'Monthly Deduction'!$M$2:$N$64,2,0),0)</f>
        <v>0</v>
      </c>
      <c r="Z893" s="128">
        <v>0</v>
      </c>
      <c r="AA893" s="126">
        <f>IFERROR(VLOOKUP(D893,'Monthly Deduction'!A:B,2,0),0)</f>
        <v>0</v>
      </c>
      <c r="AB893" s="129">
        <f t="shared" si="324"/>
        <v>1654</v>
      </c>
      <c r="AC893" s="130">
        <f t="shared" si="329"/>
        <v>1654</v>
      </c>
      <c r="AD893" s="35">
        <f t="shared" si="325"/>
        <v>0</v>
      </c>
      <c r="AE893" s="166" t="str">
        <f t="shared" si="326"/>
        <v>Yes</v>
      </c>
      <c r="AF893" s="127"/>
      <c r="AG893" s="18">
        <v>0</v>
      </c>
      <c r="AH893" s="120" t="s">
        <v>1653</v>
      </c>
      <c r="AI893" s="238">
        <v>0</v>
      </c>
      <c r="AJ893" s="132"/>
      <c r="AK893" s="151">
        <v>264.7</v>
      </c>
      <c r="AL893" s="154">
        <f t="shared" si="327"/>
        <v>0</v>
      </c>
      <c r="AM893" s="155"/>
      <c r="AN893" s="19">
        <f t="shared" si="292"/>
        <v>1861</v>
      </c>
      <c r="AO893" s="118">
        <f>SUMIF('MPG Payment '!E:E,'Shayak Income '!D893,'MPG Payment '!AJ:AJ)</f>
        <v>0</v>
      </c>
      <c r="AP893" s="19">
        <f t="shared" si="293"/>
        <v>0</v>
      </c>
      <c r="AQ893" s="119">
        <f t="shared" si="328"/>
        <v>0</v>
      </c>
      <c r="AR893" s="91" t="s">
        <v>1168</v>
      </c>
      <c r="AS893" s="91">
        <f t="shared" si="294"/>
        <v>0</v>
      </c>
      <c r="AT893" s="118"/>
      <c r="AU893" s="118"/>
      <c r="AV893" s="118"/>
    </row>
    <row r="894" spans="1:48" s="20" customFormat="1" x14ac:dyDescent="0.25">
      <c r="A894" s="17">
        <f>IFERROR(VLOOKUP(D894,'Monthly Deduction'!$I$3:$J$957,2,0),0)</f>
        <v>0</v>
      </c>
      <c r="B894" s="17">
        <f>IFERROR(VLOOKUP(D894,'Monthly Deduction'!$E$3:$F$957,2,0),0)</f>
        <v>0</v>
      </c>
      <c r="C894" s="17">
        <f t="shared" si="319"/>
        <v>0</v>
      </c>
      <c r="D894" s="41">
        <v>10100069</v>
      </c>
      <c r="E894" s="122" t="str">
        <f>VLOOKUP(D894,'MPG Payment '!$E$3:$G$498218,2,0)</f>
        <v>Gomukh Lagar Wad-13 Vlc</v>
      </c>
      <c r="F894" s="146">
        <f>IFERROR(_xlfn.XLOOKUP(D894,'Monthly Deduction'!$I$3:$I$957,'Monthly Deduction'!$H$3:$H$957),0)</f>
        <v>0</v>
      </c>
      <c r="G894" s="123" t="str">
        <f>VLOOKUP(D894,'MPG Payment '!$E$3:$G$334579,3,0)</f>
        <v>vlc</v>
      </c>
      <c r="H894" s="124" t="str">
        <f>VLOOKUP(D894,'MPG Payment '!$E$3:$H$334579,4,0)</f>
        <v>Indirect</v>
      </c>
      <c r="I894" s="88">
        <f>INDEX('MPG Payment '!$C:$C,MATCH('Shayak Income '!D894,'MPG Payment '!E:E,0))</f>
        <v>1010</v>
      </c>
      <c r="J894" s="88" t="str">
        <f>INDEX('MPG Payment '!$D:$D,MATCH('Shayak Income '!D894,'MPG Payment '!E:E,0))</f>
        <v>Parbatta</v>
      </c>
      <c r="K894" s="125" t="s">
        <v>1323</v>
      </c>
      <c r="L894" s="125">
        <v>46108</v>
      </c>
      <c r="M894" s="126">
        <f>SUMIF('MPG Payment '!$E$3:$E$34579,'Shayak Income '!D894,'MPG Payment '!$I$3:$I$34579)</f>
        <v>1307.4000000000001</v>
      </c>
      <c r="N894" s="126">
        <f>SUMIF('MPG Payment '!$E$3:$E$34579,'Shayak Income '!D894,'MPG Payment '!$J$3:$J$34579)</f>
        <v>57728.338285801503</v>
      </c>
      <c r="O894" s="126">
        <f t="shared" si="320"/>
        <v>980.55000000000007</v>
      </c>
      <c r="P894" s="126">
        <f t="shared" si="321"/>
        <v>1242.03</v>
      </c>
      <c r="Q894" s="126">
        <f>SUMIF('MPG Payment '!$E$3:$E$34579,'Shayak Income '!D894,'MPG Payment '!$S$3:$S$34579)</f>
        <v>0</v>
      </c>
      <c r="R894" s="126">
        <f t="shared" si="322"/>
        <v>1731.8501485740451</v>
      </c>
      <c r="S894" s="126">
        <f t="shared" si="323"/>
        <v>489.82014857404511</v>
      </c>
      <c r="T894" s="126">
        <f t="shared" si="295"/>
        <v>130.74</v>
      </c>
      <c r="U894" s="127">
        <f>(((IF(K894="New",0,SUMIF('MPG Payment '!$E$3:$E$34579,'Shayak Income '!D894,'MPG Payment '!$AC$3:$AC$34579))))+0)+0</f>
        <v>0</v>
      </c>
      <c r="V894" s="127">
        <f t="shared" si="296"/>
        <v>2092</v>
      </c>
      <c r="W894" s="19">
        <v>0</v>
      </c>
      <c r="X894" s="19">
        <v>0</v>
      </c>
      <c r="Y894" s="128">
        <f>IFERROR(VLOOKUP(D894,'Monthly Deduction'!$M$2:$N$64,2,0),0)</f>
        <v>0</v>
      </c>
      <c r="Z894" s="128">
        <v>0</v>
      </c>
      <c r="AA894" s="126">
        <f>IFERROR(VLOOKUP(D894,'Monthly Deduction'!A:B,2,0),0)</f>
        <v>0</v>
      </c>
      <c r="AB894" s="129">
        <f t="shared" si="324"/>
        <v>2092</v>
      </c>
      <c r="AC894" s="130">
        <v>0</v>
      </c>
      <c r="AD894" s="35">
        <f t="shared" si="325"/>
        <v>2092</v>
      </c>
      <c r="AE894" s="166" t="str">
        <f t="shared" si="326"/>
        <v>Release</v>
      </c>
      <c r="AF894" s="127"/>
      <c r="AG894" s="18">
        <v>0</v>
      </c>
      <c r="AH894" s="120"/>
      <c r="AI894" s="238">
        <v>0</v>
      </c>
      <c r="AJ894" s="132"/>
      <c r="AK894" s="151">
        <v>176.5</v>
      </c>
      <c r="AL894" s="154">
        <f t="shared" si="327"/>
        <v>0</v>
      </c>
      <c r="AM894" s="155"/>
      <c r="AN894" s="19">
        <f t="shared" si="292"/>
        <v>0</v>
      </c>
      <c r="AO894" s="118">
        <f>SUMIF('MPG Payment '!E:E,'Shayak Income '!D894,'MPG Payment '!AJ:AJ)</f>
        <v>0</v>
      </c>
      <c r="AP894" s="19">
        <f t="shared" si="293"/>
        <v>0</v>
      </c>
      <c r="AQ894" s="119">
        <f t="shared" si="328"/>
        <v>0</v>
      </c>
      <c r="AR894" s="91" t="s">
        <v>1168</v>
      </c>
      <c r="AS894" s="91">
        <f t="shared" si="294"/>
        <v>0</v>
      </c>
      <c r="AT894" s="118"/>
      <c r="AU894" s="118"/>
      <c r="AV894" s="118"/>
    </row>
    <row r="895" spans="1:48" s="20" customFormat="1" x14ac:dyDescent="0.25">
      <c r="A895" s="17">
        <f>IFERROR(VLOOKUP(D895,'Monthly Deduction'!$I$3:$J$957,2,0),0)</f>
        <v>0</v>
      </c>
      <c r="B895" s="17">
        <f>IFERROR(VLOOKUP(D895,'Monthly Deduction'!$E$3:$F$957,2,0),0)</f>
        <v>0</v>
      </c>
      <c r="C895" s="17">
        <f t="shared" si="319"/>
        <v>0</v>
      </c>
      <c r="D895" s="41">
        <v>10100070</v>
      </c>
      <c r="E895" s="122" t="str">
        <f>VLOOKUP(D895,'MPG Payment '!$E$3:$G$498218,2,0)</f>
        <v>Gomukh Manish Vlc</v>
      </c>
      <c r="F895" s="146">
        <f>IFERROR(_xlfn.XLOOKUP(D895,'Monthly Deduction'!$I$3:$I$957,'Monthly Deduction'!$H$3:$H$957),0)</f>
        <v>0</v>
      </c>
      <c r="G895" s="123" t="str">
        <f>VLOOKUP(D895,'MPG Payment '!$E$3:$G$334579,3,0)</f>
        <v>vlc</v>
      </c>
      <c r="H895" s="124" t="str">
        <f>VLOOKUP(D895,'MPG Payment '!$E$3:$H$334579,4,0)</f>
        <v>Indirect</v>
      </c>
      <c r="I895" s="88">
        <f>INDEX('MPG Payment '!$C:$C,MATCH('Shayak Income '!D895,'MPG Payment '!E:E,0))</f>
        <v>1010</v>
      </c>
      <c r="J895" s="88" t="str">
        <f>INDEX('MPG Payment '!$D:$D,MATCH('Shayak Income '!D895,'MPG Payment '!E:E,0))</f>
        <v>Parbatta</v>
      </c>
      <c r="K895" s="125" t="s">
        <v>1323</v>
      </c>
      <c r="L895" s="125">
        <v>46108</v>
      </c>
      <c r="M895" s="126">
        <f>SUMIF('MPG Payment '!$E$3:$E$34579,'Shayak Income '!D895,'MPG Payment '!$I$3:$I$34579)</f>
        <v>11060.5</v>
      </c>
      <c r="N895" s="126">
        <f>SUMIF('MPG Payment '!$E$3:$E$34579,'Shayak Income '!D895,'MPG Payment '!$J$3:$J$34579)</f>
        <v>523431.88068973296</v>
      </c>
      <c r="O895" s="126">
        <f t="shared" si="320"/>
        <v>8295.375</v>
      </c>
      <c r="P895" s="126">
        <f t="shared" si="321"/>
        <v>10507.475</v>
      </c>
      <c r="Q895" s="126">
        <f>SUMIF('MPG Payment '!$E$3:$E$34579,'Shayak Income '!D895,'MPG Payment '!$S$3:$S$34579)</f>
        <v>0</v>
      </c>
      <c r="R895" s="126">
        <f t="shared" si="322"/>
        <v>15702.956420691988</v>
      </c>
      <c r="S895" s="126">
        <f t="shared" si="323"/>
        <v>5195.4814206919873</v>
      </c>
      <c r="T895" s="126">
        <f t="shared" si="295"/>
        <v>1106.05</v>
      </c>
      <c r="U895" s="127">
        <f>(((IF(K895="New",0,SUMIF('MPG Payment '!$E$3:$E$34579,'Shayak Income '!D895,'MPG Payment '!$AC$3:$AC$34579))))+0)+0</f>
        <v>0</v>
      </c>
      <c r="V895" s="127">
        <f t="shared" si="296"/>
        <v>17697</v>
      </c>
      <c r="W895" s="19">
        <v>0</v>
      </c>
      <c r="X895" s="19">
        <v>0</v>
      </c>
      <c r="Y895" s="128">
        <f>IFERROR(VLOOKUP(D895,'Monthly Deduction'!$M$2:$N$64,2,0),0)</f>
        <v>0</v>
      </c>
      <c r="Z895" s="128">
        <v>0</v>
      </c>
      <c r="AA895" s="126">
        <f>IFERROR(VLOOKUP(D895,'Monthly Deduction'!A:B,2,0),0)</f>
        <v>0</v>
      </c>
      <c r="AB895" s="129">
        <f t="shared" si="324"/>
        <v>17697</v>
      </c>
      <c r="AC895" s="130">
        <v>0</v>
      </c>
      <c r="AD895" s="35">
        <f t="shared" si="325"/>
        <v>17697</v>
      </c>
      <c r="AE895" s="166" t="str">
        <f t="shared" si="326"/>
        <v>Release</v>
      </c>
      <c r="AF895" s="127"/>
      <c r="AG895" s="18">
        <v>0</v>
      </c>
      <c r="AH895" s="132"/>
      <c r="AI895" s="238">
        <v>0</v>
      </c>
      <c r="AJ895" s="132"/>
      <c r="AK895" s="151">
        <v>2634</v>
      </c>
      <c r="AL895" s="154">
        <f t="shared" si="327"/>
        <v>0</v>
      </c>
      <c r="AM895" s="155"/>
      <c r="AN895" s="19">
        <f t="shared" si="292"/>
        <v>0</v>
      </c>
      <c r="AO895" s="118">
        <f>SUMIF('MPG Payment '!E:E,'Shayak Income '!D895,'MPG Payment '!AJ:AJ)</f>
        <v>0</v>
      </c>
      <c r="AP895" s="19">
        <f t="shared" si="293"/>
        <v>0</v>
      </c>
      <c r="AQ895" s="119">
        <f t="shared" si="328"/>
        <v>0</v>
      </c>
      <c r="AR895" s="91" t="s">
        <v>1168</v>
      </c>
      <c r="AS895" s="91">
        <f t="shared" si="294"/>
        <v>0</v>
      </c>
      <c r="AT895" s="118"/>
      <c r="AU895" s="118"/>
      <c r="AV895" s="118"/>
    </row>
    <row r="896" spans="1:48" s="20" customFormat="1" x14ac:dyDescent="0.25">
      <c r="A896" s="17">
        <f>IFERROR(VLOOKUP(D896,'Monthly Deduction'!$I$3:$J$957,2,0),0)</f>
        <v>65000</v>
      </c>
      <c r="B896" s="17">
        <f>IFERROR(VLOOKUP(D896,'Monthly Deduction'!$E$3:$F$957,2,0),0)</f>
        <v>0</v>
      </c>
      <c r="C896" s="17">
        <f t="shared" si="319"/>
        <v>65000</v>
      </c>
      <c r="D896" s="41">
        <v>10110186</v>
      </c>
      <c r="E896" s="122" t="str">
        <f>VLOOKUP(D896,'MPG Payment '!$E$3:$G$498218,2,0)</f>
        <v>Farid Nagar</v>
      </c>
      <c r="F896" s="146">
        <f>IFERROR(_xlfn.XLOOKUP(D896,'Monthly Deduction'!$I$3:$I$957,'Monthly Deduction'!$H$3:$H$957),0)</f>
        <v>0</v>
      </c>
      <c r="G896" s="123" t="str">
        <f>VLOOKUP(D896,'MPG Payment '!$E$3:$G$334579,3,0)</f>
        <v>MPG</v>
      </c>
      <c r="H896" s="124" t="str">
        <f>VLOOKUP(D896,'MPG Payment '!$E$3:$H$334579,4,0)</f>
        <v>Direct</v>
      </c>
      <c r="I896" s="88">
        <f>INDEX('MPG Payment '!$C:$C,MATCH('Shayak Income '!D896,'MPG Payment '!E:E,0))</f>
        <v>1011</v>
      </c>
      <c r="J896" s="88" t="str">
        <f>INDEX('MPG Payment '!$D:$D,MATCH('Shayak Income '!D896,'MPG Payment '!E:E,0))</f>
        <v>Sahibpur Kamal</v>
      </c>
      <c r="K896" s="125" t="s">
        <v>1323</v>
      </c>
      <c r="L896" s="125">
        <v>46112</v>
      </c>
      <c r="M896" s="126">
        <f>SUMIF('MPG Payment '!$E$3:$E$34579,'Shayak Income '!D896,'MPG Payment '!$I$3:$I$34579)</f>
        <v>1037.9000000000001</v>
      </c>
      <c r="N896" s="126">
        <f>SUMIF('MPG Payment '!$E$3:$E$34579,'Shayak Income '!D896,'MPG Payment '!$J$3:$J$34579)</f>
        <v>38324.182123078004</v>
      </c>
      <c r="O896" s="126">
        <f t="shared" si="320"/>
        <v>778.42500000000007</v>
      </c>
      <c r="P896" s="126">
        <f t="shared" si="321"/>
        <v>986.005</v>
      </c>
      <c r="Q896" s="126">
        <f>SUMIF('MPG Payment '!$E$3:$E$34579,'Shayak Income '!D896,'MPG Payment '!$S$3:$S$34579)</f>
        <v>0</v>
      </c>
      <c r="R896" s="126">
        <f t="shared" si="322"/>
        <v>1149.7254636923401</v>
      </c>
      <c r="S896" s="126">
        <f t="shared" si="323"/>
        <v>163.7204636923401</v>
      </c>
      <c r="T896" s="126">
        <f t="shared" si="295"/>
        <v>103.79000000000002</v>
      </c>
      <c r="U896" s="127">
        <f>(((IF(K896="New",0,SUMIF('MPG Payment '!$E$3:$E$34579,'Shayak Income '!D896,'MPG Payment '!$AC$3:$AC$34579))))+0)+0</f>
        <v>0</v>
      </c>
      <c r="V896" s="127">
        <f t="shared" si="296"/>
        <v>1661</v>
      </c>
      <c r="W896" s="19">
        <v>0</v>
      </c>
      <c r="X896" s="19">
        <v>0</v>
      </c>
      <c r="Y896" s="128">
        <f>IFERROR(VLOOKUP(D896,'Monthly Deduction'!$M$2:$N$64,2,0),0)</f>
        <v>0</v>
      </c>
      <c r="Z896" s="128">
        <v>0</v>
      </c>
      <c r="AA896" s="126">
        <f>IFERROR(VLOOKUP(D896,'Monthly Deduction'!A:B,2,0),0)</f>
        <v>0</v>
      </c>
      <c r="AB896" s="129">
        <f t="shared" si="324"/>
        <v>1661</v>
      </c>
      <c r="AC896" s="130">
        <f t="shared" ref="AC896:AC897" si="330">AB896</f>
        <v>1661</v>
      </c>
      <c r="AD896" s="35">
        <f t="shared" si="325"/>
        <v>0</v>
      </c>
      <c r="AE896" s="166" t="str">
        <f t="shared" si="326"/>
        <v>Yes</v>
      </c>
      <c r="AF896" s="127"/>
      <c r="AG896" s="18">
        <v>0</v>
      </c>
      <c r="AH896" s="120" t="s">
        <v>1653</v>
      </c>
      <c r="AI896" s="238">
        <v>0</v>
      </c>
      <c r="AJ896" s="132"/>
      <c r="AK896" s="151">
        <v>249.70000000000002</v>
      </c>
      <c r="AL896" s="154">
        <f t="shared" si="327"/>
        <v>0</v>
      </c>
      <c r="AM896" s="155"/>
      <c r="AN896" s="19">
        <f t="shared" si="292"/>
        <v>1861</v>
      </c>
      <c r="AO896" s="118">
        <f>SUMIF('MPG Payment '!E:E,'Shayak Income '!D896,'MPG Payment '!AJ:AJ)</f>
        <v>0</v>
      </c>
      <c r="AP896" s="19">
        <f t="shared" si="293"/>
        <v>0</v>
      </c>
      <c r="AQ896" s="119">
        <f t="shared" si="328"/>
        <v>0</v>
      </c>
      <c r="AR896" s="91" t="s">
        <v>1168</v>
      </c>
      <c r="AS896" s="91">
        <f t="shared" si="294"/>
        <v>0</v>
      </c>
      <c r="AT896" s="118"/>
      <c r="AU896" s="118"/>
      <c r="AV896" s="118"/>
    </row>
    <row r="897" spans="1:48" s="20" customFormat="1" x14ac:dyDescent="0.25">
      <c r="A897" s="17">
        <f>IFERROR(VLOOKUP(D897,'Monthly Deduction'!$I$3:$J$957,2,0),0)</f>
        <v>75000</v>
      </c>
      <c r="B897" s="17">
        <f>IFERROR(VLOOKUP(D897,'Monthly Deduction'!$E$3:$F$957,2,0),0)</f>
        <v>0</v>
      </c>
      <c r="C897" s="17">
        <f t="shared" si="319"/>
        <v>75000</v>
      </c>
      <c r="D897" s="41">
        <v>10110187</v>
      </c>
      <c r="E897" s="122" t="str">
        <f>VLOOKUP(D897,'MPG Payment '!$E$3:$G$498218,2,0)</f>
        <v>Sadpur-2</v>
      </c>
      <c r="F897" s="146">
        <f>IFERROR(_xlfn.XLOOKUP(D897,'Monthly Deduction'!$I$3:$I$957,'Monthly Deduction'!$H$3:$H$957),0)</f>
        <v>0</v>
      </c>
      <c r="G897" s="123" t="str">
        <f>VLOOKUP(D897,'MPG Payment '!$E$3:$G$334579,3,0)</f>
        <v>MPG</v>
      </c>
      <c r="H897" s="124" t="str">
        <f>VLOOKUP(D897,'MPG Payment '!$E$3:$H$334579,4,0)</f>
        <v>Direct</v>
      </c>
      <c r="I897" s="88">
        <f>INDEX('MPG Payment '!$C:$C,MATCH('Shayak Income '!D897,'MPG Payment '!E:E,0))</f>
        <v>1011</v>
      </c>
      <c r="J897" s="88" t="str">
        <f>INDEX('MPG Payment '!$D:$D,MATCH('Shayak Income '!D897,'MPG Payment '!E:E,0))</f>
        <v>Sahibpur Kamal</v>
      </c>
      <c r="K897" s="125" t="s">
        <v>1323</v>
      </c>
      <c r="L897" s="125">
        <v>46112</v>
      </c>
      <c r="M897" s="126">
        <f>SUMIF('MPG Payment '!$E$3:$E$34579,'Shayak Income '!D897,'MPG Payment '!$I$3:$I$34579)</f>
        <v>699.39999999999986</v>
      </c>
      <c r="N897" s="126">
        <f>SUMIF('MPG Payment '!$E$3:$E$34579,'Shayak Income '!D897,'MPG Payment '!$J$3:$J$34579)</f>
        <v>25738.897714604005</v>
      </c>
      <c r="O897" s="126">
        <f t="shared" si="320"/>
        <v>524.54999999999995</v>
      </c>
      <c r="P897" s="126">
        <f t="shared" si="321"/>
        <v>664.42999999999984</v>
      </c>
      <c r="Q897" s="126">
        <f>SUMIF('MPG Payment '!$E$3:$E$34579,'Shayak Income '!D897,'MPG Payment '!$S$3:$S$34579)</f>
        <v>0</v>
      </c>
      <c r="R897" s="126">
        <f t="shared" si="322"/>
        <v>772.16693143812017</v>
      </c>
      <c r="S897" s="126">
        <f t="shared" si="323"/>
        <v>107.73693143812034</v>
      </c>
      <c r="T897" s="126">
        <f t="shared" si="295"/>
        <v>69.939999999999984</v>
      </c>
      <c r="U897" s="127">
        <f>(((IF(K897="New",0,SUMIF('MPG Payment '!$E$3:$E$34579,'Shayak Income '!D897,'MPG Payment '!$AC$3:$AC$34579))))+0)+0</f>
        <v>0</v>
      </c>
      <c r="V897" s="127">
        <f t="shared" si="296"/>
        <v>1119</v>
      </c>
      <c r="W897" s="19">
        <v>0</v>
      </c>
      <c r="X897" s="19">
        <v>0</v>
      </c>
      <c r="Y897" s="128">
        <f>IFERROR(VLOOKUP(D897,'Monthly Deduction'!$M$2:$N$64,2,0),0)</f>
        <v>0</v>
      </c>
      <c r="Z897" s="128">
        <v>0</v>
      </c>
      <c r="AA897" s="126">
        <f>IFERROR(VLOOKUP(D897,'Monthly Deduction'!A:B,2,0),0)</f>
        <v>0</v>
      </c>
      <c r="AB897" s="129">
        <f t="shared" si="324"/>
        <v>1119</v>
      </c>
      <c r="AC897" s="130">
        <f t="shared" si="330"/>
        <v>1119</v>
      </c>
      <c r="AD897" s="35">
        <f t="shared" si="325"/>
        <v>0</v>
      </c>
      <c r="AE897" s="166" t="str">
        <f t="shared" si="326"/>
        <v>Yes</v>
      </c>
      <c r="AF897" s="127"/>
      <c r="AG897" s="18">
        <v>0</v>
      </c>
      <c r="AH897" s="120" t="s">
        <v>1650</v>
      </c>
      <c r="AI897" s="238">
        <v>10000</v>
      </c>
      <c r="AJ897" s="132"/>
      <c r="AK897" s="151">
        <v>392</v>
      </c>
      <c r="AL897" s="154">
        <f t="shared" si="327"/>
        <v>0</v>
      </c>
      <c r="AM897" s="155"/>
      <c r="AN897" s="19">
        <f t="shared" si="292"/>
        <v>1861</v>
      </c>
      <c r="AO897" s="118">
        <f>SUMIF('MPG Payment '!E:E,'Shayak Income '!D897,'MPG Payment '!AJ:AJ)</f>
        <v>0</v>
      </c>
      <c r="AP897" s="19">
        <f t="shared" si="293"/>
        <v>0</v>
      </c>
      <c r="AQ897" s="119">
        <f t="shared" si="328"/>
        <v>0</v>
      </c>
      <c r="AR897" s="91" t="s">
        <v>1168</v>
      </c>
      <c r="AS897" s="91">
        <f t="shared" si="294"/>
        <v>0</v>
      </c>
      <c r="AT897" s="118"/>
      <c r="AU897" s="118"/>
      <c r="AV897" s="118"/>
    </row>
    <row r="898" spans="1:48" s="20" customFormat="1" x14ac:dyDescent="0.25">
      <c r="A898" s="17">
        <f>IFERROR(VLOOKUP(D898,'Monthly Deduction'!$I$3:$J$957,2,0),0)</f>
        <v>0</v>
      </c>
      <c r="B898" s="17">
        <f>IFERROR(VLOOKUP(D898,'Monthly Deduction'!$E$3:$F$957,2,0),0)</f>
        <v>0</v>
      </c>
      <c r="C898" s="17">
        <f t="shared" si="319"/>
        <v>0</v>
      </c>
      <c r="D898" s="41">
        <v>10120109</v>
      </c>
      <c r="E898" s="122" t="str">
        <f>VLOOKUP(D898,'MPG Payment '!$E$3:$G$498218,2,0)</f>
        <v>IMADPUR</v>
      </c>
      <c r="F898" s="146">
        <f>IFERROR(_xlfn.XLOOKUP(D898,'Monthly Deduction'!$I$3:$I$957,'Monthly Deduction'!$H$3:$H$957),0)</f>
        <v>0</v>
      </c>
      <c r="G898" s="123" t="str">
        <f>VLOOKUP(D898,'MPG Payment '!$E$3:$G$334579,3,0)</f>
        <v>vlc</v>
      </c>
      <c r="H898" s="124" t="str">
        <f>VLOOKUP(D898,'MPG Payment '!$E$3:$H$334579,4,0)</f>
        <v>Indirect</v>
      </c>
      <c r="I898" s="88">
        <f>INDEX('MPG Payment '!$C:$C,MATCH('Shayak Income '!D898,'MPG Payment '!E:E,0))</f>
        <v>1012</v>
      </c>
      <c r="J898" s="88" t="str">
        <f>INDEX('MPG Payment '!$D:$D,MATCH('Shayak Income '!D898,'MPG Payment '!E:E,0))</f>
        <v>DalsinghSarai</v>
      </c>
      <c r="K898" s="125" t="s">
        <v>1322</v>
      </c>
      <c r="L898" s="125">
        <v>45829</v>
      </c>
      <c r="M898" s="126">
        <f>SUMIF('MPG Payment '!$E$3:$E$34579,'Shayak Income '!D898,'MPG Payment '!$I$3:$I$34579)</f>
        <v>4539.18</v>
      </c>
      <c r="N898" s="126">
        <f>SUMIF('MPG Payment '!$E$3:$E$34579,'Shayak Income '!D898,'MPG Payment '!$J$3:$J$34579)</f>
        <v>159446.32500125468</v>
      </c>
      <c r="O898" s="126">
        <f t="shared" si="320"/>
        <v>3404.3850000000002</v>
      </c>
      <c r="P898" s="126">
        <f t="shared" si="321"/>
        <v>4312.2210000000005</v>
      </c>
      <c r="Q898" s="126">
        <f>SUMIF('MPG Payment '!$E$3:$E$34579,'Shayak Income '!D898,'MPG Payment '!$S$3:$S$34579)</f>
        <v>0</v>
      </c>
      <c r="R898" s="126">
        <f t="shared" si="322"/>
        <v>4783.3897500376397</v>
      </c>
      <c r="S898" s="126">
        <f t="shared" si="323"/>
        <v>471.16875003763926</v>
      </c>
      <c r="T898" s="126">
        <f t="shared" si="295"/>
        <v>453.91800000000006</v>
      </c>
      <c r="U898" s="127">
        <f>(((IF(K898="New",0,SUMIF('MPG Payment '!$E$3:$E$34579,'Shayak Income '!D898,'MPG Payment '!$AC$3:$AC$34579))))+0)+0</f>
        <v>337.86037307831981</v>
      </c>
      <c r="V898" s="127">
        <f t="shared" si="296"/>
        <v>6925</v>
      </c>
      <c r="W898" s="19">
        <f t="shared" si="297"/>
        <v>0</v>
      </c>
      <c r="X898" s="19">
        <f t="shared" si="299"/>
        <v>0</v>
      </c>
      <c r="Y898" s="128">
        <f>IFERROR(VLOOKUP(D898,'Monthly Deduction'!$M$2:$N$64,2,0),0)</f>
        <v>0</v>
      </c>
      <c r="Z898" s="128">
        <v>0</v>
      </c>
      <c r="AA898" s="126">
        <f>IFERROR(VLOOKUP(D898,'Monthly Deduction'!A:B,2,0),0)</f>
        <v>0</v>
      </c>
      <c r="AB898" s="129">
        <f t="shared" si="324"/>
        <v>6925</v>
      </c>
      <c r="AC898" s="130">
        <v>0</v>
      </c>
      <c r="AD898" s="35">
        <f t="shared" si="325"/>
        <v>6925</v>
      </c>
      <c r="AE898" s="166" t="str">
        <f t="shared" si="326"/>
        <v>Release</v>
      </c>
      <c r="AF898" s="127"/>
      <c r="AG898" s="18">
        <v>0</v>
      </c>
      <c r="AH898" s="132"/>
      <c r="AI898" s="238">
        <v>0</v>
      </c>
      <c r="AJ898" s="132"/>
      <c r="AK898" s="151">
        <v>1576.64</v>
      </c>
      <c r="AL898" s="154">
        <f t="shared" si="327"/>
        <v>0</v>
      </c>
      <c r="AM898" s="155"/>
      <c r="AN898" s="19">
        <f t="shared" si="292"/>
        <v>0</v>
      </c>
      <c r="AO898" s="118">
        <f>SUMIF('MPG Payment '!E:E,'Shayak Income '!D898,'MPG Payment '!AJ:AJ)</f>
        <v>0</v>
      </c>
      <c r="AP898" s="19">
        <f t="shared" si="293"/>
        <v>0</v>
      </c>
      <c r="AQ898" s="119">
        <f t="shared" si="328"/>
        <v>0</v>
      </c>
      <c r="AR898" s="91" t="s">
        <v>1168</v>
      </c>
      <c r="AS898" s="91">
        <f t="shared" si="294"/>
        <v>0</v>
      </c>
      <c r="AT898" s="118"/>
      <c r="AU898" s="118"/>
      <c r="AV898" s="118"/>
    </row>
    <row r="899" spans="1:48" s="20" customFormat="1" x14ac:dyDescent="0.25">
      <c r="A899" s="17">
        <f>IFERROR(VLOOKUP(D899,'Monthly Deduction'!$I$3:$J$957,2,0),0)</f>
        <v>0</v>
      </c>
      <c r="B899" s="17">
        <f>IFERROR(VLOOKUP(D899,'Monthly Deduction'!$E$3:$F$957,2,0),0)</f>
        <v>0</v>
      </c>
      <c r="C899" s="17">
        <f t="shared" si="319"/>
        <v>0</v>
      </c>
      <c r="D899" s="41">
        <v>10530042</v>
      </c>
      <c r="E899" s="122" t="str">
        <f>VLOOKUP(D899,'MPG Payment '!$E$3:$G$498218,2,0)</f>
        <v>Gomukh Malipur</v>
      </c>
      <c r="F899" s="146">
        <f>IFERROR(_xlfn.XLOOKUP(D899,'Monthly Deduction'!$I$3:$I$957,'Monthly Deduction'!$H$3:$H$957),0)</f>
        <v>0</v>
      </c>
      <c r="G899" s="123" t="str">
        <f>VLOOKUP(D899,'MPG Payment '!$E$3:$G$334579,3,0)</f>
        <v>vlc</v>
      </c>
      <c r="H899" s="124" t="str">
        <f>VLOOKUP(D899,'MPG Payment '!$E$3:$H$334579,4,0)</f>
        <v>Indirect</v>
      </c>
      <c r="I899" s="88">
        <f>INDEX('MPG Payment '!$C:$C,MATCH('Shayak Income '!D899,'MPG Payment '!E:E,0))</f>
        <v>1066</v>
      </c>
      <c r="J899" s="88" t="str">
        <f>INDEX('MPG Payment '!$D:$D,MATCH('Shayak Income '!D899,'MPG Payment '!E:E,0))</f>
        <v>Gaighat</v>
      </c>
      <c r="K899" s="125" t="s">
        <v>1322</v>
      </c>
      <c r="L899" s="125">
        <v>45737</v>
      </c>
      <c r="M899" s="126">
        <f>SUMIF('MPG Payment '!$E$3:$E$34579,'Shayak Income '!D899,'MPG Payment '!$I$3:$I$34579)</f>
        <v>113.1</v>
      </c>
      <c r="N899" s="126">
        <f>SUMIF('MPG Payment '!$E$3:$E$34579,'Shayak Income '!D899,'MPG Payment '!$J$3:$J$34579)</f>
        <v>3516.5</v>
      </c>
      <c r="O899" s="126">
        <f t="shared" si="320"/>
        <v>84.824999999999989</v>
      </c>
      <c r="P899" s="126">
        <f t="shared" si="321"/>
        <v>107.44499999999999</v>
      </c>
      <c r="Q899" s="126">
        <f>SUMIF('MPG Payment '!$E$3:$E$34579,'Shayak Income '!D899,'MPG Payment '!$S$3:$S$34579)</f>
        <v>0</v>
      </c>
      <c r="R899" s="126">
        <f t="shared" si="322"/>
        <v>105.49499999999999</v>
      </c>
      <c r="S899" s="126">
        <f t="shared" si="323"/>
        <v>-1.9500000000000028</v>
      </c>
      <c r="T899" s="126">
        <f t="shared" si="295"/>
        <v>11.31</v>
      </c>
      <c r="U899" s="127">
        <f>(((IF(K899="New",0,SUMIF('MPG Payment '!$E$3:$E$34579,'Shayak Income '!D899,'MPG Payment '!$AC$3:$AC$34579))))+0)+-184</f>
        <v>180.95735632183909</v>
      </c>
      <c r="V899" s="127">
        <f t="shared" si="296"/>
        <v>0</v>
      </c>
      <c r="W899" s="19">
        <v>0</v>
      </c>
      <c r="X899" s="19">
        <v>0</v>
      </c>
      <c r="Y899" s="128">
        <f>IFERROR(VLOOKUP(D899,'Monthly Deduction'!$M$2:$N$64,2,0),0)</f>
        <v>0</v>
      </c>
      <c r="Z899" s="128">
        <v>0</v>
      </c>
      <c r="AA899" s="126">
        <f>IFERROR(VLOOKUP(D899,'Monthly Deduction'!A:B,2,0),0)</f>
        <v>0</v>
      </c>
      <c r="AB899" s="129">
        <f t="shared" si="324"/>
        <v>0</v>
      </c>
      <c r="AC899" s="130">
        <f>AB899</f>
        <v>0</v>
      </c>
      <c r="AD899" s="35">
        <f t="shared" si="325"/>
        <v>0</v>
      </c>
      <c r="AE899" s="166" t="str">
        <f t="shared" si="326"/>
        <v>Release</v>
      </c>
      <c r="AF899" s="127"/>
      <c r="AG899" s="18">
        <v>0</v>
      </c>
      <c r="AH899" s="132" t="s">
        <v>1648</v>
      </c>
      <c r="AI899" s="238">
        <v>0</v>
      </c>
      <c r="AJ899" s="132"/>
      <c r="AK899" s="151">
        <v>0</v>
      </c>
      <c r="AL899" s="154">
        <f t="shared" si="327"/>
        <v>0</v>
      </c>
      <c r="AM899" s="155"/>
      <c r="AN899" s="19">
        <f t="shared" si="292"/>
        <v>0</v>
      </c>
      <c r="AO899" s="118">
        <f>SUMIF('MPG Payment '!E:E,'Shayak Income '!D899,'MPG Payment '!AJ:AJ)</f>
        <v>0</v>
      </c>
      <c r="AP899" s="19">
        <f t="shared" si="293"/>
        <v>0</v>
      </c>
      <c r="AQ899" s="119">
        <f t="shared" si="328"/>
        <v>0</v>
      </c>
      <c r="AR899" s="91" t="s">
        <v>1168</v>
      </c>
      <c r="AS899" s="91">
        <f t="shared" si="294"/>
        <v>0</v>
      </c>
      <c r="AT899" s="118"/>
      <c r="AU899" s="118"/>
      <c r="AV899" s="118"/>
    </row>
    <row r="900" spans="1:48" s="20" customFormat="1" x14ac:dyDescent="0.25">
      <c r="A900" s="17">
        <f>IFERROR(VLOOKUP(D900,'Monthly Deduction'!$I$3:$J$957,2,0),0)</f>
        <v>65000</v>
      </c>
      <c r="B900" s="17">
        <f>IFERROR(VLOOKUP(D900,'Monthly Deduction'!$E$3:$F$957,2,0),0)</f>
        <v>0</v>
      </c>
      <c r="C900" s="17">
        <f t="shared" si="319"/>
        <v>65000</v>
      </c>
      <c r="D900" s="41">
        <v>10530111</v>
      </c>
      <c r="E900" s="122" t="str">
        <f>VLOOKUP(D900,'MPG Payment '!$E$3:$G$498218,2,0)</f>
        <v>GOMUKH BHUSKOUL</v>
      </c>
      <c r="F900" s="146">
        <f>IFERROR(_xlfn.XLOOKUP(D900,'Monthly Deduction'!$I$3:$I$957,'Monthly Deduction'!$H$3:$H$957),0)</f>
        <v>0</v>
      </c>
      <c r="G900" s="123" t="str">
        <f>VLOOKUP(D900,'MPG Payment '!$E$3:$G$334579,3,0)</f>
        <v>MPG</v>
      </c>
      <c r="H900" s="124" t="str">
        <f>VLOOKUP(D900,'MPG Payment '!$E$3:$H$334579,4,0)</f>
        <v>Direct</v>
      </c>
      <c r="I900" s="88">
        <f>INDEX('MPG Payment '!$C:$C,MATCH('Shayak Income '!D900,'MPG Payment '!E:E,0))</f>
        <v>1053</v>
      </c>
      <c r="J900" s="88" t="str">
        <f>INDEX('MPG Payment '!$D:$D,MATCH('Shayak Income '!D900,'MPG Payment '!E:E,0))</f>
        <v>Kalyanpur</v>
      </c>
      <c r="K900" s="125" t="s">
        <v>1323</v>
      </c>
      <c r="L900" s="125">
        <v>46112</v>
      </c>
      <c r="M900" s="126">
        <f>SUMIF('MPG Payment '!$E$3:$E$34579,'Shayak Income '!D900,'MPG Payment '!$I$3:$I$34579)</f>
        <v>2733.1499999999996</v>
      </c>
      <c r="N900" s="126">
        <f>SUMIF('MPG Payment '!$E$3:$E$34579,'Shayak Income '!D900,'MPG Payment '!$J$3:$J$34579)</f>
        <v>110096.76636896499</v>
      </c>
      <c r="O900" s="126">
        <f t="shared" si="320"/>
        <v>2049.8624999999997</v>
      </c>
      <c r="P900" s="126">
        <f t="shared" si="321"/>
        <v>2596.4924999999994</v>
      </c>
      <c r="Q900" s="126">
        <f>SUMIF('MPG Payment '!$E$3:$E$34579,'Shayak Income '!D900,'MPG Payment '!$S$3:$S$34579)</f>
        <v>2039.6763142848004</v>
      </c>
      <c r="R900" s="126">
        <f t="shared" si="322"/>
        <v>3302.9029910689496</v>
      </c>
      <c r="S900" s="126">
        <f t="shared" si="323"/>
        <v>706.41049106895025</v>
      </c>
      <c r="T900" s="126">
        <f t="shared" si="295"/>
        <v>273.315</v>
      </c>
      <c r="U900" s="127">
        <f>(((IF(K900="New",0,SUMIF('MPG Payment '!$E$3:$E$34579,'Shayak Income '!D900,'MPG Payment '!$AC$3:$AC$34579))))+0)+0</f>
        <v>0</v>
      </c>
      <c r="V900" s="127">
        <f t="shared" si="296"/>
        <v>6413</v>
      </c>
      <c r="W900" s="19">
        <v>0</v>
      </c>
      <c r="X900" s="19">
        <v>0</v>
      </c>
      <c r="Y900" s="128">
        <f>IFERROR(VLOOKUP(D900,'Monthly Deduction'!$M$2:$N$64,2,0),0)</f>
        <v>0</v>
      </c>
      <c r="Z900" s="128">
        <v>0</v>
      </c>
      <c r="AA900" s="126">
        <f>IFERROR(VLOOKUP(D900,'Monthly Deduction'!A:B,2,0),0)</f>
        <v>0</v>
      </c>
      <c r="AB900" s="129">
        <f t="shared" si="324"/>
        <v>6413</v>
      </c>
      <c r="AC900" s="130">
        <v>0</v>
      </c>
      <c r="AD900" s="35">
        <f t="shared" si="325"/>
        <v>6413</v>
      </c>
      <c r="AE900" s="166" t="str">
        <f t="shared" si="326"/>
        <v>Release</v>
      </c>
      <c r="AF900" s="127"/>
      <c r="AG900" s="18">
        <v>0</v>
      </c>
      <c r="AH900" s="120"/>
      <c r="AI900" s="238">
        <v>0</v>
      </c>
      <c r="AJ900" s="132"/>
      <c r="AK900" s="151">
        <v>642.29999999999984</v>
      </c>
      <c r="AL900" s="154">
        <f t="shared" si="327"/>
        <v>0</v>
      </c>
      <c r="AM900" s="155"/>
      <c r="AN900" s="19">
        <f t="shared" ref="AN900:AN963" si="331">((MIN(IF(A900&gt;0,MAX(N900*2%,1861),0),A900)))+0</f>
        <v>2201.9353273792999</v>
      </c>
      <c r="AO900" s="118">
        <f>SUMIF('MPG Payment '!E:E,'Shayak Income '!D900,'MPG Payment '!AJ:AJ)</f>
        <v>0</v>
      </c>
      <c r="AP900" s="19">
        <f t="shared" ref="AP900:AP963" si="332">W900</f>
        <v>0</v>
      </c>
      <c r="AQ900" s="119">
        <f t="shared" si="328"/>
        <v>0</v>
      </c>
      <c r="AR900" s="91" t="s">
        <v>1168</v>
      </c>
      <c r="AS900" s="91">
        <f t="shared" ref="AS900:AS963" si="333">B900-X900</f>
        <v>0</v>
      </c>
      <c r="AT900" s="118"/>
      <c r="AU900" s="118"/>
      <c r="AV900" s="118"/>
    </row>
    <row r="901" spans="1:48" s="20" customFormat="1" x14ac:dyDescent="0.25">
      <c r="A901" s="17">
        <f>IFERROR(VLOOKUP(D901,'Monthly Deduction'!$I$3:$J$957,2,0),0)</f>
        <v>75000</v>
      </c>
      <c r="B901" s="17">
        <f>IFERROR(VLOOKUP(D901,'Monthly Deduction'!$E$3:$F$957,2,0),0)</f>
        <v>0</v>
      </c>
      <c r="C901" s="17">
        <f t="shared" si="319"/>
        <v>75000</v>
      </c>
      <c r="D901" s="41">
        <v>10530112</v>
      </c>
      <c r="E901" s="122" t="str">
        <f>VLOOKUP(D901,'MPG Payment '!$E$3:$G$498218,2,0)</f>
        <v>GOMUKH BIRSINGHPUR</v>
      </c>
      <c r="F901" s="146">
        <f>IFERROR(_xlfn.XLOOKUP(D901,'Monthly Deduction'!$I$3:$I$957,'Monthly Deduction'!$H$3:$H$957),0)</f>
        <v>0</v>
      </c>
      <c r="G901" s="123" t="str">
        <f>VLOOKUP(D901,'MPG Payment '!$E$3:$G$334579,3,0)</f>
        <v>MPG</v>
      </c>
      <c r="H901" s="124" t="str">
        <f>VLOOKUP(D901,'MPG Payment '!$E$3:$H$334579,4,0)</f>
        <v>Direct</v>
      </c>
      <c r="I901" s="88">
        <f>INDEX('MPG Payment '!$C:$C,MATCH('Shayak Income '!D901,'MPG Payment '!E:E,0))</f>
        <v>1053</v>
      </c>
      <c r="J901" s="88" t="str">
        <f>INDEX('MPG Payment '!$D:$D,MATCH('Shayak Income '!D901,'MPG Payment '!E:E,0))</f>
        <v>Kalyanpur</v>
      </c>
      <c r="K901" s="125" t="s">
        <v>1323</v>
      </c>
      <c r="L901" s="125">
        <v>46112</v>
      </c>
      <c r="M901" s="126">
        <f>SUMIF('MPG Payment '!$E$3:$E$34579,'Shayak Income '!D901,'MPG Payment '!$I$3:$I$34579)</f>
        <v>1418.5</v>
      </c>
      <c r="N901" s="126">
        <f>SUMIF('MPG Payment '!$E$3:$E$34579,'Shayak Income '!D901,'MPG Payment '!$J$3:$J$34579)</f>
        <v>55906.336393555001</v>
      </c>
      <c r="O901" s="126">
        <f t="shared" si="320"/>
        <v>1063.875</v>
      </c>
      <c r="P901" s="126">
        <f t="shared" si="321"/>
        <v>1347.575</v>
      </c>
      <c r="Q901" s="126">
        <f>SUMIF('MPG Payment '!$E$3:$E$34579,'Shayak Income '!D901,'MPG Payment '!$S$3:$S$34579)</f>
        <v>45.066073140000007</v>
      </c>
      <c r="R901" s="126">
        <f t="shared" si="322"/>
        <v>1677.1900918066499</v>
      </c>
      <c r="S901" s="126">
        <f t="shared" si="323"/>
        <v>329.61509180664984</v>
      </c>
      <c r="T901" s="126">
        <f t="shared" ref="T901:T964" si="334">M901*0.1</f>
        <v>141.85</v>
      </c>
      <c r="U901" s="127">
        <f>(((IF(K901="New",0,SUMIF('MPG Payment '!$E$3:$E$34579,'Shayak Income '!D901,'MPG Payment '!$AC$3:$AC$34579))))+0)+0</f>
        <v>0</v>
      </c>
      <c r="V901" s="127">
        <f t="shared" ref="V901:V964" si="335">ROUND((SUM(O901:Q901)-SUM(T901:U901)),0)</f>
        <v>2315</v>
      </c>
      <c r="W901" s="19">
        <v>0</v>
      </c>
      <c r="X901" s="19">
        <v>0</v>
      </c>
      <c r="Y901" s="128">
        <f>IFERROR(VLOOKUP(D901,'Monthly Deduction'!$M$2:$N$64,2,0),0)</f>
        <v>0</v>
      </c>
      <c r="Z901" s="128">
        <v>0</v>
      </c>
      <c r="AA901" s="126">
        <f>IFERROR(VLOOKUP(D901,'Monthly Deduction'!A:B,2,0),0)</f>
        <v>0</v>
      </c>
      <c r="AB901" s="129">
        <f t="shared" si="324"/>
        <v>2315</v>
      </c>
      <c r="AC901" s="130">
        <f>AB901</f>
        <v>2315</v>
      </c>
      <c r="AD901" s="35">
        <f t="shared" si="325"/>
        <v>0</v>
      </c>
      <c r="AE901" s="166" t="str">
        <f t="shared" si="326"/>
        <v>Yes</v>
      </c>
      <c r="AF901" s="127"/>
      <c r="AG901" s="18">
        <v>0</v>
      </c>
      <c r="AH901" s="120" t="s">
        <v>1646</v>
      </c>
      <c r="AI901" s="238">
        <v>10000</v>
      </c>
      <c r="AJ901" s="132"/>
      <c r="AK901" s="151">
        <v>359.3</v>
      </c>
      <c r="AL901" s="154">
        <f t="shared" si="327"/>
        <v>0</v>
      </c>
      <c r="AM901" s="155"/>
      <c r="AN901" s="19">
        <f t="shared" si="331"/>
        <v>1861</v>
      </c>
      <c r="AO901" s="118">
        <f>SUMIF('MPG Payment '!E:E,'Shayak Income '!D901,'MPG Payment '!AJ:AJ)</f>
        <v>0</v>
      </c>
      <c r="AP901" s="19">
        <f t="shared" si="332"/>
        <v>0</v>
      </c>
      <c r="AQ901" s="119">
        <f t="shared" si="328"/>
        <v>0</v>
      </c>
      <c r="AR901" s="91" t="s">
        <v>1168</v>
      </c>
      <c r="AS901" s="91">
        <f t="shared" si="333"/>
        <v>0</v>
      </c>
      <c r="AT901" s="118"/>
      <c r="AU901" s="118"/>
      <c r="AV901" s="118"/>
    </row>
    <row r="902" spans="1:48" s="20" customFormat="1" x14ac:dyDescent="0.25">
      <c r="A902" s="17">
        <f>IFERROR(VLOOKUP(D902,'Monthly Deduction'!$I$3:$J$957,2,0),0)</f>
        <v>0</v>
      </c>
      <c r="B902" s="17">
        <f>IFERROR(VLOOKUP(D902,'Monthly Deduction'!$E$3:$F$957,2,0),0)</f>
        <v>0</v>
      </c>
      <c r="C902" s="17">
        <f t="shared" si="319"/>
        <v>0</v>
      </c>
      <c r="D902" s="41">
        <v>10540048</v>
      </c>
      <c r="E902" s="122" t="str">
        <f>VLOOKUP(D902,'MPG Payment '!$E$3:$G$498218,2,0)</f>
        <v>Gomukh Rahul VLC</v>
      </c>
      <c r="F902" s="146">
        <f>IFERROR(_xlfn.XLOOKUP(D902,'Monthly Deduction'!$I$3:$I$957,'Monthly Deduction'!$H$3:$H$957),0)</f>
        <v>0</v>
      </c>
      <c r="G902" s="123" t="str">
        <f>VLOOKUP(D902,'MPG Payment '!$E$3:$G$334579,3,0)</f>
        <v>vlc</v>
      </c>
      <c r="H902" s="124" t="str">
        <f>VLOOKUP(D902,'MPG Payment '!$E$3:$H$334579,4,0)</f>
        <v>Indirect</v>
      </c>
      <c r="I902" s="88">
        <f>INDEX('MPG Payment '!$C:$C,MATCH('Shayak Income '!D902,'MPG Payment '!E:E,0))</f>
        <v>1054</v>
      </c>
      <c r="J902" s="88" t="str">
        <f>INDEX('MPG Payment '!$D:$D,MATCH('Shayak Income '!D902,'MPG Payment '!E:E,0))</f>
        <v xml:space="preserve">Alauli </v>
      </c>
      <c r="K902" s="125" t="s">
        <v>1323</v>
      </c>
      <c r="L902" s="125">
        <v>46112</v>
      </c>
      <c r="M902" s="126">
        <f>SUMIF('MPG Payment '!$E$3:$E$34579,'Shayak Income '!D902,'MPG Payment '!$I$3:$I$34579)</f>
        <v>4761.5</v>
      </c>
      <c r="N902" s="126">
        <f>SUMIF('MPG Payment '!$E$3:$E$34579,'Shayak Income '!D902,'MPG Payment '!$J$3:$J$34579)</f>
        <v>200842.67919046117</v>
      </c>
      <c r="O902" s="126">
        <f t="shared" si="320"/>
        <v>3571.125</v>
      </c>
      <c r="P902" s="126">
        <f t="shared" si="321"/>
        <v>4523.4250000000002</v>
      </c>
      <c r="Q902" s="126">
        <f>SUMIF('MPG Payment '!$E$3:$E$34579,'Shayak Income '!D902,'MPG Payment '!$S$3:$S$34579)</f>
        <v>0</v>
      </c>
      <c r="R902" s="126">
        <f t="shared" si="322"/>
        <v>6025.2803757138354</v>
      </c>
      <c r="S902" s="126">
        <f t="shared" si="323"/>
        <v>1501.8553757138352</v>
      </c>
      <c r="T902" s="126">
        <f t="shared" si="334"/>
        <v>476.15000000000003</v>
      </c>
      <c r="U902" s="127">
        <f>(((IF(K902="New",0,SUMIF('MPG Payment '!$E$3:$E$34579,'Shayak Income '!D902,'MPG Payment '!$AC$3:$AC$34579))))+0)+0</f>
        <v>0</v>
      </c>
      <c r="V902" s="127">
        <f t="shared" si="335"/>
        <v>7618</v>
      </c>
      <c r="W902" s="19">
        <v>0</v>
      </c>
      <c r="X902" s="19">
        <v>0</v>
      </c>
      <c r="Y902" s="128">
        <f>IFERROR(VLOOKUP(D902,'Monthly Deduction'!$M$2:$N$64,2,0),0)</f>
        <v>0</v>
      </c>
      <c r="Z902" s="128">
        <v>0</v>
      </c>
      <c r="AA902" s="126">
        <f>IFERROR(VLOOKUP(D902,'Monthly Deduction'!A:B,2,0),0)</f>
        <v>0</v>
      </c>
      <c r="AB902" s="129">
        <f t="shared" si="324"/>
        <v>7618</v>
      </c>
      <c r="AC902" s="130">
        <v>0</v>
      </c>
      <c r="AD902" s="35">
        <f t="shared" si="325"/>
        <v>7618</v>
      </c>
      <c r="AE902" s="166" t="str">
        <f t="shared" si="326"/>
        <v>Release</v>
      </c>
      <c r="AF902" s="127"/>
      <c r="AG902" s="18">
        <v>0</v>
      </c>
      <c r="AH902" s="120"/>
      <c r="AI902" s="238">
        <v>0</v>
      </c>
      <c r="AJ902" s="132"/>
      <c r="AK902" s="151">
        <v>1697.6000000000004</v>
      </c>
      <c r="AL902" s="154">
        <f t="shared" si="327"/>
        <v>0</v>
      </c>
      <c r="AM902" s="155"/>
      <c r="AN902" s="19">
        <f t="shared" si="331"/>
        <v>0</v>
      </c>
      <c r="AO902" s="118">
        <f>SUMIF('MPG Payment '!E:E,'Shayak Income '!D902,'MPG Payment '!AJ:AJ)</f>
        <v>0</v>
      </c>
      <c r="AP902" s="19">
        <f t="shared" si="332"/>
        <v>0</v>
      </c>
      <c r="AQ902" s="119">
        <f t="shared" si="328"/>
        <v>0</v>
      </c>
      <c r="AR902" s="91" t="s">
        <v>1168</v>
      </c>
      <c r="AS902" s="91">
        <f t="shared" si="333"/>
        <v>0</v>
      </c>
      <c r="AT902" s="118"/>
      <c r="AU902" s="118"/>
      <c r="AV902" s="118"/>
    </row>
    <row r="903" spans="1:48" s="20" customFormat="1" x14ac:dyDescent="0.25">
      <c r="A903" s="17">
        <f>IFERROR(VLOOKUP(D903,'Monthly Deduction'!$I$3:$J$957,2,0),0)</f>
        <v>0</v>
      </c>
      <c r="B903" s="17">
        <f>IFERROR(VLOOKUP(D903,'Monthly Deduction'!$E$3:$F$957,2,0),0)</f>
        <v>0</v>
      </c>
      <c r="C903" s="17">
        <f t="shared" si="319"/>
        <v>0</v>
      </c>
      <c r="D903" s="41">
        <v>10540049</v>
      </c>
      <c r="E903" s="122" t="str">
        <f>VLOOKUP(D903,'MPG Payment '!$E$3:$G$498218,2,0)</f>
        <v>Gomukh Sachin VLC</v>
      </c>
      <c r="F903" s="146">
        <f>IFERROR(_xlfn.XLOOKUP(D903,'Monthly Deduction'!$I$3:$I$957,'Monthly Deduction'!$H$3:$H$957),0)</f>
        <v>0</v>
      </c>
      <c r="G903" s="123" t="str">
        <f>VLOOKUP(D903,'MPG Payment '!$E$3:$G$334579,3,0)</f>
        <v>vlc</v>
      </c>
      <c r="H903" s="124" t="str">
        <f>VLOOKUP(D903,'MPG Payment '!$E$3:$H$334579,4,0)</f>
        <v>Indirect</v>
      </c>
      <c r="I903" s="88">
        <f>INDEX('MPG Payment '!$C:$C,MATCH('Shayak Income '!D903,'MPG Payment '!E:E,0))</f>
        <v>1054</v>
      </c>
      <c r="J903" s="88" t="str">
        <f>INDEX('MPG Payment '!$D:$D,MATCH('Shayak Income '!D903,'MPG Payment '!E:E,0))</f>
        <v xml:space="preserve">Alauli </v>
      </c>
      <c r="K903" s="125" t="s">
        <v>1323</v>
      </c>
      <c r="L903" s="125">
        <v>46112</v>
      </c>
      <c r="M903" s="126">
        <f>SUMIF('MPG Payment '!$E$3:$E$34579,'Shayak Income '!D903,'MPG Payment '!$I$3:$I$34579)</f>
        <v>2220.5</v>
      </c>
      <c r="N903" s="126">
        <f>SUMIF('MPG Payment '!$E$3:$E$34579,'Shayak Income '!D903,'MPG Payment '!$J$3:$J$34579)</f>
        <v>77948.942650148994</v>
      </c>
      <c r="O903" s="126">
        <f t="shared" si="320"/>
        <v>1665.375</v>
      </c>
      <c r="P903" s="126">
        <f t="shared" si="321"/>
        <v>2109.4749999999999</v>
      </c>
      <c r="Q903" s="126">
        <f>SUMIF('MPG Payment '!$E$3:$E$34579,'Shayak Income '!D903,'MPG Payment '!$S$3:$S$34579)</f>
        <v>0</v>
      </c>
      <c r="R903" s="126">
        <f t="shared" si="322"/>
        <v>2338.4682795044696</v>
      </c>
      <c r="S903" s="126">
        <f t="shared" si="323"/>
        <v>228.99327950446968</v>
      </c>
      <c r="T903" s="126">
        <f t="shared" si="334"/>
        <v>222.05</v>
      </c>
      <c r="U903" s="127">
        <f>(((IF(K903="New",0,SUMIF('MPG Payment '!$E$3:$E$34579,'Shayak Income '!D903,'MPG Payment '!$AC$3:$AC$34579))))+0)+0</f>
        <v>0</v>
      </c>
      <c r="V903" s="127">
        <f t="shared" si="335"/>
        <v>3553</v>
      </c>
      <c r="W903" s="19">
        <v>0</v>
      </c>
      <c r="X903" s="19">
        <v>0</v>
      </c>
      <c r="Y903" s="128">
        <f>IFERROR(VLOOKUP(D903,'Monthly Deduction'!$M$2:$N$64,2,0),0)</f>
        <v>0</v>
      </c>
      <c r="Z903" s="128">
        <v>0</v>
      </c>
      <c r="AA903" s="126">
        <f>IFERROR(VLOOKUP(D903,'Monthly Deduction'!A:B,2,0),0)</f>
        <v>0</v>
      </c>
      <c r="AB903" s="129">
        <f t="shared" si="324"/>
        <v>3553</v>
      </c>
      <c r="AC903" s="130">
        <v>0</v>
      </c>
      <c r="AD903" s="35">
        <f t="shared" si="325"/>
        <v>3553</v>
      </c>
      <c r="AE903" s="166" t="str">
        <f t="shared" si="326"/>
        <v>Release</v>
      </c>
      <c r="AF903" s="127"/>
      <c r="AG903" s="18">
        <v>0</v>
      </c>
      <c r="AH903" s="120"/>
      <c r="AI903" s="238">
        <v>0</v>
      </c>
      <c r="AJ903" s="132"/>
      <c r="AK903" s="151">
        <v>755.09999999999991</v>
      </c>
      <c r="AL903" s="154">
        <f t="shared" si="327"/>
        <v>0</v>
      </c>
      <c r="AM903" s="155"/>
      <c r="AN903" s="19">
        <f t="shared" si="331"/>
        <v>0</v>
      </c>
      <c r="AO903" s="118">
        <f>SUMIF('MPG Payment '!E:E,'Shayak Income '!D903,'MPG Payment '!AJ:AJ)</f>
        <v>0</v>
      </c>
      <c r="AP903" s="19">
        <f t="shared" si="332"/>
        <v>0</v>
      </c>
      <c r="AQ903" s="119">
        <f t="shared" si="328"/>
        <v>0</v>
      </c>
      <c r="AR903" s="91" t="s">
        <v>1168</v>
      </c>
      <c r="AS903" s="91">
        <f t="shared" si="333"/>
        <v>0</v>
      </c>
      <c r="AT903" s="118"/>
      <c r="AU903" s="118"/>
      <c r="AV903" s="118"/>
    </row>
    <row r="904" spans="1:48" s="20" customFormat="1" x14ac:dyDescent="0.25">
      <c r="A904" s="17">
        <f>IFERROR(VLOOKUP(D904,'Monthly Deduction'!$I$3:$J$957,2,0),0)</f>
        <v>0</v>
      </c>
      <c r="B904" s="17">
        <f>IFERROR(VLOOKUP(D904,'Monthly Deduction'!$E$3:$F$957,2,0),0)</f>
        <v>0</v>
      </c>
      <c r="C904" s="17">
        <f t="shared" si="319"/>
        <v>0</v>
      </c>
      <c r="D904" s="41">
        <v>10560033</v>
      </c>
      <c r="E904" s="122" t="str">
        <f>VLOOKUP(D904,'MPG Payment '!$E$3:$G$498218,2,0)</f>
        <v>Gomukh Thuthi Vlc</v>
      </c>
      <c r="F904" s="146">
        <f>IFERROR(_xlfn.XLOOKUP(D904,'Monthly Deduction'!$I$3:$I$957,'Monthly Deduction'!$H$3:$H$957),0)</f>
        <v>0</v>
      </c>
      <c r="G904" s="123" t="str">
        <f>VLOOKUP(D904,'MPG Payment '!$E$3:$G$334579,3,0)</f>
        <v>vlc</v>
      </c>
      <c r="H904" s="124" t="str">
        <f>VLOOKUP(D904,'MPG Payment '!$E$3:$H$334579,4,0)</f>
        <v>Direct</v>
      </c>
      <c r="I904" s="88">
        <f>INDEX('MPG Payment '!$C:$C,MATCH('Shayak Income '!D904,'MPG Payment '!E:E,0))</f>
        <v>1056</v>
      </c>
      <c r="J904" s="88" t="str">
        <f>INDEX('MPG Payment '!$D:$D,MATCH('Shayak Income '!D904,'MPG Payment '!E:E,0))</f>
        <v>Chautham</v>
      </c>
      <c r="K904" s="125" t="s">
        <v>1323</v>
      </c>
      <c r="L904" s="125">
        <v>46112</v>
      </c>
      <c r="M904" s="126">
        <f>SUMIF('MPG Payment '!$E$3:$E$34579,'Shayak Income '!D904,'MPG Payment '!$I$3:$I$34579)</f>
        <v>861.68000000000006</v>
      </c>
      <c r="N904" s="126">
        <f>SUMIF('MPG Payment '!$E$3:$E$34579,'Shayak Income '!D904,'MPG Payment '!$J$3:$J$34579)</f>
        <v>34977.722637326078</v>
      </c>
      <c r="O904" s="126">
        <f t="shared" si="320"/>
        <v>646.26</v>
      </c>
      <c r="P904" s="126">
        <f t="shared" si="321"/>
        <v>818.596</v>
      </c>
      <c r="Q904" s="126">
        <f>SUMIF('MPG Payment '!$E$3:$E$34579,'Shayak Income '!D904,'MPG Payment '!$S$3:$S$34579)</f>
        <v>0</v>
      </c>
      <c r="R904" s="126">
        <f t="shared" si="322"/>
        <v>1049.3316791197824</v>
      </c>
      <c r="S904" s="126">
        <f t="shared" si="323"/>
        <v>230.73567911978239</v>
      </c>
      <c r="T904" s="126">
        <f t="shared" si="334"/>
        <v>86.168000000000006</v>
      </c>
      <c r="U904" s="127">
        <f>(((IF(K904="New",0,SUMIF('MPG Payment '!$E$3:$E$34579,'Shayak Income '!D904,'MPG Payment '!$AC$3:$AC$34579))))+0)+0</f>
        <v>0</v>
      </c>
      <c r="V904" s="127">
        <f t="shared" si="335"/>
        <v>1379</v>
      </c>
      <c r="W904" s="19">
        <v>0</v>
      </c>
      <c r="X904" s="19">
        <v>0</v>
      </c>
      <c r="Y904" s="128">
        <f>IFERROR(VLOOKUP(D904,'Monthly Deduction'!$M$2:$N$64,2,0),0)</f>
        <v>0</v>
      </c>
      <c r="Z904" s="128">
        <v>0</v>
      </c>
      <c r="AA904" s="126">
        <f>IFERROR(VLOOKUP(D904,'Monthly Deduction'!A:B,2,0),0)</f>
        <v>0</v>
      </c>
      <c r="AB904" s="129">
        <f t="shared" si="324"/>
        <v>1379</v>
      </c>
      <c r="AC904" s="130">
        <v>0</v>
      </c>
      <c r="AD904" s="35">
        <f t="shared" si="325"/>
        <v>1379</v>
      </c>
      <c r="AE904" s="166" t="str">
        <f t="shared" si="326"/>
        <v>Release</v>
      </c>
      <c r="AF904" s="127"/>
      <c r="AG904" s="18">
        <v>0</v>
      </c>
      <c r="AH904" s="120"/>
      <c r="AI904" s="238">
        <v>0</v>
      </c>
      <c r="AJ904" s="132"/>
      <c r="AK904" s="151">
        <v>244.94000000000003</v>
      </c>
      <c r="AL904" s="154">
        <f t="shared" si="327"/>
        <v>0</v>
      </c>
      <c r="AM904" s="155"/>
      <c r="AN904" s="19">
        <f t="shared" si="331"/>
        <v>0</v>
      </c>
      <c r="AO904" s="118">
        <f>SUMIF('MPG Payment '!E:E,'Shayak Income '!D904,'MPG Payment '!AJ:AJ)</f>
        <v>0</v>
      </c>
      <c r="AP904" s="19">
        <f t="shared" si="332"/>
        <v>0</v>
      </c>
      <c r="AQ904" s="119">
        <f t="shared" si="328"/>
        <v>0</v>
      </c>
      <c r="AR904" s="91" t="s">
        <v>1168</v>
      </c>
      <c r="AS904" s="91">
        <f t="shared" si="333"/>
        <v>0</v>
      </c>
      <c r="AT904" s="118"/>
      <c r="AU904" s="118"/>
      <c r="AV904" s="118"/>
    </row>
    <row r="905" spans="1:48" s="20" customFormat="1" x14ac:dyDescent="0.25">
      <c r="A905" s="17">
        <f>IFERROR(VLOOKUP(D905,'Monthly Deduction'!$I$3:$J$957,2,0),0)</f>
        <v>75000</v>
      </c>
      <c r="B905" s="17">
        <f>IFERROR(VLOOKUP(D905,'Monthly Deduction'!$E$3:$F$957,2,0),0)</f>
        <v>0</v>
      </c>
      <c r="C905" s="17">
        <f t="shared" si="319"/>
        <v>75000</v>
      </c>
      <c r="D905" s="41">
        <v>10560036</v>
      </c>
      <c r="E905" s="122" t="str">
        <f>VLOOKUP(D905,'MPG Payment '!$E$3:$G$498218,2,0)</f>
        <v>Gomukh Bangalia</v>
      </c>
      <c r="F905" s="146">
        <f>IFERROR(_xlfn.XLOOKUP(D905,'Monthly Deduction'!$I$3:$I$957,'Monthly Deduction'!$H$3:$H$957),0)</f>
        <v>0</v>
      </c>
      <c r="G905" s="123" t="str">
        <f>VLOOKUP(D905,'MPG Payment '!$E$3:$G$334579,3,0)</f>
        <v>MPG</v>
      </c>
      <c r="H905" s="124" t="str">
        <f>VLOOKUP(D905,'MPG Payment '!$E$3:$H$334579,4,0)</f>
        <v>Direct</v>
      </c>
      <c r="I905" s="88">
        <f>INDEX('MPG Payment '!$C:$C,MATCH('Shayak Income '!D905,'MPG Payment '!E:E,0))</f>
        <v>1056</v>
      </c>
      <c r="J905" s="88" t="str">
        <f>INDEX('MPG Payment '!$D:$D,MATCH('Shayak Income '!D905,'MPG Payment '!E:E,0))</f>
        <v>Chautham</v>
      </c>
      <c r="K905" s="125" t="s">
        <v>1323</v>
      </c>
      <c r="L905" s="125">
        <v>46112</v>
      </c>
      <c r="M905" s="126">
        <f>SUMIF('MPG Payment '!$E$3:$E$34579,'Shayak Income '!D905,'MPG Payment '!$I$3:$I$34579)</f>
        <v>1301.2199999999998</v>
      </c>
      <c r="N905" s="126">
        <f>SUMIF('MPG Payment '!$E$3:$E$34579,'Shayak Income '!D905,'MPG Payment '!$J$3:$J$34579)</f>
        <v>58361.844559732002</v>
      </c>
      <c r="O905" s="126">
        <f t="shared" si="320"/>
        <v>975.91499999999985</v>
      </c>
      <c r="P905" s="126">
        <f t="shared" si="321"/>
        <v>1236.1589999999997</v>
      </c>
      <c r="Q905" s="126">
        <f>SUMIF('MPG Payment '!$E$3:$E$34579,'Shayak Income '!D905,'MPG Payment '!$S$3:$S$34579)</f>
        <v>0</v>
      </c>
      <c r="R905" s="126">
        <f t="shared" si="322"/>
        <v>1750.8553367919601</v>
      </c>
      <c r="S905" s="126">
        <f t="shared" si="323"/>
        <v>514.69633679196045</v>
      </c>
      <c r="T905" s="126">
        <f t="shared" si="334"/>
        <v>130.12199999999999</v>
      </c>
      <c r="U905" s="127">
        <f>(((IF(K905="New",0,SUMIF('MPG Payment '!$E$3:$E$34579,'Shayak Income '!D905,'MPG Payment '!$AC$3:$AC$34579))))+0)+0</f>
        <v>0</v>
      </c>
      <c r="V905" s="127">
        <f t="shared" si="335"/>
        <v>2082</v>
      </c>
      <c r="W905" s="19">
        <v>0</v>
      </c>
      <c r="X905" s="19">
        <v>0</v>
      </c>
      <c r="Y905" s="128">
        <f>IFERROR(VLOOKUP(D905,'Monthly Deduction'!$M$2:$N$64,2,0),0)</f>
        <v>0</v>
      </c>
      <c r="Z905" s="128">
        <v>0</v>
      </c>
      <c r="AA905" s="126">
        <f>IFERROR(VLOOKUP(D905,'Monthly Deduction'!A:B,2,0),0)</f>
        <v>0</v>
      </c>
      <c r="AB905" s="129">
        <f t="shared" si="324"/>
        <v>2082</v>
      </c>
      <c r="AC905" s="130">
        <f t="shared" ref="AC905:AC908" si="336">AB905</f>
        <v>2082</v>
      </c>
      <c r="AD905" s="35">
        <f t="shared" si="325"/>
        <v>0</v>
      </c>
      <c r="AE905" s="166" t="str">
        <f t="shared" si="326"/>
        <v>Yes</v>
      </c>
      <c r="AF905" s="127"/>
      <c r="AG905" s="18">
        <v>0</v>
      </c>
      <c r="AH905" s="120" t="s">
        <v>1650</v>
      </c>
      <c r="AI905" s="238">
        <v>10000</v>
      </c>
      <c r="AJ905" s="132"/>
      <c r="AK905" s="151">
        <v>664.07999999999993</v>
      </c>
      <c r="AL905" s="154">
        <f t="shared" si="327"/>
        <v>0</v>
      </c>
      <c r="AM905" s="155"/>
      <c r="AN905" s="19">
        <f t="shared" si="331"/>
        <v>1861</v>
      </c>
      <c r="AO905" s="118">
        <f>SUMIF('MPG Payment '!E:E,'Shayak Income '!D905,'MPG Payment '!AJ:AJ)</f>
        <v>0</v>
      </c>
      <c r="AP905" s="19">
        <f t="shared" si="332"/>
        <v>0</v>
      </c>
      <c r="AQ905" s="119">
        <f t="shared" si="328"/>
        <v>0</v>
      </c>
      <c r="AR905" s="91" t="s">
        <v>1168</v>
      </c>
      <c r="AS905" s="91">
        <f t="shared" si="333"/>
        <v>0</v>
      </c>
      <c r="AT905" s="118"/>
      <c r="AU905" s="118"/>
      <c r="AV905" s="118"/>
    </row>
    <row r="906" spans="1:48" s="20" customFormat="1" x14ac:dyDescent="0.25">
      <c r="A906" s="17">
        <f>IFERROR(VLOOKUP(D906,'Monthly Deduction'!$I$3:$J$957,2,0),0)</f>
        <v>75000</v>
      </c>
      <c r="B906" s="17">
        <f>IFERROR(VLOOKUP(D906,'Monthly Deduction'!$E$3:$F$957,2,0),0)</f>
        <v>0</v>
      </c>
      <c r="C906" s="17">
        <f t="shared" si="319"/>
        <v>75000</v>
      </c>
      <c r="D906" s="41">
        <v>10560037</v>
      </c>
      <c r="E906" s="122" t="str">
        <f>VLOOKUP(D906,'MPG Payment '!$E$3:$G$498218,2,0)</f>
        <v>Gomukh Soharba Purvi</v>
      </c>
      <c r="F906" s="146">
        <f>IFERROR(_xlfn.XLOOKUP(D906,'Monthly Deduction'!$I$3:$I$957,'Monthly Deduction'!$H$3:$H$957),0)</f>
        <v>0</v>
      </c>
      <c r="G906" s="123" t="str">
        <f>VLOOKUP(D906,'MPG Payment '!$E$3:$G$334579,3,0)</f>
        <v>MPG</v>
      </c>
      <c r="H906" s="124" t="str">
        <f>VLOOKUP(D906,'MPG Payment '!$E$3:$H$334579,4,0)</f>
        <v>Direct</v>
      </c>
      <c r="I906" s="88">
        <f>INDEX('MPG Payment '!$C:$C,MATCH('Shayak Income '!D906,'MPG Payment '!E:E,0))</f>
        <v>1056</v>
      </c>
      <c r="J906" s="88" t="str">
        <f>INDEX('MPG Payment '!$D:$D,MATCH('Shayak Income '!D906,'MPG Payment '!E:E,0))</f>
        <v>Chautham</v>
      </c>
      <c r="K906" s="125" t="s">
        <v>1323</v>
      </c>
      <c r="L906" s="125">
        <v>46112</v>
      </c>
      <c r="M906" s="126">
        <f>SUMIF('MPG Payment '!$E$3:$E$34579,'Shayak Income '!D906,'MPG Payment '!$I$3:$I$34579)</f>
        <v>1085.08</v>
      </c>
      <c r="N906" s="126">
        <f>SUMIF('MPG Payment '!$E$3:$E$34579,'Shayak Income '!D906,'MPG Payment '!$J$3:$J$34579)</f>
        <v>43443.437223169502</v>
      </c>
      <c r="O906" s="126">
        <f t="shared" si="320"/>
        <v>813.81</v>
      </c>
      <c r="P906" s="126">
        <f t="shared" si="321"/>
        <v>1030.8259999999998</v>
      </c>
      <c r="Q906" s="126">
        <f>SUMIF('MPG Payment '!$E$3:$E$34579,'Shayak Income '!D906,'MPG Payment '!$S$3:$S$34579)</f>
        <v>0</v>
      </c>
      <c r="R906" s="126">
        <f t="shared" si="322"/>
        <v>1303.303116695085</v>
      </c>
      <c r="S906" s="126">
        <f t="shared" si="323"/>
        <v>272.47711669508521</v>
      </c>
      <c r="T906" s="126">
        <f t="shared" si="334"/>
        <v>108.508</v>
      </c>
      <c r="U906" s="127">
        <f>(((IF(K906="New",0,SUMIF('MPG Payment '!$E$3:$E$34579,'Shayak Income '!D906,'MPG Payment '!$AC$3:$AC$34579))))+0)+0</f>
        <v>0</v>
      </c>
      <c r="V906" s="127">
        <f t="shared" si="335"/>
        <v>1736</v>
      </c>
      <c r="W906" s="19">
        <v>0</v>
      </c>
      <c r="X906" s="19">
        <v>0</v>
      </c>
      <c r="Y906" s="128">
        <f>IFERROR(VLOOKUP(D906,'Monthly Deduction'!$M$2:$N$64,2,0),0)</f>
        <v>0</v>
      </c>
      <c r="Z906" s="128">
        <v>0</v>
      </c>
      <c r="AA906" s="126">
        <f>IFERROR(VLOOKUP(D906,'Monthly Deduction'!A:B,2,0),0)</f>
        <v>0</v>
      </c>
      <c r="AB906" s="129">
        <f t="shared" si="324"/>
        <v>1736</v>
      </c>
      <c r="AC906" s="130">
        <f t="shared" si="336"/>
        <v>1736</v>
      </c>
      <c r="AD906" s="35">
        <f t="shared" si="325"/>
        <v>0</v>
      </c>
      <c r="AE906" s="166" t="str">
        <f t="shared" si="326"/>
        <v>Yes</v>
      </c>
      <c r="AF906" s="127"/>
      <c r="AG906" s="18">
        <v>0</v>
      </c>
      <c r="AH906" s="120" t="s">
        <v>1650</v>
      </c>
      <c r="AI906" s="238">
        <v>10000</v>
      </c>
      <c r="AJ906" s="132"/>
      <c r="AK906" s="151">
        <v>373.24</v>
      </c>
      <c r="AL906" s="154">
        <f t="shared" si="327"/>
        <v>0</v>
      </c>
      <c r="AM906" s="155"/>
      <c r="AN906" s="19">
        <f t="shared" si="331"/>
        <v>1861</v>
      </c>
      <c r="AO906" s="118">
        <f>SUMIF('MPG Payment '!E:E,'Shayak Income '!D906,'MPG Payment '!AJ:AJ)</f>
        <v>0</v>
      </c>
      <c r="AP906" s="19">
        <f t="shared" si="332"/>
        <v>0</v>
      </c>
      <c r="AQ906" s="119">
        <f t="shared" si="328"/>
        <v>0</v>
      </c>
      <c r="AR906" s="91" t="s">
        <v>1168</v>
      </c>
      <c r="AS906" s="91">
        <f t="shared" si="333"/>
        <v>0</v>
      </c>
      <c r="AT906" s="118"/>
      <c r="AU906" s="118"/>
      <c r="AV906" s="118"/>
    </row>
    <row r="907" spans="1:48" s="20" customFormat="1" x14ac:dyDescent="0.25">
      <c r="A907" s="17">
        <f>IFERROR(VLOOKUP(D907,'Monthly Deduction'!$I$3:$J$957,2,0),0)</f>
        <v>85000</v>
      </c>
      <c r="B907" s="17">
        <f>IFERROR(VLOOKUP(D907,'Monthly Deduction'!$E$3:$F$957,2,0),0)</f>
        <v>0</v>
      </c>
      <c r="C907" s="17">
        <f t="shared" si="319"/>
        <v>85000</v>
      </c>
      <c r="D907" s="41">
        <v>10570055</v>
      </c>
      <c r="E907" s="122" t="str">
        <f>VLOOKUP(D907,'MPG Payment '!$E$3:$G$498218,2,0)</f>
        <v>Raini 2</v>
      </c>
      <c r="F907" s="146">
        <f>IFERROR(_xlfn.XLOOKUP(D907,'Monthly Deduction'!$I$3:$I$957,'Monthly Deduction'!$H$3:$H$957),0)</f>
        <v>0</v>
      </c>
      <c r="G907" s="123" t="str">
        <f>VLOOKUP(D907,'MPG Payment '!$E$3:$G$334579,3,0)</f>
        <v>MPG</v>
      </c>
      <c r="H907" s="124" t="str">
        <f>VLOOKUP(D907,'MPG Payment '!$E$3:$H$334579,4,0)</f>
        <v>Direct</v>
      </c>
      <c r="I907" s="88">
        <f>INDEX('MPG Payment '!$C:$C,MATCH('Shayak Income '!D907,'MPG Payment '!E:E,0))</f>
        <v>1057</v>
      </c>
      <c r="J907" s="88" t="str">
        <f>INDEX('MPG Payment '!$D:$D,MATCH('Shayak Income '!D907,'MPG Payment '!E:E,0))</f>
        <v>Warisnagar</v>
      </c>
      <c r="K907" s="125" t="s">
        <v>1323</v>
      </c>
      <c r="L907" s="125">
        <v>46108</v>
      </c>
      <c r="M907" s="126">
        <f>SUMIF('MPG Payment '!$E$3:$E$34579,'Shayak Income '!D907,'MPG Payment '!$I$3:$I$34579)</f>
        <v>611.90000000000009</v>
      </c>
      <c r="N907" s="126">
        <f>SUMIF('MPG Payment '!$E$3:$E$34579,'Shayak Income '!D907,'MPG Payment '!$J$3:$J$34579)</f>
        <v>25171.114033193997</v>
      </c>
      <c r="O907" s="126">
        <f t="shared" si="320"/>
        <v>458.92500000000007</v>
      </c>
      <c r="P907" s="126">
        <f t="shared" si="321"/>
        <v>581.30500000000006</v>
      </c>
      <c r="Q907" s="126">
        <f>SUMIF('MPG Payment '!$E$3:$E$34579,'Shayak Income '!D907,'MPG Payment '!$S$3:$S$34579)</f>
        <v>0</v>
      </c>
      <c r="R907" s="126">
        <f t="shared" si="322"/>
        <v>755.13342099581985</v>
      </c>
      <c r="S907" s="126">
        <f t="shared" si="323"/>
        <v>173.82842099581978</v>
      </c>
      <c r="T907" s="126">
        <f t="shared" si="334"/>
        <v>61.190000000000012</v>
      </c>
      <c r="U907" s="127">
        <f>(((IF(K907="New",0,SUMIF('MPG Payment '!$E$3:$E$34579,'Shayak Income '!D907,'MPG Payment '!$AC$3:$AC$34579))))+0)+0</f>
        <v>0</v>
      </c>
      <c r="V907" s="127">
        <f t="shared" si="335"/>
        <v>979</v>
      </c>
      <c r="W907" s="19">
        <v>0</v>
      </c>
      <c r="X907" s="19">
        <v>0</v>
      </c>
      <c r="Y907" s="128">
        <f>IFERROR(VLOOKUP(D907,'Monthly Deduction'!$M$2:$N$64,2,0),0)</f>
        <v>0</v>
      </c>
      <c r="Z907" s="128">
        <v>0</v>
      </c>
      <c r="AA907" s="126">
        <f>IFERROR(VLOOKUP(D907,'Monthly Deduction'!A:B,2,0),0)</f>
        <v>0</v>
      </c>
      <c r="AB907" s="129">
        <f t="shared" si="324"/>
        <v>979</v>
      </c>
      <c r="AC907" s="130">
        <f t="shared" si="336"/>
        <v>979</v>
      </c>
      <c r="AD907" s="35">
        <f t="shared" si="325"/>
        <v>0</v>
      </c>
      <c r="AE907" s="166" t="str">
        <f t="shared" si="326"/>
        <v>Yes</v>
      </c>
      <c r="AF907" s="127"/>
      <c r="AG907" s="18">
        <v>0</v>
      </c>
      <c r="AH907" s="120" t="s">
        <v>1650</v>
      </c>
      <c r="AI907" s="238">
        <v>20000</v>
      </c>
      <c r="AJ907" s="132"/>
      <c r="AK907" s="151">
        <v>189.10000000000002</v>
      </c>
      <c r="AL907" s="154">
        <f t="shared" si="327"/>
        <v>0</v>
      </c>
      <c r="AM907" s="155"/>
      <c r="AN907" s="19">
        <f t="shared" si="331"/>
        <v>1861</v>
      </c>
      <c r="AO907" s="118">
        <f>SUMIF('MPG Payment '!E:E,'Shayak Income '!D907,'MPG Payment '!AJ:AJ)</f>
        <v>0</v>
      </c>
      <c r="AP907" s="19">
        <f t="shared" si="332"/>
        <v>0</v>
      </c>
      <c r="AQ907" s="119">
        <f t="shared" si="328"/>
        <v>0</v>
      </c>
      <c r="AR907" s="91" t="s">
        <v>1168</v>
      </c>
      <c r="AS907" s="91">
        <f t="shared" si="333"/>
        <v>0</v>
      </c>
      <c r="AT907" s="118"/>
      <c r="AU907" s="118"/>
      <c r="AV907" s="118"/>
    </row>
    <row r="908" spans="1:48" s="20" customFormat="1" x14ac:dyDescent="0.25">
      <c r="A908" s="17">
        <f>IFERROR(VLOOKUP(D908,'Monthly Deduction'!$I$3:$J$957,2,0),0)</f>
        <v>0</v>
      </c>
      <c r="B908" s="17">
        <f>IFERROR(VLOOKUP(D908,'Monthly Deduction'!$E$3:$F$957,2,0),0)</f>
        <v>0</v>
      </c>
      <c r="C908" s="17">
        <f t="shared" si="319"/>
        <v>0</v>
      </c>
      <c r="D908" s="41">
        <v>10570056</v>
      </c>
      <c r="E908" s="122" t="str">
        <f>VLOOKUP(D908,'MPG Payment '!$E$3:$G$498218,2,0)</f>
        <v>Hasauli</v>
      </c>
      <c r="F908" s="146">
        <f>IFERROR(_xlfn.XLOOKUP(D908,'Monthly Deduction'!$I$3:$I$957,'Monthly Deduction'!$H$3:$H$957),0)</f>
        <v>0</v>
      </c>
      <c r="G908" s="123" t="str">
        <f>VLOOKUP(D908,'MPG Payment '!$E$3:$G$334579,3,0)</f>
        <v>vlc</v>
      </c>
      <c r="H908" s="124" t="str">
        <f>VLOOKUP(D908,'MPG Payment '!$E$3:$H$334579,4,0)</f>
        <v>Indirect</v>
      </c>
      <c r="I908" s="88">
        <f>INDEX('MPG Payment '!$C:$C,MATCH('Shayak Income '!D908,'MPG Payment '!E:E,0))</f>
        <v>1057</v>
      </c>
      <c r="J908" s="88" t="str">
        <f>INDEX('MPG Payment '!$D:$D,MATCH('Shayak Income '!D908,'MPG Payment '!E:E,0))</f>
        <v>Warisnagar</v>
      </c>
      <c r="K908" s="125" t="s">
        <v>1323</v>
      </c>
      <c r="L908" s="125">
        <v>46108</v>
      </c>
      <c r="M908" s="126">
        <f>SUMIF('MPG Payment '!$E$3:$E$34579,'Shayak Income '!D908,'MPG Payment '!$I$3:$I$34579)</f>
        <v>109.19999999999999</v>
      </c>
      <c r="N908" s="126">
        <f>SUMIF('MPG Payment '!$E$3:$E$34579,'Shayak Income '!D908,'MPG Payment '!$J$3:$J$34579)</f>
        <v>3949.6100000000006</v>
      </c>
      <c r="O908" s="126">
        <f t="shared" si="320"/>
        <v>81.899999999999991</v>
      </c>
      <c r="P908" s="126">
        <f t="shared" si="321"/>
        <v>103.73999999999998</v>
      </c>
      <c r="Q908" s="126">
        <f>SUMIF('MPG Payment '!$E$3:$E$34579,'Shayak Income '!D908,'MPG Payment '!$S$3:$S$34579)</f>
        <v>0</v>
      </c>
      <c r="R908" s="126">
        <f t="shared" si="322"/>
        <v>118.48830000000001</v>
      </c>
      <c r="S908" s="126">
        <f t="shared" si="323"/>
        <v>14.748300000000029</v>
      </c>
      <c r="T908" s="126">
        <f t="shared" si="334"/>
        <v>10.92</v>
      </c>
      <c r="U908" s="127">
        <f>(((IF(K908="New",0,SUMIF('MPG Payment '!$E$3:$E$34579,'Shayak Income '!D908,'MPG Payment '!$AC$3:$AC$34579))))+0)+0</f>
        <v>0</v>
      </c>
      <c r="V908" s="127">
        <f t="shared" si="335"/>
        <v>175</v>
      </c>
      <c r="W908" s="19">
        <v>0</v>
      </c>
      <c r="X908" s="19">
        <v>0</v>
      </c>
      <c r="Y908" s="128">
        <f>IFERROR(VLOOKUP(D908,'Monthly Deduction'!$M$2:$N$64,2,0),0)</f>
        <v>0</v>
      </c>
      <c r="Z908" s="128">
        <v>0</v>
      </c>
      <c r="AA908" s="126">
        <f>IFERROR(VLOOKUP(D908,'Monthly Deduction'!A:B,2,0),0)</f>
        <v>0</v>
      </c>
      <c r="AB908" s="129">
        <f t="shared" si="324"/>
        <v>175</v>
      </c>
      <c r="AC908" s="130">
        <f t="shared" si="336"/>
        <v>175</v>
      </c>
      <c r="AD908" s="35">
        <f t="shared" si="325"/>
        <v>0</v>
      </c>
      <c r="AE908" s="166" t="str">
        <f t="shared" si="326"/>
        <v>Yes</v>
      </c>
      <c r="AF908" s="127"/>
      <c r="AG908" s="18">
        <v>0</v>
      </c>
      <c r="AH908" s="132" t="s">
        <v>1648</v>
      </c>
      <c r="AI908" s="238">
        <v>0</v>
      </c>
      <c r="AJ908" s="132"/>
      <c r="AK908" s="151">
        <v>0</v>
      </c>
      <c r="AL908" s="154">
        <f t="shared" si="327"/>
        <v>0</v>
      </c>
      <c r="AM908" s="155"/>
      <c r="AN908" s="19">
        <f t="shared" si="331"/>
        <v>0</v>
      </c>
      <c r="AO908" s="118">
        <f>SUMIF('MPG Payment '!E:E,'Shayak Income '!D908,'MPG Payment '!AJ:AJ)</f>
        <v>0</v>
      </c>
      <c r="AP908" s="19">
        <f t="shared" si="332"/>
        <v>0</v>
      </c>
      <c r="AQ908" s="119">
        <f t="shared" si="328"/>
        <v>0</v>
      </c>
      <c r="AR908" s="91" t="s">
        <v>1168</v>
      </c>
      <c r="AS908" s="91">
        <f t="shared" si="333"/>
        <v>0</v>
      </c>
      <c r="AT908" s="118"/>
      <c r="AU908" s="118"/>
      <c r="AV908" s="118"/>
    </row>
    <row r="909" spans="1:48" s="20" customFormat="1" x14ac:dyDescent="0.25">
      <c r="A909" s="17">
        <f>IFERROR(VLOOKUP(D909,'Monthly Deduction'!$I$3:$J$957,2,0),0)</f>
        <v>0</v>
      </c>
      <c r="B909" s="17">
        <f>IFERROR(VLOOKUP(D909,'Monthly Deduction'!$E$3:$F$957,2,0),0)</f>
        <v>0</v>
      </c>
      <c r="C909" s="17">
        <f t="shared" ref="C909:C946" si="337">A909+B909</f>
        <v>0</v>
      </c>
      <c r="D909" s="41">
        <v>10570057</v>
      </c>
      <c r="E909" s="122" t="str">
        <f>VLOOKUP(D909,'MPG Payment '!$E$3:$G$498218,2,0)</f>
        <v>Kusiya 2</v>
      </c>
      <c r="F909" s="146">
        <f>IFERROR(_xlfn.XLOOKUP(D909,'Monthly Deduction'!$I$3:$I$957,'Monthly Deduction'!$H$3:$H$957),0)</f>
        <v>0</v>
      </c>
      <c r="G909" s="123" t="str">
        <f>VLOOKUP(D909,'MPG Payment '!$E$3:$G$334579,3,0)</f>
        <v>vlc</v>
      </c>
      <c r="H909" s="124" t="str">
        <f>VLOOKUP(D909,'MPG Payment '!$E$3:$H$334579,4,0)</f>
        <v>Indirect</v>
      </c>
      <c r="I909" s="88">
        <f>INDEX('MPG Payment '!$C:$C,MATCH('Shayak Income '!D909,'MPG Payment '!E:E,0))</f>
        <v>1057</v>
      </c>
      <c r="J909" s="88" t="str">
        <f>INDEX('MPG Payment '!$D:$D,MATCH('Shayak Income '!D909,'MPG Payment '!E:E,0))</f>
        <v>Warisnagar</v>
      </c>
      <c r="K909" s="125" t="s">
        <v>1323</v>
      </c>
      <c r="L909" s="125">
        <v>46108</v>
      </c>
      <c r="M909" s="126">
        <f>SUMIF('MPG Payment '!$E$3:$E$34579,'Shayak Income '!D909,'MPG Payment '!$I$3:$I$34579)</f>
        <v>916.3</v>
      </c>
      <c r="N909" s="126">
        <f>SUMIF('MPG Payment '!$E$3:$E$34579,'Shayak Income '!D909,'MPG Payment '!$J$3:$J$34579)</f>
        <v>33044.556378885994</v>
      </c>
      <c r="O909" s="126">
        <f t="shared" ref="O909:O946" si="338">+M909*0.75</f>
        <v>687.22499999999991</v>
      </c>
      <c r="P909" s="126">
        <f t="shared" ref="P909:P946" si="339">+M909*0.95</f>
        <v>870.4849999999999</v>
      </c>
      <c r="Q909" s="126">
        <f>SUMIF('MPG Payment '!$E$3:$E$34579,'Shayak Income '!D909,'MPG Payment '!$S$3:$S$34579)</f>
        <v>0</v>
      </c>
      <c r="R909" s="126">
        <f t="shared" ref="R909:R946" si="340">+N909*3%</f>
        <v>991.33669136657977</v>
      </c>
      <c r="S909" s="126">
        <f t="shared" ref="S909:S946" si="341">R909-P909</f>
        <v>120.85169136657987</v>
      </c>
      <c r="T909" s="126">
        <f t="shared" si="334"/>
        <v>91.63</v>
      </c>
      <c r="U909" s="127">
        <f>(((IF(K909="New",0,SUMIF('MPG Payment '!$E$3:$E$34579,'Shayak Income '!D909,'MPG Payment '!$AC$3:$AC$34579))))+0)+0</f>
        <v>0</v>
      </c>
      <c r="V909" s="127">
        <f t="shared" si="335"/>
        <v>1466</v>
      </c>
      <c r="W909" s="19">
        <v>0</v>
      </c>
      <c r="X909" s="19">
        <v>0</v>
      </c>
      <c r="Y909" s="128">
        <f>IFERROR(VLOOKUP(D909,'Monthly Deduction'!$M$2:$N$64,2,0),0)</f>
        <v>0</v>
      </c>
      <c r="Z909" s="128">
        <v>0</v>
      </c>
      <c r="AA909" s="126">
        <f>IFERROR(VLOOKUP(D909,'Monthly Deduction'!A:B,2,0),0)</f>
        <v>0</v>
      </c>
      <c r="AB909" s="129">
        <f t="shared" ref="AB909:AB946" si="342">ROUND(IFERROR(V909-SUM(W909:AA909),0),0)</f>
        <v>1466</v>
      </c>
      <c r="AC909" s="130">
        <v>0</v>
      </c>
      <c r="AD909" s="35">
        <f t="shared" ref="AD909:AD946" si="343">ROUND(AB909-AC909,0)</f>
        <v>1466</v>
      </c>
      <c r="AE909" s="166" t="str">
        <f t="shared" ref="AE909:AE946" si="344">IF(AC909&lt;&gt;0,"Yes","Release")</f>
        <v>Release</v>
      </c>
      <c r="AF909" s="127"/>
      <c r="AG909" s="18">
        <v>0</v>
      </c>
      <c r="AH909" s="120"/>
      <c r="AI909" s="238">
        <v>0</v>
      </c>
      <c r="AJ909" s="132"/>
      <c r="AK909" s="151">
        <v>224.99999999999997</v>
      </c>
      <c r="AL909" s="154">
        <f t="shared" ref="AL909:AL946" si="345">COUNTIF(AK909:AK909,"=NA")</f>
        <v>0</v>
      </c>
      <c r="AM909" s="155"/>
      <c r="AN909" s="19">
        <f t="shared" si="331"/>
        <v>0</v>
      </c>
      <c r="AO909" s="118">
        <f>SUMIF('MPG Payment '!E:E,'Shayak Income '!D909,'MPG Payment '!AJ:AJ)</f>
        <v>0</v>
      </c>
      <c r="AP909" s="19">
        <f t="shared" si="332"/>
        <v>0</v>
      </c>
      <c r="AQ909" s="119">
        <f t="shared" ref="AQ909:AQ946" si="346">AO909+AP909</f>
        <v>0</v>
      </c>
      <c r="AR909" s="91" t="s">
        <v>1168</v>
      </c>
      <c r="AS909" s="91">
        <f t="shared" si="333"/>
        <v>0</v>
      </c>
      <c r="AT909" s="118"/>
      <c r="AU909" s="118"/>
      <c r="AV909" s="118"/>
    </row>
    <row r="910" spans="1:48" s="20" customFormat="1" x14ac:dyDescent="0.25">
      <c r="A910" s="17">
        <f>IFERROR(VLOOKUP(D910,'Monthly Deduction'!$I$3:$J$957,2,0),0)</f>
        <v>70000</v>
      </c>
      <c r="B910" s="17">
        <f>IFERROR(VLOOKUP(D910,'Monthly Deduction'!$E$3:$F$957,2,0),0)</f>
        <v>5436.7451999999994</v>
      </c>
      <c r="C910" s="17">
        <f t="shared" si="337"/>
        <v>75436.745200000005</v>
      </c>
      <c r="D910" s="41">
        <v>10580019</v>
      </c>
      <c r="E910" s="122" t="str">
        <f>VLOOKUP(D910,'MPG Payment '!$E$3:$G$498218,2,0)</f>
        <v>Pansalla</v>
      </c>
      <c r="F910" s="146">
        <f>IFERROR(_xlfn.XLOOKUP(D910,'Monthly Deduction'!$I$3:$I$957,'Monthly Deduction'!$H$3:$H$957),0)</f>
        <v>0</v>
      </c>
      <c r="G910" s="123" t="str">
        <f>VLOOKUP(D910,'MPG Payment '!$E$3:$G$334579,3,0)</f>
        <v>MPG</v>
      </c>
      <c r="H910" s="124" t="str">
        <f>VLOOKUP(D910,'MPG Payment '!$E$3:$H$334579,4,0)</f>
        <v>Direct</v>
      </c>
      <c r="I910" s="88">
        <f>INDEX('MPG Payment '!$C:$C,MATCH('Shayak Income '!D910,'MPG Payment '!E:E,0))</f>
        <v>1058</v>
      </c>
      <c r="J910" s="88" t="str">
        <f>INDEX('MPG Payment '!$D:$D,MATCH('Shayak Income '!D910,'MPG Payment '!E:E,0))</f>
        <v>Hasanpur</v>
      </c>
      <c r="K910" s="125" t="s">
        <v>1323</v>
      </c>
      <c r="L910" s="125">
        <v>46112</v>
      </c>
      <c r="M910" s="126">
        <f>SUMIF('MPG Payment '!$E$3:$E$34579,'Shayak Income '!D910,'MPG Payment '!$I$3:$I$34579)</f>
        <v>847.5</v>
      </c>
      <c r="N910" s="126">
        <f>SUMIF('MPG Payment '!$E$3:$E$34579,'Shayak Income '!D910,'MPG Payment '!$J$3:$J$34579)</f>
        <v>29277.371680153996</v>
      </c>
      <c r="O910" s="126">
        <f t="shared" si="338"/>
        <v>635.625</v>
      </c>
      <c r="P910" s="126">
        <f t="shared" si="339"/>
        <v>805.125</v>
      </c>
      <c r="Q910" s="126">
        <f>SUMIF('MPG Payment '!$E$3:$E$34579,'Shayak Income '!D910,'MPG Payment '!$S$3:$S$34579)</f>
        <v>0</v>
      </c>
      <c r="R910" s="126">
        <f t="shared" si="340"/>
        <v>878.32115040461986</v>
      </c>
      <c r="S910" s="126">
        <f t="shared" si="341"/>
        <v>73.196150404619857</v>
      </c>
      <c r="T910" s="126">
        <f t="shared" si="334"/>
        <v>84.75</v>
      </c>
      <c r="U910" s="127">
        <f>(((IF(K910="New",0,SUMIF('MPG Payment '!$E$3:$E$34579,'Shayak Income '!D910,'MPG Payment '!$AC$3:$AC$34579))))+0)+0</f>
        <v>0</v>
      </c>
      <c r="V910" s="127">
        <f t="shared" si="335"/>
        <v>1356</v>
      </c>
      <c r="W910" s="19">
        <v>0</v>
      </c>
      <c r="X910" s="19">
        <v>0</v>
      </c>
      <c r="Y910" s="128">
        <f>IFERROR(VLOOKUP(D910,'Monthly Deduction'!$M$2:$N$64,2,0),0)</f>
        <v>0</v>
      </c>
      <c r="Z910" s="128">
        <v>0</v>
      </c>
      <c r="AA910" s="126">
        <f>IFERROR(VLOOKUP(D910,'Monthly Deduction'!A:B,2,0),0)</f>
        <v>0</v>
      </c>
      <c r="AB910" s="129">
        <f t="shared" si="342"/>
        <v>1356</v>
      </c>
      <c r="AC910" s="130">
        <f t="shared" ref="AC910:AC920" si="347">AB910</f>
        <v>1356</v>
      </c>
      <c r="AD910" s="35">
        <f t="shared" si="343"/>
        <v>0</v>
      </c>
      <c r="AE910" s="166" t="str">
        <f t="shared" si="344"/>
        <v>Yes</v>
      </c>
      <c r="AF910" s="127"/>
      <c r="AG910" s="18">
        <v>0</v>
      </c>
      <c r="AH910" s="120" t="s">
        <v>1651</v>
      </c>
      <c r="AI910" s="238">
        <v>5000</v>
      </c>
      <c r="AJ910" s="132"/>
      <c r="AK910" s="151">
        <v>0</v>
      </c>
      <c r="AL910" s="154">
        <f t="shared" si="345"/>
        <v>0</v>
      </c>
      <c r="AM910" s="155"/>
      <c r="AN910" s="19">
        <f t="shared" si="331"/>
        <v>1861</v>
      </c>
      <c r="AO910" s="118">
        <f>SUMIF('MPG Payment '!E:E,'Shayak Income '!D910,'MPG Payment '!AJ:AJ)</f>
        <v>0</v>
      </c>
      <c r="AP910" s="19">
        <f t="shared" si="332"/>
        <v>0</v>
      </c>
      <c r="AQ910" s="119">
        <f t="shared" si="346"/>
        <v>0</v>
      </c>
      <c r="AR910" s="91" t="s">
        <v>1168</v>
      </c>
      <c r="AS910" s="91">
        <f t="shared" si="333"/>
        <v>5436.7451999999994</v>
      </c>
      <c r="AT910" s="118"/>
      <c r="AU910" s="118"/>
      <c r="AV910" s="118"/>
    </row>
    <row r="911" spans="1:48" s="20" customFormat="1" x14ac:dyDescent="0.25">
      <c r="A911" s="17">
        <f>IFERROR(VLOOKUP(D911,'Monthly Deduction'!$I$3:$J$957,2,0),0)</f>
        <v>75000</v>
      </c>
      <c r="B911" s="17">
        <f>IFERROR(VLOOKUP(D911,'Monthly Deduction'!$E$3:$F$957,2,0),0)</f>
        <v>0</v>
      </c>
      <c r="C911" s="17">
        <f t="shared" si="337"/>
        <v>75000</v>
      </c>
      <c r="D911" s="41">
        <v>10580024</v>
      </c>
      <c r="E911" s="122" t="str">
        <f>VLOOKUP(D911,'MPG Payment '!$E$3:$G$498218,2,0)</f>
        <v>KARANCHI</v>
      </c>
      <c r="F911" s="146">
        <f>IFERROR(_xlfn.XLOOKUP(D911,'Monthly Deduction'!$I$3:$I$957,'Monthly Deduction'!$H$3:$H$957),0)</f>
        <v>0</v>
      </c>
      <c r="G911" s="123" t="str">
        <f>VLOOKUP(D911,'MPG Payment '!$E$3:$G$334579,3,0)</f>
        <v>MPG</v>
      </c>
      <c r="H911" s="124" t="str">
        <f>VLOOKUP(D911,'MPG Payment '!$E$3:$H$334579,4,0)</f>
        <v>Direct</v>
      </c>
      <c r="I911" s="88">
        <f>INDEX('MPG Payment '!$C:$C,MATCH('Shayak Income '!D911,'MPG Payment '!E:E,0))</f>
        <v>1058</v>
      </c>
      <c r="J911" s="88" t="str">
        <f>INDEX('MPG Payment '!$D:$D,MATCH('Shayak Income '!D911,'MPG Payment '!E:E,0))</f>
        <v>Hasanpur</v>
      </c>
      <c r="K911" s="125" t="s">
        <v>1323</v>
      </c>
      <c r="L911" s="125">
        <v>46112</v>
      </c>
      <c r="M911" s="126">
        <f>SUMIF('MPG Payment '!$E$3:$E$34579,'Shayak Income '!D911,'MPG Payment '!$I$3:$I$34579)</f>
        <v>667.3</v>
      </c>
      <c r="N911" s="126">
        <f>SUMIF('MPG Payment '!$E$3:$E$34579,'Shayak Income '!D911,'MPG Payment '!$J$3:$J$34579)</f>
        <v>25742.022854044</v>
      </c>
      <c r="O911" s="126">
        <f t="shared" si="338"/>
        <v>500.47499999999997</v>
      </c>
      <c r="P911" s="126">
        <f t="shared" si="339"/>
        <v>633.93499999999995</v>
      </c>
      <c r="Q911" s="126">
        <f>SUMIF('MPG Payment '!$E$3:$E$34579,'Shayak Income '!D911,'MPG Payment '!$S$3:$S$34579)</f>
        <v>0</v>
      </c>
      <c r="R911" s="126">
        <f t="shared" si="340"/>
        <v>772.26068562132002</v>
      </c>
      <c r="S911" s="126">
        <f t="shared" si="341"/>
        <v>138.32568562132008</v>
      </c>
      <c r="T911" s="126">
        <f t="shared" si="334"/>
        <v>66.73</v>
      </c>
      <c r="U911" s="127">
        <f>(((IF(K911="New",0,SUMIF('MPG Payment '!$E$3:$E$34579,'Shayak Income '!D911,'MPG Payment '!$AC$3:$AC$34579))))+0)+0</f>
        <v>0</v>
      </c>
      <c r="V911" s="127">
        <f t="shared" si="335"/>
        <v>1068</v>
      </c>
      <c r="W911" s="19">
        <v>0</v>
      </c>
      <c r="X911" s="19">
        <v>0</v>
      </c>
      <c r="Y911" s="128">
        <f>IFERROR(VLOOKUP(D911,'Monthly Deduction'!$M$2:$N$64,2,0),0)</f>
        <v>0</v>
      </c>
      <c r="Z911" s="128">
        <v>0</v>
      </c>
      <c r="AA911" s="126">
        <f>IFERROR(VLOOKUP(D911,'Monthly Deduction'!A:B,2,0),0)</f>
        <v>0</v>
      </c>
      <c r="AB911" s="129">
        <f t="shared" si="342"/>
        <v>1068</v>
      </c>
      <c r="AC911" s="130">
        <f t="shared" si="347"/>
        <v>1068</v>
      </c>
      <c r="AD911" s="35">
        <f t="shared" si="343"/>
        <v>0</v>
      </c>
      <c r="AE911" s="166" t="str">
        <f t="shared" si="344"/>
        <v>Yes</v>
      </c>
      <c r="AF911" s="127"/>
      <c r="AG911" s="18">
        <v>0</v>
      </c>
      <c r="AH911" s="120" t="s">
        <v>1650</v>
      </c>
      <c r="AI911" s="238">
        <v>10000</v>
      </c>
      <c r="AJ911" s="132"/>
      <c r="AK911" s="151">
        <v>309.19999999999993</v>
      </c>
      <c r="AL911" s="154">
        <f t="shared" si="345"/>
        <v>0</v>
      </c>
      <c r="AM911" s="155"/>
      <c r="AN911" s="19">
        <f t="shared" si="331"/>
        <v>1861</v>
      </c>
      <c r="AO911" s="118">
        <f>SUMIF('MPG Payment '!E:E,'Shayak Income '!D911,'MPG Payment '!AJ:AJ)</f>
        <v>0</v>
      </c>
      <c r="AP911" s="19">
        <f t="shared" si="332"/>
        <v>0</v>
      </c>
      <c r="AQ911" s="119">
        <f t="shared" si="346"/>
        <v>0</v>
      </c>
      <c r="AR911" s="91" t="s">
        <v>1168</v>
      </c>
      <c r="AS911" s="91">
        <f t="shared" si="333"/>
        <v>0</v>
      </c>
      <c r="AT911" s="118"/>
      <c r="AU911" s="118"/>
      <c r="AV911" s="118"/>
    </row>
    <row r="912" spans="1:48" s="20" customFormat="1" x14ac:dyDescent="0.25">
      <c r="A912" s="17">
        <f>IFERROR(VLOOKUP(D912,'Monthly Deduction'!$I$3:$J$957,2,0),0)</f>
        <v>70000</v>
      </c>
      <c r="B912" s="17">
        <f>IFERROR(VLOOKUP(D912,'Monthly Deduction'!$E$3:$F$957,2,0),0)</f>
        <v>0</v>
      </c>
      <c r="C912" s="17">
        <f t="shared" si="337"/>
        <v>70000</v>
      </c>
      <c r="D912" s="41">
        <v>10580025</v>
      </c>
      <c r="E912" s="122" t="str">
        <f>VLOOKUP(D912,'MPG Payment '!$E$3:$G$498218,2,0)</f>
        <v>MARTHUA</v>
      </c>
      <c r="F912" s="146">
        <f>IFERROR(_xlfn.XLOOKUP(D912,'Monthly Deduction'!$I$3:$I$957,'Monthly Deduction'!$H$3:$H$957),0)</f>
        <v>0</v>
      </c>
      <c r="G912" s="123" t="str">
        <f>VLOOKUP(D912,'MPG Payment '!$E$3:$G$334579,3,0)</f>
        <v>MPG</v>
      </c>
      <c r="H912" s="124" t="str">
        <f>VLOOKUP(D912,'MPG Payment '!$E$3:$H$334579,4,0)</f>
        <v>Direct</v>
      </c>
      <c r="I912" s="88">
        <f>INDEX('MPG Payment '!$C:$C,MATCH('Shayak Income '!D912,'MPG Payment '!E:E,0))</f>
        <v>1058</v>
      </c>
      <c r="J912" s="88" t="str">
        <f>INDEX('MPG Payment '!$D:$D,MATCH('Shayak Income '!D912,'MPG Payment '!E:E,0))</f>
        <v>Hasanpur</v>
      </c>
      <c r="K912" s="125" t="s">
        <v>1323</v>
      </c>
      <c r="L912" s="125">
        <v>46112</v>
      </c>
      <c r="M912" s="126">
        <f>SUMIF('MPG Payment '!$E$3:$E$34579,'Shayak Income '!D912,'MPG Payment '!$I$3:$I$34579)</f>
        <v>1722</v>
      </c>
      <c r="N912" s="126">
        <f>SUMIF('MPG Payment '!$E$3:$E$34579,'Shayak Income '!D912,'MPG Payment '!$J$3:$J$34579)</f>
        <v>70265.117805106012</v>
      </c>
      <c r="O912" s="126">
        <f t="shared" si="338"/>
        <v>1291.5</v>
      </c>
      <c r="P912" s="126">
        <f t="shared" si="339"/>
        <v>1635.8999999999999</v>
      </c>
      <c r="Q912" s="126">
        <f>SUMIF('MPG Payment '!$E$3:$E$34579,'Shayak Income '!D912,'MPG Payment '!$S$3:$S$34579)</f>
        <v>0</v>
      </c>
      <c r="R912" s="126">
        <f t="shared" si="340"/>
        <v>2107.9535341531805</v>
      </c>
      <c r="S912" s="126">
        <f t="shared" si="341"/>
        <v>472.05353415318064</v>
      </c>
      <c r="T912" s="126">
        <f t="shared" si="334"/>
        <v>172.20000000000002</v>
      </c>
      <c r="U912" s="127">
        <f>(((IF(K912="New",0,SUMIF('MPG Payment '!$E$3:$E$34579,'Shayak Income '!D912,'MPG Payment '!$AC$3:$AC$34579))))+0)+0</f>
        <v>0</v>
      </c>
      <c r="V912" s="127">
        <f t="shared" si="335"/>
        <v>2755</v>
      </c>
      <c r="W912" s="19">
        <v>0</v>
      </c>
      <c r="X912" s="19">
        <v>0</v>
      </c>
      <c r="Y912" s="128">
        <f>IFERROR(VLOOKUP(D912,'Monthly Deduction'!$M$2:$N$64,2,0),0)</f>
        <v>0</v>
      </c>
      <c r="Z912" s="128">
        <v>0</v>
      </c>
      <c r="AA912" s="126">
        <f>IFERROR(VLOOKUP(D912,'Monthly Deduction'!A:B,2,0),0)</f>
        <v>0</v>
      </c>
      <c r="AB912" s="129">
        <f t="shared" si="342"/>
        <v>2755</v>
      </c>
      <c r="AC912" s="130">
        <f t="shared" si="347"/>
        <v>2755</v>
      </c>
      <c r="AD912" s="35">
        <f t="shared" si="343"/>
        <v>0</v>
      </c>
      <c r="AE912" s="166" t="str">
        <f t="shared" si="344"/>
        <v>Yes</v>
      </c>
      <c r="AF912" s="127"/>
      <c r="AG912" s="18">
        <v>0</v>
      </c>
      <c r="AH912" s="120" t="s">
        <v>1650</v>
      </c>
      <c r="AI912" s="238">
        <v>5000</v>
      </c>
      <c r="AJ912" s="132"/>
      <c r="AK912" s="151">
        <v>433.8</v>
      </c>
      <c r="AL912" s="154">
        <f t="shared" si="345"/>
        <v>0</v>
      </c>
      <c r="AM912" s="155"/>
      <c r="AN912" s="19">
        <f t="shared" si="331"/>
        <v>1861</v>
      </c>
      <c r="AO912" s="118">
        <f>SUMIF('MPG Payment '!E:E,'Shayak Income '!D912,'MPG Payment '!AJ:AJ)</f>
        <v>0</v>
      </c>
      <c r="AP912" s="19">
        <f t="shared" si="332"/>
        <v>0</v>
      </c>
      <c r="AQ912" s="119">
        <f t="shared" si="346"/>
        <v>0</v>
      </c>
      <c r="AR912" s="91" t="s">
        <v>1168</v>
      </c>
      <c r="AS912" s="91">
        <f t="shared" si="333"/>
        <v>0</v>
      </c>
      <c r="AT912" s="118"/>
      <c r="AU912" s="118"/>
      <c r="AV912" s="118"/>
    </row>
    <row r="913" spans="1:48" s="20" customFormat="1" x14ac:dyDescent="0.25">
      <c r="A913" s="17">
        <f>IFERROR(VLOOKUP(D913,'Monthly Deduction'!$I$3:$J$957,2,0),0)</f>
        <v>65000</v>
      </c>
      <c r="B913" s="17">
        <f>IFERROR(VLOOKUP(D913,'Monthly Deduction'!$E$3:$F$957,2,0),0)</f>
        <v>0</v>
      </c>
      <c r="C913" s="17">
        <f t="shared" si="337"/>
        <v>65000</v>
      </c>
      <c r="D913" s="41">
        <v>10580026</v>
      </c>
      <c r="E913" s="122" t="str">
        <f>VLOOKUP(D913,'MPG Payment '!$E$3:$G$498218,2,0)</f>
        <v xml:space="preserve">GARHPURA </v>
      </c>
      <c r="F913" s="146">
        <f>IFERROR(_xlfn.XLOOKUP(D913,'Monthly Deduction'!$I$3:$I$957,'Monthly Deduction'!$H$3:$H$957),0)</f>
        <v>0</v>
      </c>
      <c r="G913" s="123" t="str">
        <f>VLOOKUP(D913,'MPG Payment '!$E$3:$G$334579,3,0)</f>
        <v>MPG</v>
      </c>
      <c r="H913" s="124" t="str">
        <f>VLOOKUP(D913,'MPG Payment '!$E$3:$H$334579,4,0)</f>
        <v>Direct</v>
      </c>
      <c r="I913" s="88">
        <f>INDEX('MPG Payment '!$C:$C,MATCH('Shayak Income '!D913,'MPG Payment '!E:E,0))</f>
        <v>1058</v>
      </c>
      <c r="J913" s="88" t="str">
        <f>INDEX('MPG Payment '!$D:$D,MATCH('Shayak Income '!D913,'MPG Payment '!E:E,0))</f>
        <v>Hasanpur</v>
      </c>
      <c r="K913" s="125" t="s">
        <v>1323</v>
      </c>
      <c r="L913" s="125">
        <v>46112</v>
      </c>
      <c r="M913" s="126">
        <f>SUMIF('MPG Payment '!$E$3:$E$34579,'Shayak Income '!D913,'MPG Payment '!$I$3:$I$34579)</f>
        <v>711.40000000000009</v>
      </c>
      <c r="N913" s="126">
        <f>SUMIF('MPG Payment '!$E$3:$E$34579,'Shayak Income '!D913,'MPG Payment '!$J$3:$J$34579)</f>
        <v>23676.329872032602</v>
      </c>
      <c r="O913" s="126">
        <f t="shared" si="338"/>
        <v>533.55000000000007</v>
      </c>
      <c r="P913" s="126">
        <f t="shared" si="339"/>
        <v>675.83</v>
      </c>
      <c r="Q913" s="126">
        <f>SUMIF('MPG Payment '!$E$3:$E$34579,'Shayak Income '!D913,'MPG Payment '!$S$3:$S$34579)</f>
        <v>0</v>
      </c>
      <c r="R913" s="126">
        <f t="shared" si="340"/>
        <v>710.28989616097806</v>
      </c>
      <c r="S913" s="126">
        <f t="shared" si="341"/>
        <v>34.459896160978019</v>
      </c>
      <c r="T913" s="126">
        <f t="shared" si="334"/>
        <v>71.140000000000015</v>
      </c>
      <c r="U913" s="127">
        <f>(((IF(K913="New",0,SUMIF('MPG Payment '!$E$3:$E$34579,'Shayak Income '!D913,'MPG Payment '!$AC$3:$AC$34579))))+0)+0</f>
        <v>0</v>
      </c>
      <c r="V913" s="127">
        <f t="shared" si="335"/>
        <v>1138</v>
      </c>
      <c r="W913" s="19">
        <v>0</v>
      </c>
      <c r="X913" s="19">
        <v>0</v>
      </c>
      <c r="Y913" s="128">
        <f>IFERROR(VLOOKUP(D913,'Monthly Deduction'!$M$2:$N$64,2,0),0)</f>
        <v>0</v>
      </c>
      <c r="Z913" s="128">
        <v>0</v>
      </c>
      <c r="AA913" s="126">
        <f>IFERROR(VLOOKUP(D913,'Monthly Deduction'!A:B,2,0),0)</f>
        <v>0</v>
      </c>
      <c r="AB913" s="129">
        <f t="shared" si="342"/>
        <v>1138</v>
      </c>
      <c r="AC913" s="130">
        <f t="shared" si="347"/>
        <v>1138</v>
      </c>
      <c r="AD913" s="35">
        <f t="shared" si="343"/>
        <v>0</v>
      </c>
      <c r="AE913" s="166" t="str">
        <f t="shared" si="344"/>
        <v>Yes</v>
      </c>
      <c r="AF913" s="127"/>
      <c r="AG913" s="18">
        <v>0</v>
      </c>
      <c r="AH913" s="120" t="s">
        <v>1653</v>
      </c>
      <c r="AI913" s="238">
        <v>0</v>
      </c>
      <c r="AJ913" s="132"/>
      <c r="AK913" s="151">
        <v>164.8</v>
      </c>
      <c r="AL913" s="154">
        <f t="shared" si="345"/>
        <v>0</v>
      </c>
      <c r="AM913" s="155"/>
      <c r="AN913" s="19">
        <f t="shared" si="331"/>
        <v>1861</v>
      </c>
      <c r="AO913" s="118">
        <f>SUMIF('MPG Payment '!E:E,'Shayak Income '!D913,'MPG Payment '!AJ:AJ)</f>
        <v>0</v>
      </c>
      <c r="AP913" s="19">
        <f t="shared" si="332"/>
        <v>0</v>
      </c>
      <c r="AQ913" s="119">
        <f t="shared" si="346"/>
        <v>0</v>
      </c>
      <c r="AR913" s="91" t="s">
        <v>1168</v>
      </c>
      <c r="AS913" s="91">
        <f t="shared" si="333"/>
        <v>0</v>
      </c>
      <c r="AT913" s="118"/>
      <c r="AU913" s="118"/>
      <c r="AV913" s="118"/>
    </row>
    <row r="914" spans="1:48" s="20" customFormat="1" x14ac:dyDescent="0.25">
      <c r="A914" s="17">
        <f>IFERROR(VLOOKUP(D914,'Monthly Deduction'!$I$3:$J$957,2,0),0)</f>
        <v>65000</v>
      </c>
      <c r="B914" s="17">
        <f>IFERROR(VLOOKUP(D914,'Monthly Deduction'!$E$3:$F$957,2,0),0)</f>
        <v>0</v>
      </c>
      <c r="C914" s="17">
        <f t="shared" si="337"/>
        <v>65000</v>
      </c>
      <c r="D914" s="41">
        <v>10580027</v>
      </c>
      <c r="E914" s="122" t="str">
        <f>VLOOKUP(D914,'MPG Payment '!$E$3:$G$498218,2,0)</f>
        <v>KOKANI</v>
      </c>
      <c r="F914" s="146">
        <f>IFERROR(_xlfn.XLOOKUP(D914,'Monthly Deduction'!$I$3:$I$957,'Monthly Deduction'!$H$3:$H$957),0)</f>
        <v>0</v>
      </c>
      <c r="G914" s="123" t="str">
        <f>VLOOKUP(D914,'MPG Payment '!$E$3:$G$334579,3,0)</f>
        <v>MPG</v>
      </c>
      <c r="H914" s="124" t="str">
        <f>VLOOKUP(D914,'MPG Payment '!$E$3:$H$334579,4,0)</f>
        <v>Direct</v>
      </c>
      <c r="I914" s="88">
        <f>INDEX('MPG Payment '!$C:$C,MATCH('Shayak Income '!D914,'MPG Payment '!E:E,0))</f>
        <v>1058</v>
      </c>
      <c r="J914" s="88" t="str">
        <f>INDEX('MPG Payment '!$D:$D,MATCH('Shayak Income '!D914,'MPG Payment '!E:E,0))</f>
        <v>Hasanpur</v>
      </c>
      <c r="K914" s="125" t="s">
        <v>1323</v>
      </c>
      <c r="L914" s="125">
        <v>46112</v>
      </c>
      <c r="M914" s="126">
        <f>SUMIF('MPG Payment '!$E$3:$E$34579,'Shayak Income '!D914,'MPG Payment '!$I$3:$I$34579)</f>
        <v>497.80000000000007</v>
      </c>
      <c r="N914" s="126">
        <f>SUMIF('MPG Payment '!$E$3:$E$34579,'Shayak Income '!D914,'MPG Payment '!$J$3:$J$34579)</f>
        <v>19718.048020898001</v>
      </c>
      <c r="O914" s="126">
        <f t="shared" si="338"/>
        <v>373.35</v>
      </c>
      <c r="P914" s="126">
        <f t="shared" si="339"/>
        <v>472.91</v>
      </c>
      <c r="Q914" s="126">
        <f>SUMIF('MPG Payment '!$E$3:$E$34579,'Shayak Income '!D914,'MPG Payment '!$S$3:$S$34579)</f>
        <v>0</v>
      </c>
      <c r="R914" s="126">
        <f t="shared" si="340"/>
        <v>591.54144062694002</v>
      </c>
      <c r="S914" s="126">
        <f t="shared" si="341"/>
        <v>118.63144062693999</v>
      </c>
      <c r="T914" s="126">
        <f t="shared" si="334"/>
        <v>49.780000000000008</v>
      </c>
      <c r="U914" s="127">
        <f>(((IF(K914="New",0,SUMIF('MPG Payment '!$E$3:$E$34579,'Shayak Income '!D914,'MPG Payment '!$AC$3:$AC$34579))))+0)+0</f>
        <v>0</v>
      </c>
      <c r="V914" s="127">
        <f t="shared" si="335"/>
        <v>796</v>
      </c>
      <c r="W914" s="19">
        <v>0</v>
      </c>
      <c r="X914" s="19">
        <v>0</v>
      </c>
      <c r="Y914" s="128">
        <f>IFERROR(VLOOKUP(D914,'Monthly Deduction'!$M$2:$N$64,2,0),0)</f>
        <v>0</v>
      </c>
      <c r="Z914" s="128">
        <v>0</v>
      </c>
      <c r="AA914" s="126">
        <f>IFERROR(VLOOKUP(D914,'Monthly Deduction'!A:B,2,0),0)</f>
        <v>0</v>
      </c>
      <c r="AB914" s="129">
        <f t="shared" si="342"/>
        <v>796</v>
      </c>
      <c r="AC914" s="130">
        <f t="shared" si="347"/>
        <v>796</v>
      </c>
      <c r="AD914" s="35">
        <f t="shared" si="343"/>
        <v>0</v>
      </c>
      <c r="AE914" s="166" t="str">
        <f t="shared" si="344"/>
        <v>Yes</v>
      </c>
      <c r="AF914" s="127"/>
      <c r="AG914" s="18">
        <v>0</v>
      </c>
      <c r="AH914" s="120" t="s">
        <v>1653</v>
      </c>
      <c r="AI914" s="238">
        <v>0</v>
      </c>
      <c r="AJ914" s="132"/>
      <c r="AK914" s="151">
        <v>120.10000000000001</v>
      </c>
      <c r="AL914" s="154">
        <f t="shared" si="345"/>
        <v>0</v>
      </c>
      <c r="AM914" s="155"/>
      <c r="AN914" s="19">
        <f t="shared" si="331"/>
        <v>1861</v>
      </c>
      <c r="AO914" s="118">
        <f>SUMIF('MPG Payment '!E:E,'Shayak Income '!D914,'MPG Payment '!AJ:AJ)</f>
        <v>0</v>
      </c>
      <c r="AP914" s="19">
        <f t="shared" si="332"/>
        <v>0</v>
      </c>
      <c r="AQ914" s="119">
        <f t="shared" si="346"/>
        <v>0</v>
      </c>
      <c r="AR914" s="91" t="s">
        <v>1168</v>
      </c>
      <c r="AS914" s="91">
        <f t="shared" si="333"/>
        <v>0</v>
      </c>
      <c r="AT914" s="118"/>
      <c r="AU914" s="118"/>
      <c r="AV914" s="118"/>
    </row>
    <row r="915" spans="1:48" s="20" customFormat="1" x14ac:dyDescent="0.25">
      <c r="A915" s="17">
        <f>IFERROR(VLOOKUP(D915,'Monthly Deduction'!$I$3:$J$957,2,0),0)</f>
        <v>65000</v>
      </c>
      <c r="B915" s="17">
        <f>IFERROR(VLOOKUP(D915,'Monthly Deduction'!$E$3:$F$957,2,0),0)</f>
        <v>0</v>
      </c>
      <c r="C915" s="17">
        <f t="shared" si="337"/>
        <v>65000</v>
      </c>
      <c r="D915" s="41">
        <v>10580028</v>
      </c>
      <c r="E915" s="122" t="str">
        <f>VLOOKUP(D915,'MPG Payment '!$E$3:$G$498218,2,0)</f>
        <v xml:space="preserve">DURGAPUR </v>
      </c>
      <c r="F915" s="146">
        <f>IFERROR(_xlfn.XLOOKUP(D915,'Monthly Deduction'!$I$3:$I$957,'Monthly Deduction'!$H$3:$H$957),0)</f>
        <v>0</v>
      </c>
      <c r="G915" s="123" t="str">
        <f>VLOOKUP(D915,'MPG Payment '!$E$3:$G$334579,3,0)</f>
        <v>MPG</v>
      </c>
      <c r="H915" s="124" t="str">
        <f>VLOOKUP(D915,'MPG Payment '!$E$3:$H$334579,4,0)</f>
        <v>Direct</v>
      </c>
      <c r="I915" s="88">
        <f>INDEX('MPG Payment '!$C:$C,MATCH('Shayak Income '!D915,'MPG Payment '!E:E,0))</f>
        <v>1058</v>
      </c>
      <c r="J915" s="88" t="str">
        <f>INDEX('MPG Payment '!$D:$D,MATCH('Shayak Income '!D915,'MPG Payment '!E:E,0))</f>
        <v>Hasanpur</v>
      </c>
      <c r="K915" s="125" t="s">
        <v>1323</v>
      </c>
      <c r="L915" s="125">
        <v>46111</v>
      </c>
      <c r="M915" s="126">
        <f>SUMIF('MPG Payment '!$E$3:$E$34579,'Shayak Income '!D915,'MPG Payment '!$I$3:$I$34579)</f>
        <v>1432.3999999999999</v>
      </c>
      <c r="N915" s="126">
        <f>SUMIF('MPG Payment '!$E$3:$E$34579,'Shayak Income '!D915,'MPG Payment '!$J$3:$J$34579)</f>
        <v>58838.438079125604</v>
      </c>
      <c r="O915" s="126">
        <f t="shared" si="338"/>
        <v>1074.3</v>
      </c>
      <c r="P915" s="126">
        <f t="shared" si="339"/>
        <v>1360.7799999999997</v>
      </c>
      <c r="Q915" s="126">
        <f>SUMIF('MPG Payment '!$E$3:$E$34579,'Shayak Income '!D915,'MPG Payment '!$S$3:$S$34579)</f>
        <v>0</v>
      </c>
      <c r="R915" s="126">
        <f t="shared" si="340"/>
        <v>1765.1531423737681</v>
      </c>
      <c r="S915" s="126">
        <f t="shared" si="341"/>
        <v>404.37314237376836</v>
      </c>
      <c r="T915" s="126">
        <f t="shared" si="334"/>
        <v>143.23999999999998</v>
      </c>
      <c r="U915" s="127">
        <f>(((IF(K915="New",0,SUMIF('MPG Payment '!$E$3:$E$34579,'Shayak Income '!D915,'MPG Payment '!$AC$3:$AC$34579))))+0)+0</f>
        <v>0</v>
      </c>
      <c r="V915" s="127">
        <f t="shared" si="335"/>
        <v>2292</v>
      </c>
      <c r="W915" s="19">
        <v>0</v>
      </c>
      <c r="X915" s="19">
        <v>0</v>
      </c>
      <c r="Y915" s="128">
        <f>IFERROR(VLOOKUP(D915,'Monthly Deduction'!$M$2:$N$64,2,0),0)</f>
        <v>0</v>
      </c>
      <c r="Z915" s="128">
        <v>0</v>
      </c>
      <c r="AA915" s="126">
        <f>IFERROR(VLOOKUP(D915,'Monthly Deduction'!A:B,2,0),0)</f>
        <v>0</v>
      </c>
      <c r="AB915" s="129">
        <f t="shared" si="342"/>
        <v>2292</v>
      </c>
      <c r="AC915" s="130">
        <f t="shared" si="347"/>
        <v>2292</v>
      </c>
      <c r="AD915" s="35">
        <f t="shared" si="343"/>
        <v>0</v>
      </c>
      <c r="AE915" s="166" t="str">
        <f t="shared" si="344"/>
        <v>Yes</v>
      </c>
      <c r="AF915" s="127"/>
      <c r="AG915" s="18">
        <v>0</v>
      </c>
      <c r="AH915" s="120" t="s">
        <v>1653</v>
      </c>
      <c r="AI915" s="238">
        <v>0</v>
      </c>
      <c r="AJ915" s="132"/>
      <c r="AK915" s="151">
        <v>439</v>
      </c>
      <c r="AL915" s="154">
        <f t="shared" si="345"/>
        <v>0</v>
      </c>
      <c r="AM915" s="155"/>
      <c r="AN915" s="19">
        <f t="shared" si="331"/>
        <v>1861</v>
      </c>
      <c r="AO915" s="118">
        <f>SUMIF('MPG Payment '!E:E,'Shayak Income '!D915,'MPG Payment '!AJ:AJ)</f>
        <v>0</v>
      </c>
      <c r="AP915" s="19">
        <f t="shared" si="332"/>
        <v>0</v>
      </c>
      <c r="AQ915" s="119">
        <f t="shared" si="346"/>
        <v>0</v>
      </c>
      <c r="AR915" s="91" t="s">
        <v>1168</v>
      </c>
      <c r="AS915" s="91">
        <f t="shared" si="333"/>
        <v>0</v>
      </c>
      <c r="AT915" s="118"/>
      <c r="AU915" s="118"/>
      <c r="AV915" s="118"/>
    </row>
    <row r="916" spans="1:48" s="20" customFormat="1" x14ac:dyDescent="0.25">
      <c r="A916" s="17">
        <f>IFERROR(VLOOKUP(D916,'Monthly Deduction'!$I$3:$J$957,2,0),0)</f>
        <v>75000</v>
      </c>
      <c r="B916" s="17">
        <f>IFERROR(VLOOKUP(D916,'Monthly Deduction'!$E$3:$F$957,2,0),0)</f>
        <v>0</v>
      </c>
      <c r="C916" s="17">
        <f t="shared" si="337"/>
        <v>75000</v>
      </c>
      <c r="D916" s="41">
        <v>10580029</v>
      </c>
      <c r="E916" s="122" t="str">
        <f>VLOOKUP(D916,'MPG Payment '!$E$3:$G$498218,2,0)</f>
        <v>Chandauli</v>
      </c>
      <c r="F916" s="146">
        <f>IFERROR(_xlfn.XLOOKUP(D916,'Monthly Deduction'!$I$3:$I$957,'Monthly Deduction'!$H$3:$H$957),0)</f>
        <v>0</v>
      </c>
      <c r="G916" s="123" t="str">
        <f>VLOOKUP(D916,'MPG Payment '!$E$3:$G$334579,3,0)</f>
        <v>MPG</v>
      </c>
      <c r="H916" s="124" t="str">
        <f>VLOOKUP(D916,'MPG Payment '!$E$3:$H$334579,4,0)</f>
        <v>Direct</v>
      </c>
      <c r="I916" s="88">
        <f>INDEX('MPG Payment '!$C:$C,MATCH('Shayak Income '!D916,'MPG Payment '!E:E,0))</f>
        <v>1058</v>
      </c>
      <c r="J916" s="88" t="str">
        <f>INDEX('MPG Payment '!$D:$D,MATCH('Shayak Income '!D916,'MPG Payment '!E:E,0))</f>
        <v>Hasanpur</v>
      </c>
      <c r="K916" s="125" t="s">
        <v>1323</v>
      </c>
      <c r="L916" s="125">
        <v>46112</v>
      </c>
      <c r="M916" s="126">
        <f>SUMIF('MPG Payment '!$E$3:$E$34579,'Shayak Income '!D916,'MPG Payment '!$I$3:$I$34579)</f>
        <v>711.29999999999984</v>
      </c>
      <c r="N916" s="126">
        <f>SUMIF('MPG Payment '!$E$3:$E$34579,'Shayak Income '!D916,'MPG Payment '!$J$3:$J$34579)</f>
        <v>30353.697883670204</v>
      </c>
      <c r="O916" s="126">
        <f t="shared" si="338"/>
        <v>533.47499999999991</v>
      </c>
      <c r="P916" s="126">
        <f t="shared" si="339"/>
        <v>675.73499999999979</v>
      </c>
      <c r="Q916" s="126">
        <f>SUMIF('MPG Payment '!$E$3:$E$34579,'Shayak Income '!D916,'MPG Payment '!$S$3:$S$34579)</f>
        <v>0</v>
      </c>
      <c r="R916" s="126">
        <f t="shared" si="340"/>
        <v>910.61093651010606</v>
      </c>
      <c r="S916" s="126">
        <f t="shared" si="341"/>
        <v>234.87593651010627</v>
      </c>
      <c r="T916" s="126">
        <f t="shared" si="334"/>
        <v>71.129999999999981</v>
      </c>
      <c r="U916" s="127">
        <f>(((IF(K916="New",0,SUMIF('MPG Payment '!$E$3:$E$34579,'Shayak Income '!D916,'MPG Payment '!$AC$3:$AC$34579))))+0)+0</f>
        <v>0</v>
      </c>
      <c r="V916" s="127">
        <f t="shared" si="335"/>
        <v>1138</v>
      </c>
      <c r="W916" s="19">
        <v>0</v>
      </c>
      <c r="X916" s="19">
        <v>0</v>
      </c>
      <c r="Y916" s="128">
        <f>IFERROR(VLOOKUP(D916,'Monthly Deduction'!$M$2:$N$64,2,0),0)</f>
        <v>0</v>
      </c>
      <c r="Z916" s="128">
        <v>0</v>
      </c>
      <c r="AA916" s="126">
        <f>IFERROR(VLOOKUP(D916,'Monthly Deduction'!A:B,2,0),0)</f>
        <v>0</v>
      </c>
      <c r="AB916" s="129">
        <f t="shared" si="342"/>
        <v>1138</v>
      </c>
      <c r="AC916" s="130">
        <f t="shared" si="347"/>
        <v>1138</v>
      </c>
      <c r="AD916" s="35">
        <f t="shared" si="343"/>
        <v>0</v>
      </c>
      <c r="AE916" s="166" t="str">
        <f t="shared" si="344"/>
        <v>Yes</v>
      </c>
      <c r="AF916" s="127"/>
      <c r="AG916" s="18">
        <v>0</v>
      </c>
      <c r="AH916" s="120" t="s">
        <v>1650</v>
      </c>
      <c r="AI916" s="238">
        <v>10000</v>
      </c>
      <c r="AJ916" s="132"/>
      <c r="AK916" s="151">
        <v>243.4</v>
      </c>
      <c r="AL916" s="154">
        <f t="shared" si="345"/>
        <v>0</v>
      </c>
      <c r="AM916" s="155"/>
      <c r="AN916" s="19">
        <f t="shared" si="331"/>
        <v>1861</v>
      </c>
      <c r="AO916" s="118">
        <f>SUMIF('MPG Payment '!E:E,'Shayak Income '!D916,'MPG Payment '!AJ:AJ)</f>
        <v>0</v>
      </c>
      <c r="AP916" s="19">
        <f t="shared" si="332"/>
        <v>0</v>
      </c>
      <c r="AQ916" s="119">
        <f t="shared" si="346"/>
        <v>0</v>
      </c>
      <c r="AR916" s="91" t="s">
        <v>1168</v>
      </c>
      <c r="AS916" s="91">
        <f t="shared" si="333"/>
        <v>0</v>
      </c>
      <c r="AT916" s="118"/>
      <c r="AU916" s="118"/>
      <c r="AV916" s="118"/>
    </row>
    <row r="917" spans="1:48" s="20" customFormat="1" x14ac:dyDescent="0.25">
      <c r="A917" s="17">
        <f>IFERROR(VLOOKUP(D917,'Monthly Deduction'!$I$3:$J$957,2,0),0)</f>
        <v>65000</v>
      </c>
      <c r="B917" s="17">
        <f>IFERROR(VLOOKUP(D917,'Monthly Deduction'!$E$3:$F$957,2,0),0)</f>
        <v>0</v>
      </c>
      <c r="C917" s="17">
        <f t="shared" si="337"/>
        <v>65000</v>
      </c>
      <c r="D917" s="41">
        <v>10580030</v>
      </c>
      <c r="E917" s="122" t="str">
        <f>VLOOKUP(D917,'MPG Payment '!$E$3:$G$498218,2,0)</f>
        <v>Girdharpur</v>
      </c>
      <c r="F917" s="146">
        <f>IFERROR(_xlfn.XLOOKUP(D917,'Monthly Deduction'!$I$3:$I$957,'Monthly Deduction'!$H$3:$H$957),0)</f>
        <v>0</v>
      </c>
      <c r="G917" s="123" t="str">
        <f>VLOOKUP(D917,'MPG Payment '!$E$3:$G$334579,3,0)</f>
        <v>MPG</v>
      </c>
      <c r="H917" s="124" t="str">
        <f>VLOOKUP(D917,'MPG Payment '!$E$3:$H$334579,4,0)</f>
        <v>Direct</v>
      </c>
      <c r="I917" s="88">
        <f>INDEX('MPG Payment '!$C:$C,MATCH('Shayak Income '!D917,'MPG Payment '!E:E,0))</f>
        <v>1058</v>
      </c>
      <c r="J917" s="88" t="str">
        <f>INDEX('MPG Payment '!$D:$D,MATCH('Shayak Income '!D917,'MPG Payment '!E:E,0))</f>
        <v>Hasanpur</v>
      </c>
      <c r="K917" s="125" t="s">
        <v>1323</v>
      </c>
      <c r="L917" s="125">
        <v>46112</v>
      </c>
      <c r="M917" s="126">
        <f>SUMIF('MPG Payment '!$E$3:$E$34579,'Shayak Income '!D917,'MPG Payment '!$I$3:$I$34579)</f>
        <v>2369.4</v>
      </c>
      <c r="N917" s="126">
        <f>SUMIF('MPG Payment '!$E$3:$E$34579,'Shayak Income '!D917,'MPG Payment '!$J$3:$J$34579)</f>
        <v>81318.7700891235</v>
      </c>
      <c r="O917" s="126">
        <f t="shared" si="338"/>
        <v>1777.0500000000002</v>
      </c>
      <c r="P917" s="126">
        <f t="shared" si="339"/>
        <v>2250.9299999999998</v>
      </c>
      <c r="Q917" s="126">
        <f>SUMIF('MPG Payment '!$E$3:$E$34579,'Shayak Income '!D917,'MPG Payment '!$S$3:$S$34579)</f>
        <v>0</v>
      </c>
      <c r="R917" s="126">
        <f t="shared" si="340"/>
        <v>2439.5631026737051</v>
      </c>
      <c r="S917" s="126">
        <f t="shared" si="341"/>
        <v>188.63310267370525</v>
      </c>
      <c r="T917" s="126">
        <f t="shared" si="334"/>
        <v>236.94000000000003</v>
      </c>
      <c r="U917" s="127">
        <f>(((IF(K917="New",0,SUMIF('MPG Payment '!$E$3:$E$34579,'Shayak Income '!D917,'MPG Payment '!$AC$3:$AC$34579))))+0)+0</f>
        <v>0</v>
      </c>
      <c r="V917" s="127">
        <f t="shared" si="335"/>
        <v>3791</v>
      </c>
      <c r="W917" s="19">
        <v>0</v>
      </c>
      <c r="X917" s="19">
        <v>0</v>
      </c>
      <c r="Y917" s="128">
        <f>IFERROR(VLOOKUP(D917,'Monthly Deduction'!$M$2:$N$64,2,0),0)</f>
        <v>0</v>
      </c>
      <c r="Z917" s="128">
        <v>0</v>
      </c>
      <c r="AA917" s="126">
        <f>IFERROR(VLOOKUP(D917,'Monthly Deduction'!A:B,2,0),0)</f>
        <v>0</v>
      </c>
      <c r="AB917" s="129">
        <f t="shared" si="342"/>
        <v>3791</v>
      </c>
      <c r="AC917" s="130">
        <f t="shared" si="347"/>
        <v>3791</v>
      </c>
      <c r="AD917" s="35">
        <f t="shared" si="343"/>
        <v>0</v>
      </c>
      <c r="AE917" s="166" t="str">
        <f t="shared" si="344"/>
        <v>Yes</v>
      </c>
      <c r="AF917" s="127"/>
      <c r="AG917" s="234">
        <v>0</v>
      </c>
      <c r="AH917" s="120" t="s">
        <v>1653</v>
      </c>
      <c r="AI917" s="238">
        <v>0</v>
      </c>
      <c r="AJ917" s="132"/>
      <c r="AK917" s="151">
        <v>679.5</v>
      </c>
      <c r="AL917" s="154">
        <f t="shared" si="345"/>
        <v>0</v>
      </c>
      <c r="AM917" s="155"/>
      <c r="AN917" s="19">
        <f t="shared" si="331"/>
        <v>1861</v>
      </c>
      <c r="AO917" s="118">
        <f>SUMIF('MPG Payment '!E:E,'Shayak Income '!D917,'MPG Payment '!AJ:AJ)</f>
        <v>0</v>
      </c>
      <c r="AP917" s="19">
        <f t="shared" si="332"/>
        <v>0</v>
      </c>
      <c r="AQ917" s="119">
        <f t="shared" si="346"/>
        <v>0</v>
      </c>
      <c r="AR917" s="91" t="s">
        <v>1168</v>
      </c>
      <c r="AS917" s="91">
        <f t="shared" si="333"/>
        <v>0</v>
      </c>
      <c r="AT917" s="118"/>
      <c r="AU917" s="118"/>
      <c r="AV917" s="118"/>
    </row>
    <row r="918" spans="1:48" s="20" customFormat="1" x14ac:dyDescent="0.25">
      <c r="A918" s="17">
        <f>IFERROR(VLOOKUP(D918,'Monthly Deduction'!$I$3:$J$957,2,0),0)</f>
        <v>70000</v>
      </c>
      <c r="B918" s="17">
        <f>IFERROR(VLOOKUP(D918,'Monthly Deduction'!$E$3:$F$957,2,0),0)</f>
        <v>0</v>
      </c>
      <c r="C918" s="17">
        <f t="shared" si="337"/>
        <v>70000</v>
      </c>
      <c r="D918" s="41">
        <v>10590013</v>
      </c>
      <c r="E918" s="122" t="str">
        <f>VLOOKUP(D918,'MPG Payment '!$E$3:$G$498218,2,0)</f>
        <v>BARIYARPUR</v>
      </c>
      <c r="F918" s="146">
        <f>IFERROR(_xlfn.XLOOKUP(D918,'Monthly Deduction'!$I$3:$I$957,'Monthly Deduction'!$H$3:$H$957),0)</f>
        <v>0</v>
      </c>
      <c r="G918" s="123" t="str">
        <f>VLOOKUP(D918,'MPG Payment '!$E$3:$G$334579,3,0)</f>
        <v>MPG</v>
      </c>
      <c r="H918" s="124" t="str">
        <f>VLOOKUP(D918,'MPG Payment '!$E$3:$H$334579,4,0)</f>
        <v>Direct</v>
      </c>
      <c r="I918" s="88">
        <f>INDEX('MPG Payment '!$C:$C,MATCH('Shayak Income '!D918,'MPG Payment '!E:E,0))</f>
        <v>1059</v>
      </c>
      <c r="J918" s="88" t="str">
        <f>INDEX('MPG Payment '!$D:$D,MATCH('Shayak Income '!D918,'MPG Payment '!E:E,0))</f>
        <v>Gopalpur Bmc</v>
      </c>
      <c r="K918" s="125" t="s">
        <v>1323</v>
      </c>
      <c r="L918" s="125">
        <v>46110</v>
      </c>
      <c r="M918" s="126">
        <f>SUMIF('MPG Payment '!$E$3:$E$34579,'Shayak Income '!D918,'MPG Payment '!$I$3:$I$34579)</f>
        <v>1735.3000000000002</v>
      </c>
      <c r="N918" s="126">
        <f>SUMIF('MPG Payment '!$E$3:$E$34579,'Shayak Income '!D918,'MPG Payment '!$J$3:$J$34579)</f>
        <v>75585.290265942007</v>
      </c>
      <c r="O918" s="126">
        <f t="shared" si="338"/>
        <v>1301.4750000000001</v>
      </c>
      <c r="P918" s="126">
        <f t="shared" si="339"/>
        <v>1648.5350000000001</v>
      </c>
      <c r="Q918" s="126">
        <f>SUMIF('MPG Payment '!$E$3:$E$34579,'Shayak Income '!D918,'MPG Payment '!$S$3:$S$34579)</f>
        <v>0</v>
      </c>
      <c r="R918" s="126">
        <f t="shared" si="340"/>
        <v>2267.5587079782599</v>
      </c>
      <c r="S918" s="126">
        <f t="shared" si="341"/>
        <v>619.02370797825984</v>
      </c>
      <c r="T918" s="126">
        <f t="shared" si="334"/>
        <v>173.53000000000003</v>
      </c>
      <c r="U918" s="127">
        <f>(((IF(K918="New",0,SUMIF('MPG Payment '!$E$3:$E$34579,'Shayak Income '!D918,'MPG Payment '!$AC$3:$AC$34579))))+0)+0</f>
        <v>0</v>
      </c>
      <c r="V918" s="127">
        <f t="shared" si="335"/>
        <v>2776</v>
      </c>
      <c r="W918" s="19">
        <v>0</v>
      </c>
      <c r="X918" s="19">
        <v>0</v>
      </c>
      <c r="Y918" s="128">
        <f>IFERROR(VLOOKUP(D918,'Monthly Deduction'!$M$2:$N$64,2,0),0)</f>
        <v>0</v>
      </c>
      <c r="Z918" s="128">
        <v>0</v>
      </c>
      <c r="AA918" s="126">
        <f>IFERROR(VLOOKUP(D918,'Monthly Deduction'!A:B,2,0),0)</f>
        <v>0</v>
      </c>
      <c r="AB918" s="129">
        <f t="shared" si="342"/>
        <v>2776</v>
      </c>
      <c r="AC918" s="130">
        <f t="shared" si="347"/>
        <v>2776</v>
      </c>
      <c r="AD918" s="35">
        <f t="shared" si="343"/>
        <v>0</v>
      </c>
      <c r="AE918" s="166" t="str">
        <f t="shared" si="344"/>
        <v>Yes</v>
      </c>
      <c r="AF918" s="127"/>
      <c r="AG918" s="234">
        <v>0</v>
      </c>
      <c r="AH918" s="120" t="s">
        <v>1646</v>
      </c>
      <c r="AI918" s="238">
        <v>5000</v>
      </c>
      <c r="AJ918" s="132"/>
      <c r="AK918" s="151">
        <v>582.5</v>
      </c>
      <c r="AL918" s="154">
        <f t="shared" si="345"/>
        <v>0</v>
      </c>
      <c r="AM918" s="155"/>
      <c r="AN918" s="19">
        <f t="shared" si="331"/>
        <v>1861</v>
      </c>
      <c r="AO918" s="118">
        <f>SUMIF('MPG Payment '!E:E,'Shayak Income '!D918,'MPG Payment '!AJ:AJ)</f>
        <v>0</v>
      </c>
      <c r="AP918" s="19">
        <f t="shared" si="332"/>
        <v>0</v>
      </c>
      <c r="AQ918" s="119">
        <f t="shared" si="346"/>
        <v>0</v>
      </c>
      <c r="AR918" s="91" t="s">
        <v>1168</v>
      </c>
      <c r="AS918" s="91">
        <f t="shared" si="333"/>
        <v>0</v>
      </c>
      <c r="AT918" s="118"/>
      <c r="AU918" s="118"/>
      <c r="AV918" s="118"/>
    </row>
    <row r="919" spans="1:48" s="20" customFormat="1" x14ac:dyDescent="0.25">
      <c r="A919" s="17">
        <f>IFERROR(VLOOKUP(D919,'Monthly Deduction'!$I$3:$J$957,2,0),0)</f>
        <v>70000</v>
      </c>
      <c r="B919" s="17">
        <f>IFERROR(VLOOKUP(D919,'Monthly Deduction'!$E$3:$F$957,2,0),0)</f>
        <v>0</v>
      </c>
      <c r="C919" s="17">
        <f t="shared" si="337"/>
        <v>70000</v>
      </c>
      <c r="D919" s="41">
        <v>10590014</v>
      </c>
      <c r="E919" s="122" t="str">
        <f>VLOOKUP(D919,'MPG Payment '!$E$3:$G$498218,2,0)</f>
        <v>BAGWANA</v>
      </c>
      <c r="F919" s="146">
        <f>IFERROR(_xlfn.XLOOKUP(D919,'Monthly Deduction'!$I$3:$I$957,'Monthly Deduction'!$H$3:$H$957),0)</f>
        <v>0</v>
      </c>
      <c r="G919" s="123" t="str">
        <f>VLOOKUP(D919,'MPG Payment '!$E$3:$G$334579,3,0)</f>
        <v>MPG</v>
      </c>
      <c r="H919" s="124" t="str">
        <f>VLOOKUP(D919,'MPG Payment '!$E$3:$H$334579,4,0)</f>
        <v>Direct</v>
      </c>
      <c r="I919" s="88">
        <f>INDEX('MPG Payment '!$C:$C,MATCH('Shayak Income '!D919,'MPG Payment '!E:E,0))</f>
        <v>1059</v>
      </c>
      <c r="J919" s="88" t="str">
        <f>INDEX('MPG Payment '!$D:$D,MATCH('Shayak Income '!D919,'MPG Payment '!E:E,0))</f>
        <v>Gopalpur Bmc</v>
      </c>
      <c r="K919" s="125" t="s">
        <v>1323</v>
      </c>
      <c r="L919" s="125">
        <v>46112</v>
      </c>
      <c r="M919" s="126">
        <f>SUMIF('MPG Payment '!$E$3:$E$34579,'Shayak Income '!D919,'MPG Payment '!$I$3:$I$34579)</f>
        <v>1808.7000000000003</v>
      </c>
      <c r="N919" s="126">
        <f>SUMIF('MPG Payment '!$E$3:$E$34579,'Shayak Income '!D919,'MPG Payment '!$J$3:$J$34579)</f>
        <v>78001.517049145594</v>
      </c>
      <c r="O919" s="126">
        <f t="shared" si="338"/>
        <v>1356.5250000000001</v>
      </c>
      <c r="P919" s="126">
        <f t="shared" si="339"/>
        <v>1718.2650000000001</v>
      </c>
      <c r="Q919" s="126">
        <f>SUMIF('MPG Payment '!$E$3:$E$34579,'Shayak Income '!D919,'MPG Payment '!$S$3:$S$34579)</f>
        <v>0</v>
      </c>
      <c r="R919" s="126">
        <f t="shared" si="340"/>
        <v>2340.0455114743677</v>
      </c>
      <c r="S919" s="126">
        <f t="shared" si="341"/>
        <v>621.78051147436759</v>
      </c>
      <c r="T919" s="126">
        <f t="shared" si="334"/>
        <v>180.87000000000003</v>
      </c>
      <c r="U919" s="127">
        <f>(((IF(K919="New",0,SUMIF('MPG Payment '!$E$3:$E$34579,'Shayak Income '!D919,'MPG Payment '!$AC$3:$AC$34579))))+0)+0</f>
        <v>0</v>
      </c>
      <c r="V919" s="127">
        <f t="shared" si="335"/>
        <v>2894</v>
      </c>
      <c r="W919" s="19">
        <v>0</v>
      </c>
      <c r="X919" s="19">
        <v>0</v>
      </c>
      <c r="Y919" s="128">
        <f>IFERROR(VLOOKUP(D919,'Monthly Deduction'!$M$2:$N$64,2,0),0)</f>
        <v>0</v>
      </c>
      <c r="Z919" s="128">
        <v>0</v>
      </c>
      <c r="AA919" s="126">
        <f>IFERROR(VLOOKUP(D919,'Monthly Deduction'!A:B,2,0),0)</f>
        <v>0</v>
      </c>
      <c r="AB919" s="129">
        <f t="shared" si="342"/>
        <v>2894</v>
      </c>
      <c r="AC919" s="130">
        <f t="shared" si="347"/>
        <v>2894</v>
      </c>
      <c r="AD919" s="35">
        <f t="shared" si="343"/>
        <v>0</v>
      </c>
      <c r="AE919" s="166" t="str">
        <f t="shared" si="344"/>
        <v>Yes</v>
      </c>
      <c r="AF919" s="127"/>
      <c r="AG919" s="234">
        <v>0</v>
      </c>
      <c r="AH919" s="120" t="s">
        <v>1646</v>
      </c>
      <c r="AI919" s="238">
        <v>5000</v>
      </c>
      <c r="AJ919" s="132"/>
      <c r="AK919" s="151">
        <v>619.99999999999989</v>
      </c>
      <c r="AL919" s="154">
        <f t="shared" si="345"/>
        <v>0</v>
      </c>
      <c r="AM919" s="155"/>
      <c r="AN919" s="19">
        <f t="shared" si="331"/>
        <v>1861</v>
      </c>
      <c r="AO919" s="118">
        <f>SUMIF('MPG Payment '!E:E,'Shayak Income '!D919,'MPG Payment '!AJ:AJ)</f>
        <v>0</v>
      </c>
      <c r="AP919" s="19">
        <f t="shared" si="332"/>
        <v>0</v>
      </c>
      <c r="AQ919" s="119">
        <f t="shared" si="346"/>
        <v>0</v>
      </c>
      <c r="AR919" s="91" t="s">
        <v>1168</v>
      </c>
      <c r="AS919" s="91">
        <f t="shared" si="333"/>
        <v>0</v>
      </c>
      <c r="AT919" s="118"/>
      <c r="AU919" s="118"/>
      <c r="AV919" s="118"/>
    </row>
    <row r="920" spans="1:48" s="20" customFormat="1" x14ac:dyDescent="0.25">
      <c r="A920" s="17">
        <f>IFERROR(VLOOKUP(D920,'Monthly Deduction'!$I$3:$J$957,2,0),0)</f>
        <v>65000</v>
      </c>
      <c r="B920" s="17">
        <f>IFERROR(VLOOKUP(D920,'Monthly Deduction'!$E$3:$F$957,2,0),0)</f>
        <v>0</v>
      </c>
      <c r="C920" s="17">
        <f t="shared" si="337"/>
        <v>65000</v>
      </c>
      <c r="D920" s="41">
        <v>10590015</v>
      </c>
      <c r="E920" s="122" t="str">
        <f>VLOOKUP(D920,'MPG Payment '!$E$3:$G$498218,2,0)</f>
        <v>REWATA</v>
      </c>
      <c r="F920" s="146">
        <f>IFERROR(_xlfn.XLOOKUP(D920,'Monthly Deduction'!$I$3:$I$957,'Monthly Deduction'!$H$3:$H$957),0)</f>
        <v>0</v>
      </c>
      <c r="G920" s="123" t="str">
        <f>VLOOKUP(D920,'MPG Payment '!$E$3:$G$334579,3,0)</f>
        <v>MPG</v>
      </c>
      <c r="H920" s="124" t="str">
        <f>VLOOKUP(D920,'MPG Payment '!$E$3:$H$334579,4,0)</f>
        <v>Direct</v>
      </c>
      <c r="I920" s="88">
        <f>INDEX('MPG Payment '!$C:$C,MATCH('Shayak Income '!D920,'MPG Payment '!E:E,0))</f>
        <v>1059</v>
      </c>
      <c r="J920" s="88" t="str">
        <f>INDEX('MPG Payment '!$D:$D,MATCH('Shayak Income '!D920,'MPG Payment '!E:E,0))</f>
        <v>Gopalpur Bmc</v>
      </c>
      <c r="K920" s="125" t="s">
        <v>1323</v>
      </c>
      <c r="L920" s="125">
        <v>46112</v>
      </c>
      <c r="M920" s="126">
        <f>SUMIF('MPG Payment '!$E$3:$E$34579,'Shayak Income '!D920,'MPG Payment '!$I$3:$I$34579)</f>
        <v>126.10000000000001</v>
      </c>
      <c r="N920" s="126">
        <f>SUMIF('MPG Payment '!$E$3:$E$34579,'Shayak Income '!D920,'MPG Payment '!$J$3:$J$34579)</f>
        <v>6627.4960788354992</v>
      </c>
      <c r="O920" s="126">
        <f t="shared" si="338"/>
        <v>94.575000000000003</v>
      </c>
      <c r="P920" s="126">
        <f t="shared" si="339"/>
        <v>119.795</v>
      </c>
      <c r="Q920" s="126">
        <f>SUMIF('MPG Payment '!$E$3:$E$34579,'Shayak Income '!D920,'MPG Payment '!$S$3:$S$34579)</f>
        <v>0</v>
      </c>
      <c r="R920" s="126">
        <f t="shared" si="340"/>
        <v>198.82488236506498</v>
      </c>
      <c r="S920" s="126">
        <f t="shared" si="341"/>
        <v>79.029882365064978</v>
      </c>
      <c r="T920" s="126">
        <f t="shared" si="334"/>
        <v>12.610000000000001</v>
      </c>
      <c r="U920" s="127">
        <f>(((IF(K920="New",0,SUMIF('MPG Payment '!$E$3:$E$34579,'Shayak Income '!D920,'MPG Payment '!$AC$3:$AC$34579))))+0)+0</f>
        <v>0</v>
      </c>
      <c r="V920" s="127">
        <f t="shared" si="335"/>
        <v>202</v>
      </c>
      <c r="W920" s="19">
        <v>0</v>
      </c>
      <c r="X920" s="19">
        <v>0</v>
      </c>
      <c r="Y920" s="128">
        <f>IFERROR(VLOOKUP(D920,'Monthly Deduction'!$M$2:$N$64,2,0),0)</f>
        <v>0</v>
      </c>
      <c r="Z920" s="128">
        <v>0</v>
      </c>
      <c r="AA920" s="126">
        <f>IFERROR(VLOOKUP(D920,'Monthly Deduction'!A:B,2,0),0)</f>
        <v>0</v>
      </c>
      <c r="AB920" s="129">
        <f t="shared" si="342"/>
        <v>202</v>
      </c>
      <c r="AC920" s="130">
        <f t="shared" si="347"/>
        <v>202</v>
      </c>
      <c r="AD920" s="35">
        <f t="shared" si="343"/>
        <v>0</v>
      </c>
      <c r="AE920" s="166" t="str">
        <f t="shared" si="344"/>
        <v>Yes</v>
      </c>
      <c r="AF920" s="127"/>
      <c r="AG920" s="234">
        <v>0</v>
      </c>
      <c r="AH920" s="120" t="s">
        <v>1653</v>
      </c>
      <c r="AI920" s="238">
        <v>0</v>
      </c>
      <c r="AJ920" s="132"/>
      <c r="AK920" s="151">
        <v>32.5</v>
      </c>
      <c r="AL920" s="154">
        <f t="shared" si="345"/>
        <v>0</v>
      </c>
      <c r="AM920" s="155"/>
      <c r="AN920" s="19">
        <f t="shared" si="331"/>
        <v>1861</v>
      </c>
      <c r="AO920" s="118">
        <f>SUMIF('MPG Payment '!E:E,'Shayak Income '!D920,'MPG Payment '!AJ:AJ)</f>
        <v>0</v>
      </c>
      <c r="AP920" s="19">
        <f t="shared" si="332"/>
        <v>0</v>
      </c>
      <c r="AQ920" s="119">
        <f t="shared" si="346"/>
        <v>0</v>
      </c>
      <c r="AR920" s="91" t="s">
        <v>1168</v>
      </c>
      <c r="AS920" s="91">
        <f t="shared" si="333"/>
        <v>0</v>
      </c>
      <c r="AT920" s="118"/>
      <c r="AU920" s="118"/>
      <c r="AV920" s="118"/>
    </row>
    <row r="921" spans="1:48" s="20" customFormat="1" x14ac:dyDescent="0.25">
      <c r="A921" s="17">
        <f>IFERROR(VLOOKUP(D921,'Monthly Deduction'!$I$3:$J$957,2,0),0)</f>
        <v>75000</v>
      </c>
      <c r="B921" s="17">
        <f>IFERROR(VLOOKUP(D921,'Monthly Deduction'!$E$3:$F$957,2,0),0)</f>
        <v>0</v>
      </c>
      <c r="C921" s="17">
        <f t="shared" si="337"/>
        <v>75000</v>
      </c>
      <c r="D921" s="41">
        <v>10610026</v>
      </c>
      <c r="E921" s="122" t="str">
        <f>VLOOKUP(D921,'MPG Payment '!$E$3:$G$498218,2,0)</f>
        <v>Gomukh Jhitkahi East</v>
      </c>
      <c r="F921" s="146">
        <f>IFERROR(_xlfn.XLOOKUP(D921,'Monthly Deduction'!$I$3:$I$957,'Monthly Deduction'!$H$3:$H$957),0)</f>
        <v>0</v>
      </c>
      <c r="G921" s="123" t="str">
        <f>VLOOKUP(D921,'MPG Payment '!$E$3:$G$334579,3,0)</f>
        <v>MPG</v>
      </c>
      <c r="H921" s="124" t="str">
        <f>VLOOKUP(D921,'MPG Payment '!$E$3:$H$334579,4,0)</f>
        <v>Direct</v>
      </c>
      <c r="I921" s="88">
        <f>INDEX('MPG Payment '!$C:$C,MATCH('Shayak Income '!D921,'MPG Payment '!E:E,0))</f>
        <v>1061</v>
      </c>
      <c r="J921" s="88" t="str">
        <f>INDEX('MPG Payment '!$D:$D,MATCH('Shayak Income '!D921,'MPG Payment '!E:E,0))</f>
        <v>Mahua BMC</v>
      </c>
      <c r="K921" s="125" t="s">
        <v>1323</v>
      </c>
      <c r="L921" s="125">
        <v>46112</v>
      </c>
      <c r="M921" s="126">
        <f>SUMIF('MPG Payment '!$E$3:$E$34579,'Shayak Income '!D921,'MPG Payment '!$I$3:$I$34579)</f>
        <v>297.5</v>
      </c>
      <c r="N921" s="126">
        <f>SUMIF('MPG Payment '!$E$3:$E$34579,'Shayak Income '!D921,'MPG Payment '!$J$3:$J$34579)</f>
        <v>18858.177928891</v>
      </c>
      <c r="O921" s="126">
        <f t="shared" si="338"/>
        <v>223.125</v>
      </c>
      <c r="P921" s="126">
        <f t="shared" si="339"/>
        <v>282.625</v>
      </c>
      <c r="Q921" s="126">
        <f>SUMIF('MPG Payment '!$E$3:$E$34579,'Shayak Income '!D921,'MPG Payment '!$S$3:$S$34579)</f>
        <v>0</v>
      </c>
      <c r="R921" s="126">
        <f t="shared" si="340"/>
        <v>565.74533786672998</v>
      </c>
      <c r="S921" s="126">
        <f t="shared" si="341"/>
        <v>283.12033786672998</v>
      </c>
      <c r="T921" s="126">
        <f t="shared" si="334"/>
        <v>29.75</v>
      </c>
      <c r="U921" s="127">
        <f>(((IF(K921="New",0,SUMIF('MPG Payment '!$E$3:$E$34579,'Shayak Income '!D921,'MPG Payment '!$AC$3:$AC$34579))))+0)+0</f>
        <v>0</v>
      </c>
      <c r="V921" s="127">
        <f t="shared" si="335"/>
        <v>476</v>
      </c>
      <c r="W921" s="19">
        <v>0</v>
      </c>
      <c r="X921" s="19">
        <v>0</v>
      </c>
      <c r="Y921" s="128">
        <f>IFERROR(VLOOKUP(D921,'Monthly Deduction'!$M$2:$N$64,2,0),0)</f>
        <v>0</v>
      </c>
      <c r="Z921" s="128">
        <v>0</v>
      </c>
      <c r="AA921" s="126">
        <f>IFERROR(VLOOKUP(D921,'Monthly Deduction'!A:B,2,0),0)</f>
        <v>0</v>
      </c>
      <c r="AB921" s="129">
        <f t="shared" si="342"/>
        <v>476</v>
      </c>
      <c r="AC921" s="130">
        <v>0</v>
      </c>
      <c r="AD921" s="35">
        <f t="shared" si="343"/>
        <v>476</v>
      </c>
      <c r="AE921" s="166" t="str">
        <f t="shared" si="344"/>
        <v>Release</v>
      </c>
      <c r="AF921" s="127"/>
      <c r="AG921" s="18">
        <v>0</v>
      </c>
      <c r="AH921" s="120" t="s">
        <v>1650</v>
      </c>
      <c r="AI921" s="238">
        <v>10000</v>
      </c>
      <c r="AJ921" s="132" t="s">
        <v>68</v>
      </c>
      <c r="AK921" s="151">
        <v>79.100000000000009</v>
      </c>
      <c r="AL921" s="154">
        <f t="shared" si="345"/>
        <v>0</v>
      </c>
      <c r="AM921" s="155"/>
      <c r="AN921" s="19">
        <f t="shared" si="331"/>
        <v>1861</v>
      </c>
      <c r="AO921" s="118">
        <f>SUMIF('MPG Payment '!E:E,'Shayak Income '!D921,'MPG Payment '!AJ:AJ)</f>
        <v>0</v>
      </c>
      <c r="AP921" s="19">
        <f t="shared" si="332"/>
        <v>0</v>
      </c>
      <c r="AQ921" s="119">
        <f t="shared" si="346"/>
        <v>0</v>
      </c>
      <c r="AR921" s="91" t="s">
        <v>1168</v>
      </c>
      <c r="AS921" s="91">
        <f t="shared" si="333"/>
        <v>0</v>
      </c>
      <c r="AT921" s="118"/>
      <c r="AU921" s="118"/>
      <c r="AV921" s="118"/>
    </row>
    <row r="922" spans="1:48" s="20" customFormat="1" x14ac:dyDescent="0.25">
      <c r="A922" s="17">
        <f>IFERROR(VLOOKUP(D922,'Monthly Deduction'!$I$3:$J$957,2,0),0)</f>
        <v>0</v>
      </c>
      <c r="B922" s="17">
        <f>IFERROR(VLOOKUP(D922,'Monthly Deduction'!$E$3:$F$957,2,0),0)</f>
        <v>0</v>
      </c>
      <c r="C922" s="17">
        <f t="shared" si="337"/>
        <v>0</v>
      </c>
      <c r="D922" s="41">
        <v>10610027</v>
      </c>
      <c r="E922" s="122" t="str">
        <f>VLOOKUP(D922,'MPG Payment '!$E$3:$G$498218,2,0)</f>
        <v>GOMUKH UPHRAUL</v>
      </c>
      <c r="F922" s="146">
        <f>IFERROR(_xlfn.XLOOKUP(D922,'Monthly Deduction'!$I$3:$I$957,'Monthly Deduction'!$H$3:$H$957),0)</f>
        <v>0</v>
      </c>
      <c r="G922" s="123" t="str">
        <f>VLOOKUP(D922,'MPG Payment '!$E$3:$G$334579,3,0)</f>
        <v>vlc</v>
      </c>
      <c r="H922" s="124" t="str">
        <f>VLOOKUP(D922,'MPG Payment '!$E$3:$H$334579,4,0)</f>
        <v>Indirect</v>
      </c>
      <c r="I922" s="88">
        <f>INDEX('MPG Payment '!$C:$C,MATCH('Shayak Income '!D922,'MPG Payment '!E:E,0))</f>
        <v>1061</v>
      </c>
      <c r="J922" s="88" t="str">
        <f>INDEX('MPG Payment '!$D:$D,MATCH('Shayak Income '!D922,'MPG Payment '!E:E,0))</f>
        <v>Mahua BMC</v>
      </c>
      <c r="K922" s="125" t="s">
        <v>1323</v>
      </c>
      <c r="L922" s="125">
        <v>46108</v>
      </c>
      <c r="M922" s="126">
        <f>SUMIF('MPG Payment '!$E$3:$E$34579,'Shayak Income '!D922,'MPG Payment '!$I$3:$I$34579)</f>
        <v>5524.5</v>
      </c>
      <c r="N922" s="126">
        <f>SUMIF('MPG Payment '!$E$3:$E$34579,'Shayak Income '!D922,'MPG Payment '!$J$3:$J$34579)</f>
        <v>186236.98412063398</v>
      </c>
      <c r="O922" s="126">
        <f t="shared" si="338"/>
        <v>4143.375</v>
      </c>
      <c r="P922" s="126">
        <f t="shared" si="339"/>
        <v>5248.2749999999996</v>
      </c>
      <c r="Q922" s="126">
        <f>SUMIF('MPG Payment '!$E$3:$E$34579,'Shayak Income '!D922,'MPG Payment '!$S$3:$S$34579)</f>
        <v>0</v>
      </c>
      <c r="R922" s="126">
        <f t="shared" si="340"/>
        <v>5587.1095236190195</v>
      </c>
      <c r="S922" s="126">
        <f t="shared" si="341"/>
        <v>338.83452361901982</v>
      </c>
      <c r="T922" s="126">
        <f t="shared" si="334"/>
        <v>552.45000000000005</v>
      </c>
      <c r="U922" s="127">
        <f>(((IF(K922="New",0,SUMIF('MPG Payment '!$E$3:$E$34579,'Shayak Income '!D922,'MPG Payment '!$AC$3:$AC$34579))))+0)+0</f>
        <v>0</v>
      </c>
      <c r="V922" s="127">
        <f t="shared" si="335"/>
        <v>8839</v>
      </c>
      <c r="W922" s="19">
        <v>0</v>
      </c>
      <c r="X922" s="19">
        <v>0</v>
      </c>
      <c r="Y922" s="128">
        <f>IFERROR(VLOOKUP(D922,'Monthly Deduction'!$M$2:$N$64,2,0),0)</f>
        <v>0</v>
      </c>
      <c r="Z922" s="128">
        <v>0</v>
      </c>
      <c r="AA922" s="126">
        <f>IFERROR(VLOOKUP(D922,'Monthly Deduction'!A:B,2,0),0)</f>
        <v>0</v>
      </c>
      <c r="AB922" s="129">
        <f t="shared" si="342"/>
        <v>8839</v>
      </c>
      <c r="AC922" s="130">
        <v>0</v>
      </c>
      <c r="AD922" s="35">
        <f t="shared" si="343"/>
        <v>8839</v>
      </c>
      <c r="AE922" s="166" t="str">
        <f t="shared" si="344"/>
        <v>Release</v>
      </c>
      <c r="AF922" s="127"/>
      <c r="AG922" s="18">
        <v>0</v>
      </c>
      <c r="AH922" s="132"/>
      <c r="AI922" s="238">
        <v>0</v>
      </c>
      <c r="AJ922" s="132"/>
      <c r="AK922" s="151">
        <v>1266.8</v>
      </c>
      <c r="AL922" s="154">
        <f t="shared" si="345"/>
        <v>0</v>
      </c>
      <c r="AM922" s="155"/>
      <c r="AN922" s="19">
        <f t="shared" si="331"/>
        <v>0</v>
      </c>
      <c r="AO922" s="118">
        <f>SUMIF('MPG Payment '!E:E,'Shayak Income '!D922,'MPG Payment '!AJ:AJ)</f>
        <v>0</v>
      </c>
      <c r="AP922" s="19">
        <f t="shared" si="332"/>
        <v>0</v>
      </c>
      <c r="AQ922" s="119">
        <f t="shared" si="346"/>
        <v>0</v>
      </c>
      <c r="AR922" s="91" t="s">
        <v>1168</v>
      </c>
      <c r="AS922" s="91">
        <f t="shared" si="333"/>
        <v>0</v>
      </c>
      <c r="AT922" s="118"/>
      <c r="AU922" s="118"/>
      <c r="AV922" s="118"/>
    </row>
    <row r="923" spans="1:48" s="20" customFormat="1" x14ac:dyDescent="0.25">
      <c r="A923" s="17">
        <f>IFERROR(VLOOKUP(D923,'Monthly Deduction'!$I$3:$J$957,2,0),0)</f>
        <v>0</v>
      </c>
      <c r="B923" s="17">
        <f>IFERROR(VLOOKUP(D923,'Monthly Deduction'!$E$3:$F$957,2,0),0)</f>
        <v>0</v>
      </c>
      <c r="C923" s="17">
        <f t="shared" si="337"/>
        <v>0</v>
      </c>
      <c r="D923" s="41">
        <v>10610028</v>
      </c>
      <c r="E923" s="122" t="str">
        <f>VLOOKUP(D923,'MPG Payment '!$E$3:$G$498218,2,0)</f>
        <v>GOMUKH SHERPUR</v>
      </c>
      <c r="F923" s="146">
        <f>IFERROR(_xlfn.XLOOKUP(D923,'Monthly Deduction'!$I$3:$I$957,'Monthly Deduction'!$H$3:$H$957),0)</f>
        <v>0</v>
      </c>
      <c r="G923" s="123" t="str">
        <f>VLOOKUP(D923,'MPG Payment '!$E$3:$G$334579,3,0)</f>
        <v>vlc</v>
      </c>
      <c r="H923" s="124" t="str">
        <f>VLOOKUP(D923,'MPG Payment '!$E$3:$H$334579,4,0)</f>
        <v>Indirect</v>
      </c>
      <c r="I923" s="88">
        <f>INDEX('MPG Payment '!$C:$C,MATCH('Shayak Income '!D923,'MPG Payment '!E:E,0))</f>
        <v>1061</v>
      </c>
      <c r="J923" s="88" t="str">
        <f>INDEX('MPG Payment '!$D:$D,MATCH('Shayak Income '!D923,'MPG Payment '!E:E,0))</f>
        <v>Mahua BMC</v>
      </c>
      <c r="K923" s="125" t="s">
        <v>1323</v>
      </c>
      <c r="L923" s="125">
        <v>46109</v>
      </c>
      <c r="M923" s="126">
        <f>SUMIF('MPG Payment '!$E$3:$E$34579,'Shayak Income '!D923,'MPG Payment '!$I$3:$I$34579)</f>
        <v>372.4</v>
      </c>
      <c r="N923" s="126">
        <f>SUMIF('MPG Payment '!$E$3:$E$34579,'Shayak Income '!D923,'MPG Payment '!$J$3:$J$34579)</f>
        <v>13280.407629765501</v>
      </c>
      <c r="O923" s="126">
        <f t="shared" si="338"/>
        <v>279.29999999999995</v>
      </c>
      <c r="P923" s="126">
        <f t="shared" si="339"/>
        <v>353.78</v>
      </c>
      <c r="Q923" s="126">
        <f>SUMIF('MPG Payment '!$E$3:$E$34579,'Shayak Income '!D923,'MPG Payment '!$S$3:$S$34579)</f>
        <v>0</v>
      </c>
      <c r="R923" s="126">
        <f t="shared" si="340"/>
        <v>398.412228892965</v>
      </c>
      <c r="S923" s="126">
        <f t="shared" si="341"/>
        <v>44.632228892965031</v>
      </c>
      <c r="T923" s="126">
        <f t="shared" si="334"/>
        <v>37.24</v>
      </c>
      <c r="U923" s="127">
        <f>(((IF(K923="New",0,SUMIF('MPG Payment '!$E$3:$E$34579,'Shayak Income '!D923,'MPG Payment '!$AC$3:$AC$34579))))+0)+0</f>
        <v>0</v>
      </c>
      <c r="V923" s="127">
        <f t="shared" si="335"/>
        <v>596</v>
      </c>
      <c r="W923" s="19">
        <v>0</v>
      </c>
      <c r="X923" s="19">
        <v>0</v>
      </c>
      <c r="Y923" s="128">
        <f>IFERROR(VLOOKUP(D923,'Monthly Deduction'!$M$2:$N$64,2,0),0)</f>
        <v>0</v>
      </c>
      <c r="Z923" s="128">
        <v>0</v>
      </c>
      <c r="AA923" s="126">
        <f>IFERROR(VLOOKUP(D923,'Monthly Deduction'!A:B,2,0),0)</f>
        <v>0</v>
      </c>
      <c r="AB923" s="129">
        <f t="shared" si="342"/>
        <v>596</v>
      </c>
      <c r="AC923" s="130">
        <v>0</v>
      </c>
      <c r="AD923" s="35">
        <f t="shared" si="343"/>
        <v>596</v>
      </c>
      <c r="AE923" s="166" t="str">
        <f t="shared" si="344"/>
        <v>Release</v>
      </c>
      <c r="AF923" s="127"/>
      <c r="AG923" s="18">
        <v>0</v>
      </c>
      <c r="AH923" s="132"/>
      <c r="AI923" s="238">
        <v>0</v>
      </c>
      <c r="AJ923" s="132"/>
      <c r="AK923" s="151">
        <v>163.69999999999999</v>
      </c>
      <c r="AL923" s="154">
        <f t="shared" si="345"/>
        <v>0</v>
      </c>
      <c r="AM923" s="155"/>
      <c r="AN923" s="19">
        <f t="shared" si="331"/>
        <v>0</v>
      </c>
      <c r="AO923" s="118">
        <f>SUMIF('MPG Payment '!E:E,'Shayak Income '!D923,'MPG Payment '!AJ:AJ)</f>
        <v>0</v>
      </c>
      <c r="AP923" s="19">
        <f t="shared" si="332"/>
        <v>0</v>
      </c>
      <c r="AQ923" s="119">
        <f t="shared" si="346"/>
        <v>0</v>
      </c>
      <c r="AR923" s="91" t="s">
        <v>1168</v>
      </c>
      <c r="AS923" s="91">
        <f t="shared" si="333"/>
        <v>0</v>
      </c>
      <c r="AT923" s="118"/>
      <c r="AU923" s="118"/>
      <c r="AV923" s="118"/>
    </row>
    <row r="924" spans="1:48" s="20" customFormat="1" x14ac:dyDescent="0.25">
      <c r="A924" s="17">
        <f>IFERROR(VLOOKUP(D924,'Monthly Deduction'!$I$3:$J$957,2,0),0)</f>
        <v>0</v>
      </c>
      <c r="B924" s="17">
        <f>IFERROR(VLOOKUP(D924,'Monthly Deduction'!$E$3:$F$957,2,0),0)</f>
        <v>0</v>
      </c>
      <c r="C924" s="17">
        <f t="shared" si="337"/>
        <v>0</v>
      </c>
      <c r="D924" s="41">
        <v>10610031</v>
      </c>
      <c r="E924" s="122" t="str">
        <f>VLOOKUP(D924,'MPG Payment '!$E$3:$G$498218,2,0)</f>
        <v>GOMUKH PANSALA</v>
      </c>
      <c r="F924" s="146">
        <f>IFERROR(_xlfn.XLOOKUP(D924,'Monthly Deduction'!$I$3:$I$957,'Monthly Deduction'!$H$3:$H$957),0)</f>
        <v>0</v>
      </c>
      <c r="G924" s="123" t="str">
        <f>VLOOKUP(D924,'MPG Payment '!$E$3:$G$334579,3,0)</f>
        <v>vlc</v>
      </c>
      <c r="H924" s="124" t="str">
        <f>VLOOKUP(D924,'MPG Payment '!$E$3:$H$334579,4,0)</f>
        <v>Indirect</v>
      </c>
      <c r="I924" s="88">
        <f>INDEX('MPG Payment '!$C:$C,MATCH('Shayak Income '!D924,'MPG Payment '!E:E,0))</f>
        <v>1061</v>
      </c>
      <c r="J924" s="88" t="str">
        <f>INDEX('MPG Payment '!$D:$D,MATCH('Shayak Income '!D924,'MPG Payment '!E:E,0))</f>
        <v>Mahua BMC</v>
      </c>
      <c r="K924" s="125" t="s">
        <v>1323</v>
      </c>
      <c r="L924" s="125">
        <v>46108</v>
      </c>
      <c r="M924" s="126">
        <f>SUMIF('MPG Payment '!$E$3:$E$34579,'Shayak Income '!D924,'MPG Payment '!$I$3:$I$34579)</f>
        <v>397.2</v>
      </c>
      <c r="N924" s="126">
        <f>SUMIF('MPG Payment '!$E$3:$E$34579,'Shayak Income '!D924,'MPG Payment '!$J$3:$J$34579)</f>
        <v>13367.885854776003</v>
      </c>
      <c r="O924" s="126">
        <f t="shared" si="338"/>
        <v>297.89999999999998</v>
      </c>
      <c r="P924" s="126">
        <f t="shared" si="339"/>
        <v>377.34</v>
      </c>
      <c r="Q924" s="126">
        <f>SUMIF('MPG Payment '!$E$3:$E$34579,'Shayak Income '!D924,'MPG Payment '!$S$3:$S$34579)</f>
        <v>0</v>
      </c>
      <c r="R924" s="126">
        <f t="shared" si="340"/>
        <v>401.03657564328006</v>
      </c>
      <c r="S924" s="126">
        <f t="shared" si="341"/>
        <v>23.696575643280084</v>
      </c>
      <c r="T924" s="126">
        <f t="shared" si="334"/>
        <v>39.72</v>
      </c>
      <c r="U924" s="127">
        <f>(((IF(K924="New",0,SUMIF('MPG Payment '!$E$3:$E$34579,'Shayak Income '!D924,'MPG Payment '!$AC$3:$AC$34579))))+0)+0</f>
        <v>0</v>
      </c>
      <c r="V924" s="127">
        <f t="shared" si="335"/>
        <v>636</v>
      </c>
      <c r="W924" s="19">
        <v>0</v>
      </c>
      <c r="X924" s="19">
        <v>0</v>
      </c>
      <c r="Y924" s="128">
        <f>IFERROR(VLOOKUP(D924,'Monthly Deduction'!$M$2:$N$64,2,0),0)</f>
        <v>0</v>
      </c>
      <c r="Z924" s="128">
        <v>0</v>
      </c>
      <c r="AA924" s="126">
        <f>IFERROR(VLOOKUP(D924,'Monthly Deduction'!A:B,2,0),0)</f>
        <v>0</v>
      </c>
      <c r="AB924" s="129">
        <f t="shared" si="342"/>
        <v>636</v>
      </c>
      <c r="AC924" s="130">
        <v>0</v>
      </c>
      <c r="AD924" s="35">
        <f t="shared" si="343"/>
        <v>636</v>
      </c>
      <c r="AE924" s="166" t="str">
        <f t="shared" si="344"/>
        <v>Release</v>
      </c>
      <c r="AF924" s="127"/>
      <c r="AG924" s="18">
        <v>0</v>
      </c>
      <c r="AH924" s="120"/>
      <c r="AI924" s="238">
        <v>0</v>
      </c>
      <c r="AJ924" s="132"/>
      <c r="AK924" s="151">
        <v>212.79999999999998</v>
      </c>
      <c r="AL924" s="154">
        <f t="shared" si="345"/>
        <v>0</v>
      </c>
      <c r="AM924" s="155"/>
      <c r="AN924" s="19">
        <f t="shared" si="331"/>
        <v>0</v>
      </c>
      <c r="AO924" s="118">
        <f>SUMIF('MPG Payment '!E:E,'Shayak Income '!D924,'MPG Payment '!AJ:AJ)</f>
        <v>0</v>
      </c>
      <c r="AP924" s="19">
        <f t="shared" si="332"/>
        <v>0</v>
      </c>
      <c r="AQ924" s="119">
        <f t="shared" si="346"/>
        <v>0</v>
      </c>
      <c r="AR924" s="91" t="s">
        <v>1168</v>
      </c>
      <c r="AS924" s="91">
        <f t="shared" si="333"/>
        <v>0</v>
      </c>
      <c r="AT924" s="118"/>
      <c r="AU924" s="118"/>
      <c r="AV924" s="118"/>
    </row>
    <row r="925" spans="1:48" s="20" customFormat="1" x14ac:dyDescent="0.25">
      <c r="A925" s="17">
        <f>IFERROR(VLOOKUP(D925,'Monthly Deduction'!$I$3:$J$957,2,0),0)</f>
        <v>0</v>
      </c>
      <c r="B925" s="17">
        <f>IFERROR(VLOOKUP(D925,'Monthly Deduction'!$E$3:$F$957,2,0),0)</f>
        <v>0</v>
      </c>
      <c r="C925" s="17">
        <f t="shared" si="337"/>
        <v>0</v>
      </c>
      <c r="D925" s="41">
        <v>10610034</v>
      </c>
      <c r="E925" s="122" t="str">
        <f>VLOOKUP(D925,'MPG Payment '!$E$3:$G$498218,2,0)</f>
        <v>GOMUKH PACHAI</v>
      </c>
      <c r="F925" s="146">
        <f>IFERROR(_xlfn.XLOOKUP(D925,'Monthly Deduction'!$I$3:$I$957,'Monthly Deduction'!$H$3:$H$957),0)</f>
        <v>0</v>
      </c>
      <c r="G925" s="123" t="str">
        <f>VLOOKUP(D925,'MPG Payment '!$E$3:$G$334579,3,0)</f>
        <v>vlc</v>
      </c>
      <c r="H925" s="124" t="str">
        <f>VLOOKUP(D925,'MPG Payment '!$E$3:$H$334579,4,0)</f>
        <v>Indirect</v>
      </c>
      <c r="I925" s="88">
        <f>INDEX('MPG Payment '!$C:$C,MATCH('Shayak Income '!D925,'MPG Payment '!E:E,0))</f>
        <v>1061</v>
      </c>
      <c r="J925" s="88" t="str">
        <f>INDEX('MPG Payment '!$D:$D,MATCH('Shayak Income '!D925,'MPG Payment '!E:E,0))</f>
        <v>Mahua BMC</v>
      </c>
      <c r="K925" s="125" t="s">
        <v>1323</v>
      </c>
      <c r="L925" s="125">
        <v>46108</v>
      </c>
      <c r="M925" s="126">
        <f>SUMIF('MPG Payment '!$E$3:$E$34579,'Shayak Income '!D925,'MPG Payment '!$I$3:$I$34579)</f>
        <v>1584.6</v>
      </c>
      <c r="N925" s="126">
        <f>SUMIF('MPG Payment '!$E$3:$E$34579,'Shayak Income '!D925,'MPG Payment '!$J$3:$J$34579)</f>
        <v>58568.041653390006</v>
      </c>
      <c r="O925" s="126">
        <f t="shared" si="338"/>
        <v>1188.4499999999998</v>
      </c>
      <c r="P925" s="126">
        <f t="shared" si="339"/>
        <v>1505.37</v>
      </c>
      <c r="Q925" s="126">
        <f>SUMIF('MPG Payment '!$E$3:$E$34579,'Shayak Income '!D925,'MPG Payment '!$S$3:$S$34579)</f>
        <v>0</v>
      </c>
      <c r="R925" s="126">
        <f t="shared" si="340"/>
        <v>1757.0412496017002</v>
      </c>
      <c r="S925" s="126">
        <f t="shared" si="341"/>
        <v>251.67124960170031</v>
      </c>
      <c r="T925" s="126">
        <f t="shared" si="334"/>
        <v>158.46</v>
      </c>
      <c r="U925" s="127">
        <f>(((IF(K925="New",0,SUMIF('MPG Payment '!$E$3:$E$34579,'Shayak Income '!D925,'MPG Payment '!$AC$3:$AC$34579))))+0)+0</f>
        <v>0</v>
      </c>
      <c r="V925" s="127">
        <f t="shared" si="335"/>
        <v>2535</v>
      </c>
      <c r="W925" s="19">
        <v>0</v>
      </c>
      <c r="X925" s="19">
        <v>0</v>
      </c>
      <c r="Y925" s="128">
        <f>IFERROR(VLOOKUP(D925,'Monthly Deduction'!$M$2:$N$64,2,0),0)</f>
        <v>0</v>
      </c>
      <c r="Z925" s="128">
        <v>0</v>
      </c>
      <c r="AA925" s="126">
        <f>IFERROR(VLOOKUP(D925,'Monthly Deduction'!A:B,2,0),0)</f>
        <v>0</v>
      </c>
      <c r="AB925" s="129">
        <f t="shared" si="342"/>
        <v>2535</v>
      </c>
      <c r="AC925" s="130">
        <v>0</v>
      </c>
      <c r="AD925" s="35">
        <f t="shared" si="343"/>
        <v>2535</v>
      </c>
      <c r="AE925" s="166" t="str">
        <f t="shared" si="344"/>
        <v>Release</v>
      </c>
      <c r="AF925" s="127"/>
      <c r="AG925" s="234">
        <v>0</v>
      </c>
      <c r="AH925" s="120"/>
      <c r="AI925" s="238">
        <v>0</v>
      </c>
      <c r="AJ925" s="132"/>
      <c r="AK925" s="151">
        <v>430.8</v>
      </c>
      <c r="AL925" s="154">
        <f t="shared" si="345"/>
        <v>0</v>
      </c>
      <c r="AM925" s="155"/>
      <c r="AN925" s="19">
        <f t="shared" si="331"/>
        <v>0</v>
      </c>
      <c r="AO925" s="118">
        <f>SUMIF('MPG Payment '!E:E,'Shayak Income '!D925,'MPG Payment '!AJ:AJ)</f>
        <v>0</v>
      </c>
      <c r="AP925" s="19">
        <f t="shared" si="332"/>
        <v>0</v>
      </c>
      <c r="AQ925" s="119">
        <f t="shared" si="346"/>
        <v>0</v>
      </c>
      <c r="AR925" s="91" t="s">
        <v>1168</v>
      </c>
      <c r="AS925" s="91">
        <f t="shared" si="333"/>
        <v>0</v>
      </c>
      <c r="AT925" s="118"/>
      <c r="AU925" s="118"/>
      <c r="AV925" s="118"/>
    </row>
    <row r="926" spans="1:48" s="20" customFormat="1" x14ac:dyDescent="0.25">
      <c r="A926" s="17">
        <f>IFERROR(VLOOKUP(D926,'Monthly Deduction'!$I$3:$J$957,2,0),0)</f>
        <v>0</v>
      </c>
      <c r="B926" s="17">
        <f>IFERROR(VLOOKUP(D926,'Monthly Deduction'!$E$3:$F$957,2,0),0)</f>
        <v>0</v>
      </c>
      <c r="C926" s="17">
        <f t="shared" si="337"/>
        <v>0</v>
      </c>
      <c r="D926" s="41">
        <v>10610035</v>
      </c>
      <c r="E926" s="122" t="str">
        <f>VLOOKUP(D926,'MPG Payment '!$E$3:$G$498218,2,0)</f>
        <v>GOMUKH GARAHI</v>
      </c>
      <c r="F926" s="146">
        <f>IFERROR(_xlfn.XLOOKUP(D926,'Monthly Deduction'!$I$3:$I$957,'Monthly Deduction'!$H$3:$H$957),0)</f>
        <v>0</v>
      </c>
      <c r="G926" s="123" t="str">
        <f>VLOOKUP(D926,'MPG Payment '!$E$3:$G$334579,3,0)</f>
        <v>vlc</v>
      </c>
      <c r="H926" s="124" t="str">
        <f>VLOOKUP(D926,'MPG Payment '!$E$3:$H$334579,4,0)</f>
        <v>Indirect</v>
      </c>
      <c r="I926" s="88">
        <f>INDEX('MPG Payment '!$C:$C,MATCH('Shayak Income '!D926,'MPG Payment '!E:E,0))</f>
        <v>1061</v>
      </c>
      <c r="J926" s="88" t="str">
        <f>INDEX('MPG Payment '!$D:$D,MATCH('Shayak Income '!D926,'MPG Payment '!E:E,0))</f>
        <v>Mahua BMC</v>
      </c>
      <c r="K926" s="125" t="s">
        <v>1323</v>
      </c>
      <c r="L926" s="125">
        <v>46108</v>
      </c>
      <c r="M926" s="126">
        <f>SUMIF('MPG Payment '!$E$3:$E$34579,'Shayak Income '!D926,'MPG Payment '!$I$3:$I$34579)</f>
        <v>1787.4</v>
      </c>
      <c r="N926" s="126">
        <f>SUMIF('MPG Payment '!$E$3:$E$34579,'Shayak Income '!D926,'MPG Payment '!$J$3:$J$34579)</f>
        <v>54657.386442688497</v>
      </c>
      <c r="O926" s="126">
        <f t="shared" si="338"/>
        <v>1340.5500000000002</v>
      </c>
      <c r="P926" s="126">
        <f t="shared" si="339"/>
        <v>1698.03</v>
      </c>
      <c r="Q926" s="126">
        <f>SUMIF('MPG Payment '!$E$3:$E$34579,'Shayak Income '!D926,'MPG Payment '!$S$3:$S$34579)</f>
        <v>0</v>
      </c>
      <c r="R926" s="126">
        <f t="shared" si="340"/>
        <v>1639.7215932806548</v>
      </c>
      <c r="S926" s="126">
        <f t="shared" si="341"/>
        <v>-58.308406719345157</v>
      </c>
      <c r="T926" s="126">
        <f t="shared" si="334"/>
        <v>178.74</v>
      </c>
      <c r="U926" s="127">
        <f>(((IF(K926="New",0,SUMIF('MPG Payment '!$E$3:$E$34579,'Shayak Income '!D926,'MPG Payment '!$AC$3:$AC$34579))))+0)+0</f>
        <v>0</v>
      </c>
      <c r="V926" s="127">
        <f t="shared" si="335"/>
        <v>2860</v>
      </c>
      <c r="W926" s="19">
        <v>0</v>
      </c>
      <c r="X926" s="19">
        <v>0</v>
      </c>
      <c r="Y926" s="128">
        <f>IFERROR(VLOOKUP(D926,'Monthly Deduction'!$M$2:$N$64,2,0),0)</f>
        <v>0</v>
      </c>
      <c r="Z926" s="128">
        <v>0</v>
      </c>
      <c r="AA926" s="126">
        <f>IFERROR(VLOOKUP(D926,'Monthly Deduction'!A:B,2,0),0)</f>
        <v>0</v>
      </c>
      <c r="AB926" s="129">
        <f t="shared" si="342"/>
        <v>2860</v>
      </c>
      <c r="AC926" s="130">
        <v>0</v>
      </c>
      <c r="AD926" s="35">
        <f t="shared" si="343"/>
        <v>2860</v>
      </c>
      <c r="AE926" s="166" t="str">
        <f t="shared" si="344"/>
        <v>Release</v>
      </c>
      <c r="AF926" s="127"/>
      <c r="AG926" s="234">
        <v>0</v>
      </c>
      <c r="AH926" s="120"/>
      <c r="AI926" s="238">
        <v>0</v>
      </c>
      <c r="AJ926" s="132"/>
      <c r="AK926" s="151">
        <v>612.1</v>
      </c>
      <c r="AL926" s="154">
        <f t="shared" si="345"/>
        <v>0</v>
      </c>
      <c r="AM926" s="155"/>
      <c r="AN926" s="19">
        <f t="shared" si="331"/>
        <v>0</v>
      </c>
      <c r="AO926" s="118">
        <f>SUMIF('MPG Payment '!E:E,'Shayak Income '!D926,'MPG Payment '!AJ:AJ)</f>
        <v>0</v>
      </c>
      <c r="AP926" s="19">
        <f t="shared" si="332"/>
        <v>0</v>
      </c>
      <c r="AQ926" s="119">
        <f t="shared" si="346"/>
        <v>0</v>
      </c>
      <c r="AR926" s="91" t="s">
        <v>1168</v>
      </c>
      <c r="AS926" s="91">
        <f t="shared" si="333"/>
        <v>0</v>
      </c>
      <c r="AT926" s="118"/>
      <c r="AU926" s="118"/>
      <c r="AV926" s="118"/>
    </row>
    <row r="927" spans="1:48" s="20" customFormat="1" x14ac:dyDescent="0.25">
      <c r="A927" s="17">
        <f>IFERROR(VLOOKUP(D927,'Monthly Deduction'!$I$3:$J$957,2,0),0)</f>
        <v>0</v>
      </c>
      <c r="B927" s="17">
        <f>IFERROR(VLOOKUP(D927,'Monthly Deduction'!$E$3:$F$957,2,0),0)</f>
        <v>0</v>
      </c>
      <c r="C927" s="17">
        <f t="shared" si="337"/>
        <v>0</v>
      </c>
      <c r="D927" s="41">
        <v>10610036</v>
      </c>
      <c r="E927" s="122" t="str">
        <f>VLOOKUP(D927,'MPG Payment '!$E$3:$G$498218,2,0)</f>
        <v>GOMUKH BAIKUNTHPUR</v>
      </c>
      <c r="F927" s="146">
        <f>IFERROR(_xlfn.XLOOKUP(D927,'Monthly Deduction'!$I$3:$I$957,'Monthly Deduction'!$H$3:$H$957),0)</f>
        <v>0</v>
      </c>
      <c r="G927" s="123" t="str">
        <f>VLOOKUP(D927,'MPG Payment '!$E$3:$G$334579,3,0)</f>
        <v>vlc</v>
      </c>
      <c r="H927" s="124" t="str">
        <f>VLOOKUP(D927,'MPG Payment '!$E$3:$H$334579,4,0)</f>
        <v>Indirect</v>
      </c>
      <c r="I927" s="88">
        <f>INDEX('MPG Payment '!$C:$C,MATCH('Shayak Income '!D927,'MPG Payment '!E:E,0))</f>
        <v>1061</v>
      </c>
      <c r="J927" s="88" t="str">
        <f>INDEX('MPG Payment '!$D:$D,MATCH('Shayak Income '!D927,'MPG Payment '!E:E,0))</f>
        <v>Mahua BMC</v>
      </c>
      <c r="K927" s="125" t="s">
        <v>1323</v>
      </c>
      <c r="L927" s="125">
        <v>46108</v>
      </c>
      <c r="M927" s="126">
        <f>SUMIF('MPG Payment '!$E$3:$E$34579,'Shayak Income '!D927,'MPG Payment '!$I$3:$I$34579)</f>
        <v>529.09999999999991</v>
      </c>
      <c r="N927" s="126">
        <f>SUMIF('MPG Payment '!$E$3:$E$34579,'Shayak Income '!D927,'MPG Payment '!$J$3:$J$34579)</f>
        <v>18823.05287675</v>
      </c>
      <c r="O927" s="126">
        <f t="shared" si="338"/>
        <v>396.82499999999993</v>
      </c>
      <c r="P927" s="126">
        <f t="shared" si="339"/>
        <v>502.64499999999987</v>
      </c>
      <c r="Q927" s="126">
        <f>SUMIF('MPG Payment '!$E$3:$E$34579,'Shayak Income '!D927,'MPG Payment '!$S$3:$S$34579)</f>
        <v>0</v>
      </c>
      <c r="R927" s="126">
        <f t="shared" si="340"/>
        <v>564.69158630250001</v>
      </c>
      <c r="S927" s="126">
        <f t="shared" si="341"/>
        <v>62.046586302500145</v>
      </c>
      <c r="T927" s="126">
        <f t="shared" si="334"/>
        <v>52.91</v>
      </c>
      <c r="U927" s="127">
        <f>(((IF(K927="New",0,SUMIF('MPG Payment '!$E$3:$E$34579,'Shayak Income '!D927,'MPG Payment '!$AC$3:$AC$34579))))+0)+0</f>
        <v>0</v>
      </c>
      <c r="V927" s="127">
        <f t="shared" si="335"/>
        <v>847</v>
      </c>
      <c r="W927" s="19">
        <v>0</v>
      </c>
      <c r="X927" s="19">
        <v>0</v>
      </c>
      <c r="Y927" s="128">
        <f>IFERROR(VLOOKUP(D927,'Monthly Deduction'!$M$2:$N$64,2,0),0)</f>
        <v>0</v>
      </c>
      <c r="Z927" s="128">
        <v>0</v>
      </c>
      <c r="AA927" s="126">
        <f>IFERROR(VLOOKUP(D927,'Monthly Deduction'!A:B,2,0),0)</f>
        <v>0</v>
      </c>
      <c r="AB927" s="129">
        <f t="shared" si="342"/>
        <v>847</v>
      </c>
      <c r="AC927" s="130">
        <v>0</v>
      </c>
      <c r="AD927" s="35">
        <f t="shared" si="343"/>
        <v>847</v>
      </c>
      <c r="AE927" s="166" t="str">
        <f t="shared" si="344"/>
        <v>Release</v>
      </c>
      <c r="AF927" s="127"/>
      <c r="AG927" s="234">
        <v>0</v>
      </c>
      <c r="AH927" s="120"/>
      <c r="AI927" s="238">
        <v>0</v>
      </c>
      <c r="AJ927" s="132"/>
      <c r="AK927" s="151">
        <v>179.49999999999997</v>
      </c>
      <c r="AL927" s="154">
        <f t="shared" si="345"/>
        <v>0</v>
      </c>
      <c r="AM927" s="155"/>
      <c r="AN927" s="19">
        <f t="shared" si="331"/>
        <v>0</v>
      </c>
      <c r="AO927" s="118">
        <f>SUMIF('MPG Payment '!E:E,'Shayak Income '!D927,'MPG Payment '!AJ:AJ)</f>
        <v>0</v>
      </c>
      <c r="AP927" s="19">
        <f t="shared" si="332"/>
        <v>0</v>
      </c>
      <c r="AQ927" s="119">
        <f t="shared" si="346"/>
        <v>0</v>
      </c>
      <c r="AR927" s="91" t="s">
        <v>1168</v>
      </c>
      <c r="AS927" s="91">
        <f t="shared" si="333"/>
        <v>0</v>
      </c>
      <c r="AT927" s="118"/>
      <c r="AU927" s="118"/>
      <c r="AV927" s="118"/>
    </row>
    <row r="928" spans="1:48" s="20" customFormat="1" x14ac:dyDescent="0.25">
      <c r="A928" s="17">
        <f>IFERROR(VLOOKUP(D928,'Monthly Deduction'!$I$3:$J$957,2,0),0)</f>
        <v>0</v>
      </c>
      <c r="B928" s="17">
        <f>IFERROR(VLOOKUP(D928,'Monthly Deduction'!$E$3:$F$957,2,0),0)</f>
        <v>0</v>
      </c>
      <c r="C928" s="17">
        <f t="shared" si="337"/>
        <v>0</v>
      </c>
      <c r="D928" s="41">
        <v>10610038</v>
      </c>
      <c r="E928" s="122" t="str">
        <f>VLOOKUP(D928,'MPG Payment '!$E$3:$G$498218,2,0)</f>
        <v>GOMUKH BAHASHI</v>
      </c>
      <c r="F928" s="146">
        <f>IFERROR(_xlfn.XLOOKUP(D928,'Monthly Deduction'!$I$3:$I$957,'Monthly Deduction'!$H$3:$H$957),0)</f>
        <v>0</v>
      </c>
      <c r="G928" s="123" t="str">
        <f>VLOOKUP(D928,'MPG Payment '!$E$3:$G$334579,3,0)</f>
        <v>vlc</v>
      </c>
      <c r="H928" s="124" t="str">
        <f>VLOOKUP(D928,'MPG Payment '!$E$3:$H$334579,4,0)</f>
        <v>Indirect</v>
      </c>
      <c r="I928" s="88">
        <f>INDEX('MPG Payment '!$C:$C,MATCH('Shayak Income '!D928,'MPG Payment '!E:E,0))</f>
        <v>1061</v>
      </c>
      <c r="J928" s="88" t="str">
        <f>INDEX('MPG Payment '!$D:$D,MATCH('Shayak Income '!D928,'MPG Payment '!E:E,0))</f>
        <v>Mahua BMC</v>
      </c>
      <c r="K928" s="125" t="s">
        <v>1323</v>
      </c>
      <c r="L928" s="125">
        <v>46108</v>
      </c>
      <c r="M928" s="126">
        <f>SUMIF('MPG Payment '!$E$3:$E$34579,'Shayak Income '!D928,'MPG Payment '!$I$3:$I$34579)</f>
        <v>3480.7999999999997</v>
      </c>
      <c r="N928" s="126">
        <f>SUMIF('MPG Payment '!$E$3:$E$34579,'Shayak Income '!D928,'MPG Payment '!$J$3:$J$34579)</f>
        <v>124560.21003697952</v>
      </c>
      <c r="O928" s="126">
        <f t="shared" si="338"/>
        <v>2610.6</v>
      </c>
      <c r="P928" s="126">
        <f t="shared" si="339"/>
        <v>3306.7599999999998</v>
      </c>
      <c r="Q928" s="126">
        <f>SUMIF('MPG Payment '!$E$3:$E$34579,'Shayak Income '!D928,'MPG Payment '!$S$3:$S$34579)</f>
        <v>0</v>
      </c>
      <c r="R928" s="126">
        <f t="shared" si="340"/>
        <v>3736.8063011093855</v>
      </c>
      <c r="S928" s="126">
        <f t="shared" si="341"/>
        <v>430.04630110938569</v>
      </c>
      <c r="T928" s="126">
        <f t="shared" si="334"/>
        <v>348.08</v>
      </c>
      <c r="U928" s="127">
        <f>(((IF(K928="New",0,SUMIF('MPG Payment '!$E$3:$E$34579,'Shayak Income '!D928,'MPG Payment '!$AC$3:$AC$34579))))+0)+0</f>
        <v>0</v>
      </c>
      <c r="V928" s="127">
        <f t="shared" si="335"/>
        <v>5569</v>
      </c>
      <c r="W928" s="19">
        <v>0</v>
      </c>
      <c r="X928" s="19">
        <v>0</v>
      </c>
      <c r="Y928" s="128">
        <f>IFERROR(VLOOKUP(D928,'Monthly Deduction'!$M$2:$N$64,2,0),0)</f>
        <v>0</v>
      </c>
      <c r="Z928" s="128">
        <v>0</v>
      </c>
      <c r="AA928" s="126">
        <f>IFERROR(VLOOKUP(D928,'Monthly Deduction'!A:B,2,0),0)</f>
        <v>0</v>
      </c>
      <c r="AB928" s="129">
        <f t="shared" si="342"/>
        <v>5569</v>
      </c>
      <c r="AC928" s="130">
        <v>0</v>
      </c>
      <c r="AD928" s="35">
        <f t="shared" si="343"/>
        <v>5569</v>
      </c>
      <c r="AE928" s="166" t="str">
        <f t="shared" si="344"/>
        <v>Release</v>
      </c>
      <c r="AF928" s="127"/>
      <c r="AG928" s="234">
        <v>0</v>
      </c>
      <c r="AH928" s="120"/>
      <c r="AI928" s="238">
        <v>0</v>
      </c>
      <c r="AJ928" s="132"/>
      <c r="AK928" s="151">
        <v>858.30000000000007</v>
      </c>
      <c r="AL928" s="154">
        <f t="shared" si="345"/>
        <v>0</v>
      </c>
      <c r="AM928" s="155"/>
      <c r="AN928" s="19">
        <f t="shared" si="331"/>
        <v>0</v>
      </c>
      <c r="AO928" s="118">
        <f>SUMIF('MPG Payment '!E:E,'Shayak Income '!D928,'MPG Payment '!AJ:AJ)</f>
        <v>0</v>
      </c>
      <c r="AP928" s="19">
        <f t="shared" si="332"/>
        <v>0</v>
      </c>
      <c r="AQ928" s="119">
        <f t="shared" si="346"/>
        <v>0</v>
      </c>
      <c r="AR928" s="91" t="s">
        <v>1168</v>
      </c>
      <c r="AS928" s="91">
        <f t="shared" si="333"/>
        <v>0</v>
      </c>
      <c r="AT928" s="118"/>
      <c r="AU928" s="118"/>
      <c r="AV928" s="118"/>
    </row>
    <row r="929" spans="1:48" s="20" customFormat="1" x14ac:dyDescent="0.25">
      <c r="A929" s="17">
        <f>IFERROR(VLOOKUP(D929,'Monthly Deduction'!$I$3:$J$957,2,0),0)</f>
        <v>0</v>
      </c>
      <c r="B929" s="17">
        <f>IFERROR(VLOOKUP(D929,'Monthly Deduction'!$E$3:$F$957,2,0),0)</f>
        <v>0</v>
      </c>
      <c r="C929" s="17">
        <f t="shared" si="337"/>
        <v>0</v>
      </c>
      <c r="D929" s="41">
        <v>10610039</v>
      </c>
      <c r="E929" s="122" t="str">
        <f>VLOOKUP(D929,'MPG Payment '!$E$3:$G$498218,2,0)</f>
        <v>GOMUKH BAKHRI</v>
      </c>
      <c r="F929" s="146">
        <f>IFERROR(_xlfn.XLOOKUP(D929,'Monthly Deduction'!$I$3:$I$957,'Monthly Deduction'!$H$3:$H$957),0)</f>
        <v>0</v>
      </c>
      <c r="G929" s="123" t="str">
        <f>VLOOKUP(D929,'MPG Payment '!$E$3:$G$334579,3,0)</f>
        <v>vlc</v>
      </c>
      <c r="H929" s="124" t="str">
        <f>VLOOKUP(D929,'MPG Payment '!$E$3:$H$334579,4,0)</f>
        <v>Indirect</v>
      </c>
      <c r="I929" s="88">
        <f>INDEX('MPG Payment '!$C:$C,MATCH('Shayak Income '!D929,'MPG Payment '!E:E,0))</f>
        <v>1061</v>
      </c>
      <c r="J929" s="88" t="str">
        <f>INDEX('MPG Payment '!$D:$D,MATCH('Shayak Income '!D929,'MPG Payment '!E:E,0))</f>
        <v>Mahua BMC</v>
      </c>
      <c r="K929" s="125" t="s">
        <v>1323</v>
      </c>
      <c r="L929" s="125">
        <v>46108</v>
      </c>
      <c r="M929" s="126">
        <f>SUMIF('MPG Payment '!$E$3:$E$34579,'Shayak Income '!D929,'MPG Payment '!$I$3:$I$34579)</f>
        <v>768.4</v>
      </c>
      <c r="N929" s="126">
        <f>SUMIF('MPG Payment '!$E$3:$E$34579,'Shayak Income '!D929,'MPG Payment '!$J$3:$J$34579)</f>
        <v>28187.77</v>
      </c>
      <c r="O929" s="126">
        <f t="shared" si="338"/>
        <v>576.29999999999995</v>
      </c>
      <c r="P929" s="126">
        <f t="shared" si="339"/>
        <v>729.9799999999999</v>
      </c>
      <c r="Q929" s="126">
        <f>SUMIF('MPG Payment '!$E$3:$E$34579,'Shayak Income '!D929,'MPG Payment '!$S$3:$S$34579)</f>
        <v>0</v>
      </c>
      <c r="R929" s="126">
        <f t="shared" si="340"/>
        <v>845.63310000000001</v>
      </c>
      <c r="S929" s="126">
        <f t="shared" si="341"/>
        <v>115.65310000000011</v>
      </c>
      <c r="T929" s="126">
        <f t="shared" si="334"/>
        <v>76.84</v>
      </c>
      <c r="U929" s="127">
        <f>(((IF(K929="New",0,SUMIF('MPG Payment '!$E$3:$E$34579,'Shayak Income '!D929,'MPG Payment '!$AC$3:$AC$34579))))+0)+0</f>
        <v>0</v>
      </c>
      <c r="V929" s="127">
        <f t="shared" si="335"/>
        <v>1229</v>
      </c>
      <c r="W929" s="19">
        <v>0</v>
      </c>
      <c r="X929" s="19">
        <v>0</v>
      </c>
      <c r="Y929" s="128">
        <f>IFERROR(VLOOKUP(D929,'Monthly Deduction'!$M$2:$N$64,2,0),0)</f>
        <v>0</v>
      </c>
      <c r="Z929" s="128">
        <v>0</v>
      </c>
      <c r="AA929" s="126">
        <f>IFERROR(VLOOKUP(D929,'Monthly Deduction'!A:B,2,0),0)</f>
        <v>0</v>
      </c>
      <c r="AB929" s="129">
        <f t="shared" si="342"/>
        <v>1229</v>
      </c>
      <c r="AC929" s="130">
        <v>0</v>
      </c>
      <c r="AD929" s="35">
        <f t="shared" si="343"/>
        <v>1229</v>
      </c>
      <c r="AE929" s="166" t="str">
        <f t="shared" si="344"/>
        <v>Release</v>
      </c>
      <c r="AF929" s="127"/>
      <c r="AG929" s="18">
        <v>0</v>
      </c>
      <c r="AH929" s="132" t="s">
        <v>1648</v>
      </c>
      <c r="AI929" s="238">
        <v>0</v>
      </c>
      <c r="AJ929" s="132" t="s">
        <v>68</v>
      </c>
      <c r="AK929" s="151">
        <v>0</v>
      </c>
      <c r="AL929" s="154">
        <f t="shared" si="345"/>
        <v>0</v>
      </c>
      <c r="AM929" s="155"/>
      <c r="AN929" s="19">
        <f t="shared" si="331"/>
        <v>0</v>
      </c>
      <c r="AO929" s="118">
        <f>SUMIF('MPG Payment '!E:E,'Shayak Income '!D929,'MPG Payment '!AJ:AJ)</f>
        <v>0</v>
      </c>
      <c r="AP929" s="19">
        <f t="shared" si="332"/>
        <v>0</v>
      </c>
      <c r="AQ929" s="119">
        <f t="shared" si="346"/>
        <v>0</v>
      </c>
      <c r="AR929" s="91" t="s">
        <v>1168</v>
      </c>
      <c r="AS929" s="91">
        <f t="shared" si="333"/>
        <v>0</v>
      </c>
      <c r="AT929" s="118"/>
      <c r="AU929" s="118"/>
      <c r="AV929" s="118"/>
    </row>
    <row r="930" spans="1:48" s="20" customFormat="1" x14ac:dyDescent="0.25">
      <c r="A930" s="17">
        <f>IFERROR(VLOOKUP(D930,'Monthly Deduction'!$I$3:$J$957,2,0),0)</f>
        <v>85000</v>
      </c>
      <c r="B930" s="17">
        <f>IFERROR(VLOOKUP(D930,'Monthly Deduction'!$E$3:$F$957,2,0),0)</f>
        <v>0</v>
      </c>
      <c r="C930" s="17">
        <f t="shared" si="337"/>
        <v>85000</v>
      </c>
      <c r="D930" s="41">
        <v>10630002</v>
      </c>
      <c r="E930" s="122" t="str">
        <f>VLOOKUP(D930,'MPG Payment '!$E$3:$G$498218,2,0)</f>
        <v>Karua</v>
      </c>
      <c r="F930" s="146">
        <f>IFERROR(_xlfn.XLOOKUP(D930,'Monthly Deduction'!$I$3:$I$957,'Monthly Deduction'!$H$3:$H$957),0)</f>
        <v>0</v>
      </c>
      <c r="G930" s="123" t="str">
        <f>VLOOKUP(D930,'MPG Payment '!$E$3:$G$334579,3,0)</f>
        <v>MPG</v>
      </c>
      <c r="H930" s="124" t="str">
        <f>VLOOKUP(D930,'MPG Payment '!$E$3:$H$334579,4,0)</f>
        <v>Direct</v>
      </c>
      <c r="I930" s="88">
        <f>INDEX('MPG Payment '!$C:$C,MATCH('Shayak Income '!D930,'MPG Payment '!E:E,0))</f>
        <v>1057</v>
      </c>
      <c r="J930" s="88" t="str">
        <f>INDEX('MPG Payment '!$D:$D,MATCH('Shayak Income '!D930,'MPG Payment '!E:E,0))</f>
        <v>Warisnagar</v>
      </c>
      <c r="K930" s="125" t="s">
        <v>1323</v>
      </c>
      <c r="L930" s="125">
        <v>46109</v>
      </c>
      <c r="M930" s="126">
        <f>SUMIF('MPG Payment '!$E$3:$E$34579,'Shayak Income '!D930,'MPG Payment '!$I$3:$I$34579)</f>
        <v>638.80000000000007</v>
      </c>
      <c r="N930" s="126">
        <f>SUMIF('MPG Payment '!$E$3:$E$34579,'Shayak Income '!D930,'MPG Payment '!$J$3:$J$34579)</f>
        <v>27183.724622695005</v>
      </c>
      <c r="O930" s="126">
        <f t="shared" si="338"/>
        <v>479.1</v>
      </c>
      <c r="P930" s="126">
        <f t="shared" si="339"/>
        <v>606.86</v>
      </c>
      <c r="Q930" s="126">
        <f>SUMIF('MPG Payment '!$E$3:$E$34579,'Shayak Income '!D930,'MPG Payment '!$S$3:$S$34579)</f>
        <v>0</v>
      </c>
      <c r="R930" s="126">
        <f t="shared" si="340"/>
        <v>815.51173868085016</v>
      </c>
      <c r="S930" s="126">
        <f t="shared" si="341"/>
        <v>208.65173868085014</v>
      </c>
      <c r="T930" s="126">
        <f t="shared" si="334"/>
        <v>63.88000000000001</v>
      </c>
      <c r="U930" s="127">
        <f>(((IF(K930="New",0,SUMIF('MPG Payment '!$E$3:$E$34579,'Shayak Income '!D930,'MPG Payment '!$AC$3:$AC$34579))))+0)+0</f>
        <v>0</v>
      </c>
      <c r="V930" s="127">
        <f t="shared" si="335"/>
        <v>1022</v>
      </c>
      <c r="W930" s="19">
        <v>0</v>
      </c>
      <c r="X930" s="19">
        <v>0</v>
      </c>
      <c r="Y930" s="128">
        <f>IFERROR(VLOOKUP(D930,'Monthly Deduction'!$M$2:$N$64,2,0),0)</f>
        <v>0</v>
      </c>
      <c r="Z930" s="128">
        <v>0</v>
      </c>
      <c r="AA930" s="126">
        <f>IFERROR(VLOOKUP(D930,'Monthly Deduction'!A:B,2,0),0)</f>
        <v>0</v>
      </c>
      <c r="AB930" s="129">
        <f t="shared" si="342"/>
        <v>1022</v>
      </c>
      <c r="AC930" s="130">
        <f t="shared" ref="AC930:AC933" si="348">AB930</f>
        <v>1022</v>
      </c>
      <c r="AD930" s="35">
        <f t="shared" si="343"/>
        <v>0</v>
      </c>
      <c r="AE930" s="166" t="str">
        <f t="shared" si="344"/>
        <v>Yes</v>
      </c>
      <c r="AF930" s="127"/>
      <c r="AG930" s="18">
        <v>0</v>
      </c>
      <c r="AH930" s="120" t="s">
        <v>1650</v>
      </c>
      <c r="AI930" s="238">
        <v>20000</v>
      </c>
      <c r="AJ930" s="132"/>
      <c r="AK930" s="151">
        <v>207.3</v>
      </c>
      <c r="AL930" s="154">
        <f t="shared" si="345"/>
        <v>0</v>
      </c>
      <c r="AM930" s="155"/>
      <c r="AN930" s="19">
        <f t="shared" si="331"/>
        <v>1861</v>
      </c>
      <c r="AO930" s="118">
        <f>SUMIF('MPG Payment '!E:E,'Shayak Income '!D930,'MPG Payment '!AJ:AJ)</f>
        <v>0</v>
      </c>
      <c r="AP930" s="19">
        <f t="shared" si="332"/>
        <v>0</v>
      </c>
      <c r="AQ930" s="119">
        <f t="shared" si="346"/>
        <v>0</v>
      </c>
      <c r="AR930" s="91" t="s">
        <v>1168</v>
      </c>
      <c r="AS930" s="91">
        <f t="shared" si="333"/>
        <v>0</v>
      </c>
      <c r="AT930" s="118"/>
      <c r="AU930" s="118"/>
      <c r="AV930" s="118"/>
    </row>
    <row r="931" spans="1:48" s="20" customFormat="1" x14ac:dyDescent="0.25">
      <c r="A931" s="17">
        <f>IFERROR(VLOOKUP(D931,'Monthly Deduction'!$I$3:$J$957,2,0),0)</f>
        <v>85000</v>
      </c>
      <c r="B931" s="17">
        <f>IFERROR(VLOOKUP(D931,'Monthly Deduction'!$E$3:$F$957,2,0),0)</f>
        <v>0</v>
      </c>
      <c r="C931" s="17">
        <f t="shared" si="337"/>
        <v>85000</v>
      </c>
      <c r="D931" s="41">
        <v>10640009</v>
      </c>
      <c r="E931" s="122" t="str">
        <f>VLOOKUP(D931,'MPG Payment '!$E$3:$G$498218,2,0)</f>
        <v>SUKUMARPUR</v>
      </c>
      <c r="F931" s="146">
        <f>IFERROR(_xlfn.XLOOKUP(D931,'Monthly Deduction'!$I$3:$I$957,'Monthly Deduction'!$H$3:$H$957),0)</f>
        <v>0</v>
      </c>
      <c r="G931" s="123" t="str">
        <f>VLOOKUP(D931,'MPG Payment '!$E$3:$G$334579,3,0)</f>
        <v>MPG</v>
      </c>
      <c r="H931" s="124" t="str">
        <f>VLOOKUP(D931,'MPG Payment '!$E$3:$H$334579,4,0)</f>
        <v>Direct</v>
      </c>
      <c r="I931" s="88">
        <f>INDEX('MPG Payment '!$C:$C,MATCH('Shayak Income '!D931,'MPG Payment '!E:E,0))</f>
        <v>1062</v>
      </c>
      <c r="J931" s="88" t="str">
        <f>INDEX('MPG Payment '!$D:$D,MATCH('Shayak Income '!D931,'MPG Payment '!E:E,0))</f>
        <v>Singhia BMC</v>
      </c>
      <c r="K931" s="125" t="s">
        <v>1323</v>
      </c>
      <c r="L931" s="125">
        <v>46112</v>
      </c>
      <c r="M931" s="126">
        <f>SUMIF('MPG Payment '!$E$3:$E$34579,'Shayak Income '!D931,'MPG Payment '!$I$3:$I$34579)</f>
        <v>1678.1299999999999</v>
      </c>
      <c r="N931" s="126">
        <f>SUMIF('MPG Payment '!$E$3:$E$34579,'Shayak Income '!D931,'MPG Payment '!$J$3:$J$34579)</f>
        <v>80725.367818431303</v>
      </c>
      <c r="O931" s="126">
        <f t="shared" si="338"/>
        <v>1258.5974999999999</v>
      </c>
      <c r="P931" s="126">
        <f t="shared" si="339"/>
        <v>1594.2234999999998</v>
      </c>
      <c r="Q931" s="126">
        <f>SUMIF('MPG Payment '!$E$3:$E$34579,'Shayak Income '!D931,'MPG Payment '!$S$3:$S$34579)</f>
        <v>0</v>
      </c>
      <c r="R931" s="126">
        <f t="shared" si="340"/>
        <v>2421.7610345529388</v>
      </c>
      <c r="S931" s="126">
        <f t="shared" si="341"/>
        <v>827.53753455293895</v>
      </c>
      <c r="T931" s="126">
        <f t="shared" si="334"/>
        <v>167.81299999999999</v>
      </c>
      <c r="U931" s="127">
        <f>(((IF(K931="New",0,SUMIF('MPG Payment '!$E$3:$E$34579,'Shayak Income '!D931,'MPG Payment '!$AC$3:$AC$34579))))+0)+0</f>
        <v>0</v>
      </c>
      <c r="V931" s="127">
        <f t="shared" si="335"/>
        <v>2685</v>
      </c>
      <c r="W931" s="19">
        <v>0</v>
      </c>
      <c r="X931" s="19">
        <v>0</v>
      </c>
      <c r="Y931" s="128">
        <f>IFERROR(VLOOKUP(D931,'Monthly Deduction'!$M$2:$N$64,2,0),0)</f>
        <v>0</v>
      </c>
      <c r="Z931" s="128">
        <v>0</v>
      </c>
      <c r="AA931" s="126">
        <f>IFERROR(VLOOKUP(D931,'Monthly Deduction'!A:B,2,0),0)</f>
        <v>0</v>
      </c>
      <c r="AB931" s="129">
        <f t="shared" si="342"/>
        <v>2685</v>
      </c>
      <c r="AC931" s="130">
        <f t="shared" si="348"/>
        <v>2685</v>
      </c>
      <c r="AD931" s="35">
        <f t="shared" si="343"/>
        <v>0</v>
      </c>
      <c r="AE931" s="166" t="str">
        <f t="shared" si="344"/>
        <v>Yes</v>
      </c>
      <c r="AF931" s="127"/>
      <c r="AG931" s="18">
        <v>0</v>
      </c>
      <c r="AH931" s="120" t="s">
        <v>1650</v>
      </c>
      <c r="AI931" s="238">
        <v>20000</v>
      </c>
      <c r="AJ931" s="132"/>
      <c r="AK931" s="151">
        <v>485.22999999999996</v>
      </c>
      <c r="AL931" s="154">
        <f t="shared" si="345"/>
        <v>0</v>
      </c>
      <c r="AM931" s="155"/>
      <c r="AN931" s="19">
        <f t="shared" si="331"/>
        <v>1861</v>
      </c>
      <c r="AO931" s="118">
        <f>SUMIF('MPG Payment '!E:E,'Shayak Income '!D931,'MPG Payment '!AJ:AJ)</f>
        <v>0</v>
      </c>
      <c r="AP931" s="19">
        <f t="shared" si="332"/>
        <v>0</v>
      </c>
      <c r="AQ931" s="119">
        <f t="shared" si="346"/>
        <v>0</v>
      </c>
      <c r="AR931" s="91" t="s">
        <v>1168</v>
      </c>
      <c r="AS931" s="91">
        <f t="shared" si="333"/>
        <v>0</v>
      </c>
      <c r="AT931" s="118"/>
      <c r="AU931" s="118"/>
      <c r="AV931" s="118"/>
    </row>
    <row r="932" spans="1:48" s="20" customFormat="1" x14ac:dyDescent="0.25">
      <c r="A932" s="17">
        <f>IFERROR(VLOOKUP(D932,'Monthly Deduction'!$I$3:$J$957,2,0),0)</f>
        <v>70000</v>
      </c>
      <c r="B932" s="17">
        <f>IFERROR(VLOOKUP(D932,'Monthly Deduction'!$E$3:$F$957,2,0),0)</f>
        <v>0</v>
      </c>
      <c r="C932" s="17">
        <f t="shared" si="337"/>
        <v>70000</v>
      </c>
      <c r="D932" s="41">
        <v>10650004</v>
      </c>
      <c r="E932" s="122" t="str">
        <f>VLOOKUP(D932,'MPG Payment '!$E$3:$G$498218,2,0)</f>
        <v>Gomukh KARRAKH</v>
      </c>
      <c r="F932" s="146">
        <f>IFERROR(_xlfn.XLOOKUP(D932,'Monthly Deduction'!$I$3:$I$957,'Monthly Deduction'!$H$3:$H$957),0)</f>
        <v>0</v>
      </c>
      <c r="G932" s="123" t="str">
        <f>VLOOKUP(D932,'MPG Payment '!$E$3:$G$334579,3,0)</f>
        <v>MPG</v>
      </c>
      <c r="H932" s="124" t="str">
        <f>VLOOKUP(D932,'MPG Payment '!$E$3:$H$334579,4,0)</f>
        <v>Direct</v>
      </c>
      <c r="I932" s="88">
        <f>INDEX('MPG Payment '!$C:$C,MATCH('Shayak Income '!D932,'MPG Payment '!E:E,0))</f>
        <v>1065</v>
      </c>
      <c r="J932" s="88" t="str">
        <f>INDEX('MPG Payment '!$D:$D,MATCH('Shayak Income '!D932,'MPG Payment '!E:E,0))</f>
        <v>Bachhwara BMC</v>
      </c>
      <c r="K932" s="125" t="s">
        <v>1323</v>
      </c>
      <c r="L932" s="125">
        <v>46112</v>
      </c>
      <c r="M932" s="126">
        <f>SUMIF('MPG Payment '!$E$3:$E$34579,'Shayak Income '!D932,'MPG Payment '!$I$3:$I$34579)</f>
        <v>1578.6</v>
      </c>
      <c r="N932" s="126">
        <f>SUMIF('MPG Payment '!$E$3:$E$34579,'Shayak Income '!D932,'MPG Payment '!$J$3:$J$34579)</f>
        <v>61276.036088320005</v>
      </c>
      <c r="O932" s="126">
        <f t="shared" si="338"/>
        <v>1183.9499999999998</v>
      </c>
      <c r="P932" s="126">
        <f t="shared" si="339"/>
        <v>1499.6699999999998</v>
      </c>
      <c r="Q932" s="126">
        <f>SUMIF('MPG Payment '!$E$3:$E$34579,'Shayak Income '!D932,'MPG Payment '!$S$3:$S$34579)</f>
        <v>0</v>
      </c>
      <c r="R932" s="126">
        <f t="shared" si="340"/>
        <v>1838.2810826496</v>
      </c>
      <c r="S932" s="126">
        <f t="shared" si="341"/>
        <v>338.61108264960012</v>
      </c>
      <c r="T932" s="126">
        <f t="shared" si="334"/>
        <v>157.86000000000001</v>
      </c>
      <c r="U932" s="127">
        <f>(((IF(K932="New",0,SUMIF('MPG Payment '!$E$3:$E$34579,'Shayak Income '!D932,'MPG Payment '!$AC$3:$AC$34579))))+0)+0</f>
        <v>0</v>
      </c>
      <c r="V932" s="127">
        <f t="shared" si="335"/>
        <v>2526</v>
      </c>
      <c r="W932" s="19">
        <v>0</v>
      </c>
      <c r="X932" s="19">
        <v>0</v>
      </c>
      <c r="Y932" s="128">
        <f>IFERROR(VLOOKUP(D932,'Monthly Deduction'!$M$2:$N$64,2,0),0)</f>
        <v>0</v>
      </c>
      <c r="Z932" s="128">
        <v>0</v>
      </c>
      <c r="AA932" s="126">
        <f>IFERROR(VLOOKUP(D932,'Monthly Deduction'!A:B,2,0),0)</f>
        <v>0</v>
      </c>
      <c r="AB932" s="129">
        <f t="shared" si="342"/>
        <v>2526</v>
      </c>
      <c r="AC932" s="130">
        <f t="shared" si="348"/>
        <v>2526</v>
      </c>
      <c r="AD932" s="35">
        <f t="shared" si="343"/>
        <v>0</v>
      </c>
      <c r="AE932" s="166" t="str">
        <f t="shared" si="344"/>
        <v>Yes</v>
      </c>
      <c r="AF932" s="127"/>
      <c r="AG932" s="18">
        <v>0</v>
      </c>
      <c r="AH932" s="120" t="s">
        <v>1650</v>
      </c>
      <c r="AI932" s="238">
        <v>5000</v>
      </c>
      <c r="AJ932" s="132"/>
      <c r="AK932" s="151">
        <v>450.60000000000008</v>
      </c>
      <c r="AL932" s="154">
        <f t="shared" si="345"/>
        <v>0</v>
      </c>
      <c r="AM932" s="155"/>
      <c r="AN932" s="19">
        <f t="shared" si="331"/>
        <v>1861</v>
      </c>
      <c r="AO932" s="118">
        <f>SUMIF('MPG Payment '!E:E,'Shayak Income '!D932,'MPG Payment '!AJ:AJ)</f>
        <v>0</v>
      </c>
      <c r="AP932" s="19">
        <f t="shared" si="332"/>
        <v>0</v>
      </c>
      <c r="AQ932" s="119">
        <f t="shared" si="346"/>
        <v>0</v>
      </c>
      <c r="AR932" s="91" t="s">
        <v>1168</v>
      </c>
      <c r="AS932" s="91">
        <f t="shared" si="333"/>
        <v>0</v>
      </c>
      <c r="AT932" s="118"/>
      <c r="AU932" s="118"/>
      <c r="AV932" s="118"/>
    </row>
    <row r="933" spans="1:48" s="20" customFormat="1" x14ac:dyDescent="0.25">
      <c r="A933" s="17">
        <f>IFERROR(VLOOKUP(D933,'Monthly Deduction'!$I$3:$J$957,2,0),0)</f>
        <v>0</v>
      </c>
      <c r="B933" s="17">
        <f>IFERROR(VLOOKUP(D933,'Monthly Deduction'!$E$3:$F$957,2,0),0)</f>
        <v>0</v>
      </c>
      <c r="C933" s="17">
        <f t="shared" si="337"/>
        <v>0</v>
      </c>
      <c r="D933" s="41">
        <v>10060132</v>
      </c>
      <c r="E933" s="122" t="str">
        <f>VLOOKUP(D933,'MPG Payment '!$E$3:$G$498218,2,0)</f>
        <v>GOMUKH LOKDHANI</v>
      </c>
      <c r="F933" s="146">
        <f>IFERROR(_xlfn.XLOOKUP(D933,'Monthly Deduction'!$I$3:$I$957,'Monthly Deduction'!$H$3:$H$957),0)</f>
        <v>0</v>
      </c>
      <c r="G933" s="123" t="str">
        <f>VLOOKUP(D933,'MPG Payment '!$E$3:$G$334579,3,0)</f>
        <v>vlc</v>
      </c>
      <c r="H933" s="124" t="str">
        <f>VLOOKUP(D933,'MPG Payment '!$E$3:$H$334579,4,0)</f>
        <v>Indirect</v>
      </c>
      <c r="I933" s="88">
        <f>INDEX('MPG Payment '!$C:$C,MATCH('Shayak Income '!D933,'MPG Payment '!E:E,0))</f>
        <v>1006</v>
      </c>
      <c r="J933" s="88" t="str">
        <f>INDEX('MPG Payment '!$D:$D,MATCH('Shayak Income '!D933,'MPG Payment '!E:E,0))</f>
        <v>Sonvarsha</v>
      </c>
      <c r="K933" s="125" t="s">
        <v>1323</v>
      </c>
      <c r="L933" s="125">
        <v>46121</v>
      </c>
      <c r="M933" s="126">
        <f>SUMIF('MPG Payment '!$E$3:$E$34579,'Shayak Income '!D933,'MPG Payment '!$I$3:$I$34579)</f>
        <v>247.9</v>
      </c>
      <c r="N933" s="126">
        <f>SUMIF('MPG Payment '!$E$3:$E$34579,'Shayak Income '!D933,'MPG Payment '!$J$3:$J$34579)</f>
        <v>9362.9399999999987</v>
      </c>
      <c r="O933" s="126">
        <f t="shared" si="338"/>
        <v>185.92500000000001</v>
      </c>
      <c r="P933" s="126">
        <f t="shared" si="339"/>
        <v>235.505</v>
      </c>
      <c r="Q933" s="126">
        <f>SUMIF('MPG Payment '!$E$3:$E$34579,'Shayak Income '!D933,'MPG Payment '!$S$3:$S$34579)</f>
        <v>0</v>
      </c>
      <c r="R933" s="126">
        <f t="shared" si="340"/>
        <v>280.88819999999993</v>
      </c>
      <c r="S933" s="126">
        <f t="shared" si="341"/>
        <v>45.383199999999931</v>
      </c>
      <c r="T933" s="126">
        <f t="shared" si="334"/>
        <v>24.790000000000003</v>
      </c>
      <c r="U933" s="127">
        <f>(((IF(K933="New",0,SUMIF('MPG Payment '!$E$3:$E$34579,'Shayak Income '!D933,'MPG Payment '!$AC$3:$AC$34579))))+0)+0</f>
        <v>0</v>
      </c>
      <c r="V933" s="127">
        <f t="shared" si="335"/>
        <v>397</v>
      </c>
      <c r="W933" s="19">
        <v>0</v>
      </c>
      <c r="X933" s="19">
        <v>0</v>
      </c>
      <c r="Y933" s="128">
        <f>IFERROR(VLOOKUP(D933,'Monthly Deduction'!$M$2:$N$64,2,0),0)</f>
        <v>0</v>
      </c>
      <c r="Z933" s="128">
        <v>0</v>
      </c>
      <c r="AA933" s="126">
        <f>IFERROR(VLOOKUP(D933,'Monthly Deduction'!A:B,2,0),0)</f>
        <v>0</v>
      </c>
      <c r="AB933" s="129">
        <f t="shared" si="342"/>
        <v>397</v>
      </c>
      <c r="AC933" s="130">
        <f t="shared" si="348"/>
        <v>397</v>
      </c>
      <c r="AD933" s="35">
        <f t="shared" si="343"/>
        <v>0</v>
      </c>
      <c r="AE933" s="166" t="str">
        <f t="shared" si="344"/>
        <v>Yes</v>
      </c>
      <c r="AF933" s="127"/>
      <c r="AG933" s="18">
        <v>0</v>
      </c>
      <c r="AH933" s="132" t="s">
        <v>1648</v>
      </c>
      <c r="AI933" s="238">
        <v>0</v>
      </c>
      <c r="AJ933" s="132"/>
      <c r="AK933" s="151">
        <v>0</v>
      </c>
      <c r="AL933" s="154">
        <f t="shared" si="345"/>
        <v>0</v>
      </c>
      <c r="AM933" s="155"/>
      <c r="AN933" s="19">
        <f t="shared" si="331"/>
        <v>0</v>
      </c>
      <c r="AO933" s="118">
        <f>SUMIF('MPG Payment '!E:E,'Shayak Income '!D933,'MPG Payment '!AJ:AJ)</f>
        <v>0</v>
      </c>
      <c r="AP933" s="19">
        <f t="shared" si="332"/>
        <v>0</v>
      </c>
      <c r="AQ933" s="119">
        <f t="shared" si="346"/>
        <v>0</v>
      </c>
      <c r="AR933" s="91" t="s">
        <v>1168</v>
      </c>
      <c r="AS933" s="91">
        <f t="shared" si="333"/>
        <v>0</v>
      </c>
      <c r="AT933" s="118"/>
      <c r="AU933" s="118"/>
      <c r="AV933" s="118"/>
    </row>
    <row r="934" spans="1:48" s="20" customFormat="1" x14ac:dyDescent="0.25">
      <c r="A934" s="17">
        <f>IFERROR(VLOOKUP(D934,'Monthly Deduction'!$I$3:$J$957,2,0),0)</f>
        <v>0</v>
      </c>
      <c r="B934" s="17">
        <f>IFERROR(VLOOKUP(D934,'Monthly Deduction'!$E$3:$F$957,2,0),0)</f>
        <v>0</v>
      </c>
      <c r="C934" s="17">
        <f t="shared" si="337"/>
        <v>0</v>
      </c>
      <c r="D934" s="41">
        <v>10130119</v>
      </c>
      <c r="E934" s="122" t="str">
        <f>VLOOKUP(D934,'MPG Payment '!$E$3:$G$498218,2,0)</f>
        <v>GOMUKH BAKHRI</v>
      </c>
      <c r="F934" s="146">
        <f>IFERROR(_xlfn.XLOOKUP(D934,'Monthly Deduction'!$I$3:$I$957,'Monthly Deduction'!$H$3:$H$957),0)</f>
        <v>0</v>
      </c>
      <c r="G934" s="123" t="str">
        <f>VLOOKUP(D934,'MPG Payment '!$E$3:$G$334579,3,0)</f>
        <v>vlc</v>
      </c>
      <c r="H934" s="124" t="str">
        <f>VLOOKUP(D934,'MPG Payment '!$E$3:$H$334579,4,0)</f>
        <v>Indirect</v>
      </c>
      <c r="I934" s="88">
        <f>INDEX('MPG Payment '!$C:$C,MATCH('Shayak Income '!D934,'MPG Payment '!E:E,0))</f>
        <v>1013</v>
      </c>
      <c r="J934" s="88" t="str">
        <f>INDEX('MPG Payment '!$D:$D,MATCH('Shayak Income '!D934,'MPG Payment '!E:E,0))</f>
        <v>Musrigharari</v>
      </c>
      <c r="K934" s="125" t="s">
        <v>1323</v>
      </c>
      <c r="L934" s="125">
        <v>46120</v>
      </c>
      <c r="M934" s="126">
        <f>SUMIF('MPG Payment '!$E$3:$E$34579,'Shayak Income '!D934,'MPG Payment '!$I$3:$I$34579)</f>
        <v>28.1</v>
      </c>
      <c r="N934" s="126">
        <f>SUMIF('MPG Payment '!$E$3:$E$34579,'Shayak Income '!D934,'MPG Payment '!$J$3:$J$34579)</f>
        <v>1072.2911472000003</v>
      </c>
      <c r="O934" s="126">
        <f t="shared" si="338"/>
        <v>21.075000000000003</v>
      </c>
      <c r="P934" s="126">
        <f t="shared" si="339"/>
        <v>26.695</v>
      </c>
      <c r="Q934" s="126">
        <f>SUMIF('MPG Payment '!$E$3:$E$34579,'Shayak Income '!D934,'MPG Payment '!$S$3:$S$34579)</f>
        <v>0</v>
      </c>
      <c r="R934" s="126">
        <f t="shared" si="340"/>
        <v>32.168734416000007</v>
      </c>
      <c r="S934" s="126">
        <f t="shared" si="341"/>
        <v>5.4737344160000063</v>
      </c>
      <c r="T934" s="126">
        <f t="shared" si="334"/>
        <v>2.8100000000000005</v>
      </c>
      <c r="U934" s="127">
        <f>(((IF(K934="New",0,SUMIF('MPG Payment '!$E$3:$E$34579,'Shayak Income '!D934,'MPG Payment '!$AC$3:$AC$34579))))+0)+0</f>
        <v>0</v>
      </c>
      <c r="V934" s="127">
        <f t="shared" si="335"/>
        <v>45</v>
      </c>
      <c r="W934" s="19">
        <v>0</v>
      </c>
      <c r="X934" s="19">
        <v>0</v>
      </c>
      <c r="Y934" s="128">
        <f>IFERROR(VLOOKUP(D934,'Monthly Deduction'!$M$2:$N$64,2,0),0)</f>
        <v>0</v>
      </c>
      <c r="Z934" s="128">
        <v>0</v>
      </c>
      <c r="AA934" s="126">
        <f>IFERROR(VLOOKUP(D934,'Monthly Deduction'!A:B,2,0),0)</f>
        <v>0</v>
      </c>
      <c r="AB934" s="129">
        <f t="shared" si="342"/>
        <v>45</v>
      </c>
      <c r="AC934" s="130">
        <v>0</v>
      </c>
      <c r="AD934" s="35">
        <f t="shared" si="343"/>
        <v>45</v>
      </c>
      <c r="AE934" s="166" t="str">
        <f t="shared" si="344"/>
        <v>Release</v>
      </c>
      <c r="AF934" s="127"/>
      <c r="AG934" s="18">
        <v>0</v>
      </c>
      <c r="AH934" s="132"/>
      <c r="AI934" s="238">
        <v>0</v>
      </c>
      <c r="AJ934" s="132"/>
      <c r="AK934" s="151">
        <v>65.099999999999994</v>
      </c>
      <c r="AL934" s="154">
        <f t="shared" si="345"/>
        <v>0</v>
      </c>
      <c r="AM934" s="155"/>
      <c r="AN934" s="19">
        <f t="shared" si="331"/>
        <v>0</v>
      </c>
      <c r="AO934" s="118">
        <f>SUMIF('MPG Payment '!E:E,'Shayak Income '!D934,'MPG Payment '!AJ:AJ)</f>
        <v>0</v>
      </c>
      <c r="AP934" s="19">
        <f t="shared" si="332"/>
        <v>0</v>
      </c>
      <c r="AQ934" s="119">
        <f t="shared" si="346"/>
        <v>0</v>
      </c>
      <c r="AR934" s="91" t="s">
        <v>1168</v>
      </c>
      <c r="AS934" s="91">
        <f t="shared" si="333"/>
        <v>0</v>
      </c>
      <c r="AT934" s="118"/>
      <c r="AU934" s="118"/>
      <c r="AV934" s="118"/>
    </row>
    <row r="935" spans="1:48" s="20" customFormat="1" x14ac:dyDescent="0.25">
      <c r="A935" s="17">
        <f>IFERROR(VLOOKUP(D935,'Monthly Deduction'!$I$3:$J$957,2,0),0)</f>
        <v>75000</v>
      </c>
      <c r="B935" s="17">
        <f>IFERROR(VLOOKUP(D935,'Monthly Deduction'!$E$3:$F$957,2,0),0)</f>
        <v>0</v>
      </c>
      <c r="C935" s="17">
        <f t="shared" si="337"/>
        <v>75000</v>
      </c>
      <c r="D935" s="41">
        <v>10560035</v>
      </c>
      <c r="E935" s="122" t="str">
        <f>VLOOKUP(D935,'MPG Payment '!$E$3:$G$498218,2,0)</f>
        <v>Gomukh Kharra Basa</v>
      </c>
      <c r="F935" s="146">
        <f>IFERROR(_xlfn.XLOOKUP(D935,'Monthly Deduction'!$I$3:$I$957,'Monthly Deduction'!$H$3:$H$957),0)</f>
        <v>0</v>
      </c>
      <c r="G935" s="123" t="str">
        <f>VLOOKUP(D935,'MPG Payment '!$E$3:$G$334579,3,0)</f>
        <v>MPG</v>
      </c>
      <c r="H935" s="124" t="str">
        <f>VLOOKUP(D935,'MPG Payment '!$E$3:$H$334579,4,0)</f>
        <v>Direct</v>
      </c>
      <c r="I935" s="88">
        <f>INDEX('MPG Payment '!$C:$C,MATCH('Shayak Income '!D935,'MPG Payment '!E:E,0))</f>
        <v>1056</v>
      </c>
      <c r="J935" s="88" t="str">
        <f>INDEX('MPG Payment '!$D:$D,MATCH('Shayak Income '!D935,'MPG Payment '!E:E,0))</f>
        <v>Chautham</v>
      </c>
      <c r="K935" s="125" t="s">
        <v>1323</v>
      </c>
      <c r="L935" s="125">
        <v>46119</v>
      </c>
      <c r="M935" s="126">
        <f>SUMIF('MPG Payment '!$E$3:$E$34579,'Shayak Income '!D935,'MPG Payment '!$I$3:$I$34579)</f>
        <v>1413</v>
      </c>
      <c r="N935" s="126">
        <f>SUMIF('MPG Payment '!$E$3:$E$34579,'Shayak Income '!D935,'MPG Payment '!$J$3:$J$34579)</f>
        <v>52874.911630748</v>
      </c>
      <c r="O935" s="126">
        <f t="shared" si="338"/>
        <v>1059.75</v>
      </c>
      <c r="P935" s="126">
        <f t="shared" si="339"/>
        <v>1342.35</v>
      </c>
      <c r="Q935" s="126">
        <f>SUMIF('MPG Payment '!$E$3:$E$34579,'Shayak Income '!D935,'MPG Payment '!$S$3:$S$34579)</f>
        <v>0</v>
      </c>
      <c r="R935" s="126">
        <f t="shared" si="340"/>
        <v>1586.2473489224399</v>
      </c>
      <c r="S935" s="126">
        <f t="shared" si="341"/>
        <v>243.89734892243996</v>
      </c>
      <c r="T935" s="126">
        <f t="shared" si="334"/>
        <v>141.30000000000001</v>
      </c>
      <c r="U935" s="127">
        <f>(((IF(K935="New",0,SUMIF('MPG Payment '!$E$3:$E$34579,'Shayak Income '!D935,'MPG Payment '!$AC$3:$AC$34579))))+0)+0</f>
        <v>0</v>
      </c>
      <c r="V935" s="127">
        <f t="shared" si="335"/>
        <v>2261</v>
      </c>
      <c r="W935" s="19">
        <v>0</v>
      </c>
      <c r="X935" s="19">
        <v>0</v>
      </c>
      <c r="Y935" s="128">
        <f>IFERROR(VLOOKUP(D935,'Monthly Deduction'!$M$2:$N$64,2,0),0)</f>
        <v>0</v>
      </c>
      <c r="Z935" s="128">
        <v>0</v>
      </c>
      <c r="AA935" s="126">
        <f>IFERROR(VLOOKUP(D935,'Monthly Deduction'!A:B,2,0),0)</f>
        <v>0</v>
      </c>
      <c r="AB935" s="129">
        <f t="shared" si="342"/>
        <v>2261</v>
      </c>
      <c r="AC935" s="130">
        <f t="shared" ref="AC935:AC936" si="349">AB935</f>
        <v>2261</v>
      </c>
      <c r="AD935" s="35">
        <f t="shared" si="343"/>
        <v>0</v>
      </c>
      <c r="AE935" s="166" t="str">
        <f t="shared" si="344"/>
        <v>Yes</v>
      </c>
      <c r="AF935" s="127"/>
      <c r="AG935" s="18">
        <v>0</v>
      </c>
      <c r="AH935" s="120" t="s">
        <v>1650</v>
      </c>
      <c r="AI935" s="238">
        <v>10000</v>
      </c>
      <c r="AJ935" s="132"/>
      <c r="AK935" s="151">
        <v>395.38</v>
      </c>
      <c r="AL935" s="154">
        <f t="shared" si="345"/>
        <v>0</v>
      </c>
      <c r="AM935" s="155"/>
      <c r="AN935" s="19">
        <f t="shared" si="331"/>
        <v>1861</v>
      </c>
      <c r="AO935" s="118">
        <f>SUMIF('MPG Payment '!E:E,'Shayak Income '!D935,'MPG Payment '!AJ:AJ)</f>
        <v>0</v>
      </c>
      <c r="AP935" s="19">
        <f t="shared" si="332"/>
        <v>0</v>
      </c>
      <c r="AQ935" s="119">
        <f t="shared" si="346"/>
        <v>0</v>
      </c>
      <c r="AR935" s="91" t="s">
        <v>1168</v>
      </c>
      <c r="AS935" s="91">
        <f t="shared" si="333"/>
        <v>0</v>
      </c>
      <c r="AT935" s="118"/>
      <c r="AU935" s="118"/>
      <c r="AV935" s="118"/>
    </row>
    <row r="936" spans="1:48" s="20" customFormat="1" x14ac:dyDescent="0.25">
      <c r="A936" s="17">
        <f>IFERROR(VLOOKUP(D936,'Monthly Deduction'!$I$3:$J$957,2,0),0)</f>
        <v>85000</v>
      </c>
      <c r="B936" s="17">
        <f>IFERROR(VLOOKUP(D936,'Monthly Deduction'!$E$3:$F$957,2,0),0)</f>
        <v>0</v>
      </c>
      <c r="C936" s="17">
        <f t="shared" si="337"/>
        <v>85000</v>
      </c>
      <c r="D936" s="41">
        <v>10570042</v>
      </c>
      <c r="E936" s="122" t="str">
        <f>VLOOKUP(D936,'MPG Payment '!$E$3:$G$498218,2,0)</f>
        <v>Rahua</v>
      </c>
      <c r="F936" s="146">
        <f>IFERROR(_xlfn.XLOOKUP(D936,'Monthly Deduction'!$I$3:$I$957,'Monthly Deduction'!$H$3:$H$957),0)</f>
        <v>0</v>
      </c>
      <c r="G936" s="123" t="str">
        <f>VLOOKUP(D936,'MPG Payment '!$E$3:$G$334579,3,0)</f>
        <v>MPG</v>
      </c>
      <c r="H936" s="124" t="str">
        <f>VLOOKUP(D936,'MPG Payment '!$E$3:$H$334579,4,0)</f>
        <v>Direct</v>
      </c>
      <c r="I936" s="88">
        <f>INDEX('MPG Payment '!$C:$C,MATCH('Shayak Income '!D936,'MPG Payment '!E:E,0))</f>
        <v>1057</v>
      </c>
      <c r="J936" s="88" t="str">
        <f>INDEX('MPG Payment '!$D:$D,MATCH('Shayak Income '!D936,'MPG Payment '!E:E,0))</f>
        <v>Warisnagar</v>
      </c>
      <c r="K936" s="125" t="s">
        <v>1323</v>
      </c>
      <c r="L936" s="125">
        <v>46116</v>
      </c>
      <c r="M936" s="126">
        <f>SUMIF('MPG Payment '!$E$3:$E$34579,'Shayak Income '!D936,'MPG Payment '!$I$3:$I$34579)</f>
        <v>831.8</v>
      </c>
      <c r="N936" s="126">
        <f>SUMIF('MPG Payment '!$E$3:$E$34579,'Shayak Income '!D936,'MPG Payment '!$J$3:$J$34579)</f>
        <v>32859.878618770003</v>
      </c>
      <c r="O936" s="126">
        <f t="shared" si="338"/>
        <v>623.84999999999991</v>
      </c>
      <c r="P936" s="126">
        <f t="shared" si="339"/>
        <v>790.20999999999992</v>
      </c>
      <c r="Q936" s="126">
        <f>SUMIF('MPG Payment '!$E$3:$E$34579,'Shayak Income '!D936,'MPG Payment '!$S$3:$S$34579)</f>
        <v>0</v>
      </c>
      <c r="R936" s="126">
        <f t="shared" si="340"/>
        <v>985.79635856310006</v>
      </c>
      <c r="S936" s="126">
        <f t="shared" si="341"/>
        <v>195.58635856310013</v>
      </c>
      <c r="T936" s="126">
        <f t="shared" si="334"/>
        <v>83.18</v>
      </c>
      <c r="U936" s="127">
        <f>(((IF(K936="New",0,SUMIF('MPG Payment '!$E$3:$E$34579,'Shayak Income '!D936,'MPG Payment '!$AC$3:$AC$34579))))+0)+0</f>
        <v>0</v>
      </c>
      <c r="V936" s="127">
        <f t="shared" si="335"/>
        <v>1331</v>
      </c>
      <c r="W936" s="19">
        <v>0</v>
      </c>
      <c r="X936" s="19">
        <v>0</v>
      </c>
      <c r="Y936" s="128">
        <f>IFERROR(VLOOKUP(D936,'Monthly Deduction'!$M$2:$N$64,2,0),0)</f>
        <v>0</v>
      </c>
      <c r="Z936" s="128">
        <v>0</v>
      </c>
      <c r="AA936" s="126">
        <f>IFERROR(VLOOKUP(D936,'Monthly Deduction'!A:B,2,0),0)</f>
        <v>0</v>
      </c>
      <c r="AB936" s="129">
        <f t="shared" si="342"/>
        <v>1331</v>
      </c>
      <c r="AC936" s="130">
        <f t="shared" si="349"/>
        <v>1331</v>
      </c>
      <c r="AD936" s="35">
        <f t="shared" si="343"/>
        <v>0</v>
      </c>
      <c r="AE936" s="166" t="str">
        <f t="shared" si="344"/>
        <v>Yes</v>
      </c>
      <c r="AF936" s="127"/>
      <c r="AG936" s="18">
        <v>0</v>
      </c>
      <c r="AH936" s="120" t="s">
        <v>1650</v>
      </c>
      <c r="AI936" s="238">
        <v>20000</v>
      </c>
      <c r="AJ936" s="132"/>
      <c r="AK936" s="151">
        <v>265.10000000000002</v>
      </c>
      <c r="AL936" s="154">
        <f t="shared" si="345"/>
        <v>0</v>
      </c>
      <c r="AM936" s="155"/>
      <c r="AN936" s="19">
        <f t="shared" si="331"/>
        <v>1861</v>
      </c>
      <c r="AO936" s="118">
        <f>SUMIF('MPG Payment '!E:E,'Shayak Income '!D936,'MPG Payment '!AJ:AJ)</f>
        <v>0</v>
      </c>
      <c r="AP936" s="19">
        <f t="shared" si="332"/>
        <v>0</v>
      </c>
      <c r="AQ936" s="119">
        <f t="shared" si="346"/>
        <v>0</v>
      </c>
      <c r="AR936" s="91" t="s">
        <v>1168</v>
      </c>
      <c r="AS936" s="91">
        <f t="shared" si="333"/>
        <v>0</v>
      </c>
      <c r="AT936" s="118"/>
      <c r="AU936" s="118"/>
      <c r="AV936" s="118"/>
    </row>
    <row r="937" spans="1:48" s="20" customFormat="1" x14ac:dyDescent="0.25">
      <c r="A937" s="17">
        <f>IFERROR(VLOOKUP(D937,'Monthly Deduction'!$I$3:$J$957,2,0),0)</f>
        <v>0</v>
      </c>
      <c r="B937" s="17">
        <f>IFERROR(VLOOKUP(D937,'Monthly Deduction'!$E$3:$F$957,2,0),0)</f>
        <v>0</v>
      </c>
      <c r="C937" s="17">
        <f t="shared" si="337"/>
        <v>0</v>
      </c>
      <c r="D937" s="41">
        <v>10610044</v>
      </c>
      <c r="E937" s="122" t="str">
        <f>VLOOKUP(D937,'MPG Payment '!$E$3:$G$498218,2,0)</f>
        <v>GOMUKH BABA CHAUK</v>
      </c>
      <c r="F937" s="146">
        <f>IFERROR(_xlfn.XLOOKUP(D937,'Monthly Deduction'!$I$3:$I$957,'Monthly Deduction'!$H$3:$H$957),0)</f>
        <v>0</v>
      </c>
      <c r="G937" s="123" t="str">
        <f>VLOOKUP(D937,'MPG Payment '!$E$3:$G$334579,3,0)</f>
        <v>vlc</v>
      </c>
      <c r="H937" s="124" t="str">
        <f>VLOOKUP(D937,'MPG Payment '!$E$3:$H$334579,4,0)</f>
        <v>Indirect</v>
      </c>
      <c r="I937" s="88">
        <f>INDEX('MPG Payment '!$C:$C,MATCH('Shayak Income '!D937,'MPG Payment '!E:E,0))</f>
        <v>1061</v>
      </c>
      <c r="J937" s="88" t="str">
        <f>INDEX('MPG Payment '!$D:$D,MATCH('Shayak Income '!D937,'MPG Payment '!E:E,0))</f>
        <v>Mahua BMC</v>
      </c>
      <c r="K937" s="125" t="s">
        <v>1323</v>
      </c>
      <c r="L937" s="125">
        <v>46115</v>
      </c>
      <c r="M937" s="126">
        <f>SUMIF('MPG Payment '!$E$3:$E$34579,'Shayak Income '!D937,'MPG Payment '!$I$3:$I$34579)</f>
        <v>49.3</v>
      </c>
      <c r="N937" s="126">
        <f>SUMIF('MPG Payment '!$E$3:$E$34579,'Shayak Income '!D937,'MPG Payment '!$J$3:$J$34579)</f>
        <v>1741.74</v>
      </c>
      <c r="O937" s="126">
        <f t="shared" si="338"/>
        <v>36.974999999999994</v>
      </c>
      <c r="P937" s="126">
        <f t="shared" si="339"/>
        <v>46.834999999999994</v>
      </c>
      <c r="Q937" s="126">
        <f>SUMIF('MPG Payment '!$E$3:$E$34579,'Shayak Income '!D937,'MPG Payment '!$S$3:$S$34579)</f>
        <v>0</v>
      </c>
      <c r="R937" s="126">
        <f t="shared" si="340"/>
        <v>52.252199999999995</v>
      </c>
      <c r="S937" s="126">
        <f t="shared" si="341"/>
        <v>5.4172000000000011</v>
      </c>
      <c r="T937" s="126">
        <f t="shared" si="334"/>
        <v>4.93</v>
      </c>
      <c r="U937" s="127">
        <f>(((IF(K937="New",0,SUMIF('MPG Payment '!$E$3:$E$34579,'Shayak Income '!D937,'MPG Payment '!$AC$3:$AC$34579))))+0)+0</f>
        <v>0</v>
      </c>
      <c r="V937" s="127">
        <f t="shared" si="335"/>
        <v>79</v>
      </c>
      <c r="W937" s="19">
        <v>0</v>
      </c>
      <c r="X937" s="19">
        <v>0</v>
      </c>
      <c r="Y937" s="128">
        <f>IFERROR(VLOOKUP(D937,'Monthly Deduction'!$M$2:$N$64,2,0),0)</f>
        <v>0</v>
      </c>
      <c r="Z937" s="128">
        <v>0</v>
      </c>
      <c r="AA937" s="126">
        <f>IFERROR(VLOOKUP(D937,'Monthly Deduction'!A:B,2,0),0)</f>
        <v>0</v>
      </c>
      <c r="AB937" s="129">
        <f t="shared" si="342"/>
        <v>79</v>
      </c>
      <c r="AC937" s="130">
        <v>0</v>
      </c>
      <c r="AD937" s="35">
        <f t="shared" si="343"/>
        <v>79</v>
      </c>
      <c r="AE937" s="166" t="str">
        <f t="shared" si="344"/>
        <v>Release</v>
      </c>
      <c r="AF937" s="127"/>
      <c r="AG937" s="18">
        <v>0</v>
      </c>
      <c r="AH937" s="132" t="s">
        <v>1648</v>
      </c>
      <c r="AI937" s="238">
        <v>0</v>
      </c>
      <c r="AJ937" s="132" t="s">
        <v>68</v>
      </c>
      <c r="AK937" s="151">
        <v>0</v>
      </c>
      <c r="AL937" s="154">
        <f t="shared" si="345"/>
        <v>0</v>
      </c>
      <c r="AM937" s="155"/>
      <c r="AN937" s="19">
        <f t="shared" si="331"/>
        <v>0</v>
      </c>
      <c r="AO937" s="118">
        <f>SUMIF('MPG Payment '!E:E,'Shayak Income '!D937,'MPG Payment '!AJ:AJ)</f>
        <v>0</v>
      </c>
      <c r="AP937" s="19">
        <f t="shared" si="332"/>
        <v>0</v>
      </c>
      <c r="AQ937" s="119">
        <f t="shared" si="346"/>
        <v>0</v>
      </c>
      <c r="AR937" s="91" t="s">
        <v>1168</v>
      </c>
      <c r="AS937" s="91">
        <f t="shared" si="333"/>
        <v>0</v>
      </c>
      <c r="AT937" s="118"/>
      <c r="AU937" s="118"/>
      <c r="AV937" s="118"/>
    </row>
    <row r="938" spans="1:48" s="20" customFormat="1" x14ac:dyDescent="0.25">
      <c r="A938" s="17">
        <f>IFERROR(VLOOKUP(D938,'Monthly Deduction'!$I$3:$J$957,2,0),0)</f>
        <v>0</v>
      </c>
      <c r="B938" s="17">
        <f>IFERROR(VLOOKUP(D938,'Monthly Deduction'!$E$3:$F$957,2,0),0)</f>
        <v>0</v>
      </c>
      <c r="C938" s="17">
        <f t="shared" si="337"/>
        <v>0</v>
      </c>
      <c r="D938" s="41">
        <v>10610045</v>
      </c>
      <c r="E938" s="122" t="str">
        <f>VLOOKUP(D938,'MPG Payment '!$E$3:$G$498218,2,0)</f>
        <v>GOMUKH KHARIKA</v>
      </c>
      <c r="F938" s="146">
        <f>IFERROR(_xlfn.XLOOKUP(D938,'Monthly Deduction'!$I$3:$I$957,'Monthly Deduction'!$H$3:$H$957),0)</f>
        <v>0</v>
      </c>
      <c r="G938" s="123" t="str">
        <f>VLOOKUP(D938,'MPG Payment '!$E$3:$G$334579,3,0)</f>
        <v>vlc</v>
      </c>
      <c r="H938" s="124" t="str">
        <f>VLOOKUP(D938,'MPG Payment '!$E$3:$H$334579,4,0)</f>
        <v>Indirect</v>
      </c>
      <c r="I938" s="88">
        <f>INDEX('MPG Payment '!$C:$C,MATCH('Shayak Income '!D938,'MPG Payment '!E:E,0))</f>
        <v>1061</v>
      </c>
      <c r="J938" s="88" t="str">
        <f>INDEX('MPG Payment '!$D:$D,MATCH('Shayak Income '!D938,'MPG Payment '!E:E,0))</f>
        <v>Mahua BMC</v>
      </c>
      <c r="K938" s="125" t="s">
        <v>1323</v>
      </c>
      <c r="L938" s="125">
        <v>46115</v>
      </c>
      <c r="M938" s="126">
        <f>SUMIF('MPG Payment '!$E$3:$E$34579,'Shayak Income '!D938,'MPG Payment '!$I$3:$I$34579)</f>
        <v>1451.3</v>
      </c>
      <c r="N938" s="126">
        <f>SUMIF('MPG Payment '!$E$3:$E$34579,'Shayak Income '!D938,'MPG Payment '!$J$3:$J$34579)</f>
        <v>53654.781273103996</v>
      </c>
      <c r="O938" s="126">
        <f t="shared" si="338"/>
        <v>1088.4749999999999</v>
      </c>
      <c r="P938" s="126">
        <f t="shared" si="339"/>
        <v>1378.7349999999999</v>
      </c>
      <c r="Q938" s="126">
        <f>SUMIF('MPG Payment '!$E$3:$E$34579,'Shayak Income '!D938,'MPG Payment '!$S$3:$S$34579)</f>
        <v>0</v>
      </c>
      <c r="R938" s="126">
        <f t="shared" si="340"/>
        <v>1609.6434381931199</v>
      </c>
      <c r="S938" s="126">
        <f t="shared" si="341"/>
        <v>230.90843819311999</v>
      </c>
      <c r="T938" s="126">
        <f t="shared" si="334"/>
        <v>145.13</v>
      </c>
      <c r="U938" s="127">
        <f>(((IF(K938="New",0,SUMIF('MPG Payment '!$E$3:$E$34579,'Shayak Income '!D938,'MPG Payment '!$AC$3:$AC$34579))))+0)+0</f>
        <v>0</v>
      </c>
      <c r="V938" s="127">
        <f t="shared" si="335"/>
        <v>2322</v>
      </c>
      <c r="W938" s="19">
        <v>0</v>
      </c>
      <c r="X938" s="19">
        <v>0</v>
      </c>
      <c r="Y938" s="128">
        <f>IFERROR(VLOOKUP(D938,'Monthly Deduction'!$M$2:$N$64,2,0),0)</f>
        <v>0</v>
      </c>
      <c r="Z938" s="128">
        <v>0</v>
      </c>
      <c r="AA938" s="126">
        <f>IFERROR(VLOOKUP(D938,'Monthly Deduction'!A:B,2,0),0)</f>
        <v>0</v>
      </c>
      <c r="AB938" s="129">
        <f t="shared" si="342"/>
        <v>2322</v>
      </c>
      <c r="AC938" s="130">
        <v>0</v>
      </c>
      <c r="AD938" s="35">
        <f t="shared" si="343"/>
        <v>2322</v>
      </c>
      <c r="AE938" s="166" t="str">
        <f t="shared" si="344"/>
        <v>Release</v>
      </c>
      <c r="AF938" s="127"/>
      <c r="AG938" s="18">
        <v>0</v>
      </c>
      <c r="AH938" s="132"/>
      <c r="AI938" s="238">
        <v>0</v>
      </c>
      <c r="AJ938" s="132"/>
      <c r="AK938" s="151">
        <v>610.90000000000009</v>
      </c>
      <c r="AL938" s="154">
        <f t="shared" si="345"/>
        <v>0</v>
      </c>
      <c r="AM938" s="155"/>
      <c r="AN938" s="19">
        <f t="shared" si="331"/>
        <v>0</v>
      </c>
      <c r="AO938" s="118">
        <f>SUMIF('MPG Payment '!E:E,'Shayak Income '!D938,'MPG Payment '!AJ:AJ)</f>
        <v>0</v>
      </c>
      <c r="AP938" s="19">
        <f t="shared" si="332"/>
        <v>0</v>
      </c>
      <c r="AQ938" s="119">
        <f t="shared" si="346"/>
        <v>0</v>
      </c>
      <c r="AR938" s="91" t="s">
        <v>1168</v>
      </c>
      <c r="AS938" s="91">
        <f t="shared" si="333"/>
        <v>0</v>
      </c>
      <c r="AT938" s="118"/>
      <c r="AU938" s="118"/>
      <c r="AV938" s="118"/>
    </row>
    <row r="939" spans="1:48" s="20" customFormat="1" x14ac:dyDescent="0.25">
      <c r="A939" s="17">
        <f>IFERROR(VLOOKUP(D939,'Monthly Deduction'!$I$3:$J$957,2,0),0)</f>
        <v>0</v>
      </c>
      <c r="B939" s="17">
        <f>IFERROR(VLOOKUP(D939,'Monthly Deduction'!$E$3:$F$957,2,0),0)</f>
        <v>0</v>
      </c>
      <c r="C939" s="17">
        <f t="shared" si="337"/>
        <v>0</v>
      </c>
      <c r="D939" s="41">
        <v>10610046</v>
      </c>
      <c r="E939" s="122" t="str">
        <f>VLOOKUP(D939,'MPG Payment '!$E$3:$G$498218,2,0)</f>
        <v>GOMUKH KALYANPUR</v>
      </c>
      <c r="F939" s="146">
        <f>IFERROR(_xlfn.XLOOKUP(D939,'Monthly Deduction'!$I$3:$I$957,'Monthly Deduction'!$H$3:$H$957),0)</f>
        <v>0</v>
      </c>
      <c r="G939" s="123" t="str">
        <f>VLOOKUP(D939,'MPG Payment '!$E$3:$G$334579,3,0)</f>
        <v>vlc</v>
      </c>
      <c r="H939" s="124" t="str">
        <f>VLOOKUP(D939,'MPG Payment '!$E$3:$H$334579,4,0)</f>
        <v>Indirect</v>
      </c>
      <c r="I939" s="88">
        <f>INDEX('MPG Payment '!$C:$C,MATCH('Shayak Income '!D939,'MPG Payment '!E:E,0))</f>
        <v>1061</v>
      </c>
      <c r="J939" s="88" t="str">
        <f>INDEX('MPG Payment '!$D:$D,MATCH('Shayak Income '!D939,'MPG Payment '!E:E,0))</f>
        <v>Mahua BMC</v>
      </c>
      <c r="K939" s="125" t="s">
        <v>1323</v>
      </c>
      <c r="L939" s="125">
        <v>46115</v>
      </c>
      <c r="M939" s="126">
        <f>SUMIF('MPG Payment '!$E$3:$E$34579,'Shayak Income '!D939,'MPG Payment '!$I$3:$I$34579)</f>
        <v>315.8</v>
      </c>
      <c r="N939" s="126">
        <f>SUMIF('MPG Payment '!$E$3:$E$34579,'Shayak Income '!D939,'MPG Payment '!$J$3:$J$34579)</f>
        <v>11073.130000000001</v>
      </c>
      <c r="O939" s="126">
        <f t="shared" si="338"/>
        <v>236.85000000000002</v>
      </c>
      <c r="P939" s="126">
        <f t="shared" si="339"/>
        <v>300.01</v>
      </c>
      <c r="Q939" s="126">
        <f>SUMIF('MPG Payment '!$E$3:$E$34579,'Shayak Income '!D939,'MPG Payment '!$S$3:$S$34579)</f>
        <v>0</v>
      </c>
      <c r="R939" s="126">
        <f t="shared" si="340"/>
        <v>332.19390000000004</v>
      </c>
      <c r="S939" s="126">
        <f t="shared" si="341"/>
        <v>32.183900000000051</v>
      </c>
      <c r="T939" s="126">
        <f t="shared" si="334"/>
        <v>31.580000000000002</v>
      </c>
      <c r="U939" s="127">
        <f>(((IF(K939="New",0,SUMIF('MPG Payment '!$E$3:$E$34579,'Shayak Income '!D939,'MPG Payment '!$AC$3:$AC$34579))))+0)+0</f>
        <v>0</v>
      </c>
      <c r="V939" s="127">
        <f t="shared" si="335"/>
        <v>505</v>
      </c>
      <c r="W939" s="19">
        <v>0</v>
      </c>
      <c r="X939" s="19">
        <v>0</v>
      </c>
      <c r="Y939" s="128">
        <f>IFERROR(VLOOKUP(D939,'Monthly Deduction'!$M$2:$N$64,2,0),0)</f>
        <v>0</v>
      </c>
      <c r="Z939" s="128">
        <v>0</v>
      </c>
      <c r="AA939" s="126">
        <f>IFERROR(VLOOKUP(D939,'Monthly Deduction'!A:B,2,0),0)</f>
        <v>0</v>
      </c>
      <c r="AB939" s="129">
        <f t="shared" si="342"/>
        <v>505</v>
      </c>
      <c r="AC939" s="130">
        <v>0</v>
      </c>
      <c r="AD939" s="35">
        <f t="shared" si="343"/>
        <v>505</v>
      </c>
      <c r="AE939" s="166" t="str">
        <f t="shared" si="344"/>
        <v>Release</v>
      </c>
      <c r="AF939" s="127"/>
      <c r="AG939" s="18">
        <v>0</v>
      </c>
      <c r="AH939" s="132"/>
      <c r="AI939" s="238">
        <v>0</v>
      </c>
      <c r="AJ939" s="132"/>
      <c r="AK939" s="151">
        <v>149.1</v>
      </c>
      <c r="AL939" s="154">
        <f t="shared" si="345"/>
        <v>0</v>
      </c>
      <c r="AM939" s="155"/>
      <c r="AN939" s="19">
        <f t="shared" si="331"/>
        <v>0</v>
      </c>
      <c r="AO939" s="118">
        <f>SUMIF('MPG Payment '!E:E,'Shayak Income '!D939,'MPG Payment '!AJ:AJ)</f>
        <v>0</v>
      </c>
      <c r="AP939" s="19">
        <f t="shared" si="332"/>
        <v>0</v>
      </c>
      <c r="AQ939" s="119">
        <f t="shared" si="346"/>
        <v>0</v>
      </c>
      <c r="AR939" s="91" t="s">
        <v>1168</v>
      </c>
      <c r="AS939" s="91">
        <f t="shared" si="333"/>
        <v>0</v>
      </c>
      <c r="AT939" s="118"/>
      <c r="AU939" s="118"/>
      <c r="AV939" s="118"/>
    </row>
    <row r="940" spans="1:48" s="20" customFormat="1" x14ac:dyDescent="0.25">
      <c r="A940" s="17">
        <f>IFERROR(VLOOKUP(D940,'Monthly Deduction'!$I$3:$J$957,2,0),0)</f>
        <v>85000</v>
      </c>
      <c r="B940" s="17">
        <f>IFERROR(VLOOKUP(D940,'Monthly Deduction'!$E$3:$F$957,2,0),0)</f>
        <v>0</v>
      </c>
      <c r="C940" s="17">
        <f t="shared" si="337"/>
        <v>85000</v>
      </c>
      <c r="D940" s="41">
        <v>10630013</v>
      </c>
      <c r="E940" s="122" t="str">
        <f>VLOOKUP(D940,'MPG Payment '!$E$3:$G$498218,2,0)</f>
        <v>Siripur Gohar</v>
      </c>
      <c r="F940" s="146">
        <f>IFERROR(_xlfn.XLOOKUP(D940,'Monthly Deduction'!$I$3:$I$957,'Monthly Deduction'!$H$3:$H$957),0)</f>
        <v>0</v>
      </c>
      <c r="G940" s="123" t="str">
        <f>VLOOKUP(D940,'MPG Payment '!$E$3:$G$334579,3,0)</f>
        <v>MPG</v>
      </c>
      <c r="H940" s="124" t="str">
        <f>VLOOKUP(D940,'MPG Payment '!$E$3:$H$334579,4,0)</f>
        <v>Direct</v>
      </c>
      <c r="I940" s="88">
        <f>INDEX('MPG Payment '!$C:$C,MATCH('Shayak Income '!D940,'MPG Payment '!E:E,0))</f>
        <v>1057</v>
      </c>
      <c r="J940" s="88" t="str">
        <f>INDEX('MPG Payment '!$D:$D,MATCH('Shayak Income '!D940,'MPG Payment '!E:E,0))</f>
        <v>Warisnagar</v>
      </c>
      <c r="K940" s="125" t="s">
        <v>1323</v>
      </c>
      <c r="L940" s="125">
        <v>46115</v>
      </c>
      <c r="M940" s="126">
        <f>SUMIF('MPG Payment '!$E$3:$E$34579,'Shayak Income '!D940,'MPG Payment '!$I$3:$I$34579)</f>
        <v>1856.6000000000001</v>
      </c>
      <c r="N940" s="126">
        <f>SUMIF('MPG Payment '!$E$3:$E$34579,'Shayak Income '!D940,'MPG Payment '!$J$3:$J$34579)</f>
        <v>68866.590127480013</v>
      </c>
      <c r="O940" s="126">
        <f t="shared" si="338"/>
        <v>1392.45</v>
      </c>
      <c r="P940" s="126">
        <f t="shared" si="339"/>
        <v>1763.77</v>
      </c>
      <c r="Q940" s="126">
        <f>SUMIF('MPG Payment '!$E$3:$E$34579,'Shayak Income '!D940,'MPG Payment '!$S$3:$S$34579)</f>
        <v>0</v>
      </c>
      <c r="R940" s="126">
        <f t="shared" si="340"/>
        <v>2065.9977038244001</v>
      </c>
      <c r="S940" s="126">
        <f t="shared" si="341"/>
        <v>302.22770382440012</v>
      </c>
      <c r="T940" s="126">
        <f t="shared" si="334"/>
        <v>185.66000000000003</v>
      </c>
      <c r="U940" s="127">
        <f>(((IF(K940="New",0,SUMIF('MPG Payment '!$E$3:$E$34579,'Shayak Income '!D940,'MPG Payment '!$AC$3:$AC$34579))))+0)+0</f>
        <v>0</v>
      </c>
      <c r="V940" s="127">
        <f t="shared" si="335"/>
        <v>2971</v>
      </c>
      <c r="W940" s="19">
        <v>0</v>
      </c>
      <c r="X940" s="19">
        <v>0</v>
      </c>
      <c r="Y940" s="128">
        <f>IFERROR(VLOOKUP(D940,'Monthly Deduction'!$M$2:$N$64,2,0),0)</f>
        <v>0</v>
      </c>
      <c r="Z940" s="128">
        <v>0</v>
      </c>
      <c r="AA940" s="126">
        <f>IFERROR(VLOOKUP(D940,'Monthly Deduction'!A:B,2,0),0)</f>
        <v>0</v>
      </c>
      <c r="AB940" s="129">
        <f t="shared" si="342"/>
        <v>2971</v>
      </c>
      <c r="AC940" s="130">
        <f t="shared" ref="AC940:AC943" si="350">AB940</f>
        <v>2971</v>
      </c>
      <c r="AD940" s="35">
        <f t="shared" si="343"/>
        <v>0</v>
      </c>
      <c r="AE940" s="166" t="str">
        <f t="shared" si="344"/>
        <v>Yes</v>
      </c>
      <c r="AF940" s="127"/>
      <c r="AG940" s="18">
        <v>0</v>
      </c>
      <c r="AH940" s="120" t="s">
        <v>1650</v>
      </c>
      <c r="AI940" s="238">
        <v>20000</v>
      </c>
      <c r="AJ940" s="132"/>
      <c r="AK940" s="151">
        <v>289.8</v>
      </c>
      <c r="AL940" s="154">
        <f t="shared" si="345"/>
        <v>0</v>
      </c>
      <c r="AM940" s="155"/>
      <c r="AN940" s="19">
        <f t="shared" si="331"/>
        <v>1861</v>
      </c>
      <c r="AO940" s="118">
        <f>SUMIF('MPG Payment '!E:E,'Shayak Income '!D940,'MPG Payment '!AJ:AJ)</f>
        <v>0</v>
      </c>
      <c r="AP940" s="19">
        <f t="shared" si="332"/>
        <v>0</v>
      </c>
      <c r="AQ940" s="119">
        <f t="shared" si="346"/>
        <v>0</v>
      </c>
      <c r="AR940" s="91" t="s">
        <v>1168</v>
      </c>
      <c r="AS940" s="91">
        <f t="shared" si="333"/>
        <v>0</v>
      </c>
      <c r="AT940" s="118"/>
      <c r="AU940" s="118"/>
      <c r="AV940" s="118"/>
    </row>
    <row r="941" spans="1:48" s="20" customFormat="1" x14ac:dyDescent="0.25">
      <c r="A941" s="17">
        <f>IFERROR(VLOOKUP(D941,'Monthly Deduction'!$I$3:$J$957,2,0),0)</f>
        <v>85000</v>
      </c>
      <c r="B941" s="17">
        <f>IFERROR(VLOOKUP(D941,'Monthly Deduction'!$E$3:$F$957,2,0),0)</f>
        <v>0</v>
      </c>
      <c r="C941" s="17">
        <f t="shared" si="337"/>
        <v>85000</v>
      </c>
      <c r="D941" s="41">
        <v>10630014</v>
      </c>
      <c r="E941" s="122" t="str">
        <f>VLOOKUP(D941,'MPG Payment '!$E$3:$G$498218,2,0)</f>
        <v>Sedukha</v>
      </c>
      <c r="F941" s="146">
        <f>IFERROR(_xlfn.XLOOKUP(D941,'Monthly Deduction'!$I$3:$I$957,'Monthly Deduction'!$H$3:$H$957),0)</f>
        <v>0</v>
      </c>
      <c r="G941" s="123" t="str">
        <f>VLOOKUP(D941,'MPG Payment '!$E$3:$G$334579,3,0)</f>
        <v>MPG</v>
      </c>
      <c r="H941" s="124" t="str">
        <f>VLOOKUP(D941,'MPG Payment '!$E$3:$H$334579,4,0)</f>
        <v>Direct</v>
      </c>
      <c r="I941" s="88">
        <f>INDEX('MPG Payment '!$C:$C,MATCH('Shayak Income '!D941,'MPG Payment '!E:E,0))</f>
        <v>1057</v>
      </c>
      <c r="J941" s="88" t="str">
        <f>INDEX('MPG Payment '!$D:$D,MATCH('Shayak Income '!D941,'MPG Payment '!E:E,0))</f>
        <v>Warisnagar</v>
      </c>
      <c r="K941" s="125" t="s">
        <v>1323</v>
      </c>
      <c r="L941" s="125">
        <v>46115</v>
      </c>
      <c r="M941" s="126">
        <f>SUMIF('MPG Payment '!$E$3:$E$34579,'Shayak Income '!D941,'MPG Payment '!$I$3:$I$34579)</f>
        <v>447.1</v>
      </c>
      <c r="N941" s="126">
        <f>SUMIF('MPG Payment '!$E$3:$E$34579,'Shayak Income '!D941,'MPG Payment '!$J$3:$J$34579)</f>
        <v>16369.89138395</v>
      </c>
      <c r="O941" s="126">
        <f t="shared" si="338"/>
        <v>335.32500000000005</v>
      </c>
      <c r="P941" s="126">
        <f t="shared" si="339"/>
        <v>424.745</v>
      </c>
      <c r="Q941" s="126">
        <f>SUMIF('MPG Payment '!$E$3:$E$34579,'Shayak Income '!D941,'MPG Payment '!$S$3:$S$34579)</f>
        <v>10.787359572000003</v>
      </c>
      <c r="R941" s="126">
        <f t="shared" si="340"/>
        <v>491.09674151849998</v>
      </c>
      <c r="S941" s="126">
        <f t="shared" si="341"/>
        <v>66.351741518499978</v>
      </c>
      <c r="T941" s="126">
        <f t="shared" si="334"/>
        <v>44.710000000000008</v>
      </c>
      <c r="U941" s="127">
        <f>(((IF(K941="New",0,SUMIF('MPG Payment '!$E$3:$E$34579,'Shayak Income '!D941,'MPG Payment '!$AC$3:$AC$34579))))+0)+0</f>
        <v>0</v>
      </c>
      <c r="V941" s="127">
        <f t="shared" si="335"/>
        <v>726</v>
      </c>
      <c r="W941" s="19">
        <v>0</v>
      </c>
      <c r="X941" s="19">
        <v>0</v>
      </c>
      <c r="Y941" s="128">
        <f>IFERROR(VLOOKUP(D941,'Monthly Deduction'!$M$2:$N$64,2,0),0)</f>
        <v>0</v>
      </c>
      <c r="Z941" s="128">
        <v>0</v>
      </c>
      <c r="AA941" s="126">
        <f>IFERROR(VLOOKUP(D941,'Monthly Deduction'!A:B,2,0),0)</f>
        <v>0</v>
      </c>
      <c r="AB941" s="129">
        <f t="shared" si="342"/>
        <v>726</v>
      </c>
      <c r="AC941" s="130">
        <f t="shared" si="350"/>
        <v>726</v>
      </c>
      <c r="AD941" s="35">
        <f t="shared" si="343"/>
        <v>0</v>
      </c>
      <c r="AE941" s="166" t="str">
        <f t="shared" si="344"/>
        <v>Yes</v>
      </c>
      <c r="AF941" s="127"/>
      <c r="AG941" s="18">
        <v>0</v>
      </c>
      <c r="AH941" s="120" t="s">
        <v>1650</v>
      </c>
      <c r="AI941" s="238">
        <v>20000</v>
      </c>
      <c r="AJ941" s="132"/>
      <c r="AK941" s="151">
        <v>203</v>
      </c>
      <c r="AL941" s="154">
        <f t="shared" si="345"/>
        <v>0</v>
      </c>
      <c r="AM941" s="155"/>
      <c r="AN941" s="19">
        <f t="shared" si="331"/>
        <v>1861</v>
      </c>
      <c r="AO941" s="118">
        <f>SUMIF('MPG Payment '!E:E,'Shayak Income '!D941,'MPG Payment '!AJ:AJ)</f>
        <v>0</v>
      </c>
      <c r="AP941" s="19">
        <f t="shared" si="332"/>
        <v>0</v>
      </c>
      <c r="AQ941" s="119">
        <f t="shared" si="346"/>
        <v>0</v>
      </c>
      <c r="AR941" s="91" t="s">
        <v>1168</v>
      </c>
      <c r="AS941" s="91">
        <f t="shared" si="333"/>
        <v>0</v>
      </c>
      <c r="AT941" s="118"/>
      <c r="AU941" s="118"/>
      <c r="AV941" s="118"/>
    </row>
    <row r="942" spans="1:48" s="20" customFormat="1" x14ac:dyDescent="0.25">
      <c r="A942" s="17">
        <f>IFERROR(VLOOKUP(D942,'Monthly Deduction'!$I$3:$J$957,2,0),0)</f>
        <v>0</v>
      </c>
      <c r="B942" s="17">
        <f>IFERROR(VLOOKUP(D942,'Monthly Deduction'!$E$3:$F$957,2,0),0)</f>
        <v>0</v>
      </c>
      <c r="C942" s="17">
        <f t="shared" si="337"/>
        <v>0</v>
      </c>
      <c r="D942" s="41">
        <v>10650012</v>
      </c>
      <c r="E942" s="122" t="str">
        <f>VLOOKUP(D942,'MPG Payment '!$E$3:$G$498218,2,0)</f>
        <v>Fateha</v>
      </c>
      <c r="F942" s="146">
        <f>IFERROR(_xlfn.XLOOKUP(D942,'Monthly Deduction'!$I$3:$I$957,'Monthly Deduction'!$H$3:$H$957),0)</f>
        <v>0</v>
      </c>
      <c r="G942" s="123" t="str">
        <f>VLOOKUP(D942,'MPG Payment '!$E$3:$G$334579,3,0)</f>
        <v>vlc</v>
      </c>
      <c r="H942" s="124" t="str">
        <f>VLOOKUP(D942,'MPG Payment '!$E$3:$H$334579,4,0)</f>
        <v>Indirect</v>
      </c>
      <c r="I942" s="88">
        <f>INDEX('MPG Payment '!$C:$C,MATCH('Shayak Income '!D942,'MPG Payment '!E:E,0))</f>
        <v>1065</v>
      </c>
      <c r="J942" s="88" t="str">
        <f>INDEX('MPG Payment '!$D:$D,MATCH('Shayak Income '!D942,'MPG Payment '!E:E,0))</f>
        <v>Bachhwara BMC</v>
      </c>
      <c r="K942" s="125" t="s">
        <v>1323</v>
      </c>
      <c r="L942" s="125">
        <v>46121</v>
      </c>
      <c r="M942" s="126">
        <f>SUMIF('MPG Payment '!$E$3:$E$34579,'Shayak Income '!D942,'MPG Payment '!$I$3:$I$34579)</f>
        <v>572.79999999999995</v>
      </c>
      <c r="N942" s="126">
        <f>SUMIF('MPG Payment '!$E$3:$E$34579,'Shayak Income '!D942,'MPG Payment '!$J$3:$J$34579)</f>
        <v>20974.809999999998</v>
      </c>
      <c r="O942" s="126">
        <f t="shared" si="338"/>
        <v>429.59999999999997</v>
      </c>
      <c r="P942" s="126">
        <f t="shared" si="339"/>
        <v>544.16</v>
      </c>
      <c r="Q942" s="126">
        <f>SUMIF('MPG Payment '!$E$3:$E$34579,'Shayak Income '!D942,'MPG Payment '!$S$3:$S$34579)</f>
        <v>0</v>
      </c>
      <c r="R942" s="126">
        <f t="shared" si="340"/>
        <v>629.24429999999995</v>
      </c>
      <c r="S942" s="126">
        <f t="shared" si="341"/>
        <v>85.084299999999985</v>
      </c>
      <c r="T942" s="126">
        <f t="shared" si="334"/>
        <v>57.28</v>
      </c>
      <c r="U942" s="127">
        <f>(((IF(K942="New",0,SUMIF('MPG Payment '!$E$3:$E$34579,'Shayak Income '!D942,'MPG Payment '!$AC$3:$AC$34579))))+0)+0</f>
        <v>0</v>
      </c>
      <c r="V942" s="127">
        <f t="shared" si="335"/>
        <v>916</v>
      </c>
      <c r="W942" s="19">
        <v>0</v>
      </c>
      <c r="X942" s="19">
        <v>0</v>
      </c>
      <c r="Y942" s="128">
        <f>IFERROR(VLOOKUP(D942,'Monthly Deduction'!$M$2:$N$64,2,0),0)</f>
        <v>0</v>
      </c>
      <c r="Z942" s="128">
        <v>0</v>
      </c>
      <c r="AA942" s="126">
        <f>IFERROR(VLOOKUP(D942,'Monthly Deduction'!A:B,2,0),0)</f>
        <v>0</v>
      </c>
      <c r="AB942" s="129">
        <f t="shared" si="342"/>
        <v>916</v>
      </c>
      <c r="AC942" s="130">
        <f t="shared" si="350"/>
        <v>916</v>
      </c>
      <c r="AD942" s="35">
        <f t="shared" si="343"/>
        <v>0</v>
      </c>
      <c r="AE942" s="166" t="str">
        <f t="shared" si="344"/>
        <v>Yes</v>
      </c>
      <c r="AF942" s="127"/>
      <c r="AG942" s="18">
        <v>0</v>
      </c>
      <c r="AH942" s="132" t="s">
        <v>1648</v>
      </c>
      <c r="AI942" s="238">
        <v>0</v>
      </c>
      <c r="AJ942" s="132"/>
      <c r="AK942" s="151">
        <v>0</v>
      </c>
      <c r="AL942" s="154">
        <f t="shared" si="345"/>
        <v>0</v>
      </c>
      <c r="AM942" s="155"/>
      <c r="AN942" s="19">
        <f t="shared" si="331"/>
        <v>0</v>
      </c>
      <c r="AO942" s="118">
        <f>SUMIF('MPG Payment '!E:E,'Shayak Income '!D942,'MPG Payment '!AJ:AJ)</f>
        <v>0</v>
      </c>
      <c r="AP942" s="19">
        <f t="shared" si="332"/>
        <v>0</v>
      </c>
      <c r="AQ942" s="119">
        <f t="shared" si="346"/>
        <v>0</v>
      </c>
      <c r="AR942" s="91" t="s">
        <v>1168</v>
      </c>
      <c r="AS942" s="91">
        <f t="shared" si="333"/>
        <v>0</v>
      </c>
      <c r="AT942" s="118"/>
      <c r="AU942" s="118"/>
      <c r="AV942" s="118"/>
    </row>
    <row r="943" spans="1:48" s="20" customFormat="1" x14ac:dyDescent="0.25">
      <c r="A943" s="17">
        <f>IFERROR(VLOOKUP(D943,'Monthly Deduction'!$I$3:$J$957,2,0),0)</f>
        <v>0</v>
      </c>
      <c r="B943" s="17">
        <f>IFERROR(VLOOKUP(D943,'Monthly Deduction'!$E$3:$F$957,2,0),0)</f>
        <v>0</v>
      </c>
      <c r="C943" s="17">
        <f t="shared" si="337"/>
        <v>0</v>
      </c>
      <c r="D943" s="41">
        <v>10010080</v>
      </c>
      <c r="E943" s="122" t="str">
        <f>VLOOKUP(D943,'MPG Payment '!$E$3:$G$498218,2,0)</f>
        <v>Gomukh Paguraha</v>
      </c>
      <c r="F943" s="146">
        <f>IFERROR(_xlfn.XLOOKUP(D943,'Monthly Deduction'!$I$3:$I$957,'Monthly Deduction'!$H$3:$H$957),0)</f>
        <v>0</v>
      </c>
      <c r="G943" s="123" t="str">
        <f>VLOOKUP(D943,'MPG Payment '!$E$3:$G$334579,3,0)</f>
        <v>MPG</v>
      </c>
      <c r="H943" s="124" t="str">
        <f>VLOOKUP(D943,'MPG Payment '!$E$3:$H$334579,4,0)</f>
        <v>Direct</v>
      </c>
      <c r="I943" s="88">
        <f>INDEX('MPG Payment '!$C:$C,MATCH('Shayak Income '!D943,'MPG Payment '!E:E,0))</f>
        <v>1058</v>
      </c>
      <c r="J943" s="88" t="str">
        <f>INDEX('MPG Payment '!$D:$D,MATCH('Shayak Income '!D943,'MPG Payment '!E:E,0))</f>
        <v>Hasanpur</v>
      </c>
      <c r="K943" s="125" t="s">
        <v>1322</v>
      </c>
      <c r="L943" s="125">
        <v>45513</v>
      </c>
      <c r="M943" s="126">
        <f>SUMIF('MPG Payment '!$E$3:$E$34579,'Shayak Income '!D943,'MPG Payment '!$I$3:$I$34579)</f>
        <v>109.79999999999998</v>
      </c>
      <c r="N943" s="126">
        <f>SUMIF('MPG Payment '!$E$3:$E$34579,'Shayak Income '!D943,'MPG Payment '!$J$3:$J$34579)</f>
        <v>3837.02</v>
      </c>
      <c r="O943" s="126">
        <f t="shared" si="338"/>
        <v>82.35</v>
      </c>
      <c r="P943" s="126">
        <f t="shared" si="339"/>
        <v>104.30999999999997</v>
      </c>
      <c r="Q943" s="126">
        <f>SUMIF('MPG Payment '!$E$3:$E$34579,'Shayak Income '!D943,'MPG Payment '!$S$3:$S$34579)</f>
        <v>0</v>
      </c>
      <c r="R943" s="126">
        <f t="shared" si="340"/>
        <v>115.11059999999999</v>
      </c>
      <c r="S943" s="126">
        <f t="shared" si="341"/>
        <v>10.800600000000017</v>
      </c>
      <c r="T943" s="126">
        <f t="shared" si="334"/>
        <v>10.979999999999999</v>
      </c>
      <c r="U943" s="127">
        <f>(((IF(K943="New",0,SUMIF('MPG Payment '!$E$3:$E$34579,'Shayak Income '!D943,'MPG Payment '!$AC$3:$AC$34579))))+0)+-237</f>
        <v>175.49712276867041</v>
      </c>
      <c r="V943" s="127">
        <f t="shared" si="335"/>
        <v>0</v>
      </c>
      <c r="W943" s="19">
        <v>0</v>
      </c>
      <c r="X943" s="19">
        <v>0</v>
      </c>
      <c r="Y943" s="128">
        <v>0</v>
      </c>
      <c r="Z943" s="128">
        <v>0</v>
      </c>
      <c r="AA943" s="126">
        <v>0</v>
      </c>
      <c r="AB943" s="129">
        <f t="shared" si="342"/>
        <v>0</v>
      </c>
      <c r="AC943" s="130">
        <f t="shared" si="350"/>
        <v>0</v>
      </c>
      <c r="AD943" s="35">
        <f t="shared" si="343"/>
        <v>0</v>
      </c>
      <c r="AE943" s="166" t="str">
        <f t="shared" si="344"/>
        <v>Release</v>
      </c>
      <c r="AF943" s="127"/>
      <c r="AG943" s="18">
        <v>0</v>
      </c>
      <c r="AH943" s="132" t="s">
        <v>1652</v>
      </c>
      <c r="AI943" s="238">
        <v>0</v>
      </c>
      <c r="AJ943" s="132"/>
      <c r="AK943" s="151">
        <v>0</v>
      </c>
      <c r="AL943" s="154">
        <f t="shared" si="345"/>
        <v>0</v>
      </c>
      <c r="AM943" s="155"/>
      <c r="AN943" s="19">
        <f t="shared" si="331"/>
        <v>0</v>
      </c>
      <c r="AO943" s="118">
        <f>SUMIF('MPG Payment '!E:E,'Shayak Income '!D943,'MPG Payment '!AJ:AJ)</f>
        <v>0</v>
      </c>
      <c r="AP943" s="19">
        <f t="shared" si="332"/>
        <v>0</v>
      </c>
      <c r="AQ943" s="119">
        <f t="shared" si="346"/>
        <v>0</v>
      </c>
      <c r="AR943" s="91" t="s">
        <v>1168</v>
      </c>
      <c r="AS943" s="91">
        <f t="shared" si="333"/>
        <v>0</v>
      </c>
      <c r="AT943" s="118"/>
      <c r="AU943" s="118"/>
      <c r="AV943" s="118"/>
    </row>
    <row r="944" spans="1:48" s="20" customFormat="1" x14ac:dyDescent="0.25">
      <c r="A944" s="17">
        <f>IFERROR(VLOOKUP(D944,'Monthly Deduction'!$I$3:$J$957,2,0),0)</f>
        <v>0</v>
      </c>
      <c r="B944" s="17">
        <f>IFERROR(VLOOKUP(D944,'Monthly Deduction'!$E$3:$F$957,2,0),0)</f>
        <v>0</v>
      </c>
      <c r="C944" s="17">
        <f t="shared" si="337"/>
        <v>0</v>
      </c>
      <c r="D944" s="41">
        <v>10060133</v>
      </c>
      <c r="E944" s="122" t="str">
        <f>VLOOKUP(D944,'MPG Payment '!$E$3:$G$498218,2,0)</f>
        <v>GOMUKH BOHLA</v>
      </c>
      <c r="F944" s="146">
        <f>IFERROR(_xlfn.XLOOKUP(D944,'Monthly Deduction'!$I$3:$I$957,'Monthly Deduction'!$H$3:$H$957),0)</f>
        <v>0</v>
      </c>
      <c r="G944" s="123" t="str">
        <f>VLOOKUP(D944,'MPG Payment '!$E$3:$G$334579,3,0)</f>
        <v>vlc</v>
      </c>
      <c r="H944" s="124" t="str">
        <f>VLOOKUP(D944,'MPG Payment '!$E$3:$H$334579,4,0)</f>
        <v>Indirect</v>
      </c>
      <c r="I944" s="88">
        <f>INDEX('MPG Payment '!$C:$C,MATCH('Shayak Income '!D944,'MPG Payment '!E:E,0))</f>
        <v>1006</v>
      </c>
      <c r="J944" s="88" t="str">
        <f>INDEX('MPG Payment '!$D:$D,MATCH('Shayak Income '!D944,'MPG Payment '!E:E,0))</f>
        <v>Sonvarsha</v>
      </c>
      <c r="K944" s="125" t="s">
        <v>1323</v>
      </c>
      <c r="L944" s="125">
        <v>46126</v>
      </c>
      <c r="M944" s="126">
        <f>SUMIF('MPG Payment '!$E$3:$E$34579,'Shayak Income '!D944,'MPG Payment '!$I$3:$I$34579)</f>
        <v>1646.9</v>
      </c>
      <c r="N944" s="126">
        <f>SUMIF('MPG Payment '!$E$3:$E$34579,'Shayak Income '!D944,'MPG Payment '!$J$3:$J$34579)</f>
        <v>54424.803031411502</v>
      </c>
      <c r="O944" s="126">
        <f t="shared" si="338"/>
        <v>1235.1750000000002</v>
      </c>
      <c r="P944" s="126">
        <f t="shared" si="339"/>
        <v>1564.5550000000001</v>
      </c>
      <c r="Q944" s="126">
        <f>SUMIF('MPG Payment '!$E$3:$E$34579,'Shayak Income '!D944,'MPG Payment '!$S$3:$S$34579)</f>
        <v>0</v>
      </c>
      <c r="R944" s="126">
        <f t="shared" si="340"/>
        <v>1632.7440909423451</v>
      </c>
      <c r="S944" s="126">
        <f t="shared" si="341"/>
        <v>68.189090942345047</v>
      </c>
      <c r="T944" s="126">
        <f t="shared" si="334"/>
        <v>164.69000000000003</v>
      </c>
      <c r="U944" s="127">
        <f>(((IF(K944="New",0,SUMIF('MPG Payment '!$E$3:$E$34579,'Shayak Income '!D944,'MPG Payment '!$AC$3:$AC$34579))))+0)+0</f>
        <v>0</v>
      </c>
      <c r="V944" s="127">
        <f t="shared" si="335"/>
        <v>2635</v>
      </c>
      <c r="W944" s="19">
        <v>0</v>
      </c>
      <c r="X944" s="19">
        <v>0</v>
      </c>
      <c r="Y944" s="128">
        <f>IFERROR(VLOOKUP(D944,'Monthly Deduction'!$M$2:$N$64,2,0),0)</f>
        <v>0</v>
      </c>
      <c r="Z944" s="128">
        <v>0</v>
      </c>
      <c r="AA944" s="126">
        <f>IFERROR(VLOOKUP(D944,'Monthly Deduction'!A:B,2,0),0)</f>
        <v>0</v>
      </c>
      <c r="AB944" s="129">
        <f t="shared" si="342"/>
        <v>2635</v>
      </c>
      <c r="AC944" s="130">
        <v>0</v>
      </c>
      <c r="AD944" s="35">
        <f t="shared" si="343"/>
        <v>2635</v>
      </c>
      <c r="AE944" s="166" t="str">
        <f t="shared" si="344"/>
        <v>Release</v>
      </c>
      <c r="AF944" s="127"/>
      <c r="AG944" s="18">
        <v>0</v>
      </c>
      <c r="AH944" s="132"/>
      <c r="AI944" s="238">
        <v>0</v>
      </c>
      <c r="AJ944" s="132"/>
      <c r="AK944" s="151">
        <v>600.4</v>
      </c>
      <c r="AL944" s="154">
        <f t="shared" si="345"/>
        <v>0</v>
      </c>
      <c r="AM944" s="155"/>
      <c r="AN944" s="19">
        <f t="shared" si="331"/>
        <v>0</v>
      </c>
      <c r="AO944" s="118">
        <f>SUMIF('MPG Payment '!E:E,'Shayak Income '!D944,'MPG Payment '!AJ:AJ)</f>
        <v>0</v>
      </c>
      <c r="AP944" s="19">
        <f t="shared" si="332"/>
        <v>0</v>
      </c>
      <c r="AQ944" s="119">
        <f t="shared" si="346"/>
        <v>0</v>
      </c>
      <c r="AR944" s="91" t="s">
        <v>1168</v>
      </c>
      <c r="AS944" s="91">
        <f t="shared" si="333"/>
        <v>0</v>
      </c>
      <c r="AT944" s="118"/>
      <c r="AU944" s="118"/>
      <c r="AV944" s="118"/>
    </row>
    <row r="945" spans="1:48" s="20" customFormat="1" x14ac:dyDescent="0.25">
      <c r="A945" s="17">
        <f>IFERROR(VLOOKUP(D945,'Monthly Deduction'!$I$3:$J$957,2,0),0)</f>
        <v>0</v>
      </c>
      <c r="B945" s="17">
        <f>IFERROR(VLOOKUP(D945,'Monthly Deduction'!$E$3:$F$957,2,0),0)</f>
        <v>0</v>
      </c>
      <c r="C945" s="17">
        <f t="shared" si="337"/>
        <v>0</v>
      </c>
      <c r="D945" s="41">
        <v>10140204</v>
      </c>
      <c r="E945" s="122" t="str">
        <f>VLOOKUP(D945,'MPG Payment '!$E$3:$G$498218,2,0)</f>
        <v xml:space="preserve">Gomukh Arion Govind </v>
      </c>
      <c r="F945" s="146">
        <f>IFERROR(_xlfn.XLOOKUP(D945,'Monthly Deduction'!$I$3:$I$957,'Monthly Deduction'!$H$3:$H$957),0)</f>
        <v>0</v>
      </c>
      <c r="G945" s="123" t="str">
        <f>VLOOKUP(D945,'MPG Payment '!$E$3:$G$334579,3,0)</f>
        <v>vlc</v>
      </c>
      <c r="H945" s="124" t="str">
        <f>VLOOKUP(D945,'MPG Payment '!$E$3:$H$334579,4,0)</f>
        <v>Indirect</v>
      </c>
      <c r="I945" s="88">
        <f>INDEX('MPG Payment '!$C:$C,MATCH('Shayak Income '!D945,'MPG Payment '!E:E,0))</f>
        <v>1014</v>
      </c>
      <c r="J945" s="88" t="str">
        <f>INDEX('MPG Payment '!$D:$D,MATCH('Shayak Income '!D945,'MPG Payment '!E:E,0))</f>
        <v>Dumraon</v>
      </c>
      <c r="K945" s="125" t="s">
        <v>1323</v>
      </c>
      <c r="L945" s="125">
        <v>46123</v>
      </c>
      <c r="M945" s="126">
        <f>SUMIF('MPG Payment '!$E$3:$E$34579,'Shayak Income '!D945,'MPG Payment '!$I$3:$I$34579)</f>
        <v>487.6</v>
      </c>
      <c r="N945" s="126">
        <f>SUMIF('MPG Payment '!$E$3:$E$34579,'Shayak Income '!D945,'MPG Payment '!$J$3:$J$34579)</f>
        <v>18785.862853499999</v>
      </c>
      <c r="O945" s="126">
        <f t="shared" si="338"/>
        <v>365.70000000000005</v>
      </c>
      <c r="P945" s="126">
        <f t="shared" si="339"/>
        <v>463.22</v>
      </c>
      <c r="Q945" s="126">
        <f>SUMIF('MPG Payment '!$E$3:$E$34579,'Shayak Income '!D945,'MPG Payment '!$S$3:$S$34579)</f>
        <v>0</v>
      </c>
      <c r="R945" s="126">
        <f t="shared" si="340"/>
        <v>563.57588560499994</v>
      </c>
      <c r="S945" s="126">
        <f t="shared" si="341"/>
        <v>100.35588560499991</v>
      </c>
      <c r="T945" s="126">
        <f t="shared" si="334"/>
        <v>48.760000000000005</v>
      </c>
      <c r="U945" s="127">
        <f>(((IF(K945="New",0,SUMIF('MPG Payment '!$E$3:$E$34579,'Shayak Income '!D945,'MPG Payment '!$AC$3:$AC$34579))))+0)+0</f>
        <v>0</v>
      </c>
      <c r="V945" s="127">
        <f t="shared" si="335"/>
        <v>780</v>
      </c>
      <c r="W945" s="19">
        <v>0</v>
      </c>
      <c r="X945" s="19">
        <v>0</v>
      </c>
      <c r="Y945" s="128">
        <f>IFERROR(VLOOKUP(D945,'Monthly Deduction'!$M$2:$N$64,2,0),0)</f>
        <v>0</v>
      </c>
      <c r="Z945" s="128">
        <v>0</v>
      </c>
      <c r="AA945" s="126">
        <f>IFERROR(VLOOKUP(D945,'Monthly Deduction'!A:B,2,0),0)</f>
        <v>0</v>
      </c>
      <c r="AB945" s="129">
        <f t="shared" si="342"/>
        <v>780</v>
      </c>
      <c r="AC945" s="130">
        <v>0</v>
      </c>
      <c r="AD945" s="35">
        <f t="shared" si="343"/>
        <v>780</v>
      </c>
      <c r="AE945" s="166" t="str">
        <f t="shared" si="344"/>
        <v>Release</v>
      </c>
      <c r="AF945" s="127"/>
      <c r="AG945" s="18">
        <v>0</v>
      </c>
      <c r="AH945" s="132"/>
      <c r="AI945" s="238">
        <v>0</v>
      </c>
      <c r="AJ945" s="132"/>
      <c r="AK945" s="151">
        <v>89.1</v>
      </c>
      <c r="AL945" s="154">
        <f t="shared" si="345"/>
        <v>0</v>
      </c>
      <c r="AM945" s="155"/>
      <c r="AN945" s="19">
        <f t="shared" si="331"/>
        <v>0</v>
      </c>
      <c r="AO945" s="118">
        <f>SUMIF('MPG Payment '!E:E,'Shayak Income '!D945,'MPG Payment '!AJ:AJ)</f>
        <v>0</v>
      </c>
      <c r="AP945" s="19">
        <f t="shared" si="332"/>
        <v>0</v>
      </c>
      <c r="AQ945" s="119">
        <f t="shared" si="346"/>
        <v>0</v>
      </c>
      <c r="AR945" s="91" t="s">
        <v>1168</v>
      </c>
      <c r="AS945" s="91">
        <f t="shared" si="333"/>
        <v>0</v>
      </c>
      <c r="AT945" s="118"/>
      <c r="AU945" s="118"/>
      <c r="AV945" s="118"/>
    </row>
    <row r="946" spans="1:48" s="20" customFormat="1" x14ac:dyDescent="0.25">
      <c r="A946" s="17">
        <f>IFERROR(VLOOKUP(D946,'Monthly Deduction'!$I$3:$J$957,2,0),0)</f>
        <v>0</v>
      </c>
      <c r="B946" s="17">
        <f>IFERROR(VLOOKUP(D946,'Monthly Deduction'!$E$3:$F$957,2,0),0)</f>
        <v>0</v>
      </c>
      <c r="C946" s="17">
        <f t="shared" si="337"/>
        <v>0</v>
      </c>
      <c r="D946" s="41">
        <v>10520011</v>
      </c>
      <c r="E946" s="122" t="str">
        <f>VLOOKUP(D946,'MPG Payment '!$E$3:$G$498218,2,0)</f>
        <v>Nand Kishor Kumar</v>
      </c>
      <c r="F946" s="146">
        <f>IFERROR(_xlfn.XLOOKUP(D946,'Monthly Deduction'!$I$3:$I$957,'Monthly Deduction'!$H$3:$H$957),0)</f>
        <v>0</v>
      </c>
      <c r="G946" s="123" t="str">
        <f>VLOOKUP(D946,'MPG Payment '!$E$3:$G$334579,3,0)</f>
        <v>vlc</v>
      </c>
      <c r="H946" s="124" t="str">
        <f>VLOOKUP(D946,'MPG Payment '!$E$3:$H$334579,4,0)</f>
        <v>Indirect</v>
      </c>
      <c r="I946" s="88">
        <f>INDEX('MPG Payment '!$C:$C,MATCH('Shayak Income '!D946,'MPG Payment '!E:E,0))</f>
        <v>1010</v>
      </c>
      <c r="J946" s="88" t="str">
        <f>INDEX('MPG Payment '!$D:$D,MATCH('Shayak Income '!D946,'MPG Payment '!E:E,0))</f>
        <v>Parbatta</v>
      </c>
      <c r="K946" s="125" t="s">
        <v>1323</v>
      </c>
      <c r="L946" s="125">
        <v>46124</v>
      </c>
      <c r="M946" s="126">
        <f>SUMIF('MPG Payment '!$E$3:$E$34579,'Shayak Income '!D946,'MPG Payment '!$I$3:$I$34579)</f>
        <v>44417</v>
      </c>
      <c r="N946" s="126">
        <f>SUMIF('MPG Payment '!$E$3:$E$34579,'Shayak Income '!D946,'MPG Payment '!$J$3:$J$34579)</f>
        <v>1463904.6049486001</v>
      </c>
      <c r="O946" s="126">
        <f t="shared" si="338"/>
        <v>33312.75</v>
      </c>
      <c r="P946" s="126">
        <f t="shared" si="339"/>
        <v>42196.15</v>
      </c>
      <c r="Q946" s="126">
        <f>SUMIF('MPG Payment '!$E$3:$E$34579,'Shayak Income '!D946,'MPG Payment '!$S$3:$S$34579)</f>
        <v>0</v>
      </c>
      <c r="R946" s="126">
        <f t="shared" si="340"/>
        <v>43917.138148457998</v>
      </c>
      <c r="S946" s="126">
        <f t="shared" si="341"/>
        <v>1720.9881484579964</v>
      </c>
      <c r="T946" s="126">
        <v>0</v>
      </c>
      <c r="U946" s="127">
        <f>(((IF(K946="New",0,SUMIF('MPG Payment '!$E$3:$E$34579,'Shayak Income '!D946,'MPG Payment '!$AC$3:$AC$34579))))+0)+0</f>
        <v>0</v>
      </c>
      <c r="V946" s="127">
        <f t="shared" si="335"/>
        <v>75509</v>
      </c>
      <c r="W946" s="19">
        <v>0</v>
      </c>
      <c r="X946" s="19">
        <v>0</v>
      </c>
      <c r="Y946" s="128">
        <f>IFERROR(VLOOKUP(D946,'Monthly Deduction'!$M$2:$N$64,2,0),0)</f>
        <v>0</v>
      </c>
      <c r="Z946" s="128">
        <v>0</v>
      </c>
      <c r="AA946" s="126">
        <f>IFERROR(VLOOKUP(D946,'Monthly Deduction'!A:B,2,0),0)</f>
        <v>2781.8999999999996</v>
      </c>
      <c r="AB946" s="129">
        <f t="shared" si="342"/>
        <v>72727</v>
      </c>
      <c r="AC946" s="130">
        <v>0</v>
      </c>
      <c r="AD946" s="35">
        <f t="shared" si="343"/>
        <v>72727</v>
      </c>
      <c r="AE946" s="166" t="str">
        <f t="shared" si="344"/>
        <v>Release</v>
      </c>
      <c r="AF946" s="127"/>
      <c r="AG946" s="234">
        <v>0</v>
      </c>
      <c r="AH946" s="120"/>
      <c r="AI946" s="238">
        <v>0</v>
      </c>
      <c r="AJ946" s="132"/>
      <c r="AK946" s="151">
        <v>17132</v>
      </c>
      <c r="AL946" s="154">
        <f t="shared" si="345"/>
        <v>0</v>
      </c>
      <c r="AM946" s="155"/>
      <c r="AN946" s="19">
        <f t="shared" si="331"/>
        <v>0</v>
      </c>
      <c r="AO946" s="118">
        <f>SUMIF('MPG Payment '!E:E,'Shayak Income '!D946,'MPG Payment '!AJ:AJ)</f>
        <v>0</v>
      </c>
      <c r="AP946" s="19">
        <f t="shared" si="332"/>
        <v>0</v>
      </c>
      <c r="AQ946" s="119">
        <f t="shared" si="346"/>
        <v>0</v>
      </c>
      <c r="AR946" s="91" t="s">
        <v>1168</v>
      </c>
      <c r="AS946" s="91">
        <f t="shared" si="333"/>
        <v>0</v>
      </c>
      <c r="AT946" s="118"/>
      <c r="AU946" s="118"/>
      <c r="AV946" s="118"/>
    </row>
    <row r="947" spans="1:48" s="20" customFormat="1" x14ac:dyDescent="0.25">
      <c r="A947" s="17">
        <f>IFERROR(VLOOKUP(D947,'Monthly Deduction'!$I$3:$J$957,2,0),0)</f>
        <v>0</v>
      </c>
      <c r="B947" s="17">
        <f>IFERROR(VLOOKUP(D947,'Monthly Deduction'!$E$3:$F$957,2,0),0)</f>
        <v>0</v>
      </c>
      <c r="C947" s="17">
        <f t="shared" si="319"/>
        <v>0</v>
      </c>
      <c r="D947" s="41">
        <v>10530115</v>
      </c>
      <c r="E947" s="122" t="str">
        <f>VLOOKUP(D947,'MPG Payment '!$E$3:$G$498218,2,0)</f>
        <v>GOMUKH DHROOVGAMA W-12</v>
      </c>
      <c r="F947" s="146">
        <f>IFERROR(_xlfn.XLOOKUP(D947,'Monthly Deduction'!$I$3:$I$957,'Monthly Deduction'!$H$3:$H$957),0)</f>
        <v>0</v>
      </c>
      <c r="G947" s="123" t="str">
        <f>VLOOKUP(D947,'MPG Payment '!$E$3:$G$334579,3,0)</f>
        <v>vlc</v>
      </c>
      <c r="H947" s="124" t="str">
        <f>VLOOKUP(D947,'MPG Payment '!$E$3:$H$334579,4,0)</f>
        <v>Indirect</v>
      </c>
      <c r="I947" s="88">
        <f>INDEX('MPG Payment '!$C:$C,MATCH('Shayak Income '!D947,'MPG Payment '!E:E,0))</f>
        <v>1053</v>
      </c>
      <c r="J947" s="88" t="str">
        <f>INDEX('MPG Payment '!$D:$D,MATCH('Shayak Income '!D947,'MPG Payment '!E:E,0))</f>
        <v>Kalyanpur</v>
      </c>
      <c r="K947" s="125" t="s">
        <v>1323</v>
      </c>
      <c r="L947" s="125">
        <v>46127</v>
      </c>
      <c r="M947" s="126">
        <f>SUMIF('MPG Payment '!$E$3:$E$34579,'Shayak Income '!D947,'MPG Payment '!$I$3:$I$34579)</f>
        <v>1178.5</v>
      </c>
      <c r="N947" s="126">
        <f>SUMIF('MPG Payment '!$E$3:$E$34579,'Shayak Income '!D947,'MPG Payment '!$J$3:$J$34579)</f>
        <v>44612.125234210005</v>
      </c>
      <c r="O947" s="126">
        <f t="shared" si="320"/>
        <v>883.875</v>
      </c>
      <c r="P947" s="126">
        <f t="shared" si="321"/>
        <v>1119.575</v>
      </c>
      <c r="Q947" s="126">
        <f>SUMIF('MPG Payment '!$E$3:$E$34579,'Shayak Income '!D947,'MPG Payment '!$S$3:$S$34579)</f>
        <v>0</v>
      </c>
      <c r="R947" s="126">
        <f t="shared" si="322"/>
        <v>1338.3637570263002</v>
      </c>
      <c r="S947" s="126">
        <f t="shared" si="323"/>
        <v>218.78875702630012</v>
      </c>
      <c r="T947" s="126">
        <f t="shared" si="334"/>
        <v>117.85000000000001</v>
      </c>
      <c r="U947" s="127">
        <f>(((IF(K947="New",0,SUMIF('MPG Payment '!$E$3:$E$34579,'Shayak Income '!D947,'MPG Payment '!$AC$3:$AC$34579))))+0)+0</f>
        <v>0</v>
      </c>
      <c r="V947" s="127">
        <f t="shared" si="335"/>
        <v>1886</v>
      </c>
      <c r="W947" s="19">
        <v>0</v>
      </c>
      <c r="X947" s="19">
        <v>0</v>
      </c>
      <c r="Y947" s="128">
        <f>IFERROR(VLOOKUP(D947,'Monthly Deduction'!$M$2:$N$64,2,0),0)</f>
        <v>0</v>
      </c>
      <c r="Z947" s="128">
        <v>0</v>
      </c>
      <c r="AA947" s="126">
        <f>IFERROR(VLOOKUP(D947,'Monthly Deduction'!A:B,2,0),0)</f>
        <v>0</v>
      </c>
      <c r="AB947" s="129">
        <f t="shared" si="324"/>
        <v>1886</v>
      </c>
      <c r="AC947" s="130">
        <v>0</v>
      </c>
      <c r="AD947" s="35">
        <f t="shared" si="325"/>
        <v>1886</v>
      </c>
      <c r="AE947" s="166" t="str">
        <f t="shared" si="326"/>
        <v>Release</v>
      </c>
      <c r="AF947" s="127"/>
      <c r="AG947" s="18">
        <v>0</v>
      </c>
      <c r="AH947" s="132"/>
      <c r="AI947" s="238">
        <v>0</v>
      </c>
      <c r="AJ947" s="132"/>
      <c r="AK947" s="151">
        <v>317.29999999999995</v>
      </c>
      <c r="AL947" s="154">
        <f t="shared" si="327"/>
        <v>0</v>
      </c>
      <c r="AM947" s="155"/>
      <c r="AN947" s="19">
        <f t="shared" si="331"/>
        <v>0</v>
      </c>
      <c r="AO947" s="118">
        <f>SUMIF('MPG Payment '!E:E,'Shayak Income '!D947,'MPG Payment '!AJ:AJ)</f>
        <v>0</v>
      </c>
      <c r="AP947" s="19">
        <f t="shared" si="332"/>
        <v>0</v>
      </c>
      <c r="AQ947" s="119">
        <f t="shared" si="328"/>
        <v>0</v>
      </c>
      <c r="AR947" s="91" t="s">
        <v>1168</v>
      </c>
      <c r="AS947" s="91">
        <f t="shared" si="333"/>
        <v>0</v>
      </c>
      <c r="AT947" s="118"/>
      <c r="AU947" s="118"/>
      <c r="AV947" s="118"/>
    </row>
    <row r="948" spans="1:48" s="20" customFormat="1" x14ac:dyDescent="0.25">
      <c r="A948" s="17">
        <f>IFERROR(VLOOKUP(D948,'Monthly Deduction'!$I$3:$J$957,2,0),0)</f>
        <v>0</v>
      </c>
      <c r="B948" s="17">
        <f>IFERROR(VLOOKUP(D948,'Monthly Deduction'!$E$3:$F$957,2,0),0)</f>
        <v>0</v>
      </c>
      <c r="C948" s="17">
        <f t="shared" ref="C948:C1005" si="351">A948+B948</f>
        <v>0</v>
      </c>
      <c r="D948" s="41">
        <v>10550009</v>
      </c>
      <c r="E948" s="122" t="str">
        <f>VLOOKUP(D948,'MPG Payment '!$E$3:$G$498218,2,0)</f>
        <v>Chak</v>
      </c>
      <c r="F948" s="146">
        <f>IFERROR(_xlfn.XLOOKUP(D948,'Monthly Deduction'!$I$3:$I$957,'Monthly Deduction'!$H$3:$H$957),0)</f>
        <v>0</v>
      </c>
      <c r="G948" s="123" t="str">
        <f>VLOOKUP(D948,'MPG Payment '!$E$3:$G$334579,3,0)</f>
        <v>vlc</v>
      </c>
      <c r="H948" s="124" t="str">
        <f>VLOOKUP(D948,'MPG Payment '!$E$3:$H$334579,4,0)</f>
        <v>Indirect</v>
      </c>
      <c r="I948" s="88">
        <f>INDEX('MPG Payment '!$C:$C,MATCH('Shayak Income '!D948,'MPG Payment '!E:E,0))</f>
        <v>1055</v>
      </c>
      <c r="J948" s="88" t="str">
        <f>INDEX('MPG Payment '!$D:$D,MATCH('Shayak Income '!D948,'MPG Payment '!E:E,0))</f>
        <v>Matihani</v>
      </c>
      <c r="K948" s="125" t="s">
        <v>1323</v>
      </c>
      <c r="L948" s="125">
        <v>46122</v>
      </c>
      <c r="M948" s="126">
        <f>SUMIF('MPG Payment '!$E$3:$E$34579,'Shayak Income '!D948,'MPG Payment '!$I$3:$I$34579)</f>
        <v>4410.2</v>
      </c>
      <c r="N948" s="126">
        <f>SUMIF('MPG Payment '!$E$3:$E$34579,'Shayak Income '!D948,'MPG Payment '!$J$3:$J$34579)</f>
        <v>164982.16430981003</v>
      </c>
      <c r="O948" s="126">
        <f t="shared" ref="O948:O1005" si="352">+M948*0.75</f>
        <v>3307.6499999999996</v>
      </c>
      <c r="P948" s="126">
        <f t="shared" ref="P948:P1005" si="353">+M948*0.95</f>
        <v>4189.6899999999996</v>
      </c>
      <c r="Q948" s="126">
        <f>SUMIF('MPG Payment '!$E$3:$E$34579,'Shayak Income '!D948,'MPG Payment '!$S$3:$S$34579)</f>
        <v>0</v>
      </c>
      <c r="R948" s="126">
        <f t="shared" ref="R948:R1005" si="354">+N948*3%</f>
        <v>4949.4649292943004</v>
      </c>
      <c r="S948" s="126">
        <f t="shared" ref="S948:S1005" si="355">R948-P948</f>
        <v>759.77492929430082</v>
      </c>
      <c r="T948" s="126">
        <f t="shared" si="334"/>
        <v>441.02</v>
      </c>
      <c r="U948" s="127">
        <f>(((IF(K948="New",0,SUMIF('MPG Payment '!$E$3:$E$34579,'Shayak Income '!D948,'MPG Payment '!$AC$3:$AC$34579))))+0)+0</f>
        <v>0</v>
      </c>
      <c r="V948" s="127">
        <f t="shared" si="335"/>
        <v>7056</v>
      </c>
      <c r="W948" s="19">
        <v>0</v>
      </c>
      <c r="X948" s="19">
        <v>0</v>
      </c>
      <c r="Y948" s="128">
        <f>IFERROR(VLOOKUP(D948,'Monthly Deduction'!$M$2:$N$64,2,0),0)</f>
        <v>0</v>
      </c>
      <c r="Z948" s="128">
        <v>0</v>
      </c>
      <c r="AA948" s="126">
        <f>IFERROR(VLOOKUP(D948,'Monthly Deduction'!A:B,2,0),0)</f>
        <v>0</v>
      </c>
      <c r="AB948" s="129">
        <f t="shared" ref="AB948:AB1005" si="356">ROUND(IFERROR(V948-SUM(W948:AA948),0),0)</f>
        <v>7056</v>
      </c>
      <c r="AC948" s="130">
        <v>0</v>
      </c>
      <c r="AD948" s="35">
        <f t="shared" ref="AD948:AD1005" si="357">ROUND(AB948-AC948,0)</f>
        <v>7056</v>
      </c>
      <c r="AE948" s="166" t="str">
        <f t="shared" ref="AE948:AE1005" si="358">IF(AC948&lt;&gt;0,"Yes","Release")</f>
        <v>Release</v>
      </c>
      <c r="AF948" s="127"/>
      <c r="AG948" s="234">
        <v>0</v>
      </c>
      <c r="AH948" s="120"/>
      <c r="AI948" s="238">
        <v>0</v>
      </c>
      <c r="AJ948" s="132"/>
      <c r="AK948" s="151">
        <v>1288.7</v>
      </c>
      <c r="AL948" s="154">
        <f t="shared" ref="AL948:AL1005" si="359">COUNTIF(AK948:AK948,"=NA")</f>
        <v>0</v>
      </c>
      <c r="AM948" s="155"/>
      <c r="AN948" s="19">
        <f t="shared" si="331"/>
        <v>0</v>
      </c>
      <c r="AO948" s="118">
        <f>SUMIF('MPG Payment '!E:E,'Shayak Income '!D948,'MPG Payment '!AJ:AJ)</f>
        <v>0</v>
      </c>
      <c r="AP948" s="19">
        <f t="shared" si="332"/>
        <v>0</v>
      </c>
      <c r="AQ948" s="119">
        <f t="shared" ref="AQ948:AQ1005" si="360">AO948+AP948</f>
        <v>0</v>
      </c>
      <c r="AR948" s="91" t="s">
        <v>1168</v>
      </c>
      <c r="AS948" s="91">
        <f t="shared" si="333"/>
        <v>0</v>
      </c>
      <c r="AT948" s="118"/>
      <c r="AU948" s="118"/>
      <c r="AV948" s="118"/>
    </row>
    <row r="949" spans="1:48" s="20" customFormat="1" x14ac:dyDescent="0.25">
      <c r="A949" s="17">
        <f>IFERROR(VLOOKUP(D949,'Monthly Deduction'!$I$3:$J$957,2,0),0)</f>
        <v>0</v>
      </c>
      <c r="B949" s="17">
        <f>IFERROR(VLOOKUP(D949,'Monthly Deduction'!$E$3:$F$957,2,0),0)</f>
        <v>0</v>
      </c>
      <c r="C949" s="17">
        <f t="shared" si="351"/>
        <v>0</v>
      </c>
      <c r="D949" s="41">
        <v>10570058</v>
      </c>
      <c r="E949" s="122" t="str">
        <f>VLOOKUP(D949,'MPG Payment '!$E$3:$G$498218,2,0)</f>
        <v>Babupur</v>
      </c>
      <c r="F949" s="146">
        <f>IFERROR(_xlfn.XLOOKUP(D949,'Monthly Deduction'!$I$3:$I$957,'Monthly Deduction'!$H$3:$H$957),0)</f>
        <v>0</v>
      </c>
      <c r="G949" s="123" t="str">
        <f>VLOOKUP(D949,'MPG Payment '!$E$3:$G$334579,3,0)</f>
        <v>vlc</v>
      </c>
      <c r="H949" s="124" t="str">
        <f>VLOOKUP(D949,'MPG Payment '!$E$3:$H$334579,4,0)</f>
        <v>Indirect</v>
      </c>
      <c r="I949" s="88">
        <f>INDEX('MPG Payment '!$C:$C,MATCH('Shayak Income '!D949,'MPG Payment '!E:E,0))</f>
        <v>1057</v>
      </c>
      <c r="J949" s="88" t="str">
        <f>INDEX('MPG Payment '!$D:$D,MATCH('Shayak Income '!D949,'MPG Payment '!E:E,0))</f>
        <v>Warisnagar</v>
      </c>
      <c r="K949" s="125" t="s">
        <v>1323</v>
      </c>
      <c r="L949" s="125">
        <v>46122</v>
      </c>
      <c r="M949" s="126">
        <f>SUMIF('MPG Payment '!$E$3:$E$34579,'Shayak Income '!D949,'MPG Payment '!$I$3:$I$34579)</f>
        <v>2096.4</v>
      </c>
      <c r="N949" s="126">
        <f>SUMIF('MPG Payment '!$E$3:$E$34579,'Shayak Income '!D949,'MPG Payment '!$J$3:$J$34579)</f>
        <v>75208.197518614004</v>
      </c>
      <c r="O949" s="126">
        <f t="shared" si="352"/>
        <v>1572.3000000000002</v>
      </c>
      <c r="P949" s="126">
        <f t="shared" si="353"/>
        <v>1991.58</v>
      </c>
      <c r="Q949" s="126">
        <f>SUMIF('MPG Payment '!$E$3:$E$34579,'Shayak Income '!D949,'MPG Payment '!$S$3:$S$34579)</f>
        <v>0</v>
      </c>
      <c r="R949" s="126">
        <f t="shared" si="354"/>
        <v>2256.2459255584199</v>
      </c>
      <c r="S949" s="126">
        <f t="shared" si="355"/>
        <v>264.66592555841999</v>
      </c>
      <c r="T949" s="126">
        <f t="shared" si="334"/>
        <v>209.64000000000001</v>
      </c>
      <c r="U949" s="127">
        <f>(((IF(K949="New",0,SUMIF('MPG Payment '!$E$3:$E$34579,'Shayak Income '!D949,'MPG Payment '!$AC$3:$AC$34579))))+0)+0</f>
        <v>0</v>
      </c>
      <c r="V949" s="127">
        <f t="shared" si="335"/>
        <v>3354</v>
      </c>
      <c r="W949" s="19">
        <v>0</v>
      </c>
      <c r="X949" s="19">
        <v>0</v>
      </c>
      <c r="Y949" s="128">
        <f>IFERROR(VLOOKUP(D949,'Monthly Deduction'!$M$2:$N$64,2,0),0)</f>
        <v>0</v>
      </c>
      <c r="Z949" s="128">
        <v>0</v>
      </c>
      <c r="AA949" s="126">
        <f>IFERROR(VLOOKUP(D949,'Monthly Deduction'!A:B,2,0),0)</f>
        <v>0</v>
      </c>
      <c r="AB949" s="129">
        <f t="shared" si="356"/>
        <v>3354</v>
      </c>
      <c r="AC949" s="130">
        <v>0</v>
      </c>
      <c r="AD949" s="35">
        <f t="shared" si="357"/>
        <v>3354</v>
      </c>
      <c r="AE949" s="166" t="str">
        <f t="shared" si="358"/>
        <v>Release</v>
      </c>
      <c r="AF949" s="127"/>
      <c r="AG949" s="18">
        <v>0</v>
      </c>
      <c r="AH949" s="132"/>
      <c r="AI949" s="238">
        <v>0</v>
      </c>
      <c r="AJ949" s="132"/>
      <c r="AK949" s="151">
        <v>292.09999999999997</v>
      </c>
      <c r="AL949" s="154">
        <f t="shared" si="359"/>
        <v>0</v>
      </c>
      <c r="AM949" s="155"/>
      <c r="AN949" s="19">
        <f t="shared" si="331"/>
        <v>0</v>
      </c>
      <c r="AO949" s="118">
        <f>SUMIF('MPG Payment '!E:E,'Shayak Income '!D949,'MPG Payment '!AJ:AJ)</f>
        <v>0</v>
      </c>
      <c r="AP949" s="19">
        <f t="shared" si="332"/>
        <v>0</v>
      </c>
      <c r="AQ949" s="119">
        <f t="shared" si="360"/>
        <v>0</v>
      </c>
      <c r="AR949" s="91" t="s">
        <v>1168</v>
      </c>
      <c r="AS949" s="91">
        <f t="shared" si="333"/>
        <v>0</v>
      </c>
      <c r="AT949" s="118"/>
      <c r="AU949" s="118"/>
      <c r="AV949" s="118"/>
    </row>
    <row r="950" spans="1:48" s="20" customFormat="1" x14ac:dyDescent="0.25">
      <c r="A950" s="17">
        <f>IFERROR(VLOOKUP(D950,'Monthly Deduction'!$I$3:$J$957,2,0),0)</f>
        <v>0</v>
      </c>
      <c r="B950" s="17">
        <f>IFERROR(VLOOKUP(D950,'Monthly Deduction'!$E$3:$F$957,2,0),0)</f>
        <v>0</v>
      </c>
      <c r="C950" s="17">
        <f t="shared" ref="C950:C999" si="361">A950+B950</f>
        <v>0</v>
      </c>
      <c r="D950" s="41">
        <v>10570059</v>
      </c>
      <c r="E950" s="122" t="str">
        <f>VLOOKUP(D950,'MPG Payment '!$E$3:$G$498218,2,0)</f>
        <v>Rahua 2</v>
      </c>
      <c r="F950" s="146">
        <f>IFERROR(_xlfn.XLOOKUP(D950,'Monthly Deduction'!$I$3:$I$957,'Monthly Deduction'!$H$3:$H$957),0)</f>
        <v>0</v>
      </c>
      <c r="G950" s="123" t="str">
        <f>VLOOKUP(D950,'MPG Payment '!$E$3:$G$334579,3,0)</f>
        <v>vlc</v>
      </c>
      <c r="H950" s="124" t="str">
        <f>VLOOKUP(D950,'MPG Payment '!$E$3:$H$334579,4,0)</f>
        <v>Indirect</v>
      </c>
      <c r="I950" s="88">
        <f>INDEX('MPG Payment '!$C:$C,MATCH('Shayak Income '!D950,'MPG Payment '!E:E,0))</f>
        <v>1057</v>
      </c>
      <c r="J950" s="88" t="str">
        <f>INDEX('MPG Payment '!$D:$D,MATCH('Shayak Income '!D950,'MPG Payment '!E:E,0))</f>
        <v>Warisnagar</v>
      </c>
      <c r="K950" s="125" t="s">
        <v>1323</v>
      </c>
      <c r="L950" s="125">
        <v>46122</v>
      </c>
      <c r="M950" s="126">
        <f>SUMIF('MPG Payment '!$E$3:$E$34579,'Shayak Income '!D950,'MPG Payment '!$I$3:$I$34579)</f>
        <v>5880.7000000000007</v>
      </c>
      <c r="N950" s="126">
        <f>SUMIF('MPG Payment '!$E$3:$E$34579,'Shayak Income '!D950,'MPG Payment '!$J$3:$J$34579)</f>
        <v>252231.04248979143</v>
      </c>
      <c r="O950" s="126">
        <f t="shared" ref="O950:O999" si="362">+M950*0.75</f>
        <v>4410.5250000000005</v>
      </c>
      <c r="P950" s="126">
        <f t="shared" ref="P950:P999" si="363">+M950*0.95</f>
        <v>5586.6650000000009</v>
      </c>
      <c r="Q950" s="126">
        <f>SUMIF('MPG Payment '!$E$3:$E$34579,'Shayak Income '!D950,'MPG Payment '!$S$3:$S$34579)</f>
        <v>0</v>
      </c>
      <c r="R950" s="126">
        <f t="shared" ref="R950:R999" si="364">+N950*3%</f>
        <v>7566.931274693743</v>
      </c>
      <c r="S950" s="126">
        <f t="shared" ref="S950:S999" si="365">R950-P950</f>
        <v>1980.2662746937422</v>
      </c>
      <c r="T950" s="126">
        <f t="shared" si="334"/>
        <v>588.07000000000005</v>
      </c>
      <c r="U950" s="127">
        <f>(((IF(K950="New",0,SUMIF('MPG Payment '!$E$3:$E$34579,'Shayak Income '!D950,'MPG Payment '!$AC$3:$AC$34579))))+0)+0</f>
        <v>0</v>
      </c>
      <c r="V950" s="127">
        <f t="shared" si="335"/>
        <v>9409</v>
      </c>
      <c r="W950" s="19">
        <v>0</v>
      </c>
      <c r="X950" s="19">
        <v>0</v>
      </c>
      <c r="Y950" s="128">
        <f>IFERROR(VLOOKUP(D950,'Monthly Deduction'!$M$2:$N$64,2,0),0)</f>
        <v>0</v>
      </c>
      <c r="Z950" s="128">
        <v>0</v>
      </c>
      <c r="AA950" s="126">
        <f>IFERROR(VLOOKUP(D950,'Monthly Deduction'!A:B,2,0),0)</f>
        <v>0</v>
      </c>
      <c r="AB950" s="129">
        <f t="shared" ref="AB950:AB999" si="366">ROUND(IFERROR(V950-SUM(W950:AA950),0),0)</f>
        <v>9409</v>
      </c>
      <c r="AC950" s="130">
        <v>0</v>
      </c>
      <c r="AD950" s="35">
        <f t="shared" ref="AD950:AD999" si="367">ROUND(AB950-AC950,0)</f>
        <v>9409</v>
      </c>
      <c r="AE950" s="166" t="str">
        <f t="shared" ref="AE950:AE999" si="368">IF(AC950&lt;&gt;0,"Yes","Release")</f>
        <v>Release</v>
      </c>
      <c r="AF950" s="127"/>
      <c r="AG950" s="18">
        <v>0</v>
      </c>
      <c r="AH950" s="120"/>
      <c r="AI950" s="238">
        <v>0</v>
      </c>
      <c r="AJ950" s="132"/>
      <c r="AK950" s="151">
        <v>1453.3000000000002</v>
      </c>
      <c r="AL950" s="154">
        <f t="shared" ref="AL950:AL999" si="369">COUNTIF(AK950:AK950,"=NA")</f>
        <v>0</v>
      </c>
      <c r="AM950" s="155"/>
      <c r="AN950" s="19">
        <f t="shared" si="331"/>
        <v>0</v>
      </c>
      <c r="AO950" s="118">
        <f>SUMIF('MPG Payment '!E:E,'Shayak Income '!D950,'MPG Payment '!AJ:AJ)</f>
        <v>0</v>
      </c>
      <c r="AP950" s="19">
        <f t="shared" si="332"/>
        <v>0</v>
      </c>
      <c r="AQ950" s="119">
        <f t="shared" ref="AQ950:AQ999" si="370">AO950+AP950</f>
        <v>0</v>
      </c>
      <c r="AR950" s="91" t="s">
        <v>1168</v>
      </c>
      <c r="AS950" s="91">
        <f t="shared" si="333"/>
        <v>0</v>
      </c>
      <c r="AT950" s="118"/>
      <c r="AU950" s="118"/>
      <c r="AV950" s="118"/>
    </row>
    <row r="951" spans="1:48" s="20" customFormat="1" x14ac:dyDescent="0.25">
      <c r="A951" s="17">
        <f>IFERROR(VLOOKUP(D951,'Monthly Deduction'!$I$3:$J$957,2,0),0)</f>
        <v>0</v>
      </c>
      <c r="B951" s="17">
        <f>IFERROR(VLOOKUP(D951,'Monthly Deduction'!$E$3:$F$957,2,0),0)</f>
        <v>0</v>
      </c>
      <c r="C951" s="17">
        <f t="shared" si="361"/>
        <v>0</v>
      </c>
      <c r="D951" s="41">
        <v>10570060</v>
      </c>
      <c r="E951" s="122" t="str">
        <f>VLOOKUP(D951,'MPG Payment '!$E$3:$G$498218,2,0)</f>
        <v>Madhopur</v>
      </c>
      <c r="F951" s="146">
        <f>IFERROR(_xlfn.XLOOKUP(D951,'Monthly Deduction'!$I$3:$I$957,'Monthly Deduction'!$H$3:$H$957),0)</f>
        <v>0</v>
      </c>
      <c r="G951" s="123" t="str">
        <f>VLOOKUP(D951,'MPG Payment '!$E$3:$G$334579,3,0)</f>
        <v>vlc</v>
      </c>
      <c r="H951" s="124" t="str">
        <f>VLOOKUP(D951,'MPG Payment '!$E$3:$H$334579,4,0)</f>
        <v>Indirect</v>
      </c>
      <c r="I951" s="88">
        <f>INDEX('MPG Payment '!$C:$C,MATCH('Shayak Income '!D951,'MPG Payment '!E:E,0))</f>
        <v>1057</v>
      </c>
      <c r="J951" s="88" t="str">
        <f>INDEX('MPG Payment '!$D:$D,MATCH('Shayak Income '!D951,'MPG Payment '!E:E,0))</f>
        <v>Warisnagar</v>
      </c>
      <c r="K951" s="125" t="s">
        <v>1323</v>
      </c>
      <c r="L951" s="125">
        <v>46122</v>
      </c>
      <c r="M951" s="126">
        <f>SUMIF('MPG Payment '!$E$3:$E$34579,'Shayak Income '!D951,'MPG Payment '!$I$3:$I$34579)</f>
        <v>2701.6000000000004</v>
      </c>
      <c r="N951" s="126">
        <f>SUMIF('MPG Payment '!$E$3:$E$34579,'Shayak Income '!D951,'MPG Payment '!$J$3:$J$34579)</f>
        <v>109463.99140829881</v>
      </c>
      <c r="O951" s="126">
        <f t="shared" si="362"/>
        <v>2026.2000000000003</v>
      </c>
      <c r="P951" s="126">
        <f t="shared" si="363"/>
        <v>2566.5200000000004</v>
      </c>
      <c r="Q951" s="126">
        <f>SUMIF('MPG Payment '!$E$3:$E$34579,'Shayak Income '!D951,'MPG Payment '!$S$3:$S$34579)</f>
        <v>0</v>
      </c>
      <c r="R951" s="126">
        <f t="shared" si="364"/>
        <v>3283.9197422489642</v>
      </c>
      <c r="S951" s="126">
        <f t="shared" si="365"/>
        <v>717.39974224896378</v>
      </c>
      <c r="T951" s="126">
        <f t="shared" si="334"/>
        <v>270.16000000000003</v>
      </c>
      <c r="U951" s="127">
        <f>(((IF(K951="New",0,SUMIF('MPG Payment '!$E$3:$E$34579,'Shayak Income '!D951,'MPG Payment '!$AC$3:$AC$34579))))+0)+0</f>
        <v>0</v>
      </c>
      <c r="V951" s="127">
        <f t="shared" si="335"/>
        <v>4323</v>
      </c>
      <c r="W951" s="19">
        <v>0</v>
      </c>
      <c r="X951" s="19">
        <v>0</v>
      </c>
      <c r="Y951" s="128">
        <f>IFERROR(VLOOKUP(D951,'Monthly Deduction'!$M$2:$N$64,2,0),0)</f>
        <v>0</v>
      </c>
      <c r="Z951" s="128">
        <v>0</v>
      </c>
      <c r="AA951" s="126">
        <f>IFERROR(VLOOKUP(D951,'Monthly Deduction'!A:B,2,0),0)</f>
        <v>0</v>
      </c>
      <c r="AB951" s="129">
        <f t="shared" si="366"/>
        <v>4323</v>
      </c>
      <c r="AC951" s="130">
        <v>0</v>
      </c>
      <c r="AD951" s="35">
        <f t="shared" si="367"/>
        <v>4323</v>
      </c>
      <c r="AE951" s="166" t="str">
        <f t="shared" si="368"/>
        <v>Release</v>
      </c>
      <c r="AF951" s="127"/>
      <c r="AG951" s="18">
        <v>0</v>
      </c>
      <c r="AH951" s="120"/>
      <c r="AI951" s="238">
        <v>0</v>
      </c>
      <c r="AJ951" s="132"/>
      <c r="AK951" s="151">
        <v>1000.3</v>
      </c>
      <c r="AL951" s="154">
        <f t="shared" si="369"/>
        <v>0</v>
      </c>
      <c r="AM951" s="155"/>
      <c r="AN951" s="19">
        <f t="shared" si="331"/>
        <v>0</v>
      </c>
      <c r="AO951" s="118">
        <f>SUMIF('MPG Payment '!E:E,'Shayak Income '!D951,'MPG Payment '!AJ:AJ)</f>
        <v>0</v>
      </c>
      <c r="AP951" s="19">
        <f t="shared" si="332"/>
        <v>0</v>
      </c>
      <c r="AQ951" s="119">
        <f t="shared" si="370"/>
        <v>0</v>
      </c>
      <c r="AR951" s="91" t="s">
        <v>1168</v>
      </c>
      <c r="AS951" s="91">
        <f t="shared" si="333"/>
        <v>0</v>
      </c>
      <c r="AT951" s="118"/>
      <c r="AU951" s="118"/>
      <c r="AV951" s="118"/>
    </row>
    <row r="952" spans="1:48" s="20" customFormat="1" x14ac:dyDescent="0.25">
      <c r="A952" s="17">
        <f>IFERROR(VLOOKUP(D952,'Monthly Deduction'!$I$3:$J$957,2,0),0)</f>
        <v>0</v>
      </c>
      <c r="B952" s="17">
        <f>IFERROR(VLOOKUP(D952,'Monthly Deduction'!$E$3:$F$957,2,0),0)</f>
        <v>0</v>
      </c>
      <c r="C952" s="17">
        <f t="shared" si="361"/>
        <v>0</v>
      </c>
      <c r="D952" s="41">
        <v>10590016</v>
      </c>
      <c r="E952" s="122" t="str">
        <f>VLOOKUP(D952,'MPG Payment '!$E$3:$G$498218,2,0)</f>
        <v>GOMUKH DAND</v>
      </c>
      <c r="F952" s="146">
        <f>IFERROR(_xlfn.XLOOKUP(D952,'Monthly Deduction'!$I$3:$I$957,'Monthly Deduction'!$H$3:$H$957),0)</f>
        <v>0</v>
      </c>
      <c r="G952" s="123" t="str">
        <f>VLOOKUP(D952,'MPG Payment '!$E$3:$G$334579,3,0)</f>
        <v>vlc</v>
      </c>
      <c r="H952" s="124" t="str">
        <f>VLOOKUP(D952,'MPG Payment '!$E$3:$H$334579,4,0)</f>
        <v>Indirect</v>
      </c>
      <c r="I952" s="88">
        <f>INDEX('MPG Payment '!$C:$C,MATCH('Shayak Income '!D952,'MPG Payment '!E:E,0))</f>
        <v>1059</v>
      </c>
      <c r="J952" s="88" t="str">
        <f>INDEX('MPG Payment '!$D:$D,MATCH('Shayak Income '!D952,'MPG Payment '!E:E,0))</f>
        <v>Gopalpur Bmc</v>
      </c>
      <c r="K952" s="125" t="s">
        <v>1323</v>
      </c>
      <c r="L952" s="125">
        <v>46126</v>
      </c>
      <c r="M952" s="126">
        <f>SUMIF('MPG Payment '!$E$3:$E$34579,'Shayak Income '!D952,'MPG Payment '!$I$3:$I$34579)</f>
        <v>1238.0999999999999</v>
      </c>
      <c r="N952" s="126">
        <f>SUMIF('MPG Payment '!$E$3:$E$34579,'Shayak Income '!D952,'MPG Payment '!$J$3:$J$34579)</f>
        <v>53083.365751439007</v>
      </c>
      <c r="O952" s="126">
        <f t="shared" si="362"/>
        <v>928.57499999999993</v>
      </c>
      <c r="P952" s="126">
        <f t="shared" si="363"/>
        <v>1176.1949999999999</v>
      </c>
      <c r="Q952" s="126">
        <f>SUMIF('MPG Payment '!$E$3:$E$34579,'Shayak Income '!D952,'MPG Payment '!$S$3:$S$34579)</f>
        <v>0</v>
      </c>
      <c r="R952" s="126">
        <f t="shared" si="364"/>
        <v>1592.5009725431701</v>
      </c>
      <c r="S952" s="126">
        <f t="shared" si="365"/>
        <v>416.30597254317013</v>
      </c>
      <c r="T952" s="126">
        <f t="shared" si="334"/>
        <v>123.81</v>
      </c>
      <c r="U952" s="127">
        <f>(((IF(K952="New",0,SUMIF('MPG Payment '!$E$3:$E$34579,'Shayak Income '!D952,'MPG Payment '!$AC$3:$AC$34579))))+0)+0</f>
        <v>0</v>
      </c>
      <c r="V952" s="127">
        <f t="shared" si="335"/>
        <v>1981</v>
      </c>
      <c r="W952" s="19">
        <v>0</v>
      </c>
      <c r="X952" s="19">
        <v>0</v>
      </c>
      <c r="Y952" s="128">
        <f>IFERROR(VLOOKUP(D952,'Monthly Deduction'!$M$2:$N$64,2,0),0)</f>
        <v>0</v>
      </c>
      <c r="Z952" s="128">
        <v>0</v>
      </c>
      <c r="AA952" s="126">
        <f>IFERROR(VLOOKUP(D952,'Monthly Deduction'!A:B,2,0),0)</f>
        <v>0</v>
      </c>
      <c r="AB952" s="129">
        <f t="shared" si="366"/>
        <v>1981</v>
      </c>
      <c r="AC952" s="130">
        <v>0</v>
      </c>
      <c r="AD952" s="35">
        <f t="shared" si="367"/>
        <v>1981</v>
      </c>
      <c r="AE952" s="166" t="str">
        <f t="shared" si="368"/>
        <v>Release</v>
      </c>
      <c r="AF952" s="127"/>
      <c r="AG952" s="18">
        <v>0</v>
      </c>
      <c r="AH952" s="120"/>
      <c r="AI952" s="238">
        <v>0</v>
      </c>
      <c r="AJ952" s="132"/>
      <c r="AK952" s="151">
        <v>293.89999999999998</v>
      </c>
      <c r="AL952" s="154">
        <f t="shared" si="369"/>
        <v>0</v>
      </c>
      <c r="AM952" s="155"/>
      <c r="AN952" s="19">
        <f t="shared" si="331"/>
        <v>0</v>
      </c>
      <c r="AO952" s="118">
        <f>SUMIF('MPG Payment '!E:E,'Shayak Income '!D952,'MPG Payment '!AJ:AJ)</f>
        <v>0</v>
      </c>
      <c r="AP952" s="19">
        <f t="shared" si="332"/>
        <v>0</v>
      </c>
      <c r="AQ952" s="119">
        <f t="shared" si="370"/>
        <v>0</v>
      </c>
      <c r="AR952" s="91" t="s">
        <v>1168</v>
      </c>
      <c r="AS952" s="91">
        <f t="shared" si="333"/>
        <v>0</v>
      </c>
      <c r="AT952" s="118"/>
      <c r="AU952" s="118"/>
      <c r="AV952" s="118"/>
    </row>
    <row r="953" spans="1:48" s="20" customFormat="1" x14ac:dyDescent="0.25">
      <c r="A953" s="17">
        <f>IFERROR(VLOOKUP(D953,'Monthly Deduction'!$I$3:$J$957,2,0),0)</f>
        <v>0</v>
      </c>
      <c r="B953" s="17">
        <f>IFERROR(VLOOKUP(D953,'Monthly Deduction'!$E$3:$F$957,2,0),0)</f>
        <v>0</v>
      </c>
      <c r="C953" s="17">
        <f t="shared" si="361"/>
        <v>0</v>
      </c>
      <c r="D953" s="41">
        <v>10630018</v>
      </c>
      <c r="E953" s="122" t="str">
        <f>VLOOKUP(D953,'MPG Payment '!$E$3:$G$498218,2,0)</f>
        <v>Durgaashtan 2</v>
      </c>
      <c r="F953" s="146">
        <f>IFERROR(_xlfn.XLOOKUP(D953,'Monthly Deduction'!$I$3:$I$957,'Monthly Deduction'!$H$3:$H$957),0)</f>
        <v>0</v>
      </c>
      <c r="G953" s="123" t="str">
        <f>VLOOKUP(D953,'MPG Payment '!$E$3:$G$334579,3,0)</f>
        <v>vlc</v>
      </c>
      <c r="H953" s="124" t="str">
        <f>VLOOKUP(D953,'MPG Payment '!$E$3:$H$334579,4,0)</f>
        <v>Indirect</v>
      </c>
      <c r="I953" s="88">
        <f>INDEX('MPG Payment '!$C:$C,MATCH('Shayak Income '!D953,'MPG Payment '!E:E,0))</f>
        <v>1057</v>
      </c>
      <c r="J953" s="88" t="str">
        <f>INDEX('MPG Payment '!$D:$D,MATCH('Shayak Income '!D953,'MPG Payment '!E:E,0))</f>
        <v>Warisnagar</v>
      </c>
      <c r="K953" s="125" t="s">
        <v>1323</v>
      </c>
      <c r="L953" s="125">
        <v>46123</v>
      </c>
      <c r="M953" s="126">
        <f>SUMIF('MPG Payment '!$E$3:$E$34579,'Shayak Income '!D953,'MPG Payment '!$I$3:$I$34579)</f>
        <v>1624</v>
      </c>
      <c r="N953" s="126">
        <f>SUMIF('MPG Payment '!$E$3:$E$34579,'Shayak Income '!D953,'MPG Payment '!$J$3:$J$34579)</f>
        <v>58705.280420556002</v>
      </c>
      <c r="O953" s="126">
        <f t="shared" si="362"/>
        <v>1218</v>
      </c>
      <c r="P953" s="126">
        <f t="shared" si="363"/>
        <v>1542.8</v>
      </c>
      <c r="Q953" s="126">
        <f>SUMIF('MPG Payment '!$E$3:$E$34579,'Shayak Income '!D953,'MPG Payment '!$S$3:$S$34579)</f>
        <v>0</v>
      </c>
      <c r="R953" s="126">
        <f t="shared" si="364"/>
        <v>1761.1584126166799</v>
      </c>
      <c r="S953" s="126">
        <f t="shared" si="365"/>
        <v>218.35841261667997</v>
      </c>
      <c r="T953" s="126">
        <f t="shared" si="334"/>
        <v>162.4</v>
      </c>
      <c r="U953" s="127">
        <f>(((IF(K953="New",0,SUMIF('MPG Payment '!$E$3:$E$34579,'Shayak Income '!D953,'MPG Payment '!$AC$3:$AC$34579))))+0)+0</f>
        <v>0</v>
      </c>
      <c r="V953" s="127">
        <f t="shared" si="335"/>
        <v>2598</v>
      </c>
      <c r="W953" s="19">
        <v>0</v>
      </c>
      <c r="X953" s="19">
        <v>0</v>
      </c>
      <c r="Y953" s="128">
        <f>IFERROR(VLOOKUP(D953,'Monthly Deduction'!$M$2:$N$64,2,0),0)</f>
        <v>0</v>
      </c>
      <c r="Z953" s="128">
        <v>0</v>
      </c>
      <c r="AA953" s="126">
        <f>IFERROR(VLOOKUP(D953,'Monthly Deduction'!A:B,2,0),0)</f>
        <v>0</v>
      </c>
      <c r="AB953" s="129">
        <f t="shared" si="366"/>
        <v>2598</v>
      </c>
      <c r="AC953" s="130">
        <v>0</v>
      </c>
      <c r="AD953" s="35">
        <f t="shared" si="367"/>
        <v>2598</v>
      </c>
      <c r="AE953" s="166" t="str">
        <f t="shared" si="368"/>
        <v>Release</v>
      </c>
      <c r="AF953" s="127"/>
      <c r="AG953" s="18">
        <v>0</v>
      </c>
      <c r="AH953" s="120"/>
      <c r="AI953" s="238">
        <v>0</v>
      </c>
      <c r="AJ953" s="132"/>
      <c r="AK953" s="151">
        <v>165.29999999999998</v>
      </c>
      <c r="AL953" s="154">
        <f t="shared" si="369"/>
        <v>0</v>
      </c>
      <c r="AM953" s="155"/>
      <c r="AN953" s="19">
        <f t="shared" si="331"/>
        <v>0</v>
      </c>
      <c r="AO953" s="118">
        <f>SUMIF('MPG Payment '!E:E,'Shayak Income '!D953,'MPG Payment '!AJ:AJ)</f>
        <v>0</v>
      </c>
      <c r="AP953" s="19">
        <f t="shared" si="332"/>
        <v>0</v>
      </c>
      <c r="AQ953" s="119">
        <f t="shared" si="370"/>
        <v>0</v>
      </c>
      <c r="AR953" s="91" t="s">
        <v>1168</v>
      </c>
      <c r="AS953" s="91">
        <f t="shared" si="333"/>
        <v>0</v>
      </c>
      <c r="AT953" s="118"/>
      <c r="AU953" s="118"/>
      <c r="AV953" s="118"/>
    </row>
    <row r="954" spans="1:48" s="20" customFormat="1" x14ac:dyDescent="0.25">
      <c r="A954" s="17">
        <f>IFERROR(VLOOKUP(D954,'Monthly Deduction'!$I$3:$J$957,2,0),0)</f>
        <v>80000</v>
      </c>
      <c r="B954" s="17">
        <f>IFERROR(VLOOKUP(D954,'Monthly Deduction'!$E$3:$F$957,2,0),0)</f>
        <v>0</v>
      </c>
      <c r="C954" s="17">
        <f t="shared" si="361"/>
        <v>80000</v>
      </c>
      <c r="D954" s="41">
        <v>10640002</v>
      </c>
      <c r="E954" s="122" t="str">
        <f>VLOOKUP(D954,'MPG Payment '!$E$3:$G$498218,2,0)</f>
        <v>DIHA</v>
      </c>
      <c r="F954" s="146">
        <f>IFERROR(_xlfn.XLOOKUP(D954,'Monthly Deduction'!$I$3:$I$957,'Monthly Deduction'!$H$3:$H$957),0)</f>
        <v>0</v>
      </c>
      <c r="G954" s="123" t="str">
        <f>VLOOKUP(D954,'MPG Payment '!$E$3:$G$334579,3,0)</f>
        <v>MPG</v>
      </c>
      <c r="H954" s="124" t="str">
        <f>VLOOKUP(D954,'MPG Payment '!$E$3:$H$334579,4,0)</f>
        <v>Direct</v>
      </c>
      <c r="I954" s="88">
        <f>INDEX('MPG Payment '!$C:$C,MATCH('Shayak Income '!D954,'MPG Payment '!E:E,0))</f>
        <v>1062</v>
      </c>
      <c r="J954" s="88" t="str">
        <f>INDEX('MPG Payment '!$D:$D,MATCH('Shayak Income '!D954,'MPG Payment '!E:E,0))</f>
        <v>Singhia BMC</v>
      </c>
      <c r="K954" s="125" t="s">
        <v>1323</v>
      </c>
      <c r="L954" s="125">
        <v>46122</v>
      </c>
      <c r="M954" s="126">
        <f>SUMIF('MPG Payment '!$E$3:$E$34579,'Shayak Income '!D954,'MPG Payment '!$I$3:$I$34579)</f>
        <v>8.34</v>
      </c>
      <c r="N954" s="126">
        <f>SUMIF('MPG Payment '!$E$3:$E$34579,'Shayak Income '!D954,'MPG Payment '!$J$3:$J$34579)</f>
        <v>280.02</v>
      </c>
      <c r="O954" s="126">
        <f t="shared" si="362"/>
        <v>6.2549999999999999</v>
      </c>
      <c r="P954" s="126">
        <f t="shared" si="363"/>
        <v>7.9229999999999992</v>
      </c>
      <c r="Q954" s="126">
        <f>SUMIF('MPG Payment '!$E$3:$E$34579,'Shayak Income '!D954,'MPG Payment '!$S$3:$S$34579)</f>
        <v>0</v>
      </c>
      <c r="R954" s="126">
        <f t="shared" si="364"/>
        <v>8.400599999999999</v>
      </c>
      <c r="S954" s="126">
        <f t="shared" si="365"/>
        <v>0.4775999999999998</v>
      </c>
      <c r="T954" s="126">
        <f t="shared" si="334"/>
        <v>0.83400000000000007</v>
      </c>
      <c r="U954" s="127">
        <f>(((IF(K954="New",0,SUMIF('MPG Payment '!$E$3:$E$34579,'Shayak Income '!D954,'MPG Payment '!$AC$3:$AC$34579))))+0)+0</f>
        <v>0</v>
      </c>
      <c r="V954" s="127">
        <f t="shared" si="335"/>
        <v>13</v>
      </c>
      <c r="W954" s="19">
        <v>0</v>
      </c>
      <c r="X954" s="19">
        <v>0</v>
      </c>
      <c r="Y954" s="128">
        <f>IFERROR(VLOOKUP(D954,'Monthly Deduction'!$M$2:$N$64,2,0),0)</f>
        <v>0</v>
      </c>
      <c r="Z954" s="128">
        <v>0</v>
      </c>
      <c r="AA954" s="126">
        <f>IFERROR(VLOOKUP(D954,'Monthly Deduction'!A:B,2,0),0)</f>
        <v>0</v>
      </c>
      <c r="AB954" s="129">
        <f t="shared" si="366"/>
        <v>13</v>
      </c>
      <c r="AC954" s="130">
        <f>AB954</f>
        <v>13</v>
      </c>
      <c r="AD954" s="35">
        <f t="shared" si="367"/>
        <v>0</v>
      </c>
      <c r="AE954" s="166" t="str">
        <f t="shared" si="368"/>
        <v>Yes</v>
      </c>
      <c r="AF954" s="127"/>
      <c r="AG954" s="18">
        <v>0</v>
      </c>
      <c r="AH954" s="120" t="s">
        <v>1651</v>
      </c>
      <c r="AI954" s="238">
        <v>15000</v>
      </c>
      <c r="AJ954" s="132"/>
      <c r="AK954" s="151">
        <v>0</v>
      </c>
      <c r="AL954" s="154">
        <f t="shared" si="369"/>
        <v>0</v>
      </c>
      <c r="AM954" s="155"/>
      <c r="AN954" s="19">
        <f t="shared" si="331"/>
        <v>1861</v>
      </c>
      <c r="AO954" s="118">
        <f>SUMIF('MPG Payment '!E:E,'Shayak Income '!D954,'MPG Payment '!AJ:AJ)</f>
        <v>0</v>
      </c>
      <c r="AP954" s="19">
        <f t="shared" si="332"/>
        <v>0</v>
      </c>
      <c r="AQ954" s="119">
        <f t="shared" si="370"/>
        <v>0</v>
      </c>
      <c r="AR954" s="91" t="s">
        <v>1168</v>
      </c>
      <c r="AS954" s="91">
        <f t="shared" si="333"/>
        <v>0</v>
      </c>
      <c r="AT954" s="118"/>
      <c r="AU954" s="118"/>
      <c r="AV954" s="118"/>
    </row>
    <row r="955" spans="1:48" s="20" customFormat="1" x14ac:dyDescent="0.25">
      <c r="A955" s="17">
        <f>IFERROR(VLOOKUP(D955,'Monthly Deduction'!$I$3:$J$957,2,0),0)</f>
        <v>0</v>
      </c>
      <c r="B955" s="17">
        <f>IFERROR(VLOOKUP(D955,'Monthly Deduction'!$E$3:$F$957,2,0),0)</f>
        <v>0</v>
      </c>
      <c r="C955" s="17">
        <f t="shared" si="361"/>
        <v>0</v>
      </c>
      <c r="D955" s="41">
        <v>10650008</v>
      </c>
      <c r="E955" s="122" t="str">
        <f>VLOOKUP(D955,'MPG Payment '!$E$3:$G$498218,2,0)</f>
        <v>HAWASPUR</v>
      </c>
      <c r="F955" s="146">
        <f>IFERROR(_xlfn.XLOOKUP(D955,'Monthly Deduction'!$I$3:$I$957,'Monthly Deduction'!$H$3:$H$957),0)</f>
        <v>0</v>
      </c>
      <c r="G955" s="123" t="str">
        <f>VLOOKUP(D955,'MPG Payment '!$E$3:$G$334579,3,0)</f>
        <v>vlc</v>
      </c>
      <c r="H955" s="124" t="str">
        <f>VLOOKUP(D955,'MPG Payment '!$E$3:$H$334579,4,0)</f>
        <v>Indirect</v>
      </c>
      <c r="I955" s="88">
        <f>INDEX('MPG Payment '!$C:$C,MATCH('Shayak Income '!D955,'MPG Payment '!E:E,0))</f>
        <v>1065</v>
      </c>
      <c r="J955" s="88" t="str">
        <f>INDEX('MPG Payment '!$D:$D,MATCH('Shayak Income '!D955,'MPG Payment '!E:E,0))</f>
        <v>Bachhwara BMC</v>
      </c>
      <c r="K955" s="125" t="s">
        <v>1323</v>
      </c>
      <c r="L955" s="125">
        <v>46122</v>
      </c>
      <c r="M955" s="126">
        <f>SUMIF('MPG Payment '!$E$3:$E$34579,'Shayak Income '!D955,'MPG Payment '!$I$3:$I$34579)</f>
        <v>327.3</v>
      </c>
      <c r="N955" s="126">
        <f>SUMIF('MPG Payment '!$E$3:$E$34579,'Shayak Income '!D955,'MPG Payment '!$J$3:$J$34579)</f>
        <v>11940.392656180602</v>
      </c>
      <c r="O955" s="126">
        <f t="shared" si="362"/>
        <v>245.47500000000002</v>
      </c>
      <c r="P955" s="126">
        <f t="shared" si="363"/>
        <v>310.935</v>
      </c>
      <c r="Q955" s="126">
        <f>SUMIF('MPG Payment '!$E$3:$E$34579,'Shayak Income '!D955,'MPG Payment '!$S$3:$S$34579)</f>
        <v>0</v>
      </c>
      <c r="R955" s="126">
        <f t="shared" si="364"/>
        <v>358.21177968541804</v>
      </c>
      <c r="S955" s="126">
        <f t="shared" si="365"/>
        <v>47.276779685418035</v>
      </c>
      <c r="T955" s="126">
        <f t="shared" si="334"/>
        <v>32.730000000000004</v>
      </c>
      <c r="U955" s="127">
        <f>(((IF(K955="New",0,SUMIF('MPG Payment '!$E$3:$E$34579,'Shayak Income '!D955,'MPG Payment '!$AC$3:$AC$34579))))+0)+0</f>
        <v>0</v>
      </c>
      <c r="V955" s="127">
        <f t="shared" si="335"/>
        <v>524</v>
      </c>
      <c r="W955" s="19">
        <v>0</v>
      </c>
      <c r="X955" s="19">
        <v>0</v>
      </c>
      <c r="Y955" s="128">
        <f>IFERROR(VLOOKUP(D955,'Monthly Deduction'!$M$2:$N$64,2,0),0)</f>
        <v>0</v>
      </c>
      <c r="Z955" s="128">
        <v>0</v>
      </c>
      <c r="AA955" s="126">
        <f>IFERROR(VLOOKUP(D955,'Monthly Deduction'!A:B,2,0),0)</f>
        <v>0</v>
      </c>
      <c r="AB955" s="129">
        <f t="shared" si="366"/>
        <v>524</v>
      </c>
      <c r="AC955" s="130">
        <v>0</v>
      </c>
      <c r="AD955" s="35">
        <f t="shared" si="367"/>
        <v>524</v>
      </c>
      <c r="AE955" s="166" t="str">
        <f t="shared" si="368"/>
        <v>Release</v>
      </c>
      <c r="AF955" s="127"/>
      <c r="AG955" s="18">
        <v>0</v>
      </c>
      <c r="AH955" s="120"/>
      <c r="AI955" s="238">
        <v>0</v>
      </c>
      <c r="AJ955" s="132"/>
      <c r="AK955" s="151">
        <v>1051.7</v>
      </c>
      <c r="AL955" s="154">
        <f t="shared" si="369"/>
        <v>0</v>
      </c>
      <c r="AM955" s="155"/>
      <c r="AN955" s="19">
        <f t="shared" si="331"/>
        <v>0</v>
      </c>
      <c r="AO955" s="118">
        <f>SUMIF('MPG Payment '!E:E,'Shayak Income '!D955,'MPG Payment '!AJ:AJ)</f>
        <v>0</v>
      </c>
      <c r="AP955" s="19">
        <f t="shared" si="332"/>
        <v>0</v>
      </c>
      <c r="AQ955" s="119">
        <f t="shared" si="370"/>
        <v>0</v>
      </c>
      <c r="AR955" s="91" t="s">
        <v>1168</v>
      </c>
      <c r="AS955" s="91">
        <f t="shared" si="333"/>
        <v>0</v>
      </c>
      <c r="AT955" s="118"/>
      <c r="AU955" s="118"/>
      <c r="AV955" s="118"/>
    </row>
    <row r="956" spans="1:48" s="20" customFormat="1" x14ac:dyDescent="0.25">
      <c r="A956" s="17">
        <f>IFERROR(VLOOKUP(D956,'Monthly Deduction'!$I$3:$J$957,2,0),0)</f>
        <v>0</v>
      </c>
      <c r="B956" s="17">
        <f>IFERROR(VLOOKUP(D956,'Monthly Deduction'!$E$3:$F$957,2,0),0)</f>
        <v>0</v>
      </c>
      <c r="C956" s="17">
        <f t="shared" si="361"/>
        <v>0</v>
      </c>
      <c r="D956" s="41">
        <v>10100067</v>
      </c>
      <c r="E956" s="122" t="str">
        <f>VLOOKUP(D956,'MPG Payment '!$E$3:$G$498218,2,0)</f>
        <v>Gomukh Madhabpur Purbi Vlc</v>
      </c>
      <c r="F956" s="146">
        <f>IFERROR(_xlfn.XLOOKUP(D956,'Monthly Deduction'!$I$3:$I$957,'Monthly Deduction'!$H$3:$H$957),0)</f>
        <v>0</v>
      </c>
      <c r="G956" s="123" t="str">
        <f>VLOOKUP(D956,'MPG Payment '!$E$3:$G$334579,3,0)</f>
        <v>vlc</v>
      </c>
      <c r="H956" s="124" t="str">
        <f>VLOOKUP(D956,'MPG Payment '!$E$3:$H$334579,4,0)</f>
        <v>Indirect</v>
      </c>
      <c r="I956" s="88">
        <f>INDEX('MPG Payment '!$C:$C,MATCH('Shayak Income '!D956,'MPG Payment '!E:E,0))</f>
        <v>1010</v>
      </c>
      <c r="J956" s="88" t="str">
        <f>INDEX('MPG Payment '!$D:$D,MATCH('Shayak Income '!D956,'MPG Payment '!E:E,0))</f>
        <v>Parbatta</v>
      </c>
      <c r="K956" s="125" t="s">
        <v>1323</v>
      </c>
      <c r="L956" s="125">
        <v>46129</v>
      </c>
      <c r="M956" s="126">
        <f>SUMIF('MPG Payment '!$E$3:$E$34579,'Shayak Income '!D956,'MPG Payment '!$I$3:$I$34579)</f>
        <v>109.60000000000001</v>
      </c>
      <c r="N956" s="126">
        <f>SUMIF('MPG Payment '!$E$3:$E$34579,'Shayak Income '!D956,'MPG Payment '!$J$3:$J$34579)</f>
        <v>3513.4305742259999</v>
      </c>
      <c r="O956" s="126">
        <f t="shared" si="362"/>
        <v>82.2</v>
      </c>
      <c r="P956" s="126">
        <f t="shared" si="363"/>
        <v>104.12</v>
      </c>
      <c r="Q956" s="126">
        <f>SUMIF('MPG Payment '!$E$3:$E$34579,'Shayak Income '!D956,'MPG Payment '!$S$3:$S$34579)</f>
        <v>0</v>
      </c>
      <c r="R956" s="126">
        <f t="shared" si="364"/>
        <v>105.40291722677999</v>
      </c>
      <c r="S956" s="126">
        <f t="shared" si="365"/>
        <v>1.2829172267799862</v>
      </c>
      <c r="T956" s="126">
        <f t="shared" si="334"/>
        <v>10.96</v>
      </c>
      <c r="U956" s="127">
        <f>(((IF(K956="New",0,SUMIF('MPG Payment '!$E$3:$E$34579,'Shayak Income '!D956,'MPG Payment '!$AC$3:$AC$34579))))+0)+0</f>
        <v>0</v>
      </c>
      <c r="V956" s="127">
        <f t="shared" si="335"/>
        <v>175</v>
      </c>
      <c r="W956" s="19">
        <v>0</v>
      </c>
      <c r="X956" s="19">
        <v>0</v>
      </c>
      <c r="Y956" s="128">
        <f>IFERROR(VLOOKUP(D956,'Monthly Deduction'!$M$2:$N$64,2,0),0)</f>
        <v>0</v>
      </c>
      <c r="Z956" s="128">
        <v>0</v>
      </c>
      <c r="AA956" s="126">
        <f>IFERROR(VLOOKUP(D956,'Monthly Deduction'!A:B,2,0),0)</f>
        <v>0</v>
      </c>
      <c r="AB956" s="129">
        <f t="shared" si="366"/>
        <v>175</v>
      </c>
      <c r="AC956" s="130">
        <f t="shared" ref="AC956:AC957" si="371">AB956</f>
        <v>175</v>
      </c>
      <c r="AD956" s="35">
        <f t="shared" si="367"/>
        <v>0</v>
      </c>
      <c r="AE956" s="166" t="str">
        <f t="shared" si="368"/>
        <v>Yes</v>
      </c>
      <c r="AF956" s="127"/>
      <c r="AG956" s="18">
        <v>0</v>
      </c>
      <c r="AH956" s="132" t="s">
        <v>1648</v>
      </c>
      <c r="AI956" s="238">
        <v>0</v>
      </c>
      <c r="AJ956" s="132"/>
      <c r="AK956" s="151">
        <v>0</v>
      </c>
      <c r="AL956" s="154">
        <f t="shared" si="369"/>
        <v>0</v>
      </c>
      <c r="AM956" s="155"/>
      <c r="AN956" s="19">
        <f t="shared" si="331"/>
        <v>0</v>
      </c>
      <c r="AO956" s="118">
        <f>SUMIF('MPG Payment '!E:E,'Shayak Income '!D956,'MPG Payment '!AJ:AJ)</f>
        <v>0</v>
      </c>
      <c r="AP956" s="19">
        <f t="shared" si="332"/>
        <v>0</v>
      </c>
      <c r="AQ956" s="119">
        <f t="shared" si="370"/>
        <v>0</v>
      </c>
      <c r="AR956" s="91" t="s">
        <v>1168</v>
      </c>
      <c r="AS956" s="91">
        <f t="shared" si="333"/>
        <v>0</v>
      </c>
      <c r="AT956" s="118"/>
      <c r="AU956" s="118"/>
      <c r="AV956" s="118"/>
    </row>
    <row r="957" spans="1:48" s="20" customFormat="1" x14ac:dyDescent="0.25">
      <c r="A957" s="17">
        <f>IFERROR(VLOOKUP(D957,'Monthly Deduction'!$I$3:$J$957,2,0),0)</f>
        <v>90371</v>
      </c>
      <c r="B957" s="17">
        <f>IFERROR(VLOOKUP(D957,'Monthly Deduction'!$E$3:$F$957,2,0),0)</f>
        <v>6400</v>
      </c>
      <c r="C957" s="17">
        <f t="shared" si="361"/>
        <v>96771</v>
      </c>
      <c r="D957" s="41">
        <v>10140148</v>
      </c>
      <c r="E957" s="122" t="str">
        <f>VLOOKUP(D957,'MPG Payment '!$E$3:$G$498218,2,0)</f>
        <v>Gomukh Dalsagar Pachhim</v>
      </c>
      <c r="F957" s="146">
        <f>IFERROR(_xlfn.XLOOKUP(D957,'Monthly Deduction'!$I$3:$I$957,'Monthly Deduction'!$H$3:$H$957),0)</f>
        <v>0</v>
      </c>
      <c r="G957" s="123" t="str">
        <f>VLOOKUP(D957,'MPG Payment '!$E$3:$G$334579,3,0)</f>
        <v>MPG</v>
      </c>
      <c r="H957" s="124" t="str">
        <f>VLOOKUP(D957,'MPG Payment '!$E$3:$H$334579,4,0)</f>
        <v>Direct</v>
      </c>
      <c r="I957" s="88">
        <f>INDEX('MPG Payment '!$C:$C,MATCH('Shayak Income '!D957,'MPG Payment '!E:E,0))</f>
        <v>1014</v>
      </c>
      <c r="J957" s="88" t="str">
        <f>INDEX('MPG Payment '!$D:$D,MATCH('Shayak Income '!D957,'MPG Payment '!E:E,0))</f>
        <v>Dumraon</v>
      </c>
      <c r="K957" s="125" t="s">
        <v>1322</v>
      </c>
      <c r="L957" s="125">
        <v>45654</v>
      </c>
      <c r="M957" s="126">
        <f>SUMIF('MPG Payment '!$E$3:$E$34579,'Shayak Income '!D957,'MPG Payment '!$I$3:$I$34579)</f>
        <v>30</v>
      </c>
      <c r="N957" s="126">
        <f>SUMIF('MPG Payment '!$E$3:$E$34579,'Shayak Income '!D957,'MPG Payment '!$J$3:$J$34579)</f>
        <v>1061.4000000000001</v>
      </c>
      <c r="O957" s="126">
        <f t="shared" si="362"/>
        <v>22.5</v>
      </c>
      <c r="P957" s="126">
        <f t="shared" si="363"/>
        <v>28.5</v>
      </c>
      <c r="Q957" s="126">
        <f>SUMIF('MPG Payment '!$E$3:$E$34579,'Shayak Income '!D957,'MPG Payment '!$S$3:$S$34579)</f>
        <v>0</v>
      </c>
      <c r="R957" s="126">
        <f t="shared" si="364"/>
        <v>31.842000000000002</v>
      </c>
      <c r="S957" s="126">
        <f t="shared" si="365"/>
        <v>3.3420000000000023</v>
      </c>
      <c r="T957" s="126">
        <f t="shared" si="334"/>
        <v>3</v>
      </c>
      <c r="U957" s="127">
        <f>(((IF(K957="New",0,SUMIF('MPG Payment '!$E$3:$E$34579,'Shayak Income '!D957,'MPG Payment '!$AC$3:$AC$34579))))+0)+-426</f>
        <v>48.092000000000041</v>
      </c>
      <c r="V957" s="127">
        <f t="shared" si="335"/>
        <v>0</v>
      </c>
      <c r="W957" s="19">
        <v>0</v>
      </c>
      <c r="X957" s="19">
        <v>0</v>
      </c>
      <c r="Y957" s="128">
        <v>0</v>
      </c>
      <c r="Z957" s="128">
        <v>0</v>
      </c>
      <c r="AA957" s="126">
        <v>0</v>
      </c>
      <c r="AB957" s="129">
        <f t="shared" si="366"/>
        <v>0</v>
      </c>
      <c r="AC957" s="130">
        <f t="shared" si="371"/>
        <v>0</v>
      </c>
      <c r="AD957" s="35">
        <f t="shared" si="367"/>
        <v>0</v>
      </c>
      <c r="AE957" s="166" t="str">
        <f t="shared" si="368"/>
        <v>Release</v>
      </c>
      <c r="AF957" s="127"/>
      <c r="AG957" s="18">
        <v>0</v>
      </c>
      <c r="AH957" s="120" t="s">
        <v>1651</v>
      </c>
      <c r="AI957" s="238">
        <v>8908</v>
      </c>
      <c r="AJ957" s="132"/>
      <c r="AK957" s="151">
        <v>0</v>
      </c>
      <c r="AL957" s="154">
        <f t="shared" si="369"/>
        <v>0</v>
      </c>
      <c r="AM957" s="155"/>
      <c r="AN957" s="19">
        <f t="shared" si="331"/>
        <v>1861</v>
      </c>
      <c r="AO957" s="118">
        <f>SUMIF('MPG Payment '!E:E,'Shayak Income '!D957,'MPG Payment '!AJ:AJ)</f>
        <v>0</v>
      </c>
      <c r="AP957" s="19">
        <f t="shared" si="332"/>
        <v>0</v>
      </c>
      <c r="AQ957" s="119">
        <f t="shared" si="370"/>
        <v>0</v>
      </c>
      <c r="AR957" s="91" t="s">
        <v>1168</v>
      </c>
      <c r="AS957" s="91">
        <f t="shared" si="333"/>
        <v>6400</v>
      </c>
      <c r="AT957" s="118"/>
      <c r="AU957" s="118"/>
      <c r="AV957" s="118"/>
    </row>
    <row r="958" spans="1:48" s="20" customFormat="1" x14ac:dyDescent="0.25">
      <c r="A958" s="17">
        <f>IFERROR(VLOOKUP(D958,'Monthly Deduction'!$I$3:$J$957,2,0),0)</f>
        <v>85000</v>
      </c>
      <c r="B958" s="17">
        <f>IFERROR(VLOOKUP(D958,'Monthly Deduction'!$E$3:$F$957,2,0),0)</f>
        <v>0</v>
      </c>
      <c r="C958" s="17">
        <f t="shared" si="361"/>
        <v>85000</v>
      </c>
      <c r="D958" s="41">
        <v>10530113</v>
      </c>
      <c r="E958" s="122" t="str">
        <f>VLOOKUP(D958,'MPG Payment '!$E$3:$G$498218,2,0)</f>
        <v>GOMUKH GHOSRAWAN</v>
      </c>
      <c r="F958" s="146">
        <f>IFERROR(_xlfn.XLOOKUP(D958,'Monthly Deduction'!$I$3:$I$957,'Monthly Deduction'!$H$3:$H$957),0)</f>
        <v>0</v>
      </c>
      <c r="G958" s="123" t="str">
        <f>VLOOKUP(D958,'MPG Payment '!$E$3:$G$334579,3,0)</f>
        <v>MPG</v>
      </c>
      <c r="H958" s="124" t="str">
        <f>VLOOKUP(D958,'MPG Payment '!$E$3:$H$334579,4,0)</f>
        <v>Direct</v>
      </c>
      <c r="I958" s="88">
        <f>INDEX('MPG Payment '!$C:$C,MATCH('Shayak Income '!D958,'MPG Payment '!E:E,0))</f>
        <v>1053</v>
      </c>
      <c r="J958" s="88" t="str">
        <f>INDEX('MPG Payment '!$D:$D,MATCH('Shayak Income '!D958,'MPG Payment '!E:E,0))</f>
        <v>Kalyanpur</v>
      </c>
      <c r="K958" s="125" t="s">
        <v>1323</v>
      </c>
      <c r="L958" s="125">
        <v>46134</v>
      </c>
      <c r="M958" s="126">
        <f>SUMIF('MPG Payment '!$E$3:$E$34579,'Shayak Income '!D958,'MPG Payment '!$I$3:$I$34579)</f>
        <v>2160.0500000000002</v>
      </c>
      <c r="N958" s="126">
        <f>SUMIF('MPG Payment '!$E$3:$E$34579,'Shayak Income '!D958,'MPG Payment '!$J$3:$J$34579)</f>
        <v>83388.972941845743</v>
      </c>
      <c r="O958" s="126">
        <f t="shared" si="362"/>
        <v>1620.0375000000001</v>
      </c>
      <c r="P958" s="126">
        <f t="shared" si="363"/>
        <v>2052.0475000000001</v>
      </c>
      <c r="Q958" s="126">
        <f>SUMIF('MPG Payment '!$E$3:$E$34579,'Shayak Income '!D958,'MPG Payment '!$S$3:$S$34579)</f>
        <v>663.50186852640013</v>
      </c>
      <c r="R958" s="126">
        <f t="shared" si="364"/>
        <v>2501.6691882553723</v>
      </c>
      <c r="S958" s="126">
        <f t="shared" si="365"/>
        <v>449.62168825537219</v>
      </c>
      <c r="T958" s="126">
        <f t="shared" si="334"/>
        <v>216.00500000000002</v>
      </c>
      <c r="U958" s="127">
        <f>(((IF(K958="New",0,SUMIF('MPG Payment '!$E$3:$E$34579,'Shayak Income '!D958,'MPG Payment '!$AC$3:$AC$34579))))+0)+0</f>
        <v>0</v>
      </c>
      <c r="V958" s="127">
        <f t="shared" si="335"/>
        <v>4120</v>
      </c>
      <c r="W958" s="19">
        <v>0</v>
      </c>
      <c r="X958" s="19">
        <v>0</v>
      </c>
      <c r="Y958" s="128">
        <f>IFERROR(VLOOKUP(D958,'Monthly Deduction'!$M$2:$N$64,2,0),0)</f>
        <v>0</v>
      </c>
      <c r="Z958" s="128">
        <v>0</v>
      </c>
      <c r="AA958" s="126">
        <f>IFERROR(VLOOKUP(D958,'Monthly Deduction'!A:B,2,0),0)</f>
        <v>0</v>
      </c>
      <c r="AB958" s="129">
        <f t="shared" si="366"/>
        <v>4120</v>
      </c>
      <c r="AC958" s="130">
        <v>0</v>
      </c>
      <c r="AD958" s="35">
        <f t="shared" si="367"/>
        <v>4120</v>
      </c>
      <c r="AE958" s="166" t="str">
        <f t="shared" si="368"/>
        <v>Release</v>
      </c>
      <c r="AF958" s="127"/>
      <c r="AG958" s="18">
        <v>0</v>
      </c>
      <c r="AH958" s="120" t="s">
        <v>1646</v>
      </c>
      <c r="AI958" s="238">
        <v>20000</v>
      </c>
      <c r="AJ958" s="132" t="s">
        <v>1660</v>
      </c>
      <c r="AK958" s="151">
        <v>607.79999999999995</v>
      </c>
      <c r="AL958" s="154">
        <f t="shared" si="369"/>
        <v>0</v>
      </c>
      <c r="AM958" s="155"/>
      <c r="AN958" s="19">
        <f t="shared" si="331"/>
        <v>1861</v>
      </c>
      <c r="AO958" s="118">
        <f>SUMIF('MPG Payment '!E:E,'Shayak Income '!D958,'MPG Payment '!AJ:AJ)</f>
        <v>0</v>
      </c>
      <c r="AP958" s="19">
        <f t="shared" si="332"/>
        <v>0</v>
      </c>
      <c r="AQ958" s="119">
        <f t="shared" si="370"/>
        <v>0</v>
      </c>
      <c r="AR958" s="91" t="s">
        <v>1168</v>
      </c>
      <c r="AS958" s="91">
        <f t="shared" si="333"/>
        <v>0</v>
      </c>
      <c r="AT958" s="118"/>
      <c r="AU958" s="118"/>
      <c r="AV958" s="118"/>
    </row>
    <row r="959" spans="1:48" s="20" customFormat="1" x14ac:dyDescent="0.25">
      <c r="A959" s="17">
        <f>IFERROR(VLOOKUP(D959,'Monthly Deduction'!$I$3:$J$957,2,0),0)</f>
        <v>0</v>
      </c>
      <c r="B959" s="17">
        <f>IFERROR(VLOOKUP(D959,'Monthly Deduction'!$E$3:$F$957,2,0),0)</f>
        <v>0</v>
      </c>
      <c r="C959" s="17">
        <f t="shared" si="361"/>
        <v>0</v>
      </c>
      <c r="D959" s="41">
        <v>10610050</v>
      </c>
      <c r="E959" s="122" t="str">
        <f>VLOOKUP(D959,'MPG Payment '!$E$3:$G$498218,2,0)</f>
        <v>GOMUKH HARPUR RAJESH</v>
      </c>
      <c r="F959" s="146">
        <f>IFERROR(_xlfn.XLOOKUP(D959,'Monthly Deduction'!$I$3:$I$957,'Monthly Deduction'!$H$3:$H$957),0)</f>
        <v>0</v>
      </c>
      <c r="G959" s="123" t="str">
        <f>VLOOKUP(D959,'MPG Payment '!$E$3:$G$334579,3,0)</f>
        <v>vlc</v>
      </c>
      <c r="H959" s="124" t="str">
        <f>VLOOKUP(D959,'MPG Payment '!$E$3:$H$334579,4,0)</f>
        <v>Indirect</v>
      </c>
      <c r="I959" s="88">
        <f>INDEX('MPG Payment '!$C:$C,MATCH('Shayak Income '!D959,'MPG Payment '!E:E,0))</f>
        <v>1061</v>
      </c>
      <c r="J959" s="88" t="str">
        <f>INDEX('MPG Payment '!$D:$D,MATCH('Shayak Income '!D959,'MPG Payment '!E:E,0))</f>
        <v>Mahua BMC</v>
      </c>
      <c r="K959" s="125" t="s">
        <v>1323</v>
      </c>
      <c r="L959" s="125">
        <v>46130</v>
      </c>
      <c r="M959" s="126">
        <f>SUMIF('MPG Payment '!$E$3:$E$34579,'Shayak Income '!D959,'MPG Payment '!$I$3:$I$34579)</f>
        <v>683.4</v>
      </c>
      <c r="N959" s="126">
        <f>SUMIF('MPG Payment '!$E$3:$E$34579,'Shayak Income '!D959,'MPG Payment '!$J$3:$J$34579)</f>
        <v>28512.566404959998</v>
      </c>
      <c r="O959" s="126">
        <f t="shared" si="362"/>
        <v>512.54999999999995</v>
      </c>
      <c r="P959" s="126">
        <f t="shared" si="363"/>
        <v>649.2299999999999</v>
      </c>
      <c r="Q959" s="126">
        <f>SUMIF('MPG Payment '!$E$3:$E$34579,'Shayak Income '!D959,'MPG Payment '!$S$3:$S$34579)</f>
        <v>0</v>
      </c>
      <c r="R959" s="126">
        <f t="shared" si="364"/>
        <v>855.3769921487999</v>
      </c>
      <c r="S959" s="126">
        <f t="shared" si="365"/>
        <v>206.1469921488</v>
      </c>
      <c r="T959" s="126">
        <f t="shared" si="334"/>
        <v>68.34</v>
      </c>
      <c r="U959" s="127">
        <f>(((IF(K959="New",0,SUMIF('MPG Payment '!$E$3:$E$34579,'Shayak Income '!D959,'MPG Payment '!$AC$3:$AC$34579))))+0)+0</f>
        <v>0</v>
      </c>
      <c r="V959" s="127">
        <f t="shared" si="335"/>
        <v>1093</v>
      </c>
      <c r="W959" s="19">
        <v>0</v>
      </c>
      <c r="X959" s="19">
        <v>0</v>
      </c>
      <c r="Y959" s="128">
        <f>IFERROR(VLOOKUP(D959,'Monthly Deduction'!$M$2:$N$64,2,0),0)</f>
        <v>0</v>
      </c>
      <c r="Z959" s="128">
        <v>0</v>
      </c>
      <c r="AA959" s="126">
        <f>IFERROR(VLOOKUP(D959,'Monthly Deduction'!A:B,2,0),0)</f>
        <v>0</v>
      </c>
      <c r="AB959" s="129">
        <f t="shared" si="366"/>
        <v>1093</v>
      </c>
      <c r="AC959" s="130">
        <v>0</v>
      </c>
      <c r="AD959" s="35">
        <f t="shared" si="367"/>
        <v>1093</v>
      </c>
      <c r="AE959" s="166" t="str">
        <f t="shared" si="368"/>
        <v>Release</v>
      </c>
      <c r="AF959" s="127"/>
      <c r="AG959" s="18">
        <v>0</v>
      </c>
      <c r="AH959" s="132"/>
      <c r="AI959" s="238">
        <v>0</v>
      </c>
      <c r="AJ959" s="132"/>
      <c r="AK959" s="151">
        <v>249.7</v>
      </c>
      <c r="AL959" s="154">
        <f t="shared" si="369"/>
        <v>0</v>
      </c>
      <c r="AM959" s="155"/>
      <c r="AN959" s="19">
        <f t="shared" si="331"/>
        <v>0</v>
      </c>
      <c r="AO959" s="118">
        <f>SUMIF('MPG Payment '!E:E,'Shayak Income '!D959,'MPG Payment '!AJ:AJ)</f>
        <v>0</v>
      </c>
      <c r="AP959" s="19">
        <f t="shared" si="332"/>
        <v>0</v>
      </c>
      <c r="AQ959" s="119">
        <f t="shared" si="370"/>
        <v>0</v>
      </c>
      <c r="AR959" s="91" t="s">
        <v>1168</v>
      </c>
      <c r="AS959" s="91">
        <f t="shared" si="333"/>
        <v>0</v>
      </c>
      <c r="AT959" s="118"/>
      <c r="AU959" s="118"/>
      <c r="AV959" s="118"/>
    </row>
    <row r="960" spans="1:48" s="20" customFormat="1" x14ac:dyDescent="0.25">
      <c r="A960" s="17">
        <f>IFERROR(VLOOKUP(D960,'Monthly Deduction'!$I$3:$J$957,2,0),0)</f>
        <v>0</v>
      </c>
      <c r="B960" s="17">
        <f>IFERROR(VLOOKUP(D960,'Monthly Deduction'!$E$3:$F$957,2,0),0)</f>
        <v>0</v>
      </c>
      <c r="C960" s="17">
        <f t="shared" si="361"/>
        <v>0</v>
      </c>
      <c r="D960" s="41">
        <v>10610051</v>
      </c>
      <c r="E960" s="122" t="str">
        <f>VLOOKUP(D960,'MPG Payment '!$E$3:$G$498218,2,0)</f>
        <v>GOMUKH SANICHAR HATT</v>
      </c>
      <c r="F960" s="146">
        <f>IFERROR(_xlfn.XLOOKUP(D960,'Monthly Deduction'!$I$3:$I$957,'Monthly Deduction'!$H$3:$H$957),0)</f>
        <v>0</v>
      </c>
      <c r="G960" s="123" t="str">
        <f>VLOOKUP(D960,'MPG Payment '!$E$3:$G$334579,3,0)</f>
        <v>vlc</v>
      </c>
      <c r="H960" s="124" t="str">
        <f>VLOOKUP(D960,'MPG Payment '!$E$3:$H$334579,4,0)</f>
        <v>Indirect</v>
      </c>
      <c r="I960" s="88">
        <f>INDEX('MPG Payment '!$C:$C,MATCH('Shayak Income '!D960,'MPG Payment '!E:E,0))</f>
        <v>1061</v>
      </c>
      <c r="J960" s="88" t="str">
        <f>INDEX('MPG Payment '!$D:$D,MATCH('Shayak Income '!D960,'MPG Payment '!E:E,0))</f>
        <v>Mahua BMC</v>
      </c>
      <c r="K960" s="125" t="s">
        <v>1323</v>
      </c>
      <c r="L960" s="125">
        <v>46131</v>
      </c>
      <c r="M960" s="126">
        <f>SUMIF('MPG Payment '!$E$3:$E$34579,'Shayak Income '!D960,'MPG Payment '!$I$3:$I$34579)</f>
        <v>793.9</v>
      </c>
      <c r="N960" s="126">
        <f>SUMIF('MPG Payment '!$E$3:$E$34579,'Shayak Income '!D960,'MPG Payment '!$J$3:$J$34579)</f>
        <v>30173.6366685785</v>
      </c>
      <c r="O960" s="126">
        <f t="shared" si="362"/>
        <v>595.42499999999995</v>
      </c>
      <c r="P960" s="126">
        <f t="shared" si="363"/>
        <v>754.20499999999993</v>
      </c>
      <c r="Q960" s="126">
        <f>SUMIF('MPG Payment '!$E$3:$E$34579,'Shayak Income '!D960,'MPG Payment '!$S$3:$S$34579)</f>
        <v>0</v>
      </c>
      <c r="R960" s="126">
        <f t="shared" si="364"/>
        <v>905.20910005735493</v>
      </c>
      <c r="S960" s="126">
        <f t="shared" si="365"/>
        <v>151.004100057355</v>
      </c>
      <c r="T960" s="126">
        <f t="shared" si="334"/>
        <v>79.39</v>
      </c>
      <c r="U960" s="127">
        <f>(((IF(K960="New",0,SUMIF('MPG Payment '!$E$3:$E$34579,'Shayak Income '!D960,'MPG Payment '!$AC$3:$AC$34579))))+0)+0</f>
        <v>0</v>
      </c>
      <c r="V960" s="127">
        <f t="shared" si="335"/>
        <v>1270</v>
      </c>
      <c r="W960" s="19">
        <v>0</v>
      </c>
      <c r="X960" s="19">
        <v>0</v>
      </c>
      <c r="Y960" s="128">
        <f>IFERROR(VLOOKUP(D960,'Monthly Deduction'!$M$2:$N$64,2,0),0)</f>
        <v>0</v>
      </c>
      <c r="Z960" s="128">
        <v>0</v>
      </c>
      <c r="AA960" s="126">
        <f>IFERROR(VLOOKUP(D960,'Monthly Deduction'!A:B,2,0),0)</f>
        <v>0</v>
      </c>
      <c r="AB960" s="129">
        <f t="shared" si="366"/>
        <v>1270</v>
      </c>
      <c r="AC960" s="130">
        <v>0</v>
      </c>
      <c r="AD960" s="35">
        <f t="shared" si="367"/>
        <v>1270</v>
      </c>
      <c r="AE960" s="166" t="str">
        <f t="shared" si="368"/>
        <v>Release</v>
      </c>
      <c r="AF960" s="127"/>
      <c r="AG960" s="18">
        <v>0</v>
      </c>
      <c r="AH960" s="120"/>
      <c r="AI960" s="238">
        <v>0</v>
      </c>
      <c r="AJ960" s="132"/>
      <c r="AK960" s="151">
        <v>226.59999999999997</v>
      </c>
      <c r="AL960" s="154">
        <f t="shared" si="369"/>
        <v>0</v>
      </c>
      <c r="AM960" s="155"/>
      <c r="AN960" s="19">
        <f t="shared" si="331"/>
        <v>0</v>
      </c>
      <c r="AO960" s="118">
        <f>SUMIF('MPG Payment '!E:E,'Shayak Income '!D960,'MPG Payment '!AJ:AJ)</f>
        <v>0</v>
      </c>
      <c r="AP960" s="19">
        <f t="shared" si="332"/>
        <v>0</v>
      </c>
      <c r="AQ960" s="119">
        <f t="shared" si="370"/>
        <v>0</v>
      </c>
      <c r="AR960" s="91" t="s">
        <v>1168</v>
      </c>
      <c r="AS960" s="91">
        <f t="shared" si="333"/>
        <v>0</v>
      </c>
      <c r="AT960" s="118"/>
      <c r="AU960" s="118"/>
      <c r="AV960" s="118"/>
    </row>
    <row r="961" spans="1:48" s="20" customFormat="1" x14ac:dyDescent="0.25">
      <c r="A961" s="17">
        <f>IFERROR(VLOOKUP(D961,'Monthly Deduction'!$I$3:$J$957,2,0),0)</f>
        <v>75000</v>
      </c>
      <c r="B961" s="17">
        <f>IFERROR(VLOOKUP(D961,'Monthly Deduction'!$E$3:$F$957,2,0),0)</f>
        <v>0</v>
      </c>
      <c r="C961" s="17">
        <f t="shared" si="361"/>
        <v>75000</v>
      </c>
      <c r="D961" s="41">
        <v>10650011</v>
      </c>
      <c r="E961" s="122" t="str">
        <f>VLOOKUP(D961,'MPG Payment '!$E$3:$G$498218,2,0)</f>
        <v>Gomukh Manda</v>
      </c>
      <c r="F961" s="146">
        <f>IFERROR(_xlfn.XLOOKUP(D961,'Monthly Deduction'!$I$3:$I$957,'Monthly Deduction'!$H$3:$H$957),0)</f>
        <v>0</v>
      </c>
      <c r="G961" s="123" t="str">
        <f>VLOOKUP(D961,'MPG Payment '!$E$3:$G$334579,3,0)</f>
        <v>MPG</v>
      </c>
      <c r="H961" s="124" t="str">
        <f>VLOOKUP(D961,'MPG Payment '!$E$3:$H$334579,4,0)</f>
        <v>Direct</v>
      </c>
      <c r="I961" s="88">
        <f>INDEX('MPG Payment '!$C:$C,MATCH('Shayak Income '!D961,'MPG Payment '!E:E,0))</f>
        <v>1065</v>
      </c>
      <c r="J961" s="88" t="str">
        <f>INDEX('MPG Payment '!$D:$D,MATCH('Shayak Income '!D961,'MPG Payment '!E:E,0))</f>
        <v>Bachhwara BMC</v>
      </c>
      <c r="K961" s="125" t="s">
        <v>1323</v>
      </c>
      <c r="L961" s="125">
        <v>46129</v>
      </c>
      <c r="M961" s="126">
        <f>SUMIF('MPG Payment '!$E$3:$E$34579,'Shayak Income '!D961,'MPG Payment '!$I$3:$I$34579)</f>
        <v>1682.3000000000002</v>
      </c>
      <c r="N961" s="126">
        <f>SUMIF('MPG Payment '!$E$3:$E$34579,'Shayak Income '!D961,'MPG Payment '!$J$3:$J$34579)</f>
        <v>66436.193050200003</v>
      </c>
      <c r="O961" s="126">
        <f t="shared" si="362"/>
        <v>1261.7250000000001</v>
      </c>
      <c r="P961" s="126">
        <f t="shared" si="363"/>
        <v>1598.1850000000002</v>
      </c>
      <c r="Q961" s="126">
        <f>SUMIF('MPG Payment '!$E$3:$E$34579,'Shayak Income '!D961,'MPG Payment '!$S$3:$S$34579)</f>
        <v>0</v>
      </c>
      <c r="R961" s="126">
        <f t="shared" si="364"/>
        <v>1993.0857915060001</v>
      </c>
      <c r="S961" s="126">
        <f t="shared" si="365"/>
        <v>394.9007915059999</v>
      </c>
      <c r="T961" s="126">
        <f t="shared" si="334"/>
        <v>168.23000000000002</v>
      </c>
      <c r="U961" s="127">
        <f>(((IF(K961="New",0,SUMIF('MPG Payment '!$E$3:$E$34579,'Shayak Income '!D961,'MPG Payment '!$AC$3:$AC$34579))))+0)+0</f>
        <v>0</v>
      </c>
      <c r="V961" s="127">
        <f t="shared" si="335"/>
        <v>2692</v>
      </c>
      <c r="W961" s="19">
        <v>0</v>
      </c>
      <c r="X961" s="19">
        <v>0</v>
      </c>
      <c r="Y961" s="128">
        <f>IFERROR(VLOOKUP(D961,'Monthly Deduction'!$M$2:$N$64,2,0),0)</f>
        <v>0</v>
      </c>
      <c r="Z961" s="128">
        <v>0</v>
      </c>
      <c r="AA961" s="126">
        <f>IFERROR(VLOOKUP(D961,'Monthly Deduction'!A:B,2,0),0)</f>
        <v>0</v>
      </c>
      <c r="AB961" s="129">
        <f t="shared" si="366"/>
        <v>2692</v>
      </c>
      <c r="AC961" s="130">
        <f t="shared" ref="AC961:AC962" si="372">AB961</f>
        <v>2692</v>
      </c>
      <c r="AD961" s="35">
        <f t="shared" si="367"/>
        <v>0</v>
      </c>
      <c r="AE961" s="166" t="str">
        <f t="shared" si="368"/>
        <v>Yes</v>
      </c>
      <c r="AF961" s="127"/>
      <c r="AG961" s="18">
        <v>0</v>
      </c>
      <c r="AH961" s="120" t="s">
        <v>1650</v>
      </c>
      <c r="AI961" s="238">
        <v>10000</v>
      </c>
      <c r="AJ961" s="132"/>
      <c r="AK961" s="151">
        <v>609.4</v>
      </c>
      <c r="AL961" s="154">
        <f t="shared" si="369"/>
        <v>0</v>
      </c>
      <c r="AM961" s="155"/>
      <c r="AN961" s="19">
        <f t="shared" si="331"/>
        <v>1861</v>
      </c>
      <c r="AO961" s="118">
        <f>SUMIF('MPG Payment '!E:E,'Shayak Income '!D961,'MPG Payment '!AJ:AJ)</f>
        <v>0</v>
      </c>
      <c r="AP961" s="19">
        <f t="shared" si="332"/>
        <v>0</v>
      </c>
      <c r="AQ961" s="119">
        <f t="shared" si="370"/>
        <v>0</v>
      </c>
      <c r="AR961" s="91" t="s">
        <v>1168</v>
      </c>
      <c r="AS961" s="91">
        <f t="shared" si="333"/>
        <v>0</v>
      </c>
      <c r="AT961" s="118"/>
      <c r="AU961" s="118"/>
      <c r="AV961" s="118"/>
    </row>
    <row r="962" spans="1:48" s="20" customFormat="1" x14ac:dyDescent="0.25">
      <c r="A962" s="17">
        <f>IFERROR(VLOOKUP(D962,'Monthly Deduction'!$I$3:$J$957,2,0),0)</f>
        <v>0</v>
      </c>
      <c r="B962" s="17">
        <f>IFERROR(VLOOKUP(D962,'Monthly Deduction'!$E$3:$F$957,2,0),0)</f>
        <v>0</v>
      </c>
      <c r="C962" s="17">
        <f t="shared" si="361"/>
        <v>0</v>
      </c>
      <c r="D962" s="41">
        <v>10130027</v>
      </c>
      <c r="E962" s="122" t="str">
        <f>VLOOKUP(D962,'MPG Payment '!$E$3:$G$498218,2,0)</f>
        <v>Gomukh VISHNUPATTI</v>
      </c>
      <c r="F962" s="146">
        <f>IFERROR(_xlfn.XLOOKUP(D962,'Monthly Deduction'!$I$3:$I$957,'Monthly Deduction'!$H$3:$H$957),0)</f>
        <v>0</v>
      </c>
      <c r="G962" s="123" t="str">
        <f>VLOOKUP(D962,'MPG Payment '!$E$3:$G$334579,3,0)</f>
        <v>vlc</v>
      </c>
      <c r="H962" s="124" t="str">
        <f>VLOOKUP(D962,'MPG Payment '!$E$3:$H$334579,4,0)</f>
        <v>Indirect</v>
      </c>
      <c r="I962" s="88">
        <f>INDEX('MPG Payment '!$C:$C,MATCH('Shayak Income '!D962,'MPG Payment '!E:E,0))</f>
        <v>1013</v>
      </c>
      <c r="J962" s="88" t="str">
        <f>INDEX('MPG Payment '!$D:$D,MATCH('Shayak Income '!D962,'MPG Payment '!E:E,0))</f>
        <v>Musrigharari</v>
      </c>
      <c r="K962" s="125" t="s">
        <v>1322</v>
      </c>
      <c r="L962" s="125">
        <v>43846</v>
      </c>
      <c r="M962" s="126">
        <f>SUMIF('MPG Payment '!$E$3:$E$34579,'Shayak Income '!D962,'MPG Payment '!$I$3:$I$34579)</f>
        <v>122.9</v>
      </c>
      <c r="N962" s="126">
        <f>SUMIF('MPG Payment '!$E$3:$E$34579,'Shayak Income '!D962,'MPG Payment '!$J$3:$J$34579)</f>
        <v>3852.0599999999995</v>
      </c>
      <c r="O962" s="126">
        <f t="shared" si="362"/>
        <v>92.175000000000011</v>
      </c>
      <c r="P962" s="126">
        <f t="shared" si="363"/>
        <v>116.755</v>
      </c>
      <c r="Q962" s="126">
        <f>SUMIF('MPG Payment '!$E$3:$E$34579,'Shayak Income '!D962,'MPG Payment '!$S$3:$S$34579)</f>
        <v>0</v>
      </c>
      <c r="R962" s="126">
        <f t="shared" si="364"/>
        <v>115.56179999999998</v>
      </c>
      <c r="S962" s="126">
        <f t="shared" si="365"/>
        <v>-1.1932000000000187</v>
      </c>
      <c r="T962" s="126">
        <f t="shared" si="334"/>
        <v>12.290000000000001</v>
      </c>
      <c r="U962" s="127">
        <f>(((IF(K962="New",0,SUMIF('MPG Payment '!$E$3:$E$34579,'Shayak Income '!D962,'MPG Payment '!$AC$3:$AC$34579))))+0)+-1034</f>
        <v>196.65001496021341</v>
      </c>
      <c r="V962" s="127">
        <f t="shared" si="335"/>
        <v>0</v>
      </c>
      <c r="W962" s="19">
        <v>0</v>
      </c>
      <c r="X962" s="19">
        <v>0</v>
      </c>
      <c r="Y962" s="128">
        <v>0</v>
      </c>
      <c r="Z962" s="128">
        <v>0</v>
      </c>
      <c r="AA962" s="126">
        <v>0</v>
      </c>
      <c r="AB962" s="129">
        <f t="shared" si="366"/>
        <v>0</v>
      </c>
      <c r="AC962" s="130">
        <f t="shared" si="372"/>
        <v>0</v>
      </c>
      <c r="AD962" s="35">
        <f t="shared" si="367"/>
        <v>0</v>
      </c>
      <c r="AE962" s="166" t="str">
        <f t="shared" si="368"/>
        <v>Release</v>
      </c>
      <c r="AF962" s="127"/>
      <c r="AG962" s="18">
        <v>0</v>
      </c>
      <c r="AH962" s="132" t="s">
        <v>1648</v>
      </c>
      <c r="AI962" s="238">
        <v>0</v>
      </c>
      <c r="AJ962" s="132"/>
      <c r="AK962" s="151">
        <v>0</v>
      </c>
      <c r="AL962" s="154">
        <f t="shared" si="369"/>
        <v>0</v>
      </c>
      <c r="AM962" s="155"/>
      <c r="AN962" s="19">
        <f t="shared" si="331"/>
        <v>0</v>
      </c>
      <c r="AO962" s="118">
        <f>SUMIF('MPG Payment '!E:E,'Shayak Income '!D962,'MPG Payment '!AJ:AJ)</f>
        <v>0</v>
      </c>
      <c r="AP962" s="19">
        <f t="shared" si="332"/>
        <v>0</v>
      </c>
      <c r="AQ962" s="119">
        <f t="shared" si="370"/>
        <v>0</v>
      </c>
      <c r="AR962" s="91" t="s">
        <v>1168</v>
      </c>
      <c r="AS962" s="91">
        <f t="shared" si="333"/>
        <v>0</v>
      </c>
      <c r="AT962" s="118"/>
      <c r="AU962" s="118"/>
      <c r="AV962" s="118"/>
    </row>
    <row r="963" spans="1:48" s="20" customFormat="1" x14ac:dyDescent="0.25">
      <c r="A963" s="17">
        <f>IFERROR(VLOOKUP(D963,'Monthly Deduction'!$I$3:$J$957,2,0),0)</f>
        <v>0</v>
      </c>
      <c r="B963" s="17">
        <f>IFERROR(VLOOKUP(D963,'Monthly Deduction'!$E$3:$F$957,2,0),0)</f>
        <v>0</v>
      </c>
      <c r="C963" s="17">
        <f t="shared" si="361"/>
        <v>0</v>
      </c>
      <c r="D963" s="41">
        <v>10610052</v>
      </c>
      <c r="E963" s="122" t="str">
        <f>VLOOKUP(D963,'MPG Payment '!$E$3:$G$498218,2,0)</f>
        <v>GOMUKH SAHARIYA</v>
      </c>
      <c r="F963" s="146">
        <f>IFERROR(_xlfn.XLOOKUP(D963,'Monthly Deduction'!$I$3:$I$957,'Monthly Deduction'!$H$3:$H$957),0)</f>
        <v>0</v>
      </c>
      <c r="G963" s="123" t="str">
        <f>VLOOKUP(D963,'MPG Payment '!$E$3:$G$334579,3,0)</f>
        <v>vlc</v>
      </c>
      <c r="H963" s="124" t="str">
        <f>VLOOKUP(D963,'MPG Payment '!$E$3:$H$334579,4,0)</f>
        <v>Indirect</v>
      </c>
      <c r="I963" s="88">
        <f>INDEX('MPG Payment '!$C:$C,MATCH('Shayak Income '!D963,'MPG Payment '!E:E,0))</f>
        <v>1061</v>
      </c>
      <c r="J963" s="88" t="str">
        <f>INDEX('MPG Payment '!$D:$D,MATCH('Shayak Income '!D963,'MPG Payment '!E:E,0))</f>
        <v>Mahua BMC</v>
      </c>
      <c r="K963" s="125" t="s">
        <v>1323</v>
      </c>
      <c r="L963" s="125">
        <v>46138</v>
      </c>
      <c r="M963" s="126">
        <f>SUMIF('MPG Payment '!$E$3:$E$34579,'Shayak Income '!D963,'MPG Payment '!$I$3:$I$34579)</f>
        <v>2454.6</v>
      </c>
      <c r="N963" s="126">
        <f>SUMIF('MPG Payment '!$E$3:$E$34579,'Shayak Income '!D963,'MPG Payment '!$J$3:$J$34579)</f>
        <v>99733.776911120003</v>
      </c>
      <c r="O963" s="126">
        <f t="shared" si="362"/>
        <v>1840.9499999999998</v>
      </c>
      <c r="P963" s="126">
        <f t="shared" si="363"/>
        <v>2331.87</v>
      </c>
      <c r="Q963" s="126">
        <f>SUMIF('MPG Payment '!$E$3:$E$34579,'Shayak Income '!D963,'MPG Payment '!$S$3:$S$34579)</f>
        <v>0</v>
      </c>
      <c r="R963" s="126">
        <f t="shared" si="364"/>
        <v>2992.0133073336001</v>
      </c>
      <c r="S963" s="126">
        <f t="shared" si="365"/>
        <v>660.14330733360021</v>
      </c>
      <c r="T963" s="126">
        <f t="shared" si="334"/>
        <v>245.46</v>
      </c>
      <c r="U963" s="127">
        <f>(((IF(K963="New",0,SUMIF('MPG Payment '!$E$3:$E$34579,'Shayak Income '!D963,'MPG Payment '!$AC$3:$AC$34579))))+0)+0</f>
        <v>0</v>
      </c>
      <c r="V963" s="127">
        <f t="shared" si="335"/>
        <v>3927</v>
      </c>
      <c r="W963" s="19">
        <v>0</v>
      </c>
      <c r="X963" s="19">
        <v>0</v>
      </c>
      <c r="Y963" s="128">
        <f>IFERROR(VLOOKUP(D963,'Monthly Deduction'!$M$2:$N$64,2,0),0)</f>
        <v>0</v>
      </c>
      <c r="Z963" s="128">
        <v>0</v>
      </c>
      <c r="AA963" s="126">
        <f>IFERROR(VLOOKUP(D963,'Monthly Deduction'!A:B,2,0),0)</f>
        <v>0</v>
      </c>
      <c r="AB963" s="129">
        <f t="shared" si="366"/>
        <v>3927</v>
      </c>
      <c r="AC963" s="130">
        <v>0</v>
      </c>
      <c r="AD963" s="35">
        <f t="shared" si="367"/>
        <v>3927</v>
      </c>
      <c r="AE963" s="166" t="str">
        <f t="shared" si="368"/>
        <v>Release</v>
      </c>
      <c r="AF963" s="127"/>
      <c r="AG963" s="18">
        <v>0</v>
      </c>
      <c r="AH963" s="132"/>
      <c r="AI963" s="238">
        <v>0</v>
      </c>
      <c r="AJ963" s="132"/>
      <c r="AK963" s="151">
        <v>972</v>
      </c>
      <c r="AL963" s="154">
        <f t="shared" si="369"/>
        <v>0</v>
      </c>
      <c r="AM963" s="155"/>
      <c r="AN963" s="19">
        <f t="shared" si="331"/>
        <v>0</v>
      </c>
      <c r="AO963" s="118">
        <f>SUMIF('MPG Payment '!E:E,'Shayak Income '!D963,'MPG Payment '!AJ:AJ)</f>
        <v>0</v>
      </c>
      <c r="AP963" s="19">
        <f t="shared" si="332"/>
        <v>0</v>
      </c>
      <c r="AQ963" s="119">
        <f t="shared" si="370"/>
        <v>0</v>
      </c>
      <c r="AR963" s="91" t="s">
        <v>1168</v>
      </c>
      <c r="AS963" s="91">
        <f t="shared" si="333"/>
        <v>0</v>
      </c>
      <c r="AT963" s="118"/>
      <c r="AU963" s="118"/>
      <c r="AV963" s="118"/>
    </row>
    <row r="964" spans="1:48" s="20" customFormat="1" x14ac:dyDescent="0.25">
      <c r="A964" s="17">
        <f>IFERROR(VLOOKUP(D964,'Monthly Deduction'!$I$3:$J$957,2,0),0)</f>
        <v>75000</v>
      </c>
      <c r="B964" s="17">
        <f>IFERROR(VLOOKUP(D964,'Monthly Deduction'!$E$3:$F$957,2,0),0)</f>
        <v>0</v>
      </c>
      <c r="C964" s="17">
        <f t="shared" si="361"/>
        <v>75000</v>
      </c>
      <c r="D964" s="41">
        <v>10030086</v>
      </c>
      <c r="E964" s="122" t="str">
        <f>VLOOKUP(D964,'MPG Payment '!$E$3:$G$498218,2,0)</f>
        <v>BANOULI</v>
      </c>
      <c r="F964" s="146">
        <f>IFERROR(_xlfn.XLOOKUP(D964,'Monthly Deduction'!$I$3:$I$957,'Monthly Deduction'!$H$3:$H$957),0)</f>
        <v>0</v>
      </c>
      <c r="G964" s="123" t="str">
        <f>VLOOKUP(D964,'MPG Payment '!$E$3:$G$334579,3,0)</f>
        <v>MPG</v>
      </c>
      <c r="H964" s="124" t="str">
        <f>VLOOKUP(D964,'MPG Payment '!$E$3:$H$334579,4,0)</f>
        <v>Direct</v>
      </c>
      <c r="I964" s="88">
        <f>INDEX('MPG Payment '!$C:$C,MATCH('Shayak Income '!D964,'MPG Payment '!E:E,0))</f>
        <v>1003</v>
      </c>
      <c r="J964" s="88" t="str">
        <f>INDEX('MPG Payment '!$D:$D,MATCH('Shayak Income '!D964,'MPG Payment '!E:E,0))</f>
        <v>Asarganj</v>
      </c>
      <c r="K964" s="125" t="s">
        <v>1323</v>
      </c>
      <c r="L964" s="125">
        <v>46112</v>
      </c>
      <c r="M964" s="126">
        <f>SUMIF('MPG Payment '!$E$3:$E$34579,'Shayak Income '!D964,'MPG Payment '!$I$3:$I$34579)</f>
        <v>133.80000000000001</v>
      </c>
      <c r="N964" s="126">
        <f>SUMIF('MPG Payment '!$E$3:$E$34579,'Shayak Income '!D964,'MPG Payment '!$J$3:$J$34579)</f>
        <v>5351.1048845250007</v>
      </c>
      <c r="O964" s="126">
        <f t="shared" si="362"/>
        <v>100.35000000000001</v>
      </c>
      <c r="P964" s="126">
        <f t="shared" si="363"/>
        <v>127.11</v>
      </c>
      <c r="Q964" s="126">
        <f>SUMIF('MPG Payment '!$E$3:$E$34579,'Shayak Income '!D964,'MPG Payment '!$S$3:$S$34579)</f>
        <v>0</v>
      </c>
      <c r="R964" s="126">
        <f t="shared" si="364"/>
        <v>160.53314653575001</v>
      </c>
      <c r="S964" s="126">
        <f t="shared" si="365"/>
        <v>33.423146535750007</v>
      </c>
      <c r="T964" s="126">
        <f t="shared" si="334"/>
        <v>13.380000000000003</v>
      </c>
      <c r="U964" s="127">
        <f>(((IF(K964="New",0,SUMIF('MPG Payment '!$E$3:$E$34579,'Shayak Income '!D964,'MPG Payment '!$AC$3:$AC$34579))))+0)+0</f>
        <v>0</v>
      </c>
      <c r="V964" s="127">
        <f t="shared" si="335"/>
        <v>214</v>
      </c>
      <c r="W964" s="19">
        <v>0</v>
      </c>
      <c r="X964" s="19">
        <v>0</v>
      </c>
      <c r="Y964" s="128">
        <f>IFERROR(VLOOKUP(D964,'Monthly Deduction'!$M$2:$N$64,2,0),0)</f>
        <v>0</v>
      </c>
      <c r="Z964" s="128">
        <v>0</v>
      </c>
      <c r="AA964" s="126">
        <f>IFERROR(VLOOKUP(D964,'Monthly Deduction'!A:B,2,0),0)</f>
        <v>0</v>
      </c>
      <c r="AB964" s="129">
        <f t="shared" si="366"/>
        <v>214</v>
      </c>
      <c r="AC964" s="130">
        <f t="shared" ref="AC964:AC970" si="373">AB964</f>
        <v>214</v>
      </c>
      <c r="AD964" s="35">
        <f t="shared" si="367"/>
        <v>0</v>
      </c>
      <c r="AE964" s="166" t="str">
        <f t="shared" si="368"/>
        <v>Yes</v>
      </c>
      <c r="AF964" s="127"/>
      <c r="AG964" s="18">
        <v>0</v>
      </c>
      <c r="AH964" s="120" t="s">
        <v>1650</v>
      </c>
      <c r="AI964" s="238">
        <v>10000</v>
      </c>
      <c r="AJ964" s="132"/>
      <c r="AK964" s="151">
        <v>91.600000000000009</v>
      </c>
      <c r="AL964" s="154">
        <f t="shared" si="369"/>
        <v>0</v>
      </c>
      <c r="AM964" s="155"/>
      <c r="AN964" s="19">
        <f t="shared" ref="AN964:AN1027" si="374">((MIN(IF(A964&gt;0,MAX(N964*2%,1861),0),A964)))+0</f>
        <v>1861</v>
      </c>
      <c r="AO964" s="118">
        <f>SUMIF('MPG Payment '!E:E,'Shayak Income '!D964,'MPG Payment '!AJ:AJ)</f>
        <v>0</v>
      </c>
      <c r="AP964" s="19">
        <f t="shared" ref="AP964:AP1027" si="375">W964</f>
        <v>0</v>
      </c>
      <c r="AQ964" s="119">
        <f t="shared" si="370"/>
        <v>0</v>
      </c>
      <c r="AR964" s="91" t="s">
        <v>1168</v>
      </c>
      <c r="AS964" s="91">
        <f t="shared" ref="AS964:AS1027" si="376">B964-X964</f>
        <v>0</v>
      </c>
      <c r="AT964" s="118"/>
      <c r="AU964" s="118"/>
      <c r="AV964" s="118"/>
    </row>
    <row r="965" spans="1:48" s="20" customFormat="1" x14ac:dyDescent="0.25">
      <c r="A965" s="17">
        <f>IFERROR(VLOOKUP(D965,'Monthly Deduction'!$I$3:$J$957,2,0),0)</f>
        <v>75000</v>
      </c>
      <c r="B965" s="17">
        <f>IFERROR(VLOOKUP(D965,'Monthly Deduction'!$E$3:$F$957,2,0),0)</f>
        <v>0</v>
      </c>
      <c r="C965" s="17">
        <f t="shared" si="361"/>
        <v>75000</v>
      </c>
      <c r="D965" s="41">
        <v>10030087</v>
      </c>
      <c r="E965" s="122" t="str">
        <f>VLOOKUP(D965,'MPG Payment '!$E$3:$G$498218,2,0)</f>
        <v>DARIYAPUR R</v>
      </c>
      <c r="F965" s="146">
        <f>IFERROR(_xlfn.XLOOKUP(D965,'Monthly Deduction'!$I$3:$I$957,'Monthly Deduction'!$H$3:$H$957),0)</f>
        <v>0</v>
      </c>
      <c r="G965" s="123" t="str">
        <f>VLOOKUP(D965,'MPG Payment '!$E$3:$G$334579,3,0)</f>
        <v>MPG</v>
      </c>
      <c r="H965" s="124" t="str">
        <f>VLOOKUP(D965,'MPG Payment '!$E$3:$H$334579,4,0)</f>
        <v>Direct</v>
      </c>
      <c r="I965" s="88">
        <f>INDEX('MPG Payment '!$C:$C,MATCH('Shayak Income '!D965,'MPG Payment '!E:E,0))</f>
        <v>1003</v>
      </c>
      <c r="J965" s="88" t="str">
        <f>INDEX('MPG Payment '!$D:$D,MATCH('Shayak Income '!D965,'MPG Payment '!E:E,0))</f>
        <v>Asarganj</v>
      </c>
      <c r="K965" s="125" t="s">
        <v>1323</v>
      </c>
      <c r="L965" s="125">
        <v>46112</v>
      </c>
      <c r="M965" s="126">
        <f>SUMIF('MPG Payment '!$E$3:$E$34579,'Shayak Income '!D965,'MPG Payment '!$I$3:$I$34579)</f>
        <v>905.15000000000009</v>
      </c>
      <c r="N965" s="126">
        <f>SUMIF('MPG Payment '!$E$3:$E$34579,'Shayak Income '!D965,'MPG Payment '!$J$3:$J$34579)</f>
        <v>35701.060922590004</v>
      </c>
      <c r="O965" s="126">
        <f t="shared" si="362"/>
        <v>678.86250000000007</v>
      </c>
      <c r="P965" s="126">
        <f t="shared" si="363"/>
        <v>859.89250000000004</v>
      </c>
      <c r="Q965" s="126">
        <f>SUMIF('MPG Payment '!$E$3:$E$34579,'Shayak Income '!D965,'MPG Payment '!$S$3:$S$34579)</f>
        <v>0</v>
      </c>
      <c r="R965" s="126">
        <f t="shared" si="364"/>
        <v>1071.0318276777</v>
      </c>
      <c r="S965" s="126">
        <f t="shared" si="365"/>
        <v>211.13932767769995</v>
      </c>
      <c r="T965" s="126">
        <f t="shared" ref="T965:T1028" si="377">M965*0.1</f>
        <v>90.515000000000015</v>
      </c>
      <c r="U965" s="127">
        <f>(((IF(K965="New",0,SUMIF('MPG Payment '!$E$3:$E$34579,'Shayak Income '!D965,'MPG Payment '!$AC$3:$AC$34579))))+0)+0</f>
        <v>0</v>
      </c>
      <c r="V965" s="127">
        <f t="shared" ref="V965:V1028" si="378">ROUND((SUM(O965:Q965)-SUM(T965:U965)),0)</f>
        <v>1448</v>
      </c>
      <c r="W965" s="19">
        <v>0</v>
      </c>
      <c r="X965" s="19">
        <v>0</v>
      </c>
      <c r="Y965" s="128">
        <f>IFERROR(VLOOKUP(D965,'Monthly Deduction'!$M$2:$N$64,2,0),0)</f>
        <v>0</v>
      </c>
      <c r="Z965" s="128">
        <v>0</v>
      </c>
      <c r="AA965" s="126">
        <f>IFERROR(VLOOKUP(D965,'Monthly Deduction'!A:B,2,0),0)</f>
        <v>0</v>
      </c>
      <c r="AB965" s="129">
        <f t="shared" si="366"/>
        <v>1448</v>
      </c>
      <c r="AC965" s="130">
        <f t="shared" si="373"/>
        <v>1448</v>
      </c>
      <c r="AD965" s="35">
        <f t="shared" si="367"/>
        <v>0</v>
      </c>
      <c r="AE965" s="166" t="str">
        <f t="shared" si="368"/>
        <v>Yes</v>
      </c>
      <c r="AF965" s="127"/>
      <c r="AG965" s="18">
        <v>0</v>
      </c>
      <c r="AH965" s="120" t="s">
        <v>1650</v>
      </c>
      <c r="AI965" s="238">
        <v>10000</v>
      </c>
      <c r="AJ965" s="132"/>
      <c r="AK965" s="151">
        <v>283.64999999999998</v>
      </c>
      <c r="AL965" s="154">
        <f t="shared" si="369"/>
        <v>0</v>
      </c>
      <c r="AM965" s="155"/>
      <c r="AN965" s="19">
        <f t="shared" si="374"/>
        <v>1861</v>
      </c>
      <c r="AO965" s="118">
        <f>SUMIF('MPG Payment '!E:E,'Shayak Income '!D965,'MPG Payment '!AJ:AJ)</f>
        <v>0</v>
      </c>
      <c r="AP965" s="19">
        <f t="shared" si="375"/>
        <v>0</v>
      </c>
      <c r="AQ965" s="119">
        <f t="shared" si="370"/>
        <v>0</v>
      </c>
      <c r="AR965" s="91" t="s">
        <v>1168</v>
      </c>
      <c r="AS965" s="91">
        <f t="shared" si="376"/>
        <v>0</v>
      </c>
      <c r="AT965" s="118"/>
      <c r="AU965" s="118"/>
      <c r="AV965" s="118"/>
    </row>
    <row r="966" spans="1:48" s="20" customFormat="1" x14ac:dyDescent="0.25">
      <c r="A966" s="17">
        <f>IFERROR(VLOOKUP(D966,'Monthly Deduction'!$I$3:$J$957,2,0),0)</f>
        <v>75000</v>
      </c>
      <c r="B966" s="17">
        <f>IFERROR(VLOOKUP(D966,'Monthly Deduction'!$E$3:$F$957,2,0),0)</f>
        <v>0</v>
      </c>
      <c r="C966" s="17">
        <f t="shared" si="361"/>
        <v>75000</v>
      </c>
      <c r="D966" s="41">
        <v>10030088</v>
      </c>
      <c r="E966" s="122" t="str">
        <f>VLOOKUP(D966,'MPG Payment '!$E$3:$G$498218,2,0)</f>
        <v>MUZAFFARGANJ</v>
      </c>
      <c r="F966" s="146">
        <f>IFERROR(_xlfn.XLOOKUP(D966,'Monthly Deduction'!$I$3:$I$957,'Monthly Deduction'!$H$3:$H$957),0)</f>
        <v>0</v>
      </c>
      <c r="G966" s="123" t="str">
        <f>VLOOKUP(D966,'MPG Payment '!$E$3:$G$334579,3,0)</f>
        <v>MPG</v>
      </c>
      <c r="H966" s="124" t="str">
        <f>VLOOKUP(D966,'MPG Payment '!$E$3:$H$334579,4,0)</f>
        <v>Direct</v>
      </c>
      <c r="I966" s="88">
        <f>INDEX('MPG Payment '!$C:$C,MATCH('Shayak Income '!D966,'MPG Payment '!E:E,0))</f>
        <v>1003</v>
      </c>
      <c r="J966" s="88" t="str">
        <f>INDEX('MPG Payment '!$D:$D,MATCH('Shayak Income '!D966,'MPG Payment '!E:E,0))</f>
        <v>Asarganj</v>
      </c>
      <c r="K966" s="125" t="s">
        <v>1323</v>
      </c>
      <c r="L966" s="125">
        <v>46112</v>
      </c>
      <c r="M966" s="126">
        <f>SUMIF('MPG Payment '!$E$3:$E$34579,'Shayak Income '!D966,'MPG Payment '!$I$3:$I$34579)</f>
        <v>1276.9000000000001</v>
      </c>
      <c r="N966" s="126">
        <f>SUMIF('MPG Payment '!$E$3:$E$34579,'Shayak Income '!D966,'MPG Payment '!$J$3:$J$34579)</f>
        <v>50006.209422562002</v>
      </c>
      <c r="O966" s="126">
        <f t="shared" si="362"/>
        <v>957.67500000000007</v>
      </c>
      <c r="P966" s="126">
        <f t="shared" si="363"/>
        <v>1213.0550000000001</v>
      </c>
      <c r="Q966" s="126">
        <f>SUMIF('MPG Payment '!$E$3:$E$34579,'Shayak Income '!D966,'MPG Payment '!$S$3:$S$34579)</f>
        <v>0</v>
      </c>
      <c r="R966" s="126">
        <f t="shared" si="364"/>
        <v>1500.1862826768599</v>
      </c>
      <c r="S966" s="126">
        <f t="shared" si="365"/>
        <v>287.13128267685988</v>
      </c>
      <c r="T966" s="126">
        <f t="shared" si="377"/>
        <v>127.69000000000001</v>
      </c>
      <c r="U966" s="127">
        <f>(((IF(K966="New",0,SUMIF('MPG Payment '!$E$3:$E$34579,'Shayak Income '!D966,'MPG Payment '!$AC$3:$AC$34579))))+0)+0</f>
        <v>0</v>
      </c>
      <c r="V966" s="127">
        <f t="shared" si="378"/>
        <v>2043</v>
      </c>
      <c r="W966" s="19">
        <v>0</v>
      </c>
      <c r="X966" s="19">
        <v>0</v>
      </c>
      <c r="Y966" s="128">
        <f>IFERROR(VLOOKUP(D966,'Monthly Deduction'!$M$2:$N$64,2,0),0)</f>
        <v>0</v>
      </c>
      <c r="Z966" s="128">
        <v>0</v>
      </c>
      <c r="AA966" s="126">
        <f>IFERROR(VLOOKUP(D966,'Monthly Deduction'!A:B,2,0),0)</f>
        <v>0</v>
      </c>
      <c r="AB966" s="129">
        <f t="shared" si="366"/>
        <v>2043</v>
      </c>
      <c r="AC966" s="130">
        <f t="shared" si="373"/>
        <v>2043</v>
      </c>
      <c r="AD966" s="35">
        <f t="shared" si="367"/>
        <v>0</v>
      </c>
      <c r="AE966" s="166" t="str">
        <f t="shared" si="368"/>
        <v>Yes</v>
      </c>
      <c r="AF966" s="127"/>
      <c r="AG966" s="18">
        <v>0</v>
      </c>
      <c r="AH966" s="120" t="s">
        <v>1650</v>
      </c>
      <c r="AI966" s="238">
        <v>10000</v>
      </c>
      <c r="AJ966" s="132"/>
      <c r="AK966" s="151">
        <v>559.94999999999993</v>
      </c>
      <c r="AL966" s="154">
        <f t="shared" si="369"/>
        <v>0</v>
      </c>
      <c r="AM966" s="155"/>
      <c r="AN966" s="19">
        <f t="shared" si="374"/>
        <v>1861</v>
      </c>
      <c r="AO966" s="118">
        <f>SUMIF('MPG Payment '!E:E,'Shayak Income '!D966,'MPG Payment '!AJ:AJ)</f>
        <v>0</v>
      </c>
      <c r="AP966" s="19">
        <f t="shared" si="375"/>
        <v>0</v>
      </c>
      <c r="AQ966" s="119">
        <f t="shared" si="370"/>
        <v>0</v>
      </c>
      <c r="AR966" s="91" t="s">
        <v>1168</v>
      </c>
      <c r="AS966" s="91">
        <f t="shared" si="376"/>
        <v>0</v>
      </c>
      <c r="AT966" s="118"/>
      <c r="AU966" s="118"/>
      <c r="AV966" s="118"/>
    </row>
    <row r="967" spans="1:48" s="20" customFormat="1" x14ac:dyDescent="0.25">
      <c r="A967" s="17">
        <f>IFERROR(VLOOKUP(D967,'Monthly Deduction'!$I$3:$J$957,2,0),0)</f>
        <v>70000</v>
      </c>
      <c r="B967" s="17">
        <f>IFERROR(VLOOKUP(D967,'Monthly Deduction'!$E$3:$F$957,2,0),0)</f>
        <v>0</v>
      </c>
      <c r="C967" s="17">
        <f t="shared" si="361"/>
        <v>70000</v>
      </c>
      <c r="D967" s="41">
        <v>10030089</v>
      </c>
      <c r="E967" s="122" t="str">
        <f>VLOOKUP(D967,'MPG Payment '!$E$3:$G$498218,2,0)</f>
        <v>SARHA</v>
      </c>
      <c r="F967" s="146">
        <f>IFERROR(_xlfn.XLOOKUP(D967,'Monthly Deduction'!$I$3:$I$957,'Monthly Deduction'!$H$3:$H$957),0)</f>
        <v>0</v>
      </c>
      <c r="G967" s="123" t="str">
        <f>VLOOKUP(D967,'MPG Payment '!$E$3:$G$334579,3,0)</f>
        <v>MPG</v>
      </c>
      <c r="H967" s="124" t="str">
        <f>VLOOKUP(D967,'MPG Payment '!$E$3:$H$334579,4,0)</f>
        <v>Direct</v>
      </c>
      <c r="I967" s="88">
        <f>INDEX('MPG Payment '!$C:$C,MATCH('Shayak Income '!D967,'MPG Payment '!E:E,0))</f>
        <v>1003</v>
      </c>
      <c r="J967" s="88" t="str">
        <f>INDEX('MPG Payment '!$D:$D,MATCH('Shayak Income '!D967,'MPG Payment '!E:E,0))</f>
        <v>Asarganj</v>
      </c>
      <c r="K967" s="125" t="s">
        <v>1323</v>
      </c>
      <c r="L967" s="125">
        <v>46112</v>
      </c>
      <c r="M967" s="126">
        <f>SUMIF('MPG Payment '!$E$3:$E$34579,'Shayak Income '!D967,'MPG Payment '!$I$3:$I$34579)</f>
        <v>2731.15</v>
      </c>
      <c r="N967" s="126">
        <f>SUMIF('MPG Payment '!$E$3:$E$34579,'Shayak Income '!D967,'MPG Payment '!$J$3:$J$34579)</f>
        <v>121000.31727747062</v>
      </c>
      <c r="O967" s="126">
        <f t="shared" si="362"/>
        <v>2048.3625000000002</v>
      </c>
      <c r="P967" s="126">
        <f t="shared" si="363"/>
        <v>2594.5924999999997</v>
      </c>
      <c r="Q967" s="126">
        <f>SUMIF('MPG Payment '!$E$3:$E$34579,'Shayak Income '!D967,'MPG Payment '!$S$3:$S$34579)</f>
        <v>0</v>
      </c>
      <c r="R967" s="126">
        <f t="shared" si="364"/>
        <v>3630.0095183241183</v>
      </c>
      <c r="S967" s="126">
        <f t="shared" si="365"/>
        <v>1035.4170183241185</v>
      </c>
      <c r="T967" s="126">
        <f t="shared" si="377"/>
        <v>273.11500000000001</v>
      </c>
      <c r="U967" s="127">
        <f>(((IF(K967="New",0,SUMIF('MPG Payment '!$E$3:$E$34579,'Shayak Income '!D967,'MPG Payment '!$AC$3:$AC$34579))))+0)+0</f>
        <v>0</v>
      </c>
      <c r="V967" s="127">
        <f t="shared" si="378"/>
        <v>4370</v>
      </c>
      <c r="W967" s="19">
        <v>0</v>
      </c>
      <c r="X967" s="19">
        <v>0</v>
      </c>
      <c r="Y967" s="128">
        <f>IFERROR(VLOOKUP(D967,'Monthly Deduction'!$M$2:$N$64,2,0),0)</f>
        <v>0</v>
      </c>
      <c r="Z967" s="128">
        <v>0</v>
      </c>
      <c r="AA967" s="126">
        <f>IFERROR(VLOOKUP(D967,'Monthly Deduction'!A:B,2,0),0)</f>
        <v>0</v>
      </c>
      <c r="AB967" s="129">
        <f t="shared" si="366"/>
        <v>4370</v>
      </c>
      <c r="AC967" s="130">
        <f t="shared" si="373"/>
        <v>4370</v>
      </c>
      <c r="AD967" s="35">
        <f t="shared" si="367"/>
        <v>0</v>
      </c>
      <c r="AE967" s="166" t="str">
        <f t="shared" si="368"/>
        <v>Yes</v>
      </c>
      <c r="AF967" s="127"/>
      <c r="AG967" s="18">
        <v>0</v>
      </c>
      <c r="AH967" s="120" t="s">
        <v>1650</v>
      </c>
      <c r="AI967" s="238">
        <v>5000</v>
      </c>
      <c r="AJ967" s="132"/>
      <c r="AK967" s="151">
        <v>781.54999999999984</v>
      </c>
      <c r="AL967" s="154">
        <f t="shared" si="369"/>
        <v>0</v>
      </c>
      <c r="AM967" s="155"/>
      <c r="AN967" s="19">
        <f t="shared" si="374"/>
        <v>2420.0063455494123</v>
      </c>
      <c r="AO967" s="118">
        <f>SUMIF('MPG Payment '!E:E,'Shayak Income '!D967,'MPG Payment '!AJ:AJ)</f>
        <v>0</v>
      </c>
      <c r="AP967" s="19">
        <f t="shared" si="375"/>
        <v>0</v>
      </c>
      <c r="AQ967" s="119">
        <f t="shared" si="370"/>
        <v>0</v>
      </c>
      <c r="AR967" s="91" t="s">
        <v>1168</v>
      </c>
      <c r="AS967" s="91">
        <f t="shared" si="376"/>
        <v>0</v>
      </c>
      <c r="AT967" s="118"/>
      <c r="AU967" s="118"/>
      <c r="AV967" s="118"/>
    </row>
    <row r="968" spans="1:48" s="20" customFormat="1" x14ac:dyDescent="0.25">
      <c r="A968" s="17">
        <f>IFERROR(VLOOKUP(D968,'Monthly Deduction'!$I$3:$J$957,2,0),0)</f>
        <v>75000</v>
      </c>
      <c r="B968" s="17">
        <f>IFERROR(VLOOKUP(D968,'Monthly Deduction'!$E$3:$F$957,2,0),0)</f>
        <v>0</v>
      </c>
      <c r="C968" s="17">
        <f t="shared" si="361"/>
        <v>75000</v>
      </c>
      <c r="D968" s="41">
        <v>10030090</v>
      </c>
      <c r="E968" s="122" t="str">
        <f>VLOOKUP(D968,'MPG Payment '!$E$3:$G$498218,2,0)</f>
        <v>KUSUMBHA</v>
      </c>
      <c r="F968" s="146">
        <f>IFERROR(_xlfn.XLOOKUP(D968,'Monthly Deduction'!$I$3:$I$957,'Monthly Deduction'!$H$3:$H$957),0)</f>
        <v>0</v>
      </c>
      <c r="G968" s="123" t="str">
        <f>VLOOKUP(D968,'MPG Payment '!$E$3:$G$334579,3,0)</f>
        <v>MPG</v>
      </c>
      <c r="H968" s="124" t="str">
        <f>VLOOKUP(D968,'MPG Payment '!$E$3:$H$334579,4,0)</f>
        <v>Direct</v>
      </c>
      <c r="I968" s="88">
        <f>INDEX('MPG Payment '!$C:$C,MATCH('Shayak Income '!D968,'MPG Payment '!E:E,0))</f>
        <v>1003</v>
      </c>
      <c r="J968" s="88" t="str">
        <f>INDEX('MPG Payment '!$D:$D,MATCH('Shayak Income '!D968,'MPG Payment '!E:E,0))</f>
        <v>Asarganj</v>
      </c>
      <c r="K968" s="125" t="s">
        <v>1323</v>
      </c>
      <c r="L968" s="125">
        <v>46112</v>
      </c>
      <c r="M968" s="126">
        <f>SUMIF('MPG Payment '!$E$3:$E$34579,'Shayak Income '!D968,'MPG Payment '!$I$3:$I$34579)</f>
        <v>466.75</v>
      </c>
      <c r="N968" s="126">
        <f>SUMIF('MPG Payment '!$E$3:$E$34579,'Shayak Income '!D968,'MPG Payment '!$J$3:$J$34579)</f>
        <v>18597.890185303302</v>
      </c>
      <c r="O968" s="126">
        <f t="shared" si="362"/>
        <v>350.0625</v>
      </c>
      <c r="P968" s="126">
        <f t="shared" si="363"/>
        <v>443.41249999999997</v>
      </c>
      <c r="Q968" s="126">
        <f>SUMIF('MPG Payment '!$E$3:$E$34579,'Shayak Income '!D968,'MPG Payment '!$S$3:$S$34579)</f>
        <v>0</v>
      </c>
      <c r="R968" s="126">
        <f t="shared" si="364"/>
        <v>557.9367055590991</v>
      </c>
      <c r="S968" s="126">
        <f t="shared" si="365"/>
        <v>114.52420555909913</v>
      </c>
      <c r="T968" s="126">
        <f t="shared" si="377"/>
        <v>46.675000000000004</v>
      </c>
      <c r="U968" s="127">
        <f>(((IF(K968="New",0,SUMIF('MPG Payment '!$E$3:$E$34579,'Shayak Income '!D968,'MPG Payment '!$AC$3:$AC$34579))))+0)+0</f>
        <v>0</v>
      </c>
      <c r="V968" s="127">
        <f t="shared" si="378"/>
        <v>747</v>
      </c>
      <c r="W968" s="19">
        <v>0</v>
      </c>
      <c r="X968" s="19">
        <v>0</v>
      </c>
      <c r="Y968" s="128">
        <f>IFERROR(VLOOKUP(D968,'Monthly Deduction'!$M$2:$N$64,2,0),0)</f>
        <v>0</v>
      </c>
      <c r="Z968" s="128">
        <v>0</v>
      </c>
      <c r="AA968" s="126">
        <f>IFERROR(VLOOKUP(D968,'Monthly Deduction'!A:B,2,0),0)</f>
        <v>0</v>
      </c>
      <c r="AB968" s="129">
        <f t="shared" si="366"/>
        <v>747</v>
      </c>
      <c r="AC968" s="130">
        <f t="shared" si="373"/>
        <v>747</v>
      </c>
      <c r="AD968" s="35">
        <f t="shared" si="367"/>
        <v>0</v>
      </c>
      <c r="AE968" s="166" t="str">
        <f t="shared" si="368"/>
        <v>Yes</v>
      </c>
      <c r="AF968" s="127"/>
      <c r="AG968" s="18">
        <v>0</v>
      </c>
      <c r="AH968" s="120" t="s">
        <v>1650</v>
      </c>
      <c r="AI968" s="238">
        <v>10000</v>
      </c>
      <c r="AJ968" s="132"/>
      <c r="AK968" s="151">
        <v>231.00000000000003</v>
      </c>
      <c r="AL968" s="154">
        <f t="shared" si="369"/>
        <v>0</v>
      </c>
      <c r="AM968" s="155"/>
      <c r="AN968" s="19">
        <f t="shared" si="374"/>
        <v>1861</v>
      </c>
      <c r="AO968" s="118">
        <f>SUMIF('MPG Payment '!E:E,'Shayak Income '!D968,'MPG Payment '!AJ:AJ)</f>
        <v>0</v>
      </c>
      <c r="AP968" s="19">
        <f t="shared" si="375"/>
        <v>0</v>
      </c>
      <c r="AQ968" s="119">
        <f t="shared" si="370"/>
        <v>0</v>
      </c>
      <c r="AR968" s="91" t="s">
        <v>1168</v>
      </c>
      <c r="AS968" s="91">
        <f t="shared" si="376"/>
        <v>0</v>
      </c>
      <c r="AT968" s="118"/>
      <c r="AU968" s="118"/>
      <c r="AV968" s="118"/>
    </row>
    <row r="969" spans="1:48" s="20" customFormat="1" x14ac:dyDescent="0.25">
      <c r="A969" s="17">
        <f>IFERROR(VLOOKUP(D969,'Monthly Deduction'!$I$3:$J$957,2,0),0)</f>
        <v>65000</v>
      </c>
      <c r="B969" s="17">
        <f>IFERROR(VLOOKUP(D969,'Monthly Deduction'!$E$3:$F$957,2,0),0)</f>
        <v>0</v>
      </c>
      <c r="C969" s="17">
        <f t="shared" si="361"/>
        <v>65000</v>
      </c>
      <c r="D969" s="41">
        <v>10090080</v>
      </c>
      <c r="E969" s="122" t="str">
        <f>VLOOKUP(D969,'MPG Payment '!$E$3:$G$498218,2,0)</f>
        <v>NAWADIH 2</v>
      </c>
      <c r="F969" s="146">
        <f>IFERROR(_xlfn.XLOOKUP(D969,'Monthly Deduction'!$I$3:$I$957,'Monthly Deduction'!$H$3:$H$957),0)</f>
        <v>0</v>
      </c>
      <c r="G969" s="123" t="str">
        <f>VLOOKUP(D969,'MPG Payment '!$E$3:$G$334579,3,0)</f>
        <v>MPG</v>
      </c>
      <c r="H969" s="124" t="str">
        <f>VLOOKUP(D969,'MPG Payment '!$E$3:$H$334579,4,0)</f>
        <v>Direct</v>
      </c>
      <c r="I969" s="88">
        <f>INDEX('MPG Payment '!$C:$C,MATCH('Shayak Income '!D969,'MPG Payment '!E:E,0))</f>
        <v>1009</v>
      </c>
      <c r="J969" s="88" t="str">
        <f>INDEX('MPG Payment '!$D:$D,MATCH('Shayak Income '!D969,'MPG Payment '!E:E,0))</f>
        <v>Halsi</v>
      </c>
      <c r="K969" s="125" t="s">
        <v>1323</v>
      </c>
      <c r="L969" s="125">
        <v>46112</v>
      </c>
      <c r="M969" s="126">
        <f>SUMIF('MPG Payment '!$E$3:$E$34579,'Shayak Income '!D969,'MPG Payment '!$I$3:$I$34579)</f>
        <v>1338.8</v>
      </c>
      <c r="N969" s="126">
        <f>SUMIF('MPG Payment '!$E$3:$E$34579,'Shayak Income '!D969,'MPG Payment '!$J$3:$J$34579)</f>
        <v>60238.27129683159</v>
      </c>
      <c r="O969" s="126">
        <f t="shared" si="362"/>
        <v>1004.0999999999999</v>
      </c>
      <c r="P969" s="126">
        <f t="shared" si="363"/>
        <v>1271.8599999999999</v>
      </c>
      <c r="Q969" s="126">
        <f>SUMIF('MPG Payment '!$E$3:$E$34579,'Shayak Income '!D969,'MPG Payment '!$S$3:$S$34579)</f>
        <v>0</v>
      </c>
      <c r="R969" s="126">
        <f t="shared" si="364"/>
        <v>1807.1481389049477</v>
      </c>
      <c r="S969" s="126">
        <f t="shared" si="365"/>
        <v>535.2881389049478</v>
      </c>
      <c r="T969" s="126">
        <f t="shared" si="377"/>
        <v>133.88</v>
      </c>
      <c r="U969" s="127">
        <f>(((IF(K969="New",0,SUMIF('MPG Payment '!$E$3:$E$34579,'Shayak Income '!D969,'MPG Payment '!$AC$3:$AC$34579))))+0)+0</f>
        <v>0</v>
      </c>
      <c r="V969" s="127">
        <f t="shared" si="378"/>
        <v>2142</v>
      </c>
      <c r="W969" s="19">
        <v>0</v>
      </c>
      <c r="X969" s="19">
        <v>0</v>
      </c>
      <c r="Y969" s="128">
        <f>IFERROR(VLOOKUP(D969,'Monthly Deduction'!$M$2:$N$64,2,0),0)</f>
        <v>0</v>
      </c>
      <c r="Z969" s="128">
        <v>0</v>
      </c>
      <c r="AA969" s="126">
        <f>IFERROR(VLOOKUP(D969,'Monthly Deduction'!A:B,2,0),0)</f>
        <v>0</v>
      </c>
      <c r="AB969" s="129">
        <f t="shared" si="366"/>
        <v>2142</v>
      </c>
      <c r="AC969" s="130">
        <f t="shared" si="373"/>
        <v>2142</v>
      </c>
      <c r="AD969" s="35">
        <f t="shared" si="367"/>
        <v>0</v>
      </c>
      <c r="AE969" s="166" t="str">
        <f t="shared" si="368"/>
        <v>Yes</v>
      </c>
      <c r="AF969" s="127"/>
      <c r="AG969" s="18">
        <v>0</v>
      </c>
      <c r="AH969" s="120" t="s">
        <v>1653</v>
      </c>
      <c r="AI969" s="238">
        <v>0</v>
      </c>
      <c r="AJ969" s="132"/>
      <c r="AK969" s="151">
        <v>414.2</v>
      </c>
      <c r="AL969" s="154">
        <f t="shared" si="369"/>
        <v>0</v>
      </c>
      <c r="AM969" s="155"/>
      <c r="AN969" s="19">
        <f t="shared" si="374"/>
        <v>1861</v>
      </c>
      <c r="AO969" s="118">
        <f>SUMIF('MPG Payment '!E:E,'Shayak Income '!D969,'MPG Payment '!AJ:AJ)</f>
        <v>0</v>
      </c>
      <c r="AP969" s="19">
        <f t="shared" si="375"/>
        <v>0</v>
      </c>
      <c r="AQ969" s="119">
        <f t="shared" si="370"/>
        <v>0</v>
      </c>
      <c r="AR969" s="91" t="s">
        <v>1168</v>
      </c>
      <c r="AS969" s="91">
        <f t="shared" si="376"/>
        <v>0</v>
      </c>
      <c r="AT969" s="118"/>
      <c r="AU969" s="118"/>
      <c r="AV969" s="118"/>
    </row>
    <row r="970" spans="1:48" s="20" customFormat="1" x14ac:dyDescent="0.25">
      <c r="A970" s="17">
        <f>IFERROR(VLOOKUP(D970,'Monthly Deduction'!$I$3:$J$957,2,0),0)</f>
        <v>0</v>
      </c>
      <c r="B970" s="17">
        <f>IFERROR(VLOOKUP(D970,'Monthly Deduction'!$E$3:$F$957,2,0),0)</f>
        <v>0</v>
      </c>
      <c r="C970" s="17">
        <f t="shared" si="361"/>
        <v>0</v>
      </c>
      <c r="D970" s="41">
        <v>10130121</v>
      </c>
      <c r="E970" s="122" t="str">
        <f>VLOOKUP(D970,'MPG Payment '!$E$3:$G$498218,2,0)</f>
        <v>GOMUKH BATHUA W-9</v>
      </c>
      <c r="F970" s="146">
        <f>IFERROR(_xlfn.XLOOKUP(D970,'Monthly Deduction'!$I$3:$I$957,'Monthly Deduction'!$H$3:$H$957),0)</f>
        <v>0</v>
      </c>
      <c r="G970" s="123" t="str">
        <f>VLOOKUP(D970,'MPG Payment '!$E$3:$G$334579,3,0)</f>
        <v>vlc</v>
      </c>
      <c r="H970" s="124" t="str">
        <f>VLOOKUP(D970,'MPG Payment '!$E$3:$H$334579,4,0)</f>
        <v>Indirect</v>
      </c>
      <c r="I970" s="88">
        <f>INDEX('MPG Payment '!$C:$C,MATCH('Shayak Income '!D970,'MPG Payment '!E:E,0))</f>
        <v>1013</v>
      </c>
      <c r="J970" s="88" t="str">
        <f>INDEX('MPG Payment '!$D:$D,MATCH('Shayak Income '!D970,'MPG Payment '!E:E,0))</f>
        <v>Musrigharari</v>
      </c>
      <c r="K970" s="125" t="s">
        <v>1323</v>
      </c>
      <c r="L970" s="125">
        <v>46144</v>
      </c>
      <c r="M970" s="126">
        <f>SUMIF('MPG Payment '!$E$3:$E$34579,'Shayak Income '!D970,'MPG Payment '!$I$3:$I$34579)</f>
        <v>41.8</v>
      </c>
      <c r="N970" s="126">
        <f>SUMIF('MPG Payment '!$E$3:$E$34579,'Shayak Income '!D970,'MPG Payment '!$J$3:$J$34579)</f>
        <v>1295.6600000000001</v>
      </c>
      <c r="O970" s="126">
        <f t="shared" si="362"/>
        <v>31.349999999999998</v>
      </c>
      <c r="P970" s="126">
        <f t="shared" si="363"/>
        <v>39.709999999999994</v>
      </c>
      <c r="Q970" s="126">
        <f>SUMIF('MPG Payment '!$E$3:$E$34579,'Shayak Income '!D970,'MPG Payment '!$S$3:$S$34579)</f>
        <v>0</v>
      </c>
      <c r="R970" s="126">
        <f t="shared" si="364"/>
        <v>38.869799999999998</v>
      </c>
      <c r="S970" s="126">
        <f t="shared" si="365"/>
        <v>-0.84019999999999584</v>
      </c>
      <c r="T970" s="126">
        <f t="shared" si="377"/>
        <v>4.18</v>
      </c>
      <c r="U970" s="127">
        <f>(((IF(K970="New",0,SUMIF('MPG Payment '!$E$3:$E$34579,'Shayak Income '!D970,'MPG Payment '!$AC$3:$AC$34579))))+0)+0</f>
        <v>0</v>
      </c>
      <c r="V970" s="127">
        <f t="shared" si="378"/>
        <v>67</v>
      </c>
      <c r="W970" s="19">
        <v>0</v>
      </c>
      <c r="X970" s="19">
        <v>0</v>
      </c>
      <c r="Y970" s="128">
        <f>IFERROR(VLOOKUP(D970,'Monthly Deduction'!$M$2:$N$64,2,0),0)</f>
        <v>0</v>
      </c>
      <c r="Z970" s="128">
        <v>0</v>
      </c>
      <c r="AA970" s="126">
        <f>IFERROR(VLOOKUP(D970,'Monthly Deduction'!A:B,2,0),0)</f>
        <v>0</v>
      </c>
      <c r="AB970" s="129">
        <f t="shared" si="366"/>
        <v>67</v>
      </c>
      <c r="AC970" s="130">
        <f t="shared" si="373"/>
        <v>67</v>
      </c>
      <c r="AD970" s="35">
        <f t="shared" si="367"/>
        <v>0</v>
      </c>
      <c r="AE970" s="166" t="str">
        <f t="shared" si="368"/>
        <v>Yes</v>
      </c>
      <c r="AF970" s="127"/>
      <c r="AG970" s="18">
        <v>0</v>
      </c>
      <c r="AH970" s="132" t="s">
        <v>1648</v>
      </c>
      <c r="AI970" s="238">
        <v>0</v>
      </c>
      <c r="AJ970" s="132"/>
      <c r="AK970" s="151">
        <v>0</v>
      </c>
      <c r="AL970" s="154">
        <f t="shared" si="369"/>
        <v>0</v>
      </c>
      <c r="AM970" s="155"/>
      <c r="AN970" s="19">
        <f t="shared" si="374"/>
        <v>0</v>
      </c>
      <c r="AO970" s="118">
        <f>SUMIF('MPG Payment '!E:E,'Shayak Income '!D970,'MPG Payment '!AJ:AJ)</f>
        <v>0</v>
      </c>
      <c r="AP970" s="19">
        <f t="shared" si="375"/>
        <v>0</v>
      </c>
      <c r="AQ970" s="119">
        <f t="shared" si="370"/>
        <v>0</v>
      </c>
      <c r="AR970" s="91" t="s">
        <v>1168</v>
      </c>
      <c r="AS970" s="91">
        <f t="shared" si="376"/>
        <v>0</v>
      </c>
      <c r="AT970" s="118"/>
      <c r="AU970" s="118"/>
      <c r="AV970" s="118"/>
    </row>
    <row r="971" spans="1:48" s="20" customFormat="1" x14ac:dyDescent="0.25">
      <c r="A971" s="17">
        <f>IFERROR(VLOOKUP(D971,'Monthly Deduction'!$I$3:$J$957,2,0),0)</f>
        <v>0</v>
      </c>
      <c r="B971" s="17">
        <f>IFERROR(VLOOKUP(D971,'Monthly Deduction'!$E$3:$F$957,2,0),0)</f>
        <v>0</v>
      </c>
      <c r="C971" s="17">
        <f t="shared" si="361"/>
        <v>0</v>
      </c>
      <c r="D971" s="41">
        <v>10570062</v>
      </c>
      <c r="E971" s="122" t="str">
        <f>VLOOKUP(D971,'MPG Payment '!$E$3:$G$498218,2,0)</f>
        <v>Ekdara</v>
      </c>
      <c r="F971" s="146">
        <f>IFERROR(_xlfn.XLOOKUP(D971,'Monthly Deduction'!$I$3:$I$957,'Monthly Deduction'!$H$3:$H$957),0)</f>
        <v>0</v>
      </c>
      <c r="G971" s="123" t="str">
        <f>VLOOKUP(D971,'MPG Payment '!$E$3:$G$334579,3,0)</f>
        <v>vlc</v>
      </c>
      <c r="H971" s="124" t="str">
        <f>VLOOKUP(D971,'MPG Payment '!$E$3:$H$334579,4,0)</f>
        <v>Indirect</v>
      </c>
      <c r="I971" s="88">
        <f>INDEX('MPG Payment '!$C:$C,MATCH('Shayak Income '!D971,'MPG Payment '!E:E,0))</f>
        <v>1057</v>
      </c>
      <c r="J971" s="88" t="str">
        <f>INDEX('MPG Payment '!$D:$D,MATCH('Shayak Income '!D971,'MPG Payment '!E:E,0))</f>
        <v>Warisnagar</v>
      </c>
      <c r="K971" s="125" t="s">
        <v>1323</v>
      </c>
      <c r="L971" s="125">
        <v>46149</v>
      </c>
      <c r="M971" s="126">
        <f>SUMIF('MPG Payment '!$E$3:$E$34579,'Shayak Income '!D971,'MPG Payment '!$I$3:$I$34579)</f>
        <v>11241</v>
      </c>
      <c r="N971" s="126">
        <f>SUMIF('MPG Payment '!$E$3:$E$34579,'Shayak Income '!D971,'MPG Payment '!$J$3:$J$34579)</f>
        <v>411150.88214443804</v>
      </c>
      <c r="O971" s="126">
        <f t="shared" si="362"/>
        <v>8430.75</v>
      </c>
      <c r="P971" s="126">
        <f t="shared" si="363"/>
        <v>10678.949999999999</v>
      </c>
      <c r="Q971" s="126">
        <f>SUMIF('MPG Payment '!$E$3:$E$34579,'Shayak Income '!D971,'MPG Payment '!$S$3:$S$34579)</f>
        <v>0</v>
      </c>
      <c r="R971" s="126">
        <f t="shared" si="364"/>
        <v>12334.526464333141</v>
      </c>
      <c r="S971" s="126">
        <f t="shared" si="365"/>
        <v>1655.5764643331422</v>
      </c>
      <c r="T971" s="126">
        <f t="shared" si="377"/>
        <v>1124.1000000000001</v>
      </c>
      <c r="U971" s="127">
        <f>(((IF(K971="New",0,SUMIF('MPG Payment '!$E$3:$E$34579,'Shayak Income '!D971,'MPG Payment '!$AC$3:$AC$34579))))+0)+0</f>
        <v>0</v>
      </c>
      <c r="V971" s="127">
        <f t="shared" si="378"/>
        <v>17986</v>
      </c>
      <c r="W971" s="19">
        <v>0</v>
      </c>
      <c r="X971" s="19">
        <v>0</v>
      </c>
      <c r="Y971" s="128">
        <f>IFERROR(VLOOKUP(D971,'Monthly Deduction'!$M$2:$N$64,2,0),0)</f>
        <v>0</v>
      </c>
      <c r="Z971" s="128">
        <v>0</v>
      </c>
      <c r="AA971" s="126">
        <f>IFERROR(VLOOKUP(D971,'Monthly Deduction'!A:B,2,0),0)</f>
        <v>0</v>
      </c>
      <c r="AB971" s="129">
        <f t="shared" si="366"/>
        <v>17986</v>
      </c>
      <c r="AC971" s="130">
        <v>0</v>
      </c>
      <c r="AD971" s="35">
        <f t="shared" si="367"/>
        <v>17986</v>
      </c>
      <c r="AE971" s="166" t="str">
        <f t="shared" si="368"/>
        <v>Release</v>
      </c>
      <c r="AF971" s="127"/>
      <c r="AG971" s="18">
        <v>0</v>
      </c>
      <c r="AH971" s="132"/>
      <c r="AI971" s="238">
        <v>0</v>
      </c>
      <c r="AJ971" s="132"/>
      <c r="AK971" s="151">
        <v>3142.2000000000007</v>
      </c>
      <c r="AL971" s="154">
        <f t="shared" si="369"/>
        <v>0</v>
      </c>
      <c r="AM971" s="155"/>
      <c r="AN971" s="19">
        <f t="shared" si="374"/>
        <v>0</v>
      </c>
      <c r="AO971" s="118">
        <f>SUMIF('MPG Payment '!E:E,'Shayak Income '!D971,'MPG Payment '!AJ:AJ)</f>
        <v>0</v>
      </c>
      <c r="AP971" s="19">
        <f t="shared" si="375"/>
        <v>0</v>
      </c>
      <c r="AQ971" s="119">
        <f t="shared" si="370"/>
        <v>0</v>
      </c>
      <c r="AR971" s="91" t="s">
        <v>1168</v>
      </c>
      <c r="AS971" s="91">
        <f t="shared" si="376"/>
        <v>0</v>
      </c>
      <c r="AT971" s="118"/>
      <c r="AU971" s="118"/>
      <c r="AV971" s="118"/>
    </row>
    <row r="972" spans="1:48" s="20" customFormat="1" x14ac:dyDescent="0.25">
      <c r="A972" s="17">
        <f>IFERROR(VLOOKUP(D972,'Monthly Deduction'!$I$3:$J$957,2,0),0)</f>
        <v>0</v>
      </c>
      <c r="B972" s="17">
        <f>IFERROR(VLOOKUP(D972,'Monthly Deduction'!$E$3:$F$957,2,0),0)</f>
        <v>0</v>
      </c>
      <c r="C972" s="17">
        <f t="shared" si="361"/>
        <v>0</v>
      </c>
      <c r="D972" s="41">
        <v>10580013</v>
      </c>
      <c r="E972" s="122" t="str">
        <f>VLOOKUP(D972,'MPG Payment '!$E$3:$G$498218,2,0)</f>
        <v>Laxmipur-VLC</v>
      </c>
      <c r="F972" s="146">
        <f>IFERROR(_xlfn.XLOOKUP(D972,'Monthly Deduction'!$I$3:$I$957,'Monthly Deduction'!$H$3:$H$957),0)</f>
        <v>0</v>
      </c>
      <c r="G972" s="123" t="str">
        <f>VLOOKUP(D972,'MPG Payment '!$E$3:$G$334579,3,0)</f>
        <v>vlc</v>
      </c>
      <c r="H972" s="124" t="str">
        <f>VLOOKUP(D972,'MPG Payment '!$E$3:$H$334579,4,0)</f>
        <v>Indirect</v>
      </c>
      <c r="I972" s="88">
        <f>INDEX('MPG Payment '!$C:$C,MATCH('Shayak Income '!D972,'MPG Payment '!E:E,0))</f>
        <v>1058</v>
      </c>
      <c r="J972" s="88" t="str">
        <f>INDEX('MPG Payment '!$D:$D,MATCH('Shayak Income '!D972,'MPG Payment '!E:E,0))</f>
        <v>Hasanpur</v>
      </c>
      <c r="K972" s="125" t="s">
        <v>1322</v>
      </c>
      <c r="L972" s="125">
        <v>46055</v>
      </c>
      <c r="M972" s="126">
        <f>SUMIF('MPG Payment '!$E$3:$E$34579,'Shayak Income '!D972,'MPG Payment '!$I$3:$I$34579)</f>
        <v>687.6</v>
      </c>
      <c r="N972" s="126">
        <f>SUMIF('MPG Payment '!$E$3:$E$34579,'Shayak Income '!D972,'MPG Payment '!$J$3:$J$34579)</f>
        <v>23910.816433076001</v>
      </c>
      <c r="O972" s="126">
        <f t="shared" si="362"/>
        <v>515.70000000000005</v>
      </c>
      <c r="P972" s="126">
        <f t="shared" si="363"/>
        <v>653.22</v>
      </c>
      <c r="Q972" s="126">
        <f>SUMIF('MPG Payment '!$E$3:$E$34579,'Shayak Income '!D972,'MPG Payment '!$S$3:$S$34579)</f>
        <v>0</v>
      </c>
      <c r="R972" s="126">
        <f t="shared" si="364"/>
        <v>717.32449299228006</v>
      </c>
      <c r="S972" s="126">
        <f t="shared" si="365"/>
        <v>64.104492992280029</v>
      </c>
      <c r="T972" s="126">
        <f t="shared" si="377"/>
        <v>68.760000000000005</v>
      </c>
      <c r="U972" s="127">
        <f>(((IF(K972="New",0,SUMIF('MPG Payment '!$E$3:$E$34579,'Shayak Income '!D972,'MPG Payment '!$AC$3:$AC$34579))))+0)+-368</f>
        <v>1100.5455433558836</v>
      </c>
      <c r="V972" s="127">
        <f t="shared" si="378"/>
        <v>0</v>
      </c>
      <c r="W972" s="19">
        <v>0</v>
      </c>
      <c r="X972" s="19">
        <v>0</v>
      </c>
      <c r="Y972" s="128">
        <f>IFERROR(VLOOKUP(D972,'Monthly Deduction'!$M$2:$N$64,2,0),0)</f>
        <v>0</v>
      </c>
      <c r="Z972" s="128">
        <v>0</v>
      </c>
      <c r="AA972" s="126">
        <f>IFERROR(VLOOKUP(D972,'Monthly Deduction'!A:B,2,0),0)</f>
        <v>0</v>
      </c>
      <c r="AB972" s="129">
        <f t="shared" si="366"/>
        <v>0</v>
      </c>
      <c r="AC972" s="130">
        <v>0</v>
      </c>
      <c r="AD972" s="35">
        <f t="shared" si="367"/>
        <v>0</v>
      </c>
      <c r="AE972" s="166" t="str">
        <f t="shared" si="368"/>
        <v>Release</v>
      </c>
      <c r="AF972" s="127"/>
      <c r="AG972" s="18">
        <v>0</v>
      </c>
      <c r="AH972" s="120"/>
      <c r="AI972" s="238">
        <v>0</v>
      </c>
      <c r="AJ972" s="132"/>
      <c r="AK972" s="151">
        <v>204.9</v>
      </c>
      <c r="AL972" s="154">
        <f t="shared" si="369"/>
        <v>0</v>
      </c>
      <c r="AM972" s="155"/>
      <c r="AN972" s="19">
        <f t="shared" si="374"/>
        <v>0</v>
      </c>
      <c r="AO972" s="118">
        <f>SUMIF('MPG Payment '!E:E,'Shayak Income '!D972,'MPG Payment '!AJ:AJ)</f>
        <v>0</v>
      </c>
      <c r="AP972" s="19">
        <f t="shared" si="375"/>
        <v>0</v>
      </c>
      <c r="AQ972" s="119">
        <f t="shared" si="370"/>
        <v>0</v>
      </c>
      <c r="AR972" s="91" t="s">
        <v>1168</v>
      </c>
      <c r="AS972" s="91">
        <f t="shared" si="376"/>
        <v>0</v>
      </c>
      <c r="AT972" s="118"/>
      <c r="AU972" s="118"/>
      <c r="AV972" s="118"/>
    </row>
    <row r="973" spans="1:48" s="20" customFormat="1" x14ac:dyDescent="0.25">
      <c r="A973" s="17">
        <f>IFERROR(VLOOKUP(D973,'Monthly Deduction'!$I$3:$J$957,2,0),0)</f>
        <v>85000</v>
      </c>
      <c r="B973" s="17">
        <f>IFERROR(VLOOKUP(D973,'Monthly Deduction'!$E$3:$F$957,2,0),0)</f>
        <v>0</v>
      </c>
      <c r="C973" s="17">
        <f t="shared" si="361"/>
        <v>85000</v>
      </c>
      <c r="D973" s="41">
        <v>10640008</v>
      </c>
      <c r="E973" s="122" t="str">
        <f>VLOOKUP(D973,'MPG Payment '!$E$3:$G$498218,2,0)</f>
        <v>BHUSNA</v>
      </c>
      <c r="F973" s="146">
        <f>IFERROR(_xlfn.XLOOKUP(D973,'Monthly Deduction'!$I$3:$I$957,'Monthly Deduction'!$H$3:$H$957),0)</f>
        <v>0</v>
      </c>
      <c r="G973" s="123" t="str">
        <f>VLOOKUP(D973,'MPG Payment '!$E$3:$G$334579,3,0)</f>
        <v>MPG</v>
      </c>
      <c r="H973" s="124" t="str">
        <f>VLOOKUP(D973,'MPG Payment '!$E$3:$H$334579,4,0)</f>
        <v>Direct</v>
      </c>
      <c r="I973" s="88">
        <f>INDEX('MPG Payment '!$C:$C,MATCH('Shayak Income '!D973,'MPG Payment '!E:E,0))</f>
        <v>1062</v>
      </c>
      <c r="J973" s="88" t="str">
        <f>INDEX('MPG Payment '!$D:$D,MATCH('Shayak Income '!D973,'MPG Payment '!E:E,0))</f>
        <v>Singhia BMC</v>
      </c>
      <c r="K973" s="125" t="s">
        <v>1323</v>
      </c>
      <c r="L973" s="125">
        <v>46112</v>
      </c>
      <c r="M973" s="126">
        <f>SUMIF('MPG Payment '!$E$3:$E$34579,'Shayak Income '!D973,'MPG Payment '!$I$3:$I$34579)</f>
        <v>588.63</v>
      </c>
      <c r="N973" s="126">
        <f>SUMIF('MPG Payment '!$E$3:$E$34579,'Shayak Income '!D973,'MPG Payment '!$J$3:$J$34579)</f>
        <v>26193.776213221725</v>
      </c>
      <c r="O973" s="126">
        <f t="shared" si="362"/>
        <v>441.47249999999997</v>
      </c>
      <c r="P973" s="126">
        <f t="shared" si="363"/>
        <v>559.19849999999997</v>
      </c>
      <c r="Q973" s="126">
        <f>SUMIF('MPG Payment '!$E$3:$E$34579,'Shayak Income '!D973,'MPG Payment '!$S$3:$S$34579)</f>
        <v>0</v>
      </c>
      <c r="R973" s="126">
        <f t="shared" si="364"/>
        <v>785.81328639665173</v>
      </c>
      <c r="S973" s="126">
        <f t="shared" si="365"/>
        <v>226.61478639665177</v>
      </c>
      <c r="T973" s="126">
        <f t="shared" si="377"/>
        <v>58.863</v>
      </c>
      <c r="U973" s="127">
        <f>(((IF(K973="New",0,SUMIF('MPG Payment '!$E$3:$E$34579,'Shayak Income '!D973,'MPG Payment '!$AC$3:$AC$34579))))+0)+0</f>
        <v>0</v>
      </c>
      <c r="V973" s="127">
        <f t="shared" si="378"/>
        <v>942</v>
      </c>
      <c r="W973" s="19">
        <v>0</v>
      </c>
      <c r="X973" s="19">
        <v>0</v>
      </c>
      <c r="Y973" s="128">
        <f>IFERROR(VLOOKUP(D973,'Monthly Deduction'!$M$2:$N$64,2,0),0)</f>
        <v>0</v>
      </c>
      <c r="Z973" s="128">
        <v>0</v>
      </c>
      <c r="AA973" s="126">
        <f>IFERROR(VLOOKUP(D973,'Monthly Deduction'!A:B,2,0),0)</f>
        <v>0</v>
      </c>
      <c r="AB973" s="129">
        <f t="shared" si="366"/>
        <v>942</v>
      </c>
      <c r="AC973" s="130">
        <f>AB973</f>
        <v>942</v>
      </c>
      <c r="AD973" s="35">
        <f t="shared" si="367"/>
        <v>0</v>
      </c>
      <c r="AE973" s="166" t="str">
        <f t="shared" si="368"/>
        <v>Yes</v>
      </c>
      <c r="AF973" s="127"/>
      <c r="AG973" s="18">
        <v>0</v>
      </c>
      <c r="AH973" s="120" t="s">
        <v>1650</v>
      </c>
      <c r="AI973" s="238">
        <v>20000</v>
      </c>
      <c r="AJ973" s="132"/>
      <c r="AK973" s="151">
        <v>186.19000000000003</v>
      </c>
      <c r="AL973" s="154">
        <f t="shared" si="369"/>
        <v>0</v>
      </c>
      <c r="AM973" s="155"/>
      <c r="AN973" s="19">
        <f t="shared" si="374"/>
        <v>1861</v>
      </c>
      <c r="AO973" s="118">
        <f>SUMIF('MPG Payment '!E:E,'Shayak Income '!D973,'MPG Payment '!AJ:AJ)</f>
        <v>0</v>
      </c>
      <c r="AP973" s="19">
        <f t="shared" si="375"/>
        <v>0</v>
      </c>
      <c r="AQ973" s="119">
        <f t="shared" si="370"/>
        <v>0</v>
      </c>
      <c r="AR973" s="91" t="s">
        <v>1168</v>
      </c>
      <c r="AS973" s="91">
        <f t="shared" si="376"/>
        <v>0</v>
      </c>
      <c r="AT973" s="118"/>
      <c r="AU973" s="118"/>
      <c r="AV973" s="118"/>
    </row>
    <row r="974" spans="1:48" s="20" customFormat="1" x14ac:dyDescent="0.25">
      <c r="A974" s="17">
        <f>IFERROR(VLOOKUP(D974,'Monthly Deduction'!$I$3:$J$957,2,0),0)</f>
        <v>0</v>
      </c>
      <c r="B974" s="17">
        <f>IFERROR(VLOOKUP(D974,'Monthly Deduction'!$E$3:$F$957,2,0),0)</f>
        <v>0</v>
      </c>
      <c r="C974" s="17">
        <f t="shared" si="361"/>
        <v>0</v>
      </c>
      <c r="D974" s="41">
        <v>10020052</v>
      </c>
      <c r="E974" s="122" t="str">
        <f>VLOOKUP(D974,'MPG Payment '!$E$3:$G$498218,2,0)</f>
        <v>Chetan Tola - Ravi</v>
      </c>
      <c r="F974" s="146">
        <f>IFERROR(_xlfn.XLOOKUP(D974,'Monthly Deduction'!$I$3:$I$957,'Monthly Deduction'!$H$3:$H$957),0)</f>
        <v>0</v>
      </c>
      <c r="G974" s="123" t="str">
        <f>VLOOKUP(D974,'MPG Payment '!$E$3:$G$334579,3,0)</f>
        <v>vlc</v>
      </c>
      <c r="H974" s="124" t="str">
        <f>VLOOKUP(D974,'MPG Payment '!$E$3:$H$334579,4,0)</f>
        <v>Indirect</v>
      </c>
      <c r="I974" s="88">
        <f>INDEX('MPG Payment '!$C:$C,MATCH('Shayak Income '!D974,'MPG Payment '!E:E,0))</f>
        <v>1002</v>
      </c>
      <c r="J974" s="88" t="str">
        <f>INDEX('MPG Payment '!$D:$D,MATCH('Shayak Income '!D974,'MPG Payment '!E:E,0))</f>
        <v>Laldiyara</v>
      </c>
      <c r="K974" s="125" t="s">
        <v>1322</v>
      </c>
      <c r="L974" s="125">
        <v>44652</v>
      </c>
      <c r="M974" s="126">
        <f>SUMIF('MPG Payment '!$E$3:$E$34579,'Shayak Income '!D974,'MPG Payment '!$I$3:$I$34579)</f>
        <v>1069.5</v>
      </c>
      <c r="N974" s="126">
        <f>SUMIF('MPG Payment '!$E$3:$E$34579,'Shayak Income '!D974,'MPG Payment '!$J$3:$J$34579)</f>
        <v>61018.080120935003</v>
      </c>
      <c r="O974" s="126">
        <f t="shared" si="362"/>
        <v>802.125</v>
      </c>
      <c r="P974" s="126">
        <f t="shared" si="363"/>
        <v>1016.025</v>
      </c>
      <c r="Q974" s="126">
        <f>SUMIF('MPG Payment '!$E$3:$E$34579,'Shayak Income '!D974,'MPG Payment '!$S$3:$S$34579)</f>
        <v>0</v>
      </c>
      <c r="R974" s="126">
        <f t="shared" si="364"/>
        <v>1830.5424036280501</v>
      </c>
      <c r="S974" s="126">
        <f t="shared" si="365"/>
        <v>814.51740362805015</v>
      </c>
      <c r="T974" s="126">
        <f t="shared" si="377"/>
        <v>106.95</v>
      </c>
      <c r="U974" s="127">
        <f>(((IF(K974="New",0,SUMIF('MPG Payment '!$E$3:$E$34579,'Shayak Income '!D974,'MPG Payment '!$AC$3:$AC$34579))))+0)+0</f>
        <v>1208.4743450894182</v>
      </c>
      <c r="V974" s="127">
        <f t="shared" si="378"/>
        <v>503</v>
      </c>
      <c r="W974" s="19">
        <f t="shared" ref="W974:W1027" si="379">(((AN974-AO974)))+0</f>
        <v>0</v>
      </c>
      <c r="X974" s="19">
        <f t="shared" ref="X974:X1027" si="380">((MIN(IF(B974&gt;0,MAX(N974*2%),0),B974)))+0</f>
        <v>0</v>
      </c>
      <c r="Y974" s="128">
        <f>IFERROR(VLOOKUP(D974,'Monthly Deduction'!$M$2:$N$64,2,0),0)</f>
        <v>0</v>
      </c>
      <c r="Z974" s="128">
        <v>0</v>
      </c>
      <c r="AA974" s="126">
        <f>IFERROR(VLOOKUP(D974,'Monthly Deduction'!A:B,2,0),0)</f>
        <v>0</v>
      </c>
      <c r="AB974" s="129">
        <f t="shared" si="366"/>
        <v>503</v>
      </c>
      <c r="AC974" s="130">
        <v>0</v>
      </c>
      <c r="AD974" s="35">
        <f t="shared" si="367"/>
        <v>503</v>
      </c>
      <c r="AE974" s="166" t="str">
        <f t="shared" si="368"/>
        <v>Release</v>
      </c>
      <c r="AF974" s="127"/>
      <c r="AG974" s="18">
        <v>0</v>
      </c>
      <c r="AH974" s="132"/>
      <c r="AI974" s="238">
        <v>0</v>
      </c>
      <c r="AJ974" s="132"/>
      <c r="AK974" s="151">
        <v>242.5</v>
      </c>
      <c r="AL974" s="154">
        <f t="shared" si="369"/>
        <v>0</v>
      </c>
      <c r="AM974" s="155"/>
      <c r="AN974" s="19">
        <f t="shared" si="374"/>
        <v>0</v>
      </c>
      <c r="AO974" s="118">
        <f>SUMIF('MPG Payment '!E:E,'Shayak Income '!D974,'MPG Payment '!AJ:AJ)</f>
        <v>0</v>
      </c>
      <c r="AP974" s="19">
        <f t="shared" si="375"/>
        <v>0</v>
      </c>
      <c r="AQ974" s="119">
        <f t="shared" si="370"/>
        <v>0</v>
      </c>
      <c r="AR974" s="91" t="s">
        <v>1168</v>
      </c>
      <c r="AS974" s="91">
        <f t="shared" si="376"/>
        <v>0</v>
      </c>
      <c r="AT974" s="118"/>
      <c r="AU974" s="118"/>
      <c r="AV974" s="118"/>
    </row>
    <row r="975" spans="1:48" s="20" customFormat="1" x14ac:dyDescent="0.25">
      <c r="A975" s="17">
        <f>IFERROR(VLOOKUP(D975,'Monthly Deduction'!$I$3:$J$957,2,0),0)</f>
        <v>65000</v>
      </c>
      <c r="B975" s="17">
        <f>IFERROR(VLOOKUP(D975,'Monthly Deduction'!$E$3:$F$957,2,0),0)</f>
        <v>0</v>
      </c>
      <c r="C975" s="17">
        <f t="shared" si="361"/>
        <v>65000</v>
      </c>
      <c r="D975" s="41">
        <v>10020087</v>
      </c>
      <c r="E975" s="122" t="str">
        <f>VLOOKUP(D975,'MPG Payment '!$E$3:$G$498218,2,0)</f>
        <v>HIRDANBIGHA</v>
      </c>
      <c r="F975" s="146">
        <f>IFERROR(_xlfn.XLOOKUP(D975,'Monthly Deduction'!$I$3:$I$957,'Monthly Deduction'!$H$3:$H$957),0)</f>
        <v>0</v>
      </c>
      <c r="G975" s="123" t="str">
        <f>VLOOKUP(D975,'MPG Payment '!$E$3:$G$334579,3,0)</f>
        <v>MPG</v>
      </c>
      <c r="H975" s="124" t="str">
        <f>VLOOKUP(D975,'MPG Payment '!$E$3:$H$334579,4,0)</f>
        <v>Direct</v>
      </c>
      <c r="I975" s="88">
        <f>INDEX('MPG Payment '!$C:$C,MATCH('Shayak Income '!D975,'MPG Payment '!E:E,0))</f>
        <v>1002</v>
      </c>
      <c r="J975" s="88" t="str">
        <f>INDEX('MPG Payment '!$D:$D,MATCH('Shayak Income '!D975,'MPG Payment '!E:E,0))</f>
        <v>Laldiyara</v>
      </c>
      <c r="K975" s="125" t="s">
        <v>1323</v>
      </c>
      <c r="L975" s="125">
        <v>46152</v>
      </c>
      <c r="M975" s="126">
        <f>SUMIF('MPG Payment '!$E$3:$E$34579,'Shayak Income '!D975,'MPG Payment '!$I$3:$I$34579)</f>
        <v>837.2</v>
      </c>
      <c r="N975" s="126">
        <f>SUMIF('MPG Payment '!$E$3:$E$34579,'Shayak Income '!D975,'MPG Payment '!$J$3:$J$34579)</f>
        <v>30521.682092200004</v>
      </c>
      <c r="O975" s="126">
        <f t="shared" si="362"/>
        <v>627.90000000000009</v>
      </c>
      <c r="P975" s="126">
        <f t="shared" si="363"/>
        <v>795.34</v>
      </c>
      <c r="Q975" s="126">
        <f>SUMIF('MPG Payment '!$E$3:$E$34579,'Shayak Income '!D975,'MPG Payment '!$S$3:$S$34579)</f>
        <v>0</v>
      </c>
      <c r="R975" s="126">
        <f t="shared" si="364"/>
        <v>915.65046276600015</v>
      </c>
      <c r="S975" s="126">
        <f t="shared" si="365"/>
        <v>120.31046276600011</v>
      </c>
      <c r="T975" s="126">
        <f t="shared" si="377"/>
        <v>83.720000000000013</v>
      </c>
      <c r="U975" s="127">
        <f>(((IF(K975="New",0,SUMIF('MPG Payment '!$E$3:$E$34579,'Shayak Income '!D975,'MPG Payment '!$AC$3:$AC$34579))))+0)+0</f>
        <v>0</v>
      </c>
      <c r="V975" s="127">
        <f t="shared" si="378"/>
        <v>1340</v>
      </c>
      <c r="W975" s="19">
        <v>0</v>
      </c>
      <c r="X975" s="19">
        <v>0</v>
      </c>
      <c r="Y975" s="128">
        <f>IFERROR(VLOOKUP(D975,'Monthly Deduction'!$M$2:$N$64,2,0),0)</f>
        <v>0</v>
      </c>
      <c r="Z975" s="128">
        <v>0</v>
      </c>
      <c r="AA975" s="126">
        <f>IFERROR(VLOOKUP(D975,'Monthly Deduction'!A:B,2,0),0)</f>
        <v>0</v>
      </c>
      <c r="AB975" s="129">
        <f t="shared" si="366"/>
        <v>1340</v>
      </c>
      <c r="AC975" s="130">
        <f>AB975</f>
        <v>1340</v>
      </c>
      <c r="AD975" s="35">
        <f t="shared" si="367"/>
        <v>0</v>
      </c>
      <c r="AE975" s="166" t="str">
        <f t="shared" si="368"/>
        <v>Yes</v>
      </c>
      <c r="AF975" s="127"/>
      <c r="AG975" s="18">
        <v>0</v>
      </c>
      <c r="AH975" s="120" t="s">
        <v>1653</v>
      </c>
      <c r="AI975" s="238">
        <v>0</v>
      </c>
      <c r="AJ975" s="132"/>
      <c r="AK975" s="151">
        <v>310.2</v>
      </c>
      <c r="AL975" s="154">
        <f t="shared" si="369"/>
        <v>0</v>
      </c>
      <c r="AM975" s="155"/>
      <c r="AN975" s="19">
        <f t="shared" si="374"/>
        <v>1861</v>
      </c>
      <c r="AO975" s="118">
        <f>SUMIF('MPG Payment '!E:E,'Shayak Income '!D975,'MPG Payment '!AJ:AJ)</f>
        <v>0</v>
      </c>
      <c r="AP975" s="19">
        <f t="shared" si="375"/>
        <v>0</v>
      </c>
      <c r="AQ975" s="119">
        <f t="shared" si="370"/>
        <v>0</v>
      </c>
      <c r="AR975" s="91" t="s">
        <v>1168</v>
      </c>
      <c r="AS975" s="91">
        <f t="shared" si="376"/>
        <v>0</v>
      </c>
      <c r="AT975" s="118"/>
      <c r="AU975" s="118"/>
      <c r="AV975" s="118"/>
    </row>
    <row r="976" spans="1:48" s="20" customFormat="1" x14ac:dyDescent="0.25">
      <c r="A976" s="17">
        <f>IFERROR(VLOOKUP(D976,'Monthly Deduction'!$I$3:$J$957,2,0),0)</f>
        <v>0</v>
      </c>
      <c r="B976" s="17">
        <f>IFERROR(VLOOKUP(D976,'Monthly Deduction'!$E$3:$F$957,2,0),0)</f>
        <v>0</v>
      </c>
      <c r="C976" s="17">
        <f t="shared" si="361"/>
        <v>0</v>
      </c>
      <c r="D976" s="41">
        <v>10100028</v>
      </c>
      <c r="E976" s="122" t="str">
        <f>VLOOKUP(D976,'MPG Payment '!$E$3:$G$498218,2,0)</f>
        <v>Gomukh Muradpur Deepak</v>
      </c>
      <c r="F976" s="146">
        <f>IFERROR(_xlfn.XLOOKUP(D976,'Monthly Deduction'!$I$3:$I$957,'Monthly Deduction'!$H$3:$H$957),0)</f>
        <v>0</v>
      </c>
      <c r="G976" s="123" t="str">
        <f>VLOOKUP(D976,'MPG Payment '!$E$3:$G$334579,3,0)</f>
        <v>vlc</v>
      </c>
      <c r="H976" s="124" t="str">
        <f>VLOOKUP(D976,'MPG Payment '!$E$3:$H$334579,4,0)</f>
        <v>Indirect</v>
      </c>
      <c r="I976" s="88">
        <f>INDEX('MPG Payment '!$C:$C,MATCH('Shayak Income '!D976,'MPG Payment '!E:E,0))</f>
        <v>1010</v>
      </c>
      <c r="J976" s="88" t="str">
        <f>INDEX('MPG Payment '!$D:$D,MATCH('Shayak Income '!D976,'MPG Payment '!E:E,0))</f>
        <v>Parbatta</v>
      </c>
      <c r="K976" s="125" t="s">
        <v>1322</v>
      </c>
      <c r="L976" s="125">
        <v>45149</v>
      </c>
      <c r="M976" s="126">
        <f>SUMIF('MPG Payment '!$E$3:$E$34579,'Shayak Income '!D976,'MPG Payment '!$I$3:$I$34579)</f>
        <v>1232.3999999999999</v>
      </c>
      <c r="N976" s="126">
        <f>SUMIF('MPG Payment '!$E$3:$E$34579,'Shayak Income '!D976,'MPG Payment '!$J$3:$J$34579)</f>
        <v>41717.925336717002</v>
      </c>
      <c r="O976" s="126">
        <f t="shared" si="362"/>
        <v>924.3</v>
      </c>
      <c r="P976" s="126">
        <f t="shared" si="363"/>
        <v>1170.7799999999997</v>
      </c>
      <c r="Q976" s="126">
        <f>SUMIF('MPG Payment '!$E$3:$E$34579,'Shayak Income '!D976,'MPG Payment '!$S$3:$S$34579)</f>
        <v>0</v>
      </c>
      <c r="R976" s="126">
        <f t="shared" si="364"/>
        <v>1251.53776010151</v>
      </c>
      <c r="S976" s="126">
        <f t="shared" si="365"/>
        <v>80.757760101510257</v>
      </c>
      <c r="T976" s="126">
        <f t="shared" si="377"/>
        <v>123.24</v>
      </c>
      <c r="U976" s="127">
        <f>(((IF(K976="New",0,SUMIF('MPG Payment '!$E$3:$E$34579,'Shayak Income '!D976,'MPG Payment '!$AC$3:$AC$34579))))+0)+0</f>
        <v>587.14217869189292</v>
      </c>
      <c r="V976" s="127">
        <f t="shared" si="378"/>
        <v>1385</v>
      </c>
      <c r="W976" s="19">
        <f t="shared" si="379"/>
        <v>0</v>
      </c>
      <c r="X976" s="19">
        <f t="shared" si="380"/>
        <v>0</v>
      </c>
      <c r="Y976" s="128">
        <f>IFERROR(VLOOKUP(D976,'Monthly Deduction'!$M$2:$N$64,2,0),0)</f>
        <v>0</v>
      </c>
      <c r="Z976" s="128">
        <v>0</v>
      </c>
      <c r="AA976" s="126">
        <f>IFERROR(VLOOKUP(D976,'Monthly Deduction'!A:B,2,0),0)</f>
        <v>0</v>
      </c>
      <c r="AB976" s="129">
        <f t="shared" si="366"/>
        <v>1385</v>
      </c>
      <c r="AC976" s="130">
        <v>0</v>
      </c>
      <c r="AD976" s="35">
        <f t="shared" si="367"/>
        <v>1385</v>
      </c>
      <c r="AE976" s="166" t="str">
        <f t="shared" si="368"/>
        <v>Release</v>
      </c>
      <c r="AF976" s="127"/>
      <c r="AG976" s="18">
        <v>0</v>
      </c>
      <c r="AH976" s="132"/>
      <c r="AI976" s="238">
        <v>0</v>
      </c>
      <c r="AJ976" s="132"/>
      <c r="AK976" s="151">
        <v>457.19999999999993</v>
      </c>
      <c r="AL976" s="154">
        <f t="shared" si="369"/>
        <v>0</v>
      </c>
      <c r="AM976" s="155"/>
      <c r="AN976" s="19">
        <f t="shared" si="374"/>
        <v>0</v>
      </c>
      <c r="AO976" s="118">
        <f>SUMIF('MPG Payment '!E:E,'Shayak Income '!D976,'MPG Payment '!AJ:AJ)</f>
        <v>0</v>
      </c>
      <c r="AP976" s="19">
        <f t="shared" si="375"/>
        <v>0</v>
      </c>
      <c r="AQ976" s="119">
        <f t="shared" si="370"/>
        <v>0</v>
      </c>
      <c r="AR976" s="91" t="s">
        <v>1168</v>
      </c>
      <c r="AS976" s="91">
        <f t="shared" si="376"/>
        <v>0</v>
      </c>
      <c r="AT976" s="118"/>
      <c r="AU976" s="118"/>
      <c r="AV976" s="118"/>
    </row>
    <row r="977" spans="1:48" s="20" customFormat="1" x14ac:dyDescent="0.25">
      <c r="A977" s="17">
        <f>IFERROR(VLOOKUP(D977,'Monthly Deduction'!$I$3:$J$957,2,0),0)</f>
        <v>0</v>
      </c>
      <c r="B977" s="17">
        <f>IFERROR(VLOOKUP(D977,'Monthly Deduction'!$E$3:$F$957,2,0),0)</f>
        <v>6400</v>
      </c>
      <c r="C977" s="17">
        <f t="shared" si="361"/>
        <v>6400</v>
      </c>
      <c r="D977" s="41">
        <v>10130051</v>
      </c>
      <c r="E977" s="122" t="str">
        <f>VLOOKUP(D977,'MPG Payment '!$E$3:$G$498218,2,0)</f>
        <v>Kamtaul</v>
      </c>
      <c r="F977" s="146">
        <f>IFERROR(_xlfn.XLOOKUP(D977,'Monthly Deduction'!$I$3:$I$957,'Monthly Deduction'!$H$3:$H$957),0)</f>
        <v>0</v>
      </c>
      <c r="G977" s="123" t="str">
        <f>VLOOKUP(D977,'MPG Payment '!$E$3:$G$334579,3,0)</f>
        <v>MPG</v>
      </c>
      <c r="H977" s="124" t="str">
        <f>VLOOKUP(D977,'MPG Payment '!$E$3:$H$334579,4,0)</f>
        <v>Direct</v>
      </c>
      <c r="I977" s="88">
        <f>INDEX('MPG Payment '!$C:$C,MATCH('Shayak Income '!D977,'MPG Payment '!E:E,0))</f>
        <v>1013</v>
      </c>
      <c r="J977" s="88" t="str">
        <f>INDEX('MPG Payment '!$D:$D,MATCH('Shayak Income '!D977,'MPG Payment '!E:E,0))</f>
        <v>Musrigharari</v>
      </c>
      <c r="K977" s="125" t="s">
        <v>1322</v>
      </c>
      <c r="L977" s="125">
        <v>45392</v>
      </c>
      <c r="M977" s="126">
        <f>SUMIF('MPG Payment '!$E$3:$E$34579,'Shayak Income '!D977,'MPG Payment '!$I$3:$I$34579)</f>
        <v>9.3000000000000007</v>
      </c>
      <c r="N977" s="126">
        <f>SUMIF('MPG Payment '!$E$3:$E$34579,'Shayak Income '!D977,'MPG Payment '!$J$3:$J$34579)</f>
        <v>397.02</v>
      </c>
      <c r="O977" s="126">
        <f t="shared" si="362"/>
        <v>6.9750000000000005</v>
      </c>
      <c r="P977" s="126">
        <f t="shared" si="363"/>
        <v>8.8350000000000009</v>
      </c>
      <c r="Q977" s="126">
        <f>SUMIF('MPG Payment '!$E$3:$E$34579,'Shayak Income '!D977,'MPG Payment '!$S$3:$S$34579)</f>
        <v>0</v>
      </c>
      <c r="R977" s="126">
        <f t="shared" si="364"/>
        <v>11.910599999999999</v>
      </c>
      <c r="S977" s="126">
        <f t="shared" si="365"/>
        <v>3.0755999999999979</v>
      </c>
      <c r="T977" s="126">
        <f t="shared" si="377"/>
        <v>0.93000000000000016</v>
      </c>
      <c r="U977" s="127">
        <f>(((IF(K977="New",0,SUMIF('MPG Payment '!$E$3:$E$34579,'Shayak Income '!D977,'MPG Payment '!$AC$3:$AC$34579))))+0)+-575</f>
        <v>14.724116129032268</v>
      </c>
      <c r="V977" s="127">
        <f t="shared" si="378"/>
        <v>0</v>
      </c>
      <c r="W977" s="19">
        <v>0</v>
      </c>
      <c r="X977" s="19">
        <v>0</v>
      </c>
      <c r="Y977" s="128">
        <v>0</v>
      </c>
      <c r="Z977" s="128">
        <v>0</v>
      </c>
      <c r="AA977" s="126">
        <v>0</v>
      </c>
      <c r="AB977" s="129">
        <f t="shared" si="366"/>
        <v>0</v>
      </c>
      <c r="AC977" s="130">
        <f t="shared" ref="AC977:AC978" si="381">AB977</f>
        <v>0</v>
      </c>
      <c r="AD977" s="35">
        <f t="shared" si="367"/>
        <v>0</v>
      </c>
      <c r="AE977" s="166" t="str">
        <f t="shared" si="368"/>
        <v>Release</v>
      </c>
      <c r="AF977" s="127"/>
      <c r="AG977" s="18">
        <v>0</v>
      </c>
      <c r="AH977" s="132" t="s">
        <v>1648</v>
      </c>
      <c r="AI977" s="238">
        <v>0</v>
      </c>
      <c r="AJ977" s="132"/>
      <c r="AK977" s="151">
        <v>0</v>
      </c>
      <c r="AL977" s="154">
        <f t="shared" si="369"/>
        <v>0</v>
      </c>
      <c r="AM977" s="155"/>
      <c r="AN977" s="19">
        <f t="shared" si="374"/>
        <v>0</v>
      </c>
      <c r="AO977" s="118">
        <f>SUMIF('MPG Payment '!E:E,'Shayak Income '!D977,'MPG Payment '!AJ:AJ)</f>
        <v>0</v>
      </c>
      <c r="AP977" s="19">
        <f t="shared" si="375"/>
        <v>0</v>
      </c>
      <c r="AQ977" s="119">
        <f t="shared" si="370"/>
        <v>0</v>
      </c>
      <c r="AR977" s="91" t="s">
        <v>1168</v>
      </c>
      <c r="AS977" s="91">
        <f t="shared" si="376"/>
        <v>6400</v>
      </c>
      <c r="AT977" s="118"/>
      <c r="AU977" s="118"/>
      <c r="AV977" s="118"/>
    </row>
    <row r="978" spans="1:48" s="20" customFormat="1" x14ac:dyDescent="0.25">
      <c r="A978" s="17">
        <f>IFERROR(VLOOKUP(D978,'Monthly Deduction'!$I$3:$J$957,2,0),0)</f>
        <v>85000</v>
      </c>
      <c r="B978" s="17">
        <f>IFERROR(VLOOKUP(D978,'Monthly Deduction'!$E$3:$F$957,2,0),0)</f>
        <v>0</v>
      </c>
      <c r="C978" s="17">
        <f t="shared" si="361"/>
        <v>85000</v>
      </c>
      <c r="D978" s="41">
        <v>10130120</v>
      </c>
      <c r="E978" s="122" t="str">
        <f>VLOOKUP(D978,'MPG Payment '!$E$3:$G$498218,2,0)</f>
        <v>GOMUKH KAMTAUL</v>
      </c>
      <c r="F978" s="146">
        <f>IFERROR(_xlfn.XLOOKUP(D978,'Monthly Deduction'!$I$3:$I$957,'Monthly Deduction'!$H$3:$H$957),0)</f>
        <v>0</v>
      </c>
      <c r="G978" s="123" t="str">
        <f>VLOOKUP(D978,'MPG Payment '!$E$3:$G$334579,3,0)</f>
        <v>MPG</v>
      </c>
      <c r="H978" s="124" t="str">
        <f>VLOOKUP(D978,'MPG Payment '!$E$3:$H$334579,4,0)</f>
        <v>Direct</v>
      </c>
      <c r="I978" s="88">
        <f>INDEX('MPG Payment '!$C:$C,MATCH('Shayak Income '!D978,'MPG Payment '!E:E,0))</f>
        <v>1013</v>
      </c>
      <c r="J978" s="88" t="str">
        <f>INDEX('MPG Payment '!$D:$D,MATCH('Shayak Income '!D978,'MPG Payment '!E:E,0))</f>
        <v>Musrigharari</v>
      </c>
      <c r="K978" s="125" t="s">
        <v>1323</v>
      </c>
      <c r="L978" s="125">
        <v>46150</v>
      </c>
      <c r="M978" s="126">
        <f>SUMIF('MPG Payment '!$E$3:$E$34579,'Shayak Income '!D978,'MPG Payment '!$I$3:$I$34579)</f>
        <v>351.79999999999995</v>
      </c>
      <c r="N978" s="126">
        <f>SUMIF('MPG Payment '!$E$3:$E$34579,'Shayak Income '!D978,'MPG Payment '!$J$3:$J$34579)</f>
        <v>14244.623345773201</v>
      </c>
      <c r="O978" s="126">
        <f t="shared" si="362"/>
        <v>263.84999999999997</v>
      </c>
      <c r="P978" s="126">
        <f t="shared" si="363"/>
        <v>334.20999999999992</v>
      </c>
      <c r="Q978" s="126">
        <f>SUMIF('MPG Payment '!$E$3:$E$34579,'Shayak Income '!D978,'MPG Payment '!$S$3:$S$34579)</f>
        <v>109.28106815895001</v>
      </c>
      <c r="R978" s="126">
        <f t="shared" si="364"/>
        <v>427.33870037319605</v>
      </c>
      <c r="S978" s="126">
        <f t="shared" si="365"/>
        <v>93.128700373196125</v>
      </c>
      <c r="T978" s="126">
        <f t="shared" si="377"/>
        <v>35.18</v>
      </c>
      <c r="U978" s="127">
        <f>(((IF(K978="New",0,SUMIF('MPG Payment '!$E$3:$E$34579,'Shayak Income '!D978,'MPG Payment '!$AC$3:$AC$34579))))+0)+0</f>
        <v>0</v>
      </c>
      <c r="V978" s="127">
        <f t="shared" si="378"/>
        <v>672</v>
      </c>
      <c r="W978" s="19">
        <v>0</v>
      </c>
      <c r="X978" s="19">
        <v>0</v>
      </c>
      <c r="Y978" s="128">
        <f>IFERROR(VLOOKUP(D978,'Monthly Deduction'!$M$2:$N$64,2,0),0)</f>
        <v>0</v>
      </c>
      <c r="Z978" s="128">
        <v>0</v>
      </c>
      <c r="AA978" s="126">
        <f>IFERROR(VLOOKUP(D978,'Monthly Deduction'!A:B,2,0),0)</f>
        <v>0</v>
      </c>
      <c r="AB978" s="129">
        <f t="shared" si="366"/>
        <v>672</v>
      </c>
      <c r="AC978" s="130">
        <f t="shared" si="381"/>
        <v>672</v>
      </c>
      <c r="AD978" s="35">
        <f t="shared" si="367"/>
        <v>0</v>
      </c>
      <c r="AE978" s="166" t="str">
        <f t="shared" si="368"/>
        <v>Yes</v>
      </c>
      <c r="AF978" s="127"/>
      <c r="AG978" s="18">
        <v>0</v>
      </c>
      <c r="AH978" s="120" t="s">
        <v>1646</v>
      </c>
      <c r="AI978" s="238">
        <v>20000</v>
      </c>
      <c r="AJ978" s="132"/>
      <c r="AK978" s="151">
        <v>207.10000000000005</v>
      </c>
      <c r="AL978" s="154">
        <f t="shared" si="369"/>
        <v>0</v>
      </c>
      <c r="AM978" s="155"/>
      <c r="AN978" s="19">
        <f t="shared" si="374"/>
        <v>1861</v>
      </c>
      <c r="AO978" s="118">
        <f>SUMIF('MPG Payment '!E:E,'Shayak Income '!D978,'MPG Payment '!AJ:AJ)</f>
        <v>0</v>
      </c>
      <c r="AP978" s="19">
        <f t="shared" si="375"/>
        <v>0</v>
      </c>
      <c r="AQ978" s="119">
        <f t="shared" si="370"/>
        <v>0</v>
      </c>
      <c r="AR978" s="91" t="s">
        <v>1168</v>
      </c>
      <c r="AS978" s="91">
        <f t="shared" si="376"/>
        <v>0</v>
      </c>
      <c r="AT978" s="118"/>
      <c r="AU978" s="118"/>
      <c r="AV978" s="118"/>
    </row>
    <row r="979" spans="1:48" s="20" customFormat="1" x14ac:dyDescent="0.25">
      <c r="A979" s="17">
        <f>IFERROR(VLOOKUP(D979,'Monthly Deduction'!$I$3:$J$957,2,0),0)</f>
        <v>0</v>
      </c>
      <c r="B979" s="17">
        <f>IFERROR(VLOOKUP(D979,'Monthly Deduction'!$E$3:$F$957,2,0),0)</f>
        <v>0</v>
      </c>
      <c r="C979" s="17">
        <f t="shared" si="361"/>
        <v>0</v>
      </c>
      <c r="D979" s="41">
        <v>10520007</v>
      </c>
      <c r="E979" s="122" t="str">
        <f>VLOOKUP(D979,'MPG Payment '!$E$3:$G$498218,2,0)</f>
        <v>Krishna Dairy</v>
      </c>
      <c r="F979" s="146">
        <f>IFERROR(_xlfn.XLOOKUP(D979,'Monthly Deduction'!$I$3:$I$957,'Monthly Deduction'!$H$3:$H$957),0)</f>
        <v>0</v>
      </c>
      <c r="G979" s="123" t="str">
        <f>VLOOKUP(D979,'MPG Payment '!$E$3:$G$334579,3,0)</f>
        <v>vlc</v>
      </c>
      <c r="H979" s="124" t="str">
        <f>VLOOKUP(D979,'MPG Payment '!$E$3:$H$334579,4,0)</f>
        <v>Indirect</v>
      </c>
      <c r="I979" s="88">
        <f>INDEX('MPG Payment '!$C:$C,MATCH('Shayak Income '!D979,'MPG Payment '!E:E,0))</f>
        <v>1012</v>
      </c>
      <c r="J979" s="88" t="str">
        <f>INDEX('MPG Payment '!$D:$D,MATCH('Shayak Income '!D979,'MPG Payment '!E:E,0))</f>
        <v>DalsinghSarai</v>
      </c>
      <c r="K979" s="125" t="s">
        <v>1322</v>
      </c>
      <c r="L979" s="125">
        <v>45768</v>
      </c>
      <c r="M979" s="126">
        <f>SUMIF('MPG Payment '!$E$3:$E$34579,'Shayak Income '!D979,'MPG Payment '!$I$3:$I$34579)</f>
        <v>4955</v>
      </c>
      <c r="N979" s="126">
        <f>SUMIF('MPG Payment '!$E$3:$E$34579,'Shayak Income '!D979,'MPG Payment '!$J$3:$J$34579)</f>
        <v>174982.51591240001</v>
      </c>
      <c r="O979" s="126">
        <f t="shared" si="362"/>
        <v>3716.25</v>
      </c>
      <c r="P979" s="126">
        <f t="shared" si="363"/>
        <v>4707.25</v>
      </c>
      <c r="Q979" s="126">
        <f>SUMIF('MPG Payment '!$E$3:$E$34579,'Shayak Income '!D979,'MPG Payment '!$S$3:$S$34579)</f>
        <v>0</v>
      </c>
      <c r="R979" s="126">
        <f t="shared" si="364"/>
        <v>5249.4754773719997</v>
      </c>
      <c r="S979" s="126">
        <f t="shared" si="365"/>
        <v>542.22547737199966</v>
      </c>
      <c r="T979" s="126">
        <v>0</v>
      </c>
      <c r="U979" s="127">
        <f>(((IF(K979="New",0,SUMIF('MPG Payment '!$E$3:$E$34579,'Shayak Income '!D979,'MPG Payment '!$AC$3:$AC$34579))))+0)+0</f>
        <v>16.022620152000002</v>
      </c>
      <c r="V979" s="127">
        <f t="shared" si="378"/>
        <v>8407</v>
      </c>
      <c r="W979" s="19">
        <f t="shared" si="379"/>
        <v>0</v>
      </c>
      <c r="X979" s="19">
        <f t="shared" si="380"/>
        <v>0</v>
      </c>
      <c r="Y979" s="128">
        <f>IFERROR(VLOOKUP(D979,'Monthly Deduction'!$M$2:$N$64,2,0),0)</f>
        <v>0</v>
      </c>
      <c r="Z979" s="128">
        <v>0</v>
      </c>
      <c r="AA979" s="126">
        <f>IFERROR(VLOOKUP(D979,'Monthly Deduction'!A:B,2,0),0)</f>
        <v>0</v>
      </c>
      <c r="AB979" s="129">
        <f t="shared" si="366"/>
        <v>8407</v>
      </c>
      <c r="AC979" s="130">
        <v>0</v>
      </c>
      <c r="AD979" s="35">
        <f t="shared" si="367"/>
        <v>8407</v>
      </c>
      <c r="AE979" s="166" t="str">
        <f t="shared" si="368"/>
        <v>Release</v>
      </c>
      <c r="AF979" s="127"/>
      <c r="AG979" s="18">
        <v>0</v>
      </c>
      <c r="AH979" s="132"/>
      <c r="AI979" s="238">
        <v>0</v>
      </c>
      <c r="AJ979" s="132"/>
      <c r="AK979" s="151">
        <v>3696.4000000000005</v>
      </c>
      <c r="AL979" s="154">
        <f t="shared" si="369"/>
        <v>0</v>
      </c>
      <c r="AM979" s="155"/>
      <c r="AN979" s="19">
        <f t="shared" si="374"/>
        <v>0</v>
      </c>
      <c r="AO979" s="118">
        <f>SUMIF('MPG Payment '!E:E,'Shayak Income '!D979,'MPG Payment '!AJ:AJ)</f>
        <v>0</v>
      </c>
      <c r="AP979" s="19">
        <f t="shared" si="375"/>
        <v>0</v>
      </c>
      <c r="AQ979" s="119">
        <f t="shared" si="370"/>
        <v>0</v>
      </c>
      <c r="AR979" s="91" t="s">
        <v>1168</v>
      </c>
      <c r="AS979" s="91">
        <f t="shared" si="376"/>
        <v>0</v>
      </c>
      <c r="AT979" s="118"/>
      <c r="AU979" s="118"/>
      <c r="AV979" s="118"/>
    </row>
    <row r="980" spans="1:48" s="20" customFormat="1" x14ac:dyDescent="0.25">
      <c r="A980" s="17">
        <f>IFERROR(VLOOKUP(D980,'Monthly Deduction'!$I$3:$J$957,2,0),0)</f>
        <v>0</v>
      </c>
      <c r="B980" s="17">
        <f>IFERROR(VLOOKUP(D980,'Monthly Deduction'!$E$3:$F$957,2,0),0)</f>
        <v>0</v>
      </c>
      <c r="C980" s="17">
        <f t="shared" si="361"/>
        <v>0</v>
      </c>
      <c r="D980" s="41">
        <v>10530043</v>
      </c>
      <c r="E980" s="122" t="str">
        <f>VLOOKUP(D980,'MPG Payment '!$E$3:$G$498218,2,0)</f>
        <v>GOMUKH JATMALPUR</v>
      </c>
      <c r="F980" s="146">
        <f>IFERROR(_xlfn.XLOOKUP(D980,'Monthly Deduction'!$I$3:$I$957,'Monthly Deduction'!$H$3:$H$957),0)</f>
        <v>0</v>
      </c>
      <c r="G980" s="123" t="str">
        <f>VLOOKUP(D980,'MPG Payment '!$E$3:$G$334579,3,0)</f>
        <v>vlc</v>
      </c>
      <c r="H980" s="124" t="str">
        <f>VLOOKUP(D980,'MPG Payment '!$E$3:$H$334579,4,0)</f>
        <v>Indirect</v>
      </c>
      <c r="I980" s="88">
        <f>INDEX('MPG Payment '!$C:$C,MATCH('Shayak Income '!D980,'MPG Payment '!E:E,0))</f>
        <v>1066</v>
      </c>
      <c r="J980" s="88" t="str">
        <f>INDEX('MPG Payment '!$D:$D,MATCH('Shayak Income '!D980,'MPG Payment '!E:E,0))</f>
        <v>Gaighat</v>
      </c>
      <c r="K980" s="125" t="s">
        <v>1322</v>
      </c>
      <c r="L980" s="125">
        <v>45745</v>
      </c>
      <c r="M980" s="126">
        <f>SUMIF('MPG Payment '!$E$3:$E$34579,'Shayak Income '!D980,'MPG Payment '!$I$3:$I$34579)</f>
        <v>317.42</v>
      </c>
      <c r="N980" s="126">
        <f>SUMIF('MPG Payment '!$E$3:$E$34579,'Shayak Income '!D980,'MPG Payment '!$J$3:$J$34579)</f>
        <v>11066.619999999999</v>
      </c>
      <c r="O980" s="126">
        <f t="shared" si="362"/>
        <v>238.065</v>
      </c>
      <c r="P980" s="126">
        <f t="shared" si="363"/>
        <v>301.54899999999998</v>
      </c>
      <c r="Q980" s="126">
        <f>SUMIF('MPG Payment '!$E$3:$E$34579,'Shayak Income '!D980,'MPG Payment '!$S$3:$S$34579)</f>
        <v>0</v>
      </c>
      <c r="R980" s="126">
        <f t="shared" si="364"/>
        <v>331.99859999999995</v>
      </c>
      <c r="S980" s="126">
        <f t="shared" si="365"/>
        <v>30.449599999999975</v>
      </c>
      <c r="T980" s="126">
        <f t="shared" si="377"/>
        <v>31.742000000000004</v>
      </c>
      <c r="U980" s="127">
        <f>(((IF(K980="New",0,SUMIF('MPG Payment '!$E$3:$E$34579,'Shayak Income '!D980,'MPG Payment '!$AC$3:$AC$34579))))+0)+0</f>
        <v>266.76753069119775</v>
      </c>
      <c r="V980" s="127">
        <f t="shared" si="378"/>
        <v>241</v>
      </c>
      <c r="W980" s="19">
        <f t="shared" si="379"/>
        <v>0</v>
      </c>
      <c r="X980" s="19">
        <f t="shared" si="380"/>
        <v>0</v>
      </c>
      <c r="Y980" s="128">
        <f>IFERROR(VLOOKUP(D980,'Monthly Deduction'!$M$2:$N$64,2,0),0)</f>
        <v>0</v>
      </c>
      <c r="Z980" s="128">
        <v>0</v>
      </c>
      <c r="AA980" s="126">
        <f>IFERROR(VLOOKUP(D980,'Monthly Deduction'!A:B,2,0),0)</f>
        <v>0</v>
      </c>
      <c r="AB980" s="129">
        <f t="shared" si="366"/>
        <v>241</v>
      </c>
      <c r="AC980" s="130">
        <f>AB980</f>
        <v>241</v>
      </c>
      <c r="AD980" s="35">
        <f t="shared" si="367"/>
        <v>0</v>
      </c>
      <c r="AE980" s="166" t="str">
        <f t="shared" si="368"/>
        <v>Yes</v>
      </c>
      <c r="AF980" s="127"/>
      <c r="AG980" s="18">
        <v>0</v>
      </c>
      <c r="AH980" s="132" t="s">
        <v>1648</v>
      </c>
      <c r="AI980" s="238">
        <v>0</v>
      </c>
      <c r="AJ980" s="132"/>
      <c r="AK980" s="151">
        <v>0</v>
      </c>
      <c r="AL980" s="154">
        <f t="shared" si="369"/>
        <v>0</v>
      </c>
      <c r="AM980" s="155"/>
      <c r="AN980" s="19">
        <f t="shared" si="374"/>
        <v>0</v>
      </c>
      <c r="AO980" s="118">
        <f>SUMIF('MPG Payment '!E:E,'Shayak Income '!D980,'MPG Payment '!AJ:AJ)</f>
        <v>0</v>
      </c>
      <c r="AP980" s="19">
        <f t="shared" si="375"/>
        <v>0</v>
      </c>
      <c r="AQ980" s="119">
        <f t="shared" si="370"/>
        <v>0</v>
      </c>
      <c r="AR980" s="91" t="s">
        <v>1168</v>
      </c>
      <c r="AS980" s="91">
        <f t="shared" si="376"/>
        <v>0</v>
      </c>
      <c r="AT980" s="118"/>
      <c r="AU980" s="118"/>
      <c r="AV980" s="118"/>
    </row>
    <row r="981" spans="1:48" s="20" customFormat="1" x14ac:dyDescent="0.25">
      <c r="A981" s="17">
        <f>IFERROR(VLOOKUP(D981,'Monthly Deduction'!$I$3:$J$957,2,0),0)</f>
        <v>0</v>
      </c>
      <c r="B981" s="17">
        <f>IFERROR(VLOOKUP(D981,'Monthly Deduction'!$E$3:$F$957,2,0),0)</f>
        <v>0</v>
      </c>
      <c r="C981" s="17">
        <f t="shared" si="361"/>
        <v>0</v>
      </c>
      <c r="D981" s="41">
        <v>10530088</v>
      </c>
      <c r="E981" s="122" t="str">
        <f>VLOOKUP(D981,'MPG Payment '!$E$3:$G$498218,2,0)</f>
        <v>DIH LAHI</v>
      </c>
      <c r="F981" s="146">
        <f>IFERROR(_xlfn.XLOOKUP(D981,'Monthly Deduction'!$I$3:$I$957,'Monthly Deduction'!$H$3:$H$957),0)</f>
        <v>0</v>
      </c>
      <c r="G981" s="123" t="str">
        <f>VLOOKUP(D981,'MPG Payment '!$E$3:$G$334579,3,0)</f>
        <v>vlc</v>
      </c>
      <c r="H981" s="124" t="str">
        <f>VLOOKUP(D981,'MPG Payment '!$E$3:$H$334579,4,0)</f>
        <v>Indirect</v>
      </c>
      <c r="I981" s="88">
        <f>INDEX('MPG Payment '!$C:$C,MATCH('Shayak Income '!D981,'MPG Payment '!E:E,0))</f>
        <v>1066</v>
      </c>
      <c r="J981" s="88" t="str">
        <f>INDEX('MPG Payment '!$D:$D,MATCH('Shayak Income '!D981,'MPG Payment '!E:E,0))</f>
        <v>Gaighat</v>
      </c>
      <c r="K981" s="125" t="s">
        <v>1322</v>
      </c>
      <c r="L981" s="125">
        <v>45917</v>
      </c>
      <c r="M981" s="126">
        <f>SUMIF('MPG Payment '!$E$3:$E$34579,'Shayak Income '!D981,'MPG Payment '!$I$3:$I$34579)</f>
        <v>7073.1</v>
      </c>
      <c r="N981" s="126">
        <f>SUMIF('MPG Payment '!$E$3:$E$34579,'Shayak Income '!D981,'MPG Payment '!$J$3:$J$34579)</f>
        <v>328982.13601540739</v>
      </c>
      <c r="O981" s="126">
        <f t="shared" si="362"/>
        <v>5304.8250000000007</v>
      </c>
      <c r="P981" s="126">
        <f t="shared" si="363"/>
        <v>6719.4449999999997</v>
      </c>
      <c r="Q981" s="126">
        <f>SUMIF('MPG Payment '!$E$3:$E$34579,'Shayak Income '!D981,'MPG Payment '!$S$3:$S$34579)</f>
        <v>0</v>
      </c>
      <c r="R981" s="126">
        <f t="shared" si="364"/>
        <v>9869.4640804622213</v>
      </c>
      <c r="S981" s="126">
        <f t="shared" si="365"/>
        <v>3150.0190804622216</v>
      </c>
      <c r="T981" s="126">
        <f t="shared" si="377"/>
        <v>707.31000000000006</v>
      </c>
      <c r="U981" s="127">
        <f>(((IF(K981="New",0,SUMIF('MPG Payment '!$E$3:$E$34579,'Shayak Income '!D981,'MPG Payment '!$AC$3:$AC$34579))))+0)+0</f>
        <v>0</v>
      </c>
      <c r="V981" s="127">
        <f t="shared" si="378"/>
        <v>11317</v>
      </c>
      <c r="W981" s="19">
        <f t="shared" si="379"/>
        <v>0</v>
      </c>
      <c r="X981" s="19">
        <f t="shared" si="380"/>
        <v>0</v>
      </c>
      <c r="Y981" s="128">
        <f>IFERROR(VLOOKUP(D981,'Monthly Deduction'!$M$2:$N$64,2,0),0)</f>
        <v>0</v>
      </c>
      <c r="Z981" s="128">
        <v>0</v>
      </c>
      <c r="AA981" s="126">
        <f>IFERROR(VLOOKUP(D981,'Monthly Deduction'!A:B,2,0),0)</f>
        <v>0</v>
      </c>
      <c r="AB981" s="129">
        <f t="shared" si="366"/>
        <v>11317</v>
      </c>
      <c r="AC981" s="130">
        <v>0</v>
      </c>
      <c r="AD981" s="35">
        <f t="shared" si="367"/>
        <v>11317</v>
      </c>
      <c r="AE981" s="166" t="str">
        <f t="shared" si="368"/>
        <v>Release</v>
      </c>
      <c r="AF981" s="127"/>
      <c r="AG981" s="18">
        <v>0</v>
      </c>
      <c r="AH981" s="132"/>
      <c r="AI981" s="238">
        <v>0</v>
      </c>
      <c r="AJ981" s="132"/>
      <c r="AK981" s="151">
        <v>939.80000000000018</v>
      </c>
      <c r="AL981" s="154">
        <f t="shared" si="369"/>
        <v>0</v>
      </c>
      <c r="AM981" s="155"/>
      <c r="AN981" s="19">
        <f t="shared" si="374"/>
        <v>0</v>
      </c>
      <c r="AO981" s="118">
        <f>SUMIF('MPG Payment '!E:E,'Shayak Income '!D981,'MPG Payment '!AJ:AJ)</f>
        <v>0</v>
      </c>
      <c r="AP981" s="19">
        <f t="shared" si="375"/>
        <v>0</v>
      </c>
      <c r="AQ981" s="119">
        <f t="shared" si="370"/>
        <v>0</v>
      </c>
      <c r="AR981" s="91" t="s">
        <v>1168</v>
      </c>
      <c r="AS981" s="91">
        <f t="shared" si="376"/>
        <v>0</v>
      </c>
      <c r="AT981" s="118"/>
      <c r="AU981" s="118"/>
      <c r="AV981" s="118"/>
    </row>
    <row r="982" spans="1:48" s="20" customFormat="1" x14ac:dyDescent="0.25">
      <c r="A982" s="17">
        <f>IFERROR(VLOOKUP(D982,'Monthly Deduction'!$I$3:$J$957,2,0),0)</f>
        <v>85000</v>
      </c>
      <c r="B982" s="17">
        <f>IFERROR(VLOOKUP(D982,'Monthly Deduction'!$E$3:$F$957,2,0),0)</f>
        <v>0</v>
      </c>
      <c r="C982" s="17">
        <f t="shared" si="361"/>
        <v>85000</v>
      </c>
      <c r="D982" s="41">
        <v>10530114</v>
      </c>
      <c r="E982" s="122" t="str">
        <f>VLOOKUP(D982,'MPG Payment '!$E$3:$G$498218,2,0)</f>
        <v>GOMUKH BANDRA W-9</v>
      </c>
      <c r="F982" s="146">
        <f>IFERROR(_xlfn.XLOOKUP(D982,'Monthly Deduction'!$I$3:$I$957,'Monthly Deduction'!$H$3:$H$957),0)</f>
        <v>0</v>
      </c>
      <c r="G982" s="123" t="str">
        <f>VLOOKUP(D982,'MPG Payment '!$E$3:$G$334579,3,0)</f>
        <v>MPG</v>
      </c>
      <c r="H982" s="124" t="str">
        <f>VLOOKUP(D982,'MPG Payment '!$E$3:$H$334579,4,0)</f>
        <v>Direct</v>
      </c>
      <c r="I982" s="88">
        <f>INDEX('MPG Payment '!$C:$C,MATCH('Shayak Income '!D982,'MPG Payment '!E:E,0))</f>
        <v>1053</v>
      </c>
      <c r="J982" s="88" t="str">
        <f>INDEX('MPG Payment '!$D:$D,MATCH('Shayak Income '!D982,'MPG Payment '!E:E,0))</f>
        <v>Kalyanpur</v>
      </c>
      <c r="K982" s="125" t="s">
        <v>1323</v>
      </c>
      <c r="L982" s="125">
        <v>46153</v>
      </c>
      <c r="M982" s="126">
        <f>SUMIF('MPG Payment '!$E$3:$E$34579,'Shayak Income '!D982,'MPG Payment '!$I$3:$I$34579)</f>
        <v>262.14999999999998</v>
      </c>
      <c r="N982" s="126">
        <f>SUMIF('MPG Payment '!$E$3:$E$34579,'Shayak Income '!D982,'MPG Payment '!$J$3:$J$34579)</f>
        <v>13307.320978234751</v>
      </c>
      <c r="O982" s="126">
        <f t="shared" si="362"/>
        <v>196.61249999999998</v>
      </c>
      <c r="P982" s="126">
        <f t="shared" si="363"/>
        <v>249.04249999999996</v>
      </c>
      <c r="Q982" s="126">
        <f>SUMIF('MPG Payment '!$E$3:$E$34579,'Shayak Income '!D982,'MPG Payment '!$S$3:$S$34579)</f>
        <v>309.02908977304008</v>
      </c>
      <c r="R982" s="126">
        <f t="shared" si="364"/>
        <v>399.21962934704254</v>
      </c>
      <c r="S982" s="126">
        <f t="shared" si="365"/>
        <v>150.17712934704258</v>
      </c>
      <c r="T982" s="126">
        <f t="shared" si="377"/>
        <v>26.215</v>
      </c>
      <c r="U982" s="127">
        <f>(((IF(K982="New",0,SUMIF('MPG Payment '!$E$3:$E$34579,'Shayak Income '!D982,'MPG Payment '!$AC$3:$AC$34579))))+0)+0</f>
        <v>0</v>
      </c>
      <c r="V982" s="127">
        <f t="shared" si="378"/>
        <v>728</v>
      </c>
      <c r="W982" s="19">
        <v>0</v>
      </c>
      <c r="X982" s="19">
        <v>0</v>
      </c>
      <c r="Y982" s="128">
        <f>IFERROR(VLOOKUP(D982,'Monthly Deduction'!$M$2:$N$64,2,0),0)</f>
        <v>0</v>
      </c>
      <c r="Z982" s="128">
        <v>0</v>
      </c>
      <c r="AA982" s="126">
        <f>IFERROR(VLOOKUP(D982,'Monthly Deduction'!A:B,2,0),0)</f>
        <v>0</v>
      </c>
      <c r="AB982" s="129">
        <f t="shared" si="366"/>
        <v>728</v>
      </c>
      <c r="AC982" s="130">
        <v>0</v>
      </c>
      <c r="AD982" s="35">
        <f t="shared" si="367"/>
        <v>728</v>
      </c>
      <c r="AE982" s="166" t="str">
        <f t="shared" si="368"/>
        <v>Release</v>
      </c>
      <c r="AF982" s="127"/>
      <c r="AG982" s="18">
        <v>0</v>
      </c>
      <c r="AH982" s="120" t="s">
        <v>1646</v>
      </c>
      <c r="AI982" s="238">
        <v>20000</v>
      </c>
      <c r="AJ982" s="132" t="s">
        <v>1660</v>
      </c>
      <c r="AK982" s="151">
        <v>176.20000000000002</v>
      </c>
      <c r="AL982" s="154">
        <f t="shared" si="369"/>
        <v>0</v>
      </c>
      <c r="AM982" s="155"/>
      <c r="AN982" s="19">
        <f t="shared" si="374"/>
        <v>1861</v>
      </c>
      <c r="AO982" s="118">
        <f>SUMIF('MPG Payment '!E:E,'Shayak Income '!D982,'MPG Payment '!AJ:AJ)</f>
        <v>0</v>
      </c>
      <c r="AP982" s="19">
        <f t="shared" si="375"/>
        <v>0</v>
      </c>
      <c r="AQ982" s="119">
        <f t="shared" si="370"/>
        <v>0</v>
      </c>
      <c r="AR982" s="91" t="s">
        <v>1168</v>
      </c>
      <c r="AS982" s="91">
        <f t="shared" si="376"/>
        <v>0</v>
      </c>
      <c r="AT982" s="118"/>
      <c r="AU982" s="118"/>
      <c r="AV982" s="118"/>
    </row>
    <row r="983" spans="1:48" s="20" customFormat="1" x14ac:dyDescent="0.25">
      <c r="A983" s="17">
        <f>IFERROR(VLOOKUP(D983,'Monthly Deduction'!$I$3:$J$957,2,0),0)</f>
        <v>69953</v>
      </c>
      <c r="B983" s="17">
        <f>IFERROR(VLOOKUP(D983,'Monthly Deduction'!$E$3:$F$957,2,0),0)</f>
        <v>0</v>
      </c>
      <c r="C983" s="17">
        <f t="shared" si="361"/>
        <v>69953</v>
      </c>
      <c r="D983" s="41">
        <v>10550004</v>
      </c>
      <c r="E983" s="122" t="str">
        <f>VLOOKUP(D983,'MPG Payment '!$E$3:$G$498218,2,0)</f>
        <v>Gokhle Nagar</v>
      </c>
      <c r="F983" s="146">
        <f>IFERROR(_xlfn.XLOOKUP(D983,'Monthly Deduction'!$I$3:$I$957,'Monthly Deduction'!$H$3:$H$957),0)</f>
        <v>0</v>
      </c>
      <c r="G983" s="123" t="str">
        <f>VLOOKUP(D983,'MPG Payment '!$E$3:$G$334579,3,0)</f>
        <v>MPG</v>
      </c>
      <c r="H983" s="124" t="str">
        <f>VLOOKUP(D983,'MPG Payment '!$E$3:$H$334579,4,0)</f>
        <v>Direct</v>
      </c>
      <c r="I983" s="88">
        <f>INDEX('MPG Payment '!$C:$C,MATCH('Shayak Income '!D983,'MPG Payment '!E:E,0))</f>
        <v>1055</v>
      </c>
      <c r="J983" s="88" t="str">
        <f>INDEX('MPG Payment '!$D:$D,MATCH('Shayak Income '!D983,'MPG Payment '!E:E,0))</f>
        <v>Matihani</v>
      </c>
      <c r="K983" s="125" t="s">
        <v>1322</v>
      </c>
      <c r="L983" s="125">
        <v>46043</v>
      </c>
      <c r="M983" s="126">
        <f>SUMIF('MPG Payment '!$E$3:$E$34579,'Shayak Income '!D983,'MPG Payment '!$I$3:$I$34579)</f>
        <v>132.5</v>
      </c>
      <c r="N983" s="126">
        <f>SUMIF('MPG Payment '!$E$3:$E$34579,'Shayak Income '!D983,'MPG Payment '!$J$3:$J$34579)</f>
        <v>4505.4773452685004</v>
      </c>
      <c r="O983" s="126">
        <f t="shared" si="362"/>
        <v>99.375</v>
      </c>
      <c r="P983" s="126">
        <f t="shared" si="363"/>
        <v>125.875</v>
      </c>
      <c r="Q983" s="126">
        <f>SUMIF('MPG Payment '!$E$3:$E$34579,'Shayak Income '!D983,'MPG Payment '!$S$3:$S$34579)</f>
        <v>0</v>
      </c>
      <c r="R983" s="126">
        <f t="shared" si="364"/>
        <v>135.16432035805499</v>
      </c>
      <c r="S983" s="126">
        <f t="shared" si="365"/>
        <v>9.2893203580549937</v>
      </c>
      <c r="T983" s="126">
        <f t="shared" si="377"/>
        <v>13.25</v>
      </c>
      <c r="U983" s="127">
        <f>(((IF(K983="New",0,SUMIF('MPG Payment '!$E$3:$E$34579,'Shayak Income '!D983,'MPG Payment '!$AC$3:$AC$34579))))+0)+-1134</f>
        <v>212.15282659466925</v>
      </c>
      <c r="V983" s="127">
        <f t="shared" si="378"/>
        <v>0</v>
      </c>
      <c r="W983" s="19">
        <v>0</v>
      </c>
      <c r="X983" s="19">
        <v>0</v>
      </c>
      <c r="Y983" s="128">
        <f>IFERROR(VLOOKUP(D983,'Monthly Deduction'!$M$2:$N$64,2,0),0)</f>
        <v>0</v>
      </c>
      <c r="Z983" s="128">
        <v>0</v>
      </c>
      <c r="AA983" s="126">
        <f>IFERROR(VLOOKUP(D983,'Monthly Deduction'!A:B,2,0),0)</f>
        <v>0</v>
      </c>
      <c r="AB983" s="129">
        <f t="shared" si="366"/>
        <v>0</v>
      </c>
      <c r="AC983" s="130">
        <f t="shared" ref="AC983:AC985" si="382">AB983</f>
        <v>0</v>
      </c>
      <c r="AD983" s="35">
        <f t="shared" si="367"/>
        <v>0</v>
      </c>
      <c r="AE983" s="166" t="str">
        <f t="shared" si="368"/>
        <v>Release</v>
      </c>
      <c r="AF983" s="127"/>
      <c r="AG983" s="18">
        <v>0</v>
      </c>
      <c r="AH983" s="120" t="s">
        <v>1650</v>
      </c>
      <c r="AI983" s="238">
        <v>4953</v>
      </c>
      <c r="AJ983" s="132"/>
      <c r="AK983" s="151">
        <v>53.4</v>
      </c>
      <c r="AL983" s="154">
        <f t="shared" si="369"/>
        <v>0</v>
      </c>
      <c r="AM983" s="155"/>
      <c r="AN983" s="19">
        <f t="shared" si="374"/>
        <v>1861</v>
      </c>
      <c r="AO983" s="118">
        <f>SUMIF('MPG Payment '!E:E,'Shayak Income '!D983,'MPG Payment '!AJ:AJ)</f>
        <v>0</v>
      </c>
      <c r="AP983" s="19">
        <f t="shared" si="375"/>
        <v>0</v>
      </c>
      <c r="AQ983" s="119">
        <f t="shared" si="370"/>
        <v>0</v>
      </c>
      <c r="AR983" s="91" t="s">
        <v>1168</v>
      </c>
      <c r="AS983" s="91">
        <f t="shared" si="376"/>
        <v>0</v>
      </c>
      <c r="AT983" s="118"/>
      <c r="AU983" s="118"/>
      <c r="AV983" s="118"/>
    </row>
    <row r="984" spans="1:48" s="20" customFormat="1" x14ac:dyDescent="0.25">
      <c r="A984" s="17">
        <f>IFERROR(VLOOKUP(D984,'Monthly Deduction'!$I$3:$J$957,2,0),0)</f>
        <v>0</v>
      </c>
      <c r="B984" s="17">
        <f>IFERROR(VLOOKUP(D984,'Monthly Deduction'!$E$3:$F$957,2,0),0)</f>
        <v>0</v>
      </c>
      <c r="C984" s="17">
        <f t="shared" si="361"/>
        <v>0</v>
      </c>
      <c r="D984" s="41">
        <v>10560021</v>
      </c>
      <c r="E984" s="122" t="str">
        <f>VLOOKUP(D984,'MPG Payment '!$E$3:$G$498218,2,0)</f>
        <v>Gomukh Mungeria Tol Pakrail Vlc</v>
      </c>
      <c r="F984" s="146">
        <f>IFERROR(_xlfn.XLOOKUP(D984,'Monthly Deduction'!$I$3:$I$957,'Monthly Deduction'!$H$3:$H$957),0)</f>
        <v>0</v>
      </c>
      <c r="G984" s="123" t="str">
        <f>VLOOKUP(D984,'MPG Payment '!$E$3:$G$334579,3,0)</f>
        <v>vlc</v>
      </c>
      <c r="H984" s="124" t="str">
        <f>VLOOKUP(D984,'MPG Payment '!$E$3:$H$334579,4,0)</f>
        <v>Indirect</v>
      </c>
      <c r="I984" s="88">
        <f>INDEX('MPG Payment '!$C:$C,MATCH('Shayak Income '!D984,'MPG Payment '!E:E,0))</f>
        <v>1056</v>
      </c>
      <c r="J984" s="88" t="str">
        <f>INDEX('MPG Payment '!$D:$D,MATCH('Shayak Income '!D984,'MPG Payment '!E:E,0))</f>
        <v>Chautham</v>
      </c>
      <c r="K984" s="125" t="s">
        <v>1322</v>
      </c>
      <c r="L984" s="125">
        <v>45972</v>
      </c>
      <c r="M984" s="126">
        <f>SUMIF('MPG Payment '!$E$3:$E$34579,'Shayak Income '!D984,'MPG Payment '!$I$3:$I$34579)</f>
        <v>18.54</v>
      </c>
      <c r="N984" s="126">
        <f>SUMIF('MPG Payment '!$E$3:$E$34579,'Shayak Income '!D984,'MPG Payment '!$J$3:$J$34579)</f>
        <v>704.89</v>
      </c>
      <c r="O984" s="126">
        <f t="shared" si="362"/>
        <v>13.904999999999999</v>
      </c>
      <c r="P984" s="126">
        <f t="shared" si="363"/>
        <v>17.613</v>
      </c>
      <c r="Q984" s="126">
        <f>SUMIF('MPG Payment '!$E$3:$E$34579,'Shayak Income '!D984,'MPG Payment '!$S$3:$S$34579)</f>
        <v>0</v>
      </c>
      <c r="R984" s="126">
        <f t="shared" si="364"/>
        <v>21.146699999999999</v>
      </c>
      <c r="S984" s="126">
        <f t="shared" si="365"/>
        <v>3.5336999999999996</v>
      </c>
      <c r="T984" s="126">
        <f t="shared" si="377"/>
        <v>1.8540000000000001</v>
      </c>
      <c r="U984" s="127">
        <f>(((IF(K984="New",0,SUMIF('MPG Payment '!$E$3:$E$34579,'Shayak Income '!D984,'MPG Payment '!$AC$3:$AC$34579))))+0)+-489</f>
        <v>29.181595900755156</v>
      </c>
      <c r="V984" s="127">
        <f t="shared" si="378"/>
        <v>0</v>
      </c>
      <c r="W984" s="19">
        <v>0</v>
      </c>
      <c r="X984" s="19">
        <v>0</v>
      </c>
      <c r="Y984" s="128">
        <f>IFERROR(VLOOKUP(D984,'Monthly Deduction'!$M$2:$N$64,2,0),0)</f>
        <v>0</v>
      </c>
      <c r="Z984" s="128">
        <v>0</v>
      </c>
      <c r="AA984" s="126">
        <f>IFERROR(VLOOKUP(D984,'Monthly Deduction'!A:B,2,0),0)</f>
        <v>0</v>
      </c>
      <c r="AB984" s="129">
        <f t="shared" si="366"/>
        <v>0</v>
      </c>
      <c r="AC984" s="130">
        <f t="shared" si="382"/>
        <v>0</v>
      </c>
      <c r="AD984" s="35">
        <f t="shared" si="367"/>
        <v>0</v>
      </c>
      <c r="AE984" s="166" t="str">
        <f t="shared" si="368"/>
        <v>Release</v>
      </c>
      <c r="AF984" s="127"/>
      <c r="AG984" s="18">
        <v>0</v>
      </c>
      <c r="AH984" s="132" t="s">
        <v>1648</v>
      </c>
      <c r="AI984" s="238">
        <v>0</v>
      </c>
      <c r="AJ984" s="132"/>
      <c r="AK984" s="151">
        <v>0</v>
      </c>
      <c r="AL984" s="154">
        <f t="shared" si="369"/>
        <v>0</v>
      </c>
      <c r="AM984" s="155"/>
      <c r="AN984" s="19">
        <f t="shared" si="374"/>
        <v>0</v>
      </c>
      <c r="AO984" s="118">
        <f>SUMIF('MPG Payment '!E:E,'Shayak Income '!D984,'MPG Payment '!AJ:AJ)</f>
        <v>0</v>
      </c>
      <c r="AP984" s="19">
        <f t="shared" si="375"/>
        <v>0</v>
      </c>
      <c r="AQ984" s="119">
        <f t="shared" si="370"/>
        <v>0</v>
      </c>
      <c r="AR984" s="91" t="s">
        <v>1168</v>
      </c>
      <c r="AS984" s="91">
        <f t="shared" si="376"/>
        <v>0</v>
      </c>
      <c r="AT984" s="118"/>
      <c r="AU984" s="118"/>
      <c r="AV984" s="118"/>
    </row>
    <row r="985" spans="1:48" s="20" customFormat="1" x14ac:dyDescent="0.25">
      <c r="A985" s="17">
        <f>IFERROR(VLOOKUP(D985,'Monthly Deduction'!$I$3:$J$957,2,0),0)</f>
        <v>0</v>
      </c>
      <c r="B985" s="17">
        <f>IFERROR(VLOOKUP(D985,'Monthly Deduction'!$E$3:$F$957,2,0),0)</f>
        <v>0</v>
      </c>
      <c r="C985" s="17">
        <f t="shared" si="361"/>
        <v>0</v>
      </c>
      <c r="D985" s="41">
        <v>10570005</v>
      </c>
      <c r="E985" s="122" t="str">
        <f>VLOOKUP(D985,'MPG Payment '!$E$3:$G$498218,2,0)</f>
        <v>Khanpur</v>
      </c>
      <c r="F985" s="146">
        <f>IFERROR(_xlfn.XLOOKUP(D985,'Monthly Deduction'!$I$3:$I$957,'Monthly Deduction'!$H$3:$H$957),0)</f>
        <v>0</v>
      </c>
      <c r="G985" s="123" t="str">
        <f>VLOOKUP(D985,'MPG Payment '!$E$3:$G$334579,3,0)</f>
        <v>vlc</v>
      </c>
      <c r="H985" s="124" t="str">
        <f>VLOOKUP(D985,'MPG Payment '!$E$3:$H$334579,4,0)</f>
        <v>Indirect</v>
      </c>
      <c r="I985" s="88">
        <f>INDEX('MPG Payment '!$C:$C,MATCH('Shayak Income '!D985,'MPG Payment '!E:E,0))</f>
        <v>1057</v>
      </c>
      <c r="J985" s="88" t="str">
        <f>INDEX('MPG Payment '!$D:$D,MATCH('Shayak Income '!D985,'MPG Payment '!E:E,0))</f>
        <v>Warisnagar</v>
      </c>
      <c r="K985" s="125" t="s">
        <v>1322</v>
      </c>
      <c r="L985" s="125">
        <v>45915</v>
      </c>
      <c r="M985" s="126">
        <f>SUMIF('MPG Payment '!$E$3:$E$34579,'Shayak Income '!D985,'MPG Payment '!$I$3:$I$34579)</f>
        <v>133.30000000000001</v>
      </c>
      <c r="N985" s="126">
        <f>SUMIF('MPG Payment '!$E$3:$E$34579,'Shayak Income '!D985,'MPG Payment '!$J$3:$J$34579)</f>
        <v>5058.97</v>
      </c>
      <c r="O985" s="126">
        <f t="shared" si="362"/>
        <v>99.975000000000009</v>
      </c>
      <c r="P985" s="126">
        <f t="shared" si="363"/>
        <v>126.63500000000001</v>
      </c>
      <c r="Q985" s="126">
        <f>SUMIF('MPG Payment '!$E$3:$E$34579,'Shayak Income '!D985,'MPG Payment '!$S$3:$S$34579)</f>
        <v>0</v>
      </c>
      <c r="R985" s="126">
        <f t="shared" si="364"/>
        <v>151.76910000000001</v>
      </c>
      <c r="S985" s="126">
        <f t="shared" si="365"/>
        <v>25.134100000000004</v>
      </c>
      <c r="T985" s="126">
        <f t="shared" si="377"/>
        <v>13.330000000000002</v>
      </c>
      <c r="U985" s="127">
        <f>(((IF(K985="New",0,SUMIF('MPG Payment '!$E$3:$E$34579,'Shayak Income '!D985,'MPG Payment '!$AC$3:$AC$34579))))+0)+-217</f>
        <v>213.14528117029261</v>
      </c>
      <c r="V985" s="127">
        <f t="shared" si="378"/>
        <v>0</v>
      </c>
      <c r="W985" s="19">
        <v>0</v>
      </c>
      <c r="X985" s="19">
        <v>0</v>
      </c>
      <c r="Y985" s="128">
        <f>IFERROR(VLOOKUP(D985,'Monthly Deduction'!$M$2:$N$64,2,0),0)</f>
        <v>0</v>
      </c>
      <c r="Z985" s="128">
        <v>0</v>
      </c>
      <c r="AA985" s="126">
        <f>IFERROR(VLOOKUP(D985,'Monthly Deduction'!A:B,2,0),0)</f>
        <v>0</v>
      </c>
      <c r="AB985" s="129">
        <f t="shared" si="366"/>
        <v>0</v>
      </c>
      <c r="AC985" s="130">
        <f t="shared" si="382"/>
        <v>0</v>
      </c>
      <c r="AD985" s="35">
        <f t="shared" si="367"/>
        <v>0</v>
      </c>
      <c r="AE985" s="166" t="str">
        <f t="shared" si="368"/>
        <v>Release</v>
      </c>
      <c r="AF985" s="127"/>
      <c r="AG985" s="18">
        <v>0</v>
      </c>
      <c r="AH985" s="132" t="s">
        <v>1648</v>
      </c>
      <c r="AI985" s="238">
        <v>0</v>
      </c>
      <c r="AJ985" s="132"/>
      <c r="AK985" s="151">
        <v>0</v>
      </c>
      <c r="AL985" s="154">
        <f t="shared" si="369"/>
        <v>0</v>
      </c>
      <c r="AM985" s="155"/>
      <c r="AN985" s="19">
        <f t="shared" si="374"/>
        <v>0</v>
      </c>
      <c r="AO985" s="118">
        <f>SUMIF('MPG Payment '!E:E,'Shayak Income '!D985,'MPG Payment '!AJ:AJ)</f>
        <v>0</v>
      </c>
      <c r="AP985" s="19">
        <f t="shared" si="375"/>
        <v>0</v>
      </c>
      <c r="AQ985" s="119">
        <f t="shared" si="370"/>
        <v>0</v>
      </c>
      <c r="AR985" s="91" t="s">
        <v>1168</v>
      </c>
      <c r="AS985" s="91">
        <f t="shared" si="376"/>
        <v>0</v>
      </c>
      <c r="AT985" s="118"/>
      <c r="AU985" s="118"/>
      <c r="AV985" s="118"/>
    </row>
    <row r="986" spans="1:48" s="20" customFormat="1" x14ac:dyDescent="0.25">
      <c r="A986" s="17">
        <f>IFERROR(VLOOKUP(D986,'Monthly Deduction'!$I$3:$J$957,2,0),0)</f>
        <v>0</v>
      </c>
      <c r="B986" s="17">
        <f>IFERROR(VLOOKUP(D986,'Monthly Deduction'!$E$3:$F$957,2,0),0)</f>
        <v>0</v>
      </c>
      <c r="C986" s="17">
        <f t="shared" si="361"/>
        <v>0</v>
      </c>
      <c r="D986" s="41">
        <v>10610041</v>
      </c>
      <c r="E986" s="122" t="str">
        <f>VLOOKUP(D986,'MPG Payment '!$E$3:$G$498218,2,0)</f>
        <v>GOMUKH RUSULPUR GANGATI</v>
      </c>
      <c r="F986" s="146">
        <f>IFERROR(_xlfn.XLOOKUP(D986,'Monthly Deduction'!$I$3:$I$957,'Monthly Deduction'!$H$3:$H$957),0)</f>
        <v>0</v>
      </c>
      <c r="G986" s="123" t="str">
        <f>VLOOKUP(D986,'MPG Payment '!$E$3:$G$334579,3,0)</f>
        <v>vlc</v>
      </c>
      <c r="H986" s="124" t="str">
        <f>VLOOKUP(D986,'MPG Payment '!$E$3:$H$334579,4,0)</f>
        <v>Indirect</v>
      </c>
      <c r="I986" s="88">
        <f>INDEX('MPG Payment '!$C:$C,MATCH('Shayak Income '!D986,'MPG Payment '!E:E,0))</f>
        <v>1061</v>
      </c>
      <c r="J986" s="88" t="str">
        <f>INDEX('MPG Payment '!$D:$D,MATCH('Shayak Income '!D986,'MPG Payment '!E:E,0))</f>
        <v>Mahua BMC</v>
      </c>
      <c r="K986" s="125" t="s">
        <v>1323</v>
      </c>
      <c r="L986" s="125">
        <v>46152</v>
      </c>
      <c r="M986" s="126">
        <f>SUMIF('MPG Payment '!$E$3:$E$34579,'Shayak Income '!D986,'MPG Payment '!$I$3:$I$34579)</f>
        <v>72.5</v>
      </c>
      <c r="N986" s="126">
        <f>SUMIF('MPG Payment '!$E$3:$E$34579,'Shayak Income '!D986,'MPG Payment '!$J$3:$J$34579)</f>
        <v>2647.8782546719999</v>
      </c>
      <c r="O986" s="126">
        <f t="shared" si="362"/>
        <v>54.375</v>
      </c>
      <c r="P986" s="126">
        <f t="shared" si="363"/>
        <v>68.875</v>
      </c>
      <c r="Q986" s="126">
        <f>SUMIF('MPG Payment '!$E$3:$E$34579,'Shayak Income '!D986,'MPG Payment '!$S$3:$S$34579)</f>
        <v>0</v>
      </c>
      <c r="R986" s="126">
        <f t="shared" si="364"/>
        <v>79.436347640159994</v>
      </c>
      <c r="S986" s="126">
        <f t="shared" si="365"/>
        <v>10.561347640159994</v>
      </c>
      <c r="T986" s="126">
        <f t="shared" si="377"/>
        <v>7.25</v>
      </c>
      <c r="U986" s="127">
        <f>(((IF(K986="New",0,SUMIF('MPG Payment '!$E$3:$E$34579,'Shayak Income '!D986,'MPG Payment '!$AC$3:$AC$34579))))+0)+0</f>
        <v>0</v>
      </c>
      <c r="V986" s="127">
        <f t="shared" si="378"/>
        <v>116</v>
      </c>
      <c r="W986" s="19">
        <v>0</v>
      </c>
      <c r="X986" s="19">
        <v>0</v>
      </c>
      <c r="Y986" s="128">
        <f>IFERROR(VLOOKUP(D986,'Monthly Deduction'!$M$2:$N$64,2,0),0)</f>
        <v>0</v>
      </c>
      <c r="Z986" s="128">
        <v>0</v>
      </c>
      <c r="AA986" s="126">
        <f>IFERROR(VLOOKUP(D986,'Monthly Deduction'!A:B,2,0),0)</f>
        <v>0</v>
      </c>
      <c r="AB986" s="129">
        <f t="shared" si="366"/>
        <v>116</v>
      </c>
      <c r="AC986" s="130">
        <v>0</v>
      </c>
      <c r="AD986" s="35">
        <f t="shared" si="367"/>
        <v>116</v>
      </c>
      <c r="AE986" s="166" t="str">
        <f t="shared" si="368"/>
        <v>Release</v>
      </c>
      <c r="AF986" s="127"/>
      <c r="AG986" s="18">
        <v>0</v>
      </c>
      <c r="AH986" s="132"/>
      <c r="AI986" s="238">
        <v>0</v>
      </c>
      <c r="AJ986" s="132"/>
      <c r="AK986" s="151">
        <v>121.4</v>
      </c>
      <c r="AL986" s="154">
        <f t="shared" si="369"/>
        <v>0</v>
      </c>
      <c r="AM986" s="155"/>
      <c r="AN986" s="19">
        <f t="shared" si="374"/>
        <v>0</v>
      </c>
      <c r="AO986" s="118">
        <f>SUMIF('MPG Payment '!E:E,'Shayak Income '!D986,'MPG Payment '!AJ:AJ)</f>
        <v>0</v>
      </c>
      <c r="AP986" s="19">
        <f t="shared" si="375"/>
        <v>0</v>
      </c>
      <c r="AQ986" s="119">
        <f t="shared" si="370"/>
        <v>0</v>
      </c>
      <c r="AR986" s="91" t="s">
        <v>1168</v>
      </c>
      <c r="AS986" s="91">
        <f t="shared" si="376"/>
        <v>0</v>
      </c>
      <c r="AT986" s="118"/>
      <c r="AU986" s="118"/>
      <c r="AV986" s="118"/>
    </row>
    <row r="987" spans="1:48" s="20" customFormat="1" x14ac:dyDescent="0.25">
      <c r="A987" s="17">
        <f>IFERROR(VLOOKUP(D987,'Monthly Deduction'!$I$3:$J$957,2,0),0)</f>
        <v>65000</v>
      </c>
      <c r="B987" s="17">
        <f>IFERROR(VLOOKUP(D987,'Monthly Deduction'!$E$3:$F$957,2,0),0)</f>
        <v>0</v>
      </c>
      <c r="C987" s="17">
        <f t="shared" si="361"/>
        <v>65000</v>
      </c>
      <c r="D987" s="41">
        <v>10660001</v>
      </c>
      <c r="E987" s="122" t="str">
        <f>VLOOKUP(D987,'MPG Payment '!$E$3:$G$498218,2,0)</f>
        <v>GOMUKH CHATAUNA W-2</v>
      </c>
      <c r="F987" s="146">
        <f>IFERROR(_xlfn.XLOOKUP(D987,'Monthly Deduction'!$I$3:$I$957,'Monthly Deduction'!$H$3:$H$957),0)</f>
        <v>0</v>
      </c>
      <c r="G987" s="123" t="str">
        <f>VLOOKUP(D987,'MPG Payment '!$E$3:$G$334579,3,0)</f>
        <v>MPG</v>
      </c>
      <c r="H987" s="124" t="str">
        <f>VLOOKUP(D987,'MPG Payment '!$E$3:$H$334579,4,0)</f>
        <v>Direct</v>
      </c>
      <c r="I987" s="88">
        <f>INDEX('MPG Payment '!$C:$C,MATCH('Shayak Income '!D987,'MPG Payment '!E:E,0))</f>
        <v>1066</v>
      </c>
      <c r="J987" s="88" t="str">
        <f>INDEX('MPG Payment '!$D:$D,MATCH('Shayak Income '!D987,'MPG Payment '!E:E,0))</f>
        <v>Gaighat</v>
      </c>
      <c r="K987" s="125" t="s">
        <v>1323</v>
      </c>
      <c r="L987" s="125">
        <v>46150</v>
      </c>
      <c r="M987" s="126">
        <f>SUMIF('MPG Payment '!$E$3:$E$34579,'Shayak Income '!D987,'MPG Payment '!$I$3:$I$34579)</f>
        <v>740.40000000000009</v>
      </c>
      <c r="N987" s="126">
        <f>SUMIF('MPG Payment '!$E$3:$E$34579,'Shayak Income '!D987,'MPG Payment '!$J$3:$J$34579)</f>
        <v>39868.361024424798</v>
      </c>
      <c r="O987" s="126">
        <f t="shared" si="362"/>
        <v>555.30000000000007</v>
      </c>
      <c r="P987" s="126">
        <f t="shared" si="363"/>
        <v>703.38000000000011</v>
      </c>
      <c r="Q987" s="126">
        <f>SUMIF('MPG Payment '!$E$3:$E$34579,'Shayak Income '!D987,'MPG Payment '!$S$3:$S$34579)</f>
        <v>0</v>
      </c>
      <c r="R987" s="126">
        <f t="shared" si="364"/>
        <v>1196.0508307327439</v>
      </c>
      <c r="S987" s="126">
        <f t="shared" si="365"/>
        <v>492.67083073274375</v>
      </c>
      <c r="T987" s="126">
        <f t="shared" si="377"/>
        <v>74.040000000000006</v>
      </c>
      <c r="U987" s="127">
        <f>(((IF(K987="New",0,SUMIF('MPG Payment '!$E$3:$E$34579,'Shayak Income '!D987,'MPG Payment '!$AC$3:$AC$34579))))+0)+0</f>
        <v>0</v>
      </c>
      <c r="V987" s="127">
        <f t="shared" si="378"/>
        <v>1185</v>
      </c>
      <c r="W987" s="19">
        <v>0</v>
      </c>
      <c r="X987" s="19">
        <v>0</v>
      </c>
      <c r="Y987" s="128">
        <f>IFERROR(VLOOKUP(D987,'Monthly Deduction'!$M$2:$N$64,2,0),0)</f>
        <v>0</v>
      </c>
      <c r="Z987" s="128">
        <v>0</v>
      </c>
      <c r="AA987" s="126">
        <f>IFERROR(VLOOKUP(D987,'Monthly Deduction'!A:B,2,0),0)</f>
        <v>0</v>
      </c>
      <c r="AB987" s="129">
        <f t="shared" si="366"/>
        <v>1185</v>
      </c>
      <c r="AC987" s="130">
        <v>0</v>
      </c>
      <c r="AD987" s="35">
        <f t="shared" si="367"/>
        <v>1185</v>
      </c>
      <c r="AE987" s="166" t="str">
        <f t="shared" si="368"/>
        <v>Release</v>
      </c>
      <c r="AF987" s="127"/>
      <c r="AG987" s="18">
        <v>0</v>
      </c>
      <c r="AH987" s="120"/>
      <c r="AI987" s="238">
        <v>0</v>
      </c>
      <c r="AJ987" s="132"/>
      <c r="AK987" s="151">
        <v>340.2</v>
      </c>
      <c r="AL987" s="154">
        <f t="shared" si="369"/>
        <v>0</v>
      </c>
      <c r="AM987" s="155"/>
      <c r="AN987" s="19">
        <f t="shared" si="374"/>
        <v>1861</v>
      </c>
      <c r="AO987" s="118">
        <f>SUMIF('MPG Payment '!E:E,'Shayak Income '!D987,'MPG Payment '!AJ:AJ)</f>
        <v>0</v>
      </c>
      <c r="AP987" s="19">
        <f t="shared" si="375"/>
        <v>0</v>
      </c>
      <c r="AQ987" s="119">
        <f t="shared" si="370"/>
        <v>0</v>
      </c>
      <c r="AR987" s="91" t="s">
        <v>1168</v>
      </c>
      <c r="AS987" s="91">
        <f t="shared" si="376"/>
        <v>0</v>
      </c>
      <c r="AT987" s="118"/>
      <c r="AU987" s="118"/>
      <c r="AV987" s="118"/>
    </row>
    <row r="988" spans="1:48" s="20" customFormat="1" x14ac:dyDescent="0.25">
      <c r="A988" s="17">
        <f>IFERROR(VLOOKUP(D988,'Monthly Deduction'!$I$3:$J$957,2,0),0)</f>
        <v>65000</v>
      </c>
      <c r="B988" s="17">
        <f>IFERROR(VLOOKUP(D988,'Monthly Deduction'!$E$3:$F$957,2,0),0)</f>
        <v>0</v>
      </c>
      <c r="C988" s="17">
        <f t="shared" si="361"/>
        <v>65000</v>
      </c>
      <c r="D988" s="41">
        <v>10660002</v>
      </c>
      <c r="E988" s="122" t="str">
        <f>VLOOKUP(D988,'MPG Payment '!$E$3:$G$498218,2,0)</f>
        <v>GOMUKH TEERA JATMALPUR</v>
      </c>
      <c r="F988" s="146">
        <f>IFERROR(_xlfn.XLOOKUP(D988,'Monthly Deduction'!$I$3:$I$957,'Monthly Deduction'!$H$3:$H$957),0)</f>
        <v>0</v>
      </c>
      <c r="G988" s="123" t="str">
        <f>VLOOKUP(D988,'MPG Payment '!$E$3:$G$334579,3,0)</f>
        <v>MPG</v>
      </c>
      <c r="H988" s="124" t="str">
        <f>VLOOKUP(D988,'MPG Payment '!$E$3:$H$334579,4,0)</f>
        <v>Direct</v>
      </c>
      <c r="I988" s="88">
        <f>INDEX('MPG Payment '!$C:$C,MATCH('Shayak Income '!D988,'MPG Payment '!E:E,0))</f>
        <v>1066</v>
      </c>
      <c r="J988" s="88" t="str">
        <f>INDEX('MPG Payment '!$D:$D,MATCH('Shayak Income '!D988,'MPG Payment '!E:E,0))</f>
        <v>Gaighat</v>
      </c>
      <c r="K988" s="125" t="s">
        <v>1323</v>
      </c>
      <c r="L988" s="125">
        <v>46150</v>
      </c>
      <c r="M988" s="126">
        <f>SUMIF('MPG Payment '!$E$3:$E$34579,'Shayak Income '!D988,'MPG Payment '!$I$3:$I$34579)</f>
        <v>721.80000000000007</v>
      </c>
      <c r="N988" s="126">
        <f>SUMIF('MPG Payment '!$E$3:$E$34579,'Shayak Income '!D988,'MPG Payment '!$J$3:$J$34579)</f>
        <v>29930.022002697158</v>
      </c>
      <c r="O988" s="126">
        <f t="shared" si="362"/>
        <v>541.35</v>
      </c>
      <c r="P988" s="126">
        <f t="shared" si="363"/>
        <v>685.71</v>
      </c>
      <c r="Q988" s="126">
        <f>SUMIF('MPG Payment '!$E$3:$E$34579,'Shayak Income '!D988,'MPG Payment '!$S$3:$S$34579)</f>
        <v>502.86261136320002</v>
      </c>
      <c r="R988" s="126">
        <f t="shared" si="364"/>
        <v>897.90066008091469</v>
      </c>
      <c r="S988" s="126">
        <f t="shared" si="365"/>
        <v>212.19066008091465</v>
      </c>
      <c r="T988" s="126">
        <f t="shared" si="377"/>
        <v>72.180000000000007</v>
      </c>
      <c r="U988" s="127">
        <f>(((IF(K988="New",0,SUMIF('MPG Payment '!$E$3:$E$34579,'Shayak Income '!D988,'MPG Payment '!$AC$3:$AC$34579))))+0)+0</f>
        <v>0</v>
      </c>
      <c r="V988" s="127">
        <f t="shared" si="378"/>
        <v>1658</v>
      </c>
      <c r="W988" s="19">
        <v>0</v>
      </c>
      <c r="X988" s="19">
        <v>0</v>
      </c>
      <c r="Y988" s="128">
        <f>IFERROR(VLOOKUP(D988,'Monthly Deduction'!$M$2:$N$64,2,0),0)</f>
        <v>0</v>
      </c>
      <c r="Z988" s="128">
        <v>0</v>
      </c>
      <c r="AA988" s="126">
        <f>IFERROR(VLOOKUP(D988,'Monthly Deduction'!A:B,2,0),0)</f>
        <v>0</v>
      </c>
      <c r="AB988" s="129">
        <f t="shared" si="366"/>
        <v>1658</v>
      </c>
      <c r="AC988" s="130">
        <v>0</v>
      </c>
      <c r="AD988" s="35">
        <f t="shared" si="367"/>
        <v>1658</v>
      </c>
      <c r="AE988" s="166" t="str">
        <f t="shared" si="368"/>
        <v>Release</v>
      </c>
      <c r="AF988" s="127"/>
      <c r="AG988" s="18">
        <v>0</v>
      </c>
      <c r="AH988" s="120"/>
      <c r="AI988" s="238">
        <v>0</v>
      </c>
      <c r="AJ988" s="132"/>
      <c r="AK988" s="151">
        <v>310.99999999999994</v>
      </c>
      <c r="AL988" s="154">
        <f t="shared" si="369"/>
        <v>0</v>
      </c>
      <c r="AM988" s="155"/>
      <c r="AN988" s="19">
        <f t="shared" si="374"/>
        <v>1861</v>
      </c>
      <c r="AO988" s="118">
        <f>SUMIF('MPG Payment '!E:E,'Shayak Income '!D988,'MPG Payment '!AJ:AJ)</f>
        <v>0</v>
      </c>
      <c r="AP988" s="19">
        <f t="shared" si="375"/>
        <v>0</v>
      </c>
      <c r="AQ988" s="119">
        <f t="shared" si="370"/>
        <v>0</v>
      </c>
      <c r="AR988" s="91" t="s">
        <v>1168</v>
      </c>
      <c r="AS988" s="91">
        <f t="shared" si="376"/>
        <v>0</v>
      </c>
      <c r="AT988" s="118"/>
      <c r="AU988" s="118"/>
      <c r="AV988" s="118"/>
    </row>
    <row r="989" spans="1:48" s="20" customFormat="1" x14ac:dyDescent="0.25">
      <c r="A989" s="17">
        <f>IFERROR(VLOOKUP(D989,'Monthly Deduction'!$I$3:$J$957,2,0),0)</f>
        <v>65000</v>
      </c>
      <c r="B989" s="17">
        <f>IFERROR(VLOOKUP(D989,'Monthly Deduction'!$E$3:$F$957,2,0),0)</f>
        <v>0</v>
      </c>
      <c r="C989" s="17">
        <f t="shared" si="361"/>
        <v>65000</v>
      </c>
      <c r="D989" s="41">
        <v>10660004</v>
      </c>
      <c r="E989" s="122" t="str">
        <f>VLOOKUP(D989,'MPG Payment '!$E$3:$G$498218,2,0)</f>
        <v>GOMUKH GOBARSITTHA</v>
      </c>
      <c r="F989" s="146">
        <f>IFERROR(_xlfn.XLOOKUP(D989,'Monthly Deduction'!$I$3:$I$957,'Monthly Deduction'!$H$3:$H$957),0)</f>
        <v>0</v>
      </c>
      <c r="G989" s="123" t="str">
        <f>VLOOKUP(D989,'MPG Payment '!$E$3:$G$334579,3,0)</f>
        <v>MPG</v>
      </c>
      <c r="H989" s="124" t="str">
        <f>VLOOKUP(D989,'MPG Payment '!$E$3:$H$334579,4,0)</f>
        <v>Direct</v>
      </c>
      <c r="I989" s="88">
        <f>INDEX('MPG Payment '!$C:$C,MATCH('Shayak Income '!D989,'MPG Payment '!E:E,0))</f>
        <v>1066</v>
      </c>
      <c r="J989" s="88" t="str">
        <f>INDEX('MPG Payment '!$D:$D,MATCH('Shayak Income '!D989,'MPG Payment '!E:E,0))</f>
        <v>Gaighat</v>
      </c>
      <c r="K989" s="125" t="s">
        <v>1323</v>
      </c>
      <c r="L989" s="125">
        <v>46150</v>
      </c>
      <c r="M989" s="126">
        <f>SUMIF('MPG Payment '!$E$3:$E$34579,'Shayak Income '!D989,'MPG Payment '!$I$3:$I$34579)</f>
        <v>929.70000000000027</v>
      </c>
      <c r="N989" s="126">
        <f>SUMIF('MPG Payment '!$E$3:$E$34579,'Shayak Income '!D989,'MPG Payment '!$J$3:$J$34579)</f>
        <v>39240.9776283186</v>
      </c>
      <c r="O989" s="126">
        <f t="shared" si="362"/>
        <v>697.2750000000002</v>
      </c>
      <c r="P989" s="126">
        <f t="shared" si="363"/>
        <v>883.21500000000026</v>
      </c>
      <c r="Q989" s="126">
        <f>SUMIF('MPG Payment '!$E$3:$E$34579,'Shayak Income '!D989,'MPG Payment '!$S$3:$S$34579)</f>
        <v>282.69209073420001</v>
      </c>
      <c r="R989" s="126">
        <f t="shared" si="364"/>
        <v>1177.229328849558</v>
      </c>
      <c r="S989" s="126">
        <f t="shared" si="365"/>
        <v>294.01432884955773</v>
      </c>
      <c r="T989" s="126">
        <f t="shared" si="377"/>
        <v>92.970000000000027</v>
      </c>
      <c r="U989" s="127">
        <f>(((IF(K989="New",0,SUMIF('MPG Payment '!$E$3:$E$34579,'Shayak Income '!D989,'MPG Payment '!$AC$3:$AC$34579))))+0)+0</f>
        <v>0</v>
      </c>
      <c r="V989" s="127">
        <f t="shared" si="378"/>
        <v>1770</v>
      </c>
      <c r="W989" s="19">
        <v>0</v>
      </c>
      <c r="X989" s="19">
        <v>0</v>
      </c>
      <c r="Y989" s="128">
        <f>IFERROR(VLOOKUP(D989,'Monthly Deduction'!$M$2:$N$64,2,0),0)</f>
        <v>0</v>
      </c>
      <c r="Z989" s="128">
        <v>0</v>
      </c>
      <c r="AA989" s="126">
        <f>IFERROR(VLOOKUP(D989,'Monthly Deduction'!A:B,2,0),0)</f>
        <v>0</v>
      </c>
      <c r="AB989" s="129">
        <f t="shared" si="366"/>
        <v>1770</v>
      </c>
      <c r="AC989" s="130">
        <v>0</v>
      </c>
      <c r="AD989" s="35">
        <f t="shared" si="367"/>
        <v>1770</v>
      </c>
      <c r="AE989" s="166" t="str">
        <f t="shared" si="368"/>
        <v>Release</v>
      </c>
      <c r="AF989" s="127"/>
      <c r="AG989" s="18">
        <v>0</v>
      </c>
      <c r="AH989" s="120"/>
      <c r="AI989" s="238">
        <v>0</v>
      </c>
      <c r="AJ989" s="132"/>
      <c r="AK989" s="151">
        <v>324.09999999999997</v>
      </c>
      <c r="AL989" s="154">
        <f t="shared" si="369"/>
        <v>0</v>
      </c>
      <c r="AM989" s="155"/>
      <c r="AN989" s="19">
        <f t="shared" si="374"/>
        <v>1861</v>
      </c>
      <c r="AO989" s="118">
        <f>SUMIF('MPG Payment '!E:E,'Shayak Income '!D989,'MPG Payment '!AJ:AJ)</f>
        <v>0</v>
      </c>
      <c r="AP989" s="19">
        <f t="shared" si="375"/>
        <v>0</v>
      </c>
      <c r="AQ989" s="119">
        <f t="shared" si="370"/>
        <v>0</v>
      </c>
      <c r="AR989" s="91" t="s">
        <v>1168</v>
      </c>
      <c r="AS989" s="91">
        <f t="shared" si="376"/>
        <v>0</v>
      </c>
      <c r="AT989" s="118"/>
      <c r="AU989" s="118"/>
      <c r="AV989" s="118"/>
    </row>
    <row r="990" spans="1:48" s="20" customFormat="1" x14ac:dyDescent="0.25">
      <c r="A990" s="17">
        <f>IFERROR(VLOOKUP(D990,'Monthly Deduction'!$I$3:$J$957,2,0),0)</f>
        <v>65000</v>
      </c>
      <c r="B990" s="17">
        <f>IFERROR(VLOOKUP(D990,'Monthly Deduction'!$E$3:$F$957,2,0),0)</f>
        <v>0</v>
      </c>
      <c r="C990" s="17">
        <f t="shared" si="361"/>
        <v>65000</v>
      </c>
      <c r="D990" s="41">
        <v>10660005</v>
      </c>
      <c r="E990" s="122" t="str">
        <f>VLOOKUP(D990,'MPG Payment '!$E$3:$G$498218,2,0)</f>
        <v>GOMUKH UGHRA</v>
      </c>
      <c r="F990" s="146">
        <f>IFERROR(_xlfn.XLOOKUP(D990,'Monthly Deduction'!$I$3:$I$957,'Monthly Deduction'!$H$3:$H$957),0)</f>
        <v>0</v>
      </c>
      <c r="G990" s="123" t="str">
        <f>VLOOKUP(D990,'MPG Payment '!$E$3:$G$334579,3,0)</f>
        <v>MPG</v>
      </c>
      <c r="H990" s="124" t="str">
        <f>VLOOKUP(D990,'MPG Payment '!$E$3:$H$334579,4,0)</f>
        <v>Direct</v>
      </c>
      <c r="I990" s="88">
        <f>INDEX('MPG Payment '!$C:$C,MATCH('Shayak Income '!D990,'MPG Payment '!E:E,0))</f>
        <v>1066</v>
      </c>
      <c r="J990" s="88" t="str">
        <f>INDEX('MPG Payment '!$D:$D,MATCH('Shayak Income '!D990,'MPG Payment '!E:E,0))</f>
        <v>Gaighat</v>
      </c>
      <c r="K990" s="125" t="s">
        <v>1323</v>
      </c>
      <c r="L990" s="125">
        <v>46150</v>
      </c>
      <c r="M990" s="126">
        <f>SUMIF('MPG Payment '!$E$3:$E$34579,'Shayak Income '!D990,'MPG Payment '!$I$3:$I$34579)</f>
        <v>527.09999999999991</v>
      </c>
      <c r="N990" s="126">
        <f>SUMIF('MPG Payment '!$E$3:$E$34579,'Shayak Income '!D990,'MPG Payment '!$J$3:$J$34579)</f>
        <v>24266.115200239001</v>
      </c>
      <c r="O990" s="126">
        <f t="shared" si="362"/>
        <v>395.32499999999993</v>
      </c>
      <c r="P990" s="126">
        <f t="shared" si="363"/>
        <v>500.74499999999989</v>
      </c>
      <c r="Q990" s="126">
        <f>SUMIF('MPG Payment '!$E$3:$E$34579,'Shayak Income '!D990,'MPG Payment '!$S$3:$S$34579)</f>
        <v>120.0038635458</v>
      </c>
      <c r="R990" s="126">
        <f t="shared" si="364"/>
        <v>727.98345600717005</v>
      </c>
      <c r="S990" s="126">
        <f t="shared" si="365"/>
        <v>227.23845600717016</v>
      </c>
      <c r="T990" s="126">
        <f t="shared" si="377"/>
        <v>52.709999999999994</v>
      </c>
      <c r="U990" s="127">
        <f>(((IF(K990="New",0,SUMIF('MPG Payment '!$E$3:$E$34579,'Shayak Income '!D990,'MPG Payment '!$AC$3:$AC$34579))))+0)+0</f>
        <v>0</v>
      </c>
      <c r="V990" s="127">
        <f t="shared" si="378"/>
        <v>963</v>
      </c>
      <c r="W990" s="19">
        <v>0</v>
      </c>
      <c r="X990" s="19">
        <v>0</v>
      </c>
      <c r="Y990" s="128">
        <f>IFERROR(VLOOKUP(D990,'Monthly Deduction'!$M$2:$N$64,2,0),0)</f>
        <v>0</v>
      </c>
      <c r="Z990" s="128">
        <v>0</v>
      </c>
      <c r="AA990" s="126">
        <f>IFERROR(VLOOKUP(D990,'Monthly Deduction'!A:B,2,0),0)</f>
        <v>0</v>
      </c>
      <c r="AB990" s="129">
        <f t="shared" si="366"/>
        <v>963</v>
      </c>
      <c r="AC990" s="130">
        <v>0</v>
      </c>
      <c r="AD990" s="35">
        <f t="shared" si="367"/>
        <v>963</v>
      </c>
      <c r="AE990" s="166" t="str">
        <f t="shared" si="368"/>
        <v>Release</v>
      </c>
      <c r="AF990" s="127"/>
      <c r="AG990" s="18">
        <v>0</v>
      </c>
      <c r="AH990" s="132"/>
      <c r="AI990" s="238">
        <v>0</v>
      </c>
      <c r="AJ990" s="132"/>
      <c r="AK990" s="151">
        <v>258.29999999999995</v>
      </c>
      <c r="AL990" s="154">
        <f t="shared" si="369"/>
        <v>0</v>
      </c>
      <c r="AM990" s="155"/>
      <c r="AN990" s="19">
        <f t="shared" si="374"/>
        <v>1861</v>
      </c>
      <c r="AO990" s="118">
        <f>SUMIF('MPG Payment '!E:E,'Shayak Income '!D990,'MPG Payment '!AJ:AJ)</f>
        <v>0</v>
      </c>
      <c r="AP990" s="19">
        <f t="shared" si="375"/>
        <v>0</v>
      </c>
      <c r="AQ990" s="119">
        <f t="shared" si="370"/>
        <v>0</v>
      </c>
      <c r="AR990" s="91" t="s">
        <v>1168</v>
      </c>
      <c r="AS990" s="91">
        <f t="shared" si="376"/>
        <v>0</v>
      </c>
      <c r="AT990" s="118"/>
      <c r="AU990" s="118"/>
      <c r="AV990" s="118"/>
    </row>
    <row r="991" spans="1:48" s="20" customFormat="1" x14ac:dyDescent="0.25">
      <c r="A991" s="17">
        <f>IFERROR(VLOOKUP(D991,'Monthly Deduction'!$I$3:$J$957,2,0),0)</f>
        <v>65000</v>
      </c>
      <c r="B991" s="17">
        <f>IFERROR(VLOOKUP(D991,'Monthly Deduction'!$E$3:$F$957,2,0),0)</f>
        <v>0</v>
      </c>
      <c r="C991" s="17">
        <f t="shared" si="361"/>
        <v>65000</v>
      </c>
      <c r="D991" s="41">
        <v>10660006</v>
      </c>
      <c r="E991" s="122" t="str">
        <f>VLOOKUP(D991,'MPG Payment '!$E$3:$G$498218,2,0)</f>
        <v>GOMUKH BALUAHA</v>
      </c>
      <c r="F991" s="146">
        <f>IFERROR(_xlfn.XLOOKUP(D991,'Monthly Deduction'!$I$3:$I$957,'Monthly Deduction'!$H$3:$H$957),0)</f>
        <v>0</v>
      </c>
      <c r="G991" s="123" t="str">
        <f>VLOOKUP(D991,'MPG Payment '!$E$3:$G$334579,3,0)</f>
        <v>MPG</v>
      </c>
      <c r="H991" s="124" t="str">
        <f>VLOOKUP(D991,'MPG Payment '!$E$3:$H$334579,4,0)</f>
        <v>Direct</v>
      </c>
      <c r="I991" s="88">
        <f>INDEX('MPG Payment '!$C:$C,MATCH('Shayak Income '!D991,'MPG Payment '!E:E,0))</f>
        <v>1066</v>
      </c>
      <c r="J991" s="88" t="str">
        <f>INDEX('MPG Payment '!$D:$D,MATCH('Shayak Income '!D991,'MPG Payment '!E:E,0))</f>
        <v>Gaighat</v>
      </c>
      <c r="K991" s="125" t="s">
        <v>1323</v>
      </c>
      <c r="L991" s="125">
        <v>46150</v>
      </c>
      <c r="M991" s="126">
        <f>SUMIF('MPG Payment '!$E$3:$E$34579,'Shayak Income '!D991,'MPG Payment '!$I$3:$I$34579)</f>
        <v>585.9</v>
      </c>
      <c r="N991" s="126">
        <f>SUMIF('MPG Payment '!$E$3:$E$34579,'Shayak Income '!D991,'MPG Payment '!$J$3:$J$34579)</f>
        <v>24686.5202458938</v>
      </c>
      <c r="O991" s="126">
        <f t="shared" si="362"/>
        <v>439.42499999999995</v>
      </c>
      <c r="P991" s="126">
        <f t="shared" si="363"/>
        <v>556.6049999999999</v>
      </c>
      <c r="Q991" s="126">
        <f>SUMIF('MPG Payment '!$E$3:$E$34579,'Shayak Income '!D991,'MPG Payment '!$S$3:$S$34579)</f>
        <v>292.33411860000007</v>
      </c>
      <c r="R991" s="126">
        <f t="shared" si="364"/>
        <v>740.59560737681397</v>
      </c>
      <c r="S991" s="126">
        <f t="shared" si="365"/>
        <v>183.99060737681407</v>
      </c>
      <c r="T991" s="126">
        <f t="shared" si="377"/>
        <v>58.59</v>
      </c>
      <c r="U991" s="127">
        <f>(((IF(K991="New",0,SUMIF('MPG Payment '!$E$3:$E$34579,'Shayak Income '!D991,'MPG Payment '!$AC$3:$AC$34579))))+0)+0</f>
        <v>0</v>
      </c>
      <c r="V991" s="127">
        <f t="shared" si="378"/>
        <v>1230</v>
      </c>
      <c r="W991" s="19">
        <v>0</v>
      </c>
      <c r="X991" s="19">
        <v>0</v>
      </c>
      <c r="Y991" s="128">
        <f>IFERROR(VLOOKUP(D991,'Monthly Deduction'!$M$2:$N$64,2,0),0)</f>
        <v>0</v>
      </c>
      <c r="Z991" s="128">
        <v>0</v>
      </c>
      <c r="AA991" s="126">
        <f>IFERROR(VLOOKUP(D991,'Monthly Deduction'!A:B,2,0),0)</f>
        <v>0</v>
      </c>
      <c r="AB991" s="129">
        <f t="shared" si="366"/>
        <v>1230</v>
      </c>
      <c r="AC991" s="130">
        <v>0</v>
      </c>
      <c r="AD991" s="35">
        <f t="shared" si="367"/>
        <v>1230</v>
      </c>
      <c r="AE991" s="166" t="str">
        <f t="shared" si="368"/>
        <v>Release</v>
      </c>
      <c r="AF991" s="127"/>
      <c r="AG991" s="18">
        <v>0</v>
      </c>
      <c r="AH991" s="120"/>
      <c r="AI991" s="238">
        <v>0</v>
      </c>
      <c r="AJ991" s="132"/>
      <c r="AK991" s="151">
        <v>291.80000000000007</v>
      </c>
      <c r="AL991" s="154">
        <f t="shared" si="369"/>
        <v>0</v>
      </c>
      <c r="AM991" s="155"/>
      <c r="AN991" s="19">
        <f t="shared" si="374"/>
        <v>1861</v>
      </c>
      <c r="AO991" s="118">
        <f>SUMIF('MPG Payment '!E:E,'Shayak Income '!D991,'MPG Payment '!AJ:AJ)</f>
        <v>0</v>
      </c>
      <c r="AP991" s="19">
        <f t="shared" si="375"/>
        <v>0</v>
      </c>
      <c r="AQ991" s="119">
        <f t="shared" si="370"/>
        <v>0</v>
      </c>
      <c r="AR991" s="91" t="s">
        <v>1168</v>
      </c>
      <c r="AS991" s="91">
        <f t="shared" si="376"/>
        <v>0</v>
      </c>
      <c r="AT991" s="118"/>
      <c r="AU991" s="118"/>
      <c r="AV991" s="118"/>
    </row>
    <row r="992" spans="1:48" s="20" customFormat="1" x14ac:dyDescent="0.25">
      <c r="A992" s="17">
        <f>IFERROR(VLOOKUP(D992,'Monthly Deduction'!$I$3:$J$957,2,0),0)</f>
        <v>0</v>
      </c>
      <c r="B992" s="17">
        <f>IFERROR(VLOOKUP(D992,'Monthly Deduction'!$E$3:$F$957,2,0),0)</f>
        <v>0</v>
      </c>
      <c r="C992" s="17">
        <f t="shared" si="361"/>
        <v>0</v>
      </c>
      <c r="D992" s="41">
        <v>10660007</v>
      </c>
      <c r="E992" s="122" t="str">
        <f>VLOOKUP(D992,'MPG Payment '!$E$3:$G$498218,2,0)</f>
        <v>GOMUKH DHAB WEST</v>
      </c>
      <c r="F992" s="146">
        <f>IFERROR(_xlfn.XLOOKUP(D992,'Monthly Deduction'!$I$3:$I$957,'Monthly Deduction'!$H$3:$H$957),0)</f>
        <v>0</v>
      </c>
      <c r="G992" s="123" t="str">
        <f>VLOOKUP(D992,'MPG Payment '!$E$3:$G$334579,3,0)</f>
        <v>vlc</v>
      </c>
      <c r="H992" s="124" t="str">
        <f>VLOOKUP(D992,'MPG Payment '!$E$3:$H$334579,4,0)</f>
        <v>Indirect</v>
      </c>
      <c r="I992" s="88">
        <f>INDEX('MPG Payment '!$C:$C,MATCH('Shayak Income '!D992,'MPG Payment '!E:E,0))</f>
        <v>1066</v>
      </c>
      <c r="J992" s="88" t="str">
        <f>INDEX('MPG Payment '!$D:$D,MATCH('Shayak Income '!D992,'MPG Payment '!E:E,0))</f>
        <v>Gaighat</v>
      </c>
      <c r="K992" s="125" t="s">
        <v>1323</v>
      </c>
      <c r="L992" s="125">
        <v>46151</v>
      </c>
      <c r="M992" s="126">
        <f>SUMIF('MPG Payment '!$E$3:$E$34579,'Shayak Income '!D992,'MPG Payment '!$I$3:$I$34579)</f>
        <v>365.70000000000005</v>
      </c>
      <c r="N992" s="126">
        <f>SUMIF('MPG Payment '!$E$3:$E$34579,'Shayak Income '!D992,'MPG Payment '!$J$3:$J$34579)</f>
        <v>13999.777928864001</v>
      </c>
      <c r="O992" s="126">
        <f t="shared" si="362"/>
        <v>274.27500000000003</v>
      </c>
      <c r="P992" s="126">
        <f t="shared" si="363"/>
        <v>347.41500000000002</v>
      </c>
      <c r="Q992" s="126">
        <f>SUMIF('MPG Payment '!$E$3:$E$34579,'Shayak Income '!D992,'MPG Payment '!$S$3:$S$34579)</f>
        <v>0</v>
      </c>
      <c r="R992" s="126">
        <f t="shared" si="364"/>
        <v>419.99333786592001</v>
      </c>
      <c r="S992" s="126">
        <f t="shared" si="365"/>
        <v>72.578337865919991</v>
      </c>
      <c r="T992" s="126">
        <f t="shared" si="377"/>
        <v>36.570000000000007</v>
      </c>
      <c r="U992" s="127">
        <f>(((IF(K992="New",0,SUMIF('MPG Payment '!$E$3:$E$34579,'Shayak Income '!D992,'MPG Payment '!$AC$3:$AC$34579))))+0)+0</f>
        <v>0</v>
      </c>
      <c r="V992" s="127">
        <f t="shared" si="378"/>
        <v>585</v>
      </c>
      <c r="W992" s="19">
        <v>0</v>
      </c>
      <c r="X992" s="19">
        <v>0</v>
      </c>
      <c r="Y992" s="128">
        <f>IFERROR(VLOOKUP(D992,'Monthly Deduction'!$M$2:$N$64,2,0),0)</f>
        <v>0</v>
      </c>
      <c r="Z992" s="128">
        <v>0</v>
      </c>
      <c r="AA992" s="126">
        <f>IFERROR(VLOOKUP(D992,'Monthly Deduction'!A:B,2,0),0)</f>
        <v>0</v>
      </c>
      <c r="AB992" s="129">
        <f t="shared" si="366"/>
        <v>585</v>
      </c>
      <c r="AC992" s="130">
        <v>0</v>
      </c>
      <c r="AD992" s="35">
        <f t="shared" si="367"/>
        <v>585</v>
      </c>
      <c r="AE992" s="166" t="str">
        <f t="shared" si="368"/>
        <v>Release</v>
      </c>
      <c r="AF992" s="127"/>
      <c r="AG992" s="18">
        <v>0</v>
      </c>
      <c r="AH992" s="120"/>
      <c r="AI992" s="238">
        <v>0</v>
      </c>
      <c r="AJ992" s="132"/>
      <c r="AK992" s="151">
        <v>19.700000000000003</v>
      </c>
      <c r="AL992" s="154">
        <f t="shared" si="369"/>
        <v>0</v>
      </c>
      <c r="AM992" s="155"/>
      <c r="AN992" s="19">
        <f t="shared" si="374"/>
        <v>0</v>
      </c>
      <c r="AO992" s="118">
        <f>SUMIF('MPG Payment '!E:E,'Shayak Income '!D992,'MPG Payment '!AJ:AJ)</f>
        <v>0</v>
      </c>
      <c r="AP992" s="19">
        <f t="shared" si="375"/>
        <v>0</v>
      </c>
      <c r="AQ992" s="119">
        <f t="shared" si="370"/>
        <v>0</v>
      </c>
      <c r="AR992" s="91" t="s">
        <v>1168</v>
      </c>
      <c r="AS992" s="91">
        <f t="shared" si="376"/>
        <v>0</v>
      </c>
      <c r="AT992" s="118"/>
      <c r="AU992" s="118"/>
      <c r="AV992" s="118"/>
    </row>
    <row r="993" spans="1:48" s="20" customFormat="1" x14ac:dyDescent="0.25">
      <c r="A993" s="17">
        <f>IFERROR(VLOOKUP(D993,'Monthly Deduction'!$I$3:$J$957,2,0),0)</f>
        <v>0</v>
      </c>
      <c r="B993" s="17">
        <f>IFERROR(VLOOKUP(D993,'Monthly Deduction'!$E$3:$F$957,2,0),0)</f>
        <v>0</v>
      </c>
      <c r="C993" s="17">
        <f t="shared" si="361"/>
        <v>0</v>
      </c>
      <c r="D993" s="41">
        <v>10660009</v>
      </c>
      <c r="E993" s="122" t="str">
        <f>VLOOKUP(D993,'MPG Payment '!$E$3:$G$498218,2,0)</f>
        <v>GOMUKH JATMALPUR WEST</v>
      </c>
      <c r="F993" s="146">
        <f>IFERROR(_xlfn.XLOOKUP(D993,'Monthly Deduction'!$I$3:$I$957,'Monthly Deduction'!$H$3:$H$957),0)</f>
        <v>0</v>
      </c>
      <c r="G993" s="123" t="str">
        <f>VLOOKUP(D993,'MPG Payment '!$E$3:$G$334579,3,0)</f>
        <v>vlc</v>
      </c>
      <c r="H993" s="124" t="str">
        <f>VLOOKUP(D993,'MPG Payment '!$E$3:$H$334579,4,0)</f>
        <v>Indirect</v>
      </c>
      <c r="I993" s="88">
        <f>INDEX('MPG Payment '!$C:$C,MATCH('Shayak Income '!D993,'MPG Payment '!E:E,0))</f>
        <v>1066</v>
      </c>
      <c r="J993" s="88" t="str">
        <f>INDEX('MPG Payment '!$D:$D,MATCH('Shayak Income '!D993,'MPG Payment '!E:E,0))</f>
        <v>Gaighat</v>
      </c>
      <c r="K993" s="125" t="s">
        <v>1323</v>
      </c>
      <c r="L993" s="125">
        <v>46150</v>
      </c>
      <c r="M993" s="126">
        <f>SUMIF('MPG Payment '!$E$3:$E$34579,'Shayak Income '!D993,'MPG Payment '!$I$3:$I$34579)</f>
        <v>140.89999999999998</v>
      </c>
      <c r="N993" s="126">
        <f>SUMIF('MPG Payment '!$E$3:$E$34579,'Shayak Income '!D993,'MPG Payment '!$J$3:$J$34579)</f>
        <v>4964.2829257680005</v>
      </c>
      <c r="O993" s="126">
        <f t="shared" si="362"/>
        <v>105.67499999999998</v>
      </c>
      <c r="P993" s="126">
        <f t="shared" si="363"/>
        <v>133.85499999999996</v>
      </c>
      <c r="Q993" s="126">
        <f>SUMIF('MPG Payment '!$E$3:$E$34579,'Shayak Income '!D993,'MPG Payment '!$S$3:$S$34579)</f>
        <v>0</v>
      </c>
      <c r="R993" s="126">
        <f t="shared" si="364"/>
        <v>148.92848777304002</v>
      </c>
      <c r="S993" s="126">
        <f t="shared" si="365"/>
        <v>15.073487773040057</v>
      </c>
      <c r="T993" s="126">
        <f t="shared" si="377"/>
        <v>14.089999999999998</v>
      </c>
      <c r="U993" s="127">
        <f>(((IF(K993="New",0,SUMIF('MPG Payment '!$E$3:$E$34579,'Shayak Income '!D993,'MPG Payment '!$AC$3:$AC$34579))))+0)+0</f>
        <v>0</v>
      </c>
      <c r="V993" s="127">
        <f t="shared" si="378"/>
        <v>225</v>
      </c>
      <c r="W993" s="19">
        <v>0</v>
      </c>
      <c r="X993" s="19">
        <v>0</v>
      </c>
      <c r="Y993" s="128">
        <f>IFERROR(VLOOKUP(D993,'Monthly Deduction'!$M$2:$N$64,2,0),0)</f>
        <v>0</v>
      </c>
      <c r="Z993" s="128">
        <v>0</v>
      </c>
      <c r="AA993" s="126">
        <f>IFERROR(VLOOKUP(D993,'Monthly Deduction'!A:B,2,0),0)</f>
        <v>0</v>
      </c>
      <c r="AB993" s="129">
        <f t="shared" si="366"/>
        <v>225</v>
      </c>
      <c r="AC993" s="130">
        <f>AB993</f>
        <v>225</v>
      </c>
      <c r="AD993" s="35">
        <f t="shared" si="367"/>
        <v>0</v>
      </c>
      <c r="AE993" s="166" t="str">
        <f t="shared" si="368"/>
        <v>Yes</v>
      </c>
      <c r="AF993" s="127"/>
      <c r="AG993" s="18">
        <v>0</v>
      </c>
      <c r="AH993" s="132" t="s">
        <v>1648</v>
      </c>
      <c r="AI993" s="238">
        <v>0</v>
      </c>
      <c r="AJ993" s="132"/>
      <c r="AK993" s="151">
        <v>0</v>
      </c>
      <c r="AL993" s="154">
        <f t="shared" si="369"/>
        <v>0</v>
      </c>
      <c r="AM993" s="155"/>
      <c r="AN993" s="19">
        <f t="shared" si="374"/>
        <v>0</v>
      </c>
      <c r="AO993" s="118">
        <f>SUMIF('MPG Payment '!E:E,'Shayak Income '!D993,'MPG Payment '!AJ:AJ)</f>
        <v>0</v>
      </c>
      <c r="AP993" s="19">
        <f t="shared" si="375"/>
        <v>0</v>
      </c>
      <c r="AQ993" s="119">
        <f t="shared" si="370"/>
        <v>0</v>
      </c>
      <c r="AR993" s="91" t="s">
        <v>1168</v>
      </c>
      <c r="AS993" s="91">
        <f t="shared" si="376"/>
        <v>0</v>
      </c>
      <c r="AT993" s="118"/>
      <c r="AU993" s="118"/>
      <c r="AV993" s="118"/>
    </row>
    <row r="994" spans="1:48" s="20" customFormat="1" x14ac:dyDescent="0.25">
      <c r="A994" s="17">
        <f>IFERROR(VLOOKUP(D994,'Monthly Deduction'!$I$3:$J$957,2,0),0)</f>
        <v>0</v>
      </c>
      <c r="B994" s="17">
        <f>IFERROR(VLOOKUP(D994,'Monthly Deduction'!$E$3:$F$957,2,0),0)</f>
        <v>0</v>
      </c>
      <c r="C994" s="17">
        <f t="shared" si="361"/>
        <v>0</v>
      </c>
      <c r="D994" s="41">
        <v>10660010</v>
      </c>
      <c r="E994" s="122" t="str">
        <f>VLOOKUP(D994,'MPG Payment '!$E$3:$G$498218,2,0)</f>
        <v>GOMUKH HAYAGHAT WEST</v>
      </c>
      <c r="F994" s="146">
        <f>IFERROR(_xlfn.XLOOKUP(D994,'Monthly Deduction'!$I$3:$I$957,'Monthly Deduction'!$H$3:$H$957),0)</f>
        <v>0</v>
      </c>
      <c r="G994" s="123" t="str">
        <f>VLOOKUP(D994,'MPG Payment '!$E$3:$G$334579,3,0)</f>
        <v>vlc</v>
      </c>
      <c r="H994" s="124" t="str">
        <f>VLOOKUP(D994,'MPG Payment '!$E$3:$H$334579,4,0)</f>
        <v>Indirect</v>
      </c>
      <c r="I994" s="88">
        <f>INDEX('MPG Payment '!$C:$C,MATCH('Shayak Income '!D994,'MPG Payment '!E:E,0))</f>
        <v>1066</v>
      </c>
      <c r="J994" s="88" t="str">
        <f>INDEX('MPG Payment '!$D:$D,MATCH('Shayak Income '!D994,'MPG Payment '!E:E,0))</f>
        <v>Gaighat</v>
      </c>
      <c r="K994" s="125" t="s">
        <v>1323</v>
      </c>
      <c r="L994" s="125">
        <v>46150</v>
      </c>
      <c r="M994" s="126">
        <f>SUMIF('MPG Payment '!$E$3:$E$34579,'Shayak Income '!D994,'MPG Payment '!$I$3:$I$34579)</f>
        <v>10466.300000000003</v>
      </c>
      <c r="N994" s="126">
        <f>SUMIF('MPG Payment '!$E$3:$E$34579,'Shayak Income '!D994,'MPG Payment '!$J$3:$J$34579)</f>
        <v>424293.11693859089</v>
      </c>
      <c r="O994" s="126">
        <f t="shared" si="362"/>
        <v>7849.7250000000022</v>
      </c>
      <c r="P994" s="126">
        <f t="shared" si="363"/>
        <v>9942.9850000000024</v>
      </c>
      <c r="Q994" s="126">
        <f>SUMIF('MPG Payment '!$E$3:$E$34579,'Shayak Income '!D994,'MPG Payment '!$S$3:$S$34579)</f>
        <v>0</v>
      </c>
      <c r="R994" s="126">
        <f t="shared" si="364"/>
        <v>12728.793508157727</v>
      </c>
      <c r="S994" s="126">
        <f t="shared" si="365"/>
        <v>2785.8085081577246</v>
      </c>
      <c r="T994" s="126">
        <f t="shared" si="377"/>
        <v>1046.6300000000003</v>
      </c>
      <c r="U994" s="127">
        <f>(((IF(K994="New",0,SUMIF('MPG Payment '!$E$3:$E$34579,'Shayak Income '!D994,'MPG Payment '!$AC$3:$AC$34579))))+0)+0</f>
        <v>0</v>
      </c>
      <c r="V994" s="127">
        <f t="shared" si="378"/>
        <v>16746</v>
      </c>
      <c r="W994" s="19">
        <v>0</v>
      </c>
      <c r="X994" s="19">
        <v>0</v>
      </c>
      <c r="Y994" s="128">
        <f>IFERROR(VLOOKUP(D994,'Monthly Deduction'!$M$2:$N$64,2,0),0)</f>
        <v>0</v>
      </c>
      <c r="Z994" s="128">
        <v>0</v>
      </c>
      <c r="AA994" s="126">
        <f>IFERROR(VLOOKUP(D994,'Monthly Deduction'!A:B,2,0),0)</f>
        <v>0</v>
      </c>
      <c r="AB994" s="129">
        <f t="shared" si="366"/>
        <v>16746</v>
      </c>
      <c r="AC994" s="130">
        <v>0</v>
      </c>
      <c r="AD994" s="35">
        <f t="shared" si="367"/>
        <v>16746</v>
      </c>
      <c r="AE994" s="166" t="str">
        <f t="shared" si="368"/>
        <v>Release</v>
      </c>
      <c r="AF994" s="127"/>
      <c r="AG994" s="18">
        <v>0</v>
      </c>
      <c r="AH994" s="120"/>
      <c r="AI994" s="238">
        <v>0</v>
      </c>
      <c r="AJ994" s="132"/>
      <c r="AK994" s="151">
        <v>4634.3</v>
      </c>
      <c r="AL994" s="154">
        <f t="shared" si="369"/>
        <v>0</v>
      </c>
      <c r="AM994" s="155"/>
      <c r="AN994" s="19">
        <f t="shared" si="374"/>
        <v>0</v>
      </c>
      <c r="AO994" s="118">
        <f>SUMIF('MPG Payment '!E:E,'Shayak Income '!D994,'MPG Payment '!AJ:AJ)</f>
        <v>0</v>
      </c>
      <c r="AP994" s="19">
        <f t="shared" si="375"/>
        <v>0</v>
      </c>
      <c r="AQ994" s="119">
        <f t="shared" si="370"/>
        <v>0</v>
      </c>
      <c r="AR994" s="91" t="s">
        <v>1168</v>
      </c>
      <c r="AS994" s="91">
        <f t="shared" si="376"/>
        <v>0</v>
      </c>
      <c r="AT994" s="118"/>
      <c r="AU994" s="118"/>
      <c r="AV994" s="118"/>
    </row>
    <row r="995" spans="1:48" s="20" customFormat="1" x14ac:dyDescent="0.25">
      <c r="A995" s="17">
        <f>IFERROR(VLOOKUP(D995,'Monthly Deduction'!$I$3:$J$957,2,0),0)</f>
        <v>0</v>
      </c>
      <c r="B995" s="17">
        <f>IFERROR(VLOOKUP(D995,'Monthly Deduction'!$E$3:$F$957,2,0),0)</f>
        <v>0</v>
      </c>
      <c r="C995" s="17">
        <f t="shared" si="361"/>
        <v>0</v>
      </c>
      <c r="D995" s="41">
        <v>10660011</v>
      </c>
      <c r="E995" s="122" t="str">
        <f>VLOOKUP(D995,'MPG Payment '!$E$3:$G$498218,2,0)</f>
        <v>GOMUKH GHOGHARAHA</v>
      </c>
      <c r="F995" s="146">
        <f>IFERROR(_xlfn.XLOOKUP(D995,'Monthly Deduction'!$I$3:$I$957,'Monthly Deduction'!$H$3:$H$957),0)</f>
        <v>0</v>
      </c>
      <c r="G995" s="123" t="str">
        <f>VLOOKUP(D995,'MPG Payment '!$E$3:$G$334579,3,0)</f>
        <v>vlc</v>
      </c>
      <c r="H995" s="124" t="str">
        <f>VLOOKUP(D995,'MPG Payment '!$E$3:$H$334579,4,0)</f>
        <v>Indirect</v>
      </c>
      <c r="I995" s="88">
        <f>INDEX('MPG Payment '!$C:$C,MATCH('Shayak Income '!D995,'MPG Payment '!E:E,0))</f>
        <v>1066</v>
      </c>
      <c r="J995" s="88" t="str">
        <f>INDEX('MPG Payment '!$D:$D,MATCH('Shayak Income '!D995,'MPG Payment '!E:E,0))</f>
        <v>Gaighat</v>
      </c>
      <c r="K995" s="125" t="s">
        <v>1323</v>
      </c>
      <c r="L995" s="125">
        <v>46150</v>
      </c>
      <c r="M995" s="126">
        <f>SUMIF('MPG Payment '!$E$3:$E$34579,'Shayak Income '!D995,'MPG Payment '!$I$3:$I$34579)</f>
        <v>2812.3</v>
      </c>
      <c r="N995" s="126">
        <f>SUMIF('MPG Payment '!$E$3:$E$34579,'Shayak Income '!D995,'MPG Payment '!$J$3:$J$34579)</f>
        <v>110364.2505838756</v>
      </c>
      <c r="O995" s="126">
        <f t="shared" si="362"/>
        <v>2109.2250000000004</v>
      </c>
      <c r="P995" s="126">
        <f t="shared" si="363"/>
        <v>2671.6849999999999</v>
      </c>
      <c r="Q995" s="126">
        <f>SUMIF('MPG Payment '!$E$3:$E$34579,'Shayak Income '!D995,'MPG Payment '!$S$3:$S$34579)</f>
        <v>0</v>
      </c>
      <c r="R995" s="126">
        <f t="shared" si="364"/>
        <v>3310.9275175162679</v>
      </c>
      <c r="S995" s="126">
        <f t="shared" si="365"/>
        <v>639.24251751626798</v>
      </c>
      <c r="T995" s="126">
        <f t="shared" si="377"/>
        <v>281.23</v>
      </c>
      <c r="U995" s="127">
        <f>(((IF(K995="New",0,SUMIF('MPG Payment '!$E$3:$E$34579,'Shayak Income '!D995,'MPG Payment '!$AC$3:$AC$34579))))+0)+0</f>
        <v>0</v>
      </c>
      <c r="V995" s="127">
        <f t="shared" si="378"/>
        <v>4500</v>
      </c>
      <c r="W995" s="19">
        <v>0</v>
      </c>
      <c r="X995" s="19">
        <v>0</v>
      </c>
      <c r="Y995" s="128">
        <f>IFERROR(VLOOKUP(D995,'Monthly Deduction'!$M$2:$N$64,2,0),0)</f>
        <v>0</v>
      </c>
      <c r="Z995" s="128">
        <v>0</v>
      </c>
      <c r="AA995" s="126">
        <f>IFERROR(VLOOKUP(D995,'Monthly Deduction'!A:B,2,0),0)</f>
        <v>0</v>
      </c>
      <c r="AB995" s="129">
        <f t="shared" si="366"/>
        <v>4500</v>
      </c>
      <c r="AC995" s="130">
        <v>0</v>
      </c>
      <c r="AD995" s="35">
        <f t="shared" si="367"/>
        <v>4500</v>
      </c>
      <c r="AE995" s="166" t="str">
        <f t="shared" si="368"/>
        <v>Release</v>
      </c>
      <c r="AF995" s="127"/>
      <c r="AG995" s="18">
        <v>0</v>
      </c>
      <c r="AH995" s="120"/>
      <c r="AI995" s="238">
        <v>0</v>
      </c>
      <c r="AJ995" s="132"/>
      <c r="AK995" s="151">
        <v>1251.3</v>
      </c>
      <c r="AL995" s="154">
        <f t="shared" si="369"/>
        <v>0</v>
      </c>
      <c r="AM995" s="155"/>
      <c r="AN995" s="19">
        <f t="shared" si="374"/>
        <v>0</v>
      </c>
      <c r="AO995" s="118">
        <f>SUMIF('MPG Payment '!E:E,'Shayak Income '!D995,'MPG Payment '!AJ:AJ)</f>
        <v>0</v>
      </c>
      <c r="AP995" s="19">
        <f t="shared" si="375"/>
        <v>0</v>
      </c>
      <c r="AQ995" s="119">
        <f t="shared" si="370"/>
        <v>0</v>
      </c>
      <c r="AR995" s="91" t="s">
        <v>1168</v>
      </c>
      <c r="AS995" s="91">
        <f t="shared" si="376"/>
        <v>0</v>
      </c>
      <c r="AT995" s="118"/>
      <c r="AU995" s="118"/>
      <c r="AV995" s="118"/>
    </row>
    <row r="996" spans="1:48" s="20" customFormat="1" x14ac:dyDescent="0.25">
      <c r="A996" s="17">
        <f>IFERROR(VLOOKUP(D996,'Monthly Deduction'!$I$3:$J$957,2,0),0)</f>
        <v>65000</v>
      </c>
      <c r="B996" s="17">
        <f>IFERROR(VLOOKUP(D996,'Monthly Deduction'!$E$3:$F$957,2,0),0)</f>
        <v>0</v>
      </c>
      <c r="C996" s="17">
        <f t="shared" si="361"/>
        <v>65000</v>
      </c>
      <c r="D996" s="41">
        <v>10660013</v>
      </c>
      <c r="E996" s="122" t="str">
        <f>VLOOKUP(D996,'MPG Payment '!$E$3:$G$498218,2,0)</f>
        <v>GOMUKH MORWARA</v>
      </c>
      <c r="F996" s="146">
        <f>IFERROR(_xlfn.XLOOKUP(D996,'Monthly Deduction'!$I$3:$I$957,'Monthly Deduction'!$H$3:$H$957),0)</f>
        <v>0</v>
      </c>
      <c r="G996" s="123" t="str">
        <f>VLOOKUP(D996,'MPG Payment '!$E$3:$G$334579,3,0)</f>
        <v>MPG</v>
      </c>
      <c r="H996" s="124" t="str">
        <f>VLOOKUP(D996,'MPG Payment '!$E$3:$H$334579,4,0)</f>
        <v>Direct</v>
      </c>
      <c r="I996" s="88">
        <f>INDEX('MPG Payment '!$C:$C,MATCH('Shayak Income '!D996,'MPG Payment '!E:E,0))</f>
        <v>1066</v>
      </c>
      <c r="J996" s="88" t="str">
        <f>INDEX('MPG Payment '!$D:$D,MATCH('Shayak Income '!D996,'MPG Payment '!E:E,0))</f>
        <v>Gaighat</v>
      </c>
      <c r="K996" s="125" t="s">
        <v>1323</v>
      </c>
      <c r="L996" s="125">
        <v>46150</v>
      </c>
      <c r="M996" s="126">
        <f>SUMIF('MPG Payment '!$E$3:$E$34579,'Shayak Income '!D996,'MPG Payment '!$I$3:$I$34579)</f>
        <v>984.8</v>
      </c>
      <c r="N996" s="126">
        <f>SUMIF('MPG Payment '!$E$3:$E$34579,'Shayak Income '!D996,'MPG Payment '!$J$3:$J$34579)</f>
        <v>39778.098003170002</v>
      </c>
      <c r="O996" s="126">
        <f t="shared" si="362"/>
        <v>738.59999999999991</v>
      </c>
      <c r="P996" s="126">
        <f t="shared" si="363"/>
        <v>935.56</v>
      </c>
      <c r="Q996" s="126">
        <f>SUMIF('MPG Payment '!$E$3:$E$34579,'Shayak Income '!D996,'MPG Payment '!$S$3:$S$34579)</f>
        <v>0</v>
      </c>
      <c r="R996" s="126">
        <f t="shared" si="364"/>
        <v>1193.3429400950999</v>
      </c>
      <c r="S996" s="126">
        <f t="shared" si="365"/>
        <v>257.7829400951</v>
      </c>
      <c r="T996" s="126">
        <f t="shared" si="377"/>
        <v>98.48</v>
      </c>
      <c r="U996" s="127">
        <f>(((IF(K996="New",0,SUMIF('MPG Payment '!$E$3:$E$34579,'Shayak Income '!D996,'MPG Payment '!$AC$3:$AC$34579))))+0)+0</f>
        <v>0</v>
      </c>
      <c r="V996" s="127">
        <f t="shared" si="378"/>
        <v>1576</v>
      </c>
      <c r="W996" s="19">
        <v>0</v>
      </c>
      <c r="X996" s="19">
        <v>0</v>
      </c>
      <c r="Y996" s="128">
        <f>IFERROR(VLOOKUP(D996,'Monthly Deduction'!$M$2:$N$64,2,0),0)</f>
        <v>0</v>
      </c>
      <c r="Z996" s="128">
        <v>0</v>
      </c>
      <c r="AA996" s="126">
        <f>IFERROR(VLOOKUP(D996,'Monthly Deduction'!A:B,2,0),0)</f>
        <v>0</v>
      </c>
      <c r="AB996" s="129">
        <f t="shared" si="366"/>
        <v>1576</v>
      </c>
      <c r="AC996" s="130">
        <v>0</v>
      </c>
      <c r="AD996" s="35">
        <f t="shared" si="367"/>
        <v>1576</v>
      </c>
      <c r="AE996" s="166" t="str">
        <f t="shared" si="368"/>
        <v>Release</v>
      </c>
      <c r="AF996" s="127"/>
      <c r="AG996" s="18">
        <v>0</v>
      </c>
      <c r="AH996" s="120"/>
      <c r="AI996" s="238">
        <v>0</v>
      </c>
      <c r="AJ996" s="132"/>
      <c r="AK996" s="151">
        <v>319.5</v>
      </c>
      <c r="AL996" s="154">
        <f t="shared" si="369"/>
        <v>0</v>
      </c>
      <c r="AM996" s="155"/>
      <c r="AN996" s="19">
        <f t="shared" si="374"/>
        <v>1861</v>
      </c>
      <c r="AO996" s="118">
        <f>SUMIF('MPG Payment '!E:E,'Shayak Income '!D996,'MPG Payment '!AJ:AJ)</f>
        <v>0</v>
      </c>
      <c r="AP996" s="19">
        <f t="shared" si="375"/>
        <v>0</v>
      </c>
      <c r="AQ996" s="119">
        <f t="shared" si="370"/>
        <v>0</v>
      </c>
      <c r="AR996" s="91" t="s">
        <v>1168</v>
      </c>
      <c r="AS996" s="91">
        <f t="shared" si="376"/>
        <v>0</v>
      </c>
      <c r="AT996" s="118"/>
      <c r="AU996" s="118"/>
      <c r="AV996" s="118"/>
    </row>
    <row r="997" spans="1:48" s="20" customFormat="1" x14ac:dyDescent="0.25">
      <c r="A997" s="17">
        <f>IFERROR(VLOOKUP(D997,'Monthly Deduction'!$I$3:$J$957,2,0),0)</f>
        <v>0</v>
      </c>
      <c r="B997" s="17">
        <f>IFERROR(VLOOKUP(D997,'Monthly Deduction'!$E$3:$F$957,2,0),0)</f>
        <v>0</v>
      </c>
      <c r="C997" s="17">
        <f t="shared" si="361"/>
        <v>0</v>
      </c>
      <c r="D997" s="41">
        <v>10660015</v>
      </c>
      <c r="E997" s="122" t="str">
        <f>VLOOKUP(D997,'MPG Payment '!$E$3:$G$498218,2,0)</f>
        <v>GOMUKH NIYAMCHAKHAIDAR</v>
      </c>
      <c r="F997" s="146">
        <f>IFERROR(_xlfn.XLOOKUP(D997,'Monthly Deduction'!$I$3:$I$957,'Monthly Deduction'!$H$3:$H$957),0)</f>
        <v>0</v>
      </c>
      <c r="G997" s="123" t="str">
        <f>VLOOKUP(D997,'MPG Payment '!$E$3:$G$334579,3,0)</f>
        <v>vlc</v>
      </c>
      <c r="H997" s="124" t="str">
        <f>VLOOKUP(D997,'MPG Payment '!$E$3:$H$334579,4,0)</f>
        <v>Indirect</v>
      </c>
      <c r="I997" s="88">
        <f>INDEX('MPG Payment '!$C:$C,MATCH('Shayak Income '!D997,'MPG Payment '!E:E,0))</f>
        <v>1066</v>
      </c>
      <c r="J997" s="88" t="str">
        <f>INDEX('MPG Payment '!$D:$D,MATCH('Shayak Income '!D997,'MPG Payment '!E:E,0))</f>
        <v>Gaighat</v>
      </c>
      <c r="K997" s="125" t="s">
        <v>1323</v>
      </c>
      <c r="L997" s="125">
        <v>46150</v>
      </c>
      <c r="M997" s="126">
        <f>SUMIF('MPG Payment '!$E$3:$E$34579,'Shayak Income '!D997,'MPG Payment '!$I$3:$I$34579)</f>
        <v>1666.3</v>
      </c>
      <c r="N997" s="126">
        <f>SUMIF('MPG Payment '!$E$3:$E$34579,'Shayak Income '!D997,'MPG Payment '!$J$3:$J$34579)</f>
        <v>60202.794456115007</v>
      </c>
      <c r="O997" s="126">
        <f t="shared" si="362"/>
        <v>1249.7249999999999</v>
      </c>
      <c r="P997" s="126">
        <f t="shared" si="363"/>
        <v>1582.9849999999999</v>
      </c>
      <c r="Q997" s="126">
        <f>SUMIF('MPG Payment '!$E$3:$E$34579,'Shayak Income '!D997,'MPG Payment '!$S$3:$S$34579)</f>
        <v>0</v>
      </c>
      <c r="R997" s="126">
        <f t="shared" si="364"/>
        <v>1806.0838336834502</v>
      </c>
      <c r="S997" s="126">
        <f t="shared" si="365"/>
        <v>223.09883368345027</v>
      </c>
      <c r="T997" s="126">
        <f t="shared" si="377"/>
        <v>166.63</v>
      </c>
      <c r="U997" s="127">
        <f>(((IF(K997="New",0,SUMIF('MPG Payment '!$E$3:$E$34579,'Shayak Income '!D997,'MPG Payment '!$AC$3:$AC$34579))))+0)+0</f>
        <v>0</v>
      </c>
      <c r="V997" s="127">
        <f t="shared" si="378"/>
        <v>2666</v>
      </c>
      <c r="W997" s="19">
        <v>0</v>
      </c>
      <c r="X997" s="19">
        <v>0</v>
      </c>
      <c r="Y997" s="128">
        <f>IFERROR(VLOOKUP(D997,'Monthly Deduction'!$M$2:$N$64,2,0),0)</f>
        <v>0</v>
      </c>
      <c r="Z997" s="128">
        <v>0</v>
      </c>
      <c r="AA997" s="126">
        <f>IFERROR(VLOOKUP(D997,'Monthly Deduction'!A:B,2,0),0)</f>
        <v>0</v>
      </c>
      <c r="AB997" s="129">
        <f t="shared" si="366"/>
        <v>2666</v>
      </c>
      <c r="AC997" s="130">
        <v>0</v>
      </c>
      <c r="AD997" s="35">
        <f t="shared" si="367"/>
        <v>2666</v>
      </c>
      <c r="AE997" s="166" t="str">
        <f t="shared" si="368"/>
        <v>Release</v>
      </c>
      <c r="AF997" s="127"/>
      <c r="AG997" s="18">
        <v>0</v>
      </c>
      <c r="AH997" s="120"/>
      <c r="AI997" s="238">
        <v>0</v>
      </c>
      <c r="AJ997" s="132"/>
      <c r="AK997" s="151">
        <v>1101.8000000000002</v>
      </c>
      <c r="AL997" s="154">
        <f t="shared" si="369"/>
        <v>0</v>
      </c>
      <c r="AM997" s="155"/>
      <c r="AN997" s="19">
        <f t="shared" si="374"/>
        <v>0</v>
      </c>
      <c r="AO997" s="118">
        <f>SUMIF('MPG Payment '!E:E,'Shayak Income '!D997,'MPG Payment '!AJ:AJ)</f>
        <v>0</v>
      </c>
      <c r="AP997" s="19">
        <f t="shared" si="375"/>
        <v>0</v>
      </c>
      <c r="AQ997" s="119">
        <f t="shared" si="370"/>
        <v>0</v>
      </c>
      <c r="AR997" s="91" t="s">
        <v>1168</v>
      </c>
      <c r="AS997" s="91">
        <f t="shared" si="376"/>
        <v>0</v>
      </c>
      <c r="AT997" s="118"/>
      <c r="AU997" s="118"/>
      <c r="AV997" s="118"/>
    </row>
    <row r="998" spans="1:48" s="20" customFormat="1" x14ac:dyDescent="0.25">
      <c r="A998" s="17">
        <f>IFERROR(VLOOKUP(D998,'Monthly Deduction'!$I$3:$J$957,2,0),0)</f>
        <v>0</v>
      </c>
      <c r="B998" s="17">
        <f>IFERROR(VLOOKUP(D998,'Monthly Deduction'!$E$3:$F$957,2,0),0)</f>
        <v>0</v>
      </c>
      <c r="C998" s="17">
        <f t="shared" si="361"/>
        <v>0</v>
      </c>
      <c r="D998" s="41">
        <v>10660016</v>
      </c>
      <c r="E998" s="122" t="str">
        <f>VLOOKUP(D998,'MPG Payment '!$E$3:$G$498218,2,0)</f>
        <v>GOMUKH JATMAPUR WARD 1</v>
      </c>
      <c r="F998" s="146">
        <f>IFERROR(_xlfn.XLOOKUP(D998,'Monthly Deduction'!$I$3:$I$957,'Monthly Deduction'!$H$3:$H$957),0)</f>
        <v>0</v>
      </c>
      <c r="G998" s="123" t="str">
        <f>VLOOKUP(D998,'MPG Payment '!$E$3:$G$334579,3,0)</f>
        <v>vlc</v>
      </c>
      <c r="H998" s="124" t="str">
        <f>VLOOKUP(D998,'MPG Payment '!$E$3:$H$334579,4,0)</f>
        <v>Indirect</v>
      </c>
      <c r="I998" s="88">
        <f>INDEX('MPG Payment '!$C:$C,MATCH('Shayak Income '!D998,'MPG Payment '!E:E,0))</f>
        <v>1066</v>
      </c>
      <c r="J998" s="88" t="str">
        <f>INDEX('MPG Payment '!$D:$D,MATCH('Shayak Income '!D998,'MPG Payment '!E:E,0))</f>
        <v>Gaighat</v>
      </c>
      <c r="K998" s="125" t="s">
        <v>1323</v>
      </c>
      <c r="L998" s="125">
        <v>46155</v>
      </c>
      <c r="M998" s="126">
        <f>SUMIF('MPG Payment '!$E$3:$E$34579,'Shayak Income '!D998,'MPG Payment '!$I$3:$I$34579)</f>
        <v>1799.2</v>
      </c>
      <c r="N998" s="126">
        <f>SUMIF('MPG Payment '!$E$3:$E$34579,'Shayak Income '!D998,'MPG Payment '!$J$3:$J$34579)</f>
        <v>64748.358119352502</v>
      </c>
      <c r="O998" s="126">
        <f t="shared" si="362"/>
        <v>1349.4</v>
      </c>
      <c r="P998" s="126">
        <f t="shared" si="363"/>
        <v>1709.24</v>
      </c>
      <c r="Q998" s="126">
        <f>SUMIF('MPG Payment '!$E$3:$E$34579,'Shayak Income '!D998,'MPG Payment '!$S$3:$S$34579)</f>
        <v>0</v>
      </c>
      <c r="R998" s="126">
        <f t="shared" si="364"/>
        <v>1942.4507435805749</v>
      </c>
      <c r="S998" s="126">
        <f t="shared" si="365"/>
        <v>233.2107435805749</v>
      </c>
      <c r="T998" s="126">
        <f t="shared" si="377"/>
        <v>179.92000000000002</v>
      </c>
      <c r="U998" s="127">
        <f>(((IF(K998="New",0,SUMIF('MPG Payment '!$E$3:$E$34579,'Shayak Income '!D998,'MPG Payment '!$AC$3:$AC$34579))))+0)+0</f>
        <v>0</v>
      </c>
      <c r="V998" s="127">
        <f t="shared" si="378"/>
        <v>2879</v>
      </c>
      <c r="W998" s="19">
        <v>0</v>
      </c>
      <c r="X998" s="19">
        <v>0</v>
      </c>
      <c r="Y998" s="128">
        <f>IFERROR(VLOOKUP(D998,'Monthly Deduction'!$M$2:$N$64,2,0),0)</f>
        <v>0</v>
      </c>
      <c r="Z998" s="128">
        <v>0</v>
      </c>
      <c r="AA998" s="126">
        <f>IFERROR(VLOOKUP(D998,'Monthly Deduction'!A:B,2,0),0)</f>
        <v>0</v>
      </c>
      <c r="AB998" s="129">
        <f t="shared" si="366"/>
        <v>2879</v>
      </c>
      <c r="AC998" s="130">
        <v>0</v>
      </c>
      <c r="AD998" s="35">
        <f t="shared" si="367"/>
        <v>2879</v>
      </c>
      <c r="AE998" s="166" t="str">
        <f t="shared" si="368"/>
        <v>Release</v>
      </c>
      <c r="AF998" s="127"/>
      <c r="AG998" s="18">
        <v>0</v>
      </c>
      <c r="AH998" s="120"/>
      <c r="AI998" s="238">
        <v>0</v>
      </c>
      <c r="AJ998" s="132"/>
      <c r="AK998" s="151">
        <v>839.1</v>
      </c>
      <c r="AL998" s="154">
        <f t="shared" si="369"/>
        <v>0</v>
      </c>
      <c r="AM998" s="155"/>
      <c r="AN998" s="19">
        <f t="shared" si="374"/>
        <v>0</v>
      </c>
      <c r="AO998" s="118">
        <f>SUMIF('MPG Payment '!E:E,'Shayak Income '!D998,'MPG Payment '!AJ:AJ)</f>
        <v>0</v>
      </c>
      <c r="AP998" s="19">
        <f t="shared" si="375"/>
        <v>0</v>
      </c>
      <c r="AQ998" s="119">
        <f t="shared" si="370"/>
        <v>0</v>
      </c>
      <c r="AR998" s="91" t="s">
        <v>1168</v>
      </c>
      <c r="AS998" s="91">
        <f t="shared" si="376"/>
        <v>0</v>
      </c>
      <c r="AT998" s="118"/>
      <c r="AU998" s="118"/>
      <c r="AV998" s="118"/>
    </row>
    <row r="999" spans="1:48" s="20" customFormat="1" x14ac:dyDescent="0.25">
      <c r="A999" s="17">
        <f>IFERROR(VLOOKUP(D999,'Monthly Deduction'!$I$3:$J$957,2,0),0)</f>
        <v>85000</v>
      </c>
      <c r="B999" s="17">
        <f>IFERROR(VLOOKUP(D999,'Monthly Deduction'!$E$3:$F$957,2,0),0)</f>
        <v>0</v>
      </c>
      <c r="C999" s="17">
        <f t="shared" si="361"/>
        <v>85000</v>
      </c>
      <c r="D999" s="41">
        <v>10660017</v>
      </c>
      <c r="E999" s="122" t="str">
        <f>VLOOKUP(D999,'MPG Payment '!$E$3:$G$498218,2,0)</f>
        <v>GOMUKH JATMALPUR</v>
      </c>
      <c r="F999" s="146">
        <f>IFERROR(_xlfn.XLOOKUP(D999,'Monthly Deduction'!$I$3:$I$957,'Monthly Deduction'!$H$3:$H$957),0)</f>
        <v>0</v>
      </c>
      <c r="G999" s="123" t="str">
        <f>VLOOKUP(D999,'MPG Payment '!$E$3:$G$334579,3,0)</f>
        <v>MPG</v>
      </c>
      <c r="H999" s="124" t="str">
        <f>VLOOKUP(D999,'MPG Payment '!$E$3:$H$334579,4,0)</f>
        <v>Direct</v>
      </c>
      <c r="I999" s="88">
        <f>INDEX('MPG Payment '!$C:$C,MATCH('Shayak Income '!D999,'MPG Payment '!E:E,0))</f>
        <v>1066</v>
      </c>
      <c r="J999" s="88" t="str">
        <f>INDEX('MPG Payment '!$D:$D,MATCH('Shayak Income '!D999,'MPG Payment '!E:E,0))</f>
        <v>Gaighat</v>
      </c>
      <c r="K999" s="125" t="s">
        <v>1323</v>
      </c>
      <c r="L999" s="125">
        <v>46150</v>
      </c>
      <c r="M999" s="126">
        <f>SUMIF('MPG Payment '!$E$3:$E$34579,'Shayak Income '!D999,'MPG Payment '!$I$3:$I$34579)</f>
        <v>434.6</v>
      </c>
      <c r="N999" s="126">
        <f>SUMIF('MPG Payment '!$E$3:$E$34579,'Shayak Income '!D999,'MPG Payment '!$J$3:$J$34579)</f>
        <v>19238.551143715998</v>
      </c>
      <c r="O999" s="126">
        <f t="shared" si="362"/>
        <v>325.95000000000005</v>
      </c>
      <c r="P999" s="126">
        <f t="shared" si="363"/>
        <v>412.87</v>
      </c>
      <c r="Q999" s="126">
        <f>SUMIF('MPG Payment '!$E$3:$E$34579,'Shayak Income '!D999,'MPG Payment '!$S$3:$S$34579)</f>
        <v>263.57952135734001</v>
      </c>
      <c r="R999" s="126">
        <f t="shared" si="364"/>
        <v>577.15653431147996</v>
      </c>
      <c r="S999" s="126">
        <f t="shared" si="365"/>
        <v>164.28653431147995</v>
      </c>
      <c r="T999" s="126">
        <f t="shared" si="377"/>
        <v>43.460000000000008</v>
      </c>
      <c r="U999" s="127">
        <f>(((IF(K999="New",0,SUMIF('MPG Payment '!$E$3:$E$34579,'Shayak Income '!D999,'MPG Payment '!$AC$3:$AC$34579))))+0)+0</f>
        <v>0</v>
      </c>
      <c r="V999" s="127">
        <f t="shared" si="378"/>
        <v>959</v>
      </c>
      <c r="W999" s="19">
        <v>0</v>
      </c>
      <c r="X999" s="19">
        <v>0</v>
      </c>
      <c r="Y999" s="128">
        <f>IFERROR(VLOOKUP(D999,'Monthly Deduction'!$M$2:$N$64,2,0),0)</f>
        <v>0</v>
      </c>
      <c r="Z999" s="128">
        <v>0</v>
      </c>
      <c r="AA999" s="126">
        <f>IFERROR(VLOOKUP(D999,'Monthly Deduction'!A:B,2,0),0)</f>
        <v>0</v>
      </c>
      <c r="AB999" s="129">
        <f t="shared" si="366"/>
        <v>959</v>
      </c>
      <c r="AC999" s="130">
        <f>AB999</f>
        <v>959</v>
      </c>
      <c r="AD999" s="35">
        <f t="shared" si="367"/>
        <v>0</v>
      </c>
      <c r="AE999" s="166" t="str">
        <f t="shared" si="368"/>
        <v>Yes</v>
      </c>
      <c r="AF999" s="127"/>
      <c r="AG999" s="18">
        <v>0</v>
      </c>
      <c r="AH999" s="120" t="s">
        <v>1646</v>
      </c>
      <c r="AI999" s="238">
        <v>20000</v>
      </c>
      <c r="AJ999" s="132"/>
      <c r="AK999" s="151">
        <v>256.2</v>
      </c>
      <c r="AL999" s="154">
        <f t="shared" si="369"/>
        <v>0</v>
      </c>
      <c r="AM999" s="155"/>
      <c r="AN999" s="19">
        <f t="shared" si="374"/>
        <v>1861</v>
      </c>
      <c r="AO999" s="118">
        <f>SUMIF('MPG Payment '!E:E,'Shayak Income '!D999,'MPG Payment '!AJ:AJ)</f>
        <v>0</v>
      </c>
      <c r="AP999" s="19">
        <f t="shared" si="375"/>
        <v>0</v>
      </c>
      <c r="AQ999" s="119">
        <f t="shared" si="370"/>
        <v>0</v>
      </c>
      <c r="AR999" s="91" t="s">
        <v>1168</v>
      </c>
      <c r="AS999" s="91">
        <f t="shared" si="376"/>
        <v>0</v>
      </c>
      <c r="AT999" s="118"/>
      <c r="AU999" s="118"/>
      <c r="AV999" s="118"/>
    </row>
    <row r="1000" spans="1:48" s="20" customFormat="1" x14ac:dyDescent="0.25">
      <c r="A1000" s="17">
        <f>IFERROR(VLOOKUP(D1000,'Monthly Deduction'!$I$3:$J$957,2,0),0)</f>
        <v>0</v>
      </c>
      <c r="B1000" s="17">
        <f>IFERROR(VLOOKUP(D1000,'Monthly Deduction'!$E$3:$F$957,2,0),0)</f>
        <v>0</v>
      </c>
      <c r="C1000" s="17">
        <f t="shared" si="351"/>
        <v>0</v>
      </c>
      <c r="D1000" s="41">
        <v>10660019</v>
      </c>
      <c r="E1000" s="122" t="str">
        <f>VLOOKUP(D1000,'MPG Payment '!$E$3:$G$498218,2,0)</f>
        <v>GOMUKH PURUSHOTTAMPUR WEST</v>
      </c>
      <c r="F1000" s="146">
        <f>IFERROR(_xlfn.XLOOKUP(D1000,'Monthly Deduction'!$I$3:$I$957,'Monthly Deduction'!$H$3:$H$957),0)</f>
        <v>0</v>
      </c>
      <c r="G1000" s="123" t="str">
        <f>VLOOKUP(D1000,'MPG Payment '!$E$3:$G$334579,3,0)</f>
        <v>vlc</v>
      </c>
      <c r="H1000" s="124" t="str">
        <f>VLOOKUP(D1000,'MPG Payment '!$E$3:$H$334579,4,0)</f>
        <v>Indirect</v>
      </c>
      <c r="I1000" s="88">
        <f>INDEX('MPG Payment '!$C:$C,MATCH('Shayak Income '!D1000,'MPG Payment '!E:E,0))</f>
        <v>1066</v>
      </c>
      <c r="J1000" s="88" t="str">
        <f>INDEX('MPG Payment '!$D:$D,MATCH('Shayak Income '!D1000,'MPG Payment '!E:E,0))</f>
        <v>Gaighat</v>
      </c>
      <c r="K1000" s="125" t="s">
        <v>1323</v>
      </c>
      <c r="L1000" s="125">
        <v>46150</v>
      </c>
      <c r="M1000" s="126">
        <f>SUMIF('MPG Payment '!$E$3:$E$34579,'Shayak Income '!D1000,'MPG Payment '!$I$3:$I$34579)</f>
        <v>485.09999999999997</v>
      </c>
      <c r="N1000" s="126">
        <f>SUMIF('MPG Payment '!$E$3:$E$34579,'Shayak Income '!D1000,'MPG Payment '!$J$3:$J$34579)</f>
        <v>17805.136469360001</v>
      </c>
      <c r="O1000" s="126">
        <f t="shared" si="352"/>
        <v>363.82499999999999</v>
      </c>
      <c r="P1000" s="126">
        <f t="shared" si="353"/>
        <v>460.84499999999997</v>
      </c>
      <c r="Q1000" s="126">
        <f>SUMIF('MPG Payment '!$E$3:$E$34579,'Shayak Income '!D1000,'MPG Payment '!$S$3:$S$34579)</f>
        <v>0</v>
      </c>
      <c r="R1000" s="126">
        <f t="shared" si="354"/>
        <v>534.15409408079995</v>
      </c>
      <c r="S1000" s="126">
        <f t="shared" si="355"/>
        <v>73.30909408079998</v>
      </c>
      <c r="T1000" s="126">
        <f t="shared" si="377"/>
        <v>48.51</v>
      </c>
      <c r="U1000" s="127">
        <f>(((IF(K1000="New",0,SUMIF('MPG Payment '!$E$3:$E$34579,'Shayak Income '!D1000,'MPG Payment '!$AC$3:$AC$34579))))+0)+0</f>
        <v>0</v>
      </c>
      <c r="V1000" s="127">
        <f t="shared" si="378"/>
        <v>776</v>
      </c>
      <c r="W1000" s="19">
        <v>0</v>
      </c>
      <c r="X1000" s="19">
        <v>0</v>
      </c>
      <c r="Y1000" s="128">
        <f>IFERROR(VLOOKUP(D1000,'Monthly Deduction'!$M$2:$N$64,2,0),0)</f>
        <v>0</v>
      </c>
      <c r="Z1000" s="128">
        <v>0</v>
      </c>
      <c r="AA1000" s="126">
        <f>IFERROR(VLOOKUP(D1000,'Monthly Deduction'!A:B,2,0),0)</f>
        <v>0</v>
      </c>
      <c r="AB1000" s="129">
        <f t="shared" si="356"/>
        <v>776</v>
      </c>
      <c r="AC1000" s="130">
        <v>0</v>
      </c>
      <c r="AD1000" s="35">
        <f t="shared" si="357"/>
        <v>776</v>
      </c>
      <c r="AE1000" s="166" t="str">
        <f t="shared" si="358"/>
        <v>Release</v>
      </c>
      <c r="AF1000" s="127"/>
      <c r="AG1000" s="18">
        <v>0</v>
      </c>
      <c r="AH1000" s="120"/>
      <c r="AI1000" s="238">
        <v>0</v>
      </c>
      <c r="AJ1000" s="132"/>
      <c r="AK1000" s="151">
        <v>93.399999999999991</v>
      </c>
      <c r="AL1000" s="154">
        <f t="shared" si="359"/>
        <v>0</v>
      </c>
      <c r="AM1000" s="155"/>
      <c r="AN1000" s="19">
        <f t="shared" si="374"/>
        <v>0</v>
      </c>
      <c r="AO1000" s="118">
        <f>SUMIF('MPG Payment '!E:E,'Shayak Income '!D1000,'MPG Payment '!AJ:AJ)</f>
        <v>0</v>
      </c>
      <c r="AP1000" s="19">
        <f t="shared" si="375"/>
        <v>0</v>
      </c>
      <c r="AQ1000" s="119">
        <f t="shared" si="360"/>
        <v>0</v>
      </c>
      <c r="AR1000" s="91" t="s">
        <v>1168</v>
      </c>
      <c r="AS1000" s="91">
        <f t="shared" si="376"/>
        <v>0</v>
      </c>
      <c r="AT1000" s="118"/>
      <c r="AU1000" s="118"/>
      <c r="AV1000" s="118"/>
    </row>
    <row r="1001" spans="1:48" s="20" customFormat="1" x14ac:dyDescent="0.25">
      <c r="A1001" s="17">
        <f>IFERROR(VLOOKUP(D1001,'Monthly Deduction'!$I$3:$J$957,2,0),0)</f>
        <v>0</v>
      </c>
      <c r="B1001" s="17">
        <f>IFERROR(VLOOKUP(D1001,'Monthly Deduction'!$E$3:$F$957,2,0),0)</f>
        <v>0</v>
      </c>
      <c r="C1001" s="17">
        <f t="shared" si="351"/>
        <v>0</v>
      </c>
      <c r="D1001" s="41">
        <v>10660020</v>
      </c>
      <c r="E1001" s="122" t="str">
        <f>VLOOKUP(D1001,'MPG Payment '!$E$3:$G$498218,2,0)</f>
        <v>GOMUKH NIMA CHAKHAIDER</v>
      </c>
      <c r="F1001" s="146">
        <f>IFERROR(_xlfn.XLOOKUP(D1001,'Monthly Deduction'!$I$3:$I$957,'Monthly Deduction'!$H$3:$H$957),0)</f>
        <v>0</v>
      </c>
      <c r="G1001" s="123" t="str">
        <f>VLOOKUP(D1001,'MPG Payment '!$E$3:$G$334579,3,0)</f>
        <v>vlc</v>
      </c>
      <c r="H1001" s="124" t="str">
        <f>VLOOKUP(D1001,'MPG Payment '!$E$3:$H$334579,4,0)</f>
        <v>Indirect</v>
      </c>
      <c r="I1001" s="88">
        <f>INDEX('MPG Payment '!$C:$C,MATCH('Shayak Income '!D1001,'MPG Payment '!E:E,0))</f>
        <v>1066</v>
      </c>
      <c r="J1001" s="88" t="str">
        <f>INDEX('MPG Payment '!$D:$D,MATCH('Shayak Income '!D1001,'MPG Payment '!E:E,0))</f>
        <v>Gaighat</v>
      </c>
      <c r="K1001" s="125" t="s">
        <v>1323</v>
      </c>
      <c r="L1001" s="125">
        <v>46150</v>
      </c>
      <c r="M1001" s="126">
        <f>SUMIF('MPG Payment '!$E$3:$E$34579,'Shayak Income '!D1001,'MPG Payment '!$I$3:$I$34579)</f>
        <v>222.5</v>
      </c>
      <c r="N1001" s="126">
        <f>SUMIF('MPG Payment '!$E$3:$E$34579,'Shayak Income '!D1001,'MPG Payment '!$J$3:$J$34579)</f>
        <v>7899.4321055999999</v>
      </c>
      <c r="O1001" s="126">
        <f t="shared" si="352"/>
        <v>166.875</v>
      </c>
      <c r="P1001" s="126">
        <f t="shared" si="353"/>
        <v>211.375</v>
      </c>
      <c r="Q1001" s="126">
        <f>SUMIF('MPG Payment '!$E$3:$E$34579,'Shayak Income '!D1001,'MPG Payment '!$S$3:$S$34579)</f>
        <v>0</v>
      </c>
      <c r="R1001" s="126">
        <f t="shared" si="354"/>
        <v>236.982963168</v>
      </c>
      <c r="S1001" s="126">
        <f t="shared" si="355"/>
        <v>25.607963167999998</v>
      </c>
      <c r="T1001" s="126">
        <f t="shared" si="377"/>
        <v>22.25</v>
      </c>
      <c r="U1001" s="127">
        <f>(((IF(K1001="New",0,SUMIF('MPG Payment '!$E$3:$E$34579,'Shayak Income '!D1001,'MPG Payment '!$AC$3:$AC$34579))))+0)+0</f>
        <v>0</v>
      </c>
      <c r="V1001" s="127">
        <f t="shared" si="378"/>
        <v>356</v>
      </c>
      <c r="W1001" s="19">
        <v>0</v>
      </c>
      <c r="X1001" s="19">
        <v>0</v>
      </c>
      <c r="Y1001" s="128">
        <f>IFERROR(VLOOKUP(D1001,'Monthly Deduction'!$M$2:$N$64,2,0),0)</f>
        <v>0</v>
      </c>
      <c r="Z1001" s="128">
        <v>0</v>
      </c>
      <c r="AA1001" s="126">
        <f>IFERROR(VLOOKUP(D1001,'Monthly Deduction'!A:B,2,0),0)</f>
        <v>0</v>
      </c>
      <c r="AB1001" s="129">
        <f t="shared" si="356"/>
        <v>356</v>
      </c>
      <c r="AC1001" s="130">
        <f>AB1001</f>
        <v>356</v>
      </c>
      <c r="AD1001" s="35">
        <f t="shared" si="357"/>
        <v>0</v>
      </c>
      <c r="AE1001" s="166" t="str">
        <f t="shared" si="358"/>
        <v>Yes</v>
      </c>
      <c r="AF1001" s="127"/>
      <c r="AG1001" s="18">
        <v>0</v>
      </c>
      <c r="AH1001" s="132" t="s">
        <v>1648</v>
      </c>
      <c r="AI1001" s="238">
        <v>0</v>
      </c>
      <c r="AJ1001" s="132"/>
      <c r="AK1001" s="151">
        <v>0</v>
      </c>
      <c r="AL1001" s="154">
        <f t="shared" si="359"/>
        <v>0</v>
      </c>
      <c r="AM1001" s="155"/>
      <c r="AN1001" s="19">
        <f t="shared" si="374"/>
        <v>0</v>
      </c>
      <c r="AO1001" s="118">
        <f>SUMIF('MPG Payment '!E:E,'Shayak Income '!D1001,'MPG Payment '!AJ:AJ)</f>
        <v>0</v>
      </c>
      <c r="AP1001" s="19">
        <f t="shared" si="375"/>
        <v>0</v>
      </c>
      <c r="AQ1001" s="119">
        <f t="shared" si="360"/>
        <v>0</v>
      </c>
      <c r="AR1001" s="91" t="s">
        <v>1168</v>
      </c>
      <c r="AS1001" s="91">
        <f t="shared" si="376"/>
        <v>0</v>
      </c>
      <c r="AT1001" s="118"/>
      <c r="AU1001" s="118"/>
      <c r="AV1001" s="118"/>
    </row>
    <row r="1002" spans="1:48" s="20" customFormat="1" x14ac:dyDescent="0.25">
      <c r="A1002" s="17">
        <f>IFERROR(VLOOKUP(D1002,'Monthly Deduction'!$I$3:$J$957,2,0),0)</f>
        <v>0</v>
      </c>
      <c r="B1002" s="17">
        <f>IFERROR(VLOOKUP(D1002,'Monthly Deduction'!$E$3:$F$957,2,0),0)</f>
        <v>0</v>
      </c>
      <c r="C1002" s="17">
        <f t="shared" si="351"/>
        <v>0</v>
      </c>
      <c r="D1002" s="41">
        <v>10660021</v>
      </c>
      <c r="E1002" s="122" t="str">
        <f>VLOOKUP(D1002,'MPG Payment '!$E$3:$G$498218,2,0)</f>
        <v>Gomukh Barhetta</v>
      </c>
      <c r="F1002" s="146">
        <f>IFERROR(_xlfn.XLOOKUP(D1002,'Monthly Deduction'!$I$3:$I$957,'Monthly Deduction'!$H$3:$H$957),0)</f>
        <v>0</v>
      </c>
      <c r="G1002" s="123" t="str">
        <f>VLOOKUP(D1002,'MPG Payment '!$E$3:$G$334579,3,0)</f>
        <v>vlc</v>
      </c>
      <c r="H1002" s="124" t="str">
        <f>VLOOKUP(D1002,'MPG Payment '!$E$3:$H$334579,4,0)</f>
        <v>Indirect</v>
      </c>
      <c r="I1002" s="88">
        <f>INDEX('MPG Payment '!$C:$C,MATCH('Shayak Income '!D1002,'MPG Payment '!E:E,0))</f>
        <v>1066</v>
      </c>
      <c r="J1002" s="88" t="str">
        <f>INDEX('MPG Payment '!$D:$D,MATCH('Shayak Income '!D1002,'MPG Payment '!E:E,0))</f>
        <v>Gaighat</v>
      </c>
      <c r="K1002" s="125" t="s">
        <v>1323</v>
      </c>
      <c r="L1002" s="125">
        <v>46150</v>
      </c>
      <c r="M1002" s="126">
        <f>SUMIF('MPG Payment '!$E$3:$E$34579,'Shayak Income '!D1002,'MPG Payment '!$I$3:$I$34579)</f>
        <v>3174.7999999999997</v>
      </c>
      <c r="N1002" s="126">
        <f>SUMIF('MPG Payment '!$E$3:$E$34579,'Shayak Income '!D1002,'MPG Payment '!$J$3:$J$34579)</f>
        <v>119939.94944281</v>
      </c>
      <c r="O1002" s="126">
        <f t="shared" si="352"/>
        <v>2381.1</v>
      </c>
      <c r="P1002" s="126">
        <f t="shared" si="353"/>
        <v>3016.0599999999995</v>
      </c>
      <c r="Q1002" s="126">
        <f>SUMIF('MPG Payment '!$E$3:$E$34579,'Shayak Income '!D1002,'MPG Payment '!$S$3:$S$34579)</f>
        <v>0</v>
      </c>
      <c r="R1002" s="126">
        <f t="shared" si="354"/>
        <v>3598.1984832843</v>
      </c>
      <c r="S1002" s="126">
        <f t="shared" si="355"/>
        <v>582.13848328430049</v>
      </c>
      <c r="T1002" s="126">
        <f t="shared" si="377"/>
        <v>317.48</v>
      </c>
      <c r="U1002" s="127">
        <f>(((IF(K1002="New",0,SUMIF('MPG Payment '!$E$3:$E$34579,'Shayak Income '!D1002,'MPG Payment '!$AC$3:$AC$34579))))+0)+0</f>
        <v>0</v>
      </c>
      <c r="V1002" s="127">
        <f t="shared" si="378"/>
        <v>5080</v>
      </c>
      <c r="W1002" s="19">
        <v>0</v>
      </c>
      <c r="X1002" s="19">
        <v>0</v>
      </c>
      <c r="Y1002" s="128">
        <f>IFERROR(VLOOKUP(D1002,'Monthly Deduction'!$M$2:$N$64,2,0),0)</f>
        <v>0</v>
      </c>
      <c r="Z1002" s="128">
        <v>0</v>
      </c>
      <c r="AA1002" s="126">
        <f>IFERROR(VLOOKUP(D1002,'Monthly Deduction'!A:B,2,0),0)</f>
        <v>0</v>
      </c>
      <c r="AB1002" s="129">
        <f t="shared" si="356"/>
        <v>5080</v>
      </c>
      <c r="AC1002" s="130">
        <v>0</v>
      </c>
      <c r="AD1002" s="35">
        <f t="shared" si="357"/>
        <v>5080</v>
      </c>
      <c r="AE1002" s="166" t="str">
        <f t="shared" si="358"/>
        <v>Release</v>
      </c>
      <c r="AF1002" s="127"/>
      <c r="AG1002" s="18">
        <v>0</v>
      </c>
      <c r="AH1002" s="120"/>
      <c r="AI1002" s="238">
        <v>0</v>
      </c>
      <c r="AJ1002" s="132"/>
      <c r="AK1002" s="151">
        <v>776.5</v>
      </c>
      <c r="AL1002" s="154">
        <f t="shared" si="359"/>
        <v>0</v>
      </c>
      <c r="AM1002" s="155"/>
      <c r="AN1002" s="19">
        <f t="shared" si="374"/>
        <v>0</v>
      </c>
      <c r="AO1002" s="118">
        <f>SUMIF('MPG Payment '!E:E,'Shayak Income '!D1002,'MPG Payment '!AJ:AJ)</f>
        <v>0</v>
      </c>
      <c r="AP1002" s="19">
        <f t="shared" si="375"/>
        <v>0</v>
      </c>
      <c r="AQ1002" s="119">
        <f t="shared" si="360"/>
        <v>0</v>
      </c>
      <c r="AR1002" s="91" t="s">
        <v>1168</v>
      </c>
      <c r="AS1002" s="91">
        <f t="shared" si="376"/>
        <v>0</v>
      </c>
      <c r="AT1002" s="118"/>
      <c r="AU1002" s="118"/>
      <c r="AV1002" s="118"/>
    </row>
    <row r="1003" spans="1:48" s="20" customFormat="1" x14ac:dyDescent="0.25">
      <c r="A1003" s="17">
        <f>IFERROR(VLOOKUP(D1003,'Monthly Deduction'!$I$3:$J$957,2,0),0)</f>
        <v>0</v>
      </c>
      <c r="B1003" s="17">
        <f>IFERROR(VLOOKUP(D1003,'Monthly Deduction'!$E$3:$F$957,2,0),0)</f>
        <v>0</v>
      </c>
      <c r="C1003" s="17">
        <f t="shared" si="351"/>
        <v>0</v>
      </c>
      <c r="D1003" s="41">
        <v>10660022</v>
      </c>
      <c r="E1003" s="122" t="str">
        <f>VLOOKUP(D1003,'MPG Payment '!$E$3:$G$498218,2,0)</f>
        <v>GOMUKH  MANORATHPUR</v>
      </c>
      <c r="F1003" s="146">
        <f>IFERROR(_xlfn.XLOOKUP(D1003,'Monthly Deduction'!$I$3:$I$957,'Monthly Deduction'!$H$3:$H$957),0)</f>
        <v>0</v>
      </c>
      <c r="G1003" s="123" t="str">
        <f>VLOOKUP(D1003,'MPG Payment '!$E$3:$G$334579,3,0)</f>
        <v>vlc</v>
      </c>
      <c r="H1003" s="124" t="str">
        <f>VLOOKUP(D1003,'MPG Payment '!$E$3:$H$334579,4,0)</f>
        <v>Indirect</v>
      </c>
      <c r="I1003" s="88">
        <f>INDEX('MPG Payment '!$C:$C,MATCH('Shayak Income '!D1003,'MPG Payment '!E:E,0))</f>
        <v>1066</v>
      </c>
      <c r="J1003" s="88" t="str">
        <f>INDEX('MPG Payment '!$D:$D,MATCH('Shayak Income '!D1003,'MPG Payment '!E:E,0))</f>
        <v>Gaighat</v>
      </c>
      <c r="K1003" s="125" t="s">
        <v>1323</v>
      </c>
      <c r="L1003" s="125">
        <v>46156</v>
      </c>
      <c r="M1003" s="126">
        <f>SUMIF('MPG Payment '!$E$3:$E$34579,'Shayak Income '!D1003,'MPG Payment '!$I$3:$I$34579)</f>
        <v>637.29999999999995</v>
      </c>
      <c r="N1003" s="126">
        <f>SUMIF('MPG Payment '!$E$3:$E$34579,'Shayak Income '!D1003,'MPG Payment '!$J$3:$J$34579)</f>
        <v>25719.737917940001</v>
      </c>
      <c r="O1003" s="126">
        <f t="shared" si="352"/>
        <v>477.97499999999997</v>
      </c>
      <c r="P1003" s="126">
        <f t="shared" si="353"/>
        <v>605.43499999999995</v>
      </c>
      <c r="Q1003" s="126">
        <f>SUMIF('MPG Payment '!$E$3:$E$34579,'Shayak Income '!D1003,'MPG Payment '!$S$3:$S$34579)</f>
        <v>0</v>
      </c>
      <c r="R1003" s="126">
        <f t="shared" si="354"/>
        <v>771.59213753820006</v>
      </c>
      <c r="S1003" s="126">
        <f t="shared" si="355"/>
        <v>166.15713753820012</v>
      </c>
      <c r="T1003" s="126">
        <f t="shared" si="377"/>
        <v>63.73</v>
      </c>
      <c r="U1003" s="127">
        <f>(((IF(K1003="New",0,SUMIF('MPG Payment '!$E$3:$E$34579,'Shayak Income '!D1003,'MPG Payment '!$AC$3:$AC$34579))))+0)+0</f>
        <v>0</v>
      </c>
      <c r="V1003" s="127">
        <f t="shared" si="378"/>
        <v>1020</v>
      </c>
      <c r="W1003" s="19">
        <v>0</v>
      </c>
      <c r="X1003" s="19">
        <v>0</v>
      </c>
      <c r="Y1003" s="128">
        <f>IFERROR(VLOOKUP(D1003,'Monthly Deduction'!$M$2:$N$64,2,0),0)</f>
        <v>0</v>
      </c>
      <c r="Z1003" s="128">
        <v>0</v>
      </c>
      <c r="AA1003" s="126">
        <f>IFERROR(VLOOKUP(D1003,'Monthly Deduction'!A:B,2,0),0)</f>
        <v>0</v>
      </c>
      <c r="AB1003" s="129">
        <f t="shared" si="356"/>
        <v>1020</v>
      </c>
      <c r="AC1003" s="130">
        <v>0</v>
      </c>
      <c r="AD1003" s="35">
        <f t="shared" si="357"/>
        <v>1020</v>
      </c>
      <c r="AE1003" s="166" t="str">
        <f t="shared" si="358"/>
        <v>Release</v>
      </c>
      <c r="AF1003" s="127"/>
      <c r="AG1003" s="18">
        <v>0</v>
      </c>
      <c r="AH1003" s="120"/>
      <c r="AI1003" s="238">
        <v>0</v>
      </c>
      <c r="AJ1003" s="132"/>
      <c r="AK1003" s="151">
        <v>135</v>
      </c>
      <c r="AL1003" s="154">
        <f t="shared" si="359"/>
        <v>0</v>
      </c>
      <c r="AM1003" s="155"/>
      <c r="AN1003" s="19">
        <f t="shared" si="374"/>
        <v>0</v>
      </c>
      <c r="AO1003" s="118">
        <f>SUMIF('MPG Payment '!E:E,'Shayak Income '!D1003,'MPG Payment '!AJ:AJ)</f>
        <v>0</v>
      </c>
      <c r="AP1003" s="19">
        <f t="shared" si="375"/>
        <v>0</v>
      </c>
      <c r="AQ1003" s="119">
        <f t="shared" si="360"/>
        <v>0</v>
      </c>
      <c r="AR1003" s="91" t="s">
        <v>1168</v>
      </c>
      <c r="AS1003" s="91">
        <f t="shared" si="376"/>
        <v>0</v>
      </c>
      <c r="AT1003" s="118"/>
      <c r="AU1003" s="118"/>
      <c r="AV1003" s="118"/>
    </row>
    <row r="1004" spans="1:48" s="20" customFormat="1" x14ac:dyDescent="0.25">
      <c r="A1004" s="17">
        <f>IFERROR(VLOOKUP(D1004,'Monthly Deduction'!$I$3:$J$957,2,0),0)</f>
        <v>0</v>
      </c>
      <c r="B1004" s="17">
        <f>IFERROR(VLOOKUP(D1004,'Monthly Deduction'!$E$3:$F$957,2,0),0)</f>
        <v>0</v>
      </c>
      <c r="C1004" s="17">
        <f t="shared" si="351"/>
        <v>0</v>
      </c>
      <c r="D1004" s="41">
        <v>10660023</v>
      </c>
      <c r="E1004" s="122" t="str">
        <f>VLOOKUP(D1004,'MPG Payment '!$E$3:$G$498218,2,0)</f>
        <v>GOMUKH BHADOGHAT</v>
      </c>
      <c r="F1004" s="146">
        <f>IFERROR(_xlfn.XLOOKUP(D1004,'Monthly Deduction'!$I$3:$I$957,'Monthly Deduction'!$H$3:$H$957),0)</f>
        <v>0</v>
      </c>
      <c r="G1004" s="123" t="str">
        <f>VLOOKUP(D1004,'MPG Payment '!$E$3:$G$334579,3,0)</f>
        <v>vlc</v>
      </c>
      <c r="H1004" s="124" t="str">
        <f>VLOOKUP(D1004,'MPG Payment '!$E$3:$H$334579,4,0)</f>
        <v>Indirect</v>
      </c>
      <c r="I1004" s="88">
        <f>INDEX('MPG Payment '!$C:$C,MATCH('Shayak Income '!D1004,'MPG Payment '!E:E,0))</f>
        <v>1066</v>
      </c>
      <c r="J1004" s="88" t="str">
        <f>INDEX('MPG Payment '!$D:$D,MATCH('Shayak Income '!D1004,'MPG Payment '!E:E,0))</f>
        <v>Gaighat</v>
      </c>
      <c r="K1004" s="125" t="s">
        <v>1323</v>
      </c>
      <c r="L1004" s="125">
        <v>46154</v>
      </c>
      <c r="M1004" s="126">
        <f>SUMIF('MPG Payment '!$E$3:$E$34579,'Shayak Income '!D1004,'MPG Payment '!$I$3:$I$34579)</f>
        <v>3151.6</v>
      </c>
      <c r="N1004" s="126">
        <f>SUMIF('MPG Payment '!$E$3:$E$34579,'Shayak Income '!D1004,'MPG Payment '!$J$3:$J$34579)</f>
        <v>129672.49857697799</v>
      </c>
      <c r="O1004" s="126">
        <f t="shared" si="352"/>
        <v>2363.6999999999998</v>
      </c>
      <c r="P1004" s="126">
        <f t="shared" si="353"/>
        <v>2994.02</v>
      </c>
      <c r="Q1004" s="126">
        <f>SUMIF('MPG Payment '!$E$3:$E$34579,'Shayak Income '!D1004,'MPG Payment '!$S$3:$S$34579)</f>
        <v>0</v>
      </c>
      <c r="R1004" s="126">
        <f t="shared" si="354"/>
        <v>3890.1749573093393</v>
      </c>
      <c r="S1004" s="126">
        <f t="shared" si="355"/>
        <v>896.15495730933935</v>
      </c>
      <c r="T1004" s="126">
        <f t="shared" si="377"/>
        <v>315.16000000000003</v>
      </c>
      <c r="U1004" s="127">
        <f>(((IF(K1004="New",0,SUMIF('MPG Payment '!$E$3:$E$34579,'Shayak Income '!D1004,'MPG Payment '!$AC$3:$AC$34579))))+0)+0</f>
        <v>0</v>
      </c>
      <c r="V1004" s="127">
        <f t="shared" si="378"/>
        <v>5043</v>
      </c>
      <c r="W1004" s="19">
        <v>0</v>
      </c>
      <c r="X1004" s="19">
        <v>0</v>
      </c>
      <c r="Y1004" s="128">
        <f>IFERROR(VLOOKUP(D1004,'Monthly Deduction'!$M$2:$N$64,2,0),0)</f>
        <v>0</v>
      </c>
      <c r="Z1004" s="128">
        <v>0</v>
      </c>
      <c r="AA1004" s="126">
        <f>IFERROR(VLOOKUP(D1004,'Monthly Deduction'!A:B,2,0),0)</f>
        <v>0</v>
      </c>
      <c r="AB1004" s="129">
        <f t="shared" si="356"/>
        <v>5043</v>
      </c>
      <c r="AC1004" s="130">
        <v>0</v>
      </c>
      <c r="AD1004" s="35">
        <f t="shared" si="357"/>
        <v>5043</v>
      </c>
      <c r="AE1004" s="166" t="str">
        <f t="shared" si="358"/>
        <v>Release</v>
      </c>
      <c r="AF1004" s="127"/>
      <c r="AG1004" s="18">
        <v>0</v>
      </c>
      <c r="AH1004" s="120"/>
      <c r="AI1004" s="238">
        <v>0</v>
      </c>
      <c r="AJ1004" s="132"/>
      <c r="AK1004" s="151">
        <v>2852.2000000000003</v>
      </c>
      <c r="AL1004" s="154">
        <f t="shared" si="359"/>
        <v>0</v>
      </c>
      <c r="AM1004" s="155"/>
      <c r="AN1004" s="19">
        <f t="shared" si="374"/>
        <v>0</v>
      </c>
      <c r="AO1004" s="118">
        <f>SUMIF('MPG Payment '!E:E,'Shayak Income '!D1004,'MPG Payment '!AJ:AJ)</f>
        <v>0</v>
      </c>
      <c r="AP1004" s="19">
        <f t="shared" si="375"/>
        <v>0</v>
      </c>
      <c r="AQ1004" s="119">
        <f t="shared" si="360"/>
        <v>0</v>
      </c>
      <c r="AR1004" s="91" t="s">
        <v>1168</v>
      </c>
      <c r="AS1004" s="91">
        <f t="shared" si="376"/>
        <v>0</v>
      </c>
      <c r="AT1004" s="118"/>
      <c r="AU1004" s="118"/>
      <c r="AV1004" s="118"/>
    </row>
    <row r="1005" spans="1:48" s="20" customFormat="1" x14ac:dyDescent="0.25">
      <c r="A1005" s="17">
        <f>IFERROR(VLOOKUP(D1005,'Monthly Deduction'!$I$3:$J$957,2,0),0)</f>
        <v>0</v>
      </c>
      <c r="B1005" s="17">
        <f>IFERROR(VLOOKUP(D1005,'Monthly Deduction'!$E$3:$F$957,2,0),0)</f>
        <v>0</v>
      </c>
      <c r="C1005" s="17">
        <f t="shared" si="351"/>
        <v>0</v>
      </c>
      <c r="D1005" s="41">
        <v>10660024</v>
      </c>
      <c r="E1005" s="122" t="str">
        <f>VLOOKUP(D1005,'MPG Payment '!$E$3:$G$498218,2,0)</f>
        <v>GOMUKH BALUAHA</v>
      </c>
      <c r="F1005" s="146">
        <f>IFERROR(_xlfn.XLOOKUP(D1005,'Monthly Deduction'!$I$3:$I$957,'Monthly Deduction'!$H$3:$H$957),0)</f>
        <v>0</v>
      </c>
      <c r="G1005" s="123" t="str">
        <f>VLOOKUP(D1005,'MPG Payment '!$E$3:$G$334579,3,0)</f>
        <v>vlc</v>
      </c>
      <c r="H1005" s="124" t="str">
        <f>VLOOKUP(D1005,'MPG Payment '!$E$3:$H$334579,4,0)</f>
        <v>Indirect</v>
      </c>
      <c r="I1005" s="88">
        <f>INDEX('MPG Payment '!$C:$C,MATCH('Shayak Income '!D1005,'MPG Payment '!E:E,0))</f>
        <v>1066</v>
      </c>
      <c r="J1005" s="88" t="str">
        <f>INDEX('MPG Payment '!$D:$D,MATCH('Shayak Income '!D1005,'MPG Payment '!E:E,0))</f>
        <v>Gaighat</v>
      </c>
      <c r="K1005" s="125" t="s">
        <v>1323</v>
      </c>
      <c r="L1005" s="125">
        <v>46154</v>
      </c>
      <c r="M1005" s="126">
        <f>SUMIF('MPG Payment '!$E$3:$E$34579,'Shayak Income '!D1005,'MPG Payment '!$I$3:$I$34579)</f>
        <v>326</v>
      </c>
      <c r="N1005" s="126">
        <f>SUMIF('MPG Payment '!$E$3:$E$34579,'Shayak Income '!D1005,'MPG Payment '!$J$3:$J$34579)</f>
        <v>10573.436534930001</v>
      </c>
      <c r="O1005" s="126">
        <f t="shared" si="352"/>
        <v>244.5</v>
      </c>
      <c r="P1005" s="126">
        <f t="shared" si="353"/>
        <v>309.7</v>
      </c>
      <c r="Q1005" s="126">
        <f>SUMIF('MPG Payment '!$E$3:$E$34579,'Shayak Income '!D1005,'MPG Payment '!$S$3:$S$34579)</f>
        <v>0</v>
      </c>
      <c r="R1005" s="126">
        <f t="shared" si="354"/>
        <v>317.20309604790003</v>
      </c>
      <c r="S1005" s="126">
        <f t="shared" si="355"/>
        <v>7.5030960479000441</v>
      </c>
      <c r="T1005" s="126">
        <f t="shared" si="377"/>
        <v>32.6</v>
      </c>
      <c r="U1005" s="127">
        <f>(((IF(K1005="New",0,SUMIF('MPG Payment '!$E$3:$E$34579,'Shayak Income '!D1005,'MPG Payment '!$AC$3:$AC$34579))))+0)+0</f>
        <v>0</v>
      </c>
      <c r="V1005" s="127">
        <f t="shared" si="378"/>
        <v>522</v>
      </c>
      <c r="W1005" s="19">
        <v>0</v>
      </c>
      <c r="X1005" s="19">
        <v>0</v>
      </c>
      <c r="Y1005" s="128">
        <f>IFERROR(VLOOKUP(D1005,'Monthly Deduction'!$M$2:$N$64,2,0),0)</f>
        <v>0</v>
      </c>
      <c r="Z1005" s="128">
        <v>0</v>
      </c>
      <c r="AA1005" s="126">
        <f>IFERROR(VLOOKUP(D1005,'Monthly Deduction'!A:B,2,0),0)</f>
        <v>0</v>
      </c>
      <c r="AB1005" s="129">
        <f t="shared" si="356"/>
        <v>522</v>
      </c>
      <c r="AC1005" s="130">
        <v>0</v>
      </c>
      <c r="AD1005" s="35">
        <f t="shared" si="357"/>
        <v>522</v>
      </c>
      <c r="AE1005" s="166" t="str">
        <f t="shared" si="358"/>
        <v>Release</v>
      </c>
      <c r="AF1005" s="127"/>
      <c r="AG1005" s="18">
        <v>0</v>
      </c>
      <c r="AH1005" s="132"/>
      <c r="AI1005" s="238">
        <v>0</v>
      </c>
      <c r="AJ1005" s="132"/>
      <c r="AK1005" s="151">
        <v>176.7</v>
      </c>
      <c r="AL1005" s="154">
        <f t="shared" si="359"/>
        <v>0</v>
      </c>
      <c r="AM1005" s="155"/>
      <c r="AN1005" s="19">
        <f t="shared" si="374"/>
        <v>0</v>
      </c>
      <c r="AO1005" s="118">
        <f>SUMIF('MPG Payment '!E:E,'Shayak Income '!D1005,'MPG Payment '!AJ:AJ)</f>
        <v>0</v>
      </c>
      <c r="AP1005" s="19">
        <f t="shared" si="375"/>
        <v>0</v>
      </c>
      <c r="AQ1005" s="119">
        <f t="shared" si="360"/>
        <v>0</v>
      </c>
      <c r="AR1005" s="91" t="s">
        <v>1168</v>
      </c>
      <c r="AS1005" s="91">
        <f t="shared" si="376"/>
        <v>0</v>
      </c>
      <c r="AT1005" s="118"/>
      <c r="AU1005" s="118"/>
      <c r="AV1005" s="118"/>
    </row>
    <row r="1006" spans="1:48" s="20" customFormat="1" x14ac:dyDescent="0.25">
      <c r="A1006" s="17">
        <f>IFERROR(VLOOKUP(D1006,'Monthly Deduction'!$I$3:$J$957,2,0),0)</f>
        <v>33479.945321720821</v>
      </c>
      <c r="B1006" s="17">
        <f>IFERROR(VLOOKUP(D1006,'Monthly Deduction'!$E$3:$F$957,2,0),0)</f>
        <v>7108.3907181823997</v>
      </c>
      <c r="C1006" s="17">
        <f t="shared" ref="C1006:C1036" si="383">A1006+B1006</f>
        <v>40588.336039903224</v>
      </c>
      <c r="D1006" s="41">
        <v>10010006</v>
      </c>
      <c r="E1006" s="122" t="str">
        <f>VLOOKUP(D1006,'MPG Payment '!$E$3:$G$498218,2,0)</f>
        <v>Gomukh Ghanharpur</v>
      </c>
      <c r="F1006" s="146">
        <f>IFERROR(_xlfn.XLOOKUP(D1006,'Monthly Deduction'!$I$3:$I$957,'Monthly Deduction'!$H$3:$H$957),0)</f>
        <v>0</v>
      </c>
      <c r="G1006" s="123" t="str">
        <f>VLOOKUP(D1006,'MPG Payment '!$E$3:$G$334579,3,0)</f>
        <v>MPG</v>
      </c>
      <c r="H1006" s="124" t="str">
        <f>VLOOKUP(D1006,'MPG Payment '!$E$3:$H$334579,4,0)</f>
        <v>Direct</v>
      </c>
      <c r="I1006" s="88">
        <f>INDEX('MPG Payment '!$C:$C,MATCH('Shayak Income '!D1006,'MPG Payment '!E:E,0))</f>
        <v>1008</v>
      </c>
      <c r="J1006" s="88" t="str">
        <f>INDEX('MPG Payment '!$D:$D,MATCH('Shayak Income '!D1006,'MPG Payment '!E:E,0))</f>
        <v>Teghra</v>
      </c>
      <c r="K1006" s="125" t="s">
        <v>1322</v>
      </c>
      <c r="L1006" s="125">
        <v>45007</v>
      </c>
      <c r="M1006" s="126">
        <f>SUMIF('MPG Payment '!$E$3:$E$34579,'Shayak Income '!D1006,'MPG Payment '!$I$3:$I$34579)</f>
        <v>1.6</v>
      </c>
      <c r="N1006" s="126">
        <f>SUMIF('MPG Payment '!$E$3:$E$34579,'Shayak Income '!D1006,'MPG Payment '!$J$3:$J$34579)</f>
        <v>54.19</v>
      </c>
      <c r="O1006" s="126">
        <f t="shared" ref="O1006:O1036" si="384">+M1006*0.75</f>
        <v>1.2000000000000002</v>
      </c>
      <c r="P1006" s="126">
        <f t="shared" ref="P1006:P1036" si="385">+M1006*0.95</f>
        <v>1.52</v>
      </c>
      <c r="Q1006" s="126">
        <f>SUMIF('MPG Payment '!$E$3:$E$34579,'Shayak Income '!D1006,'MPG Payment '!$S$3:$S$34579)</f>
        <v>0</v>
      </c>
      <c r="R1006" s="126">
        <f t="shared" ref="R1006:R1036" si="386">+N1006*3%</f>
        <v>1.6256999999999999</v>
      </c>
      <c r="S1006" s="126">
        <f t="shared" ref="S1006:S1036" si="387">R1006-P1006</f>
        <v>0.10569999999999991</v>
      </c>
      <c r="T1006" s="126">
        <f t="shared" si="377"/>
        <v>0.16000000000000003</v>
      </c>
      <c r="U1006" s="127">
        <f>(((IF(K1006="New",0,SUMIF('MPG Payment '!$E$3:$E$34579,'Shayak Income '!D1006,'MPG Payment '!$AC$3:$AC$34579))))+0)+-471</f>
        <v>2.0786999999999694</v>
      </c>
      <c r="V1006" s="127">
        <f t="shared" si="378"/>
        <v>0</v>
      </c>
      <c r="W1006" s="19">
        <v>0</v>
      </c>
      <c r="X1006" s="19">
        <v>0</v>
      </c>
      <c r="Y1006" s="128">
        <f>IFERROR(VLOOKUP(D1006,'Monthly Deduction'!$M$2:$N$64,2,0),0)</f>
        <v>0</v>
      </c>
      <c r="Z1006" s="128">
        <v>0</v>
      </c>
      <c r="AA1006" s="126">
        <f>IFERROR(VLOOKUP(D1006,'Monthly Deduction'!A:B,2,0),0)</f>
        <v>0</v>
      </c>
      <c r="AB1006" s="129">
        <f t="shared" ref="AB1006:AB1036" si="388">ROUND(IFERROR(V1006-SUM(W1006:AA1006),0),0)</f>
        <v>0</v>
      </c>
      <c r="AC1006" s="130">
        <f>AB1006</f>
        <v>0</v>
      </c>
      <c r="AD1006" s="35">
        <f t="shared" ref="AD1006:AD1036" si="389">ROUND(AB1006-AC1006,0)</f>
        <v>0</v>
      </c>
      <c r="AE1006" s="166" t="str">
        <f t="shared" ref="AE1006:AE1036" si="390">IF(AC1006&lt;&gt;0,"Yes","Release")</f>
        <v>Release</v>
      </c>
      <c r="AF1006" s="127"/>
      <c r="AG1006" s="18">
        <v>0</v>
      </c>
      <c r="AH1006" s="132" t="s">
        <v>1648</v>
      </c>
      <c r="AI1006" s="238">
        <v>0</v>
      </c>
      <c r="AJ1006" s="132"/>
      <c r="AK1006" s="151">
        <v>0</v>
      </c>
      <c r="AL1006" s="154">
        <f t="shared" ref="AL1006:AL1036" si="391">COUNTIF(AK1006:AK1006,"=NA")</f>
        <v>0</v>
      </c>
      <c r="AM1006" s="155"/>
      <c r="AN1006" s="19">
        <f t="shared" si="374"/>
        <v>1861</v>
      </c>
      <c r="AO1006" s="118">
        <f>SUMIF('MPG Payment '!E:E,'Shayak Income '!D1006,'MPG Payment '!AJ:AJ)</f>
        <v>0</v>
      </c>
      <c r="AP1006" s="19">
        <f t="shared" si="375"/>
        <v>0</v>
      </c>
      <c r="AQ1006" s="119">
        <f t="shared" ref="AQ1006:AQ1036" si="392">AO1006+AP1006</f>
        <v>0</v>
      </c>
      <c r="AR1006" s="91" t="s">
        <v>1168</v>
      </c>
      <c r="AS1006" s="91">
        <f t="shared" si="376"/>
        <v>7108.3907181823997</v>
      </c>
      <c r="AT1006" s="118"/>
      <c r="AU1006" s="118"/>
      <c r="AV1006" s="118"/>
    </row>
    <row r="1007" spans="1:48" s="20" customFormat="1" x14ac:dyDescent="0.25">
      <c r="A1007" s="17">
        <f>IFERROR(VLOOKUP(D1007,'Monthly Deduction'!$I$3:$J$957,2,0),0)</f>
        <v>24811.770302897698</v>
      </c>
      <c r="B1007" s="17">
        <f>IFERROR(VLOOKUP(D1007,'Monthly Deduction'!$E$3:$F$957,2,0),0)</f>
        <v>13203.0506</v>
      </c>
      <c r="C1007" s="17">
        <f t="shared" si="383"/>
        <v>38014.8209028977</v>
      </c>
      <c r="D1007" s="41">
        <v>10060036</v>
      </c>
      <c r="E1007" s="122" t="str">
        <f>VLOOKUP(D1007,'MPG Payment '!$E$3:$G$498218,2,0)</f>
        <v>URAIN</v>
      </c>
      <c r="F1007" s="146">
        <f>IFERROR(_xlfn.XLOOKUP(D1007,'Monthly Deduction'!$I$3:$I$957,'Monthly Deduction'!$H$3:$H$957),0)</f>
        <v>0</v>
      </c>
      <c r="G1007" s="123" t="str">
        <f>VLOOKUP(D1007,'MPG Payment '!$E$3:$G$334579,3,0)</f>
        <v>MPG</v>
      </c>
      <c r="H1007" s="124" t="str">
        <f>VLOOKUP(D1007,'MPG Payment '!$E$3:$H$334579,4,0)</f>
        <v>Direct</v>
      </c>
      <c r="I1007" s="88">
        <f>INDEX('MPG Payment '!$C:$C,MATCH('Shayak Income '!D1007,'MPG Payment '!E:E,0))</f>
        <v>1006</v>
      </c>
      <c r="J1007" s="88" t="str">
        <f>INDEX('MPG Payment '!$D:$D,MATCH('Shayak Income '!D1007,'MPG Payment '!E:E,0))</f>
        <v>Sonvarsha</v>
      </c>
      <c r="K1007" s="125" t="s">
        <v>1322</v>
      </c>
      <c r="L1007" s="125">
        <v>45121</v>
      </c>
      <c r="M1007" s="126">
        <f>SUMIF('MPG Payment '!$E$3:$E$34579,'Shayak Income '!D1007,'MPG Payment '!$I$3:$I$34579)</f>
        <v>975.7</v>
      </c>
      <c r="N1007" s="126">
        <f>SUMIF('MPG Payment '!$E$3:$E$34579,'Shayak Income '!D1007,'MPG Payment '!$J$3:$J$34579)</f>
        <v>43435.646055551006</v>
      </c>
      <c r="O1007" s="126">
        <f t="shared" si="384"/>
        <v>731.77500000000009</v>
      </c>
      <c r="P1007" s="126">
        <f t="shared" si="385"/>
        <v>926.91499999999996</v>
      </c>
      <c r="Q1007" s="126">
        <f>SUMIF('MPG Payment '!$E$3:$E$34579,'Shayak Income '!D1007,'MPG Payment '!$S$3:$S$34579)</f>
        <v>767.19685240950014</v>
      </c>
      <c r="R1007" s="126">
        <f t="shared" si="386"/>
        <v>1303.06938166653</v>
      </c>
      <c r="S1007" s="126">
        <f t="shared" si="387"/>
        <v>376.15438166653007</v>
      </c>
      <c r="T1007" s="126">
        <f t="shared" si="377"/>
        <v>97.570000000000007</v>
      </c>
      <c r="U1007" s="127">
        <f>(((IF(K1007="New",0,SUMIF('MPG Payment '!$E$3:$E$34579,'Shayak Income '!D1007,'MPG Payment '!$AC$3:$AC$34579))))+0)+0</f>
        <v>476.52751780821916</v>
      </c>
      <c r="V1007" s="127">
        <f t="shared" si="378"/>
        <v>1852</v>
      </c>
      <c r="W1007" s="19">
        <v>1852</v>
      </c>
      <c r="X1007" s="19">
        <v>0</v>
      </c>
      <c r="Y1007" s="128">
        <f>IFERROR(VLOOKUP(D1007,'Monthly Deduction'!$M$2:$N$64,2,0),0)</f>
        <v>0</v>
      </c>
      <c r="Z1007" s="128">
        <v>0</v>
      </c>
      <c r="AA1007" s="126">
        <f>IFERROR(VLOOKUP(D1007,'Monthly Deduction'!A:B,2,0),0)</f>
        <v>0</v>
      </c>
      <c r="AB1007" s="129">
        <f t="shared" si="388"/>
        <v>0</v>
      </c>
      <c r="AC1007" s="130">
        <v>0</v>
      </c>
      <c r="AD1007" s="35">
        <f t="shared" si="389"/>
        <v>0</v>
      </c>
      <c r="AE1007" s="166" t="str">
        <f t="shared" si="390"/>
        <v>Release</v>
      </c>
      <c r="AF1007" s="127"/>
      <c r="AG1007" s="18">
        <v>0</v>
      </c>
      <c r="AH1007" s="132"/>
      <c r="AI1007" s="238">
        <v>0</v>
      </c>
      <c r="AJ1007" s="132"/>
      <c r="AK1007" s="151">
        <v>1027.2</v>
      </c>
      <c r="AL1007" s="154">
        <f t="shared" si="391"/>
        <v>0</v>
      </c>
      <c r="AM1007" s="155"/>
      <c r="AN1007" s="19">
        <f t="shared" si="374"/>
        <v>1861</v>
      </c>
      <c r="AO1007" s="118">
        <f>SUMIF('MPG Payment '!E:E,'Shayak Income '!D1007,'MPG Payment '!AJ:AJ)</f>
        <v>0</v>
      </c>
      <c r="AP1007" s="19">
        <f t="shared" si="375"/>
        <v>1852</v>
      </c>
      <c r="AQ1007" s="119">
        <f t="shared" si="392"/>
        <v>1852</v>
      </c>
      <c r="AR1007" s="91" t="s">
        <v>1168</v>
      </c>
      <c r="AS1007" s="91">
        <f t="shared" si="376"/>
        <v>13203.0506</v>
      </c>
      <c r="AT1007" s="118"/>
      <c r="AU1007" s="118"/>
      <c r="AV1007" s="118"/>
    </row>
    <row r="1008" spans="1:48" s="20" customFormat="1" x14ac:dyDescent="0.25">
      <c r="A1008" s="17">
        <f>IFERROR(VLOOKUP(D1008,'Monthly Deduction'!$I$3:$J$957,2,0),0)</f>
        <v>0</v>
      </c>
      <c r="B1008" s="17">
        <f>IFERROR(VLOOKUP(D1008,'Monthly Deduction'!$E$3:$F$957,2,0),0)</f>
        <v>0</v>
      </c>
      <c r="C1008" s="17">
        <f t="shared" si="383"/>
        <v>0</v>
      </c>
      <c r="D1008" s="41">
        <v>10060089</v>
      </c>
      <c r="E1008" s="122" t="str">
        <f>VLOOKUP(D1008,'MPG Payment '!$E$3:$G$498218,2,0)</f>
        <v>GOMUKH NAWTOLIYA(OM PRAKASH)</v>
      </c>
      <c r="F1008" s="146">
        <f>IFERROR(_xlfn.XLOOKUP(D1008,'Monthly Deduction'!$I$3:$I$957,'Monthly Deduction'!$H$3:$H$957),0)</f>
        <v>0</v>
      </c>
      <c r="G1008" s="123" t="str">
        <f>VLOOKUP(D1008,'MPG Payment '!$E$3:$G$334579,3,0)</f>
        <v>vlc</v>
      </c>
      <c r="H1008" s="124" t="str">
        <f>VLOOKUP(D1008,'MPG Payment '!$E$3:$H$334579,4,0)</f>
        <v>Indirect</v>
      </c>
      <c r="I1008" s="88">
        <f>INDEX('MPG Payment '!$C:$C,MATCH('Shayak Income '!D1008,'MPG Payment '!E:E,0))</f>
        <v>1006</v>
      </c>
      <c r="J1008" s="88" t="str">
        <f>INDEX('MPG Payment '!$D:$D,MATCH('Shayak Income '!D1008,'MPG Payment '!E:E,0))</f>
        <v>Sonvarsha</v>
      </c>
      <c r="K1008" s="125" t="s">
        <v>1322</v>
      </c>
      <c r="L1008" s="125">
        <v>45659</v>
      </c>
      <c r="M1008" s="126">
        <f>SUMIF('MPG Payment '!$E$3:$E$34579,'Shayak Income '!D1008,'MPG Payment '!$I$3:$I$34579)</f>
        <v>660.2</v>
      </c>
      <c r="N1008" s="126">
        <f>SUMIF('MPG Payment '!$E$3:$E$34579,'Shayak Income '!D1008,'MPG Payment '!$J$3:$J$34579)</f>
        <v>22751.474067753999</v>
      </c>
      <c r="O1008" s="126">
        <f t="shared" si="384"/>
        <v>495.15000000000003</v>
      </c>
      <c r="P1008" s="126">
        <f t="shared" si="385"/>
        <v>627.19000000000005</v>
      </c>
      <c r="Q1008" s="126">
        <f>SUMIF('MPG Payment '!$E$3:$E$34579,'Shayak Income '!D1008,'MPG Payment '!$S$3:$S$34579)</f>
        <v>0</v>
      </c>
      <c r="R1008" s="126">
        <f t="shared" si="386"/>
        <v>682.54422203261993</v>
      </c>
      <c r="S1008" s="126">
        <f t="shared" si="387"/>
        <v>55.354222032619873</v>
      </c>
      <c r="T1008" s="126">
        <f t="shared" si="377"/>
        <v>66.02000000000001</v>
      </c>
      <c r="U1008" s="127">
        <f>(((IF(K1008="New",0,SUMIF('MPG Payment '!$E$3:$E$34579,'Shayak Income '!D1008,'MPG Payment '!$AC$3:$AC$34579))))+0)+0</f>
        <v>510.54461152115618</v>
      </c>
      <c r="V1008" s="127">
        <f t="shared" si="378"/>
        <v>546</v>
      </c>
      <c r="W1008" s="19">
        <f t="shared" si="379"/>
        <v>0</v>
      </c>
      <c r="X1008" s="19">
        <f t="shared" si="380"/>
        <v>0</v>
      </c>
      <c r="Y1008" s="128">
        <f>IFERROR(VLOOKUP(D1008,'Monthly Deduction'!$M$2:$N$64,2,0),0)</f>
        <v>0</v>
      </c>
      <c r="Z1008" s="128">
        <v>0</v>
      </c>
      <c r="AA1008" s="126">
        <f>IFERROR(VLOOKUP(D1008,'Monthly Deduction'!A:B,2,0),0)</f>
        <v>0</v>
      </c>
      <c r="AB1008" s="129">
        <f t="shared" si="388"/>
        <v>546</v>
      </c>
      <c r="AC1008" s="130">
        <v>0</v>
      </c>
      <c r="AD1008" s="35">
        <f t="shared" si="389"/>
        <v>546</v>
      </c>
      <c r="AE1008" s="166" t="str">
        <f t="shared" si="390"/>
        <v>Release</v>
      </c>
      <c r="AF1008" s="127"/>
      <c r="AG1008" s="18">
        <v>0</v>
      </c>
      <c r="AH1008" s="120"/>
      <c r="AI1008" s="238">
        <v>0</v>
      </c>
      <c r="AJ1008" s="132"/>
      <c r="AK1008" s="151">
        <v>221.20000000000002</v>
      </c>
      <c r="AL1008" s="154">
        <f t="shared" si="391"/>
        <v>0</v>
      </c>
      <c r="AM1008" s="155"/>
      <c r="AN1008" s="19">
        <f t="shared" si="374"/>
        <v>0</v>
      </c>
      <c r="AO1008" s="118">
        <f>SUMIF('MPG Payment '!E:E,'Shayak Income '!D1008,'MPG Payment '!AJ:AJ)</f>
        <v>0</v>
      </c>
      <c r="AP1008" s="19">
        <f t="shared" si="375"/>
        <v>0</v>
      </c>
      <c r="AQ1008" s="119">
        <f t="shared" si="392"/>
        <v>0</v>
      </c>
      <c r="AR1008" s="91" t="s">
        <v>1168</v>
      </c>
      <c r="AS1008" s="91">
        <f t="shared" si="376"/>
        <v>0</v>
      </c>
      <c r="AT1008" s="118"/>
      <c r="AU1008" s="118"/>
      <c r="AV1008" s="118"/>
    </row>
    <row r="1009" spans="1:48" s="20" customFormat="1" x14ac:dyDescent="0.25">
      <c r="A1009" s="17">
        <f>IFERROR(VLOOKUP(D1009,'Monthly Deduction'!$I$3:$J$957,2,0),0)</f>
        <v>0</v>
      </c>
      <c r="B1009" s="17">
        <f>IFERROR(VLOOKUP(D1009,'Monthly Deduction'!$E$3:$F$957,2,0),0)</f>
        <v>0</v>
      </c>
      <c r="C1009" s="17">
        <f t="shared" si="383"/>
        <v>0</v>
      </c>
      <c r="D1009" s="41">
        <v>10080073</v>
      </c>
      <c r="E1009" s="122" t="str">
        <f>VLOOKUP(D1009,'MPG Payment '!$E$3:$G$498218,2,0)</f>
        <v>PAWAN RAY</v>
      </c>
      <c r="F1009" s="146">
        <f>IFERROR(_xlfn.XLOOKUP(D1009,'Monthly Deduction'!$I$3:$I$957,'Monthly Deduction'!$H$3:$H$957),0)</f>
        <v>0</v>
      </c>
      <c r="G1009" s="123" t="str">
        <f>VLOOKUP(D1009,'MPG Payment '!$E$3:$G$334579,3,0)</f>
        <v>vlc</v>
      </c>
      <c r="H1009" s="124" t="str">
        <f>VLOOKUP(D1009,'MPG Payment '!$E$3:$H$334579,4,0)</f>
        <v>Indirect</v>
      </c>
      <c r="I1009" s="88">
        <f>INDEX('MPG Payment '!$C:$C,MATCH('Shayak Income '!D1009,'MPG Payment '!E:E,0))</f>
        <v>1008</v>
      </c>
      <c r="J1009" s="88" t="str">
        <f>INDEX('MPG Payment '!$D:$D,MATCH('Shayak Income '!D1009,'MPG Payment '!E:E,0))</f>
        <v>Teghra</v>
      </c>
      <c r="K1009" s="125" t="s">
        <v>1322</v>
      </c>
      <c r="L1009" s="125">
        <v>45530</v>
      </c>
      <c r="M1009" s="126">
        <f>SUMIF('MPG Payment '!$E$3:$E$34579,'Shayak Income '!D1009,'MPG Payment '!$I$3:$I$34579)</f>
        <v>622.84999999999991</v>
      </c>
      <c r="N1009" s="126">
        <f>SUMIF('MPG Payment '!$E$3:$E$34579,'Shayak Income '!D1009,'MPG Payment '!$J$3:$J$34579)</f>
        <v>26180.464270793</v>
      </c>
      <c r="O1009" s="126">
        <f t="shared" si="384"/>
        <v>467.13749999999993</v>
      </c>
      <c r="P1009" s="126">
        <f t="shared" si="385"/>
        <v>591.70749999999987</v>
      </c>
      <c r="Q1009" s="126">
        <f>SUMIF('MPG Payment '!$E$3:$E$34579,'Shayak Income '!D1009,'MPG Payment '!$S$3:$S$34579)</f>
        <v>0</v>
      </c>
      <c r="R1009" s="126">
        <f t="shared" si="386"/>
        <v>785.41392812379001</v>
      </c>
      <c r="S1009" s="126">
        <f t="shared" si="387"/>
        <v>193.70642812379015</v>
      </c>
      <c r="T1009" s="126">
        <f t="shared" si="377"/>
        <v>62.284999999999997</v>
      </c>
      <c r="U1009" s="127">
        <f>(((IF(K1009="New",0,SUMIF('MPG Payment '!$E$3:$E$34579,'Shayak Income '!D1009,'MPG Payment '!$AC$3:$AC$34579))))+0)+0</f>
        <v>652.01855509040183</v>
      </c>
      <c r="V1009" s="127">
        <f t="shared" si="378"/>
        <v>345</v>
      </c>
      <c r="W1009" s="19">
        <f t="shared" si="379"/>
        <v>0</v>
      </c>
      <c r="X1009" s="19">
        <f t="shared" si="380"/>
        <v>0</v>
      </c>
      <c r="Y1009" s="128">
        <f>IFERROR(VLOOKUP(D1009,'Monthly Deduction'!$M$2:$N$64,2,0),0)</f>
        <v>0</v>
      </c>
      <c r="Z1009" s="128">
        <v>0</v>
      </c>
      <c r="AA1009" s="126">
        <f>IFERROR(VLOOKUP(D1009,'Monthly Deduction'!A:B,2,0),0)</f>
        <v>0</v>
      </c>
      <c r="AB1009" s="129">
        <f t="shared" si="388"/>
        <v>345</v>
      </c>
      <c r="AC1009" s="130">
        <v>0</v>
      </c>
      <c r="AD1009" s="35">
        <f t="shared" si="389"/>
        <v>345</v>
      </c>
      <c r="AE1009" s="166" t="str">
        <f t="shared" si="390"/>
        <v>Release</v>
      </c>
      <c r="AF1009" s="127"/>
      <c r="AG1009" s="18">
        <v>0</v>
      </c>
      <c r="AH1009" s="120"/>
      <c r="AI1009" s="238">
        <v>0</v>
      </c>
      <c r="AJ1009" s="132"/>
      <c r="AK1009" s="151">
        <v>2299.1000000000004</v>
      </c>
      <c r="AL1009" s="154">
        <f t="shared" si="391"/>
        <v>0</v>
      </c>
      <c r="AM1009" s="155"/>
      <c r="AN1009" s="19">
        <f t="shared" si="374"/>
        <v>0</v>
      </c>
      <c r="AO1009" s="118">
        <f>SUMIF('MPG Payment '!E:E,'Shayak Income '!D1009,'MPG Payment '!AJ:AJ)</f>
        <v>0</v>
      </c>
      <c r="AP1009" s="19">
        <f t="shared" si="375"/>
        <v>0</v>
      </c>
      <c r="AQ1009" s="119">
        <f t="shared" si="392"/>
        <v>0</v>
      </c>
      <c r="AR1009" s="91" t="s">
        <v>1168</v>
      </c>
      <c r="AS1009" s="91">
        <f t="shared" si="376"/>
        <v>0</v>
      </c>
      <c r="AT1009" s="118"/>
      <c r="AU1009" s="118"/>
      <c r="AV1009" s="118"/>
    </row>
    <row r="1010" spans="1:48" s="20" customFormat="1" x14ac:dyDescent="0.25">
      <c r="A1010" s="17">
        <f>IFERROR(VLOOKUP(D1010,'Monthly Deduction'!$I$3:$J$957,2,0),0)</f>
        <v>87675</v>
      </c>
      <c r="B1010" s="17">
        <f>IFERROR(VLOOKUP(D1010,'Monthly Deduction'!$E$3:$F$957,2,0),0)</f>
        <v>0</v>
      </c>
      <c r="C1010" s="17">
        <f t="shared" si="383"/>
        <v>87675</v>
      </c>
      <c r="D1010" s="41">
        <v>10080098</v>
      </c>
      <c r="E1010" s="122" t="str">
        <f>VLOOKUP(D1010,'MPG Payment '!$E$3:$G$498218,2,0)</f>
        <v>Rani Panchwati</v>
      </c>
      <c r="F1010" s="146">
        <f>IFERROR(_xlfn.XLOOKUP(D1010,'Monthly Deduction'!$I$3:$I$957,'Monthly Deduction'!$H$3:$H$957),0)</f>
        <v>0</v>
      </c>
      <c r="G1010" s="123" t="str">
        <f>VLOOKUP(D1010,'MPG Payment '!$E$3:$G$334579,3,0)</f>
        <v>MPG</v>
      </c>
      <c r="H1010" s="124" t="str">
        <f>VLOOKUP(D1010,'MPG Payment '!$E$3:$H$334579,4,0)</f>
        <v>Direct</v>
      </c>
      <c r="I1010" s="88">
        <f>INDEX('MPG Payment '!$C:$C,MATCH('Shayak Income '!D1010,'MPG Payment '!E:E,0))</f>
        <v>1008</v>
      </c>
      <c r="J1010" s="88" t="str">
        <f>INDEX('MPG Payment '!$D:$D,MATCH('Shayak Income '!D1010,'MPG Payment '!E:E,0))</f>
        <v>Teghra</v>
      </c>
      <c r="K1010" s="125" t="s">
        <v>1322</v>
      </c>
      <c r="L1010" s="125">
        <v>45815</v>
      </c>
      <c r="M1010" s="126">
        <f>SUMIF('MPG Payment '!$E$3:$E$34579,'Shayak Income '!D1010,'MPG Payment '!$I$3:$I$34579)</f>
        <v>31.549999999999997</v>
      </c>
      <c r="N1010" s="126">
        <f>SUMIF('MPG Payment '!$E$3:$E$34579,'Shayak Income '!D1010,'MPG Payment '!$J$3:$J$34579)</f>
        <v>1259.9208662200001</v>
      </c>
      <c r="O1010" s="126">
        <f t="shared" si="384"/>
        <v>23.662499999999998</v>
      </c>
      <c r="P1010" s="126">
        <f t="shared" si="385"/>
        <v>29.972499999999997</v>
      </c>
      <c r="Q1010" s="126">
        <f>SUMIF('MPG Payment '!$E$3:$E$34579,'Shayak Income '!D1010,'MPG Payment '!$S$3:$S$34579)</f>
        <v>9.5538446720000003</v>
      </c>
      <c r="R1010" s="126">
        <f t="shared" si="386"/>
        <v>37.797625986600004</v>
      </c>
      <c r="S1010" s="126">
        <f t="shared" si="387"/>
        <v>7.8251259866000069</v>
      </c>
      <c r="T1010" s="126">
        <f t="shared" si="377"/>
        <v>3.1549999999999998</v>
      </c>
      <c r="U1010" s="127">
        <f>(((IF(K1010="New",0,SUMIF('MPG Payment '!$E$3:$E$34579,'Shayak Income '!D1010,'MPG Payment '!$AC$3:$AC$34579))))+0)+-1011</f>
        <v>59.708551475600188</v>
      </c>
      <c r="V1010" s="127">
        <f t="shared" si="378"/>
        <v>0</v>
      </c>
      <c r="W1010" s="19">
        <v>0</v>
      </c>
      <c r="X1010" s="19">
        <v>0</v>
      </c>
      <c r="Y1010" s="128">
        <f>IFERROR(VLOOKUP(D1010,'Monthly Deduction'!$M$2:$N$64,2,0),0)</f>
        <v>0</v>
      </c>
      <c r="Z1010" s="128">
        <v>0</v>
      </c>
      <c r="AA1010" s="126">
        <f>IFERROR(VLOOKUP(D1010,'Monthly Deduction'!A:B,2,0),0)</f>
        <v>0</v>
      </c>
      <c r="AB1010" s="129">
        <f t="shared" si="388"/>
        <v>0</v>
      </c>
      <c r="AC1010" s="130">
        <f t="shared" ref="AC1010:AC1011" si="393">AB1010</f>
        <v>0</v>
      </c>
      <c r="AD1010" s="35">
        <f t="shared" si="389"/>
        <v>0</v>
      </c>
      <c r="AE1010" s="166" t="str">
        <f t="shared" si="390"/>
        <v>Release</v>
      </c>
      <c r="AF1010" s="127"/>
      <c r="AG1010" s="18">
        <v>0</v>
      </c>
      <c r="AH1010" s="120" t="s">
        <v>1646</v>
      </c>
      <c r="AI1010" s="238">
        <v>2403</v>
      </c>
      <c r="AJ1010" s="132"/>
      <c r="AK1010" s="151">
        <v>69.55</v>
      </c>
      <c r="AL1010" s="154">
        <f t="shared" si="391"/>
        <v>0</v>
      </c>
      <c r="AM1010" s="155"/>
      <c r="AN1010" s="19">
        <f t="shared" si="374"/>
        <v>1861</v>
      </c>
      <c r="AO1010" s="118">
        <f>SUMIF('MPG Payment '!E:E,'Shayak Income '!D1010,'MPG Payment '!AJ:AJ)</f>
        <v>0</v>
      </c>
      <c r="AP1010" s="19">
        <f t="shared" si="375"/>
        <v>0</v>
      </c>
      <c r="AQ1010" s="119">
        <f t="shared" si="392"/>
        <v>0</v>
      </c>
      <c r="AR1010" s="91" t="s">
        <v>1168</v>
      </c>
      <c r="AS1010" s="91">
        <f t="shared" si="376"/>
        <v>0</v>
      </c>
      <c r="AT1010" s="118"/>
      <c r="AU1010" s="118"/>
      <c r="AV1010" s="118"/>
    </row>
    <row r="1011" spans="1:48" s="20" customFormat="1" x14ac:dyDescent="0.25">
      <c r="A1011" s="17">
        <f>IFERROR(VLOOKUP(D1011,'Monthly Deduction'!$I$3:$J$957,2,0),0)</f>
        <v>0</v>
      </c>
      <c r="B1011" s="17">
        <f>IFERROR(VLOOKUP(D1011,'Monthly Deduction'!$E$3:$F$957,2,0),0)</f>
        <v>0</v>
      </c>
      <c r="C1011" s="17">
        <f t="shared" si="383"/>
        <v>0</v>
      </c>
      <c r="D1011" s="41">
        <v>10100063</v>
      </c>
      <c r="E1011" s="122" t="str">
        <f>VLOOKUP(D1011,'MPG Payment '!$E$3:$G$498218,2,0)</f>
        <v>Gomukh Jitendra Yadav Vlc</v>
      </c>
      <c r="F1011" s="146">
        <f>IFERROR(_xlfn.XLOOKUP(D1011,'Monthly Deduction'!$I$3:$I$957,'Monthly Deduction'!$H$3:$H$957),0)</f>
        <v>0</v>
      </c>
      <c r="G1011" s="123" t="str">
        <f>VLOOKUP(D1011,'MPG Payment '!$E$3:$G$334579,3,0)</f>
        <v>vlc</v>
      </c>
      <c r="H1011" s="124" t="str">
        <f>VLOOKUP(D1011,'MPG Payment '!$E$3:$H$334579,4,0)</f>
        <v>Indirect</v>
      </c>
      <c r="I1011" s="88">
        <f>INDEX('MPG Payment '!$C:$C,MATCH('Shayak Income '!D1011,'MPG Payment '!E:E,0))</f>
        <v>1010</v>
      </c>
      <c r="J1011" s="88" t="str">
        <f>INDEX('MPG Payment '!$D:$D,MATCH('Shayak Income '!D1011,'MPG Payment '!E:E,0))</f>
        <v>Parbatta</v>
      </c>
      <c r="K1011" s="125" t="s">
        <v>1322</v>
      </c>
      <c r="L1011" s="125">
        <v>46058</v>
      </c>
      <c r="M1011" s="126">
        <f>SUMIF('MPG Payment '!$E$3:$E$34579,'Shayak Income '!D1011,'MPG Payment '!$I$3:$I$34579)</f>
        <v>1041.7</v>
      </c>
      <c r="N1011" s="126">
        <f>SUMIF('MPG Payment '!$E$3:$E$34579,'Shayak Income '!D1011,'MPG Payment '!$J$3:$J$34579)</f>
        <v>44203.852040764497</v>
      </c>
      <c r="O1011" s="126">
        <f t="shared" si="384"/>
        <v>781.27500000000009</v>
      </c>
      <c r="P1011" s="126">
        <f t="shared" si="385"/>
        <v>989.61500000000001</v>
      </c>
      <c r="Q1011" s="126">
        <f>SUMIF('MPG Payment '!$E$3:$E$34579,'Shayak Income '!D1011,'MPG Payment '!$S$3:$S$34579)</f>
        <v>0</v>
      </c>
      <c r="R1011" s="126">
        <f t="shared" si="386"/>
        <v>1326.115561222935</v>
      </c>
      <c r="S1011" s="126">
        <f t="shared" si="387"/>
        <v>336.50056122293495</v>
      </c>
      <c r="T1011" s="126">
        <f t="shared" si="377"/>
        <v>104.17000000000002</v>
      </c>
      <c r="U1011" s="127">
        <f>(((IF(K1011="New",0,SUMIF('MPG Payment '!$E$3:$E$34579,'Shayak Income '!D1011,'MPG Payment '!$AC$3:$AC$34579))))+0)+0</f>
        <v>296.57484569132146</v>
      </c>
      <c r="V1011" s="127">
        <f t="shared" si="378"/>
        <v>1370</v>
      </c>
      <c r="W1011" s="19">
        <f t="shared" si="379"/>
        <v>0</v>
      </c>
      <c r="X1011" s="19">
        <f t="shared" si="380"/>
        <v>0</v>
      </c>
      <c r="Y1011" s="128">
        <f>IFERROR(VLOOKUP(D1011,'Monthly Deduction'!$M$2:$N$64,2,0),0)</f>
        <v>0</v>
      </c>
      <c r="Z1011" s="128">
        <v>0</v>
      </c>
      <c r="AA1011" s="126">
        <f>IFERROR(VLOOKUP(D1011,'Monthly Deduction'!A:B,2,0),0)</f>
        <v>0</v>
      </c>
      <c r="AB1011" s="129">
        <f t="shared" si="388"/>
        <v>1370</v>
      </c>
      <c r="AC1011" s="130">
        <f t="shared" si="393"/>
        <v>1370</v>
      </c>
      <c r="AD1011" s="35">
        <f t="shared" si="389"/>
        <v>0</v>
      </c>
      <c r="AE1011" s="166" t="str">
        <f t="shared" si="390"/>
        <v>Yes</v>
      </c>
      <c r="AF1011" s="127"/>
      <c r="AG1011" s="18">
        <v>0</v>
      </c>
      <c r="AH1011" s="132" t="s">
        <v>1648</v>
      </c>
      <c r="AI1011" s="238">
        <v>0</v>
      </c>
      <c r="AJ1011" s="132"/>
      <c r="AK1011" s="151">
        <v>0</v>
      </c>
      <c r="AL1011" s="154">
        <f t="shared" si="391"/>
        <v>0</v>
      </c>
      <c r="AM1011" s="155"/>
      <c r="AN1011" s="19">
        <f t="shared" si="374"/>
        <v>0</v>
      </c>
      <c r="AO1011" s="118">
        <f>SUMIF('MPG Payment '!E:E,'Shayak Income '!D1011,'MPG Payment '!AJ:AJ)</f>
        <v>0</v>
      </c>
      <c r="AP1011" s="19">
        <f t="shared" si="375"/>
        <v>0</v>
      </c>
      <c r="AQ1011" s="119">
        <f t="shared" si="392"/>
        <v>0</v>
      </c>
      <c r="AR1011" s="91" t="s">
        <v>1168</v>
      </c>
      <c r="AS1011" s="91">
        <f t="shared" si="376"/>
        <v>0</v>
      </c>
      <c r="AT1011" s="118"/>
      <c r="AU1011" s="118"/>
      <c r="AV1011" s="118"/>
    </row>
    <row r="1012" spans="1:48" s="20" customFormat="1" x14ac:dyDescent="0.25">
      <c r="A1012" s="17">
        <f>IFERROR(VLOOKUP(D1012,'Monthly Deduction'!$I$3:$J$957,2,0),0)</f>
        <v>0</v>
      </c>
      <c r="B1012" s="17">
        <f>IFERROR(VLOOKUP(D1012,'Monthly Deduction'!$E$3:$F$957,2,0),0)</f>
        <v>0</v>
      </c>
      <c r="C1012" s="17">
        <f t="shared" si="383"/>
        <v>0</v>
      </c>
      <c r="D1012" s="41">
        <v>10100071</v>
      </c>
      <c r="E1012" s="122" t="str">
        <f>VLOOKUP(D1012,'MPG Payment '!$E$3:$G$498218,2,0)</f>
        <v>Gomukh Parbatta Vlc</v>
      </c>
      <c r="F1012" s="146">
        <f>IFERROR(_xlfn.XLOOKUP(D1012,'Monthly Deduction'!$I$3:$I$957,'Monthly Deduction'!$H$3:$H$957),0)</f>
        <v>0</v>
      </c>
      <c r="G1012" s="123" t="str">
        <f>VLOOKUP(D1012,'MPG Payment '!$E$3:$G$334579,3,0)</f>
        <v>vlc</v>
      </c>
      <c r="H1012" s="124" t="str">
        <f>VLOOKUP(D1012,'MPG Payment '!$E$3:$H$334579,4,0)</f>
        <v>Indirect</v>
      </c>
      <c r="I1012" s="88">
        <f>INDEX('MPG Payment '!$C:$C,MATCH('Shayak Income '!D1012,'MPG Payment '!E:E,0))</f>
        <v>1010</v>
      </c>
      <c r="J1012" s="88" t="str">
        <f>INDEX('MPG Payment '!$D:$D,MATCH('Shayak Income '!D1012,'MPG Payment '!E:E,0))</f>
        <v>Parbatta</v>
      </c>
      <c r="K1012" s="125" t="s">
        <v>1323</v>
      </c>
      <c r="L1012" s="125">
        <v>46159</v>
      </c>
      <c r="M1012" s="126">
        <f>SUMIF('MPG Payment '!$E$3:$E$34579,'Shayak Income '!D1012,'MPG Payment '!$I$3:$I$34579)</f>
        <v>6302.9</v>
      </c>
      <c r="N1012" s="126">
        <f>SUMIF('MPG Payment '!$E$3:$E$34579,'Shayak Income '!D1012,'MPG Payment '!$J$3:$J$34579)</f>
        <v>299111.37225010642</v>
      </c>
      <c r="O1012" s="126">
        <f t="shared" si="384"/>
        <v>4727.1749999999993</v>
      </c>
      <c r="P1012" s="126">
        <f t="shared" si="385"/>
        <v>5987.7549999999992</v>
      </c>
      <c r="Q1012" s="126">
        <f>SUMIF('MPG Payment '!$E$3:$E$34579,'Shayak Income '!D1012,'MPG Payment '!$S$3:$S$34579)</f>
        <v>0</v>
      </c>
      <c r="R1012" s="126">
        <f t="shared" si="386"/>
        <v>8973.341167503193</v>
      </c>
      <c r="S1012" s="126">
        <f t="shared" si="387"/>
        <v>2985.5861675031938</v>
      </c>
      <c r="T1012" s="126">
        <f t="shared" si="377"/>
        <v>630.29</v>
      </c>
      <c r="U1012" s="127">
        <f>(((IF(K1012="New",0,SUMIF('MPG Payment '!$E$3:$E$34579,'Shayak Income '!D1012,'MPG Payment '!$AC$3:$AC$34579))))+0)+0</f>
        <v>0</v>
      </c>
      <c r="V1012" s="127">
        <f t="shared" si="378"/>
        <v>10085</v>
      </c>
      <c r="W1012" s="19">
        <v>0</v>
      </c>
      <c r="X1012" s="19">
        <v>0</v>
      </c>
      <c r="Y1012" s="128">
        <f>IFERROR(VLOOKUP(D1012,'Monthly Deduction'!$M$2:$N$64,2,0),0)</f>
        <v>0</v>
      </c>
      <c r="Z1012" s="128">
        <v>0</v>
      </c>
      <c r="AA1012" s="126">
        <f>IFERROR(VLOOKUP(D1012,'Monthly Deduction'!A:B,2,0),0)</f>
        <v>0</v>
      </c>
      <c r="AB1012" s="129">
        <f t="shared" si="388"/>
        <v>10085</v>
      </c>
      <c r="AC1012" s="130">
        <v>0</v>
      </c>
      <c r="AD1012" s="35">
        <f t="shared" si="389"/>
        <v>10085</v>
      </c>
      <c r="AE1012" s="166" t="str">
        <f t="shared" si="390"/>
        <v>Release</v>
      </c>
      <c r="AF1012" s="127"/>
      <c r="AG1012" s="234">
        <v>0</v>
      </c>
      <c r="AH1012" s="120"/>
      <c r="AI1012" s="238">
        <v>0</v>
      </c>
      <c r="AJ1012" s="132"/>
      <c r="AK1012" s="151">
        <v>4711.1999999999989</v>
      </c>
      <c r="AL1012" s="154">
        <f t="shared" si="391"/>
        <v>0</v>
      </c>
      <c r="AM1012" s="155"/>
      <c r="AN1012" s="19">
        <f t="shared" si="374"/>
        <v>0</v>
      </c>
      <c r="AO1012" s="118">
        <f>SUMIF('MPG Payment '!E:E,'Shayak Income '!D1012,'MPG Payment '!AJ:AJ)</f>
        <v>0</v>
      </c>
      <c r="AP1012" s="19">
        <f t="shared" si="375"/>
        <v>0</v>
      </c>
      <c r="AQ1012" s="119">
        <f t="shared" si="392"/>
        <v>0</v>
      </c>
      <c r="AR1012" s="91" t="s">
        <v>1168</v>
      </c>
      <c r="AS1012" s="91">
        <f t="shared" si="376"/>
        <v>0</v>
      </c>
      <c r="AT1012" s="118"/>
      <c r="AU1012" s="118"/>
      <c r="AV1012" s="118"/>
    </row>
    <row r="1013" spans="1:48" s="20" customFormat="1" x14ac:dyDescent="0.25">
      <c r="A1013" s="17">
        <f>IFERROR(VLOOKUP(D1013,'Monthly Deduction'!$I$3:$J$957,2,0),0)</f>
        <v>0</v>
      </c>
      <c r="B1013" s="17">
        <f>IFERROR(VLOOKUP(D1013,'Monthly Deduction'!$E$3:$F$957,2,0),0)</f>
        <v>0</v>
      </c>
      <c r="C1013" s="17">
        <f t="shared" si="383"/>
        <v>0</v>
      </c>
      <c r="D1013" s="41">
        <v>10120081</v>
      </c>
      <c r="E1013" s="122" t="str">
        <f>VLOOKUP(D1013,'MPG Payment '!$E$3:$G$498218,2,0)</f>
        <v>Musapur Bichla Tol-Prashant</v>
      </c>
      <c r="F1013" s="146">
        <f>IFERROR(_xlfn.XLOOKUP(D1013,'Monthly Deduction'!$I$3:$I$957,'Monthly Deduction'!$H$3:$H$957),0)</f>
        <v>0</v>
      </c>
      <c r="G1013" s="123" t="str">
        <f>VLOOKUP(D1013,'MPG Payment '!$E$3:$G$334579,3,0)</f>
        <v>vlc</v>
      </c>
      <c r="H1013" s="124" t="str">
        <f>VLOOKUP(D1013,'MPG Payment '!$E$3:$H$334579,4,0)</f>
        <v>Indirect</v>
      </c>
      <c r="I1013" s="88">
        <f>INDEX('MPG Payment '!$C:$C,MATCH('Shayak Income '!D1013,'MPG Payment '!E:E,0))</f>
        <v>1012</v>
      </c>
      <c r="J1013" s="88" t="str">
        <f>INDEX('MPG Payment '!$D:$D,MATCH('Shayak Income '!D1013,'MPG Payment '!E:E,0))</f>
        <v>DalsinghSarai</v>
      </c>
      <c r="K1013" s="125" t="s">
        <v>1322</v>
      </c>
      <c r="L1013" s="125">
        <v>45526</v>
      </c>
      <c r="M1013" s="126">
        <f>SUMIF('MPG Payment '!$E$3:$E$34579,'Shayak Income '!D1013,'MPG Payment '!$I$3:$I$34579)</f>
        <v>75.069999999999993</v>
      </c>
      <c r="N1013" s="126">
        <f>SUMIF('MPG Payment '!$E$3:$E$34579,'Shayak Income '!D1013,'MPG Payment '!$J$3:$J$34579)</f>
        <v>2334.6799999999998</v>
      </c>
      <c r="O1013" s="126">
        <f t="shared" si="384"/>
        <v>56.302499999999995</v>
      </c>
      <c r="P1013" s="126">
        <f t="shared" si="385"/>
        <v>71.316499999999991</v>
      </c>
      <c r="Q1013" s="126">
        <f>SUMIF('MPG Payment '!$E$3:$E$34579,'Shayak Income '!D1013,'MPG Payment '!$S$3:$S$34579)</f>
        <v>0</v>
      </c>
      <c r="R1013" s="126">
        <f t="shared" si="386"/>
        <v>70.040399999999991</v>
      </c>
      <c r="S1013" s="126">
        <f t="shared" si="387"/>
        <v>-1.2760999999999996</v>
      </c>
      <c r="T1013" s="126">
        <f t="shared" si="377"/>
        <v>7.5069999999999997</v>
      </c>
      <c r="U1013" s="127">
        <f>(((IF(K1013="New",0,SUMIF('MPG Payment '!$E$3:$E$34579,'Shayak Income '!D1013,'MPG Payment '!$AC$3:$AC$34579))))+0)+-269</f>
        <v>119.70695947782082</v>
      </c>
      <c r="V1013" s="127">
        <f t="shared" si="378"/>
        <v>0</v>
      </c>
      <c r="W1013" s="19">
        <v>0</v>
      </c>
      <c r="X1013" s="19">
        <v>0</v>
      </c>
      <c r="Y1013" s="128">
        <f>IFERROR(VLOOKUP(D1013,'Monthly Deduction'!$M$2:$N$64,2,0),0)</f>
        <v>0</v>
      </c>
      <c r="Z1013" s="128">
        <v>0</v>
      </c>
      <c r="AA1013" s="126">
        <f>IFERROR(VLOOKUP(D1013,'Monthly Deduction'!A:B,2,0),0)</f>
        <v>0</v>
      </c>
      <c r="AB1013" s="129">
        <f t="shared" si="388"/>
        <v>0</v>
      </c>
      <c r="AC1013" s="130">
        <f t="shared" ref="AC1013:AC1014" si="394">AB1013</f>
        <v>0</v>
      </c>
      <c r="AD1013" s="35">
        <f t="shared" si="389"/>
        <v>0</v>
      </c>
      <c r="AE1013" s="166" t="str">
        <f t="shared" si="390"/>
        <v>Release</v>
      </c>
      <c r="AF1013" s="127"/>
      <c r="AG1013" s="18">
        <v>0</v>
      </c>
      <c r="AH1013" s="132" t="s">
        <v>1648</v>
      </c>
      <c r="AI1013" s="238">
        <v>0</v>
      </c>
      <c r="AJ1013" s="132"/>
      <c r="AK1013" s="151">
        <v>0</v>
      </c>
      <c r="AL1013" s="154">
        <f t="shared" si="391"/>
        <v>0</v>
      </c>
      <c r="AM1013" s="155"/>
      <c r="AN1013" s="19">
        <f t="shared" si="374"/>
        <v>0</v>
      </c>
      <c r="AO1013" s="118">
        <f>SUMIF('MPG Payment '!E:E,'Shayak Income '!D1013,'MPG Payment '!AJ:AJ)</f>
        <v>0</v>
      </c>
      <c r="AP1013" s="19">
        <f t="shared" si="375"/>
        <v>0</v>
      </c>
      <c r="AQ1013" s="119">
        <f t="shared" si="392"/>
        <v>0</v>
      </c>
      <c r="AR1013" s="91" t="s">
        <v>1168</v>
      </c>
      <c r="AS1013" s="91">
        <f t="shared" si="376"/>
        <v>0</v>
      </c>
      <c r="AT1013" s="118"/>
      <c r="AU1013" s="118"/>
      <c r="AV1013" s="118"/>
    </row>
    <row r="1014" spans="1:48" s="20" customFormat="1" x14ac:dyDescent="0.25">
      <c r="A1014" s="17">
        <f>IFERROR(VLOOKUP(D1014,'Monthly Deduction'!$I$3:$J$957,2,0),0)</f>
        <v>103615</v>
      </c>
      <c r="B1014" s="17">
        <f>IFERROR(VLOOKUP(D1014,'Monthly Deduction'!$E$3:$F$957,2,0),0)</f>
        <v>8550</v>
      </c>
      <c r="C1014" s="17">
        <f t="shared" si="383"/>
        <v>112165</v>
      </c>
      <c r="D1014" s="41">
        <v>10130095</v>
      </c>
      <c r="E1014" s="122" t="str">
        <f>VLOOKUP(D1014,'MPG Payment '!$E$3:$G$498218,2,0)</f>
        <v>Gomukh Saidpur</v>
      </c>
      <c r="F1014" s="146">
        <f>IFERROR(_xlfn.XLOOKUP(D1014,'Monthly Deduction'!$I$3:$I$957,'Monthly Deduction'!$H$3:$H$957),0)</f>
        <v>0</v>
      </c>
      <c r="G1014" s="123" t="str">
        <f>VLOOKUP(D1014,'MPG Payment '!$E$3:$G$334579,3,0)</f>
        <v>MPG</v>
      </c>
      <c r="H1014" s="124" t="str">
        <f>VLOOKUP(D1014,'MPG Payment '!$E$3:$H$334579,4,0)</f>
        <v>Direct</v>
      </c>
      <c r="I1014" s="88">
        <f>INDEX('MPG Payment '!$C:$C,MATCH('Shayak Income '!D1014,'MPG Payment '!E:E,0))</f>
        <v>1013</v>
      </c>
      <c r="J1014" s="88" t="str">
        <f>INDEX('MPG Payment '!$D:$D,MATCH('Shayak Income '!D1014,'MPG Payment '!E:E,0))</f>
        <v>Musrigharari</v>
      </c>
      <c r="K1014" s="125" t="s">
        <v>1322</v>
      </c>
      <c r="L1014" s="125">
        <v>45740</v>
      </c>
      <c r="M1014" s="126">
        <f>SUMIF('MPG Payment '!$E$3:$E$34579,'Shayak Income '!D1014,'MPG Payment '!$I$3:$I$34579)</f>
        <v>0.1</v>
      </c>
      <c r="N1014" s="126">
        <f>SUMIF('MPG Payment '!$E$3:$E$34579,'Shayak Income '!D1014,'MPG Payment '!$J$3:$J$34579)</f>
        <v>4.09</v>
      </c>
      <c r="O1014" s="126">
        <f t="shared" si="384"/>
        <v>7.5000000000000011E-2</v>
      </c>
      <c r="P1014" s="126">
        <f t="shared" si="385"/>
        <v>9.5000000000000001E-2</v>
      </c>
      <c r="Q1014" s="126">
        <f>SUMIF('MPG Payment '!$E$3:$E$34579,'Shayak Income '!D1014,'MPG Payment '!$S$3:$S$34579)</f>
        <v>0</v>
      </c>
      <c r="R1014" s="126">
        <f t="shared" si="386"/>
        <v>0.12269999999999999</v>
      </c>
      <c r="S1014" s="126">
        <f t="shared" si="387"/>
        <v>2.7699999999999989E-2</v>
      </c>
      <c r="T1014" s="126">
        <f t="shared" si="377"/>
        <v>1.0000000000000002E-2</v>
      </c>
      <c r="U1014" s="127">
        <f>(((IF(K1014="New",0,SUMIF('MPG Payment '!$E$3:$E$34579,'Shayak Income '!D1014,'MPG Payment '!$AC$3:$AC$34579))))+0)+-572</f>
        <v>0.5181999999999789</v>
      </c>
      <c r="V1014" s="127">
        <f t="shared" si="378"/>
        <v>0</v>
      </c>
      <c r="W1014" s="19">
        <v>0</v>
      </c>
      <c r="X1014" s="19">
        <v>0</v>
      </c>
      <c r="Y1014" s="128">
        <f>IFERROR(VLOOKUP(D1014,'Monthly Deduction'!$M$2:$N$64,2,0),0)</f>
        <v>0</v>
      </c>
      <c r="Z1014" s="128">
        <v>0</v>
      </c>
      <c r="AA1014" s="126">
        <f>IFERROR(VLOOKUP(D1014,'Monthly Deduction'!A:B,2,0),0)</f>
        <v>0</v>
      </c>
      <c r="AB1014" s="129">
        <f t="shared" si="388"/>
        <v>0</v>
      </c>
      <c r="AC1014" s="130">
        <f t="shared" si="394"/>
        <v>0</v>
      </c>
      <c r="AD1014" s="35">
        <f t="shared" si="389"/>
        <v>0</v>
      </c>
      <c r="AE1014" s="166" t="str">
        <f t="shared" si="390"/>
        <v>Release</v>
      </c>
      <c r="AF1014" s="127"/>
      <c r="AG1014" s="18">
        <v>0</v>
      </c>
      <c r="AH1014" s="120" t="s">
        <v>1651</v>
      </c>
      <c r="AI1014" s="238">
        <v>17039</v>
      </c>
      <c r="AJ1014" s="132"/>
      <c r="AK1014" s="151">
        <v>0</v>
      </c>
      <c r="AL1014" s="154">
        <f t="shared" si="391"/>
        <v>0</v>
      </c>
      <c r="AM1014" s="155"/>
      <c r="AN1014" s="19">
        <f t="shared" si="374"/>
        <v>1861</v>
      </c>
      <c r="AO1014" s="118">
        <f>SUMIF('MPG Payment '!E:E,'Shayak Income '!D1014,'MPG Payment '!AJ:AJ)</f>
        <v>0</v>
      </c>
      <c r="AP1014" s="19">
        <f t="shared" si="375"/>
        <v>0</v>
      </c>
      <c r="AQ1014" s="119">
        <f t="shared" si="392"/>
        <v>0</v>
      </c>
      <c r="AR1014" s="91" t="s">
        <v>1168</v>
      </c>
      <c r="AS1014" s="91">
        <f t="shared" si="376"/>
        <v>8550</v>
      </c>
      <c r="AT1014" s="118"/>
      <c r="AU1014" s="118"/>
      <c r="AV1014" s="118"/>
    </row>
    <row r="1015" spans="1:48" s="20" customFormat="1" x14ac:dyDescent="0.25">
      <c r="A1015" s="17">
        <f>IFERROR(VLOOKUP(D1015,'Monthly Deduction'!$I$3:$J$957,2,0),0)</f>
        <v>0</v>
      </c>
      <c r="B1015" s="17">
        <f>IFERROR(VLOOKUP(D1015,'Monthly Deduction'!$E$3:$F$957,2,0),0)</f>
        <v>0</v>
      </c>
      <c r="C1015" s="17">
        <f t="shared" si="383"/>
        <v>0</v>
      </c>
      <c r="D1015" s="41">
        <v>10140190</v>
      </c>
      <c r="E1015" s="122" t="str">
        <f>VLOOKUP(D1015,'MPG Payment '!$E$3:$G$498218,2,0)</f>
        <v>Gumukh Chakaura Rohit</v>
      </c>
      <c r="F1015" s="146">
        <f>IFERROR(_xlfn.XLOOKUP(D1015,'Monthly Deduction'!$I$3:$I$957,'Monthly Deduction'!$H$3:$H$957),0)</f>
        <v>0</v>
      </c>
      <c r="G1015" s="123" t="str">
        <f>VLOOKUP(D1015,'MPG Payment '!$E$3:$G$334579,3,0)</f>
        <v>vlc</v>
      </c>
      <c r="H1015" s="124" t="str">
        <f>VLOOKUP(D1015,'MPG Payment '!$E$3:$H$334579,4,0)</f>
        <v>Indirect</v>
      </c>
      <c r="I1015" s="88">
        <f>INDEX('MPG Payment '!$C:$C,MATCH('Shayak Income '!D1015,'MPG Payment '!E:E,0))</f>
        <v>1014</v>
      </c>
      <c r="J1015" s="88" t="str">
        <f>INDEX('MPG Payment '!$D:$D,MATCH('Shayak Income '!D1015,'MPG Payment '!E:E,0))</f>
        <v>Dumraon</v>
      </c>
      <c r="K1015" s="125" t="s">
        <v>1322</v>
      </c>
      <c r="L1015" s="125">
        <v>45978</v>
      </c>
      <c r="M1015" s="126">
        <f>SUMIF('MPG Payment '!$E$3:$E$34579,'Shayak Income '!D1015,'MPG Payment '!$I$3:$I$34579)</f>
        <v>554.5</v>
      </c>
      <c r="N1015" s="126">
        <f>SUMIF('MPG Payment '!$E$3:$E$34579,'Shayak Income '!D1015,'MPG Payment '!$J$3:$J$34579)</f>
        <v>21100.557738370004</v>
      </c>
      <c r="O1015" s="126">
        <f t="shared" si="384"/>
        <v>415.875</v>
      </c>
      <c r="P1015" s="126">
        <f t="shared" si="385"/>
        <v>526.77499999999998</v>
      </c>
      <c r="Q1015" s="126">
        <f>SUMIF('MPG Payment '!$E$3:$E$34579,'Shayak Income '!D1015,'MPG Payment '!$S$3:$S$34579)</f>
        <v>0</v>
      </c>
      <c r="R1015" s="126">
        <f t="shared" si="386"/>
        <v>633.01673215110009</v>
      </c>
      <c r="S1015" s="126">
        <f t="shared" si="387"/>
        <v>106.24173215110011</v>
      </c>
      <c r="T1015" s="126">
        <f t="shared" si="377"/>
        <v>55.45</v>
      </c>
      <c r="U1015" s="127">
        <f>(((IF(K1015="New",0,SUMIF('MPG Payment '!$E$3:$E$34579,'Shayak Income '!D1015,'MPG Payment '!$AC$3:$AC$34579))))+0)+0</f>
        <v>657.43827158554438</v>
      </c>
      <c r="V1015" s="127">
        <f t="shared" si="378"/>
        <v>230</v>
      </c>
      <c r="W1015" s="19">
        <f t="shared" si="379"/>
        <v>0</v>
      </c>
      <c r="X1015" s="19">
        <f t="shared" si="380"/>
        <v>0</v>
      </c>
      <c r="Y1015" s="128">
        <f>IFERROR(VLOOKUP(D1015,'Monthly Deduction'!$M$2:$N$64,2,0),0)</f>
        <v>0</v>
      </c>
      <c r="Z1015" s="128">
        <v>0</v>
      </c>
      <c r="AA1015" s="126">
        <f>IFERROR(VLOOKUP(D1015,'Monthly Deduction'!A:B,2,0),0)</f>
        <v>0</v>
      </c>
      <c r="AB1015" s="129">
        <f t="shared" si="388"/>
        <v>230</v>
      </c>
      <c r="AC1015" s="130">
        <v>0</v>
      </c>
      <c r="AD1015" s="35">
        <f t="shared" si="389"/>
        <v>230</v>
      </c>
      <c r="AE1015" s="166" t="str">
        <f t="shared" si="390"/>
        <v>Release</v>
      </c>
      <c r="AF1015" s="127"/>
      <c r="AG1015" s="18">
        <v>0</v>
      </c>
      <c r="AH1015" s="132"/>
      <c r="AI1015" s="238">
        <v>0</v>
      </c>
      <c r="AJ1015" s="132"/>
      <c r="AK1015" s="151">
        <v>624.9</v>
      </c>
      <c r="AL1015" s="154">
        <f t="shared" si="391"/>
        <v>0</v>
      </c>
      <c r="AM1015" s="155"/>
      <c r="AN1015" s="19">
        <f t="shared" si="374"/>
        <v>0</v>
      </c>
      <c r="AO1015" s="118">
        <f>SUMIF('MPG Payment '!E:E,'Shayak Income '!D1015,'MPG Payment '!AJ:AJ)</f>
        <v>0</v>
      </c>
      <c r="AP1015" s="19">
        <f t="shared" si="375"/>
        <v>0</v>
      </c>
      <c r="AQ1015" s="119">
        <f t="shared" si="392"/>
        <v>0</v>
      </c>
      <c r="AR1015" s="91" t="s">
        <v>1168</v>
      </c>
      <c r="AS1015" s="91">
        <f t="shared" si="376"/>
        <v>0</v>
      </c>
      <c r="AT1015" s="118"/>
      <c r="AU1015" s="118"/>
      <c r="AV1015" s="118"/>
    </row>
    <row r="1016" spans="1:48" s="20" customFormat="1" x14ac:dyDescent="0.25">
      <c r="A1016" s="17">
        <f>IFERROR(VLOOKUP(D1016,'Monthly Deduction'!$I$3:$J$957,2,0),0)</f>
        <v>0</v>
      </c>
      <c r="B1016" s="17">
        <f>IFERROR(VLOOKUP(D1016,'Monthly Deduction'!$E$3:$F$957,2,0),0)</f>
        <v>0</v>
      </c>
      <c r="C1016" s="17">
        <f t="shared" si="383"/>
        <v>0</v>
      </c>
      <c r="D1016" s="41">
        <v>10200001</v>
      </c>
      <c r="E1016" s="122" t="str">
        <f>VLOOKUP(D1016,'MPG Payment '!$E$3:$G$498218,2,0)</f>
        <v>SHIVNAR-2</v>
      </c>
      <c r="F1016" s="146">
        <f>IFERROR(_xlfn.XLOOKUP(D1016,'Monthly Deduction'!$I$3:$I$957,'Monthly Deduction'!$H$3:$H$957),0)</f>
        <v>0</v>
      </c>
      <c r="G1016" s="123" t="str">
        <f>VLOOKUP(D1016,'MPG Payment '!$E$3:$G$334579,3,0)</f>
        <v>RMC</v>
      </c>
      <c r="H1016" s="124" t="str">
        <f>VLOOKUP(D1016,'MPG Payment '!$E$3:$H$334579,4,0)</f>
        <v>Direct</v>
      </c>
      <c r="I1016" s="88">
        <f>INDEX('MPG Payment '!$C:$C,MATCH('Shayak Income '!D1016,'MPG Payment '!E:E,0))</f>
        <v>1002</v>
      </c>
      <c r="J1016" s="88" t="str">
        <f>INDEX('MPG Payment '!$D:$D,MATCH('Shayak Income '!D1016,'MPG Payment '!E:E,0))</f>
        <v>Laldiyara</v>
      </c>
      <c r="K1016" s="125" t="s">
        <v>1322</v>
      </c>
      <c r="L1016" s="125">
        <v>42979</v>
      </c>
      <c r="M1016" s="126">
        <f>SUMIF('MPG Payment '!$E$3:$E$34579,'Shayak Income '!D1016,'MPG Payment '!$I$3:$I$34579)</f>
        <v>1073</v>
      </c>
      <c r="N1016" s="126">
        <f>SUMIF('MPG Payment '!$E$3:$E$34579,'Shayak Income '!D1016,'MPG Payment '!$J$3:$J$34579)</f>
        <v>38983.049471999999</v>
      </c>
      <c r="O1016" s="126">
        <f t="shared" si="384"/>
        <v>804.75</v>
      </c>
      <c r="P1016" s="126">
        <f t="shared" si="385"/>
        <v>1019.3499999999999</v>
      </c>
      <c r="Q1016" s="126">
        <f>SUMIF('MPG Payment '!$E$3:$E$34579,'Shayak Income '!D1016,'MPG Payment '!$S$3:$S$34579)</f>
        <v>0</v>
      </c>
      <c r="R1016" s="126">
        <f t="shared" si="386"/>
        <v>1169.49148416</v>
      </c>
      <c r="S1016" s="126">
        <f t="shared" si="387"/>
        <v>150.14148416000012</v>
      </c>
      <c r="T1016" s="126">
        <f t="shared" si="377"/>
        <v>107.30000000000001</v>
      </c>
      <c r="U1016" s="127">
        <f>(((IF(K1016="New",0,SUMIF('MPG Payment '!$E$3:$E$34579,'Shayak Income '!D1016,'MPG Payment '!$AC$3:$AC$34579))))+0)+0</f>
        <v>238.62979456000002</v>
      </c>
      <c r="V1016" s="127">
        <f t="shared" si="378"/>
        <v>1478</v>
      </c>
      <c r="W1016" s="19">
        <f t="shared" si="379"/>
        <v>0</v>
      </c>
      <c r="X1016" s="19">
        <f t="shared" si="380"/>
        <v>0</v>
      </c>
      <c r="Y1016" s="128">
        <f>IFERROR(VLOOKUP(D1016,'Monthly Deduction'!$M$2:$N$64,2,0),0)</f>
        <v>0</v>
      </c>
      <c r="Z1016" s="128">
        <v>0</v>
      </c>
      <c r="AA1016" s="126">
        <f>IFERROR(VLOOKUP(D1016,'Monthly Deduction'!A:B,2,0),0)</f>
        <v>0</v>
      </c>
      <c r="AB1016" s="129">
        <f t="shared" si="388"/>
        <v>1478</v>
      </c>
      <c r="AC1016" s="130">
        <v>0</v>
      </c>
      <c r="AD1016" s="35">
        <f t="shared" si="389"/>
        <v>1478</v>
      </c>
      <c r="AE1016" s="166" t="str">
        <f t="shared" si="390"/>
        <v>Release</v>
      </c>
      <c r="AF1016" s="127"/>
      <c r="AG1016" s="18">
        <v>0</v>
      </c>
      <c r="AH1016" s="132"/>
      <c r="AI1016" s="238">
        <v>0</v>
      </c>
      <c r="AJ1016" s="132"/>
      <c r="AK1016" s="151">
        <v>593</v>
      </c>
      <c r="AL1016" s="154">
        <f t="shared" si="391"/>
        <v>0</v>
      </c>
      <c r="AM1016" s="155"/>
      <c r="AN1016" s="19">
        <f t="shared" si="374"/>
        <v>0</v>
      </c>
      <c r="AO1016" s="118">
        <f>SUMIF('MPG Payment '!E:E,'Shayak Income '!D1016,'MPG Payment '!AJ:AJ)</f>
        <v>0</v>
      </c>
      <c r="AP1016" s="19">
        <f t="shared" si="375"/>
        <v>0</v>
      </c>
      <c r="AQ1016" s="119">
        <f t="shared" si="392"/>
        <v>0</v>
      </c>
      <c r="AR1016" s="91" t="s">
        <v>1168</v>
      </c>
      <c r="AS1016" s="91">
        <f t="shared" si="376"/>
        <v>0</v>
      </c>
      <c r="AT1016" s="118"/>
      <c r="AU1016" s="118"/>
      <c r="AV1016" s="118"/>
    </row>
    <row r="1017" spans="1:48" s="20" customFormat="1" x14ac:dyDescent="0.25">
      <c r="A1017" s="17">
        <f>IFERROR(VLOOKUP(D1017,'Monthly Deduction'!$I$3:$J$957,2,0),0)</f>
        <v>0</v>
      </c>
      <c r="B1017" s="17">
        <f>IFERROR(VLOOKUP(D1017,'Monthly Deduction'!$E$3:$F$957,2,0),0)</f>
        <v>0</v>
      </c>
      <c r="C1017" s="17">
        <f t="shared" si="383"/>
        <v>0</v>
      </c>
      <c r="D1017" s="41">
        <v>10570032</v>
      </c>
      <c r="E1017" s="122" t="str">
        <f>VLOOKUP(D1017,'MPG Payment '!$E$3:$G$498218,2,0)</f>
        <v>Pauriya 2</v>
      </c>
      <c r="F1017" s="146">
        <f>IFERROR(_xlfn.XLOOKUP(D1017,'Monthly Deduction'!$I$3:$I$957,'Monthly Deduction'!$H$3:$H$957),0)</f>
        <v>0</v>
      </c>
      <c r="G1017" s="123" t="str">
        <f>VLOOKUP(D1017,'MPG Payment '!$E$3:$G$334579,3,0)</f>
        <v>vlc</v>
      </c>
      <c r="H1017" s="124" t="str">
        <f>VLOOKUP(D1017,'MPG Payment '!$E$3:$H$334579,4,0)</f>
        <v>Indirect</v>
      </c>
      <c r="I1017" s="88">
        <f>INDEX('MPG Payment '!$C:$C,MATCH('Shayak Income '!D1017,'MPG Payment '!E:E,0))</f>
        <v>1057</v>
      </c>
      <c r="J1017" s="88" t="str">
        <f>INDEX('MPG Payment '!$D:$D,MATCH('Shayak Income '!D1017,'MPG Payment '!E:E,0))</f>
        <v>Warisnagar</v>
      </c>
      <c r="K1017" s="125" t="s">
        <v>1323</v>
      </c>
      <c r="L1017" s="125">
        <v>46160</v>
      </c>
      <c r="M1017" s="126">
        <f>SUMIF('MPG Payment '!$E$3:$E$34579,'Shayak Income '!D1017,'MPG Payment '!$I$3:$I$34579)</f>
        <v>130.5</v>
      </c>
      <c r="N1017" s="126">
        <f>SUMIF('MPG Payment '!$E$3:$E$34579,'Shayak Income '!D1017,'MPG Payment '!$J$3:$J$34579)</f>
        <v>5251.4693383200001</v>
      </c>
      <c r="O1017" s="126">
        <f t="shared" si="384"/>
        <v>97.875</v>
      </c>
      <c r="P1017" s="126">
        <f t="shared" si="385"/>
        <v>123.97499999999999</v>
      </c>
      <c r="Q1017" s="126">
        <f>SUMIF('MPG Payment '!$E$3:$E$34579,'Shayak Income '!D1017,'MPG Payment '!$S$3:$S$34579)</f>
        <v>0</v>
      </c>
      <c r="R1017" s="126">
        <f t="shared" si="386"/>
        <v>157.54408014960001</v>
      </c>
      <c r="S1017" s="126">
        <f t="shared" si="387"/>
        <v>33.569080149600012</v>
      </c>
      <c r="T1017" s="126">
        <f t="shared" si="377"/>
        <v>13.05</v>
      </c>
      <c r="U1017" s="127">
        <f>(((IF(K1017="New",0,SUMIF('MPG Payment '!$E$3:$E$34579,'Shayak Income '!D1017,'MPG Payment '!$AC$3:$AC$34579))))+0)+0</f>
        <v>0</v>
      </c>
      <c r="V1017" s="127">
        <f t="shared" si="378"/>
        <v>209</v>
      </c>
      <c r="W1017" s="19">
        <v>0</v>
      </c>
      <c r="X1017" s="19">
        <v>0</v>
      </c>
      <c r="Y1017" s="128">
        <f>IFERROR(VLOOKUP(D1017,'Monthly Deduction'!$M$2:$N$64,2,0),0)</f>
        <v>0</v>
      </c>
      <c r="Z1017" s="128">
        <v>0</v>
      </c>
      <c r="AA1017" s="126">
        <f>IFERROR(VLOOKUP(D1017,'Monthly Deduction'!A:B,2,0),0)</f>
        <v>0</v>
      </c>
      <c r="AB1017" s="129">
        <f t="shared" si="388"/>
        <v>209</v>
      </c>
      <c r="AC1017" s="130">
        <v>0</v>
      </c>
      <c r="AD1017" s="35">
        <f t="shared" si="389"/>
        <v>209</v>
      </c>
      <c r="AE1017" s="166" t="str">
        <f t="shared" si="390"/>
        <v>Release</v>
      </c>
      <c r="AF1017" s="127"/>
      <c r="AG1017" s="18">
        <v>0</v>
      </c>
      <c r="AH1017" s="132"/>
      <c r="AI1017" s="238">
        <v>0</v>
      </c>
      <c r="AJ1017" s="132"/>
      <c r="AK1017" s="151">
        <v>112</v>
      </c>
      <c r="AL1017" s="154">
        <f t="shared" si="391"/>
        <v>0</v>
      </c>
      <c r="AM1017" s="155"/>
      <c r="AN1017" s="19">
        <f t="shared" si="374"/>
        <v>0</v>
      </c>
      <c r="AO1017" s="118">
        <f>SUMIF('MPG Payment '!E:E,'Shayak Income '!D1017,'MPG Payment '!AJ:AJ)</f>
        <v>0</v>
      </c>
      <c r="AP1017" s="19">
        <f t="shared" si="375"/>
        <v>0</v>
      </c>
      <c r="AQ1017" s="119">
        <f t="shared" si="392"/>
        <v>0</v>
      </c>
      <c r="AR1017" s="91" t="s">
        <v>1168</v>
      </c>
      <c r="AS1017" s="91">
        <f t="shared" si="376"/>
        <v>0</v>
      </c>
      <c r="AT1017" s="118"/>
      <c r="AU1017" s="118"/>
      <c r="AV1017" s="118"/>
    </row>
    <row r="1018" spans="1:48" s="20" customFormat="1" x14ac:dyDescent="0.25">
      <c r="A1018" s="17">
        <f>IFERROR(VLOOKUP(D1018,'Monthly Deduction'!$I$3:$J$957,2,0),0)</f>
        <v>85000</v>
      </c>
      <c r="B1018" s="17">
        <f>IFERROR(VLOOKUP(D1018,'Monthly Deduction'!$E$3:$F$957,2,0),0)</f>
        <v>0</v>
      </c>
      <c r="C1018" s="17">
        <f t="shared" si="383"/>
        <v>85000</v>
      </c>
      <c r="D1018" s="41">
        <v>10610055</v>
      </c>
      <c r="E1018" s="122" t="str">
        <f>VLOOKUP(D1018,'MPG Payment '!$E$3:$G$498218,2,0)</f>
        <v>GOMUKH PAITRAPUR</v>
      </c>
      <c r="F1018" s="146">
        <f>IFERROR(_xlfn.XLOOKUP(D1018,'Monthly Deduction'!$I$3:$I$957,'Monthly Deduction'!$H$3:$H$957),0)</f>
        <v>0</v>
      </c>
      <c r="G1018" s="123" t="str">
        <f>VLOOKUP(D1018,'MPG Payment '!$E$3:$G$334579,3,0)</f>
        <v>vlc</v>
      </c>
      <c r="H1018" s="124" t="str">
        <f>VLOOKUP(D1018,'MPG Payment '!$E$3:$H$334579,4,0)</f>
        <v>Direct</v>
      </c>
      <c r="I1018" s="88">
        <f>INDEX('MPG Payment '!$C:$C,MATCH('Shayak Income '!D1018,'MPG Payment '!E:E,0))</f>
        <v>1061</v>
      </c>
      <c r="J1018" s="88" t="str">
        <f>INDEX('MPG Payment '!$D:$D,MATCH('Shayak Income '!D1018,'MPG Payment '!E:E,0))</f>
        <v>Mahua BMC</v>
      </c>
      <c r="K1018" s="125" t="s">
        <v>1323</v>
      </c>
      <c r="L1018" s="125">
        <v>46159</v>
      </c>
      <c r="M1018" s="126">
        <f>SUMIF('MPG Payment '!$E$3:$E$34579,'Shayak Income '!D1018,'MPG Payment '!$I$3:$I$34579)</f>
        <v>250.70000000000002</v>
      </c>
      <c r="N1018" s="126">
        <f>SUMIF('MPG Payment '!$E$3:$E$34579,'Shayak Income '!D1018,'MPG Payment '!$J$3:$J$34579)</f>
        <v>11215.822487240901</v>
      </c>
      <c r="O1018" s="126">
        <f t="shared" si="384"/>
        <v>188.02500000000001</v>
      </c>
      <c r="P1018" s="126">
        <f t="shared" si="385"/>
        <v>238.16499999999999</v>
      </c>
      <c r="Q1018" s="126">
        <f>SUMIF('MPG Payment '!$E$3:$E$34579,'Shayak Income '!D1018,'MPG Payment '!$S$3:$S$34579)</f>
        <v>0</v>
      </c>
      <c r="R1018" s="126">
        <f t="shared" si="386"/>
        <v>336.47467461722704</v>
      </c>
      <c r="S1018" s="126">
        <f t="shared" si="387"/>
        <v>98.309674617227046</v>
      </c>
      <c r="T1018" s="126">
        <f t="shared" si="377"/>
        <v>25.070000000000004</v>
      </c>
      <c r="U1018" s="127">
        <f>(((IF(K1018="New",0,SUMIF('MPG Payment '!$E$3:$E$34579,'Shayak Income '!D1018,'MPG Payment '!$AC$3:$AC$34579))))+0)+0</f>
        <v>0</v>
      </c>
      <c r="V1018" s="127">
        <f t="shared" si="378"/>
        <v>401</v>
      </c>
      <c r="W1018" s="19">
        <v>0</v>
      </c>
      <c r="X1018" s="19">
        <v>0</v>
      </c>
      <c r="Y1018" s="128">
        <f>IFERROR(VLOOKUP(D1018,'Monthly Deduction'!$M$2:$N$64,2,0),0)</f>
        <v>0</v>
      </c>
      <c r="Z1018" s="128">
        <v>0</v>
      </c>
      <c r="AA1018" s="126">
        <f>IFERROR(VLOOKUP(D1018,'Monthly Deduction'!A:B,2,0),0)</f>
        <v>0</v>
      </c>
      <c r="AB1018" s="129">
        <f t="shared" si="388"/>
        <v>401</v>
      </c>
      <c r="AC1018" s="130">
        <v>0</v>
      </c>
      <c r="AD1018" s="35">
        <f t="shared" si="389"/>
        <v>401</v>
      </c>
      <c r="AE1018" s="166" t="str">
        <f t="shared" si="390"/>
        <v>Release</v>
      </c>
      <c r="AF1018" s="127"/>
      <c r="AG1018" s="18">
        <v>0</v>
      </c>
      <c r="AH1018" s="120" t="s">
        <v>1646</v>
      </c>
      <c r="AI1018" s="238">
        <v>20000</v>
      </c>
      <c r="AJ1018" s="132" t="s">
        <v>68</v>
      </c>
      <c r="AK1018" s="151">
        <v>223.9</v>
      </c>
      <c r="AL1018" s="154">
        <f t="shared" si="391"/>
        <v>0</v>
      </c>
      <c r="AM1018" s="155"/>
      <c r="AN1018" s="19">
        <f t="shared" si="374"/>
        <v>1861</v>
      </c>
      <c r="AO1018" s="118">
        <f>SUMIF('MPG Payment '!E:E,'Shayak Income '!D1018,'MPG Payment '!AJ:AJ)</f>
        <v>0</v>
      </c>
      <c r="AP1018" s="19">
        <f t="shared" si="375"/>
        <v>0</v>
      </c>
      <c r="AQ1018" s="119">
        <f t="shared" si="392"/>
        <v>0</v>
      </c>
      <c r="AR1018" s="91" t="s">
        <v>1168</v>
      </c>
      <c r="AS1018" s="91">
        <f t="shared" si="376"/>
        <v>0</v>
      </c>
      <c r="AT1018" s="118"/>
      <c r="AU1018" s="118"/>
      <c r="AV1018" s="118"/>
    </row>
    <row r="1019" spans="1:48" s="20" customFormat="1" x14ac:dyDescent="0.25">
      <c r="A1019" s="17">
        <f>IFERROR(VLOOKUP(D1019,'Monthly Deduction'!$I$3:$J$957,2,0),0)</f>
        <v>0</v>
      </c>
      <c r="B1019" s="17">
        <f>IFERROR(VLOOKUP(D1019,'Monthly Deduction'!$E$3:$F$957,2,0),0)</f>
        <v>0</v>
      </c>
      <c r="C1019" s="17">
        <f t="shared" si="383"/>
        <v>0</v>
      </c>
      <c r="D1019" s="41">
        <v>10610056</v>
      </c>
      <c r="E1019" s="122" t="str">
        <f>VLOOKUP(D1019,'MPG Payment '!$E$3:$G$498218,2,0)</f>
        <v>GOMUKH JAI MATA DI MILK CENTER</v>
      </c>
      <c r="F1019" s="146">
        <f>IFERROR(_xlfn.XLOOKUP(D1019,'Monthly Deduction'!$I$3:$I$957,'Monthly Deduction'!$H$3:$H$957),0)</f>
        <v>0</v>
      </c>
      <c r="G1019" s="123" t="str">
        <f>VLOOKUP(D1019,'MPG Payment '!$E$3:$G$334579,3,0)</f>
        <v>vlc</v>
      </c>
      <c r="H1019" s="124" t="str">
        <f>VLOOKUP(D1019,'MPG Payment '!$E$3:$H$334579,4,0)</f>
        <v>Indirect</v>
      </c>
      <c r="I1019" s="88">
        <f>INDEX('MPG Payment '!$C:$C,MATCH('Shayak Income '!D1019,'MPG Payment '!E:E,0))</f>
        <v>1061</v>
      </c>
      <c r="J1019" s="88" t="str">
        <f>INDEX('MPG Payment '!$D:$D,MATCH('Shayak Income '!D1019,'MPG Payment '!E:E,0))</f>
        <v>Mahua BMC</v>
      </c>
      <c r="K1019" s="125" t="s">
        <v>1323</v>
      </c>
      <c r="L1019" s="125">
        <v>46160</v>
      </c>
      <c r="M1019" s="126">
        <f>SUMIF('MPG Payment '!$E$3:$E$34579,'Shayak Income '!D1019,'MPG Payment '!$I$3:$I$34579)</f>
        <v>431.69999999999993</v>
      </c>
      <c r="N1019" s="126">
        <f>SUMIF('MPG Payment '!$E$3:$E$34579,'Shayak Income '!D1019,'MPG Payment '!$J$3:$J$34579)</f>
        <v>20301.180970286201</v>
      </c>
      <c r="O1019" s="126">
        <f t="shared" si="384"/>
        <v>323.77499999999998</v>
      </c>
      <c r="P1019" s="126">
        <f t="shared" si="385"/>
        <v>410.1149999999999</v>
      </c>
      <c r="Q1019" s="126">
        <f>SUMIF('MPG Payment '!$E$3:$E$34579,'Shayak Income '!D1019,'MPG Payment '!$S$3:$S$34579)</f>
        <v>0</v>
      </c>
      <c r="R1019" s="126">
        <f t="shared" si="386"/>
        <v>609.03542910858596</v>
      </c>
      <c r="S1019" s="126">
        <f t="shared" si="387"/>
        <v>198.92042910858606</v>
      </c>
      <c r="T1019" s="126">
        <f t="shared" si="377"/>
        <v>43.169999999999995</v>
      </c>
      <c r="U1019" s="127">
        <f>(((IF(K1019="New",0,SUMIF('MPG Payment '!$E$3:$E$34579,'Shayak Income '!D1019,'MPG Payment '!$AC$3:$AC$34579))))+0)+0</f>
        <v>0</v>
      </c>
      <c r="V1019" s="127">
        <f t="shared" si="378"/>
        <v>691</v>
      </c>
      <c r="W1019" s="19">
        <v>0</v>
      </c>
      <c r="X1019" s="19">
        <v>0</v>
      </c>
      <c r="Y1019" s="128">
        <f>IFERROR(VLOOKUP(D1019,'Monthly Deduction'!$M$2:$N$64,2,0),0)</f>
        <v>0</v>
      </c>
      <c r="Z1019" s="128">
        <v>0</v>
      </c>
      <c r="AA1019" s="126">
        <f>IFERROR(VLOOKUP(D1019,'Monthly Deduction'!A:B,2,0),0)</f>
        <v>0</v>
      </c>
      <c r="AB1019" s="129">
        <f t="shared" si="388"/>
        <v>691</v>
      </c>
      <c r="AC1019" s="130">
        <v>0</v>
      </c>
      <c r="AD1019" s="35">
        <f t="shared" si="389"/>
        <v>691</v>
      </c>
      <c r="AE1019" s="166" t="str">
        <f t="shared" si="390"/>
        <v>Release</v>
      </c>
      <c r="AF1019" s="127"/>
      <c r="AG1019" s="18">
        <v>0</v>
      </c>
      <c r="AH1019" s="132" t="s">
        <v>1648</v>
      </c>
      <c r="AI1019" s="238">
        <v>0</v>
      </c>
      <c r="AJ1019" s="132" t="s">
        <v>68</v>
      </c>
      <c r="AK1019" s="151">
        <v>0</v>
      </c>
      <c r="AL1019" s="154">
        <f t="shared" si="391"/>
        <v>0</v>
      </c>
      <c r="AM1019" s="155"/>
      <c r="AN1019" s="19">
        <f t="shared" si="374"/>
        <v>0</v>
      </c>
      <c r="AO1019" s="118">
        <f>SUMIF('MPG Payment '!E:E,'Shayak Income '!D1019,'MPG Payment '!AJ:AJ)</f>
        <v>0</v>
      </c>
      <c r="AP1019" s="19">
        <f t="shared" si="375"/>
        <v>0</v>
      </c>
      <c r="AQ1019" s="119">
        <f t="shared" si="392"/>
        <v>0</v>
      </c>
      <c r="AR1019" s="91" t="s">
        <v>1168</v>
      </c>
      <c r="AS1019" s="91">
        <f t="shared" si="376"/>
        <v>0</v>
      </c>
      <c r="AT1019" s="118"/>
      <c r="AU1019" s="118"/>
      <c r="AV1019" s="118"/>
    </row>
    <row r="1020" spans="1:48" s="20" customFormat="1" x14ac:dyDescent="0.25">
      <c r="A1020" s="17">
        <f>IFERROR(VLOOKUP(D1020,'Monthly Deduction'!$I$3:$J$957,2,0),0)</f>
        <v>0</v>
      </c>
      <c r="B1020" s="17">
        <f>IFERROR(VLOOKUP(D1020,'Monthly Deduction'!$E$3:$F$957,2,0),0)</f>
        <v>0</v>
      </c>
      <c r="C1020" s="17">
        <f t="shared" si="383"/>
        <v>0</v>
      </c>
      <c r="D1020" s="41">
        <v>10660012</v>
      </c>
      <c r="E1020" s="122" t="str">
        <f>VLOOKUP(D1020,'MPG Payment '!$E$3:$G$498218,2,0)</f>
        <v>Gomukh Jatmalpur Dhab</v>
      </c>
      <c r="F1020" s="146">
        <f>IFERROR(_xlfn.XLOOKUP(D1020,'Monthly Deduction'!$I$3:$I$957,'Monthly Deduction'!$H$3:$H$957),0)</f>
        <v>0</v>
      </c>
      <c r="G1020" s="123" t="str">
        <f>VLOOKUP(D1020,'MPG Payment '!$E$3:$G$334579,3,0)</f>
        <v>vlc</v>
      </c>
      <c r="H1020" s="124" t="str">
        <f>VLOOKUP(D1020,'MPG Payment '!$E$3:$H$334579,4,0)</f>
        <v>Indirect</v>
      </c>
      <c r="I1020" s="88">
        <f>INDEX('MPG Payment '!$C:$C,MATCH('Shayak Income '!D1020,'MPG Payment '!E:E,0))</f>
        <v>1066</v>
      </c>
      <c r="J1020" s="88" t="str">
        <f>INDEX('MPG Payment '!$D:$D,MATCH('Shayak Income '!D1020,'MPG Payment '!E:E,0))</f>
        <v>Gaighat</v>
      </c>
      <c r="K1020" s="125" t="s">
        <v>1323</v>
      </c>
      <c r="L1020" s="125">
        <v>46157</v>
      </c>
      <c r="M1020" s="126">
        <f>SUMIF('MPG Payment '!$E$3:$E$34579,'Shayak Income '!D1020,'MPG Payment '!$I$3:$I$34579)</f>
        <v>194.5</v>
      </c>
      <c r="N1020" s="126">
        <f>SUMIF('MPG Payment '!$E$3:$E$34579,'Shayak Income '!D1020,'MPG Payment '!$J$3:$J$34579)</f>
        <v>8822.8451732619997</v>
      </c>
      <c r="O1020" s="126">
        <f t="shared" si="384"/>
        <v>145.875</v>
      </c>
      <c r="P1020" s="126">
        <f t="shared" si="385"/>
        <v>184.77499999999998</v>
      </c>
      <c r="Q1020" s="126">
        <f>SUMIF('MPG Payment '!$E$3:$E$34579,'Shayak Income '!D1020,'MPG Payment '!$S$3:$S$34579)</f>
        <v>0</v>
      </c>
      <c r="R1020" s="126">
        <f t="shared" si="386"/>
        <v>264.68535519785996</v>
      </c>
      <c r="S1020" s="126">
        <f t="shared" si="387"/>
        <v>79.910355197859985</v>
      </c>
      <c r="T1020" s="126">
        <f t="shared" si="377"/>
        <v>19.450000000000003</v>
      </c>
      <c r="U1020" s="127">
        <f>(((IF(K1020="New",0,SUMIF('MPG Payment '!$E$3:$E$34579,'Shayak Income '!D1020,'MPG Payment '!$AC$3:$AC$34579))))+0)+0</f>
        <v>0</v>
      </c>
      <c r="V1020" s="127">
        <f t="shared" si="378"/>
        <v>311</v>
      </c>
      <c r="W1020" s="19">
        <v>0</v>
      </c>
      <c r="X1020" s="19">
        <v>0</v>
      </c>
      <c r="Y1020" s="128">
        <f>IFERROR(VLOOKUP(D1020,'Monthly Deduction'!$M$2:$N$64,2,0),0)</f>
        <v>0</v>
      </c>
      <c r="Z1020" s="128">
        <v>0</v>
      </c>
      <c r="AA1020" s="126">
        <f>IFERROR(VLOOKUP(D1020,'Monthly Deduction'!A:B,2,0),0)</f>
        <v>0</v>
      </c>
      <c r="AB1020" s="129">
        <f t="shared" si="388"/>
        <v>311</v>
      </c>
      <c r="AC1020" s="130">
        <v>0</v>
      </c>
      <c r="AD1020" s="35">
        <f t="shared" si="389"/>
        <v>311</v>
      </c>
      <c r="AE1020" s="166" t="str">
        <f t="shared" si="390"/>
        <v>Release</v>
      </c>
      <c r="AF1020" s="127"/>
      <c r="AG1020" s="18">
        <v>0</v>
      </c>
      <c r="AH1020" s="132"/>
      <c r="AI1020" s="238">
        <v>0</v>
      </c>
      <c r="AJ1020" s="132"/>
      <c r="AK1020" s="151">
        <v>19</v>
      </c>
      <c r="AL1020" s="154">
        <f t="shared" si="391"/>
        <v>0</v>
      </c>
      <c r="AM1020" s="155"/>
      <c r="AN1020" s="19">
        <f t="shared" si="374"/>
        <v>0</v>
      </c>
      <c r="AO1020" s="118">
        <f>SUMIF('MPG Payment '!E:E,'Shayak Income '!D1020,'MPG Payment '!AJ:AJ)</f>
        <v>0</v>
      </c>
      <c r="AP1020" s="19">
        <f t="shared" si="375"/>
        <v>0</v>
      </c>
      <c r="AQ1020" s="119">
        <f t="shared" si="392"/>
        <v>0</v>
      </c>
      <c r="AR1020" s="91" t="s">
        <v>1168</v>
      </c>
      <c r="AS1020" s="91">
        <f t="shared" si="376"/>
        <v>0</v>
      </c>
      <c r="AT1020" s="118"/>
      <c r="AU1020" s="118"/>
      <c r="AV1020" s="118"/>
    </row>
    <row r="1021" spans="1:48" s="20" customFormat="1" x14ac:dyDescent="0.25">
      <c r="A1021" s="17">
        <f>IFERROR(VLOOKUP(D1021,'Monthly Deduction'!$I$3:$J$957,2,0),0)</f>
        <v>0</v>
      </c>
      <c r="B1021" s="17">
        <f>IFERROR(VLOOKUP(D1021,'Monthly Deduction'!$E$3:$F$957,2,0),0)</f>
        <v>0</v>
      </c>
      <c r="C1021" s="17">
        <f t="shared" si="383"/>
        <v>0</v>
      </c>
      <c r="D1021" s="41">
        <v>10010066</v>
      </c>
      <c r="E1021" s="122" t="str">
        <f>VLOOKUP(D1021,'MPG Payment '!$E$3:$G$498218,2,0)</f>
        <v>Gomukh Tulsipur</v>
      </c>
      <c r="F1021" s="146">
        <f>IFERROR(_xlfn.XLOOKUP(D1021,'Monthly Deduction'!$I$3:$I$957,'Monthly Deduction'!$H$3:$H$957),0)</f>
        <v>0</v>
      </c>
      <c r="G1021" s="123" t="str">
        <f>VLOOKUP(D1021,'MPG Payment '!$E$3:$G$334579,3,0)</f>
        <v>MPG</v>
      </c>
      <c r="H1021" s="124" t="str">
        <f>VLOOKUP(D1021,'MPG Payment '!$E$3:$H$334579,4,0)</f>
        <v>Direct</v>
      </c>
      <c r="I1021" s="88">
        <f>INDEX('MPG Payment '!$C:$C,MATCH('Shayak Income '!D1021,'MPG Payment '!E:E,0))</f>
        <v>1001</v>
      </c>
      <c r="J1021" s="88" t="str">
        <f>INDEX('MPG Payment '!$D:$D,MATCH('Shayak Income '!D1021,'MPG Payment '!E:E,0))</f>
        <v>Majhaul</v>
      </c>
      <c r="K1021" s="125" t="s">
        <v>1323</v>
      </c>
      <c r="L1021" s="125">
        <v>46170</v>
      </c>
      <c r="M1021" s="126">
        <f>SUMIF('MPG Payment '!$E$3:$E$34579,'Shayak Income '!D1021,'MPG Payment '!$I$3:$I$34579)</f>
        <v>182.2</v>
      </c>
      <c r="N1021" s="126">
        <f>SUMIF('MPG Payment '!$E$3:$E$34579,'Shayak Income '!D1021,'MPG Payment '!$J$3:$J$34579)</f>
        <v>5991.5445682980007</v>
      </c>
      <c r="O1021" s="126">
        <f t="shared" si="384"/>
        <v>136.64999999999998</v>
      </c>
      <c r="P1021" s="126">
        <f t="shared" si="385"/>
        <v>173.08999999999997</v>
      </c>
      <c r="Q1021" s="126">
        <f>SUMIF('MPG Payment '!$E$3:$E$34579,'Shayak Income '!D1021,'MPG Payment '!$S$3:$S$34579)</f>
        <v>0</v>
      </c>
      <c r="R1021" s="126">
        <f t="shared" si="386"/>
        <v>179.74633704894001</v>
      </c>
      <c r="S1021" s="126">
        <f t="shared" si="387"/>
        <v>6.6563370489400313</v>
      </c>
      <c r="T1021" s="126">
        <f t="shared" si="377"/>
        <v>18.22</v>
      </c>
      <c r="U1021" s="127">
        <f>(((IF(K1021="New",0,SUMIF('MPG Payment '!$E$3:$E$34579,'Shayak Income '!D1021,'MPG Payment '!$AC$3:$AC$34579))))+0)+0</f>
        <v>0</v>
      </c>
      <c r="V1021" s="127">
        <f t="shared" si="378"/>
        <v>292</v>
      </c>
      <c r="W1021" s="19">
        <v>0</v>
      </c>
      <c r="X1021" s="19">
        <v>0</v>
      </c>
      <c r="Y1021" s="128">
        <f>IFERROR(VLOOKUP(D1021,'Monthly Deduction'!$M$2:$N$64,2,0),0)</f>
        <v>0</v>
      </c>
      <c r="Z1021" s="128">
        <v>0</v>
      </c>
      <c r="AA1021" s="126">
        <f>IFERROR(VLOOKUP(D1021,'Monthly Deduction'!A:B,2,0),0)</f>
        <v>0</v>
      </c>
      <c r="AB1021" s="129">
        <f t="shared" si="388"/>
        <v>292</v>
      </c>
      <c r="AC1021" s="130">
        <v>0</v>
      </c>
      <c r="AD1021" s="35">
        <f t="shared" si="389"/>
        <v>292</v>
      </c>
      <c r="AE1021" s="166" t="str">
        <f t="shared" si="390"/>
        <v>Release</v>
      </c>
      <c r="AF1021" s="127"/>
      <c r="AG1021" s="18">
        <v>0</v>
      </c>
      <c r="AH1021" s="120"/>
      <c r="AI1021" s="238">
        <v>0</v>
      </c>
      <c r="AJ1021" s="132"/>
      <c r="AK1021" s="151">
        <v>891.2</v>
      </c>
      <c r="AL1021" s="154">
        <f t="shared" si="391"/>
        <v>0</v>
      </c>
      <c r="AM1021" s="155"/>
      <c r="AN1021" s="19">
        <f t="shared" si="374"/>
        <v>0</v>
      </c>
      <c r="AO1021" s="118">
        <f>SUMIF('MPG Payment '!E:E,'Shayak Income '!D1021,'MPG Payment '!AJ:AJ)</f>
        <v>0</v>
      </c>
      <c r="AP1021" s="19">
        <f t="shared" si="375"/>
        <v>0</v>
      </c>
      <c r="AQ1021" s="119">
        <f t="shared" si="392"/>
        <v>0</v>
      </c>
      <c r="AR1021" s="91" t="s">
        <v>1168</v>
      </c>
      <c r="AS1021" s="91">
        <f t="shared" si="376"/>
        <v>0</v>
      </c>
      <c r="AT1021" s="118"/>
      <c r="AU1021" s="118"/>
      <c r="AV1021" s="118"/>
    </row>
    <row r="1022" spans="1:48" s="20" customFormat="1" x14ac:dyDescent="0.25">
      <c r="A1022" s="17">
        <f>IFERROR(VLOOKUP(D1022,'Monthly Deduction'!$I$3:$J$957,2,0),0)</f>
        <v>0</v>
      </c>
      <c r="B1022" s="17">
        <f>IFERROR(VLOOKUP(D1022,'Monthly Deduction'!$E$3:$F$957,2,0),0)</f>
        <v>0</v>
      </c>
      <c r="C1022" s="17">
        <f t="shared" si="383"/>
        <v>0</v>
      </c>
      <c r="D1022" s="41">
        <v>10030083</v>
      </c>
      <c r="E1022" s="122" t="str">
        <f>VLOOKUP(D1022,'MPG Payment '!$E$3:$G$498218,2,0)</f>
        <v>Gomukh Bhavnathpur</v>
      </c>
      <c r="F1022" s="146">
        <f>IFERROR(_xlfn.XLOOKUP(D1022,'Monthly Deduction'!$I$3:$I$957,'Monthly Deduction'!$H$3:$H$957),0)</f>
        <v>0</v>
      </c>
      <c r="G1022" s="123" t="str">
        <f>VLOOKUP(D1022,'MPG Payment '!$E$3:$G$334579,3,0)</f>
        <v>vlc</v>
      </c>
      <c r="H1022" s="124" t="str">
        <f>VLOOKUP(D1022,'MPG Payment '!$E$3:$H$334579,4,0)</f>
        <v>Indirect</v>
      </c>
      <c r="I1022" s="88">
        <f>INDEX('MPG Payment '!$C:$C,MATCH('Shayak Income '!D1022,'MPG Payment '!E:E,0))</f>
        <v>1003</v>
      </c>
      <c r="J1022" s="88" t="str">
        <f>INDEX('MPG Payment '!$D:$D,MATCH('Shayak Income '!D1022,'MPG Payment '!E:E,0))</f>
        <v>Asarganj</v>
      </c>
      <c r="K1022" s="125" t="s">
        <v>1322</v>
      </c>
      <c r="L1022" s="125">
        <v>46010</v>
      </c>
      <c r="M1022" s="126">
        <f>SUMIF('MPG Payment '!$E$3:$E$34579,'Shayak Income '!D1022,'MPG Payment '!$I$3:$I$34579)</f>
        <v>76.2</v>
      </c>
      <c r="N1022" s="126">
        <f>SUMIF('MPG Payment '!$E$3:$E$34579,'Shayak Income '!D1022,'MPG Payment '!$J$3:$J$34579)</f>
        <v>1945.3541057280004</v>
      </c>
      <c r="O1022" s="126">
        <f t="shared" si="384"/>
        <v>57.150000000000006</v>
      </c>
      <c r="P1022" s="126">
        <f t="shared" si="385"/>
        <v>72.39</v>
      </c>
      <c r="Q1022" s="126">
        <f>SUMIF('MPG Payment '!$E$3:$E$34579,'Shayak Income '!D1022,'MPG Payment '!$S$3:$S$34579)</f>
        <v>0</v>
      </c>
      <c r="R1022" s="126">
        <f t="shared" si="386"/>
        <v>58.360623171840011</v>
      </c>
      <c r="S1022" s="126">
        <f t="shared" si="387"/>
        <v>-14.02937682815999</v>
      </c>
      <c r="T1022" s="126">
        <f t="shared" si="377"/>
        <v>7.620000000000001</v>
      </c>
      <c r="U1022" s="127">
        <f>(((IF(K1022="New",0,SUMIF('MPG Payment '!$E$3:$E$34579,'Shayak Income '!D1022,'MPG Payment '!$AC$3:$AC$34579))))+0)+-197</f>
        <v>121.50705804544003</v>
      </c>
      <c r="V1022" s="127">
        <f t="shared" si="378"/>
        <v>0</v>
      </c>
      <c r="W1022" s="19">
        <v>0</v>
      </c>
      <c r="X1022" s="19">
        <v>0</v>
      </c>
      <c r="Y1022" s="128">
        <f>IFERROR(VLOOKUP(D1022,'Monthly Deduction'!$M$2:$N$64,2,0),0)</f>
        <v>0</v>
      </c>
      <c r="Z1022" s="128">
        <v>0</v>
      </c>
      <c r="AA1022" s="126">
        <f>IFERROR(VLOOKUP(D1022,'Monthly Deduction'!A:B,2,0),0)</f>
        <v>0</v>
      </c>
      <c r="AB1022" s="129">
        <f t="shared" si="388"/>
        <v>0</v>
      </c>
      <c r="AC1022" s="130">
        <f>AB1022</f>
        <v>0</v>
      </c>
      <c r="AD1022" s="35">
        <f t="shared" si="389"/>
        <v>0</v>
      </c>
      <c r="AE1022" s="166" t="str">
        <f t="shared" si="390"/>
        <v>Release</v>
      </c>
      <c r="AF1022" s="127"/>
      <c r="AG1022" s="18">
        <v>0</v>
      </c>
      <c r="AH1022" s="132" t="s">
        <v>1648</v>
      </c>
      <c r="AI1022" s="238">
        <v>0</v>
      </c>
      <c r="AJ1022" s="132"/>
      <c r="AK1022" s="151">
        <v>0</v>
      </c>
      <c r="AL1022" s="154">
        <f t="shared" si="391"/>
        <v>0</v>
      </c>
      <c r="AM1022" s="155"/>
      <c r="AN1022" s="19">
        <f t="shared" si="374"/>
        <v>0</v>
      </c>
      <c r="AO1022" s="118">
        <f>SUMIF('MPG Payment '!E:E,'Shayak Income '!D1022,'MPG Payment '!AJ:AJ)</f>
        <v>0</v>
      </c>
      <c r="AP1022" s="19">
        <f t="shared" si="375"/>
        <v>0</v>
      </c>
      <c r="AQ1022" s="119">
        <f t="shared" si="392"/>
        <v>0</v>
      </c>
      <c r="AR1022" s="91" t="s">
        <v>1168</v>
      </c>
      <c r="AS1022" s="91">
        <f t="shared" si="376"/>
        <v>0</v>
      </c>
      <c r="AT1022" s="118"/>
      <c r="AU1022" s="118"/>
      <c r="AV1022" s="118"/>
    </row>
    <row r="1023" spans="1:48" s="20" customFormat="1" x14ac:dyDescent="0.25">
      <c r="A1023" s="17">
        <f>IFERROR(VLOOKUP(D1023,'Monthly Deduction'!$I$3:$J$957,2,0),0)</f>
        <v>55391.838494397765</v>
      </c>
      <c r="B1023" s="17">
        <f>IFERROR(VLOOKUP(D1023,'Monthly Deduction'!$E$3:$F$957,2,0),0)</f>
        <v>2453.0201150835856</v>
      </c>
      <c r="C1023" s="17">
        <f t="shared" si="383"/>
        <v>57844.858609481351</v>
      </c>
      <c r="D1023" s="41">
        <v>10060076</v>
      </c>
      <c r="E1023" s="122" t="str">
        <f>VLOOKUP(D1023,'MPG Payment '!$E$3:$G$498218,2,0)</f>
        <v>AKHA KURHA</v>
      </c>
      <c r="F1023" s="146">
        <f>IFERROR(_xlfn.XLOOKUP(D1023,'Monthly Deduction'!$I$3:$I$957,'Monthly Deduction'!$H$3:$H$957),0)</f>
        <v>0</v>
      </c>
      <c r="G1023" s="123" t="str">
        <f>VLOOKUP(D1023,'MPG Payment '!$E$3:$G$334579,3,0)</f>
        <v>MPG</v>
      </c>
      <c r="H1023" s="124" t="str">
        <f>VLOOKUP(D1023,'MPG Payment '!$E$3:$H$334579,4,0)</f>
        <v>Direct</v>
      </c>
      <c r="I1023" s="88">
        <f>INDEX('MPG Payment '!$C:$C,MATCH('Shayak Income '!D1023,'MPG Payment '!E:E,0))</f>
        <v>1006</v>
      </c>
      <c r="J1023" s="88" t="str">
        <f>INDEX('MPG Payment '!$D:$D,MATCH('Shayak Income '!D1023,'MPG Payment '!E:E,0))</f>
        <v>Sonvarsha</v>
      </c>
      <c r="K1023" s="125" t="s">
        <v>1322</v>
      </c>
      <c r="L1023" s="125">
        <v>45664</v>
      </c>
      <c r="M1023" s="126">
        <f>SUMIF('MPG Payment '!$E$3:$E$34579,'Shayak Income '!D1023,'MPG Payment '!$I$3:$I$34579)</f>
        <v>30.8</v>
      </c>
      <c r="N1023" s="126">
        <f>SUMIF('MPG Payment '!$E$3:$E$34579,'Shayak Income '!D1023,'MPG Payment '!$J$3:$J$34579)</f>
        <v>1292.9587902000003</v>
      </c>
      <c r="O1023" s="126">
        <f t="shared" si="384"/>
        <v>23.1</v>
      </c>
      <c r="P1023" s="126">
        <f t="shared" si="385"/>
        <v>29.259999999999998</v>
      </c>
      <c r="Q1023" s="126">
        <f>SUMIF('MPG Payment '!$E$3:$E$34579,'Shayak Income '!D1023,'MPG Payment '!$S$3:$S$34579)</f>
        <v>0</v>
      </c>
      <c r="R1023" s="126">
        <f t="shared" si="386"/>
        <v>38.788763706000005</v>
      </c>
      <c r="S1023" s="126">
        <f t="shared" si="387"/>
        <v>9.5287637060000066</v>
      </c>
      <c r="T1023" s="126">
        <f t="shared" si="377"/>
        <v>3.08</v>
      </c>
      <c r="U1023" s="127">
        <f>(((IF(K1023="New",0,SUMIF('MPG Payment '!$E$3:$E$34579,'Shayak Income '!D1023,'MPG Payment '!$AC$3:$AC$34579))))+0)+-513</f>
        <v>48.849365196000122</v>
      </c>
      <c r="V1023" s="127">
        <f t="shared" si="378"/>
        <v>0</v>
      </c>
      <c r="W1023" s="19">
        <v>0</v>
      </c>
      <c r="X1023" s="19">
        <v>0</v>
      </c>
      <c r="Y1023" s="128">
        <f>IFERROR(VLOOKUP(D1023,'Monthly Deduction'!$M$2:$N$64,2,0),0)</f>
        <v>0</v>
      </c>
      <c r="Z1023" s="128">
        <v>0</v>
      </c>
      <c r="AA1023" s="126">
        <f>IFERROR(VLOOKUP(D1023,'Monthly Deduction'!A:B,2,0),0)</f>
        <v>0</v>
      </c>
      <c r="AB1023" s="129">
        <f t="shared" si="388"/>
        <v>0</v>
      </c>
      <c r="AC1023" s="130">
        <v>0</v>
      </c>
      <c r="AD1023" s="35">
        <f t="shared" si="389"/>
        <v>0</v>
      </c>
      <c r="AE1023" s="166" t="str">
        <f t="shared" si="390"/>
        <v>Release</v>
      </c>
      <c r="AF1023" s="127"/>
      <c r="AG1023" s="18">
        <v>0</v>
      </c>
      <c r="AH1023" s="132"/>
      <c r="AI1023" s="238">
        <v>0</v>
      </c>
      <c r="AJ1023" s="132"/>
      <c r="AK1023" s="151">
        <v>423.9</v>
      </c>
      <c r="AL1023" s="154">
        <f t="shared" si="391"/>
        <v>0</v>
      </c>
      <c r="AM1023" s="155"/>
      <c r="AN1023" s="19">
        <f t="shared" si="374"/>
        <v>1861</v>
      </c>
      <c r="AO1023" s="118">
        <f>SUMIF('MPG Payment '!E:E,'Shayak Income '!D1023,'MPG Payment '!AJ:AJ)</f>
        <v>0</v>
      </c>
      <c r="AP1023" s="19">
        <f t="shared" si="375"/>
        <v>0</v>
      </c>
      <c r="AQ1023" s="119">
        <f t="shared" si="392"/>
        <v>0</v>
      </c>
      <c r="AR1023" s="91" t="s">
        <v>1168</v>
      </c>
      <c r="AS1023" s="91">
        <f t="shared" si="376"/>
        <v>2453.0201150835856</v>
      </c>
      <c r="AT1023" s="118"/>
      <c r="AU1023" s="118"/>
      <c r="AV1023" s="118"/>
    </row>
    <row r="1024" spans="1:48" s="20" customFormat="1" x14ac:dyDescent="0.25">
      <c r="A1024" s="17">
        <f>IFERROR(VLOOKUP(D1024,'Monthly Deduction'!$I$3:$J$957,2,0),0)</f>
        <v>0</v>
      </c>
      <c r="B1024" s="17">
        <f>IFERROR(VLOOKUP(D1024,'Monthly Deduction'!$E$3:$F$957,2,0),0)</f>
        <v>0</v>
      </c>
      <c r="C1024" s="17">
        <f t="shared" si="383"/>
        <v>0</v>
      </c>
      <c r="D1024" s="41">
        <v>10060079</v>
      </c>
      <c r="E1024" s="122" t="str">
        <f>VLOOKUP(D1024,'MPG Payment '!$E$3:$G$498218,2,0)</f>
        <v>WHACHAUKI</v>
      </c>
      <c r="F1024" s="146">
        <f>IFERROR(_xlfn.XLOOKUP(D1024,'Monthly Deduction'!$I$3:$I$957,'Monthly Deduction'!$H$3:$H$957),0)</f>
        <v>0</v>
      </c>
      <c r="G1024" s="123" t="str">
        <f>VLOOKUP(D1024,'MPG Payment '!$E$3:$G$334579,3,0)</f>
        <v>vlc</v>
      </c>
      <c r="H1024" s="124" t="str">
        <f>VLOOKUP(D1024,'MPG Payment '!$E$3:$H$334579,4,0)</f>
        <v>Indirect</v>
      </c>
      <c r="I1024" s="88">
        <f>INDEX('MPG Payment '!$C:$C,MATCH('Shayak Income '!D1024,'MPG Payment '!E:E,0))</f>
        <v>1006</v>
      </c>
      <c r="J1024" s="88" t="str">
        <f>INDEX('MPG Payment '!$D:$D,MATCH('Shayak Income '!D1024,'MPG Payment '!E:E,0))</f>
        <v>Sonvarsha</v>
      </c>
      <c r="K1024" s="125" t="s">
        <v>1322</v>
      </c>
      <c r="L1024" s="125">
        <v>45646</v>
      </c>
      <c r="M1024" s="126">
        <f>SUMIF('MPG Payment '!$E$3:$E$34579,'Shayak Income '!D1024,'MPG Payment '!$I$3:$I$34579)</f>
        <v>79.599999999999994</v>
      </c>
      <c r="N1024" s="126">
        <f>SUMIF('MPG Payment '!$E$3:$E$34579,'Shayak Income '!D1024,'MPG Payment '!$J$3:$J$34579)</f>
        <v>2668.8152672040001</v>
      </c>
      <c r="O1024" s="126">
        <f t="shared" si="384"/>
        <v>59.699999999999996</v>
      </c>
      <c r="P1024" s="126">
        <f t="shared" si="385"/>
        <v>75.61999999999999</v>
      </c>
      <c r="Q1024" s="126">
        <f>SUMIF('MPG Payment '!$E$3:$E$34579,'Shayak Income '!D1024,'MPG Payment '!$S$3:$S$34579)</f>
        <v>0</v>
      </c>
      <c r="R1024" s="126">
        <f t="shared" si="386"/>
        <v>80.06445801612</v>
      </c>
      <c r="S1024" s="126">
        <f t="shared" si="387"/>
        <v>4.4444580161200093</v>
      </c>
      <c r="T1024" s="126">
        <f t="shared" si="377"/>
        <v>7.96</v>
      </c>
      <c r="U1024" s="127">
        <f>(((IF(K1024="New",0,SUMIF('MPG Payment '!$E$3:$E$34579,'Shayak Income '!D1024,'MPG Payment '!$AC$3:$AC$34579))))+0)+-289</f>
        <v>127.01331451592006</v>
      </c>
      <c r="V1024" s="127">
        <f t="shared" si="378"/>
        <v>0</v>
      </c>
      <c r="W1024" s="19">
        <v>0</v>
      </c>
      <c r="X1024" s="19">
        <v>0</v>
      </c>
      <c r="Y1024" s="128">
        <f>IFERROR(VLOOKUP(D1024,'Monthly Deduction'!$M$2:$N$64,2,0),0)</f>
        <v>0</v>
      </c>
      <c r="Z1024" s="128">
        <v>0</v>
      </c>
      <c r="AA1024" s="126">
        <f>IFERROR(VLOOKUP(D1024,'Monthly Deduction'!A:B,2,0),0)</f>
        <v>0</v>
      </c>
      <c r="AB1024" s="129">
        <f t="shared" si="388"/>
        <v>0</v>
      </c>
      <c r="AC1024" s="130">
        <f t="shared" ref="AC1024:AC1025" si="395">AB1024</f>
        <v>0</v>
      </c>
      <c r="AD1024" s="35">
        <f t="shared" si="389"/>
        <v>0</v>
      </c>
      <c r="AE1024" s="166" t="str">
        <f t="shared" si="390"/>
        <v>Release</v>
      </c>
      <c r="AF1024" s="127"/>
      <c r="AG1024" s="18">
        <v>0</v>
      </c>
      <c r="AH1024" s="132" t="s">
        <v>1648</v>
      </c>
      <c r="AI1024" s="238">
        <v>0</v>
      </c>
      <c r="AJ1024" s="132"/>
      <c r="AK1024" s="151">
        <v>0</v>
      </c>
      <c r="AL1024" s="154">
        <f t="shared" si="391"/>
        <v>0</v>
      </c>
      <c r="AM1024" s="155"/>
      <c r="AN1024" s="19">
        <f t="shared" si="374"/>
        <v>0</v>
      </c>
      <c r="AO1024" s="118">
        <f>SUMIF('MPG Payment '!E:E,'Shayak Income '!D1024,'MPG Payment '!AJ:AJ)</f>
        <v>0</v>
      </c>
      <c r="AP1024" s="19">
        <f t="shared" si="375"/>
        <v>0</v>
      </c>
      <c r="AQ1024" s="119">
        <f t="shared" si="392"/>
        <v>0</v>
      </c>
      <c r="AR1024" s="91" t="s">
        <v>1168</v>
      </c>
      <c r="AS1024" s="91">
        <f t="shared" si="376"/>
        <v>0</v>
      </c>
      <c r="AT1024" s="118"/>
      <c r="AU1024" s="118"/>
      <c r="AV1024" s="118"/>
    </row>
    <row r="1025" spans="1:48" s="20" customFormat="1" x14ac:dyDescent="0.25">
      <c r="A1025" s="17">
        <f>IFERROR(VLOOKUP(D1025,'Monthly Deduction'!$I$3:$J$957,2,0),0)</f>
        <v>0</v>
      </c>
      <c r="B1025" s="17">
        <f>IFERROR(VLOOKUP(D1025,'Monthly Deduction'!$E$3:$F$957,2,0),0)</f>
        <v>0</v>
      </c>
      <c r="C1025" s="17">
        <f t="shared" si="383"/>
        <v>0</v>
      </c>
      <c r="D1025" s="41">
        <v>10060112</v>
      </c>
      <c r="E1025" s="122" t="str">
        <f>VLOOKUP(D1025,'MPG Payment '!$E$3:$G$498218,2,0)</f>
        <v>ADALPUR</v>
      </c>
      <c r="F1025" s="146">
        <f>IFERROR(_xlfn.XLOOKUP(D1025,'Monthly Deduction'!$I$3:$I$957,'Monthly Deduction'!$H$3:$H$957),0)</f>
        <v>0</v>
      </c>
      <c r="G1025" s="123" t="str">
        <f>VLOOKUP(D1025,'MPG Payment '!$E$3:$G$334579,3,0)</f>
        <v>vlc</v>
      </c>
      <c r="H1025" s="124" t="str">
        <f>VLOOKUP(D1025,'MPG Payment '!$E$3:$H$334579,4,0)</f>
        <v>Indirect</v>
      </c>
      <c r="I1025" s="88">
        <f>INDEX('MPG Payment '!$C:$C,MATCH('Shayak Income '!D1025,'MPG Payment '!E:E,0))</f>
        <v>1006</v>
      </c>
      <c r="J1025" s="88" t="str">
        <f>INDEX('MPG Payment '!$D:$D,MATCH('Shayak Income '!D1025,'MPG Payment '!E:E,0))</f>
        <v>Sonvarsha</v>
      </c>
      <c r="K1025" s="125" t="s">
        <v>1323</v>
      </c>
      <c r="L1025" s="125">
        <v>46164</v>
      </c>
      <c r="M1025" s="126">
        <f>SUMIF('MPG Payment '!$E$3:$E$34579,'Shayak Income '!D1025,'MPG Payment '!$I$3:$I$34579)</f>
        <v>13.6</v>
      </c>
      <c r="N1025" s="126">
        <f>SUMIF('MPG Payment '!$E$3:$E$34579,'Shayak Income '!D1025,'MPG Payment '!$J$3:$J$34579)</f>
        <v>447.19779297600007</v>
      </c>
      <c r="O1025" s="126">
        <f t="shared" si="384"/>
        <v>10.199999999999999</v>
      </c>
      <c r="P1025" s="126">
        <f t="shared" si="385"/>
        <v>12.92</v>
      </c>
      <c r="Q1025" s="126">
        <f>SUMIF('MPG Payment '!$E$3:$E$34579,'Shayak Income '!D1025,'MPG Payment '!$S$3:$S$34579)</f>
        <v>0</v>
      </c>
      <c r="R1025" s="126">
        <f t="shared" si="386"/>
        <v>13.415933789280002</v>
      </c>
      <c r="S1025" s="126">
        <f t="shared" si="387"/>
        <v>0.4959337892800022</v>
      </c>
      <c r="T1025" s="126">
        <f t="shared" si="377"/>
        <v>1.36</v>
      </c>
      <c r="U1025" s="127">
        <f>(((IF(K1025="New",0,SUMIF('MPG Payment '!$E$3:$E$34579,'Shayak Income '!D1025,'MPG Payment '!$AC$3:$AC$34579))))+0)+0</f>
        <v>0</v>
      </c>
      <c r="V1025" s="127">
        <f t="shared" si="378"/>
        <v>22</v>
      </c>
      <c r="W1025" s="19">
        <v>0</v>
      </c>
      <c r="X1025" s="19">
        <v>0</v>
      </c>
      <c r="Y1025" s="128">
        <f>IFERROR(VLOOKUP(D1025,'Monthly Deduction'!$M$2:$N$64,2,0),0)</f>
        <v>0</v>
      </c>
      <c r="Z1025" s="128">
        <v>0</v>
      </c>
      <c r="AA1025" s="126">
        <f>IFERROR(VLOOKUP(D1025,'Monthly Deduction'!A:B,2,0),0)</f>
        <v>0</v>
      </c>
      <c r="AB1025" s="129">
        <f t="shared" si="388"/>
        <v>22</v>
      </c>
      <c r="AC1025" s="130">
        <f t="shared" si="395"/>
        <v>22</v>
      </c>
      <c r="AD1025" s="35">
        <f t="shared" si="389"/>
        <v>0</v>
      </c>
      <c r="AE1025" s="166" t="str">
        <f t="shared" si="390"/>
        <v>Yes</v>
      </c>
      <c r="AF1025" s="127"/>
      <c r="AG1025" s="18">
        <v>0</v>
      </c>
      <c r="AH1025" s="132" t="s">
        <v>1648</v>
      </c>
      <c r="AI1025" s="238">
        <v>0</v>
      </c>
      <c r="AJ1025" s="132"/>
      <c r="AK1025" s="151">
        <v>0</v>
      </c>
      <c r="AL1025" s="154">
        <f t="shared" si="391"/>
        <v>0</v>
      </c>
      <c r="AM1025" s="155"/>
      <c r="AN1025" s="19">
        <f t="shared" si="374"/>
        <v>0</v>
      </c>
      <c r="AO1025" s="118">
        <f>SUMIF('MPG Payment '!E:E,'Shayak Income '!D1025,'MPG Payment '!AJ:AJ)</f>
        <v>0</v>
      </c>
      <c r="AP1025" s="19">
        <f t="shared" si="375"/>
        <v>0</v>
      </c>
      <c r="AQ1025" s="119">
        <f t="shared" si="392"/>
        <v>0</v>
      </c>
      <c r="AR1025" s="91" t="s">
        <v>1168</v>
      </c>
      <c r="AS1025" s="91">
        <f t="shared" si="376"/>
        <v>0</v>
      </c>
      <c r="AT1025" s="118"/>
      <c r="AU1025" s="118"/>
      <c r="AV1025" s="118"/>
    </row>
    <row r="1026" spans="1:48" s="20" customFormat="1" x14ac:dyDescent="0.25">
      <c r="A1026" s="17">
        <f>IFERROR(VLOOKUP(D1026,'Monthly Deduction'!$I$3:$J$957,2,0),0)</f>
        <v>0</v>
      </c>
      <c r="B1026" s="17">
        <f>IFERROR(VLOOKUP(D1026,'Monthly Deduction'!$E$3:$F$957,2,0),0)</f>
        <v>0</v>
      </c>
      <c r="C1026" s="17">
        <f t="shared" si="383"/>
        <v>0</v>
      </c>
      <c r="D1026" s="41">
        <v>10070067</v>
      </c>
      <c r="E1026" s="122" t="str">
        <f>VLOOKUP(D1026,'MPG Payment '!$E$3:$G$498218,2,0)</f>
        <v>Gomukh Gulshan Kumar VLC</v>
      </c>
      <c r="F1026" s="146">
        <f>IFERROR(_xlfn.XLOOKUP(D1026,'Monthly Deduction'!$I$3:$I$957,'Monthly Deduction'!$H$3:$H$957),0)</f>
        <v>0</v>
      </c>
      <c r="G1026" s="123" t="str">
        <f>VLOOKUP(D1026,'MPG Payment '!$E$3:$G$334579,3,0)</f>
        <v>vlc</v>
      </c>
      <c r="H1026" s="124" t="str">
        <f>VLOOKUP(D1026,'MPG Payment '!$E$3:$H$334579,4,0)</f>
        <v>Indirect</v>
      </c>
      <c r="I1026" s="88">
        <f>INDEX('MPG Payment '!$C:$C,MATCH('Shayak Income '!D1026,'MPG Payment '!E:E,0))</f>
        <v>1007</v>
      </c>
      <c r="J1026" s="88" t="str">
        <f>INDEX('MPG Payment '!$D:$D,MATCH('Shayak Income '!D1026,'MPG Payment '!E:E,0))</f>
        <v>Araria</v>
      </c>
      <c r="K1026" s="125" t="s">
        <v>1322</v>
      </c>
      <c r="L1026" s="125">
        <v>45825</v>
      </c>
      <c r="M1026" s="126">
        <f>SUMIF('MPG Payment '!$E$3:$E$34579,'Shayak Income '!D1026,'MPG Payment '!$I$3:$I$34579)</f>
        <v>1286.9000000000001</v>
      </c>
      <c r="N1026" s="126">
        <f>SUMIF('MPG Payment '!$E$3:$E$34579,'Shayak Income '!D1026,'MPG Payment '!$J$3:$J$34579)</f>
        <v>47460.446812023009</v>
      </c>
      <c r="O1026" s="126">
        <f t="shared" si="384"/>
        <v>965.17500000000007</v>
      </c>
      <c r="P1026" s="126">
        <f t="shared" si="385"/>
        <v>1222.5550000000001</v>
      </c>
      <c r="Q1026" s="126">
        <f>SUMIF('MPG Payment '!$E$3:$E$34579,'Shayak Income '!D1026,'MPG Payment '!$S$3:$S$34579)</f>
        <v>0</v>
      </c>
      <c r="R1026" s="126">
        <f t="shared" si="386"/>
        <v>1423.8134043606901</v>
      </c>
      <c r="S1026" s="126">
        <f t="shared" si="387"/>
        <v>201.25840436069007</v>
      </c>
      <c r="T1026" s="126">
        <f t="shared" si="377"/>
        <v>128.69000000000003</v>
      </c>
      <c r="U1026" s="127">
        <f>(((IF(K1026="New",0,SUMIF('MPG Payment '!$E$3:$E$34579,'Shayak Income '!D1026,'MPG Payment '!$AC$3:$AC$34579))))+0)+0</f>
        <v>0</v>
      </c>
      <c r="V1026" s="127">
        <f t="shared" si="378"/>
        <v>2059</v>
      </c>
      <c r="W1026" s="19">
        <f t="shared" si="379"/>
        <v>0</v>
      </c>
      <c r="X1026" s="19">
        <f t="shared" si="380"/>
        <v>0</v>
      </c>
      <c r="Y1026" s="128">
        <f>IFERROR(VLOOKUP(D1026,'Monthly Deduction'!$M$2:$N$64,2,0),0)</f>
        <v>0</v>
      </c>
      <c r="Z1026" s="128">
        <v>0</v>
      </c>
      <c r="AA1026" s="126">
        <f>IFERROR(VLOOKUP(D1026,'Monthly Deduction'!A:B,2,0),0)</f>
        <v>0</v>
      </c>
      <c r="AB1026" s="129">
        <f t="shared" si="388"/>
        <v>2059</v>
      </c>
      <c r="AC1026" s="130">
        <v>0</v>
      </c>
      <c r="AD1026" s="35">
        <f t="shared" si="389"/>
        <v>2059</v>
      </c>
      <c r="AE1026" s="166" t="str">
        <f t="shared" si="390"/>
        <v>Release</v>
      </c>
      <c r="AF1026" s="127"/>
      <c r="AG1026" s="18">
        <v>0</v>
      </c>
      <c r="AH1026" s="120"/>
      <c r="AI1026" s="238">
        <v>0</v>
      </c>
      <c r="AJ1026" s="132"/>
      <c r="AK1026" s="151">
        <v>1320.4</v>
      </c>
      <c r="AL1026" s="154">
        <f t="shared" si="391"/>
        <v>0</v>
      </c>
      <c r="AM1026" s="155"/>
      <c r="AN1026" s="19">
        <f t="shared" si="374"/>
        <v>0</v>
      </c>
      <c r="AO1026" s="118">
        <f>SUMIF('MPG Payment '!E:E,'Shayak Income '!D1026,'MPG Payment '!AJ:AJ)</f>
        <v>0</v>
      </c>
      <c r="AP1026" s="19">
        <f t="shared" si="375"/>
        <v>0</v>
      </c>
      <c r="AQ1026" s="119">
        <f t="shared" si="392"/>
        <v>0</v>
      </c>
      <c r="AR1026" s="91" t="s">
        <v>1168</v>
      </c>
      <c r="AS1026" s="91">
        <f t="shared" si="376"/>
        <v>0</v>
      </c>
      <c r="AT1026" s="118"/>
      <c r="AU1026" s="118"/>
      <c r="AV1026" s="118"/>
    </row>
    <row r="1027" spans="1:48" s="20" customFormat="1" x14ac:dyDescent="0.25">
      <c r="A1027" s="17">
        <f>IFERROR(VLOOKUP(D1027,'Monthly Deduction'!$I$3:$J$957,2,0),0)</f>
        <v>0</v>
      </c>
      <c r="B1027" s="17">
        <f>IFERROR(VLOOKUP(D1027,'Monthly Deduction'!$E$3:$F$957,2,0),0)</f>
        <v>0</v>
      </c>
      <c r="C1027" s="17">
        <f t="shared" si="383"/>
        <v>0</v>
      </c>
      <c r="D1027" s="41">
        <v>10080103</v>
      </c>
      <c r="E1027" s="122" t="str">
        <f>VLOOKUP(D1027,'MPG Payment '!$E$3:$G$498218,2,0)</f>
        <v>Vaishnawi Dairy</v>
      </c>
      <c r="F1027" s="146">
        <f>IFERROR(_xlfn.XLOOKUP(D1027,'Monthly Deduction'!$I$3:$I$957,'Monthly Deduction'!$H$3:$H$957),0)</f>
        <v>0</v>
      </c>
      <c r="G1027" s="123" t="str">
        <f>VLOOKUP(D1027,'MPG Payment '!$E$3:$G$334579,3,0)</f>
        <v>vlc</v>
      </c>
      <c r="H1027" s="124" t="str">
        <f>VLOOKUP(D1027,'MPG Payment '!$E$3:$H$334579,4,0)</f>
        <v>Indirect</v>
      </c>
      <c r="I1027" s="88">
        <f>INDEX('MPG Payment '!$C:$C,MATCH('Shayak Income '!D1027,'MPG Payment '!E:E,0))</f>
        <v>1008</v>
      </c>
      <c r="J1027" s="88" t="str">
        <f>INDEX('MPG Payment '!$D:$D,MATCH('Shayak Income '!D1027,'MPG Payment '!E:E,0))</f>
        <v>Teghra</v>
      </c>
      <c r="K1027" s="125" t="s">
        <v>1322</v>
      </c>
      <c r="L1027" s="125">
        <v>46010</v>
      </c>
      <c r="M1027" s="126">
        <f>SUMIF('MPG Payment '!$E$3:$E$34579,'Shayak Income '!D1027,'MPG Payment '!$I$3:$I$34579)</f>
        <v>673.55</v>
      </c>
      <c r="N1027" s="126">
        <f>SUMIF('MPG Payment '!$E$3:$E$34579,'Shayak Income '!D1027,'MPG Payment '!$J$3:$J$34579)</f>
        <v>27215.85211914</v>
      </c>
      <c r="O1027" s="126">
        <f t="shared" si="384"/>
        <v>505.16249999999997</v>
      </c>
      <c r="P1027" s="126">
        <f t="shared" si="385"/>
        <v>639.87249999999995</v>
      </c>
      <c r="Q1027" s="126">
        <f>SUMIF('MPG Payment '!$E$3:$E$34579,'Shayak Income '!D1027,'MPG Payment '!$S$3:$S$34579)</f>
        <v>0</v>
      </c>
      <c r="R1027" s="126">
        <f t="shared" si="386"/>
        <v>816.47556357420001</v>
      </c>
      <c r="S1027" s="126">
        <f t="shared" si="387"/>
        <v>176.60306357420006</v>
      </c>
      <c r="T1027" s="126">
        <f t="shared" si="377"/>
        <v>67.355000000000004</v>
      </c>
      <c r="U1027" s="127">
        <f>(((IF(K1027="New",0,SUMIF('MPG Payment '!$E$3:$E$34579,'Shayak Income '!D1027,'MPG Payment '!$AC$3:$AC$34579))))+0)+0</f>
        <v>21.375080945772549</v>
      </c>
      <c r="V1027" s="127">
        <f t="shared" si="378"/>
        <v>1056</v>
      </c>
      <c r="W1027" s="19">
        <f t="shared" si="379"/>
        <v>0</v>
      </c>
      <c r="X1027" s="19">
        <f t="shared" si="380"/>
        <v>0</v>
      </c>
      <c r="Y1027" s="128">
        <f>IFERROR(VLOOKUP(D1027,'Monthly Deduction'!$M$2:$N$64,2,0),0)</f>
        <v>0</v>
      </c>
      <c r="Z1027" s="128">
        <v>0</v>
      </c>
      <c r="AA1027" s="126">
        <f>IFERROR(VLOOKUP(D1027,'Monthly Deduction'!A:B,2,0),0)</f>
        <v>0</v>
      </c>
      <c r="AB1027" s="129">
        <f t="shared" si="388"/>
        <v>1056</v>
      </c>
      <c r="AC1027" s="130">
        <v>0</v>
      </c>
      <c r="AD1027" s="35">
        <f t="shared" si="389"/>
        <v>1056</v>
      </c>
      <c r="AE1027" s="166" t="str">
        <f t="shared" si="390"/>
        <v>Release</v>
      </c>
      <c r="AF1027" s="127"/>
      <c r="AG1027" s="18">
        <v>0</v>
      </c>
      <c r="AH1027" s="132"/>
      <c r="AI1027" s="238">
        <v>0</v>
      </c>
      <c r="AJ1027" s="132"/>
      <c r="AK1027" s="151">
        <v>1769.5500000000002</v>
      </c>
      <c r="AL1027" s="154">
        <f t="shared" si="391"/>
        <v>0</v>
      </c>
      <c r="AM1027" s="155"/>
      <c r="AN1027" s="19">
        <f t="shared" si="374"/>
        <v>0</v>
      </c>
      <c r="AO1027" s="118">
        <f>SUMIF('MPG Payment '!E:E,'Shayak Income '!D1027,'MPG Payment '!AJ:AJ)</f>
        <v>0</v>
      </c>
      <c r="AP1027" s="19">
        <f t="shared" si="375"/>
        <v>0</v>
      </c>
      <c r="AQ1027" s="119">
        <f t="shared" si="392"/>
        <v>0</v>
      </c>
      <c r="AR1027" s="91" t="s">
        <v>1168</v>
      </c>
      <c r="AS1027" s="91">
        <f t="shared" si="376"/>
        <v>0</v>
      </c>
      <c r="AT1027" s="118"/>
      <c r="AU1027" s="118"/>
      <c r="AV1027" s="118"/>
    </row>
    <row r="1028" spans="1:48" s="20" customFormat="1" x14ac:dyDescent="0.25">
      <c r="A1028" s="17">
        <f>IFERROR(VLOOKUP(D1028,'Monthly Deduction'!$I$3:$J$957,2,0),0)</f>
        <v>0</v>
      </c>
      <c r="B1028" s="17">
        <f>IFERROR(VLOOKUP(D1028,'Monthly Deduction'!$E$3:$F$957,2,0),0)</f>
        <v>0</v>
      </c>
      <c r="C1028" s="17">
        <f t="shared" si="383"/>
        <v>0</v>
      </c>
      <c r="D1028" s="41">
        <v>10100073</v>
      </c>
      <c r="E1028" s="122" t="str">
        <f>VLOOKUP(D1028,'MPG Payment '!$E$3:$G$498218,2,0)</f>
        <v>Gomukh Manjesh Kumar Temtha Karari</v>
      </c>
      <c r="F1028" s="146">
        <f>IFERROR(_xlfn.XLOOKUP(D1028,'Monthly Deduction'!$I$3:$I$957,'Monthly Deduction'!$H$3:$H$957),0)</f>
        <v>0</v>
      </c>
      <c r="G1028" s="123" t="str">
        <f>VLOOKUP(D1028,'MPG Payment '!$E$3:$G$334579,3,0)</f>
        <v>vlc</v>
      </c>
      <c r="H1028" s="124" t="str">
        <f>VLOOKUP(D1028,'MPG Payment '!$E$3:$H$334579,4,0)</f>
        <v>Indirect</v>
      </c>
      <c r="I1028" s="88">
        <f>INDEX('MPG Payment '!$C:$C,MATCH('Shayak Income '!D1028,'MPG Payment '!E:E,0))</f>
        <v>1010</v>
      </c>
      <c r="J1028" s="88" t="str">
        <f>INDEX('MPG Payment '!$D:$D,MATCH('Shayak Income '!D1028,'MPG Payment '!E:E,0))</f>
        <v>Parbatta</v>
      </c>
      <c r="K1028" s="125" t="s">
        <v>1323</v>
      </c>
      <c r="L1028" s="125">
        <v>46168</v>
      </c>
      <c r="M1028" s="126">
        <f>SUMIF('MPG Payment '!$E$3:$E$34579,'Shayak Income '!D1028,'MPG Payment '!$I$3:$I$34579)</f>
        <v>5652.2</v>
      </c>
      <c r="N1028" s="126">
        <f>SUMIF('MPG Payment '!$E$3:$E$34579,'Shayak Income '!D1028,'MPG Payment '!$J$3:$J$34579)</f>
        <v>222159.84813319205</v>
      </c>
      <c r="O1028" s="126">
        <f t="shared" si="384"/>
        <v>4239.1499999999996</v>
      </c>
      <c r="P1028" s="126">
        <f t="shared" si="385"/>
        <v>5369.5899999999992</v>
      </c>
      <c r="Q1028" s="126">
        <f>SUMIF('MPG Payment '!$E$3:$E$34579,'Shayak Income '!D1028,'MPG Payment '!$S$3:$S$34579)</f>
        <v>0</v>
      </c>
      <c r="R1028" s="126">
        <f t="shared" si="386"/>
        <v>6664.7954439957612</v>
      </c>
      <c r="S1028" s="126">
        <f t="shared" si="387"/>
        <v>1295.2054439957619</v>
      </c>
      <c r="T1028" s="126">
        <f t="shared" si="377"/>
        <v>565.22</v>
      </c>
      <c r="U1028" s="127">
        <f>(((IF(K1028="New",0,SUMIF('MPG Payment '!$E$3:$E$34579,'Shayak Income '!D1028,'MPG Payment '!$AC$3:$AC$34579))))+0)+0</f>
        <v>0</v>
      </c>
      <c r="V1028" s="127">
        <f t="shared" si="378"/>
        <v>9044</v>
      </c>
      <c r="W1028" s="19">
        <v>0</v>
      </c>
      <c r="X1028" s="19">
        <v>0</v>
      </c>
      <c r="Y1028" s="128">
        <f>IFERROR(VLOOKUP(D1028,'Monthly Deduction'!$M$2:$N$64,2,0),0)</f>
        <v>0</v>
      </c>
      <c r="Z1028" s="128">
        <v>0</v>
      </c>
      <c r="AA1028" s="126">
        <f>IFERROR(VLOOKUP(D1028,'Monthly Deduction'!A:B,2,0),0)</f>
        <v>0</v>
      </c>
      <c r="AB1028" s="129">
        <f t="shared" si="388"/>
        <v>9044</v>
      </c>
      <c r="AC1028" s="130">
        <v>0</v>
      </c>
      <c r="AD1028" s="35">
        <f t="shared" si="389"/>
        <v>9044</v>
      </c>
      <c r="AE1028" s="166" t="str">
        <f t="shared" si="390"/>
        <v>Release</v>
      </c>
      <c r="AF1028" s="127"/>
      <c r="AG1028" s="18">
        <v>0</v>
      </c>
      <c r="AH1028" s="132"/>
      <c r="AI1028" s="238">
        <v>0</v>
      </c>
      <c r="AJ1028" s="132"/>
      <c r="AK1028" s="151">
        <v>7400.2</v>
      </c>
      <c r="AL1028" s="154">
        <f t="shared" si="391"/>
        <v>0</v>
      </c>
      <c r="AM1028" s="155"/>
      <c r="AN1028" s="19">
        <f t="shared" ref="AN1028:AN1036" si="396">((MIN(IF(A1028&gt;0,MAX(N1028*2%,1861),0),A1028)))+0</f>
        <v>0</v>
      </c>
      <c r="AO1028" s="118">
        <f>SUMIF('MPG Payment '!E:E,'Shayak Income '!D1028,'MPG Payment '!AJ:AJ)</f>
        <v>0</v>
      </c>
      <c r="AP1028" s="19">
        <f t="shared" ref="AP1028:AP1036" si="397">W1028</f>
        <v>0</v>
      </c>
      <c r="AQ1028" s="119">
        <f t="shared" si="392"/>
        <v>0</v>
      </c>
      <c r="AR1028" s="91" t="s">
        <v>1168</v>
      </c>
      <c r="AS1028" s="91">
        <f t="shared" ref="AS1028:AS1036" si="398">B1028-X1028</f>
        <v>0</v>
      </c>
      <c r="AT1028" s="118"/>
      <c r="AU1028" s="118"/>
      <c r="AV1028" s="118"/>
    </row>
    <row r="1029" spans="1:48" s="20" customFormat="1" x14ac:dyDescent="0.25">
      <c r="A1029" s="17">
        <f>IFERROR(VLOOKUP(D1029,'Monthly Deduction'!$I$3:$J$957,2,0),0)</f>
        <v>74382.888583716529</v>
      </c>
      <c r="B1029" s="17">
        <f>IFERROR(VLOOKUP(D1029,'Monthly Deduction'!$E$3:$F$957,2,0),0)</f>
        <v>0</v>
      </c>
      <c r="C1029" s="17">
        <f t="shared" si="383"/>
        <v>74382.888583716529</v>
      </c>
      <c r="D1029" s="41">
        <v>10110079</v>
      </c>
      <c r="E1029" s="122" t="str">
        <f>VLOOKUP(D1029,'MPG Payment '!$E$3:$G$498218,2,0)</f>
        <v>GOMUKH GARHIYA</v>
      </c>
      <c r="F1029" s="146">
        <f>IFERROR(_xlfn.XLOOKUP(D1029,'Monthly Deduction'!$I$3:$I$957,'Monthly Deduction'!$H$3:$H$957),0)</f>
        <v>0</v>
      </c>
      <c r="G1029" s="123" t="str">
        <f>VLOOKUP(D1029,'MPG Payment '!$E$3:$G$334579,3,0)</f>
        <v>MPG</v>
      </c>
      <c r="H1029" s="124" t="str">
        <f>VLOOKUP(D1029,'MPG Payment '!$E$3:$H$334579,4,0)</f>
        <v>Direct</v>
      </c>
      <c r="I1029" s="88">
        <f>INDEX('MPG Payment '!$C:$C,MATCH('Shayak Income '!D1029,'MPG Payment '!E:E,0))</f>
        <v>1011</v>
      </c>
      <c r="J1029" s="88" t="str">
        <f>INDEX('MPG Payment '!$D:$D,MATCH('Shayak Income '!D1029,'MPG Payment '!E:E,0))</f>
        <v>Sahibpur Kamal</v>
      </c>
      <c r="K1029" s="125" t="s">
        <v>1322</v>
      </c>
      <c r="L1029" s="125">
        <v>45429</v>
      </c>
      <c r="M1029" s="126">
        <f>SUMIF('MPG Payment '!$E$3:$E$34579,'Shayak Income '!D1029,'MPG Payment '!$I$3:$I$34579)</f>
        <v>146.5</v>
      </c>
      <c r="N1029" s="126">
        <f>SUMIF('MPG Payment '!$E$3:$E$34579,'Shayak Income '!D1029,'MPG Payment '!$J$3:$J$34579)</f>
        <v>5339.8294974600012</v>
      </c>
      <c r="O1029" s="126">
        <f t="shared" si="384"/>
        <v>109.875</v>
      </c>
      <c r="P1029" s="126">
        <f t="shared" si="385"/>
        <v>139.17499999999998</v>
      </c>
      <c r="Q1029" s="126">
        <f>SUMIF('MPG Payment '!$E$3:$E$34579,'Shayak Income '!D1029,'MPG Payment '!$S$3:$S$34579)</f>
        <v>0</v>
      </c>
      <c r="R1029" s="126">
        <f t="shared" si="386"/>
        <v>160.19488492380003</v>
      </c>
      <c r="S1029" s="126">
        <f t="shared" si="387"/>
        <v>21.019884923800049</v>
      </c>
      <c r="T1029" s="126">
        <f t="shared" ref="T1029:T1036" si="399">M1029*0.1</f>
        <v>14.65</v>
      </c>
      <c r="U1029" s="127">
        <f>(((IF(K1029="New",0,SUMIF('MPG Payment '!$E$3:$E$34579,'Shayak Income '!D1029,'MPG Payment '!$AC$3:$AC$34579))))+0)+-169</f>
        <v>234.49428352820621</v>
      </c>
      <c r="V1029" s="127">
        <f t="shared" ref="V1029:V1036" si="400">ROUND((SUM(O1029:Q1029)-SUM(T1029:U1029)),0)</f>
        <v>0</v>
      </c>
      <c r="W1029" s="19">
        <v>0</v>
      </c>
      <c r="X1029" s="19">
        <v>0</v>
      </c>
      <c r="Y1029" s="128">
        <f>IFERROR(VLOOKUP(D1029,'Monthly Deduction'!$M$2:$N$64,2,0),0)</f>
        <v>0</v>
      </c>
      <c r="Z1029" s="128">
        <v>0</v>
      </c>
      <c r="AA1029" s="126">
        <f>IFERROR(VLOOKUP(D1029,'Monthly Deduction'!A:B,2,0),0)</f>
        <v>0</v>
      </c>
      <c r="AB1029" s="129">
        <f t="shared" si="388"/>
        <v>0</v>
      </c>
      <c r="AC1029" s="130">
        <v>0</v>
      </c>
      <c r="AD1029" s="35">
        <f t="shared" si="389"/>
        <v>0</v>
      </c>
      <c r="AE1029" s="166" t="str">
        <f t="shared" si="390"/>
        <v>Release</v>
      </c>
      <c r="AF1029" s="127"/>
      <c r="AG1029" s="18">
        <v>0</v>
      </c>
      <c r="AH1029" s="132"/>
      <c r="AI1029" s="238">
        <v>0</v>
      </c>
      <c r="AJ1029" s="132"/>
      <c r="AK1029" s="151">
        <v>272.39999999999998</v>
      </c>
      <c r="AL1029" s="154">
        <f t="shared" si="391"/>
        <v>0</v>
      </c>
      <c r="AM1029" s="155"/>
      <c r="AN1029" s="19">
        <f t="shared" si="396"/>
        <v>1861</v>
      </c>
      <c r="AO1029" s="118">
        <f>SUMIF('MPG Payment '!E:E,'Shayak Income '!D1029,'MPG Payment '!AJ:AJ)</f>
        <v>0</v>
      </c>
      <c r="AP1029" s="19">
        <f t="shared" si="397"/>
        <v>0</v>
      </c>
      <c r="AQ1029" s="119">
        <f t="shared" si="392"/>
        <v>0</v>
      </c>
      <c r="AR1029" s="91" t="s">
        <v>1168</v>
      </c>
      <c r="AS1029" s="91">
        <f t="shared" si="398"/>
        <v>0</v>
      </c>
      <c r="AT1029" s="118"/>
      <c r="AU1029" s="118"/>
      <c r="AV1029" s="118"/>
    </row>
    <row r="1030" spans="1:48" s="20" customFormat="1" x14ac:dyDescent="0.25">
      <c r="A1030" s="17">
        <f>IFERROR(VLOOKUP(D1030,'Monthly Deduction'!$I$3:$J$957,2,0),0)</f>
        <v>76787.376122859001</v>
      </c>
      <c r="B1030" s="17">
        <f>IFERROR(VLOOKUP(D1030,'Monthly Deduction'!$E$3:$F$957,2,0),0)</f>
        <v>6400</v>
      </c>
      <c r="C1030" s="17">
        <f t="shared" si="383"/>
        <v>83187.376122859001</v>
      </c>
      <c r="D1030" s="41">
        <v>10140171</v>
      </c>
      <c r="E1030" s="122" t="str">
        <f>VLOOKUP(D1030,'MPG Payment '!$E$3:$G$498218,2,0)</f>
        <v xml:space="preserve">Gomukh Mukhiyadera </v>
      </c>
      <c r="F1030" s="146">
        <f>IFERROR(_xlfn.XLOOKUP(D1030,'Monthly Deduction'!$I$3:$I$957,'Monthly Deduction'!$H$3:$H$957),0)</f>
        <v>0</v>
      </c>
      <c r="G1030" s="123" t="str">
        <f>VLOOKUP(D1030,'MPG Payment '!$E$3:$G$334579,3,0)</f>
        <v>MPG</v>
      </c>
      <c r="H1030" s="124" t="str">
        <f>VLOOKUP(D1030,'MPG Payment '!$E$3:$H$334579,4,0)</f>
        <v>Direct</v>
      </c>
      <c r="I1030" s="88">
        <f>INDEX('MPG Payment '!$C:$C,MATCH('Shayak Income '!D1030,'MPG Payment '!E:E,0))</f>
        <v>1014</v>
      </c>
      <c r="J1030" s="88" t="str">
        <f>INDEX('MPG Payment '!$D:$D,MATCH('Shayak Income '!D1030,'MPG Payment '!E:E,0))</f>
        <v>Dumraon</v>
      </c>
      <c r="K1030" s="125" t="s">
        <v>1322</v>
      </c>
      <c r="L1030" s="125">
        <v>45777</v>
      </c>
      <c r="M1030" s="126">
        <f>SUMIF('MPG Payment '!$E$3:$E$34579,'Shayak Income '!D1030,'MPG Payment '!$I$3:$I$34579)</f>
        <v>357.9</v>
      </c>
      <c r="N1030" s="126">
        <f>SUMIF('MPG Payment '!$E$3:$E$34579,'Shayak Income '!D1030,'MPG Payment '!$J$3:$J$34579)</f>
        <v>13408.112079300001</v>
      </c>
      <c r="O1030" s="126">
        <f t="shared" si="384"/>
        <v>268.42499999999995</v>
      </c>
      <c r="P1030" s="126">
        <f t="shared" si="385"/>
        <v>340.00499999999994</v>
      </c>
      <c r="Q1030" s="126">
        <f>SUMIF('MPG Payment '!$E$3:$E$34579,'Shayak Income '!D1030,'MPG Payment '!$S$3:$S$34579)</f>
        <v>0</v>
      </c>
      <c r="R1030" s="126">
        <f t="shared" si="386"/>
        <v>402.24336237900002</v>
      </c>
      <c r="S1030" s="126">
        <f t="shared" si="387"/>
        <v>62.23836237900008</v>
      </c>
      <c r="T1030" s="126">
        <f t="shared" si="399"/>
        <v>35.79</v>
      </c>
      <c r="U1030" s="127">
        <f>(((IF(K1030="New",0,SUMIF('MPG Payment '!$E$3:$E$34579,'Shayak Income '!D1030,'MPG Payment '!$AC$3:$AC$34579))))+0)+0</f>
        <v>256.32384142657338</v>
      </c>
      <c r="V1030" s="127">
        <f t="shared" si="400"/>
        <v>316</v>
      </c>
      <c r="W1030" s="19">
        <v>316</v>
      </c>
      <c r="X1030" s="19">
        <v>0</v>
      </c>
      <c r="Y1030" s="128">
        <f>IFERROR(VLOOKUP(D1030,'Monthly Deduction'!$M$2:$N$64,2,0),0)</f>
        <v>0</v>
      </c>
      <c r="Z1030" s="128">
        <v>0</v>
      </c>
      <c r="AA1030" s="126">
        <v>0</v>
      </c>
      <c r="AB1030" s="129">
        <f t="shared" si="388"/>
        <v>0</v>
      </c>
      <c r="AC1030" s="130">
        <f t="shared" ref="AC1030:AC1034" si="401">AB1030</f>
        <v>0</v>
      </c>
      <c r="AD1030" s="35">
        <f t="shared" si="389"/>
        <v>0</v>
      </c>
      <c r="AE1030" s="166" t="str">
        <f t="shared" si="390"/>
        <v>Release</v>
      </c>
      <c r="AF1030" s="127"/>
      <c r="AG1030" s="18">
        <v>0</v>
      </c>
      <c r="AH1030" s="120" t="s">
        <v>1653</v>
      </c>
      <c r="AI1030" s="238">
        <v>0</v>
      </c>
      <c r="AJ1030" s="132"/>
      <c r="AK1030" s="151">
        <v>624.80000000000007</v>
      </c>
      <c r="AL1030" s="154">
        <f t="shared" si="391"/>
        <v>0</v>
      </c>
      <c r="AM1030" s="155"/>
      <c r="AN1030" s="19">
        <f t="shared" si="396"/>
        <v>1861</v>
      </c>
      <c r="AO1030" s="118">
        <f>SUMIF('MPG Payment '!E:E,'Shayak Income '!D1030,'MPG Payment '!AJ:AJ)</f>
        <v>0</v>
      </c>
      <c r="AP1030" s="19">
        <f t="shared" si="397"/>
        <v>316</v>
      </c>
      <c r="AQ1030" s="119">
        <f t="shared" si="392"/>
        <v>316</v>
      </c>
      <c r="AR1030" s="91" t="s">
        <v>1168</v>
      </c>
      <c r="AS1030" s="91">
        <f t="shared" si="398"/>
        <v>6400</v>
      </c>
      <c r="AT1030" s="118"/>
      <c r="AU1030" s="118"/>
      <c r="AV1030" s="118"/>
    </row>
    <row r="1031" spans="1:48" s="20" customFormat="1" x14ac:dyDescent="0.25">
      <c r="A1031" s="17">
        <f>IFERROR(VLOOKUP(D1031,'Monthly Deduction'!$I$3:$J$957,2,0),0)</f>
        <v>99080</v>
      </c>
      <c r="B1031" s="17">
        <f>IFERROR(VLOOKUP(D1031,'Monthly Deduction'!$E$3:$F$957,2,0),0)</f>
        <v>2800</v>
      </c>
      <c r="C1031" s="17">
        <f t="shared" si="383"/>
        <v>101880</v>
      </c>
      <c r="D1031" s="41">
        <v>10140191</v>
      </c>
      <c r="E1031" s="122" t="str">
        <f>VLOOKUP(D1031,'MPG Payment '!$E$3:$G$498218,2,0)</f>
        <v>Gumukk JP Dera</v>
      </c>
      <c r="F1031" s="146">
        <f>IFERROR(_xlfn.XLOOKUP(D1031,'Monthly Deduction'!$I$3:$I$957,'Monthly Deduction'!$H$3:$H$957),0)</f>
        <v>0</v>
      </c>
      <c r="G1031" s="123" t="str">
        <f>VLOOKUP(D1031,'MPG Payment '!$E$3:$G$334579,3,0)</f>
        <v>vlc</v>
      </c>
      <c r="H1031" s="124" t="str">
        <f>VLOOKUP(D1031,'MPG Payment '!$E$3:$H$334579,4,0)</f>
        <v>Indirect</v>
      </c>
      <c r="I1031" s="88">
        <f>INDEX('MPG Payment '!$C:$C,MATCH('Shayak Income '!D1031,'MPG Payment '!E:E,0))</f>
        <v>1014</v>
      </c>
      <c r="J1031" s="88" t="str">
        <f>INDEX('MPG Payment '!$D:$D,MATCH('Shayak Income '!D1031,'MPG Payment '!E:E,0))</f>
        <v>Dumraon</v>
      </c>
      <c r="K1031" s="125" t="s">
        <v>1322</v>
      </c>
      <c r="L1031" s="125">
        <v>46003</v>
      </c>
      <c r="M1031" s="126">
        <f>SUMIF('MPG Payment '!$E$3:$E$34579,'Shayak Income '!D1031,'MPG Payment '!$I$3:$I$34579)</f>
        <v>328</v>
      </c>
      <c r="N1031" s="126">
        <f>SUMIF('MPG Payment '!$E$3:$E$34579,'Shayak Income '!D1031,'MPG Payment '!$J$3:$J$34579)</f>
        <v>12633.054732060002</v>
      </c>
      <c r="O1031" s="126">
        <f t="shared" si="384"/>
        <v>246</v>
      </c>
      <c r="P1031" s="126">
        <f t="shared" si="385"/>
        <v>311.59999999999997</v>
      </c>
      <c r="Q1031" s="126">
        <f>SUMIF('MPG Payment '!$E$3:$E$34579,'Shayak Income '!D1031,'MPG Payment '!$S$3:$S$34579)</f>
        <v>0</v>
      </c>
      <c r="R1031" s="126">
        <f t="shared" si="386"/>
        <v>378.99164196180004</v>
      </c>
      <c r="S1031" s="126">
        <f t="shared" si="387"/>
        <v>67.391641961800076</v>
      </c>
      <c r="T1031" s="126">
        <f t="shared" si="399"/>
        <v>32.800000000000004</v>
      </c>
      <c r="U1031" s="127">
        <f>(((IF(K1031="New",0,SUMIF('MPG Payment '!$E$3:$E$34579,'Shayak Income '!D1031,'MPG Payment '!$AC$3:$AC$34579))))+0)+0</f>
        <v>286.55465611745865</v>
      </c>
      <c r="V1031" s="127">
        <f t="shared" si="400"/>
        <v>238</v>
      </c>
      <c r="W1031" s="19">
        <v>238</v>
      </c>
      <c r="X1031" s="19">
        <v>0</v>
      </c>
      <c r="Y1031" s="128">
        <f>IFERROR(VLOOKUP(D1031,'Monthly Deduction'!$M$2:$N$64,2,0),0)</f>
        <v>0</v>
      </c>
      <c r="Z1031" s="128">
        <v>0</v>
      </c>
      <c r="AA1031" s="126">
        <v>0</v>
      </c>
      <c r="AB1031" s="129">
        <f t="shared" si="388"/>
        <v>0</v>
      </c>
      <c r="AC1031" s="130">
        <f t="shared" si="401"/>
        <v>0</v>
      </c>
      <c r="AD1031" s="35">
        <f t="shared" si="389"/>
        <v>0</v>
      </c>
      <c r="AE1031" s="166" t="str">
        <f t="shared" si="390"/>
        <v>Release</v>
      </c>
      <c r="AF1031" s="127"/>
      <c r="AG1031" s="18">
        <v>0</v>
      </c>
      <c r="AH1031" s="120" t="s">
        <v>1646</v>
      </c>
      <c r="AI1031" s="238">
        <v>9080</v>
      </c>
      <c r="AJ1031" s="132"/>
      <c r="AK1031" s="151">
        <v>332.1</v>
      </c>
      <c r="AL1031" s="154">
        <f t="shared" si="391"/>
        <v>0</v>
      </c>
      <c r="AM1031" s="155"/>
      <c r="AN1031" s="19">
        <f t="shared" si="396"/>
        <v>1861</v>
      </c>
      <c r="AO1031" s="118">
        <f>SUMIF('MPG Payment '!E:E,'Shayak Income '!D1031,'MPG Payment '!AJ:AJ)</f>
        <v>0</v>
      </c>
      <c r="AP1031" s="19">
        <f t="shared" si="397"/>
        <v>238</v>
      </c>
      <c r="AQ1031" s="119">
        <f t="shared" si="392"/>
        <v>238</v>
      </c>
      <c r="AR1031" s="91" t="s">
        <v>1168</v>
      </c>
      <c r="AS1031" s="91">
        <f t="shared" si="398"/>
        <v>2800</v>
      </c>
      <c r="AT1031" s="118"/>
      <c r="AU1031" s="118"/>
      <c r="AV1031" s="118"/>
    </row>
    <row r="1032" spans="1:48" s="20" customFormat="1" x14ac:dyDescent="0.25">
      <c r="A1032" s="17">
        <f>IFERROR(VLOOKUP(D1032,'Monthly Deduction'!$I$3:$J$957,2,0),0)</f>
        <v>0</v>
      </c>
      <c r="B1032" s="17">
        <f>IFERROR(VLOOKUP(D1032,'Monthly Deduction'!$E$3:$F$957,2,0),0)</f>
        <v>0</v>
      </c>
      <c r="C1032" s="17">
        <f t="shared" si="383"/>
        <v>0</v>
      </c>
      <c r="D1032" s="41">
        <v>10480029</v>
      </c>
      <c r="E1032" s="122" t="str">
        <f>VLOOKUP(D1032,'MPG Payment '!$E$3:$G$498218,2,0)</f>
        <v>Gomukh Tulsipur Jamunia VLC</v>
      </c>
      <c r="F1032" s="146">
        <f>IFERROR(_xlfn.XLOOKUP(D1032,'Monthly Deduction'!$I$3:$I$957,'Monthly Deduction'!$H$3:$H$957),0)</f>
        <v>0</v>
      </c>
      <c r="G1032" s="123" t="str">
        <f>VLOOKUP(D1032,'MPG Payment '!$E$3:$G$334579,3,0)</f>
        <v>vlc</v>
      </c>
      <c r="H1032" s="124" t="str">
        <f>VLOOKUP(D1032,'MPG Payment '!$E$3:$H$334579,4,0)</f>
        <v>Indirect</v>
      </c>
      <c r="I1032" s="88">
        <f>INDEX('MPG Payment '!$C:$C,MATCH('Shayak Income '!D1032,'MPG Payment '!E:E,0))</f>
        <v>1036</v>
      </c>
      <c r="J1032" s="88" t="str">
        <f>INDEX('MPG Payment '!$D:$D,MATCH('Shayak Income '!D1032,'MPG Payment '!E:E,0))</f>
        <v>MAHADAT PUR 2</v>
      </c>
      <c r="K1032" s="125" t="s">
        <v>1322</v>
      </c>
      <c r="L1032" s="125">
        <v>45761</v>
      </c>
      <c r="M1032" s="126">
        <f>SUMIF('MPG Payment '!$E$3:$E$34579,'Shayak Income '!D1032,'MPG Payment '!$I$3:$I$34579)</f>
        <v>37.700000000000003</v>
      </c>
      <c r="N1032" s="126">
        <f>SUMIF('MPG Payment '!$E$3:$E$34579,'Shayak Income '!D1032,'MPG Payment '!$J$3:$J$34579)</f>
        <v>1358.5975088400003</v>
      </c>
      <c r="O1032" s="126">
        <f t="shared" si="384"/>
        <v>28.275000000000002</v>
      </c>
      <c r="P1032" s="126">
        <f t="shared" si="385"/>
        <v>35.814999999999998</v>
      </c>
      <c r="Q1032" s="126">
        <f>SUMIF('MPG Payment '!$E$3:$E$34579,'Shayak Income '!D1032,'MPG Payment '!$S$3:$S$34579)</f>
        <v>0</v>
      </c>
      <c r="R1032" s="126">
        <f t="shared" si="386"/>
        <v>40.757925265200008</v>
      </c>
      <c r="S1032" s="126">
        <f t="shared" si="387"/>
        <v>4.9429252652000102</v>
      </c>
      <c r="T1032" s="126">
        <f t="shared" si="399"/>
        <v>3.7700000000000005</v>
      </c>
      <c r="U1032" s="127">
        <f>(((IF(K1032="New",0,SUMIF('MPG Payment '!$E$3:$E$34579,'Shayak Income '!D1032,'MPG Payment '!$AC$3:$AC$34579))))+0)+-417</f>
        <v>60.347018623200086</v>
      </c>
      <c r="V1032" s="127">
        <f t="shared" si="400"/>
        <v>0</v>
      </c>
      <c r="W1032" s="19">
        <v>0</v>
      </c>
      <c r="X1032" s="19">
        <v>0</v>
      </c>
      <c r="Y1032" s="128">
        <f>IFERROR(VLOOKUP(D1032,'Monthly Deduction'!$M$2:$N$64,2,0),0)</f>
        <v>0</v>
      </c>
      <c r="Z1032" s="128">
        <v>0</v>
      </c>
      <c r="AA1032" s="126">
        <f>IFERROR(VLOOKUP(D1032,'Monthly Deduction'!A:B,2,0),0)</f>
        <v>0</v>
      </c>
      <c r="AB1032" s="129">
        <f t="shared" si="388"/>
        <v>0</v>
      </c>
      <c r="AC1032" s="130">
        <f t="shared" si="401"/>
        <v>0</v>
      </c>
      <c r="AD1032" s="35">
        <f t="shared" si="389"/>
        <v>0</v>
      </c>
      <c r="AE1032" s="166" t="str">
        <f t="shared" si="390"/>
        <v>Release</v>
      </c>
      <c r="AF1032" s="127"/>
      <c r="AG1032" s="18">
        <v>0</v>
      </c>
      <c r="AH1032" s="132" t="s">
        <v>1648</v>
      </c>
      <c r="AI1032" s="238">
        <v>0</v>
      </c>
      <c r="AJ1032" s="132"/>
      <c r="AK1032" s="151">
        <v>0</v>
      </c>
      <c r="AL1032" s="154">
        <f t="shared" si="391"/>
        <v>0</v>
      </c>
      <c r="AM1032" s="155"/>
      <c r="AN1032" s="19">
        <f t="shared" si="396"/>
        <v>0</v>
      </c>
      <c r="AO1032" s="118">
        <f>SUMIF('MPG Payment '!E:E,'Shayak Income '!D1032,'MPG Payment '!AJ:AJ)</f>
        <v>0</v>
      </c>
      <c r="AP1032" s="19">
        <f t="shared" si="397"/>
        <v>0</v>
      </c>
      <c r="AQ1032" s="119">
        <f t="shared" si="392"/>
        <v>0</v>
      </c>
      <c r="AR1032" s="91" t="s">
        <v>1168</v>
      </c>
      <c r="AS1032" s="91">
        <f t="shared" si="398"/>
        <v>0</v>
      </c>
      <c r="AT1032" s="118"/>
      <c r="AU1032" s="118"/>
      <c r="AV1032" s="118"/>
    </row>
    <row r="1033" spans="1:48" s="20" customFormat="1" x14ac:dyDescent="0.25">
      <c r="A1033" s="17">
        <f>IFERROR(VLOOKUP(D1033,'Monthly Deduction'!$I$3:$J$957,2,0),0)</f>
        <v>80000</v>
      </c>
      <c r="B1033" s="17">
        <f>IFERROR(VLOOKUP(D1033,'Monthly Deduction'!$E$3:$F$957,2,0),0)</f>
        <v>0</v>
      </c>
      <c r="C1033" s="17">
        <f t="shared" si="383"/>
        <v>80000</v>
      </c>
      <c r="D1033" s="41">
        <v>10650014</v>
      </c>
      <c r="E1033" s="122" t="str">
        <f>VLOOKUP(D1033,'MPG Payment '!$E$3:$G$498218,2,0)</f>
        <v>Gomukh KAIDRABAD</v>
      </c>
      <c r="F1033" s="146">
        <f>IFERROR(_xlfn.XLOOKUP(D1033,'Monthly Deduction'!$I$3:$I$957,'Monthly Deduction'!$H$3:$H$957),0)</f>
        <v>0</v>
      </c>
      <c r="G1033" s="123" t="str">
        <f>VLOOKUP(D1033,'MPG Payment '!$E$3:$G$334579,3,0)</f>
        <v>MPG</v>
      </c>
      <c r="H1033" s="124" t="str">
        <f>VLOOKUP(D1033,'MPG Payment '!$E$3:$H$334579,4,0)</f>
        <v>Direct</v>
      </c>
      <c r="I1033" s="88">
        <f>INDEX('MPG Payment '!$C:$C,MATCH('Shayak Income '!D1033,'MPG Payment '!E:E,0))</f>
        <v>1065</v>
      </c>
      <c r="J1033" s="88" t="str">
        <f>INDEX('MPG Payment '!$D:$D,MATCH('Shayak Income '!D1033,'MPG Payment '!E:E,0))</f>
        <v>Bachhwara BMC</v>
      </c>
      <c r="K1033" s="125" t="s">
        <v>1323</v>
      </c>
      <c r="L1033" s="125">
        <v>46165</v>
      </c>
      <c r="M1033" s="126">
        <f>SUMIF('MPG Payment '!$E$3:$E$34579,'Shayak Income '!D1033,'MPG Payment '!$I$3:$I$34579)</f>
        <v>241.69999999999996</v>
      </c>
      <c r="N1033" s="126">
        <f>SUMIF('MPG Payment '!$E$3:$E$34579,'Shayak Income '!D1033,'MPG Payment '!$J$3:$J$34579)</f>
        <v>9013.9438874100015</v>
      </c>
      <c r="O1033" s="126">
        <f t="shared" si="384"/>
        <v>181.27499999999998</v>
      </c>
      <c r="P1033" s="126">
        <f t="shared" si="385"/>
        <v>229.61499999999995</v>
      </c>
      <c r="Q1033" s="126">
        <f>SUMIF('MPG Payment '!$E$3:$E$34579,'Shayak Income '!D1033,'MPG Payment '!$S$3:$S$34579)</f>
        <v>0</v>
      </c>
      <c r="R1033" s="126">
        <f t="shared" si="386"/>
        <v>270.41831662230004</v>
      </c>
      <c r="S1033" s="126">
        <f t="shared" si="387"/>
        <v>40.803316622300088</v>
      </c>
      <c r="T1033" s="126">
        <f t="shared" si="399"/>
        <v>24.169999999999998</v>
      </c>
      <c r="U1033" s="127">
        <f>(((IF(K1033="New",0,SUMIF('MPG Payment '!$E$3:$E$34579,'Shayak Income '!D1033,'MPG Payment '!$AC$3:$AC$34579))))+0)+0</f>
        <v>0</v>
      </c>
      <c r="V1033" s="127">
        <f t="shared" si="400"/>
        <v>387</v>
      </c>
      <c r="W1033" s="19">
        <v>0</v>
      </c>
      <c r="X1033" s="19">
        <v>0</v>
      </c>
      <c r="Y1033" s="128">
        <f>IFERROR(VLOOKUP(D1033,'Monthly Deduction'!$M$2:$N$64,2,0),0)</f>
        <v>0</v>
      </c>
      <c r="Z1033" s="128">
        <v>0</v>
      </c>
      <c r="AA1033" s="126">
        <f>IFERROR(VLOOKUP(D1033,'Monthly Deduction'!A:B,2,0),0)</f>
        <v>0</v>
      </c>
      <c r="AB1033" s="129">
        <f t="shared" si="388"/>
        <v>387</v>
      </c>
      <c r="AC1033" s="130">
        <f t="shared" si="401"/>
        <v>387</v>
      </c>
      <c r="AD1033" s="35">
        <f t="shared" si="389"/>
        <v>0</v>
      </c>
      <c r="AE1033" s="166" t="str">
        <f t="shared" si="390"/>
        <v>Yes</v>
      </c>
      <c r="AF1033" s="127"/>
      <c r="AG1033" s="18">
        <v>0</v>
      </c>
      <c r="AH1033" s="120" t="s">
        <v>1646</v>
      </c>
      <c r="AI1033" s="238">
        <v>15000</v>
      </c>
      <c r="AJ1033" s="132"/>
      <c r="AK1033" s="151">
        <v>254.8</v>
      </c>
      <c r="AL1033" s="154">
        <f t="shared" si="391"/>
        <v>0</v>
      </c>
      <c r="AM1033" s="155"/>
      <c r="AN1033" s="19">
        <f t="shared" si="396"/>
        <v>1861</v>
      </c>
      <c r="AO1033" s="118">
        <f>SUMIF('MPG Payment '!E:E,'Shayak Income '!D1033,'MPG Payment '!AJ:AJ)</f>
        <v>0</v>
      </c>
      <c r="AP1033" s="19">
        <f t="shared" si="397"/>
        <v>0</v>
      </c>
      <c r="AQ1033" s="119">
        <f t="shared" si="392"/>
        <v>0</v>
      </c>
      <c r="AR1033" s="91" t="s">
        <v>1168</v>
      </c>
      <c r="AS1033" s="91">
        <f t="shared" si="398"/>
        <v>0</v>
      </c>
      <c r="AT1033" s="118"/>
      <c r="AU1033" s="118"/>
      <c r="AV1033" s="118"/>
    </row>
    <row r="1034" spans="1:48" s="20" customFormat="1" x14ac:dyDescent="0.25">
      <c r="A1034" s="17">
        <f>IFERROR(VLOOKUP(D1034,'Monthly Deduction'!$I$3:$J$957,2,0),0)</f>
        <v>75000</v>
      </c>
      <c r="B1034" s="17">
        <f>IFERROR(VLOOKUP(D1034,'Monthly Deduction'!$E$3:$F$957,2,0),0)</f>
        <v>0</v>
      </c>
      <c r="C1034" s="17">
        <f t="shared" si="383"/>
        <v>75000</v>
      </c>
      <c r="D1034" s="41">
        <v>10650016</v>
      </c>
      <c r="E1034" s="122" t="str">
        <f>VLOOKUP(D1034,'MPG Payment '!$E$3:$G$498218,2,0)</f>
        <v>Gomukh KASTOLI</v>
      </c>
      <c r="F1034" s="146">
        <f>IFERROR(_xlfn.XLOOKUP(D1034,'Monthly Deduction'!$I$3:$I$957,'Monthly Deduction'!$H$3:$H$957),0)</f>
        <v>0</v>
      </c>
      <c r="G1034" s="123" t="str">
        <f>VLOOKUP(D1034,'MPG Payment '!$E$3:$G$334579,3,0)</f>
        <v>MPG</v>
      </c>
      <c r="H1034" s="124" t="str">
        <f>VLOOKUP(D1034,'MPG Payment '!$E$3:$H$334579,4,0)</f>
        <v>Direct</v>
      </c>
      <c r="I1034" s="88">
        <f>INDEX('MPG Payment '!$C:$C,MATCH('Shayak Income '!D1034,'MPG Payment '!E:E,0))</f>
        <v>1065</v>
      </c>
      <c r="J1034" s="88" t="str">
        <f>INDEX('MPG Payment '!$D:$D,MATCH('Shayak Income '!D1034,'MPG Payment '!E:E,0))</f>
        <v>Bachhwara BMC</v>
      </c>
      <c r="K1034" s="125" t="s">
        <v>1323</v>
      </c>
      <c r="L1034" s="125">
        <v>46164</v>
      </c>
      <c r="M1034" s="126">
        <f>SUMIF('MPG Payment '!$E$3:$E$34579,'Shayak Income '!D1034,'MPG Payment '!$I$3:$I$34579)</f>
        <v>188.00000000000003</v>
      </c>
      <c r="N1034" s="126">
        <f>SUMIF('MPG Payment '!$E$3:$E$34579,'Shayak Income '!D1034,'MPG Payment '!$J$3:$J$34579)</f>
        <v>7554.5386242000004</v>
      </c>
      <c r="O1034" s="126">
        <f t="shared" si="384"/>
        <v>141.00000000000003</v>
      </c>
      <c r="P1034" s="126">
        <f t="shared" si="385"/>
        <v>178.60000000000002</v>
      </c>
      <c r="Q1034" s="126">
        <f>SUMIF('MPG Payment '!$E$3:$E$34579,'Shayak Income '!D1034,'MPG Payment '!$S$3:$S$34579)</f>
        <v>0</v>
      </c>
      <c r="R1034" s="126">
        <f t="shared" si="386"/>
        <v>226.63615872599999</v>
      </c>
      <c r="S1034" s="126">
        <f t="shared" si="387"/>
        <v>48.036158725999968</v>
      </c>
      <c r="T1034" s="126">
        <f t="shared" si="399"/>
        <v>18.800000000000004</v>
      </c>
      <c r="U1034" s="127">
        <f>(((IF(K1034="New",0,SUMIF('MPG Payment '!$E$3:$E$34579,'Shayak Income '!D1034,'MPG Payment '!$AC$3:$AC$34579))))+0)+0</f>
        <v>0</v>
      </c>
      <c r="V1034" s="127">
        <f t="shared" si="400"/>
        <v>301</v>
      </c>
      <c r="W1034" s="19">
        <v>0</v>
      </c>
      <c r="X1034" s="19">
        <v>0</v>
      </c>
      <c r="Y1034" s="128">
        <f>IFERROR(VLOOKUP(D1034,'Monthly Deduction'!$M$2:$N$64,2,0),0)</f>
        <v>0</v>
      </c>
      <c r="Z1034" s="128">
        <v>0</v>
      </c>
      <c r="AA1034" s="126">
        <f>IFERROR(VLOOKUP(D1034,'Monthly Deduction'!A:B,2,0),0)</f>
        <v>0</v>
      </c>
      <c r="AB1034" s="129">
        <f t="shared" si="388"/>
        <v>301</v>
      </c>
      <c r="AC1034" s="130">
        <f t="shared" si="401"/>
        <v>301</v>
      </c>
      <c r="AD1034" s="35">
        <f t="shared" si="389"/>
        <v>0</v>
      </c>
      <c r="AE1034" s="166" t="str">
        <f t="shared" si="390"/>
        <v>Yes</v>
      </c>
      <c r="AF1034" s="127"/>
      <c r="AG1034" s="18">
        <v>0</v>
      </c>
      <c r="AH1034" s="120" t="s">
        <v>1646</v>
      </c>
      <c r="AI1034" s="238">
        <v>10000</v>
      </c>
      <c r="AJ1034" s="132"/>
      <c r="AK1034" s="151">
        <v>257.79999999999995</v>
      </c>
      <c r="AL1034" s="154">
        <f t="shared" si="391"/>
        <v>0</v>
      </c>
      <c r="AM1034" s="155"/>
      <c r="AN1034" s="19">
        <f t="shared" si="396"/>
        <v>1861</v>
      </c>
      <c r="AO1034" s="118">
        <f>SUMIF('MPG Payment '!E:E,'Shayak Income '!D1034,'MPG Payment '!AJ:AJ)</f>
        <v>0</v>
      </c>
      <c r="AP1034" s="19">
        <f t="shared" si="397"/>
        <v>0</v>
      </c>
      <c r="AQ1034" s="119">
        <f t="shared" si="392"/>
        <v>0</v>
      </c>
      <c r="AR1034" s="91" t="s">
        <v>1168</v>
      </c>
      <c r="AS1034" s="91">
        <f t="shared" si="398"/>
        <v>0</v>
      </c>
      <c r="AT1034" s="118"/>
      <c r="AU1034" s="118"/>
      <c r="AV1034" s="118"/>
    </row>
    <row r="1035" spans="1:48" s="20" customFormat="1" x14ac:dyDescent="0.25">
      <c r="A1035" s="17">
        <f>IFERROR(VLOOKUP(D1035,'Monthly Deduction'!$I$3:$J$957,2,0),0)</f>
        <v>0</v>
      </c>
      <c r="B1035" s="17">
        <f>IFERROR(VLOOKUP(D1035,'Monthly Deduction'!$E$3:$F$957,2,0),0)</f>
        <v>0</v>
      </c>
      <c r="C1035" s="17">
        <f t="shared" si="383"/>
        <v>0</v>
      </c>
      <c r="D1035" s="41">
        <v>10660018</v>
      </c>
      <c r="E1035" s="122" t="str">
        <f>VLOOKUP(D1035,'MPG Payment '!$E$3:$G$498218,2,0)</f>
        <v>GOMUKH PURUSHOTTAMPUR</v>
      </c>
      <c r="F1035" s="146">
        <f>IFERROR(_xlfn.XLOOKUP(D1035,'Monthly Deduction'!$I$3:$I$957,'Monthly Deduction'!$H$3:$H$957),0)</f>
        <v>0</v>
      </c>
      <c r="G1035" s="123" t="str">
        <f>VLOOKUP(D1035,'MPG Payment '!$E$3:$G$334579,3,0)</f>
        <v>vlc</v>
      </c>
      <c r="H1035" s="124" t="str">
        <f>VLOOKUP(D1035,'MPG Payment '!$E$3:$H$334579,4,0)</f>
        <v>Indirect</v>
      </c>
      <c r="I1035" s="88">
        <f>INDEX('MPG Payment '!$C:$C,MATCH('Shayak Income '!D1035,'MPG Payment '!E:E,0))</f>
        <v>1066</v>
      </c>
      <c r="J1035" s="88" t="str">
        <f>INDEX('MPG Payment '!$D:$D,MATCH('Shayak Income '!D1035,'MPG Payment '!E:E,0))</f>
        <v>Gaighat</v>
      </c>
      <c r="K1035" s="125" t="s">
        <v>1323</v>
      </c>
      <c r="L1035" s="125">
        <v>46170</v>
      </c>
      <c r="M1035" s="126">
        <f>SUMIF('MPG Payment '!$E$3:$E$34579,'Shayak Income '!D1035,'MPG Payment '!$I$3:$I$34579)</f>
        <v>26.7</v>
      </c>
      <c r="N1035" s="126">
        <f>SUMIF('MPG Payment '!$E$3:$E$34579,'Shayak Income '!D1035,'MPG Payment '!$J$3:$J$34579)</f>
        <v>1747.290781143</v>
      </c>
      <c r="O1035" s="126">
        <f t="shared" si="384"/>
        <v>20.024999999999999</v>
      </c>
      <c r="P1035" s="126">
        <f t="shared" si="385"/>
        <v>25.364999999999998</v>
      </c>
      <c r="Q1035" s="126">
        <f>SUMIF('MPG Payment '!$E$3:$E$34579,'Shayak Income '!D1035,'MPG Payment '!$S$3:$S$34579)</f>
        <v>0</v>
      </c>
      <c r="R1035" s="126">
        <f t="shared" si="386"/>
        <v>52.418723434290001</v>
      </c>
      <c r="S1035" s="126">
        <f t="shared" si="387"/>
        <v>27.053723434290003</v>
      </c>
      <c r="T1035" s="126">
        <f t="shared" si="399"/>
        <v>2.67</v>
      </c>
      <c r="U1035" s="127">
        <f>(((IF(K1035="New",0,SUMIF('MPG Payment '!$E$3:$E$34579,'Shayak Income '!D1035,'MPG Payment '!$AC$3:$AC$34579))))+0)+0</f>
        <v>0</v>
      </c>
      <c r="V1035" s="127">
        <f t="shared" si="400"/>
        <v>43</v>
      </c>
      <c r="W1035" s="19">
        <v>0</v>
      </c>
      <c r="X1035" s="19">
        <v>0</v>
      </c>
      <c r="Y1035" s="128">
        <f>IFERROR(VLOOKUP(D1035,'Monthly Deduction'!$M$2:$N$64,2,0),0)</f>
        <v>0</v>
      </c>
      <c r="Z1035" s="128">
        <v>0</v>
      </c>
      <c r="AA1035" s="126">
        <f>IFERROR(VLOOKUP(D1035,'Monthly Deduction'!A:B,2,0),0)</f>
        <v>0</v>
      </c>
      <c r="AB1035" s="129">
        <f t="shared" si="388"/>
        <v>43</v>
      </c>
      <c r="AC1035" s="130">
        <v>0</v>
      </c>
      <c r="AD1035" s="35">
        <f t="shared" si="389"/>
        <v>43</v>
      </c>
      <c r="AE1035" s="166" t="str">
        <f t="shared" si="390"/>
        <v>Release</v>
      </c>
      <c r="AF1035" s="127"/>
      <c r="AG1035" s="18">
        <v>0</v>
      </c>
      <c r="AH1035" s="120"/>
      <c r="AI1035" s="238">
        <v>0</v>
      </c>
      <c r="AJ1035" s="132"/>
      <c r="AK1035" s="151">
        <v>77.700000000000017</v>
      </c>
      <c r="AL1035" s="154">
        <f t="shared" si="391"/>
        <v>0</v>
      </c>
      <c r="AM1035" s="155"/>
      <c r="AN1035" s="19">
        <f t="shared" si="396"/>
        <v>0</v>
      </c>
      <c r="AO1035" s="118">
        <f>SUMIF('MPG Payment '!E:E,'Shayak Income '!D1035,'MPG Payment '!AJ:AJ)</f>
        <v>0</v>
      </c>
      <c r="AP1035" s="19">
        <f t="shared" si="397"/>
        <v>0</v>
      </c>
      <c r="AQ1035" s="119">
        <f t="shared" si="392"/>
        <v>0</v>
      </c>
      <c r="AR1035" s="91" t="s">
        <v>1168</v>
      </c>
      <c r="AS1035" s="91">
        <f t="shared" si="398"/>
        <v>0</v>
      </c>
      <c r="AT1035" s="118"/>
      <c r="AU1035" s="118"/>
      <c r="AV1035" s="118"/>
    </row>
    <row r="1036" spans="1:48" s="20" customFormat="1" x14ac:dyDescent="0.25">
      <c r="A1036" s="17">
        <f>IFERROR(VLOOKUP(D1036,'Monthly Deduction'!$I$3:$J$957,2,0),0)</f>
        <v>0</v>
      </c>
      <c r="B1036" s="17">
        <f>IFERROR(VLOOKUP(D1036,'Monthly Deduction'!$E$3:$F$957,2,0),0)</f>
        <v>0</v>
      </c>
      <c r="C1036" s="17">
        <f t="shared" si="383"/>
        <v>0</v>
      </c>
      <c r="D1036" s="41">
        <v>10660025</v>
      </c>
      <c r="E1036" s="122" t="str">
        <f>VLOOKUP(D1036,'MPG Payment '!$E$3:$G$498218,2,0)</f>
        <v>GOMUKH  JATMALPUR DHAB</v>
      </c>
      <c r="F1036" s="146">
        <f>IFERROR(_xlfn.XLOOKUP(D1036,'Monthly Deduction'!$I$3:$I$957,'Monthly Deduction'!$H$3:$H$957),0)</f>
        <v>0</v>
      </c>
      <c r="G1036" s="123" t="str">
        <f>VLOOKUP(D1036,'MPG Payment '!$E$3:$G$334579,3,0)</f>
        <v>vlc</v>
      </c>
      <c r="H1036" s="124" t="str">
        <f>VLOOKUP(D1036,'MPG Payment '!$E$3:$H$334579,4,0)</f>
        <v>Indirect</v>
      </c>
      <c r="I1036" s="88">
        <f>INDEX('MPG Payment '!$C:$C,MATCH('Shayak Income '!D1036,'MPG Payment '!E:E,0))</f>
        <v>1066</v>
      </c>
      <c r="J1036" s="88" t="str">
        <f>INDEX('MPG Payment '!$D:$D,MATCH('Shayak Income '!D1036,'MPG Payment '!E:E,0))</f>
        <v>Gaighat</v>
      </c>
      <c r="K1036" s="125" t="s">
        <v>1323</v>
      </c>
      <c r="L1036" s="125">
        <v>46165</v>
      </c>
      <c r="M1036" s="126">
        <f>SUMIF('MPG Payment '!$E$3:$E$34579,'Shayak Income '!D1036,'MPG Payment '!$I$3:$I$34579)</f>
        <v>43.4</v>
      </c>
      <c r="N1036" s="126">
        <f>SUMIF('MPG Payment '!$E$3:$E$34579,'Shayak Income '!D1036,'MPG Payment '!$J$3:$J$34579)</f>
        <v>2183.4098546376599</v>
      </c>
      <c r="O1036" s="126">
        <f t="shared" si="384"/>
        <v>32.549999999999997</v>
      </c>
      <c r="P1036" s="126">
        <f t="shared" si="385"/>
        <v>41.23</v>
      </c>
      <c r="Q1036" s="126">
        <f>SUMIF('MPG Payment '!$E$3:$E$34579,'Shayak Income '!D1036,'MPG Payment '!$S$3:$S$34579)</f>
        <v>0</v>
      </c>
      <c r="R1036" s="126">
        <f t="shared" si="386"/>
        <v>65.502295639129798</v>
      </c>
      <c r="S1036" s="126">
        <f t="shared" si="387"/>
        <v>24.272295639129801</v>
      </c>
      <c r="T1036" s="126">
        <f t="shared" si="399"/>
        <v>4.34</v>
      </c>
      <c r="U1036" s="127">
        <f>(((IF(K1036="New",0,SUMIF('MPG Payment '!$E$3:$E$34579,'Shayak Income '!D1036,'MPG Payment '!$AC$3:$AC$34579))))+0)+0</f>
        <v>0</v>
      </c>
      <c r="V1036" s="127">
        <f t="shared" si="400"/>
        <v>69</v>
      </c>
      <c r="W1036" s="19">
        <v>0</v>
      </c>
      <c r="X1036" s="19">
        <v>0</v>
      </c>
      <c r="Y1036" s="128">
        <f>IFERROR(VLOOKUP(D1036,'Monthly Deduction'!$M$2:$N$64,2,0),0)</f>
        <v>0</v>
      </c>
      <c r="Z1036" s="128">
        <v>0</v>
      </c>
      <c r="AA1036" s="126">
        <f>IFERROR(VLOOKUP(D1036,'Monthly Deduction'!A:B,2,0),0)</f>
        <v>0</v>
      </c>
      <c r="AB1036" s="129">
        <f t="shared" si="388"/>
        <v>69</v>
      </c>
      <c r="AC1036" s="130">
        <f>AB1036</f>
        <v>69</v>
      </c>
      <c r="AD1036" s="35">
        <f t="shared" si="389"/>
        <v>0</v>
      </c>
      <c r="AE1036" s="166" t="str">
        <f t="shared" si="390"/>
        <v>Yes</v>
      </c>
      <c r="AF1036" s="127"/>
      <c r="AG1036" s="18">
        <v>0</v>
      </c>
      <c r="AH1036" s="132" t="s">
        <v>1648</v>
      </c>
      <c r="AI1036" s="238">
        <v>0</v>
      </c>
      <c r="AJ1036" s="132"/>
      <c r="AK1036" s="151">
        <v>0</v>
      </c>
      <c r="AL1036" s="154">
        <f t="shared" si="391"/>
        <v>0</v>
      </c>
      <c r="AM1036" s="155"/>
      <c r="AN1036" s="19">
        <f t="shared" si="396"/>
        <v>0</v>
      </c>
      <c r="AO1036" s="118">
        <f>SUMIF('MPG Payment '!E:E,'Shayak Income '!D1036,'MPG Payment '!AJ:AJ)</f>
        <v>0</v>
      </c>
      <c r="AP1036" s="19">
        <f t="shared" si="397"/>
        <v>0</v>
      </c>
      <c r="AQ1036" s="119">
        <f t="shared" si="392"/>
        <v>0</v>
      </c>
      <c r="AR1036" s="91" t="s">
        <v>1168</v>
      </c>
      <c r="AS1036" s="91">
        <f t="shared" si="398"/>
        <v>0</v>
      </c>
      <c r="AT1036" s="118"/>
      <c r="AU1036" s="118"/>
      <c r="AV1036" s="118"/>
    </row>
    <row r="1037" spans="1:48" x14ac:dyDescent="0.25">
      <c r="A1037" s="22">
        <f>SUM(A4:A1036)</f>
        <v>31003098.476720747</v>
      </c>
      <c r="B1037" s="22">
        <f>SUM(B4:B1036)</f>
        <v>2510159.0006393329</v>
      </c>
      <c r="C1037" s="22"/>
      <c r="D1037" s="44">
        <f>COUNTA(D4:D1036)</f>
        <v>1033</v>
      </c>
      <c r="E1037" s="22" t="s">
        <v>34</v>
      </c>
      <c r="F1037" s="44"/>
      <c r="G1037" s="22"/>
      <c r="H1037" s="22"/>
      <c r="I1037" s="22"/>
      <c r="J1037" s="22"/>
      <c r="K1037" s="44"/>
      <c r="L1037" s="44"/>
      <c r="M1037" s="22">
        <f t="shared" ref="M1037:V1037" si="402">SUM(M4:M1036)</f>
        <v>3651113.1199999973</v>
      </c>
      <c r="N1037" s="22">
        <f t="shared" si="402"/>
        <v>141315963.30015045</v>
      </c>
      <c r="O1037" s="22">
        <f t="shared" si="402"/>
        <v>2738334.8399999985</v>
      </c>
      <c r="P1037" s="22">
        <f t="shared" si="402"/>
        <v>3468976.1978255901</v>
      </c>
      <c r="Q1037" s="22">
        <f t="shared" si="402"/>
        <v>464279.35069493321</v>
      </c>
      <c r="R1037" s="22">
        <f t="shared" si="402"/>
        <v>4239478.8990045059</v>
      </c>
      <c r="S1037" s="22">
        <f t="shared" si="402"/>
        <v>769509.89402895316</v>
      </c>
      <c r="T1037" s="22">
        <f t="shared" si="402"/>
        <v>347564.51200000022</v>
      </c>
      <c r="U1037" s="22">
        <f t="shared" si="402"/>
        <v>448785.49785948201</v>
      </c>
      <c r="V1037" s="22">
        <f t="shared" si="402"/>
        <v>5873122</v>
      </c>
      <c r="W1037" s="22">
        <f>SUBTOTAL(9,W3:W1036)</f>
        <v>667970.20814635046</v>
      </c>
      <c r="X1037" s="22">
        <f>SUBTOTAL(9,X3:X1036)</f>
        <v>74053.737807428726</v>
      </c>
      <c r="Y1037" s="22">
        <f>SUBTOTAL(9,Y3:Y1036)</f>
        <v>34928</v>
      </c>
      <c r="Z1037" s="22">
        <f>SUM(Z4:Z1036)</f>
        <v>17372</v>
      </c>
      <c r="AA1037" s="22">
        <f>SUM(AA4:AA1036)</f>
        <v>27705.299999999996</v>
      </c>
      <c r="AB1037" s="22">
        <f>SUM(AB4:AB1036)</f>
        <v>5051093</v>
      </c>
      <c r="AC1037" s="90">
        <f>SUM(AC4:AC1036)</f>
        <v>406958</v>
      </c>
      <c r="AD1037" s="36">
        <f>SUBTOTAL(9,AD4:AD1036)</f>
        <v>4644135</v>
      </c>
      <c r="AE1037" s="167">
        <f>COUNTIF(AE4:AE1036,"Yes")</f>
        <v>124</v>
      </c>
      <c r="AF1037" s="161"/>
      <c r="AG1037" s="36"/>
      <c r="AH1037" s="36"/>
      <c r="AI1037" s="36"/>
      <c r="AJ1037" s="36"/>
      <c r="AK1037" s="36"/>
      <c r="AL1037" s="36"/>
      <c r="AM1037" s="36"/>
      <c r="AN1037" s="36">
        <f>SUM(AN4:AN1036)</f>
        <v>1146908.2114952144</v>
      </c>
      <c r="AO1037" s="36">
        <f>SUM(AO4:AO1036)</f>
        <v>37196</v>
      </c>
      <c r="AP1037" s="36">
        <f>SUM(AP4:AP1036)</f>
        <v>667970.20814635046</v>
      </c>
      <c r="AQ1037" s="36">
        <f>SUM(AQ4:AQ1036)</f>
        <v>705166.20814635034</v>
      </c>
      <c r="AT1037" s="36"/>
      <c r="AU1037" s="36"/>
      <c r="AV1037" s="36"/>
    </row>
    <row r="1038" spans="1:48" x14ac:dyDescent="0.25">
      <c r="A1038" s="11"/>
      <c r="M1038" s="11"/>
      <c r="N1038" s="10"/>
      <c r="O1038" s="10"/>
      <c r="P1038" s="21"/>
      <c r="Q1038" s="11"/>
      <c r="R1038" s="11"/>
      <c r="S1038" s="11"/>
      <c r="T1038" s="11"/>
      <c r="U1038" s="11"/>
      <c r="V1038" s="10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</row>
    <row r="1039" spans="1:48" ht="15.75" thickBot="1" x14ac:dyDescent="0.3">
      <c r="A1039" s="11"/>
      <c r="E1039" s="240"/>
      <c r="F1039" s="240"/>
      <c r="M1039" s="11"/>
      <c r="N1039" s="114"/>
      <c r="O1039" s="11"/>
      <c r="P1039" s="11"/>
      <c r="Q1039" s="12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25"/>
      <c r="AC1039" s="25"/>
      <c r="AD1039" s="26"/>
      <c r="AE1039" s="11"/>
      <c r="AF1039" s="11"/>
      <c r="AG1039" s="101"/>
      <c r="AH1039" s="101"/>
      <c r="AI1039" s="101"/>
      <c r="AJ1039" s="101"/>
    </row>
    <row r="1040" spans="1:48" x14ac:dyDescent="0.25">
      <c r="E1040" s="27" t="s">
        <v>9</v>
      </c>
      <c r="F1040" s="28" t="s">
        <v>28</v>
      </c>
      <c r="M1040" s="6"/>
      <c r="N1040" s="23" t="s">
        <v>47</v>
      </c>
      <c r="O1040" s="23">
        <f>+O1037</f>
        <v>2738334.8399999985</v>
      </c>
      <c r="P1040" s="16"/>
      <c r="AB1040" s="25"/>
      <c r="AC1040" s="11"/>
      <c r="AD1040" s="11"/>
    </row>
    <row r="1041" spans="4:30" x14ac:dyDescent="0.25">
      <c r="E1041" s="29" t="s">
        <v>4</v>
      </c>
      <c r="F1041" s="73">
        <f>M1037</f>
        <v>3651113.1199999973</v>
      </c>
      <c r="I1041" s="26"/>
      <c r="J1041" s="26"/>
      <c r="K1041" s="89"/>
      <c r="N1041" s="4" t="s">
        <v>48</v>
      </c>
      <c r="O1041" s="24">
        <f>-U1037</f>
        <v>-448785.49785948201</v>
      </c>
      <c r="S1041" s="11"/>
      <c r="X1041" s="16"/>
      <c r="AB1041" s="11"/>
      <c r="AC1041" s="11"/>
      <c r="AD1041" s="11"/>
    </row>
    <row r="1042" spans="4:30" x14ac:dyDescent="0.25">
      <c r="E1042" s="29" t="s">
        <v>5</v>
      </c>
      <c r="F1042" s="73">
        <f>N1037</f>
        <v>141315963.30015045</v>
      </c>
      <c r="I1042" s="26"/>
      <c r="J1042" s="26"/>
      <c r="K1042" s="89">
        <v>20253.400000000001</v>
      </c>
      <c r="L1042">
        <v>742186.33722623996</v>
      </c>
      <c r="N1042" s="66" t="s">
        <v>1645</v>
      </c>
      <c r="O1042" s="24">
        <f>469617.209999999*0.65</f>
        <v>305251.18649999937</v>
      </c>
      <c r="R1042" s="96"/>
      <c r="S1042" s="95"/>
      <c r="AC1042" s="92"/>
      <c r="AD1042" s="11"/>
    </row>
    <row r="1043" spans="4:30" x14ac:dyDescent="0.25">
      <c r="D1043" s="94"/>
      <c r="E1043" s="30" t="s">
        <v>15</v>
      </c>
      <c r="F1043" s="74">
        <f>O1037</f>
        <v>2738334.8399999985</v>
      </c>
      <c r="I1043" s="26"/>
      <c r="J1043" s="26"/>
      <c r="K1043" s="89">
        <f>K1042*0.75</f>
        <v>15190.050000000001</v>
      </c>
      <c r="N1043" s="4"/>
      <c r="O1043" s="24"/>
      <c r="R1043" s="96"/>
      <c r="X1043" s="92"/>
    </row>
    <row r="1044" spans="4:30" x14ac:dyDescent="0.25">
      <c r="D1044" s="94"/>
      <c r="E1044" s="30" t="s">
        <v>69</v>
      </c>
      <c r="F1044" s="74">
        <f>P1037</f>
        <v>3468976.1978255901</v>
      </c>
      <c r="I1044" s="26"/>
      <c r="J1044" s="26"/>
      <c r="K1044" s="89"/>
      <c r="N1044" s="4"/>
      <c r="O1044" s="23"/>
    </row>
    <row r="1045" spans="4:30" x14ac:dyDescent="0.25">
      <c r="D1045" s="94"/>
      <c r="E1045" s="30" t="s">
        <v>12</v>
      </c>
      <c r="F1045" s="74">
        <f>Q1037</f>
        <v>464279.35069493321</v>
      </c>
      <c r="I1045" s="26"/>
      <c r="J1045" s="26"/>
      <c r="K1045" s="89"/>
      <c r="N1045" s="56" t="s">
        <v>49</v>
      </c>
      <c r="O1045" s="57">
        <f>SUM(O1040:O1044)</f>
        <v>2594800.5286405156</v>
      </c>
      <c r="AD1045" s="6"/>
    </row>
    <row r="1046" spans="4:30" x14ac:dyDescent="0.25">
      <c r="D1046" s="7"/>
      <c r="E1046" s="31" t="s">
        <v>16</v>
      </c>
      <c r="F1046" s="75">
        <f>R1037</f>
        <v>4239478.8990045059</v>
      </c>
      <c r="I1046" s="26"/>
      <c r="J1046" s="26"/>
      <c r="K1046" s="89"/>
      <c r="W1046" s="16"/>
    </row>
    <row r="1047" spans="4:30" x14ac:dyDescent="0.25">
      <c r="D1047" s="7"/>
      <c r="E1047" s="31" t="s">
        <v>10</v>
      </c>
      <c r="F1047" s="75">
        <f>S1037</f>
        <v>769509.89402895316</v>
      </c>
      <c r="I1047" s="26"/>
      <c r="J1047" s="26"/>
      <c r="K1047" s="89"/>
      <c r="O1047" s="6"/>
      <c r="P1047" s="212"/>
      <c r="Q1047" s="212" t="s">
        <v>1417</v>
      </c>
      <c r="R1047" s="213"/>
      <c r="S1047" s="214" t="s">
        <v>1418</v>
      </c>
    </row>
    <row r="1048" spans="4:30" x14ac:dyDescent="0.25">
      <c r="D1048" s="93"/>
      <c r="E1048" s="32" t="s">
        <v>76</v>
      </c>
      <c r="F1048" s="76">
        <f>T1037</f>
        <v>347564.51200000022</v>
      </c>
      <c r="I1048" s="26"/>
      <c r="J1048" s="26"/>
      <c r="K1048" s="89"/>
      <c r="P1048" s="212" t="s">
        <v>1416</v>
      </c>
      <c r="Q1048" s="212">
        <v>254419.61</v>
      </c>
      <c r="R1048" s="213" t="s">
        <v>1419</v>
      </c>
      <c r="S1048" s="213">
        <v>249800.64</v>
      </c>
      <c r="W1048" s="16"/>
    </row>
    <row r="1049" spans="4:30" x14ac:dyDescent="0.25">
      <c r="D1049" s="93"/>
      <c r="E1049" s="32" t="s">
        <v>6</v>
      </c>
      <c r="F1049" s="76">
        <f>U1037</f>
        <v>448785.49785948201</v>
      </c>
      <c r="I1049" s="26"/>
      <c r="J1049" s="26"/>
      <c r="K1049" s="89"/>
      <c r="Q1049">
        <f>Q1048*0.65</f>
        <v>165372.74650000001</v>
      </c>
      <c r="S1049">
        <f>S1048*0.65</f>
        <v>162370.41600000003</v>
      </c>
      <c r="X1049" s="92"/>
    </row>
    <row r="1050" spans="4:30" x14ac:dyDescent="0.25">
      <c r="D1050" s="7"/>
      <c r="E1050" s="30" t="s">
        <v>7</v>
      </c>
      <c r="F1050" s="74">
        <f>V1037</f>
        <v>5873122</v>
      </c>
      <c r="I1050" s="26"/>
      <c r="J1050" s="26"/>
      <c r="K1050" s="89"/>
      <c r="U1050" s="16"/>
      <c r="X1050" s="92"/>
    </row>
    <row r="1051" spans="4:30" ht="14.45" customHeight="1" x14ac:dyDescent="0.25">
      <c r="D1051" s="93"/>
      <c r="E1051" s="32" t="s">
        <v>1570</v>
      </c>
      <c r="F1051" s="76" cm="1">
        <f t="array" ref="F1051:F1055">TRANSPOSE(W1037:AA1037)</f>
        <v>667970.20814635046</v>
      </c>
      <c r="I1051" s="26"/>
      <c r="J1051" s="26"/>
      <c r="K1051" s="89"/>
    </row>
    <row r="1052" spans="4:30" ht="14.45" customHeight="1" x14ac:dyDescent="0.25">
      <c r="D1052" s="93"/>
      <c r="E1052" s="32" t="s">
        <v>14</v>
      </c>
      <c r="F1052" s="76">
        <v>74053.737807428726</v>
      </c>
      <c r="I1052" s="26"/>
      <c r="J1052" s="26"/>
      <c r="K1052" s="89"/>
    </row>
    <row r="1053" spans="4:30" x14ac:dyDescent="0.25">
      <c r="D1053" s="93"/>
      <c r="E1053" s="32" t="s">
        <v>1571</v>
      </c>
      <c r="F1053" s="76">
        <v>34928</v>
      </c>
      <c r="I1053" s="26"/>
      <c r="J1053" s="26"/>
      <c r="K1053" s="89"/>
      <c r="W1053" s="16"/>
    </row>
    <row r="1054" spans="4:30" x14ac:dyDescent="0.25">
      <c r="D1054" s="93"/>
      <c r="E1054" s="32" t="s">
        <v>1572</v>
      </c>
      <c r="F1054" s="76">
        <v>17372</v>
      </c>
      <c r="I1054" s="26"/>
      <c r="J1054" s="26"/>
      <c r="K1054" s="89"/>
      <c r="W1054" s="16"/>
    </row>
    <row r="1055" spans="4:30" x14ac:dyDescent="0.25">
      <c r="D1055" s="93"/>
      <c r="E1055" s="32" t="s">
        <v>1573</v>
      </c>
      <c r="F1055" s="76">
        <v>27705.299999999996</v>
      </c>
      <c r="G1055" s="6"/>
      <c r="I1055" s="26"/>
      <c r="J1055" s="26"/>
      <c r="K1055" s="89"/>
    </row>
    <row r="1056" spans="4:30" ht="15.75" thickBot="1" x14ac:dyDescent="0.3">
      <c r="E1056" s="33" t="s">
        <v>8</v>
      </c>
      <c r="F1056" s="77">
        <f>AB1037</f>
        <v>5051093</v>
      </c>
      <c r="H1056" s="6"/>
      <c r="I1056" s="26"/>
      <c r="J1056" s="26"/>
      <c r="K1056" s="89"/>
      <c r="AD1056" s="6"/>
    </row>
    <row r="1057" spans="5:30" ht="30" x14ac:dyDescent="0.25">
      <c r="E1057" s="32" t="s">
        <v>1569</v>
      </c>
      <c r="F1057" s="76">
        <f>+AC1037</f>
        <v>406958</v>
      </c>
      <c r="I1057" s="26"/>
      <c r="J1057" s="26"/>
      <c r="P1057" s="16"/>
    </row>
    <row r="1058" spans="5:30" ht="15.75" thickBot="1" x14ac:dyDescent="0.3">
      <c r="E1058" s="33" t="s">
        <v>59</v>
      </c>
      <c r="F1058" s="77">
        <f>+AD1037</f>
        <v>4644135</v>
      </c>
      <c r="I1058" s="26"/>
      <c r="J1058" s="26"/>
      <c r="AD1058" s="6"/>
    </row>
    <row r="1060" spans="5:30" x14ac:dyDescent="0.25">
      <c r="E1060" s="4" t="s">
        <v>611</v>
      </c>
      <c r="F1060" s="24">
        <f>AO1037</f>
        <v>37196</v>
      </c>
    </row>
    <row r="1061" spans="5:30" x14ac:dyDescent="0.25">
      <c r="E1061" s="4" t="s">
        <v>612</v>
      </c>
      <c r="F1061" s="24">
        <f>F1051</f>
        <v>667970.20814635046</v>
      </c>
    </row>
    <row r="1062" spans="5:30" x14ac:dyDescent="0.25">
      <c r="E1062" s="116" t="s">
        <v>613</v>
      </c>
      <c r="F1062" s="117">
        <f>SUM(F1060:F1061)</f>
        <v>705166.20814635046</v>
      </c>
    </row>
  </sheetData>
  <autoFilter ref="A3:AV1036" xr:uid="{00000000-0001-0000-0000-000000000000}"/>
  <mergeCells count="9">
    <mergeCell ref="W1:X1"/>
    <mergeCell ref="T1:U1"/>
    <mergeCell ref="R1:S1"/>
    <mergeCell ref="E1039:F1039"/>
    <mergeCell ref="A2:B2"/>
    <mergeCell ref="O2:Q2"/>
    <mergeCell ref="M1:N1"/>
    <mergeCell ref="R2:S2"/>
    <mergeCell ref="T2:U2"/>
  </mergeCells>
  <conditionalFormatting sqref="D79">
    <cfRule type="duplicateValues" dxfId="105" priority="23"/>
    <cfRule type="duplicateValues" dxfId="104" priority="24"/>
  </conditionalFormatting>
  <conditionalFormatting sqref="D1038:D1043 D2:D3 D1046:D1048 D1050:D1052 D1056:D66162">
    <cfRule type="duplicateValues" dxfId="103" priority="440" stopIfTrue="1"/>
  </conditionalFormatting>
  <conditionalFormatting sqref="K3:K1036">
    <cfRule type="containsText" dxfId="102" priority="160" stopIfTrue="1" operator="containsText" text="100%">
      <formula>NOT(ISERROR(SEARCH("100%",K3)))</formula>
    </cfRule>
  </conditionalFormatting>
  <conditionalFormatting sqref="K4:K1036">
    <cfRule type="containsText" dxfId="101" priority="159" stopIfTrue="1" operator="containsText" text="Direct Farfmer Payment ">
      <formula>NOT(ISERROR(SEARCH("Direct Farfmer Payment ",K4)))</formula>
    </cfRule>
  </conditionalFormatting>
  <conditionalFormatting sqref="U4:V1036 AB4:AG1036 V1037 AE1037:AF1037">
    <cfRule type="cellIs" dxfId="100" priority="3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724C-35BE-44F6-B996-93460B142472}">
  <dimension ref="A3:H1038"/>
  <sheetViews>
    <sheetView topLeftCell="A1003" workbookViewId="0">
      <selection activeCell="A5" sqref="A5:A1037"/>
    </sheetView>
  </sheetViews>
  <sheetFormatPr defaultRowHeight="15" x14ac:dyDescent="0.25"/>
  <cols>
    <col min="1" max="1" width="11.28515625" bestFit="1" customWidth="1"/>
    <col min="2" max="2" width="19.42578125" bestFit="1" customWidth="1"/>
    <col min="3" max="3" width="19.5703125" bestFit="1" customWidth="1"/>
  </cols>
  <sheetData>
    <row r="3" spans="1:8" x14ac:dyDescent="0.25">
      <c r="B3" s="190" t="s">
        <v>78</v>
      </c>
    </row>
    <row r="4" spans="1:8" x14ac:dyDescent="0.25">
      <c r="A4" s="190" t="s">
        <v>0</v>
      </c>
      <c r="B4" t="s">
        <v>1212</v>
      </c>
      <c r="C4" t="s">
        <v>1213</v>
      </c>
    </row>
    <row r="5" spans="1:8" x14ac:dyDescent="0.25">
      <c r="A5">
        <v>10010013</v>
      </c>
      <c r="B5" s="11">
        <v>2891</v>
      </c>
      <c r="C5">
        <v>109798.24006673001</v>
      </c>
      <c r="H5" s="48"/>
    </row>
    <row r="6" spans="1:8" x14ac:dyDescent="0.25">
      <c r="A6">
        <v>10010017</v>
      </c>
      <c r="B6" s="11">
        <v>158.25</v>
      </c>
      <c r="C6">
        <v>5257.6121512762502</v>
      </c>
      <c r="H6" s="48"/>
    </row>
    <row r="7" spans="1:8" x14ac:dyDescent="0.25">
      <c r="A7">
        <v>10010019</v>
      </c>
      <c r="B7" s="11">
        <v>3099.7000000000007</v>
      </c>
      <c r="C7">
        <v>122858.963657092</v>
      </c>
      <c r="H7" s="39"/>
    </row>
    <row r="8" spans="1:8" x14ac:dyDescent="0.25">
      <c r="A8">
        <v>10010038</v>
      </c>
      <c r="B8" s="11">
        <v>4882.3</v>
      </c>
      <c r="C8">
        <v>189127.26648841801</v>
      </c>
      <c r="H8" s="39"/>
    </row>
    <row r="9" spans="1:8" x14ac:dyDescent="0.25">
      <c r="A9">
        <v>10010047</v>
      </c>
      <c r="B9" s="11">
        <v>325</v>
      </c>
      <c r="C9">
        <v>13308.744047497001</v>
      </c>
      <c r="H9" s="39"/>
    </row>
    <row r="10" spans="1:8" x14ac:dyDescent="0.25">
      <c r="A10">
        <v>10010050</v>
      </c>
      <c r="B10" s="11">
        <v>3298.4</v>
      </c>
      <c r="C10">
        <v>123601.21658564804</v>
      </c>
      <c r="H10" s="39"/>
    </row>
    <row r="11" spans="1:8" x14ac:dyDescent="0.25">
      <c r="A11">
        <v>10010051</v>
      </c>
      <c r="B11" s="11">
        <v>2234.8000000000002</v>
      </c>
      <c r="C11">
        <v>83104.667152783994</v>
      </c>
      <c r="H11" s="39"/>
    </row>
    <row r="12" spans="1:8" x14ac:dyDescent="0.25">
      <c r="A12">
        <v>10010055</v>
      </c>
      <c r="B12" s="11">
        <v>526.70000000000005</v>
      </c>
      <c r="C12">
        <v>21545.006675199998</v>
      </c>
      <c r="H12" s="39"/>
    </row>
    <row r="13" spans="1:8" x14ac:dyDescent="0.25">
      <c r="A13">
        <v>10010056</v>
      </c>
      <c r="B13" s="11">
        <v>310.5</v>
      </c>
      <c r="C13">
        <v>10255.82</v>
      </c>
      <c r="H13" s="39"/>
    </row>
    <row r="14" spans="1:8" x14ac:dyDescent="0.25">
      <c r="A14">
        <v>10010057</v>
      </c>
      <c r="B14" s="11">
        <v>43651.7</v>
      </c>
      <c r="C14">
        <v>1561069.5434463001</v>
      </c>
      <c r="H14" s="39"/>
    </row>
    <row r="15" spans="1:8" x14ac:dyDescent="0.25">
      <c r="A15">
        <v>10010076</v>
      </c>
      <c r="B15" s="11">
        <v>1377.5</v>
      </c>
      <c r="C15">
        <v>56156.066038225094</v>
      </c>
      <c r="H15" s="39"/>
    </row>
    <row r="16" spans="1:8" x14ac:dyDescent="0.25">
      <c r="A16">
        <v>10010082</v>
      </c>
      <c r="B16" s="11">
        <v>4217.7</v>
      </c>
      <c r="C16">
        <v>161653.61536877998</v>
      </c>
      <c r="H16" s="39"/>
    </row>
    <row r="17" spans="1:8" x14ac:dyDescent="0.25">
      <c r="A17">
        <v>10010084</v>
      </c>
      <c r="B17" s="11">
        <v>695.8</v>
      </c>
      <c r="C17">
        <v>24056.154706625501</v>
      </c>
      <c r="H17" s="39"/>
    </row>
    <row r="18" spans="1:8" x14ac:dyDescent="0.25">
      <c r="A18">
        <v>10010086</v>
      </c>
      <c r="B18" s="11">
        <v>667.8</v>
      </c>
      <c r="C18">
        <v>27120.528724607298</v>
      </c>
      <c r="H18" s="39"/>
    </row>
    <row r="19" spans="1:8" x14ac:dyDescent="0.25">
      <c r="A19">
        <v>10010087</v>
      </c>
      <c r="B19" s="11">
        <v>369.19999999999993</v>
      </c>
      <c r="C19">
        <v>11256.47</v>
      </c>
      <c r="H19" s="39"/>
    </row>
    <row r="20" spans="1:8" x14ac:dyDescent="0.25">
      <c r="A20">
        <v>10010089</v>
      </c>
      <c r="B20" s="11">
        <v>1480.6</v>
      </c>
      <c r="C20">
        <v>54697.528006328997</v>
      </c>
      <c r="H20" s="39"/>
    </row>
    <row r="21" spans="1:8" x14ac:dyDescent="0.25">
      <c r="A21">
        <v>10010092</v>
      </c>
      <c r="B21" s="11">
        <v>2502.6999999999998</v>
      </c>
      <c r="C21">
        <v>80861.315198368509</v>
      </c>
      <c r="H21" s="39"/>
    </row>
    <row r="22" spans="1:8" x14ac:dyDescent="0.25">
      <c r="A22">
        <v>10010095</v>
      </c>
      <c r="B22" s="11">
        <v>1413.8000000000002</v>
      </c>
      <c r="C22">
        <v>56374.500355046795</v>
      </c>
      <c r="H22" s="39"/>
    </row>
    <row r="23" spans="1:8" x14ac:dyDescent="0.25">
      <c r="A23">
        <v>10010097</v>
      </c>
      <c r="B23" s="11">
        <v>5359.2</v>
      </c>
      <c r="C23">
        <v>202797.15155807999</v>
      </c>
      <c r="H23" s="39"/>
    </row>
    <row r="24" spans="1:8" x14ac:dyDescent="0.25">
      <c r="A24">
        <v>10010098</v>
      </c>
      <c r="B24" s="11">
        <v>1460.8</v>
      </c>
      <c r="C24">
        <v>54507.871253436999</v>
      </c>
      <c r="H24" s="39"/>
    </row>
    <row r="25" spans="1:8" x14ac:dyDescent="0.25">
      <c r="A25">
        <v>10010099</v>
      </c>
      <c r="B25" s="11">
        <v>465.4</v>
      </c>
      <c r="C25">
        <v>20751.825437284002</v>
      </c>
      <c r="H25" s="39"/>
    </row>
    <row r="26" spans="1:8" x14ac:dyDescent="0.25">
      <c r="A26">
        <v>10010103</v>
      </c>
      <c r="B26" s="11">
        <v>20.3</v>
      </c>
      <c r="C26">
        <v>753.82</v>
      </c>
      <c r="H26" s="39"/>
    </row>
    <row r="27" spans="1:8" x14ac:dyDescent="0.25">
      <c r="A27">
        <v>10010108</v>
      </c>
      <c r="B27" s="11">
        <v>619.20000000000005</v>
      </c>
      <c r="C27">
        <v>22612.026863573999</v>
      </c>
      <c r="H27" s="39"/>
    </row>
    <row r="28" spans="1:8" x14ac:dyDescent="0.25">
      <c r="A28">
        <v>10010109</v>
      </c>
      <c r="B28" s="11">
        <v>1161</v>
      </c>
      <c r="C28">
        <v>39071.585973408502</v>
      </c>
      <c r="H28" s="39"/>
    </row>
    <row r="29" spans="1:8" x14ac:dyDescent="0.25">
      <c r="A29">
        <v>10010113</v>
      </c>
      <c r="B29" s="11">
        <v>3226.1</v>
      </c>
      <c r="C29">
        <v>127677.228775</v>
      </c>
      <c r="H29" s="39"/>
    </row>
    <row r="30" spans="1:8" x14ac:dyDescent="0.25">
      <c r="A30">
        <v>10010116</v>
      </c>
      <c r="B30" s="11">
        <v>2983.6</v>
      </c>
      <c r="C30">
        <v>110876.93696336501</v>
      </c>
      <c r="H30" s="39"/>
    </row>
    <row r="31" spans="1:8" x14ac:dyDescent="0.25">
      <c r="A31">
        <v>10010121</v>
      </c>
      <c r="B31" s="11">
        <v>4589.5</v>
      </c>
      <c r="C31">
        <v>170904.69179920002</v>
      </c>
      <c r="H31" s="39"/>
    </row>
    <row r="32" spans="1:8" x14ac:dyDescent="0.25">
      <c r="A32">
        <v>10010125</v>
      </c>
      <c r="B32" s="11">
        <v>1231</v>
      </c>
      <c r="C32">
        <v>48227.966682912098</v>
      </c>
      <c r="H32" s="39"/>
    </row>
    <row r="33" spans="1:8" x14ac:dyDescent="0.25">
      <c r="A33">
        <v>10010128</v>
      </c>
      <c r="B33" s="11">
        <v>4687.5</v>
      </c>
      <c r="C33">
        <v>191106.92342512999</v>
      </c>
      <c r="H33" s="39"/>
    </row>
    <row r="34" spans="1:8" x14ac:dyDescent="0.25">
      <c r="A34">
        <v>10010129</v>
      </c>
      <c r="B34" s="11">
        <v>3536.2000000000003</v>
      </c>
      <c r="C34">
        <v>133843.85920168599</v>
      </c>
      <c r="H34" s="39"/>
    </row>
    <row r="35" spans="1:8" x14ac:dyDescent="0.25">
      <c r="A35">
        <v>10010130</v>
      </c>
      <c r="B35" s="11">
        <v>1914.6</v>
      </c>
      <c r="C35">
        <v>68984.526073298432</v>
      </c>
      <c r="H35" s="39"/>
    </row>
    <row r="36" spans="1:8" x14ac:dyDescent="0.25">
      <c r="A36">
        <v>10010131</v>
      </c>
      <c r="B36" s="11">
        <v>2295.6999999999998</v>
      </c>
      <c r="C36">
        <v>83412.732957382002</v>
      </c>
      <c r="H36" s="39"/>
    </row>
    <row r="37" spans="1:8" x14ac:dyDescent="0.25">
      <c r="A37">
        <v>10020002</v>
      </c>
      <c r="B37" s="11">
        <v>10419.200000000001</v>
      </c>
      <c r="C37">
        <v>455126.76813152095</v>
      </c>
      <c r="H37" s="39"/>
    </row>
    <row r="38" spans="1:8" x14ac:dyDescent="0.25">
      <c r="A38">
        <v>10020004</v>
      </c>
      <c r="B38" s="11">
        <v>2219.6</v>
      </c>
      <c r="C38">
        <v>83944.31982751</v>
      </c>
      <c r="H38" s="39"/>
    </row>
    <row r="39" spans="1:8" x14ac:dyDescent="0.25">
      <c r="A39">
        <v>10020006</v>
      </c>
      <c r="B39" s="11">
        <v>723.7</v>
      </c>
      <c r="C39">
        <v>27108.597783410001</v>
      </c>
      <c r="H39" s="39"/>
    </row>
    <row r="40" spans="1:8" x14ac:dyDescent="0.25">
      <c r="A40">
        <v>10020007</v>
      </c>
      <c r="B40" s="11">
        <v>434.80000000000007</v>
      </c>
      <c r="C40">
        <v>15655.311231999998</v>
      </c>
      <c r="H40" s="39"/>
    </row>
    <row r="41" spans="1:8" x14ac:dyDescent="0.25">
      <c r="A41">
        <v>10020008</v>
      </c>
      <c r="B41" s="11">
        <v>4735.8999999999996</v>
      </c>
      <c r="C41">
        <v>188026.56308790779</v>
      </c>
      <c r="H41" s="39"/>
    </row>
    <row r="42" spans="1:8" x14ac:dyDescent="0.25">
      <c r="A42">
        <v>10020012</v>
      </c>
      <c r="B42" s="11">
        <v>950</v>
      </c>
      <c r="C42">
        <v>37678.904474520001</v>
      </c>
      <c r="H42" s="39"/>
    </row>
    <row r="43" spans="1:8" x14ac:dyDescent="0.25">
      <c r="A43">
        <v>10020015</v>
      </c>
      <c r="B43" s="11">
        <v>102855.9</v>
      </c>
      <c r="C43">
        <v>4044117.9357179804</v>
      </c>
      <c r="H43" s="39"/>
    </row>
    <row r="44" spans="1:8" x14ac:dyDescent="0.25">
      <c r="A44">
        <v>10020016</v>
      </c>
      <c r="B44" s="11">
        <v>102504.9</v>
      </c>
      <c r="C44">
        <v>4085618.2003672905</v>
      </c>
      <c r="H44" s="39"/>
    </row>
    <row r="45" spans="1:8" x14ac:dyDescent="0.25">
      <c r="A45">
        <v>10020017</v>
      </c>
      <c r="B45" s="11">
        <v>15404.800000000001</v>
      </c>
      <c r="C45">
        <v>645130.95585368096</v>
      </c>
      <c r="H45" s="39"/>
    </row>
    <row r="46" spans="1:8" x14ac:dyDescent="0.25">
      <c r="A46">
        <v>10020021</v>
      </c>
      <c r="B46" s="11">
        <v>16199.4</v>
      </c>
      <c r="C46">
        <v>715575.84052482201</v>
      </c>
      <c r="H46" s="39"/>
    </row>
    <row r="47" spans="1:8" x14ac:dyDescent="0.25">
      <c r="A47">
        <v>10020023</v>
      </c>
      <c r="B47" s="11">
        <v>3662.6000000000004</v>
      </c>
      <c r="C47">
        <v>138695.29593261</v>
      </c>
      <c r="H47" s="39"/>
    </row>
    <row r="48" spans="1:8" x14ac:dyDescent="0.25">
      <c r="A48">
        <v>10020024</v>
      </c>
      <c r="B48" s="11">
        <v>13043.699999999999</v>
      </c>
      <c r="C48">
        <v>519562.73282638227</v>
      </c>
      <c r="H48" s="39"/>
    </row>
    <row r="49" spans="1:8" x14ac:dyDescent="0.25">
      <c r="A49">
        <v>10020025</v>
      </c>
      <c r="B49" s="11">
        <v>3683</v>
      </c>
      <c r="C49">
        <v>140205.46161827</v>
      </c>
      <c r="H49" s="39"/>
    </row>
    <row r="50" spans="1:8" x14ac:dyDescent="0.25">
      <c r="A50">
        <v>10020026</v>
      </c>
      <c r="B50" s="11">
        <v>2735.8999999999996</v>
      </c>
      <c r="C50">
        <v>111813.44199517</v>
      </c>
      <c r="H50" s="39"/>
    </row>
    <row r="51" spans="1:8" x14ac:dyDescent="0.25">
      <c r="A51">
        <v>10020029</v>
      </c>
      <c r="B51" s="11">
        <v>1406.2</v>
      </c>
      <c r="C51">
        <v>55439.124157250008</v>
      </c>
      <c r="H51" s="39"/>
    </row>
    <row r="52" spans="1:8" x14ac:dyDescent="0.25">
      <c r="A52">
        <v>10020032</v>
      </c>
      <c r="B52" s="11">
        <v>3481.8</v>
      </c>
      <c r="C52">
        <v>151778.02599725442</v>
      </c>
      <c r="H52" s="39"/>
    </row>
    <row r="53" spans="1:8" x14ac:dyDescent="0.25">
      <c r="A53">
        <v>10020034</v>
      </c>
      <c r="B53" s="11">
        <v>3947.4</v>
      </c>
      <c r="C53">
        <v>162866.70386177721</v>
      </c>
      <c r="H53" s="39"/>
    </row>
    <row r="54" spans="1:8" x14ac:dyDescent="0.25">
      <c r="A54">
        <v>10020035</v>
      </c>
      <c r="B54" s="11">
        <v>4389.5</v>
      </c>
      <c r="C54">
        <v>186666.8742202686</v>
      </c>
      <c r="H54" s="39"/>
    </row>
    <row r="55" spans="1:8" x14ac:dyDescent="0.25">
      <c r="A55">
        <v>10020038</v>
      </c>
      <c r="B55" s="11">
        <v>2405</v>
      </c>
      <c r="C55">
        <v>95619.188906759999</v>
      </c>
      <c r="H55" s="39"/>
    </row>
    <row r="56" spans="1:8" x14ac:dyDescent="0.25">
      <c r="A56">
        <v>10020041</v>
      </c>
      <c r="B56" s="11">
        <v>1054.5999999999999</v>
      </c>
      <c r="C56">
        <v>44242.085110307999</v>
      </c>
      <c r="H56" s="39"/>
    </row>
    <row r="57" spans="1:8" x14ac:dyDescent="0.25">
      <c r="A57">
        <v>10020042</v>
      </c>
      <c r="B57" s="11">
        <v>1856</v>
      </c>
      <c r="C57">
        <v>69698.653677800001</v>
      </c>
      <c r="H57" s="39"/>
    </row>
    <row r="58" spans="1:8" x14ac:dyDescent="0.25">
      <c r="A58">
        <v>10020043</v>
      </c>
      <c r="B58" s="11">
        <v>4150.5</v>
      </c>
      <c r="C58">
        <v>173231.81878029302</v>
      </c>
      <c r="H58" s="39"/>
    </row>
    <row r="59" spans="1:8" x14ac:dyDescent="0.25">
      <c r="A59">
        <v>10020044</v>
      </c>
      <c r="B59" s="11">
        <v>4586.6000000000004</v>
      </c>
      <c r="C59">
        <v>201372.12190999906</v>
      </c>
      <c r="H59" s="39"/>
    </row>
    <row r="60" spans="1:8" x14ac:dyDescent="0.25">
      <c r="A60">
        <v>10020047</v>
      </c>
      <c r="B60" s="11">
        <v>14198.7</v>
      </c>
      <c r="C60">
        <v>573865.63872719789</v>
      </c>
      <c r="H60" s="39"/>
    </row>
    <row r="61" spans="1:8" x14ac:dyDescent="0.25">
      <c r="A61">
        <v>10020050</v>
      </c>
      <c r="B61" s="11">
        <v>4232.5</v>
      </c>
      <c r="C61">
        <v>171365.69793965961</v>
      </c>
      <c r="H61" s="39"/>
    </row>
    <row r="62" spans="1:8" x14ac:dyDescent="0.25">
      <c r="A62">
        <v>10020054</v>
      </c>
      <c r="B62" s="11">
        <v>4321.8</v>
      </c>
      <c r="C62">
        <v>175498.89175139851</v>
      </c>
      <c r="H62" s="39"/>
    </row>
    <row r="63" spans="1:8" x14ac:dyDescent="0.25">
      <c r="A63">
        <v>10020057</v>
      </c>
      <c r="B63" s="11">
        <v>11300.5</v>
      </c>
      <c r="C63">
        <v>492448.50241686503</v>
      </c>
      <c r="H63" s="39"/>
    </row>
    <row r="64" spans="1:8" x14ac:dyDescent="0.25">
      <c r="A64">
        <v>10020058</v>
      </c>
      <c r="B64" s="11">
        <v>3914</v>
      </c>
      <c r="C64">
        <v>156649.61575686</v>
      </c>
      <c r="H64" s="39"/>
    </row>
    <row r="65" spans="1:8" x14ac:dyDescent="0.25">
      <c r="A65">
        <v>10020059</v>
      </c>
      <c r="B65" s="11">
        <v>5251.4</v>
      </c>
      <c r="C65">
        <v>209452.65491984005</v>
      </c>
      <c r="H65" s="39"/>
    </row>
    <row r="66" spans="1:8" x14ac:dyDescent="0.25">
      <c r="A66">
        <v>10020062</v>
      </c>
      <c r="B66" s="11">
        <v>1356.7</v>
      </c>
      <c r="C66">
        <v>54309.50865239001</v>
      </c>
      <c r="H66" s="39"/>
    </row>
    <row r="67" spans="1:8" x14ac:dyDescent="0.25">
      <c r="A67">
        <v>10020063</v>
      </c>
      <c r="B67" s="11">
        <v>4637.6000000000004</v>
      </c>
      <c r="C67">
        <v>193388.8772450336</v>
      </c>
      <c r="H67" s="39"/>
    </row>
    <row r="68" spans="1:8" x14ac:dyDescent="0.25">
      <c r="A68">
        <v>10020064</v>
      </c>
      <c r="B68" s="11">
        <v>3248.9000000000005</v>
      </c>
      <c r="C68">
        <v>129413.75568794401</v>
      </c>
      <c r="H68" s="39"/>
    </row>
    <row r="69" spans="1:8" x14ac:dyDescent="0.25">
      <c r="A69">
        <v>10020067</v>
      </c>
      <c r="B69" s="11">
        <v>4946.2</v>
      </c>
      <c r="C69">
        <v>194721.86065352004</v>
      </c>
      <c r="H69" s="39"/>
    </row>
    <row r="70" spans="1:8" x14ac:dyDescent="0.25">
      <c r="A70">
        <v>10020068</v>
      </c>
      <c r="B70" s="11">
        <v>2911.8</v>
      </c>
      <c r="C70">
        <v>118342.20030298</v>
      </c>
      <c r="H70" s="39"/>
    </row>
    <row r="71" spans="1:8" x14ac:dyDescent="0.25">
      <c r="A71">
        <v>10020069</v>
      </c>
      <c r="B71" s="11">
        <v>869</v>
      </c>
      <c r="C71">
        <v>34181.951580929999</v>
      </c>
      <c r="H71" s="39"/>
    </row>
    <row r="72" spans="1:8" x14ac:dyDescent="0.25">
      <c r="A72">
        <v>10020070</v>
      </c>
      <c r="B72" s="11">
        <v>3504.7</v>
      </c>
      <c r="C72">
        <v>140680.34201619402</v>
      </c>
      <c r="H72" s="39"/>
    </row>
    <row r="73" spans="1:8" x14ac:dyDescent="0.25">
      <c r="A73">
        <v>10020073</v>
      </c>
      <c r="B73" s="11">
        <v>4549.8999999999996</v>
      </c>
      <c r="C73">
        <v>189915.70296803699</v>
      </c>
      <c r="H73" s="39"/>
    </row>
    <row r="74" spans="1:8" x14ac:dyDescent="0.25">
      <c r="A74">
        <v>10020075</v>
      </c>
      <c r="B74" s="11">
        <v>1083.6999999999998</v>
      </c>
      <c r="C74">
        <v>45105.724249091203</v>
      </c>
      <c r="H74" s="39"/>
    </row>
    <row r="75" spans="1:8" x14ac:dyDescent="0.25">
      <c r="A75">
        <v>10020077</v>
      </c>
      <c r="B75" s="11">
        <v>572.69999999999993</v>
      </c>
      <c r="C75">
        <v>26486.903993211097</v>
      </c>
      <c r="H75" s="39"/>
    </row>
    <row r="76" spans="1:8" x14ac:dyDescent="0.25">
      <c r="A76">
        <v>10020078</v>
      </c>
      <c r="B76" s="11">
        <v>1485.7</v>
      </c>
      <c r="C76">
        <v>60951.616869290003</v>
      </c>
      <c r="H76" s="39"/>
    </row>
    <row r="77" spans="1:8" x14ac:dyDescent="0.25">
      <c r="A77">
        <v>10020079</v>
      </c>
      <c r="B77" s="11">
        <v>1075.8999999999999</v>
      </c>
      <c r="C77">
        <v>55828.612917765</v>
      </c>
      <c r="H77" s="39"/>
    </row>
    <row r="78" spans="1:8" x14ac:dyDescent="0.25">
      <c r="A78">
        <v>10030002</v>
      </c>
      <c r="B78" s="11">
        <v>2079.6</v>
      </c>
      <c r="C78">
        <v>81551.521035785001</v>
      </c>
      <c r="H78" s="39"/>
    </row>
    <row r="79" spans="1:8" x14ac:dyDescent="0.25">
      <c r="A79">
        <v>10030003</v>
      </c>
      <c r="B79" s="11">
        <v>7050.3000000000011</v>
      </c>
      <c r="C79">
        <v>306084.86216051719</v>
      </c>
      <c r="H79" s="39"/>
    </row>
    <row r="80" spans="1:8" x14ac:dyDescent="0.25">
      <c r="A80">
        <v>10030007</v>
      </c>
      <c r="B80" s="11">
        <v>2855</v>
      </c>
      <c r="C80">
        <v>85334.724777412499</v>
      </c>
      <c r="H80" s="39"/>
    </row>
    <row r="81" spans="1:8" x14ac:dyDescent="0.25">
      <c r="A81">
        <v>10030008</v>
      </c>
      <c r="B81" s="11">
        <v>947.55</v>
      </c>
      <c r="C81">
        <v>30650.216030700005</v>
      </c>
      <c r="H81" s="39"/>
    </row>
    <row r="82" spans="1:8" x14ac:dyDescent="0.25">
      <c r="A82">
        <v>10030009</v>
      </c>
      <c r="B82" s="11">
        <v>37762.949999999997</v>
      </c>
      <c r="C82">
        <v>1434032.3673934252</v>
      </c>
      <c r="H82" s="39"/>
    </row>
    <row r="83" spans="1:8" x14ac:dyDescent="0.25">
      <c r="A83">
        <v>10030010</v>
      </c>
      <c r="B83" s="11">
        <v>1364.6</v>
      </c>
      <c r="C83">
        <v>46010.300411366006</v>
      </c>
      <c r="H83" s="39"/>
    </row>
    <row r="84" spans="1:8" x14ac:dyDescent="0.25">
      <c r="A84">
        <v>10030011</v>
      </c>
      <c r="B84" s="11">
        <v>4931.3</v>
      </c>
      <c r="C84">
        <v>192745.95213929002</v>
      </c>
      <c r="H84" s="39"/>
    </row>
    <row r="85" spans="1:8" x14ac:dyDescent="0.25">
      <c r="A85">
        <v>10030012</v>
      </c>
      <c r="B85" s="11">
        <v>4605.2</v>
      </c>
      <c r="C85">
        <v>153783.46083403876</v>
      </c>
      <c r="H85" s="39"/>
    </row>
    <row r="86" spans="1:8" x14ac:dyDescent="0.25">
      <c r="A86">
        <v>10030013</v>
      </c>
      <c r="B86" s="11">
        <v>2041</v>
      </c>
      <c r="C86">
        <v>102984.93240520899</v>
      </c>
      <c r="H86" s="39"/>
    </row>
    <row r="87" spans="1:8" x14ac:dyDescent="0.25">
      <c r="A87">
        <v>10030015</v>
      </c>
      <c r="B87" s="11">
        <v>2268.1</v>
      </c>
      <c r="C87">
        <v>81887.520937230001</v>
      </c>
      <c r="H87" s="39"/>
    </row>
    <row r="88" spans="1:8" x14ac:dyDescent="0.25">
      <c r="A88">
        <v>10030016</v>
      </c>
      <c r="B88" s="11">
        <v>4581.6000000000004</v>
      </c>
      <c r="C88">
        <v>180675.8630491184</v>
      </c>
      <c r="H88" s="39"/>
    </row>
    <row r="89" spans="1:8" x14ac:dyDescent="0.25">
      <c r="A89">
        <v>10030017</v>
      </c>
      <c r="B89" s="11">
        <v>4149.8500000000004</v>
      </c>
      <c r="C89">
        <v>210186.72519534302</v>
      </c>
      <c r="H89" s="39"/>
    </row>
    <row r="90" spans="1:8" x14ac:dyDescent="0.25">
      <c r="A90">
        <v>10030018</v>
      </c>
      <c r="B90" s="11">
        <v>3407.05</v>
      </c>
      <c r="C90">
        <v>133636.75153523829</v>
      </c>
      <c r="H90" s="39"/>
    </row>
    <row r="91" spans="1:8" x14ac:dyDescent="0.25">
      <c r="A91">
        <v>10030019</v>
      </c>
      <c r="B91" s="11">
        <v>2422.3000000000002</v>
      </c>
      <c r="C91">
        <v>107970.96161298601</v>
      </c>
      <c r="H91" s="39"/>
    </row>
    <row r="92" spans="1:8" x14ac:dyDescent="0.25">
      <c r="A92">
        <v>10030021</v>
      </c>
      <c r="B92" s="11">
        <v>3130.5</v>
      </c>
      <c r="C92">
        <v>124744.47400903999</v>
      </c>
      <c r="H92" s="39"/>
    </row>
    <row r="93" spans="1:8" x14ac:dyDescent="0.25">
      <c r="A93">
        <v>10030022</v>
      </c>
      <c r="B93" s="11">
        <v>6464.05</v>
      </c>
      <c r="C93">
        <v>253575.06297777704</v>
      </c>
      <c r="H93" s="39"/>
    </row>
    <row r="94" spans="1:8" x14ac:dyDescent="0.25">
      <c r="A94">
        <v>10030023</v>
      </c>
      <c r="B94" s="11">
        <v>977.14999999999986</v>
      </c>
      <c r="C94">
        <v>40696.686473962007</v>
      </c>
      <c r="H94" s="39"/>
    </row>
    <row r="95" spans="1:8" x14ac:dyDescent="0.25">
      <c r="A95">
        <v>10030025</v>
      </c>
      <c r="B95" s="11">
        <v>2904.8</v>
      </c>
      <c r="C95">
        <v>108895.93232769001</v>
      </c>
      <c r="H95" s="39"/>
    </row>
    <row r="96" spans="1:8" x14ac:dyDescent="0.25">
      <c r="A96">
        <v>10030026</v>
      </c>
      <c r="B96" s="11">
        <v>4982.9500000000007</v>
      </c>
      <c r="C96">
        <v>187126.52849431001</v>
      </c>
      <c r="H96" s="39"/>
    </row>
    <row r="97" spans="1:8" x14ac:dyDescent="0.25">
      <c r="A97">
        <v>10030027</v>
      </c>
      <c r="B97" s="11">
        <v>2897</v>
      </c>
      <c r="C97">
        <v>108729.54173803501</v>
      </c>
      <c r="H97" s="39"/>
    </row>
    <row r="98" spans="1:8" x14ac:dyDescent="0.25">
      <c r="A98">
        <v>10030028</v>
      </c>
      <c r="B98" s="11">
        <v>3740.2999999999997</v>
      </c>
      <c r="C98">
        <v>148808.90564578501</v>
      </c>
      <c r="H98" s="39"/>
    </row>
    <row r="99" spans="1:8" x14ac:dyDescent="0.25">
      <c r="A99">
        <v>10030031</v>
      </c>
      <c r="B99" s="11">
        <v>3520.0499999999997</v>
      </c>
      <c r="C99">
        <v>127216.9911455</v>
      </c>
      <c r="H99" s="39"/>
    </row>
    <row r="100" spans="1:8" x14ac:dyDescent="0.25">
      <c r="A100">
        <v>10030032</v>
      </c>
      <c r="B100" s="11">
        <v>6782.2</v>
      </c>
      <c r="C100">
        <v>254064.81357927501</v>
      </c>
      <c r="H100" s="39"/>
    </row>
    <row r="101" spans="1:8" x14ac:dyDescent="0.25">
      <c r="A101">
        <v>10030034</v>
      </c>
      <c r="B101" s="11">
        <v>5076.05</v>
      </c>
      <c r="C101">
        <v>205979.97739184802</v>
      </c>
      <c r="H101" s="39"/>
    </row>
    <row r="102" spans="1:8" x14ac:dyDescent="0.25">
      <c r="A102">
        <v>10030035</v>
      </c>
      <c r="B102" s="11">
        <v>2389.75</v>
      </c>
      <c r="C102">
        <v>97776.829599599005</v>
      </c>
      <c r="H102" s="39"/>
    </row>
    <row r="103" spans="1:8" x14ac:dyDescent="0.25">
      <c r="A103">
        <v>10030037</v>
      </c>
      <c r="B103" s="11">
        <v>5816.3499999999995</v>
      </c>
      <c r="C103">
        <v>211254.17456353502</v>
      </c>
      <c r="H103" s="39"/>
    </row>
    <row r="104" spans="1:8" x14ac:dyDescent="0.25">
      <c r="A104">
        <v>10030038</v>
      </c>
      <c r="B104" s="11">
        <v>1922.45</v>
      </c>
      <c r="C104">
        <v>82105.266005774989</v>
      </c>
      <c r="H104" s="39"/>
    </row>
    <row r="105" spans="1:8" x14ac:dyDescent="0.25">
      <c r="A105">
        <v>10030040</v>
      </c>
      <c r="B105" s="11">
        <v>2536.4500000000003</v>
      </c>
      <c r="C105">
        <v>101691.76240947499</v>
      </c>
      <c r="H105" s="39"/>
    </row>
    <row r="106" spans="1:8" x14ac:dyDescent="0.25">
      <c r="A106">
        <v>10030041</v>
      </c>
      <c r="B106" s="11">
        <v>4665.45</v>
      </c>
      <c r="C106">
        <v>174375.74207923003</v>
      </c>
      <c r="H106" s="39"/>
    </row>
    <row r="107" spans="1:8" x14ac:dyDescent="0.25">
      <c r="A107">
        <v>10030042</v>
      </c>
      <c r="B107" s="11">
        <v>3000</v>
      </c>
      <c r="C107">
        <v>111981.66902</v>
      </c>
      <c r="H107" s="39"/>
    </row>
    <row r="108" spans="1:8" x14ac:dyDescent="0.25">
      <c r="A108">
        <v>10030043</v>
      </c>
      <c r="B108" s="11">
        <v>37267.199999999997</v>
      </c>
      <c r="C108">
        <v>1415738.6164927999</v>
      </c>
      <c r="H108" s="39"/>
    </row>
    <row r="109" spans="1:8" x14ac:dyDescent="0.25">
      <c r="A109">
        <v>10030044</v>
      </c>
      <c r="B109" s="11">
        <v>37425</v>
      </c>
      <c r="C109">
        <v>1421458.2564928001</v>
      </c>
      <c r="H109" s="39"/>
    </row>
    <row r="110" spans="1:8" x14ac:dyDescent="0.25">
      <c r="A110">
        <v>10030045</v>
      </c>
      <c r="B110" s="11">
        <v>3000</v>
      </c>
      <c r="C110">
        <v>111981.66902</v>
      </c>
      <c r="H110" s="105"/>
    </row>
    <row r="111" spans="1:8" x14ac:dyDescent="0.25">
      <c r="A111">
        <v>10030046</v>
      </c>
      <c r="B111" s="11">
        <v>3000</v>
      </c>
      <c r="C111">
        <v>111981.66902</v>
      </c>
      <c r="H111" s="39"/>
    </row>
    <row r="112" spans="1:8" x14ac:dyDescent="0.25">
      <c r="A112">
        <v>10030047</v>
      </c>
      <c r="B112" s="11">
        <v>3000</v>
      </c>
      <c r="C112">
        <v>111981.66902</v>
      </c>
      <c r="H112" s="39"/>
    </row>
    <row r="113" spans="1:8" x14ac:dyDescent="0.25">
      <c r="A113">
        <v>10030048</v>
      </c>
      <c r="B113" s="11">
        <v>3000</v>
      </c>
      <c r="C113">
        <v>111981.66902</v>
      </c>
      <c r="H113" s="39"/>
    </row>
    <row r="114" spans="1:8" x14ac:dyDescent="0.25">
      <c r="A114">
        <v>10030049</v>
      </c>
      <c r="B114" s="11">
        <v>1161.7</v>
      </c>
      <c r="C114">
        <v>34736.582956022248</v>
      </c>
      <c r="H114" s="39"/>
    </row>
    <row r="115" spans="1:8" x14ac:dyDescent="0.25">
      <c r="A115">
        <v>10030050</v>
      </c>
      <c r="B115" s="11">
        <v>1780.2</v>
      </c>
      <c r="C115">
        <v>62394.835697924005</v>
      </c>
      <c r="H115" s="39"/>
    </row>
    <row r="116" spans="1:8" x14ac:dyDescent="0.25">
      <c r="A116">
        <v>10030051</v>
      </c>
      <c r="B116" s="11">
        <v>9118.5999999999985</v>
      </c>
      <c r="C116">
        <v>327051.90812030004</v>
      </c>
      <c r="H116" s="39"/>
    </row>
    <row r="117" spans="1:8" x14ac:dyDescent="0.25">
      <c r="A117">
        <v>10030053</v>
      </c>
      <c r="B117" s="11">
        <v>552.85</v>
      </c>
      <c r="C117">
        <v>21831.384992162002</v>
      </c>
      <c r="H117" s="39"/>
    </row>
    <row r="118" spans="1:8" x14ac:dyDescent="0.25">
      <c r="A118">
        <v>10030055</v>
      </c>
      <c r="B118" s="11">
        <v>1188.95</v>
      </c>
      <c r="C118">
        <v>49544.5454227726</v>
      </c>
      <c r="H118" s="39"/>
    </row>
    <row r="119" spans="1:8" x14ac:dyDescent="0.25">
      <c r="A119">
        <v>10030056</v>
      </c>
      <c r="B119" s="11">
        <v>487.04999999999995</v>
      </c>
      <c r="C119">
        <v>17559.496890347251</v>
      </c>
      <c r="H119" s="39"/>
    </row>
    <row r="120" spans="1:8" x14ac:dyDescent="0.25">
      <c r="A120">
        <v>10030059</v>
      </c>
      <c r="B120" s="11">
        <v>2152.8999999999996</v>
      </c>
      <c r="C120">
        <v>89657.427801254991</v>
      </c>
      <c r="H120" s="39"/>
    </row>
    <row r="121" spans="1:8" x14ac:dyDescent="0.25">
      <c r="A121">
        <v>10030060</v>
      </c>
      <c r="B121" s="11">
        <v>3185.85</v>
      </c>
      <c r="C121">
        <v>131405.020748265</v>
      </c>
      <c r="H121" s="39"/>
    </row>
    <row r="122" spans="1:8" x14ac:dyDescent="0.25">
      <c r="A122">
        <v>10030061</v>
      </c>
      <c r="B122" s="11">
        <v>2298.3999999999996</v>
      </c>
      <c r="C122">
        <v>76159.977049039517</v>
      </c>
      <c r="H122" s="39"/>
    </row>
    <row r="123" spans="1:8" x14ac:dyDescent="0.25">
      <c r="A123">
        <v>10030063</v>
      </c>
      <c r="B123" s="11">
        <v>4483.3</v>
      </c>
      <c r="C123">
        <v>172428.80466426499</v>
      </c>
      <c r="H123" s="39"/>
    </row>
    <row r="124" spans="1:8" x14ac:dyDescent="0.25">
      <c r="A124">
        <v>10030064</v>
      </c>
      <c r="B124" s="11">
        <v>4055.55</v>
      </c>
      <c r="C124">
        <v>160249.53110898999</v>
      </c>
      <c r="H124" s="39"/>
    </row>
    <row r="125" spans="1:8" x14ac:dyDescent="0.25">
      <c r="A125">
        <v>10030065</v>
      </c>
      <c r="B125" s="11">
        <v>696.25</v>
      </c>
      <c r="C125">
        <v>24918.482498189998</v>
      </c>
      <c r="H125" s="39"/>
    </row>
    <row r="126" spans="1:8" x14ac:dyDescent="0.25">
      <c r="A126">
        <v>10030066</v>
      </c>
      <c r="B126" s="11">
        <v>9070.7000000000007</v>
      </c>
      <c r="C126">
        <v>355529.36652244406</v>
      </c>
      <c r="H126" s="39"/>
    </row>
    <row r="127" spans="1:8" x14ac:dyDescent="0.25">
      <c r="A127">
        <v>10030069</v>
      </c>
      <c r="B127" s="11">
        <v>1885.35</v>
      </c>
      <c r="C127">
        <v>66149.955099960003</v>
      </c>
      <c r="H127" s="39"/>
    </row>
    <row r="128" spans="1:8" x14ac:dyDescent="0.25">
      <c r="A128">
        <v>10030070</v>
      </c>
      <c r="B128" s="11">
        <v>3142.55</v>
      </c>
      <c r="C128">
        <v>125497.67700256349</v>
      </c>
      <c r="H128" s="39"/>
    </row>
    <row r="129" spans="1:8" x14ac:dyDescent="0.25">
      <c r="A129">
        <v>10030071</v>
      </c>
      <c r="B129" s="11">
        <v>667.94999999999993</v>
      </c>
      <c r="C129">
        <v>29993.779529089199</v>
      </c>
      <c r="H129" s="39"/>
    </row>
    <row r="130" spans="1:8" x14ac:dyDescent="0.25">
      <c r="A130">
        <v>10030072</v>
      </c>
      <c r="B130" s="11">
        <v>3945.45</v>
      </c>
      <c r="C130">
        <v>151254.87861960501</v>
      </c>
      <c r="H130" s="39"/>
    </row>
    <row r="131" spans="1:8" x14ac:dyDescent="0.25">
      <c r="A131">
        <v>10030075</v>
      </c>
      <c r="B131" s="11">
        <v>1542.65</v>
      </c>
      <c r="C131">
        <v>63974.247178460006</v>
      </c>
      <c r="H131" s="39"/>
    </row>
    <row r="132" spans="1:8" x14ac:dyDescent="0.25">
      <c r="A132">
        <v>10060002</v>
      </c>
      <c r="B132" s="11">
        <v>5506.9</v>
      </c>
      <c r="C132">
        <v>211520.16170462681</v>
      </c>
      <c r="H132" s="39"/>
    </row>
    <row r="133" spans="1:8" x14ac:dyDescent="0.25">
      <c r="A133">
        <v>10060003</v>
      </c>
      <c r="B133" s="11">
        <v>7066.9</v>
      </c>
      <c r="C133">
        <v>256875.38300930202</v>
      </c>
      <c r="H133" s="39"/>
    </row>
    <row r="134" spans="1:8" x14ac:dyDescent="0.25">
      <c r="A134">
        <v>10060004</v>
      </c>
      <c r="B134" s="11">
        <v>11142.300000000001</v>
      </c>
      <c r="C134">
        <v>422128.04376069992</v>
      </c>
      <c r="H134" s="39"/>
    </row>
    <row r="135" spans="1:8" x14ac:dyDescent="0.25">
      <c r="A135">
        <v>10060005</v>
      </c>
      <c r="B135" s="11">
        <v>4937.9999999999991</v>
      </c>
      <c r="C135">
        <v>188046.20599222998</v>
      </c>
      <c r="H135" s="39"/>
    </row>
    <row r="136" spans="1:8" x14ac:dyDescent="0.25">
      <c r="A136">
        <v>10060007</v>
      </c>
      <c r="B136" s="11">
        <v>3438.3999999999996</v>
      </c>
      <c r="C136">
        <v>122430.90670911601</v>
      </c>
      <c r="H136" s="39"/>
    </row>
    <row r="137" spans="1:8" x14ac:dyDescent="0.25">
      <c r="A137">
        <v>10060008</v>
      </c>
      <c r="B137" s="11">
        <v>2113.2999999999997</v>
      </c>
      <c r="C137">
        <v>77647.543878261989</v>
      </c>
      <c r="H137" s="39"/>
    </row>
    <row r="138" spans="1:8" x14ac:dyDescent="0.25">
      <c r="A138">
        <v>10060009</v>
      </c>
      <c r="B138" s="11">
        <v>7334.9</v>
      </c>
      <c r="C138">
        <v>293743.45660458453</v>
      </c>
      <c r="H138" s="39"/>
    </row>
    <row r="139" spans="1:8" x14ac:dyDescent="0.25">
      <c r="A139">
        <v>10060010</v>
      </c>
      <c r="B139" s="11">
        <v>7057.4000000000015</v>
      </c>
      <c r="C139">
        <v>273816.08840535901</v>
      </c>
      <c r="H139" s="39"/>
    </row>
    <row r="140" spans="1:8" x14ac:dyDescent="0.25">
      <c r="A140">
        <v>10060011</v>
      </c>
      <c r="B140" s="11">
        <v>1855.3</v>
      </c>
      <c r="C140">
        <v>87203.565040428308</v>
      </c>
      <c r="H140" s="39"/>
    </row>
    <row r="141" spans="1:8" x14ac:dyDescent="0.25">
      <c r="A141">
        <v>10060014</v>
      </c>
      <c r="B141" s="11">
        <v>812.2</v>
      </c>
      <c r="C141">
        <v>29727.429626410005</v>
      </c>
      <c r="H141" s="39"/>
    </row>
    <row r="142" spans="1:8" x14ac:dyDescent="0.25">
      <c r="A142">
        <v>10060015</v>
      </c>
      <c r="B142" s="11">
        <v>10.3</v>
      </c>
      <c r="C142">
        <v>366.39</v>
      </c>
      <c r="H142" s="39"/>
    </row>
    <row r="143" spans="1:8" x14ac:dyDescent="0.25">
      <c r="A143">
        <v>10060020</v>
      </c>
      <c r="B143" s="11">
        <v>3063.6000000000004</v>
      </c>
      <c r="C143">
        <v>109175.8757661015</v>
      </c>
      <c r="H143" s="39"/>
    </row>
    <row r="144" spans="1:8" x14ac:dyDescent="0.25">
      <c r="A144">
        <v>10060021</v>
      </c>
      <c r="B144" s="11">
        <v>5277.6</v>
      </c>
      <c r="C144">
        <v>217703.16263286502</v>
      </c>
      <c r="H144" s="39"/>
    </row>
    <row r="145" spans="1:8" x14ac:dyDescent="0.25">
      <c r="A145">
        <v>10060022</v>
      </c>
      <c r="B145" s="11">
        <v>3590.3</v>
      </c>
      <c r="C145">
        <v>129894.58723853951</v>
      </c>
      <c r="H145" s="39"/>
    </row>
    <row r="146" spans="1:8" x14ac:dyDescent="0.25">
      <c r="A146">
        <v>10060023</v>
      </c>
      <c r="B146" s="11">
        <v>423.8</v>
      </c>
      <c r="C146">
        <v>19119.320944440002</v>
      </c>
      <c r="H146" s="39"/>
    </row>
    <row r="147" spans="1:8" x14ac:dyDescent="0.25">
      <c r="A147">
        <v>10060026</v>
      </c>
      <c r="B147" s="11">
        <v>2313.8000000000002</v>
      </c>
      <c r="C147">
        <v>96162.574020911998</v>
      </c>
      <c r="H147" s="39"/>
    </row>
    <row r="148" spans="1:8" x14ac:dyDescent="0.25">
      <c r="A148">
        <v>10060027</v>
      </c>
      <c r="B148" s="11">
        <v>5744.5999999999995</v>
      </c>
      <c r="C148">
        <v>245934.55053567205</v>
      </c>
      <c r="H148" s="39"/>
    </row>
    <row r="149" spans="1:8" x14ac:dyDescent="0.25">
      <c r="A149">
        <v>10060028</v>
      </c>
      <c r="B149" s="11">
        <v>2773</v>
      </c>
      <c r="C149">
        <v>98361.871943841499</v>
      </c>
      <c r="H149" s="39"/>
    </row>
    <row r="150" spans="1:8" x14ac:dyDescent="0.25">
      <c r="A150">
        <v>10060029</v>
      </c>
      <c r="B150" s="11">
        <v>6055.3</v>
      </c>
      <c r="C150">
        <v>270226.13169279404</v>
      </c>
      <c r="H150" s="39"/>
    </row>
    <row r="151" spans="1:8" x14ac:dyDescent="0.25">
      <c r="A151">
        <v>10060031</v>
      </c>
      <c r="B151" s="11">
        <v>1313.3999999999999</v>
      </c>
      <c r="C151">
        <v>53367.508705369997</v>
      </c>
      <c r="H151" s="39"/>
    </row>
    <row r="152" spans="1:8" x14ac:dyDescent="0.25">
      <c r="A152">
        <v>10060032</v>
      </c>
      <c r="B152" s="11">
        <v>12380.799999999997</v>
      </c>
      <c r="C152">
        <v>602401.67985303712</v>
      </c>
      <c r="H152" s="39"/>
    </row>
    <row r="153" spans="1:8" x14ac:dyDescent="0.25">
      <c r="A153">
        <v>10060041</v>
      </c>
      <c r="B153" s="11">
        <v>698.7</v>
      </c>
      <c r="C153">
        <v>25139.783054217503</v>
      </c>
      <c r="H153" s="39"/>
    </row>
    <row r="154" spans="1:8" x14ac:dyDescent="0.25">
      <c r="A154">
        <v>10060049</v>
      </c>
      <c r="B154" s="11">
        <v>2498.2999999999997</v>
      </c>
      <c r="C154">
        <v>109865.83720403651</v>
      </c>
      <c r="H154" s="39"/>
    </row>
    <row r="155" spans="1:8" x14ac:dyDescent="0.25">
      <c r="A155">
        <v>10060050</v>
      </c>
      <c r="B155" s="11">
        <v>2294.9</v>
      </c>
      <c r="C155">
        <v>103628.28519637541</v>
      </c>
      <c r="H155" s="39"/>
    </row>
    <row r="156" spans="1:8" x14ac:dyDescent="0.25">
      <c r="A156">
        <v>10060058</v>
      </c>
      <c r="B156" s="11">
        <v>2880.5</v>
      </c>
      <c r="C156">
        <v>107081.81994334</v>
      </c>
      <c r="H156" s="39"/>
    </row>
    <row r="157" spans="1:8" x14ac:dyDescent="0.25">
      <c r="A157">
        <v>10060062</v>
      </c>
      <c r="B157" s="11">
        <v>1516.9</v>
      </c>
      <c r="C157">
        <v>59234.348199009997</v>
      </c>
      <c r="H157" s="39"/>
    </row>
    <row r="158" spans="1:8" x14ac:dyDescent="0.25">
      <c r="A158">
        <v>10060069</v>
      </c>
      <c r="B158" s="11">
        <v>1129.6999999999998</v>
      </c>
      <c r="C158">
        <v>49909.434228111</v>
      </c>
      <c r="H158" s="39"/>
    </row>
    <row r="159" spans="1:8" x14ac:dyDescent="0.25">
      <c r="A159">
        <v>10060074</v>
      </c>
      <c r="B159" s="11">
        <v>1452.4</v>
      </c>
      <c r="C159">
        <v>61806.180033556004</v>
      </c>
      <c r="H159" s="39"/>
    </row>
    <row r="160" spans="1:8" x14ac:dyDescent="0.25">
      <c r="A160">
        <v>10060077</v>
      </c>
      <c r="B160" s="11">
        <v>4877.0000000000018</v>
      </c>
      <c r="C160">
        <v>194765.96667055204</v>
      </c>
      <c r="H160" s="39"/>
    </row>
    <row r="161" spans="1:8" x14ac:dyDescent="0.25">
      <c r="A161">
        <v>10060083</v>
      </c>
      <c r="B161" s="11">
        <v>5181.5</v>
      </c>
      <c r="C161">
        <v>193944.48516850005</v>
      </c>
      <c r="H161" s="39"/>
    </row>
    <row r="162" spans="1:8" x14ac:dyDescent="0.25">
      <c r="A162">
        <v>10060090</v>
      </c>
      <c r="B162" s="11">
        <v>2828.8999999999996</v>
      </c>
      <c r="C162">
        <v>126312.22675301379</v>
      </c>
      <c r="H162" s="39"/>
    </row>
    <row r="163" spans="1:8" x14ac:dyDescent="0.25">
      <c r="A163">
        <v>10060096</v>
      </c>
      <c r="B163" s="11">
        <v>7725.2000000000007</v>
      </c>
      <c r="C163">
        <v>280893.57901703002</v>
      </c>
      <c r="H163" s="39"/>
    </row>
    <row r="164" spans="1:8" x14ac:dyDescent="0.25">
      <c r="A164">
        <v>10060097</v>
      </c>
      <c r="B164" s="11">
        <v>5552.6</v>
      </c>
      <c r="C164">
        <v>207498.62040227</v>
      </c>
      <c r="H164" s="39"/>
    </row>
    <row r="165" spans="1:8" x14ac:dyDescent="0.25">
      <c r="A165">
        <v>10060098</v>
      </c>
      <c r="B165" s="11">
        <v>7843.8</v>
      </c>
      <c r="C165">
        <v>322913.55153177306</v>
      </c>
      <c r="H165" s="39"/>
    </row>
    <row r="166" spans="1:8" x14ac:dyDescent="0.25">
      <c r="A166">
        <v>10060104</v>
      </c>
      <c r="B166" s="11">
        <v>5578.0000000000009</v>
      </c>
      <c r="C166">
        <v>191961.86553518154</v>
      </c>
      <c r="H166" s="39"/>
    </row>
    <row r="167" spans="1:8" x14ac:dyDescent="0.25">
      <c r="A167">
        <v>10060107</v>
      </c>
      <c r="B167" s="11">
        <v>2443.3999999999996</v>
      </c>
      <c r="C167">
        <v>98051.229968499989</v>
      </c>
      <c r="H167" s="39"/>
    </row>
    <row r="168" spans="1:8" x14ac:dyDescent="0.25">
      <c r="A168">
        <v>10060109</v>
      </c>
      <c r="B168" s="11">
        <v>44.8</v>
      </c>
      <c r="C168">
        <v>1450.7391311770002</v>
      </c>
      <c r="H168" s="39"/>
    </row>
    <row r="169" spans="1:8" x14ac:dyDescent="0.25">
      <c r="A169">
        <v>10060110</v>
      </c>
      <c r="B169" s="11">
        <v>354.6</v>
      </c>
      <c r="C169">
        <v>13935.290394610001</v>
      </c>
      <c r="H169" s="39"/>
    </row>
    <row r="170" spans="1:8" x14ac:dyDescent="0.25">
      <c r="A170">
        <v>10060111</v>
      </c>
      <c r="B170" s="11">
        <v>2660.3</v>
      </c>
      <c r="C170">
        <v>110223.10984672481</v>
      </c>
      <c r="H170" s="39"/>
    </row>
    <row r="171" spans="1:8" x14ac:dyDescent="0.25">
      <c r="A171">
        <v>10060113</v>
      </c>
      <c r="B171" s="11">
        <v>2509</v>
      </c>
      <c r="C171">
        <v>96017.739758480006</v>
      </c>
      <c r="H171" s="39"/>
    </row>
    <row r="172" spans="1:8" x14ac:dyDescent="0.25">
      <c r="A172">
        <v>10060114</v>
      </c>
      <c r="B172" s="11">
        <v>1690.8000000000002</v>
      </c>
      <c r="C172">
        <v>66683.408320290007</v>
      </c>
      <c r="H172" s="39"/>
    </row>
    <row r="173" spans="1:8" x14ac:dyDescent="0.25">
      <c r="A173">
        <v>10070002</v>
      </c>
      <c r="B173" s="11">
        <v>18755</v>
      </c>
      <c r="C173">
        <v>689066.76589064999</v>
      </c>
      <c r="H173" s="39"/>
    </row>
    <row r="174" spans="1:8" x14ac:dyDescent="0.25">
      <c r="A174">
        <v>10070003</v>
      </c>
      <c r="B174" s="11">
        <v>4013.3</v>
      </c>
      <c r="C174">
        <v>136657.79080906801</v>
      </c>
      <c r="H174" s="39"/>
    </row>
    <row r="175" spans="1:8" x14ac:dyDescent="0.25">
      <c r="A175">
        <v>10070004</v>
      </c>
      <c r="B175" s="11">
        <v>1993.58</v>
      </c>
      <c r="C175">
        <v>68818.743807968596</v>
      </c>
      <c r="H175" s="39"/>
    </row>
    <row r="176" spans="1:8" x14ac:dyDescent="0.25">
      <c r="A176">
        <v>10070008</v>
      </c>
      <c r="B176" s="11">
        <v>3284.06</v>
      </c>
      <c r="C176">
        <v>115927.48937414627</v>
      </c>
      <c r="H176" s="39"/>
    </row>
    <row r="177" spans="1:8" x14ac:dyDescent="0.25">
      <c r="A177">
        <v>10070013</v>
      </c>
      <c r="B177" s="11">
        <v>879.09999999999991</v>
      </c>
      <c r="C177">
        <v>32972.946473210002</v>
      </c>
      <c r="H177" s="39"/>
    </row>
    <row r="178" spans="1:8" x14ac:dyDescent="0.25">
      <c r="A178">
        <v>10070016</v>
      </c>
      <c r="B178" s="11">
        <v>1149.4000000000001</v>
      </c>
      <c r="C178">
        <v>44139.342403770002</v>
      </c>
      <c r="H178" s="39"/>
    </row>
    <row r="179" spans="1:8" x14ac:dyDescent="0.25">
      <c r="A179">
        <v>10070018</v>
      </c>
      <c r="B179" s="11">
        <v>50128.7</v>
      </c>
      <c r="C179">
        <v>1887149.5890573002</v>
      </c>
      <c r="H179" s="39"/>
    </row>
    <row r="180" spans="1:8" x14ac:dyDescent="0.25">
      <c r="A180">
        <v>10070019</v>
      </c>
      <c r="B180" s="11">
        <v>32029.699999999997</v>
      </c>
      <c r="C180">
        <v>1196677.9879738502</v>
      </c>
      <c r="H180" s="39"/>
    </row>
    <row r="181" spans="1:8" x14ac:dyDescent="0.25">
      <c r="A181">
        <v>10070020</v>
      </c>
      <c r="B181" s="11">
        <v>19791.5</v>
      </c>
      <c r="C181">
        <v>728676.59658016008</v>
      </c>
      <c r="H181" s="39"/>
    </row>
    <row r="182" spans="1:8" x14ac:dyDescent="0.25">
      <c r="A182">
        <v>10070024</v>
      </c>
      <c r="B182" s="11">
        <v>3517.8</v>
      </c>
      <c r="C182">
        <v>128359.16952232001</v>
      </c>
      <c r="H182" s="39"/>
    </row>
    <row r="183" spans="1:8" x14ac:dyDescent="0.25">
      <c r="A183">
        <v>10070026</v>
      </c>
      <c r="B183" s="11">
        <v>4107.8999999999996</v>
      </c>
      <c r="C183">
        <v>153833.89940808</v>
      </c>
      <c r="H183" s="39"/>
    </row>
    <row r="184" spans="1:8" x14ac:dyDescent="0.25">
      <c r="A184">
        <v>10070033</v>
      </c>
      <c r="B184" s="11">
        <v>2065.9</v>
      </c>
      <c r="C184">
        <v>98788.21754383693</v>
      </c>
      <c r="H184" s="39"/>
    </row>
    <row r="185" spans="1:8" x14ac:dyDescent="0.25">
      <c r="A185">
        <v>10070039</v>
      </c>
      <c r="B185" s="11">
        <v>1026.76</v>
      </c>
      <c r="C185">
        <v>33382.4728821104</v>
      </c>
      <c r="H185" s="39"/>
    </row>
    <row r="186" spans="1:8" x14ac:dyDescent="0.25">
      <c r="A186">
        <v>10070042</v>
      </c>
      <c r="B186" s="11">
        <v>676.40000000000009</v>
      </c>
      <c r="C186">
        <v>27270.612112749997</v>
      </c>
      <c r="H186" s="39"/>
    </row>
    <row r="187" spans="1:8" x14ac:dyDescent="0.25">
      <c r="A187">
        <v>10070043</v>
      </c>
      <c r="B187" s="11">
        <v>57680.299999999988</v>
      </c>
      <c r="C187">
        <v>2171844.8049495998</v>
      </c>
      <c r="H187" s="39"/>
    </row>
    <row r="188" spans="1:8" x14ac:dyDescent="0.25">
      <c r="A188">
        <v>10070045</v>
      </c>
      <c r="B188" s="11">
        <v>633.30000000000007</v>
      </c>
      <c r="C188">
        <v>22874.009167274002</v>
      </c>
      <c r="H188" s="39"/>
    </row>
    <row r="189" spans="1:8" x14ac:dyDescent="0.25">
      <c r="A189">
        <v>10070046</v>
      </c>
      <c r="B189" s="11">
        <v>9390.24</v>
      </c>
      <c r="C189">
        <v>358330.65318010002</v>
      </c>
      <c r="H189" s="39"/>
    </row>
    <row r="190" spans="1:8" x14ac:dyDescent="0.25">
      <c r="A190">
        <v>10070048</v>
      </c>
      <c r="B190" s="11">
        <v>6045.0999999999995</v>
      </c>
      <c r="C190">
        <v>235850.53579052002</v>
      </c>
      <c r="H190" s="39"/>
    </row>
    <row r="191" spans="1:8" x14ac:dyDescent="0.25">
      <c r="A191">
        <v>10070056</v>
      </c>
      <c r="B191" s="11">
        <v>2141.92</v>
      </c>
      <c r="C191">
        <v>87885.553442413002</v>
      </c>
      <c r="H191" s="39"/>
    </row>
    <row r="192" spans="1:8" x14ac:dyDescent="0.25">
      <c r="A192">
        <v>10070059</v>
      </c>
      <c r="B192" s="11">
        <v>6641.6399999999994</v>
      </c>
      <c r="C192">
        <v>249286.82088730199</v>
      </c>
      <c r="H192" s="39"/>
    </row>
    <row r="193" spans="1:8" x14ac:dyDescent="0.25">
      <c r="A193">
        <v>10070061</v>
      </c>
      <c r="B193" s="11">
        <v>725.09999999999991</v>
      </c>
      <c r="C193">
        <v>24588.220191548004</v>
      </c>
      <c r="H193" s="39"/>
    </row>
    <row r="194" spans="1:8" x14ac:dyDescent="0.25">
      <c r="A194">
        <v>10070063</v>
      </c>
      <c r="B194" s="11">
        <v>1532.8000000000002</v>
      </c>
      <c r="C194">
        <v>58611.598672039996</v>
      </c>
      <c r="H194" s="39"/>
    </row>
    <row r="195" spans="1:8" x14ac:dyDescent="0.25">
      <c r="A195">
        <v>10070064</v>
      </c>
      <c r="B195" s="11">
        <v>4851.66</v>
      </c>
      <c r="C195">
        <v>182385.07106018241</v>
      </c>
      <c r="H195" s="39"/>
    </row>
    <row r="196" spans="1:8" x14ac:dyDescent="0.25">
      <c r="A196">
        <v>10070065</v>
      </c>
      <c r="B196" s="11">
        <v>1818</v>
      </c>
      <c r="C196">
        <v>65503.027374090001</v>
      </c>
      <c r="H196" s="39"/>
    </row>
    <row r="197" spans="1:8" x14ac:dyDescent="0.25">
      <c r="A197">
        <v>10070074</v>
      </c>
      <c r="B197" s="11">
        <v>1293.5</v>
      </c>
      <c r="C197">
        <v>39933.554664641997</v>
      </c>
      <c r="H197" s="39"/>
    </row>
    <row r="198" spans="1:8" x14ac:dyDescent="0.25">
      <c r="A198">
        <v>10070076</v>
      </c>
      <c r="B198" s="11">
        <v>1662.2</v>
      </c>
      <c r="C198">
        <v>56243.121630856505</v>
      </c>
      <c r="H198" s="39"/>
    </row>
    <row r="199" spans="1:8" x14ac:dyDescent="0.25">
      <c r="A199">
        <v>10080001</v>
      </c>
      <c r="B199" s="11">
        <v>4794.1000000000004</v>
      </c>
      <c r="C199">
        <v>172047.73466366599</v>
      </c>
      <c r="H199" s="39"/>
    </row>
    <row r="200" spans="1:8" x14ac:dyDescent="0.25">
      <c r="A200">
        <v>10080002</v>
      </c>
      <c r="B200" s="11">
        <v>1112.3</v>
      </c>
      <c r="C200">
        <v>40093.471226177004</v>
      </c>
      <c r="H200" s="39"/>
    </row>
    <row r="201" spans="1:8" x14ac:dyDescent="0.25">
      <c r="A201">
        <v>10080003</v>
      </c>
      <c r="B201" s="11">
        <v>654.44999999999993</v>
      </c>
      <c r="C201">
        <v>22855.125191296003</v>
      </c>
      <c r="H201" s="39"/>
    </row>
    <row r="202" spans="1:8" x14ac:dyDescent="0.25">
      <c r="A202">
        <v>10080004</v>
      </c>
      <c r="B202" s="11">
        <v>252.05</v>
      </c>
      <c r="C202">
        <v>9451.2303145265014</v>
      </c>
      <c r="H202" s="39"/>
    </row>
    <row r="203" spans="1:8" x14ac:dyDescent="0.25">
      <c r="A203">
        <v>10080006</v>
      </c>
      <c r="B203" s="11">
        <v>1087.45</v>
      </c>
      <c r="C203">
        <v>37612.772815117001</v>
      </c>
      <c r="H203" s="39"/>
    </row>
    <row r="204" spans="1:8" x14ac:dyDescent="0.25">
      <c r="A204">
        <v>10080007</v>
      </c>
      <c r="B204" s="11">
        <v>3067.15</v>
      </c>
      <c r="C204">
        <v>110525.3734970775</v>
      </c>
      <c r="H204" s="39"/>
    </row>
    <row r="205" spans="1:8" x14ac:dyDescent="0.25">
      <c r="A205">
        <v>10080013</v>
      </c>
      <c r="B205" s="11">
        <v>2770</v>
      </c>
      <c r="C205">
        <v>105137.60962427201</v>
      </c>
      <c r="H205" s="39"/>
    </row>
    <row r="206" spans="1:8" x14ac:dyDescent="0.25">
      <c r="A206">
        <v>10080014</v>
      </c>
      <c r="B206" s="11">
        <v>481.4</v>
      </c>
      <c r="C206">
        <v>18835.327418711</v>
      </c>
      <c r="H206" s="39"/>
    </row>
    <row r="207" spans="1:8" x14ac:dyDescent="0.25">
      <c r="A207">
        <v>10080015</v>
      </c>
      <c r="B207" s="11">
        <v>13566.55</v>
      </c>
      <c r="C207">
        <v>473162.57967331045</v>
      </c>
      <c r="H207" s="39"/>
    </row>
    <row r="208" spans="1:8" x14ac:dyDescent="0.25">
      <c r="A208">
        <v>10080016</v>
      </c>
      <c r="B208" s="11">
        <v>325.29999999999995</v>
      </c>
      <c r="C208">
        <v>11626.604058640249</v>
      </c>
      <c r="H208" s="39"/>
    </row>
    <row r="209" spans="1:8" x14ac:dyDescent="0.25">
      <c r="A209">
        <v>10080022</v>
      </c>
      <c r="B209" s="11">
        <v>1015.5500000000001</v>
      </c>
      <c r="C209">
        <v>43187.324575639999</v>
      </c>
      <c r="H209" s="39"/>
    </row>
    <row r="210" spans="1:8" x14ac:dyDescent="0.25">
      <c r="A210">
        <v>10080024</v>
      </c>
      <c r="B210" s="11">
        <v>11088</v>
      </c>
      <c r="C210">
        <v>415747.54405590001</v>
      </c>
      <c r="H210" s="39"/>
    </row>
    <row r="211" spans="1:8" x14ac:dyDescent="0.25">
      <c r="A211">
        <v>10080025</v>
      </c>
      <c r="B211" s="11">
        <v>3281.3999999999996</v>
      </c>
      <c r="C211">
        <v>118391.45117798251</v>
      </c>
      <c r="H211" s="39"/>
    </row>
    <row r="212" spans="1:8" x14ac:dyDescent="0.25">
      <c r="A212">
        <v>10080032</v>
      </c>
      <c r="B212" s="11">
        <v>1660.35</v>
      </c>
      <c r="C212">
        <v>68658.863440125759</v>
      </c>
      <c r="H212" s="39"/>
    </row>
    <row r="213" spans="1:8" x14ac:dyDescent="0.25">
      <c r="A213">
        <v>10080039</v>
      </c>
      <c r="B213" s="11">
        <v>37.700000000000003</v>
      </c>
      <c r="C213">
        <v>1215.45</v>
      </c>
      <c r="H213" s="39"/>
    </row>
    <row r="214" spans="1:8" x14ac:dyDescent="0.25">
      <c r="A214">
        <v>10080040</v>
      </c>
      <c r="B214" s="11">
        <v>3683.6</v>
      </c>
      <c r="C214">
        <v>146303.34583387899</v>
      </c>
      <c r="H214" s="39"/>
    </row>
    <row r="215" spans="1:8" x14ac:dyDescent="0.25">
      <c r="A215">
        <v>10080043</v>
      </c>
      <c r="B215" s="11">
        <v>1823.9500000000003</v>
      </c>
      <c r="C215">
        <v>66130.603814619011</v>
      </c>
      <c r="H215" s="39"/>
    </row>
    <row r="216" spans="1:8" x14ac:dyDescent="0.25">
      <c r="A216">
        <v>10080048</v>
      </c>
      <c r="B216" s="11">
        <v>1192.05</v>
      </c>
      <c r="C216">
        <v>53068.444630298705</v>
      </c>
      <c r="H216" s="39"/>
    </row>
    <row r="217" spans="1:8" x14ac:dyDescent="0.25">
      <c r="A217">
        <v>10080052</v>
      </c>
      <c r="B217" s="11">
        <v>2778.8500000000004</v>
      </c>
      <c r="C217">
        <v>99851.923068807999</v>
      </c>
      <c r="H217" s="39"/>
    </row>
    <row r="218" spans="1:8" x14ac:dyDescent="0.25">
      <c r="A218">
        <v>10080053</v>
      </c>
      <c r="B218" s="11">
        <v>2265.65</v>
      </c>
      <c r="C218">
        <v>79522.191513239246</v>
      </c>
      <c r="H218" s="39"/>
    </row>
    <row r="219" spans="1:8" x14ac:dyDescent="0.25">
      <c r="A219">
        <v>10080054</v>
      </c>
      <c r="B219" s="11">
        <v>2406.0500000000002</v>
      </c>
      <c r="C219">
        <v>88924.735065849498</v>
      </c>
      <c r="H219" s="39"/>
    </row>
    <row r="220" spans="1:8" x14ac:dyDescent="0.25">
      <c r="A220">
        <v>10080055</v>
      </c>
      <c r="B220" s="11">
        <v>1234.45</v>
      </c>
      <c r="C220">
        <v>46017.602561060994</v>
      </c>
      <c r="H220" s="39"/>
    </row>
    <row r="221" spans="1:8" x14ac:dyDescent="0.25">
      <c r="A221">
        <v>10080061</v>
      </c>
      <c r="B221" s="11">
        <v>600.25</v>
      </c>
      <c r="C221">
        <v>20885.2119924455</v>
      </c>
      <c r="H221" s="39"/>
    </row>
    <row r="222" spans="1:8" x14ac:dyDescent="0.25">
      <c r="A222">
        <v>10080062</v>
      </c>
      <c r="B222" s="11">
        <v>157.25</v>
      </c>
      <c r="C222">
        <v>6217.6898368675611</v>
      </c>
      <c r="H222" s="39"/>
    </row>
    <row r="223" spans="1:8" x14ac:dyDescent="0.25">
      <c r="A223">
        <v>10080067</v>
      </c>
      <c r="B223" s="11">
        <v>272.14999999999998</v>
      </c>
      <c r="C223">
        <v>9865.1886859599999</v>
      </c>
      <c r="H223" s="39"/>
    </row>
    <row r="224" spans="1:8" x14ac:dyDescent="0.25">
      <c r="A224">
        <v>10080076</v>
      </c>
      <c r="B224" s="11">
        <v>256.3</v>
      </c>
      <c r="C224">
        <v>9749.3519270500001</v>
      </c>
      <c r="H224" s="39"/>
    </row>
    <row r="225" spans="1:8" x14ac:dyDescent="0.25">
      <c r="A225">
        <v>10080077</v>
      </c>
      <c r="B225" s="11">
        <v>3886.5999999999995</v>
      </c>
      <c r="C225">
        <v>143056.39774760001</v>
      </c>
      <c r="H225" s="39"/>
    </row>
    <row r="226" spans="1:8" x14ac:dyDescent="0.25">
      <c r="A226">
        <v>10080078</v>
      </c>
      <c r="B226" s="11">
        <v>250.14999999999998</v>
      </c>
      <c r="C226">
        <v>9511.98</v>
      </c>
      <c r="H226" s="39"/>
    </row>
    <row r="227" spans="1:8" x14ac:dyDescent="0.25">
      <c r="A227">
        <v>10080079</v>
      </c>
      <c r="B227" s="11">
        <v>609.1</v>
      </c>
      <c r="C227">
        <v>23271.613403089999</v>
      </c>
      <c r="H227" s="39"/>
    </row>
    <row r="228" spans="1:8" x14ac:dyDescent="0.25">
      <c r="A228">
        <v>10080080</v>
      </c>
      <c r="B228" s="11">
        <v>771.05</v>
      </c>
      <c r="C228">
        <v>27557.352206661002</v>
      </c>
      <c r="H228" s="39"/>
    </row>
    <row r="229" spans="1:8" x14ac:dyDescent="0.25">
      <c r="A229">
        <v>10080082</v>
      </c>
      <c r="B229" s="11">
        <v>1696.35</v>
      </c>
      <c r="C229">
        <v>62419.614037383508</v>
      </c>
      <c r="H229" s="39"/>
    </row>
    <row r="230" spans="1:8" x14ac:dyDescent="0.25">
      <c r="A230">
        <v>10080083</v>
      </c>
      <c r="B230" s="11">
        <v>560.25</v>
      </c>
      <c r="C230">
        <v>20916.670706199999</v>
      </c>
      <c r="H230" s="39"/>
    </row>
    <row r="231" spans="1:8" x14ac:dyDescent="0.25">
      <c r="A231">
        <v>10080086</v>
      </c>
      <c r="B231" s="11">
        <v>166.70000000000002</v>
      </c>
      <c r="C231">
        <v>6017.4628895780006</v>
      </c>
      <c r="H231" s="39"/>
    </row>
    <row r="232" spans="1:8" x14ac:dyDescent="0.25">
      <c r="A232">
        <v>10080087</v>
      </c>
      <c r="B232" s="11">
        <v>2282.1</v>
      </c>
      <c r="C232">
        <v>86890.553681219011</v>
      </c>
      <c r="H232" s="39"/>
    </row>
    <row r="233" spans="1:8" x14ac:dyDescent="0.25">
      <c r="A233">
        <v>10080088</v>
      </c>
      <c r="B233" s="11">
        <v>5851.25</v>
      </c>
      <c r="C233">
        <v>210517.11654236075</v>
      </c>
      <c r="H233" s="39"/>
    </row>
    <row r="234" spans="1:8" x14ac:dyDescent="0.25">
      <c r="A234">
        <v>10080090</v>
      </c>
      <c r="B234" s="11">
        <v>562.79999999999995</v>
      </c>
      <c r="C234">
        <v>19662.731235075</v>
      </c>
      <c r="H234" s="39"/>
    </row>
    <row r="235" spans="1:8" x14ac:dyDescent="0.25">
      <c r="A235">
        <v>10080093</v>
      </c>
      <c r="B235" s="11">
        <v>2210.5</v>
      </c>
      <c r="C235">
        <v>80013.745509300003</v>
      </c>
      <c r="H235" s="39"/>
    </row>
    <row r="236" spans="1:8" x14ac:dyDescent="0.25">
      <c r="A236">
        <v>10080095</v>
      </c>
      <c r="B236" s="11">
        <v>774.75</v>
      </c>
      <c r="C236">
        <v>27051.770170002252</v>
      </c>
      <c r="H236" s="39"/>
    </row>
    <row r="237" spans="1:8" x14ac:dyDescent="0.25">
      <c r="A237">
        <v>10080097</v>
      </c>
      <c r="B237" s="11">
        <v>6637.65</v>
      </c>
      <c r="C237">
        <v>232351.02169663875</v>
      </c>
      <c r="H237" s="39"/>
    </row>
    <row r="238" spans="1:8" x14ac:dyDescent="0.25">
      <c r="A238">
        <v>10080099</v>
      </c>
      <c r="B238" s="11">
        <v>7600.85</v>
      </c>
      <c r="C238">
        <v>252854.30206847025</v>
      </c>
      <c r="H238" s="39"/>
    </row>
    <row r="239" spans="1:8" x14ac:dyDescent="0.25">
      <c r="A239">
        <v>10080100</v>
      </c>
      <c r="B239" s="11">
        <v>342.45</v>
      </c>
      <c r="C239">
        <v>13066.726760695248</v>
      </c>
      <c r="H239" s="39"/>
    </row>
    <row r="240" spans="1:8" x14ac:dyDescent="0.25">
      <c r="A240">
        <v>10080107</v>
      </c>
      <c r="B240" s="11">
        <v>1686.8999999999996</v>
      </c>
      <c r="C240">
        <v>60560.300476447999</v>
      </c>
      <c r="H240" s="39"/>
    </row>
    <row r="241" spans="1:8" x14ac:dyDescent="0.25">
      <c r="A241">
        <v>10090001</v>
      </c>
      <c r="B241" s="11">
        <v>1427.9</v>
      </c>
      <c r="C241">
        <v>60228.279679280007</v>
      </c>
      <c r="H241" s="39"/>
    </row>
    <row r="242" spans="1:8" x14ac:dyDescent="0.25">
      <c r="A242">
        <v>10090002</v>
      </c>
      <c r="B242" s="11">
        <v>7419.7000000000007</v>
      </c>
      <c r="C242">
        <v>311158.2800136772</v>
      </c>
      <c r="H242" s="39"/>
    </row>
    <row r="243" spans="1:8" x14ac:dyDescent="0.25">
      <c r="A243">
        <v>10090003</v>
      </c>
      <c r="B243" s="11">
        <v>432.90000000000003</v>
      </c>
      <c r="C243">
        <v>14345.772545982001</v>
      </c>
      <c r="H243" s="39"/>
    </row>
    <row r="244" spans="1:8" x14ac:dyDescent="0.25">
      <c r="A244">
        <v>10090005</v>
      </c>
      <c r="B244" s="11">
        <v>1039.5999999999999</v>
      </c>
      <c r="C244">
        <v>46891.184657434205</v>
      </c>
      <c r="H244" s="39"/>
    </row>
    <row r="245" spans="1:8" x14ac:dyDescent="0.25">
      <c r="A245">
        <v>10090006</v>
      </c>
      <c r="B245" s="11">
        <v>5706.0999999999995</v>
      </c>
      <c r="C245">
        <v>227387.86824366002</v>
      </c>
      <c r="H245" s="39"/>
    </row>
    <row r="246" spans="1:8" x14ac:dyDescent="0.25">
      <c r="A246">
        <v>10090007</v>
      </c>
      <c r="B246" s="11">
        <v>1573.1</v>
      </c>
      <c r="C246">
        <v>53669.9220662191</v>
      </c>
      <c r="H246" s="39"/>
    </row>
    <row r="247" spans="1:8" x14ac:dyDescent="0.25">
      <c r="A247">
        <v>10090008</v>
      </c>
      <c r="B247" s="11">
        <v>4107.2</v>
      </c>
      <c r="C247">
        <v>157639.35383821002</v>
      </c>
      <c r="H247" s="39"/>
    </row>
    <row r="248" spans="1:8" x14ac:dyDescent="0.25">
      <c r="A248">
        <v>10090009</v>
      </c>
      <c r="B248" s="11">
        <v>2411.7000000000003</v>
      </c>
      <c r="C248">
        <v>95756.602428002996</v>
      </c>
      <c r="H248" s="39"/>
    </row>
    <row r="249" spans="1:8" x14ac:dyDescent="0.25">
      <c r="A249">
        <v>10090011</v>
      </c>
      <c r="B249" s="11">
        <v>3357.2000000000007</v>
      </c>
      <c r="C249">
        <v>123853.90869439</v>
      </c>
      <c r="H249" s="39"/>
    </row>
    <row r="250" spans="1:8" x14ac:dyDescent="0.25">
      <c r="A250">
        <v>10090012</v>
      </c>
      <c r="B250" s="11">
        <v>4519.7000000000007</v>
      </c>
      <c r="C250">
        <v>166879.44584559003</v>
      </c>
      <c r="H250" s="39"/>
    </row>
    <row r="251" spans="1:8" x14ac:dyDescent="0.25">
      <c r="A251">
        <v>10090014</v>
      </c>
      <c r="B251" s="11">
        <v>3624.6000000000004</v>
      </c>
      <c r="C251">
        <v>141193.74975813419</v>
      </c>
      <c r="H251" s="39"/>
    </row>
    <row r="252" spans="1:8" x14ac:dyDescent="0.25">
      <c r="A252">
        <v>10090015</v>
      </c>
      <c r="B252" s="11">
        <v>1847.5</v>
      </c>
      <c r="C252">
        <v>76561.690907590397</v>
      </c>
      <c r="H252" s="39"/>
    </row>
    <row r="253" spans="1:8" x14ac:dyDescent="0.25">
      <c r="A253">
        <v>10090017</v>
      </c>
      <c r="B253" s="11">
        <v>21322.9</v>
      </c>
      <c r="C253">
        <v>748456.55429508607</v>
      </c>
      <c r="H253" s="39"/>
    </row>
    <row r="254" spans="1:8" x14ac:dyDescent="0.25">
      <c r="A254">
        <v>10090021</v>
      </c>
      <c r="B254" s="11">
        <v>3540.8999999999996</v>
      </c>
      <c r="C254">
        <v>148222.75626768</v>
      </c>
      <c r="H254" s="39"/>
    </row>
    <row r="255" spans="1:8" x14ac:dyDescent="0.25">
      <c r="A255">
        <v>10090022</v>
      </c>
      <c r="B255" s="11">
        <v>1929.6000000000001</v>
      </c>
      <c r="C255">
        <v>75792.057509488004</v>
      </c>
      <c r="H255" s="39"/>
    </row>
    <row r="256" spans="1:8" x14ac:dyDescent="0.25">
      <c r="A256">
        <v>10090024</v>
      </c>
      <c r="B256" s="11">
        <v>1311.8</v>
      </c>
      <c r="C256">
        <v>49375.701260618</v>
      </c>
      <c r="H256" s="39"/>
    </row>
    <row r="257" spans="1:8" x14ac:dyDescent="0.25">
      <c r="A257">
        <v>10090025</v>
      </c>
      <c r="B257" s="11">
        <v>3113.1</v>
      </c>
      <c r="C257">
        <v>119108.84821926801</v>
      </c>
      <c r="H257" s="39"/>
    </row>
    <row r="258" spans="1:8" x14ac:dyDescent="0.25">
      <c r="A258">
        <v>10090027</v>
      </c>
      <c r="B258" s="11">
        <v>5969.7000000000007</v>
      </c>
      <c r="C258">
        <v>250720.64355253498</v>
      </c>
      <c r="H258" s="39"/>
    </row>
    <row r="259" spans="1:8" x14ac:dyDescent="0.25">
      <c r="A259">
        <v>10090029</v>
      </c>
      <c r="B259" s="11">
        <v>2943.7</v>
      </c>
      <c r="C259">
        <v>123734.54925826001</v>
      </c>
      <c r="H259" s="39"/>
    </row>
    <row r="260" spans="1:8" x14ac:dyDescent="0.25">
      <c r="A260">
        <v>10090033</v>
      </c>
      <c r="B260" s="11">
        <v>4136.5</v>
      </c>
      <c r="C260">
        <v>195165.054318504</v>
      </c>
      <c r="H260" s="39"/>
    </row>
    <row r="261" spans="1:8" x14ac:dyDescent="0.25">
      <c r="A261">
        <v>10090034</v>
      </c>
      <c r="B261" s="11">
        <v>741</v>
      </c>
      <c r="C261">
        <v>29879.719999999994</v>
      </c>
      <c r="H261" s="39"/>
    </row>
    <row r="262" spans="1:8" x14ac:dyDescent="0.25">
      <c r="A262">
        <v>10090036</v>
      </c>
      <c r="B262" s="11">
        <v>299.83000000000004</v>
      </c>
      <c r="C262">
        <v>10940.324723086002</v>
      </c>
      <c r="H262" s="39"/>
    </row>
    <row r="263" spans="1:8" x14ac:dyDescent="0.25">
      <c r="A263">
        <v>10090037</v>
      </c>
      <c r="B263" s="11">
        <v>1852.2999999999997</v>
      </c>
      <c r="C263">
        <v>83192.364724000014</v>
      </c>
      <c r="H263" s="39"/>
    </row>
    <row r="264" spans="1:8" x14ac:dyDescent="0.25">
      <c r="A264">
        <v>10090041</v>
      </c>
      <c r="B264" s="11">
        <v>936.7</v>
      </c>
      <c r="C264">
        <v>26969.390797166998</v>
      </c>
      <c r="H264" s="39"/>
    </row>
    <row r="265" spans="1:8" x14ac:dyDescent="0.25">
      <c r="A265">
        <v>10090042</v>
      </c>
      <c r="B265" s="11">
        <v>2452.3000000000002</v>
      </c>
      <c r="C265">
        <v>100931.09339748001</v>
      </c>
      <c r="H265" s="39"/>
    </row>
    <row r="266" spans="1:8" x14ac:dyDescent="0.25">
      <c r="A266">
        <v>10090043</v>
      </c>
      <c r="B266" s="11">
        <v>120.30000000000001</v>
      </c>
      <c r="C266">
        <v>5479.8600000000006</v>
      </c>
      <c r="H266" s="39"/>
    </row>
    <row r="267" spans="1:8" x14ac:dyDescent="0.25">
      <c r="A267">
        <v>10090045</v>
      </c>
      <c r="B267" s="11">
        <v>3370.7000000000003</v>
      </c>
      <c r="C267">
        <v>139606.47865648</v>
      </c>
      <c r="H267" s="39"/>
    </row>
    <row r="268" spans="1:8" x14ac:dyDescent="0.25">
      <c r="A268">
        <v>10090046</v>
      </c>
      <c r="B268" s="11">
        <v>1991.8</v>
      </c>
      <c r="C268">
        <v>82906.486165897993</v>
      </c>
      <c r="H268" s="39"/>
    </row>
    <row r="269" spans="1:8" x14ac:dyDescent="0.25">
      <c r="A269">
        <v>10090047</v>
      </c>
      <c r="B269" s="11">
        <v>1550.7</v>
      </c>
      <c r="C269">
        <v>68170.260053292004</v>
      </c>
      <c r="H269" s="39"/>
    </row>
    <row r="270" spans="1:8" x14ac:dyDescent="0.25">
      <c r="A270">
        <v>10090049</v>
      </c>
      <c r="B270" s="11">
        <v>2681</v>
      </c>
      <c r="C270">
        <v>128855.51757471872</v>
      </c>
      <c r="H270" s="39"/>
    </row>
    <row r="271" spans="1:8" x14ac:dyDescent="0.25">
      <c r="A271">
        <v>10090052</v>
      </c>
      <c r="B271" s="11">
        <v>2673.6</v>
      </c>
      <c r="C271">
        <v>106545.72119074699</v>
      </c>
      <c r="H271" s="39"/>
    </row>
    <row r="272" spans="1:8" x14ac:dyDescent="0.25">
      <c r="A272">
        <v>10090055</v>
      </c>
      <c r="B272" s="11">
        <v>1026.9000000000001</v>
      </c>
      <c r="C272">
        <v>38983.870037729001</v>
      </c>
      <c r="H272" s="39"/>
    </row>
    <row r="273" spans="1:8" x14ac:dyDescent="0.25">
      <c r="A273">
        <v>10090056</v>
      </c>
      <c r="B273" s="11">
        <v>2308.9</v>
      </c>
      <c r="C273">
        <v>91936.910810139991</v>
      </c>
      <c r="H273" s="39"/>
    </row>
    <row r="274" spans="1:8" x14ac:dyDescent="0.25">
      <c r="A274">
        <v>10090058</v>
      </c>
      <c r="B274" s="11">
        <v>3681.9000000000005</v>
      </c>
      <c r="C274">
        <v>151762.9368352064</v>
      </c>
      <c r="H274" s="39"/>
    </row>
    <row r="275" spans="1:8" x14ac:dyDescent="0.25">
      <c r="A275">
        <v>10090060</v>
      </c>
      <c r="B275" s="11">
        <v>855.9</v>
      </c>
      <c r="C275">
        <v>35304.285035339999</v>
      </c>
      <c r="H275" s="39"/>
    </row>
    <row r="276" spans="1:8" x14ac:dyDescent="0.25">
      <c r="A276">
        <v>10090061</v>
      </c>
      <c r="B276" s="11">
        <v>678.90000000000009</v>
      </c>
      <c r="C276">
        <v>30432.4876383749</v>
      </c>
      <c r="H276" s="39"/>
    </row>
    <row r="277" spans="1:8" x14ac:dyDescent="0.25">
      <c r="A277">
        <v>10090063</v>
      </c>
      <c r="B277" s="11">
        <v>566</v>
      </c>
      <c r="C277">
        <v>24622.949308020001</v>
      </c>
      <c r="H277" s="39"/>
    </row>
    <row r="278" spans="1:8" x14ac:dyDescent="0.25">
      <c r="A278">
        <v>10090064</v>
      </c>
      <c r="B278" s="11">
        <v>1664.6</v>
      </c>
      <c r="C278">
        <v>68548.145366487603</v>
      </c>
      <c r="H278" s="39"/>
    </row>
    <row r="279" spans="1:8" x14ac:dyDescent="0.25">
      <c r="A279">
        <v>10090065</v>
      </c>
      <c r="B279" s="11">
        <v>1853.3</v>
      </c>
      <c r="C279">
        <v>73058.899285546009</v>
      </c>
      <c r="H279" s="39"/>
    </row>
    <row r="280" spans="1:8" x14ac:dyDescent="0.25">
      <c r="A280">
        <v>10100001</v>
      </c>
      <c r="B280" s="11">
        <v>3384.2</v>
      </c>
      <c r="C280">
        <v>126041.19489832001</v>
      </c>
      <c r="H280" s="39"/>
    </row>
    <row r="281" spans="1:8" x14ac:dyDescent="0.25">
      <c r="A281">
        <v>10100003</v>
      </c>
      <c r="B281" s="11">
        <v>6290.7999999999993</v>
      </c>
      <c r="C281">
        <v>240903.66784111719</v>
      </c>
      <c r="H281" s="39"/>
    </row>
    <row r="282" spans="1:8" x14ac:dyDescent="0.25">
      <c r="A282">
        <v>10100009</v>
      </c>
      <c r="B282" s="11">
        <v>4632.8</v>
      </c>
      <c r="C282">
        <v>183705.85735428901</v>
      </c>
      <c r="H282" s="39"/>
    </row>
    <row r="283" spans="1:8" x14ac:dyDescent="0.25">
      <c r="A283">
        <v>10100014</v>
      </c>
      <c r="B283" s="11">
        <v>1333.8000000000002</v>
      </c>
      <c r="C283">
        <v>51299.465661620001</v>
      </c>
      <c r="H283" s="39"/>
    </row>
    <row r="284" spans="1:8" x14ac:dyDescent="0.25">
      <c r="A284">
        <v>10100021</v>
      </c>
      <c r="B284" s="11">
        <v>1905.5</v>
      </c>
      <c r="C284">
        <v>70057.062933640002</v>
      </c>
      <c r="H284" s="39"/>
    </row>
    <row r="285" spans="1:8" x14ac:dyDescent="0.25">
      <c r="A285">
        <v>10100033</v>
      </c>
      <c r="B285" s="11">
        <v>342.4</v>
      </c>
      <c r="C285">
        <v>12794.045302426</v>
      </c>
      <c r="H285" s="39"/>
    </row>
    <row r="286" spans="1:8" x14ac:dyDescent="0.25">
      <c r="A286">
        <v>10100035</v>
      </c>
      <c r="B286" s="11">
        <v>382.9</v>
      </c>
      <c r="C286">
        <v>16835.318752858599</v>
      </c>
      <c r="H286" s="39"/>
    </row>
    <row r="287" spans="1:8" x14ac:dyDescent="0.25">
      <c r="A287">
        <v>10100037</v>
      </c>
      <c r="B287" s="11">
        <v>687.3</v>
      </c>
      <c r="C287">
        <v>33884.411308241601</v>
      </c>
      <c r="H287" s="39"/>
    </row>
    <row r="288" spans="1:8" x14ac:dyDescent="0.25">
      <c r="A288">
        <v>10100045</v>
      </c>
      <c r="B288" s="11">
        <v>5363.9999999999991</v>
      </c>
      <c r="C288">
        <v>191040.01196699802</v>
      </c>
      <c r="H288" s="39"/>
    </row>
    <row r="289" spans="1:8" x14ac:dyDescent="0.25">
      <c r="A289">
        <v>10100049</v>
      </c>
      <c r="B289" s="11">
        <v>2206.5</v>
      </c>
      <c r="C289">
        <v>81152.645346036006</v>
      </c>
      <c r="H289" s="39"/>
    </row>
    <row r="290" spans="1:8" x14ac:dyDescent="0.25">
      <c r="A290">
        <v>10100051</v>
      </c>
      <c r="B290" s="11">
        <v>5210.6000000000004</v>
      </c>
      <c r="C290">
        <v>194470.31416658699</v>
      </c>
      <c r="H290" s="39"/>
    </row>
    <row r="291" spans="1:8" x14ac:dyDescent="0.25">
      <c r="A291">
        <v>10100054</v>
      </c>
      <c r="B291" s="11">
        <v>741.69999999999993</v>
      </c>
      <c r="C291">
        <v>32613.457432418498</v>
      </c>
      <c r="H291" s="39"/>
    </row>
    <row r="292" spans="1:8" x14ac:dyDescent="0.25">
      <c r="A292">
        <v>10100060</v>
      </c>
      <c r="B292" s="11">
        <v>1039.8000000000002</v>
      </c>
      <c r="C292">
        <v>36812.932921880005</v>
      </c>
      <c r="H292" s="39"/>
    </row>
    <row r="293" spans="1:8" x14ac:dyDescent="0.25">
      <c r="A293">
        <v>10110001</v>
      </c>
      <c r="B293" s="11">
        <v>7304</v>
      </c>
      <c r="C293">
        <v>288872.70095621003</v>
      </c>
      <c r="H293" s="39"/>
    </row>
    <row r="294" spans="1:8" x14ac:dyDescent="0.25">
      <c r="A294">
        <v>10110002</v>
      </c>
      <c r="B294" s="11">
        <v>1539.0000000000005</v>
      </c>
      <c r="C294">
        <v>56265.645420320005</v>
      </c>
      <c r="H294" s="39"/>
    </row>
    <row r="295" spans="1:8" x14ac:dyDescent="0.25">
      <c r="A295">
        <v>10110004</v>
      </c>
      <c r="B295" s="11">
        <v>1903.7999999999997</v>
      </c>
      <c r="C295">
        <v>71262.319528709995</v>
      </c>
      <c r="H295" s="39"/>
    </row>
    <row r="296" spans="1:8" x14ac:dyDescent="0.25">
      <c r="A296">
        <v>10110005</v>
      </c>
      <c r="B296" s="11">
        <v>16984.400000000001</v>
      </c>
      <c r="C296">
        <v>693374.70409408933</v>
      </c>
      <c r="H296" s="39"/>
    </row>
    <row r="297" spans="1:8" x14ac:dyDescent="0.25">
      <c r="A297">
        <v>10110007</v>
      </c>
      <c r="B297" s="11">
        <v>4764.3999999999996</v>
      </c>
      <c r="C297">
        <v>172224.67758638601</v>
      </c>
      <c r="H297" s="39"/>
    </row>
    <row r="298" spans="1:8" x14ac:dyDescent="0.25">
      <c r="A298">
        <v>10110008</v>
      </c>
      <c r="B298" s="11">
        <v>27628.199999999997</v>
      </c>
      <c r="C298">
        <v>1061926.4777767202</v>
      </c>
      <c r="H298" s="39"/>
    </row>
    <row r="299" spans="1:8" x14ac:dyDescent="0.25">
      <c r="A299">
        <v>10110013</v>
      </c>
      <c r="B299" s="11">
        <v>3760</v>
      </c>
      <c r="C299">
        <v>136867.11989648201</v>
      </c>
      <c r="H299" s="39"/>
    </row>
    <row r="300" spans="1:8" x14ac:dyDescent="0.25">
      <c r="A300">
        <v>10110014</v>
      </c>
      <c r="B300" s="11">
        <v>3854.2</v>
      </c>
      <c r="C300">
        <v>170001.59287269192</v>
      </c>
      <c r="H300" s="39"/>
    </row>
    <row r="301" spans="1:8" x14ac:dyDescent="0.25">
      <c r="A301">
        <v>10110015</v>
      </c>
      <c r="B301" s="11">
        <v>4177.7000000000007</v>
      </c>
      <c r="C301">
        <v>171482.27987197999</v>
      </c>
      <c r="H301" s="39"/>
    </row>
    <row r="302" spans="1:8" x14ac:dyDescent="0.25">
      <c r="A302">
        <v>10110016</v>
      </c>
      <c r="B302" s="11">
        <v>2854.7</v>
      </c>
      <c r="C302">
        <v>114746.71318711201</v>
      </c>
      <c r="H302" s="39"/>
    </row>
    <row r="303" spans="1:8" x14ac:dyDescent="0.25">
      <c r="A303">
        <v>10110021</v>
      </c>
      <c r="B303" s="11">
        <v>282.89999999999998</v>
      </c>
      <c r="C303">
        <v>10953.211790217501</v>
      </c>
      <c r="H303" s="39"/>
    </row>
    <row r="304" spans="1:8" x14ac:dyDescent="0.25">
      <c r="A304">
        <v>10110042</v>
      </c>
      <c r="B304" s="11">
        <v>1684.2</v>
      </c>
      <c r="C304">
        <v>64637.566867460002</v>
      </c>
      <c r="H304" s="39"/>
    </row>
    <row r="305" spans="1:8" x14ac:dyDescent="0.25">
      <c r="A305">
        <v>10110043</v>
      </c>
      <c r="B305" s="11">
        <v>1997.2000000000003</v>
      </c>
      <c r="C305">
        <v>75977.144405380008</v>
      </c>
      <c r="H305" s="39"/>
    </row>
    <row r="306" spans="1:8" x14ac:dyDescent="0.25">
      <c r="A306">
        <v>10110050</v>
      </c>
      <c r="B306" s="11">
        <v>2929.3</v>
      </c>
      <c r="C306">
        <v>118901.38242363</v>
      </c>
      <c r="H306" s="39"/>
    </row>
    <row r="307" spans="1:8" x14ac:dyDescent="0.25">
      <c r="A307">
        <v>10110053</v>
      </c>
      <c r="B307" s="11">
        <v>379.40000000000003</v>
      </c>
      <c r="C307">
        <v>18469.107418596399</v>
      </c>
      <c r="H307" s="39"/>
    </row>
    <row r="308" spans="1:8" x14ac:dyDescent="0.25">
      <c r="A308">
        <v>10110055</v>
      </c>
      <c r="B308" s="11">
        <v>3241.0999999999995</v>
      </c>
      <c r="C308">
        <v>133151.77365333601</v>
      </c>
      <c r="H308" s="39"/>
    </row>
    <row r="309" spans="1:8" x14ac:dyDescent="0.25">
      <c r="A309">
        <v>10110057</v>
      </c>
      <c r="B309" s="11">
        <v>1165.6999999999998</v>
      </c>
      <c r="C309">
        <v>49653.318506659998</v>
      </c>
      <c r="H309" s="39"/>
    </row>
    <row r="310" spans="1:8" x14ac:dyDescent="0.25">
      <c r="A310">
        <v>10110065</v>
      </c>
      <c r="B310" s="11">
        <v>4351.8</v>
      </c>
      <c r="C310">
        <v>169223.43101437</v>
      </c>
      <c r="H310" s="39"/>
    </row>
    <row r="311" spans="1:8" x14ac:dyDescent="0.25">
      <c r="A311">
        <v>10110066</v>
      </c>
      <c r="B311" s="11">
        <v>3696.7000000000003</v>
      </c>
      <c r="C311">
        <v>148474.99804322002</v>
      </c>
      <c r="H311" s="39"/>
    </row>
    <row r="312" spans="1:8" x14ac:dyDescent="0.25">
      <c r="A312">
        <v>10110071</v>
      </c>
      <c r="B312" s="11">
        <v>312.19999999999993</v>
      </c>
      <c r="C312">
        <v>11374.580638039999</v>
      </c>
      <c r="H312" s="39"/>
    </row>
    <row r="313" spans="1:8" x14ac:dyDescent="0.25">
      <c r="A313">
        <v>10110073</v>
      </c>
      <c r="B313" s="11">
        <v>410.1</v>
      </c>
      <c r="C313">
        <v>14366.0706687975</v>
      </c>
      <c r="H313" s="39"/>
    </row>
    <row r="314" spans="1:8" x14ac:dyDescent="0.25">
      <c r="A314">
        <v>10110076</v>
      </c>
      <c r="B314" s="11">
        <v>6165.3</v>
      </c>
      <c r="C314">
        <v>249283.75187664002</v>
      </c>
      <c r="H314" s="39"/>
    </row>
    <row r="315" spans="1:8" x14ac:dyDescent="0.25">
      <c r="A315">
        <v>10110078</v>
      </c>
      <c r="B315" s="11">
        <v>1537</v>
      </c>
      <c r="C315">
        <v>52954.139820374498</v>
      </c>
      <c r="H315" s="39"/>
    </row>
    <row r="316" spans="1:8" x14ac:dyDescent="0.25">
      <c r="A316">
        <v>10110083</v>
      </c>
      <c r="B316" s="11">
        <v>1162.6999999999998</v>
      </c>
      <c r="C316">
        <v>42584.545791730998</v>
      </c>
      <c r="H316" s="39"/>
    </row>
    <row r="317" spans="1:8" x14ac:dyDescent="0.25">
      <c r="A317">
        <v>10110086</v>
      </c>
      <c r="B317" s="11">
        <v>1804.3</v>
      </c>
      <c r="C317">
        <v>70803.28654796</v>
      </c>
      <c r="H317" s="39"/>
    </row>
    <row r="318" spans="1:8" x14ac:dyDescent="0.25">
      <c r="A318">
        <v>10110093</v>
      </c>
      <c r="B318" s="11">
        <v>1733.96</v>
      </c>
      <c r="C318">
        <v>60753.391750845105</v>
      </c>
      <c r="H318" s="39"/>
    </row>
    <row r="319" spans="1:8" x14ac:dyDescent="0.25">
      <c r="A319">
        <v>10110094</v>
      </c>
      <c r="B319" s="11">
        <v>1509.1999999999998</v>
      </c>
      <c r="C319">
        <v>56271.030790669996</v>
      </c>
      <c r="H319" s="39"/>
    </row>
    <row r="320" spans="1:8" x14ac:dyDescent="0.25">
      <c r="A320">
        <v>10110095</v>
      </c>
      <c r="B320" s="11">
        <v>1724.3</v>
      </c>
      <c r="C320">
        <v>76192.220972220006</v>
      </c>
      <c r="H320" s="39"/>
    </row>
    <row r="321" spans="1:8" x14ac:dyDescent="0.25">
      <c r="A321">
        <v>10110097</v>
      </c>
      <c r="B321" s="11">
        <v>380.96</v>
      </c>
      <c r="C321">
        <v>17479.354464366403</v>
      </c>
      <c r="H321" s="39"/>
    </row>
    <row r="322" spans="1:8" x14ac:dyDescent="0.25">
      <c r="A322">
        <v>10110098</v>
      </c>
      <c r="B322" s="11">
        <v>668.98</v>
      </c>
      <c r="C322">
        <v>27919.236935658002</v>
      </c>
      <c r="H322" s="39"/>
    </row>
    <row r="323" spans="1:8" x14ac:dyDescent="0.25">
      <c r="A323">
        <v>10110100</v>
      </c>
      <c r="B323" s="11">
        <v>14419.54</v>
      </c>
      <c r="C323">
        <v>584206.96828884399</v>
      </c>
      <c r="H323" s="39"/>
    </row>
    <row r="324" spans="1:8" x14ac:dyDescent="0.25">
      <c r="A324">
        <v>10110101</v>
      </c>
      <c r="B324" s="11">
        <v>939.21999999999991</v>
      </c>
      <c r="C324">
        <v>39401.939591075497</v>
      </c>
      <c r="H324" s="39"/>
    </row>
    <row r="325" spans="1:8" x14ac:dyDescent="0.25">
      <c r="A325">
        <v>10110105</v>
      </c>
      <c r="B325" s="11">
        <v>1458</v>
      </c>
      <c r="C325">
        <v>52670.012808961008</v>
      </c>
      <c r="H325" s="39"/>
    </row>
    <row r="326" spans="1:8" x14ac:dyDescent="0.25">
      <c r="A326">
        <v>10110106</v>
      </c>
      <c r="B326" s="11">
        <v>25736.699999999997</v>
      </c>
      <c r="C326">
        <v>997592.08215865935</v>
      </c>
      <c r="H326" s="39"/>
    </row>
    <row r="327" spans="1:8" x14ac:dyDescent="0.25">
      <c r="A327">
        <v>10110109</v>
      </c>
      <c r="B327" s="11">
        <v>1039.68</v>
      </c>
      <c r="C327">
        <v>42598.099247457998</v>
      </c>
      <c r="H327" s="39"/>
    </row>
    <row r="328" spans="1:8" x14ac:dyDescent="0.25">
      <c r="A328">
        <v>10110110</v>
      </c>
      <c r="B328" s="11">
        <v>598.90000000000009</v>
      </c>
      <c r="C328">
        <v>27135.481137368501</v>
      </c>
      <c r="H328" s="39"/>
    </row>
    <row r="329" spans="1:8" x14ac:dyDescent="0.25">
      <c r="A329">
        <v>10110111</v>
      </c>
      <c r="B329" s="11">
        <v>857.09999999999991</v>
      </c>
      <c r="C329">
        <v>47125.584056949992</v>
      </c>
      <c r="H329" s="39"/>
    </row>
    <row r="330" spans="1:8" x14ac:dyDescent="0.25">
      <c r="A330">
        <v>10110114</v>
      </c>
      <c r="B330" s="11">
        <v>1978.1999999999998</v>
      </c>
      <c r="C330">
        <v>73299.063617437991</v>
      </c>
      <c r="H330" s="39"/>
    </row>
    <row r="331" spans="1:8" x14ac:dyDescent="0.25">
      <c r="A331">
        <v>10110116</v>
      </c>
      <c r="B331" s="11">
        <v>2894.04</v>
      </c>
      <c r="C331">
        <v>103888.677032511</v>
      </c>
      <c r="H331" s="39"/>
    </row>
    <row r="332" spans="1:8" x14ac:dyDescent="0.25">
      <c r="A332">
        <v>10110118</v>
      </c>
      <c r="B332" s="11">
        <v>1957.8400000000001</v>
      </c>
      <c r="C332">
        <v>75513.763704553901</v>
      </c>
      <c r="H332" s="39"/>
    </row>
    <row r="333" spans="1:8" x14ac:dyDescent="0.25">
      <c r="A333">
        <v>10110119</v>
      </c>
      <c r="B333" s="11">
        <v>1270.58</v>
      </c>
      <c r="C333">
        <v>47885.185939412993</v>
      </c>
      <c r="H333" s="39"/>
    </row>
    <row r="334" spans="1:8" x14ac:dyDescent="0.25">
      <c r="A334">
        <v>10110120</v>
      </c>
      <c r="B334" s="11">
        <v>4663.66</v>
      </c>
      <c r="C334">
        <v>205853.21127415096</v>
      </c>
      <c r="H334" s="39"/>
    </row>
    <row r="335" spans="1:8" x14ac:dyDescent="0.25">
      <c r="A335">
        <v>10110121</v>
      </c>
      <c r="B335" s="11">
        <v>1959.44</v>
      </c>
      <c r="C335">
        <v>71532.531614928797</v>
      </c>
      <c r="H335" s="39"/>
    </row>
    <row r="336" spans="1:8" x14ac:dyDescent="0.25">
      <c r="A336">
        <v>10110123</v>
      </c>
      <c r="B336" s="11">
        <v>3520.7000000000003</v>
      </c>
      <c r="C336">
        <v>142029.36169978403</v>
      </c>
      <c r="H336" s="39"/>
    </row>
    <row r="337" spans="1:8" x14ac:dyDescent="0.25">
      <c r="A337">
        <v>10110124</v>
      </c>
      <c r="B337" s="11">
        <v>2347.5</v>
      </c>
      <c r="C337">
        <v>94449.249727649993</v>
      </c>
      <c r="H337" s="39"/>
    </row>
    <row r="338" spans="1:8" x14ac:dyDescent="0.25">
      <c r="A338">
        <v>10110128</v>
      </c>
      <c r="B338" s="11">
        <v>4029</v>
      </c>
      <c r="C338">
        <v>157740.16606839999</v>
      </c>
      <c r="H338" s="39"/>
    </row>
    <row r="339" spans="1:8" x14ac:dyDescent="0.25">
      <c r="A339">
        <v>10110129</v>
      </c>
      <c r="B339" s="11">
        <v>3076.8399999999997</v>
      </c>
      <c r="C339">
        <v>114145.6688454439</v>
      </c>
      <c r="H339" s="39"/>
    </row>
    <row r="340" spans="1:8" x14ac:dyDescent="0.25">
      <c r="A340">
        <v>10110132</v>
      </c>
      <c r="B340" s="11">
        <v>1055.82</v>
      </c>
      <c r="C340">
        <v>42308.260299435999</v>
      </c>
      <c r="H340" s="39"/>
    </row>
    <row r="341" spans="1:8" x14ac:dyDescent="0.25">
      <c r="A341">
        <v>10110133</v>
      </c>
      <c r="B341" s="11">
        <v>9483.7000000000007</v>
      </c>
      <c r="C341">
        <v>363715.92844216595</v>
      </c>
      <c r="H341" s="39"/>
    </row>
    <row r="342" spans="1:8" x14ac:dyDescent="0.25">
      <c r="A342">
        <v>10110134</v>
      </c>
      <c r="B342" s="11">
        <v>1282.26</v>
      </c>
      <c r="C342">
        <v>51057.373816367995</v>
      </c>
      <c r="H342" s="39"/>
    </row>
    <row r="343" spans="1:8" x14ac:dyDescent="0.25">
      <c r="A343">
        <v>10110135</v>
      </c>
      <c r="B343" s="11">
        <v>2817.6000000000004</v>
      </c>
      <c r="C343">
        <v>108566.80323922</v>
      </c>
      <c r="H343" s="39"/>
    </row>
    <row r="344" spans="1:8" x14ac:dyDescent="0.25">
      <c r="A344">
        <v>10110140</v>
      </c>
      <c r="B344" s="11">
        <v>725.4</v>
      </c>
      <c r="C344">
        <v>32682.872259956504</v>
      </c>
      <c r="H344" s="39"/>
    </row>
    <row r="345" spans="1:8" x14ac:dyDescent="0.25">
      <c r="A345">
        <v>10110141</v>
      </c>
      <c r="B345" s="11">
        <v>3511.72</v>
      </c>
      <c r="C345">
        <v>140838.220350474</v>
      </c>
      <c r="H345" s="39"/>
    </row>
    <row r="346" spans="1:8" x14ac:dyDescent="0.25">
      <c r="A346">
        <v>10110143</v>
      </c>
      <c r="B346" s="11">
        <v>3569.02</v>
      </c>
      <c r="C346">
        <v>130774.6226173437</v>
      </c>
      <c r="H346" s="39"/>
    </row>
    <row r="347" spans="1:8" x14ac:dyDescent="0.25">
      <c r="A347">
        <v>10110144</v>
      </c>
      <c r="B347" s="11">
        <v>3337.88</v>
      </c>
      <c r="C347">
        <v>124815.8991796913</v>
      </c>
      <c r="H347" s="39"/>
    </row>
    <row r="348" spans="1:8" x14ac:dyDescent="0.25">
      <c r="A348">
        <v>10110146</v>
      </c>
      <c r="B348" s="11">
        <v>4454.6000000000004</v>
      </c>
      <c r="C348">
        <v>161799.7255047014</v>
      </c>
      <c r="H348" s="39"/>
    </row>
    <row r="349" spans="1:8" x14ac:dyDescent="0.25">
      <c r="A349">
        <v>10110149</v>
      </c>
      <c r="B349" s="11">
        <v>1530.88</v>
      </c>
      <c r="C349">
        <v>55746.443024714899</v>
      </c>
      <c r="H349" s="39"/>
    </row>
    <row r="350" spans="1:8" x14ac:dyDescent="0.25">
      <c r="A350">
        <v>10110153</v>
      </c>
      <c r="B350" s="11">
        <v>2583.1</v>
      </c>
      <c r="C350">
        <v>99436.325846530002</v>
      </c>
      <c r="H350" s="39"/>
    </row>
    <row r="351" spans="1:8" x14ac:dyDescent="0.25">
      <c r="A351">
        <v>10110155</v>
      </c>
      <c r="B351" s="11">
        <v>1233.8</v>
      </c>
      <c r="C351">
        <v>45849.276597479999</v>
      </c>
      <c r="H351" s="39"/>
    </row>
    <row r="352" spans="1:8" x14ac:dyDescent="0.25">
      <c r="A352">
        <v>10110158</v>
      </c>
      <c r="B352" s="11">
        <v>18270.400000000001</v>
      </c>
      <c r="C352">
        <v>694783.47911687358</v>
      </c>
      <c r="H352" s="39"/>
    </row>
    <row r="353" spans="1:8" x14ac:dyDescent="0.25">
      <c r="A353">
        <v>10110159</v>
      </c>
      <c r="B353" s="11">
        <v>5870.6</v>
      </c>
      <c r="C353">
        <v>221532.40004715003</v>
      </c>
      <c r="H353" s="39"/>
    </row>
    <row r="354" spans="1:8" x14ac:dyDescent="0.25">
      <c r="A354">
        <v>10110160</v>
      </c>
      <c r="B354" s="11">
        <v>2929.9000000000005</v>
      </c>
      <c r="C354">
        <v>101988.4636920395</v>
      </c>
      <c r="H354" s="39"/>
    </row>
    <row r="355" spans="1:8" x14ac:dyDescent="0.25">
      <c r="A355">
        <v>10110161</v>
      </c>
      <c r="B355" s="11">
        <v>4092.2999999999997</v>
      </c>
      <c r="C355">
        <v>144452.98816777102</v>
      </c>
      <c r="H355" s="39"/>
    </row>
    <row r="356" spans="1:8" x14ac:dyDescent="0.25">
      <c r="A356">
        <v>10110166</v>
      </c>
      <c r="B356" s="11">
        <v>631.59999999999991</v>
      </c>
      <c r="C356">
        <v>22501.509999999995</v>
      </c>
      <c r="H356" s="39"/>
    </row>
    <row r="357" spans="1:8" x14ac:dyDescent="0.25">
      <c r="A357">
        <v>10120001</v>
      </c>
      <c r="B357" s="11">
        <v>673.87</v>
      </c>
      <c r="C357">
        <v>30600.034843858281</v>
      </c>
      <c r="H357" s="39"/>
    </row>
    <row r="358" spans="1:8" x14ac:dyDescent="0.25">
      <c r="A358">
        <v>10120002</v>
      </c>
      <c r="B358" s="11">
        <v>1740.6799999999998</v>
      </c>
      <c r="C358">
        <v>67625.53164412301</v>
      </c>
      <c r="H358" s="39"/>
    </row>
    <row r="359" spans="1:8" x14ac:dyDescent="0.25">
      <c r="A359">
        <v>10120005</v>
      </c>
      <c r="B359" s="11">
        <v>1531.7200000000003</v>
      </c>
      <c r="C359">
        <v>57369.698530127003</v>
      </c>
      <c r="H359" s="39"/>
    </row>
    <row r="360" spans="1:8" x14ac:dyDescent="0.25">
      <c r="A360">
        <v>10120006</v>
      </c>
      <c r="B360" s="11">
        <v>1573.84</v>
      </c>
      <c r="C360">
        <v>57441.298781496203</v>
      </c>
      <c r="H360" s="39"/>
    </row>
    <row r="361" spans="1:8" x14ac:dyDescent="0.25">
      <c r="A361">
        <v>10120007</v>
      </c>
      <c r="B361" s="11">
        <v>5082.5300000000007</v>
      </c>
      <c r="C361">
        <v>201283.01676902303</v>
      </c>
      <c r="H361" s="39"/>
    </row>
    <row r="362" spans="1:8" x14ac:dyDescent="0.25">
      <c r="A362">
        <v>10120008</v>
      </c>
      <c r="B362" s="11">
        <v>254.11</v>
      </c>
      <c r="C362">
        <v>8670.5285049868507</v>
      </c>
      <c r="H362" s="39"/>
    </row>
    <row r="363" spans="1:8" x14ac:dyDescent="0.25">
      <c r="A363">
        <v>10120010</v>
      </c>
      <c r="B363" s="11">
        <v>7199.0399999999991</v>
      </c>
      <c r="C363">
        <v>299267.56928150787</v>
      </c>
      <c r="H363" s="39"/>
    </row>
    <row r="364" spans="1:8" x14ac:dyDescent="0.25">
      <c r="A364">
        <v>10120011</v>
      </c>
      <c r="B364" s="11">
        <v>1289.3000000000002</v>
      </c>
      <c r="C364">
        <v>49407.988762713605</v>
      </c>
      <c r="H364" s="39"/>
    </row>
    <row r="365" spans="1:8" x14ac:dyDescent="0.25">
      <c r="A365">
        <v>10120012</v>
      </c>
      <c r="B365" s="11">
        <v>3208.45</v>
      </c>
      <c r="C365">
        <v>140423.55206959246</v>
      </c>
      <c r="H365" s="39"/>
    </row>
    <row r="366" spans="1:8" x14ac:dyDescent="0.25">
      <c r="A366">
        <v>10120013</v>
      </c>
      <c r="B366" s="11">
        <v>1453.2200000000003</v>
      </c>
      <c r="C366">
        <v>50077.328797258451</v>
      </c>
      <c r="H366" s="39"/>
    </row>
    <row r="367" spans="1:8" x14ac:dyDescent="0.25">
      <c r="A367">
        <v>10120014</v>
      </c>
      <c r="B367" s="11">
        <v>4006.61</v>
      </c>
      <c r="C367">
        <v>160845.00236742603</v>
      </c>
      <c r="H367" s="39"/>
    </row>
    <row r="368" spans="1:8" x14ac:dyDescent="0.25">
      <c r="A368">
        <v>10120015</v>
      </c>
      <c r="B368" s="11">
        <v>5147.41</v>
      </c>
      <c r="C368">
        <v>194773.596948502</v>
      </c>
      <c r="H368" s="39"/>
    </row>
    <row r="369" spans="1:8" x14ac:dyDescent="0.25">
      <c r="A369">
        <v>10120016</v>
      </c>
      <c r="B369" s="11">
        <v>1076.3499999999999</v>
      </c>
      <c r="C369">
        <v>39722.628332881795</v>
      </c>
      <c r="H369" s="39"/>
    </row>
    <row r="370" spans="1:8" x14ac:dyDescent="0.25">
      <c r="A370">
        <v>10120017</v>
      </c>
      <c r="B370" s="11">
        <v>1754.14</v>
      </c>
      <c r="C370">
        <v>67410.657779575995</v>
      </c>
      <c r="H370" s="39"/>
    </row>
    <row r="371" spans="1:8" x14ac:dyDescent="0.25">
      <c r="A371">
        <v>10120018</v>
      </c>
      <c r="B371" s="11">
        <v>883.39999999999986</v>
      </c>
      <c r="C371">
        <v>33629.798504441598</v>
      </c>
      <c r="H371" s="105"/>
    </row>
    <row r="372" spans="1:8" x14ac:dyDescent="0.25">
      <c r="A372">
        <v>10120019</v>
      </c>
      <c r="B372" s="11">
        <v>983.58000000000015</v>
      </c>
      <c r="C372">
        <v>37623.802128755997</v>
      </c>
      <c r="H372" s="105"/>
    </row>
    <row r="373" spans="1:8" x14ac:dyDescent="0.25">
      <c r="A373">
        <v>10120022</v>
      </c>
      <c r="B373" s="11">
        <v>780.61999999999989</v>
      </c>
      <c r="C373">
        <v>34700.289197336097</v>
      </c>
      <c r="H373" s="39"/>
    </row>
    <row r="374" spans="1:8" x14ac:dyDescent="0.25">
      <c r="A374">
        <v>10120023</v>
      </c>
      <c r="B374" s="11">
        <v>1120.83</v>
      </c>
      <c r="C374">
        <v>40307.959142792999</v>
      </c>
      <c r="H374" s="105"/>
    </row>
    <row r="375" spans="1:8" x14ac:dyDescent="0.25">
      <c r="A375">
        <v>10120024</v>
      </c>
      <c r="B375" s="11">
        <v>996.68</v>
      </c>
      <c r="C375">
        <v>35599.245644210001</v>
      </c>
      <c r="H375" s="39"/>
    </row>
    <row r="376" spans="1:8" x14ac:dyDescent="0.25">
      <c r="A376">
        <v>10120025</v>
      </c>
      <c r="B376" s="11">
        <v>9942.9800000000014</v>
      </c>
      <c r="C376">
        <v>396379.64821387094</v>
      </c>
      <c r="H376" s="105"/>
    </row>
    <row r="377" spans="1:8" x14ac:dyDescent="0.25">
      <c r="A377">
        <v>10120026</v>
      </c>
      <c r="B377" s="11">
        <v>188.10000000000002</v>
      </c>
      <c r="C377">
        <v>5925.9832737395991</v>
      </c>
      <c r="H377" s="105"/>
    </row>
    <row r="378" spans="1:8" x14ac:dyDescent="0.25">
      <c r="A378">
        <v>10120029</v>
      </c>
      <c r="B378" s="11">
        <v>3497.9399999999996</v>
      </c>
      <c r="C378">
        <v>135081.783683335</v>
      </c>
      <c r="H378" s="105"/>
    </row>
    <row r="379" spans="1:8" x14ac:dyDescent="0.25">
      <c r="A379">
        <v>10120031</v>
      </c>
      <c r="B379" s="11">
        <v>1580.88</v>
      </c>
      <c r="C379">
        <v>59717.013118014998</v>
      </c>
      <c r="H379" s="105"/>
    </row>
    <row r="380" spans="1:8" x14ac:dyDescent="0.25">
      <c r="A380">
        <v>10120034</v>
      </c>
      <c r="B380" s="11">
        <v>426.49</v>
      </c>
      <c r="C380">
        <v>16570.658165640001</v>
      </c>
      <c r="H380" s="39"/>
    </row>
    <row r="381" spans="1:8" x14ac:dyDescent="0.25">
      <c r="A381">
        <v>10120035</v>
      </c>
      <c r="B381" s="11">
        <v>1623.1999999999998</v>
      </c>
      <c r="C381">
        <v>66748.6952251568</v>
      </c>
      <c r="H381" s="39"/>
    </row>
    <row r="382" spans="1:8" x14ac:dyDescent="0.25">
      <c r="A382">
        <v>10120043</v>
      </c>
      <c r="B382" s="11">
        <v>710.87000000000012</v>
      </c>
      <c r="C382">
        <v>31949.074657739278</v>
      </c>
      <c r="H382" s="39"/>
    </row>
    <row r="383" spans="1:8" x14ac:dyDescent="0.25">
      <c r="A383">
        <v>10120046</v>
      </c>
      <c r="B383" s="11">
        <v>7850.9599999999991</v>
      </c>
      <c r="C383">
        <v>293743.09101097996</v>
      </c>
      <c r="H383" s="39"/>
    </row>
    <row r="384" spans="1:8" x14ac:dyDescent="0.25">
      <c r="A384">
        <v>10120049</v>
      </c>
      <c r="B384" s="11">
        <v>1831.67</v>
      </c>
      <c r="C384">
        <v>83324.921178509656</v>
      </c>
      <c r="H384" s="39"/>
    </row>
    <row r="385" spans="1:8" x14ac:dyDescent="0.25">
      <c r="A385">
        <v>10120050</v>
      </c>
      <c r="B385" s="11">
        <v>4489.7999999999993</v>
      </c>
      <c r="C385">
        <v>223558.03012775842</v>
      </c>
      <c r="H385" s="110"/>
    </row>
    <row r="386" spans="1:8" x14ac:dyDescent="0.25">
      <c r="A386">
        <v>10120051</v>
      </c>
      <c r="B386" s="11">
        <v>1281.67</v>
      </c>
      <c r="C386">
        <v>52213.328646597001</v>
      </c>
      <c r="H386" s="39"/>
    </row>
    <row r="387" spans="1:8" x14ac:dyDescent="0.25">
      <c r="A387">
        <v>10120052</v>
      </c>
      <c r="B387" s="11">
        <v>6651.13</v>
      </c>
      <c r="C387">
        <v>262381.11907976004</v>
      </c>
      <c r="H387" s="48"/>
    </row>
    <row r="388" spans="1:8" x14ac:dyDescent="0.25">
      <c r="A388">
        <v>10120053</v>
      </c>
      <c r="B388" s="11">
        <v>964.05</v>
      </c>
      <c r="C388">
        <v>36522.939481872003</v>
      </c>
      <c r="H388" s="39"/>
    </row>
    <row r="389" spans="1:8" x14ac:dyDescent="0.25">
      <c r="A389">
        <v>10120060</v>
      </c>
      <c r="B389" s="11">
        <v>6311.1</v>
      </c>
      <c r="C389">
        <v>225189.41177800001</v>
      </c>
      <c r="H389" s="39"/>
    </row>
    <row r="390" spans="1:8" x14ac:dyDescent="0.25">
      <c r="A390">
        <v>10120066</v>
      </c>
      <c r="B390" s="11">
        <v>669.33999999999992</v>
      </c>
      <c r="C390">
        <v>24911.144860922002</v>
      </c>
      <c r="H390" s="39"/>
    </row>
    <row r="391" spans="1:8" x14ac:dyDescent="0.25">
      <c r="A391">
        <v>10120071</v>
      </c>
      <c r="B391" s="11">
        <v>1835.5600000000002</v>
      </c>
      <c r="C391">
        <v>72973.239595635998</v>
      </c>
      <c r="H391" s="39"/>
    </row>
    <row r="392" spans="1:8" x14ac:dyDescent="0.25">
      <c r="A392">
        <v>10120080</v>
      </c>
      <c r="B392" s="11">
        <v>108.55000000000001</v>
      </c>
      <c r="C392">
        <v>3659.13</v>
      </c>
      <c r="H392" s="39"/>
    </row>
    <row r="393" spans="1:8" x14ac:dyDescent="0.25">
      <c r="A393">
        <v>10120083</v>
      </c>
      <c r="B393" s="11">
        <v>1680.3200000000002</v>
      </c>
      <c r="C393">
        <v>64366.699144343002</v>
      </c>
      <c r="H393" s="39"/>
    </row>
    <row r="394" spans="1:8" x14ac:dyDescent="0.25">
      <c r="A394">
        <v>10120084</v>
      </c>
      <c r="B394" s="11">
        <v>6228.58</v>
      </c>
      <c r="C394">
        <v>308471.21573624673</v>
      </c>
      <c r="H394" s="39"/>
    </row>
    <row r="395" spans="1:8" x14ac:dyDescent="0.25">
      <c r="A395">
        <v>10120086</v>
      </c>
      <c r="B395" s="11">
        <v>3950.87</v>
      </c>
      <c r="C395">
        <v>152133.23285975179</v>
      </c>
      <c r="H395" s="39"/>
    </row>
    <row r="396" spans="1:8" x14ac:dyDescent="0.25">
      <c r="A396">
        <v>10120089</v>
      </c>
      <c r="B396" s="11">
        <v>2817.64</v>
      </c>
      <c r="C396">
        <v>101271.07765835969</v>
      </c>
      <c r="H396" s="39"/>
    </row>
    <row r="397" spans="1:8" x14ac:dyDescent="0.25">
      <c r="A397">
        <v>10120091</v>
      </c>
      <c r="B397" s="11">
        <v>2089.0100000000002</v>
      </c>
      <c r="C397">
        <v>80234.487682878505</v>
      </c>
      <c r="H397" s="39"/>
    </row>
    <row r="398" spans="1:8" x14ac:dyDescent="0.25">
      <c r="A398">
        <v>10120094</v>
      </c>
      <c r="B398" s="11">
        <v>3266.6099999999997</v>
      </c>
      <c r="C398">
        <v>145532.68143369985</v>
      </c>
      <c r="H398" s="39"/>
    </row>
    <row r="399" spans="1:8" x14ac:dyDescent="0.25">
      <c r="A399">
        <v>10120095</v>
      </c>
      <c r="B399" s="11">
        <v>767.98</v>
      </c>
      <c r="C399">
        <v>32550.901363838242</v>
      </c>
      <c r="H399" s="39"/>
    </row>
    <row r="400" spans="1:8" x14ac:dyDescent="0.25">
      <c r="A400">
        <v>10120096</v>
      </c>
      <c r="B400" s="11">
        <v>3712.42</v>
      </c>
      <c r="C400">
        <v>143839.68455429378</v>
      </c>
      <c r="H400" s="39"/>
    </row>
    <row r="401" spans="1:8" x14ac:dyDescent="0.25">
      <c r="A401">
        <v>10120099</v>
      </c>
      <c r="B401" s="11">
        <v>22325.8</v>
      </c>
      <c r="C401">
        <v>854512.20546399988</v>
      </c>
      <c r="H401" s="39"/>
    </row>
    <row r="402" spans="1:8" x14ac:dyDescent="0.25">
      <c r="A402">
        <v>10120103</v>
      </c>
      <c r="B402" s="11">
        <v>4464</v>
      </c>
      <c r="C402">
        <v>169641.76228659999</v>
      </c>
      <c r="H402" s="39"/>
    </row>
    <row r="403" spans="1:8" x14ac:dyDescent="0.25">
      <c r="A403">
        <v>10120104</v>
      </c>
      <c r="B403" s="11">
        <v>3198.15</v>
      </c>
      <c r="C403">
        <v>122911.85651398674</v>
      </c>
      <c r="H403" s="39"/>
    </row>
    <row r="404" spans="1:8" x14ac:dyDescent="0.25">
      <c r="A404">
        <v>10120106</v>
      </c>
      <c r="B404" s="11">
        <v>4502</v>
      </c>
      <c r="C404">
        <v>160309.09247</v>
      </c>
      <c r="H404" s="39"/>
    </row>
    <row r="405" spans="1:8" x14ac:dyDescent="0.25">
      <c r="A405">
        <v>10120107</v>
      </c>
      <c r="B405" s="11">
        <v>3238.86</v>
      </c>
      <c r="C405">
        <v>123534.28793743401</v>
      </c>
      <c r="H405" s="39"/>
    </row>
    <row r="406" spans="1:8" x14ac:dyDescent="0.25">
      <c r="A406">
        <v>10120108</v>
      </c>
      <c r="B406" s="11">
        <v>3834.0199999999995</v>
      </c>
      <c r="C406">
        <v>148408.398906788</v>
      </c>
      <c r="H406" s="39"/>
    </row>
    <row r="407" spans="1:8" x14ac:dyDescent="0.25">
      <c r="A407">
        <v>10120111</v>
      </c>
      <c r="B407" s="11">
        <v>4578.4800000000005</v>
      </c>
      <c r="C407">
        <v>177621.82405437602</v>
      </c>
      <c r="H407" s="39"/>
    </row>
    <row r="408" spans="1:8" x14ac:dyDescent="0.25">
      <c r="A408">
        <v>10130001</v>
      </c>
      <c r="B408" s="11">
        <v>2781.9</v>
      </c>
      <c r="C408">
        <v>97695.227570328992</v>
      </c>
      <c r="H408" s="39"/>
    </row>
    <row r="409" spans="1:8" x14ac:dyDescent="0.25">
      <c r="A409">
        <v>10130002</v>
      </c>
      <c r="B409" s="11">
        <v>474.59999999999997</v>
      </c>
      <c r="C409">
        <v>15087.34211306</v>
      </c>
      <c r="H409" s="39"/>
    </row>
    <row r="410" spans="1:8" x14ac:dyDescent="0.25">
      <c r="A410">
        <v>10130003</v>
      </c>
      <c r="B410" s="11">
        <v>381.79999999999995</v>
      </c>
      <c r="C410">
        <v>12838.237330112501</v>
      </c>
      <c r="H410" s="39"/>
    </row>
    <row r="411" spans="1:8" x14ac:dyDescent="0.25">
      <c r="A411">
        <v>10130005</v>
      </c>
      <c r="B411" s="11">
        <v>181.90000000000003</v>
      </c>
      <c r="C411">
        <v>5911.5998303779998</v>
      </c>
      <c r="H411" s="39"/>
    </row>
    <row r="412" spans="1:8" x14ac:dyDescent="0.25">
      <c r="A412">
        <v>10130006</v>
      </c>
      <c r="B412" s="11">
        <v>2044.1999999999998</v>
      </c>
      <c r="C412">
        <v>71184.534181440002</v>
      </c>
      <c r="H412" s="39"/>
    </row>
    <row r="413" spans="1:8" x14ac:dyDescent="0.25">
      <c r="A413">
        <v>10130008</v>
      </c>
      <c r="B413" s="11">
        <v>3107.5000000000005</v>
      </c>
      <c r="C413">
        <v>120023.2165520212</v>
      </c>
      <c r="H413" s="39"/>
    </row>
    <row r="414" spans="1:8" x14ac:dyDescent="0.25">
      <c r="A414">
        <v>10130012</v>
      </c>
      <c r="B414" s="11">
        <v>14031.6</v>
      </c>
      <c r="C414">
        <v>513444.03088795196</v>
      </c>
      <c r="H414" s="39"/>
    </row>
    <row r="415" spans="1:8" x14ac:dyDescent="0.25">
      <c r="A415">
        <v>10130015</v>
      </c>
      <c r="B415" s="11">
        <v>2221.6999999999998</v>
      </c>
      <c r="C415">
        <v>82559.10559742499</v>
      </c>
      <c r="H415" s="39"/>
    </row>
    <row r="416" spans="1:8" x14ac:dyDescent="0.25">
      <c r="A416">
        <v>10130016</v>
      </c>
      <c r="B416" s="11">
        <v>843.1</v>
      </c>
      <c r="C416">
        <v>38247.466653702497</v>
      </c>
      <c r="H416" s="39"/>
    </row>
    <row r="417" spans="1:8" x14ac:dyDescent="0.25">
      <c r="A417">
        <v>10130018</v>
      </c>
      <c r="B417" s="11">
        <v>1127.5</v>
      </c>
      <c r="C417">
        <v>36595.208685043996</v>
      </c>
      <c r="H417" s="39"/>
    </row>
    <row r="418" spans="1:8" x14ac:dyDescent="0.25">
      <c r="A418">
        <v>10130020</v>
      </c>
      <c r="B418" s="11">
        <v>2387.3000000000002</v>
      </c>
      <c r="C418">
        <v>86063.612263695017</v>
      </c>
      <c r="H418" s="39"/>
    </row>
    <row r="419" spans="1:8" x14ac:dyDescent="0.25">
      <c r="A419">
        <v>10130025</v>
      </c>
      <c r="B419" s="11">
        <v>1772.5</v>
      </c>
      <c r="C419">
        <v>71434.646645711808</v>
      </c>
      <c r="H419" s="39"/>
    </row>
    <row r="420" spans="1:8" x14ac:dyDescent="0.25">
      <c r="A420">
        <v>10130026</v>
      </c>
      <c r="B420" s="11">
        <v>1084</v>
      </c>
      <c r="C420">
        <v>46232.518135441198</v>
      </c>
      <c r="H420" s="39"/>
    </row>
    <row r="421" spans="1:8" x14ac:dyDescent="0.25">
      <c r="A421">
        <v>10130030</v>
      </c>
      <c r="B421" s="11">
        <v>613.1</v>
      </c>
      <c r="C421">
        <v>19508.554029092498</v>
      </c>
      <c r="H421" s="39"/>
    </row>
    <row r="422" spans="1:8" x14ac:dyDescent="0.25">
      <c r="A422">
        <v>10130031</v>
      </c>
      <c r="B422" s="11">
        <v>686.3</v>
      </c>
      <c r="C422">
        <v>26878.237767867002</v>
      </c>
      <c r="H422" s="39"/>
    </row>
    <row r="423" spans="1:8" x14ac:dyDescent="0.25">
      <c r="A423">
        <v>10130032</v>
      </c>
      <c r="B423" s="11">
        <v>222.9</v>
      </c>
      <c r="C423">
        <v>10013.473200021199</v>
      </c>
      <c r="H423" s="39"/>
    </row>
    <row r="424" spans="1:8" x14ac:dyDescent="0.25">
      <c r="A424">
        <v>10130040</v>
      </c>
      <c r="B424" s="11">
        <v>4154.2000000000007</v>
      </c>
      <c r="C424">
        <v>106887.96415191999</v>
      </c>
      <c r="H424" s="39"/>
    </row>
    <row r="425" spans="1:8" x14ac:dyDescent="0.25">
      <c r="A425">
        <v>10130041</v>
      </c>
      <c r="B425" s="11">
        <v>253.10000000000002</v>
      </c>
      <c r="C425">
        <v>9244.0525054999998</v>
      </c>
      <c r="H425" s="39"/>
    </row>
    <row r="426" spans="1:8" x14ac:dyDescent="0.25">
      <c r="A426">
        <v>10130042</v>
      </c>
      <c r="B426" s="11">
        <v>67.900000000000006</v>
      </c>
      <c r="C426">
        <v>2542.5348070112004</v>
      </c>
      <c r="H426" s="39"/>
    </row>
    <row r="427" spans="1:8" x14ac:dyDescent="0.25">
      <c r="A427">
        <v>10130044</v>
      </c>
      <c r="B427" s="11">
        <v>11905.8</v>
      </c>
      <c r="C427">
        <v>494824.83373893</v>
      </c>
      <c r="H427" s="39"/>
    </row>
    <row r="428" spans="1:8" x14ac:dyDescent="0.25">
      <c r="A428">
        <v>10130046</v>
      </c>
      <c r="B428" s="11">
        <v>1232</v>
      </c>
      <c r="C428">
        <v>53247.337444391793</v>
      </c>
      <c r="H428" s="39"/>
    </row>
    <row r="429" spans="1:8" x14ac:dyDescent="0.25">
      <c r="A429">
        <v>10130047</v>
      </c>
      <c r="B429" s="11">
        <v>1032.2</v>
      </c>
      <c r="C429">
        <v>36271.454059351498</v>
      </c>
      <c r="H429" s="39"/>
    </row>
    <row r="430" spans="1:8" x14ac:dyDescent="0.25">
      <c r="A430">
        <v>10130052</v>
      </c>
      <c r="B430" s="11">
        <v>5475.2</v>
      </c>
      <c r="C430">
        <v>192328.78595988799</v>
      </c>
      <c r="H430" s="39"/>
    </row>
    <row r="431" spans="1:8" x14ac:dyDescent="0.25">
      <c r="A431">
        <v>10130054</v>
      </c>
      <c r="B431" s="11">
        <v>2003.8</v>
      </c>
      <c r="C431">
        <v>79292.566229952601</v>
      </c>
      <c r="H431" s="39"/>
    </row>
    <row r="432" spans="1:8" x14ac:dyDescent="0.25">
      <c r="A432">
        <v>10130058</v>
      </c>
      <c r="B432" s="11">
        <v>1276.8</v>
      </c>
      <c r="C432">
        <v>41882.306757275001</v>
      </c>
      <c r="H432" s="39"/>
    </row>
    <row r="433" spans="1:8" x14ac:dyDescent="0.25">
      <c r="A433">
        <v>10130065</v>
      </c>
      <c r="B433" s="11">
        <v>2707.9</v>
      </c>
      <c r="C433">
        <v>103949.84231897001</v>
      </c>
      <c r="H433" s="39"/>
    </row>
    <row r="434" spans="1:8" x14ac:dyDescent="0.25">
      <c r="A434">
        <v>10130073</v>
      </c>
      <c r="B434" s="11">
        <v>64.900000000000006</v>
      </c>
      <c r="C434">
        <v>2330.73</v>
      </c>
      <c r="H434" s="39"/>
    </row>
    <row r="435" spans="1:8" x14ac:dyDescent="0.25">
      <c r="A435">
        <v>10130074</v>
      </c>
      <c r="B435" s="11">
        <v>1104.0999999999999</v>
      </c>
      <c r="C435">
        <v>41063.656038396999</v>
      </c>
      <c r="H435" s="39"/>
    </row>
    <row r="436" spans="1:8" x14ac:dyDescent="0.25">
      <c r="A436">
        <v>10130077</v>
      </c>
      <c r="B436" s="11">
        <v>783</v>
      </c>
      <c r="C436">
        <v>27307.597484750004</v>
      </c>
      <c r="H436" s="39"/>
    </row>
    <row r="437" spans="1:8" x14ac:dyDescent="0.25">
      <c r="A437">
        <v>10130080</v>
      </c>
      <c r="B437" s="11">
        <v>680.80000000000007</v>
      </c>
      <c r="C437">
        <v>20647.159582963999</v>
      </c>
      <c r="H437" s="39"/>
    </row>
    <row r="438" spans="1:8" x14ac:dyDescent="0.25">
      <c r="A438">
        <v>10130083</v>
      </c>
      <c r="B438" s="11">
        <v>4479.8</v>
      </c>
      <c r="C438">
        <v>143986.06524380151</v>
      </c>
      <c r="H438" s="39"/>
    </row>
    <row r="439" spans="1:8" x14ac:dyDescent="0.25">
      <c r="A439">
        <v>10130085</v>
      </c>
      <c r="B439" s="11">
        <v>291.29999999999995</v>
      </c>
      <c r="C439">
        <v>10025.49</v>
      </c>
      <c r="H439" s="39"/>
    </row>
    <row r="440" spans="1:8" x14ac:dyDescent="0.25">
      <c r="A440">
        <v>10130093</v>
      </c>
      <c r="B440" s="11">
        <v>965</v>
      </c>
      <c r="C440">
        <v>36031.056803410997</v>
      </c>
      <c r="H440" s="110"/>
    </row>
    <row r="441" spans="1:8" x14ac:dyDescent="0.25">
      <c r="A441">
        <v>10130097</v>
      </c>
      <c r="B441" s="11">
        <v>248.3</v>
      </c>
      <c r="C441">
        <v>9486.6194959719996</v>
      </c>
      <c r="H441" s="39"/>
    </row>
    <row r="442" spans="1:8" x14ac:dyDescent="0.25">
      <c r="A442">
        <v>10130098</v>
      </c>
      <c r="B442" s="11">
        <v>3728.7</v>
      </c>
      <c r="C442">
        <v>138227.16267487398</v>
      </c>
      <c r="H442" s="48"/>
    </row>
    <row r="443" spans="1:8" x14ac:dyDescent="0.25">
      <c r="A443">
        <v>10130100</v>
      </c>
      <c r="B443" s="11">
        <v>542.5</v>
      </c>
      <c r="C443">
        <v>21495.8079782555</v>
      </c>
      <c r="H443" s="105"/>
    </row>
    <row r="444" spans="1:8" x14ac:dyDescent="0.25">
      <c r="A444">
        <v>10130102</v>
      </c>
      <c r="B444" s="11">
        <v>523.5</v>
      </c>
      <c r="C444">
        <v>17986.311435740001</v>
      </c>
      <c r="H444" s="191"/>
    </row>
    <row r="445" spans="1:8" x14ac:dyDescent="0.25">
      <c r="A445">
        <v>10130107</v>
      </c>
      <c r="B445" s="11">
        <v>1317.9</v>
      </c>
      <c r="C445">
        <v>49195.325918652503</v>
      </c>
      <c r="H445" s="105"/>
    </row>
    <row r="446" spans="1:8" x14ac:dyDescent="0.25">
      <c r="A446">
        <v>10140001</v>
      </c>
      <c r="B446" s="11">
        <v>1527.5000000000002</v>
      </c>
      <c r="C446">
        <v>52639.9929588206</v>
      </c>
      <c r="H446" s="192"/>
    </row>
    <row r="447" spans="1:8" x14ac:dyDescent="0.25">
      <c r="A447">
        <v>10140002</v>
      </c>
      <c r="B447" s="11">
        <v>3018.3</v>
      </c>
      <c r="C447">
        <v>110852.61915011001</v>
      </c>
      <c r="H447" s="39"/>
    </row>
    <row r="448" spans="1:8" x14ac:dyDescent="0.25">
      <c r="A448">
        <v>10140003</v>
      </c>
      <c r="B448" s="11">
        <v>4070.5</v>
      </c>
      <c r="C448">
        <v>160320.45089620998</v>
      </c>
      <c r="H448" s="39"/>
    </row>
    <row r="449" spans="1:8" x14ac:dyDescent="0.25">
      <c r="A449">
        <v>10140007</v>
      </c>
      <c r="B449" s="11">
        <v>2909.2000000000003</v>
      </c>
      <c r="C449">
        <v>102122.47060282002</v>
      </c>
      <c r="H449" s="39"/>
    </row>
    <row r="450" spans="1:8" x14ac:dyDescent="0.25">
      <c r="A450">
        <v>10140008</v>
      </c>
      <c r="B450" s="11">
        <v>3671.7000000000003</v>
      </c>
      <c r="C450">
        <v>135687.86442781999</v>
      </c>
      <c r="H450" s="39"/>
    </row>
    <row r="451" spans="1:8" x14ac:dyDescent="0.25">
      <c r="A451">
        <v>10140009</v>
      </c>
      <c r="B451" s="11">
        <v>3606.2999999999993</v>
      </c>
      <c r="C451">
        <v>142353.47917154999</v>
      </c>
      <c r="H451" s="39"/>
    </row>
    <row r="452" spans="1:8" x14ac:dyDescent="0.25">
      <c r="A452">
        <v>10140012</v>
      </c>
      <c r="B452" s="11">
        <v>3233.2000000000003</v>
      </c>
      <c r="C452">
        <v>132558.7504175604</v>
      </c>
      <c r="H452" s="39"/>
    </row>
    <row r="453" spans="1:8" x14ac:dyDescent="0.25">
      <c r="A453">
        <v>10140013</v>
      </c>
      <c r="B453" s="11">
        <v>4858.3999999999996</v>
      </c>
      <c r="C453">
        <v>181148.14950069005</v>
      </c>
      <c r="H453" s="39"/>
    </row>
    <row r="454" spans="1:8" x14ac:dyDescent="0.25">
      <c r="A454">
        <v>10140018</v>
      </c>
      <c r="B454" s="11">
        <v>2195.9999999999995</v>
      </c>
      <c r="C454">
        <v>91658.413620821186</v>
      </c>
      <c r="H454" s="39"/>
    </row>
    <row r="455" spans="1:8" x14ac:dyDescent="0.25">
      <c r="A455">
        <v>10140022</v>
      </c>
      <c r="B455" s="11">
        <v>1588.8000000000002</v>
      </c>
      <c r="C455">
        <v>57475.670275383003</v>
      </c>
      <c r="H455" s="39"/>
    </row>
    <row r="456" spans="1:8" x14ac:dyDescent="0.25">
      <c r="A456">
        <v>10140032</v>
      </c>
      <c r="B456" s="11">
        <v>337.8</v>
      </c>
      <c r="C456">
        <v>12061.567948845499</v>
      </c>
      <c r="H456" s="39"/>
    </row>
    <row r="457" spans="1:8" x14ac:dyDescent="0.25">
      <c r="A457">
        <v>10140033</v>
      </c>
      <c r="B457" s="11">
        <v>601.6</v>
      </c>
      <c r="C457">
        <v>20787.141033759999</v>
      </c>
      <c r="H457" s="39"/>
    </row>
    <row r="458" spans="1:8" x14ac:dyDescent="0.25">
      <c r="A458">
        <v>10140034</v>
      </c>
      <c r="B458" s="11">
        <v>1910.0000000000002</v>
      </c>
      <c r="C458">
        <v>62136.813860265</v>
      </c>
      <c r="H458" s="110"/>
    </row>
    <row r="459" spans="1:8" x14ac:dyDescent="0.25">
      <c r="A459">
        <v>10140039</v>
      </c>
      <c r="B459" s="11">
        <v>1277.5</v>
      </c>
      <c r="C459">
        <v>49860.781116140002</v>
      </c>
      <c r="H459" s="39"/>
    </row>
    <row r="460" spans="1:8" x14ac:dyDescent="0.25">
      <c r="A460">
        <v>10140043</v>
      </c>
      <c r="B460" s="11">
        <v>1088.4000000000001</v>
      </c>
      <c r="C460">
        <v>34092.6945389545</v>
      </c>
      <c r="H460" s="48"/>
    </row>
    <row r="461" spans="1:8" x14ac:dyDescent="0.25">
      <c r="A461">
        <v>10140045</v>
      </c>
      <c r="B461" s="11">
        <v>885.3</v>
      </c>
      <c r="C461">
        <v>32073.005303662001</v>
      </c>
      <c r="H461" s="39"/>
    </row>
    <row r="462" spans="1:8" x14ac:dyDescent="0.25">
      <c r="A462">
        <v>10140047</v>
      </c>
      <c r="B462" s="11">
        <v>1068.9000000000001</v>
      </c>
      <c r="C462">
        <v>47669.771288969801</v>
      </c>
      <c r="H462" s="39"/>
    </row>
    <row r="463" spans="1:8" x14ac:dyDescent="0.25">
      <c r="A463">
        <v>10140048</v>
      </c>
      <c r="B463" s="11">
        <v>363.9</v>
      </c>
      <c r="C463">
        <v>13822.5656598148</v>
      </c>
      <c r="H463" s="39"/>
    </row>
    <row r="464" spans="1:8" x14ac:dyDescent="0.25">
      <c r="A464">
        <v>10140054</v>
      </c>
      <c r="B464" s="11">
        <v>2013.4</v>
      </c>
      <c r="C464">
        <v>81483.17031952001</v>
      </c>
      <c r="H464" s="39"/>
    </row>
    <row r="465" spans="1:8" x14ac:dyDescent="0.25">
      <c r="A465">
        <v>10140055</v>
      </c>
      <c r="B465" s="11">
        <v>1473.1999999999998</v>
      </c>
      <c r="C465">
        <v>56212.012815420007</v>
      </c>
      <c r="H465" s="39"/>
    </row>
    <row r="466" spans="1:8" x14ac:dyDescent="0.25">
      <c r="A466">
        <v>10140066</v>
      </c>
      <c r="B466" s="11">
        <v>1094.7</v>
      </c>
      <c r="C466">
        <v>49321.346946362406</v>
      </c>
      <c r="H466" s="39"/>
    </row>
    <row r="467" spans="1:8" x14ac:dyDescent="0.25">
      <c r="A467">
        <v>10140068</v>
      </c>
      <c r="B467" s="11">
        <v>817.19999999999993</v>
      </c>
      <c r="C467">
        <v>32133.455849034002</v>
      </c>
      <c r="H467" s="39"/>
    </row>
    <row r="468" spans="1:8" x14ac:dyDescent="0.25">
      <c r="A468">
        <v>10140069</v>
      </c>
      <c r="B468" s="11">
        <v>1737.8000000000002</v>
      </c>
      <c r="C468">
        <v>64363.051479430003</v>
      </c>
      <c r="H468" s="39"/>
    </row>
    <row r="469" spans="1:8" x14ac:dyDescent="0.25">
      <c r="A469">
        <v>10140071</v>
      </c>
      <c r="B469" s="11">
        <v>6365.4999999999991</v>
      </c>
      <c r="C469">
        <v>215830.37615476002</v>
      </c>
      <c r="H469" s="39"/>
    </row>
    <row r="470" spans="1:8" x14ac:dyDescent="0.25">
      <c r="A470">
        <v>10140083</v>
      </c>
      <c r="B470" s="11">
        <v>2342.4000000000005</v>
      </c>
      <c r="C470">
        <v>93283.35401792101</v>
      </c>
      <c r="H470" s="39"/>
    </row>
    <row r="471" spans="1:8" x14ac:dyDescent="0.25">
      <c r="A471">
        <v>10140087</v>
      </c>
      <c r="B471" s="11">
        <v>1061.5</v>
      </c>
      <c r="C471">
        <v>40171.902901519999</v>
      </c>
      <c r="H471" s="39"/>
    </row>
    <row r="472" spans="1:8" x14ac:dyDescent="0.25">
      <c r="A472">
        <v>10140095</v>
      </c>
      <c r="B472" s="11">
        <v>1475.1000000000001</v>
      </c>
      <c r="C472">
        <v>62764.764456973702</v>
      </c>
      <c r="H472" s="39"/>
    </row>
    <row r="473" spans="1:8" x14ac:dyDescent="0.25">
      <c r="A473">
        <v>10140098</v>
      </c>
      <c r="B473" s="11">
        <v>6628.0000000000009</v>
      </c>
      <c r="C473">
        <v>256693.95636282122</v>
      </c>
      <c r="H473" s="39"/>
    </row>
    <row r="474" spans="1:8" x14ac:dyDescent="0.25">
      <c r="A474">
        <v>10140099</v>
      </c>
      <c r="B474" s="11">
        <v>858.4</v>
      </c>
      <c r="C474">
        <v>29751.809343880002</v>
      </c>
      <c r="H474" s="39"/>
    </row>
    <row r="475" spans="1:8" x14ac:dyDescent="0.25">
      <c r="A475">
        <v>10140109</v>
      </c>
      <c r="B475" s="11">
        <v>1414.4</v>
      </c>
      <c r="C475">
        <v>52849.395211400006</v>
      </c>
      <c r="H475" s="39"/>
    </row>
    <row r="476" spans="1:8" x14ac:dyDescent="0.25">
      <c r="A476">
        <v>10140120</v>
      </c>
      <c r="B476" s="11">
        <v>1594.2</v>
      </c>
      <c r="C476">
        <v>62750.70641015</v>
      </c>
      <c r="H476" s="39"/>
    </row>
    <row r="477" spans="1:8" x14ac:dyDescent="0.25">
      <c r="A477">
        <v>10140126</v>
      </c>
      <c r="B477" s="11">
        <v>574.79999999999995</v>
      </c>
      <c r="C477">
        <v>20385.719417520002</v>
      </c>
      <c r="H477" s="39"/>
    </row>
    <row r="478" spans="1:8" x14ac:dyDescent="0.25">
      <c r="A478">
        <v>10140129</v>
      </c>
      <c r="B478" s="11">
        <v>691</v>
      </c>
      <c r="C478">
        <v>23742.462337862002</v>
      </c>
      <c r="H478" s="39"/>
    </row>
    <row r="479" spans="1:8" x14ac:dyDescent="0.25">
      <c r="A479">
        <v>10140131</v>
      </c>
      <c r="B479" s="11">
        <v>758.6</v>
      </c>
      <c r="C479">
        <v>26395.814138749498</v>
      </c>
      <c r="H479" s="39"/>
    </row>
    <row r="480" spans="1:8" x14ac:dyDescent="0.25">
      <c r="A480">
        <v>10140132</v>
      </c>
      <c r="B480" s="11">
        <v>1150.9000000000001</v>
      </c>
      <c r="C480">
        <v>39537.422348500004</v>
      </c>
      <c r="H480" s="39"/>
    </row>
    <row r="481" spans="1:8" x14ac:dyDescent="0.25">
      <c r="A481">
        <v>10140135</v>
      </c>
      <c r="B481" s="11">
        <v>809.00000000000011</v>
      </c>
      <c r="C481">
        <v>30497.497748300004</v>
      </c>
      <c r="H481" s="39"/>
    </row>
    <row r="482" spans="1:8" x14ac:dyDescent="0.25">
      <c r="A482">
        <v>10140137</v>
      </c>
      <c r="B482" s="11">
        <v>2280.5000000000005</v>
      </c>
      <c r="C482">
        <v>89796.566684562204</v>
      </c>
      <c r="H482" s="39"/>
    </row>
    <row r="483" spans="1:8" x14ac:dyDescent="0.25">
      <c r="A483">
        <v>10140139</v>
      </c>
      <c r="B483" s="11">
        <v>635.70000000000005</v>
      </c>
      <c r="C483">
        <v>20643.508354261503</v>
      </c>
      <c r="H483" s="39"/>
    </row>
    <row r="484" spans="1:8" x14ac:dyDescent="0.25">
      <c r="A484">
        <v>10140141</v>
      </c>
      <c r="B484" s="11">
        <v>1563.0000000000002</v>
      </c>
      <c r="C484">
        <v>68486.826759475007</v>
      </c>
      <c r="H484" s="39"/>
    </row>
    <row r="485" spans="1:8" x14ac:dyDescent="0.25">
      <c r="A485">
        <v>10140152</v>
      </c>
      <c r="B485" s="11">
        <v>145.19999999999999</v>
      </c>
      <c r="C485">
        <v>5386.6085299400002</v>
      </c>
      <c r="H485" s="39"/>
    </row>
    <row r="486" spans="1:8" x14ac:dyDescent="0.25">
      <c r="A486">
        <v>10140153</v>
      </c>
      <c r="B486" s="11">
        <v>788.2</v>
      </c>
      <c r="C486">
        <v>26825.234693000002</v>
      </c>
      <c r="H486" s="39"/>
    </row>
    <row r="487" spans="1:8" x14ac:dyDescent="0.25">
      <c r="A487">
        <v>10140156</v>
      </c>
      <c r="B487" s="11">
        <v>2336</v>
      </c>
      <c r="C487">
        <v>94508.614522561693</v>
      </c>
      <c r="H487" s="39"/>
    </row>
    <row r="488" spans="1:8" x14ac:dyDescent="0.25">
      <c r="A488">
        <v>10140166</v>
      </c>
      <c r="B488" s="11">
        <v>1370.7</v>
      </c>
      <c r="C488">
        <v>56331.632653640001</v>
      </c>
      <c r="H488" s="39"/>
    </row>
    <row r="489" spans="1:8" x14ac:dyDescent="0.25">
      <c r="A489">
        <v>10140167</v>
      </c>
      <c r="B489" s="11">
        <v>4030.2000000000003</v>
      </c>
      <c r="C489">
        <v>162753.30454415031</v>
      </c>
      <c r="H489" s="39"/>
    </row>
    <row r="490" spans="1:8" x14ac:dyDescent="0.25">
      <c r="A490">
        <v>10140170</v>
      </c>
      <c r="B490" s="11">
        <v>2336.4</v>
      </c>
      <c r="C490">
        <v>97715.703180404817</v>
      </c>
      <c r="H490" s="39"/>
    </row>
    <row r="491" spans="1:8" x14ac:dyDescent="0.25">
      <c r="A491">
        <v>10140173</v>
      </c>
      <c r="B491" s="11">
        <v>2945.7999999999997</v>
      </c>
      <c r="C491">
        <v>108264.65724734</v>
      </c>
      <c r="H491" s="39"/>
    </row>
    <row r="492" spans="1:8" x14ac:dyDescent="0.25">
      <c r="A492">
        <v>10140174</v>
      </c>
      <c r="B492" s="11">
        <v>65.099999999999994</v>
      </c>
      <c r="C492">
        <v>2568.7299999999996</v>
      </c>
      <c r="H492" s="110"/>
    </row>
    <row r="493" spans="1:8" x14ac:dyDescent="0.25">
      <c r="A493">
        <v>10140176</v>
      </c>
      <c r="B493" s="11">
        <v>812.49999999999989</v>
      </c>
      <c r="C493">
        <v>28924.16133915</v>
      </c>
      <c r="H493" s="39"/>
    </row>
    <row r="494" spans="1:8" x14ac:dyDescent="0.25">
      <c r="A494">
        <v>10140179</v>
      </c>
      <c r="B494" s="11">
        <v>4894.7</v>
      </c>
      <c r="C494">
        <v>187814.04928505002</v>
      </c>
      <c r="H494" s="48"/>
    </row>
    <row r="495" spans="1:8" x14ac:dyDescent="0.25">
      <c r="A495">
        <v>10140180</v>
      </c>
      <c r="B495" s="11">
        <v>603.80000000000007</v>
      </c>
      <c r="C495">
        <v>22851.845061530003</v>
      </c>
      <c r="H495" s="39"/>
    </row>
    <row r="496" spans="1:8" x14ac:dyDescent="0.25">
      <c r="A496">
        <v>10140181</v>
      </c>
      <c r="B496" s="11">
        <v>59.5</v>
      </c>
      <c r="C496">
        <v>2434.44</v>
      </c>
      <c r="H496" s="39"/>
    </row>
    <row r="497" spans="1:8" x14ac:dyDescent="0.25">
      <c r="A497">
        <v>10140185</v>
      </c>
      <c r="B497" s="11">
        <v>5390.9999999999991</v>
      </c>
      <c r="C497">
        <v>182367.68106065848</v>
      </c>
      <c r="H497" s="39"/>
    </row>
    <row r="498" spans="1:8" x14ac:dyDescent="0.25">
      <c r="A498">
        <v>10180001</v>
      </c>
      <c r="B498" s="11">
        <v>3844.8999999999996</v>
      </c>
      <c r="C498">
        <v>160555.43450185002</v>
      </c>
      <c r="H498" s="39"/>
    </row>
    <row r="499" spans="1:8" x14ac:dyDescent="0.25">
      <c r="A499">
        <v>10220001</v>
      </c>
      <c r="B499" s="11">
        <v>1905</v>
      </c>
      <c r="C499">
        <v>61039.94</v>
      </c>
      <c r="H499" s="39"/>
    </row>
    <row r="500" spans="1:8" x14ac:dyDescent="0.25">
      <c r="A500">
        <v>10240001</v>
      </c>
      <c r="B500" s="11">
        <v>5809</v>
      </c>
      <c r="C500">
        <v>206160.20061599999</v>
      </c>
      <c r="H500" s="39"/>
    </row>
    <row r="501" spans="1:8" x14ac:dyDescent="0.25">
      <c r="A501">
        <v>10250001</v>
      </c>
      <c r="B501" s="11">
        <v>4917.8999999999996</v>
      </c>
      <c r="C501">
        <v>218353.54914724117</v>
      </c>
      <c r="H501" s="39"/>
    </row>
    <row r="502" spans="1:8" x14ac:dyDescent="0.25">
      <c r="A502">
        <v>10260001</v>
      </c>
      <c r="B502" s="11">
        <v>4396.8499999999995</v>
      </c>
      <c r="C502">
        <v>164924.83437138502</v>
      </c>
      <c r="H502" s="39"/>
    </row>
    <row r="503" spans="1:8" x14ac:dyDescent="0.25">
      <c r="A503">
        <v>10290001</v>
      </c>
      <c r="B503" s="11">
        <v>7627</v>
      </c>
      <c r="C503">
        <v>264571.17990950699</v>
      </c>
      <c r="H503" s="39"/>
    </row>
    <row r="504" spans="1:8" x14ac:dyDescent="0.25">
      <c r="A504">
        <v>10300001</v>
      </c>
      <c r="B504" s="11">
        <v>3139.8999999999996</v>
      </c>
      <c r="C504">
        <v>146325.38960962</v>
      </c>
      <c r="H504" s="39"/>
    </row>
    <row r="505" spans="1:8" x14ac:dyDescent="0.25">
      <c r="A505">
        <v>10310001</v>
      </c>
      <c r="B505" s="11">
        <v>3650.6</v>
      </c>
      <c r="C505">
        <v>141169.261795067</v>
      </c>
      <c r="H505" s="39"/>
    </row>
    <row r="506" spans="1:8" x14ac:dyDescent="0.25">
      <c r="A506">
        <v>10320001</v>
      </c>
      <c r="B506" s="11">
        <v>9274.7000000000007</v>
      </c>
      <c r="C506">
        <v>348326.32366488001</v>
      </c>
      <c r="H506" s="39"/>
    </row>
    <row r="507" spans="1:8" x14ac:dyDescent="0.25">
      <c r="A507">
        <v>10340001</v>
      </c>
      <c r="B507" s="11">
        <v>6501.2000000000007</v>
      </c>
      <c r="C507">
        <v>240666.25202896999</v>
      </c>
      <c r="H507" s="39"/>
    </row>
    <row r="508" spans="1:8" x14ac:dyDescent="0.25">
      <c r="A508">
        <v>10350001</v>
      </c>
      <c r="B508" s="11">
        <v>7322.2</v>
      </c>
      <c r="C508">
        <v>274616.60591459996</v>
      </c>
      <c r="H508" s="39"/>
    </row>
    <row r="509" spans="1:8" x14ac:dyDescent="0.25">
      <c r="A509">
        <v>10360001</v>
      </c>
      <c r="B509" s="11">
        <v>9813.7000000000007</v>
      </c>
      <c r="C509">
        <v>364937.7770294646</v>
      </c>
      <c r="H509" s="39"/>
    </row>
    <row r="510" spans="1:8" x14ac:dyDescent="0.25">
      <c r="A510">
        <v>10370001</v>
      </c>
      <c r="B510" s="11">
        <v>235</v>
      </c>
      <c r="C510">
        <v>7708.58256824</v>
      </c>
      <c r="H510" s="39"/>
    </row>
    <row r="511" spans="1:8" x14ac:dyDescent="0.25">
      <c r="A511">
        <v>10380001</v>
      </c>
      <c r="B511" s="11">
        <v>2629</v>
      </c>
      <c r="C511">
        <v>91038.701455999995</v>
      </c>
      <c r="H511" s="39"/>
    </row>
    <row r="512" spans="1:8" x14ac:dyDescent="0.25">
      <c r="A512">
        <v>10390001</v>
      </c>
      <c r="B512" s="11">
        <v>1894</v>
      </c>
      <c r="C512">
        <v>65067.050192000002</v>
      </c>
      <c r="H512" s="39"/>
    </row>
    <row r="513" spans="1:8" x14ac:dyDescent="0.25">
      <c r="A513">
        <v>10400001</v>
      </c>
      <c r="B513" s="11">
        <v>8112</v>
      </c>
      <c r="C513">
        <v>281688.04083200003</v>
      </c>
      <c r="H513" s="39"/>
    </row>
    <row r="514" spans="1:8" x14ac:dyDescent="0.25">
      <c r="A514">
        <v>10410001</v>
      </c>
      <c r="B514" s="11">
        <v>11974</v>
      </c>
      <c r="C514">
        <v>402930.83068000001</v>
      </c>
      <c r="H514" s="39"/>
    </row>
    <row r="515" spans="1:8" x14ac:dyDescent="0.25">
      <c r="A515">
        <v>10440001</v>
      </c>
      <c r="B515" s="11">
        <v>590.49999999999989</v>
      </c>
      <c r="C515">
        <v>20523.983638682002</v>
      </c>
      <c r="H515" s="39"/>
    </row>
    <row r="516" spans="1:8" x14ac:dyDescent="0.25">
      <c r="A516">
        <v>10460001</v>
      </c>
      <c r="B516" s="11">
        <v>1257.7000000000003</v>
      </c>
      <c r="C516">
        <v>44041.737615544502</v>
      </c>
      <c r="H516" s="39"/>
    </row>
    <row r="517" spans="1:8" x14ac:dyDescent="0.25">
      <c r="A517">
        <v>10460002</v>
      </c>
      <c r="B517" s="11">
        <v>2308.4499999999998</v>
      </c>
      <c r="C517">
        <v>69547.225116022251</v>
      </c>
      <c r="H517" s="39"/>
    </row>
    <row r="518" spans="1:8" x14ac:dyDescent="0.25">
      <c r="A518">
        <v>10480001</v>
      </c>
      <c r="B518" s="11">
        <v>1359</v>
      </c>
      <c r="C518">
        <v>44476.210114160502</v>
      </c>
      <c r="H518" s="39"/>
    </row>
    <row r="519" spans="1:8" x14ac:dyDescent="0.25">
      <c r="A519">
        <v>10480002</v>
      </c>
      <c r="B519" s="11">
        <v>918.3</v>
      </c>
      <c r="C519">
        <v>30612.071608620496</v>
      </c>
      <c r="H519" s="39"/>
    </row>
    <row r="520" spans="1:8" x14ac:dyDescent="0.25">
      <c r="A520">
        <v>10480003</v>
      </c>
      <c r="B520" s="11">
        <v>3500</v>
      </c>
      <c r="C520">
        <v>115123.78499604001</v>
      </c>
      <c r="H520" s="39"/>
    </row>
    <row r="521" spans="1:8" x14ac:dyDescent="0.25">
      <c r="A521">
        <v>10480005</v>
      </c>
      <c r="B521" s="11">
        <v>1356.7</v>
      </c>
      <c r="C521">
        <v>50928.720556089</v>
      </c>
      <c r="H521" s="39"/>
    </row>
    <row r="522" spans="1:8" x14ac:dyDescent="0.25">
      <c r="A522">
        <v>10480008</v>
      </c>
      <c r="B522" s="11">
        <v>1481.6000000000001</v>
      </c>
      <c r="C522">
        <v>55042.519154788009</v>
      </c>
      <c r="H522" s="39"/>
    </row>
    <row r="523" spans="1:8" x14ac:dyDescent="0.25">
      <c r="A523">
        <v>10480012</v>
      </c>
      <c r="B523" s="11">
        <v>1936.7999999999997</v>
      </c>
      <c r="C523">
        <v>66403.657211832004</v>
      </c>
      <c r="H523" s="39"/>
    </row>
    <row r="524" spans="1:8" x14ac:dyDescent="0.25">
      <c r="A524">
        <v>10480016</v>
      </c>
      <c r="B524" s="11">
        <v>299.79999999999995</v>
      </c>
      <c r="C524">
        <v>9902.2285156245016</v>
      </c>
      <c r="H524" s="39"/>
    </row>
    <row r="525" spans="1:8" x14ac:dyDescent="0.25">
      <c r="A525">
        <v>10480022</v>
      </c>
      <c r="B525" s="11">
        <v>2397.4</v>
      </c>
      <c r="C525">
        <v>87256.813370017509</v>
      </c>
      <c r="H525" s="39"/>
    </row>
    <row r="526" spans="1:8" x14ac:dyDescent="0.25">
      <c r="A526">
        <v>10480023</v>
      </c>
      <c r="B526" s="11">
        <v>4920.6000000000004</v>
      </c>
      <c r="C526">
        <v>189351.99310303709</v>
      </c>
      <c r="H526" s="39"/>
    </row>
    <row r="527" spans="1:8" x14ac:dyDescent="0.25">
      <c r="A527">
        <v>10480028</v>
      </c>
      <c r="B527" s="11">
        <v>1491.2</v>
      </c>
      <c r="C527">
        <v>51469.457726253502</v>
      </c>
      <c r="H527" s="39"/>
    </row>
    <row r="528" spans="1:8" x14ac:dyDescent="0.25">
      <c r="A528">
        <v>10480034</v>
      </c>
      <c r="B528" s="11">
        <v>1102.5</v>
      </c>
      <c r="C528">
        <v>40421.333728069498</v>
      </c>
      <c r="H528" s="39"/>
    </row>
    <row r="529" spans="1:8" x14ac:dyDescent="0.25">
      <c r="A529">
        <v>10500001</v>
      </c>
      <c r="B529" s="11">
        <v>3676</v>
      </c>
      <c r="C529">
        <v>115999.20523200001</v>
      </c>
      <c r="H529" s="39"/>
    </row>
    <row r="530" spans="1:8" x14ac:dyDescent="0.25">
      <c r="A530">
        <v>10510001</v>
      </c>
      <c r="B530" s="11">
        <v>8000.8999999999987</v>
      </c>
      <c r="C530">
        <v>295513.35073397006</v>
      </c>
      <c r="H530" s="39"/>
    </row>
    <row r="531" spans="1:8" x14ac:dyDescent="0.25">
      <c r="A531">
        <v>10510002</v>
      </c>
      <c r="B531" s="11">
        <v>6102.9</v>
      </c>
      <c r="C531">
        <v>245742.54795933998</v>
      </c>
      <c r="H531" s="39"/>
    </row>
    <row r="532" spans="1:8" x14ac:dyDescent="0.25">
      <c r="A532">
        <v>10510004</v>
      </c>
      <c r="B532" s="11">
        <v>9105.2999999999993</v>
      </c>
      <c r="C532">
        <v>338916.18189031002</v>
      </c>
      <c r="H532" s="39"/>
    </row>
    <row r="533" spans="1:8" x14ac:dyDescent="0.25">
      <c r="A533">
        <v>10520006</v>
      </c>
      <c r="B533" s="11">
        <v>106447</v>
      </c>
      <c r="C533">
        <v>3825128.9933680003</v>
      </c>
      <c r="H533" s="39"/>
    </row>
    <row r="534" spans="1:8" x14ac:dyDescent="0.25">
      <c r="A534">
        <v>10530001</v>
      </c>
      <c r="B534" s="11">
        <v>5013.25</v>
      </c>
      <c r="C534">
        <v>207421.07823645923</v>
      </c>
      <c r="H534" s="39"/>
    </row>
    <row r="535" spans="1:8" x14ac:dyDescent="0.25">
      <c r="A535">
        <v>10530002</v>
      </c>
      <c r="B535" s="11">
        <v>5342.4000000000005</v>
      </c>
      <c r="C535">
        <v>220511.59928766181</v>
      </c>
      <c r="H535" s="39"/>
    </row>
    <row r="536" spans="1:8" x14ac:dyDescent="0.25">
      <c r="A536">
        <v>10530003</v>
      </c>
      <c r="B536" s="11">
        <v>2402.65</v>
      </c>
      <c r="C536">
        <v>102801.34648414161</v>
      </c>
      <c r="H536" s="39"/>
    </row>
    <row r="537" spans="1:8" x14ac:dyDescent="0.25">
      <c r="A537">
        <v>10530005</v>
      </c>
      <c r="B537" s="11">
        <v>1830.3000000000002</v>
      </c>
      <c r="C537">
        <v>81202.409939276491</v>
      </c>
      <c r="H537" s="39"/>
    </row>
    <row r="538" spans="1:8" x14ac:dyDescent="0.25">
      <c r="A538">
        <v>10530006</v>
      </c>
      <c r="B538" s="11">
        <v>4752.05</v>
      </c>
      <c r="C538">
        <v>188887.02415571915</v>
      </c>
      <c r="H538" s="39"/>
    </row>
    <row r="539" spans="1:8" x14ac:dyDescent="0.25">
      <c r="A539">
        <v>10530007</v>
      </c>
      <c r="B539" s="11">
        <v>1688.4000000000003</v>
      </c>
      <c r="C539">
        <v>74814.653842441796</v>
      </c>
      <c r="H539" s="39"/>
    </row>
    <row r="540" spans="1:8" x14ac:dyDescent="0.25">
      <c r="A540">
        <v>10530008</v>
      </c>
      <c r="B540" s="11">
        <v>1373.1999999999998</v>
      </c>
      <c r="C540">
        <v>67153.0381226584</v>
      </c>
      <c r="H540" s="39"/>
    </row>
    <row r="541" spans="1:8" x14ac:dyDescent="0.25">
      <c r="A541">
        <v>10530009</v>
      </c>
      <c r="B541" s="11">
        <v>33505.35</v>
      </c>
      <c r="C541">
        <v>1318573.5695423</v>
      </c>
      <c r="H541" s="39"/>
    </row>
    <row r="542" spans="1:8" x14ac:dyDescent="0.25">
      <c r="A542">
        <v>10530010</v>
      </c>
      <c r="B542" s="11">
        <v>13217.599999999999</v>
      </c>
      <c r="C542">
        <v>544584.68035588216</v>
      </c>
      <c r="H542" s="39"/>
    </row>
    <row r="543" spans="1:8" x14ac:dyDescent="0.25">
      <c r="A543">
        <v>10530013</v>
      </c>
      <c r="B543" s="11">
        <v>2345.9499999999998</v>
      </c>
      <c r="C543">
        <v>106895.85176024801</v>
      </c>
      <c r="H543" s="39"/>
    </row>
    <row r="544" spans="1:8" x14ac:dyDescent="0.25">
      <c r="A544">
        <v>10530014</v>
      </c>
      <c r="B544" s="11">
        <v>4818</v>
      </c>
      <c r="C544">
        <v>177870.24314954001</v>
      </c>
      <c r="H544" s="39"/>
    </row>
    <row r="545" spans="1:8" x14ac:dyDescent="0.25">
      <c r="A545">
        <v>10530015</v>
      </c>
      <c r="B545" s="11">
        <v>984.75</v>
      </c>
      <c r="C545">
        <v>42316.251265455503</v>
      </c>
      <c r="H545" s="39"/>
    </row>
    <row r="546" spans="1:8" x14ac:dyDescent="0.25">
      <c r="A546">
        <v>10530016</v>
      </c>
      <c r="B546" s="11">
        <v>2536.3999999999996</v>
      </c>
      <c r="C546">
        <v>96181.857412110505</v>
      </c>
      <c r="H546" s="39"/>
    </row>
    <row r="547" spans="1:8" x14ac:dyDescent="0.25">
      <c r="A547">
        <v>10530017</v>
      </c>
      <c r="B547" s="11">
        <v>7301.85</v>
      </c>
      <c r="C547">
        <v>310643.87204243499</v>
      </c>
      <c r="H547" s="39"/>
    </row>
    <row r="548" spans="1:8" x14ac:dyDescent="0.25">
      <c r="A548">
        <v>10530018</v>
      </c>
      <c r="B548" s="11">
        <v>4053.4</v>
      </c>
      <c r="C548">
        <v>169021.81401131768</v>
      </c>
      <c r="H548" s="39"/>
    </row>
    <row r="549" spans="1:8" x14ac:dyDescent="0.25">
      <c r="A549">
        <v>10530019</v>
      </c>
      <c r="B549" s="11">
        <v>3378.4</v>
      </c>
      <c r="C549">
        <v>137907.17625782068</v>
      </c>
      <c r="H549" s="39"/>
    </row>
    <row r="550" spans="1:8" x14ac:dyDescent="0.25">
      <c r="A550">
        <v>10530025</v>
      </c>
      <c r="B550" s="11">
        <v>4936.6499999999996</v>
      </c>
      <c r="C550">
        <v>193547.406438754</v>
      </c>
      <c r="H550" s="39"/>
    </row>
    <row r="551" spans="1:8" x14ac:dyDescent="0.25">
      <c r="A551">
        <v>10530029</v>
      </c>
      <c r="B551" s="11">
        <v>6627.15</v>
      </c>
      <c r="C551">
        <v>274739.42445164663</v>
      </c>
      <c r="H551" s="39"/>
    </row>
    <row r="552" spans="1:8" x14ac:dyDescent="0.25">
      <c r="A552">
        <v>10530030</v>
      </c>
      <c r="B552" s="11">
        <v>1191.0999999999999</v>
      </c>
      <c r="C552">
        <v>45847.840982296751</v>
      </c>
      <c r="H552" s="39"/>
    </row>
    <row r="553" spans="1:8" x14ac:dyDescent="0.25">
      <c r="A553">
        <v>10530031</v>
      </c>
      <c r="B553" s="11">
        <v>6541.5</v>
      </c>
      <c r="C553">
        <v>270454.56918199599</v>
      </c>
      <c r="H553" s="39"/>
    </row>
    <row r="554" spans="1:8" x14ac:dyDescent="0.25">
      <c r="A554">
        <v>10530032</v>
      </c>
      <c r="B554" s="11">
        <v>1806.2999999999997</v>
      </c>
      <c r="C554">
        <v>90830.186201703909</v>
      </c>
      <c r="H554" s="39"/>
    </row>
    <row r="555" spans="1:8" x14ac:dyDescent="0.25">
      <c r="A555">
        <v>10530033</v>
      </c>
      <c r="B555" s="11">
        <v>3833.95</v>
      </c>
      <c r="C555">
        <v>158244.8947338523</v>
      </c>
      <c r="H555" s="39"/>
    </row>
    <row r="556" spans="1:8" x14ac:dyDescent="0.25">
      <c r="A556">
        <v>10530034</v>
      </c>
      <c r="B556" s="11">
        <v>3686.3500000000004</v>
      </c>
      <c r="C556">
        <v>191297.62246437947</v>
      </c>
      <c r="H556" s="39"/>
    </row>
    <row r="557" spans="1:8" x14ac:dyDescent="0.25">
      <c r="A557">
        <v>10530035</v>
      </c>
      <c r="B557" s="11">
        <v>2339.5</v>
      </c>
      <c r="C557">
        <v>99718.885536738351</v>
      </c>
      <c r="H557" s="39"/>
    </row>
    <row r="558" spans="1:8" x14ac:dyDescent="0.25">
      <c r="A558">
        <v>10530038</v>
      </c>
      <c r="B558" s="11">
        <v>2500.1</v>
      </c>
      <c r="C558">
        <v>99940.154812502995</v>
      </c>
      <c r="H558" s="39"/>
    </row>
    <row r="559" spans="1:8" x14ac:dyDescent="0.25">
      <c r="A559">
        <v>10530040</v>
      </c>
      <c r="B559" s="11">
        <v>2319.5</v>
      </c>
      <c r="C559">
        <v>99833.404818135372</v>
      </c>
      <c r="H559" s="39"/>
    </row>
    <row r="560" spans="1:8" x14ac:dyDescent="0.25">
      <c r="A560">
        <v>10530041</v>
      </c>
      <c r="B560" s="11">
        <v>6299.45</v>
      </c>
      <c r="C560">
        <v>251829.72909042012</v>
      </c>
      <c r="H560" s="39"/>
    </row>
    <row r="561" spans="1:8" x14ac:dyDescent="0.25">
      <c r="A561">
        <v>10530044</v>
      </c>
      <c r="B561" s="11">
        <v>3556.45</v>
      </c>
      <c r="C561">
        <v>157359.79105603971</v>
      </c>
      <c r="H561" s="39"/>
    </row>
    <row r="562" spans="1:8" x14ac:dyDescent="0.25">
      <c r="A562">
        <v>10530046</v>
      </c>
      <c r="B562" s="11">
        <v>1548.1</v>
      </c>
      <c r="C562">
        <v>74305.924204600495</v>
      </c>
      <c r="H562" s="39"/>
    </row>
    <row r="563" spans="1:8" x14ac:dyDescent="0.25">
      <c r="A563">
        <v>10530047</v>
      </c>
      <c r="B563" s="11">
        <v>1105.6500000000001</v>
      </c>
      <c r="C563">
        <v>37397.667883200753</v>
      </c>
      <c r="H563" s="39"/>
    </row>
    <row r="564" spans="1:8" x14ac:dyDescent="0.25">
      <c r="A564">
        <v>10530048</v>
      </c>
      <c r="B564" s="11">
        <v>1437</v>
      </c>
      <c r="C564">
        <v>53876.72260239374</v>
      </c>
      <c r="H564" s="39"/>
    </row>
    <row r="565" spans="1:8" x14ac:dyDescent="0.25">
      <c r="A565">
        <v>10530049</v>
      </c>
      <c r="B565" s="11">
        <v>7561.4</v>
      </c>
      <c r="C565">
        <v>283043.59369528701</v>
      </c>
      <c r="H565" s="39"/>
    </row>
    <row r="566" spans="1:8" x14ac:dyDescent="0.25">
      <c r="A566">
        <v>10530050</v>
      </c>
      <c r="B566" s="11">
        <v>738.84999999999991</v>
      </c>
      <c r="C566">
        <v>33896.209246742961</v>
      </c>
      <c r="H566" s="39"/>
    </row>
    <row r="567" spans="1:8" x14ac:dyDescent="0.25">
      <c r="A567">
        <v>10530055</v>
      </c>
      <c r="B567" s="11">
        <v>7019.1500000000015</v>
      </c>
      <c r="C567">
        <v>276027.03529924224</v>
      </c>
      <c r="H567" s="39"/>
    </row>
    <row r="568" spans="1:8" x14ac:dyDescent="0.25">
      <c r="A568">
        <v>10530057</v>
      </c>
      <c r="B568" s="11">
        <v>283.39999999999998</v>
      </c>
      <c r="C568">
        <v>12748.012318895249</v>
      </c>
      <c r="H568" s="39"/>
    </row>
    <row r="569" spans="1:8" x14ac:dyDescent="0.25">
      <c r="A569">
        <v>10530058</v>
      </c>
      <c r="B569" s="11">
        <v>588</v>
      </c>
      <c r="C569">
        <v>21902.789832195253</v>
      </c>
      <c r="H569" s="39"/>
    </row>
    <row r="570" spans="1:8" x14ac:dyDescent="0.25">
      <c r="A570">
        <v>10530059</v>
      </c>
      <c r="B570" s="11">
        <v>7594.15</v>
      </c>
      <c r="C570">
        <v>355446.79995166301</v>
      </c>
      <c r="H570" s="39"/>
    </row>
    <row r="571" spans="1:8" x14ac:dyDescent="0.25">
      <c r="A571">
        <v>10530060</v>
      </c>
      <c r="B571" s="11">
        <v>1827.25</v>
      </c>
      <c r="C571">
        <v>79951.578091415315</v>
      </c>
      <c r="H571" s="39"/>
    </row>
    <row r="572" spans="1:8" x14ac:dyDescent="0.25">
      <c r="A572">
        <v>10530062</v>
      </c>
      <c r="B572" s="11">
        <v>3361.4500000000003</v>
      </c>
      <c r="C572">
        <v>137958.67126224202</v>
      </c>
      <c r="H572" s="39"/>
    </row>
    <row r="573" spans="1:8" x14ac:dyDescent="0.25">
      <c r="A573">
        <v>10530063</v>
      </c>
      <c r="B573" s="11">
        <v>1101.3499999999999</v>
      </c>
      <c r="C573">
        <v>58949.1137758724</v>
      </c>
      <c r="H573" s="39"/>
    </row>
    <row r="574" spans="1:8" x14ac:dyDescent="0.25">
      <c r="A574">
        <v>10530064</v>
      </c>
      <c r="B574" s="11">
        <v>3517.05</v>
      </c>
      <c r="C574">
        <v>149078.31515593501</v>
      </c>
      <c r="H574" s="39"/>
    </row>
    <row r="575" spans="1:8" x14ac:dyDescent="0.25">
      <c r="A575">
        <v>10530065</v>
      </c>
      <c r="B575" s="11">
        <v>4871.2999999999993</v>
      </c>
      <c r="C575">
        <v>181638.72508673003</v>
      </c>
      <c r="H575" s="39"/>
    </row>
    <row r="576" spans="1:8" x14ac:dyDescent="0.25">
      <c r="A576">
        <v>10530067</v>
      </c>
      <c r="B576" s="11">
        <v>2185.4500000000003</v>
      </c>
      <c r="C576">
        <v>89707.635930574586</v>
      </c>
      <c r="H576" s="39"/>
    </row>
    <row r="577" spans="1:8" x14ac:dyDescent="0.25">
      <c r="A577">
        <v>10530068</v>
      </c>
      <c r="B577" s="11">
        <v>1080.3999999999999</v>
      </c>
      <c r="C577">
        <v>41069.834379929998</v>
      </c>
      <c r="H577" s="39"/>
    </row>
    <row r="578" spans="1:8" x14ac:dyDescent="0.25">
      <c r="A578">
        <v>10530070</v>
      </c>
      <c r="B578" s="11">
        <v>667.8</v>
      </c>
      <c r="C578">
        <v>36156.032115483402</v>
      </c>
      <c r="H578" s="39"/>
    </row>
    <row r="579" spans="1:8" x14ac:dyDescent="0.25">
      <c r="A579">
        <v>10530071</v>
      </c>
      <c r="B579" s="11">
        <v>1330.5500000000002</v>
      </c>
      <c r="C579">
        <v>66395.194854558897</v>
      </c>
      <c r="H579" s="39"/>
    </row>
    <row r="580" spans="1:8" x14ac:dyDescent="0.25">
      <c r="A580">
        <v>10530072</v>
      </c>
      <c r="B580" s="11">
        <v>1688.75</v>
      </c>
      <c r="C580">
        <v>96434.588673101505</v>
      </c>
      <c r="H580" s="39"/>
    </row>
    <row r="581" spans="1:8" x14ac:dyDescent="0.25">
      <c r="A581">
        <v>10530074</v>
      </c>
      <c r="B581" s="11">
        <v>3678.4999999999991</v>
      </c>
      <c r="C581">
        <v>140752.60185754634</v>
      </c>
      <c r="H581" s="39"/>
    </row>
    <row r="582" spans="1:8" x14ac:dyDescent="0.25">
      <c r="A582">
        <v>10530075</v>
      </c>
      <c r="B582" s="11">
        <v>1942.9499999999998</v>
      </c>
      <c r="C582">
        <v>72327.550786154505</v>
      </c>
      <c r="H582" s="39"/>
    </row>
    <row r="583" spans="1:8" x14ac:dyDescent="0.25">
      <c r="A583">
        <v>10530076</v>
      </c>
      <c r="B583" s="11">
        <v>7439.9</v>
      </c>
      <c r="C583">
        <v>355973.67059079086</v>
      </c>
      <c r="H583" s="39"/>
    </row>
    <row r="584" spans="1:8" x14ac:dyDescent="0.25">
      <c r="A584">
        <v>10530079</v>
      </c>
      <c r="B584" s="11">
        <v>437.04999999999995</v>
      </c>
      <c r="C584">
        <v>17191.364383813998</v>
      </c>
      <c r="H584" s="39"/>
    </row>
    <row r="585" spans="1:8" x14ac:dyDescent="0.25">
      <c r="A585">
        <v>10530081</v>
      </c>
      <c r="B585" s="11">
        <v>6813.15</v>
      </c>
      <c r="C585">
        <v>297661.60755348031</v>
      </c>
      <c r="H585" s="39"/>
    </row>
    <row r="586" spans="1:8" x14ac:dyDescent="0.25">
      <c r="A586">
        <v>10530082</v>
      </c>
      <c r="B586" s="11">
        <v>4390.1499999999996</v>
      </c>
      <c r="C586">
        <v>177365.506402</v>
      </c>
      <c r="H586" s="39"/>
    </row>
    <row r="587" spans="1:8" x14ac:dyDescent="0.25">
      <c r="A587">
        <v>10540003</v>
      </c>
      <c r="B587" s="11">
        <v>11652.5</v>
      </c>
      <c r="C587">
        <v>468630.99804760999</v>
      </c>
      <c r="H587" s="39"/>
    </row>
    <row r="588" spans="1:8" x14ac:dyDescent="0.25">
      <c r="A588">
        <v>10540005</v>
      </c>
      <c r="B588" s="11">
        <v>948.59999999999991</v>
      </c>
      <c r="C588">
        <v>37990.095938380007</v>
      </c>
      <c r="H588" s="39"/>
    </row>
    <row r="589" spans="1:8" x14ac:dyDescent="0.25">
      <c r="A589">
        <v>10540008</v>
      </c>
      <c r="B589" s="11">
        <v>672.30000000000007</v>
      </c>
      <c r="C589">
        <v>31731.781454915559</v>
      </c>
      <c r="H589" s="39"/>
    </row>
    <row r="590" spans="1:8" x14ac:dyDescent="0.25">
      <c r="A590">
        <v>10540009</v>
      </c>
      <c r="B590" s="11">
        <v>4279.3999999999996</v>
      </c>
      <c r="C590">
        <v>176567.62804695001</v>
      </c>
      <c r="H590" s="39"/>
    </row>
    <row r="591" spans="1:8" x14ac:dyDescent="0.25">
      <c r="A591">
        <v>10540010</v>
      </c>
      <c r="B591" s="11">
        <v>9236</v>
      </c>
      <c r="C591">
        <v>376917.61153604998</v>
      </c>
      <c r="H591" s="39"/>
    </row>
    <row r="592" spans="1:8" x14ac:dyDescent="0.25">
      <c r="A592">
        <v>10540012</v>
      </c>
      <c r="B592" s="11">
        <v>1241.1999999999998</v>
      </c>
      <c r="C592">
        <v>42061.650767148494</v>
      </c>
      <c r="H592" s="39"/>
    </row>
    <row r="593" spans="1:8" x14ac:dyDescent="0.25">
      <c r="A593">
        <v>10540014</v>
      </c>
      <c r="B593" s="11">
        <v>274.89999999999998</v>
      </c>
      <c r="C593">
        <v>11019.4515130665</v>
      </c>
      <c r="H593" s="39"/>
    </row>
    <row r="594" spans="1:8" x14ac:dyDescent="0.25">
      <c r="A594">
        <v>10540016</v>
      </c>
      <c r="B594" s="11">
        <v>1271.2000000000003</v>
      </c>
      <c r="C594">
        <v>67429.717667389195</v>
      </c>
      <c r="H594" s="39"/>
    </row>
    <row r="595" spans="1:8" x14ac:dyDescent="0.25">
      <c r="A595">
        <v>10540017</v>
      </c>
      <c r="B595" s="11">
        <v>3354.56</v>
      </c>
      <c r="C595">
        <v>125829.96675671099</v>
      </c>
      <c r="H595" s="39"/>
    </row>
    <row r="596" spans="1:8" x14ac:dyDescent="0.25">
      <c r="A596">
        <v>10540018</v>
      </c>
      <c r="B596" s="11">
        <v>720.57999999999993</v>
      </c>
      <c r="C596">
        <v>31888.741232821201</v>
      </c>
      <c r="H596" s="39"/>
    </row>
    <row r="597" spans="1:8" x14ac:dyDescent="0.25">
      <c r="A597">
        <v>10540020</v>
      </c>
      <c r="B597" s="11">
        <v>444.04</v>
      </c>
      <c r="C597">
        <v>16049.96418012</v>
      </c>
      <c r="H597" s="39"/>
    </row>
    <row r="598" spans="1:8" x14ac:dyDescent="0.25">
      <c r="A598">
        <v>10540021</v>
      </c>
      <c r="B598" s="11">
        <v>1966.9</v>
      </c>
      <c r="C598">
        <v>71443.205968839</v>
      </c>
      <c r="H598" s="39"/>
    </row>
    <row r="599" spans="1:8" x14ac:dyDescent="0.25">
      <c r="A599">
        <v>10560001</v>
      </c>
      <c r="B599" s="11">
        <v>6136.2199999999993</v>
      </c>
      <c r="C599">
        <v>238842.60083656199</v>
      </c>
      <c r="H599" s="39"/>
    </row>
    <row r="600" spans="1:8" x14ac:dyDescent="0.25">
      <c r="A600">
        <v>10560002</v>
      </c>
      <c r="B600" s="11">
        <v>3106.67</v>
      </c>
      <c r="C600">
        <v>112783.7116652671</v>
      </c>
      <c r="H600" s="39"/>
    </row>
    <row r="601" spans="1:8" x14ac:dyDescent="0.25">
      <c r="A601">
        <v>10560004</v>
      </c>
      <c r="B601" s="11">
        <v>3455.92</v>
      </c>
      <c r="C601">
        <v>119971.05928767001</v>
      </c>
      <c r="H601" s="39"/>
    </row>
    <row r="602" spans="1:8" x14ac:dyDescent="0.25">
      <c r="A602">
        <v>10560005</v>
      </c>
      <c r="B602" s="11">
        <v>8259.18</v>
      </c>
      <c r="C602">
        <v>333202.81354149873</v>
      </c>
      <c r="H602" s="39"/>
    </row>
    <row r="603" spans="1:8" x14ac:dyDescent="0.25">
      <c r="A603">
        <v>10560007</v>
      </c>
      <c r="B603" s="11">
        <v>869.01999999999987</v>
      </c>
      <c r="C603">
        <v>35772.582422708001</v>
      </c>
      <c r="H603" s="39"/>
    </row>
    <row r="604" spans="1:8" x14ac:dyDescent="0.25">
      <c r="A604">
        <v>10020080</v>
      </c>
      <c r="B604" s="11">
        <v>28.599999999999994</v>
      </c>
      <c r="C604">
        <v>1114.28</v>
      </c>
      <c r="H604" s="39"/>
    </row>
    <row r="605" spans="1:8" x14ac:dyDescent="0.25">
      <c r="A605">
        <v>10030074</v>
      </c>
      <c r="B605" s="11">
        <v>6839.45</v>
      </c>
      <c r="C605">
        <v>268779.78741683997</v>
      </c>
      <c r="H605" s="39"/>
    </row>
    <row r="606" spans="1:8" x14ac:dyDescent="0.25">
      <c r="A606">
        <v>10060116</v>
      </c>
      <c r="B606" s="11">
        <v>587.09999999999991</v>
      </c>
      <c r="C606">
        <v>23064.923945039998</v>
      </c>
      <c r="H606" s="39"/>
    </row>
    <row r="607" spans="1:8" x14ac:dyDescent="0.25">
      <c r="A607">
        <v>10080110</v>
      </c>
      <c r="B607" s="11">
        <v>60.15</v>
      </c>
      <c r="C607">
        <v>2245.5299999999997</v>
      </c>
      <c r="H607" s="39"/>
    </row>
    <row r="608" spans="1:8" x14ac:dyDescent="0.25">
      <c r="A608">
        <v>10530078</v>
      </c>
      <c r="B608" s="11">
        <v>2216.5499999999997</v>
      </c>
      <c r="C608">
        <v>99227.030324304287</v>
      </c>
      <c r="H608" s="39"/>
    </row>
    <row r="609" spans="1:8" x14ac:dyDescent="0.25">
      <c r="A609">
        <v>10530080</v>
      </c>
      <c r="B609" s="11">
        <v>603.20000000000005</v>
      </c>
      <c r="C609">
        <v>19926.560310322999</v>
      </c>
      <c r="H609" s="39"/>
    </row>
    <row r="610" spans="1:8" x14ac:dyDescent="0.25">
      <c r="A610">
        <v>10540019</v>
      </c>
      <c r="B610" s="11">
        <v>762.46</v>
      </c>
      <c r="C610">
        <v>28965.099677420003</v>
      </c>
      <c r="H610" s="39"/>
    </row>
    <row r="611" spans="1:8" x14ac:dyDescent="0.25">
      <c r="A611">
        <v>10060117</v>
      </c>
      <c r="B611" s="11">
        <v>26.700000000000003</v>
      </c>
      <c r="C611">
        <v>1208.4000000000001</v>
      </c>
      <c r="H611" s="39"/>
    </row>
    <row r="612" spans="1:8" x14ac:dyDescent="0.25">
      <c r="A612">
        <v>10060118</v>
      </c>
      <c r="B612" s="11">
        <v>1347</v>
      </c>
      <c r="C612">
        <v>56612.794186254003</v>
      </c>
      <c r="H612" s="39"/>
    </row>
    <row r="613" spans="1:8" x14ac:dyDescent="0.25">
      <c r="A613">
        <v>10550001</v>
      </c>
      <c r="B613" s="11">
        <v>98180.7</v>
      </c>
      <c r="C613">
        <v>3520493.2206560005</v>
      </c>
      <c r="H613" s="39"/>
    </row>
    <row r="614" spans="1:8" x14ac:dyDescent="0.25">
      <c r="A614">
        <v>10020081</v>
      </c>
      <c r="B614" s="11">
        <v>8677.4</v>
      </c>
      <c r="C614">
        <v>338774.66662639403</v>
      </c>
      <c r="H614" s="39"/>
    </row>
    <row r="615" spans="1:8" x14ac:dyDescent="0.25">
      <c r="A615">
        <v>10020082</v>
      </c>
      <c r="B615" s="11">
        <v>5212.5</v>
      </c>
      <c r="C615">
        <v>215790.79637046802</v>
      </c>
      <c r="H615" s="39"/>
    </row>
    <row r="616" spans="1:8" x14ac:dyDescent="0.25">
      <c r="A616">
        <v>10030077</v>
      </c>
      <c r="B616" s="11">
        <v>963.84999999999991</v>
      </c>
      <c r="C616">
        <v>34370.16666209</v>
      </c>
      <c r="H616" s="39"/>
    </row>
    <row r="617" spans="1:8" x14ac:dyDescent="0.25">
      <c r="A617">
        <v>10090018</v>
      </c>
      <c r="B617" s="11">
        <v>1263.2</v>
      </c>
      <c r="C617">
        <v>48854.7570285244</v>
      </c>
      <c r="H617" s="39"/>
    </row>
    <row r="618" spans="1:8" x14ac:dyDescent="0.25">
      <c r="A618">
        <v>10530090</v>
      </c>
      <c r="B618" s="11">
        <v>909.87999999999988</v>
      </c>
      <c r="C618">
        <v>32629.550164598801</v>
      </c>
      <c r="H618" s="39"/>
    </row>
    <row r="619" spans="1:8" x14ac:dyDescent="0.25">
      <c r="A619">
        <v>10570001</v>
      </c>
      <c r="B619" s="11">
        <v>302.79999999999995</v>
      </c>
      <c r="C619">
        <v>11619.699416294001</v>
      </c>
      <c r="H619" s="39"/>
    </row>
    <row r="620" spans="1:8" x14ac:dyDescent="0.25">
      <c r="A620">
        <v>10570003</v>
      </c>
      <c r="B620" s="11">
        <v>875.4</v>
      </c>
      <c r="C620">
        <v>34343.285101483998</v>
      </c>
      <c r="H620" s="39"/>
    </row>
    <row r="621" spans="1:8" x14ac:dyDescent="0.25">
      <c r="A621">
        <v>10570008</v>
      </c>
      <c r="B621" s="11">
        <v>5419.2999999999993</v>
      </c>
      <c r="C621">
        <v>203556.42349209002</v>
      </c>
      <c r="H621" s="39"/>
    </row>
    <row r="622" spans="1:8" x14ac:dyDescent="0.25">
      <c r="A622">
        <v>10570009</v>
      </c>
      <c r="B622" s="11">
        <v>4665</v>
      </c>
      <c r="C622">
        <v>180345.69385278001</v>
      </c>
      <c r="H622" s="39"/>
    </row>
    <row r="623" spans="1:8" x14ac:dyDescent="0.25">
      <c r="A623">
        <v>10570010</v>
      </c>
      <c r="B623" s="11">
        <v>2989.4</v>
      </c>
      <c r="C623">
        <v>100689.9268072</v>
      </c>
      <c r="H623" s="39"/>
    </row>
    <row r="624" spans="1:8" x14ac:dyDescent="0.25">
      <c r="A624">
        <v>10110167</v>
      </c>
      <c r="B624" s="11">
        <v>129.4</v>
      </c>
      <c r="C624">
        <v>4956.2643135999997</v>
      </c>
      <c r="H624" s="39"/>
    </row>
    <row r="625" spans="1:8" x14ac:dyDescent="0.25">
      <c r="A625">
        <v>10330001</v>
      </c>
      <c r="B625" s="11">
        <v>6921.5</v>
      </c>
      <c r="C625">
        <v>246065.76917100252</v>
      </c>
      <c r="H625" s="39"/>
    </row>
    <row r="626" spans="1:8" x14ac:dyDescent="0.25">
      <c r="A626">
        <v>10530085</v>
      </c>
      <c r="B626" s="11">
        <v>3052.6499999999996</v>
      </c>
      <c r="C626">
        <v>139201.56356965576</v>
      </c>
      <c r="H626" s="39"/>
    </row>
    <row r="627" spans="1:8" x14ac:dyDescent="0.25">
      <c r="A627">
        <v>10570007</v>
      </c>
      <c r="B627" s="11">
        <v>3252.8</v>
      </c>
      <c r="C627">
        <v>151329.61106338375</v>
      </c>
      <c r="H627" s="39"/>
    </row>
    <row r="628" spans="1:8" x14ac:dyDescent="0.25">
      <c r="A628">
        <v>10010049</v>
      </c>
      <c r="B628" s="11">
        <v>493.5</v>
      </c>
      <c r="C628">
        <v>17548.629749351501</v>
      </c>
      <c r="H628" s="39"/>
    </row>
    <row r="629" spans="1:8" x14ac:dyDescent="0.25">
      <c r="A629">
        <v>10020018</v>
      </c>
      <c r="B629" s="11">
        <v>293.5</v>
      </c>
      <c r="C629">
        <v>14404.380359826</v>
      </c>
      <c r="H629" s="39"/>
    </row>
    <row r="630" spans="1:8" x14ac:dyDescent="0.25">
      <c r="A630">
        <v>10060122</v>
      </c>
      <c r="B630" s="11">
        <v>808.3</v>
      </c>
      <c r="C630">
        <v>29335.463571393502</v>
      </c>
      <c r="H630" s="39"/>
    </row>
    <row r="631" spans="1:8" x14ac:dyDescent="0.25">
      <c r="A631">
        <v>10120114</v>
      </c>
      <c r="B631" s="11">
        <v>638.67999999999995</v>
      </c>
      <c r="C631">
        <v>26156.414726703002</v>
      </c>
      <c r="H631" s="39"/>
    </row>
    <row r="632" spans="1:8" x14ac:dyDescent="0.25">
      <c r="A632">
        <v>10550002</v>
      </c>
      <c r="B632" s="11">
        <v>891.3</v>
      </c>
      <c r="C632">
        <v>31307.755536166002</v>
      </c>
      <c r="H632" s="39"/>
    </row>
    <row r="633" spans="1:8" x14ac:dyDescent="0.25">
      <c r="A633">
        <v>10570013</v>
      </c>
      <c r="B633" s="11">
        <v>2529.7999999999997</v>
      </c>
      <c r="C633">
        <v>94526.634804890011</v>
      </c>
      <c r="H633" s="39"/>
    </row>
    <row r="634" spans="1:8" x14ac:dyDescent="0.25">
      <c r="A634">
        <v>10570015</v>
      </c>
      <c r="B634" s="11">
        <v>69.2</v>
      </c>
      <c r="C634">
        <v>2612.3000000000002</v>
      </c>
      <c r="H634" s="39"/>
    </row>
    <row r="635" spans="1:8" x14ac:dyDescent="0.25">
      <c r="A635">
        <v>10080112</v>
      </c>
      <c r="B635" s="11">
        <v>3865.6000000000008</v>
      </c>
      <c r="C635">
        <v>150785.59233324</v>
      </c>
      <c r="H635" s="39"/>
    </row>
    <row r="636" spans="1:8" x14ac:dyDescent="0.25">
      <c r="A636">
        <v>10080113</v>
      </c>
      <c r="B636" s="11">
        <v>1292.05</v>
      </c>
      <c r="C636">
        <v>48941.916218046004</v>
      </c>
      <c r="H636" s="39"/>
    </row>
    <row r="637" spans="1:8" x14ac:dyDescent="0.25">
      <c r="A637">
        <v>10120115</v>
      </c>
      <c r="B637" s="11">
        <v>3286.76</v>
      </c>
      <c r="C637">
        <v>118858.4123546742</v>
      </c>
      <c r="H637" s="39"/>
    </row>
    <row r="638" spans="1:8" x14ac:dyDescent="0.25">
      <c r="A638">
        <v>10530092</v>
      </c>
      <c r="B638" s="11">
        <v>4403.1500000000005</v>
      </c>
      <c r="C638">
        <v>177558.60149745506</v>
      </c>
      <c r="H638" s="39"/>
    </row>
    <row r="639" spans="1:8" x14ac:dyDescent="0.25">
      <c r="A639">
        <v>10530093</v>
      </c>
      <c r="B639" s="11">
        <v>4542.2</v>
      </c>
      <c r="C639">
        <v>203909.58482841335</v>
      </c>
      <c r="H639" s="39"/>
    </row>
    <row r="640" spans="1:8" x14ac:dyDescent="0.25">
      <c r="A640">
        <v>10540032</v>
      </c>
      <c r="B640" s="11">
        <v>947.88000000000011</v>
      </c>
      <c r="C640">
        <v>35149.525912119403</v>
      </c>
      <c r="H640" s="39"/>
    </row>
    <row r="641" spans="1:8" x14ac:dyDescent="0.25">
      <c r="A641">
        <v>10570016</v>
      </c>
      <c r="B641" s="11">
        <v>1982.6999999999998</v>
      </c>
      <c r="C641">
        <v>64767.411114399998</v>
      </c>
      <c r="H641" s="39"/>
    </row>
    <row r="642" spans="1:8" x14ac:dyDescent="0.25">
      <c r="A642">
        <v>10580001</v>
      </c>
      <c r="B642" s="11">
        <v>1316</v>
      </c>
      <c r="C642">
        <v>53803.706424370001</v>
      </c>
      <c r="H642" s="39"/>
    </row>
    <row r="643" spans="1:8" x14ac:dyDescent="0.25">
      <c r="A643">
        <v>10090059</v>
      </c>
      <c r="B643" s="11">
        <v>2884</v>
      </c>
      <c r="C643">
        <v>114934.96361730949</v>
      </c>
      <c r="H643" s="39"/>
    </row>
    <row r="644" spans="1:8" x14ac:dyDescent="0.25">
      <c r="A644">
        <v>10530091</v>
      </c>
      <c r="B644" s="11">
        <v>1007.1500000000001</v>
      </c>
      <c r="C644">
        <v>45583.503201467101</v>
      </c>
      <c r="H644" s="39"/>
    </row>
    <row r="645" spans="1:8" x14ac:dyDescent="0.25">
      <c r="A645">
        <v>10080012</v>
      </c>
      <c r="B645" s="11">
        <v>4875.2000000000007</v>
      </c>
      <c r="C645">
        <v>181168.862233224</v>
      </c>
      <c r="H645" s="39"/>
    </row>
    <row r="646" spans="1:8" x14ac:dyDescent="0.25">
      <c r="A646">
        <v>10530089</v>
      </c>
      <c r="B646" s="11">
        <v>135.44999999999999</v>
      </c>
      <c r="C646">
        <v>5310.99</v>
      </c>
      <c r="H646" s="39"/>
    </row>
    <row r="647" spans="1:8" x14ac:dyDescent="0.25">
      <c r="A647">
        <v>10560015</v>
      </c>
      <c r="B647" s="11">
        <v>2910.2999999999997</v>
      </c>
      <c r="C647">
        <v>102828.25716781302</v>
      </c>
      <c r="H647" s="39"/>
    </row>
    <row r="648" spans="1:8" x14ac:dyDescent="0.25">
      <c r="A648">
        <v>10580004</v>
      </c>
      <c r="B648" s="11">
        <v>1183.1000000000001</v>
      </c>
      <c r="C648">
        <v>43212.916434547995</v>
      </c>
      <c r="H648" s="39"/>
    </row>
    <row r="649" spans="1:8" x14ac:dyDescent="0.25">
      <c r="A649">
        <v>10020010</v>
      </c>
      <c r="B649" s="11">
        <v>1871.6000000000001</v>
      </c>
      <c r="C649">
        <v>67619.080201050005</v>
      </c>
      <c r="H649" s="39"/>
    </row>
    <row r="650" spans="1:8" x14ac:dyDescent="0.25">
      <c r="A650">
        <v>10560017</v>
      </c>
      <c r="B650" s="11">
        <v>3997.0000000000005</v>
      </c>
      <c r="C650">
        <v>153924.46773100749</v>
      </c>
      <c r="H650" s="39"/>
    </row>
    <row r="651" spans="1:8" x14ac:dyDescent="0.25">
      <c r="A651">
        <v>10560019</v>
      </c>
      <c r="B651" s="11">
        <v>7591.18</v>
      </c>
      <c r="C651">
        <v>273005.50286353973</v>
      </c>
      <c r="H651" s="39"/>
    </row>
    <row r="652" spans="1:8" x14ac:dyDescent="0.25">
      <c r="A652">
        <v>10570018</v>
      </c>
      <c r="B652" s="11">
        <v>1457.4</v>
      </c>
      <c r="C652">
        <v>57311.871404467602</v>
      </c>
      <c r="H652" s="39"/>
    </row>
    <row r="653" spans="1:8" x14ac:dyDescent="0.25">
      <c r="A653">
        <v>10570019</v>
      </c>
      <c r="B653" s="11">
        <v>2820.3</v>
      </c>
      <c r="C653">
        <v>119134.2212404304</v>
      </c>
      <c r="H653" s="39"/>
    </row>
    <row r="654" spans="1:8" x14ac:dyDescent="0.25">
      <c r="A654">
        <v>10570020</v>
      </c>
      <c r="B654" s="11">
        <v>3189.3</v>
      </c>
      <c r="C654">
        <v>136190.69502993609</v>
      </c>
      <c r="H654" s="39"/>
    </row>
    <row r="655" spans="1:8" x14ac:dyDescent="0.25">
      <c r="A655">
        <v>10570021</v>
      </c>
      <c r="B655" s="11">
        <v>2730.2</v>
      </c>
      <c r="C655">
        <v>96010.478268520004</v>
      </c>
      <c r="H655" s="39"/>
    </row>
    <row r="656" spans="1:8" x14ac:dyDescent="0.25">
      <c r="A656">
        <v>10570022</v>
      </c>
      <c r="B656" s="11">
        <v>1738.8999999999999</v>
      </c>
      <c r="C656">
        <v>79520.734019073207</v>
      </c>
      <c r="H656" s="39"/>
    </row>
    <row r="657" spans="1:8" x14ac:dyDescent="0.25">
      <c r="A657">
        <v>10570024</v>
      </c>
      <c r="B657" s="11">
        <v>3321.9</v>
      </c>
      <c r="C657">
        <v>122357.89816005999</v>
      </c>
      <c r="H657" s="39"/>
    </row>
    <row r="658" spans="1:8" x14ac:dyDescent="0.25">
      <c r="A658">
        <v>10580002</v>
      </c>
      <c r="B658" s="11">
        <v>1498.5999999999997</v>
      </c>
      <c r="C658">
        <v>59978.407660753008</v>
      </c>
      <c r="H658" s="39"/>
    </row>
    <row r="659" spans="1:8" x14ac:dyDescent="0.25">
      <c r="A659">
        <v>10020013</v>
      </c>
      <c r="B659" s="11">
        <v>2023.3000000000002</v>
      </c>
      <c r="C659">
        <v>79953.242265757202</v>
      </c>
      <c r="H659" s="39"/>
    </row>
    <row r="660" spans="1:8" x14ac:dyDescent="0.25">
      <c r="A660">
        <v>10020084</v>
      </c>
      <c r="B660" s="11">
        <v>3901.4</v>
      </c>
      <c r="C660">
        <v>148903.84672641003</v>
      </c>
      <c r="H660" s="39"/>
    </row>
    <row r="661" spans="1:8" x14ac:dyDescent="0.25">
      <c r="A661">
        <v>10030078</v>
      </c>
      <c r="B661" s="11">
        <v>2028.85</v>
      </c>
      <c r="C661">
        <v>73976.199233719992</v>
      </c>
      <c r="H661" s="39"/>
    </row>
    <row r="662" spans="1:8" x14ac:dyDescent="0.25">
      <c r="A662">
        <v>10060106</v>
      </c>
      <c r="B662" s="11">
        <v>2569.8999999999996</v>
      </c>
      <c r="C662">
        <v>123410.32746238899</v>
      </c>
      <c r="H662" s="39"/>
    </row>
    <row r="663" spans="1:8" x14ac:dyDescent="0.25">
      <c r="A663">
        <v>10110164</v>
      </c>
      <c r="B663" s="11">
        <v>1170.0999999999999</v>
      </c>
      <c r="C663">
        <v>48318.673997140002</v>
      </c>
      <c r="H663" s="39"/>
    </row>
    <row r="664" spans="1:8" x14ac:dyDescent="0.25">
      <c r="A664">
        <v>10110168</v>
      </c>
      <c r="B664" s="11">
        <v>5631.7000000000007</v>
      </c>
      <c r="C664">
        <v>205251.88894704802</v>
      </c>
      <c r="H664" s="39"/>
    </row>
    <row r="665" spans="1:8" x14ac:dyDescent="0.25">
      <c r="A665">
        <v>10110173</v>
      </c>
      <c r="B665" s="11">
        <v>2311.1999999999998</v>
      </c>
      <c r="C665">
        <v>94620.596150419995</v>
      </c>
      <c r="H665" s="39"/>
    </row>
    <row r="666" spans="1:8" x14ac:dyDescent="0.25">
      <c r="A666">
        <v>10480033</v>
      </c>
      <c r="B666" s="11">
        <v>1172.3999999999999</v>
      </c>
      <c r="C666">
        <v>40333.759776975508</v>
      </c>
      <c r="H666" s="39"/>
    </row>
    <row r="667" spans="1:8" x14ac:dyDescent="0.25">
      <c r="A667">
        <v>10570025</v>
      </c>
      <c r="B667" s="11">
        <v>3603.7</v>
      </c>
      <c r="C667">
        <v>136185.58187641</v>
      </c>
      <c r="H667" s="39"/>
    </row>
    <row r="668" spans="1:8" x14ac:dyDescent="0.25">
      <c r="A668">
        <v>10570026</v>
      </c>
      <c r="B668" s="11">
        <v>1343.3000000000002</v>
      </c>
      <c r="C668">
        <v>47757.625738410003</v>
      </c>
      <c r="H668" s="39"/>
    </row>
    <row r="669" spans="1:8" x14ac:dyDescent="0.25">
      <c r="A669">
        <v>10020083</v>
      </c>
      <c r="B669" s="11">
        <v>1793.2000000000003</v>
      </c>
      <c r="C669">
        <v>68067.550897520006</v>
      </c>
      <c r="H669" s="39"/>
    </row>
    <row r="670" spans="1:8" x14ac:dyDescent="0.25">
      <c r="A670">
        <v>10030079</v>
      </c>
      <c r="B670" s="11">
        <v>2046.8999999999999</v>
      </c>
      <c r="C670">
        <v>73467.871555765014</v>
      </c>
      <c r="H670" s="39"/>
    </row>
    <row r="671" spans="1:8" x14ac:dyDescent="0.25">
      <c r="A671">
        <v>10030080</v>
      </c>
      <c r="B671" s="11">
        <v>3440.35</v>
      </c>
      <c r="C671">
        <v>134010.65137312998</v>
      </c>
      <c r="H671" s="39"/>
    </row>
    <row r="672" spans="1:8" x14ac:dyDescent="0.25">
      <c r="A672">
        <v>10030081</v>
      </c>
      <c r="B672" s="11">
        <v>837.40000000000009</v>
      </c>
      <c r="C672">
        <v>28743.841118413999</v>
      </c>
      <c r="H672" s="39"/>
    </row>
    <row r="673" spans="1:8" x14ac:dyDescent="0.25">
      <c r="A673">
        <v>10120113</v>
      </c>
      <c r="B673" s="11">
        <v>215.67</v>
      </c>
      <c r="C673">
        <v>8431.3120343539995</v>
      </c>
      <c r="H673" s="39"/>
    </row>
    <row r="674" spans="1:8" x14ac:dyDescent="0.25">
      <c r="A674">
        <v>10530084</v>
      </c>
      <c r="B674" s="11">
        <v>7914.25</v>
      </c>
      <c r="C674">
        <v>323099.04141711444</v>
      </c>
      <c r="H674" s="39"/>
    </row>
    <row r="675" spans="1:8" x14ac:dyDescent="0.25">
      <c r="A675">
        <v>10030068</v>
      </c>
      <c r="B675" s="11">
        <v>4439.95</v>
      </c>
      <c r="C675">
        <v>163673.85630739998</v>
      </c>
      <c r="H675" s="39"/>
    </row>
    <row r="676" spans="1:8" x14ac:dyDescent="0.25">
      <c r="A676">
        <v>10060124</v>
      </c>
      <c r="B676" s="11">
        <v>60.7</v>
      </c>
      <c r="C676">
        <v>2509.9100000000003</v>
      </c>
      <c r="H676" s="39"/>
    </row>
    <row r="677" spans="1:8" x14ac:dyDescent="0.25">
      <c r="A677">
        <v>10080115</v>
      </c>
      <c r="B677" s="11">
        <v>1658.6</v>
      </c>
      <c r="C677">
        <v>62388.923123075008</v>
      </c>
      <c r="H677" s="39"/>
    </row>
    <row r="678" spans="1:8" x14ac:dyDescent="0.25">
      <c r="A678">
        <v>10110032</v>
      </c>
      <c r="B678" s="11">
        <v>1023.3000000000001</v>
      </c>
      <c r="C678">
        <v>35429.103393820005</v>
      </c>
      <c r="H678" s="39"/>
    </row>
    <row r="679" spans="1:8" x14ac:dyDescent="0.25">
      <c r="A679">
        <v>10110049</v>
      </c>
      <c r="B679" s="11">
        <v>2732.2</v>
      </c>
      <c r="C679">
        <v>104273.08529630001</v>
      </c>
      <c r="H679" s="39"/>
    </row>
    <row r="680" spans="1:8" x14ac:dyDescent="0.25">
      <c r="A680">
        <v>10110172</v>
      </c>
      <c r="B680" s="11">
        <v>1245.4000000000001</v>
      </c>
      <c r="C680">
        <v>44396.571157897</v>
      </c>
      <c r="H680" s="39"/>
    </row>
    <row r="681" spans="1:8" x14ac:dyDescent="0.25">
      <c r="A681">
        <v>10120110</v>
      </c>
      <c r="B681" s="11">
        <v>2406.04</v>
      </c>
      <c r="C681">
        <v>97077.157932044007</v>
      </c>
      <c r="H681" s="39"/>
    </row>
    <row r="682" spans="1:8" x14ac:dyDescent="0.25">
      <c r="A682">
        <v>10120116</v>
      </c>
      <c r="B682" s="11">
        <v>6626.9400000000005</v>
      </c>
      <c r="C682">
        <v>271187.30984386295</v>
      </c>
      <c r="H682" s="39"/>
    </row>
    <row r="683" spans="1:8" x14ac:dyDescent="0.25">
      <c r="A683">
        <v>10130081</v>
      </c>
      <c r="B683" s="11">
        <v>390.20000000000005</v>
      </c>
      <c r="C683">
        <v>14215.011293612502</v>
      </c>
      <c r="H683" s="39"/>
    </row>
    <row r="684" spans="1:8" x14ac:dyDescent="0.25">
      <c r="A684">
        <v>10130111</v>
      </c>
      <c r="B684" s="11">
        <v>4644.8999999999996</v>
      </c>
      <c r="C684">
        <v>138460.10778947198</v>
      </c>
      <c r="H684" s="39"/>
    </row>
    <row r="685" spans="1:8" x14ac:dyDescent="0.25">
      <c r="A685">
        <v>10140020</v>
      </c>
      <c r="B685" s="11">
        <v>208.4</v>
      </c>
      <c r="C685">
        <v>7364.0603582799995</v>
      </c>
      <c r="H685" s="39"/>
    </row>
    <row r="686" spans="1:8" x14ac:dyDescent="0.25">
      <c r="A686">
        <v>10430001</v>
      </c>
      <c r="B686" s="11">
        <v>1812.1000000000001</v>
      </c>
      <c r="C686">
        <v>62955.738208234005</v>
      </c>
      <c r="H686" s="39"/>
    </row>
    <row r="687" spans="1:8" x14ac:dyDescent="0.25">
      <c r="A687">
        <v>10530096</v>
      </c>
      <c r="B687" s="11">
        <v>2096.25</v>
      </c>
      <c r="C687">
        <v>114960.56231920701</v>
      </c>
      <c r="H687" s="39"/>
    </row>
    <row r="688" spans="1:8" x14ac:dyDescent="0.25">
      <c r="A688">
        <v>10530097</v>
      </c>
      <c r="B688" s="11">
        <v>2589.25</v>
      </c>
      <c r="C688">
        <v>108742.625047957</v>
      </c>
      <c r="H688" s="39"/>
    </row>
    <row r="689" spans="1:8" x14ac:dyDescent="0.25">
      <c r="A689">
        <v>10540026</v>
      </c>
      <c r="B689" s="11">
        <v>2261.2800000000007</v>
      </c>
      <c r="C689">
        <v>92276.346580001598</v>
      </c>
      <c r="H689" s="39"/>
    </row>
    <row r="690" spans="1:8" x14ac:dyDescent="0.25">
      <c r="A690">
        <v>10540034</v>
      </c>
      <c r="B690" s="11">
        <v>1021.5600000000001</v>
      </c>
      <c r="C690">
        <v>38595.035681715002</v>
      </c>
      <c r="H690" s="39"/>
    </row>
    <row r="691" spans="1:8" x14ac:dyDescent="0.25">
      <c r="A691">
        <v>10560011</v>
      </c>
      <c r="B691" s="11">
        <v>7170.08</v>
      </c>
      <c r="C691">
        <v>272854.95412941393</v>
      </c>
      <c r="H691" s="39"/>
    </row>
    <row r="692" spans="1:8" x14ac:dyDescent="0.25">
      <c r="A692">
        <v>10560012</v>
      </c>
      <c r="B692" s="11">
        <v>4611.9399999999996</v>
      </c>
      <c r="C692">
        <v>176240.87674706196</v>
      </c>
      <c r="H692" s="39"/>
    </row>
    <row r="693" spans="1:8" x14ac:dyDescent="0.25">
      <c r="A693">
        <v>10570017</v>
      </c>
      <c r="B693" s="11">
        <v>396.4</v>
      </c>
      <c r="C693">
        <v>16901.254005888</v>
      </c>
      <c r="H693" s="39"/>
    </row>
    <row r="694" spans="1:8" x14ac:dyDescent="0.25">
      <c r="A694">
        <v>10580005</v>
      </c>
      <c r="B694" s="11">
        <v>2050.6999999999998</v>
      </c>
      <c r="C694">
        <v>77542.69773761199</v>
      </c>
      <c r="H694" s="39"/>
    </row>
    <row r="695" spans="1:8" x14ac:dyDescent="0.25">
      <c r="A695">
        <v>10580007</v>
      </c>
      <c r="B695" s="11">
        <v>529.09999999999991</v>
      </c>
      <c r="C695">
        <v>19412.122507488002</v>
      </c>
      <c r="H695" s="39"/>
    </row>
    <row r="696" spans="1:8" x14ac:dyDescent="0.25">
      <c r="A696">
        <v>10010140</v>
      </c>
      <c r="B696" s="11">
        <v>993.30000000000018</v>
      </c>
      <c r="C696">
        <v>40152.685276656928</v>
      </c>
      <c r="H696" s="39"/>
    </row>
    <row r="697" spans="1:8" x14ac:dyDescent="0.25">
      <c r="A697">
        <v>10080089</v>
      </c>
      <c r="B697" s="11">
        <v>1464.3999999999999</v>
      </c>
      <c r="C697">
        <v>50812.1836656425</v>
      </c>
      <c r="H697" s="39"/>
    </row>
    <row r="698" spans="1:8" x14ac:dyDescent="0.25">
      <c r="A698">
        <v>10100016</v>
      </c>
      <c r="B698" s="11">
        <v>537.4</v>
      </c>
      <c r="C698">
        <v>22108.839050561997</v>
      </c>
      <c r="H698" s="39"/>
    </row>
    <row r="699" spans="1:8" x14ac:dyDescent="0.25">
      <c r="A699">
        <v>10100044</v>
      </c>
      <c r="B699" s="11">
        <v>4710.2000000000007</v>
      </c>
      <c r="C699">
        <v>168521.39070013451</v>
      </c>
      <c r="H699" s="39"/>
    </row>
    <row r="700" spans="1:8" x14ac:dyDescent="0.25">
      <c r="A700">
        <v>10110176</v>
      </c>
      <c r="B700" s="11">
        <v>531.1</v>
      </c>
      <c r="C700">
        <v>19043.549679078002</v>
      </c>
      <c r="H700" s="39"/>
    </row>
    <row r="701" spans="1:8" x14ac:dyDescent="0.25">
      <c r="A701">
        <v>10130088</v>
      </c>
      <c r="B701" s="11">
        <v>84.9</v>
      </c>
      <c r="C701">
        <v>2910.8575032930003</v>
      </c>
      <c r="H701" s="39"/>
    </row>
    <row r="702" spans="1:8" x14ac:dyDescent="0.25">
      <c r="A702">
        <v>10140157</v>
      </c>
      <c r="B702" s="11">
        <v>726.90000000000009</v>
      </c>
      <c r="C702">
        <v>31866.613710387901</v>
      </c>
      <c r="H702" s="39"/>
    </row>
    <row r="703" spans="1:8" x14ac:dyDescent="0.25">
      <c r="A703">
        <v>10140193</v>
      </c>
      <c r="B703" s="11">
        <v>925.5</v>
      </c>
      <c r="C703">
        <v>31951.619217720003</v>
      </c>
      <c r="H703" s="39"/>
    </row>
    <row r="704" spans="1:8" x14ac:dyDescent="0.25">
      <c r="A704">
        <v>10540027</v>
      </c>
      <c r="B704" s="11">
        <v>1928.08</v>
      </c>
      <c r="C704">
        <v>71641.039542738814</v>
      </c>
      <c r="H704" s="39"/>
    </row>
    <row r="705" spans="1:8" x14ac:dyDescent="0.25">
      <c r="A705">
        <v>10070058</v>
      </c>
      <c r="B705" s="11">
        <v>370.59999999999997</v>
      </c>
      <c r="C705">
        <v>12252.751820096002</v>
      </c>
      <c r="H705" s="39"/>
    </row>
    <row r="706" spans="1:8" x14ac:dyDescent="0.25">
      <c r="A706">
        <v>10080117</v>
      </c>
      <c r="B706" s="11">
        <v>467</v>
      </c>
      <c r="C706">
        <v>16741.059262485</v>
      </c>
      <c r="H706" s="39"/>
    </row>
    <row r="707" spans="1:8" x14ac:dyDescent="0.25">
      <c r="A707">
        <v>10090072</v>
      </c>
      <c r="B707" s="11">
        <v>1651.3000000000002</v>
      </c>
      <c r="C707">
        <v>63288.539238532001</v>
      </c>
      <c r="H707" s="39"/>
    </row>
    <row r="708" spans="1:8" x14ac:dyDescent="0.25">
      <c r="A708">
        <v>10540039</v>
      </c>
      <c r="B708" s="11">
        <v>2725.98</v>
      </c>
      <c r="C708">
        <v>89678.599065703311</v>
      </c>
      <c r="H708" s="39"/>
    </row>
    <row r="709" spans="1:8" x14ac:dyDescent="0.25">
      <c r="A709">
        <v>10540040</v>
      </c>
      <c r="B709" s="11">
        <v>1875.5599999999997</v>
      </c>
      <c r="C709">
        <v>66160.082379993415</v>
      </c>
      <c r="H709" s="39"/>
    </row>
    <row r="710" spans="1:8" x14ac:dyDescent="0.25">
      <c r="A710">
        <v>10570028</v>
      </c>
      <c r="B710" s="11">
        <v>1118.4000000000001</v>
      </c>
      <c r="C710">
        <v>40666.666978830006</v>
      </c>
      <c r="H710" s="39"/>
    </row>
    <row r="711" spans="1:8" x14ac:dyDescent="0.25">
      <c r="A711">
        <v>10570029</v>
      </c>
      <c r="B711" s="11">
        <v>720.19999999999993</v>
      </c>
      <c r="C711">
        <v>29837.709438741622</v>
      </c>
      <c r="H711" s="39"/>
    </row>
    <row r="712" spans="1:8" x14ac:dyDescent="0.25">
      <c r="A712">
        <v>10570030</v>
      </c>
      <c r="B712" s="11">
        <v>1193</v>
      </c>
      <c r="C712">
        <v>41457.084812800007</v>
      </c>
      <c r="H712" s="39"/>
    </row>
    <row r="713" spans="1:8" x14ac:dyDescent="0.25">
      <c r="A713">
        <v>10570031</v>
      </c>
      <c r="B713" s="11">
        <v>630.79999999999995</v>
      </c>
      <c r="C713">
        <v>24839.603858689999</v>
      </c>
      <c r="H713" s="39"/>
    </row>
    <row r="714" spans="1:8" x14ac:dyDescent="0.25">
      <c r="A714">
        <v>10570033</v>
      </c>
      <c r="B714" s="11">
        <v>687.59999999999991</v>
      </c>
      <c r="C714">
        <v>26236.99906971</v>
      </c>
      <c r="H714" s="39"/>
    </row>
    <row r="715" spans="1:8" x14ac:dyDescent="0.25">
      <c r="A715">
        <v>10580009</v>
      </c>
      <c r="B715" s="11">
        <v>455.20000000000005</v>
      </c>
      <c r="C715">
        <v>19840.5</v>
      </c>
      <c r="H715" s="39"/>
    </row>
    <row r="716" spans="1:8" x14ac:dyDescent="0.25">
      <c r="A716">
        <v>10040001</v>
      </c>
      <c r="B716" s="11">
        <v>436.9</v>
      </c>
      <c r="C716">
        <v>15627.91</v>
      </c>
      <c r="H716" s="39"/>
    </row>
    <row r="717" spans="1:8" x14ac:dyDescent="0.25">
      <c r="A717">
        <v>10070053</v>
      </c>
      <c r="B717" s="11">
        <v>1134.8400000000001</v>
      </c>
      <c r="C717">
        <v>40178.726796963601</v>
      </c>
      <c r="H717" s="39"/>
    </row>
    <row r="718" spans="1:8" x14ac:dyDescent="0.25">
      <c r="A718">
        <v>10110178</v>
      </c>
      <c r="B718" s="11">
        <v>38831.199999999997</v>
      </c>
      <c r="C718">
        <v>1462258.4821603261</v>
      </c>
      <c r="H718" s="39"/>
    </row>
    <row r="719" spans="1:8" x14ac:dyDescent="0.25">
      <c r="A719">
        <v>10130113</v>
      </c>
      <c r="B719" s="11">
        <v>850.3</v>
      </c>
      <c r="C719">
        <v>29987.195514539999</v>
      </c>
      <c r="H719" s="39"/>
    </row>
    <row r="720" spans="1:8" x14ac:dyDescent="0.25">
      <c r="A720">
        <v>10140196</v>
      </c>
      <c r="B720" s="11">
        <v>1028.0999999999999</v>
      </c>
      <c r="C720">
        <v>38849.10064027</v>
      </c>
      <c r="H720" s="39"/>
    </row>
    <row r="721" spans="1:8" x14ac:dyDescent="0.25">
      <c r="A721">
        <v>10530077</v>
      </c>
      <c r="B721" s="11">
        <v>1843.3</v>
      </c>
      <c r="C721">
        <v>66800.350437550005</v>
      </c>
      <c r="H721" s="39"/>
    </row>
    <row r="722" spans="1:8" x14ac:dyDescent="0.25">
      <c r="A722">
        <v>10060125</v>
      </c>
      <c r="B722" s="11">
        <v>531.00000000000011</v>
      </c>
      <c r="C722">
        <v>23785.200444398004</v>
      </c>
      <c r="H722" s="39"/>
    </row>
    <row r="723" spans="1:8" x14ac:dyDescent="0.25">
      <c r="A723">
        <v>10060126</v>
      </c>
      <c r="B723" s="11">
        <v>2530</v>
      </c>
      <c r="C723">
        <v>83116.406351485508</v>
      </c>
      <c r="H723" s="39"/>
    </row>
    <row r="724" spans="1:8" x14ac:dyDescent="0.25">
      <c r="A724">
        <v>10090074</v>
      </c>
      <c r="B724" s="11">
        <v>1877.8</v>
      </c>
      <c r="C724">
        <v>74290.36613277701</v>
      </c>
      <c r="H724" s="39"/>
    </row>
    <row r="725" spans="1:8" x14ac:dyDescent="0.25">
      <c r="A725">
        <v>10120119</v>
      </c>
      <c r="B725" s="11">
        <v>4140</v>
      </c>
      <c r="C725">
        <v>158951.20388300001</v>
      </c>
      <c r="H725" s="39"/>
    </row>
    <row r="726" spans="1:8" x14ac:dyDescent="0.25">
      <c r="A726">
        <v>10140194</v>
      </c>
      <c r="B726" s="11">
        <v>1864.4</v>
      </c>
      <c r="C726">
        <v>68127.989709339992</v>
      </c>
      <c r="H726" s="39"/>
    </row>
    <row r="727" spans="1:8" x14ac:dyDescent="0.25">
      <c r="A727">
        <v>10140197</v>
      </c>
      <c r="B727" s="11">
        <v>1013.8000000000001</v>
      </c>
      <c r="C727">
        <v>39183.737494319997</v>
      </c>
      <c r="H727" s="39"/>
    </row>
    <row r="728" spans="1:8" x14ac:dyDescent="0.25">
      <c r="A728">
        <v>10140198</v>
      </c>
      <c r="B728" s="11">
        <v>2943.3</v>
      </c>
      <c r="C728">
        <v>115672.55996145001</v>
      </c>
      <c r="H728" s="39"/>
    </row>
    <row r="729" spans="1:8" x14ac:dyDescent="0.25">
      <c r="A729">
        <v>10560025</v>
      </c>
      <c r="B729" s="11">
        <v>485.1</v>
      </c>
      <c r="C729">
        <v>20435.739586193602</v>
      </c>
      <c r="H729" s="39"/>
    </row>
    <row r="730" spans="1:8" x14ac:dyDescent="0.25">
      <c r="A730">
        <v>10570037</v>
      </c>
      <c r="B730" s="11">
        <v>1388.6</v>
      </c>
      <c r="C730">
        <v>46422.581608759996</v>
      </c>
      <c r="H730" s="39"/>
    </row>
    <row r="731" spans="1:8" x14ac:dyDescent="0.25">
      <c r="A731">
        <v>10570038</v>
      </c>
      <c r="B731" s="11">
        <v>490.8</v>
      </c>
      <c r="C731">
        <v>17473.853657880001</v>
      </c>
      <c r="H731" s="39"/>
    </row>
    <row r="732" spans="1:8" x14ac:dyDescent="0.25">
      <c r="A732">
        <v>10030082</v>
      </c>
      <c r="B732" s="11">
        <v>950.64999999999986</v>
      </c>
      <c r="C732">
        <v>35378.352106295002</v>
      </c>
      <c r="H732" s="39"/>
    </row>
    <row r="733" spans="1:8" x14ac:dyDescent="0.25">
      <c r="A733">
        <v>10080119</v>
      </c>
      <c r="B733" s="11">
        <v>1280.5</v>
      </c>
      <c r="C733">
        <v>46535.753801396015</v>
      </c>
      <c r="H733" s="39"/>
    </row>
    <row r="734" spans="1:8" x14ac:dyDescent="0.25">
      <c r="A734">
        <v>10090075</v>
      </c>
      <c r="B734" s="11">
        <v>2609</v>
      </c>
      <c r="C734">
        <v>102685.8142987215</v>
      </c>
      <c r="H734" s="39"/>
    </row>
    <row r="735" spans="1:8" x14ac:dyDescent="0.25">
      <c r="A735">
        <v>10130114</v>
      </c>
      <c r="B735" s="11">
        <v>1341.6</v>
      </c>
      <c r="C735">
        <v>47579.560503357505</v>
      </c>
      <c r="H735" s="39"/>
    </row>
    <row r="736" spans="1:8" x14ac:dyDescent="0.25">
      <c r="A736">
        <v>10140147</v>
      </c>
      <c r="B736" s="11">
        <v>1210.2999999999997</v>
      </c>
      <c r="C736">
        <v>44145.427196670003</v>
      </c>
      <c r="H736" s="39"/>
    </row>
    <row r="737" spans="1:8" x14ac:dyDescent="0.25">
      <c r="A737">
        <v>10480036</v>
      </c>
      <c r="B737" s="11">
        <v>682.50000000000011</v>
      </c>
      <c r="C737">
        <v>23634.516299672501</v>
      </c>
      <c r="H737" s="39"/>
    </row>
    <row r="738" spans="1:8" x14ac:dyDescent="0.25">
      <c r="A738">
        <v>10520010</v>
      </c>
      <c r="B738" s="11">
        <v>19649</v>
      </c>
      <c r="C738">
        <v>785567.70762969996</v>
      </c>
      <c r="H738" s="39"/>
    </row>
    <row r="739" spans="1:8" x14ac:dyDescent="0.25">
      <c r="A739">
        <v>10540015</v>
      </c>
      <c r="B739" s="11">
        <v>1054.24</v>
      </c>
      <c r="C739">
        <v>40165.112511956002</v>
      </c>
      <c r="H739" s="39"/>
    </row>
    <row r="740" spans="1:8" x14ac:dyDescent="0.25">
      <c r="A740">
        <v>10540041</v>
      </c>
      <c r="B740" s="11">
        <v>604.9</v>
      </c>
      <c r="C740">
        <v>21069.0217231715</v>
      </c>
      <c r="H740" s="39"/>
    </row>
    <row r="741" spans="1:8" x14ac:dyDescent="0.25">
      <c r="A741">
        <v>10030084</v>
      </c>
      <c r="B741" s="11">
        <v>816.2</v>
      </c>
      <c r="C741">
        <v>27954.849998825004</v>
      </c>
      <c r="H741" s="39"/>
    </row>
    <row r="742" spans="1:8" x14ac:dyDescent="0.25">
      <c r="A742">
        <v>10030085</v>
      </c>
      <c r="B742" s="11">
        <v>1784.85</v>
      </c>
      <c r="C742">
        <v>70603.136409690007</v>
      </c>
      <c r="H742" s="39"/>
    </row>
    <row r="743" spans="1:8" x14ac:dyDescent="0.25">
      <c r="A743">
        <v>10090076</v>
      </c>
      <c r="B743" s="11">
        <v>58520</v>
      </c>
      <c r="C743">
        <v>2224983.2200999996</v>
      </c>
      <c r="H743" s="39"/>
    </row>
    <row r="744" spans="1:8" x14ac:dyDescent="0.25">
      <c r="A744">
        <v>10090077</v>
      </c>
      <c r="B744" s="11">
        <v>59100.6</v>
      </c>
      <c r="C744">
        <v>2245577.1223499998</v>
      </c>
      <c r="H744" s="39"/>
    </row>
    <row r="745" spans="1:8" x14ac:dyDescent="0.25">
      <c r="A745">
        <v>10530101</v>
      </c>
      <c r="B745" s="11">
        <v>1328.9499999999998</v>
      </c>
      <c r="C745">
        <v>58424.158783829909</v>
      </c>
      <c r="H745" s="39"/>
    </row>
    <row r="746" spans="1:8" x14ac:dyDescent="0.25">
      <c r="A746">
        <v>10530103</v>
      </c>
      <c r="B746" s="11">
        <v>9706.4000000000015</v>
      </c>
      <c r="C746">
        <v>423754.71348276513</v>
      </c>
      <c r="H746" s="39"/>
    </row>
    <row r="747" spans="1:8" x14ac:dyDescent="0.25">
      <c r="A747">
        <v>10560022</v>
      </c>
      <c r="B747" s="11">
        <v>8172.4400000000005</v>
      </c>
      <c r="C747">
        <v>347697.44435231597</v>
      </c>
      <c r="H747" s="39"/>
    </row>
    <row r="748" spans="1:8" x14ac:dyDescent="0.25">
      <c r="A748">
        <v>10560026</v>
      </c>
      <c r="B748" s="11">
        <v>4695.3600000000006</v>
      </c>
      <c r="C748">
        <v>181527.542506898</v>
      </c>
      <c r="H748" s="39"/>
    </row>
    <row r="749" spans="1:8" x14ac:dyDescent="0.25">
      <c r="A749">
        <v>10590001</v>
      </c>
      <c r="B749" s="11">
        <v>3111.4000000000005</v>
      </c>
      <c r="C749">
        <v>167860.58394438701</v>
      </c>
      <c r="H749" s="39"/>
    </row>
    <row r="750" spans="1:8" x14ac:dyDescent="0.25">
      <c r="A750">
        <v>10590002</v>
      </c>
      <c r="B750" s="11">
        <v>592.19999999999993</v>
      </c>
      <c r="C750">
        <v>36329.942369084005</v>
      </c>
      <c r="H750" s="39"/>
    </row>
    <row r="751" spans="1:8" x14ac:dyDescent="0.25">
      <c r="A751">
        <v>10590004</v>
      </c>
      <c r="B751" s="11">
        <v>4043</v>
      </c>
      <c r="C751">
        <v>152447.44432762</v>
      </c>
      <c r="H751" s="39"/>
    </row>
    <row r="752" spans="1:8" x14ac:dyDescent="0.25">
      <c r="A752">
        <v>10010141</v>
      </c>
      <c r="B752" s="11">
        <v>564.80000000000007</v>
      </c>
      <c r="C752">
        <v>21938.342676250002</v>
      </c>
      <c r="H752" s="39"/>
    </row>
    <row r="753" spans="1:8" x14ac:dyDescent="0.25">
      <c r="A753">
        <v>10070060</v>
      </c>
      <c r="B753" s="11">
        <v>408.3</v>
      </c>
      <c r="C753">
        <v>14693.134221787801</v>
      </c>
      <c r="H753" s="39"/>
    </row>
    <row r="754" spans="1:8" x14ac:dyDescent="0.25">
      <c r="A754">
        <v>10070077</v>
      </c>
      <c r="B754" s="11">
        <v>758.4</v>
      </c>
      <c r="C754">
        <v>26600.057934190001</v>
      </c>
      <c r="H754" s="39"/>
    </row>
    <row r="755" spans="1:8" x14ac:dyDescent="0.25">
      <c r="A755">
        <v>10070078</v>
      </c>
      <c r="B755" s="11">
        <v>3952.6000000000004</v>
      </c>
      <c r="C755">
        <v>142753.38153025851</v>
      </c>
      <c r="H755" s="39"/>
    </row>
    <row r="756" spans="1:8" x14ac:dyDescent="0.25">
      <c r="A756">
        <v>10140201</v>
      </c>
      <c r="B756" s="11">
        <v>1205.7999999999997</v>
      </c>
      <c r="C756">
        <v>40607.727544000001</v>
      </c>
      <c r="H756" s="39"/>
    </row>
    <row r="757" spans="1:8" x14ac:dyDescent="0.25">
      <c r="A757">
        <v>10530100</v>
      </c>
      <c r="B757" s="11">
        <v>991.44999999999993</v>
      </c>
      <c r="C757">
        <v>40637.245529760505</v>
      </c>
      <c r="H757" s="39"/>
    </row>
    <row r="758" spans="1:8" x14ac:dyDescent="0.25">
      <c r="A758">
        <v>10530102</v>
      </c>
      <c r="B758" s="11">
        <v>402.15</v>
      </c>
      <c r="C758">
        <v>16390.26320739225</v>
      </c>
      <c r="H758" s="39"/>
    </row>
    <row r="759" spans="1:8" x14ac:dyDescent="0.25">
      <c r="A759">
        <v>10580010</v>
      </c>
      <c r="B759" s="11">
        <v>1063.2</v>
      </c>
      <c r="C759">
        <v>38706.397768263996</v>
      </c>
      <c r="H759" s="39"/>
    </row>
    <row r="760" spans="1:8" x14ac:dyDescent="0.25">
      <c r="A760">
        <v>10580012</v>
      </c>
      <c r="B760" s="11">
        <v>539.6</v>
      </c>
      <c r="C760">
        <v>20837.42172033</v>
      </c>
      <c r="H760" s="39"/>
    </row>
    <row r="761" spans="1:8" x14ac:dyDescent="0.25">
      <c r="A761">
        <v>10580015</v>
      </c>
      <c r="B761" s="11">
        <v>1956.6</v>
      </c>
      <c r="C761">
        <v>65571.383330701996</v>
      </c>
      <c r="H761" s="39"/>
    </row>
    <row r="762" spans="1:8" x14ac:dyDescent="0.25">
      <c r="A762">
        <v>10580017</v>
      </c>
      <c r="B762" s="11">
        <v>4824</v>
      </c>
      <c r="C762">
        <v>194779.36578502198</v>
      </c>
      <c r="H762" s="39"/>
    </row>
    <row r="763" spans="1:8" x14ac:dyDescent="0.25">
      <c r="A763">
        <v>10590006</v>
      </c>
      <c r="B763" s="11">
        <v>2626.9</v>
      </c>
      <c r="C763">
        <v>111244.0726827</v>
      </c>
      <c r="H763" s="39"/>
    </row>
    <row r="764" spans="1:8" x14ac:dyDescent="0.25">
      <c r="A764">
        <v>10100004</v>
      </c>
      <c r="B764" s="11">
        <v>516.20000000000005</v>
      </c>
      <c r="C764">
        <v>16823.805235456002</v>
      </c>
      <c r="H764" s="39"/>
    </row>
    <row r="765" spans="1:8" x14ac:dyDescent="0.25">
      <c r="A765">
        <v>10100026</v>
      </c>
      <c r="B765" s="11">
        <v>2170.3999999999996</v>
      </c>
      <c r="C765">
        <v>77980.89814269921</v>
      </c>
      <c r="H765" s="39"/>
    </row>
    <row r="766" spans="1:8" x14ac:dyDescent="0.25">
      <c r="A766">
        <v>10100062</v>
      </c>
      <c r="B766" s="11">
        <v>31768</v>
      </c>
      <c r="C766">
        <v>1270989.12702651</v>
      </c>
      <c r="H766" s="39"/>
    </row>
    <row r="767" spans="1:8" x14ac:dyDescent="0.25">
      <c r="A767">
        <v>10120122</v>
      </c>
      <c r="B767" s="11">
        <v>4441.8499999999995</v>
      </c>
      <c r="C767">
        <v>189343.9167630283</v>
      </c>
      <c r="H767" s="39"/>
    </row>
    <row r="768" spans="1:8" x14ac:dyDescent="0.25">
      <c r="A768">
        <v>10540042</v>
      </c>
      <c r="B768" s="11">
        <v>5436.4800000000005</v>
      </c>
      <c r="C768">
        <v>275006.0109236181</v>
      </c>
      <c r="H768" s="39"/>
    </row>
    <row r="769" spans="1:8" x14ac:dyDescent="0.25">
      <c r="A769">
        <v>10580018</v>
      </c>
      <c r="B769" s="11">
        <v>681.8</v>
      </c>
      <c r="C769">
        <v>29080.90264987</v>
      </c>
      <c r="H769" s="39"/>
    </row>
    <row r="770" spans="1:8" x14ac:dyDescent="0.25">
      <c r="A770">
        <v>10090078</v>
      </c>
      <c r="B770" s="11">
        <v>1235.1999999999998</v>
      </c>
      <c r="C770">
        <v>46014.993440448001</v>
      </c>
      <c r="H770" s="39"/>
    </row>
    <row r="771" spans="1:8" x14ac:dyDescent="0.25">
      <c r="A771">
        <v>10130115</v>
      </c>
      <c r="B771" s="11">
        <v>1741.8999999999999</v>
      </c>
      <c r="C771">
        <v>80095.29886016871</v>
      </c>
      <c r="H771" s="39"/>
    </row>
    <row r="772" spans="1:8" x14ac:dyDescent="0.25">
      <c r="A772">
        <v>10130116</v>
      </c>
      <c r="B772" s="11">
        <v>253</v>
      </c>
      <c r="C772">
        <v>8876.9758375695001</v>
      </c>
      <c r="H772" s="39"/>
    </row>
    <row r="773" spans="1:8" x14ac:dyDescent="0.25">
      <c r="A773">
        <v>10530073</v>
      </c>
      <c r="B773" s="11">
        <v>196.25</v>
      </c>
      <c r="C773">
        <v>6719.1037428920008</v>
      </c>
      <c r="H773" s="39"/>
    </row>
    <row r="774" spans="1:8" x14ac:dyDescent="0.25">
      <c r="A774">
        <v>10540044</v>
      </c>
      <c r="B774" s="11">
        <v>1592.48</v>
      </c>
      <c r="C774">
        <v>58570.392225015799</v>
      </c>
      <c r="H774" s="39"/>
    </row>
    <row r="775" spans="1:8" x14ac:dyDescent="0.25">
      <c r="A775">
        <v>10570036</v>
      </c>
      <c r="B775" s="11">
        <v>1183.4000000000001</v>
      </c>
      <c r="C775">
        <v>47520.742006807995</v>
      </c>
      <c r="H775" s="39"/>
    </row>
    <row r="776" spans="1:8" x14ac:dyDescent="0.25">
      <c r="A776">
        <v>10600001</v>
      </c>
      <c r="B776" s="11">
        <v>1214.0999999999999</v>
      </c>
      <c r="C776">
        <v>42245.058344460005</v>
      </c>
      <c r="H776" s="39"/>
    </row>
    <row r="777" spans="1:8" x14ac:dyDescent="0.25">
      <c r="A777">
        <v>10600002</v>
      </c>
      <c r="B777" s="11">
        <v>2140.4</v>
      </c>
      <c r="C777">
        <v>75190.935915270005</v>
      </c>
      <c r="H777" s="39"/>
    </row>
    <row r="778" spans="1:8" x14ac:dyDescent="0.25">
      <c r="A778">
        <v>10600004</v>
      </c>
      <c r="B778" s="11">
        <v>2493.1999999999998</v>
      </c>
      <c r="C778">
        <v>84146.772563680002</v>
      </c>
      <c r="H778" s="39"/>
    </row>
    <row r="779" spans="1:8" x14ac:dyDescent="0.25">
      <c r="A779">
        <v>10600006</v>
      </c>
      <c r="B779" s="11">
        <v>1539.9</v>
      </c>
      <c r="C779">
        <v>60300.866592880004</v>
      </c>
      <c r="H779" s="39"/>
    </row>
    <row r="780" spans="1:8" x14ac:dyDescent="0.25">
      <c r="A780">
        <v>10600008</v>
      </c>
      <c r="B780" s="11">
        <v>466.2</v>
      </c>
      <c r="C780">
        <v>15364.747564639998</v>
      </c>
      <c r="H780" s="39"/>
    </row>
    <row r="781" spans="1:8" x14ac:dyDescent="0.25">
      <c r="A781">
        <v>10600009</v>
      </c>
      <c r="B781" s="11">
        <v>1507.1999999999998</v>
      </c>
      <c r="C781">
        <v>54903.755823529995</v>
      </c>
      <c r="H781" s="39"/>
    </row>
    <row r="782" spans="1:8" x14ac:dyDescent="0.25">
      <c r="A782">
        <v>10610002</v>
      </c>
      <c r="B782" s="11">
        <v>1358.1999999999998</v>
      </c>
      <c r="C782">
        <v>63779.783491003007</v>
      </c>
      <c r="H782" s="39"/>
    </row>
    <row r="783" spans="1:8" x14ac:dyDescent="0.25">
      <c r="A783">
        <v>10610006</v>
      </c>
      <c r="B783" s="11">
        <v>1421.8999999999999</v>
      </c>
      <c r="C783">
        <v>67545.511461988004</v>
      </c>
      <c r="H783" s="39"/>
    </row>
    <row r="784" spans="1:8" x14ac:dyDescent="0.25">
      <c r="A784">
        <v>10610007</v>
      </c>
      <c r="B784" s="11">
        <v>1142.0999999999999</v>
      </c>
      <c r="C784">
        <v>58621.038026329399</v>
      </c>
      <c r="H784" s="39"/>
    </row>
    <row r="785" spans="1:8" x14ac:dyDescent="0.25">
      <c r="A785">
        <v>10610008</v>
      </c>
      <c r="B785" s="11">
        <v>2003.5</v>
      </c>
      <c r="C785">
        <v>87514.049857424136</v>
      </c>
      <c r="H785" s="39"/>
    </row>
    <row r="786" spans="1:8" x14ac:dyDescent="0.25">
      <c r="A786">
        <v>10610010</v>
      </c>
      <c r="B786" s="11">
        <v>1837.6000000000001</v>
      </c>
      <c r="C786">
        <v>77916.534707330793</v>
      </c>
      <c r="H786" s="39"/>
    </row>
    <row r="787" spans="1:8" x14ac:dyDescent="0.25">
      <c r="A787">
        <v>10060130</v>
      </c>
      <c r="B787" s="11">
        <v>2802</v>
      </c>
      <c r="C787">
        <v>110596.95987573999</v>
      </c>
      <c r="H787" s="39"/>
    </row>
    <row r="788" spans="1:8" x14ac:dyDescent="0.25">
      <c r="A788">
        <v>10100065</v>
      </c>
      <c r="B788" s="11">
        <v>3802.6</v>
      </c>
      <c r="C788">
        <v>131101.25060816098</v>
      </c>
      <c r="H788" s="39"/>
    </row>
    <row r="789" spans="1:8" x14ac:dyDescent="0.25">
      <c r="A789">
        <v>10140203</v>
      </c>
      <c r="B789" s="11">
        <v>8482.2000000000007</v>
      </c>
      <c r="C789">
        <v>309423.26124205999</v>
      </c>
      <c r="H789" s="39"/>
    </row>
    <row r="790" spans="1:8" x14ac:dyDescent="0.25">
      <c r="A790">
        <v>10530105</v>
      </c>
      <c r="B790" s="11">
        <v>601.65000000000009</v>
      </c>
      <c r="C790">
        <v>23287.347138179</v>
      </c>
      <c r="H790" s="39"/>
    </row>
    <row r="791" spans="1:8" x14ac:dyDescent="0.25">
      <c r="A791">
        <v>10560027</v>
      </c>
      <c r="B791" s="11">
        <v>659.52</v>
      </c>
      <c r="C791">
        <v>25437.8</v>
      </c>
      <c r="H791" s="39"/>
    </row>
    <row r="792" spans="1:8" x14ac:dyDescent="0.25">
      <c r="A792">
        <v>10600005</v>
      </c>
      <c r="B792" s="11">
        <v>855</v>
      </c>
      <c r="C792">
        <v>31695.644504560001</v>
      </c>
      <c r="H792" s="39"/>
    </row>
    <row r="793" spans="1:8" x14ac:dyDescent="0.25">
      <c r="A793">
        <v>10020027</v>
      </c>
      <c r="B793" s="11">
        <v>2551.6999999999998</v>
      </c>
      <c r="C793">
        <v>94115.343022999994</v>
      </c>
      <c r="H793" s="39"/>
    </row>
    <row r="794" spans="1:8" x14ac:dyDescent="0.25">
      <c r="A794">
        <v>10080120</v>
      </c>
      <c r="B794" s="11">
        <v>1466.5500000000002</v>
      </c>
      <c r="C794">
        <v>55195.357227075001</v>
      </c>
      <c r="H794" s="39"/>
    </row>
    <row r="795" spans="1:8" x14ac:dyDescent="0.25">
      <c r="A795">
        <v>10110177</v>
      </c>
      <c r="B795" s="11">
        <v>2287.5</v>
      </c>
      <c r="C795">
        <v>95814.487063568013</v>
      </c>
      <c r="H795" s="39"/>
    </row>
    <row r="796" spans="1:8" x14ac:dyDescent="0.25">
      <c r="A796">
        <v>10120088</v>
      </c>
      <c r="B796" s="11">
        <v>13231.099999999999</v>
      </c>
      <c r="C796">
        <v>505113.21539730998</v>
      </c>
      <c r="H796" s="39"/>
    </row>
    <row r="797" spans="1:8" x14ac:dyDescent="0.25">
      <c r="A797">
        <v>10130117</v>
      </c>
      <c r="B797" s="11">
        <v>1260</v>
      </c>
      <c r="C797">
        <v>38184.580078408493</v>
      </c>
      <c r="H797" s="39"/>
    </row>
    <row r="798" spans="1:8" x14ac:dyDescent="0.25">
      <c r="A798">
        <v>10530107</v>
      </c>
      <c r="B798" s="11">
        <v>1015.25</v>
      </c>
      <c r="C798">
        <v>53569.228784971296</v>
      </c>
      <c r="H798" s="39"/>
    </row>
    <row r="799" spans="1:8" x14ac:dyDescent="0.25">
      <c r="A799">
        <v>10540045</v>
      </c>
      <c r="B799" s="11">
        <v>2342.1999999999998</v>
      </c>
      <c r="C799">
        <v>102040.35163731128</v>
      </c>
      <c r="H799" s="39"/>
    </row>
    <row r="800" spans="1:8" x14ac:dyDescent="0.25">
      <c r="A800">
        <v>10560034</v>
      </c>
      <c r="B800" s="11">
        <v>936.95999999999981</v>
      </c>
      <c r="C800">
        <v>32102.346625182006</v>
      </c>
      <c r="H800" s="39"/>
    </row>
    <row r="801" spans="1:8" x14ac:dyDescent="0.25">
      <c r="A801">
        <v>10570045</v>
      </c>
      <c r="B801" s="11">
        <v>4543.3</v>
      </c>
      <c r="C801">
        <v>169966.35455514997</v>
      </c>
      <c r="H801" s="39"/>
    </row>
    <row r="802" spans="1:8" x14ac:dyDescent="0.25">
      <c r="A802">
        <v>10570046</v>
      </c>
      <c r="B802" s="11">
        <v>2088.1</v>
      </c>
      <c r="C802">
        <v>70622.939153696003</v>
      </c>
      <c r="H802" s="39"/>
    </row>
    <row r="803" spans="1:8" x14ac:dyDescent="0.25">
      <c r="A803">
        <v>10580022</v>
      </c>
      <c r="B803" s="11">
        <v>897.8</v>
      </c>
      <c r="C803">
        <v>42955.510218327589</v>
      </c>
      <c r="H803" s="39"/>
    </row>
    <row r="804" spans="1:8" x14ac:dyDescent="0.25">
      <c r="A804">
        <v>10580023</v>
      </c>
      <c r="B804" s="11">
        <v>3170.5000000000005</v>
      </c>
      <c r="C804">
        <v>123940.70677428599</v>
      </c>
      <c r="H804" s="39"/>
    </row>
    <row r="805" spans="1:8" x14ac:dyDescent="0.25">
      <c r="A805">
        <v>10610009</v>
      </c>
      <c r="B805" s="11">
        <v>3795.06</v>
      </c>
      <c r="C805">
        <v>170116.62224452797</v>
      </c>
      <c r="H805" s="39"/>
    </row>
    <row r="806" spans="1:8" x14ac:dyDescent="0.25">
      <c r="A806">
        <v>10060129</v>
      </c>
      <c r="B806" s="11">
        <v>996.30000000000007</v>
      </c>
      <c r="C806">
        <v>39372.125283460002</v>
      </c>
      <c r="H806" s="39"/>
    </row>
    <row r="807" spans="1:8" x14ac:dyDescent="0.25">
      <c r="A807">
        <v>10080122</v>
      </c>
      <c r="B807" s="11">
        <v>2609.1000000000004</v>
      </c>
      <c r="C807">
        <v>98272.077262700011</v>
      </c>
      <c r="H807" s="39"/>
    </row>
    <row r="808" spans="1:8" x14ac:dyDescent="0.25">
      <c r="A808">
        <v>10110181</v>
      </c>
      <c r="B808" s="11">
        <v>87.7</v>
      </c>
      <c r="C808">
        <v>3214.5200000000004</v>
      </c>
      <c r="H808" s="39"/>
    </row>
    <row r="809" spans="1:8" x14ac:dyDescent="0.25">
      <c r="A809">
        <v>10110183</v>
      </c>
      <c r="B809" s="11">
        <v>7296.8000000000011</v>
      </c>
      <c r="C809">
        <v>294197.41495904</v>
      </c>
      <c r="H809" s="39"/>
    </row>
    <row r="810" spans="1:8" x14ac:dyDescent="0.25">
      <c r="A810">
        <v>10110184</v>
      </c>
      <c r="B810" s="11">
        <v>1794.2000000000003</v>
      </c>
      <c r="C810">
        <v>70474.300898919988</v>
      </c>
      <c r="H810" s="39"/>
    </row>
    <row r="811" spans="1:8" x14ac:dyDescent="0.25">
      <c r="A811">
        <v>10130118</v>
      </c>
      <c r="B811" s="11">
        <v>32521.7</v>
      </c>
      <c r="C811">
        <v>1117667.7024800791</v>
      </c>
      <c r="H811" s="39"/>
    </row>
    <row r="812" spans="1:8" x14ac:dyDescent="0.25">
      <c r="A812">
        <v>10530109</v>
      </c>
      <c r="B812" s="11">
        <v>6172.0499999999993</v>
      </c>
      <c r="C812">
        <v>256238.30915872479</v>
      </c>
      <c r="H812" s="39"/>
    </row>
    <row r="813" spans="1:8" x14ac:dyDescent="0.25">
      <c r="A813">
        <v>10630001</v>
      </c>
      <c r="B813" s="11">
        <v>0.01</v>
      </c>
      <c r="C813">
        <v>0.33</v>
      </c>
      <c r="H813" s="39"/>
    </row>
    <row r="814" spans="1:8" x14ac:dyDescent="0.25">
      <c r="A814">
        <v>10630003</v>
      </c>
      <c r="B814" s="11">
        <v>499.19999999999993</v>
      </c>
      <c r="C814">
        <v>24244.421290853301</v>
      </c>
      <c r="H814" s="39"/>
    </row>
    <row r="815" spans="1:8" x14ac:dyDescent="0.25">
      <c r="A815">
        <v>10630007</v>
      </c>
      <c r="B815" s="11">
        <v>242.39999999999998</v>
      </c>
      <c r="C815">
        <v>10722.128716997202</v>
      </c>
      <c r="H815" s="39"/>
    </row>
    <row r="816" spans="1:8" x14ac:dyDescent="0.25">
      <c r="A816">
        <v>10630008</v>
      </c>
      <c r="B816" s="11">
        <v>2882.6</v>
      </c>
      <c r="C816">
        <v>112342.65100413999</v>
      </c>
      <c r="H816" s="39"/>
    </row>
    <row r="817" spans="1:8" x14ac:dyDescent="0.25">
      <c r="A817">
        <v>10630009</v>
      </c>
      <c r="B817" s="11">
        <v>991.2</v>
      </c>
      <c r="C817">
        <v>48364.485990629597</v>
      </c>
      <c r="H817" s="39"/>
    </row>
    <row r="818" spans="1:8" x14ac:dyDescent="0.25">
      <c r="A818">
        <v>10630010</v>
      </c>
      <c r="B818" s="11">
        <v>1409.7000000000003</v>
      </c>
      <c r="C818">
        <v>51985.088057929999</v>
      </c>
      <c r="H818" s="39"/>
    </row>
    <row r="819" spans="1:8" x14ac:dyDescent="0.25">
      <c r="A819">
        <v>10630011</v>
      </c>
      <c r="B819" s="11">
        <v>462.6</v>
      </c>
      <c r="C819">
        <v>14774.139502368998</v>
      </c>
      <c r="H819" s="39"/>
    </row>
    <row r="820" spans="1:8" x14ac:dyDescent="0.25">
      <c r="A820">
        <v>10630012</v>
      </c>
      <c r="B820" s="11">
        <v>1079.3999999999999</v>
      </c>
      <c r="C820">
        <v>40114.604702180004</v>
      </c>
      <c r="H820" s="39"/>
    </row>
    <row r="821" spans="1:8" x14ac:dyDescent="0.25">
      <c r="A821">
        <v>10060051</v>
      </c>
      <c r="B821" s="11">
        <v>477.49999999999994</v>
      </c>
      <c r="C821">
        <v>17281.231608914499</v>
      </c>
      <c r="H821" s="39"/>
    </row>
    <row r="822" spans="1:8" x14ac:dyDescent="0.25">
      <c r="A822">
        <v>10060120</v>
      </c>
      <c r="B822" s="11">
        <v>667.5</v>
      </c>
      <c r="C822">
        <v>30762.597324667</v>
      </c>
      <c r="H822" s="39"/>
    </row>
    <row r="823" spans="1:8" x14ac:dyDescent="0.25">
      <c r="A823">
        <v>10080124</v>
      </c>
      <c r="B823" s="11">
        <v>1004.3</v>
      </c>
      <c r="C823">
        <v>41102.8326616005</v>
      </c>
      <c r="H823" s="39"/>
    </row>
    <row r="824" spans="1:8" x14ac:dyDescent="0.25">
      <c r="A824">
        <v>10110185</v>
      </c>
      <c r="B824" s="11">
        <v>1326</v>
      </c>
      <c r="C824">
        <v>48851.580651199998</v>
      </c>
      <c r="H824" s="39"/>
    </row>
    <row r="825" spans="1:8" x14ac:dyDescent="0.25">
      <c r="A825">
        <v>10120120</v>
      </c>
      <c r="B825" s="11">
        <v>1203.6600000000001</v>
      </c>
      <c r="C825">
        <v>45547.64633330419</v>
      </c>
      <c r="H825" s="39"/>
    </row>
    <row r="826" spans="1:8" x14ac:dyDescent="0.25">
      <c r="A826">
        <v>10120123</v>
      </c>
      <c r="B826" s="11">
        <v>2993.3999999999996</v>
      </c>
      <c r="C826">
        <v>112519.74302271099</v>
      </c>
      <c r="H826" s="39"/>
    </row>
    <row r="827" spans="1:8" x14ac:dyDescent="0.25">
      <c r="A827">
        <v>10140205</v>
      </c>
      <c r="B827" s="11">
        <v>1239.2</v>
      </c>
      <c r="C827">
        <v>56607.058844125007</v>
      </c>
      <c r="H827" s="39"/>
    </row>
    <row r="828" spans="1:8" x14ac:dyDescent="0.25">
      <c r="A828">
        <v>10550005</v>
      </c>
      <c r="B828" s="11">
        <v>921.69999999999982</v>
      </c>
      <c r="C828">
        <v>34895.886215813</v>
      </c>
      <c r="H828" s="39"/>
    </row>
    <row r="829" spans="1:8" x14ac:dyDescent="0.25">
      <c r="A829">
        <v>10550007</v>
      </c>
      <c r="B829" s="11">
        <v>7344.1</v>
      </c>
      <c r="C829">
        <v>252943.16239705455</v>
      </c>
      <c r="H829" s="39"/>
    </row>
    <row r="830" spans="1:8" x14ac:dyDescent="0.25">
      <c r="A830">
        <v>10590008</v>
      </c>
      <c r="B830" s="11">
        <v>1275.9000000000001</v>
      </c>
      <c r="C830">
        <v>57847.084222496</v>
      </c>
      <c r="H830" s="39"/>
    </row>
    <row r="831" spans="1:8" x14ac:dyDescent="0.25">
      <c r="A831">
        <v>10590010</v>
      </c>
      <c r="B831" s="11">
        <v>5242.9000000000005</v>
      </c>
      <c r="C831">
        <v>253448.44386276265</v>
      </c>
      <c r="H831" s="39"/>
    </row>
    <row r="832" spans="1:8" x14ac:dyDescent="0.25">
      <c r="A832">
        <v>10590011</v>
      </c>
      <c r="B832" s="11">
        <v>2570.6</v>
      </c>
      <c r="C832">
        <v>99485.508405700006</v>
      </c>
      <c r="H832" s="39"/>
    </row>
    <row r="833" spans="1:8" x14ac:dyDescent="0.25">
      <c r="A833">
        <v>10590012</v>
      </c>
      <c r="B833" s="11">
        <v>2630.3</v>
      </c>
      <c r="C833">
        <v>108333.08976985031</v>
      </c>
      <c r="H833" s="39"/>
    </row>
    <row r="834" spans="1:8" x14ac:dyDescent="0.25">
      <c r="A834">
        <v>10060055</v>
      </c>
      <c r="B834" s="11">
        <v>1171.2</v>
      </c>
      <c r="C834">
        <v>41476.726283719996</v>
      </c>
      <c r="H834" s="39"/>
    </row>
    <row r="835" spans="1:8" x14ac:dyDescent="0.25">
      <c r="A835">
        <v>10140206</v>
      </c>
      <c r="B835" s="11">
        <v>2209.9000000000005</v>
      </c>
      <c r="C835">
        <v>92063.930616410609</v>
      </c>
      <c r="H835" s="39"/>
    </row>
    <row r="836" spans="1:8" x14ac:dyDescent="0.25">
      <c r="A836">
        <v>10530106</v>
      </c>
      <c r="B836" s="11">
        <v>1643.8000000000002</v>
      </c>
      <c r="C836">
        <v>61091.125012655</v>
      </c>
      <c r="H836" s="39"/>
    </row>
    <row r="837" spans="1:8" x14ac:dyDescent="0.25">
      <c r="A837">
        <v>10530108</v>
      </c>
      <c r="B837" s="11">
        <v>804.45</v>
      </c>
      <c r="C837">
        <v>31827.537430061002</v>
      </c>
      <c r="H837" s="39"/>
    </row>
    <row r="838" spans="1:8" x14ac:dyDescent="0.25">
      <c r="A838">
        <v>10530110</v>
      </c>
      <c r="B838" s="11">
        <v>3055.0499999999997</v>
      </c>
      <c r="C838">
        <v>120244.40994933055</v>
      </c>
      <c r="H838" s="39"/>
    </row>
    <row r="839" spans="1:8" x14ac:dyDescent="0.25">
      <c r="A839">
        <v>10560016</v>
      </c>
      <c r="B839" s="11">
        <v>3984.16</v>
      </c>
      <c r="C839">
        <v>150583.13638260693</v>
      </c>
      <c r="H839" s="39"/>
    </row>
    <row r="840" spans="1:8" x14ac:dyDescent="0.25">
      <c r="A840">
        <v>10560029</v>
      </c>
      <c r="B840" s="11">
        <v>431.16</v>
      </c>
      <c r="C840">
        <v>18283.574247896002</v>
      </c>
      <c r="H840" s="39"/>
    </row>
    <row r="841" spans="1:8" x14ac:dyDescent="0.25">
      <c r="A841">
        <v>10570047</v>
      </c>
      <c r="B841" s="11">
        <v>1423.6</v>
      </c>
      <c r="C841">
        <v>55519.698414230006</v>
      </c>
      <c r="H841" s="39"/>
    </row>
    <row r="842" spans="1:8" x14ac:dyDescent="0.25">
      <c r="A842">
        <v>10630004</v>
      </c>
      <c r="B842" s="11">
        <v>534.79999999999995</v>
      </c>
      <c r="C842">
        <v>27185.0881687849</v>
      </c>
      <c r="H842" s="39"/>
    </row>
    <row r="843" spans="1:8" x14ac:dyDescent="0.25">
      <c r="A843">
        <v>10640001</v>
      </c>
      <c r="B843" s="11">
        <v>3232.119999999999</v>
      </c>
      <c r="C843">
        <v>124510.51161222989</v>
      </c>
      <c r="H843" s="39"/>
    </row>
    <row r="844" spans="1:8" x14ac:dyDescent="0.25">
      <c r="A844">
        <v>10640003</v>
      </c>
      <c r="B844" s="11">
        <v>3704.13</v>
      </c>
      <c r="C844">
        <v>153695.302655754</v>
      </c>
      <c r="H844" s="39"/>
    </row>
    <row r="845" spans="1:8" x14ac:dyDescent="0.25">
      <c r="A845">
        <v>10640004</v>
      </c>
      <c r="B845" s="11">
        <v>677.58999999999992</v>
      </c>
      <c r="C845">
        <v>25753.504629264</v>
      </c>
      <c r="H845" s="39"/>
    </row>
    <row r="846" spans="1:8" x14ac:dyDescent="0.25">
      <c r="A846">
        <v>10640005</v>
      </c>
      <c r="B846" s="11">
        <v>702.4899999999999</v>
      </c>
      <c r="C846">
        <v>30765.789255516422</v>
      </c>
      <c r="H846" s="39"/>
    </row>
    <row r="847" spans="1:8" x14ac:dyDescent="0.25">
      <c r="A847">
        <v>10640006</v>
      </c>
      <c r="B847" s="11">
        <v>697.67</v>
      </c>
      <c r="C847">
        <v>36030.748080835197</v>
      </c>
      <c r="H847" s="39"/>
    </row>
    <row r="848" spans="1:8" x14ac:dyDescent="0.25">
      <c r="A848">
        <v>10640007</v>
      </c>
      <c r="B848" s="11">
        <v>921.34</v>
      </c>
      <c r="C848">
        <v>39351.176937083357</v>
      </c>
      <c r="H848" s="39"/>
    </row>
    <row r="849" spans="1:8" x14ac:dyDescent="0.25">
      <c r="A849">
        <v>10060061</v>
      </c>
      <c r="B849" s="11">
        <v>900.5</v>
      </c>
      <c r="C849">
        <v>31579.108917491998</v>
      </c>
      <c r="H849" s="39"/>
    </row>
    <row r="850" spans="1:8" x14ac:dyDescent="0.25">
      <c r="A850">
        <v>10100061</v>
      </c>
      <c r="B850" s="11">
        <v>675.6</v>
      </c>
      <c r="C850">
        <v>22967.5706045857</v>
      </c>
      <c r="H850" s="39"/>
    </row>
    <row r="851" spans="1:8" x14ac:dyDescent="0.25">
      <c r="A851">
        <v>10130101</v>
      </c>
      <c r="B851" s="11">
        <v>340.4</v>
      </c>
      <c r="C851">
        <v>13995.795360720002</v>
      </c>
      <c r="H851" s="39"/>
    </row>
    <row r="852" spans="1:8" x14ac:dyDescent="0.25">
      <c r="A852">
        <v>10560028</v>
      </c>
      <c r="B852" s="11">
        <v>1497.74</v>
      </c>
      <c r="C852">
        <v>65085.711739397797</v>
      </c>
      <c r="H852" s="39"/>
    </row>
    <row r="853" spans="1:8" x14ac:dyDescent="0.25">
      <c r="A853">
        <v>10560031</v>
      </c>
      <c r="B853" s="11">
        <v>2589.84</v>
      </c>
      <c r="C853">
        <v>94049.142423122001</v>
      </c>
      <c r="H853" s="105"/>
    </row>
    <row r="854" spans="1:8" x14ac:dyDescent="0.25">
      <c r="A854">
        <v>10570044</v>
      </c>
      <c r="B854" s="11">
        <v>389.5</v>
      </c>
      <c r="C854">
        <v>17660.148590668203</v>
      </c>
      <c r="H854" s="39"/>
    </row>
    <row r="855" spans="1:8" x14ac:dyDescent="0.25">
      <c r="A855">
        <v>10570049</v>
      </c>
      <c r="B855" s="11">
        <v>1074.4000000000001</v>
      </c>
      <c r="C855">
        <v>54050.1086810696</v>
      </c>
      <c r="H855" s="39"/>
    </row>
    <row r="856" spans="1:8" x14ac:dyDescent="0.25">
      <c r="A856">
        <v>10600012</v>
      </c>
      <c r="B856" s="11">
        <v>1935.3000000000002</v>
      </c>
      <c r="C856">
        <v>68828.204102379997</v>
      </c>
      <c r="H856" s="39"/>
    </row>
    <row r="857" spans="1:8" x14ac:dyDescent="0.25">
      <c r="A857">
        <v>10600013</v>
      </c>
      <c r="B857" s="11">
        <v>267.8</v>
      </c>
      <c r="C857">
        <v>11654.23</v>
      </c>
      <c r="H857" s="39"/>
    </row>
    <row r="858" spans="1:8" x14ac:dyDescent="0.25">
      <c r="A858">
        <v>10610001</v>
      </c>
      <c r="B858" s="11">
        <v>3502.2000000000007</v>
      </c>
      <c r="C858">
        <v>152429.46388925001</v>
      </c>
      <c r="H858" s="39"/>
    </row>
    <row r="859" spans="1:8" x14ac:dyDescent="0.25">
      <c r="A859">
        <v>10610003</v>
      </c>
      <c r="B859" s="11">
        <v>1637.5000000000002</v>
      </c>
      <c r="C859">
        <v>64818.104748269994</v>
      </c>
      <c r="H859" s="39"/>
    </row>
    <row r="860" spans="1:8" x14ac:dyDescent="0.25">
      <c r="A860">
        <v>10610004</v>
      </c>
      <c r="B860" s="11">
        <v>651.9</v>
      </c>
      <c r="C860">
        <v>27768.048748979501</v>
      </c>
      <c r="H860" s="39"/>
    </row>
    <row r="861" spans="1:8" x14ac:dyDescent="0.25">
      <c r="A861">
        <v>10610005</v>
      </c>
      <c r="B861" s="11">
        <v>1786.0000000000002</v>
      </c>
      <c r="C861">
        <v>75963.544551143001</v>
      </c>
      <c r="H861" s="39"/>
    </row>
    <row r="862" spans="1:8" x14ac:dyDescent="0.25">
      <c r="A862">
        <v>10610011</v>
      </c>
      <c r="B862" s="11">
        <v>1217.5999999999999</v>
      </c>
      <c r="C862">
        <v>48086.76912395408</v>
      </c>
      <c r="H862" s="39"/>
    </row>
    <row r="863" spans="1:8" x14ac:dyDescent="0.25">
      <c r="A863">
        <v>10610013</v>
      </c>
      <c r="B863" s="11">
        <v>1083.8</v>
      </c>
      <c r="C863">
        <v>39638.403585602995</v>
      </c>
      <c r="H863" s="39"/>
    </row>
    <row r="864" spans="1:8" x14ac:dyDescent="0.25">
      <c r="A864">
        <v>10610015</v>
      </c>
      <c r="B864" s="11">
        <v>1024.5999999999999</v>
      </c>
      <c r="C864">
        <v>36365.173771550006</v>
      </c>
      <c r="H864" s="39"/>
    </row>
    <row r="865" spans="1:8" x14ac:dyDescent="0.25">
      <c r="A865">
        <v>10610017</v>
      </c>
      <c r="B865" s="11">
        <v>810.19999999999993</v>
      </c>
      <c r="C865">
        <v>32818.884989066995</v>
      </c>
      <c r="H865" s="39"/>
    </row>
    <row r="866" spans="1:8" x14ac:dyDescent="0.25">
      <c r="A866">
        <v>10610018</v>
      </c>
      <c r="B866" s="11">
        <v>1931.5</v>
      </c>
      <c r="C866">
        <v>85431.683812514006</v>
      </c>
      <c r="H866" s="39"/>
    </row>
    <row r="867" spans="1:8" x14ac:dyDescent="0.25">
      <c r="A867">
        <v>10610020</v>
      </c>
      <c r="B867" s="11">
        <v>1607.4999999999998</v>
      </c>
      <c r="C867">
        <v>65022.825328003004</v>
      </c>
      <c r="H867" s="39"/>
    </row>
    <row r="868" spans="1:8" x14ac:dyDescent="0.25">
      <c r="A868">
        <v>10610022</v>
      </c>
      <c r="B868" s="11">
        <v>924.90000000000009</v>
      </c>
      <c r="C868">
        <v>39161.727273500699</v>
      </c>
      <c r="H868" s="39"/>
    </row>
    <row r="869" spans="1:8" x14ac:dyDescent="0.25">
      <c r="A869">
        <v>10610025</v>
      </c>
      <c r="B869" s="11">
        <v>153.20000000000002</v>
      </c>
      <c r="C869">
        <v>5588.22</v>
      </c>
      <c r="H869" s="39"/>
    </row>
    <row r="870" spans="1:8" x14ac:dyDescent="0.25">
      <c r="A870">
        <v>10630016</v>
      </c>
      <c r="B870" s="11">
        <v>1596.5</v>
      </c>
      <c r="C870">
        <v>55668.357350894003</v>
      </c>
      <c r="H870" s="39"/>
    </row>
    <row r="871" spans="1:8" x14ac:dyDescent="0.25">
      <c r="A871">
        <v>10630017</v>
      </c>
      <c r="B871" s="11">
        <v>62.9</v>
      </c>
      <c r="C871">
        <v>2070.4700000000003</v>
      </c>
      <c r="H871" s="39"/>
    </row>
    <row r="872" spans="1:8" x14ac:dyDescent="0.25">
      <c r="A872">
        <v>10630019</v>
      </c>
      <c r="B872" s="11">
        <v>1633.3</v>
      </c>
      <c r="C872">
        <v>55591.430113980008</v>
      </c>
      <c r="H872" s="39"/>
    </row>
    <row r="873" spans="1:8" x14ac:dyDescent="0.25">
      <c r="A873">
        <v>10650001</v>
      </c>
      <c r="B873" s="11">
        <v>614.29999999999995</v>
      </c>
      <c r="C873">
        <v>24021.049724620003</v>
      </c>
      <c r="H873" s="39"/>
    </row>
    <row r="874" spans="1:8" x14ac:dyDescent="0.25">
      <c r="A874">
        <v>10650003</v>
      </c>
      <c r="B874" s="11">
        <v>4451.7000000000007</v>
      </c>
      <c r="C874">
        <v>179219.23667935</v>
      </c>
      <c r="H874" s="39"/>
    </row>
    <row r="875" spans="1:8" x14ac:dyDescent="0.25">
      <c r="A875">
        <v>10650006</v>
      </c>
      <c r="B875" s="11">
        <v>437.3</v>
      </c>
      <c r="C875">
        <v>16671.119999999995</v>
      </c>
      <c r="H875" s="39"/>
    </row>
    <row r="876" spans="1:8" x14ac:dyDescent="0.25">
      <c r="A876">
        <v>10110188</v>
      </c>
      <c r="B876" s="11">
        <v>1168.1999999999998</v>
      </c>
      <c r="C876">
        <v>44518.884237930004</v>
      </c>
      <c r="H876" s="39"/>
    </row>
    <row r="877" spans="1:8" x14ac:dyDescent="0.25">
      <c r="A877">
        <v>10540046</v>
      </c>
      <c r="B877" s="11">
        <v>1654.1999999999998</v>
      </c>
      <c r="C877">
        <v>72162.587323172571</v>
      </c>
      <c r="H877" s="39"/>
    </row>
    <row r="878" spans="1:8" x14ac:dyDescent="0.25">
      <c r="A878">
        <v>10550008</v>
      </c>
      <c r="B878" s="11">
        <v>323.70000000000005</v>
      </c>
      <c r="C878">
        <v>10893.91</v>
      </c>
      <c r="H878" s="39"/>
    </row>
    <row r="879" spans="1:8" x14ac:dyDescent="0.25">
      <c r="A879">
        <v>10570053</v>
      </c>
      <c r="B879" s="11">
        <v>1031.8000000000002</v>
      </c>
      <c r="C879">
        <v>38018.197254850005</v>
      </c>
      <c r="H879" s="39"/>
    </row>
    <row r="880" spans="1:8" x14ac:dyDescent="0.25">
      <c r="A880">
        <v>10610019</v>
      </c>
      <c r="B880" s="11">
        <v>583.29999999999995</v>
      </c>
      <c r="C880">
        <v>27719.239694642602</v>
      </c>
      <c r="H880" s="39"/>
    </row>
    <row r="881" spans="1:8" x14ac:dyDescent="0.25">
      <c r="A881">
        <v>10610021</v>
      </c>
      <c r="B881" s="11">
        <v>67.2</v>
      </c>
      <c r="C881">
        <v>3063.4256596512</v>
      </c>
      <c r="H881" s="39"/>
    </row>
    <row r="882" spans="1:8" x14ac:dyDescent="0.25">
      <c r="A882">
        <v>10610024</v>
      </c>
      <c r="B882" s="11">
        <v>1017.0999999999999</v>
      </c>
      <c r="C882">
        <v>38892.768837470008</v>
      </c>
      <c r="H882" s="39"/>
    </row>
    <row r="883" spans="1:8" x14ac:dyDescent="0.25">
      <c r="A883">
        <v>10630015</v>
      </c>
      <c r="B883" s="11">
        <v>809.00000000000011</v>
      </c>
      <c r="C883">
        <v>30175.434350854401</v>
      </c>
      <c r="H883" s="39"/>
    </row>
    <row r="884" spans="1:8" x14ac:dyDescent="0.25">
      <c r="A884">
        <v>10640010</v>
      </c>
      <c r="B884" s="11">
        <v>1102.46</v>
      </c>
      <c r="C884">
        <v>41108.689402705051</v>
      </c>
      <c r="H884" s="39"/>
    </row>
    <row r="885" spans="1:8" x14ac:dyDescent="0.25">
      <c r="A885">
        <v>10640011</v>
      </c>
      <c r="B885" s="11">
        <v>860.44999999999993</v>
      </c>
      <c r="C885">
        <v>38408.87084827268</v>
      </c>
      <c r="H885" s="39"/>
    </row>
    <row r="886" spans="1:8" x14ac:dyDescent="0.25">
      <c r="A886">
        <v>10010143</v>
      </c>
      <c r="B886" s="11">
        <v>671.69999999999993</v>
      </c>
      <c r="C886">
        <v>23568.178934852003</v>
      </c>
      <c r="H886" s="39"/>
    </row>
    <row r="887" spans="1:8" x14ac:dyDescent="0.25">
      <c r="A887">
        <v>10010144</v>
      </c>
      <c r="B887" s="11">
        <v>143.19999999999999</v>
      </c>
      <c r="C887">
        <v>4419.4834667879995</v>
      </c>
      <c r="H887" s="39"/>
    </row>
    <row r="888" spans="1:8" x14ac:dyDescent="0.25">
      <c r="A888">
        <v>10010145</v>
      </c>
      <c r="B888" s="11">
        <v>1082.3</v>
      </c>
      <c r="C888">
        <v>41368.664629849998</v>
      </c>
      <c r="H888" s="39"/>
    </row>
    <row r="889" spans="1:8" x14ac:dyDescent="0.25">
      <c r="A889">
        <v>10010146</v>
      </c>
      <c r="B889" s="11">
        <v>851.40000000000009</v>
      </c>
      <c r="C889">
        <v>30923.804682590002</v>
      </c>
      <c r="H889" s="39"/>
    </row>
    <row r="890" spans="1:8" x14ac:dyDescent="0.25">
      <c r="A890">
        <v>10010147</v>
      </c>
      <c r="B890" s="11">
        <v>425</v>
      </c>
      <c r="C890">
        <v>16465.022278578002</v>
      </c>
      <c r="H890" s="39"/>
    </row>
    <row r="891" spans="1:8" x14ac:dyDescent="0.25">
      <c r="A891">
        <v>10010148</v>
      </c>
      <c r="B891" s="11">
        <v>1747.2</v>
      </c>
      <c r="C891">
        <v>72958.820161920012</v>
      </c>
      <c r="H891" s="39"/>
    </row>
    <row r="892" spans="1:8" x14ac:dyDescent="0.25">
      <c r="A892">
        <v>10010149</v>
      </c>
      <c r="B892" s="11">
        <v>1158.4000000000001</v>
      </c>
      <c r="C892">
        <v>42837.491778448006</v>
      </c>
      <c r="H892" s="39"/>
    </row>
    <row r="893" spans="1:8" x14ac:dyDescent="0.25">
      <c r="A893">
        <v>10080126</v>
      </c>
      <c r="B893" s="11">
        <v>970.45</v>
      </c>
      <c r="C893">
        <v>34928.249038497001</v>
      </c>
      <c r="H893" s="39"/>
    </row>
    <row r="894" spans="1:8" x14ac:dyDescent="0.25">
      <c r="A894">
        <v>10090079</v>
      </c>
      <c r="B894" s="11">
        <v>1034</v>
      </c>
      <c r="C894">
        <v>39353.488279609999</v>
      </c>
      <c r="H894" s="39"/>
    </row>
    <row r="895" spans="1:8" x14ac:dyDescent="0.25">
      <c r="A895">
        <v>10100069</v>
      </c>
      <c r="B895" s="11">
        <v>1307.4000000000001</v>
      </c>
      <c r="C895">
        <v>57728.338285801503</v>
      </c>
      <c r="H895" s="39"/>
    </row>
    <row r="896" spans="1:8" x14ac:dyDescent="0.25">
      <c r="A896">
        <v>10100070</v>
      </c>
      <c r="B896" s="11">
        <v>11060.5</v>
      </c>
      <c r="C896">
        <v>523431.88068973296</v>
      </c>
      <c r="H896" s="39"/>
    </row>
    <row r="897" spans="1:8" x14ac:dyDescent="0.25">
      <c r="A897">
        <v>10110186</v>
      </c>
      <c r="B897" s="11">
        <v>1037.9000000000001</v>
      </c>
      <c r="C897">
        <v>38324.182123078004</v>
      </c>
      <c r="H897" s="39"/>
    </row>
    <row r="898" spans="1:8" x14ac:dyDescent="0.25">
      <c r="A898">
        <v>10110187</v>
      </c>
      <c r="B898" s="11">
        <v>699.39999999999986</v>
      </c>
      <c r="C898">
        <v>25738.897714604005</v>
      </c>
      <c r="H898" s="39"/>
    </row>
    <row r="899" spans="1:8" x14ac:dyDescent="0.25">
      <c r="A899">
        <v>10120109</v>
      </c>
      <c r="B899" s="11">
        <v>4539.18</v>
      </c>
      <c r="C899">
        <v>159446.32500125468</v>
      </c>
      <c r="H899" s="39"/>
    </row>
    <row r="900" spans="1:8" x14ac:dyDescent="0.25">
      <c r="A900">
        <v>10530042</v>
      </c>
      <c r="B900" s="11">
        <v>113.1</v>
      </c>
      <c r="C900">
        <v>3516.5</v>
      </c>
      <c r="H900" s="39"/>
    </row>
    <row r="901" spans="1:8" x14ac:dyDescent="0.25">
      <c r="A901">
        <v>10530111</v>
      </c>
      <c r="B901" s="11">
        <v>2733.1499999999996</v>
      </c>
      <c r="C901">
        <v>110096.76636896499</v>
      </c>
      <c r="H901" s="39"/>
    </row>
    <row r="902" spans="1:8" x14ac:dyDescent="0.25">
      <c r="A902">
        <v>10530112</v>
      </c>
      <c r="B902" s="11">
        <v>1418.5</v>
      </c>
      <c r="C902">
        <v>55906.336393555001</v>
      </c>
      <c r="H902" s="39"/>
    </row>
    <row r="903" spans="1:8" x14ac:dyDescent="0.25">
      <c r="A903">
        <v>10540048</v>
      </c>
      <c r="B903" s="11">
        <v>4761.5</v>
      </c>
      <c r="C903">
        <v>200842.67919046117</v>
      </c>
      <c r="H903" s="39"/>
    </row>
    <row r="904" spans="1:8" x14ac:dyDescent="0.25">
      <c r="A904">
        <v>10540049</v>
      </c>
      <c r="B904" s="11">
        <v>2220.5</v>
      </c>
      <c r="C904">
        <v>77948.942650148994</v>
      </c>
      <c r="H904" s="39"/>
    </row>
    <row r="905" spans="1:8" x14ac:dyDescent="0.25">
      <c r="A905">
        <v>10560033</v>
      </c>
      <c r="B905" s="11">
        <v>861.68000000000006</v>
      </c>
      <c r="C905">
        <v>34977.722637326078</v>
      </c>
      <c r="H905" s="39"/>
    </row>
    <row r="906" spans="1:8" x14ac:dyDescent="0.25">
      <c r="A906">
        <v>10560036</v>
      </c>
      <c r="B906" s="11">
        <v>1301.2199999999998</v>
      </c>
      <c r="C906">
        <v>58361.844559732002</v>
      </c>
      <c r="H906" s="39"/>
    </row>
    <row r="907" spans="1:8" x14ac:dyDescent="0.25">
      <c r="A907">
        <v>10560037</v>
      </c>
      <c r="B907" s="11">
        <v>1085.08</v>
      </c>
      <c r="C907">
        <v>43443.437223169502</v>
      </c>
      <c r="H907" s="39"/>
    </row>
    <row r="908" spans="1:8" x14ac:dyDescent="0.25">
      <c r="A908">
        <v>10570055</v>
      </c>
      <c r="B908" s="11">
        <v>611.90000000000009</v>
      </c>
      <c r="C908">
        <v>25171.114033193997</v>
      </c>
      <c r="H908" s="39"/>
    </row>
    <row r="909" spans="1:8" x14ac:dyDescent="0.25">
      <c r="A909">
        <v>10570056</v>
      </c>
      <c r="B909" s="11">
        <v>109.19999999999999</v>
      </c>
      <c r="C909">
        <v>3949.6100000000006</v>
      </c>
      <c r="H909" s="39"/>
    </row>
    <row r="910" spans="1:8" x14ac:dyDescent="0.25">
      <c r="A910">
        <v>10570057</v>
      </c>
      <c r="B910" s="11">
        <v>916.3</v>
      </c>
      <c r="C910">
        <v>33044.556378885994</v>
      </c>
    </row>
    <row r="911" spans="1:8" x14ac:dyDescent="0.25">
      <c r="A911">
        <v>10580019</v>
      </c>
      <c r="B911" s="11">
        <v>847.5</v>
      </c>
      <c r="C911">
        <v>29277.371680153996</v>
      </c>
    </row>
    <row r="912" spans="1:8" x14ac:dyDescent="0.25">
      <c r="A912">
        <v>10580024</v>
      </c>
      <c r="B912" s="11">
        <v>667.3</v>
      </c>
      <c r="C912">
        <v>25742.022854044</v>
      </c>
    </row>
    <row r="913" spans="1:3" x14ac:dyDescent="0.25">
      <c r="A913">
        <v>10580025</v>
      </c>
      <c r="B913" s="11">
        <v>1722</v>
      </c>
      <c r="C913">
        <v>70265.117805106012</v>
      </c>
    </row>
    <row r="914" spans="1:3" x14ac:dyDescent="0.25">
      <c r="A914">
        <v>10580026</v>
      </c>
      <c r="B914" s="11">
        <v>711.40000000000009</v>
      </c>
      <c r="C914">
        <v>23676.329872032602</v>
      </c>
    </row>
    <row r="915" spans="1:3" x14ac:dyDescent="0.25">
      <c r="A915">
        <v>10580027</v>
      </c>
      <c r="B915" s="11">
        <v>497.80000000000007</v>
      </c>
      <c r="C915">
        <v>19718.048020898001</v>
      </c>
    </row>
    <row r="916" spans="1:3" x14ac:dyDescent="0.25">
      <c r="A916">
        <v>10580028</v>
      </c>
      <c r="B916" s="11">
        <v>1432.3999999999999</v>
      </c>
      <c r="C916">
        <v>58838.438079125604</v>
      </c>
    </row>
    <row r="917" spans="1:3" x14ac:dyDescent="0.25">
      <c r="A917">
        <v>10580029</v>
      </c>
      <c r="B917" s="11">
        <v>711.29999999999984</v>
      </c>
      <c r="C917">
        <v>30353.697883670204</v>
      </c>
    </row>
    <row r="918" spans="1:3" x14ac:dyDescent="0.25">
      <c r="A918">
        <v>10580030</v>
      </c>
      <c r="B918" s="11">
        <v>2369.4</v>
      </c>
      <c r="C918">
        <v>81318.7700891235</v>
      </c>
    </row>
    <row r="919" spans="1:3" x14ac:dyDescent="0.25">
      <c r="A919">
        <v>10590013</v>
      </c>
      <c r="B919" s="11">
        <v>1735.3000000000002</v>
      </c>
      <c r="C919">
        <v>75585.290265942007</v>
      </c>
    </row>
    <row r="920" spans="1:3" x14ac:dyDescent="0.25">
      <c r="A920">
        <v>10590014</v>
      </c>
      <c r="B920" s="11">
        <v>1808.7000000000003</v>
      </c>
      <c r="C920">
        <v>78001.517049145594</v>
      </c>
    </row>
    <row r="921" spans="1:3" x14ac:dyDescent="0.25">
      <c r="A921">
        <v>10590015</v>
      </c>
      <c r="B921" s="11">
        <v>126.10000000000001</v>
      </c>
      <c r="C921">
        <v>6627.4960788354992</v>
      </c>
    </row>
    <row r="922" spans="1:3" x14ac:dyDescent="0.25">
      <c r="A922">
        <v>10610026</v>
      </c>
      <c r="B922" s="11">
        <v>297.5</v>
      </c>
      <c r="C922">
        <v>18858.177928891</v>
      </c>
    </row>
    <row r="923" spans="1:3" x14ac:dyDescent="0.25">
      <c r="A923">
        <v>10610027</v>
      </c>
      <c r="B923" s="11">
        <v>5524.5</v>
      </c>
      <c r="C923">
        <v>186236.98412063398</v>
      </c>
    </row>
    <row r="924" spans="1:3" x14ac:dyDescent="0.25">
      <c r="A924">
        <v>10610028</v>
      </c>
      <c r="B924" s="11">
        <v>372.4</v>
      </c>
      <c r="C924">
        <v>13280.407629765501</v>
      </c>
    </row>
    <row r="925" spans="1:3" x14ac:dyDescent="0.25">
      <c r="A925">
        <v>10610031</v>
      </c>
      <c r="B925" s="11">
        <v>397.2</v>
      </c>
      <c r="C925">
        <v>13367.885854776003</v>
      </c>
    </row>
    <row r="926" spans="1:3" x14ac:dyDescent="0.25">
      <c r="A926">
        <v>10610034</v>
      </c>
      <c r="B926" s="11">
        <v>1584.6</v>
      </c>
      <c r="C926">
        <v>58568.041653390006</v>
      </c>
    </row>
    <row r="927" spans="1:3" x14ac:dyDescent="0.25">
      <c r="A927">
        <v>10610035</v>
      </c>
      <c r="B927" s="11">
        <v>1787.4</v>
      </c>
      <c r="C927">
        <v>54657.386442688497</v>
      </c>
    </row>
    <row r="928" spans="1:3" x14ac:dyDescent="0.25">
      <c r="A928">
        <v>10610036</v>
      </c>
      <c r="B928" s="11">
        <v>529.09999999999991</v>
      </c>
      <c r="C928">
        <v>18823.05287675</v>
      </c>
    </row>
    <row r="929" spans="1:3" x14ac:dyDescent="0.25">
      <c r="A929">
        <v>10610038</v>
      </c>
      <c r="B929" s="11">
        <v>3480.7999999999997</v>
      </c>
      <c r="C929">
        <v>124560.21003697952</v>
      </c>
    </row>
    <row r="930" spans="1:3" x14ac:dyDescent="0.25">
      <c r="A930">
        <v>10610039</v>
      </c>
      <c r="B930" s="11">
        <v>768.4</v>
      </c>
      <c r="C930">
        <v>28187.77</v>
      </c>
    </row>
    <row r="931" spans="1:3" x14ac:dyDescent="0.25">
      <c r="A931">
        <v>10630002</v>
      </c>
      <c r="B931" s="11">
        <v>638.80000000000007</v>
      </c>
      <c r="C931">
        <v>27183.724622695005</v>
      </c>
    </row>
    <row r="932" spans="1:3" x14ac:dyDescent="0.25">
      <c r="A932">
        <v>10640009</v>
      </c>
      <c r="B932" s="11">
        <v>1678.1299999999999</v>
      </c>
      <c r="C932">
        <v>80725.367818431303</v>
      </c>
    </row>
    <row r="933" spans="1:3" x14ac:dyDescent="0.25">
      <c r="A933">
        <v>10650004</v>
      </c>
      <c r="B933" s="11">
        <v>1578.6</v>
      </c>
      <c r="C933">
        <v>61276.036088320005</v>
      </c>
    </row>
    <row r="934" spans="1:3" x14ac:dyDescent="0.25">
      <c r="A934">
        <v>10060132</v>
      </c>
      <c r="B934" s="11">
        <v>247.9</v>
      </c>
      <c r="C934">
        <v>9362.9399999999987</v>
      </c>
    </row>
    <row r="935" spans="1:3" x14ac:dyDescent="0.25">
      <c r="A935">
        <v>10130119</v>
      </c>
      <c r="B935" s="11">
        <v>28.1</v>
      </c>
      <c r="C935">
        <v>1072.2911472000003</v>
      </c>
    </row>
    <row r="936" spans="1:3" x14ac:dyDescent="0.25">
      <c r="A936">
        <v>10560035</v>
      </c>
      <c r="B936" s="11">
        <v>1413</v>
      </c>
      <c r="C936">
        <v>52874.911630748</v>
      </c>
    </row>
    <row r="937" spans="1:3" x14ac:dyDescent="0.25">
      <c r="A937">
        <v>10570042</v>
      </c>
      <c r="B937" s="11">
        <v>831.8</v>
      </c>
      <c r="C937">
        <v>32859.878618770003</v>
      </c>
    </row>
    <row r="938" spans="1:3" x14ac:dyDescent="0.25">
      <c r="A938">
        <v>10610044</v>
      </c>
      <c r="B938" s="11">
        <v>49.3</v>
      </c>
      <c r="C938">
        <v>1741.74</v>
      </c>
    </row>
    <row r="939" spans="1:3" x14ac:dyDescent="0.25">
      <c r="A939">
        <v>10610045</v>
      </c>
      <c r="B939" s="11">
        <v>1451.3</v>
      </c>
      <c r="C939">
        <v>53654.781273103996</v>
      </c>
    </row>
    <row r="940" spans="1:3" x14ac:dyDescent="0.25">
      <c r="A940">
        <v>10610046</v>
      </c>
      <c r="B940" s="11">
        <v>315.8</v>
      </c>
      <c r="C940">
        <v>11073.130000000001</v>
      </c>
    </row>
    <row r="941" spans="1:3" x14ac:dyDescent="0.25">
      <c r="A941">
        <v>10630013</v>
      </c>
      <c r="B941" s="11">
        <v>1856.6000000000001</v>
      </c>
      <c r="C941">
        <v>68866.590127480013</v>
      </c>
    </row>
    <row r="942" spans="1:3" x14ac:dyDescent="0.25">
      <c r="A942">
        <v>10630014</v>
      </c>
      <c r="B942" s="11">
        <v>447.1</v>
      </c>
      <c r="C942">
        <v>16369.89138395</v>
      </c>
    </row>
    <row r="943" spans="1:3" x14ac:dyDescent="0.25">
      <c r="A943">
        <v>10650012</v>
      </c>
      <c r="B943" s="11">
        <v>572.79999999999995</v>
      </c>
      <c r="C943">
        <v>20974.809999999998</v>
      </c>
    </row>
    <row r="944" spans="1:3" x14ac:dyDescent="0.25">
      <c r="A944">
        <v>10010080</v>
      </c>
      <c r="B944" s="11">
        <v>109.79999999999998</v>
      </c>
      <c r="C944">
        <v>3837.02</v>
      </c>
    </row>
    <row r="945" spans="1:3" x14ac:dyDescent="0.25">
      <c r="A945">
        <v>10060133</v>
      </c>
      <c r="B945" s="11">
        <v>1646.9</v>
      </c>
      <c r="C945">
        <v>54424.803031411502</v>
      </c>
    </row>
    <row r="946" spans="1:3" x14ac:dyDescent="0.25">
      <c r="A946">
        <v>10140204</v>
      </c>
      <c r="B946" s="11">
        <v>487.6</v>
      </c>
      <c r="C946">
        <v>18785.862853499999</v>
      </c>
    </row>
    <row r="947" spans="1:3" x14ac:dyDescent="0.25">
      <c r="A947">
        <v>10520011</v>
      </c>
      <c r="B947" s="11">
        <v>44417</v>
      </c>
      <c r="C947">
        <v>1463904.6049486001</v>
      </c>
    </row>
    <row r="948" spans="1:3" x14ac:dyDescent="0.25">
      <c r="A948">
        <v>10530115</v>
      </c>
      <c r="B948" s="11">
        <v>1178.5</v>
      </c>
      <c r="C948">
        <v>44612.125234210005</v>
      </c>
    </row>
    <row r="949" spans="1:3" x14ac:dyDescent="0.25">
      <c r="A949">
        <v>10550009</v>
      </c>
      <c r="B949" s="11">
        <v>4410.2</v>
      </c>
      <c r="C949">
        <v>164982.16430981003</v>
      </c>
    </row>
    <row r="950" spans="1:3" x14ac:dyDescent="0.25">
      <c r="A950">
        <v>10570058</v>
      </c>
      <c r="B950" s="11">
        <v>2096.4</v>
      </c>
      <c r="C950">
        <v>75208.197518614004</v>
      </c>
    </row>
    <row r="951" spans="1:3" x14ac:dyDescent="0.25">
      <c r="A951">
        <v>10570059</v>
      </c>
      <c r="B951" s="11">
        <v>5880.7000000000007</v>
      </c>
      <c r="C951">
        <v>252231.04248979143</v>
      </c>
    </row>
    <row r="952" spans="1:3" x14ac:dyDescent="0.25">
      <c r="A952">
        <v>10570060</v>
      </c>
      <c r="B952" s="11">
        <v>2701.6000000000004</v>
      </c>
      <c r="C952">
        <v>109463.99140829881</v>
      </c>
    </row>
    <row r="953" spans="1:3" x14ac:dyDescent="0.25">
      <c r="A953">
        <v>10590016</v>
      </c>
      <c r="B953" s="11">
        <v>1238.0999999999999</v>
      </c>
      <c r="C953">
        <v>53083.365751439007</v>
      </c>
    </row>
    <row r="954" spans="1:3" x14ac:dyDescent="0.25">
      <c r="A954">
        <v>10630018</v>
      </c>
      <c r="B954" s="11">
        <v>1624</v>
      </c>
      <c r="C954">
        <v>58705.280420556002</v>
      </c>
    </row>
    <row r="955" spans="1:3" x14ac:dyDescent="0.25">
      <c r="A955">
        <v>10640002</v>
      </c>
      <c r="B955" s="11">
        <v>8.34</v>
      </c>
      <c r="C955">
        <v>280.02</v>
      </c>
    </row>
    <row r="956" spans="1:3" x14ac:dyDescent="0.25">
      <c r="A956">
        <v>10650008</v>
      </c>
      <c r="B956" s="11">
        <v>327.3</v>
      </c>
      <c r="C956">
        <v>11940.392656180602</v>
      </c>
    </row>
    <row r="957" spans="1:3" x14ac:dyDescent="0.25">
      <c r="A957">
        <v>10100067</v>
      </c>
      <c r="B957" s="11">
        <v>109.60000000000001</v>
      </c>
      <c r="C957">
        <v>3513.4305742259999</v>
      </c>
    </row>
    <row r="958" spans="1:3" x14ac:dyDescent="0.25">
      <c r="A958">
        <v>10140148</v>
      </c>
      <c r="B958" s="11">
        <v>30</v>
      </c>
      <c r="C958">
        <v>1061.4000000000001</v>
      </c>
    </row>
    <row r="959" spans="1:3" x14ac:dyDescent="0.25">
      <c r="A959">
        <v>10530113</v>
      </c>
      <c r="B959" s="11">
        <v>2160.0500000000002</v>
      </c>
      <c r="C959">
        <v>83388.972941845743</v>
      </c>
    </row>
    <row r="960" spans="1:3" x14ac:dyDescent="0.25">
      <c r="A960">
        <v>10610050</v>
      </c>
      <c r="B960" s="11">
        <v>683.4</v>
      </c>
      <c r="C960">
        <v>28512.566404959998</v>
      </c>
    </row>
    <row r="961" spans="1:3" x14ac:dyDescent="0.25">
      <c r="A961">
        <v>10610051</v>
      </c>
      <c r="B961" s="11">
        <v>793.9</v>
      </c>
      <c r="C961">
        <v>30173.6366685785</v>
      </c>
    </row>
    <row r="962" spans="1:3" x14ac:dyDescent="0.25">
      <c r="A962">
        <v>10650011</v>
      </c>
      <c r="B962" s="11">
        <v>1682.3000000000002</v>
      </c>
      <c r="C962">
        <v>66436.193050200003</v>
      </c>
    </row>
    <row r="963" spans="1:3" x14ac:dyDescent="0.25">
      <c r="A963">
        <v>10130027</v>
      </c>
      <c r="B963" s="11">
        <v>122.9</v>
      </c>
      <c r="C963">
        <v>3852.0599999999995</v>
      </c>
    </row>
    <row r="964" spans="1:3" x14ac:dyDescent="0.25">
      <c r="A964">
        <v>10610052</v>
      </c>
      <c r="B964" s="11">
        <v>2454.6</v>
      </c>
      <c r="C964">
        <v>99733.776911120003</v>
      </c>
    </row>
    <row r="965" spans="1:3" x14ac:dyDescent="0.25">
      <c r="A965">
        <v>10030086</v>
      </c>
      <c r="B965" s="11">
        <v>133.80000000000001</v>
      </c>
      <c r="C965">
        <v>5351.1048845250007</v>
      </c>
    </row>
    <row r="966" spans="1:3" x14ac:dyDescent="0.25">
      <c r="A966">
        <v>10030087</v>
      </c>
      <c r="B966" s="11">
        <v>905.15000000000009</v>
      </c>
      <c r="C966">
        <v>35701.060922590004</v>
      </c>
    </row>
    <row r="967" spans="1:3" x14ac:dyDescent="0.25">
      <c r="A967">
        <v>10030088</v>
      </c>
      <c r="B967" s="11">
        <v>1276.9000000000001</v>
      </c>
      <c r="C967">
        <v>50006.209422562002</v>
      </c>
    </row>
    <row r="968" spans="1:3" x14ac:dyDescent="0.25">
      <c r="A968">
        <v>10030089</v>
      </c>
      <c r="B968" s="11">
        <v>2731.15</v>
      </c>
      <c r="C968">
        <v>121000.31727747062</v>
      </c>
    </row>
    <row r="969" spans="1:3" x14ac:dyDescent="0.25">
      <c r="A969">
        <v>10030090</v>
      </c>
      <c r="B969" s="11">
        <v>466.75</v>
      </c>
      <c r="C969">
        <v>18597.890185303302</v>
      </c>
    </row>
    <row r="970" spans="1:3" x14ac:dyDescent="0.25">
      <c r="A970">
        <v>10090080</v>
      </c>
      <c r="B970" s="11">
        <v>1338.8</v>
      </c>
      <c r="C970">
        <v>60238.27129683159</v>
      </c>
    </row>
    <row r="971" spans="1:3" x14ac:dyDescent="0.25">
      <c r="A971">
        <v>10130121</v>
      </c>
      <c r="B971" s="11">
        <v>41.8</v>
      </c>
      <c r="C971">
        <v>1295.6600000000001</v>
      </c>
    </row>
    <row r="972" spans="1:3" x14ac:dyDescent="0.25">
      <c r="A972">
        <v>10570062</v>
      </c>
      <c r="B972" s="11">
        <v>11241</v>
      </c>
      <c r="C972">
        <v>411150.88214443804</v>
      </c>
    </row>
    <row r="973" spans="1:3" x14ac:dyDescent="0.25">
      <c r="A973">
        <v>10580013</v>
      </c>
      <c r="B973" s="11">
        <v>687.6</v>
      </c>
      <c r="C973">
        <v>23910.816433076001</v>
      </c>
    </row>
    <row r="974" spans="1:3" x14ac:dyDescent="0.25">
      <c r="A974">
        <v>10640008</v>
      </c>
      <c r="B974" s="11">
        <v>588.63</v>
      </c>
      <c r="C974">
        <v>26193.776213221725</v>
      </c>
    </row>
    <row r="975" spans="1:3" x14ac:dyDescent="0.25">
      <c r="A975">
        <v>10020052</v>
      </c>
      <c r="B975" s="11">
        <v>1069.5</v>
      </c>
      <c r="C975">
        <v>61018.080120935003</v>
      </c>
    </row>
    <row r="976" spans="1:3" x14ac:dyDescent="0.25">
      <c r="A976">
        <v>10020087</v>
      </c>
      <c r="B976" s="11">
        <v>837.2</v>
      </c>
      <c r="C976">
        <v>30521.682092200004</v>
      </c>
    </row>
    <row r="977" spans="1:3" x14ac:dyDescent="0.25">
      <c r="A977">
        <v>10100028</v>
      </c>
      <c r="B977" s="11">
        <v>1232.3999999999999</v>
      </c>
      <c r="C977">
        <v>41717.925336717002</v>
      </c>
    </row>
    <row r="978" spans="1:3" x14ac:dyDescent="0.25">
      <c r="A978">
        <v>10130051</v>
      </c>
      <c r="B978" s="11">
        <v>9.3000000000000007</v>
      </c>
      <c r="C978">
        <v>397.02</v>
      </c>
    </row>
    <row r="979" spans="1:3" x14ac:dyDescent="0.25">
      <c r="A979">
        <v>10130120</v>
      </c>
      <c r="B979" s="11">
        <v>351.79999999999995</v>
      </c>
      <c r="C979">
        <v>14244.623345773201</v>
      </c>
    </row>
    <row r="980" spans="1:3" x14ac:dyDescent="0.25">
      <c r="A980">
        <v>10520007</v>
      </c>
      <c r="B980" s="11">
        <v>4955</v>
      </c>
      <c r="C980">
        <v>174982.51591240001</v>
      </c>
    </row>
    <row r="981" spans="1:3" x14ac:dyDescent="0.25">
      <c r="A981">
        <v>10530043</v>
      </c>
      <c r="B981" s="11">
        <v>317.42</v>
      </c>
      <c r="C981">
        <v>11066.619999999999</v>
      </c>
    </row>
    <row r="982" spans="1:3" x14ac:dyDescent="0.25">
      <c r="A982">
        <v>10530088</v>
      </c>
      <c r="B982" s="11">
        <v>7073.1</v>
      </c>
      <c r="C982">
        <v>328982.13601540739</v>
      </c>
    </row>
    <row r="983" spans="1:3" x14ac:dyDescent="0.25">
      <c r="A983">
        <v>10530114</v>
      </c>
      <c r="B983" s="11">
        <v>262.14999999999998</v>
      </c>
      <c r="C983">
        <v>13307.320978234751</v>
      </c>
    </row>
    <row r="984" spans="1:3" x14ac:dyDescent="0.25">
      <c r="A984">
        <v>10550004</v>
      </c>
      <c r="B984" s="11">
        <v>132.5</v>
      </c>
      <c r="C984">
        <v>4505.4773452685004</v>
      </c>
    </row>
    <row r="985" spans="1:3" x14ac:dyDescent="0.25">
      <c r="A985">
        <v>10560021</v>
      </c>
      <c r="B985" s="11">
        <v>18.54</v>
      </c>
      <c r="C985">
        <v>704.89</v>
      </c>
    </row>
    <row r="986" spans="1:3" x14ac:dyDescent="0.25">
      <c r="A986">
        <v>10570005</v>
      </c>
      <c r="B986" s="11">
        <v>133.30000000000001</v>
      </c>
      <c r="C986">
        <v>5058.97</v>
      </c>
    </row>
    <row r="987" spans="1:3" x14ac:dyDescent="0.25">
      <c r="A987">
        <v>10610041</v>
      </c>
      <c r="B987" s="11">
        <v>72.5</v>
      </c>
      <c r="C987">
        <v>2647.8782546719999</v>
      </c>
    </row>
    <row r="988" spans="1:3" x14ac:dyDescent="0.25">
      <c r="A988">
        <v>10660001</v>
      </c>
      <c r="B988" s="11">
        <v>740.40000000000009</v>
      </c>
      <c r="C988">
        <v>39868.361024424798</v>
      </c>
    </row>
    <row r="989" spans="1:3" x14ac:dyDescent="0.25">
      <c r="A989">
        <v>10660002</v>
      </c>
      <c r="B989" s="11">
        <v>721.80000000000007</v>
      </c>
      <c r="C989">
        <v>29930.022002697158</v>
      </c>
    </row>
    <row r="990" spans="1:3" x14ac:dyDescent="0.25">
      <c r="A990">
        <v>10660004</v>
      </c>
      <c r="B990" s="11">
        <v>929.70000000000027</v>
      </c>
      <c r="C990">
        <v>39240.9776283186</v>
      </c>
    </row>
    <row r="991" spans="1:3" x14ac:dyDescent="0.25">
      <c r="A991">
        <v>10660005</v>
      </c>
      <c r="B991" s="11">
        <v>527.09999999999991</v>
      </c>
      <c r="C991">
        <v>24266.115200239001</v>
      </c>
    </row>
    <row r="992" spans="1:3" x14ac:dyDescent="0.25">
      <c r="A992">
        <v>10660006</v>
      </c>
      <c r="B992" s="11">
        <v>585.9</v>
      </c>
      <c r="C992">
        <v>24686.5202458938</v>
      </c>
    </row>
    <row r="993" spans="1:3" x14ac:dyDescent="0.25">
      <c r="A993">
        <v>10660007</v>
      </c>
      <c r="B993" s="11">
        <v>365.70000000000005</v>
      </c>
      <c r="C993">
        <v>13999.777928864001</v>
      </c>
    </row>
    <row r="994" spans="1:3" x14ac:dyDescent="0.25">
      <c r="A994">
        <v>10660009</v>
      </c>
      <c r="B994" s="11">
        <v>140.89999999999998</v>
      </c>
      <c r="C994">
        <v>4964.2829257680005</v>
      </c>
    </row>
    <row r="995" spans="1:3" x14ac:dyDescent="0.25">
      <c r="A995">
        <v>10660010</v>
      </c>
      <c r="B995" s="11">
        <v>10466.300000000003</v>
      </c>
      <c r="C995">
        <v>424293.11693859089</v>
      </c>
    </row>
    <row r="996" spans="1:3" x14ac:dyDescent="0.25">
      <c r="A996">
        <v>10660011</v>
      </c>
      <c r="B996" s="11">
        <v>2812.3</v>
      </c>
      <c r="C996">
        <v>110364.2505838756</v>
      </c>
    </row>
    <row r="997" spans="1:3" x14ac:dyDescent="0.25">
      <c r="A997">
        <v>10660013</v>
      </c>
      <c r="B997" s="11">
        <v>984.8</v>
      </c>
      <c r="C997">
        <v>39778.098003170002</v>
      </c>
    </row>
    <row r="998" spans="1:3" x14ac:dyDescent="0.25">
      <c r="A998">
        <v>10660015</v>
      </c>
      <c r="B998" s="11">
        <v>1666.3</v>
      </c>
      <c r="C998">
        <v>60202.794456115007</v>
      </c>
    </row>
    <row r="999" spans="1:3" x14ac:dyDescent="0.25">
      <c r="A999">
        <v>10660016</v>
      </c>
      <c r="B999" s="11">
        <v>1799.2</v>
      </c>
      <c r="C999">
        <v>64748.358119352502</v>
      </c>
    </row>
    <row r="1000" spans="1:3" x14ac:dyDescent="0.25">
      <c r="A1000">
        <v>10660017</v>
      </c>
      <c r="B1000" s="11">
        <v>434.6</v>
      </c>
      <c r="C1000">
        <v>19238.551143715998</v>
      </c>
    </row>
    <row r="1001" spans="1:3" x14ac:dyDescent="0.25">
      <c r="A1001">
        <v>10660019</v>
      </c>
      <c r="B1001" s="11">
        <v>485.09999999999997</v>
      </c>
      <c r="C1001">
        <v>17805.136469360001</v>
      </c>
    </row>
    <row r="1002" spans="1:3" x14ac:dyDescent="0.25">
      <c r="A1002">
        <v>10660020</v>
      </c>
      <c r="B1002" s="11">
        <v>222.5</v>
      </c>
      <c r="C1002">
        <v>7899.4321055999999</v>
      </c>
    </row>
    <row r="1003" spans="1:3" x14ac:dyDescent="0.25">
      <c r="A1003">
        <v>10660021</v>
      </c>
      <c r="B1003" s="11">
        <v>3174.7999999999997</v>
      </c>
      <c r="C1003">
        <v>119939.94944281</v>
      </c>
    </row>
    <row r="1004" spans="1:3" x14ac:dyDescent="0.25">
      <c r="A1004">
        <v>10660022</v>
      </c>
      <c r="B1004" s="11">
        <v>637.29999999999995</v>
      </c>
      <c r="C1004">
        <v>25719.737917940001</v>
      </c>
    </row>
    <row r="1005" spans="1:3" x14ac:dyDescent="0.25">
      <c r="A1005">
        <v>10660023</v>
      </c>
      <c r="B1005" s="11">
        <v>3151.6</v>
      </c>
      <c r="C1005">
        <v>129672.49857697799</v>
      </c>
    </row>
    <row r="1006" spans="1:3" x14ac:dyDescent="0.25">
      <c r="A1006">
        <v>10660024</v>
      </c>
      <c r="B1006" s="11">
        <v>326</v>
      </c>
      <c r="C1006">
        <v>10573.436534930001</v>
      </c>
    </row>
    <row r="1007" spans="1:3" x14ac:dyDescent="0.25">
      <c r="A1007">
        <v>10010006</v>
      </c>
      <c r="B1007" s="11">
        <v>1.6</v>
      </c>
      <c r="C1007">
        <v>54.19</v>
      </c>
    </row>
    <row r="1008" spans="1:3" x14ac:dyDescent="0.25">
      <c r="A1008">
        <v>10060036</v>
      </c>
      <c r="B1008" s="11">
        <v>975.7</v>
      </c>
      <c r="C1008">
        <v>43435.646055551006</v>
      </c>
    </row>
    <row r="1009" spans="1:3" x14ac:dyDescent="0.25">
      <c r="A1009">
        <v>10060089</v>
      </c>
      <c r="B1009" s="11">
        <v>660.2</v>
      </c>
      <c r="C1009">
        <v>22751.474067753999</v>
      </c>
    </row>
    <row r="1010" spans="1:3" x14ac:dyDescent="0.25">
      <c r="A1010">
        <v>10080073</v>
      </c>
      <c r="B1010" s="11">
        <v>622.84999999999991</v>
      </c>
      <c r="C1010">
        <v>26180.464270793</v>
      </c>
    </row>
    <row r="1011" spans="1:3" x14ac:dyDescent="0.25">
      <c r="A1011">
        <v>10080098</v>
      </c>
      <c r="B1011" s="11">
        <v>31.549999999999997</v>
      </c>
      <c r="C1011">
        <v>1259.9208662200001</v>
      </c>
    </row>
    <row r="1012" spans="1:3" x14ac:dyDescent="0.25">
      <c r="A1012">
        <v>10100063</v>
      </c>
      <c r="B1012" s="11">
        <v>1041.7</v>
      </c>
      <c r="C1012">
        <v>44203.852040764497</v>
      </c>
    </row>
    <row r="1013" spans="1:3" x14ac:dyDescent="0.25">
      <c r="A1013">
        <v>10100071</v>
      </c>
      <c r="B1013" s="11">
        <v>6302.9</v>
      </c>
      <c r="C1013">
        <v>299111.37225010642</v>
      </c>
    </row>
    <row r="1014" spans="1:3" x14ac:dyDescent="0.25">
      <c r="A1014">
        <v>10120081</v>
      </c>
      <c r="B1014" s="11">
        <v>75.069999999999993</v>
      </c>
      <c r="C1014">
        <v>2334.6799999999998</v>
      </c>
    </row>
    <row r="1015" spans="1:3" x14ac:dyDescent="0.25">
      <c r="A1015">
        <v>10130095</v>
      </c>
      <c r="B1015" s="11">
        <v>0.1</v>
      </c>
      <c r="C1015">
        <v>4.09</v>
      </c>
    </row>
    <row r="1016" spans="1:3" x14ac:dyDescent="0.25">
      <c r="A1016">
        <v>10140190</v>
      </c>
      <c r="B1016" s="11">
        <v>554.5</v>
      </c>
      <c r="C1016">
        <v>21100.557738370004</v>
      </c>
    </row>
    <row r="1017" spans="1:3" x14ac:dyDescent="0.25">
      <c r="A1017">
        <v>10200001</v>
      </c>
      <c r="B1017" s="11">
        <v>1073</v>
      </c>
      <c r="C1017">
        <v>38983.049471999999</v>
      </c>
    </row>
    <row r="1018" spans="1:3" x14ac:dyDescent="0.25">
      <c r="A1018">
        <v>10570032</v>
      </c>
      <c r="B1018" s="11">
        <v>130.5</v>
      </c>
      <c r="C1018">
        <v>5251.4693383200001</v>
      </c>
    </row>
    <row r="1019" spans="1:3" x14ac:dyDescent="0.25">
      <c r="A1019">
        <v>10610055</v>
      </c>
      <c r="B1019" s="11">
        <v>250.70000000000002</v>
      </c>
      <c r="C1019">
        <v>11215.822487240901</v>
      </c>
    </row>
    <row r="1020" spans="1:3" x14ac:dyDescent="0.25">
      <c r="A1020">
        <v>10610056</v>
      </c>
      <c r="B1020" s="11">
        <v>431.69999999999993</v>
      </c>
      <c r="C1020">
        <v>20301.180970286201</v>
      </c>
    </row>
    <row r="1021" spans="1:3" x14ac:dyDescent="0.25">
      <c r="A1021">
        <v>10660012</v>
      </c>
      <c r="B1021" s="11">
        <v>194.5</v>
      </c>
      <c r="C1021">
        <v>8822.8451732619997</v>
      </c>
    </row>
    <row r="1022" spans="1:3" x14ac:dyDescent="0.25">
      <c r="A1022">
        <v>10010066</v>
      </c>
      <c r="B1022" s="11">
        <v>182.2</v>
      </c>
      <c r="C1022">
        <v>5991.5445682980007</v>
      </c>
    </row>
    <row r="1023" spans="1:3" x14ac:dyDescent="0.25">
      <c r="A1023">
        <v>10030083</v>
      </c>
      <c r="B1023" s="11">
        <v>76.2</v>
      </c>
      <c r="C1023">
        <v>1945.3541057280004</v>
      </c>
    </row>
    <row r="1024" spans="1:3" x14ac:dyDescent="0.25">
      <c r="A1024">
        <v>10060076</v>
      </c>
      <c r="B1024" s="11">
        <v>30.8</v>
      </c>
      <c r="C1024">
        <v>1292.9587902000003</v>
      </c>
    </row>
    <row r="1025" spans="1:3" x14ac:dyDescent="0.25">
      <c r="A1025">
        <v>10060079</v>
      </c>
      <c r="B1025" s="11">
        <v>79.599999999999994</v>
      </c>
      <c r="C1025">
        <v>2668.8152672040001</v>
      </c>
    </row>
    <row r="1026" spans="1:3" x14ac:dyDescent="0.25">
      <c r="A1026">
        <v>10060112</v>
      </c>
      <c r="B1026" s="11">
        <v>13.6</v>
      </c>
      <c r="C1026">
        <v>447.19779297600007</v>
      </c>
    </row>
    <row r="1027" spans="1:3" x14ac:dyDescent="0.25">
      <c r="A1027">
        <v>10070067</v>
      </c>
      <c r="B1027" s="11">
        <v>1286.9000000000001</v>
      </c>
      <c r="C1027">
        <v>47460.446812023009</v>
      </c>
    </row>
    <row r="1028" spans="1:3" x14ac:dyDescent="0.25">
      <c r="A1028">
        <v>10080103</v>
      </c>
      <c r="B1028" s="11">
        <v>673.55</v>
      </c>
      <c r="C1028">
        <v>27215.85211914</v>
      </c>
    </row>
    <row r="1029" spans="1:3" x14ac:dyDescent="0.25">
      <c r="A1029">
        <v>10100073</v>
      </c>
      <c r="B1029" s="11">
        <v>5652.2</v>
      </c>
      <c r="C1029">
        <v>222159.84813319205</v>
      </c>
    </row>
    <row r="1030" spans="1:3" x14ac:dyDescent="0.25">
      <c r="A1030">
        <v>10110079</v>
      </c>
      <c r="B1030" s="11">
        <v>146.5</v>
      </c>
      <c r="C1030">
        <v>5339.8294974600012</v>
      </c>
    </row>
    <row r="1031" spans="1:3" x14ac:dyDescent="0.25">
      <c r="A1031">
        <v>10140171</v>
      </c>
      <c r="B1031" s="11">
        <v>357.9</v>
      </c>
      <c r="C1031">
        <v>13408.112079300001</v>
      </c>
    </row>
    <row r="1032" spans="1:3" x14ac:dyDescent="0.25">
      <c r="A1032">
        <v>10140191</v>
      </c>
      <c r="B1032" s="11">
        <v>328</v>
      </c>
      <c r="C1032">
        <v>12633.054732060002</v>
      </c>
    </row>
    <row r="1033" spans="1:3" x14ac:dyDescent="0.25">
      <c r="A1033">
        <v>10480029</v>
      </c>
      <c r="B1033" s="11">
        <v>37.700000000000003</v>
      </c>
      <c r="C1033">
        <v>1358.5975088400003</v>
      </c>
    </row>
    <row r="1034" spans="1:3" x14ac:dyDescent="0.25">
      <c r="A1034">
        <v>10650014</v>
      </c>
      <c r="B1034" s="11">
        <v>241.69999999999996</v>
      </c>
      <c r="C1034">
        <v>9013.9438874100015</v>
      </c>
    </row>
    <row r="1035" spans="1:3" x14ac:dyDescent="0.25">
      <c r="A1035">
        <v>10650016</v>
      </c>
      <c r="B1035" s="11">
        <v>188.00000000000003</v>
      </c>
      <c r="C1035">
        <v>7554.5386242000004</v>
      </c>
    </row>
    <row r="1036" spans="1:3" x14ac:dyDescent="0.25">
      <c r="A1036">
        <v>10660018</v>
      </c>
      <c r="B1036" s="11">
        <v>26.7</v>
      </c>
      <c r="C1036">
        <v>1747.290781143</v>
      </c>
    </row>
    <row r="1037" spans="1:3" x14ac:dyDescent="0.25">
      <c r="A1037">
        <v>10660025</v>
      </c>
      <c r="B1037" s="11">
        <v>43.4</v>
      </c>
      <c r="C1037">
        <v>2183.4098546376599</v>
      </c>
    </row>
    <row r="1038" spans="1:3" x14ac:dyDescent="0.25">
      <c r="A1038" t="s">
        <v>77</v>
      </c>
      <c r="B1038" s="11">
        <v>3651113.1199999973</v>
      </c>
      <c r="C1038">
        <v>141315963.30015045</v>
      </c>
    </row>
  </sheetData>
  <conditionalFormatting sqref="H5 H7:H578">
    <cfRule type="duplicateValues" dxfId="99" priority="3"/>
  </conditionalFormatting>
  <conditionalFormatting sqref="H6">
    <cfRule type="duplicateValues" dxfId="98" priority="2"/>
  </conditionalFormatting>
  <conditionalFormatting sqref="H7:H578">
    <cfRule type="duplicateValues" dxfId="97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693A-EB22-4F30-8177-F3293C21D326}">
  <dimension ref="A3:G1074"/>
  <sheetViews>
    <sheetView topLeftCell="A1039" workbookViewId="0">
      <selection activeCell="B1073" sqref="B1073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7" x14ac:dyDescent="0.25">
      <c r="A3" s="190" t="s">
        <v>1564</v>
      </c>
      <c r="B3" t="s">
        <v>1565</v>
      </c>
      <c r="F3" t="s">
        <v>1564</v>
      </c>
      <c r="G3" t="s">
        <v>1565</v>
      </c>
    </row>
    <row r="4" spans="1:7" x14ac:dyDescent="0.25">
      <c r="A4" s="226">
        <v>10010013</v>
      </c>
      <c r="B4" s="92">
        <v>0</v>
      </c>
      <c r="F4">
        <v>10010013</v>
      </c>
      <c r="G4">
        <v>0</v>
      </c>
    </row>
    <row r="5" spans="1:7" x14ac:dyDescent="0.25">
      <c r="A5" s="226">
        <v>10010017</v>
      </c>
      <c r="B5" s="92">
        <v>1000</v>
      </c>
      <c r="F5">
        <v>10010017</v>
      </c>
      <c r="G5">
        <v>1000</v>
      </c>
    </row>
    <row r="6" spans="1:7" x14ac:dyDescent="0.25">
      <c r="A6" s="226">
        <v>10010019</v>
      </c>
      <c r="B6" s="92">
        <v>0</v>
      </c>
      <c r="F6">
        <v>10010019</v>
      </c>
      <c r="G6">
        <v>0</v>
      </c>
    </row>
    <row r="7" spans="1:7" x14ac:dyDescent="0.25">
      <c r="A7" s="226">
        <v>10010038</v>
      </c>
      <c r="B7" s="92">
        <v>0</v>
      </c>
      <c r="F7">
        <v>10010038</v>
      </c>
      <c r="G7">
        <v>0</v>
      </c>
    </row>
    <row r="8" spans="1:7" x14ac:dyDescent="0.25">
      <c r="A8" s="226">
        <v>10010044</v>
      </c>
      <c r="B8" s="92">
        <v>0</v>
      </c>
      <c r="F8">
        <v>10010044</v>
      </c>
      <c r="G8">
        <v>0</v>
      </c>
    </row>
    <row r="9" spans="1:7" x14ac:dyDescent="0.25">
      <c r="A9" s="226">
        <v>10010047</v>
      </c>
      <c r="B9" s="92">
        <v>0</v>
      </c>
      <c r="F9">
        <v>10010047</v>
      </c>
      <c r="G9">
        <v>0</v>
      </c>
    </row>
    <row r="10" spans="1:7" x14ac:dyDescent="0.25">
      <c r="A10" s="226">
        <v>10010049</v>
      </c>
      <c r="B10" s="92">
        <v>0</v>
      </c>
      <c r="F10">
        <v>10010049</v>
      </c>
      <c r="G10">
        <v>0</v>
      </c>
    </row>
    <row r="11" spans="1:7" x14ac:dyDescent="0.25">
      <c r="A11" s="226">
        <v>10010050</v>
      </c>
      <c r="B11" s="92">
        <v>0</v>
      </c>
      <c r="F11">
        <v>10010050</v>
      </c>
      <c r="G11">
        <v>0</v>
      </c>
    </row>
    <row r="12" spans="1:7" x14ac:dyDescent="0.25">
      <c r="A12" s="226">
        <v>10010051</v>
      </c>
      <c r="B12" s="92">
        <v>0</v>
      </c>
      <c r="F12">
        <v>10010051</v>
      </c>
      <c r="G12">
        <v>0</v>
      </c>
    </row>
    <row r="13" spans="1:7" x14ac:dyDescent="0.25">
      <c r="A13" s="226">
        <v>10010055</v>
      </c>
      <c r="B13" s="92">
        <v>0</v>
      </c>
      <c r="F13">
        <v>10010055</v>
      </c>
      <c r="G13">
        <v>0</v>
      </c>
    </row>
    <row r="14" spans="1:7" x14ac:dyDescent="0.25">
      <c r="A14" s="226">
        <v>10010056</v>
      </c>
      <c r="B14" s="92">
        <v>0</v>
      </c>
      <c r="F14">
        <v>10010056</v>
      </c>
      <c r="G14">
        <v>0</v>
      </c>
    </row>
    <row r="15" spans="1:7" x14ac:dyDescent="0.25">
      <c r="A15" s="226">
        <v>10010057</v>
      </c>
      <c r="B15" s="92">
        <v>0</v>
      </c>
      <c r="F15">
        <v>10010057</v>
      </c>
      <c r="G15">
        <v>0</v>
      </c>
    </row>
    <row r="16" spans="1:7" x14ac:dyDescent="0.25">
      <c r="A16" s="226">
        <v>10010076</v>
      </c>
      <c r="B16" s="92">
        <v>0</v>
      </c>
      <c r="F16">
        <v>10010076</v>
      </c>
      <c r="G16">
        <v>0</v>
      </c>
    </row>
    <row r="17" spans="1:7" x14ac:dyDescent="0.25">
      <c r="A17" s="226">
        <v>10010079</v>
      </c>
      <c r="B17" s="92">
        <v>0</v>
      </c>
      <c r="F17">
        <v>10010079</v>
      </c>
      <c r="G17">
        <v>0</v>
      </c>
    </row>
    <row r="18" spans="1:7" x14ac:dyDescent="0.25">
      <c r="A18" s="226">
        <v>10010080</v>
      </c>
      <c r="B18" s="92">
        <v>0</v>
      </c>
      <c r="F18">
        <v>10010080</v>
      </c>
      <c r="G18">
        <v>0</v>
      </c>
    </row>
    <row r="19" spans="1:7" x14ac:dyDescent="0.25">
      <c r="A19" s="226">
        <v>10010082</v>
      </c>
      <c r="B19" s="92">
        <v>0</v>
      </c>
      <c r="F19">
        <v>10010082</v>
      </c>
      <c r="G19">
        <v>0</v>
      </c>
    </row>
    <row r="20" spans="1:7" x14ac:dyDescent="0.25">
      <c r="A20" s="226">
        <v>10010084</v>
      </c>
      <c r="B20" s="92">
        <v>0</v>
      </c>
      <c r="F20">
        <v>10010084</v>
      </c>
      <c r="G20">
        <v>0</v>
      </c>
    </row>
    <row r="21" spans="1:7" x14ac:dyDescent="0.25">
      <c r="A21" s="226">
        <v>10010086</v>
      </c>
      <c r="B21" s="92">
        <v>0</v>
      </c>
      <c r="F21">
        <v>10010086</v>
      </c>
      <c r="G21">
        <v>0</v>
      </c>
    </row>
    <row r="22" spans="1:7" x14ac:dyDescent="0.25">
      <c r="A22" s="226">
        <v>10010087</v>
      </c>
      <c r="B22" s="92">
        <v>0</v>
      </c>
      <c r="F22">
        <v>10010087</v>
      </c>
      <c r="G22">
        <v>0</v>
      </c>
    </row>
    <row r="23" spans="1:7" x14ac:dyDescent="0.25">
      <c r="A23" s="226">
        <v>10010089</v>
      </c>
      <c r="B23" s="92">
        <v>0</v>
      </c>
      <c r="F23">
        <v>10010089</v>
      </c>
      <c r="G23">
        <v>0</v>
      </c>
    </row>
    <row r="24" spans="1:7" x14ac:dyDescent="0.25">
      <c r="A24" s="226">
        <v>10010092</v>
      </c>
      <c r="B24" s="92">
        <v>0</v>
      </c>
      <c r="F24">
        <v>10010092</v>
      </c>
      <c r="G24">
        <v>0</v>
      </c>
    </row>
    <row r="25" spans="1:7" x14ac:dyDescent="0.25">
      <c r="A25" s="226">
        <v>10010095</v>
      </c>
      <c r="B25" s="92">
        <v>1000</v>
      </c>
      <c r="F25">
        <v>10010095</v>
      </c>
      <c r="G25">
        <v>1000</v>
      </c>
    </row>
    <row r="26" spans="1:7" x14ac:dyDescent="0.25">
      <c r="A26" s="226">
        <v>10010097</v>
      </c>
      <c r="B26" s="92">
        <v>0</v>
      </c>
      <c r="F26">
        <v>10010097</v>
      </c>
      <c r="G26">
        <v>0</v>
      </c>
    </row>
    <row r="27" spans="1:7" x14ac:dyDescent="0.25">
      <c r="A27" s="226">
        <v>10010098</v>
      </c>
      <c r="B27" s="92">
        <v>0</v>
      </c>
      <c r="F27">
        <v>10010098</v>
      </c>
      <c r="G27">
        <v>0</v>
      </c>
    </row>
    <row r="28" spans="1:7" x14ac:dyDescent="0.25">
      <c r="A28" s="226">
        <v>10010099</v>
      </c>
      <c r="B28" s="92">
        <v>1000</v>
      </c>
      <c r="F28">
        <v>10010099</v>
      </c>
      <c r="G28">
        <v>1000</v>
      </c>
    </row>
    <row r="29" spans="1:7" x14ac:dyDescent="0.25">
      <c r="A29" s="226">
        <v>10010103</v>
      </c>
      <c r="B29" s="92">
        <v>0</v>
      </c>
      <c r="F29">
        <v>10010103</v>
      </c>
      <c r="G29">
        <v>0</v>
      </c>
    </row>
    <row r="30" spans="1:7" x14ac:dyDescent="0.25">
      <c r="A30" s="226">
        <v>10010108</v>
      </c>
      <c r="B30" s="92">
        <v>0</v>
      </c>
      <c r="F30">
        <v>10010108</v>
      </c>
      <c r="G30">
        <v>0</v>
      </c>
    </row>
    <row r="31" spans="1:7" x14ac:dyDescent="0.25">
      <c r="A31" s="226">
        <v>10010109</v>
      </c>
      <c r="B31" s="92">
        <v>0</v>
      </c>
      <c r="F31">
        <v>10010109</v>
      </c>
      <c r="G31">
        <v>0</v>
      </c>
    </row>
    <row r="32" spans="1:7" x14ac:dyDescent="0.25">
      <c r="A32" s="226">
        <v>10010113</v>
      </c>
      <c r="B32" s="92">
        <v>0</v>
      </c>
      <c r="F32">
        <v>10010113</v>
      </c>
      <c r="G32">
        <v>0</v>
      </c>
    </row>
    <row r="33" spans="1:7" x14ac:dyDescent="0.25">
      <c r="A33" s="226">
        <v>10010116</v>
      </c>
      <c r="B33" s="92">
        <v>0</v>
      </c>
      <c r="F33">
        <v>10010116</v>
      </c>
      <c r="G33">
        <v>0</v>
      </c>
    </row>
    <row r="34" spans="1:7" x14ac:dyDescent="0.25">
      <c r="A34" s="226">
        <v>10010121</v>
      </c>
      <c r="B34" s="92">
        <v>0</v>
      </c>
      <c r="F34">
        <v>10010121</v>
      </c>
      <c r="G34">
        <v>0</v>
      </c>
    </row>
    <row r="35" spans="1:7" x14ac:dyDescent="0.25">
      <c r="A35" s="226">
        <v>10010125</v>
      </c>
      <c r="B35" s="92">
        <v>0</v>
      </c>
      <c r="F35">
        <v>10010125</v>
      </c>
      <c r="G35">
        <v>0</v>
      </c>
    </row>
    <row r="36" spans="1:7" x14ac:dyDescent="0.25">
      <c r="A36" s="226">
        <v>10010128</v>
      </c>
      <c r="B36" s="92">
        <v>0</v>
      </c>
      <c r="F36">
        <v>10010128</v>
      </c>
      <c r="G36">
        <v>0</v>
      </c>
    </row>
    <row r="37" spans="1:7" x14ac:dyDescent="0.25">
      <c r="A37" s="226">
        <v>10010129</v>
      </c>
      <c r="B37" s="92">
        <v>0</v>
      </c>
      <c r="F37">
        <v>10010129</v>
      </c>
      <c r="G37">
        <v>0</v>
      </c>
    </row>
    <row r="38" spans="1:7" x14ac:dyDescent="0.25">
      <c r="A38" s="226">
        <v>10010130</v>
      </c>
      <c r="B38" s="92">
        <v>0</v>
      </c>
      <c r="F38">
        <v>10010130</v>
      </c>
      <c r="G38">
        <v>0</v>
      </c>
    </row>
    <row r="39" spans="1:7" x14ac:dyDescent="0.25">
      <c r="A39" s="226">
        <v>10010131</v>
      </c>
      <c r="B39" s="92">
        <v>0</v>
      </c>
      <c r="F39">
        <v>10010131</v>
      </c>
      <c r="G39">
        <v>0</v>
      </c>
    </row>
    <row r="40" spans="1:7" x14ac:dyDescent="0.25">
      <c r="A40" s="226">
        <v>10010137</v>
      </c>
      <c r="B40" s="92">
        <v>0</v>
      </c>
      <c r="F40">
        <v>10010137</v>
      </c>
      <c r="G40">
        <v>0</v>
      </c>
    </row>
    <row r="41" spans="1:7" x14ac:dyDescent="0.25">
      <c r="A41" s="226">
        <v>10010140</v>
      </c>
      <c r="B41" s="92">
        <v>0</v>
      </c>
      <c r="F41">
        <v>10010140</v>
      </c>
      <c r="G41">
        <v>0</v>
      </c>
    </row>
    <row r="42" spans="1:7" x14ac:dyDescent="0.25">
      <c r="A42" s="226">
        <v>10010141</v>
      </c>
      <c r="B42" s="92">
        <v>0</v>
      </c>
      <c r="F42">
        <v>10010141</v>
      </c>
      <c r="G42">
        <v>0</v>
      </c>
    </row>
    <row r="43" spans="1:7" x14ac:dyDescent="0.25">
      <c r="A43" s="226">
        <v>10010143</v>
      </c>
      <c r="B43" s="92">
        <v>0</v>
      </c>
      <c r="F43">
        <v>10010143</v>
      </c>
      <c r="G43">
        <v>0</v>
      </c>
    </row>
    <row r="44" spans="1:7" x14ac:dyDescent="0.25">
      <c r="A44" s="226">
        <v>10010144</v>
      </c>
      <c r="B44" s="92">
        <v>0</v>
      </c>
      <c r="F44">
        <v>10010144</v>
      </c>
      <c r="G44">
        <v>0</v>
      </c>
    </row>
    <row r="45" spans="1:7" x14ac:dyDescent="0.25">
      <c r="A45" s="226">
        <v>10010145</v>
      </c>
      <c r="B45" s="92">
        <v>0</v>
      </c>
      <c r="F45">
        <v>10010145</v>
      </c>
      <c r="G45">
        <v>0</v>
      </c>
    </row>
    <row r="46" spans="1:7" x14ac:dyDescent="0.25">
      <c r="A46" s="226">
        <v>10010146</v>
      </c>
      <c r="B46" s="92">
        <v>0</v>
      </c>
      <c r="F46">
        <v>10010146</v>
      </c>
      <c r="G46">
        <v>0</v>
      </c>
    </row>
    <row r="47" spans="1:7" x14ac:dyDescent="0.25">
      <c r="A47" s="226">
        <v>10010147</v>
      </c>
      <c r="B47" s="92">
        <v>0</v>
      </c>
      <c r="F47">
        <v>10010147</v>
      </c>
      <c r="G47">
        <v>0</v>
      </c>
    </row>
    <row r="48" spans="1:7" x14ac:dyDescent="0.25">
      <c r="A48" s="226">
        <v>10010148</v>
      </c>
      <c r="B48" s="92">
        <v>0</v>
      </c>
      <c r="F48">
        <v>10010148</v>
      </c>
      <c r="G48">
        <v>0</v>
      </c>
    </row>
    <row r="49" spans="1:7" x14ac:dyDescent="0.25">
      <c r="A49" s="226">
        <v>10010149</v>
      </c>
      <c r="B49" s="92">
        <v>0</v>
      </c>
      <c r="F49">
        <v>10010149</v>
      </c>
      <c r="G49">
        <v>0</v>
      </c>
    </row>
    <row r="50" spans="1:7" x14ac:dyDescent="0.25">
      <c r="A50" s="226">
        <v>10020002</v>
      </c>
      <c r="B50" s="92">
        <v>0</v>
      </c>
      <c r="F50">
        <v>10020002</v>
      </c>
      <c r="G50">
        <v>0</v>
      </c>
    </row>
    <row r="51" spans="1:7" x14ac:dyDescent="0.25">
      <c r="A51" s="226">
        <v>10020004</v>
      </c>
      <c r="B51" s="92">
        <v>0</v>
      </c>
      <c r="F51">
        <v>10020004</v>
      </c>
      <c r="G51">
        <v>0</v>
      </c>
    </row>
    <row r="52" spans="1:7" x14ac:dyDescent="0.25">
      <c r="A52" s="226">
        <v>10020006</v>
      </c>
      <c r="B52" s="92">
        <v>0</v>
      </c>
      <c r="F52">
        <v>10020006</v>
      </c>
      <c r="G52">
        <v>0</v>
      </c>
    </row>
    <row r="53" spans="1:7" x14ac:dyDescent="0.25">
      <c r="A53" s="226">
        <v>10020007</v>
      </c>
      <c r="B53" s="92">
        <v>0</v>
      </c>
      <c r="F53">
        <v>10020007</v>
      </c>
      <c r="G53">
        <v>0</v>
      </c>
    </row>
    <row r="54" spans="1:7" x14ac:dyDescent="0.25">
      <c r="A54" s="226">
        <v>10020008</v>
      </c>
      <c r="B54" s="92">
        <v>0</v>
      </c>
      <c r="F54">
        <v>10020008</v>
      </c>
      <c r="G54">
        <v>0</v>
      </c>
    </row>
    <row r="55" spans="1:7" x14ac:dyDescent="0.25">
      <c r="A55" s="226">
        <v>10020010</v>
      </c>
      <c r="B55" s="92">
        <v>0</v>
      </c>
      <c r="F55">
        <v>10020010</v>
      </c>
      <c r="G55">
        <v>0</v>
      </c>
    </row>
    <row r="56" spans="1:7" x14ac:dyDescent="0.25">
      <c r="A56" s="226">
        <v>10020012</v>
      </c>
      <c r="B56" s="92">
        <v>0</v>
      </c>
      <c r="F56">
        <v>10020012</v>
      </c>
      <c r="G56">
        <v>0</v>
      </c>
    </row>
    <row r="57" spans="1:7" x14ac:dyDescent="0.25">
      <c r="A57" s="226">
        <v>10020013</v>
      </c>
      <c r="B57" s="92">
        <v>0</v>
      </c>
      <c r="F57">
        <v>10020013</v>
      </c>
      <c r="G57">
        <v>0</v>
      </c>
    </row>
    <row r="58" spans="1:7" x14ac:dyDescent="0.25">
      <c r="A58" s="226">
        <v>10020014</v>
      </c>
      <c r="B58" s="92">
        <v>0</v>
      </c>
      <c r="F58">
        <v>10020014</v>
      </c>
      <c r="G58">
        <v>0</v>
      </c>
    </row>
    <row r="59" spans="1:7" x14ac:dyDescent="0.25">
      <c r="A59" s="226">
        <v>10020015</v>
      </c>
      <c r="B59" s="92">
        <v>0</v>
      </c>
      <c r="F59">
        <v>10020015</v>
      </c>
      <c r="G59">
        <v>0</v>
      </c>
    </row>
    <row r="60" spans="1:7" x14ac:dyDescent="0.25">
      <c r="A60" s="226">
        <v>10020016</v>
      </c>
      <c r="B60" s="92">
        <v>0</v>
      </c>
      <c r="F60">
        <v>10020016</v>
      </c>
      <c r="G60">
        <v>0</v>
      </c>
    </row>
    <row r="61" spans="1:7" x14ac:dyDescent="0.25">
      <c r="A61" s="226">
        <v>10020017</v>
      </c>
      <c r="B61" s="92">
        <v>0</v>
      </c>
      <c r="F61">
        <v>10020017</v>
      </c>
      <c r="G61">
        <v>0</v>
      </c>
    </row>
    <row r="62" spans="1:7" x14ac:dyDescent="0.25">
      <c r="A62" s="226">
        <v>10020018</v>
      </c>
      <c r="B62" s="92">
        <v>0</v>
      </c>
      <c r="F62">
        <v>10020018</v>
      </c>
      <c r="G62">
        <v>0</v>
      </c>
    </row>
    <row r="63" spans="1:7" x14ac:dyDescent="0.25">
      <c r="A63" s="226">
        <v>10020020</v>
      </c>
      <c r="B63" s="92">
        <v>0</v>
      </c>
      <c r="F63">
        <v>10020020</v>
      </c>
      <c r="G63">
        <v>0</v>
      </c>
    </row>
    <row r="64" spans="1:7" x14ac:dyDescent="0.25">
      <c r="A64" s="226">
        <v>10020021</v>
      </c>
      <c r="B64" s="92">
        <v>0</v>
      </c>
      <c r="F64">
        <v>10020021</v>
      </c>
      <c r="G64">
        <v>0</v>
      </c>
    </row>
    <row r="65" spans="1:7" x14ac:dyDescent="0.25">
      <c r="A65" s="226">
        <v>10020023</v>
      </c>
      <c r="B65" s="92">
        <v>0</v>
      </c>
      <c r="F65">
        <v>10020023</v>
      </c>
      <c r="G65">
        <v>0</v>
      </c>
    </row>
    <row r="66" spans="1:7" x14ac:dyDescent="0.25">
      <c r="A66" s="226">
        <v>10020024</v>
      </c>
      <c r="B66" s="92">
        <v>0</v>
      </c>
      <c r="F66">
        <v>10020024</v>
      </c>
      <c r="G66">
        <v>0</v>
      </c>
    </row>
    <row r="67" spans="1:7" x14ac:dyDescent="0.25">
      <c r="A67" s="226">
        <v>10020025</v>
      </c>
      <c r="B67" s="92">
        <v>0</v>
      </c>
      <c r="F67">
        <v>10020025</v>
      </c>
      <c r="G67">
        <v>0</v>
      </c>
    </row>
    <row r="68" spans="1:7" x14ac:dyDescent="0.25">
      <c r="A68" s="226">
        <v>10020026</v>
      </c>
      <c r="B68" s="92">
        <v>0</v>
      </c>
      <c r="F68">
        <v>10020026</v>
      </c>
      <c r="G68">
        <v>0</v>
      </c>
    </row>
    <row r="69" spans="1:7" x14ac:dyDescent="0.25">
      <c r="A69" s="226">
        <v>10020027</v>
      </c>
      <c r="B69" s="92">
        <v>0</v>
      </c>
      <c r="F69">
        <v>10020027</v>
      </c>
      <c r="G69">
        <v>0</v>
      </c>
    </row>
    <row r="70" spans="1:7" x14ac:dyDescent="0.25">
      <c r="A70" s="226">
        <v>10020029</v>
      </c>
      <c r="B70" s="92">
        <v>0</v>
      </c>
      <c r="F70">
        <v>10020029</v>
      </c>
      <c r="G70">
        <v>0</v>
      </c>
    </row>
    <row r="71" spans="1:7" x14ac:dyDescent="0.25">
      <c r="A71" s="226">
        <v>10020032</v>
      </c>
      <c r="B71" s="92">
        <v>0</v>
      </c>
      <c r="F71">
        <v>10020032</v>
      </c>
      <c r="G71">
        <v>0</v>
      </c>
    </row>
    <row r="72" spans="1:7" x14ac:dyDescent="0.25">
      <c r="A72" s="226">
        <v>10020034</v>
      </c>
      <c r="B72" s="92">
        <v>0</v>
      </c>
      <c r="F72">
        <v>10020034</v>
      </c>
      <c r="G72">
        <v>0</v>
      </c>
    </row>
    <row r="73" spans="1:7" x14ac:dyDescent="0.25">
      <c r="A73" s="226">
        <v>10020035</v>
      </c>
      <c r="B73" s="92">
        <v>0</v>
      </c>
      <c r="F73">
        <v>10020035</v>
      </c>
      <c r="G73">
        <v>0</v>
      </c>
    </row>
    <row r="74" spans="1:7" x14ac:dyDescent="0.25">
      <c r="A74" s="226">
        <v>10020038</v>
      </c>
      <c r="B74" s="92">
        <v>1000</v>
      </c>
      <c r="F74">
        <v>10020038</v>
      </c>
      <c r="G74">
        <v>1000</v>
      </c>
    </row>
    <row r="75" spans="1:7" x14ac:dyDescent="0.25">
      <c r="A75" s="226">
        <v>10020041</v>
      </c>
      <c r="B75" s="92">
        <v>1000</v>
      </c>
      <c r="F75">
        <v>10020041</v>
      </c>
      <c r="G75">
        <v>1000</v>
      </c>
    </row>
    <row r="76" spans="1:7" x14ac:dyDescent="0.25">
      <c r="A76" s="226">
        <v>10020042</v>
      </c>
      <c r="B76" s="92">
        <v>1000</v>
      </c>
      <c r="F76">
        <v>10020042</v>
      </c>
      <c r="G76">
        <v>1000</v>
      </c>
    </row>
    <row r="77" spans="1:7" x14ac:dyDescent="0.25">
      <c r="A77" s="226">
        <v>10020043</v>
      </c>
      <c r="B77" s="92">
        <v>0</v>
      </c>
      <c r="F77">
        <v>10020043</v>
      </c>
      <c r="G77">
        <v>0</v>
      </c>
    </row>
    <row r="78" spans="1:7" x14ac:dyDescent="0.25">
      <c r="A78" s="226">
        <v>10020044</v>
      </c>
      <c r="B78" s="92">
        <v>0</v>
      </c>
      <c r="F78">
        <v>10020044</v>
      </c>
      <c r="G78">
        <v>0</v>
      </c>
    </row>
    <row r="79" spans="1:7" x14ac:dyDescent="0.25">
      <c r="A79" s="226">
        <v>10020047</v>
      </c>
      <c r="B79" s="92">
        <v>0</v>
      </c>
      <c r="F79">
        <v>10020047</v>
      </c>
      <c r="G79">
        <v>0</v>
      </c>
    </row>
    <row r="80" spans="1:7" x14ac:dyDescent="0.25">
      <c r="A80" s="226">
        <v>10020050</v>
      </c>
      <c r="B80" s="92">
        <v>0</v>
      </c>
      <c r="F80">
        <v>10020050</v>
      </c>
      <c r="G80">
        <v>0</v>
      </c>
    </row>
    <row r="81" spans="1:7" x14ac:dyDescent="0.25">
      <c r="A81" s="226">
        <v>10020051</v>
      </c>
      <c r="B81" s="92">
        <v>0</v>
      </c>
      <c r="F81">
        <v>10020051</v>
      </c>
      <c r="G81">
        <v>0</v>
      </c>
    </row>
    <row r="82" spans="1:7" x14ac:dyDescent="0.25">
      <c r="A82" s="226">
        <v>10020054</v>
      </c>
      <c r="B82" s="92">
        <v>0</v>
      </c>
      <c r="F82">
        <v>10020054</v>
      </c>
      <c r="G82">
        <v>0</v>
      </c>
    </row>
    <row r="83" spans="1:7" x14ac:dyDescent="0.25">
      <c r="A83" s="226">
        <v>10020056</v>
      </c>
      <c r="B83" s="92">
        <v>0</v>
      </c>
      <c r="F83">
        <v>10020056</v>
      </c>
      <c r="G83">
        <v>0</v>
      </c>
    </row>
    <row r="84" spans="1:7" x14ac:dyDescent="0.25">
      <c r="A84" s="226">
        <v>10020057</v>
      </c>
      <c r="B84" s="92">
        <v>0</v>
      </c>
      <c r="F84">
        <v>10020057</v>
      </c>
      <c r="G84">
        <v>0</v>
      </c>
    </row>
    <row r="85" spans="1:7" x14ac:dyDescent="0.25">
      <c r="A85" s="226">
        <v>10020058</v>
      </c>
      <c r="B85" s="92">
        <v>0</v>
      </c>
      <c r="F85">
        <v>10020058</v>
      </c>
      <c r="G85">
        <v>0</v>
      </c>
    </row>
    <row r="86" spans="1:7" x14ac:dyDescent="0.25">
      <c r="A86" s="226">
        <v>10020059</v>
      </c>
      <c r="B86" s="92">
        <v>0</v>
      </c>
      <c r="F86">
        <v>10020059</v>
      </c>
      <c r="G86">
        <v>0</v>
      </c>
    </row>
    <row r="87" spans="1:7" x14ac:dyDescent="0.25">
      <c r="A87" s="226">
        <v>10020062</v>
      </c>
      <c r="B87" s="92">
        <v>1000</v>
      </c>
      <c r="F87">
        <v>10020062</v>
      </c>
      <c r="G87">
        <v>1000</v>
      </c>
    </row>
    <row r="88" spans="1:7" x14ac:dyDescent="0.25">
      <c r="A88" s="226">
        <v>10020063</v>
      </c>
      <c r="B88" s="92">
        <v>0</v>
      </c>
      <c r="F88">
        <v>10020063</v>
      </c>
      <c r="G88">
        <v>0</v>
      </c>
    </row>
    <row r="89" spans="1:7" x14ac:dyDescent="0.25">
      <c r="A89" s="226">
        <v>10020064</v>
      </c>
      <c r="B89" s="92">
        <v>0</v>
      </c>
      <c r="F89">
        <v>10020064</v>
      </c>
      <c r="G89">
        <v>0</v>
      </c>
    </row>
    <row r="90" spans="1:7" x14ac:dyDescent="0.25">
      <c r="A90" s="226">
        <v>10020067</v>
      </c>
      <c r="B90" s="92">
        <v>0</v>
      </c>
      <c r="F90">
        <v>10020067</v>
      </c>
      <c r="G90">
        <v>0</v>
      </c>
    </row>
    <row r="91" spans="1:7" x14ac:dyDescent="0.25">
      <c r="A91" s="226">
        <v>10020068</v>
      </c>
      <c r="B91" s="92">
        <v>0</v>
      </c>
      <c r="F91">
        <v>10020068</v>
      </c>
      <c r="G91">
        <v>0</v>
      </c>
    </row>
    <row r="92" spans="1:7" x14ac:dyDescent="0.25">
      <c r="A92" s="226">
        <v>10020069</v>
      </c>
      <c r="B92" s="92">
        <v>0</v>
      </c>
      <c r="F92">
        <v>10020069</v>
      </c>
      <c r="G92">
        <v>0</v>
      </c>
    </row>
    <row r="93" spans="1:7" x14ac:dyDescent="0.25">
      <c r="A93" s="226">
        <v>10020070</v>
      </c>
      <c r="B93" s="92">
        <v>0</v>
      </c>
      <c r="F93">
        <v>10020070</v>
      </c>
      <c r="G93">
        <v>0</v>
      </c>
    </row>
    <row r="94" spans="1:7" x14ac:dyDescent="0.25">
      <c r="A94" s="226">
        <v>10020073</v>
      </c>
      <c r="B94" s="92">
        <v>0</v>
      </c>
      <c r="F94">
        <v>10020073</v>
      </c>
      <c r="G94">
        <v>0</v>
      </c>
    </row>
    <row r="95" spans="1:7" x14ac:dyDescent="0.25">
      <c r="A95" s="226">
        <v>10020075</v>
      </c>
      <c r="B95" s="92">
        <v>0</v>
      </c>
      <c r="F95">
        <v>10020075</v>
      </c>
      <c r="G95">
        <v>0</v>
      </c>
    </row>
    <row r="96" spans="1:7" x14ac:dyDescent="0.25">
      <c r="A96" s="226">
        <v>10020076</v>
      </c>
      <c r="B96" s="92">
        <v>1000</v>
      </c>
      <c r="F96">
        <v>10020076</v>
      </c>
      <c r="G96">
        <v>1000</v>
      </c>
    </row>
    <row r="97" spans="1:7" x14ac:dyDescent="0.25">
      <c r="A97" s="226">
        <v>10020077</v>
      </c>
      <c r="B97" s="92">
        <v>0</v>
      </c>
      <c r="F97">
        <v>10020077</v>
      </c>
      <c r="G97">
        <v>0</v>
      </c>
    </row>
    <row r="98" spans="1:7" x14ac:dyDescent="0.25">
      <c r="A98" s="226">
        <v>10020078</v>
      </c>
      <c r="B98" s="92">
        <v>0</v>
      </c>
      <c r="F98">
        <v>10020078</v>
      </c>
      <c r="G98">
        <v>0</v>
      </c>
    </row>
    <row r="99" spans="1:7" x14ac:dyDescent="0.25">
      <c r="A99" s="226">
        <v>10020079</v>
      </c>
      <c r="B99" s="92">
        <v>0</v>
      </c>
      <c r="F99">
        <v>10020079</v>
      </c>
      <c r="G99">
        <v>0</v>
      </c>
    </row>
    <row r="100" spans="1:7" x14ac:dyDescent="0.25">
      <c r="A100" s="226">
        <v>10020080</v>
      </c>
      <c r="B100" s="92">
        <v>1000</v>
      </c>
      <c r="F100">
        <v>10020080</v>
      </c>
      <c r="G100">
        <v>1000</v>
      </c>
    </row>
    <row r="101" spans="1:7" x14ac:dyDescent="0.25">
      <c r="A101" s="226">
        <v>10020081</v>
      </c>
      <c r="B101" s="92">
        <v>0</v>
      </c>
      <c r="F101">
        <v>10020081</v>
      </c>
      <c r="G101">
        <v>0</v>
      </c>
    </row>
    <row r="102" spans="1:7" x14ac:dyDescent="0.25">
      <c r="A102" s="226">
        <v>10020082</v>
      </c>
      <c r="B102" s="92">
        <v>0</v>
      </c>
      <c r="F102">
        <v>10020082</v>
      </c>
      <c r="G102">
        <v>0</v>
      </c>
    </row>
    <row r="103" spans="1:7" x14ac:dyDescent="0.25">
      <c r="A103" s="226">
        <v>10020083</v>
      </c>
      <c r="B103" s="92">
        <v>0</v>
      </c>
      <c r="F103">
        <v>10020083</v>
      </c>
      <c r="G103">
        <v>0</v>
      </c>
    </row>
    <row r="104" spans="1:7" x14ac:dyDescent="0.25">
      <c r="A104" s="226">
        <v>10020084</v>
      </c>
      <c r="B104" s="92">
        <v>0</v>
      </c>
      <c r="F104">
        <v>10020084</v>
      </c>
      <c r="G104">
        <v>0</v>
      </c>
    </row>
    <row r="105" spans="1:7" x14ac:dyDescent="0.25">
      <c r="A105" s="226">
        <v>10030002</v>
      </c>
      <c r="B105" s="92">
        <v>0</v>
      </c>
      <c r="F105">
        <v>10030002</v>
      </c>
      <c r="G105">
        <v>0</v>
      </c>
    </row>
    <row r="106" spans="1:7" x14ac:dyDescent="0.25">
      <c r="A106" s="226">
        <v>10030003</v>
      </c>
      <c r="B106" s="92">
        <v>0</v>
      </c>
      <c r="F106">
        <v>10030003</v>
      </c>
      <c r="G106">
        <v>0</v>
      </c>
    </row>
    <row r="107" spans="1:7" x14ac:dyDescent="0.25">
      <c r="A107" s="226">
        <v>10030007</v>
      </c>
      <c r="B107" s="92">
        <v>0</v>
      </c>
      <c r="F107">
        <v>10030007</v>
      </c>
      <c r="G107">
        <v>0</v>
      </c>
    </row>
    <row r="108" spans="1:7" x14ac:dyDescent="0.25">
      <c r="A108" s="226">
        <v>10030008</v>
      </c>
      <c r="B108" s="92">
        <v>0</v>
      </c>
      <c r="F108">
        <v>10030008</v>
      </c>
      <c r="G108">
        <v>0</v>
      </c>
    </row>
    <row r="109" spans="1:7" x14ac:dyDescent="0.25">
      <c r="A109" s="226">
        <v>10030009</v>
      </c>
      <c r="B109" s="92">
        <v>0</v>
      </c>
      <c r="F109">
        <v>10030009</v>
      </c>
      <c r="G109">
        <v>0</v>
      </c>
    </row>
    <row r="110" spans="1:7" x14ac:dyDescent="0.25">
      <c r="A110" s="226">
        <v>10030010</v>
      </c>
      <c r="B110" s="92">
        <v>1000</v>
      </c>
      <c r="F110">
        <v>10030010</v>
      </c>
      <c r="G110">
        <v>1000</v>
      </c>
    </row>
    <row r="111" spans="1:7" x14ac:dyDescent="0.25">
      <c r="A111" s="226">
        <v>10030011</v>
      </c>
      <c r="B111" s="92">
        <v>0</v>
      </c>
      <c r="F111">
        <v>10030011</v>
      </c>
      <c r="G111">
        <v>0</v>
      </c>
    </row>
    <row r="112" spans="1:7" x14ac:dyDescent="0.25">
      <c r="A112" s="226">
        <v>10030012</v>
      </c>
      <c r="B112" s="92">
        <v>0</v>
      </c>
      <c r="F112">
        <v>10030012</v>
      </c>
      <c r="G112">
        <v>0</v>
      </c>
    </row>
    <row r="113" spans="1:7" x14ac:dyDescent="0.25">
      <c r="A113" s="226">
        <v>10030013</v>
      </c>
      <c r="B113" s="92">
        <v>0</v>
      </c>
      <c r="F113">
        <v>10030013</v>
      </c>
      <c r="G113">
        <v>0</v>
      </c>
    </row>
    <row r="114" spans="1:7" x14ac:dyDescent="0.25">
      <c r="A114" s="226">
        <v>10030015</v>
      </c>
      <c r="B114" s="92">
        <v>0</v>
      </c>
      <c r="F114">
        <v>10030015</v>
      </c>
      <c r="G114">
        <v>0</v>
      </c>
    </row>
    <row r="115" spans="1:7" x14ac:dyDescent="0.25">
      <c r="A115" s="226">
        <v>10030016</v>
      </c>
      <c r="B115" s="92">
        <v>0</v>
      </c>
      <c r="F115">
        <v>10030016</v>
      </c>
      <c r="G115">
        <v>0</v>
      </c>
    </row>
    <row r="116" spans="1:7" x14ac:dyDescent="0.25">
      <c r="A116" s="226">
        <v>10030017</v>
      </c>
      <c r="B116" s="92">
        <v>0</v>
      </c>
      <c r="F116">
        <v>10030017</v>
      </c>
      <c r="G116">
        <v>0</v>
      </c>
    </row>
    <row r="117" spans="1:7" x14ac:dyDescent="0.25">
      <c r="A117" s="226">
        <v>10030018</v>
      </c>
      <c r="B117" s="92">
        <v>0</v>
      </c>
      <c r="F117">
        <v>10030018</v>
      </c>
      <c r="G117">
        <v>0</v>
      </c>
    </row>
    <row r="118" spans="1:7" x14ac:dyDescent="0.25">
      <c r="A118" s="226">
        <v>10030019</v>
      </c>
      <c r="B118" s="92">
        <v>0</v>
      </c>
      <c r="F118">
        <v>10030019</v>
      </c>
      <c r="G118">
        <v>0</v>
      </c>
    </row>
    <row r="119" spans="1:7" x14ac:dyDescent="0.25">
      <c r="A119" s="226">
        <v>10030021</v>
      </c>
      <c r="B119" s="92">
        <v>0</v>
      </c>
      <c r="F119">
        <v>10030021</v>
      </c>
      <c r="G119">
        <v>0</v>
      </c>
    </row>
    <row r="120" spans="1:7" x14ac:dyDescent="0.25">
      <c r="A120" s="226">
        <v>10030022</v>
      </c>
      <c r="B120" s="92">
        <v>0</v>
      </c>
      <c r="F120">
        <v>10030022</v>
      </c>
      <c r="G120">
        <v>0</v>
      </c>
    </row>
    <row r="121" spans="1:7" x14ac:dyDescent="0.25">
      <c r="A121" s="226">
        <v>10030023</v>
      </c>
      <c r="B121" s="92">
        <v>0</v>
      </c>
      <c r="F121">
        <v>10030023</v>
      </c>
      <c r="G121">
        <v>0</v>
      </c>
    </row>
    <row r="122" spans="1:7" x14ac:dyDescent="0.25">
      <c r="A122" s="226">
        <v>10030025</v>
      </c>
      <c r="B122" s="92">
        <v>0</v>
      </c>
      <c r="F122">
        <v>10030025</v>
      </c>
      <c r="G122">
        <v>0</v>
      </c>
    </row>
    <row r="123" spans="1:7" x14ac:dyDescent="0.25">
      <c r="A123" s="226">
        <v>10030026</v>
      </c>
      <c r="B123" s="92">
        <v>0</v>
      </c>
      <c r="F123">
        <v>10030026</v>
      </c>
      <c r="G123">
        <v>0</v>
      </c>
    </row>
    <row r="124" spans="1:7" x14ac:dyDescent="0.25">
      <c r="A124" s="226">
        <v>10030027</v>
      </c>
      <c r="B124" s="92">
        <v>0</v>
      </c>
      <c r="F124">
        <v>10030027</v>
      </c>
      <c r="G124">
        <v>0</v>
      </c>
    </row>
    <row r="125" spans="1:7" x14ac:dyDescent="0.25">
      <c r="A125" s="226">
        <v>10030028</v>
      </c>
      <c r="B125" s="92">
        <v>0</v>
      </c>
      <c r="F125">
        <v>10030028</v>
      </c>
      <c r="G125">
        <v>0</v>
      </c>
    </row>
    <row r="126" spans="1:7" x14ac:dyDescent="0.25">
      <c r="A126" s="226">
        <v>10030031</v>
      </c>
      <c r="B126" s="92">
        <v>0</v>
      </c>
      <c r="F126">
        <v>10030031</v>
      </c>
      <c r="G126">
        <v>0</v>
      </c>
    </row>
    <row r="127" spans="1:7" x14ac:dyDescent="0.25">
      <c r="A127" s="226">
        <v>10030032</v>
      </c>
      <c r="B127" s="92">
        <v>0</v>
      </c>
      <c r="F127">
        <v>10030032</v>
      </c>
      <c r="G127">
        <v>0</v>
      </c>
    </row>
    <row r="128" spans="1:7" x14ac:dyDescent="0.25">
      <c r="A128" s="226">
        <v>10030034</v>
      </c>
      <c r="B128" s="92">
        <v>0</v>
      </c>
      <c r="F128">
        <v>10030034</v>
      </c>
      <c r="G128">
        <v>0</v>
      </c>
    </row>
    <row r="129" spans="1:7" x14ac:dyDescent="0.25">
      <c r="A129" s="226">
        <v>10030035</v>
      </c>
      <c r="B129" s="92">
        <v>0</v>
      </c>
      <c r="F129">
        <v>10030035</v>
      </c>
      <c r="G129">
        <v>0</v>
      </c>
    </row>
    <row r="130" spans="1:7" x14ac:dyDescent="0.25">
      <c r="A130" s="226">
        <v>10030037</v>
      </c>
      <c r="B130" s="92">
        <v>0</v>
      </c>
      <c r="F130">
        <v>10030037</v>
      </c>
      <c r="G130">
        <v>0</v>
      </c>
    </row>
    <row r="131" spans="1:7" x14ac:dyDescent="0.25">
      <c r="A131" s="226">
        <v>10030038</v>
      </c>
      <c r="B131" s="92">
        <v>0</v>
      </c>
      <c r="F131">
        <v>10030038</v>
      </c>
      <c r="G131">
        <v>0</v>
      </c>
    </row>
    <row r="132" spans="1:7" x14ac:dyDescent="0.25">
      <c r="A132" s="226">
        <v>10030040</v>
      </c>
      <c r="B132" s="92">
        <v>0</v>
      </c>
      <c r="F132">
        <v>10030040</v>
      </c>
      <c r="G132">
        <v>0</v>
      </c>
    </row>
    <row r="133" spans="1:7" x14ac:dyDescent="0.25">
      <c r="A133" s="226">
        <v>10030041</v>
      </c>
      <c r="B133" s="92">
        <v>0</v>
      </c>
      <c r="F133">
        <v>10030041</v>
      </c>
      <c r="G133">
        <v>0</v>
      </c>
    </row>
    <row r="134" spans="1:7" x14ac:dyDescent="0.25">
      <c r="A134" s="226">
        <v>10030042</v>
      </c>
      <c r="B134" s="92">
        <v>0</v>
      </c>
      <c r="F134">
        <v>10030042</v>
      </c>
      <c r="G134">
        <v>0</v>
      </c>
    </row>
    <row r="135" spans="1:7" x14ac:dyDescent="0.25">
      <c r="A135" s="226">
        <v>10030043</v>
      </c>
      <c r="B135" s="92">
        <v>0</v>
      </c>
      <c r="F135">
        <v>10030043</v>
      </c>
      <c r="G135">
        <v>0</v>
      </c>
    </row>
    <row r="136" spans="1:7" x14ac:dyDescent="0.25">
      <c r="A136" s="226">
        <v>10030044</v>
      </c>
      <c r="B136" s="92">
        <v>0</v>
      </c>
      <c r="F136">
        <v>10030044</v>
      </c>
      <c r="G136">
        <v>0</v>
      </c>
    </row>
    <row r="137" spans="1:7" x14ac:dyDescent="0.25">
      <c r="A137" s="226">
        <v>10030045</v>
      </c>
      <c r="B137" s="92">
        <v>0</v>
      </c>
      <c r="F137">
        <v>10030045</v>
      </c>
      <c r="G137">
        <v>0</v>
      </c>
    </row>
    <row r="138" spans="1:7" x14ac:dyDescent="0.25">
      <c r="A138" s="226">
        <v>10030046</v>
      </c>
      <c r="B138" s="92">
        <v>0</v>
      </c>
      <c r="F138">
        <v>10030046</v>
      </c>
      <c r="G138">
        <v>0</v>
      </c>
    </row>
    <row r="139" spans="1:7" x14ac:dyDescent="0.25">
      <c r="A139" s="226">
        <v>10030047</v>
      </c>
      <c r="B139" s="92">
        <v>0</v>
      </c>
      <c r="F139">
        <v>10030047</v>
      </c>
      <c r="G139">
        <v>0</v>
      </c>
    </row>
    <row r="140" spans="1:7" x14ac:dyDescent="0.25">
      <c r="A140" s="226">
        <v>10030048</v>
      </c>
      <c r="B140" s="92">
        <v>0</v>
      </c>
      <c r="F140">
        <v>10030048</v>
      </c>
      <c r="G140">
        <v>0</v>
      </c>
    </row>
    <row r="141" spans="1:7" x14ac:dyDescent="0.25">
      <c r="A141" s="226">
        <v>10030049</v>
      </c>
      <c r="B141" s="92">
        <v>0</v>
      </c>
      <c r="F141">
        <v>10030049</v>
      </c>
      <c r="G141">
        <v>0</v>
      </c>
    </row>
    <row r="142" spans="1:7" x14ac:dyDescent="0.25">
      <c r="A142" s="226">
        <v>10030050</v>
      </c>
      <c r="B142" s="92">
        <v>0</v>
      </c>
      <c r="F142">
        <v>10030050</v>
      </c>
      <c r="G142">
        <v>0</v>
      </c>
    </row>
    <row r="143" spans="1:7" x14ac:dyDescent="0.25">
      <c r="A143" s="226">
        <v>10030051</v>
      </c>
      <c r="B143" s="92">
        <v>0</v>
      </c>
      <c r="F143">
        <v>10030051</v>
      </c>
      <c r="G143">
        <v>0</v>
      </c>
    </row>
    <row r="144" spans="1:7" x14ac:dyDescent="0.25">
      <c r="A144" s="226">
        <v>10030053</v>
      </c>
      <c r="B144" s="92">
        <v>0</v>
      </c>
      <c r="F144">
        <v>10030053</v>
      </c>
      <c r="G144">
        <v>0</v>
      </c>
    </row>
    <row r="145" spans="1:7" x14ac:dyDescent="0.25">
      <c r="A145" s="226">
        <v>10030055</v>
      </c>
      <c r="B145" s="92">
        <v>1000</v>
      </c>
      <c r="F145">
        <v>10030055</v>
      </c>
      <c r="G145">
        <v>1000</v>
      </c>
    </row>
    <row r="146" spans="1:7" x14ac:dyDescent="0.25">
      <c r="A146" s="226">
        <v>10030056</v>
      </c>
      <c r="B146" s="92">
        <v>1000</v>
      </c>
      <c r="F146">
        <v>10030056</v>
      </c>
      <c r="G146">
        <v>1000</v>
      </c>
    </row>
    <row r="147" spans="1:7" x14ac:dyDescent="0.25">
      <c r="A147" s="226">
        <v>10030059</v>
      </c>
      <c r="B147" s="92">
        <v>0</v>
      </c>
      <c r="F147">
        <v>10030059</v>
      </c>
      <c r="G147">
        <v>0</v>
      </c>
    </row>
    <row r="148" spans="1:7" x14ac:dyDescent="0.25">
      <c r="A148" s="226">
        <v>10030060</v>
      </c>
      <c r="B148" s="92">
        <v>0</v>
      </c>
      <c r="F148">
        <v>10030060</v>
      </c>
      <c r="G148">
        <v>0</v>
      </c>
    </row>
    <row r="149" spans="1:7" x14ac:dyDescent="0.25">
      <c r="A149" s="226">
        <v>10030061</v>
      </c>
      <c r="B149" s="92">
        <v>0</v>
      </c>
      <c r="F149">
        <v>10030061</v>
      </c>
      <c r="G149">
        <v>0</v>
      </c>
    </row>
    <row r="150" spans="1:7" x14ac:dyDescent="0.25">
      <c r="A150" s="226">
        <v>10030063</v>
      </c>
      <c r="B150" s="92">
        <v>0</v>
      </c>
      <c r="F150">
        <v>10030063</v>
      </c>
      <c r="G150">
        <v>0</v>
      </c>
    </row>
    <row r="151" spans="1:7" x14ac:dyDescent="0.25">
      <c r="A151" s="226">
        <v>10030064</v>
      </c>
      <c r="B151" s="92">
        <v>0</v>
      </c>
      <c r="F151">
        <v>10030064</v>
      </c>
      <c r="G151">
        <v>0</v>
      </c>
    </row>
    <row r="152" spans="1:7" x14ac:dyDescent="0.25">
      <c r="A152" s="226">
        <v>10030065</v>
      </c>
      <c r="B152" s="92">
        <v>1000</v>
      </c>
      <c r="F152">
        <v>10030065</v>
      </c>
      <c r="G152">
        <v>1000</v>
      </c>
    </row>
    <row r="153" spans="1:7" x14ac:dyDescent="0.25">
      <c r="A153" s="226">
        <v>10030066</v>
      </c>
      <c r="B153" s="92">
        <v>0</v>
      </c>
      <c r="F153">
        <v>10030066</v>
      </c>
      <c r="G153">
        <v>0</v>
      </c>
    </row>
    <row r="154" spans="1:7" x14ac:dyDescent="0.25">
      <c r="A154" s="226">
        <v>10030068</v>
      </c>
      <c r="B154" s="92">
        <v>0</v>
      </c>
      <c r="F154">
        <v>10030068</v>
      </c>
      <c r="G154">
        <v>0</v>
      </c>
    </row>
    <row r="155" spans="1:7" x14ac:dyDescent="0.25">
      <c r="A155" s="226">
        <v>10030069</v>
      </c>
      <c r="B155" s="92">
        <v>0</v>
      </c>
      <c r="F155">
        <v>10030069</v>
      </c>
      <c r="G155">
        <v>0</v>
      </c>
    </row>
    <row r="156" spans="1:7" x14ac:dyDescent="0.25">
      <c r="A156" s="226">
        <v>10030070</v>
      </c>
      <c r="B156" s="92">
        <v>0</v>
      </c>
      <c r="F156">
        <v>10030070</v>
      </c>
      <c r="G156">
        <v>0</v>
      </c>
    </row>
    <row r="157" spans="1:7" x14ac:dyDescent="0.25">
      <c r="A157" s="226">
        <v>10030071</v>
      </c>
      <c r="B157" s="92">
        <v>1000</v>
      </c>
      <c r="F157">
        <v>10030071</v>
      </c>
      <c r="G157">
        <v>1000</v>
      </c>
    </row>
    <row r="158" spans="1:7" x14ac:dyDescent="0.25">
      <c r="A158" s="226">
        <v>10030072</v>
      </c>
      <c r="B158" s="92">
        <v>0</v>
      </c>
      <c r="F158">
        <v>10030072</v>
      </c>
      <c r="G158">
        <v>0</v>
      </c>
    </row>
    <row r="159" spans="1:7" x14ac:dyDescent="0.25">
      <c r="A159" s="226">
        <v>10030074</v>
      </c>
      <c r="B159" s="92">
        <v>0</v>
      </c>
      <c r="F159">
        <v>10030074</v>
      </c>
      <c r="G159">
        <v>0</v>
      </c>
    </row>
    <row r="160" spans="1:7" x14ac:dyDescent="0.25">
      <c r="A160" s="226">
        <v>10030075</v>
      </c>
      <c r="B160" s="92">
        <v>1000</v>
      </c>
      <c r="F160">
        <v>10030075</v>
      </c>
      <c r="G160">
        <v>1000</v>
      </c>
    </row>
    <row r="161" spans="1:7" x14ac:dyDescent="0.25">
      <c r="A161" s="226">
        <v>10030077</v>
      </c>
      <c r="B161" s="92">
        <v>0</v>
      </c>
      <c r="F161">
        <v>10030077</v>
      </c>
      <c r="G161">
        <v>0</v>
      </c>
    </row>
    <row r="162" spans="1:7" x14ac:dyDescent="0.25">
      <c r="A162" s="226">
        <v>10030078</v>
      </c>
      <c r="B162" s="92">
        <v>0</v>
      </c>
      <c r="F162">
        <v>10030078</v>
      </c>
      <c r="G162">
        <v>0</v>
      </c>
    </row>
    <row r="163" spans="1:7" x14ac:dyDescent="0.25">
      <c r="A163" s="226">
        <v>10030079</v>
      </c>
      <c r="B163" s="92">
        <v>0</v>
      </c>
      <c r="F163">
        <v>10030079</v>
      </c>
      <c r="G163">
        <v>0</v>
      </c>
    </row>
    <row r="164" spans="1:7" x14ac:dyDescent="0.25">
      <c r="A164" s="226">
        <v>10030080</v>
      </c>
      <c r="B164" s="92">
        <v>0</v>
      </c>
      <c r="F164">
        <v>10030080</v>
      </c>
      <c r="G164">
        <v>0</v>
      </c>
    </row>
    <row r="165" spans="1:7" x14ac:dyDescent="0.25">
      <c r="A165" s="226">
        <v>10030081</v>
      </c>
      <c r="B165" s="92">
        <v>0</v>
      </c>
      <c r="F165">
        <v>10030081</v>
      </c>
      <c r="G165">
        <v>0</v>
      </c>
    </row>
    <row r="166" spans="1:7" x14ac:dyDescent="0.25">
      <c r="A166" s="226">
        <v>10030082</v>
      </c>
      <c r="B166" s="92">
        <v>0</v>
      </c>
      <c r="F166">
        <v>10030082</v>
      </c>
      <c r="G166">
        <v>0</v>
      </c>
    </row>
    <row r="167" spans="1:7" x14ac:dyDescent="0.25">
      <c r="A167" s="226">
        <v>10030084</v>
      </c>
      <c r="B167" s="92">
        <v>0</v>
      </c>
      <c r="F167">
        <v>10030084</v>
      </c>
      <c r="G167">
        <v>0</v>
      </c>
    </row>
    <row r="168" spans="1:7" x14ac:dyDescent="0.25">
      <c r="A168" s="226">
        <v>10030085</v>
      </c>
      <c r="B168" s="92">
        <v>0</v>
      </c>
      <c r="F168">
        <v>10030085</v>
      </c>
      <c r="G168">
        <v>0</v>
      </c>
    </row>
    <row r="169" spans="1:7" x14ac:dyDescent="0.25">
      <c r="A169" s="226">
        <v>10040001</v>
      </c>
      <c r="B169" s="92">
        <v>0</v>
      </c>
      <c r="F169">
        <v>10040001</v>
      </c>
      <c r="G169">
        <v>0</v>
      </c>
    </row>
    <row r="170" spans="1:7" x14ac:dyDescent="0.25">
      <c r="A170" s="226">
        <v>10060002</v>
      </c>
      <c r="B170" s="92">
        <v>0</v>
      </c>
      <c r="F170">
        <v>10060002</v>
      </c>
      <c r="G170">
        <v>0</v>
      </c>
    </row>
    <row r="171" spans="1:7" x14ac:dyDescent="0.25">
      <c r="A171" s="226">
        <v>10060003</v>
      </c>
      <c r="B171" s="92">
        <v>0</v>
      </c>
      <c r="F171">
        <v>10060003</v>
      </c>
      <c r="G171">
        <v>0</v>
      </c>
    </row>
    <row r="172" spans="1:7" x14ac:dyDescent="0.25">
      <c r="A172" s="226">
        <v>10060004</v>
      </c>
      <c r="B172" s="92">
        <v>0</v>
      </c>
      <c r="F172">
        <v>10060004</v>
      </c>
      <c r="G172">
        <v>0</v>
      </c>
    </row>
    <row r="173" spans="1:7" x14ac:dyDescent="0.25">
      <c r="A173" s="226">
        <v>10060005</v>
      </c>
      <c r="B173" s="92">
        <v>0</v>
      </c>
      <c r="F173">
        <v>10060005</v>
      </c>
      <c r="G173">
        <v>0</v>
      </c>
    </row>
    <row r="174" spans="1:7" x14ac:dyDescent="0.25">
      <c r="A174" s="226">
        <v>10060007</v>
      </c>
      <c r="B174" s="92">
        <v>0</v>
      </c>
      <c r="F174">
        <v>10060007</v>
      </c>
      <c r="G174">
        <v>0</v>
      </c>
    </row>
    <row r="175" spans="1:7" x14ac:dyDescent="0.25">
      <c r="A175" s="226">
        <v>10060008</v>
      </c>
      <c r="B175" s="92">
        <v>0</v>
      </c>
      <c r="F175">
        <v>10060008</v>
      </c>
      <c r="G175">
        <v>0</v>
      </c>
    </row>
    <row r="176" spans="1:7" x14ac:dyDescent="0.25">
      <c r="A176" s="226">
        <v>10060009</v>
      </c>
      <c r="B176" s="92">
        <v>0</v>
      </c>
      <c r="F176">
        <v>10060009</v>
      </c>
      <c r="G176">
        <v>0</v>
      </c>
    </row>
    <row r="177" spans="1:7" x14ac:dyDescent="0.25">
      <c r="A177" s="226">
        <v>10060010</v>
      </c>
      <c r="B177" s="92">
        <v>0</v>
      </c>
      <c r="F177">
        <v>10060010</v>
      </c>
      <c r="G177">
        <v>0</v>
      </c>
    </row>
    <row r="178" spans="1:7" x14ac:dyDescent="0.25">
      <c r="A178" s="226">
        <v>10060011</v>
      </c>
      <c r="B178" s="92">
        <v>0</v>
      </c>
      <c r="F178">
        <v>10060011</v>
      </c>
      <c r="G178">
        <v>0</v>
      </c>
    </row>
    <row r="179" spans="1:7" x14ac:dyDescent="0.25">
      <c r="A179" s="226">
        <v>10060013</v>
      </c>
      <c r="B179" s="92">
        <v>0</v>
      </c>
      <c r="F179">
        <v>10060013</v>
      </c>
      <c r="G179">
        <v>0</v>
      </c>
    </row>
    <row r="180" spans="1:7" x14ac:dyDescent="0.25">
      <c r="A180" s="226">
        <v>10060014</v>
      </c>
      <c r="B180" s="92">
        <v>0</v>
      </c>
      <c r="F180">
        <v>10060014</v>
      </c>
      <c r="G180">
        <v>0</v>
      </c>
    </row>
    <row r="181" spans="1:7" x14ac:dyDescent="0.25">
      <c r="A181" s="226">
        <v>10060015</v>
      </c>
      <c r="B181" s="92">
        <v>0</v>
      </c>
      <c r="F181">
        <v>10060015</v>
      </c>
      <c r="G181">
        <v>0</v>
      </c>
    </row>
    <row r="182" spans="1:7" x14ac:dyDescent="0.25">
      <c r="A182" s="226">
        <v>10060020</v>
      </c>
      <c r="B182" s="92">
        <v>0</v>
      </c>
      <c r="F182">
        <v>10060020</v>
      </c>
      <c r="G182">
        <v>0</v>
      </c>
    </row>
    <row r="183" spans="1:7" x14ac:dyDescent="0.25">
      <c r="A183" s="226">
        <v>10060021</v>
      </c>
      <c r="B183" s="92">
        <v>0</v>
      </c>
      <c r="F183">
        <v>10060021</v>
      </c>
      <c r="G183">
        <v>0</v>
      </c>
    </row>
    <row r="184" spans="1:7" x14ac:dyDescent="0.25">
      <c r="A184" s="226">
        <v>10060022</v>
      </c>
      <c r="B184" s="92">
        <v>0</v>
      </c>
      <c r="F184">
        <v>10060022</v>
      </c>
      <c r="G184">
        <v>0</v>
      </c>
    </row>
    <row r="185" spans="1:7" x14ac:dyDescent="0.25">
      <c r="A185" s="226">
        <v>10060023</v>
      </c>
      <c r="B185" s="92">
        <v>0</v>
      </c>
      <c r="F185">
        <v>10060023</v>
      </c>
      <c r="G185">
        <v>0</v>
      </c>
    </row>
    <row r="186" spans="1:7" x14ac:dyDescent="0.25">
      <c r="A186" s="226">
        <v>10060026</v>
      </c>
      <c r="B186" s="92">
        <v>0</v>
      </c>
      <c r="F186">
        <v>10060026</v>
      </c>
      <c r="G186">
        <v>0</v>
      </c>
    </row>
    <row r="187" spans="1:7" x14ac:dyDescent="0.25">
      <c r="A187" s="226">
        <v>10060027</v>
      </c>
      <c r="B187" s="92">
        <v>0</v>
      </c>
      <c r="F187">
        <v>10060027</v>
      </c>
      <c r="G187">
        <v>0</v>
      </c>
    </row>
    <row r="188" spans="1:7" x14ac:dyDescent="0.25">
      <c r="A188" s="226">
        <v>10060028</v>
      </c>
      <c r="B188" s="92">
        <v>0</v>
      </c>
      <c r="F188">
        <v>10060028</v>
      </c>
      <c r="G188">
        <v>0</v>
      </c>
    </row>
    <row r="189" spans="1:7" x14ac:dyDescent="0.25">
      <c r="A189" s="226">
        <v>10060029</v>
      </c>
      <c r="B189" s="92">
        <v>0</v>
      </c>
      <c r="F189">
        <v>10060029</v>
      </c>
      <c r="G189">
        <v>0</v>
      </c>
    </row>
    <row r="190" spans="1:7" x14ac:dyDescent="0.25">
      <c r="A190" s="226">
        <v>10060031</v>
      </c>
      <c r="B190" s="92">
        <v>0</v>
      </c>
      <c r="F190">
        <v>10060031</v>
      </c>
      <c r="G190">
        <v>0</v>
      </c>
    </row>
    <row r="191" spans="1:7" x14ac:dyDescent="0.25">
      <c r="A191" s="226">
        <v>10060032</v>
      </c>
      <c r="B191" s="92">
        <v>0</v>
      </c>
      <c r="F191">
        <v>10060032</v>
      </c>
      <c r="G191">
        <v>0</v>
      </c>
    </row>
    <row r="192" spans="1:7" x14ac:dyDescent="0.25">
      <c r="A192" s="226">
        <v>10060033</v>
      </c>
      <c r="B192" s="92">
        <v>0</v>
      </c>
      <c r="F192">
        <v>10060033</v>
      </c>
      <c r="G192">
        <v>0</v>
      </c>
    </row>
    <row r="193" spans="1:7" x14ac:dyDescent="0.25">
      <c r="A193" s="226">
        <v>10060037</v>
      </c>
      <c r="B193" s="92">
        <v>0</v>
      </c>
      <c r="F193">
        <v>10060037</v>
      </c>
      <c r="G193">
        <v>0</v>
      </c>
    </row>
    <row r="194" spans="1:7" x14ac:dyDescent="0.25">
      <c r="A194" s="226">
        <v>10060041</v>
      </c>
      <c r="B194" s="92">
        <v>0</v>
      </c>
      <c r="F194">
        <v>10060041</v>
      </c>
      <c r="G194">
        <v>0</v>
      </c>
    </row>
    <row r="195" spans="1:7" x14ac:dyDescent="0.25">
      <c r="A195" s="226">
        <v>10060044</v>
      </c>
      <c r="B195" s="92">
        <v>0</v>
      </c>
      <c r="F195">
        <v>10060044</v>
      </c>
      <c r="G195">
        <v>0</v>
      </c>
    </row>
    <row r="196" spans="1:7" x14ac:dyDescent="0.25">
      <c r="A196" s="226">
        <v>10060049</v>
      </c>
      <c r="B196" s="92">
        <v>0</v>
      </c>
      <c r="F196">
        <v>10060049</v>
      </c>
      <c r="G196">
        <v>0</v>
      </c>
    </row>
    <row r="197" spans="1:7" x14ac:dyDescent="0.25">
      <c r="A197" s="226">
        <v>10060050</v>
      </c>
      <c r="B197" s="92">
        <v>0</v>
      </c>
      <c r="F197">
        <v>10060050</v>
      </c>
      <c r="G197">
        <v>0</v>
      </c>
    </row>
    <row r="198" spans="1:7" x14ac:dyDescent="0.25">
      <c r="A198" s="226">
        <v>10060051</v>
      </c>
      <c r="B198" s="92">
        <v>0</v>
      </c>
      <c r="F198">
        <v>10060051</v>
      </c>
      <c r="G198">
        <v>0</v>
      </c>
    </row>
    <row r="199" spans="1:7" x14ac:dyDescent="0.25">
      <c r="A199" s="226">
        <v>10060052</v>
      </c>
      <c r="B199" s="92">
        <v>0</v>
      </c>
      <c r="F199">
        <v>10060052</v>
      </c>
      <c r="G199">
        <v>0</v>
      </c>
    </row>
    <row r="200" spans="1:7" x14ac:dyDescent="0.25">
      <c r="A200" s="226">
        <v>10060055</v>
      </c>
      <c r="B200" s="92">
        <v>0</v>
      </c>
      <c r="F200">
        <v>10060055</v>
      </c>
      <c r="G200">
        <v>0</v>
      </c>
    </row>
    <row r="201" spans="1:7" x14ac:dyDescent="0.25">
      <c r="A201" s="226">
        <v>10060058</v>
      </c>
      <c r="B201" s="92">
        <v>0</v>
      </c>
      <c r="F201">
        <v>10060058</v>
      </c>
      <c r="G201">
        <v>0</v>
      </c>
    </row>
    <row r="202" spans="1:7" x14ac:dyDescent="0.25">
      <c r="A202" s="226">
        <v>10060061</v>
      </c>
      <c r="B202" s="92">
        <v>0</v>
      </c>
      <c r="F202">
        <v>10060061</v>
      </c>
      <c r="G202">
        <v>0</v>
      </c>
    </row>
    <row r="203" spans="1:7" x14ac:dyDescent="0.25">
      <c r="A203" s="226">
        <v>10060062</v>
      </c>
      <c r="B203" s="92">
        <v>0</v>
      </c>
      <c r="F203">
        <v>10060062</v>
      </c>
      <c r="G203">
        <v>0</v>
      </c>
    </row>
    <row r="204" spans="1:7" x14ac:dyDescent="0.25">
      <c r="A204" s="226">
        <v>10060069</v>
      </c>
      <c r="B204" s="92">
        <v>500</v>
      </c>
      <c r="F204">
        <v>10060069</v>
      </c>
      <c r="G204">
        <v>500</v>
      </c>
    </row>
    <row r="205" spans="1:7" x14ac:dyDescent="0.25">
      <c r="A205" s="226">
        <v>10060074</v>
      </c>
      <c r="B205" s="92">
        <v>0</v>
      </c>
      <c r="F205">
        <v>10060074</v>
      </c>
      <c r="G205">
        <v>0</v>
      </c>
    </row>
    <row r="206" spans="1:7" x14ac:dyDescent="0.25">
      <c r="A206" s="226">
        <v>10060077</v>
      </c>
      <c r="B206" s="92">
        <v>0</v>
      </c>
      <c r="F206">
        <v>10060077</v>
      </c>
      <c r="G206">
        <v>0</v>
      </c>
    </row>
    <row r="207" spans="1:7" x14ac:dyDescent="0.25">
      <c r="A207" s="226">
        <v>10060083</v>
      </c>
      <c r="B207" s="92">
        <v>0</v>
      </c>
      <c r="F207">
        <v>10060083</v>
      </c>
      <c r="G207">
        <v>0</v>
      </c>
    </row>
    <row r="208" spans="1:7" x14ac:dyDescent="0.25">
      <c r="A208" s="226">
        <v>10060085</v>
      </c>
      <c r="B208" s="92">
        <v>0</v>
      </c>
      <c r="F208">
        <v>10060085</v>
      </c>
      <c r="G208">
        <v>0</v>
      </c>
    </row>
    <row r="209" spans="1:7" x14ac:dyDescent="0.25">
      <c r="A209" s="226">
        <v>10060090</v>
      </c>
      <c r="B209" s="92">
        <v>0</v>
      </c>
      <c r="F209">
        <v>10060090</v>
      </c>
      <c r="G209">
        <v>0</v>
      </c>
    </row>
    <row r="210" spans="1:7" x14ac:dyDescent="0.25">
      <c r="A210" s="226">
        <v>10060096</v>
      </c>
      <c r="B210" s="92">
        <v>0</v>
      </c>
      <c r="F210">
        <v>10060096</v>
      </c>
      <c r="G210">
        <v>0</v>
      </c>
    </row>
    <row r="211" spans="1:7" x14ac:dyDescent="0.25">
      <c r="A211" s="226">
        <v>10060097</v>
      </c>
      <c r="B211" s="92">
        <v>0</v>
      </c>
      <c r="F211">
        <v>10060097</v>
      </c>
      <c r="G211">
        <v>0</v>
      </c>
    </row>
    <row r="212" spans="1:7" x14ac:dyDescent="0.25">
      <c r="A212" s="226">
        <v>10060098</v>
      </c>
      <c r="B212" s="92">
        <v>0</v>
      </c>
      <c r="F212">
        <v>10060098</v>
      </c>
      <c r="G212">
        <v>0</v>
      </c>
    </row>
    <row r="213" spans="1:7" x14ac:dyDescent="0.25">
      <c r="A213" s="226">
        <v>10060104</v>
      </c>
      <c r="B213" s="92">
        <v>0</v>
      </c>
      <c r="F213">
        <v>10060104</v>
      </c>
      <c r="G213">
        <v>0</v>
      </c>
    </row>
    <row r="214" spans="1:7" x14ac:dyDescent="0.25">
      <c r="A214" s="226">
        <v>10060106</v>
      </c>
      <c r="B214" s="92">
        <v>0</v>
      </c>
      <c r="F214">
        <v>10060106</v>
      </c>
      <c r="G214">
        <v>0</v>
      </c>
    </row>
    <row r="215" spans="1:7" x14ac:dyDescent="0.25">
      <c r="A215" s="226">
        <v>10060107</v>
      </c>
      <c r="B215" s="92">
        <v>0</v>
      </c>
      <c r="F215">
        <v>10060107</v>
      </c>
      <c r="G215">
        <v>0</v>
      </c>
    </row>
    <row r="216" spans="1:7" x14ac:dyDescent="0.25">
      <c r="A216" s="226">
        <v>10060109</v>
      </c>
      <c r="B216" s="92">
        <v>0</v>
      </c>
      <c r="F216">
        <v>10060109</v>
      </c>
      <c r="G216">
        <v>0</v>
      </c>
    </row>
    <row r="217" spans="1:7" x14ac:dyDescent="0.25">
      <c r="A217" s="226">
        <v>10060110</v>
      </c>
      <c r="B217" s="92">
        <v>0</v>
      </c>
      <c r="F217">
        <v>10060110</v>
      </c>
      <c r="G217">
        <v>0</v>
      </c>
    </row>
    <row r="218" spans="1:7" x14ac:dyDescent="0.25">
      <c r="A218" s="226">
        <v>10060111</v>
      </c>
      <c r="B218" s="92">
        <v>0</v>
      </c>
      <c r="F218">
        <v>10060111</v>
      </c>
      <c r="G218">
        <v>0</v>
      </c>
    </row>
    <row r="219" spans="1:7" x14ac:dyDescent="0.25">
      <c r="A219" s="226">
        <v>10060113</v>
      </c>
      <c r="B219" s="92">
        <v>0</v>
      </c>
      <c r="F219">
        <v>10060113</v>
      </c>
      <c r="G219">
        <v>0</v>
      </c>
    </row>
    <row r="220" spans="1:7" x14ac:dyDescent="0.25">
      <c r="A220" s="226">
        <v>10060114</v>
      </c>
      <c r="B220" s="92">
        <v>0</v>
      </c>
      <c r="F220">
        <v>10060114</v>
      </c>
      <c r="G220">
        <v>0</v>
      </c>
    </row>
    <row r="221" spans="1:7" x14ac:dyDescent="0.25">
      <c r="A221" s="226">
        <v>10060115</v>
      </c>
      <c r="B221" s="92">
        <v>0</v>
      </c>
      <c r="F221">
        <v>10060115</v>
      </c>
      <c r="G221">
        <v>0</v>
      </c>
    </row>
    <row r="222" spans="1:7" x14ac:dyDescent="0.25">
      <c r="A222" s="226">
        <v>10060116</v>
      </c>
      <c r="B222" s="92">
        <v>1000</v>
      </c>
      <c r="F222">
        <v>10060116</v>
      </c>
      <c r="G222">
        <v>1000</v>
      </c>
    </row>
    <row r="223" spans="1:7" x14ac:dyDescent="0.25">
      <c r="A223" s="226">
        <v>10060117</v>
      </c>
      <c r="B223" s="92">
        <v>0</v>
      </c>
      <c r="F223">
        <v>10060117</v>
      </c>
      <c r="G223">
        <v>0</v>
      </c>
    </row>
    <row r="224" spans="1:7" x14ac:dyDescent="0.25">
      <c r="A224" s="226">
        <v>10060118</v>
      </c>
      <c r="B224" s="92">
        <v>0</v>
      </c>
      <c r="F224">
        <v>10060118</v>
      </c>
      <c r="G224">
        <v>0</v>
      </c>
    </row>
    <row r="225" spans="1:7" x14ac:dyDescent="0.25">
      <c r="A225" s="226">
        <v>10060120</v>
      </c>
      <c r="B225" s="92">
        <v>0</v>
      </c>
      <c r="F225">
        <v>10060120</v>
      </c>
      <c r="G225">
        <v>0</v>
      </c>
    </row>
    <row r="226" spans="1:7" x14ac:dyDescent="0.25">
      <c r="A226" s="226">
        <v>10060121</v>
      </c>
      <c r="B226" s="92">
        <v>0</v>
      </c>
      <c r="F226">
        <v>10060121</v>
      </c>
      <c r="G226">
        <v>0</v>
      </c>
    </row>
    <row r="227" spans="1:7" x14ac:dyDescent="0.25">
      <c r="A227" s="226">
        <v>10060122</v>
      </c>
      <c r="B227" s="92">
        <v>0</v>
      </c>
      <c r="F227">
        <v>10060122</v>
      </c>
      <c r="G227">
        <v>0</v>
      </c>
    </row>
    <row r="228" spans="1:7" x14ac:dyDescent="0.25">
      <c r="A228" s="226">
        <v>10060124</v>
      </c>
      <c r="B228" s="92">
        <v>0</v>
      </c>
      <c r="F228">
        <v>10060124</v>
      </c>
      <c r="G228">
        <v>0</v>
      </c>
    </row>
    <row r="229" spans="1:7" x14ac:dyDescent="0.25">
      <c r="A229" s="226">
        <v>10060125</v>
      </c>
      <c r="B229" s="92">
        <v>0</v>
      </c>
      <c r="F229">
        <v>10060125</v>
      </c>
      <c r="G229">
        <v>0</v>
      </c>
    </row>
    <row r="230" spans="1:7" x14ac:dyDescent="0.25">
      <c r="A230" s="226">
        <v>10060126</v>
      </c>
      <c r="B230" s="92">
        <v>0</v>
      </c>
      <c r="F230">
        <v>10060126</v>
      </c>
      <c r="G230">
        <v>0</v>
      </c>
    </row>
    <row r="231" spans="1:7" x14ac:dyDescent="0.25">
      <c r="A231" s="226">
        <v>10060127</v>
      </c>
      <c r="B231" s="92">
        <v>0</v>
      </c>
      <c r="F231">
        <v>10060127</v>
      </c>
      <c r="G231">
        <v>0</v>
      </c>
    </row>
    <row r="232" spans="1:7" x14ac:dyDescent="0.25">
      <c r="A232" s="226">
        <v>10060129</v>
      </c>
      <c r="B232" s="92">
        <v>0</v>
      </c>
      <c r="F232">
        <v>10060129</v>
      </c>
      <c r="G232">
        <v>0</v>
      </c>
    </row>
    <row r="233" spans="1:7" x14ac:dyDescent="0.25">
      <c r="A233" s="226">
        <v>10060130</v>
      </c>
      <c r="B233" s="92">
        <v>0</v>
      </c>
      <c r="F233">
        <v>10060130</v>
      </c>
      <c r="G233">
        <v>0</v>
      </c>
    </row>
    <row r="234" spans="1:7" x14ac:dyDescent="0.25">
      <c r="A234" s="226">
        <v>10060132</v>
      </c>
      <c r="B234" s="92">
        <v>0</v>
      </c>
      <c r="F234">
        <v>10060132</v>
      </c>
      <c r="G234">
        <v>0</v>
      </c>
    </row>
    <row r="235" spans="1:7" x14ac:dyDescent="0.25">
      <c r="A235" s="226">
        <v>10060133</v>
      </c>
      <c r="B235" s="92">
        <v>0</v>
      </c>
      <c r="F235">
        <v>10060133</v>
      </c>
      <c r="G235">
        <v>0</v>
      </c>
    </row>
    <row r="236" spans="1:7" x14ac:dyDescent="0.25">
      <c r="A236" s="226">
        <v>10070002</v>
      </c>
      <c r="B236" s="92">
        <v>0</v>
      </c>
      <c r="F236">
        <v>10070002</v>
      </c>
      <c r="G236">
        <v>0</v>
      </c>
    </row>
    <row r="237" spans="1:7" x14ac:dyDescent="0.25">
      <c r="A237" s="226">
        <v>10070003</v>
      </c>
      <c r="B237" s="92">
        <v>0</v>
      </c>
      <c r="F237">
        <v>10070003</v>
      </c>
      <c r="G237">
        <v>0</v>
      </c>
    </row>
    <row r="238" spans="1:7" x14ac:dyDescent="0.25">
      <c r="A238" s="226">
        <v>10070004</v>
      </c>
      <c r="B238" s="92">
        <v>0</v>
      </c>
      <c r="F238">
        <v>10070004</v>
      </c>
      <c r="G238">
        <v>0</v>
      </c>
    </row>
    <row r="239" spans="1:7" x14ac:dyDescent="0.25">
      <c r="A239" s="226">
        <v>10070008</v>
      </c>
      <c r="B239" s="92">
        <v>0</v>
      </c>
      <c r="F239">
        <v>10070008</v>
      </c>
      <c r="G239">
        <v>0</v>
      </c>
    </row>
    <row r="240" spans="1:7" x14ac:dyDescent="0.25">
      <c r="A240" s="226">
        <v>10070013</v>
      </c>
      <c r="B240" s="92">
        <v>1000</v>
      </c>
      <c r="F240">
        <v>10070013</v>
      </c>
      <c r="G240">
        <v>1000</v>
      </c>
    </row>
    <row r="241" spans="1:7" x14ac:dyDescent="0.25">
      <c r="A241" s="226">
        <v>10070016</v>
      </c>
      <c r="B241" s="92">
        <v>1000</v>
      </c>
      <c r="F241">
        <v>10070016</v>
      </c>
      <c r="G241">
        <v>1000</v>
      </c>
    </row>
    <row r="242" spans="1:7" x14ac:dyDescent="0.25">
      <c r="A242" s="226">
        <v>10070018</v>
      </c>
      <c r="B242" s="92">
        <v>0</v>
      </c>
      <c r="F242">
        <v>10070018</v>
      </c>
      <c r="G242">
        <v>0</v>
      </c>
    </row>
    <row r="243" spans="1:7" x14ac:dyDescent="0.25">
      <c r="A243" s="226">
        <v>10070019</v>
      </c>
      <c r="B243" s="92">
        <v>0</v>
      </c>
      <c r="F243">
        <v>10070019</v>
      </c>
      <c r="G243">
        <v>0</v>
      </c>
    </row>
    <row r="244" spans="1:7" x14ac:dyDescent="0.25">
      <c r="A244" s="226">
        <v>10070020</v>
      </c>
      <c r="B244" s="92">
        <v>0</v>
      </c>
      <c r="F244">
        <v>10070020</v>
      </c>
      <c r="G244">
        <v>0</v>
      </c>
    </row>
    <row r="245" spans="1:7" x14ac:dyDescent="0.25">
      <c r="A245" s="226">
        <v>10070024</v>
      </c>
      <c r="B245" s="92">
        <v>0</v>
      </c>
      <c r="F245">
        <v>10070024</v>
      </c>
      <c r="G245">
        <v>0</v>
      </c>
    </row>
    <row r="246" spans="1:7" x14ac:dyDescent="0.25">
      <c r="A246" s="226">
        <v>10070026</v>
      </c>
      <c r="B246" s="92">
        <v>0</v>
      </c>
      <c r="F246">
        <v>10070026</v>
      </c>
      <c r="G246">
        <v>0</v>
      </c>
    </row>
    <row r="247" spans="1:7" x14ac:dyDescent="0.25">
      <c r="A247" s="226">
        <v>10070031</v>
      </c>
      <c r="B247" s="92">
        <v>0</v>
      </c>
      <c r="F247">
        <v>10070031</v>
      </c>
      <c r="G247">
        <v>0</v>
      </c>
    </row>
    <row r="248" spans="1:7" x14ac:dyDescent="0.25">
      <c r="A248" s="226">
        <v>10070033</v>
      </c>
      <c r="B248" s="92">
        <v>0</v>
      </c>
      <c r="F248">
        <v>10070033</v>
      </c>
      <c r="G248">
        <v>0</v>
      </c>
    </row>
    <row r="249" spans="1:7" x14ac:dyDescent="0.25">
      <c r="A249" s="226">
        <v>10070039</v>
      </c>
      <c r="B249" s="92">
        <v>0</v>
      </c>
      <c r="F249">
        <v>10070039</v>
      </c>
      <c r="G249">
        <v>0</v>
      </c>
    </row>
    <row r="250" spans="1:7" x14ac:dyDescent="0.25">
      <c r="A250" s="226">
        <v>10070042</v>
      </c>
      <c r="B250" s="92">
        <v>0</v>
      </c>
      <c r="F250">
        <v>10070042</v>
      </c>
      <c r="G250">
        <v>0</v>
      </c>
    </row>
    <row r="251" spans="1:7" x14ac:dyDescent="0.25">
      <c r="A251" s="226">
        <v>10070043</v>
      </c>
      <c r="B251" s="92">
        <v>0</v>
      </c>
      <c r="F251">
        <v>10070043</v>
      </c>
      <c r="G251">
        <v>0</v>
      </c>
    </row>
    <row r="252" spans="1:7" x14ac:dyDescent="0.25">
      <c r="A252" s="226">
        <v>10070045</v>
      </c>
      <c r="B252" s="92">
        <v>0</v>
      </c>
      <c r="F252">
        <v>10070045</v>
      </c>
      <c r="G252">
        <v>0</v>
      </c>
    </row>
    <row r="253" spans="1:7" x14ac:dyDescent="0.25">
      <c r="A253" s="226">
        <v>10070046</v>
      </c>
      <c r="B253" s="92">
        <v>0</v>
      </c>
      <c r="F253">
        <v>10070046</v>
      </c>
      <c r="G253">
        <v>0</v>
      </c>
    </row>
    <row r="254" spans="1:7" x14ac:dyDescent="0.25">
      <c r="A254" s="226">
        <v>10070047</v>
      </c>
      <c r="B254" s="92">
        <v>0</v>
      </c>
      <c r="F254">
        <v>10070047</v>
      </c>
      <c r="G254">
        <v>0</v>
      </c>
    </row>
    <row r="255" spans="1:7" x14ac:dyDescent="0.25">
      <c r="A255" s="226">
        <v>10070048</v>
      </c>
      <c r="B255" s="92">
        <v>0</v>
      </c>
      <c r="F255">
        <v>10070048</v>
      </c>
      <c r="G255">
        <v>0</v>
      </c>
    </row>
    <row r="256" spans="1:7" x14ac:dyDescent="0.25">
      <c r="A256" s="226">
        <v>10070053</v>
      </c>
      <c r="B256" s="92">
        <v>0</v>
      </c>
      <c r="F256">
        <v>10070053</v>
      </c>
      <c r="G256">
        <v>0</v>
      </c>
    </row>
    <row r="257" spans="1:7" x14ac:dyDescent="0.25">
      <c r="A257" s="226">
        <v>10070056</v>
      </c>
      <c r="B257" s="92">
        <v>0</v>
      </c>
      <c r="F257">
        <v>10070056</v>
      </c>
      <c r="G257">
        <v>0</v>
      </c>
    </row>
    <row r="258" spans="1:7" x14ac:dyDescent="0.25">
      <c r="A258" s="226">
        <v>10070058</v>
      </c>
      <c r="B258" s="92">
        <v>0</v>
      </c>
      <c r="F258">
        <v>10070058</v>
      </c>
      <c r="G258">
        <v>0</v>
      </c>
    </row>
    <row r="259" spans="1:7" x14ac:dyDescent="0.25">
      <c r="A259" s="226">
        <v>10070059</v>
      </c>
      <c r="B259" s="92">
        <v>0</v>
      </c>
      <c r="F259">
        <v>10070059</v>
      </c>
      <c r="G259">
        <v>0</v>
      </c>
    </row>
    <row r="260" spans="1:7" x14ac:dyDescent="0.25">
      <c r="A260" s="226">
        <v>10070060</v>
      </c>
      <c r="B260" s="92">
        <v>0</v>
      </c>
      <c r="F260">
        <v>10070060</v>
      </c>
      <c r="G260">
        <v>0</v>
      </c>
    </row>
    <row r="261" spans="1:7" x14ac:dyDescent="0.25">
      <c r="A261" s="226">
        <v>10070061</v>
      </c>
      <c r="B261" s="92">
        <v>0</v>
      </c>
      <c r="F261">
        <v>10070061</v>
      </c>
      <c r="G261">
        <v>0</v>
      </c>
    </row>
    <row r="262" spans="1:7" x14ac:dyDescent="0.25">
      <c r="A262" s="226">
        <v>10070063</v>
      </c>
      <c r="B262" s="92">
        <v>0</v>
      </c>
      <c r="F262">
        <v>10070063</v>
      </c>
      <c r="G262">
        <v>0</v>
      </c>
    </row>
    <row r="263" spans="1:7" x14ac:dyDescent="0.25">
      <c r="A263" s="226">
        <v>10070064</v>
      </c>
      <c r="B263" s="92">
        <v>0</v>
      </c>
      <c r="F263">
        <v>10070064</v>
      </c>
      <c r="G263">
        <v>0</v>
      </c>
    </row>
    <row r="264" spans="1:7" x14ac:dyDescent="0.25">
      <c r="A264" s="226">
        <v>10070065</v>
      </c>
      <c r="B264" s="92">
        <v>0</v>
      </c>
      <c r="F264">
        <v>10070065</v>
      </c>
      <c r="G264">
        <v>0</v>
      </c>
    </row>
    <row r="265" spans="1:7" x14ac:dyDescent="0.25">
      <c r="A265" s="226">
        <v>10070074</v>
      </c>
      <c r="B265" s="92">
        <v>0</v>
      </c>
      <c r="F265">
        <v>10070074</v>
      </c>
      <c r="G265">
        <v>0</v>
      </c>
    </row>
    <row r="266" spans="1:7" x14ac:dyDescent="0.25">
      <c r="A266" s="226">
        <v>10070076</v>
      </c>
      <c r="B266" s="92">
        <v>0</v>
      </c>
      <c r="F266">
        <v>10070076</v>
      </c>
      <c r="G266">
        <v>0</v>
      </c>
    </row>
    <row r="267" spans="1:7" x14ac:dyDescent="0.25">
      <c r="A267" s="226">
        <v>10070077</v>
      </c>
      <c r="B267" s="92">
        <v>0</v>
      </c>
      <c r="F267">
        <v>10070077</v>
      </c>
      <c r="G267">
        <v>0</v>
      </c>
    </row>
    <row r="268" spans="1:7" x14ac:dyDescent="0.25">
      <c r="A268" s="226">
        <v>10070078</v>
      </c>
      <c r="B268" s="92">
        <v>0</v>
      </c>
      <c r="F268">
        <v>10070078</v>
      </c>
      <c r="G268">
        <v>0</v>
      </c>
    </row>
    <row r="269" spans="1:7" x14ac:dyDescent="0.25">
      <c r="A269" s="226">
        <v>10080001</v>
      </c>
      <c r="B269" s="92">
        <v>0</v>
      </c>
      <c r="F269">
        <v>10080001</v>
      </c>
      <c r="G269">
        <v>0</v>
      </c>
    </row>
    <row r="270" spans="1:7" x14ac:dyDescent="0.25">
      <c r="A270" s="226">
        <v>10080002</v>
      </c>
      <c r="B270" s="92">
        <v>0</v>
      </c>
      <c r="F270">
        <v>10080002</v>
      </c>
      <c r="G270">
        <v>0</v>
      </c>
    </row>
    <row r="271" spans="1:7" x14ac:dyDescent="0.25">
      <c r="A271" s="226">
        <v>10080003</v>
      </c>
      <c r="B271" s="92">
        <v>0</v>
      </c>
      <c r="F271">
        <v>10080003</v>
      </c>
      <c r="G271">
        <v>0</v>
      </c>
    </row>
    <row r="272" spans="1:7" x14ac:dyDescent="0.25">
      <c r="A272" s="226">
        <v>10080004</v>
      </c>
      <c r="B272" s="92">
        <v>0</v>
      </c>
      <c r="F272">
        <v>10080004</v>
      </c>
      <c r="G272">
        <v>0</v>
      </c>
    </row>
    <row r="273" spans="1:7" x14ac:dyDescent="0.25">
      <c r="A273" s="226">
        <v>10080006</v>
      </c>
      <c r="B273" s="92">
        <v>0</v>
      </c>
      <c r="F273">
        <v>10080006</v>
      </c>
      <c r="G273">
        <v>0</v>
      </c>
    </row>
    <row r="274" spans="1:7" x14ac:dyDescent="0.25">
      <c r="A274" s="226">
        <v>10080007</v>
      </c>
      <c r="B274" s="92">
        <v>0</v>
      </c>
      <c r="F274">
        <v>10080007</v>
      </c>
      <c r="G274">
        <v>0</v>
      </c>
    </row>
    <row r="275" spans="1:7" x14ac:dyDescent="0.25">
      <c r="A275" s="226">
        <v>10080012</v>
      </c>
      <c r="B275" s="92">
        <v>0</v>
      </c>
      <c r="F275">
        <v>10080012</v>
      </c>
      <c r="G275">
        <v>0</v>
      </c>
    </row>
    <row r="276" spans="1:7" x14ac:dyDescent="0.25">
      <c r="A276" s="226">
        <v>10080013</v>
      </c>
      <c r="B276" s="92">
        <v>0</v>
      </c>
      <c r="F276">
        <v>10080013</v>
      </c>
      <c r="G276">
        <v>0</v>
      </c>
    </row>
    <row r="277" spans="1:7" x14ac:dyDescent="0.25">
      <c r="A277" s="226">
        <v>10080014</v>
      </c>
      <c r="B277" s="92">
        <v>0</v>
      </c>
      <c r="F277">
        <v>10080014</v>
      </c>
      <c r="G277">
        <v>0</v>
      </c>
    </row>
    <row r="278" spans="1:7" x14ac:dyDescent="0.25">
      <c r="A278" s="226">
        <v>10080015</v>
      </c>
      <c r="B278" s="92">
        <v>0</v>
      </c>
      <c r="F278">
        <v>10080015</v>
      </c>
      <c r="G278">
        <v>0</v>
      </c>
    </row>
    <row r="279" spans="1:7" x14ac:dyDescent="0.25">
      <c r="A279" s="226">
        <v>10080016</v>
      </c>
      <c r="B279" s="92">
        <v>1000</v>
      </c>
      <c r="F279">
        <v>10080016</v>
      </c>
      <c r="G279">
        <v>1000</v>
      </c>
    </row>
    <row r="280" spans="1:7" x14ac:dyDescent="0.25">
      <c r="A280" s="226">
        <v>10080022</v>
      </c>
      <c r="B280" s="92">
        <v>500</v>
      </c>
      <c r="F280">
        <v>10080022</v>
      </c>
      <c r="G280">
        <v>500</v>
      </c>
    </row>
    <row r="281" spans="1:7" x14ac:dyDescent="0.25">
      <c r="A281" s="226">
        <v>10080024</v>
      </c>
      <c r="B281" s="92">
        <v>0</v>
      </c>
      <c r="F281">
        <v>10080024</v>
      </c>
      <c r="G281">
        <v>0</v>
      </c>
    </row>
    <row r="282" spans="1:7" x14ac:dyDescent="0.25">
      <c r="A282" s="226">
        <v>10080025</v>
      </c>
      <c r="B282" s="92">
        <v>0</v>
      </c>
      <c r="F282">
        <v>10080025</v>
      </c>
      <c r="G282">
        <v>0</v>
      </c>
    </row>
    <row r="283" spans="1:7" x14ac:dyDescent="0.25">
      <c r="A283" s="226">
        <v>10080032</v>
      </c>
      <c r="B283" s="92">
        <v>0</v>
      </c>
      <c r="F283">
        <v>10080032</v>
      </c>
      <c r="G283">
        <v>0</v>
      </c>
    </row>
    <row r="284" spans="1:7" x14ac:dyDescent="0.25">
      <c r="A284" s="226">
        <v>10080039</v>
      </c>
      <c r="B284" s="92">
        <v>0</v>
      </c>
      <c r="F284">
        <v>10080039</v>
      </c>
      <c r="G284">
        <v>0</v>
      </c>
    </row>
    <row r="285" spans="1:7" x14ac:dyDescent="0.25">
      <c r="A285" s="226">
        <v>10080040</v>
      </c>
      <c r="B285" s="92">
        <v>0</v>
      </c>
      <c r="F285">
        <v>10080040</v>
      </c>
      <c r="G285">
        <v>0</v>
      </c>
    </row>
    <row r="286" spans="1:7" x14ac:dyDescent="0.25">
      <c r="A286" s="226">
        <v>10080041</v>
      </c>
      <c r="B286" s="92">
        <v>0</v>
      </c>
      <c r="F286">
        <v>10080041</v>
      </c>
      <c r="G286">
        <v>0</v>
      </c>
    </row>
    <row r="287" spans="1:7" x14ac:dyDescent="0.25">
      <c r="A287" s="226">
        <v>10080043</v>
      </c>
      <c r="B287" s="92">
        <v>0</v>
      </c>
      <c r="F287">
        <v>10080043</v>
      </c>
      <c r="G287">
        <v>0</v>
      </c>
    </row>
    <row r="288" spans="1:7" x14ac:dyDescent="0.25">
      <c r="A288" s="226">
        <v>10080048</v>
      </c>
      <c r="B288" s="92">
        <v>0</v>
      </c>
      <c r="F288">
        <v>10080048</v>
      </c>
      <c r="G288">
        <v>0</v>
      </c>
    </row>
    <row r="289" spans="1:7" x14ac:dyDescent="0.25">
      <c r="A289" s="226">
        <v>10080052</v>
      </c>
      <c r="B289" s="92">
        <v>0</v>
      </c>
      <c r="F289">
        <v>10080052</v>
      </c>
      <c r="G289">
        <v>0</v>
      </c>
    </row>
    <row r="290" spans="1:7" x14ac:dyDescent="0.25">
      <c r="A290" s="226">
        <v>10080053</v>
      </c>
      <c r="B290" s="92">
        <v>0</v>
      </c>
      <c r="F290">
        <v>10080053</v>
      </c>
      <c r="G290">
        <v>0</v>
      </c>
    </row>
    <row r="291" spans="1:7" x14ac:dyDescent="0.25">
      <c r="A291" s="226">
        <v>10080054</v>
      </c>
      <c r="B291" s="92">
        <v>0</v>
      </c>
      <c r="F291">
        <v>10080054</v>
      </c>
      <c r="G291">
        <v>0</v>
      </c>
    </row>
    <row r="292" spans="1:7" x14ac:dyDescent="0.25">
      <c r="A292" s="226">
        <v>10080055</v>
      </c>
      <c r="B292" s="92">
        <v>0</v>
      </c>
      <c r="F292">
        <v>10080055</v>
      </c>
      <c r="G292">
        <v>0</v>
      </c>
    </row>
    <row r="293" spans="1:7" x14ac:dyDescent="0.25">
      <c r="A293" s="226">
        <v>10080061</v>
      </c>
      <c r="B293" s="92">
        <v>0</v>
      </c>
      <c r="F293">
        <v>10080061</v>
      </c>
      <c r="G293">
        <v>0</v>
      </c>
    </row>
    <row r="294" spans="1:7" x14ac:dyDescent="0.25">
      <c r="A294" s="226">
        <v>10080062</v>
      </c>
      <c r="B294" s="92">
        <v>1000</v>
      </c>
      <c r="F294">
        <v>10080062</v>
      </c>
      <c r="G294">
        <v>1000</v>
      </c>
    </row>
    <row r="295" spans="1:7" x14ac:dyDescent="0.25">
      <c r="A295" s="226">
        <v>10080065</v>
      </c>
      <c r="B295" s="92">
        <v>1000</v>
      </c>
      <c r="F295">
        <v>10080065</v>
      </c>
      <c r="G295">
        <v>1000</v>
      </c>
    </row>
    <row r="296" spans="1:7" x14ac:dyDescent="0.25">
      <c r="A296" s="226">
        <v>10080067</v>
      </c>
      <c r="B296" s="92">
        <v>0</v>
      </c>
      <c r="F296">
        <v>10080067</v>
      </c>
      <c r="G296">
        <v>0</v>
      </c>
    </row>
    <row r="297" spans="1:7" x14ac:dyDescent="0.25">
      <c r="A297" s="226">
        <v>10080072</v>
      </c>
      <c r="B297" s="92">
        <v>1000</v>
      </c>
      <c r="F297">
        <v>10080072</v>
      </c>
      <c r="G297">
        <v>1000</v>
      </c>
    </row>
    <row r="298" spans="1:7" x14ac:dyDescent="0.25">
      <c r="A298" s="226">
        <v>10080076</v>
      </c>
      <c r="B298" s="92">
        <v>0</v>
      </c>
      <c r="F298">
        <v>10080076</v>
      </c>
      <c r="G298">
        <v>0</v>
      </c>
    </row>
    <row r="299" spans="1:7" x14ac:dyDescent="0.25">
      <c r="A299" s="226">
        <v>10080077</v>
      </c>
      <c r="B299" s="92">
        <v>0</v>
      </c>
      <c r="F299">
        <v>10080077</v>
      </c>
      <c r="G299">
        <v>0</v>
      </c>
    </row>
    <row r="300" spans="1:7" x14ac:dyDescent="0.25">
      <c r="A300" s="226">
        <v>10080078</v>
      </c>
      <c r="B300" s="92">
        <v>0</v>
      </c>
      <c r="F300">
        <v>10080078</v>
      </c>
      <c r="G300">
        <v>0</v>
      </c>
    </row>
    <row r="301" spans="1:7" x14ac:dyDescent="0.25">
      <c r="A301" s="226">
        <v>10080079</v>
      </c>
      <c r="B301" s="92">
        <v>1000</v>
      </c>
      <c r="F301">
        <v>10080079</v>
      </c>
      <c r="G301">
        <v>1000</v>
      </c>
    </row>
    <row r="302" spans="1:7" x14ac:dyDescent="0.25">
      <c r="A302" s="226">
        <v>10080080</v>
      </c>
      <c r="B302" s="92">
        <v>0</v>
      </c>
      <c r="F302">
        <v>10080080</v>
      </c>
      <c r="G302">
        <v>0</v>
      </c>
    </row>
    <row r="303" spans="1:7" x14ac:dyDescent="0.25">
      <c r="A303" s="226">
        <v>10080082</v>
      </c>
      <c r="B303" s="92">
        <v>0</v>
      </c>
      <c r="F303">
        <v>10080082</v>
      </c>
      <c r="G303">
        <v>0</v>
      </c>
    </row>
    <row r="304" spans="1:7" x14ac:dyDescent="0.25">
      <c r="A304" s="226">
        <v>10080083</v>
      </c>
      <c r="B304" s="92">
        <v>0</v>
      </c>
      <c r="F304">
        <v>10080083</v>
      </c>
      <c r="G304">
        <v>0</v>
      </c>
    </row>
    <row r="305" spans="1:7" x14ac:dyDescent="0.25">
      <c r="A305" s="226">
        <v>10080086</v>
      </c>
      <c r="B305" s="92">
        <v>0</v>
      </c>
      <c r="F305">
        <v>10080086</v>
      </c>
      <c r="G305">
        <v>0</v>
      </c>
    </row>
    <row r="306" spans="1:7" x14ac:dyDescent="0.25">
      <c r="A306" s="226">
        <v>10080087</v>
      </c>
      <c r="B306" s="92">
        <v>1000</v>
      </c>
      <c r="F306">
        <v>10080087</v>
      </c>
      <c r="G306">
        <v>1000</v>
      </c>
    </row>
    <row r="307" spans="1:7" x14ac:dyDescent="0.25">
      <c r="A307" s="226">
        <v>10080088</v>
      </c>
      <c r="B307" s="92">
        <v>0</v>
      </c>
      <c r="F307">
        <v>10080088</v>
      </c>
      <c r="G307">
        <v>0</v>
      </c>
    </row>
    <row r="308" spans="1:7" x14ac:dyDescent="0.25">
      <c r="A308" s="226">
        <v>10080089</v>
      </c>
      <c r="B308" s="92">
        <v>0</v>
      </c>
      <c r="F308">
        <v>10080089</v>
      </c>
      <c r="G308">
        <v>0</v>
      </c>
    </row>
    <row r="309" spans="1:7" x14ac:dyDescent="0.25">
      <c r="A309" s="226">
        <v>10080090</v>
      </c>
      <c r="B309" s="92">
        <v>0</v>
      </c>
      <c r="F309">
        <v>10080090</v>
      </c>
      <c r="G309">
        <v>0</v>
      </c>
    </row>
    <row r="310" spans="1:7" x14ac:dyDescent="0.25">
      <c r="A310" s="226">
        <v>10080093</v>
      </c>
      <c r="B310" s="92">
        <v>0</v>
      </c>
      <c r="F310">
        <v>10080093</v>
      </c>
      <c r="G310">
        <v>0</v>
      </c>
    </row>
    <row r="311" spans="1:7" x14ac:dyDescent="0.25">
      <c r="A311" s="226">
        <v>10080095</v>
      </c>
      <c r="B311" s="92">
        <v>1000</v>
      </c>
      <c r="F311">
        <v>10080095</v>
      </c>
      <c r="G311">
        <v>1000</v>
      </c>
    </row>
    <row r="312" spans="1:7" x14ac:dyDescent="0.25">
      <c r="A312" s="226">
        <v>10080097</v>
      </c>
      <c r="B312" s="92">
        <v>0</v>
      </c>
      <c r="F312">
        <v>10080097</v>
      </c>
      <c r="G312">
        <v>0</v>
      </c>
    </row>
    <row r="313" spans="1:7" x14ac:dyDescent="0.25">
      <c r="A313" s="226">
        <v>10080099</v>
      </c>
      <c r="B313" s="92">
        <v>0</v>
      </c>
      <c r="F313">
        <v>10080099</v>
      </c>
      <c r="G313">
        <v>0</v>
      </c>
    </row>
    <row r="314" spans="1:7" x14ac:dyDescent="0.25">
      <c r="A314" s="226">
        <v>10080100</v>
      </c>
      <c r="B314" s="92">
        <v>0</v>
      </c>
      <c r="F314">
        <v>10080100</v>
      </c>
      <c r="G314">
        <v>0</v>
      </c>
    </row>
    <row r="315" spans="1:7" x14ac:dyDescent="0.25">
      <c r="A315" s="226">
        <v>10080107</v>
      </c>
      <c r="B315" s="92">
        <v>0</v>
      </c>
      <c r="F315">
        <v>10080107</v>
      </c>
      <c r="G315">
        <v>0</v>
      </c>
    </row>
    <row r="316" spans="1:7" x14ac:dyDescent="0.25">
      <c r="A316" s="226">
        <v>10080110</v>
      </c>
      <c r="B316" s="92">
        <v>0</v>
      </c>
      <c r="F316">
        <v>10080110</v>
      </c>
      <c r="G316">
        <v>0</v>
      </c>
    </row>
    <row r="317" spans="1:7" x14ac:dyDescent="0.25">
      <c r="A317" s="226">
        <v>10080112</v>
      </c>
      <c r="B317" s="92">
        <v>0</v>
      </c>
      <c r="F317">
        <v>10080112</v>
      </c>
      <c r="G317">
        <v>0</v>
      </c>
    </row>
    <row r="318" spans="1:7" x14ac:dyDescent="0.25">
      <c r="A318" s="226">
        <v>10080113</v>
      </c>
      <c r="B318" s="92">
        <v>0</v>
      </c>
      <c r="F318">
        <v>10080113</v>
      </c>
      <c r="G318">
        <v>0</v>
      </c>
    </row>
    <row r="319" spans="1:7" x14ac:dyDescent="0.25">
      <c r="A319" s="226">
        <v>10080115</v>
      </c>
      <c r="B319" s="92">
        <v>0</v>
      </c>
      <c r="F319">
        <v>10080115</v>
      </c>
      <c r="G319">
        <v>0</v>
      </c>
    </row>
    <row r="320" spans="1:7" x14ac:dyDescent="0.25">
      <c r="A320" s="226">
        <v>10080117</v>
      </c>
      <c r="B320" s="92">
        <v>0</v>
      </c>
      <c r="F320">
        <v>10080117</v>
      </c>
      <c r="G320">
        <v>0</v>
      </c>
    </row>
    <row r="321" spans="1:7" x14ac:dyDescent="0.25">
      <c r="A321" s="226">
        <v>10080119</v>
      </c>
      <c r="B321" s="92">
        <v>0</v>
      </c>
      <c r="F321">
        <v>10080119</v>
      </c>
      <c r="G321">
        <v>0</v>
      </c>
    </row>
    <row r="322" spans="1:7" x14ac:dyDescent="0.25">
      <c r="A322" s="226">
        <v>10080120</v>
      </c>
      <c r="B322" s="92">
        <v>0</v>
      </c>
      <c r="F322">
        <v>10080120</v>
      </c>
      <c r="G322">
        <v>0</v>
      </c>
    </row>
    <row r="323" spans="1:7" x14ac:dyDescent="0.25">
      <c r="A323" s="226">
        <v>10080121</v>
      </c>
      <c r="B323" s="92">
        <v>0</v>
      </c>
      <c r="F323">
        <v>10080121</v>
      </c>
      <c r="G323">
        <v>0</v>
      </c>
    </row>
    <row r="324" spans="1:7" x14ac:dyDescent="0.25">
      <c r="A324" s="226">
        <v>10080122</v>
      </c>
      <c r="B324" s="92">
        <v>0</v>
      </c>
      <c r="F324">
        <v>10080122</v>
      </c>
      <c r="G324">
        <v>0</v>
      </c>
    </row>
    <row r="325" spans="1:7" x14ac:dyDescent="0.25">
      <c r="A325" s="226">
        <v>10080124</v>
      </c>
      <c r="B325" s="92">
        <v>0</v>
      </c>
      <c r="F325">
        <v>10080124</v>
      </c>
      <c r="G325">
        <v>0</v>
      </c>
    </row>
    <row r="326" spans="1:7" x14ac:dyDescent="0.25">
      <c r="A326" s="226">
        <v>10080126</v>
      </c>
      <c r="B326" s="92">
        <v>0</v>
      </c>
      <c r="F326">
        <v>10080126</v>
      </c>
      <c r="G326">
        <v>0</v>
      </c>
    </row>
    <row r="327" spans="1:7" x14ac:dyDescent="0.25">
      <c r="A327" s="226">
        <v>10090001</v>
      </c>
      <c r="B327" s="92">
        <v>0</v>
      </c>
      <c r="F327">
        <v>10090001</v>
      </c>
      <c r="G327">
        <v>0</v>
      </c>
    </row>
    <row r="328" spans="1:7" x14ac:dyDescent="0.25">
      <c r="A328" s="226">
        <v>10090002</v>
      </c>
      <c r="B328" s="92">
        <v>0</v>
      </c>
      <c r="F328">
        <v>10090002</v>
      </c>
      <c r="G328">
        <v>0</v>
      </c>
    </row>
    <row r="329" spans="1:7" x14ac:dyDescent="0.25">
      <c r="A329" s="226">
        <v>10090003</v>
      </c>
      <c r="B329" s="92">
        <v>0</v>
      </c>
      <c r="F329">
        <v>10090003</v>
      </c>
      <c r="G329">
        <v>0</v>
      </c>
    </row>
    <row r="330" spans="1:7" x14ac:dyDescent="0.25">
      <c r="A330" s="226">
        <v>10090005</v>
      </c>
      <c r="B330" s="92">
        <v>0</v>
      </c>
      <c r="F330">
        <v>10090005</v>
      </c>
      <c r="G330">
        <v>0</v>
      </c>
    </row>
    <row r="331" spans="1:7" x14ac:dyDescent="0.25">
      <c r="A331" s="226">
        <v>10090006</v>
      </c>
      <c r="B331" s="92">
        <v>0</v>
      </c>
      <c r="F331">
        <v>10090006</v>
      </c>
      <c r="G331">
        <v>0</v>
      </c>
    </row>
    <row r="332" spans="1:7" x14ac:dyDescent="0.25">
      <c r="A332" s="226">
        <v>10090007</v>
      </c>
      <c r="B332" s="92">
        <v>0</v>
      </c>
      <c r="F332">
        <v>10090007</v>
      </c>
      <c r="G332">
        <v>0</v>
      </c>
    </row>
    <row r="333" spans="1:7" x14ac:dyDescent="0.25">
      <c r="A333" s="226">
        <v>10090008</v>
      </c>
      <c r="B333" s="92">
        <v>0</v>
      </c>
      <c r="F333">
        <v>10090008</v>
      </c>
      <c r="G333">
        <v>0</v>
      </c>
    </row>
    <row r="334" spans="1:7" x14ac:dyDescent="0.25">
      <c r="A334" s="226">
        <v>10090009</v>
      </c>
      <c r="B334" s="92">
        <v>0</v>
      </c>
      <c r="F334">
        <v>10090009</v>
      </c>
      <c r="G334">
        <v>0</v>
      </c>
    </row>
    <row r="335" spans="1:7" x14ac:dyDescent="0.25">
      <c r="A335" s="226">
        <v>10090011</v>
      </c>
      <c r="B335" s="92">
        <v>0</v>
      </c>
      <c r="F335">
        <v>10090011</v>
      </c>
      <c r="G335">
        <v>0</v>
      </c>
    </row>
    <row r="336" spans="1:7" x14ac:dyDescent="0.25">
      <c r="A336" s="226">
        <v>10090012</v>
      </c>
      <c r="B336" s="92">
        <v>0</v>
      </c>
      <c r="F336">
        <v>10090012</v>
      </c>
      <c r="G336">
        <v>0</v>
      </c>
    </row>
    <row r="337" spans="1:7" x14ac:dyDescent="0.25">
      <c r="A337" s="226">
        <v>10090014</v>
      </c>
      <c r="B337" s="92">
        <v>0</v>
      </c>
      <c r="F337">
        <v>10090014</v>
      </c>
      <c r="G337">
        <v>0</v>
      </c>
    </row>
    <row r="338" spans="1:7" x14ac:dyDescent="0.25">
      <c r="A338" s="226">
        <v>10090015</v>
      </c>
      <c r="B338" s="92">
        <v>0</v>
      </c>
      <c r="F338">
        <v>10090015</v>
      </c>
      <c r="G338">
        <v>0</v>
      </c>
    </row>
    <row r="339" spans="1:7" x14ac:dyDescent="0.25">
      <c r="A339" s="226">
        <v>10090017</v>
      </c>
      <c r="B339" s="92">
        <v>0</v>
      </c>
      <c r="F339">
        <v>10090017</v>
      </c>
      <c r="G339">
        <v>0</v>
      </c>
    </row>
    <row r="340" spans="1:7" x14ac:dyDescent="0.25">
      <c r="A340" s="226">
        <v>10090018</v>
      </c>
      <c r="B340" s="92">
        <v>0</v>
      </c>
      <c r="F340">
        <v>10090018</v>
      </c>
      <c r="G340">
        <v>0</v>
      </c>
    </row>
    <row r="341" spans="1:7" x14ac:dyDescent="0.25">
      <c r="A341" s="226">
        <v>10090021</v>
      </c>
      <c r="B341" s="92">
        <v>0</v>
      </c>
      <c r="F341">
        <v>10090021</v>
      </c>
      <c r="G341">
        <v>0</v>
      </c>
    </row>
    <row r="342" spans="1:7" x14ac:dyDescent="0.25">
      <c r="A342" s="226">
        <v>10090022</v>
      </c>
      <c r="B342" s="92">
        <v>0</v>
      </c>
      <c r="F342">
        <v>10090022</v>
      </c>
      <c r="G342">
        <v>0</v>
      </c>
    </row>
    <row r="343" spans="1:7" x14ac:dyDescent="0.25">
      <c r="A343" s="226">
        <v>10090024</v>
      </c>
      <c r="B343" s="92">
        <v>0</v>
      </c>
      <c r="F343">
        <v>10090024</v>
      </c>
      <c r="G343">
        <v>0</v>
      </c>
    </row>
    <row r="344" spans="1:7" x14ac:dyDescent="0.25">
      <c r="A344" s="226">
        <v>10090025</v>
      </c>
      <c r="B344" s="92">
        <v>0</v>
      </c>
      <c r="F344">
        <v>10090025</v>
      </c>
      <c r="G344">
        <v>0</v>
      </c>
    </row>
    <row r="345" spans="1:7" x14ac:dyDescent="0.25">
      <c r="A345" s="226">
        <v>10090027</v>
      </c>
      <c r="B345" s="92">
        <v>0</v>
      </c>
      <c r="F345">
        <v>10090027</v>
      </c>
      <c r="G345">
        <v>0</v>
      </c>
    </row>
    <row r="346" spans="1:7" x14ac:dyDescent="0.25">
      <c r="A346" s="226">
        <v>10090029</v>
      </c>
      <c r="B346" s="92">
        <v>0</v>
      </c>
      <c r="F346">
        <v>10090029</v>
      </c>
      <c r="G346">
        <v>0</v>
      </c>
    </row>
    <row r="347" spans="1:7" x14ac:dyDescent="0.25">
      <c r="A347" s="226">
        <v>10090033</v>
      </c>
      <c r="B347" s="92">
        <v>0</v>
      </c>
      <c r="F347">
        <v>10090033</v>
      </c>
      <c r="G347">
        <v>0</v>
      </c>
    </row>
    <row r="348" spans="1:7" x14ac:dyDescent="0.25">
      <c r="A348" s="226">
        <v>10090034</v>
      </c>
      <c r="B348" s="92">
        <v>0</v>
      </c>
      <c r="F348">
        <v>10090034</v>
      </c>
      <c r="G348">
        <v>0</v>
      </c>
    </row>
    <row r="349" spans="1:7" x14ac:dyDescent="0.25">
      <c r="A349" s="226">
        <v>10090036</v>
      </c>
      <c r="B349" s="92">
        <v>0</v>
      </c>
      <c r="F349">
        <v>10090036</v>
      </c>
      <c r="G349">
        <v>0</v>
      </c>
    </row>
    <row r="350" spans="1:7" x14ac:dyDescent="0.25">
      <c r="A350" s="226">
        <v>10090037</v>
      </c>
      <c r="B350" s="92">
        <v>0</v>
      </c>
      <c r="F350">
        <v>10090037</v>
      </c>
      <c r="G350">
        <v>0</v>
      </c>
    </row>
    <row r="351" spans="1:7" x14ac:dyDescent="0.25">
      <c r="A351" s="226">
        <v>10090040</v>
      </c>
      <c r="B351" s="92">
        <v>0</v>
      </c>
      <c r="F351">
        <v>10090040</v>
      </c>
      <c r="G351">
        <v>0</v>
      </c>
    </row>
    <row r="352" spans="1:7" x14ac:dyDescent="0.25">
      <c r="A352" s="226">
        <v>10090041</v>
      </c>
      <c r="B352" s="92">
        <v>0</v>
      </c>
      <c r="F352">
        <v>10090041</v>
      </c>
      <c r="G352">
        <v>0</v>
      </c>
    </row>
    <row r="353" spans="1:7" x14ac:dyDescent="0.25">
      <c r="A353" s="226">
        <v>10090042</v>
      </c>
      <c r="B353" s="92">
        <v>0</v>
      </c>
      <c r="F353">
        <v>10090042</v>
      </c>
      <c r="G353">
        <v>0</v>
      </c>
    </row>
    <row r="354" spans="1:7" x14ac:dyDescent="0.25">
      <c r="A354" s="226">
        <v>10090043</v>
      </c>
      <c r="B354" s="92">
        <v>1000</v>
      </c>
      <c r="F354">
        <v>10090043</v>
      </c>
      <c r="G354">
        <v>1000</v>
      </c>
    </row>
    <row r="355" spans="1:7" x14ac:dyDescent="0.25">
      <c r="A355" s="226">
        <v>10090045</v>
      </c>
      <c r="B355" s="92">
        <v>1000</v>
      </c>
      <c r="F355">
        <v>10090045</v>
      </c>
      <c r="G355">
        <v>1000</v>
      </c>
    </row>
    <row r="356" spans="1:7" x14ac:dyDescent="0.25">
      <c r="A356" s="226">
        <v>10090046</v>
      </c>
      <c r="B356" s="92">
        <v>0</v>
      </c>
      <c r="F356">
        <v>10090046</v>
      </c>
      <c r="G356">
        <v>0</v>
      </c>
    </row>
    <row r="357" spans="1:7" x14ac:dyDescent="0.25">
      <c r="A357" s="226">
        <v>10090047</v>
      </c>
      <c r="B357" s="92">
        <v>0</v>
      </c>
      <c r="F357">
        <v>10090047</v>
      </c>
      <c r="G357">
        <v>0</v>
      </c>
    </row>
    <row r="358" spans="1:7" x14ac:dyDescent="0.25">
      <c r="A358" s="226">
        <v>10090049</v>
      </c>
      <c r="B358" s="92">
        <v>0</v>
      </c>
      <c r="F358">
        <v>10090049</v>
      </c>
      <c r="G358">
        <v>0</v>
      </c>
    </row>
    <row r="359" spans="1:7" x14ac:dyDescent="0.25">
      <c r="A359" s="226">
        <v>10090052</v>
      </c>
      <c r="B359" s="92">
        <v>0</v>
      </c>
      <c r="F359">
        <v>10090052</v>
      </c>
      <c r="G359">
        <v>0</v>
      </c>
    </row>
    <row r="360" spans="1:7" x14ac:dyDescent="0.25">
      <c r="A360" s="226">
        <v>10090055</v>
      </c>
      <c r="B360" s="92">
        <v>0</v>
      </c>
      <c r="F360">
        <v>10090055</v>
      </c>
      <c r="G360">
        <v>0</v>
      </c>
    </row>
    <row r="361" spans="1:7" x14ac:dyDescent="0.25">
      <c r="A361" s="226">
        <v>10090056</v>
      </c>
      <c r="B361" s="92">
        <v>0</v>
      </c>
      <c r="F361">
        <v>10090056</v>
      </c>
      <c r="G361">
        <v>0</v>
      </c>
    </row>
    <row r="362" spans="1:7" x14ac:dyDescent="0.25">
      <c r="A362" s="226">
        <v>10090058</v>
      </c>
      <c r="B362" s="92">
        <v>0</v>
      </c>
      <c r="F362">
        <v>10090058</v>
      </c>
      <c r="G362">
        <v>0</v>
      </c>
    </row>
    <row r="363" spans="1:7" x14ac:dyDescent="0.25">
      <c r="A363" s="226">
        <v>10090059</v>
      </c>
      <c r="B363" s="92">
        <v>0</v>
      </c>
      <c r="F363">
        <v>10090059</v>
      </c>
      <c r="G363">
        <v>0</v>
      </c>
    </row>
    <row r="364" spans="1:7" x14ac:dyDescent="0.25">
      <c r="A364" s="226">
        <v>10090060</v>
      </c>
      <c r="B364" s="92">
        <v>1000</v>
      </c>
      <c r="F364">
        <v>10090060</v>
      </c>
      <c r="G364">
        <v>1000</v>
      </c>
    </row>
    <row r="365" spans="1:7" x14ac:dyDescent="0.25">
      <c r="A365" s="226">
        <v>10090061</v>
      </c>
      <c r="B365" s="92">
        <v>1000</v>
      </c>
      <c r="F365">
        <v>10090061</v>
      </c>
      <c r="G365">
        <v>1000</v>
      </c>
    </row>
    <row r="366" spans="1:7" x14ac:dyDescent="0.25">
      <c r="A366" s="226">
        <v>10090063</v>
      </c>
      <c r="B366" s="92">
        <v>1000</v>
      </c>
      <c r="F366">
        <v>10090063</v>
      </c>
      <c r="G366">
        <v>1000</v>
      </c>
    </row>
    <row r="367" spans="1:7" x14ac:dyDescent="0.25">
      <c r="A367" s="226">
        <v>10090064</v>
      </c>
      <c r="B367" s="92">
        <v>0</v>
      </c>
      <c r="F367">
        <v>10090064</v>
      </c>
      <c r="G367">
        <v>0</v>
      </c>
    </row>
    <row r="368" spans="1:7" x14ac:dyDescent="0.25">
      <c r="A368" s="226">
        <v>10090065</v>
      </c>
      <c r="B368" s="92">
        <v>0</v>
      </c>
      <c r="F368">
        <v>10090065</v>
      </c>
      <c r="G368">
        <v>0</v>
      </c>
    </row>
    <row r="369" spans="1:7" x14ac:dyDescent="0.25">
      <c r="A369" s="226">
        <v>10090066</v>
      </c>
      <c r="B369" s="92">
        <v>0</v>
      </c>
      <c r="F369">
        <v>10090066</v>
      </c>
      <c r="G369">
        <v>0</v>
      </c>
    </row>
    <row r="370" spans="1:7" x14ac:dyDescent="0.25">
      <c r="A370" s="226">
        <v>10090072</v>
      </c>
      <c r="B370" s="92">
        <v>0</v>
      </c>
      <c r="F370">
        <v>10090072</v>
      </c>
      <c r="G370">
        <v>0</v>
      </c>
    </row>
    <row r="371" spans="1:7" x14ac:dyDescent="0.25">
      <c r="A371" s="226">
        <v>10090074</v>
      </c>
      <c r="B371" s="92">
        <v>0</v>
      </c>
      <c r="F371">
        <v>10090074</v>
      </c>
      <c r="G371">
        <v>0</v>
      </c>
    </row>
    <row r="372" spans="1:7" x14ac:dyDescent="0.25">
      <c r="A372" s="226">
        <v>10090075</v>
      </c>
      <c r="B372" s="92">
        <v>0</v>
      </c>
      <c r="F372">
        <v>10090075</v>
      </c>
      <c r="G372">
        <v>0</v>
      </c>
    </row>
    <row r="373" spans="1:7" x14ac:dyDescent="0.25">
      <c r="A373" s="226">
        <v>10090076</v>
      </c>
      <c r="B373" s="92">
        <v>0</v>
      </c>
      <c r="F373">
        <v>10090076</v>
      </c>
      <c r="G373">
        <v>0</v>
      </c>
    </row>
    <row r="374" spans="1:7" x14ac:dyDescent="0.25">
      <c r="A374" s="226">
        <v>10090077</v>
      </c>
      <c r="B374" s="92">
        <v>0</v>
      </c>
      <c r="F374">
        <v>10090077</v>
      </c>
      <c r="G374">
        <v>0</v>
      </c>
    </row>
    <row r="375" spans="1:7" x14ac:dyDescent="0.25">
      <c r="A375" s="226">
        <v>10090078</v>
      </c>
      <c r="B375" s="92">
        <v>0</v>
      </c>
      <c r="F375">
        <v>10090078</v>
      </c>
      <c r="G375">
        <v>0</v>
      </c>
    </row>
    <row r="376" spans="1:7" x14ac:dyDescent="0.25">
      <c r="A376" s="226">
        <v>10090079</v>
      </c>
      <c r="B376" s="92">
        <v>0</v>
      </c>
      <c r="F376">
        <v>10090079</v>
      </c>
      <c r="G376">
        <v>0</v>
      </c>
    </row>
    <row r="377" spans="1:7" x14ac:dyDescent="0.25">
      <c r="A377" s="226">
        <v>10090081</v>
      </c>
      <c r="B377" s="92">
        <v>0</v>
      </c>
      <c r="F377">
        <v>10090081</v>
      </c>
      <c r="G377">
        <v>0</v>
      </c>
    </row>
    <row r="378" spans="1:7" x14ac:dyDescent="0.25">
      <c r="A378" s="226">
        <v>10100001</v>
      </c>
      <c r="B378" s="92">
        <v>0</v>
      </c>
      <c r="F378">
        <v>10100001</v>
      </c>
      <c r="G378">
        <v>0</v>
      </c>
    </row>
    <row r="379" spans="1:7" x14ac:dyDescent="0.25">
      <c r="A379" s="226">
        <v>10100003</v>
      </c>
      <c r="B379" s="92">
        <v>0</v>
      </c>
      <c r="F379">
        <v>10100003</v>
      </c>
      <c r="G379">
        <v>0</v>
      </c>
    </row>
    <row r="380" spans="1:7" x14ac:dyDescent="0.25">
      <c r="A380" s="226">
        <v>10100004</v>
      </c>
      <c r="B380" s="92">
        <v>0</v>
      </c>
      <c r="F380">
        <v>10100004</v>
      </c>
      <c r="G380">
        <v>0</v>
      </c>
    </row>
    <row r="381" spans="1:7" x14ac:dyDescent="0.25">
      <c r="A381" s="226">
        <v>10100009</v>
      </c>
      <c r="B381" s="92">
        <v>0</v>
      </c>
      <c r="F381">
        <v>10100009</v>
      </c>
      <c r="G381">
        <v>0</v>
      </c>
    </row>
    <row r="382" spans="1:7" x14ac:dyDescent="0.25">
      <c r="A382" s="226">
        <v>10100014</v>
      </c>
      <c r="B382" s="92">
        <v>1000</v>
      </c>
      <c r="F382">
        <v>10100014</v>
      </c>
      <c r="G382">
        <v>1000</v>
      </c>
    </row>
    <row r="383" spans="1:7" x14ac:dyDescent="0.25">
      <c r="A383" s="226">
        <v>10100015</v>
      </c>
      <c r="B383" s="92">
        <v>0</v>
      </c>
      <c r="F383">
        <v>10100015</v>
      </c>
      <c r="G383">
        <v>0</v>
      </c>
    </row>
    <row r="384" spans="1:7" x14ac:dyDescent="0.25">
      <c r="A384" s="226">
        <v>10100016</v>
      </c>
      <c r="B384" s="92">
        <v>0</v>
      </c>
      <c r="F384">
        <v>10100016</v>
      </c>
      <c r="G384">
        <v>0</v>
      </c>
    </row>
    <row r="385" spans="1:7" x14ac:dyDescent="0.25">
      <c r="A385" s="226">
        <v>10100021</v>
      </c>
      <c r="B385" s="92">
        <v>0</v>
      </c>
      <c r="F385">
        <v>10100021</v>
      </c>
      <c r="G385">
        <v>0</v>
      </c>
    </row>
    <row r="386" spans="1:7" x14ac:dyDescent="0.25">
      <c r="A386" s="226">
        <v>10100026</v>
      </c>
      <c r="B386" s="92">
        <v>0</v>
      </c>
      <c r="F386">
        <v>10100026</v>
      </c>
      <c r="G386">
        <v>0</v>
      </c>
    </row>
    <row r="387" spans="1:7" x14ac:dyDescent="0.25">
      <c r="A387" s="226">
        <v>10100033</v>
      </c>
      <c r="B387" s="92">
        <v>0</v>
      </c>
      <c r="F387">
        <v>10100033</v>
      </c>
      <c r="G387">
        <v>0</v>
      </c>
    </row>
    <row r="388" spans="1:7" x14ac:dyDescent="0.25">
      <c r="A388" s="226">
        <v>10100035</v>
      </c>
      <c r="B388" s="92">
        <v>1000</v>
      </c>
      <c r="F388">
        <v>10100035</v>
      </c>
      <c r="G388">
        <v>1000</v>
      </c>
    </row>
    <row r="389" spans="1:7" x14ac:dyDescent="0.25">
      <c r="A389" s="226">
        <v>10100037</v>
      </c>
      <c r="B389" s="92">
        <v>0</v>
      </c>
      <c r="F389">
        <v>10100037</v>
      </c>
      <c r="G389">
        <v>0</v>
      </c>
    </row>
    <row r="390" spans="1:7" x14ac:dyDescent="0.25">
      <c r="A390" s="226">
        <v>10100044</v>
      </c>
      <c r="B390" s="92">
        <v>0</v>
      </c>
      <c r="F390">
        <v>10100044</v>
      </c>
      <c r="G390">
        <v>0</v>
      </c>
    </row>
    <row r="391" spans="1:7" x14ac:dyDescent="0.25">
      <c r="A391" s="226">
        <v>10100045</v>
      </c>
      <c r="B391" s="92">
        <v>0</v>
      </c>
      <c r="F391">
        <v>10100045</v>
      </c>
      <c r="G391">
        <v>0</v>
      </c>
    </row>
    <row r="392" spans="1:7" x14ac:dyDescent="0.25">
      <c r="A392" s="226">
        <v>10100049</v>
      </c>
      <c r="B392" s="92">
        <v>0</v>
      </c>
      <c r="F392">
        <v>10100049</v>
      </c>
      <c r="G392">
        <v>0</v>
      </c>
    </row>
    <row r="393" spans="1:7" x14ac:dyDescent="0.25">
      <c r="A393" s="226">
        <v>10100051</v>
      </c>
      <c r="B393" s="92">
        <v>0</v>
      </c>
      <c r="F393">
        <v>10100051</v>
      </c>
      <c r="G393">
        <v>0</v>
      </c>
    </row>
    <row r="394" spans="1:7" x14ac:dyDescent="0.25">
      <c r="A394" s="226">
        <v>10100053</v>
      </c>
      <c r="B394" s="92">
        <v>0</v>
      </c>
      <c r="F394">
        <v>10100053</v>
      </c>
      <c r="G394">
        <v>0</v>
      </c>
    </row>
    <row r="395" spans="1:7" x14ac:dyDescent="0.25">
      <c r="A395" s="226">
        <v>10100054</v>
      </c>
      <c r="B395" s="92">
        <v>0</v>
      </c>
      <c r="F395">
        <v>10100054</v>
      </c>
      <c r="G395">
        <v>0</v>
      </c>
    </row>
    <row r="396" spans="1:7" x14ac:dyDescent="0.25">
      <c r="A396" s="226">
        <v>10100059</v>
      </c>
      <c r="B396" s="92">
        <v>0</v>
      </c>
      <c r="F396">
        <v>10100059</v>
      </c>
      <c r="G396">
        <v>0</v>
      </c>
    </row>
    <row r="397" spans="1:7" x14ac:dyDescent="0.25">
      <c r="A397" s="226">
        <v>10100060</v>
      </c>
      <c r="B397" s="92">
        <v>0</v>
      </c>
      <c r="F397">
        <v>10100060</v>
      </c>
      <c r="G397">
        <v>0</v>
      </c>
    </row>
    <row r="398" spans="1:7" x14ac:dyDescent="0.25">
      <c r="A398" s="226">
        <v>10100061</v>
      </c>
      <c r="B398" s="92">
        <v>0</v>
      </c>
      <c r="F398">
        <v>10100061</v>
      </c>
      <c r="G398">
        <v>0</v>
      </c>
    </row>
    <row r="399" spans="1:7" x14ac:dyDescent="0.25">
      <c r="A399" s="226">
        <v>10100062</v>
      </c>
      <c r="B399" s="92">
        <v>0</v>
      </c>
      <c r="F399">
        <v>10100062</v>
      </c>
      <c r="G399">
        <v>0</v>
      </c>
    </row>
    <row r="400" spans="1:7" x14ac:dyDescent="0.25">
      <c r="A400" s="226">
        <v>10100065</v>
      </c>
      <c r="B400" s="92">
        <v>0</v>
      </c>
      <c r="F400">
        <v>10100065</v>
      </c>
      <c r="G400">
        <v>0</v>
      </c>
    </row>
    <row r="401" spans="1:7" x14ac:dyDescent="0.25">
      <c r="A401" s="226">
        <v>10100067</v>
      </c>
      <c r="B401" s="92">
        <v>0</v>
      </c>
      <c r="F401">
        <v>10100067</v>
      </c>
      <c r="G401">
        <v>0</v>
      </c>
    </row>
    <row r="402" spans="1:7" x14ac:dyDescent="0.25">
      <c r="A402" s="226">
        <v>10100069</v>
      </c>
      <c r="B402" s="92">
        <v>0</v>
      </c>
      <c r="F402">
        <v>10100069</v>
      </c>
      <c r="G402">
        <v>0</v>
      </c>
    </row>
    <row r="403" spans="1:7" x14ac:dyDescent="0.25">
      <c r="A403" s="226">
        <v>10100070</v>
      </c>
      <c r="B403" s="92">
        <v>0</v>
      </c>
      <c r="F403">
        <v>10100070</v>
      </c>
      <c r="G403">
        <v>0</v>
      </c>
    </row>
    <row r="404" spans="1:7" x14ac:dyDescent="0.25">
      <c r="A404" s="226">
        <v>10110001</v>
      </c>
      <c r="B404" s="92">
        <v>0</v>
      </c>
      <c r="F404">
        <v>10110001</v>
      </c>
      <c r="G404">
        <v>0</v>
      </c>
    </row>
    <row r="405" spans="1:7" x14ac:dyDescent="0.25">
      <c r="A405" s="226">
        <v>10110002</v>
      </c>
      <c r="B405" s="92">
        <v>1000</v>
      </c>
      <c r="F405">
        <v>10110002</v>
      </c>
      <c r="G405">
        <v>1000</v>
      </c>
    </row>
    <row r="406" spans="1:7" x14ac:dyDescent="0.25">
      <c r="A406" s="226">
        <v>10110004</v>
      </c>
      <c r="B406" s="92">
        <v>0</v>
      </c>
      <c r="F406">
        <v>10110004</v>
      </c>
      <c r="G406">
        <v>0</v>
      </c>
    </row>
    <row r="407" spans="1:7" x14ac:dyDescent="0.25">
      <c r="A407" s="226">
        <v>10110005</v>
      </c>
      <c r="B407" s="92">
        <v>0</v>
      </c>
      <c r="F407">
        <v>10110005</v>
      </c>
      <c r="G407">
        <v>0</v>
      </c>
    </row>
    <row r="408" spans="1:7" x14ac:dyDescent="0.25">
      <c r="A408" s="226">
        <v>10110007</v>
      </c>
      <c r="B408" s="92">
        <v>0</v>
      </c>
      <c r="F408">
        <v>10110007</v>
      </c>
      <c r="G408">
        <v>0</v>
      </c>
    </row>
    <row r="409" spans="1:7" x14ac:dyDescent="0.25">
      <c r="A409" s="226">
        <v>10110008</v>
      </c>
      <c r="B409" s="92">
        <v>0</v>
      </c>
      <c r="F409">
        <v>10110008</v>
      </c>
      <c r="G409">
        <v>0</v>
      </c>
    </row>
    <row r="410" spans="1:7" x14ac:dyDescent="0.25">
      <c r="A410" s="226">
        <v>10110013</v>
      </c>
      <c r="B410" s="92">
        <v>0</v>
      </c>
      <c r="F410">
        <v>10110013</v>
      </c>
      <c r="G410">
        <v>0</v>
      </c>
    </row>
    <row r="411" spans="1:7" x14ac:dyDescent="0.25">
      <c r="A411" s="226">
        <v>10110014</v>
      </c>
      <c r="B411" s="92">
        <v>0</v>
      </c>
      <c r="F411">
        <v>10110014</v>
      </c>
      <c r="G411">
        <v>0</v>
      </c>
    </row>
    <row r="412" spans="1:7" x14ac:dyDescent="0.25">
      <c r="A412" s="226">
        <v>10110015</v>
      </c>
      <c r="B412" s="92">
        <v>0</v>
      </c>
      <c r="F412">
        <v>10110015</v>
      </c>
      <c r="G412">
        <v>0</v>
      </c>
    </row>
    <row r="413" spans="1:7" x14ac:dyDescent="0.25">
      <c r="A413" s="226">
        <v>10110016</v>
      </c>
      <c r="B413" s="92">
        <v>0</v>
      </c>
      <c r="F413">
        <v>10110016</v>
      </c>
      <c r="G413">
        <v>0</v>
      </c>
    </row>
    <row r="414" spans="1:7" x14ac:dyDescent="0.25">
      <c r="A414" s="226">
        <v>10110019</v>
      </c>
      <c r="B414" s="92">
        <v>0</v>
      </c>
      <c r="F414">
        <v>10110019</v>
      </c>
      <c r="G414">
        <v>0</v>
      </c>
    </row>
    <row r="415" spans="1:7" x14ac:dyDescent="0.25">
      <c r="A415" s="226">
        <v>10110021</v>
      </c>
      <c r="B415" s="92">
        <v>0</v>
      </c>
      <c r="F415">
        <v>10110021</v>
      </c>
      <c r="G415">
        <v>0</v>
      </c>
    </row>
    <row r="416" spans="1:7" x14ac:dyDescent="0.25">
      <c r="A416" s="226">
        <v>10110032</v>
      </c>
      <c r="B416" s="92">
        <v>0</v>
      </c>
      <c r="F416">
        <v>10110032</v>
      </c>
      <c r="G416">
        <v>0</v>
      </c>
    </row>
    <row r="417" spans="1:7" x14ac:dyDescent="0.25">
      <c r="A417" s="226">
        <v>10110042</v>
      </c>
      <c r="B417" s="92">
        <v>0</v>
      </c>
      <c r="F417">
        <v>10110042</v>
      </c>
      <c r="G417">
        <v>0</v>
      </c>
    </row>
    <row r="418" spans="1:7" x14ac:dyDescent="0.25">
      <c r="A418" s="226">
        <v>10110043</v>
      </c>
      <c r="B418" s="92">
        <v>0</v>
      </c>
      <c r="F418">
        <v>10110043</v>
      </c>
      <c r="G418">
        <v>0</v>
      </c>
    </row>
    <row r="419" spans="1:7" x14ac:dyDescent="0.25">
      <c r="A419" s="226">
        <v>10110049</v>
      </c>
      <c r="B419" s="92">
        <v>0</v>
      </c>
      <c r="F419">
        <v>10110049</v>
      </c>
      <c r="G419">
        <v>0</v>
      </c>
    </row>
    <row r="420" spans="1:7" x14ac:dyDescent="0.25">
      <c r="A420" s="226">
        <v>10110050</v>
      </c>
      <c r="B420" s="92">
        <v>0</v>
      </c>
      <c r="F420">
        <v>10110050</v>
      </c>
      <c r="G420">
        <v>0</v>
      </c>
    </row>
    <row r="421" spans="1:7" x14ac:dyDescent="0.25">
      <c r="A421" s="226">
        <v>10110053</v>
      </c>
      <c r="B421" s="92">
        <v>0</v>
      </c>
      <c r="F421">
        <v>10110053</v>
      </c>
      <c r="G421">
        <v>0</v>
      </c>
    </row>
    <row r="422" spans="1:7" x14ac:dyDescent="0.25">
      <c r="A422" s="226">
        <v>10110055</v>
      </c>
      <c r="B422" s="92">
        <v>0</v>
      </c>
      <c r="F422">
        <v>10110055</v>
      </c>
      <c r="G422">
        <v>0</v>
      </c>
    </row>
    <row r="423" spans="1:7" x14ac:dyDescent="0.25">
      <c r="A423" s="226">
        <v>10110057</v>
      </c>
      <c r="B423" s="92">
        <v>0</v>
      </c>
      <c r="F423">
        <v>10110057</v>
      </c>
      <c r="G423">
        <v>0</v>
      </c>
    </row>
    <row r="424" spans="1:7" x14ac:dyDescent="0.25">
      <c r="A424" s="226">
        <v>10110065</v>
      </c>
      <c r="B424" s="92">
        <v>0</v>
      </c>
      <c r="F424">
        <v>10110065</v>
      </c>
      <c r="G424">
        <v>0</v>
      </c>
    </row>
    <row r="425" spans="1:7" x14ac:dyDescent="0.25">
      <c r="A425" s="226">
        <v>10110066</v>
      </c>
      <c r="B425" s="92">
        <v>0</v>
      </c>
      <c r="F425">
        <v>10110066</v>
      </c>
      <c r="G425">
        <v>0</v>
      </c>
    </row>
    <row r="426" spans="1:7" x14ac:dyDescent="0.25">
      <c r="A426" s="226">
        <v>10110071</v>
      </c>
      <c r="B426" s="92">
        <v>500</v>
      </c>
      <c r="F426">
        <v>10110071</v>
      </c>
      <c r="G426">
        <v>500</v>
      </c>
    </row>
    <row r="427" spans="1:7" x14ac:dyDescent="0.25">
      <c r="A427" s="226">
        <v>10110073</v>
      </c>
      <c r="B427" s="92">
        <v>500</v>
      </c>
      <c r="F427">
        <v>10110073</v>
      </c>
      <c r="G427">
        <v>500</v>
      </c>
    </row>
    <row r="428" spans="1:7" x14ac:dyDescent="0.25">
      <c r="A428" s="226">
        <v>10110076</v>
      </c>
      <c r="B428" s="92">
        <v>0</v>
      </c>
      <c r="F428">
        <v>10110076</v>
      </c>
      <c r="G428">
        <v>0</v>
      </c>
    </row>
    <row r="429" spans="1:7" x14ac:dyDescent="0.25">
      <c r="A429" s="226">
        <v>10110078</v>
      </c>
      <c r="B429" s="92">
        <v>1000</v>
      </c>
      <c r="F429">
        <v>10110078</v>
      </c>
      <c r="G429">
        <v>1000</v>
      </c>
    </row>
    <row r="430" spans="1:7" x14ac:dyDescent="0.25">
      <c r="A430" s="226">
        <v>10110083</v>
      </c>
      <c r="B430" s="92">
        <v>0</v>
      </c>
      <c r="F430">
        <v>10110083</v>
      </c>
      <c r="G430">
        <v>0</v>
      </c>
    </row>
    <row r="431" spans="1:7" x14ac:dyDescent="0.25">
      <c r="A431" s="226">
        <v>10110086</v>
      </c>
      <c r="B431" s="92">
        <v>500</v>
      </c>
      <c r="F431">
        <v>10110086</v>
      </c>
      <c r="G431">
        <v>500</v>
      </c>
    </row>
    <row r="432" spans="1:7" x14ac:dyDescent="0.25">
      <c r="A432" s="226">
        <v>10110091</v>
      </c>
      <c r="B432" s="92">
        <v>0</v>
      </c>
      <c r="F432">
        <v>10110091</v>
      </c>
      <c r="G432">
        <v>0</v>
      </c>
    </row>
    <row r="433" spans="1:7" x14ac:dyDescent="0.25">
      <c r="A433" s="226">
        <v>10110093</v>
      </c>
      <c r="B433" s="92">
        <v>0</v>
      </c>
      <c r="F433">
        <v>10110093</v>
      </c>
      <c r="G433">
        <v>0</v>
      </c>
    </row>
    <row r="434" spans="1:7" x14ac:dyDescent="0.25">
      <c r="A434" s="226">
        <v>10110094</v>
      </c>
      <c r="B434" s="92">
        <v>0</v>
      </c>
      <c r="F434">
        <v>10110094</v>
      </c>
      <c r="G434">
        <v>0</v>
      </c>
    </row>
    <row r="435" spans="1:7" x14ac:dyDescent="0.25">
      <c r="A435" s="226">
        <v>10110095</v>
      </c>
      <c r="B435" s="92">
        <v>0</v>
      </c>
      <c r="F435">
        <v>10110095</v>
      </c>
      <c r="G435">
        <v>0</v>
      </c>
    </row>
    <row r="436" spans="1:7" x14ac:dyDescent="0.25">
      <c r="A436" s="226">
        <v>10110097</v>
      </c>
      <c r="B436" s="92">
        <v>1000</v>
      </c>
      <c r="F436">
        <v>10110097</v>
      </c>
      <c r="G436">
        <v>1000</v>
      </c>
    </row>
    <row r="437" spans="1:7" x14ac:dyDescent="0.25">
      <c r="A437" s="226">
        <v>10110098</v>
      </c>
      <c r="B437" s="92">
        <v>1000</v>
      </c>
      <c r="F437">
        <v>10110098</v>
      </c>
      <c r="G437">
        <v>1000</v>
      </c>
    </row>
    <row r="438" spans="1:7" x14ac:dyDescent="0.25">
      <c r="A438" s="226">
        <v>10110100</v>
      </c>
      <c r="B438" s="92">
        <v>0</v>
      </c>
      <c r="F438">
        <v>10110100</v>
      </c>
      <c r="G438">
        <v>0</v>
      </c>
    </row>
    <row r="439" spans="1:7" x14ac:dyDescent="0.25">
      <c r="A439" s="226">
        <v>10110101</v>
      </c>
      <c r="B439" s="92">
        <v>0</v>
      </c>
      <c r="F439">
        <v>10110101</v>
      </c>
      <c r="G439">
        <v>0</v>
      </c>
    </row>
    <row r="440" spans="1:7" x14ac:dyDescent="0.25">
      <c r="A440" s="226">
        <v>10110105</v>
      </c>
      <c r="B440" s="92">
        <v>0</v>
      </c>
      <c r="F440">
        <v>10110105</v>
      </c>
      <c r="G440">
        <v>0</v>
      </c>
    </row>
    <row r="441" spans="1:7" x14ac:dyDescent="0.25">
      <c r="A441" s="226">
        <v>10110106</v>
      </c>
      <c r="B441" s="92">
        <v>0</v>
      </c>
      <c r="F441">
        <v>10110106</v>
      </c>
      <c r="G441">
        <v>0</v>
      </c>
    </row>
    <row r="442" spans="1:7" x14ac:dyDescent="0.25">
      <c r="A442" s="226">
        <v>10110109</v>
      </c>
      <c r="B442" s="92">
        <v>0</v>
      </c>
      <c r="F442">
        <v>10110109</v>
      </c>
      <c r="G442">
        <v>0</v>
      </c>
    </row>
    <row r="443" spans="1:7" x14ac:dyDescent="0.25">
      <c r="A443" s="226">
        <v>10110110</v>
      </c>
      <c r="B443" s="92">
        <v>1000</v>
      </c>
      <c r="F443">
        <v>10110110</v>
      </c>
      <c r="G443">
        <v>1000</v>
      </c>
    </row>
    <row r="444" spans="1:7" x14ac:dyDescent="0.25">
      <c r="A444" s="226">
        <v>10110111</v>
      </c>
      <c r="B444" s="92">
        <v>0</v>
      </c>
      <c r="F444">
        <v>10110111</v>
      </c>
      <c r="G444">
        <v>0</v>
      </c>
    </row>
    <row r="445" spans="1:7" x14ac:dyDescent="0.25">
      <c r="A445" s="226">
        <v>10110112</v>
      </c>
      <c r="B445" s="92">
        <v>0</v>
      </c>
      <c r="F445">
        <v>10110112</v>
      </c>
      <c r="G445">
        <v>0</v>
      </c>
    </row>
    <row r="446" spans="1:7" x14ac:dyDescent="0.25">
      <c r="A446" s="226">
        <v>10110114</v>
      </c>
      <c r="B446" s="92">
        <v>0</v>
      </c>
      <c r="F446">
        <v>10110114</v>
      </c>
      <c r="G446">
        <v>0</v>
      </c>
    </row>
    <row r="447" spans="1:7" x14ac:dyDescent="0.25">
      <c r="A447" s="226">
        <v>10110116</v>
      </c>
      <c r="B447" s="92">
        <v>0</v>
      </c>
      <c r="F447">
        <v>10110116</v>
      </c>
      <c r="G447">
        <v>0</v>
      </c>
    </row>
    <row r="448" spans="1:7" x14ac:dyDescent="0.25">
      <c r="A448" s="226">
        <v>10110118</v>
      </c>
      <c r="B448" s="92">
        <v>0</v>
      </c>
      <c r="F448">
        <v>10110118</v>
      </c>
      <c r="G448">
        <v>0</v>
      </c>
    </row>
    <row r="449" spans="1:7" x14ac:dyDescent="0.25">
      <c r="A449" s="226">
        <v>10110119</v>
      </c>
      <c r="B449" s="92">
        <v>0</v>
      </c>
      <c r="F449">
        <v>10110119</v>
      </c>
      <c r="G449">
        <v>0</v>
      </c>
    </row>
    <row r="450" spans="1:7" x14ac:dyDescent="0.25">
      <c r="A450" s="226">
        <v>10110120</v>
      </c>
      <c r="B450" s="92">
        <v>0</v>
      </c>
      <c r="F450">
        <v>10110120</v>
      </c>
      <c r="G450">
        <v>0</v>
      </c>
    </row>
    <row r="451" spans="1:7" x14ac:dyDescent="0.25">
      <c r="A451" s="226">
        <v>10110121</v>
      </c>
      <c r="B451" s="92">
        <v>1000</v>
      </c>
      <c r="F451">
        <v>10110121</v>
      </c>
      <c r="G451">
        <v>1000</v>
      </c>
    </row>
    <row r="452" spans="1:7" x14ac:dyDescent="0.25">
      <c r="A452" s="226">
        <v>10110123</v>
      </c>
      <c r="B452" s="92">
        <v>0</v>
      </c>
      <c r="F452">
        <v>10110123</v>
      </c>
      <c r="G452">
        <v>0</v>
      </c>
    </row>
    <row r="453" spans="1:7" x14ac:dyDescent="0.25">
      <c r="A453" s="226">
        <v>10110124</v>
      </c>
      <c r="B453" s="92">
        <v>0</v>
      </c>
      <c r="F453">
        <v>10110124</v>
      </c>
      <c r="G453">
        <v>0</v>
      </c>
    </row>
    <row r="454" spans="1:7" x14ac:dyDescent="0.25">
      <c r="A454" s="226">
        <v>10110128</v>
      </c>
      <c r="B454" s="92">
        <v>0</v>
      </c>
      <c r="F454">
        <v>10110128</v>
      </c>
      <c r="G454">
        <v>0</v>
      </c>
    </row>
    <row r="455" spans="1:7" x14ac:dyDescent="0.25">
      <c r="A455" s="226">
        <v>10110129</v>
      </c>
      <c r="B455" s="92">
        <v>0</v>
      </c>
      <c r="F455">
        <v>10110129</v>
      </c>
      <c r="G455">
        <v>0</v>
      </c>
    </row>
    <row r="456" spans="1:7" x14ac:dyDescent="0.25">
      <c r="A456" s="226">
        <v>10110132</v>
      </c>
      <c r="B456" s="92">
        <v>0</v>
      </c>
      <c r="F456">
        <v>10110132</v>
      </c>
      <c r="G456">
        <v>0</v>
      </c>
    </row>
    <row r="457" spans="1:7" x14ac:dyDescent="0.25">
      <c r="A457" s="226">
        <v>10110133</v>
      </c>
      <c r="B457" s="92">
        <v>0</v>
      </c>
      <c r="F457">
        <v>10110133</v>
      </c>
      <c r="G457">
        <v>0</v>
      </c>
    </row>
    <row r="458" spans="1:7" x14ac:dyDescent="0.25">
      <c r="A458" s="226">
        <v>10110134</v>
      </c>
      <c r="B458" s="92">
        <v>1000</v>
      </c>
      <c r="F458">
        <v>10110134</v>
      </c>
      <c r="G458">
        <v>1000</v>
      </c>
    </row>
    <row r="459" spans="1:7" x14ac:dyDescent="0.25">
      <c r="A459" s="226">
        <v>10110135</v>
      </c>
      <c r="B459" s="92">
        <v>0</v>
      </c>
      <c r="F459">
        <v>10110135</v>
      </c>
      <c r="G459">
        <v>0</v>
      </c>
    </row>
    <row r="460" spans="1:7" x14ac:dyDescent="0.25">
      <c r="A460" s="226">
        <v>10110138</v>
      </c>
      <c r="B460" s="92">
        <v>0</v>
      </c>
      <c r="F460">
        <v>10110138</v>
      </c>
      <c r="G460">
        <v>0</v>
      </c>
    </row>
    <row r="461" spans="1:7" x14ac:dyDescent="0.25">
      <c r="A461" s="226">
        <v>10110140</v>
      </c>
      <c r="B461" s="92">
        <v>0</v>
      </c>
      <c r="F461">
        <v>10110140</v>
      </c>
      <c r="G461">
        <v>0</v>
      </c>
    </row>
    <row r="462" spans="1:7" x14ac:dyDescent="0.25">
      <c r="A462" s="226">
        <v>10110141</v>
      </c>
      <c r="B462" s="92">
        <v>0</v>
      </c>
      <c r="F462">
        <v>10110141</v>
      </c>
      <c r="G462">
        <v>0</v>
      </c>
    </row>
    <row r="463" spans="1:7" x14ac:dyDescent="0.25">
      <c r="A463" s="226">
        <v>10110143</v>
      </c>
      <c r="B463" s="92">
        <v>0</v>
      </c>
      <c r="F463">
        <v>10110143</v>
      </c>
      <c r="G463">
        <v>0</v>
      </c>
    </row>
    <row r="464" spans="1:7" x14ac:dyDescent="0.25">
      <c r="A464" s="226">
        <v>10110144</v>
      </c>
      <c r="B464" s="92">
        <v>0</v>
      </c>
      <c r="F464">
        <v>10110144</v>
      </c>
      <c r="G464">
        <v>0</v>
      </c>
    </row>
    <row r="465" spans="1:7" x14ac:dyDescent="0.25">
      <c r="A465" s="226">
        <v>10110145</v>
      </c>
      <c r="B465" s="92">
        <v>0</v>
      </c>
      <c r="F465">
        <v>10110145</v>
      </c>
      <c r="G465">
        <v>0</v>
      </c>
    </row>
    <row r="466" spans="1:7" x14ac:dyDescent="0.25">
      <c r="A466" s="226">
        <v>10110146</v>
      </c>
      <c r="B466" s="92">
        <v>0</v>
      </c>
      <c r="F466">
        <v>10110146</v>
      </c>
      <c r="G466">
        <v>0</v>
      </c>
    </row>
    <row r="467" spans="1:7" x14ac:dyDescent="0.25">
      <c r="A467" s="226">
        <v>10110148</v>
      </c>
      <c r="B467" s="92">
        <v>0</v>
      </c>
      <c r="F467">
        <v>10110148</v>
      </c>
      <c r="G467">
        <v>0</v>
      </c>
    </row>
    <row r="468" spans="1:7" x14ac:dyDescent="0.25">
      <c r="A468" s="226">
        <v>10110149</v>
      </c>
      <c r="B468" s="92">
        <v>0</v>
      </c>
      <c r="F468">
        <v>10110149</v>
      </c>
      <c r="G468">
        <v>0</v>
      </c>
    </row>
    <row r="469" spans="1:7" x14ac:dyDescent="0.25">
      <c r="A469" s="226">
        <v>10110153</v>
      </c>
      <c r="B469" s="92">
        <v>0</v>
      </c>
      <c r="F469">
        <v>10110153</v>
      </c>
      <c r="G469">
        <v>0</v>
      </c>
    </row>
    <row r="470" spans="1:7" x14ac:dyDescent="0.25">
      <c r="A470" s="226">
        <v>10110155</v>
      </c>
      <c r="B470" s="92">
        <v>0</v>
      </c>
      <c r="F470">
        <v>10110155</v>
      </c>
      <c r="G470">
        <v>0</v>
      </c>
    </row>
    <row r="471" spans="1:7" x14ac:dyDescent="0.25">
      <c r="A471" s="226">
        <v>10110158</v>
      </c>
      <c r="B471" s="92">
        <v>0</v>
      </c>
      <c r="F471">
        <v>10110158</v>
      </c>
      <c r="G471">
        <v>0</v>
      </c>
    </row>
    <row r="472" spans="1:7" x14ac:dyDescent="0.25">
      <c r="A472" s="226">
        <v>10110159</v>
      </c>
      <c r="B472" s="92">
        <v>0</v>
      </c>
      <c r="F472">
        <v>10110159</v>
      </c>
      <c r="G472">
        <v>0</v>
      </c>
    </row>
    <row r="473" spans="1:7" x14ac:dyDescent="0.25">
      <c r="A473" s="226">
        <v>10110160</v>
      </c>
      <c r="B473" s="92">
        <v>0</v>
      </c>
      <c r="F473">
        <v>10110160</v>
      </c>
      <c r="G473">
        <v>0</v>
      </c>
    </row>
    <row r="474" spans="1:7" x14ac:dyDescent="0.25">
      <c r="A474" s="226">
        <v>10110161</v>
      </c>
      <c r="B474" s="92">
        <v>0</v>
      </c>
      <c r="F474">
        <v>10110161</v>
      </c>
      <c r="G474">
        <v>0</v>
      </c>
    </row>
    <row r="475" spans="1:7" x14ac:dyDescent="0.25">
      <c r="A475" s="226">
        <v>10110164</v>
      </c>
      <c r="B475" s="92">
        <v>1000</v>
      </c>
      <c r="F475">
        <v>10110164</v>
      </c>
      <c r="G475">
        <v>1000</v>
      </c>
    </row>
    <row r="476" spans="1:7" x14ac:dyDescent="0.25">
      <c r="A476" s="226">
        <v>10110166</v>
      </c>
      <c r="B476" s="92">
        <v>0</v>
      </c>
      <c r="F476">
        <v>10110166</v>
      </c>
      <c r="G476">
        <v>0</v>
      </c>
    </row>
    <row r="477" spans="1:7" x14ac:dyDescent="0.25">
      <c r="A477" s="226">
        <v>10110167</v>
      </c>
      <c r="B477" s="92">
        <v>0</v>
      </c>
      <c r="F477">
        <v>10110167</v>
      </c>
      <c r="G477">
        <v>0</v>
      </c>
    </row>
    <row r="478" spans="1:7" x14ac:dyDescent="0.25">
      <c r="A478" s="226">
        <v>10110168</v>
      </c>
      <c r="B478" s="92">
        <v>0</v>
      </c>
      <c r="F478">
        <v>10110168</v>
      </c>
      <c r="G478">
        <v>0</v>
      </c>
    </row>
    <row r="479" spans="1:7" x14ac:dyDescent="0.25">
      <c r="A479" s="226">
        <v>10110171</v>
      </c>
      <c r="B479" s="92">
        <v>0</v>
      </c>
      <c r="F479">
        <v>10110171</v>
      </c>
      <c r="G479">
        <v>0</v>
      </c>
    </row>
    <row r="480" spans="1:7" x14ac:dyDescent="0.25">
      <c r="A480" s="226">
        <v>10110172</v>
      </c>
      <c r="B480" s="92">
        <v>0</v>
      </c>
      <c r="F480">
        <v>10110172</v>
      </c>
      <c r="G480">
        <v>0</v>
      </c>
    </row>
    <row r="481" spans="1:7" x14ac:dyDescent="0.25">
      <c r="A481" s="226">
        <v>10110173</v>
      </c>
      <c r="B481" s="92">
        <v>0</v>
      </c>
      <c r="F481">
        <v>10110173</v>
      </c>
      <c r="G481">
        <v>0</v>
      </c>
    </row>
    <row r="482" spans="1:7" x14ac:dyDescent="0.25">
      <c r="A482" s="226">
        <v>10110176</v>
      </c>
      <c r="B482" s="92">
        <v>0</v>
      </c>
      <c r="F482">
        <v>10110176</v>
      </c>
      <c r="G482">
        <v>0</v>
      </c>
    </row>
    <row r="483" spans="1:7" x14ac:dyDescent="0.25">
      <c r="A483" s="226">
        <v>10110177</v>
      </c>
      <c r="B483" s="92">
        <v>0</v>
      </c>
      <c r="F483">
        <v>10110177</v>
      </c>
      <c r="G483">
        <v>0</v>
      </c>
    </row>
    <row r="484" spans="1:7" x14ac:dyDescent="0.25">
      <c r="A484" s="226">
        <v>10110178</v>
      </c>
      <c r="B484" s="92">
        <v>0</v>
      </c>
      <c r="F484">
        <v>10110178</v>
      </c>
      <c r="G484">
        <v>0</v>
      </c>
    </row>
    <row r="485" spans="1:7" x14ac:dyDescent="0.25">
      <c r="A485" s="226">
        <v>10110179</v>
      </c>
      <c r="B485" s="92">
        <v>0</v>
      </c>
      <c r="F485">
        <v>10110179</v>
      </c>
      <c r="G485">
        <v>0</v>
      </c>
    </row>
    <row r="486" spans="1:7" x14ac:dyDescent="0.25">
      <c r="A486" s="226">
        <v>10110181</v>
      </c>
      <c r="B486" s="92">
        <v>0</v>
      </c>
      <c r="F486">
        <v>10110181</v>
      </c>
      <c r="G486">
        <v>0</v>
      </c>
    </row>
    <row r="487" spans="1:7" x14ac:dyDescent="0.25">
      <c r="A487" s="226">
        <v>10110183</v>
      </c>
      <c r="B487" s="92">
        <v>0</v>
      </c>
      <c r="F487">
        <v>10110183</v>
      </c>
      <c r="G487">
        <v>0</v>
      </c>
    </row>
    <row r="488" spans="1:7" x14ac:dyDescent="0.25">
      <c r="A488" s="226">
        <v>10110184</v>
      </c>
      <c r="B488" s="92">
        <v>0</v>
      </c>
      <c r="F488">
        <v>10110184</v>
      </c>
      <c r="G488">
        <v>0</v>
      </c>
    </row>
    <row r="489" spans="1:7" x14ac:dyDescent="0.25">
      <c r="A489" s="226">
        <v>10110185</v>
      </c>
      <c r="B489" s="92">
        <v>0</v>
      </c>
      <c r="F489">
        <v>10110185</v>
      </c>
      <c r="G489">
        <v>0</v>
      </c>
    </row>
    <row r="490" spans="1:7" x14ac:dyDescent="0.25">
      <c r="A490" s="226">
        <v>10110186</v>
      </c>
      <c r="B490" s="92">
        <v>0</v>
      </c>
      <c r="F490">
        <v>10110186</v>
      </c>
      <c r="G490">
        <v>0</v>
      </c>
    </row>
    <row r="491" spans="1:7" x14ac:dyDescent="0.25">
      <c r="A491" s="226">
        <v>10110187</v>
      </c>
      <c r="B491" s="92">
        <v>0</v>
      </c>
      <c r="F491">
        <v>10110187</v>
      </c>
      <c r="G491">
        <v>0</v>
      </c>
    </row>
    <row r="492" spans="1:7" x14ac:dyDescent="0.25">
      <c r="A492" s="226">
        <v>10110188</v>
      </c>
      <c r="B492" s="92">
        <v>0</v>
      </c>
      <c r="F492">
        <v>10110188</v>
      </c>
      <c r="G492">
        <v>0</v>
      </c>
    </row>
    <row r="493" spans="1:7" x14ac:dyDescent="0.25">
      <c r="A493" s="226">
        <v>10120001</v>
      </c>
      <c r="B493" s="92">
        <v>0</v>
      </c>
      <c r="F493">
        <v>10120001</v>
      </c>
      <c r="G493">
        <v>0</v>
      </c>
    </row>
    <row r="494" spans="1:7" x14ac:dyDescent="0.25">
      <c r="A494" s="226">
        <v>10120002</v>
      </c>
      <c r="B494" s="92">
        <v>0</v>
      </c>
      <c r="F494">
        <v>10120002</v>
      </c>
      <c r="G494">
        <v>0</v>
      </c>
    </row>
    <row r="495" spans="1:7" x14ac:dyDescent="0.25">
      <c r="A495" s="226">
        <v>10120004</v>
      </c>
      <c r="B495" s="92">
        <v>0</v>
      </c>
      <c r="F495">
        <v>10120004</v>
      </c>
      <c r="G495">
        <v>0</v>
      </c>
    </row>
    <row r="496" spans="1:7" x14ac:dyDescent="0.25">
      <c r="A496" s="226">
        <v>10120005</v>
      </c>
      <c r="B496" s="92">
        <v>0</v>
      </c>
      <c r="F496">
        <v>10120005</v>
      </c>
      <c r="G496">
        <v>0</v>
      </c>
    </row>
    <row r="497" spans="1:7" x14ac:dyDescent="0.25">
      <c r="A497" s="226">
        <v>10120006</v>
      </c>
      <c r="B497" s="92">
        <v>0</v>
      </c>
      <c r="F497">
        <v>10120006</v>
      </c>
      <c r="G497">
        <v>0</v>
      </c>
    </row>
    <row r="498" spans="1:7" x14ac:dyDescent="0.25">
      <c r="A498" s="226">
        <v>10120007</v>
      </c>
      <c r="B498" s="92">
        <v>0</v>
      </c>
      <c r="F498">
        <v>10120007</v>
      </c>
      <c r="G498">
        <v>0</v>
      </c>
    </row>
    <row r="499" spans="1:7" x14ac:dyDescent="0.25">
      <c r="A499" s="226">
        <v>10120008</v>
      </c>
      <c r="B499" s="92">
        <v>0</v>
      </c>
      <c r="F499">
        <v>10120008</v>
      </c>
      <c r="G499">
        <v>0</v>
      </c>
    </row>
    <row r="500" spans="1:7" x14ac:dyDescent="0.25">
      <c r="A500" s="226">
        <v>10120010</v>
      </c>
      <c r="B500" s="92">
        <v>0</v>
      </c>
      <c r="F500">
        <v>10120010</v>
      </c>
      <c r="G500">
        <v>0</v>
      </c>
    </row>
    <row r="501" spans="1:7" x14ac:dyDescent="0.25">
      <c r="A501" s="226">
        <v>10120011</v>
      </c>
      <c r="B501" s="92">
        <v>0</v>
      </c>
      <c r="F501">
        <v>10120011</v>
      </c>
      <c r="G501">
        <v>0</v>
      </c>
    </row>
    <row r="502" spans="1:7" x14ac:dyDescent="0.25">
      <c r="A502" s="226">
        <v>10120012</v>
      </c>
      <c r="B502" s="92">
        <v>0</v>
      </c>
      <c r="F502">
        <v>10120012</v>
      </c>
      <c r="G502">
        <v>0</v>
      </c>
    </row>
    <row r="503" spans="1:7" x14ac:dyDescent="0.25">
      <c r="A503" s="226">
        <v>10120013</v>
      </c>
      <c r="B503" s="92">
        <v>0</v>
      </c>
      <c r="F503">
        <v>10120013</v>
      </c>
      <c r="G503">
        <v>0</v>
      </c>
    </row>
    <row r="504" spans="1:7" x14ac:dyDescent="0.25">
      <c r="A504" s="226">
        <v>10120014</v>
      </c>
      <c r="B504" s="92">
        <v>0</v>
      </c>
      <c r="F504">
        <v>10120014</v>
      </c>
      <c r="G504">
        <v>0</v>
      </c>
    </row>
    <row r="505" spans="1:7" x14ac:dyDescent="0.25">
      <c r="A505" s="226">
        <v>10120015</v>
      </c>
      <c r="B505" s="92">
        <v>0</v>
      </c>
      <c r="F505">
        <v>10120015</v>
      </c>
      <c r="G505">
        <v>0</v>
      </c>
    </row>
    <row r="506" spans="1:7" x14ac:dyDescent="0.25">
      <c r="A506" s="226">
        <v>10120016</v>
      </c>
      <c r="B506" s="92">
        <v>1000</v>
      </c>
      <c r="F506">
        <v>10120016</v>
      </c>
      <c r="G506">
        <v>1000</v>
      </c>
    </row>
    <row r="507" spans="1:7" x14ac:dyDescent="0.25">
      <c r="A507" s="226">
        <v>10120017</v>
      </c>
      <c r="B507" s="92">
        <v>0</v>
      </c>
      <c r="F507">
        <v>10120017</v>
      </c>
      <c r="G507">
        <v>0</v>
      </c>
    </row>
    <row r="508" spans="1:7" x14ac:dyDescent="0.25">
      <c r="A508" s="226">
        <v>10120018</v>
      </c>
      <c r="B508" s="92">
        <v>0</v>
      </c>
      <c r="F508">
        <v>10120018</v>
      </c>
      <c r="G508">
        <v>0</v>
      </c>
    </row>
    <row r="509" spans="1:7" x14ac:dyDescent="0.25">
      <c r="A509" s="226">
        <v>10120019</v>
      </c>
      <c r="B509" s="92">
        <v>0</v>
      </c>
      <c r="F509">
        <v>10120019</v>
      </c>
      <c r="G509">
        <v>0</v>
      </c>
    </row>
    <row r="510" spans="1:7" x14ac:dyDescent="0.25">
      <c r="A510" s="226">
        <v>10120022</v>
      </c>
      <c r="B510" s="92">
        <v>0</v>
      </c>
      <c r="F510">
        <v>10120022</v>
      </c>
      <c r="G510">
        <v>0</v>
      </c>
    </row>
    <row r="511" spans="1:7" x14ac:dyDescent="0.25">
      <c r="A511" s="226">
        <v>10120023</v>
      </c>
      <c r="B511" s="92">
        <v>0</v>
      </c>
      <c r="F511">
        <v>10120023</v>
      </c>
      <c r="G511">
        <v>0</v>
      </c>
    </row>
    <row r="512" spans="1:7" x14ac:dyDescent="0.25">
      <c r="A512" s="226">
        <v>10120024</v>
      </c>
      <c r="B512" s="92">
        <v>0</v>
      </c>
      <c r="F512">
        <v>10120024</v>
      </c>
      <c r="G512">
        <v>0</v>
      </c>
    </row>
    <row r="513" spans="1:7" x14ac:dyDescent="0.25">
      <c r="A513" s="226">
        <v>10120025</v>
      </c>
      <c r="B513" s="92">
        <v>0</v>
      </c>
      <c r="F513">
        <v>10120025</v>
      </c>
      <c r="G513">
        <v>0</v>
      </c>
    </row>
    <row r="514" spans="1:7" x14ac:dyDescent="0.25">
      <c r="A514" s="226">
        <v>10120026</v>
      </c>
      <c r="B514" s="92">
        <v>0</v>
      </c>
      <c r="F514">
        <v>10120026</v>
      </c>
      <c r="G514">
        <v>0</v>
      </c>
    </row>
    <row r="515" spans="1:7" x14ac:dyDescent="0.25">
      <c r="A515" s="226">
        <v>10120028</v>
      </c>
      <c r="B515" s="92">
        <v>0</v>
      </c>
      <c r="F515">
        <v>10120028</v>
      </c>
      <c r="G515">
        <v>0</v>
      </c>
    </row>
    <row r="516" spans="1:7" x14ac:dyDescent="0.25">
      <c r="A516" s="226">
        <v>10120029</v>
      </c>
      <c r="B516" s="92">
        <v>0</v>
      </c>
      <c r="F516">
        <v>10120029</v>
      </c>
      <c r="G516">
        <v>0</v>
      </c>
    </row>
    <row r="517" spans="1:7" x14ac:dyDescent="0.25">
      <c r="A517" s="226">
        <v>10120030</v>
      </c>
      <c r="B517" s="92">
        <v>825</v>
      </c>
      <c r="F517">
        <v>10120030</v>
      </c>
      <c r="G517">
        <v>825</v>
      </c>
    </row>
    <row r="518" spans="1:7" x14ac:dyDescent="0.25">
      <c r="A518" s="226">
        <v>10120031</v>
      </c>
      <c r="B518" s="92">
        <v>0</v>
      </c>
      <c r="F518">
        <v>10120031</v>
      </c>
      <c r="G518">
        <v>0</v>
      </c>
    </row>
    <row r="519" spans="1:7" x14ac:dyDescent="0.25">
      <c r="A519" s="226">
        <v>10120034</v>
      </c>
      <c r="B519" s="92">
        <v>1000</v>
      </c>
      <c r="F519">
        <v>10120034</v>
      </c>
      <c r="G519">
        <v>1000</v>
      </c>
    </row>
    <row r="520" spans="1:7" x14ac:dyDescent="0.25">
      <c r="A520" s="226">
        <v>10120035</v>
      </c>
      <c r="B520" s="92">
        <v>0</v>
      </c>
      <c r="F520">
        <v>10120035</v>
      </c>
      <c r="G520">
        <v>0</v>
      </c>
    </row>
    <row r="521" spans="1:7" x14ac:dyDescent="0.25">
      <c r="A521" s="226">
        <v>10120043</v>
      </c>
      <c r="B521" s="92">
        <v>1000</v>
      </c>
      <c r="F521">
        <v>10120043</v>
      </c>
      <c r="G521">
        <v>1000</v>
      </c>
    </row>
    <row r="522" spans="1:7" x14ac:dyDescent="0.25">
      <c r="A522" s="226">
        <v>10120046</v>
      </c>
      <c r="B522" s="92">
        <v>0</v>
      </c>
      <c r="F522">
        <v>10120046</v>
      </c>
      <c r="G522">
        <v>0</v>
      </c>
    </row>
    <row r="523" spans="1:7" x14ac:dyDescent="0.25">
      <c r="A523" s="226">
        <v>10120047</v>
      </c>
      <c r="B523" s="92">
        <v>0</v>
      </c>
      <c r="F523">
        <v>10120047</v>
      </c>
      <c r="G523">
        <v>0</v>
      </c>
    </row>
    <row r="524" spans="1:7" x14ac:dyDescent="0.25">
      <c r="A524" s="226">
        <v>10120049</v>
      </c>
      <c r="B524" s="92">
        <v>0</v>
      </c>
      <c r="F524">
        <v>10120049</v>
      </c>
      <c r="G524">
        <v>0</v>
      </c>
    </row>
    <row r="525" spans="1:7" x14ac:dyDescent="0.25">
      <c r="A525" s="226">
        <v>10120050</v>
      </c>
      <c r="B525" s="92">
        <v>0</v>
      </c>
      <c r="F525">
        <v>10120050</v>
      </c>
      <c r="G525">
        <v>0</v>
      </c>
    </row>
    <row r="526" spans="1:7" x14ac:dyDescent="0.25">
      <c r="A526" s="226">
        <v>10120051</v>
      </c>
      <c r="B526" s="92">
        <v>0</v>
      </c>
      <c r="F526">
        <v>10120051</v>
      </c>
      <c r="G526">
        <v>0</v>
      </c>
    </row>
    <row r="527" spans="1:7" x14ac:dyDescent="0.25">
      <c r="A527" s="226">
        <v>10120052</v>
      </c>
      <c r="B527" s="92">
        <v>0</v>
      </c>
      <c r="F527">
        <v>10120052</v>
      </c>
      <c r="G527">
        <v>0</v>
      </c>
    </row>
    <row r="528" spans="1:7" x14ac:dyDescent="0.25">
      <c r="A528" s="226">
        <v>10120053</v>
      </c>
      <c r="B528" s="92">
        <v>0</v>
      </c>
      <c r="F528">
        <v>10120053</v>
      </c>
      <c r="G528">
        <v>0</v>
      </c>
    </row>
    <row r="529" spans="1:7" x14ac:dyDescent="0.25">
      <c r="A529" s="226">
        <v>10120056</v>
      </c>
      <c r="B529" s="92">
        <v>0</v>
      </c>
      <c r="F529">
        <v>10120056</v>
      </c>
      <c r="G529">
        <v>0</v>
      </c>
    </row>
    <row r="530" spans="1:7" x14ac:dyDescent="0.25">
      <c r="A530" s="226">
        <v>10120060</v>
      </c>
      <c r="B530" s="92">
        <v>0</v>
      </c>
      <c r="F530">
        <v>10120060</v>
      </c>
      <c r="G530">
        <v>0</v>
      </c>
    </row>
    <row r="531" spans="1:7" x14ac:dyDescent="0.25">
      <c r="A531" s="226">
        <v>10120066</v>
      </c>
      <c r="B531" s="92">
        <v>0</v>
      </c>
      <c r="F531">
        <v>10120066</v>
      </c>
      <c r="G531">
        <v>0</v>
      </c>
    </row>
    <row r="532" spans="1:7" x14ac:dyDescent="0.25">
      <c r="A532" s="226">
        <v>10120067</v>
      </c>
      <c r="B532" s="92">
        <v>0</v>
      </c>
      <c r="F532">
        <v>10120067</v>
      </c>
      <c r="G532">
        <v>0</v>
      </c>
    </row>
    <row r="533" spans="1:7" x14ac:dyDescent="0.25">
      <c r="A533" s="226">
        <v>10120070</v>
      </c>
      <c r="B533" s="92">
        <v>0</v>
      </c>
      <c r="F533">
        <v>10120070</v>
      </c>
      <c r="G533">
        <v>0</v>
      </c>
    </row>
    <row r="534" spans="1:7" x14ac:dyDescent="0.25">
      <c r="A534" s="226">
        <v>10120071</v>
      </c>
      <c r="B534" s="92">
        <v>0</v>
      </c>
      <c r="F534">
        <v>10120071</v>
      </c>
      <c r="G534">
        <v>0</v>
      </c>
    </row>
    <row r="535" spans="1:7" x14ac:dyDescent="0.25">
      <c r="A535" s="226">
        <v>10120075</v>
      </c>
      <c r="B535" s="92">
        <v>0</v>
      </c>
      <c r="F535">
        <v>10120075</v>
      </c>
      <c r="G535">
        <v>0</v>
      </c>
    </row>
    <row r="536" spans="1:7" x14ac:dyDescent="0.25">
      <c r="A536" s="226">
        <v>10120080</v>
      </c>
      <c r="B536" s="92">
        <v>1000</v>
      </c>
      <c r="F536">
        <v>10120080</v>
      </c>
      <c r="G536">
        <v>1000</v>
      </c>
    </row>
    <row r="537" spans="1:7" x14ac:dyDescent="0.25">
      <c r="A537" s="226">
        <v>10120083</v>
      </c>
      <c r="B537" s="92">
        <v>0</v>
      </c>
      <c r="F537">
        <v>10120083</v>
      </c>
      <c r="G537">
        <v>0</v>
      </c>
    </row>
    <row r="538" spans="1:7" x14ac:dyDescent="0.25">
      <c r="A538" s="226">
        <v>10120084</v>
      </c>
      <c r="B538" s="92">
        <v>0</v>
      </c>
      <c r="F538">
        <v>10120084</v>
      </c>
      <c r="G538">
        <v>0</v>
      </c>
    </row>
    <row r="539" spans="1:7" x14ac:dyDescent="0.25">
      <c r="A539" s="226">
        <v>10120086</v>
      </c>
      <c r="B539" s="92">
        <v>0</v>
      </c>
      <c r="F539">
        <v>10120086</v>
      </c>
      <c r="G539">
        <v>0</v>
      </c>
    </row>
    <row r="540" spans="1:7" x14ac:dyDescent="0.25">
      <c r="A540" s="226">
        <v>10120087</v>
      </c>
      <c r="B540" s="92">
        <v>0</v>
      </c>
      <c r="F540">
        <v>10120087</v>
      </c>
      <c r="G540">
        <v>0</v>
      </c>
    </row>
    <row r="541" spans="1:7" x14ac:dyDescent="0.25">
      <c r="A541" s="226">
        <v>10120088</v>
      </c>
      <c r="B541" s="92">
        <v>0</v>
      </c>
      <c r="F541">
        <v>10120088</v>
      </c>
      <c r="G541">
        <v>0</v>
      </c>
    </row>
    <row r="542" spans="1:7" x14ac:dyDescent="0.25">
      <c r="A542" s="226">
        <v>10120089</v>
      </c>
      <c r="B542" s="92">
        <v>0</v>
      </c>
      <c r="F542">
        <v>10120089</v>
      </c>
      <c r="G542">
        <v>0</v>
      </c>
    </row>
    <row r="543" spans="1:7" x14ac:dyDescent="0.25">
      <c r="A543" s="226">
        <v>10120091</v>
      </c>
      <c r="B543" s="92">
        <v>0</v>
      </c>
      <c r="F543">
        <v>10120091</v>
      </c>
      <c r="G543">
        <v>0</v>
      </c>
    </row>
    <row r="544" spans="1:7" x14ac:dyDescent="0.25">
      <c r="A544" s="226">
        <v>10120092</v>
      </c>
      <c r="B544" s="92">
        <v>0</v>
      </c>
      <c r="F544">
        <v>10120092</v>
      </c>
      <c r="G544">
        <v>0</v>
      </c>
    </row>
    <row r="545" spans="1:7" x14ac:dyDescent="0.25">
      <c r="A545" s="226">
        <v>10120094</v>
      </c>
      <c r="B545" s="92">
        <v>0</v>
      </c>
      <c r="F545">
        <v>10120094</v>
      </c>
      <c r="G545">
        <v>0</v>
      </c>
    </row>
    <row r="546" spans="1:7" x14ac:dyDescent="0.25">
      <c r="A546" s="226">
        <v>10120095</v>
      </c>
      <c r="B546" s="92">
        <v>1000</v>
      </c>
      <c r="F546">
        <v>10120095</v>
      </c>
      <c r="G546">
        <v>1000</v>
      </c>
    </row>
    <row r="547" spans="1:7" x14ac:dyDescent="0.25">
      <c r="A547" s="226">
        <v>10120096</v>
      </c>
      <c r="B547" s="92">
        <v>0</v>
      </c>
      <c r="F547">
        <v>10120096</v>
      </c>
      <c r="G547">
        <v>0</v>
      </c>
    </row>
    <row r="548" spans="1:7" x14ac:dyDescent="0.25">
      <c r="A548" s="226">
        <v>10120099</v>
      </c>
      <c r="B548" s="92">
        <v>0</v>
      </c>
      <c r="F548">
        <v>10120099</v>
      </c>
      <c r="G548">
        <v>0</v>
      </c>
    </row>
    <row r="549" spans="1:7" x14ac:dyDescent="0.25">
      <c r="A549" s="226">
        <v>10120103</v>
      </c>
      <c r="B549" s="92">
        <v>0</v>
      </c>
      <c r="F549">
        <v>10120103</v>
      </c>
      <c r="G549">
        <v>0</v>
      </c>
    </row>
    <row r="550" spans="1:7" x14ac:dyDescent="0.25">
      <c r="A550" s="226">
        <v>10120104</v>
      </c>
      <c r="B550" s="92">
        <v>0</v>
      </c>
      <c r="F550">
        <v>10120104</v>
      </c>
      <c r="G550">
        <v>0</v>
      </c>
    </row>
    <row r="551" spans="1:7" x14ac:dyDescent="0.25">
      <c r="A551" s="226">
        <v>10120105</v>
      </c>
      <c r="B551" s="92">
        <v>0</v>
      </c>
      <c r="F551">
        <v>10120105</v>
      </c>
      <c r="G551">
        <v>0</v>
      </c>
    </row>
    <row r="552" spans="1:7" x14ac:dyDescent="0.25">
      <c r="A552" s="226">
        <v>10120106</v>
      </c>
      <c r="B552" s="92">
        <v>0</v>
      </c>
      <c r="F552">
        <v>10120106</v>
      </c>
      <c r="G552">
        <v>0</v>
      </c>
    </row>
    <row r="553" spans="1:7" x14ac:dyDescent="0.25">
      <c r="A553" s="226">
        <v>10120107</v>
      </c>
      <c r="B553" s="92">
        <v>0</v>
      </c>
      <c r="F553">
        <v>10120107</v>
      </c>
      <c r="G553">
        <v>0</v>
      </c>
    </row>
    <row r="554" spans="1:7" x14ac:dyDescent="0.25">
      <c r="A554" s="226">
        <v>10120108</v>
      </c>
      <c r="B554" s="92">
        <v>0</v>
      </c>
      <c r="F554">
        <v>10120108</v>
      </c>
      <c r="G554">
        <v>0</v>
      </c>
    </row>
    <row r="555" spans="1:7" x14ac:dyDescent="0.25">
      <c r="A555" s="226">
        <v>10120109</v>
      </c>
      <c r="B555" s="92">
        <v>0</v>
      </c>
      <c r="F555">
        <v>10120109</v>
      </c>
      <c r="G555">
        <v>0</v>
      </c>
    </row>
    <row r="556" spans="1:7" x14ac:dyDescent="0.25">
      <c r="A556" s="226">
        <v>10120110</v>
      </c>
      <c r="B556" s="92">
        <v>0</v>
      </c>
      <c r="F556">
        <v>10120110</v>
      </c>
      <c r="G556">
        <v>0</v>
      </c>
    </row>
    <row r="557" spans="1:7" x14ac:dyDescent="0.25">
      <c r="A557" s="226">
        <v>10120111</v>
      </c>
      <c r="B557" s="92">
        <v>0</v>
      </c>
      <c r="F557">
        <v>10120111</v>
      </c>
      <c r="G557">
        <v>0</v>
      </c>
    </row>
    <row r="558" spans="1:7" x14ac:dyDescent="0.25">
      <c r="A558" s="226">
        <v>10120113</v>
      </c>
      <c r="B558" s="92">
        <v>0</v>
      </c>
      <c r="F558">
        <v>10120113</v>
      </c>
      <c r="G558">
        <v>0</v>
      </c>
    </row>
    <row r="559" spans="1:7" x14ac:dyDescent="0.25">
      <c r="A559" s="226">
        <v>10120114</v>
      </c>
      <c r="B559" s="92">
        <v>0</v>
      </c>
      <c r="F559">
        <v>10120114</v>
      </c>
      <c r="G559">
        <v>0</v>
      </c>
    </row>
    <row r="560" spans="1:7" x14ac:dyDescent="0.25">
      <c r="A560" s="226">
        <v>10120115</v>
      </c>
      <c r="B560" s="92">
        <v>0</v>
      </c>
      <c r="F560">
        <v>10120115</v>
      </c>
      <c r="G560">
        <v>0</v>
      </c>
    </row>
    <row r="561" spans="1:7" x14ac:dyDescent="0.25">
      <c r="A561" s="226">
        <v>10120116</v>
      </c>
      <c r="B561" s="92">
        <v>0</v>
      </c>
      <c r="F561">
        <v>10120116</v>
      </c>
      <c r="G561">
        <v>0</v>
      </c>
    </row>
    <row r="562" spans="1:7" x14ac:dyDescent="0.25">
      <c r="A562" s="226">
        <v>10120117</v>
      </c>
      <c r="B562" s="92">
        <v>0</v>
      </c>
      <c r="F562">
        <v>10120117</v>
      </c>
      <c r="G562">
        <v>0</v>
      </c>
    </row>
    <row r="563" spans="1:7" x14ac:dyDescent="0.25">
      <c r="A563" s="226">
        <v>10120118</v>
      </c>
      <c r="B563" s="92">
        <v>0</v>
      </c>
      <c r="F563">
        <v>10120118</v>
      </c>
      <c r="G563">
        <v>0</v>
      </c>
    </row>
    <row r="564" spans="1:7" x14ac:dyDescent="0.25">
      <c r="A564" s="226">
        <v>10120119</v>
      </c>
      <c r="B564" s="92">
        <v>0</v>
      </c>
      <c r="F564">
        <v>10120119</v>
      </c>
      <c r="G564">
        <v>0</v>
      </c>
    </row>
    <row r="565" spans="1:7" x14ac:dyDescent="0.25">
      <c r="A565" s="226">
        <v>10120120</v>
      </c>
      <c r="B565" s="92">
        <v>0</v>
      </c>
      <c r="F565">
        <v>10120120</v>
      </c>
      <c r="G565">
        <v>0</v>
      </c>
    </row>
    <row r="566" spans="1:7" x14ac:dyDescent="0.25">
      <c r="A566" s="226">
        <v>10120122</v>
      </c>
      <c r="B566" s="92">
        <v>0</v>
      </c>
      <c r="F566">
        <v>10120122</v>
      </c>
      <c r="G566">
        <v>0</v>
      </c>
    </row>
    <row r="567" spans="1:7" x14ac:dyDescent="0.25">
      <c r="A567" s="226">
        <v>10120123</v>
      </c>
      <c r="B567" s="92">
        <v>0</v>
      </c>
      <c r="F567">
        <v>10120123</v>
      </c>
      <c r="G567">
        <v>0</v>
      </c>
    </row>
    <row r="568" spans="1:7" x14ac:dyDescent="0.25">
      <c r="A568" s="226">
        <v>10130001</v>
      </c>
      <c r="B568" s="92">
        <v>0</v>
      </c>
      <c r="F568">
        <v>10130001</v>
      </c>
      <c r="G568">
        <v>0</v>
      </c>
    </row>
    <row r="569" spans="1:7" x14ac:dyDescent="0.25">
      <c r="A569" s="226">
        <v>10130002</v>
      </c>
      <c r="B569" s="92">
        <v>0</v>
      </c>
      <c r="F569">
        <v>10130002</v>
      </c>
      <c r="G569">
        <v>0</v>
      </c>
    </row>
    <row r="570" spans="1:7" x14ac:dyDescent="0.25">
      <c r="A570" s="226">
        <v>10130003</v>
      </c>
      <c r="B570" s="92">
        <v>0</v>
      </c>
      <c r="F570">
        <v>10130003</v>
      </c>
      <c r="G570">
        <v>0</v>
      </c>
    </row>
    <row r="571" spans="1:7" x14ac:dyDescent="0.25">
      <c r="A571" s="226">
        <v>10130005</v>
      </c>
      <c r="B571" s="92">
        <v>0</v>
      </c>
      <c r="F571">
        <v>10130005</v>
      </c>
      <c r="G571">
        <v>0</v>
      </c>
    </row>
    <row r="572" spans="1:7" x14ac:dyDescent="0.25">
      <c r="A572" s="226">
        <v>10130006</v>
      </c>
      <c r="B572" s="92">
        <v>0</v>
      </c>
      <c r="F572">
        <v>10130006</v>
      </c>
      <c r="G572">
        <v>0</v>
      </c>
    </row>
    <row r="573" spans="1:7" x14ac:dyDescent="0.25">
      <c r="A573" s="226">
        <v>10130008</v>
      </c>
      <c r="B573" s="92">
        <v>0</v>
      </c>
      <c r="F573">
        <v>10130008</v>
      </c>
      <c r="G573">
        <v>0</v>
      </c>
    </row>
    <row r="574" spans="1:7" x14ac:dyDescent="0.25">
      <c r="A574" s="226">
        <v>10130012</v>
      </c>
      <c r="B574" s="92">
        <v>0</v>
      </c>
      <c r="F574">
        <v>10130012</v>
      </c>
      <c r="G574">
        <v>0</v>
      </c>
    </row>
    <row r="575" spans="1:7" x14ac:dyDescent="0.25">
      <c r="A575" s="226">
        <v>10130015</v>
      </c>
      <c r="B575" s="92">
        <v>0</v>
      </c>
      <c r="F575">
        <v>10130015</v>
      </c>
      <c r="G575">
        <v>0</v>
      </c>
    </row>
    <row r="576" spans="1:7" x14ac:dyDescent="0.25">
      <c r="A576" s="226">
        <v>10130016</v>
      </c>
      <c r="B576" s="92">
        <v>0</v>
      </c>
      <c r="F576">
        <v>10130016</v>
      </c>
      <c r="G576">
        <v>0</v>
      </c>
    </row>
    <row r="577" spans="1:7" x14ac:dyDescent="0.25">
      <c r="A577" s="226">
        <v>10130018</v>
      </c>
      <c r="B577" s="92">
        <v>0</v>
      </c>
      <c r="F577">
        <v>10130018</v>
      </c>
      <c r="G577">
        <v>0</v>
      </c>
    </row>
    <row r="578" spans="1:7" x14ac:dyDescent="0.25">
      <c r="A578" s="226">
        <v>10130020</v>
      </c>
      <c r="B578" s="92">
        <v>0</v>
      </c>
      <c r="F578">
        <v>10130020</v>
      </c>
      <c r="G578">
        <v>0</v>
      </c>
    </row>
    <row r="579" spans="1:7" x14ac:dyDescent="0.25">
      <c r="A579" s="226">
        <v>10130025</v>
      </c>
      <c r="B579" s="92">
        <v>0</v>
      </c>
      <c r="F579">
        <v>10130025</v>
      </c>
      <c r="G579">
        <v>0</v>
      </c>
    </row>
    <row r="580" spans="1:7" x14ac:dyDescent="0.25">
      <c r="A580" s="226">
        <v>10130026</v>
      </c>
      <c r="B580" s="92">
        <v>0</v>
      </c>
      <c r="F580">
        <v>10130026</v>
      </c>
      <c r="G580">
        <v>0</v>
      </c>
    </row>
    <row r="581" spans="1:7" x14ac:dyDescent="0.25">
      <c r="A581" s="226">
        <v>10130027</v>
      </c>
      <c r="B581" s="92">
        <v>0</v>
      </c>
      <c r="F581">
        <v>10130027</v>
      </c>
      <c r="G581">
        <v>0</v>
      </c>
    </row>
    <row r="582" spans="1:7" x14ac:dyDescent="0.25">
      <c r="A582" s="226">
        <v>10130030</v>
      </c>
      <c r="B582" s="92">
        <v>0</v>
      </c>
      <c r="F582">
        <v>10130030</v>
      </c>
      <c r="G582">
        <v>0</v>
      </c>
    </row>
    <row r="583" spans="1:7" x14ac:dyDescent="0.25">
      <c r="A583" s="226">
        <v>10130031</v>
      </c>
      <c r="B583" s="92">
        <v>0</v>
      </c>
      <c r="F583">
        <v>10130031</v>
      </c>
      <c r="G583">
        <v>0</v>
      </c>
    </row>
    <row r="584" spans="1:7" x14ac:dyDescent="0.25">
      <c r="A584" s="226">
        <v>10130032</v>
      </c>
      <c r="B584" s="92">
        <v>1000</v>
      </c>
      <c r="F584">
        <v>10130032</v>
      </c>
      <c r="G584">
        <v>1000</v>
      </c>
    </row>
    <row r="585" spans="1:7" x14ac:dyDescent="0.25">
      <c r="A585" s="226">
        <v>10130036</v>
      </c>
      <c r="B585" s="92">
        <v>0</v>
      </c>
      <c r="F585">
        <v>10130036</v>
      </c>
      <c r="G585">
        <v>0</v>
      </c>
    </row>
    <row r="586" spans="1:7" x14ac:dyDescent="0.25">
      <c r="A586" s="226">
        <v>10130040</v>
      </c>
      <c r="B586" s="92">
        <v>0</v>
      </c>
      <c r="F586">
        <v>10130040</v>
      </c>
      <c r="G586">
        <v>0</v>
      </c>
    </row>
    <row r="587" spans="1:7" x14ac:dyDescent="0.25">
      <c r="A587" s="226">
        <v>10130041</v>
      </c>
      <c r="B587" s="92">
        <v>0</v>
      </c>
      <c r="F587">
        <v>10130041</v>
      </c>
      <c r="G587">
        <v>0</v>
      </c>
    </row>
    <row r="588" spans="1:7" x14ac:dyDescent="0.25">
      <c r="A588" s="226">
        <v>10130042</v>
      </c>
      <c r="B588" s="92">
        <v>0</v>
      </c>
      <c r="F588">
        <v>10130042</v>
      </c>
      <c r="G588">
        <v>0</v>
      </c>
    </row>
    <row r="589" spans="1:7" x14ac:dyDescent="0.25">
      <c r="A589" s="226">
        <v>10130044</v>
      </c>
      <c r="B589" s="92">
        <v>0</v>
      </c>
      <c r="F589">
        <v>10130044</v>
      </c>
      <c r="G589">
        <v>0</v>
      </c>
    </row>
    <row r="590" spans="1:7" x14ac:dyDescent="0.25">
      <c r="A590" s="226">
        <v>10130046</v>
      </c>
      <c r="B590" s="92">
        <v>0</v>
      </c>
      <c r="F590">
        <v>10130046</v>
      </c>
      <c r="G590">
        <v>0</v>
      </c>
    </row>
    <row r="591" spans="1:7" x14ac:dyDescent="0.25">
      <c r="A591" s="226">
        <v>10130047</v>
      </c>
      <c r="B591" s="92">
        <v>0</v>
      </c>
      <c r="F591">
        <v>10130047</v>
      </c>
      <c r="G591">
        <v>0</v>
      </c>
    </row>
    <row r="592" spans="1:7" x14ac:dyDescent="0.25">
      <c r="A592" s="226">
        <v>10130052</v>
      </c>
      <c r="B592" s="92">
        <v>0</v>
      </c>
      <c r="F592">
        <v>10130052</v>
      </c>
      <c r="G592">
        <v>0</v>
      </c>
    </row>
    <row r="593" spans="1:7" x14ac:dyDescent="0.25">
      <c r="A593" s="226">
        <v>10130054</v>
      </c>
      <c r="B593" s="92">
        <v>0</v>
      </c>
      <c r="F593">
        <v>10130054</v>
      </c>
      <c r="G593">
        <v>0</v>
      </c>
    </row>
    <row r="594" spans="1:7" x14ac:dyDescent="0.25">
      <c r="A594" s="226">
        <v>10130058</v>
      </c>
      <c r="B594" s="92">
        <v>0</v>
      </c>
      <c r="F594">
        <v>10130058</v>
      </c>
      <c r="G594">
        <v>0</v>
      </c>
    </row>
    <row r="595" spans="1:7" x14ac:dyDescent="0.25">
      <c r="A595" s="226">
        <v>10130063</v>
      </c>
      <c r="B595" s="92">
        <v>0</v>
      </c>
      <c r="F595">
        <v>10130063</v>
      </c>
      <c r="G595">
        <v>0</v>
      </c>
    </row>
    <row r="596" spans="1:7" x14ac:dyDescent="0.25">
      <c r="A596" s="226">
        <v>10130065</v>
      </c>
      <c r="B596" s="92">
        <v>0</v>
      </c>
      <c r="F596">
        <v>10130065</v>
      </c>
      <c r="G596">
        <v>0</v>
      </c>
    </row>
    <row r="597" spans="1:7" x14ac:dyDescent="0.25">
      <c r="A597" s="226">
        <v>10130070</v>
      </c>
      <c r="B597" s="92">
        <v>0</v>
      </c>
      <c r="F597">
        <v>10130070</v>
      </c>
      <c r="G597">
        <v>0</v>
      </c>
    </row>
    <row r="598" spans="1:7" x14ac:dyDescent="0.25">
      <c r="A598" s="226">
        <v>10130073</v>
      </c>
      <c r="B598" s="92">
        <v>0</v>
      </c>
      <c r="F598">
        <v>10130073</v>
      </c>
      <c r="G598">
        <v>0</v>
      </c>
    </row>
    <row r="599" spans="1:7" x14ac:dyDescent="0.25">
      <c r="A599" s="226">
        <v>10130074</v>
      </c>
      <c r="B599" s="92">
        <v>0</v>
      </c>
      <c r="F599">
        <v>10130074</v>
      </c>
      <c r="G599">
        <v>0</v>
      </c>
    </row>
    <row r="600" spans="1:7" x14ac:dyDescent="0.25">
      <c r="A600" s="226">
        <v>10130077</v>
      </c>
      <c r="B600" s="92">
        <v>0</v>
      </c>
      <c r="F600">
        <v>10130077</v>
      </c>
      <c r="G600">
        <v>0</v>
      </c>
    </row>
    <row r="601" spans="1:7" x14ac:dyDescent="0.25">
      <c r="A601" s="226">
        <v>10130080</v>
      </c>
      <c r="B601" s="92">
        <v>0</v>
      </c>
      <c r="F601">
        <v>10130080</v>
      </c>
      <c r="G601">
        <v>0</v>
      </c>
    </row>
    <row r="602" spans="1:7" x14ac:dyDescent="0.25">
      <c r="A602" s="226">
        <v>10130081</v>
      </c>
      <c r="B602" s="92">
        <v>0</v>
      </c>
      <c r="F602">
        <v>10130081</v>
      </c>
      <c r="G602">
        <v>0</v>
      </c>
    </row>
    <row r="603" spans="1:7" x14ac:dyDescent="0.25">
      <c r="A603" s="226">
        <v>10130083</v>
      </c>
      <c r="B603" s="92">
        <v>0</v>
      </c>
      <c r="F603">
        <v>10130083</v>
      </c>
      <c r="G603">
        <v>0</v>
      </c>
    </row>
    <row r="604" spans="1:7" x14ac:dyDescent="0.25">
      <c r="A604" s="226">
        <v>10130085</v>
      </c>
      <c r="B604" s="92">
        <v>0</v>
      </c>
      <c r="F604">
        <v>10130085</v>
      </c>
      <c r="G604">
        <v>0</v>
      </c>
    </row>
    <row r="605" spans="1:7" x14ac:dyDescent="0.25">
      <c r="A605" s="226">
        <v>10130087</v>
      </c>
      <c r="B605" s="92">
        <v>0</v>
      </c>
      <c r="F605">
        <v>10130087</v>
      </c>
      <c r="G605">
        <v>0</v>
      </c>
    </row>
    <row r="606" spans="1:7" x14ac:dyDescent="0.25">
      <c r="A606" s="226">
        <v>10130088</v>
      </c>
      <c r="B606" s="92">
        <v>0</v>
      </c>
      <c r="F606">
        <v>10130088</v>
      </c>
      <c r="G606">
        <v>0</v>
      </c>
    </row>
    <row r="607" spans="1:7" x14ac:dyDescent="0.25">
      <c r="A607" s="226">
        <v>10130091</v>
      </c>
      <c r="B607" s="92">
        <v>0</v>
      </c>
      <c r="F607">
        <v>10130091</v>
      </c>
      <c r="G607">
        <v>0</v>
      </c>
    </row>
    <row r="608" spans="1:7" x14ac:dyDescent="0.25">
      <c r="A608" s="226">
        <v>10130093</v>
      </c>
      <c r="B608" s="92">
        <v>0</v>
      </c>
      <c r="F608">
        <v>10130093</v>
      </c>
      <c r="G608">
        <v>0</v>
      </c>
    </row>
    <row r="609" spans="1:7" x14ac:dyDescent="0.25">
      <c r="A609" s="226">
        <v>10130094</v>
      </c>
      <c r="B609" s="92">
        <v>1000</v>
      </c>
      <c r="F609">
        <v>10130094</v>
      </c>
      <c r="G609">
        <v>1000</v>
      </c>
    </row>
    <row r="610" spans="1:7" x14ac:dyDescent="0.25">
      <c r="A610" s="226">
        <v>10130097</v>
      </c>
      <c r="B610" s="92">
        <v>0</v>
      </c>
      <c r="F610">
        <v>10130097</v>
      </c>
      <c r="G610">
        <v>0</v>
      </c>
    </row>
    <row r="611" spans="1:7" x14ac:dyDescent="0.25">
      <c r="A611" s="226">
        <v>10130098</v>
      </c>
      <c r="B611" s="92">
        <v>0</v>
      </c>
      <c r="F611">
        <v>10130098</v>
      </c>
      <c r="G611">
        <v>0</v>
      </c>
    </row>
    <row r="612" spans="1:7" x14ac:dyDescent="0.25">
      <c r="A612" s="226">
        <v>10130100</v>
      </c>
      <c r="B612" s="92">
        <v>1000</v>
      </c>
      <c r="F612">
        <v>10130100</v>
      </c>
      <c r="G612">
        <v>1000</v>
      </c>
    </row>
    <row r="613" spans="1:7" x14ac:dyDescent="0.25">
      <c r="A613" s="226">
        <v>10130101</v>
      </c>
      <c r="B613" s="92">
        <v>0</v>
      </c>
      <c r="F613">
        <v>10130101</v>
      </c>
      <c r="G613">
        <v>0</v>
      </c>
    </row>
    <row r="614" spans="1:7" x14ac:dyDescent="0.25">
      <c r="A614" s="226">
        <v>10130102</v>
      </c>
      <c r="B614" s="92">
        <v>500</v>
      </c>
      <c r="F614">
        <v>10130102</v>
      </c>
      <c r="G614">
        <v>500</v>
      </c>
    </row>
    <row r="615" spans="1:7" x14ac:dyDescent="0.25">
      <c r="A615" s="226">
        <v>10130103</v>
      </c>
      <c r="B615" s="92">
        <v>0</v>
      </c>
      <c r="F615">
        <v>10130103</v>
      </c>
      <c r="G615">
        <v>0</v>
      </c>
    </row>
    <row r="616" spans="1:7" x14ac:dyDescent="0.25">
      <c r="A616" s="226">
        <v>10130105</v>
      </c>
      <c r="B616" s="92">
        <v>0</v>
      </c>
      <c r="F616">
        <v>10130105</v>
      </c>
      <c r="G616">
        <v>0</v>
      </c>
    </row>
    <row r="617" spans="1:7" x14ac:dyDescent="0.25">
      <c r="A617" s="226">
        <v>10130106</v>
      </c>
      <c r="B617" s="92">
        <v>0</v>
      </c>
      <c r="F617">
        <v>10130106</v>
      </c>
      <c r="G617">
        <v>0</v>
      </c>
    </row>
    <row r="618" spans="1:7" x14ac:dyDescent="0.25">
      <c r="A618" s="226">
        <v>10130107</v>
      </c>
      <c r="B618" s="92">
        <v>0</v>
      </c>
      <c r="F618">
        <v>10130107</v>
      </c>
      <c r="G618">
        <v>0</v>
      </c>
    </row>
    <row r="619" spans="1:7" x14ac:dyDescent="0.25">
      <c r="A619" s="226">
        <v>10130110</v>
      </c>
      <c r="B619" s="92">
        <v>0</v>
      </c>
      <c r="F619">
        <v>10130110</v>
      </c>
      <c r="G619">
        <v>0</v>
      </c>
    </row>
    <row r="620" spans="1:7" x14ac:dyDescent="0.25">
      <c r="A620" s="226">
        <v>10130111</v>
      </c>
      <c r="B620" s="92">
        <v>0</v>
      </c>
      <c r="F620">
        <v>10130111</v>
      </c>
      <c r="G620">
        <v>0</v>
      </c>
    </row>
    <row r="621" spans="1:7" x14ac:dyDescent="0.25">
      <c r="A621" s="226">
        <v>10130112</v>
      </c>
      <c r="B621" s="92">
        <v>0</v>
      </c>
      <c r="F621">
        <v>10130112</v>
      </c>
      <c r="G621">
        <v>0</v>
      </c>
    </row>
    <row r="622" spans="1:7" x14ac:dyDescent="0.25">
      <c r="A622" s="226">
        <v>10130113</v>
      </c>
      <c r="B622" s="92">
        <v>0</v>
      </c>
      <c r="F622">
        <v>10130113</v>
      </c>
      <c r="G622">
        <v>0</v>
      </c>
    </row>
    <row r="623" spans="1:7" x14ac:dyDescent="0.25">
      <c r="A623" s="226">
        <v>10130114</v>
      </c>
      <c r="B623" s="92">
        <v>0</v>
      </c>
      <c r="F623">
        <v>10130114</v>
      </c>
      <c r="G623">
        <v>0</v>
      </c>
    </row>
    <row r="624" spans="1:7" x14ac:dyDescent="0.25">
      <c r="A624" s="226">
        <v>10130115</v>
      </c>
      <c r="B624" s="92">
        <v>0</v>
      </c>
      <c r="F624">
        <v>10130115</v>
      </c>
      <c r="G624">
        <v>0</v>
      </c>
    </row>
    <row r="625" spans="1:7" x14ac:dyDescent="0.25">
      <c r="A625" s="226">
        <v>10130116</v>
      </c>
      <c r="B625" s="92">
        <v>0</v>
      </c>
      <c r="F625">
        <v>10130116</v>
      </c>
      <c r="G625">
        <v>0</v>
      </c>
    </row>
    <row r="626" spans="1:7" x14ac:dyDescent="0.25">
      <c r="A626" s="226">
        <v>10130117</v>
      </c>
      <c r="B626" s="92">
        <v>0</v>
      </c>
      <c r="F626">
        <v>10130117</v>
      </c>
      <c r="G626">
        <v>0</v>
      </c>
    </row>
    <row r="627" spans="1:7" x14ac:dyDescent="0.25">
      <c r="A627" s="226">
        <v>10130118</v>
      </c>
      <c r="B627" s="92">
        <v>0</v>
      </c>
      <c r="F627">
        <v>10130118</v>
      </c>
      <c r="G627">
        <v>0</v>
      </c>
    </row>
    <row r="628" spans="1:7" x14ac:dyDescent="0.25">
      <c r="A628" s="226">
        <v>10130119</v>
      </c>
      <c r="B628" s="92">
        <v>0</v>
      </c>
      <c r="F628">
        <v>10130119</v>
      </c>
      <c r="G628">
        <v>0</v>
      </c>
    </row>
    <row r="629" spans="1:7" x14ac:dyDescent="0.25">
      <c r="A629" s="226">
        <v>10140001</v>
      </c>
      <c r="B629" s="92">
        <v>0</v>
      </c>
      <c r="F629">
        <v>10140001</v>
      </c>
      <c r="G629">
        <v>0</v>
      </c>
    </row>
    <row r="630" spans="1:7" x14ac:dyDescent="0.25">
      <c r="A630" s="226">
        <v>10140002</v>
      </c>
      <c r="B630" s="92">
        <v>0</v>
      </c>
      <c r="F630">
        <v>10140002</v>
      </c>
      <c r="G630">
        <v>0</v>
      </c>
    </row>
    <row r="631" spans="1:7" x14ac:dyDescent="0.25">
      <c r="A631" s="226">
        <v>10140003</v>
      </c>
      <c r="B631" s="92">
        <v>0</v>
      </c>
      <c r="F631">
        <v>10140003</v>
      </c>
      <c r="G631">
        <v>0</v>
      </c>
    </row>
    <row r="632" spans="1:7" x14ac:dyDescent="0.25">
      <c r="A632" s="226">
        <v>10140007</v>
      </c>
      <c r="B632" s="92">
        <v>0</v>
      </c>
      <c r="F632">
        <v>10140007</v>
      </c>
      <c r="G632">
        <v>0</v>
      </c>
    </row>
    <row r="633" spans="1:7" x14ac:dyDescent="0.25">
      <c r="A633" s="226">
        <v>10140008</v>
      </c>
      <c r="B633" s="92">
        <v>0</v>
      </c>
      <c r="F633">
        <v>10140008</v>
      </c>
      <c r="G633">
        <v>0</v>
      </c>
    </row>
    <row r="634" spans="1:7" x14ac:dyDescent="0.25">
      <c r="A634" s="226">
        <v>10140009</v>
      </c>
      <c r="B634" s="92">
        <v>0</v>
      </c>
      <c r="F634">
        <v>10140009</v>
      </c>
      <c r="G634">
        <v>0</v>
      </c>
    </row>
    <row r="635" spans="1:7" x14ac:dyDescent="0.25">
      <c r="A635" s="226">
        <v>10140012</v>
      </c>
      <c r="B635" s="92">
        <v>0</v>
      </c>
      <c r="F635">
        <v>10140012</v>
      </c>
      <c r="G635">
        <v>0</v>
      </c>
    </row>
    <row r="636" spans="1:7" x14ac:dyDescent="0.25">
      <c r="A636" s="226">
        <v>10140013</v>
      </c>
      <c r="B636" s="92">
        <v>0</v>
      </c>
      <c r="F636">
        <v>10140013</v>
      </c>
      <c r="G636">
        <v>0</v>
      </c>
    </row>
    <row r="637" spans="1:7" x14ac:dyDescent="0.25">
      <c r="A637" s="226">
        <v>10140018</v>
      </c>
      <c r="B637" s="92">
        <v>0</v>
      </c>
      <c r="F637">
        <v>10140018</v>
      </c>
      <c r="G637">
        <v>0</v>
      </c>
    </row>
    <row r="638" spans="1:7" x14ac:dyDescent="0.25">
      <c r="A638" s="226">
        <v>10140020</v>
      </c>
      <c r="B638" s="92">
        <v>0</v>
      </c>
      <c r="F638">
        <v>10140020</v>
      </c>
      <c r="G638">
        <v>0</v>
      </c>
    </row>
    <row r="639" spans="1:7" x14ac:dyDescent="0.25">
      <c r="A639" s="226">
        <v>10140022</v>
      </c>
      <c r="B639" s="92">
        <v>0</v>
      </c>
      <c r="F639">
        <v>10140022</v>
      </c>
      <c r="G639">
        <v>0</v>
      </c>
    </row>
    <row r="640" spans="1:7" x14ac:dyDescent="0.25">
      <c r="A640" s="226">
        <v>10140032</v>
      </c>
      <c r="B640" s="92">
        <v>1000</v>
      </c>
      <c r="F640">
        <v>10140032</v>
      </c>
      <c r="G640">
        <v>1000</v>
      </c>
    </row>
    <row r="641" spans="1:7" x14ac:dyDescent="0.25">
      <c r="A641" s="226">
        <v>10140033</v>
      </c>
      <c r="B641" s="92">
        <v>1000</v>
      </c>
      <c r="F641">
        <v>10140033</v>
      </c>
      <c r="G641">
        <v>1000</v>
      </c>
    </row>
    <row r="642" spans="1:7" x14ac:dyDescent="0.25">
      <c r="A642" s="226">
        <v>10140034</v>
      </c>
      <c r="B642" s="92">
        <v>0</v>
      </c>
      <c r="F642">
        <v>10140034</v>
      </c>
      <c r="G642">
        <v>0</v>
      </c>
    </row>
    <row r="643" spans="1:7" x14ac:dyDescent="0.25">
      <c r="A643" s="226">
        <v>10140039</v>
      </c>
      <c r="B643" s="92">
        <v>0</v>
      </c>
      <c r="F643">
        <v>10140039</v>
      </c>
      <c r="G643">
        <v>0</v>
      </c>
    </row>
    <row r="644" spans="1:7" x14ac:dyDescent="0.25">
      <c r="A644" s="226">
        <v>10140041</v>
      </c>
      <c r="B644" s="92">
        <v>0</v>
      </c>
      <c r="F644">
        <v>10140041</v>
      </c>
      <c r="G644">
        <v>0</v>
      </c>
    </row>
    <row r="645" spans="1:7" x14ac:dyDescent="0.25">
      <c r="A645" s="226">
        <v>10140043</v>
      </c>
      <c r="B645" s="92">
        <v>1000</v>
      </c>
      <c r="F645">
        <v>10140043</v>
      </c>
      <c r="G645">
        <v>1000</v>
      </c>
    </row>
    <row r="646" spans="1:7" x14ac:dyDescent="0.25">
      <c r="A646" s="226">
        <v>10140045</v>
      </c>
      <c r="B646" s="92">
        <v>0</v>
      </c>
      <c r="F646">
        <v>10140045</v>
      </c>
      <c r="G646">
        <v>0</v>
      </c>
    </row>
    <row r="647" spans="1:7" x14ac:dyDescent="0.25">
      <c r="A647" s="226">
        <v>10140047</v>
      </c>
      <c r="B647" s="92">
        <v>1000</v>
      </c>
      <c r="F647">
        <v>10140047</v>
      </c>
      <c r="G647">
        <v>1000</v>
      </c>
    </row>
    <row r="648" spans="1:7" x14ac:dyDescent="0.25">
      <c r="A648" s="226">
        <v>10140048</v>
      </c>
      <c r="B648" s="92">
        <v>1000</v>
      </c>
      <c r="F648">
        <v>10140048</v>
      </c>
      <c r="G648">
        <v>1000</v>
      </c>
    </row>
    <row r="649" spans="1:7" x14ac:dyDescent="0.25">
      <c r="A649" s="226">
        <v>10140054</v>
      </c>
      <c r="B649" s="92">
        <v>0</v>
      </c>
      <c r="F649">
        <v>10140054</v>
      </c>
      <c r="G649">
        <v>0</v>
      </c>
    </row>
    <row r="650" spans="1:7" x14ac:dyDescent="0.25">
      <c r="A650" s="226">
        <v>10140055</v>
      </c>
      <c r="B650" s="92">
        <v>0</v>
      </c>
      <c r="F650">
        <v>10140055</v>
      </c>
      <c r="G650">
        <v>0</v>
      </c>
    </row>
    <row r="651" spans="1:7" x14ac:dyDescent="0.25">
      <c r="A651" s="226">
        <v>10140066</v>
      </c>
      <c r="B651" s="92">
        <v>0</v>
      </c>
      <c r="F651">
        <v>10140066</v>
      </c>
      <c r="G651">
        <v>0</v>
      </c>
    </row>
    <row r="652" spans="1:7" x14ac:dyDescent="0.25">
      <c r="A652" s="226">
        <v>10140068</v>
      </c>
      <c r="B652" s="92">
        <v>0</v>
      </c>
      <c r="F652">
        <v>10140068</v>
      </c>
      <c r="G652">
        <v>0</v>
      </c>
    </row>
    <row r="653" spans="1:7" x14ac:dyDescent="0.25">
      <c r="A653" s="226">
        <v>10140069</v>
      </c>
      <c r="B653" s="92">
        <v>0</v>
      </c>
      <c r="F653">
        <v>10140069</v>
      </c>
      <c r="G653">
        <v>0</v>
      </c>
    </row>
    <row r="654" spans="1:7" x14ac:dyDescent="0.25">
      <c r="A654" s="226">
        <v>10140071</v>
      </c>
      <c r="B654" s="92">
        <v>0</v>
      </c>
      <c r="F654">
        <v>10140071</v>
      </c>
      <c r="G654">
        <v>0</v>
      </c>
    </row>
    <row r="655" spans="1:7" x14ac:dyDescent="0.25">
      <c r="A655" s="226">
        <v>10140083</v>
      </c>
      <c r="B655" s="92">
        <v>500</v>
      </c>
      <c r="F655">
        <v>10140083</v>
      </c>
      <c r="G655">
        <v>500</v>
      </c>
    </row>
    <row r="656" spans="1:7" x14ac:dyDescent="0.25">
      <c r="A656" s="226">
        <v>10140087</v>
      </c>
      <c r="B656" s="92">
        <v>0</v>
      </c>
      <c r="F656">
        <v>10140087</v>
      </c>
      <c r="G656">
        <v>0</v>
      </c>
    </row>
    <row r="657" spans="1:7" x14ac:dyDescent="0.25">
      <c r="A657" s="226">
        <v>10140095</v>
      </c>
      <c r="B657" s="92">
        <v>1000</v>
      </c>
      <c r="F657">
        <v>10140095</v>
      </c>
      <c r="G657">
        <v>1000</v>
      </c>
    </row>
    <row r="658" spans="1:7" x14ac:dyDescent="0.25">
      <c r="A658" s="226">
        <v>10140098</v>
      </c>
      <c r="B658" s="92">
        <v>0</v>
      </c>
      <c r="F658">
        <v>10140098</v>
      </c>
      <c r="G658">
        <v>0</v>
      </c>
    </row>
    <row r="659" spans="1:7" x14ac:dyDescent="0.25">
      <c r="A659" s="226">
        <v>10140099</v>
      </c>
      <c r="B659" s="92">
        <v>1000</v>
      </c>
      <c r="F659">
        <v>10140099</v>
      </c>
      <c r="G659">
        <v>1000</v>
      </c>
    </row>
    <row r="660" spans="1:7" x14ac:dyDescent="0.25">
      <c r="A660" s="226">
        <v>10140107</v>
      </c>
      <c r="B660" s="92">
        <v>0</v>
      </c>
      <c r="F660">
        <v>10140107</v>
      </c>
      <c r="G660">
        <v>0</v>
      </c>
    </row>
    <row r="661" spans="1:7" x14ac:dyDescent="0.25">
      <c r="A661" s="226">
        <v>10140109</v>
      </c>
      <c r="B661" s="92">
        <v>0</v>
      </c>
      <c r="F661">
        <v>10140109</v>
      </c>
      <c r="G661">
        <v>0</v>
      </c>
    </row>
    <row r="662" spans="1:7" x14ac:dyDescent="0.25">
      <c r="A662" s="226">
        <v>10140119</v>
      </c>
      <c r="B662" s="92">
        <v>0</v>
      </c>
      <c r="F662">
        <v>10140119</v>
      </c>
      <c r="G662">
        <v>0</v>
      </c>
    </row>
    <row r="663" spans="1:7" x14ac:dyDescent="0.25">
      <c r="A663" s="226">
        <v>10140120</v>
      </c>
      <c r="B663" s="92">
        <v>1000</v>
      </c>
      <c r="F663">
        <v>10140120</v>
      </c>
      <c r="G663">
        <v>1000</v>
      </c>
    </row>
    <row r="664" spans="1:7" x14ac:dyDescent="0.25">
      <c r="A664" s="226">
        <v>10140126</v>
      </c>
      <c r="B664" s="92">
        <v>0</v>
      </c>
      <c r="F664">
        <v>10140126</v>
      </c>
      <c r="G664">
        <v>0</v>
      </c>
    </row>
    <row r="665" spans="1:7" x14ac:dyDescent="0.25">
      <c r="A665" s="226">
        <v>10140129</v>
      </c>
      <c r="B665" s="92">
        <v>0</v>
      </c>
      <c r="F665">
        <v>10140129</v>
      </c>
      <c r="G665">
        <v>0</v>
      </c>
    </row>
    <row r="666" spans="1:7" x14ac:dyDescent="0.25">
      <c r="A666" s="226">
        <v>10140131</v>
      </c>
      <c r="B666" s="92">
        <v>0</v>
      </c>
      <c r="F666">
        <v>10140131</v>
      </c>
      <c r="G666">
        <v>0</v>
      </c>
    </row>
    <row r="667" spans="1:7" x14ac:dyDescent="0.25">
      <c r="A667" s="226">
        <v>10140132</v>
      </c>
      <c r="B667" s="92">
        <v>0</v>
      </c>
      <c r="F667">
        <v>10140132</v>
      </c>
      <c r="G667">
        <v>0</v>
      </c>
    </row>
    <row r="668" spans="1:7" x14ac:dyDescent="0.25">
      <c r="A668" s="226">
        <v>10140135</v>
      </c>
      <c r="B668" s="92">
        <v>0</v>
      </c>
      <c r="F668">
        <v>10140135</v>
      </c>
      <c r="G668">
        <v>0</v>
      </c>
    </row>
    <row r="669" spans="1:7" x14ac:dyDescent="0.25">
      <c r="A669" s="226">
        <v>10140137</v>
      </c>
      <c r="B669" s="92">
        <v>0</v>
      </c>
      <c r="F669">
        <v>10140137</v>
      </c>
      <c r="G669">
        <v>0</v>
      </c>
    </row>
    <row r="670" spans="1:7" x14ac:dyDescent="0.25">
      <c r="A670" s="226">
        <v>10140139</v>
      </c>
      <c r="B670" s="92">
        <v>535</v>
      </c>
      <c r="F670">
        <v>10140139</v>
      </c>
      <c r="G670">
        <v>535</v>
      </c>
    </row>
    <row r="671" spans="1:7" x14ac:dyDescent="0.25">
      <c r="A671" s="226">
        <v>10140141</v>
      </c>
      <c r="B671" s="92">
        <v>0</v>
      </c>
      <c r="F671">
        <v>10140141</v>
      </c>
      <c r="G671">
        <v>0</v>
      </c>
    </row>
    <row r="672" spans="1:7" x14ac:dyDescent="0.25">
      <c r="A672" s="226">
        <v>10140147</v>
      </c>
      <c r="B672" s="92">
        <v>0</v>
      </c>
      <c r="F672">
        <v>10140147</v>
      </c>
      <c r="G672">
        <v>0</v>
      </c>
    </row>
    <row r="673" spans="1:7" x14ac:dyDescent="0.25">
      <c r="A673" s="226">
        <v>10140148</v>
      </c>
      <c r="B673" s="92">
        <v>0</v>
      </c>
      <c r="F673">
        <v>10140148</v>
      </c>
      <c r="G673">
        <v>0</v>
      </c>
    </row>
    <row r="674" spans="1:7" x14ac:dyDescent="0.25">
      <c r="A674" s="226">
        <v>10140152</v>
      </c>
      <c r="B674" s="92">
        <v>1000</v>
      </c>
      <c r="F674">
        <v>10140152</v>
      </c>
      <c r="G674">
        <v>1000</v>
      </c>
    </row>
    <row r="675" spans="1:7" x14ac:dyDescent="0.25">
      <c r="A675" s="226">
        <v>10140153</v>
      </c>
      <c r="B675" s="92">
        <v>1000</v>
      </c>
      <c r="F675">
        <v>10140153</v>
      </c>
      <c r="G675">
        <v>1000</v>
      </c>
    </row>
    <row r="676" spans="1:7" x14ac:dyDescent="0.25">
      <c r="A676" s="226">
        <v>10140156</v>
      </c>
      <c r="B676" s="92">
        <v>0</v>
      </c>
      <c r="F676">
        <v>10140156</v>
      </c>
      <c r="G676">
        <v>0</v>
      </c>
    </row>
    <row r="677" spans="1:7" x14ac:dyDescent="0.25">
      <c r="A677" s="226">
        <v>10140157</v>
      </c>
      <c r="B677" s="92">
        <v>0</v>
      </c>
      <c r="F677">
        <v>10140157</v>
      </c>
      <c r="G677">
        <v>0</v>
      </c>
    </row>
    <row r="678" spans="1:7" x14ac:dyDescent="0.25">
      <c r="A678" s="226">
        <v>10140166</v>
      </c>
      <c r="B678" s="92">
        <v>1000</v>
      </c>
      <c r="F678">
        <v>10140166</v>
      </c>
      <c r="G678">
        <v>1000</v>
      </c>
    </row>
    <row r="679" spans="1:7" x14ac:dyDescent="0.25">
      <c r="A679" s="226">
        <v>10140167</v>
      </c>
      <c r="B679" s="92">
        <v>0</v>
      </c>
      <c r="F679">
        <v>10140167</v>
      </c>
      <c r="G679">
        <v>0</v>
      </c>
    </row>
    <row r="680" spans="1:7" x14ac:dyDescent="0.25">
      <c r="A680" s="226">
        <v>10140170</v>
      </c>
      <c r="B680" s="92">
        <v>0</v>
      </c>
      <c r="F680">
        <v>10140170</v>
      </c>
      <c r="G680">
        <v>0</v>
      </c>
    </row>
    <row r="681" spans="1:7" x14ac:dyDescent="0.25">
      <c r="A681" s="226">
        <v>10140173</v>
      </c>
      <c r="B681" s="92">
        <v>0</v>
      </c>
      <c r="F681">
        <v>10140173</v>
      </c>
      <c r="G681">
        <v>0</v>
      </c>
    </row>
    <row r="682" spans="1:7" x14ac:dyDescent="0.25">
      <c r="A682" s="226">
        <v>10140174</v>
      </c>
      <c r="B682" s="92">
        <v>1000</v>
      </c>
      <c r="F682">
        <v>10140174</v>
      </c>
      <c r="G682">
        <v>1000</v>
      </c>
    </row>
    <row r="683" spans="1:7" x14ac:dyDescent="0.25">
      <c r="A683" s="226">
        <v>10140176</v>
      </c>
      <c r="B683" s="92">
        <v>0</v>
      </c>
      <c r="F683">
        <v>10140176</v>
      </c>
      <c r="G683">
        <v>0</v>
      </c>
    </row>
    <row r="684" spans="1:7" x14ac:dyDescent="0.25">
      <c r="A684" s="226">
        <v>10140179</v>
      </c>
      <c r="B684" s="92">
        <v>0</v>
      </c>
      <c r="F684">
        <v>10140179</v>
      </c>
      <c r="G684">
        <v>0</v>
      </c>
    </row>
    <row r="685" spans="1:7" x14ac:dyDescent="0.25">
      <c r="A685" s="226">
        <v>10140180</v>
      </c>
      <c r="B685" s="92">
        <v>0</v>
      </c>
      <c r="F685">
        <v>10140180</v>
      </c>
      <c r="G685">
        <v>0</v>
      </c>
    </row>
    <row r="686" spans="1:7" x14ac:dyDescent="0.25">
      <c r="A686" s="226">
        <v>10140181</v>
      </c>
      <c r="B686" s="92">
        <v>0</v>
      </c>
      <c r="F686">
        <v>10140181</v>
      </c>
      <c r="G686">
        <v>0</v>
      </c>
    </row>
    <row r="687" spans="1:7" x14ac:dyDescent="0.25">
      <c r="A687" s="226">
        <v>10140183</v>
      </c>
      <c r="B687" s="92">
        <v>0</v>
      </c>
      <c r="F687">
        <v>10140183</v>
      </c>
      <c r="G687">
        <v>0</v>
      </c>
    </row>
    <row r="688" spans="1:7" x14ac:dyDescent="0.25">
      <c r="A688" s="226">
        <v>10140185</v>
      </c>
      <c r="B688" s="92">
        <v>0</v>
      </c>
      <c r="F688">
        <v>10140185</v>
      </c>
      <c r="G688">
        <v>0</v>
      </c>
    </row>
    <row r="689" spans="1:7" x14ac:dyDescent="0.25">
      <c r="A689" s="226">
        <v>10140193</v>
      </c>
      <c r="B689" s="92">
        <v>0</v>
      </c>
      <c r="F689">
        <v>10140193</v>
      </c>
      <c r="G689">
        <v>0</v>
      </c>
    </row>
    <row r="690" spans="1:7" x14ac:dyDescent="0.25">
      <c r="A690" s="226">
        <v>10140194</v>
      </c>
      <c r="B690" s="92">
        <v>0</v>
      </c>
      <c r="F690">
        <v>10140194</v>
      </c>
      <c r="G690">
        <v>0</v>
      </c>
    </row>
    <row r="691" spans="1:7" x14ac:dyDescent="0.25">
      <c r="A691" s="226">
        <v>10140196</v>
      </c>
      <c r="B691" s="92">
        <v>0</v>
      </c>
      <c r="F691">
        <v>10140196</v>
      </c>
      <c r="G691">
        <v>0</v>
      </c>
    </row>
    <row r="692" spans="1:7" x14ac:dyDescent="0.25">
      <c r="A692" s="226">
        <v>10140197</v>
      </c>
      <c r="B692" s="92">
        <v>0</v>
      </c>
      <c r="F692">
        <v>10140197</v>
      </c>
      <c r="G692">
        <v>0</v>
      </c>
    </row>
    <row r="693" spans="1:7" x14ac:dyDescent="0.25">
      <c r="A693" s="226">
        <v>10140198</v>
      </c>
      <c r="B693" s="92">
        <v>0</v>
      </c>
      <c r="F693">
        <v>10140198</v>
      </c>
      <c r="G693">
        <v>0</v>
      </c>
    </row>
    <row r="694" spans="1:7" x14ac:dyDescent="0.25">
      <c r="A694" s="226">
        <v>10140201</v>
      </c>
      <c r="B694" s="92">
        <v>0</v>
      </c>
      <c r="F694">
        <v>10140201</v>
      </c>
      <c r="G694">
        <v>0</v>
      </c>
    </row>
    <row r="695" spans="1:7" x14ac:dyDescent="0.25">
      <c r="A695" s="226">
        <v>10140203</v>
      </c>
      <c r="B695" s="92">
        <v>0</v>
      </c>
      <c r="F695">
        <v>10140203</v>
      </c>
      <c r="G695">
        <v>0</v>
      </c>
    </row>
    <row r="696" spans="1:7" x14ac:dyDescent="0.25">
      <c r="A696" s="226">
        <v>10140204</v>
      </c>
      <c r="B696" s="92">
        <v>0</v>
      </c>
      <c r="F696">
        <v>10140204</v>
      </c>
      <c r="G696">
        <v>0</v>
      </c>
    </row>
    <row r="697" spans="1:7" x14ac:dyDescent="0.25">
      <c r="A697" s="226">
        <v>10140205</v>
      </c>
      <c r="B697" s="92">
        <v>0</v>
      </c>
      <c r="F697">
        <v>10140205</v>
      </c>
      <c r="G697">
        <v>0</v>
      </c>
    </row>
    <row r="698" spans="1:7" x14ac:dyDescent="0.25">
      <c r="A698" s="226">
        <v>10140206</v>
      </c>
      <c r="B698" s="92">
        <v>0</v>
      </c>
      <c r="F698">
        <v>10140206</v>
      </c>
      <c r="G698">
        <v>0</v>
      </c>
    </row>
    <row r="699" spans="1:7" x14ac:dyDescent="0.25">
      <c r="A699" s="226">
        <v>10180001</v>
      </c>
      <c r="B699" s="92">
        <v>0</v>
      </c>
      <c r="F699">
        <v>10180001</v>
      </c>
      <c r="G699">
        <v>0</v>
      </c>
    </row>
    <row r="700" spans="1:7" x14ac:dyDescent="0.25">
      <c r="A700" s="226">
        <v>10220001</v>
      </c>
      <c r="B700" s="92">
        <v>0</v>
      </c>
      <c r="F700">
        <v>10220001</v>
      </c>
      <c r="G700">
        <v>0</v>
      </c>
    </row>
    <row r="701" spans="1:7" x14ac:dyDescent="0.25">
      <c r="A701" s="226">
        <v>10230001</v>
      </c>
      <c r="B701" s="92">
        <v>0</v>
      </c>
      <c r="F701">
        <v>10230001</v>
      </c>
      <c r="G701">
        <v>0</v>
      </c>
    </row>
    <row r="702" spans="1:7" x14ac:dyDescent="0.25">
      <c r="A702" s="226">
        <v>10240001</v>
      </c>
      <c r="B702" s="92">
        <v>0</v>
      </c>
      <c r="F702">
        <v>10240001</v>
      </c>
      <c r="G702">
        <v>0</v>
      </c>
    </row>
    <row r="703" spans="1:7" x14ac:dyDescent="0.25">
      <c r="A703" s="226">
        <v>10250001</v>
      </c>
      <c r="B703" s="92">
        <v>0</v>
      </c>
      <c r="F703">
        <v>10250001</v>
      </c>
      <c r="G703">
        <v>0</v>
      </c>
    </row>
    <row r="704" spans="1:7" x14ac:dyDescent="0.25">
      <c r="A704" s="226">
        <v>10260001</v>
      </c>
      <c r="B704" s="92">
        <v>0</v>
      </c>
      <c r="F704">
        <v>10260001</v>
      </c>
      <c r="G704">
        <v>0</v>
      </c>
    </row>
    <row r="705" spans="1:7" x14ac:dyDescent="0.25">
      <c r="A705" s="226">
        <v>10290001</v>
      </c>
      <c r="B705" s="92">
        <v>0</v>
      </c>
      <c r="F705">
        <v>10290001</v>
      </c>
      <c r="G705">
        <v>0</v>
      </c>
    </row>
    <row r="706" spans="1:7" x14ac:dyDescent="0.25">
      <c r="A706" s="226">
        <v>10300001</v>
      </c>
      <c r="B706" s="92">
        <v>0</v>
      </c>
      <c r="F706">
        <v>10300001</v>
      </c>
      <c r="G706">
        <v>0</v>
      </c>
    </row>
    <row r="707" spans="1:7" x14ac:dyDescent="0.25">
      <c r="A707" s="226">
        <v>10310001</v>
      </c>
      <c r="B707" s="92">
        <v>0</v>
      </c>
      <c r="F707">
        <v>10310001</v>
      </c>
      <c r="G707">
        <v>0</v>
      </c>
    </row>
    <row r="708" spans="1:7" x14ac:dyDescent="0.25">
      <c r="A708" s="226">
        <v>10320001</v>
      </c>
      <c r="B708" s="92">
        <v>0</v>
      </c>
      <c r="F708">
        <v>10320001</v>
      </c>
      <c r="G708">
        <v>0</v>
      </c>
    </row>
    <row r="709" spans="1:7" x14ac:dyDescent="0.25">
      <c r="A709" s="226">
        <v>10330001</v>
      </c>
      <c r="B709" s="92">
        <v>0</v>
      </c>
      <c r="F709">
        <v>10330001</v>
      </c>
      <c r="G709">
        <v>0</v>
      </c>
    </row>
    <row r="710" spans="1:7" x14ac:dyDescent="0.25">
      <c r="A710" s="226">
        <v>10340001</v>
      </c>
      <c r="B710" s="92">
        <v>0</v>
      </c>
      <c r="F710">
        <v>10340001</v>
      </c>
      <c r="G710">
        <v>0</v>
      </c>
    </row>
    <row r="711" spans="1:7" x14ac:dyDescent="0.25">
      <c r="A711" s="226">
        <v>10350001</v>
      </c>
      <c r="B711" s="92">
        <v>0</v>
      </c>
      <c r="F711">
        <v>10350001</v>
      </c>
      <c r="G711">
        <v>0</v>
      </c>
    </row>
    <row r="712" spans="1:7" x14ac:dyDescent="0.25">
      <c r="A712" s="226">
        <v>10360001</v>
      </c>
      <c r="B712" s="92">
        <v>0</v>
      </c>
      <c r="F712">
        <v>10360001</v>
      </c>
      <c r="G712">
        <v>0</v>
      </c>
    </row>
    <row r="713" spans="1:7" x14ac:dyDescent="0.25">
      <c r="A713" s="226">
        <v>10370001</v>
      </c>
      <c r="B713" s="92">
        <v>0</v>
      </c>
      <c r="F713">
        <v>10370001</v>
      </c>
      <c r="G713">
        <v>0</v>
      </c>
    </row>
    <row r="714" spans="1:7" x14ac:dyDescent="0.25">
      <c r="A714" s="226">
        <v>10380001</v>
      </c>
      <c r="B714" s="92">
        <v>0</v>
      </c>
      <c r="F714">
        <v>10380001</v>
      </c>
      <c r="G714">
        <v>0</v>
      </c>
    </row>
    <row r="715" spans="1:7" x14ac:dyDescent="0.25">
      <c r="A715" s="226">
        <v>10390001</v>
      </c>
      <c r="B715" s="92">
        <v>0</v>
      </c>
      <c r="F715">
        <v>10390001</v>
      </c>
      <c r="G715">
        <v>0</v>
      </c>
    </row>
    <row r="716" spans="1:7" x14ac:dyDescent="0.25">
      <c r="A716" s="226">
        <v>10400001</v>
      </c>
      <c r="B716" s="92">
        <v>0</v>
      </c>
      <c r="F716">
        <v>10400001</v>
      </c>
      <c r="G716">
        <v>0</v>
      </c>
    </row>
    <row r="717" spans="1:7" x14ac:dyDescent="0.25">
      <c r="A717" s="226">
        <v>10410001</v>
      </c>
      <c r="B717" s="92">
        <v>0</v>
      </c>
      <c r="F717">
        <v>10410001</v>
      </c>
      <c r="G717">
        <v>0</v>
      </c>
    </row>
    <row r="718" spans="1:7" x14ac:dyDescent="0.25">
      <c r="A718" s="226">
        <v>10430001</v>
      </c>
      <c r="B718" s="92">
        <v>0</v>
      </c>
      <c r="F718">
        <v>10430001</v>
      </c>
      <c r="G718">
        <v>0</v>
      </c>
    </row>
    <row r="719" spans="1:7" x14ac:dyDescent="0.25">
      <c r="A719" s="226">
        <v>10440001</v>
      </c>
      <c r="B719" s="92">
        <v>0</v>
      </c>
      <c r="F719">
        <v>10440001</v>
      </c>
      <c r="G719">
        <v>0</v>
      </c>
    </row>
    <row r="720" spans="1:7" x14ac:dyDescent="0.25">
      <c r="A720" s="226">
        <v>10460001</v>
      </c>
      <c r="B720" s="92">
        <v>0</v>
      </c>
      <c r="F720">
        <v>10460001</v>
      </c>
      <c r="G720">
        <v>0</v>
      </c>
    </row>
    <row r="721" spans="1:7" x14ac:dyDescent="0.25">
      <c r="A721" s="226">
        <v>10460002</v>
      </c>
      <c r="B721" s="92">
        <v>0</v>
      </c>
      <c r="F721">
        <v>10460002</v>
      </c>
      <c r="G721">
        <v>0</v>
      </c>
    </row>
    <row r="722" spans="1:7" x14ac:dyDescent="0.25">
      <c r="A722" s="226">
        <v>10480001</v>
      </c>
      <c r="B722" s="92">
        <v>0</v>
      </c>
      <c r="F722">
        <v>10480001</v>
      </c>
      <c r="G722">
        <v>0</v>
      </c>
    </row>
    <row r="723" spans="1:7" x14ac:dyDescent="0.25">
      <c r="A723" s="226">
        <v>10480002</v>
      </c>
      <c r="B723" s="92">
        <v>0</v>
      </c>
      <c r="F723">
        <v>10480002</v>
      </c>
      <c r="G723">
        <v>0</v>
      </c>
    </row>
    <row r="724" spans="1:7" x14ac:dyDescent="0.25">
      <c r="A724" s="226">
        <v>10480003</v>
      </c>
      <c r="B724" s="92">
        <v>0</v>
      </c>
      <c r="F724">
        <v>10480003</v>
      </c>
      <c r="G724">
        <v>0</v>
      </c>
    </row>
    <row r="725" spans="1:7" x14ac:dyDescent="0.25">
      <c r="A725" s="226">
        <v>10480005</v>
      </c>
      <c r="B725" s="92">
        <v>716</v>
      </c>
      <c r="F725">
        <v>10480005</v>
      </c>
      <c r="G725">
        <v>716</v>
      </c>
    </row>
    <row r="726" spans="1:7" x14ac:dyDescent="0.25">
      <c r="A726" s="226">
        <v>10480008</v>
      </c>
      <c r="B726" s="92">
        <v>0</v>
      </c>
      <c r="F726">
        <v>10480008</v>
      </c>
      <c r="G726">
        <v>0</v>
      </c>
    </row>
    <row r="727" spans="1:7" x14ac:dyDescent="0.25">
      <c r="A727" s="226">
        <v>10480012</v>
      </c>
      <c r="B727" s="92">
        <v>0</v>
      </c>
      <c r="F727">
        <v>10480012</v>
      </c>
      <c r="G727">
        <v>0</v>
      </c>
    </row>
    <row r="728" spans="1:7" x14ac:dyDescent="0.25">
      <c r="A728" s="226">
        <v>10480016</v>
      </c>
      <c r="B728" s="92">
        <v>1000</v>
      </c>
      <c r="F728">
        <v>10480016</v>
      </c>
      <c r="G728">
        <v>1000</v>
      </c>
    </row>
    <row r="729" spans="1:7" x14ac:dyDescent="0.25">
      <c r="A729" s="226">
        <v>10480022</v>
      </c>
      <c r="B729" s="92">
        <v>1000</v>
      </c>
      <c r="F729">
        <v>10480022</v>
      </c>
      <c r="G729">
        <v>1000</v>
      </c>
    </row>
    <row r="730" spans="1:7" x14ac:dyDescent="0.25">
      <c r="A730" s="226">
        <v>10480023</v>
      </c>
      <c r="B730" s="92">
        <v>0</v>
      </c>
      <c r="F730">
        <v>10480023</v>
      </c>
      <c r="G730">
        <v>0</v>
      </c>
    </row>
    <row r="731" spans="1:7" x14ac:dyDescent="0.25">
      <c r="A731" s="226">
        <v>10480028</v>
      </c>
      <c r="B731" s="92">
        <v>0</v>
      </c>
      <c r="F731">
        <v>10480028</v>
      </c>
      <c r="G731">
        <v>0</v>
      </c>
    </row>
    <row r="732" spans="1:7" x14ac:dyDescent="0.25">
      <c r="A732" s="226">
        <v>10480033</v>
      </c>
      <c r="B732" s="92">
        <v>0</v>
      </c>
      <c r="F732">
        <v>10480033</v>
      </c>
      <c r="G732">
        <v>0</v>
      </c>
    </row>
    <row r="733" spans="1:7" x14ac:dyDescent="0.25">
      <c r="A733" s="226">
        <v>10480034</v>
      </c>
      <c r="B733" s="92">
        <v>0</v>
      </c>
      <c r="F733">
        <v>10480034</v>
      </c>
      <c r="G733">
        <v>0</v>
      </c>
    </row>
    <row r="734" spans="1:7" x14ac:dyDescent="0.25">
      <c r="A734" s="226">
        <v>10480036</v>
      </c>
      <c r="B734" s="92">
        <v>0</v>
      </c>
      <c r="F734">
        <v>10480036</v>
      </c>
      <c r="G734">
        <v>0</v>
      </c>
    </row>
    <row r="735" spans="1:7" x14ac:dyDescent="0.25">
      <c r="A735" s="226">
        <v>10500001</v>
      </c>
      <c r="B735" s="92">
        <v>0</v>
      </c>
      <c r="F735">
        <v>10500001</v>
      </c>
      <c r="G735">
        <v>0</v>
      </c>
    </row>
    <row r="736" spans="1:7" x14ac:dyDescent="0.25">
      <c r="A736" s="226">
        <v>10510001</v>
      </c>
      <c r="B736" s="92">
        <v>0</v>
      </c>
      <c r="F736">
        <v>10510001</v>
      </c>
      <c r="G736">
        <v>0</v>
      </c>
    </row>
    <row r="737" spans="1:7" x14ac:dyDescent="0.25">
      <c r="A737" s="226">
        <v>10510002</v>
      </c>
      <c r="B737" s="92">
        <v>0</v>
      </c>
      <c r="F737">
        <v>10510002</v>
      </c>
      <c r="G737">
        <v>0</v>
      </c>
    </row>
    <row r="738" spans="1:7" x14ac:dyDescent="0.25">
      <c r="A738" s="226">
        <v>10510004</v>
      </c>
      <c r="B738" s="92">
        <v>0</v>
      </c>
      <c r="F738">
        <v>10510004</v>
      </c>
      <c r="G738">
        <v>0</v>
      </c>
    </row>
    <row r="739" spans="1:7" x14ac:dyDescent="0.25">
      <c r="A739" s="226">
        <v>10520006</v>
      </c>
      <c r="B739" s="92">
        <v>0</v>
      </c>
      <c r="F739">
        <v>10520006</v>
      </c>
      <c r="G739">
        <v>0</v>
      </c>
    </row>
    <row r="740" spans="1:7" x14ac:dyDescent="0.25">
      <c r="A740" s="226">
        <v>10520010</v>
      </c>
      <c r="B740" s="92">
        <v>0</v>
      </c>
      <c r="F740">
        <v>10520010</v>
      </c>
      <c r="G740">
        <v>0</v>
      </c>
    </row>
    <row r="741" spans="1:7" x14ac:dyDescent="0.25">
      <c r="A741" s="226">
        <v>10520011</v>
      </c>
      <c r="B741" s="92">
        <v>0</v>
      </c>
      <c r="F741">
        <v>10520011</v>
      </c>
      <c r="G741">
        <v>0</v>
      </c>
    </row>
    <row r="742" spans="1:7" x14ac:dyDescent="0.25">
      <c r="A742" s="226">
        <v>10530001</v>
      </c>
      <c r="B742" s="92">
        <v>0</v>
      </c>
      <c r="F742">
        <v>10530001</v>
      </c>
      <c r="G742">
        <v>0</v>
      </c>
    </row>
    <row r="743" spans="1:7" x14ac:dyDescent="0.25">
      <c r="A743" s="226">
        <v>10530002</v>
      </c>
      <c r="B743" s="92">
        <v>0</v>
      </c>
      <c r="F743">
        <v>10530002</v>
      </c>
      <c r="G743">
        <v>0</v>
      </c>
    </row>
    <row r="744" spans="1:7" x14ac:dyDescent="0.25">
      <c r="A744" s="226">
        <v>10530003</v>
      </c>
      <c r="B744" s="92">
        <v>0</v>
      </c>
      <c r="F744">
        <v>10530003</v>
      </c>
      <c r="G744">
        <v>0</v>
      </c>
    </row>
    <row r="745" spans="1:7" x14ac:dyDescent="0.25">
      <c r="A745" s="226">
        <v>10530005</v>
      </c>
      <c r="B745" s="92">
        <v>0</v>
      </c>
      <c r="F745">
        <v>10530005</v>
      </c>
      <c r="G745">
        <v>0</v>
      </c>
    </row>
    <row r="746" spans="1:7" x14ac:dyDescent="0.25">
      <c r="A746" s="226">
        <v>10530006</v>
      </c>
      <c r="B746" s="92">
        <v>0</v>
      </c>
      <c r="F746">
        <v>10530006</v>
      </c>
      <c r="G746">
        <v>0</v>
      </c>
    </row>
    <row r="747" spans="1:7" x14ac:dyDescent="0.25">
      <c r="A747" s="226">
        <v>10530007</v>
      </c>
      <c r="B747" s="92">
        <v>0</v>
      </c>
      <c r="F747">
        <v>10530007</v>
      </c>
      <c r="G747">
        <v>0</v>
      </c>
    </row>
    <row r="748" spans="1:7" x14ac:dyDescent="0.25">
      <c r="A748" s="226">
        <v>10530008</v>
      </c>
      <c r="B748" s="92">
        <v>0</v>
      </c>
      <c r="F748">
        <v>10530008</v>
      </c>
      <c r="G748">
        <v>0</v>
      </c>
    </row>
    <row r="749" spans="1:7" x14ac:dyDescent="0.25">
      <c r="A749" s="226">
        <v>10530009</v>
      </c>
      <c r="B749" s="92">
        <v>0</v>
      </c>
      <c r="F749">
        <v>10530009</v>
      </c>
      <c r="G749">
        <v>0</v>
      </c>
    </row>
    <row r="750" spans="1:7" x14ac:dyDescent="0.25">
      <c r="A750" s="226">
        <v>10530010</v>
      </c>
      <c r="B750" s="92">
        <v>0</v>
      </c>
      <c r="F750">
        <v>10530010</v>
      </c>
      <c r="G750">
        <v>0</v>
      </c>
    </row>
    <row r="751" spans="1:7" x14ac:dyDescent="0.25">
      <c r="A751" s="226">
        <v>10530011</v>
      </c>
      <c r="B751" s="92">
        <v>0</v>
      </c>
      <c r="F751">
        <v>10530011</v>
      </c>
      <c r="G751">
        <v>0</v>
      </c>
    </row>
    <row r="752" spans="1:7" x14ac:dyDescent="0.25">
      <c r="A752" s="226">
        <v>10530012</v>
      </c>
      <c r="B752" s="92">
        <v>0</v>
      </c>
      <c r="F752">
        <v>10530012</v>
      </c>
      <c r="G752">
        <v>0</v>
      </c>
    </row>
    <row r="753" spans="1:7" x14ac:dyDescent="0.25">
      <c r="A753" s="226">
        <v>10530013</v>
      </c>
      <c r="B753" s="92">
        <v>0</v>
      </c>
      <c r="F753">
        <v>10530013</v>
      </c>
      <c r="G753">
        <v>0</v>
      </c>
    </row>
    <row r="754" spans="1:7" x14ac:dyDescent="0.25">
      <c r="A754" s="226">
        <v>10530014</v>
      </c>
      <c r="B754" s="92">
        <v>0</v>
      </c>
      <c r="F754">
        <v>10530014</v>
      </c>
      <c r="G754">
        <v>0</v>
      </c>
    </row>
    <row r="755" spans="1:7" x14ac:dyDescent="0.25">
      <c r="A755" s="226">
        <v>10530015</v>
      </c>
      <c r="B755" s="92">
        <v>0</v>
      </c>
      <c r="F755">
        <v>10530015</v>
      </c>
      <c r="G755">
        <v>0</v>
      </c>
    </row>
    <row r="756" spans="1:7" x14ac:dyDescent="0.25">
      <c r="A756" s="226">
        <v>10530016</v>
      </c>
      <c r="B756" s="92">
        <v>0</v>
      </c>
      <c r="F756">
        <v>10530016</v>
      </c>
      <c r="G756">
        <v>0</v>
      </c>
    </row>
    <row r="757" spans="1:7" x14ac:dyDescent="0.25">
      <c r="A757" s="226">
        <v>10530017</v>
      </c>
      <c r="B757" s="92">
        <v>0</v>
      </c>
      <c r="F757">
        <v>10530017</v>
      </c>
      <c r="G757">
        <v>0</v>
      </c>
    </row>
    <row r="758" spans="1:7" x14ac:dyDescent="0.25">
      <c r="A758" s="226">
        <v>10530018</v>
      </c>
      <c r="B758" s="92">
        <v>0</v>
      </c>
      <c r="F758">
        <v>10530018</v>
      </c>
      <c r="G758">
        <v>0</v>
      </c>
    </row>
    <row r="759" spans="1:7" x14ac:dyDescent="0.25">
      <c r="A759" s="226">
        <v>10530019</v>
      </c>
      <c r="B759" s="92">
        <v>0</v>
      </c>
      <c r="F759">
        <v>10530019</v>
      </c>
      <c r="G759">
        <v>0</v>
      </c>
    </row>
    <row r="760" spans="1:7" x14ac:dyDescent="0.25">
      <c r="A760" s="226">
        <v>10530021</v>
      </c>
      <c r="B760" s="92">
        <v>0</v>
      </c>
      <c r="F760">
        <v>10530021</v>
      </c>
      <c r="G760">
        <v>0</v>
      </c>
    </row>
    <row r="761" spans="1:7" x14ac:dyDescent="0.25">
      <c r="A761" s="226">
        <v>10530025</v>
      </c>
      <c r="B761" s="92">
        <v>0</v>
      </c>
      <c r="F761">
        <v>10530025</v>
      </c>
      <c r="G761">
        <v>0</v>
      </c>
    </row>
    <row r="762" spans="1:7" x14ac:dyDescent="0.25">
      <c r="A762" s="226">
        <v>10530026</v>
      </c>
      <c r="B762" s="92">
        <v>0</v>
      </c>
      <c r="F762">
        <v>10530026</v>
      </c>
      <c r="G762">
        <v>0</v>
      </c>
    </row>
    <row r="763" spans="1:7" x14ac:dyDescent="0.25">
      <c r="A763" s="226">
        <v>10530027</v>
      </c>
      <c r="B763" s="92">
        <v>730</v>
      </c>
      <c r="F763">
        <v>10530027</v>
      </c>
      <c r="G763">
        <v>730</v>
      </c>
    </row>
    <row r="764" spans="1:7" x14ac:dyDescent="0.25">
      <c r="A764" s="226">
        <v>10530029</v>
      </c>
      <c r="B764" s="92">
        <v>0</v>
      </c>
      <c r="F764">
        <v>10530029</v>
      </c>
      <c r="G764">
        <v>0</v>
      </c>
    </row>
    <row r="765" spans="1:7" x14ac:dyDescent="0.25">
      <c r="A765" s="226">
        <v>10530030</v>
      </c>
      <c r="B765" s="92">
        <v>0</v>
      </c>
      <c r="F765">
        <v>10530030</v>
      </c>
      <c r="G765">
        <v>0</v>
      </c>
    </row>
    <row r="766" spans="1:7" x14ac:dyDescent="0.25">
      <c r="A766" s="226">
        <v>10530031</v>
      </c>
      <c r="B766" s="92">
        <v>0</v>
      </c>
      <c r="F766">
        <v>10530031</v>
      </c>
      <c r="G766">
        <v>0</v>
      </c>
    </row>
    <row r="767" spans="1:7" x14ac:dyDescent="0.25">
      <c r="A767" s="226">
        <v>10530032</v>
      </c>
      <c r="B767" s="92">
        <v>0</v>
      </c>
      <c r="F767">
        <v>10530032</v>
      </c>
      <c r="G767">
        <v>0</v>
      </c>
    </row>
    <row r="768" spans="1:7" x14ac:dyDescent="0.25">
      <c r="A768" s="226">
        <v>10530033</v>
      </c>
      <c r="B768" s="92">
        <v>0</v>
      </c>
      <c r="F768">
        <v>10530033</v>
      </c>
      <c r="G768">
        <v>0</v>
      </c>
    </row>
    <row r="769" spans="1:7" x14ac:dyDescent="0.25">
      <c r="A769" s="226">
        <v>10530034</v>
      </c>
      <c r="B769" s="92">
        <v>0</v>
      </c>
      <c r="F769">
        <v>10530034</v>
      </c>
      <c r="G769">
        <v>0</v>
      </c>
    </row>
    <row r="770" spans="1:7" x14ac:dyDescent="0.25">
      <c r="A770" s="226">
        <v>10530035</v>
      </c>
      <c r="B770" s="92">
        <v>0</v>
      </c>
      <c r="F770">
        <v>10530035</v>
      </c>
      <c r="G770">
        <v>0</v>
      </c>
    </row>
    <row r="771" spans="1:7" x14ac:dyDescent="0.25">
      <c r="A771" s="226">
        <v>10530038</v>
      </c>
      <c r="B771" s="92">
        <v>0</v>
      </c>
      <c r="F771">
        <v>10530038</v>
      </c>
      <c r="G771">
        <v>0</v>
      </c>
    </row>
    <row r="772" spans="1:7" x14ac:dyDescent="0.25">
      <c r="A772" s="226">
        <v>10530040</v>
      </c>
      <c r="B772" s="92">
        <v>0</v>
      </c>
      <c r="F772">
        <v>10530040</v>
      </c>
      <c r="G772">
        <v>0</v>
      </c>
    </row>
    <row r="773" spans="1:7" x14ac:dyDescent="0.25">
      <c r="A773" s="226">
        <v>10530041</v>
      </c>
      <c r="B773" s="92">
        <v>0</v>
      </c>
      <c r="F773">
        <v>10530041</v>
      </c>
      <c r="G773">
        <v>0</v>
      </c>
    </row>
    <row r="774" spans="1:7" x14ac:dyDescent="0.25">
      <c r="A774" s="226">
        <v>10530042</v>
      </c>
      <c r="B774" s="92">
        <v>0</v>
      </c>
      <c r="F774">
        <v>10530042</v>
      </c>
      <c r="G774">
        <v>0</v>
      </c>
    </row>
    <row r="775" spans="1:7" x14ac:dyDescent="0.25">
      <c r="A775" s="226">
        <v>10530044</v>
      </c>
      <c r="B775" s="92">
        <v>0</v>
      </c>
      <c r="F775">
        <v>10530044</v>
      </c>
      <c r="G775">
        <v>0</v>
      </c>
    </row>
    <row r="776" spans="1:7" x14ac:dyDescent="0.25">
      <c r="A776" s="226">
        <v>10530046</v>
      </c>
      <c r="B776" s="92">
        <v>0</v>
      </c>
      <c r="F776">
        <v>10530046</v>
      </c>
      <c r="G776">
        <v>0</v>
      </c>
    </row>
    <row r="777" spans="1:7" x14ac:dyDescent="0.25">
      <c r="A777" s="226">
        <v>10530047</v>
      </c>
      <c r="B777" s="92">
        <v>0</v>
      </c>
      <c r="F777">
        <v>10530047</v>
      </c>
      <c r="G777">
        <v>0</v>
      </c>
    </row>
    <row r="778" spans="1:7" x14ac:dyDescent="0.25">
      <c r="A778" s="226">
        <v>10530048</v>
      </c>
      <c r="B778" s="92">
        <v>0</v>
      </c>
      <c r="F778">
        <v>10530048</v>
      </c>
      <c r="G778">
        <v>0</v>
      </c>
    </row>
    <row r="779" spans="1:7" x14ac:dyDescent="0.25">
      <c r="A779" s="226">
        <v>10530049</v>
      </c>
      <c r="B779" s="92">
        <v>0</v>
      </c>
      <c r="F779">
        <v>10530049</v>
      </c>
      <c r="G779">
        <v>0</v>
      </c>
    </row>
    <row r="780" spans="1:7" x14ac:dyDescent="0.25">
      <c r="A780" s="226">
        <v>10530050</v>
      </c>
      <c r="B780" s="92">
        <v>0</v>
      </c>
      <c r="F780">
        <v>10530050</v>
      </c>
      <c r="G780">
        <v>0</v>
      </c>
    </row>
    <row r="781" spans="1:7" x14ac:dyDescent="0.25">
      <c r="A781" s="226">
        <v>10530052</v>
      </c>
      <c r="B781" s="92">
        <v>0</v>
      </c>
      <c r="F781">
        <v>10530052</v>
      </c>
      <c r="G781">
        <v>0</v>
      </c>
    </row>
    <row r="782" spans="1:7" x14ac:dyDescent="0.25">
      <c r="A782" s="226">
        <v>10530053</v>
      </c>
      <c r="B782" s="92">
        <v>0</v>
      </c>
      <c r="F782">
        <v>10530053</v>
      </c>
      <c r="G782">
        <v>0</v>
      </c>
    </row>
    <row r="783" spans="1:7" x14ac:dyDescent="0.25">
      <c r="A783" s="226">
        <v>10530054</v>
      </c>
      <c r="B783" s="92">
        <v>0</v>
      </c>
      <c r="F783">
        <v>10530054</v>
      </c>
      <c r="G783">
        <v>0</v>
      </c>
    </row>
    <row r="784" spans="1:7" x14ac:dyDescent="0.25">
      <c r="A784" s="226">
        <v>10530055</v>
      </c>
      <c r="B784" s="92">
        <v>0</v>
      </c>
      <c r="F784">
        <v>10530055</v>
      </c>
      <c r="G784">
        <v>0</v>
      </c>
    </row>
    <row r="785" spans="1:7" x14ac:dyDescent="0.25">
      <c r="A785" s="226">
        <v>10530056</v>
      </c>
      <c r="B785" s="92">
        <v>0</v>
      </c>
      <c r="F785">
        <v>10530056</v>
      </c>
      <c r="G785">
        <v>0</v>
      </c>
    </row>
    <row r="786" spans="1:7" x14ac:dyDescent="0.25">
      <c r="A786" s="226">
        <v>10530057</v>
      </c>
      <c r="B786" s="92">
        <v>0</v>
      </c>
      <c r="F786">
        <v>10530057</v>
      </c>
      <c r="G786">
        <v>0</v>
      </c>
    </row>
    <row r="787" spans="1:7" x14ac:dyDescent="0.25">
      <c r="A787" s="226">
        <v>10530058</v>
      </c>
      <c r="B787" s="92">
        <v>653</v>
      </c>
      <c r="F787">
        <v>10530058</v>
      </c>
      <c r="G787">
        <v>653</v>
      </c>
    </row>
    <row r="788" spans="1:7" x14ac:dyDescent="0.25">
      <c r="A788" s="226">
        <v>10530059</v>
      </c>
      <c r="B788" s="92">
        <v>0</v>
      </c>
      <c r="F788">
        <v>10530059</v>
      </c>
      <c r="G788">
        <v>0</v>
      </c>
    </row>
    <row r="789" spans="1:7" x14ac:dyDescent="0.25">
      <c r="A789" s="226">
        <v>10530060</v>
      </c>
      <c r="B789" s="92">
        <v>0</v>
      </c>
      <c r="F789">
        <v>10530060</v>
      </c>
      <c r="G789">
        <v>0</v>
      </c>
    </row>
    <row r="790" spans="1:7" x14ac:dyDescent="0.25">
      <c r="A790" s="226">
        <v>10530062</v>
      </c>
      <c r="B790" s="92">
        <v>0</v>
      </c>
      <c r="F790">
        <v>10530062</v>
      </c>
      <c r="G790">
        <v>0</v>
      </c>
    </row>
    <row r="791" spans="1:7" x14ac:dyDescent="0.25">
      <c r="A791" s="226">
        <v>10530063</v>
      </c>
      <c r="B791" s="92">
        <v>0</v>
      </c>
      <c r="F791">
        <v>10530063</v>
      </c>
      <c r="G791">
        <v>0</v>
      </c>
    </row>
    <row r="792" spans="1:7" x14ac:dyDescent="0.25">
      <c r="A792" s="226">
        <v>10530064</v>
      </c>
      <c r="B792" s="92">
        <v>0</v>
      </c>
      <c r="F792">
        <v>10530064</v>
      </c>
      <c r="G792">
        <v>0</v>
      </c>
    </row>
    <row r="793" spans="1:7" x14ac:dyDescent="0.25">
      <c r="A793" s="226">
        <v>10530065</v>
      </c>
      <c r="B793" s="92">
        <v>0</v>
      </c>
      <c r="F793">
        <v>10530065</v>
      </c>
      <c r="G793">
        <v>0</v>
      </c>
    </row>
    <row r="794" spans="1:7" x14ac:dyDescent="0.25">
      <c r="A794" s="226">
        <v>10530067</v>
      </c>
      <c r="B794" s="92">
        <v>0</v>
      </c>
      <c r="F794">
        <v>10530067</v>
      </c>
      <c r="G794">
        <v>0</v>
      </c>
    </row>
    <row r="795" spans="1:7" x14ac:dyDescent="0.25">
      <c r="A795" s="226">
        <v>10530068</v>
      </c>
      <c r="B795" s="92">
        <v>0</v>
      </c>
      <c r="F795">
        <v>10530068</v>
      </c>
      <c r="G795">
        <v>0</v>
      </c>
    </row>
    <row r="796" spans="1:7" x14ac:dyDescent="0.25">
      <c r="A796" s="226">
        <v>10530069</v>
      </c>
      <c r="B796" s="92">
        <v>0</v>
      </c>
      <c r="F796">
        <v>10530069</v>
      </c>
      <c r="G796">
        <v>0</v>
      </c>
    </row>
    <row r="797" spans="1:7" x14ac:dyDescent="0.25">
      <c r="A797" s="226">
        <v>10530070</v>
      </c>
      <c r="B797" s="92">
        <v>0</v>
      </c>
      <c r="F797">
        <v>10530070</v>
      </c>
      <c r="G797">
        <v>0</v>
      </c>
    </row>
    <row r="798" spans="1:7" x14ac:dyDescent="0.25">
      <c r="A798" s="226">
        <v>10530071</v>
      </c>
      <c r="B798" s="92">
        <v>0</v>
      </c>
      <c r="F798">
        <v>10530071</v>
      </c>
      <c r="G798">
        <v>0</v>
      </c>
    </row>
    <row r="799" spans="1:7" x14ac:dyDescent="0.25">
      <c r="A799" s="226">
        <v>10530072</v>
      </c>
      <c r="B799" s="92">
        <v>0</v>
      </c>
      <c r="F799">
        <v>10530072</v>
      </c>
      <c r="G799">
        <v>0</v>
      </c>
    </row>
    <row r="800" spans="1:7" x14ac:dyDescent="0.25">
      <c r="A800" s="226">
        <v>10530073</v>
      </c>
      <c r="B800" s="92">
        <v>0</v>
      </c>
      <c r="F800">
        <v>10530073</v>
      </c>
      <c r="G800">
        <v>0</v>
      </c>
    </row>
    <row r="801" spans="1:7" x14ac:dyDescent="0.25">
      <c r="A801" s="226">
        <v>10530074</v>
      </c>
      <c r="B801" s="92">
        <v>0</v>
      </c>
      <c r="F801">
        <v>10530074</v>
      </c>
      <c r="G801">
        <v>0</v>
      </c>
    </row>
    <row r="802" spans="1:7" x14ac:dyDescent="0.25">
      <c r="A802" s="226">
        <v>10530075</v>
      </c>
      <c r="B802" s="92">
        <v>0</v>
      </c>
      <c r="F802">
        <v>10530075</v>
      </c>
      <c r="G802">
        <v>0</v>
      </c>
    </row>
    <row r="803" spans="1:7" x14ac:dyDescent="0.25">
      <c r="A803" s="226">
        <v>10530076</v>
      </c>
      <c r="B803" s="92">
        <v>0</v>
      </c>
      <c r="F803">
        <v>10530076</v>
      </c>
      <c r="G803">
        <v>0</v>
      </c>
    </row>
    <row r="804" spans="1:7" x14ac:dyDescent="0.25">
      <c r="A804" s="226">
        <v>10530077</v>
      </c>
      <c r="B804" s="92">
        <v>0</v>
      </c>
      <c r="F804">
        <v>10530077</v>
      </c>
      <c r="G804">
        <v>0</v>
      </c>
    </row>
    <row r="805" spans="1:7" x14ac:dyDescent="0.25">
      <c r="A805" s="226">
        <v>10530078</v>
      </c>
      <c r="B805" s="92">
        <v>0</v>
      </c>
      <c r="F805">
        <v>10530078</v>
      </c>
      <c r="G805">
        <v>0</v>
      </c>
    </row>
    <row r="806" spans="1:7" x14ac:dyDescent="0.25">
      <c r="A806" s="226">
        <v>10530079</v>
      </c>
      <c r="B806" s="92">
        <v>0</v>
      </c>
      <c r="F806">
        <v>10530079</v>
      </c>
      <c r="G806">
        <v>0</v>
      </c>
    </row>
    <row r="807" spans="1:7" x14ac:dyDescent="0.25">
      <c r="A807" s="226">
        <v>10530080</v>
      </c>
      <c r="B807" s="92">
        <v>0</v>
      </c>
      <c r="F807">
        <v>10530080</v>
      </c>
      <c r="G807">
        <v>0</v>
      </c>
    </row>
    <row r="808" spans="1:7" x14ac:dyDescent="0.25">
      <c r="A808" s="226">
        <v>10530081</v>
      </c>
      <c r="B808" s="92">
        <v>0</v>
      </c>
      <c r="F808">
        <v>10530081</v>
      </c>
      <c r="G808">
        <v>0</v>
      </c>
    </row>
    <row r="809" spans="1:7" x14ac:dyDescent="0.25">
      <c r="A809" s="226">
        <v>10530082</v>
      </c>
      <c r="B809" s="92">
        <v>0</v>
      </c>
      <c r="F809">
        <v>10530082</v>
      </c>
      <c r="G809">
        <v>0</v>
      </c>
    </row>
    <row r="810" spans="1:7" x14ac:dyDescent="0.25">
      <c r="A810" s="226">
        <v>10530084</v>
      </c>
      <c r="B810" s="92">
        <v>0</v>
      </c>
      <c r="F810">
        <v>10530084</v>
      </c>
      <c r="G810">
        <v>0</v>
      </c>
    </row>
    <row r="811" spans="1:7" x14ac:dyDescent="0.25">
      <c r="A811" s="226">
        <v>10530085</v>
      </c>
      <c r="B811" s="92">
        <v>0</v>
      </c>
      <c r="F811">
        <v>10530085</v>
      </c>
      <c r="G811">
        <v>0</v>
      </c>
    </row>
    <row r="812" spans="1:7" x14ac:dyDescent="0.25">
      <c r="A812" s="226">
        <v>10530089</v>
      </c>
      <c r="B812" s="92">
        <v>0</v>
      </c>
      <c r="F812">
        <v>10530089</v>
      </c>
      <c r="G812">
        <v>0</v>
      </c>
    </row>
    <row r="813" spans="1:7" x14ac:dyDescent="0.25">
      <c r="A813" s="226">
        <v>10530090</v>
      </c>
      <c r="B813" s="92">
        <v>0</v>
      </c>
      <c r="F813">
        <v>10530090</v>
      </c>
      <c r="G813">
        <v>0</v>
      </c>
    </row>
    <row r="814" spans="1:7" x14ac:dyDescent="0.25">
      <c r="A814" s="226">
        <v>10530091</v>
      </c>
      <c r="B814" s="92">
        <v>0</v>
      </c>
      <c r="F814">
        <v>10530091</v>
      </c>
      <c r="G814">
        <v>0</v>
      </c>
    </row>
    <row r="815" spans="1:7" x14ac:dyDescent="0.25">
      <c r="A815" s="226">
        <v>10530092</v>
      </c>
      <c r="B815" s="92">
        <v>0</v>
      </c>
      <c r="F815">
        <v>10530092</v>
      </c>
      <c r="G815">
        <v>0</v>
      </c>
    </row>
    <row r="816" spans="1:7" x14ac:dyDescent="0.25">
      <c r="A816" s="226">
        <v>10530093</v>
      </c>
      <c r="B816" s="92">
        <v>0</v>
      </c>
      <c r="F816">
        <v>10530093</v>
      </c>
      <c r="G816">
        <v>0</v>
      </c>
    </row>
    <row r="817" spans="1:7" x14ac:dyDescent="0.25">
      <c r="A817" s="226">
        <v>10530094</v>
      </c>
      <c r="B817" s="92">
        <v>0</v>
      </c>
      <c r="F817">
        <v>10530094</v>
      </c>
      <c r="G817">
        <v>0</v>
      </c>
    </row>
    <row r="818" spans="1:7" x14ac:dyDescent="0.25">
      <c r="A818" s="226">
        <v>10530096</v>
      </c>
      <c r="B818" s="92">
        <v>0</v>
      </c>
      <c r="F818">
        <v>10530096</v>
      </c>
      <c r="G818">
        <v>0</v>
      </c>
    </row>
    <row r="819" spans="1:7" x14ac:dyDescent="0.25">
      <c r="A819" s="226">
        <v>10530097</v>
      </c>
      <c r="B819" s="92">
        <v>0</v>
      </c>
      <c r="F819">
        <v>10530097</v>
      </c>
      <c r="G819">
        <v>0</v>
      </c>
    </row>
    <row r="820" spans="1:7" x14ac:dyDescent="0.25">
      <c r="A820" s="226">
        <v>10530099</v>
      </c>
      <c r="B820" s="92">
        <v>0</v>
      </c>
      <c r="F820">
        <v>10530099</v>
      </c>
      <c r="G820">
        <v>0</v>
      </c>
    </row>
    <row r="821" spans="1:7" x14ac:dyDescent="0.25">
      <c r="A821" s="226">
        <v>10530100</v>
      </c>
      <c r="B821" s="92">
        <v>0</v>
      </c>
      <c r="F821">
        <v>10530100</v>
      </c>
      <c r="G821">
        <v>0</v>
      </c>
    </row>
    <row r="822" spans="1:7" x14ac:dyDescent="0.25">
      <c r="A822" s="226">
        <v>10530101</v>
      </c>
      <c r="B822" s="92">
        <v>0</v>
      </c>
      <c r="F822">
        <v>10530101</v>
      </c>
      <c r="G822">
        <v>0</v>
      </c>
    </row>
    <row r="823" spans="1:7" x14ac:dyDescent="0.25">
      <c r="A823" s="226">
        <v>10530102</v>
      </c>
      <c r="B823" s="92">
        <v>0</v>
      </c>
      <c r="F823">
        <v>10530102</v>
      </c>
      <c r="G823">
        <v>0</v>
      </c>
    </row>
    <row r="824" spans="1:7" x14ac:dyDescent="0.25">
      <c r="A824" s="226">
        <v>10530103</v>
      </c>
      <c r="B824" s="92">
        <v>0</v>
      </c>
      <c r="F824">
        <v>10530103</v>
      </c>
      <c r="G824">
        <v>0</v>
      </c>
    </row>
    <row r="825" spans="1:7" x14ac:dyDescent="0.25">
      <c r="A825" s="226">
        <v>10530104</v>
      </c>
      <c r="B825" s="92">
        <v>0</v>
      </c>
      <c r="F825">
        <v>10530104</v>
      </c>
      <c r="G825">
        <v>0</v>
      </c>
    </row>
    <row r="826" spans="1:7" x14ac:dyDescent="0.25">
      <c r="A826" s="226">
        <v>10530105</v>
      </c>
      <c r="B826" s="92">
        <v>0</v>
      </c>
      <c r="F826">
        <v>10530105</v>
      </c>
      <c r="G826">
        <v>0</v>
      </c>
    </row>
    <row r="827" spans="1:7" x14ac:dyDescent="0.25">
      <c r="A827" s="226">
        <v>10530106</v>
      </c>
      <c r="B827" s="92">
        <v>0</v>
      </c>
      <c r="F827">
        <v>10530106</v>
      </c>
      <c r="G827">
        <v>0</v>
      </c>
    </row>
    <row r="828" spans="1:7" x14ac:dyDescent="0.25">
      <c r="A828" s="226">
        <v>10530107</v>
      </c>
      <c r="B828" s="92">
        <v>0</v>
      </c>
      <c r="F828">
        <v>10530107</v>
      </c>
      <c r="G828">
        <v>0</v>
      </c>
    </row>
    <row r="829" spans="1:7" x14ac:dyDescent="0.25">
      <c r="A829" s="226">
        <v>10530108</v>
      </c>
      <c r="B829" s="92">
        <v>0</v>
      </c>
      <c r="F829">
        <v>10530108</v>
      </c>
      <c r="G829">
        <v>0</v>
      </c>
    </row>
    <row r="830" spans="1:7" x14ac:dyDescent="0.25">
      <c r="A830" s="226">
        <v>10530109</v>
      </c>
      <c r="B830" s="92">
        <v>0</v>
      </c>
      <c r="F830">
        <v>10530109</v>
      </c>
      <c r="G830">
        <v>0</v>
      </c>
    </row>
    <row r="831" spans="1:7" x14ac:dyDescent="0.25">
      <c r="A831" s="226">
        <v>10530110</v>
      </c>
      <c r="B831" s="92">
        <v>0</v>
      </c>
      <c r="F831">
        <v>10530110</v>
      </c>
      <c r="G831">
        <v>0</v>
      </c>
    </row>
    <row r="832" spans="1:7" x14ac:dyDescent="0.25">
      <c r="A832" s="226">
        <v>10530111</v>
      </c>
      <c r="B832" s="92">
        <v>0</v>
      </c>
      <c r="F832">
        <v>10530111</v>
      </c>
      <c r="G832">
        <v>0</v>
      </c>
    </row>
    <row r="833" spans="1:7" x14ac:dyDescent="0.25">
      <c r="A833" s="226">
        <v>10530112</v>
      </c>
      <c r="B833" s="92">
        <v>0</v>
      </c>
      <c r="F833">
        <v>10530112</v>
      </c>
      <c r="G833">
        <v>0</v>
      </c>
    </row>
    <row r="834" spans="1:7" x14ac:dyDescent="0.25">
      <c r="A834" s="226">
        <v>10530113</v>
      </c>
      <c r="B834" s="92">
        <v>0</v>
      </c>
      <c r="F834">
        <v>10530113</v>
      </c>
      <c r="G834">
        <v>0</v>
      </c>
    </row>
    <row r="835" spans="1:7" x14ac:dyDescent="0.25">
      <c r="A835" s="226">
        <v>10530115</v>
      </c>
      <c r="B835" s="92">
        <v>0</v>
      </c>
      <c r="F835">
        <v>10530115</v>
      </c>
      <c r="G835">
        <v>0</v>
      </c>
    </row>
    <row r="836" spans="1:7" x14ac:dyDescent="0.25">
      <c r="A836" s="226">
        <v>10540003</v>
      </c>
      <c r="B836" s="92">
        <v>0</v>
      </c>
      <c r="F836">
        <v>10540003</v>
      </c>
      <c r="G836">
        <v>0</v>
      </c>
    </row>
    <row r="837" spans="1:7" x14ac:dyDescent="0.25">
      <c r="A837" s="226">
        <v>10540005</v>
      </c>
      <c r="B837" s="92">
        <v>0</v>
      </c>
      <c r="F837">
        <v>10540005</v>
      </c>
      <c r="G837">
        <v>0</v>
      </c>
    </row>
    <row r="838" spans="1:7" x14ac:dyDescent="0.25">
      <c r="A838" s="226">
        <v>10540008</v>
      </c>
      <c r="B838" s="92">
        <v>1000</v>
      </c>
      <c r="F838">
        <v>10540008</v>
      </c>
      <c r="G838">
        <v>1000</v>
      </c>
    </row>
    <row r="839" spans="1:7" x14ac:dyDescent="0.25">
      <c r="A839" s="226">
        <v>10540009</v>
      </c>
      <c r="B839" s="92">
        <v>0</v>
      </c>
      <c r="F839">
        <v>10540009</v>
      </c>
      <c r="G839">
        <v>0</v>
      </c>
    </row>
    <row r="840" spans="1:7" x14ac:dyDescent="0.25">
      <c r="A840" s="226">
        <v>10540010</v>
      </c>
      <c r="B840" s="92">
        <v>0</v>
      </c>
      <c r="F840">
        <v>10540010</v>
      </c>
      <c r="G840">
        <v>0</v>
      </c>
    </row>
    <row r="841" spans="1:7" x14ac:dyDescent="0.25">
      <c r="A841" s="226">
        <v>10540012</v>
      </c>
      <c r="B841" s="92">
        <v>0</v>
      </c>
      <c r="F841">
        <v>10540012</v>
      </c>
      <c r="G841">
        <v>0</v>
      </c>
    </row>
    <row r="842" spans="1:7" x14ac:dyDescent="0.25">
      <c r="A842" s="226">
        <v>10540014</v>
      </c>
      <c r="B842" s="92">
        <v>0</v>
      </c>
      <c r="F842">
        <v>10540014</v>
      </c>
      <c r="G842">
        <v>0</v>
      </c>
    </row>
    <row r="843" spans="1:7" x14ac:dyDescent="0.25">
      <c r="A843" s="226">
        <v>10540015</v>
      </c>
      <c r="B843" s="92">
        <v>0</v>
      </c>
      <c r="F843">
        <v>10540015</v>
      </c>
      <c r="G843">
        <v>0</v>
      </c>
    </row>
    <row r="844" spans="1:7" x14ac:dyDescent="0.25">
      <c r="A844" s="226">
        <v>10540016</v>
      </c>
      <c r="B844" s="92">
        <v>0</v>
      </c>
      <c r="F844">
        <v>10540016</v>
      </c>
      <c r="G844">
        <v>0</v>
      </c>
    </row>
    <row r="845" spans="1:7" x14ac:dyDescent="0.25">
      <c r="A845" s="226">
        <v>10540017</v>
      </c>
      <c r="B845" s="92">
        <v>0</v>
      </c>
      <c r="F845">
        <v>10540017</v>
      </c>
      <c r="G845">
        <v>0</v>
      </c>
    </row>
    <row r="846" spans="1:7" x14ac:dyDescent="0.25">
      <c r="A846" s="226">
        <v>10540018</v>
      </c>
      <c r="B846" s="92">
        <v>1000</v>
      </c>
      <c r="F846">
        <v>10540018</v>
      </c>
      <c r="G846">
        <v>1000</v>
      </c>
    </row>
    <row r="847" spans="1:7" x14ac:dyDescent="0.25">
      <c r="A847" s="226">
        <v>10540019</v>
      </c>
      <c r="B847" s="92">
        <v>1000</v>
      </c>
      <c r="F847">
        <v>10540019</v>
      </c>
      <c r="G847">
        <v>1000</v>
      </c>
    </row>
    <row r="848" spans="1:7" x14ac:dyDescent="0.25">
      <c r="A848" s="226">
        <v>10540020</v>
      </c>
      <c r="B848" s="92">
        <v>500</v>
      </c>
      <c r="F848">
        <v>10540020</v>
      </c>
      <c r="G848">
        <v>500</v>
      </c>
    </row>
    <row r="849" spans="1:7" x14ac:dyDescent="0.25">
      <c r="A849" s="226">
        <v>10540021</v>
      </c>
      <c r="B849" s="92">
        <v>0</v>
      </c>
      <c r="F849">
        <v>10540021</v>
      </c>
      <c r="G849">
        <v>0</v>
      </c>
    </row>
    <row r="850" spans="1:7" x14ac:dyDescent="0.25">
      <c r="A850" s="226">
        <v>10540026</v>
      </c>
      <c r="B850" s="92">
        <v>0</v>
      </c>
      <c r="F850">
        <v>10540026</v>
      </c>
      <c r="G850">
        <v>0</v>
      </c>
    </row>
    <row r="851" spans="1:7" x14ac:dyDescent="0.25">
      <c r="A851" s="226">
        <v>10540027</v>
      </c>
      <c r="B851" s="92">
        <v>0</v>
      </c>
      <c r="F851">
        <v>10540027</v>
      </c>
      <c r="G851">
        <v>0</v>
      </c>
    </row>
    <row r="852" spans="1:7" x14ac:dyDescent="0.25">
      <c r="A852" s="226">
        <v>10540028</v>
      </c>
      <c r="B852" s="92">
        <v>0</v>
      </c>
      <c r="F852">
        <v>10540028</v>
      </c>
      <c r="G852">
        <v>0</v>
      </c>
    </row>
    <row r="853" spans="1:7" x14ac:dyDescent="0.25">
      <c r="A853" s="226">
        <v>10540029</v>
      </c>
      <c r="B853" s="92">
        <v>0</v>
      </c>
      <c r="F853">
        <v>10540029</v>
      </c>
      <c r="G853">
        <v>0</v>
      </c>
    </row>
    <row r="854" spans="1:7" x14ac:dyDescent="0.25">
      <c r="A854" s="226">
        <v>10540032</v>
      </c>
      <c r="B854" s="92">
        <v>0</v>
      </c>
      <c r="F854">
        <v>10540032</v>
      </c>
      <c r="G854">
        <v>0</v>
      </c>
    </row>
    <row r="855" spans="1:7" x14ac:dyDescent="0.25">
      <c r="A855" s="226">
        <v>10540034</v>
      </c>
      <c r="B855" s="92">
        <v>0</v>
      </c>
      <c r="F855">
        <v>10540034</v>
      </c>
      <c r="G855">
        <v>0</v>
      </c>
    </row>
    <row r="856" spans="1:7" x14ac:dyDescent="0.25">
      <c r="A856" s="226">
        <v>10540036</v>
      </c>
      <c r="B856" s="92">
        <v>0</v>
      </c>
      <c r="F856">
        <v>10540036</v>
      </c>
      <c r="G856">
        <v>0</v>
      </c>
    </row>
    <row r="857" spans="1:7" x14ac:dyDescent="0.25">
      <c r="A857" s="226">
        <v>10540039</v>
      </c>
      <c r="B857" s="92">
        <v>0</v>
      </c>
      <c r="F857">
        <v>10540039</v>
      </c>
      <c r="G857">
        <v>0</v>
      </c>
    </row>
    <row r="858" spans="1:7" x14ac:dyDescent="0.25">
      <c r="A858" s="226">
        <v>10540040</v>
      </c>
      <c r="B858" s="92">
        <v>0</v>
      </c>
      <c r="F858">
        <v>10540040</v>
      </c>
      <c r="G858">
        <v>0</v>
      </c>
    </row>
    <row r="859" spans="1:7" x14ac:dyDescent="0.25">
      <c r="A859" s="226">
        <v>10540041</v>
      </c>
      <c r="B859" s="92">
        <v>0</v>
      </c>
      <c r="F859">
        <v>10540041</v>
      </c>
      <c r="G859">
        <v>0</v>
      </c>
    </row>
    <row r="860" spans="1:7" x14ac:dyDescent="0.25">
      <c r="A860" s="226">
        <v>10540042</v>
      </c>
      <c r="B860" s="92">
        <v>0</v>
      </c>
      <c r="F860">
        <v>10540042</v>
      </c>
      <c r="G860">
        <v>0</v>
      </c>
    </row>
    <row r="861" spans="1:7" x14ac:dyDescent="0.25">
      <c r="A861" s="226">
        <v>10540044</v>
      </c>
      <c r="B861" s="92">
        <v>0</v>
      </c>
      <c r="F861">
        <v>10540044</v>
      </c>
      <c r="G861">
        <v>0</v>
      </c>
    </row>
    <row r="862" spans="1:7" x14ac:dyDescent="0.25">
      <c r="A862" s="226">
        <v>10540045</v>
      </c>
      <c r="B862" s="92">
        <v>0</v>
      </c>
      <c r="F862">
        <v>10540045</v>
      </c>
      <c r="G862">
        <v>0</v>
      </c>
    </row>
    <row r="863" spans="1:7" x14ac:dyDescent="0.25">
      <c r="A863" s="226">
        <v>10540046</v>
      </c>
      <c r="B863" s="92">
        <v>0</v>
      </c>
      <c r="F863">
        <v>10540046</v>
      </c>
      <c r="G863">
        <v>0</v>
      </c>
    </row>
    <row r="864" spans="1:7" x14ac:dyDescent="0.25">
      <c r="A864" s="226">
        <v>10540048</v>
      </c>
      <c r="B864" s="92">
        <v>0</v>
      </c>
      <c r="F864">
        <v>10540048</v>
      </c>
      <c r="G864">
        <v>0</v>
      </c>
    </row>
    <row r="865" spans="1:7" x14ac:dyDescent="0.25">
      <c r="A865" s="226">
        <v>10540049</v>
      </c>
      <c r="B865" s="92">
        <v>0</v>
      </c>
      <c r="F865">
        <v>10540049</v>
      </c>
      <c r="G865">
        <v>0</v>
      </c>
    </row>
    <row r="866" spans="1:7" x14ac:dyDescent="0.25">
      <c r="A866" s="226">
        <v>10550001</v>
      </c>
      <c r="B866" s="92">
        <v>0</v>
      </c>
      <c r="F866">
        <v>10550001</v>
      </c>
      <c r="G866">
        <v>0</v>
      </c>
    </row>
    <row r="867" spans="1:7" x14ac:dyDescent="0.25">
      <c r="A867" s="226">
        <v>10550002</v>
      </c>
      <c r="B867" s="92">
        <v>0</v>
      </c>
      <c r="F867">
        <v>10550002</v>
      </c>
      <c r="G867">
        <v>0</v>
      </c>
    </row>
    <row r="868" spans="1:7" x14ac:dyDescent="0.25">
      <c r="A868" s="226">
        <v>10550005</v>
      </c>
      <c r="B868" s="92">
        <v>0</v>
      </c>
      <c r="F868">
        <v>10550005</v>
      </c>
      <c r="G868">
        <v>0</v>
      </c>
    </row>
    <row r="869" spans="1:7" x14ac:dyDescent="0.25">
      <c r="A869" s="226">
        <v>10550007</v>
      </c>
      <c r="B869" s="92">
        <v>0</v>
      </c>
      <c r="F869">
        <v>10550007</v>
      </c>
      <c r="G869">
        <v>0</v>
      </c>
    </row>
    <row r="870" spans="1:7" x14ac:dyDescent="0.25">
      <c r="A870" s="226">
        <v>10550008</v>
      </c>
      <c r="B870" s="92">
        <v>0</v>
      </c>
      <c r="F870">
        <v>10550008</v>
      </c>
      <c r="G870">
        <v>0</v>
      </c>
    </row>
    <row r="871" spans="1:7" x14ac:dyDescent="0.25">
      <c r="A871" s="226">
        <v>10550009</v>
      </c>
      <c r="B871" s="92">
        <v>0</v>
      </c>
      <c r="F871">
        <v>10550009</v>
      </c>
      <c r="G871">
        <v>0</v>
      </c>
    </row>
    <row r="872" spans="1:7" x14ac:dyDescent="0.25">
      <c r="A872" s="226">
        <v>10560001</v>
      </c>
      <c r="B872" s="92">
        <v>0</v>
      </c>
      <c r="F872">
        <v>10560001</v>
      </c>
      <c r="G872">
        <v>0</v>
      </c>
    </row>
    <row r="873" spans="1:7" x14ac:dyDescent="0.25">
      <c r="A873" s="226">
        <v>10560002</v>
      </c>
      <c r="B873" s="92">
        <v>0</v>
      </c>
      <c r="F873">
        <v>10560002</v>
      </c>
      <c r="G873">
        <v>0</v>
      </c>
    </row>
    <row r="874" spans="1:7" x14ac:dyDescent="0.25">
      <c r="A874" s="226">
        <v>10560004</v>
      </c>
      <c r="B874" s="92">
        <v>0</v>
      </c>
      <c r="F874">
        <v>10560004</v>
      </c>
      <c r="G874">
        <v>0</v>
      </c>
    </row>
    <row r="875" spans="1:7" x14ac:dyDescent="0.25">
      <c r="A875" s="226">
        <v>10560005</v>
      </c>
      <c r="B875" s="92">
        <v>0</v>
      </c>
      <c r="F875">
        <v>10560005</v>
      </c>
      <c r="G875">
        <v>0</v>
      </c>
    </row>
    <row r="876" spans="1:7" x14ac:dyDescent="0.25">
      <c r="A876" s="226">
        <v>10560006</v>
      </c>
      <c r="B876" s="92">
        <v>1000</v>
      </c>
      <c r="F876">
        <v>10560006</v>
      </c>
      <c r="G876">
        <v>1000</v>
      </c>
    </row>
    <row r="877" spans="1:7" x14ac:dyDescent="0.25">
      <c r="A877" s="226">
        <v>10560007</v>
      </c>
      <c r="B877" s="92">
        <v>1000</v>
      </c>
      <c r="F877">
        <v>10560007</v>
      </c>
      <c r="G877">
        <v>1000</v>
      </c>
    </row>
    <row r="878" spans="1:7" x14ac:dyDescent="0.25">
      <c r="A878" s="226">
        <v>10560011</v>
      </c>
      <c r="B878" s="92">
        <v>0</v>
      </c>
      <c r="F878">
        <v>10560011</v>
      </c>
      <c r="G878">
        <v>0</v>
      </c>
    </row>
    <row r="879" spans="1:7" x14ac:dyDescent="0.25">
      <c r="A879" s="226">
        <v>10560012</v>
      </c>
      <c r="B879" s="92">
        <v>0</v>
      </c>
      <c r="F879">
        <v>10560012</v>
      </c>
      <c r="G879">
        <v>0</v>
      </c>
    </row>
    <row r="880" spans="1:7" x14ac:dyDescent="0.25">
      <c r="A880" s="226">
        <v>10560015</v>
      </c>
      <c r="B880" s="92">
        <v>0</v>
      </c>
      <c r="F880">
        <v>10560015</v>
      </c>
      <c r="G880">
        <v>0</v>
      </c>
    </row>
    <row r="881" spans="1:7" x14ac:dyDescent="0.25">
      <c r="A881" s="226">
        <v>10560016</v>
      </c>
      <c r="B881" s="92">
        <v>0</v>
      </c>
      <c r="F881">
        <v>10560016</v>
      </c>
      <c r="G881">
        <v>0</v>
      </c>
    </row>
    <row r="882" spans="1:7" x14ac:dyDescent="0.25">
      <c r="A882" s="226">
        <v>10560017</v>
      </c>
      <c r="B882" s="92">
        <v>0</v>
      </c>
      <c r="F882">
        <v>10560017</v>
      </c>
      <c r="G882">
        <v>0</v>
      </c>
    </row>
    <row r="883" spans="1:7" x14ac:dyDescent="0.25">
      <c r="A883" s="226">
        <v>10560019</v>
      </c>
      <c r="B883" s="92">
        <v>0</v>
      </c>
      <c r="F883">
        <v>10560019</v>
      </c>
      <c r="G883">
        <v>0</v>
      </c>
    </row>
    <row r="884" spans="1:7" x14ac:dyDescent="0.25">
      <c r="A884" s="226">
        <v>10560022</v>
      </c>
      <c r="B884" s="92">
        <v>0</v>
      </c>
      <c r="F884">
        <v>10560022</v>
      </c>
      <c r="G884">
        <v>0</v>
      </c>
    </row>
    <row r="885" spans="1:7" x14ac:dyDescent="0.25">
      <c r="A885" s="226">
        <v>10560025</v>
      </c>
      <c r="B885" s="92">
        <v>0</v>
      </c>
      <c r="F885">
        <v>10560025</v>
      </c>
      <c r="G885">
        <v>0</v>
      </c>
    </row>
    <row r="886" spans="1:7" x14ac:dyDescent="0.25">
      <c r="A886" s="226">
        <v>10560026</v>
      </c>
      <c r="B886" s="92">
        <v>0</v>
      </c>
      <c r="F886">
        <v>10560026</v>
      </c>
      <c r="G886">
        <v>0</v>
      </c>
    </row>
    <row r="887" spans="1:7" x14ac:dyDescent="0.25">
      <c r="A887" s="226">
        <v>10560027</v>
      </c>
      <c r="B887" s="92">
        <v>0</v>
      </c>
      <c r="F887">
        <v>10560027</v>
      </c>
      <c r="G887">
        <v>0</v>
      </c>
    </row>
    <row r="888" spans="1:7" x14ac:dyDescent="0.25">
      <c r="A888" s="226">
        <v>10560028</v>
      </c>
      <c r="B888" s="92">
        <v>0</v>
      </c>
      <c r="F888">
        <v>10560028</v>
      </c>
      <c r="G888">
        <v>0</v>
      </c>
    </row>
    <row r="889" spans="1:7" x14ac:dyDescent="0.25">
      <c r="A889" s="226">
        <v>10560029</v>
      </c>
      <c r="B889" s="92">
        <v>0</v>
      </c>
      <c r="F889">
        <v>10560029</v>
      </c>
      <c r="G889">
        <v>0</v>
      </c>
    </row>
    <row r="890" spans="1:7" x14ac:dyDescent="0.25">
      <c r="A890" s="226">
        <v>10560031</v>
      </c>
      <c r="B890" s="92">
        <v>0</v>
      </c>
      <c r="F890">
        <v>10560031</v>
      </c>
      <c r="G890">
        <v>0</v>
      </c>
    </row>
    <row r="891" spans="1:7" x14ac:dyDescent="0.25">
      <c r="A891" s="226">
        <v>10560032</v>
      </c>
      <c r="B891" s="92">
        <v>0</v>
      </c>
      <c r="F891">
        <v>10560032</v>
      </c>
      <c r="G891">
        <v>0</v>
      </c>
    </row>
    <row r="892" spans="1:7" x14ac:dyDescent="0.25">
      <c r="A892" s="226">
        <v>10560033</v>
      </c>
      <c r="B892" s="92">
        <v>0</v>
      </c>
      <c r="F892">
        <v>10560033</v>
      </c>
      <c r="G892">
        <v>0</v>
      </c>
    </row>
    <row r="893" spans="1:7" x14ac:dyDescent="0.25">
      <c r="A893" s="226">
        <v>10560034</v>
      </c>
      <c r="B893" s="92">
        <v>0</v>
      </c>
      <c r="F893">
        <v>10560034</v>
      </c>
      <c r="G893">
        <v>0</v>
      </c>
    </row>
    <row r="894" spans="1:7" x14ac:dyDescent="0.25">
      <c r="A894" s="226">
        <v>10560035</v>
      </c>
      <c r="B894" s="92">
        <v>0</v>
      </c>
      <c r="F894">
        <v>10560035</v>
      </c>
      <c r="G894">
        <v>0</v>
      </c>
    </row>
    <row r="895" spans="1:7" x14ac:dyDescent="0.25">
      <c r="A895" s="226">
        <v>10560036</v>
      </c>
      <c r="B895" s="92">
        <v>0</v>
      </c>
      <c r="F895">
        <v>10560036</v>
      </c>
      <c r="G895">
        <v>0</v>
      </c>
    </row>
    <row r="896" spans="1:7" x14ac:dyDescent="0.25">
      <c r="A896" s="226">
        <v>10560037</v>
      </c>
      <c r="B896" s="92">
        <v>0</v>
      </c>
      <c r="F896">
        <v>10560037</v>
      </c>
      <c r="G896">
        <v>0</v>
      </c>
    </row>
    <row r="897" spans="1:7" x14ac:dyDescent="0.25">
      <c r="A897" s="226">
        <v>10570001</v>
      </c>
      <c r="B897" s="92">
        <v>0</v>
      </c>
      <c r="F897">
        <v>10570001</v>
      </c>
      <c r="G897">
        <v>0</v>
      </c>
    </row>
    <row r="898" spans="1:7" x14ac:dyDescent="0.25">
      <c r="A898" s="226">
        <v>10570003</v>
      </c>
      <c r="B898" s="92">
        <v>0</v>
      </c>
      <c r="F898">
        <v>10570003</v>
      </c>
      <c r="G898">
        <v>0</v>
      </c>
    </row>
    <row r="899" spans="1:7" x14ac:dyDescent="0.25">
      <c r="A899" s="226">
        <v>10570006</v>
      </c>
      <c r="B899" s="92">
        <v>0</v>
      </c>
      <c r="F899">
        <v>10570006</v>
      </c>
      <c r="G899">
        <v>0</v>
      </c>
    </row>
    <row r="900" spans="1:7" x14ac:dyDescent="0.25">
      <c r="A900" s="226">
        <v>10570007</v>
      </c>
      <c r="B900" s="92">
        <v>0</v>
      </c>
      <c r="F900">
        <v>10570007</v>
      </c>
      <c r="G900">
        <v>0</v>
      </c>
    </row>
    <row r="901" spans="1:7" x14ac:dyDescent="0.25">
      <c r="A901" s="226">
        <v>10570008</v>
      </c>
      <c r="B901" s="92">
        <v>0</v>
      </c>
      <c r="F901">
        <v>10570008</v>
      </c>
      <c r="G901">
        <v>0</v>
      </c>
    </row>
    <row r="902" spans="1:7" x14ac:dyDescent="0.25">
      <c r="A902" s="226">
        <v>10570009</v>
      </c>
      <c r="B902" s="92">
        <v>0</v>
      </c>
      <c r="F902">
        <v>10570009</v>
      </c>
      <c r="G902">
        <v>0</v>
      </c>
    </row>
    <row r="903" spans="1:7" x14ac:dyDescent="0.25">
      <c r="A903" s="226">
        <v>10570010</v>
      </c>
      <c r="B903" s="92">
        <v>0</v>
      </c>
      <c r="F903">
        <v>10570010</v>
      </c>
      <c r="G903">
        <v>0</v>
      </c>
    </row>
    <row r="904" spans="1:7" x14ac:dyDescent="0.25">
      <c r="A904" s="226">
        <v>10570013</v>
      </c>
      <c r="B904" s="92">
        <v>0</v>
      </c>
      <c r="F904">
        <v>10570013</v>
      </c>
      <c r="G904">
        <v>0</v>
      </c>
    </row>
    <row r="905" spans="1:7" x14ac:dyDescent="0.25">
      <c r="A905" s="226">
        <v>10570015</v>
      </c>
      <c r="B905" s="92">
        <v>0</v>
      </c>
      <c r="F905">
        <v>10570015</v>
      </c>
      <c r="G905">
        <v>0</v>
      </c>
    </row>
    <row r="906" spans="1:7" x14ac:dyDescent="0.25">
      <c r="A906" s="226">
        <v>10570016</v>
      </c>
      <c r="B906" s="92">
        <v>0</v>
      </c>
      <c r="F906">
        <v>10570016</v>
      </c>
      <c r="G906">
        <v>0</v>
      </c>
    </row>
    <row r="907" spans="1:7" x14ac:dyDescent="0.25">
      <c r="A907" s="226">
        <v>10570017</v>
      </c>
      <c r="B907" s="92">
        <v>0</v>
      </c>
      <c r="F907">
        <v>10570017</v>
      </c>
      <c r="G907">
        <v>0</v>
      </c>
    </row>
    <row r="908" spans="1:7" x14ac:dyDescent="0.25">
      <c r="A908" s="226">
        <v>10570018</v>
      </c>
      <c r="B908" s="92">
        <v>0</v>
      </c>
      <c r="F908">
        <v>10570018</v>
      </c>
      <c r="G908">
        <v>0</v>
      </c>
    </row>
    <row r="909" spans="1:7" x14ac:dyDescent="0.25">
      <c r="A909" s="226">
        <v>10570019</v>
      </c>
      <c r="B909" s="92">
        <v>0</v>
      </c>
      <c r="F909">
        <v>10570019</v>
      </c>
      <c r="G909">
        <v>0</v>
      </c>
    </row>
    <row r="910" spans="1:7" x14ac:dyDescent="0.25">
      <c r="A910" s="226">
        <v>10570020</v>
      </c>
      <c r="B910" s="92">
        <v>0</v>
      </c>
      <c r="F910">
        <v>10570020</v>
      </c>
      <c r="G910">
        <v>0</v>
      </c>
    </row>
    <row r="911" spans="1:7" x14ac:dyDescent="0.25">
      <c r="A911" s="226">
        <v>10570021</v>
      </c>
      <c r="B911" s="92">
        <v>0</v>
      </c>
      <c r="F911">
        <v>10570021</v>
      </c>
      <c r="G911">
        <v>0</v>
      </c>
    </row>
    <row r="912" spans="1:7" x14ac:dyDescent="0.25">
      <c r="A912" s="226">
        <v>10570022</v>
      </c>
      <c r="B912" s="92">
        <v>0</v>
      </c>
      <c r="F912">
        <v>10570022</v>
      </c>
      <c r="G912">
        <v>0</v>
      </c>
    </row>
    <row r="913" spans="1:7" x14ac:dyDescent="0.25">
      <c r="A913" s="226">
        <v>10570024</v>
      </c>
      <c r="B913" s="92">
        <v>0</v>
      </c>
      <c r="F913">
        <v>10570024</v>
      </c>
      <c r="G913">
        <v>0</v>
      </c>
    </row>
    <row r="914" spans="1:7" x14ac:dyDescent="0.25">
      <c r="A914" s="226">
        <v>10570025</v>
      </c>
      <c r="B914" s="92">
        <v>0</v>
      </c>
      <c r="F914">
        <v>10570025</v>
      </c>
      <c r="G914">
        <v>0</v>
      </c>
    </row>
    <row r="915" spans="1:7" x14ac:dyDescent="0.25">
      <c r="A915" s="226">
        <v>10570026</v>
      </c>
      <c r="B915" s="92">
        <v>0</v>
      </c>
      <c r="F915">
        <v>10570026</v>
      </c>
      <c r="G915">
        <v>0</v>
      </c>
    </row>
    <row r="916" spans="1:7" x14ac:dyDescent="0.25">
      <c r="A916" s="226">
        <v>10570028</v>
      </c>
      <c r="B916" s="92">
        <v>0</v>
      </c>
      <c r="F916">
        <v>10570028</v>
      </c>
      <c r="G916">
        <v>0</v>
      </c>
    </row>
    <row r="917" spans="1:7" x14ac:dyDescent="0.25">
      <c r="A917" s="226">
        <v>10570029</v>
      </c>
      <c r="B917" s="92">
        <v>0</v>
      </c>
      <c r="F917">
        <v>10570029</v>
      </c>
      <c r="G917">
        <v>0</v>
      </c>
    </row>
    <row r="918" spans="1:7" x14ac:dyDescent="0.25">
      <c r="A918" s="226">
        <v>10570030</v>
      </c>
      <c r="B918" s="92">
        <v>0</v>
      </c>
      <c r="F918">
        <v>10570030</v>
      </c>
      <c r="G918">
        <v>0</v>
      </c>
    </row>
    <row r="919" spans="1:7" x14ac:dyDescent="0.25">
      <c r="A919" s="226">
        <v>10570031</v>
      </c>
      <c r="B919" s="92">
        <v>0</v>
      </c>
      <c r="F919">
        <v>10570031</v>
      </c>
      <c r="G919">
        <v>0</v>
      </c>
    </row>
    <row r="920" spans="1:7" x14ac:dyDescent="0.25">
      <c r="A920" s="226">
        <v>10570033</v>
      </c>
      <c r="B920" s="92">
        <v>0</v>
      </c>
      <c r="F920">
        <v>10570033</v>
      </c>
      <c r="G920">
        <v>0</v>
      </c>
    </row>
    <row r="921" spans="1:7" x14ac:dyDescent="0.25">
      <c r="A921" s="226">
        <v>10570035</v>
      </c>
      <c r="B921" s="92">
        <v>0</v>
      </c>
      <c r="F921">
        <v>10570035</v>
      </c>
      <c r="G921">
        <v>0</v>
      </c>
    </row>
    <row r="922" spans="1:7" x14ac:dyDescent="0.25">
      <c r="A922" s="226">
        <v>10570036</v>
      </c>
      <c r="B922" s="92">
        <v>0</v>
      </c>
      <c r="F922">
        <v>10570036</v>
      </c>
      <c r="G922">
        <v>0</v>
      </c>
    </row>
    <row r="923" spans="1:7" x14ac:dyDescent="0.25">
      <c r="A923" s="226">
        <v>10570037</v>
      </c>
      <c r="B923" s="92">
        <v>0</v>
      </c>
      <c r="F923">
        <v>10570037</v>
      </c>
      <c r="G923">
        <v>0</v>
      </c>
    </row>
    <row r="924" spans="1:7" x14ac:dyDescent="0.25">
      <c r="A924" s="226">
        <v>10570038</v>
      </c>
      <c r="B924" s="92">
        <v>0</v>
      </c>
      <c r="F924">
        <v>10570038</v>
      </c>
      <c r="G924">
        <v>0</v>
      </c>
    </row>
    <row r="925" spans="1:7" x14ac:dyDescent="0.25">
      <c r="A925" s="226">
        <v>10570042</v>
      </c>
      <c r="B925" s="92">
        <v>0</v>
      </c>
      <c r="F925">
        <v>10570042</v>
      </c>
      <c r="G925">
        <v>0</v>
      </c>
    </row>
    <row r="926" spans="1:7" x14ac:dyDescent="0.25">
      <c r="A926" s="226">
        <v>10570044</v>
      </c>
      <c r="B926" s="92">
        <v>0</v>
      </c>
      <c r="F926">
        <v>10570044</v>
      </c>
      <c r="G926">
        <v>0</v>
      </c>
    </row>
    <row r="927" spans="1:7" x14ac:dyDescent="0.25">
      <c r="A927" s="226">
        <v>10570045</v>
      </c>
      <c r="B927" s="92">
        <v>0</v>
      </c>
      <c r="F927">
        <v>10570045</v>
      </c>
      <c r="G927">
        <v>0</v>
      </c>
    </row>
    <row r="928" spans="1:7" x14ac:dyDescent="0.25">
      <c r="A928" s="226">
        <v>10570046</v>
      </c>
      <c r="B928" s="92">
        <v>0</v>
      </c>
      <c r="F928">
        <v>10570046</v>
      </c>
      <c r="G928">
        <v>0</v>
      </c>
    </row>
    <row r="929" spans="1:7" x14ac:dyDescent="0.25">
      <c r="A929" s="226">
        <v>10570047</v>
      </c>
      <c r="B929" s="92">
        <v>0</v>
      </c>
      <c r="F929">
        <v>10570047</v>
      </c>
      <c r="G929">
        <v>0</v>
      </c>
    </row>
    <row r="930" spans="1:7" x14ac:dyDescent="0.25">
      <c r="A930" s="226">
        <v>10570049</v>
      </c>
      <c r="B930" s="92">
        <v>0</v>
      </c>
      <c r="F930">
        <v>10570049</v>
      </c>
      <c r="G930">
        <v>0</v>
      </c>
    </row>
    <row r="931" spans="1:7" x14ac:dyDescent="0.25">
      <c r="A931" s="226">
        <v>10570053</v>
      </c>
      <c r="B931" s="92">
        <v>0</v>
      </c>
      <c r="F931">
        <v>10570053</v>
      </c>
      <c r="G931">
        <v>0</v>
      </c>
    </row>
    <row r="932" spans="1:7" x14ac:dyDescent="0.25">
      <c r="A932" s="226">
        <v>10570054</v>
      </c>
      <c r="B932" s="92">
        <v>0</v>
      </c>
      <c r="F932">
        <v>10570054</v>
      </c>
      <c r="G932">
        <v>0</v>
      </c>
    </row>
    <row r="933" spans="1:7" x14ac:dyDescent="0.25">
      <c r="A933" s="226">
        <v>10570055</v>
      </c>
      <c r="B933" s="92">
        <v>0</v>
      </c>
      <c r="F933">
        <v>10570055</v>
      </c>
      <c r="G933">
        <v>0</v>
      </c>
    </row>
    <row r="934" spans="1:7" x14ac:dyDescent="0.25">
      <c r="A934" s="226">
        <v>10570056</v>
      </c>
      <c r="B934" s="92">
        <v>0</v>
      </c>
      <c r="F934">
        <v>10570056</v>
      </c>
      <c r="G934">
        <v>0</v>
      </c>
    </row>
    <row r="935" spans="1:7" x14ac:dyDescent="0.25">
      <c r="A935" s="226">
        <v>10570057</v>
      </c>
      <c r="B935" s="92">
        <v>0</v>
      </c>
      <c r="F935">
        <v>10570057</v>
      </c>
      <c r="G935">
        <v>0</v>
      </c>
    </row>
    <row r="936" spans="1:7" x14ac:dyDescent="0.25">
      <c r="A936" s="226">
        <v>10570058</v>
      </c>
      <c r="B936" s="92">
        <v>0</v>
      </c>
      <c r="F936">
        <v>10570058</v>
      </c>
      <c r="G936">
        <v>0</v>
      </c>
    </row>
    <row r="937" spans="1:7" x14ac:dyDescent="0.25">
      <c r="A937" s="226">
        <v>10570059</v>
      </c>
      <c r="B937" s="92">
        <v>0</v>
      </c>
      <c r="F937">
        <v>10570059</v>
      </c>
      <c r="G937">
        <v>0</v>
      </c>
    </row>
    <row r="938" spans="1:7" x14ac:dyDescent="0.25">
      <c r="A938" s="226">
        <v>10570060</v>
      </c>
      <c r="B938" s="92">
        <v>0</v>
      </c>
      <c r="F938">
        <v>10570060</v>
      </c>
      <c r="G938">
        <v>0</v>
      </c>
    </row>
    <row r="939" spans="1:7" x14ac:dyDescent="0.25">
      <c r="A939" s="226">
        <v>10580001</v>
      </c>
      <c r="B939" s="92">
        <v>0</v>
      </c>
      <c r="F939">
        <v>10580001</v>
      </c>
      <c r="G939">
        <v>0</v>
      </c>
    </row>
    <row r="940" spans="1:7" x14ac:dyDescent="0.25">
      <c r="A940" s="226">
        <v>10580002</v>
      </c>
      <c r="B940" s="92">
        <v>0</v>
      </c>
      <c r="F940">
        <v>10580002</v>
      </c>
      <c r="G940">
        <v>0</v>
      </c>
    </row>
    <row r="941" spans="1:7" x14ac:dyDescent="0.25">
      <c r="A941" s="226">
        <v>10580004</v>
      </c>
      <c r="B941" s="92">
        <v>0</v>
      </c>
      <c r="F941">
        <v>10580004</v>
      </c>
      <c r="G941">
        <v>0</v>
      </c>
    </row>
    <row r="942" spans="1:7" x14ac:dyDescent="0.25">
      <c r="A942" s="226">
        <v>10580005</v>
      </c>
      <c r="B942" s="92">
        <v>0</v>
      </c>
      <c r="F942">
        <v>10580005</v>
      </c>
      <c r="G942">
        <v>0</v>
      </c>
    </row>
    <row r="943" spans="1:7" x14ac:dyDescent="0.25">
      <c r="A943" s="226">
        <v>10580007</v>
      </c>
      <c r="B943" s="92">
        <v>0</v>
      </c>
      <c r="F943">
        <v>10580007</v>
      </c>
      <c r="G943">
        <v>0</v>
      </c>
    </row>
    <row r="944" spans="1:7" x14ac:dyDescent="0.25">
      <c r="A944" s="226">
        <v>10580009</v>
      </c>
      <c r="B944" s="92">
        <v>0</v>
      </c>
      <c r="F944">
        <v>10580009</v>
      </c>
      <c r="G944">
        <v>0</v>
      </c>
    </row>
    <row r="945" spans="1:7" x14ac:dyDescent="0.25">
      <c r="A945" s="226">
        <v>10580010</v>
      </c>
      <c r="B945" s="92">
        <v>0</v>
      </c>
      <c r="F945">
        <v>10580010</v>
      </c>
      <c r="G945">
        <v>0</v>
      </c>
    </row>
    <row r="946" spans="1:7" x14ac:dyDescent="0.25">
      <c r="A946" s="226">
        <v>10580012</v>
      </c>
      <c r="B946" s="92">
        <v>0</v>
      </c>
      <c r="F946">
        <v>10580012</v>
      </c>
      <c r="G946">
        <v>0</v>
      </c>
    </row>
    <row r="947" spans="1:7" x14ac:dyDescent="0.25">
      <c r="A947" s="226">
        <v>10580014</v>
      </c>
      <c r="B947" s="92">
        <v>0</v>
      </c>
      <c r="F947">
        <v>10580014</v>
      </c>
      <c r="G947">
        <v>0</v>
      </c>
    </row>
    <row r="948" spans="1:7" x14ac:dyDescent="0.25">
      <c r="A948" s="226">
        <v>10580015</v>
      </c>
      <c r="B948" s="92">
        <v>0</v>
      </c>
      <c r="F948">
        <v>10580015</v>
      </c>
      <c r="G948">
        <v>0</v>
      </c>
    </row>
    <row r="949" spans="1:7" x14ac:dyDescent="0.25">
      <c r="A949" s="226">
        <v>10580017</v>
      </c>
      <c r="B949" s="92">
        <v>0</v>
      </c>
      <c r="F949">
        <v>10580017</v>
      </c>
      <c r="G949">
        <v>0</v>
      </c>
    </row>
    <row r="950" spans="1:7" x14ac:dyDescent="0.25">
      <c r="A950" s="226">
        <v>10580018</v>
      </c>
      <c r="B950" s="92">
        <v>0</v>
      </c>
      <c r="F950">
        <v>10580018</v>
      </c>
      <c r="G950">
        <v>0</v>
      </c>
    </row>
    <row r="951" spans="1:7" x14ac:dyDescent="0.25">
      <c r="A951" s="226">
        <v>10580019</v>
      </c>
      <c r="B951" s="92">
        <v>0</v>
      </c>
      <c r="F951">
        <v>10580019</v>
      </c>
      <c r="G951">
        <v>0</v>
      </c>
    </row>
    <row r="952" spans="1:7" x14ac:dyDescent="0.25">
      <c r="A952" s="226">
        <v>10580020</v>
      </c>
      <c r="B952" s="92">
        <v>0</v>
      </c>
      <c r="F952">
        <v>10580020</v>
      </c>
      <c r="G952">
        <v>0</v>
      </c>
    </row>
    <row r="953" spans="1:7" x14ac:dyDescent="0.25">
      <c r="A953" s="226">
        <v>10580022</v>
      </c>
      <c r="B953" s="92">
        <v>0</v>
      </c>
      <c r="F953">
        <v>10580022</v>
      </c>
      <c r="G953">
        <v>0</v>
      </c>
    </row>
    <row r="954" spans="1:7" x14ac:dyDescent="0.25">
      <c r="A954" s="226">
        <v>10580023</v>
      </c>
      <c r="B954" s="92">
        <v>0</v>
      </c>
      <c r="F954">
        <v>10580023</v>
      </c>
      <c r="G954">
        <v>0</v>
      </c>
    </row>
    <row r="955" spans="1:7" x14ac:dyDescent="0.25">
      <c r="A955" s="226">
        <v>10580024</v>
      </c>
      <c r="B955" s="92">
        <v>0</v>
      </c>
      <c r="F955">
        <v>10580024</v>
      </c>
      <c r="G955">
        <v>0</v>
      </c>
    </row>
    <row r="956" spans="1:7" x14ac:dyDescent="0.25">
      <c r="A956" s="226">
        <v>10580025</v>
      </c>
      <c r="B956" s="92">
        <v>0</v>
      </c>
      <c r="F956">
        <v>10580025</v>
      </c>
      <c r="G956">
        <v>0</v>
      </c>
    </row>
    <row r="957" spans="1:7" x14ac:dyDescent="0.25">
      <c r="A957" s="226">
        <v>10580026</v>
      </c>
      <c r="B957" s="92">
        <v>0</v>
      </c>
      <c r="F957">
        <v>10580026</v>
      </c>
      <c r="G957">
        <v>0</v>
      </c>
    </row>
    <row r="958" spans="1:7" x14ac:dyDescent="0.25">
      <c r="A958" s="226">
        <v>10580027</v>
      </c>
      <c r="B958" s="92">
        <v>0</v>
      </c>
      <c r="F958">
        <v>10580027</v>
      </c>
      <c r="G958">
        <v>0</v>
      </c>
    </row>
    <row r="959" spans="1:7" x14ac:dyDescent="0.25">
      <c r="A959" s="226">
        <v>10580028</v>
      </c>
      <c r="B959" s="92">
        <v>0</v>
      </c>
      <c r="F959">
        <v>10580028</v>
      </c>
      <c r="G959">
        <v>0</v>
      </c>
    </row>
    <row r="960" spans="1:7" x14ac:dyDescent="0.25">
      <c r="A960" s="226">
        <v>10580029</v>
      </c>
      <c r="B960" s="92">
        <v>0</v>
      </c>
      <c r="F960">
        <v>10580029</v>
      </c>
      <c r="G960">
        <v>0</v>
      </c>
    </row>
    <row r="961" spans="1:7" x14ac:dyDescent="0.25">
      <c r="A961" s="226">
        <v>10580030</v>
      </c>
      <c r="B961" s="92">
        <v>0</v>
      </c>
      <c r="F961">
        <v>10580030</v>
      </c>
      <c r="G961">
        <v>0</v>
      </c>
    </row>
    <row r="962" spans="1:7" x14ac:dyDescent="0.25">
      <c r="A962" s="226">
        <v>10580031</v>
      </c>
      <c r="B962" s="92">
        <v>0</v>
      </c>
      <c r="F962">
        <v>10580031</v>
      </c>
      <c r="G962">
        <v>0</v>
      </c>
    </row>
    <row r="963" spans="1:7" x14ac:dyDescent="0.25">
      <c r="A963" s="226">
        <v>10580032</v>
      </c>
      <c r="B963" s="92">
        <v>0</v>
      </c>
      <c r="F963">
        <v>10580032</v>
      </c>
      <c r="G963">
        <v>0</v>
      </c>
    </row>
    <row r="964" spans="1:7" x14ac:dyDescent="0.25">
      <c r="A964" s="226">
        <v>10580033</v>
      </c>
      <c r="B964" s="92">
        <v>0</v>
      </c>
      <c r="F964">
        <v>10580033</v>
      </c>
      <c r="G964">
        <v>0</v>
      </c>
    </row>
    <row r="965" spans="1:7" x14ac:dyDescent="0.25">
      <c r="A965" s="226">
        <v>10580034</v>
      </c>
      <c r="B965" s="92">
        <v>0</v>
      </c>
      <c r="F965">
        <v>10580034</v>
      </c>
      <c r="G965">
        <v>0</v>
      </c>
    </row>
    <row r="966" spans="1:7" x14ac:dyDescent="0.25">
      <c r="A966" s="226">
        <v>10590001</v>
      </c>
      <c r="B966" s="92">
        <v>0</v>
      </c>
      <c r="F966">
        <v>10590001</v>
      </c>
      <c r="G966">
        <v>0</v>
      </c>
    </row>
    <row r="967" spans="1:7" x14ac:dyDescent="0.25">
      <c r="A967" s="226">
        <v>10590002</v>
      </c>
      <c r="B967" s="92">
        <v>0</v>
      </c>
      <c r="F967">
        <v>10590002</v>
      </c>
      <c r="G967">
        <v>0</v>
      </c>
    </row>
    <row r="968" spans="1:7" x14ac:dyDescent="0.25">
      <c r="A968" s="226">
        <v>10590004</v>
      </c>
      <c r="B968" s="92">
        <v>0</v>
      </c>
      <c r="F968">
        <v>10590004</v>
      </c>
      <c r="G968">
        <v>0</v>
      </c>
    </row>
    <row r="969" spans="1:7" x14ac:dyDescent="0.25">
      <c r="A969" s="226">
        <v>10590006</v>
      </c>
      <c r="B969" s="92">
        <v>0</v>
      </c>
      <c r="F969">
        <v>10590006</v>
      </c>
      <c r="G969">
        <v>0</v>
      </c>
    </row>
    <row r="970" spans="1:7" x14ac:dyDescent="0.25">
      <c r="A970" s="226">
        <v>10590007</v>
      </c>
      <c r="B970" s="92">
        <v>0</v>
      </c>
      <c r="F970">
        <v>10590007</v>
      </c>
      <c r="G970">
        <v>0</v>
      </c>
    </row>
    <row r="971" spans="1:7" x14ac:dyDescent="0.25">
      <c r="A971" s="226">
        <v>10590008</v>
      </c>
      <c r="B971" s="92">
        <v>0</v>
      </c>
      <c r="F971">
        <v>10590008</v>
      </c>
      <c r="G971">
        <v>0</v>
      </c>
    </row>
    <row r="972" spans="1:7" x14ac:dyDescent="0.25">
      <c r="A972" s="226">
        <v>10590009</v>
      </c>
      <c r="B972" s="92">
        <v>0</v>
      </c>
      <c r="F972">
        <v>10590009</v>
      </c>
      <c r="G972">
        <v>0</v>
      </c>
    </row>
    <row r="973" spans="1:7" x14ac:dyDescent="0.25">
      <c r="A973" s="226">
        <v>10590010</v>
      </c>
      <c r="B973" s="92">
        <v>0</v>
      </c>
      <c r="F973">
        <v>10590010</v>
      </c>
      <c r="G973">
        <v>0</v>
      </c>
    </row>
    <row r="974" spans="1:7" x14ac:dyDescent="0.25">
      <c r="A974" s="226">
        <v>10590011</v>
      </c>
      <c r="B974" s="92">
        <v>0</v>
      </c>
      <c r="F974">
        <v>10590011</v>
      </c>
      <c r="G974">
        <v>0</v>
      </c>
    </row>
    <row r="975" spans="1:7" x14ac:dyDescent="0.25">
      <c r="A975" s="226">
        <v>10590012</v>
      </c>
      <c r="B975" s="92">
        <v>0</v>
      </c>
      <c r="F975">
        <v>10590012</v>
      </c>
      <c r="G975">
        <v>0</v>
      </c>
    </row>
    <row r="976" spans="1:7" x14ac:dyDescent="0.25">
      <c r="A976" s="226">
        <v>10590013</v>
      </c>
      <c r="B976" s="92">
        <v>0</v>
      </c>
      <c r="F976">
        <v>10590013</v>
      </c>
      <c r="G976">
        <v>0</v>
      </c>
    </row>
    <row r="977" spans="1:7" x14ac:dyDescent="0.25">
      <c r="A977" s="226">
        <v>10590014</v>
      </c>
      <c r="B977" s="92">
        <v>0</v>
      </c>
      <c r="F977">
        <v>10590014</v>
      </c>
      <c r="G977">
        <v>0</v>
      </c>
    </row>
    <row r="978" spans="1:7" x14ac:dyDescent="0.25">
      <c r="A978" s="226">
        <v>10590015</v>
      </c>
      <c r="B978" s="92">
        <v>0</v>
      </c>
      <c r="F978">
        <v>10590015</v>
      </c>
      <c r="G978">
        <v>0</v>
      </c>
    </row>
    <row r="979" spans="1:7" x14ac:dyDescent="0.25">
      <c r="A979" s="226">
        <v>10590016</v>
      </c>
      <c r="B979" s="92">
        <v>0</v>
      </c>
      <c r="F979">
        <v>10590016</v>
      </c>
      <c r="G979">
        <v>0</v>
      </c>
    </row>
    <row r="980" spans="1:7" x14ac:dyDescent="0.25">
      <c r="A980" s="226">
        <v>10600001</v>
      </c>
      <c r="B980" s="92">
        <v>0</v>
      </c>
      <c r="F980">
        <v>10600001</v>
      </c>
      <c r="G980">
        <v>0</v>
      </c>
    </row>
    <row r="981" spans="1:7" x14ac:dyDescent="0.25">
      <c r="A981" s="226">
        <v>10600002</v>
      </c>
      <c r="B981" s="92">
        <v>0</v>
      </c>
      <c r="F981">
        <v>10600002</v>
      </c>
      <c r="G981">
        <v>0</v>
      </c>
    </row>
    <row r="982" spans="1:7" x14ac:dyDescent="0.25">
      <c r="A982" s="226">
        <v>10600004</v>
      </c>
      <c r="B982" s="92">
        <v>0</v>
      </c>
      <c r="F982">
        <v>10600004</v>
      </c>
      <c r="G982">
        <v>0</v>
      </c>
    </row>
    <row r="983" spans="1:7" x14ac:dyDescent="0.25">
      <c r="A983" s="226">
        <v>10600005</v>
      </c>
      <c r="B983" s="92">
        <v>0</v>
      </c>
      <c r="F983">
        <v>10600005</v>
      </c>
      <c r="G983">
        <v>0</v>
      </c>
    </row>
    <row r="984" spans="1:7" x14ac:dyDescent="0.25">
      <c r="A984" s="226">
        <v>10600006</v>
      </c>
      <c r="B984" s="92">
        <v>0</v>
      </c>
      <c r="F984">
        <v>10600006</v>
      </c>
      <c r="G984">
        <v>0</v>
      </c>
    </row>
    <row r="985" spans="1:7" x14ac:dyDescent="0.25">
      <c r="A985" s="226">
        <v>10600007</v>
      </c>
      <c r="B985" s="92">
        <v>0</v>
      </c>
      <c r="F985">
        <v>10600007</v>
      </c>
      <c r="G985">
        <v>0</v>
      </c>
    </row>
    <row r="986" spans="1:7" x14ac:dyDescent="0.25">
      <c r="A986" s="226">
        <v>10600008</v>
      </c>
      <c r="B986" s="92">
        <v>0</v>
      </c>
      <c r="F986">
        <v>10600008</v>
      </c>
      <c r="G986">
        <v>0</v>
      </c>
    </row>
    <row r="987" spans="1:7" x14ac:dyDescent="0.25">
      <c r="A987" s="226">
        <v>10600009</v>
      </c>
      <c r="B987" s="92">
        <v>0</v>
      </c>
      <c r="F987">
        <v>10600009</v>
      </c>
      <c r="G987">
        <v>0</v>
      </c>
    </row>
    <row r="988" spans="1:7" x14ac:dyDescent="0.25">
      <c r="A988" s="226">
        <v>10600010</v>
      </c>
      <c r="B988" s="92">
        <v>0</v>
      </c>
      <c r="F988">
        <v>10600010</v>
      </c>
      <c r="G988">
        <v>0</v>
      </c>
    </row>
    <row r="989" spans="1:7" x14ac:dyDescent="0.25">
      <c r="A989" s="226">
        <v>10600012</v>
      </c>
      <c r="B989" s="92">
        <v>0</v>
      </c>
      <c r="F989">
        <v>10600012</v>
      </c>
      <c r="G989">
        <v>0</v>
      </c>
    </row>
    <row r="990" spans="1:7" x14ac:dyDescent="0.25">
      <c r="A990" s="226">
        <v>10600013</v>
      </c>
      <c r="B990" s="92">
        <v>0</v>
      </c>
      <c r="F990">
        <v>10600013</v>
      </c>
      <c r="G990">
        <v>0</v>
      </c>
    </row>
    <row r="991" spans="1:7" x14ac:dyDescent="0.25">
      <c r="A991" s="226">
        <v>10610001</v>
      </c>
      <c r="B991" s="92">
        <v>0</v>
      </c>
      <c r="F991">
        <v>10610001</v>
      </c>
      <c r="G991">
        <v>0</v>
      </c>
    </row>
    <row r="992" spans="1:7" x14ac:dyDescent="0.25">
      <c r="A992" s="226">
        <v>10610002</v>
      </c>
      <c r="B992" s="92">
        <v>0</v>
      </c>
      <c r="F992">
        <v>10610002</v>
      </c>
      <c r="G992">
        <v>0</v>
      </c>
    </row>
    <row r="993" spans="1:7" x14ac:dyDescent="0.25">
      <c r="A993" s="226">
        <v>10610003</v>
      </c>
      <c r="B993" s="92">
        <v>0</v>
      </c>
      <c r="F993">
        <v>10610003</v>
      </c>
      <c r="G993">
        <v>0</v>
      </c>
    </row>
    <row r="994" spans="1:7" x14ac:dyDescent="0.25">
      <c r="A994" s="226">
        <v>10610004</v>
      </c>
      <c r="B994" s="92">
        <v>0</v>
      </c>
      <c r="F994">
        <v>10610004</v>
      </c>
      <c r="G994">
        <v>0</v>
      </c>
    </row>
    <row r="995" spans="1:7" x14ac:dyDescent="0.25">
      <c r="A995" s="226">
        <v>10610005</v>
      </c>
      <c r="B995" s="92">
        <v>0</v>
      </c>
      <c r="F995">
        <v>10610005</v>
      </c>
      <c r="G995">
        <v>0</v>
      </c>
    </row>
    <row r="996" spans="1:7" x14ac:dyDescent="0.25">
      <c r="A996" s="226">
        <v>10610006</v>
      </c>
      <c r="B996" s="92">
        <v>0</v>
      </c>
      <c r="F996">
        <v>10610006</v>
      </c>
      <c r="G996">
        <v>0</v>
      </c>
    </row>
    <row r="997" spans="1:7" x14ac:dyDescent="0.25">
      <c r="A997" s="226">
        <v>10610007</v>
      </c>
      <c r="B997" s="92">
        <v>0</v>
      </c>
      <c r="F997">
        <v>10610007</v>
      </c>
      <c r="G997">
        <v>0</v>
      </c>
    </row>
    <row r="998" spans="1:7" x14ac:dyDescent="0.25">
      <c r="A998" s="226">
        <v>10610008</v>
      </c>
      <c r="B998" s="92">
        <v>0</v>
      </c>
      <c r="F998">
        <v>10610008</v>
      </c>
      <c r="G998">
        <v>0</v>
      </c>
    </row>
    <row r="999" spans="1:7" x14ac:dyDescent="0.25">
      <c r="A999" s="226">
        <v>10610009</v>
      </c>
      <c r="B999" s="92">
        <v>0</v>
      </c>
      <c r="F999">
        <v>10610009</v>
      </c>
      <c r="G999">
        <v>0</v>
      </c>
    </row>
    <row r="1000" spans="1:7" x14ac:dyDescent="0.25">
      <c r="A1000" s="226">
        <v>10610010</v>
      </c>
      <c r="B1000" s="92">
        <v>0</v>
      </c>
      <c r="F1000">
        <v>10610010</v>
      </c>
      <c r="G1000">
        <v>0</v>
      </c>
    </row>
    <row r="1001" spans="1:7" x14ac:dyDescent="0.25">
      <c r="A1001" s="226">
        <v>10610011</v>
      </c>
      <c r="B1001" s="92">
        <v>0</v>
      </c>
      <c r="F1001">
        <v>10610011</v>
      </c>
      <c r="G1001">
        <v>0</v>
      </c>
    </row>
    <row r="1002" spans="1:7" x14ac:dyDescent="0.25">
      <c r="A1002" s="226">
        <v>10610013</v>
      </c>
      <c r="B1002" s="92">
        <v>0</v>
      </c>
      <c r="F1002">
        <v>10610013</v>
      </c>
      <c r="G1002">
        <v>0</v>
      </c>
    </row>
    <row r="1003" spans="1:7" x14ac:dyDescent="0.25">
      <c r="A1003" s="226">
        <v>10610014</v>
      </c>
      <c r="B1003" s="92">
        <v>0</v>
      </c>
      <c r="F1003">
        <v>10610014</v>
      </c>
      <c r="G1003">
        <v>0</v>
      </c>
    </row>
    <row r="1004" spans="1:7" x14ac:dyDescent="0.25">
      <c r="A1004" s="226">
        <v>10610015</v>
      </c>
      <c r="B1004" s="92">
        <v>0</v>
      </c>
      <c r="F1004">
        <v>10610015</v>
      </c>
      <c r="G1004">
        <v>0</v>
      </c>
    </row>
    <row r="1005" spans="1:7" x14ac:dyDescent="0.25">
      <c r="A1005" s="226">
        <v>10610017</v>
      </c>
      <c r="B1005" s="92">
        <v>0</v>
      </c>
      <c r="F1005">
        <v>10610017</v>
      </c>
      <c r="G1005">
        <v>0</v>
      </c>
    </row>
    <row r="1006" spans="1:7" x14ac:dyDescent="0.25">
      <c r="A1006" s="226">
        <v>10610018</v>
      </c>
      <c r="B1006" s="92">
        <v>0</v>
      </c>
      <c r="F1006">
        <v>10610018</v>
      </c>
      <c r="G1006">
        <v>0</v>
      </c>
    </row>
    <row r="1007" spans="1:7" x14ac:dyDescent="0.25">
      <c r="A1007" s="226">
        <v>10610019</v>
      </c>
      <c r="B1007" s="92">
        <v>0</v>
      </c>
      <c r="F1007">
        <v>10610019</v>
      </c>
      <c r="G1007">
        <v>0</v>
      </c>
    </row>
    <row r="1008" spans="1:7" x14ac:dyDescent="0.25">
      <c r="A1008" s="226">
        <v>10610020</v>
      </c>
      <c r="B1008" s="92">
        <v>0</v>
      </c>
      <c r="F1008">
        <v>10610020</v>
      </c>
      <c r="G1008">
        <v>0</v>
      </c>
    </row>
    <row r="1009" spans="1:7" x14ac:dyDescent="0.25">
      <c r="A1009" s="226">
        <v>10610021</v>
      </c>
      <c r="B1009" s="92">
        <v>0</v>
      </c>
      <c r="F1009">
        <v>10610021</v>
      </c>
      <c r="G1009">
        <v>0</v>
      </c>
    </row>
    <row r="1010" spans="1:7" x14ac:dyDescent="0.25">
      <c r="A1010" s="226">
        <v>10610022</v>
      </c>
      <c r="B1010" s="92">
        <v>0</v>
      </c>
      <c r="F1010">
        <v>10610022</v>
      </c>
      <c r="G1010">
        <v>0</v>
      </c>
    </row>
    <row r="1011" spans="1:7" x14ac:dyDescent="0.25">
      <c r="A1011" s="226">
        <v>10610023</v>
      </c>
      <c r="B1011" s="92">
        <v>0</v>
      </c>
      <c r="F1011">
        <v>10610023</v>
      </c>
      <c r="G1011">
        <v>0</v>
      </c>
    </row>
    <row r="1012" spans="1:7" x14ac:dyDescent="0.25">
      <c r="A1012" s="226">
        <v>10610024</v>
      </c>
      <c r="B1012" s="92">
        <v>0</v>
      </c>
      <c r="F1012">
        <v>10610024</v>
      </c>
      <c r="G1012">
        <v>0</v>
      </c>
    </row>
    <row r="1013" spans="1:7" x14ac:dyDescent="0.25">
      <c r="A1013" s="226">
        <v>10610025</v>
      </c>
      <c r="B1013" s="92">
        <v>0</v>
      </c>
      <c r="F1013">
        <v>10610025</v>
      </c>
      <c r="G1013">
        <v>0</v>
      </c>
    </row>
    <row r="1014" spans="1:7" x14ac:dyDescent="0.25">
      <c r="A1014" s="226">
        <v>10610026</v>
      </c>
      <c r="B1014" s="92">
        <v>0</v>
      </c>
      <c r="F1014">
        <v>10610026</v>
      </c>
      <c r="G1014">
        <v>0</v>
      </c>
    </row>
    <row r="1015" spans="1:7" x14ac:dyDescent="0.25">
      <c r="A1015" s="226">
        <v>10610027</v>
      </c>
      <c r="B1015" s="92">
        <v>0</v>
      </c>
      <c r="F1015">
        <v>10610027</v>
      </c>
      <c r="G1015">
        <v>0</v>
      </c>
    </row>
    <row r="1016" spans="1:7" x14ac:dyDescent="0.25">
      <c r="A1016" s="226">
        <v>10610028</v>
      </c>
      <c r="B1016" s="92">
        <v>0</v>
      </c>
      <c r="F1016">
        <v>10610028</v>
      </c>
      <c r="G1016">
        <v>0</v>
      </c>
    </row>
    <row r="1017" spans="1:7" x14ac:dyDescent="0.25">
      <c r="A1017" s="226">
        <v>10610030</v>
      </c>
      <c r="B1017" s="92">
        <v>0</v>
      </c>
      <c r="F1017">
        <v>10610030</v>
      </c>
      <c r="G1017">
        <v>0</v>
      </c>
    </row>
    <row r="1018" spans="1:7" x14ac:dyDescent="0.25">
      <c r="A1018" s="226">
        <v>10610031</v>
      </c>
      <c r="B1018" s="92">
        <v>0</v>
      </c>
      <c r="F1018">
        <v>10610031</v>
      </c>
      <c r="G1018">
        <v>0</v>
      </c>
    </row>
    <row r="1019" spans="1:7" x14ac:dyDescent="0.25">
      <c r="A1019" s="226">
        <v>10610032</v>
      </c>
      <c r="B1019" s="92">
        <v>0</v>
      </c>
      <c r="F1019">
        <v>10610032</v>
      </c>
      <c r="G1019">
        <v>0</v>
      </c>
    </row>
    <row r="1020" spans="1:7" x14ac:dyDescent="0.25">
      <c r="A1020" s="226">
        <v>10610034</v>
      </c>
      <c r="B1020" s="92">
        <v>0</v>
      </c>
      <c r="F1020">
        <v>10610034</v>
      </c>
      <c r="G1020">
        <v>0</v>
      </c>
    </row>
    <row r="1021" spans="1:7" x14ac:dyDescent="0.25">
      <c r="A1021" s="226">
        <v>10610035</v>
      </c>
      <c r="B1021" s="92">
        <v>0</v>
      </c>
      <c r="F1021">
        <v>10610035</v>
      </c>
      <c r="G1021">
        <v>0</v>
      </c>
    </row>
    <row r="1022" spans="1:7" x14ac:dyDescent="0.25">
      <c r="A1022" s="226">
        <v>10610036</v>
      </c>
      <c r="B1022" s="92">
        <v>0</v>
      </c>
      <c r="F1022">
        <v>10610036</v>
      </c>
      <c r="G1022">
        <v>0</v>
      </c>
    </row>
    <row r="1023" spans="1:7" x14ac:dyDescent="0.25">
      <c r="A1023" s="226">
        <v>10610038</v>
      </c>
      <c r="B1023" s="92">
        <v>0</v>
      </c>
      <c r="F1023">
        <v>10610038</v>
      </c>
      <c r="G1023">
        <v>0</v>
      </c>
    </row>
    <row r="1024" spans="1:7" x14ac:dyDescent="0.25">
      <c r="A1024" s="226">
        <v>10610039</v>
      </c>
      <c r="B1024" s="92">
        <v>0</v>
      </c>
      <c r="F1024">
        <v>10610039</v>
      </c>
      <c r="G1024">
        <v>0</v>
      </c>
    </row>
    <row r="1025" spans="1:7" x14ac:dyDescent="0.25">
      <c r="A1025" s="226">
        <v>10610040</v>
      </c>
      <c r="B1025" s="92">
        <v>0</v>
      </c>
      <c r="F1025">
        <v>10610040</v>
      </c>
      <c r="G1025">
        <v>0</v>
      </c>
    </row>
    <row r="1026" spans="1:7" x14ac:dyDescent="0.25">
      <c r="A1026" s="226">
        <v>10610042</v>
      </c>
      <c r="B1026" s="92">
        <v>0</v>
      </c>
      <c r="F1026">
        <v>10610042</v>
      </c>
      <c r="G1026">
        <v>0</v>
      </c>
    </row>
    <row r="1027" spans="1:7" x14ac:dyDescent="0.25">
      <c r="A1027" s="226">
        <v>10610043</v>
      </c>
      <c r="B1027" s="92">
        <v>0</v>
      </c>
      <c r="F1027">
        <v>10610043</v>
      </c>
      <c r="G1027">
        <v>0</v>
      </c>
    </row>
    <row r="1028" spans="1:7" x14ac:dyDescent="0.25">
      <c r="A1028" s="226">
        <v>10610044</v>
      </c>
      <c r="B1028" s="92">
        <v>0</v>
      </c>
      <c r="F1028">
        <v>10610044</v>
      </c>
      <c r="G1028">
        <v>0</v>
      </c>
    </row>
    <row r="1029" spans="1:7" x14ac:dyDescent="0.25">
      <c r="A1029" s="226">
        <v>10610045</v>
      </c>
      <c r="B1029" s="92">
        <v>0</v>
      </c>
      <c r="F1029">
        <v>10610045</v>
      </c>
      <c r="G1029">
        <v>0</v>
      </c>
    </row>
    <row r="1030" spans="1:7" x14ac:dyDescent="0.25">
      <c r="A1030" s="226">
        <v>10610046</v>
      </c>
      <c r="B1030" s="92">
        <v>0</v>
      </c>
      <c r="F1030">
        <v>10610046</v>
      </c>
      <c r="G1030">
        <v>0</v>
      </c>
    </row>
    <row r="1031" spans="1:7" x14ac:dyDescent="0.25">
      <c r="A1031" s="226">
        <v>10610047</v>
      </c>
      <c r="B1031" s="92">
        <v>0</v>
      </c>
      <c r="F1031">
        <v>10610047</v>
      </c>
      <c r="G1031">
        <v>0</v>
      </c>
    </row>
    <row r="1032" spans="1:7" x14ac:dyDescent="0.25">
      <c r="A1032" s="226">
        <v>10610048</v>
      </c>
      <c r="B1032" s="92">
        <v>0</v>
      </c>
      <c r="F1032">
        <v>10610048</v>
      </c>
      <c r="G1032">
        <v>0</v>
      </c>
    </row>
    <row r="1033" spans="1:7" x14ac:dyDescent="0.25">
      <c r="A1033" s="226">
        <v>10610049</v>
      </c>
      <c r="B1033" s="92">
        <v>0</v>
      </c>
      <c r="F1033">
        <v>10610049</v>
      </c>
      <c r="G1033">
        <v>0</v>
      </c>
    </row>
    <row r="1034" spans="1:7" x14ac:dyDescent="0.25">
      <c r="A1034" s="226">
        <v>10610050</v>
      </c>
      <c r="B1034" s="92">
        <v>0</v>
      </c>
      <c r="F1034">
        <v>10610050</v>
      </c>
      <c r="G1034">
        <v>0</v>
      </c>
    </row>
    <row r="1035" spans="1:7" x14ac:dyDescent="0.25">
      <c r="A1035" s="226">
        <v>10610051</v>
      </c>
      <c r="B1035" s="92">
        <v>0</v>
      </c>
      <c r="F1035">
        <v>10610051</v>
      </c>
      <c r="G1035">
        <v>0</v>
      </c>
    </row>
    <row r="1036" spans="1:7" x14ac:dyDescent="0.25">
      <c r="A1036" s="226">
        <v>10610052</v>
      </c>
      <c r="B1036" s="92">
        <v>0</v>
      </c>
      <c r="F1036">
        <v>10610052</v>
      </c>
      <c r="G1036">
        <v>0</v>
      </c>
    </row>
    <row r="1037" spans="1:7" x14ac:dyDescent="0.25">
      <c r="A1037" s="226">
        <v>10630001</v>
      </c>
      <c r="B1037" s="92">
        <v>0</v>
      </c>
      <c r="F1037">
        <v>10630001</v>
      </c>
      <c r="G1037">
        <v>0</v>
      </c>
    </row>
    <row r="1038" spans="1:7" x14ac:dyDescent="0.25">
      <c r="A1038" s="226">
        <v>10630002</v>
      </c>
      <c r="B1038" s="92">
        <v>0</v>
      </c>
      <c r="F1038">
        <v>10630002</v>
      </c>
      <c r="G1038">
        <v>0</v>
      </c>
    </row>
    <row r="1039" spans="1:7" x14ac:dyDescent="0.25">
      <c r="A1039" s="226">
        <v>10630003</v>
      </c>
      <c r="B1039" s="92">
        <v>0</v>
      </c>
      <c r="F1039">
        <v>10630003</v>
      </c>
      <c r="G1039">
        <v>0</v>
      </c>
    </row>
    <row r="1040" spans="1:7" x14ac:dyDescent="0.25">
      <c r="A1040" s="226">
        <v>10630004</v>
      </c>
      <c r="B1040" s="92">
        <v>0</v>
      </c>
      <c r="F1040">
        <v>10630004</v>
      </c>
      <c r="G1040">
        <v>0</v>
      </c>
    </row>
    <row r="1041" spans="1:7" x14ac:dyDescent="0.25">
      <c r="A1041" s="226">
        <v>10630007</v>
      </c>
      <c r="B1041" s="92">
        <v>0</v>
      </c>
      <c r="F1041">
        <v>10630007</v>
      </c>
      <c r="G1041">
        <v>0</v>
      </c>
    </row>
    <row r="1042" spans="1:7" x14ac:dyDescent="0.25">
      <c r="A1042" s="226">
        <v>10630008</v>
      </c>
      <c r="B1042" s="92">
        <v>0</v>
      </c>
      <c r="F1042">
        <v>10630008</v>
      </c>
      <c r="G1042">
        <v>0</v>
      </c>
    </row>
    <row r="1043" spans="1:7" x14ac:dyDescent="0.25">
      <c r="A1043" s="226">
        <v>10630009</v>
      </c>
      <c r="B1043" s="92">
        <v>0</v>
      </c>
      <c r="F1043">
        <v>10630009</v>
      </c>
      <c r="G1043">
        <v>0</v>
      </c>
    </row>
    <row r="1044" spans="1:7" x14ac:dyDescent="0.25">
      <c r="A1044" s="226">
        <v>10630010</v>
      </c>
      <c r="B1044" s="92">
        <v>0</v>
      </c>
      <c r="F1044">
        <v>10630010</v>
      </c>
      <c r="G1044">
        <v>0</v>
      </c>
    </row>
    <row r="1045" spans="1:7" x14ac:dyDescent="0.25">
      <c r="A1045" s="226">
        <v>10630011</v>
      </c>
      <c r="B1045" s="92">
        <v>0</v>
      </c>
      <c r="F1045">
        <v>10630011</v>
      </c>
      <c r="G1045">
        <v>0</v>
      </c>
    </row>
    <row r="1046" spans="1:7" x14ac:dyDescent="0.25">
      <c r="A1046" s="226">
        <v>10630012</v>
      </c>
      <c r="B1046" s="92">
        <v>0</v>
      </c>
      <c r="F1046">
        <v>10630012</v>
      </c>
      <c r="G1046">
        <v>0</v>
      </c>
    </row>
    <row r="1047" spans="1:7" x14ac:dyDescent="0.25">
      <c r="A1047" s="226">
        <v>10630013</v>
      </c>
      <c r="B1047" s="92">
        <v>0</v>
      </c>
      <c r="F1047">
        <v>10630013</v>
      </c>
      <c r="G1047">
        <v>0</v>
      </c>
    </row>
    <row r="1048" spans="1:7" x14ac:dyDescent="0.25">
      <c r="A1048" s="226">
        <v>10630014</v>
      </c>
      <c r="B1048" s="92">
        <v>0</v>
      </c>
      <c r="F1048">
        <v>10630014</v>
      </c>
      <c r="G1048">
        <v>0</v>
      </c>
    </row>
    <row r="1049" spans="1:7" x14ac:dyDescent="0.25">
      <c r="A1049" s="226">
        <v>10630015</v>
      </c>
      <c r="B1049" s="92">
        <v>0</v>
      </c>
      <c r="F1049">
        <v>10630015</v>
      </c>
      <c r="G1049">
        <v>0</v>
      </c>
    </row>
    <row r="1050" spans="1:7" x14ac:dyDescent="0.25">
      <c r="A1050" s="226">
        <v>10630016</v>
      </c>
      <c r="B1050" s="92">
        <v>0</v>
      </c>
      <c r="F1050">
        <v>10630016</v>
      </c>
      <c r="G1050">
        <v>0</v>
      </c>
    </row>
    <row r="1051" spans="1:7" x14ac:dyDescent="0.25">
      <c r="A1051" s="226">
        <v>10630017</v>
      </c>
      <c r="B1051" s="92">
        <v>0</v>
      </c>
      <c r="F1051">
        <v>10630017</v>
      </c>
      <c r="G1051">
        <v>0</v>
      </c>
    </row>
    <row r="1052" spans="1:7" x14ac:dyDescent="0.25">
      <c r="A1052" s="226">
        <v>10630018</v>
      </c>
      <c r="B1052" s="92">
        <v>0</v>
      </c>
      <c r="F1052">
        <v>10630018</v>
      </c>
      <c r="G1052">
        <v>0</v>
      </c>
    </row>
    <row r="1053" spans="1:7" x14ac:dyDescent="0.25">
      <c r="A1053" s="226">
        <v>10630019</v>
      </c>
      <c r="B1053" s="92">
        <v>0</v>
      </c>
      <c r="F1053">
        <v>10630019</v>
      </c>
      <c r="G1053">
        <v>0</v>
      </c>
    </row>
    <row r="1054" spans="1:7" x14ac:dyDescent="0.25">
      <c r="A1054" s="226">
        <v>10630020</v>
      </c>
      <c r="B1054" s="92">
        <v>0</v>
      </c>
      <c r="F1054">
        <v>10630020</v>
      </c>
      <c r="G1054">
        <v>0</v>
      </c>
    </row>
    <row r="1055" spans="1:7" x14ac:dyDescent="0.25">
      <c r="A1055" s="226">
        <v>10640001</v>
      </c>
      <c r="B1055" s="92">
        <v>0</v>
      </c>
      <c r="F1055">
        <v>10640001</v>
      </c>
      <c r="G1055">
        <v>0</v>
      </c>
    </row>
    <row r="1056" spans="1:7" x14ac:dyDescent="0.25">
      <c r="A1056" s="226">
        <v>10640002</v>
      </c>
      <c r="B1056" s="92">
        <v>0</v>
      </c>
      <c r="F1056">
        <v>10640002</v>
      </c>
      <c r="G1056">
        <v>0</v>
      </c>
    </row>
    <row r="1057" spans="1:7" x14ac:dyDescent="0.25">
      <c r="A1057" s="226">
        <v>10640003</v>
      </c>
      <c r="B1057" s="92">
        <v>0</v>
      </c>
      <c r="F1057">
        <v>10640003</v>
      </c>
      <c r="G1057">
        <v>0</v>
      </c>
    </row>
    <row r="1058" spans="1:7" x14ac:dyDescent="0.25">
      <c r="A1058" s="226">
        <v>10640004</v>
      </c>
      <c r="B1058" s="92">
        <v>0</v>
      </c>
      <c r="F1058">
        <v>10640004</v>
      </c>
      <c r="G1058">
        <v>0</v>
      </c>
    </row>
    <row r="1059" spans="1:7" x14ac:dyDescent="0.25">
      <c r="A1059" s="226">
        <v>10640005</v>
      </c>
      <c r="B1059" s="92">
        <v>0</v>
      </c>
      <c r="F1059">
        <v>10640005</v>
      </c>
      <c r="G1059">
        <v>0</v>
      </c>
    </row>
    <row r="1060" spans="1:7" x14ac:dyDescent="0.25">
      <c r="A1060" s="226">
        <v>10640006</v>
      </c>
      <c r="B1060" s="92">
        <v>0</v>
      </c>
      <c r="F1060">
        <v>10640006</v>
      </c>
      <c r="G1060">
        <v>0</v>
      </c>
    </row>
    <row r="1061" spans="1:7" x14ac:dyDescent="0.25">
      <c r="A1061" s="226">
        <v>10640007</v>
      </c>
      <c r="B1061" s="92">
        <v>0</v>
      </c>
      <c r="F1061">
        <v>10640007</v>
      </c>
      <c r="G1061">
        <v>0</v>
      </c>
    </row>
    <row r="1062" spans="1:7" x14ac:dyDescent="0.25">
      <c r="A1062" s="226">
        <v>10640009</v>
      </c>
      <c r="B1062" s="92">
        <v>0</v>
      </c>
      <c r="F1062">
        <v>10640009</v>
      </c>
      <c r="G1062">
        <v>0</v>
      </c>
    </row>
    <row r="1063" spans="1:7" x14ac:dyDescent="0.25">
      <c r="A1063" s="226">
        <v>10640010</v>
      </c>
      <c r="B1063" s="92">
        <v>0</v>
      </c>
      <c r="F1063">
        <v>10640010</v>
      </c>
      <c r="G1063">
        <v>0</v>
      </c>
    </row>
    <row r="1064" spans="1:7" x14ac:dyDescent="0.25">
      <c r="A1064" s="226">
        <v>10640011</v>
      </c>
      <c r="B1064" s="92">
        <v>0</v>
      </c>
      <c r="F1064">
        <v>10640011</v>
      </c>
      <c r="G1064">
        <v>0</v>
      </c>
    </row>
    <row r="1065" spans="1:7" x14ac:dyDescent="0.25">
      <c r="A1065" s="226">
        <v>10650001</v>
      </c>
      <c r="B1065" s="92">
        <v>0</v>
      </c>
      <c r="F1065">
        <v>10650001</v>
      </c>
      <c r="G1065">
        <v>0</v>
      </c>
    </row>
    <row r="1066" spans="1:7" x14ac:dyDescent="0.25">
      <c r="A1066" s="226">
        <v>10650003</v>
      </c>
      <c r="B1066" s="92">
        <v>0</v>
      </c>
      <c r="F1066">
        <v>10650003</v>
      </c>
      <c r="G1066">
        <v>0</v>
      </c>
    </row>
    <row r="1067" spans="1:7" x14ac:dyDescent="0.25">
      <c r="A1067" s="226">
        <v>10650004</v>
      </c>
      <c r="B1067" s="92">
        <v>0</v>
      </c>
      <c r="F1067">
        <v>10650004</v>
      </c>
      <c r="G1067">
        <v>0</v>
      </c>
    </row>
    <row r="1068" spans="1:7" x14ac:dyDescent="0.25">
      <c r="A1068" s="226">
        <v>10650006</v>
      </c>
      <c r="B1068" s="92">
        <v>0</v>
      </c>
      <c r="F1068">
        <v>10650006</v>
      </c>
      <c r="G1068">
        <v>0</v>
      </c>
    </row>
    <row r="1069" spans="1:7" x14ac:dyDescent="0.25">
      <c r="A1069" s="226">
        <v>10650007</v>
      </c>
      <c r="B1069" s="92">
        <v>0</v>
      </c>
      <c r="F1069">
        <v>10650007</v>
      </c>
      <c r="G1069">
        <v>0</v>
      </c>
    </row>
    <row r="1070" spans="1:7" x14ac:dyDescent="0.25">
      <c r="A1070" s="226">
        <v>10650008</v>
      </c>
      <c r="B1070" s="92">
        <v>0</v>
      </c>
      <c r="F1070">
        <v>10650008</v>
      </c>
      <c r="G1070">
        <v>0</v>
      </c>
    </row>
    <row r="1071" spans="1:7" x14ac:dyDescent="0.25">
      <c r="A1071" s="226">
        <v>10650010</v>
      </c>
      <c r="B1071" s="92">
        <v>0</v>
      </c>
      <c r="F1071">
        <v>10650010</v>
      </c>
      <c r="G1071">
        <v>0</v>
      </c>
    </row>
    <row r="1072" spans="1:7" x14ac:dyDescent="0.25">
      <c r="A1072" s="226">
        <v>10650011</v>
      </c>
      <c r="B1072" s="92">
        <v>0</v>
      </c>
      <c r="F1072">
        <v>10650011</v>
      </c>
      <c r="G1072">
        <v>0</v>
      </c>
    </row>
    <row r="1073" spans="1:7" x14ac:dyDescent="0.25">
      <c r="A1073" s="226">
        <v>10650012</v>
      </c>
      <c r="B1073" s="92">
        <v>0</v>
      </c>
      <c r="F1073">
        <v>10650012</v>
      </c>
      <c r="G1073">
        <v>0</v>
      </c>
    </row>
    <row r="1074" spans="1:7" x14ac:dyDescent="0.25">
      <c r="A1074" s="226" t="s">
        <v>77</v>
      </c>
      <c r="B1074" s="92">
        <v>74459</v>
      </c>
      <c r="F1074" t="s">
        <v>77</v>
      </c>
      <c r="G1074">
        <v>74459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897"/>
  <sheetViews>
    <sheetView zoomScale="80" zoomScaleNormal="80" workbookViewId="0">
      <pane xSplit="2" ySplit="2" topLeftCell="G3798" activePane="bottomRight" state="frozen"/>
      <selection pane="topRight" activeCell="C1" sqref="C1"/>
      <selection pane="bottomLeft" activeCell="A3" sqref="A3"/>
      <selection pane="bottomRight" activeCell="AE3839" sqref="AE3839"/>
    </sheetView>
  </sheetViews>
  <sheetFormatPr defaultColWidth="9.28515625" defaultRowHeight="15" x14ac:dyDescent="0.25"/>
  <cols>
    <col min="1" max="1" width="10.5703125" bestFit="1" customWidth="1"/>
    <col min="2" max="2" width="14.28515625" bestFit="1" customWidth="1"/>
    <col min="3" max="3" width="10.5703125" bestFit="1" customWidth="1"/>
    <col min="4" max="4" width="17.28515625" bestFit="1" customWidth="1"/>
    <col min="5" max="5" width="11.140625" style="13" bestFit="1" customWidth="1"/>
    <col min="6" max="6" width="28.7109375" customWidth="1"/>
    <col min="7" max="7" width="9.140625" customWidth="1"/>
    <col min="8" max="10" width="11.5703125" customWidth="1"/>
    <col min="11" max="11" width="13.42578125" customWidth="1"/>
    <col min="12" max="12" width="10.5703125" customWidth="1"/>
    <col min="13" max="13" width="11.5703125" customWidth="1"/>
    <col min="14" max="14" width="11.7109375" customWidth="1"/>
    <col min="15" max="15" width="12.5703125" customWidth="1"/>
    <col min="16" max="16" width="13.42578125" customWidth="1"/>
    <col min="17" max="18" width="12" customWidth="1"/>
    <col min="19" max="19" width="11.7109375" customWidth="1"/>
    <col min="20" max="20" width="12" customWidth="1"/>
    <col min="21" max="21" width="13.28515625" customWidth="1"/>
    <col min="22" max="22" width="12" customWidth="1"/>
    <col min="23" max="23" width="12.28515625" style="98" customWidth="1"/>
    <col min="24" max="24" width="12" style="98" customWidth="1"/>
    <col min="25" max="25" width="13.5703125" style="98" customWidth="1"/>
    <col min="26" max="26" width="12" style="98" customWidth="1"/>
    <col min="27" max="27" width="12" customWidth="1"/>
    <col min="28" max="28" width="11.28515625" customWidth="1"/>
    <col min="29" max="29" width="11.28515625" style="98" customWidth="1"/>
    <col min="30" max="31" width="10.5703125" customWidth="1"/>
    <col min="34" max="34" width="16.7109375" customWidth="1"/>
  </cols>
  <sheetData>
    <row r="1" spans="1:39" x14ac:dyDescent="0.25">
      <c r="I1" s="246" t="s">
        <v>37</v>
      </c>
      <c r="J1" s="247"/>
      <c r="K1" s="244" t="s">
        <v>38</v>
      </c>
      <c r="L1" s="245"/>
      <c r="M1" s="244" t="s">
        <v>39</v>
      </c>
      <c r="N1" s="245"/>
      <c r="O1" s="244" t="s">
        <v>40</v>
      </c>
      <c r="P1" s="245"/>
      <c r="Q1" s="6"/>
      <c r="R1" s="6"/>
      <c r="S1" s="6"/>
      <c r="T1" s="6"/>
      <c r="U1" s="6"/>
      <c r="V1" s="6"/>
      <c r="W1" s="10"/>
      <c r="X1" s="10"/>
      <c r="Y1" s="10"/>
      <c r="Z1" s="40"/>
      <c r="AA1" s="14"/>
      <c r="AB1" s="15"/>
      <c r="AC1" s="10"/>
      <c r="AD1" s="16"/>
      <c r="AE1" s="16"/>
      <c r="AF1" s="16"/>
    </row>
    <row r="2" spans="1:39" s="3" customFormat="1" ht="45" x14ac:dyDescent="0.25">
      <c r="A2" s="38" t="s">
        <v>35</v>
      </c>
      <c r="B2" s="38" t="s">
        <v>18</v>
      </c>
      <c r="C2" s="8" t="s">
        <v>2</v>
      </c>
      <c r="D2" s="8" t="s">
        <v>70</v>
      </c>
      <c r="E2" s="8" t="s">
        <v>0</v>
      </c>
      <c r="F2" s="78" t="s">
        <v>1</v>
      </c>
      <c r="G2" s="8" t="s">
        <v>20</v>
      </c>
      <c r="H2" s="8" t="s">
        <v>19</v>
      </c>
      <c r="I2" s="9" t="s">
        <v>4</v>
      </c>
      <c r="J2" s="9" t="s">
        <v>5</v>
      </c>
      <c r="K2" s="79" t="s">
        <v>41</v>
      </c>
      <c r="L2" s="79" t="s">
        <v>42</v>
      </c>
      <c r="M2" s="79" t="s">
        <v>41</v>
      </c>
      <c r="N2" s="79" t="s">
        <v>42</v>
      </c>
      <c r="O2" s="79" t="s">
        <v>41</v>
      </c>
      <c r="P2" s="79" t="s">
        <v>42</v>
      </c>
      <c r="Q2" s="79" t="s">
        <v>21</v>
      </c>
      <c r="R2" s="79" t="s">
        <v>71</v>
      </c>
      <c r="S2" s="79" t="s">
        <v>22</v>
      </c>
      <c r="T2" s="79" t="s">
        <v>23</v>
      </c>
      <c r="U2" s="79" t="s">
        <v>24</v>
      </c>
      <c r="V2" s="79" t="s">
        <v>25</v>
      </c>
      <c r="W2" s="79" t="s">
        <v>72</v>
      </c>
      <c r="X2" s="8" t="s">
        <v>26</v>
      </c>
      <c r="Y2" s="8" t="s">
        <v>50</v>
      </c>
      <c r="Z2" s="8" t="s">
        <v>27</v>
      </c>
      <c r="AA2" s="34" t="s">
        <v>51</v>
      </c>
      <c r="AB2" s="80" t="s">
        <v>44</v>
      </c>
      <c r="AC2" s="83" t="s">
        <v>29</v>
      </c>
      <c r="AD2" s="84" t="s">
        <v>41</v>
      </c>
      <c r="AE2" s="217" t="s">
        <v>1542</v>
      </c>
      <c r="AF2" s="217" t="s">
        <v>1531</v>
      </c>
      <c r="AJ2" s="97" t="s">
        <v>454</v>
      </c>
      <c r="AK2" s="97" t="s">
        <v>462</v>
      </c>
      <c r="AL2" s="97" t="s">
        <v>455</v>
      </c>
      <c r="AM2" s="97" t="s">
        <v>456</v>
      </c>
    </row>
    <row r="3" spans="1:39" x14ac:dyDescent="0.25">
      <c r="A3" s="37" t="s">
        <v>62</v>
      </c>
      <c r="B3" s="66" t="s">
        <v>1566</v>
      </c>
      <c r="C3" s="47">
        <v>1001</v>
      </c>
      <c r="D3" s="47" t="s">
        <v>92</v>
      </c>
      <c r="E3" s="47">
        <v>10010013</v>
      </c>
      <c r="F3" s="46" t="s">
        <v>95</v>
      </c>
      <c r="G3" s="48" t="s">
        <v>93</v>
      </c>
      <c r="H3" s="48" t="s">
        <v>94</v>
      </c>
      <c r="I3" s="49">
        <v>768.5</v>
      </c>
      <c r="J3" s="49">
        <v>29428.73</v>
      </c>
      <c r="K3" s="65">
        <v>754.24000000000024</v>
      </c>
      <c r="L3" s="65">
        <v>28714.997860434582</v>
      </c>
      <c r="M3" s="65">
        <v>6.1800000000000006</v>
      </c>
      <c r="N3" s="65">
        <v>231.61210500511999</v>
      </c>
      <c r="O3" s="65">
        <v>760.42000000000019</v>
      </c>
      <c r="P3" s="65">
        <v>28946.6099654397</v>
      </c>
      <c r="Q3" s="50">
        <v>28946.6099654397</v>
      </c>
      <c r="R3" s="65">
        <v>0</v>
      </c>
      <c r="S3" s="65">
        <v>231.61210500511999</v>
      </c>
      <c r="T3" s="65">
        <v>0</v>
      </c>
      <c r="U3" s="65">
        <v>0</v>
      </c>
      <c r="V3" s="65">
        <v>0</v>
      </c>
      <c r="W3" s="65">
        <v>0</v>
      </c>
      <c r="X3" s="65">
        <v>28717</v>
      </c>
      <c r="Y3" s="65">
        <v>0</v>
      </c>
      <c r="Z3" s="65">
        <v>0</v>
      </c>
      <c r="AA3" s="51">
        <v>480</v>
      </c>
      <c r="AB3" s="102">
        <v>0</v>
      </c>
      <c r="AC3" s="81">
        <f t="shared" ref="AC3" si="0">((IF(AD3=0,0,100-AD3))*7*(J3/I3))*2%</f>
        <v>0</v>
      </c>
      <c r="AD3" s="82">
        <f t="shared" ref="AD3" si="1">IF((I3/7)&gt;100,0,(I3/7))</f>
        <v>0</v>
      </c>
      <c r="AE3" s="218">
        <v>1.6382631345637385E-2</v>
      </c>
      <c r="AF3" s="11">
        <v>19</v>
      </c>
      <c r="AH3" t="str">
        <f>TEXT(D3,"0000")</f>
        <v>Majhaul</v>
      </c>
      <c r="AJ3" s="72">
        <v>0</v>
      </c>
      <c r="AK3" s="72"/>
      <c r="AL3" s="72"/>
      <c r="AM3" s="72"/>
    </row>
    <row r="4" spans="1:39" x14ac:dyDescent="0.25">
      <c r="A4" s="37" t="s">
        <v>62</v>
      </c>
      <c r="B4" s="66" t="s">
        <v>1566</v>
      </c>
      <c r="C4" s="47">
        <v>1008</v>
      </c>
      <c r="D4" s="47" t="s">
        <v>221</v>
      </c>
      <c r="E4" s="47">
        <v>10010017</v>
      </c>
      <c r="F4" s="46" t="s">
        <v>96</v>
      </c>
      <c r="G4" s="48" t="s">
        <v>93</v>
      </c>
      <c r="H4" s="48" t="s">
        <v>94</v>
      </c>
      <c r="I4" s="49">
        <v>49.45</v>
      </c>
      <c r="J4" s="49">
        <v>1708.9199999999998</v>
      </c>
      <c r="K4" s="65">
        <v>49</v>
      </c>
      <c r="L4" s="65">
        <v>1715.3615278800003</v>
      </c>
      <c r="M4" s="65">
        <v>0</v>
      </c>
      <c r="N4" s="65">
        <v>0</v>
      </c>
      <c r="O4" s="65">
        <v>49</v>
      </c>
      <c r="P4" s="65">
        <v>1715.3615278800003</v>
      </c>
      <c r="Q4" s="50">
        <v>1708.9199999999998</v>
      </c>
      <c r="R4" s="65">
        <v>0</v>
      </c>
      <c r="S4" s="65">
        <v>0</v>
      </c>
      <c r="T4" s="65">
        <v>6.4415278800004216</v>
      </c>
      <c r="U4" s="65">
        <v>0</v>
      </c>
      <c r="V4" s="65">
        <v>72.41</v>
      </c>
      <c r="W4" s="65">
        <v>0</v>
      </c>
      <c r="X4" s="65">
        <v>1637</v>
      </c>
      <c r="Y4" s="65">
        <v>0</v>
      </c>
      <c r="Z4" s="65">
        <v>0</v>
      </c>
      <c r="AA4" s="51">
        <v>0</v>
      </c>
      <c r="AB4" s="102" t="s">
        <v>68</v>
      </c>
      <c r="AC4" s="81">
        <f t="shared" ref="AC4:AC67" si="2">((IF(AD4=0,0,100-AD4))*7*(J4/I4))*2%</f>
        <v>449.64121577350846</v>
      </c>
      <c r="AD4" s="82">
        <f t="shared" ref="AD4:AD67" si="3">IF((I4/7)&gt;100,0,(I4/7))</f>
        <v>7.0642857142857149</v>
      </c>
      <c r="AE4" s="218">
        <v>-3.7693560143250838E-3</v>
      </c>
      <c r="AF4">
        <v>1</v>
      </c>
      <c r="AH4" t="str">
        <f t="shared" ref="AH4:AH66" si="4">TEXT(D4,"0000")</f>
        <v>Teghra</v>
      </c>
      <c r="AJ4" s="72">
        <v>0</v>
      </c>
      <c r="AK4" s="72"/>
      <c r="AL4" s="72"/>
      <c r="AM4" s="72"/>
    </row>
    <row r="5" spans="1:39" x14ac:dyDescent="0.25">
      <c r="A5" s="37" t="s">
        <v>62</v>
      </c>
      <c r="B5" s="66" t="s">
        <v>1566</v>
      </c>
      <c r="C5" s="47">
        <v>1001</v>
      </c>
      <c r="D5" s="47" t="s">
        <v>92</v>
      </c>
      <c r="E5" s="41">
        <v>10010019</v>
      </c>
      <c r="F5" s="46" t="s">
        <v>97</v>
      </c>
      <c r="G5" s="39" t="s">
        <v>93</v>
      </c>
      <c r="H5" s="48" t="s">
        <v>94</v>
      </c>
      <c r="I5" s="52">
        <v>739.8</v>
      </c>
      <c r="J5" s="49">
        <v>30204.13</v>
      </c>
      <c r="K5" s="65">
        <v>731.6600000000002</v>
      </c>
      <c r="L5" s="65">
        <v>30050.983569747339</v>
      </c>
      <c r="M5" s="65">
        <v>13.07</v>
      </c>
      <c r="N5" s="65">
        <v>497.65694536800009</v>
      </c>
      <c r="O5" s="65">
        <v>744.73000000000025</v>
      </c>
      <c r="P5" s="65">
        <v>30548.640515115338</v>
      </c>
      <c r="Q5" s="50">
        <v>30204.13</v>
      </c>
      <c r="R5" s="65">
        <v>0</v>
      </c>
      <c r="S5" s="65">
        <v>497.65694536800009</v>
      </c>
      <c r="T5" s="65">
        <v>344.5105151153366</v>
      </c>
      <c r="U5" s="65">
        <v>0</v>
      </c>
      <c r="V5" s="65">
        <v>0</v>
      </c>
      <c r="W5" s="65">
        <v>0</v>
      </c>
      <c r="X5" s="65">
        <v>29706</v>
      </c>
      <c r="Y5" s="65">
        <v>0</v>
      </c>
      <c r="Z5" s="65">
        <v>0</v>
      </c>
      <c r="AA5" s="51">
        <v>0</v>
      </c>
      <c r="AB5" s="102" t="s">
        <v>68</v>
      </c>
      <c r="AC5" s="81">
        <f t="shared" si="2"/>
        <v>0</v>
      </c>
      <c r="AD5" s="82">
        <f t="shared" si="3"/>
        <v>0</v>
      </c>
      <c r="AE5" s="218">
        <v>-1.1406073113687982E-2</v>
      </c>
      <c r="AF5">
        <v>13</v>
      </c>
      <c r="AH5" t="str">
        <f t="shared" si="4"/>
        <v>Majhaul</v>
      </c>
      <c r="AJ5" s="72">
        <v>0</v>
      </c>
      <c r="AK5" s="72"/>
      <c r="AL5" s="72"/>
      <c r="AM5" s="72"/>
    </row>
    <row r="6" spans="1:39" x14ac:dyDescent="0.25">
      <c r="A6" s="37" t="s">
        <v>62</v>
      </c>
      <c r="B6" s="66" t="s">
        <v>1566</v>
      </c>
      <c r="C6" s="47">
        <v>1058</v>
      </c>
      <c r="D6" s="47" t="s">
        <v>1344</v>
      </c>
      <c r="E6" s="41">
        <v>10010038</v>
      </c>
      <c r="F6" s="46" t="s">
        <v>98</v>
      </c>
      <c r="G6" s="39" t="s">
        <v>93</v>
      </c>
      <c r="H6" s="48" t="s">
        <v>94</v>
      </c>
      <c r="I6" s="52">
        <v>1163.3999999999999</v>
      </c>
      <c r="J6" s="49">
        <v>45015.089999999989</v>
      </c>
      <c r="K6" s="65">
        <v>840</v>
      </c>
      <c r="L6" s="65">
        <v>33000.923735999997</v>
      </c>
      <c r="M6" s="65">
        <v>321.5</v>
      </c>
      <c r="N6" s="65">
        <v>12424.442928480003</v>
      </c>
      <c r="O6" s="65">
        <v>1161.5</v>
      </c>
      <c r="P6" s="65">
        <v>45425.366664479996</v>
      </c>
      <c r="Q6" s="50">
        <v>45015.089999999989</v>
      </c>
      <c r="R6" s="65">
        <v>0</v>
      </c>
      <c r="S6" s="65">
        <v>184.80527999999998</v>
      </c>
      <c r="T6" s="65">
        <v>410.27666448000673</v>
      </c>
      <c r="U6" s="65">
        <v>12500</v>
      </c>
      <c r="V6" s="65">
        <v>0</v>
      </c>
      <c r="W6" s="65">
        <v>0</v>
      </c>
      <c r="X6" s="65">
        <v>20090</v>
      </c>
      <c r="Y6" s="65">
        <v>12240</v>
      </c>
      <c r="Z6" s="65">
        <v>0</v>
      </c>
      <c r="AA6" s="51">
        <v>0</v>
      </c>
      <c r="AB6" s="102">
        <v>0</v>
      </c>
      <c r="AC6" s="81">
        <f t="shared" si="2"/>
        <v>0</v>
      </c>
      <c r="AD6" s="82">
        <f t="shared" si="3"/>
        <v>0</v>
      </c>
      <c r="AE6" s="218">
        <v>-9.1142029146227821E-3</v>
      </c>
      <c r="AF6">
        <v>8</v>
      </c>
      <c r="AH6" t="str">
        <f t="shared" si="4"/>
        <v>Hasanpur</v>
      </c>
      <c r="AJ6" s="72">
        <v>0</v>
      </c>
      <c r="AK6" s="72"/>
      <c r="AL6" s="72"/>
      <c r="AM6" s="72"/>
    </row>
    <row r="7" spans="1:39" x14ac:dyDescent="0.25">
      <c r="A7" s="37" t="s">
        <v>62</v>
      </c>
      <c r="B7" s="66" t="s">
        <v>1566</v>
      </c>
      <c r="C7" s="47">
        <v>1001</v>
      </c>
      <c r="D7" s="47" t="s">
        <v>92</v>
      </c>
      <c r="E7" s="41">
        <v>10010047</v>
      </c>
      <c r="F7" s="46" t="s">
        <v>837</v>
      </c>
      <c r="G7" s="39" t="s">
        <v>635</v>
      </c>
      <c r="H7" s="48" t="s">
        <v>99</v>
      </c>
      <c r="I7" s="52">
        <v>14.1</v>
      </c>
      <c r="J7" s="49">
        <v>657.06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50">
        <v>657.06</v>
      </c>
      <c r="R7" s="65">
        <v>0</v>
      </c>
      <c r="S7" s="65">
        <v>0</v>
      </c>
      <c r="T7" s="65">
        <v>0</v>
      </c>
      <c r="U7" s="65">
        <v>0</v>
      </c>
      <c r="V7" s="65">
        <v>587.58044516129041</v>
      </c>
      <c r="W7" s="65">
        <v>0</v>
      </c>
      <c r="X7" s="65">
        <v>0</v>
      </c>
      <c r="Y7" s="65">
        <v>0</v>
      </c>
      <c r="Z7" s="65">
        <v>69.479554838709532</v>
      </c>
      <c r="AA7" s="51">
        <v>0</v>
      </c>
      <c r="AB7" s="102">
        <v>0</v>
      </c>
      <c r="AC7" s="81">
        <f t="shared" si="2"/>
        <v>639.25879999999995</v>
      </c>
      <c r="AD7" s="82">
        <f t="shared" si="3"/>
        <v>2.0142857142857142</v>
      </c>
      <c r="AE7" s="218">
        <v>0</v>
      </c>
      <c r="AF7">
        <v>0</v>
      </c>
      <c r="AH7" t="str">
        <f t="shared" si="4"/>
        <v>Majhaul</v>
      </c>
      <c r="AJ7" s="72">
        <v>0</v>
      </c>
      <c r="AK7" s="72"/>
      <c r="AL7" s="72"/>
      <c r="AM7" s="72"/>
    </row>
    <row r="8" spans="1:39" x14ac:dyDescent="0.25">
      <c r="A8" s="37" t="s">
        <v>62</v>
      </c>
      <c r="B8" s="66" t="s">
        <v>1566</v>
      </c>
      <c r="C8" s="47">
        <v>1001</v>
      </c>
      <c r="D8" s="47" t="s">
        <v>92</v>
      </c>
      <c r="E8" s="41">
        <v>10010049</v>
      </c>
      <c r="F8" s="46" t="s">
        <v>1214</v>
      </c>
      <c r="G8" s="39" t="s">
        <v>635</v>
      </c>
      <c r="H8" s="48" t="s">
        <v>99</v>
      </c>
      <c r="I8" s="52">
        <v>141.4</v>
      </c>
      <c r="J8" s="49">
        <v>4811.59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50">
        <v>4811.59</v>
      </c>
      <c r="R8" s="65">
        <v>0</v>
      </c>
      <c r="S8" s="65">
        <v>0</v>
      </c>
      <c r="T8" s="65">
        <v>0</v>
      </c>
      <c r="U8" s="65">
        <v>0</v>
      </c>
      <c r="V8" s="65">
        <v>4590.3744193548391</v>
      </c>
      <c r="W8" s="65">
        <v>0</v>
      </c>
      <c r="X8" s="65">
        <v>0</v>
      </c>
      <c r="Y8" s="65">
        <v>0</v>
      </c>
      <c r="Z8" s="65">
        <v>221.21558064516103</v>
      </c>
      <c r="AA8" s="51">
        <v>0</v>
      </c>
      <c r="AB8" s="102">
        <v>0</v>
      </c>
      <c r="AC8" s="81">
        <f t="shared" si="2"/>
        <v>380.1632495049505</v>
      </c>
      <c r="AD8" s="82">
        <f t="shared" si="3"/>
        <v>20.2</v>
      </c>
      <c r="AE8" s="218">
        <v>0</v>
      </c>
      <c r="AF8">
        <v>0</v>
      </c>
      <c r="AH8" t="str">
        <f t="shared" si="4"/>
        <v>Majhaul</v>
      </c>
      <c r="AJ8" s="72">
        <v>0</v>
      </c>
      <c r="AK8" s="72"/>
      <c r="AL8" s="72"/>
      <c r="AM8" s="72"/>
    </row>
    <row r="9" spans="1:39" x14ac:dyDescent="0.25">
      <c r="A9" s="37" t="s">
        <v>62</v>
      </c>
      <c r="B9" s="66" t="s">
        <v>1566</v>
      </c>
      <c r="C9" s="47">
        <v>1058</v>
      </c>
      <c r="D9" s="47" t="s">
        <v>1344</v>
      </c>
      <c r="E9" s="41">
        <v>10010050</v>
      </c>
      <c r="F9" s="46" t="s">
        <v>100</v>
      </c>
      <c r="G9" s="39" t="s">
        <v>635</v>
      </c>
      <c r="H9" s="48" t="s">
        <v>99</v>
      </c>
      <c r="I9" s="52">
        <v>646.6</v>
      </c>
      <c r="J9" s="49">
        <v>24645.309999999998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50">
        <v>24645.309999999998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24645.309999999998</v>
      </c>
      <c r="AA9" s="51">
        <v>0</v>
      </c>
      <c r="AB9" s="102">
        <v>0</v>
      </c>
      <c r="AC9" s="81">
        <f t="shared" si="2"/>
        <v>40.707069409217389</v>
      </c>
      <c r="AD9" s="82">
        <f t="shared" si="3"/>
        <v>92.371428571428581</v>
      </c>
      <c r="AE9" s="218">
        <v>0</v>
      </c>
      <c r="AF9">
        <v>0</v>
      </c>
      <c r="AH9" t="str">
        <f t="shared" si="4"/>
        <v>Hasanpur</v>
      </c>
      <c r="AJ9" s="72">
        <v>0</v>
      </c>
      <c r="AK9" s="72"/>
      <c r="AL9" s="72"/>
      <c r="AM9" s="72"/>
    </row>
    <row r="10" spans="1:39" x14ac:dyDescent="0.25">
      <c r="A10" s="37" t="s">
        <v>62</v>
      </c>
      <c r="B10" s="66" t="s">
        <v>1566</v>
      </c>
      <c r="C10" s="47">
        <v>1001</v>
      </c>
      <c r="D10" s="47" t="s">
        <v>92</v>
      </c>
      <c r="E10" s="41">
        <v>10010055</v>
      </c>
      <c r="F10" s="46" t="s">
        <v>102</v>
      </c>
      <c r="G10" s="39" t="s">
        <v>93</v>
      </c>
      <c r="H10" s="48" t="s">
        <v>94</v>
      </c>
      <c r="I10" s="52">
        <v>136.5</v>
      </c>
      <c r="J10" s="49">
        <v>5618.98</v>
      </c>
      <c r="K10" s="65">
        <v>137.5</v>
      </c>
      <c r="L10" s="65">
        <v>5496.8972216400007</v>
      </c>
      <c r="M10" s="65">
        <v>0</v>
      </c>
      <c r="N10" s="65">
        <v>0</v>
      </c>
      <c r="O10" s="65">
        <v>137.5</v>
      </c>
      <c r="P10" s="65">
        <v>5496.8972216400007</v>
      </c>
      <c r="Q10" s="50">
        <v>5496.8972216400007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5497</v>
      </c>
      <c r="Y10" s="65">
        <v>0</v>
      </c>
      <c r="Z10" s="65">
        <v>0</v>
      </c>
      <c r="AA10" s="51">
        <v>122</v>
      </c>
      <c r="AB10" s="102">
        <v>0</v>
      </c>
      <c r="AC10" s="81">
        <f t="shared" si="2"/>
        <v>463.92604102564098</v>
      </c>
      <c r="AD10" s="82">
        <f t="shared" si="3"/>
        <v>19.5</v>
      </c>
      <c r="AE10" s="218">
        <v>2.1726857607608303E-2</v>
      </c>
      <c r="AF10">
        <v>2</v>
      </c>
      <c r="AH10" t="str">
        <f t="shared" si="4"/>
        <v>Majhaul</v>
      </c>
      <c r="AJ10" s="72">
        <v>0</v>
      </c>
      <c r="AK10" s="72"/>
      <c r="AL10" s="72"/>
      <c r="AM10" s="72"/>
    </row>
    <row r="11" spans="1:39" x14ac:dyDescent="0.25">
      <c r="A11" s="37" t="s">
        <v>62</v>
      </c>
      <c r="B11" s="66" t="s">
        <v>1566</v>
      </c>
      <c r="C11" s="47">
        <v>1001</v>
      </c>
      <c r="D11" s="47" t="s">
        <v>92</v>
      </c>
      <c r="E11" s="41">
        <v>10010057</v>
      </c>
      <c r="F11" s="46" t="s">
        <v>425</v>
      </c>
      <c r="G11" s="39" t="s">
        <v>635</v>
      </c>
      <c r="H11" s="48" t="s">
        <v>99</v>
      </c>
      <c r="I11" s="52">
        <v>11063</v>
      </c>
      <c r="J11" s="49">
        <v>392059.06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50">
        <v>392059.06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392059.06</v>
      </c>
      <c r="AA11" s="51">
        <v>0</v>
      </c>
      <c r="AB11" s="102">
        <v>0</v>
      </c>
      <c r="AC11" s="81">
        <f t="shared" si="2"/>
        <v>0</v>
      </c>
      <c r="AD11" s="82">
        <f t="shared" si="3"/>
        <v>0</v>
      </c>
      <c r="AE11" s="218">
        <v>0</v>
      </c>
      <c r="AF11">
        <v>0</v>
      </c>
      <c r="AH11" t="str">
        <f t="shared" si="4"/>
        <v>Majhaul</v>
      </c>
      <c r="AJ11" s="72">
        <v>0</v>
      </c>
      <c r="AK11" s="72"/>
      <c r="AL11" s="72"/>
      <c r="AM11" s="72"/>
    </row>
    <row r="12" spans="1:39" x14ac:dyDescent="0.25">
      <c r="A12" s="37" t="s">
        <v>62</v>
      </c>
      <c r="B12" s="66" t="s">
        <v>1566</v>
      </c>
      <c r="C12" s="47">
        <v>1001</v>
      </c>
      <c r="D12" s="47" t="s">
        <v>92</v>
      </c>
      <c r="E12" s="41">
        <v>10010076</v>
      </c>
      <c r="F12" s="46" t="s">
        <v>433</v>
      </c>
      <c r="G12" s="39" t="s">
        <v>93</v>
      </c>
      <c r="H12" s="48" t="s">
        <v>94</v>
      </c>
      <c r="I12" s="52">
        <v>165.70000000000002</v>
      </c>
      <c r="J12" s="49">
        <v>6324.9800000000014</v>
      </c>
      <c r="K12" s="65">
        <v>17.510000000000002</v>
      </c>
      <c r="L12" s="65">
        <v>664.42302630000006</v>
      </c>
      <c r="M12" s="65">
        <v>150</v>
      </c>
      <c r="N12" s="65">
        <v>6217.368300000001</v>
      </c>
      <c r="O12" s="65">
        <v>167.51</v>
      </c>
      <c r="P12" s="65">
        <v>6881.7913263000009</v>
      </c>
      <c r="Q12" s="50">
        <v>6324.9800000000014</v>
      </c>
      <c r="R12" s="65">
        <v>0</v>
      </c>
      <c r="S12" s="65">
        <v>0</v>
      </c>
      <c r="T12" s="65">
        <v>556.81132629999956</v>
      </c>
      <c r="U12" s="65">
        <v>0</v>
      </c>
      <c r="V12" s="65">
        <v>1024.71</v>
      </c>
      <c r="W12" s="65">
        <v>0</v>
      </c>
      <c r="X12" s="65">
        <v>1</v>
      </c>
      <c r="Y12" s="65">
        <v>5299</v>
      </c>
      <c r="Z12" s="65">
        <v>0</v>
      </c>
      <c r="AA12" s="51">
        <v>0</v>
      </c>
      <c r="AB12" s="102" t="s">
        <v>68</v>
      </c>
      <c r="AC12" s="81">
        <f t="shared" si="2"/>
        <v>407.89822739891366</v>
      </c>
      <c r="AD12" s="82">
        <f t="shared" si="3"/>
        <v>23.671428571428574</v>
      </c>
      <c r="AE12" s="218">
        <v>-8.8033689640125257E-2</v>
      </c>
      <c r="AF12">
        <v>4</v>
      </c>
      <c r="AH12" t="str">
        <f t="shared" si="4"/>
        <v>Majhaul</v>
      </c>
      <c r="AJ12" s="72">
        <v>0</v>
      </c>
      <c r="AK12" s="72"/>
      <c r="AL12" s="72"/>
      <c r="AM12" s="72"/>
    </row>
    <row r="13" spans="1:39" x14ac:dyDescent="0.25">
      <c r="A13" s="37" t="s">
        <v>62</v>
      </c>
      <c r="B13" s="66" t="s">
        <v>1566</v>
      </c>
      <c r="C13" s="47">
        <v>1001</v>
      </c>
      <c r="D13" s="47" t="s">
        <v>92</v>
      </c>
      <c r="E13" s="41">
        <v>10010082</v>
      </c>
      <c r="F13" s="46" t="s">
        <v>457</v>
      </c>
      <c r="G13" s="39" t="s">
        <v>93</v>
      </c>
      <c r="H13" s="48" t="s">
        <v>94</v>
      </c>
      <c r="I13" s="52">
        <v>1053.2</v>
      </c>
      <c r="J13" s="49">
        <v>40013.169999999991</v>
      </c>
      <c r="K13" s="65">
        <v>1014.88</v>
      </c>
      <c r="L13" s="65">
        <v>38729.923069412791</v>
      </c>
      <c r="M13" s="65">
        <v>41.96</v>
      </c>
      <c r="N13" s="65">
        <v>1817.9181846097999</v>
      </c>
      <c r="O13" s="65">
        <v>1056.8399999999999</v>
      </c>
      <c r="P13" s="65">
        <v>40547.841254022591</v>
      </c>
      <c r="Q13" s="50">
        <v>40013.169999999991</v>
      </c>
      <c r="R13" s="65">
        <v>0</v>
      </c>
      <c r="S13" s="65">
        <v>0</v>
      </c>
      <c r="T13" s="65">
        <v>534.6712540225999</v>
      </c>
      <c r="U13" s="65">
        <v>0</v>
      </c>
      <c r="V13" s="65">
        <v>0</v>
      </c>
      <c r="W13" s="65">
        <v>0</v>
      </c>
      <c r="X13" s="65">
        <v>38195</v>
      </c>
      <c r="Y13" s="65">
        <v>1818</v>
      </c>
      <c r="Z13" s="65">
        <v>0</v>
      </c>
      <c r="AA13" s="51">
        <v>0</v>
      </c>
      <c r="AB13" s="102" t="s">
        <v>68</v>
      </c>
      <c r="AC13" s="81">
        <f t="shared" si="2"/>
        <v>0</v>
      </c>
      <c r="AD13" s="82">
        <f t="shared" si="3"/>
        <v>0</v>
      </c>
      <c r="AE13" s="218">
        <v>-1.3362381786361842E-2</v>
      </c>
      <c r="AF13">
        <v>10</v>
      </c>
      <c r="AH13" t="str">
        <f t="shared" si="4"/>
        <v>Majhaul</v>
      </c>
      <c r="AJ13" s="72">
        <v>0</v>
      </c>
      <c r="AK13" s="72"/>
      <c r="AL13" s="72"/>
      <c r="AM13" s="72"/>
    </row>
    <row r="14" spans="1:39" x14ac:dyDescent="0.25">
      <c r="A14" s="37" t="s">
        <v>62</v>
      </c>
      <c r="B14" s="66" t="s">
        <v>1566</v>
      </c>
      <c r="C14" s="47">
        <v>1001</v>
      </c>
      <c r="D14" s="47" t="s">
        <v>92</v>
      </c>
      <c r="E14" s="41">
        <v>10010084</v>
      </c>
      <c r="F14" s="46" t="s">
        <v>458</v>
      </c>
      <c r="G14" s="39" t="s">
        <v>635</v>
      </c>
      <c r="H14" s="48" t="s">
        <v>99</v>
      </c>
      <c r="I14" s="52">
        <v>144.9</v>
      </c>
      <c r="J14" s="49">
        <v>5209.43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50">
        <v>5209.43</v>
      </c>
      <c r="R14" s="65">
        <v>0</v>
      </c>
      <c r="S14" s="65">
        <v>0</v>
      </c>
      <c r="T14" s="65">
        <v>0</v>
      </c>
      <c r="U14" s="65">
        <v>0</v>
      </c>
      <c r="V14" s="65">
        <v>1.7164451612901104</v>
      </c>
      <c r="W14" s="65">
        <v>0</v>
      </c>
      <c r="X14" s="65">
        <v>0</v>
      </c>
      <c r="Y14" s="65">
        <v>0</v>
      </c>
      <c r="Z14" s="65">
        <v>5207.7135548387105</v>
      </c>
      <c r="AA14" s="51">
        <v>0</v>
      </c>
      <c r="AB14" s="102">
        <v>0</v>
      </c>
      <c r="AC14" s="81">
        <f t="shared" si="2"/>
        <v>399.13797004830923</v>
      </c>
      <c r="AD14" s="82">
        <f t="shared" si="3"/>
        <v>20.7</v>
      </c>
      <c r="AE14" s="218">
        <v>0</v>
      </c>
      <c r="AF14">
        <v>0</v>
      </c>
      <c r="AH14" t="str">
        <f t="shared" si="4"/>
        <v>Majhaul</v>
      </c>
      <c r="AJ14" s="72">
        <v>0</v>
      </c>
      <c r="AK14" s="72"/>
      <c r="AL14" s="72"/>
      <c r="AM14" s="72"/>
    </row>
    <row r="15" spans="1:39" x14ac:dyDescent="0.25">
      <c r="A15" s="37" t="s">
        <v>62</v>
      </c>
      <c r="B15" s="66" t="s">
        <v>1566</v>
      </c>
      <c r="C15" s="47">
        <v>1058</v>
      </c>
      <c r="D15" s="47" t="s">
        <v>1344</v>
      </c>
      <c r="E15" s="41">
        <v>10010086</v>
      </c>
      <c r="F15" s="46" t="s">
        <v>480</v>
      </c>
      <c r="G15" s="39" t="s">
        <v>93</v>
      </c>
      <c r="H15" s="48" t="s">
        <v>94</v>
      </c>
      <c r="I15" s="52">
        <v>164.89999999999998</v>
      </c>
      <c r="J15" s="49">
        <v>6701.8499999999995</v>
      </c>
      <c r="K15" s="65">
        <v>168.77999999999997</v>
      </c>
      <c r="L15" s="65">
        <v>7294.1868829414361</v>
      </c>
      <c r="M15" s="65">
        <v>2.9199999999999995</v>
      </c>
      <c r="N15" s="65">
        <v>126.86744996722999</v>
      </c>
      <c r="O15" s="65">
        <v>171.69999999999996</v>
      </c>
      <c r="P15" s="65">
        <v>7421.0543329086659</v>
      </c>
      <c r="Q15" s="50">
        <v>6701.8499999999995</v>
      </c>
      <c r="R15" s="65">
        <v>0</v>
      </c>
      <c r="S15" s="65">
        <v>126.86744996722999</v>
      </c>
      <c r="T15" s="65">
        <v>719.2043329086664</v>
      </c>
      <c r="U15" s="65">
        <v>0</v>
      </c>
      <c r="V15" s="65">
        <v>0</v>
      </c>
      <c r="W15" s="65">
        <v>0</v>
      </c>
      <c r="X15" s="65">
        <v>6575</v>
      </c>
      <c r="Y15" s="65">
        <v>0</v>
      </c>
      <c r="Z15" s="65">
        <v>0</v>
      </c>
      <c r="AA15" s="51">
        <v>0</v>
      </c>
      <c r="AB15" s="102" t="s">
        <v>68</v>
      </c>
      <c r="AC15" s="81">
        <f t="shared" si="2"/>
        <v>434.94965858095821</v>
      </c>
      <c r="AD15" s="82">
        <f t="shared" si="3"/>
        <v>23.557142857142853</v>
      </c>
      <c r="AE15" s="218">
        <v>-0.10731429872477995</v>
      </c>
      <c r="AF15">
        <v>8</v>
      </c>
      <c r="AH15" t="str">
        <f t="shared" si="4"/>
        <v>Hasanpur</v>
      </c>
      <c r="AJ15" s="72">
        <v>0</v>
      </c>
      <c r="AK15" s="72"/>
      <c r="AL15" s="72"/>
      <c r="AM15" s="72"/>
    </row>
    <row r="16" spans="1:39" x14ac:dyDescent="0.25">
      <c r="A16" s="37" t="s">
        <v>62</v>
      </c>
      <c r="B16" s="66" t="s">
        <v>1566</v>
      </c>
      <c r="C16" s="47">
        <v>1058</v>
      </c>
      <c r="D16" s="47" t="s">
        <v>1344</v>
      </c>
      <c r="E16" s="41">
        <v>10010087</v>
      </c>
      <c r="F16" s="46" t="s">
        <v>471</v>
      </c>
      <c r="G16" s="39" t="s">
        <v>635</v>
      </c>
      <c r="H16" s="48" t="s">
        <v>99</v>
      </c>
      <c r="I16" s="52">
        <v>105.79999999999998</v>
      </c>
      <c r="J16" s="49">
        <v>3181.92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50">
        <v>3181.92</v>
      </c>
      <c r="R16" s="65">
        <v>0</v>
      </c>
      <c r="S16" s="65">
        <v>0</v>
      </c>
      <c r="T16" s="65">
        <v>0</v>
      </c>
      <c r="U16" s="65">
        <v>0</v>
      </c>
      <c r="V16" s="65">
        <v>237.1186258064514</v>
      </c>
      <c r="W16" s="65">
        <v>0</v>
      </c>
      <c r="X16" s="65">
        <v>0</v>
      </c>
      <c r="Y16" s="65">
        <v>0</v>
      </c>
      <c r="Z16" s="65">
        <v>2944.8013741935488</v>
      </c>
      <c r="AA16" s="51">
        <v>0</v>
      </c>
      <c r="AB16" s="102">
        <v>0</v>
      </c>
      <c r="AC16" s="81">
        <f t="shared" si="2"/>
        <v>357.40961512287345</v>
      </c>
      <c r="AD16" s="82">
        <f t="shared" si="3"/>
        <v>15.114285714285712</v>
      </c>
      <c r="AE16" s="218">
        <v>0</v>
      </c>
      <c r="AF16">
        <v>0</v>
      </c>
      <c r="AH16" t="str">
        <f t="shared" si="4"/>
        <v>Hasanpur</v>
      </c>
      <c r="AJ16" s="72">
        <v>0</v>
      </c>
      <c r="AK16" s="72"/>
      <c r="AL16" s="72"/>
      <c r="AM16" s="72"/>
    </row>
    <row r="17" spans="1:39" x14ac:dyDescent="0.25">
      <c r="A17" s="37" t="s">
        <v>62</v>
      </c>
      <c r="B17" s="66" t="s">
        <v>1566</v>
      </c>
      <c r="C17" s="47">
        <v>1058</v>
      </c>
      <c r="D17" s="47" t="s">
        <v>1344</v>
      </c>
      <c r="E17" s="41">
        <v>10010089</v>
      </c>
      <c r="F17" s="46" t="s">
        <v>481</v>
      </c>
      <c r="G17" s="39" t="s">
        <v>93</v>
      </c>
      <c r="H17" s="48" t="s">
        <v>94</v>
      </c>
      <c r="I17" s="52">
        <v>396.2</v>
      </c>
      <c r="J17" s="49">
        <v>14824.74</v>
      </c>
      <c r="K17" s="65">
        <v>173.2</v>
      </c>
      <c r="L17" s="65">
        <v>6496.1002679760004</v>
      </c>
      <c r="M17" s="65">
        <v>232.05999999999997</v>
      </c>
      <c r="N17" s="65">
        <v>9065.6331286923978</v>
      </c>
      <c r="O17" s="65">
        <v>405.26</v>
      </c>
      <c r="P17" s="65">
        <v>15561.733396668398</v>
      </c>
      <c r="Q17" s="50">
        <v>14824.74</v>
      </c>
      <c r="R17" s="65">
        <v>0</v>
      </c>
      <c r="S17" s="65">
        <v>272.05421760000002</v>
      </c>
      <c r="T17" s="65">
        <v>736.99339666839842</v>
      </c>
      <c r="U17" s="65">
        <v>0</v>
      </c>
      <c r="V17" s="65">
        <v>0</v>
      </c>
      <c r="W17" s="65">
        <v>0</v>
      </c>
      <c r="X17" s="65">
        <v>5760</v>
      </c>
      <c r="Y17" s="65">
        <v>8793</v>
      </c>
      <c r="Z17" s="65">
        <v>0</v>
      </c>
      <c r="AA17" s="51">
        <v>0</v>
      </c>
      <c r="AB17" s="102">
        <v>0</v>
      </c>
      <c r="AC17" s="81">
        <f t="shared" si="2"/>
        <v>227.34760282685514</v>
      </c>
      <c r="AD17" s="82">
        <f t="shared" si="3"/>
        <v>56.6</v>
      </c>
      <c r="AE17" s="218">
        <v>-4.9713748549276307E-2</v>
      </c>
      <c r="AF17">
        <v>16</v>
      </c>
      <c r="AH17" t="str">
        <f t="shared" si="4"/>
        <v>Hasanpur</v>
      </c>
      <c r="AJ17" s="72">
        <v>0</v>
      </c>
      <c r="AK17" s="72"/>
      <c r="AL17" s="72"/>
      <c r="AM17" s="72"/>
    </row>
    <row r="18" spans="1:39" x14ac:dyDescent="0.25">
      <c r="A18" s="37" t="s">
        <v>62</v>
      </c>
      <c r="B18" s="66" t="s">
        <v>1566</v>
      </c>
      <c r="C18" s="47">
        <v>1001</v>
      </c>
      <c r="D18" s="47" t="s">
        <v>92</v>
      </c>
      <c r="E18" s="41">
        <v>10010092</v>
      </c>
      <c r="F18" s="46" t="s">
        <v>528</v>
      </c>
      <c r="G18" s="39" t="s">
        <v>635</v>
      </c>
      <c r="H18" s="48" t="s">
        <v>99</v>
      </c>
      <c r="I18" s="52">
        <v>323.70000000000005</v>
      </c>
      <c r="J18" s="49">
        <v>10003.120000000001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50">
        <v>10003.120000000001</v>
      </c>
      <c r="R18" s="65">
        <v>0</v>
      </c>
      <c r="S18" s="65">
        <v>0</v>
      </c>
      <c r="T18" s="65">
        <v>0</v>
      </c>
      <c r="U18" s="65">
        <v>0</v>
      </c>
      <c r="V18" s="65">
        <v>447.02332258064553</v>
      </c>
      <c r="W18" s="65">
        <v>0</v>
      </c>
      <c r="X18" s="65">
        <v>0</v>
      </c>
      <c r="Y18" s="65">
        <v>0</v>
      </c>
      <c r="Z18" s="65">
        <v>9556.0966774193548</v>
      </c>
      <c r="AA18" s="51">
        <v>0</v>
      </c>
      <c r="AB18" s="102">
        <v>0</v>
      </c>
      <c r="AC18" s="81">
        <f t="shared" si="2"/>
        <v>232.57176743898668</v>
      </c>
      <c r="AD18" s="82">
        <f t="shared" si="3"/>
        <v>46.242857142857147</v>
      </c>
      <c r="AE18" s="218">
        <v>0</v>
      </c>
      <c r="AF18">
        <v>0</v>
      </c>
      <c r="AH18" t="str">
        <f t="shared" si="4"/>
        <v>Majhaul</v>
      </c>
      <c r="AJ18" s="72">
        <v>0</v>
      </c>
      <c r="AK18" s="72"/>
      <c r="AL18" s="72"/>
      <c r="AM18" s="72"/>
    </row>
    <row r="19" spans="1:39" x14ac:dyDescent="0.25">
      <c r="A19" s="37" t="s">
        <v>62</v>
      </c>
      <c r="B19" s="66" t="s">
        <v>1566</v>
      </c>
      <c r="C19" s="47">
        <v>1058</v>
      </c>
      <c r="D19" s="47" t="s">
        <v>1344</v>
      </c>
      <c r="E19" s="41">
        <v>10010095</v>
      </c>
      <c r="F19" s="46" t="s">
        <v>529</v>
      </c>
      <c r="G19" s="39" t="s">
        <v>93</v>
      </c>
      <c r="H19" s="48" t="s">
        <v>94</v>
      </c>
      <c r="I19" s="52">
        <v>391.4</v>
      </c>
      <c r="J19" s="49">
        <v>15052.36</v>
      </c>
      <c r="K19" s="65">
        <v>386.70000000000005</v>
      </c>
      <c r="L19" s="65">
        <v>15030.2266024498</v>
      </c>
      <c r="M19" s="65">
        <v>5</v>
      </c>
      <c r="N19" s="65">
        <v>193.38560999999999</v>
      </c>
      <c r="O19" s="65">
        <v>391.70000000000005</v>
      </c>
      <c r="P19" s="65">
        <v>15223.6122124498</v>
      </c>
      <c r="Q19" s="50">
        <v>15052.36</v>
      </c>
      <c r="R19" s="65">
        <v>0</v>
      </c>
      <c r="S19" s="65">
        <v>193.38560999999999</v>
      </c>
      <c r="T19" s="65">
        <v>171.25221244979912</v>
      </c>
      <c r="U19" s="65">
        <v>0</v>
      </c>
      <c r="V19" s="65">
        <v>0</v>
      </c>
      <c r="W19" s="65">
        <v>0</v>
      </c>
      <c r="X19" s="65">
        <v>14859</v>
      </c>
      <c r="Y19" s="65">
        <v>0</v>
      </c>
      <c r="Z19" s="65">
        <v>0</v>
      </c>
      <c r="AA19" s="51">
        <v>0</v>
      </c>
      <c r="AB19" s="102">
        <v>0</v>
      </c>
      <c r="AC19" s="81">
        <f t="shared" si="2"/>
        <v>237.36118017373533</v>
      </c>
      <c r="AD19" s="82">
        <f t="shared" si="3"/>
        <v>55.914285714285711</v>
      </c>
      <c r="AE19" s="218">
        <v>-1.1377100497848782E-2</v>
      </c>
      <c r="AF19">
        <v>3</v>
      </c>
      <c r="AH19" t="str">
        <f t="shared" si="4"/>
        <v>Hasanpur</v>
      </c>
      <c r="AJ19" s="72">
        <v>0</v>
      </c>
      <c r="AK19" s="72"/>
      <c r="AL19" s="72"/>
      <c r="AM19" s="72"/>
    </row>
    <row r="20" spans="1:39" x14ac:dyDescent="0.25">
      <c r="A20" s="37" t="s">
        <v>62</v>
      </c>
      <c r="B20" s="66" t="s">
        <v>1566</v>
      </c>
      <c r="C20" s="47">
        <v>1001</v>
      </c>
      <c r="D20" s="47" t="s">
        <v>92</v>
      </c>
      <c r="E20" s="41">
        <v>10010097</v>
      </c>
      <c r="F20" s="46" t="s">
        <v>534</v>
      </c>
      <c r="G20" s="39" t="s">
        <v>93</v>
      </c>
      <c r="H20" s="48" t="s">
        <v>94</v>
      </c>
      <c r="I20" s="52">
        <v>1339.8999999999999</v>
      </c>
      <c r="J20" s="49">
        <v>49690.539999999994</v>
      </c>
      <c r="K20" s="65">
        <v>1519.7700000000002</v>
      </c>
      <c r="L20" s="65">
        <v>54835.208284072498</v>
      </c>
      <c r="M20" s="65">
        <v>1.6200000000000003</v>
      </c>
      <c r="N20" s="65">
        <v>58.057293987000008</v>
      </c>
      <c r="O20" s="65">
        <v>1521.39</v>
      </c>
      <c r="P20" s="65">
        <v>54893.265578059501</v>
      </c>
      <c r="Q20" s="50">
        <v>49690.539999999994</v>
      </c>
      <c r="R20" s="65">
        <v>0</v>
      </c>
      <c r="S20" s="65">
        <v>58.057293987000008</v>
      </c>
      <c r="T20" s="65">
        <v>5202.7255780595078</v>
      </c>
      <c r="U20" s="65">
        <v>0</v>
      </c>
      <c r="V20" s="65">
        <v>0</v>
      </c>
      <c r="W20" s="65">
        <v>0</v>
      </c>
      <c r="X20" s="65">
        <v>49632</v>
      </c>
      <c r="Y20" s="65">
        <v>0</v>
      </c>
      <c r="Z20" s="65">
        <v>0</v>
      </c>
      <c r="AA20" s="51">
        <v>0</v>
      </c>
      <c r="AB20" s="102">
        <v>0</v>
      </c>
      <c r="AC20" s="81">
        <f t="shared" si="2"/>
        <v>0</v>
      </c>
      <c r="AD20" s="82">
        <f t="shared" si="3"/>
        <v>0</v>
      </c>
      <c r="AE20" s="218">
        <v>-0.10470253650009657</v>
      </c>
      <c r="AF20">
        <v>11</v>
      </c>
      <c r="AH20" t="str">
        <f t="shared" si="4"/>
        <v>Majhaul</v>
      </c>
      <c r="AJ20" s="72">
        <v>0</v>
      </c>
      <c r="AK20" s="72"/>
      <c r="AL20" s="72"/>
      <c r="AM20" s="72"/>
    </row>
    <row r="21" spans="1:39" x14ac:dyDescent="0.25">
      <c r="A21" s="37" t="s">
        <v>62</v>
      </c>
      <c r="B21" s="66" t="s">
        <v>1566</v>
      </c>
      <c r="C21" s="47">
        <v>1058</v>
      </c>
      <c r="D21" s="47" t="s">
        <v>1344</v>
      </c>
      <c r="E21" s="41">
        <v>10010098</v>
      </c>
      <c r="F21" s="46" t="s">
        <v>530</v>
      </c>
      <c r="G21" s="39" t="s">
        <v>93</v>
      </c>
      <c r="H21" s="48" t="s">
        <v>94</v>
      </c>
      <c r="I21" s="52">
        <v>289.8</v>
      </c>
      <c r="J21" s="49">
        <v>12074.08</v>
      </c>
      <c r="K21" s="65">
        <v>291.76</v>
      </c>
      <c r="L21" s="65">
        <v>13086.841175183101</v>
      </c>
      <c r="M21" s="65">
        <v>6.78</v>
      </c>
      <c r="N21" s="65">
        <v>321.26055721980003</v>
      </c>
      <c r="O21" s="65">
        <v>298.53999999999996</v>
      </c>
      <c r="P21" s="65">
        <v>13408.101732402902</v>
      </c>
      <c r="Q21" s="50">
        <v>12074.08</v>
      </c>
      <c r="R21" s="65">
        <v>0</v>
      </c>
      <c r="S21" s="65">
        <v>244.47607634220003</v>
      </c>
      <c r="T21" s="65">
        <v>1334.0217324029018</v>
      </c>
      <c r="U21" s="65">
        <v>0</v>
      </c>
      <c r="V21" s="65">
        <v>0</v>
      </c>
      <c r="W21" s="65">
        <v>0</v>
      </c>
      <c r="X21" s="65">
        <v>11753</v>
      </c>
      <c r="Y21" s="65">
        <v>77</v>
      </c>
      <c r="Z21" s="65">
        <v>0</v>
      </c>
      <c r="AA21" s="51">
        <v>0</v>
      </c>
      <c r="AB21" s="102">
        <v>0</v>
      </c>
      <c r="AC21" s="81">
        <f t="shared" si="2"/>
        <v>341.80728888888888</v>
      </c>
      <c r="AD21" s="82">
        <f t="shared" si="3"/>
        <v>41.4</v>
      </c>
      <c r="AE21" s="218">
        <v>-0.11048640827316879</v>
      </c>
      <c r="AF21">
        <v>8</v>
      </c>
      <c r="AH21" t="str">
        <f t="shared" si="4"/>
        <v>Hasanpur</v>
      </c>
      <c r="AJ21" s="72">
        <v>0</v>
      </c>
      <c r="AK21" s="72"/>
      <c r="AL21" s="72"/>
      <c r="AM21" s="72"/>
    </row>
    <row r="22" spans="1:39" x14ac:dyDescent="0.25">
      <c r="A22" s="37" t="s">
        <v>62</v>
      </c>
      <c r="B22" s="66" t="s">
        <v>1566</v>
      </c>
      <c r="C22" s="47">
        <v>1058</v>
      </c>
      <c r="D22" s="47" t="s">
        <v>1344</v>
      </c>
      <c r="E22" s="41">
        <v>10010099</v>
      </c>
      <c r="F22" s="46" t="s">
        <v>569</v>
      </c>
      <c r="G22" s="39" t="s">
        <v>93</v>
      </c>
      <c r="H22" s="48" t="s">
        <v>94</v>
      </c>
      <c r="I22" s="52">
        <v>144.69999999999999</v>
      </c>
      <c r="J22" s="49">
        <v>5792.72</v>
      </c>
      <c r="K22" s="65">
        <v>152.19999999999999</v>
      </c>
      <c r="L22" s="65">
        <v>6031.5796332</v>
      </c>
      <c r="M22" s="65">
        <v>0</v>
      </c>
      <c r="N22" s="65">
        <v>0</v>
      </c>
      <c r="O22" s="65">
        <v>152.19999999999999</v>
      </c>
      <c r="P22" s="65">
        <v>6031.5796332</v>
      </c>
      <c r="Q22" s="50">
        <v>5792.72</v>
      </c>
      <c r="R22" s="65">
        <v>0</v>
      </c>
      <c r="S22" s="65">
        <v>0</v>
      </c>
      <c r="T22" s="65">
        <v>238.85963319999973</v>
      </c>
      <c r="U22" s="65">
        <v>0</v>
      </c>
      <c r="V22" s="65">
        <v>86.618879999999905</v>
      </c>
      <c r="W22" s="65">
        <v>0</v>
      </c>
      <c r="X22" s="65">
        <v>5706</v>
      </c>
      <c r="Y22" s="65">
        <v>0</v>
      </c>
      <c r="Z22" s="65">
        <v>0</v>
      </c>
      <c r="AA22" s="51">
        <v>0</v>
      </c>
      <c r="AB22" s="102">
        <v>0</v>
      </c>
      <c r="AC22" s="81">
        <f t="shared" si="2"/>
        <v>444.60226897028332</v>
      </c>
      <c r="AD22" s="82">
        <f t="shared" si="3"/>
        <v>20.671428571428571</v>
      </c>
      <c r="AE22" s="218">
        <v>-4.1234451725614171E-2</v>
      </c>
      <c r="AF22">
        <v>1</v>
      </c>
      <c r="AH22" t="str">
        <f t="shared" si="4"/>
        <v>Hasanpur</v>
      </c>
      <c r="AJ22" s="72">
        <v>0</v>
      </c>
      <c r="AK22" s="72"/>
      <c r="AL22" s="72"/>
      <c r="AM22" s="72"/>
    </row>
    <row r="23" spans="1:39" x14ac:dyDescent="0.25">
      <c r="A23" s="37" t="s">
        <v>62</v>
      </c>
      <c r="B23" s="66" t="s">
        <v>1566</v>
      </c>
      <c r="C23" s="47">
        <v>1058</v>
      </c>
      <c r="D23" s="47" t="s">
        <v>1344</v>
      </c>
      <c r="E23" s="41">
        <v>10010103</v>
      </c>
      <c r="F23" s="46" t="s">
        <v>570</v>
      </c>
      <c r="G23" s="39" t="s">
        <v>93</v>
      </c>
      <c r="H23" s="48" t="s">
        <v>94</v>
      </c>
      <c r="I23" s="52">
        <v>20.3</v>
      </c>
      <c r="J23" s="49">
        <v>753.82</v>
      </c>
      <c r="K23" s="65">
        <v>20.100000000000001</v>
      </c>
      <c r="L23" s="65">
        <v>747.16891662599994</v>
      </c>
      <c r="M23" s="65">
        <v>0</v>
      </c>
      <c r="N23" s="65">
        <v>0</v>
      </c>
      <c r="O23" s="65">
        <v>20.100000000000001</v>
      </c>
      <c r="P23" s="65">
        <v>747.16891662599994</v>
      </c>
      <c r="Q23" s="50">
        <v>747.16891662599994</v>
      </c>
      <c r="R23" s="65">
        <v>0</v>
      </c>
      <c r="S23" s="65">
        <v>0</v>
      </c>
      <c r="T23" s="65">
        <v>0</v>
      </c>
      <c r="U23" s="65">
        <v>0</v>
      </c>
      <c r="V23" s="65">
        <v>133.22522640000003</v>
      </c>
      <c r="W23" s="65">
        <v>0</v>
      </c>
      <c r="X23" s="65">
        <v>614</v>
      </c>
      <c r="Y23" s="65">
        <v>0</v>
      </c>
      <c r="Z23" s="65">
        <v>0</v>
      </c>
      <c r="AA23" s="51">
        <v>7</v>
      </c>
      <c r="AB23" s="102">
        <v>0</v>
      </c>
      <c r="AC23" s="81">
        <f t="shared" si="2"/>
        <v>504.79946206896545</v>
      </c>
      <c r="AD23" s="82">
        <f t="shared" si="3"/>
        <v>2.9</v>
      </c>
      <c r="AE23" s="218">
        <v>8.8231718102466227E-3</v>
      </c>
      <c r="AF23">
        <v>1</v>
      </c>
      <c r="AH23" t="str">
        <f t="shared" si="4"/>
        <v>Hasanpur</v>
      </c>
      <c r="AJ23" s="72">
        <v>0</v>
      </c>
      <c r="AK23" s="72"/>
      <c r="AL23" s="72"/>
      <c r="AM23" s="72"/>
    </row>
    <row r="24" spans="1:39" x14ac:dyDescent="0.25">
      <c r="A24" s="37" t="s">
        <v>62</v>
      </c>
      <c r="B24" s="66" t="s">
        <v>1566</v>
      </c>
      <c r="C24" s="47">
        <v>1001</v>
      </c>
      <c r="D24" s="47" t="s">
        <v>92</v>
      </c>
      <c r="E24" s="41">
        <v>10010108</v>
      </c>
      <c r="F24" s="46" t="s">
        <v>647</v>
      </c>
      <c r="G24" s="39" t="s">
        <v>93</v>
      </c>
      <c r="H24" s="48" t="s">
        <v>94</v>
      </c>
      <c r="I24" s="52">
        <v>123.20000000000002</v>
      </c>
      <c r="J24" s="49">
        <v>4196.079999999999</v>
      </c>
      <c r="K24" s="65">
        <v>130.57999999999998</v>
      </c>
      <c r="L24" s="65">
        <v>4910.599608789601</v>
      </c>
      <c r="M24" s="65">
        <v>2.1399999999999997</v>
      </c>
      <c r="N24" s="65">
        <v>81.961154352000023</v>
      </c>
      <c r="O24" s="65">
        <v>132.71999999999997</v>
      </c>
      <c r="P24" s="65">
        <v>4992.5607631416015</v>
      </c>
      <c r="Q24" s="50">
        <v>4196.079999999999</v>
      </c>
      <c r="R24" s="65">
        <v>0</v>
      </c>
      <c r="S24" s="65">
        <v>81.961154352000023</v>
      </c>
      <c r="T24" s="65">
        <v>796.48076314160244</v>
      </c>
      <c r="U24" s="65">
        <v>0</v>
      </c>
      <c r="V24" s="65">
        <v>152.91</v>
      </c>
      <c r="W24" s="65">
        <v>0</v>
      </c>
      <c r="X24" s="65">
        <v>3961</v>
      </c>
      <c r="Y24" s="65">
        <v>0</v>
      </c>
      <c r="Z24" s="65">
        <v>0</v>
      </c>
      <c r="AA24" s="51">
        <v>0</v>
      </c>
      <c r="AB24" s="102" t="s">
        <v>68</v>
      </c>
      <c r="AC24" s="81">
        <f t="shared" si="2"/>
        <v>392.90567272727264</v>
      </c>
      <c r="AD24" s="82">
        <f t="shared" si="3"/>
        <v>17.600000000000001</v>
      </c>
      <c r="AE24" s="218">
        <v>-0.18981543801395651</v>
      </c>
      <c r="AF24">
        <v>2</v>
      </c>
      <c r="AH24" t="str">
        <f t="shared" si="4"/>
        <v>Majhaul</v>
      </c>
      <c r="AJ24" s="72">
        <v>0</v>
      </c>
      <c r="AK24" s="72"/>
      <c r="AL24" s="72"/>
      <c r="AM24" s="72"/>
    </row>
    <row r="25" spans="1:39" x14ac:dyDescent="0.25">
      <c r="A25" s="37" t="s">
        <v>62</v>
      </c>
      <c r="B25" s="66" t="s">
        <v>1566</v>
      </c>
      <c r="C25" s="47">
        <v>1001</v>
      </c>
      <c r="D25" s="47" t="s">
        <v>92</v>
      </c>
      <c r="E25" s="41">
        <v>10010109</v>
      </c>
      <c r="F25" s="46" t="s">
        <v>648</v>
      </c>
      <c r="G25" s="39" t="s">
        <v>635</v>
      </c>
      <c r="H25" s="48" t="s">
        <v>99</v>
      </c>
      <c r="I25" s="52">
        <v>264.59999999999997</v>
      </c>
      <c r="J25" s="49">
        <v>9090.81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50">
        <v>9090.81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9090.81</v>
      </c>
      <c r="AA25" s="51">
        <v>0</v>
      </c>
      <c r="AB25" s="102">
        <v>0</v>
      </c>
      <c r="AC25" s="81">
        <f t="shared" si="2"/>
        <v>299.17903809523813</v>
      </c>
      <c r="AD25" s="82">
        <f t="shared" si="3"/>
        <v>37.799999999999997</v>
      </c>
      <c r="AE25" s="218">
        <v>0</v>
      </c>
      <c r="AF25">
        <v>0</v>
      </c>
      <c r="AH25" t="str">
        <f t="shared" si="4"/>
        <v>Majhaul</v>
      </c>
      <c r="AJ25" s="72">
        <v>0</v>
      </c>
      <c r="AK25" s="72"/>
      <c r="AL25" s="72"/>
      <c r="AM25" s="72"/>
    </row>
    <row r="26" spans="1:39" x14ac:dyDescent="0.25">
      <c r="A26" s="37" t="s">
        <v>62</v>
      </c>
      <c r="B26" s="66" t="s">
        <v>1566</v>
      </c>
      <c r="C26" s="47">
        <v>1001</v>
      </c>
      <c r="D26" s="47" t="s">
        <v>92</v>
      </c>
      <c r="E26" s="41">
        <v>10010113</v>
      </c>
      <c r="F26" s="46" t="s">
        <v>824</v>
      </c>
      <c r="G26" s="39" t="s">
        <v>93</v>
      </c>
      <c r="H26" s="48" t="s">
        <v>94</v>
      </c>
      <c r="I26" s="52">
        <v>823.99999999999989</v>
      </c>
      <c r="J26" s="49">
        <v>32447.86</v>
      </c>
      <c r="K26" s="65">
        <v>820.4100000000002</v>
      </c>
      <c r="L26" s="65">
        <v>33590.132578742006</v>
      </c>
      <c r="M26" s="65">
        <v>5.9</v>
      </c>
      <c r="N26" s="65">
        <v>240.12262579200004</v>
      </c>
      <c r="O26" s="65">
        <v>826.31000000000017</v>
      </c>
      <c r="P26" s="65">
        <v>33830.255204534005</v>
      </c>
      <c r="Q26" s="50">
        <v>32447.86</v>
      </c>
      <c r="R26" s="65">
        <v>0</v>
      </c>
      <c r="S26" s="65">
        <v>240.12262579200004</v>
      </c>
      <c r="T26" s="65">
        <v>1382.3952045340047</v>
      </c>
      <c r="U26" s="65">
        <v>0</v>
      </c>
      <c r="V26" s="65">
        <v>0</v>
      </c>
      <c r="W26" s="65">
        <v>0</v>
      </c>
      <c r="X26" s="65">
        <v>32208</v>
      </c>
      <c r="Y26" s="65">
        <v>0</v>
      </c>
      <c r="Z26" s="65">
        <v>0</v>
      </c>
      <c r="AA26" s="51">
        <v>0</v>
      </c>
      <c r="AB26" s="102">
        <v>0</v>
      </c>
      <c r="AC26" s="81">
        <f t="shared" si="2"/>
        <v>0</v>
      </c>
      <c r="AD26" s="82">
        <f t="shared" si="3"/>
        <v>0</v>
      </c>
      <c r="AE26" s="218">
        <v>-4.2603586323843999E-2</v>
      </c>
      <c r="AF26">
        <v>23</v>
      </c>
      <c r="AH26" t="str">
        <f t="shared" si="4"/>
        <v>Majhaul</v>
      </c>
      <c r="AJ26" s="72">
        <v>0</v>
      </c>
      <c r="AK26" s="72"/>
      <c r="AL26" s="72"/>
      <c r="AM26" s="72"/>
    </row>
    <row r="27" spans="1:39" x14ac:dyDescent="0.25">
      <c r="A27" s="37" t="s">
        <v>62</v>
      </c>
      <c r="B27" s="66" t="s">
        <v>1566</v>
      </c>
      <c r="C27" s="47">
        <v>1001</v>
      </c>
      <c r="D27" s="47" t="s">
        <v>92</v>
      </c>
      <c r="E27" s="41">
        <v>10010116</v>
      </c>
      <c r="F27" s="46" t="s">
        <v>845</v>
      </c>
      <c r="G27" s="39" t="s">
        <v>635</v>
      </c>
      <c r="H27" s="48" t="s">
        <v>99</v>
      </c>
      <c r="I27" s="52">
        <v>611.20000000000005</v>
      </c>
      <c r="J27" s="49">
        <v>22836.240000000005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50">
        <v>22836.240000000005</v>
      </c>
      <c r="R27" s="65">
        <v>0</v>
      </c>
      <c r="S27" s="65">
        <v>0</v>
      </c>
      <c r="T27" s="65">
        <v>0</v>
      </c>
      <c r="U27" s="65">
        <v>0</v>
      </c>
      <c r="V27" s="65">
        <v>81.996638709676617</v>
      </c>
      <c r="W27" s="65">
        <v>0</v>
      </c>
      <c r="X27" s="65">
        <v>0</v>
      </c>
      <c r="Y27" s="65">
        <v>0</v>
      </c>
      <c r="Z27" s="65">
        <v>22754.24336129033</v>
      </c>
      <c r="AA27" s="51">
        <v>0</v>
      </c>
      <c r="AB27" s="102">
        <v>0</v>
      </c>
      <c r="AC27" s="81">
        <f t="shared" si="2"/>
        <v>66.35661361256544</v>
      </c>
      <c r="AD27" s="82">
        <f t="shared" si="3"/>
        <v>87.314285714285717</v>
      </c>
      <c r="AE27" s="218">
        <v>0</v>
      </c>
      <c r="AF27">
        <v>0</v>
      </c>
      <c r="AH27" t="str">
        <f t="shared" si="4"/>
        <v>Majhaul</v>
      </c>
      <c r="AJ27" s="72">
        <v>0</v>
      </c>
      <c r="AK27" s="72"/>
      <c r="AL27" s="72"/>
      <c r="AM27" s="72"/>
    </row>
    <row r="28" spans="1:39" x14ac:dyDescent="0.25">
      <c r="A28" s="37" t="s">
        <v>62</v>
      </c>
      <c r="B28" s="66" t="s">
        <v>1566</v>
      </c>
      <c r="C28" s="47">
        <v>1001</v>
      </c>
      <c r="D28" s="47" t="s">
        <v>92</v>
      </c>
      <c r="E28" s="41">
        <v>10010121</v>
      </c>
      <c r="F28" s="46" t="s">
        <v>1139</v>
      </c>
      <c r="G28" s="39" t="s">
        <v>93</v>
      </c>
      <c r="H28" s="48" t="s">
        <v>94</v>
      </c>
      <c r="I28" s="52">
        <v>867.30000000000007</v>
      </c>
      <c r="J28" s="49">
        <v>32702.18</v>
      </c>
      <c r="K28" s="65">
        <v>890.29</v>
      </c>
      <c r="L28" s="65">
        <v>33202.098110229163</v>
      </c>
      <c r="M28" s="65">
        <v>5.64</v>
      </c>
      <c r="N28" s="65">
        <v>206.27000483760003</v>
      </c>
      <c r="O28" s="65">
        <v>895.93</v>
      </c>
      <c r="P28" s="65">
        <v>33408.368115066762</v>
      </c>
      <c r="Q28" s="50">
        <v>32702.18</v>
      </c>
      <c r="R28" s="65">
        <v>0</v>
      </c>
      <c r="S28" s="65">
        <v>206.27000483760003</v>
      </c>
      <c r="T28" s="65">
        <v>706.18811506676138</v>
      </c>
      <c r="U28" s="65">
        <v>0</v>
      </c>
      <c r="V28" s="65">
        <v>55.252239344260673</v>
      </c>
      <c r="W28" s="65">
        <v>0</v>
      </c>
      <c r="X28" s="65">
        <v>32441</v>
      </c>
      <c r="Y28" s="65">
        <v>0</v>
      </c>
      <c r="Z28" s="65">
        <v>0</v>
      </c>
      <c r="AA28" s="51">
        <v>0</v>
      </c>
      <c r="AB28" s="102">
        <v>0</v>
      </c>
      <c r="AC28" s="81">
        <f t="shared" si="2"/>
        <v>0</v>
      </c>
      <c r="AD28" s="82">
        <f t="shared" si="3"/>
        <v>0</v>
      </c>
      <c r="AE28" s="218">
        <v>-2.1594527186467732E-2</v>
      </c>
      <c r="AF28">
        <v>11</v>
      </c>
      <c r="AH28" t="str">
        <f t="shared" si="4"/>
        <v>Majhaul</v>
      </c>
      <c r="AJ28" s="72">
        <v>0</v>
      </c>
      <c r="AK28" s="72"/>
      <c r="AL28" s="72"/>
      <c r="AM28" s="72"/>
    </row>
    <row r="29" spans="1:39" x14ac:dyDescent="0.25">
      <c r="A29" s="37" t="s">
        <v>62</v>
      </c>
      <c r="B29" s="66" t="s">
        <v>1566</v>
      </c>
      <c r="C29" s="47">
        <v>1001</v>
      </c>
      <c r="D29" s="47" t="s">
        <v>92</v>
      </c>
      <c r="E29" s="41">
        <v>10010125</v>
      </c>
      <c r="F29" s="46" t="s">
        <v>1149</v>
      </c>
      <c r="G29" s="39" t="s">
        <v>635</v>
      </c>
      <c r="H29" s="48" t="s">
        <v>99</v>
      </c>
      <c r="I29" s="52">
        <v>119.3</v>
      </c>
      <c r="J29" s="49">
        <v>4267.8599999999997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50">
        <v>4267.8599999999997</v>
      </c>
      <c r="R29" s="65">
        <v>0</v>
      </c>
      <c r="S29" s="65">
        <v>0</v>
      </c>
      <c r="T29" s="65">
        <v>0</v>
      </c>
      <c r="U29" s="65">
        <v>0</v>
      </c>
      <c r="V29" s="65">
        <v>1092.2252903225803</v>
      </c>
      <c r="W29" s="65">
        <v>0</v>
      </c>
      <c r="X29" s="65">
        <v>0</v>
      </c>
      <c r="Y29" s="65">
        <v>0</v>
      </c>
      <c r="Z29" s="65">
        <v>3175.6347096774193</v>
      </c>
      <c r="AA29" s="51">
        <v>0</v>
      </c>
      <c r="AB29" s="102">
        <v>0</v>
      </c>
      <c r="AC29" s="81">
        <f t="shared" si="2"/>
        <v>415.48135825649626</v>
      </c>
      <c r="AD29" s="82">
        <f t="shared" si="3"/>
        <v>17.042857142857141</v>
      </c>
      <c r="AE29" s="218">
        <v>0</v>
      </c>
      <c r="AF29">
        <v>0</v>
      </c>
      <c r="AH29" t="str">
        <f t="shared" si="4"/>
        <v>Majhaul</v>
      </c>
      <c r="AJ29" s="72">
        <v>0</v>
      </c>
      <c r="AK29" s="72"/>
      <c r="AL29" s="72"/>
      <c r="AM29" s="72"/>
    </row>
    <row r="30" spans="1:39" x14ac:dyDescent="0.25">
      <c r="A30" s="37" t="s">
        <v>62</v>
      </c>
      <c r="B30" s="66" t="s">
        <v>1566</v>
      </c>
      <c r="C30" s="47">
        <v>1001</v>
      </c>
      <c r="D30" s="47" t="s">
        <v>92</v>
      </c>
      <c r="E30" s="41">
        <v>10010128</v>
      </c>
      <c r="F30" s="46" t="s">
        <v>1150</v>
      </c>
      <c r="G30" s="39" t="s">
        <v>93</v>
      </c>
      <c r="H30" s="48" t="s">
        <v>94</v>
      </c>
      <c r="I30" s="52">
        <v>1312.2999999999997</v>
      </c>
      <c r="J30" s="49">
        <v>53215.109999999993</v>
      </c>
      <c r="K30" s="65">
        <v>1340.91</v>
      </c>
      <c r="L30" s="65">
        <v>57244.439218187807</v>
      </c>
      <c r="M30" s="65">
        <v>0</v>
      </c>
      <c r="N30" s="65">
        <v>0</v>
      </c>
      <c r="O30" s="65">
        <v>1340.91</v>
      </c>
      <c r="P30" s="65">
        <v>57244.439218187807</v>
      </c>
      <c r="Q30" s="50">
        <v>53215.109999999993</v>
      </c>
      <c r="R30" s="65">
        <v>0</v>
      </c>
      <c r="S30" s="65">
        <v>0</v>
      </c>
      <c r="T30" s="65">
        <v>4029.3292181878132</v>
      </c>
      <c r="U30" s="65">
        <v>0</v>
      </c>
      <c r="V30" s="65">
        <v>0</v>
      </c>
      <c r="W30" s="65">
        <v>0</v>
      </c>
      <c r="X30" s="65">
        <v>53215</v>
      </c>
      <c r="Y30" s="65">
        <v>0</v>
      </c>
      <c r="Z30" s="65">
        <v>0</v>
      </c>
      <c r="AA30" s="51">
        <v>0</v>
      </c>
      <c r="AB30" s="102">
        <v>0</v>
      </c>
      <c r="AC30" s="81">
        <f t="shared" si="2"/>
        <v>0</v>
      </c>
      <c r="AD30" s="82">
        <f t="shared" si="3"/>
        <v>0</v>
      </c>
      <c r="AE30" s="218">
        <v>-7.571776546525627E-2</v>
      </c>
      <c r="AF30">
        <v>5</v>
      </c>
      <c r="AH30" t="str">
        <f t="shared" si="4"/>
        <v>Majhaul</v>
      </c>
      <c r="AJ30" s="72">
        <v>0</v>
      </c>
      <c r="AK30" s="72"/>
      <c r="AL30" s="72"/>
      <c r="AM30" s="72"/>
    </row>
    <row r="31" spans="1:39" x14ac:dyDescent="0.25">
      <c r="A31" s="37" t="s">
        <v>62</v>
      </c>
      <c r="B31" s="66" t="s">
        <v>1566</v>
      </c>
      <c r="C31" s="47">
        <v>1001</v>
      </c>
      <c r="D31" s="47" t="s">
        <v>92</v>
      </c>
      <c r="E31" s="41">
        <v>10010129</v>
      </c>
      <c r="F31" s="46" t="s">
        <v>1151</v>
      </c>
      <c r="G31" s="39" t="s">
        <v>635</v>
      </c>
      <c r="H31" s="48" t="s">
        <v>99</v>
      </c>
      <c r="I31" s="52">
        <v>502.7</v>
      </c>
      <c r="J31" s="49">
        <v>19873.939999999999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50">
        <v>19873.939999999999</v>
      </c>
      <c r="R31" s="65">
        <v>0</v>
      </c>
      <c r="S31" s="65">
        <v>0</v>
      </c>
      <c r="T31" s="65">
        <v>0</v>
      </c>
      <c r="U31" s="65">
        <v>0</v>
      </c>
      <c r="V31" s="65">
        <v>355.88825806451553</v>
      </c>
      <c r="W31" s="65">
        <v>0</v>
      </c>
      <c r="X31" s="65">
        <v>0</v>
      </c>
      <c r="Y31" s="65">
        <v>0</v>
      </c>
      <c r="Z31" s="65">
        <v>19518.051741935484</v>
      </c>
      <c r="AA31" s="51">
        <v>0</v>
      </c>
      <c r="AB31" s="102">
        <v>0</v>
      </c>
      <c r="AC31" s="81">
        <f t="shared" si="2"/>
        <v>156.00271979311714</v>
      </c>
      <c r="AD31" s="82">
        <f t="shared" si="3"/>
        <v>71.814285714285717</v>
      </c>
      <c r="AE31" s="218">
        <v>0</v>
      </c>
      <c r="AF31">
        <v>0</v>
      </c>
      <c r="AH31" t="str">
        <f t="shared" si="4"/>
        <v>Majhaul</v>
      </c>
      <c r="AJ31" s="72">
        <v>0</v>
      </c>
      <c r="AK31" s="72"/>
      <c r="AL31" s="72"/>
      <c r="AM31" s="72"/>
    </row>
    <row r="32" spans="1:39" x14ac:dyDescent="0.25">
      <c r="A32" s="37" t="s">
        <v>62</v>
      </c>
      <c r="B32" s="66" t="s">
        <v>1566</v>
      </c>
      <c r="C32" s="47">
        <v>1001</v>
      </c>
      <c r="D32" s="47" t="s">
        <v>92</v>
      </c>
      <c r="E32" s="41">
        <v>10010130</v>
      </c>
      <c r="F32" s="46" t="s">
        <v>1174</v>
      </c>
      <c r="G32" s="39" t="s">
        <v>635</v>
      </c>
      <c r="H32" s="48" t="s">
        <v>99</v>
      </c>
      <c r="I32" s="52">
        <v>708.30000000000007</v>
      </c>
      <c r="J32" s="49">
        <v>26008.840000000004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50">
        <v>26008.840000000004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26008.840000000004</v>
      </c>
      <c r="AA32" s="51">
        <v>0</v>
      </c>
      <c r="AB32" s="102">
        <v>0</v>
      </c>
      <c r="AC32" s="81">
        <f t="shared" si="2"/>
        <v>0</v>
      </c>
      <c r="AD32" s="82">
        <f t="shared" si="3"/>
        <v>0</v>
      </c>
      <c r="AE32" s="218">
        <v>0</v>
      </c>
      <c r="AF32">
        <v>0</v>
      </c>
      <c r="AH32" t="str">
        <f t="shared" si="4"/>
        <v>Majhaul</v>
      </c>
      <c r="AJ32" s="72">
        <v>0</v>
      </c>
      <c r="AK32" s="72"/>
      <c r="AL32" s="72"/>
      <c r="AM32" s="72"/>
    </row>
    <row r="33" spans="1:39" x14ac:dyDescent="0.25">
      <c r="A33" s="37" t="s">
        <v>62</v>
      </c>
      <c r="B33" s="66" t="s">
        <v>1566</v>
      </c>
      <c r="C33" s="47">
        <v>1001</v>
      </c>
      <c r="D33" s="47" t="s">
        <v>92</v>
      </c>
      <c r="E33" s="41">
        <v>10010131</v>
      </c>
      <c r="F33" s="46" t="s">
        <v>1175</v>
      </c>
      <c r="G33" s="39" t="s">
        <v>635</v>
      </c>
      <c r="H33" s="48" t="s">
        <v>99</v>
      </c>
      <c r="I33" s="52">
        <v>481.5</v>
      </c>
      <c r="J33" s="49">
        <v>18007.789999999997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50">
        <v>18007.789999999997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18007.789999999997</v>
      </c>
      <c r="AA33" s="51">
        <v>0</v>
      </c>
      <c r="AB33" s="102">
        <v>0</v>
      </c>
      <c r="AC33" s="81">
        <f t="shared" si="2"/>
        <v>163.43518650051914</v>
      </c>
      <c r="AD33" s="82">
        <f t="shared" si="3"/>
        <v>68.785714285714292</v>
      </c>
      <c r="AE33" s="218">
        <v>0</v>
      </c>
      <c r="AF33">
        <v>0</v>
      </c>
      <c r="AH33" t="str">
        <f t="shared" si="4"/>
        <v>Majhaul</v>
      </c>
      <c r="AJ33" s="72">
        <v>0</v>
      </c>
      <c r="AK33" s="72"/>
      <c r="AL33" s="72"/>
      <c r="AM33" s="72"/>
    </row>
    <row r="34" spans="1:39" x14ac:dyDescent="0.25">
      <c r="A34" s="37" t="s">
        <v>62</v>
      </c>
      <c r="B34" s="66" t="s">
        <v>1566</v>
      </c>
      <c r="C34" s="47">
        <v>1001</v>
      </c>
      <c r="D34" s="47" t="s">
        <v>92</v>
      </c>
      <c r="E34" s="41">
        <v>10010140</v>
      </c>
      <c r="F34" s="46" t="s">
        <v>1283</v>
      </c>
      <c r="G34" s="39" t="s">
        <v>93</v>
      </c>
      <c r="H34" s="48" t="s">
        <v>94</v>
      </c>
      <c r="I34" s="52">
        <v>226.30000000000004</v>
      </c>
      <c r="J34" s="49">
        <v>9273.0499999999993</v>
      </c>
      <c r="K34" s="65">
        <v>266.15000000000003</v>
      </c>
      <c r="L34" s="65">
        <v>10542.397495536603</v>
      </c>
      <c r="M34" s="65">
        <v>0</v>
      </c>
      <c r="N34" s="65">
        <v>0</v>
      </c>
      <c r="O34" s="65">
        <v>266.15000000000003</v>
      </c>
      <c r="P34" s="65">
        <v>10542.397495536603</v>
      </c>
      <c r="Q34" s="50">
        <v>9273.0499999999993</v>
      </c>
      <c r="R34" s="65">
        <v>0</v>
      </c>
      <c r="S34" s="65">
        <v>0</v>
      </c>
      <c r="T34" s="65">
        <v>1269.3474955366037</v>
      </c>
      <c r="U34" s="65">
        <v>0</v>
      </c>
      <c r="V34" s="65">
        <v>63.96705245901633</v>
      </c>
      <c r="W34" s="65">
        <v>0</v>
      </c>
      <c r="X34" s="65">
        <v>9209</v>
      </c>
      <c r="Y34" s="65">
        <v>0</v>
      </c>
      <c r="Z34" s="65">
        <v>0</v>
      </c>
      <c r="AA34" s="51">
        <v>0</v>
      </c>
      <c r="AB34" s="102">
        <v>0</v>
      </c>
      <c r="AC34" s="81">
        <f t="shared" si="2"/>
        <v>388.2142098983648</v>
      </c>
      <c r="AD34" s="82">
        <f t="shared" si="3"/>
        <v>32.328571428571436</v>
      </c>
      <c r="AE34" s="218">
        <v>-0.13688565202782296</v>
      </c>
      <c r="AF34">
        <v>8</v>
      </c>
      <c r="AH34" t="str">
        <f t="shared" si="4"/>
        <v>Majhaul</v>
      </c>
      <c r="AJ34" s="72">
        <v>0</v>
      </c>
      <c r="AK34" s="72"/>
      <c r="AL34" s="72"/>
      <c r="AM34" s="72"/>
    </row>
    <row r="35" spans="1:39" x14ac:dyDescent="0.25">
      <c r="A35" s="37" t="s">
        <v>62</v>
      </c>
      <c r="B35" s="66" t="s">
        <v>1566</v>
      </c>
      <c r="C35" s="47">
        <v>1001</v>
      </c>
      <c r="D35" s="47" t="s">
        <v>92</v>
      </c>
      <c r="E35" s="41">
        <v>10010141</v>
      </c>
      <c r="F35" s="46" t="s">
        <v>1346</v>
      </c>
      <c r="G35" s="39" t="s">
        <v>93</v>
      </c>
      <c r="H35" s="48" t="s">
        <v>94</v>
      </c>
      <c r="I35" s="52">
        <v>128.10000000000002</v>
      </c>
      <c r="J35" s="49">
        <v>4828.2300000000005</v>
      </c>
      <c r="K35" s="65">
        <v>141.30000000000001</v>
      </c>
      <c r="L35" s="65">
        <v>5463.6809056560423</v>
      </c>
      <c r="M35" s="65">
        <v>0</v>
      </c>
      <c r="N35" s="65">
        <v>0</v>
      </c>
      <c r="O35" s="65">
        <v>141.30000000000001</v>
      </c>
      <c r="P35" s="65">
        <v>5463.6809056560423</v>
      </c>
      <c r="Q35" s="50">
        <v>4828.2300000000005</v>
      </c>
      <c r="R35" s="65">
        <v>0</v>
      </c>
      <c r="S35" s="65">
        <v>0</v>
      </c>
      <c r="T35" s="65">
        <v>635.45090565604187</v>
      </c>
      <c r="U35" s="65">
        <v>0</v>
      </c>
      <c r="V35" s="65">
        <v>117.84</v>
      </c>
      <c r="W35" s="65">
        <v>0</v>
      </c>
      <c r="X35" s="65">
        <v>4710</v>
      </c>
      <c r="Y35" s="65">
        <v>0</v>
      </c>
      <c r="Z35" s="65">
        <v>0</v>
      </c>
      <c r="AA35" s="51">
        <v>0</v>
      </c>
      <c r="AB35" s="102" t="s">
        <v>68</v>
      </c>
      <c r="AC35" s="81">
        <f t="shared" si="2"/>
        <v>431.11080983606547</v>
      </c>
      <c r="AD35" s="82">
        <f t="shared" si="3"/>
        <v>18.300000000000004</v>
      </c>
      <c r="AE35" s="218">
        <v>-0.13161156482935607</v>
      </c>
      <c r="AF35">
        <v>9</v>
      </c>
      <c r="AH35" t="str">
        <f t="shared" si="4"/>
        <v>Majhaul</v>
      </c>
      <c r="AJ35" s="72">
        <v>0</v>
      </c>
      <c r="AK35" s="72"/>
      <c r="AL35" s="72"/>
      <c r="AM35" s="72"/>
    </row>
    <row r="36" spans="1:39" x14ac:dyDescent="0.25">
      <c r="A36" s="37" t="s">
        <v>62</v>
      </c>
      <c r="B36" s="66" t="s">
        <v>1566</v>
      </c>
      <c r="C36" s="47">
        <v>1001</v>
      </c>
      <c r="D36" s="47" t="s">
        <v>92</v>
      </c>
      <c r="E36" s="41">
        <v>10010143</v>
      </c>
      <c r="F36" s="46" t="s">
        <v>491</v>
      </c>
      <c r="G36" s="39" t="s">
        <v>93</v>
      </c>
      <c r="H36" s="48" t="s">
        <v>94</v>
      </c>
      <c r="I36" s="52">
        <v>114.2</v>
      </c>
      <c r="J36" s="49">
        <v>3798.2000000000003</v>
      </c>
      <c r="K36" s="65">
        <v>109.78999999999999</v>
      </c>
      <c r="L36" s="65">
        <v>4148.2325118564013</v>
      </c>
      <c r="M36" s="65">
        <v>0</v>
      </c>
      <c r="N36" s="65">
        <v>0</v>
      </c>
      <c r="O36" s="65">
        <v>109.78999999999999</v>
      </c>
      <c r="P36" s="65">
        <v>4148.2325118564013</v>
      </c>
      <c r="Q36" s="50">
        <v>3798.2000000000003</v>
      </c>
      <c r="R36" s="65">
        <v>0</v>
      </c>
      <c r="S36" s="65">
        <v>0</v>
      </c>
      <c r="T36" s="65">
        <v>350.03251185640102</v>
      </c>
      <c r="U36" s="65">
        <v>0</v>
      </c>
      <c r="V36" s="65">
        <v>0</v>
      </c>
      <c r="W36" s="65">
        <v>0</v>
      </c>
      <c r="X36" s="65">
        <v>3798</v>
      </c>
      <c r="Y36" s="65">
        <v>0</v>
      </c>
      <c r="Z36" s="65">
        <v>0</v>
      </c>
      <c r="AA36" s="51">
        <v>0</v>
      </c>
      <c r="AB36" s="102" t="s">
        <v>68</v>
      </c>
      <c r="AC36" s="81">
        <f t="shared" si="2"/>
        <v>389.66472154115581</v>
      </c>
      <c r="AD36" s="82">
        <f t="shared" si="3"/>
        <v>16.314285714285713</v>
      </c>
      <c r="AE36" s="218">
        <v>-9.2157472449160394E-2</v>
      </c>
      <c r="AF36">
        <v>3</v>
      </c>
      <c r="AH36" t="str">
        <f t="shared" si="4"/>
        <v>Majhaul</v>
      </c>
      <c r="AJ36" s="72">
        <v>0</v>
      </c>
      <c r="AK36" s="72"/>
      <c r="AL36" s="72"/>
      <c r="AM36" s="72"/>
    </row>
    <row r="37" spans="1:39" x14ac:dyDescent="0.25">
      <c r="A37" s="37" t="s">
        <v>62</v>
      </c>
      <c r="B37" s="66" t="s">
        <v>1566</v>
      </c>
      <c r="C37" s="47">
        <v>1001</v>
      </c>
      <c r="D37" s="47" t="s">
        <v>92</v>
      </c>
      <c r="E37" s="41">
        <v>10010144</v>
      </c>
      <c r="F37" s="46" t="s">
        <v>1487</v>
      </c>
      <c r="G37" s="39" t="s">
        <v>93</v>
      </c>
      <c r="H37" s="48" t="s">
        <v>94</v>
      </c>
      <c r="I37" s="52">
        <v>37.099999999999994</v>
      </c>
      <c r="J37" s="49">
        <v>1061.8499999999999</v>
      </c>
      <c r="K37" s="65">
        <v>37.1</v>
      </c>
      <c r="L37" s="65">
        <v>1303.7773320000001</v>
      </c>
      <c r="M37" s="65">
        <v>0</v>
      </c>
      <c r="N37" s="65">
        <v>0</v>
      </c>
      <c r="O37" s="65">
        <v>37.1</v>
      </c>
      <c r="P37" s="65">
        <v>1303.7773320000001</v>
      </c>
      <c r="Q37" s="50">
        <v>1061.8499999999999</v>
      </c>
      <c r="R37" s="65">
        <v>0</v>
      </c>
      <c r="S37" s="65">
        <v>0</v>
      </c>
      <c r="T37" s="65">
        <v>241.92733200000021</v>
      </c>
      <c r="U37" s="65">
        <v>0</v>
      </c>
      <c r="V37" s="65">
        <v>0</v>
      </c>
      <c r="W37" s="65">
        <v>0</v>
      </c>
      <c r="X37" s="65">
        <v>1062</v>
      </c>
      <c r="Y37" s="65">
        <v>0</v>
      </c>
      <c r="Z37" s="65">
        <v>0</v>
      </c>
      <c r="AA37" s="51">
        <v>0</v>
      </c>
      <c r="AB37" s="102" t="s">
        <v>68</v>
      </c>
      <c r="AC37" s="81">
        <f t="shared" si="2"/>
        <v>379.46111320754716</v>
      </c>
      <c r="AD37" s="82">
        <f t="shared" si="3"/>
        <v>5.2999999999999989</v>
      </c>
      <c r="AE37" s="218">
        <v>-0.22783569430710574</v>
      </c>
      <c r="AF37">
        <v>1</v>
      </c>
      <c r="AH37" t="str">
        <f t="shared" si="4"/>
        <v>Majhaul</v>
      </c>
      <c r="AJ37" s="72">
        <v>0</v>
      </c>
      <c r="AK37" s="72"/>
      <c r="AL37" s="72"/>
      <c r="AM37" s="72"/>
    </row>
    <row r="38" spans="1:39" x14ac:dyDescent="0.25">
      <c r="A38" s="37" t="s">
        <v>62</v>
      </c>
      <c r="B38" s="66" t="s">
        <v>1566</v>
      </c>
      <c r="C38" s="47">
        <v>1001</v>
      </c>
      <c r="D38" s="47" t="s">
        <v>92</v>
      </c>
      <c r="E38" s="41">
        <v>10010145</v>
      </c>
      <c r="F38" s="46" t="s">
        <v>511</v>
      </c>
      <c r="G38" s="39" t="s">
        <v>93</v>
      </c>
      <c r="H38" s="48" t="s">
        <v>94</v>
      </c>
      <c r="I38" s="52">
        <v>306.10000000000002</v>
      </c>
      <c r="J38" s="49">
        <v>11620.300000000001</v>
      </c>
      <c r="K38" s="65">
        <v>304.24999999999994</v>
      </c>
      <c r="L38" s="65">
        <v>11531.882327484138</v>
      </c>
      <c r="M38" s="65">
        <v>2.88</v>
      </c>
      <c r="N38" s="65">
        <v>106.20646728120001</v>
      </c>
      <c r="O38" s="65">
        <v>307.12999999999994</v>
      </c>
      <c r="P38" s="65">
        <v>11638.088794765337</v>
      </c>
      <c r="Q38" s="50">
        <v>11620.300000000001</v>
      </c>
      <c r="R38" s="65">
        <v>0</v>
      </c>
      <c r="S38" s="65">
        <v>106.20646728120001</v>
      </c>
      <c r="T38" s="65">
        <v>17.788794765336206</v>
      </c>
      <c r="U38" s="65">
        <v>0</v>
      </c>
      <c r="V38" s="65">
        <v>0</v>
      </c>
      <c r="W38" s="65">
        <v>0</v>
      </c>
      <c r="X38" s="65">
        <v>11514</v>
      </c>
      <c r="Y38" s="65">
        <v>0</v>
      </c>
      <c r="Z38" s="65">
        <v>0</v>
      </c>
      <c r="AA38" s="51">
        <v>0</v>
      </c>
      <c r="AB38" s="102">
        <v>0</v>
      </c>
      <c r="AC38" s="81">
        <f t="shared" si="2"/>
        <v>299.06802809539363</v>
      </c>
      <c r="AD38" s="82">
        <f t="shared" si="3"/>
        <v>43.728571428571435</v>
      </c>
      <c r="AE38" s="218">
        <v>-1.5308378239233243E-3</v>
      </c>
      <c r="AF38">
        <v>10</v>
      </c>
      <c r="AH38" t="str">
        <f t="shared" si="4"/>
        <v>Majhaul</v>
      </c>
      <c r="AJ38" s="72">
        <v>0</v>
      </c>
      <c r="AK38" s="72"/>
      <c r="AL38" s="72"/>
      <c r="AM38" s="72"/>
    </row>
    <row r="39" spans="1:39" x14ac:dyDescent="0.25">
      <c r="A39" s="37" t="s">
        <v>62</v>
      </c>
      <c r="B39" s="66" t="s">
        <v>1566</v>
      </c>
      <c r="C39" s="47">
        <v>1001</v>
      </c>
      <c r="D39" s="47" t="s">
        <v>92</v>
      </c>
      <c r="E39" s="41">
        <v>10010146</v>
      </c>
      <c r="F39" s="46" t="s">
        <v>1488</v>
      </c>
      <c r="G39" s="39" t="s">
        <v>93</v>
      </c>
      <c r="H39" s="48" t="s">
        <v>94</v>
      </c>
      <c r="I39" s="52">
        <v>188.3</v>
      </c>
      <c r="J39" s="49">
        <v>7114.7100000000009</v>
      </c>
      <c r="K39" s="65">
        <v>187.04000000000002</v>
      </c>
      <c r="L39" s="65">
        <v>7167.0859083002833</v>
      </c>
      <c r="M39" s="65">
        <v>0.14000000000000001</v>
      </c>
      <c r="N39" s="65">
        <v>5.3039170800000006</v>
      </c>
      <c r="O39" s="65">
        <v>187.18</v>
      </c>
      <c r="P39" s="65">
        <v>7172.3898253802836</v>
      </c>
      <c r="Q39" s="50">
        <v>7114.7100000000009</v>
      </c>
      <c r="R39" s="65">
        <v>0</v>
      </c>
      <c r="S39" s="65">
        <v>5.3039170800000006</v>
      </c>
      <c r="T39" s="65">
        <v>57.679825380282637</v>
      </c>
      <c r="U39" s="65">
        <v>0</v>
      </c>
      <c r="V39" s="65">
        <v>0</v>
      </c>
      <c r="W39" s="65">
        <v>0</v>
      </c>
      <c r="X39" s="65">
        <v>7109</v>
      </c>
      <c r="Y39" s="65">
        <v>0</v>
      </c>
      <c r="Z39" s="65">
        <v>0</v>
      </c>
      <c r="AA39" s="51">
        <v>0</v>
      </c>
      <c r="AB39" s="102">
        <v>0</v>
      </c>
      <c r="AC39" s="81">
        <f t="shared" si="2"/>
        <v>386.6805211895911</v>
      </c>
      <c r="AD39" s="82">
        <f t="shared" si="3"/>
        <v>26.900000000000002</v>
      </c>
      <c r="AE39" s="218">
        <v>-8.1071224800845897E-3</v>
      </c>
      <c r="AF39">
        <v>5</v>
      </c>
      <c r="AH39" t="str">
        <f t="shared" si="4"/>
        <v>Majhaul</v>
      </c>
      <c r="AJ39" s="72">
        <v>0</v>
      </c>
      <c r="AK39" s="72"/>
      <c r="AL39" s="72"/>
      <c r="AM39" s="72"/>
    </row>
    <row r="40" spans="1:39" x14ac:dyDescent="0.25">
      <c r="A40" s="37" t="s">
        <v>62</v>
      </c>
      <c r="B40" s="66" t="s">
        <v>1566</v>
      </c>
      <c r="C40" s="47">
        <v>1001</v>
      </c>
      <c r="D40" s="47" t="s">
        <v>92</v>
      </c>
      <c r="E40" s="41">
        <v>10010147</v>
      </c>
      <c r="F40" s="46" t="s">
        <v>1489</v>
      </c>
      <c r="G40" s="39" t="s">
        <v>635</v>
      </c>
      <c r="H40" s="48" t="s">
        <v>99</v>
      </c>
      <c r="I40" s="52">
        <v>148.5</v>
      </c>
      <c r="J40" s="49">
        <v>5729.85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50">
        <v>5729.85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5729.85</v>
      </c>
      <c r="AA40" s="51">
        <v>0</v>
      </c>
      <c r="AB40" s="102">
        <v>0</v>
      </c>
      <c r="AC40" s="81">
        <f t="shared" si="2"/>
        <v>425.59087878787886</v>
      </c>
      <c r="AD40" s="82">
        <f t="shared" si="3"/>
        <v>21.214285714285715</v>
      </c>
      <c r="AE40" s="218">
        <v>0</v>
      </c>
      <c r="AF40">
        <v>0</v>
      </c>
      <c r="AH40" t="str">
        <f t="shared" si="4"/>
        <v>Majhaul</v>
      </c>
      <c r="AJ40" s="72">
        <v>0</v>
      </c>
      <c r="AK40" s="72"/>
      <c r="AL40" s="72"/>
      <c r="AM40" s="72"/>
    </row>
    <row r="41" spans="1:39" x14ac:dyDescent="0.25">
      <c r="A41" s="37" t="s">
        <v>62</v>
      </c>
      <c r="B41" s="66" t="s">
        <v>1566</v>
      </c>
      <c r="C41" s="47">
        <v>1001</v>
      </c>
      <c r="D41" s="47" t="s">
        <v>92</v>
      </c>
      <c r="E41" s="41">
        <v>10010148</v>
      </c>
      <c r="F41" s="46" t="s">
        <v>1490</v>
      </c>
      <c r="G41" s="39" t="s">
        <v>93</v>
      </c>
      <c r="H41" s="48" t="s">
        <v>94</v>
      </c>
      <c r="I41" s="52">
        <v>314.60000000000008</v>
      </c>
      <c r="J41" s="49">
        <v>11723.51</v>
      </c>
      <c r="K41" s="65">
        <v>311.81</v>
      </c>
      <c r="L41" s="65">
        <v>11793.850995710402</v>
      </c>
      <c r="M41" s="65">
        <v>3.15</v>
      </c>
      <c r="N41" s="65">
        <v>121.66658776800001</v>
      </c>
      <c r="O41" s="65">
        <v>314.95999999999998</v>
      </c>
      <c r="P41" s="65">
        <v>11915.517583478402</v>
      </c>
      <c r="Q41" s="50">
        <v>11723.51</v>
      </c>
      <c r="R41" s="65">
        <v>0</v>
      </c>
      <c r="S41" s="65">
        <v>121.66658776800001</v>
      </c>
      <c r="T41" s="65">
        <v>192.00758347840201</v>
      </c>
      <c r="U41" s="65">
        <v>0</v>
      </c>
      <c r="V41" s="65">
        <v>0</v>
      </c>
      <c r="W41" s="65">
        <v>0</v>
      </c>
      <c r="X41" s="65">
        <v>11602</v>
      </c>
      <c r="Y41" s="65">
        <v>0</v>
      </c>
      <c r="Z41" s="65">
        <v>0</v>
      </c>
      <c r="AA41" s="51">
        <v>0</v>
      </c>
      <c r="AB41" s="102">
        <v>0</v>
      </c>
      <c r="AC41" s="81">
        <f t="shared" si="2"/>
        <v>287.23717444373796</v>
      </c>
      <c r="AD41" s="82">
        <f t="shared" si="3"/>
        <v>44.942857142857157</v>
      </c>
      <c r="AE41" s="218">
        <v>-1.6377994600456861E-2</v>
      </c>
      <c r="AF41">
        <v>7</v>
      </c>
      <c r="AH41" t="str">
        <f t="shared" si="4"/>
        <v>Majhaul</v>
      </c>
      <c r="AJ41" s="72">
        <v>0</v>
      </c>
      <c r="AK41" s="72"/>
      <c r="AL41" s="72"/>
      <c r="AM41" s="72"/>
    </row>
    <row r="42" spans="1:39" x14ac:dyDescent="0.25">
      <c r="A42" s="37" t="s">
        <v>62</v>
      </c>
      <c r="B42" s="66" t="s">
        <v>1566</v>
      </c>
      <c r="C42" s="47">
        <v>1001</v>
      </c>
      <c r="D42" s="47" t="s">
        <v>92</v>
      </c>
      <c r="E42" s="41">
        <v>10010149</v>
      </c>
      <c r="F42" s="46" t="s">
        <v>1491</v>
      </c>
      <c r="G42" s="39" t="s">
        <v>93</v>
      </c>
      <c r="H42" s="48" t="s">
        <v>94</v>
      </c>
      <c r="I42" s="52">
        <v>303.09999999999997</v>
      </c>
      <c r="J42" s="49">
        <v>11000.200000000003</v>
      </c>
      <c r="K42" s="65">
        <v>313.5</v>
      </c>
      <c r="L42" s="65">
        <v>12011.78673684</v>
      </c>
      <c r="M42" s="65">
        <v>0</v>
      </c>
      <c r="N42" s="65">
        <v>0</v>
      </c>
      <c r="O42" s="65">
        <v>313.5</v>
      </c>
      <c r="P42" s="65">
        <v>12011.78673684</v>
      </c>
      <c r="Q42" s="50">
        <v>11000.200000000003</v>
      </c>
      <c r="R42" s="65">
        <v>0</v>
      </c>
      <c r="S42" s="65">
        <v>0</v>
      </c>
      <c r="T42" s="65">
        <v>1011.5867368399977</v>
      </c>
      <c r="U42" s="65">
        <v>0</v>
      </c>
      <c r="V42" s="65">
        <v>0</v>
      </c>
      <c r="W42" s="65">
        <v>0</v>
      </c>
      <c r="X42" s="65">
        <v>11000</v>
      </c>
      <c r="Y42" s="65">
        <v>0</v>
      </c>
      <c r="Z42" s="65">
        <v>0</v>
      </c>
      <c r="AA42" s="51">
        <v>0</v>
      </c>
      <c r="AB42" s="102">
        <v>0</v>
      </c>
      <c r="AC42" s="81">
        <f t="shared" si="2"/>
        <v>288.08837875288702</v>
      </c>
      <c r="AD42" s="82">
        <f t="shared" si="3"/>
        <v>43.3</v>
      </c>
      <c r="AE42" s="218">
        <v>-9.1960758608025078E-2</v>
      </c>
      <c r="AF42">
        <v>1</v>
      </c>
      <c r="AH42" t="str">
        <f t="shared" si="4"/>
        <v>Majhaul</v>
      </c>
      <c r="AJ42" s="72">
        <v>0</v>
      </c>
      <c r="AK42" s="72"/>
      <c r="AL42" s="72"/>
      <c r="AM42" s="72"/>
    </row>
    <row r="43" spans="1:39" x14ac:dyDescent="0.25">
      <c r="A43" s="37" t="s">
        <v>62</v>
      </c>
      <c r="B43" s="66" t="s">
        <v>1566</v>
      </c>
      <c r="C43" s="47">
        <v>1002</v>
      </c>
      <c r="D43" s="47" t="s">
        <v>105</v>
      </c>
      <c r="E43" s="41">
        <v>10020002</v>
      </c>
      <c r="F43" s="46" t="s">
        <v>106</v>
      </c>
      <c r="G43" s="39" t="s">
        <v>93</v>
      </c>
      <c r="H43" s="48" t="s">
        <v>94</v>
      </c>
      <c r="I43" s="52">
        <v>2604.8999999999996</v>
      </c>
      <c r="J43" s="49">
        <v>114899.22</v>
      </c>
      <c r="K43" s="65">
        <v>1382.8000000000002</v>
      </c>
      <c r="L43" s="65">
        <v>58624.331419947004</v>
      </c>
      <c r="M43" s="65">
        <v>1223.7</v>
      </c>
      <c r="N43" s="65">
        <v>58563.467681430004</v>
      </c>
      <c r="O43" s="65">
        <v>2606.5</v>
      </c>
      <c r="P43" s="65">
        <v>117187.79910137701</v>
      </c>
      <c r="Q43" s="50">
        <v>114899.22</v>
      </c>
      <c r="R43" s="65">
        <v>0</v>
      </c>
      <c r="S43" s="65">
        <v>1114.74848034</v>
      </c>
      <c r="T43" s="65">
        <v>2288.5791013770067</v>
      </c>
      <c r="U43" s="65">
        <v>0</v>
      </c>
      <c r="V43" s="65">
        <v>0</v>
      </c>
      <c r="W43" s="65">
        <v>0</v>
      </c>
      <c r="X43" s="65">
        <v>56336</v>
      </c>
      <c r="Y43" s="65">
        <v>57448</v>
      </c>
      <c r="Z43" s="65">
        <v>0</v>
      </c>
      <c r="AA43" s="51">
        <v>0</v>
      </c>
      <c r="AB43" s="102">
        <v>0</v>
      </c>
      <c r="AC43" s="81">
        <f t="shared" si="2"/>
        <v>0</v>
      </c>
      <c r="AD43" s="82">
        <f t="shared" si="3"/>
        <v>0</v>
      </c>
      <c r="AE43" s="218">
        <v>-1.9918143059430748E-2</v>
      </c>
      <c r="AF43">
        <v>12</v>
      </c>
      <c r="AH43" t="str">
        <f t="shared" si="4"/>
        <v>Laldiyara</v>
      </c>
      <c r="AJ43" s="72">
        <v>0</v>
      </c>
      <c r="AK43" s="72"/>
      <c r="AL43" s="72"/>
      <c r="AM43" s="72"/>
    </row>
    <row r="44" spans="1:39" x14ac:dyDescent="0.25">
      <c r="A44" s="37" t="s">
        <v>62</v>
      </c>
      <c r="B44" s="66" t="s">
        <v>1566</v>
      </c>
      <c r="C44" s="47">
        <v>1002</v>
      </c>
      <c r="D44" s="47" t="s">
        <v>105</v>
      </c>
      <c r="E44" s="41">
        <v>10020004</v>
      </c>
      <c r="F44" s="46" t="s">
        <v>107</v>
      </c>
      <c r="G44" s="39" t="s">
        <v>93</v>
      </c>
      <c r="H44" s="48" t="s">
        <v>94</v>
      </c>
      <c r="I44" s="52">
        <v>589</v>
      </c>
      <c r="J44" s="49">
        <v>22475.67</v>
      </c>
      <c r="K44" s="65">
        <v>592.29999999999995</v>
      </c>
      <c r="L44" s="65">
        <v>22448.777444280004</v>
      </c>
      <c r="M44" s="65">
        <v>0</v>
      </c>
      <c r="N44" s="65">
        <v>0</v>
      </c>
      <c r="O44" s="65">
        <v>592.29999999999995</v>
      </c>
      <c r="P44" s="65">
        <v>22448.777444280004</v>
      </c>
      <c r="Q44" s="50">
        <v>22448.777444280004</v>
      </c>
      <c r="R44" s="65">
        <v>0</v>
      </c>
      <c r="S44" s="65">
        <v>0</v>
      </c>
      <c r="T44" s="65">
        <v>0</v>
      </c>
      <c r="U44" s="65">
        <v>2600</v>
      </c>
      <c r="V44" s="65">
        <v>0</v>
      </c>
      <c r="W44" s="65">
        <v>0</v>
      </c>
      <c r="X44" s="65">
        <v>19849</v>
      </c>
      <c r="Y44" s="65">
        <v>0</v>
      </c>
      <c r="Z44" s="65">
        <v>0</v>
      </c>
      <c r="AA44" s="51">
        <v>27</v>
      </c>
      <c r="AB44" s="102" t="s">
        <v>66</v>
      </c>
      <c r="AC44" s="81">
        <f t="shared" si="2"/>
        <v>84.713051612903243</v>
      </c>
      <c r="AD44" s="82">
        <f t="shared" si="3"/>
        <v>84.142857142857139</v>
      </c>
      <c r="AE44" s="218">
        <v>1.196518534041235E-3</v>
      </c>
      <c r="AF44">
        <v>2</v>
      </c>
      <c r="AH44" t="str">
        <f t="shared" si="4"/>
        <v>Laldiyara</v>
      </c>
      <c r="AJ44" s="72">
        <v>0</v>
      </c>
      <c r="AK44" s="72"/>
      <c r="AL44" s="72"/>
      <c r="AM44" s="72"/>
    </row>
    <row r="45" spans="1:39" x14ac:dyDescent="0.25">
      <c r="A45" s="37" t="s">
        <v>62</v>
      </c>
      <c r="B45" s="66" t="s">
        <v>1566</v>
      </c>
      <c r="C45" s="47">
        <v>1002</v>
      </c>
      <c r="D45" s="47" t="s">
        <v>105</v>
      </c>
      <c r="E45" s="41">
        <v>10020006</v>
      </c>
      <c r="F45" s="46" t="s">
        <v>109</v>
      </c>
      <c r="G45" s="39" t="s">
        <v>635</v>
      </c>
      <c r="H45" s="48" t="s">
        <v>99</v>
      </c>
      <c r="I45" s="52">
        <v>176.50000000000003</v>
      </c>
      <c r="J45" s="49">
        <v>6759.4500000000007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50">
        <v>6759.4500000000007</v>
      </c>
      <c r="R45" s="65">
        <v>0</v>
      </c>
      <c r="S45" s="65">
        <v>0</v>
      </c>
      <c r="T45" s="65">
        <v>0</v>
      </c>
      <c r="U45" s="65">
        <v>0</v>
      </c>
      <c r="V45" s="65">
        <v>1.8679548387099558</v>
      </c>
      <c r="W45" s="65">
        <v>0</v>
      </c>
      <c r="X45" s="65">
        <v>0</v>
      </c>
      <c r="Y45" s="65">
        <v>0</v>
      </c>
      <c r="Z45" s="65">
        <v>6757.5820451612908</v>
      </c>
      <c r="AA45" s="51">
        <v>0</v>
      </c>
      <c r="AB45" s="102">
        <v>0</v>
      </c>
      <c r="AC45" s="81">
        <f t="shared" si="2"/>
        <v>400.97133994334274</v>
      </c>
      <c r="AD45" s="82">
        <f t="shared" si="3"/>
        <v>25.214285714285719</v>
      </c>
      <c r="AE45" s="218">
        <v>0</v>
      </c>
      <c r="AF45">
        <v>0</v>
      </c>
      <c r="AH45" t="str">
        <f t="shared" si="4"/>
        <v>Laldiyara</v>
      </c>
      <c r="AJ45" s="72">
        <v>0</v>
      </c>
      <c r="AK45" s="72"/>
      <c r="AL45" s="72"/>
      <c r="AM45" s="72"/>
    </row>
    <row r="46" spans="1:39" x14ac:dyDescent="0.25">
      <c r="A46" s="37" t="s">
        <v>62</v>
      </c>
      <c r="B46" s="66" t="s">
        <v>1566</v>
      </c>
      <c r="C46" s="47">
        <v>1002</v>
      </c>
      <c r="D46" s="47" t="s">
        <v>105</v>
      </c>
      <c r="E46" s="41">
        <v>10020008</v>
      </c>
      <c r="F46" s="46" t="s">
        <v>111</v>
      </c>
      <c r="G46" s="39" t="s">
        <v>635</v>
      </c>
      <c r="H46" s="48" t="s">
        <v>99</v>
      </c>
      <c r="I46" s="52">
        <v>515.6</v>
      </c>
      <c r="J46" s="49">
        <v>20420.97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50">
        <v>20420.97</v>
      </c>
      <c r="R46" s="65">
        <v>0</v>
      </c>
      <c r="S46" s="65">
        <v>0</v>
      </c>
      <c r="T46" s="65">
        <v>0</v>
      </c>
      <c r="U46" s="65">
        <v>0</v>
      </c>
      <c r="V46" s="65">
        <v>2807.4264774193543</v>
      </c>
      <c r="W46" s="65">
        <v>0</v>
      </c>
      <c r="X46" s="65">
        <v>0</v>
      </c>
      <c r="Y46" s="65">
        <v>0</v>
      </c>
      <c r="Z46" s="65">
        <v>17613.543522580647</v>
      </c>
      <c r="AA46" s="51">
        <v>0</v>
      </c>
      <c r="AB46" s="102">
        <v>0</v>
      </c>
      <c r="AC46" s="81">
        <f t="shared" si="2"/>
        <v>146.06776058960435</v>
      </c>
      <c r="AD46" s="82">
        <f t="shared" si="3"/>
        <v>73.657142857142858</v>
      </c>
      <c r="AE46" s="218">
        <v>0</v>
      </c>
      <c r="AF46">
        <v>0</v>
      </c>
      <c r="AH46" t="str">
        <f t="shared" si="4"/>
        <v>Laldiyara</v>
      </c>
      <c r="AJ46" s="72">
        <v>0</v>
      </c>
      <c r="AK46" s="72"/>
      <c r="AL46" s="72"/>
      <c r="AM46" s="72"/>
    </row>
    <row r="47" spans="1:39" x14ac:dyDescent="0.25">
      <c r="A47" s="37" t="s">
        <v>62</v>
      </c>
      <c r="B47" s="66" t="s">
        <v>1566</v>
      </c>
      <c r="C47" s="47">
        <v>1002</v>
      </c>
      <c r="D47" s="47" t="s">
        <v>105</v>
      </c>
      <c r="E47" s="41">
        <v>10020010</v>
      </c>
      <c r="F47" s="46" t="s">
        <v>1236</v>
      </c>
      <c r="G47" s="39" t="s">
        <v>93</v>
      </c>
      <c r="H47" s="48" t="s">
        <v>94</v>
      </c>
      <c r="I47" s="52">
        <v>417.09999999999997</v>
      </c>
      <c r="J47" s="49">
        <v>15222.970000000001</v>
      </c>
      <c r="K47" s="65">
        <v>438.79999999999995</v>
      </c>
      <c r="L47" s="65">
        <v>16623.21536568</v>
      </c>
      <c r="M47" s="65">
        <v>1.4</v>
      </c>
      <c r="N47" s="65">
        <v>50.795078400000008</v>
      </c>
      <c r="O47" s="65">
        <v>440.19999999999993</v>
      </c>
      <c r="P47" s="65">
        <v>16674.010444079999</v>
      </c>
      <c r="Q47" s="50">
        <v>15222.970000000001</v>
      </c>
      <c r="R47" s="65">
        <v>0</v>
      </c>
      <c r="S47" s="65">
        <v>50.795078400000008</v>
      </c>
      <c r="T47" s="65">
        <v>1451.0404440799975</v>
      </c>
      <c r="U47" s="65">
        <v>0</v>
      </c>
      <c r="V47" s="65">
        <v>0</v>
      </c>
      <c r="W47" s="65">
        <v>0</v>
      </c>
      <c r="X47" s="65">
        <v>15172</v>
      </c>
      <c r="Y47" s="65">
        <v>0</v>
      </c>
      <c r="Z47" s="65">
        <v>0</v>
      </c>
      <c r="AA47" s="51">
        <v>0</v>
      </c>
      <c r="AB47" s="102">
        <v>0</v>
      </c>
      <c r="AC47" s="81">
        <f t="shared" si="2"/>
        <v>206.50099319108133</v>
      </c>
      <c r="AD47" s="82">
        <f t="shared" si="3"/>
        <v>59.585714285714282</v>
      </c>
      <c r="AE47" s="218">
        <v>-9.5319142327679643E-2</v>
      </c>
      <c r="AF47">
        <v>4</v>
      </c>
      <c r="AH47" t="str">
        <f t="shared" si="4"/>
        <v>Laldiyara</v>
      </c>
      <c r="AJ47" s="72">
        <v>0</v>
      </c>
      <c r="AK47" s="72"/>
      <c r="AL47" s="72"/>
      <c r="AM47" s="72"/>
    </row>
    <row r="48" spans="1:39" x14ac:dyDescent="0.25">
      <c r="A48" s="37" t="s">
        <v>62</v>
      </c>
      <c r="B48" s="66" t="s">
        <v>1566</v>
      </c>
      <c r="C48" s="47">
        <v>1002</v>
      </c>
      <c r="D48" s="47" t="s">
        <v>105</v>
      </c>
      <c r="E48" s="41">
        <v>10020012</v>
      </c>
      <c r="F48" s="46" t="s">
        <v>1232</v>
      </c>
      <c r="G48" s="39" t="s">
        <v>635</v>
      </c>
      <c r="H48" s="48" t="s">
        <v>99</v>
      </c>
      <c r="I48" s="52">
        <v>179.60000000000002</v>
      </c>
      <c r="J48" s="49">
        <v>7324.1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50">
        <v>7324.1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7324.1</v>
      </c>
      <c r="AA48" s="51">
        <v>0</v>
      </c>
      <c r="AB48" s="102">
        <v>0</v>
      </c>
      <c r="AC48" s="81">
        <f t="shared" si="2"/>
        <v>424.43893541202669</v>
      </c>
      <c r="AD48" s="82">
        <f t="shared" si="3"/>
        <v>25.657142857142862</v>
      </c>
      <c r="AE48" s="218">
        <v>0</v>
      </c>
      <c r="AF48">
        <v>0</v>
      </c>
      <c r="AH48" t="str">
        <f t="shared" si="4"/>
        <v>Laldiyara</v>
      </c>
      <c r="AJ48" s="72">
        <v>0</v>
      </c>
      <c r="AK48" s="72"/>
      <c r="AL48" s="72"/>
      <c r="AM48" s="72"/>
    </row>
    <row r="49" spans="1:39" x14ac:dyDescent="0.25">
      <c r="A49" s="37" t="s">
        <v>62</v>
      </c>
      <c r="B49" s="66" t="s">
        <v>1566</v>
      </c>
      <c r="C49" s="47">
        <v>1002</v>
      </c>
      <c r="D49" s="47" t="s">
        <v>105</v>
      </c>
      <c r="E49" s="41">
        <v>10020015</v>
      </c>
      <c r="F49" s="46" t="s">
        <v>112</v>
      </c>
      <c r="G49" s="39" t="s">
        <v>635</v>
      </c>
      <c r="H49" s="48" t="s">
        <v>99</v>
      </c>
      <c r="I49" s="52">
        <v>25520.700000000004</v>
      </c>
      <c r="J49" s="49">
        <v>1010712.19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50">
        <v>1010712.19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1010712.19</v>
      </c>
      <c r="AA49" s="51">
        <v>0</v>
      </c>
      <c r="AB49" s="102">
        <v>0</v>
      </c>
      <c r="AC49" s="81">
        <f t="shared" si="2"/>
        <v>0</v>
      </c>
      <c r="AD49" s="82">
        <f t="shared" si="3"/>
        <v>0</v>
      </c>
      <c r="AE49" s="218">
        <v>0</v>
      </c>
      <c r="AF49">
        <v>0</v>
      </c>
      <c r="AH49" t="str">
        <f t="shared" si="4"/>
        <v>Laldiyara</v>
      </c>
      <c r="AJ49" s="72">
        <v>0</v>
      </c>
      <c r="AK49" s="72"/>
      <c r="AL49" s="72"/>
      <c r="AM49" s="72"/>
    </row>
    <row r="50" spans="1:39" x14ac:dyDescent="0.25">
      <c r="A50" s="37" t="s">
        <v>62</v>
      </c>
      <c r="B50" s="66" t="s">
        <v>1566</v>
      </c>
      <c r="C50" s="47">
        <v>1002</v>
      </c>
      <c r="D50" s="47" t="s">
        <v>105</v>
      </c>
      <c r="E50" s="41">
        <v>10020016</v>
      </c>
      <c r="F50" s="46" t="s">
        <v>113</v>
      </c>
      <c r="G50" s="39" t="s">
        <v>635</v>
      </c>
      <c r="H50" s="48" t="s">
        <v>99</v>
      </c>
      <c r="I50" s="52">
        <v>25365.199999999997</v>
      </c>
      <c r="J50" s="49">
        <v>1013794.57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50">
        <v>1013794.57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1013794.57</v>
      </c>
      <c r="AA50" s="51">
        <v>0</v>
      </c>
      <c r="AB50" s="102">
        <v>0</v>
      </c>
      <c r="AC50" s="81">
        <f t="shared" si="2"/>
        <v>0</v>
      </c>
      <c r="AD50" s="82">
        <f t="shared" si="3"/>
        <v>0</v>
      </c>
      <c r="AE50" s="218">
        <v>0</v>
      </c>
      <c r="AF50">
        <v>0</v>
      </c>
      <c r="AH50" t="str">
        <f t="shared" si="4"/>
        <v>Laldiyara</v>
      </c>
      <c r="AJ50" s="72">
        <v>0</v>
      </c>
      <c r="AK50" s="72"/>
      <c r="AL50" s="72"/>
      <c r="AM50" s="72"/>
    </row>
    <row r="51" spans="1:39" x14ac:dyDescent="0.25">
      <c r="A51" s="37" t="s">
        <v>62</v>
      </c>
      <c r="B51" s="66" t="s">
        <v>1566</v>
      </c>
      <c r="C51" s="47">
        <v>1002</v>
      </c>
      <c r="D51" s="47" t="s">
        <v>105</v>
      </c>
      <c r="E51" s="41">
        <v>10020017</v>
      </c>
      <c r="F51" s="46" t="s">
        <v>114</v>
      </c>
      <c r="G51" s="39" t="s">
        <v>93</v>
      </c>
      <c r="H51" s="48" t="s">
        <v>94</v>
      </c>
      <c r="I51" s="52">
        <v>2302.8999999999996</v>
      </c>
      <c r="J51" s="49">
        <v>93511.919999999984</v>
      </c>
      <c r="K51" s="65">
        <v>2592.6999999999989</v>
      </c>
      <c r="L51" s="65">
        <v>93779.817490886635</v>
      </c>
      <c r="M51" s="65">
        <v>3.2</v>
      </c>
      <c r="N51" s="65">
        <v>136.82150856000001</v>
      </c>
      <c r="O51" s="65">
        <v>2595.8999999999987</v>
      </c>
      <c r="P51" s="65">
        <v>93916.63899944663</v>
      </c>
      <c r="Q51" s="50">
        <v>93511.919999999984</v>
      </c>
      <c r="R51" s="65">
        <v>0</v>
      </c>
      <c r="S51" s="65">
        <v>136.82150856000001</v>
      </c>
      <c r="T51" s="65">
        <v>404.71899944664619</v>
      </c>
      <c r="U51" s="65">
        <v>0</v>
      </c>
      <c r="V51" s="65">
        <v>4329.4010262295096</v>
      </c>
      <c r="W51" s="65">
        <v>0</v>
      </c>
      <c r="X51" s="65">
        <v>89046</v>
      </c>
      <c r="Y51" s="65">
        <v>0</v>
      </c>
      <c r="Z51" s="65">
        <v>0</v>
      </c>
      <c r="AA51" s="51">
        <v>0</v>
      </c>
      <c r="AB51" s="102">
        <v>0</v>
      </c>
      <c r="AC51" s="81">
        <f t="shared" si="2"/>
        <v>0</v>
      </c>
      <c r="AD51" s="82">
        <f t="shared" si="3"/>
        <v>0</v>
      </c>
      <c r="AE51" s="218">
        <v>-4.3279936872929808E-3</v>
      </c>
      <c r="AF51">
        <v>46</v>
      </c>
      <c r="AH51" t="str">
        <f t="shared" si="4"/>
        <v>Laldiyara</v>
      </c>
      <c r="AJ51" s="72">
        <v>0</v>
      </c>
      <c r="AK51" s="72"/>
      <c r="AL51" s="72"/>
      <c r="AM51" s="72"/>
    </row>
    <row r="52" spans="1:39" x14ac:dyDescent="0.25">
      <c r="A52" s="37" t="s">
        <v>62</v>
      </c>
      <c r="B52" s="66" t="s">
        <v>1566</v>
      </c>
      <c r="C52" s="47">
        <v>1002</v>
      </c>
      <c r="D52" s="47" t="s">
        <v>105</v>
      </c>
      <c r="E52" s="41">
        <v>10020021</v>
      </c>
      <c r="F52" s="46" t="s">
        <v>115</v>
      </c>
      <c r="G52" s="39" t="s">
        <v>93</v>
      </c>
      <c r="H52" s="48" t="s">
        <v>94</v>
      </c>
      <c r="I52" s="52">
        <v>1939.6999999999998</v>
      </c>
      <c r="J52" s="49">
        <v>87836.25</v>
      </c>
      <c r="K52" s="65">
        <v>2021.0000000000002</v>
      </c>
      <c r="L52" s="65">
        <v>90284.902020209294</v>
      </c>
      <c r="M52" s="65">
        <v>142.10000000000002</v>
      </c>
      <c r="N52" s="65">
        <v>5990.3732769155995</v>
      </c>
      <c r="O52" s="65">
        <v>2163.1000000000004</v>
      </c>
      <c r="P52" s="65">
        <v>96275.275297124899</v>
      </c>
      <c r="Q52" s="50">
        <v>87836.25</v>
      </c>
      <c r="R52" s="65">
        <v>0</v>
      </c>
      <c r="S52" s="65">
        <v>633.5899297200001</v>
      </c>
      <c r="T52" s="65">
        <v>8439.0252971248992</v>
      </c>
      <c r="U52" s="65">
        <v>0</v>
      </c>
      <c r="V52" s="65">
        <v>5086.99</v>
      </c>
      <c r="W52" s="65">
        <v>0</v>
      </c>
      <c r="X52" s="65">
        <v>76761</v>
      </c>
      <c r="Y52" s="65">
        <v>5355</v>
      </c>
      <c r="Z52" s="65">
        <v>0</v>
      </c>
      <c r="AA52" s="51">
        <v>0</v>
      </c>
      <c r="AB52" s="102" t="s">
        <v>68</v>
      </c>
      <c r="AC52" s="81">
        <f t="shared" si="2"/>
        <v>0</v>
      </c>
      <c r="AD52" s="82">
        <f t="shared" si="3"/>
        <v>0</v>
      </c>
      <c r="AE52" s="218">
        <v>-9.6076794001621196E-2</v>
      </c>
      <c r="AF52">
        <v>27</v>
      </c>
      <c r="AH52" t="str">
        <f t="shared" si="4"/>
        <v>Laldiyara</v>
      </c>
      <c r="AJ52" s="72">
        <v>0</v>
      </c>
      <c r="AK52" s="72"/>
      <c r="AL52" s="72"/>
      <c r="AM52" s="72"/>
    </row>
    <row r="53" spans="1:39" x14ac:dyDescent="0.25">
      <c r="A53" s="37" t="s">
        <v>62</v>
      </c>
      <c r="B53" s="66" t="s">
        <v>1566</v>
      </c>
      <c r="C53" s="47">
        <v>1002</v>
      </c>
      <c r="D53" s="47" t="s">
        <v>105</v>
      </c>
      <c r="E53" s="41">
        <v>10020023</v>
      </c>
      <c r="F53" s="46" t="s">
        <v>117</v>
      </c>
      <c r="G53" s="39" t="s">
        <v>93</v>
      </c>
      <c r="H53" s="48" t="s">
        <v>94</v>
      </c>
      <c r="I53" s="52">
        <v>849.89999999999986</v>
      </c>
      <c r="J53" s="49">
        <v>32243.799999999996</v>
      </c>
      <c r="K53" s="65">
        <v>844</v>
      </c>
      <c r="L53" s="65">
        <v>31727.277174506766</v>
      </c>
      <c r="M53" s="65">
        <v>7.8</v>
      </c>
      <c r="N53" s="65">
        <v>292.45441500000004</v>
      </c>
      <c r="O53" s="65">
        <v>851.8</v>
      </c>
      <c r="P53" s="65">
        <v>32019.731589506766</v>
      </c>
      <c r="Q53" s="50">
        <v>32019.731589506766</v>
      </c>
      <c r="R53" s="65">
        <v>0</v>
      </c>
      <c r="S53" s="65">
        <v>292.45441500000004</v>
      </c>
      <c r="T53" s="65">
        <v>0</v>
      </c>
      <c r="U53" s="65">
        <v>0</v>
      </c>
      <c r="V53" s="65">
        <v>0</v>
      </c>
      <c r="W53" s="65">
        <v>0</v>
      </c>
      <c r="X53" s="65">
        <v>31727</v>
      </c>
      <c r="Y53" s="65">
        <v>0</v>
      </c>
      <c r="Z53" s="65">
        <v>0</v>
      </c>
      <c r="AA53" s="51">
        <v>224</v>
      </c>
      <c r="AB53" s="102">
        <v>0</v>
      </c>
      <c r="AC53" s="81">
        <f t="shared" si="2"/>
        <v>0</v>
      </c>
      <c r="AD53" s="82">
        <f t="shared" si="3"/>
        <v>0</v>
      </c>
      <c r="AE53" s="218">
        <v>6.9491936587260114E-3</v>
      </c>
      <c r="AF53">
        <v>26</v>
      </c>
      <c r="AH53" t="str">
        <f t="shared" si="4"/>
        <v>Laldiyara</v>
      </c>
      <c r="AJ53" s="72">
        <v>0</v>
      </c>
      <c r="AK53" s="72"/>
      <c r="AL53" s="72"/>
      <c r="AM53" s="72"/>
    </row>
    <row r="54" spans="1:39" x14ac:dyDescent="0.25">
      <c r="A54" s="37" t="s">
        <v>62</v>
      </c>
      <c r="B54" s="66" t="s">
        <v>1566</v>
      </c>
      <c r="C54" s="47">
        <v>1002</v>
      </c>
      <c r="D54" s="47" t="s">
        <v>105</v>
      </c>
      <c r="E54" s="41">
        <v>10020024</v>
      </c>
      <c r="F54" s="46" t="s">
        <v>118</v>
      </c>
      <c r="G54" s="39" t="s">
        <v>93</v>
      </c>
      <c r="H54" s="48" t="s">
        <v>94</v>
      </c>
      <c r="I54" s="52">
        <v>3421.1999999999994</v>
      </c>
      <c r="J54" s="49">
        <v>136509.49</v>
      </c>
      <c r="K54" s="65">
        <v>3365.04</v>
      </c>
      <c r="L54" s="65">
        <v>137466.74091190862</v>
      </c>
      <c r="M54" s="65">
        <v>0</v>
      </c>
      <c r="N54" s="65">
        <v>0</v>
      </c>
      <c r="O54" s="65">
        <v>3365.04</v>
      </c>
      <c r="P54" s="65">
        <v>137466.74091190862</v>
      </c>
      <c r="Q54" s="50">
        <v>136509.49</v>
      </c>
      <c r="R54" s="65">
        <v>0</v>
      </c>
      <c r="S54" s="65">
        <v>0</v>
      </c>
      <c r="T54" s="65">
        <v>957.25091190863168</v>
      </c>
      <c r="U54" s="65">
        <v>3750</v>
      </c>
      <c r="V54" s="65">
        <v>0</v>
      </c>
      <c r="W54" s="65">
        <v>0</v>
      </c>
      <c r="X54" s="65">
        <v>132759</v>
      </c>
      <c r="Y54" s="65">
        <v>0</v>
      </c>
      <c r="Z54" s="65">
        <v>0</v>
      </c>
      <c r="AA54" s="51">
        <v>0</v>
      </c>
      <c r="AB54" s="102" t="s">
        <v>66</v>
      </c>
      <c r="AC54" s="81">
        <f t="shared" si="2"/>
        <v>0</v>
      </c>
      <c r="AD54" s="82">
        <f t="shared" si="3"/>
        <v>0</v>
      </c>
      <c r="AE54" s="218">
        <v>-7.012339668902373E-3</v>
      </c>
      <c r="AF54">
        <v>74</v>
      </c>
      <c r="AH54" t="str">
        <f t="shared" si="4"/>
        <v>Laldiyara</v>
      </c>
      <c r="AJ54" s="72">
        <v>0</v>
      </c>
      <c r="AK54" s="72"/>
      <c r="AL54" s="72"/>
      <c r="AM54" s="72"/>
    </row>
    <row r="55" spans="1:39" x14ac:dyDescent="0.25">
      <c r="A55" s="37" t="s">
        <v>62</v>
      </c>
      <c r="B55" s="66" t="s">
        <v>1566</v>
      </c>
      <c r="C55" s="47">
        <v>1002</v>
      </c>
      <c r="D55" s="47" t="s">
        <v>105</v>
      </c>
      <c r="E55" s="41">
        <v>10020025</v>
      </c>
      <c r="F55" s="46" t="s">
        <v>119</v>
      </c>
      <c r="G55" s="39" t="s">
        <v>93</v>
      </c>
      <c r="H55" s="48" t="s">
        <v>94</v>
      </c>
      <c r="I55" s="52">
        <v>1014.6</v>
      </c>
      <c r="J55" s="49">
        <v>38654.61</v>
      </c>
      <c r="K55" s="65">
        <v>1006.9499999999999</v>
      </c>
      <c r="L55" s="65">
        <v>38499.118617016909</v>
      </c>
      <c r="M55" s="65">
        <v>6.5600000000000005</v>
      </c>
      <c r="N55" s="65">
        <v>248.40335718000003</v>
      </c>
      <c r="O55" s="65">
        <v>1013.5099999999999</v>
      </c>
      <c r="P55" s="65">
        <v>38747.521974196912</v>
      </c>
      <c r="Q55" s="50">
        <v>38654.61</v>
      </c>
      <c r="R55" s="65">
        <v>0</v>
      </c>
      <c r="S55" s="65">
        <v>248.40335718000003</v>
      </c>
      <c r="T55" s="65">
        <v>92.911974196911615</v>
      </c>
      <c r="U55" s="65">
        <v>0</v>
      </c>
      <c r="V55" s="65">
        <v>0</v>
      </c>
      <c r="W55" s="65">
        <v>0</v>
      </c>
      <c r="X55" s="65">
        <v>38406</v>
      </c>
      <c r="Y55" s="65">
        <v>0</v>
      </c>
      <c r="Z55" s="65">
        <v>0</v>
      </c>
      <c r="AA55" s="51">
        <v>0</v>
      </c>
      <c r="AB55" s="102">
        <v>0</v>
      </c>
      <c r="AC55" s="81">
        <f t="shared" si="2"/>
        <v>0</v>
      </c>
      <c r="AD55" s="82">
        <f t="shared" si="3"/>
        <v>0</v>
      </c>
      <c r="AE55" s="218">
        <v>-2.4036453658932691E-3</v>
      </c>
      <c r="AF55">
        <v>16</v>
      </c>
      <c r="AH55" t="str">
        <f t="shared" si="4"/>
        <v>Laldiyara</v>
      </c>
      <c r="AJ55" s="72">
        <v>0</v>
      </c>
      <c r="AK55" s="72"/>
      <c r="AL55" s="72"/>
      <c r="AM55" s="72"/>
    </row>
    <row r="56" spans="1:39" x14ac:dyDescent="0.25">
      <c r="A56" s="37" t="s">
        <v>62</v>
      </c>
      <c r="B56" s="66" t="s">
        <v>1566</v>
      </c>
      <c r="C56" s="47">
        <v>1002</v>
      </c>
      <c r="D56" s="47" t="s">
        <v>105</v>
      </c>
      <c r="E56" s="41">
        <v>10020026</v>
      </c>
      <c r="F56" s="46" t="s">
        <v>120</v>
      </c>
      <c r="G56" s="39" t="s">
        <v>93</v>
      </c>
      <c r="H56" s="48" t="s">
        <v>94</v>
      </c>
      <c r="I56" s="52">
        <v>757.2</v>
      </c>
      <c r="J56" s="49">
        <v>30327.68</v>
      </c>
      <c r="K56" s="65">
        <v>751.2299999999999</v>
      </c>
      <c r="L56" s="65">
        <v>30376.585422391014</v>
      </c>
      <c r="M56" s="65">
        <v>1.7599999999999998</v>
      </c>
      <c r="N56" s="65">
        <v>61.667002188000012</v>
      </c>
      <c r="O56" s="65">
        <v>752.9899999999999</v>
      </c>
      <c r="P56" s="65">
        <v>30438.252424579015</v>
      </c>
      <c r="Q56" s="50">
        <v>30327.68</v>
      </c>
      <c r="R56" s="65">
        <v>0</v>
      </c>
      <c r="S56" s="65">
        <v>61.667002188000012</v>
      </c>
      <c r="T56" s="65">
        <v>110.57242457901521</v>
      </c>
      <c r="U56" s="65">
        <v>0</v>
      </c>
      <c r="V56" s="65">
        <v>0</v>
      </c>
      <c r="W56" s="65">
        <v>0</v>
      </c>
      <c r="X56" s="65">
        <v>30266</v>
      </c>
      <c r="Y56" s="65">
        <v>0</v>
      </c>
      <c r="Z56" s="65">
        <v>0</v>
      </c>
      <c r="AA56" s="51">
        <v>0</v>
      </c>
      <c r="AB56" s="102">
        <v>0</v>
      </c>
      <c r="AC56" s="81">
        <f t="shared" si="2"/>
        <v>0</v>
      </c>
      <c r="AD56" s="82">
        <f t="shared" si="3"/>
        <v>0</v>
      </c>
      <c r="AE56" s="218">
        <v>-3.6459242704689316E-3</v>
      </c>
      <c r="AF56">
        <v>5</v>
      </c>
      <c r="AH56" t="str">
        <f t="shared" si="4"/>
        <v>Laldiyara</v>
      </c>
      <c r="AJ56" s="72">
        <v>0</v>
      </c>
      <c r="AK56" s="72"/>
      <c r="AL56" s="72"/>
      <c r="AM56" s="72"/>
    </row>
    <row r="57" spans="1:39" x14ac:dyDescent="0.25">
      <c r="A57" s="37" t="s">
        <v>62</v>
      </c>
      <c r="B57" s="66" t="s">
        <v>1566</v>
      </c>
      <c r="C57" s="47">
        <v>1002</v>
      </c>
      <c r="D57" s="47" t="s">
        <v>105</v>
      </c>
      <c r="E57" s="41">
        <v>10020027</v>
      </c>
      <c r="F57" s="46" t="s">
        <v>121</v>
      </c>
      <c r="G57" s="39" t="s">
        <v>93</v>
      </c>
      <c r="H57" s="48" t="s">
        <v>94</v>
      </c>
      <c r="I57" s="52">
        <v>512.1</v>
      </c>
      <c r="J57" s="49">
        <v>19263.189999999999</v>
      </c>
      <c r="K57" s="65">
        <v>507.59999999999997</v>
      </c>
      <c r="L57" s="65">
        <v>19145.435518440001</v>
      </c>
      <c r="M57" s="65">
        <v>0</v>
      </c>
      <c r="N57" s="65">
        <v>0</v>
      </c>
      <c r="O57" s="65">
        <v>507.59999999999997</v>
      </c>
      <c r="P57" s="65">
        <v>19145.435518440001</v>
      </c>
      <c r="Q57" s="50">
        <v>19145.435518440001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19145</v>
      </c>
      <c r="Y57" s="65">
        <v>0</v>
      </c>
      <c r="Z57" s="65">
        <v>0</v>
      </c>
      <c r="AA57" s="51">
        <v>118</v>
      </c>
      <c r="AB57" s="102">
        <v>0</v>
      </c>
      <c r="AC57" s="81">
        <f t="shared" si="2"/>
        <v>141.36119511814098</v>
      </c>
      <c r="AD57" s="82">
        <f t="shared" si="3"/>
        <v>73.157142857142858</v>
      </c>
      <c r="AE57" s="218">
        <v>6.1129273791099845E-3</v>
      </c>
      <c r="AF57">
        <v>1</v>
      </c>
      <c r="AH57" t="str">
        <f t="shared" si="4"/>
        <v>Laldiyara</v>
      </c>
      <c r="AJ57" s="72">
        <v>0</v>
      </c>
      <c r="AK57" s="72"/>
      <c r="AL57" s="72"/>
      <c r="AM57" s="72"/>
    </row>
    <row r="58" spans="1:39" x14ac:dyDescent="0.25">
      <c r="A58" s="37" t="s">
        <v>62</v>
      </c>
      <c r="B58" s="66" t="s">
        <v>1566</v>
      </c>
      <c r="C58" s="47">
        <v>1002</v>
      </c>
      <c r="D58" s="47" t="s">
        <v>105</v>
      </c>
      <c r="E58" s="41">
        <v>10020029</v>
      </c>
      <c r="F58" s="46" t="s">
        <v>122</v>
      </c>
      <c r="G58" s="39" t="s">
        <v>93</v>
      </c>
      <c r="H58" s="48" t="s">
        <v>94</v>
      </c>
      <c r="I58" s="52">
        <v>367.00000000000006</v>
      </c>
      <c r="J58" s="49">
        <v>14347.68</v>
      </c>
      <c r="K58" s="65">
        <v>366.06999999999994</v>
      </c>
      <c r="L58" s="65">
        <v>14234.275466492401</v>
      </c>
      <c r="M58" s="65">
        <v>2.5700000000000003</v>
      </c>
      <c r="N58" s="65">
        <v>96.836671800000019</v>
      </c>
      <c r="O58" s="65">
        <v>368.63999999999993</v>
      </c>
      <c r="P58" s="65">
        <v>14331.112138292401</v>
      </c>
      <c r="Q58" s="50">
        <v>14331.112138292401</v>
      </c>
      <c r="R58" s="65">
        <v>0</v>
      </c>
      <c r="S58" s="65">
        <v>96.836671800000019</v>
      </c>
      <c r="T58" s="65">
        <v>0</v>
      </c>
      <c r="U58" s="65">
        <v>0</v>
      </c>
      <c r="V58" s="65">
        <v>0</v>
      </c>
      <c r="W58" s="65">
        <v>0</v>
      </c>
      <c r="X58" s="65">
        <v>14235</v>
      </c>
      <c r="Y58" s="65">
        <v>0</v>
      </c>
      <c r="Z58" s="65">
        <v>0</v>
      </c>
      <c r="AA58" s="51">
        <v>16</v>
      </c>
      <c r="AB58" s="102">
        <v>0</v>
      </c>
      <c r="AC58" s="81">
        <f t="shared" si="2"/>
        <v>260.36934277929146</v>
      </c>
      <c r="AD58" s="82">
        <f t="shared" si="3"/>
        <v>52.428571428571438</v>
      </c>
      <c r="AE58" s="218">
        <v>1.1547415127462523E-3</v>
      </c>
      <c r="AF58">
        <v>6</v>
      </c>
      <c r="AH58" t="str">
        <f t="shared" si="4"/>
        <v>Laldiyara</v>
      </c>
      <c r="AJ58" s="72">
        <v>0</v>
      </c>
      <c r="AK58" s="72"/>
      <c r="AL58" s="72"/>
      <c r="AM58" s="72"/>
    </row>
    <row r="59" spans="1:39" x14ac:dyDescent="0.25">
      <c r="A59" s="37" t="s">
        <v>62</v>
      </c>
      <c r="B59" s="66" t="s">
        <v>1566</v>
      </c>
      <c r="C59" s="47">
        <v>1002</v>
      </c>
      <c r="D59" s="47" t="s">
        <v>105</v>
      </c>
      <c r="E59" s="41">
        <v>10020032</v>
      </c>
      <c r="F59" s="46" t="s">
        <v>123</v>
      </c>
      <c r="G59" s="39" t="s">
        <v>93</v>
      </c>
      <c r="H59" s="48" t="s">
        <v>94</v>
      </c>
      <c r="I59" s="52">
        <v>875.19999999999993</v>
      </c>
      <c r="J59" s="49">
        <v>37305.440000000002</v>
      </c>
      <c r="K59" s="65">
        <v>861.64</v>
      </c>
      <c r="L59" s="65">
        <v>36495.826649209324</v>
      </c>
      <c r="M59" s="65">
        <v>10.17</v>
      </c>
      <c r="N59" s="65">
        <v>449.25392621224705</v>
      </c>
      <c r="O59" s="65">
        <v>871.81</v>
      </c>
      <c r="P59" s="65">
        <v>36945.080575421569</v>
      </c>
      <c r="Q59" s="50">
        <v>36945.080575421569</v>
      </c>
      <c r="R59" s="65">
        <v>0</v>
      </c>
      <c r="S59" s="65">
        <v>449.25392621224705</v>
      </c>
      <c r="T59" s="65">
        <v>0</v>
      </c>
      <c r="U59" s="65">
        <v>0</v>
      </c>
      <c r="V59" s="65">
        <v>0</v>
      </c>
      <c r="W59" s="65">
        <v>0</v>
      </c>
      <c r="X59" s="65">
        <v>36497</v>
      </c>
      <c r="Y59" s="65">
        <v>0</v>
      </c>
      <c r="Z59" s="65">
        <v>0</v>
      </c>
      <c r="AA59" s="51">
        <v>359</v>
      </c>
      <c r="AB59" s="102">
        <v>0</v>
      </c>
      <c r="AC59" s="81">
        <f t="shared" si="2"/>
        <v>0</v>
      </c>
      <c r="AD59" s="82">
        <f t="shared" si="3"/>
        <v>0</v>
      </c>
      <c r="AE59" s="218">
        <v>9.6597017640974985E-3</v>
      </c>
      <c r="AF59">
        <v>18</v>
      </c>
      <c r="AH59" t="str">
        <f t="shared" si="4"/>
        <v>Laldiyara</v>
      </c>
      <c r="AJ59" s="72">
        <v>0</v>
      </c>
      <c r="AK59" s="72"/>
      <c r="AL59" s="72"/>
      <c r="AM59" s="72"/>
    </row>
    <row r="60" spans="1:39" x14ac:dyDescent="0.25">
      <c r="A60" s="37" t="s">
        <v>62</v>
      </c>
      <c r="B60" s="66" t="s">
        <v>1566</v>
      </c>
      <c r="C60" s="47">
        <v>1002</v>
      </c>
      <c r="D60" s="47" t="s">
        <v>105</v>
      </c>
      <c r="E60" s="41">
        <v>10020034</v>
      </c>
      <c r="F60" s="46" t="s">
        <v>124</v>
      </c>
      <c r="G60" s="39" t="s">
        <v>93</v>
      </c>
      <c r="H60" s="48" t="s">
        <v>94</v>
      </c>
      <c r="I60" s="52">
        <v>962.30000000000007</v>
      </c>
      <c r="J60" s="49">
        <v>39636.889999999992</v>
      </c>
      <c r="K60" s="65">
        <v>947.81999999999994</v>
      </c>
      <c r="L60" s="65">
        <v>37962.774612885565</v>
      </c>
      <c r="M60" s="65">
        <v>11.440000000000001</v>
      </c>
      <c r="N60" s="65">
        <v>433.54148745600008</v>
      </c>
      <c r="O60" s="65">
        <v>959.26</v>
      </c>
      <c r="P60" s="65">
        <v>38396.316100341566</v>
      </c>
      <c r="Q60" s="50">
        <v>38396.316100341566</v>
      </c>
      <c r="R60" s="65">
        <v>0</v>
      </c>
      <c r="S60" s="65">
        <v>433.54148745600008</v>
      </c>
      <c r="T60" s="65">
        <v>0</v>
      </c>
      <c r="U60" s="65">
        <v>0</v>
      </c>
      <c r="V60" s="65">
        <v>0</v>
      </c>
      <c r="W60" s="65">
        <v>0</v>
      </c>
      <c r="X60" s="65">
        <v>37965</v>
      </c>
      <c r="Y60" s="65">
        <v>0</v>
      </c>
      <c r="Z60" s="65">
        <v>0</v>
      </c>
      <c r="AA60" s="51">
        <v>1238</v>
      </c>
      <c r="AB60" s="102">
        <v>0</v>
      </c>
      <c r="AC60" s="81">
        <f t="shared" si="2"/>
        <v>0</v>
      </c>
      <c r="AD60" s="82">
        <f t="shared" si="3"/>
        <v>0</v>
      </c>
      <c r="AE60" s="218">
        <v>3.1298467151646511E-2</v>
      </c>
      <c r="AF60">
        <v>30</v>
      </c>
      <c r="AH60" t="str">
        <f t="shared" si="4"/>
        <v>Laldiyara</v>
      </c>
      <c r="AJ60" s="72">
        <v>0</v>
      </c>
      <c r="AK60" s="72"/>
      <c r="AL60" s="72"/>
      <c r="AM60" s="72"/>
    </row>
    <row r="61" spans="1:39" x14ac:dyDescent="0.25">
      <c r="A61" s="37" t="s">
        <v>62</v>
      </c>
      <c r="B61" s="66" t="s">
        <v>1566</v>
      </c>
      <c r="C61" s="47">
        <v>1002</v>
      </c>
      <c r="D61" s="47" t="s">
        <v>105</v>
      </c>
      <c r="E61" s="41">
        <v>10020035</v>
      </c>
      <c r="F61" s="46" t="s">
        <v>125</v>
      </c>
      <c r="G61" s="39" t="s">
        <v>93</v>
      </c>
      <c r="H61" s="48" t="s">
        <v>94</v>
      </c>
      <c r="I61" s="52">
        <v>737.09999999999991</v>
      </c>
      <c r="J61" s="49">
        <v>31827.069999999996</v>
      </c>
      <c r="K61" s="65">
        <v>699</v>
      </c>
      <c r="L61" s="65">
        <v>30921.074480955001</v>
      </c>
      <c r="M61" s="65">
        <v>24</v>
      </c>
      <c r="N61" s="65">
        <v>1160.4831023470001</v>
      </c>
      <c r="O61" s="65">
        <v>723</v>
      </c>
      <c r="P61" s="65">
        <v>32081.557583302001</v>
      </c>
      <c r="Q61" s="50">
        <v>31827.069999999996</v>
      </c>
      <c r="R61" s="65">
        <v>0</v>
      </c>
      <c r="S61" s="65">
        <v>1160.4831023470001</v>
      </c>
      <c r="T61" s="65">
        <v>254.48758330200508</v>
      </c>
      <c r="U61" s="65">
        <v>0</v>
      </c>
      <c r="V61" s="65">
        <v>891.41556000000082</v>
      </c>
      <c r="W61" s="65">
        <v>0</v>
      </c>
      <c r="X61" s="65">
        <v>29775</v>
      </c>
      <c r="Y61" s="65">
        <v>0</v>
      </c>
      <c r="Z61" s="65">
        <v>0</v>
      </c>
      <c r="AA61" s="51">
        <v>0</v>
      </c>
      <c r="AB61" s="102">
        <v>0</v>
      </c>
      <c r="AC61" s="81">
        <f t="shared" si="2"/>
        <v>0</v>
      </c>
      <c r="AD61" s="82">
        <f t="shared" si="3"/>
        <v>0</v>
      </c>
      <c r="AE61" s="218">
        <v>-7.9959475786494042E-3</v>
      </c>
      <c r="AF61">
        <v>8</v>
      </c>
      <c r="AH61" t="str">
        <f t="shared" si="4"/>
        <v>Laldiyara</v>
      </c>
      <c r="AJ61" s="72">
        <v>0</v>
      </c>
      <c r="AK61" s="72"/>
      <c r="AL61" s="72"/>
      <c r="AM61" s="72"/>
    </row>
    <row r="62" spans="1:39" x14ac:dyDescent="0.25">
      <c r="A62" s="37" t="s">
        <v>62</v>
      </c>
      <c r="B62" s="66" t="s">
        <v>1566</v>
      </c>
      <c r="C62" s="47">
        <v>1002</v>
      </c>
      <c r="D62" s="47" t="s">
        <v>105</v>
      </c>
      <c r="E62" s="41">
        <v>10020038</v>
      </c>
      <c r="F62" s="46" t="s">
        <v>126</v>
      </c>
      <c r="G62" s="39" t="s">
        <v>93</v>
      </c>
      <c r="H62" s="48" t="s">
        <v>94</v>
      </c>
      <c r="I62" s="52">
        <v>515.19999999999993</v>
      </c>
      <c r="J62" s="49">
        <v>20325.89</v>
      </c>
      <c r="K62" s="65">
        <v>510.02000000000004</v>
      </c>
      <c r="L62" s="65">
        <v>19745.0037081831</v>
      </c>
      <c r="M62" s="65">
        <v>4.5900000000000007</v>
      </c>
      <c r="N62" s="65">
        <v>179.97922997999999</v>
      </c>
      <c r="O62" s="65">
        <v>514.61</v>
      </c>
      <c r="P62" s="65">
        <v>19924.982938163099</v>
      </c>
      <c r="Q62" s="50">
        <v>19924.982938163099</v>
      </c>
      <c r="R62" s="65">
        <v>0</v>
      </c>
      <c r="S62" s="65">
        <v>179.97922997999999</v>
      </c>
      <c r="T62" s="65">
        <v>0</v>
      </c>
      <c r="U62" s="65">
        <v>0</v>
      </c>
      <c r="V62" s="65">
        <v>0</v>
      </c>
      <c r="W62" s="65">
        <v>0</v>
      </c>
      <c r="X62" s="65">
        <v>19744</v>
      </c>
      <c r="Y62" s="65">
        <v>0</v>
      </c>
      <c r="Z62" s="65">
        <v>0</v>
      </c>
      <c r="AA62" s="51">
        <v>402</v>
      </c>
      <c r="AB62" s="102">
        <v>0</v>
      </c>
      <c r="AC62" s="81">
        <f t="shared" si="2"/>
        <v>145.81616739130439</v>
      </c>
      <c r="AD62" s="82">
        <f t="shared" si="3"/>
        <v>73.599999999999994</v>
      </c>
      <c r="AE62" s="218">
        <v>1.9723961009180929E-2</v>
      </c>
      <c r="AF62">
        <v>10</v>
      </c>
      <c r="AH62" t="str">
        <f t="shared" si="4"/>
        <v>Laldiyara</v>
      </c>
      <c r="AJ62" s="72">
        <v>0</v>
      </c>
      <c r="AK62" s="72"/>
      <c r="AL62" s="72"/>
      <c r="AM62" s="72"/>
    </row>
    <row r="63" spans="1:39" x14ac:dyDescent="0.25">
      <c r="A63" s="37" t="s">
        <v>62</v>
      </c>
      <c r="B63" s="66" t="s">
        <v>1566</v>
      </c>
      <c r="C63" s="47">
        <v>1002</v>
      </c>
      <c r="D63" s="47" t="s">
        <v>105</v>
      </c>
      <c r="E63" s="41">
        <v>10020041</v>
      </c>
      <c r="F63" s="46" t="s">
        <v>127</v>
      </c>
      <c r="G63" s="39" t="s">
        <v>93</v>
      </c>
      <c r="H63" s="48" t="s">
        <v>94</v>
      </c>
      <c r="I63" s="52">
        <v>252.19999999999996</v>
      </c>
      <c r="J63" s="49">
        <v>10541.559999999998</v>
      </c>
      <c r="K63" s="65">
        <v>245.5</v>
      </c>
      <c r="L63" s="65">
        <v>10774.092425213465</v>
      </c>
      <c r="M63" s="65">
        <v>0.76</v>
      </c>
      <c r="N63" s="65">
        <v>22.803469840800005</v>
      </c>
      <c r="O63" s="65">
        <v>246.26</v>
      </c>
      <c r="P63" s="65">
        <v>10796.895895054264</v>
      </c>
      <c r="Q63" s="50">
        <v>10541.559999999998</v>
      </c>
      <c r="R63" s="65">
        <v>0</v>
      </c>
      <c r="S63" s="65">
        <v>22.803469840800005</v>
      </c>
      <c r="T63" s="65">
        <v>255.33589505426608</v>
      </c>
      <c r="U63" s="65">
        <v>0</v>
      </c>
      <c r="V63" s="65">
        <v>0</v>
      </c>
      <c r="W63" s="65">
        <v>0</v>
      </c>
      <c r="X63" s="65">
        <v>10519</v>
      </c>
      <c r="Y63" s="65">
        <v>0</v>
      </c>
      <c r="Z63" s="65">
        <v>0</v>
      </c>
      <c r="AA63" s="51">
        <v>0</v>
      </c>
      <c r="AB63" s="102">
        <v>0</v>
      </c>
      <c r="AC63" s="81">
        <f t="shared" si="2"/>
        <v>374.34659540047579</v>
      </c>
      <c r="AD63" s="82">
        <f t="shared" si="3"/>
        <v>36.028571428571425</v>
      </c>
      <c r="AE63" s="218">
        <v>-2.4221831973091849E-2</v>
      </c>
      <c r="AF63">
        <v>7</v>
      </c>
      <c r="AH63" t="str">
        <f t="shared" si="4"/>
        <v>Laldiyara</v>
      </c>
      <c r="AJ63" s="72">
        <v>0</v>
      </c>
      <c r="AK63" s="72"/>
      <c r="AL63" s="72"/>
      <c r="AM63" s="72"/>
    </row>
    <row r="64" spans="1:39" x14ac:dyDescent="0.25">
      <c r="A64" s="37" t="s">
        <v>62</v>
      </c>
      <c r="B64" s="66" t="s">
        <v>1566</v>
      </c>
      <c r="C64" s="47">
        <v>1002</v>
      </c>
      <c r="D64" s="47" t="s">
        <v>105</v>
      </c>
      <c r="E64" s="41">
        <v>10020042</v>
      </c>
      <c r="F64" s="46" t="s">
        <v>128</v>
      </c>
      <c r="G64" s="39" t="s">
        <v>93</v>
      </c>
      <c r="H64" s="48" t="s">
        <v>94</v>
      </c>
      <c r="I64" s="52">
        <v>427.7</v>
      </c>
      <c r="J64" s="49">
        <v>16188.18</v>
      </c>
      <c r="K64" s="65">
        <v>345.7</v>
      </c>
      <c r="L64" s="65">
        <v>13170.149289792</v>
      </c>
      <c r="M64" s="65">
        <v>0</v>
      </c>
      <c r="N64" s="65">
        <v>0</v>
      </c>
      <c r="O64" s="65">
        <v>345.7</v>
      </c>
      <c r="P64" s="65">
        <v>13170.149289792</v>
      </c>
      <c r="Q64" s="50">
        <v>13170.149289792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13170</v>
      </c>
      <c r="Y64" s="65">
        <v>0</v>
      </c>
      <c r="Z64" s="65">
        <v>0</v>
      </c>
      <c r="AA64" s="51">
        <v>3018</v>
      </c>
      <c r="AB64" s="102">
        <v>0</v>
      </c>
      <c r="AC64" s="81">
        <f t="shared" si="2"/>
        <v>206.12772569558103</v>
      </c>
      <c r="AD64" s="82">
        <f t="shared" si="3"/>
        <v>61.1</v>
      </c>
      <c r="AE64" s="218">
        <v>0.18643421991897796</v>
      </c>
      <c r="AF64">
        <v>1</v>
      </c>
      <c r="AH64" t="str">
        <f t="shared" si="4"/>
        <v>Laldiyara</v>
      </c>
      <c r="AJ64" s="72">
        <v>0</v>
      </c>
      <c r="AK64" s="72"/>
      <c r="AL64" s="72"/>
      <c r="AM64" s="72"/>
    </row>
    <row r="65" spans="1:39" x14ac:dyDescent="0.25">
      <c r="A65" s="37" t="s">
        <v>62</v>
      </c>
      <c r="B65" s="66" t="s">
        <v>1566</v>
      </c>
      <c r="C65" s="47">
        <v>1002</v>
      </c>
      <c r="D65" s="47" t="s">
        <v>105</v>
      </c>
      <c r="E65" s="41">
        <v>10020043</v>
      </c>
      <c r="F65" s="46" t="s">
        <v>616</v>
      </c>
      <c r="G65" s="39" t="s">
        <v>93</v>
      </c>
      <c r="H65" s="48" t="s">
        <v>94</v>
      </c>
      <c r="I65" s="52">
        <v>1076.1999999999998</v>
      </c>
      <c r="J65" s="49">
        <v>44727.780000000006</v>
      </c>
      <c r="K65" s="65">
        <v>1077.75</v>
      </c>
      <c r="L65" s="65">
        <v>45418.232073037681</v>
      </c>
      <c r="M65" s="65">
        <v>8.15</v>
      </c>
      <c r="N65" s="65">
        <v>335.0903818284001</v>
      </c>
      <c r="O65" s="65">
        <v>1085.9000000000001</v>
      </c>
      <c r="P65" s="65">
        <v>45753.32245486608</v>
      </c>
      <c r="Q65" s="50">
        <v>44727.780000000006</v>
      </c>
      <c r="R65" s="65">
        <v>0</v>
      </c>
      <c r="S65" s="65">
        <v>335.0903818284001</v>
      </c>
      <c r="T65" s="65">
        <v>1025.542454866074</v>
      </c>
      <c r="U65" s="65">
        <v>0</v>
      </c>
      <c r="V65" s="65">
        <v>0</v>
      </c>
      <c r="W65" s="65">
        <v>0</v>
      </c>
      <c r="X65" s="65">
        <v>44393</v>
      </c>
      <c r="Y65" s="65">
        <v>0</v>
      </c>
      <c r="Z65" s="65">
        <v>0</v>
      </c>
      <c r="AA65" s="51">
        <v>0</v>
      </c>
      <c r="AB65" s="102">
        <v>0</v>
      </c>
      <c r="AC65" s="81">
        <f t="shared" si="2"/>
        <v>0</v>
      </c>
      <c r="AD65" s="82">
        <f t="shared" si="3"/>
        <v>0</v>
      </c>
      <c r="AE65" s="218">
        <v>-2.2928534679478252E-2</v>
      </c>
      <c r="AF65">
        <v>8</v>
      </c>
      <c r="AH65" t="str">
        <f t="shared" si="4"/>
        <v>Laldiyara</v>
      </c>
      <c r="AJ65" s="72">
        <v>0</v>
      </c>
      <c r="AK65" s="72"/>
      <c r="AL65" s="72"/>
      <c r="AM65" s="72"/>
    </row>
    <row r="66" spans="1:39" x14ac:dyDescent="0.25">
      <c r="A66" s="37" t="s">
        <v>62</v>
      </c>
      <c r="B66" s="66" t="s">
        <v>1566</v>
      </c>
      <c r="C66" s="47">
        <v>1002</v>
      </c>
      <c r="D66" s="47" t="s">
        <v>105</v>
      </c>
      <c r="E66" s="41">
        <v>10020044</v>
      </c>
      <c r="F66" s="46" t="s">
        <v>129</v>
      </c>
      <c r="G66" s="39" t="s">
        <v>93</v>
      </c>
      <c r="H66" s="48" t="s">
        <v>94</v>
      </c>
      <c r="I66" s="52">
        <v>1109.1000000000001</v>
      </c>
      <c r="J66" s="49">
        <v>48415.08</v>
      </c>
      <c r="K66" s="65">
        <v>1099.4000000000003</v>
      </c>
      <c r="L66" s="65">
        <v>47253.3444698413</v>
      </c>
      <c r="M66" s="65">
        <v>10.02</v>
      </c>
      <c r="N66" s="65">
        <v>422.53655241600018</v>
      </c>
      <c r="O66" s="65">
        <v>1109.4200000000003</v>
      </c>
      <c r="P66" s="65">
        <v>47675.881022257301</v>
      </c>
      <c r="Q66" s="50">
        <v>47675.881022257301</v>
      </c>
      <c r="R66" s="65">
        <v>0</v>
      </c>
      <c r="S66" s="65">
        <v>422.53655241600018</v>
      </c>
      <c r="T66" s="65">
        <v>0</v>
      </c>
      <c r="U66" s="65">
        <v>0</v>
      </c>
      <c r="V66" s="65">
        <v>0</v>
      </c>
      <c r="W66" s="65">
        <v>0</v>
      </c>
      <c r="X66" s="65">
        <v>47253</v>
      </c>
      <c r="Y66" s="65">
        <v>0</v>
      </c>
      <c r="Z66" s="65">
        <v>0</v>
      </c>
      <c r="AA66" s="51">
        <v>740</v>
      </c>
      <c r="AB66" s="102">
        <v>0</v>
      </c>
      <c r="AC66" s="81">
        <f t="shared" si="2"/>
        <v>0</v>
      </c>
      <c r="AD66" s="82">
        <f t="shared" si="3"/>
        <v>0</v>
      </c>
      <c r="AE66" s="218">
        <v>1.5267949113018106E-2</v>
      </c>
      <c r="AF66">
        <v>20</v>
      </c>
      <c r="AH66" t="str">
        <f t="shared" si="4"/>
        <v>Laldiyara</v>
      </c>
      <c r="AJ66" s="72">
        <v>0</v>
      </c>
      <c r="AK66" s="72"/>
      <c r="AL66" s="72"/>
      <c r="AM66" s="72"/>
    </row>
    <row r="67" spans="1:39" x14ac:dyDescent="0.25">
      <c r="A67" s="37" t="s">
        <v>62</v>
      </c>
      <c r="B67" s="66" t="s">
        <v>1566</v>
      </c>
      <c r="C67" s="47">
        <v>1002</v>
      </c>
      <c r="D67" s="47" t="s">
        <v>105</v>
      </c>
      <c r="E67" s="41">
        <v>10020047</v>
      </c>
      <c r="F67" s="46" t="s">
        <v>437</v>
      </c>
      <c r="G67" s="39" t="s">
        <v>635</v>
      </c>
      <c r="H67" s="48" t="s">
        <v>99</v>
      </c>
      <c r="I67" s="52">
        <v>3401.6</v>
      </c>
      <c r="J67" s="49">
        <v>134998.60999999999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50">
        <v>134998.60999999999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134998.60999999999</v>
      </c>
      <c r="AA67" s="51">
        <v>0</v>
      </c>
      <c r="AB67" s="102">
        <v>0</v>
      </c>
      <c r="AC67" s="81">
        <f t="shared" si="2"/>
        <v>0</v>
      </c>
      <c r="AD67" s="82">
        <f t="shared" si="3"/>
        <v>0</v>
      </c>
      <c r="AE67" s="218">
        <v>0</v>
      </c>
      <c r="AF67">
        <v>0</v>
      </c>
      <c r="AH67" t="str">
        <f t="shared" ref="AH67:AH130" si="5">TEXT(D67,"0000")</f>
        <v>Laldiyara</v>
      </c>
      <c r="AJ67" s="72">
        <v>0</v>
      </c>
      <c r="AK67" s="72"/>
      <c r="AL67" s="72"/>
      <c r="AM67" s="72"/>
    </row>
    <row r="68" spans="1:39" x14ac:dyDescent="0.25">
      <c r="A68" s="37" t="s">
        <v>62</v>
      </c>
      <c r="B68" s="66" t="s">
        <v>1566</v>
      </c>
      <c r="C68" s="47">
        <v>1002</v>
      </c>
      <c r="D68" s="47" t="s">
        <v>105</v>
      </c>
      <c r="E68" s="41">
        <v>10020050</v>
      </c>
      <c r="F68" s="46" t="s">
        <v>130</v>
      </c>
      <c r="G68" s="39" t="s">
        <v>93</v>
      </c>
      <c r="H68" s="48" t="s">
        <v>94</v>
      </c>
      <c r="I68" s="52">
        <v>750.19999999999993</v>
      </c>
      <c r="J68" s="49">
        <v>29664.899999999998</v>
      </c>
      <c r="K68" s="65">
        <v>744.81999999999982</v>
      </c>
      <c r="L68" s="65">
        <v>29364.219327134575</v>
      </c>
      <c r="M68" s="65">
        <v>4.4000000000000004</v>
      </c>
      <c r="N68" s="65">
        <v>170.15007279600005</v>
      </c>
      <c r="O68" s="65">
        <v>749.2199999999998</v>
      </c>
      <c r="P68" s="65">
        <v>29534.369399930576</v>
      </c>
      <c r="Q68" s="50">
        <v>29534.369399930576</v>
      </c>
      <c r="R68" s="65">
        <v>0</v>
      </c>
      <c r="S68" s="65">
        <v>170.15007279600005</v>
      </c>
      <c r="T68" s="65">
        <v>0</v>
      </c>
      <c r="U68" s="65">
        <v>0</v>
      </c>
      <c r="V68" s="65">
        <v>143.33000000000001</v>
      </c>
      <c r="W68" s="65">
        <v>0</v>
      </c>
      <c r="X68" s="65">
        <v>29219</v>
      </c>
      <c r="Y68" s="65">
        <v>0</v>
      </c>
      <c r="Z68" s="65">
        <v>0</v>
      </c>
      <c r="AA68" s="51">
        <v>132</v>
      </c>
      <c r="AB68" s="102" t="s">
        <v>68</v>
      </c>
      <c r="AC68" s="81">
        <f t="shared" ref="AC68:AC131" si="6">((IF(AD68=0,0,100-AD68))*7*(J68/I68))*2%</f>
        <v>0</v>
      </c>
      <c r="AD68" s="82">
        <f t="shared" ref="AD68:AD131" si="7">IF((I68/7)&gt;100,0,(I68/7))</f>
        <v>0</v>
      </c>
      <c r="AE68" s="218">
        <v>4.4001699000981564E-3</v>
      </c>
      <c r="AF68">
        <v>11</v>
      </c>
      <c r="AH68" t="str">
        <f t="shared" si="5"/>
        <v>Laldiyara</v>
      </c>
      <c r="AJ68" s="72">
        <v>0</v>
      </c>
      <c r="AK68" s="72"/>
      <c r="AL68" s="72"/>
      <c r="AM68" s="72"/>
    </row>
    <row r="69" spans="1:39" x14ac:dyDescent="0.25">
      <c r="A69" s="37" t="s">
        <v>62</v>
      </c>
      <c r="B69" s="66" t="s">
        <v>1566</v>
      </c>
      <c r="C69" s="47">
        <v>1002</v>
      </c>
      <c r="D69" s="47" t="s">
        <v>105</v>
      </c>
      <c r="E69" s="41">
        <v>10020054</v>
      </c>
      <c r="F69" s="46" t="s">
        <v>131</v>
      </c>
      <c r="G69" s="39" t="s">
        <v>635</v>
      </c>
      <c r="H69" s="48" t="s">
        <v>99</v>
      </c>
      <c r="I69" s="52">
        <v>429.3</v>
      </c>
      <c r="J69" s="49">
        <v>17468.95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50">
        <v>17468.95</v>
      </c>
      <c r="R69" s="65">
        <v>0</v>
      </c>
      <c r="S69" s="65">
        <v>0</v>
      </c>
      <c r="T69" s="65">
        <v>0</v>
      </c>
      <c r="U69" s="65">
        <v>0</v>
      </c>
      <c r="V69" s="65">
        <v>1979.461974193548</v>
      </c>
      <c r="W69" s="65">
        <v>0</v>
      </c>
      <c r="X69" s="65">
        <v>0</v>
      </c>
      <c r="Y69" s="65">
        <v>0</v>
      </c>
      <c r="Z69" s="65">
        <v>15489.488025806453</v>
      </c>
      <c r="AA69" s="51">
        <v>0</v>
      </c>
      <c r="AB69" s="102">
        <v>0</v>
      </c>
      <c r="AC69" s="81">
        <f t="shared" si="6"/>
        <v>220.30490402981599</v>
      </c>
      <c r="AD69" s="82">
        <f t="shared" si="7"/>
        <v>61.328571428571429</v>
      </c>
      <c r="AE69" s="218">
        <v>0</v>
      </c>
      <c r="AF69">
        <v>0</v>
      </c>
      <c r="AH69" t="str">
        <f t="shared" si="5"/>
        <v>Laldiyara</v>
      </c>
      <c r="AJ69" s="72">
        <v>0</v>
      </c>
      <c r="AK69" s="72"/>
      <c r="AL69" s="72"/>
      <c r="AM69" s="72"/>
    </row>
    <row r="70" spans="1:39" x14ac:dyDescent="0.25">
      <c r="A70" s="37" t="s">
        <v>62</v>
      </c>
      <c r="B70" s="66" t="s">
        <v>1566</v>
      </c>
      <c r="C70" s="47">
        <v>1002</v>
      </c>
      <c r="D70" s="47" t="s">
        <v>105</v>
      </c>
      <c r="E70" s="41">
        <v>10020057</v>
      </c>
      <c r="F70" s="46" t="s">
        <v>132</v>
      </c>
      <c r="G70" s="39" t="s">
        <v>93</v>
      </c>
      <c r="H70" s="48" t="s">
        <v>94</v>
      </c>
      <c r="I70" s="52">
        <v>2737.599999999999</v>
      </c>
      <c r="J70" s="49">
        <v>118949.01999999999</v>
      </c>
      <c r="K70" s="65">
        <v>2226.5999999999995</v>
      </c>
      <c r="L70" s="65">
        <v>98511.857112550555</v>
      </c>
      <c r="M70" s="65">
        <v>523.91999999999996</v>
      </c>
      <c r="N70" s="65">
        <v>21640.288637188802</v>
      </c>
      <c r="O70" s="65">
        <v>2750.5199999999995</v>
      </c>
      <c r="P70" s="65">
        <v>120152.14574973936</v>
      </c>
      <c r="Q70" s="50">
        <v>118949.01999999999</v>
      </c>
      <c r="R70" s="65">
        <v>0</v>
      </c>
      <c r="S70" s="65">
        <v>1639.9541485077002</v>
      </c>
      <c r="T70" s="65">
        <v>1203.1257497393672</v>
      </c>
      <c r="U70" s="65">
        <v>0</v>
      </c>
      <c r="V70" s="65">
        <v>0</v>
      </c>
      <c r="W70" s="65">
        <v>0</v>
      </c>
      <c r="X70" s="65">
        <v>97309</v>
      </c>
      <c r="Y70" s="65">
        <v>20000</v>
      </c>
      <c r="Z70" s="65">
        <v>0</v>
      </c>
      <c r="AA70" s="51">
        <v>0</v>
      </c>
      <c r="AB70" s="102">
        <v>0</v>
      </c>
      <c r="AC70" s="81">
        <f t="shared" si="6"/>
        <v>0</v>
      </c>
      <c r="AD70" s="82">
        <f t="shared" si="7"/>
        <v>0</v>
      </c>
      <c r="AE70" s="218">
        <v>-1.0114633560994174E-2</v>
      </c>
      <c r="AF70">
        <v>13</v>
      </c>
      <c r="AH70" t="str">
        <f t="shared" si="5"/>
        <v>Laldiyara</v>
      </c>
      <c r="AJ70" s="72">
        <v>0</v>
      </c>
      <c r="AK70" s="72"/>
      <c r="AL70" s="72"/>
      <c r="AM70" s="72"/>
    </row>
    <row r="71" spans="1:39" x14ac:dyDescent="0.25">
      <c r="A71" s="37" t="s">
        <v>62</v>
      </c>
      <c r="B71" s="66" t="s">
        <v>1566</v>
      </c>
      <c r="C71" s="47">
        <v>1002</v>
      </c>
      <c r="D71" s="47" t="s">
        <v>105</v>
      </c>
      <c r="E71" s="41">
        <v>10020058</v>
      </c>
      <c r="F71" s="46" t="s">
        <v>133</v>
      </c>
      <c r="G71" s="39" t="s">
        <v>93</v>
      </c>
      <c r="H71" s="48" t="s">
        <v>94</v>
      </c>
      <c r="I71" s="52">
        <v>1044.1000000000001</v>
      </c>
      <c r="J71" s="49">
        <v>41847.260000000009</v>
      </c>
      <c r="K71" s="65">
        <v>351.4</v>
      </c>
      <c r="L71" s="65">
        <v>14615.622064125619</v>
      </c>
      <c r="M71" s="65">
        <v>693.07999999999993</v>
      </c>
      <c r="N71" s="65">
        <v>26636.220859318193</v>
      </c>
      <c r="O71" s="65">
        <v>1044.48</v>
      </c>
      <c r="P71" s="65">
        <v>41251.842923443808</v>
      </c>
      <c r="Q71" s="50">
        <v>41251.842923443808</v>
      </c>
      <c r="R71" s="65">
        <v>0</v>
      </c>
      <c r="S71" s="65">
        <v>225.84006160786802</v>
      </c>
      <c r="T71" s="65">
        <v>0</v>
      </c>
      <c r="U71" s="65">
        <v>0</v>
      </c>
      <c r="V71" s="65">
        <v>0</v>
      </c>
      <c r="W71" s="65">
        <v>0</v>
      </c>
      <c r="X71" s="65">
        <v>14615</v>
      </c>
      <c r="Y71" s="65">
        <v>26410</v>
      </c>
      <c r="Z71" s="65">
        <v>0</v>
      </c>
      <c r="AA71" s="51">
        <v>596</v>
      </c>
      <c r="AB71" s="102">
        <v>0</v>
      </c>
      <c r="AC71" s="81">
        <f t="shared" si="6"/>
        <v>0</v>
      </c>
      <c r="AD71" s="82">
        <f t="shared" si="7"/>
        <v>0</v>
      </c>
      <c r="AE71" s="218">
        <v>1.4228340793547799E-2</v>
      </c>
      <c r="AF71">
        <v>9</v>
      </c>
      <c r="AH71" t="str">
        <f t="shared" si="5"/>
        <v>Laldiyara</v>
      </c>
      <c r="AJ71" s="72">
        <v>0</v>
      </c>
      <c r="AK71" s="72"/>
      <c r="AL71" s="72"/>
      <c r="AM71" s="72"/>
    </row>
    <row r="72" spans="1:39" x14ac:dyDescent="0.25">
      <c r="A72" s="37" t="s">
        <v>62</v>
      </c>
      <c r="B72" s="66" t="s">
        <v>1566</v>
      </c>
      <c r="C72" s="47">
        <v>1002</v>
      </c>
      <c r="D72" s="47" t="s">
        <v>105</v>
      </c>
      <c r="E72" s="41">
        <v>10020059</v>
      </c>
      <c r="F72" s="46" t="s">
        <v>134</v>
      </c>
      <c r="G72" s="39" t="s">
        <v>93</v>
      </c>
      <c r="H72" s="48" t="s">
        <v>94</v>
      </c>
      <c r="I72" s="52">
        <v>1103.5</v>
      </c>
      <c r="J72" s="49">
        <v>43918.38</v>
      </c>
      <c r="K72" s="65">
        <v>1079.32</v>
      </c>
      <c r="L72" s="65">
        <v>42844.114136291872</v>
      </c>
      <c r="M72" s="65">
        <v>11.920000000000002</v>
      </c>
      <c r="N72" s="65">
        <v>439.80380512200009</v>
      </c>
      <c r="O72" s="65">
        <v>1091.24</v>
      </c>
      <c r="P72" s="65">
        <v>43283.917941413871</v>
      </c>
      <c r="Q72" s="50">
        <v>43283.917941413871</v>
      </c>
      <c r="R72" s="65">
        <v>0</v>
      </c>
      <c r="S72" s="65">
        <v>439.80380512200009</v>
      </c>
      <c r="T72" s="65">
        <v>0</v>
      </c>
      <c r="U72" s="65">
        <v>0</v>
      </c>
      <c r="V72" s="65">
        <v>0</v>
      </c>
      <c r="W72" s="65">
        <v>0</v>
      </c>
      <c r="X72" s="65">
        <v>42845</v>
      </c>
      <c r="Y72" s="65">
        <v>0</v>
      </c>
      <c r="Z72" s="65">
        <v>0</v>
      </c>
      <c r="AA72" s="51">
        <v>634</v>
      </c>
      <c r="AB72" s="102">
        <v>0</v>
      </c>
      <c r="AC72" s="81">
        <f t="shared" si="6"/>
        <v>0</v>
      </c>
      <c r="AD72" s="82">
        <f t="shared" si="7"/>
        <v>0</v>
      </c>
      <c r="AE72" s="218">
        <v>1.4446390294590253E-2</v>
      </c>
      <c r="AF72">
        <v>8</v>
      </c>
      <c r="AH72" t="str">
        <f t="shared" si="5"/>
        <v>Laldiyara</v>
      </c>
      <c r="AJ72" s="72">
        <v>0</v>
      </c>
      <c r="AK72" s="72"/>
      <c r="AL72" s="72"/>
      <c r="AM72" s="72"/>
    </row>
    <row r="73" spans="1:39" x14ac:dyDescent="0.25">
      <c r="A73" s="37" t="s">
        <v>62</v>
      </c>
      <c r="B73" s="66" t="s">
        <v>1566</v>
      </c>
      <c r="C73" s="47">
        <v>1002</v>
      </c>
      <c r="D73" s="47" t="s">
        <v>105</v>
      </c>
      <c r="E73" s="41">
        <v>10020062</v>
      </c>
      <c r="F73" s="46" t="s">
        <v>135</v>
      </c>
      <c r="G73" s="39" t="s">
        <v>93</v>
      </c>
      <c r="H73" s="48" t="s">
        <v>94</v>
      </c>
      <c r="I73" s="52">
        <v>292.60000000000002</v>
      </c>
      <c r="J73" s="49">
        <v>11838.12</v>
      </c>
      <c r="K73" s="65">
        <v>292.14</v>
      </c>
      <c r="L73" s="65">
        <v>11561.394781658622</v>
      </c>
      <c r="M73" s="65">
        <v>3.6999999999999997</v>
      </c>
      <c r="N73" s="65">
        <v>139.39275667679999</v>
      </c>
      <c r="O73" s="65">
        <v>295.83999999999997</v>
      </c>
      <c r="P73" s="65">
        <v>11700.787538335422</v>
      </c>
      <c r="Q73" s="50">
        <v>11700.787538335422</v>
      </c>
      <c r="R73" s="65">
        <v>0</v>
      </c>
      <c r="S73" s="65">
        <v>139.39275667679999</v>
      </c>
      <c r="T73" s="65">
        <v>0</v>
      </c>
      <c r="U73" s="65">
        <v>0</v>
      </c>
      <c r="V73" s="65">
        <v>7.0081199999996926</v>
      </c>
      <c r="W73" s="65">
        <v>0</v>
      </c>
      <c r="X73" s="65">
        <v>11554</v>
      </c>
      <c r="Y73" s="65">
        <v>0</v>
      </c>
      <c r="Z73" s="65">
        <v>0</v>
      </c>
      <c r="AA73" s="51">
        <v>138</v>
      </c>
      <c r="AB73" s="102">
        <v>0</v>
      </c>
      <c r="AC73" s="81">
        <f t="shared" si="6"/>
        <v>329.65482488038282</v>
      </c>
      <c r="AD73" s="82">
        <f t="shared" si="7"/>
        <v>41.800000000000004</v>
      </c>
      <c r="AE73" s="218">
        <v>1.1600867508065356E-2</v>
      </c>
      <c r="AF73">
        <v>16</v>
      </c>
      <c r="AH73" t="str">
        <f t="shared" si="5"/>
        <v>Laldiyara</v>
      </c>
      <c r="AJ73" s="72">
        <v>0</v>
      </c>
      <c r="AK73" s="72"/>
      <c r="AL73" s="72"/>
      <c r="AM73" s="72"/>
    </row>
    <row r="74" spans="1:39" x14ac:dyDescent="0.25">
      <c r="A74" s="37" t="s">
        <v>62</v>
      </c>
      <c r="B74" s="66" t="s">
        <v>1566</v>
      </c>
      <c r="C74" s="47">
        <v>1002</v>
      </c>
      <c r="D74" s="47" t="s">
        <v>105</v>
      </c>
      <c r="E74" s="41">
        <v>10020063</v>
      </c>
      <c r="F74" s="46" t="s">
        <v>136</v>
      </c>
      <c r="G74" s="39" t="s">
        <v>93</v>
      </c>
      <c r="H74" s="48" t="s">
        <v>94</v>
      </c>
      <c r="I74" s="52">
        <v>966.80000000000007</v>
      </c>
      <c r="J74" s="49">
        <v>41490.179999999993</v>
      </c>
      <c r="K74" s="65">
        <v>408.97</v>
      </c>
      <c r="L74" s="65">
        <v>20081.865082430453</v>
      </c>
      <c r="M74" s="65">
        <v>543.82999999999993</v>
      </c>
      <c r="N74" s="65">
        <v>21812.238902314806</v>
      </c>
      <c r="O74" s="65">
        <v>952.8</v>
      </c>
      <c r="P74" s="65">
        <v>41894.103984745263</v>
      </c>
      <c r="Q74" s="50">
        <v>41490.179999999993</v>
      </c>
      <c r="R74" s="65">
        <v>0</v>
      </c>
      <c r="S74" s="65">
        <v>324.10209150000003</v>
      </c>
      <c r="T74" s="65">
        <v>403.92398474526999</v>
      </c>
      <c r="U74" s="65">
        <v>0</v>
      </c>
      <c r="V74" s="65">
        <v>0</v>
      </c>
      <c r="W74" s="65">
        <v>0</v>
      </c>
      <c r="X74" s="65">
        <v>19678</v>
      </c>
      <c r="Y74" s="65">
        <v>21488</v>
      </c>
      <c r="Z74" s="65">
        <v>0</v>
      </c>
      <c r="AA74" s="51">
        <v>0</v>
      </c>
      <c r="AB74" s="102">
        <v>0</v>
      </c>
      <c r="AC74" s="81">
        <f t="shared" si="6"/>
        <v>0</v>
      </c>
      <c r="AD74" s="82">
        <f t="shared" si="7"/>
        <v>0</v>
      </c>
      <c r="AE74" s="218">
        <v>-9.7354117226117129E-3</v>
      </c>
      <c r="AF74">
        <v>10</v>
      </c>
      <c r="AH74" t="str">
        <f t="shared" si="5"/>
        <v>Laldiyara</v>
      </c>
      <c r="AJ74" s="72">
        <v>0</v>
      </c>
      <c r="AK74" s="72"/>
      <c r="AL74" s="72"/>
      <c r="AM74" s="72"/>
    </row>
    <row r="75" spans="1:39" x14ac:dyDescent="0.25">
      <c r="A75" s="37" t="s">
        <v>62</v>
      </c>
      <c r="B75" s="66" t="s">
        <v>1566</v>
      </c>
      <c r="C75" s="47">
        <v>1002</v>
      </c>
      <c r="D75" s="47" t="s">
        <v>105</v>
      </c>
      <c r="E75" s="41">
        <v>10020064</v>
      </c>
      <c r="F75" s="46" t="s">
        <v>137</v>
      </c>
      <c r="G75" s="39" t="s">
        <v>635</v>
      </c>
      <c r="H75" s="48" t="s">
        <v>99</v>
      </c>
      <c r="I75" s="52">
        <v>234.4</v>
      </c>
      <c r="J75" s="49">
        <v>9540.7900000000009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50">
        <v>9540.7900000000009</v>
      </c>
      <c r="R75" s="65">
        <v>0</v>
      </c>
      <c r="S75" s="65">
        <v>0</v>
      </c>
      <c r="T75" s="65">
        <v>0</v>
      </c>
      <c r="U75" s="65">
        <v>0</v>
      </c>
      <c r="V75" s="65">
        <v>1257.0678193548392</v>
      </c>
      <c r="W75" s="65">
        <v>0</v>
      </c>
      <c r="X75" s="65">
        <v>0</v>
      </c>
      <c r="Y75" s="65">
        <v>0</v>
      </c>
      <c r="Z75" s="65">
        <v>8283.7221806451616</v>
      </c>
      <c r="AA75" s="51">
        <v>0</v>
      </c>
      <c r="AB75" s="102">
        <v>0</v>
      </c>
      <c r="AC75" s="81">
        <f t="shared" si="6"/>
        <v>379.02660614334462</v>
      </c>
      <c r="AD75" s="82">
        <f t="shared" si="7"/>
        <v>33.485714285714288</v>
      </c>
      <c r="AE75" s="218">
        <v>0</v>
      </c>
      <c r="AF75">
        <v>0</v>
      </c>
      <c r="AH75" t="str">
        <f t="shared" si="5"/>
        <v>Laldiyara</v>
      </c>
      <c r="AJ75" s="72">
        <v>0</v>
      </c>
      <c r="AK75" s="72"/>
      <c r="AL75" s="72"/>
      <c r="AM75" s="72"/>
    </row>
    <row r="76" spans="1:39" x14ac:dyDescent="0.25">
      <c r="A76" s="37" t="s">
        <v>62</v>
      </c>
      <c r="B76" s="66" t="s">
        <v>1566</v>
      </c>
      <c r="C76" s="47">
        <v>1002</v>
      </c>
      <c r="D76" s="47" t="s">
        <v>105</v>
      </c>
      <c r="E76" s="41">
        <v>10020067</v>
      </c>
      <c r="F76" s="46" t="s">
        <v>138</v>
      </c>
      <c r="G76" s="39" t="s">
        <v>635</v>
      </c>
      <c r="H76" s="48" t="s">
        <v>99</v>
      </c>
      <c r="I76" s="52">
        <v>1279</v>
      </c>
      <c r="J76" s="49">
        <v>50849.09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50">
        <v>50849.09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50849.09</v>
      </c>
      <c r="AA76" s="51">
        <v>0</v>
      </c>
      <c r="AB76" s="102">
        <v>0</v>
      </c>
      <c r="AC76" s="81">
        <f t="shared" si="6"/>
        <v>0</v>
      </c>
      <c r="AD76" s="82">
        <f t="shared" si="7"/>
        <v>0</v>
      </c>
      <c r="AE76" s="218">
        <v>0</v>
      </c>
      <c r="AF76">
        <v>0</v>
      </c>
      <c r="AH76" t="str">
        <f t="shared" si="5"/>
        <v>Laldiyara</v>
      </c>
      <c r="AJ76" s="72">
        <v>0</v>
      </c>
      <c r="AK76" s="72"/>
      <c r="AL76" s="72"/>
      <c r="AM76" s="72"/>
    </row>
    <row r="77" spans="1:39" x14ac:dyDescent="0.25">
      <c r="A77" s="37" t="s">
        <v>62</v>
      </c>
      <c r="B77" s="66" t="s">
        <v>1566</v>
      </c>
      <c r="C77" s="47">
        <v>1002</v>
      </c>
      <c r="D77" s="47" t="s">
        <v>105</v>
      </c>
      <c r="E77" s="41">
        <v>10020068</v>
      </c>
      <c r="F77" s="46" t="s">
        <v>108</v>
      </c>
      <c r="G77" s="39" t="s">
        <v>93</v>
      </c>
      <c r="H77" s="48" t="s">
        <v>94</v>
      </c>
      <c r="I77" s="52">
        <v>609.30000000000007</v>
      </c>
      <c r="J77" s="49">
        <v>24624.420000000002</v>
      </c>
      <c r="K77" s="65">
        <v>637.92999999999984</v>
      </c>
      <c r="L77" s="65">
        <v>26396.214474139466</v>
      </c>
      <c r="M77" s="65">
        <v>0</v>
      </c>
      <c r="N77" s="65">
        <v>0</v>
      </c>
      <c r="O77" s="65">
        <v>637.92999999999984</v>
      </c>
      <c r="P77" s="65">
        <v>26396.214474139466</v>
      </c>
      <c r="Q77" s="50">
        <v>24624.420000000002</v>
      </c>
      <c r="R77" s="65">
        <v>0</v>
      </c>
      <c r="S77" s="65">
        <v>0</v>
      </c>
      <c r="T77" s="65">
        <v>1771.794474139464</v>
      </c>
      <c r="U77" s="65">
        <v>0</v>
      </c>
      <c r="V77" s="65">
        <v>18.430016949152133</v>
      </c>
      <c r="W77" s="65">
        <v>0</v>
      </c>
      <c r="X77" s="65">
        <v>24606</v>
      </c>
      <c r="Y77" s="65">
        <v>0</v>
      </c>
      <c r="Z77" s="65">
        <v>0</v>
      </c>
      <c r="AA77" s="51">
        <v>0</v>
      </c>
      <c r="AB77" s="102">
        <v>0</v>
      </c>
      <c r="AC77" s="81">
        <f t="shared" si="6"/>
        <v>73.311501526341615</v>
      </c>
      <c r="AD77" s="82">
        <f t="shared" si="7"/>
        <v>87.042857142857159</v>
      </c>
      <c r="AE77" s="218">
        <v>-7.1952739359524565E-2</v>
      </c>
      <c r="AF77">
        <v>22</v>
      </c>
      <c r="AH77" t="str">
        <f t="shared" si="5"/>
        <v>Laldiyara</v>
      </c>
      <c r="AJ77" s="72">
        <v>0</v>
      </c>
      <c r="AK77" s="72"/>
      <c r="AL77" s="72"/>
      <c r="AM77" s="72"/>
    </row>
    <row r="78" spans="1:39" x14ac:dyDescent="0.25">
      <c r="A78" s="37" t="s">
        <v>62</v>
      </c>
      <c r="B78" s="66" t="s">
        <v>1566</v>
      </c>
      <c r="C78" s="47">
        <v>1002</v>
      </c>
      <c r="D78" s="47" t="s">
        <v>105</v>
      </c>
      <c r="E78" s="41">
        <v>10020069</v>
      </c>
      <c r="F78" s="46" t="s">
        <v>459</v>
      </c>
      <c r="G78" s="39" t="s">
        <v>93</v>
      </c>
      <c r="H78" s="48" t="s">
        <v>94</v>
      </c>
      <c r="I78" s="52">
        <v>211.10000000000002</v>
      </c>
      <c r="J78" s="49">
        <v>8040.31</v>
      </c>
      <c r="K78" s="65">
        <v>209.72000000000003</v>
      </c>
      <c r="L78" s="65">
        <v>8064.5657245560014</v>
      </c>
      <c r="M78" s="65">
        <v>0.13</v>
      </c>
      <c r="N78" s="65">
        <v>5.0029400520000005</v>
      </c>
      <c r="O78" s="65">
        <v>209.85000000000002</v>
      </c>
      <c r="P78" s="65">
        <v>8069.5686646080012</v>
      </c>
      <c r="Q78" s="50">
        <v>8040.31</v>
      </c>
      <c r="R78" s="65">
        <v>0</v>
      </c>
      <c r="S78" s="65">
        <v>5.0029400520000005</v>
      </c>
      <c r="T78" s="65">
        <v>29.258664608000799</v>
      </c>
      <c r="U78" s="65">
        <v>8035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51">
        <v>0</v>
      </c>
      <c r="AB78" s="102" t="s">
        <v>1532</v>
      </c>
      <c r="AC78" s="81">
        <f t="shared" si="6"/>
        <v>372.42136987209852</v>
      </c>
      <c r="AD78" s="82">
        <f t="shared" si="7"/>
        <v>30.157142857142862</v>
      </c>
      <c r="AE78" s="218">
        <v>-3.6389970794659409E-3</v>
      </c>
      <c r="AF78">
        <v>3</v>
      </c>
      <c r="AH78" t="str">
        <f t="shared" si="5"/>
        <v>Laldiyara</v>
      </c>
      <c r="AJ78" s="72">
        <v>0</v>
      </c>
      <c r="AK78" s="72"/>
      <c r="AL78" s="72"/>
      <c r="AM78" s="72"/>
    </row>
    <row r="79" spans="1:39" x14ac:dyDescent="0.25">
      <c r="A79" s="37" t="s">
        <v>62</v>
      </c>
      <c r="B79" s="66" t="s">
        <v>1566</v>
      </c>
      <c r="C79" s="47">
        <v>1002</v>
      </c>
      <c r="D79" s="47" t="s">
        <v>105</v>
      </c>
      <c r="E79" s="41">
        <v>10020070</v>
      </c>
      <c r="F79" s="46" t="s">
        <v>478</v>
      </c>
      <c r="G79" s="39" t="s">
        <v>93</v>
      </c>
      <c r="H79" s="48" t="s">
        <v>94</v>
      </c>
      <c r="I79" s="52">
        <v>978.80000000000007</v>
      </c>
      <c r="J79" s="49">
        <v>38704</v>
      </c>
      <c r="K79" s="65">
        <v>900.70000000000016</v>
      </c>
      <c r="L79" s="65">
        <v>38778.903963794146</v>
      </c>
      <c r="M79" s="65">
        <v>0</v>
      </c>
      <c r="N79" s="65">
        <v>0</v>
      </c>
      <c r="O79" s="65">
        <v>900.70000000000016</v>
      </c>
      <c r="P79" s="65">
        <v>38778.903963794146</v>
      </c>
      <c r="Q79" s="50">
        <v>38704</v>
      </c>
      <c r="R79" s="65">
        <v>0</v>
      </c>
      <c r="S79" s="65">
        <v>0</v>
      </c>
      <c r="T79" s="65">
        <v>74.903963794145966</v>
      </c>
      <c r="U79" s="65">
        <v>0</v>
      </c>
      <c r="V79" s="65">
        <v>0</v>
      </c>
      <c r="W79" s="65">
        <v>0</v>
      </c>
      <c r="X79" s="65">
        <v>38704</v>
      </c>
      <c r="Y79" s="65">
        <v>0</v>
      </c>
      <c r="Z79" s="65">
        <v>0</v>
      </c>
      <c r="AA79" s="51">
        <v>0</v>
      </c>
      <c r="AB79" s="102" t="s">
        <v>68</v>
      </c>
      <c r="AC79" s="81">
        <f t="shared" si="6"/>
        <v>0</v>
      </c>
      <c r="AD79" s="82">
        <f t="shared" si="7"/>
        <v>0</v>
      </c>
      <c r="AE79" s="218">
        <v>-1.9353029091087734E-3</v>
      </c>
      <c r="AF79">
        <v>13</v>
      </c>
      <c r="AH79" t="str">
        <f t="shared" si="5"/>
        <v>Laldiyara</v>
      </c>
      <c r="AJ79" s="72">
        <v>0</v>
      </c>
      <c r="AK79" s="72"/>
      <c r="AL79" s="72"/>
      <c r="AM79" s="72"/>
    </row>
    <row r="80" spans="1:39" x14ac:dyDescent="0.25">
      <c r="A80" s="37" t="s">
        <v>62</v>
      </c>
      <c r="B80" s="66" t="s">
        <v>1566</v>
      </c>
      <c r="C80" s="47">
        <v>1002</v>
      </c>
      <c r="D80" s="47" t="s">
        <v>105</v>
      </c>
      <c r="E80" s="41">
        <v>10020073</v>
      </c>
      <c r="F80" s="46" t="s">
        <v>495</v>
      </c>
      <c r="G80" s="39" t="s">
        <v>635</v>
      </c>
      <c r="H80" s="48" t="s">
        <v>99</v>
      </c>
      <c r="I80" s="52">
        <v>1142.4999999999998</v>
      </c>
      <c r="J80" s="49">
        <v>48278.13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50">
        <v>48278.13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48278.13</v>
      </c>
      <c r="AA80" s="51">
        <v>0</v>
      </c>
      <c r="AB80" s="102">
        <v>0</v>
      </c>
      <c r="AC80" s="81">
        <f t="shared" si="6"/>
        <v>0</v>
      </c>
      <c r="AD80" s="82">
        <f t="shared" si="7"/>
        <v>0</v>
      </c>
      <c r="AE80" s="218">
        <v>0</v>
      </c>
      <c r="AF80">
        <v>0</v>
      </c>
      <c r="AH80" t="str">
        <f t="shared" si="5"/>
        <v>Laldiyara</v>
      </c>
      <c r="AJ80" s="72">
        <v>0</v>
      </c>
      <c r="AK80" s="72"/>
      <c r="AL80" s="72"/>
      <c r="AM80" s="72"/>
    </row>
    <row r="81" spans="1:39" x14ac:dyDescent="0.25">
      <c r="A81" s="37" t="s">
        <v>62</v>
      </c>
      <c r="B81" s="66" t="s">
        <v>1566</v>
      </c>
      <c r="C81" s="47">
        <v>1002</v>
      </c>
      <c r="D81" s="47" t="s">
        <v>105</v>
      </c>
      <c r="E81" s="41">
        <v>10020075</v>
      </c>
      <c r="F81" s="46" t="s">
        <v>267</v>
      </c>
      <c r="G81" s="39" t="s">
        <v>93</v>
      </c>
      <c r="H81" s="48" t="s">
        <v>94</v>
      </c>
      <c r="I81" s="52">
        <v>301</v>
      </c>
      <c r="J81" s="49">
        <v>12338.27</v>
      </c>
      <c r="K81" s="65">
        <v>282.53000000000003</v>
      </c>
      <c r="L81" s="65">
        <v>12680.440142898795</v>
      </c>
      <c r="M81" s="65">
        <v>0</v>
      </c>
      <c r="N81" s="65">
        <v>0</v>
      </c>
      <c r="O81" s="65">
        <v>282.53000000000003</v>
      </c>
      <c r="P81" s="65">
        <v>12680.440142898795</v>
      </c>
      <c r="Q81" s="50">
        <v>12338.27</v>
      </c>
      <c r="R81" s="65">
        <v>0</v>
      </c>
      <c r="S81" s="65">
        <v>0</v>
      </c>
      <c r="T81" s="65">
        <v>342.17014289879444</v>
      </c>
      <c r="U81" s="65">
        <v>2293</v>
      </c>
      <c r="V81" s="65">
        <v>0</v>
      </c>
      <c r="W81" s="65">
        <v>0</v>
      </c>
      <c r="X81" s="65">
        <v>10045</v>
      </c>
      <c r="Y81" s="65">
        <v>0</v>
      </c>
      <c r="Z81" s="65">
        <v>0</v>
      </c>
      <c r="AA81" s="51">
        <v>0</v>
      </c>
      <c r="AB81" s="102" t="s">
        <v>1427</v>
      </c>
      <c r="AC81" s="81">
        <f t="shared" si="6"/>
        <v>327.10762325581396</v>
      </c>
      <c r="AD81" s="82">
        <f t="shared" si="7"/>
        <v>43</v>
      </c>
      <c r="AE81" s="218">
        <v>-2.7732424634798431E-2</v>
      </c>
      <c r="AF81">
        <v>3</v>
      </c>
      <c r="AH81" t="str">
        <f t="shared" si="5"/>
        <v>Laldiyara</v>
      </c>
      <c r="AJ81" s="72">
        <v>0</v>
      </c>
      <c r="AK81" s="72"/>
      <c r="AL81" s="72"/>
      <c r="AM81" s="72"/>
    </row>
    <row r="82" spans="1:39" x14ac:dyDescent="0.25">
      <c r="A82" s="37" t="s">
        <v>62</v>
      </c>
      <c r="B82" s="66" t="s">
        <v>1566</v>
      </c>
      <c r="C82" s="47">
        <v>1002</v>
      </c>
      <c r="D82" s="47" t="s">
        <v>105</v>
      </c>
      <c r="E82" s="41">
        <v>10020077</v>
      </c>
      <c r="F82" s="46" t="s">
        <v>1152</v>
      </c>
      <c r="G82" s="39" t="s">
        <v>93</v>
      </c>
      <c r="H82" s="48" t="s">
        <v>94</v>
      </c>
      <c r="I82" s="52">
        <v>104.79999999999998</v>
      </c>
      <c r="J82" s="49">
        <v>4621.04</v>
      </c>
      <c r="K82" s="65">
        <v>107.3</v>
      </c>
      <c r="L82" s="65">
        <v>4657.5837985464004</v>
      </c>
      <c r="M82" s="65">
        <v>0</v>
      </c>
      <c r="N82" s="65">
        <v>0</v>
      </c>
      <c r="O82" s="65">
        <v>107.3</v>
      </c>
      <c r="P82" s="65">
        <v>4657.5837985464004</v>
      </c>
      <c r="Q82" s="50">
        <v>4621.04</v>
      </c>
      <c r="R82" s="65">
        <v>0</v>
      </c>
      <c r="S82" s="65">
        <v>0</v>
      </c>
      <c r="T82" s="65">
        <v>36.543798546400467</v>
      </c>
      <c r="U82" s="65">
        <v>0</v>
      </c>
      <c r="V82" s="65">
        <v>0</v>
      </c>
      <c r="W82" s="65">
        <v>0</v>
      </c>
      <c r="X82" s="65">
        <v>4621</v>
      </c>
      <c r="Y82" s="65">
        <v>0</v>
      </c>
      <c r="Z82" s="65">
        <v>0</v>
      </c>
      <c r="AA82" s="51">
        <v>0</v>
      </c>
      <c r="AB82" s="102">
        <v>0</v>
      </c>
      <c r="AC82" s="81">
        <f t="shared" si="6"/>
        <v>524.89370381679385</v>
      </c>
      <c r="AD82" s="82">
        <f t="shared" si="7"/>
        <v>14.97142857142857</v>
      </c>
      <c r="AE82" s="218">
        <v>-7.9081329195160536E-3</v>
      </c>
      <c r="AF82">
        <v>1</v>
      </c>
      <c r="AH82" t="str">
        <f t="shared" si="5"/>
        <v>Laldiyara</v>
      </c>
      <c r="AJ82" s="72">
        <v>0</v>
      </c>
      <c r="AK82" s="72"/>
      <c r="AL82" s="72"/>
      <c r="AM82" s="72"/>
    </row>
    <row r="83" spans="1:39" x14ac:dyDescent="0.25">
      <c r="A83" s="37" t="s">
        <v>62</v>
      </c>
      <c r="B83" s="66" t="s">
        <v>1566</v>
      </c>
      <c r="C83" s="47">
        <v>1002</v>
      </c>
      <c r="D83" s="47" t="s">
        <v>105</v>
      </c>
      <c r="E83" s="41">
        <v>10020078</v>
      </c>
      <c r="F83" s="46" t="s">
        <v>1153</v>
      </c>
      <c r="G83" s="39" t="s">
        <v>93</v>
      </c>
      <c r="H83" s="48" t="s">
        <v>94</v>
      </c>
      <c r="I83" s="52">
        <v>422.20000000000005</v>
      </c>
      <c r="J83" s="49">
        <v>16984.960000000003</v>
      </c>
      <c r="K83" s="65">
        <v>418.78</v>
      </c>
      <c r="L83" s="65">
        <v>18989.912584531514</v>
      </c>
      <c r="M83" s="65">
        <v>0</v>
      </c>
      <c r="N83" s="65">
        <v>0</v>
      </c>
      <c r="O83" s="65">
        <v>418.78</v>
      </c>
      <c r="P83" s="65">
        <v>18989.912584531514</v>
      </c>
      <c r="Q83" s="50">
        <v>16984.960000000003</v>
      </c>
      <c r="R83" s="65">
        <v>0</v>
      </c>
      <c r="S83" s="65">
        <v>0</v>
      </c>
      <c r="T83" s="65">
        <v>2004.9525845315111</v>
      </c>
      <c r="U83" s="65">
        <v>0</v>
      </c>
      <c r="V83" s="65">
        <v>0</v>
      </c>
      <c r="W83" s="65">
        <v>0</v>
      </c>
      <c r="X83" s="65">
        <v>16985</v>
      </c>
      <c r="Y83" s="65">
        <v>0</v>
      </c>
      <c r="Z83" s="65">
        <v>0</v>
      </c>
      <c r="AA83" s="51">
        <v>0</v>
      </c>
      <c r="AB83" s="102">
        <v>0</v>
      </c>
      <c r="AC83" s="81">
        <f t="shared" si="6"/>
        <v>223.51595869256275</v>
      </c>
      <c r="AD83" s="82">
        <f t="shared" si="7"/>
        <v>60.314285714285724</v>
      </c>
      <c r="AE83" s="218">
        <v>-0.11804282050305157</v>
      </c>
      <c r="AF83">
        <v>2</v>
      </c>
      <c r="AH83" t="str">
        <f t="shared" si="5"/>
        <v>Laldiyara</v>
      </c>
      <c r="AJ83" s="72">
        <v>0</v>
      </c>
      <c r="AK83" s="72"/>
      <c r="AL83" s="72"/>
      <c r="AM83" s="72"/>
    </row>
    <row r="84" spans="1:39" x14ac:dyDescent="0.25">
      <c r="A84" s="37" t="s">
        <v>62</v>
      </c>
      <c r="B84" s="66" t="s">
        <v>1566</v>
      </c>
      <c r="C84" s="47">
        <v>1002</v>
      </c>
      <c r="D84" s="47" t="s">
        <v>105</v>
      </c>
      <c r="E84" s="41">
        <v>10020079</v>
      </c>
      <c r="F84" s="46" t="s">
        <v>1154</v>
      </c>
      <c r="G84" s="39" t="s">
        <v>93</v>
      </c>
      <c r="H84" s="48" t="s">
        <v>94</v>
      </c>
      <c r="I84" s="52">
        <v>255.2</v>
      </c>
      <c r="J84" s="49">
        <v>14713.279999999999</v>
      </c>
      <c r="K84" s="65">
        <v>255.17000000000002</v>
      </c>
      <c r="L84" s="65">
        <v>15302.767815158311</v>
      </c>
      <c r="M84" s="65">
        <v>0</v>
      </c>
      <c r="N84" s="65">
        <v>0</v>
      </c>
      <c r="O84" s="65">
        <v>255.17000000000002</v>
      </c>
      <c r="P84" s="65">
        <v>15302.767815158311</v>
      </c>
      <c r="Q84" s="50">
        <v>14713.279999999999</v>
      </c>
      <c r="R84" s="65">
        <v>0</v>
      </c>
      <c r="S84" s="65">
        <v>0</v>
      </c>
      <c r="T84" s="65">
        <v>589.48781515831251</v>
      </c>
      <c r="U84" s="65">
        <v>0</v>
      </c>
      <c r="V84" s="65">
        <v>0</v>
      </c>
      <c r="W84" s="65">
        <v>0</v>
      </c>
      <c r="X84" s="65">
        <v>14713</v>
      </c>
      <c r="Y84" s="65">
        <v>0</v>
      </c>
      <c r="Z84" s="65">
        <v>0</v>
      </c>
      <c r="AA84" s="51">
        <v>0</v>
      </c>
      <c r="AB84" s="102">
        <v>0</v>
      </c>
      <c r="AC84" s="81">
        <f t="shared" si="6"/>
        <v>512.88925893416922</v>
      </c>
      <c r="AD84" s="82">
        <f t="shared" si="7"/>
        <v>36.457142857142856</v>
      </c>
      <c r="AE84" s="218">
        <v>-4.006501712455092E-2</v>
      </c>
      <c r="AF84">
        <v>4</v>
      </c>
      <c r="AH84" t="str">
        <f t="shared" si="5"/>
        <v>Laldiyara</v>
      </c>
      <c r="AJ84" s="72">
        <v>0</v>
      </c>
      <c r="AK84" s="72"/>
      <c r="AL84" s="72"/>
      <c r="AM84" s="72"/>
    </row>
    <row r="85" spans="1:39" x14ac:dyDescent="0.25">
      <c r="A85" s="37" t="s">
        <v>62</v>
      </c>
      <c r="B85" s="66" t="s">
        <v>1566</v>
      </c>
      <c r="C85" s="47">
        <v>1002</v>
      </c>
      <c r="D85" s="47" t="s">
        <v>105</v>
      </c>
      <c r="E85" s="41">
        <v>10020080</v>
      </c>
      <c r="F85" s="46" t="s">
        <v>1187</v>
      </c>
      <c r="G85" s="39" t="s">
        <v>93</v>
      </c>
      <c r="H85" s="48" t="s">
        <v>94</v>
      </c>
      <c r="I85" s="52">
        <v>24.699999999999996</v>
      </c>
      <c r="J85" s="49">
        <v>964.4799999999999</v>
      </c>
      <c r="K85" s="65">
        <v>19.7</v>
      </c>
      <c r="L85" s="65">
        <v>769.02712524000003</v>
      </c>
      <c r="M85" s="65">
        <v>0</v>
      </c>
      <c r="N85" s="65">
        <v>0</v>
      </c>
      <c r="O85" s="65">
        <v>19.7</v>
      </c>
      <c r="P85" s="65">
        <v>769.02712524000003</v>
      </c>
      <c r="Q85" s="50">
        <v>769.02712524000003</v>
      </c>
      <c r="R85" s="65">
        <v>0</v>
      </c>
      <c r="S85" s="65">
        <v>0</v>
      </c>
      <c r="T85" s="65">
        <v>0</v>
      </c>
      <c r="U85" s="65">
        <v>0</v>
      </c>
      <c r="V85" s="65">
        <v>209.80650545454552</v>
      </c>
      <c r="W85" s="65">
        <v>0</v>
      </c>
      <c r="X85" s="65">
        <v>559</v>
      </c>
      <c r="Y85" s="65">
        <v>0</v>
      </c>
      <c r="Z85" s="65">
        <v>0</v>
      </c>
      <c r="AA85" s="51">
        <v>196</v>
      </c>
      <c r="AB85" s="102">
        <v>0</v>
      </c>
      <c r="AC85" s="81">
        <f t="shared" si="6"/>
        <v>527.37922591093127</v>
      </c>
      <c r="AD85" s="82">
        <f t="shared" si="7"/>
        <v>3.528571428571428</v>
      </c>
      <c r="AE85" s="218">
        <v>0.2026510396897809</v>
      </c>
      <c r="AF85">
        <v>1</v>
      </c>
      <c r="AH85" t="str">
        <f t="shared" si="5"/>
        <v>Laldiyara</v>
      </c>
      <c r="AJ85" s="72">
        <v>0</v>
      </c>
      <c r="AK85" s="72"/>
      <c r="AL85" s="72"/>
      <c r="AM85" s="72"/>
    </row>
    <row r="86" spans="1:39" x14ac:dyDescent="0.25">
      <c r="A86" s="37" t="s">
        <v>62</v>
      </c>
      <c r="B86" s="66" t="s">
        <v>1566</v>
      </c>
      <c r="C86" s="47">
        <v>1002</v>
      </c>
      <c r="D86" s="47" t="s">
        <v>105</v>
      </c>
      <c r="E86" s="41">
        <v>10020081</v>
      </c>
      <c r="F86" s="46" t="s">
        <v>1197</v>
      </c>
      <c r="G86" s="39" t="s">
        <v>635</v>
      </c>
      <c r="H86" s="48" t="s">
        <v>99</v>
      </c>
      <c r="I86" s="52">
        <v>1894.1999999999998</v>
      </c>
      <c r="J86" s="49">
        <v>74161.349999999991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50">
        <v>74161.349999999991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74161.349999999991</v>
      </c>
      <c r="AA86" s="51">
        <v>0</v>
      </c>
      <c r="AB86" s="102">
        <v>0</v>
      </c>
      <c r="AC86" s="81">
        <f t="shared" si="6"/>
        <v>0</v>
      </c>
      <c r="AD86" s="82">
        <f t="shared" si="7"/>
        <v>0</v>
      </c>
      <c r="AE86" s="218">
        <v>0</v>
      </c>
      <c r="AF86">
        <v>0</v>
      </c>
      <c r="AH86" t="str">
        <f t="shared" si="5"/>
        <v>Laldiyara</v>
      </c>
      <c r="AJ86" s="72">
        <v>0</v>
      </c>
      <c r="AK86" s="72"/>
      <c r="AL86" s="72"/>
      <c r="AM86" s="72"/>
    </row>
    <row r="87" spans="1:39" x14ac:dyDescent="0.25">
      <c r="A87" s="37" t="s">
        <v>62</v>
      </c>
      <c r="B87" s="66" t="s">
        <v>1566</v>
      </c>
      <c r="C87" s="47">
        <v>1002</v>
      </c>
      <c r="D87" s="47" t="s">
        <v>105</v>
      </c>
      <c r="E87" s="41">
        <v>10020082</v>
      </c>
      <c r="F87" s="46" t="s">
        <v>1198</v>
      </c>
      <c r="G87" s="39" t="s">
        <v>635</v>
      </c>
      <c r="H87" s="48" t="s">
        <v>99</v>
      </c>
      <c r="I87" s="52">
        <v>1196</v>
      </c>
      <c r="J87" s="49">
        <v>49188.040000000008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50">
        <v>49188.040000000008</v>
      </c>
      <c r="R87" s="65">
        <v>0</v>
      </c>
      <c r="S87" s="65">
        <v>0</v>
      </c>
      <c r="T87" s="65">
        <v>0</v>
      </c>
      <c r="U87" s="65">
        <v>0</v>
      </c>
      <c r="V87" s="65">
        <v>589.86305806451469</v>
      </c>
      <c r="W87" s="65">
        <v>0</v>
      </c>
      <c r="X87" s="65">
        <v>0</v>
      </c>
      <c r="Y87" s="65">
        <v>0</v>
      </c>
      <c r="Z87" s="65">
        <v>48598.176941935497</v>
      </c>
      <c r="AA87" s="51">
        <v>0</v>
      </c>
      <c r="AB87" s="102">
        <v>0</v>
      </c>
      <c r="AC87" s="81">
        <f t="shared" si="6"/>
        <v>0</v>
      </c>
      <c r="AD87" s="82">
        <f t="shared" si="7"/>
        <v>0</v>
      </c>
      <c r="AE87" s="218">
        <v>0</v>
      </c>
      <c r="AF87">
        <v>0</v>
      </c>
      <c r="AH87" t="str">
        <f t="shared" si="5"/>
        <v>Laldiyara</v>
      </c>
      <c r="AJ87" s="72">
        <v>0</v>
      </c>
      <c r="AK87" s="72"/>
      <c r="AL87" s="72"/>
      <c r="AM87" s="72"/>
    </row>
    <row r="88" spans="1:39" x14ac:dyDescent="0.25">
      <c r="A88" s="37" t="s">
        <v>62</v>
      </c>
      <c r="B88" s="66" t="s">
        <v>1566</v>
      </c>
      <c r="C88" s="47">
        <v>1002</v>
      </c>
      <c r="D88" s="47" t="s">
        <v>105</v>
      </c>
      <c r="E88" s="41">
        <v>10020083</v>
      </c>
      <c r="F88" s="46" t="s">
        <v>1256</v>
      </c>
      <c r="G88" s="39" t="s">
        <v>93</v>
      </c>
      <c r="H88" s="48" t="s">
        <v>94</v>
      </c>
      <c r="I88" s="52">
        <v>424.10000000000008</v>
      </c>
      <c r="J88" s="49">
        <v>16145.76</v>
      </c>
      <c r="K88" s="65">
        <v>424.89999999999992</v>
      </c>
      <c r="L88" s="65">
        <v>16560.319683600002</v>
      </c>
      <c r="M88" s="65">
        <v>0</v>
      </c>
      <c r="N88" s="65">
        <v>0</v>
      </c>
      <c r="O88" s="65">
        <v>424.89999999999992</v>
      </c>
      <c r="P88" s="65">
        <v>16560.319683600002</v>
      </c>
      <c r="Q88" s="50">
        <v>16145.76</v>
      </c>
      <c r="R88" s="65">
        <v>0</v>
      </c>
      <c r="S88" s="65">
        <v>0</v>
      </c>
      <c r="T88" s="65">
        <v>414.55968360000224</v>
      </c>
      <c r="U88" s="65">
        <v>0</v>
      </c>
      <c r="V88" s="65">
        <v>0</v>
      </c>
      <c r="W88" s="65">
        <v>0</v>
      </c>
      <c r="X88" s="65">
        <v>16146</v>
      </c>
      <c r="Y88" s="65">
        <v>0</v>
      </c>
      <c r="Z88" s="65">
        <v>0</v>
      </c>
      <c r="AA88" s="51">
        <v>0</v>
      </c>
      <c r="AB88" s="102">
        <v>0</v>
      </c>
      <c r="AC88" s="81">
        <f t="shared" si="6"/>
        <v>210.0738120254656</v>
      </c>
      <c r="AD88" s="82">
        <f t="shared" si="7"/>
        <v>60.585714285714296</v>
      </c>
      <c r="AE88" s="218">
        <v>-2.5676071216220373E-2</v>
      </c>
      <c r="AF88">
        <v>2</v>
      </c>
      <c r="AH88" t="str">
        <f t="shared" si="5"/>
        <v>Laldiyara</v>
      </c>
      <c r="AJ88" s="72">
        <v>0</v>
      </c>
      <c r="AK88" s="72"/>
      <c r="AL88" s="72"/>
      <c r="AM88" s="72"/>
    </row>
    <row r="89" spans="1:39" x14ac:dyDescent="0.25">
      <c r="A89" s="37" t="s">
        <v>62</v>
      </c>
      <c r="B89" s="66" t="s">
        <v>1566</v>
      </c>
      <c r="C89" s="47">
        <v>1002</v>
      </c>
      <c r="D89" s="47" t="s">
        <v>105</v>
      </c>
      <c r="E89" s="41">
        <v>10020084</v>
      </c>
      <c r="F89" s="46" t="s">
        <v>1247</v>
      </c>
      <c r="G89" s="39" t="s">
        <v>93</v>
      </c>
      <c r="H89" s="48" t="s">
        <v>94</v>
      </c>
      <c r="I89" s="52">
        <v>890.20000000000016</v>
      </c>
      <c r="J89" s="49">
        <v>33729.340000000004</v>
      </c>
      <c r="K89" s="65">
        <v>320.76</v>
      </c>
      <c r="L89" s="65">
        <v>12619.687731276181</v>
      </c>
      <c r="M89" s="65">
        <v>559.93000000000006</v>
      </c>
      <c r="N89" s="65">
        <v>22156.723554182245</v>
      </c>
      <c r="O89" s="65">
        <v>880.69</v>
      </c>
      <c r="P89" s="65">
        <v>34776.411285458424</v>
      </c>
      <c r="Q89" s="50">
        <v>33729.340000000004</v>
      </c>
      <c r="R89" s="65">
        <v>0</v>
      </c>
      <c r="S89" s="65">
        <v>0</v>
      </c>
      <c r="T89" s="65">
        <v>1047.0712854584199</v>
      </c>
      <c r="U89" s="65">
        <v>0</v>
      </c>
      <c r="V89" s="65">
        <v>0</v>
      </c>
      <c r="W89" s="65">
        <v>0</v>
      </c>
      <c r="X89" s="65">
        <v>11571</v>
      </c>
      <c r="Y89" s="65">
        <v>22158</v>
      </c>
      <c r="Z89" s="65">
        <v>0</v>
      </c>
      <c r="AA89" s="51">
        <v>0</v>
      </c>
      <c r="AB89" s="102">
        <v>0</v>
      </c>
      <c r="AC89" s="81">
        <f t="shared" si="6"/>
        <v>0</v>
      </c>
      <c r="AD89" s="82">
        <f t="shared" si="7"/>
        <v>0</v>
      </c>
      <c r="AE89" s="218">
        <v>-3.1043337505519519E-2</v>
      </c>
      <c r="AF89">
        <v>24</v>
      </c>
      <c r="AH89" t="str">
        <f t="shared" si="5"/>
        <v>Laldiyara</v>
      </c>
      <c r="AJ89" s="72">
        <v>0</v>
      </c>
      <c r="AK89" s="72"/>
      <c r="AL89" s="72"/>
      <c r="AM89" s="72"/>
    </row>
    <row r="90" spans="1:39" x14ac:dyDescent="0.25">
      <c r="A90" s="37" t="s">
        <v>62</v>
      </c>
      <c r="B90" s="66" t="s">
        <v>1566</v>
      </c>
      <c r="C90" s="47">
        <v>1003</v>
      </c>
      <c r="D90" s="47" t="s">
        <v>139</v>
      </c>
      <c r="E90" s="41">
        <v>10030002</v>
      </c>
      <c r="F90" s="46" t="s">
        <v>115</v>
      </c>
      <c r="G90" s="39" t="s">
        <v>635</v>
      </c>
      <c r="H90" s="48" t="s">
        <v>99</v>
      </c>
      <c r="I90" s="52">
        <v>478.49999999999994</v>
      </c>
      <c r="J90" s="49">
        <v>18734.05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50">
        <v>18734.05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18734.05</v>
      </c>
      <c r="AA90" s="51">
        <v>0</v>
      </c>
      <c r="AB90" s="102">
        <v>0</v>
      </c>
      <c r="AC90" s="81">
        <f t="shared" si="6"/>
        <v>173.44167502612339</v>
      </c>
      <c r="AD90" s="82">
        <f t="shared" si="7"/>
        <v>68.357142857142847</v>
      </c>
      <c r="AE90" s="218">
        <v>0</v>
      </c>
      <c r="AF90">
        <v>0</v>
      </c>
      <c r="AH90" t="str">
        <f t="shared" si="5"/>
        <v>Asarganj</v>
      </c>
      <c r="AJ90" s="72">
        <v>0</v>
      </c>
      <c r="AK90" s="72"/>
      <c r="AL90" s="72"/>
      <c r="AM90" s="72"/>
    </row>
    <row r="91" spans="1:39" x14ac:dyDescent="0.25">
      <c r="A91" s="37" t="s">
        <v>62</v>
      </c>
      <c r="B91" s="66" t="s">
        <v>1566</v>
      </c>
      <c r="C91" s="47">
        <v>1003</v>
      </c>
      <c r="D91" s="47" t="s">
        <v>139</v>
      </c>
      <c r="E91" s="41">
        <v>10030003</v>
      </c>
      <c r="F91" s="46" t="s">
        <v>140</v>
      </c>
      <c r="G91" s="39" t="s">
        <v>93</v>
      </c>
      <c r="H91" s="48" t="s">
        <v>94</v>
      </c>
      <c r="I91" s="52">
        <v>1719.1000000000004</v>
      </c>
      <c r="J91" s="49">
        <v>73122.070000000007</v>
      </c>
      <c r="K91" s="65">
        <v>1707.1</v>
      </c>
      <c r="L91" s="65">
        <v>71826.670576738907</v>
      </c>
      <c r="M91" s="65">
        <v>21.1</v>
      </c>
      <c r="N91" s="65">
        <v>1224.0585944179402</v>
      </c>
      <c r="O91" s="65">
        <v>1728.1999999999998</v>
      </c>
      <c r="P91" s="65">
        <v>73050.729171156854</v>
      </c>
      <c r="Q91" s="50">
        <v>73050.729171156854</v>
      </c>
      <c r="R91" s="65">
        <v>0</v>
      </c>
      <c r="S91" s="65">
        <v>1224.0585944179402</v>
      </c>
      <c r="T91" s="65">
        <v>0</v>
      </c>
      <c r="U91" s="65">
        <v>0</v>
      </c>
      <c r="V91" s="65">
        <v>0</v>
      </c>
      <c r="W91" s="65">
        <v>0</v>
      </c>
      <c r="X91" s="65">
        <v>71824</v>
      </c>
      <c r="Y91" s="65">
        <v>0</v>
      </c>
      <c r="Z91" s="65">
        <v>0</v>
      </c>
      <c r="AA91" s="51">
        <v>74</v>
      </c>
      <c r="AB91" s="102">
        <v>0</v>
      </c>
      <c r="AC91" s="81">
        <f t="shared" si="6"/>
        <v>0</v>
      </c>
      <c r="AD91" s="82">
        <f t="shared" si="7"/>
        <v>0</v>
      </c>
      <c r="AE91" s="218">
        <v>9.7564017051422151E-4</v>
      </c>
      <c r="AF91">
        <v>55</v>
      </c>
      <c r="AH91" t="str">
        <f t="shared" si="5"/>
        <v>Asarganj</v>
      </c>
      <c r="AJ91" s="72">
        <v>0</v>
      </c>
      <c r="AK91" s="72"/>
      <c r="AL91" s="72"/>
      <c r="AM91" s="72"/>
    </row>
    <row r="92" spans="1:39" x14ac:dyDescent="0.25">
      <c r="A92" s="37" t="s">
        <v>62</v>
      </c>
      <c r="B92" s="66" t="s">
        <v>1566</v>
      </c>
      <c r="C92" s="47">
        <v>1003</v>
      </c>
      <c r="D92" s="47" t="s">
        <v>139</v>
      </c>
      <c r="E92" s="41">
        <v>10030007</v>
      </c>
      <c r="F92" s="46" t="s">
        <v>141</v>
      </c>
      <c r="G92" s="39" t="s">
        <v>635</v>
      </c>
      <c r="H92" s="48" t="s">
        <v>99</v>
      </c>
      <c r="I92" s="52">
        <v>593.5</v>
      </c>
      <c r="J92" s="49">
        <v>17633.73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50">
        <v>17633.73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17633.73</v>
      </c>
      <c r="AA92" s="51">
        <v>0</v>
      </c>
      <c r="AB92" s="102">
        <v>0</v>
      </c>
      <c r="AC92" s="81">
        <f t="shared" si="6"/>
        <v>63.285332603201326</v>
      </c>
      <c r="AD92" s="82">
        <f t="shared" si="7"/>
        <v>84.785714285714292</v>
      </c>
      <c r="AE92" s="218">
        <v>0</v>
      </c>
      <c r="AF92">
        <v>0</v>
      </c>
      <c r="AH92" t="str">
        <f t="shared" si="5"/>
        <v>Asarganj</v>
      </c>
      <c r="AJ92" s="72">
        <v>0</v>
      </c>
      <c r="AK92" s="72"/>
      <c r="AL92" s="72"/>
      <c r="AM92" s="72"/>
    </row>
    <row r="93" spans="1:39" x14ac:dyDescent="0.25">
      <c r="A93" s="37" t="s">
        <v>62</v>
      </c>
      <c r="B93" s="66" t="s">
        <v>1566</v>
      </c>
      <c r="C93" s="47">
        <v>1003</v>
      </c>
      <c r="D93" s="47" t="s">
        <v>139</v>
      </c>
      <c r="E93" s="41">
        <v>10030009</v>
      </c>
      <c r="F93" s="46" t="s">
        <v>143</v>
      </c>
      <c r="G93" s="39" t="s">
        <v>635</v>
      </c>
      <c r="H93" s="48" t="s">
        <v>99</v>
      </c>
      <c r="I93" s="52">
        <v>5950</v>
      </c>
      <c r="J93" s="49">
        <v>215483.5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50">
        <v>215483.5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215483.5</v>
      </c>
      <c r="AA93" s="51">
        <v>0</v>
      </c>
      <c r="AB93" s="102">
        <v>0</v>
      </c>
      <c r="AC93" s="81">
        <f t="shared" si="6"/>
        <v>0</v>
      </c>
      <c r="AD93" s="82">
        <f t="shared" si="7"/>
        <v>0</v>
      </c>
      <c r="AE93" s="218">
        <v>0</v>
      </c>
      <c r="AF93">
        <v>0</v>
      </c>
      <c r="AH93" t="str">
        <f t="shared" si="5"/>
        <v>Asarganj</v>
      </c>
      <c r="AJ93" s="72">
        <v>0</v>
      </c>
      <c r="AK93" s="72"/>
      <c r="AL93" s="72"/>
      <c r="AM93" s="72"/>
    </row>
    <row r="94" spans="1:39" x14ac:dyDescent="0.25">
      <c r="A94" s="37" t="s">
        <v>62</v>
      </c>
      <c r="B94" s="66" t="s">
        <v>1566</v>
      </c>
      <c r="C94" s="47">
        <v>1003</v>
      </c>
      <c r="D94" s="47" t="s">
        <v>139</v>
      </c>
      <c r="E94" s="41">
        <v>10030010</v>
      </c>
      <c r="F94" s="46" t="s">
        <v>144</v>
      </c>
      <c r="G94" s="39" t="s">
        <v>93</v>
      </c>
      <c r="H94" s="48" t="s">
        <v>94</v>
      </c>
      <c r="I94" s="52">
        <v>352.60000000000008</v>
      </c>
      <c r="J94" s="49">
        <v>11998.1</v>
      </c>
      <c r="K94" s="65">
        <v>389</v>
      </c>
      <c r="L94" s="65">
        <v>16886.273976</v>
      </c>
      <c r="M94" s="65">
        <v>0</v>
      </c>
      <c r="N94" s="65">
        <v>0</v>
      </c>
      <c r="O94" s="65">
        <v>389</v>
      </c>
      <c r="P94" s="65">
        <v>16886.273976</v>
      </c>
      <c r="Q94" s="50">
        <v>11998.1</v>
      </c>
      <c r="R94" s="65">
        <v>0</v>
      </c>
      <c r="S94" s="65">
        <v>0</v>
      </c>
      <c r="T94" s="65">
        <v>4888.173976</v>
      </c>
      <c r="U94" s="65">
        <v>0</v>
      </c>
      <c r="V94" s="65">
        <v>0</v>
      </c>
      <c r="W94" s="65">
        <v>0</v>
      </c>
      <c r="X94" s="65">
        <v>11998</v>
      </c>
      <c r="Y94" s="65">
        <v>0</v>
      </c>
      <c r="Z94" s="65">
        <v>0</v>
      </c>
      <c r="AA94" s="51">
        <v>0</v>
      </c>
      <c r="AB94" s="102">
        <v>0</v>
      </c>
      <c r="AC94" s="81">
        <f t="shared" si="6"/>
        <v>236.42313896766868</v>
      </c>
      <c r="AD94" s="82">
        <f t="shared" si="7"/>
        <v>50.371428571428581</v>
      </c>
      <c r="AE94" s="218">
        <v>-0.40741233828689544</v>
      </c>
      <c r="AF94">
        <v>3</v>
      </c>
      <c r="AH94" t="str">
        <f t="shared" si="5"/>
        <v>Asarganj</v>
      </c>
      <c r="AJ94" s="72">
        <v>0</v>
      </c>
      <c r="AK94" s="72"/>
      <c r="AL94" s="72"/>
      <c r="AM94" s="72"/>
    </row>
    <row r="95" spans="1:39" x14ac:dyDescent="0.25">
      <c r="A95" s="37" t="s">
        <v>62</v>
      </c>
      <c r="B95" s="66" t="s">
        <v>1566</v>
      </c>
      <c r="C95" s="47">
        <v>1003</v>
      </c>
      <c r="D95" s="47" t="s">
        <v>139</v>
      </c>
      <c r="E95" s="41">
        <v>10030011</v>
      </c>
      <c r="F95" s="46" t="s">
        <v>145</v>
      </c>
      <c r="G95" s="39" t="s">
        <v>93</v>
      </c>
      <c r="H95" s="48" t="s">
        <v>94</v>
      </c>
      <c r="I95" s="52">
        <v>1053.55</v>
      </c>
      <c r="J95" s="49">
        <v>40260.120000000003</v>
      </c>
      <c r="K95" s="65">
        <v>774.40000000000009</v>
      </c>
      <c r="L95" s="65">
        <v>29640.903208949996</v>
      </c>
      <c r="M95" s="65">
        <v>278.89999999999998</v>
      </c>
      <c r="N95" s="65">
        <v>10603.325065146</v>
      </c>
      <c r="O95" s="65">
        <v>1053.3000000000002</v>
      </c>
      <c r="P95" s="65">
        <v>40244.228274095993</v>
      </c>
      <c r="Q95" s="50">
        <v>40244.228274095993</v>
      </c>
      <c r="R95" s="65">
        <v>0</v>
      </c>
      <c r="S95" s="65">
        <v>246.043589946</v>
      </c>
      <c r="T95" s="65">
        <v>0</v>
      </c>
      <c r="U95" s="65">
        <v>0</v>
      </c>
      <c r="V95" s="65">
        <v>0</v>
      </c>
      <c r="W95" s="65">
        <v>0</v>
      </c>
      <c r="X95" s="65">
        <v>29641</v>
      </c>
      <c r="Y95" s="65">
        <v>10357</v>
      </c>
      <c r="Z95" s="65">
        <v>0</v>
      </c>
      <c r="AA95" s="51">
        <v>16</v>
      </c>
      <c r="AB95" s="102">
        <v>0</v>
      </c>
      <c r="AC95" s="81">
        <f t="shared" si="6"/>
        <v>0</v>
      </c>
      <c r="AD95" s="82">
        <f t="shared" si="7"/>
        <v>0</v>
      </c>
      <c r="AE95" s="218">
        <v>3.947262428430403E-4</v>
      </c>
      <c r="AF95">
        <v>13</v>
      </c>
      <c r="AH95" t="str">
        <f t="shared" si="5"/>
        <v>Asarganj</v>
      </c>
      <c r="AJ95" s="72">
        <v>0</v>
      </c>
      <c r="AK95" s="72"/>
      <c r="AL95" s="72"/>
      <c r="AM95" s="72"/>
    </row>
    <row r="96" spans="1:39" x14ac:dyDescent="0.25">
      <c r="A96" s="37" t="s">
        <v>62</v>
      </c>
      <c r="B96" s="66" t="s">
        <v>1566</v>
      </c>
      <c r="C96" s="47">
        <v>1003</v>
      </c>
      <c r="D96" s="47" t="s">
        <v>139</v>
      </c>
      <c r="E96" s="41">
        <v>10030012</v>
      </c>
      <c r="F96" s="46" t="s">
        <v>479</v>
      </c>
      <c r="G96" s="39" t="s">
        <v>635</v>
      </c>
      <c r="H96" s="48" t="s">
        <v>99</v>
      </c>
      <c r="I96" s="52">
        <v>355.00000000000011</v>
      </c>
      <c r="J96" s="49">
        <v>12976.65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50">
        <v>12976.65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12976.65</v>
      </c>
      <c r="AA96" s="51">
        <v>0</v>
      </c>
      <c r="AB96" s="102">
        <v>0</v>
      </c>
      <c r="AC96" s="81">
        <f t="shared" si="6"/>
        <v>252.2222112676055</v>
      </c>
      <c r="AD96" s="82">
        <f t="shared" si="7"/>
        <v>50.71428571428573</v>
      </c>
      <c r="AE96" s="218">
        <v>0</v>
      </c>
      <c r="AF96">
        <v>0</v>
      </c>
      <c r="AH96" t="str">
        <f t="shared" si="5"/>
        <v>Asarganj</v>
      </c>
      <c r="AJ96" s="72">
        <v>0</v>
      </c>
      <c r="AK96" s="72"/>
      <c r="AL96" s="72"/>
      <c r="AM96" s="72"/>
    </row>
    <row r="97" spans="1:39" x14ac:dyDescent="0.25">
      <c r="A97" s="37" t="s">
        <v>62</v>
      </c>
      <c r="B97" s="66" t="s">
        <v>1566</v>
      </c>
      <c r="C97" s="47">
        <v>1003</v>
      </c>
      <c r="D97" s="47" t="s">
        <v>139</v>
      </c>
      <c r="E97" s="41">
        <v>10030013</v>
      </c>
      <c r="F97" s="46" t="s">
        <v>146</v>
      </c>
      <c r="G97" s="39" t="s">
        <v>93</v>
      </c>
      <c r="H97" s="48" t="s">
        <v>94</v>
      </c>
      <c r="I97" s="52">
        <v>448.95</v>
      </c>
      <c r="J97" s="49">
        <v>21565.489999999998</v>
      </c>
      <c r="K97" s="65">
        <v>436.92000000000007</v>
      </c>
      <c r="L97" s="65">
        <v>22989.8327584945</v>
      </c>
      <c r="M97" s="65">
        <v>12.12</v>
      </c>
      <c r="N97" s="65">
        <v>570.60015783520021</v>
      </c>
      <c r="O97" s="65">
        <v>449.04000000000008</v>
      </c>
      <c r="P97" s="65">
        <v>23560.432916329701</v>
      </c>
      <c r="Q97" s="50">
        <v>21565.489999999998</v>
      </c>
      <c r="R97" s="65">
        <v>0</v>
      </c>
      <c r="S97" s="65">
        <v>570.60015783520021</v>
      </c>
      <c r="T97" s="65">
        <v>1994.9429163297027</v>
      </c>
      <c r="U97" s="65">
        <v>0</v>
      </c>
      <c r="V97" s="65">
        <v>0</v>
      </c>
      <c r="W97" s="65">
        <v>0</v>
      </c>
      <c r="X97" s="65">
        <v>20995</v>
      </c>
      <c r="Y97" s="65">
        <v>0</v>
      </c>
      <c r="Z97" s="65">
        <v>0</v>
      </c>
      <c r="AA97" s="51">
        <v>0</v>
      </c>
      <c r="AB97" s="102" t="s">
        <v>68</v>
      </c>
      <c r="AC97" s="81">
        <f t="shared" si="6"/>
        <v>241.18571174963805</v>
      </c>
      <c r="AD97" s="82">
        <f t="shared" si="7"/>
        <v>64.135714285714286</v>
      </c>
      <c r="AE97" s="218">
        <v>-9.2506264236504848E-2</v>
      </c>
      <c r="AF97">
        <v>10</v>
      </c>
      <c r="AH97" t="str">
        <f t="shared" si="5"/>
        <v>Asarganj</v>
      </c>
      <c r="AJ97" s="72">
        <v>0</v>
      </c>
      <c r="AK97" s="72"/>
      <c r="AL97" s="72"/>
      <c r="AM97" s="72"/>
    </row>
    <row r="98" spans="1:39" x14ac:dyDescent="0.25">
      <c r="A98" s="37" t="s">
        <v>62</v>
      </c>
      <c r="B98" s="66" t="s">
        <v>1566</v>
      </c>
      <c r="C98" s="47">
        <v>1003</v>
      </c>
      <c r="D98" s="47" t="s">
        <v>139</v>
      </c>
      <c r="E98" s="41">
        <v>10030015</v>
      </c>
      <c r="F98" s="46" t="s">
        <v>147</v>
      </c>
      <c r="G98" s="39" t="s">
        <v>93</v>
      </c>
      <c r="H98" s="48" t="s">
        <v>94</v>
      </c>
      <c r="I98" s="52">
        <v>230.39999999999995</v>
      </c>
      <c r="J98" s="49">
        <v>8604.41</v>
      </c>
      <c r="K98" s="65">
        <v>235.07999999999998</v>
      </c>
      <c r="L98" s="65">
        <v>8096.7638372543997</v>
      </c>
      <c r="M98" s="65">
        <v>9.6900000000000013</v>
      </c>
      <c r="N98" s="65">
        <v>353.15503587540002</v>
      </c>
      <c r="O98" s="65">
        <v>244.76999999999998</v>
      </c>
      <c r="P98" s="65">
        <v>8449.9188731298</v>
      </c>
      <c r="Q98" s="50">
        <v>8449.9188731298</v>
      </c>
      <c r="R98" s="65">
        <v>0</v>
      </c>
      <c r="S98" s="65">
        <v>353.15503587540002</v>
      </c>
      <c r="T98" s="65">
        <v>0</v>
      </c>
      <c r="U98" s="65">
        <v>0</v>
      </c>
      <c r="V98" s="65">
        <v>0</v>
      </c>
      <c r="W98" s="65">
        <v>0</v>
      </c>
      <c r="X98" s="65">
        <v>8097</v>
      </c>
      <c r="Y98" s="65">
        <v>0</v>
      </c>
      <c r="Z98" s="65">
        <v>0</v>
      </c>
      <c r="AA98" s="51">
        <v>154</v>
      </c>
      <c r="AB98" s="102">
        <v>0</v>
      </c>
      <c r="AC98" s="81">
        <f t="shared" si="6"/>
        <v>350.74921319444451</v>
      </c>
      <c r="AD98" s="82">
        <f t="shared" si="7"/>
        <v>32.914285714285704</v>
      </c>
      <c r="AE98" s="218">
        <v>1.7954877425668918E-2</v>
      </c>
      <c r="AF98">
        <v>5</v>
      </c>
      <c r="AH98" t="str">
        <f t="shared" si="5"/>
        <v>Asarganj</v>
      </c>
      <c r="AJ98" s="72">
        <v>0</v>
      </c>
      <c r="AK98" s="72"/>
      <c r="AL98" s="72"/>
      <c r="AM98" s="72"/>
    </row>
    <row r="99" spans="1:39" x14ac:dyDescent="0.25">
      <c r="A99" s="37" t="s">
        <v>62</v>
      </c>
      <c r="B99" s="66" t="s">
        <v>1566</v>
      </c>
      <c r="C99" s="47">
        <v>1003</v>
      </c>
      <c r="D99" s="47" t="s">
        <v>139</v>
      </c>
      <c r="E99" s="41">
        <v>10030016</v>
      </c>
      <c r="F99" s="46" t="s">
        <v>148</v>
      </c>
      <c r="G99" s="39" t="s">
        <v>93</v>
      </c>
      <c r="H99" s="48" t="s">
        <v>94</v>
      </c>
      <c r="I99" s="52">
        <v>1025.3</v>
      </c>
      <c r="J99" s="49">
        <v>40275.539999999994</v>
      </c>
      <c r="K99" s="65">
        <v>181.70999999999998</v>
      </c>
      <c r="L99" s="65">
        <v>8147.0161951708487</v>
      </c>
      <c r="M99" s="65">
        <v>843.62</v>
      </c>
      <c r="N99" s="65">
        <v>33475.015121806144</v>
      </c>
      <c r="O99" s="65">
        <v>1025.33</v>
      </c>
      <c r="P99" s="65">
        <v>41622.031316976994</v>
      </c>
      <c r="Q99" s="50">
        <v>40275.539999999994</v>
      </c>
      <c r="R99" s="65">
        <v>0</v>
      </c>
      <c r="S99" s="65">
        <v>309.70986987600003</v>
      </c>
      <c r="T99" s="65">
        <v>1346.4913169770007</v>
      </c>
      <c r="U99" s="65">
        <v>0</v>
      </c>
      <c r="V99" s="65">
        <v>0</v>
      </c>
      <c r="W99" s="65">
        <v>0</v>
      </c>
      <c r="X99" s="65">
        <v>6801</v>
      </c>
      <c r="Y99" s="65">
        <v>33165</v>
      </c>
      <c r="Z99" s="65">
        <v>0</v>
      </c>
      <c r="AA99" s="51">
        <v>0</v>
      </c>
      <c r="AB99" s="102">
        <v>0</v>
      </c>
      <c r="AC99" s="81">
        <f t="shared" si="6"/>
        <v>0</v>
      </c>
      <c r="AD99" s="82">
        <f t="shared" si="7"/>
        <v>0</v>
      </c>
      <c r="AE99" s="218">
        <v>-3.3431986684151246E-2</v>
      </c>
      <c r="AF99">
        <v>13</v>
      </c>
      <c r="AH99" t="str">
        <f t="shared" si="5"/>
        <v>Asarganj</v>
      </c>
      <c r="AJ99" s="72">
        <v>0</v>
      </c>
      <c r="AK99" s="72"/>
      <c r="AL99" s="72"/>
      <c r="AM99" s="72"/>
    </row>
    <row r="100" spans="1:39" x14ac:dyDescent="0.25">
      <c r="A100" s="37" t="s">
        <v>62</v>
      </c>
      <c r="B100" s="66" t="s">
        <v>1566</v>
      </c>
      <c r="C100" s="47">
        <v>1003</v>
      </c>
      <c r="D100" s="47" t="s">
        <v>139</v>
      </c>
      <c r="E100" s="41">
        <v>10030017</v>
      </c>
      <c r="F100" s="46" t="s">
        <v>149</v>
      </c>
      <c r="G100" s="39" t="s">
        <v>93</v>
      </c>
      <c r="H100" s="48" t="s">
        <v>94</v>
      </c>
      <c r="I100" s="52">
        <v>955.3</v>
      </c>
      <c r="J100" s="49">
        <v>46924.010000000009</v>
      </c>
      <c r="K100" s="65">
        <v>958.57</v>
      </c>
      <c r="L100" s="65">
        <v>46180.322283159454</v>
      </c>
      <c r="M100" s="65">
        <v>19.419999999999998</v>
      </c>
      <c r="N100" s="65">
        <v>1023.4582069583</v>
      </c>
      <c r="O100" s="65">
        <v>977.99</v>
      </c>
      <c r="P100" s="65">
        <v>47203.780490117751</v>
      </c>
      <c r="Q100" s="50">
        <v>46924.010000000009</v>
      </c>
      <c r="R100" s="65">
        <v>0</v>
      </c>
      <c r="S100" s="65">
        <v>1023.4582069583</v>
      </c>
      <c r="T100" s="65">
        <v>279.77049011774216</v>
      </c>
      <c r="U100" s="65">
        <v>0</v>
      </c>
      <c r="V100" s="65">
        <v>0</v>
      </c>
      <c r="W100" s="65">
        <v>0</v>
      </c>
      <c r="X100" s="65">
        <v>45901</v>
      </c>
      <c r="Y100" s="65">
        <v>0</v>
      </c>
      <c r="Z100" s="65">
        <v>0</v>
      </c>
      <c r="AA100" s="51">
        <v>0</v>
      </c>
      <c r="AB100" s="102">
        <v>0</v>
      </c>
      <c r="AC100" s="81">
        <f t="shared" si="6"/>
        <v>0</v>
      </c>
      <c r="AD100" s="82">
        <f t="shared" si="7"/>
        <v>0</v>
      </c>
      <c r="AE100" s="218">
        <v>-5.9622033606621027E-3</v>
      </c>
      <c r="AF100">
        <v>35</v>
      </c>
      <c r="AH100" t="str">
        <f t="shared" si="5"/>
        <v>Asarganj</v>
      </c>
      <c r="AJ100" s="72">
        <v>0</v>
      </c>
      <c r="AK100" s="72"/>
      <c r="AL100" s="72"/>
      <c r="AM100" s="72"/>
    </row>
    <row r="101" spans="1:39" x14ac:dyDescent="0.25">
      <c r="A101" s="37" t="s">
        <v>62</v>
      </c>
      <c r="B101" s="66" t="s">
        <v>1566</v>
      </c>
      <c r="C101" s="47">
        <v>1003</v>
      </c>
      <c r="D101" s="47" t="s">
        <v>139</v>
      </c>
      <c r="E101" s="41">
        <v>10030018</v>
      </c>
      <c r="F101" s="46" t="s">
        <v>150</v>
      </c>
      <c r="G101" s="39" t="s">
        <v>93</v>
      </c>
      <c r="H101" s="48" t="s">
        <v>94</v>
      </c>
      <c r="I101" s="52">
        <v>776.05</v>
      </c>
      <c r="J101" s="49">
        <v>30388.450000000004</v>
      </c>
      <c r="K101" s="65">
        <v>841.29999999999984</v>
      </c>
      <c r="L101" s="65">
        <v>32983.7379190582</v>
      </c>
      <c r="M101" s="65">
        <v>27.63</v>
      </c>
      <c r="N101" s="65">
        <v>1054.3986644796</v>
      </c>
      <c r="O101" s="65">
        <v>868.92999999999984</v>
      </c>
      <c r="P101" s="65">
        <v>34038.136583537802</v>
      </c>
      <c r="Q101" s="50">
        <v>30388.450000000004</v>
      </c>
      <c r="R101" s="65">
        <v>0</v>
      </c>
      <c r="S101" s="65">
        <v>1054.3986644796</v>
      </c>
      <c r="T101" s="65">
        <v>3649.6865835377976</v>
      </c>
      <c r="U101" s="65">
        <v>0</v>
      </c>
      <c r="V101" s="65">
        <v>0</v>
      </c>
      <c r="W101" s="65">
        <v>0</v>
      </c>
      <c r="X101" s="65">
        <v>29334</v>
      </c>
      <c r="Y101" s="65">
        <v>0</v>
      </c>
      <c r="Z101" s="65">
        <v>0</v>
      </c>
      <c r="AA101" s="51">
        <v>0</v>
      </c>
      <c r="AB101" s="102" t="s">
        <v>68</v>
      </c>
      <c r="AC101" s="81">
        <f t="shared" si="6"/>
        <v>0</v>
      </c>
      <c r="AD101" s="82">
        <f t="shared" si="7"/>
        <v>0</v>
      </c>
      <c r="AE101" s="218">
        <v>-0.12010111024214125</v>
      </c>
      <c r="AF101">
        <v>22</v>
      </c>
      <c r="AH101" t="str">
        <f t="shared" si="5"/>
        <v>Asarganj</v>
      </c>
      <c r="AJ101" s="72">
        <v>0</v>
      </c>
      <c r="AK101" s="72"/>
      <c r="AL101" s="72"/>
      <c r="AM101" s="72"/>
    </row>
    <row r="102" spans="1:39" x14ac:dyDescent="0.25">
      <c r="A102" s="37" t="s">
        <v>62</v>
      </c>
      <c r="B102" s="66" t="s">
        <v>1566</v>
      </c>
      <c r="C102" s="47">
        <v>1003</v>
      </c>
      <c r="D102" s="47" t="s">
        <v>139</v>
      </c>
      <c r="E102" s="41">
        <v>10030019</v>
      </c>
      <c r="F102" s="46" t="s">
        <v>151</v>
      </c>
      <c r="G102" s="39" t="s">
        <v>93</v>
      </c>
      <c r="H102" s="48" t="s">
        <v>94</v>
      </c>
      <c r="I102" s="52">
        <v>611.64999999999986</v>
      </c>
      <c r="J102" s="49">
        <v>27071.779999999995</v>
      </c>
      <c r="K102" s="65">
        <v>580.64</v>
      </c>
      <c r="L102" s="65">
        <v>26743.098170393401</v>
      </c>
      <c r="M102" s="65">
        <v>25.240000000000002</v>
      </c>
      <c r="N102" s="65">
        <v>1367.8164343522201</v>
      </c>
      <c r="O102" s="65">
        <v>605.88</v>
      </c>
      <c r="P102" s="65">
        <v>28110.91460474562</v>
      </c>
      <c r="Q102" s="50">
        <v>27071.779999999995</v>
      </c>
      <c r="R102" s="65">
        <v>0</v>
      </c>
      <c r="S102" s="65">
        <v>1367.8164343522201</v>
      </c>
      <c r="T102" s="65">
        <v>1039.1346047456245</v>
      </c>
      <c r="U102" s="65">
        <v>0</v>
      </c>
      <c r="V102" s="65">
        <v>0</v>
      </c>
      <c r="W102" s="65">
        <v>0</v>
      </c>
      <c r="X102" s="65">
        <v>25704</v>
      </c>
      <c r="Y102" s="65">
        <v>0</v>
      </c>
      <c r="Z102" s="65">
        <v>0</v>
      </c>
      <c r="AA102" s="51">
        <v>0</v>
      </c>
      <c r="AB102" s="102">
        <v>0</v>
      </c>
      <c r="AC102" s="81">
        <f t="shared" si="6"/>
        <v>78.207856224965411</v>
      </c>
      <c r="AD102" s="82">
        <f t="shared" si="7"/>
        <v>87.378571428571405</v>
      </c>
      <c r="AE102" s="218">
        <v>-3.8384421147986007E-2</v>
      </c>
      <c r="AF102">
        <v>12</v>
      </c>
      <c r="AH102" t="str">
        <f t="shared" si="5"/>
        <v>Asarganj</v>
      </c>
      <c r="AJ102" s="72">
        <v>0</v>
      </c>
      <c r="AK102" s="72"/>
      <c r="AL102" s="72"/>
      <c r="AM102" s="72"/>
    </row>
    <row r="103" spans="1:39" x14ac:dyDescent="0.25">
      <c r="A103" s="37" t="s">
        <v>62</v>
      </c>
      <c r="B103" s="66" t="s">
        <v>1566</v>
      </c>
      <c r="C103" s="47">
        <v>1003</v>
      </c>
      <c r="D103" s="47" t="s">
        <v>139</v>
      </c>
      <c r="E103" s="41">
        <v>10030021</v>
      </c>
      <c r="F103" s="46" t="s">
        <v>152</v>
      </c>
      <c r="G103" s="39" t="s">
        <v>93</v>
      </c>
      <c r="H103" s="48" t="s">
        <v>94</v>
      </c>
      <c r="I103" s="52">
        <v>804.65</v>
      </c>
      <c r="J103" s="49">
        <v>30926.720000000001</v>
      </c>
      <c r="K103" s="65">
        <v>798.35</v>
      </c>
      <c r="L103" s="65">
        <v>32431.248866543669</v>
      </c>
      <c r="M103" s="65">
        <v>26.70999999999999</v>
      </c>
      <c r="N103" s="65">
        <v>1083.0530086199999</v>
      </c>
      <c r="O103" s="65">
        <v>825.06000000000006</v>
      </c>
      <c r="P103" s="65">
        <v>33514.30187516367</v>
      </c>
      <c r="Q103" s="50">
        <v>30926.720000000001</v>
      </c>
      <c r="R103" s="65">
        <v>0</v>
      </c>
      <c r="S103" s="65">
        <v>1083.0530086199999</v>
      </c>
      <c r="T103" s="65">
        <v>2587.5818751636689</v>
      </c>
      <c r="U103" s="65">
        <v>0</v>
      </c>
      <c r="V103" s="65">
        <v>0</v>
      </c>
      <c r="W103" s="65">
        <v>0</v>
      </c>
      <c r="X103" s="65">
        <v>29844</v>
      </c>
      <c r="Y103" s="65">
        <v>0</v>
      </c>
      <c r="Z103" s="65">
        <v>0</v>
      </c>
      <c r="AA103" s="51">
        <v>0</v>
      </c>
      <c r="AB103" s="102">
        <v>0</v>
      </c>
      <c r="AC103" s="81">
        <f t="shared" si="6"/>
        <v>0</v>
      </c>
      <c r="AD103" s="82">
        <f t="shared" si="7"/>
        <v>0</v>
      </c>
      <c r="AE103" s="218">
        <v>-8.3668163813157961E-2</v>
      </c>
      <c r="AF103">
        <v>11</v>
      </c>
      <c r="AH103" t="str">
        <f t="shared" si="5"/>
        <v>Asarganj</v>
      </c>
      <c r="AJ103" s="72">
        <v>0</v>
      </c>
      <c r="AK103" s="72"/>
      <c r="AL103" s="72"/>
      <c r="AM103" s="72"/>
    </row>
    <row r="104" spans="1:39" x14ac:dyDescent="0.25">
      <c r="A104" s="37" t="s">
        <v>62</v>
      </c>
      <c r="B104" s="66" t="s">
        <v>1566</v>
      </c>
      <c r="C104" s="47">
        <v>1003</v>
      </c>
      <c r="D104" s="47" t="s">
        <v>139</v>
      </c>
      <c r="E104" s="41">
        <v>10030022</v>
      </c>
      <c r="F104" s="46" t="s">
        <v>153</v>
      </c>
      <c r="G104" s="39" t="s">
        <v>93</v>
      </c>
      <c r="H104" s="48" t="s">
        <v>94</v>
      </c>
      <c r="I104" s="52">
        <v>1384.25</v>
      </c>
      <c r="J104" s="49">
        <v>54303.320000000014</v>
      </c>
      <c r="K104" s="65">
        <v>1272.8600000000001</v>
      </c>
      <c r="L104" s="65">
        <v>51054.610762129712</v>
      </c>
      <c r="M104" s="65">
        <v>94.2</v>
      </c>
      <c r="N104" s="65">
        <v>3722.7924366124798</v>
      </c>
      <c r="O104" s="65">
        <v>1367.0600000000002</v>
      </c>
      <c r="P104" s="65">
        <v>54777.403198742191</v>
      </c>
      <c r="Q104" s="50">
        <v>54303.320000000014</v>
      </c>
      <c r="R104" s="65">
        <v>0</v>
      </c>
      <c r="S104" s="65">
        <v>664.67957287248009</v>
      </c>
      <c r="T104" s="65">
        <v>474.08319874217705</v>
      </c>
      <c r="U104" s="65">
        <v>0</v>
      </c>
      <c r="V104" s="65">
        <v>0</v>
      </c>
      <c r="W104" s="65">
        <v>0</v>
      </c>
      <c r="X104" s="65">
        <v>50580</v>
      </c>
      <c r="Y104" s="65">
        <v>3059</v>
      </c>
      <c r="Z104" s="65">
        <v>0</v>
      </c>
      <c r="AA104" s="51">
        <v>0</v>
      </c>
      <c r="AB104" s="102">
        <v>0</v>
      </c>
      <c r="AC104" s="81">
        <f t="shared" si="6"/>
        <v>0</v>
      </c>
      <c r="AD104" s="82">
        <f t="shared" si="7"/>
        <v>0</v>
      </c>
      <c r="AE104" s="218">
        <v>-8.7302801880654243E-3</v>
      </c>
      <c r="AF104">
        <v>27</v>
      </c>
      <c r="AH104" t="str">
        <f t="shared" si="5"/>
        <v>Asarganj</v>
      </c>
      <c r="AJ104" s="72">
        <v>0</v>
      </c>
      <c r="AK104" s="72"/>
      <c r="AL104" s="72"/>
      <c r="AM104" s="72"/>
    </row>
    <row r="105" spans="1:39" x14ac:dyDescent="0.25">
      <c r="A105" s="37" t="s">
        <v>62</v>
      </c>
      <c r="B105" s="66" t="s">
        <v>1566</v>
      </c>
      <c r="C105" s="47">
        <v>1003</v>
      </c>
      <c r="D105" s="47" t="s">
        <v>139</v>
      </c>
      <c r="E105" s="41">
        <v>10030023</v>
      </c>
      <c r="F105" s="46" t="s">
        <v>154</v>
      </c>
      <c r="G105" s="39" t="s">
        <v>93</v>
      </c>
      <c r="H105" s="48" t="s">
        <v>94</v>
      </c>
      <c r="I105" s="52">
        <v>249.5</v>
      </c>
      <c r="J105" s="49">
        <v>9978.2200000000012</v>
      </c>
      <c r="K105" s="65">
        <v>236.65999999999997</v>
      </c>
      <c r="L105" s="65">
        <v>10199.378726146322</v>
      </c>
      <c r="M105" s="65">
        <v>11.290000000000003</v>
      </c>
      <c r="N105" s="65">
        <v>472.38789866400009</v>
      </c>
      <c r="O105" s="65">
        <v>247.94999999999996</v>
      </c>
      <c r="P105" s="65">
        <v>10671.766624810321</v>
      </c>
      <c r="Q105" s="50">
        <v>9978.2200000000012</v>
      </c>
      <c r="R105" s="65">
        <v>0</v>
      </c>
      <c r="S105" s="65">
        <v>472.38789866400009</v>
      </c>
      <c r="T105" s="65">
        <v>693.54662481032028</v>
      </c>
      <c r="U105" s="65">
        <v>0</v>
      </c>
      <c r="V105" s="65">
        <v>0</v>
      </c>
      <c r="W105" s="65">
        <v>0</v>
      </c>
      <c r="X105" s="65">
        <v>9506</v>
      </c>
      <c r="Y105" s="65">
        <v>0</v>
      </c>
      <c r="Z105" s="65">
        <v>0</v>
      </c>
      <c r="AA105" s="51">
        <v>0</v>
      </c>
      <c r="AB105" s="102">
        <v>0</v>
      </c>
      <c r="AC105" s="81">
        <f t="shared" si="6"/>
        <v>360.33572024048095</v>
      </c>
      <c r="AD105" s="82">
        <f t="shared" si="7"/>
        <v>35.642857142857146</v>
      </c>
      <c r="AE105" s="218">
        <v>-6.9506046650637102E-2</v>
      </c>
      <c r="AF105">
        <v>9</v>
      </c>
      <c r="AH105" t="str">
        <f t="shared" si="5"/>
        <v>Asarganj</v>
      </c>
      <c r="AJ105" s="72">
        <v>0</v>
      </c>
      <c r="AK105" s="72"/>
      <c r="AL105" s="72"/>
      <c r="AM105" s="72"/>
    </row>
    <row r="106" spans="1:39" x14ac:dyDescent="0.25">
      <c r="A106" s="37" t="s">
        <v>62</v>
      </c>
      <c r="B106" s="66" t="s">
        <v>1566</v>
      </c>
      <c r="C106" s="47">
        <v>1003</v>
      </c>
      <c r="D106" s="47" t="s">
        <v>139</v>
      </c>
      <c r="E106" s="41">
        <v>10030025</v>
      </c>
      <c r="F106" s="46" t="s">
        <v>155</v>
      </c>
      <c r="G106" s="39" t="s">
        <v>93</v>
      </c>
      <c r="H106" s="48" t="s">
        <v>94</v>
      </c>
      <c r="I106" s="52">
        <v>640.5</v>
      </c>
      <c r="J106" s="49">
        <v>23761.919999999998</v>
      </c>
      <c r="K106" s="65">
        <v>649.59</v>
      </c>
      <c r="L106" s="65">
        <v>23501.850301767601</v>
      </c>
      <c r="M106" s="65">
        <v>8.8000000000000007</v>
      </c>
      <c r="N106" s="65">
        <v>299.34134505000003</v>
      </c>
      <c r="O106" s="65">
        <v>658.39</v>
      </c>
      <c r="P106" s="65">
        <v>23801.191646817602</v>
      </c>
      <c r="Q106" s="50">
        <v>23761.919999999998</v>
      </c>
      <c r="R106" s="65">
        <v>0</v>
      </c>
      <c r="S106" s="65">
        <v>299.34134505000003</v>
      </c>
      <c r="T106" s="65">
        <v>39.271646817604051</v>
      </c>
      <c r="U106" s="65">
        <v>0</v>
      </c>
      <c r="V106" s="65">
        <v>0</v>
      </c>
      <c r="W106" s="65">
        <v>0</v>
      </c>
      <c r="X106" s="65">
        <v>23463</v>
      </c>
      <c r="Y106" s="65">
        <v>0</v>
      </c>
      <c r="Z106" s="65">
        <v>0</v>
      </c>
      <c r="AA106" s="51">
        <v>0</v>
      </c>
      <c r="AB106" s="102">
        <v>0</v>
      </c>
      <c r="AC106" s="81">
        <f t="shared" si="6"/>
        <v>44.147829508196722</v>
      </c>
      <c r="AD106" s="82">
        <f t="shared" si="7"/>
        <v>91.5</v>
      </c>
      <c r="AE106" s="218">
        <v>-1.6527135356740556E-3</v>
      </c>
      <c r="AF106">
        <v>7</v>
      </c>
      <c r="AH106" t="str">
        <f t="shared" si="5"/>
        <v>Asarganj</v>
      </c>
      <c r="AJ106" s="72">
        <v>0</v>
      </c>
      <c r="AK106" s="72"/>
      <c r="AL106" s="72"/>
      <c r="AM106" s="72"/>
    </row>
    <row r="107" spans="1:39" x14ac:dyDescent="0.25">
      <c r="A107" s="37" t="s">
        <v>62</v>
      </c>
      <c r="B107" s="66" t="s">
        <v>1566</v>
      </c>
      <c r="C107" s="47">
        <v>1003</v>
      </c>
      <c r="D107" s="47" t="s">
        <v>139</v>
      </c>
      <c r="E107" s="41">
        <v>10030026</v>
      </c>
      <c r="F107" s="46" t="s">
        <v>156</v>
      </c>
      <c r="G107" s="39" t="s">
        <v>93</v>
      </c>
      <c r="H107" s="48" t="s">
        <v>94</v>
      </c>
      <c r="I107" s="52">
        <v>1111.75</v>
      </c>
      <c r="J107" s="49">
        <v>41317.83</v>
      </c>
      <c r="K107" s="65">
        <v>1113.49</v>
      </c>
      <c r="L107" s="65">
        <v>42704.034776980174</v>
      </c>
      <c r="M107" s="65">
        <v>0</v>
      </c>
      <c r="N107" s="65">
        <v>0</v>
      </c>
      <c r="O107" s="65">
        <v>1113.49</v>
      </c>
      <c r="P107" s="65">
        <v>42704.034776980174</v>
      </c>
      <c r="Q107" s="50">
        <v>41317.83</v>
      </c>
      <c r="R107" s="65">
        <v>0</v>
      </c>
      <c r="S107" s="65">
        <v>0</v>
      </c>
      <c r="T107" s="65">
        <v>1386.204776980172</v>
      </c>
      <c r="U107" s="65">
        <v>0</v>
      </c>
      <c r="V107" s="65">
        <v>0</v>
      </c>
      <c r="W107" s="65">
        <v>0</v>
      </c>
      <c r="X107" s="65">
        <v>41318</v>
      </c>
      <c r="Y107" s="65">
        <v>0</v>
      </c>
      <c r="Z107" s="65">
        <v>0</v>
      </c>
      <c r="AA107" s="51">
        <v>0</v>
      </c>
      <c r="AB107" s="102">
        <v>0</v>
      </c>
      <c r="AC107" s="81">
        <f t="shared" si="6"/>
        <v>0</v>
      </c>
      <c r="AD107" s="82">
        <f t="shared" si="7"/>
        <v>0</v>
      </c>
      <c r="AE107" s="218">
        <v>-3.3549796225507779E-2</v>
      </c>
      <c r="AF107">
        <v>36</v>
      </c>
      <c r="AH107" t="str">
        <f t="shared" si="5"/>
        <v>Asarganj</v>
      </c>
      <c r="AJ107" s="72">
        <v>0</v>
      </c>
      <c r="AK107" s="72"/>
      <c r="AL107" s="72"/>
      <c r="AM107" s="72"/>
    </row>
    <row r="108" spans="1:39" x14ac:dyDescent="0.25">
      <c r="A108" s="37" t="s">
        <v>62</v>
      </c>
      <c r="B108" s="66" t="s">
        <v>1566</v>
      </c>
      <c r="C108" s="47">
        <v>1003</v>
      </c>
      <c r="D108" s="47" t="s">
        <v>139</v>
      </c>
      <c r="E108" s="43">
        <v>10030027</v>
      </c>
      <c r="F108" s="46" t="s">
        <v>157</v>
      </c>
      <c r="G108" s="39" t="s">
        <v>93</v>
      </c>
      <c r="H108" s="48" t="s">
        <v>94</v>
      </c>
      <c r="I108" s="52">
        <v>616.05000000000007</v>
      </c>
      <c r="J108" s="49">
        <v>22858.080000000002</v>
      </c>
      <c r="K108" s="65">
        <v>613.69999999999993</v>
      </c>
      <c r="L108" s="65">
        <v>23154.356650516002</v>
      </c>
      <c r="M108" s="65">
        <v>20.5</v>
      </c>
      <c r="N108" s="65">
        <v>785.92448880000006</v>
      </c>
      <c r="O108" s="65">
        <v>634.19999999999993</v>
      </c>
      <c r="P108" s="65">
        <v>23940.281139316001</v>
      </c>
      <c r="Q108" s="50">
        <v>22858.080000000002</v>
      </c>
      <c r="R108" s="65">
        <v>0</v>
      </c>
      <c r="S108" s="65">
        <v>785.92448880000006</v>
      </c>
      <c r="T108" s="65">
        <v>1082.2011393159992</v>
      </c>
      <c r="U108" s="65">
        <v>0</v>
      </c>
      <c r="V108" s="65">
        <v>0</v>
      </c>
      <c r="W108" s="65">
        <v>0</v>
      </c>
      <c r="X108" s="65">
        <v>22072</v>
      </c>
      <c r="Y108" s="65">
        <v>0</v>
      </c>
      <c r="Z108" s="65">
        <v>0</v>
      </c>
      <c r="AA108" s="51">
        <v>0</v>
      </c>
      <c r="AB108" s="102" t="s">
        <v>68</v>
      </c>
      <c r="AC108" s="81">
        <f t="shared" si="6"/>
        <v>62.298054248843393</v>
      </c>
      <c r="AD108" s="82">
        <f t="shared" si="7"/>
        <v>88.007142857142867</v>
      </c>
      <c r="AE108" s="218">
        <v>-4.7344358726367178E-2</v>
      </c>
      <c r="AF108">
        <v>37</v>
      </c>
      <c r="AH108" t="str">
        <f t="shared" si="5"/>
        <v>Asarganj</v>
      </c>
      <c r="AJ108" s="72">
        <v>0</v>
      </c>
      <c r="AK108" s="72"/>
      <c r="AL108" s="72"/>
      <c r="AM108" s="72"/>
    </row>
    <row r="109" spans="1:39" x14ac:dyDescent="0.25">
      <c r="A109" s="37" t="s">
        <v>62</v>
      </c>
      <c r="B109" s="66" t="s">
        <v>1566</v>
      </c>
      <c r="C109" s="47">
        <v>1003</v>
      </c>
      <c r="D109" s="47" t="s">
        <v>139</v>
      </c>
      <c r="E109" s="41">
        <v>10030028</v>
      </c>
      <c r="F109" s="46" t="s">
        <v>158</v>
      </c>
      <c r="G109" s="39" t="s">
        <v>93</v>
      </c>
      <c r="H109" s="48" t="s">
        <v>94</v>
      </c>
      <c r="I109" s="52">
        <v>852.79999999999984</v>
      </c>
      <c r="J109" s="49">
        <v>33503.64</v>
      </c>
      <c r="K109" s="65">
        <v>834.70000000000016</v>
      </c>
      <c r="L109" s="65">
        <v>32876.400286008393</v>
      </c>
      <c r="M109" s="65">
        <v>17.3</v>
      </c>
      <c r="N109" s="65">
        <v>707.53910436000012</v>
      </c>
      <c r="O109" s="65">
        <v>852.00000000000011</v>
      </c>
      <c r="P109" s="65">
        <v>33583.939390368396</v>
      </c>
      <c r="Q109" s="50">
        <v>33503.64</v>
      </c>
      <c r="R109" s="65">
        <v>0</v>
      </c>
      <c r="S109" s="65">
        <v>707.53910436000012</v>
      </c>
      <c r="T109" s="65">
        <v>80.299390368396416</v>
      </c>
      <c r="U109" s="65">
        <v>0</v>
      </c>
      <c r="V109" s="65">
        <v>0</v>
      </c>
      <c r="W109" s="65">
        <v>0</v>
      </c>
      <c r="X109" s="65">
        <v>32796</v>
      </c>
      <c r="Y109" s="65">
        <v>0</v>
      </c>
      <c r="Z109" s="65">
        <v>0</v>
      </c>
      <c r="AA109" s="51">
        <v>0</v>
      </c>
      <c r="AB109" s="102">
        <v>0</v>
      </c>
      <c r="AC109" s="81">
        <f t="shared" si="6"/>
        <v>0</v>
      </c>
      <c r="AD109" s="82">
        <f t="shared" si="7"/>
        <v>0</v>
      </c>
      <c r="AE109" s="218">
        <v>-2.3967363059176979E-3</v>
      </c>
      <c r="AF109">
        <v>36</v>
      </c>
      <c r="AH109" t="str">
        <f t="shared" si="5"/>
        <v>Asarganj</v>
      </c>
      <c r="AJ109" s="72">
        <v>0</v>
      </c>
      <c r="AK109" s="72"/>
      <c r="AL109" s="72"/>
      <c r="AM109" s="72"/>
    </row>
    <row r="110" spans="1:39" x14ac:dyDescent="0.25">
      <c r="A110" s="37" t="s">
        <v>62</v>
      </c>
      <c r="B110" s="66" t="s">
        <v>1566</v>
      </c>
      <c r="C110" s="47">
        <v>1003</v>
      </c>
      <c r="D110" s="47" t="s">
        <v>139</v>
      </c>
      <c r="E110" s="41">
        <v>10030031</v>
      </c>
      <c r="F110" s="46" t="s">
        <v>159</v>
      </c>
      <c r="G110" s="39" t="s">
        <v>93</v>
      </c>
      <c r="H110" s="48" t="s">
        <v>94</v>
      </c>
      <c r="I110" s="52">
        <v>866.25</v>
      </c>
      <c r="J110" s="49">
        <v>30733.629999999997</v>
      </c>
      <c r="K110" s="65">
        <v>845.38000000000022</v>
      </c>
      <c r="L110" s="65">
        <v>30851.575221829309</v>
      </c>
      <c r="M110" s="65">
        <v>0</v>
      </c>
      <c r="N110" s="65">
        <v>0</v>
      </c>
      <c r="O110" s="65">
        <v>845.38000000000022</v>
      </c>
      <c r="P110" s="65">
        <v>30851.575221829309</v>
      </c>
      <c r="Q110" s="50">
        <v>30733.629999999997</v>
      </c>
      <c r="R110" s="65">
        <v>0</v>
      </c>
      <c r="S110" s="65">
        <v>0</v>
      </c>
      <c r="T110" s="65">
        <v>117.94522182931178</v>
      </c>
      <c r="U110" s="65">
        <v>0</v>
      </c>
      <c r="V110" s="65">
        <v>0</v>
      </c>
      <c r="W110" s="65">
        <v>0</v>
      </c>
      <c r="X110" s="65">
        <v>30734</v>
      </c>
      <c r="Y110" s="65">
        <v>0</v>
      </c>
      <c r="Z110" s="65">
        <v>0</v>
      </c>
      <c r="AA110" s="51">
        <v>0</v>
      </c>
      <c r="AB110" s="102">
        <v>0</v>
      </c>
      <c r="AC110" s="81">
        <f t="shared" si="6"/>
        <v>0</v>
      </c>
      <c r="AD110" s="82">
        <f t="shared" si="7"/>
        <v>0</v>
      </c>
      <c r="AE110" s="218">
        <v>-3.8376599779886655E-3</v>
      </c>
      <c r="AF110">
        <v>22</v>
      </c>
      <c r="AH110" t="str">
        <f t="shared" si="5"/>
        <v>Asarganj</v>
      </c>
      <c r="AJ110" s="72">
        <v>0</v>
      </c>
      <c r="AK110" s="72"/>
      <c r="AL110" s="72"/>
      <c r="AM110" s="72"/>
    </row>
    <row r="111" spans="1:39" x14ac:dyDescent="0.25">
      <c r="A111" s="37" t="s">
        <v>62</v>
      </c>
      <c r="B111" s="66" t="s">
        <v>1566</v>
      </c>
      <c r="C111" s="47">
        <v>1003</v>
      </c>
      <c r="D111" s="47" t="s">
        <v>139</v>
      </c>
      <c r="E111" s="41">
        <v>10030032</v>
      </c>
      <c r="F111" s="46" t="s">
        <v>160</v>
      </c>
      <c r="G111" s="39" t="s">
        <v>93</v>
      </c>
      <c r="H111" s="48" t="s">
        <v>94</v>
      </c>
      <c r="I111" s="52">
        <v>1358.1</v>
      </c>
      <c r="J111" s="49">
        <v>50683.240000000005</v>
      </c>
      <c r="K111" s="65">
        <v>1220.1000000000001</v>
      </c>
      <c r="L111" s="65">
        <v>46639.287566896317</v>
      </c>
      <c r="M111" s="65">
        <v>14.8</v>
      </c>
      <c r="N111" s="65">
        <v>1157.9637683880001</v>
      </c>
      <c r="O111" s="65">
        <v>1234.9000000000001</v>
      </c>
      <c r="P111" s="65">
        <v>47797.251335284316</v>
      </c>
      <c r="Q111" s="50">
        <v>47797.251335284316</v>
      </c>
      <c r="R111" s="65">
        <v>0</v>
      </c>
      <c r="S111" s="65">
        <v>1157.9637683880001</v>
      </c>
      <c r="T111" s="65">
        <v>0</v>
      </c>
      <c r="U111" s="65">
        <v>0</v>
      </c>
      <c r="V111" s="65">
        <v>0</v>
      </c>
      <c r="W111" s="65">
        <v>0</v>
      </c>
      <c r="X111" s="65">
        <v>46639</v>
      </c>
      <c r="Y111" s="65">
        <v>0</v>
      </c>
      <c r="Z111" s="65">
        <v>0</v>
      </c>
      <c r="AA111" s="51">
        <v>2886</v>
      </c>
      <c r="AB111" s="102">
        <v>0</v>
      </c>
      <c r="AC111" s="81">
        <f t="shared" si="6"/>
        <v>0</v>
      </c>
      <c r="AD111" s="82">
        <f t="shared" si="7"/>
        <v>0</v>
      </c>
      <c r="AE111" s="218">
        <v>5.6941676670940702E-2</v>
      </c>
      <c r="AF111">
        <v>16</v>
      </c>
      <c r="AH111" t="str">
        <f t="shared" si="5"/>
        <v>Asarganj</v>
      </c>
      <c r="AJ111" s="72">
        <v>0</v>
      </c>
      <c r="AK111" s="72"/>
      <c r="AL111" s="72"/>
      <c r="AM111" s="72"/>
    </row>
    <row r="112" spans="1:39" x14ac:dyDescent="0.25">
      <c r="A112" s="37" t="s">
        <v>62</v>
      </c>
      <c r="B112" s="66" t="s">
        <v>1566</v>
      </c>
      <c r="C112" s="47">
        <v>1003</v>
      </c>
      <c r="D112" s="47" t="s">
        <v>139</v>
      </c>
      <c r="E112" s="41">
        <v>10030034</v>
      </c>
      <c r="F112" s="46" t="s">
        <v>161</v>
      </c>
      <c r="G112" s="39" t="s">
        <v>93</v>
      </c>
      <c r="H112" s="48" t="s">
        <v>94</v>
      </c>
      <c r="I112" s="52">
        <v>1280.3999999999999</v>
      </c>
      <c r="J112" s="49">
        <v>52025.200000000026</v>
      </c>
      <c r="K112" s="65">
        <v>1265.49</v>
      </c>
      <c r="L112" s="65">
        <v>50982.35481543481</v>
      </c>
      <c r="M112" s="65">
        <v>2.06</v>
      </c>
      <c r="N112" s="65">
        <v>78.416829216000011</v>
      </c>
      <c r="O112" s="65">
        <v>1267.55</v>
      </c>
      <c r="P112" s="65">
        <v>51060.771644650813</v>
      </c>
      <c r="Q112" s="50">
        <v>51060.771644650813</v>
      </c>
      <c r="R112" s="65">
        <v>0</v>
      </c>
      <c r="S112" s="65">
        <v>78.416829216000011</v>
      </c>
      <c r="T112" s="65">
        <v>0</v>
      </c>
      <c r="U112" s="65">
        <v>0</v>
      </c>
      <c r="V112" s="65">
        <v>0</v>
      </c>
      <c r="W112" s="65">
        <v>0</v>
      </c>
      <c r="X112" s="65">
        <v>50981</v>
      </c>
      <c r="Y112" s="65">
        <v>0</v>
      </c>
      <c r="Z112" s="65">
        <v>0</v>
      </c>
      <c r="AA112" s="51">
        <v>966</v>
      </c>
      <c r="AB112" s="102">
        <v>0</v>
      </c>
      <c r="AC112" s="81">
        <f t="shared" si="6"/>
        <v>0</v>
      </c>
      <c r="AD112" s="82">
        <f t="shared" si="7"/>
        <v>0</v>
      </c>
      <c r="AE112" s="218">
        <v>1.8537715479214165E-2</v>
      </c>
      <c r="AF112">
        <v>37</v>
      </c>
      <c r="AH112" t="str">
        <f t="shared" si="5"/>
        <v>Asarganj</v>
      </c>
      <c r="AJ112" s="72">
        <v>0</v>
      </c>
      <c r="AK112" s="72"/>
      <c r="AL112" s="72"/>
      <c r="AM112" s="72"/>
    </row>
    <row r="113" spans="1:39" x14ac:dyDescent="0.25">
      <c r="A113" s="37" t="s">
        <v>62</v>
      </c>
      <c r="B113" s="66" t="s">
        <v>1566</v>
      </c>
      <c r="C113" s="47">
        <v>1003</v>
      </c>
      <c r="D113" s="47" t="s">
        <v>139</v>
      </c>
      <c r="E113" s="41">
        <v>10030035</v>
      </c>
      <c r="F113" s="46" t="s">
        <v>162</v>
      </c>
      <c r="G113" s="39" t="s">
        <v>93</v>
      </c>
      <c r="H113" s="48" t="s">
        <v>94</v>
      </c>
      <c r="I113" s="52">
        <v>566.10000000000014</v>
      </c>
      <c r="J113" s="49">
        <v>22622.660000000003</v>
      </c>
      <c r="K113" s="65">
        <v>562.93000000000006</v>
      </c>
      <c r="L113" s="65">
        <v>22556.755243734351</v>
      </c>
      <c r="M113" s="65">
        <v>2.3899999999999997</v>
      </c>
      <c r="N113" s="65">
        <v>95.983782048000009</v>
      </c>
      <c r="O113" s="65">
        <v>565.32000000000005</v>
      </c>
      <c r="P113" s="65">
        <v>22652.73902578235</v>
      </c>
      <c r="Q113" s="50">
        <v>22622.660000000003</v>
      </c>
      <c r="R113" s="65">
        <v>0</v>
      </c>
      <c r="S113" s="65">
        <v>95.983782048000009</v>
      </c>
      <c r="T113" s="65">
        <v>30.079025782346434</v>
      </c>
      <c r="U113" s="65">
        <v>0</v>
      </c>
      <c r="V113" s="65">
        <v>0</v>
      </c>
      <c r="W113" s="65">
        <v>0</v>
      </c>
      <c r="X113" s="65">
        <v>22527</v>
      </c>
      <c r="Y113" s="65">
        <v>0</v>
      </c>
      <c r="Z113" s="65">
        <v>0</v>
      </c>
      <c r="AA113" s="51">
        <v>0</v>
      </c>
      <c r="AB113" s="102">
        <v>0</v>
      </c>
      <c r="AC113" s="81">
        <f t="shared" si="6"/>
        <v>107.01904871930739</v>
      </c>
      <c r="AD113" s="82">
        <f t="shared" si="7"/>
        <v>80.871428571428595</v>
      </c>
      <c r="AE113" s="218">
        <v>-1.3295972172302651E-3</v>
      </c>
      <c r="AF113">
        <v>5</v>
      </c>
      <c r="AH113" t="str">
        <f t="shared" si="5"/>
        <v>Asarganj</v>
      </c>
      <c r="AJ113" s="72">
        <v>0</v>
      </c>
      <c r="AK113" s="72"/>
      <c r="AL113" s="72"/>
      <c r="AM113" s="72"/>
    </row>
    <row r="114" spans="1:39" x14ac:dyDescent="0.25">
      <c r="A114" s="37" t="s">
        <v>62</v>
      </c>
      <c r="B114" s="66" t="s">
        <v>1566</v>
      </c>
      <c r="C114" s="47">
        <v>1003</v>
      </c>
      <c r="D114" s="47" t="s">
        <v>139</v>
      </c>
      <c r="E114" s="41">
        <v>10030037</v>
      </c>
      <c r="F114" s="46" t="s">
        <v>163</v>
      </c>
      <c r="G114" s="39" t="s">
        <v>93</v>
      </c>
      <c r="H114" s="48" t="s">
        <v>94</v>
      </c>
      <c r="I114" s="52">
        <v>1232.1999999999998</v>
      </c>
      <c r="J114" s="49">
        <v>44313.46</v>
      </c>
      <c r="K114" s="65">
        <v>1236.46</v>
      </c>
      <c r="L114" s="65">
        <v>45922.948665262396</v>
      </c>
      <c r="M114" s="65">
        <v>14.09</v>
      </c>
      <c r="N114" s="65">
        <v>548.7552999720001</v>
      </c>
      <c r="O114" s="65">
        <v>1250.55</v>
      </c>
      <c r="P114" s="65">
        <v>46471.703965234396</v>
      </c>
      <c r="Q114" s="50">
        <v>44313.46</v>
      </c>
      <c r="R114" s="65">
        <v>0</v>
      </c>
      <c r="S114" s="65">
        <v>548.7552999720001</v>
      </c>
      <c r="T114" s="65">
        <v>2158.2439652343965</v>
      </c>
      <c r="U114" s="65">
        <v>0</v>
      </c>
      <c r="V114" s="65">
        <v>0</v>
      </c>
      <c r="W114" s="65">
        <v>0</v>
      </c>
      <c r="X114" s="65">
        <v>43765</v>
      </c>
      <c r="Y114" s="65">
        <v>0</v>
      </c>
      <c r="Z114" s="65">
        <v>0</v>
      </c>
      <c r="AA114" s="51">
        <v>0</v>
      </c>
      <c r="AB114" s="102">
        <v>0</v>
      </c>
      <c r="AC114" s="81">
        <f t="shared" si="6"/>
        <v>0</v>
      </c>
      <c r="AD114" s="82">
        <f t="shared" si="7"/>
        <v>0</v>
      </c>
      <c r="AE114" s="218">
        <v>-4.8704027291806971E-2</v>
      </c>
      <c r="AF114">
        <v>16</v>
      </c>
      <c r="AH114" t="str">
        <f t="shared" si="5"/>
        <v>Asarganj</v>
      </c>
      <c r="AJ114" s="72">
        <v>0</v>
      </c>
      <c r="AK114" s="72"/>
      <c r="AL114" s="72"/>
      <c r="AM114" s="72"/>
    </row>
    <row r="115" spans="1:39" x14ac:dyDescent="0.25">
      <c r="A115" s="37" t="s">
        <v>62</v>
      </c>
      <c r="B115" s="66" t="s">
        <v>1566</v>
      </c>
      <c r="C115" s="47">
        <v>1003</v>
      </c>
      <c r="D115" s="47" t="s">
        <v>139</v>
      </c>
      <c r="E115" s="41">
        <v>10030038</v>
      </c>
      <c r="F115" s="46" t="s">
        <v>164</v>
      </c>
      <c r="G115" s="39" t="s">
        <v>93</v>
      </c>
      <c r="H115" s="48" t="s">
        <v>94</v>
      </c>
      <c r="I115" s="52">
        <v>419.9</v>
      </c>
      <c r="J115" s="49">
        <v>17513.499999999996</v>
      </c>
      <c r="K115" s="65">
        <v>423.97</v>
      </c>
      <c r="L115" s="65">
        <v>19276.047859616545</v>
      </c>
      <c r="M115" s="65">
        <v>0</v>
      </c>
      <c r="N115" s="65">
        <v>0</v>
      </c>
      <c r="O115" s="65">
        <v>423.97</v>
      </c>
      <c r="P115" s="65">
        <v>19276.047859616545</v>
      </c>
      <c r="Q115" s="50">
        <v>17513.499999999996</v>
      </c>
      <c r="R115" s="65">
        <v>0</v>
      </c>
      <c r="S115" s="65">
        <v>0</v>
      </c>
      <c r="T115" s="65">
        <v>1762.5478596165485</v>
      </c>
      <c r="U115" s="65">
        <v>0</v>
      </c>
      <c r="V115" s="65">
        <v>0</v>
      </c>
      <c r="W115" s="65">
        <v>0</v>
      </c>
      <c r="X115" s="65">
        <v>17513</v>
      </c>
      <c r="Y115" s="65">
        <v>0</v>
      </c>
      <c r="Z115" s="65">
        <v>0</v>
      </c>
      <c r="AA115" s="51">
        <v>0</v>
      </c>
      <c r="AB115" s="102" t="s">
        <v>68</v>
      </c>
      <c r="AC115" s="81">
        <f t="shared" si="6"/>
        <v>233.65236246725411</v>
      </c>
      <c r="AD115" s="82">
        <f t="shared" si="7"/>
        <v>59.98571428571428</v>
      </c>
      <c r="AE115" s="218">
        <v>-0.1006393844529391</v>
      </c>
      <c r="AF115">
        <v>14</v>
      </c>
      <c r="AH115" t="str">
        <f t="shared" si="5"/>
        <v>Asarganj</v>
      </c>
      <c r="AJ115" s="72">
        <v>0</v>
      </c>
      <c r="AK115" s="72"/>
      <c r="AL115" s="72"/>
      <c r="AM115" s="72"/>
    </row>
    <row r="116" spans="1:39" x14ac:dyDescent="0.25">
      <c r="A116" s="37" t="s">
        <v>62</v>
      </c>
      <c r="B116" s="66" t="s">
        <v>1566</v>
      </c>
      <c r="C116" s="47">
        <v>1003</v>
      </c>
      <c r="D116" s="47" t="s">
        <v>139</v>
      </c>
      <c r="E116" s="41">
        <v>10030040</v>
      </c>
      <c r="F116" s="46" t="s">
        <v>165</v>
      </c>
      <c r="G116" s="39" t="s">
        <v>635</v>
      </c>
      <c r="H116" s="48" t="s">
        <v>99</v>
      </c>
      <c r="I116" s="52">
        <v>841.65</v>
      </c>
      <c r="J116" s="49">
        <v>32812.03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50">
        <v>32812.03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32812.03</v>
      </c>
      <c r="AA116" s="51">
        <v>0</v>
      </c>
      <c r="AB116" s="102">
        <v>0</v>
      </c>
      <c r="AC116" s="81">
        <f t="shared" si="6"/>
        <v>0</v>
      </c>
      <c r="AD116" s="82">
        <f t="shared" si="7"/>
        <v>0</v>
      </c>
      <c r="AE116" s="218">
        <v>0</v>
      </c>
      <c r="AF116">
        <v>0</v>
      </c>
      <c r="AH116" t="str">
        <f t="shared" si="5"/>
        <v>Asarganj</v>
      </c>
      <c r="AJ116" s="72">
        <v>0</v>
      </c>
      <c r="AK116" s="72"/>
      <c r="AL116" s="72"/>
      <c r="AM116" s="72"/>
    </row>
    <row r="117" spans="1:39" x14ac:dyDescent="0.25">
      <c r="A117" s="37" t="s">
        <v>62</v>
      </c>
      <c r="B117" s="66" t="s">
        <v>1566</v>
      </c>
      <c r="C117" s="47">
        <v>1003</v>
      </c>
      <c r="D117" s="47" t="s">
        <v>139</v>
      </c>
      <c r="E117" s="41">
        <v>10030041</v>
      </c>
      <c r="F117" s="46" t="s">
        <v>166</v>
      </c>
      <c r="G117" s="39" t="s">
        <v>635</v>
      </c>
      <c r="H117" s="48" t="s">
        <v>99</v>
      </c>
      <c r="I117" s="52">
        <v>1127.6500000000001</v>
      </c>
      <c r="J117" s="49">
        <v>41488.580000000009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50">
        <v>41488.580000000009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41488.580000000009</v>
      </c>
      <c r="AA117" s="51">
        <v>0</v>
      </c>
      <c r="AB117" s="102">
        <v>0</v>
      </c>
      <c r="AC117" s="81">
        <f t="shared" si="6"/>
        <v>0</v>
      </c>
      <c r="AD117" s="82">
        <f t="shared" si="7"/>
        <v>0</v>
      </c>
      <c r="AE117" s="218">
        <v>0</v>
      </c>
      <c r="AF117">
        <v>0</v>
      </c>
      <c r="AH117" t="str">
        <f t="shared" si="5"/>
        <v>Asarganj</v>
      </c>
      <c r="AJ117" s="72">
        <v>0</v>
      </c>
      <c r="AK117" s="72"/>
      <c r="AL117" s="72"/>
      <c r="AM117" s="72"/>
    </row>
    <row r="118" spans="1:39" x14ac:dyDescent="0.25">
      <c r="A118" s="37" t="s">
        <v>62</v>
      </c>
      <c r="B118" s="66" t="s">
        <v>1566</v>
      </c>
      <c r="C118" s="47">
        <v>1003</v>
      </c>
      <c r="D118" s="47" t="s">
        <v>139</v>
      </c>
      <c r="E118" s="41">
        <v>10030042</v>
      </c>
      <c r="F118" s="46" t="s">
        <v>167</v>
      </c>
      <c r="G118" s="39" t="s">
        <v>635</v>
      </c>
      <c r="H118" s="48" t="s">
        <v>99</v>
      </c>
      <c r="I118" s="52">
        <v>700</v>
      </c>
      <c r="J118" s="49">
        <v>25351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50">
        <v>25351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25351</v>
      </c>
      <c r="AA118" s="51">
        <v>0</v>
      </c>
      <c r="AB118" s="102">
        <v>0</v>
      </c>
      <c r="AC118" s="81">
        <f t="shared" si="6"/>
        <v>0</v>
      </c>
      <c r="AD118" s="82">
        <f t="shared" si="7"/>
        <v>100</v>
      </c>
      <c r="AE118" s="218">
        <v>0</v>
      </c>
      <c r="AF118">
        <v>0</v>
      </c>
      <c r="AH118" t="str">
        <f t="shared" si="5"/>
        <v>Asarganj</v>
      </c>
      <c r="AJ118" s="72">
        <v>0</v>
      </c>
      <c r="AK118" s="72"/>
      <c r="AL118" s="72"/>
      <c r="AM118" s="72"/>
    </row>
    <row r="119" spans="1:39" x14ac:dyDescent="0.25">
      <c r="A119" s="37" t="s">
        <v>62</v>
      </c>
      <c r="B119" s="66" t="s">
        <v>1566</v>
      </c>
      <c r="C119" s="47">
        <v>1003</v>
      </c>
      <c r="D119" s="47" t="s">
        <v>139</v>
      </c>
      <c r="E119" s="41">
        <v>10030043</v>
      </c>
      <c r="F119" s="46" t="s">
        <v>168</v>
      </c>
      <c r="G119" s="39" t="s">
        <v>635</v>
      </c>
      <c r="H119" s="48" t="s">
        <v>99</v>
      </c>
      <c r="I119" s="52">
        <v>5740</v>
      </c>
      <c r="J119" s="49">
        <v>207878.19999999998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50">
        <v>207878.19999999998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207878.19999999998</v>
      </c>
      <c r="AA119" s="51">
        <v>0</v>
      </c>
      <c r="AB119" s="102">
        <v>0</v>
      </c>
      <c r="AC119" s="81">
        <f t="shared" si="6"/>
        <v>0</v>
      </c>
      <c r="AD119" s="82">
        <f t="shared" si="7"/>
        <v>0</v>
      </c>
      <c r="AE119" s="218">
        <v>0</v>
      </c>
      <c r="AF119">
        <v>0</v>
      </c>
      <c r="AH119" t="str">
        <f t="shared" si="5"/>
        <v>Asarganj</v>
      </c>
      <c r="AJ119" s="72">
        <v>0</v>
      </c>
      <c r="AK119" s="72"/>
      <c r="AL119" s="72"/>
      <c r="AM119" s="72"/>
    </row>
    <row r="120" spans="1:39" x14ac:dyDescent="0.25">
      <c r="A120" s="37" t="s">
        <v>62</v>
      </c>
      <c r="B120" s="66" t="s">
        <v>1566</v>
      </c>
      <c r="C120" s="47">
        <v>1003</v>
      </c>
      <c r="D120" s="47" t="s">
        <v>139</v>
      </c>
      <c r="E120" s="41">
        <v>10030044</v>
      </c>
      <c r="F120" s="46" t="s">
        <v>169</v>
      </c>
      <c r="G120" s="39" t="s">
        <v>635</v>
      </c>
      <c r="H120" s="48" t="s">
        <v>99</v>
      </c>
      <c r="I120" s="52">
        <v>5810</v>
      </c>
      <c r="J120" s="49">
        <v>210413.30000000002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50">
        <v>210413.30000000002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210413.30000000002</v>
      </c>
      <c r="AA120" s="51">
        <v>0</v>
      </c>
      <c r="AB120" s="102">
        <v>0</v>
      </c>
      <c r="AC120" s="81">
        <f t="shared" si="6"/>
        <v>0</v>
      </c>
      <c r="AD120" s="82">
        <f t="shared" si="7"/>
        <v>0</v>
      </c>
      <c r="AE120" s="218">
        <v>0</v>
      </c>
      <c r="AF120">
        <v>0</v>
      </c>
      <c r="AH120" t="str">
        <f t="shared" si="5"/>
        <v>Asarganj</v>
      </c>
      <c r="AJ120" s="72">
        <v>0</v>
      </c>
      <c r="AK120" s="72"/>
      <c r="AL120" s="72"/>
      <c r="AM120" s="72"/>
    </row>
    <row r="121" spans="1:39" x14ac:dyDescent="0.25">
      <c r="A121" s="37" t="s">
        <v>62</v>
      </c>
      <c r="B121" s="66" t="s">
        <v>1566</v>
      </c>
      <c r="C121" s="47">
        <v>1003</v>
      </c>
      <c r="D121" s="47" t="s">
        <v>139</v>
      </c>
      <c r="E121" s="41">
        <v>10030045</v>
      </c>
      <c r="F121" s="46" t="s">
        <v>170</v>
      </c>
      <c r="G121" s="39" t="s">
        <v>635</v>
      </c>
      <c r="H121" s="48" t="s">
        <v>99</v>
      </c>
      <c r="I121" s="52">
        <v>700</v>
      </c>
      <c r="J121" s="49">
        <v>25351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50">
        <v>25351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25351</v>
      </c>
      <c r="AA121" s="51">
        <v>0</v>
      </c>
      <c r="AB121" s="102">
        <v>0</v>
      </c>
      <c r="AC121" s="81">
        <f t="shared" si="6"/>
        <v>0</v>
      </c>
      <c r="AD121" s="82">
        <f t="shared" si="7"/>
        <v>100</v>
      </c>
      <c r="AE121" s="218">
        <v>0</v>
      </c>
      <c r="AF121">
        <v>0</v>
      </c>
      <c r="AH121" t="str">
        <f t="shared" si="5"/>
        <v>Asarganj</v>
      </c>
      <c r="AJ121" s="72">
        <v>0</v>
      </c>
      <c r="AK121" s="72"/>
      <c r="AL121" s="72"/>
      <c r="AM121" s="72"/>
    </row>
    <row r="122" spans="1:39" x14ac:dyDescent="0.25">
      <c r="A122" s="37" t="s">
        <v>62</v>
      </c>
      <c r="B122" s="66" t="s">
        <v>1566</v>
      </c>
      <c r="C122" s="47">
        <v>1003</v>
      </c>
      <c r="D122" s="47" t="s">
        <v>139</v>
      </c>
      <c r="E122" s="41">
        <v>10030046</v>
      </c>
      <c r="F122" s="46" t="s">
        <v>171</v>
      </c>
      <c r="G122" s="39" t="s">
        <v>635</v>
      </c>
      <c r="H122" s="48" t="s">
        <v>99</v>
      </c>
      <c r="I122" s="52">
        <v>700</v>
      </c>
      <c r="J122" s="49">
        <v>25351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50">
        <v>25351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25351</v>
      </c>
      <c r="AA122" s="51">
        <v>0</v>
      </c>
      <c r="AB122" s="102">
        <v>0</v>
      </c>
      <c r="AC122" s="81">
        <f t="shared" si="6"/>
        <v>0</v>
      </c>
      <c r="AD122" s="82">
        <f t="shared" si="7"/>
        <v>100</v>
      </c>
      <c r="AE122" s="218">
        <v>0</v>
      </c>
      <c r="AF122">
        <v>0</v>
      </c>
      <c r="AH122" t="str">
        <f t="shared" si="5"/>
        <v>Asarganj</v>
      </c>
      <c r="AJ122" s="72">
        <v>0</v>
      </c>
      <c r="AK122" s="72"/>
      <c r="AL122" s="72"/>
      <c r="AM122" s="72"/>
    </row>
    <row r="123" spans="1:39" x14ac:dyDescent="0.25">
      <c r="A123" s="37" t="s">
        <v>62</v>
      </c>
      <c r="B123" s="66" t="s">
        <v>1566</v>
      </c>
      <c r="C123" s="47">
        <v>1003</v>
      </c>
      <c r="D123" s="47" t="s">
        <v>139</v>
      </c>
      <c r="E123" s="41">
        <v>10030047</v>
      </c>
      <c r="F123" s="46" t="s">
        <v>172</v>
      </c>
      <c r="G123" s="39" t="s">
        <v>635</v>
      </c>
      <c r="H123" s="48" t="s">
        <v>99</v>
      </c>
      <c r="I123" s="52">
        <v>700</v>
      </c>
      <c r="J123" s="49">
        <v>25351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50">
        <v>25351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25351</v>
      </c>
      <c r="AA123" s="51">
        <v>0</v>
      </c>
      <c r="AB123" s="102">
        <v>0</v>
      </c>
      <c r="AC123" s="81">
        <f t="shared" si="6"/>
        <v>0</v>
      </c>
      <c r="AD123" s="82">
        <f t="shared" si="7"/>
        <v>100</v>
      </c>
      <c r="AE123" s="218">
        <v>0</v>
      </c>
      <c r="AF123">
        <v>0</v>
      </c>
      <c r="AH123" t="str">
        <f t="shared" si="5"/>
        <v>Asarganj</v>
      </c>
      <c r="AJ123" s="72">
        <v>0</v>
      </c>
      <c r="AK123" s="72"/>
      <c r="AL123" s="72"/>
      <c r="AM123" s="72"/>
    </row>
    <row r="124" spans="1:39" x14ac:dyDescent="0.25">
      <c r="A124" s="37" t="s">
        <v>62</v>
      </c>
      <c r="B124" s="66" t="s">
        <v>1566</v>
      </c>
      <c r="C124" s="47">
        <v>1003</v>
      </c>
      <c r="D124" s="47" t="s">
        <v>139</v>
      </c>
      <c r="E124" s="41">
        <v>10030048</v>
      </c>
      <c r="F124" s="46" t="s">
        <v>173</v>
      </c>
      <c r="G124" s="39" t="s">
        <v>635</v>
      </c>
      <c r="H124" s="48" t="s">
        <v>99</v>
      </c>
      <c r="I124" s="52">
        <v>700</v>
      </c>
      <c r="J124" s="49">
        <v>25351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50">
        <v>25351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25351</v>
      </c>
      <c r="AA124" s="51">
        <v>0</v>
      </c>
      <c r="AB124" s="102">
        <v>0</v>
      </c>
      <c r="AC124" s="81">
        <f t="shared" si="6"/>
        <v>0</v>
      </c>
      <c r="AD124" s="82">
        <f t="shared" si="7"/>
        <v>100</v>
      </c>
      <c r="AE124" s="218">
        <v>0</v>
      </c>
      <c r="AF124">
        <v>0</v>
      </c>
      <c r="AH124" t="str">
        <f t="shared" si="5"/>
        <v>Asarganj</v>
      </c>
      <c r="AJ124" s="72">
        <v>0</v>
      </c>
      <c r="AK124" s="72"/>
      <c r="AL124" s="72"/>
      <c r="AM124" s="72"/>
    </row>
    <row r="125" spans="1:39" x14ac:dyDescent="0.25">
      <c r="A125" s="37" t="s">
        <v>62</v>
      </c>
      <c r="B125" s="66" t="s">
        <v>1566</v>
      </c>
      <c r="C125" s="47">
        <v>1003</v>
      </c>
      <c r="D125" s="47" t="s">
        <v>139</v>
      </c>
      <c r="E125" s="41">
        <v>10030049</v>
      </c>
      <c r="F125" s="46" t="s">
        <v>174</v>
      </c>
      <c r="G125" s="39" t="s">
        <v>93</v>
      </c>
      <c r="H125" s="48" t="s">
        <v>94</v>
      </c>
      <c r="I125" s="52">
        <v>297.90000000000003</v>
      </c>
      <c r="J125" s="49">
        <v>9031.27</v>
      </c>
      <c r="K125" s="65">
        <v>293.8</v>
      </c>
      <c r="L125" s="65">
        <v>9155.8162305720016</v>
      </c>
      <c r="M125" s="65">
        <v>0</v>
      </c>
      <c r="N125" s="65">
        <v>0</v>
      </c>
      <c r="O125" s="65">
        <v>293.8</v>
      </c>
      <c r="P125" s="65">
        <v>9155.8162305720016</v>
      </c>
      <c r="Q125" s="50">
        <v>9031.27</v>
      </c>
      <c r="R125" s="65">
        <v>0</v>
      </c>
      <c r="S125" s="65">
        <v>0</v>
      </c>
      <c r="T125" s="65">
        <v>124.54623057200115</v>
      </c>
      <c r="U125" s="65">
        <v>0</v>
      </c>
      <c r="V125" s="65">
        <v>0</v>
      </c>
      <c r="W125" s="65">
        <v>0</v>
      </c>
      <c r="X125" s="65">
        <v>9031</v>
      </c>
      <c r="Y125" s="65">
        <v>0</v>
      </c>
      <c r="Z125" s="65">
        <v>0</v>
      </c>
      <c r="AA125" s="51">
        <v>0</v>
      </c>
      <c r="AB125" s="102" t="s">
        <v>68</v>
      </c>
      <c r="AC125" s="81">
        <f t="shared" si="6"/>
        <v>243.80487861698552</v>
      </c>
      <c r="AD125" s="82">
        <f t="shared" si="7"/>
        <v>42.557142857142864</v>
      </c>
      <c r="AE125" s="218">
        <v>-1.3790555544458436E-2</v>
      </c>
      <c r="AF125">
        <v>2</v>
      </c>
      <c r="AH125" t="str">
        <f t="shared" si="5"/>
        <v>Asarganj</v>
      </c>
      <c r="AJ125" s="72">
        <v>0</v>
      </c>
      <c r="AK125" s="72"/>
      <c r="AL125" s="72"/>
      <c r="AM125" s="72"/>
    </row>
    <row r="126" spans="1:39" x14ac:dyDescent="0.25">
      <c r="A126" s="37" t="s">
        <v>62</v>
      </c>
      <c r="B126" s="66" t="s">
        <v>1566</v>
      </c>
      <c r="C126" s="47">
        <v>1003</v>
      </c>
      <c r="D126" s="47" t="s">
        <v>139</v>
      </c>
      <c r="E126" s="41">
        <v>10030050</v>
      </c>
      <c r="F126" s="46" t="s">
        <v>175</v>
      </c>
      <c r="G126" s="39" t="s">
        <v>93</v>
      </c>
      <c r="H126" s="48" t="s">
        <v>94</v>
      </c>
      <c r="I126" s="52">
        <v>483.45000000000005</v>
      </c>
      <c r="J126" s="49">
        <v>16965.46</v>
      </c>
      <c r="K126" s="65">
        <v>501.16999999999996</v>
      </c>
      <c r="L126" s="65">
        <v>18049.093747700404</v>
      </c>
      <c r="M126" s="65">
        <v>1.79</v>
      </c>
      <c r="N126" s="65">
        <v>63.182315988000006</v>
      </c>
      <c r="O126" s="65">
        <v>502.96</v>
      </c>
      <c r="P126" s="65">
        <v>18112.276063688405</v>
      </c>
      <c r="Q126" s="50">
        <v>16965.46</v>
      </c>
      <c r="R126" s="65">
        <v>0</v>
      </c>
      <c r="S126" s="65">
        <v>63.182315988000006</v>
      </c>
      <c r="T126" s="65">
        <v>1146.8160636884058</v>
      </c>
      <c r="U126" s="65">
        <v>0</v>
      </c>
      <c r="V126" s="65">
        <v>0</v>
      </c>
      <c r="W126" s="65">
        <v>0</v>
      </c>
      <c r="X126" s="65">
        <v>16902</v>
      </c>
      <c r="Y126" s="65">
        <v>0</v>
      </c>
      <c r="Z126" s="65">
        <v>0</v>
      </c>
      <c r="AA126" s="51">
        <v>0</v>
      </c>
      <c r="AB126" s="102">
        <v>0</v>
      </c>
      <c r="AC126" s="81">
        <f t="shared" si="6"/>
        <v>151.9855357534388</v>
      </c>
      <c r="AD126" s="82">
        <f t="shared" si="7"/>
        <v>69.064285714285717</v>
      </c>
      <c r="AE126" s="218">
        <v>-6.7597109874321465E-2</v>
      </c>
      <c r="AF126">
        <v>11</v>
      </c>
      <c r="AH126" t="str">
        <f t="shared" si="5"/>
        <v>Asarganj</v>
      </c>
      <c r="AJ126" s="72">
        <v>0</v>
      </c>
      <c r="AK126" s="72"/>
      <c r="AL126" s="72"/>
      <c r="AM126" s="72"/>
    </row>
    <row r="127" spans="1:39" x14ac:dyDescent="0.25">
      <c r="A127" s="37" t="s">
        <v>62</v>
      </c>
      <c r="B127" s="66" t="s">
        <v>1566</v>
      </c>
      <c r="C127" s="47">
        <v>1003</v>
      </c>
      <c r="D127" s="47" t="s">
        <v>139</v>
      </c>
      <c r="E127" s="41">
        <v>10030051</v>
      </c>
      <c r="F127" s="46" t="s">
        <v>176</v>
      </c>
      <c r="G127" s="39" t="s">
        <v>93</v>
      </c>
      <c r="H127" s="48" t="s">
        <v>94</v>
      </c>
      <c r="I127" s="52">
        <v>1451.4</v>
      </c>
      <c r="J127" s="49">
        <v>51535.430000000008</v>
      </c>
      <c r="K127" s="65">
        <v>1444.5</v>
      </c>
      <c r="L127" s="65">
        <v>53155.047255274803</v>
      </c>
      <c r="M127" s="65">
        <v>65.87</v>
      </c>
      <c r="N127" s="65">
        <v>2376.0862630560005</v>
      </c>
      <c r="O127" s="65">
        <v>1510.37</v>
      </c>
      <c r="P127" s="65">
        <v>55531.133518330804</v>
      </c>
      <c r="Q127" s="50">
        <v>51535.430000000008</v>
      </c>
      <c r="R127" s="65">
        <v>0</v>
      </c>
      <c r="S127" s="65">
        <v>2376.0862630560005</v>
      </c>
      <c r="T127" s="65">
        <v>3995.7035183307962</v>
      </c>
      <c r="U127" s="65">
        <v>0</v>
      </c>
      <c r="V127" s="65">
        <v>0</v>
      </c>
      <c r="W127" s="65">
        <v>0</v>
      </c>
      <c r="X127" s="65">
        <v>49159</v>
      </c>
      <c r="Y127" s="65">
        <v>0</v>
      </c>
      <c r="Z127" s="65">
        <v>0</v>
      </c>
      <c r="AA127" s="51">
        <v>0</v>
      </c>
      <c r="AB127" s="102">
        <v>0</v>
      </c>
      <c r="AC127" s="81">
        <f t="shared" si="6"/>
        <v>0</v>
      </c>
      <c r="AD127" s="82">
        <f t="shared" si="7"/>
        <v>0</v>
      </c>
      <c r="AE127" s="218">
        <v>-7.7533136297316146E-2</v>
      </c>
      <c r="AF127">
        <v>7</v>
      </c>
      <c r="AH127" t="str">
        <f t="shared" si="5"/>
        <v>Asarganj</v>
      </c>
      <c r="AJ127" s="72">
        <v>0</v>
      </c>
      <c r="AK127" s="72"/>
      <c r="AL127" s="72"/>
      <c r="AM127" s="72"/>
    </row>
    <row r="128" spans="1:39" x14ac:dyDescent="0.25">
      <c r="A128" s="37" t="s">
        <v>62</v>
      </c>
      <c r="B128" s="66" t="s">
        <v>1566</v>
      </c>
      <c r="C128" s="47">
        <v>1003</v>
      </c>
      <c r="D128" s="47" t="s">
        <v>139</v>
      </c>
      <c r="E128" s="41">
        <v>10030053</v>
      </c>
      <c r="F128" s="46" t="s">
        <v>177</v>
      </c>
      <c r="G128" s="39" t="s">
        <v>93</v>
      </c>
      <c r="H128" s="48" t="s">
        <v>94</v>
      </c>
      <c r="I128" s="52">
        <v>155.95000000000002</v>
      </c>
      <c r="J128" s="49">
        <v>5897.5</v>
      </c>
      <c r="K128" s="65">
        <v>153.1</v>
      </c>
      <c r="L128" s="65">
        <v>5634.2597552560001</v>
      </c>
      <c r="M128" s="65">
        <v>0.65</v>
      </c>
      <c r="N128" s="65">
        <v>24.994898280000005</v>
      </c>
      <c r="O128" s="65">
        <v>153.75</v>
      </c>
      <c r="P128" s="65">
        <v>5659.2546535359998</v>
      </c>
      <c r="Q128" s="50">
        <v>5659.2546535359998</v>
      </c>
      <c r="R128" s="65">
        <v>0</v>
      </c>
      <c r="S128" s="65">
        <v>24.994898280000005</v>
      </c>
      <c r="T128" s="65">
        <v>0</v>
      </c>
      <c r="U128" s="65">
        <v>0</v>
      </c>
      <c r="V128" s="65">
        <v>0</v>
      </c>
      <c r="W128" s="65">
        <v>0</v>
      </c>
      <c r="X128" s="65">
        <v>5636</v>
      </c>
      <c r="Y128" s="65">
        <v>0</v>
      </c>
      <c r="Z128" s="65">
        <v>0</v>
      </c>
      <c r="AA128" s="51">
        <v>237</v>
      </c>
      <c r="AB128" s="102">
        <v>0</v>
      </c>
      <c r="AC128" s="81">
        <f t="shared" si="6"/>
        <v>411.48251042000635</v>
      </c>
      <c r="AD128" s="82">
        <f t="shared" si="7"/>
        <v>22.278571428571432</v>
      </c>
      <c r="AE128" s="218">
        <v>4.0397684860364602E-2</v>
      </c>
      <c r="AF128">
        <v>9</v>
      </c>
      <c r="AH128" t="str">
        <f t="shared" si="5"/>
        <v>Asarganj</v>
      </c>
      <c r="AJ128" s="72">
        <v>0</v>
      </c>
      <c r="AK128" s="72"/>
      <c r="AL128" s="72"/>
      <c r="AM128" s="72"/>
    </row>
    <row r="129" spans="1:39" x14ac:dyDescent="0.25">
      <c r="A129" s="37" t="s">
        <v>62</v>
      </c>
      <c r="B129" s="66" t="s">
        <v>1566</v>
      </c>
      <c r="C129" s="47">
        <v>1003</v>
      </c>
      <c r="D129" s="47" t="s">
        <v>139</v>
      </c>
      <c r="E129" s="41">
        <v>10030055</v>
      </c>
      <c r="F129" s="46" t="s">
        <v>178</v>
      </c>
      <c r="G129" s="39" t="s">
        <v>93</v>
      </c>
      <c r="H129" s="48" t="s">
        <v>94</v>
      </c>
      <c r="I129" s="52">
        <v>320.54999999999995</v>
      </c>
      <c r="J129" s="49">
        <v>13127.229999999998</v>
      </c>
      <c r="K129" s="65">
        <v>315.94</v>
      </c>
      <c r="L129" s="65">
        <v>13441.707503593712</v>
      </c>
      <c r="M129" s="65">
        <v>3.370000000000001</v>
      </c>
      <c r="N129" s="65">
        <v>141.39766620848002</v>
      </c>
      <c r="O129" s="65">
        <v>319.31</v>
      </c>
      <c r="P129" s="65">
        <v>13583.105169802193</v>
      </c>
      <c r="Q129" s="50">
        <v>13127.229999999998</v>
      </c>
      <c r="R129" s="65">
        <v>0</v>
      </c>
      <c r="S129" s="65">
        <v>141.39766620848002</v>
      </c>
      <c r="T129" s="65">
        <v>455.87516980219516</v>
      </c>
      <c r="U129" s="65">
        <v>0</v>
      </c>
      <c r="V129" s="65">
        <v>0</v>
      </c>
      <c r="W129" s="65">
        <v>0</v>
      </c>
      <c r="X129" s="65">
        <v>12986</v>
      </c>
      <c r="Y129" s="65">
        <v>0</v>
      </c>
      <c r="Z129" s="65">
        <v>0</v>
      </c>
      <c r="AA129" s="51">
        <v>0</v>
      </c>
      <c r="AB129" s="102">
        <v>0</v>
      </c>
      <c r="AC129" s="81">
        <f t="shared" si="6"/>
        <v>310.78630001559827</v>
      </c>
      <c r="AD129" s="82">
        <f t="shared" si="7"/>
        <v>45.792857142857137</v>
      </c>
      <c r="AE129" s="218">
        <v>-3.4727445912214175E-2</v>
      </c>
      <c r="AF129">
        <v>5</v>
      </c>
      <c r="AH129" t="str">
        <f t="shared" si="5"/>
        <v>Asarganj</v>
      </c>
      <c r="AJ129" s="72">
        <v>0</v>
      </c>
      <c r="AK129" s="72"/>
      <c r="AL129" s="72"/>
      <c r="AM129" s="72"/>
    </row>
    <row r="130" spans="1:39" x14ac:dyDescent="0.25">
      <c r="A130" s="37" t="s">
        <v>62</v>
      </c>
      <c r="B130" s="66" t="s">
        <v>1566</v>
      </c>
      <c r="C130" s="47">
        <v>1003</v>
      </c>
      <c r="D130" s="47" t="s">
        <v>139</v>
      </c>
      <c r="E130" s="41">
        <v>10030056</v>
      </c>
      <c r="F130" s="46" t="s">
        <v>179</v>
      </c>
      <c r="G130" s="39" t="s">
        <v>93</v>
      </c>
      <c r="H130" s="48" t="s">
        <v>94</v>
      </c>
      <c r="I130" s="52">
        <v>57.800000000000004</v>
      </c>
      <c r="J130" s="49">
        <v>1931.5500000000004</v>
      </c>
      <c r="K130" s="65">
        <v>171</v>
      </c>
      <c r="L130" s="65">
        <v>8580.9591750899999</v>
      </c>
      <c r="M130" s="65">
        <v>1</v>
      </c>
      <c r="N130" s="65">
        <v>54.93857088</v>
      </c>
      <c r="O130" s="65">
        <v>172</v>
      </c>
      <c r="P130" s="65">
        <v>8635.89774597</v>
      </c>
      <c r="Q130" s="50">
        <v>1931.5500000000004</v>
      </c>
      <c r="R130" s="65">
        <v>0</v>
      </c>
      <c r="S130" s="65">
        <v>54.93857088</v>
      </c>
      <c r="T130" s="65">
        <v>6704.3477459699998</v>
      </c>
      <c r="U130" s="65">
        <v>0</v>
      </c>
      <c r="V130" s="65">
        <v>0</v>
      </c>
      <c r="W130" s="65">
        <v>0</v>
      </c>
      <c r="X130" s="65">
        <v>1877</v>
      </c>
      <c r="Y130" s="65">
        <v>0</v>
      </c>
      <c r="Z130" s="65">
        <v>0</v>
      </c>
      <c r="AA130" s="51">
        <v>0</v>
      </c>
      <c r="AB130" s="102" t="s">
        <v>68</v>
      </c>
      <c r="AC130" s="81">
        <f t="shared" si="6"/>
        <v>429.21848096885822</v>
      </c>
      <c r="AD130" s="82">
        <f t="shared" si="7"/>
        <v>8.257142857142858</v>
      </c>
      <c r="AE130" s="218">
        <v>-3.4709677440242284</v>
      </c>
      <c r="AF130">
        <v>3</v>
      </c>
      <c r="AH130" t="str">
        <f t="shared" si="5"/>
        <v>Asarganj</v>
      </c>
      <c r="AJ130" s="72">
        <v>0</v>
      </c>
      <c r="AK130" s="72"/>
      <c r="AL130" s="72"/>
      <c r="AM130" s="72"/>
    </row>
    <row r="131" spans="1:39" x14ac:dyDescent="0.25">
      <c r="A131" s="37" t="s">
        <v>62</v>
      </c>
      <c r="B131" s="66" t="s">
        <v>1566</v>
      </c>
      <c r="C131" s="47">
        <v>1003</v>
      </c>
      <c r="D131" s="47" t="s">
        <v>139</v>
      </c>
      <c r="E131" s="41">
        <v>10030059</v>
      </c>
      <c r="F131" s="46" t="s">
        <v>180</v>
      </c>
      <c r="G131" s="39" t="s">
        <v>93</v>
      </c>
      <c r="H131" s="48" t="s">
        <v>94</v>
      </c>
      <c r="I131" s="52">
        <v>455.85</v>
      </c>
      <c r="J131" s="49">
        <v>18941.689999999999</v>
      </c>
      <c r="K131" s="65">
        <v>449.92000000000007</v>
      </c>
      <c r="L131" s="65">
        <v>19535.609848860811</v>
      </c>
      <c r="M131" s="65">
        <v>2.52</v>
      </c>
      <c r="N131" s="65">
        <v>98.131560912000012</v>
      </c>
      <c r="O131" s="65">
        <v>452.44000000000005</v>
      </c>
      <c r="P131" s="65">
        <v>19633.741409772811</v>
      </c>
      <c r="Q131" s="50">
        <v>18941.689999999999</v>
      </c>
      <c r="R131" s="65">
        <v>0</v>
      </c>
      <c r="S131" s="65">
        <v>98.131560912000012</v>
      </c>
      <c r="T131" s="65">
        <v>692.05140977281189</v>
      </c>
      <c r="U131" s="103">
        <v>0</v>
      </c>
      <c r="V131" s="65">
        <v>0</v>
      </c>
      <c r="W131" s="65">
        <v>0</v>
      </c>
      <c r="X131" s="65">
        <v>18844</v>
      </c>
      <c r="Y131" s="65">
        <v>0</v>
      </c>
      <c r="Z131" s="65">
        <v>0</v>
      </c>
      <c r="AA131" s="51">
        <v>0</v>
      </c>
      <c r="AB131" s="102">
        <v>0</v>
      </c>
      <c r="AC131" s="81">
        <f t="shared" si="6"/>
        <v>202.90067405944927</v>
      </c>
      <c r="AD131" s="82">
        <f t="shared" si="7"/>
        <v>65.121428571428581</v>
      </c>
      <c r="AE131" s="218">
        <v>-3.6535885117579894E-2</v>
      </c>
      <c r="AF131">
        <v>8</v>
      </c>
      <c r="AH131" t="str">
        <f t="shared" ref="AH131:AH194" si="8">TEXT(D131,"0000")</f>
        <v>Asarganj</v>
      </c>
      <c r="AJ131" s="72">
        <v>0</v>
      </c>
      <c r="AK131" s="72"/>
      <c r="AL131" s="72"/>
      <c r="AM131" s="72"/>
    </row>
    <row r="132" spans="1:39" x14ac:dyDescent="0.25">
      <c r="A132" s="37" t="s">
        <v>62</v>
      </c>
      <c r="B132" s="66" t="s">
        <v>1566</v>
      </c>
      <c r="C132" s="47">
        <v>1003</v>
      </c>
      <c r="D132" s="47" t="s">
        <v>139</v>
      </c>
      <c r="E132" s="41">
        <v>10030060</v>
      </c>
      <c r="F132" s="46" t="s">
        <v>181</v>
      </c>
      <c r="G132" s="39" t="s">
        <v>93</v>
      </c>
      <c r="H132" s="48" t="s">
        <v>94</v>
      </c>
      <c r="I132" s="52">
        <v>785.09999999999991</v>
      </c>
      <c r="J132" s="49">
        <v>32311.609999999997</v>
      </c>
      <c r="K132" s="65">
        <v>784.9</v>
      </c>
      <c r="L132" s="65">
        <v>32302.890314640004</v>
      </c>
      <c r="M132" s="65">
        <v>7</v>
      </c>
      <c r="N132" s="65">
        <v>287.50384080000003</v>
      </c>
      <c r="O132" s="65">
        <v>791.9</v>
      </c>
      <c r="P132" s="65">
        <v>32590.394155440004</v>
      </c>
      <c r="Q132" s="50">
        <v>32311.609999999997</v>
      </c>
      <c r="R132" s="65">
        <v>0</v>
      </c>
      <c r="S132" s="65">
        <v>287.50384080000003</v>
      </c>
      <c r="T132" s="65">
        <v>278.78415544000745</v>
      </c>
      <c r="U132" s="65">
        <v>0</v>
      </c>
      <c r="V132" s="65">
        <v>0</v>
      </c>
      <c r="W132" s="65">
        <v>0</v>
      </c>
      <c r="X132" s="65">
        <v>32024</v>
      </c>
      <c r="Y132" s="65">
        <v>0</v>
      </c>
      <c r="Z132" s="65">
        <v>0</v>
      </c>
      <c r="AA132" s="51">
        <v>0</v>
      </c>
      <c r="AB132" s="102">
        <v>0</v>
      </c>
      <c r="AC132" s="81">
        <f t="shared" ref="AC132:AC195" si="9">((IF(AD132=0,0,100-AD132))*7*(J132/I132))*2%</f>
        <v>0</v>
      </c>
      <c r="AD132" s="82">
        <f t="shared" ref="AD132:AD195" si="10">IF((I132/7)&gt;100,0,(I132/7))</f>
        <v>0</v>
      </c>
      <c r="AE132" s="218">
        <v>-8.6279871365124629E-3</v>
      </c>
      <c r="AF132">
        <v>2</v>
      </c>
      <c r="AH132" t="str">
        <f t="shared" si="8"/>
        <v>Asarganj</v>
      </c>
      <c r="AJ132" s="72">
        <v>0</v>
      </c>
      <c r="AK132" s="72"/>
      <c r="AL132" s="72"/>
      <c r="AM132" s="72"/>
    </row>
    <row r="133" spans="1:39" x14ac:dyDescent="0.25">
      <c r="A133" s="37" t="s">
        <v>62</v>
      </c>
      <c r="B133" s="66" t="s">
        <v>1566</v>
      </c>
      <c r="C133" s="47">
        <v>1003</v>
      </c>
      <c r="D133" s="47" t="s">
        <v>139</v>
      </c>
      <c r="E133" s="41">
        <v>10030061</v>
      </c>
      <c r="F133" s="46" t="s">
        <v>182</v>
      </c>
      <c r="G133" s="39" t="s">
        <v>93</v>
      </c>
      <c r="H133" s="48" t="s">
        <v>94</v>
      </c>
      <c r="I133" s="52">
        <v>701.74999999999989</v>
      </c>
      <c r="J133" s="49">
        <v>23534.910000000003</v>
      </c>
      <c r="K133" s="65">
        <v>706.61</v>
      </c>
      <c r="L133" s="65">
        <v>26011.417734244798</v>
      </c>
      <c r="M133" s="65">
        <v>1.0900000000000001</v>
      </c>
      <c r="N133" s="65">
        <v>40.71923420400001</v>
      </c>
      <c r="O133" s="65">
        <v>707.7</v>
      </c>
      <c r="P133" s="65">
        <v>26052.136968448798</v>
      </c>
      <c r="Q133" s="50">
        <v>23534.910000000003</v>
      </c>
      <c r="R133" s="65">
        <v>0</v>
      </c>
      <c r="S133" s="65">
        <v>40.71923420400001</v>
      </c>
      <c r="T133" s="65">
        <v>2517.2269684487947</v>
      </c>
      <c r="U133" s="65">
        <v>0</v>
      </c>
      <c r="V133" s="65">
        <v>0</v>
      </c>
      <c r="W133" s="65">
        <v>0</v>
      </c>
      <c r="X133" s="65">
        <v>23494</v>
      </c>
      <c r="Y133" s="65">
        <v>0</v>
      </c>
      <c r="Z133" s="65">
        <v>0</v>
      </c>
      <c r="AA133" s="51">
        <v>0</v>
      </c>
      <c r="AB133" s="102">
        <v>0</v>
      </c>
      <c r="AC133" s="81">
        <f t="shared" si="9"/>
        <v>0</v>
      </c>
      <c r="AD133" s="82">
        <f t="shared" si="10"/>
        <v>0</v>
      </c>
      <c r="AE133" s="218">
        <v>-0.10695715294635902</v>
      </c>
      <c r="AF133">
        <v>9</v>
      </c>
      <c r="AH133" t="str">
        <f t="shared" si="8"/>
        <v>Asarganj</v>
      </c>
      <c r="AJ133" s="72">
        <v>0</v>
      </c>
      <c r="AK133" s="72"/>
      <c r="AL133" s="72"/>
      <c r="AM133" s="72"/>
    </row>
    <row r="134" spans="1:39" x14ac:dyDescent="0.25">
      <c r="A134" s="37" t="s">
        <v>62</v>
      </c>
      <c r="B134" s="66" t="s">
        <v>1566</v>
      </c>
      <c r="C134" s="47">
        <v>1003</v>
      </c>
      <c r="D134" s="47" t="s">
        <v>139</v>
      </c>
      <c r="E134" s="41">
        <v>10030063</v>
      </c>
      <c r="F134" s="46" t="s">
        <v>448</v>
      </c>
      <c r="G134" s="39" t="s">
        <v>93</v>
      </c>
      <c r="H134" s="48" t="s">
        <v>94</v>
      </c>
      <c r="I134" s="52">
        <v>869.9</v>
      </c>
      <c r="J134" s="49">
        <v>33546.99</v>
      </c>
      <c r="K134" s="65">
        <v>924.31999999999982</v>
      </c>
      <c r="L134" s="65">
        <v>35324.532130064028</v>
      </c>
      <c r="M134" s="65">
        <v>4.4799999999999995</v>
      </c>
      <c r="N134" s="65">
        <v>165.3093805968</v>
      </c>
      <c r="O134" s="65">
        <v>928.79999999999984</v>
      </c>
      <c r="P134" s="65">
        <v>35489.84151066083</v>
      </c>
      <c r="Q134" s="50">
        <v>33546.99</v>
      </c>
      <c r="R134" s="65">
        <v>0</v>
      </c>
      <c r="S134" s="65">
        <v>165.3093805968</v>
      </c>
      <c r="T134" s="65">
        <v>1942.851510660832</v>
      </c>
      <c r="U134" s="65">
        <v>0</v>
      </c>
      <c r="V134" s="65">
        <v>0</v>
      </c>
      <c r="W134" s="65">
        <v>0</v>
      </c>
      <c r="X134" s="65">
        <v>33382</v>
      </c>
      <c r="Y134" s="65">
        <v>0</v>
      </c>
      <c r="Z134" s="65">
        <v>0</v>
      </c>
      <c r="AA134" s="51">
        <v>0</v>
      </c>
      <c r="AB134" s="102">
        <v>0</v>
      </c>
      <c r="AC134" s="81">
        <f t="shared" si="9"/>
        <v>0</v>
      </c>
      <c r="AD134" s="82">
        <f t="shared" si="10"/>
        <v>0</v>
      </c>
      <c r="AE134" s="218">
        <v>-5.7914331827112718E-2</v>
      </c>
      <c r="AF134">
        <v>7</v>
      </c>
      <c r="AH134" t="str">
        <f t="shared" si="8"/>
        <v>Asarganj</v>
      </c>
      <c r="AJ134" s="72">
        <v>0</v>
      </c>
      <c r="AK134" s="72"/>
      <c r="AL134" s="72"/>
      <c r="AM134" s="72"/>
    </row>
    <row r="135" spans="1:39" x14ac:dyDescent="0.25">
      <c r="A135" s="37" t="s">
        <v>62</v>
      </c>
      <c r="B135" s="66" t="s">
        <v>1566</v>
      </c>
      <c r="C135" s="47">
        <v>1003</v>
      </c>
      <c r="D135" s="47" t="s">
        <v>139</v>
      </c>
      <c r="E135" s="41">
        <v>10030064</v>
      </c>
      <c r="F135" s="46" t="s">
        <v>438</v>
      </c>
      <c r="G135" s="39" t="s">
        <v>93</v>
      </c>
      <c r="H135" s="48" t="s">
        <v>94</v>
      </c>
      <c r="I135" s="52">
        <v>873.7</v>
      </c>
      <c r="J135" s="49">
        <v>33322.92</v>
      </c>
      <c r="K135" s="65">
        <v>870.33</v>
      </c>
      <c r="L135" s="65">
        <v>37662.479581459411</v>
      </c>
      <c r="M135" s="65">
        <v>0</v>
      </c>
      <c r="N135" s="65">
        <v>0</v>
      </c>
      <c r="O135" s="65">
        <v>870.33</v>
      </c>
      <c r="P135" s="65">
        <v>37662.479581459411</v>
      </c>
      <c r="Q135" s="50">
        <v>33322.92</v>
      </c>
      <c r="R135" s="65">
        <v>0</v>
      </c>
      <c r="S135" s="65">
        <v>0</v>
      </c>
      <c r="T135" s="65">
        <v>4339.5595814594126</v>
      </c>
      <c r="U135" s="65">
        <v>0</v>
      </c>
      <c r="V135" s="65">
        <v>0</v>
      </c>
      <c r="W135" s="65">
        <v>0</v>
      </c>
      <c r="X135" s="65">
        <v>33323</v>
      </c>
      <c r="Y135" s="65">
        <v>0</v>
      </c>
      <c r="Z135" s="65">
        <v>0</v>
      </c>
      <c r="AA135" s="51">
        <v>0</v>
      </c>
      <c r="AB135" s="102">
        <v>0</v>
      </c>
      <c r="AC135" s="81">
        <f t="shared" si="9"/>
        <v>0</v>
      </c>
      <c r="AD135" s="82">
        <f t="shared" si="10"/>
        <v>0</v>
      </c>
      <c r="AE135" s="218">
        <v>-0.13022747050556832</v>
      </c>
      <c r="AF135">
        <v>3</v>
      </c>
      <c r="AH135" t="str">
        <f t="shared" si="8"/>
        <v>Asarganj</v>
      </c>
      <c r="AJ135" s="72">
        <v>0</v>
      </c>
      <c r="AK135" s="72"/>
      <c r="AL135" s="72"/>
      <c r="AM135" s="72"/>
    </row>
    <row r="136" spans="1:39" x14ac:dyDescent="0.25">
      <c r="A136" s="37" t="s">
        <v>62</v>
      </c>
      <c r="B136" s="66" t="s">
        <v>1566</v>
      </c>
      <c r="C136" s="47">
        <v>1003</v>
      </c>
      <c r="D136" s="47" t="s">
        <v>139</v>
      </c>
      <c r="E136" s="41">
        <v>10030065</v>
      </c>
      <c r="F136" s="46" t="s">
        <v>482</v>
      </c>
      <c r="G136" s="39" t="s">
        <v>93</v>
      </c>
      <c r="H136" s="48" t="s">
        <v>94</v>
      </c>
      <c r="I136" s="52">
        <v>236.3</v>
      </c>
      <c r="J136" s="49">
        <v>8286.42</v>
      </c>
      <c r="K136" s="65">
        <v>243.12</v>
      </c>
      <c r="L136" s="65">
        <v>8175.8050119107993</v>
      </c>
      <c r="M136" s="65">
        <v>3.09</v>
      </c>
      <c r="N136" s="65">
        <v>105.09022652040001</v>
      </c>
      <c r="O136" s="65">
        <v>246.21</v>
      </c>
      <c r="P136" s="65">
        <v>8280.8952384311997</v>
      </c>
      <c r="Q136" s="50">
        <v>8280.8952384311997</v>
      </c>
      <c r="R136" s="65">
        <v>0</v>
      </c>
      <c r="S136" s="65">
        <v>105.09022652040001</v>
      </c>
      <c r="T136" s="65">
        <v>0</v>
      </c>
      <c r="U136" s="65">
        <v>0</v>
      </c>
      <c r="V136" s="65">
        <v>0</v>
      </c>
      <c r="W136" s="65">
        <v>0</v>
      </c>
      <c r="X136" s="65">
        <v>8176</v>
      </c>
      <c r="Y136" s="65">
        <v>0</v>
      </c>
      <c r="Z136" s="65">
        <v>0</v>
      </c>
      <c r="AA136" s="51">
        <v>5</v>
      </c>
      <c r="AB136" s="102">
        <v>0</v>
      </c>
      <c r="AC136" s="81">
        <f t="shared" si="9"/>
        <v>325.21480778671173</v>
      </c>
      <c r="AD136" s="82">
        <f t="shared" si="10"/>
        <v>33.75714285714286</v>
      </c>
      <c r="AE136" s="218">
        <v>6.6672478208929626E-4</v>
      </c>
      <c r="AF136">
        <v>4</v>
      </c>
      <c r="AH136" t="str">
        <f t="shared" si="8"/>
        <v>Asarganj</v>
      </c>
      <c r="AJ136" s="72">
        <v>0</v>
      </c>
      <c r="AK136" s="72"/>
      <c r="AL136" s="72"/>
      <c r="AM136" s="72"/>
    </row>
    <row r="137" spans="1:39" x14ac:dyDescent="0.25">
      <c r="A137" s="37" t="s">
        <v>62</v>
      </c>
      <c r="B137" s="66" t="s">
        <v>1566</v>
      </c>
      <c r="C137" s="47">
        <v>1003</v>
      </c>
      <c r="D137" s="47" t="s">
        <v>139</v>
      </c>
      <c r="E137" s="41">
        <v>10030066</v>
      </c>
      <c r="F137" s="46" t="s">
        <v>483</v>
      </c>
      <c r="G137" s="39" t="s">
        <v>93</v>
      </c>
      <c r="H137" s="48" t="s">
        <v>94</v>
      </c>
      <c r="I137" s="52">
        <v>2104.9000000000005</v>
      </c>
      <c r="J137" s="49">
        <v>81259.610000000015</v>
      </c>
      <c r="K137" s="65">
        <v>1182.5899999999999</v>
      </c>
      <c r="L137" s="65">
        <v>49400.622661012778</v>
      </c>
      <c r="M137" s="65">
        <v>939.27</v>
      </c>
      <c r="N137" s="65">
        <v>37562.351707558802</v>
      </c>
      <c r="O137" s="65">
        <v>2121.8599999999997</v>
      </c>
      <c r="P137" s="65">
        <v>86962.97436857158</v>
      </c>
      <c r="Q137" s="50">
        <v>81259.610000000015</v>
      </c>
      <c r="R137" s="65">
        <v>0</v>
      </c>
      <c r="S137" s="65">
        <v>921.8459568582</v>
      </c>
      <c r="T137" s="65">
        <v>5703.3643685715651</v>
      </c>
      <c r="U137" s="65">
        <v>0</v>
      </c>
      <c r="V137" s="65">
        <v>0</v>
      </c>
      <c r="W137" s="65">
        <v>0</v>
      </c>
      <c r="X137" s="65">
        <v>43699</v>
      </c>
      <c r="Y137" s="65">
        <v>36639</v>
      </c>
      <c r="Z137" s="65">
        <v>0</v>
      </c>
      <c r="AA137" s="51">
        <v>0</v>
      </c>
      <c r="AB137" s="102">
        <v>0</v>
      </c>
      <c r="AC137" s="81">
        <f t="shared" si="9"/>
        <v>0</v>
      </c>
      <c r="AD137" s="82">
        <f t="shared" si="10"/>
        <v>0</v>
      </c>
      <c r="AE137" s="218">
        <v>-7.0186952270279962E-2</v>
      </c>
      <c r="AF137">
        <v>19</v>
      </c>
      <c r="AH137" t="str">
        <f t="shared" si="8"/>
        <v>Asarganj</v>
      </c>
      <c r="AJ137" s="72">
        <v>0</v>
      </c>
      <c r="AK137" s="72"/>
      <c r="AL137" s="72"/>
      <c r="AM137" s="72"/>
    </row>
    <row r="138" spans="1:39" x14ac:dyDescent="0.25">
      <c r="A138" s="37" t="s">
        <v>62</v>
      </c>
      <c r="B138" s="66" t="s">
        <v>1566</v>
      </c>
      <c r="C138" s="47">
        <v>1003</v>
      </c>
      <c r="D138" s="47" t="s">
        <v>139</v>
      </c>
      <c r="E138" s="41">
        <v>10030068</v>
      </c>
      <c r="F138" s="46" t="s">
        <v>1263</v>
      </c>
      <c r="G138" s="39" t="s">
        <v>93</v>
      </c>
      <c r="H138" s="48" t="s">
        <v>94</v>
      </c>
      <c r="I138" s="52">
        <v>1049.1500000000001</v>
      </c>
      <c r="J138" s="49">
        <v>38271.019999999997</v>
      </c>
      <c r="K138" s="65">
        <v>1069.48</v>
      </c>
      <c r="L138" s="65">
        <v>42351.184215945003</v>
      </c>
      <c r="M138" s="65">
        <v>42.96</v>
      </c>
      <c r="N138" s="65">
        <v>1751.3118416193299</v>
      </c>
      <c r="O138" s="65">
        <v>1112.44</v>
      </c>
      <c r="P138" s="65">
        <v>44102.496057564334</v>
      </c>
      <c r="Q138" s="50">
        <v>38271.019999999997</v>
      </c>
      <c r="R138" s="65">
        <v>0</v>
      </c>
      <c r="S138" s="65">
        <v>1751.3118416193299</v>
      </c>
      <c r="T138" s="65">
        <v>5831.4760575643377</v>
      </c>
      <c r="U138" s="65">
        <v>0</v>
      </c>
      <c r="V138" s="65">
        <v>0</v>
      </c>
      <c r="W138" s="65">
        <v>0</v>
      </c>
      <c r="X138" s="65">
        <v>36520</v>
      </c>
      <c r="Y138" s="65">
        <v>0</v>
      </c>
      <c r="Z138" s="65">
        <v>0</v>
      </c>
      <c r="AA138" s="51">
        <v>0</v>
      </c>
      <c r="AB138" s="102">
        <v>0</v>
      </c>
      <c r="AC138" s="81">
        <f t="shared" si="9"/>
        <v>0</v>
      </c>
      <c r="AD138" s="82">
        <f t="shared" si="10"/>
        <v>0</v>
      </c>
      <c r="AE138" s="218">
        <v>-0.15237315487186748</v>
      </c>
      <c r="AF138">
        <v>4</v>
      </c>
      <c r="AH138" t="str">
        <f t="shared" si="8"/>
        <v>Asarganj</v>
      </c>
      <c r="AJ138" s="72">
        <v>0</v>
      </c>
      <c r="AK138" s="72"/>
      <c r="AL138" s="72"/>
      <c r="AM138" s="72"/>
    </row>
    <row r="139" spans="1:39" x14ac:dyDescent="0.25">
      <c r="A139" s="37" t="s">
        <v>62</v>
      </c>
      <c r="B139" s="66" t="s">
        <v>1566</v>
      </c>
      <c r="C139" s="47">
        <v>1003</v>
      </c>
      <c r="D139" s="47" t="s">
        <v>139</v>
      </c>
      <c r="E139" s="41">
        <v>10030069</v>
      </c>
      <c r="F139" s="46" t="s">
        <v>524</v>
      </c>
      <c r="G139" s="39" t="s">
        <v>635</v>
      </c>
      <c r="H139" s="48" t="s">
        <v>99</v>
      </c>
      <c r="I139" s="52">
        <v>375.79999999999995</v>
      </c>
      <c r="J139" s="49">
        <v>12327.599999999999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50">
        <v>12327.599999999999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12327.599999999999</v>
      </c>
      <c r="AA139" s="51">
        <v>0</v>
      </c>
      <c r="AB139" s="102">
        <v>0</v>
      </c>
      <c r="AC139" s="81">
        <f t="shared" si="9"/>
        <v>212.69866524747206</v>
      </c>
      <c r="AD139" s="82">
        <f t="shared" si="10"/>
        <v>53.685714285714276</v>
      </c>
      <c r="AE139" s="218">
        <v>0</v>
      </c>
      <c r="AF139">
        <v>0</v>
      </c>
      <c r="AH139" t="str">
        <f t="shared" si="8"/>
        <v>Asarganj</v>
      </c>
      <c r="AJ139" s="72">
        <v>0</v>
      </c>
      <c r="AK139" s="72"/>
      <c r="AL139" s="72"/>
      <c r="AM139" s="72"/>
    </row>
    <row r="140" spans="1:39" x14ac:dyDescent="0.25">
      <c r="A140" s="37" t="s">
        <v>62</v>
      </c>
      <c r="B140" s="66" t="s">
        <v>1566</v>
      </c>
      <c r="C140" s="47">
        <v>1003</v>
      </c>
      <c r="D140" s="47" t="s">
        <v>139</v>
      </c>
      <c r="E140" s="41">
        <v>10030070</v>
      </c>
      <c r="F140" s="46" t="s">
        <v>571</v>
      </c>
      <c r="G140" s="39" t="s">
        <v>93</v>
      </c>
      <c r="H140" s="48" t="s">
        <v>94</v>
      </c>
      <c r="I140" s="52">
        <v>729.85</v>
      </c>
      <c r="J140" s="49">
        <v>29392.58</v>
      </c>
      <c r="K140" s="65">
        <v>720</v>
      </c>
      <c r="L140" s="65">
        <v>29719.814652000008</v>
      </c>
      <c r="M140" s="65">
        <v>14</v>
      </c>
      <c r="N140" s="65">
        <v>559.56364199999996</v>
      </c>
      <c r="O140" s="65">
        <v>734</v>
      </c>
      <c r="P140" s="65">
        <v>30279.378294000009</v>
      </c>
      <c r="Q140" s="50">
        <v>29392.58</v>
      </c>
      <c r="R140" s="65">
        <v>0</v>
      </c>
      <c r="S140" s="65">
        <v>559.56364199999996</v>
      </c>
      <c r="T140" s="65">
        <v>886.79829400000744</v>
      </c>
      <c r="U140" s="65">
        <v>0</v>
      </c>
      <c r="V140" s="65">
        <v>0</v>
      </c>
      <c r="W140" s="65">
        <v>0</v>
      </c>
      <c r="X140" s="65">
        <v>28833</v>
      </c>
      <c r="Y140" s="65">
        <v>0</v>
      </c>
      <c r="Z140" s="65">
        <v>0</v>
      </c>
      <c r="AA140" s="51">
        <v>0</v>
      </c>
      <c r="AB140" s="102">
        <v>0</v>
      </c>
      <c r="AC140" s="81">
        <f t="shared" si="9"/>
        <v>0</v>
      </c>
      <c r="AD140" s="82">
        <f t="shared" si="10"/>
        <v>0</v>
      </c>
      <c r="AE140" s="218">
        <v>-3.0170821819656777E-2</v>
      </c>
      <c r="AF140">
        <v>5</v>
      </c>
      <c r="AH140" t="str">
        <f t="shared" si="8"/>
        <v>Asarganj</v>
      </c>
      <c r="AJ140" s="72">
        <v>0</v>
      </c>
      <c r="AK140" s="72"/>
      <c r="AL140" s="72"/>
      <c r="AM140" s="72"/>
    </row>
    <row r="141" spans="1:39" x14ac:dyDescent="0.25">
      <c r="A141" s="37" t="s">
        <v>62</v>
      </c>
      <c r="B141" s="66" t="s">
        <v>1566</v>
      </c>
      <c r="C141" s="47">
        <v>1003</v>
      </c>
      <c r="D141" s="47" t="s">
        <v>139</v>
      </c>
      <c r="E141" s="41">
        <v>10030071</v>
      </c>
      <c r="F141" s="46" t="s">
        <v>572</v>
      </c>
      <c r="G141" s="39" t="s">
        <v>93</v>
      </c>
      <c r="H141" s="48" t="s">
        <v>94</v>
      </c>
      <c r="I141" s="52">
        <v>159.29999999999998</v>
      </c>
      <c r="J141" s="49">
        <v>6585.99</v>
      </c>
      <c r="K141" s="65">
        <v>169.9</v>
      </c>
      <c r="L141" s="65">
        <v>7433.5620584034805</v>
      </c>
      <c r="M141" s="65">
        <v>0</v>
      </c>
      <c r="N141" s="65">
        <v>0</v>
      </c>
      <c r="O141" s="65">
        <v>169.9</v>
      </c>
      <c r="P141" s="65">
        <v>7433.5620584034805</v>
      </c>
      <c r="Q141" s="50">
        <v>6585.99</v>
      </c>
      <c r="R141" s="65">
        <v>0</v>
      </c>
      <c r="S141" s="65">
        <v>0</v>
      </c>
      <c r="T141" s="65">
        <v>847.5720584034807</v>
      </c>
      <c r="U141" s="65">
        <v>0</v>
      </c>
      <c r="V141" s="65">
        <v>0</v>
      </c>
      <c r="W141" s="65">
        <v>0</v>
      </c>
      <c r="X141" s="65">
        <v>6586</v>
      </c>
      <c r="Y141" s="65">
        <v>0</v>
      </c>
      <c r="Z141" s="65">
        <v>0</v>
      </c>
      <c r="AA141" s="51">
        <v>0</v>
      </c>
      <c r="AB141" s="102" t="s">
        <v>68</v>
      </c>
      <c r="AC141" s="81">
        <f t="shared" si="9"/>
        <v>447.08660301318275</v>
      </c>
      <c r="AD141" s="82">
        <f t="shared" si="10"/>
        <v>22.757142857142856</v>
      </c>
      <c r="AE141" s="218">
        <v>-0.12869318939194876</v>
      </c>
      <c r="AF141">
        <v>7</v>
      </c>
      <c r="AH141" t="str">
        <f t="shared" si="8"/>
        <v>Asarganj</v>
      </c>
      <c r="AJ141" s="72">
        <v>0</v>
      </c>
      <c r="AK141" s="72"/>
      <c r="AL141" s="72"/>
      <c r="AM141" s="72"/>
    </row>
    <row r="142" spans="1:39" x14ac:dyDescent="0.25">
      <c r="A142" s="37" t="s">
        <v>62</v>
      </c>
      <c r="B142" s="66" t="s">
        <v>1566</v>
      </c>
      <c r="C142" s="47">
        <v>1003</v>
      </c>
      <c r="D142" s="47" t="s">
        <v>139</v>
      </c>
      <c r="E142" s="41">
        <v>10030072</v>
      </c>
      <c r="F142" s="46" t="s">
        <v>1125</v>
      </c>
      <c r="G142" s="39" t="s">
        <v>93</v>
      </c>
      <c r="H142" s="48" t="s">
        <v>94</v>
      </c>
      <c r="I142" s="52">
        <v>1021.4499999999999</v>
      </c>
      <c r="J142" s="49">
        <v>38764.820000000007</v>
      </c>
      <c r="K142" s="65">
        <v>1006.6700000000002</v>
      </c>
      <c r="L142" s="65">
        <v>38055.732550073306</v>
      </c>
      <c r="M142" s="65">
        <v>6.76</v>
      </c>
      <c r="N142" s="65">
        <v>266.71486248000002</v>
      </c>
      <c r="O142" s="65">
        <v>1013.4300000000002</v>
      </c>
      <c r="P142" s="65">
        <v>38322.447412553309</v>
      </c>
      <c r="Q142" s="50">
        <v>38322.447412553309</v>
      </c>
      <c r="R142" s="65">
        <v>0</v>
      </c>
      <c r="S142" s="65">
        <v>266.71486248000002</v>
      </c>
      <c r="T142" s="65">
        <v>0</v>
      </c>
      <c r="U142" s="65">
        <v>0</v>
      </c>
      <c r="V142" s="65">
        <v>0</v>
      </c>
      <c r="W142" s="65">
        <v>0</v>
      </c>
      <c r="X142" s="65">
        <v>38056</v>
      </c>
      <c r="Y142" s="65">
        <v>0</v>
      </c>
      <c r="Z142" s="65">
        <v>0</v>
      </c>
      <c r="AA142" s="51">
        <v>442</v>
      </c>
      <c r="AB142" s="102">
        <v>0</v>
      </c>
      <c r="AC142" s="81">
        <f t="shared" si="9"/>
        <v>0</v>
      </c>
      <c r="AD142" s="82">
        <f t="shared" si="10"/>
        <v>0</v>
      </c>
      <c r="AE142" s="218">
        <v>1.1411702348848727E-2</v>
      </c>
      <c r="AF142">
        <v>27</v>
      </c>
      <c r="AH142" t="str">
        <f t="shared" si="8"/>
        <v>Asarganj</v>
      </c>
      <c r="AJ142" s="72">
        <v>0</v>
      </c>
      <c r="AK142" s="72"/>
      <c r="AL142" s="72"/>
      <c r="AM142" s="72"/>
    </row>
    <row r="143" spans="1:39" x14ac:dyDescent="0.25">
      <c r="A143" s="37" t="s">
        <v>62</v>
      </c>
      <c r="B143" s="66" t="s">
        <v>1566</v>
      </c>
      <c r="C143" s="47">
        <v>1003</v>
      </c>
      <c r="D143" s="47" t="s">
        <v>139</v>
      </c>
      <c r="E143" s="41">
        <v>10030074</v>
      </c>
      <c r="F143" s="46" t="s">
        <v>1188</v>
      </c>
      <c r="G143" s="39" t="s">
        <v>93</v>
      </c>
      <c r="H143" s="48" t="s">
        <v>94</v>
      </c>
      <c r="I143" s="52">
        <v>1317.8000000000002</v>
      </c>
      <c r="J143" s="49">
        <v>51949.159999999996</v>
      </c>
      <c r="K143" s="65">
        <v>1372.1100000000001</v>
      </c>
      <c r="L143" s="65">
        <v>56607.538886093345</v>
      </c>
      <c r="M143" s="65">
        <v>1.78</v>
      </c>
      <c r="N143" s="65">
        <v>70.677423036000022</v>
      </c>
      <c r="O143" s="65">
        <v>1373.89</v>
      </c>
      <c r="P143" s="65">
        <v>56678.216309129348</v>
      </c>
      <c r="Q143" s="50">
        <v>51949.159999999996</v>
      </c>
      <c r="R143" s="65">
        <v>0</v>
      </c>
      <c r="S143" s="65">
        <v>70.677423036000022</v>
      </c>
      <c r="T143" s="65">
        <v>4729.0563091293516</v>
      </c>
      <c r="U143" s="65">
        <v>0</v>
      </c>
      <c r="V143" s="65">
        <v>0</v>
      </c>
      <c r="W143" s="65">
        <v>0</v>
      </c>
      <c r="X143" s="65">
        <v>51878</v>
      </c>
      <c r="Y143" s="65">
        <v>0</v>
      </c>
      <c r="Z143" s="65">
        <v>0</v>
      </c>
      <c r="AA143" s="51">
        <v>0</v>
      </c>
      <c r="AB143" s="102">
        <v>0</v>
      </c>
      <c r="AC143" s="81">
        <f t="shared" si="9"/>
        <v>0</v>
      </c>
      <c r="AD143" s="82">
        <f t="shared" si="10"/>
        <v>0</v>
      </c>
      <c r="AE143" s="218">
        <v>-9.1032392229813769E-2</v>
      </c>
      <c r="AF143">
        <v>4</v>
      </c>
      <c r="AH143" t="str">
        <f t="shared" si="8"/>
        <v>Asarganj</v>
      </c>
      <c r="AJ143" s="72">
        <v>0</v>
      </c>
      <c r="AK143" s="72"/>
      <c r="AL143" s="72"/>
      <c r="AM143" s="72"/>
    </row>
    <row r="144" spans="1:39" x14ac:dyDescent="0.25">
      <c r="A144" s="37" t="s">
        <v>62</v>
      </c>
      <c r="B144" s="66" t="s">
        <v>1566</v>
      </c>
      <c r="C144" s="47">
        <v>1003</v>
      </c>
      <c r="D144" s="47" t="s">
        <v>139</v>
      </c>
      <c r="E144" s="41">
        <v>10030075</v>
      </c>
      <c r="F144" s="46" t="s">
        <v>1155</v>
      </c>
      <c r="G144" s="39" t="s">
        <v>93</v>
      </c>
      <c r="H144" s="48" t="s">
        <v>94</v>
      </c>
      <c r="I144" s="52">
        <v>263.64999999999998</v>
      </c>
      <c r="J144" s="49">
        <v>10734.11</v>
      </c>
      <c r="K144" s="65">
        <v>286.20999999999998</v>
      </c>
      <c r="L144" s="65">
        <v>12097.535706116341</v>
      </c>
      <c r="M144" s="65">
        <v>0</v>
      </c>
      <c r="N144" s="65">
        <v>0</v>
      </c>
      <c r="O144" s="65">
        <v>286.20999999999998</v>
      </c>
      <c r="P144" s="65">
        <v>12097.535706116341</v>
      </c>
      <c r="Q144" s="50">
        <v>10734.11</v>
      </c>
      <c r="R144" s="65">
        <v>0</v>
      </c>
      <c r="S144" s="65">
        <v>0</v>
      </c>
      <c r="T144" s="65">
        <v>1363.4257061163407</v>
      </c>
      <c r="U144" s="65">
        <v>0</v>
      </c>
      <c r="V144" s="65">
        <v>0</v>
      </c>
      <c r="W144" s="65">
        <v>0</v>
      </c>
      <c r="X144" s="65">
        <v>10734</v>
      </c>
      <c r="Y144" s="65">
        <v>0</v>
      </c>
      <c r="Z144" s="65">
        <v>0</v>
      </c>
      <c r="AA144" s="51">
        <v>0</v>
      </c>
      <c r="AB144" s="102">
        <v>0</v>
      </c>
      <c r="AC144" s="81">
        <f t="shared" si="9"/>
        <v>355.30657299450041</v>
      </c>
      <c r="AD144" s="82">
        <f t="shared" si="10"/>
        <v>37.664285714285711</v>
      </c>
      <c r="AE144" s="218">
        <v>-0.12701804864272312</v>
      </c>
      <c r="AF144">
        <v>3</v>
      </c>
      <c r="AH144" t="str">
        <f t="shared" si="8"/>
        <v>Asarganj</v>
      </c>
      <c r="AJ144" s="72">
        <v>0</v>
      </c>
      <c r="AK144" s="72"/>
      <c r="AL144" s="72"/>
      <c r="AM144" s="72"/>
    </row>
    <row r="145" spans="1:39" x14ac:dyDescent="0.25">
      <c r="A145" s="37" t="s">
        <v>62</v>
      </c>
      <c r="B145" s="66" t="s">
        <v>1566</v>
      </c>
      <c r="C145" s="47">
        <v>1003</v>
      </c>
      <c r="D145" s="47" t="s">
        <v>139</v>
      </c>
      <c r="E145" s="41">
        <v>10030077</v>
      </c>
      <c r="F145" s="46" t="s">
        <v>1199</v>
      </c>
      <c r="G145" s="39" t="s">
        <v>635</v>
      </c>
      <c r="H145" s="48" t="s">
        <v>99</v>
      </c>
      <c r="I145" s="52">
        <v>260.34999999999997</v>
      </c>
      <c r="J145" s="49">
        <v>8897.0999999999985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50">
        <v>8897.0999999999985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8897.0999999999985</v>
      </c>
      <c r="AA145" s="51">
        <v>0</v>
      </c>
      <c r="AB145" s="102">
        <v>0</v>
      </c>
      <c r="AC145" s="81">
        <f t="shared" si="9"/>
        <v>300.48857422700212</v>
      </c>
      <c r="AD145" s="82">
        <f t="shared" si="10"/>
        <v>37.192857142857136</v>
      </c>
      <c r="AE145" s="218">
        <v>0</v>
      </c>
      <c r="AF145">
        <v>0</v>
      </c>
      <c r="AH145" t="str">
        <f t="shared" si="8"/>
        <v>Asarganj</v>
      </c>
      <c r="AJ145" s="72">
        <v>0</v>
      </c>
      <c r="AK145" s="72"/>
      <c r="AL145" s="72"/>
      <c r="AM145" s="72"/>
    </row>
    <row r="146" spans="1:39" x14ac:dyDescent="0.25">
      <c r="A146" s="37" t="s">
        <v>62</v>
      </c>
      <c r="B146" s="66" t="s">
        <v>1566</v>
      </c>
      <c r="C146" s="47">
        <v>1003</v>
      </c>
      <c r="D146" s="47" t="s">
        <v>139</v>
      </c>
      <c r="E146" s="41">
        <v>10030078</v>
      </c>
      <c r="F146" s="46" t="s">
        <v>1248</v>
      </c>
      <c r="G146" s="39" t="s">
        <v>93</v>
      </c>
      <c r="H146" s="48" t="s">
        <v>94</v>
      </c>
      <c r="I146" s="52">
        <v>488.8</v>
      </c>
      <c r="J146" s="49">
        <v>17670.099999999999</v>
      </c>
      <c r="K146" s="65">
        <v>500.24</v>
      </c>
      <c r="L146" s="65">
        <v>20158.191039000507</v>
      </c>
      <c r="M146" s="65">
        <v>0</v>
      </c>
      <c r="N146" s="65">
        <v>0</v>
      </c>
      <c r="O146" s="65">
        <v>500.24</v>
      </c>
      <c r="P146" s="65">
        <v>20158.191039000507</v>
      </c>
      <c r="Q146" s="50">
        <v>17670.099999999999</v>
      </c>
      <c r="R146" s="65">
        <v>0</v>
      </c>
      <c r="S146" s="65">
        <v>0</v>
      </c>
      <c r="T146" s="65">
        <v>2488.0910390005083</v>
      </c>
      <c r="U146" s="65">
        <v>0</v>
      </c>
      <c r="V146" s="65">
        <v>0</v>
      </c>
      <c r="W146" s="65">
        <v>0</v>
      </c>
      <c r="X146" s="65">
        <v>17670</v>
      </c>
      <c r="Y146" s="65">
        <v>0</v>
      </c>
      <c r="Z146" s="65">
        <v>0</v>
      </c>
      <c r="AA146" s="51">
        <v>0</v>
      </c>
      <c r="AB146" s="102">
        <v>0</v>
      </c>
      <c r="AC146" s="81">
        <f t="shared" si="9"/>
        <v>152.69742716857604</v>
      </c>
      <c r="AD146" s="82">
        <f t="shared" si="10"/>
        <v>69.828571428571436</v>
      </c>
      <c r="AE146" s="218">
        <v>-0.14080797726105163</v>
      </c>
      <c r="AF146">
        <v>5</v>
      </c>
      <c r="AH146" t="str">
        <f t="shared" si="8"/>
        <v>Asarganj</v>
      </c>
      <c r="AJ146" s="72">
        <v>0</v>
      </c>
      <c r="AK146" s="72"/>
      <c r="AL146" s="72"/>
      <c r="AM146" s="72"/>
    </row>
    <row r="147" spans="1:39" x14ac:dyDescent="0.25">
      <c r="A147" s="37" t="s">
        <v>62</v>
      </c>
      <c r="B147" s="66" t="s">
        <v>1566</v>
      </c>
      <c r="C147" s="47">
        <v>1003</v>
      </c>
      <c r="D147" s="47" t="s">
        <v>139</v>
      </c>
      <c r="E147" s="41">
        <v>10030079</v>
      </c>
      <c r="F147" s="46" t="s">
        <v>1257</v>
      </c>
      <c r="G147" s="39" t="s">
        <v>635</v>
      </c>
      <c r="H147" s="48" t="s">
        <v>99</v>
      </c>
      <c r="I147" s="52">
        <v>474.40000000000003</v>
      </c>
      <c r="J147" s="49">
        <v>16826.62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50">
        <v>16826.62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16826.62</v>
      </c>
      <c r="AA147" s="51">
        <v>0</v>
      </c>
      <c r="AB147" s="102">
        <v>0</v>
      </c>
      <c r="AC147" s="81">
        <f t="shared" si="9"/>
        <v>160.03733018549744</v>
      </c>
      <c r="AD147" s="82">
        <f t="shared" si="10"/>
        <v>67.771428571428572</v>
      </c>
      <c r="AE147" s="218">
        <v>0</v>
      </c>
      <c r="AF147">
        <v>0</v>
      </c>
      <c r="AH147" t="str">
        <f t="shared" si="8"/>
        <v>Asarganj</v>
      </c>
      <c r="AJ147" s="72">
        <v>0</v>
      </c>
      <c r="AK147" s="72"/>
      <c r="AL147" s="72"/>
      <c r="AM147" s="72"/>
    </row>
    <row r="148" spans="1:39" x14ac:dyDescent="0.25">
      <c r="A148" s="37" t="s">
        <v>62</v>
      </c>
      <c r="B148" s="66" t="s">
        <v>1566</v>
      </c>
      <c r="C148" s="47">
        <v>1003</v>
      </c>
      <c r="D148" s="47" t="s">
        <v>139</v>
      </c>
      <c r="E148" s="41">
        <v>10030080</v>
      </c>
      <c r="F148" s="46" t="s">
        <v>1258</v>
      </c>
      <c r="G148" s="39" t="s">
        <v>93</v>
      </c>
      <c r="H148" s="48" t="s">
        <v>94</v>
      </c>
      <c r="I148" s="52">
        <v>772.75000000000011</v>
      </c>
      <c r="J148" s="49">
        <v>29677.649999999994</v>
      </c>
      <c r="K148" s="65">
        <v>801.92</v>
      </c>
      <c r="L148" s="65">
        <v>29775.204737722845</v>
      </c>
      <c r="M148" s="65">
        <v>0</v>
      </c>
      <c r="N148" s="65">
        <v>0</v>
      </c>
      <c r="O148" s="65">
        <v>801.92</v>
      </c>
      <c r="P148" s="65">
        <v>29775.204737722845</v>
      </c>
      <c r="Q148" s="50">
        <v>29677.649999999994</v>
      </c>
      <c r="R148" s="65">
        <v>0</v>
      </c>
      <c r="S148" s="65">
        <v>0</v>
      </c>
      <c r="T148" s="65">
        <v>97.554737722850405</v>
      </c>
      <c r="U148" s="65">
        <v>0</v>
      </c>
      <c r="V148" s="65">
        <v>0</v>
      </c>
      <c r="W148" s="65">
        <v>0</v>
      </c>
      <c r="X148" s="65">
        <v>29678</v>
      </c>
      <c r="Y148" s="65">
        <v>0</v>
      </c>
      <c r="Z148" s="65">
        <v>0</v>
      </c>
      <c r="AA148" s="51">
        <v>0</v>
      </c>
      <c r="AB148" s="102">
        <v>0</v>
      </c>
      <c r="AC148" s="81">
        <f t="shared" si="9"/>
        <v>0</v>
      </c>
      <c r="AD148" s="82">
        <f t="shared" si="10"/>
        <v>0</v>
      </c>
      <c r="AE148" s="218">
        <v>-3.2871449633933422E-3</v>
      </c>
      <c r="AF148">
        <v>26</v>
      </c>
      <c r="AH148" t="str">
        <f t="shared" si="8"/>
        <v>Asarganj</v>
      </c>
      <c r="AJ148" s="72">
        <v>0</v>
      </c>
      <c r="AK148" s="72"/>
      <c r="AL148" s="72"/>
      <c r="AM148" s="72"/>
    </row>
    <row r="149" spans="1:39" x14ac:dyDescent="0.25">
      <c r="A149" s="37" t="s">
        <v>62</v>
      </c>
      <c r="B149" s="66" t="s">
        <v>1566</v>
      </c>
      <c r="C149" s="47">
        <v>1003</v>
      </c>
      <c r="D149" s="47" t="s">
        <v>139</v>
      </c>
      <c r="E149" s="41">
        <v>10030081</v>
      </c>
      <c r="F149" s="46" t="s">
        <v>1259</v>
      </c>
      <c r="G149" s="39" t="s">
        <v>635</v>
      </c>
      <c r="H149" s="48" t="s">
        <v>99</v>
      </c>
      <c r="I149" s="52">
        <v>212.35000000000002</v>
      </c>
      <c r="J149" s="49">
        <v>7349.45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50">
        <v>7349.45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7349.45</v>
      </c>
      <c r="AA149" s="51">
        <v>0</v>
      </c>
      <c r="AB149" s="102">
        <v>0</v>
      </c>
      <c r="AC149" s="81">
        <f t="shared" si="9"/>
        <v>337.5520878267011</v>
      </c>
      <c r="AD149" s="82">
        <f t="shared" si="10"/>
        <v>30.335714285714289</v>
      </c>
      <c r="AE149" s="218">
        <v>0</v>
      </c>
      <c r="AF149">
        <v>0</v>
      </c>
      <c r="AH149" t="str">
        <f t="shared" si="8"/>
        <v>Asarganj</v>
      </c>
      <c r="AJ149" s="72">
        <v>0</v>
      </c>
      <c r="AK149" s="72"/>
      <c r="AL149" s="72"/>
      <c r="AM149" s="72"/>
    </row>
    <row r="150" spans="1:39" x14ac:dyDescent="0.25">
      <c r="A150" s="37" t="s">
        <v>62</v>
      </c>
      <c r="B150" s="66" t="s">
        <v>1566</v>
      </c>
      <c r="C150" s="47">
        <v>1003</v>
      </c>
      <c r="D150" s="47" t="s">
        <v>139</v>
      </c>
      <c r="E150" s="41">
        <v>10030082</v>
      </c>
      <c r="F150" s="46" t="s">
        <v>1324</v>
      </c>
      <c r="G150" s="39" t="s">
        <v>93</v>
      </c>
      <c r="H150" s="48" t="s">
        <v>94</v>
      </c>
      <c r="I150" s="52">
        <v>170.85</v>
      </c>
      <c r="J150" s="49">
        <v>6055</v>
      </c>
      <c r="K150" s="65">
        <v>201.89</v>
      </c>
      <c r="L150" s="65">
        <v>6957.514211353202</v>
      </c>
      <c r="M150" s="65">
        <v>0</v>
      </c>
      <c r="N150" s="65">
        <v>0</v>
      </c>
      <c r="O150" s="65">
        <v>201.89</v>
      </c>
      <c r="P150" s="65">
        <v>6957.514211353202</v>
      </c>
      <c r="Q150" s="50">
        <v>6055</v>
      </c>
      <c r="R150" s="65">
        <v>0</v>
      </c>
      <c r="S150" s="65">
        <v>0</v>
      </c>
      <c r="T150" s="65">
        <v>902.51421135320197</v>
      </c>
      <c r="U150" s="65">
        <v>0</v>
      </c>
      <c r="V150" s="65">
        <v>0</v>
      </c>
      <c r="W150" s="65">
        <v>0</v>
      </c>
      <c r="X150" s="65">
        <v>6055</v>
      </c>
      <c r="Y150" s="65">
        <v>0</v>
      </c>
      <c r="Z150" s="65">
        <v>0</v>
      </c>
      <c r="AA150" s="51">
        <v>0</v>
      </c>
      <c r="AB150" s="102">
        <v>0</v>
      </c>
      <c r="AC150" s="81">
        <f t="shared" si="9"/>
        <v>375.06622768510391</v>
      </c>
      <c r="AD150" s="82">
        <f t="shared" si="10"/>
        <v>24.407142857142855</v>
      </c>
      <c r="AE150" s="218">
        <v>-0.1490527186380185</v>
      </c>
      <c r="AF150">
        <v>1</v>
      </c>
      <c r="AH150" t="str">
        <f t="shared" si="8"/>
        <v>Asarganj</v>
      </c>
      <c r="AJ150" s="72">
        <v>0</v>
      </c>
      <c r="AK150" s="72"/>
      <c r="AL150" s="72"/>
      <c r="AM150" s="72"/>
    </row>
    <row r="151" spans="1:39" x14ac:dyDescent="0.25">
      <c r="A151" s="37" t="s">
        <v>62</v>
      </c>
      <c r="B151" s="66" t="s">
        <v>1566</v>
      </c>
      <c r="C151" s="47">
        <v>1003</v>
      </c>
      <c r="D151" s="47" t="s">
        <v>139</v>
      </c>
      <c r="E151" s="41">
        <v>10030084</v>
      </c>
      <c r="F151" s="46" t="s">
        <v>1333</v>
      </c>
      <c r="G151" s="39" t="s">
        <v>93</v>
      </c>
      <c r="H151" s="48" t="s">
        <v>94</v>
      </c>
      <c r="I151" s="52">
        <v>200.10000000000002</v>
      </c>
      <c r="J151" s="49">
        <v>6476.2900000000018</v>
      </c>
      <c r="K151" s="65">
        <v>180</v>
      </c>
      <c r="L151" s="65">
        <v>6652.9900799999996</v>
      </c>
      <c r="M151" s="65">
        <v>0</v>
      </c>
      <c r="N151" s="65">
        <v>0</v>
      </c>
      <c r="O151" s="65">
        <v>180</v>
      </c>
      <c r="P151" s="65">
        <v>6652.9900799999996</v>
      </c>
      <c r="Q151" s="50">
        <v>6476.2900000000018</v>
      </c>
      <c r="R151" s="65">
        <v>0</v>
      </c>
      <c r="S151" s="65">
        <v>0</v>
      </c>
      <c r="T151" s="65">
        <v>176.7000799999978</v>
      </c>
      <c r="U151" s="65">
        <v>0</v>
      </c>
      <c r="V151" s="65">
        <v>0</v>
      </c>
      <c r="W151" s="65">
        <v>0</v>
      </c>
      <c r="X151" s="65">
        <v>6476</v>
      </c>
      <c r="Y151" s="65">
        <v>0</v>
      </c>
      <c r="Z151" s="65">
        <v>0</v>
      </c>
      <c r="AA151" s="51">
        <v>0</v>
      </c>
      <c r="AB151" s="102">
        <v>0</v>
      </c>
      <c r="AC151" s="81">
        <f t="shared" si="9"/>
        <v>323.58794312843582</v>
      </c>
      <c r="AD151" s="82">
        <f t="shared" si="10"/>
        <v>28.585714285714289</v>
      </c>
      <c r="AE151" s="218">
        <v>-2.72841518832538E-2</v>
      </c>
      <c r="AF151">
        <v>1</v>
      </c>
      <c r="AH151" t="str">
        <f t="shared" si="8"/>
        <v>Asarganj</v>
      </c>
      <c r="AJ151" s="72">
        <v>0</v>
      </c>
      <c r="AK151" s="72"/>
      <c r="AL151" s="72"/>
      <c r="AM151" s="72"/>
    </row>
    <row r="152" spans="1:39" x14ac:dyDescent="0.25">
      <c r="A152" s="37" t="s">
        <v>62</v>
      </c>
      <c r="B152" s="66" t="s">
        <v>1566</v>
      </c>
      <c r="C152" s="47">
        <v>1003</v>
      </c>
      <c r="D152" s="47" t="s">
        <v>139</v>
      </c>
      <c r="E152" s="41">
        <v>10030085</v>
      </c>
      <c r="F152" s="46" t="s">
        <v>1334</v>
      </c>
      <c r="G152" s="39" t="s">
        <v>93</v>
      </c>
      <c r="H152" s="48" t="s">
        <v>94</v>
      </c>
      <c r="I152" s="52">
        <v>392.7</v>
      </c>
      <c r="J152" s="49">
        <v>14514.520000000004</v>
      </c>
      <c r="K152" s="65">
        <v>344.01</v>
      </c>
      <c r="L152" s="65">
        <v>14539.262876424002</v>
      </c>
      <c r="M152" s="65">
        <v>0</v>
      </c>
      <c r="N152" s="65">
        <v>0</v>
      </c>
      <c r="O152" s="65">
        <v>344.01</v>
      </c>
      <c r="P152" s="65">
        <v>14539.262876424002</v>
      </c>
      <c r="Q152" s="50">
        <v>14514.520000000004</v>
      </c>
      <c r="R152" s="65">
        <v>0</v>
      </c>
      <c r="S152" s="65">
        <v>0</v>
      </c>
      <c r="T152" s="65">
        <v>24.742876423997586</v>
      </c>
      <c r="U152" s="65">
        <v>0</v>
      </c>
      <c r="V152" s="65">
        <v>0</v>
      </c>
      <c r="W152" s="65">
        <v>0</v>
      </c>
      <c r="X152" s="65">
        <v>14515</v>
      </c>
      <c r="Y152" s="65">
        <v>0</v>
      </c>
      <c r="Z152" s="65">
        <v>0</v>
      </c>
      <c r="AA152" s="51">
        <v>0</v>
      </c>
      <c r="AB152" s="102">
        <v>0</v>
      </c>
      <c r="AC152" s="81">
        <f t="shared" si="9"/>
        <v>227.16129340463465</v>
      </c>
      <c r="AD152" s="82">
        <f t="shared" si="10"/>
        <v>56.1</v>
      </c>
      <c r="AE152" s="218">
        <v>-1.70469822109154E-3</v>
      </c>
      <c r="AF152">
        <v>1</v>
      </c>
      <c r="AH152" t="str">
        <f t="shared" si="8"/>
        <v>Asarganj</v>
      </c>
      <c r="AJ152" s="72">
        <v>0</v>
      </c>
      <c r="AK152" s="72"/>
      <c r="AL152" s="72"/>
      <c r="AM152" s="72"/>
    </row>
    <row r="153" spans="1:39" x14ac:dyDescent="0.25">
      <c r="A153" s="37" t="s">
        <v>62</v>
      </c>
      <c r="B153" s="66" t="s">
        <v>1566</v>
      </c>
      <c r="C153" s="47">
        <v>1003</v>
      </c>
      <c r="D153" s="47" t="s">
        <v>139</v>
      </c>
      <c r="E153" s="41">
        <v>10030086</v>
      </c>
      <c r="F153" s="46" t="s">
        <v>1575</v>
      </c>
      <c r="G153" s="39" t="s">
        <v>93</v>
      </c>
      <c r="H153" s="48" t="s">
        <v>94</v>
      </c>
      <c r="I153" s="52">
        <v>2.5499999999999998</v>
      </c>
      <c r="J153" s="49">
        <v>96.95</v>
      </c>
      <c r="K153" s="65">
        <v>2.73</v>
      </c>
      <c r="L153" s="65">
        <v>102.36829802760001</v>
      </c>
      <c r="M153" s="65">
        <v>0</v>
      </c>
      <c r="N153" s="65">
        <v>0</v>
      </c>
      <c r="O153" s="65">
        <v>2.73</v>
      </c>
      <c r="P153" s="65">
        <v>102.36829802760001</v>
      </c>
      <c r="Q153" s="50">
        <v>96.95</v>
      </c>
      <c r="R153" s="65">
        <v>0</v>
      </c>
      <c r="S153" s="65">
        <v>0</v>
      </c>
      <c r="T153" s="65">
        <v>5.4182980276000023</v>
      </c>
      <c r="U153" s="65">
        <v>0</v>
      </c>
      <c r="V153" s="65">
        <v>0</v>
      </c>
      <c r="W153" s="65">
        <v>0</v>
      </c>
      <c r="X153" s="65">
        <v>97</v>
      </c>
      <c r="Y153" s="65">
        <v>0</v>
      </c>
      <c r="Z153" s="65">
        <v>0</v>
      </c>
      <c r="AA153" s="51">
        <v>0</v>
      </c>
      <c r="AB153" s="102">
        <v>0</v>
      </c>
      <c r="AC153" s="81">
        <f t="shared" si="9"/>
        <v>530.3355098039217</v>
      </c>
      <c r="AD153" s="82">
        <f t="shared" si="10"/>
        <v>0.36428571428571427</v>
      </c>
      <c r="AE153" s="218">
        <v>-5.5887550568334214E-2</v>
      </c>
      <c r="AF153">
        <v>1</v>
      </c>
      <c r="AH153" t="str">
        <f t="shared" si="8"/>
        <v>Asarganj</v>
      </c>
      <c r="AJ153" s="72">
        <v>0</v>
      </c>
      <c r="AK153" s="72"/>
      <c r="AL153" s="72"/>
      <c r="AM153" s="72"/>
    </row>
    <row r="154" spans="1:39" x14ac:dyDescent="0.25">
      <c r="A154" s="37" t="s">
        <v>62</v>
      </c>
      <c r="B154" s="66" t="s">
        <v>1566</v>
      </c>
      <c r="C154" s="47">
        <v>1003</v>
      </c>
      <c r="D154" s="47" t="s">
        <v>139</v>
      </c>
      <c r="E154" s="41">
        <v>10030087</v>
      </c>
      <c r="F154" s="46" t="s">
        <v>1576</v>
      </c>
      <c r="G154" s="39" t="s">
        <v>93</v>
      </c>
      <c r="H154" s="48" t="s">
        <v>94</v>
      </c>
      <c r="I154" s="52">
        <v>172.10000000000002</v>
      </c>
      <c r="J154" s="49">
        <v>6410.47</v>
      </c>
      <c r="K154" s="65">
        <v>170</v>
      </c>
      <c r="L154" s="65">
        <v>6418.0195199999998</v>
      </c>
      <c r="M154" s="65">
        <v>0</v>
      </c>
      <c r="N154" s="65">
        <v>0</v>
      </c>
      <c r="O154" s="65">
        <v>170</v>
      </c>
      <c r="P154" s="65">
        <v>6418.0195199999998</v>
      </c>
      <c r="Q154" s="50">
        <v>6410.47</v>
      </c>
      <c r="R154" s="65">
        <v>0</v>
      </c>
      <c r="S154" s="65">
        <v>0</v>
      </c>
      <c r="T154" s="65">
        <v>7.5495199999995748</v>
      </c>
      <c r="U154" s="65">
        <v>0</v>
      </c>
      <c r="V154" s="65">
        <v>0</v>
      </c>
      <c r="W154" s="65">
        <v>0</v>
      </c>
      <c r="X154" s="65">
        <v>6410</v>
      </c>
      <c r="Y154" s="65">
        <v>0</v>
      </c>
      <c r="Z154" s="65">
        <v>0</v>
      </c>
      <c r="AA154" s="51">
        <v>0</v>
      </c>
      <c r="AB154" s="102">
        <v>0</v>
      </c>
      <c r="AC154" s="81">
        <f t="shared" si="9"/>
        <v>393.26985624636836</v>
      </c>
      <c r="AD154" s="82">
        <f t="shared" si="10"/>
        <v>24.585714285714289</v>
      </c>
      <c r="AE154" s="218">
        <v>-1.1776858795064286E-3</v>
      </c>
      <c r="AF154">
        <v>1</v>
      </c>
      <c r="AH154" t="str">
        <f t="shared" si="8"/>
        <v>Asarganj</v>
      </c>
      <c r="AJ154" s="72">
        <v>0</v>
      </c>
      <c r="AK154" s="72"/>
      <c r="AL154" s="72"/>
      <c r="AM154" s="72"/>
    </row>
    <row r="155" spans="1:39" x14ac:dyDescent="0.25">
      <c r="A155" s="37" t="s">
        <v>62</v>
      </c>
      <c r="B155" s="66" t="s">
        <v>1566</v>
      </c>
      <c r="C155" s="47">
        <v>1003</v>
      </c>
      <c r="D155" s="47" t="s">
        <v>139</v>
      </c>
      <c r="E155" s="41">
        <v>10030088</v>
      </c>
      <c r="F155" s="46" t="s">
        <v>1577</v>
      </c>
      <c r="G155" s="39" t="s">
        <v>93</v>
      </c>
      <c r="H155" s="48" t="s">
        <v>94</v>
      </c>
      <c r="I155" s="52">
        <v>204.64999999999998</v>
      </c>
      <c r="J155" s="49">
        <v>7809.3400000000011</v>
      </c>
      <c r="K155" s="65">
        <v>198</v>
      </c>
      <c r="L155" s="65">
        <v>7893.2941560000017</v>
      </c>
      <c r="M155" s="65">
        <v>0</v>
      </c>
      <c r="N155" s="65">
        <v>0</v>
      </c>
      <c r="O155" s="65">
        <v>198</v>
      </c>
      <c r="P155" s="65">
        <v>7893.2941560000017</v>
      </c>
      <c r="Q155" s="50">
        <v>7809.3400000000011</v>
      </c>
      <c r="R155" s="65">
        <v>0</v>
      </c>
      <c r="S155" s="65">
        <v>0</v>
      </c>
      <c r="T155" s="65">
        <v>83.954156000000694</v>
      </c>
      <c r="U155" s="65">
        <v>0</v>
      </c>
      <c r="V155" s="65">
        <v>0</v>
      </c>
      <c r="W155" s="65">
        <v>0</v>
      </c>
      <c r="X155" s="65">
        <v>7809</v>
      </c>
      <c r="Y155" s="65">
        <v>0</v>
      </c>
      <c r="Z155" s="65">
        <v>0</v>
      </c>
      <c r="AA155" s="51">
        <v>0</v>
      </c>
      <c r="AB155" s="102">
        <v>0</v>
      </c>
      <c r="AC155" s="81">
        <f t="shared" si="9"/>
        <v>378.04608541412176</v>
      </c>
      <c r="AD155" s="82">
        <f t="shared" si="10"/>
        <v>29.235714285714284</v>
      </c>
      <c r="AE155" s="218">
        <v>-1.0750480322280844E-2</v>
      </c>
      <c r="AF155">
        <v>1</v>
      </c>
      <c r="AH155" t="str">
        <f t="shared" si="8"/>
        <v>Asarganj</v>
      </c>
      <c r="AJ155" s="72">
        <v>0</v>
      </c>
      <c r="AK155" s="72"/>
      <c r="AL155" s="72"/>
      <c r="AM155" s="72"/>
    </row>
    <row r="156" spans="1:39" x14ac:dyDescent="0.25">
      <c r="A156" s="37" t="s">
        <v>62</v>
      </c>
      <c r="B156" s="66" t="s">
        <v>1566</v>
      </c>
      <c r="C156" s="47">
        <v>1003</v>
      </c>
      <c r="D156" s="47" t="s">
        <v>139</v>
      </c>
      <c r="E156" s="41">
        <v>10030089</v>
      </c>
      <c r="F156" s="46" t="s">
        <v>1578</v>
      </c>
      <c r="G156" s="39" t="s">
        <v>93</v>
      </c>
      <c r="H156" s="48" t="s">
        <v>94</v>
      </c>
      <c r="I156" s="52">
        <v>457.05</v>
      </c>
      <c r="J156" s="49">
        <v>18585.54</v>
      </c>
      <c r="K156" s="65">
        <v>451.08</v>
      </c>
      <c r="L156" s="65">
        <v>18195.555405058985</v>
      </c>
      <c r="M156" s="65">
        <v>0</v>
      </c>
      <c r="N156" s="65">
        <v>0</v>
      </c>
      <c r="O156" s="65">
        <v>451.08</v>
      </c>
      <c r="P156" s="65">
        <v>18195.555405058985</v>
      </c>
      <c r="Q156" s="50">
        <v>18195.555405058985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18196</v>
      </c>
      <c r="Y156" s="65">
        <v>0</v>
      </c>
      <c r="Z156" s="65">
        <v>0</v>
      </c>
      <c r="AA156" s="51">
        <v>390</v>
      </c>
      <c r="AB156" s="102">
        <v>0</v>
      </c>
      <c r="AC156" s="81">
        <f t="shared" si="9"/>
        <v>197.58700111585165</v>
      </c>
      <c r="AD156" s="82">
        <f t="shared" si="10"/>
        <v>65.292857142857144</v>
      </c>
      <c r="AE156" s="218">
        <v>2.0983226472893201E-2</v>
      </c>
      <c r="AF156">
        <v>1</v>
      </c>
      <c r="AH156" t="str">
        <f t="shared" si="8"/>
        <v>Asarganj</v>
      </c>
      <c r="AJ156" s="72">
        <v>0</v>
      </c>
      <c r="AK156" s="72"/>
      <c r="AL156" s="72"/>
      <c r="AM156" s="72"/>
    </row>
    <row r="157" spans="1:39" x14ac:dyDescent="0.25">
      <c r="A157" s="37" t="s">
        <v>62</v>
      </c>
      <c r="B157" s="66" t="s">
        <v>1566</v>
      </c>
      <c r="C157" s="47">
        <v>1003</v>
      </c>
      <c r="D157" s="47" t="s">
        <v>139</v>
      </c>
      <c r="E157" s="41">
        <v>10030090</v>
      </c>
      <c r="F157" s="46" t="s">
        <v>1579</v>
      </c>
      <c r="G157" s="39" t="s">
        <v>93</v>
      </c>
      <c r="H157" s="48" t="s">
        <v>94</v>
      </c>
      <c r="I157" s="52">
        <v>38.6</v>
      </c>
      <c r="J157" s="49">
        <v>1365.6399999999999</v>
      </c>
      <c r="K157" s="65">
        <v>36.729999999999997</v>
      </c>
      <c r="L157" s="65">
        <v>1339.679533104</v>
      </c>
      <c r="M157" s="65">
        <v>0</v>
      </c>
      <c r="N157" s="65">
        <v>0</v>
      </c>
      <c r="O157" s="65">
        <v>36.729999999999997</v>
      </c>
      <c r="P157" s="65">
        <v>1339.679533104</v>
      </c>
      <c r="Q157" s="50">
        <v>1339.679533104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1340</v>
      </c>
      <c r="Y157" s="65">
        <v>0</v>
      </c>
      <c r="Z157" s="65">
        <v>0</v>
      </c>
      <c r="AA157" s="51">
        <v>26</v>
      </c>
      <c r="AB157" s="102">
        <v>0</v>
      </c>
      <c r="AC157" s="81">
        <f t="shared" si="9"/>
        <v>467.9970445595855</v>
      </c>
      <c r="AD157" s="82">
        <f t="shared" si="10"/>
        <v>5.5142857142857142</v>
      </c>
      <c r="AE157" s="218">
        <v>1.9009744073108466E-2</v>
      </c>
      <c r="AF157">
        <v>1</v>
      </c>
      <c r="AH157" t="str">
        <f t="shared" si="8"/>
        <v>Asarganj</v>
      </c>
      <c r="AJ157" s="72">
        <v>0</v>
      </c>
      <c r="AK157" s="72"/>
      <c r="AL157" s="72"/>
      <c r="AM157" s="72"/>
    </row>
    <row r="158" spans="1:39" x14ac:dyDescent="0.25">
      <c r="A158" s="37" t="s">
        <v>62</v>
      </c>
      <c r="B158" s="66" t="s">
        <v>1566</v>
      </c>
      <c r="C158" s="47">
        <v>1004</v>
      </c>
      <c r="D158" s="47" t="s">
        <v>1303</v>
      </c>
      <c r="E158" s="41">
        <v>10040001</v>
      </c>
      <c r="F158" s="46" t="s">
        <v>1304</v>
      </c>
      <c r="G158" s="39" t="s">
        <v>635</v>
      </c>
      <c r="H158" s="48" t="s">
        <v>99</v>
      </c>
      <c r="I158" s="52">
        <v>436.9</v>
      </c>
      <c r="J158" s="49">
        <v>15627.91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50">
        <v>15627.91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15627.91</v>
      </c>
      <c r="AA158" s="51">
        <v>0</v>
      </c>
      <c r="AB158" s="102">
        <v>0</v>
      </c>
      <c r="AC158" s="81">
        <f t="shared" si="9"/>
        <v>188.22170386816208</v>
      </c>
      <c r="AD158" s="82">
        <f t="shared" si="10"/>
        <v>62.414285714285711</v>
      </c>
      <c r="AE158" s="218">
        <v>0</v>
      </c>
      <c r="AF158">
        <v>0</v>
      </c>
      <c r="AH158" t="str">
        <f t="shared" si="8"/>
        <v>Tofir</v>
      </c>
      <c r="AJ158" s="72">
        <v>0</v>
      </c>
      <c r="AK158" s="72"/>
      <c r="AL158" s="72"/>
      <c r="AM158" s="72"/>
    </row>
    <row r="159" spans="1:39" x14ac:dyDescent="0.25">
      <c r="A159" s="37" t="s">
        <v>62</v>
      </c>
      <c r="B159" s="66" t="s">
        <v>1566</v>
      </c>
      <c r="C159" s="47">
        <v>1006</v>
      </c>
      <c r="D159" s="47" t="s">
        <v>183</v>
      </c>
      <c r="E159" s="41">
        <v>10060002</v>
      </c>
      <c r="F159" s="46" t="s">
        <v>825</v>
      </c>
      <c r="G159" s="39" t="s">
        <v>635</v>
      </c>
      <c r="H159" s="48" t="s">
        <v>99</v>
      </c>
      <c r="I159" s="52">
        <v>1517.6</v>
      </c>
      <c r="J159" s="49">
        <v>57313.330000000009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50">
        <v>57313.330000000009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57313.330000000009</v>
      </c>
      <c r="AA159" s="51">
        <v>0</v>
      </c>
      <c r="AB159" s="102">
        <v>0</v>
      </c>
      <c r="AC159" s="81">
        <f t="shared" si="9"/>
        <v>0</v>
      </c>
      <c r="AD159" s="82">
        <f t="shared" si="10"/>
        <v>0</v>
      </c>
      <c r="AE159" s="218">
        <v>0</v>
      </c>
      <c r="AF159">
        <v>0</v>
      </c>
      <c r="AH159" t="str">
        <f t="shared" si="8"/>
        <v>Sonvarsha</v>
      </c>
      <c r="AJ159" s="72">
        <v>0</v>
      </c>
      <c r="AK159" s="72"/>
      <c r="AL159" s="72"/>
      <c r="AM159" s="72"/>
    </row>
    <row r="160" spans="1:39" x14ac:dyDescent="0.25">
      <c r="A160" s="37" t="s">
        <v>62</v>
      </c>
      <c r="B160" s="66" t="s">
        <v>1566</v>
      </c>
      <c r="C160" s="47">
        <v>1006</v>
      </c>
      <c r="D160" s="47" t="s">
        <v>183</v>
      </c>
      <c r="E160" s="41">
        <v>10060003</v>
      </c>
      <c r="F160" s="46" t="s">
        <v>184</v>
      </c>
      <c r="G160" s="39" t="s">
        <v>635</v>
      </c>
      <c r="H160" s="48" t="s">
        <v>99</v>
      </c>
      <c r="I160" s="52">
        <v>1674.2999999999997</v>
      </c>
      <c r="J160" s="49">
        <v>61466.44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50">
        <v>61466.44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61466.44</v>
      </c>
      <c r="AA160" s="51">
        <v>0</v>
      </c>
      <c r="AB160" s="102">
        <v>0</v>
      </c>
      <c r="AC160" s="81">
        <f t="shared" si="9"/>
        <v>0</v>
      </c>
      <c r="AD160" s="82">
        <f t="shared" si="10"/>
        <v>0</v>
      </c>
      <c r="AE160" s="218">
        <v>0</v>
      </c>
      <c r="AF160">
        <v>0</v>
      </c>
      <c r="AH160" t="str">
        <f t="shared" si="8"/>
        <v>Sonvarsha</v>
      </c>
      <c r="AJ160" s="72">
        <v>0</v>
      </c>
      <c r="AK160" s="72"/>
      <c r="AL160" s="72"/>
      <c r="AM160" s="72"/>
    </row>
    <row r="161" spans="1:39" x14ac:dyDescent="0.25">
      <c r="A161" s="37" t="s">
        <v>62</v>
      </c>
      <c r="B161" s="66" t="s">
        <v>1566</v>
      </c>
      <c r="C161" s="47">
        <v>1006</v>
      </c>
      <c r="D161" s="47" t="s">
        <v>183</v>
      </c>
      <c r="E161" s="41">
        <v>10060004</v>
      </c>
      <c r="F161" s="46" t="s">
        <v>185</v>
      </c>
      <c r="G161" s="39" t="s">
        <v>635</v>
      </c>
      <c r="H161" s="48" t="s">
        <v>99</v>
      </c>
      <c r="I161" s="52">
        <v>2910.4999999999995</v>
      </c>
      <c r="J161" s="49">
        <v>110330.23999999999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50">
        <v>110330.23999999999</v>
      </c>
      <c r="R161" s="65">
        <v>0</v>
      </c>
      <c r="S161" s="65">
        <v>0</v>
      </c>
      <c r="T161" s="65">
        <v>0</v>
      </c>
      <c r="U161" s="65">
        <v>6500</v>
      </c>
      <c r="V161" s="65">
        <v>0</v>
      </c>
      <c r="W161" s="65">
        <v>0</v>
      </c>
      <c r="X161" s="65">
        <v>0</v>
      </c>
      <c r="Y161" s="65">
        <v>0</v>
      </c>
      <c r="Z161" s="65">
        <v>103830.23999999999</v>
      </c>
      <c r="AA161" s="51">
        <v>0</v>
      </c>
      <c r="AB161" s="102">
        <v>0</v>
      </c>
      <c r="AC161" s="81">
        <f t="shared" si="9"/>
        <v>0</v>
      </c>
      <c r="AD161" s="82">
        <f t="shared" si="10"/>
        <v>0</v>
      </c>
      <c r="AE161" s="218">
        <v>0</v>
      </c>
      <c r="AF161">
        <v>0</v>
      </c>
      <c r="AH161" t="str">
        <f t="shared" si="8"/>
        <v>Sonvarsha</v>
      </c>
      <c r="AJ161" s="72">
        <v>0</v>
      </c>
      <c r="AK161" s="72"/>
      <c r="AL161" s="72"/>
      <c r="AM161" s="72"/>
    </row>
    <row r="162" spans="1:39" x14ac:dyDescent="0.25">
      <c r="A162" s="37" t="s">
        <v>62</v>
      </c>
      <c r="B162" s="66" t="s">
        <v>1566</v>
      </c>
      <c r="C162" s="47">
        <v>1006</v>
      </c>
      <c r="D162" s="47" t="s">
        <v>183</v>
      </c>
      <c r="E162" s="41">
        <v>10060005</v>
      </c>
      <c r="F162" s="46" t="s">
        <v>186</v>
      </c>
      <c r="G162" s="39" t="s">
        <v>635</v>
      </c>
      <c r="H162" s="48" t="s">
        <v>99</v>
      </c>
      <c r="I162" s="52">
        <v>1184.7</v>
      </c>
      <c r="J162" s="49">
        <v>45037.999999999993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50">
        <v>45037.999999999993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45037.999999999993</v>
      </c>
      <c r="AA162" s="51">
        <v>0</v>
      </c>
      <c r="AB162" s="102">
        <v>0</v>
      </c>
      <c r="AC162" s="81">
        <f t="shared" si="9"/>
        <v>0</v>
      </c>
      <c r="AD162" s="82">
        <f t="shared" si="10"/>
        <v>0</v>
      </c>
      <c r="AE162" s="218">
        <v>0</v>
      </c>
      <c r="AF162">
        <v>0</v>
      </c>
      <c r="AH162" t="str">
        <f t="shared" si="8"/>
        <v>Sonvarsha</v>
      </c>
      <c r="AJ162" s="72">
        <v>0</v>
      </c>
      <c r="AK162" s="72"/>
      <c r="AL162" s="72"/>
      <c r="AM162" s="72"/>
    </row>
    <row r="163" spans="1:39" x14ac:dyDescent="0.25">
      <c r="A163" s="37" t="s">
        <v>62</v>
      </c>
      <c r="B163" s="66" t="s">
        <v>1566</v>
      </c>
      <c r="C163" s="47">
        <v>1006</v>
      </c>
      <c r="D163" s="47" t="s">
        <v>183</v>
      </c>
      <c r="E163" s="41">
        <v>10060007</v>
      </c>
      <c r="F163" s="46" t="s">
        <v>187</v>
      </c>
      <c r="G163" s="39" t="s">
        <v>635</v>
      </c>
      <c r="H163" s="48" t="s">
        <v>99</v>
      </c>
      <c r="I163" s="52">
        <v>516.99999999999989</v>
      </c>
      <c r="J163" s="49">
        <v>18950.48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50">
        <v>18950.48</v>
      </c>
      <c r="R163" s="65">
        <v>0</v>
      </c>
      <c r="S163" s="65">
        <v>0</v>
      </c>
      <c r="T163" s="65">
        <v>0</v>
      </c>
      <c r="U163" s="65">
        <v>0</v>
      </c>
      <c r="V163" s="65">
        <v>829.90023870967639</v>
      </c>
      <c r="W163" s="65">
        <v>0</v>
      </c>
      <c r="X163" s="65">
        <v>0</v>
      </c>
      <c r="Y163" s="65">
        <v>0</v>
      </c>
      <c r="Z163" s="65">
        <v>18120.579761290322</v>
      </c>
      <c r="AA163" s="51">
        <v>0</v>
      </c>
      <c r="AB163" s="102">
        <v>0</v>
      </c>
      <c r="AC163" s="81">
        <f t="shared" si="9"/>
        <v>134.15620270793045</v>
      </c>
      <c r="AD163" s="82">
        <f t="shared" si="10"/>
        <v>73.857142857142847</v>
      </c>
      <c r="AE163" s="218">
        <v>0</v>
      </c>
      <c r="AF163">
        <v>0</v>
      </c>
      <c r="AH163" t="str">
        <f t="shared" si="8"/>
        <v>Sonvarsha</v>
      </c>
      <c r="AJ163" s="72">
        <v>0</v>
      </c>
      <c r="AK163" s="72"/>
      <c r="AL163" s="72"/>
      <c r="AM163" s="72"/>
    </row>
    <row r="164" spans="1:39" x14ac:dyDescent="0.25">
      <c r="A164" s="37" t="s">
        <v>62</v>
      </c>
      <c r="B164" s="66" t="s">
        <v>1566</v>
      </c>
      <c r="C164" s="47">
        <v>1006</v>
      </c>
      <c r="D164" s="47" t="s">
        <v>183</v>
      </c>
      <c r="E164" s="41">
        <v>10060008</v>
      </c>
      <c r="F164" s="46" t="s">
        <v>188</v>
      </c>
      <c r="G164" s="39" t="s">
        <v>635</v>
      </c>
      <c r="H164" s="48" t="s">
        <v>99</v>
      </c>
      <c r="I164" s="52">
        <v>462.59999999999997</v>
      </c>
      <c r="J164" s="49">
        <v>16862.989999999998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50">
        <v>16862.989999999998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16862.989999999998</v>
      </c>
      <c r="AA164" s="51">
        <v>0</v>
      </c>
      <c r="AB164" s="102">
        <v>0</v>
      </c>
      <c r="AC164" s="81">
        <f t="shared" si="9"/>
        <v>173.07712174664942</v>
      </c>
      <c r="AD164" s="82">
        <f t="shared" si="10"/>
        <v>66.085714285714275</v>
      </c>
      <c r="AE164" s="218">
        <v>0</v>
      </c>
      <c r="AF164">
        <v>0</v>
      </c>
      <c r="AH164" t="str">
        <f t="shared" si="8"/>
        <v>Sonvarsha</v>
      </c>
      <c r="AJ164" s="72">
        <v>0</v>
      </c>
      <c r="AK164" s="72"/>
      <c r="AL164" s="72"/>
      <c r="AM164" s="72"/>
    </row>
    <row r="165" spans="1:39" x14ac:dyDescent="0.25">
      <c r="A165" s="37" t="s">
        <v>62</v>
      </c>
      <c r="B165" s="66" t="s">
        <v>1566</v>
      </c>
      <c r="C165" s="47">
        <v>1006</v>
      </c>
      <c r="D165" s="47" t="s">
        <v>183</v>
      </c>
      <c r="E165" s="41">
        <v>10060009</v>
      </c>
      <c r="F165" s="46" t="s">
        <v>189</v>
      </c>
      <c r="G165" s="39" t="s">
        <v>635</v>
      </c>
      <c r="H165" s="48" t="s">
        <v>99</v>
      </c>
      <c r="I165" s="52">
        <v>1857.3000000000002</v>
      </c>
      <c r="J165" s="49">
        <v>73698.3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50">
        <v>73698.3</v>
      </c>
      <c r="R165" s="65">
        <v>0</v>
      </c>
      <c r="S165" s="65">
        <v>0</v>
      </c>
      <c r="T165" s="65">
        <v>0</v>
      </c>
      <c r="U165" s="65">
        <v>23000</v>
      </c>
      <c r="V165" s="65">
        <v>0</v>
      </c>
      <c r="W165" s="65">
        <v>0</v>
      </c>
      <c r="X165" s="65">
        <v>0</v>
      </c>
      <c r="Y165" s="65">
        <v>0</v>
      </c>
      <c r="Z165" s="65">
        <v>50698.3</v>
      </c>
      <c r="AA165" s="51">
        <v>0</v>
      </c>
      <c r="AB165" s="102">
        <v>0</v>
      </c>
      <c r="AC165" s="81">
        <f t="shared" si="9"/>
        <v>0</v>
      </c>
      <c r="AD165" s="82">
        <f t="shared" si="10"/>
        <v>0</v>
      </c>
      <c r="AE165" s="218">
        <v>0</v>
      </c>
      <c r="AF165">
        <v>0</v>
      </c>
      <c r="AH165" t="str">
        <f t="shared" si="8"/>
        <v>Sonvarsha</v>
      </c>
      <c r="AJ165" s="72">
        <v>0</v>
      </c>
      <c r="AK165" s="72"/>
      <c r="AL165" s="72"/>
      <c r="AM165" s="72"/>
    </row>
    <row r="166" spans="1:39" x14ac:dyDescent="0.25">
      <c r="A166" s="37" t="s">
        <v>62</v>
      </c>
      <c r="B166" s="66" t="s">
        <v>1566</v>
      </c>
      <c r="C166" s="47">
        <v>1006</v>
      </c>
      <c r="D166" s="47" t="s">
        <v>183</v>
      </c>
      <c r="E166" s="41">
        <v>10060010</v>
      </c>
      <c r="F166" s="46" t="s">
        <v>190</v>
      </c>
      <c r="G166" s="39" t="s">
        <v>635</v>
      </c>
      <c r="H166" s="48" t="s">
        <v>99</v>
      </c>
      <c r="I166" s="52">
        <v>2075.5</v>
      </c>
      <c r="J166" s="49">
        <v>80776.98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50">
        <v>80776.98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80776.98</v>
      </c>
      <c r="AA166" s="51">
        <v>0</v>
      </c>
      <c r="AB166" s="102">
        <v>0</v>
      </c>
      <c r="AC166" s="81">
        <f t="shared" si="9"/>
        <v>0</v>
      </c>
      <c r="AD166" s="82">
        <f t="shared" si="10"/>
        <v>0</v>
      </c>
      <c r="AE166" s="218">
        <v>0</v>
      </c>
      <c r="AF166">
        <v>0</v>
      </c>
      <c r="AH166" t="str">
        <f t="shared" si="8"/>
        <v>Sonvarsha</v>
      </c>
      <c r="AJ166" s="72">
        <v>0</v>
      </c>
      <c r="AK166" s="72"/>
      <c r="AL166" s="72"/>
      <c r="AM166" s="72"/>
    </row>
    <row r="167" spans="1:39" x14ac:dyDescent="0.25">
      <c r="A167" s="37" t="s">
        <v>62</v>
      </c>
      <c r="B167" s="66" t="s">
        <v>1566</v>
      </c>
      <c r="C167" s="47">
        <v>1059</v>
      </c>
      <c r="D167" s="47" t="s">
        <v>1347</v>
      </c>
      <c r="E167" s="41">
        <v>10060011</v>
      </c>
      <c r="F167" s="46" t="s">
        <v>191</v>
      </c>
      <c r="G167" s="39" t="s">
        <v>93</v>
      </c>
      <c r="H167" s="48" t="s">
        <v>94</v>
      </c>
      <c r="I167" s="52">
        <v>440.3</v>
      </c>
      <c r="J167" s="49">
        <v>20617.87</v>
      </c>
      <c r="K167" s="65">
        <v>448.58000000000004</v>
      </c>
      <c r="L167" s="65">
        <v>20554.726741282106</v>
      </c>
      <c r="M167" s="65">
        <v>9.9999999999999982</v>
      </c>
      <c r="N167" s="65">
        <v>444.77947707106</v>
      </c>
      <c r="O167" s="65">
        <v>458.58000000000004</v>
      </c>
      <c r="P167" s="65">
        <v>20999.506218353166</v>
      </c>
      <c r="Q167" s="50">
        <v>20617.87</v>
      </c>
      <c r="R167" s="65">
        <v>0</v>
      </c>
      <c r="S167" s="65">
        <v>444.77947707106</v>
      </c>
      <c r="T167" s="65">
        <v>381.63621835316735</v>
      </c>
      <c r="U167" s="65">
        <v>0</v>
      </c>
      <c r="V167" s="65">
        <v>0</v>
      </c>
      <c r="W167" s="65">
        <v>0</v>
      </c>
      <c r="X167" s="65">
        <v>20173</v>
      </c>
      <c r="Y167" s="65">
        <v>0</v>
      </c>
      <c r="Z167" s="65">
        <v>0</v>
      </c>
      <c r="AA167" s="51">
        <v>0</v>
      </c>
      <c r="AB167" s="102">
        <v>0</v>
      </c>
      <c r="AC167" s="81">
        <f t="shared" si="9"/>
        <v>243.21875262321146</v>
      </c>
      <c r="AD167" s="82">
        <f t="shared" si="10"/>
        <v>62.9</v>
      </c>
      <c r="AE167" s="218">
        <v>-1.850997306478154E-2</v>
      </c>
      <c r="AF167">
        <v>23</v>
      </c>
      <c r="AH167" t="str">
        <f t="shared" si="8"/>
        <v>Gopalpur Bmc</v>
      </c>
      <c r="AJ167" s="72">
        <v>0</v>
      </c>
      <c r="AK167" s="72"/>
      <c r="AL167" s="72"/>
      <c r="AM167" s="72"/>
    </row>
    <row r="168" spans="1:39" x14ac:dyDescent="0.25">
      <c r="A168" s="37" t="s">
        <v>62</v>
      </c>
      <c r="B168" s="66" t="s">
        <v>1566</v>
      </c>
      <c r="C168" s="47">
        <v>1006</v>
      </c>
      <c r="D168" s="47" t="s">
        <v>183</v>
      </c>
      <c r="E168" s="41">
        <v>10060014</v>
      </c>
      <c r="F168" s="46" t="s">
        <v>192</v>
      </c>
      <c r="G168" s="39" t="s">
        <v>635</v>
      </c>
      <c r="H168" s="48" t="s">
        <v>99</v>
      </c>
      <c r="I168" s="52">
        <v>118.00000000000001</v>
      </c>
      <c r="J168" s="49">
        <v>4581.2800000000007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50">
        <v>4581.2800000000007</v>
      </c>
      <c r="R168" s="65">
        <v>0</v>
      </c>
      <c r="S168" s="65">
        <v>0</v>
      </c>
      <c r="T168" s="65">
        <v>0</v>
      </c>
      <c r="U168" s="65">
        <v>0</v>
      </c>
      <c r="V168" s="65">
        <v>904.20975483870961</v>
      </c>
      <c r="W168" s="65">
        <v>0</v>
      </c>
      <c r="X168" s="65">
        <v>0</v>
      </c>
      <c r="Y168" s="65">
        <v>0</v>
      </c>
      <c r="Z168" s="65">
        <v>3677.070245161291</v>
      </c>
      <c r="AA168" s="51">
        <v>0</v>
      </c>
      <c r="AB168" s="102">
        <v>0</v>
      </c>
      <c r="AC168" s="81">
        <f t="shared" si="9"/>
        <v>451.91609491525423</v>
      </c>
      <c r="AD168" s="82">
        <f t="shared" si="10"/>
        <v>16.857142857142858</v>
      </c>
      <c r="AE168" s="218">
        <v>0</v>
      </c>
      <c r="AF168">
        <v>0</v>
      </c>
      <c r="AH168" t="str">
        <f t="shared" si="8"/>
        <v>Sonvarsha</v>
      </c>
      <c r="AJ168" s="72">
        <v>0</v>
      </c>
      <c r="AK168" s="72"/>
      <c r="AL168" s="72"/>
      <c r="AM168" s="72"/>
    </row>
    <row r="169" spans="1:39" x14ac:dyDescent="0.25">
      <c r="A169" s="37" t="s">
        <v>62</v>
      </c>
      <c r="B169" s="66" t="s">
        <v>1566</v>
      </c>
      <c r="C169" s="47">
        <v>1006</v>
      </c>
      <c r="D169" s="47" t="s">
        <v>183</v>
      </c>
      <c r="E169" s="41">
        <v>10060015</v>
      </c>
      <c r="F169" s="46" t="s">
        <v>193</v>
      </c>
      <c r="G169" s="39" t="s">
        <v>635</v>
      </c>
      <c r="H169" s="48" t="s">
        <v>99</v>
      </c>
      <c r="I169" s="52">
        <v>10.3</v>
      </c>
      <c r="J169" s="49">
        <v>366.39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50">
        <v>366.39</v>
      </c>
      <c r="R169" s="65">
        <v>0</v>
      </c>
      <c r="S169" s="65">
        <v>0</v>
      </c>
      <c r="T169" s="65">
        <v>0</v>
      </c>
      <c r="U169" s="65">
        <v>0</v>
      </c>
      <c r="V169" s="65">
        <v>34.779445161290312</v>
      </c>
      <c r="W169" s="65">
        <v>0</v>
      </c>
      <c r="X169" s="65">
        <v>0</v>
      </c>
      <c r="Y169" s="65">
        <v>0</v>
      </c>
      <c r="Z169" s="65">
        <v>331.61055483870967</v>
      </c>
      <c r="AA169" s="51">
        <v>0</v>
      </c>
      <c r="AB169" s="102">
        <v>0</v>
      </c>
      <c r="AC169" s="81">
        <f t="shared" si="9"/>
        <v>490.67802524271838</v>
      </c>
      <c r="AD169" s="82">
        <f t="shared" si="10"/>
        <v>1.4714285714285715</v>
      </c>
      <c r="AE169" s="218">
        <v>0</v>
      </c>
      <c r="AF169">
        <v>0</v>
      </c>
      <c r="AH169" t="str">
        <f t="shared" si="8"/>
        <v>Sonvarsha</v>
      </c>
      <c r="AJ169" s="72">
        <v>0</v>
      </c>
      <c r="AK169" s="72"/>
      <c r="AL169" s="72"/>
      <c r="AM169" s="72"/>
    </row>
    <row r="170" spans="1:39" x14ac:dyDescent="0.25">
      <c r="A170" s="37" t="s">
        <v>62</v>
      </c>
      <c r="B170" s="66" t="s">
        <v>1566</v>
      </c>
      <c r="C170" s="47">
        <v>1006</v>
      </c>
      <c r="D170" s="47" t="s">
        <v>183</v>
      </c>
      <c r="E170" s="41">
        <v>10060020</v>
      </c>
      <c r="F170" s="46" t="s">
        <v>194</v>
      </c>
      <c r="G170" s="39" t="s">
        <v>635</v>
      </c>
      <c r="H170" s="48" t="s">
        <v>99</v>
      </c>
      <c r="I170" s="52">
        <v>1084.0999999999999</v>
      </c>
      <c r="J170" s="49">
        <v>39773.469999999994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50">
        <v>39773.469999999994</v>
      </c>
      <c r="R170" s="65">
        <v>0</v>
      </c>
      <c r="S170" s="65">
        <v>0</v>
      </c>
      <c r="T170" s="65">
        <v>0</v>
      </c>
      <c r="U170" s="65">
        <v>0</v>
      </c>
      <c r="V170" s="65">
        <v>67.531451612903112</v>
      </c>
      <c r="W170" s="65">
        <v>0</v>
      </c>
      <c r="X170" s="65">
        <v>0</v>
      </c>
      <c r="Y170" s="65">
        <v>0</v>
      </c>
      <c r="Z170" s="65">
        <v>39705.938548387094</v>
      </c>
      <c r="AA170" s="51">
        <v>0</v>
      </c>
      <c r="AB170" s="102">
        <v>0</v>
      </c>
      <c r="AC170" s="81">
        <f t="shared" si="9"/>
        <v>0</v>
      </c>
      <c r="AD170" s="82">
        <f t="shared" si="10"/>
        <v>0</v>
      </c>
      <c r="AE170" s="218">
        <v>0</v>
      </c>
      <c r="AF170">
        <v>0</v>
      </c>
      <c r="AH170" t="str">
        <f t="shared" si="8"/>
        <v>Sonvarsha</v>
      </c>
      <c r="AJ170" s="72">
        <v>0</v>
      </c>
      <c r="AK170" s="72"/>
      <c r="AL170" s="72"/>
      <c r="AM170" s="72"/>
    </row>
    <row r="171" spans="1:39" x14ac:dyDescent="0.25">
      <c r="A171" s="37" t="s">
        <v>62</v>
      </c>
      <c r="B171" s="66" t="s">
        <v>1566</v>
      </c>
      <c r="C171" s="47">
        <v>1006</v>
      </c>
      <c r="D171" s="47" t="s">
        <v>183</v>
      </c>
      <c r="E171" s="41">
        <v>10060021</v>
      </c>
      <c r="F171" s="46" t="s">
        <v>195</v>
      </c>
      <c r="G171" s="39" t="s">
        <v>635</v>
      </c>
      <c r="H171" s="48" t="s">
        <v>99</v>
      </c>
      <c r="I171" s="52">
        <v>314</v>
      </c>
      <c r="J171" s="49">
        <v>12009.630000000001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50">
        <v>12009.630000000001</v>
      </c>
      <c r="R171" s="65">
        <v>0</v>
      </c>
      <c r="S171" s="65">
        <v>0</v>
      </c>
      <c r="T171" s="65">
        <v>0</v>
      </c>
      <c r="U171" s="65">
        <v>9391</v>
      </c>
      <c r="V171" s="65">
        <v>2618.4919161290313</v>
      </c>
      <c r="W171" s="65">
        <v>0</v>
      </c>
      <c r="X171" s="65">
        <v>0</v>
      </c>
      <c r="Y171" s="65">
        <v>0</v>
      </c>
      <c r="Z171" s="65">
        <v>0.13808387096969454</v>
      </c>
      <c r="AA171" s="51">
        <v>0</v>
      </c>
      <c r="AB171" s="102">
        <v>0</v>
      </c>
      <c r="AC171" s="81">
        <f t="shared" si="9"/>
        <v>295.26861019108287</v>
      </c>
      <c r="AD171" s="82">
        <f t="shared" si="10"/>
        <v>44.857142857142854</v>
      </c>
      <c r="AE171" s="218">
        <v>0</v>
      </c>
      <c r="AF171">
        <v>0</v>
      </c>
      <c r="AH171" t="str">
        <f t="shared" si="8"/>
        <v>Sonvarsha</v>
      </c>
      <c r="AJ171" s="72">
        <v>0</v>
      </c>
      <c r="AK171" s="72"/>
      <c r="AL171" s="72"/>
      <c r="AM171" s="72"/>
    </row>
    <row r="172" spans="1:39" x14ac:dyDescent="0.25">
      <c r="A172" s="37" t="s">
        <v>62</v>
      </c>
      <c r="B172" s="66" t="s">
        <v>1566</v>
      </c>
      <c r="C172" s="47">
        <v>1006</v>
      </c>
      <c r="D172" s="47" t="s">
        <v>183</v>
      </c>
      <c r="E172" s="41">
        <v>10060022</v>
      </c>
      <c r="F172" s="46" t="s">
        <v>617</v>
      </c>
      <c r="G172" s="39" t="s">
        <v>93</v>
      </c>
      <c r="H172" s="48" t="s">
        <v>94</v>
      </c>
      <c r="I172" s="52">
        <v>789.80000000000007</v>
      </c>
      <c r="J172" s="49">
        <v>28955.75</v>
      </c>
      <c r="K172" s="65">
        <v>788.19999999999993</v>
      </c>
      <c r="L172" s="65">
        <v>29469.396389400004</v>
      </c>
      <c r="M172" s="65">
        <v>15.099999999999998</v>
      </c>
      <c r="N172" s="65">
        <v>570.19070196000018</v>
      </c>
      <c r="O172" s="65">
        <v>803.3</v>
      </c>
      <c r="P172" s="65">
        <v>30039.587091360005</v>
      </c>
      <c r="Q172" s="50">
        <v>28955.75</v>
      </c>
      <c r="R172" s="65">
        <v>0</v>
      </c>
      <c r="S172" s="65">
        <v>570.19070196000018</v>
      </c>
      <c r="T172" s="65">
        <v>1083.8370913600047</v>
      </c>
      <c r="U172" s="65">
        <v>26764</v>
      </c>
      <c r="V172" s="65">
        <v>1621.2426599999997</v>
      </c>
      <c r="W172" s="65">
        <v>0</v>
      </c>
      <c r="X172" s="65">
        <v>0</v>
      </c>
      <c r="Y172" s="65">
        <v>0</v>
      </c>
      <c r="Z172" s="65">
        <v>0</v>
      </c>
      <c r="AA172" s="51">
        <v>0</v>
      </c>
      <c r="AB172" s="102" t="s">
        <v>66</v>
      </c>
      <c r="AC172" s="81">
        <f t="shared" si="9"/>
        <v>0</v>
      </c>
      <c r="AD172" s="82">
        <f t="shared" si="10"/>
        <v>0</v>
      </c>
      <c r="AE172" s="218">
        <v>-3.7430807054212194E-2</v>
      </c>
      <c r="AF172">
        <v>5</v>
      </c>
      <c r="AH172" t="str">
        <f t="shared" si="8"/>
        <v>Sonvarsha</v>
      </c>
      <c r="AJ172" s="72">
        <v>0</v>
      </c>
      <c r="AK172" s="72"/>
      <c r="AL172" s="72"/>
      <c r="AM172" s="72"/>
    </row>
    <row r="173" spans="1:39" x14ac:dyDescent="0.25">
      <c r="A173" s="37" t="s">
        <v>62</v>
      </c>
      <c r="B173" s="66" t="s">
        <v>1566</v>
      </c>
      <c r="C173" s="47">
        <v>1006</v>
      </c>
      <c r="D173" s="47" t="s">
        <v>183</v>
      </c>
      <c r="E173" s="41">
        <v>10060023</v>
      </c>
      <c r="F173" s="46" t="s">
        <v>196</v>
      </c>
      <c r="G173" s="39" t="s">
        <v>635</v>
      </c>
      <c r="H173" s="48" t="s">
        <v>99</v>
      </c>
      <c r="I173" s="52">
        <v>100.89999999999998</v>
      </c>
      <c r="J173" s="49">
        <v>4696.7500000000009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50">
        <v>4696.7500000000009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4696.7500000000009</v>
      </c>
      <c r="AA173" s="51">
        <v>0</v>
      </c>
      <c r="AB173" s="102">
        <v>0</v>
      </c>
      <c r="AC173" s="81">
        <f t="shared" si="9"/>
        <v>557.744881070367</v>
      </c>
      <c r="AD173" s="82">
        <f t="shared" si="10"/>
        <v>14.414285714285711</v>
      </c>
      <c r="AE173" s="218">
        <v>0</v>
      </c>
      <c r="AF173">
        <v>0</v>
      </c>
      <c r="AH173" t="str">
        <f t="shared" si="8"/>
        <v>Sonvarsha</v>
      </c>
      <c r="AJ173" s="72">
        <v>0</v>
      </c>
      <c r="AK173" s="72"/>
      <c r="AL173" s="72"/>
      <c r="AM173" s="72"/>
    </row>
    <row r="174" spans="1:39" x14ac:dyDescent="0.25">
      <c r="A174" s="37" t="s">
        <v>62</v>
      </c>
      <c r="B174" s="66" t="s">
        <v>1566</v>
      </c>
      <c r="C174" s="47">
        <v>1006</v>
      </c>
      <c r="D174" s="47" t="s">
        <v>183</v>
      </c>
      <c r="E174" s="41">
        <v>10060026</v>
      </c>
      <c r="F174" s="46" t="s">
        <v>197</v>
      </c>
      <c r="G174" s="39" t="s">
        <v>93</v>
      </c>
      <c r="H174" s="48" t="s">
        <v>94</v>
      </c>
      <c r="I174" s="52">
        <v>443.2999999999999</v>
      </c>
      <c r="J174" s="49">
        <v>18044.07</v>
      </c>
      <c r="K174" s="65">
        <v>419.29999999999995</v>
      </c>
      <c r="L174" s="65">
        <v>17878.50699989</v>
      </c>
      <c r="M174" s="65">
        <v>1.75</v>
      </c>
      <c r="N174" s="65">
        <v>79.242753636000018</v>
      </c>
      <c r="O174" s="65">
        <v>421.04999999999995</v>
      </c>
      <c r="P174" s="65">
        <v>17957.749753526001</v>
      </c>
      <c r="Q174" s="50">
        <v>17957.749753526001</v>
      </c>
      <c r="R174" s="65">
        <v>0</v>
      </c>
      <c r="S174" s="65">
        <v>79.242753636000018</v>
      </c>
      <c r="T174" s="65">
        <v>0</v>
      </c>
      <c r="U174" s="65">
        <v>0</v>
      </c>
      <c r="V174" s="65">
        <v>0</v>
      </c>
      <c r="W174" s="65">
        <v>0</v>
      </c>
      <c r="X174" s="65">
        <v>17878</v>
      </c>
      <c r="Y174" s="65">
        <v>0</v>
      </c>
      <c r="Z174" s="65">
        <v>0</v>
      </c>
      <c r="AA174" s="51">
        <v>87</v>
      </c>
      <c r="AB174" s="102">
        <v>0</v>
      </c>
      <c r="AC174" s="81">
        <f t="shared" si="9"/>
        <v>208.974183126551</v>
      </c>
      <c r="AD174" s="82">
        <f t="shared" si="10"/>
        <v>63.328571428571415</v>
      </c>
      <c r="AE174" s="218">
        <v>4.7838567725573475E-3</v>
      </c>
      <c r="AF174">
        <v>4</v>
      </c>
      <c r="AH174" t="str">
        <f t="shared" si="8"/>
        <v>Sonvarsha</v>
      </c>
      <c r="AJ174" s="72">
        <v>0</v>
      </c>
      <c r="AK174" s="72"/>
      <c r="AL174" s="72"/>
      <c r="AM174" s="72"/>
    </row>
    <row r="175" spans="1:39" x14ac:dyDescent="0.25">
      <c r="A175" s="37" t="s">
        <v>62</v>
      </c>
      <c r="B175" s="66" t="s">
        <v>1566</v>
      </c>
      <c r="C175" s="47">
        <v>1059</v>
      </c>
      <c r="D175" s="47" t="s">
        <v>1347</v>
      </c>
      <c r="E175" s="41">
        <v>10060027</v>
      </c>
      <c r="F175" s="46" t="s">
        <v>198</v>
      </c>
      <c r="G175" s="39" t="s">
        <v>93</v>
      </c>
      <c r="H175" s="48" t="s">
        <v>94</v>
      </c>
      <c r="I175" s="52">
        <v>1457.6</v>
      </c>
      <c r="J175" s="49">
        <v>61619.630000000019</v>
      </c>
      <c r="K175" s="65">
        <v>1463.9400000000005</v>
      </c>
      <c r="L175" s="65">
        <v>62202.410326935533</v>
      </c>
      <c r="M175" s="65">
        <v>20.8</v>
      </c>
      <c r="N175" s="65">
        <v>884.92772808000007</v>
      </c>
      <c r="O175" s="65">
        <v>1484.7400000000005</v>
      </c>
      <c r="P175" s="65">
        <v>63087.338055015534</v>
      </c>
      <c r="Q175" s="50">
        <v>61619.630000000019</v>
      </c>
      <c r="R175" s="65">
        <v>0</v>
      </c>
      <c r="S175" s="65">
        <v>884.92772808000007</v>
      </c>
      <c r="T175" s="65">
        <v>1467.7080550155151</v>
      </c>
      <c r="U175" s="65">
        <v>0</v>
      </c>
      <c r="V175" s="65">
        <v>0</v>
      </c>
      <c r="W175" s="65">
        <v>0</v>
      </c>
      <c r="X175" s="65">
        <v>60735</v>
      </c>
      <c r="Y175" s="65">
        <v>0</v>
      </c>
      <c r="Z175" s="65">
        <v>0</v>
      </c>
      <c r="AA175" s="51">
        <v>0</v>
      </c>
      <c r="AB175" s="102">
        <v>0</v>
      </c>
      <c r="AC175" s="81">
        <f t="shared" si="9"/>
        <v>0</v>
      </c>
      <c r="AD175" s="82">
        <f t="shared" si="10"/>
        <v>0</v>
      </c>
      <c r="AE175" s="218">
        <v>-2.3818839142908107E-2</v>
      </c>
      <c r="AF175">
        <v>67</v>
      </c>
      <c r="AH175" t="str">
        <f t="shared" si="8"/>
        <v>Gopalpur Bmc</v>
      </c>
      <c r="AJ175" s="72">
        <v>0</v>
      </c>
      <c r="AK175" s="72"/>
      <c r="AL175" s="72"/>
      <c r="AM175" s="72"/>
    </row>
    <row r="176" spans="1:39" x14ac:dyDescent="0.25">
      <c r="A176" s="37" t="s">
        <v>62</v>
      </c>
      <c r="B176" s="66" t="s">
        <v>1566</v>
      </c>
      <c r="C176" s="47">
        <v>1006</v>
      </c>
      <c r="D176" s="47" t="s">
        <v>183</v>
      </c>
      <c r="E176" s="41">
        <v>10060028</v>
      </c>
      <c r="F176" s="46" t="s">
        <v>199</v>
      </c>
      <c r="G176" s="39" t="s">
        <v>635</v>
      </c>
      <c r="H176" s="48" t="s">
        <v>99</v>
      </c>
      <c r="I176" s="52">
        <v>719.6</v>
      </c>
      <c r="J176" s="49">
        <v>25614.670000000006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50">
        <v>25614.670000000006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25614.670000000006</v>
      </c>
      <c r="AA176" s="51">
        <v>0</v>
      </c>
      <c r="AB176" s="102">
        <v>0</v>
      </c>
      <c r="AC176" s="81">
        <f t="shared" si="9"/>
        <v>0</v>
      </c>
      <c r="AD176" s="82">
        <f t="shared" si="10"/>
        <v>0</v>
      </c>
      <c r="AE176" s="218">
        <v>0</v>
      </c>
      <c r="AF176">
        <v>0</v>
      </c>
      <c r="AH176" t="str">
        <f t="shared" si="8"/>
        <v>Sonvarsha</v>
      </c>
      <c r="AJ176" s="72">
        <v>0</v>
      </c>
      <c r="AK176" s="72"/>
      <c r="AL176" s="72"/>
      <c r="AM176" s="72"/>
    </row>
    <row r="177" spans="1:39" x14ac:dyDescent="0.25">
      <c r="A177" s="37" t="s">
        <v>62</v>
      </c>
      <c r="B177" s="66" t="s">
        <v>1566</v>
      </c>
      <c r="C177" s="47">
        <v>1006</v>
      </c>
      <c r="D177" s="47" t="s">
        <v>183</v>
      </c>
      <c r="E177" s="41">
        <v>10060029</v>
      </c>
      <c r="F177" s="46" t="s">
        <v>200</v>
      </c>
      <c r="G177" s="39" t="s">
        <v>93</v>
      </c>
      <c r="H177" s="48" t="s">
        <v>94</v>
      </c>
      <c r="I177" s="52">
        <v>725.1</v>
      </c>
      <c r="J177" s="49">
        <v>31222.190000000002</v>
      </c>
      <c r="K177" s="65">
        <v>741.86000000000024</v>
      </c>
      <c r="L177" s="65">
        <v>31528.735095095326</v>
      </c>
      <c r="M177" s="65">
        <v>10.559999999999999</v>
      </c>
      <c r="N177" s="65">
        <v>542.11825219033005</v>
      </c>
      <c r="O177" s="65">
        <v>752.42000000000019</v>
      </c>
      <c r="P177" s="65">
        <v>32070.853347285654</v>
      </c>
      <c r="Q177" s="50">
        <v>31222.190000000002</v>
      </c>
      <c r="R177" s="65">
        <v>0</v>
      </c>
      <c r="S177" s="65">
        <v>542.11825219033005</v>
      </c>
      <c r="T177" s="65">
        <v>848.66334728565198</v>
      </c>
      <c r="U177" s="65">
        <v>0</v>
      </c>
      <c r="V177" s="65">
        <v>116.89469999999945</v>
      </c>
      <c r="W177" s="65">
        <v>0</v>
      </c>
      <c r="X177" s="65">
        <v>30563</v>
      </c>
      <c r="Y177" s="65">
        <v>0</v>
      </c>
      <c r="Z177" s="65">
        <v>0</v>
      </c>
      <c r="AA177" s="51">
        <v>0</v>
      </c>
      <c r="AB177" s="102">
        <v>0</v>
      </c>
      <c r="AC177" s="81">
        <f t="shared" si="9"/>
        <v>0</v>
      </c>
      <c r="AD177" s="82">
        <f t="shared" si="10"/>
        <v>0</v>
      </c>
      <c r="AE177" s="218">
        <v>-2.7181416399222856E-2</v>
      </c>
      <c r="AF177">
        <v>35</v>
      </c>
      <c r="AH177" t="str">
        <f t="shared" si="8"/>
        <v>Sonvarsha</v>
      </c>
      <c r="AJ177" s="72">
        <v>0</v>
      </c>
      <c r="AK177" s="72"/>
      <c r="AL177" s="72"/>
      <c r="AM177" s="72"/>
    </row>
    <row r="178" spans="1:39" x14ac:dyDescent="0.25">
      <c r="A178" s="37" t="s">
        <v>62</v>
      </c>
      <c r="B178" s="66" t="s">
        <v>1566</v>
      </c>
      <c r="C178" s="47">
        <v>1006</v>
      </c>
      <c r="D178" s="47" t="s">
        <v>183</v>
      </c>
      <c r="E178" s="41">
        <v>10060031</v>
      </c>
      <c r="F178" s="46" t="s">
        <v>201</v>
      </c>
      <c r="G178" s="39" t="s">
        <v>93</v>
      </c>
      <c r="H178" s="48" t="s">
        <v>94</v>
      </c>
      <c r="I178" s="52">
        <v>248.60000000000002</v>
      </c>
      <c r="J178" s="49">
        <v>9861.57</v>
      </c>
      <c r="K178" s="65">
        <v>248.77999999999997</v>
      </c>
      <c r="L178" s="65">
        <v>9919.9786621698022</v>
      </c>
      <c r="M178" s="65">
        <v>0</v>
      </c>
      <c r="N178" s="65">
        <v>0</v>
      </c>
      <c r="O178" s="65">
        <v>248.77999999999997</v>
      </c>
      <c r="P178" s="65">
        <v>9919.9786621698022</v>
      </c>
      <c r="Q178" s="50">
        <v>9861.57</v>
      </c>
      <c r="R178" s="65">
        <v>0</v>
      </c>
      <c r="S178" s="65">
        <v>0</v>
      </c>
      <c r="T178" s="65">
        <v>58.408662169802483</v>
      </c>
      <c r="U178" s="65">
        <v>0</v>
      </c>
      <c r="V178" s="65">
        <v>184.32</v>
      </c>
      <c r="W178" s="65">
        <v>0</v>
      </c>
      <c r="X178" s="65">
        <v>9677</v>
      </c>
      <c r="Y178" s="65">
        <v>0</v>
      </c>
      <c r="Z178" s="65">
        <v>0</v>
      </c>
      <c r="AA178" s="51">
        <v>0</v>
      </c>
      <c r="AB178" s="102" t="s">
        <v>66</v>
      </c>
      <c r="AC178" s="81">
        <f t="shared" si="9"/>
        <v>358.12652437650837</v>
      </c>
      <c r="AD178" s="82">
        <f t="shared" si="10"/>
        <v>35.51428571428572</v>
      </c>
      <c r="AE178" s="218">
        <v>-5.9228563169761491E-3</v>
      </c>
      <c r="AF178">
        <v>6</v>
      </c>
      <c r="AH178" t="str">
        <f t="shared" si="8"/>
        <v>Sonvarsha</v>
      </c>
      <c r="AJ178" s="72">
        <v>0</v>
      </c>
      <c r="AK178" s="72"/>
      <c r="AL178" s="72"/>
      <c r="AM178" s="72"/>
    </row>
    <row r="179" spans="1:39" x14ac:dyDescent="0.25">
      <c r="A179" s="37" t="s">
        <v>62</v>
      </c>
      <c r="B179" s="66" t="s">
        <v>1566</v>
      </c>
      <c r="C179" s="47">
        <v>1059</v>
      </c>
      <c r="D179" s="47" t="s">
        <v>1347</v>
      </c>
      <c r="E179" s="41">
        <v>10060032</v>
      </c>
      <c r="F179" s="46" t="s">
        <v>202</v>
      </c>
      <c r="G179" s="39" t="s">
        <v>93</v>
      </c>
      <c r="H179" s="48" t="s">
        <v>94</v>
      </c>
      <c r="I179" s="52">
        <v>2888.5</v>
      </c>
      <c r="J179" s="49">
        <v>136920.72</v>
      </c>
      <c r="K179" s="65">
        <v>2890.9900000000007</v>
      </c>
      <c r="L179" s="65">
        <v>138798.42438653891</v>
      </c>
      <c r="M179" s="65">
        <v>26.62</v>
      </c>
      <c r="N179" s="65">
        <v>1679.7608959042002</v>
      </c>
      <c r="O179" s="65">
        <v>2917.6100000000006</v>
      </c>
      <c r="P179" s="65">
        <v>140478.18528244313</v>
      </c>
      <c r="Q179" s="50">
        <v>136920.72</v>
      </c>
      <c r="R179" s="65">
        <v>0</v>
      </c>
      <c r="S179" s="65">
        <v>1679.7608959042002</v>
      </c>
      <c r="T179" s="65">
        <v>3557.465282443125</v>
      </c>
      <c r="U179" s="65">
        <v>0</v>
      </c>
      <c r="V179" s="65">
        <v>0</v>
      </c>
      <c r="W179" s="65">
        <v>0</v>
      </c>
      <c r="X179" s="65">
        <v>135241</v>
      </c>
      <c r="Y179" s="65">
        <v>0</v>
      </c>
      <c r="Z179" s="65">
        <v>0</v>
      </c>
      <c r="AA179" s="51">
        <v>0</v>
      </c>
      <c r="AB179" s="102">
        <v>0</v>
      </c>
      <c r="AC179" s="81">
        <f t="shared" si="9"/>
        <v>0</v>
      </c>
      <c r="AD179" s="82">
        <f t="shared" si="10"/>
        <v>0</v>
      </c>
      <c r="AE179" s="218">
        <v>-2.5981935257447703E-2</v>
      </c>
      <c r="AF179">
        <v>48</v>
      </c>
      <c r="AH179" t="str">
        <f t="shared" si="8"/>
        <v>Gopalpur Bmc</v>
      </c>
      <c r="AJ179" s="72">
        <v>0</v>
      </c>
      <c r="AK179" s="72"/>
      <c r="AL179" s="72"/>
      <c r="AM179" s="72"/>
    </row>
    <row r="180" spans="1:39" x14ac:dyDescent="0.25">
      <c r="A180" s="37" t="s">
        <v>62</v>
      </c>
      <c r="B180" s="66" t="s">
        <v>1566</v>
      </c>
      <c r="C180" s="47">
        <v>1059</v>
      </c>
      <c r="D180" s="47" t="s">
        <v>1347</v>
      </c>
      <c r="E180" s="41">
        <v>10060049</v>
      </c>
      <c r="F180" s="46" t="s">
        <v>204</v>
      </c>
      <c r="G180" s="39" t="s">
        <v>93</v>
      </c>
      <c r="H180" s="48" t="s">
        <v>94</v>
      </c>
      <c r="I180" s="52">
        <v>606.40000000000009</v>
      </c>
      <c r="J180" s="49">
        <v>25964.03</v>
      </c>
      <c r="K180" s="65">
        <v>600.78</v>
      </c>
      <c r="L180" s="65">
        <v>26247.87517368211</v>
      </c>
      <c r="M180" s="65">
        <v>9.1</v>
      </c>
      <c r="N180" s="65">
        <v>408.2682617552</v>
      </c>
      <c r="O180" s="65">
        <v>609.88</v>
      </c>
      <c r="P180" s="65">
        <v>26656.143435437312</v>
      </c>
      <c r="Q180" s="50">
        <v>25964.03</v>
      </c>
      <c r="R180" s="65">
        <v>0</v>
      </c>
      <c r="S180" s="65">
        <v>408.2682617552</v>
      </c>
      <c r="T180" s="65">
        <v>692.11343543731346</v>
      </c>
      <c r="U180" s="65">
        <v>0</v>
      </c>
      <c r="V180" s="65">
        <v>0</v>
      </c>
      <c r="W180" s="65">
        <v>0</v>
      </c>
      <c r="X180" s="65">
        <v>25556</v>
      </c>
      <c r="Y180" s="65">
        <v>0</v>
      </c>
      <c r="Z180" s="65">
        <v>0</v>
      </c>
      <c r="AA180" s="51">
        <v>0</v>
      </c>
      <c r="AB180" s="102">
        <v>0</v>
      </c>
      <c r="AC180" s="81">
        <f t="shared" si="9"/>
        <v>80.152810290237326</v>
      </c>
      <c r="AD180" s="82">
        <f t="shared" si="10"/>
        <v>86.628571428571448</v>
      </c>
      <c r="AE180" s="218">
        <v>-2.6656625933543964E-2</v>
      </c>
      <c r="AF180">
        <v>25</v>
      </c>
      <c r="AH180" t="str">
        <f t="shared" si="8"/>
        <v>Gopalpur Bmc</v>
      </c>
      <c r="AJ180" s="72">
        <v>0</v>
      </c>
      <c r="AK180" s="72"/>
      <c r="AL180" s="72"/>
      <c r="AM180" s="72"/>
    </row>
    <row r="181" spans="1:39" x14ac:dyDescent="0.25">
      <c r="A181" s="37" t="s">
        <v>62</v>
      </c>
      <c r="B181" s="66" t="s">
        <v>1566</v>
      </c>
      <c r="C181" s="47">
        <v>1059</v>
      </c>
      <c r="D181" s="47" t="s">
        <v>1347</v>
      </c>
      <c r="E181" s="41">
        <v>10060050</v>
      </c>
      <c r="F181" s="46" t="s">
        <v>205</v>
      </c>
      <c r="G181" s="39" t="s">
        <v>93</v>
      </c>
      <c r="H181" s="48" t="s">
        <v>94</v>
      </c>
      <c r="I181" s="52">
        <v>449.50000000000006</v>
      </c>
      <c r="J181" s="49">
        <v>20248.099999999999</v>
      </c>
      <c r="K181" s="65">
        <v>471.28000000000003</v>
      </c>
      <c r="L181" s="65">
        <v>19977.878436579769</v>
      </c>
      <c r="M181" s="65">
        <v>6.2299999999999995</v>
      </c>
      <c r="N181" s="65">
        <v>260.85853080422999</v>
      </c>
      <c r="O181" s="65">
        <v>477.51000000000005</v>
      </c>
      <c r="P181" s="65">
        <v>20238.736967384</v>
      </c>
      <c r="Q181" s="50">
        <v>20238.736967384</v>
      </c>
      <c r="R181" s="65">
        <v>0</v>
      </c>
      <c r="S181" s="65">
        <v>260.85853080422999</v>
      </c>
      <c r="T181" s="65">
        <v>0</v>
      </c>
      <c r="U181" s="65">
        <v>0</v>
      </c>
      <c r="V181" s="65">
        <v>0</v>
      </c>
      <c r="W181" s="65">
        <v>0</v>
      </c>
      <c r="X181" s="65">
        <v>19979</v>
      </c>
      <c r="Y181" s="65">
        <v>0</v>
      </c>
      <c r="Z181" s="65">
        <v>0</v>
      </c>
      <c r="AA181" s="51">
        <v>8</v>
      </c>
      <c r="AB181" s="102">
        <v>0</v>
      </c>
      <c r="AC181" s="81">
        <f t="shared" si="9"/>
        <v>225.67960177975519</v>
      </c>
      <c r="AD181" s="82">
        <f t="shared" si="10"/>
        <v>64.214285714285722</v>
      </c>
      <c r="AE181" s="218">
        <v>4.6241536815791294E-4</v>
      </c>
      <c r="AF181">
        <v>16</v>
      </c>
      <c r="AH181" t="str">
        <f t="shared" si="8"/>
        <v>Gopalpur Bmc</v>
      </c>
      <c r="AJ181" s="72">
        <v>0</v>
      </c>
      <c r="AK181" s="72"/>
      <c r="AL181" s="72"/>
      <c r="AM181" s="72"/>
    </row>
    <row r="182" spans="1:39" x14ac:dyDescent="0.25">
      <c r="A182" s="37" t="s">
        <v>62</v>
      </c>
      <c r="B182" s="66" t="s">
        <v>1566</v>
      </c>
      <c r="C182" s="47">
        <v>1006</v>
      </c>
      <c r="D182" s="47" t="s">
        <v>183</v>
      </c>
      <c r="E182" s="41">
        <v>10060055</v>
      </c>
      <c r="F182" s="46" t="s">
        <v>1434</v>
      </c>
      <c r="G182" s="39" t="s">
        <v>635</v>
      </c>
      <c r="H182" s="48" t="s">
        <v>99</v>
      </c>
      <c r="I182" s="52">
        <v>362.59999999999997</v>
      </c>
      <c r="J182" s="49">
        <v>13006.309999999998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50">
        <v>13006.309999999998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13006.309999999998</v>
      </c>
      <c r="AA182" s="51">
        <v>0</v>
      </c>
      <c r="AB182" s="102">
        <v>0</v>
      </c>
      <c r="AC182" s="81">
        <f t="shared" si="9"/>
        <v>242.04793127413126</v>
      </c>
      <c r="AD182" s="82">
        <f t="shared" si="10"/>
        <v>51.8</v>
      </c>
      <c r="AE182" s="218">
        <v>0</v>
      </c>
      <c r="AF182">
        <v>0</v>
      </c>
      <c r="AH182" t="str">
        <f t="shared" si="8"/>
        <v>Sonvarsha</v>
      </c>
      <c r="AJ182" s="72">
        <v>0</v>
      </c>
      <c r="AK182" s="72"/>
      <c r="AL182" s="72"/>
      <c r="AM182" s="72"/>
    </row>
    <row r="183" spans="1:39" x14ac:dyDescent="0.25">
      <c r="A183" s="37" t="s">
        <v>62</v>
      </c>
      <c r="B183" s="66" t="s">
        <v>1566</v>
      </c>
      <c r="C183" s="47">
        <v>1006</v>
      </c>
      <c r="D183" s="47" t="s">
        <v>183</v>
      </c>
      <c r="E183" s="41">
        <v>10060058</v>
      </c>
      <c r="F183" s="46" t="s">
        <v>206</v>
      </c>
      <c r="G183" s="39" t="s">
        <v>93</v>
      </c>
      <c r="H183" s="48" t="s">
        <v>94</v>
      </c>
      <c r="I183" s="52">
        <v>884.4</v>
      </c>
      <c r="J183" s="49">
        <v>33133.67</v>
      </c>
      <c r="K183" s="65">
        <v>371.96999999999991</v>
      </c>
      <c r="L183" s="65">
        <v>13991.718175657201</v>
      </c>
      <c r="M183" s="65">
        <v>521.29</v>
      </c>
      <c r="N183" s="65">
        <v>20170.490393988002</v>
      </c>
      <c r="O183" s="65">
        <v>893.25999999999988</v>
      </c>
      <c r="P183" s="65">
        <v>34162.208569645205</v>
      </c>
      <c r="Q183" s="50">
        <v>33133.67</v>
      </c>
      <c r="R183" s="65">
        <v>0</v>
      </c>
      <c r="S183" s="65">
        <v>242.50298688000009</v>
      </c>
      <c r="T183" s="65">
        <v>1028.5385696452067</v>
      </c>
      <c r="U183" s="65">
        <v>0</v>
      </c>
      <c r="V183" s="65">
        <v>0</v>
      </c>
      <c r="W183" s="65">
        <v>0</v>
      </c>
      <c r="X183" s="65">
        <v>12963</v>
      </c>
      <c r="Y183" s="65">
        <v>19928</v>
      </c>
      <c r="Z183" s="65">
        <v>0</v>
      </c>
      <c r="AA183" s="51">
        <v>0</v>
      </c>
      <c r="AB183" s="102">
        <v>0</v>
      </c>
      <c r="AC183" s="81">
        <f t="shared" si="9"/>
        <v>0</v>
      </c>
      <c r="AD183" s="82">
        <f t="shared" si="10"/>
        <v>0</v>
      </c>
      <c r="AE183" s="218">
        <v>-3.1042096141031369E-2</v>
      </c>
      <c r="AF183">
        <v>6</v>
      </c>
      <c r="AH183" t="str">
        <f t="shared" si="8"/>
        <v>Sonvarsha</v>
      </c>
      <c r="AJ183" s="72">
        <v>0</v>
      </c>
      <c r="AK183" s="72"/>
      <c r="AL183" s="72"/>
      <c r="AM183" s="72"/>
    </row>
    <row r="184" spans="1:39" x14ac:dyDescent="0.25">
      <c r="A184" s="37" t="s">
        <v>62</v>
      </c>
      <c r="B184" s="66" t="s">
        <v>1566</v>
      </c>
      <c r="C184" s="47">
        <v>1006</v>
      </c>
      <c r="D184" s="47" t="s">
        <v>183</v>
      </c>
      <c r="E184" s="41">
        <v>10060061</v>
      </c>
      <c r="F184" s="46" t="s">
        <v>1450</v>
      </c>
      <c r="G184" s="39" t="s">
        <v>635</v>
      </c>
      <c r="H184" s="48" t="s">
        <v>99</v>
      </c>
      <c r="I184" s="52">
        <v>233.29999999999998</v>
      </c>
      <c r="J184" s="49">
        <v>8211.2000000000007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50">
        <v>8211.2000000000007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8211.2000000000007</v>
      </c>
      <c r="AA184" s="51">
        <v>0</v>
      </c>
      <c r="AB184" s="102">
        <v>0</v>
      </c>
      <c r="AC184" s="81">
        <f t="shared" si="9"/>
        <v>328.518391770253</v>
      </c>
      <c r="AD184" s="82">
        <f t="shared" si="10"/>
        <v>33.328571428571429</v>
      </c>
      <c r="AE184" s="218">
        <v>0</v>
      </c>
      <c r="AF184">
        <v>0</v>
      </c>
      <c r="AH184" t="str">
        <f t="shared" si="8"/>
        <v>Sonvarsha</v>
      </c>
      <c r="AJ184" s="72">
        <v>0</v>
      </c>
      <c r="AK184" s="72"/>
      <c r="AL184" s="72"/>
      <c r="AM184" s="72"/>
    </row>
    <row r="185" spans="1:39" x14ac:dyDescent="0.25">
      <c r="A185" s="37" t="s">
        <v>62</v>
      </c>
      <c r="B185" s="66" t="s">
        <v>1566</v>
      </c>
      <c r="C185" s="47">
        <v>1006</v>
      </c>
      <c r="D185" s="47" t="s">
        <v>183</v>
      </c>
      <c r="E185" s="41">
        <v>10060062</v>
      </c>
      <c r="F185" s="46" t="s">
        <v>484</v>
      </c>
      <c r="G185" s="39" t="s">
        <v>635</v>
      </c>
      <c r="H185" s="48" t="s">
        <v>99</v>
      </c>
      <c r="I185" s="52">
        <v>328.70000000000005</v>
      </c>
      <c r="J185" s="49">
        <v>12916.45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50">
        <v>12916.45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12916.45</v>
      </c>
      <c r="AA185" s="51">
        <v>0</v>
      </c>
      <c r="AB185" s="102">
        <v>0</v>
      </c>
      <c r="AC185" s="81">
        <f t="shared" si="9"/>
        <v>291.8088156373592</v>
      </c>
      <c r="AD185" s="82">
        <f t="shared" si="10"/>
        <v>46.957142857142863</v>
      </c>
      <c r="AE185" s="218">
        <v>0</v>
      </c>
      <c r="AF185">
        <v>0</v>
      </c>
      <c r="AH185" t="str">
        <f t="shared" si="8"/>
        <v>Sonvarsha</v>
      </c>
      <c r="AJ185" s="72">
        <v>0</v>
      </c>
      <c r="AK185" s="72"/>
      <c r="AL185" s="72"/>
      <c r="AM185" s="72"/>
    </row>
    <row r="186" spans="1:39" x14ac:dyDescent="0.25">
      <c r="A186" s="37" t="s">
        <v>62</v>
      </c>
      <c r="B186" s="66" t="s">
        <v>1566</v>
      </c>
      <c r="C186" s="47">
        <v>1059</v>
      </c>
      <c r="D186" s="47" t="s">
        <v>1347</v>
      </c>
      <c r="E186" s="41">
        <v>10060069</v>
      </c>
      <c r="F186" s="46" t="s">
        <v>450</v>
      </c>
      <c r="G186" s="39" t="s">
        <v>93</v>
      </c>
      <c r="H186" s="48" t="s">
        <v>94</v>
      </c>
      <c r="I186" s="52">
        <v>266.2</v>
      </c>
      <c r="J186" s="49">
        <v>11523.78</v>
      </c>
      <c r="K186" s="65">
        <v>266.2</v>
      </c>
      <c r="L186" s="65">
        <v>11523.989231686</v>
      </c>
      <c r="M186" s="65">
        <v>0</v>
      </c>
      <c r="N186" s="65">
        <v>0</v>
      </c>
      <c r="O186" s="65">
        <v>266.2</v>
      </c>
      <c r="P186" s="65">
        <v>11523.989231686</v>
      </c>
      <c r="Q186" s="50">
        <v>11523.78</v>
      </c>
      <c r="R186" s="65">
        <v>0</v>
      </c>
      <c r="S186" s="65">
        <v>0</v>
      </c>
      <c r="T186" s="65">
        <v>0.2092316859998391</v>
      </c>
      <c r="U186" s="65">
        <v>0</v>
      </c>
      <c r="V186" s="65">
        <v>0</v>
      </c>
      <c r="W186" s="65">
        <v>0</v>
      </c>
      <c r="X186" s="65">
        <v>11524</v>
      </c>
      <c r="Y186" s="65">
        <v>0</v>
      </c>
      <c r="Z186" s="65">
        <v>0</v>
      </c>
      <c r="AA186" s="51">
        <v>0</v>
      </c>
      <c r="AB186" s="102">
        <v>0</v>
      </c>
      <c r="AC186" s="81">
        <f t="shared" si="9"/>
        <v>375.58345334335093</v>
      </c>
      <c r="AD186" s="82">
        <f t="shared" si="10"/>
        <v>38.028571428571425</v>
      </c>
      <c r="AE186" s="218">
        <v>-1.815651513651242E-5</v>
      </c>
      <c r="AF186">
        <v>1</v>
      </c>
      <c r="AH186" t="str">
        <f t="shared" si="8"/>
        <v>Gopalpur Bmc</v>
      </c>
      <c r="AJ186" s="72">
        <v>0</v>
      </c>
      <c r="AK186" s="72"/>
      <c r="AL186" s="72"/>
      <c r="AM186" s="72"/>
    </row>
    <row r="187" spans="1:39" x14ac:dyDescent="0.25">
      <c r="A187" s="37" t="s">
        <v>62</v>
      </c>
      <c r="B187" s="66" t="s">
        <v>1566</v>
      </c>
      <c r="C187" s="47">
        <v>1059</v>
      </c>
      <c r="D187" s="47" t="s">
        <v>1347</v>
      </c>
      <c r="E187" s="41">
        <v>10060074</v>
      </c>
      <c r="F187" s="46" t="s">
        <v>485</v>
      </c>
      <c r="G187" s="39" t="s">
        <v>93</v>
      </c>
      <c r="H187" s="48" t="s">
        <v>94</v>
      </c>
      <c r="I187" s="52">
        <v>437.6</v>
      </c>
      <c r="J187" s="49">
        <v>18437</v>
      </c>
      <c r="K187" s="65">
        <v>428.96000000000004</v>
      </c>
      <c r="L187" s="65">
        <v>19550.733104194347</v>
      </c>
      <c r="M187" s="65">
        <v>6.4</v>
      </c>
      <c r="N187" s="65">
        <v>275.96792650980001</v>
      </c>
      <c r="O187" s="65">
        <v>435.36</v>
      </c>
      <c r="P187" s="65">
        <v>19826.701030704146</v>
      </c>
      <c r="Q187" s="50">
        <v>18437</v>
      </c>
      <c r="R187" s="65">
        <v>0</v>
      </c>
      <c r="S187" s="65">
        <v>275.96792650980001</v>
      </c>
      <c r="T187" s="65">
        <v>1389.7010307041455</v>
      </c>
      <c r="U187" s="65">
        <v>0</v>
      </c>
      <c r="V187" s="65">
        <v>0</v>
      </c>
      <c r="W187" s="65">
        <v>0</v>
      </c>
      <c r="X187" s="65">
        <v>18161</v>
      </c>
      <c r="Y187" s="65">
        <v>0</v>
      </c>
      <c r="Z187" s="65">
        <v>0</v>
      </c>
      <c r="AA187" s="51">
        <v>0</v>
      </c>
      <c r="AB187" s="102">
        <v>0</v>
      </c>
      <c r="AC187" s="81">
        <f t="shared" si="9"/>
        <v>221.10917733089576</v>
      </c>
      <c r="AD187" s="82">
        <f t="shared" si="10"/>
        <v>62.51428571428572</v>
      </c>
      <c r="AE187" s="218">
        <v>-7.5375659310307833E-2</v>
      </c>
      <c r="AF187">
        <v>11</v>
      </c>
      <c r="AH187" t="str">
        <f t="shared" si="8"/>
        <v>Gopalpur Bmc</v>
      </c>
      <c r="AJ187" s="72">
        <v>0</v>
      </c>
      <c r="AK187" s="72"/>
      <c r="AL187" s="72"/>
      <c r="AM187" s="72"/>
    </row>
    <row r="188" spans="1:39" x14ac:dyDescent="0.25">
      <c r="A188" s="37" t="s">
        <v>62</v>
      </c>
      <c r="B188" s="66" t="s">
        <v>1566</v>
      </c>
      <c r="C188" s="47">
        <v>1006</v>
      </c>
      <c r="D188" s="47" t="s">
        <v>183</v>
      </c>
      <c r="E188" s="41">
        <v>10060077</v>
      </c>
      <c r="F188" s="46" t="s">
        <v>506</v>
      </c>
      <c r="G188" s="39" t="s">
        <v>93</v>
      </c>
      <c r="H188" s="48" t="s">
        <v>94</v>
      </c>
      <c r="I188" s="52">
        <v>1221.7</v>
      </c>
      <c r="J188" s="49">
        <v>49000.05</v>
      </c>
      <c r="K188" s="65">
        <v>1221.0000000000002</v>
      </c>
      <c r="L188" s="65">
        <v>47632.660307211198</v>
      </c>
      <c r="M188" s="65">
        <v>49.3</v>
      </c>
      <c r="N188" s="65">
        <v>2521.1539148934799</v>
      </c>
      <c r="O188" s="65">
        <v>1270.3000000000002</v>
      </c>
      <c r="P188" s="65">
        <v>50153.81422210468</v>
      </c>
      <c r="Q188" s="50">
        <v>49000.05</v>
      </c>
      <c r="R188" s="65">
        <v>0</v>
      </c>
      <c r="S188" s="65">
        <v>678.28226399999994</v>
      </c>
      <c r="T188" s="65">
        <v>1153.7642221046772</v>
      </c>
      <c r="U188" s="65">
        <v>0</v>
      </c>
      <c r="V188" s="65">
        <v>0</v>
      </c>
      <c r="W188" s="65">
        <v>0</v>
      </c>
      <c r="X188" s="65">
        <v>46479</v>
      </c>
      <c r="Y188" s="65">
        <v>1843</v>
      </c>
      <c r="Z188" s="65">
        <v>0</v>
      </c>
      <c r="AA188" s="51">
        <v>0</v>
      </c>
      <c r="AB188" s="102" t="s">
        <v>68</v>
      </c>
      <c r="AC188" s="81">
        <f t="shared" si="9"/>
        <v>0</v>
      </c>
      <c r="AD188" s="82">
        <f t="shared" si="10"/>
        <v>0</v>
      </c>
      <c r="AE188" s="218">
        <v>-2.3546184587662198E-2</v>
      </c>
      <c r="AF188">
        <v>35</v>
      </c>
      <c r="AH188" t="str">
        <f t="shared" si="8"/>
        <v>Sonvarsha</v>
      </c>
      <c r="AJ188" s="72">
        <v>0</v>
      </c>
      <c r="AK188" s="72"/>
      <c r="AL188" s="72"/>
      <c r="AM188" s="72"/>
    </row>
    <row r="189" spans="1:39" x14ac:dyDescent="0.25">
      <c r="A189" s="37" t="s">
        <v>62</v>
      </c>
      <c r="B189" s="66" t="s">
        <v>1566</v>
      </c>
      <c r="C189" s="47">
        <v>1006</v>
      </c>
      <c r="D189" s="47" t="s">
        <v>183</v>
      </c>
      <c r="E189" s="41">
        <v>10060083</v>
      </c>
      <c r="F189" s="46" t="s">
        <v>502</v>
      </c>
      <c r="G189" s="39" t="s">
        <v>635</v>
      </c>
      <c r="H189" s="48" t="s">
        <v>99</v>
      </c>
      <c r="I189" s="52">
        <v>1298.5999999999999</v>
      </c>
      <c r="J189" s="49">
        <v>48681.1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50">
        <v>48681.1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48681.1</v>
      </c>
      <c r="AA189" s="51">
        <v>0</v>
      </c>
      <c r="AB189" s="102">
        <v>0</v>
      </c>
      <c r="AC189" s="81">
        <f t="shared" si="9"/>
        <v>0</v>
      </c>
      <c r="AD189" s="82">
        <f t="shared" si="10"/>
        <v>0</v>
      </c>
      <c r="AE189" s="218">
        <v>0</v>
      </c>
      <c r="AF189">
        <v>0</v>
      </c>
      <c r="AH189" t="str">
        <f t="shared" si="8"/>
        <v>Sonvarsha</v>
      </c>
      <c r="AJ189" s="72">
        <v>0</v>
      </c>
      <c r="AK189" s="72"/>
      <c r="AL189" s="72"/>
      <c r="AM189" s="72"/>
    </row>
    <row r="190" spans="1:39" x14ac:dyDescent="0.25">
      <c r="A190" s="37" t="s">
        <v>62</v>
      </c>
      <c r="B190" s="66" t="s">
        <v>1566</v>
      </c>
      <c r="C190" s="47">
        <v>1059</v>
      </c>
      <c r="D190" s="47" t="s">
        <v>1347</v>
      </c>
      <c r="E190" s="41">
        <v>10060090</v>
      </c>
      <c r="F190" s="46" t="s">
        <v>535</v>
      </c>
      <c r="G190" s="39" t="s">
        <v>93</v>
      </c>
      <c r="H190" s="48" t="s">
        <v>94</v>
      </c>
      <c r="I190" s="52">
        <v>637.40000000000009</v>
      </c>
      <c r="J190" s="49">
        <v>28721.170000000006</v>
      </c>
      <c r="K190" s="65">
        <v>637.5</v>
      </c>
      <c r="L190" s="65">
        <v>28724.972591670004</v>
      </c>
      <c r="M190" s="65">
        <v>0</v>
      </c>
      <c r="N190" s="65">
        <v>0</v>
      </c>
      <c r="O190" s="65">
        <v>637.5</v>
      </c>
      <c r="P190" s="65">
        <v>28724.972591670004</v>
      </c>
      <c r="Q190" s="50">
        <v>28721.170000000006</v>
      </c>
      <c r="R190" s="65">
        <v>0</v>
      </c>
      <c r="S190" s="65">
        <v>0</v>
      </c>
      <c r="T190" s="65">
        <v>3.8025916699989466</v>
      </c>
      <c r="U190" s="65">
        <v>0</v>
      </c>
      <c r="V190" s="65">
        <v>0</v>
      </c>
      <c r="W190" s="65">
        <v>0</v>
      </c>
      <c r="X190" s="65">
        <v>28721</v>
      </c>
      <c r="Y190" s="65">
        <v>0</v>
      </c>
      <c r="Z190" s="65">
        <v>0</v>
      </c>
      <c r="AA190" s="51">
        <v>0</v>
      </c>
      <c r="AB190" s="102">
        <v>0</v>
      </c>
      <c r="AC190" s="81">
        <f t="shared" si="9"/>
        <v>56.414974647003412</v>
      </c>
      <c r="AD190" s="82">
        <f t="shared" si="10"/>
        <v>91.057142857142864</v>
      </c>
      <c r="AE190" s="218">
        <v>-1.3239682331879049E-4</v>
      </c>
      <c r="AF190">
        <v>3</v>
      </c>
      <c r="AH190" t="str">
        <f t="shared" si="8"/>
        <v>Gopalpur Bmc</v>
      </c>
      <c r="AJ190" s="72">
        <v>0</v>
      </c>
      <c r="AK190" s="72"/>
      <c r="AL190" s="72"/>
      <c r="AM190" s="72"/>
    </row>
    <row r="191" spans="1:39" x14ac:dyDescent="0.25">
      <c r="A191" s="37" t="s">
        <v>62</v>
      </c>
      <c r="B191" s="66" t="s">
        <v>1566</v>
      </c>
      <c r="C191" s="47">
        <v>1006</v>
      </c>
      <c r="D191" s="47" t="s">
        <v>183</v>
      </c>
      <c r="E191" s="41">
        <v>10060096</v>
      </c>
      <c r="F191" s="46" t="s">
        <v>536</v>
      </c>
      <c r="G191" s="39" t="s">
        <v>635</v>
      </c>
      <c r="H191" s="48" t="s">
        <v>99</v>
      </c>
      <c r="I191" s="52">
        <v>738.1</v>
      </c>
      <c r="J191" s="49">
        <v>26350.58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50">
        <v>26350.58</v>
      </c>
      <c r="R191" s="65">
        <v>0</v>
      </c>
      <c r="S191" s="65">
        <v>0</v>
      </c>
      <c r="T191" s="65">
        <v>0</v>
      </c>
      <c r="U191" s="65">
        <v>0</v>
      </c>
      <c r="V191" s="65">
        <v>2308.208070967743</v>
      </c>
      <c r="W191" s="65">
        <v>0</v>
      </c>
      <c r="X191" s="65">
        <v>0</v>
      </c>
      <c r="Y191" s="65">
        <v>0</v>
      </c>
      <c r="Z191" s="65">
        <v>24042.371929032259</v>
      </c>
      <c r="AA191" s="51">
        <v>0</v>
      </c>
      <c r="AB191" s="102">
        <v>0</v>
      </c>
      <c r="AC191" s="81">
        <f t="shared" si="9"/>
        <v>0</v>
      </c>
      <c r="AD191" s="82">
        <f t="shared" si="10"/>
        <v>0</v>
      </c>
      <c r="AE191" s="218">
        <v>0</v>
      </c>
      <c r="AF191">
        <v>0</v>
      </c>
      <c r="AH191" t="str">
        <f t="shared" si="8"/>
        <v>Sonvarsha</v>
      </c>
      <c r="AJ191" s="72">
        <v>0</v>
      </c>
      <c r="AK191" s="72"/>
      <c r="AL191" s="72"/>
      <c r="AM191" s="72"/>
    </row>
    <row r="192" spans="1:39" x14ac:dyDescent="0.25">
      <c r="A192" s="37" t="s">
        <v>62</v>
      </c>
      <c r="B192" s="66" t="s">
        <v>1566</v>
      </c>
      <c r="C192" s="47">
        <v>1006</v>
      </c>
      <c r="D192" s="47" t="s">
        <v>183</v>
      </c>
      <c r="E192" s="41">
        <v>10060097</v>
      </c>
      <c r="F192" s="46" t="s">
        <v>573</v>
      </c>
      <c r="G192" s="39" t="s">
        <v>635</v>
      </c>
      <c r="H192" s="48" t="s">
        <v>99</v>
      </c>
      <c r="I192" s="52">
        <v>1905.6000000000001</v>
      </c>
      <c r="J192" s="49">
        <v>69933.819999999992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50">
        <v>69933.819999999992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69933.819999999992</v>
      </c>
      <c r="AA192" s="51">
        <v>0</v>
      </c>
      <c r="AB192" s="102">
        <v>0</v>
      </c>
      <c r="AC192" s="81">
        <f t="shared" si="9"/>
        <v>0</v>
      </c>
      <c r="AD192" s="82">
        <f t="shared" si="10"/>
        <v>0</v>
      </c>
      <c r="AE192" s="218">
        <v>0</v>
      </c>
      <c r="AF192">
        <v>0</v>
      </c>
      <c r="AH192" t="str">
        <f t="shared" si="8"/>
        <v>Sonvarsha</v>
      </c>
      <c r="AJ192" s="72">
        <v>0</v>
      </c>
      <c r="AK192" s="72"/>
      <c r="AL192" s="72"/>
      <c r="AM192" s="72"/>
    </row>
    <row r="193" spans="1:39" x14ac:dyDescent="0.25">
      <c r="A193" s="37" t="s">
        <v>62</v>
      </c>
      <c r="B193" s="66" t="s">
        <v>1566</v>
      </c>
      <c r="C193" s="47">
        <v>1006</v>
      </c>
      <c r="D193" s="47" t="s">
        <v>183</v>
      </c>
      <c r="E193" s="41">
        <v>10060098</v>
      </c>
      <c r="F193" s="46" t="s">
        <v>664</v>
      </c>
      <c r="G193" s="39" t="s">
        <v>93</v>
      </c>
      <c r="H193" s="48" t="s">
        <v>94</v>
      </c>
      <c r="I193" s="52">
        <v>1834.0999999999997</v>
      </c>
      <c r="J193" s="49">
        <v>76073.319999999992</v>
      </c>
      <c r="K193" s="65">
        <v>1231.81</v>
      </c>
      <c r="L193" s="65">
        <v>55473.022441730689</v>
      </c>
      <c r="M193" s="65">
        <v>579.13000000000011</v>
      </c>
      <c r="N193" s="65">
        <v>22330.078540704002</v>
      </c>
      <c r="O193" s="65">
        <v>1810.94</v>
      </c>
      <c r="P193" s="65">
        <v>77803.100982434698</v>
      </c>
      <c r="Q193" s="50">
        <v>76073.319999999992</v>
      </c>
      <c r="R193" s="65">
        <v>0</v>
      </c>
      <c r="S193" s="65">
        <v>389.17832778000002</v>
      </c>
      <c r="T193" s="65">
        <v>1729.7809824347059</v>
      </c>
      <c r="U193" s="65">
        <v>0</v>
      </c>
      <c r="V193" s="65">
        <v>0</v>
      </c>
      <c r="W193" s="65">
        <v>0</v>
      </c>
      <c r="X193" s="65">
        <v>53743</v>
      </c>
      <c r="Y193" s="65">
        <v>21941</v>
      </c>
      <c r="Z193" s="65">
        <v>0</v>
      </c>
      <c r="AA193" s="51">
        <v>0</v>
      </c>
      <c r="AB193" s="102">
        <v>0</v>
      </c>
      <c r="AC193" s="81">
        <f t="shared" si="9"/>
        <v>0</v>
      </c>
      <c r="AD193" s="82">
        <f t="shared" si="10"/>
        <v>0</v>
      </c>
      <c r="AE193" s="218">
        <v>-2.2738339570754978E-2</v>
      </c>
      <c r="AF193">
        <v>17</v>
      </c>
      <c r="AH193" t="str">
        <f t="shared" si="8"/>
        <v>Sonvarsha</v>
      </c>
      <c r="AJ193" s="72">
        <v>0</v>
      </c>
      <c r="AK193" s="72"/>
      <c r="AL193" s="72"/>
      <c r="AM193" s="72"/>
    </row>
    <row r="194" spans="1:39" x14ac:dyDescent="0.25">
      <c r="A194" s="37" t="s">
        <v>62</v>
      </c>
      <c r="B194" s="66" t="s">
        <v>1566</v>
      </c>
      <c r="C194" s="47">
        <v>1006</v>
      </c>
      <c r="D194" s="47" t="s">
        <v>183</v>
      </c>
      <c r="E194" s="41">
        <v>10060104</v>
      </c>
      <c r="F194" s="46" t="s">
        <v>670</v>
      </c>
      <c r="G194" s="39" t="s">
        <v>635</v>
      </c>
      <c r="H194" s="48" t="s">
        <v>99</v>
      </c>
      <c r="I194" s="52">
        <v>412</v>
      </c>
      <c r="J194" s="49">
        <v>14561.32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50">
        <v>14561.32</v>
      </c>
      <c r="R194" s="65">
        <v>0</v>
      </c>
      <c r="S194" s="65">
        <v>0</v>
      </c>
      <c r="T194" s="65">
        <v>0</v>
      </c>
      <c r="U194" s="65">
        <v>0</v>
      </c>
      <c r="V194" s="65">
        <v>1091.4697354838704</v>
      </c>
      <c r="W194" s="65">
        <v>0</v>
      </c>
      <c r="X194" s="65">
        <v>0</v>
      </c>
      <c r="Y194" s="65">
        <v>0</v>
      </c>
      <c r="Z194" s="65">
        <v>13469.85026451613</v>
      </c>
      <c r="AA194" s="51">
        <v>0</v>
      </c>
      <c r="AB194" s="102">
        <v>0</v>
      </c>
      <c r="AC194" s="81">
        <f t="shared" si="9"/>
        <v>203.57573592233007</v>
      </c>
      <c r="AD194" s="82">
        <f t="shared" si="10"/>
        <v>58.857142857142854</v>
      </c>
      <c r="AE194" s="218">
        <v>0</v>
      </c>
      <c r="AF194">
        <v>0</v>
      </c>
      <c r="AH194" t="str">
        <f t="shared" si="8"/>
        <v>Sonvarsha</v>
      </c>
      <c r="AJ194" s="72">
        <v>0</v>
      </c>
      <c r="AK194" s="72"/>
      <c r="AL194" s="72"/>
      <c r="AM194" s="72"/>
    </row>
    <row r="195" spans="1:39" x14ac:dyDescent="0.25">
      <c r="A195" s="37" t="s">
        <v>62</v>
      </c>
      <c r="B195" s="66" t="s">
        <v>1566</v>
      </c>
      <c r="C195" s="47">
        <v>1006</v>
      </c>
      <c r="D195" s="47" t="s">
        <v>183</v>
      </c>
      <c r="E195" s="41">
        <v>10060106</v>
      </c>
      <c r="F195" s="46" t="s">
        <v>698</v>
      </c>
      <c r="G195" s="39" t="s">
        <v>93</v>
      </c>
      <c r="H195" s="48" t="s">
        <v>94</v>
      </c>
      <c r="I195" s="52">
        <v>551.4</v>
      </c>
      <c r="J195" s="49">
        <v>26135.18</v>
      </c>
      <c r="K195" s="65">
        <v>548.4</v>
      </c>
      <c r="L195" s="65">
        <v>28531.750160862382</v>
      </c>
      <c r="M195" s="65">
        <v>7.2799999999999985</v>
      </c>
      <c r="N195" s="65">
        <v>312.38485380231003</v>
      </c>
      <c r="O195" s="65">
        <v>555.67999999999995</v>
      </c>
      <c r="P195" s="65">
        <v>28844.135014664691</v>
      </c>
      <c r="Q195" s="50">
        <v>26135.18</v>
      </c>
      <c r="R195" s="65">
        <v>0</v>
      </c>
      <c r="S195" s="65">
        <v>312.38485380231003</v>
      </c>
      <c r="T195" s="65">
        <v>2708.9550146646907</v>
      </c>
      <c r="U195" s="65">
        <v>0</v>
      </c>
      <c r="V195" s="65">
        <v>0</v>
      </c>
      <c r="W195" s="65">
        <v>0</v>
      </c>
      <c r="X195" s="65">
        <v>25823</v>
      </c>
      <c r="Y195" s="65">
        <v>0</v>
      </c>
      <c r="Z195" s="65">
        <v>0</v>
      </c>
      <c r="AA195" s="51">
        <v>0</v>
      </c>
      <c r="AB195" s="102">
        <v>0</v>
      </c>
      <c r="AC195" s="81">
        <f t="shared" si="9"/>
        <v>140.86643989844035</v>
      </c>
      <c r="AD195" s="82">
        <f t="shared" si="10"/>
        <v>78.771428571428572</v>
      </c>
      <c r="AE195" s="218">
        <v>-0.103651668542734</v>
      </c>
      <c r="AF195">
        <v>9</v>
      </c>
      <c r="AH195" t="str">
        <f t="shared" ref="AH195:AH258" si="11">TEXT(D195,"0000")</f>
        <v>Sonvarsha</v>
      </c>
      <c r="AJ195" s="72">
        <v>0</v>
      </c>
      <c r="AK195" s="72"/>
      <c r="AL195" s="72"/>
      <c r="AM195" s="72"/>
    </row>
    <row r="196" spans="1:39" x14ac:dyDescent="0.25">
      <c r="A196" s="37" t="s">
        <v>62</v>
      </c>
      <c r="B196" s="66" t="s">
        <v>1566</v>
      </c>
      <c r="C196" s="47">
        <v>1006</v>
      </c>
      <c r="D196" s="47" t="s">
        <v>183</v>
      </c>
      <c r="E196" s="41">
        <v>10060107</v>
      </c>
      <c r="F196" s="46" t="s">
        <v>661</v>
      </c>
      <c r="G196" s="39" t="s">
        <v>635</v>
      </c>
      <c r="H196" s="48" t="s">
        <v>99</v>
      </c>
      <c r="I196" s="52">
        <v>556.5</v>
      </c>
      <c r="J196" s="49">
        <v>22428.899999999998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50">
        <v>22428.899999999998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22428.899999999998</v>
      </c>
      <c r="AA196" s="51">
        <v>0</v>
      </c>
      <c r="AB196" s="102">
        <v>0</v>
      </c>
      <c r="AC196" s="81">
        <f t="shared" ref="AC196:AC259" si="12">((IF(AD196=0,0,100-AD196))*7*(J196/I196))*2%</f>
        <v>115.67105660377358</v>
      </c>
      <c r="AD196" s="82">
        <f t="shared" ref="AD196:AD259" si="13">IF((I196/7)&gt;100,0,(I196/7))</f>
        <v>79.5</v>
      </c>
      <c r="AE196" s="218">
        <v>0</v>
      </c>
      <c r="AF196">
        <v>0</v>
      </c>
      <c r="AH196" t="str">
        <f t="shared" si="11"/>
        <v>Sonvarsha</v>
      </c>
      <c r="AJ196" s="72">
        <v>0</v>
      </c>
      <c r="AK196" s="72"/>
      <c r="AL196" s="72"/>
      <c r="AM196" s="72"/>
    </row>
    <row r="197" spans="1:39" x14ac:dyDescent="0.25">
      <c r="A197" s="37" t="s">
        <v>62</v>
      </c>
      <c r="B197" s="66" t="s">
        <v>1566</v>
      </c>
      <c r="C197" s="47">
        <v>1006</v>
      </c>
      <c r="D197" s="47" t="s">
        <v>183</v>
      </c>
      <c r="E197" s="41">
        <v>10060111</v>
      </c>
      <c r="F197" s="46" t="s">
        <v>847</v>
      </c>
      <c r="G197" s="39" t="s">
        <v>93</v>
      </c>
      <c r="H197" s="48" t="s">
        <v>94</v>
      </c>
      <c r="I197" s="52">
        <v>598.79999999999995</v>
      </c>
      <c r="J197" s="49">
        <v>24430.240000000002</v>
      </c>
      <c r="K197" s="65">
        <v>686.97000000000014</v>
      </c>
      <c r="L197" s="65">
        <v>39583.981189933169</v>
      </c>
      <c r="M197" s="65">
        <v>0</v>
      </c>
      <c r="N197" s="65">
        <v>0</v>
      </c>
      <c r="O197" s="65">
        <v>686.97000000000014</v>
      </c>
      <c r="P197" s="65">
        <v>39583.981189933169</v>
      </c>
      <c r="Q197" s="50">
        <v>24430.240000000002</v>
      </c>
      <c r="R197" s="65">
        <v>0</v>
      </c>
      <c r="S197" s="65">
        <v>0</v>
      </c>
      <c r="T197" s="65">
        <v>15153.741189933167</v>
      </c>
      <c r="U197" s="65">
        <v>13000</v>
      </c>
      <c r="V197" s="65">
        <v>0</v>
      </c>
      <c r="W197" s="65">
        <v>0</v>
      </c>
      <c r="X197" s="65">
        <v>11430</v>
      </c>
      <c r="Y197" s="65">
        <v>0</v>
      </c>
      <c r="Z197" s="65">
        <v>0</v>
      </c>
      <c r="AA197" s="51">
        <v>0</v>
      </c>
      <c r="AB197" s="102" t="s">
        <v>66</v>
      </c>
      <c r="AC197" s="81">
        <f t="shared" si="12"/>
        <v>82.576495925183778</v>
      </c>
      <c r="AD197" s="82">
        <f t="shared" si="13"/>
        <v>85.54285714285713</v>
      </c>
      <c r="AE197" s="218">
        <v>-0.62028621863449418</v>
      </c>
      <c r="AF197">
        <v>3</v>
      </c>
      <c r="AH197" t="str">
        <f t="shared" si="11"/>
        <v>Sonvarsha</v>
      </c>
      <c r="AJ197" s="72">
        <v>0</v>
      </c>
      <c r="AK197" s="72"/>
      <c r="AL197" s="72"/>
      <c r="AM197" s="72"/>
    </row>
    <row r="198" spans="1:39" x14ac:dyDescent="0.25">
      <c r="A198" s="37" t="s">
        <v>62</v>
      </c>
      <c r="B198" s="66" t="s">
        <v>1566</v>
      </c>
      <c r="C198" s="47">
        <v>1006</v>
      </c>
      <c r="D198" s="47" t="s">
        <v>183</v>
      </c>
      <c r="E198" s="41">
        <v>10060113</v>
      </c>
      <c r="F198" s="46" t="s">
        <v>848</v>
      </c>
      <c r="G198" s="39" t="s">
        <v>635</v>
      </c>
      <c r="H198" s="48" t="s">
        <v>99</v>
      </c>
      <c r="I198" s="52">
        <v>598</v>
      </c>
      <c r="J198" s="49">
        <v>22764.85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50">
        <v>22764.85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22764.85</v>
      </c>
      <c r="AA198" s="51">
        <v>0</v>
      </c>
      <c r="AB198" s="102">
        <v>0</v>
      </c>
      <c r="AC198" s="81">
        <f t="shared" si="12"/>
        <v>77.659354515050154</v>
      </c>
      <c r="AD198" s="82">
        <f t="shared" si="13"/>
        <v>85.428571428571431</v>
      </c>
      <c r="AE198" s="218">
        <v>0</v>
      </c>
      <c r="AF198">
        <v>0</v>
      </c>
      <c r="AH198" t="str">
        <f t="shared" si="11"/>
        <v>Sonvarsha</v>
      </c>
      <c r="AJ198" s="72">
        <v>0</v>
      </c>
      <c r="AK198" s="72"/>
      <c r="AL198" s="72"/>
      <c r="AM198" s="72"/>
    </row>
    <row r="199" spans="1:39" x14ac:dyDescent="0.25">
      <c r="A199" s="37" t="s">
        <v>62</v>
      </c>
      <c r="B199" s="66" t="s">
        <v>1566</v>
      </c>
      <c r="C199" s="47">
        <v>1006</v>
      </c>
      <c r="D199" s="47" t="s">
        <v>183</v>
      </c>
      <c r="E199" s="41">
        <v>10060114</v>
      </c>
      <c r="F199" s="46" t="s">
        <v>1129</v>
      </c>
      <c r="G199" s="39" t="s">
        <v>93</v>
      </c>
      <c r="H199" s="48" t="s">
        <v>94</v>
      </c>
      <c r="I199" s="52">
        <v>346.40000000000003</v>
      </c>
      <c r="J199" s="49">
        <v>13599.530000000002</v>
      </c>
      <c r="K199" s="65">
        <v>346.4</v>
      </c>
      <c r="L199" s="65">
        <v>13626.083770200003</v>
      </c>
      <c r="M199" s="65">
        <v>0</v>
      </c>
      <c r="N199" s="65">
        <v>0</v>
      </c>
      <c r="O199" s="65">
        <v>346.4</v>
      </c>
      <c r="P199" s="65">
        <v>13626.083770200003</v>
      </c>
      <c r="Q199" s="50">
        <v>13599.530000000002</v>
      </c>
      <c r="R199" s="65">
        <v>0</v>
      </c>
      <c r="S199" s="65">
        <v>0</v>
      </c>
      <c r="T199" s="65">
        <v>26.553770200000145</v>
      </c>
      <c r="U199" s="65">
        <v>0</v>
      </c>
      <c r="V199" s="65">
        <v>0</v>
      </c>
      <c r="W199" s="65">
        <v>0</v>
      </c>
      <c r="X199" s="65">
        <v>13600</v>
      </c>
      <c r="Y199" s="65">
        <v>0</v>
      </c>
      <c r="Z199" s="65">
        <v>0</v>
      </c>
      <c r="AA199" s="51">
        <v>0</v>
      </c>
      <c r="AB199" s="102">
        <v>0</v>
      </c>
      <c r="AC199" s="81">
        <f t="shared" si="12"/>
        <v>277.64398429561197</v>
      </c>
      <c r="AD199" s="82">
        <f t="shared" si="13"/>
        <v>49.485714285714288</v>
      </c>
      <c r="AE199" s="218">
        <v>-1.9525505807921407E-3</v>
      </c>
      <c r="AF199">
        <v>1</v>
      </c>
      <c r="AH199" t="str">
        <f t="shared" si="11"/>
        <v>Sonvarsha</v>
      </c>
      <c r="AJ199" s="72">
        <v>0</v>
      </c>
      <c r="AK199" s="72"/>
      <c r="AL199" s="72"/>
      <c r="AM199" s="72"/>
    </row>
    <row r="200" spans="1:39" x14ac:dyDescent="0.25">
      <c r="A200" s="37" t="s">
        <v>62</v>
      </c>
      <c r="B200" s="66" t="s">
        <v>1566</v>
      </c>
      <c r="C200" s="47">
        <v>1006</v>
      </c>
      <c r="D200" s="47" t="s">
        <v>183</v>
      </c>
      <c r="E200" s="41">
        <v>10060116</v>
      </c>
      <c r="F200" s="46" t="s">
        <v>1189</v>
      </c>
      <c r="G200" s="39" t="s">
        <v>93</v>
      </c>
      <c r="H200" s="48" t="s">
        <v>94</v>
      </c>
      <c r="I200" s="52">
        <v>131.1</v>
      </c>
      <c r="J200" s="49">
        <v>4791.95</v>
      </c>
      <c r="K200" s="65">
        <v>131.6</v>
      </c>
      <c r="L200" s="65">
        <v>4840.7711295240006</v>
      </c>
      <c r="M200" s="65">
        <v>2.5</v>
      </c>
      <c r="N200" s="65">
        <v>91.069458480000023</v>
      </c>
      <c r="O200" s="65">
        <v>134.1</v>
      </c>
      <c r="P200" s="65">
        <v>4931.8405880040009</v>
      </c>
      <c r="Q200" s="50">
        <v>4791.95</v>
      </c>
      <c r="R200" s="65">
        <v>0</v>
      </c>
      <c r="S200" s="65">
        <v>91.069458480000023</v>
      </c>
      <c r="T200" s="65">
        <v>139.89058800400107</v>
      </c>
      <c r="U200" s="65">
        <v>0</v>
      </c>
      <c r="V200" s="65">
        <v>208.67387999999983</v>
      </c>
      <c r="W200" s="65">
        <v>0</v>
      </c>
      <c r="X200" s="65">
        <v>4492</v>
      </c>
      <c r="Y200" s="65">
        <v>0</v>
      </c>
      <c r="Z200" s="65">
        <v>0</v>
      </c>
      <c r="AA200" s="51">
        <v>0</v>
      </c>
      <c r="AB200" s="102">
        <v>0</v>
      </c>
      <c r="AC200" s="81">
        <f t="shared" si="12"/>
        <v>415.88716323417242</v>
      </c>
      <c r="AD200" s="82">
        <f t="shared" si="13"/>
        <v>18.728571428571428</v>
      </c>
      <c r="AE200" s="218">
        <v>-2.9192831311679188E-2</v>
      </c>
      <c r="AF200">
        <v>2</v>
      </c>
      <c r="AH200" t="str">
        <f t="shared" si="11"/>
        <v>Sonvarsha</v>
      </c>
      <c r="AJ200" s="72">
        <v>0</v>
      </c>
      <c r="AK200" s="72"/>
      <c r="AL200" s="72"/>
      <c r="AM200" s="72"/>
    </row>
    <row r="201" spans="1:39" x14ac:dyDescent="0.25">
      <c r="A201" s="37" t="s">
        <v>62</v>
      </c>
      <c r="B201" s="66" t="s">
        <v>1566</v>
      </c>
      <c r="C201" s="47">
        <v>1006</v>
      </c>
      <c r="D201" s="47" t="s">
        <v>183</v>
      </c>
      <c r="E201" s="41">
        <v>10060117</v>
      </c>
      <c r="F201" s="46" t="s">
        <v>1194</v>
      </c>
      <c r="G201" s="39" t="s">
        <v>635</v>
      </c>
      <c r="H201" s="48" t="s">
        <v>99</v>
      </c>
      <c r="I201" s="52">
        <v>26.700000000000003</v>
      </c>
      <c r="J201" s="49">
        <v>1208.4000000000001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50">
        <v>1208.4000000000001</v>
      </c>
      <c r="R201" s="65">
        <v>0</v>
      </c>
      <c r="S201" s="65">
        <v>0</v>
      </c>
      <c r="T201" s="65">
        <v>0</v>
      </c>
      <c r="U201" s="65">
        <v>0</v>
      </c>
      <c r="V201" s="65">
        <v>212.13946451612907</v>
      </c>
      <c r="W201" s="65">
        <v>0</v>
      </c>
      <c r="X201" s="65">
        <v>0</v>
      </c>
      <c r="Y201" s="65">
        <v>0</v>
      </c>
      <c r="Z201" s="65">
        <v>996.26053548387108</v>
      </c>
      <c r="AA201" s="51">
        <v>0</v>
      </c>
      <c r="AB201" s="102">
        <v>0</v>
      </c>
      <c r="AC201" s="81">
        <f t="shared" si="12"/>
        <v>609.4499775280899</v>
      </c>
      <c r="AD201" s="82">
        <f t="shared" si="13"/>
        <v>3.8142857142857145</v>
      </c>
      <c r="AE201" s="218">
        <v>0</v>
      </c>
      <c r="AF201">
        <v>0</v>
      </c>
      <c r="AH201" t="str">
        <f t="shared" si="11"/>
        <v>Sonvarsha</v>
      </c>
      <c r="AJ201" s="72">
        <v>0</v>
      </c>
      <c r="AK201" s="72"/>
      <c r="AL201" s="72"/>
      <c r="AM201" s="72"/>
    </row>
    <row r="202" spans="1:39" x14ac:dyDescent="0.25">
      <c r="A202" s="37" t="s">
        <v>62</v>
      </c>
      <c r="B202" s="66" t="s">
        <v>1566</v>
      </c>
      <c r="C202" s="47">
        <v>1006</v>
      </c>
      <c r="D202" s="47" t="s">
        <v>183</v>
      </c>
      <c r="E202" s="41">
        <v>10060118</v>
      </c>
      <c r="F202" s="46" t="s">
        <v>1195</v>
      </c>
      <c r="G202" s="39" t="s">
        <v>93</v>
      </c>
      <c r="H202" s="48" t="s">
        <v>94</v>
      </c>
      <c r="I202" s="52">
        <v>421.6</v>
      </c>
      <c r="J202" s="49">
        <v>18015.27</v>
      </c>
      <c r="K202" s="65">
        <v>101.6</v>
      </c>
      <c r="L202" s="65">
        <v>4104.0933638881506</v>
      </c>
      <c r="M202" s="65">
        <v>405.52000000000004</v>
      </c>
      <c r="N202" s="65">
        <v>18832.682707296757</v>
      </c>
      <c r="O202" s="65">
        <v>507.12</v>
      </c>
      <c r="P202" s="65">
        <v>22936.776071184908</v>
      </c>
      <c r="Q202" s="50">
        <v>18015.27</v>
      </c>
      <c r="R202" s="65">
        <v>0</v>
      </c>
      <c r="S202" s="65">
        <v>0</v>
      </c>
      <c r="T202" s="65">
        <v>4921.5060711849073</v>
      </c>
      <c r="U202" s="65">
        <v>0</v>
      </c>
      <c r="V202" s="65">
        <v>1111.75</v>
      </c>
      <c r="W202" s="65">
        <v>0</v>
      </c>
      <c r="X202" s="65">
        <v>0</v>
      </c>
      <c r="Y202" s="65">
        <v>16903</v>
      </c>
      <c r="Z202" s="65">
        <v>0</v>
      </c>
      <c r="AA202" s="51">
        <v>1</v>
      </c>
      <c r="AB202" s="102" t="s">
        <v>68</v>
      </c>
      <c r="AC202" s="81">
        <f t="shared" si="12"/>
        <v>237.92462846299807</v>
      </c>
      <c r="AD202" s="82">
        <f t="shared" si="13"/>
        <v>60.228571428571435</v>
      </c>
      <c r="AE202" s="218">
        <v>-0.27318525179944053</v>
      </c>
      <c r="AF202">
        <v>6</v>
      </c>
      <c r="AH202" t="str">
        <f t="shared" si="11"/>
        <v>Sonvarsha</v>
      </c>
      <c r="AJ202" s="72">
        <v>0</v>
      </c>
      <c r="AK202" s="72"/>
      <c r="AL202" s="72"/>
      <c r="AM202" s="72"/>
    </row>
    <row r="203" spans="1:39" x14ac:dyDescent="0.25">
      <c r="A203" s="37" t="s">
        <v>62</v>
      </c>
      <c r="B203" s="66" t="s">
        <v>1566</v>
      </c>
      <c r="C203" s="47">
        <v>1006</v>
      </c>
      <c r="D203" s="47" t="s">
        <v>183</v>
      </c>
      <c r="E203" s="41">
        <v>10060120</v>
      </c>
      <c r="F203" s="46" t="s">
        <v>1421</v>
      </c>
      <c r="G203" s="39" t="s">
        <v>635</v>
      </c>
      <c r="H203" s="48" t="s">
        <v>99</v>
      </c>
      <c r="I203" s="52">
        <v>249.19999999999996</v>
      </c>
      <c r="J203" s="49">
        <v>11700.820000000002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50">
        <v>11700.820000000002</v>
      </c>
      <c r="R203" s="65">
        <v>0</v>
      </c>
      <c r="S203" s="65">
        <v>0</v>
      </c>
      <c r="T203" s="65">
        <v>0</v>
      </c>
      <c r="U203" s="65">
        <v>0</v>
      </c>
      <c r="V203" s="65">
        <v>445.04771612903261</v>
      </c>
      <c r="W203" s="65">
        <v>0</v>
      </c>
      <c r="X203" s="65">
        <v>0</v>
      </c>
      <c r="Y203" s="65">
        <v>0</v>
      </c>
      <c r="Z203" s="65">
        <v>11255.772283870969</v>
      </c>
      <c r="AA203" s="51">
        <v>0</v>
      </c>
      <c r="AB203" s="102">
        <v>0</v>
      </c>
      <c r="AC203" s="81">
        <f t="shared" si="12"/>
        <v>423.33303820224739</v>
      </c>
      <c r="AD203" s="82">
        <f t="shared" si="13"/>
        <v>35.599999999999994</v>
      </c>
      <c r="AE203" s="218">
        <v>0</v>
      </c>
      <c r="AF203">
        <v>0</v>
      </c>
      <c r="AH203" t="str">
        <f t="shared" si="11"/>
        <v>Sonvarsha</v>
      </c>
      <c r="AJ203" s="72">
        <v>0</v>
      </c>
      <c r="AK203" s="72"/>
      <c r="AL203" s="72"/>
      <c r="AM203" s="72"/>
    </row>
    <row r="204" spans="1:39" x14ac:dyDescent="0.25">
      <c r="A204" s="37" t="s">
        <v>62</v>
      </c>
      <c r="B204" s="66" t="s">
        <v>1566</v>
      </c>
      <c r="C204" s="47">
        <v>1006</v>
      </c>
      <c r="D204" s="47" t="s">
        <v>183</v>
      </c>
      <c r="E204" s="41">
        <v>10060122</v>
      </c>
      <c r="F204" s="46" t="s">
        <v>1216</v>
      </c>
      <c r="G204" s="39" t="s">
        <v>635</v>
      </c>
      <c r="H204" s="48" t="s">
        <v>99</v>
      </c>
      <c r="I204" s="52">
        <v>185.7</v>
      </c>
      <c r="J204" s="49">
        <v>6751.03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50">
        <v>6751.03</v>
      </c>
      <c r="R204" s="65">
        <v>0</v>
      </c>
      <c r="S204" s="65">
        <v>0</v>
      </c>
      <c r="T204" s="65">
        <v>0</v>
      </c>
      <c r="U204" s="65">
        <v>6500</v>
      </c>
      <c r="V204" s="65">
        <v>87.939406451612953</v>
      </c>
      <c r="W204" s="65">
        <v>0</v>
      </c>
      <c r="X204" s="65">
        <v>0</v>
      </c>
      <c r="Y204" s="65">
        <v>0</v>
      </c>
      <c r="Z204" s="65">
        <v>163.09059354838678</v>
      </c>
      <c r="AA204" s="51">
        <v>0</v>
      </c>
      <c r="AB204" s="102">
        <v>0</v>
      </c>
      <c r="AC204" s="81">
        <f t="shared" si="12"/>
        <v>373.94235099623052</v>
      </c>
      <c r="AD204" s="82">
        <f t="shared" si="13"/>
        <v>26.528571428571428</v>
      </c>
      <c r="AE204" s="218">
        <v>0</v>
      </c>
      <c r="AF204">
        <v>0</v>
      </c>
      <c r="AH204" t="str">
        <f t="shared" si="11"/>
        <v>Sonvarsha</v>
      </c>
      <c r="AJ204" s="72">
        <v>0</v>
      </c>
      <c r="AK204" s="72"/>
      <c r="AL204" s="72"/>
      <c r="AM204" s="72"/>
    </row>
    <row r="205" spans="1:39" x14ac:dyDescent="0.25">
      <c r="A205" s="37" t="s">
        <v>62</v>
      </c>
      <c r="B205" s="66" t="s">
        <v>1566</v>
      </c>
      <c r="C205" s="47">
        <v>1059</v>
      </c>
      <c r="D205" s="47" t="s">
        <v>1347</v>
      </c>
      <c r="E205" s="41">
        <v>10060124</v>
      </c>
      <c r="F205" s="46" t="s">
        <v>1264</v>
      </c>
      <c r="G205" s="39" t="s">
        <v>93</v>
      </c>
      <c r="H205" s="48" t="s">
        <v>94</v>
      </c>
      <c r="I205" s="52">
        <v>31.900000000000002</v>
      </c>
      <c r="J205" s="49">
        <v>1277.8900000000001</v>
      </c>
      <c r="K205" s="65">
        <v>32.89</v>
      </c>
      <c r="L205" s="65">
        <v>1187.7617533320001</v>
      </c>
      <c r="M205" s="65">
        <v>0</v>
      </c>
      <c r="N205" s="65">
        <v>0</v>
      </c>
      <c r="O205" s="65">
        <v>32.89</v>
      </c>
      <c r="P205" s="65">
        <v>1187.7617533320001</v>
      </c>
      <c r="Q205" s="50">
        <v>1187.7617533320001</v>
      </c>
      <c r="R205" s="65">
        <v>0</v>
      </c>
      <c r="S205" s="65">
        <v>0</v>
      </c>
      <c r="T205" s="65">
        <v>0</v>
      </c>
      <c r="U205" s="65">
        <v>0</v>
      </c>
      <c r="V205" s="65">
        <v>127.45384800000005</v>
      </c>
      <c r="W205" s="65">
        <v>0</v>
      </c>
      <c r="X205" s="65">
        <v>1060</v>
      </c>
      <c r="Y205" s="65">
        <v>0</v>
      </c>
      <c r="Z205" s="65">
        <v>0</v>
      </c>
      <c r="AA205" s="51">
        <v>90</v>
      </c>
      <c r="AB205" s="102">
        <v>0</v>
      </c>
      <c r="AC205" s="81">
        <f t="shared" si="12"/>
        <v>535.27166708463938</v>
      </c>
      <c r="AD205" s="82">
        <f t="shared" si="13"/>
        <v>4.5571428571428578</v>
      </c>
      <c r="AE205" s="218">
        <v>7.0528955284101108E-2</v>
      </c>
      <c r="AF205">
        <v>1</v>
      </c>
      <c r="AH205" t="str">
        <f t="shared" si="11"/>
        <v>Gopalpur Bmc</v>
      </c>
      <c r="AJ205" s="72">
        <v>0</v>
      </c>
      <c r="AK205" s="72"/>
      <c r="AL205" s="72"/>
      <c r="AM205" s="72"/>
    </row>
    <row r="206" spans="1:39" x14ac:dyDescent="0.25">
      <c r="A206" s="37" t="s">
        <v>62</v>
      </c>
      <c r="B206" s="66" t="s">
        <v>1566</v>
      </c>
      <c r="C206" s="47">
        <v>1006</v>
      </c>
      <c r="D206" s="47" t="s">
        <v>183</v>
      </c>
      <c r="E206" s="41">
        <v>10060125</v>
      </c>
      <c r="F206" s="46" t="s">
        <v>1310</v>
      </c>
      <c r="G206" s="39" t="s">
        <v>635</v>
      </c>
      <c r="H206" s="48" t="s">
        <v>99</v>
      </c>
      <c r="I206" s="52">
        <v>121.5</v>
      </c>
      <c r="J206" s="49">
        <v>5534.73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50">
        <v>5534.73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5534.73</v>
      </c>
      <c r="AA206" s="51">
        <v>0</v>
      </c>
      <c r="AB206" s="102">
        <v>0</v>
      </c>
      <c r="AC206" s="81">
        <f t="shared" si="12"/>
        <v>527.05206666666663</v>
      </c>
      <c r="AD206" s="82">
        <f t="shared" si="13"/>
        <v>17.357142857142858</v>
      </c>
      <c r="AE206" s="218">
        <v>0</v>
      </c>
      <c r="AF206">
        <v>0</v>
      </c>
      <c r="AH206" t="str">
        <f t="shared" si="11"/>
        <v>Sonvarsha</v>
      </c>
      <c r="AJ206" s="72">
        <v>0</v>
      </c>
      <c r="AK206" s="72"/>
      <c r="AL206" s="72"/>
      <c r="AM206" s="72"/>
    </row>
    <row r="207" spans="1:39" x14ac:dyDescent="0.25">
      <c r="A207" s="37" t="s">
        <v>62</v>
      </c>
      <c r="B207" s="66" t="s">
        <v>1566</v>
      </c>
      <c r="C207" s="47">
        <v>1006</v>
      </c>
      <c r="D207" s="47" t="s">
        <v>183</v>
      </c>
      <c r="E207" s="41">
        <v>10060126</v>
      </c>
      <c r="F207" s="46" t="s">
        <v>1311</v>
      </c>
      <c r="G207" s="39" t="s">
        <v>93</v>
      </c>
      <c r="H207" s="48" t="s">
        <v>94</v>
      </c>
      <c r="I207" s="52">
        <v>160.89999999999998</v>
      </c>
      <c r="J207" s="49">
        <v>5093.8999999999996</v>
      </c>
      <c r="K207" s="65">
        <v>160.9</v>
      </c>
      <c r="L207" s="65">
        <v>5262.8737293000013</v>
      </c>
      <c r="M207" s="65">
        <v>0</v>
      </c>
      <c r="N207" s="65">
        <v>0</v>
      </c>
      <c r="O207" s="65">
        <v>160.9</v>
      </c>
      <c r="P207" s="65">
        <v>5262.8737293000013</v>
      </c>
      <c r="Q207" s="50">
        <v>5093.8999999999996</v>
      </c>
      <c r="R207" s="65">
        <v>0</v>
      </c>
      <c r="S207" s="65">
        <v>0</v>
      </c>
      <c r="T207" s="65">
        <v>168.97372930000165</v>
      </c>
      <c r="U207" s="65">
        <v>0</v>
      </c>
      <c r="V207" s="65">
        <v>910.02353999999991</v>
      </c>
      <c r="W207" s="65">
        <v>0</v>
      </c>
      <c r="X207" s="65">
        <v>4184</v>
      </c>
      <c r="Y207" s="65">
        <v>0</v>
      </c>
      <c r="Z207" s="65">
        <v>0</v>
      </c>
      <c r="AA207" s="51">
        <v>0</v>
      </c>
      <c r="AB207" s="102">
        <v>0</v>
      </c>
      <c r="AC207" s="81">
        <f t="shared" si="12"/>
        <v>341.3451199502797</v>
      </c>
      <c r="AD207" s="82">
        <f t="shared" si="13"/>
        <v>22.985714285714284</v>
      </c>
      <c r="AE207" s="218">
        <v>-3.3171779834704582E-2</v>
      </c>
      <c r="AF207">
        <v>1</v>
      </c>
      <c r="AH207" t="str">
        <f t="shared" si="11"/>
        <v>Sonvarsha</v>
      </c>
      <c r="AJ207" s="72">
        <v>0</v>
      </c>
      <c r="AK207" s="72"/>
      <c r="AL207" s="72"/>
      <c r="AM207" s="72"/>
    </row>
    <row r="208" spans="1:39" x14ac:dyDescent="0.25">
      <c r="A208" s="37" t="s">
        <v>62</v>
      </c>
      <c r="B208" s="66" t="s">
        <v>1566</v>
      </c>
      <c r="C208" s="47">
        <v>1006</v>
      </c>
      <c r="D208" s="47" t="s">
        <v>183</v>
      </c>
      <c r="E208" s="41">
        <v>10060129</v>
      </c>
      <c r="F208" s="46" t="s">
        <v>1400</v>
      </c>
      <c r="G208" s="39" t="s">
        <v>93</v>
      </c>
      <c r="H208" s="48" t="s">
        <v>94</v>
      </c>
      <c r="I208" s="52">
        <v>299.5</v>
      </c>
      <c r="J208" s="49">
        <v>11681.11</v>
      </c>
      <c r="K208" s="65">
        <v>255.6</v>
      </c>
      <c r="L208" s="65">
        <v>10016.048774159999</v>
      </c>
      <c r="M208" s="65">
        <v>48.7</v>
      </c>
      <c r="N208" s="65">
        <v>1833.0453345600004</v>
      </c>
      <c r="O208" s="65">
        <v>304.3</v>
      </c>
      <c r="P208" s="65">
        <v>11849.094108719999</v>
      </c>
      <c r="Q208" s="50">
        <v>11681.11</v>
      </c>
      <c r="R208" s="65">
        <v>0</v>
      </c>
      <c r="S208" s="65">
        <v>135.79228079999999</v>
      </c>
      <c r="T208" s="65">
        <v>167.9841087199984</v>
      </c>
      <c r="U208" s="65">
        <v>0</v>
      </c>
      <c r="V208" s="65">
        <v>0</v>
      </c>
      <c r="W208" s="65">
        <v>0</v>
      </c>
      <c r="X208" s="65">
        <v>9848</v>
      </c>
      <c r="Y208" s="65">
        <v>1697</v>
      </c>
      <c r="Z208" s="65">
        <v>0</v>
      </c>
      <c r="AA208" s="51">
        <v>0</v>
      </c>
      <c r="AB208" s="102">
        <v>0</v>
      </c>
      <c r="AC208" s="81">
        <f t="shared" si="12"/>
        <v>312.40631419031723</v>
      </c>
      <c r="AD208" s="82">
        <f t="shared" si="13"/>
        <v>42.785714285714285</v>
      </c>
      <c r="AE208" s="218">
        <v>-1.4380834417276988E-2</v>
      </c>
      <c r="AF208">
        <v>3</v>
      </c>
      <c r="AH208" t="str">
        <f t="shared" si="11"/>
        <v>Sonvarsha</v>
      </c>
      <c r="AJ208" s="72">
        <v>0</v>
      </c>
      <c r="AK208" s="72"/>
      <c r="AL208" s="72"/>
      <c r="AM208" s="72"/>
    </row>
    <row r="209" spans="1:39" x14ac:dyDescent="0.25">
      <c r="A209" s="37" t="s">
        <v>62</v>
      </c>
      <c r="B209" s="66" t="s">
        <v>1566</v>
      </c>
      <c r="C209" s="47">
        <v>1006</v>
      </c>
      <c r="D209" s="47" t="s">
        <v>183</v>
      </c>
      <c r="E209" s="41">
        <v>10060130</v>
      </c>
      <c r="F209" s="46" t="s">
        <v>1383</v>
      </c>
      <c r="G209" s="39" t="s">
        <v>93</v>
      </c>
      <c r="H209" s="48" t="s">
        <v>94</v>
      </c>
      <c r="I209" s="52">
        <v>499.59999999999997</v>
      </c>
      <c r="J209" s="49">
        <v>19893.59</v>
      </c>
      <c r="K209" s="65">
        <v>459.12</v>
      </c>
      <c r="L209" s="65">
        <v>17866.56243459709</v>
      </c>
      <c r="M209" s="65">
        <v>55.709999999999994</v>
      </c>
      <c r="N209" s="65">
        <v>2628.3182828591998</v>
      </c>
      <c r="O209" s="65">
        <v>514.83000000000004</v>
      </c>
      <c r="P209" s="65">
        <v>20494.88071745629</v>
      </c>
      <c r="Q209" s="50">
        <v>19893.59</v>
      </c>
      <c r="R209" s="65">
        <v>0</v>
      </c>
      <c r="S209" s="65">
        <v>16.83178002</v>
      </c>
      <c r="T209" s="65">
        <v>601.29071745628971</v>
      </c>
      <c r="U209" s="65">
        <v>0</v>
      </c>
      <c r="V209" s="65">
        <v>0</v>
      </c>
      <c r="W209" s="65">
        <v>0</v>
      </c>
      <c r="X209" s="65">
        <v>17265</v>
      </c>
      <c r="Y209" s="65">
        <v>2612</v>
      </c>
      <c r="Z209" s="65">
        <v>0</v>
      </c>
      <c r="AA209" s="51">
        <v>0</v>
      </c>
      <c r="AB209" s="102">
        <v>0</v>
      </c>
      <c r="AC209" s="81">
        <f t="shared" si="12"/>
        <v>159.5946931945557</v>
      </c>
      <c r="AD209" s="82">
        <f t="shared" si="13"/>
        <v>71.371428571428567</v>
      </c>
      <c r="AE209" s="218">
        <v>-3.0225349846673712E-2</v>
      </c>
      <c r="AF209">
        <v>9</v>
      </c>
      <c r="AH209" t="str">
        <f t="shared" si="11"/>
        <v>Sonvarsha</v>
      </c>
      <c r="AJ209" s="72">
        <v>0</v>
      </c>
      <c r="AK209" s="72"/>
      <c r="AL209" s="72"/>
      <c r="AM209" s="72"/>
    </row>
    <row r="210" spans="1:39" x14ac:dyDescent="0.25">
      <c r="A210" s="37" t="s">
        <v>62</v>
      </c>
      <c r="B210" s="66" t="s">
        <v>1566</v>
      </c>
      <c r="C210" s="47">
        <v>1006</v>
      </c>
      <c r="D210" s="47" t="s">
        <v>183</v>
      </c>
      <c r="E210" s="41">
        <v>10060132</v>
      </c>
      <c r="F210" s="46" t="s">
        <v>1533</v>
      </c>
      <c r="G210" s="39" t="s">
        <v>635</v>
      </c>
      <c r="H210" s="48" t="s">
        <v>99</v>
      </c>
      <c r="I210" s="52">
        <v>9.1</v>
      </c>
      <c r="J210" s="49">
        <v>366.37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50">
        <v>366.37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366.37</v>
      </c>
      <c r="AA210" s="51">
        <v>0</v>
      </c>
      <c r="AB210" s="102">
        <v>0</v>
      </c>
      <c r="AC210" s="81">
        <f t="shared" si="12"/>
        <v>556.31875384615398</v>
      </c>
      <c r="AD210" s="82">
        <f t="shared" si="13"/>
        <v>1.3</v>
      </c>
      <c r="AE210" s="218">
        <v>0</v>
      </c>
      <c r="AF210">
        <v>0</v>
      </c>
      <c r="AH210" t="str">
        <f t="shared" si="11"/>
        <v>Sonvarsha</v>
      </c>
      <c r="AJ210" s="72">
        <v>0</v>
      </c>
      <c r="AK210" s="72"/>
      <c r="AL210" s="72"/>
      <c r="AM210" s="72"/>
    </row>
    <row r="211" spans="1:39" x14ac:dyDescent="0.25">
      <c r="A211" s="37" t="s">
        <v>62</v>
      </c>
      <c r="B211" s="66" t="s">
        <v>1566</v>
      </c>
      <c r="C211" s="47">
        <v>1006</v>
      </c>
      <c r="D211" s="47" t="s">
        <v>183</v>
      </c>
      <c r="E211" s="41">
        <v>10060133</v>
      </c>
      <c r="F211" s="46" t="s">
        <v>1544</v>
      </c>
      <c r="G211" s="39" t="s">
        <v>635</v>
      </c>
      <c r="H211" s="48" t="s">
        <v>99</v>
      </c>
      <c r="I211" s="52">
        <v>77.3</v>
      </c>
      <c r="J211" s="49">
        <v>2701.66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50">
        <v>2701.66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2701.66</v>
      </c>
      <c r="AA211" s="51">
        <v>0</v>
      </c>
      <c r="AB211" s="102">
        <v>0</v>
      </c>
      <c r="AC211" s="81">
        <f t="shared" si="12"/>
        <v>435.27132781371284</v>
      </c>
      <c r="AD211" s="82">
        <f t="shared" si="13"/>
        <v>11.042857142857143</v>
      </c>
      <c r="AE211" s="218">
        <v>0</v>
      </c>
      <c r="AF211">
        <v>0</v>
      </c>
      <c r="AH211" t="str">
        <f t="shared" si="11"/>
        <v>Sonvarsha</v>
      </c>
      <c r="AJ211" s="72">
        <v>0</v>
      </c>
      <c r="AK211" s="72"/>
      <c r="AL211" s="72"/>
      <c r="AM211" s="72"/>
    </row>
    <row r="212" spans="1:39" x14ac:dyDescent="0.25">
      <c r="A212" s="37" t="s">
        <v>62</v>
      </c>
      <c r="B212" s="66" t="s">
        <v>1566</v>
      </c>
      <c r="C212" s="47">
        <v>1007</v>
      </c>
      <c r="D212" s="47" t="s">
        <v>207</v>
      </c>
      <c r="E212" s="41">
        <v>10070002</v>
      </c>
      <c r="F212" s="46" t="s">
        <v>208</v>
      </c>
      <c r="G212" s="39" t="s">
        <v>635</v>
      </c>
      <c r="H212" s="48" t="s">
        <v>99</v>
      </c>
      <c r="I212" s="52">
        <v>4659.5000000000009</v>
      </c>
      <c r="J212" s="49">
        <v>171183.83000000002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50">
        <v>171183.83000000002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171183.83000000002</v>
      </c>
      <c r="AA212" s="51">
        <v>0</v>
      </c>
      <c r="AB212" s="102">
        <v>0</v>
      </c>
      <c r="AC212" s="81">
        <f t="shared" si="12"/>
        <v>0</v>
      </c>
      <c r="AD212" s="82">
        <f t="shared" si="13"/>
        <v>0</v>
      </c>
      <c r="AE212" s="218">
        <v>0</v>
      </c>
      <c r="AF212">
        <v>0</v>
      </c>
      <c r="AH212" t="str">
        <f t="shared" si="11"/>
        <v>Araria</v>
      </c>
      <c r="AJ212" s="72">
        <v>0</v>
      </c>
      <c r="AK212" s="72"/>
      <c r="AL212" s="72"/>
      <c r="AM212" s="72"/>
    </row>
    <row r="213" spans="1:39" x14ac:dyDescent="0.25">
      <c r="A213" s="37" t="s">
        <v>62</v>
      </c>
      <c r="B213" s="66" t="s">
        <v>1566</v>
      </c>
      <c r="C213" s="47">
        <v>1007</v>
      </c>
      <c r="D213" s="47" t="s">
        <v>207</v>
      </c>
      <c r="E213" s="41">
        <v>10070003</v>
      </c>
      <c r="F213" s="46" t="s">
        <v>209</v>
      </c>
      <c r="G213" s="39" t="s">
        <v>635</v>
      </c>
      <c r="H213" s="48" t="s">
        <v>99</v>
      </c>
      <c r="I213" s="52">
        <v>1017.9</v>
      </c>
      <c r="J213" s="49">
        <v>34444.29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50">
        <v>34444.29</v>
      </c>
      <c r="R213" s="65">
        <v>0</v>
      </c>
      <c r="S213" s="65">
        <v>0</v>
      </c>
      <c r="T213" s="65">
        <v>0</v>
      </c>
      <c r="U213" s="65">
        <v>6500</v>
      </c>
      <c r="V213" s="65">
        <v>0</v>
      </c>
      <c r="W213" s="65">
        <v>0</v>
      </c>
      <c r="X213" s="65">
        <v>0</v>
      </c>
      <c r="Y213" s="65">
        <v>0</v>
      </c>
      <c r="Z213" s="65">
        <v>27944.29</v>
      </c>
      <c r="AA213" s="51">
        <v>0</v>
      </c>
      <c r="AB213" s="102">
        <v>0</v>
      </c>
      <c r="AC213" s="81">
        <f t="shared" si="12"/>
        <v>0</v>
      </c>
      <c r="AD213" s="82">
        <f t="shared" si="13"/>
        <v>0</v>
      </c>
      <c r="AE213" s="218">
        <v>0</v>
      </c>
      <c r="AF213">
        <v>0</v>
      </c>
      <c r="AH213" t="str">
        <f t="shared" si="11"/>
        <v>Araria</v>
      </c>
      <c r="AJ213" s="72">
        <v>0</v>
      </c>
      <c r="AK213" s="72"/>
      <c r="AL213" s="72"/>
      <c r="AM213" s="72"/>
    </row>
    <row r="214" spans="1:39" x14ac:dyDescent="0.25">
      <c r="A214" s="37" t="s">
        <v>62</v>
      </c>
      <c r="B214" s="66" t="s">
        <v>1566</v>
      </c>
      <c r="C214" s="47">
        <v>1056</v>
      </c>
      <c r="D214" s="47" t="s">
        <v>838</v>
      </c>
      <c r="E214" s="41">
        <v>10070004</v>
      </c>
      <c r="F214" s="46" t="s">
        <v>210</v>
      </c>
      <c r="G214" s="39" t="s">
        <v>635</v>
      </c>
      <c r="H214" s="48" t="s">
        <v>99</v>
      </c>
      <c r="I214" s="52">
        <v>241.1</v>
      </c>
      <c r="J214" s="49">
        <v>8318.33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50">
        <v>8318.33</v>
      </c>
      <c r="R214" s="65">
        <v>0</v>
      </c>
      <c r="S214" s="65">
        <v>0</v>
      </c>
      <c r="T214" s="65">
        <v>0</v>
      </c>
      <c r="U214" s="65">
        <v>0</v>
      </c>
      <c r="V214" s="65">
        <v>521.93847870967693</v>
      </c>
      <c r="W214" s="65">
        <v>0</v>
      </c>
      <c r="X214" s="65">
        <v>0</v>
      </c>
      <c r="Y214" s="65">
        <v>0</v>
      </c>
      <c r="Z214" s="65">
        <v>7796.391521290323</v>
      </c>
      <c r="AA214" s="51">
        <v>0</v>
      </c>
      <c r="AB214" s="102">
        <v>0</v>
      </c>
      <c r="AC214" s="81">
        <f t="shared" si="12"/>
        <v>316.65546553297384</v>
      </c>
      <c r="AD214" s="82">
        <f t="shared" si="13"/>
        <v>34.442857142857143</v>
      </c>
      <c r="AE214" s="218">
        <v>0</v>
      </c>
      <c r="AF214">
        <v>0</v>
      </c>
      <c r="AH214" t="str">
        <f t="shared" si="11"/>
        <v>Chautham</v>
      </c>
      <c r="AJ214" s="72">
        <v>0</v>
      </c>
      <c r="AK214" s="72"/>
      <c r="AL214" s="72"/>
      <c r="AM214" s="72"/>
    </row>
    <row r="215" spans="1:39" x14ac:dyDescent="0.25">
      <c r="A215" s="37" t="s">
        <v>62</v>
      </c>
      <c r="B215" s="66" t="s">
        <v>1566</v>
      </c>
      <c r="C215" s="47">
        <v>1056</v>
      </c>
      <c r="D215" s="47" t="s">
        <v>838</v>
      </c>
      <c r="E215" s="41">
        <v>10070008</v>
      </c>
      <c r="F215" s="46" t="s">
        <v>211</v>
      </c>
      <c r="G215" s="39" t="s">
        <v>635</v>
      </c>
      <c r="H215" s="48" t="s">
        <v>99</v>
      </c>
      <c r="I215" s="52">
        <v>799.72000000000014</v>
      </c>
      <c r="J215" s="49">
        <v>30211.89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50">
        <v>30211.89</v>
      </c>
      <c r="R215" s="65">
        <v>0</v>
      </c>
      <c r="S215" s="65">
        <v>0</v>
      </c>
      <c r="T215" s="65">
        <v>0</v>
      </c>
      <c r="U215" s="65">
        <v>0</v>
      </c>
      <c r="V215" s="65">
        <v>1340.3447148387095</v>
      </c>
      <c r="W215" s="65">
        <v>0</v>
      </c>
      <c r="X215" s="65">
        <v>0</v>
      </c>
      <c r="Y215" s="65">
        <v>0</v>
      </c>
      <c r="Z215" s="65">
        <v>28871.54528516129</v>
      </c>
      <c r="AA215" s="51">
        <v>0</v>
      </c>
      <c r="AB215" s="102">
        <v>0</v>
      </c>
      <c r="AC215" s="81">
        <f t="shared" si="12"/>
        <v>0</v>
      </c>
      <c r="AD215" s="82">
        <f t="shared" si="13"/>
        <v>0</v>
      </c>
      <c r="AE215" s="218">
        <v>0</v>
      </c>
      <c r="AF215">
        <v>0</v>
      </c>
      <c r="AH215" t="str">
        <f t="shared" si="11"/>
        <v>Chautham</v>
      </c>
      <c r="AJ215" s="72">
        <v>0</v>
      </c>
      <c r="AK215" s="72"/>
      <c r="AL215" s="72"/>
      <c r="AM215" s="72"/>
    </row>
    <row r="216" spans="1:39" x14ac:dyDescent="0.25">
      <c r="A216" s="37" t="s">
        <v>62</v>
      </c>
      <c r="B216" s="66" t="s">
        <v>1566</v>
      </c>
      <c r="C216" s="47">
        <v>1007</v>
      </c>
      <c r="D216" s="47" t="s">
        <v>207</v>
      </c>
      <c r="E216" s="41">
        <v>10070013</v>
      </c>
      <c r="F216" s="46" t="s">
        <v>212</v>
      </c>
      <c r="G216" s="39" t="s">
        <v>93</v>
      </c>
      <c r="H216" s="48" t="s">
        <v>94</v>
      </c>
      <c r="I216" s="52">
        <v>255.6</v>
      </c>
      <c r="J216" s="49">
        <v>9516.57</v>
      </c>
      <c r="K216" s="65">
        <v>436.73999999999995</v>
      </c>
      <c r="L216" s="65">
        <v>16254.211349772004</v>
      </c>
      <c r="M216" s="65">
        <v>25.969999999999995</v>
      </c>
      <c r="N216" s="65">
        <v>958.8348075240001</v>
      </c>
      <c r="O216" s="65">
        <v>462.70999999999992</v>
      </c>
      <c r="P216" s="65">
        <v>17213.046157296005</v>
      </c>
      <c r="Q216" s="50">
        <v>9516.57</v>
      </c>
      <c r="R216" s="65">
        <v>0</v>
      </c>
      <c r="S216" s="65">
        <v>109.93277552400001</v>
      </c>
      <c r="T216" s="65">
        <v>7696.4761572960051</v>
      </c>
      <c r="U216" s="65">
        <v>0</v>
      </c>
      <c r="V216" s="65">
        <v>0</v>
      </c>
      <c r="W216" s="65">
        <v>0</v>
      </c>
      <c r="X216" s="65">
        <v>8559</v>
      </c>
      <c r="Y216" s="65">
        <v>848</v>
      </c>
      <c r="Z216" s="65">
        <v>0</v>
      </c>
      <c r="AA216" s="51">
        <v>0</v>
      </c>
      <c r="AB216" s="102">
        <v>0</v>
      </c>
      <c r="AC216" s="81">
        <f t="shared" si="12"/>
        <v>330.92047793427236</v>
      </c>
      <c r="AD216" s="82">
        <f t="shared" si="13"/>
        <v>36.514285714285712</v>
      </c>
      <c r="AE216" s="218">
        <v>-0.80874476384831984</v>
      </c>
      <c r="AF216">
        <v>9</v>
      </c>
      <c r="AH216" t="str">
        <f t="shared" si="11"/>
        <v>Araria</v>
      </c>
      <c r="AJ216" s="72">
        <v>0</v>
      </c>
      <c r="AK216" s="72"/>
      <c r="AL216" s="72"/>
      <c r="AM216" s="72"/>
    </row>
    <row r="217" spans="1:39" x14ac:dyDescent="0.25">
      <c r="A217" s="37" t="s">
        <v>62</v>
      </c>
      <c r="B217" s="66" t="s">
        <v>1566</v>
      </c>
      <c r="C217" s="47">
        <v>1007</v>
      </c>
      <c r="D217" s="47" t="s">
        <v>207</v>
      </c>
      <c r="E217" s="41">
        <v>10070016</v>
      </c>
      <c r="F217" s="46" t="s">
        <v>213</v>
      </c>
      <c r="G217" s="39" t="s">
        <v>93</v>
      </c>
      <c r="H217" s="48" t="s">
        <v>94</v>
      </c>
      <c r="I217" s="52">
        <v>276.99999999999994</v>
      </c>
      <c r="J217" s="49">
        <v>10394.36</v>
      </c>
      <c r="K217" s="65">
        <v>273.23</v>
      </c>
      <c r="L217" s="65">
        <v>10330.353526284001</v>
      </c>
      <c r="M217" s="65">
        <v>1.4900000000000004</v>
      </c>
      <c r="N217" s="65">
        <v>56.66132815200001</v>
      </c>
      <c r="O217" s="65">
        <v>274.72000000000003</v>
      </c>
      <c r="P217" s="65">
        <v>10387.014854436002</v>
      </c>
      <c r="Q217" s="50">
        <v>10387.014854436002</v>
      </c>
      <c r="R217" s="65">
        <v>0</v>
      </c>
      <c r="S217" s="65">
        <v>56.66132815200001</v>
      </c>
      <c r="T217" s="65">
        <v>0</v>
      </c>
      <c r="U217" s="65">
        <v>0</v>
      </c>
      <c r="V217" s="65">
        <v>0</v>
      </c>
      <c r="W217" s="65">
        <v>0</v>
      </c>
      <c r="X217" s="65">
        <v>10330</v>
      </c>
      <c r="Y217" s="65">
        <v>0</v>
      </c>
      <c r="Z217" s="65">
        <v>0</v>
      </c>
      <c r="AA217" s="51">
        <v>8</v>
      </c>
      <c r="AB217" s="102">
        <v>0</v>
      </c>
      <c r="AC217" s="81">
        <f t="shared" si="12"/>
        <v>317.45951480144419</v>
      </c>
      <c r="AD217" s="82">
        <f t="shared" si="13"/>
        <v>39.571428571428562</v>
      </c>
      <c r="AE217" s="218">
        <v>7.0664721675974397E-4</v>
      </c>
      <c r="AF217">
        <v>4</v>
      </c>
      <c r="AH217" t="str">
        <f t="shared" si="11"/>
        <v>Araria</v>
      </c>
      <c r="AJ217" s="72">
        <v>0</v>
      </c>
      <c r="AK217" s="72"/>
      <c r="AL217" s="72"/>
      <c r="AM217" s="72"/>
    </row>
    <row r="218" spans="1:39" x14ac:dyDescent="0.25">
      <c r="A218" s="37" t="s">
        <v>62</v>
      </c>
      <c r="B218" s="66" t="s">
        <v>1566</v>
      </c>
      <c r="C218" s="47">
        <v>1007</v>
      </c>
      <c r="D218" s="47" t="s">
        <v>207</v>
      </c>
      <c r="E218" s="41">
        <v>10070018</v>
      </c>
      <c r="F218" s="46" t="s">
        <v>214</v>
      </c>
      <c r="G218" s="39" t="s">
        <v>635</v>
      </c>
      <c r="H218" s="48" t="s">
        <v>99</v>
      </c>
      <c r="I218" s="52">
        <v>14358.6</v>
      </c>
      <c r="J218" s="49">
        <v>540780.87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50">
        <v>540780.87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540780.87</v>
      </c>
      <c r="AA218" s="51">
        <v>0</v>
      </c>
      <c r="AB218" s="102">
        <v>0</v>
      </c>
      <c r="AC218" s="81">
        <f t="shared" si="12"/>
        <v>0</v>
      </c>
      <c r="AD218" s="82">
        <f t="shared" si="13"/>
        <v>0</v>
      </c>
      <c r="AE218" s="218">
        <v>0</v>
      </c>
      <c r="AF218">
        <v>0</v>
      </c>
      <c r="AH218" t="str">
        <f t="shared" si="11"/>
        <v>Araria</v>
      </c>
      <c r="AJ218" s="72">
        <v>0</v>
      </c>
      <c r="AK218" s="72"/>
      <c r="AL218" s="72"/>
      <c r="AM218" s="72"/>
    </row>
    <row r="219" spans="1:39" x14ac:dyDescent="0.25">
      <c r="A219" s="37" t="s">
        <v>62</v>
      </c>
      <c r="B219" s="66" t="s">
        <v>1566</v>
      </c>
      <c r="C219" s="47">
        <v>1007</v>
      </c>
      <c r="D219" s="47" t="s">
        <v>207</v>
      </c>
      <c r="E219" s="41">
        <v>10070019</v>
      </c>
      <c r="F219" s="46" t="s">
        <v>215</v>
      </c>
      <c r="G219" s="39" t="s">
        <v>635</v>
      </c>
      <c r="H219" s="48" t="s">
        <v>99</v>
      </c>
      <c r="I219" s="52">
        <v>4539.5</v>
      </c>
      <c r="J219" s="49">
        <v>170603.23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50">
        <v>170603.23</v>
      </c>
      <c r="R219" s="65">
        <v>0</v>
      </c>
      <c r="S219" s="65">
        <v>0</v>
      </c>
      <c r="T219" s="65">
        <v>0</v>
      </c>
      <c r="U219" s="65">
        <v>0</v>
      </c>
      <c r="V219" s="65">
        <v>4051.340864516133</v>
      </c>
      <c r="W219" s="65">
        <v>0</v>
      </c>
      <c r="X219" s="65">
        <v>0</v>
      </c>
      <c r="Y219" s="65">
        <v>0</v>
      </c>
      <c r="Z219" s="65">
        <v>166551.88913548389</v>
      </c>
      <c r="AA219" s="51">
        <v>0</v>
      </c>
      <c r="AB219" s="102">
        <v>0</v>
      </c>
      <c r="AC219" s="81">
        <f t="shared" si="12"/>
        <v>0</v>
      </c>
      <c r="AD219" s="82">
        <f t="shared" si="13"/>
        <v>0</v>
      </c>
      <c r="AE219" s="218">
        <v>0</v>
      </c>
      <c r="AF219">
        <v>0</v>
      </c>
      <c r="AH219" t="str">
        <f t="shared" si="11"/>
        <v>Araria</v>
      </c>
      <c r="AJ219" s="72">
        <v>0</v>
      </c>
      <c r="AK219" s="72"/>
      <c r="AL219" s="72"/>
      <c r="AM219" s="72"/>
    </row>
    <row r="220" spans="1:39" x14ac:dyDescent="0.25">
      <c r="A220" s="37" t="s">
        <v>62</v>
      </c>
      <c r="B220" s="66" t="s">
        <v>1566</v>
      </c>
      <c r="C220" s="47">
        <v>1007</v>
      </c>
      <c r="D220" s="47" t="s">
        <v>207</v>
      </c>
      <c r="E220" s="41">
        <v>10070020</v>
      </c>
      <c r="F220" s="46" t="s">
        <v>216</v>
      </c>
      <c r="G220" s="39" t="s">
        <v>635</v>
      </c>
      <c r="H220" s="48" t="s">
        <v>99</v>
      </c>
      <c r="I220" s="52">
        <v>4889.4999999999991</v>
      </c>
      <c r="J220" s="49">
        <v>181947.28999999995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50">
        <v>181947.28999999995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181947.28999999995</v>
      </c>
      <c r="AA220" s="51">
        <v>0</v>
      </c>
      <c r="AB220" s="102">
        <v>0</v>
      </c>
      <c r="AC220" s="81">
        <f t="shared" si="12"/>
        <v>0</v>
      </c>
      <c r="AD220" s="82">
        <f t="shared" si="13"/>
        <v>0</v>
      </c>
      <c r="AE220" s="218">
        <v>0</v>
      </c>
      <c r="AF220">
        <v>0</v>
      </c>
      <c r="AH220" t="str">
        <f t="shared" si="11"/>
        <v>Araria</v>
      </c>
      <c r="AJ220" s="72">
        <v>0</v>
      </c>
      <c r="AK220" s="72"/>
      <c r="AL220" s="72"/>
      <c r="AM220" s="72"/>
    </row>
    <row r="221" spans="1:39" x14ac:dyDescent="0.25">
      <c r="A221" s="37" t="s">
        <v>62</v>
      </c>
      <c r="B221" s="66" t="s">
        <v>1566</v>
      </c>
      <c r="C221" s="47">
        <v>1007</v>
      </c>
      <c r="D221" s="47" t="s">
        <v>207</v>
      </c>
      <c r="E221" s="41">
        <v>10070024</v>
      </c>
      <c r="F221" s="46" t="s">
        <v>217</v>
      </c>
      <c r="G221" s="39" t="s">
        <v>635</v>
      </c>
      <c r="H221" s="48" t="s">
        <v>99</v>
      </c>
      <c r="I221" s="52">
        <v>935.5</v>
      </c>
      <c r="J221" s="49">
        <v>33397.789999999994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50">
        <v>33397.789999999994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33397.789999999994</v>
      </c>
      <c r="AA221" s="51">
        <v>0</v>
      </c>
      <c r="AB221" s="102">
        <v>0</v>
      </c>
      <c r="AC221" s="81">
        <f t="shared" si="12"/>
        <v>0</v>
      </c>
      <c r="AD221" s="82">
        <f t="shared" si="13"/>
        <v>0</v>
      </c>
      <c r="AE221" s="218">
        <v>0</v>
      </c>
      <c r="AF221">
        <v>0</v>
      </c>
      <c r="AH221" t="str">
        <f t="shared" si="11"/>
        <v>Araria</v>
      </c>
      <c r="AJ221" s="72">
        <v>0</v>
      </c>
      <c r="AK221" s="72"/>
      <c r="AL221" s="72"/>
      <c r="AM221" s="72"/>
    </row>
    <row r="222" spans="1:39" x14ac:dyDescent="0.25">
      <c r="A222" s="37" t="s">
        <v>62</v>
      </c>
      <c r="B222" s="66" t="s">
        <v>1566</v>
      </c>
      <c r="C222" s="47">
        <v>1007</v>
      </c>
      <c r="D222" s="47" t="s">
        <v>207</v>
      </c>
      <c r="E222" s="41">
        <v>10070026</v>
      </c>
      <c r="F222" s="46" t="s">
        <v>218</v>
      </c>
      <c r="G222" s="39" t="s">
        <v>635</v>
      </c>
      <c r="H222" s="48" t="s">
        <v>99</v>
      </c>
      <c r="I222" s="52">
        <v>687.8</v>
      </c>
      <c r="J222" s="49">
        <v>25232.3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50">
        <v>25232.3</v>
      </c>
      <c r="R222" s="65">
        <v>0</v>
      </c>
      <c r="S222" s="65">
        <v>0</v>
      </c>
      <c r="T222" s="65">
        <v>0</v>
      </c>
      <c r="U222" s="65">
        <v>12962</v>
      </c>
      <c r="V222" s="65">
        <v>12270.774754838712</v>
      </c>
      <c r="W222" s="65">
        <v>0</v>
      </c>
      <c r="X222" s="65">
        <v>0</v>
      </c>
      <c r="Y222" s="65">
        <v>0</v>
      </c>
      <c r="Z222" s="65">
        <v>-0.47475483871312463</v>
      </c>
      <c r="AA222" s="51">
        <v>0</v>
      </c>
      <c r="AB222" s="102">
        <v>0</v>
      </c>
      <c r="AC222" s="81">
        <f t="shared" si="12"/>
        <v>8.9512666472812086</v>
      </c>
      <c r="AD222" s="82">
        <f t="shared" si="13"/>
        <v>98.257142857142853</v>
      </c>
      <c r="AE222" s="218">
        <v>0</v>
      </c>
      <c r="AF222">
        <v>0</v>
      </c>
      <c r="AH222" t="str">
        <f t="shared" si="11"/>
        <v>Araria</v>
      </c>
      <c r="AJ222" s="72">
        <v>0</v>
      </c>
      <c r="AK222" s="72"/>
      <c r="AL222" s="72"/>
      <c r="AM222" s="72"/>
    </row>
    <row r="223" spans="1:39" x14ac:dyDescent="0.25">
      <c r="A223" s="37" t="s">
        <v>62</v>
      </c>
      <c r="B223" s="66" t="s">
        <v>1566</v>
      </c>
      <c r="C223" s="47">
        <v>1010</v>
      </c>
      <c r="D223" s="47" t="s">
        <v>1359</v>
      </c>
      <c r="E223" s="41">
        <v>10070033</v>
      </c>
      <c r="F223" s="46" t="s">
        <v>219</v>
      </c>
      <c r="G223" s="39" t="s">
        <v>93</v>
      </c>
      <c r="H223" s="48" t="s">
        <v>94</v>
      </c>
      <c r="I223" s="52">
        <v>552.00000000000011</v>
      </c>
      <c r="J223" s="49">
        <v>25802.919999999991</v>
      </c>
      <c r="K223" s="65">
        <v>578.79999999999995</v>
      </c>
      <c r="L223" s="65">
        <v>26183.475100750002</v>
      </c>
      <c r="M223" s="65">
        <v>0</v>
      </c>
      <c r="N223" s="65">
        <v>0</v>
      </c>
      <c r="O223" s="65">
        <v>578.79999999999995</v>
      </c>
      <c r="P223" s="65">
        <v>26183.475100750002</v>
      </c>
      <c r="Q223" s="50">
        <v>25802.919999999991</v>
      </c>
      <c r="R223" s="65">
        <v>0</v>
      </c>
      <c r="S223" s="65">
        <v>0</v>
      </c>
      <c r="T223" s="65">
        <v>380.55510075001075</v>
      </c>
      <c r="U223" s="65">
        <v>0</v>
      </c>
      <c r="V223" s="65">
        <v>0</v>
      </c>
      <c r="W223" s="65">
        <v>0</v>
      </c>
      <c r="X223" s="65">
        <v>25803</v>
      </c>
      <c r="Y223" s="65">
        <v>0</v>
      </c>
      <c r="Z223" s="65">
        <v>0</v>
      </c>
      <c r="AA223" s="51">
        <v>0</v>
      </c>
      <c r="AB223" s="102">
        <v>0</v>
      </c>
      <c r="AC223" s="81">
        <f t="shared" si="12"/>
        <v>138.36348405797082</v>
      </c>
      <c r="AD223" s="82">
        <f t="shared" si="13"/>
        <v>78.857142857142875</v>
      </c>
      <c r="AE223" s="218">
        <v>-1.4748528490186805E-2</v>
      </c>
      <c r="AF223">
        <v>2</v>
      </c>
      <c r="AH223" t="str">
        <f t="shared" si="11"/>
        <v>Parbatta</v>
      </c>
      <c r="AJ223" s="72">
        <v>0</v>
      </c>
      <c r="AK223" s="72"/>
      <c r="AL223" s="72"/>
      <c r="AM223" s="72"/>
    </row>
    <row r="224" spans="1:39" x14ac:dyDescent="0.25">
      <c r="A224" s="37" t="s">
        <v>62</v>
      </c>
      <c r="B224" s="66" t="s">
        <v>1566</v>
      </c>
      <c r="C224" s="47">
        <v>1056</v>
      </c>
      <c r="D224" s="47" t="s">
        <v>838</v>
      </c>
      <c r="E224" s="41">
        <v>10070039</v>
      </c>
      <c r="F224" s="46" t="s">
        <v>1249</v>
      </c>
      <c r="G224" s="39" t="s">
        <v>635</v>
      </c>
      <c r="H224" s="48" t="s">
        <v>99</v>
      </c>
      <c r="I224" s="52">
        <v>331.14</v>
      </c>
      <c r="J224" s="49">
        <v>11136.12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50">
        <v>11136.12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11136.12</v>
      </c>
      <c r="AA224" s="51">
        <v>0</v>
      </c>
      <c r="AB224" s="102">
        <v>0</v>
      </c>
      <c r="AC224" s="81">
        <f t="shared" si="12"/>
        <v>248.09260271788375</v>
      </c>
      <c r="AD224" s="82">
        <f t="shared" si="13"/>
        <v>47.305714285714281</v>
      </c>
      <c r="AE224" s="218">
        <v>0</v>
      </c>
      <c r="AF224">
        <v>0</v>
      </c>
      <c r="AH224" t="str">
        <f t="shared" si="11"/>
        <v>Chautham</v>
      </c>
      <c r="AJ224" s="72">
        <v>0</v>
      </c>
      <c r="AK224" s="72"/>
      <c r="AL224" s="72"/>
      <c r="AM224" s="72"/>
    </row>
    <row r="225" spans="1:39" x14ac:dyDescent="0.25">
      <c r="A225" s="37" t="s">
        <v>62</v>
      </c>
      <c r="B225" s="66" t="s">
        <v>1566</v>
      </c>
      <c r="C225" s="47">
        <v>1007</v>
      </c>
      <c r="D225" s="47" t="s">
        <v>207</v>
      </c>
      <c r="E225" s="41">
        <v>10070042</v>
      </c>
      <c r="F225" s="46" t="s">
        <v>220</v>
      </c>
      <c r="G225" s="39" t="s">
        <v>93</v>
      </c>
      <c r="H225" s="48" t="s">
        <v>94</v>
      </c>
      <c r="I225" s="52">
        <v>159.9</v>
      </c>
      <c r="J225" s="49">
        <v>6679.5700000000006</v>
      </c>
      <c r="K225" s="65">
        <v>159.9</v>
      </c>
      <c r="L225" s="65">
        <v>6691.035007800001</v>
      </c>
      <c r="M225" s="65">
        <v>0</v>
      </c>
      <c r="N225" s="65">
        <v>0</v>
      </c>
      <c r="O225" s="65">
        <v>159.9</v>
      </c>
      <c r="P225" s="65">
        <v>6691.035007800001</v>
      </c>
      <c r="Q225" s="50">
        <v>6679.5700000000006</v>
      </c>
      <c r="R225" s="65">
        <v>0</v>
      </c>
      <c r="S225" s="65">
        <v>0</v>
      </c>
      <c r="T225" s="65">
        <v>11.465007800000421</v>
      </c>
      <c r="U225" s="65">
        <v>0</v>
      </c>
      <c r="V225" s="65">
        <v>0</v>
      </c>
      <c r="W225" s="65">
        <v>0</v>
      </c>
      <c r="X225" s="65">
        <v>6680</v>
      </c>
      <c r="Y225" s="65">
        <v>0</v>
      </c>
      <c r="Z225" s="65">
        <v>0</v>
      </c>
      <c r="AA225" s="51">
        <v>0</v>
      </c>
      <c r="AB225" s="102">
        <v>0</v>
      </c>
      <c r="AC225" s="81">
        <f t="shared" si="12"/>
        <v>451.23649243277055</v>
      </c>
      <c r="AD225" s="82">
        <f t="shared" si="13"/>
        <v>22.842857142857145</v>
      </c>
      <c r="AE225" s="218">
        <v>-1.7164290216287008E-3</v>
      </c>
      <c r="AF225">
        <v>1</v>
      </c>
      <c r="AH225" t="str">
        <f t="shared" si="11"/>
        <v>Araria</v>
      </c>
      <c r="AJ225" s="72">
        <v>0</v>
      </c>
      <c r="AK225" s="72"/>
      <c r="AL225" s="72"/>
      <c r="AM225" s="72"/>
    </row>
    <row r="226" spans="1:39" x14ac:dyDescent="0.25">
      <c r="A226" s="37" t="s">
        <v>62</v>
      </c>
      <c r="B226" s="66" t="s">
        <v>1566</v>
      </c>
      <c r="C226" s="47">
        <v>1007</v>
      </c>
      <c r="D226" s="47" t="s">
        <v>207</v>
      </c>
      <c r="E226" s="41">
        <v>10070043</v>
      </c>
      <c r="F226" s="46" t="s">
        <v>207</v>
      </c>
      <c r="G226" s="39" t="s">
        <v>635</v>
      </c>
      <c r="H226" s="48" t="s">
        <v>99</v>
      </c>
      <c r="I226" s="52">
        <v>17603.699999999997</v>
      </c>
      <c r="J226" s="49">
        <v>660177.79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50">
        <v>660177.79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660177.79</v>
      </c>
      <c r="AA226" s="51">
        <v>0</v>
      </c>
      <c r="AB226" s="102">
        <v>0</v>
      </c>
      <c r="AC226" s="81">
        <f t="shared" si="12"/>
        <v>0</v>
      </c>
      <c r="AD226" s="82">
        <f t="shared" si="13"/>
        <v>0</v>
      </c>
      <c r="AE226" s="218">
        <v>0</v>
      </c>
      <c r="AF226">
        <v>0</v>
      </c>
      <c r="AH226" t="str">
        <f t="shared" si="11"/>
        <v>Araria</v>
      </c>
      <c r="AJ226" s="72">
        <v>0</v>
      </c>
      <c r="AK226" s="72"/>
      <c r="AL226" s="72"/>
      <c r="AM226" s="72"/>
    </row>
    <row r="227" spans="1:39" x14ac:dyDescent="0.25">
      <c r="A227" s="37" t="s">
        <v>62</v>
      </c>
      <c r="B227" s="66" t="s">
        <v>1566</v>
      </c>
      <c r="C227" s="47">
        <v>1007</v>
      </c>
      <c r="D227" s="47" t="s">
        <v>207</v>
      </c>
      <c r="E227" s="41">
        <v>10070045</v>
      </c>
      <c r="F227" s="46" t="s">
        <v>213</v>
      </c>
      <c r="G227" s="39" t="s">
        <v>93</v>
      </c>
      <c r="H227" s="48" t="s">
        <v>94</v>
      </c>
      <c r="I227" s="52">
        <v>268.8</v>
      </c>
      <c r="J227" s="49">
        <v>9839.010000000002</v>
      </c>
      <c r="K227" s="65">
        <v>268.36</v>
      </c>
      <c r="L227" s="65">
        <v>10044.205695216002</v>
      </c>
      <c r="M227" s="65">
        <v>0.44</v>
      </c>
      <c r="N227" s="65">
        <v>16.959842064000004</v>
      </c>
      <c r="O227" s="65">
        <v>268.8</v>
      </c>
      <c r="P227" s="65">
        <v>10061.165537280001</v>
      </c>
      <c r="Q227" s="50">
        <v>9839.010000000002</v>
      </c>
      <c r="R227" s="65">
        <v>0</v>
      </c>
      <c r="S227" s="65">
        <v>16.959842064000004</v>
      </c>
      <c r="T227" s="65">
        <v>222.15553727999941</v>
      </c>
      <c r="U227" s="65">
        <v>0</v>
      </c>
      <c r="V227" s="65">
        <v>2058.5756571428565</v>
      </c>
      <c r="W227" s="65">
        <v>0</v>
      </c>
      <c r="X227" s="65">
        <v>7763</v>
      </c>
      <c r="Y227" s="65">
        <v>0</v>
      </c>
      <c r="Z227" s="65">
        <v>0</v>
      </c>
      <c r="AA227" s="51">
        <v>0</v>
      </c>
      <c r="AB227" s="102">
        <v>0</v>
      </c>
      <c r="AC227" s="81">
        <f t="shared" si="12"/>
        <v>315.66823750000009</v>
      </c>
      <c r="AD227" s="82">
        <f t="shared" si="13"/>
        <v>38.4</v>
      </c>
      <c r="AE227" s="218">
        <v>-2.2579053917009879E-2</v>
      </c>
      <c r="AF227">
        <v>3</v>
      </c>
      <c r="AH227" t="str">
        <f t="shared" si="11"/>
        <v>Araria</v>
      </c>
      <c r="AJ227" s="72">
        <v>0</v>
      </c>
      <c r="AK227" s="72"/>
      <c r="AL227" s="72"/>
      <c r="AM227" s="72"/>
    </row>
    <row r="228" spans="1:39" x14ac:dyDescent="0.25">
      <c r="A228" s="37" t="s">
        <v>62</v>
      </c>
      <c r="B228" s="66" t="s">
        <v>1566</v>
      </c>
      <c r="C228" s="47">
        <v>1056</v>
      </c>
      <c r="D228" s="47" t="s">
        <v>838</v>
      </c>
      <c r="E228" s="41">
        <v>10070046</v>
      </c>
      <c r="F228" s="46" t="s">
        <v>503</v>
      </c>
      <c r="G228" s="39" t="s">
        <v>93</v>
      </c>
      <c r="H228" s="48" t="s">
        <v>94</v>
      </c>
      <c r="I228" s="52">
        <v>2484.06</v>
      </c>
      <c r="J228" s="49">
        <v>93953.859999999986</v>
      </c>
      <c r="K228" s="65">
        <v>2573.9899999999998</v>
      </c>
      <c r="L228" s="65">
        <v>101544.41885198402</v>
      </c>
      <c r="M228" s="65">
        <v>6.6999999999999993</v>
      </c>
      <c r="N228" s="65">
        <v>236.55107520000001</v>
      </c>
      <c r="O228" s="65">
        <v>2580.6899999999996</v>
      </c>
      <c r="P228" s="65">
        <v>101780.96992718402</v>
      </c>
      <c r="Q228" s="50">
        <v>93953.859999999986</v>
      </c>
      <c r="R228" s="65">
        <v>0</v>
      </c>
      <c r="S228" s="65">
        <v>236.55107520000001</v>
      </c>
      <c r="T228" s="65">
        <v>7827.1099271840358</v>
      </c>
      <c r="U228" s="65">
        <v>0</v>
      </c>
      <c r="V228" s="65">
        <v>0</v>
      </c>
      <c r="W228" s="65">
        <v>0</v>
      </c>
      <c r="X228" s="65">
        <v>93717</v>
      </c>
      <c r="Y228" s="65">
        <v>0</v>
      </c>
      <c r="Z228" s="65">
        <v>0</v>
      </c>
      <c r="AA228" s="51">
        <v>0</v>
      </c>
      <c r="AB228" s="102">
        <v>0</v>
      </c>
      <c r="AC228" s="81">
        <f t="shared" si="12"/>
        <v>0</v>
      </c>
      <c r="AD228" s="82">
        <f t="shared" si="13"/>
        <v>0</v>
      </c>
      <c r="AE228" s="218">
        <v>-8.3308018714548154E-2</v>
      </c>
      <c r="AF228">
        <v>7</v>
      </c>
      <c r="AH228" t="str">
        <f t="shared" si="11"/>
        <v>Chautham</v>
      </c>
      <c r="AJ228" s="72">
        <v>0</v>
      </c>
      <c r="AK228" s="72"/>
      <c r="AL228" s="72"/>
      <c r="AM228" s="72"/>
    </row>
    <row r="229" spans="1:39" x14ac:dyDescent="0.25">
      <c r="A229" s="37" t="s">
        <v>62</v>
      </c>
      <c r="B229" s="66" t="s">
        <v>1566</v>
      </c>
      <c r="C229" s="47">
        <v>1007</v>
      </c>
      <c r="D229" s="47" t="s">
        <v>207</v>
      </c>
      <c r="E229" s="41">
        <v>10070048</v>
      </c>
      <c r="F229" s="46" t="s">
        <v>525</v>
      </c>
      <c r="G229" s="39" t="s">
        <v>93</v>
      </c>
      <c r="H229" s="48" t="s">
        <v>94</v>
      </c>
      <c r="I229" s="52">
        <v>1515.5</v>
      </c>
      <c r="J229" s="49">
        <v>58291.000000000007</v>
      </c>
      <c r="K229" s="65">
        <v>1525.97</v>
      </c>
      <c r="L229" s="65">
        <v>62015.128435364779</v>
      </c>
      <c r="M229" s="65">
        <v>0</v>
      </c>
      <c r="N229" s="65">
        <v>0</v>
      </c>
      <c r="O229" s="65">
        <v>1525.97</v>
      </c>
      <c r="P229" s="65">
        <v>62015.128435364779</v>
      </c>
      <c r="Q229" s="50">
        <v>58291.000000000007</v>
      </c>
      <c r="R229" s="65">
        <v>0</v>
      </c>
      <c r="S229" s="65">
        <v>0</v>
      </c>
      <c r="T229" s="65">
        <v>3724.1284353647716</v>
      </c>
      <c r="U229" s="65">
        <v>0</v>
      </c>
      <c r="V229" s="65">
        <v>0</v>
      </c>
      <c r="W229" s="65">
        <v>0</v>
      </c>
      <c r="X229" s="65">
        <v>58291</v>
      </c>
      <c r="Y229" s="65">
        <v>0</v>
      </c>
      <c r="Z229" s="65">
        <v>0</v>
      </c>
      <c r="AA229" s="51">
        <v>0</v>
      </c>
      <c r="AB229" s="102">
        <v>0</v>
      </c>
      <c r="AC229" s="81">
        <f t="shared" si="12"/>
        <v>0</v>
      </c>
      <c r="AD229" s="82">
        <f t="shared" si="13"/>
        <v>0</v>
      </c>
      <c r="AE229" s="218">
        <v>-6.3888566594581864E-2</v>
      </c>
      <c r="AF229">
        <v>8</v>
      </c>
      <c r="AH229" t="str">
        <f t="shared" si="11"/>
        <v>Araria</v>
      </c>
      <c r="AJ229" s="72">
        <v>0</v>
      </c>
      <c r="AK229" s="72"/>
      <c r="AL229" s="72"/>
      <c r="AM229" s="72"/>
    </row>
    <row r="230" spans="1:39" x14ac:dyDescent="0.25">
      <c r="A230" s="37" t="s">
        <v>62</v>
      </c>
      <c r="B230" s="66" t="s">
        <v>1566</v>
      </c>
      <c r="C230" s="47">
        <v>1056</v>
      </c>
      <c r="D230" s="47" t="s">
        <v>838</v>
      </c>
      <c r="E230" s="41">
        <v>10070053</v>
      </c>
      <c r="F230" s="46" t="s">
        <v>1305</v>
      </c>
      <c r="G230" s="39" t="s">
        <v>635</v>
      </c>
      <c r="H230" s="48" t="s">
        <v>94</v>
      </c>
      <c r="I230" s="52">
        <v>308.38</v>
      </c>
      <c r="J230" s="49">
        <v>10914.029999999999</v>
      </c>
      <c r="K230" s="65">
        <v>471.74</v>
      </c>
      <c r="L230" s="65">
        <v>28021.091872862002</v>
      </c>
      <c r="M230" s="65">
        <v>0</v>
      </c>
      <c r="N230" s="65">
        <v>0</v>
      </c>
      <c r="O230" s="65">
        <v>471.74</v>
      </c>
      <c r="P230" s="65">
        <v>28021.091872862002</v>
      </c>
      <c r="Q230" s="50">
        <v>10914.029999999999</v>
      </c>
      <c r="R230" s="65">
        <v>0</v>
      </c>
      <c r="S230" s="65">
        <v>0</v>
      </c>
      <c r="T230" s="65">
        <v>17107.061872862003</v>
      </c>
      <c r="U230" s="65">
        <v>0</v>
      </c>
      <c r="V230" s="65">
        <v>0</v>
      </c>
      <c r="W230" s="65">
        <v>0</v>
      </c>
      <c r="X230" s="65">
        <v>10914</v>
      </c>
      <c r="Y230" s="65">
        <v>0</v>
      </c>
      <c r="Z230" s="65">
        <v>0</v>
      </c>
      <c r="AA230" s="51">
        <v>0</v>
      </c>
      <c r="AB230" s="102" t="s">
        <v>68</v>
      </c>
      <c r="AC230" s="81">
        <f t="shared" si="12"/>
        <v>277.20036504312861</v>
      </c>
      <c r="AD230" s="82">
        <f t="shared" si="13"/>
        <v>44.054285714285712</v>
      </c>
      <c r="AE230" s="218">
        <v>-1.5674376809356401</v>
      </c>
      <c r="AF230">
        <v>2</v>
      </c>
      <c r="AH230" t="str">
        <f t="shared" si="11"/>
        <v>Chautham</v>
      </c>
      <c r="AJ230" s="72">
        <v>0</v>
      </c>
      <c r="AK230" s="72"/>
      <c r="AL230" s="72"/>
      <c r="AM230" s="72"/>
    </row>
    <row r="231" spans="1:39" x14ac:dyDescent="0.25">
      <c r="A231" s="37" t="s">
        <v>62</v>
      </c>
      <c r="B231" s="66" t="s">
        <v>1566</v>
      </c>
      <c r="C231" s="47">
        <v>1056</v>
      </c>
      <c r="D231" s="47" t="s">
        <v>838</v>
      </c>
      <c r="E231" s="41">
        <v>10070056</v>
      </c>
      <c r="F231" s="46" t="s">
        <v>539</v>
      </c>
      <c r="G231" s="39" t="s">
        <v>635</v>
      </c>
      <c r="H231" s="48" t="s">
        <v>99</v>
      </c>
      <c r="I231" s="52">
        <v>695.26</v>
      </c>
      <c r="J231" s="49">
        <v>27892.160000000007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50">
        <v>27892.160000000007</v>
      </c>
      <c r="R231" s="65">
        <v>0</v>
      </c>
      <c r="S231" s="65">
        <v>0</v>
      </c>
      <c r="T231" s="65">
        <v>0</v>
      </c>
      <c r="U231" s="65">
        <v>0</v>
      </c>
      <c r="V231" s="65">
        <v>0</v>
      </c>
      <c r="W231" s="65">
        <v>0</v>
      </c>
      <c r="X231" s="65">
        <v>0</v>
      </c>
      <c r="Y231" s="65">
        <v>0</v>
      </c>
      <c r="Z231" s="65">
        <v>27892.160000000007</v>
      </c>
      <c r="AA231" s="51">
        <v>0</v>
      </c>
      <c r="AB231" s="102">
        <v>0</v>
      </c>
      <c r="AC231" s="81">
        <f t="shared" si="12"/>
        <v>3.8031481287575724</v>
      </c>
      <c r="AD231" s="82">
        <f t="shared" si="13"/>
        <v>99.322857142857146</v>
      </c>
      <c r="AE231" s="218">
        <v>0</v>
      </c>
      <c r="AF231">
        <v>0</v>
      </c>
      <c r="AH231" t="str">
        <f t="shared" si="11"/>
        <v>Chautham</v>
      </c>
      <c r="AJ231" s="72">
        <v>0</v>
      </c>
      <c r="AK231" s="72"/>
      <c r="AL231" s="72"/>
      <c r="AM231" s="72"/>
    </row>
    <row r="232" spans="1:39" x14ac:dyDescent="0.25">
      <c r="A232" s="37" t="s">
        <v>62</v>
      </c>
      <c r="B232" s="66" t="s">
        <v>1566</v>
      </c>
      <c r="C232" s="47">
        <v>1056</v>
      </c>
      <c r="D232" s="47" t="s">
        <v>838</v>
      </c>
      <c r="E232" s="41">
        <v>10070058</v>
      </c>
      <c r="F232" s="46" t="s">
        <v>1292</v>
      </c>
      <c r="G232" s="39" t="s">
        <v>635</v>
      </c>
      <c r="H232" s="48" t="s">
        <v>99</v>
      </c>
      <c r="I232" s="52">
        <v>150.80000000000001</v>
      </c>
      <c r="J232" s="49">
        <v>4998.8600000000006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50">
        <v>4998.8600000000006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4998.8600000000006</v>
      </c>
      <c r="AA232" s="51">
        <v>0</v>
      </c>
      <c r="AB232" s="102">
        <v>0</v>
      </c>
      <c r="AC232" s="81">
        <f t="shared" si="12"/>
        <v>364.1079458885942</v>
      </c>
      <c r="AD232" s="82">
        <f t="shared" si="13"/>
        <v>21.542857142857144</v>
      </c>
      <c r="AE232" s="218">
        <v>0</v>
      </c>
      <c r="AF232">
        <v>0</v>
      </c>
      <c r="AH232" t="str">
        <f t="shared" si="11"/>
        <v>Chautham</v>
      </c>
      <c r="AJ232" s="72">
        <v>0</v>
      </c>
      <c r="AK232" s="72"/>
      <c r="AL232" s="72"/>
      <c r="AM232" s="72"/>
    </row>
    <row r="233" spans="1:39" x14ac:dyDescent="0.25">
      <c r="A233" s="37" t="s">
        <v>62</v>
      </c>
      <c r="B233" s="66" t="s">
        <v>1566</v>
      </c>
      <c r="C233" s="47">
        <v>1056</v>
      </c>
      <c r="D233" s="47" t="s">
        <v>838</v>
      </c>
      <c r="E233" s="41">
        <v>10070059</v>
      </c>
      <c r="F233" s="46" t="s">
        <v>568</v>
      </c>
      <c r="G233" s="39" t="s">
        <v>635</v>
      </c>
      <c r="H233" s="48" t="s">
        <v>99</v>
      </c>
      <c r="I233" s="52">
        <v>1742.84</v>
      </c>
      <c r="J233" s="49">
        <v>65381.969999999994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50">
        <v>65381.969999999994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65">
        <v>65381.969999999994</v>
      </c>
      <c r="AA233" s="51">
        <v>0</v>
      </c>
      <c r="AB233" s="102">
        <v>0</v>
      </c>
      <c r="AC233" s="81">
        <f t="shared" si="12"/>
        <v>0</v>
      </c>
      <c r="AD233" s="82">
        <f t="shared" si="13"/>
        <v>0</v>
      </c>
      <c r="AE233" s="218">
        <v>0</v>
      </c>
      <c r="AF233">
        <v>0</v>
      </c>
      <c r="AH233" t="str">
        <f t="shared" si="11"/>
        <v>Chautham</v>
      </c>
      <c r="AJ233" s="72">
        <v>0</v>
      </c>
      <c r="AK233" s="72"/>
      <c r="AL233" s="72"/>
      <c r="AM233" s="72"/>
    </row>
    <row r="234" spans="1:39" x14ac:dyDescent="0.25">
      <c r="A234" s="37" t="s">
        <v>62</v>
      </c>
      <c r="B234" s="66" t="s">
        <v>1566</v>
      </c>
      <c r="C234" s="47">
        <v>1056</v>
      </c>
      <c r="D234" s="47" t="s">
        <v>838</v>
      </c>
      <c r="E234" s="41">
        <v>10070060</v>
      </c>
      <c r="F234" s="46" t="s">
        <v>1348</v>
      </c>
      <c r="G234" s="39" t="s">
        <v>635</v>
      </c>
      <c r="H234" s="48" t="s">
        <v>99</v>
      </c>
      <c r="I234" s="52">
        <v>53.9</v>
      </c>
      <c r="J234" s="49">
        <v>1994.61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50">
        <v>1994.61</v>
      </c>
      <c r="R234" s="65">
        <v>0</v>
      </c>
      <c r="S234" s="65">
        <v>0</v>
      </c>
      <c r="T234" s="65">
        <v>0</v>
      </c>
      <c r="U234" s="65">
        <v>0</v>
      </c>
      <c r="V234" s="65">
        <v>221.83448903225809</v>
      </c>
      <c r="W234" s="65">
        <v>0</v>
      </c>
      <c r="X234" s="65">
        <v>0</v>
      </c>
      <c r="Y234" s="65">
        <v>0</v>
      </c>
      <c r="Z234" s="65">
        <v>1772.7755109677419</v>
      </c>
      <c r="AA234" s="51">
        <v>0</v>
      </c>
      <c r="AB234" s="102">
        <v>0</v>
      </c>
      <c r="AC234" s="81">
        <f t="shared" si="12"/>
        <v>478.18831948051951</v>
      </c>
      <c r="AD234" s="82">
        <f t="shared" si="13"/>
        <v>7.7</v>
      </c>
      <c r="AE234" s="218">
        <v>0</v>
      </c>
      <c r="AF234">
        <v>0</v>
      </c>
      <c r="AH234" t="str">
        <f t="shared" si="11"/>
        <v>Chautham</v>
      </c>
      <c r="AJ234" s="72">
        <v>0</v>
      </c>
      <c r="AK234" s="72"/>
      <c r="AL234" s="72"/>
      <c r="AM234" s="72"/>
    </row>
    <row r="235" spans="1:39" x14ac:dyDescent="0.25">
      <c r="A235" s="37" t="s">
        <v>62</v>
      </c>
      <c r="B235" s="66" t="s">
        <v>1566</v>
      </c>
      <c r="C235" s="47">
        <v>1007</v>
      </c>
      <c r="D235" s="47" t="s">
        <v>207</v>
      </c>
      <c r="E235" s="41">
        <v>10070061</v>
      </c>
      <c r="F235" s="46" t="s">
        <v>574</v>
      </c>
      <c r="G235" s="39" t="s">
        <v>635</v>
      </c>
      <c r="H235" s="48" t="s">
        <v>99</v>
      </c>
      <c r="I235" s="52">
        <v>161.4</v>
      </c>
      <c r="J235" s="49">
        <v>5767.9400000000005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50">
        <v>5767.9400000000005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0</v>
      </c>
      <c r="Y235" s="65">
        <v>0</v>
      </c>
      <c r="Z235" s="65">
        <v>5767.9400000000005</v>
      </c>
      <c r="AA235" s="51">
        <v>0</v>
      </c>
      <c r="AB235" s="102">
        <v>0</v>
      </c>
      <c r="AC235" s="81">
        <f t="shared" si="12"/>
        <v>384.95817645600988</v>
      </c>
      <c r="AD235" s="82">
        <f t="shared" si="13"/>
        <v>23.057142857142857</v>
      </c>
      <c r="AE235" s="218">
        <v>0</v>
      </c>
      <c r="AF235">
        <v>0</v>
      </c>
      <c r="AH235" t="str">
        <f t="shared" si="11"/>
        <v>Araria</v>
      </c>
      <c r="AJ235" s="72">
        <v>0</v>
      </c>
      <c r="AK235" s="72"/>
      <c r="AL235" s="72"/>
      <c r="AM235" s="72"/>
    </row>
    <row r="236" spans="1:39" x14ac:dyDescent="0.25">
      <c r="A236" s="37" t="s">
        <v>62</v>
      </c>
      <c r="B236" s="66" t="s">
        <v>1566</v>
      </c>
      <c r="C236" s="47">
        <v>1010</v>
      </c>
      <c r="D236" s="47" t="s">
        <v>1359</v>
      </c>
      <c r="E236" s="41">
        <v>10070063</v>
      </c>
      <c r="F236" s="46" t="s">
        <v>641</v>
      </c>
      <c r="G236" s="39" t="s">
        <v>93</v>
      </c>
      <c r="H236" s="48" t="s">
        <v>94</v>
      </c>
      <c r="I236" s="52">
        <v>600.30000000000007</v>
      </c>
      <c r="J236" s="49">
        <v>22199.45</v>
      </c>
      <c r="K236" s="65">
        <v>600.29999999999995</v>
      </c>
      <c r="L236" s="65">
        <v>24881.907936600001</v>
      </c>
      <c r="M236" s="65">
        <v>0</v>
      </c>
      <c r="N236" s="65">
        <v>0</v>
      </c>
      <c r="O236" s="65">
        <v>600.29999999999995</v>
      </c>
      <c r="P236" s="65">
        <v>24881.907936600001</v>
      </c>
      <c r="Q236" s="50">
        <v>22199.45</v>
      </c>
      <c r="R236" s="65">
        <v>0</v>
      </c>
      <c r="S236" s="65">
        <v>0</v>
      </c>
      <c r="T236" s="65">
        <v>2682.4579365999998</v>
      </c>
      <c r="U236" s="65">
        <v>0</v>
      </c>
      <c r="V236" s="65">
        <v>0</v>
      </c>
      <c r="W236" s="65">
        <v>0</v>
      </c>
      <c r="X236" s="65">
        <v>22199</v>
      </c>
      <c r="Y236" s="65">
        <v>0</v>
      </c>
      <c r="Z236" s="65">
        <v>0</v>
      </c>
      <c r="AA236" s="51">
        <v>0</v>
      </c>
      <c r="AB236" s="102" t="s">
        <v>66</v>
      </c>
      <c r="AC236" s="81">
        <f t="shared" si="12"/>
        <v>73.739302515408909</v>
      </c>
      <c r="AD236" s="82">
        <f t="shared" si="13"/>
        <v>85.757142857142867</v>
      </c>
      <c r="AE236" s="218">
        <v>-0.12083443223142915</v>
      </c>
      <c r="AF236">
        <v>1</v>
      </c>
      <c r="AH236" t="str">
        <f t="shared" si="11"/>
        <v>Parbatta</v>
      </c>
      <c r="AJ236" s="72">
        <v>0</v>
      </c>
      <c r="AK236" s="72"/>
      <c r="AL236" s="72"/>
      <c r="AM236" s="72"/>
    </row>
    <row r="237" spans="1:39" x14ac:dyDescent="0.25">
      <c r="A237" s="37" t="s">
        <v>62</v>
      </c>
      <c r="B237" s="66" t="s">
        <v>1566</v>
      </c>
      <c r="C237" s="47">
        <v>1056</v>
      </c>
      <c r="D237" s="47" t="s">
        <v>838</v>
      </c>
      <c r="E237" s="41">
        <v>10070064</v>
      </c>
      <c r="F237" s="46" t="s">
        <v>642</v>
      </c>
      <c r="G237" s="39" t="s">
        <v>93</v>
      </c>
      <c r="H237" s="48" t="s">
        <v>94</v>
      </c>
      <c r="I237" s="52">
        <v>1221.0999999999999</v>
      </c>
      <c r="J237" s="49">
        <v>46080.61</v>
      </c>
      <c r="K237" s="65">
        <v>1221.5200000000002</v>
      </c>
      <c r="L237" s="65">
        <v>46096.15328326801</v>
      </c>
      <c r="M237" s="65">
        <v>3.9999999999999996</v>
      </c>
      <c r="N237" s="65">
        <v>156.72006939600001</v>
      </c>
      <c r="O237" s="65">
        <v>1225.5200000000002</v>
      </c>
      <c r="P237" s="65">
        <v>46252.873352664006</v>
      </c>
      <c r="Q237" s="50">
        <v>46080.61</v>
      </c>
      <c r="R237" s="65">
        <v>0</v>
      </c>
      <c r="S237" s="65">
        <v>156.72006939600001</v>
      </c>
      <c r="T237" s="65">
        <v>172.26335266400565</v>
      </c>
      <c r="U237" s="65">
        <v>0</v>
      </c>
      <c r="V237" s="65">
        <v>0</v>
      </c>
      <c r="W237" s="65">
        <v>0</v>
      </c>
      <c r="X237" s="65">
        <v>45924</v>
      </c>
      <c r="Y237" s="65">
        <v>0</v>
      </c>
      <c r="Z237" s="65">
        <v>0</v>
      </c>
      <c r="AA237" s="51">
        <v>0</v>
      </c>
      <c r="AB237" s="102" t="s">
        <v>66</v>
      </c>
      <c r="AC237" s="81">
        <f t="shared" si="12"/>
        <v>0</v>
      </c>
      <c r="AD237" s="82">
        <f t="shared" si="13"/>
        <v>0</v>
      </c>
      <c r="AE237" s="218">
        <v>-3.7383045203612897E-3</v>
      </c>
      <c r="AF237">
        <v>2</v>
      </c>
      <c r="AH237" t="str">
        <f t="shared" si="11"/>
        <v>Chautham</v>
      </c>
      <c r="AJ237" s="72">
        <v>0</v>
      </c>
      <c r="AK237" s="72"/>
      <c r="AL237" s="72"/>
      <c r="AM237" s="72"/>
    </row>
    <row r="238" spans="1:39" x14ac:dyDescent="0.25">
      <c r="A238" s="37" t="s">
        <v>62</v>
      </c>
      <c r="B238" s="66" t="s">
        <v>1566</v>
      </c>
      <c r="C238" s="47">
        <v>1007</v>
      </c>
      <c r="D238" s="47" t="s">
        <v>207</v>
      </c>
      <c r="E238" s="41">
        <v>10070065</v>
      </c>
      <c r="F238" s="46" t="s">
        <v>643</v>
      </c>
      <c r="G238" s="39" t="s">
        <v>635</v>
      </c>
      <c r="H238" s="48" t="s">
        <v>99</v>
      </c>
      <c r="I238" s="52">
        <v>382.4</v>
      </c>
      <c r="J238" s="49">
        <v>13868.59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50">
        <v>13868.59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13868.59</v>
      </c>
      <c r="AA238" s="51">
        <v>0</v>
      </c>
      <c r="AB238" s="102">
        <v>0</v>
      </c>
      <c r="AC238" s="81">
        <f t="shared" si="12"/>
        <v>230.36946569037661</v>
      </c>
      <c r="AD238" s="82">
        <f t="shared" si="13"/>
        <v>54.628571428571426</v>
      </c>
      <c r="AE238" s="218">
        <v>0</v>
      </c>
      <c r="AF238">
        <v>0</v>
      </c>
      <c r="AH238" t="str">
        <f t="shared" si="11"/>
        <v>Araria</v>
      </c>
      <c r="AJ238" s="72">
        <v>0</v>
      </c>
      <c r="AK238" s="72"/>
      <c r="AL238" s="72"/>
      <c r="AM238" s="72"/>
    </row>
    <row r="239" spans="1:39" x14ac:dyDescent="0.25">
      <c r="A239" s="37" t="s">
        <v>62</v>
      </c>
      <c r="B239" s="66" t="s">
        <v>1566</v>
      </c>
      <c r="C239" s="47">
        <v>1007</v>
      </c>
      <c r="D239" s="47" t="s">
        <v>207</v>
      </c>
      <c r="E239" s="41">
        <v>10070074</v>
      </c>
      <c r="F239" s="46" t="s">
        <v>1156</v>
      </c>
      <c r="G239" s="39" t="s">
        <v>635</v>
      </c>
      <c r="H239" s="48" t="s">
        <v>99</v>
      </c>
      <c r="I239" s="52">
        <v>266.39999999999998</v>
      </c>
      <c r="J239" s="49">
        <v>8361.57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50">
        <v>8361.57</v>
      </c>
      <c r="R239" s="65">
        <v>0</v>
      </c>
      <c r="S239" s="65">
        <v>0</v>
      </c>
      <c r="T239" s="65">
        <v>0</v>
      </c>
      <c r="U239" s="65">
        <v>0</v>
      </c>
      <c r="V239" s="65">
        <v>170.39456129032249</v>
      </c>
      <c r="W239" s="65">
        <v>0</v>
      </c>
      <c r="X239" s="65">
        <v>0</v>
      </c>
      <c r="Y239" s="65">
        <v>0</v>
      </c>
      <c r="Z239" s="65">
        <v>8191.1754387096771</v>
      </c>
      <c r="AA239" s="51">
        <v>0</v>
      </c>
      <c r="AB239" s="102">
        <v>0</v>
      </c>
      <c r="AC239" s="81">
        <f t="shared" si="12"/>
        <v>272.1904468468469</v>
      </c>
      <c r="AD239" s="82">
        <f t="shared" si="13"/>
        <v>38.057142857142857</v>
      </c>
      <c r="AE239" s="218">
        <v>0</v>
      </c>
      <c r="AF239">
        <v>0</v>
      </c>
      <c r="AH239" t="str">
        <f t="shared" si="11"/>
        <v>Araria</v>
      </c>
      <c r="AJ239" s="72">
        <v>0</v>
      </c>
      <c r="AK239" s="72"/>
      <c r="AL239" s="72"/>
      <c r="AM239" s="72"/>
    </row>
    <row r="240" spans="1:39" x14ac:dyDescent="0.25">
      <c r="A240" s="37" t="s">
        <v>62</v>
      </c>
      <c r="B240" s="66" t="s">
        <v>1566</v>
      </c>
      <c r="C240" s="47">
        <v>1007</v>
      </c>
      <c r="D240" s="47" t="s">
        <v>207</v>
      </c>
      <c r="E240" s="41">
        <v>10070076</v>
      </c>
      <c r="F240" s="46" t="s">
        <v>1178</v>
      </c>
      <c r="G240" s="39" t="s">
        <v>635</v>
      </c>
      <c r="H240" s="48" t="s">
        <v>99</v>
      </c>
      <c r="I240" s="52">
        <v>559.20000000000005</v>
      </c>
      <c r="J240" s="49">
        <v>19117.22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50">
        <v>19117.22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19117.22</v>
      </c>
      <c r="AA240" s="51">
        <v>0</v>
      </c>
      <c r="AB240" s="102">
        <v>0</v>
      </c>
      <c r="AC240" s="81">
        <f t="shared" si="12"/>
        <v>96.269834620886982</v>
      </c>
      <c r="AD240" s="82">
        <f t="shared" si="13"/>
        <v>79.885714285714286</v>
      </c>
      <c r="AE240" s="218">
        <v>0</v>
      </c>
      <c r="AF240">
        <v>0</v>
      </c>
      <c r="AH240" t="str">
        <f t="shared" si="11"/>
        <v>Araria</v>
      </c>
      <c r="AJ240" s="72">
        <v>0</v>
      </c>
      <c r="AK240" s="72"/>
      <c r="AL240" s="72"/>
      <c r="AM240" s="72"/>
    </row>
    <row r="241" spans="1:39" x14ac:dyDescent="0.25">
      <c r="A241" s="37" t="s">
        <v>62</v>
      </c>
      <c r="B241" s="66" t="s">
        <v>1566</v>
      </c>
      <c r="C241" s="47">
        <v>1007</v>
      </c>
      <c r="D241" s="47" t="s">
        <v>207</v>
      </c>
      <c r="E241" s="41">
        <v>10070077</v>
      </c>
      <c r="F241" s="46" t="s">
        <v>1349</v>
      </c>
      <c r="G241" s="39" t="s">
        <v>93</v>
      </c>
      <c r="H241" s="48" t="s">
        <v>94</v>
      </c>
      <c r="I241" s="52">
        <v>170.59999999999997</v>
      </c>
      <c r="J241" s="49">
        <v>5855.02</v>
      </c>
      <c r="K241" s="65">
        <v>170.6</v>
      </c>
      <c r="L241" s="65">
        <v>5855.1766574399999</v>
      </c>
      <c r="M241" s="65">
        <v>0</v>
      </c>
      <c r="N241" s="65">
        <v>0</v>
      </c>
      <c r="O241" s="65">
        <v>170.6</v>
      </c>
      <c r="P241" s="65">
        <v>5855.1766574399999</v>
      </c>
      <c r="Q241" s="50">
        <v>5855.02</v>
      </c>
      <c r="R241" s="65">
        <v>0</v>
      </c>
      <c r="S241" s="65">
        <v>0</v>
      </c>
      <c r="T241" s="65">
        <v>0.15665743999943516</v>
      </c>
      <c r="U241" s="65">
        <v>3900</v>
      </c>
      <c r="V241" s="65">
        <v>0</v>
      </c>
      <c r="W241" s="65">
        <v>0</v>
      </c>
      <c r="X241" s="65">
        <v>1955</v>
      </c>
      <c r="Y241" s="65">
        <v>0</v>
      </c>
      <c r="Z241" s="65">
        <v>0</v>
      </c>
      <c r="AA241" s="51">
        <v>0</v>
      </c>
      <c r="AB241" s="102" t="s">
        <v>68</v>
      </c>
      <c r="AC241" s="81">
        <f t="shared" si="12"/>
        <v>363.38189777256753</v>
      </c>
      <c r="AD241" s="82">
        <f t="shared" si="13"/>
        <v>24.371428571428567</v>
      </c>
      <c r="AE241" s="218">
        <v>-2.6756089646053326E-5</v>
      </c>
      <c r="AF241">
        <v>1</v>
      </c>
      <c r="AH241" t="str">
        <f t="shared" si="11"/>
        <v>Araria</v>
      </c>
      <c r="AJ241" s="72">
        <v>0</v>
      </c>
      <c r="AK241" s="72"/>
      <c r="AL241" s="72"/>
      <c r="AM241" s="72"/>
    </row>
    <row r="242" spans="1:39" x14ac:dyDescent="0.25">
      <c r="A242" s="37" t="s">
        <v>62</v>
      </c>
      <c r="B242" s="66" t="s">
        <v>1566</v>
      </c>
      <c r="C242" s="47">
        <v>1007</v>
      </c>
      <c r="D242" s="47" t="s">
        <v>207</v>
      </c>
      <c r="E242" s="41">
        <v>10070078</v>
      </c>
      <c r="F242" s="46" t="s">
        <v>1350</v>
      </c>
      <c r="G242" s="39" t="s">
        <v>93</v>
      </c>
      <c r="H242" s="48" t="s">
        <v>94</v>
      </c>
      <c r="I242" s="52">
        <v>1007.2</v>
      </c>
      <c r="J242" s="49">
        <v>36188.26</v>
      </c>
      <c r="K242" s="65">
        <v>1007</v>
      </c>
      <c r="L242" s="65">
        <v>36156.417976800003</v>
      </c>
      <c r="M242" s="65">
        <v>0</v>
      </c>
      <c r="N242" s="65">
        <v>0</v>
      </c>
      <c r="O242" s="65">
        <v>1007</v>
      </c>
      <c r="P242" s="65">
        <v>36156.417976800003</v>
      </c>
      <c r="Q242" s="50">
        <v>36156.417976800003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36156</v>
      </c>
      <c r="Y242" s="65">
        <v>0</v>
      </c>
      <c r="Z242" s="65">
        <v>0</v>
      </c>
      <c r="AA242" s="51">
        <v>32</v>
      </c>
      <c r="AB242" s="102">
        <v>0</v>
      </c>
      <c r="AC242" s="81">
        <f t="shared" si="12"/>
        <v>0</v>
      </c>
      <c r="AD242" s="82">
        <f t="shared" si="13"/>
        <v>0</v>
      </c>
      <c r="AE242" s="218">
        <v>8.7989926014676986E-4</v>
      </c>
      <c r="AF242">
        <v>1</v>
      </c>
      <c r="AH242" t="str">
        <f t="shared" si="11"/>
        <v>Araria</v>
      </c>
      <c r="AJ242" s="72">
        <v>0</v>
      </c>
      <c r="AK242" s="72"/>
      <c r="AL242" s="72"/>
      <c r="AM242" s="72"/>
    </row>
    <row r="243" spans="1:39" x14ac:dyDescent="0.25">
      <c r="A243" s="37" t="s">
        <v>62</v>
      </c>
      <c r="B243" s="66" t="s">
        <v>1566</v>
      </c>
      <c r="C243" s="47">
        <v>1055</v>
      </c>
      <c r="D243" s="47" t="s">
        <v>1148</v>
      </c>
      <c r="E243" s="41">
        <v>10080001</v>
      </c>
      <c r="F243" s="46" t="s">
        <v>618</v>
      </c>
      <c r="G243" s="39" t="s">
        <v>635</v>
      </c>
      <c r="H243" s="48" t="s">
        <v>99</v>
      </c>
      <c r="I243" s="52">
        <v>704.3</v>
      </c>
      <c r="J243" s="49">
        <v>25742.58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50">
        <v>25742.58</v>
      </c>
      <c r="R243" s="65">
        <v>0</v>
      </c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65">
        <v>25742.58</v>
      </c>
      <c r="AA243" s="51">
        <v>0</v>
      </c>
      <c r="AB243" s="102">
        <v>0</v>
      </c>
      <c r="AC243" s="81">
        <f t="shared" si="12"/>
        <v>0</v>
      </c>
      <c r="AD243" s="82">
        <f t="shared" si="13"/>
        <v>0</v>
      </c>
      <c r="AE243" s="218">
        <v>0</v>
      </c>
      <c r="AF243">
        <v>0</v>
      </c>
      <c r="AH243" t="str">
        <f t="shared" si="11"/>
        <v>Matihani</v>
      </c>
      <c r="AJ243" s="72">
        <v>0</v>
      </c>
      <c r="AK243" s="72"/>
      <c r="AL243" s="72"/>
      <c r="AM243" s="72"/>
    </row>
    <row r="244" spans="1:39" x14ac:dyDescent="0.25">
      <c r="A244" s="37" t="s">
        <v>62</v>
      </c>
      <c r="B244" s="66" t="s">
        <v>1566</v>
      </c>
      <c r="C244" s="47">
        <v>1008</v>
      </c>
      <c r="D244" s="47" t="s">
        <v>221</v>
      </c>
      <c r="E244" s="41">
        <v>10080002</v>
      </c>
      <c r="F244" s="46" t="s">
        <v>222</v>
      </c>
      <c r="G244" s="39" t="s">
        <v>635</v>
      </c>
      <c r="H244" s="48" t="s">
        <v>99</v>
      </c>
      <c r="I244" s="52">
        <v>270.94999999999993</v>
      </c>
      <c r="J244" s="49">
        <v>10095.710000000001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50">
        <v>10095.710000000001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10095.710000000001</v>
      </c>
      <c r="AA244" s="51">
        <v>0</v>
      </c>
      <c r="AB244" s="102">
        <v>0</v>
      </c>
      <c r="AC244" s="81">
        <f t="shared" si="12"/>
        <v>319.73163871563037</v>
      </c>
      <c r="AD244" s="82">
        <f t="shared" si="13"/>
        <v>38.707142857142848</v>
      </c>
      <c r="AE244" s="218">
        <v>0</v>
      </c>
      <c r="AF244">
        <v>0</v>
      </c>
      <c r="AH244" t="str">
        <f t="shared" si="11"/>
        <v>Teghra</v>
      </c>
      <c r="AJ244" s="72">
        <v>0</v>
      </c>
      <c r="AK244" s="72"/>
      <c r="AL244" s="72"/>
      <c r="AM244" s="72"/>
    </row>
    <row r="245" spans="1:39" x14ac:dyDescent="0.25">
      <c r="A245" s="37" t="s">
        <v>62</v>
      </c>
      <c r="B245" s="66" t="s">
        <v>1566</v>
      </c>
      <c r="C245" s="47">
        <v>1008</v>
      </c>
      <c r="D245" s="47" t="s">
        <v>221</v>
      </c>
      <c r="E245" s="41">
        <v>10080003</v>
      </c>
      <c r="F245" s="46" t="s">
        <v>223</v>
      </c>
      <c r="G245" s="39" t="s">
        <v>635</v>
      </c>
      <c r="H245" s="48" t="s">
        <v>99</v>
      </c>
      <c r="I245" s="52">
        <v>220.70000000000002</v>
      </c>
      <c r="J245" s="49">
        <v>7895.5499999999993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50">
        <v>7895.5499999999993</v>
      </c>
      <c r="R245" s="65">
        <v>0</v>
      </c>
      <c r="S245" s="65">
        <v>0</v>
      </c>
      <c r="T245" s="65">
        <v>0</v>
      </c>
      <c r="U245" s="65">
        <v>0</v>
      </c>
      <c r="V245" s="65">
        <v>242.59390645161287</v>
      </c>
      <c r="W245" s="65">
        <v>0</v>
      </c>
      <c r="X245" s="65">
        <v>0</v>
      </c>
      <c r="Y245" s="65">
        <v>0</v>
      </c>
      <c r="Z245" s="65">
        <v>7652.956093548386</v>
      </c>
      <c r="AA245" s="51">
        <v>0</v>
      </c>
      <c r="AB245" s="102">
        <v>0</v>
      </c>
      <c r="AC245" s="81">
        <f t="shared" si="12"/>
        <v>342.93947575894867</v>
      </c>
      <c r="AD245" s="82">
        <f t="shared" si="13"/>
        <v>31.528571428571432</v>
      </c>
      <c r="AE245" s="218">
        <v>0</v>
      </c>
      <c r="AF245">
        <v>0</v>
      </c>
      <c r="AH245" t="str">
        <f t="shared" si="11"/>
        <v>Teghra</v>
      </c>
      <c r="AJ245" s="72">
        <v>0</v>
      </c>
      <c r="AK245" s="72"/>
      <c r="AL245" s="72"/>
      <c r="AM245" s="72"/>
    </row>
    <row r="246" spans="1:39" x14ac:dyDescent="0.25">
      <c r="A246" s="37" t="s">
        <v>62</v>
      </c>
      <c r="B246" s="66" t="s">
        <v>1566</v>
      </c>
      <c r="C246" s="47">
        <v>1008</v>
      </c>
      <c r="D246" s="47" t="s">
        <v>221</v>
      </c>
      <c r="E246" s="41">
        <v>10080004</v>
      </c>
      <c r="F246" s="46" t="s">
        <v>224</v>
      </c>
      <c r="G246" s="39" t="s">
        <v>635</v>
      </c>
      <c r="H246" s="48" t="s">
        <v>99</v>
      </c>
      <c r="I246" s="52">
        <v>70.5</v>
      </c>
      <c r="J246" s="49">
        <v>2633.23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50">
        <v>2633.23</v>
      </c>
      <c r="R246" s="65">
        <v>0</v>
      </c>
      <c r="S246" s="65">
        <v>0</v>
      </c>
      <c r="T246" s="65">
        <v>0</v>
      </c>
      <c r="U246" s="65">
        <v>1300</v>
      </c>
      <c r="V246" s="65">
        <v>91.575638709677449</v>
      </c>
      <c r="W246" s="65">
        <v>0</v>
      </c>
      <c r="X246" s="65">
        <v>0</v>
      </c>
      <c r="Y246" s="65">
        <v>0</v>
      </c>
      <c r="Z246" s="65">
        <v>1241.6543612903226</v>
      </c>
      <c r="AA246" s="51">
        <v>0</v>
      </c>
      <c r="AB246" s="102">
        <v>0</v>
      </c>
      <c r="AC246" s="81">
        <f t="shared" si="12"/>
        <v>470.2463219858156</v>
      </c>
      <c r="AD246" s="82">
        <f t="shared" si="13"/>
        <v>10.071428571428571</v>
      </c>
      <c r="AE246" s="218">
        <v>0</v>
      </c>
      <c r="AF246">
        <v>0</v>
      </c>
      <c r="AH246" t="str">
        <f t="shared" si="11"/>
        <v>Teghra</v>
      </c>
      <c r="AJ246" s="72">
        <v>0</v>
      </c>
      <c r="AK246" s="72"/>
      <c r="AL246" s="72"/>
      <c r="AM246" s="72"/>
    </row>
    <row r="247" spans="1:39" x14ac:dyDescent="0.25">
      <c r="A247" s="37" t="s">
        <v>62</v>
      </c>
      <c r="B247" s="66" t="s">
        <v>1566</v>
      </c>
      <c r="C247" s="47">
        <v>1008</v>
      </c>
      <c r="D247" s="47" t="s">
        <v>221</v>
      </c>
      <c r="E247" s="41">
        <v>10080006</v>
      </c>
      <c r="F247" s="46" t="s">
        <v>225</v>
      </c>
      <c r="G247" s="39" t="s">
        <v>635</v>
      </c>
      <c r="H247" s="48" t="s">
        <v>99</v>
      </c>
      <c r="I247" s="52">
        <v>285.45000000000005</v>
      </c>
      <c r="J247" s="49">
        <v>9865.41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50">
        <v>9865.41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9865.41</v>
      </c>
      <c r="AA247" s="51">
        <v>0</v>
      </c>
      <c r="AB247" s="102">
        <v>0</v>
      </c>
      <c r="AC247" s="81">
        <f t="shared" si="12"/>
        <v>286.54445370467676</v>
      </c>
      <c r="AD247" s="82">
        <f t="shared" si="13"/>
        <v>40.778571428571432</v>
      </c>
      <c r="AE247" s="218">
        <v>0</v>
      </c>
      <c r="AF247">
        <v>0</v>
      </c>
      <c r="AH247" t="str">
        <f t="shared" si="11"/>
        <v>Teghra</v>
      </c>
      <c r="AJ247" s="72">
        <v>0</v>
      </c>
      <c r="AK247" s="72"/>
      <c r="AL247" s="72"/>
      <c r="AM247" s="72"/>
    </row>
    <row r="248" spans="1:39" x14ac:dyDescent="0.25">
      <c r="A248" s="37" t="s">
        <v>62</v>
      </c>
      <c r="B248" s="66" t="s">
        <v>1566</v>
      </c>
      <c r="C248" s="47">
        <v>1008</v>
      </c>
      <c r="D248" s="47" t="s">
        <v>221</v>
      </c>
      <c r="E248" s="41">
        <v>10080007</v>
      </c>
      <c r="F248" s="46" t="s">
        <v>226</v>
      </c>
      <c r="G248" s="39" t="s">
        <v>635</v>
      </c>
      <c r="H248" s="48" t="s">
        <v>99</v>
      </c>
      <c r="I248" s="52">
        <v>768.3</v>
      </c>
      <c r="J248" s="49">
        <v>28029.989999999998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50">
        <v>28029.989999999998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28029.989999999998</v>
      </c>
      <c r="AA248" s="51">
        <v>0</v>
      </c>
      <c r="AB248" s="102">
        <v>0</v>
      </c>
      <c r="AC248" s="81">
        <f t="shared" si="12"/>
        <v>0</v>
      </c>
      <c r="AD248" s="82">
        <f t="shared" si="13"/>
        <v>0</v>
      </c>
      <c r="AE248" s="218">
        <v>0</v>
      </c>
      <c r="AF248">
        <v>0</v>
      </c>
      <c r="AH248" t="str">
        <f t="shared" si="11"/>
        <v>Teghra</v>
      </c>
      <c r="AJ248" s="72">
        <v>0</v>
      </c>
      <c r="AK248" s="72"/>
      <c r="AL248" s="72"/>
      <c r="AM248" s="72"/>
    </row>
    <row r="249" spans="1:39" x14ac:dyDescent="0.25">
      <c r="A249" s="37" t="s">
        <v>62</v>
      </c>
      <c r="B249" s="66" t="s">
        <v>1566</v>
      </c>
      <c r="C249" s="47">
        <v>1008</v>
      </c>
      <c r="D249" s="47" t="s">
        <v>221</v>
      </c>
      <c r="E249" s="41">
        <v>10080012</v>
      </c>
      <c r="F249" s="46" t="s">
        <v>1230</v>
      </c>
      <c r="G249" s="39" t="s">
        <v>635</v>
      </c>
      <c r="H249" s="48" t="s">
        <v>99</v>
      </c>
      <c r="I249" s="52">
        <v>252.75000000000003</v>
      </c>
      <c r="J249" s="49">
        <v>9578.69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50">
        <v>9578.69</v>
      </c>
      <c r="R249" s="65">
        <v>0</v>
      </c>
      <c r="S249" s="65">
        <v>0</v>
      </c>
      <c r="T249" s="65">
        <v>0</v>
      </c>
      <c r="U249" s="65">
        <v>0</v>
      </c>
      <c r="V249" s="65">
        <v>5749.636761290325</v>
      </c>
      <c r="W249" s="65">
        <v>0</v>
      </c>
      <c r="X249" s="65">
        <v>0</v>
      </c>
      <c r="Y249" s="65">
        <v>0</v>
      </c>
      <c r="Z249" s="65">
        <v>3829.0532387096755</v>
      </c>
      <c r="AA249" s="51">
        <v>0</v>
      </c>
      <c r="AB249" s="102">
        <v>0</v>
      </c>
      <c r="AC249" s="81">
        <f t="shared" si="12"/>
        <v>338.99656597428287</v>
      </c>
      <c r="AD249" s="82">
        <f t="shared" si="13"/>
        <v>36.107142857142861</v>
      </c>
      <c r="AE249" s="218">
        <v>0</v>
      </c>
      <c r="AF249">
        <v>0</v>
      </c>
      <c r="AH249" t="str">
        <f t="shared" si="11"/>
        <v>Teghra</v>
      </c>
      <c r="AJ249" s="72">
        <v>0</v>
      </c>
      <c r="AK249" s="72"/>
      <c r="AL249" s="72"/>
      <c r="AM249" s="72"/>
    </row>
    <row r="250" spans="1:39" x14ac:dyDescent="0.25">
      <c r="A250" s="37" t="s">
        <v>62</v>
      </c>
      <c r="B250" s="66" t="s">
        <v>1566</v>
      </c>
      <c r="C250" s="47">
        <v>1008</v>
      </c>
      <c r="D250" s="47" t="s">
        <v>221</v>
      </c>
      <c r="E250" s="41">
        <v>10080013</v>
      </c>
      <c r="F250" s="46" t="s">
        <v>227</v>
      </c>
      <c r="G250" s="39" t="s">
        <v>635</v>
      </c>
      <c r="H250" s="48" t="s">
        <v>99</v>
      </c>
      <c r="I250" s="52">
        <v>703.65000000000009</v>
      </c>
      <c r="J250" s="49">
        <v>26625.149999999998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50">
        <v>26625.149999999998</v>
      </c>
      <c r="R250" s="65">
        <v>0</v>
      </c>
      <c r="S250" s="65">
        <v>0</v>
      </c>
      <c r="T250" s="65">
        <v>0</v>
      </c>
      <c r="U250" s="65">
        <v>6500</v>
      </c>
      <c r="V250" s="65">
        <v>0</v>
      </c>
      <c r="W250" s="65">
        <v>0</v>
      </c>
      <c r="X250" s="65">
        <v>0</v>
      </c>
      <c r="Y250" s="65">
        <v>0</v>
      </c>
      <c r="Z250" s="65">
        <v>20125.149999999998</v>
      </c>
      <c r="AA250" s="51">
        <v>0</v>
      </c>
      <c r="AB250" s="102">
        <v>0</v>
      </c>
      <c r="AC250" s="81">
        <f t="shared" si="12"/>
        <v>0</v>
      </c>
      <c r="AD250" s="82">
        <f t="shared" si="13"/>
        <v>0</v>
      </c>
      <c r="AE250" s="218">
        <v>0</v>
      </c>
      <c r="AF250">
        <v>0</v>
      </c>
      <c r="AH250" t="str">
        <f t="shared" si="11"/>
        <v>Teghra</v>
      </c>
      <c r="AJ250" s="72">
        <v>0</v>
      </c>
      <c r="AK250" s="72"/>
      <c r="AL250" s="72"/>
      <c r="AM250" s="72"/>
    </row>
    <row r="251" spans="1:39" x14ac:dyDescent="0.25">
      <c r="A251" s="37" t="s">
        <v>62</v>
      </c>
      <c r="B251" s="66" t="s">
        <v>1566</v>
      </c>
      <c r="C251" s="47">
        <v>1008</v>
      </c>
      <c r="D251" s="47" t="s">
        <v>221</v>
      </c>
      <c r="E251" s="41">
        <v>10080014</v>
      </c>
      <c r="F251" s="46" t="s">
        <v>228</v>
      </c>
      <c r="G251" s="39" t="s">
        <v>635</v>
      </c>
      <c r="H251" s="48" t="s">
        <v>99</v>
      </c>
      <c r="I251" s="52">
        <v>96.25</v>
      </c>
      <c r="J251" s="49">
        <v>3661.9300000000003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50">
        <v>3661.9300000000003</v>
      </c>
      <c r="R251" s="65">
        <v>0</v>
      </c>
      <c r="S251" s="65">
        <v>0</v>
      </c>
      <c r="T251" s="65">
        <v>0</v>
      </c>
      <c r="U251" s="65">
        <v>0</v>
      </c>
      <c r="V251" s="65">
        <v>263.94879677419385</v>
      </c>
      <c r="W251" s="65">
        <v>0</v>
      </c>
      <c r="X251" s="65">
        <v>0</v>
      </c>
      <c r="Y251" s="65">
        <v>0</v>
      </c>
      <c r="Z251" s="65">
        <v>3397.9812032258064</v>
      </c>
      <c r="AA251" s="51">
        <v>0</v>
      </c>
      <c r="AB251" s="102">
        <v>0</v>
      </c>
      <c r="AC251" s="81">
        <f t="shared" si="12"/>
        <v>459.4057636363637</v>
      </c>
      <c r="AD251" s="82">
        <f t="shared" si="13"/>
        <v>13.75</v>
      </c>
      <c r="AE251" s="218">
        <v>0</v>
      </c>
      <c r="AF251">
        <v>0</v>
      </c>
      <c r="AH251" t="str">
        <f t="shared" si="11"/>
        <v>Teghra</v>
      </c>
      <c r="AJ251" s="72">
        <v>0</v>
      </c>
      <c r="AK251" s="72"/>
      <c r="AL251" s="72"/>
      <c r="AM251" s="72"/>
    </row>
    <row r="252" spans="1:39" x14ac:dyDescent="0.25">
      <c r="A252" s="37" t="s">
        <v>62</v>
      </c>
      <c r="B252" s="66" t="s">
        <v>1566</v>
      </c>
      <c r="C252" s="47">
        <v>1008</v>
      </c>
      <c r="D252" s="47" t="s">
        <v>221</v>
      </c>
      <c r="E252" s="41">
        <v>10080015</v>
      </c>
      <c r="F252" s="46" t="s">
        <v>229</v>
      </c>
      <c r="G252" s="39" t="s">
        <v>93</v>
      </c>
      <c r="H252" s="48" t="s">
        <v>94</v>
      </c>
      <c r="I252" s="52">
        <v>3113.75</v>
      </c>
      <c r="J252" s="49">
        <v>109247.59999999998</v>
      </c>
      <c r="K252" s="65">
        <v>3157.9999999999995</v>
      </c>
      <c r="L252" s="65">
        <v>110587.15614735721</v>
      </c>
      <c r="M252" s="65">
        <v>3.9999999999999996</v>
      </c>
      <c r="N252" s="65">
        <v>137.78851957200001</v>
      </c>
      <c r="O252" s="65">
        <v>3161.9999999999995</v>
      </c>
      <c r="P252" s="65">
        <v>110724.94466692921</v>
      </c>
      <c r="Q252" s="50">
        <v>109247.59999999998</v>
      </c>
      <c r="R252" s="65">
        <v>0</v>
      </c>
      <c r="S252" s="65">
        <v>137.78851957200001</v>
      </c>
      <c r="T252" s="65">
        <v>1477.3446669292316</v>
      </c>
      <c r="U252" s="65">
        <v>0</v>
      </c>
      <c r="V252" s="65">
        <v>0</v>
      </c>
      <c r="W252" s="65">
        <v>0</v>
      </c>
      <c r="X252" s="65">
        <v>109110</v>
      </c>
      <c r="Y252" s="65">
        <v>0</v>
      </c>
      <c r="Z252" s="65">
        <v>0</v>
      </c>
      <c r="AA252" s="51">
        <v>0</v>
      </c>
      <c r="AB252" s="102">
        <v>0</v>
      </c>
      <c r="AC252" s="81">
        <f t="shared" si="12"/>
        <v>0</v>
      </c>
      <c r="AD252" s="82">
        <f t="shared" si="13"/>
        <v>0</v>
      </c>
      <c r="AE252" s="218">
        <v>-1.3522902717581274E-2</v>
      </c>
      <c r="AF252">
        <v>12</v>
      </c>
      <c r="AH252" t="str">
        <f t="shared" si="11"/>
        <v>Teghra</v>
      </c>
      <c r="AJ252" s="72">
        <v>0</v>
      </c>
      <c r="AK252" s="72"/>
      <c r="AL252" s="72"/>
      <c r="AM252" s="72"/>
    </row>
    <row r="253" spans="1:39" x14ac:dyDescent="0.25">
      <c r="A253" s="37" t="s">
        <v>62</v>
      </c>
      <c r="B253" s="66" t="s">
        <v>1566</v>
      </c>
      <c r="C253" s="47">
        <v>1008</v>
      </c>
      <c r="D253" s="47" t="s">
        <v>221</v>
      </c>
      <c r="E253" s="41">
        <v>10080016</v>
      </c>
      <c r="F253" s="46" t="s">
        <v>230</v>
      </c>
      <c r="G253" s="39" t="s">
        <v>93</v>
      </c>
      <c r="H253" s="48" t="s">
        <v>94</v>
      </c>
      <c r="I253" s="52">
        <v>95.299999999999983</v>
      </c>
      <c r="J253" s="49">
        <v>3361.8000000000006</v>
      </c>
      <c r="K253" s="65">
        <v>93.800000000000011</v>
      </c>
      <c r="L253" s="65">
        <v>3466.5732826560006</v>
      </c>
      <c r="M253" s="65">
        <v>1.7000000000000004</v>
      </c>
      <c r="N253" s="65">
        <v>59.652523260000009</v>
      </c>
      <c r="O253" s="65">
        <v>95.500000000000014</v>
      </c>
      <c r="P253" s="65">
        <v>3526.2258059160008</v>
      </c>
      <c r="Q253" s="50">
        <v>3361.8000000000006</v>
      </c>
      <c r="R253" s="65">
        <v>0</v>
      </c>
      <c r="S253" s="65">
        <v>59.652523260000009</v>
      </c>
      <c r="T253" s="65">
        <v>164.42580591600017</v>
      </c>
      <c r="U253" s="65">
        <v>2600</v>
      </c>
      <c r="V253" s="65">
        <v>103.04377500000007</v>
      </c>
      <c r="W253" s="65">
        <v>0</v>
      </c>
      <c r="X253" s="65">
        <v>599</v>
      </c>
      <c r="Y253" s="65">
        <v>0</v>
      </c>
      <c r="Z253" s="65">
        <v>0</v>
      </c>
      <c r="AA253" s="51">
        <v>0</v>
      </c>
      <c r="AB253" s="102" t="s">
        <v>1427</v>
      </c>
      <c r="AC253" s="81">
        <f t="shared" si="12"/>
        <v>426.62758866736635</v>
      </c>
      <c r="AD253" s="82">
        <f t="shared" si="13"/>
        <v>13.614285714285712</v>
      </c>
      <c r="AE253" s="218">
        <v>-4.8910049948242058E-2</v>
      </c>
      <c r="AF253">
        <v>4</v>
      </c>
      <c r="AH253" t="str">
        <f t="shared" si="11"/>
        <v>Teghra</v>
      </c>
      <c r="AJ253" s="72">
        <v>0</v>
      </c>
      <c r="AK253" s="72"/>
      <c r="AL253" s="72"/>
      <c r="AM253" s="72"/>
    </row>
    <row r="254" spans="1:39" x14ac:dyDescent="0.25">
      <c r="A254" s="37" t="s">
        <v>62</v>
      </c>
      <c r="B254" s="66" t="s">
        <v>1566</v>
      </c>
      <c r="C254" s="47">
        <v>1008</v>
      </c>
      <c r="D254" s="47" t="s">
        <v>221</v>
      </c>
      <c r="E254" s="41">
        <v>10080022</v>
      </c>
      <c r="F254" s="46" t="s">
        <v>232</v>
      </c>
      <c r="G254" s="39" t="s">
        <v>93</v>
      </c>
      <c r="H254" s="48" t="s">
        <v>94</v>
      </c>
      <c r="I254" s="52">
        <v>250.65</v>
      </c>
      <c r="J254" s="49">
        <v>10491.049999999997</v>
      </c>
      <c r="K254" s="65">
        <v>247.61000000000004</v>
      </c>
      <c r="L254" s="65">
        <v>10342.2932765147</v>
      </c>
      <c r="M254" s="65">
        <v>4.0200000000000005</v>
      </c>
      <c r="N254" s="65">
        <v>156.7538588088</v>
      </c>
      <c r="O254" s="65">
        <v>251.63000000000005</v>
      </c>
      <c r="P254" s="65">
        <v>10499.047135323499</v>
      </c>
      <c r="Q254" s="50">
        <v>10491.049999999997</v>
      </c>
      <c r="R254" s="65">
        <v>0</v>
      </c>
      <c r="S254" s="65">
        <v>156.7538588088</v>
      </c>
      <c r="T254" s="65">
        <v>7.9971353235014249</v>
      </c>
      <c r="U254" s="65">
        <v>0</v>
      </c>
      <c r="V254" s="65">
        <v>0</v>
      </c>
      <c r="W254" s="65">
        <v>0</v>
      </c>
      <c r="X254" s="65">
        <v>10334</v>
      </c>
      <c r="Y254" s="65">
        <v>0</v>
      </c>
      <c r="Z254" s="65">
        <v>0</v>
      </c>
      <c r="AA254" s="51">
        <v>0</v>
      </c>
      <c r="AB254" s="102" t="s">
        <v>68</v>
      </c>
      <c r="AC254" s="81">
        <f t="shared" si="12"/>
        <v>376.15426431278672</v>
      </c>
      <c r="AD254" s="82">
        <f t="shared" si="13"/>
        <v>35.807142857142857</v>
      </c>
      <c r="AE254" s="218">
        <v>-7.6228168996443895E-4</v>
      </c>
      <c r="AF254">
        <v>7</v>
      </c>
      <c r="AH254" t="str">
        <f t="shared" si="11"/>
        <v>Teghra</v>
      </c>
      <c r="AJ254" s="72">
        <v>0</v>
      </c>
      <c r="AK254" s="72"/>
      <c r="AL254" s="72"/>
      <c r="AM254" s="72"/>
    </row>
    <row r="255" spans="1:39" x14ac:dyDescent="0.25">
      <c r="A255" s="37" t="s">
        <v>62</v>
      </c>
      <c r="B255" s="66" t="s">
        <v>1566</v>
      </c>
      <c r="C255" s="47">
        <v>1008</v>
      </c>
      <c r="D255" s="47" t="s">
        <v>221</v>
      </c>
      <c r="E255" s="41">
        <v>10080025</v>
      </c>
      <c r="F255" s="46" t="s">
        <v>235</v>
      </c>
      <c r="G255" s="39" t="s">
        <v>93</v>
      </c>
      <c r="H255" s="48" t="s">
        <v>94</v>
      </c>
      <c r="I255" s="52">
        <v>831.8</v>
      </c>
      <c r="J255" s="49">
        <v>29532.929999999997</v>
      </c>
      <c r="K255" s="65">
        <v>835.93000000000018</v>
      </c>
      <c r="L255" s="65">
        <v>31289.365290460155</v>
      </c>
      <c r="M255" s="65">
        <v>13.380000000000003</v>
      </c>
      <c r="N255" s="65">
        <v>513.75191472000006</v>
      </c>
      <c r="O255" s="65">
        <v>849.31000000000017</v>
      </c>
      <c r="P255" s="65">
        <v>31803.117205180155</v>
      </c>
      <c r="Q255" s="50">
        <v>29532.929999999997</v>
      </c>
      <c r="R255" s="65">
        <v>0</v>
      </c>
      <c r="S255" s="65">
        <v>513.75191472000006</v>
      </c>
      <c r="T255" s="65">
        <v>2270.1872051801583</v>
      </c>
      <c r="U255" s="65">
        <v>0</v>
      </c>
      <c r="V255" s="65">
        <v>0</v>
      </c>
      <c r="W255" s="65">
        <v>0</v>
      </c>
      <c r="X255" s="65">
        <v>29019</v>
      </c>
      <c r="Y255" s="65">
        <v>0</v>
      </c>
      <c r="Z255" s="65">
        <v>0</v>
      </c>
      <c r="AA255" s="51">
        <v>0</v>
      </c>
      <c r="AB255" s="102" t="s">
        <v>68</v>
      </c>
      <c r="AC255" s="81">
        <f t="shared" si="12"/>
        <v>0</v>
      </c>
      <c r="AD255" s="82">
        <f t="shared" si="13"/>
        <v>0</v>
      </c>
      <c r="AE255" s="218">
        <v>-7.6869691059443093E-2</v>
      </c>
      <c r="AF255">
        <v>27</v>
      </c>
      <c r="AH255" t="str">
        <f t="shared" si="11"/>
        <v>Teghra</v>
      </c>
      <c r="AJ255" s="72">
        <v>0</v>
      </c>
      <c r="AK255" s="72"/>
      <c r="AL255" s="72"/>
      <c r="AM255" s="72"/>
    </row>
    <row r="256" spans="1:39" x14ac:dyDescent="0.25">
      <c r="A256" s="37" t="s">
        <v>62</v>
      </c>
      <c r="B256" s="66" t="s">
        <v>1566</v>
      </c>
      <c r="C256" s="47">
        <v>1008</v>
      </c>
      <c r="D256" s="47" t="s">
        <v>221</v>
      </c>
      <c r="E256" s="41">
        <v>10080032</v>
      </c>
      <c r="F256" s="46" t="s">
        <v>237</v>
      </c>
      <c r="G256" s="39" t="s">
        <v>93</v>
      </c>
      <c r="H256" s="48" t="s">
        <v>94</v>
      </c>
      <c r="I256" s="52">
        <v>464.5</v>
      </c>
      <c r="J256" s="49">
        <v>18954.660000000003</v>
      </c>
      <c r="K256" s="65">
        <v>185.78</v>
      </c>
      <c r="L256" s="65">
        <v>7622.0719062840008</v>
      </c>
      <c r="M256" s="65">
        <v>277.20999999999998</v>
      </c>
      <c r="N256" s="65">
        <v>11267.954577396002</v>
      </c>
      <c r="O256" s="65">
        <v>462.99</v>
      </c>
      <c r="P256" s="65">
        <v>18890.026483680002</v>
      </c>
      <c r="Q256" s="50">
        <v>18890.026483680002</v>
      </c>
      <c r="R256" s="65">
        <v>0</v>
      </c>
      <c r="S256" s="65">
        <v>89.722812960000013</v>
      </c>
      <c r="T256" s="65">
        <v>0</v>
      </c>
      <c r="U256" s="65">
        <v>18800</v>
      </c>
      <c r="V256" s="65">
        <v>0</v>
      </c>
      <c r="W256" s="65">
        <v>0</v>
      </c>
      <c r="X256" s="65">
        <v>0</v>
      </c>
      <c r="Y256" s="65">
        <v>0</v>
      </c>
      <c r="Z256" s="65">
        <v>0</v>
      </c>
      <c r="AA256" s="51">
        <v>65</v>
      </c>
      <c r="AB256" s="102" t="s">
        <v>1427</v>
      </c>
      <c r="AC256" s="81">
        <f t="shared" si="12"/>
        <v>192.19902820236814</v>
      </c>
      <c r="AD256" s="82">
        <f t="shared" si="13"/>
        <v>66.357142857142861</v>
      </c>
      <c r="AE256" s="218">
        <v>3.4099011177199661E-3</v>
      </c>
      <c r="AF256">
        <v>7</v>
      </c>
      <c r="AH256" t="str">
        <f t="shared" si="11"/>
        <v>Teghra</v>
      </c>
      <c r="AJ256" s="72">
        <v>0</v>
      </c>
      <c r="AK256" s="72"/>
      <c r="AL256" s="72"/>
      <c r="AM256" s="72"/>
    </row>
    <row r="257" spans="1:39" x14ac:dyDescent="0.25">
      <c r="A257" s="37" t="s">
        <v>62</v>
      </c>
      <c r="B257" s="66" t="s">
        <v>1566</v>
      </c>
      <c r="C257" s="47">
        <v>1008</v>
      </c>
      <c r="D257" s="47" t="s">
        <v>221</v>
      </c>
      <c r="E257" s="41">
        <v>10080039</v>
      </c>
      <c r="F257" s="46" t="s">
        <v>575</v>
      </c>
      <c r="G257" s="39" t="s">
        <v>635</v>
      </c>
      <c r="H257" s="48" t="s">
        <v>99</v>
      </c>
      <c r="I257" s="52">
        <v>37.700000000000003</v>
      </c>
      <c r="J257" s="49">
        <v>1215.45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50">
        <v>1215.45</v>
      </c>
      <c r="R257" s="65">
        <v>0</v>
      </c>
      <c r="S257" s="65">
        <v>0</v>
      </c>
      <c r="T257" s="65">
        <v>0</v>
      </c>
      <c r="U257" s="65">
        <v>0</v>
      </c>
      <c r="V257" s="65">
        <v>1215</v>
      </c>
      <c r="W257" s="65">
        <v>0</v>
      </c>
      <c r="X257" s="65">
        <v>0</v>
      </c>
      <c r="Y257" s="65">
        <v>0</v>
      </c>
      <c r="Z257" s="65">
        <v>0.45000000000004547</v>
      </c>
      <c r="AA257" s="51">
        <v>0</v>
      </c>
      <c r="AB257" s="102" t="s">
        <v>68</v>
      </c>
      <c r="AC257" s="81">
        <f t="shared" si="12"/>
        <v>427.05174270557023</v>
      </c>
      <c r="AD257" s="82">
        <f t="shared" si="13"/>
        <v>5.3857142857142861</v>
      </c>
      <c r="AE257" s="218">
        <v>0</v>
      </c>
      <c r="AF257">
        <v>0</v>
      </c>
      <c r="AH257" t="str">
        <f t="shared" si="11"/>
        <v>Teghra</v>
      </c>
      <c r="AJ257" s="72">
        <v>0</v>
      </c>
      <c r="AK257" s="72"/>
      <c r="AL257" s="72"/>
      <c r="AM257" s="72"/>
    </row>
    <row r="258" spans="1:39" x14ac:dyDescent="0.25">
      <c r="A258" s="37" t="s">
        <v>62</v>
      </c>
      <c r="B258" s="66" t="s">
        <v>1566</v>
      </c>
      <c r="C258" s="47">
        <v>1008</v>
      </c>
      <c r="D258" s="47" t="s">
        <v>221</v>
      </c>
      <c r="E258" s="41">
        <v>10080040</v>
      </c>
      <c r="F258" s="46" t="s">
        <v>238</v>
      </c>
      <c r="G258" s="39" t="s">
        <v>635</v>
      </c>
      <c r="H258" s="48" t="s">
        <v>99</v>
      </c>
      <c r="I258" s="52">
        <v>963.55</v>
      </c>
      <c r="J258" s="49">
        <v>37475.619999999995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50">
        <v>37475.619999999995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37475.619999999995</v>
      </c>
      <c r="AA258" s="51">
        <v>0</v>
      </c>
      <c r="AB258" s="102">
        <v>0</v>
      </c>
      <c r="AC258" s="81">
        <f t="shared" si="12"/>
        <v>0</v>
      </c>
      <c r="AD258" s="82">
        <f t="shared" si="13"/>
        <v>0</v>
      </c>
      <c r="AE258" s="218">
        <v>0</v>
      </c>
      <c r="AF258">
        <v>0</v>
      </c>
      <c r="AH258" t="str">
        <f t="shared" si="11"/>
        <v>Teghra</v>
      </c>
      <c r="AJ258" s="72">
        <v>0</v>
      </c>
      <c r="AK258" s="72"/>
      <c r="AL258" s="72"/>
      <c r="AM258" s="72"/>
    </row>
    <row r="259" spans="1:39" x14ac:dyDescent="0.25">
      <c r="A259" s="37" t="s">
        <v>62</v>
      </c>
      <c r="B259" s="66" t="s">
        <v>1566</v>
      </c>
      <c r="C259" s="47">
        <v>1008</v>
      </c>
      <c r="D259" s="47" t="s">
        <v>221</v>
      </c>
      <c r="E259" s="41">
        <v>10080048</v>
      </c>
      <c r="F259" s="46" t="s">
        <v>239</v>
      </c>
      <c r="G259" s="39" t="s">
        <v>93</v>
      </c>
      <c r="H259" s="48" t="s">
        <v>94</v>
      </c>
      <c r="I259" s="52">
        <v>234.54999999999995</v>
      </c>
      <c r="J259" s="49">
        <v>10318.829999999998</v>
      </c>
      <c r="K259" s="65">
        <v>233.32999999999998</v>
      </c>
      <c r="L259" s="65">
        <v>10076.989057390598</v>
      </c>
      <c r="M259" s="65">
        <v>1.9</v>
      </c>
      <c r="N259" s="65">
        <v>84.907435398000004</v>
      </c>
      <c r="O259" s="65">
        <v>235.23</v>
      </c>
      <c r="P259" s="65">
        <v>10161.896492788597</v>
      </c>
      <c r="Q259" s="50">
        <v>10161.896492788597</v>
      </c>
      <c r="R259" s="65">
        <v>0</v>
      </c>
      <c r="S259" s="65">
        <v>84.907435398000004</v>
      </c>
      <c r="T259" s="65">
        <v>0</v>
      </c>
      <c r="U259" s="65">
        <v>3340</v>
      </c>
      <c r="V259" s="65">
        <v>0</v>
      </c>
      <c r="W259" s="65">
        <v>0</v>
      </c>
      <c r="X259" s="65">
        <v>6736</v>
      </c>
      <c r="Y259" s="65">
        <v>0</v>
      </c>
      <c r="Z259" s="65">
        <v>0</v>
      </c>
      <c r="AA259" s="51">
        <v>158</v>
      </c>
      <c r="AB259" s="102" t="s">
        <v>1427</v>
      </c>
      <c r="AC259" s="81">
        <f t="shared" si="12"/>
        <v>409.54162639096148</v>
      </c>
      <c r="AD259" s="82">
        <f t="shared" si="13"/>
        <v>33.507142857142853</v>
      </c>
      <c r="AE259" s="218">
        <v>1.5208459409778134E-2</v>
      </c>
      <c r="AF259">
        <v>6</v>
      </c>
      <c r="AH259" t="str">
        <f t="shared" ref="AH259:AH322" si="14">TEXT(D259,"0000")</f>
        <v>Teghra</v>
      </c>
      <c r="AJ259" s="72">
        <v>0</v>
      </c>
      <c r="AK259" s="72"/>
      <c r="AL259" s="72"/>
      <c r="AM259" s="72"/>
    </row>
    <row r="260" spans="1:39" x14ac:dyDescent="0.25">
      <c r="A260" s="37" t="s">
        <v>62</v>
      </c>
      <c r="B260" s="66" t="s">
        <v>1566</v>
      </c>
      <c r="C260" s="47">
        <v>1008</v>
      </c>
      <c r="D260" s="47" t="s">
        <v>221</v>
      </c>
      <c r="E260" s="41">
        <v>10080052</v>
      </c>
      <c r="F260" s="46" t="s">
        <v>241</v>
      </c>
      <c r="G260" s="39" t="s">
        <v>93</v>
      </c>
      <c r="H260" s="48" t="s">
        <v>94</v>
      </c>
      <c r="I260" s="52">
        <v>732.4</v>
      </c>
      <c r="J260" s="49">
        <v>26334.52</v>
      </c>
      <c r="K260" s="65">
        <v>729.4899999999999</v>
      </c>
      <c r="L260" s="65">
        <v>28620.303645780001</v>
      </c>
      <c r="M260" s="65">
        <v>1.4400000000000002</v>
      </c>
      <c r="N260" s="65">
        <v>58.398409080000008</v>
      </c>
      <c r="O260" s="65">
        <v>730.93</v>
      </c>
      <c r="P260" s="65">
        <v>28678.702054860001</v>
      </c>
      <c r="Q260" s="50">
        <v>26334.52</v>
      </c>
      <c r="R260" s="65">
        <v>0</v>
      </c>
      <c r="S260" s="65">
        <v>58.398409080000008</v>
      </c>
      <c r="T260" s="65">
        <v>2344.1820548600008</v>
      </c>
      <c r="U260" s="65">
        <v>6800</v>
      </c>
      <c r="V260" s="65">
        <v>0</v>
      </c>
      <c r="W260" s="65">
        <v>0</v>
      </c>
      <c r="X260" s="65">
        <v>19476</v>
      </c>
      <c r="Y260" s="65">
        <v>0</v>
      </c>
      <c r="Z260" s="65">
        <v>0</v>
      </c>
      <c r="AA260" s="51">
        <v>0</v>
      </c>
      <c r="AB260" s="102">
        <v>0</v>
      </c>
      <c r="AC260" s="81">
        <f t="shared" ref="AC260:AC323" si="15">((IF(AD260=0,0,100-AD260))*7*(J260/I260))*2%</f>
        <v>0</v>
      </c>
      <c r="AD260" s="82">
        <f t="shared" ref="AD260:AD323" si="16">IF((I260/7)&gt;100,0,(I260/7))</f>
        <v>0</v>
      </c>
      <c r="AE260" s="218">
        <v>-8.9015560369431479E-2</v>
      </c>
      <c r="AF260">
        <v>5</v>
      </c>
      <c r="AH260" t="str">
        <f t="shared" si="14"/>
        <v>Teghra</v>
      </c>
      <c r="AJ260" s="72">
        <v>0</v>
      </c>
      <c r="AK260" s="72"/>
      <c r="AL260" s="72"/>
      <c r="AM260" s="72"/>
    </row>
    <row r="261" spans="1:39" x14ac:dyDescent="0.25">
      <c r="A261" s="37" t="s">
        <v>62</v>
      </c>
      <c r="B261" s="66" t="s">
        <v>1566</v>
      </c>
      <c r="C261" s="47">
        <v>1008</v>
      </c>
      <c r="D261" s="47" t="s">
        <v>221</v>
      </c>
      <c r="E261" s="41">
        <v>10080053</v>
      </c>
      <c r="F261" s="46" t="s">
        <v>242</v>
      </c>
      <c r="G261" s="39" t="s">
        <v>93</v>
      </c>
      <c r="H261" s="48" t="s">
        <v>94</v>
      </c>
      <c r="I261" s="52">
        <v>462.25</v>
      </c>
      <c r="J261" s="49">
        <v>16246.509999999998</v>
      </c>
      <c r="K261" s="65">
        <v>539.20000000000005</v>
      </c>
      <c r="L261" s="65">
        <v>19416.105712818469</v>
      </c>
      <c r="M261" s="65">
        <v>0</v>
      </c>
      <c r="N261" s="65">
        <v>0</v>
      </c>
      <c r="O261" s="65">
        <v>539.20000000000005</v>
      </c>
      <c r="P261" s="65">
        <v>19416.105712818469</v>
      </c>
      <c r="Q261" s="50">
        <v>16246.509999999998</v>
      </c>
      <c r="R261" s="65">
        <v>0</v>
      </c>
      <c r="S261" s="65">
        <v>0</v>
      </c>
      <c r="T261" s="65">
        <v>3169.5957128184709</v>
      </c>
      <c r="U261" s="65">
        <v>0</v>
      </c>
      <c r="V261" s="65">
        <v>0</v>
      </c>
      <c r="W261" s="65">
        <v>0</v>
      </c>
      <c r="X261" s="65">
        <v>16247</v>
      </c>
      <c r="Y261" s="65">
        <v>0</v>
      </c>
      <c r="Z261" s="65">
        <v>0</v>
      </c>
      <c r="AA261" s="51">
        <v>0</v>
      </c>
      <c r="AB261" s="102">
        <v>0</v>
      </c>
      <c r="AC261" s="81">
        <f t="shared" si="15"/>
        <v>167.1220228231476</v>
      </c>
      <c r="AD261" s="82">
        <f t="shared" si="16"/>
        <v>66.035714285714292</v>
      </c>
      <c r="AE261" s="218">
        <v>-0.19509394404204172</v>
      </c>
      <c r="AF261">
        <v>3</v>
      </c>
      <c r="AH261" t="str">
        <f t="shared" si="14"/>
        <v>Teghra</v>
      </c>
      <c r="AJ261" s="72">
        <v>0</v>
      </c>
      <c r="AK261" s="72"/>
      <c r="AL261" s="72"/>
      <c r="AM261" s="72"/>
    </row>
    <row r="262" spans="1:39" x14ac:dyDescent="0.25">
      <c r="A262" s="37" t="s">
        <v>62</v>
      </c>
      <c r="B262" s="66" t="s">
        <v>1566</v>
      </c>
      <c r="C262" s="47">
        <v>1008</v>
      </c>
      <c r="D262" s="47" t="s">
        <v>221</v>
      </c>
      <c r="E262" s="41">
        <v>10080054</v>
      </c>
      <c r="F262" s="46" t="s">
        <v>243</v>
      </c>
      <c r="G262" s="39" t="s">
        <v>635</v>
      </c>
      <c r="H262" s="48" t="s">
        <v>99</v>
      </c>
      <c r="I262" s="52">
        <v>279.34999999999997</v>
      </c>
      <c r="J262" s="49">
        <v>10031.619999999999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50">
        <v>10031.619999999999</v>
      </c>
      <c r="R262" s="65">
        <v>0</v>
      </c>
      <c r="S262" s="65">
        <v>0</v>
      </c>
      <c r="T262" s="65">
        <v>0</v>
      </c>
      <c r="U262" s="65">
        <v>0</v>
      </c>
      <c r="V262" s="65">
        <v>6105.9317032258041</v>
      </c>
      <c r="W262" s="65">
        <v>0</v>
      </c>
      <c r="X262" s="65">
        <v>0</v>
      </c>
      <c r="Y262" s="65">
        <v>0</v>
      </c>
      <c r="Z262" s="65">
        <v>3925.6882967741949</v>
      </c>
      <c r="AA262" s="51">
        <v>0</v>
      </c>
      <c r="AB262" s="102">
        <v>0</v>
      </c>
      <c r="AC262" s="81">
        <f t="shared" si="15"/>
        <v>302.1156937891534</v>
      </c>
      <c r="AD262" s="82">
        <f t="shared" si="16"/>
        <v>39.907142857142851</v>
      </c>
      <c r="AE262" s="218">
        <v>0</v>
      </c>
      <c r="AF262">
        <v>0</v>
      </c>
      <c r="AH262" t="str">
        <f t="shared" si="14"/>
        <v>Teghra</v>
      </c>
      <c r="AJ262" s="72">
        <v>0</v>
      </c>
      <c r="AK262" s="72"/>
      <c r="AL262" s="72"/>
      <c r="AM262" s="72"/>
    </row>
    <row r="263" spans="1:39" x14ac:dyDescent="0.25">
      <c r="A263" s="37" t="s">
        <v>62</v>
      </c>
      <c r="B263" s="66" t="s">
        <v>1566</v>
      </c>
      <c r="C263" s="47">
        <v>1008</v>
      </c>
      <c r="D263" s="47" t="s">
        <v>221</v>
      </c>
      <c r="E263" s="41">
        <v>10080055</v>
      </c>
      <c r="F263" s="46" t="s">
        <v>244</v>
      </c>
      <c r="G263" s="39" t="s">
        <v>93</v>
      </c>
      <c r="H263" s="48" t="s">
        <v>94</v>
      </c>
      <c r="I263" s="52">
        <v>243.05000000000004</v>
      </c>
      <c r="J263" s="49">
        <v>8845.4800000000014</v>
      </c>
      <c r="K263" s="65">
        <v>243.96999999999997</v>
      </c>
      <c r="L263" s="65">
        <v>9783.6282545760005</v>
      </c>
      <c r="M263" s="65">
        <v>0</v>
      </c>
      <c r="N263" s="65">
        <v>0</v>
      </c>
      <c r="O263" s="65">
        <v>243.96999999999997</v>
      </c>
      <c r="P263" s="65">
        <v>9783.6282545760005</v>
      </c>
      <c r="Q263" s="50">
        <v>8845.4800000000014</v>
      </c>
      <c r="R263" s="65">
        <v>0</v>
      </c>
      <c r="S263" s="65">
        <v>0</v>
      </c>
      <c r="T263" s="65">
        <v>938.14825457599909</v>
      </c>
      <c r="U263" s="65">
        <v>0</v>
      </c>
      <c r="V263" s="65">
        <v>683.29495263157855</v>
      </c>
      <c r="W263" s="65">
        <v>0</v>
      </c>
      <c r="X263" s="65">
        <v>8162</v>
      </c>
      <c r="Y263" s="65">
        <v>0</v>
      </c>
      <c r="Z263" s="65">
        <v>0</v>
      </c>
      <c r="AA263" s="51">
        <v>0</v>
      </c>
      <c r="AB263" s="102">
        <v>0</v>
      </c>
      <c r="AC263" s="81">
        <f t="shared" si="15"/>
        <v>332.60169397243362</v>
      </c>
      <c r="AD263" s="82">
        <f t="shared" si="16"/>
        <v>34.721428571428575</v>
      </c>
      <c r="AE263" s="218">
        <v>-0.10605962079796676</v>
      </c>
      <c r="AF263">
        <v>4</v>
      </c>
      <c r="AH263" t="str">
        <f t="shared" si="14"/>
        <v>Teghra</v>
      </c>
      <c r="AJ263" s="72">
        <v>0</v>
      </c>
      <c r="AK263" s="72"/>
      <c r="AL263" s="72"/>
      <c r="AM263" s="72"/>
    </row>
    <row r="264" spans="1:39" x14ac:dyDescent="0.25">
      <c r="A264" s="37" t="s">
        <v>62</v>
      </c>
      <c r="B264" s="66" t="s">
        <v>1566</v>
      </c>
      <c r="C264" s="47">
        <v>1008</v>
      </c>
      <c r="D264" s="47" t="s">
        <v>221</v>
      </c>
      <c r="E264" s="41">
        <v>10080061</v>
      </c>
      <c r="F264" s="46" t="s">
        <v>245</v>
      </c>
      <c r="G264" s="39" t="s">
        <v>93</v>
      </c>
      <c r="H264" s="48" t="s">
        <v>94</v>
      </c>
      <c r="I264" s="52">
        <v>129.5</v>
      </c>
      <c r="J264" s="49">
        <v>4514.16</v>
      </c>
      <c r="K264" s="65">
        <v>124.60000000000001</v>
      </c>
      <c r="L264" s="65">
        <v>4361.2222381200008</v>
      </c>
      <c r="M264" s="65">
        <v>0</v>
      </c>
      <c r="N264" s="65">
        <v>0</v>
      </c>
      <c r="O264" s="65">
        <v>124.60000000000001</v>
      </c>
      <c r="P264" s="65">
        <v>4361.2222381200008</v>
      </c>
      <c r="Q264" s="50">
        <v>4361.2222381200008</v>
      </c>
      <c r="R264" s="65">
        <v>0</v>
      </c>
      <c r="S264" s="65">
        <v>0</v>
      </c>
      <c r="T264" s="65">
        <v>0</v>
      </c>
      <c r="U264" s="65">
        <v>0</v>
      </c>
      <c r="V264" s="65">
        <v>52.443479999999944</v>
      </c>
      <c r="W264" s="65">
        <v>0</v>
      </c>
      <c r="X264" s="65">
        <v>4309</v>
      </c>
      <c r="Y264" s="65">
        <v>0</v>
      </c>
      <c r="Z264" s="65">
        <v>0</v>
      </c>
      <c r="AA264" s="51">
        <v>153</v>
      </c>
      <c r="AB264" s="102">
        <v>0</v>
      </c>
      <c r="AC264" s="81">
        <f t="shared" si="15"/>
        <v>397.7340972972973</v>
      </c>
      <c r="AD264" s="82">
        <f t="shared" si="16"/>
        <v>18.5</v>
      </c>
      <c r="AE264" s="218">
        <v>3.3879561619437289E-2</v>
      </c>
      <c r="AF264">
        <v>1</v>
      </c>
      <c r="AH264" t="str">
        <f t="shared" si="14"/>
        <v>Teghra</v>
      </c>
      <c r="AJ264" s="72">
        <v>0</v>
      </c>
      <c r="AK264" s="72"/>
      <c r="AL264" s="72"/>
      <c r="AM264" s="72"/>
    </row>
    <row r="265" spans="1:39" x14ac:dyDescent="0.25">
      <c r="A265" s="37" t="s">
        <v>62</v>
      </c>
      <c r="B265" s="66" t="s">
        <v>1566</v>
      </c>
      <c r="C265" s="47">
        <v>1008</v>
      </c>
      <c r="D265" s="47" t="s">
        <v>221</v>
      </c>
      <c r="E265" s="41">
        <v>10080062</v>
      </c>
      <c r="F265" s="46" t="s">
        <v>246</v>
      </c>
      <c r="G265" s="39" t="s">
        <v>93</v>
      </c>
      <c r="H265" s="48" t="s">
        <v>94</v>
      </c>
      <c r="I265" s="52">
        <v>53.599999999999994</v>
      </c>
      <c r="J265" s="49">
        <v>2119.67</v>
      </c>
      <c r="K265" s="65">
        <v>52</v>
      </c>
      <c r="L265" s="65">
        <v>2129.2636622400005</v>
      </c>
      <c r="M265" s="65">
        <v>0</v>
      </c>
      <c r="N265" s="65">
        <v>0</v>
      </c>
      <c r="O265" s="65">
        <v>52</v>
      </c>
      <c r="P265" s="65">
        <v>2129.2636622400005</v>
      </c>
      <c r="Q265" s="50">
        <v>2119.67</v>
      </c>
      <c r="R265" s="65">
        <v>0</v>
      </c>
      <c r="S265" s="65">
        <v>0</v>
      </c>
      <c r="T265" s="65">
        <v>9.5936622400004126</v>
      </c>
      <c r="U265" s="65">
        <v>0</v>
      </c>
      <c r="V265" s="65">
        <v>375.13</v>
      </c>
      <c r="W265" s="65">
        <v>0</v>
      </c>
      <c r="X265" s="65">
        <v>1745</v>
      </c>
      <c r="Y265" s="65">
        <v>0</v>
      </c>
      <c r="Z265" s="65">
        <v>0</v>
      </c>
      <c r="AA265" s="51">
        <v>0</v>
      </c>
      <c r="AB265" s="102" t="s">
        <v>68</v>
      </c>
      <c r="AC265" s="81">
        <f t="shared" si="15"/>
        <v>511.25174925373142</v>
      </c>
      <c r="AD265" s="82">
        <f t="shared" si="16"/>
        <v>7.6571428571428566</v>
      </c>
      <c r="AE265" s="218">
        <v>-4.5260168988570919E-3</v>
      </c>
      <c r="AF265">
        <v>1</v>
      </c>
      <c r="AH265" t="str">
        <f t="shared" si="14"/>
        <v>Teghra</v>
      </c>
      <c r="AJ265" s="72">
        <v>0</v>
      </c>
      <c r="AK265" s="72"/>
      <c r="AL265" s="72"/>
      <c r="AM265" s="72"/>
    </row>
    <row r="266" spans="1:39" x14ac:dyDescent="0.25">
      <c r="A266" s="37" t="s">
        <v>62</v>
      </c>
      <c r="B266" s="66" t="s">
        <v>1566</v>
      </c>
      <c r="C266" s="47">
        <v>1008</v>
      </c>
      <c r="D266" s="47" t="s">
        <v>221</v>
      </c>
      <c r="E266" s="41">
        <v>10080067</v>
      </c>
      <c r="F266" s="46" t="s">
        <v>248</v>
      </c>
      <c r="G266" s="39" t="s">
        <v>93</v>
      </c>
      <c r="H266" s="48" t="s">
        <v>94</v>
      </c>
      <c r="I266" s="52">
        <v>78.199999999999989</v>
      </c>
      <c r="J266" s="49">
        <v>2876.68</v>
      </c>
      <c r="K266" s="65">
        <v>78.199999999999989</v>
      </c>
      <c r="L266" s="65">
        <v>2621.4012697752005</v>
      </c>
      <c r="M266" s="65">
        <v>0</v>
      </c>
      <c r="N266" s="65">
        <v>0</v>
      </c>
      <c r="O266" s="65">
        <v>78.199999999999989</v>
      </c>
      <c r="P266" s="65">
        <v>2621.4012697752005</v>
      </c>
      <c r="Q266" s="50">
        <v>2621.4012697752005</v>
      </c>
      <c r="R266" s="65">
        <v>0</v>
      </c>
      <c r="S266" s="65">
        <v>0</v>
      </c>
      <c r="T266" s="65">
        <v>0</v>
      </c>
      <c r="U266" s="65">
        <v>0</v>
      </c>
      <c r="V266" s="65">
        <v>64.95</v>
      </c>
      <c r="W266" s="65">
        <v>0</v>
      </c>
      <c r="X266" s="65">
        <v>2556</v>
      </c>
      <c r="Y266" s="65">
        <v>0</v>
      </c>
      <c r="Z266" s="65">
        <v>0</v>
      </c>
      <c r="AA266" s="51">
        <v>256</v>
      </c>
      <c r="AB266" s="102" t="s">
        <v>68</v>
      </c>
      <c r="AC266" s="81">
        <f t="shared" si="15"/>
        <v>457.47304961636837</v>
      </c>
      <c r="AD266" s="82">
        <f t="shared" si="16"/>
        <v>11.171428571428569</v>
      </c>
      <c r="AE266" s="218">
        <v>8.8740746355103581E-2</v>
      </c>
      <c r="AF266">
        <v>4</v>
      </c>
      <c r="AH266" t="str">
        <f t="shared" si="14"/>
        <v>Teghra</v>
      </c>
      <c r="AJ266" s="72">
        <v>0</v>
      </c>
      <c r="AK266" s="72"/>
      <c r="AL266" s="72"/>
      <c r="AM266" s="72"/>
    </row>
    <row r="267" spans="1:39" x14ac:dyDescent="0.25">
      <c r="A267" s="37" t="s">
        <v>62</v>
      </c>
      <c r="B267" s="66" t="s">
        <v>1566</v>
      </c>
      <c r="C267" s="47">
        <v>1008</v>
      </c>
      <c r="D267" s="47" t="s">
        <v>221</v>
      </c>
      <c r="E267" s="41">
        <v>10080076</v>
      </c>
      <c r="F267" s="46" t="s">
        <v>472</v>
      </c>
      <c r="G267" s="39" t="s">
        <v>635</v>
      </c>
      <c r="H267" s="48" t="s">
        <v>99</v>
      </c>
      <c r="I267" s="52">
        <v>70.150000000000006</v>
      </c>
      <c r="J267" s="49">
        <v>2690.4500000000003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50">
        <v>2690.4500000000003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r="Y267" s="65">
        <v>0</v>
      </c>
      <c r="Z267" s="65">
        <v>2690.4500000000003</v>
      </c>
      <c r="AA267" s="51">
        <v>0</v>
      </c>
      <c r="AB267" s="102">
        <v>0</v>
      </c>
      <c r="AC267" s="81">
        <f t="shared" si="15"/>
        <v>483.13041553813258</v>
      </c>
      <c r="AD267" s="82">
        <f t="shared" si="16"/>
        <v>10.021428571428572</v>
      </c>
      <c r="AE267" s="218">
        <v>0</v>
      </c>
      <c r="AF267">
        <v>0</v>
      </c>
      <c r="AH267" t="str">
        <f t="shared" si="14"/>
        <v>Teghra</v>
      </c>
      <c r="AJ267" s="72">
        <v>0</v>
      </c>
      <c r="AK267" s="72"/>
      <c r="AL267" s="72"/>
      <c r="AM267" s="72"/>
    </row>
    <row r="268" spans="1:39" x14ac:dyDescent="0.25">
      <c r="A268" s="37" t="s">
        <v>62</v>
      </c>
      <c r="B268" s="66" t="s">
        <v>1566</v>
      </c>
      <c r="C268" s="47">
        <v>1008</v>
      </c>
      <c r="D268" s="47" t="s">
        <v>221</v>
      </c>
      <c r="E268" s="41">
        <v>10080077</v>
      </c>
      <c r="F268" s="46" t="s">
        <v>475</v>
      </c>
      <c r="G268" s="39" t="s">
        <v>93</v>
      </c>
      <c r="H268" s="48" t="s">
        <v>94</v>
      </c>
      <c r="I268" s="52">
        <v>970.39999999999986</v>
      </c>
      <c r="J268" s="49">
        <v>35882.79</v>
      </c>
      <c r="K268" s="65">
        <v>967.44</v>
      </c>
      <c r="L268" s="65">
        <v>34555.913164859303</v>
      </c>
      <c r="M268" s="65">
        <v>1.44</v>
      </c>
      <c r="N268" s="65">
        <v>52.365264237000005</v>
      </c>
      <c r="O268" s="65">
        <v>968.88000000000011</v>
      </c>
      <c r="P268" s="65">
        <v>34608.278429096303</v>
      </c>
      <c r="Q268" s="50">
        <v>34608.278429096303</v>
      </c>
      <c r="R268" s="65">
        <v>0</v>
      </c>
      <c r="S268" s="65">
        <v>52.365264237000005</v>
      </c>
      <c r="T268" s="65">
        <v>0</v>
      </c>
      <c r="U268" s="65">
        <v>0</v>
      </c>
      <c r="V268" s="65">
        <v>0</v>
      </c>
      <c r="W268" s="65">
        <v>0</v>
      </c>
      <c r="X268" s="65">
        <v>34555</v>
      </c>
      <c r="Y268" s="65">
        <v>0</v>
      </c>
      <c r="Z268" s="65">
        <v>0</v>
      </c>
      <c r="AA268" s="51">
        <v>1275</v>
      </c>
      <c r="AB268" s="102">
        <v>0</v>
      </c>
      <c r="AC268" s="81">
        <f t="shared" si="15"/>
        <v>0</v>
      </c>
      <c r="AD268" s="82">
        <f t="shared" si="16"/>
        <v>0</v>
      </c>
      <c r="AE268" s="218">
        <v>3.5518742296897707E-2</v>
      </c>
      <c r="AF268">
        <v>8</v>
      </c>
      <c r="AH268" t="str">
        <f t="shared" si="14"/>
        <v>Teghra</v>
      </c>
      <c r="AJ268" s="72">
        <v>0</v>
      </c>
      <c r="AK268" s="72"/>
      <c r="AL268" s="72"/>
      <c r="AM268" s="72"/>
    </row>
    <row r="269" spans="1:39" x14ac:dyDescent="0.25">
      <c r="A269" s="37" t="s">
        <v>62</v>
      </c>
      <c r="B269" s="66" t="s">
        <v>1566</v>
      </c>
      <c r="C269" s="47">
        <v>1008</v>
      </c>
      <c r="D269" s="47" t="s">
        <v>221</v>
      </c>
      <c r="E269" s="41">
        <v>10080078</v>
      </c>
      <c r="F269" s="46" t="s">
        <v>619</v>
      </c>
      <c r="G269" s="39" t="s">
        <v>635</v>
      </c>
      <c r="H269" s="48" t="s">
        <v>99</v>
      </c>
      <c r="I269" s="52">
        <v>56.6</v>
      </c>
      <c r="J269" s="49">
        <v>2286.0700000000002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50">
        <v>2286.0700000000002</v>
      </c>
      <c r="R269" s="65">
        <v>0</v>
      </c>
      <c r="S269" s="65">
        <v>0</v>
      </c>
      <c r="T269" s="65">
        <v>0</v>
      </c>
      <c r="U269" s="65">
        <v>0</v>
      </c>
      <c r="V269" s="65">
        <v>2233.3832225806445</v>
      </c>
      <c r="W269" s="65">
        <v>0</v>
      </c>
      <c r="X269" s="65">
        <v>0</v>
      </c>
      <c r="Y269" s="65">
        <v>0</v>
      </c>
      <c r="Z269" s="65">
        <v>52.686777419355622</v>
      </c>
      <c r="AA269" s="51">
        <v>0</v>
      </c>
      <c r="AB269" s="102">
        <v>0</v>
      </c>
      <c r="AC269" s="81">
        <f t="shared" si="15"/>
        <v>519.73761060070672</v>
      </c>
      <c r="AD269" s="82">
        <f t="shared" si="16"/>
        <v>8.0857142857142854</v>
      </c>
      <c r="AE269" s="218">
        <v>0</v>
      </c>
      <c r="AF269">
        <v>0</v>
      </c>
      <c r="AH269" t="str">
        <f t="shared" si="14"/>
        <v>Teghra</v>
      </c>
      <c r="AJ269" s="72">
        <v>0</v>
      </c>
      <c r="AK269" s="72"/>
      <c r="AL269" s="72"/>
      <c r="AM269" s="72"/>
    </row>
    <row r="270" spans="1:39" x14ac:dyDescent="0.25">
      <c r="A270" s="37" t="s">
        <v>62</v>
      </c>
      <c r="B270" s="66" t="s">
        <v>1566</v>
      </c>
      <c r="C270" s="47">
        <v>1008</v>
      </c>
      <c r="D270" s="47" t="s">
        <v>221</v>
      </c>
      <c r="E270" s="41">
        <v>10080079</v>
      </c>
      <c r="F270" s="46" t="s">
        <v>486</v>
      </c>
      <c r="G270" s="39" t="s">
        <v>93</v>
      </c>
      <c r="H270" s="48" t="s">
        <v>94</v>
      </c>
      <c r="I270" s="52">
        <v>164.1</v>
      </c>
      <c r="J270" s="49">
        <v>6175.58</v>
      </c>
      <c r="K270" s="65">
        <v>163</v>
      </c>
      <c r="L270" s="65">
        <v>6153.7545828000011</v>
      </c>
      <c r="M270" s="65">
        <v>0</v>
      </c>
      <c r="N270" s="65">
        <v>0</v>
      </c>
      <c r="O270" s="65">
        <v>163</v>
      </c>
      <c r="P270" s="65">
        <v>6153.7545828000011</v>
      </c>
      <c r="Q270" s="50">
        <v>6153.7545828000011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6154</v>
      </c>
      <c r="Y270" s="65">
        <v>0</v>
      </c>
      <c r="Z270" s="65">
        <v>0</v>
      </c>
      <c r="AA270" s="51">
        <v>22</v>
      </c>
      <c r="AB270" s="102">
        <v>0</v>
      </c>
      <c r="AC270" s="81">
        <f t="shared" si="15"/>
        <v>403.35080097501526</v>
      </c>
      <c r="AD270" s="82">
        <f t="shared" si="16"/>
        <v>23.442857142857143</v>
      </c>
      <c r="AE270" s="218">
        <v>3.5341485658025337E-3</v>
      </c>
      <c r="AF270">
        <v>1</v>
      </c>
      <c r="AH270" t="str">
        <f t="shared" si="14"/>
        <v>Teghra</v>
      </c>
      <c r="AJ270" s="72">
        <v>0</v>
      </c>
      <c r="AK270" s="72"/>
      <c r="AL270" s="72"/>
      <c r="AM270" s="72"/>
    </row>
    <row r="271" spans="1:39" x14ac:dyDescent="0.25">
      <c r="A271" s="37" t="s">
        <v>62</v>
      </c>
      <c r="B271" s="66" t="s">
        <v>1566</v>
      </c>
      <c r="C271" s="47">
        <v>1008</v>
      </c>
      <c r="D271" s="47" t="s">
        <v>221</v>
      </c>
      <c r="E271" s="41">
        <v>10080080</v>
      </c>
      <c r="F271" s="46" t="s">
        <v>497</v>
      </c>
      <c r="G271" s="39" t="s">
        <v>635</v>
      </c>
      <c r="H271" s="48" t="s">
        <v>99</v>
      </c>
      <c r="I271" s="52">
        <v>205</v>
      </c>
      <c r="J271" s="49">
        <v>6903.9600000000009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50">
        <v>6903.9600000000009</v>
      </c>
      <c r="R271" s="65">
        <v>0</v>
      </c>
      <c r="S271" s="65">
        <v>0</v>
      </c>
      <c r="T271" s="65">
        <v>0</v>
      </c>
      <c r="U271" s="65">
        <v>0</v>
      </c>
      <c r="V271" s="65">
        <v>642.55951935483881</v>
      </c>
      <c r="W271" s="65">
        <v>0</v>
      </c>
      <c r="X271" s="65">
        <v>0</v>
      </c>
      <c r="Y271" s="65">
        <v>0</v>
      </c>
      <c r="Z271" s="65">
        <v>6261.4004806451621</v>
      </c>
      <c r="AA271" s="51">
        <v>0</v>
      </c>
      <c r="AB271" s="102">
        <v>0</v>
      </c>
      <c r="AC271" s="81">
        <f t="shared" si="15"/>
        <v>333.41075121951229</v>
      </c>
      <c r="AD271" s="82">
        <f t="shared" si="16"/>
        <v>29.285714285714285</v>
      </c>
      <c r="AE271" s="218">
        <v>0</v>
      </c>
      <c r="AF271">
        <v>0</v>
      </c>
      <c r="AH271" t="str">
        <f t="shared" si="14"/>
        <v>Teghra</v>
      </c>
      <c r="AJ271" s="72">
        <v>0</v>
      </c>
      <c r="AK271" s="72"/>
      <c r="AL271" s="72"/>
      <c r="AM271" s="72"/>
    </row>
    <row r="272" spans="1:39" x14ac:dyDescent="0.25">
      <c r="A272" s="37" t="s">
        <v>62</v>
      </c>
      <c r="B272" s="66" t="s">
        <v>1566</v>
      </c>
      <c r="C272" s="47">
        <v>1008</v>
      </c>
      <c r="D272" s="47" t="s">
        <v>221</v>
      </c>
      <c r="E272" s="41">
        <v>10080082</v>
      </c>
      <c r="F272" s="46" t="s">
        <v>498</v>
      </c>
      <c r="G272" s="39" t="s">
        <v>635</v>
      </c>
      <c r="H272" s="48" t="s">
        <v>99</v>
      </c>
      <c r="I272" s="52">
        <v>383.3</v>
      </c>
      <c r="J272" s="49">
        <v>13966.76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50">
        <v>13966.76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13966.76</v>
      </c>
      <c r="AA272" s="51">
        <v>0</v>
      </c>
      <c r="AB272" s="102">
        <v>0</v>
      </c>
      <c r="AC272" s="81">
        <f t="shared" si="15"/>
        <v>230.79952475867464</v>
      </c>
      <c r="AD272" s="82">
        <f t="shared" si="16"/>
        <v>54.75714285714286</v>
      </c>
      <c r="AE272" s="218">
        <v>0</v>
      </c>
      <c r="AF272">
        <v>0</v>
      </c>
      <c r="AH272" t="str">
        <f t="shared" si="14"/>
        <v>Teghra</v>
      </c>
      <c r="AJ272" s="72">
        <v>0</v>
      </c>
      <c r="AK272" s="72"/>
      <c r="AL272" s="72"/>
      <c r="AM272" s="72"/>
    </row>
    <row r="273" spans="1:39" x14ac:dyDescent="0.25">
      <c r="A273" s="37" t="s">
        <v>62</v>
      </c>
      <c r="B273" s="66" t="s">
        <v>1566</v>
      </c>
      <c r="C273" s="47">
        <v>1008</v>
      </c>
      <c r="D273" s="47" t="s">
        <v>221</v>
      </c>
      <c r="E273" s="41">
        <v>10080083</v>
      </c>
      <c r="F273" s="46" t="s">
        <v>499</v>
      </c>
      <c r="G273" s="39" t="s">
        <v>635</v>
      </c>
      <c r="H273" s="48" t="s">
        <v>99</v>
      </c>
      <c r="I273" s="52">
        <v>50.900000000000006</v>
      </c>
      <c r="J273" s="49">
        <v>1951.0699999999997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50">
        <v>1951.0699999999997</v>
      </c>
      <c r="R273" s="65">
        <v>0</v>
      </c>
      <c r="S273" s="65">
        <v>0</v>
      </c>
      <c r="T273" s="65">
        <v>0</v>
      </c>
      <c r="U273" s="65">
        <v>0</v>
      </c>
      <c r="V273" s="65">
        <v>98.385600000000025</v>
      </c>
      <c r="W273" s="65">
        <v>0</v>
      </c>
      <c r="X273" s="65">
        <v>0</v>
      </c>
      <c r="Y273" s="65">
        <v>0</v>
      </c>
      <c r="Z273" s="65">
        <v>1852.6843999999996</v>
      </c>
      <c r="AA273" s="51">
        <v>0</v>
      </c>
      <c r="AB273" s="102">
        <v>0</v>
      </c>
      <c r="AC273" s="81">
        <f t="shared" si="15"/>
        <v>497.61867858546162</v>
      </c>
      <c r="AD273" s="82">
        <f t="shared" si="16"/>
        <v>7.2714285714285722</v>
      </c>
      <c r="AE273" s="218">
        <v>0</v>
      </c>
      <c r="AF273">
        <v>0</v>
      </c>
      <c r="AH273" t="str">
        <f t="shared" si="14"/>
        <v>Teghra</v>
      </c>
      <c r="AJ273" s="72">
        <v>0</v>
      </c>
      <c r="AK273" s="72"/>
      <c r="AL273" s="72"/>
      <c r="AM273" s="72"/>
    </row>
    <row r="274" spans="1:39" x14ac:dyDescent="0.25">
      <c r="A274" s="37" t="s">
        <v>62</v>
      </c>
      <c r="B274" s="66" t="s">
        <v>1566</v>
      </c>
      <c r="C274" s="47">
        <v>1008</v>
      </c>
      <c r="D274" s="47" t="s">
        <v>221</v>
      </c>
      <c r="E274" s="41">
        <v>10080087</v>
      </c>
      <c r="F274" s="46" t="s">
        <v>586</v>
      </c>
      <c r="G274" s="39" t="s">
        <v>93</v>
      </c>
      <c r="H274" s="48" t="s">
        <v>94</v>
      </c>
      <c r="I274" s="52">
        <v>446.6</v>
      </c>
      <c r="J274" s="49">
        <v>16848.97</v>
      </c>
      <c r="K274" s="65">
        <v>448.93000000000006</v>
      </c>
      <c r="L274" s="65">
        <v>17051.650128909001</v>
      </c>
      <c r="M274" s="65">
        <v>0.71</v>
      </c>
      <c r="N274" s="65">
        <v>27.126754578</v>
      </c>
      <c r="O274" s="65">
        <v>449.64000000000004</v>
      </c>
      <c r="P274" s="65">
        <v>17078.776883487</v>
      </c>
      <c r="Q274" s="50">
        <v>16848.97</v>
      </c>
      <c r="R274" s="65">
        <v>0</v>
      </c>
      <c r="S274" s="65">
        <v>27.126754578</v>
      </c>
      <c r="T274" s="65">
        <v>229.80688348699914</v>
      </c>
      <c r="U274" s="65">
        <v>0</v>
      </c>
      <c r="V274" s="65">
        <v>0</v>
      </c>
      <c r="W274" s="65">
        <v>0</v>
      </c>
      <c r="X274" s="65">
        <v>16822</v>
      </c>
      <c r="Y274" s="65">
        <v>0</v>
      </c>
      <c r="Z274" s="65">
        <v>0</v>
      </c>
      <c r="AA274" s="51">
        <v>0</v>
      </c>
      <c r="AB274" s="102">
        <v>0</v>
      </c>
      <c r="AC274" s="81">
        <f t="shared" si="15"/>
        <v>191.20147774294668</v>
      </c>
      <c r="AD274" s="82">
        <f t="shared" si="16"/>
        <v>63.800000000000004</v>
      </c>
      <c r="AE274" s="218">
        <v>-1.3639224444402187E-2</v>
      </c>
      <c r="AF274">
        <v>3</v>
      </c>
      <c r="AH274" t="str">
        <f t="shared" si="14"/>
        <v>Teghra</v>
      </c>
      <c r="AJ274" s="72">
        <v>0</v>
      </c>
      <c r="AK274" s="72"/>
      <c r="AL274" s="72"/>
      <c r="AM274" s="72"/>
    </row>
    <row r="275" spans="1:39" x14ac:dyDescent="0.25">
      <c r="A275" s="37" t="s">
        <v>62</v>
      </c>
      <c r="B275" s="66" t="s">
        <v>1566</v>
      </c>
      <c r="C275" s="47">
        <v>1008</v>
      </c>
      <c r="D275" s="47" t="s">
        <v>221</v>
      </c>
      <c r="E275" s="41">
        <v>10080088</v>
      </c>
      <c r="F275" s="46" t="s">
        <v>587</v>
      </c>
      <c r="G275" s="39" t="s">
        <v>93</v>
      </c>
      <c r="H275" s="48" t="s">
        <v>94</v>
      </c>
      <c r="I275" s="52">
        <v>1407.8000000000002</v>
      </c>
      <c r="J275" s="49">
        <v>51502.100000000006</v>
      </c>
      <c r="K275" s="65">
        <v>1403.43</v>
      </c>
      <c r="L275" s="65">
        <v>50379.317161133396</v>
      </c>
      <c r="M275" s="65">
        <v>2.4300000000000002</v>
      </c>
      <c r="N275" s="65">
        <v>87.066591519600024</v>
      </c>
      <c r="O275" s="65">
        <v>1405.8600000000001</v>
      </c>
      <c r="P275" s="65">
        <v>50466.383752652997</v>
      </c>
      <c r="Q275" s="50">
        <v>50466.383752652997</v>
      </c>
      <c r="R275" s="65">
        <v>0</v>
      </c>
      <c r="S275" s="65">
        <v>87.066591519600024</v>
      </c>
      <c r="T275" s="65">
        <v>0</v>
      </c>
      <c r="U275" s="65">
        <v>0</v>
      </c>
      <c r="V275" s="65">
        <v>0</v>
      </c>
      <c r="W275" s="65">
        <v>0</v>
      </c>
      <c r="X275" s="65">
        <v>50379</v>
      </c>
      <c r="Y275" s="65">
        <v>0</v>
      </c>
      <c r="Z275" s="65">
        <v>0</v>
      </c>
      <c r="AA275" s="51">
        <v>1036</v>
      </c>
      <c r="AB275" s="102">
        <v>0</v>
      </c>
      <c r="AC275" s="81">
        <f t="shared" si="15"/>
        <v>0</v>
      </c>
      <c r="AD275" s="82">
        <f t="shared" si="16"/>
        <v>0</v>
      </c>
      <c r="AE275" s="218">
        <v>2.0110175067560524E-2</v>
      </c>
      <c r="AF275">
        <v>9</v>
      </c>
      <c r="AH275" t="str">
        <f t="shared" si="14"/>
        <v>Teghra</v>
      </c>
      <c r="AJ275" s="72">
        <v>0</v>
      </c>
      <c r="AK275" s="72"/>
      <c r="AL275" s="72"/>
      <c r="AM275" s="72"/>
    </row>
    <row r="276" spans="1:39" x14ac:dyDescent="0.25">
      <c r="A276" s="37" t="s">
        <v>62</v>
      </c>
      <c r="B276" s="66" t="s">
        <v>1566</v>
      </c>
      <c r="C276" s="47">
        <v>1008</v>
      </c>
      <c r="D276" s="47" t="s">
        <v>221</v>
      </c>
      <c r="E276" s="41">
        <v>10080089</v>
      </c>
      <c r="F276" s="46" t="s">
        <v>1284</v>
      </c>
      <c r="G276" s="39" t="s">
        <v>635</v>
      </c>
      <c r="H276" s="48" t="s">
        <v>99</v>
      </c>
      <c r="I276" s="52">
        <v>347.15</v>
      </c>
      <c r="J276" s="49">
        <v>12085.320000000002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50">
        <v>12085.320000000002</v>
      </c>
      <c r="R276" s="65">
        <v>0</v>
      </c>
      <c r="S276" s="65">
        <v>0</v>
      </c>
      <c r="T276" s="65">
        <v>0</v>
      </c>
      <c r="U276" s="65">
        <v>0</v>
      </c>
      <c r="V276" s="65">
        <v>392.06219032258076</v>
      </c>
      <c r="W276" s="65">
        <v>0</v>
      </c>
      <c r="X276" s="65">
        <v>0</v>
      </c>
      <c r="Y276" s="65">
        <v>0</v>
      </c>
      <c r="Z276" s="65">
        <v>11693.257809677421</v>
      </c>
      <c r="AA276" s="51">
        <v>0</v>
      </c>
      <c r="AB276" s="102">
        <v>0</v>
      </c>
      <c r="AC276" s="81">
        <f t="shared" si="15"/>
        <v>245.67507774737152</v>
      </c>
      <c r="AD276" s="82">
        <f t="shared" si="16"/>
        <v>49.592857142857142</v>
      </c>
      <c r="AE276" s="218">
        <v>0</v>
      </c>
      <c r="AF276">
        <v>0</v>
      </c>
      <c r="AH276" t="str">
        <f t="shared" si="14"/>
        <v>Teghra</v>
      </c>
      <c r="AJ276" s="72">
        <v>0</v>
      </c>
      <c r="AK276" s="72"/>
      <c r="AL276" s="72"/>
      <c r="AM276" s="72"/>
    </row>
    <row r="277" spans="1:39" x14ac:dyDescent="0.25">
      <c r="A277" s="37" t="s">
        <v>62</v>
      </c>
      <c r="B277" s="66" t="s">
        <v>1566</v>
      </c>
      <c r="C277" s="47">
        <v>1008</v>
      </c>
      <c r="D277" s="47" t="s">
        <v>221</v>
      </c>
      <c r="E277" s="41">
        <v>10080090</v>
      </c>
      <c r="F277" s="46" t="s">
        <v>649</v>
      </c>
      <c r="G277" s="39" t="s">
        <v>635</v>
      </c>
      <c r="H277" s="48" t="s">
        <v>99</v>
      </c>
      <c r="I277" s="52">
        <v>143.69999999999999</v>
      </c>
      <c r="J277" s="49">
        <v>4871.6399999999994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50">
        <v>4871.6399999999994</v>
      </c>
      <c r="R277" s="65">
        <v>0</v>
      </c>
      <c r="S277" s="65">
        <v>0</v>
      </c>
      <c r="T277" s="65">
        <v>0</v>
      </c>
      <c r="U277" s="65">
        <v>0</v>
      </c>
      <c r="V277" s="65">
        <v>416.34560322580671</v>
      </c>
      <c r="W277" s="65">
        <v>0</v>
      </c>
      <c r="X277" s="65">
        <v>0</v>
      </c>
      <c r="Y277" s="65">
        <v>0</v>
      </c>
      <c r="Z277" s="65">
        <v>4455.294396774193</v>
      </c>
      <c r="AA277" s="51">
        <v>0</v>
      </c>
      <c r="AB277" s="102">
        <v>0</v>
      </c>
      <c r="AC277" s="81">
        <f t="shared" si="15"/>
        <v>377.18765929018787</v>
      </c>
      <c r="AD277" s="82">
        <f t="shared" si="16"/>
        <v>20.528571428571428</v>
      </c>
      <c r="AE277" s="218">
        <v>0</v>
      </c>
      <c r="AF277">
        <v>0</v>
      </c>
      <c r="AH277" t="str">
        <f t="shared" si="14"/>
        <v>Teghra</v>
      </c>
      <c r="AJ277" s="72">
        <v>0</v>
      </c>
      <c r="AK277" s="72"/>
      <c r="AL277" s="72"/>
      <c r="AM277" s="72"/>
    </row>
    <row r="278" spans="1:39" x14ac:dyDescent="0.25">
      <c r="A278" s="37" t="s">
        <v>62</v>
      </c>
      <c r="B278" s="66" t="s">
        <v>1566</v>
      </c>
      <c r="C278" s="47">
        <v>1008</v>
      </c>
      <c r="D278" s="47" t="s">
        <v>221</v>
      </c>
      <c r="E278" s="41">
        <v>10080093</v>
      </c>
      <c r="F278" s="46" t="s">
        <v>826</v>
      </c>
      <c r="G278" s="39" t="s">
        <v>93</v>
      </c>
      <c r="H278" s="48" t="s">
        <v>94</v>
      </c>
      <c r="I278" s="52">
        <v>649.05000000000007</v>
      </c>
      <c r="J278" s="49">
        <v>23520.15</v>
      </c>
      <c r="K278" s="65">
        <v>648</v>
      </c>
      <c r="L278" s="65">
        <v>23523.127056000005</v>
      </c>
      <c r="M278" s="65">
        <v>0</v>
      </c>
      <c r="N278" s="65">
        <v>0</v>
      </c>
      <c r="O278" s="65">
        <v>648</v>
      </c>
      <c r="P278" s="65">
        <v>23523.127056000005</v>
      </c>
      <c r="Q278" s="50">
        <v>23520.15</v>
      </c>
      <c r="R278" s="65">
        <v>0</v>
      </c>
      <c r="S278" s="65">
        <v>0</v>
      </c>
      <c r="T278" s="65">
        <v>2.9770560000033583</v>
      </c>
      <c r="U278" s="65">
        <v>0</v>
      </c>
      <c r="V278" s="65">
        <v>0</v>
      </c>
      <c r="W278" s="65">
        <v>0</v>
      </c>
      <c r="X278" s="65">
        <v>23520</v>
      </c>
      <c r="Y278" s="65">
        <v>0</v>
      </c>
      <c r="Z278" s="65">
        <v>0</v>
      </c>
      <c r="AA278" s="51">
        <v>0</v>
      </c>
      <c r="AB278" s="102">
        <v>0</v>
      </c>
      <c r="AC278" s="81">
        <f t="shared" si="15"/>
        <v>36.926327478622582</v>
      </c>
      <c r="AD278" s="82">
        <f t="shared" si="16"/>
        <v>92.721428571428575</v>
      </c>
      <c r="AE278" s="218">
        <v>-1.2657470296759834E-4</v>
      </c>
      <c r="AF278">
        <v>1</v>
      </c>
      <c r="AH278" t="str">
        <f t="shared" si="14"/>
        <v>Teghra</v>
      </c>
      <c r="AJ278" s="72">
        <v>0</v>
      </c>
      <c r="AK278" s="72"/>
      <c r="AL278" s="72"/>
      <c r="AM278" s="72"/>
    </row>
    <row r="279" spans="1:39" x14ac:dyDescent="0.25">
      <c r="A279" s="37" t="s">
        <v>62</v>
      </c>
      <c r="B279" s="66" t="s">
        <v>1566</v>
      </c>
      <c r="C279" s="47">
        <v>1008</v>
      </c>
      <c r="D279" s="47" t="s">
        <v>221</v>
      </c>
      <c r="E279" s="41">
        <v>10080095</v>
      </c>
      <c r="F279" s="46" t="s">
        <v>701</v>
      </c>
      <c r="G279" s="39" t="s">
        <v>93</v>
      </c>
      <c r="H279" s="48" t="s">
        <v>94</v>
      </c>
      <c r="I279" s="52">
        <v>222.79999999999998</v>
      </c>
      <c r="J279" s="49">
        <v>7762.4499999999989</v>
      </c>
      <c r="K279" s="65">
        <v>222.6</v>
      </c>
      <c r="L279" s="65">
        <v>7755.8876956440017</v>
      </c>
      <c r="M279" s="65">
        <v>0</v>
      </c>
      <c r="N279" s="65">
        <v>0</v>
      </c>
      <c r="O279" s="65">
        <v>222.6</v>
      </c>
      <c r="P279" s="65">
        <v>7755.8876956440017</v>
      </c>
      <c r="Q279" s="50">
        <v>7755.8876956440017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7756</v>
      </c>
      <c r="Y279" s="65">
        <v>0</v>
      </c>
      <c r="Z279" s="65">
        <v>0</v>
      </c>
      <c r="AA279" s="51">
        <v>6</v>
      </c>
      <c r="AB279" s="102">
        <v>0</v>
      </c>
      <c r="AC279" s="81">
        <f t="shared" si="15"/>
        <v>332.51715798922805</v>
      </c>
      <c r="AD279" s="82">
        <f t="shared" si="16"/>
        <v>31.828571428571426</v>
      </c>
      <c r="AE279" s="218">
        <v>8.4539086963486857E-4</v>
      </c>
      <c r="AF279">
        <v>1</v>
      </c>
      <c r="AH279" t="str">
        <f t="shared" si="14"/>
        <v>Teghra</v>
      </c>
      <c r="AJ279" s="72">
        <v>0</v>
      </c>
      <c r="AK279" s="72"/>
      <c r="AL279" s="72"/>
      <c r="AM279" s="72"/>
    </row>
    <row r="280" spans="1:39" x14ac:dyDescent="0.25">
      <c r="A280" s="37" t="s">
        <v>62</v>
      </c>
      <c r="B280" s="66" t="s">
        <v>1566</v>
      </c>
      <c r="C280" s="47">
        <v>1008</v>
      </c>
      <c r="D280" s="47" t="s">
        <v>221</v>
      </c>
      <c r="E280" s="41">
        <v>10080097</v>
      </c>
      <c r="F280" s="46" t="s">
        <v>662</v>
      </c>
      <c r="G280" s="39" t="s">
        <v>635</v>
      </c>
      <c r="H280" s="48" t="s">
        <v>99</v>
      </c>
      <c r="I280" s="52">
        <v>993.25000000000011</v>
      </c>
      <c r="J280" s="49">
        <v>34422.329999999994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50">
        <v>34422.329999999994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34422.329999999994</v>
      </c>
      <c r="AA280" s="51">
        <v>0</v>
      </c>
      <c r="AB280" s="102">
        <v>0</v>
      </c>
      <c r="AC280" s="81">
        <f t="shared" si="15"/>
        <v>0</v>
      </c>
      <c r="AD280" s="82">
        <f t="shared" si="16"/>
        <v>0</v>
      </c>
      <c r="AE280" s="218">
        <v>0</v>
      </c>
      <c r="AF280">
        <v>0</v>
      </c>
      <c r="AH280" t="str">
        <f t="shared" si="14"/>
        <v>Teghra</v>
      </c>
      <c r="AJ280" s="72">
        <v>0</v>
      </c>
      <c r="AK280" s="72"/>
      <c r="AL280" s="72"/>
      <c r="AM280" s="72"/>
    </row>
    <row r="281" spans="1:39" x14ac:dyDescent="0.25">
      <c r="A281" s="37" t="s">
        <v>62</v>
      </c>
      <c r="B281" s="66" t="s">
        <v>1566</v>
      </c>
      <c r="C281" s="47">
        <v>1008</v>
      </c>
      <c r="D281" s="47" t="s">
        <v>221</v>
      </c>
      <c r="E281" s="41">
        <v>10080099</v>
      </c>
      <c r="F281" s="46" t="s">
        <v>827</v>
      </c>
      <c r="G281" s="39" t="s">
        <v>93</v>
      </c>
      <c r="H281" s="48" t="s">
        <v>94</v>
      </c>
      <c r="I281" s="52">
        <v>1540.35</v>
      </c>
      <c r="J281" s="49">
        <v>49983.479999999996</v>
      </c>
      <c r="K281" s="65">
        <v>1540.1</v>
      </c>
      <c r="L281" s="65">
        <v>50381.412819209996</v>
      </c>
      <c r="M281" s="65">
        <v>0</v>
      </c>
      <c r="N281" s="65">
        <v>0</v>
      </c>
      <c r="O281" s="65">
        <v>1540.1</v>
      </c>
      <c r="P281" s="65">
        <v>50381.412819209996</v>
      </c>
      <c r="Q281" s="50">
        <v>49983.479999999996</v>
      </c>
      <c r="R281" s="65">
        <v>0</v>
      </c>
      <c r="S281" s="65">
        <v>0</v>
      </c>
      <c r="T281" s="65">
        <v>397.93281921000016</v>
      </c>
      <c r="U281" s="65">
        <v>0</v>
      </c>
      <c r="V281" s="65">
        <v>2012.8414499999985</v>
      </c>
      <c r="W281" s="65">
        <v>0</v>
      </c>
      <c r="X281" s="65">
        <v>47971</v>
      </c>
      <c r="Y281" s="65">
        <v>0</v>
      </c>
      <c r="Z281" s="65">
        <v>0</v>
      </c>
      <c r="AA281" s="51">
        <v>0</v>
      </c>
      <c r="AB281" s="102">
        <v>0</v>
      </c>
      <c r="AC281" s="81">
        <f t="shared" si="15"/>
        <v>0</v>
      </c>
      <c r="AD281" s="82">
        <f t="shared" si="16"/>
        <v>0</v>
      </c>
      <c r="AE281" s="218">
        <v>-7.9612867933565295E-3</v>
      </c>
      <c r="AF281">
        <v>2</v>
      </c>
      <c r="AH281" t="str">
        <f t="shared" si="14"/>
        <v>Teghra</v>
      </c>
      <c r="AJ281" s="72">
        <v>0</v>
      </c>
      <c r="AK281" s="72"/>
      <c r="AL281" s="72"/>
      <c r="AM281" s="72"/>
    </row>
    <row r="282" spans="1:39" x14ac:dyDescent="0.25">
      <c r="A282" s="37" t="s">
        <v>62</v>
      </c>
      <c r="B282" s="66" t="s">
        <v>1566</v>
      </c>
      <c r="C282" s="47">
        <v>1008</v>
      </c>
      <c r="D282" s="47" t="s">
        <v>221</v>
      </c>
      <c r="E282" s="41">
        <v>10080100</v>
      </c>
      <c r="F282" s="46" t="s">
        <v>1140</v>
      </c>
      <c r="G282" s="39" t="s">
        <v>93</v>
      </c>
      <c r="H282" s="48" t="s">
        <v>94</v>
      </c>
      <c r="I282" s="52">
        <v>3.7</v>
      </c>
      <c r="J282" s="49">
        <v>123.14</v>
      </c>
      <c r="K282" s="65">
        <v>3</v>
      </c>
      <c r="L282" s="65">
        <v>100.27013436000001</v>
      </c>
      <c r="M282" s="65">
        <v>0</v>
      </c>
      <c r="N282" s="65">
        <v>0</v>
      </c>
      <c r="O282" s="65">
        <v>3</v>
      </c>
      <c r="P282" s="65">
        <v>100.27013436000001</v>
      </c>
      <c r="Q282" s="50">
        <v>100.27013436000001</v>
      </c>
      <c r="R282" s="65">
        <v>0</v>
      </c>
      <c r="S282" s="65">
        <v>0</v>
      </c>
      <c r="T282" s="65">
        <v>0</v>
      </c>
      <c r="U282" s="65">
        <v>0</v>
      </c>
      <c r="V282" s="65">
        <v>100</v>
      </c>
      <c r="W282" s="65">
        <v>0</v>
      </c>
      <c r="X282" s="65">
        <v>0</v>
      </c>
      <c r="Y282" s="65">
        <v>0</v>
      </c>
      <c r="Z282" s="65">
        <v>0</v>
      </c>
      <c r="AA282" s="51">
        <v>23</v>
      </c>
      <c r="AB282" s="102" t="s">
        <v>68</v>
      </c>
      <c r="AC282" s="81">
        <f t="shared" si="15"/>
        <v>463.47233513513515</v>
      </c>
      <c r="AD282" s="82">
        <f t="shared" si="16"/>
        <v>0.52857142857142858</v>
      </c>
      <c r="AE282" s="218">
        <v>0.1857224755562773</v>
      </c>
      <c r="AF282">
        <v>1</v>
      </c>
      <c r="AH282" t="str">
        <f t="shared" si="14"/>
        <v>Teghra</v>
      </c>
      <c r="AJ282" s="72">
        <v>0</v>
      </c>
      <c r="AK282" s="72"/>
      <c r="AL282" s="72"/>
      <c r="AM282" s="72"/>
    </row>
    <row r="283" spans="1:39" x14ac:dyDescent="0.25">
      <c r="A283" s="37" t="s">
        <v>62</v>
      </c>
      <c r="B283" s="66" t="s">
        <v>1566</v>
      </c>
      <c r="C283" s="47">
        <v>1008</v>
      </c>
      <c r="D283" s="47" t="s">
        <v>221</v>
      </c>
      <c r="E283" s="41">
        <v>10080107</v>
      </c>
      <c r="F283" s="46" t="s">
        <v>325</v>
      </c>
      <c r="G283" s="39" t="s">
        <v>635</v>
      </c>
      <c r="H283" s="48" t="s">
        <v>99</v>
      </c>
      <c r="I283" s="52">
        <v>397.15</v>
      </c>
      <c r="J283" s="49">
        <v>14342.800000000001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50">
        <v>14342.800000000001</v>
      </c>
      <c r="R283" s="65">
        <v>0</v>
      </c>
      <c r="S283" s="65">
        <v>0</v>
      </c>
      <c r="T283" s="65">
        <v>0</v>
      </c>
      <c r="U283" s="65">
        <v>0</v>
      </c>
      <c r="V283" s="65">
        <v>79.460845161290152</v>
      </c>
      <c r="W283" s="65">
        <v>0</v>
      </c>
      <c r="X283" s="65">
        <v>0</v>
      </c>
      <c r="Y283" s="65">
        <v>0</v>
      </c>
      <c r="Z283" s="65">
        <v>14263.339154838712</v>
      </c>
      <c r="AA283" s="51">
        <v>0</v>
      </c>
      <c r="AB283" s="102">
        <v>0</v>
      </c>
      <c r="AC283" s="81">
        <f t="shared" si="15"/>
        <v>218.74440287045201</v>
      </c>
      <c r="AD283" s="82">
        <f t="shared" si="16"/>
        <v>56.73571428571428</v>
      </c>
      <c r="AE283" s="218">
        <v>0</v>
      </c>
      <c r="AF283">
        <v>0</v>
      </c>
      <c r="AH283" t="str">
        <f t="shared" si="14"/>
        <v>Teghra</v>
      </c>
      <c r="AJ283" s="72">
        <v>0</v>
      </c>
      <c r="AK283" s="72"/>
      <c r="AL283" s="72"/>
      <c r="AM283" s="72"/>
    </row>
    <row r="284" spans="1:39" x14ac:dyDescent="0.25">
      <c r="A284" s="37" t="s">
        <v>62</v>
      </c>
      <c r="B284" s="66" t="s">
        <v>1566</v>
      </c>
      <c r="C284" s="47">
        <v>1065</v>
      </c>
      <c r="D284" s="47" t="s">
        <v>1473</v>
      </c>
      <c r="E284" s="41">
        <v>10080112</v>
      </c>
      <c r="F284" s="46" t="s">
        <v>1221</v>
      </c>
      <c r="G284" s="39" t="s">
        <v>635</v>
      </c>
      <c r="H284" s="48" t="s">
        <v>99</v>
      </c>
      <c r="I284" s="52">
        <v>781.2</v>
      </c>
      <c r="J284" s="49">
        <v>31247.120000000003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50">
        <v>31247.120000000003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0</v>
      </c>
      <c r="X284" s="65">
        <v>0</v>
      </c>
      <c r="Y284" s="65">
        <v>0</v>
      </c>
      <c r="Z284" s="65">
        <v>31247.120000000003</v>
      </c>
      <c r="AA284" s="51">
        <v>0</v>
      </c>
      <c r="AB284" s="102">
        <v>0</v>
      </c>
      <c r="AC284" s="81">
        <f t="shared" si="15"/>
        <v>0</v>
      </c>
      <c r="AD284" s="82">
        <f t="shared" si="16"/>
        <v>0</v>
      </c>
      <c r="AE284" s="218">
        <v>0</v>
      </c>
      <c r="AF284">
        <v>0</v>
      </c>
      <c r="AH284" t="str">
        <f t="shared" si="14"/>
        <v>Bachhwara BMC</v>
      </c>
      <c r="AJ284" s="72">
        <v>0</v>
      </c>
      <c r="AK284" s="72"/>
      <c r="AL284" s="72"/>
      <c r="AM284" s="72"/>
    </row>
    <row r="285" spans="1:39" x14ac:dyDescent="0.25">
      <c r="A285" s="37" t="s">
        <v>62</v>
      </c>
      <c r="B285" s="66" t="s">
        <v>1566</v>
      </c>
      <c r="C285" s="47">
        <v>1008</v>
      </c>
      <c r="D285" s="47" t="s">
        <v>221</v>
      </c>
      <c r="E285" s="41">
        <v>10080113</v>
      </c>
      <c r="F285" s="46" t="s">
        <v>1222</v>
      </c>
      <c r="G285" s="39" t="s">
        <v>635</v>
      </c>
      <c r="H285" s="48" t="s">
        <v>99</v>
      </c>
      <c r="I285" s="52">
        <v>422.05000000000007</v>
      </c>
      <c r="J285" s="49">
        <v>15766.740000000002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50">
        <v>15766.740000000002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15766.740000000002</v>
      </c>
      <c r="AA285" s="51">
        <v>0</v>
      </c>
      <c r="AB285" s="102">
        <v>0</v>
      </c>
      <c r="AC285" s="81">
        <f t="shared" si="15"/>
        <v>207.67043634640439</v>
      </c>
      <c r="AD285" s="82">
        <f t="shared" si="16"/>
        <v>60.292857142857152</v>
      </c>
      <c r="AE285" s="218">
        <v>0</v>
      </c>
      <c r="AF285">
        <v>0</v>
      </c>
      <c r="AH285" t="str">
        <f t="shared" si="14"/>
        <v>Teghra</v>
      </c>
      <c r="AJ285" s="72">
        <v>0</v>
      </c>
      <c r="AK285" s="72"/>
      <c r="AL285" s="72"/>
      <c r="AM285" s="72"/>
    </row>
    <row r="286" spans="1:39" x14ac:dyDescent="0.25">
      <c r="A286" s="37" t="s">
        <v>62</v>
      </c>
      <c r="B286" s="66" t="s">
        <v>1566</v>
      </c>
      <c r="C286" s="47">
        <v>1008</v>
      </c>
      <c r="D286" s="47" t="s">
        <v>221</v>
      </c>
      <c r="E286" s="41">
        <v>10080115</v>
      </c>
      <c r="F286" s="46" t="s">
        <v>1265</v>
      </c>
      <c r="G286" s="39" t="s">
        <v>93</v>
      </c>
      <c r="H286" s="48" t="s">
        <v>94</v>
      </c>
      <c r="I286" s="52">
        <v>397.7</v>
      </c>
      <c r="J286" s="49">
        <v>15019.970000000001</v>
      </c>
      <c r="K286" s="65">
        <v>396</v>
      </c>
      <c r="L286" s="65">
        <v>15002.4926304</v>
      </c>
      <c r="M286" s="65">
        <v>0</v>
      </c>
      <c r="N286" s="65">
        <v>0</v>
      </c>
      <c r="O286" s="65">
        <v>396</v>
      </c>
      <c r="P286" s="65">
        <v>15002.4926304</v>
      </c>
      <c r="Q286" s="50">
        <v>15002.4926304</v>
      </c>
      <c r="R286" s="65">
        <v>0</v>
      </c>
      <c r="S286" s="65">
        <v>0</v>
      </c>
      <c r="T286" s="65">
        <v>0</v>
      </c>
      <c r="U286" s="65">
        <v>0</v>
      </c>
      <c r="V286" s="65">
        <v>828.33</v>
      </c>
      <c r="W286" s="65">
        <v>0</v>
      </c>
      <c r="X286" s="65">
        <v>14174</v>
      </c>
      <c r="Y286" s="65">
        <v>0</v>
      </c>
      <c r="Z286" s="65">
        <v>0</v>
      </c>
      <c r="AA286" s="51">
        <v>18</v>
      </c>
      <c r="AB286" s="102" t="s">
        <v>68</v>
      </c>
      <c r="AC286" s="81">
        <f t="shared" si="15"/>
        <v>228.33980040231336</v>
      </c>
      <c r="AD286" s="82">
        <f t="shared" si="16"/>
        <v>56.81428571428571</v>
      </c>
      <c r="AE286" s="218">
        <v>1.1636088221215562E-3</v>
      </c>
      <c r="AF286">
        <v>1</v>
      </c>
      <c r="AH286" t="str">
        <f t="shared" si="14"/>
        <v>Teghra</v>
      </c>
      <c r="AJ286" s="72">
        <v>0</v>
      </c>
      <c r="AK286" s="72"/>
      <c r="AL286" s="72"/>
      <c r="AM286" s="72"/>
    </row>
    <row r="287" spans="1:39" x14ac:dyDescent="0.25">
      <c r="A287" s="37" t="s">
        <v>62</v>
      </c>
      <c r="B287" s="66" t="s">
        <v>1566</v>
      </c>
      <c r="C287" s="47">
        <v>1008</v>
      </c>
      <c r="D287" s="47" t="s">
        <v>221</v>
      </c>
      <c r="E287" s="41">
        <v>10080119</v>
      </c>
      <c r="F287" s="46" t="s">
        <v>1325</v>
      </c>
      <c r="G287" s="39" t="s">
        <v>93</v>
      </c>
      <c r="H287" s="48" t="s">
        <v>94</v>
      </c>
      <c r="I287" s="52">
        <v>295.55000000000007</v>
      </c>
      <c r="J287" s="49">
        <v>10971.730000000003</v>
      </c>
      <c r="K287" s="65">
        <v>329.45</v>
      </c>
      <c r="L287" s="65">
        <v>13646.831074282083</v>
      </c>
      <c r="M287" s="65">
        <v>5.57</v>
      </c>
      <c r="N287" s="65">
        <v>206.09907199200006</v>
      </c>
      <c r="O287" s="65">
        <v>335.02</v>
      </c>
      <c r="P287" s="65">
        <v>13852.930146274084</v>
      </c>
      <c r="Q287" s="50">
        <v>10971.730000000003</v>
      </c>
      <c r="R287" s="65">
        <v>0</v>
      </c>
      <c r="S287" s="65">
        <v>0</v>
      </c>
      <c r="T287" s="65">
        <v>2881.2001462740809</v>
      </c>
      <c r="U287" s="65">
        <v>6500</v>
      </c>
      <c r="V287" s="65">
        <v>1308.3075196721311</v>
      </c>
      <c r="W287" s="65">
        <v>0</v>
      </c>
      <c r="X287" s="65">
        <v>2957</v>
      </c>
      <c r="Y287" s="65">
        <v>206</v>
      </c>
      <c r="Z287" s="65">
        <v>0</v>
      </c>
      <c r="AA287" s="51">
        <v>0</v>
      </c>
      <c r="AB287" s="102">
        <v>0</v>
      </c>
      <c r="AC287" s="81">
        <f t="shared" si="15"/>
        <v>300.28869555066819</v>
      </c>
      <c r="AD287" s="82">
        <f t="shared" si="16"/>
        <v>42.221428571428582</v>
      </c>
      <c r="AE287" s="218">
        <v>-0.26260217361109689</v>
      </c>
      <c r="AF287">
        <v>4</v>
      </c>
      <c r="AH287" t="str">
        <f t="shared" si="14"/>
        <v>Teghra</v>
      </c>
      <c r="AJ287" s="72">
        <v>0</v>
      </c>
      <c r="AK287" s="72"/>
      <c r="AL287" s="72"/>
      <c r="AM287" s="72"/>
    </row>
    <row r="288" spans="1:39" x14ac:dyDescent="0.25">
      <c r="A288" s="37" t="s">
        <v>62</v>
      </c>
      <c r="B288" s="66" t="s">
        <v>1566</v>
      </c>
      <c r="C288" s="47">
        <v>1008</v>
      </c>
      <c r="D288" s="47" t="s">
        <v>221</v>
      </c>
      <c r="E288" s="41">
        <v>10080120</v>
      </c>
      <c r="F288" s="46" t="s">
        <v>1389</v>
      </c>
      <c r="G288" s="39" t="s">
        <v>93</v>
      </c>
      <c r="H288" s="48" t="s">
        <v>94</v>
      </c>
      <c r="I288" s="52">
        <v>416.75</v>
      </c>
      <c r="J288" s="49">
        <v>15600.61</v>
      </c>
      <c r="K288" s="65">
        <v>405.09000000000009</v>
      </c>
      <c r="L288" s="65">
        <v>13749.180184415018</v>
      </c>
      <c r="M288" s="65">
        <v>46.96</v>
      </c>
      <c r="N288" s="65">
        <v>1679.8922754768003</v>
      </c>
      <c r="O288" s="65">
        <v>452.05000000000007</v>
      </c>
      <c r="P288" s="65">
        <v>15429.072459891819</v>
      </c>
      <c r="Q288" s="50">
        <v>15429.072459891819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13749</v>
      </c>
      <c r="Y288" s="65">
        <v>1680</v>
      </c>
      <c r="Z288" s="65">
        <v>0</v>
      </c>
      <c r="AA288" s="51">
        <v>172</v>
      </c>
      <c r="AB288" s="102">
        <v>0</v>
      </c>
      <c r="AC288" s="81">
        <f t="shared" si="15"/>
        <v>212.06348086382724</v>
      </c>
      <c r="AD288" s="82">
        <f t="shared" si="16"/>
        <v>59.535714285714285</v>
      </c>
      <c r="AE288" s="218">
        <v>1.0995566205948481E-2</v>
      </c>
      <c r="AF288">
        <v>9</v>
      </c>
      <c r="AH288" t="str">
        <f t="shared" si="14"/>
        <v>Teghra</v>
      </c>
      <c r="AJ288" s="72">
        <v>0</v>
      </c>
      <c r="AK288" s="72"/>
      <c r="AL288" s="72"/>
      <c r="AM288" s="72"/>
    </row>
    <row r="289" spans="1:39" x14ac:dyDescent="0.25">
      <c r="A289" s="37" t="s">
        <v>62</v>
      </c>
      <c r="B289" s="66" t="s">
        <v>1566</v>
      </c>
      <c r="C289" s="47">
        <v>1008</v>
      </c>
      <c r="D289" s="47" t="s">
        <v>221</v>
      </c>
      <c r="E289" s="41">
        <v>10080122</v>
      </c>
      <c r="F289" s="46" t="s">
        <v>1401</v>
      </c>
      <c r="G289" s="39" t="s">
        <v>93</v>
      </c>
      <c r="H289" s="48" t="s">
        <v>94</v>
      </c>
      <c r="I289" s="52">
        <v>662.55000000000007</v>
      </c>
      <c r="J289" s="49">
        <v>24683.86</v>
      </c>
      <c r="K289" s="65">
        <v>662.2</v>
      </c>
      <c r="L289" s="65">
        <v>24670.673184762003</v>
      </c>
      <c r="M289" s="65">
        <v>0</v>
      </c>
      <c r="N289" s="65">
        <v>0</v>
      </c>
      <c r="O289" s="65">
        <v>662.2</v>
      </c>
      <c r="P289" s="65">
        <v>24670.673184762003</v>
      </c>
      <c r="Q289" s="50">
        <v>24670.673184762003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24671</v>
      </c>
      <c r="Y289" s="65">
        <v>0</v>
      </c>
      <c r="Z289" s="65">
        <v>0</v>
      </c>
      <c r="AA289" s="51">
        <v>13</v>
      </c>
      <c r="AB289" s="102">
        <v>0</v>
      </c>
      <c r="AC289" s="81">
        <f t="shared" si="15"/>
        <v>27.904627786582115</v>
      </c>
      <c r="AD289" s="82">
        <f t="shared" si="16"/>
        <v>94.65</v>
      </c>
      <c r="AE289" s="218">
        <v>5.3422824623043186E-4</v>
      </c>
      <c r="AF289">
        <v>1</v>
      </c>
      <c r="AH289" t="str">
        <f t="shared" si="14"/>
        <v>Teghra</v>
      </c>
      <c r="AJ289" s="72">
        <v>0</v>
      </c>
      <c r="AK289" s="72"/>
      <c r="AL289" s="72"/>
      <c r="AM289" s="72"/>
    </row>
    <row r="290" spans="1:39" x14ac:dyDescent="0.25">
      <c r="A290" s="37" t="s">
        <v>62</v>
      </c>
      <c r="B290" s="66" t="s">
        <v>1566</v>
      </c>
      <c r="C290" s="47">
        <v>1008</v>
      </c>
      <c r="D290" s="47" t="s">
        <v>221</v>
      </c>
      <c r="E290" s="41">
        <v>10080124</v>
      </c>
      <c r="F290" s="46" t="s">
        <v>1422</v>
      </c>
      <c r="G290" s="39" t="s">
        <v>93</v>
      </c>
      <c r="H290" s="48" t="s">
        <v>94</v>
      </c>
      <c r="I290" s="52">
        <v>345.24999999999994</v>
      </c>
      <c r="J290" s="49">
        <v>13883.449999999999</v>
      </c>
      <c r="K290" s="65">
        <v>347.6</v>
      </c>
      <c r="L290" s="65">
        <v>13878.971025480003</v>
      </c>
      <c r="M290" s="65">
        <v>0</v>
      </c>
      <c r="N290" s="65">
        <v>0</v>
      </c>
      <c r="O290" s="65">
        <v>347.6</v>
      </c>
      <c r="P290" s="65">
        <v>13878.971025480003</v>
      </c>
      <c r="Q290" s="50">
        <v>13878.971025480003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13879</v>
      </c>
      <c r="Y290" s="65">
        <v>0</v>
      </c>
      <c r="Z290" s="65">
        <v>0</v>
      </c>
      <c r="AA290" s="51">
        <v>4</v>
      </c>
      <c r="AB290" s="102">
        <v>0</v>
      </c>
      <c r="AC290" s="81">
        <f t="shared" si="15"/>
        <v>285.30942143374369</v>
      </c>
      <c r="AD290" s="82">
        <f t="shared" si="16"/>
        <v>49.321428571428562</v>
      </c>
      <c r="AE290" s="218">
        <v>3.2261250049490383E-4</v>
      </c>
      <c r="AF290">
        <v>1</v>
      </c>
      <c r="AH290" t="str">
        <f t="shared" si="14"/>
        <v>Teghra</v>
      </c>
      <c r="AJ290" s="72">
        <v>0</v>
      </c>
      <c r="AK290" s="72"/>
      <c r="AL290" s="72"/>
      <c r="AM290" s="72"/>
    </row>
    <row r="291" spans="1:39" x14ac:dyDescent="0.25">
      <c r="A291" s="37" t="s">
        <v>62</v>
      </c>
      <c r="B291" s="66" t="s">
        <v>1566</v>
      </c>
      <c r="C291" s="47">
        <v>1008</v>
      </c>
      <c r="D291" s="47" t="s">
        <v>221</v>
      </c>
      <c r="E291" s="41">
        <v>10080126</v>
      </c>
      <c r="F291" s="46" t="s">
        <v>1492</v>
      </c>
      <c r="G291" s="39" t="s">
        <v>93</v>
      </c>
      <c r="H291" s="48" t="s">
        <v>94</v>
      </c>
      <c r="I291" s="52">
        <v>267.84999999999997</v>
      </c>
      <c r="J291" s="49">
        <v>9993.1</v>
      </c>
      <c r="K291" s="65">
        <v>266.5</v>
      </c>
      <c r="L291" s="65">
        <v>10026.0149418</v>
      </c>
      <c r="M291" s="65">
        <v>0</v>
      </c>
      <c r="N291" s="65">
        <v>0</v>
      </c>
      <c r="O291" s="65">
        <v>266.5</v>
      </c>
      <c r="P291" s="65">
        <v>10026.0149418</v>
      </c>
      <c r="Q291" s="50">
        <v>9993.1</v>
      </c>
      <c r="R291" s="65">
        <v>0</v>
      </c>
      <c r="S291" s="65">
        <v>0</v>
      </c>
      <c r="T291" s="65">
        <v>32.914941799999724</v>
      </c>
      <c r="U291" s="65">
        <v>0</v>
      </c>
      <c r="V291" s="65">
        <v>0</v>
      </c>
      <c r="W291" s="65">
        <v>0</v>
      </c>
      <c r="X291" s="65">
        <v>9993</v>
      </c>
      <c r="Y291" s="65">
        <v>0</v>
      </c>
      <c r="Z291" s="65">
        <v>0</v>
      </c>
      <c r="AA291" s="51">
        <v>0</v>
      </c>
      <c r="AB291" s="102">
        <v>0</v>
      </c>
      <c r="AC291" s="81">
        <f t="shared" si="15"/>
        <v>322.45795519880539</v>
      </c>
      <c r="AD291" s="82">
        <f t="shared" si="16"/>
        <v>38.264285714285712</v>
      </c>
      <c r="AE291" s="218">
        <v>-3.2937668791465833E-3</v>
      </c>
      <c r="AF291">
        <v>1</v>
      </c>
      <c r="AH291" t="str">
        <f t="shared" si="14"/>
        <v>Teghra</v>
      </c>
      <c r="AJ291" s="72">
        <v>0</v>
      </c>
      <c r="AK291" s="72"/>
      <c r="AL291" s="72"/>
      <c r="AM291" s="72"/>
    </row>
    <row r="292" spans="1:39" x14ac:dyDescent="0.25">
      <c r="A292" s="37" t="s">
        <v>62</v>
      </c>
      <c r="B292" s="66" t="s">
        <v>1566</v>
      </c>
      <c r="C292" s="47">
        <v>1009</v>
      </c>
      <c r="D292" s="47" t="s">
        <v>249</v>
      </c>
      <c r="E292" s="41">
        <v>10090001</v>
      </c>
      <c r="F292" s="46" t="s">
        <v>250</v>
      </c>
      <c r="G292" s="39" t="s">
        <v>635</v>
      </c>
      <c r="H292" s="48" t="s">
        <v>99</v>
      </c>
      <c r="I292" s="52">
        <v>372.7</v>
      </c>
      <c r="J292" s="49">
        <v>15927.79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50">
        <v>15927.79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15927.79</v>
      </c>
      <c r="AA292" s="51">
        <v>0</v>
      </c>
      <c r="AB292" s="102">
        <v>0</v>
      </c>
      <c r="AC292" s="81">
        <f t="shared" si="15"/>
        <v>279.75131027636172</v>
      </c>
      <c r="AD292" s="82">
        <f t="shared" si="16"/>
        <v>53.24285714285714</v>
      </c>
      <c r="AE292" s="218">
        <v>0</v>
      </c>
      <c r="AF292">
        <v>0</v>
      </c>
      <c r="AH292" t="str">
        <f t="shared" si="14"/>
        <v>Halsi</v>
      </c>
      <c r="AJ292" s="72">
        <v>0</v>
      </c>
      <c r="AK292" s="72"/>
      <c r="AL292" s="72"/>
      <c r="AM292" s="72"/>
    </row>
    <row r="293" spans="1:39" x14ac:dyDescent="0.25">
      <c r="A293" s="37" t="s">
        <v>62</v>
      </c>
      <c r="B293" s="66" t="s">
        <v>1566</v>
      </c>
      <c r="C293" s="47">
        <v>1009</v>
      </c>
      <c r="D293" s="47" t="s">
        <v>249</v>
      </c>
      <c r="E293" s="41">
        <v>10090002</v>
      </c>
      <c r="F293" s="46" t="s">
        <v>251</v>
      </c>
      <c r="G293" s="39" t="s">
        <v>93</v>
      </c>
      <c r="H293" s="48" t="s">
        <v>94</v>
      </c>
      <c r="I293" s="52">
        <v>1931.7</v>
      </c>
      <c r="J293" s="49">
        <v>80282.8</v>
      </c>
      <c r="K293" s="65">
        <v>1385.05</v>
      </c>
      <c r="L293" s="65">
        <v>58254.939028394227</v>
      </c>
      <c r="M293" s="65">
        <v>544.78000000000009</v>
      </c>
      <c r="N293" s="65">
        <v>22769.359783944452</v>
      </c>
      <c r="O293" s="65">
        <v>1929.83</v>
      </c>
      <c r="P293" s="65">
        <v>81024.298812338675</v>
      </c>
      <c r="Q293" s="50">
        <v>80282.8</v>
      </c>
      <c r="R293" s="65">
        <v>0</v>
      </c>
      <c r="S293" s="65">
        <v>582.60627453600023</v>
      </c>
      <c r="T293" s="65">
        <v>741.498812338672</v>
      </c>
      <c r="U293" s="65">
        <v>0</v>
      </c>
      <c r="V293" s="65">
        <v>0</v>
      </c>
      <c r="W293" s="65">
        <v>0</v>
      </c>
      <c r="X293" s="65">
        <v>57514</v>
      </c>
      <c r="Y293" s="65">
        <v>22186</v>
      </c>
      <c r="Z293" s="65">
        <v>0</v>
      </c>
      <c r="AA293" s="51">
        <v>0</v>
      </c>
      <c r="AB293" s="102">
        <v>0</v>
      </c>
      <c r="AC293" s="81">
        <f t="shared" si="15"/>
        <v>0</v>
      </c>
      <c r="AD293" s="82">
        <f t="shared" si="16"/>
        <v>0</v>
      </c>
      <c r="AE293" s="218">
        <v>-9.2360855916668576E-3</v>
      </c>
      <c r="AF293">
        <v>14</v>
      </c>
      <c r="AH293" t="str">
        <f t="shared" si="14"/>
        <v>Halsi</v>
      </c>
      <c r="AJ293" s="72">
        <v>0</v>
      </c>
      <c r="AK293" s="72"/>
      <c r="AL293" s="72"/>
      <c r="AM293" s="72"/>
    </row>
    <row r="294" spans="1:39" x14ac:dyDescent="0.25">
      <c r="A294" s="37" t="s">
        <v>62</v>
      </c>
      <c r="B294" s="66" t="s">
        <v>1566</v>
      </c>
      <c r="C294" s="47">
        <v>1009</v>
      </c>
      <c r="D294" s="47" t="s">
        <v>249</v>
      </c>
      <c r="E294" s="41">
        <v>10090003</v>
      </c>
      <c r="F294" s="104" t="s">
        <v>252</v>
      </c>
      <c r="G294" s="105" t="s">
        <v>93</v>
      </c>
      <c r="H294" s="48" t="s">
        <v>94</v>
      </c>
      <c r="I294" s="106">
        <v>107.29999999999998</v>
      </c>
      <c r="J294" s="49">
        <v>3606.5900000000006</v>
      </c>
      <c r="K294" s="107">
        <v>105.69999999999999</v>
      </c>
      <c r="L294" s="107">
        <v>3594.9192899400005</v>
      </c>
      <c r="M294" s="107">
        <v>0.7</v>
      </c>
      <c r="N294" s="107">
        <v>23.816171412000006</v>
      </c>
      <c r="O294" s="107">
        <v>106.39999999999999</v>
      </c>
      <c r="P294" s="107">
        <v>3618.7354613520006</v>
      </c>
      <c r="Q294" s="108">
        <v>3606.5900000000006</v>
      </c>
      <c r="R294" s="65">
        <v>0</v>
      </c>
      <c r="S294" s="65">
        <v>23.816171412000006</v>
      </c>
      <c r="T294" s="107">
        <v>12.145461351999984</v>
      </c>
      <c r="U294" s="65">
        <v>0</v>
      </c>
      <c r="V294" s="65">
        <v>69.839980645161333</v>
      </c>
      <c r="W294" s="65">
        <v>0</v>
      </c>
      <c r="X294" s="65">
        <v>3513</v>
      </c>
      <c r="Y294" s="65">
        <v>0</v>
      </c>
      <c r="Z294" s="65">
        <v>0</v>
      </c>
      <c r="AA294" s="51">
        <v>0</v>
      </c>
      <c r="AB294" s="102">
        <v>0</v>
      </c>
      <c r="AC294" s="81">
        <f t="shared" si="15"/>
        <v>398.43912264678488</v>
      </c>
      <c r="AD294" s="82">
        <f t="shared" si="16"/>
        <v>15.328571428571426</v>
      </c>
      <c r="AE294" s="218">
        <v>-3.3675747318103752E-3</v>
      </c>
      <c r="AF294">
        <v>3</v>
      </c>
      <c r="AH294" t="str">
        <f t="shared" si="14"/>
        <v>Halsi</v>
      </c>
      <c r="AJ294" s="72">
        <v>0</v>
      </c>
      <c r="AK294" s="72"/>
      <c r="AL294" s="72"/>
      <c r="AM294" s="72"/>
    </row>
    <row r="295" spans="1:39" x14ac:dyDescent="0.25">
      <c r="A295" s="37" t="s">
        <v>62</v>
      </c>
      <c r="B295" s="66" t="s">
        <v>1566</v>
      </c>
      <c r="C295" s="47">
        <v>1009</v>
      </c>
      <c r="D295" s="47" t="s">
        <v>249</v>
      </c>
      <c r="E295" s="41">
        <v>10090005</v>
      </c>
      <c r="F295" s="46" t="s">
        <v>253</v>
      </c>
      <c r="G295" s="39" t="s">
        <v>635</v>
      </c>
      <c r="H295" s="48" t="s">
        <v>99</v>
      </c>
      <c r="I295" s="52">
        <v>188.99999999999997</v>
      </c>
      <c r="J295" s="49">
        <v>8095.0099999999993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50">
        <v>8095.0099999999993</v>
      </c>
      <c r="R295" s="65">
        <v>0</v>
      </c>
      <c r="S295" s="65">
        <v>0</v>
      </c>
      <c r="T295" s="65">
        <v>0</v>
      </c>
      <c r="U295" s="65">
        <v>0</v>
      </c>
      <c r="V295" s="65">
        <v>186.25523225806461</v>
      </c>
      <c r="W295" s="65">
        <v>0</v>
      </c>
      <c r="X295" s="65">
        <v>0</v>
      </c>
      <c r="Y295" s="65">
        <v>0</v>
      </c>
      <c r="Z295" s="65">
        <v>7908.7547677419343</v>
      </c>
      <c r="AA295" s="51">
        <v>0</v>
      </c>
      <c r="AB295" s="102">
        <v>0</v>
      </c>
      <c r="AC295" s="81">
        <f t="shared" si="15"/>
        <v>437.73017037037039</v>
      </c>
      <c r="AD295" s="82">
        <f t="shared" si="16"/>
        <v>26.999999999999996</v>
      </c>
      <c r="AE295" s="218">
        <v>0</v>
      </c>
      <c r="AF295">
        <v>0</v>
      </c>
      <c r="AH295" t="str">
        <f t="shared" si="14"/>
        <v>Halsi</v>
      </c>
      <c r="AJ295" s="72">
        <v>0</v>
      </c>
      <c r="AK295" s="72"/>
      <c r="AL295" s="72"/>
      <c r="AM295" s="72"/>
    </row>
    <row r="296" spans="1:39" x14ac:dyDescent="0.25">
      <c r="A296" s="37" t="s">
        <v>62</v>
      </c>
      <c r="B296" s="66" t="s">
        <v>1566</v>
      </c>
      <c r="C296" s="47">
        <v>1009</v>
      </c>
      <c r="D296" s="47" t="s">
        <v>249</v>
      </c>
      <c r="E296" s="41">
        <v>10090006</v>
      </c>
      <c r="F296" s="46" t="s">
        <v>254</v>
      </c>
      <c r="G296" s="39" t="s">
        <v>93</v>
      </c>
      <c r="H296" s="48" t="s">
        <v>94</v>
      </c>
      <c r="I296" s="52">
        <v>1536.4999999999998</v>
      </c>
      <c r="J296" s="49">
        <v>60019.139999999992</v>
      </c>
      <c r="K296" s="65">
        <v>1530.1000000000001</v>
      </c>
      <c r="L296" s="65">
        <v>62696.396559448593</v>
      </c>
      <c r="M296" s="65">
        <v>0</v>
      </c>
      <c r="N296" s="65">
        <v>0</v>
      </c>
      <c r="O296" s="65">
        <v>1530.1000000000001</v>
      </c>
      <c r="P296" s="65">
        <v>62696.396559448593</v>
      </c>
      <c r="Q296" s="50">
        <v>60019.139999999992</v>
      </c>
      <c r="R296" s="65">
        <v>0</v>
      </c>
      <c r="S296" s="65">
        <v>0</v>
      </c>
      <c r="T296" s="65">
        <v>2677.2565594486005</v>
      </c>
      <c r="U296" s="65">
        <v>0</v>
      </c>
      <c r="V296" s="65">
        <v>0</v>
      </c>
      <c r="W296" s="65">
        <v>0</v>
      </c>
      <c r="X296" s="65">
        <v>60019</v>
      </c>
      <c r="Y296" s="65">
        <v>0</v>
      </c>
      <c r="Z296" s="65">
        <v>0</v>
      </c>
      <c r="AA296" s="51">
        <v>0</v>
      </c>
      <c r="AB296" s="102">
        <v>0</v>
      </c>
      <c r="AC296" s="81">
        <f t="shared" si="15"/>
        <v>0</v>
      </c>
      <c r="AD296" s="82">
        <f t="shared" si="16"/>
        <v>0</v>
      </c>
      <c r="AE296" s="218">
        <v>-4.460671311599268E-2</v>
      </c>
      <c r="AF296">
        <v>10</v>
      </c>
      <c r="AH296" t="str">
        <f t="shared" si="14"/>
        <v>Halsi</v>
      </c>
      <c r="AJ296" s="72">
        <v>0</v>
      </c>
      <c r="AK296" s="72"/>
      <c r="AL296" s="72"/>
      <c r="AM296" s="72"/>
    </row>
    <row r="297" spans="1:39" x14ac:dyDescent="0.25">
      <c r="A297" s="37" t="s">
        <v>62</v>
      </c>
      <c r="B297" s="66" t="s">
        <v>1566</v>
      </c>
      <c r="C297" s="47">
        <v>1009</v>
      </c>
      <c r="D297" s="47" t="s">
        <v>249</v>
      </c>
      <c r="E297" s="41">
        <v>10090007</v>
      </c>
      <c r="F297" s="46" t="s">
        <v>255</v>
      </c>
      <c r="G297" s="39" t="s">
        <v>93</v>
      </c>
      <c r="H297" s="48" t="s">
        <v>94</v>
      </c>
      <c r="I297" s="52">
        <v>393.59999999999997</v>
      </c>
      <c r="J297" s="49">
        <v>13754.9</v>
      </c>
      <c r="K297" s="65">
        <v>435.5</v>
      </c>
      <c r="L297" s="65">
        <v>15394.5020394</v>
      </c>
      <c r="M297" s="65">
        <v>0</v>
      </c>
      <c r="N297" s="65">
        <v>0</v>
      </c>
      <c r="O297" s="65">
        <v>435.5</v>
      </c>
      <c r="P297" s="65">
        <v>15394.5020394</v>
      </c>
      <c r="Q297" s="50">
        <v>13754.9</v>
      </c>
      <c r="R297" s="65">
        <v>0</v>
      </c>
      <c r="S297" s="65">
        <v>0</v>
      </c>
      <c r="T297" s="65">
        <v>1639.6020394000006</v>
      </c>
      <c r="U297" s="65">
        <v>0</v>
      </c>
      <c r="V297" s="65">
        <v>3.2908500000001695</v>
      </c>
      <c r="W297" s="65">
        <v>0</v>
      </c>
      <c r="X297" s="65">
        <v>13752</v>
      </c>
      <c r="Y297" s="65">
        <v>0</v>
      </c>
      <c r="Z297" s="65">
        <v>0</v>
      </c>
      <c r="AA297" s="51">
        <v>0</v>
      </c>
      <c r="AB297" s="102">
        <v>0</v>
      </c>
      <c r="AC297" s="81">
        <f t="shared" si="15"/>
        <v>214.15149186991871</v>
      </c>
      <c r="AD297" s="82">
        <f t="shared" si="16"/>
        <v>56.228571428571421</v>
      </c>
      <c r="AE297" s="218">
        <v>-0.11920130567288753</v>
      </c>
      <c r="AF297">
        <v>1</v>
      </c>
      <c r="AH297" t="str">
        <f t="shared" si="14"/>
        <v>Halsi</v>
      </c>
      <c r="AJ297" s="72">
        <v>0</v>
      </c>
      <c r="AK297" s="72"/>
      <c r="AL297" s="72"/>
      <c r="AM297" s="72"/>
    </row>
    <row r="298" spans="1:39" x14ac:dyDescent="0.25">
      <c r="A298" s="37" t="s">
        <v>62</v>
      </c>
      <c r="B298" s="66" t="s">
        <v>1566</v>
      </c>
      <c r="C298" s="47">
        <v>1009</v>
      </c>
      <c r="D298" s="47" t="s">
        <v>249</v>
      </c>
      <c r="E298" s="41">
        <v>10090008</v>
      </c>
      <c r="F298" s="104" t="s">
        <v>256</v>
      </c>
      <c r="G298" s="105" t="s">
        <v>93</v>
      </c>
      <c r="H298" s="48" t="s">
        <v>94</v>
      </c>
      <c r="I298" s="106">
        <v>936.49999999999989</v>
      </c>
      <c r="J298" s="49">
        <v>36212.429999999993</v>
      </c>
      <c r="K298" s="107">
        <v>957.50000000000011</v>
      </c>
      <c r="L298" s="107">
        <v>35424.476866121164</v>
      </c>
      <c r="M298" s="107">
        <v>12.700000000000001</v>
      </c>
      <c r="N298" s="107">
        <v>457.73615448000004</v>
      </c>
      <c r="O298" s="107">
        <v>970.20000000000016</v>
      </c>
      <c r="P298" s="107">
        <v>35882.213020601164</v>
      </c>
      <c r="Q298" s="108">
        <v>35882.213020601164</v>
      </c>
      <c r="R298" s="65">
        <v>0</v>
      </c>
      <c r="S298" s="65">
        <v>457.73615448000004</v>
      </c>
      <c r="T298" s="107">
        <v>0</v>
      </c>
      <c r="U298" s="65">
        <v>0</v>
      </c>
      <c r="V298" s="65">
        <v>0</v>
      </c>
      <c r="W298" s="65">
        <v>0</v>
      </c>
      <c r="X298" s="65">
        <v>35422</v>
      </c>
      <c r="Y298" s="65">
        <v>0</v>
      </c>
      <c r="Z298" s="65">
        <v>0</v>
      </c>
      <c r="AA298" s="51">
        <v>333</v>
      </c>
      <c r="AB298" s="102">
        <v>0</v>
      </c>
      <c r="AC298" s="81">
        <f t="shared" si="15"/>
        <v>0</v>
      </c>
      <c r="AD298" s="82">
        <f t="shared" si="16"/>
        <v>0</v>
      </c>
      <c r="AE298" s="218">
        <v>9.1188848524892899E-3</v>
      </c>
      <c r="AF298">
        <v>29</v>
      </c>
      <c r="AH298" t="str">
        <f t="shared" si="14"/>
        <v>Halsi</v>
      </c>
      <c r="AJ298" s="72">
        <v>0</v>
      </c>
      <c r="AK298" s="72"/>
      <c r="AL298" s="72"/>
      <c r="AM298" s="72"/>
    </row>
    <row r="299" spans="1:39" x14ac:dyDescent="0.25">
      <c r="A299" s="37" t="s">
        <v>62</v>
      </c>
      <c r="B299" s="66" t="s">
        <v>1566</v>
      </c>
      <c r="C299" s="47">
        <v>1009</v>
      </c>
      <c r="D299" s="47" t="s">
        <v>249</v>
      </c>
      <c r="E299" s="41">
        <v>10090009</v>
      </c>
      <c r="F299" s="46" t="s">
        <v>257</v>
      </c>
      <c r="G299" s="39" t="s">
        <v>93</v>
      </c>
      <c r="H299" s="48" t="s">
        <v>94</v>
      </c>
      <c r="I299" s="52">
        <v>598.20000000000016</v>
      </c>
      <c r="J299" s="49">
        <v>23593.59</v>
      </c>
      <c r="K299" s="65">
        <v>642.20000000000005</v>
      </c>
      <c r="L299" s="65">
        <v>25887.039583330403</v>
      </c>
      <c r="M299" s="65">
        <v>6.1000000000000005</v>
      </c>
      <c r="N299" s="65">
        <v>253.69761779999999</v>
      </c>
      <c r="O299" s="65">
        <v>648.30000000000007</v>
      </c>
      <c r="P299" s="65">
        <v>26140.737201130403</v>
      </c>
      <c r="Q299" s="50">
        <v>23593.59</v>
      </c>
      <c r="R299" s="65">
        <v>0</v>
      </c>
      <c r="S299" s="65">
        <v>253.69761779999999</v>
      </c>
      <c r="T299" s="65">
        <v>2547.1472011304031</v>
      </c>
      <c r="U299" s="65">
        <v>0</v>
      </c>
      <c r="V299" s="65">
        <v>0</v>
      </c>
      <c r="W299" s="65">
        <v>0</v>
      </c>
      <c r="X299" s="65">
        <v>23340</v>
      </c>
      <c r="Y299" s="65">
        <v>0</v>
      </c>
      <c r="Z299" s="65">
        <v>0</v>
      </c>
      <c r="AA299" s="51">
        <v>0</v>
      </c>
      <c r="AB299" s="102">
        <v>0</v>
      </c>
      <c r="AC299" s="81">
        <f t="shared" si="15"/>
        <v>80.30182086258759</v>
      </c>
      <c r="AD299" s="82">
        <f t="shared" si="16"/>
        <v>85.457142857142884</v>
      </c>
      <c r="AE299" s="218">
        <v>-0.10795928899037421</v>
      </c>
      <c r="AF299">
        <v>12</v>
      </c>
      <c r="AH299" t="str">
        <f t="shared" si="14"/>
        <v>Halsi</v>
      </c>
      <c r="AJ299" s="72">
        <v>0</v>
      </c>
      <c r="AK299" s="72"/>
      <c r="AL299" s="72"/>
      <c r="AM299" s="72"/>
    </row>
    <row r="300" spans="1:39" x14ac:dyDescent="0.25">
      <c r="A300" s="37" t="s">
        <v>62</v>
      </c>
      <c r="B300" s="66" t="s">
        <v>1566</v>
      </c>
      <c r="C300" s="47">
        <v>1009</v>
      </c>
      <c r="D300" s="47" t="s">
        <v>249</v>
      </c>
      <c r="E300" s="41">
        <v>10090011</v>
      </c>
      <c r="F300" s="46" t="s">
        <v>258</v>
      </c>
      <c r="G300" s="39" t="s">
        <v>635</v>
      </c>
      <c r="H300" s="48" t="s">
        <v>99</v>
      </c>
      <c r="I300" s="52">
        <v>895.80000000000018</v>
      </c>
      <c r="J300" s="49">
        <v>32860.450000000004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50">
        <v>32860.450000000004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32860.450000000004</v>
      </c>
      <c r="AA300" s="51">
        <v>0</v>
      </c>
      <c r="AB300" s="102">
        <v>0</v>
      </c>
      <c r="AC300" s="81">
        <f t="shared" si="15"/>
        <v>0</v>
      </c>
      <c r="AD300" s="82">
        <f t="shared" si="16"/>
        <v>0</v>
      </c>
      <c r="AE300" s="218">
        <v>0</v>
      </c>
      <c r="AF300">
        <v>0</v>
      </c>
      <c r="AH300" t="str">
        <f t="shared" si="14"/>
        <v>Halsi</v>
      </c>
      <c r="AJ300" s="72">
        <v>0</v>
      </c>
      <c r="AK300" s="72"/>
      <c r="AL300" s="72"/>
      <c r="AM300" s="72"/>
    </row>
    <row r="301" spans="1:39" x14ac:dyDescent="0.25">
      <c r="A301" s="37" t="s">
        <v>62</v>
      </c>
      <c r="B301" s="66" t="s">
        <v>1566</v>
      </c>
      <c r="C301" s="47">
        <v>1009</v>
      </c>
      <c r="D301" s="47" t="s">
        <v>249</v>
      </c>
      <c r="E301" s="41">
        <v>10090012</v>
      </c>
      <c r="F301" s="104" t="s">
        <v>259</v>
      </c>
      <c r="G301" s="105" t="s">
        <v>635</v>
      </c>
      <c r="H301" s="48" t="s">
        <v>99</v>
      </c>
      <c r="I301" s="106">
        <v>1197</v>
      </c>
      <c r="J301" s="49">
        <v>43909.020000000004</v>
      </c>
      <c r="K301" s="107">
        <v>0</v>
      </c>
      <c r="L301" s="107">
        <v>0</v>
      </c>
      <c r="M301" s="107">
        <v>0</v>
      </c>
      <c r="N301" s="107">
        <v>0</v>
      </c>
      <c r="O301" s="107">
        <v>0</v>
      </c>
      <c r="P301" s="107">
        <v>0</v>
      </c>
      <c r="Q301" s="108">
        <v>43909.020000000004</v>
      </c>
      <c r="R301" s="65">
        <v>0</v>
      </c>
      <c r="S301" s="65">
        <v>0</v>
      </c>
      <c r="T301" s="107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43909.020000000004</v>
      </c>
      <c r="AA301" s="51">
        <v>0</v>
      </c>
      <c r="AB301" s="102">
        <v>0</v>
      </c>
      <c r="AC301" s="81">
        <f t="shared" si="15"/>
        <v>0</v>
      </c>
      <c r="AD301" s="82">
        <f t="shared" si="16"/>
        <v>0</v>
      </c>
      <c r="AE301" s="218">
        <v>0</v>
      </c>
      <c r="AF301">
        <v>0</v>
      </c>
      <c r="AH301" t="str">
        <f t="shared" si="14"/>
        <v>Halsi</v>
      </c>
      <c r="AJ301" s="72">
        <v>0</v>
      </c>
      <c r="AK301" s="72"/>
      <c r="AL301" s="72"/>
      <c r="AM301" s="72"/>
    </row>
    <row r="302" spans="1:39" x14ac:dyDescent="0.25">
      <c r="A302" s="37" t="s">
        <v>62</v>
      </c>
      <c r="B302" s="66" t="s">
        <v>1566</v>
      </c>
      <c r="C302" s="47">
        <v>1009</v>
      </c>
      <c r="D302" s="47" t="s">
        <v>249</v>
      </c>
      <c r="E302" s="41">
        <v>10090014</v>
      </c>
      <c r="F302" s="46" t="s">
        <v>260</v>
      </c>
      <c r="G302" s="39" t="s">
        <v>635</v>
      </c>
      <c r="H302" s="48" t="s">
        <v>99</v>
      </c>
      <c r="I302" s="52">
        <v>849.50000000000011</v>
      </c>
      <c r="J302" s="49">
        <v>32876.54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50">
        <v>32876.54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0</v>
      </c>
      <c r="Y302" s="65">
        <v>0</v>
      </c>
      <c r="Z302" s="65">
        <v>32876.54</v>
      </c>
      <c r="AA302" s="51">
        <v>0</v>
      </c>
      <c r="AB302" s="102">
        <v>0</v>
      </c>
      <c r="AC302" s="81">
        <f t="shared" si="15"/>
        <v>0</v>
      </c>
      <c r="AD302" s="82">
        <f t="shared" si="16"/>
        <v>0</v>
      </c>
      <c r="AE302" s="218">
        <v>0</v>
      </c>
      <c r="AF302">
        <v>0</v>
      </c>
      <c r="AH302" t="str">
        <f t="shared" si="14"/>
        <v>Halsi</v>
      </c>
      <c r="AJ302" s="72">
        <v>0</v>
      </c>
      <c r="AK302" s="72"/>
      <c r="AL302" s="72"/>
      <c r="AM302" s="72"/>
    </row>
    <row r="303" spans="1:39" x14ac:dyDescent="0.25">
      <c r="A303" s="37" t="s">
        <v>62</v>
      </c>
      <c r="B303" s="66" t="s">
        <v>1566</v>
      </c>
      <c r="C303" s="47">
        <v>1009</v>
      </c>
      <c r="D303" s="47" t="s">
        <v>249</v>
      </c>
      <c r="E303" s="41">
        <v>10090015</v>
      </c>
      <c r="F303" s="46" t="s">
        <v>261</v>
      </c>
      <c r="G303" s="39" t="s">
        <v>635</v>
      </c>
      <c r="H303" s="48" t="s">
        <v>99</v>
      </c>
      <c r="I303" s="52">
        <v>500.7</v>
      </c>
      <c r="J303" s="49">
        <v>20742.759999999998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50">
        <v>20742.759999999998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20742.759999999998</v>
      </c>
      <c r="AA303" s="51">
        <v>0</v>
      </c>
      <c r="AB303" s="102">
        <v>0</v>
      </c>
      <c r="AC303" s="81">
        <f t="shared" si="15"/>
        <v>165.13010057918913</v>
      </c>
      <c r="AD303" s="82">
        <f t="shared" si="16"/>
        <v>71.528571428571425</v>
      </c>
      <c r="AE303" s="218">
        <v>0</v>
      </c>
      <c r="AF303">
        <v>0</v>
      </c>
      <c r="AH303" t="str">
        <f t="shared" si="14"/>
        <v>Halsi</v>
      </c>
      <c r="AJ303" s="72">
        <v>0</v>
      </c>
      <c r="AK303" s="72"/>
      <c r="AL303" s="72"/>
      <c r="AM303" s="72"/>
    </row>
    <row r="304" spans="1:39" x14ac:dyDescent="0.25">
      <c r="A304" s="37" t="s">
        <v>62</v>
      </c>
      <c r="B304" s="66" t="s">
        <v>1566</v>
      </c>
      <c r="C304" s="47">
        <v>1009</v>
      </c>
      <c r="D304" s="47" t="s">
        <v>249</v>
      </c>
      <c r="E304" s="41">
        <v>10090017</v>
      </c>
      <c r="F304" s="46" t="s">
        <v>262</v>
      </c>
      <c r="G304" s="39" t="s">
        <v>635</v>
      </c>
      <c r="H304" s="48" t="s">
        <v>99</v>
      </c>
      <c r="I304" s="52">
        <v>4958.1000000000004</v>
      </c>
      <c r="J304" s="49">
        <v>172610.71999999997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50">
        <v>172610.71999999997</v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r="W304" s="65">
        <v>0</v>
      </c>
      <c r="X304" s="65">
        <v>0</v>
      </c>
      <c r="Y304" s="65">
        <v>0</v>
      </c>
      <c r="Z304" s="65">
        <v>172610.71999999997</v>
      </c>
      <c r="AA304" s="51">
        <v>0</v>
      </c>
      <c r="AB304" s="102">
        <v>0</v>
      </c>
      <c r="AC304" s="81">
        <f t="shared" si="15"/>
        <v>0</v>
      </c>
      <c r="AD304" s="82">
        <f t="shared" si="16"/>
        <v>0</v>
      </c>
      <c r="AE304" s="218">
        <v>0</v>
      </c>
      <c r="AF304">
        <v>0</v>
      </c>
      <c r="AH304" t="str">
        <f t="shared" si="14"/>
        <v>Halsi</v>
      </c>
      <c r="AJ304" s="72">
        <v>0</v>
      </c>
      <c r="AK304" s="72"/>
      <c r="AL304" s="72"/>
      <c r="AM304" s="72"/>
    </row>
    <row r="305" spans="1:39" x14ac:dyDescent="0.25">
      <c r="A305" s="37" t="s">
        <v>62</v>
      </c>
      <c r="B305" s="66" t="s">
        <v>1566</v>
      </c>
      <c r="C305" s="47">
        <v>1009</v>
      </c>
      <c r="D305" s="47" t="s">
        <v>249</v>
      </c>
      <c r="E305" s="41">
        <v>10090018</v>
      </c>
      <c r="F305" s="46" t="s">
        <v>1200</v>
      </c>
      <c r="G305" s="39" t="s">
        <v>635</v>
      </c>
      <c r="H305" s="48" t="s">
        <v>99</v>
      </c>
      <c r="I305" s="52">
        <v>112.60000000000001</v>
      </c>
      <c r="J305" s="49">
        <v>3760.5399999999995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50">
        <v>3760.5399999999995</v>
      </c>
      <c r="R305" s="65">
        <v>0</v>
      </c>
      <c r="S305" s="65">
        <v>0</v>
      </c>
      <c r="T305" s="65">
        <v>0</v>
      </c>
      <c r="U305" s="65">
        <v>0</v>
      </c>
      <c r="V305" s="65">
        <v>153.26798709677422</v>
      </c>
      <c r="W305" s="65">
        <v>0</v>
      </c>
      <c r="X305" s="65">
        <v>0</v>
      </c>
      <c r="Y305" s="65">
        <v>0</v>
      </c>
      <c r="Z305" s="65">
        <v>3607.2720129032255</v>
      </c>
      <c r="AA305" s="51">
        <v>0</v>
      </c>
      <c r="AB305" s="102">
        <v>0</v>
      </c>
      <c r="AC305" s="81">
        <f t="shared" si="15"/>
        <v>392.35189982238001</v>
      </c>
      <c r="AD305" s="82">
        <f t="shared" si="16"/>
        <v>16.085714285714285</v>
      </c>
      <c r="AE305" s="218">
        <v>0</v>
      </c>
      <c r="AF305">
        <v>0</v>
      </c>
      <c r="AH305" t="str">
        <f t="shared" si="14"/>
        <v>Halsi</v>
      </c>
      <c r="AJ305" s="72">
        <v>0</v>
      </c>
      <c r="AK305" s="72"/>
      <c r="AL305" s="72"/>
      <c r="AM305" s="72"/>
    </row>
    <row r="306" spans="1:39" x14ac:dyDescent="0.25">
      <c r="A306" s="37" t="s">
        <v>62</v>
      </c>
      <c r="B306" s="66" t="s">
        <v>1566</v>
      </c>
      <c r="C306" s="47">
        <v>1009</v>
      </c>
      <c r="D306" s="47" t="s">
        <v>249</v>
      </c>
      <c r="E306" s="41">
        <v>10090021</v>
      </c>
      <c r="F306" s="46" t="s">
        <v>263</v>
      </c>
      <c r="G306" s="39" t="s">
        <v>93</v>
      </c>
      <c r="H306" s="48" t="s">
        <v>94</v>
      </c>
      <c r="I306" s="52">
        <v>806.9</v>
      </c>
      <c r="J306" s="49">
        <v>32209.129999999997</v>
      </c>
      <c r="K306" s="65">
        <v>1061.3</v>
      </c>
      <c r="L306" s="65">
        <v>43972.617127154605</v>
      </c>
      <c r="M306" s="65">
        <v>2.5000000000000004</v>
      </c>
      <c r="N306" s="65">
        <v>101.51924935290002</v>
      </c>
      <c r="O306" s="65">
        <v>1063.8</v>
      </c>
      <c r="P306" s="65">
        <v>44074.136376507508</v>
      </c>
      <c r="Q306" s="50">
        <v>32209.129999999997</v>
      </c>
      <c r="R306" s="65">
        <v>0</v>
      </c>
      <c r="S306" s="65">
        <v>101.51924935290002</v>
      </c>
      <c r="T306" s="65">
        <v>11865.00637650751</v>
      </c>
      <c r="U306" s="65">
        <v>0</v>
      </c>
      <c r="V306" s="65">
        <v>0</v>
      </c>
      <c r="W306" s="65">
        <v>0</v>
      </c>
      <c r="X306" s="65">
        <v>32108</v>
      </c>
      <c r="Y306" s="65">
        <v>0</v>
      </c>
      <c r="Z306" s="65">
        <v>0</v>
      </c>
      <c r="AA306" s="51">
        <v>0</v>
      </c>
      <c r="AB306" s="102">
        <v>0</v>
      </c>
      <c r="AC306" s="81">
        <f t="shared" si="15"/>
        <v>0</v>
      </c>
      <c r="AD306" s="82">
        <f t="shared" si="16"/>
        <v>0</v>
      </c>
      <c r="AE306" s="218">
        <v>-0.36837400999367292</v>
      </c>
      <c r="AF306">
        <v>4</v>
      </c>
      <c r="AH306" t="str">
        <f t="shared" si="14"/>
        <v>Halsi</v>
      </c>
      <c r="AJ306" s="72">
        <v>0</v>
      </c>
      <c r="AK306" s="72"/>
      <c r="AL306" s="72"/>
      <c r="AM306" s="72"/>
    </row>
    <row r="307" spans="1:39" x14ac:dyDescent="0.25">
      <c r="A307" s="37" t="s">
        <v>62</v>
      </c>
      <c r="B307" s="66" t="s">
        <v>1566</v>
      </c>
      <c r="C307" s="47">
        <v>1009</v>
      </c>
      <c r="D307" s="47" t="s">
        <v>249</v>
      </c>
      <c r="E307" s="41">
        <v>10090022</v>
      </c>
      <c r="F307" s="46" t="s">
        <v>264</v>
      </c>
      <c r="G307" s="39" t="s">
        <v>635</v>
      </c>
      <c r="H307" s="48" t="s">
        <v>99</v>
      </c>
      <c r="I307" s="52">
        <v>467.2</v>
      </c>
      <c r="J307" s="49">
        <v>18145.73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50">
        <v>18145.73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0</v>
      </c>
      <c r="Y307" s="65">
        <v>0</v>
      </c>
      <c r="Z307" s="65">
        <v>18145.73</v>
      </c>
      <c r="AA307" s="51">
        <v>0</v>
      </c>
      <c r="AB307" s="102">
        <v>0</v>
      </c>
      <c r="AC307" s="81">
        <f t="shared" si="15"/>
        <v>180.83587089041092</v>
      </c>
      <c r="AD307" s="82">
        <f t="shared" si="16"/>
        <v>66.742857142857147</v>
      </c>
      <c r="AE307" s="218">
        <v>0</v>
      </c>
      <c r="AF307">
        <v>0</v>
      </c>
      <c r="AH307" t="str">
        <f t="shared" si="14"/>
        <v>Halsi</v>
      </c>
      <c r="AJ307" s="72">
        <v>0</v>
      </c>
      <c r="AK307" s="72"/>
      <c r="AL307" s="72"/>
      <c r="AM307" s="72"/>
    </row>
    <row r="308" spans="1:39" x14ac:dyDescent="0.25">
      <c r="A308" s="37" t="s">
        <v>62</v>
      </c>
      <c r="B308" s="66" t="s">
        <v>1566</v>
      </c>
      <c r="C308" s="47">
        <v>1009</v>
      </c>
      <c r="D308" s="47" t="s">
        <v>249</v>
      </c>
      <c r="E308" s="41">
        <v>10090024</v>
      </c>
      <c r="F308" s="46" t="s">
        <v>265</v>
      </c>
      <c r="G308" s="39" t="s">
        <v>635</v>
      </c>
      <c r="H308" s="48" t="s">
        <v>99</v>
      </c>
      <c r="I308" s="52">
        <v>354.8</v>
      </c>
      <c r="J308" s="49">
        <v>13559.259999999998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50">
        <v>13559.259999999998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0</v>
      </c>
      <c r="Y308" s="65">
        <v>0</v>
      </c>
      <c r="Z308" s="65">
        <v>13559.259999999998</v>
      </c>
      <c r="AA308" s="51">
        <v>0</v>
      </c>
      <c r="AB308" s="102">
        <v>0</v>
      </c>
      <c r="AC308" s="81">
        <f t="shared" si="15"/>
        <v>263.84760721533252</v>
      </c>
      <c r="AD308" s="82">
        <f t="shared" si="16"/>
        <v>50.68571428571429</v>
      </c>
      <c r="AE308" s="218">
        <v>0</v>
      </c>
      <c r="AF308">
        <v>0</v>
      </c>
      <c r="AH308" t="str">
        <f t="shared" si="14"/>
        <v>Halsi</v>
      </c>
      <c r="AJ308" s="72">
        <v>0</v>
      </c>
      <c r="AK308" s="72"/>
      <c r="AL308" s="72"/>
      <c r="AM308" s="72"/>
    </row>
    <row r="309" spans="1:39" x14ac:dyDescent="0.25">
      <c r="A309" s="37" t="s">
        <v>62</v>
      </c>
      <c r="B309" s="66" t="s">
        <v>1566</v>
      </c>
      <c r="C309" s="47">
        <v>1009</v>
      </c>
      <c r="D309" s="47" t="s">
        <v>249</v>
      </c>
      <c r="E309" s="41">
        <v>10090025</v>
      </c>
      <c r="F309" s="46" t="s">
        <v>496</v>
      </c>
      <c r="G309" s="39" t="s">
        <v>635</v>
      </c>
      <c r="H309" s="48" t="s">
        <v>99</v>
      </c>
      <c r="I309" s="52">
        <v>1032.5</v>
      </c>
      <c r="J309" s="49">
        <v>39672.799999999996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50">
        <v>39672.799999999996</v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r="W309" s="65">
        <v>0</v>
      </c>
      <c r="X309" s="65">
        <v>0</v>
      </c>
      <c r="Y309" s="65">
        <v>0</v>
      </c>
      <c r="Z309" s="65">
        <v>39672.799999999996</v>
      </c>
      <c r="AA309" s="51">
        <v>0</v>
      </c>
      <c r="AB309" s="102">
        <v>0</v>
      </c>
      <c r="AC309" s="81">
        <f t="shared" si="15"/>
        <v>0</v>
      </c>
      <c r="AD309" s="82">
        <f t="shared" si="16"/>
        <v>0</v>
      </c>
      <c r="AE309" s="218">
        <v>0</v>
      </c>
      <c r="AF309">
        <v>0</v>
      </c>
      <c r="AH309" t="str">
        <f t="shared" si="14"/>
        <v>Halsi</v>
      </c>
      <c r="AJ309" s="72">
        <v>0</v>
      </c>
      <c r="AK309" s="72"/>
      <c r="AL309" s="72"/>
      <c r="AM309" s="72"/>
    </row>
    <row r="310" spans="1:39" x14ac:dyDescent="0.25">
      <c r="A310" s="37" t="s">
        <v>62</v>
      </c>
      <c r="B310" s="66" t="s">
        <v>1566</v>
      </c>
      <c r="C310" s="47">
        <v>1009</v>
      </c>
      <c r="D310" s="47" t="s">
        <v>249</v>
      </c>
      <c r="E310" s="41">
        <v>10090027</v>
      </c>
      <c r="F310" s="46" t="s">
        <v>266</v>
      </c>
      <c r="G310" s="39" t="s">
        <v>635</v>
      </c>
      <c r="H310" s="48" t="s">
        <v>99</v>
      </c>
      <c r="I310" s="52">
        <v>1122.5</v>
      </c>
      <c r="J310" s="49">
        <v>47325.52</v>
      </c>
      <c r="K310" s="65">
        <v>0</v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50">
        <v>47325.52</v>
      </c>
      <c r="R310" s="65">
        <v>0</v>
      </c>
      <c r="S310" s="65">
        <v>0</v>
      </c>
      <c r="T310" s="65">
        <v>0</v>
      </c>
      <c r="U310" s="65">
        <v>0</v>
      </c>
      <c r="V310" s="65">
        <v>0</v>
      </c>
      <c r="W310" s="65">
        <v>0</v>
      </c>
      <c r="X310" s="65">
        <v>0</v>
      </c>
      <c r="Y310" s="65">
        <v>0</v>
      </c>
      <c r="Z310" s="65">
        <v>47325.52</v>
      </c>
      <c r="AA310" s="51">
        <v>0</v>
      </c>
      <c r="AB310" s="102">
        <v>0</v>
      </c>
      <c r="AC310" s="81">
        <f t="shared" si="15"/>
        <v>0</v>
      </c>
      <c r="AD310" s="82">
        <f t="shared" si="16"/>
        <v>0</v>
      </c>
      <c r="AE310" s="218">
        <v>0</v>
      </c>
      <c r="AF310">
        <v>0</v>
      </c>
      <c r="AH310" t="str">
        <f t="shared" si="14"/>
        <v>Halsi</v>
      </c>
      <c r="AJ310" s="72">
        <v>0</v>
      </c>
      <c r="AK310" s="72"/>
      <c r="AL310" s="72"/>
      <c r="AM310" s="72"/>
    </row>
    <row r="311" spans="1:39" x14ac:dyDescent="0.25">
      <c r="A311" s="37" t="s">
        <v>62</v>
      </c>
      <c r="B311" s="66" t="s">
        <v>1566</v>
      </c>
      <c r="C311" s="47">
        <v>1009</v>
      </c>
      <c r="D311" s="47" t="s">
        <v>249</v>
      </c>
      <c r="E311" s="41">
        <v>10090029</v>
      </c>
      <c r="F311" s="46" t="s">
        <v>267</v>
      </c>
      <c r="G311" s="39" t="s">
        <v>93</v>
      </c>
      <c r="H311" s="48" t="s">
        <v>94</v>
      </c>
      <c r="I311" s="52">
        <v>767.3</v>
      </c>
      <c r="J311" s="49">
        <v>31698.73</v>
      </c>
      <c r="K311" s="65">
        <v>754.85</v>
      </c>
      <c r="L311" s="65">
        <v>31701.18492969338</v>
      </c>
      <c r="M311" s="65">
        <v>6.73</v>
      </c>
      <c r="N311" s="65">
        <v>252.30152455200002</v>
      </c>
      <c r="O311" s="65">
        <v>761.58</v>
      </c>
      <c r="P311" s="65">
        <v>31953.48645424538</v>
      </c>
      <c r="Q311" s="50">
        <v>31698.73</v>
      </c>
      <c r="R311" s="65">
        <v>0</v>
      </c>
      <c r="S311" s="65">
        <v>252.30152455200002</v>
      </c>
      <c r="T311" s="65">
        <v>254.75645424538016</v>
      </c>
      <c r="U311" s="65">
        <v>0</v>
      </c>
      <c r="V311" s="65">
        <v>0</v>
      </c>
      <c r="W311" s="65">
        <v>0</v>
      </c>
      <c r="X311" s="65">
        <v>31446</v>
      </c>
      <c r="Y311" s="65">
        <v>0</v>
      </c>
      <c r="Z311" s="65">
        <v>0</v>
      </c>
      <c r="AA311" s="51">
        <v>0</v>
      </c>
      <c r="AB311" s="102">
        <v>0</v>
      </c>
      <c r="AC311" s="81">
        <f t="shared" si="15"/>
        <v>0</v>
      </c>
      <c r="AD311" s="82">
        <f t="shared" si="16"/>
        <v>0</v>
      </c>
      <c r="AE311" s="218">
        <v>-8.0368031856601248E-3</v>
      </c>
      <c r="AF311">
        <v>21</v>
      </c>
      <c r="AH311" t="str">
        <f t="shared" si="14"/>
        <v>Halsi</v>
      </c>
      <c r="AJ311" s="72">
        <v>0</v>
      </c>
      <c r="AK311" s="72"/>
      <c r="AL311" s="72"/>
      <c r="AM311" s="72"/>
    </row>
    <row r="312" spans="1:39" x14ac:dyDescent="0.25">
      <c r="A312" s="37" t="s">
        <v>62</v>
      </c>
      <c r="B312" s="66" t="s">
        <v>1566</v>
      </c>
      <c r="C312" s="47">
        <v>1009</v>
      </c>
      <c r="D312" s="47" t="s">
        <v>249</v>
      </c>
      <c r="E312" s="41">
        <v>10090033</v>
      </c>
      <c r="F312" s="46" t="s">
        <v>268</v>
      </c>
      <c r="G312" s="39" t="s">
        <v>93</v>
      </c>
      <c r="H312" s="48" t="s">
        <v>94</v>
      </c>
      <c r="I312" s="52">
        <v>1085.5</v>
      </c>
      <c r="J312" s="49">
        <v>50772.640000000007</v>
      </c>
      <c r="K312" s="65">
        <v>1092.3399999999999</v>
      </c>
      <c r="L312" s="65">
        <v>53476.996419507042</v>
      </c>
      <c r="M312" s="65">
        <v>6.33</v>
      </c>
      <c r="N312" s="65">
        <v>305.92021456590004</v>
      </c>
      <c r="O312" s="65">
        <v>1098.6699999999998</v>
      </c>
      <c r="P312" s="65">
        <v>53782.916634072943</v>
      </c>
      <c r="Q312" s="50">
        <v>50772.640000000007</v>
      </c>
      <c r="R312" s="65">
        <v>0</v>
      </c>
      <c r="S312" s="65">
        <v>305.92021456590004</v>
      </c>
      <c r="T312" s="65">
        <v>3010.2766340729358</v>
      </c>
      <c r="U312" s="65">
        <v>0</v>
      </c>
      <c r="V312" s="65">
        <v>0</v>
      </c>
      <c r="W312" s="65">
        <v>0</v>
      </c>
      <c r="X312" s="65">
        <v>50467</v>
      </c>
      <c r="Y312" s="65">
        <v>0</v>
      </c>
      <c r="Z312" s="65">
        <v>0</v>
      </c>
      <c r="AA312" s="51">
        <v>0</v>
      </c>
      <c r="AB312" s="102">
        <v>0</v>
      </c>
      <c r="AC312" s="81">
        <f t="shared" si="15"/>
        <v>0</v>
      </c>
      <c r="AD312" s="82">
        <f t="shared" si="16"/>
        <v>0</v>
      </c>
      <c r="AE312" s="218">
        <v>-5.9289346271396079E-2</v>
      </c>
      <c r="AF312">
        <v>11</v>
      </c>
      <c r="AH312" t="str">
        <f t="shared" si="14"/>
        <v>Halsi</v>
      </c>
      <c r="AJ312" s="72">
        <v>0</v>
      </c>
      <c r="AK312" s="72"/>
      <c r="AL312" s="72"/>
      <c r="AM312" s="72"/>
    </row>
    <row r="313" spans="1:39" x14ac:dyDescent="0.25">
      <c r="A313" s="37" t="s">
        <v>62</v>
      </c>
      <c r="B313" s="66" t="s">
        <v>1566</v>
      </c>
      <c r="C313" s="47">
        <v>1009</v>
      </c>
      <c r="D313" s="47" t="s">
        <v>249</v>
      </c>
      <c r="E313" s="41">
        <v>10090034</v>
      </c>
      <c r="F313" s="46" t="s">
        <v>269</v>
      </c>
      <c r="G313" s="39" t="s">
        <v>93</v>
      </c>
      <c r="H313" s="48" t="s">
        <v>94</v>
      </c>
      <c r="I313" s="52">
        <v>741</v>
      </c>
      <c r="J313" s="49">
        <v>29879.719999999994</v>
      </c>
      <c r="K313" s="65">
        <v>755.01</v>
      </c>
      <c r="L313" s="65">
        <v>30566.965653787905</v>
      </c>
      <c r="M313" s="65">
        <v>2.74</v>
      </c>
      <c r="N313" s="65">
        <v>112.73107428</v>
      </c>
      <c r="O313" s="65">
        <v>757.75</v>
      </c>
      <c r="P313" s="65">
        <v>30679.696728067905</v>
      </c>
      <c r="Q313" s="50">
        <v>29879.719999999994</v>
      </c>
      <c r="R313" s="65">
        <v>0</v>
      </c>
      <c r="S313" s="65">
        <v>112.73107428</v>
      </c>
      <c r="T313" s="65">
        <v>799.97672806791161</v>
      </c>
      <c r="U313" s="65">
        <v>0</v>
      </c>
      <c r="V313" s="65">
        <v>42.610576271187099</v>
      </c>
      <c r="W313" s="65">
        <v>0</v>
      </c>
      <c r="X313" s="65">
        <v>29724</v>
      </c>
      <c r="Y313" s="65">
        <v>0</v>
      </c>
      <c r="Z313" s="65">
        <v>0</v>
      </c>
      <c r="AA313" s="51">
        <v>0</v>
      </c>
      <c r="AB313" s="102">
        <v>0</v>
      </c>
      <c r="AC313" s="81">
        <f t="shared" si="15"/>
        <v>0</v>
      </c>
      <c r="AD313" s="82">
        <f t="shared" si="16"/>
        <v>0</v>
      </c>
      <c r="AE313" s="218">
        <v>-2.6773233754128611E-2</v>
      </c>
      <c r="AF313">
        <v>6</v>
      </c>
      <c r="AH313" t="str">
        <f t="shared" si="14"/>
        <v>Halsi</v>
      </c>
      <c r="AJ313" s="72">
        <v>0</v>
      </c>
      <c r="AK313" s="72"/>
      <c r="AL313" s="72"/>
      <c r="AM313" s="72"/>
    </row>
    <row r="314" spans="1:39" x14ac:dyDescent="0.25">
      <c r="A314" s="37" t="s">
        <v>62</v>
      </c>
      <c r="B314" s="66" t="s">
        <v>1566</v>
      </c>
      <c r="C314" s="47">
        <v>1009</v>
      </c>
      <c r="D314" s="47" t="s">
        <v>249</v>
      </c>
      <c r="E314" s="41">
        <v>10090036</v>
      </c>
      <c r="F314" s="46" t="s">
        <v>270</v>
      </c>
      <c r="G314" s="39" t="s">
        <v>93</v>
      </c>
      <c r="H314" s="48" t="s">
        <v>94</v>
      </c>
      <c r="I314" s="52">
        <v>86.63</v>
      </c>
      <c r="J314" s="49">
        <v>3288.8700000000003</v>
      </c>
      <c r="K314" s="65">
        <v>86.6</v>
      </c>
      <c r="L314" s="65">
        <v>3319.5648420000007</v>
      </c>
      <c r="M314" s="65">
        <v>0</v>
      </c>
      <c r="N314" s="65">
        <v>0</v>
      </c>
      <c r="O314" s="65">
        <v>86.6</v>
      </c>
      <c r="P314" s="65">
        <v>3319.5648420000007</v>
      </c>
      <c r="Q314" s="50">
        <v>3288.8700000000003</v>
      </c>
      <c r="R314" s="65">
        <v>0</v>
      </c>
      <c r="S314" s="65">
        <v>0</v>
      </c>
      <c r="T314" s="65">
        <v>30.694842000000335</v>
      </c>
      <c r="U314" s="65">
        <v>0</v>
      </c>
      <c r="V314" s="65">
        <v>1364.9456999999998</v>
      </c>
      <c r="W314" s="65">
        <v>0</v>
      </c>
      <c r="X314" s="65">
        <v>1924</v>
      </c>
      <c r="Y314" s="65">
        <v>0</v>
      </c>
      <c r="Z314" s="65">
        <v>0</v>
      </c>
      <c r="AA314" s="51">
        <v>0</v>
      </c>
      <c r="AB314" s="102">
        <v>0</v>
      </c>
      <c r="AC314" s="81">
        <f t="shared" si="15"/>
        <v>465.7264670206626</v>
      </c>
      <c r="AD314" s="82">
        <f t="shared" si="16"/>
        <v>12.375714285714285</v>
      </c>
      <c r="AE314" s="218">
        <v>-9.3329447500206247E-3</v>
      </c>
      <c r="AF314">
        <v>1</v>
      </c>
      <c r="AH314" t="str">
        <f t="shared" si="14"/>
        <v>Halsi</v>
      </c>
      <c r="AJ314" s="72">
        <v>0</v>
      </c>
      <c r="AK314" s="72"/>
      <c r="AL314" s="72"/>
      <c r="AM314" s="72"/>
    </row>
    <row r="315" spans="1:39" x14ac:dyDescent="0.25">
      <c r="A315" s="37" t="s">
        <v>62</v>
      </c>
      <c r="B315" s="66" t="s">
        <v>1566</v>
      </c>
      <c r="C315" s="47">
        <v>1009</v>
      </c>
      <c r="D315" s="47" t="s">
        <v>249</v>
      </c>
      <c r="E315" s="41">
        <v>10090037</v>
      </c>
      <c r="F315" s="46" t="s">
        <v>271</v>
      </c>
      <c r="G315" s="39" t="s">
        <v>93</v>
      </c>
      <c r="H315" s="48" t="s">
        <v>94</v>
      </c>
      <c r="I315" s="52">
        <v>422.09999999999997</v>
      </c>
      <c r="J315" s="49">
        <v>18503.36</v>
      </c>
      <c r="K315" s="65">
        <v>406.30999999999995</v>
      </c>
      <c r="L315" s="65">
        <v>17315.744329092748</v>
      </c>
      <c r="M315" s="65">
        <v>4.9800000000000004</v>
      </c>
      <c r="N315" s="65">
        <v>202.63739086799998</v>
      </c>
      <c r="O315" s="65">
        <v>411.28999999999996</v>
      </c>
      <c r="P315" s="65">
        <v>17518.381719960747</v>
      </c>
      <c r="Q315" s="50">
        <v>17518.381719960747</v>
      </c>
      <c r="R315" s="65">
        <v>0</v>
      </c>
      <c r="S315" s="65">
        <v>202.63739086799998</v>
      </c>
      <c r="T315" s="65">
        <v>0</v>
      </c>
      <c r="U315" s="65">
        <v>0</v>
      </c>
      <c r="V315" s="65">
        <v>0</v>
      </c>
      <c r="W315" s="65">
        <v>0</v>
      </c>
      <c r="X315" s="65">
        <v>17316</v>
      </c>
      <c r="Y315" s="65">
        <v>0</v>
      </c>
      <c r="Z315" s="65">
        <v>0</v>
      </c>
      <c r="AA315" s="51">
        <v>985</v>
      </c>
      <c r="AB315" s="102">
        <v>0</v>
      </c>
      <c r="AC315" s="81">
        <f t="shared" si="15"/>
        <v>243.64291608623554</v>
      </c>
      <c r="AD315" s="82">
        <f t="shared" si="16"/>
        <v>60.3</v>
      </c>
      <c r="AE315" s="218">
        <v>5.3232401036311952E-2</v>
      </c>
      <c r="AF315">
        <v>5</v>
      </c>
      <c r="AH315" t="str">
        <f t="shared" si="14"/>
        <v>Halsi</v>
      </c>
      <c r="AJ315" s="72">
        <v>0</v>
      </c>
      <c r="AK315" s="72"/>
      <c r="AL315" s="72"/>
      <c r="AM315" s="72"/>
    </row>
    <row r="316" spans="1:39" x14ac:dyDescent="0.25">
      <c r="A316" s="37" t="s">
        <v>62</v>
      </c>
      <c r="B316" s="66" t="s">
        <v>1566</v>
      </c>
      <c r="C316" s="47">
        <v>1009</v>
      </c>
      <c r="D316" s="47" t="s">
        <v>249</v>
      </c>
      <c r="E316" s="41">
        <v>10090041</v>
      </c>
      <c r="F316" s="46" t="s">
        <v>272</v>
      </c>
      <c r="G316" s="39" t="s">
        <v>635</v>
      </c>
      <c r="H316" s="48" t="s">
        <v>99</v>
      </c>
      <c r="I316" s="52">
        <v>128.19999999999999</v>
      </c>
      <c r="J316" s="49">
        <v>3974.54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50">
        <v>3974.54</v>
      </c>
      <c r="R316" s="65">
        <v>0</v>
      </c>
      <c r="S316" s="65">
        <v>0</v>
      </c>
      <c r="T316" s="65">
        <v>0</v>
      </c>
      <c r="U316" s="65">
        <v>0</v>
      </c>
      <c r="V316" s="65">
        <v>0</v>
      </c>
      <c r="W316" s="65">
        <v>0</v>
      </c>
      <c r="X316" s="65">
        <v>0</v>
      </c>
      <c r="Y316" s="65">
        <v>0</v>
      </c>
      <c r="Z316" s="65">
        <v>3974.54</v>
      </c>
      <c r="AA316" s="51">
        <v>0</v>
      </c>
      <c r="AB316" s="102">
        <v>0</v>
      </c>
      <c r="AC316" s="81">
        <f t="shared" si="15"/>
        <v>354.5463294851794</v>
      </c>
      <c r="AD316" s="82">
        <f t="shared" si="16"/>
        <v>18.314285714285713</v>
      </c>
      <c r="AE316" s="218">
        <v>0</v>
      </c>
      <c r="AF316">
        <v>0</v>
      </c>
      <c r="AH316" t="str">
        <f t="shared" si="14"/>
        <v>Halsi</v>
      </c>
      <c r="AJ316" s="72">
        <v>0</v>
      </c>
      <c r="AK316" s="72"/>
      <c r="AL316" s="72"/>
      <c r="AM316" s="72"/>
    </row>
    <row r="317" spans="1:39" x14ac:dyDescent="0.25">
      <c r="A317" s="37" t="s">
        <v>62</v>
      </c>
      <c r="B317" s="66" t="s">
        <v>1566</v>
      </c>
      <c r="C317" s="47">
        <v>1009</v>
      </c>
      <c r="D317" s="47" t="s">
        <v>249</v>
      </c>
      <c r="E317" s="41">
        <v>10090042</v>
      </c>
      <c r="F317" s="46" t="s">
        <v>273</v>
      </c>
      <c r="G317" s="39" t="s">
        <v>93</v>
      </c>
      <c r="H317" s="48" t="s">
        <v>94</v>
      </c>
      <c r="I317" s="52">
        <v>467.5</v>
      </c>
      <c r="J317" s="49">
        <v>18696.21</v>
      </c>
      <c r="K317" s="65">
        <v>482.61</v>
      </c>
      <c r="L317" s="65">
        <v>17566.471188401894</v>
      </c>
      <c r="M317" s="65">
        <v>1.27</v>
      </c>
      <c r="N317" s="65">
        <v>50.088323794500006</v>
      </c>
      <c r="O317" s="65">
        <v>483.88</v>
      </c>
      <c r="P317" s="65">
        <v>17616.559512196396</v>
      </c>
      <c r="Q317" s="50">
        <v>17616.559512196396</v>
      </c>
      <c r="R317" s="65">
        <v>0</v>
      </c>
      <c r="S317" s="65">
        <v>50.088323794500006</v>
      </c>
      <c r="T317" s="65">
        <v>0</v>
      </c>
      <c r="U317" s="65">
        <v>0</v>
      </c>
      <c r="V317" s="65">
        <v>0</v>
      </c>
      <c r="W317" s="65">
        <v>0</v>
      </c>
      <c r="X317" s="65">
        <v>17566</v>
      </c>
      <c r="Y317" s="65">
        <v>0</v>
      </c>
      <c r="Z317" s="65">
        <v>0</v>
      </c>
      <c r="AA317" s="51">
        <v>1080</v>
      </c>
      <c r="AB317" s="102">
        <v>0</v>
      </c>
      <c r="AC317" s="81">
        <f t="shared" si="15"/>
        <v>185.96230267379673</v>
      </c>
      <c r="AD317" s="82">
        <f t="shared" si="16"/>
        <v>66.785714285714292</v>
      </c>
      <c r="AE317" s="218">
        <v>5.7747024012011157E-2</v>
      </c>
      <c r="AF317">
        <v>6</v>
      </c>
      <c r="AH317" t="str">
        <f t="shared" si="14"/>
        <v>Halsi</v>
      </c>
      <c r="AJ317" s="72">
        <v>0</v>
      </c>
      <c r="AK317" s="72"/>
      <c r="AL317" s="72"/>
      <c r="AM317" s="72"/>
    </row>
    <row r="318" spans="1:39" x14ac:dyDescent="0.25">
      <c r="A318" s="37" t="s">
        <v>62</v>
      </c>
      <c r="B318" s="66" t="s">
        <v>1566</v>
      </c>
      <c r="C318" s="47">
        <v>1009</v>
      </c>
      <c r="D318" s="47" t="s">
        <v>249</v>
      </c>
      <c r="E318" s="41">
        <v>10090043</v>
      </c>
      <c r="F318" s="46" t="s">
        <v>274</v>
      </c>
      <c r="G318" s="39" t="s">
        <v>93</v>
      </c>
      <c r="H318" s="48" t="s">
        <v>94</v>
      </c>
      <c r="I318" s="52">
        <v>120.30000000000001</v>
      </c>
      <c r="J318" s="49">
        <v>5479.8600000000006</v>
      </c>
      <c r="K318" s="65">
        <v>112.48</v>
      </c>
      <c r="L318" s="65">
        <v>5196.6658020940604</v>
      </c>
      <c r="M318" s="65">
        <v>0</v>
      </c>
      <c r="N318" s="65">
        <v>0</v>
      </c>
      <c r="O318" s="65">
        <v>112.48</v>
      </c>
      <c r="P318" s="65">
        <v>5196.6658020940604</v>
      </c>
      <c r="Q318" s="50">
        <v>5196.6658020940604</v>
      </c>
      <c r="R318" s="65">
        <v>0</v>
      </c>
      <c r="S318" s="65">
        <v>0</v>
      </c>
      <c r="T318" s="65">
        <v>0</v>
      </c>
      <c r="U318" s="65">
        <v>0</v>
      </c>
      <c r="V318" s="65">
        <v>240.83460000000008</v>
      </c>
      <c r="W318" s="65">
        <v>0</v>
      </c>
      <c r="X318" s="65">
        <v>4955</v>
      </c>
      <c r="Y318" s="65">
        <v>0</v>
      </c>
      <c r="Z318" s="65">
        <v>0</v>
      </c>
      <c r="AA318" s="51">
        <v>284</v>
      </c>
      <c r="AB318" s="102">
        <v>0</v>
      </c>
      <c r="AC318" s="81">
        <f t="shared" si="15"/>
        <v>528.1254932668329</v>
      </c>
      <c r="AD318" s="82">
        <f t="shared" si="16"/>
        <v>17.185714285714287</v>
      </c>
      <c r="AE318" s="218">
        <v>5.1679093609314865E-2</v>
      </c>
      <c r="AF318">
        <v>5</v>
      </c>
      <c r="AH318" t="str">
        <f t="shared" si="14"/>
        <v>Halsi</v>
      </c>
      <c r="AJ318" s="72">
        <v>0</v>
      </c>
      <c r="AK318" s="72"/>
      <c r="AL318" s="72"/>
      <c r="AM318" s="72"/>
    </row>
    <row r="319" spans="1:39" x14ac:dyDescent="0.25">
      <c r="A319" s="37" t="s">
        <v>62</v>
      </c>
      <c r="B319" s="66" t="s">
        <v>1566</v>
      </c>
      <c r="C319" s="47">
        <v>1009</v>
      </c>
      <c r="D319" s="47" t="s">
        <v>249</v>
      </c>
      <c r="E319" s="41">
        <v>10090045</v>
      </c>
      <c r="F319" s="46" t="s">
        <v>1313</v>
      </c>
      <c r="G319" s="39" t="s">
        <v>93</v>
      </c>
      <c r="H319" s="48" t="s">
        <v>94</v>
      </c>
      <c r="I319" s="52">
        <v>733.80000000000007</v>
      </c>
      <c r="J319" s="49">
        <v>30399.860000000004</v>
      </c>
      <c r="K319" s="65">
        <v>736.8</v>
      </c>
      <c r="L319" s="65">
        <v>30545.210583360007</v>
      </c>
      <c r="M319" s="65">
        <v>0</v>
      </c>
      <c r="N319" s="65">
        <v>0</v>
      </c>
      <c r="O319" s="65">
        <v>736.8</v>
      </c>
      <c r="P319" s="65">
        <v>30545.210583360007</v>
      </c>
      <c r="Q319" s="50">
        <v>30399.860000000004</v>
      </c>
      <c r="R319" s="65">
        <v>0</v>
      </c>
      <c r="S319" s="65">
        <v>0</v>
      </c>
      <c r="T319" s="65">
        <v>145.35058336000293</v>
      </c>
      <c r="U319" s="65">
        <v>0</v>
      </c>
      <c r="V319" s="65">
        <v>0</v>
      </c>
      <c r="W319" s="65">
        <v>0</v>
      </c>
      <c r="X319" s="65">
        <v>30400</v>
      </c>
      <c r="Y319" s="65">
        <v>0</v>
      </c>
      <c r="Z319" s="65">
        <v>0</v>
      </c>
      <c r="AA319" s="51">
        <v>0</v>
      </c>
      <c r="AB319" s="102">
        <v>0</v>
      </c>
      <c r="AC319" s="81">
        <f t="shared" si="15"/>
        <v>0</v>
      </c>
      <c r="AD319" s="82">
        <f t="shared" si="16"/>
        <v>0</v>
      </c>
      <c r="AE319" s="218">
        <v>-4.7812912085780299E-3</v>
      </c>
      <c r="AF319">
        <v>3</v>
      </c>
      <c r="AH319" t="str">
        <f t="shared" si="14"/>
        <v>Halsi</v>
      </c>
      <c r="AJ319" s="72">
        <v>0</v>
      </c>
      <c r="AK319" s="72"/>
      <c r="AL319" s="72"/>
      <c r="AM319" s="72"/>
    </row>
    <row r="320" spans="1:39" x14ac:dyDescent="0.25">
      <c r="A320" s="37" t="s">
        <v>62</v>
      </c>
      <c r="B320" s="66" t="s">
        <v>1566</v>
      </c>
      <c r="C320" s="47">
        <v>1009</v>
      </c>
      <c r="D320" s="47" t="s">
        <v>249</v>
      </c>
      <c r="E320" s="41">
        <v>10090046</v>
      </c>
      <c r="F320" s="46" t="s">
        <v>275</v>
      </c>
      <c r="G320" s="39" t="s">
        <v>93</v>
      </c>
      <c r="H320" s="48" t="s">
        <v>94</v>
      </c>
      <c r="I320" s="52">
        <v>489.20000000000005</v>
      </c>
      <c r="J320" s="49">
        <v>19854.170000000002</v>
      </c>
      <c r="K320" s="65">
        <v>588.82000000000005</v>
      </c>
      <c r="L320" s="65">
        <v>24121.599965579953</v>
      </c>
      <c r="M320" s="65">
        <v>0</v>
      </c>
      <c r="N320" s="65">
        <v>0</v>
      </c>
      <c r="O320" s="65">
        <v>588.82000000000005</v>
      </c>
      <c r="P320" s="65">
        <v>24121.599965579953</v>
      </c>
      <c r="Q320" s="50">
        <v>19854.170000000002</v>
      </c>
      <c r="R320" s="65">
        <v>0</v>
      </c>
      <c r="S320" s="65">
        <v>0</v>
      </c>
      <c r="T320" s="65">
        <v>4267.4299655799514</v>
      </c>
      <c r="U320" s="65">
        <v>0</v>
      </c>
      <c r="V320" s="65">
        <v>0</v>
      </c>
      <c r="W320" s="65">
        <v>0</v>
      </c>
      <c r="X320" s="65">
        <v>19854</v>
      </c>
      <c r="Y320" s="65">
        <v>0</v>
      </c>
      <c r="Z320" s="65">
        <v>0</v>
      </c>
      <c r="AA320" s="51">
        <v>0</v>
      </c>
      <c r="AB320" s="102">
        <v>0</v>
      </c>
      <c r="AC320" s="81">
        <f t="shared" si="15"/>
        <v>171.10625658217498</v>
      </c>
      <c r="AD320" s="82">
        <f t="shared" si="16"/>
        <v>69.885714285714286</v>
      </c>
      <c r="AE320" s="218">
        <v>-0.21493872398493369</v>
      </c>
      <c r="AF320">
        <v>5</v>
      </c>
      <c r="AH320" t="str">
        <f t="shared" si="14"/>
        <v>Halsi</v>
      </c>
      <c r="AJ320" s="72">
        <v>0</v>
      </c>
      <c r="AK320" s="72"/>
      <c r="AL320" s="72"/>
      <c r="AM320" s="72"/>
    </row>
    <row r="321" spans="1:39" x14ac:dyDescent="0.25">
      <c r="A321" s="37" t="s">
        <v>62</v>
      </c>
      <c r="B321" s="66" t="s">
        <v>1566</v>
      </c>
      <c r="C321" s="47">
        <v>1009</v>
      </c>
      <c r="D321" s="47" t="s">
        <v>249</v>
      </c>
      <c r="E321" s="41">
        <v>10090047</v>
      </c>
      <c r="F321" s="46" t="s">
        <v>276</v>
      </c>
      <c r="G321" s="39" t="s">
        <v>93</v>
      </c>
      <c r="H321" s="48" t="s">
        <v>94</v>
      </c>
      <c r="I321" s="52">
        <v>356.7</v>
      </c>
      <c r="J321" s="49">
        <v>16034.369999999997</v>
      </c>
      <c r="K321" s="65">
        <v>330.40000000000009</v>
      </c>
      <c r="L321" s="65">
        <v>15876.22939093794</v>
      </c>
      <c r="M321" s="65">
        <v>5.6000000000000005</v>
      </c>
      <c r="N321" s="65">
        <v>229.68610632000002</v>
      </c>
      <c r="O321" s="65">
        <v>336.00000000000011</v>
      </c>
      <c r="P321" s="65">
        <v>16105.91549725794</v>
      </c>
      <c r="Q321" s="50">
        <v>16034.369999999997</v>
      </c>
      <c r="R321" s="65">
        <v>0</v>
      </c>
      <c r="S321" s="65">
        <v>229.68610632000002</v>
      </c>
      <c r="T321" s="65">
        <v>71.54549725794277</v>
      </c>
      <c r="U321" s="65">
        <v>0</v>
      </c>
      <c r="V321" s="65">
        <v>0</v>
      </c>
      <c r="W321" s="65">
        <v>0</v>
      </c>
      <c r="X321" s="65">
        <v>15805</v>
      </c>
      <c r="Y321" s="65">
        <v>0</v>
      </c>
      <c r="Z321" s="65">
        <v>0</v>
      </c>
      <c r="AA321" s="51">
        <v>0</v>
      </c>
      <c r="AB321" s="102">
        <v>0</v>
      </c>
      <c r="AC321" s="81">
        <f t="shared" si="15"/>
        <v>308.64027031118587</v>
      </c>
      <c r="AD321" s="82">
        <f t="shared" si="16"/>
        <v>50.957142857142856</v>
      </c>
      <c r="AE321" s="218">
        <v>-4.4620086263409652E-3</v>
      </c>
      <c r="AF321">
        <v>13</v>
      </c>
      <c r="AH321" t="str">
        <f t="shared" si="14"/>
        <v>Halsi</v>
      </c>
      <c r="AJ321" s="72">
        <v>0</v>
      </c>
      <c r="AK321" s="72"/>
      <c r="AL321" s="72"/>
      <c r="AM321" s="72"/>
    </row>
    <row r="322" spans="1:39" x14ac:dyDescent="0.25">
      <c r="A322" s="37" t="s">
        <v>62</v>
      </c>
      <c r="B322" s="66" t="s">
        <v>1566</v>
      </c>
      <c r="C322" s="47">
        <v>1009</v>
      </c>
      <c r="D322" s="47" t="s">
        <v>249</v>
      </c>
      <c r="E322" s="41">
        <v>10090049</v>
      </c>
      <c r="F322" s="46" t="s">
        <v>277</v>
      </c>
      <c r="G322" s="39" t="s">
        <v>93</v>
      </c>
      <c r="H322" s="48" t="s">
        <v>94</v>
      </c>
      <c r="I322" s="52">
        <v>572.29999999999995</v>
      </c>
      <c r="J322" s="49">
        <v>26884.600000000002</v>
      </c>
      <c r="K322" s="65">
        <v>526.96</v>
      </c>
      <c r="L322" s="65">
        <v>27466.609195355097</v>
      </c>
      <c r="M322" s="65">
        <v>5.0199999999999996</v>
      </c>
      <c r="N322" s="65">
        <v>266.56213142500002</v>
      </c>
      <c r="O322" s="65">
        <v>531.98</v>
      </c>
      <c r="P322" s="65">
        <v>27733.171326780095</v>
      </c>
      <c r="Q322" s="50">
        <v>26884.600000000002</v>
      </c>
      <c r="R322" s="65">
        <v>0</v>
      </c>
      <c r="S322" s="65">
        <v>266.56213142500002</v>
      </c>
      <c r="T322" s="65">
        <v>848.57132678009293</v>
      </c>
      <c r="U322" s="65">
        <v>0</v>
      </c>
      <c r="V322" s="65">
        <v>0</v>
      </c>
      <c r="W322" s="65">
        <v>0</v>
      </c>
      <c r="X322" s="65">
        <v>26618</v>
      </c>
      <c r="Y322" s="65">
        <v>0</v>
      </c>
      <c r="Z322" s="65">
        <v>0</v>
      </c>
      <c r="AA322" s="51">
        <v>0</v>
      </c>
      <c r="AB322" s="102">
        <v>0</v>
      </c>
      <c r="AC322" s="81">
        <f t="shared" si="15"/>
        <v>119.97775362572084</v>
      </c>
      <c r="AD322" s="82">
        <f t="shared" si="16"/>
        <v>81.757142857142853</v>
      </c>
      <c r="AE322" s="218">
        <v>-3.1563472277069134E-2</v>
      </c>
      <c r="AF322">
        <v>12</v>
      </c>
      <c r="AH322" t="str">
        <f t="shared" si="14"/>
        <v>Halsi</v>
      </c>
      <c r="AJ322" s="72">
        <v>0</v>
      </c>
      <c r="AK322" s="72"/>
      <c r="AL322" s="72"/>
      <c r="AM322" s="72"/>
    </row>
    <row r="323" spans="1:39" x14ac:dyDescent="0.25">
      <c r="A323" s="37" t="s">
        <v>62</v>
      </c>
      <c r="B323" s="66" t="s">
        <v>1566</v>
      </c>
      <c r="C323" s="47">
        <v>1009</v>
      </c>
      <c r="D323" s="47" t="s">
        <v>249</v>
      </c>
      <c r="E323" s="41">
        <v>10090052</v>
      </c>
      <c r="F323" s="46" t="s">
        <v>278</v>
      </c>
      <c r="G323" s="39" t="s">
        <v>93</v>
      </c>
      <c r="H323" s="48" t="s">
        <v>94</v>
      </c>
      <c r="I323" s="52">
        <v>605.59999999999991</v>
      </c>
      <c r="J323" s="49">
        <v>24687.05</v>
      </c>
      <c r="K323" s="65">
        <v>615.75</v>
      </c>
      <c r="L323" s="65">
        <v>25233.040705197818</v>
      </c>
      <c r="M323" s="65">
        <v>1.87</v>
      </c>
      <c r="N323" s="65">
        <v>74.43414491958751</v>
      </c>
      <c r="O323" s="65">
        <v>617.62</v>
      </c>
      <c r="P323" s="65">
        <v>25307.474850117407</v>
      </c>
      <c r="Q323" s="50">
        <v>24687.05</v>
      </c>
      <c r="R323" s="65">
        <v>0</v>
      </c>
      <c r="S323" s="65">
        <v>74.43414491958751</v>
      </c>
      <c r="T323" s="65">
        <v>620.42485011740791</v>
      </c>
      <c r="U323" s="65">
        <v>0</v>
      </c>
      <c r="V323" s="65">
        <v>0</v>
      </c>
      <c r="W323" s="65">
        <v>0</v>
      </c>
      <c r="X323" s="65">
        <v>24613</v>
      </c>
      <c r="Y323" s="65">
        <v>0</v>
      </c>
      <c r="Z323" s="65">
        <v>0</v>
      </c>
      <c r="AA323" s="51">
        <v>0</v>
      </c>
      <c r="AB323" s="102">
        <v>0</v>
      </c>
      <c r="AC323" s="81">
        <f t="shared" si="15"/>
        <v>76.96359048877153</v>
      </c>
      <c r="AD323" s="82">
        <f t="shared" si="16"/>
        <v>86.514285714285705</v>
      </c>
      <c r="AE323" s="218">
        <v>-2.5131591264140832E-2</v>
      </c>
      <c r="AF323">
        <v>5</v>
      </c>
      <c r="AH323" t="str">
        <f t="shared" ref="AH323:AH386" si="17">TEXT(D323,"0000")</f>
        <v>Halsi</v>
      </c>
      <c r="AJ323" s="72">
        <v>0</v>
      </c>
      <c r="AK323" s="72"/>
      <c r="AL323" s="72"/>
      <c r="AM323" s="72"/>
    </row>
    <row r="324" spans="1:39" x14ac:dyDescent="0.25">
      <c r="A324" s="37" t="s">
        <v>62</v>
      </c>
      <c r="B324" s="66" t="s">
        <v>1566</v>
      </c>
      <c r="C324" s="47">
        <v>1009</v>
      </c>
      <c r="D324" s="47" t="s">
        <v>249</v>
      </c>
      <c r="E324" s="41">
        <v>10090055</v>
      </c>
      <c r="F324" s="46" t="s">
        <v>464</v>
      </c>
      <c r="G324" s="39" t="s">
        <v>635</v>
      </c>
      <c r="H324" s="48" t="s">
        <v>99</v>
      </c>
      <c r="I324" s="52">
        <v>243.2</v>
      </c>
      <c r="J324" s="49">
        <v>9417.5800000000017</v>
      </c>
      <c r="K324" s="65">
        <v>0</v>
      </c>
      <c r="L324" s="65">
        <v>0</v>
      </c>
      <c r="M324" s="65">
        <v>0</v>
      </c>
      <c r="N324" s="65">
        <v>0</v>
      </c>
      <c r="O324" s="65">
        <v>0</v>
      </c>
      <c r="P324" s="65">
        <v>0</v>
      </c>
      <c r="Q324" s="50">
        <v>9417.5800000000017</v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r="W324" s="65">
        <v>0</v>
      </c>
      <c r="X324" s="65">
        <v>0</v>
      </c>
      <c r="Y324" s="65">
        <v>0</v>
      </c>
      <c r="Z324" s="65">
        <v>9417.5800000000017</v>
      </c>
      <c r="AA324" s="51">
        <v>0</v>
      </c>
      <c r="AB324" s="102">
        <v>0</v>
      </c>
      <c r="AC324" s="81">
        <f t="shared" ref="AC324:AC387" si="18">((IF(AD324=0,0,100-AD324))*7*(J324/I324))*2%</f>
        <v>353.77882763157908</v>
      </c>
      <c r="AD324" s="82">
        <f t="shared" ref="AD324:AD387" si="19">IF((I324/7)&gt;100,0,(I324/7))</f>
        <v>34.74285714285714</v>
      </c>
      <c r="AE324" s="218">
        <v>0</v>
      </c>
      <c r="AF324">
        <v>0</v>
      </c>
      <c r="AH324" t="str">
        <f t="shared" si="17"/>
        <v>Halsi</v>
      </c>
      <c r="AJ324" s="72">
        <v>0</v>
      </c>
      <c r="AK324" s="72"/>
      <c r="AL324" s="72"/>
      <c r="AM324" s="72"/>
    </row>
    <row r="325" spans="1:39" x14ac:dyDescent="0.25">
      <c r="A325" s="37" t="s">
        <v>62</v>
      </c>
      <c r="B325" s="66" t="s">
        <v>1566</v>
      </c>
      <c r="C325" s="47">
        <v>1009</v>
      </c>
      <c r="D325" s="47" t="s">
        <v>249</v>
      </c>
      <c r="E325" s="41">
        <v>10090056</v>
      </c>
      <c r="F325" s="46" t="s">
        <v>476</v>
      </c>
      <c r="G325" s="39" t="s">
        <v>93</v>
      </c>
      <c r="H325" s="48" t="s">
        <v>94</v>
      </c>
      <c r="I325" s="52">
        <v>785.69999999999993</v>
      </c>
      <c r="J325" s="49">
        <v>31447.01</v>
      </c>
      <c r="K325" s="65">
        <v>932.3599999999999</v>
      </c>
      <c r="L325" s="65">
        <v>37497.512394936006</v>
      </c>
      <c r="M325" s="65">
        <v>1.9499999999999997</v>
      </c>
      <c r="N325" s="65">
        <v>81.459042345000015</v>
      </c>
      <c r="O325" s="65">
        <v>934.31</v>
      </c>
      <c r="P325" s="65">
        <v>37578.971437281005</v>
      </c>
      <c r="Q325" s="50">
        <v>31447.01</v>
      </c>
      <c r="R325" s="65">
        <v>0</v>
      </c>
      <c r="S325" s="65">
        <v>81.459042345000015</v>
      </c>
      <c r="T325" s="65">
        <v>6131.9614372810065</v>
      </c>
      <c r="U325" s="65">
        <v>0</v>
      </c>
      <c r="V325" s="65">
        <v>0</v>
      </c>
      <c r="W325" s="65">
        <v>0</v>
      </c>
      <c r="X325" s="65">
        <v>31366</v>
      </c>
      <c r="Y325" s="65">
        <v>0</v>
      </c>
      <c r="Z325" s="65">
        <v>0</v>
      </c>
      <c r="AA325" s="51">
        <v>0</v>
      </c>
      <c r="AB325" s="102">
        <v>0</v>
      </c>
      <c r="AC325" s="81">
        <f t="shared" si="18"/>
        <v>0</v>
      </c>
      <c r="AD325" s="82">
        <f t="shared" si="19"/>
        <v>0</v>
      </c>
      <c r="AE325" s="218">
        <v>-0.19499346479302823</v>
      </c>
      <c r="AF325">
        <v>4</v>
      </c>
      <c r="AH325" t="str">
        <f t="shared" si="17"/>
        <v>Halsi</v>
      </c>
      <c r="AJ325" s="72">
        <v>0</v>
      </c>
      <c r="AK325" s="72"/>
      <c r="AL325" s="72"/>
      <c r="AM325" s="72"/>
    </row>
    <row r="326" spans="1:39" x14ac:dyDescent="0.25">
      <c r="A326" s="37" t="s">
        <v>62</v>
      </c>
      <c r="B326" s="66" t="s">
        <v>1566</v>
      </c>
      <c r="C326" s="47">
        <v>1009</v>
      </c>
      <c r="D326" s="47" t="s">
        <v>249</v>
      </c>
      <c r="E326" s="41">
        <v>10090058</v>
      </c>
      <c r="F326" s="46" t="s">
        <v>526</v>
      </c>
      <c r="G326" s="39" t="s">
        <v>93</v>
      </c>
      <c r="H326" s="48" t="s">
        <v>94</v>
      </c>
      <c r="I326" s="52">
        <v>598.6</v>
      </c>
      <c r="J326" s="49">
        <v>26874.37</v>
      </c>
      <c r="K326" s="65">
        <v>585.54000000000008</v>
      </c>
      <c r="L326" s="65">
        <v>26493.01652391093</v>
      </c>
      <c r="M326" s="65">
        <v>0.42</v>
      </c>
      <c r="N326" s="65">
        <v>23.584316411040003</v>
      </c>
      <c r="O326" s="65">
        <v>585.96</v>
      </c>
      <c r="P326" s="65">
        <v>26516.600840321971</v>
      </c>
      <c r="Q326" s="50">
        <v>26516.600840321971</v>
      </c>
      <c r="R326" s="65">
        <v>0</v>
      </c>
      <c r="S326" s="65">
        <v>23.584316411040003</v>
      </c>
      <c r="T326" s="65">
        <v>0</v>
      </c>
      <c r="U326" s="65">
        <v>0</v>
      </c>
      <c r="V326" s="65">
        <v>0</v>
      </c>
      <c r="W326" s="65">
        <v>0</v>
      </c>
      <c r="X326" s="65">
        <v>26493</v>
      </c>
      <c r="Y326" s="65">
        <v>0</v>
      </c>
      <c r="Z326" s="65">
        <v>0</v>
      </c>
      <c r="AA326" s="51">
        <v>358</v>
      </c>
      <c r="AB326" s="102">
        <v>0</v>
      </c>
      <c r="AC326" s="81">
        <f t="shared" si="18"/>
        <v>91.047815502839939</v>
      </c>
      <c r="AD326" s="82">
        <f t="shared" si="19"/>
        <v>85.51428571428572</v>
      </c>
      <c r="AE326" s="218">
        <v>1.331265289858061E-2</v>
      </c>
      <c r="AF326">
        <v>3</v>
      </c>
      <c r="AH326" t="str">
        <f t="shared" si="17"/>
        <v>Halsi</v>
      </c>
      <c r="AJ326" s="72">
        <v>0</v>
      </c>
      <c r="AK326" s="72"/>
      <c r="AL326" s="72"/>
      <c r="AM326" s="72"/>
    </row>
    <row r="327" spans="1:39" x14ac:dyDescent="0.25">
      <c r="A327" s="37" t="s">
        <v>62</v>
      </c>
      <c r="B327" s="66" t="s">
        <v>1566</v>
      </c>
      <c r="C327" s="47">
        <v>1009</v>
      </c>
      <c r="D327" s="47" t="s">
        <v>249</v>
      </c>
      <c r="E327" s="41">
        <v>10090059</v>
      </c>
      <c r="F327" s="46" t="s">
        <v>1228</v>
      </c>
      <c r="G327" s="39" t="s">
        <v>93</v>
      </c>
      <c r="H327" s="48" t="s">
        <v>94</v>
      </c>
      <c r="I327" s="52">
        <v>774.40000000000009</v>
      </c>
      <c r="J327" s="49">
        <v>30351.630000000005</v>
      </c>
      <c r="K327" s="65">
        <v>788.5</v>
      </c>
      <c r="L327" s="65">
        <v>31419.709041599999</v>
      </c>
      <c r="M327" s="65">
        <v>0</v>
      </c>
      <c r="N327" s="65">
        <v>0</v>
      </c>
      <c r="O327" s="65">
        <v>788.5</v>
      </c>
      <c r="P327" s="65">
        <v>31419.709041599999</v>
      </c>
      <c r="Q327" s="50">
        <v>30351.630000000005</v>
      </c>
      <c r="R327" s="65">
        <v>0</v>
      </c>
      <c r="S327" s="65">
        <v>0</v>
      </c>
      <c r="T327" s="65">
        <v>1068.0790415999945</v>
      </c>
      <c r="U327" s="65">
        <v>13000</v>
      </c>
      <c r="V327" s="65">
        <v>0</v>
      </c>
      <c r="W327" s="65">
        <v>0</v>
      </c>
      <c r="X327" s="65">
        <v>17352</v>
      </c>
      <c r="Y327" s="65">
        <v>0</v>
      </c>
      <c r="Z327" s="65">
        <v>0</v>
      </c>
      <c r="AA327" s="51">
        <v>0</v>
      </c>
      <c r="AB327" s="102" t="s">
        <v>66</v>
      </c>
      <c r="AC327" s="81">
        <f t="shared" si="18"/>
        <v>0</v>
      </c>
      <c r="AD327" s="82">
        <f t="shared" si="19"/>
        <v>0</v>
      </c>
      <c r="AE327" s="218">
        <v>-3.5190170728886534E-2</v>
      </c>
      <c r="AF327">
        <v>1</v>
      </c>
      <c r="AH327" t="str">
        <f t="shared" si="17"/>
        <v>Halsi</v>
      </c>
      <c r="AJ327" s="72">
        <v>0</v>
      </c>
      <c r="AK327" s="72"/>
      <c r="AL327" s="72"/>
      <c r="AM327" s="72"/>
    </row>
    <row r="328" spans="1:39" x14ac:dyDescent="0.25">
      <c r="A328" s="37" t="s">
        <v>62</v>
      </c>
      <c r="B328" s="66" t="s">
        <v>1566</v>
      </c>
      <c r="C328" s="47">
        <v>1009</v>
      </c>
      <c r="D328" s="47" t="s">
        <v>249</v>
      </c>
      <c r="E328" s="41">
        <v>10090060</v>
      </c>
      <c r="F328" s="46" t="s">
        <v>537</v>
      </c>
      <c r="G328" s="39" t="s">
        <v>93</v>
      </c>
      <c r="H328" s="48" t="s">
        <v>94</v>
      </c>
      <c r="I328" s="52">
        <v>193.2</v>
      </c>
      <c r="J328" s="49">
        <v>8006.33</v>
      </c>
      <c r="K328" s="65">
        <v>248.1</v>
      </c>
      <c r="L328" s="65">
        <v>10249.41518568</v>
      </c>
      <c r="M328" s="65">
        <v>0</v>
      </c>
      <c r="N328" s="65">
        <v>0</v>
      </c>
      <c r="O328" s="65">
        <v>248.1</v>
      </c>
      <c r="P328" s="65">
        <v>10249.41518568</v>
      </c>
      <c r="Q328" s="50">
        <v>8006.33</v>
      </c>
      <c r="R328" s="65">
        <v>0</v>
      </c>
      <c r="S328" s="65">
        <v>0</v>
      </c>
      <c r="T328" s="65">
        <v>2243.08518568</v>
      </c>
      <c r="U328" s="65">
        <v>0</v>
      </c>
      <c r="V328" s="65">
        <v>11.290860000000052</v>
      </c>
      <c r="W328" s="65">
        <v>0</v>
      </c>
      <c r="X328" s="65">
        <v>7995</v>
      </c>
      <c r="Y328" s="65">
        <v>0</v>
      </c>
      <c r="Z328" s="65">
        <v>0</v>
      </c>
      <c r="AA328" s="51">
        <v>0</v>
      </c>
      <c r="AB328" s="102">
        <v>0</v>
      </c>
      <c r="AC328" s="81">
        <f t="shared" si="18"/>
        <v>420.04224057971027</v>
      </c>
      <c r="AD328" s="82">
        <f t="shared" si="19"/>
        <v>27.599999999999998</v>
      </c>
      <c r="AE328" s="218">
        <v>-0.28016396846994818</v>
      </c>
      <c r="AF328">
        <v>1</v>
      </c>
      <c r="AH328" t="str">
        <f t="shared" si="17"/>
        <v>Halsi</v>
      </c>
      <c r="AJ328" s="72">
        <v>0</v>
      </c>
      <c r="AK328" s="72"/>
      <c r="AL328" s="72"/>
      <c r="AM328" s="72"/>
    </row>
    <row r="329" spans="1:39" x14ac:dyDescent="0.25">
      <c r="A329" s="37" t="s">
        <v>62</v>
      </c>
      <c r="B329" s="66" t="s">
        <v>1566</v>
      </c>
      <c r="C329" s="47">
        <v>1009</v>
      </c>
      <c r="D329" s="47" t="s">
        <v>249</v>
      </c>
      <c r="E329" s="41">
        <v>10090061</v>
      </c>
      <c r="F329" s="46" t="s">
        <v>564</v>
      </c>
      <c r="G329" s="39" t="s">
        <v>93</v>
      </c>
      <c r="H329" s="48" t="s">
        <v>94</v>
      </c>
      <c r="I329" s="52">
        <v>150.1</v>
      </c>
      <c r="J329" s="49">
        <v>6559.3099999999995</v>
      </c>
      <c r="K329" s="65">
        <v>184.5</v>
      </c>
      <c r="L329" s="65">
        <v>8053.2686914200012</v>
      </c>
      <c r="M329" s="65">
        <v>0</v>
      </c>
      <c r="N329" s="65">
        <v>0</v>
      </c>
      <c r="O329" s="65">
        <v>184.5</v>
      </c>
      <c r="P329" s="65">
        <v>8053.2686914200012</v>
      </c>
      <c r="Q329" s="50">
        <v>6559.3099999999995</v>
      </c>
      <c r="R329" s="65">
        <v>0</v>
      </c>
      <c r="S329" s="65">
        <v>0</v>
      </c>
      <c r="T329" s="65">
        <v>1493.9586914200017</v>
      </c>
      <c r="U329" s="65">
        <v>0</v>
      </c>
      <c r="V329" s="65">
        <v>0</v>
      </c>
      <c r="W329" s="65">
        <v>0</v>
      </c>
      <c r="X329" s="65">
        <v>6559</v>
      </c>
      <c r="Y329" s="65">
        <v>0</v>
      </c>
      <c r="Z329" s="65">
        <v>0</v>
      </c>
      <c r="AA329" s="51">
        <v>0</v>
      </c>
      <c r="AB329" s="102">
        <v>0</v>
      </c>
      <c r="AC329" s="81">
        <f t="shared" si="18"/>
        <v>480.60820373084607</v>
      </c>
      <c r="AD329" s="82">
        <f t="shared" si="19"/>
        <v>21.442857142857143</v>
      </c>
      <c r="AE329" s="218">
        <v>-0.22776156202710374</v>
      </c>
      <c r="AF329">
        <v>1</v>
      </c>
      <c r="AH329" t="str">
        <f t="shared" si="17"/>
        <v>Halsi</v>
      </c>
      <c r="AJ329" s="72">
        <v>0</v>
      </c>
      <c r="AK329" s="72"/>
      <c r="AL329" s="72"/>
      <c r="AM329" s="72"/>
    </row>
    <row r="330" spans="1:39" x14ac:dyDescent="0.25">
      <c r="A330" s="37" t="s">
        <v>62</v>
      </c>
      <c r="B330" s="66" t="s">
        <v>1566</v>
      </c>
      <c r="C330" s="47">
        <v>1009</v>
      </c>
      <c r="D330" s="47" t="s">
        <v>249</v>
      </c>
      <c r="E330" s="41">
        <v>10090063</v>
      </c>
      <c r="F330" s="46" t="s">
        <v>588</v>
      </c>
      <c r="G330" s="39" t="s">
        <v>93</v>
      </c>
      <c r="H330" s="48" t="s">
        <v>94</v>
      </c>
      <c r="I330" s="52">
        <v>106.8</v>
      </c>
      <c r="J330" s="49">
        <v>4863.2199999999993</v>
      </c>
      <c r="K330" s="65">
        <v>158</v>
      </c>
      <c r="L330" s="65">
        <v>7086.9795692999996</v>
      </c>
      <c r="M330" s="65">
        <v>0</v>
      </c>
      <c r="N330" s="65">
        <v>0</v>
      </c>
      <c r="O330" s="65">
        <v>158</v>
      </c>
      <c r="P330" s="65">
        <v>7086.9795692999996</v>
      </c>
      <c r="Q330" s="50">
        <v>4863.2199999999993</v>
      </c>
      <c r="R330" s="65">
        <v>0</v>
      </c>
      <c r="S330" s="65">
        <v>0</v>
      </c>
      <c r="T330" s="65">
        <v>2223.7595693000003</v>
      </c>
      <c r="U330" s="65">
        <v>0</v>
      </c>
      <c r="V330" s="65">
        <v>255.20928000000009</v>
      </c>
      <c r="W330" s="65">
        <v>0</v>
      </c>
      <c r="X330" s="65">
        <v>4608</v>
      </c>
      <c r="Y330" s="65">
        <v>0</v>
      </c>
      <c r="Z330" s="65">
        <v>0</v>
      </c>
      <c r="AA330" s="51">
        <v>0</v>
      </c>
      <c r="AB330" s="102">
        <v>0</v>
      </c>
      <c r="AC330" s="81">
        <f t="shared" si="18"/>
        <v>540.23634906367045</v>
      </c>
      <c r="AD330" s="82">
        <f t="shared" si="19"/>
        <v>15.257142857142856</v>
      </c>
      <c r="AE330" s="218">
        <v>-0.45726073862584882</v>
      </c>
      <c r="AF330">
        <v>1</v>
      </c>
      <c r="AH330" t="str">
        <f t="shared" si="17"/>
        <v>Halsi</v>
      </c>
      <c r="AJ330" s="72">
        <v>0</v>
      </c>
      <c r="AK330" s="72"/>
      <c r="AL330" s="72"/>
      <c r="AM330" s="72"/>
    </row>
    <row r="331" spans="1:39" x14ac:dyDescent="0.25">
      <c r="A331" s="37" t="s">
        <v>62</v>
      </c>
      <c r="B331" s="66" t="s">
        <v>1566</v>
      </c>
      <c r="C331" s="47">
        <v>1009</v>
      </c>
      <c r="D331" s="47" t="s">
        <v>249</v>
      </c>
      <c r="E331" s="41">
        <v>10090064</v>
      </c>
      <c r="F331" s="46" t="s">
        <v>589</v>
      </c>
      <c r="G331" s="39" t="s">
        <v>93</v>
      </c>
      <c r="H331" s="48" t="s">
        <v>94</v>
      </c>
      <c r="I331" s="52">
        <v>418.4</v>
      </c>
      <c r="J331" s="49">
        <v>16668.12</v>
      </c>
      <c r="K331" s="65">
        <v>433.66</v>
      </c>
      <c r="L331" s="65">
        <v>17219.849146465756</v>
      </c>
      <c r="M331" s="65">
        <v>0</v>
      </c>
      <c r="N331" s="65">
        <v>0</v>
      </c>
      <c r="O331" s="65">
        <v>433.66</v>
      </c>
      <c r="P331" s="65">
        <v>17219.849146465756</v>
      </c>
      <c r="Q331" s="50">
        <v>16668.12</v>
      </c>
      <c r="R331" s="65">
        <v>0</v>
      </c>
      <c r="S331" s="65">
        <v>0</v>
      </c>
      <c r="T331" s="65">
        <v>551.72914646575737</v>
      </c>
      <c r="U331" s="65">
        <v>0</v>
      </c>
      <c r="V331" s="65">
        <v>0</v>
      </c>
      <c r="W331" s="65">
        <v>0</v>
      </c>
      <c r="X331" s="65">
        <v>16668</v>
      </c>
      <c r="Y331" s="65">
        <v>0</v>
      </c>
      <c r="Z331" s="65">
        <v>0</v>
      </c>
      <c r="AA331" s="51">
        <v>0</v>
      </c>
      <c r="AB331" s="102">
        <v>0</v>
      </c>
      <c r="AC331" s="81">
        <f t="shared" si="18"/>
        <v>224.36628068833653</v>
      </c>
      <c r="AD331" s="82">
        <f t="shared" si="19"/>
        <v>59.771428571428565</v>
      </c>
      <c r="AE331" s="218">
        <v>-3.3100862392744797E-2</v>
      </c>
      <c r="AF331">
        <v>1</v>
      </c>
      <c r="AH331" t="str">
        <f t="shared" si="17"/>
        <v>Halsi</v>
      </c>
      <c r="AJ331" s="72">
        <v>0</v>
      </c>
      <c r="AK331" s="72"/>
      <c r="AL331" s="72"/>
      <c r="AM331" s="72"/>
    </row>
    <row r="332" spans="1:39" x14ac:dyDescent="0.25">
      <c r="A332" s="37" t="s">
        <v>62</v>
      </c>
      <c r="B332" s="66" t="s">
        <v>1566</v>
      </c>
      <c r="C332" s="47">
        <v>1009</v>
      </c>
      <c r="D332" s="47" t="s">
        <v>249</v>
      </c>
      <c r="E332" s="41">
        <v>10090065</v>
      </c>
      <c r="F332" s="46" t="s">
        <v>666</v>
      </c>
      <c r="G332" s="39" t="s">
        <v>93</v>
      </c>
      <c r="H332" s="48" t="s">
        <v>94</v>
      </c>
      <c r="I332" s="52">
        <v>488.2</v>
      </c>
      <c r="J332" s="49">
        <v>19762.23</v>
      </c>
      <c r="K332" s="65">
        <v>490.70999999999992</v>
      </c>
      <c r="L332" s="65">
        <v>19978.692714344863</v>
      </c>
      <c r="M332" s="65">
        <v>0</v>
      </c>
      <c r="N332" s="65">
        <v>0</v>
      </c>
      <c r="O332" s="65">
        <v>490.70999999999992</v>
      </c>
      <c r="P332" s="65">
        <v>19978.692714344863</v>
      </c>
      <c r="Q332" s="50">
        <v>19762.23</v>
      </c>
      <c r="R332" s="65">
        <v>0</v>
      </c>
      <c r="S332" s="65">
        <v>0</v>
      </c>
      <c r="T332" s="65">
        <v>216.46271434486334</v>
      </c>
      <c r="U332" s="65">
        <v>0</v>
      </c>
      <c r="V332" s="65">
        <v>0</v>
      </c>
      <c r="W332" s="65">
        <v>0</v>
      </c>
      <c r="X332" s="65">
        <v>19762</v>
      </c>
      <c r="Y332" s="65">
        <v>0</v>
      </c>
      <c r="Z332" s="65">
        <v>0</v>
      </c>
      <c r="AA332" s="51">
        <v>0</v>
      </c>
      <c r="AB332" s="102">
        <v>0</v>
      </c>
      <c r="AC332" s="81">
        <f t="shared" si="18"/>
        <v>171.47236026218761</v>
      </c>
      <c r="AD332" s="82">
        <f t="shared" si="19"/>
        <v>69.742857142857147</v>
      </c>
      <c r="AE332" s="218">
        <v>-1.0953354674288445E-2</v>
      </c>
      <c r="AF332">
        <v>2</v>
      </c>
      <c r="AH332" t="str">
        <f t="shared" si="17"/>
        <v>Halsi</v>
      </c>
      <c r="AJ332" s="72">
        <v>0</v>
      </c>
      <c r="AK332" s="72"/>
      <c r="AL332" s="72"/>
      <c r="AM332" s="72"/>
    </row>
    <row r="333" spans="1:39" x14ac:dyDescent="0.25">
      <c r="A333" s="37" t="s">
        <v>62</v>
      </c>
      <c r="B333" s="66" t="s">
        <v>1566</v>
      </c>
      <c r="C333" s="47">
        <v>1009</v>
      </c>
      <c r="D333" s="47" t="s">
        <v>249</v>
      </c>
      <c r="E333" s="41">
        <v>10090072</v>
      </c>
      <c r="F333" s="46" t="s">
        <v>1294</v>
      </c>
      <c r="G333" s="39" t="s">
        <v>93</v>
      </c>
      <c r="H333" s="48" t="s">
        <v>94</v>
      </c>
      <c r="I333" s="52">
        <v>430.70000000000005</v>
      </c>
      <c r="J333" s="49">
        <v>16239.869999999999</v>
      </c>
      <c r="K333" s="65">
        <v>510.38</v>
      </c>
      <c r="L333" s="65">
        <v>18885.799175859003</v>
      </c>
      <c r="M333" s="65">
        <v>0</v>
      </c>
      <c r="N333" s="65">
        <v>0</v>
      </c>
      <c r="O333" s="65">
        <v>510.38</v>
      </c>
      <c r="P333" s="65">
        <v>18885.799175859003</v>
      </c>
      <c r="Q333" s="50">
        <v>16239.869999999999</v>
      </c>
      <c r="R333" s="65">
        <v>0</v>
      </c>
      <c r="S333" s="65">
        <v>0</v>
      </c>
      <c r="T333" s="65">
        <v>2645.9291758590043</v>
      </c>
      <c r="U333" s="65">
        <v>0</v>
      </c>
      <c r="V333" s="65">
        <v>0</v>
      </c>
      <c r="W333" s="65">
        <v>0</v>
      </c>
      <c r="X333" s="65">
        <v>16240</v>
      </c>
      <c r="Y333" s="65">
        <v>0</v>
      </c>
      <c r="Z333" s="65">
        <v>0</v>
      </c>
      <c r="AA333" s="51">
        <v>0</v>
      </c>
      <c r="AB333" s="102">
        <v>0</v>
      </c>
      <c r="AC333" s="81">
        <f t="shared" si="18"/>
        <v>203.08321295565352</v>
      </c>
      <c r="AD333" s="82">
        <f t="shared" si="19"/>
        <v>61.528571428571432</v>
      </c>
      <c r="AE333" s="218">
        <v>-0.16292797761675459</v>
      </c>
      <c r="AF333">
        <v>2</v>
      </c>
      <c r="AH333" t="str">
        <f t="shared" si="17"/>
        <v>Halsi</v>
      </c>
      <c r="AJ333" s="72">
        <v>0</v>
      </c>
      <c r="AK333" s="72"/>
      <c r="AL333" s="72"/>
      <c r="AM333" s="72"/>
    </row>
    <row r="334" spans="1:39" x14ac:dyDescent="0.25">
      <c r="A334" s="37" t="s">
        <v>62</v>
      </c>
      <c r="B334" s="66" t="s">
        <v>1566</v>
      </c>
      <c r="C334" s="47">
        <v>1009</v>
      </c>
      <c r="D334" s="47" t="s">
        <v>249</v>
      </c>
      <c r="E334" s="41">
        <v>10090074</v>
      </c>
      <c r="F334" s="46" t="s">
        <v>1314</v>
      </c>
      <c r="G334" s="39" t="s">
        <v>93</v>
      </c>
      <c r="H334" s="48" t="s">
        <v>94</v>
      </c>
      <c r="I334" s="52">
        <v>553.09999999999991</v>
      </c>
      <c r="J334" s="49">
        <v>21361.97</v>
      </c>
      <c r="K334" s="65">
        <v>535.1</v>
      </c>
      <c r="L334" s="65">
        <v>21020.439433799773</v>
      </c>
      <c r="M334" s="65">
        <v>0</v>
      </c>
      <c r="N334" s="65">
        <v>0</v>
      </c>
      <c r="O334" s="65">
        <v>535.1</v>
      </c>
      <c r="P334" s="65">
        <v>21020.439433799773</v>
      </c>
      <c r="Q334" s="50">
        <v>21020.439433799773</v>
      </c>
      <c r="R334" s="65">
        <v>0</v>
      </c>
      <c r="S334" s="65">
        <v>0</v>
      </c>
      <c r="T334" s="65">
        <v>0</v>
      </c>
      <c r="U334" s="65">
        <v>0</v>
      </c>
      <c r="V334" s="65">
        <v>0</v>
      </c>
      <c r="W334" s="65">
        <v>0</v>
      </c>
      <c r="X334" s="65">
        <v>21020</v>
      </c>
      <c r="Y334" s="65">
        <v>0</v>
      </c>
      <c r="Z334" s="65">
        <v>0</v>
      </c>
      <c r="AA334" s="51">
        <v>342</v>
      </c>
      <c r="AB334" s="102">
        <v>0</v>
      </c>
      <c r="AC334" s="81">
        <f t="shared" si="18"/>
        <v>113.47218922437177</v>
      </c>
      <c r="AD334" s="82">
        <f t="shared" si="19"/>
        <v>79.014285714285705</v>
      </c>
      <c r="AE334" s="218">
        <v>1.5987784188453983E-2</v>
      </c>
      <c r="AF334">
        <v>3</v>
      </c>
      <c r="AH334" t="str">
        <f t="shared" si="17"/>
        <v>Halsi</v>
      </c>
      <c r="AJ334" s="72">
        <v>0</v>
      </c>
      <c r="AK334" s="72"/>
      <c r="AL334" s="72"/>
      <c r="AM334" s="72"/>
    </row>
    <row r="335" spans="1:39" x14ac:dyDescent="0.25">
      <c r="A335" s="37" t="s">
        <v>62</v>
      </c>
      <c r="B335" s="66" t="s">
        <v>1566</v>
      </c>
      <c r="C335" s="47">
        <v>1009</v>
      </c>
      <c r="D335" s="47" t="s">
        <v>249</v>
      </c>
      <c r="E335" s="41">
        <v>10090075</v>
      </c>
      <c r="F335" s="46" t="s">
        <v>1326</v>
      </c>
      <c r="G335" s="39" t="s">
        <v>93</v>
      </c>
      <c r="H335" s="48" t="s">
        <v>94</v>
      </c>
      <c r="I335" s="52">
        <v>612.70000000000005</v>
      </c>
      <c r="J335" s="49">
        <v>24020.43</v>
      </c>
      <c r="K335" s="65">
        <v>659.8900000000001</v>
      </c>
      <c r="L335" s="65">
        <v>27618.050697095365</v>
      </c>
      <c r="M335" s="65">
        <v>0</v>
      </c>
      <c r="N335" s="65">
        <v>0</v>
      </c>
      <c r="O335" s="65">
        <v>659.8900000000001</v>
      </c>
      <c r="P335" s="65">
        <v>27618.050697095365</v>
      </c>
      <c r="Q335" s="50">
        <v>24020.43</v>
      </c>
      <c r="R335" s="65">
        <v>0</v>
      </c>
      <c r="S335" s="65">
        <v>0</v>
      </c>
      <c r="T335" s="65">
        <v>3597.6206970953644</v>
      </c>
      <c r="U335" s="65">
        <v>0</v>
      </c>
      <c r="V335" s="65">
        <v>0</v>
      </c>
      <c r="W335" s="65">
        <v>0</v>
      </c>
      <c r="X335" s="65">
        <v>24020</v>
      </c>
      <c r="Y335" s="65">
        <v>0</v>
      </c>
      <c r="Z335" s="65">
        <v>0</v>
      </c>
      <c r="AA335" s="51">
        <v>0</v>
      </c>
      <c r="AB335" s="102">
        <v>0</v>
      </c>
      <c r="AC335" s="81">
        <f t="shared" si="18"/>
        <v>68.450580675697665</v>
      </c>
      <c r="AD335" s="82">
        <f t="shared" si="19"/>
        <v>87.528571428571439</v>
      </c>
      <c r="AE335" s="218">
        <v>-0.14977336779963407</v>
      </c>
      <c r="AF335">
        <v>3</v>
      </c>
      <c r="AH335" t="str">
        <f t="shared" si="17"/>
        <v>Halsi</v>
      </c>
      <c r="AJ335" s="72">
        <v>0</v>
      </c>
      <c r="AK335" s="72"/>
      <c r="AL335" s="72"/>
      <c r="AM335" s="72"/>
    </row>
    <row r="336" spans="1:39" x14ac:dyDescent="0.25">
      <c r="A336" s="37" t="s">
        <v>62</v>
      </c>
      <c r="B336" s="66" t="s">
        <v>1566</v>
      </c>
      <c r="C336" s="47">
        <v>1009</v>
      </c>
      <c r="D336" s="47" t="s">
        <v>249</v>
      </c>
      <c r="E336" s="41">
        <v>10090076</v>
      </c>
      <c r="F336" s="46" t="s">
        <v>1335</v>
      </c>
      <c r="G336" s="39" t="s">
        <v>635</v>
      </c>
      <c r="H336" s="48" t="s">
        <v>99</v>
      </c>
      <c r="I336" s="52">
        <v>14200</v>
      </c>
      <c r="J336" s="49">
        <v>521405</v>
      </c>
      <c r="K336" s="65">
        <v>0</v>
      </c>
      <c r="L336" s="65">
        <v>0</v>
      </c>
      <c r="M336" s="65">
        <v>0</v>
      </c>
      <c r="N336" s="65">
        <v>0</v>
      </c>
      <c r="O336" s="65">
        <v>0</v>
      </c>
      <c r="P336" s="65">
        <v>0</v>
      </c>
      <c r="Q336" s="50">
        <v>521405</v>
      </c>
      <c r="R336" s="65">
        <v>0</v>
      </c>
      <c r="S336" s="65">
        <v>0</v>
      </c>
      <c r="T336" s="65">
        <v>0</v>
      </c>
      <c r="U336" s="65">
        <v>0</v>
      </c>
      <c r="V336" s="65">
        <v>0</v>
      </c>
      <c r="W336" s="65">
        <v>0</v>
      </c>
      <c r="X336" s="65">
        <v>0</v>
      </c>
      <c r="Y336" s="65">
        <v>0</v>
      </c>
      <c r="Z336" s="65">
        <v>521405</v>
      </c>
      <c r="AA336" s="51">
        <v>0</v>
      </c>
      <c r="AB336" s="102">
        <v>0</v>
      </c>
      <c r="AC336" s="81">
        <f t="shared" si="18"/>
        <v>0</v>
      </c>
      <c r="AD336" s="82">
        <f t="shared" si="19"/>
        <v>0</v>
      </c>
      <c r="AE336" s="218">
        <v>0</v>
      </c>
      <c r="AF336">
        <v>0</v>
      </c>
      <c r="AH336" t="str">
        <f t="shared" si="17"/>
        <v>Halsi</v>
      </c>
      <c r="AJ336" s="72">
        <v>0</v>
      </c>
      <c r="AK336" s="72"/>
      <c r="AL336" s="72"/>
      <c r="AM336" s="72"/>
    </row>
    <row r="337" spans="1:39" x14ac:dyDescent="0.25">
      <c r="A337" s="37" t="s">
        <v>62</v>
      </c>
      <c r="B337" s="66" t="s">
        <v>1566</v>
      </c>
      <c r="C337" s="47">
        <v>1009</v>
      </c>
      <c r="D337" s="47" t="s">
        <v>249</v>
      </c>
      <c r="E337" s="41">
        <v>10090077</v>
      </c>
      <c r="F337" s="46" t="s">
        <v>1336</v>
      </c>
      <c r="G337" s="39" t="s">
        <v>635</v>
      </c>
      <c r="H337" s="48" t="s">
        <v>99</v>
      </c>
      <c r="I337" s="52">
        <v>14200</v>
      </c>
      <c r="J337" s="49">
        <v>522895</v>
      </c>
      <c r="K337" s="65">
        <v>0</v>
      </c>
      <c r="L337" s="65">
        <v>0</v>
      </c>
      <c r="M337" s="65">
        <v>0</v>
      </c>
      <c r="N337" s="65">
        <v>0</v>
      </c>
      <c r="O337" s="65">
        <v>0</v>
      </c>
      <c r="P337" s="65">
        <v>0</v>
      </c>
      <c r="Q337" s="50">
        <v>522895</v>
      </c>
      <c r="R337" s="65">
        <v>0</v>
      </c>
      <c r="S337" s="65">
        <v>0</v>
      </c>
      <c r="T337" s="65">
        <v>0</v>
      </c>
      <c r="U337" s="65">
        <v>0</v>
      </c>
      <c r="V337" s="65">
        <v>0</v>
      </c>
      <c r="W337" s="65">
        <v>0</v>
      </c>
      <c r="X337" s="65">
        <v>0</v>
      </c>
      <c r="Y337" s="65">
        <v>0</v>
      </c>
      <c r="Z337" s="65">
        <v>522895</v>
      </c>
      <c r="AA337" s="51">
        <v>0</v>
      </c>
      <c r="AB337" s="102">
        <v>0</v>
      </c>
      <c r="AC337" s="81">
        <f t="shared" si="18"/>
        <v>0</v>
      </c>
      <c r="AD337" s="82">
        <f t="shared" si="19"/>
        <v>0</v>
      </c>
      <c r="AE337" s="218">
        <v>0</v>
      </c>
      <c r="AF337">
        <v>0</v>
      </c>
      <c r="AH337" t="str">
        <f t="shared" si="17"/>
        <v>Halsi</v>
      </c>
      <c r="AJ337" s="72">
        <v>0</v>
      </c>
      <c r="AK337" s="72"/>
      <c r="AL337" s="72"/>
      <c r="AM337" s="72"/>
    </row>
    <row r="338" spans="1:39" x14ac:dyDescent="0.25">
      <c r="A338" s="37" t="s">
        <v>62</v>
      </c>
      <c r="B338" s="66" t="s">
        <v>1566</v>
      </c>
      <c r="C338" s="47">
        <v>1009</v>
      </c>
      <c r="D338" s="47" t="s">
        <v>249</v>
      </c>
      <c r="E338" s="41">
        <v>10090078</v>
      </c>
      <c r="F338" s="46" t="s">
        <v>1365</v>
      </c>
      <c r="G338" s="39" t="s">
        <v>93</v>
      </c>
      <c r="H338" s="48" t="s">
        <v>94</v>
      </c>
      <c r="I338" s="52">
        <v>322.59999999999997</v>
      </c>
      <c r="J338" s="49">
        <v>11872.210000000003</v>
      </c>
      <c r="K338" s="65">
        <v>349.6</v>
      </c>
      <c r="L338" s="65">
        <v>13122.624200399998</v>
      </c>
      <c r="M338" s="65">
        <v>0</v>
      </c>
      <c r="N338" s="65">
        <v>0</v>
      </c>
      <c r="O338" s="65">
        <v>349.6</v>
      </c>
      <c r="P338" s="65">
        <v>13122.624200399998</v>
      </c>
      <c r="Q338" s="50">
        <v>11872.210000000003</v>
      </c>
      <c r="R338" s="65">
        <v>0</v>
      </c>
      <c r="S338" s="65">
        <v>0</v>
      </c>
      <c r="T338" s="65">
        <v>1250.414200399995</v>
      </c>
      <c r="U338" s="65">
        <v>0</v>
      </c>
      <c r="V338" s="65">
        <v>0</v>
      </c>
      <c r="W338" s="65">
        <v>0</v>
      </c>
      <c r="X338" s="65">
        <v>11872</v>
      </c>
      <c r="Y338" s="65">
        <v>0</v>
      </c>
      <c r="Z338" s="65">
        <v>0</v>
      </c>
      <c r="AA338" s="51">
        <v>0</v>
      </c>
      <c r="AB338" s="102">
        <v>0</v>
      </c>
      <c r="AC338" s="81">
        <f t="shared" si="18"/>
        <v>277.77880061996296</v>
      </c>
      <c r="AD338" s="82">
        <f t="shared" si="19"/>
        <v>46.085714285714282</v>
      </c>
      <c r="AE338" s="218">
        <v>-0.10532278323917743</v>
      </c>
      <c r="AF338">
        <v>1</v>
      </c>
      <c r="AH338" t="str">
        <f t="shared" si="17"/>
        <v>Halsi</v>
      </c>
      <c r="AJ338" s="72">
        <v>0</v>
      </c>
      <c r="AK338" s="72"/>
      <c r="AL338" s="72"/>
      <c r="AM338" s="72"/>
    </row>
    <row r="339" spans="1:39" x14ac:dyDescent="0.25">
      <c r="A339" s="37" t="s">
        <v>62</v>
      </c>
      <c r="B339" s="66" t="s">
        <v>1566</v>
      </c>
      <c r="C339" s="47">
        <v>1009</v>
      </c>
      <c r="D339" s="47" t="s">
        <v>249</v>
      </c>
      <c r="E339" s="41">
        <v>10090079</v>
      </c>
      <c r="F339" s="46" t="s">
        <v>1493</v>
      </c>
      <c r="G339" s="39" t="s">
        <v>93</v>
      </c>
      <c r="H339" s="48" t="s">
        <v>94</v>
      </c>
      <c r="I339" s="52">
        <v>329.7</v>
      </c>
      <c r="J339" s="49">
        <v>11943.259999999997</v>
      </c>
      <c r="K339" s="65">
        <v>382.90000000000003</v>
      </c>
      <c r="L339" s="65">
        <v>13861.165812120002</v>
      </c>
      <c r="M339" s="65">
        <v>0</v>
      </c>
      <c r="N339" s="65">
        <v>0</v>
      </c>
      <c r="O339" s="65">
        <v>382.90000000000003</v>
      </c>
      <c r="P339" s="65">
        <v>13861.165812120002</v>
      </c>
      <c r="Q339" s="50">
        <v>11943.259999999997</v>
      </c>
      <c r="R339" s="65">
        <v>0</v>
      </c>
      <c r="S339" s="65">
        <v>0</v>
      </c>
      <c r="T339" s="65">
        <v>1917.9058121200051</v>
      </c>
      <c r="U339" s="65">
        <v>0</v>
      </c>
      <c r="V339" s="65">
        <v>0</v>
      </c>
      <c r="W339" s="65">
        <v>0</v>
      </c>
      <c r="X339" s="65">
        <v>11943</v>
      </c>
      <c r="Y339" s="65">
        <v>0</v>
      </c>
      <c r="Z339" s="65">
        <v>0</v>
      </c>
      <c r="AA339" s="51">
        <v>0</v>
      </c>
      <c r="AB339" s="102">
        <v>0</v>
      </c>
      <c r="AC339" s="81">
        <f t="shared" si="18"/>
        <v>268.27959830148609</v>
      </c>
      <c r="AD339" s="82">
        <f t="shared" si="19"/>
        <v>47.1</v>
      </c>
      <c r="AE339" s="218">
        <v>-0.16058478272431528</v>
      </c>
      <c r="AF339">
        <v>1</v>
      </c>
      <c r="AH339" t="str">
        <f t="shared" si="17"/>
        <v>Halsi</v>
      </c>
      <c r="AJ339" s="72">
        <v>0</v>
      </c>
      <c r="AK339" s="72"/>
      <c r="AL339" s="72"/>
      <c r="AM339" s="72"/>
    </row>
    <row r="340" spans="1:39" x14ac:dyDescent="0.25">
      <c r="A340" s="37" t="s">
        <v>62</v>
      </c>
      <c r="B340" s="66" t="s">
        <v>1566</v>
      </c>
      <c r="C340" s="47">
        <v>1009</v>
      </c>
      <c r="D340" s="47" t="s">
        <v>249</v>
      </c>
      <c r="E340" s="41">
        <v>10090080</v>
      </c>
      <c r="F340" s="46" t="s">
        <v>1580</v>
      </c>
      <c r="G340" s="39" t="s">
        <v>93</v>
      </c>
      <c r="H340" s="48" t="s">
        <v>94</v>
      </c>
      <c r="I340" s="52">
        <v>188.20000000000002</v>
      </c>
      <c r="J340" s="49">
        <v>8299.119999999999</v>
      </c>
      <c r="K340" s="65">
        <v>188.2</v>
      </c>
      <c r="L340" s="65">
        <v>8421.7897288799995</v>
      </c>
      <c r="M340" s="65">
        <v>0</v>
      </c>
      <c r="N340" s="65">
        <v>0</v>
      </c>
      <c r="O340" s="65">
        <v>188.2</v>
      </c>
      <c r="P340" s="65">
        <v>8421.7897288799995</v>
      </c>
      <c r="Q340" s="50">
        <v>8299.119999999999</v>
      </c>
      <c r="R340" s="65">
        <v>0</v>
      </c>
      <c r="S340" s="65">
        <v>0</v>
      </c>
      <c r="T340" s="65">
        <v>122.66972888000055</v>
      </c>
      <c r="U340" s="65">
        <v>0</v>
      </c>
      <c r="V340" s="65">
        <v>0</v>
      </c>
      <c r="W340" s="65">
        <v>0</v>
      </c>
      <c r="X340" s="65">
        <v>8299</v>
      </c>
      <c r="Y340" s="65">
        <v>0</v>
      </c>
      <c r="Z340" s="65">
        <v>0</v>
      </c>
      <c r="AA340" s="51">
        <v>0</v>
      </c>
      <c r="AB340" s="102">
        <v>0</v>
      </c>
      <c r="AC340" s="81">
        <f t="shared" si="18"/>
        <v>451.38040552603604</v>
      </c>
      <c r="AD340" s="82">
        <f t="shared" si="19"/>
        <v>26.88571428571429</v>
      </c>
      <c r="AE340" s="218">
        <v>-1.4781052554969752E-2</v>
      </c>
      <c r="AF340">
        <v>1</v>
      </c>
      <c r="AH340" t="str">
        <f t="shared" si="17"/>
        <v>Halsi</v>
      </c>
      <c r="AJ340" s="72">
        <v>0</v>
      </c>
      <c r="AK340" s="72"/>
      <c r="AL340" s="72"/>
      <c r="AM340" s="72"/>
    </row>
    <row r="341" spans="1:39" x14ac:dyDescent="0.25">
      <c r="A341" s="37" t="s">
        <v>62</v>
      </c>
      <c r="B341" s="66" t="s">
        <v>1566</v>
      </c>
      <c r="C341" s="47">
        <v>1010</v>
      </c>
      <c r="D341" s="47" t="s">
        <v>1359</v>
      </c>
      <c r="E341" s="41">
        <v>10100001</v>
      </c>
      <c r="F341" s="46" t="s">
        <v>620</v>
      </c>
      <c r="G341" s="39" t="s">
        <v>93</v>
      </c>
      <c r="H341" s="48" t="s">
        <v>94</v>
      </c>
      <c r="I341" s="52">
        <v>946.0999999999998</v>
      </c>
      <c r="J341" s="49">
        <v>35653.97</v>
      </c>
      <c r="K341" s="65">
        <v>937.46999999999991</v>
      </c>
      <c r="L341" s="65">
        <v>37016.029370548807</v>
      </c>
      <c r="M341" s="65">
        <v>9.16</v>
      </c>
      <c r="N341" s="65">
        <v>366.20719502399999</v>
      </c>
      <c r="O341" s="65">
        <v>946.62999999999988</v>
      </c>
      <c r="P341" s="65">
        <v>37382.236565572806</v>
      </c>
      <c r="Q341" s="50">
        <v>35653.97</v>
      </c>
      <c r="R341" s="65">
        <v>0</v>
      </c>
      <c r="S341" s="65">
        <v>366.20719502399999</v>
      </c>
      <c r="T341" s="65">
        <v>1728.2665655728051</v>
      </c>
      <c r="U341" s="65">
        <v>0</v>
      </c>
      <c r="V341" s="65">
        <v>0</v>
      </c>
      <c r="W341" s="65">
        <v>0</v>
      </c>
      <c r="X341" s="65">
        <v>35288</v>
      </c>
      <c r="Y341" s="65">
        <v>0</v>
      </c>
      <c r="Z341" s="65">
        <v>0</v>
      </c>
      <c r="AA341" s="51">
        <v>0</v>
      </c>
      <c r="AB341" s="102" t="s">
        <v>66</v>
      </c>
      <c r="AC341" s="81">
        <f t="shared" si="18"/>
        <v>0</v>
      </c>
      <c r="AD341" s="82">
        <f t="shared" si="19"/>
        <v>0</v>
      </c>
      <c r="AE341" s="218">
        <v>-4.8473327530505157E-2</v>
      </c>
      <c r="AF341">
        <v>12</v>
      </c>
      <c r="AH341" t="str">
        <f t="shared" si="17"/>
        <v>Parbatta</v>
      </c>
      <c r="AJ341" s="72">
        <v>0</v>
      </c>
      <c r="AK341" s="72"/>
      <c r="AL341" s="72"/>
      <c r="AM341" s="72"/>
    </row>
    <row r="342" spans="1:39" x14ac:dyDescent="0.25">
      <c r="A342" s="37" t="s">
        <v>62</v>
      </c>
      <c r="B342" s="66" t="s">
        <v>1566</v>
      </c>
      <c r="C342" s="47">
        <v>1010</v>
      </c>
      <c r="D342" s="47" t="s">
        <v>1359</v>
      </c>
      <c r="E342" s="41">
        <v>10100003</v>
      </c>
      <c r="F342" s="46" t="s">
        <v>279</v>
      </c>
      <c r="G342" s="39" t="s">
        <v>93</v>
      </c>
      <c r="H342" s="48" t="s">
        <v>94</v>
      </c>
      <c r="I342" s="52">
        <v>1548.8</v>
      </c>
      <c r="J342" s="49">
        <v>58096.009999999987</v>
      </c>
      <c r="K342" s="65">
        <v>1608.5</v>
      </c>
      <c r="L342" s="65">
        <v>68963.490944187011</v>
      </c>
      <c r="M342" s="65">
        <v>7</v>
      </c>
      <c r="N342" s="65">
        <v>326.57981373999996</v>
      </c>
      <c r="O342" s="65">
        <v>1615.5</v>
      </c>
      <c r="P342" s="65">
        <v>69290.070757927009</v>
      </c>
      <c r="Q342" s="50">
        <v>58096.009999999987</v>
      </c>
      <c r="R342" s="65">
        <v>0</v>
      </c>
      <c r="S342" s="65">
        <v>326.57981373999996</v>
      </c>
      <c r="T342" s="65">
        <v>11194.060757927022</v>
      </c>
      <c r="U342" s="65">
        <v>13000</v>
      </c>
      <c r="V342" s="65">
        <v>0</v>
      </c>
      <c r="W342" s="65">
        <v>0</v>
      </c>
      <c r="X342" s="65">
        <v>44769</v>
      </c>
      <c r="Y342" s="65">
        <v>0</v>
      </c>
      <c r="Z342" s="65">
        <v>0</v>
      </c>
      <c r="AA342" s="51">
        <v>0</v>
      </c>
      <c r="AB342" s="102">
        <v>0</v>
      </c>
      <c r="AC342" s="81">
        <f t="shared" si="18"/>
        <v>0</v>
      </c>
      <c r="AD342" s="82">
        <f t="shared" si="19"/>
        <v>0</v>
      </c>
      <c r="AE342" s="218">
        <v>-0.19268209224569852</v>
      </c>
      <c r="AF342">
        <v>5</v>
      </c>
      <c r="AH342" t="str">
        <f t="shared" si="17"/>
        <v>Parbatta</v>
      </c>
      <c r="AJ342" s="72">
        <v>0</v>
      </c>
      <c r="AK342" s="72"/>
      <c r="AL342" s="72"/>
      <c r="AM342" s="72"/>
    </row>
    <row r="343" spans="1:39" x14ac:dyDescent="0.25">
      <c r="A343" s="37" t="s">
        <v>62</v>
      </c>
      <c r="B343" s="66" t="s">
        <v>1566</v>
      </c>
      <c r="C343" s="47">
        <v>1010</v>
      </c>
      <c r="D343" s="47" t="s">
        <v>1359</v>
      </c>
      <c r="E343" s="41">
        <v>10100004</v>
      </c>
      <c r="F343" s="46" t="s">
        <v>280</v>
      </c>
      <c r="G343" s="39" t="s">
        <v>635</v>
      </c>
      <c r="H343" s="48" t="s">
        <v>99</v>
      </c>
      <c r="I343" s="52">
        <v>134.4</v>
      </c>
      <c r="J343" s="49">
        <v>4485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50">
        <v>4485</v>
      </c>
      <c r="R343" s="65">
        <v>0</v>
      </c>
      <c r="S343" s="65">
        <v>0</v>
      </c>
      <c r="T343" s="65">
        <v>0</v>
      </c>
      <c r="U343" s="65">
        <v>0</v>
      </c>
      <c r="V343" s="65">
        <v>0</v>
      </c>
      <c r="W343" s="65">
        <v>0</v>
      </c>
      <c r="X343" s="65">
        <v>0</v>
      </c>
      <c r="Y343" s="65">
        <v>0</v>
      </c>
      <c r="Z343" s="65">
        <v>4485</v>
      </c>
      <c r="AA343" s="51">
        <v>0</v>
      </c>
      <c r="AB343" s="102">
        <v>0</v>
      </c>
      <c r="AC343" s="81">
        <f t="shared" si="18"/>
        <v>377.48750000000001</v>
      </c>
      <c r="AD343" s="82">
        <f t="shared" si="19"/>
        <v>19.2</v>
      </c>
      <c r="AE343" s="218">
        <v>0</v>
      </c>
      <c r="AF343">
        <v>0</v>
      </c>
      <c r="AH343" t="str">
        <f t="shared" si="17"/>
        <v>Parbatta</v>
      </c>
      <c r="AJ343" s="72">
        <v>0</v>
      </c>
      <c r="AK343" s="72"/>
      <c r="AL343" s="72"/>
      <c r="AM343" s="72"/>
    </row>
    <row r="344" spans="1:39" x14ac:dyDescent="0.25">
      <c r="A344" s="37" t="s">
        <v>62</v>
      </c>
      <c r="B344" s="66" t="s">
        <v>1566</v>
      </c>
      <c r="C344" s="47">
        <v>1010</v>
      </c>
      <c r="D344" s="47" t="s">
        <v>1359</v>
      </c>
      <c r="E344" s="41">
        <v>10100009</v>
      </c>
      <c r="F344" s="46" t="s">
        <v>282</v>
      </c>
      <c r="G344" s="39" t="s">
        <v>93</v>
      </c>
      <c r="H344" s="48" t="s">
        <v>94</v>
      </c>
      <c r="I344" s="52">
        <v>1142.9000000000001</v>
      </c>
      <c r="J344" s="49">
        <v>44885.89</v>
      </c>
      <c r="K344" s="65">
        <v>1142.01</v>
      </c>
      <c r="L344" s="65">
        <v>49517.437148683457</v>
      </c>
      <c r="M344" s="65">
        <v>0</v>
      </c>
      <c r="N344" s="65">
        <v>0</v>
      </c>
      <c r="O344" s="65">
        <v>1142.01</v>
      </c>
      <c r="P344" s="65">
        <v>49517.437148683457</v>
      </c>
      <c r="Q344" s="50">
        <v>44885.89</v>
      </c>
      <c r="R344" s="65">
        <v>0</v>
      </c>
      <c r="S344" s="65">
        <v>0</v>
      </c>
      <c r="T344" s="65">
        <v>4631.5471486834576</v>
      </c>
      <c r="U344" s="65">
        <v>0</v>
      </c>
      <c r="V344" s="65">
        <v>0</v>
      </c>
      <c r="W344" s="65">
        <v>0</v>
      </c>
      <c r="X344" s="65">
        <v>44886</v>
      </c>
      <c r="Y344" s="65">
        <v>0</v>
      </c>
      <c r="Z344" s="65">
        <v>0</v>
      </c>
      <c r="AA344" s="51">
        <v>0</v>
      </c>
      <c r="AB344" s="102">
        <v>0</v>
      </c>
      <c r="AC344" s="81">
        <f t="shared" si="18"/>
        <v>0</v>
      </c>
      <c r="AD344" s="82">
        <f t="shared" si="19"/>
        <v>0</v>
      </c>
      <c r="AE344" s="218">
        <v>-0.1031849240080448</v>
      </c>
      <c r="AF344">
        <v>6</v>
      </c>
      <c r="AH344" t="str">
        <f t="shared" si="17"/>
        <v>Parbatta</v>
      </c>
      <c r="AJ344" s="72">
        <v>0</v>
      </c>
      <c r="AK344" s="72"/>
      <c r="AL344" s="72"/>
      <c r="AM344" s="72"/>
    </row>
    <row r="345" spans="1:39" x14ac:dyDescent="0.25">
      <c r="A345" s="37" t="s">
        <v>62</v>
      </c>
      <c r="B345" s="66" t="s">
        <v>1566</v>
      </c>
      <c r="C345" s="47">
        <v>1010</v>
      </c>
      <c r="D345" s="47" t="s">
        <v>1359</v>
      </c>
      <c r="E345" s="41">
        <v>10100014</v>
      </c>
      <c r="F345" s="46" t="s">
        <v>1237</v>
      </c>
      <c r="G345" s="39" t="s">
        <v>93</v>
      </c>
      <c r="H345" s="48" t="s">
        <v>94</v>
      </c>
      <c r="I345" s="52">
        <v>379.6</v>
      </c>
      <c r="J345" s="49">
        <v>14536.68</v>
      </c>
      <c r="K345" s="65">
        <v>406.64000000000004</v>
      </c>
      <c r="L345" s="65">
        <v>15569.971455852001</v>
      </c>
      <c r="M345" s="65">
        <v>0</v>
      </c>
      <c r="N345" s="65">
        <v>0</v>
      </c>
      <c r="O345" s="65">
        <v>406.64000000000004</v>
      </c>
      <c r="P345" s="65">
        <v>15569.971455852001</v>
      </c>
      <c r="Q345" s="50">
        <v>14536.68</v>
      </c>
      <c r="R345" s="65">
        <v>0</v>
      </c>
      <c r="S345" s="65">
        <v>0</v>
      </c>
      <c r="T345" s="65">
        <v>1033.2914558520006</v>
      </c>
      <c r="U345" s="65">
        <v>0</v>
      </c>
      <c r="V345" s="65">
        <v>0</v>
      </c>
      <c r="W345" s="65">
        <v>0</v>
      </c>
      <c r="X345" s="65">
        <v>14537</v>
      </c>
      <c r="Y345" s="65">
        <v>0</v>
      </c>
      <c r="Z345" s="65">
        <v>0</v>
      </c>
      <c r="AA345" s="51">
        <v>0</v>
      </c>
      <c r="AB345" s="102" t="s">
        <v>66</v>
      </c>
      <c r="AC345" s="81">
        <f t="shared" si="18"/>
        <v>245.39263814541619</v>
      </c>
      <c r="AD345" s="82">
        <f t="shared" si="19"/>
        <v>54.228571428571435</v>
      </c>
      <c r="AE345" s="218">
        <v>-7.1081667605808238E-2</v>
      </c>
      <c r="AF345">
        <v>5</v>
      </c>
      <c r="AH345" t="str">
        <f t="shared" si="17"/>
        <v>Parbatta</v>
      </c>
      <c r="AJ345" s="72">
        <v>0</v>
      </c>
      <c r="AK345" s="72"/>
      <c r="AL345" s="72"/>
      <c r="AM345" s="72"/>
    </row>
    <row r="346" spans="1:39" x14ac:dyDescent="0.25">
      <c r="A346" s="37" t="s">
        <v>62</v>
      </c>
      <c r="B346" s="66" t="s">
        <v>1566</v>
      </c>
      <c r="C346" s="47">
        <v>1010</v>
      </c>
      <c r="D346" s="47" t="s">
        <v>1359</v>
      </c>
      <c r="E346" s="41">
        <v>10100016</v>
      </c>
      <c r="F346" s="46" t="s">
        <v>1285</v>
      </c>
      <c r="G346" s="39" t="s">
        <v>93</v>
      </c>
      <c r="H346" s="48" t="s">
        <v>94</v>
      </c>
      <c r="I346" s="52">
        <v>117.2</v>
      </c>
      <c r="J346" s="49">
        <v>4773.2699999999995</v>
      </c>
      <c r="K346" s="65">
        <v>120</v>
      </c>
      <c r="L346" s="65">
        <v>5042.5345080000006</v>
      </c>
      <c r="M346" s="65">
        <v>0</v>
      </c>
      <c r="N346" s="65">
        <v>0</v>
      </c>
      <c r="O346" s="65">
        <v>120</v>
      </c>
      <c r="P346" s="65">
        <v>5042.5345080000006</v>
      </c>
      <c r="Q346" s="50">
        <v>4773.2699999999995</v>
      </c>
      <c r="R346" s="65">
        <v>0</v>
      </c>
      <c r="S346" s="65">
        <v>0</v>
      </c>
      <c r="T346" s="65">
        <v>269.26450800000111</v>
      </c>
      <c r="U346" s="65">
        <v>0</v>
      </c>
      <c r="V346" s="65">
        <v>0</v>
      </c>
      <c r="W346" s="65">
        <v>0</v>
      </c>
      <c r="X346" s="65">
        <v>4773</v>
      </c>
      <c r="Y346" s="65">
        <v>0</v>
      </c>
      <c r="Z346" s="65">
        <v>0</v>
      </c>
      <c r="AA346" s="51">
        <v>0</v>
      </c>
      <c r="AB346" s="102">
        <v>0</v>
      </c>
      <c r="AC346" s="81">
        <f t="shared" si="18"/>
        <v>474.72043617747431</v>
      </c>
      <c r="AD346" s="82">
        <f t="shared" si="19"/>
        <v>16.742857142857144</v>
      </c>
      <c r="AE346" s="218">
        <v>-5.6410910759291041E-2</v>
      </c>
      <c r="AF346">
        <v>2</v>
      </c>
      <c r="AH346" t="str">
        <f t="shared" si="17"/>
        <v>Parbatta</v>
      </c>
      <c r="AJ346" s="72">
        <v>0</v>
      </c>
      <c r="AK346" s="72"/>
      <c r="AL346" s="72"/>
      <c r="AM346" s="72"/>
    </row>
    <row r="347" spans="1:39" x14ac:dyDescent="0.25">
      <c r="A347" s="37" t="s">
        <v>62</v>
      </c>
      <c r="B347" s="66" t="s">
        <v>1566</v>
      </c>
      <c r="C347" s="47">
        <v>1010</v>
      </c>
      <c r="D347" s="47" t="s">
        <v>1359</v>
      </c>
      <c r="E347" s="41">
        <v>10100021</v>
      </c>
      <c r="F347" s="46" t="s">
        <v>284</v>
      </c>
      <c r="G347" s="39" t="s">
        <v>93</v>
      </c>
      <c r="H347" s="48" t="s">
        <v>94</v>
      </c>
      <c r="I347" s="52">
        <v>521.20000000000005</v>
      </c>
      <c r="J347" s="49">
        <v>19297.43</v>
      </c>
      <c r="K347" s="65">
        <v>521</v>
      </c>
      <c r="L347" s="65">
        <v>21594.992562000003</v>
      </c>
      <c r="M347" s="65">
        <v>0</v>
      </c>
      <c r="N347" s="65">
        <v>0</v>
      </c>
      <c r="O347" s="65">
        <v>521</v>
      </c>
      <c r="P347" s="65">
        <v>21594.992562000003</v>
      </c>
      <c r="Q347" s="50">
        <v>19297.43</v>
      </c>
      <c r="R347" s="65">
        <v>0</v>
      </c>
      <c r="S347" s="65">
        <v>0</v>
      </c>
      <c r="T347" s="65">
        <v>2297.5625620000028</v>
      </c>
      <c r="U347" s="65">
        <v>0</v>
      </c>
      <c r="V347" s="65">
        <v>0</v>
      </c>
      <c r="W347" s="65">
        <v>0</v>
      </c>
      <c r="X347" s="65">
        <v>19297</v>
      </c>
      <c r="Y347" s="65">
        <v>0</v>
      </c>
      <c r="Z347" s="65">
        <v>0</v>
      </c>
      <c r="AA347" s="51">
        <v>0</v>
      </c>
      <c r="AB347" s="102">
        <v>0</v>
      </c>
      <c r="AC347" s="81">
        <f t="shared" si="18"/>
        <v>132.40139999999991</v>
      </c>
      <c r="AD347" s="82">
        <f t="shared" si="19"/>
        <v>74.45714285714287</v>
      </c>
      <c r="AE347" s="218">
        <v>-0.11906054650800665</v>
      </c>
      <c r="AF347">
        <v>1</v>
      </c>
      <c r="AH347" t="str">
        <f t="shared" si="17"/>
        <v>Parbatta</v>
      </c>
      <c r="AJ347" s="72">
        <v>0</v>
      </c>
      <c r="AK347" s="72"/>
      <c r="AL347" s="72"/>
      <c r="AM347" s="72"/>
    </row>
    <row r="348" spans="1:39" x14ac:dyDescent="0.25">
      <c r="A348" s="37" t="s">
        <v>62</v>
      </c>
      <c r="B348" s="66" t="s">
        <v>1566</v>
      </c>
      <c r="C348" s="47">
        <v>1010</v>
      </c>
      <c r="D348" s="47" t="s">
        <v>1359</v>
      </c>
      <c r="E348" s="41">
        <v>10100026</v>
      </c>
      <c r="F348" s="46" t="s">
        <v>1360</v>
      </c>
      <c r="G348" s="39" t="s">
        <v>635</v>
      </c>
      <c r="H348" s="48" t="s">
        <v>99</v>
      </c>
      <c r="I348" s="52">
        <v>300.8</v>
      </c>
      <c r="J348" s="49">
        <v>10205.650000000001</v>
      </c>
      <c r="K348" s="65">
        <v>0</v>
      </c>
      <c r="L348" s="65">
        <v>0</v>
      </c>
      <c r="M348" s="65">
        <v>0</v>
      </c>
      <c r="N348" s="65">
        <v>0</v>
      </c>
      <c r="O348" s="65">
        <v>0</v>
      </c>
      <c r="P348" s="65">
        <v>0</v>
      </c>
      <c r="Q348" s="50">
        <v>10205.650000000001</v>
      </c>
      <c r="R348" s="65">
        <v>0</v>
      </c>
      <c r="S348" s="65">
        <v>0</v>
      </c>
      <c r="T348" s="65">
        <v>0</v>
      </c>
      <c r="U348" s="65">
        <v>0</v>
      </c>
      <c r="V348" s="65">
        <v>1059.21810967742</v>
      </c>
      <c r="W348" s="65">
        <v>0</v>
      </c>
      <c r="X348" s="65">
        <v>0</v>
      </c>
      <c r="Y348" s="65">
        <v>0</v>
      </c>
      <c r="Z348" s="65">
        <v>9146.4318903225812</v>
      </c>
      <c r="AA348" s="51">
        <v>0</v>
      </c>
      <c r="AB348" s="102">
        <v>0</v>
      </c>
      <c r="AC348" s="81">
        <f t="shared" si="18"/>
        <v>270.88400797872345</v>
      </c>
      <c r="AD348" s="82">
        <f t="shared" si="19"/>
        <v>42.971428571428575</v>
      </c>
      <c r="AE348" s="218">
        <v>0</v>
      </c>
      <c r="AF348">
        <v>0</v>
      </c>
      <c r="AH348" t="str">
        <f t="shared" si="17"/>
        <v>Parbatta</v>
      </c>
      <c r="AJ348" s="72">
        <v>0</v>
      </c>
      <c r="AK348" s="72"/>
      <c r="AL348" s="72"/>
      <c r="AM348" s="72"/>
    </row>
    <row r="349" spans="1:39" x14ac:dyDescent="0.25">
      <c r="A349" s="37" t="s">
        <v>62</v>
      </c>
      <c r="B349" s="66" t="s">
        <v>1566</v>
      </c>
      <c r="C349" s="47">
        <v>1007</v>
      </c>
      <c r="D349" s="47" t="s">
        <v>207</v>
      </c>
      <c r="E349" s="41">
        <v>10100033</v>
      </c>
      <c r="F349" s="46" t="s">
        <v>286</v>
      </c>
      <c r="G349" s="39" t="s">
        <v>635</v>
      </c>
      <c r="H349" s="48" t="s">
        <v>99</v>
      </c>
      <c r="I349" s="52">
        <v>72.099999999999994</v>
      </c>
      <c r="J349" s="49">
        <v>2597.8999999999996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50">
        <v>2597.8999999999996</v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r="W349" s="65">
        <v>0</v>
      </c>
      <c r="X349" s="65">
        <v>0</v>
      </c>
      <c r="Y349" s="65">
        <v>0</v>
      </c>
      <c r="Z349" s="65">
        <v>2597.8999999999996</v>
      </c>
      <c r="AA349" s="51">
        <v>0</v>
      </c>
      <c r="AB349" s="102">
        <v>0</v>
      </c>
      <c r="AC349" s="81">
        <f t="shared" si="18"/>
        <v>452.4886019417475</v>
      </c>
      <c r="AD349" s="82">
        <f t="shared" si="19"/>
        <v>10.299999999999999</v>
      </c>
      <c r="AE349" s="218">
        <v>0</v>
      </c>
      <c r="AF349">
        <v>0</v>
      </c>
      <c r="AH349" t="str">
        <f t="shared" si="17"/>
        <v>Araria</v>
      </c>
      <c r="AJ349" s="72">
        <v>0</v>
      </c>
      <c r="AK349" s="72"/>
      <c r="AL349" s="72"/>
      <c r="AM349" s="72"/>
    </row>
    <row r="350" spans="1:39" x14ac:dyDescent="0.25">
      <c r="A350" s="37" t="s">
        <v>62</v>
      </c>
      <c r="B350" s="66" t="s">
        <v>1566</v>
      </c>
      <c r="C350" s="47">
        <v>1007</v>
      </c>
      <c r="D350" s="47" t="s">
        <v>207</v>
      </c>
      <c r="E350" s="41">
        <v>10100037</v>
      </c>
      <c r="F350" s="46" t="s">
        <v>288</v>
      </c>
      <c r="G350" s="39" t="s">
        <v>93</v>
      </c>
      <c r="H350" s="48" t="s">
        <v>94</v>
      </c>
      <c r="I350" s="52">
        <v>169.4</v>
      </c>
      <c r="J350" s="49">
        <v>8400.7800000000007</v>
      </c>
      <c r="K350" s="65">
        <v>209.1</v>
      </c>
      <c r="L350" s="65">
        <v>10474.7191596755</v>
      </c>
      <c r="M350" s="65">
        <v>0</v>
      </c>
      <c r="N350" s="65">
        <v>0</v>
      </c>
      <c r="O350" s="65">
        <v>209.1</v>
      </c>
      <c r="P350" s="65">
        <v>10474.7191596755</v>
      </c>
      <c r="Q350" s="50">
        <v>8400.7800000000007</v>
      </c>
      <c r="R350" s="65">
        <v>0</v>
      </c>
      <c r="S350" s="65">
        <v>0</v>
      </c>
      <c r="T350" s="65">
        <v>2073.9391596754995</v>
      </c>
      <c r="U350" s="65">
        <v>0</v>
      </c>
      <c r="V350" s="65">
        <v>0</v>
      </c>
      <c r="W350" s="65">
        <v>0</v>
      </c>
      <c r="X350" s="65">
        <v>8401</v>
      </c>
      <c r="Y350" s="65">
        <v>0</v>
      </c>
      <c r="Z350" s="65">
        <v>0</v>
      </c>
      <c r="AA350" s="51">
        <v>0</v>
      </c>
      <c r="AB350" s="102">
        <v>0</v>
      </c>
      <c r="AC350" s="81">
        <f t="shared" si="18"/>
        <v>526.26373884297527</v>
      </c>
      <c r="AD350" s="82">
        <f t="shared" si="19"/>
        <v>24.2</v>
      </c>
      <c r="AE350" s="218">
        <v>-0.24687459493945793</v>
      </c>
      <c r="AF350">
        <v>2</v>
      </c>
      <c r="AH350" t="str">
        <f t="shared" si="17"/>
        <v>Araria</v>
      </c>
      <c r="AJ350" s="72">
        <v>0</v>
      </c>
      <c r="AK350" s="72"/>
      <c r="AL350" s="72"/>
      <c r="AM350" s="72"/>
    </row>
    <row r="351" spans="1:39" x14ac:dyDescent="0.25">
      <c r="A351" s="37" t="s">
        <v>62</v>
      </c>
      <c r="B351" s="66" t="s">
        <v>1566</v>
      </c>
      <c r="C351" s="47">
        <v>1007</v>
      </c>
      <c r="D351" s="47" t="s">
        <v>207</v>
      </c>
      <c r="E351" s="41">
        <v>10100044</v>
      </c>
      <c r="F351" s="46" t="s">
        <v>1286</v>
      </c>
      <c r="G351" s="39" t="s">
        <v>635</v>
      </c>
      <c r="H351" s="48" t="s">
        <v>99</v>
      </c>
      <c r="I351" s="52">
        <v>1135.7</v>
      </c>
      <c r="J351" s="49">
        <v>41655.479999999996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50">
        <v>41655.479999999996</v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r="W351" s="65">
        <v>0</v>
      </c>
      <c r="X351" s="65">
        <v>0</v>
      </c>
      <c r="Y351" s="65">
        <v>0</v>
      </c>
      <c r="Z351" s="65">
        <v>41655.479999999996</v>
      </c>
      <c r="AA351" s="51">
        <v>0</v>
      </c>
      <c r="AB351" s="102">
        <v>0</v>
      </c>
      <c r="AC351" s="81">
        <f t="shared" si="18"/>
        <v>0</v>
      </c>
      <c r="AD351" s="82">
        <f t="shared" si="19"/>
        <v>0</v>
      </c>
      <c r="AE351" s="218">
        <v>0</v>
      </c>
      <c r="AF351">
        <v>0</v>
      </c>
      <c r="AH351" t="str">
        <f t="shared" si="17"/>
        <v>Araria</v>
      </c>
      <c r="AJ351" s="72">
        <v>0</v>
      </c>
      <c r="AK351" s="72"/>
      <c r="AL351" s="72"/>
      <c r="AM351" s="72"/>
    </row>
    <row r="352" spans="1:39" x14ac:dyDescent="0.25">
      <c r="A352" s="37" t="s">
        <v>62</v>
      </c>
      <c r="B352" s="66" t="s">
        <v>1566</v>
      </c>
      <c r="C352" s="47">
        <v>1007</v>
      </c>
      <c r="D352" s="47" t="s">
        <v>207</v>
      </c>
      <c r="E352" s="41">
        <v>10100049</v>
      </c>
      <c r="F352" s="46" t="s">
        <v>621</v>
      </c>
      <c r="G352" s="39" t="s">
        <v>93</v>
      </c>
      <c r="H352" s="48" t="s">
        <v>94</v>
      </c>
      <c r="I352" s="52">
        <v>225.8</v>
      </c>
      <c r="J352" s="49">
        <v>8158.92</v>
      </c>
      <c r="K352" s="65">
        <v>125.8</v>
      </c>
      <c r="L352" s="65">
        <v>4550.0722264800006</v>
      </c>
      <c r="M352" s="65">
        <v>0</v>
      </c>
      <c r="N352" s="65">
        <v>0</v>
      </c>
      <c r="O352" s="65">
        <v>125.8</v>
      </c>
      <c r="P352" s="65">
        <v>4550.0722264800006</v>
      </c>
      <c r="Q352" s="50">
        <v>4550.0722264800006</v>
      </c>
      <c r="R352" s="65">
        <v>0</v>
      </c>
      <c r="S352" s="65">
        <v>0</v>
      </c>
      <c r="T352" s="65">
        <v>0</v>
      </c>
      <c r="U352" s="65">
        <v>0</v>
      </c>
      <c r="V352" s="65">
        <v>333.85</v>
      </c>
      <c r="W352" s="65">
        <v>0</v>
      </c>
      <c r="X352" s="65">
        <v>4216</v>
      </c>
      <c r="Y352" s="65">
        <v>0</v>
      </c>
      <c r="Z352" s="65">
        <v>0</v>
      </c>
      <c r="AA352" s="51">
        <v>3609</v>
      </c>
      <c r="AB352" s="102" t="s">
        <v>68</v>
      </c>
      <c r="AC352" s="81">
        <f t="shared" si="18"/>
        <v>342.68909335695292</v>
      </c>
      <c r="AD352" s="82">
        <f t="shared" si="19"/>
        <v>32.25714285714286</v>
      </c>
      <c r="AE352" s="218">
        <v>0.44231929881896126</v>
      </c>
      <c r="AF352">
        <v>1</v>
      </c>
      <c r="AH352" t="str">
        <f t="shared" si="17"/>
        <v>Araria</v>
      </c>
      <c r="AJ352" s="72">
        <v>0</v>
      </c>
      <c r="AK352" s="72"/>
      <c r="AL352" s="72"/>
      <c r="AM352" s="72"/>
    </row>
    <row r="353" spans="1:39" x14ac:dyDescent="0.25">
      <c r="A353" s="37" t="s">
        <v>62</v>
      </c>
      <c r="B353" s="66" t="s">
        <v>1566</v>
      </c>
      <c r="C353" s="47">
        <v>1007</v>
      </c>
      <c r="D353" s="47" t="s">
        <v>207</v>
      </c>
      <c r="E353" s="41">
        <v>10100051</v>
      </c>
      <c r="F353" s="46" t="s">
        <v>451</v>
      </c>
      <c r="G353" s="39" t="s">
        <v>93</v>
      </c>
      <c r="H353" s="48" t="s">
        <v>94</v>
      </c>
      <c r="I353" s="52">
        <v>1142.3999999999999</v>
      </c>
      <c r="J353" s="49">
        <v>42419.78</v>
      </c>
      <c r="K353" s="65">
        <v>1280.5</v>
      </c>
      <c r="L353" s="65">
        <v>47653.458474599996</v>
      </c>
      <c r="M353" s="65">
        <v>0.5</v>
      </c>
      <c r="N353" s="65">
        <v>16.441095330000003</v>
      </c>
      <c r="O353" s="65">
        <v>1281</v>
      </c>
      <c r="P353" s="65">
        <v>47669.899569929999</v>
      </c>
      <c r="Q353" s="50">
        <v>42419.78</v>
      </c>
      <c r="R353" s="65">
        <v>0</v>
      </c>
      <c r="S353" s="65">
        <v>16.441095330000003</v>
      </c>
      <c r="T353" s="65">
        <v>5250.1195699300006</v>
      </c>
      <c r="U353" s="65">
        <v>0</v>
      </c>
      <c r="V353" s="65">
        <v>0</v>
      </c>
      <c r="W353" s="65">
        <v>0</v>
      </c>
      <c r="X353" s="65">
        <v>42403</v>
      </c>
      <c r="Y353" s="65">
        <v>0</v>
      </c>
      <c r="Z353" s="65">
        <v>0</v>
      </c>
      <c r="AA353" s="51">
        <v>0</v>
      </c>
      <c r="AB353" s="102">
        <v>0</v>
      </c>
      <c r="AC353" s="81">
        <f t="shared" si="18"/>
        <v>0</v>
      </c>
      <c r="AD353" s="82">
        <f t="shared" si="19"/>
        <v>0</v>
      </c>
      <c r="AE353" s="218">
        <v>-0.12376583683201564</v>
      </c>
      <c r="AF353">
        <v>3</v>
      </c>
      <c r="AH353" t="str">
        <f t="shared" si="17"/>
        <v>Araria</v>
      </c>
      <c r="AJ353" s="72">
        <v>0</v>
      </c>
      <c r="AK353" s="72"/>
      <c r="AL353" s="72"/>
      <c r="AM353" s="72"/>
    </row>
    <row r="354" spans="1:39" x14ac:dyDescent="0.25">
      <c r="A354" s="37" t="s">
        <v>62</v>
      </c>
      <c r="B354" s="66" t="s">
        <v>1566</v>
      </c>
      <c r="C354" s="47">
        <v>1007</v>
      </c>
      <c r="D354" s="47" t="s">
        <v>207</v>
      </c>
      <c r="E354" s="41">
        <v>10100054</v>
      </c>
      <c r="F354" s="46" t="s">
        <v>507</v>
      </c>
      <c r="G354" s="39" t="s">
        <v>93</v>
      </c>
      <c r="H354" s="48" t="s">
        <v>94</v>
      </c>
      <c r="I354" s="52">
        <v>262.99999999999994</v>
      </c>
      <c r="J354" s="49">
        <v>11205.42</v>
      </c>
      <c r="K354" s="65">
        <v>485.43</v>
      </c>
      <c r="L354" s="65">
        <v>19652.882300550646</v>
      </c>
      <c r="M354" s="65">
        <v>3.1100000000000003</v>
      </c>
      <c r="N354" s="65">
        <v>123.08282751600001</v>
      </c>
      <c r="O354" s="65">
        <v>488.54</v>
      </c>
      <c r="P354" s="65">
        <v>19775.965128066644</v>
      </c>
      <c r="Q354" s="50">
        <v>11205.42</v>
      </c>
      <c r="R354" s="65">
        <v>0</v>
      </c>
      <c r="S354" s="65">
        <v>123.08282751600001</v>
      </c>
      <c r="T354" s="65">
        <v>8570.5451280666439</v>
      </c>
      <c r="U354" s="65">
        <v>0</v>
      </c>
      <c r="V354" s="65">
        <v>0</v>
      </c>
      <c r="W354" s="65">
        <v>0</v>
      </c>
      <c r="X354" s="65">
        <v>11082</v>
      </c>
      <c r="Y354" s="65">
        <v>0</v>
      </c>
      <c r="Z354" s="65">
        <v>0</v>
      </c>
      <c r="AA354" s="51">
        <v>0</v>
      </c>
      <c r="AB354" s="102">
        <v>0</v>
      </c>
      <c r="AC354" s="81">
        <f t="shared" si="18"/>
        <v>372.37783574144504</v>
      </c>
      <c r="AD354" s="82">
        <f t="shared" si="19"/>
        <v>37.571428571428562</v>
      </c>
      <c r="AE354" s="218">
        <v>-0.76485710737006229</v>
      </c>
      <c r="AF354">
        <v>8</v>
      </c>
      <c r="AH354" t="str">
        <f t="shared" si="17"/>
        <v>Araria</v>
      </c>
      <c r="AJ354" s="72">
        <v>0</v>
      </c>
      <c r="AK354" s="72"/>
      <c r="AL354" s="72"/>
      <c r="AM354" s="72"/>
    </row>
    <row r="355" spans="1:39" x14ac:dyDescent="0.25">
      <c r="A355" s="37" t="s">
        <v>62</v>
      </c>
      <c r="B355" s="66" t="s">
        <v>1566</v>
      </c>
      <c r="C355" s="47">
        <v>1007</v>
      </c>
      <c r="D355" s="47" t="s">
        <v>207</v>
      </c>
      <c r="E355" s="41">
        <v>10100060</v>
      </c>
      <c r="F355" s="46" t="s">
        <v>508</v>
      </c>
      <c r="G355" s="39" t="s">
        <v>93</v>
      </c>
      <c r="H355" s="48" t="s">
        <v>94</v>
      </c>
      <c r="I355" s="52">
        <v>291.70000000000005</v>
      </c>
      <c r="J355" s="49">
        <v>10440.369999999999</v>
      </c>
      <c r="K355" s="65">
        <v>292</v>
      </c>
      <c r="L355" s="65">
        <v>10911.856107240001</v>
      </c>
      <c r="M355" s="65">
        <v>0</v>
      </c>
      <c r="N355" s="65">
        <v>0</v>
      </c>
      <c r="O355" s="65">
        <v>292</v>
      </c>
      <c r="P355" s="65">
        <v>10911.856107240001</v>
      </c>
      <c r="Q355" s="50">
        <v>10440.369999999999</v>
      </c>
      <c r="R355" s="65">
        <v>0</v>
      </c>
      <c r="S355" s="65">
        <v>0</v>
      </c>
      <c r="T355" s="65">
        <v>471.48610724000173</v>
      </c>
      <c r="U355" s="65">
        <v>0</v>
      </c>
      <c r="V355" s="65">
        <v>0</v>
      </c>
      <c r="W355" s="65">
        <v>0</v>
      </c>
      <c r="X355" s="65">
        <v>10440</v>
      </c>
      <c r="Y355" s="65">
        <v>0</v>
      </c>
      <c r="Z355" s="65">
        <v>0</v>
      </c>
      <c r="AA355" s="51">
        <v>0</v>
      </c>
      <c r="AB355" s="102">
        <v>0</v>
      </c>
      <c r="AC355" s="81">
        <f t="shared" si="18"/>
        <v>292.27309365786761</v>
      </c>
      <c r="AD355" s="82">
        <f t="shared" si="19"/>
        <v>41.671428571428578</v>
      </c>
      <c r="AE355" s="218">
        <v>-4.5159904030221319E-2</v>
      </c>
      <c r="AF355">
        <v>4</v>
      </c>
      <c r="AH355" t="str">
        <f t="shared" si="17"/>
        <v>Araria</v>
      </c>
      <c r="AJ355" s="72">
        <v>0</v>
      </c>
      <c r="AK355" s="72"/>
      <c r="AL355" s="72"/>
      <c r="AM355" s="72"/>
    </row>
    <row r="356" spans="1:39" x14ac:dyDescent="0.25">
      <c r="A356" s="37" t="s">
        <v>62</v>
      </c>
      <c r="B356" s="66" t="s">
        <v>1566</v>
      </c>
      <c r="C356" s="47">
        <v>1010</v>
      </c>
      <c r="D356" s="47" t="s">
        <v>1359</v>
      </c>
      <c r="E356" s="41">
        <v>10100061</v>
      </c>
      <c r="F356" s="46" t="s">
        <v>1451</v>
      </c>
      <c r="G356" s="39" t="s">
        <v>93</v>
      </c>
      <c r="H356" s="48" t="s">
        <v>94</v>
      </c>
      <c r="I356" s="52">
        <v>56.900000000000013</v>
      </c>
      <c r="J356" s="49">
        <v>2002.62</v>
      </c>
      <c r="K356" s="65">
        <v>0</v>
      </c>
      <c r="L356" s="65">
        <v>0</v>
      </c>
      <c r="M356" s="65">
        <v>0</v>
      </c>
      <c r="N356" s="65">
        <v>0</v>
      </c>
      <c r="O356" s="65">
        <v>0</v>
      </c>
      <c r="P356" s="65">
        <v>0</v>
      </c>
      <c r="Q356" s="50">
        <v>0</v>
      </c>
      <c r="R356" s="65">
        <v>0</v>
      </c>
      <c r="S356" s="65">
        <v>0</v>
      </c>
      <c r="T356" s="65">
        <v>0</v>
      </c>
      <c r="U356" s="65">
        <v>0</v>
      </c>
      <c r="V356" s="65">
        <v>0</v>
      </c>
      <c r="W356" s="65">
        <v>0</v>
      </c>
      <c r="X356" s="65">
        <v>0</v>
      </c>
      <c r="Y356" s="65">
        <v>0</v>
      </c>
      <c r="Z356" s="65">
        <v>0</v>
      </c>
      <c r="AA356" s="51">
        <v>2003</v>
      </c>
      <c r="AB356" s="102">
        <v>0</v>
      </c>
      <c r="AC356" s="81">
        <f t="shared" si="18"/>
        <v>452.68362811950772</v>
      </c>
      <c r="AD356" s="82">
        <f t="shared" si="19"/>
        <v>8.1285714285714299</v>
      </c>
      <c r="AE356" s="218">
        <v>1</v>
      </c>
      <c r="AF356">
        <v>0</v>
      </c>
      <c r="AH356" t="str">
        <f t="shared" si="17"/>
        <v>Parbatta</v>
      </c>
      <c r="AJ356" s="72">
        <v>0</v>
      </c>
      <c r="AK356" s="72"/>
      <c r="AL356" s="72"/>
      <c r="AM356" s="72"/>
    </row>
    <row r="357" spans="1:39" x14ac:dyDescent="0.25">
      <c r="A357" s="37" t="s">
        <v>62</v>
      </c>
      <c r="B357" s="66" t="s">
        <v>1566</v>
      </c>
      <c r="C357" s="47">
        <v>1010</v>
      </c>
      <c r="D357" s="47" t="s">
        <v>1359</v>
      </c>
      <c r="E357" s="41">
        <v>10100062</v>
      </c>
      <c r="F357" s="46" t="s">
        <v>1361</v>
      </c>
      <c r="G357" s="39" t="s">
        <v>635</v>
      </c>
      <c r="H357" s="48" t="s">
        <v>99</v>
      </c>
      <c r="I357" s="52">
        <v>8220.0000000000018</v>
      </c>
      <c r="J357" s="49">
        <v>323369.08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50">
        <v>323369.08</v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r="W357" s="65">
        <v>0</v>
      </c>
      <c r="X357" s="65">
        <v>0</v>
      </c>
      <c r="Y357" s="65">
        <v>0</v>
      </c>
      <c r="Z357" s="65">
        <v>323369.08</v>
      </c>
      <c r="AA357" s="51">
        <v>0</v>
      </c>
      <c r="AB357" s="102">
        <v>0</v>
      </c>
      <c r="AC357" s="81">
        <f t="shared" si="18"/>
        <v>0</v>
      </c>
      <c r="AD357" s="82">
        <f t="shared" si="19"/>
        <v>0</v>
      </c>
      <c r="AE357" s="218">
        <v>0</v>
      </c>
      <c r="AF357">
        <v>0</v>
      </c>
      <c r="AH357" t="str">
        <f t="shared" si="17"/>
        <v>Parbatta</v>
      </c>
      <c r="AJ357" s="72">
        <v>0</v>
      </c>
      <c r="AK357" s="72"/>
      <c r="AL357" s="72"/>
      <c r="AM357" s="72"/>
    </row>
    <row r="358" spans="1:39" x14ac:dyDescent="0.25">
      <c r="A358" s="37" t="s">
        <v>62</v>
      </c>
      <c r="B358" s="66" t="s">
        <v>1566</v>
      </c>
      <c r="C358" s="47">
        <v>1010</v>
      </c>
      <c r="D358" s="47" t="s">
        <v>1359</v>
      </c>
      <c r="E358" s="41">
        <v>10100065</v>
      </c>
      <c r="F358" s="46" t="s">
        <v>1384</v>
      </c>
      <c r="G358" s="39" t="s">
        <v>635</v>
      </c>
      <c r="H358" s="48" t="s">
        <v>99</v>
      </c>
      <c r="I358" s="52">
        <v>923.9</v>
      </c>
      <c r="J358" s="49">
        <v>33575.060000000005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50">
        <v>33575.060000000005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0</v>
      </c>
      <c r="X358" s="65">
        <v>0</v>
      </c>
      <c r="Y358" s="65">
        <v>0</v>
      </c>
      <c r="Z358" s="65">
        <v>33575.060000000005</v>
      </c>
      <c r="AA358" s="51">
        <v>0</v>
      </c>
      <c r="AB358" s="102">
        <v>0</v>
      </c>
      <c r="AC358" s="81">
        <f t="shared" si="18"/>
        <v>0</v>
      </c>
      <c r="AD358" s="82">
        <f t="shared" si="19"/>
        <v>0</v>
      </c>
      <c r="AE358" s="218">
        <v>0</v>
      </c>
      <c r="AF358">
        <v>0</v>
      </c>
      <c r="AH358" t="str">
        <f t="shared" si="17"/>
        <v>Parbatta</v>
      </c>
      <c r="AJ358" s="72">
        <v>0</v>
      </c>
      <c r="AK358" s="72"/>
      <c r="AL358" s="72"/>
      <c r="AM358" s="72"/>
    </row>
    <row r="359" spans="1:39" x14ac:dyDescent="0.25">
      <c r="A359" s="37" t="s">
        <v>62</v>
      </c>
      <c r="B359" s="66" t="s">
        <v>1566</v>
      </c>
      <c r="C359" s="47">
        <v>1010</v>
      </c>
      <c r="D359" s="47" t="s">
        <v>1359</v>
      </c>
      <c r="E359" s="41">
        <v>10100067</v>
      </c>
      <c r="F359" s="46" t="s">
        <v>1556</v>
      </c>
      <c r="G359" s="39" t="s">
        <v>635</v>
      </c>
      <c r="H359" s="48" t="s">
        <v>99</v>
      </c>
      <c r="I359" s="52">
        <v>31.4</v>
      </c>
      <c r="J359" s="49">
        <v>1070.75</v>
      </c>
      <c r="K359" s="65">
        <v>0</v>
      </c>
      <c r="L359" s="65">
        <v>0</v>
      </c>
      <c r="M359" s="65">
        <v>0</v>
      </c>
      <c r="N359" s="65">
        <v>0</v>
      </c>
      <c r="O359" s="65">
        <v>0</v>
      </c>
      <c r="P359" s="65">
        <v>0</v>
      </c>
      <c r="Q359" s="50">
        <v>1070.75</v>
      </c>
      <c r="R359" s="65">
        <v>0</v>
      </c>
      <c r="S359" s="65">
        <v>0</v>
      </c>
      <c r="T359" s="65">
        <v>0</v>
      </c>
      <c r="U359" s="65">
        <v>0</v>
      </c>
      <c r="V359" s="65">
        <v>0</v>
      </c>
      <c r="W359" s="65">
        <v>0</v>
      </c>
      <c r="X359" s="65">
        <v>0</v>
      </c>
      <c r="Y359" s="65">
        <v>0</v>
      </c>
      <c r="Z359" s="65">
        <v>1070.75</v>
      </c>
      <c r="AA359" s="51">
        <v>0</v>
      </c>
      <c r="AB359" s="102">
        <v>0</v>
      </c>
      <c r="AC359" s="81">
        <f t="shared" si="18"/>
        <v>455.98945859872612</v>
      </c>
      <c r="AD359" s="82">
        <f t="shared" si="19"/>
        <v>4.4857142857142858</v>
      </c>
      <c r="AE359" s="218">
        <v>0</v>
      </c>
      <c r="AF359">
        <v>0</v>
      </c>
      <c r="AH359" t="str">
        <f t="shared" si="17"/>
        <v>Parbatta</v>
      </c>
      <c r="AJ359" s="72">
        <v>0</v>
      </c>
      <c r="AK359" s="72"/>
      <c r="AL359" s="72"/>
      <c r="AM359" s="72"/>
    </row>
    <row r="360" spans="1:39" x14ac:dyDescent="0.25">
      <c r="A360" s="37" t="s">
        <v>62</v>
      </c>
      <c r="B360" s="66" t="s">
        <v>1566</v>
      </c>
      <c r="C360" s="47">
        <v>1010</v>
      </c>
      <c r="D360" s="47" t="s">
        <v>1359</v>
      </c>
      <c r="E360" s="41">
        <v>10100070</v>
      </c>
      <c r="F360" s="46" t="s">
        <v>1495</v>
      </c>
      <c r="G360" s="39" t="s">
        <v>635</v>
      </c>
      <c r="H360" s="48" t="s">
        <v>99</v>
      </c>
      <c r="I360" s="52">
        <v>2601.7000000000003</v>
      </c>
      <c r="J360" s="49">
        <v>117220.48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50">
        <v>117220.48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0</v>
      </c>
      <c r="Z360" s="65">
        <v>117220.48</v>
      </c>
      <c r="AA360" s="51">
        <v>0</v>
      </c>
      <c r="AB360" s="102">
        <v>0</v>
      </c>
      <c r="AC360" s="81">
        <f t="shared" si="18"/>
        <v>0</v>
      </c>
      <c r="AD360" s="82">
        <f t="shared" si="19"/>
        <v>0</v>
      </c>
      <c r="AE360" s="218">
        <v>0</v>
      </c>
      <c r="AF360">
        <v>0</v>
      </c>
      <c r="AH360" t="str">
        <f t="shared" si="17"/>
        <v>Parbatta</v>
      </c>
      <c r="AJ360" s="72">
        <v>0</v>
      </c>
      <c r="AK360" s="72"/>
      <c r="AL360" s="72"/>
      <c r="AM360" s="72"/>
    </row>
    <row r="361" spans="1:39" x14ac:dyDescent="0.25">
      <c r="A361" s="37" t="s">
        <v>62</v>
      </c>
      <c r="B361" s="66" t="s">
        <v>1566</v>
      </c>
      <c r="C361" s="47">
        <v>1055</v>
      </c>
      <c r="D361" s="47" t="s">
        <v>1148</v>
      </c>
      <c r="E361" s="41">
        <v>10110001</v>
      </c>
      <c r="F361" s="46" t="s">
        <v>290</v>
      </c>
      <c r="G361" s="39" t="s">
        <v>93</v>
      </c>
      <c r="H361" s="48" t="s">
        <v>94</v>
      </c>
      <c r="I361" s="52">
        <v>1916.8</v>
      </c>
      <c r="J361" s="49">
        <v>75309.17</v>
      </c>
      <c r="K361" s="65">
        <v>1910.7000000000003</v>
      </c>
      <c r="L361" s="65">
        <v>76466.366314549901</v>
      </c>
      <c r="M361" s="65">
        <v>39</v>
      </c>
      <c r="N361" s="65">
        <v>1568.9956391999999</v>
      </c>
      <c r="O361" s="65">
        <v>1949.7000000000003</v>
      </c>
      <c r="P361" s="65">
        <v>78035.361953749903</v>
      </c>
      <c r="Q361" s="50">
        <v>75309.17</v>
      </c>
      <c r="R361" s="65">
        <v>0</v>
      </c>
      <c r="S361" s="65">
        <v>1568.9956391999999</v>
      </c>
      <c r="T361" s="65">
        <v>2726.1919537499052</v>
      </c>
      <c r="U361" s="65">
        <v>2600</v>
      </c>
      <c r="V361" s="65">
        <v>0</v>
      </c>
      <c r="W361" s="65">
        <v>0</v>
      </c>
      <c r="X361" s="65">
        <v>71140</v>
      </c>
      <c r="Y361" s="65">
        <v>0</v>
      </c>
      <c r="Z361" s="65">
        <v>0</v>
      </c>
      <c r="AA361" s="51">
        <v>0</v>
      </c>
      <c r="AB361" s="102">
        <v>0</v>
      </c>
      <c r="AC361" s="81">
        <f t="shared" si="18"/>
        <v>0</v>
      </c>
      <c r="AD361" s="82">
        <f t="shared" si="19"/>
        <v>0</v>
      </c>
      <c r="AE361" s="218">
        <v>-3.6199999996679097E-2</v>
      </c>
      <c r="AF361">
        <v>13</v>
      </c>
      <c r="AH361" t="str">
        <f t="shared" si="17"/>
        <v>Matihani</v>
      </c>
      <c r="AJ361" s="72">
        <v>0</v>
      </c>
      <c r="AK361" s="72"/>
      <c r="AL361" s="72"/>
      <c r="AM361" s="72"/>
    </row>
    <row r="362" spans="1:39" x14ac:dyDescent="0.25">
      <c r="A362" s="37" t="s">
        <v>62</v>
      </c>
      <c r="B362" s="66" t="s">
        <v>1566</v>
      </c>
      <c r="C362" s="47">
        <v>1055</v>
      </c>
      <c r="D362" s="47" t="s">
        <v>1148</v>
      </c>
      <c r="E362" s="41">
        <v>10110002</v>
      </c>
      <c r="F362" s="46" t="s">
        <v>291</v>
      </c>
      <c r="G362" s="39" t="s">
        <v>93</v>
      </c>
      <c r="H362" s="48" t="s">
        <v>94</v>
      </c>
      <c r="I362" s="52">
        <v>357.00000000000006</v>
      </c>
      <c r="J362" s="49">
        <v>12575.389999999998</v>
      </c>
      <c r="K362" s="65">
        <v>360.69999999999993</v>
      </c>
      <c r="L362" s="65">
        <v>13091.75845164</v>
      </c>
      <c r="M362" s="65">
        <v>0</v>
      </c>
      <c r="N362" s="65">
        <v>0</v>
      </c>
      <c r="O362" s="65">
        <v>360.69999999999993</v>
      </c>
      <c r="P362" s="65">
        <v>13091.75845164</v>
      </c>
      <c r="Q362" s="50">
        <v>12575.389999999998</v>
      </c>
      <c r="R362" s="65">
        <v>0</v>
      </c>
      <c r="S362" s="65">
        <v>0</v>
      </c>
      <c r="T362" s="65">
        <v>516.3684516400026</v>
      </c>
      <c r="U362" s="65">
        <v>0</v>
      </c>
      <c r="V362" s="65">
        <v>0</v>
      </c>
      <c r="W362" s="65">
        <v>0</v>
      </c>
      <c r="X362" s="65">
        <v>12575</v>
      </c>
      <c r="Y362" s="65">
        <v>0</v>
      </c>
      <c r="Z362" s="65">
        <v>0</v>
      </c>
      <c r="AA362" s="51">
        <v>0</v>
      </c>
      <c r="AB362" s="102">
        <v>0</v>
      </c>
      <c r="AC362" s="81">
        <f t="shared" si="18"/>
        <v>241.64474901960773</v>
      </c>
      <c r="AD362" s="82">
        <f t="shared" si="19"/>
        <v>51.000000000000007</v>
      </c>
      <c r="AE362" s="218">
        <v>-4.1061824057941954E-2</v>
      </c>
      <c r="AF362">
        <v>2</v>
      </c>
      <c r="AH362" t="str">
        <f t="shared" si="17"/>
        <v>Matihani</v>
      </c>
      <c r="AJ362" s="72">
        <v>0</v>
      </c>
      <c r="AK362" s="72"/>
      <c r="AL362" s="72"/>
      <c r="AM362" s="72"/>
    </row>
    <row r="363" spans="1:39" x14ac:dyDescent="0.25">
      <c r="A363" s="37" t="s">
        <v>62</v>
      </c>
      <c r="B363" s="66" t="s">
        <v>1566</v>
      </c>
      <c r="C363" s="47">
        <v>1011</v>
      </c>
      <c r="D363" s="47" t="s">
        <v>289</v>
      </c>
      <c r="E363" s="41">
        <v>10110004</v>
      </c>
      <c r="F363" s="46" t="s">
        <v>292</v>
      </c>
      <c r="G363" s="39" t="s">
        <v>93</v>
      </c>
      <c r="H363" s="48" t="s">
        <v>94</v>
      </c>
      <c r="I363" s="52">
        <v>545.5</v>
      </c>
      <c r="J363" s="49">
        <v>20276.46</v>
      </c>
      <c r="K363" s="65">
        <v>545.29999999999995</v>
      </c>
      <c r="L363" s="65">
        <v>20247.688470240002</v>
      </c>
      <c r="M363" s="65">
        <v>1.4000000000000001</v>
      </c>
      <c r="N363" s="65">
        <v>52.101917999999998</v>
      </c>
      <c r="O363" s="65">
        <v>546.69999999999993</v>
      </c>
      <c r="P363" s="65">
        <v>20299.790388240002</v>
      </c>
      <c r="Q363" s="50">
        <v>20276.46</v>
      </c>
      <c r="R363" s="65">
        <v>0</v>
      </c>
      <c r="S363" s="65">
        <v>52.101917999999998</v>
      </c>
      <c r="T363" s="65">
        <v>23.330388240003231</v>
      </c>
      <c r="U363" s="65">
        <v>0</v>
      </c>
      <c r="V363" s="65">
        <v>0</v>
      </c>
      <c r="W363" s="65">
        <v>0</v>
      </c>
      <c r="X363" s="65">
        <v>20224</v>
      </c>
      <c r="Y363" s="65">
        <v>0</v>
      </c>
      <c r="Z363" s="65">
        <v>0</v>
      </c>
      <c r="AA363" s="51">
        <v>0</v>
      </c>
      <c r="AB363" s="102">
        <v>0</v>
      </c>
      <c r="AC363" s="81">
        <f t="shared" si="18"/>
        <v>114.8565745187901</v>
      </c>
      <c r="AD363" s="82">
        <f t="shared" si="19"/>
        <v>77.928571428571431</v>
      </c>
      <c r="AE363" s="218">
        <v>-1.150614468206148E-3</v>
      </c>
      <c r="AF363">
        <v>3</v>
      </c>
      <c r="AH363" t="str">
        <f t="shared" si="17"/>
        <v>Sahibpur Kamal</v>
      </c>
      <c r="AJ363" s="72">
        <v>0</v>
      </c>
      <c r="AK363" s="72"/>
      <c r="AL363" s="72"/>
      <c r="AM363" s="72"/>
    </row>
    <row r="364" spans="1:39" x14ac:dyDescent="0.25">
      <c r="A364" s="37" t="s">
        <v>62</v>
      </c>
      <c r="B364" s="66" t="s">
        <v>1566</v>
      </c>
      <c r="C364" s="47">
        <v>1055</v>
      </c>
      <c r="D364" s="47" t="s">
        <v>1148</v>
      </c>
      <c r="E364" s="41">
        <v>10110005</v>
      </c>
      <c r="F364" s="46" t="s">
        <v>293</v>
      </c>
      <c r="G364" s="39" t="s">
        <v>93</v>
      </c>
      <c r="H364" s="48" t="s">
        <v>94</v>
      </c>
      <c r="I364" s="52">
        <v>4335.5</v>
      </c>
      <c r="J364" s="49">
        <v>176829.06999999998</v>
      </c>
      <c r="K364" s="65">
        <v>4303.1499999999996</v>
      </c>
      <c r="L364" s="65">
        <v>176042.98326843281</v>
      </c>
      <c r="M364" s="65">
        <v>30.560000000000002</v>
      </c>
      <c r="N364" s="65">
        <v>2219.6385274160398</v>
      </c>
      <c r="O364" s="65">
        <v>4333.71</v>
      </c>
      <c r="P364" s="65">
        <v>178262.62179584886</v>
      </c>
      <c r="Q364" s="50">
        <v>176829.06999999998</v>
      </c>
      <c r="R364" s="65">
        <v>0</v>
      </c>
      <c r="S364" s="65">
        <v>2219.6385274160398</v>
      </c>
      <c r="T364" s="65">
        <v>1433.5517958488781</v>
      </c>
      <c r="U364" s="65">
        <v>0</v>
      </c>
      <c r="V364" s="65">
        <v>0</v>
      </c>
      <c r="W364" s="65">
        <v>0</v>
      </c>
      <c r="X364" s="65">
        <v>174609</v>
      </c>
      <c r="Y364" s="65">
        <v>0</v>
      </c>
      <c r="Z364" s="65">
        <v>0</v>
      </c>
      <c r="AA364" s="51">
        <v>0</v>
      </c>
      <c r="AB364" s="102">
        <v>0</v>
      </c>
      <c r="AC364" s="81">
        <f t="shared" si="18"/>
        <v>0</v>
      </c>
      <c r="AD364" s="82">
        <f t="shared" si="19"/>
        <v>0</v>
      </c>
      <c r="AE364" s="218">
        <v>-8.1069916606408571E-3</v>
      </c>
      <c r="AF364">
        <v>36</v>
      </c>
      <c r="AH364" t="str">
        <f t="shared" si="17"/>
        <v>Matihani</v>
      </c>
      <c r="AJ364" s="72">
        <v>0</v>
      </c>
      <c r="AK364" s="72"/>
      <c r="AL364" s="72"/>
      <c r="AM364" s="72"/>
    </row>
    <row r="365" spans="1:39" x14ac:dyDescent="0.25">
      <c r="A365" s="37" t="s">
        <v>62</v>
      </c>
      <c r="B365" s="66" t="s">
        <v>1566</v>
      </c>
      <c r="C365" s="47">
        <v>1011</v>
      </c>
      <c r="D365" s="47" t="s">
        <v>289</v>
      </c>
      <c r="E365" s="41">
        <v>10110007</v>
      </c>
      <c r="F365" s="46" t="s">
        <v>294</v>
      </c>
      <c r="G365" s="39" t="s">
        <v>93</v>
      </c>
      <c r="H365" s="48" t="s">
        <v>94</v>
      </c>
      <c r="I365" s="52">
        <v>957.40000000000009</v>
      </c>
      <c r="J365" s="49">
        <v>35060.69</v>
      </c>
      <c r="K365" s="65">
        <v>955</v>
      </c>
      <c r="L365" s="65">
        <v>34973.177763744003</v>
      </c>
      <c r="M365" s="65">
        <v>2.4</v>
      </c>
      <c r="N365" s="65">
        <v>88.223370444000011</v>
      </c>
      <c r="O365" s="65">
        <v>957.4</v>
      </c>
      <c r="P365" s="65">
        <v>35061.401134188003</v>
      </c>
      <c r="Q365" s="50">
        <v>35060.69</v>
      </c>
      <c r="R365" s="65">
        <v>0</v>
      </c>
      <c r="S365" s="65">
        <v>88.223370444000011</v>
      </c>
      <c r="T365" s="65">
        <v>0.71113418800086947</v>
      </c>
      <c r="U365" s="65">
        <v>0</v>
      </c>
      <c r="V365" s="65">
        <v>0</v>
      </c>
      <c r="W365" s="65">
        <v>0</v>
      </c>
      <c r="X365" s="65">
        <v>34972</v>
      </c>
      <c r="Y365" s="65">
        <v>0</v>
      </c>
      <c r="Z365" s="65">
        <v>0</v>
      </c>
      <c r="AA365" s="51">
        <v>0</v>
      </c>
      <c r="AB365" s="102">
        <v>0</v>
      </c>
      <c r="AC365" s="81">
        <f t="shared" si="18"/>
        <v>0</v>
      </c>
      <c r="AD365" s="82">
        <f t="shared" si="19"/>
        <v>0</v>
      </c>
      <c r="AE365" s="218">
        <v>-2.0282949023560844E-5</v>
      </c>
      <c r="AF365">
        <v>6</v>
      </c>
      <c r="AH365" t="str">
        <f t="shared" si="17"/>
        <v>Sahibpur Kamal</v>
      </c>
      <c r="AJ365" s="72">
        <v>0</v>
      </c>
      <c r="AK365" s="72"/>
      <c r="AL365" s="72"/>
      <c r="AM365" s="72"/>
    </row>
    <row r="366" spans="1:39" x14ac:dyDescent="0.25">
      <c r="A366" s="37" t="s">
        <v>62</v>
      </c>
      <c r="B366" s="66" t="s">
        <v>1566</v>
      </c>
      <c r="C366" s="47">
        <v>1011</v>
      </c>
      <c r="D366" s="47" t="s">
        <v>289</v>
      </c>
      <c r="E366" s="41">
        <v>10110008</v>
      </c>
      <c r="F366" s="46" t="s">
        <v>622</v>
      </c>
      <c r="G366" s="39" t="s">
        <v>635</v>
      </c>
      <c r="H366" s="48" t="s">
        <v>99</v>
      </c>
      <c r="I366" s="52">
        <v>7306.8999999999987</v>
      </c>
      <c r="J366" s="49">
        <v>279523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50">
        <v>279523</v>
      </c>
      <c r="R366" s="65">
        <v>0</v>
      </c>
      <c r="S366" s="65">
        <v>0</v>
      </c>
      <c r="T366" s="65">
        <v>0</v>
      </c>
      <c r="U366" s="65">
        <v>0</v>
      </c>
      <c r="V366" s="65">
        <v>0</v>
      </c>
      <c r="W366" s="65">
        <v>0</v>
      </c>
      <c r="X366" s="65">
        <v>0</v>
      </c>
      <c r="Y366" s="65">
        <v>0</v>
      </c>
      <c r="Z366" s="65">
        <v>279523</v>
      </c>
      <c r="AA366" s="51">
        <v>0</v>
      </c>
      <c r="AB366" s="102">
        <v>0</v>
      </c>
      <c r="AC366" s="81">
        <f t="shared" si="18"/>
        <v>0</v>
      </c>
      <c r="AD366" s="82">
        <f t="shared" si="19"/>
        <v>0</v>
      </c>
      <c r="AE366" s="218">
        <v>0</v>
      </c>
      <c r="AF366">
        <v>0</v>
      </c>
      <c r="AH366" t="str">
        <f t="shared" si="17"/>
        <v>Sahibpur Kamal</v>
      </c>
      <c r="AJ366" s="72">
        <v>0</v>
      </c>
      <c r="AK366" s="72"/>
      <c r="AL366" s="72"/>
      <c r="AM366" s="72"/>
    </row>
    <row r="367" spans="1:39" x14ac:dyDescent="0.25">
      <c r="A367" s="37" t="s">
        <v>62</v>
      </c>
      <c r="B367" s="66" t="s">
        <v>1566</v>
      </c>
      <c r="C367" s="47">
        <v>1011</v>
      </c>
      <c r="D367" s="47" t="s">
        <v>289</v>
      </c>
      <c r="E367" s="41">
        <v>10110013</v>
      </c>
      <c r="F367" s="46" t="s">
        <v>295</v>
      </c>
      <c r="G367" s="39" t="s">
        <v>93</v>
      </c>
      <c r="H367" s="48" t="s">
        <v>94</v>
      </c>
      <c r="I367" s="52">
        <v>969.6</v>
      </c>
      <c r="J367" s="49">
        <v>35693.659999999996</v>
      </c>
      <c r="K367" s="65">
        <v>976</v>
      </c>
      <c r="L367" s="65">
        <v>36413.106166800004</v>
      </c>
      <c r="M367" s="65">
        <v>1.5</v>
      </c>
      <c r="N367" s="65">
        <v>55.758399839999996</v>
      </c>
      <c r="O367" s="65">
        <v>977.5</v>
      </c>
      <c r="P367" s="65">
        <v>36468.864566640004</v>
      </c>
      <c r="Q367" s="50">
        <v>35693.659999999996</v>
      </c>
      <c r="R367" s="65">
        <v>0</v>
      </c>
      <c r="S367" s="65">
        <v>55.758399839999996</v>
      </c>
      <c r="T367" s="65">
        <v>775.20456664000812</v>
      </c>
      <c r="U367" s="65">
        <v>0</v>
      </c>
      <c r="V367" s="65">
        <v>0</v>
      </c>
      <c r="W367" s="65">
        <v>0</v>
      </c>
      <c r="X367" s="65">
        <v>35638</v>
      </c>
      <c r="Y367" s="65">
        <v>0</v>
      </c>
      <c r="Z367" s="65">
        <v>0</v>
      </c>
      <c r="AA367" s="51">
        <v>0</v>
      </c>
      <c r="AB367" s="102">
        <v>0</v>
      </c>
      <c r="AC367" s="81">
        <f t="shared" si="18"/>
        <v>0</v>
      </c>
      <c r="AD367" s="82">
        <f t="shared" si="19"/>
        <v>0</v>
      </c>
      <c r="AE367" s="218">
        <v>-2.1718270601558041E-2</v>
      </c>
      <c r="AF367">
        <v>7</v>
      </c>
      <c r="AH367" t="str">
        <f t="shared" si="17"/>
        <v>Sahibpur Kamal</v>
      </c>
      <c r="AJ367" s="72">
        <v>0</v>
      </c>
      <c r="AK367" s="72"/>
      <c r="AL367" s="72"/>
      <c r="AM367" s="72"/>
    </row>
    <row r="368" spans="1:39" x14ac:dyDescent="0.25">
      <c r="A368" s="37" t="s">
        <v>62</v>
      </c>
      <c r="B368" s="66" t="s">
        <v>1566</v>
      </c>
      <c r="C368" s="47">
        <v>1011</v>
      </c>
      <c r="D368" s="47" t="s">
        <v>289</v>
      </c>
      <c r="E368" s="41">
        <v>10110014</v>
      </c>
      <c r="F368" s="46" t="s">
        <v>296</v>
      </c>
      <c r="G368" s="39" t="s">
        <v>93</v>
      </c>
      <c r="H368" s="48" t="s">
        <v>94</v>
      </c>
      <c r="I368" s="52">
        <v>1038.9000000000001</v>
      </c>
      <c r="J368" s="49">
        <v>46876.380000000019</v>
      </c>
      <c r="K368" s="65">
        <v>1057.1000000000001</v>
      </c>
      <c r="L368" s="65">
        <v>46069.700992591024</v>
      </c>
      <c r="M368" s="65">
        <v>17.8</v>
      </c>
      <c r="N368" s="65">
        <v>769.70691121350012</v>
      </c>
      <c r="O368" s="65">
        <v>1074.9000000000001</v>
      </c>
      <c r="P368" s="65">
        <v>46839.407903804524</v>
      </c>
      <c r="Q368" s="50">
        <v>46839.407903804524</v>
      </c>
      <c r="R368" s="65">
        <v>0</v>
      </c>
      <c r="S368" s="65">
        <v>769.70691121350012</v>
      </c>
      <c r="T368" s="65">
        <v>0</v>
      </c>
      <c r="U368" s="65">
        <v>0</v>
      </c>
      <c r="V368" s="65">
        <v>0</v>
      </c>
      <c r="W368" s="65">
        <v>0</v>
      </c>
      <c r="X368" s="65">
        <v>46067</v>
      </c>
      <c r="Y368" s="65">
        <v>0</v>
      </c>
      <c r="Z368" s="65">
        <v>0</v>
      </c>
      <c r="AA368" s="51">
        <v>40</v>
      </c>
      <c r="AB368" s="102">
        <v>0</v>
      </c>
      <c r="AC368" s="81">
        <f t="shared" si="18"/>
        <v>0</v>
      </c>
      <c r="AD368" s="82">
        <f t="shared" si="19"/>
        <v>0</v>
      </c>
      <c r="AE368" s="218">
        <v>7.8871483240590206E-4</v>
      </c>
      <c r="AF368">
        <v>33</v>
      </c>
      <c r="AH368" t="str">
        <f t="shared" si="17"/>
        <v>Sahibpur Kamal</v>
      </c>
      <c r="AJ368" s="72">
        <v>0</v>
      </c>
      <c r="AK368" s="72"/>
      <c r="AL368" s="72"/>
      <c r="AM368" s="72"/>
    </row>
    <row r="369" spans="1:39" x14ac:dyDescent="0.25">
      <c r="A369" s="37" t="s">
        <v>62</v>
      </c>
      <c r="B369" s="66" t="s">
        <v>1566</v>
      </c>
      <c r="C369" s="47">
        <v>1055</v>
      </c>
      <c r="D369" s="47" t="s">
        <v>1148</v>
      </c>
      <c r="E369" s="43">
        <v>10110015</v>
      </c>
      <c r="F369" s="46" t="s">
        <v>297</v>
      </c>
      <c r="G369" s="39" t="s">
        <v>93</v>
      </c>
      <c r="H369" s="48" t="s">
        <v>94</v>
      </c>
      <c r="I369" s="52">
        <v>1160.9000000000001</v>
      </c>
      <c r="J369" s="49">
        <v>47259.289999999994</v>
      </c>
      <c r="K369" s="65">
        <v>1161.76</v>
      </c>
      <c r="L369" s="65">
        <v>49514.043122849449</v>
      </c>
      <c r="M369" s="65">
        <v>0</v>
      </c>
      <c r="N369" s="65">
        <v>0</v>
      </c>
      <c r="O369" s="65">
        <v>1161.76</v>
      </c>
      <c r="P369" s="65">
        <v>49514.043122849449</v>
      </c>
      <c r="Q369" s="50">
        <v>47259.289999999994</v>
      </c>
      <c r="R369" s="65">
        <v>0</v>
      </c>
      <c r="S369" s="65">
        <v>0</v>
      </c>
      <c r="T369" s="65">
        <v>2254.7531228494554</v>
      </c>
      <c r="U369" s="65">
        <v>0</v>
      </c>
      <c r="V369" s="65">
        <v>0</v>
      </c>
      <c r="W369" s="65">
        <v>0</v>
      </c>
      <c r="X369" s="65">
        <v>47259</v>
      </c>
      <c r="Y369" s="65">
        <v>0</v>
      </c>
      <c r="Z369" s="65">
        <v>0</v>
      </c>
      <c r="AA369" s="51">
        <v>0</v>
      </c>
      <c r="AB369" s="102">
        <v>0</v>
      </c>
      <c r="AC369" s="81">
        <f t="shared" si="18"/>
        <v>0</v>
      </c>
      <c r="AD369" s="82">
        <f t="shared" si="19"/>
        <v>0</v>
      </c>
      <c r="AE369" s="218">
        <v>-4.7710262317725377E-2</v>
      </c>
      <c r="AF369">
        <v>8</v>
      </c>
      <c r="AH369" t="str">
        <f t="shared" si="17"/>
        <v>Matihani</v>
      </c>
      <c r="AJ369" s="72">
        <v>0</v>
      </c>
      <c r="AK369" s="72"/>
      <c r="AL369" s="72"/>
      <c r="AM369" s="72"/>
    </row>
    <row r="370" spans="1:39" x14ac:dyDescent="0.25">
      <c r="A370" s="37" t="s">
        <v>62</v>
      </c>
      <c r="B370" s="66" t="s">
        <v>1566</v>
      </c>
      <c r="C370" s="47">
        <v>1055</v>
      </c>
      <c r="D370" s="47" t="s">
        <v>1148</v>
      </c>
      <c r="E370" s="43">
        <v>10110016</v>
      </c>
      <c r="F370" s="46" t="s">
        <v>298</v>
      </c>
      <c r="G370" s="39" t="s">
        <v>93</v>
      </c>
      <c r="H370" s="48" t="s">
        <v>94</v>
      </c>
      <c r="I370" s="52">
        <v>738.3</v>
      </c>
      <c r="J370" s="49">
        <v>29709.849999999995</v>
      </c>
      <c r="K370" s="65">
        <v>739.6</v>
      </c>
      <c r="L370" s="65">
        <v>29894.8170312</v>
      </c>
      <c r="M370" s="65">
        <v>3.3</v>
      </c>
      <c r="N370" s="65">
        <v>133.8121026</v>
      </c>
      <c r="O370" s="65">
        <v>742.9</v>
      </c>
      <c r="P370" s="65">
        <v>30028.629133800001</v>
      </c>
      <c r="Q370" s="50">
        <v>29709.849999999995</v>
      </c>
      <c r="R370" s="65">
        <v>0</v>
      </c>
      <c r="S370" s="65">
        <v>133.8121026</v>
      </c>
      <c r="T370" s="65">
        <v>318.77913380000609</v>
      </c>
      <c r="U370" s="65">
        <v>0</v>
      </c>
      <c r="V370" s="65">
        <v>0</v>
      </c>
      <c r="W370" s="65">
        <v>0</v>
      </c>
      <c r="X370" s="65">
        <v>29576</v>
      </c>
      <c r="Y370" s="65">
        <v>0</v>
      </c>
      <c r="Z370" s="65">
        <v>0</v>
      </c>
      <c r="AA370" s="51">
        <v>0</v>
      </c>
      <c r="AB370" s="102">
        <v>0</v>
      </c>
      <c r="AC370" s="81">
        <f t="shared" si="18"/>
        <v>0</v>
      </c>
      <c r="AD370" s="82">
        <f t="shared" si="19"/>
        <v>0</v>
      </c>
      <c r="AE370" s="218">
        <v>-1.0729745650011903E-2</v>
      </c>
      <c r="AF370">
        <v>6</v>
      </c>
      <c r="AH370" t="str">
        <f t="shared" si="17"/>
        <v>Matihani</v>
      </c>
      <c r="AJ370" s="72">
        <v>0</v>
      </c>
      <c r="AK370" s="72"/>
      <c r="AL370" s="72"/>
      <c r="AM370" s="72"/>
    </row>
    <row r="371" spans="1:39" x14ac:dyDescent="0.25">
      <c r="A371" s="37" t="s">
        <v>62</v>
      </c>
      <c r="B371" s="66" t="s">
        <v>1566</v>
      </c>
      <c r="C371" s="47">
        <v>1011</v>
      </c>
      <c r="D371" s="47" t="s">
        <v>289</v>
      </c>
      <c r="E371" s="41">
        <v>10110021</v>
      </c>
      <c r="F371" s="46" t="s">
        <v>299</v>
      </c>
      <c r="G371" s="39" t="s">
        <v>93</v>
      </c>
      <c r="H371" s="48" t="s">
        <v>94</v>
      </c>
      <c r="I371" s="52">
        <v>79.3</v>
      </c>
      <c r="J371" s="49">
        <v>3139.5</v>
      </c>
      <c r="K371" s="65">
        <v>56.670000000000009</v>
      </c>
      <c r="L371" s="65">
        <v>2108.3858446681797</v>
      </c>
      <c r="M371" s="65">
        <v>0.8899999999999999</v>
      </c>
      <c r="N371" s="65">
        <v>33.25815144036001</v>
      </c>
      <c r="O371" s="65">
        <v>57.560000000000009</v>
      </c>
      <c r="P371" s="65">
        <v>2141.6439961085398</v>
      </c>
      <c r="Q371" s="50">
        <v>2141.6439961085398</v>
      </c>
      <c r="R371" s="65">
        <v>0</v>
      </c>
      <c r="S371" s="65">
        <v>33.25815144036001</v>
      </c>
      <c r="T371" s="65">
        <v>0</v>
      </c>
      <c r="U371" s="65">
        <v>0</v>
      </c>
      <c r="V371" s="65">
        <v>34.380000000000003</v>
      </c>
      <c r="W371" s="65">
        <v>0</v>
      </c>
      <c r="X371" s="65">
        <v>2074</v>
      </c>
      <c r="Y371" s="65">
        <v>0</v>
      </c>
      <c r="Z371" s="65">
        <v>0</v>
      </c>
      <c r="AA371" s="51">
        <v>998</v>
      </c>
      <c r="AB371" s="102" t="s">
        <v>68</v>
      </c>
      <c r="AC371" s="81">
        <f t="shared" si="18"/>
        <v>491.47229508196727</v>
      </c>
      <c r="AD371" s="82">
        <f t="shared" si="19"/>
        <v>11.328571428571427</v>
      </c>
      <c r="AE371" s="218">
        <v>0.31783914760040138</v>
      </c>
      <c r="AF371">
        <v>3</v>
      </c>
      <c r="AH371" t="str">
        <f t="shared" si="17"/>
        <v>Sahibpur Kamal</v>
      </c>
      <c r="AJ371" s="72">
        <v>0</v>
      </c>
      <c r="AK371" s="72"/>
      <c r="AL371" s="72"/>
      <c r="AM371" s="72"/>
    </row>
    <row r="372" spans="1:39" x14ac:dyDescent="0.25">
      <c r="A372" s="37" t="s">
        <v>62</v>
      </c>
      <c r="B372" s="66" t="s">
        <v>1566</v>
      </c>
      <c r="C372" s="47">
        <v>1011</v>
      </c>
      <c r="D372" s="47" t="s">
        <v>289</v>
      </c>
      <c r="E372" s="43">
        <v>10110032</v>
      </c>
      <c r="F372" s="46" t="s">
        <v>1266</v>
      </c>
      <c r="G372" s="39" t="s">
        <v>93</v>
      </c>
      <c r="H372" s="48" t="s">
        <v>94</v>
      </c>
      <c r="I372" s="52">
        <v>266.90000000000003</v>
      </c>
      <c r="J372" s="49">
        <v>9727.6299999999992</v>
      </c>
      <c r="K372" s="65">
        <v>264.89999999999998</v>
      </c>
      <c r="L372" s="65">
        <v>9879.7422715200009</v>
      </c>
      <c r="M372" s="65">
        <v>0.79999999999999993</v>
      </c>
      <c r="N372" s="65">
        <v>29.846048760000006</v>
      </c>
      <c r="O372" s="65">
        <v>265.7</v>
      </c>
      <c r="P372" s="65">
        <v>9909.5883202800014</v>
      </c>
      <c r="Q372" s="50">
        <v>9727.6299999999992</v>
      </c>
      <c r="R372" s="65">
        <v>0</v>
      </c>
      <c r="S372" s="65">
        <v>29.846048760000006</v>
      </c>
      <c r="T372" s="65">
        <v>181.95832028000223</v>
      </c>
      <c r="U372" s="65">
        <v>0</v>
      </c>
      <c r="V372" s="65">
        <v>252.93967499999971</v>
      </c>
      <c r="W372" s="65">
        <v>0</v>
      </c>
      <c r="X372" s="65">
        <v>9445</v>
      </c>
      <c r="Y372" s="65">
        <v>0</v>
      </c>
      <c r="Z372" s="65">
        <v>0</v>
      </c>
      <c r="AA372" s="51">
        <v>0</v>
      </c>
      <c r="AB372" s="102">
        <v>0</v>
      </c>
      <c r="AC372" s="81">
        <f t="shared" si="18"/>
        <v>315.70150266017225</v>
      </c>
      <c r="AD372" s="82">
        <f t="shared" si="19"/>
        <v>38.128571428571433</v>
      </c>
      <c r="AE372" s="218">
        <v>-1.8705308516051931E-2</v>
      </c>
      <c r="AF372">
        <v>4</v>
      </c>
      <c r="AH372" t="str">
        <f t="shared" si="17"/>
        <v>Sahibpur Kamal</v>
      </c>
      <c r="AJ372" s="72">
        <v>0</v>
      </c>
      <c r="AK372" s="72"/>
      <c r="AL372" s="72"/>
      <c r="AM372" s="72"/>
    </row>
    <row r="373" spans="1:39" x14ac:dyDescent="0.25">
      <c r="A373" s="37" t="s">
        <v>62</v>
      </c>
      <c r="B373" s="66" t="s">
        <v>1566</v>
      </c>
      <c r="C373" s="47">
        <v>1055</v>
      </c>
      <c r="D373" s="47" t="s">
        <v>1148</v>
      </c>
      <c r="E373" s="41">
        <v>10110042</v>
      </c>
      <c r="F373" s="46" t="s">
        <v>301</v>
      </c>
      <c r="G373" s="39" t="s">
        <v>635</v>
      </c>
      <c r="H373" s="48" t="s">
        <v>99</v>
      </c>
      <c r="I373" s="52">
        <v>427.20000000000005</v>
      </c>
      <c r="J373" s="49">
        <v>16372.1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50">
        <v>16372.1</v>
      </c>
      <c r="R373" s="65">
        <v>0</v>
      </c>
      <c r="S373" s="65">
        <v>0</v>
      </c>
      <c r="T373" s="65">
        <v>0</v>
      </c>
      <c r="U373" s="65">
        <v>0</v>
      </c>
      <c r="V373" s="65">
        <v>179.37150967741928</v>
      </c>
      <c r="W373" s="65">
        <v>0</v>
      </c>
      <c r="X373" s="65">
        <v>0</v>
      </c>
      <c r="Y373" s="65">
        <v>0</v>
      </c>
      <c r="Z373" s="65">
        <v>16192.728490322581</v>
      </c>
      <c r="AA373" s="51">
        <v>0</v>
      </c>
      <c r="AB373" s="102">
        <v>0</v>
      </c>
      <c r="AC373" s="81">
        <f t="shared" si="18"/>
        <v>209.09685767790259</v>
      </c>
      <c r="AD373" s="82">
        <f t="shared" si="19"/>
        <v>61.028571428571432</v>
      </c>
      <c r="AE373" s="218">
        <v>0</v>
      </c>
      <c r="AF373">
        <v>0</v>
      </c>
      <c r="AH373" t="str">
        <f t="shared" si="17"/>
        <v>Matihani</v>
      </c>
      <c r="AJ373" s="72">
        <v>0</v>
      </c>
      <c r="AK373" s="72"/>
      <c r="AL373" s="72"/>
      <c r="AM373" s="72"/>
    </row>
    <row r="374" spans="1:39" x14ac:dyDescent="0.25">
      <c r="A374" s="37" t="s">
        <v>62</v>
      </c>
      <c r="B374" s="66" t="s">
        <v>1566</v>
      </c>
      <c r="C374" s="47">
        <v>1011</v>
      </c>
      <c r="D374" s="47" t="s">
        <v>289</v>
      </c>
      <c r="E374" s="43">
        <v>10110043</v>
      </c>
      <c r="F374" s="46" t="s">
        <v>302</v>
      </c>
      <c r="G374" s="39" t="s">
        <v>93</v>
      </c>
      <c r="H374" s="48" t="s">
        <v>99</v>
      </c>
      <c r="I374" s="52">
        <v>530</v>
      </c>
      <c r="J374" s="49">
        <v>21269.3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50">
        <v>21269.3</v>
      </c>
      <c r="R374" s="65">
        <v>0</v>
      </c>
      <c r="S374" s="65">
        <v>0</v>
      </c>
      <c r="T374" s="65">
        <v>0</v>
      </c>
      <c r="U374" s="65">
        <v>0</v>
      </c>
      <c r="V374" s="65">
        <v>827.95254193548305</v>
      </c>
      <c r="W374" s="65">
        <v>0</v>
      </c>
      <c r="X374" s="65">
        <v>0</v>
      </c>
      <c r="Y374" s="65">
        <v>0</v>
      </c>
      <c r="Z374" s="65">
        <v>20441.347458064516</v>
      </c>
      <c r="AA374" s="51">
        <v>0</v>
      </c>
      <c r="AB374" s="102">
        <v>0</v>
      </c>
      <c r="AC374" s="81">
        <f t="shared" si="18"/>
        <v>136.44456603773591</v>
      </c>
      <c r="AD374" s="82">
        <f t="shared" si="19"/>
        <v>75.714285714285708</v>
      </c>
      <c r="AE374" s="218">
        <v>0</v>
      </c>
      <c r="AF374">
        <v>0</v>
      </c>
      <c r="AH374" t="str">
        <f t="shared" si="17"/>
        <v>Sahibpur Kamal</v>
      </c>
      <c r="AJ374" s="72">
        <v>0</v>
      </c>
      <c r="AK374" s="72"/>
      <c r="AL374" s="72"/>
      <c r="AM374" s="72"/>
    </row>
    <row r="375" spans="1:39" x14ac:dyDescent="0.25">
      <c r="A375" s="37" t="s">
        <v>62</v>
      </c>
      <c r="B375" s="66" t="s">
        <v>1566</v>
      </c>
      <c r="C375" s="47">
        <v>1011</v>
      </c>
      <c r="D375" s="47" t="s">
        <v>289</v>
      </c>
      <c r="E375" s="43">
        <v>10110049</v>
      </c>
      <c r="F375" s="46" t="s">
        <v>1366</v>
      </c>
      <c r="G375" s="39" t="s">
        <v>93</v>
      </c>
      <c r="H375" s="48" t="s">
        <v>94</v>
      </c>
      <c r="I375" s="52">
        <v>829.6</v>
      </c>
      <c r="J375" s="49">
        <v>31569.4</v>
      </c>
      <c r="K375" s="65">
        <v>818.5</v>
      </c>
      <c r="L375" s="65">
        <v>31267.74102804</v>
      </c>
      <c r="M375" s="65">
        <v>23.700000000000006</v>
      </c>
      <c r="N375" s="65">
        <v>900.88664688000006</v>
      </c>
      <c r="O375" s="65">
        <v>842.2</v>
      </c>
      <c r="P375" s="65">
        <v>32168.627674920001</v>
      </c>
      <c r="Q375" s="50">
        <v>31569.4</v>
      </c>
      <c r="R375" s="65">
        <v>0</v>
      </c>
      <c r="S375" s="65">
        <v>900.88664688000006</v>
      </c>
      <c r="T375" s="65">
        <v>599.22767491999912</v>
      </c>
      <c r="U375" s="65">
        <v>0</v>
      </c>
      <c r="V375" s="65">
        <v>0</v>
      </c>
      <c r="W375" s="65">
        <v>0</v>
      </c>
      <c r="X375" s="65">
        <v>30669</v>
      </c>
      <c r="Y375" s="65">
        <v>0</v>
      </c>
      <c r="Z375" s="65">
        <v>0</v>
      </c>
      <c r="AA375" s="51">
        <v>0</v>
      </c>
      <c r="AB375" s="102">
        <v>0</v>
      </c>
      <c r="AC375" s="81">
        <f t="shared" si="18"/>
        <v>0</v>
      </c>
      <c r="AD375" s="82">
        <f t="shared" si="19"/>
        <v>0</v>
      </c>
      <c r="AE375" s="218">
        <v>-1.8981281713304626E-2</v>
      </c>
      <c r="AF375">
        <v>5</v>
      </c>
      <c r="AH375" t="str">
        <f t="shared" si="17"/>
        <v>Sahibpur Kamal</v>
      </c>
      <c r="AJ375" s="72">
        <v>0</v>
      </c>
      <c r="AK375" s="72"/>
      <c r="AL375" s="72"/>
      <c r="AM375" s="72"/>
    </row>
    <row r="376" spans="1:39" x14ac:dyDescent="0.25">
      <c r="A376" s="37" t="s">
        <v>62</v>
      </c>
      <c r="B376" s="66" t="s">
        <v>1566</v>
      </c>
      <c r="C376" s="47">
        <v>1011</v>
      </c>
      <c r="D376" s="47" t="s">
        <v>289</v>
      </c>
      <c r="E376" s="43">
        <v>10110050</v>
      </c>
      <c r="F376" s="46" t="s">
        <v>304</v>
      </c>
      <c r="G376" s="39" t="s">
        <v>93</v>
      </c>
      <c r="H376" s="48" t="s">
        <v>94</v>
      </c>
      <c r="I376" s="52">
        <v>697.1</v>
      </c>
      <c r="J376" s="49">
        <v>26901.94</v>
      </c>
      <c r="K376" s="65">
        <v>697.1</v>
      </c>
      <c r="L376" s="65">
        <v>26889.140171550804</v>
      </c>
      <c r="M376" s="65">
        <v>0</v>
      </c>
      <c r="N376" s="65">
        <v>0</v>
      </c>
      <c r="O376" s="65">
        <v>697.1</v>
      </c>
      <c r="P376" s="65">
        <v>26889.140171550804</v>
      </c>
      <c r="Q376" s="50">
        <v>26889.140171550804</v>
      </c>
      <c r="R376" s="65">
        <v>0</v>
      </c>
      <c r="S376" s="65">
        <v>0</v>
      </c>
      <c r="T376" s="65">
        <v>0</v>
      </c>
      <c r="U376" s="65">
        <v>0</v>
      </c>
      <c r="V376" s="65">
        <v>2310.11</v>
      </c>
      <c r="W376" s="65">
        <v>0</v>
      </c>
      <c r="X376" s="65">
        <v>24579</v>
      </c>
      <c r="Y376" s="65">
        <v>0</v>
      </c>
      <c r="Z376" s="65">
        <v>0</v>
      </c>
      <c r="AA376" s="51">
        <v>13</v>
      </c>
      <c r="AB376" s="102" t="s">
        <v>68</v>
      </c>
      <c r="AC376" s="81">
        <f t="shared" si="18"/>
        <v>2.23829080476257</v>
      </c>
      <c r="AD376" s="82">
        <f t="shared" si="19"/>
        <v>99.585714285714289</v>
      </c>
      <c r="AE376" s="218">
        <v>4.7579573997990655E-4</v>
      </c>
      <c r="AF376">
        <v>1</v>
      </c>
      <c r="AH376" t="str">
        <f t="shared" si="17"/>
        <v>Sahibpur Kamal</v>
      </c>
      <c r="AJ376" s="72">
        <v>0</v>
      </c>
      <c r="AK376" s="72"/>
      <c r="AL376" s="72"/>
      <c r="AM376" s="72"/>
    </row>
    <row r="377" spans="1:39" x14ac:dyDescent="0.25">
      <c r="A377" s="37" t="s">
        <v>62</v>
      </c>
      <c r="B377" s="66" t="s">
        <v>1566</v>
      </c>
      <c r="C377" s="47">
        <v>1011</v>
      </c>
      <c r="D377" s="47" t="s">
        <v>289</v>
      </c>
      <c r="E377" s="43">
        <v>10110053</v>
      </c>
      <c r="F377" s="46" t="s">
        <v>305</v>
      </c>
      <c r="G377" s="39" t="s">
        <v>93</v>
      </c>
      <c r="H377" s="48" t="s">
        <v>94</v>
      </c>
      <c r="I377" s="52">
        <v>93.4</v>
      </c>
      <c r="J377" s="49">
        <v>4293.07</v>
      </c>
      <c r="K377" s="65">
        <v>93.3</v>
      </c>
      <c r="L377" s="65">
        <v>4162.6077790310001</v>
      </c>
      <c r="M377" s="65">
        <v>1.8</v>
      </c>
      <c r="N377" s="65">
        <v>81.814760798300014</v>
      </c>
      <c r="O377" s="65">
        <v>95.1</v>
      </c>
      <c r="P377" s="65">
        <v>4244.4225398293001</v>
      </c>
      <c r="Q377" s="50">
        <v>4244.4225398293001</v>
      </c>
      <c r="R377" s="65">
        <v>0</v>
      </c>
      <c r="S377" s="65">
        <v>81.814760798300014</v>
      </c>
      <c r="T377" s="65">
        <v>0</v>
      </c>
      <c r="U377" s="65">
        <v>0</v>
      </c>
      <c r="V377" s="65">
        <v>9.1000499999999693</v>
      </c>
      <c r="W377" s="65">
        <v>0</v>
      </c>
      <c r="X377" s="65">
        <v>4154</v>
      </c>
      <c r="Y377" s="65">
        <v>0</v>
      </c>
      <c r="Z377" s="65">
        <v>0</v>
      </c>
      <c r="AA377" s="51">
        <v>48</v>
      </c>
      <c r="AB377" s="102">
        <v>0</v>
      </c>
      <c r="AC377" s="81">
        <f t="shared" si="18"/>
        <v>557.63945653104918</v>
      </c>
      <c r="AD377" s="82">
        <f t="shared" si="19"/>
        <v>13.342857142857143</v>
      </c>
      <c r="AE377" s="218">
        <v>1.1331625193788959E-2</v>
      </c>
      <c r="AF377">
        <v>2</v>
      </c>
      <c r="AH377" t="str">
        <f t="shared" si="17"/>
        <v>Sahibpur Kamal</v>
      </c>
      <c r="AJ377" s="72">
        <v>0</v>
      </c>
      <c r="AK377" s="72"/>
      <c r="AL377" s="72"/>
      <c r="AM377" s="72"/>
    </row>
    <row r="378" spans="1:39" x14ac:dyDescent="0.25">
      <c r="A378" s="37" t="s">
        <v>62</v>
      </c>
      <c r="B378" s="66" t="s">
        <v>1566</v>
      </c>
      <c r="C378" s="47">
        <v>1011</v>
      </c>
      <c r="D378" s="47" t="s">
        <v>289</v>
      </c>
      <c r="E378" s="41">
        <v>10110055</v>
      </c>
      <c r="F378" s="46" t="s">
        <v>306</v>
      </c>
      <c r="G378" s="39" t="s">
        <v>93</v>
      </c>
      <c r="H378" s="48" t="s">
        <v>94</v>
      </c>
      <c r="I378" s="52">
        <v>680.9</v>
      </c>
      <c r="J378" s="49">
        <v>28876.71</v>
      </c>
      <c r="K378" s="65">
        <v>583.36000000000013</v>
      </c>
      <c r="L378" s="65">
        <v>25211.958062605798</v>
      </c>
      <c r="M378" s="65">
        <v>199.02</v>
      </c>
      <c r="N378" s="65">
        <v>8235.7661778479996</v>
      </c>
      <c r="O378" s="65">
        <v>782.38000000000011</v>
      </c>
      <c r="P378" s="65">
        <v>33447.724240453797</v>
      </c>
      <c r="Q378" s="50">
        <v>28876.71</v>
      </c>
      <c r="R378" s="65">
        <v>0</v>
      </c>
      <c r="S378" s="65">
        <v>0</v>
      </c>
      <c r="T378" s="65">
        <v>4571.0142404537983</v>
      </c>
      <c r="U378" s="65">
        <v>0</v>
      </c>
      <c r="V378" s="65">
        <v>0</v>
      </c>
      <c r="W378" s="65">
        <v>0</v>
      </c>
      <c r="X378" s="65">
        <v>20641</v>
      </c>
      <c r="Y378" s="65">
        <v>8236</v>
      </c>
      <c r="Z378" s="65">
        <v>0</v>
      </c>
      <c r="AA378" s="51">
        <v>0</v>
      </c>
      <c r="AB378" s="102" t="s">
        <v>68</v>
      </c>
      <c r="AC378" s="81">
        <f t="shared" si="18"/>
        <v>16.200474695256272</v>
      </c>
      <c r="AD378" s="82">
        <f t="shared" si="19"/>
        <v>97.271428571428572</v>
      </c>
      <c r="AE378" s="218">
        <v>-0.15829414917605913</v>
      </c>
      <c r="AF378">
        <v>5</v>
      </c>
      <c r="AH378" t="str">
        <f t="shared" si="17"/>
        <v>Sahibpur Kamal</v>
      </c>
      <c r="AJ378" s="72">
        <v>0</v>
      </c>
      <c r="AK378" s="72"/>
      <c r="AL378" s="72"/>
      <c r="AM378" s="72"/>
    </row>
    <row r="379" spans="1:39" x14ac:dyDescent="0.25">
      <c r="A379" s="37" t="s">
        <v>62</v>
      </c>
      <c r="B379" s="66" t="s">
        <v>1566</v>
      </c>
      <c r="C379" s="47">
        <v>1011</v>
      </c>
      <c r="D379" s="47" t="s">
        <v>289</v>
      </c>
      <c r="E379" s="41">
        <v>10110057</v>
      </c>
      <c r="F379" s="46" t="s">
        <v>307</v>
      </c>
      <c r="G379" s="39" t="s">
        <v>93</v>
      </c>
      <c r="H379" s="48" t="s">
        <v>94</v>
      </c>
      <c r="I379" s="52">
        <v>281.19999999999993</v>
      </c>
      <c r="J379" s="49">
        <v>12282.68</v>
      </c>
      <c r="K379" s="65">
        <v>291.3</v>
      </c>
      <c r="L379" s="65">
        <v>13653.156236445</v>
      </c>
      <c r="M379" s="65">
        <v>0</v>
      </c>
      <c r="N379" s="65">
        <v>0</v>
      </c>
      <c r="O379" s="65">
        <v>291.3</v>
      </c>
      <c r="P379" s="65">
        <v>13653.156236445</v>
      </c>
      <c r="Q379" s="50">
        <v>12282.68</v>
      </c>
      <c r="R379" s="65">
        <v>0</v>
      </c>
      <c r="S379" s="65">
        <v>0</v>
      </c>
      <c r="T379" s="65">
        <v>1370.4762364449998</v>
      </c>
      <c r="U379" s="65">
        <v>0</v>
      </c>
      <c r="V379" s="65">
        <v>0</v>
      </c>
      <c r="W379" s="65">
        <v>0</v>
      </c>
      <c r="X379" s="65">
        <v>12283</v>
      </c>
      <c r="Y379" s="65">
        <v>0</v>
      </c>
      <c r="Z379" s="65">
        <v>0</v>
      </c>
      <c r="AA379" s="51">
        <v>0</v>
      </c>
      <c r="AB379" s="102" t="s">
        <v>68</v>
      </c>
      <c r="AC379" s="81">
        <f t="shared" si="18"/>
        <v>365.85962901849234</v>
      </c>
      <c r="AD379" s="82">
        <f t="shared" si="19"/>
        <v>40.171428571428564</v>
      </c>
      <c r="AE379" s="218">
        <v>-0.11157794849698924</v>
      </c>
      <c r="AF379">
        <v>1</v>
      </c>
      <c r="AH379" t="str">
        <f t="shared" si="17"/>
        <v>Sahibpur Kamal</v>
      </c>
      <c r="AJ379" s="72">
        <v>0</v>
      </c>
      <c r="AK379" s="72"/>
      <c r="AL379" s="72"/>
      <c r="AM379" s="72"/>
    </row>
    <row r="380" spans="1:39" x14ac:dyDescent="0.25">
      <c r="A380" s="37" t="s">
        <v>62</v>
      </c>
      <c r="B380" s="66" t="s">
        <v>1566</v>
      </c>
      <c r="C380" s="47">
        <v>1011</v>
      </c>
      <c r="D380" s="47" t="s">
        <v>289</v>
      </c>
      <c r="E380" s="41">
        <v>10110065</v>
      </c>
      <c r="F380" s="46" t="s">
        <v>308</v>
      </c>
      <c r="G380" s="39" t="s">
        <v>93</v>
      </c>
      <c r="H380" s="48" t="s">
        <v>94</v>
      </c>
      <c r="I380" s="52">
        <v>1125.6000000000001</v>
      </c>
      <c r="J380" s="49">
        <v>43861.63</v>
      </c>
      <c r="K380" s="65">
        <v>1121.1799999999998</v>
      </c>
      <c r="L380" s="65">
        <v>43822.259030642403</v>
      </c>
      <c r="M380" s="65">
        <v>5.2800000000000011</v>
      </c>
      <c r="N380" s="65">
        <v>193.6528396704</v>
      </c>
      <c r="O380" s="65">
        <v>1126.4599999999998</v>
      </c>
      <c r="P380" s="65">
        <v>44015.911870312804</v>
      </c>
      <c r="Q380" s="50">
        <v>43861.63</v>
      </c>
      <c r="R380" s="65">
        <v>0</v>
      </c>
      <c r="S380" s="65">
        <v>193.6528396704</v>
      </c>
      <c r="T380" s="65">
        <v>154.28187031280686</v>
      </c>
      <c r="U380" s="65">
        <v>0</v>
      </c>
      <c r="V380" s="65">
        <v>0</v>
      </c>
      <c r="W380" s="65">
        <v>0</v>
      </c>
      <c r="X380" s="65">
        <v>43668</v>
      </c>
      <c r="Y380" s="65">
        <v>0</v>
      </c>
      <c r="Z380" s="65">
        <v>0</v>
      </c>
      <c r="AA380" s="51">
        <v>0</v>
      </c>
      <c r="AB380" s="102">
        <v>0</v>
      </c>
      <c r="AC380" s="81">
        <f t="shared" si="18"/>
        <v>0</v>
      </c>
      <c r="AD380" s="82">
        <f t="shared" si="19"/>
        <v>0</v>
      </c>
      <c r="AE380" s="218">
        <v>-3.5174677802171711E-3</v>
      </c>
      <c r="AF380">
        <v>19</v>
      </c>
      <c r="AH380" t="str">
        <f t="shared" si="17"/>
        <v>Sahibpur Kamal</v>
      </c>
      <c r="AJ380" s="72">
        <v>0</v>
      </c>
      <c r="AK380" s="72"/>
      <c r="AL380" s="72"/>
      <c r="AM380" s="72"/>
    </row>
    <row r="381" spans="1:39" x14ac:dyDescent="0.25">
      <c r="A381" s="37" t="s">
        <v>62</v>
      </c>
      <c r="B381" s="66" t="s">
        <v>1566</v>
      </c>
      <c r="C381" s="47">
        <v>1011</v>
      </c>
      <c r="D381" s="47" t="s">
        <v>289</v>
      </c>
      <c r="E381" s="41">
        <v>10110066</v>
      </c>
      <c r="F381" s="46" t="s">
        <v>309</v>
      </c>
      <c r="G381" s="39" t="s">
        <v>93</v>
      </c>
      <c r="H381" s="48" t="s">
        <v>94</v>
      </c>
      <c r="I381" s="52">
        <v>1006</v>
      </c>
      <c r="J381" s="49">
        <v>40526.46</v>
      </c>
      <c r="K381" s="65">
        <v>1000.3600000000001</v>
      </c>
      <c r="L381" s="65">
        <v>40057.075910791289</v>
      </c>
      <c r="M381" s="65">
        <v>4.76</v>
      </c>
      <c r="N381" s="65">
        <v>190.72406548800004</v>
      </c>
      <c r="O381" s="65">
        <v>1005.1200000000001</v>
      </c>
      <c r="P381" s="65">
        <v>40247.79997627929</v>
      </c>
      <c r="Q381" s="50">
        <v>40247.79997627929</v>
      </c>
      <c r="R381" s="65">
        <v>0</v>
      </c>
      <c r="S381" s="65">
        <v>190.72406548800004</v>
      </c>
      <c r="T381" s="65">
        <v>0</v>
      </c>
      <c r="U381" s="65">
        <v>0</v>
      </c>
      <c r="V381" s="65">
        <v>0</v>
      </c>
      <c r="W381" s="65">
        <v>0</v>
      </c>
      <c r="X381" s="65">
        <v>40057</v>
      </c>
      <c r="Y381" s="65">
        <v>0</v>
      </c>
      <c r="Z381" s="65">
        <v>0</v>
      </c>
      <c r="AA381" s="51">
        <v>279</v>
      </c>
      <c r="AB381" s="102">
        <v>0</v>
      </c>
      <c r="AC381" s="81">
        <f t="shared" si="18"/>
        <v>0</v>
      </c>
      <c r="AD381" s="82">
        <f t="shared" si="19"/>
        <v>0</v>
      </c>
      <c r="AE381" s="218">
        <v>6.8760020914905825E-3</v>
      </c>
      <c r="AF381">
        <v>17</v>
      </c>
      <c r="AH381" t="str">
        <f t="shared" si="17"/>
        <v>Sahibpur Kamal</v>
      </c>
      <c r="AJ381" s="72">
        <v>0</v>
      </c>
      <c r="AK381" s="72"/>
      <c r="AL381" s="72"/>
      <c r="AM381" s="72"/>
    </row>
    <row r="382" spans="1:39" x14ac:dyDescent="0.25">
      <c r="A382" s="37" t="s">
        <v>62</v>
      </c>
      <c r="B382" s="66" t="s">
        <v>1566</v>
      </c>
      <c r="C382" s="47">
        <v>1011</v>
      </c>
      <c r="D382" s="47" t="s">
        <v>289</v>
      </c>
      <c r="E382" s="41">
        <v>10110071</v>
      </c>
      <c r="F382" s="46" t="s">
        <v>310</v>
      </c>
      <c r="G382" s="39" t="s">
        <v>93</v>
      </c>
      <c r="H382" s="48" t="s">
        <v>94</v>
      </c>
      <c r="I382" s="52">
        <v>19.3</v>
      </c>
      <c r="J382" s="49">
        <v>711.01</v>
      </c>
      <c r="K382" s="65">
        <v>19</v>
      </c>
      <c r="L382" s="65">
        <v>700.00162253999997</v>
      </c>
      <c r="M382" s="65">
        <v>0</v>
      </c>
      <c r="N382" s="65">
        <v>0</v>
      </c>
      <c r="O382" s="65">
        <v>19</v>
      </c>
      <c r="P382" s="65">
        <v>700.00162253999997</v>
      </c>
      <c r="Q382" s="50">
        <v>700.00162253999997</v>
      </c>
      <c r="R382" s="65">
        <v>0</v>
      </c>
      <c r="S382" s="65">
        <v>0</v>
      </c>
      <c r="T382" s="65">
        <v>0</v>
      </c>
      <c r="U382" s="65">
        <v>0</v>
      </c>
      <c r="V382" s="65">
        <v>432.97</v>
      </c>
      <c r="W382" s="65">
        <v>0</v>
      </c>
      <c r="X382" s="65">
        <v>267</v>
      </c>
      <c r="Y382" s="65">
        <v>0</v>
      </c>
      <c r="Z382" s="65">
        <v>0</v>
      </c>
      <c r="AA382" s="51">
        <v>11</v>
      </c>
      <c r="AB382" s="102" t="s">
        <v>68</v>
      </c>
      <c r="AC382" s="81">
        <f t="shared" si="18"/>
        <v>501.53834922279799</v>
      </c>
      <c r="AD382" s="82">
        <f t="shared" si="19"/>
        <v>2.7571428571428571</v>
      </c>
      <c r="AE382" s="218">
        <v>1.548273225411741E-2</v>
      </c>
      <c r="AF382">
        <v>1</v>
      </c>
      <c r="AH382" t="str">
        <f t="shared" si="17"/>
        <v>Sahibpur Kamal</v>
      </c>
      <c r="AJ382" s="72">
        <v>0</v>
      </c>
      <c r="AK382" s="72"/>
      <c r="AL382" s="72"/>
      <c r="AM382" s="72"/>
    </row>
    <row r="383" spans="1:39" x14ac:dyDescent="0.25">
      <c r="A383" s="37" t="s">
        <v>62</v>
      </c>
      <c r="B383" s="66" t="s">
        <v>1566</v>
      </c>
      <c r="C383" s="47">
        <v>1011</v>
      </c>
      <c r="D383" s="47" t="s">
        <v>289</v>
      </c>
      <c r="E383" s="109">
        <v>10110073</v>
      </c>
      <c r="F383" s="46" t="s">
        <v>623</v>
      </c>
      <c r="G383" s="110" t="s">
        <v>93</v>
      </c>
      <c r="H383" s="48" t="s">
        <v>94</v>
      </c>
      <c r="I383" s="111">
        <v>67.5</v>
      </c>
      <c r="J383" s="49">
        <v>2480.94</v>
      </c>
      <c r="K383" s="65">
        <v>57.370000000000005</v>
      </c>
      <c r="L383" s="65">
        <v>2014.8255947160001</v>
      </c>
      <c r="M383" s="65">
        <v>0</v>
      </c>
      <c r="N383" s="65">
        <v>0</v>
      </c>
      <c r="O383" s="65">
        <v>57.370000000000005</v>
      </c>
      <c r="P383" s="65">
        <v>2014.8255947160001</v>
      </c>
      <c r="Q383" s="50">
        <v>2014.8255947160001</v>
      </c>
      <c r="R383" s="65">
        <v>0</v>
      </c>
      <c r="S383" s="65">
        <v>0</v>
      </c>
      <c r="T383" s="65">
        <v>0</v>
      </c>
      <c r="U383" s="65">
        <v>0</v>
      </c>
      <c r="V383" s="65">
        <v>556.42999999999995</v>
      </c>
      <c r="W383" s="65">
        <v>0</v>
      </c>
      <c r="X383" s="65">
        <v>1458</v>
      </c>
      <c r="Y383" s="65">
        <v>0</v>
      </c>
      <c r="Z383" s="65">
        <v>0</v>
      </c>
      <c r="AA383" s="51">
        <v>467</v>
      </c>
      <c r="AB383" s="102" t="s">
        <v>68</v>
      </c>
      <c r="AC383" s="81">
        <f t="shared" si="18"/>
        <v>464.94653333333326</v>
      </c>
      <c r="AD383" s="82">
        <f t="shared" si="19"/>
        <v>9.6428571428571423</v>
      </c>
      <c r="AE383" s="218">
        <v>0.18787814509177972</v>
      </c>
      <c r="AF383">
        <v>2</v>
      </c>
      <c r="AH383" t="str">
        <f t="shared" si="17"/>
        <v>Sahibpur Kamal</v>
      </c>
      <c r="AJ383" s="72">
        <v>0</v>
      </c>
      <c r="AK383" s="72"/>
      <c r="AL383" s="72"/>
      <c r="AM383" s="72"/>
    </row>
    <row r="384" spans="1:39" x14ac:dyDescent="0.25">
      <c r="A384" s="37" t="s">
        <v>62</v>
      </c>
      <c r="B384" s="66" t="s">
        <v>1566</v>
      </c>
      <c r="C384" s="47">
        <v>1011</v>
      </c>
      <c r="D384" s="47" t="s">
        <v>289</v>
      </c>
      <c r="E384" s="41">
        <v>10110076</v>
      </c>
      <c r="F384" s="46" t="s">
        <v>311</v>
      </c>
      <c r="G384" s="39" t="s">
        <v>93</v>
      </c>
      <c r="H384" s="48" t="s">
        <v>94</v>
      </c>
      <c r="I384" s="52">
        <v>1501.2999999999997</v>
      </c>
      <c r="J384" s="49">
        <v>61524.36</v>
      </c>
      <c r="K384" s="65">
        <v>1225.7199999999998</v>
      </c>
      <c r="L384" s="65">
        <v>52627.544236069218</v>
      </c>
      <c r="M384" s="65">
        <v>293.44</v>
      </c>
      <c r="N384" s="65">
        <v>12006.156079619648</v>
      </c>
      <c r="O384" s="65">
        <v>1519.1599999999999</v>
      </c>
      <c r="P384" s="65">
        <v>64633.700315688868</v>
      </c>
      <c r="Q384" s="50">
        <v>61524.36</v>
      </c>
      <c r="R384" s="65">
        <v>0</v>
      </c>
      <c r="S384" s="65">
        <v>177.093996777</v>
      </c>
      <c r="T384" s="65">
        <v>3109.3403156888671</v>
      </c>
      <c r="U384" s="65">
        <v>0</v>
      </c>
      <c r="V384" s="65">
        <v>0</v>
      </c>
      <c r="W384" s="65">
        <v>0</v>
      </c>
      <c r="X384" s="65">
        <v>49517</v>
      </c>
      <c r="Y384" s="65">
        <v>11830</v>
      </c>
      <c r="Z384" s="65">
        <v>0</v>
      </c>
      <c r="AA384" s="51">
        <v>0</v>
      </c>
      <c r="AB384" s="102" t="s">
        <v>68</v>
      </c>
      <c r="AC384" s="81">
        <f t="shared" si="18"/>
        <v>0</v>
      </c>
      <c r="AD384" s="82">
        <f t="shared" si="19"/>
        <v>0</v>
      </c>
      <c r="AE384" s="218">
        <v>-5.0538360995366176E-2</v>
      </c>
      <c r="AF384">
        <v>11</v>
      </c>
      <c r="AH384" t="str">
        <f t="shared" si="17"/>
        <v>Sahibpur Kamal</v>
      </c>
      <c r="AJ384" s="72">
        <v>0</v>
      </c>
      <c r="AK384" s="72"/>
      <c r="AL384" s="72"/>
      <c r="AM384" s="72"/>
    </row>
    <row r="385" spans="1:39" x14ac:dyDescent="0.25">
      <c r="A385" s="37" t="s">
        <v>62</v>
      </c>
      <c r="B385" s="66" t="s">
        <v>1566</v>
      </c>
      <c r="C385" s="47">
        <v>1011</v>
      </c>
      <c r="D385" s="47" t="s">
        <v>289</v>
      </c>
      <c r="E385" s="47">
        <v>10110078</v>
      </c>
      <c r="F385" s="46" t="s">
        <v>312</v>
      </c>
      <c r="G385" s="48" t="s">
        <v>93</v>
      </c>
      <c r="H385" s="48" t="s">
        <v>94</v>
      </c>
      <c r="I385" s="49">
        <v>457.8</v>
      </c>
      <c r="J385" s="49">
        <v>15299.9</v>
      </c>
      <c r="K385" s="65">
        <v>465.2</v>
      </c>
      <c r="L385" s="65">
        <v>15559.641302040001</v>
      </c>
      <c r="M385" s="65">
        <v>0</v>
      </c>
      <c r="N385" s="65">
        <v>0</v>
      </c>
      <c r="O385" s="65">
        <v>465.2</v>
      </c>
      <c r="P385" s="65">
        <v>15559.641302040001</v>
      </c>
      <c r="Q385" s="50">
        <v>15299.9</v>
      </c>
      <c r="R385" s="65">
        <v>0</v>
      </c>
      <c r="S385" s="65">
        <v>0</v>
      </c>
      <c r="T385" s="65">
        <v>259.74130204000176</v>
      </c>
      <c r="U385" s="65">
        <v>0</v>
      </c>
      <c r="V385" s="65">
        <v>0</v>
      </c>
      <c r="W385" s="65">
        <v>0</v>
      </c>
      <c r="X385" s="65">
        <v>15300</v>
      </c>
      <c r="Y385" s="65">
        <v>0</v>
      </c>
      <c r="Z385" s="65">
        <v>0</v>
      </c>
      <c r="AA385" s="51">
        <v>0</v>
      </c>
      <c r="AB385" s="102">
        <v>0</v>
      </c>
      <c r="AC385" s="81">
        <f t="shared" si="18"/>
        <v>161.88885015290518</v>
      </c>
      <c r="AD385" s="82">
        <f t="shared" si="19"/>
        <v>65.400000000000006</v>
      </c>
      <c r="AE385" s="218">
        <v>-1.6976666647494542E-2</v>
      </c>
      <c r="AF385">
        <v>1</v>
      </c>
      <c r="AH385" t="str">
        <f t="shared" si="17"/>
        <v>Sahibpur Kamal</v>
      </c>
      <c r="AJ385" s="72">
        <v>0</v>
      </c>
      <c r="AK385" s="72"/>
      <c r="AL385" s="72"/>
      <c r="AM385" s="72"/>
    </row>
    <row r="386" spans="1:39" x14ac:dyDescent="0.25">
      <c r="A386" s="37" t="s">
        <v>62</v>
      </c>
      <c r="B386" s="66" t="s">
        <v>1566</v>
      </c>
      <c r="C386" s="47">
        <v>1011</v>
      </c>
      <c r="D386" s="47" t="s">
        <v>289</v>
      </c>
      <c r="E386" s="41">
        <v>10110083</v>
      </c>
      <c r="F386" s="46" t="s">
        <v>435</v>
      </c>
      <c r="G386" s="39" t="s">
        <v>93</v>
      </c>
      <c r="H386" s="48" t="s">
        <v>94</v>
      </c>
      <c r="I386" s="52">
        <v>263.3</v>
      </c>
      <c r="J386" s="49">
        <v>9746.43</v>
      </c>
      <c r="K386" s="65">
        <v>263</v>
      </c>
      <c r="L386" s="65">
        <v>9755.4806712000009</v>
      </c>
      <c r="M386" s="65">
        <v>0</v>
      </c>
      <c r="N386" s="65">
        <v>0</v>
      </c>
      <c r="O386" s="65">
        <v>263</v>
      </c>
      <c r="P386" s="65">
        <v>9755.4806712000009</v>
      </c>
      <c r="Q386" s="50">
        <v>9746.43</v>
      </c>
      <c r="R386" s="65">
        <v>0</v>
      </c>
      <c r="S386" s="65">
        <v>0</v>
      </c>
      <c r="T386" s="65">
        <v>9.0506712000005791</v>
      </c>
      <c r="U386" s="65">
        <v>0</v>
      </c>
      <c r="V386" s="65">
        <v>522.96</v>
      </c>
      <c r="W386" s="65">
        <v>0</v>
      </c>
      <c r="X386" s="65">
        <v>9223</v>
      </c>
      <c r="Y386" s="65">
        <v>0</v>
      </c>
      <c r="Z386" s="65">
        <v>0</v>
      </c>
      <c r="AA386" s="51">
        <v>0</v>
      </c>
      <c r="AB386" s="102" t="s">
        <v>68</v>
      </c>
      <c r="AC386" s="81">
        <f t="shared" si="18"/>
        <v>323.30163167489559</v>
      </c>
      <c r="AD386" s="82">
        <f t="shared" si="19"/>
        <v>37.614285714285714</v>
      </c>
      <c r="AE386" s="218">
        <v>-9.2861398481296014E-4</v>
      </c>
      <c r="AF386">
        <v>1</v>
      </c>
      <c r="AH386" t="str">
        <f t="shared" si="17"/>
        <v>Sahibpur Kamal</v>
      </c>
      <c r="AJ386" s="72">
        <v>0</v>
      </c>
      <c r="AK386" s="72"/>
      <c r="AL386" s="72"/>
      <c r="AM386" s="72"/>
    </row>
    <row r="387" spans="1:39" x14ac:dyDescent="0.25">
      <c r="A387" s="37" t="s">
        <v>62</v>
      </c>
      <c r="B387" s="66" t="s">
        <v>1566</v>
      </c>
      <c r="C387" s="47">
        <v>1011</v>
      </c>
      <c r="D387" s="47" t="s">
        <v>289</v>
      </c>
      <c r="E387" s="41">
        <v>10110086</v>
      </c>
      <c r="F387" s="46" t="s">
        <v>439</v>
      </c>
      <c r="G387" s="39" t="s">
        <v>93</v>
      </c>
      <c r="H387" s="48" t="s">
        <v>94</v>
      </c>
      <c r="I387" s="52">
        <v>377.5</v>
      </c>
      <c r="J387" s="49">
        <v>14512.73</v>
      </c>
      <c r="K387" s="65">
        <v>380.5</v>
      </c>
      <c r="L387" s="65">
        <v>14895.680944320004</v>
      </c>
      <c r="M387" s="65">
        <v>1.4</v>
      </c>
      <c r="N387" s="65">
        <v>54.068735160000003</v>
      </c>
      <c r="O387" s="65">
        <v>381.9</v>
      </c>
      <c r="P387" s="65">
        <v>14949.749679480004</v>
      </c>
      <c r="Q387" s="50">
        <v>14512.73</v>
      </c>
      <c r="R387" s="65">
        <v>0</v>
      </c>
      <c r="S387" s="65">
        <v>54.068735160000003</v>
      </c>
      <c r="T387" s="65">
        <v>437.01967948000492</v>
      </c>
      <c r="U387" s="65">
        <v>0</v>
      </c>
      <c r="V387" s="65">
        <v>0</v>
      </c>
      <c r="W387" s="65">
        <v>0</v>
      </c>
      <c r="X387" s="65">
        <v>14459</v>
      </c>
      <c r="Y387" s="65">
        <v>0</v>
      </c>
      <c r="Z387" s="65">
        <v>0</v>
      </c>
      <c r="AA387" s="51">
        <v>0</v>
      </c>
      <c r="AB387" s="102">
        <v>0</v>
      </c>
      <c r="AC387" s="81">
        <f t="shared" si="18"/>
        <v>247.96585033112581</v>
      </c>
      <c r="AD387" s="82">
        <f t="shared" si="19"/>
        <v>53.928571428571431</v>
      </c>
      <c r="AE387" s="218">
        <v>-3.0112851233365805E-2</v>
      </c>
      <c r="AF387">
        <v>5</v>
      </c>
      <c r="AH387" t="str">
        <f t="shared" ref="AH387:AH450" si="20">TEXT(D387,"0000")</f>
        <v>Sahibpur Kamal</v>
      </c>
      <c r="AJ387" s="72">
        <v>0</v>
      </c>
      <c r="AK387" s="72"/>
      <c r="AL387" s="72"/>
      <c r="AM387" s="72"/>
    </row>
    <row r="388" spans="1:39" x14ac:dyDescent="0.25">
      <c r="A388" s="37" t="s">
        <v>62</v>
      </c>
      <c r="B388" s="66" t="s">
        <v>1566</v>
      </c>
      <c r="C388" s="47">
        <v>1054</v>
      </c>
      <c r="D388" s="47" t="s">
        <v>828</v>
      </c>
      <c r="E388" s="41">
        <v>10110093</v>
      </c>
      <c r="F388" s="46" t="s">
        <v>487</v>
      </c>
      <c r="G388" s="39" t="s">
        <v>93</v>
      </c>
      <c r="H388" s="48" t="s">
        <v>94</v>
      </c>
      <c r="I388" s="52">
        <v>443.09999999999997</v>
      </c>
      <c r="J388" s="49">
        <v>15906</v>
      </c>
      <c r="K388" s="65">
        <v>506.49999999999994</v>
      </c>
      <c r="L388" s="65">
        <v>19856.386210320001</v>
      </c>
      <c r="M388" s="65">
        <v>12</v>
      </c>
      <c r="N388" s="65">
        <v>467.8209756</v>
      </c>
      <c r="O388" s="65">
        <v>518.5</v>
      </c>
      <c r="P388" s="65">
        <v>20324.20718592</v>
      </c>
      <c r="Q388" s="50">
        <v>15906</v>
      </c>
      <c r="R388" s="65">
        <v>0</v>
      </c>
      <c r="S388" s="65">
        <v>467.8209756</v>
      </c>
      <c r="T388" s="65">
        <v>4418.2071859200005</v>
      </c>
      <c r="U388" s="65">
        <v>0</v>
      </c>
      <c r="V388" s="65">
        <v>0</v>
      </c>
      <c r="W388" s="65">
        <v>0</v>
      </c>
      <c r="X388" s="65">
        <v>15438</v>
      </c>
      <c r="Y388" s="65">
        <v>0</v>
      </c>
      <c r="Z388" s="65">
        <v>0</v>
      </c>
      <c r="AA388" s="51">
        <v>0</v>
      </c>
      <c r="AB388" s="102">
        <v>0</v>
      </c>
      <c r="AC388" s="81">
        <f t="shared" ref="AC388:AC451" si="21">((IF(AD388=0,0,100-AD388))*7*(J388/I388))*2%</f>
        <v>184.4392417061612</v>
      </c>
      <c r="AD388" s="82">
        <f t="shared" ref="AD388:AD451" si="22">IF((I388/7)&gt;100,0,(I388/7))</f>
        <v>63.3</v>
      </c>
      <c r="AE388" s="218">
        <v>-0.27776984697095441</v>
      </c>
      <c r="AF388">
        <v>2</v>
      </c>
      <c r="AH388" t="str">
        <f t="shared" si="20"/>
        <v xml:space="preserve">Alauli </v>
      </c>
      <c r="AJ388" s="72">
        <v>0</v>
      </c>
      <c r="AK388" s="72"/>
      <c r="AL388" s="72"/>
      <c r="AM388" s="72"/>
    </row>
    <row r="389" spans="1:39" x14ac:dyDescent="0.25">
      <c r="A389" s="37" t="s">
        <v>62</v>
      </c>
      <c r="B389" s="66" t="s">
        <v>1566</v>
      </c>
      <c r="C389" s="47">
        <v>1011</v>
      </c>
      <c r="D389" s="47" t="s">
        <v>289</v>
      </c>
      <c r="E389" s="41">
        <v>10110094</v>
      </c>
      <c r="F389" s="46" t="s">
        <v>488</v>
      </c>
      <c r="G389" s="39" t="s">
        <v>93</v>
      </c>
      <c r="H389" s="48" t="s">
        <v>94</v>
      </c>
      <c r="I389" s="52">
        <v>408.5</v>
      </c>
      <c r="J389" s="49">
        <v>15257.789999999997</v>
      </c>
      <c r="K389" s="65">
        <v>415.62</v>
      </c>
      <c r="L389" s="65">
        <v>15030.457025542204</v>
      </c>
      <c r="M389" s="65">
        <v>5.879999999999999</v>
      </c>
      <c r="N389" s="65">
        <v>217.55307142800004</v>
      </c>
      <c r="O389" s="65">
        <v>421.5</v>
      </c>
      <c r="P389" s="65">
        <v>15248.010096970203</v>
      </c>
      <c r="Q389" s="50">
        <v>15248.010096970203</v>
      </c>
      <c r="R389" s="65">
        <v>0</v>
      </c>
      <c r="S389" s="65">
        <v>217.55307142800004</v>
      </c>
      <c r="T389" s="65">
        <v>0</v>
      </c>
      <c r="U389" s="65">
        <v>0</v>
      </c>
      <c r="V389" s="65">
        <v>0</v>
      </c>
      <c r="W389" s="65">
        <v>0</v>
      </c>
      <c r="X389" s="65">
        <v>15031</v>
      </c>
      <c r="Y389" s="65">
        <v>0</v>
      </c>
      <c r="Z389" s="65">
        <v>0</v>
      </c>
      <c r="AA389" s="51">
        <v>9</v>
      </c>
      <c r="AB389" s="102">
        <v>0</v>
      </c>
      <c r="AC389" s="81">
        <f t="shared" si="21"/>
        <v>217.75499559363519</v>
      </c>
      <c r="AD389" s="82">
        <f t="shared" si="22"/>
        <v>58.357142857142854</v>
      </c>
      <c r="AE389" s="218">
        <v>6.4097769269296455E-4</v>
      </c>
      <c r="AF389">
        <v>14</v>
      </c>
      <c r="AH389" t="str">
        <f t="shared" si="20"/>
        <v>Sahibpur Kamal</v>
      </c>
      <c r="AJ389" s="72">
        <v>0</v>
      </c>
      <c r="AK389" s="72"/>
      <c r="AL389" s="72"/>
      <c r="AM389" s="72"/>
    </row>
    <row r="390" spans="1:39" x14ac:dyDescent="0.25">
      <c r="A390" s="37" t="s">
        <v>62</v>
      </c>
      <c r="B390" s="66" t="s">
        <v>1566</v>
      </c>
      <c r="C390" s="47">
        <v>1011</v>
      </c>
      <c r="D390" s="47" t="s">
        <v>289</v>
      </c>
      <c r="E390" s="41">
        <v>10110095</v>
      </c>
      <c r="F390" s="46" t="s">
        <v>489</v>
      </c>
      <c r="G390" s="39" t="s">
        <v>93</v>
      </c>
      <c r="H390" s="48" t="s">
        <v>94</v>
      </c>
      <c r="I390" s="52">
        <v>408.29999999999995</v>
      </c>
      <c r="J390" s="49">
        <v>18635.04</v>
      </c>
      <c r="K390" s="65">
        <v>412.21999999999997</v>
      </c>
      <c r="L390" s="65">
        <v>18988.629028029522</v>
      </c>
      <c r="M390" s="65">
        <v>7.03</v>
      </c>
      <c r="N390" s="65">
        <v>319.92851437470006</v>
      </c>
      <c r="O390" s="65">
        <v>419.24999999999994</v>
      </c>
      <c r="P390" s="65">
        <v>19308.557542404222</v>
      </c>
      <c r="Q390" s="50">
        <v>18635.04</v>
      </c>
      <c r="R390" s="65">
        <v>0</v>
      </c>
      <c r="S390" s="65">
        <v>319.92851437470006</v>
      </c>
      <c r="T390" s="65">
        <v>673.51754240422088</v>
      </c>
      <c r="U390" s="65">
        <v>0</v>
      </c>
      <c r="V390" s="65">
        <v>0</v>
      </c>
      <c r="W390" s="65">
        <v>0</v>
      </c>
      <c r="X390" s="65">
        <v>18315</v>
      </c>
      <c r="Y390" s="65">
        <v>0</v>
      </c>
      <c r="Z390" s="65">
        <v>0</v>
      </c>
      <c r="AA390" s="51">
        <v>0</v>
      </c>
      <c r="AB390" s="102" t="s">
        <v>68</v>
      </c>
      <c r="AC390" s="81">
        <f t="shared" si="21"/>
        <v>266.26701778104342</v>
      </c>
      <c r="AD390" s="82">
        <f t="shared" si="22"/>
        <v>58.328571428571422</v>
      </c>
      <c r="AE390" s="218">
        <v>-3.6142532691328853E-2</v>
      </c>
      <c r="AF390">
        <v>12</v>
      </c>
      <c r="AH390" t="str">
        <f t="shared" si="20"/>
        <v>Sahibpur Kamal</v>
      </c>
      <c r="AJ390" s="72">
        <v>0</v>
      </c>
      <c r="AK390" s="72"/>
      <c r="AL390" s="72"/>
      <c r="AM390" s="72"/>
    </row>
    <row r="391" spans="1:39" x14ac:dyDescent="0.25">
      <c r="A391" s="37" t="s">
        <v>62</v>
      </c>
      <c r="B391" s="66" t="s">
        <v>1566</v>
      </c>
      <c r="C391" s="47">
        <v>1054</v>
      </c>
      <c r="D391" s="47" t="s">
        <v>828</v>
      </c>
      <c r="E391" s="41">
        <v>10110097</v>
      </c>
      <c r="F391" s="46" t="s">
        <v>504</v>
      </c>
      <c r="G391" s="39" t="s">
        <v>93</v>
      </c>
      <c r="H391" s="48" t="s">
        <v>94</v>
      </c>
      <c r="I391" s="52">
        <v>100.60000000000001</v>
      </c>
      <c r="J391" s="49">
        <v>4399.37</v>
      </c>
      <c r="K391" s="65">
        <v>101.48999999999998</v>
      </c>
      <c r="L391" s="65">
        <v>4207.5304815456002</v>
      </c>
      <c r="M391" s="65">
        <v>0.74</v>
      </c>
      <c r="N391" s="65">
        <v>30.082294835999999</v>
      </c>
      <c r="O391" s="65">
        <v>102.22999999999998</v>
      </c>
      <c r="P391" s="65">
        <v>4237.6127763816003</v>
      </c>
      <c r="Q391" s="50">
        <v>4237.6127763816003</v>
      </c>
      <c r="R391" s="65">
        <v>0</v>
      </c>
      <c r="S391" s="65">
        <v>30.082294835999999</v>
      </c>
      <c r="T391" s="65">
        <v>0</v>
      </c>
      <c r="U391" s="65">
        <v>0</v>
      </c>
      <c r="V391" s="65">
        <v>225.8790000000001</v>
      </c>
      <c r="W391" s="65">
        <v>0</v>
      </c>
      <c r="X391" s="65">
        <v>3982</v>
      </c>
      <c r="Y391" s="65">
        <v>0</v>
      </c>
      <c r="Z391" s="65">
        <v>0</v>
      </c>
      <c r="AA391" s="51">
        <v>161</v>
      </c>
      <c r="AB391" s="102">
        <v>0</v>
      </c>
      <c r="AC391" s="81">
        <f t="shared" si="21"/>
        <v>524.25096978131216</v>
      </c>
      <c r="AD391" s="82">
        <f t="shared" si="22"/>
        <v>14.371428571428572</v>
      </c>
      <c r="AE391" s="218">
        <v>3.6768269915556005E-2</v>
      </c>
      <c r="AF391">
        <v>3</v>
      </c>
      <c r="AH391" t="str">
        <f t="shared" si="20"/>
        <v xml:space="preserve">Alauli </v>
      </c>
      <c r="AJ391" s="72">
        <v>0</v>
      </c>
      <c r="AK391" s="72"/>
      <c r="AL391" s="72"/>
      <c r="AM391" s="72"/>
    </row>
    <row r="392" spans="1:39" x14ac:dyDescent="0.25">
      <c r="A392" s="37" t="s">
        <v>62</v>
      </c>
      <c r="B392" s="66" t="s">
        <v>1566</v>
      </c>
      <c r="C392" s="47">
        <v>1054</v>
      </c>
      <c r="D392" s="47" t="s">
        <v>828</v>
      </c>
      <c r="E392" s="41">
        <v>10110098</v>
      </c>
      <c r="F392" s="46" t="s">
        <v>509</v>
      </c>
      <c r="G392" s="39" t="s">
        <v>93</v>
      </c>
      <c r="H392" s="48" t="s">
        <v>94</v>
      </c>
      <c r="I392" s="52">
        <v>168.99999999999994</v>
      </c>
      <c r="J392" s="49">
        <v>6973.72</v>
      </c>
      <c r="K392" s="65">
        <v>158.6</v>
      </c>
      <c r="L392" s="65">
        <v>6537.1603294800007</v>
      </c>
      <c r="M392" s="65">
        <v>0</v>
      </c>
      <c r="N392" s="65">
        <v>0</v>
      </c>
      <c r="O392" s="65">
        <v>158.6</v>
      </c>
      <c r="P392" s="65">
        <v>6537.1603294800007</v>
      </c>
      <c r="Q392" s="50">
        <v>6537.1603294800007</v>
      </c>
      <c r="R392" s="65">
        <v>0</v>
      </c>
      <c r="S392" s="65">
        <v>0</v>
      </c>
      <c r="T392" s="65">
        <v>0</v>
      </c>
      <c r="U392" s="65">
        <v>0</v>
      </c>
      <c r="V392" s="65">
        <v>0</v>
      </c>
      <c r="W392" s="65">
        <v>0</v>
      </c>
      <c r="X392" s="65">
        <v>6537</v>
      </c>
      <c r="Y392" s="65">
        <v>0</v>
      </c>
      <c r="Z392" s="65">
        <v>0</v>
      </c>
      <c r="AA392" s="51">
        <v>437</v>
      </c>
      <c r="AB392" s="102">
        <v>0</v>
      </c>
      <c r="AC392" s="81">
        <f t="shared" si="21"/>
        <v>438.23021538461552</v>
      </c>
      <c r="AD392" s="82">
        <f t="shared" si="22"/>
        <v>24.142857142857135</v>
      </c>
      <c r="AE392" s="218">
        <v>6.2600688086129008E-2</v>
      </c>
      <c r="AF392">
        <v>1</v>
      </c>
      <c r="AH392" t="str">
        <f t="shared" si="20"/>
        <v xml:space="preserve">Alauli </v>
      </c>
      <c r="AJ392" s="72">
        <v>0</v>
      </c>
      <c r="AK392" s="72"/>
      <c r="AL392" s="72"/>
      <c r="AM392" s="72"/>
    </row>
    <row r="393" spans="1:39" x14ac:dyDescent="0.25">
      <c r="A393" s="37" t="s">
        <v>62</v>
      </c>
      <c r="B393" s="66" t="s">
        <v>1566</v>
      </c>
      <c r="C393" s="47">
        <v>1054</v>
      </c>
      <c r="D393" s="47" t="s">
        <v>828</v>
      </c>
      <c r="E393" s="41">
        <v>10110100</v>
      </c>
      <c r="F393" s="46" t="s">
        <v>510</v>
      </c>
      <c r="G393" s="39" t="s">
        <v>93</v>
      </c>
      <c r="H393" s="48" t="s">
        <v>94</v>
      </c>
      <c r="I393" s="52">
        <v>3656.4999999999995</v>
      </c>
      <c r="J393" s="49">
        <v>147744.75</v>
      </c>
      <c r="K393" s="65">
        <v>3871.5399999999991</v>
      </c>
      <c r="L393" s="65">
        <v>158285.82973307505</v>
      </c>
      <c r="M393" s="65">
        <v>6.3999999999999995</v>
      </c>
      <c r="N393" s="65">
        <v>262.10610835200004</v>
      </c>
      <c r="O393" s="65">
        <v>3877.9399999999991</v>
      </c>
      <c r="P393" s="65">
        <v>158547.93584142704</v>
      </c>
      <c r="Q393" s="50">
        <v>147744.75</v>
      </c>
      <c r="R393" s="65">
        <v>0</v>
      </c>
      <c r="S393" s="65">
        <v>262.10610835200004</v>
      </c>
      <c r="T393" s="65">
        <v>10803.185841427039</v>
      </c>
      <c r="U393" s="65">
        <v>4394</v>
      </c>
      <c r="V393" s="65">
        <v>0</v>
      </c>
      <c r="W393" s="65">
        <v>0</v>
      </c>
      <c r="X393" s="65">
        <v>143089</v>
      </c>
      <c r="Y393" s="65">
        <v>0</v>
      </c>
      <c r="Z393" s="65">
        <v>0</v>
      </c>
      <c r="AA393" s="51">
        <v>0</v>
      </c>
      <c r="AB393" s="102">
        <v>0</v>
      </c>
      <c r="AC393" s="81">
        <f t="shared" si="21"/>
        <v>0</v>
      </c>
      <c r="AD393" s="82">
        <f t="shared" si="22"/>
        <v>0</v>
      </c>
      <c r="AE393" s="218">
        <v>-7.3120607273199481E-2</v>
      </c>
      <c r="AF393">
        <v>19</v>
      </c>
      <c r="AH393" t="str">
        <f t="shared" si="20"/>
        <v xml:space="preserve">Alauli </v>
      </c>
      <c r="AJ393" s="72">
        <v>0</v>
      </c>
      <c r="AK393" s="72"/>
      <c r="AL393" s="72"/>
      <c r="AM393" s="72"/>
    </row>
    <row r="394" spans="1:39" x14ac:dyDescent="0.25">
      <c r="A394" s="37" t="s">
        <v>62</v>
      </c>
      <c r="B394" s="66" t="s">
        <v>1566</v>
      </c>
      <c r="C394" s="47">
        <v>1054</v>
      </c>
      <c r="D394" s="47" t="s">
        <v>828</v>
      </c>
      <c r="E394" s="41">
        <v>10110101</v>
      </c>
      <c r="F394" s="46" t="s">
        <v>520</v>
      </c>
      <c r="G394" s="39" t="s">
        <v>93</v>
      </c>
      <c r="H394" s="48" t="s">
        <v>94</v>
      </c>
      <c r="I394" s="52">
        <v>274.10000000000002</v>
      </c>
      <c r="J394" s="49">
        <v>11246.12</v>
      </c>
      <c r="K394" s="65">
        <v>257.20999999999998</v>
      </c>
      <c r="L394" s="65">
        <v>11682.285196511461</v>
      </c>
      <c r="M394" s="65">
        <v>5.4999999999999991</v>
      </c>
      <c r="N394" s="65">
        <v>260.56773603335006</v>
      </c>
      <c r="O394" s="65">
        <v>262.70999999999998</v>
      </c>
      <c r="P394" s="65">
        <v>11942.852932544811</v>
      </c>
      <c r="Q394" s="50">
        <v>11246.12</v>
      </c>
      <c r="R394" s="65">
        <v>0</v>
      </c>
      <c r="S394" s="65">
        <v>260.56773603335006</v>
      </c>
      <c r="T394" s="65">
        <v>696.73293254480996</v>
      </c>
      <c r="U394" s="65">
        <v>0</v>
      </c>
      <c r="V394" s="65">
        <v>0</v>
      </c>
      <c r="W394" s="65">
        <v>0</v>
      </c>
      <c r="X394" s="65">
        <v>10986</v>
      </c>
      <c r="Y394" s="65">
        <v>0</v>
      </c>
      <c r="Z394" s="65">
        <v>0</v>
      </c>
      <c r="AA394" s="51">
        <v>0</v>
      </c>
      <c r="AB394" s="102">
        <v>0</v>
      </c>
      <c r="AC394" s="81">
        <f t="shared" si="21"/>
        <v>349.48723152134255</v>
      </c>
      <c r="AD394" s="82">
        <f t="shared" si="22"/>
        <v>39.157142857142858</v>
      </c>
      <c r="AE394" s="218">
        <v>-6.1953183190719102E-2</v>
      </c>
      <c r="AF394">
        <v>11</v>
      </c>
      <c r="AH394" t="str">
        <f t="shared" si="20"/>
        <v xml:space="preserve">Alauli </v>
      </c>
      <c r="AJ394" s="72">
        <v>0</v>
      </c>
      <c r="AK394" s="72"/>
      <c r="AL394" s="72"/>
      <c r="AM394" s="72"/>
    </row>
    <row r="395" spans="1:39" x14ac:dyDescent="0.25">
      <c r="A395" s="37" t="s">
        <v>62</v>
      </c>
      <c r="B395" s="66" t="s">
        <v>1566</v>
      </c>
      <c r="C395" s="47">
        <v>1011</v>
      </c>
      <c r="D395" s="47" t="s">
        <v>289</v>
      </c>
      <c r="E395" s="41">
        <v>10110105</v>
      </c>
      <c r="F395" s="46" t="s">
        <v>531</v>
      </c>
      <c r="G395" s="39" t="s">
        <v>93</v>
      </c>
      <c r="H395" s="48" t="s">
        <v>94</v>
      </c>
      <c r="I395" s="52">
        <v>392.4</v>
      </c>
      <c r="J395" s="49">
        <v>14412.839999999998</v>
      </c>
      <c r="K395" s="65">
        <v>435.80999999999995</v>
      </c>
      <c r="L395" s="65">
        <v>16063.587245175842</v>
      </c>
      <c r="M395" s="65">
        <v>0</v>
      </c>
      <c r="N395" s="65">
        <v>0</v>
      </c>
      <c r="O395" s="65">
        <v>435.80999999999995</v>
      </c>
      <c r="P395" s="65">
        <v>16063.587245175842</v>
      </c>
      <c r="Q395" s="50">
        <v>14412.839999999998</v>
      </c>
      <c r="R395" s="65">
        <v>0</v>
      </c>
      <c r="S395" s="65">
        <v>0</v>
      </c>
      <c r="T395" s="65">
        <v>1650.747245175844</v>
      </c>
      <c r="U395" s="65">
        <v>0</v>
      </c>
      <c r="V395" s="65">
        <v>0</v>
      </c>
      <c r="W395" s="65">
        <v>0</v>
      </c>
      <c r="X395" s="65">
        <v>14413</v>
      </c>
      <c r="Y395" s="65">
        <v>0</v>
      </c>
      <c r="Z395" s="65">
        <v>0</v>
      </c>
      <c r="AA395" s="51">
        <v>0</v>
      </c>
      <c r="AB395" s="102">
        <v>0</v>
      </c>
      <c r="AC395" s="81">
        <f t="shared" si="21"/>
        <v>225.96277186544344</v>
      </c>
      <c r="AD395" s="82">
        <f t="shared" si="22"/>
        <v>56.057142857142857</v>
      </c>
      <c r="AE395" s="218">
        <v>-0.11453310001192299</v>
      </c>
      <c r="AF395">
        <v>12</v>
      </c>
      <c r="AH395" t="str">
        <f t="shared" si="20"/>
        <v>Sahibpur Kamal</v>
      </c>
      <c r="AJ395" s="72">
        <v>0</v>
      </c>
      <c r="AK395" s="72"/>
      <c r="AL395" s="72"/>
      <c r="AM395" s="72"/>
    </row>
    <row r="396" spans="1:39" x14ac:dyDescent="0.25">
      <c r="A396" s="37" t="s">
        <v>62</v>
      </c>
      <c r="B396" s="66" t="s">
        <v>1566</v>
      </c>
      <c r="C396" s="47">
        <v>1011</v>
      </c>
      <c r="D396" s="47" t="s">
        <v>289</v>
      </c>
      <c r="E396" s="41">
        <v>10110106</v>
      </c>
      <c r="F396" s="46" t="s">
        <v>624</v>
      </c>
      <c r="G396" s="39" t="s">
        <v>93</v>
      </c>
      <c r="H396" s="48" t="s">
        <v>94</v>
      </c>
      <c r="I396" s="52">
        <v>5127.6999999999989</v>
      </c>
      <c r="J396" s="49">
        <v>198450.26</v>
      </c>
      <c r="K396" s="65">
        <v>1188.28</v>
      </c>
      <c r="L396" s="65">
        <v>51839.051559707761</v>
      </c>
      <c r="M396" s="65">
        <v>3914.7</v>
      </c>
      <c r="N396" s="65">
        <v>149970.34469340002</v>
      </c>
      <c r="O396" s="65">
        <v>5102.9799999999996</v>
      </c>
      <c r="P396" s="65">
        <v>201809.39625310779</v>
      </c>
      <c r="Q396" s="50">
        <v>198450.26</v>
      </c>
      <c r="R396" s="65">
        <v>0</v>
      </c>
      <c r="S396" s="65">
        <v>333.40216139999995</v>
      </c>
      <c r="T396" s="65">
        <v>3359.1362531077757</v>
      </c>
      <c r="U396" s="65">
        <v>0</v>
      </c>
      <c r="V396" s="65">
        <v>0</v>
      </c>
      <c r="W396" s="65">
        <v>0</v>
      </c>
      <c r="X396" s="65">
        <v>48480</v>
      </c>
      <c r="Y396" s="65">
        <v>149637</v>
      </c>
      <c r="Z396" s="65">
        <v>0</v>
      </c>
      <c r="AA396" s="51">
        <v>0</v>
      </c>
      <c r="AB396" s="102">
        <v>0</v>
      </c>
      <c r="AC396" s="81">
        <f t="shared" si="21"/>
        <v>0</v>
      </c>
      <c r="AD396" s="82">
        <f t="shared" si="22"/>
        <v>0</v>
      </c>
      <c r="AE396" s="218">
        <v>-1.6926842288378839E-2</v>
      </c>
      <c r="AF396">
        <v>10</v>
      </c>
      <c r="AH396" t="str">
        <f t="shared" si="20"/>
        <v>Sahibpur Kamal</v>
      </c>
      <c r="AJ396" s="72">
        <v>0</v>
      </c>
      <c r="AK396" s="72"/>
      <c r="AL396" s="72"/>
      <c r="AM396" s="72"/>
    </row>
    <row r="397" spans="1:39" x14ac:dyDescent="0.25">
      <c r="A397" s="37" t="s">
        <v>62</v>
      </c>
      <c r="B397" s="66" t="s">
        <v>1566</v>
      </c>
      <c r="C397" s="47">
        <v>1054</v>
      </c>
      <c r="D397" s="47" t="s">
        <v>828</v>
      </c>
      <c r="E397" s="41">
        <v>10110109</v>
      </c>
      <c r="F397" s="46" t="s">
        <v>1345</v>
      </c>
      <c r="G397" s="39" t="s">
        <v>93</v>
      </c>
      <c r="H397" s="48" t="s">
        <v>94</v>
      </c>
      <c r="I397" s="52">
        <v>267.5</v>
      </c>
      <c r="J397" s="49">
        <v>11341.97</v>
      </c>
      <c r="K397" s="65">
        <v>267.85000000000002</v>
      </c>
      <c r="L397" s="65">
        <v>11356.323884996404</v>
      </c>
      <c r="M397" s="65">
        <v>1.4000000000000001</v>
      </c>
      <c r="N397" s="65">
        <v>58.678345493100018</v>
      </c>
      <c r="O397" s="65">
        <v>269.25</v>
      </c>
      <c r="P397" s="65">
        <v>11415.002230489503</v>
      </c>
      <c r="Q397" s="50">
        <v>11341.97</v>
      </c>
      <c r="R397" s="65">
        <v>0</v>
      </c>
      <c r="S397" s="65">
        <v>58.678345493100018</v>
      </c>
      <c r="T397" s="65">
        <v>73.03223048950349</v>
      </c>
      <c r="U397" s="65">
        <v>0</v>
      </c>
      <c r="V397" s="65">
        <v>3.18</v>
      </c>
      <c r="W397" s="65">
        <v>0</v>
      </c>
      <c r="X397" s="65">
        <v>11280</v>
      </c>
      <c r="Y397" s="65">
        <v>0</v>
      </c>
      <c r="Z397" s="65">
        <v>0</v>
      </c>
      <c r="AA397" s="51">
        <v>0</v>
      </c>
      <c r="AB397" s="102" t="s">
        <v>68</v>
      </c>
      <c r="AC397" s="81">
        <f t="shared" si="21"/>
        <v>366.75902990654208</v>
      </c>
      <c r="AD397" s="82">
        <f t="shared" si="22"/>
        <v>38.214285714285715</v>
      </c>
      <c r="AE397" s="218">
        <v>-6.4391133541618871E-3</v>
      </c>
      <c r="AF397">
        <v>2</v>
      </c>
      <c r="AH397" t="str">
        <f t="shared" si="20"/>
        <v xml:space="preserve">Alauli </v>
      </c>
      <c r="AJ397" s="72">
        <v>0</v>
      </c>
      <c r="AK397" s="72"/>
      <c r="AL397" s="72"/>
      <c r="AM397" s="72"/>
    </row>
    <row r="398" spans="1:39" x14ac:dyDescent="0.25">
      <c r="A398" s="37" t="s">
        <v>62</v>
      </c>
      <c r="B398" s="66" t="s">
        <v>1566</v>
      </c>
      <c r="C398" s="47">
        <v>1055</v>
      </c>
      <c r="D398" s="47" t="s">
        <v>1148</v>
      </c>
      <c r="E398" s="41">
        <v>10110110</v>
      </c>
      <c r="F398" s="46" t="s">
        <v>590</v>
      </c>
      <c r="G398" s="39" t="s">
        <v>93</v>
      </c>
      <c r="H398" s="48" t="s">
        <v>94</v>
      </c>
      <c r="I398" s="52">
        <v>159.80000000000001</v>
      </c>
      <c r="J398" s="49">
        <v>7325.24</v>
      </c>
      <c r="K398" s="65">
        <v>159.18</v>
      </c>
      <c r="L398" s="65">
        <v>8051.9794612536425</v>
      </c>
      <c r="M398" s="65">
        <v>1.2400000000000002</v>
      </c>
      <c r="N398" s="65">
        <v>79.731364855000024</v>
      </c>
      <c r="O398" s="65">
        <v>160.42000000000002</v>
      </c>
      <c r="P398" s="65">
        <v>8131.7108261086423</v>
      </c>
      <c r="Q398" s="50">
        <v>7325.24</v>
      </c>
      <c r="R398" s="65">
        <v>0</v>
      </c>
      <c r="S398" s="65">
        <v>79.731364855000024</v>
      </c>
      <c r="T398" s="65">
        <v>806.47082610864254</v>
      </c>
      <c r="U398" s="65">
        <v>544</v>
      </c>
      <c r="V398" s="65">
        <v>74.39</v>
      </c>
      <c r="W398" s="65">
        <v>0</v>
      </c>
      <c r="X398" s="65">
        <v>6627</v>
      </c>
      <c r="Y398" s="65">
        <v>0</v>
      </c>
      <c r="Z398" s="65">
        <v>0</v>
      </c>
      <c r="AA398" s="51">
        <v>0</v>
      </c>
      <c r="AB398" s="102" t="s">
        <v>1427</v>
      </c>
      <c r="AC398" s="81">
        <f t="shared" si="21"/>
        <v>495.2559008760951</v>
      </c>
      <c r="AD398" s="82">
        <f t="shared" si="22"/>
        <v>22.828571428571429</v>
      </c>
      <c r="AE398" s="218">
        <v>-0.11009479909308673</v>
      </c>
      <c r="AF398">
        <v>4</v>
      </c>
      <c r="AH398" t="str">
        <f t="shared" si="20"/>
        <v>Matihani</v>
      </c>
      <c r="AJ398" s="72">
        <v>0</v>
      </c>
      <c r="AK398" s="72"/>
      <c r="AL398" s="72"/>
      <c r="AM398" s="72"/>
    </row>
    <row r="399" spans="1:39" x14ac:dyDescent="0.25">
      <c r="A399" s="37" t="s">
        <v>62</v>
      </c>
      <c r="B399" s="66" t="s">
        <v>1566</v>
      </c>
      <c r="C399" s="47">
        <v>1055</v>
      </c>
      <c r="D399" s="47" t="s">
        <v>1148</v>
      </c>
      <c r="E399" s="41">
        <v>10110111</v>
      </c>
      <c r="F399" s="46" t="s">
        <v>565</v>
      </c>
      <c r="G399" s="39" t="s">
        <v>93</v>
      </c>
      <c r="H399" s="48" t="s">
        <v>94</v>
      </c>
      <c r="I399" s="52">
        <v>222.29999999999995</v>
      </c>
      <c r="J399" s="49">
        <v>11732.409999999996</v>
      </c>
      <c r="K399" s="65">
        <v>220.66</v>
      </c>
      <c r="L399" s="65">
        <v>11671.107561402801</v>
      </c>
      <c r="M399" s="65">
        <v>3.1800000000000006</v>
      </c>
      <c r="N399" s="65">
        <v>194.41411134992001</v>
      </c>
      <c r="O399" s="65">
        <v>223.84</v>
      </c>
      <c r="P399" s="65">
        <v>11865.521672752722</v>
      </c>
      <c r="Q399" s="50">
        <v>11732.409999999996</v>
      </c>
      <c r="R399" s="65">
        <v>0</v>
      </c>
      <c r="S399" s="65">
        <v>194.41411134992001</v>
      </c>
      <c r="T399" s="65">
        <v>133.11167275272601</v>
      </c>
      <c r="U399" s="65">
        <v>0</v>
      </c>
      <c r="V399" s="65">
        <v>0</v>
      </c>
      <c r="W399" s="65">
        <v>0</v>
      </c>
      <c r="X399" s="65">
        <v>11538</v>
      </c>
      <c r="Y399" s="65">
        <v>0</v>
      </c>
      <c r="Z399" s="65">
        <v>0</v>
      </c>
      <c r="AA399" s="51">
        <v>0</v>
      </c>
      <c r="AB399" s="102">
        <v>0</v>
      </c>
      <c r="AC399" s="81">
        <f t="shared" si="21"/>
        <v>504.23502087269452</v>
      </c>
      <c r="AD399" s="82">
        <f t="shared" si="22"/>
        <v>31.757142857142849</v>
      </c>
      <c r="AE399" s="218">
        <v>-1.1345637661207377E-2</v>
      </c>
      <c r="AF399">
        <v>4</v>
      </c>
      <c r="AH399" t="str">
        <f t="shared" si="20"/>
        <v>Matihani</v>
      </c>
      <c r="AJ399" s="72">
        <v>0</v>
      </c>
      <c r="AK399" s="72"/>
      <c r="AL399" s="72"/>
      <c r="AM399" s="72"/>
    </row>
    <row r="400" spans="1:39" x14ac:dyDescent="0.25">
      <c r="A400" s="37" t="s">
        <v>62</v>
      </c>
      <c r="B400" s="66" t="s">
        <v>1566</v>
      </c>
      <c r="C400" s="47">
        <v>1054</v>
      </c>
      <c r="D400" s="47" t="s">
        <v>828</v>
      </c>
      <c r="E400" s="41">
        <v>10110114</v>
      </c>
      <c r="F400" s="46" t="s">
        <v>591</v>
      </c>
      <c r="G400" s="39" t="s">
        <v>93</v>
      </c>
      <c r="H400" s="48" t="s">
        <v>94</v>
      </c>
      <c r="I400" s="52">
        <v>524.19999999999993</v>
      </c>
      <c r="J400" s="49">
        <v>19221.719999999998</v>
      </c>
      <c r="K400" s="65">
        <v>528.87999999999988</v>
      </c>
      <c r="L400" s="65">
        <v>18880.513315785007</v>
      </c>
      <c r="M400" s="65">
        <v>0</v>
      </c>
      <c r="N400" s="65">
        <v>0</v>
      </c>
      <c r="O400" s="65">
        <v>528.87999999999988</v>
      </c>
      <c r="P400" s="65">
        <v>18880.513315785007</v>
      </c>
      <c r="Q400" s="50">
        <v>18880.513315785007</v>
      </c>
      <c r="R400" s="65">
        <v>0</v>
      </c>
      <c r="S400" s="65">
        <v>0</v>
      </c>
      <c r="T400" s="65">
        <v>0</v>
      </c>
      <c r="U400" s="65">
        <v>0</v>
      </c>
      <c r="V400" s="65">
        <v>0</v>
      </c>
      <c r="W400" s="65">
        <v>0</v>
      </c>
      <c r="X400" s="65">
        <v>18881</v>
      </c>
      <c r="Y400" s="65">
        <v>0</v>
      </c>
      <c r="Z400" s="65">
        <v>0</v>
      </c>
      <c r="AA400" s="51">
        <v>341</v>
      </c>
      <c r="AB400" s="102">
        <v>0</v>
      </c>
      <c r="AC400" s="81">
        <f t="shared" si="21"/>
        <v>128.92706508966052</v>
      </c>
      <c r="AD400" s="82">
        <f t="shared" si="22"/>
        <v>74.885714285714272</v>
      </c>
      <c r="AE400" s="218">
        <v>1.7751100537048231E-2</v>
      </c>
      <c r="AF400">
        <v>2</v>
      </c>
      <c r="AH400" t="str">
        <f t="shared" si="20"/>
        <v xml:space="preserve">Alauli </v>
      </c>
      <c r="AJ400" s="72">
        <v>0</v>
      </c>
      <c r="AK400" s="72"/>
      <c r="AL400" s="72"/>
      <c r="AM400" s="72"/>
    </row>
    <row r="401" spans="1:39" x14ac:dyDescent="0.25">
      <c r="A401" s="37" t="s">
        <v>62</v>
      </c>
      <c r="B401" s="66" t="s">
        <v>1566</v>
      </c>
      <c r="C401" s="47">
        <v>1054</v>
      </c>
      <c r="D401" s="47" t="s">
        <v>828</v>
      </c>
      <c r="E401" s="41">
        <v>10110116</v>
      </c>
      <c r="F401" s="46" t="s">
        <v>546</v>
      </c>
      <c r="G401" s="39" t="s">
        <v>93</v>
      </c>
      <c r="H401" s="48" t="s">
        <v>94</v>
      </c>
      <c r="I401" s="52">
        <v>683.40000000000009</v>
      </c>
      <c r="J401" s="49">
        <v>25072.510000000002</v>
      </c>
      <c r="K401" s="65">
        <v>683.40000000000009</v>
      </c>
      <c r="L401" s="65">
        <v>25039.640023199998</v>
      </c>
      <c r="M401" s="65">
        <v>0</v>
      </c>
      <c r="N401" s="65">
        <v>0</v>
      </c>
      <c r="O401" s="65">
        <v>683.40000000000009</v>
      </c>
      <c r="P401" s="65">
        <v>25039.640023199998</v>
      </c>
      <c r="Q401" s="50">
        <v>25039.640023199998</v>
      </c>
      <c r="R401" s="65">
        <v>0</v>
      </c>
      <c r="S401" s="65">
        <v>0</v>
      </c>
      <c r="T401" s="65">
        <v>0</v>
      </c>
      <c r="U401" s="65">
        <v>0</v>
      </c>
      <c r="V401" s="65">
        <v>0</v>
      </c>
      <c r="W401" s="65">
        <v>0</v>
      </c>
      <c r="X401" s="65">
        <v>25040</v>
      </c>
      <c r="Y401" s="65">
        <v>0</v>
      </c>
      <c r="Z401" s="65">
        <v>0</v>
      </c>
      <c r="AA401" s="51">
        <v>33</v>
      </c>
      <c r="AB401" s="102">
        <v>0</v>
      </c>
      <c r="AC401" s="81">
        <f t="shared" si="21"/>
        <v>12.180382382206515</v>
      </c>
      <c r="AD401" s="82">
        <f t="shared" si="22"/>
        <v>97.628571428571448</v>
      </c>
      <c r="AE401" s="218">
        <v>1.3109966572953495E-3</v>
      </c>
      <c r="AF401">
        <v>5</v>
      </c>
      <c r="AH401" t="str">
        <f t="shared" si="20"/>
        <v xml:space="preserve">Alauli </v>
      </c>
      <c r="AJ401" s="72">
        <v>0</v>
      </c>
      <c r="AK401" s="72"/>
      <c r="AL401" s="72"/>
      <c r="AM401" s="72"/>
    </row>
    <row r="402" spans="1:39" x14ac:dyDescent="0.25">
      <c r="A402" s="37" t="s">
        <v>62</v>
      </c>
      <c r="B402" s="66" t="s">
        <v>1566</v>
      </c>
      <c r="C402" s="47">
        <v>1054</v>
      </c>
      <c r="D402" s="47" t="s">
        <v>828</v>
      </c>
      <c r="E402" s="41">
        <v>10110118</v>
      </c>
      <c r="F402" s="46" t="s">
        <v>593</v>
      </c>
      <c r="G402" s="39" t="s">
        <v>93</v>
      </c>
      <c r="H402" s="48" t="s">
        <v>94</v>
      </c>
      <c r="I402" s="52">
        <v>527.29999999999995</v>
      </c>
      <c r="J402" s="49">
        <v>20551.05</v>
      </c>
      <c r="K402" s="65">
        <v>368.08</v>
      </c>
      <c r="L402" s="65">
        <v>15194.068073939945</v>
      </c>
      <c r="M402" s="65">
        <v>174.86999999999998</v>
      </c>
      <c r="N402" s="65">
        <v>6699.1529805749915</v>
      </c>
      <c r="O402" s="65">
        <v>542.94999999999993</v>
      </c>
      <c r="P402" s="65">
        <v>21893.221054514936</v>
      </c>
      <c r="Q402" s="50">
        <v>20551.05</v>
      </c>
      <c r="R402" s="65">
        <v>0</v>
      </c>
      <c r="S402" s="65">
        <v>570.3827803524</v>
      </c>
      <c r="T402" s="65">
        <v>1342.1710545149363</v>
      </c>
      <c r="U402" s="65">
        <v>0</v>
      </c>
      <c r="V402" s="65">
        <v>30.745500000000618</v>
      </c>
      <c r="W402" s="65">
        <v>0</v>
      </c>
      <c r="X402" s="65">
        <v>13821</v>
      </c>
      <c r="Y402" s="65">
        <v>6129</v>
      </c>
      <c r="Z402" s="65">
        <v>0</v>
      </c>
      <c r="AA402" s="51">
        <v>0</v>
      </c>
      <c r="AB402" s="102">
        <v>0</v>
      </c>
      <c r="AC402" s="81">
        <f t="shared" si="21"/>
        <v>134.61658771098053</v>
      </c>
      <c r="AD402" s="82">
        <f t="shared" si="22"/>
        <v>75.328571428571422</v>
      </c>
      <c r="AE402" s="218">
        <v>-6.530912311122479E-2</v>
      </c>
      <c r="AF402">
        <v>14</v>
      </c>
      <c r="AH402" t="str">
        <f t="shared" si="20"/>
        <v xml:space="preserve">Alauli </v>
      </c>
      <c r="AJ402" s="72">
        <v>0</v>
      </c>
      <c r="AK402" s="72"/>
      <c r="AL402" s="72"/>
      <c r="AM402" s="72"/>
    </row>
    <row r="403" spans="1:39" x14ac:dyDescent="0.25">
      <c r="A403" s="37" t="s">
        <v>62</v>
      </c>
      <c r="B403" s="66" t="s">
        <v>1566</v>
      </c>
      <c r="C403" s="47">
        <v>1054</v>
      </c>
      <c r="D403" s="47" t="s">
        <v>828</v>
      </c>
      <c r="E403" s="41">
        <v>10110119</v>
      </c>
      <c r="F403" s="46" t="s">
        <v>594</v>
      </c>
      <c r="G403" s="39" t="s">
        <v>93</v>
      </c>
      <c r="H403" s="48" t="s">
        <v>94</v>
      </c>
      <c r="I403" s="52">
        <v>296.7</v>
      </c>
      <c r="J403" s="49">
        <v>11322.099999999999</v>
      </c>
      <c r="K403" s="65">
        <v>301.86</v>
      </c>
      <c r="L403" s="65">
        <v>11870.99600411284</v>
      </c>
      <c r="M403" s="65">
        <v>0</v>
      </c>
      <c r="N403" s="65">
        <v>0</v>
      </c>
      <c r="O403" s="65">
        <v>301.86</v>
      </c>
      <c r="P403" s="65">
        <v>11870.99600411284</v>
      </c>
      <c r="Q403" s="50">
        <v>11322.099999999999</v>
      </c>
      <c r="R403" s="65">
        <v>0</v>
      </c>
      <c r="S403" s="65">
        <v>0</v>
      </c>
      <c r="T403" s="65">
        <v>548.89600411284118</v>
      </c>
      <c r="U403" s="65">
        <v>0</v>
      </c>
      <c r="V403" s="65">
        <v>0</v>
      </c>
      <c r="W403" s="65">
        <v>0</v>
      </c>
      <c r="X403" s="65">
        <v>11322</v>
      </c>
      <c r="Y403" s="65">
        <v>0</v>
      </c>
      <c r="Z403" s="65">
        <v>0</v>
      </c>
      <c r="AA403" s="51">
        <v>0</v>
      </c>
      <c r="AB403" s="102">
        <v>0</v>
      </c>
      <c r="AC403" s="81">
        <f t="shared" si="21"/>
        <v>307.79932119986518</v>
      </c>
      <c r="AD403" s="82">
        <f t="shared" si="22"/>
        <v>42.385714285714286</v>
      </c>
      <c r="AE403" s="218">
        <v>-4.8480052650377692E-2</v>
      </c>
      <c r="AF403">
        <v>12</v>
      </c>
      <c r="AH403" t="str">
        <f t="shared" si="20"/>
        <v xml:space="preserve">Alauli </v>
      </c>
      <c r="AJ403" s="72">
        <v>0</v>
      </c>
      <c r="AK403" s="72"/>
      <c r="AL403" s="72"/>
      <c r="AM403" s="72"/>
    </row>
    <row r="404" spans="1:39" x14ac:dyDescent="0.25">
      <c r="A404" s="37" t="s">
        <v>62</v>
      </c>
      <c r="B404" s="66" t="s">
        <v>1566</v>
      </c>
      <c r="C404" s="47">
        <v>1054</v>
      </c>
      <c r="D404" s="47" t="s">
        <v>828</v>
      </c>
      <c r="E404" s="41">
        <v>10110120</v>
      </c>
      <c r="F404" s="46" t="s">
        <v>831</v>
      </c>
      <c r="G404" s="39" t="s">
        <v>93</v>
      </c>
      <c r="H404" s="48" t="s">
        <v>94</v>
      </c>
      <c r="I404" s="52">
        <v>1144.8</v>
      </c>
      <c r="J404" s="49">
        <v>50071.6</v>
      </c>
      <c r="K404" s="65">
        <v>35.299999999999997</v>
      </c>
      <c r="L404" s="65">
        <v>1533.2495361281001</v>
      </c>
      <c r="M404" s="65">
        <v>1109.5</v>
      </c>
      <c r="N404" s="65">
        <v>48538.094059896001</v>
      </c>
      <c r="O404" s="65">
        <v>1144.8</v>
      </c>
      <c r="P404" s="65">
        <v>50071.343596024104</v>
      </c>
      <c r="Q404" s="50">
        <v>50071.343596024104</v>
      </c>
      <c r="R404" s="65">
        <v>0</v>
      </c>
      <c r="S404" s="65">
        <v>0</v>
      </c>
      <c r="T404" s="65">
        <v>0</v>
      </c>
      <c r="U404" s="65">
        <v>0</v>
      </c>
      <c r="V404" s="65">
        <v>0</v>
      </c>
      <c r="W404" s="65">
        <v>0</v>
      </c>
      <c r="X404" s="65">
        <v>1533</v>
      </c>
      <c r="Y404" s="65">
        <v>48538</v>
      </c>
      <c r="Z404" s="65">
        <v>0</v>
      </c>
      <c r="AA404" s="51">
        <v>1</v>
      </c>
      <c r="AB404" s="102">
        <v>0</v>
      </c>
      <c r="AC404" s="81">
        <f t="shared" si="21"/>
        <v>0</v>
      </c>
      <c r="AD404" s="82">
        <f t="shared" si="22"/>
        <v>0</v>
      </c>
      <c r="AE404" s="218">
        <v>5.1207466087462763E-6</v>
      </c>
      <c r="AF404">
        <v>6</v>
      </c>
      <c r="AH404" t="str">
        <f t="shared" si="20"/>
        <v xml:space="preserve">Alauli </v>
      </c>
      <c r="AJ404" s="72">
        <v>0</v>
      </c>
      <c r="AK404" s="72"/>
      <c r="AL404" s="72"/>
      <c r="AM404" s="72"/>
    </row>
    <row r="405" spans="1:39" x14ac:dyDescent="0.25">
      <c r="A405" s="37" t="s">
        <v>62</v>
      </c>
      <c r="B405" s="66" t="s">
        <v>1566</v>
      </c>
      <c r="C405" s="47">
        <v>1054</v>
      </c>
      <c r="D405" s="47" t="s">
        <v>828</v>
      </c>
      <c r="E405" s="41">
        <v>10110121</v>
      </c>
      <c r="F405" s="46" t="s">
        <v>595</v>
      </c>
      <c r="G405" s="39" t="s">
        <v>93</v>
      </c>
      <c r="H405" s="48" t="s">
        <v>94</v>
      </c>
      <c r="I405" s="52">
        <v>434.1</v>
      </c>
      <c r="J405" s="49">
        <v>15652.87</v>
      </c>
      <c r="K405" s="65">
        <v>439.42999999999995</v>
      </c>
      <c r="L405" s="65">
        <v>15615.592591499999</v>
      </c>
      <c r="M405" s="65">
        <v>0</v>
      </c>
      <c r="N405" s="65">
        <v>0</v>
      </c>
      <c r="O405" s="65">
        <v>439.42999999999995</v>
      </c>
      <c r="P405" s="65">
        <v>15615.592591499999</v>
      </c>
      <c r="Q405" s="50">
        <v>15615.592591499999</v>
      </c>
      <c r="R405" s="65">
        <v>0</v>
      </c>
      <c r="S405" s="65">
        <v>0</v>
      </c>
      <c r="T405" s="65">
        <v>0</v>
      </c>
      <c r="U405" s="65">
        <v>0</v>
      </c>
      <c r="V405" s="65">
        <v>0</v>
      </c>
      <c r="W405" s="65">
        <v>0</v>
      </c>
      <c r="X405" s="65">
        <v>15616</v>
      </c>
      <c r="Y405" s="65">
        <v>0</v>
      </c>
      <c r="Z405" s="65">
        <v>0</v>
      </c>
      <c r="AA405" s="51">
        <v>37</v>
      </c>
      <c r="AB405" s="102">
        <v>0</v>
      </c>
      <c r="AC405" s="81">
        <f t="shared" si="21"/>
        <v>191.7575735084082</v>
      </c>
      <c r="AD405" s="82">
        <f t="shared" si="22"/>
        <v>62.01428571428572</v>
      </c>
      <c r="AE405" s="218">
        <v>2.3815062988449985E-3</v>
      </c>
      <c r="AF405">
        <v>1</v>
      </c>
      <c r="AH405" t="str">
        <f t="shared" si="20"/>
        <v xml:space="preserve">Alauli </v>
      </c>
      <c r="AJ405" s="72">
        <v>0</v>
      </c>
      <c r="AK405" s="72"/>
      <c r="AL405" s="72"/>
      <c r="AM405" s="72"/>
    </row>
    <row r="406" spans="1:39" x14ac:dyDescent="0.25">
      <c r="A406" s="37" t="s">
        <v>62</v>
      </c>
      <c r="B406" s="66" t="s">
        <v>1566</v>
      </c>
      <c r="C406" s="47">
        <v>1055</v>
      </c>
      <c r="D406" s="47" t="s">
        <v>1148</v>
      </c>
      <c r="E406" s="41">
        <v>10110123</v>
      </c>
      <c r="F406" s="46" t="s">
        <v>596</v>
      </c>
      <c r="G406" s="39" t="s">
        <v>93</v>
      </c>
      <c r="H406" s="48" t="s">
        <v>94</v>
      </c>
      <c r="I406" s="52">
        <v>883.30000000000018</v>
      </c>
      <c r="J406" s="49">
        <v>35565.939999999995</v>
      </c>
      <c r="K406" s="65">
        <v>902.45999999999981</v>
      </c>
      <c r="L406" s="65">
        <v>35868.284040117098</v>
      </c>
      <c r="M406" s="65">
        <v>8.6300000000000008</v>
      </c>
      <c r="N406" s="65">
        <v>321.96133767600003</v>
      </c>
      <c r="O406" s="65">
        <v>911.0899999999998</v>
      </c>
      <c r="P406" s="65">
        <v>36190.2453777931</v>
      </c>
      <c r="Q406" s="50">
        <v>35565.939999999995</v>
      </c>
      <c r="R406" s="65">
        <v>0</v>
      </c>
      <c r="S406" s="65">
        <v>321.96133767600003</v>
      </c>
      <c r="T406" s="65">
        <v>624.30537779310544</v>
      </c>
      <c r="U406" s="65">
        <v>12621</v>
      </c>
      <c r="V406" s="65">
        <v>0</v>
      </c>
      <c r="W406" s="65">
        <v>0</v>
      </c>
      <c r="X406" s="65">
        <v>22623</v>
      </c>
      <c r="Y406" s="65">
        <v>0</v>
      </c>
      <c r="Z406" s="65">
        <v>0</v>
      </c>
      <c r="AA406" s="51">
        <v>0</v>
      </c>
      <c r="AB406" s="102">
        <v>0</v>
      </c>
      <c r="AC406" s="81">
        <f t="shared" si="21"/>
        <v>0</v>
      </c>
      <c r="AD406" s="82">
        <f t="shared" si="22"/>
        <v>0</v>
      </c>
      <c r="AE406" s="218">
        <v>-1.7553462042423328E-2</v>
      </c>
      <c r="AF406">
        <v>10</v>
      </c>
      <c r="AH406" t="str">
        <f t="shared" si="20"/>
        <v>Matihani</v>
      </c>
      <c r="AJ406" s="72">
        <v>0</v>
      </c>
      <c r="AK406" s="72"/>
      <c r="AL406" s="72"/>
      <c r="AM406" s="72"/>
    </row>
    <row r="407" spans="1:39" x14ac:dyDescent="0.25">
      <c r="A407" s="37" t="s">
        <v>62</v>
      </c>
      <c r="B407" s="66" t="s">
        <v>1566</v>
      </c>
      <c r="C407" s="47">
        <v>1055</v>
      </c>
      <c r="D407" s="47" t="s">
        <v>1148</v>
      </c>
      <c r="E407" s="41">
        <v>10110124</v>
      </c>
      <c r="F407" s="46" t="s">
        <v>597</v>
      </c>
      <c r="G407" s="39" t="s">
        <v>93</v>
      </c>
      <c r="H407" s="48" t="s">
        <v>94</v>
      </c>
      <c r="I407" s="52">
        <v>640.19999999999993</v>
      </c>
      <c r="J407" s="49">
        <v>25889.88</v>
      </c>
      <c r="K407" s="65">
        <v>632.03</v>
      </c>
      <c r="L407" s="65">
        <v>25853.342249666097</v>
      </c>
      <c r="M407" s="65">
        <v>8.24</v>
      </c>
      <c r="N407" s="65">
        <v>354.02106834299997</v>
      </c>
      <c r="O407" s="65">
        <v>640.27</v>
      </c>
      <c r="P407" s="65">
        <v>26207.363318009098</v>
      </c>
      <c r="Q407" s="50">
        <v>25889.88</v>
      </c>
      <c r="R407" s="65">
        <v>0</v>
      </c>
      <c r="S407" s="65">
        <v>354.02106834299997</v>
      </c>
      <c r="T407" s="65">
        <v>317.48331800909727</v>
      </c>
      <c r="U407" s="65">
        <v>5400</v>
      </c>
      <c r="V407" s="65">
        <v>0</v>
      </c>
      <c r="W407" s="65">
        <v>0</v>
      </c>
      <c r="X407" s="65">
        <v>20136</v>
      </c>
      <c r="Y407" s="65">
        <v>0</v>
      </c>
      <c r="Z407" s="65">
        <v>0</v>
      </c>
      <c r="AA407" s="51">
        <v>0</v>
      </c>
      <c r="AB407" s="102" t="s">
        <v>68</v>
      </c>
      <c r="AC407" s="81">
        <f t="shared" si="21"/>
        <v>48.366598687910127</v>
      </c>
      <c r="AD407" s="82">
        <f t="shared" si="22"/>
        <v>91.457142857142841</v>
      </c>
      <c r="AE407" s="218">
        <v>-1.2262834667796733E-2</v>
      </c>
      <c r="AF407">
        <v>12</v>
      </c>
      <c r="AH407" t="str">
        <f t="shared" si="20"/>
        <v>Matihani</v>
      </c>
      <c r="AJ407" s="72">
        <v>0</v>
      </c>
      <c r="AK407" s="72"/>
      <c r="AL407" s="72"/>
      <c r="AM407" s="72"/>
    </row>
    <row r="408" spans="1:39" x14ac:dyDescent="0.25">
      <c r="A408" s="37" t="s">
        <v>62</v>
      </c>
      <c r="B408" s="66" t="s">
        <v>1566</v>
      </c>
      <c r="C408" s="47">
        <v>1055</v>
      </c>
      <c r="D408" s="47" t="s">
        <v>1148</v>
      </c>
      <c r="E408" s="41">
        <v>10110128</v>
      </c>
      <c r="F408" s="46" t="s">
        <v>598</v>
      </c>
      <c r="G408" s="39" t="s">
        <v>93</v>
      </c>
      <c r="H408" s="48" t="s">
        <v>94</v>
      </c>
      <c r="I408" s="52">
        <v>1128</v>
      </c>
      <c r="J408" s="49">
        <v>43918</v>
      </c>
      <c r="K408" s="65">
        <v>1122.3600000000001</v>
      </c>
      <c r="L408" s="65">
        <v>43713.423414935998</v>
      </c>
      <c r="M408" s="65">
        <v>4.03</v>
      </c>
      <c r="N408" s="65">
        <v>150.60060912600002</v>
      </c>
      <c r="O408" s="65">
        <v>1126.3900000000001</v>
      </c>
      <c r="P408" s="65">
        <v>43864.024024061997</v>
      </c>
      <c r="Q408" s="50">
        <v>43864.024024061997</v>
      </c>
      <c r="R408" s="65">
        <v>0</v>
      </c>
      <c r="S408" s="65">
        <v>150.60060912600002</v>
      </c>
      <c r="T408" s="65">
        <v>0</v>
      </c>
      <c r="U408" s="65">
        <v>0</v>
      </c>
      <c r="V408" s="65">
        <v>104.37077288135569</v>
      </c>
      <c r="W408" s="65">
        <v>0</v>
      </c>
      <c r="X408" s="65">
        <v>43608</v>
      </c>
      <c r="Y408" s="65">
        <v>0</v>
      </c>
      <c r="Z408" s="65">
        <v>0</v>
      </c>
      <c r="AA408" s="51">
        <v>55</v>
      </c>
      <c r="AB408" s="102">
        <v>0</v>
      </c>
      <c r="AC408" s="81">
        <f t="shared" si="21"/>
        <v>0</v>
      </c>
      <c r="AD408" s="82">
        <f t="shared" si="22"/>
        <v>0</v>
      </c>
      <c r="AE408" s="218">
        <v>1.2290171669475636E-3</v>
      </c>
      <c r="AF408">
        <v>10</v>
      </c>
      <c r="AH408" t="str">
        <f t="shared" si="20"/>
        <v>Matihani</v>
      </c>
      <c r="AJ408" s="72">
        <v>0</v>
      </c>
      <c r="AK408" s="72"/>
      <c r="AL408" s="72"/>
      <c r="AM408" s="72"/>
    </row>
    <row r="409" spans="1:39" x14ac:dyDescent="0.25">
      <c r="A409" s="37" t="s">
        <v>62</v>
      </c>
      <c r="B409" s="66" t="s">
        <v>1566</v>
      </c>
      <c r="C409" s="47">
        <v>1054</v>
      </c>
      <c r="D409" s="47" t="s">
        <v>828</v>
      </c>
      <c r="E409" s="41">
        <v>10110129</v>
      </c>
      <c r="F409" s="46" t="s">
        <v>710</v>
      </c>
      <c r="G409" s="39" t="s">
        <v>93</v>
      </c>
      <c r="H409" s="48" t="s">
        <v>94</v>
      </c>
      <c r="I409" s="52">
        <v>801.00000000000011</v>
      </c>
      <c r="J409" s="49">
        <v>29775.040000000001</v>
      </c>
      <c r="K409" s="65">
        <v>905</v>
      </c>
      <c r="L409" s="65">
        <v>35954.513100000004</v>
      </c>
      <c r="M409" s="65">
        <v>0</v>
      </c>
      <c r="N409" s="65">
        <v>0</v>
      </c>
      <c r="O409" s="65">
        <v>905</v>
      </c>
      <c r="P409" s="65">
        <v>35954.513100000004</v>
      </c>
      <c r="Q409" s="50">
        <v>29775.040000000001</v>
      </c>
      <c r="R409" s="65">
        <v>0</v>
      </c>
      <c r="S409" s="65">
        <v>0</v>
      </c>
      <c r="T409" s="65">
        <v>6179.4731000000029</v>
      </c>
      <c r="U409" s="65">
        <v>0</v>
      </c>
      <c r="V409" s="65">
        <v>0</v>
      </c>
      <c r="W409" s="65">
        <v>0</v>
      </c>
      <c r="X409" s="65">
        <v>29775</v>
      </c>
      <c r="Y409" s="65">
        <v>0</v>
      </c>
      <c r="Z409" s="65">
        <v>0</v>
      </c>
      <c r="AA409" s="51">
        <v>0</v>
      </c>
      <c r="AB409" s="102">
        <v>0</v>
      </c>
      <c r="AC409" s="81">
        <f t="shared" si="21"/>
        <v>0</v>
      </c>
      <c r="AD409" s="82">
        <f t="shared" si="22"/>
        <v>0</v>
      </c>
      <c r="AE409" s="218">
        <v>-0.20753870019989906</v>
      </c>
      <c r="AF409">
        <v>3</v>
      </c>
      <c r="AH409" t="str">
        <f t="shared" si="20"/>
        <v xml:space="preserve">Alauli </v>
      </c>
      <c r="AJ409" s="72">
        <v>0</v>
      </c>
      <c r="AK409" s="72"/>
      <c r="AL409" s="72"/>
      <c r="AM409" s="72"/>
    </row>
    <row r="410" spans="1:39" x14ac:dyDescent="0.25">
      <c r="A410" s="37" t="s">
        <v>62</v>
      </c>
      <c r="B410" s="66" t="s">
        <v>1566</v>
      </c>
      <c r="C410" s="47">
        <v>1054</v>
      </c>
      <c r="D410" s="47" t="s">
        <v>828</v>
      </c>
      <c r="E410" s="41">
        <v>10110132</v>
      </c>
      <c r="F410" s="46" t="s">
        <v>650</v>
      </c>
      <c r="G410" s="39" t="s">
        <v>93</v>
      </c>
      <c r="H410" s="48" t="s">
        <v>94</v>
      </c>
      <c r="I410" s="52">
        <v>277.3</v>
      </c>
      <c r="J410" s="49">
        <v>10729.039999999999</v>
      </c>
      <c r="K410" s="65">
        <v>315.14</v>
      </c>
      <c r="L410" s="65">
        <v>12075.296796683999</v>
      </c>
      <c r="M410" s="65">
        <v>0</v>
      </c>
      <c r="N410" s="65">
        <v>0</v>
      </c>
      <c r="O410" s="65">
        <v>315.14</v>
      </c>
      <c r="P410" s="65">
        <v>12075.296796683999</v>
      </c>
      <c r="Q410" s="50">
        <v>10729.039999999999</v>
      </c>
      <c r="R410" s="65">
        <v>0</v>
      </c>
      <c r="S410" s="65">
        <v>0</v>
      </c>
      <c r="T410" s="65">
        <v>1346.2567966839997</v>
      </c>
      <c r="U410" s="65">
        <v>0</v>
      </c>
      <c r="V410" s="65">
        <v>0</v>
      </c>
      <c r="W410" s="65">
        <v>0</v>
      </c>
      <c r="X410" s="65">
        <v>10729</v>
      </c>
      <c r="Y410" s="65">
        <v>0</v>
      </c>
      <c r="Z410" s="65">
        <v>0</v>
      </c>
      <c r="AA410" s="51">
        <v>0</v>
      </c>
      <c r="AB410" s="102">
        <v>0</v>
      </c>
      <c r="AC410" s="81">
        <f t="shared" si="21"/>
        <v>327.09449751172014</v>
      </c>
      <c r="AD410" s="82">
        <f t="shared" si="22"/>
        <v>39.614285714285714</v>
      </c>
      <c r="AE410" s="218">
        <v>-0.1254778430021698</v>
      </c>
      <c r="AF410">
        <v>1</v>
      </c>
      <c r="AH410" t="str">
        <f t="shared" si="20"/>
        <v xml:space="preserve">Alauli </v>
      </c>
      <c r="AJ410" s="72">
        <v>0</v>
      </c>
      <c r="AK410" s="72"/>
      <c r="AL410" s="72"/>
      <c r="AM410" s="72"/>
    </row>
    <row r="411" spans="1:39" x14ac:dyDescent="0.25">
      <c r="A411" s="37" t="s">
        <v>62</v>
      </c>
      <c r="B411" s="66" t="s">
        <v>1566</v>
      </c>
      <c r="C411" s="47">
        <v>1054</v>
      </c>
      <c r="D411" s="47" t="s">
        <v>828</v>
      </c>
      <c r="E411" s="41">
        <v>10110133</v>
      </c>
      <c r="F411" s="46" t="s">
        <v>676</v>
      </c>
      <c r="G411" s="39" t="s">
        <v>93</v>
      </c>
      <c r="H411" s="48" t="s">
        <v>94</v>
      </c>
      <c r="I411" s="52">
        <v>2336.2000000000003</v>
      </c>
      <c r="J411" s="49">
        <v>89946.67</v>
      </c>
      <c r="K411" s="65">
        <v>2336.1999999999998</v>
      </c>
      <c r="L411" s="65">
        <v>89941.74462504001</v>
      </c>
      <c r="M411" s="65">
        <v>0</v>
      </c>
      <c r="N411" s="65">
        <v>0</v>
      </c>
      <c r="O411" s="65">
        <v>2336.1999999999998</v>
      </c>
      <c r="P411" s="65">
        <v>89941.74462504001</v>
      </c>
      <c r="Q411" s="50">
        <v>89941.74462504001</v>
      </c>
      <c r="R411" s="65">
        <v>0</v>
      </c>
      <c r="S411" s="65">
        <v>0</v>
      </c>
      <c r="T411" s="65">
        <v>0</v>
      </c>
      <c r="U411" s="65">
        <v>0</v>
      </c>
      <c r="V411" s="65">
        <v>0</v>
      </c>
      <c r="W411" s="65">
        <v>0</v>
      </c>
      <c r="X411" s="65">
        <v>89941</v>
      </c>
      <c r="Y411" s="65">
        <v>0</v>
      </c>
      <c r="Z411" s="65">
        <v>0</v>
      </c>
      <c r="AA411" s="51">
        <v>6</v>
      </c>
      <c r="AB411" s="102">
        <v>0</v>
      </c>
      <c r="AC411" s="81">
        <f t="shared" si="21"/>
        <v>0</v>
      </c>
      <c r="AD411" s="82">
        <f t="shared" si="22"/>
        <v>0</v>
      </c>
      <c r="AE411" s="218">
        <v>5.4758836096860542E-5</v>
      </c>
      <c r="AF411">
        <v>3</v>
      </c>
      <c r="AH411" t="str">
        <f t="shared" si="20"/>
        <v xml:space="preserve">Alauli </v>
      </c>
      <c r="AJ411" s="72">
        <v>0</v>
      </c>
      <c r="AK411" s="72"/>
      <c r="AL411" s="72"/>
      <c r="AM411" s="72"/>
    </row>
    <row r="412" spans="1:39" x14ac:dyDescent="0.25">
      <c r="A412" s="37" t="s">
        <v>62</v>
      </c>
      <c r="B412" s="66" t="s">
        <v>1566</v>
      </c>
      <c r="C412" s="47">
        <v>1054</v>
      </c>
      <c r="D412" s="47" t="s">
        <v>828</v>
      </c>
      <c r="E412" s="41">
        <v>10110134</v>
      </c>
      <c r="F412" s="46" t="s">
        <v>235</v>
      </c>
      <c r="G412" s="39" t="s">
        <v>93</v>
      </c>
      <c r="H412" s="48" t="s">
        <v>94</v>
      </c>
      <c r="I412" s="52">
        <v>301.3</v>
      </c>
      <c r="J412" s="49">
        <v>11919.259999999998</v>
      </c>
      <c r="K412" s="65">
        <v>302.95</v>
      </c>
      <c r="L412" s="65">
        <v>12144.207312646546</v>
      </c>
      <c r="M412" s="65">
        <v>0</v>
      </c>
      <c r="N412" s="65">
        <v>0</v>
      </c>
      <c r="O412" s="65">
        <v>302.95</v>
      </c>
      <c r="P412" s="65">
        <v>12144.207312646546</v>
      </c>
      <c r="Q412" s="50">
        <v>11919.259999999998</v>
      </c>
      <c r="R412" s="65">
        <v>0</v>
      </c>
      <c r="S412" s="65">
        <v>0</v>
      </c>
      <c r="T412" s="65">
        <v>224.94731264654729</v>
      </c>
      <c r="U412" s="65">
        <v>0</v>
      </c>
      <c r="V412" s="65">
        <v>0</v>
      </c>
      <c r="W412" s="65">
        <v>0</v>
      </c>
      <c r="X412" s="65">
        <v>11919</v>
      </c>
      <c r="Y412" s="65">
        <v>0</v>
      </c>
      <c r="Z412" s="65">
        <v>0</v>
      </c>
      <c r="AA412" s="51">
        <v>0</v>
      </c>
      <c r="AB412" s="102">
        <v>0</v>
      </c>
      <c r="AC412" s="81">
        <f t="shared" si="21"/>
        <v>315.44699382675071</v>
      </c>
      <c r="AD412" s="82">
        <f t="shared" si="22"/>
        <v>43.042857142857144</v>
      </c>
      <c r="AE412" s="218">
        <v>-1.8872590466735964E-2</v>
      </c>
      <c r="AF412">
        <v>6</v>
      </c>
      <c r="AH412" t="str">
        <f t="shared" si="20"/>
        <v xml:space="preserve">Alauli </v>
      </c>
      <c r="AJ412" s="72">
        <v>0</v>
      </c>
      <c r="AK412" s="72"/>
      <c r="AL412" s="72"/>
      <c r="AM412" s="72"/>
    </row>
    <row r="413" spans="1:39" x14ac:dyDescent="0.25">
      <c r="A413" s="37" t="s">
        <v>62</v>
      </c>
      <c r="B413" s="66" t="s">
        <v>1566</v>
      </c>
      <c r="C413" s="47">
        <v>1054</v>
      </c>
      <c r="D413" s="47" t="s">
        <v>828</v>
      </c>
      <c r="E413" s="41">
        <v>10110135</v>
      </c>
      <c r="F413" s="46" t="s">
        <v>644</v>
      </c>
      <c r="G413" s="39" t="s">
        <v>93</v>
      </c>
      <c r="H413" s="48" t="s">
        <v>94</v>
      </c>
      <c r="I413" s="52">
        <v>609.5</v>
      </c>
      <c r="J413" s="49">
        <v>23428.06</v>
      </c>
      <c r="K413" s="65">
        <v>615.54999999999995</v>
      </c>
      <c r="L413" s="65">
        <v>23940.674355656585</v>
      </c>
      <c r="M413" s="65">
        <v>0</v>
      </c>
      <c r="N413" s="65">
        <v>0</v>
      </c>
      <c r="O413" s="65">
        <v>615.54999999999995</v>
      </c>
      <c r="P413" s="65">
        <v>23940.674355656585</v>
      </c>
      <c r="Q413" s="50">
        <v>23428.06</v>
      </c>
      <c r="R413" s="65">
        <v>0</v>
      </c>
      <c r="S413" s="65">
        <v>0</v>
      </c>
      <c r="T413" s="65">
        <v>512.61435565658394</v>
      </c>
      <c r="U413" s="65">
        <v>0</v>
      </c>
      <c r="V413" s="65">
        <v>0</v>
      </c>
      <c r="W413" s="65">
        <v>0</v>
      </c>
      <c r="X413" s="65">
        <v>23428</v>
      </c>
      <c r="Y413" s="65">
        <v>0</v>
      </c>
      <c r="Z413" s="65">
        <v>0</v>
      </c>
      <c r="AA413" s="51">
        <v>0</v>
      </c>
      <c r="AB413" s="102">
        <v>0</v>
      </c>
      <c r="AC413" s="81">
        <f t="shared" si="21"/>
        <v>69.573073995077948</v>
      </c>
      <c r="AD413" s="82">
        <f t="shared" si="22"/>
        <v>87.071428571428569</v>
      </c>
      <c r="AE413" s="218">
        <v>-2.1880358666342151E-2</v>
      </c>
      <c r="AF413">
        <v>11</v>
      </c>
      <c r="AH413" t="str">
        <f t="shared" si="20"/>
        <v xml:space="preserve">Alauli </v>
      </c>
      <c r="AJ413" s="72">
        <v>0</v>
      </c>
      <c r="AK413" s="72"/>
      <c r="AL413" s="72"/>
      <c r="AM413" s="72"/>
    </row>
    <row r="414" spans="1:39" x14ac:dyDescent="0.25">
      <c r="A414" s="37" t="s">
        <v>62</v>
      </c>
      <c r="B414" s="66" t="s">
        <v>1566</v>
      </c>
      <c r="C414" s="47">
        <v>1054</v>
      </c>
      <c r="D414" s="47" t="s">
        <v>828</v>
      </c>
      <c r="E414" s="41">
        <v>10110140</v>
      </c>
      <c r="F414" s="46" t="s">
        <v>677</v>
      </c>
      <c r="G414" s="39" t="s">
        <v>93</v>
      </c>
      <c r="H414" s="48" t="s">
        <v>94</v>
      </c>
      <c r="I414" s="52">
        <v>210.6</v>
      </c>
      <c r="J414" s="49">
        <v>9183.7900000000009</v>
      </c>
      <c r="K414" s="65">
        <v>209.43</v>
      </c>
      <c r="L414" s="65">
        <v>9620.573128835671</v>
      </c>
      <c r="M414" s="65">
        <v>3.2399999999999998</v>
      </c>
      <c r="N414" s="65">
        <v>157.53019981545</v>
      </c>
      <c r="O414" s="65">
        <v>212.67000000000002</v>
      </c>
      <c r="P414" s="65">
        <v>9778.103328651121</v>
      </c>
      <c r="Q414" s="50">
        <v>9183.7900000000009</v>
      </c>
      <c r="R414" s="65">
        <v>0</v>
      </c>
      <c r="S414" s="65">
        <v>157.53019981545</v>
      </c>
      <c r="T414" s="65">
        <v>594.31332865112017</v>
      </c>
      <c r="U414" s="65">
        <v>641</v>
      </c>
      <c r="V414" s="65">
        <v>0</v>
      </c>
      <c r="W414" s="65">
        <v>0</v>
      </c>
      <c r="X414" s="65">
        <v>8385</v>
      </c>
      <c r="Y414" s="65">
        <v>0</v>
      </c>
      <c r="Z414" s="65">
        <v>0</v>
      </c>
      <c r="AA414" s="51">
        <v>0</v>
      </c>
      <c r="AB414" s="102" t="s">
        <v>1427</v>
      </c>
      <c r="AC414" s="81">
        <f t="shared" si="21"/>
        <v>426.83255707502383</v>
      </c>
      <c r="AD414" s="82">
        <f t="shared" si="22"/>
        <v>30.085714285714285</v>
      </c>
      <c r="AE414" s="218">
        <v>-6.4713296868843917E-2</v>
      </c>
      <c r="AF414">
        <v>6</v>
      </c>
      <c r="AH414" t="str">
        <f t="shared" si="20"/>
        <v xml:space="preserve">Alauli </v>
      </c>
      <c r="AJ414" s="72">
        <v>0</v>
      </c>
      <c r="AK414" s="72"/>
      <c r="AL414" s="72"/>
      <c r="AM414" s="72"/>
    </row>
    <row r="415" spans="1:39" x14ac:dyDescent="0.25">
      <c r="A415" s="37" t="s">
        <v>62</v>
      </c>
      <c r="B415" s="66" t="s">
        <v>1566</v>
      </c>
      <c r="C415" s="47">
        <v>1054</v>
      </c>
      <c r="D415" s="47" t="s">
        <v>828</v>
      </c>
      <c r="E415" s="41">
        <v>10110141</v>
      </c>
      <c r="F415" s="46" t="s">
        <v>678</v>
      </c>
      <c r="G415" s="39" t="s">
        <v>93</v>
      </c>
      <c r="H415" s="48" t="s">
        <v>94</v>
      </c>
      <c r="I415" s="52">
        <v>983.80000000000007</v>
      </c>
      <c r="J415" s="49">
        <v>39743.249999999993</v>
      </c>
      <c r="K415" s="65">
        <v>971.13999999999987</v>
      </c>
      <c r="L415" s="65">
        <v>40357.898478516538</v>
      </c>
      <c r="M415" s="65">
        <v>11.95</v>
      </c>
      <c r="N415" s="65">
        <v>534.09599654399995</v>
      </c>
      <c r="O415" s="65">
        <v>983.08999999999992</v>
      </c>
      <c r="P415" s="65">
        <v>40891.994475060535</v>
      </c>
      <c r="Q415" s="50">
        <v>39743.249999999993</v>
      </c>
      <c r="R415" s="65">
        <v>0</v>
      </c>
      <c r="S415" s="65">
        <v>534.09599654399995</v>
      </c>
      <c r="T415" s="65">
        <v>1148.7444750605428</v>
      </c>
      <c r="U415" s="65">
        <v>0</v>
      </c>
      <c r="V415" s="65">
        <v>0</v>
      </c>
      <c r="W415" s="65">
        <v>0</v>
      </c>
      <c r="X415" s="65">
        <v>39209</v>
      </c>
      <c r="Y415" s="65">
        <v>0</v>
      </c>
      <c r="Z415" s="65">
        <v>0</v>
      </c>
      <c r="AA415" s="51">
        <v>0</v>
      </c>
      <c r="AB415" s="102">
        <v>0</v>
      </c>
      <c r="AC415" s="81">
        <f t="shared" si="21"/>
        <v>0</v>
      </c>
      <c r="AD415" s="82">
        <f t="shared" si="22"/>
        <v>0</v>
      </c>
      <c r="AE415" s="218">
        <v>-2.890414032723904E-2</v>
      </c>
      <c r="AF415">
        <v>20</v>
      </c>
      <c r="AH415" t="str">
        <f t="shared" si="20"/>
        <v xml:space="preserve">Alauli </v>
      </c>
      <c r="AJ415" s="72">
        <v>0</v>
      </c>
      <c r="AK415" s="72"/>
      <c r="AL415" s="72"/>
      <c r="AM415" s="72"/>
    </row>
    <row r="416" spans="1:39" x14ac:dyDescent="0.25">
      <c r="A416" s="37" t="s">
        <v>62</v>
      </c>
      <c r="B416" s="66" t="s">
        <v>1566</v>
      </c>
      <c r="C416" s="47">
        <v>1054</v>
      </c>
      <c r="D416" s="47" t="s">
        <v>828</v>
      </c>
      <c r="E416" s="41">
        <v>10110143</v>
      </c>
      <c r="F416" s="46" t="s">
        <v>679</v>
      </c>
      <c r="G416" s="39" t="s">
        <v>93</v>
      </c>
      <c r="H416" s="48" t="s">
        <v>94</v>
      </c>
      <c r="I416" s="52">
        <v>1098.9000000000001</v>
      </c>
      <c r="J416" s="49">
        <v>40662.01</v>
      </c>
      <c r="K416" s="65">
        <v>1104.5</v>
      </c>
      <c r="L416" s="65">
        <v>43771.016657016007</v>
      </c>
      <c r="M416" s="65">
        <v>0</v>
      </c>
      <c r="N416" s="65">
        <v>0</v>
      </c>
      <c r="O416" s="65">
        <v>1104.5</v>
      </c>
      <c r="P416" s="65">
        <v>43771.016657016007</v>
      </c>
      <c r="Q416" s="50">
        <v>40662.01</v>
      </c>
      <c r="R416" s="65">
        <v>0</v>
      </c>
      <c r="S416" s="65">
        <v>0</v>
      </c>
      <c r="T416" s="65">
        <v>3109.0066570160052</v>
      </c>
      <c r="U416" s="65">
        <v>0</v>
      </c>
      <c r="V416" s="65">
        <v>0</v>
      </c>
      <c r="W416" s="65">
        <v>0</v>
      </c>
      <c r="X416" s="65">
        <v>40662</v>
      </c>
      <c r="Y416" s="65">
        <v>0</v>
      </c>
      <c r="Z416" s="65">
        <v>0</v>
      </c>
      <c r="AA416" s="51">
        <v>0</v>
      </c>
      <c r="AB416" s="102">
        <v>0</v>
      </c>
      <c r="AC416" s="81">
        <f t="shared" si="21"/>
        <v>0</v>
      </c>
      <c r="AD416" s="82">
        <f t="shared" si="22"/>
        <v>0</v>
      </c>
      <c r="AE416" s="218">
        <v>-7.6459738636039026E-2</v>
      </c>
      <c r="AF416">
        <v>2</v>
      </c>
      <c r="AH416" t="str">
        <f t="shared" si="20"/>
        <v xml:space="preserve">Alauli </v>
      </c>
      <c r="AJ416" s="72">
        <v>0</v>
      </c>
      <c r="AK416" s="72"/>
      <c r="AL416" s="72"/>
      <c r="AM416" s="72"/>
    </row>
    <row r="417" spans="1:39" x14ac:dyDescent="0.25">
      <c r="A417" s="37" t="s">
        <v>62</v>
      </c>
      <c r="B417" s="66" t="s">
        <v>1566</v>
      </c>
      <c r="C417" s="47">
        <v>1054</v>
      </c>
      <c r="D417" s="47" t="s">
        <v>828</v>
      </c>
      <c r="E417" s="41">
        <v>10110144</v>
      </c>
      <c r="F417" s="46" t="s">
        <v>680</v>
      </c>
      <c r="G417" s="39" t="s">
        <v>93</v>
      </c>
      <c r="H417" s="48" t="s">
        <v>94</v>
      </c>
      <c r="I417" s="52">
        <v>1080.3999999999999</v>
      </c>
      <c r="J417" s="49">
        <v>40257.430000000008</v>
      </c>
      <c r="K417" s="65">
        <v>1193.3599999999999</v>
      </c>
      <c r="L417" s="65">
        <v>46314.584683448411</v>
      </c>
      <c r="M417" s="65">
        <v>0</v>
      </c>
      <c r="N417" s="65">
        <v>0</v>
      </c>
      <c r="O417" s="65">
        <v>1193.3599999999999</v>
      </c>
      <c r="P417" s="65">
        <v>46314.584683448411</v>
      </c>
      <c r="Q417" s="50">
        <v>40257.430000000008</v>
      </c>
      <c r="R417" s="65">
        <v>0</v>
      </c>
      <c r="S417" s="65">
        <v>0</v>
      </c>
      <c r="T417" s="65">
        <v>6057.1546834484034</v>
      </c>
      <c r="U417" s="65">
        <v>14036</v>
      </c>
      <c r="V417" s="65">
        <v>0</v>
      </c>
      <c r="W417" s="65">
        <v>0</v>
      </c>
      <c r="X417" s="65">
        <v>26221</v>
      </c>
      <c r="Y417" s="65">
        <v>0</v>
      </c>
      <c r="Z417" s="65">
        <v>0</v>
      </c>
      <c r="AA417" s="51">
        <v>0</v>
      </c>
      <c r="AB417" s="102" t="s">
        <v>1427</v>
      </c>
      <c r="AC417" s="81">
        <f t="shared" si="21"/>
        <v>0</v>
      </c>
      <c r="AD417" s="82">
        <f t="shared" si="22"/>
        <v>0</v>
      </c>
      <c r="AE417" s="218">
        <v>-0.15046054066164685</v>
      </c>
      <c r="AF417">
        <v>6</v>
      </c>
      <c r="AH417" t="str">
        <f t="shared" si="20"/>
        <v xml:space="preserve">Alauli </v>
      </c>
      <c r="AJ417" s="72">
        <v>0</v>
      </c>
      <c r="AK417" s="72"/>
      <c r="AL417" s="72"/>
      <c r="AM417" s="72"/>
    </row>
    <row r="418" spans="1:39" x14ac:dyDescent="0.25">
      <c r="A418" s="37" t="s">
        <v>62</v>
      </c>
      <c r="B418" s="66" t="s">
        <v>1566</v>
      </c>
      <c r="C418" s="47">
        <v>1011</v>
      </c>
      <c r="D418" s="47" t="s">
        <v>289</v>
      </c>
      <c r="E418" s="41">
        <v>10110146</v>
      </c>
      <c r="F418" s="46" t="s">
        <v>645</v>
      </c>
      <c r="G418" s="39" t="s">
        <v>93</v>
      </c>
      <c r="H418" s="48" t="s">
        <v>94</v>
      </c>
      <c r="I418" s="52">
        <v>1425.1999999999998</v>
      </c>
      <c r="J418" s="49">
        <v>50364.070000000007</v>
      </c>
      <c r="K418" s="65">
        <v>1425.8999999999999</v>
      </c>
      <c r="L418" s="65">
        <v>51660.457239600015</v>
      </c>
      <c r="M418" s="65">
        <v>0</v>
      </c>
      <c r="N418" s="65">
        <v>0</v>
      </c>
      <c r="O418" s="65">
        <v>1425.8999999999999</v>
      </c>
      <c r="P418" s="65">
        <v>51660.457239600015</v>
      </c>
      <c r="Q418" s="50">
        <v>50364.070000000007</v>
      </c>
      <c r="R418" s="65">
        <v>0</v>
      </c>
      <c r="S418" s="65">
        <v>0</v>
      </c>
      <c r="T418" s="65">
        <v>1296.3872396000079</v>
      </c>
      <c r="U418" s="65">
        <v>0</v>
      </c>
      <c r="V418" s="65">
        <v>4342.4248451612902</v>
      </c>
      <c r="W418" s="65">
        <v>0</v>
      </c>
      <c r="X418" s="65">
        <v>46022</v>
      </c>
      <c r="Y418" s="65">
        <v>0</v>
      </c>
      <c r="Z418" s="65">
        <v>0</v>
      </c>
      <c r="AA418" s="51">
        <v>0</v>
      </c>
      <c r="AB418" s="102">
        <v>0</v>
      </c>
      <c r="AC418" s="81">
        <f t="shared" si="21"/>
        <v>0</v>
      </c>
      <c r="AD418" s="82">
        <f t="shared" si="22"/>
        <v>0</v>
      </c>
      <c r="AE418" s="218">
        <v>-2.5740319231547563E-2</v>
      </c>
      <c r="AF418">
        <v>4</v>
      </c>
      <c r="AH418" t="str">
        <f t="shared" si="20"/>
        <v>Sahibpur Kamal</v>
      </c>
      <c r="AJ418" s="72">
        <v>0</v>
      </c>
      <c r="AK418" s="72"/>
      <c r="AL418" s="72"/>
      <c r="AM418" s="72"/>
    </row>
    <row r="419" spans="1:39" x14ac:dyDescent="0.25">
      <c r="A419" s="37" t="s">
        <v>62</v>
      </c>
      <c r="B419" s="66" t="s">
        <v>1566</v>
      </c>
      <c r="C419" s="47">
        <v>1054</v>
      </c>
      <c r="D419" s="47" t="s">
        <v>828</v>
      </c>
      <c r="E419" s="41">
        <v>10110149</v>
      </c>
      <c r="F419" s="46" t="s">
        <v>684</v>
      </c>
      <c r="G419" s="39" t="s">
        <v>93</v>
      </c>
      <c r="H419" s="48" t="s">
        <v>94</v>
      </c>
      <c r="I419" s="52">
        <v>457.8</v>
      </c>
      <c r="J419" s="49">
        <v>16955.760000000002</v>
      </c>
      <c r="K419" s="65">
        <v>104.58000000000001</v>
      </c>
      <c r="L419" s="65">
        <v>5523.0540355535013</v>
      </c>
      <c r="M419" s="65">
        <v>358.07</v>
      </c>
      <c r="N419" s="65">
        <v>15359.386450077902</v>
      </c>
      <c r="O419" s="65">
        <v>462.65</v>
      </c>
      <c r="P419" s="65">
        <v>20882.440485631403</v>
      </c>
      <c r="Q419" s="50">
        <v>16955.760000000002</v>
      </c>
      <c r="R419" s="65">
        <v>0</v>
      </c>
      <c r="S419" s="65">
        <v>0</v>
      </c>
      <c r="T419" s="65">
        <v>3926.6804856314011</v>
      </c>
      <c r="U419" s="65">
        <v>1596</v>
      </c>
      <c r="V419" s="65">
        <v>0</v>
      </c>
      <c r="W419" s="65">
        <v>0</v>
      </c>
      <c r="X419" s="65">
        <v>0</v>
      </c>
      <c r="Y419" s="65">
        <v>15360</v>
      </c>
      <c r="Z419" s="65">
        <v>0</v>
      </c>
      <c r="AA419" s="51">
        <v>0</v>
      </c>
      <c r="AB419" s="102" t="s">
        <v>1427</v>
      </c>
      <c r="AC419" s="81">
        <f t="shared" si="21"/>
        <v>179.4095706422018</v>
      </c>
      <c r="AD419" s="82">
        <f t="shared" si="22"/>
        <v>65.400000000000006</v>
      </c>
      <c r="AE419" s="218">
        <v>-0.23158386799715264</v>
      </c>
      <c r="AF419">
        <v>4</v>
      </c>
      <c r="AH419" t="str">
        <f t="shared" si="20"/>
        <v xml:space="preserve">Alauli </v>
      </c>
      <c r="AJ419" s="72">
        <v>0</v>
      </c>
      <c r="AK419" s="72"/>
      <c r="AL419" s="72"/>
      <c r="AM419" s="72"/>
    </row>
    <row r="420" spans="1:39" x14ac:dyDescent="0.25">
      <c r="A420" s="37" t="s">
        <v>62</v>
      </c>
      <c r="B420" s="66" t="s">
        <v>1566</v>
      </c>
      <c r="C420" s="47">
        <v>1011</v>
      </c>
      <c r="D420" s="47" t="s">
        <v>289</v>
      </c>
      <c r="E420" s="41">
        <v>10110153</v>
      </c>
      <c r="F420" s="46" t="s">
        <v>834</v>
      </c>
      <c r="G420" s="39" t="s">
        <v>635</v>
      </c>
      <c r="H420" s="48" t="s">
        <v>99</v>
      </c>
      <c r="I420" s="52">
        <v>491.49999999999994</v>
      </c>
      <c r="J420" s="49">
        <v>19337.97</v>
      </c>
      <c r="K420" s="65">
        <v>0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50">
        <v>19337.97</v>
      </c>
      <c r="R420" s="65">
        <v>0</v>
      </c>
      <c r="S420" s="65">
        <v>0</v>
      </c>
      <c r="T420" s="65">
        <v>0</v>
      </c>
      <c r="U420" s="65">
        <v>0</v>
      </c>
      <c r="V420" s="65">
        <v>1803.3399483870967</v>
      </c>
      <c r="W420" s="65">
        <v>0</v>
      </c>
      <c r="X420" s="65">
        <v>0</v>
      </c>
      <c r="Y420" s="65">
        <v>0</v>
      </c>
      <c r="Z420" s="65">
        <v>17534.630051612905</v>
      </c>
      <c r="AA420" s="51">
        <v>0</v>
      </c>
      <c r="AB420" s="102">
        <v>0</v>
      </c>
      <c r="AC420" s="81">
        <f t="shared" si="21"/>
        <v>164.06782278738564</v>
      </c>
      <c r="AD420" s="82">
        <f t="shared" si="22"/>
        <v>70.214285714285708</v>
      </c>
      <c r="AE420" s="218">
        <v>0</v>
      </c>
      <c r="AF420">
        <v>0</v>
      </c>
      <c r="AH420" t="str">
        <f t="shared" si="20"/>
        <v>Sahibpur Kamal</v>
      </c>
      <c r="AJ420" s="72">
        <v>0</v>
      </c>
      <c r="AK420" s="72"/>
      <c r="AL420" s="72"/>
      <c r="AM420" s="72"/>
    </row>
    <row r="421" spans="1:39" x14ac:dyDescent="0.25">
      <c r="A421" s="37" t="s">
        <v>62</v>
      </c>
      <c r="B421" s="66" t="s">
        <v>1566</v>
      </c>
      <c r="C421" s="47">
        <v>1055</v>
      </c>
      <c r="D421" s="47" t="s">
        <v>1148</v>
      </c>
      <c r="E421" s="41">
        <v>10110155</v>
      </c>
      <c r="F421" s="46" t="s">
        <v>839</v>
      </c>
      <c r="G421" s="39" t="s">
        <v>635</v>
      </c>
      <c r="H421" s="48" t="s">
        <v>99</v>
      </c>
      <c r="I421" s="52">
        <v>414</v>
      </c>
      <c r="J421" s="49">
        <v>15633.83</v>
      </c>
      <c r="K421" s="65">
        <v>0</v>
      </c>
      <c r="L421" s="65">
        <v>0</v>
      </c>
      <c r="M421" s="65">
        <v>0</v>
      </c>
      <c r="N421" s="65">
        <v>0</v>
      </c>
      <c r="O421" s="65">
        <v>0</v>
      </c>
      <c r="P421" s="65">
        <v>0</v>
      </c>
      <c r="Q421" s="50">
        <v>15633.83</v>
      </c>
      <c r="R421" s="65">
        <v>0</v>
      </c>
      <c r="S421" s="65">
        <v>0</v>
      </c>
      <c r="T421" s="65">
        <v>0</v>
      </c>
      <c r="U421" s="65">
        <v>0</v>
      </c>
      <c r="V421" s="65">
        <v>0</v>
      </c>
      <c r="W421" s="65">
        <v>0</v>
      </c>
      <c r="X421" s="65">
        <v>0</v>
      </c>
      <c r="Y421" s="65">
        <v>0</v>
      </c>
      <c r="Z421" s="65">
        <v>15633.83</v>
      </c>
      <c r="AA421" s="51">
        <v>0</v>
      </c>
      <c r="AB421" s="102">
        <v>0</v>
      </c>
      <c r="AC421" s="81">
        <f t="shared" si="21"/>
        <v>216.00364154589374</v>
      </c>
      <c r="AD421" s="82">
        <f t="shared" si="22"/>
        <v>59.142857142857146</v>
      </c>
      <c r="AE421" s="218">
        <v>0</v>
      </c>
      <c r="AF421">
        <v>0</v>
      </c>
      <c r="AH421" t="str">
        <f t="shared" si="20"/>
        <v>Matihani</v>
      </c>
      <c r="AJ421" s="72">
        <v>0</v>
      </c>
      <c r="AK421" s="72"/>
      <c r="AL421" s="72"/>
      <c r="AM421" s="72"/>
    </row>
    <row r="422" spans="1:39" x14ac:dyDescent="0.25">
      <c r="A422" s="37" t="s">
        <v>62</v>
      </c>
      <c r="B422" s="66" t="s">
        <v>1566</v>
      </c>
      <c r="C422" s="47">
        <v>1011</v>
      </c>
      <c r="D422" s="47" t="s">
        <v>289</v>
      </c>
      <c r="E422" s="41">
        <v>10110158</v>
      </c>
      <c r="F422" s="46" t="s">
        <v>1141</v>
      </c>
      <c r="G422" s="39" t="s">
        <v>93</v>
      </c>
      <c r="H422" s="48" t="s">
        <v>94</v>
      </c>
      <c r="I422" s="52">
        <v>3516.4000000000005</v>
      </c>
      <c r="J422" s="49">
        <v>136569.53000000003</v>
      </c>
      <c r="K422" s="65">
        <v>3317.130000000001</v>
      </c>
      <c r="L422" s="65">
        <v>129688.03278410828</v>
      </c>
      <c r="M422" s="65">
        <v>273.97999999999996</v>
      </c>
      <c r="N422" s="65">
        <v>10848.8785443005</v>
      </c>
      <c r="O422" s="65">
        <v>3591.110000000001</v>
      </c>
      <c r="P422" s="65">
        <v>140536.91132840878</v>
      </c>
      <c r="Q422" s="50">
        <v>136569.53000000003</v>
      </c>
      <c r="R422" s="65">
        <v>0</v>
      </c>
      <c r="S422" s="65">
        <v>0</v>
      </c>
      <c r="T422" s="65">
        <v>3967.3813284087519</v>
      </c>
      <c r="U422" s="65">
        <v>0</v>
      </c>
      <c r="V422" s="65">
        <v>930.99</v>
      </c>
      <c r="W422" s="65">
        <v>0</v>
      </c>
      <c r="X422" s="65">
        <v>124790</v>
      </c>
      <c r="Y422" s="65">
        <v>10849</v>
      </c>
      <c r="Z422" s="65">
        <v>0</v>
      </c>
      <c r="AA422" s="51">
        <v>0</v>
      </c>
      <c r="AB422" s="102" t="s">
        <v>68</v>
      </c>
      <c r="AC422" s="81">
        <f t="shared" si="21"/>
        <v>0</v>
      </c>
      <c r="AD422" s="82">
        <f t="shared" si="22"/>
        <v>0</v>
      </c>
      <c r="AE422" s="218">
        <v>-2.9050267130660484E-2</v>
      </c>
      <c r="AF422">
        <v>28</v>
      </c>
      <c r="AH422" t="str">
        <f t="shared" si="20"/>
        <v>Sahibpur Kamal</v>
      </c>
      <c r="AJ422" s="72">
        <v>0</v>
      </c>
      <c r="AK422" s="72"/>
      <c r="AL422" s="72"/>
      <c r="AM422" s="72"/>
    </row>
    <row r="423" spans="1:39" x14ac:dyDescent="0.25">
      <c r="A423" s="37" t="s">
        <v>62</v>
      </c>
      <c r="B423" s="66" t="s">
        <v>1566</v>
      </c>
      <c r="C423" s="47">
        <v>1011</v>
      </c>
      <c r="D423" s="47" t="s">
        <v>289</v>
      </c>
      <c r="E423" s="41">
        <v>10110159</v>
      </c>
      <c r="F423" s="46" t="s">
        <v>849</v>
      </c>
      <c r="G423" s="39" t="s">
        <v>93</v>
      </c>
      <c r="H423" s="48" t="s">
        <v>94</v>
      </c>
      <c r="I423" s="52">
        <v>1489</v>
      </c>
      <c r="J423" s="49">
        <v>56125.35</v>
      </c>
      <c r="K423" s="65">
        <v>1121.4000000000001</v>
      </c>
      <c r="L423" s="65">
        <v>42209.409567600007</v>
      </c>
      <c r="M423" s="65">
        <v>375.8</v>
      </c>
      <c r="N423" s="65">
        <v>14223.546429840004</v>
      </c>
      <c r="O423" s="65">
        <v>1497.2</v>
      </c>
      <c r="P423" s="65">
        <v>56432.955997440011</v>
      </c>
      <c r="Q423" s="50">
        <v>56125.35</v>
      </c>
      <c r="R423" s="65">
        <v>0</v>
      </c>
      <c r="S423" s="65">
        <v>106.26309144000004</v>
      </c>
      <c r="T423" s="65">
        <v>307.60599744001229</v>
      </c>
      <c r="U423" s="65">
        <v>0</v>
      </c>
      <c r="V423" s="65">
        <v>0</v>
      </c>
      <c r="W423" s="65">
        <v>0</v>
      </c>
      <c r="X423" s="65">
        <v>41901</v>
      </c>
      <c r="Y423" s="65">
        <v>14118</v>
      </c>
      <c r="Z423" s="65">
        <v>0</v>
      </c>
      <c r="AA423" s="51">
        <v>0</v>
      </c>
      <c r="AB423" s="102">
        <v>0</v>
      </c>
      <c r="AC423" s="81">
        <f t="shared" si="21"/>
        <v>0</v>
      </c>
      <c r="AD423" s="82">
        <f t="shared" si="22"/>
        <v>0</v>
      </c>
      <c r="AE423" s="218">
        <v>-5.4806962885757026E-3</v>
      </c>
      <c r="AF423">
        <v>8</v>
      </c>
      <c r="AH423" t="str">
        <f t="shared" si="20"/>
        <v>Sahibpur Kamal</v>
      </c>
      <c r="AJ423" s="72">
        <v>0</v>
      </c>
      <c r="AK423" s="72"/>
      <c r="AL423" s="72"/>
      <c r="AM423" s="72"/>
    </row>
    <row r="424" spans="1:39" x14ac:dyDescent="0.25">
      <c r="A424" s="37" t="s">
        <v>62</v>
      </c>
      <c r="B424" s="66" t="s">
        <v>1566</v>
      </c>
      <c r="C424" s="47">
        <v>1011</v>
      </c>
      <c r="D424" s="47" t="s">
        <v>289</v>
      </c>
      <c r="E424" s="41">
        <v>10110160</v>
      </c>
      <c r="F424" s="46" t="s">
        <v>1144</v>
      </c>
      <c r="G424" s="39" t="s">
        <v>635</v>
      </c>
      <c r="H424" s="48" t="s">
        <v>99</v>
      </c>
      <c r="I424" s="52">
        <v>844.00000000000011</v>
      </c>
      <c r="J424" s="49">
        <v>29755.230000000003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50">
        <v>29755.230000000003</v>
      </c>
      <c r="R424" s="65">
        <v>0</v>
      </c>
      <c r="S424" s="65">
        <v>0</v>
      </c>
      <c r="T424" s="65">
        <v>0</v>
      </c>
      <c r="U424" s="65">
        <v>0</v>
      </c>
      <c r="V424" s="65">
        <v>0</v>
      </c>
      <c r="W424" s="65">
        <v>0</v>
      </c>
      <c r="X424" s="65">
        <v>0</v>
      </c>
      <c r="Y424" s="65">
        <v>0</v>
      </c>
      <c r="Z424" s="65">
        <v>29755.230000000003</v>
      </c>
      <c r="AA424" s="51">
        <v>0</v>
      </c>
      <c r="AB424" s="102">
        <v>0</v>
      </c>
      <c r="AC424" s="81">
        <f t="shared" si="21"/>
        <v>0</v>
      </c>
      <c r="AD424" s="82">
        <f t="shared" si="22"/>
        <v>0</v>
      </c>
      <c r="AE424" s="218">
        <v>0</v>
      </c>
      <c r="AF424">
        <v>0</v>
      </c>
      <c r="AH424" t="str">
        <f t="shared" si="20"/>
        <v>Sahibpur Kamal</v>
      </c>
      <c r="AJ424" s="72">
        <v>0</v>
      </c>
      <c r="AK424" s="72"/>
      <c r="AL424" s="72"/>
      <c r="AM424" s="72"/>
    </row>
    <row r="425" spans="1:39" x14ac:dyDescent="0.25">
      <c r="A425" s="37" t="s">
        <v>62</v>
      </c>
      <c r="B425" s="66" t="s">
        <v>1566</v>
      </c>
      <c r="C425" s="47">
        <v>1011</v>
      </c>
      <c r="D425" s="47" t="s">
        <v>289</v>
      </c>
      <c r="E425" s="41">
        <v>10110161</v>
      </c>
      <c r="F425" s="46" t="s">
        <v>1145</v>
      </c>
      <c r="G425" s="39" t="s">
        <v>635</v>
      </c>
      <c r="H425" s="48" t="s">
        <v>99</v>
      </c>
      <c r="I425" s="52">
        <v>820.3</v>
      </c>
      <c r="J425" s="49">
        <v>28827.13</v>
      </c>
      <c r="K425" s="65">
        <v>0</v>
      </c>
      <c r="L425" s="65">
        <v>0</v>
      </c>
      <c r="M425" s="65">
        <v>0</v>
      </c>
      <c r="N425" s="65">
        <v>0</v>
      </c>
      <c r="O425" s="65">
        <v>0</v>
      </c>
      <c r="P425" s="65">
        <v>0</v>
      </c>
      <c r="Q425" s="50">
        <v>28827.13</v>
      </c>
      <c r="R425" s="65">
        <v>0</v>
      </c>
      <c r="S425" s="65">
        <v>0</v>
      </c>
      <c r="T425" s="65">
        <v>0</v>
      </c>
      <c r="U425" s="65">
        <v>0</v>
      </c>
      <c r="V425" s="65">
        <v>0</v>
      </c>
      <c r="W425" s="65">
        <v>0</v>
      </c>
      <c r="X425" s="65">
        <v>0</v>
      </c>
      <c r="Y425" s="65">
        <v>0</v>
      </c>
      <c r="Z425" s="65">
        <v>28827.13</v>
      </c>
      <c r="AA425" s="51">
        <v>0</v>
      </c>
      <c r="AB425" s="102">
        <v>0</v>
      </c>
      <c r="AC425" s="81">
        <f t="shared" si="21"/>
        <v>0</v>
      </c>
      <c r="AD425" s="82">
        <f t="shared" si="22"/>
        <v>0</v>
      </c>
      <c r="AE425" s="218">
        <v>0</v>
      </c>
      <c r="AF425">
        <v>0</v>
      </c>
      <c r="AH425" t="str">
        <f t="shared" si="20"/>
        <v>Sahibpur Kamal</v>
      </c>
      <c r="AJ425" s="72">
        <v>0</v>
      </c>
      <c r="AK425" s="72"/>
      <c r="AL425" s="72"/>
      <c r="AM425" s="72"/>
    </row>
    <row r="426" spans="1:39" x14ac:dyDescent="0.25">
      <c r="A426" s="37" t="s">
        <v>62</v>
      </c>
      <c r="B426" s="66" t="s">
        <v>1566</v>
      </c>
      <c r="C426" s="47">
        <v>1011</v>
      </c>
      <c r="D426" s="47" t="s">
        <v>289</v>
      </c>
      <c r="E426" s="41">
        <v>10110164</v>
      </c>
      <c r="F426" s="46" t="s">
        <v>1250</v>
      </c>
      <c r="G426" s="39" t="s">
        <v>93</v>
      </c>
      <c r="H426" s="48" t="s">
        <v>94</v>
      </c>
      <c r="I426" s="52">
        <v>261.2</v>
      </c>
      <c r="J426" s="49">
        <v>11131.19</v>
      </c>
      <c r="K426" s="65">
        <v>261</v>
      </c>
      <c r="L426" s="65">
        <v>11128.288842000002</v>
      </c>
      <c r="M426" s="65">
        <v>0</v>
      </c>
      <c r="N426" s="65">
        <v>0</v>
      </c>
      <c r="O426" s="65">
        <v>261</v>
      </c>
      <c r="P426" s="65">
        <v>11128.288842000002</v>
      </c>
      <c r="Q426" s="50">
        <v>11128.288842000002</v>
      </c>
      <c r="R426" s="65">
        <v>0</v>
      </c>
      <c r="S426" s="65">
        <v>0</v>
      </c>
      <c r="T426" s="65">
        <v>0</v>
      </c>
      <c r="U426" s="65">
        <v>0</v>
      </c>
      <c r="V426" s="65">
        <v>0</v>
      </c>
      <c r="W426" s="65">
        <v>0</v>
      </c>
      <c r="X426" s="65">
        <v>11128</v>
      </c>
      <c r="Y426" s="65">
        <v>0</v>
      </c>
      <c r="Z426" s="65">
        <v>0</v>
      </c>
      <c r="AA426" s="51">
        <v>3</v>
      </c>
      <c r="AB426" s="102">
        <v>0</v>
      </c>
      <c r="AC426" s="81">
        <f t="shared" si="21"/>
        <v>373.9943470137826</v>
      </c>
      <c r="AD426" s="82">
        <f t="shared" si="22"/>
        <v>37.31428571428571</v>
      </c>
      <c r="AE426" s="218">
        <v>2.6063322969051457E-4</v>
      </c>
      <c r="AF426">
        <v>4</v>
      </c>
      <c r="AH426" t="str">
        <f t="shared" si="20"/>
        <v>Sahibpur Kamal</v>
      </c>
      <c r="AJ426" s="72">
        <v>0</v>
      </c>
      <c r="AK426" s="72"/>
      <c r="AL426" s="72"/>
      <c r="AM426" s="72"/>
    </row>
    <row r="427" spans="1:39" x14ac:dyDescent="0.25">
      <c r="A427" s="37" t="s">
        <v>62</v>
      </c>
      <c r="B427" s="66" t="s">
        <v>1566</v>
      </c>
      <c r="C427" s="47">
        <v>1011</v>
      </c>
      <c r="D427" s="47" t="s">
        <v>289</v>
      </c>
      <c r="E427" s="41">
        <v>10110166</v>
      </c>
      <c r="F427" s="46" t="s">
        <v>1157</v>
      </c>
      <c r="G427" s="39" t="s">
        <v>635</v>
      </c>
      <c r="H427" s="48" t="s">
        <v>99</v>
      </c>
      <c r="I427" s="52">
        <v>422.09999999999997</v>
      </c>
      <c r="J427" s="49">
        <v>15186.479999999998</v>
      </c>
      <c r="K427" s="65">
        <v>0</v>
      </c>
      <c r="L427" s="65">
        <v>0</v>
      </c>
      <c r="M427" s="65">
        <v>0</v>
      </c>
      <c r="N427" s="65">
        <v>0</v>
      </c>
      <c r="O427" s="65">
        <v>0</v>
      </c>
      <c r="P427" s="65">
        <v>0</v>
      </c>
      <c r="Q427" s="50">
        <v>15186.479999999998</v>
      </c>
      <c r="R427" s="65">
        <v>0</v>
      </c>
      <c r="S427" s="65">
        <v>0</v>
      </c>
      <c r="T427" s="65">
        <v>0</v>
      </c>
      <c r="U427" s="65">
        <v>0</v>
      </c>
      <c r="V427" s="65">
        <v>0</v>
      </c>
      <c r="W427" s="65">
        <v>0</v>
      </c>
      <c r="X427" s="65">
        <v>0</v>
      </c>
      <c r="Y427" s="65">
        <v>0</v>
      </c>
      <c r="Z427" s="65">
        <v>15186.479999999998</v>
      </c>
      <c r="AA427" s="51">
        <v>0</v>
      </c>
      <c r="AB427" s="102">
        <v>0</v>
      </c>
      <c r="AC427" s="81">
        <f t="shared" si="21"/>
        <v>199.96791243781095</v>
      </c>
      <c r="AD427" s="82">
        <f t="shared" si="22"/>
        <v>60.3</v>
      </c>
      <c r="AE427" s="218">
        <v>0</v>
      </c>
      <c r="AF427">
        <v>0</v>
      </c>
      <c r="AH427" t="str">
        <f t="shared" si="20"/>
        <v>Sahibpur Kamal</v>
      </c>
      <c r="AJ427" s="72">
        <v>0</v>
      </c>
      <c r="AK427" s="72"/>
      <c r="AL427" s="72"/>
      <c r="AM427" s="72"/>
    </row>
    <row r="428" spans="1:39" x14ac:dyDescent="0.25">
      <c r="A428" s="37" t="s">
        <v>62</v>
      </c>
      <c r="B428" s="66" t="s">
        <v>1566</v>
      </c>
      <c r="C428" s="47">
        <v>1011</v>
      </c>
      <c r="D428" s="47" t="s">
        <v>289</v>
      </c>
      <c r="E428" s="41">
        <v>10110167</v>
      </c>
      <c r="F428" s="46" t="s">
        <v>1208</v>
      </c>
      <c r="G428" s="39" t="s">
        <v>93</v>
      </c>
      <c r="H428" s="48" t="s">
        <v>94</v>
      </c>
      <c r="I428" s="52">
        <v>48.5</v>
      </c>
      <c r="J428" s="49">
        <v>1922.15</v>
      </c>
      <c r="K428" s="65">
        <v>48.500000000000007</v>
      </c>
      <c r="L428" s="65">
        <v>1922.1046772400002</v>
      </c>
      <c r="M428" s="65">
        <v>0</v>
      </c>
      <c r="N428" s="65">
        <v>0</v>
      </c>
      <c r="O428" s="65">
        <v>48.500000000000007</v>
      </c>
      <c r="P428" s="65">
        <v>1922.1046772400002</v>
      </c>
      <c r="Q428" s="50">
        <v>1922.1046772400002</v>
      </c>
      <c r="R428" s="65">
        <v>0</v>
      </c>
      <c r="S428" s="65">
        <v>0</v>
      </c>
      <c r="T428" s="65">
        <v>0</v>
      </c>
      <c r="U428" s="65">
        <v>0</v>
      </c>
      <c r="V428" s="65">
        <v>113.45414482758619</v>
      </c>
      <c r="W428" s="65">
        <v>0</v>
      </c>
      <c r="X428" s="65">
        <v>1809</v>
      </c>
      <c r="Y428" s="65">
        <v>0</v>
      </c>
      <c r="Z428" s="65">
        <v>0</v>
      </c>
      <c r="AA428" s="51">
        <v>0</v>
      </c>
      <c r="AB428" s="102">
        <v>0</v>
      </c>
      <c r="AC428" s="81">
        <f t="shared" si="21"/>
        <v>516.40442268041238</v>
      </c>
      <c r="AD428" s="82">
        <f t="shared" si="22"/>
        <v>6.9285714285714288</v>
      </c>
      <c r="AE428" s="218">
        <v>2.3579200374509109E-5</v>
      </c>
      <c r="AF428">
        <v>1</v>
      </c>
      <c r="AH428" t="str">
        <f t="shared" si="20"/>
        <v>Sahibpur Kamal</v>
      </c>
      <c r="AJ428" s="72">
        <v>0</v>
      </c>
      <c r="AK428" s="72"/>
      <c r="AL428" s="72"/>
      <c r="AM428" s="72"/>
    </row>
    <row r="429" spans="1:39" x14ac:dyDescent="0.25">
      <c r="A429" s="37" t="s">
        <v>62</v>
      </c>
      <c r="B429" s="66" t="s">
        <v>1566</v>
      </c>
      <c r="C429" s="47">
        <v>1011</v>
      </c>
      <c r="D429" s="47" t="s">
        <v>289</v>
      </c>
      <c r="E429" s="41">
        <v>10110168</v>
      </c>
      <c r="F429" s="46" t="s">
        <v>1251</v>
      </c>
      <c r="G429" s="39" t="s">
        <v>93</v>
      </c>
      <c r="H429" s="48" t="s">
        <v>94</v>
      </c>
      <c r="I429" s="52">
        <v>1619.7000000000003</v>
      </c>
      <c r="J429" s="49">
        <v>59166.41</v>
      </c>
      <c r="K429" s="65">
        <v>1538.5</v>
      </c>
      <c r="L429" s="65">
        <v>58146.442837560011</v>
      </c>
      <c r="M429" s="65">
        <v>4.6999999999999993</v>
      </c>
      <c r="N429" s="65">
        <v>178.57474272000002</v>
      </c>
      <c r="O429" s="65">
        <v>1543.2</v>
      </c>
      <c r="P429" s="65">
        <v>58325.017580280008</v>
      </c>
      <c r="Q429" s="50">
        <v>58325.017580280008</v>
      </c>
      <c r="R429" s="65">
        <v>0</v>
      </c>
      <c r="S429" s="65">
        <v>178.57474272000002</v>
      </c>
      <c r="T429" s="65">
        <v>0</v>
      </c>
      <c r="U429" s="65">
        <v>0</v>
      </c>
      <c r="V429" s="65">
        <v>0</v>
      </c>
      <c r="W429" s="65">
        <v>0</v>
      </c>
      <c r="X429" s="65">
        <v>58146</v>
      </c>
      <c r="Y429" s="65">
        <v>0</v>
      </c>
      <c r="Z429" s="65">
        <v>0</v>
      </c>
      <c r="AA429" s="51">
        <v>842</v>
      </c>
      <c r="AB429" s="102">
        <v>0</v>
      </c>
      <c r="AC429" s="81">
        <f t="shared" si="21"/>
        <v>0</v>
      </c>
      <c r="AD429" s="82">
        <f t="shared" si="22"/>
        <v>0</v>
      </c>
      <c r="AE429" s="218">
        <v>1.4220778643152352E-2</v>
      </c>
      <c r="AF429">
        <v>3</v>
      </c>
      <c r="AH429" t="str">
        <f t="shared" si="20"/>
        <v>Sahibpur Kamal</v>
      </c>
      <c r="AJ429" s="72">
        <v>0</v>
      </c>
      <c r="AK429" s="72"/>
      <c r="AL429" s="72"/>
      <c r="AM429" s="72"/>
    </row>
    <row r="430" spans="1:39" x14ac:dyDescent="0.25">
      <c r="A430" s="37" t="s">
        <v>62</v>
      </c>
      <c r="B430" s="66" t="s">
        <v>1566</v>
      </c>
      <c r="C430" s="47">
        <v>1011</v>
      </c>
      <c r="D430" s="47" t="s">
        <v>289</v>
      </c>
      <c r="E430" s="41">
        <v>10110172</v>
      </c>
      <c r="F430" s="46" t="s">
        <v>1267</v>
      </c>
      <c r="G430" s="39" t="s">
        <v>93</v>
      </c>
      <c r="H430" s="48" t="s">
        <v>94</v>
      </c>
      <c r="I430" s="52">
        <v>296.8</v>
      </c>
      <c r="J430" s="49">
        <v>10526.159999999998</v>
      </c>
      <c r="K430" s="65">
        <v>296</v>
      </c>
      <c r="L430" s="65">
        <v>10491.075878382002</v>
      </c>
      <c r="M430" s="65">
        <v>0</v>
      </c>
      <c r="N430" s="65">
        <v>0</v>
      </c>
      <c r="O430" s="65">
        <v>296</v>
      </c>
      <c r="P430" s="65">
        <v>10491.075878382002</v>
      </c>
      <c r="Q430" s="50">
        <v>10491.075878382002</v>
      </c>
      <c r="R430" s="65">
        <v>0</v>
      </c>
      <c r="S430" s="65">
        <v>0</v>
      </c>
      <c r="T430" s="65">
        <v>0</v>
      </c>
      <c r="U430" s="65">
        <v>0</v>
      </c>
      <c r="V430" s="65">
        <v>0</v>
      </c>
      <c r="W430" s="65">
        <v>0</v>
      </c>
      <c r="X430" s="65">
        <v>10491</v>
      </c>
      <c r="Y430" s="65">
        <v>0</v>
      </c>
      <c r="Z430" s="65">
        <v>0</v>
      </c>
      <c r="AA430" s="51">
        <v>35</v>
      </c>
      <c r="AB430" s="102">
        <v>0</v>
      </c>
      <c r="AC430" s="81">
        <f t="shared" si="21"/>
        <v>285.99378113207541</v>
      </c>
      <c r="AD430" s="82">
        <f t="shared" si="22"/>
        <v>42.4</v>
      </c>
      <c r="AE430" s="218">
        <v>3.3330408827146906E-3</v>
      </c>
      <c r="AF430">
        <v>1</v>
      </c>
      <c r="AH430" t="str">
        <f t="shared" si="20"/>
        <v>Sahibpur Kamal</v>
      </c>
      <c r="AJ430" s="72">
        <v>0</v>
      </c>
      <c r="AK430" s="72"/>
      <c r="AL430" s="72"/>
      <c r="AM430" s="72"/>
    </row>
    <row r="431" spans="1:39" x14ac:dyDescent="0.25">
      <c r="A431" s="37" t="s">
        <v>62</v>
      </c>
      <c r="B431" s="66" t="s">
        <v>1566</v>
      </c>
      <c r="C431" s="47">
        <v>1011</v>
      </c>
      <c r="D431" s="47" t="s">
        <v>289</v>
      </c>
      <c r="E431" s="41">
        <v>10110173</v>
      </c>
      <c r="F431" s="46" t="s">
        <v>1252</v>
      </c>
      <c r="G431" s="39" t="s">
        <v>635</v>
      </c>
      <c r="H431" s="48" t="s">
        <v>99</v>
      </c>
      <c r="I431" s="52">
        <v>229.9</v>
      </c>
      <c r="J431" s="49">
        <v>9376.8700000000008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50">
        <v>9376.8700000000008</v>
      </c>
      <c r="R431" s="65">
        <v>0</v>
      </c>
      <c r="S431" s="65">
        <v>0</v>
      </c>
      <c r="T431" s="65">
        <v>0</v>
      </c>
      <c r="U431" s="65">
        <v>0</v>
      </c>
      <c r="V431" s="65">
        <v>1379.6112387096782</v>
      </c>
      <c r="W431" s="65">
        <v>0</v>
      </c>
      <c r="X431" s="65">
        <v>0</v>
      </c>
      <c r="Y431" s="65">
        <v>0</v>
      </c>
      <c r="Z431" s="65">
        <v>7997.2587612903226</v>
      </c>
      <c r="AA431" s="51">
        <v>0</v>
      </c>
      <c r="AB431" s="102">
        <v>0</v>
      </c>
      <c r="AC431" s="81">
        <f t="shared" si="21"/>
        <v>383.4768670726404</v>
      </c>
      <c r="AD431" s="82">
        <f t="shared" si="22"/>
        <v>32.842857142857142</v>
      </c>
      <c r="AE431" s="218">
        <v>0</v>
      </c>
      <c r="AF431">
        <v>0</v>
      </c>
      <c r="AH431" t="str">
        <f t="shared" si="20"/>
        <v>Sahibpur Kamal</v>
      </c>
      <c r="AJ431" s="72">
        <v>0</v>
      </c>
      <c r="AK431" s="72"/>
      <c r="AL431" s="72"/>
      <c r="AM431" s="72"/>
    </row>
    <row r="432" spans="1:39" x14ac:dyDescent="0.25">
      <c r="A432" s="37" t="s">
        <v>62</v>
      </c>
      <c r="B432" s="66" t="s">
        <v>1566</v>
      </c>
      <c r="C432" s="47">
        <v>1011</v>
      </c>
      <c r="D432" s="47" t="s">
        <v>289</v>
      </c>
      <c r="E432" s="41">
        <v>10110176</v>
      </c>
      <c r="F432" s="46" t="s">
        <v>1287</v>
      </c>
      <c r="G432" s="39" t="s">
        <v>635</v>
      </c>
      <c r="H432" s="48" t="s">
        <v>99</v>
      </c>
      <c r="I432" s="52">
        <v>249.89999999999998</v>
      </c>
      <c r="J432" s="49">
        <v>8997.8900000000012</v>
      </c>
      <c r="K432" s="65">
        <v>0</v>
      </c>
      <c r="L432" s="65">
        <v>0</v>
      </c>
      <c r="M432" s="65">
        <v>0</v>
      </c>
      <c r="N432" s="65">
        <v>0</v>
      </c>
      <c r="O432" s="65">
        <v>0</v>
      </c>
      <c r="P432" s="65">
        <v>0</v>
      </c>
      <c r="Q432" s="50">
        <v>8997.8900000000012</v>
      </c>
      <c r="R432" s="65">
        <v>0</v>
      </c>
      <c r="S432" s="65">
        <v>0</v>
      </c>
      <c r="T432" s="65">
        <v>0</v>
      </c>
      <c r="U432" s="65">
        <v>0</v>
      </c>
      <c r="V432" s="65">
        <v>653.0864516129036</v>
      </c>
      <c r="W432" s="65">
        <v>0</v>
      </c>
      <c r="X432" s="65">
        <v>0</v>
      </c>
      <c r="Y432" s="65">
        <v>0</v>
      </c>
      <c r="Z432" s="65">
        <v>8344.8035483870972</v>
      </c>
      <c r="AA432" s="51">
        <v>0</v>
      </c>
      <c r="AB432" s="102">
        <v>0</v>
      </c>
      <c r="AC432" s="81">
        <f t="shared" si="21"/>
        <v>324.12567338935588</v>
      </c>
      <c r="AD432" s="82">
        <f t="shared" si="22"/>
        <v>35.699999999999996</v>
      </c>
      <c r="AE432" s="218">
        <v>0</v>
      </c>
      <c r="AF432">
        <v>0</v>
      </c>
      <c r="AH432" t="str">
        <f t="shared" si="20"/>
        <v>Sahibpur Kamal</v>
      </c>
      <c r="AJ432" s="72">
        <v>0</v>
      </c>
      <c r="AK432" s="72"/>
      <c r="AL432" s="72"/>
      <c r="AM432" s="72"/>
    </row>
    <row r="433" spans="1:39" x14ac:dyDescent="0.25">
      <c r="A433" s="37" t="s">
        <v>62</v>
      </c>
      <c r="B433" s="66" t="s">
        <v>1566</v>
      </c>
      <c r="C433" s="47">
        <v>1011</v>
      </c>
      <c r="D433" s="47" t="s">
        <v>289</v>
      </c>
      <c r="E433" s="41">
        <v>10110177</v>
      </c>
      <c r="F433" s="46" t="s">
        <v>1390</v>
      </c>
      <c r="G433" s="39" t="s">
        <v>93</v>
      </c>
      <c r="H433" s="48" t="s">
        <v>94</v>
      </c>
      <c r="I433" s="52">
        <v>552.20000000000005</v>
      </c>
      <c r="J433" s="49">
        <v>23480.420000000002</v>
      </c>
      <c r="K433" s="65">
        <v>542.00000000000011</v>
      </c>
      <c r="L433" s="65">
        <v>23086.034469476999</v>
      </c>
      <c r="M433" s="65">
        <v>8.9</v>
      </c>
      <c r="N433" s="65">
        <v>393.2789416027</v>
      </c>
      <c r="O433" s="65">
        <v>550.90000000000009</v>
      </c>
      <c r="P433" s="65">
        <v>23479.3134110797</v>
      </c>
      <c r="Q433" s="50">
        <v>23479.3134110797</v>
      </c>
      <c r="R433" s="65">
        <v>0</v>
      </c>
      <c r="S433" s="65">
        <v>393.2789416027</v>
      </c>
      <c r="T433" s="65">
        <v>0</v>
      </c>
      <c r="U433" s="65">
        <v>0</v>
      </c>
      <c r="V433" s="65">
        <v>0</v>
      </c>
      <c r="W433" s="65">
        <v>0</v>
      </c>
      <c r="X433" s="65">
        <v>23086</v>
      </c>
      <c r="Y433" s="65">
        <v>0</v>
      </c>
      <c r="Z433" s="65">
        <v>0</v>
      </c>
      <c r="AA433" s="51">
        <v>1</v>
      </c>
      <c r="AB433" s="102">
        <v>0</v>
      </c>
      <c r="AC433" s="81">
        <f t="shared" si="21"/>
        <v>125.69380934444042</v>
      </c>
      <c r="AD433" s="82">
        <f t="shared" si="22"/>
        <v>78.885714285714286</v>
      </c>
      <c r="AE433" s="218">
        <v>4.712815700493748E-5</v>
      </c>
      <c r="AF433">
        <v>3</v>
      </c>
      <c r="AH433" t="str">
        <f t="shared" si="20"/>
        <v>Sahibpur Kamal</v>
      </c>
      <c r="AJ433" s="72">
        <v>0</v>
      </c>
      <c r="AK433" s="72"/>
      <c r="AL433" s="72"/>
      <c r="AM433" s="72"/>
    </row>
    <row r="434" spans="1:39" x14ac:dyDescent="0.25">
      <c r="A434" s="37" t="s">
        <v>62</v>
      </c>
      <c r="B434" s="66" t="s">
        <v>1566</v>
      </c>
      <c r="C434" s="47">
        <v>1011</v>
      </c>
      <c r="D434" s="47" t="s">
        <v>289</v>
      </c>
      <c r="E434" s="41">
        <v>10110178</v>
      </c>
      <c r="F434" s="46" t="s">
        <v>1306</v>
      </c>
      <c r="G434" s="39" t="s">
        <v>635</v>
      </c>
      <c r="H434" s="48" t="s">
        <v>99</v>
      </c>
      <c r="I434" s="52">
        <v>6710.8</v>
      </c>
      <c r="J434" s="49">
        <v>250303.82000000004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50">
        <v>250303.82000000004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0</v>
      </c>
      <c r="Y434" s="65">
        <v>0</v>
      </c>
      <c r="Z434" s="65">
        <v>250303.82000000004</v>
      </c>
      <c r="AA434" s="51">
        <v>0</v>
      </c>
      <c r="AB434" s="102">
        <v>0</v>
      </c>
      <c r="AC434" s="81">
        <f t="shared" si="21"/>
        <v>0</v>
      </c>
      <c r="AD434" s="82">
        <f t="shared" si="22"/>
        <v>0</v>
      </c>
      <c r="AE434" s="218">
        <v>0</v>
      </c>
      <c r="AF434">
        <v>0</v>
      </c>
      <c r="AH434" t="str">
        <f t="shared" si="20"/>
        <v>Sahibpur Kamal</v>
      </c>
      <c r="AJ434" s="72">
        <v>0</v>
      </c>
      <c r="AK434" s="72"/>
      <c r="AL434" s="72"/>
      <c r="AM434" s="72"/>
    </row>
    <row r="435" spans="1:39" x14ac:dyDescent="0.25">
      <c r="A435" s="37" t="s">
        <v>62</v>
      </c>
      <c r="B435" s="66" t="s">
        <v>1566</v>
      </c>
      <c r="C435" s="47">
        <v>1011</v>
      </c>
      <c r="D435" s="47" t="s">
        <v>289</v>
      </c>
      <c r="E435" s="41">
        <v>10110181</v>
      </c>
      <c r="F435" s="46" t="s">
        <v>1402</v>
      </c>
      <c r="G435" s="39" t="s">
        <v>93</v>
      </c>
      <c r="H435" s="48" t="s">
        <v>94</v>
      </c>
      <c r="I435" s="52">
        <v>68.5</v>
      </c>
      <c r="J435" s="49">
        <v>2494.34</v>
      </c>
      <c r="K435" s="65">
        <v>67.7</v>
      </c>
      <c r="L435" s="65">
        <v>2452.8619567980004</v>
      </c>
      <c r="M435" s="65">
        <v>0</v>
      </c>
      <c r="N435" s="65">
        <v>0</v>
      </c>
      <c r="O435" s="65">
        <v>67.7</v>
      </c>
      <c r="P435" s="65">
        <v>2452.8619567980004</v>
      </c>
      <c r="Q435" s="50">
        <v>2452.8619567980004</v>
      </c>
      <c r="R435" s="65">
        <v>0</v>
      </c>
      <c r="S435" s="65">
        <v>0</v>
      </c>
      <c r="T435" s="65">
        <v>0</v>
      </c>
      <c r="U435" s="65">
        <v>0</v>
      </c>
      <c r="V435" s="65">
        <v>0</v>
      </c>
      <c r="W435" s="65">
        <v>0</v>
      </c>
      <c r="X435" s="65">
        <v>2453</v>
      </c>
      <c r="Y435" s="65">
        <v>0</v>
      </c>
      <c r="Z435" s="65">
        <v>0</v>
      </c>
      <c r="AA435" s="51">
        <v>41</v>
      </c>
      <c r="AB435" s="102">
        <v>0</v>
      </c>
      <c r="AC435" s="81">
        <f t="shared" si="21"/>
        <v>459.90531678832122</v>
      </c>
      <c r="AD435" s="82">
        <f t="shared" si="22"/>
        <v>9.7857142857142865</v>
      </c>
      <c r="AE435" s="218">
        <v>1.6628865031230608E-2</v>
      </c>
      <c r="AF435">
        <v>1</v>
      </c>
      <c r="AH435" t="str">
        <f t="shared" si="20"/>
        <v>Sahibpur Kamal</v>
      </c>
      <c r="AJ435" s="72">
        <v>0</v>
      </c>
      <c r="AK435" s="72"/>
      <c r="AL435" s="72"/>
      <c r="AM435" s="72"/>
    </row>
    <row r="436" spans="1:39" x14ac:dyDescent="0.25">
      <c r="A436" s="37" t="s">
        <v>62</v>
      </c>
      <c r="B436" s="66" t="s">
        <v>1566</v>
      </c>
      <c r="C436" s="47">
        <v>1011</v>
      </c>
      <c r="D436" s="47" t="s">
        <v>289</v>
      </c>
      <c r="E436" s="41">
        <v>10110183</v>
      </c>
      <c r="F436" s="46" t="s">
        <v>1403</v>
      </c>
      <c r="G436" s="39" t="s">
        <v>635</v>
      </c>
      <c r="H436" s="48" t="s">
        <v>99</v>
      </c>
      <c r="I436" s="52">
        <v>1457.5000000000002</v>
      </c>
      <c r="J436" s="49">
        <v>59508.170000000006</v>
      </c>
      <c r="K436" s="65">
        <v>0</v>
      </c>
      <c r="L436" s="65">
        <v>0</v>
      </c>
      <c r="M436" s="65">
        <v>0</v>
      </c>
      <c r="N436" s="65">
        <v>0</v>
      </c>
      <c r="O436" s="65">
        <v>0</v>
      </c>
      <c r="P436" s="65">
        <v>0</v>
      </c>
      <c r="Q436" s="50">
        <v>59508.170000000006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0</v>
      </c>
      <c r="Y436" s="65">
        <v>0</v>
      </c>
      <c r="Z436" s="65">
        <v>59508.170000000006</v>
      </c>
      <c r="AA436" s="51">
        <v>0</v>
      </c>
      <c r="AB436" s="102">
        <v>0</v>
      </c>
      <c r="AC436" s="81">
        <f t="shared" si="21"/>
        <v>0</v>
      </c>
      <c r="AD436" s="82">
        <f t="shared" si="22"/>
        <v>0</v>
      </c>
      <c r="AE436" s="218">
        <v>0</v>
      </c>
      <c r="AF436">
        <v>0</v>
      </c>
      <c r="AH436" t="str">
        <f t="shared" si="20"/>
        <v>Sahibpur Kamal</v>
      </c>
      <c r="AJ436" s="72">
        <v>0</v>
      </c>
      <c r="AK436" s="72"/>
      <c r="AL436" s="72"/>
      <c r="AM436" s="72"/>
    </row>
    <row r="437" spans="1:39" x14ac:dyDescent="0.25">
      <c r="A437" s="37" t="s">
        <v>62</v>
      </c>
      <c r="B437" s="66" t="s">
        <v>1566</v>
      </c>
      <c r="C437" s="47">
        <v>1011</v>
      </c>
      <c r="D437" s="47" t="s">
        <v>289</v>
      </c>
      <c r="E437" s="41">
        <v>10110184</v>
      </c>
      <c r="F437" s="46" t="s">
        <v>1404</v>
      </c>
      <c r="G437" s="39" t="s">
        <v>635</v>
      </c>
      <c r="H437" s="48" t="s">
        <v>99</v>
      </c>
      <c r="I437" s="52">
        <v>470.40000000000003</v>
      </c>
      <c r="J437" s="49">
        <v>18822.849999999999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50">
        <v>18822.849999999999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0</v>
      </c>
      <c r="Y437" s="65">
        <v>0</v>
      </c>
      <c r="Z437" s="65">
        <v>18822.849999999999</v>
      </c>
      <c r="AA437" s="51">
        <v>0</v>
      </c>
      <c r="AB437" s="102">
        <v>0</v>
      </c>
      <c r="AC437" s="81">
        <f t="shared" si="21"/>
        <v>183.74686904761901</v>
      </c>
      <c r="AD437" s="82">
        <f t="shared" si="22"/>
        <v>67.2</v>
      </c>
      <c r="AE437" s="218">
        <v>0</v>
      </c>
      <c r="AF437">
        <v>0</v>
      </c>
      <c r="AH437" t="str">
        <f t="shared" si="20"/>
        <v>Sahibpur Kamal</v>
      </c>
      <c r="AJ437" s="72">
        <v>0</v>
      </c>
      <c r="AK437" s="72"/>
      <c r="AL437" s="72"/>
      <c r="AM437" s="72"/>
    </row>
    <row r="438" spans="1:39" x14ac:dyDescent="0.25">
      <c r="A438" s="37" t="s">
        <v>62</v>
      </c>
      <c r="B438" s="66" t="s">
        <v>1566</v>
      </c>
      <c r="C438" s="47">
        <v>1011</v>
      </c>
      <c r="D438" s="47" t="s">
        <v>289</v>
      </c>
      <c r="E438" s="109">
        <v>10110185</v>
      </c>
      <c r="F438" s="46" t="s">
        <v>1423</v>
      </c>
      <c r="G438" s="110" t="s">
        <v>635</v>
      </c>
      <c r="H438" s="48" t="s">
        <v>99</v>
      </c>
      <c r="I438" s="111">
        <v>271.20000000000005</v>
      </c>
      <c r="J438" s="49">
        <v>10112.469999999999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50">
        <v>10112.469999999999</v>
      </c>
      <c r="R438" s="65">
        <v>0</v>
      </c>
      <c r="S438" s="65">
        <v>0</v>
      </c>
      <c r="T438" s="65">
        <v>0</v>
      </c>
      <c r="U438" s="65">
        <v>0</v>
      </c>
      <c r="V438" s="65">
        <v>0</v>
      </c>
      <c r="W438" s="65">
        <v>0</v>
      </c>
      <c r="X438" s="65">
        <v>0</v>
      </c>
      <c r="Y438" s="65">
        <v>0</v>
      </c>
      <c r="Z438" s="65">
        <v>10112.469999999999</v>
      </c>
      <c r="AA438" s="51">
        <v>0</v>
      </c>
      <c r="AB438" s="102">
        <v>0</v>
      </c>
      <c r="AC438" s="81">
        <f t="shared" si="21"/>
        <v>319.78076224188777</v>
      </c>
      <c r="AD438" s="82">
        <f t="shared" si="22"/>
        <v>38.742857142857147</v>
      </c>
      <c r="AE438" s="218">
        <v>0</v>
      </c>
      <c r="AF438">
        <v>0</v>
      </c>
      <c r="AH438" t="str">
        <f t="shared" si="20"/>
        <v>Sahibpur Kamal</v>
      </c>
      <c r="AJ438" s="72">
        <v>0</v>
      </c>
      <c r="AK438" s="72"/>
      <c r="AL438" s="72"/>
      <c r="AM438" s="72"/>
    </row>
    <row r="439" spans="1:39" x14ac:dyDescent="0.25">
      <c r="A439" s="37" t="s">
        <v>62</v>
      </c>
      <c r="B439" s="66" t="s">
        <v>1566</v>
      </c>
      <c r="C439" s="47">
        <v>1011</v>
      </c>
      <c r="D439" s="47" t="s">
        <v>289</v>
      </c>
      <c r="E439" s="41">
        <v>10110186</v>
      </c>
      <c r="F439" s="46" t="s">
        <v>1496</v>
      </c>
      <c r="G439" s="39" t="s">
        <v>93</v>
      </c>
      <c r="H439" s="48" t="s">
        <v>94</v>
      </c>
      <c r="I439" s="52">
        <v>156.80000000000001</v>
      </c>
      <c r="J439" s="49">
        <v>5931.93</v>
      </c>
      <c r="K439" s="65">
        <v>156</v>
      </c>
      <c r="L439" s="65">
        <v>5868.8867952000001</v>
      </c>
      <c r="M439" s="65">
        <v>0</v>
      </c>
      <c r="N439" s="65">
        <v>0</v>
      </c>
      <c r="O439" s="65">
        <v>156</v>
      </c>
      <c r="P439" s="65">
        <v>5868.8867952000001</v>
      </c>
      <c r="Q439" s="50">
        <v>5868.8867952000001</v>
      </c>
      <c r="R439" s="65">
        <v>0</v>
      </c>
      <c r="S439" s="65">
        <v>0</v>
      </c>
      <c r="T439" s="65">
        <v>0</v>
      </c>
      <c r="U439" s="65">
        <v>0</v>
      </c>
      <c r="V439" s="65">
        <v>0</v>
      </c>
      <c r="W439" s="65">
        <v>0</v>
      </c>
      <c r="X439" s="65">
        <v>5869</v>
      </c>
      <c r="Y439" s="65">
        <v>0</v>
      </c>
      <c r="Z439" s="65">
        <v>0</v>
      </c>
      <c r="AA439" s="51">
        <v>63</v>
      </c>
      <c r="AB439" s="102">
        <v>0</v>
      </c>
      <c r="AC439" s="81">
        <f t="shared" si="21"/>
        <v>410.99800714285709</v>
      </c>
      <c r="AD439" s="82">
        <f t="shared" si="22"/>
        <v>22.400000000000002</v>
      </c>
      <c r="AE439" s="218">
        <v>1.0627772883361778E-2</v>
      </c>
      <c r="AF439">
        <v>1</v>
      </c>
      <c r="AH439" t="str">
        <f t="shared" si="20"/>
        <v>Sahibpur Kamal</v>
      </c>
      <c r="AJ439" s="72">
        <v>0</v>
      </c>
      <c r="AK439" s="72"/>
      <c r="AL439" s="72"/>
      <c r="AM439" s="72"/>
    </row>
    <row r="440" spans="1:39" x14ac:dyDescent="0.25">
      <c r="A440" s="37" t="s">
        <v>62</v>
      </c>
      <c r="B440" s="66" t="s">
        <v>1566</v>
      </c>
      <c r="C440" s="47">
        <v>1012</v>
      </c>
      <c r="D440" s="47" t="s">
        <v>314</v>
      </c>
      <c r="E440" s="47">
        <v>10120001</v>
      </c>
      <c r="F440" s="46" t="s">
        <v>315</v>
      </c>
      <c r="G440" s="48" t="s">
        <v>635</v>
      </c>
      <c r="H440" s="48" t="s">
        <v>99</v>
      </c>
      <c r="I440" s="49">
        <v>99.98</v>
      </c>
      <c r="J440" s="49">
        <v>4700.41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50">
        <v>4700.41</v>
      </c>
      <c r="R440" s="65">
        <v>0</v>
      </c>
      <c r="S440" s="65">
        <v>0</v>
      </c>
      <c r="T440" s="65">
        <v>0</v>
      </c>
      <c r="U440" s="65">
        <v>4700</v>
      </c>
      <c r="V440" s="65">
        <v>0</v>
      </c>
      <c r="W440" s="65">
        <v>0</v>
      </c>
      <c r="X440" s="65">
        <v>0</v>
      </c>
      <c r="Y440" s="65">
        <v>0</v>
      </c>
      <c r="Z440" s="65">
        <v>0.40999999999985448</v>
      </c>
      <c r="AA440" s="51">
        <v>0</v>
      </c>
      <c r="AB440" s="102">
        <v>0</v>
      </c>
      <c r="AC440" s="81">
        <f t="shared" si="21"/>
        <v>564.18083780756137</v>
      </c>
      <c r="AD440" s="82">
        <f t="shared" si="22"/>
        <v>14.282857142857143</v>
      </c>
      <c r="AE440" s="218">
        <v>0</v>
      </c>
      <c r="AF440">
        <v>0</v>
      </c>
      <c r="AH440" t="str">
        <f t="shared" si="20"/>
        <v>DalsinghSarai</v>
      </c>
      <c r="AJ440" s="72">
        <v>0</v>
      </c>
      <c r="AK440" s="72"/>
      <c r="AL440" s="72"/>
      <c r="AM440" s="72"/>
    </row>
    <row r="441" spans="1:39" x14ac:dyDescent="0.25">
      <c r="A441" s="37" t="s">
        <v>62</v>
      </c>
      <c r="B441" s="66" t="s">
        <v>1566</v>
      </c>
      <c r="C441" s="47">
        <v>1012</v>
      </c>
      <c r="D441" s="47" t="s">
        <v>314</v>
      </c>
      <c r="E441" s="43">
        <v>10120002</v>
      </c>
      <c r="F441" s="46" t="s">
        <v>316</v>
      </c>
      <c r="G441" s="39" t="s">
        <v>635</v>
      </c>
      <c r="H441" s="48" t="s">
        <v>99</v>
      </c>
      <c r="I441" s="52">
        <v>426.2</v>
      </c>
      <c r="J441" s="49">
        <v>16831.650000000001</v>
      </c>
      <c r="K441" s="65">
        <v>0</v>
      </c>
      <c r="L441" s="65">
        <v>0</v>
      </c>
      <c r="M441" s="65">
        <v>0</v>
      </c>
      <c r="N441" s="65">
        <v>0</v>
      </c>
      <c r="O441" s="65">
        <v>0</v>
      </c>
      <c r="P441" s="65">
        <v>0</v>
      </c>
      <c r="Q441" s="50">
        <v>16831.650000000001</v>
      </c>
      <c r="R441" s="65">
        <v>0</v>
      </c>
      <c r="S441" s="65">
        <v>0</v>
      </c>
      <c r="T441" s="65">
        <v>0</v>
      </c>
      <c r="U441" s="65">
        <v>0</v>
      </c>
      <c r="V441" s="65">
        <v>0</v>
      </c>
      <c r="W441" s="65">
        <v>0</v>
      </c>
      <c r="X441" s="65">
        <v>0</v>
      </c>
      <c r="Y441" s="65">
        <v>0</v>
      </c>
      <c r="Z441" s="65">
        <v>16831.650000000001</v>
      </c>
      <c r="AA441" s="51">
        <v>0</v>
      </c>
      <c r="AB441" s="102">
        <v>0</v>
      </c>
      <c r="AC441" s="81">
        <f t="shared" si="21"/>
        <v>216.26024260910378</v>
      </c>
      <c r="AD441" s="82">
        <f t="shared" si="22"/>
        <v>60.885714285714286</v>
      </c>
      <c r="AE441" s="218">
        <v>0</v>
      </c>
      <c r="AF441">
        <v>0</v>
      </c>
      <c r="AH441" t="str">
        <f t="shared" si="20"/>
        <v>DalsinghSarai</v>
      </c>
      <c r="AJ441" s="72">
        <v>0</v>
      </c>
      <c r="AK441" s="72"/>
      <c r="AL441" s="72"/>
      <c r="AM441" s="72"/>
    </row>
    <row r="442" spans="1:39" x14ac:dyDescent="0.25">
      <c r="A442" s="37" t="s">
        <v>62</v>
      </c>
      <c r="B442" s="66" t="s">
        <v>1566</v>
      </c>
      <c r="C442" s="47">
        <v>1012</v>
      </c>
      <c r="D442" s="47" t="s">
        <v>314</v>
      </c>
      <c r="E442" s="112">
        <v>10120005</v>
      </c>
      <c r="F442" s="46" t="s">
        <v>317</v>
      </c>
      <c r="G442" s="110" t="s">
        <v>93</v>
      </c>
      <c r="H442" s="48" t="s">
        <v>94</v>
      </c>
      <c r="I442" s="111">
        <v>371.53000000000009</v>
      </c>
      <c r="J442" s="49">
        <v>14268.619999999999</v>
      </c>
      <c r="K442" s="65">
        <v>396.65</v>
      </c>
      <c r="L442" s="65">
        <v>15095.917527759901</v>
      </c>
      <c r="M442" s="65">
        <v>0</v>
      </c>
      <c r="N442" s="65">
        <v>0</v>
      </c>
      <c r="O442" s="65">
        <v>396.65</v>
      </c>
      <c r="P442" s="65">
        <v>15095.917527759901</v>
      </c>
      <c r="Q442" s="50">
        <v>14268.619999999999</v>
      </c>
      <c r="R442" s="65">
        <v>0</v>
      </c>
      <c r="S442" s="65">
        <v>0</v>
      </c>
      <c r="T442" s="65">
        <v>827.29752775990164</v>
      </c>
      <c r="U442" s="65">
        <v>0</v>
      </c>
      <c r="V442" s="65">
        <v>0</v>
      </c>
      <c r="W442" s="65">
        <v>0</v>
      </c>
      <c r="X442" s="65">
        <v>14269</v>
      </c>
      <c r="Y442" s="65">
        <v>0</v>
      </c>
      <c r="Z442" s="65">
        <v>0</v>
      </c>
      <c r="AA442" s="51">
        <v>0</v>
      </c>
      <c r="AB442" s="102" t="s">
        <v>68</v>
      </c>
      <c r="AC442" s="81">
        <f t="shared" si="21"/>
        <v>252.29799000888204</v>
      </c>
      <c r="AD442" s="82">
        <f t="shared" si="22"/>
        <v>53.075714285714298</v>
      </c>
      <c r="AE442" s="218">
        <v>-5.7980206057761836E-2</v>
      </c>
      <c r="AF442">
        <v>4</v>
      </c>
      <c r="AH442" t="str">
        <f t="shared" si="20"/>
        <v>DalsinghSarai</v>
      </c>
      <c r="AJ442" s="72">
        <v>0</v>
      </c>
      <c r="AK442" s="72"/>
      <c r="AL442" s="72"/>
      <c r="AM442" s="72"/>
    </row>
    <row r="443" spans="1:39" x14ac:dyDescent="0.25">
      <c r="A443" s="37" t="s">
        <v>62</v>
      </c>
      <c r="B443" s="66" t="s">
        <v>1566</v>
      </c>
      <c r="C443" s="47">
        <v>1012</v>
      </c>
      <c r="D443" s="47" t="s">
        <v>314</v>
      </c>
      <c r="E443" s="43">
        <v>10120006</v>
      </c>
      <c r="F443" s="46" t="s">
        <v>318</v>
      </c>
      <c r="G443" s="39" t="s">
        <v>93</v>
      </c>
      <c r="H443" s="48" t="s">
        <v>94</v>
      </c>
      <c r="I443" s="52">
        <v>362.77</v>
      </c>
      <c r="J443" s="49">
        <v>13578.39</v>
      </c>
      <c r="K443" s="65">
        <v>260.46999999999991</v>
      </c>
      <c r="L443" s="65">
        <v>9785.1984842003294</v>
      </c>
      <c r="M443" s="65">
        <v>106.89999999999999</v>
      </c>
      <c r="N443" s="65">
        <v>3938.3249086976502</v>
      </c>
      <c r="O443" s="65">
        <v>367.36999999999989</v>
      </c>
      <c r="P443" s="65">
        <v>13723.52339289798</v>
      </c>
      <c r="Q443" s="50">
        <v>13578.39</v>
      </c>
      <c r="R443" s="65">
        <v>0</v>
      </c>
      <c r="S443" s="65">
        <v>167.02943756400003</v>
      </c>
      <c r="T443" s="65">
        <v>145.13339289798023</v>
      </c>
      <c r="U443" s="65">
        <v>0</v>
      </c>
      <c r="V443" s="65">
        <v>0</v>
      </c>
      <c r="W443" s="65">
        <v>0</v>
      </c>
      <c r="X443" s="65">
        <v>9641</v>
      </c>
      <c r="Y443" s="65">
        <v>3770</v>
      </c>
      <c r="Z443" s="65">
        <v>0</v>
      </c>
      <c r="AA443" s="51">
        <v>0</v>
      </c>
      <c r="AB443" s="102">
        <v>0</v>
      </c>
      <c r="AC443" s="81">
        <f t="shared" si="21"/>
        <v>252.44868427378231</v>
      </c>
      <c r="AD443" s="82">
        <f t="shared" si="22"/>
        <v>51.824285714285715</v>
      </c>
      <c r="AE443" s="218">
        <v>-1.0688556809605574E-2</v>
      </c>
      <c r="AF443">
        <v>14</v>
      </c>
      <c r="AH443" t="str">
        <f t="shared" si="20"/>
        <v>DalsinghSarai</v>
      </c>
      <c r="AJ443" s="72">
        <v>0</v>
      </c>
      <c r="AK443" s="72"/>
      <c r="AL443" s="72"/>
      <c r="AM443" s="72"/>
    </row>
    <row r="444" spans="1:39" x14ac:dyDescent="0.25">
      <c r="A444" s="37" t="s">
        <v>62</v>
      </c>
      <c r="B444" s="66" t="s">
        <v>1566</v>
      </c>
      <c r="C444" s="47">
        <v>1012</v>
      </c>
      <c r="D444" s="47" t="s">
        <v>314</v>
      </c>
      <c r="E444" s="113">
        <v>10120007</v>
      </c>
      <c r="F444" s="46" t="s">
        <v>319</v>
      </c>
      <c r="G444" s="48" t="s">
        <v>93</v>
      </c>
      <c r="H444" s="48" t="s">
        <v>94</v>
      </c>
      <c r="I444" s="49">
        <v>1321.95</v>
      </c>
      <c r="J444" s="49">
        <v>52849.599999999999</v>
      </c>
      <c r="K444" s="65">
        <v>1333.4400000000003</v>
      </c>
      <c r="L444" s="65">
        <v>52527.418127153811</v>
      </c>
      <c r="M444" s="65">
        <v>16.100000000000001</v>
      </c>
      <c r="N444" s="65">
        <v>635.43278304000023</v>
      </c>
      <c r="O444" s="65">
        <v>1349.5400000000002</v>
      </c>
      <c r="P444" s="65">
        <v>53162.850910193811</v>
      </c>
      <c r="Q444" s="50">
        <v>52849.599999999999</v>
      </c>
      <c r="R444" s="65">
        <v>0</v>
      </c>
      <c r="S444" s="65">
        <v>635.43278304000023</v>
      </c>
      <c r="T444" s="65">
        <v>313.25091019381216</v>
      </c>
      <c r="U444" s="65">
        <v>9182</v>
      </c>
      <c r="V444" s="65">
        <v>0</v>
      </c>
      <c r="W444" s="65">
        <v>0</v>
      </c>
      <c r="X444" s="65">
        <v>43032</v>
      </c>
      <c r="Y444" s="65">
        <v>0</v>
      </c>
      <c r="Z444" s="65">
        <v>0</v>
      </c>
      <c r="AA444" s="51">
        <v>0</v>
      </c>
      <c r="AB444" s="102">
        <v>0</v>
      </c>
      <c r="AC444" s="81">
        <f t="shared" si="21"/>
        <v>0</v>
      </c>
      <c r="AD444" s="82">
        <f t="shared" si="22"/>
        <v>0</v>
      </c>
      <c r="AE444" s="218">
        <v>-5.9272144007487693E-3</v>
      </c>
      <c r="AF444">
        <v>38</v>
      </c>
      <c r="AH444" t="str">
        <f t="shared" si="20"/>
        <v>DalsinghSarai</v>
      </c>
      <c r="AJ444" s="72">
        <v>0</v>
      </c>
      <c r="AK444" s="72"/>
      <c r="AL444" s="72"/>
      <c r="AM444" s="72"/>
    </row>
    <row r="445" spans="1:39" x14ac:dyDescent="0.25">
      <c r="A445" s="37" t="s">
        <v>62</v>
      </c>
      <c r="B445" s="66" t="s">
        <v>1566</v>
      </c>
      <c r="C445" s="47">
        <v>1012</v>
      </c>
      <c r="D445" s="47" t="s">
        <v>314</v>
      </c>
      <c r="E445" s="41">
        <v>10120008</v>
      </c>
      <c r="F445" s="46" t="s">
        <v>320</v>
      </c>
      <c r="G445" s="39" t="s">
        <v>635</v>
      </c>
      <c r="H445" s="48" t="s">
        <v>99</v>
      </c>
      <c r="I445" s="52">
        <v>68.940000000000012</v>
      </c>
      <c r="J445" s="49">
        <v>2411.8200000000002</v>
      </c>
      <c r="K445" s="65">
        <v>0</v>
      </c>
      <c r="L445" s="65">
        <v>0</v>
      </c>
      <c r="M445" s="65">
        <v>0</v>
      </c>
      <c r="N445" s="65">
        <v>0</v>
      </c>
      <c r="O445" s="65">
        <v>0</v>
      </c>
      <c r="P445" s="65">
        <v>0</v>
      </c>
      <c r="Q445" s="50">
        <v>2411.8200000000002</v>
      </c>
      <c r="R445" s="65">
        <v>0</v>
      </c>
      <c r="S445" s="65">
        <v>0</v>
      </c>
      <c r="T445" s="65">
        <v>0</v>
      </c>
      <c r="U445" s="65">
        <v>1350</v>
      </c>
      <c r="V445" s="65">
        <v>0</v>
      </c>
      <c r="W445" s="65">
        <v>0</v>
      </c>
      <c r="X445" s="65">
        <v>0</v>
      </c>
      <c r="Y445" s="65">
        <v>0</v>
      </c>
      <c r="Z445" s="65">
        <v>1061.8200000000002</v>
      </c>
      <c r="AA445" s="51">
        <v>0</v>
      </c>
      <c r="AB445" s="102">
        <v>0</v>
      </c>
      <c r="AC445" s="81">
        <f t="shared" si="21"/>
        <v>441.54427885117491</v>
      </c>
      <c r="AD445" s="82">
        <f t="shared" si="22"/>
        <v>9.8485714285714305</v>
      </c>
      <c r="AE445" s="218">
        <v>0</v>
      </c>
      <c r="AF445">
        <v>0</v>
      </c>
      <c r="AH445" t="str">
        <f t="shared" si="20"/>
        <v>DalsinghSarai</v>
      </c>
      <c r="AJ445" s="72">
        <v>0</v>
      </c>
      <c r="AK445" s="72"/>
      <c r="AL445" s="72"/>
      <c r="AM445" s="72"/>
    </row>
    <row r="446" spans="1:39" x14ac:dyDescent="0.25">
      <c r="A446" s="37" t="s">
        <v>62</v>
      </c>
      <c r="B446" s="66" t="s">
        <v>1566</v>
      </c>
      <c r="C446" s="47">
        <v>1012</v>
      </c>
      <c r="D446" s="47" t="s">
        <v>314</v>
      </c>
      <c r="E446" s="41">
        <v>10120010</v>
      </c>
      <c r="F446" s="46" t="s">
        <v>321</v>
      </c>
      <c r="G446" s="39" t="s">
        <v>635</v>
      </c>
      <c r="H446" s="48" t="s">
        <v>99</v>
      </c>
      <c r="I446" s="52">
        <v>1822.2199999999996</v>
      </c>
      <c r="J446" s="49">
        <v>77055.39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50">
        <v>77055.39</v>
      </c>
      <c r="R446" s="65">
        <v>0</v>
      </c>
      <c r="S446" s="65">
        <v>0</v>
      </c>
      <c r="T446" s="65">
        <v>0</v>
      </c>
      <c r="U446" s="65">
        <v>4050</v>
      </c>
      <c r="V446" s="65">
        <v>0</v>
      </c>
      <c r="W446" s="65">
        <v>0</v>
      </c>
      <c r="X446" s="65">
        <v>0</v>
      </c>
      <c r="Y446" s="65">
        <v>0</v>
      </c>
      <c r="Z446" s="65">
        <v>73005.39</v>
      </c>
      <c r="AA446" s="51">
        <v>0</v>
      </c>
      <c r="AB446" s="102">
        <v>0</v>
      </c>
      <c r="AC446" s="81">
        <f t="shared" si="21"/>
        <v>0</v>
      </c>
      <c r="AD446" s="82">
        <f t="shared" si="22"/>
        <v>0</v>
      </c>
      <c r="AE446" s="218">
        <v>0</v>
      </c>
      <c r="AF446">
        <v>0</v>
      </c>
      <c r="AH446" t="str">
        <f t="shared" si="20"/>
        <v>DalsinghSarai</v>
      </c>
      <c r="AJ446" s="72">
        <v>0</v>
      </c>
      <c r="AK446" s="72"/>
      <c r="AL446" s="72"/>
      <c r="AM446" s="72"/>
    </row>
    <row r="447" spans="1:39" x14ac:dyDescent="0.25">
      <c r="A447" s="37" t="s">
        <v>62</v>
      </c>
      <c r="B447" s="66" t="s">
        <v>1566</v>
      </c>
      <c r="C447" s="47">
        <v>1012</v>
      </c>
      <c r="D447" s="47" t="s">
        <v>314</v>
      </c>
      <c r="E447" s="41">
        <v>10120011</v>
      </c>
      <c r="F447" s="46" t="s">
        <v>625</v>
      </c>
      <c r="G447" s="39" t="s">
        <v>635</v>
      </c>
      <c r="H447" s="48" t="s">
        <v>99</v>
      </c>
      <c r="I447" s="52">
        <v>88.03</v>
      </c>
      <c r="J447" s="49">
        <v>3336.2200000000003</v>
      </c>
      <c r="K447" s="65">
        <v>0</v>
      </c>
      <c r="L447" s="65">
        <v>0</v>
      </c>
      <c r="M447" s="65">
        <v>0</v>
      </c>
      <c r="N447" s="65">
        <v>0</v>
      </c>
      <c r="O447" s="65">
        <v>0</v>
      </c>
      <c r="P447" s="65">
        <v>0</v>
      </c>
      <c r="Q447" s="50">
        <v>3336.2200000000003</v>
      </c>
      <c r="R447" s="65">
        <v>0</v>
      </c>
      <c r="S447" s="65">
        <v>0</v>
      </c>
      <c r="T447" s="65">
        <v>0</v>
      </c>
      <c r="U447" s="65">
        <v>0</v>
      </c>
      <c r="V447" s="65">
        <v>567.87740903225813</v>
      </c>
      <c r="W447" s="65">
        <v>0</v>
      </c>
      <c r="X447" s="65">
        <v>0</v>
      </c>
      <c r="Y447" s="65">
        <v>0</v>
      </c>
      <c r="Z447" s="65">
        <v>2768.3425909677421</v>
      </c>
      <c r="AA447" s="51">
        <v>0</v>
      </c>
      <c r="AB447" s="102">
        <v>0</v>
      </c>
      <c r="AC447" s="81">
        <f t="shared" si="21"/>
        <v>463.85699270703174</v>
      </c>
      <c r="AD447" s="82">
        <f t="shared" si="22"/>
        <v>12.575714285714286</v>
      </c>
      <c r="AE447" s="218">
        <v>0</v>
      </c>
      <c r="AF447">
        <v>0</v>
      </c>
      <c r="AH447" t="str">
        <f t="shared" si="20"/>
        <v>DalsinghSarai</v>
      </c>
      <c r="AJ447" s="72">
        <v>0</v>
      </c>
      <c r="AK447" s="72"/>
      <c r="AL447" s="72"/>
      <c r="AM447" s="72"/>
    </row>
    <row r="448" spans="1:39" x14ac:dyDescent="0.25">
      <c r="A448" s="37" t="s">
        <v>62</v>
      </c>
      <c r="B448" s="66" t="s">
        <v>1566</v>
      </c>
      <c r="C448" s="47">
        <v>1012</v>
      </c>
      <c r="D448" s="47" t="s">
        <v>314</v>
      </c>
      <c r="E448" s="41">
        <v>10120012</v>
      </c>
      <c r="F448" s="46" t="s">
        <v>322</v>
      </c>
      <c r="G448" s="39" t="s">
        <v>93</v>
      </c>
      <c r="H448" s="48" t="s">
        <v>94</v>
      </c>
      <c r="I448" s="52">
        <v>773.69999999999993</v>
      </c>
      <c r="J448" s="49">
        <v>35379.749999999993</v>
      </c>
      <c r="K448" s="65">
        <v>783.1</v>
      </c>
      <c r="L448" s="65">
        <v>34790.019330330782</v>
      </c>
      <c r="M448" s="65">
        <v>14.5</v>
      </c>
      <c r="N448" s="65">
        <v>624.15191520000008</v>
      </c>
      <c r="O448" s="65">
        <v>797.6</v>
      </c>
      <c r="P448" s="65">
        <v>35414.171245530786</v>
      </c>
      <c r="Q448" s="50">
        <v>35379.749999999993</v>
      </c>
      <c r="R448" s="65">
        <v>0</v>
      </c>
      <c r="S448" s="65">
        <v>624.15191520000008</v>
      </c>
      <c r="T448" s="65">
        <v>34.421245530793385</v>
      </c>
      <c r="U448" s="65">
        <v>1360</v>
      </c>
      <c r="V448" s="65">
        <v>0</v>
      </c>
      <c r="W448" s="65">
        <v>0</v>
      </c>
      <c r="X448" s="65">
        <v>33396</v>
      </c>
      <c r="Y448" s="65">
        <v>0</v>
      </c>
      <c r="Z448" s="65">
        <v>0</v>
      </c>
      <c r="AA448" s="51">
        <v>0</v>
      </c>
      <c r="AB448" s="102">
        <v>0</v>
      </c>
      <c r="AC448" s="81">
        <f t="shared" si="21"/>
        <v>0</v>
      </c>
      <c r="AD448" s="82">
        <f t="shared" si="22"/>
        <v>0</v>
      </c>
      <c r="AE448" s="218">
        <v>-9.7290810508252295E-4</v>
      </c>
      <c r="AF448">
        <v>21</v>
      </c>
      <c r="AH448" t="str">
        <f t="shared" si="20"/>
        <v>DalsinghSarai</v>
      </c>
      <c r="AJ448" s="72">
        <v>0</v>
      </c>
      <c r="AK448" s="72"/>
      <c r="AL448" s="72"/>
      <c r="AM448" s="72"/>
    </row>
    <row r="449" spans="1:39" x14ac:dyDescent="0.25">
      <c r="A449" s="37" t="s">
        <v>62</v>
      </c>
      <c r="B449" s="66" t="s">
        <v>1566</v>
      </c>
      <c r="C449" s="47">
        <v>1012</v>
      </c>
      <c r="D449" s="47" t="s">
        <v>314</v>
      </c>
      <c r="E449" s="41">
        <v>10120013</v>
      </c>
      <c r="F449" s="46" t="s">
        <v>323</v>
      </c>
      <c r="G449" s="39" t="s">
        <v>635</v>
      </c>
      <c r="H449" s="48" t="s">
        <v>99</v>
      </c>
      <c r="I449" s="52">
        <v>367.8</v>
      </c>
      <c r="J449" s="49">
        <v>12717.42</v>
      </c>
      <c r="K449" s="65">
        <v>0</v>
      </c>
      <c r="L449" s="65">
        <v>0</v>
      </c>
      <c r="M449" s="65">
        <v>0</v>
      </c>
      <c r="N449" s="65">
        <v>0</v>
      </c>
      <c r="O449" s="65">
        <v>0</v>
      </c>
      <c r="P449" s="65">
        <v>0</v>
      </c>
      <c r="Q449" s="50">
        <v>12717.42</v>
      </c>
      <c r="R449" s="65">
        <v>0</v>
      </c>
      <c r="S449" s="65">
        <v>0</v>
      </c>
      <c r="T449" s="65">
        <v>0</v>
      </c>
      <c r="U449" s="65">
        <v>2700</v>
      </c>
      <c r="V449" s="65">
        <v>0</v>
      </c>
      <c r="W449" s="65">
        <v>0</v>
      </c>
      <c r="X449" s="65">
        <v>0</v>
      </c>
      <c r="Y449" s="65">
        <v>0</v>
      </c>
      <c r="Z449" s="65">
        <v>10017.42</v>
      </c>
      <c r="AA449" s="51">
        <v>0</v>
      </c>
      <c r="AB449" s="102">
        <v>0</v>
      </c>
      <c r="AC449" s="81">
        <f t="shared" si="21"/>
        <v>229.72957716150083</v>
      </c>
      <c r="AD449" s="82">
        <f t="shared" si="22"/>
        <v>52.542857142857144</v>
      </c>
      <c r="AE449" s="218">
        <v>0</v>
      </c>
      <c r="AF449">
        <v>0</v>
      </c>
      <c r="AH449" t="str">
        <f t="shared" si="20"/>
        <v>DalsinghSarai</v>
      </c>
      <c r="AJ449" s="72">
        <v>0</v>
      </c>
      <c r="AK449" s="72"/>
      <c r="AL449" s="72"/>
      <c r="AM449" s="72"/>
    </row>
    <row r="450" spans="1:39" x14ac:dyDescent="0.25">
      <c r="A450" s="37" t="s">
        <v>62</v>
      </c>
      <c r="B450" s="66" t="s">
        <v>1566</v>
      </c>
      <c r="C450" s="47">
        <v>1012</v>
      </c>
      <c r="D450" s="47" t="s">
        <v>314</v>
      </c>
      <c r="E450" s="41">
        <v>10120014</v>
      </c>
      <c r="F450" s="46" t="s">
        <v>324</v>
      </c>
      <c r="G450" s="39" t="s">
        <v>93</v>
      </c>
      <c r="H450" s="48" t="s">
        <v>94</v>
      </c>
      <c r="I450" s="52">
        <v>1009.82</v>
      </c>
      <c r="J450" s="49">
        <v>40931.899999999994</v>
      </c>
      <c r="K450" s="65">
        <v>645.50999999999988</v>
      </c>
      <c r="L450" s="65">
        <v>27177.998800574002</v>
      </c>
      <c r="M450" s="65">
        <v>340.3</v>
      </c>
      <c r="N450" s="65">
        <v>14489.964471137</v>
      </c>
      <c r="O450" s="65">
        <v>985.81</v>
      </c>
      <c r="P450" s="65">
        <v>41667.963271711</v>
      </c>
      <c r="Q450" s="50">
        <v>40931.899999999994</v>
      </c>
      <c r="R450" s="65">
        <v>0</v>
      </c>
      <c r="S450" s="65">
        <v>0</v>
      </c>
      <c r="T450" s="65">
        <v>736.06327171100565</v>
      </c>
      <c r="U450" s="65">
        <v>0</v>
      </c>
      <c r="V450" s="65">
        <v>0</v>
      </c>
      <c r="W450" s="65">
        <v>0</v>
      </c>
      <c r="X450" s="65">
        <v>26442</v>
      </c>
      <c r="Y450" s="65">
        <v>14490</v>
      </c>
      <c r="Z450" s="65">
        <v>0</v>
      </c>
      <c r="AA450" s="51">
        <v>0</v>
      </c>
      <c r="AB450" s="102">
        <v>0</v>
      </c>
      <c r="AC450" s="81">
        <f t="shared" si="21"/>
        <v>0</v>
      </c>
      <c r="AD450" s="82">
        <f t="shared" si="22"/>
        <v>0</v>
      </c>
      <c r="AE450" s="218">
        <v>-1.798263143687456E-2</v>
      </c>
      <c r="AF450">
        <v>15</v>
      </c>
      <c r="AH450" t="str">
        <f t="shared" si="20"/>
        <v>DalsinghSarai</v>
      </c>
      <c r="AJ450" s="72">
        <v>0</v>
      </c>
      <c r="AK450" s="72"/>
      <c r="AL450" s="72"/>
      <c r="AM450" s="72"/>
    </row>
    <row r="451" spans="1:39" x14ac:dyDescent="0.25">
      <c r="A451" s="37" t="s">
        <v>62</v>
      </c>
      <c r="B451" s="66" t="s">
        <v>1566</v>
      </c>
      <c r="C451" s="47">
        <v>1012</v>
      </c>
      <c r="D451" s="47" t="s">
        <v>314</v>
      </c>
      <c r="E451" s="41">
        <v>10120015</v>
      </c>
      <c r="F451" s="46" t="s">
        <v>325</v>
      </c>
      <c r="G451" s="39" t="s">
        <v>93</v>
      </c>
      <c r="H451" s="48" t="s">
        <v>94</v>
      </c>
      <c r="I451" s="52">
        <v>1124.8400000000001</v>
      </c>
      <c r="J451" s="49">
        <v>43020.53</v>
      </c>
      <c r="K451" s="65">
        <v>1156.44</v>
      </c>
      <c r="L451" s="65">
        <v>44892.860989148227</v>
      </c>
      <c r="M451" s="65">
        <v>179.66</v>
      </c>
      <c r="N451" s="65">
        <v>6585.0307748485557</v>
      </c>
      <c r="O451" s="65">
        <v>1336.1000000000001</v>
      </c>
      <c r="P451" s="65">
        <v>51477.891763996784</v>
      </c>
      <c r="Q451" s="50">
        <v>43020.53</v>
      </c>
      <c r="R451" s="65">
        <v>0</v>
      </c>
      <c r="S451" s="65">
        <v>0</v>
      </c>
      <c r="T451" s="65">
        <v>8457.3617639967852</v>
      </c>
      <c r="U451" s="65">
        <v>1350</v>
      </c>
      <c r="V451" s="65">
        <v>0</v>
      </c>
      <c r="W451" s="65">
        <v>0</v>
      </c>
      <c r="X451" s="65">
        <v>35086</v>
      </c>
      <c r="Y451" s="65">
        <v>6585</v>
      </c>
      <c r="Z451" s="65">
        <v>0</v>
      </c>
      <c r="AA451" s="51">
        <v>0</v>
      </c>
      <c r="AB451" s="102">
        <v>0</v>
      </c>
      <c r="AC451" s="81">
        <f t="shared" si="21"/>
        <v>0</v>
      </c>
      <c r="AD451" s="82">
        <f t="shared" si="22"/>
        <v>0</v>
      </c>
      <c r="AE451" s="218">
        <v>-0.1965889719163568</v>
      </c>
      <c r="AF451">
        <v>18</v>
      </c>
      <c r="AH451" t="str">
        <f t="shared" ref="AH451:AH514" si="23">TEXT(D451,"0000")</f>
        <v>DalsinghSarai</v>
      </c>
      <c r="AJ451" s="72">
        <v>0</v>
      </c>
      <c r="AK451" s="72"/>
      <c r="AL451" s="72"/>
      <c r="AM451" s="72"/>
    </row>
    <row r="452" spans="1:39" x14ac:dyDescent="0.25">
      <c r="A452" s="37" t="s">
        <v>62</v>
      </c>
      <c r="B452" s="66" t="s">
        <v>1566</v>
      </c>
      <c r="C452" s="47">
        <v>1012</v>
      </c>
      <c r="D452" s="47" t="s">
        <v>314</v>
      </c>
      <c r="E452" s="41">
        <v>10120016</v>
      </c>
      <c r="F452" s="46" t="s">
        <v>326</v>
      </c>
      <c r="G452" s="39" t="s">
        <v>93</v>
      </c>
      <c r="H452" s="48" t="s">
        <v>94</v>
      </c>
      <c r="I452" s="52">
        <v>285.85000000000002</v>
      </c>
      <c r="J452" s="49">
        <v>11022.240000000002</v>
      </c>
      <c r="K452" s="65">
        <v>282.77999999999997</v>
      </c>
      <c r="L452" s="65">
        <v>10009.929490545601</v>
      </c>
      <c r="M452" s="65">
        <v>5.330000000000001</v>
      </c>
      <c r="N452" s="65">
        <v>183.98334798360003</v>
      </c>
      <c r="O452" s="65">
        <v>288.10999999999996</v>
      </c>
      <c r="P452" s="65">
        <v>10193.912838529201</v>
      </c>
      <c r="Q452" s="50">
        <v>10193.912838529201</v>
      </c>
      <c r="R452" s="65">
        <v>0</v>
      </c>
      <c r="S452" s="65">
        <v>183.98334798360003</v>
      </c>
      <c r="T452" s="65">
        <v>0</v>
      </c>
      <c r="U452" s="65">
        <v>1738</v>
      </c>
      <c r="V452" s="65">
        <v>0</v>
      </c>
      <c r="W452" s="65">
        <v>0</v>
      </c>
      <c r="X452" s="65">
        <v>8272</v>
      </c>
      <c r="Y452" s="65">
        <v>0</v>
      </c>
      <c r="Z452" s="65">
        <v>0</v>
      </c>
      <c r="AA452" s="51">
        <v>828</v>
      </c>
      <c r="AB452" s="102">
        <v>0</v>
      </c>
      <c r="AC452" s="81">
        <f t="shared" ref="AC452:AC515" si="24">((IF(AD452=0,0,100-AD452))*7*(J452/I452))*2%</f>
        <v>319.38853916389718</v>
      </c>
      <c r="AD452" s="82">
        <f t="shared" ref="AD452:AD515" si="25">IF((I452/7)&gt;100,0,(I452/7))</f>
        <v>40.835714285714289</v>
      </c>
      <c r="AE452" s="218">
        <v>7.5150528519683915E-2</v>
      </c>
      <c r="AF452">
        <v>5</v>
      </c>
      <c r="AH452" t="str">
        <f t="shared" si="23"/>
        <v>DalsinghSarai</v>
      </c>
      <c r="AJ452" s="72">
        <v>0</v>
      </c>
      <c r="AK452" s="72"/>
      <c r="AL452" s="72"/>
      <c r="AM452" s="72"/>
    </row>
    <row r="453" spans="1:39" x14ac:dyDescent="0.25">
      <c r="A453" s="37" t="s">
        <v>62</v>
      </c>
      <c r="B453" s="66" t="s">
        <v>1566</v>
      </c>
      <c r="C453" s="47">
        <v>1012</v>
      </c>
      <c r="D453" s="47" t="s">
        <v>314</v>
      </c>
      <c r="E453" s="41">
        <v>10120017</v>
      </c>
      <c r="F453" s="46" t="s">
        <v>327</v>
      </c>
      <c r="G453" s="39" t="s">
        <v>93</v>
      </c>
      <c r="H453" s="48" t="s">
        <v>94</v>
      </c>
      <c r="I453" s="52">
        <v>407.73999999999995</v>
      </c>
      <c r="J453" s="49">
        <v>15488.44</v>
      </c>
      <c r="K453" s="65">
        <v>440.00999999999993</v>
      </c>
      <c r="L453" s="65">
        <v>16880.909940576003</v>
      </c>
      <c r="M453" s="65">
        <v>0</v>
      </c>
      <c r="N453" s="65">
        <v>0</v>
      </c>
      <c r="O453" s="65">
        <v>440.00999999999993</v>
      </c>
      <c r="P453" s="65">
        <v>16880.909940576003</v>
      </c>
      <c r="Q453" s="50">
        <v>15488.44</v>
      </c>
      <c r="R453" s="65">
        <v>0</v>
      </c>
      <c r="S453" s="65">
        <v>0</v>
      </c>
      <c r="T453" s="65">
        <v>1392.469940576002</v>
      </c>
      <c r="U453" s="65">
        <v>6750</v>
      </c>
      <c r="V453" s="65">
        <v>0</v>
      </c>
      <c r="W453" s="65">
        <v>0</v>
      </c>
      <c r="X453" s="65">
        <v>8738</v>
      </c>
      <c r="Y453" s="65">
        <v>0</v>
      </c>
      <c r="Z453" s="65">
        <v>0</v>
      </c>
      <c r="AA453" s="51">
        <v>0</v>
      </c>
      <c r="AB453" s="102">
        <v>0</v>
      </c>
      <c r="AC453" s="81">
        <f t="shared" si="24"/>
        <v>222.03617375778688</v>
      </c>
      <c r="AD453" s="82">
        <f t="shared" si="25"/>
        <v>58.248571428571424</v>
      </c>
      <c r="AE453" s="218">
        <v>-8.9903821209624854E-2</v>
      </c>
      <c r="AF453">
        <v>3</v>
      </c>
      <c r="AH453" t="str">
        <f t="shared" si="23"/>
        <v>DalsinghSarai</v>
      </c>
      <c r="AJ453" s="72">
        <v>0</v>
      </c>
      <c r="AK453" s="72"/>
      <c r="AL453" s="72"/>
      <c r="AM453" s="72"/>
    </row>
    <row r="454" spans="1:39" x14ac:dyDescent="0.25">
      <c r="A454" s="37" t="s">
        <v>62</v>
      </c>
      <c r="B454" s="66" t="s">
        <v>1566</v>
      </c>
      <c r="C454" s="47">
        <v>1012</v>
      </c>
      <c r="D454" s="47" t="s">
        <v>314</v>
      </c>
      <c r="E454" s="41">
        <v>10120018</v>
      </c>
      <c r="F454" s="46" t="s">
        <v>328</v>
      </c>
      <c r="G454" s="39" t="s">
        <v>93</v>
      </c>
      <c r="H454" s="48" t="s">
        <v>94</v>
      </c>
      <c r="I454" s="52">
        <v>285.91999999999996</v>
      </c>
      <c r="J454" s="49">
        <v>11198.08</v>
      </c>
      <c r="K454" s="65">
        <v>370</v>
      </c>
      <c r="L454" s="65">
        <v>15336.175139999999</v>
      </c>
      <c r="M454" s="65">
        <v>0</v>
      </c>
      <c r="N454" s="65">
        <v>0</v>
      </c>
      <c r="O454" s="65">
        <v>370</v>
      </c>
      <c r="P454" s="65">
        <v>15336.175139999999</v>
      </c>
      <c r="Q454" s="50">
        <v>11198.08</v>
      </c>
      <c r="R454" s="65">
        <v>0</v>
      </c>
      <c r="S454" s="65">
        <v>0</v>
      </c>
      <c r="T454" s="65">
        <v>4138.0951399999994</v>
      </c>
      <c r="U454" s="65">
        <v>0</v>
      </c>
      <c r="V454" s="65">
        <v>68.770043225806518</v>
      </c>
      <c r="W454" s="65">
        <v>0</v>
      </c>
      <c r="X454" s="65">
        <v>11129</v>
      </c>
      <c r="Y454" s="65">
        <v>0</v>
      </c>
      <c r="Z454" s="65">
        <v>0</v>
      </c>
      <c r="AA454" s="51">
        <v>0</v>
      </c>
      <c r="AB454" s="102">
        <v>0</v>
      </c>
      <c r="AC454" s="81">
        <f t="shared" si="24"/>
        <v>324.34953598209296</v>
      </c>
      <c r="AD454" s="82">
        <f t="shared" si="25"/>
        <v>40.84571428571428</v>
      </c>
      <c r="AE454" s="218">
        <v>-0.36953612940789843</v>
      </c>
      <c r="AF454">
        <v>3</v>
      </c>
      <c r="AH454" t="str">
        <f t="shared" si="23"/>
        <v>DalsinghSarai</v>
      </c>
      <c r="AJ454" s="72">
        <v>0</v>
      </c>
      <c r="AK454" s="72"/>
      <c r="AL454" s="72"/>
      <c r="AM454" s="72"/>
    </row>
    <row r="455" spans="1:39" x14ac:dyDescent="0.25">
      <c r="A455" s="37" t="s">
        <v>62</v>
      </c>
      <c r="B455" s="66" t="s">
        <v>1566</v>
      </c>
      <c r="C455" s="47">
        <v>1012</v>
      </c>
      <c r="D455" s="47" t="s">
        <v>314</v>
      </c>
      <c r="E455" s="41">
        <v>10120019</v>
      </c>
      <c r="F455" s="46" t="s">
        <v>329</v>
      </c>
      <c r="G455" s="39" t="s">
        <v>93</v>
      </c>
      <c r="H455" s="48" t="s">
        <v>94</v>
      </c>
      <c r="I455" s="52">
        <v>276.36</v>
      </c>
      <c r="J455" s="49">
        <v>10619.06</v>
      </c>
      <c r="K455" s="65">
        <v>158.55000000000001</v>
      </c>
      <c r="L455" s="65">
        <v>5816.5238902320007</v>
      </c>
      <c r="M455" s="65">
        <v>129.67999999999998</v>
      </c>
      <c r="N455" s="65">
        <v>4734.823380408001</v>
      </c>
      <c r="O455" s="65">
        <v>288.23</v>
      </c>
      <c r="P455" s="65">
        <v>10551.347270640003</v>
      </c>
      <c r="Q455" s="50">
        <v>10551.347270640003</v>
      </c>
      <c r="R455" s="65">
        <v>0</v>
      </c>
      <c r="S455" s="65">
        <v>532.07309390399996</v>
      </c>
      <c r="T455" s="65">
        <v>0</v>
      </c>
      <c r="U455" s="65">
        <v>0</v>
      </c>
      <c r="V455" s="65">
        <v>0</v>
      </c>
      <c r="W455" s="65">
        <v>0</v>
      </c>
      <c r="X455" s="65">
        <v>5817</v>
      </c>
      <c r="Y455" s="65">
        <v>4202</v>
      </c>
      <c r="Z455" s="65">
        <v>0</v>
      </c>
      <c r="AA455" s="51">
        <v>68</v>
      </c>
      <c r="AB455" s="102">
        <v>0</v>
      </c>
      <c r="AC455" s="81">
        <f t="shared" si="24"/>
        <v>325.56510192502526</v>
      </c>
      <c r="AD455" s="82">
        <f t="shared" si="25"/>
        <v>39.480000000000004</v>
      </c>
      <c r="AE455" s="218">
        <v>6.3765276173217743E-3</v>
      </c>
      <c r="AF455">
        <v>6</v>
      </c>
      <c r="AH455" t="str">
        <f t="shared" si="23"/>
        <v>DalsinghSarai</v>
      </c>
      <c r="AJ455" s="72">
        <v>0</v>
      </c>
      <c r="AK455" s="72"/>
      <c r="AL455" s="72"/>
      <c r="AM455" s="72"/>
    </row>
    <row r="456" spans="1:39" x14ac:dyDescent="0.25">
      <c r="A456" s="37" t="s">
        <v>62</v>
      </c>
      <c r="B456" s="66" t="s">
        <v>1566</v>
      </c>
      <c r="C456" s="47">
        <v>1012</v>
      </c>
      <c r="D456" s="47" t="s">
        <v>314</v>
      </c>
      <c r="E456" s="109">
        <v>10120022</v>
      </c>
      <c r="F456" s="46" t="s">
        <v>330</v>
      </c>
      <c r="G456" s="110" t="s">
        <v>635</v>
      </c>
      <c r="H456" s="48" t="s">
        <v>99</v>
      </c>
      <c r="I456" s="111">
        <v>263.62000000000006</v>
      </c>
      <c r="J456" s="49">
        <v>10782.8</v>
      </c>
      <c r="K456" s="65">
        <v>0</v>
      </c>
      <c r="L456" s="65">
        <v>0</v>
      </c>
      <c r="M456" s="65">
        <v>0</v>
      </c>
      <c r="N456" s="65">
        <v>0</v>
      </c>
      <c r="O456" s="65">
        <v>0</v>
      </c>
      <c r="P456" s="65">
        <v>0</v>
      </c>
      <c r="Q456" s="50">
        <v>10782.8</v>
      </c>
      <c r="R456" s="65">
        <v>0</v>
      </c>
      <c r="S456" s="65">
        <v>0</v>
      </c>
      <c r="T456" s="65">
        <v>0</v>
      </c>
      <c r="U456" s="65">
        <v>0</v>
      </c>
      <c r="V456" s="65">
        <v>0</v>
      </c>
      <c r="W456" s="65">
        <v>0</v>
      </c>
      <c r="X456" s="65">
        <v>0</v>
      </c>
      <c r="Y456" s="65">
        <v>0</v>
      </c>
      <c r="Z456" s="65">
        <v>10782.8</v>
      </c>
      <c r="AA456" s="51">
        <v>0</v>
      </c>
      <c r="AB456" s="102">
        <v>0</v>
      </c>
      <c r="AC456" s="81">
        <f t="shared" si="24"/>
        <v>356.98340520446078</v>
      </c>
      <c r="AD456" s="82">
        <f t="shared" si="25"/>
        <v>37.660000000000011</v>
      </c>
      <c r="AE456" s="218">
        <v>0</v>
      </c>
      <c r="AF456">
        <v>0</v>
      </c>
      <c r="AH456" t="str">
        <f t="shared" si="23"/>
        <v>DalsinghSarai</v>
      </c>
      <c r="AJ456" s="72">
        <v>0</v>
      </c>
      <c r="AK456" s="72"/>
      <c r="AL456" s="72"/>
      <c r="AM456" s="72"/>
    </row>
    <row r="457" spans="1:39" x14ac:dyDescent="0.25">
      <c r="A457" s="37" t="s">
        <v>62</v>
      </c>
      <c r="B457" s="66" t="s">
        <v>1566</v>
      </c>
      <c r="C457" s="47">
        <v>1012</v>
      </c>
      <c r="D457" s="47" t="s">
        <v>314</v>
      </c>
      <c r="E457" s="41">
        <v>10120023</v>
      </c>
      <c r="F457" s="46" t="s">
        <v>331</v>
      </c>
      <c r="G457" s="39" t="s">
        <v>635</v>
      </c>
      <c r="H457" s="48" t="s">
        <v>99</v>
      </c>
      <c r="I457" s="52">
        <v>296.06</v>
      </c>
      <c r="J457" s="49">
        <v>10955.070000000002</v>
      </c>
      <c r="K457" s="65">
        <v>0</v>
      </c>
      <c r="L457" s="65">
        <v>0</v>
      </c>
      <c r="M457" s="65">
        <v>0</v>
      </c>
      <c r="N457" s="65">
        <v>0</v>
      </c>
      <c r="O457" s="65">
        <v>0</v>
      </c>
      <c r="P457" s="65">
        <v>0</v>
      </c>
      <c r="Q457" s="50">
        <v>10955.070000000002</v>
      </c>
      <c r="R457" s="65">
        <v>0</v>
      </c>
      <c r="S457" s="65">
        <v>0</v>
      </c>
      <c r="T457" s="65">
        <v>0</v>
      </c>
      <c r="U457" s="65">
        <v>0</v>
      </c>
      <c r="V457" s="65">
        <v>0</v>
      </c>
      <c r="W457" s="65">
        <v>0</v>
      </c>
      <c r="X457" s="65">
        <v>0</v>
      </c>
      <c r="Y457" s="65">
        <v>0</v>
      </c>
      <c r="Z457" s="65">
        <v>10955.070000000002</v>
      </c>
      <c r="AA457" s="51">
        <v>0</v>
      </c>
      <c r="AB457" s="102">
        <v>0</v>
      </c>
      <c r="AC457" s="81">
        <f t="shared" si="24"/>
        <v>298.93879455515781</v>
      </c>
      <c r="AD457" s="82">
        <f t="shared" si="25"/>
        <v>42.294285714285714</v>
      </c>
      <c r="AE457" s="218">
        <v>0</v>
      </c>
      <c r="AF457">
        <v>0</v>
      </c>
      <c r="AH457" t="str">
        <f t="shared" si="23"/>
        <v>DalsinghSarai</v>
      </c>
      <c r="AJ457" s="72">
        <v>0</v>
      </c>
      <c r="AK457" s="72"/>
      <c r="AL457" s="72"/>
      <c r="AM457" s="72"/>
    </row>
    <row r="458" spans="1:39" x14ac:dyDescent="0.25">
      <c r="A458" s="37" t="s">
        <v>62</v>
      </c>
      <c r="B458" s="66" t="s">
        <v>1566</v>
      </c>
      <c r="C458" s="47">
        <v>1012</v>
      </c>
      <c r="D458" s="47" t="s">
        <v>314</v>
      </c>
      <c r="E458" s="47">
        <v>10120024</v>
      </c>
      <c r="F458" s="46" t="s">
        <v>332</v>
      </c>
      <c r="G458" s="48" t="s">
        <v>635</v>
      </c>
      <c r="H458" s="48" t="s">
        <v>99</v>
      </c>
      <c r="I458" s="49">
        <v>276.72999999999996</v>
      </c>
      <c r="J458" s="49">
        <v>10180.280000000001</v>
      </c>
      <c r="K458" s="65">
        <v>0</v>
      </c>
      <c r="L458" s="65">
        <v>0</v>
      </c>
      <c r="M458" s="65">
        <v>0</v>
      </c>
      <c r="N458" s="65">
        <v>0</v>
      </c>
      <c r="O458" s="65">
        <v>0</v>
      </c>
      <c r="P458" s="65">
        <v>0</v>
      </c>
      <c r="Q458" s="50">
        <v>10180.280000000001</v>
      </c>
      <c r="R458" s="65">
        <v>0</v>
      </c>
      <c r="S458" s="65">
        <v>0</v>
      </c>
      <c r="T458" s="65">
        <v>0</v>
      </c>
      <c r="U458" s="65">
        <v>0</v>
      </c>
      <c r="V458" s="65">
        <v>0</v>
      </c>
      <c r="W458" s="65">
        <v>0</v>
      </c>
      <c r="X458" s="65">
        <v>0</v>
      </c>
      <c r="Y458" s="65">
        <v>0</v>
      </c>
      <c r="Z458" s="65">
        <v>10180.280000000001</v>
      </c>
      <c r="AA458" s="51">
        <v>0</v>
      </c>
      <c r="AB458" s="102">
        <v>0</v>
      </c>
      <c r="AC458" s="81">
        <f t="shared" si="24"/>
        <v>311.42320063599908</v>
      </c>
      <c r="AD458" s="82">
        <f t="shared" si="25"/>
        <v>39.532857142857139</v>
      </c>
      <c r="AE458" s="218">
        <v>0</v>
      </c>
      <c r="AF458">
        <v>0</v>
      </c>
      <c r="AH458" t="str">
        <f t="shared" si="23"/>
        <v>DalsinghSarai</v>
      </c>
      <c r="AJ458" s="72">
        <v>0</v>
      </c>
      <c r="AK458" s="72"/>
      <c r="AL458" s="72"/>
      <c r="AM458" s="72"/>
    </row>
    <row r="459" spans="1:39" x14ac:dyDescent="0.25">
      <c r="A459" s="37" t="s">
        <v>62</v>
      </c>
      <c r="B459" s="66" t="s">
        <v>1566</v>
      </c>
      <c r="C459" s="47">
        <v>1012</v>
      </c>
      <c r="D459" s="47" t="s">
        <v>314</v>
      </c>
      <c r="E459" s="41">
        <v>10120025</v>
      </c>
      <c r="F459" s="46" t="s">
        <v>333</v>
      </c>
      <c r="G459" s="39" t="s">
        <v>93</v>
      </c>
      <c r="H459" s="48" t="s">
        <v>94</v>
      </c>
      <c r="I459" s="52">
        <v>1798.16</v>
      </c>
      <c r="J459" s="49">
        <v>71941.279999999999</v>
      </c>
      <c r="K459" s="65">
        <v>1129.1600000000001</v>
      </c>
      <c r="L459" s="65">
        <v>52111.208549747884</v>
      </c>
      <c r="M459" s="65">
        <v>757.57</v>
      </c>
      <c r="N459" s="65">
        <v>30662.204081501677</v>
      </c>
      <c r="O459" s="65">
        <v>1886.73</v>
      </c>
      <c r="P459" s="65">
        <v>82773.412631249565</v>
      </c>
      <c r="Q459" s="50">
        <v>71941.279999999999</v>
      </c>
      <c r="R459" s="65">
        <v>0</v>
      </c>
      <c r="S459" s="65">
        <v>545.06168467344003</v>
      </c>
      <c r="T459" s="65">
        <v>10832.132631249566</v>
      </c>
      <c r="U459" s="65">
        <v>4050</v>
      </c>
      <c r="V459" s="65">
        <v>204.09</v>
      </c>
      <c r="W459" s="65">
        <v>0</v>
      </c>
      <c r="X459" s="65">
        <v>41076</v>
      </c>
      <c r="Y459" s="65">
        <v>26066</v>
      </c>
      <c r="Z459" s="65">
        <v>0</v>
      </c>
      <c r="AA459" s="51">
        <v>0</v>
      </c>
      <c r="AB459" s="102" t="s">
        <v>68</v>
      </c>
      <c r="AC459" s="81">
        <f t="shared" si="24"/>
        <v>0</v>
      </c>
      <c r="AD459" s="82">
        <f t="shared" si="25"/>
        <v>0</v>
      </c>
      <c r="AE459" s="218">
        <v>-0.15056908399808241</v>
      </c>
      <c r="AF459">
        <v>28</v>
      </c>
      <c r="AH459" t="str">
        <f t="shared" si="23"/>
        <v>DalsinghSarai</v>
      </c>
      <c r="AJ459" s="72">
        <v>0</v>
      </c>
      <c r="AK459" s="72"/>
      <c r="AL459" s="72"/>
      <c r="AM459" s="72"/>
    </row>
    <row r="460" spans="1:39" x14ac:dyDescent="0.25">
      <c r="A460" s="37" t="s">
        <v>62</v>
      </c>
      <c r="B460" s="66" t="s">
        <v>1566</v>
      </c>
      <c r="C460" s="47">
        <v>1012</v>
      </c>
      <c r="D460" s="47" t="s">
        <v>314</v>
      </c>
      <c r="E460" s="41">
        <v>10120026</v>
      </c>
      <c r="F460" s="46" t="s">
        <v>659</v>
      </c>
      <c r="G460" s="39" t="s">
        <v>635</v>
      </c>
      <c r="H460" s="48" t="s">
        <v>99</v>
      </c>
      <c r="I460" s="52">
        <v>59.349999999999994</v>
      </c>
      <c r="J460" s="49">
        <v>1978.5499999999997</v>
      </c>
      <c r="K460" s="65">
        <v>0</v>
      </c>
      <c r="L460" s="65">
        <v>0</v>
      </c>
      <c r="M460" s="65">
        <v>0</v>
      </c>
      <c r="N460" s="65">
        <v>0</v>
      </c>
      <c r="O460" s="65">
        <v>0</v>
      </c>
      <c r="P460" s="65">
        <v>0</v>
      </c>
      <c r="Q460" s="50">
        <v>1978.5499999999997</v>
      </c>
      <c r="R460" s="65">
        <v>0</v>
      </c>
      <c r="S460" s="65">
        <v>0</v>
      </c>
      <c r="T460" s="65">
        <v>0</v>
      </c>
      <c r="U460" s="65">
        <v>0</v>
      </c>
      <c r="V460" s="65">
        <v>0</v>
      </c>
      <c r="W460" s="65">
        <v>0</v>
      </c>
      <c r="X460" s="65">
        <v>0</v>
      </c>
      <c r="Y460" s="65">
        <v>0</v>
      </c>
      <c r="Z460" s="65">
        <v>1978.5499999999997</v>
      </c>
      <c r="AA460" s="51">
        <v>0</v>
      </c>
      <c r="AB460" s="102">
        <v>0</v>
      </c>
      <c r="AC460" s="81">
        <f t="shared" si="24"/>
        <v>427.14677590564446</v>
      </c>
      <c r="AD460" s="82">
        <f t="shared" si="25"/>
        <v>8.4785714285714278</v>
      </c>
      <c r="AE460" s="218">
        <v>0</v>
      </c>
      <c r="AF460">
        <v>0</v>
      </c>
      <c r="AH460" t="str">
        <f t="shared" si="23"/>
        <v>DalsinghSarai</v>
      </c>
      <c r="AJ460" s="72">
        <v>0</v>
      </c>
      <c r="AK460" s="72"/>
      <c r="AL460" s="72"/>
      <c r="AM460" s="72"/>
    </row>
    <row r="461" spans="1:39" x14ac:dyDescent="0.25">
      <c r="A461" s="37" t="s">
        <v>62</v>
      </c>
      <c r="B461" s="66" t="s">
        <v>1566</v>
      </c>
      <c r="C461" s="47">
        <v>1012</v>
      </c>
      <c r="D461" s="47" t="s">
        <v>314</v>
      </c>
      <c r="E461" s="41">
        <v>10120029</v>
      </c>
      <c r="F461" s="46" t="s">
        <v>334</v>
      </c>
      <c r="G461" s="39" t="s">
        <v>93</v>
      </c>
      <c r="H461" s="48" t="s">
        <v>94</v>
      </c>
      <c r="I461" s="52">
        <v>912.57999999999993</v>
      </c>
      <c r="J461" s="49">
        <v>35913.270000000004</v>
      </c>
      <c r="K461" s="65">
        <v>639.53999999999985</v>
      </c>
      <c r="L461" s="65">
        <v>24578.275506898117</v>
      </c>
      <c r="M461" s="65">
        <v>335.66</v>
      </c>
      <c r="N461" s="65">
        <v>12239.108428258802</v>
      </c>
      <c r="O461" s="65">
        <v>975.19999999999982</v>
      </c>
      <c r="P461" s="65">
        <v>36817.383935156919</v>
      </c>
      <c r="Q461" s="50">
        <v>35913.270000000004</v>
      </c>
      <c r="R461" s="65">
        <v>0</v>
      </c>
      <c r="S461" s="65">
        <v>364.21469544240011</v>
      </c>
      <c r="T461" s="65">
        <v>904.11393515691452</v>
      </c>
      <c r="U461" s="65">
        <v>0</v>
      </c>
      <c r="V461" s="65">
        <v>0</v>
      </c>
      <c r="W461" s="65">
        <v>0</v>
      </c>
      <c r="X461" s="65">
        <v>23675</v>
      </c>
      <c r="Y461" s="65">
        <v>11874</v>
      </c>
      <c r="Z461" s="65">
        <v>0</v>
      </c>
      <c r="AA461" s="51">
        <v>0</v>
      </c>
      <c r="AB461" s="102">
        <v>0</v>
      </c>
      <c r="AC461" s="81">
        <f t="shared" si="24"/>
        <v>0</v>
      </c>
      <c r="AD461" s="82">
        <f t="shared" si="25"/>
        <v>0</v>
      </c>
      <c r="AE461" s="218">
        <v>-2.517492657051041E-2</v>
      </c>
      <c r="AF461">
        <v>18</v>
      </c>
      <c r="AH461" t="str">
        <f t="shared" si="23"/>
        <v>DalsinghSarai</v>
      </c>
      <c r="AJ461" s="72">
        <v>0</v>
      </c>
      <c r="AK461" s="72"/>
      <c r="AL461" s="72"/>
      <c r="AM461" s="72"/>
    </row>
    <row r="462" spans="1:39" x14ac:dyDescent="0.25">
      <c r="A462" s="37" t="s">
        <v>62</v>
      </c>
      <c r="B462" s="66" t="s">
        <v>1566</v>
      </c>
      <c r="C462" s="47">
        <v>1012</v>
      </c>
      <c r="D462" s="47" t="s">
        <v>314</v>
      </c>
      <c r="E462" s="41">
        <v>10120031</v>
      </c>
      <c r="F462" s="46" t="s">
        <v>336</v>
      </c>
      <c r="G462" s="39" t="s">
        <v>93</v>
      </c>
      <c r="H462" s="48" t="s">
        <v>94</v>
      </c>
      <c r="I462" s="52">
        <v>412.6</v>
      </c>
      <c r="J462" s="49">
        <v>15627.35</v>
      </c>
      <c r="K462" s="65">
        <v>386</v>
      </c>
      <c r="L462" s="65">
        <v>14534.858623626002</v>
      </c>
      <c r="M462" s="65">
        <v>69.2</v>
      </c>
      <c r="N462" s="65">
        <v>2450.5131663540005</v>
      </c>
      <c r="O462" s="65">
        <v>455.2</v>
      </c>
      <c r="P462" s="65">
        <v>16985.371789980003</v>
      </c>
      <c r="Q462" s="50">
        <v>15627.35</v>
      </c>
      <c r="R462" s="65">
        <v>0</v>
      </c>
      <c r="S462" s="65">
        <v>61.489975932</v>
      </c>
      <c r="T462" s="65">
        <v>1358.0217899800027</v>
      </c>
      <c r="U462" s="65">
        <v>0</v>
      </c>
      <c r="V462" s="65">
        <v>0</v>
      </c>
      <c r="W462" s="65">
        <v>0</v>
      </c>
      <c r="X462" s="65">
        <v>13176</v>
      </c>
      <c r="Y462" s="65">
        <v>2390</v>
      </c>
      <c r="Z462" s="65">
        <v>0</v>
      </c>
      <c r="AA462" s="51">
        <v>0</v>
      </c>
      <c r="AB462" s="102">
        <v>0</v>
      </c>
      <c r="AC462" s="81">
        <f t="shared" si="24"/>
        <v>217.70724139602521</v>
      </c>
      <c r="AD462" s="82">
        <f t="shared" si="25"/>
        <v>58.942857142857143</v>
      </c>
      <c r="AE462" s="218">
        <v>-8.6900324749877786E-2</v>
      </c>
      <c r="AF462">
        <v>7</v>
      </c>
      <c r="AH462" t="str">
        <f t="shared" si="23"/>
        <v>DalsinghSarai</v>
      </c>
      <c r="AJ462" s="72">
        <v>0</v>
      </c>
      <c r="AK462" s="72"/>
      <c r="AL462" s="72"/>
      <c r="AM462" s="72"/>
    </row>
    <row r="463" spans="1:39" x14ac:dyDescent="0.25">
      <c r="A463" s="37" t="s">
        <v>62</v>
      </c>
      <c r="B463" s="66" t="s">
        <v>1566</v>
      </c>
      <c r="C463" s="47">
        <v>1012</v>
      </c>
      <c r="D463" s="47" t="s">
        <v>314</v>
      </c>
      <c r="E463" s="41">
        <v>10120034</v>
      </c>
      <c r="F463" s="46" t="s">
        <v>337</v>
      </c>
      <c r="G463" s="39" t="s">
        <v>93</v>
      </c>
      <c r="H463" s="48" t="s">
        <v>94</v>
      </c>
      <c r="I463" s="52">
        <v>122.73</v>
      </c>
      <c r="J463" s="49">
        <v>4663.82</v>
      </c>
      <c r="K463" s="65">
        <v>134.22999999999999</v>
      </c>
      <c r="L463" s="65">
        <v>5084.232545858401</v>
      </c>
      <c r="M463" s="65">
        <v>0</v>
      </c>
      <c r="N463" s="65">
        <v>0</v>
      </c>
      <c r="O463" s="65">
        <v>134.22999999999999</v>
      </c>
      <c r="P463" s="65">
        <v>5084.232545858401</v>
      </c>
      <c r="Q463" s="50">
        <v>4663.82</v>
      </c>
      <c r="R463" s="65">
        <v>0</v>
      </c>
      <c r="S463" s="65">
        <v>0</v>
      </c>
      <c r="T463" s="65">
        <v>420.41254585840124</v>
      </c>
      <c r="U463" s="65">
        <v>1200</v>
      </c>
      <c r="V463" s="65">
        <v>0</v>
      </c>
      <c r="W463" s="65">
        <v>0</v>
      </c>
      <c r="X463" s="65">
        <v>3464</v>
      </c>
      <c r="Y463" s="65">
        <v>0</v>
      </c>
      <c r="Z463" s="65">
        <v>0</v>
      </c>
      <c r="AA463" s="51">
        <v>0</v>
      </c>
      <c r="AB463" s="102">
        <v>0</v>
      </c>
      <c r="AC463" s="81">
        <f t="shared" si="24"/>
        <v>438.73272572313203</v>
      </c>
      <c r="AD463" s="82">
        <f t="shared" si="25"/>
        <v>17.532857142857143</v>
      </c>
      <c r="AE463" s="218">
        <v>-9.0143390151935815E-2</v>
      </c>
      <c r="AF463">
        <v>1</v>
      </c>
      <c r="AH463" t="str">
        <f t="shared" si="23"/>
        <v>DalsinghSarai</v>
      </c>
      <c r="AJ463" s="72">
        <v>0</v>
      </c>
      <c r="AK463" s="72"/>
      <c r="AL463" s="72"/>
      <c r="AM463" s="72"/>
    </row>
    <row r="464" spans="1:39" x14ac:dyDescent="0.25">
      <c r="A464" s="37" t="s">
        <v>62</v>
      </c>
      <c r="B464" s="66" t="s">
        <v>1566</v>
      </c>
      <c r="C464" s="47">
        <v>1012</v>
      </c>
      <c r="D464" s="47" t="s">
        <v>314</v>
      </c>
      <c r="E464" s="41">
        <v>10120035</v>
      </c>
      <c r="F464" s="46" t="s">
        <v>338</v>
      </c>
      <c r="G464" s="39" t="s">
        <v>635</v>
      </c>
      <c r="H464" s="48" t="s">
        <v>99</v>
      </c>
      <c r="I464" s="52">
        <v>388.11999999999995</v>
      </c>
      <c r="J464" s="49">
        <v>15984.139999999998</v>
      </c>
      <c r="K464" s="65">
        <v>0</v>
      </c>
      <c r="L464" s="65">
        <v>0</v>
      </c>
      <c r="M464" s="65">
        <v>0</v>
      </c>
      <c r="N464" s="65">
        <v>0</v>
      </c>
      <c r="O464" s="65">
        <v>0</v>
      </c>
      <c r="P464" s="65">
        <v>0</v>
      </c>
      <c r="Q464" s="50">
        <v>15984.139999999998</v>
      </c>
      <c r="R464" s="65">
        <v>0</v>
      </c>
      <c r="S464" s="65">
        <v>0</v>
      </c>
      <c r="T464" s="65">
        <v>0</v>
      </c>
      <c r="U464" s="65">
        <v>0</v>
      </c>
      <c r="V464" s="65">
        <v>0</v>
      </c>
      <c r="W464" s="65">
        <v>0</v>
      </c>
      <c r="X464" s="65">
        <v>0</v>
      </c>
      <c r="Y464" s="65">
        <v>0</v>
      </c>
      <c r="Z464" s="65">
        <v>15984.139999999998</v>
      </c>
      <c r="AA464" s="51">
        <v>0</v>
      </c>
      <c r="AB464" s="102">
        <v>0</v>
      </c>
      <c r="AC464" s="81">
        <f t="shared" si="24"/>
        <v>256.88619927857371</v>
      </c>
      <c r="AD464" s="82">
        <f t="shared" si="25"/>
        <v>55.445714285714281</v>
      </c>
      <c r="AE464" s="218">
        <v>0</v>
      </c>
      <c r="AF464">
        <v>0</v>
      </c>
      <c r="AH464" t="str">
        <f t="shared" si="23"/>
        <v>DalsinghSarai</v>
      </c>
      <c r="AJ464" s="72">
        <v>0</v>
      </c>
      <c r="AK464" s="72"/>
      <c r="AL464" s="72"/>
      <c r="AM464" s="72"/>
    </row>
    <row r="465" spans="1:39" x14ac:dyDescent="0.25">
      <c r="A465" s="37" t="s">
        <v>62</v>
      </c>
      <c r="B465" s="66" t="s">
        <v>1566</v>
      </c>
      <c r="C465" s="47">
        <v>1012</v>
      </c>
      <c r="D465" s="47" t="s">
        <v>314</v>
      </c>
      <c r="E465" s="41">
        <v>10120043</v>
      </c>
      <c r="F465" s="46" t="s">
        <v>339</v>
      </c>
      <c r="G465" s="39" t="s">
        <v>93</v>
      </c>
      <c r="H465" s="48" t="s">
        <v>94</v>
      </c>
      <c r="I465" s="52">
        <v>157.83000000000001</v>
      </c>
      <c r="J465" s="49">
        <v>6921.75</v>
      </c>
      <c r="K465" s="65">
        <v>157.69999999999999</v>
      </c>
      <c r="L465" s="65">
        <v>6907.4471501344997</v>
      </c>
      <c r="M465" s="65">
        <v>0</v>
      </c>
      <c r="N465" s="65">
        <v>0</v>
      </c>
      <c r="O465" s="65">
        <v>157.69999999999999</v>
      </c>
      <c r="P465" s="65">
        <v>6907.4471501344997</v>
      </c>
      <c r="Q465" s="50">
        <v>6907.4471501344997</v>
      </c>
      <c r="R465" s="65">
        <v>0</v>
      </c>
      <c r="S465" s="65">
        <v>0</v>
      </c>
      <c r="T465" s="65">
        <v>0</v>
      </c>
      <c r="U465" s="65">
        <v>0</v>
      </c>
      <c r="V465" s="65">
        <v>0</v>
      </c>
      <c r="W465" s="65">
        <v>0</v>
      </c>
      <c r="X465" s="65">
        <v>6907</v>
      </c>
      <c r="Y465" s="65">
        <v>0</v>
      </c>
      <c r="Z465" s="65">
        <v>0</v>
      </c>
      <c r="AA465" s="51">
        <v>15</v>
      </c>
      <c r="AB465" s="102">
        <v>0</v>
      </c>
      <c r="AC465" s="81">
        <f t="shared" si="24"/>
        <v>475.54523189507694</v>
      </c>
      <c r="AD465" s="82">
        <f t="shared" si="25"/>
        <v>22.547142857142859</v>
      </c>
      <c r="AE465" s="218">
        <v>2.0663632557518432E-3</v>
      </c>
      <c r="AF465">
        <v>1</v>
      </c>
      <c r="AH465" t="str">
        <f t="shared" si="23"/>
        <v>DalsinghSarai</v>
      </c>
      <c r="AJ465" s="72">
        <v>0</v>
      </c>
      <c r="AK465" s="72"/>
      <c r="AL465" s="72"/>
      <c r="AM465" s="72"/>
    </row>
    <row r="466" spans="1:39" x14ac:dyDescent="0.25">
      <c r="A466" s="37" t="s">
        <v>62</v>
      </c>
      <c r="B466" s="66" t="s">
        <v>1566</v>
      </c>
      <c r="C466" s="47">
        <v>1012</v>
      </c>
      <c r="D466" s="47" t="s">
        <v>314</v>
      </c>
      <c r="E466" s="41">
        <v>10120046</v>
      </c>
      <c r="F466" s="46" t="s">
        <v>340</v>
      </c>
      <c r="G466" s="39" t="s">
        <v>93</v>
      </c>
      <c r="H466" s="48" t="s">
        <v>94</v>
      </c>
      <c r="I466" s="52">
        <v>1869.3899999999999</v>
      </c>
      <c r="J466" s="49">
        <v>70525.179999999993</v>
      </c>
      <c r="K466" s="65">
        <v>1391.1999999999998</v>
      </c>
      <c r="L466" s="65">
        <v>51553.545701362847</v>
      </c>
      <c r="M466" s="65">
        <v>482.9</v>
      </c>
      <c r="N466" s="65">
        <v>18459.401351290533</v>
      </c>
      <c r="O466" s="65">
        <v>1874.1</v>
      </c>
      <c r="P466" s="65">
        <v>70012.947052653384</v>
      </c>
      <c r="Q466" s="50">
        <v>70012.947052653384</v>
      </c>
      <c r="R466" s="65">
        <v>0</v>
      </c>
      <c r="S466" s="65">
        <v>633.93986066399998</v>
      </c>
      <c r="T466" s="65">
        <v>0</v>
      </c>
      <c r="U466" s="65">
        <v>0</v>
      </c>
      <c r="V466" s="65">
        <v>0</v>
      </c>
      <c r="W466" s="65">
        <v>0</v>
      </c>
      <c r="X466" s="65">
        <v>51552</v>
      </c>
      <c r="Y466" s="65">
        <v>17826</v>
      </c>
      <c r="Z466" s="65">
        <v>0</v>
      </c>
      <c r="AA466" s="51">
        <v>513</v>
      </c>
      <c r="AB466" s="102">
        <v>0</v>
      </c>
      <c r="AC466" s="81">
        <f t="shared" si="24"/>
        <v>0</v>
      </c>
      <c r="AD466" s="82">
        <f t="shared" si="25"/>
        <v>0</v>
      </c>
      <c r="AE466" s="218">
        <v>7.2631214460793844E-3</v>
      </c>
      <c r="AF466">
        <v>32</v>
      </c>
      <c r="AH466" t="str">
        <f t="shared" si="23"/>
        <v>DalsinghSarai</v>
      </c>
      <c r="AJ466" s="72">
        <v>0</v>
      </c>
      <c r="AK466" s="72"/>
      <c r="AL466" s="72"/>
      <c r="AM466" s="72"/>
    </row>
    <row r="467" spans="1:39" x14ac:dyDescent="0.25">
      <c r="A467" s="37" t="s">
        <v>62</v>
      </c>
      <c r="B467" s="66" t="s">
        <v>1566</v>
      </c>
      <c r="C467" s="47">
        <v>1012</v>
      </c>
      <c r="D467" s="47" t="s">
        <v>314</v>
      </c>
      <c r="E467" s="41">
        <v>10120049</v>
      </c>
      <c r="F467" s="46" t="s">
        <v>341</v>
      </c>
      <c r="G467" s="39" t="s">
        <v>635</v>
      </c>
      <c r="H467" s="48" t="s">
        <v>99</v>
      </c>
      <c r="I467" s="52">
        <v>478.31999999999994</v>
      </c>
      <c r="J467" s="49">
        <v>22272.420000000002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50">
        <v>22272.420000000002</v>
      </c>
      <c r="R467" s="65">
        <v>0</v>
      </c>
      <c r="S467" s="65">
        <v>0</v>
      </c>
      <c r="T467" s="65">
        <v>0</v>
      </c>
      <c r="U467" s="65">
        <v>0</v>
      </c>
      <c r="V467" s="65">
        <v>0</v>
      </c>
      <c r="W467" s="65">
        <v>0</v>
      </c>
      <c r="X467" s="65">
        <v>0</v>
      </c>
      <c r="Y467" s="65">
        <v>0</v>
      </c>
      <c r="Z467" s="65">
        <v>22272.420000000002</v>
      </c>
      <c r="AA467" s="51">
        <v>0</v>
      </c>
      <c r="AB467" s="102">
        <v>0</v>
      </c>
      <c r="AC467" s="81">
        <f t="shared" si="24"/>
        <v>206.44547857501269</v>
      </c>
      <c r="AD467" s="82">
        <f t="shared" si="25"/>
        <v>68.33142857142856</v>
      </c>
      <c r="AE467" s="218">
        <v>0</v>
      </c>
      <c r="AF467">
        <v>0</v>
      </c>
      <c r="AH467" t="str">
        <f t="shared" si="23"/>
        <v>DalsinghSarai</v>
      </c>
      <c r="AJ467" s="72">
        <v>0</v>
      </c>
      <c r="AK467" s="72"/>
      <c r="AL467" s="72"/>
      <c r="AM467" s="72"/>
    </row>
    <row r="468" spans="1:39" x14ac:dyDescent="0.25">
      <c r="A468" s="37" t="s">
        <v>62</v>
      </c>
      <c r="B468" s="66" t="s">
        <v>1566</v>
      </c>
      <c r="C468" s="47">
        <v>1012</v>
      </c>
      <c r="D468" s="47" t="s">
        <v>314</v>
      </c>
      <c r="E468" s="41">
        <v>10120050</v>
      </c>
      <c r="F468" s="46" t="s">
        <v>342</v>
      </c>
      <c r="G468" s="39" t="s">
        <v>635</v>
      </c>
      <c r="H468" s="48" t="s">
        <v>99</v>
      </c>
      <c r="I468" s="52">
        <v>878.49999999999989</v>
      </c>
      <c r="J468" s="49">
        <v>43036.21</v>
      </c>
      <c r="K468" s="65">
        <v>0</v>
      </c>
      <c r="L468" s="65">
        <v>0</v>
      </c>
      <c r="M468" s="65">
        <v>0</v>
      </c>
      <c r="N468" s="65">
        <v>0</v>
      </c>
      <c r="O468" s="65">
        <v>0</v>
      </c>
      <c r="P468" s="65">
        <v>0</v>
      </c>
      <c r="Q468" s="50">
        <v>43036.21</v>
      </c>
      <c r="R468" s="65">
        <v>0</v>
      </c>
      <c r="S468" s="65">
        <v>0</v>
      </c>
      <c r="T468" s="65">
        <v>0</v>
      </c>
      <c r="U468" s="65">
        <v>0</v>
      </c>
      <c r="V468" s="65">
        <v>0</v>
      </c>
      <c r="W468" s="65">
        <v>0</v>
      </c>
      <c r="X468" s="65">
        <v>0</v>
      </c>
      <c r="Y468" s="65">
        <v>0</v>
      </c>
      <c r="Z468" s="65">
        <v>43036.21</v>
      </c>
      <c r="AA468" s="51">
        <v>0</v>
      </c>
      <c r="AB468" s="102">
        <v>0</v>
      </c>
      <c r="AC468" s="81">
        <f t="shared" si="24"/>
        <v>0</v>
      </c>
      <c r="AD468" s="82">
        <f t="shared" si="25"/>
        <v>0</v>
      </c>
      <c r="AE468" s="218">
        <v>0</v>
      </c>
      <c r="AF468">
        <v>0</v>
      </c>
      <c r="AH468" t="str">
        <f t="shared" si="23"/>
        <v>DalsinghSarai</v>
      </c>
      <c r="AJ468" s="72">
        <v>0</v>
      </c>
      <c r="AK468" s="72"/>
      <c r="AL468" s="72"/>
      <c r="AM468" s="72"/>
    </row>
    <row r="469" spans="1:39" x14ac:dyDescent="0.25">
      <c r="A469" s="37" t="s">
        <v>62</v>
      </c>
      <c r="B469" s="66" t="s">
        <v>1566</v>
      </c>
      <c r="C469" s="47">
        <v>1012</v>
      </c>
      <c r="D469" s="47" t="s">
        <v>314</v>
      </c>
      <c r="E469" s="41">
        <v>10120051</v>
      </c>
      <c r="F469" s="46" t="s">
        <v>343</v>
      </c>
      <c r="G469" s="39" t="s">
        <v>93</v>
      </c>
      <c r="H469" s="48" t="s">
        <v>94</v>
      </c>
      <c r="I469" s="52">
        <v>337.57</v>
      </c>
      <c r="J469" s="49">
        <v>14067.130000000001</v>
      </c>
      <c r="K469" s="65">
        <v>110.78</v>
      </c>
      <c r="L469" s="65">
        <v>4592.9172604516261</v>
      </c>
      <c r="M469" s="65">
        <v>207.57</v>
      </c>
      <c r="N469" s="65">
        <v>9482.6108230406298</v>
      </c>
      <c r="O469" s="65">
        <v>318.35000000000002</v>
      </c>
      <c r="P469" s="65">
        <v>14075.528083492256</v>
      </c>
      <c r="Q469" s="50">
        <v>14067.130000000001</v>
      </c>
      <c r="R469" s="65">
        <v>0</v>
      </c>
      <c r="S469" s="65">
        <v>0</v>
      </c>
      <c r="T469" s="65">
        <v>8.3980834922549548</v>
      </c>
      <c r="U469" s="65">
        <v>0</v>
      </c>
      <c r="V469" s="65">
        <v>0</v>
      </c>
      <c r="W469" s="65">
        <v>0</v>
      </c>
      <c r="X469" s="65">
        <v>4586</v>
      </c>
      <c r="Y469" s="65">
        <v>9481</v>
      </c>
      <c r="Z469" s="65">
        <v>0</v>
      </c>
      <c r="AA469" s="51">
        <v>0</v>
      </c>
      <c r="AB469" s="102">
        <v>0</v>
      </c>
      <c r="AC469" s="81">
        <f t="shared" si="24"/>
        <v>302.061790200551</v>
      </c>
      <c r="AD469" s="82">
        <f t="shared" si="25"/>
        <v>48.224285714285713</v>
      </c>
      <c r="AE469" s="218">
        <v>-5.9700048924371594E-4</v>
      </c>
      <c r="AF469">
        <v>11</v>
      </c>
      <c r="AH469" t="str">
        <f t="shared" si="23"/>
        <v>DalsinghSarai</v>
      </c>
      <c r="AJ469" s="72">
        <v>0</v>
      </c>
      <c r="AK469" s="72"/>
      <c r="AL469" s="72"/>
      <c r="AM469" s="72"/>
    </row>
    <row r="470" spans="1:39" x14ac:dyDescent="0.25">
      <c r="A470" s="37" t="s">
        <v>62</v>
      </c>
      <c r="B470" s="66" t="s">
        <v>1566</v>
      </c>
      <c r="C470" s="47">
        <v>1012</v>
      </c>
      <c r="D470" s="47" t="s">
        <v>314</v>
      </c>
      <c r="E470" s="41">
        <v>10120052</v>
      </c>
      <c r="F470" s="46" t="s">
        <v>344</v>
      </c>
      <c r="G470" s="39" t="s">
        <v>93</v>
      </c>
      <c r="H470" s="48" t="s">
        <v>94</v>
      </c>
      <c r="I470" s="52">
        <v>2029.08</v>
      </c>
      <c r="J470" s="49">
        <v>78879.680000000008</v>
      </c>
      <c r="K470" s="65">
        <v>1134.9099999999999</v>
      </c>
      <c r="L470" s="65">
        <v>43059.322919479811</v>
      </c>
      <c r="M470" s="65">
        <v>850.61</v>
      </c>
      <c r="N470" s="65">
        <v>31884.697714910537</v>
      </c>
      <c r="O470" s="65">
        <v>1985.52</v>
      </c>
      <c r="P470" s="65">
        <v>74944.020634390356</v>
      </c>
      <c r="Q470" s="50">
        <v>74944.020634390356</v>
      </c>
      <c r="R470" s="65">
        <v>0</v>
      </c>
      <c r="S470" s="65">
        <v>110.92653594000001</v>
      </c>
      <c r="T470" s="65">
        <v>0</v>
      </c>
      <c r="U470" s="65">
        <v>3000</v>
      </c>
      <c r="V470" s="65">
        <v>0</v>
      </c>
      <c r="W470" s="65">
        <v>0</v>
      </c>
      <c r="X470" s="65">
        <v>40059</v>
      </c>
      <c r="Y470" s="65">
        <v>31774</v>
      </c>
      <c r="Z470" s="65">
        <v>0</v>
      </c>
      <c r="AA470" s="51">
        <v>3936</v>
      </c>
      <c r="AB470" s="102">
        <v>0</v>
      </c>
      <c r="AC470" s="81">
        <f t="shared" si="24"/>
        <v>0</v>
      </c>
      <c r="AD470" s="82">
        <f t="shared" si="25"/>
        <v>0</v>
      </c>
      <c r="AE470" s="218">
        <v>4.9894464146021528E-2</v>
      </c>
      <c r="AF470">
        <v>8</v>
      </c>
      <c r="AH470" t="str">
        <f t="shared" si="23"/>
        <v>DalsinghSarai</v>
      </c>
      <c r="AJ470" s="72">
        <v>0</v>
      </c>
      <c r="AK470" s="72"/>
      <c r="AL470" s="72"/>
      <c r="AM470" s="72"/>
    </row>
    <row r="471" spans="1:39" x14ac:dyDescent="0.25">
      <c r="A471" s="37" t="s">
        <v>62</v>
      </c>
      <c r="B471" s="66" t="s">
        <v>1566</v>
      </c>
      <c r="C471" s="47">
        <v>1012</v>
      </c>
      <c r="D471" s="47" t="s">
        <v>314</v>
      </c>
      <c r="E471" s="41">
        <v>10120053</v>
      </c>
      <c r="F471" s="46" t="s">
        <v>345</v>
      </c>
      <c r="G471" s="39" t="s">
        <v>93</v>
      </c>
      <c r="H471" s="48" t="s">
        <v>94</v>
      </c>
      <c r="I471" s="52">
        <v>231.45000000000002</v>
      </c>
      <c r="J471" s="49">
        <v>8972.9500000000007</v>
      </c>
      <c r="K471" s="65">
        <v>250.92</v>
      </c>
      <c r="L471" s="65">
        <v>9139.7312760776604</v>
      </c>
      <c r="M471" s="65">
        <v>0</v>
      </c>
      <c r="N471" s="65">
        <v>0</v>
      </c>
      <c r="O471" s="65">
        <v>250.92</v>
      </c>
      <c r="P471" s="65">
        <v>9139.7312760776604</v>
      </c>
      <c r="Q471" s="50">
        <v>8972.9500000000007</v>
      </c>
      <c r="R471" s="65">
        <v>0</v>
      </c>
      <c r="S471" s="65">
        <v>0</v>
      </c>
      <c r="T471" s="65">
        <v>166.78127607765964</v>
      </c>
      <c r="U471" s="65">
        <v>757</v>
      </c>
      <c r="V471" s="65">
        <v>0</v>
      </c>
      <c r="W471" s="65">
        <v>0</v>
      </c>
      <c r="X471" s="65">
        <v>8216</v>
      </c>
      <c r="Y471" s="65">
        <v>0</v>
      </c>
      <c r="Z471" s="65">
        <v>0</v>
      </c>
      <c r="AA471" s="51">
        <v>0</v>
      </c>
      <c r="AB471" s="102">
        <v>0</v>
      </c>
      <c r="AC471" s="81">
        <f t="shared" si="24"/>
        <v>363.29883106502484</v>
      </c>
      <c r="AD471" s="82">
        <f t="shared" si="25"/>
        <v>33.064285714285717</v>
      </c>
      <c r="AE471" s="218">
        <v>-1.8587117511817141E-2</v>
      </c>
      <c r="AF471">
        <v>9</v>
      </c>
      <c r="AH471" t="str">
        <f t="shared" si="23"/>
        <v>DalsinghSarai</v>
      </c>
      <c r="AJ471" s="72">
        <v>0</v>
      </c>
      <c r="AK471" s="72"/>
      <c r="AL471" s="72"/>
      <c r="AM471" s="72"/>
    </row>
    <row r="472" spans="1:39" x14ac:dyDescent="0.25">
      <c r="A472" s="37" t="s">
        <v>62</v>
      </c>
      <c r="B472" s="66" t="s">
        <v>1566</v>
      </c>
      <c r="C472" s="47">
        <v>1012</v>
      </c>
      <c r="D472" s="47" t="s">
        <v>314</v>
      </c>
      <c r="E472" s="41">
        <v>10120060</v>
      </c>
      <c r="F472" s="46" t="s">
        <v>347</v>
      </c>
      <c r="G472" s="39" t="s">
        <v>635</v>
      </c>
      <c r="H472" s="48" t="s">
        <v>99</v>
      </c>
      <c r="I472" s="52">
        <v>1816.1</v>
      </c>
      <c r="J472" s="49">
        <v>63491.28</v>
      </c>
      <c r="K472" s="65">
        <v>0</v>
      </c>
      <c r="L472" s="65">
        <v>0</v>
      </c>
      <c r="M472" s="65">
        <v>0</v>
      </c>
      <c r="N472" s="65">
        <v>0</v>
      </c>
      <c r="O472" s="65">
        <v>0</v>
      </c>
      <c r="P472" s="65">
        <v>0</v>
      </c>
      <c r="Q472" s="50">
        <v>63491.28</v>
      </c>
      <c r="R472" s="65">
        <v>0</v>
      </c>
      <c r="S472" s="65">
        <v>0</v>
      </c>
      <c r="T472" s="65">
        <v>0</v>
      </c>
      <c r="U472" s="65">
        <v>0</v>
      </c>
      <c r="V472" s="65">
        <v>630.25035483870863</v>
      </c>
      <c r="W472" s="65">
        <v>0</v>
      </c>
      <c r="X472" s="65">
        <v>0</v>
      </c>
      <c r="Y472" s="65">
        <v>0</v>
      </c>
      <c r="Z472" s="65">
        <v>62861.029645161288</v>
      </c>
      <c r="AA472" s="51">
        <v>0</v>
      </c>
      <c r="AB472" s="102">
        <v>0</v>
      </c>
      <c r="AC472" s="81">
        <f t="shared" si="24"/>
        <v>0</v>
      </c>
      <c r="AD472" s="82">
        <f t="shared" si="25"/>
        <v>0</v>
      </c>
      <c r="AE472" s="218">
        <v>0</v>
      </c>
      <c r="AF472">
        <v>0</v>
      </c>
      <c r="AH472" t="str">
        <f t="shared" si="23"/>
        <v>DalsinghSarai</v>
      </c>
      <c r="AJ472" s="72">
        <v>0</v>
      </c>
      <c r="AK472" s="72"/>
      <c r="AL472" s="72"/>
      <c r="AM472" s="72"/>
    </row>
    <row r="473" spans="1:39" x14ac:dyDescent="0.25">
      <c r="A473" s="37" t="s">
        <v>62</v>
      </c>
      <c r="B473" s="66" t="s">
        <v>1566</v>
      </c>
      <c r="C473" s="47">
        <v>1012</v>
      </c>
      <c r="D473" s="47" t="s">
        <v>314</v>
      </c>
      <c r="E473" s="41">
        <v>10120066</v>
      </c>
      <c r="F473" s="46" t="s">
        <v>348</v>
      </c>
      <c r="G473" s="39" t="s">
        <v>635</v>
      </c>
      <c r="H473" s="48" t="s">
        <v>99</v>
      </c>
      <c r="I473" s="52">
        <v>171.18</v>
      </c>
      <c r="J473" s="49">
        <v>6514.41</v>
      </c>
      <c r="K473" s="65">
        <v>0</v>
      </c>
      <c r="L473" s="65">
        <v>0</v>
      </c>
      <c r="M473" s="65">
        <v>0</v>
      </c>
      <c r="N473" s="65">
        <v>0</v>
      </c>
      <c r="O473" s="65">
        <v>0</v>
      </c>
      <c r="P473" s="65">
        <v>0</v>
      </c>
      <c r="Q473" s="50">
        <v>6514.41</v>
      </c>
      <c r="R473" s="65">
        <v>0</v>
      </c>
      <c r="S473" s="65">
        <v>0</v>
      </c>
      <c r="T473" s="65">
        <v>0</v>
      </c>
      <c r="U473" s="65">
        <v>0</v>
      </c>
      <c r="V473" s="65">
        <v>0</v>
      </c>
      <c r="W473" s="65">
        <v>0</v>
      </c>
      <c r="X473" s="65">
        <v>0</v>
      </c>
      <c r="Y473" s="65">
        <v>0</v>
      </c>
      <c r="Z473" s="65">
        <v>6514.41</v>
      </c>
      <c r="AA473" s="51">
        <v>0</v>
      </c>
      <c r="AB473" s="102">
        <v>0</v>
      </c>
      <c r="AC473" s="81">
        <f t="shared" si="24"/>
        <v>402.49448489309492</v>
      </c>
      <c r="AD473" s="82">
        <f t="shared" si="25"/>
        <v>24.454285714285714</v>
      </c>
      <c r="AE473" s="218">
        <v>0</v>
      </c>
      <c r="AF473">
        <v>0</v>
      </c>
      <c r="AH473" t="str">
        <f t="shared" si="23"/>
        <v>DalsinghSarai</v>
      </c>
      <c r="AJ473" s="72">
        <v>0</v>
      </c>
      <c r="AK473" s="72"/>
      <c r="AL473" s="72"/>
      <c r="AM473" s="72"/>
    </row>
    <row r="474" spans="1:39" x14ac:dyDescent="0.25">
      <c r="A474" s="37" t="s">
        <v>62</v>
      </c>
      <c r="B474" s="66" t="s">
        <v>1566</v>
      </c>
      <c r="C474" s="47">
        <v>1012</v>
      </c>
      <c r="D474" s="47" t="s">
        <v>314</v>
      </c>
      <c r="E474" s="41">
        <v>10120071</v>
      </c>
      <c r="F474" s="46" t="s">
        <v>349</v>
      </c>
      <c r="G474" s="39" t="s">
        <v>93</v>
      </c>
      <c r="H474" s="48" t="s">
        <v>94</v>
      </c>
      <c r="I474" s="52">
        <v>548.80000000000007</v>
      </c>
      <c r="J474" s="49">
        <v>22378.77</v>
      </c>
      <c r="K474" s="65">
        <v>105.57</v>
      </c>
      <c r="L474" s="65">
        <v>4310.8245481884996</v>
      </c>
      <c r="M474" s="65">
        <v>448.47000000000008</v>
      </c>
      <c r="N474" s="65">
        <v>20489.909168390699</v>
      </c>
      <c r="O474" s="65">
        <v>554.04000000000008</v>
      </c>
      <c r="P474" s="65">
        <v>24800.733716579198</v>
      </c>
      <c r="Q474" s="50">
        <v>22378.77</v>
      </c>
      <c r="R474" s="65">
        <v>0</v>
      </c>
      <c r="S474" s="65">
        <v>5.4075285989999999</v>
      </c>
      <c r="T474" s="65">
        <v>2421.9637165791974</v>
      </c>
      <c r="U474" s="65">
        <v>0</v>
      </c>
      <c r="V474" s="65">
        <v>0</v>
      </c>
      <c r="W474" s="65">
        <v>0</v>
      </c>
      <c r="X474" s="65">
        <v>1889</v>
      </c>
      <c r="Y474" s="65">
        <v>20484</v>
      </c>
      <c r="Z474" s="65">
        <v>0</v>
      </c>
      <c r="AA474" s="51">
        <v>0</v>
      </c>
      <c r="AB474" s="102">
        <v>0</v>
      </c>
      <c r="AC474" s="81">
        <f t="shared" si="24"/>
        <v>123.31158979591832</v>
      </c>
      <c r="AD474" s="82">
        <f t="shared" si="25"/>
        <v>78.400000000000006</v>
      </c>
      <c r="AE474" s="218">
        <v>-0.10822595328425992</v>
      </c>
      <c r="AF474">
        <v>14</v>
      </c>
      <c r="AH474" t="str">
        <f t="shared" si="23"/>
        <v>DalsinghSarai</v>
      </c>
      <c r="AJ474" s="72">
        <v>0</v>
      </c>
      <c r="AK474" s="72"/>
      <c r="AL474" s="72"/>
      <c r="AM474" s="72"/>
    </row>
    <row r="475" spans="1:39" x14ac:dyDescent="0.25">
      <c r="A475" s="37" t="s">
        <v>62</v>
      </c>
      <c r="B475" s="66" t="s">
        <v>1566</v>
      </c>
      <c r="C475" s="47">
        <v>1012</v>
      </c>
      <c r="D475" s="47" t="s">
        <v>314</v>
      </c>
      <c r="E475" s="41">
        <v>10120080</v>
      </c>
      <c r="F475" s="46" t="s">
        <v>427</v>
      </c>
      <c r="G475" s="39" t="s">
        <v>93</v>
      </c>
      <c r="H475" s="48" t="s">
        <v>94</v>
      </c>
      <c r="I475" s="52">
        <v>91.210000000000008</v>
      </c>
      <c r="J475" s="49">
        <v>3054.99</v>
      </c>
      <c r="K475" s="65">
        <v>91.210000000000008</v>
      </c>
      <c r="L475" s="65">
        <v>3043.7697518316004</v>
      </c>
      <c r="M475" s="65">
        <v>0</v>
      </c>
      <c r="N475" s="65">
        <v>0</v>
      </c>
      <c r="O475" s="65">
        <v>91.210000000000008</v>
      </c>
      <c r="P475" s="65">
        <v>3043.7697518316004</v>
      </c>
      <c r="Q475" s="50">
        <v>3043.7697518316004</v>
      </c>
      <c r="R475" s="65">
        <v>0</v>
      </c>
      <c r="S475" s="65">
        <v>0</v>
      </c>
      <c r="T475" s="65">
        <v>0</v>
      </c>
      <c r="U475" s="65">
        <v>0</v>
      </c>
      <c r="V475" s="65">
        <v>0</v>
      </c>
      <c r="W475" s="65">
        <v>0</v>
      </c>
      <c r="X475" s="65">
        <v>3044</v>
      </c>
      <c r="Y475" s="65">
        <v>0</v>
      </c>
      <c r="Z475" s="65">
        <v>0</v>
      </c>
      <c r="AA475" s="51">
        <v>11</v>
      </c>
      <c r="AB475" s="102">
        <v>0</v>
      </c>
      <c r="AC475" s="81">
        <f t="shared" si="24"/>
        <v>407.81654689178805</v>
      </c>
      <c r="AD475" s="82">
        <f t="shared" si="25"/>
        <v>13.030000000000001</v>
      </c>
      <c r="AE475" s="218">
        <v>3.6727610134237409E-3</v>
      </c>
      <c r="AF475">
        <v>1</v>
      </c>
      <c r="AH475" t="str">
        <f t="shared" si="23"/>
        <v>DalsinghSarai</v>
      </c>
      <c r="AJ475" s="72">
        <v>0</v>
      </c>
      <c r="AK475" s="72"/>
      <c r="AL475" s="72"/>
      <c r="AM475" s="72"/>
    </row>
    <row r="476" spans="1:39" x14ac:dyDescent="0.25">
      <c r="A476" s="37" t="s">
        <v>62</v>
      </c>
      <c r="B476" s="66" t="s">
        <v>1566</v>
      </c>
      <c r="C476" s="47">
        <v>1012</v>
      </c>
      <c r="D476" s="47" t="s">
        <v>314</v>
      </c>
      <c r="E476" s="41">
        <v>10120083</v>
      </c>
      <c r="F476" s="46" t="s">
        <v>441</v>
      </c>
      <c r="G476" s="39" t="s">
        <v>93</v>
      </c>
      <c r="H476" s="48" t="s">
        <v>94</v>
      </c>
      <c r="I476" s="52">
        <v>273.59000000000003</v>
      </c>
      <c r="J476" s="49">
        <v>10557.810000000001</v>
      </c>
      <c r="K476" s="65">
        <v>273.45999999999998</v>
      </c>
      <c r="L476" s="65">
        <v>10553.6489145714</v>
      </c>
      <c r="M476" s="65">
        <v>5.6</v>
      </c>
      <c r="N476" s="65">
        <v>146.09405606400003</v>
      </c>
      <c r="O476" s="65">
        <v>279.06</v>
      </c>
      <c r="P476" s="65">
        <v>10699.7429706354</v>
      </c>
      <c r="Q476" s="50">
        <v>10557.810000000001</v>
      </c>
      <c r="R476" s="65">
        <v>0</v>
      </c>
      <c r="S476" s="65">
        <v>0</v>
      </c>
      <c r="T476" s="65">
        <v>141.93297063539831</v>
      </c>
      <c r="U476" s="65">
        <v>10397</v>
      </c>
      <c r="V476" s="65">
        <v>14.152817999999968</v>
      </c>
      <c r="W476" s="65">
        <v>0</v>
      </c>
      <c r="X476" s="65">
        <v>0</v>
      </c>
      <c r="Y476" s="65">
        <v>0</v>
      </c>
      <c r="Z476" s="65">
        <v>0</v>
      </c>
      <c r="AA476" s="51">
        <v>147</v>
      </c>
      <c r="AB476" s="102" t="s">
        <v>65</v>
      </c>
      <c r="AC476" s="81">
        <f t="shared" si="24"/>
        <v>329.10236208194743</v>
      </c>
      <c r="AD476" s="82">
        <f t="shared" si="25"/>
        <v>39.08428571428572</v>
      </c>
      <c r="AE476" s="218">
        <v>-1.344341019921729E-2</v>
      </c>
      <c r="AF476">
        <v>6</v>
      </c>
      <c r="AH476" t="str">
        <f t="shared" si="23"/>
        <v>DalsinghSarai</v>
      </c>
      <c r="AJ476" s="72">
        <v>0</v>
      </c>
      <c r="AK476" s="72"/>
      <c r="AL476" s="72"/>
      <c r="AM476" s="72"/>
    </row>
    <row r="477" spans="1:39" x14ac:dyDescent="0.25">
      <c r="A477" s="37" t="s">
        <v>62</v>
      </c>
      <c r="B477" s="66" t="s">
        <v>1566</v>
      </c>
      <c r="C477" s="47">
        <v>1012</v>
      </c>
      <c r="D477" s="47" t="s">
        <v>314</v>
      </c>
      <c r="E477" s="41">
        <v>10120084</v>
      </c>
      <c r="F477" s="46" t="s">
        <v>446</v>
      </c>
      <c r="G477" s="39" t="s">
        <v>93</v>
      </c>
      <c r="H477" s="48" t="s">
        <v>94</v>
      </c>
      <c r="I477" s="52">
        <v>1089.94</v>
      </c>
      <c r="J477" s="49">
        <v>57325.640000000007</v>
      </c>
      <c r="K477" s="65">
        <v>331.84</v>
      </c>
      <c r="L477" s="65">
        <v>17289.747722779994</v>
      </c>
      <c r="M477" s="65">
        <v>907.23000000000013</v>
      </c>
      <c r="N477" s="65">
        <v>47925.769940873128</v>
      </c>
      <c r="O477" s="65">
        <v>1239.0700000000002</v>
      </c>
      <c r="P477" s="65">
        <v>65215.517663653125</v>
      </c>
      <c r="Q477" s="50">
        <v>57325.640000000007</v>
      </c>
      <c r="R477" s="65">
        <v>0</v>
      </c>
      <c r="S477" s="65">
        <v>0</v>
      </c>
      <c r="T477" s="65">
        <v>7889.8776636531184</v>
      </c>
      <c r="U477" s="65">
        <v>6750</v>
      </c>
      <c r="V477" s="65">
        <v>0</v>
      </c>
      <c r="W477" s="65">
        <v>0</v>
      </c>
      <c r="X477" s="65">
        <v>13039</v>
      </c>
      <c r="Y477" s="65">
        <v>37537</v>
      </c>
      <c r="Z477" s="65">
        <v>0</v>
      </c>
      <c r="AA477" s="51">
        <v>0</v>
      </c>
      <c r="AB477" s="102" t="s">
        <v>68</v>
      </c>
      <c r="AC477" s="81">
        <f t="shared" si="24"/>
        <v>0</v>
      </c>
      <c r="AD477" s="82">
        <f t="shared" si="25"/>
        <v>0</v>
      </c>
      <c r="AE477" s="218">
        <v>-0.13763261367257509</v>
      </c>
      <c r="AF477">
        <v>27</v>
      </c>
      <c r="AH477" t="str">
        <f t="shared" si="23"/>
        <v>DalsinghSarai</v>
      </c>
      <c r="AJ477" s="72">
        <v>0</v>
      </c>
      <c r="AK477" s="72"/>
      <c r="AL477" s="72"/>
      <c r="AM477" s="72"/>
    </row>
    <row r="478" spans="1:39" x14ac:dyDescent="0.25">
      <c r="A478" s="37" t="s">
        <v>62</v>
      </c>
      <c r="B478" s="66" t="s">
        <v>1566</v>
      </c>
      <c r="C478" s="47">
        <v>1012</v>
      </c>
      <c r="D478" s="47" t="s">
        <v>314</v>
      </c>
      <c r="E478" s="41">
        <v>10120086</v>
      </c>
      <c r="F478" s="46" t="s">
        <v>442</v>
      </c>
      <c r="G478" s="39" t="s">
        <v>635</v>
      </c>
      <c r="H478" s="48" t="s">
        <v>99</v>
      </c>
      <c r="I478" s="52">
        <v>857.70000000000016</v>
      </c>
      <c r="J478" s="49">
        <v>32991.64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50">
        <v>32991.64</v>
      </c>
      <c r="R478" s="65">
        <v>0</v>
      </c>
      <c r="S478" s="65">
        <v>0</v>
      </c>
      <c r="T478" s="65">
        <v>0</v>
      </c>
      <c r="U478" s="65">
        <v>0</v>
      </c>
      <c r="V478" s="65">
        <v>0</v>
      </c>
      <c r="W478" s="65">
        <v>0</v>
      </c>
      <c r="X478" s="65">
        <v>0</v>
      </c>
      <c r="Y478" s="65">
        <v>0</v>
      </c>
      <c r="Z478" s="65">
        <v>32991.64</v>
      </c>
      <c r="AA478" s="51">
        <v>0</v>
      </c>
      <c r="AB478" s="102">
        <v>0</v>
      </c>
      <c r="AC478" s="81">
        <f t="shared" si="24"/>
        <v>0</v>
      </c>
      <c r="AD478" s="82">
        <f t="shared" si="25"/>
        <v>0</v>
      </c>
      <c r="AE478" s="218">
        <v>0</v>
      </c>
      <c r="AF478">
        <v>0</v>
      </c>
      <c r="AH478" t="str">
        <f t="shared" si="23"/>
        <v>DalsinghSarai</v>
      </c>
      <c r="AJ478" s="72">
        <v>0</v>
      </c>
      <c r="AK478" s="72"/>
      <c r="AL478" s="72"/>
      <c r="AM478" s="72"/>
    </row>
    <row r="479" spans="1:39" x14ac:dyDescent="0.25">
      <c r="A479" s="37" t="s">
        <v>62</v>
      </c>
      <c r="B479" s="66" t="s">
        <v>1566</v>
      </c>
      <c r="C479" s="47">
        <v>1062</v>
      </c>
      <c r="D479" s="47" t="s">
        <v>1443</v>
      </c>
      <c r="E479" s="41">
        <v>10120088</v>
      </c>
      <c r="F479" s="46" t="s">
        <v>1391</v>
      </c>
      <c r="G479" s="39" t="s">
        <v>635</v>
      </c>
      <c r="H479" s="48" t="s">
        <v>99</v>
      </c>
      <c r="I479" s="52">
        <v>2713.3999999999996</v>
      </c>
      <c r="J479" s="49">
        <v>102445.03</v>
      </c>
      <c r="K479" s="65">
        <v>0</v>
      </c>
      <c r="L479" s="65">
        <v>0</v>
      </c>
      <c r="M479" s="65">
        <v>0</v>
      </c>
      <c r="N479" s="65">
        <v>0</v>
      </c>
      <c r="O479" s="65">
        <v>0</v>
      </c>
      <c r="P479" s="65">
        <v>0</v>
      </c>
      <c r="Q479" s="50">
        <v>102445.03</v>
      </c>
      <c r="R479" s="65">
        <v>0</v>
      </c>
      <c r="S479" s="65">
        <v>0</v>
      </c>
      <c r="T479" s="65">
        <v>0</v>
      </c>
      <c r="U479" s="65">
        <v>0</v>
      </c>
      <c r="V479" s="65">
        <v>0</v>
      </c>
      <c r="W479" s="65">
        <v>0</v>
      </c>
      <c r="X479" s="65">
        <v>0</v>
      </c>
      <c r="Y479" s="65">
        <v>0</v>
      </c>
      <c r="Z479" s="65">
        <v>102445.03</v>
      </c>
      <c r="AA479" s="51">
        <v>0</v>
      </c>
      <c r="AB479" s="102">
        <v>0</v>
      </c>
      <c r="AC479" s="81">
        <f t="shared" si="24"/>
        <v>0</v>
      </c>
      <c r="AD479" s="82">
        <f t="shared" si="25"/>
        <v>0</v>
      </c>
      <c r="AE479" s="218">
        <v>0</v>
      </c>
      <c r="AF479">
        <v>0</v>
      </c>
      <c r="AH479" t="str">
        <f t="shared" si="23"/>
        <v>Singhia BMC</v>
      </c>
      <c r="AJ479" s="72">
        <v>0</v>
      </c>
      <c r="AK479" s="72"/>
      <c r="AL479" s="72"/>
      <c r="AM479" s="72"/>
    </row>
    <row r="480" spans="1:39" x14ac:dyDescent="0.25">
      <c r="A480" s="37" t="s">
        <v>62</v>
      </c>
      <c r="B480" s="66" t="s">
        <v>1566</v>
      </c>
      <c r="C480" s="47">
        <v>1012</v>
      </c>
      <c r="D480" s="47" t="s">
        <v>314</v>
      </c>
      <c r="E480" s="41">
        <v>10120089</v>
      </c>
      <c r="F480" s="46" t="s">
        <v>505</v>
      </c>
      <c r="G480" s="39" t="s">
        <v>93</v>
      </c>
      <c r="H480" s="48" t="s">
        <v>94</v>
      </c>
      <c r="I480" s="52">
        <v>608.68999999999994</v>
      </c>
      <c r="J480" s="49">
        <v>22650.47</v>
      </c>
      <c r="K480" s="65">
        <v>611.79999999999995</v>
      </c>
      <c r="L480" s="65">
        <v>23229.066855060002</v>
      </c>
      <c r="M480" s="65">
        <v>1.4000000000000001</v>
      </c>
      <c r="N480" s="65">
        <v>53.068140972000016</v>
      </c>
      <c r="O480" s="65">
        <v>613.19999999999993</v>
      </c>
      <c r="P480" s="65">
        <v>23282.134996032</v>
      </c>
      <c r="Q480" s="50">
        <v>22650.47</v>
      </c>
      <c r="R480" s="65">
        <v>0</v>
      </c>
      <c r="S480" s="65">
        <v>53.068140972000016</v>
      </c>
      <c r="T480" s="65">
        <v>631.66499603199918</v>
      </c>
      <c r="U480" s="65">
        <v>2700</v>
      </c>
      <c r="V480" s="65">
        <v>0</v>
      </c>
      <c r="W480" s="65">
        <v>0</v>
      </c>
      <c r="X480" s="65">
        <v>19897</v>
      </c>
      <c r="Y480" s="65">
        <v>0</v>
      </c>
      <c r="Z480" s="65">
        <v>0</v>
      </c>
      <c r="AA480" s="51">
        <v>0</v>
      </c>
      <c r="AB480" s="102">
        <v>0</v>
      </c>
      <c r="AC480" s="81">
        <f t="shared" si="24"/>
        <v>67.956247538155765</v>
      </c>
      <c r="AD480" s="82">
        <f t="shared" si="25"/>
        <v>86.955714285714279</v>
      </c>
      <c r="AE480" s="218">
        <v>-2.7887500613982808E-2</v>
      </c>
      <c r="AF480">
        <v>2</v>
      </c>
      <c r="AH480" t="str">
        <f t="shared" si="23"/>
        <v>DalsinghSarai</v>
      </c>
      <c r="AJ480" s="72">
        <v>0</v>
      </c>
      <c r="AK480" s="72"/>
      <c r="AL480" s="72"/>
      <c r="AM480" s="72"/>
    </row>
    <row r="481" spans="1:39" x14ac:dyDescent="0.25">
      <c r="A481" s="37" t="s">
        <v>62</v>
      </c>
      <c r="B481" s="66" t="s">
        <v>1566</v>
      </c>
      <c r="C481" s="47">
        <v>1012</v>
      </c>
      <c r="D481" s="47" t="s">
        <v>314</v>
      </c>
      <c r="E481" s="41">
        <v>10120091</v>
      </c>
      <c r="F481" s="46" t="s">
        <v>511</v>
      </c>
      <c r="G481" s="39" t="s">
        <v>93</v>
      </c>
      <c r="H481" s="48" t="s">
        <v>94</v>
      </c>
      <c r="I481" s="52">
        <v>465.61</v>
      </c>
      <c r="J481" s="49">
        <v>18612.420000000002</v>
      </c>
      <c r="K481" s="65">
        <v>159.05000000000001</v>
      </c>
      <c r="L481" s="65">
        <v>6332.3187058478015</v>
      </c>
      <c r="M481" s="65">
        <v>302.43</v>
      </c>
      <c r="N481" s="65">
        <v>11057.25155781234</v>
      </c>
      <c r="O481" s="65">
        <v>461.48</v>
      </c>
      <c r="P481" s="65">
        <v>17389.570263660142</v>
      </c>
      <c r="Q481" s="50">
        <v>17389.570263660142</v>
      </c>
      <c r="R481" s="65">
        <v>0</v>
      </c>
      <c r="S481" s="65">
        <v>324.58535770320003</v>
      </c>
      <c r="T481" s="65">
        <v>0</v>
      </c>
      <c r="U481" s="65">
        <v>0</v>
      </c>
      <c r="V481" s="65">
        <v>0</v>
      </c>
      <c r="W481" s="65">
        <v>0</v>
      </c>
      <c r="X481" s="65">
        <v>6332</v>
      </c>
      <c r="Y481" s="65">
        <v>10732</v>
      </c>
      <c r="Z481" s="65">
        <v>0</v>
      </c>
      <c r="AA481" s="51">
        <v>1224</v>
      </c>
      <c r="AB481" s="102">
        <v>0</v>
      </c>
      <c r="AC481" s="81">
        <f t="shared" si="24"/>
        <v>187.39138436889246</v>
      </c>
      <c r="AD481" s="82">
        <f t="shared" si="25"/>
        <v>66.515714285714282</v>
      </c>
      <c r="AE481" s="218">
        <v>6.5700738342454129E-2</v>
      </c>
      <c r="AF481">
        <v>13</v>
      </c>
      <c r="AH481" t="str">
        <f t="shared" si="23"/>
        <v>DalsinghSarai</v>
      </c>
      <c r="AJ481" s="72">
        <v>0</v>
      </c>
      <c r="AK481" s="72"/>
      <c r="AL481" s="72"/>
      <c r="AM481" s="72"/>
    </row>
    <row r="482" spans="1:39" x14ac:dyDescent="0.25">
      <c r="A482" s="37" t="s">
        <v>62</v>
      </c>
      <c r="B482" s="66" t="s">
        <v>1566</v>
      </c>
      <c r="C482" s="47">
        <v>1012</v>
      </c>
      <c r="D482" s="47" t="s">
        <v>314</v>
      </c>
      <c r="E482" s="41">
        <v>10120094</v>
      </c>
      <c r="F482" s="46" t="s">
        <v>518</v>
      </c>
      <c r="G482" s="39" t="s">
        <v>93</v>
      </c>
      <c r="H482" s="48" t="s">
        <v>94</v>
      </c>
      <c r="I482" s="52">
        <v>853.16</v>
      </c>
      <c r="J482" s="49">
        <v>39274.299999999996</v>
      </c>
      <c r="K482" s="65">
        <v>136.04</v>
      </c>
      <c r="L482" s="65">
        <v>6487.2064630427694</v>
      </c>
      <c r="M482" s="65">
        <v>726.43000000000006</v>
      </c>
      <c r="N482" s="65">
        <v>33054.612834397012</v>
      </c>
      <c r="O482" s="65">
        <v>862.47</v>
      </c>
      <c r="P482" s="65">
        <v>39541.819297439783</v>
      </c>
      <c r="Q482" s="50">
        <v>39274.299999999996</v>
      </c>
      <c r="R482" s="65">
        <v>0</v>
      </c>
      <c r="S482" s="65">
        <v>0</v>
      </c>
      <c r="T482" s="65">
        <v>267.5192974397869</v>
      </c>
      <c r="U482" s="65">
        <v>6750</v>
      </c>
      <c r="V482" s="65">
        <v>0</v>
      </c>
      <c r="W482" s="65">
        <v>0</v>
      </c>
      <c r="X482" s="65">
        <v>2710</v>
      </c>
      <c r="Y482" s="65">
        <v>29814</v>
      </c>
      <c r="Z482" s="65">
        <v>0</v>
      </c>
      <c r="AA482" s="51">
        <v>0</v>
      </c>
      <c r="AB482" s="102">
        <v>0</v>
      </c>
      <c r="AC482" s="81">
        <f t="shared" si="24"/>
        <v>0</v>
      </c>
      <c r="AD482" s="82">
        <f t="shared" si="25"/>
        <v>0</v>
      </c>
      <c r="AE482" s="218">
        <v>-6.8115611847897207E-3</v>
      </c>
      <c r="AF482">
        <v>24</v>
      </c>
      <c r="AH482" t="str">
        <f t="shared" si="23"/>
        <v>DalsinghSarai</v>
      </c>
      <c r="AJ482" s="72">
        <v>0</v>
      </c>
      <c r="AK482" s="72"/>
      <c r="AL482" s="72"/>
      <c r="AM482" s="72"/>
    </row>
    <row r="483" spans="1:39" x14ac:dyDescent="0.25">
      <c r="A483" s="37" t="s">
        <v>62</v>
      </c>
      <c r="B483" s="66" t="s">
        <v>1566</v>
      </c>
      <c r="C483" s="47">
        <v>1012</v>
      </c>
      <c r="D483" s="47" t="s">
        <v>314</v>
      </c>
      <c r="E483" s="41">
        <v>10120095</v>
      </c>
      <c r="F483" s="46" t="s">
        <v>538</v>
      </c>
      <c r="G483" s="39" t="s">
        <v>93</v>
      </c>
      <c r="H483" s="48" t="s">
        <v>94</v>
      </c>
      <c r="I483" s="52">
        <v>180.94</v>
      </c>
      <c r="J483" s="49">
        <v>8296.3200000000015</v>
      </c>
      <c r="K483" s="65">
        <v>76</v>
      </c>
      <c r="L483" s="65">
        <v>3144.1932719999995</v>
      </c>
      <c r="M483" s="65">
        <v>116</v>
      </c>
      <c r="N483" s="65">
        <v>4792.6541519999992</v>
      </c>
      <c r="O483" s="65">
        <v>192</v>
      </c>
      <c r="P483" s="65">
        <v>7936.8474239999987</v>
      </c>
      <c r="Q483" s="50">
        <v>7936.8474239999987</v>
      </c>
      <c r="R483" s="65">
        <v>0</v>
      </c>
      <c r="S483" s="65">
        <v>0</v>
      </c>
      <c r="T483" s="65">
        <v>0</v>
      </c>
      <c r="U483" s="65">
        <v>0</v>
      </c>
      <c r="V483" s="65">
        <v>0</v>
      </c>
      <c r="W483" s="65">
        <v>0</v>
      </c>
      <c r="X483" s="65">
        <v>3144</v>
      </c>
      <c r="Y483" s="65">
        <v>4793</v>
      </c>
      <c r="Z483" s="65">
        <v>0</v>
      </c>
      <c r="AA483" s="51">
        <v>359</v>
      </c>
      <c r="AB483" s="102">
        <v>0</v>
      </c>
      <c r="AC483" s="81">
        <f t="shared" si="24"/>
        <v>475.99069959102468</v>
      </c>
      <c r="AD483" s="82">
        <f t="shared" si="25"/>
        <v>25.848571428571429</v>
      </c>
      <c r="AE483" s="218">
        <v>4.3329159916686288E-2</v>
      </c>
      <c r="AF483">
        <v>3</v>
      </c>
      <c r="AH483" t="str">
        <f t="shared" si="23"/>
        <v>DalsinghSarai</v>
      </c>
      <c r="AJ483" s="72">
        <v>0</v>
      </c>
      <c r="AK483" s="72"/>
      <c r="AL483" s="72"/>
      <c r="AM483" s="72"/>
    </row>
    <row r="484" spans="1:39" x14ac:dyDescent="0.25">
      <c r="A484" s="37" t="s">
        <v>62</v>
      </c>
      <c r="B484" s="66" t="s">
        <v>1566</v>
      </c>
      <c r="C484" s="47">
        <v>1012</v>
      </c>
      <c r="D484" s="47" t="s">
        <v>314</v>
      </c>
      <c r="E484" s="41">
        <v>10120096</v>
      </c>
      <c r="F484" s="46" t="s">
        <v>519</v>
      </c>
      <c r="G484" s="39" t="s">
        <v>635</v>
      </c>
      <c r="H484" s="48" t="s">
        <v>99</v>
      </c>
      <c r="I484" s="52">
        <v>505.02</v>
      </c>
      <c r="J484" s="49">
        <v>20870.329999999998</v>
      </c>
      <c r="K484" s="65">
        <v>0</v>
      </c>
      <c r="L484" s="65">
        <v>0</v>
      </c>
      <c r="M484" s="65">
        <v>0</v>
      </c>
      <c r="N484" s="65">
        <v>0</v>
      </c>
      <c r="O484" s="65">
        <v>0</v>
      </c>
      <c r="P484" s="65">
        <v>0</v>
      </c>
      <c r="Q484" s="50">
        <v>20870.329999999998</v>
      </c>
      <c r="R484" s="65">
        <v>0</v>
      </c>
      <c r="S484" s="65">
        <v>0</v>
      </c>
      <c r="T484" s="65">
        <v>0</v>
      </c>
      <c r="U484" s="65">
        <v>20582</v>
      </c>
      <c r="V484" s="65">
        <v>288.80714903225794</v>
      </c>
      <c r="W484" s="65">
        <v>0</v>
      </c>
      <c r="X484" s="65">
        <v>0</v>
      </c>
      <c r="Y484" s="65">
        <v>0</v>
      </c>
      <c r="Z484" s="65">
        <v>-0.47714903225983107</v>
      </c>
      <c r="AA484" s="51">
        <v>0</v>
      </c>
      <c r="AB484" s="102">
        <v>0</v>
      </c>
      <c r="AC484" s="81">
        <f t="shared" si="24"/>
        <v>161.15389265375634</v>
      </c>
      <c r="AD484" s="82">
        <f t="shared" si="25"/>
        <v>72.145714285714277</v>
      </c>
      <c r="AE484" s="218">
        <v>0</v>
      </c>
      <c r="AF484">
        <v>0</v>
      </c>
      <c r="AH484" t="str">
        <f t="shared" si="23"/>
        <v>DalsinghSarai</v>
      </c>
      <c r="AJ484" s="72">
        <v>0</v>
      </c>
      <c r="AK484" s="72"/>
      <c r="AL484" s="72"/>
      <c r="AM484" s="72"/>
    </row>
    <row r="485" spans="1:39" x14ac:dyDescent="0.25">
      <c r="A485" s="37" t="s">
        <v>62</v>
      </c>
      <c r="B485" s="66" t="s">
        <v>1566</v>
      </c>
      <c r="C485" s="47">
        <v>1012</v>
      </c>
      <c r="D485" s="47" t="s">
        <v>314</v>
      </c>
      <c r="E485" s="41">
        <v>10120099</v>
      </c>
      <c r="F485" s="46" t="s">
        <v>540</v>
      </c>
      <c r="G485" s="39" t="s">
        <v>635</v>
      </c>
      <c r="H485" s="48" t="s">
        <v>99</v>
      </c>
      <c r="I485" s="52">
        <v>973.8</v>
      </c>
      <c r="J485" s="49">
        <v>37941.589999999997</v>
      </c>
      <c r="K485" s="65">
        <v>0</v>
      </c>
      <c r="L485" s="65">
        <v>0</v>
      </c>
      <c r="M485" s="65">
        <v>0</v>
      </c>
      <c r="N485" s="65">
        <v>0</v>
      </c>
      <c r="O485" s="65">
        <v>0</v>
      </c>
      <c r="P485" s="65">
        <v>0</v>
      </c>
      <c r="Q485" s="50">
        <v>37941.589999999997</v>
      </c>
      <c r="R485" s="65">
        <v>0</v>
      </c>
      <c r="S485" s="65">
        <v>0</v>
      </c>
      <c r="T485" s="65">
        <v>0</v>
      </c>
      <c r="U485" s="65">
        <v>0</v>
      </c>
      <c r="V485" s="65">
        <v>19326.096000000001</v>
      </c>
      <c r="W485" s="65">
        <v>0</v>
      </c>
      <c r="X485" s="65">
        <v>0</v>
      </c>
      <c r="Y485" s="65">
        <v>0</v>
      </c>
      <c r="Z485" s="65">
        <v>18615.493999999995</v>
      </c>
      <c r="AA485" s="51">
        <v>0</v>
      </c>
      <c r="AB485" s="102">
        <v>0</v>
      </c>
      <c r="AC485" s="81">
        <f t="shared" si="24"/>
        <v>0</v>
      </c>
      <c r="AD485" s="82">
        <f t="shared" si="25"/>
        <v>0</v>
      </c>
      <c r="AE485" s="218">
        <v>0</v>
      </c>
      <c r="AF485">
        <v>0</v>
      </c>
      <c r="AH485" t="str">
        <f t="shared" si="23"/>
        <v>DalsinghSarai</v>
      </c>
      <c r="AJ485" s="72">
        <v>0</v>
      </c>
      <c r="AK485" s="72"/>
      <c r="AL485" s="72"/>
      <c r="AM485" s="72"/>
    </row>
    <row r="486" spans="1:39" x14ac:dyDescent="0.25">
      <c r="A486" s="37" t="s">
        <v>62</v>
      </c>
      <c r="B486" s="66" t="s">
        <v>1566</v>
      </c>
      <c r="C486" s="47">
        <v>1012</v>
      </c>
      <c r="D486" s="47" t="s">
        <v>314</v>
      </c>
      <c r="E486" s="41">
        <v>10120103</v>
      </c>
      <c r="F486" s="46" t="s">
        <v>577</v>
      </c>
      <c r="G486" s="39" t="s">
        <v>635</v>
      </c>
      <c r="H486" s="48" t="s">
        <v>99</v>
      </c>
      <c r="I486" s="52">
        <v>1107</v>
      </c>
      <c r="J486" s="49">
        <v>40648.379999999997</v>
      </c>
      <c r="K486" s="65">
        <v>0</v>
      </c>
      <c r="L486" s="65">
        <v>0</v>
      </c>
      <c r="M486" s="65">
        <v>0</v>
      </c>
      <c r="N486" s="65">
        <v>0</v>
      </c>
      <c r="O486" s="65">
        <v>0</v>
      </c>
      <c r="P486" s="65">
        <v>0</v>
      </c>
      <c r="Q486" s="50">
        <v>40648.379999999997</v>
      </c>
      <c r="R486" s="65">
        <v>0</v>
      </c>
      <c r="S486" s="65">
        <v>0</v>
      </c>
      <c r="T486" s="65">
        <v>0</v>
      </c>
      <c r="U486" s="65">
        <v>0</v>
      </c>
      <c r="V486" s="65">
        <v>0</v>
      </c>
      <c r="W486" s="65">
        <v>0</v>
      </c>
      <c r="X486" s="65">
        <v>0</v>
      </c>
      <c r="Y486" s="65">
        <v>0</v>
      </c>
      <c r="Z486" s="65">
        <v>40648.379999999997</v>
      </c>
      <c r="AA486" s="51">
        <v>0</v>
      </c>
      <c r="AB486" s="102">
        <v>0</v>
      </c>
      <c r="AC486" s="81">
        <f t="shared" si="24"/>
        <v>0</v>
      </c>
      <c r="AD486" s="82">
        <f t="shared" si="25"/>
        <v>0</v>
      </c>
      <c r="AE486" s="218">
        <v>0</v>
      </c>
      <c r="AF486">
        <v>0</v>
      </c>
      <c r="AH486" t="str">
        <f t="shared" si="23"/>
        <v>DalsinghSarai</v>
      </c>
      <c r="AJ486" s="72">
        <v>0</v>
      </c>
      <c r="AK486" s="72"/>
      <c r="AL486" s="72"/>
      <c r="AM486" s="72"/>
    </row>
    <row r="487" spans="1:39" x14ac:dyDescent="0.25">
      <c r="A487" s="37" t="s">
        <v>62</v>
      </c>
      <c r="B487" s="66" t="s">
        <v>1566</v>
      </c>
      <c r="C487" s="47">
        <v>1012</v>
      </c>
      <c r="D487" s="47" t="s">
        <v>314</v>
      </c>
      <c r="E487" s="41">
        <v>10120104</v>
      </c>
      <c r="F487" s="46" t="s">
        <v>667</v>
      </c>
      <c r="G487" s="39" t="s">
        <v>93</v>
      </c>
      <c r="H487" s="48" t="s">
        <v>94</v>
      </c>
      <c r="I487" s="52">
        <v>695.31</v>
      </c>
      <c r="J487" s="49">
        <v>26687.729999999996</v>
      </c>
      <c r="K487" s="65">
        <v>269.3</v>
      </c>
      <c r="L487" s="65">
        <v>10450.430068320002</v>
      </c>
      <c r="M487" s="65">
        <v>457.5</v>
      </c>
      <c r="N487" s="65">
        <v>17684.682075720004</v>
      </c>
      <c r="O487" s="65">
        <v>726.8</v>
      </c>
      <c r="P487" s="65">
        <v>28135.112144040006</v>
      </c>
      <c r="Q487" s="50">
        <v>26687.729999999996</v>
      </c>
      <c r="R487" s="65">
        <v>0</v>
      </c>
      <c r="S487" s="65">
        <v>0</v>
      </c>
      <c r="T487" s="65">
        <v>1447.3821440400097</v>
      </c>
      <c r="U487" s="65">
        <v>1434</v>
      </c>
      <c r="V487" s="65">
        <v>0</v>
      </c>
      <c r="W487" s="65">
        <v>0</v>
      </c>
      <c r="X487" s="65">
        <v>7570</v>
      </c>
      <c r="Y487" s="65">
        <v>17684</v>
      </c>
      <c r="Z487" s="65">
        <v>0</v>
      </c>
      <c r="AA487" s="51">
        <v>0</v>
      </c>
      <c r="AB487" s="102">
        <v>0</v>
      </c>
      <c r="AC487" s="81">
        <f t="shared" si="24"/>
        <v>3.6002776804590844</v>
      </c>
      <c r="AD487" s="82">
        <f t="shared" si="25"/>
        <v>99.33</v>
      </c>
      <c r="AE487" s="218">
        <v>-5.4233992326811233E-2</v>
      </c>
      <c r="AF487">
        <v>4</v>
      </c>
      <c r="AH487" t="str">
        <f t="shared" si="23"/>
        <v>DalsinghSarai</v>
      </c>
      <c r="AJ487" s="72">
        <v>0</v>
      </c>
      <c r="AK487" s="72"/>
      <c r="AL487" s="72"/>
      <c r="AM487" s="72"/>
    </row>
    <row r="488" spans="1:39" x14ac:dyDescent="0.25">
      <c r="A488" s="37" t="s">
        <v>62</v>
      </c>
      <c r="B488" s="66" t="s">
        <v>1566</v>
      </c>
      <c r="C488" s="47">
        <v>1012</v>
      </c>
      <c r="D488" s="47" t="s">
        <v>314</v>
      </c>
      <c r="E488" s="41">
        <v>10120106</v>
      </c>
      <c r="F488" s="46" t="s">
        <v>660</v>
      </c>
      <c r="G488" s="39" t="s">
        <v>635</v>
      </c>
      <c r="H488" s="48" t="s">
        <v>99</v>
      </c>
      <c r="I488" s="52">
        <v>1400</v>
      </c>
      <c r="J488" s="49">
        <v>48501.1</v>
      </c>
      <c r="K488" s="65">
        <v>0</v>
      </c>
      <c r="L488" s="65">
        <v>0</v>
      </c>
      <c r="M488" s="65">
        <v>0</v>
      </c>
      <c r="N488" s="65">
        <v>0</v>
      </c>
      <c r="O488" s="65">
        <v>0</v>
      </c>
      <c r="P488" s="65">
        <v>0</v>
      </c>
      <c r="Q488" s="50">
        <v>48501.1</v>
      </c>
      <c r="R488" s="65">
        <v>0</v>
      </c>
      <c r="S488" s="65">
        <v>0</v>
      </c>
      <c r="T488" s="65">
        <v>0</v>
      </c>
      <c r="U488" s="65">
        <v>0</v>
      </c>
      <c r="V488" s="65">
        <v>618.19935483871086</v>
      </c>
      <c r="W488" s="65">
        <v>0</v>
      </c>
      <c r="X488" s="65">
        <v>0</v>
      </c>
      <c r="Y488" s="65">
        <v>0</v>
      </c>
      <c r="Z488" s="65">
        <v>47882.900645161288</v>
      </c>
      <c r="AA488" s="51">
        <v>0</v>
      </c>
      <c r="AB488" s="102">
        <v>0</v>
      </c>
      <c r="AC488" s="81">
        <f t="shared" si="24"/>
        <v>0</v>
      </c>
      <c r="AD488" s="82">
        <f t="shared" si="25"/>
        <v>0</v>
      </c>
      <c r="AE488" s="218">
        <v>0</v>
      </c>
      <c r="AF488">
        <v>0</v>
      </c>
      <c r="AH488" t="str">
        <f t="shared" si="23"/>
        <v>DalsinghSarai</v>
      </c>
      <c r="AJ488" s="72">
        <v>0</v>
      </c>
      <c r="AK488" s="72"/>
      <c r="AL488" s="72"/>
      <c r="AM488" s="72"/>
    </row>
    <row r="489" spans="1:39" x14ac:dyDescent="0.25">
      <c r="A489" s="37" t="s">
        <v>62</v>
      </c>
      <c r="B489" s="66" t="s">
        <v>1566</v>
      </c>
      <c r="C489" s="47">
        <v>1012</v>
      </c>
      <c r="D489" s="47" t="s">
        <v>314</v>
      </c>
      <c r="E489" s="41">
        <v>10120107</v>
      </c>
      <c r="F489" s="46" t="s">
        <v>668</v>
      </c>
      <c r="G489" s="39" t="s">
        <v>93</v>
      </c>
      <c r="H489" s="48" t="s">
        <v>94</v>
      </c>
      <c r="I489" s="52">
        <v>705.92999999999984</v>
      </c>
      <c r="J489" s="49">
        <v>27442.02</v>
      </c>
      <c r="K489" s="65">
        <v>702.76</v>
      </c>
      <c r="L489" s="65">
        <v>27314.979849036001</v>
      </c>
      <c r="M489" s="65">
        <v>2</v>
      </c>
      <c r="N489" s="65">
        <v>57.342677040000012</v>
      </c>
      <c r="O489" s="65">
        <v>704.76</v>
      </c>
      <c r="P489" s="65">
        <v>27372.322526076001</v>
      </c>
      <c r="Q489" s="50">
        <v>27372.322526076001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27315</v>
      </c>
      <c r="Y489" s="65">
        <v>58</v>
      </c>
      <c r="Z489" s="65">
        <v>0</v>
      </c>
      <c r="AA489" s="51">
        <v>69</v>
      </c>
      <c r="AB489" s="102">
        <v>0</v>
      </c>
      <c r="AC489" s="81">
        <f t="shared" si="24"/>
        <v>0</v>
      </c>
      <c r="AD489" s="82">
        <f t="shared" si="25"/>
        <v>0</v>
      </c>
      <c r="AE489" s="218">
        <v>2.539808436988221E-3</v>
      </c>
      <c r="AF489">
        <v>3</v>
      </c>
      <c r="AH489" t="str">
        <f t="shared" si="23"/>
        <v>DalsinghSarai</v>
      </c>
      <c r="AJ489" s="72">
        <v>0</v>
      </c>
      <c r="AK489" s="72"/>
      <c r="AL489" s="72"/>
      <c r="AM489" s="72"/>
    </row>
    <row r="490" spans="1:39" x14ac:dyDescent="0.25">
      <c r="A490" s="37" t="s">
        <v>62</v>
      </c>
      <c r="B490" s="66" t="s">
        <v>1566</v>
      </c>
      <c r="C490" s="47">
        <v>1012</v>
      </c>
      <c r="D490" s="47" t="s">
        <v>314</v>
      </c>
      <c r="E490" s="109">
        <v>10120108</v>
      </c>
      <c r="F490" s="46" t="s">
        <v>1122</v>
      </c>
      <c r="G490" s="110" t="s">
        <v>93</v>
      </c>
      <c r="H490" s="48" t="s">
        <v>94</v>
      </c>
      <c r="I490" s="111">
        <v>953.71999999999991</v>
      </c>
      <c r="J490" s="49">
        <v>37159.56</v>
      </c>
      <c r="K490" s="65">
        <v>698.70000000000016</v>
      </c>
      <c r="L490" s="65">
        <v>29118.751267966349</v>
      </c>
      <c r="M490" s="65">
        <v>268</v>
      </c>
      <c r="N490" s="65">
        <v>10517.386607957002</v>
      </c>
      <c r="O490" s="65">
        <v>966.70000000000016</v>
      </c>
      <c r="P490" s="65">
        <v>39636.137875923348</v>
      </c>
      <c r="Q490" s="50">
        <v>37159.56</v>
      </c>
      <c r="R490" s="65">
        <v>0</v>
      </c>
      <c r="S490" s="65">
        <v>0</v>
      </c>
      <c r="T490" s="65">
        <v>2476.5778759233508</v>
      </c>
      <c r="U490" s="65">
        <v>0</v>
      </c>
      <c r="V490" s="65">
        <v>0</v>
      </c>
      <c r="W490" s="65">
        <v>0</v>
      </c>
      <c r="X490" s="65">
        <v>26642</v>
      </c>
      <c r="Y490" s="65">
        <v>10518</v>
      </c>
      <c r="Z490" s="65">
        <v>0</v>
      </c>
      <c r="AA490" s="51">
        <v>0</v>
      </c>
      <c r="AB490" s="102">
        <v>0</v>
      </c>
      <c r="AC490" s="81">
        <f t="shared" si="24"/>
        <v>0</v>
      </c>
      <c r="AD490" s="82">
        <f t="shared" si="25"/>
        <v>0</v>
      </c>
      <c r="AE490" s="218">
        <v>-6.6647125959600997E-2</v>
      </c>
      <c r="AF490">
        <v>11</v>
      </c>
      <c r="AH490" t="str">
        <f t="shared" si="23"/>
        <v>DalsinghSarai</v>
      </c>
      <c r="AJ490" s="72">
        <v>0</v>
      </c>
      <c r="AK490" s="72"/>
      <c r="AL490" s="72"/>
      <c r="AM490" s="72"/>
    </row>
    <row r="491" spans="1:39" x14ac:dyDescent="0.25">
      <c r="A491" s="37" t="s">
        <v>62</v>
      </c>
      <c r="B491" s="66" t="s">
        <v>1566</v>
      </c>
      <c r="C491" s="47">
        <v>1012</v>
      </c>
      <c r="D491" s="47" t="s">
        <v>314</v>
      </c>
      <c r="E491" s="41">
        <v>10120109</v>
      </c>
      <c r="F491" s="46" t="s">
        <v>1498</v>
      </c>
      <c r="G491" s="39" t="s">
        <v>635</v>
      </c>
      <c r="H491" s="48" t="s">
        <v>99</v>
      </c>
      <c r="I491" s="52">
        <v>247.82999999999998</v>
      </c>
      <c r="J491" s="49">
        <v>9258.9</v>
      </c>
      <c r="K491" s="65">
        <v>0</v>
      </c>
      <c r="L491" s="65">
        <v>0</v>
      </c>
      <c r="M491" s="65">
        <v>0</v>
      </c>
      <c r="N491" s="65">
        <v>0</v>
      </c>
      <c r="O491" s="65">
        <v>0</v>
      </c>
      <c r="P491" s="65">
        <v>0</v>
      </c>
      <c r="Q491" s="50">
        <v>9258.9</v>
      </c>
      <c r="R491" s="65">
        <v>0</v>
      </c>
      <c r="S491" s="65">
        <v>0</v>
      </c>
      <c r="T491" s="65">
        <v>0</v>
      </c>
      <c r="U491" s="65">
        <v>0</v>
      </c>
      <c r="V491" s="65">
        <v>0</v>
      </c>
      <c r="W491" s="65">
        <v>0</v>
      </c>
      <c r="X491" s="65">
        <v>0</v>
      </c>
      <c r="Y491" s="65">
        <v>0</v>
      </c>
      <c r="Z491" s="65">
        <v>9258.9</v>
      </c>
      <c r="AA491" s="51">
        <v>0</v>
      </c>
      <c r="AB491" s="102">
        <v>0</v>
      </c>
      <c r="AC491" s="81">
        <f t="shared" si="24"/>
        <v>337.86037307831981</v>
      </c>
      <c r="AD491" s="82">
        <f t="shared" si="25"/>
        <v>35.404285714285713</v>
      </c>
      <c r="AE491" s="218">
        <v>0</v>
      </c>
      <c r="AF491">
        <v>0</v>
      </c>
      <c r="AH491" t="str">
        <f t="shared" si="23"/>
        <v>DalsinghSarai</v>
      </c>
      <c r="AJ491" s="72">
        <v>0</v>
      </c>
      <c r="AK491" s="72"/>
      <c r="AL491" s="72"/>
      <c r="AM491" s="72"/>
    </row>
    <row r="492" spans="1:39" x14ac:dyDescent="0.25">
      <c r="A492" s="37" t="s">
        <v>62</v>
      </c>
      <c r="B492" s="66" t="s">
        <v>1566</v>
      </c>
      <c r="C492" s="47">
        <v>1012</v>
      </c>
      <c r="D492" s="47" t="s">
        <v>314</v>
      </c>
      <c r="E492" s="47">
        <v>10120110</v>
      </c>
      <c r="F492" s="46" t="s">
        <v>1268</v>
      </c>
      <c r="G492" s="48" t="s">
        <v>635</v>
      </c>
      <c r="H492" s="48" t="s">
        <v>99</v>
      </c>
      <c r="I492" s="49">
        <v>294.24</v>
      </c>
      <c r="J492" s="49">
        <v>13961.130000000001</v>
      </c>
      <c r="K492" s="65">
        <v>0</v>
      </c>
      <c r="L492" s="65">
        <v>0</v>
      </c>
      <c r="M492" s="65">
        <v>0</v>
      </c>
      <c r="N492" s="65">
        <v>0</v>
      </c>
      <c r="O492" s="65">
        <v>0</v>
      </c>
      <c r="P492" s="65">
        <v>0</v>
      </c>
      <c r="Q492" s="50">
        <v>13961.130000000001</v>
      </c>
      <c r="R492" s="65">
        <v>0</v>
      </c>
      <c r="S492" s="65">
        <v>0</v>
      </c>
      <c r="T492" s="65">
        <v>0</v>
      </c>
      <c r="U492" s="65">
        <v>0</v>
      </c>
      <c r="V492" s="65">
        <v>89.187567096774416</v>
      </c>
      <c r="W492" s="65">
        <v>0</v>
      </c>
      <c r="X492" s="65">
        <v>0</v>
      </c>
      <c r="Y492" s="65">
        <v>0</v>
      </c>
      <c r="Z492" s="65">
        <v>13871.942432903226</v>
      </c>
      <c r="AA492" s="51">
        <v>0</v>
      </c>
      <c r="AB492" s="102">
        <v>0</v>
      </c>
      <c r="AC492" s="81">
        <f t="shared" si="24"/>
        <v>385.05085024469827</v>
      </c>
      <c r="AD492" s="82">
        <f t="shared" si="25"/>
        <v>42.034285714285716</v>
      </c>
      <c r="AE492" s="218">
        <v>0</v>
      </c>
      <c r="AF492">
        <v>0</v>
      </c>
      <c r="AH492" t="str">
        <f t="shared" si="23"/>
        <v>DalsinghSarai</v>
      </c>
      <c r="AJ492" s="72">
        <v>0</v>
      </c>
      <c r="AK492" s="72"/>
      <c r="AL492" s="72"/>
      <c r="AM492" s="72"/>
    </row>
    <row r="493" spans="1:39" x14ac:dyDescent="0.25">
      <c r="A493" s="37" t="s">
        <v>62</v>
      </c>
      <c r="B493" s="66" t="s">
        <v>1566</v>
      </c>
      <c r="C493" s="47">
        <v>1012</v>
      </c>
      <c r="D493" s="47" t="s">
        <v>314</v>
      </c>
      <c r="E493" s="41">
        <v>10120111</v>
      </c>
      <c r="F493" s="46" t="s">
        <v>1176</v>
      </c>
      <c r="G493" s="39" t="s">
        <v>93</v>
      </c>
      <c r="H493" s="48" t="s">
        <v>94</v>
      </c>
      <c r="I493" s="52">
        <v>765.16</v>
      </c>
      <c r="J493" s="49">
        <v>31107.820000000003</v>
      </c>
      <c r="K493" s="65">
        <v>234.66999999999996</v>
      </c>
      <c r="L493" s="65">
        <v>9628.6658040662442</v>
      </c>
      <c r="M493" s="65">
        <v>530.49</v>
      </c>
      <c r="N493" s="65">
        <v>21940.315007418492</v>
      </c>
      <c r="O493" s="65">
        <v>765.16</v>
      </c>
      <c r="P493" s="65">
        <v>31568.980811484736</v>
      </c>
      <c r="Q493" s="50">
        <v>31107.820000000003</v>
      </c>
      <c r="R493" s="65">
        <v>0</v>
      </c>
      <c r="S493" s="65">
        <v>0</v>
      </c>
      <c r="T493" s="65">
        <v>461.16081148473313</v>
      </c>
      <c r="U493" s="65">
        <v>0</v>
      </c>
      <c r="V493" s="65">
        <v>64.777165161290455</v>
      </c>
      <c r="W493" s="65">
        <v>0</v>
      </c>
      <c r="X493" s="65">
        <v>9102</v>
      </c>
      <c r="Y493" s="65">
        <v>21941</v>
      </c>
      <c r="Z493" s="65">
        <v>0</v>
      </c>
      <c r="AA493" s="51">
        <v>0</v>
      </c>
      <c r="AB493" s="102">
        <v>0</v>
      </c>
      <c r="AC493" s="81">
        <f t="shared" si="24"/>
        <v>0</v>
      </c>
      <c r="AD493" s="82">
        <f t="shared" si="25"/>
        <v>0</v>
      </c>
      <c r="AE493" s="218">
        <v>-1.4824594313736323E-2</v>
      </c>
      <c r="AF493">
        <v>10</v>
      </c>
      <c r="AH493" t="str">
        <f t="shared" si="23"/>
        <v>DalsinghSarai</v>
      </c>
      <c r="AJ493" s="72">
        <v>0</v>
      </c>
      <c r="AK493" s="72"/>
      <c r="AL493" s="72"/>
      <c r="AM493" s="72"/>
    </row>
    <row r="494" spans="1:39" x14ac:dyDescent="0.25">
      <c r="A494" s="37" t="s">
        <v>62</v>
      </c>
      <c r="B494" s="66" t="s">
        <v>1566</v>
      </c>
      <c r="C494" s="47">
        <v>1012</v>
      </c>
      <c r="D494" s="47" t="s">
        <v>314</v>
      </c>
      <c r="E494" s="41">
        <v>10120113</v>
      </c>
      <c r="F494" s="46" t="s">
        <v>1260</v>
      </c>
      <c r="G494" s="39" t="s">
        <v>93</v>
      </c>
      <c r="H494" s="48" t="s">
        <v>94</v>
      </c>
      <c r="I494" s="52">
        <v>58.720000000000006</v>
      </c>
      <c r="J494" s="49">
        <v>2319.1799999999998</v>
      </c>
      <c r="K494" s="65">
        <v>58.050000000000011</v>
      </c>
      <c r="L494" s="65">
        <v>2343.5362566000003</v>
      </c>
      <c r="M494" s="65">
        <v>0</v>
      </c>
      <c r="N494" s="65">
        <v>0</v>
      </c>
      <c r="O494" s="65">
        <v>58.050000000000011</v>
      </c>
      <c r="P494" s="65">
        <v>2343.5362566000003</v>
      </c>
      <c r="Q494" s="50">
        <v>2319.1799999999998</v>
      </c>
      <c r="R494" s="65">
        <v>0</v>
      </c>
      <c r="S494" s="65">
        <v>0</v>
      </c>
      <c r="T494" s="65">
        <v>24.356256600000506</v>
      </c>
      <c r="U494" s="65">
        <v>0</v>
      </c>
      <c r="V494" s="65">
        <v>0</v>
      </c>
      <c r="W494" s="65">
        <v>0</v>
      </c>
      <c r="X494" s="65">
        <v>2319</v>
      </c>
      <c r="Y494" s="65">
        <v>0</v>
      </c>
      <c r="Z494" s="65">
        <v>0</v>
      </c>
      <c r="AA494" s="51">
        <v>0</v>
      </c>
      <c r="AB494" s="102" t="s">
        <v>68</v>
      </c>
      <c r="AC494" s="81">
        <f t="shared" si="24"/>
        <v>506.55441089918247</v>
      </c>
      <c r="AD494" s="82">
        <f t="shared" si="25"/>
        <v>8.3885714285714297</v>
      </c>
      <c r="AE494" s="218">
        <v>-1.0502098414094855E-2</v>
      </c>
      <c r="AF494">
        <v>1</v>
      </c>
      <c r="AH494" t="str">
        <f t="shared" si="23"/>
        <v>DalsinghSarai</v>
      </c>
      <c r="AJ494" s="72">
        <v>0</v>
      </c>
      <c r="AK494" s="72"/>
      <c r="AL494" s="72"/>
      <c r="AM494" s="72"/>
    </row>
    <row r="495" spans="1:39" x14ac:dyDescent="0.25">
      <c r="A495" s="37" t="s">
        <v>62</v>
      </c>
      <c r="B495" s="66" t="s">
        <v>1566</v>
      </c>
      <c r="C495" s="47">
        <v>1012</v>
      </c>
      <c r="D495" s="47" t="s">
        <v>314</v>
      </c>
      <c r="E495" s="41">
        <v>10120114</v>
      </c>
      <c r="F495" s="46" t="s">
        <v>1217</v>
      </c>
      <c r="G495" s="39" t="s">
        <v>93</v>
      </c>
      <c r="H495" s="48" t="s">
        <v>94</v>
      </c>
      <c r="I495" s="52">
        <v>168.78000000000003</v>
      </c>
      <c r="J495" s="49">
        <v>6918.4900000000007</v>
      </c>
      <c r="K495" s="65">
        <v>139.40000000000003</v>
      </c>
      <c r="L495" s="65">
        <v>5694.09948911232</v>
      </c>
      <c r="M495" s="65">
        <v>28.7</v>
      </c>
      <c r="N495" s="65">
        <v>1184.8856657219999</v>
      </c>
      <c r="O495" s="65">
        <v>168.10000000000002</v>
      </c>
      <c r="P495" s="65">
        <v>6878.9851548343195</v>
      </c>
      <c r="Q495" s="50">
        <v>6878.9851548343195</v>
      </c>
      <c r="R495" s="65">
        <v>0</v>
      </c>
      <c r="S495" s="65">
        <v>0</v>
      </c>
      <c r="T495" s="65">
        <v>0</v>
      </c>
      <c r="U495" s="65">
        <v>0</v>
      </c>
      <c r="V495" s="65">
        <v>0</v>
      </c>
      <c r="W495" s="65">
        <v>0</v>
      </c>
      <c r="X495" s="65">
        <v>5695</v>
      </c>
      <c r="Y495" s="65">
        <v>1185</v>
      </c>
      <c r="Z495" s="65">
        <v>0</v>
      </c>
      <c r="AA495" s="51">
        <v>38</v>
      </c>
      <c r="AB495" s="102">
        <v>0</v>
      </c>
      <c r="AC495" s="81">
        <f t="shared" si="24"/>
        <v>435.50660715724609</v>
      </c>
      <c r="AD495" s="82">
        <f t="shared" si="25"/>
        <v>24.111428571428576</v>
      </c>
      <c r="AE495" s="218">
        <v>5.7100386306377857E-3</v>
      </c>
      <c r="AF495">
        <v>5</v>
      </c>
      <c r="AH495" t="str">
        <f t="shared" si="23"/>
        <v>DalsinghSarai</v>
      </c>
      <c r="AJ495" s="72">
        <v>0</v>
      </c>
      <c r="AK495" s="72"/>
      <c r="AL495" s="72"/>
      <c r="AM495" s="72"/>
    </row>
    <row r="496" spans="1:39" x14ac:dyDescent="0.25">
      <c r="A496" s="37" t="s">
        <v>62</v>
      </c>
      <c r="B496" s="66" t="s">
        <v>1566</v>
      </c>
      <c r="C496" s="47">
        <v>1012</v>
      </c>
      <c r="D496" s="47" t="s">
        <v>314</v>
      </c>
      <c r="E496" s="41">
        <v>10120115</v>
      </c>
      <c r="F496" s="46" t="s">
        <v>1223</v>
      </c>
      <c r="G496" s="39" t="s">
        <v>635</v>
      </c>
      <c r="H496" s="48" t="s">
        <v>99</v>
      </c>
      <c r="I496" s="52">
        <v>340.88000000000005</v>
      </c>
      <c r="J496" s="49">
        <v>12451.16</v>
      </c>
      <c r="K496" s="65">
        <v>0</v>
      </c>
      <c r="L496" s="65">
        <v>0</v>
      </c>
      <c r="M496" s="65">
        <v>0</v>
      </c>
      <c r="N496" s="65">
        <v>0</v>
      </c>
      <c r="O496" s="65">
        <v>0</v>
      </c>
      <c r="P496" s="65">
        <v>0</v>
      </c>
      <c r="Q496" s="50">
        <v>12451.16</v>
      </c>
      <c r="R496" s="65">
        <v>0</v>
      </c>
      <c r="S496" s="65">
        <v>0</v>
      </c>
      <c r="T496" s="65">
        <v>0</v>
      </c>
      <c r="U496" s="65">
        <v>0</v>
      </c>
      <c r="V496" s="65">
        <v>1431.6370703225816</v>
      </c>
      <c r="W496" s="65">
        <v>0</v>
      </c>
      <c r="X496" s="65">
        <v>0</v>
      </c>
      <c r="Y496" s="65">
        <v>0</v>
      </c>
      <c r="Z496" s="65">
        <v>11019.522929677418</v>
      </c>
      <c r="AA496" s="51">
        <v>0</v>
      </c>
      <c r="AB496" s="102">
        <v>0</v>
      </c>
      <c r="AC496" s="81">
        <f t="shared" si="24"/>
        <v>262.34807434874432</v>
      </c>
      <c r="AD496" s="82">
        <f t="shared" si="25"/>
        <v>48.697142857142865</v>
      </c>
      <c r="AE496" s="218">
        <v>0</v>
      </c>
      <c r="AF496">
        <v>0</v>
      </c>
      <c r="AH496" t="str">
        <f t="shared" si="23"/>
        <v>DalsinghSarai</v>
      </c>
      <c r="AJ496" s="72">
        <v>0</v>
      </c>
      <c r="AK496" s="72"/>
      <c r="AL496" s="72"/>
      <c r="AM496" s="72"/>
    </row>
    <row r="497" spans="1:39" x14ac:dyDescent="0.25">
      <c r="A497" s="37" t="s">
        <v>62</v>
      </c>
      <c r="B497" s="66" t="s">
        <v>1566</v>
      </c>
      <c r="C497" s="47">
        <v>1012</v>
      </c>
      <c r="D497" s="47" t="s">
        <v>314</v>
      </c>
      <c r="E497" s="41">
        <v>10120116</v>
      </c>
      <c r="F497" s="46" t="s">
        <v>1269</v>
      </c>
      <c r="G497" s="39" t="s">
        <v>93</v>
      </c>
      <c r="H497" s="48" t="s">
        <v>94</v>
      </c>
      <c r="I497" s="52">
        <v>1703.97</v>
      </c>
      <c r="J497" s="49">
        <v>69763.760000000009</v>
      </c>
      <c r="K497" s="65">
        <v>495.99999999999989</v>
      </c>
      <c r="L497" s="65">
        <v>18063.285241716003</v>
      </c>
      <c r="M497" s="65">
        <v>1242.2000000000003</v>
      </c>
      <c r="N497" s="65">
        <v>51693.626668307217</v>
      </c>
      <c r="O497" s="65">
        <v>1738.2000000000003</v>
      </c>
      <c r="P497" s="65">
        <v>69756.91191002322</v>
      </c>
      <c r="Q497" s="50">
        <v>69756.91191002322</v>
      </c>
      <c r="R497" s="65">
        <v>0</v>
      </c>
      <c r="S497" s="65">
        <v>2506.6457804050001</v>
      </c>
      <c r="T497" s="65">
        <v>0</v>
      </c>
      <c r="U497" s="65">
        <v>0</v>
      </c>
      <c r="V497" s="65">
        <v>0</v>
      </c>
      <c r="W497" s="65">
        <v>0</v>
      </c>
      <c r="X497" s="65">
        <v>18064</v>
      </c>
      <c r="Y497" s="65">
        <v>49188</v>
      </c>
      <c r="Z497" s="65">
        <v>0</v>
      </c>
      <c r="AA497" s="51">
        <v>5</v>
      </c>
      <c r="AB497" s="102">
        <v>0</v>
      </c>
      <c r="AC497" s="81">
        <f t="shared" si="24"/>
        <v>0</v>
      </c>
      <c r="AD497" s="82">
        <f t="shared" si="25"/>
        <v>0</v>
      </c>
      <c r="AE497" s="218">
        <v>9.8161136624361927E-5</v>
      </c>
      <c r="AF497">
        <v>28</v>
      </c>
      <c r="AH497" t="str">
        <f t="shared" si="23"/>
        <v>DalsinghSarai</v>
      </c>
      <c r="AJ497" s="72">
        <v>0</v>
      </c>
      <c r="AK497" s="72"/>
      <c r="AL497" s="72"/>
      <c r="AM497" s="72"/>
    </row>
    <row r="498" spans="1:39" x14ac:dyDescent="0.25">
      <c r="A498" s="37" t="s">
        <v>62</v>
      </c>
      <c r="B498" s="66" t="s">
        <v>1566</v>
      </c>
      <c r="C498" s="47">
        <v>1012</v>
      </c>
      <c r="D498" s="47" t="s">
        <v>314</v>
      </c>
      <c r="E498" s="41">
        <v>10120119</v>
      </c>
      <c r="F498" s="46" t="s">
        <v>1315</v>
      </c>
      <c r="G498" s="39" t="s">
        <v>635</v>
      </c>
      <c r="H498" s="48" t="s">
        <v>99</v>
      </c>
      <c r="I498" s="52">
        <v>360</v>
      </c>
      <c r="J498" s="49">
        <v>12024</v>
      </c>
      <c r="K498" s="65">
        <v>0</v>
      </c>
      <c r="L498" s="65">
        <v>0</v>
      </c>
      <c r="M498" s="65">
        <v>0</v>
      </c>
      <c r="N498" s="65">
        <v>0</v>
      </c>
      <c r="O498" s="65">
        <v>0</v>
      </c>
      <c r="P498" s="65">
        <v>0</v>
      </c>
      <c r="Q498" s="50">
        <v>12024</v>
      </c>
      <c r="R498" s="65">
        <v>0</v>
      </c>
      <c r="S498" s="65">
        <v>0</v>
      </c>
      <c r="T498" s="65">
        <v>0</v>
      </c>
      <c r="U498" s="65">
        <v>0</v>
      </c>
      <c r="V498" s="65">
        <v>5920.8387096774186</v>
      </c>
      <c r="W498" s="65">
        <v>0</v>
      </c>
      <c r="X498" s="65">
        <v>0</v>
      </c>
      <c r="Y498" s="65">
        <v>0</v>
      </c>
      <c r="Z498" s="65">
        <v>6103.1612903225814</v>
      </c>
      <c r="AA498" s="51">
        <v>0</v>
      </c>
      <c r="AB498" s="102">
        <v>0</v>
      </c>
      <c r="AC498" s="81">
        <f t="shared" si="24"/>
        <v>227.12</v>
      </c>
      <c r="AD498" s="82">
        <f t="shared" si="25"/>
        <v>51.428571428571431</v>
      </c>
      <c r="AE498" s="218">
        <v>0</v>
      </c>
      <c r="AF498">
        <v>0</v>
      </c>
      <c r="AH498" t="str">
        <f t="shared" si="23"/>
        <v>DalsinghSarai</v>
      </c>
      <c r="AJ498" s="72">
        <v>0</v>
      </c>
      <c r="AK498" s="72"/>
      <c r="AL498" s="72"/>
      <c r="AM498" s="72"/>
    </row>
    <row r="499" spans="1:39" x14ac:dyDescent="0.25">
      <c r="A499" s="37" t="s">
        <v>62</v>
      </c>
      <c r="B499" s="66" t="s">
        <v>1566</v>
      </c>
      <c r="C499" s="47">
        <v>1012</v>
      </c>
      <c r="D499" s="47" t="s">
        <v>314</v>
      </c>
      <c r="E499" s="41">
        <v>10120120</v>
      </c>
      <c r="F499" s="46" t="s">
        <v>1424</v>
      </c>
      <c r="G499" s="39" t="s">
        <v>93</v>
      </c>
      <c r="H499" s="48" t="s">
        <v>94</v>
      </c>
      <c r="I499" s="52">
        <v>314.2</v>
      </c>
      <c r="J499" s="49">
        <v>11873.08</v>
      </c>
      <c r="K499" s="65">
        <v>84.710000000000008</v>
      </c>
      <c r="L499" s="65">
        <v>3326.5204850078899</v>
      </c>
      <c r="M499" s="65">
        <v>188.86</v>
      </c>
      <c r="N499" s="65">
        <v>7234.9000602565402</v>
      </c>
      <c r="O499" s="65">
        <v>273.57000000000005</v>
      </c>
      <c r="P499" s="65">
        <v>10561.420545264431</v>
      </c>
      <c r="Q499" s="50">
        <v>10561.420545264431</v>
      </c>
      <c r="R499" s="65">
        <v>0</v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3327</v>
      </c>
      <c r="Y499" s="65">
        <v>7235</v>
      </c>
      <c r="Z499" s="65">
        <v>0</v>
      </c>
      <c r="AA499" s="51">
        <v>1311</v>
      </c>
      <c r="AB499" s="102">
        <v>0</v>
      </c>
      <c r="AC499" s="81">
        <f t="shared" si="24"/>
        <v>291.57442800763852</v>
      </c>
      <c r="AD499" s="82">
        <f t="shared" si="25"/>
        <v>44.885714285714286</v>
      </c>
      <c r="AE499" s="218">
        <v>0.1104733948339916</v>
      </c>
      <c r="AF499">
        <v>7</v>
      </c>
      <c r="AH499" t="str">
        <f t="shared" si="23"/>
        <v>DalsinghSarai</v>
      </c>
      <c r="AJ499" s="72">
        <v>0</v>
      </c>
      <c r="AK499" s="72"/>
      <c r="AL499" s="72"/>
      <c r="AM499" s="72"/>
    </row>
    <row r="500" spans="1:39" x14ac:dyDescent="0.25">
      <c r="A500" s="37" t="s">
        <v>62</v>
      </c>
      <c r="B500" s="66" t="s">
        <v>1566</v>
      </c>
      <c r="C500" s="47">
        <v>1012</v>
      </c>
      <c r="D500" s="47" t="s">
        <v>314</v>
      </c>
      <c r="E500" s="41">
        <v>10120122</v>
      </c>
      <c r="F500" s="46" t="s">
        <v>1362</v>
      </c>
      <c r="G500" s="39" t="s">
        <v>93</v>
      </c>
      <c r="H500" s="48" t="s">
        <v>94</v>
      </c>
      <c r="I500" s="52">
        <v>892.69999999999993</v>
      </c>
      <c r="J500" s="49">
        <v>38503.269999999997</v>
      </c>
      <c r="K500" s="65">
        <v>217.76000000000002</v>
      </c>
      <c r="L500" s="65">
        <v>10380.995521589872</v>
      </c>
      <c r="M500" s="65">
        <v>817.06</v>
      </c>
      <c r="N500" s="65">
        <v>34224.576040785236</v>
      </c>
      <c r="O500" s="65">
        <v>1034.82</v>
      </c>
      <c r="P500" s="65">
        <v>44605.571562375109</v>
      </c>
      <c r="Q500" s="50">
        <v>38503.269999999997</v>
      </c>
      <c r="R500" s="65">
        <v>0</v>
      </c>
      <c r="S500" s="65">
        <v>0</v>
      </c>
      <c r="T500" s="65">
        <v>6102.3015623751126</v>
      </c>
      <c r="U500" s="65">
        <v>0</v>
      </c>
      <c r="V500" s="65">
        <v>79.58</v>
      </c>
      <c r="W500" s="65">
        <v>0</v>
      </c>
      <c r="X500" s="65">
        <v>9279</v>
      </c>
      <c r="Y500" s="65">
        <v>29144</v>
      </c>
      <c r="Z500" s="65">
        <v>0</v>
      </c>
      <c r="AA500" s="51">
        <v>1</v>
      </c>
      <c r="AB500" s="102" t="s">
        <v>68</v>
      </c>
      <c r="AC500" s="81">
        <f t="shared" si="24"/>
        <v>0</v>
      </c>
      <c r="AD500" s="82">
        <f t="shared" si="25"/>
        <v>0</v>
      </c>
      <c r="AE500" s="218">
        <v>-0.15848787810425227</v>
      </c>
      <c r="AF500">
        <v>12</v>
      </c>
      <c r="AH500" t="str">
        <f t="shared" si="23"/>
        <v>DalsinghSarai</v>
      </c>
      <c r="AJ500" s="72">
        <v>0</v>
      </c>
      <c r="AK500" s="72"/>
      <c r="AL500" s="72"/>
      <c r="AM500" s="72"/>
    </row>
    <row r="501" spans="1:39" x14ac:dyDescent="0.25">
      <c r="A501" s="37" t="s">
        <v>62</v>
      </c>
      <c r="B501" s="66" t="s">
        <v>1566</v>
      </c>
      <c r="C501" s="47">
        <v>1012</v>
      </c>
      <c r="D501" s="47" t="s">
        <v>314</v>
      </c>
      <c r="E501" s="41">
        <v>10120123</v>
      </c>
      <c r="F501" s="46" t="s">
        <v>1425</v>
      </c>
      <c r="G501" s="39" t="s">
        <v>93</v>
      </c>
      <c r="H501" s="48" t="s">
        <v>94</v>
      </c>
      <c r="I501" s="52">
        <v>743.68999999999994</v>
      </c>
      <c r="J501" s="49">
        <v>28844.739999999998</v>
      </c>
      <c r="K501" s="65">
        <v>621.0200000000001</v>
      </c>
      <c r="L501" s="65">
        <v>24242.092635877831</v>
      </c>
      <c r="M501" s="65">
        <v>129.26</v>
      </c>
      <c r="N501" s="65">
        <v>4616.8288015409998</v>
      </c>
      <c r="O501" s="65">
        <v>750.28000000000009</v>
      </c>
      <c r="P501" s="65">
        <v>28858.92143741883</v>
      </c>
      <c r="Q501" s="50">
        <v>28844.739999999998</v>
      </c>
      <c r="R501" s="65">
        <v>0</v>
      </c>
      <c r="S501" s="65">
        <v>104.53830344100001</v>
      </c>
      <c r="T501" s="65">
        <v>14.181437418832502</v>
      </c>
      <c r="U501" s="65">
        <v>1500</v>
      </c>
      <c r="V501" s="65">
        <v>0</v>
      </c>
      <c r="W501" s="65">
        <v>0</v>
      </c>
      <c r="X501" s="65">
        <v>22729</v>
      </c>
      <c r="Y501" s="65">
        <v>4511</v>
      </c>
      <c r="Z501" s="65">
        <v>0</v>
      </c>
      <c r="AA501" s="51">
        <v>0</v>
      </c>
      <c r="AB501" s="102">
        <v>0</v>
      </c>
      <c r="AC501" s="81">
        <f t="shared" si="24"/>
        <v>0</v>
      </c>
      <c r="AD501" s="82">
        <f t="shared" si="25"/>
        <v>0</v>
      </c>
      <c r="AE501" s="218">
        <v>-4.91647261123952E-4</v>
      </c>
      <c r="AF501">
        <v>15</v>
      </c>
      <c r="AH501" t="str">
        <f t="shared" si="23"/>
        <v>DalsinghSarai</v>
      </c>
      <c r="AJ501" s="72">
        <v>0</v>
      </c>
      <c r="AK501" s="72"/>
      <c r="AL501" s="72"/>
      <c r="AM501" s="72"/>
    </row>
    <row r="502" spans="1:39" x14ac:dyDescent="0.25">
      <c r="A502" s="37" t="s">
        <v>62</v>
      </c>
      <c r="B502" s="66" t="s">
        <v>1566</v>
      </c>
      <c r="C502" s="47">
        <v>1013</v>
      </c>
      <c r="D502" s="47" t="s">
        <v>351</v>
      </c>
      <c r="E502" s="41">
        <v>10130001</v>
      </c>
      <c r="F502" s="46" t="s">
        <v>352</v>
      </c>
      <c r="G502" s="39" t="s">
        <v>93</v>
      </c>
      <c r="H502" s="48" t="s">
        <v>94</v>
      </c>
      <c r="I502" s="52">
        <v>570.5</v>
      </c>
      <c r="J502" s="49">
        <v>18717.98</v>
      </c>
      <c r="K502" s="65">
        <v>100.90000000000002</v>
      </c>
      <c r="L502" s="65">
        <v>3468.0142619100006</v>
      </c>
      <c r="M502" s="65">
        <v>488.2</v>
      </c>
      <c r="N502" s="65">
        <v>16820.372451762003</v>
      </c>
      <c r="O502" s="65">
        <v>589.1</v>
      </c>
      <c r="P502" s="65">
        <v>20288.386713672004</v>
      </c>
      <c r="Q502" s="50">
        <v>18717.98</v>
      </c>
      <c r="R502" s="65">
        <v>0</v>
      </c>
      <c r="S502" s="65">
        <v>126.58121467200002</v>
      </c>
      <c r="T502" s="65">
        <v>1570.4067136720041</v>
      </c>
      <c r="U502" s="65">
        <v>0</v>
      </c>
      <c r="V502" s="65">
        <v>0</v>
      </c>
      <c r="W502" s="65">
        <v>0</v>
      </c>
      <c r="X502" s="65">
        <v>1897</v>
      </c>
      <c r="Y502" s="65">
        <v>16694</v>
      </c>
      <c r="Z502" s="65">
        <v>0</v>
      </c>
      <c r="AA502" s="51">
        <v>0</v>
      </c>
      <c r="AB502" s="102">
        <v>0</v>
      </c>
      <c r="AC502" s="81">
        <f t="shared" si="24"/>
        <v>84.977332515337423</v>
      </c>
      <c r="AD502" s="82">
        <f t="shared" si="25"/>
        <v>81.5</v>
      </c>
      <c r="AE502" s="218">
        <v>-8.3898300653810085E-2</v>
      </c>
      <c r="AF502">
        <v>10</v>
      </c>
      <c r="AH502" t="str">
        <f t="shared" si="23"/>
        <v>Musrigharari</v>
      </c>
      <c r="AJ502" s="72">
        <v>0</v>
      </c>
      <c r="AK502" s="72"/>
      <c r="AL502" s="72"/>
      <c r="AM502" s="72"/>
    </row>
    <row r="503" spans="1:39" x14ac:dyDescent="0.25">
      <c r="A503" s="37" t="s">
        <v>62</v>
      </c>
      <c r="B503" s="66" t="s">
        <v>1566</v>
      </c>
      <c r="C503" s="47">
        <v>1013</v>
      </c>
      <c r="D503" s="47" t="s">
        <v>351</v>
      </c>
      <c r="E503" s="41">
        <v>10130002</v>
      </c>
      <c r="F503" s="46" t="s">
        <v>353</v>
      </c>
      <c r="G503" s="39" t="s">
        <v>635</v>
      </c>
      <c r="H503" s="48" t="s">
        <v>99</v>
      </c>
      <c r="I503" s="52">
        <v>132.29999999999998</v>
      </c>
      <c r="J503" s="49">
        <v>4185.55</v>
      </c>
      <c r="K503" s="65">
        <v>0</v>
      </c>
      <c r="L503" s="65">
        <v>0</v>
      </c>
      <c r="M503" s="65">
        <v>0</v>
      </c>
      <c r="N503" s="65">
        <v>0</v>
      </c>
      <c r="O503" s="65">
        <v>0</v>
      </c>
      <c r="P503" s="65">
        <v>0</v>
      </c>
      <c r="Q503" s="50">
        <v>4185.55</v>
      </c>
      <c r="R503" s="65">
        <v>0</v>
      </c>
      <c r="S503" s="65">
        <v>0</v>
      </c>
      <c r="T503" s="65">
        <v>0</v>
      </c>
      <c r="U503" s="65">
        <v>0</v>
      </c>
      <c r="V503" s="65">
        <v>0</v>
      </c>
      <c r="W503" s="65">
        <v>0</v>
      </c>
      <c r="X503" s="65">
        <v>0</v>
      </c>
      <c r="Y503" s="65">
        <v>0</v>
      </c>
      <c r="Z503" s="65">
        <v>4185.55</v>
      </c>
      <c r="AA503" s="51">
        <v>0</v>
      </c>
      <c r="AB503" s="102">
        <v>0</v>
      </c>
      <c r="AC503" s="81">
        <f t="shared" si="24"/>
        <v>359.20434391534394</v>
      </c>
      <c r="AD503" s="82">
        <f t="shared" si="25"/>
        <v>18.899999999999999</v>
      </c>
      <c r="AE503" s="218">
        <v>0</v>
      </c>
      <c r="AF503">
        <v>0</v>
      </c>
      <c r="AH503" t="str">
        <f t="shared" si="23"/>
        <v>Musrigharari</v>
      </c>
      <c r="AJ503" s="72">
        <v>0</v>
      </c>
      <c r="AK503" s="72"/>
      <c r="AL503" s="72"/>
      <c r="AM503" s="72"/>
    </row>
    <row r="504" spans="1:39" x14ac:dyDescent="0.25">
      <c r="A504" s="37" t="s">
        <v>62</v>
      </c>
      <c r="B504" s="66" t="s">
        <v>1566</v>
      </c>
      <c r="C504" s="47">
        <v>1013</v>
      </c>
      <c r="D504" s="47" t="s">
        <v>351</v>
      </c>
      <c r="E504" s="41">
        <v>10130003</v>
      </c>
      <c r="F504" s="46" t="s">
        <v>354</v>
      </c>
      <c r="G504" s="39" t="s">
        <v>93</v>
      </c>
      <c r="H504" s="48" t="s">
        <v>94</v>
      </c>
      <c r="I504" s="52">
        <v>23.799999999999997</v>
      </c>
      <c r="J504" s="49">
        <v>736.54</v>
      </c>
      <c r="K504" s="65">
        <v>24.1</v>
      </c>
      <c r="L504" s="65">
        <v>756.51247782000007</v>
      </c>
      <c r="M504" s="65">
        <v>0</v>
      </c>
      <c r="N504" s="65">
        <v>0</v>
      </c>
      <c r="O504" s="65">
        <v>24.1</v>
      </c>
      <c r="P504" s="65">
        <v>756.51247782000007</v>
      </c>
      <c r="Q504" s="50">
        <v>736.54</v>
      </c>
      <c r="R504" s="65">
        <v>0</v>
      </c>
      <c r="S504" s="65">
        <v>0</v>
      </c>
      <c r="T504" s="65">
        <v>19.972477820000108</v>
      </c>
      <c r="U504" s="65">
        <v>0</v>
      </c>
      <c r="V504" s="65">
        <v>276.21510000000001</v>
      </c>
      <c r="W504" s="65">
        <v>0</v>
      </c>
      <c r="X504" s="65">
        <v>460</v>
      </c>
      <c r="Y504" s="65">
        <v>0</v>
      </c>
      <c r="Z504" s="65">
        <v>0</v>
      </c>
      <c r="AA504" s="51">
        <v>0</v>
      </c>
      <c r="AB504" s="102">
        <v>0</v>
      </c>
      <c r="AC504" s="81">
        <f t="shared" si="24"/>
        <v>418.52802352941171</v>
      </c>
      <c r="AD504" s="82">
        <f t="shared" si="25"/>
        <v>3.3999999999999995</v>
      </c>
      <c r="AE504" s="218">
        <v>-2.7116623428462962E-2</v>
      </c>
      <c r="AF504">
        <v>1</v>
      </c>
      <c r="AH504" t="str">
        <f t="shared" si="23"/>
        <v>Musrigharari</v>
      </c>
      <c r="AJ504" s="72">
        <v>0</v>
      </c>
      <c r="AK504" s="72"/>
      <c r="AL504" s="72"/>
      <c r="AM504" s="72"/>
    </row>
    <row r="505" spans="1:39" x14ac:dyDescent="0.25">
      <c r="A505" s="37" t="s">
        <v>62</v>
      </c>
      <c r="B505" s="66" t="s">
        <v>1566</v>
      </c>
      <c r="C505" s="47">
        <v>1013</v>
      </c>
      <c r="D505" s="47" t="s">
        <v>351</v>
      </c>
      <c r="E505" s="41">
        <v>10130005</v>
      </c>
      <c r="F505" s="46" t="s">
        <v>355</v>
      </c>
      <c r="G505" s="39" t="s">
        <v>635</v>
      </c>
      <c r="H505" s="48" t="s">
        <v>99</v>
      </c>
      <c r="I505" s="52">
        <v>45.500000000000007</v>
      </c>
      <c r="J505" s="49">
        <v>1454.1399999999999</v>
      </c>
      <c r="K505" s="65">
        <v>0</v>
      </c>
      <c r="L505" s="65">
        <v>0</v>
      </c>
      <c r="M505" s="65">
        <v>0</v>
      </c>
      <c r="N505" s="65">
        <v>0</v>
      </c>
      <c r="O505" s="65">
        <v>0</v>
      </c>
      <c r="P505" s="65">
        <v>0</v>
      </c>
      <c r="Q505" s="50">
        <v>1454.1399999999999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0</v>
      </c>
      <c r="X505" s="65">
        <v>0</v>
      </c>
      <c r="Y505" s="65">
        <v>0</v>
      </c>
      <c r="Z505" s="65">
        <v>1454.1399999999999</v>
      </c>
      <c r="AA505" s="51">
        <v>0</v>
      </c>
      <c r="AB505" s="102">
        <v>0</v>
      </c>
      <c r="AC505" s="81">
        <f t="shared" si="24"/>
        <v>418.34489230769219</v>
      </c>
      <c r="AD505" s="82">
        <f t="shared" si="25"/>
        <v>6.5000000000000009</v>
      </c>
      <c r="AE505" s="218">
        <v>0</v>
      </c>
      <c r="AF505">
        <v>0</v>
      </c>
      <c r="AH505" t="str">
        <f t="shared" si="23"/>
        <v>Musrigharari</v>
      </c>
      <c r="AJ505" s="72">
        <v>0</v>
      </c>
      <c r="AK505" s="72"/>
      <c r="AL505" s="72"/>
      <c r="AM505" s="72"/>
    </row>
    <row r="506" spans="1:39" x14ac:dyDescent="0.25">
      <c r="A506" s="37" t="s">
        <v>62</v>
      </c>
      <c r="B506" s="66" t="s">
        <v>1566</v>
      </c>
      <c r="C506" s="47">
        <v>1013</v>
      </c>
      <c r="D506" s="47" t="s">
        <v>351</v>
      </c>
      <c r="E506" s="41">
        <v>10130006</v>
      </c>
      <c r="F506" s="46" t="s">
        <v>356</v>
      </c>
      <c r="G506" s="39" t="s">
        <v>93</v>
      </c>
      <c r="H506" s="48" t="s">
        <v>94</v>
      </c>
      <c r="I506" s="52">
        <v>538.9</v>
      </c>
      <c r="J506" s="49">
        <v>19010.29</v>
      </c>
      <c r="K506" s="65">
        <v>537.49</v>
      </c>
      <c r="L506" s="65">
        <v>18992.368902004739</v>
      </c>
      <c r="M506" s="65">
        <v>0.14000000000000001</v>
      </c>
      <c r="N506" s="65">
        <v>4.9343096880000008</v>
      </c>
      <c r="O506" s="65">
        <v>537.63</v>
      </c>
      <c r="P506" s="65">
        <v>18997.303211692739</v>
      </c>
      <c r="Q506" s="50">
        <v>18997.303211692739</v>
      </c>
      <c r="R506" s="65">
        <v>0</v>
      </c>
      <c r="S506" s="65">
        <v>4.9343096880000008</v>
      </c>
      <c r="T506" s="65">
        <v>0</v>
      </c>
      <c r="U506" s="65">
        <v>0</v>
      </c>
      <c r="V506" s="65">
        <v>0</v>
      </c>
      <c r="W506" s="65">
        <v>0</v>
      </c>
      <c r="X506" s="65">
        <v>18992</v>
      </c>
      <c r="Y506" s="65">
        <v>0</v>
      </c>
      <c r="Z506" s="65">
        <v>0</v>
      </c>
      <c r="AA506" s="51">
        <v>13</v>
      </c>
      <c r="AB506" s="102">
        <v>0</v>
      </c>
      <c r="AC506" s="81">
        <f t="shared" si="24"/>
        <v>113.65959246613475</v>
      </c>
      <c r="AD506" s="82">
        <f t="shared" si="25"/>
        <v>76.98571428571428</v>
      </c>
      <c r="AE506" s="218">
        <v>6.8314519700972637E-4</v>
      </c>
      <c r="AF506">
        <v>10</v>
      </c>
      <c r="AH506" t="str">
        <f t="shared" si="23"/>
        <v>Musrigharari</v>
      </c>
      <c r="AJ506" s="72">
        <v>0</v>
      </c>
      <c r="AK506" s="72"/>
      <c r="AL506" s="72"/>
      <c r="AM506" s="72"/>
    </row>
    <row r="507" spans="1:39" x14ac:dyDescent="0.25">
      <c r="A507" s="37" t="s">
        <v>62</v>
      </c>
      <c r="B507" s="66" t="s">
        <v>1566</v>
      </c>
      <c r="C507" s="47">
        <v>1013</v>
      </c>
      <c r="D507" s="47" t="s">
        <v>351</v>
      </c>
      <c r="E507" s="41">
        <v>10130008</v>
      </c>
      <c r="F507" s="46" t="s">
        <v>357</v>
      </c>
      <c r="G507" s="39" t="s">
        <v>93</v>
      </c>
      <c r="H507" s="48" t="s">
        <v>94</v>
      </c>
      <c r="I507" s="52">
        <v>805.69999999999993</v>
      </c>
      <c r="J507" s="49">
        <v>31508.21</v>
      </c>
      <c r="K507" s="65">
        <v>775.82999999999993</v>
      </c>
      <c r="L507" s="65">
        <v>32111.81581307892</v>
      </c>
      <c r="M507" s="65">
        <v>82.320000000000007</v>
      </c>
      <c r="N507" s="65">
        <v>3121.1029053510001</v>
      </c>
      <c r="O507" s="65">
        <v>858.15</v>
      </c>
      <c r="P507" s="65">
        <v>35232.918718429923</v>
      </c>
      <c r="Q507" s="50">
        <v>31508.21</v>
      </c>
      <c r="R507" s="65">
        <v>0</v>
      </c>
      <c r="S507" s="65">
        <v>311.59280802300009</v>
      </c>
      <c r="T507" s="65">
        <v>3724.7087184299235</v>
      </c>
      <c r="U507" s="65">
        <v>0</v>
      </c>
      <c r="V507" s="65">
        <v>0</v>
      </c>
      <c r="W507" s="65">
        <v>0</v>
      </c>
      <c r="X507" s="65">
        <v>28388</v>
      </c>
      <c r="Y507" s="65">
        <v>2809</v>
      </c>
      <c r="Z507" s="65">
        <v>0</v>
      </c>
      <c r="AA507" s="51">
        <v>0</v>
      </c>
      <c r="AB507" s="102">
        <v>0</v>
      </c>
      <c r="AC507" s="81">
        <f t="shared" si="24"/>
        <v>0</v>
      </c>
      <c r="AD507" s="82">
        <f t="shared" si="25"/>
        <v>0</v>
      </c>
      <c r="AE507" s="218">
        <v>-0.11821391054680426</v>
      </c>
      <c r="AF507">
        <v>13</v>
      </c>
      <c r="AH507" t="str">
        <f t="shared" si="23"/>
        <v>Musrigharari</v>
      </c>
      <c r="AJ507" s="72">
        <v>0</v>
      </c>
      <c r="AK507" s="72"/>
      <c r="AL507" s="72"/>
      <c r="AM507" s="72"/>
    </row>
    <row r="508" spans="1:39" x14ac:dyDescent="0.25">
      <c r="A508" s="37" t="s">
        <v>62</v>
      </c>
      <c r="B508" s="66" t="s">
        <v>1566</v>
      </c>
      <c r="C508" s="47">
        <v>1013</v>
      </c>
      <c r="D508" s="47" t="s">
        <v>351</v>
      </c>
      <c r="E508" s="41">
        <v>10130012</v>
      </c>
      <c r="F508" s="46" t="s">
        <v>358</v>
      </c>
      <c r="G508" s="39" t="s">
        <v>93</v>
      </c>
      <c r="H508" s="48" t="s">
        <v>94</v>
      </c>
      <c r="I508" s="52">
        <v>3609.4999999999995</v>
      </c>
      <c r="J508" s="49">
        <v>132428</v>
      </c>
      <c r="K508" s="65">
        <v>1981.6999999999998</v>
      </c>
      <c r="L508" s="65">
        <v>73216.966430519999</v>
      </c>
      <c r="M508" s="65">
        <v>1646</v>
      </c>
      <c r="N508" s="65">
        <v>60598.03921696802</v>
      </c>
      <c r="O508" s="65">
        <v>3627.7</v>
      </c>
      <c r="P508" s="65">
        <v>133815.00564748803</v>
      </c>
      <c r="Q508" s="50">
        <v>132428</v>
      </c>
      <c r="R508" s="65">
        <v>0</v>
      </c>
      <c r="S508" s="65">
        <v>1373.63175576</v>
      </c>
      <c r="T508" s="65">
        <v>1387.0056474880257</v>
      </c>
      <c r="U508" s="65">
        <v>0</v>
      </c>
      <c r="V508" s="65">
        <v>0</v>
      </c>
      <c r="W508" s="65">
        <v>0</v>
      </c>
      <c r="X508" s="65">
        <v>71829</v>
      </c>
      <c r="Y508" s="65">
        <v>59225</v>
      </c>
      <c r="Z508" s="65">
        <v>0</v>
      </c>
      <c r="AA508" s="51">
        <v>0</v>
      </c>
      <c r="AB508" s="102">
        <v>0</v>
      </c>
      <c r="AC508" s="81">
        <f t="shared" si="24"/>
        <v>0</v>
      </c>
      <c r="AD508" s="82">
        <f t="shared" si="25"/>
        <v>0</v>
      </c>
      <c r="AE508" s="218">
        <v>-1.0473658497357249E-2</v>
      </c>
      <c r="AF508">
        <v>56</v>
      </c>
      <c r="AH508" t="str">
        <f t="shared" si="23"/>
        <v>Musrigharari</v>
      </c>
      <c r="AJ508" s="72">
        <v>0</v>
      </c>
      <c r="AK508" s="72"/>
      <c r="AL508" s="72"/>
      <c r="AM508" s="72"/>
    </row>
    <row r="509" spans="1:39" x14ac:dyDescent="0.25">
      <c r="A509" s="37" t="s">
        <v>62</v>
      </c>
      <c r="B509" s="66" t="s">
        <v>1566</v>
      </c>
      <c r="C509" s="47">
        <v>1013</v>
      </c>
      <c r="D509" s="47" t="s">
        <v>351</v>
      </c>
      <c r="E509" s="41">
        <v>10130015</v>
      </c>
      <c r="F509" s="46" t="s">
        <v>359</v>
      </c>
      <c r="G509" s="39" t="s">
        <v>635</v>
      </c>
      <c r="H509" s="48" t="s">
        <v>99</v>
      </c>
      <c r="I509" s="52">
        <v>549.70000000000005</v>
      </c>
      <c r="J509" s="49">
        <v>21261.38</v>
      </c>
      <c r="K509" s="65">
        <v>0</v>
      </c>
      <c r="L509" s="65">
        <v>0</v>
      </c>
      <c r="M509" s="65">
        <v>0</v>
      </c>
      <c r="N509" s="65">
        <v>0</v>
      </c>
      <c r="O509" s="65">
        <v>0</v>
      </c>
      <c r="P509" s="65">
        <v>0</v>
      </c>
      <c r="Q509" s="50">
        <v>21261.38</v>
      </c>
      <c r="R509" s="65">
        <v>0</v>
      </c>
      <c r="S509" s="65">
        <v>0</v>
      </c>
      <c r="T509" s="65">
        <v>0</v>
      </c>
      <c r="U509" s="65">
        <v>2700</v>
      </c>
      <c r="V509" s="65">
        <v>0</v>
      </c>
      <c r="W509" s="65">
        <v>0</v>
      </c>
      <c r="X509" s="65">
        <v>0</v>
      </c>
      <c r="Y509" s="65">
        <v>0</v>
      </c>
      <c r="Z509" s="65">
        <v>18561.38</v>
      </c>
      <c r="AA509" s="51">
        <v>0</v>
      </c>
      <c r="AB509" s="102">
        <v>0</v>
      </c>
      <c r="AC509" s="81">
        <f t="shared" si="24"/>
        <v>116.26652406767322</v>
      </c>
      <c r="AD509" s="82">
        <f t="shared" si="25"/>
        <v>78.528571428571439</v>
      </c>
      <c r="AE509" s="218">
        <v>0</v>
      </c>
      <c r="AF509">
        <v>0</v>
      </c>
      <c r="AH509" t="str">
        <f t="shared" si="23"/>
        <v>Musrigharari</v>
      </c>
      <c r="AJ509" s="72">
        <v>0</v>
      </c>
      <c r="AK509" s="72"/>
      <c r="AL509" s="72"/>
      <c r="AM509" s="72"/>
    </row>
    <row r="510" spans="1:39" x14ac:dyDescent="0.25">
      <c r="A510" s="37" t="s">
        <v>62</v>
      </c>
      <c r="B510" s="66" t="s">
        <v>1566</v>
      </c>
      <c r="C510" s="47">
        <v>1013</v>
      </c>
      <c r="D510" s="47" t="s">
        <v>351</v>
      </c>
      <c r="E510" s="41">
        <v>10130016</v>
      </c>
      <c r="F510" s="46" t="s">
        <v>360</v>
      </c>
      <c r="G510" s="39" t="s">
        <v>635</v>
      </c>
      <c r="H510" s="48" t="s">
        <v>99</v>
      </c>
      <c r="I510" s="52">
        <v>128.6</v>
      </c>
      <c r="J510" s="49">
        <v>5845.7900000000009</v>
      </c>
      <c r="K510" s="65">
        <v>0</v>
      </c>
      <c r="L510" s="65">
        <v>0</v>
      </c>
      <c r="M510" s="65">
        <v>0</v>
      </c>
      <c r="N510" s="65">
        <v>0</v>
      </c>
      <c r="O510" s="65">
        <v>0</v>
      </c>
      <c r="P510" s="65">
        <v>0</v>
      </c>
      <c r="Q510" s="50">
        <v>5845.7900000000009</v>
      </c>
      <c r="R510" s="65">
        <v>0</v>
      </c>
      <c r="S510" s="65">
        <v>0</v>
      </c>
      <c r="T510" s="65">
        <v>0</v>
      </c>
      <c r="U510" s="65">
        <v>0</v>
      </c>
      <c r="V510" s="65">
        <v>0</v>
      </c>
      <c r="W510" s="65">
        <v>0</v>
      </c>
      <c r="X510" s="65">
        <v>0</v>
      </c>
      <c r="Y510" s="65">
        <v>0</v>
      </c>
      <c r="Z510" s="65">
        <v>5845.7900000000009</v>
      </c>
      <c r="AA510" s="51">
        <v>0</v>
      </c>
      <c r="AB510" s="102">
        <v>0</v>
      </c>
      <c r="AC510" s="81">
        <f t="shared" si="24"/>
        <v>519.48435552099556</v>
      </c>
      <c r="AD510" s="82">
        <f t="shared" si="25"/>
        <v>18.37142857142857</v>
      </c>
      <c r="AE510" s="218">
        <v>0</v>
      </c>
      <c r="AF510">
        <v>0</v>
      </c>
      <c r="AH510" t="str">
        <f t="shared" si="23"/>
        <v>Musrigharari</v>
      </c>
      <c r="AJ510" s="72">
        <v>0</v>
      </c>
      <c r="AK510" s="72"/>
      <c r="AL510" s="72"/>
      <c r="AM510" s="72"/>
    </row>
    <row r="511" spans="1:39" x14ac:dyDescent="0.25">
      <c r="A511" s="37" t="s">
        <v>62</v>
      </c>
      <c r="B511" s="66" t="s">
        <v>1566</v>
      </c>
      <c r="C511" s="47">
        <v>1013</v>
      </c>
      <c r="D511" s="47" t="s">
        <v>351</v>
      </c>
      <c r="E511" s="41">
        <v>10130018</v>
      </c>
      <c r="F511" s="46" t="s">
        <v>361</v>
      </c>
      <c r="G511" s="39" t="s">
        <v>635</v>
      </c>
      <c r="H511" s="48" t="s">
        <v>99</v>
      </c>
      <c r="I511" s="52">
        <v>255.39999999999998</v>
      </c>
      <c r="J511" s="49">
        <v>7613.47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50">
        <v>7613.47</v>
      </c>
      <c r="R511" s="65">
        <v>0</v>
      </c>
      <c r="S511" s="65">
        <v>0</v>
      </c>
      <c r="T511" s="65">
        <v>0</v>
      </c>
      <c r="U511" s="65">
        <v>1350</v>
      </c>
      <c r="V511" s="65">
        <v>0</v>
      </c>
      <c r="W511" s="65">
        <v>0</v>
      </c>
      <c r="X511" s="65">
        <v>0</v>
      </c>
      <c r="Y511" s="65">
        <v>0</v>
      </c>
      <c r="Z511" s="65">
        <v>6263.47</v>
      </c>
      <c r="AA511" s="51">
        <v>0</v>
      </c>
      <c r="AB511" s="102">
        <v>0</v>
      </c>
      <c r="AC511" s="81">
        <f t="shared" si="24"/>
        <v>265.07038073610028</v>
      </c>
      <c r="AD511" s="82">
        <f t="shared" si="25"/>
        <v>36.48571428571428</v>
      </c>
      <c r="AE511" s="218">
        <v>0</v>
      </c>
      <c r="AF511">
        <v>0</v>
      </c>
      <c r="AH511" t="str">
        <f t="shared" si="23"/>
        <v>Musrigharari</v>
      </c>
      <c r="AJ511" s="72">
        <v>0</v>
      </c>
      <c r="AK511" s="72"/>
      <c r="AL511" s="72"/>
      <c r="AM511" s="72"/>
    </row>
    <row r="512" spans="1:39" x14ac:dyDescent="0.25">
      <c r="A512" s="37" t="s">
        <v>62</v>
      </c>
      <c r="B512" s="66" t="s">
        <v>1566</v>
      </c>
      <c r="C512" s="47">
        <v>1013</v>
      </c>
      <c r="D512" s="47" t="s">
        <v>351</v>
      </c>
      <c r="E512" s="41">
        <v>10130020</v>
      </c>
      <c r="F512" s="46" t="s">
        <v>362</v>
      </c>
      <c r="G512" s="39" t="s">
        <v>635</v>
      </c>
      <c r="H512" s="48" t="s">
        <v>99</v>
      </c>
      <c r="I512" s="52">
        <v>610.20000000000005</v>
      </c>
      <c r="J512" s="49">
        <v>21385.450000000004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50">
        <v>21385.450000000004</v>
      </c>
      <c r="R512" s="65">
        <v>0</v>
      </c>
      <c r="S512" s="65">
        <v>0</v>
      </c>
      <c r="T512" s="65">
        <v>0</v>
      </c>
      <c r="U512" s="65">
        <v>0</v>
      </c>
      <c r="V512" s="65">
        <v>0</v>
      </c>
      <c r="W512" s="65">
        <v>0</v>
      </c>
      <c r="X512" s="65">
        <v>0</v>
      </c>
      <c r="Y512" s="65">
        <v>0</v>
      </c>
      <c r="Z512" s="65">
        <v>21385.450000000004</v>
      </c>
      <c r="AA512" s="51">
        <v>0</v>
      </c>
      <c r="AB512" s="102">
        <v>0</v>
      </c>
      <c r="AC512" s="81">
        <f t="shared" si="24"/>
        <v>62.943736807604047</v>
      </c>
      <c r="AD512" s="82">
        <f t="shared" si="25"/>
        <v>87.171428571428578</v>
      </c>
      <c r="AE512" s="218">
        <v>0</v>
      </c>
      <c r="AF512">
        <v>0</v>
      </c>
      <c r="AH512" t="str">
        <f t="shared" si="23"/>
        <v>Musrigharari</v>
      </c>
      <c r="AJ512" s="72">
        <v>0</v>
      </c>
      <c r="AK512" s="72"/>
      <c r="AL512" s="72"/>
      <c r="AM512" s="72"/>
    </row>
    <row r="513" spans="1:39" x14ac:dyDescent="0.25">
      <c r="A513" s="37" t="s">
        <v>62</v>
      </c>
      <c r="B513" s="66" t="s">
        <v>1566</v>
      </c>
      <c r="C513" s="47">
        <v>1013</v>
      </c>
      <c r="D513" s="47" t="s">
        <v>351</v>
      </c>
      <c r="E513" s="41">
        <v>10130025</v>
      </c>
      <c r="F513" s="46" t="s">
        <v>363</v>
      </c>
      <c r="G513" s="39" t="s">
        <v>635</v>
      </c>
      <c r="H513" s="48" t="s">
        <v>99</v>
      </c>
      <c r="I513" s="52">
        <v>334.4</v>
      </c>
      <c r="J513" s="49">
        <v>13623.210000000003</v>
      </c>
      <c r="K513" s="65">
        <v>0</v>
      </c>
      <c r="L513" s="65">
        <v>0</v>
      </c>
      <c r="M513" s="65">
        <v>0</v>
      </c>
      <c r="N513" s="65">
        <v>0</v>
      </c>
      <c r="O513" s="65">
        <v>0</v>
      </c>
      <c r="P513" s="65">
        <v>0</v>
      </c>
      <c r="Q513" s="50">
        <v>13623.210000000003</v>
      </c>
      <c r="R513" s="65">
        <v>0</v>
      </c>
      <c r="S513" s="65">
        <v>0</v>
      </c>
      <c r="T513" s="65">
        <v>0</v>
      </c>
      <c r="U513" s="65">
        <v>3000</v>
      </c>
      <c r="V513" s="65">
        <v>0</v>
      </c>
      <c r="W513" s="65">
        <v>0</v>
      </c>
      <c r="X513" s="65">
        <v>0</v>
      </c>
      <c r="Y513" s="65">
        <v>0</v>
      </c>
      <c r="Z513" s="65">
        <v>10623.210000000003</v>
      </c>
      <c r="AA513" s="51">
        <v>0</v>
      </c>
      <c r="AB513" s="102">
        <v>0</v>
      </c>
      <c r="AC513" s="81">
        <f t="shared" si="24"/>
        <v>297.8855009569379</v>
      </c>
      <c r="AD513" s="82">
        <f t="shared" si="25"/>
        <v>47.771428571428565</v>
      </c>
      <c r="AE513" s="218">
        <v>0</v>
      </c>
      <c r="AF513">
        <v>0</v>
      </c>
      <c r="AH513" t="str">
        <f t="shared" si="23"/>
        <v>Musrigharari</v>
      </c>
      <c r="AJ513" s="72">
        <v>0</v>
      </c>
      <c r="AK513" s="72"/>
      <c r="AL513" s="72"/>
      <c r="AM513" s="72"/>
    </row>
    <row r="514" spans="1:39" x14ac:dyDescent="0.25">
      <c r="A514" s="37" t="s">
        <v>62</v>
      </c>
      <c r="B514" s="66" t="s">
        <v>1566</v>
      </c>
      <c r="C514" s="47">
        <v>1013</v>
      </c>
      <c r="D514" s="47" t="s">
        <v>351</v>
      </c>
      <c r="E514" s="41">
        <v>10130026</v>
      </c>
      <c r="F514" s="46" t="s">
        <v>325</v>
      </c>
      <c r="G514" s="39" t="s">
        <v>93</v>
      </c>
      <c r="H514" s="48" t="s">
        <v>94</v>
      </c>
      <c r="I514" s="52">
        <v>197.3</v>
      </c>
      <c r="J514" s="49">
        <v>7664.6399999999994</v>
      </c>
      <c r="K514" s="65">
        <v>49.129999999999995</v>
      </c>
      <c r="L514" s="65">
        <v>2162.1544313149998</v>
      </c>
      <c r="M514" s="65">
        <v>154.55000000000001</v>
      </c>
      <c r="N514" s="65">
        <v>6280.0719288540004</v>
      </c>
      <c r="O514" s="65">
        <v>203.68</v>
      </c>
      <c r="P514" s="65">
        <v>8442.2263601689992</v>
      </c>
      <c r="Q514" s="50">
        <v>7664.6399999999994</v>
      </c>
      <c r="R514" s="65">
        <v>0</v>
      </c>
      <c r="S514" s="65">
        <v>58.001286069600006</v>
      </c>
      <c r="T514" s="65">
        <v>777.58636016899982</v>
      </c>
      <c r="U514" s="65">
        <v>0</v>
      </c>
      <c r="V514" s="65">
        <v>0</v>
      </c>
      <c r="W514" s="65">
        <v>0</v>
      </c>
      <c r="X514" s="65">
        <v>1384</v>
      </c>
      <c r="Y514" s="65">
        <v>6223</v>
      </c>
      <c r="Z514" s="65">
        <v>0</v>
      </c>
      <c r="AA514" s="51">
        <v>0</v>
      </c>
      <c r="AB514" s="102">
        <v>0</v>
      </c>
      <c r="AC514" s="81">
        <f t="shared" si="24"/>
        <v>390.57420456158127</v>
      </c>
      <c r="AD514" s="82">
        <f t="shared" si="25"/>
        <v>28.185714285714287</v>
      </c>
      <c r="AE514" s="218">
        <v>-0.10145112623280414</v>
      </c>
      <c r="AF514">
        <v>9</v>
      </c>
      <c r="AH514" t="str">
        <f t="shared" si="23"/>
        <v>Musrigharari</v>
      </c>
      <c r="AJ514" s="72">
        <v>0</v>
      </c>
      <c r="AK514" s="72"/>
      <c r="AL514" s="72"/>
      <c r="AM514" s="72"/>
    </row>
    <row r="515" spans="1:39" x14ac:dyDescent="0.25">
      <c r="A515" s="37" t="s">
        <v>62</v>
      </c>
      <c r="B515" s="66" t="s">
        <v>1566</v>
      </c>
      <c r="C515" s="47">
        <v>1013</v>
      </c>
      <c r="D515" s="47" t="s">
        <v>351</v>
      </c>
      <c r="E515" s="41">
        <v>10130027</v>
      </c>
      <c r="F515" s="46" t="s">
        <v>1561</v>
      </c>
      <c r="G515" s="39" t="s">
        <v>635</v>
      </c>
      <c r="H515" s="48" t="s">
        <v>99</v>
      </c>
      <c r="I515" s="52">
        <v>42.500000000000007</v>
      </c>
      <c r="J515" s="49">
        <v>1495.26</v>
      </c>
      <c r="K515" s="65">
        <v>0</v>
      </c>
      <c r="L515" s="65">
        <v>0</v>
      </c>
      <c r="M515" s="65">
        <v>0</v>
      </c>
      <c r="N515" s="65">
        <v>0</v>
      </c>
      <c r="O515" s="65">
        <v>0</v>
      </c>
      <c r="P515" s="65">
        <v>0</v>
      </c>
      <c r="Q515" s="50">
        <v>1495.26</v>
      </c>
      <c r="R515" s="65">
        <v>0</v>
      </c>
      <c r="S515" s="65">
        <v>0</v>
      </c>
      <c r="T515" s="65">
        <v>0</v>
      </c>
      <c r="U515" s="65">
        <v>0</v>
      </c>
      <c r="V515" s="65">
        <v>0</v>
      </c>
      <c r="W515" s="65">
        <v>0</v>
      </c>
      <c r="X515" s="65">
        <v>0</v>
      </c>
      <c r="Y515" s="65">
        <v>0</v>
      </c>
      <c r="Z515" s="65">
        <v>1495.26</v>
      </c>
      <c r="AA515" s="51">
        <v>0</v>
      </c>
      <c r="AB515" s="102">
        <v>0</v>
      </c>
      <c r="AC515" s="81">
        <f t="shared" si="24"/>
        <v>462.65103529411761</v>
      </c>
      <c r="AD515" s="82">
        <f t="shared" si="25"/>
        <v>6.0714285714285721</v>
      </c>
      <c r="AE515" s="218">
        <v>0</v>
      </c>
      <c r="AF515">
        <v>0</v>
      </c>
      <c r="AH515" t="str">
        <f t="shared" ref="AH515:AH576" si="26">TEXT(D515,"0000")</f>
        <v>Musrigharari</v>
      </c>
      <c r="AJ515" s="72">
        <v>0</v>
      </c>
      <c r="AK515" s="72"/>
      <c r="AL515" s="72"/>
      <c r="AM515" s="72"/>
    </row>
    <row r="516" spans="1:39" x14ac:dyDescent="0.25">
      <c r="A516" s="37" t="s">
        <v>62</v>
      </c>
      <c r="B516" s="66" t="s">
        <v>1566</v>
      </c>
      <c r="C516" s="47">
        <v>1013</v>
      </c>
      <c r="D516" s="47" t="s">
        <v>351</v>
      </c>
      <c r="E516" s="41">
        <v>10130030</v>
      </c>
      <c r="F516" s="46" t="s">
        <v>364</v>
      </c>
      <c r="G516" s="39" t="s">
        <v>93</v>
      </c>
      <c r="H516" s="48" t="s">
        <v>94</v>
      </c>
      <c r="I516" s="52">
        <v>78.099999999999994</v>
      </c>
      <c r="J516" s="49">
        <v>2280.38</v>
      </c>
      <c r="K516" s="65">
        <v>100</v>
      </c>
      <c r="L516" s="65">
        <v>3696.1055999999999</v>
      </c>
      <c r="M516" s="65">
        <v>0</v>
      </c>
      <c r="N516" s="65">
        <v>0</v>
      </c>
      <c r="O516" s="65">
        <v>100</v>
      </c>
      <c r="P516" s="65">
        <v>3696.1055999999999</v>
      </c>
      <c r="Q516" s="50">
        <v>2280.38</v>
      </c>
      <c r="R516" s="65">
        <v>0</v>
      </c>
      <c r="S516" s="65">
        <v>0</v>
      </c>
      <c r="T516" s="65">
        <v>1415.7255999999998</v>
      </c>
      <c r="U516" s="65">
        <v>0</v>
      </c>
      <c r="V516" s="65">
        <v>628.40191578947349</v>
      </c>
      <c r="W516" s="65">
        <v>0</v>
      </c>
      <c r="X516" s="65">
        <v>1652</v>
      </c>
      <c r="Y516" s="65">
        <v>0</v>
      </c>
      <c r="Z516" s="65">
        <v>0</v>
      </c>
      <c r="AA516" s="51">
        <v>0</v>
      </c>
      <c r="AB516" s="102">
        <v>0</v>
      </c>
      <c r="AC516" s="81">
        <f t="shared" ref="AC516:AC579" si="27">((IF(AD516=0,0,100-AD516))*7*(J516/I516))*2%</f>
        <v>363.16730396927022</v>
      </c>
      <c r="AD516" s="82">
        <f t="shared" ref="AD516:AD579" si="28">IF((I516/7)&gt;100,0,(I516/7))</f>
        <v>11.157142857142857</v>
      </c>
      <c r="AE516" s="218">
        <v>-0.62082880923354866</v>
      </c>
      <c r="AF516">
        <v>1</v>
      </c>
      <c r="AH516" t="str">
        <f t="shared" si="26"/>
        <v>Musrigharari</v>
      </c>
      <c r="AJ516" s="72">
        <v>0</v>
      </c>
      <c r="AK516" s="72"/>
      <c r="AL516" s="72"/>
      <c r="AM516" s="72"/>
    </row>
    <row r="517" spans="1:39" x14ac:dyDescent="0.25">
      <c r="A517" s="37" t="s">
        <v>62</v>
      </c>
      <c r="B517" s="66" t="s">
        <v>1566</v>
      </c>
      <c r="C517" s="47">
        <v>1013</v>
      </c>
      <c r="D517" s="47" t="s">
        <v>351</v>
      </c>
      <c r="E517" s="41">
        <v>10130031</v>
      </c>
      <c r="F517" s="46" t="s">
        <v>365</v>
      </c>
      <c r="G517" s="39" t="s">
        <v>635</v>
      </c>
      <c r="H517" s="48" t="s">
        <v>99</v>
      </c>
      <c r="I517" s="52">
        <v>242.2</v>
      </c>
      <c r="J517" s="49">
        <v>9178.4299999999985</v>
      </c>
      <c r="K517" s="65">
        <v>0</v>
      </c>
      <c r="L517" s="65">
        <v>0</v>
      </c>
      <c r="M517" s="65">
        <v>0</v>
      </c>
      <c r="N517" s="65">
        <v>0</v>
      </c>
      <c r="O517" s="65">
        <v>0</v>
      </c>
      <c r="P517" s="65">
        <v>0</v>
      </c>
      <c r="Q517" s="50">
        <v>9178.4299999999985</v>
      </c>
      <c r="R517" s="65">
        <v>0</v>
      </c>
      <c r="S517" s="65">
        <v>0</v>
      </c>
      <c r="T517" s="65">
        <v>0</v>
      </c>
      <c r="U517" s="65">
        <v>3000</v>
      </c>
      <c r="V517" s="65">
        <v>0</v>
      </c>
      <c r="W517" s="65">
        <v>0</v>
      </c>
      <c r="X517" s="65">
        <v>0</v>
      </c>
      <c r="Y517" s="65">
        <v>0</v>
      </c>
      <c r="Z517" s="65">
        <v>6178.4299999999985</v>
      </c>
      <c r="AA517" s="51">
        <v>0</v>
      </c>
      <c r="AB517" s="102">
        <v>0</v>
      </c>
      <c r="AC517" s="81">
        <f t="shared" si="27"/>
        <v>346.97648670520232</v>
      </c>
      <c r="AD517" s="82">
        <f t="shared" si="28"/>
        <v>34.6</v>
      </c>
      <c r="AE517" s="218">
        <v>0</v>
      </c>
      <c r="AF517">
        <v>0</v>
      </c>
      <c r="AH517" t="str">
        <f t="shared" si="26"/>
        <v>Musrigharari</v>
      </c>
      <c r="AJ517" s="72">
        <v>0</v>
      </c>
      <c r="AK517" s="72"/>
      <c r="AL517" s="72"/>
      <c r="AM517" s="72"/>
    </row>
    <row r="518" spans="1:39" x14ac:dyDescent="0.25">
      <c r="A518" s="37" t="s">
        <v>62</v>
      </c>
      <c r="B518" s="66" t="s">
        <v>1566</v>
      </c>
      <c r="C518" s="47">
        <v>1013</v>
      </c>
      <c r="D518" s="47" t="s">
        <v>351</v>
      </c>
      <c r="E518" s="41">
        <v>10130032</v>
      </c>
      <c r="F518" s="46" t="s">
        <v>626</v>
      </c>
      <c r="G518" s="39" t="s">
        <v>93</v>
      </c>
      <c r="H518" s="48" t="s">
        <v>94</v>
      </c>
      <c r="I518" s="52">
        <v>38.799999999999997</v>
      </c>
      <c r="J518" s="49">
        <v>1903.26</v>
      </c>
      <c r="K518" s="65">
        <v>50.5</v>
      </c>
      <c r="L518" s="65">
        <v>2154.8972072500001</v>
      </c>
      <c r="M518" s="65">
        <v>0</v>
      </c>
      <c r="N518" s="65">
        <v>0</v>
      </c>
      <c r="O518" s="65">
        <v>50.5</v>
      </c>
      <c r="P518" s="65">
        <v>2154.8972072500001</v>
      </c>
      <c r="Q518" s="50">
        <v>1903.26</v>
      </c>
      <c r="R518" s="65">
        <v>0</v>
      </c>
      <c r="S518" s="65">
        <v>0</v>
      </c>
      <c r="T518" s="65">
        <v>251.63720725000007</v>
      </c>
      <c r="U518" s="65">
        <v>0</v>
      </c>
      <c r="V518" s="65">
        <v>59.116413559322027</v>
      </c>
      <c r="W518" s="65">
        <v>0</v>
      </c>
      <c r="X518" s="65">
        <v>1844</v>
      </c>
      <c r="Y518" s="65">
        <v>0</v>
      </c>
      <c r="Z518" s="65">
        <v>0</v>
      </c>
      <c r="AA518" s="51">
        <v>0</v>
      </c>
      <c r="AB518" s="102">
        <v>0</v>
      </c>
      <c r="AC518" s="81">
        <f t="shared" si="27"/>
        <v>648.67809896907227</v>
      </c>
      <c r="AD518" s="82">
        <f t="shared" si="28"/>
        <v>5.5428571428571427</v>
      </c>
      <c r="AE518" s="218">
        <v>-0.1322137843752299</v>
      </c>
      <c r="AF518">
        <v>1</v>
      </c>
      <c r="AH518" t="str">
        <f t="shared" si="26"/>
        <v>Musrigharari</v>
      </c>
      <c r="AJ518" s="72">
        <v>0</v>
      </c>
      <c r="AK518" s="72"/>
      <c r="AL518" s="72"/>
      <c r="AM518" s="72"/>
    </row>
    <row r="519" spans="1:39" x14ac:dyDescent="0.25">
      <c r="A519" s="37" t="s">
        <v>62</v>
      </c>
      <c r="B519" s="66" t="s">
        <v>1566</v>
      </c>
      <c r="C519" s="47">
        <v>1013</v>
      </c>
      <c r="D519" s="47" t="s">
        <v>351</v>
      </c>
      <c r="E519" s="41">
        <v>10130040</v>
      </c>
      <c r="F519" s="46" t="s">
        <v>366</v>
      </c>
      <c r="G519" s="39" t="s">
        <v>635</v>
      </c>
      <c r="H519" s="48" t="s">
        <v>99</v>
      </c>
      <c r="I519" s="52">
        <v>863.6</v>
      </c>
      <c r="J519" s="49">
        <v>22047.71</v>
      </c>
      <c r="K519" s="65">
        <v>0</v>
      </c>
      <c r="L519" s="65">
        <v>0</v>
      </c>
      <c r="M519" s="65">
        <v>0</v>
      </c>
      <c r="N519" s="65">
        <v>0</v>
      </c>
      <c r="O519" s="65">
        <v>0</v>
      </c>
      <c r="P519" s="65">
        <v>0</v>
      </c>
      <c r="Q519" s="50">
        <v>22047.71</v>
      </c>
      <c r="R519" s="65">
        <v>0</v>
      </c>
      <c r="S519" s="65">
        <v>0</v>
      </c>
      <c r="T519" s="65">
        <v>0</v>
      </c>
      <c r="U519" s="65">
        <v>0</v>
      </c>
      <c r="V519" s="65">
        <v>715.38483870967684</v>
      </c>
      <c r="W519" s="65">
        <v>0</v>
      </c>
      <c r="X519" s="65">
        <v>0</v>
      </c>
      <c r="Y519" s="65">
        <v>0</v>
      </c>
      <c r="Z519" s="65">
        <v>21332.325161290322</v>
      </c>
      <c r="AA519" s="51">
        <v>0</v>
      </c>
      <c r="AB519" s="102">
        <v>0</v>
      </c>
      <c r="AC519" s="81">
        <f t="shared" si="27"/>
        <v>0</v>
      </c>
      <c r="AD519" s="82">
        <f t="shared" si="28"/>
        <v>0</v>
      </c>
      <c r="AE519" s="218">
        <v>0</v>
      </c>
      <c r="AF519">
        <v>0</v>
      </c>
      <c r="AH519" t="str">
        <f t="shared" si="26"/>
        <v>Musrigharari</v>
      </c>
      <c r="AJ519" s="72">
        <v>0</v>
      </c>
      <c r="AK519" s="72"/>
      <c r="AL519" s="72"/>
      <c r="AM519" s="72"/>
    </row>
    <row r="520" spans="1:39" x14ac:dyDescent="0.25">
      <c r="A520" s="37" t="s">
        <v>62</v>
      </c>
      <c r="B520" s="66" t="s">
        <v>1566</v>
      </c>
      <c r="C520" s="47">
        <v>1013</v>
      </c>
      <c r="D520" s="47" t="s">
        <v>351</v>
      </c>
      <c r="E520" s="41">
        <v>10130041</v>
      </c>
      <c r="F520" s="46" t="s">
        <v>367</v>
      </c>
      <c r="G520" s="39" t="s">
        <v>635</v>
      </c>
      <c r="H520" s="48" t="s">
        <v>99</v>
      </c>
      <c r="I520" s="52">
        <v>53.5</v>
      </c>
      <c r="J520" s="49">
        <v>1983.4599999999998</v>
      </c>
      <c r="K520" s="65">
        <v>0</v>
      </c>
      <c r="L520" s="65">
        <v>0</v>
      </c>
      <c r="M520" s="65">
        <v>0</v>
      </c>
      <c r="N520" s="65">
        <v>0</v>
      </c>
      <c r="O520" s="65">
        <v>0</v>
      </c>
      <c r="P520" s="65">
        <v>0</v>
      </c>
      <c r="Q520" s="50">
        <v>1983.4599999999998</v>
      </c>
      <c r="R520" s="65">
        <v>0</v>
      </c>
      <c r="S520" s="65">
        <v>0</v>
      </c>
      <c r="T520" s="65">
        <v>0</v>
      </c>
      <c r="U520" s="65">
        <v>0</v>
      </c>
      <c r="V520" s="65">
        <v>6.9993483870967692</v>
      </c>
      <c r="W520" s="65">
        <v>0</v>
      </c>
      <c r="X520" s="65">
        <v>0</v>
      </c>
      <c r="Y520" s="65">
        <v>0</v>
      </c>
      <c r="Z520" s="65">
        <v>1976.4606516129031</v>
      </c>
      <c r="AA520" s="51">
        <v>0</v>
      </c>
      <c r="AB520" s="102">
        <v>0</v>
      </c>
      <c r="AC520" s="81">
        <f t="shared" si="27"/>
        <v>479.36706168224299</v>
      </c>
      <c r="AD520" s="82">
        <f t="shared" si="28"/>
        <v>7.6428571428571432</v>
      </c>
      <c r="AE520" s="218">
        <v>0</v>
      </c>
      <c r="AF520">
        <v>0</v>
      </c>
      <c r="AH520" t="str">
        <f t="shared" si="26"/>
        <v>Musrigharari</v>
      </c>
      <c r="AJ520" s="72">
        <v>0</v>
      </c>
      <c r="AK520" s="72"/>
      <c r="AL520" s="72"/>
      <c r="AM520" s="72"/>
    </row>
    <row r="521" spans="1:39" x14ac:dyDescent="0.25">
      <c r="A521" s="37" t="s">
        <v>62</v>
      </c>
      <c r="B521" s="66" t="s">
        <v>1566</v>
      </c>
      <c r="C521" s="47">
        <v>1013</v>
      </c>
      <c r="D521" s="47" t="s">
        <v>351</v>
      </c>
      <c r="E521" s="41">
        <v>10130042</v>
      </c>
      <c r="F521" s="46" t="s">
        <v>368</v>
      </c>
      <c r="G521" s="39" t="s">
        <v>635</v>
      </c>
      <c r="H521" s="48" t="s">
        <v>99</v>
      </c>
      <c r="I521" s="52">
        <v>21.4</v>
      </c>
      <c r="J521" s="49">
        <v>790.06999999999994</v>
      </c>
      <c r="K521" s="65">
        <v>0</v>
      </c>
      <c r="L521" s="65">
        <v>0</v>
      </c>
      <c r="M521" s="65">
        <v>0</v>
      </c>
      <c r="N521" s="65">
        <v>0</v>
      </c>
      <c r="O521" s="65">
        <v>0</v>
      </c>
      <c r="P521" s="65">
        <v>0</v>
      </c>
      <c r="Q521" s="50">
        <v>790.06999999999994</v>
      </c>
      <c r="R521" s="65">
        <v>0</v>
      </c>
      <c r="S521" s="65">
        <v>0</v>
      </c>
      <c r="T521" s="65">
        <v>0</v>
      </c>
      <c r="U521" s="65">
        <v>0</v>
      </c>
      <c r="V521" s="65">
        <v>0</v>
      </c>
      <c r="W521" s="65">
        <v>0</v>
      </c>
      <c r="X521" s="65">
        <v>0</v>
      </c>
      <c r="Y521" s="65">
        <v>0</v>
      </c>
      <c r="Z521" s="65">
        <v>790.06999999999994</v>
      </c>
      <c r="AA521" s="51">
        <v>0</v>
      </c>
      <c r="AB521" s="102">
        <v>0</v>
      </c>
      <c r="AC521" s="81">
        <f t="shared" si="27"/>
        <v>501.0668242990655</v>
      </c>
      <c r="AD521" s="82">
        <f t="shared" si="28"/>
        <v>3.0571428571428569</v>
      </c>
      <c r="AE521" s="218">
        <v>0</v>
      </c>
      <c r="AF521">
        <v>0</v>
      </c>
      <c r="AH521" t="str">
        <f t="shared" si="26"/>
        <v>Musrigharari</v>
      </c>
      <c r="AJ521" s="72">
        <v>0</v>
      </c>
      <c r="AK521" s="72"/>
      <c r="AL521" s="72"/>
      <c r="AM521" s="72"/>
    </row>
    <row r="522" spans="1:39" x14ac:dyDescent="0.25">
      <c r="A522" s="37" t="s">
        <v>62</v>
      </c>
      <c r="B522" s="66" t="s">
        <v>1566</v>
      </c>
      <c r="C522" s="47">
        <v>1013</v>
      </c>
      <c r="D522" s="47" t="s">
        <v>351</v>
      </c>
      <c r="E522" s="41">
        <v>10130044</v>
      </c>
      <c r="F522" s="46" t="s">
        <v>369</v>
      </c>
      <c r="G522" s="39" t="s">
        <v>93</v>
      </c>
      <c r="H522" s="48" t="s">
        <v>99</v>
      </c>
      <c r="I522" s="52">
        <v>2624</v>
      </c>
      <c r="J522" s="49">
        <v>108795.37999999999</v>
      </c>
      <c r="K522" s="65">
        <v>0</v>
      </c>
      <c r="L522" s="65">
        <v>0</v>
      </c>
      <c r="M522" s="65">
        <v>0</v>
      </c>
      <c r="N522" s="65">
        <v>0</v>
      </c>
      <c r="O522" s="65">
        <v>0</v>
      </c>
      <c r="P522" s="65">
        <v>0</v>
      </c>
      <c r="Q522" s="50">
        <v>108795.37999999999</v>
      </c>
      <c r="R522" s="65">
        <v>0</v>
      </c>
      <c r="S522" s="65">
        <v>0</v>
      </c>
      <c r="T522" s="65">
        <v>0</v>
      </c>
      <c r="U522" s="65">
        <v>3000</v>
      </c>
      <c r="V522" s="65">
        <v>0</v>
      </c>
      <c r="W522" s="65">
        <v>0</v>
      </c>
      <c r="X522" s="65">
        <v>0</v>
      </c>
      <c r="Y522" s="65">
        <v>0</v>
      </c>
      <c r="Z522" s="65">
        <v>105795.37999999999</v>
      </c>
      <c r="AA522" s="51">
        <v>0</v>
      </c>
      <c r="AB522" s="102">
        <v>0</v>
      </c>
      <c r="AC522" s="81">
        <f t="shared" si="27"/>
        <v>0</v>
      </c>
      <c r="AD522" s="82">
        <f t="shared" si="28"/>
        <v>0</v>
      </c>
      <c r="AE522" s="218">
        <v>0</v>
      </c>
      <c r="AF522">
        <v>0</v>
      </c>
      <c r="AH522" t="str">
        <f t="shared" si="26"/>
        <v>Musrigharari</v>
      </c>
      <c r="AJ522" s="72">
        <v>0</v>
      </c>
      <c r="AK522" s="72"/>
      <c r="AL522" s="72"/>
      <c r="AM522" s="72"/>
    </row>
    <row r="523" spans="1:39" x14ac:dyDescent="0.25">
      <c r="A523" s="37" t="s">
        <v>62</v>
      </c>
      <c r="B523" s="66" t="s">
        <v>1566</v>
      </c>
      <c r="C523" s="47">
        <v>1013</v>
      </c>
      <c r="D523" s="47" t="s">
        <v>351</v>
      </c>
      <c r="E523" s="41">
        <v>10130046</v>
      </c>
      <c r="F523" s="46" t="s">
        <v>370</v>
      </c>
      <c r="G523" s="39" t="s">
        <v>93</v>
      </c>
      <c r="H523" s="48" t="s">
        <v>94</v>
      </c>
      <c r="I523" s="52">
        <v>355.90000000000003</v>
      </c>
      <c r="J523" s="49">
        <v>15323.379999999997</v>
      </c>
      <c r="K523" s="65">
        <v>280.44</v>
      </c>
      <c r="L523" s="65">
        <v>11968.76063233356</v>
      </c>
      <c r="M523" s="65">
        <v>94.640000000000015</v>
      </c>
      <c r="N523" s="65">
        <v>4957.2909916410554</v>
      </c>
      <c r="O523" s="65">
        <v>375.08000000000004</v>
      </c>
      <c r="P523" s="65">
        <v>16926.051623974614</v>
      </c>
      <c r="Q523" s="50">
        <v>15323.379999999997</v>
      </c>
      <c r="R523" s="65">
        <v>0</v>
      </c>
      <c r="S523" s="65">
        <v>0</v>
      </c>
      <c r="T523" s="65">
        <v>1602.6716239746165</v>
      </c>
      <c r="U523" s="65">
        <v>871</v>
      </c>
      <c r="V523" s="65">
        <v>0</v>
      </c>
      <c r="W523" s="65">
        <v>0</v>
      </c>
      <c r="X523" s="65">
        <v>9495</v>
      </c>
      <c r="Y523" s="65">
        <v>4957</v>
      </c>
      <c r="Z523" s="65">
        <v>0</v>
      </c>
      <c r="AA523" s="51">
        <v>0</v>
      </c>
      <c r="AB523" s="102">
        <v>0</v>
      </c>
      <c r="AC523" s="81">
        <f t="shared" si="27"/>
        <v>296.30655004214657</v>
      </c>
      <c r="AD523" s="82">
        <f t="shared" si="28"/>
        <v>50.842857142857149</v>
      </c>
      <c r="AE523" s="218">
        <v>-0.1045899549560617</v>
      </c>
      <c r="AF523">
        <v>12</v>
      </c>
      <c r="AH523" t="str">
        <f t="shared" si="26"/>
        <v>Musrigharari</v>
      </c>
      <c r="AJ523" s="72">
        <v>0</v>
      </c>
      <c r="AK523" s="72"/>
      <c r="AL523" s="72"/>
      <c r="AM523" s="72"/>
    </row>
    <row r="524" spans="1:39" x14ac:dyDescent="0.25">
      <c r="A524" s="37" t="s">
        <v>62</v>
      </c>
      <c r="B524" s="66" t="s">
        <v>1566</v>
      </c>
      <c r="C524" s="47">
        <v>1013</v>
      </c>
      <c r="D524" s="47" t="s">
        <v>351</v>
      </c>
      <c r="E524" s="41">
        <v>10130047</v>
      </c>
      <c r="F524" s="46" t="s">
        <v>371</v>
      </c>
      <c r="G524" s="39" t="s">
        <v>93</v>
      </c>
      <c r="H524" s="48" t="s">
        <v>94</v>
      </c>
      <c r="I524" s="52">
        <v>257.10000000000002</v>
      </c>
      <c r="J524" s="49">
        <v>9144.7900000000027</v>
      </c>
      <c r="K524" s="65">
        <v>260.31</v>
      </c>
      <c r="L524" s="65">
        <v>9525.8568270096021</v>
      </c>
      <c r="M524" s="65">
        <v>3.0300000000000002</v>
      </c>
      <c r="N524" s="65">
        <v>107.36452738440002</v>
      </c>
      <c r="O524" s="65">
        <v>263.33999999999997</v>
      </c>
      <c r="P524" s="65">
        <v>9633.2213543940015</v>
      </c>
      <c r="Q524" s="50">
        <v>9144.7900000000027</v>
      </c>
      <c r="R524" s="65">
        <v>0</v>
      </c>
      <c r="S524" s="65">
        <v>107.36452738440002</v>
      </c>
      <c r="T524" s="65">
        <v>488.43135439399884</v>
      </c>
      <c r="U524" s="65">
        <v>0</v>
      </c>
      <c r="V524" s="65">
        <v>0</v>
      </c>
      <c r="W524" s="65">
        <v>0</v>
      </c>
      <c r="X524" s="65">
        <v>9037</v>
      </c>
      <c r="Y524" s="65">
        <v>0</v>
      </c>
      <c r="Z524" s="65">
        <v>0</v>
      </c>
      <c r="AA524" s="51">
        <v>0</v>
      </c>
      <c r="AB524" s="102">
        <v>0</v>
      </c>
      <c r="AC524" s="81">
        <f t="shared" si="27"/>
        <v>315.07020544535209</v>
      </c>
      <c r="AD524" s="82">
        <f t="shared" si="28"/>
        <v>36.728571428571435</v>
      </c>
      <c r="AE524" s="218">
        <v>-5.3410887991304196E-2</v>
      </c>
      <c r="AF524">
        <v>6</v>
      </c>
      <c r="AH524" t="str">
        <f t="shared" si="26"/>
        <v>Musrigharari</v>
      </c>
      <c r="AJ524" s="72">
        <v>0</v>
      </c>
      <c r="AK524" s="72"/>
      <c r="AL524" s="72"/>
      <c r="AM524" s="72"/>
    </row>
    <row r="525" spans="1:39" x14ac:dyDescent="0.25">
      <c r="A525" s="37" t="s">
        <v>62</v>
      </c>
      <c r="B525" s="66" t="s">
        <v>1566</v>
      </c>
      <c r="C525" s="47">
        <v>1013</v>
      </c>
      <c r="D525" s="47" t="s">
        <v>351</v>
      </c>
      <c r="E525" s="41">
        <v>10130052</v>
      </c>
      <c r="F525" s="46" t="s">
        <v>373</v>
      </c>
      <c r="G525" s="39" t="s">
        <v>93</v>
      </c>
      <c r="H525" s="48" t="s">
        <v>94</v>
      </c>
      <c r="I525" s="52">
        <v>1388.8999999999999</v>
      </c>
      <c r="J525" s="49">
        <v>47935.770000000004</v>
      </c>
      <c r="K525" s="65">
        <v>804.41</v>
      </c>
      <c r="L525" s="65">
        <v>29414.044406415713</v>
      </c>
      <c r="M525" s="65">
        <v>584.59000000000015</v>
      </c>
      <c r="N525" s="65">
        <v>19396.177799090401</v>
      </c>
      <c r="O525" s="65">
        <v>1389</v>
      </c>
      <c r="P525" s="65">
        <v>48810.222205506114</v>
      </c>
      <c r="Q525" s="50">
        <v>47935.770000000004</v>
      </c>
      <c r="R525" s="65">
        <v>0</v>
      </c>
      <c r="S525" s="65">
        <v>520.66075786560009</v>
      </c>
      <c r="T525" s="65">
        <v>874.45220550610975</v>
      </c>
      <c r="U525" s="65">
        <v>0</v>
      </c>
      <c r="V525" s="65">
        <v>0</v>
      </c>
      <c r="W525" s="65">
        <v>0</v>
      </c>
      <c r="X525" s="65">
        <v>28538</v>
      </c>
      <c r="Y525" s="65">
        <v>18877</v>
      </c>
      <c r="Z525" s="65">
        <v>0</v>
      </c>
      <c r="AA525" s="51">
        <v>0</v>
      </c>
      <c r="AB525" s="102">
        <v>0</v>
      </c>
      <c r="AC525" s="81">
        <f t="shared" si="27"/>
        <v>0</v>
      </c>
      <c r="AD525" s="82">
        <f t="shared" si="28"/>
        <v>0</v>
      </c>
      <c r="AE525" s="218">
        <v>-1.8242164577853024E-2</v>
      </c>
      <c r="AF525">
        <v>30</v>
      </c>
      <c r="AH525" t="str">
        <f t="shared" si="26"/>
        <v>Musrigharari</v>
      </c>
      <c r="AJ525" s="72">
        <v>0</v>
      </c>
      <c r="AK525" s="72"/>
      <c r="AL525" s="72"/>
      <c r="AM525" s="72"/>
    </row>
    <row r="526" spans="1:39" x14ac:dyDescent="0.25">
      <c r="A526" s="37" t="s">
        <v>62</v>
      </c>
      <c r="B526" s="66" t="s">
        <v>1566</v>
      </c>
      <c r="C526" s="47">
        <v>1013</v>
      </c>
      <c r="D526" s="47" t="s">
        <v>351</v>
      </c>
      <c r="E526" s="41">
        <v>10130054</v>
      </c>
      <c r="F526" s="46" t="s">
        <v>374</v>
      </c>
      <c r="G526" s="39" t="s">
        <v>93</v>
      </c>
      <c r="H526" s="48" t="s">
        <v>94</v>
      </c>
      <c r="I526" s="52">
        <v>616.09999999999991</v>
      </c>
      <c r="J526" s="49">
        <v>23856.400000000001</v>
      </c>
      <c r="K526" s="65">
        <v>377.54999999999995</v>
      </c>
      <c r="L526" s="65">
        <v>16149.154251439682</v>
      </c>
      <c r="M526" s="65">
        <v>244.23</v>
      </c>
      <c r="N526" s="65">
        <v>8710.6632940800009</v>
      </c>
      <c r="O526" s="65">
        <v>621.78</v>
      </c>
      <c r="P526" s="65">
        <v>24859.817545519683</v>
      </c>
      <c r="Q526" s="50">
        <v>23856.400000000001</v>
      </c>
      <c r="R526" s="65">
        <v>0</v>
      </c>
      <c r="S526" s="65">
        <v>114.097372686</v>
      </c>
      <c r="T526" s="65">
        <v>1003.4175455196819</v>
      </c>
      <c r="U526" s="65">
        <v>0</v>
      </c>
      <c r="V526" s="65">
        <v>0</v>
      </c>
      <c r="W526" s="65">
        <v>0</v>
      </c>
      <c r="X526" s="65">
        <v>15146</v>
      </c>
      <c r="Y526" s="65">
        <v>8596</v>
      </c>
      <c r="Z526" s="65">
        <v>0</v>
      </c>
      <c r="AA526" s="51">
        <v>0</v>
      </c>
      <c r="AB526" s="102">
        <v>0</v>
      </c>
      <c r="AC526" s="81">
        <f t="shared" si="27"/>
        <v>64.974905372504523</v>
      </c>
      <c r="AD526" s="82">
        <f t="shared" si="28"/>
        <v>88.014285714285705</v>
      </c>
      <c r="AE526" s="218">
        <v>-4.2060727751030411E-2</v>
      </c>
      <c r="AF526">
        <v>11</v>
      </c>
      <c r="AH526" t="str">
        <f t="shared" si="26"/>
        <v>Musrigharari</v>
      </c>
      <c r="AJ526" s="72">
        <v>0</v>
      </c>
      <c r="AK526" s="72"/>
      <c r="AL526" s="72"/>
      <c r="AM526" s="72"/>
    </row>
    <row r="527" spans="1:39" x14ac:dyDescent="0.25">
      <c r="A527" s="37" t="s">
        <v>62</v>
      </c>
      <c r="B527" s="66" t="s">
        <v>1566</v>
      </c>
      <c r="C527" s="47">
        <v>1013</v>
      </c>
      <c r="D527" s="47" t="s">
        <v>351</v>
      </c>
      <c r="E527" s="41">
        <v>10130058</v>
      </c>
      <c r="F527" s="46" t="s">
        <v>375</v>
      </c>
      <c r="G527" s="39" t="s">
        <v>635</v>
      </c>
      <c r="H527" s="48" t="s">
        <v>99</v>
      </c>
      <c r="I527" s="52">
        <v>221.29999999999998</v>
      </c>
      <c r="J527" s="49">
        <v>7690.79</v>
      </c>
      <c r="K527" s="65">
        <v>0</v>
      </c>
      <c r="L527" s="65">
        <v>0</v>
      </c>
      <c r="M527" s="65">
        <v>0</v>
      </c>
      <c r="N527" s="65">
        <v>0</v>
      </c>
      <c r="O527" s="65">
        <v>0</v>
      </c>
      <c r="P527" s="65">
        <v>0</v>
      </c>
      <c r="Q527" s="50">
        <v>7690.79</v>
      </c>
      <c r="R527" s="65">
        <v>0</v>
      </c>
      <c r="S527" s="65">
        <v>0</v>
      </c>
      <c r="T527" s="65">
        <v>0</v>
      </c>
      <c r="U527" s="65">
        <v>0</v>
      </c>
      <c r="V527" s="65">
        <v>73.386503225806294</v>
      </c>
      <c r="W527" s="65">
        <v>0</v>
      </c>
      <c r="X527" s="65">
        <v>0</v>
      </c>
      <c r="Y527" s="65">
        <v>0</v>
      </c>
      <c r="Z527" s="65">
        <v>7617.4034967741936</v>
      </c>
      <c r="AA527" s="51">
        <v>0</v>
      </c>
      <c r="AB527" s="102">
        <v>0</v>
      </c>
      <c r="AC527" s="81">
        <f t="shared" si="27"/>
        <v>332.7231064618166</v>
      </c>
      <c r="AD527" s="82">
        <f t="shared" si="28"/>
        <v>31.61428571428571</v>
      </c>
      <c r="AE527" s="218">
        <v>0</v>
      </c>
      <c r="AF527">
        <v>0</v>
      </c>
      <c r="AH527" t="str">
        <f t="shared" si="26"/>
        <v>Musrigharari</v>
      </c>
      <c r="AJ527" s="72">
        <v>0</v>
      </c>
      <c r="AK527" s="72"/>
      <c r="AL527" s="72"/>
      <c r="AM527" s="72"/>
    </row>
    <row r="528" spans="1:39" x14ac:dyDescent="0.25">
      <c r="A528" s="37" t="s">
        <v>62</v>
      </c>
      <c r="B528" s="66" t="s">
        <v>1566</v>
      </c>
      <c r="C528" s="47">
        <v>1013</v>
      </c>
      <c r="D528" s="47" t="s">
        <v>351</v>
      </c>
      <c r="E528" s="41">
        <v>10130065</v>
      </c>
      <c r="F528" s="46" t="s">
        <v>426</v>
      </c>
      <c r="G528" s="39" t="s">
        <v>635</v>
      </c>
      <c r="H528" s="48" t="s">
        <v>99</v>
      </c>
      <c r="I528" s="52">
        <v>769.6</v>
      </c>
      <c r="J528" s="49">
        <v>30238.45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50">
        <v>30238.45</v>
      </c>
      <c r="R528" s="65">
        <v>0</v>
      </c>
      <c r="S528" s="65">
        <v>0</v>
      </c>
      <c r="T528" s="65">
        <v>0</v>
      </c>
      <c r="U528" s="65">
        <v>0</v>
      </c>
      <c r="V528" s="65">
        <v>0</v>
      </c>
      <c r="W528" s="65">
        <v>0</v>
      </c>
      <c r="X528" s="65">
        <v>0</v>
      </c>
      <c r="Y528" s="65">
        <v>0</v>
      </c>
      <c r="Z528" s="65">
        <v>30238.45</v>
      </c>
      <c r="AA528" s="51">
        <v>0</v>
      </c>
      <c r="AB528" s="102">
        <v>0</v>
      </c>
      <c r="AC528" s="81">
        <f t="shared" si="27"/>
        <v>0</v>
      </c>
      <c r="AD528" s="82">
        <f t="shared" si="28"/>
        <v>0</v>
      </c>
      <c r="AE528" s="218">
        <v>0</v>
      </c>
      <c r="AF528">
        <v>0</v>
      </c>
      <c r="AH528" t="str">
        <f t="shared" si="26"/>
        <v>Musrigharari</v>
      </c>
      <c r="AJ528" s="72">
        <v>0</v>
      </c>
      <c r="AK528" s="72"/>
      <c r="AL528" s="72"/>
      <c r="AM528" s="72"/>
    </row>
    <row r="529" spans="1:39" x14ac:dyDescent="0.25">
      <c r="A529" s="37" t="s">
        <v>62</v>
      </c>
      <c r="B529" s="66" t="s">
        <v>1566</v>
      </c>
      <c r="C529" s="47">
        <v>1013</v>
      </c>
      <c r="D529" s="47" t="s">
        <v>351</v>
      </c>
      <c r="E529" s="41">
        <v>10130073</v>
      </c>
      <c r="F529" s="46" t="s">
        <v>473</v>
      </c>
      <c r="G529" s="39" t="s">
        <v>93</v>
      </c>
      <c r="H529" s="48" t="s">
        <v>94</v>
      </c>
      <c r="I529" s="52">
        <v>64.900000000000006</v>
      </c>
      <c r="J529" s="49">
        <v>2330.73</v>
      </c>
      <c r="K529" s="65">
        <v>59.9</v>
      </c>
      <c r="L529" s="65">
        <v>2142.3671885880003</v>
      </c>
      <c r="M529" s="65">
        <v>15</v>
      </c>
      <c r="N529" s="65">
        <v>561.0161700000001</v>
      </c>
      <c r="O529" s="65">
        <v>74.900000000000006</v>
      </c>
      <c r="P529" s="65">
        <v>2703.3833585880002</v>
      </c>
      <c r="Q529" s="50">
        <v>2330.73</v>
      </c>
      <c r="R529" s="65">
        <v>0</v>
      </c>
      <c r="S529" s="65">
        <v>0</v>
      </c>
      <c r="T529" s="65">
        <v>372.65335858800017</v>
      </c>
      <c r="U529" s="65">
        <v>1372</v>
      </c>
      <c r="V529" s="65">
        <v>398.03320000000014</v>
      </c>
      <c r="W529" s="65">
        <v>0</v>
      </c>
      <c r="X529" s="65">
        <v>0</v>
      </c>
      <c r="Y529" s="65">
        <v>561</v>
      </c>
      <c r="Z529" s="65">
        <v>0</v>
      </c>
      <c r="AA529" s="51">
        <v>0</v>
      </c>
      <c r="AB529" s="102">
        <v>0</v>
      </c>
      <c r="AC529" s="81">
        <f t="shared" si="27"/>
        <v>456.16228751926042</v>
      </c>
      <c r="AD529" s="82">
        <f t="shared" si="28"/>
        <v>9.2714285714285722</v>
      </c>
      <c r="AE529" s="218">
        <v>-0.15988697042900729</v>
      </c>
      <c r="AF529">
        <v>2</v>
      </c>
      <c r="AH529" t="str">
        <f t="shared" si="26"/>
        <v>Musrigharari</v>
      </c>
      <c r="AJ529" s="72">
        <v>0</v>
      </c>
      <c r="AK529" s="72"/>
      <c r="AL529" s="72"/>
      <c r="AM529" s="72"/>
    </row>
    <row r="530" spans="1:39" x14ac:dyDescent="0.25">
      <c r="A530" s="37" t="s">
        <v>62</v>
      </c>
      <c r="B530" s="66" t="s">
        <v>1566</v>
      </c>
      <c r="C530" s="47">
        <v>1013</v>
      </c>
      <c r="D530" s="47" t="s">
        <v>351</v>
      </c>
      <c r="E530" s="41">
        <v>10130074</v>
      </c>
      <c r="F530" s="46" t="s">
        <v>463</v>
      </c>
      <c r="G530" s="39" t="s">
        <v>93</v>
      </c>
      <c r="H530" s="48" t="s">
        <v>94</v>
      </c>
      <c r="I530" s="52">
        <v>291.79999999999995</v>
      </c>
      <c r="J530" s="49">
        <v>10899.48</v>
      </c>
      <c r="K530" s="65">
        <v>138.73000000000002</v>
      </c>
      <c r="L530" s="65">
        <v>5130.9332498456006</v>
      </c>
      <c r="M530" s="65">
        <v>172.67000000000002</v>
      </c>
      <c r="N530" s="65">
        <v>6081.0545414417993</v>
      </c>
      <c r="O530" s="65">
        <v>311.40000000000003</v>
      </c>
      <c r="P530" s="65">
        <v>11211.9877912874</v>
      </c>
      <c r="Q530" s="50">
        <v>10899.48</v>
      </c>
      <c r="R530" s="65">
        <v>0</v>
      </c>
      <c r="S530" s="65">
        <v>186.95243812800001</v>
      </c>
      <c r="T530" s="65">
        <v>312.50779128740032</v>
      </c>
      <c r="U530" s="65">
        <v>0</v>
      </c>
      <c r="V530" s="65">
        <v>0</v>
      </c>
      <c r="W530" s="65">
        <v>0</v>
      </c>
      <c r="X530" s="65">
        <v>4819</v>
      </c>
      <c r="Y530" s="65">
        <v>5894</v>
      </c>
      <c r="Z530" s="65">
        <v>0</v>
      </c>
      <c r="AA530" s="51">
        <v>0</v>
      </c>
      <c r="AB530" s="102">
        <v>0</v>
      </c>
      <c r="AC530" s="81">
        <f t="shared" si="27"/>
        <v>304.94638355037705</v>
      </c>
      <c r="AD530" s="82">
        <f t="shared" si="28"/>
        <v>41.685714285714276</v>
      </c>
      <c r="AE530" s="218">
        <v>-2.8671807396995118E-2</v>
      </c>
      <c r="AF530">
        <v>11</v>
      </c>
      <c r="AH530" t="str">
        <f t="shared" si="26"/>
        <v>Musrigharari</v>
      </c>
      <c r="AJ530" s="72">
        <v>0</v>
      </c>
      <c r="AK530" s="72"/>
      <c r="AL530" s="72"/>
      <c r="AM530" s="72"/>
    </row>
    <row r="531" spans="1:39" x14ac:dyDescent="0.25">
      <c r="A531" s="37" t="s">
        <v>62</v>
      </c>
      <c r="B531" s="66" t="s">
        <v>1566</v>
      </c>
      <c r="C531" s="47">
        <v>1013</v>
      </c>
      <c r="D531" s="47" t="s">
        <v>351</v>
      </c>
      <c r="E531" s="41">
        <v>10130077</v>
      </c>
      <c r="F531" s="46" t="s">
        <v>491</v>
      </c>
      <c r="G531" s="39" t="s">
        <v>93</v>
      </c>
      <c r="H531" s="48" t="s">
        <v>94</v>
      </c>
      <c r="I531" s="52">
        <v>173.5</v>
      </c>
      <c r="J531" s="49">
        <v>6096.67</v>
      </c>
      <c r="K531" s="65">
        <v>134.70000000000002</v>
      </c>
      <c r="L531" s="65">
        <v>4448.5235098386011</v>
      </c>
      <c r="M531" s="65">
        <v>45.459999999999994</v>
      </c>
      <c r="N531" s="65">
        <v>1837.9826336224191</v>
      </c>
      <c r="O531" s="65">
        <v>180.16000000000003</v>
      </c>
      <c r="P531" s="65">
        <v>6286.5061434610197</v>
      </c>
      <c r="Q531" s="50">
        <v>6096.67</v>
      </c>
      <c r="R531" s="65">
        <v>0</v>
      </c>
      <c r="S531" s="65">
        <v>21.189751268400002</v>
      </c>
      <c r="T531" s="65">
        <v>189.83614346101967</v>
      </c>
      <c r="U531" s="65">
        <v>1350</v>
      </c>
      <c r="V531" s="65">
        <v>0</v>
      </c>
      <c r="W531" s="65">
        <v>0</v>
      </c>
      <c r="X531" s="65">
        <v>2908</v>
      </c>
      <c r="Y531" s="65">
        <v>1817</v>
      </c>
      <c r="Z531" s="65">
        <v>0</v>
      </c>
      <c r="AA531" s="51">
        <v>0</v>
      </c>
      <c r="AB531" s="102">
        <v>0</v>
      </c>
      <c r="AC531" s="81">
        <f t="shared" si="27"/>
        <v>370.01691700288183</v>
      </c>
      <c r="AD531" s="82">
        <f t="shared" si="28"/>
        <v>24.785714285714285</v>
      </c>
      <c r="AE531" s="218">
        <v>-3.1137677365023802E-2</v>
      </c>
      <c r="AF531">
        <v>9</v>
      </c>
      <c r="AH531" t="str">
        <f t="shared" si="26"/>
        <v>Musrigharari</v>
      </c>
      <c r="AJ531" s="72">
        <v>0</v>
      </c>
      <c r="AK531" s="72"/>
      <c r="AL531" s="72"/>
      <c r="AM531" s="72"/>
    </row>
    <row r="532" spans="1:39" x14ac:dyDescent="0.25">
      <c r="A532" s="37" t="s">
        <v>62</v>
      </c>
      <c r="B532" s="66" t="s">
        <v>1566</v>
      </c>
      <c r="C532" s="47">
        <v>1013</v>
      </c>
      <c r="D532" s="47" t="s">
        <v>351</v>
      </c>
      <c r="E532" s="41">
        <v>10130080</v>
      </c>
      <c r="F532" s="46" t="s">
        <v>493</v>
      </c>
      <c r="G532" s="39" t="s">
        <v>635</v>
      </c>
      <c r="H532" s="48" t="s">
        <v>99</v>
      </c>
      <c r="I532" s="52">
        <v>161.4</v>
      </c>
      <c r="J532" s="49">
        <v>5029.3100000000004</v>
      </c>
      <c r="K532" s="65">
        <v>0</v>
      </c>
      <c r="L532" s="65">
        <v>0</v>
      </c>
      <c r="M532" s="65">
        <v>0</v>
      </c>
      <c r="N532" s="65">
        <v>0</v>
      </c>
      <c r="O532" s="65">
        <v>0</v>
      </c>
      <c r="P532" s="65">
        <v>0</v>
      </c>
      <c r="Q532" s="50">
        <v>5029.3100000000004</v>
      </c>
      <c r="R532" s="65">
        <v>0</v>
      </c>
      <c r="S532" s="65">
        <v>0</v>
      </c>
      <c r="T532" s="65">
        <v>0</v>
      </c>
      <c r="U532" s="65">
        <v>1500</v>
      </c>
      <c r="V532" s="65">
        <v>0</v>
      </c>
      <c r="W532" s="65">
        <v>0</v>
      </c>
      <c r="X532" s="65">
        <v>0</v>
      </c>
      <c r="Y532" s="65">
        <v>0</v>
      </c>
      <c r="Z532" s="65">
        <v>3529.3100000000004</v>
      </c>
      <c r="AA532" s="51">
        <v>0</v>
      </c>
      <c r="AB532" s="102">
        <v>0</v>
      </c>
      <c r="AC532" s="81">
        <f t="shared" si="27"/>
        <v>335.66125972738541</v>
      </c>
      <c r="AD532" s="82">
        <f t="shared" si="28"/>
        <v>23.057142857142857</v>
      </c>
      <c r="AE532" s="218">
        <v>0</v>
      </c>
      <c r="AF532">
        <v>0</v>
      </c>
      <c r="AH532" t="str">
        <f t="shared" si="26"/>
        <v>Musrigharari</v>
      </c>
      <c r="AJ532" s="72">
        <v>0</v>
      </c>
      <c r="AK532" s="72"/>
      <c r="AL532" s="72"/>
      <c r="AM532" s="72"/>
    </row>
    <row r="533" spans="1:39" x14ac:dyDescent="0.25">
      <c r="A533" s="37" t="s">
        <v>62</v>
      </c>
      <c r="B533" s="66" t="s">
        <v>1566</v>
      </c>
      <c r="C533" s="47">
        <v>1013</v>
      </c>
      <c r="D533" s="47" t="s">
        <v>351</v>
      </c>
      <c r="E533" s="41">
        <v>10130081</v>
      </c>
      <c r="F533" s="46" t="s">
        <v>1270</v>
      </c>
      <c r="G533" s="39" t="s">
        <v>635</v>
      </c>
      <c r="H533" s="48" t="s">
        <v>99</v>
      </c>
      <c r="I533" s="52">
        <v>70.7</v>
      </c>
      <c r="J533" s="49">
        <v>2611.17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50">
        <v>2611.17</v>
      </c>
      <c r="R533" s="65">
        <v>0</v>
      </c>
      <c r="S533" s="65">
        <v>0</v>
      </c>
      <c r="T533" s="65">
        <v>0</v>
      </c>
      <c r="U533" s="65">
        <v>0</v>
      </c>
      <c r="V533" s="65">
        <v>34.314948387096685</v>
      </c>
      <c r="W533" s="65">
        <v>0</v>
      </c>
      <c r="X533" s="65">
        <v>0</v>
      </c>
      <c r="Y533" s="65">
        <v>0</v>
      </c>
      <c r="Z533" s="65">
        <v>2576.8550516129035</v>
      </c>
      <c r="AA533" s="51">
        <v>0</v>
      </c>
      <c r="AB533" s="102">
        <v>0</v>
      </c>
      <c r="AC533" s="81">
        <f t="shared" si="27"/>
        <v>464.83996633663372</v>
      </c>
      <c r="AD533" s="82">
        <f t="shared" si="28"/>
        <v>10.1</v>
      </c>
      <c r="AE533" s="218">
        <v>0</v>
      </c>
      <c r="AF533">
        <v>0</v>
      </c>
      <c r="AH533" t="str">
        <f t="shared" si="26"/>
        <v>Musrigharari</v>
      </c>
      <c r="AJ533" s="72">
        <v>0</v>
      </c>
      <c r="AK533" s="72"/>
      <c r="AL533" s="72"/>
      <c r="AM533" s="72"/>
    </row>
    <row r="534" spans="1:39" x14ac:dyDescent="0.25">
      <c r="A534" s="37" t="s">
        <v>62</v>
      </c>
      <c r="B534" s="66" t="s">
        <v>1566</v>
      </c>
      <c r="C534" s="47">
        <v>1013</v>
      </c>
      <c r="D534" s="47" t="s">
        <v>351</v>
      </c>
      <c r="E534" s="41">
        <v>10130083</v>
      </c>
      <c r="F534" s="46" t="s">
        <v>500</v>
      </c>
      <c r="G534" s="39" t="s">
        <v>635</v>
      </c>
      <c r="H534" s="48" t="s">
        <v>99</v>
      </c>
      <c r="I534" s="52">
        <v>1325</v>
      </c>
      <c r="J534" s="49">
        <v>43724.61</v>
      </c>
      <c r="K534" s="65">
        <v>0</v>
      </c>
      <c r="L534" s="65">
        <v>0</v>
      </c>
      <c r="M534" s="65">
        <v>0</v>
      </c>
      <c r="N534" s="65">
        <v>0</v>
      </c>
      <c r="O534" s="65">
        <v>0</v>
      </c>
      <c r="P534" s="65">
        <v>0</v>
      </c>
      <c r="Q534" s="50">
        <v>43724.61</v>
      </c>
      <c r="R534" s="65">
        <v>0</v>
      </c>
      <c r="S534" s="65">
        <v>0</v>
      </c>
      <c r="T534" s="65">
        <v>0</v>
      </c>
      <c r="U534" s="65">
        <v>0</v>
      </c>
      <c r="V534" s="65">
        <v>0</v>
      </c>
      <c r="W534" s="65">
        <v>0</v>
      </c>
      <c r="X534" s="65">
        <v>0</v>
      </c>
      <c r="Y534" s="65">
        <v>0</v>
      </c>
      <c r="Z534" s="65">
        <v>43724.61</v>
      </c>
      <c r="AA534" s="51">
        <v>0</v>
      </c>
      <c r="AB534" s="102">
        <v>0</v>
      </c>
      <c r="AC534" s="81">
        <f t="shared" si="27"/>
        <v>0</v>
      </c>
      <c r="AD534" s="82">
        <f t="shared" si="28"/>
        <v>0</v>
      </c>
      <c r="AE534" s="218">
        <v>0</v>
      </c>
      <c r="AF534">
        <v>0</v>
      </c>
      <c r="AH534" t="str">
        <f t="shared" si="26"/>
        <v>Musrigharari</v>
      </c>
      <c r="AJ534" s="72">
        <v>0</v>
      </c>
      <c r="AK534" s="72"/>
      <c r="AL534" s="72"/>
      <c r="AM534" s="72"/>
    </row>
    <row r="535" spans="1:39" x14ac:dyDescent="0.25">
      <c r="A535" s="37" t="s">
        <v>62</v>
      </c>
      <c r="B535" s="66" t="s">
        <v>1566</v>
      </c>
      <c r="C535" s="47">
        <v>1013</v>
      </c>
      <c r="D535" s="47" t="s">
        <v>351</v>
      </c>
      <c r="E535" s="41">
        <v>10130085</v>
      </c>
      <c r="F535" s="46" t="s">
        <v>121</v>
      </c>
      <c r="G535" s="39" t="s">
        <v>93</v>
      </c>
      <c r="H535" s="48" t="s">
        <v>94</v>
      </c>
      <c r="I535" s="52">
        <v>272.49999999999994</v>
      </c>
      <c r="J535" s="49">
        <v>9420.73</v>
      </c>
      <c r="K535" s="65">
        <v>231.79999999999998</v>
      </c>
      <c r="L535" s="65">
        <v>8285.9798506320003</v>
      </c>
      <c r="M535" s="65">
        <v>22</v>
      </c>
      <c r="N535" s="65">
        <v>814.331232</v>
      </c>
      <c r="O535" s="65">
        <v>253.79999999999998</v>
      </c>
      <c r="P535" s="65">
        <v>9100.3110826320008</v>
      </c>
      <c r="Q535" s="50">
        <v>9100.3110826320008</v>
      </c>
      <c r="R535" s="65">
        <v>0</v>
      </c>
      <c r="S535" s="65">
        <v>0</v>
      </c>
      <c r="T535" s="65">
        <v>0</v>
      </c>
      <c r="U535" s="65">
        <v>0</v>
      </c>
      <c r="V535" s="65">
        <v>0</v>
      </c>
      <c r="W535" s="65">
        <v>0</v>
      </c>
      <c r="X535" s="65">
        <v>8286</v>
      </c>
      <c r="Y535" s="65">
        <v>815</v>
      </c>
      <c r="Z535" s="65">
        <v>0</v>
      </c>
      <c r="AA535" s="51">
        <v>320</v>
      </c>
      <c r="AB535" s="102">
        <v>0</v>
      </c>
      <c r="AC535" s="81">
        <f t="shared" si="27"/>
        <v>295.58620733944963</v>
      </c>
      <c r="AD535" s="82">
        <f t="shared" si="28"/>
        <v>38.928571428571423</v>
      </c>
      <c r="AE535" s="218">
        <v>3.4012111308571506E-2</v>
      </c>
      <c r="AF535">
        <v>6</v>
      </c>
      <c r="AH535" t="str">
        <f t="shared" si="26"/>
        <v>Musrigharari</v>
      </c>
      <c r="AJ535" s="72">
        <v>0</v>
      </c>
      <c r="AK535" s="72"/>
      <c r="AL535" s="72"/>
      <c r="AM535" s="72"/>
    </row>
    <row r="536" spans="1:39" x14ac:dyDescent="0.25">
      <c r="A536" s="37" t="s">
        <v>62</v>
      </c>
      <c r="B536" s="66" t="s">
        <v>1566</v>
      </c>
      <c r="C536" s="47">
        <v>1013</v>
      </c>
      <c r="D536" s="47" t="s">
        <v>351</v>
      </c>
      <c r="E536" s="41">
        <v>10130093</v>
      </c>
      <c r="F536" s="46" t="s">
        <v>578</v>
      </c>
      <c r="G536" s="39" t="s">
        <v>93</v>
      </c>
      <c r="H536" s="48" t="s">
        <v>94</v>
      </c>
      <c r="I536" s="52">
        <v>260.90000000000003</v>
      </c>
      <c r="J536" s="49">
        <v>10099.329999999998</v>
      </c>
      <c r="K536" s="65">
        <v>219.02999999999997</v>
      </c>
      <c r="L536" s="65">
        <v>8143.2926161884016</v>
      </c>
      <c r="M536" s="65">
        <v>54.26</v>
      </c>
      <c r="N536" s="65">
        <v>2081.4879384763799</v>
      </c>
      <c r="O536" s="65">
        <v>273.28999999999996</v>
      </c>
      <c r="P536" s="65">
        <v>10224.780554664781</v>
      </c>
      <c r="Q536" s="50">
        <v>10099.329999999998</v>
      </c>
      <c r="R536" s="65">
        <v>0</v>
      </c>
      <c r="S536" s="65">
        <v>56.335619557800001</v>
      </c>
      <c r="T536" s="65">
        <v>125.45055466478334</v>
      </c>
      <c r="U536" s="65">
        <v>0</v>
      </c>
      <c r="V536" s="65">
        <v>154.02354193548373</v>
      </c>
      <c r="W536" s="65">
        <v>0</v>
      </c>
      <c r="X536" s="65">
        <v>7864</v>
      </c>
      <c r="Y536" s="65">
        <v>2025</v>
      </c>
      <c r="Z536" s="65">
        <v>0</v>
      </c>
      <c r="AA536" s="51">
        <v>0</v>
      </c>
      <c r="AB536" s="102">
        <v>0</v>
      </c>
      <c r="AC536" s="81">
        <f t="shared" si="27"/>
        <v>339.94755101571474</v>
      </c>
      <c r="AD536" s="82">
        <f t="shared" si="28"/>
        <v>37.271428571428579</v>
      </c>
      <c r="AE536" s="218">
        <v>-1.2421671008352373E-2</v>
      </c>
      <c r="AF536">
        <v>4</v>
      </c>
      <c r="AH536" t="str">
        <f t="shared" si="26"/>
        <v>Musrigharari</v>
      </c>
      <c r="AJ536" s="72">
        <v>0</v>
      </c>
      <c r="AK536" s="72"/>
      <c r="AL536" s="72"/>
      <c r="AM536" s="72"/>
    </row>
    <row r="537" spans="1:39" x14ac:dyDescent="0.25">
      <c r="A537" s="37" t="s">
        <v>62</v>
      </c>
      <c r="B537" s="66" t="s">
        <v>1566</v>
      </c>
      <c r="C537" s="47">
        <v>1013</v>
      </c>
      <c r="D537" s="47" t="s">
        <v>351</v>
      </c>
      <c r="E537" s="41">
        <v>10130097</v>
      </c>
      <c r="F537" s="46" t="s">
        <v>835</v>
      </c>
      <c r="G537" s="39" t="s">
        <v>93</v>
      </c>
      <c r="H537" s="48" t="s">
        <v>94</v>
      </c>
      <c r="I537" s="52">
        <v>72.599999999999994</v>
      </c>
      <c r="J537" s="49">
        <v>2837.7599999999998</v>
      </c>
      <c r="K537" s="65">
        <v>115</v>
      </c>
      <c r="L537" s="65">
        <v>4257.121572</v>
      </c>
      <c r="M537" s="65">
        <v>0</v>
      </c>
      <c r="N537" s="65">
        <v>0</v>
      </c>
      <c r="O537" s="65">
        <v>115</v>
      </c>
      <c r="P537" s="65">
        <v>4257.121572</v>
      </c>
      <c r="Q537" s="50">
        <v>2837.7599999999998</v>
      </c>
      <c r="R537" s="65">
        <v>0</v>
      </c>
      <c r="S537" s="65">
        <v>0</v>
      </c>
      <c r="T537" s="65">
        <v>1419.3615720000003</v>
      </c>
      <c r="U537" s="65">
        <v>0</v>
      </c>
      <c r="V537" s="65">
        <v>354.1768474576271</v>
      </c>
      <c r="W537" s="65">
        <v>0</v>
      </c>
      <c r="X537" s="65">
        <v>2484</v>
      </c>
      <c r="Y537" s="65">
        <v>0</v>
      </c>
      <c r="Z537" s="65">
        <v>0</v>
      </c>
      <c r="AA537" s="51">
        <v>0</v>
      </c>
      <c r="AB537" s="102">
        <v>0</v>
      </c>
      <c r="AC537" s="81">
        <f t="shared" si="27"/>
        <v>490.47124628099175</v>
      </c>
      <c r="AD537" s="82">
        <f t="shared" si="28"/>
        <v>10.37142857142857</v>
      </c>
      <c r="AE537" s="218">
        <v>-0.50016970145466855</v>
      </c>
      <c r="AF537">
        <v>1</v>
      </c>
      <c r="AH537" t="str">
        <f t="shared" si="26"/>
        <v>Musrigharari</v>
      </c>
      <c r="AJ537" s="72">
        <v>0</v>
      </c>
      <c r="AK537" s="72"/>
      <c r="AL537" s="72"/>
      <c r="AM537" s="72"/>
    </row>
    <row r="538" spans="1:39" x14ac:dyDescent="0.25">
      <c r="A538" s="37" t="s">
        <v>62</v>
      </c>
      <c r="B538" s="66" t="s">
        <v>1566</v>
      </c>
      <c r="C538" s="47">
        <v>1013</v>
      </c>
      <c r="D538" s="47" t="s">
        <v>351</v>
      </c>
      <c r="E538" s="41">
        <v>10130098</v>
      </c>
      <c r="F538" s="46" t="s">
        <v>646</v>
      </c>
      <c r="G538" s="39" t="s">
        <v>93</v>
      </c>
      <c r="H538" s="48" t="s">
        <v>94</v>
      </c>
      <c r="I538" s="52">
        <v>712.1</v>
      </c>
      <c r="J538" s="49">
        <v>26386.87</v>
      </c>
      <c r="K538" s="65">
        <v>726.23</v>
      </c>
      <c r="L538" s="65">
        <v>26942.246011520401</v>
      </c>
      <c r="M538" s="65">
        <v>0.02</v>
      </c>
      <c r="N538" s="65">
        <v>0.57817584000000011</v>
      </c>
      <c r="O538" s="65">
        <v>726.25</v>
      </c>
      <c r="P538" s="65">
        <v>26942.824187360402</v>
      </c>
      <c r="Q538" s="50">
        <v>26386.87</v>
      </c>
      <c r="R538" s="65">
        <v>0</v>
      </c>
      <c r="S538" s="65">
        <v>0.57817584000000011</v>
      </c>
      <c r="T538" s="65">
        <v>555.95418736040301</v>
      </c>
      <c r="U538" s="65">
        <v>0</v>
      </c>
      <c r="V538" s="65">
        <v>601.97984516128952</v>
      </c>
      <c r="W538" s="65">
        <v>0</v>
      </c>
      <c r="X538" s="65">
        <v>25784</v>
      </c>
      <c r="Y538" s="65">
        <v>0</v>
      </c>
      <c r="Z538" s="65">
        <v>0</v>
      </c>
      <c r="AA538" s="51">
        <v>0</v>
      </c>
      <c r="AB538" s="102">
        <v>0</v>
      </c>
      <c r="AC538" s="81">
        <f t="shared" si="27"/>
        <v>0</v>
      </c>
      <c r="AD538" s="82">
        <f t="shared" si="28"/>
        <v>0</v>
      </c>
      <c r="AE538" s="218">
        <v>-2.1069349542420266E-2</v>
      </c>
      <c r="AF538">
        <v>5</v>
      </c>
      <c r="AH538" t="str">
        <f t="shared" si="26"/>
        <v>Musrigharari</v>
      </c>
      <c r="AJ538" s="72">
        <v>0</v>
      </c>
      <c r="AK538" s="72"/>
      <c r="AL538" s="72"/>
      <c r="AM538" s="72"/>
    </row>
    <row r="539" spans="1:39" x14ac:dyDescent="0.25">
      <c r="A539" s="37" t="s">
        <v>62</v>
      </c>
      <c r="B539" s="66" t="s">
        <v>1566</v>
      </c>
      <c r="C539" s="47">
        <v>1013</v>
      </c>
      <c r="D539" s="47" t="s">
        <v>351</v>
      </c>
      <c r="E539" s="41">
        <v>10130100</v>
      </c>
      <c r="F539" s="46" t="s">
        <v>696</v>
      </c>
      <c r="G539" s="39" t="s">
        <v>93</v>
      </c>
      <c r="H539" s="48" t="s">
        <v>94</v>
      </c>
      <c r="I539" s="52">
        <v>146.6</v>
      </c>
      <c r="J539" s="49">
        <v>5613.41</v>
      </c>
      <c r="K539" s="65">
        <v>145.34000000000003</v>
      </c>
      <c r="L539" s="65">
        <v>5575.3880112900006</v>
      </c>
      <c r="M539" s="65">
        <v>0.90000000000000013</v>
      </c>
      <c r="N539" s="65">
        <v>33.39695304</v>
      </c>
      <c r="O539" s="65">
        <v>146.24000000000004</v>
      </c>
      <c r="P539" s="65">
        <v>5608.7849643300005</v>
      </c>
      <c r="Q539" s="50">
        <v>5608.7849643300005</v>
      </c>
      <c r="R539" s="65">
        <v>0</v>
      </c>
      <c r="S539" s="65">
        <v>33.39695304</v>
      </c>
      <c r="T539" s="65">
        <v>0</v>
      </c>
      <c r="U539" s="65">
        <v>0</v>
      </c>
      <c r="V539" s="65">
        <v>0</v>
      </c>
      <c r="W539" s="65">
        <v>0</v>
      </c>
      <c r="X539" s="65">
        <v>5576</v>
      </c>
      <c r="Y539" s="65">
        <v>0</v>
      </c>
      <c r="Z539" s="65">
        <v>0</v>
      </c>
      <c r="AA539" s="51">
        <v>4</v>
      </c>
      <c r="AB539" s="102">
        <v>0</v>
      </c>
      <c r="AC539" s="81">
        <f t="shared" si="27"/>
        <v>423.80096780354705</v>
      </c>
      <c r="AD539" s="82">
        <f t="shared" si="28"/>
        <v>20.942857142857143</v>
      </c>
      <c r="AE539" s="218">
        <v>8.2392621775343442E-4</v>
      </c>
      <c r="AF539">
        <v>3</v>
      </c>
      <c r="AH539" t="str">
        <f t="shared" si="26"/>
        <v>Musrigharari</v>
      </c>
      <c r="AJ539" s="72">
        <v>0</v>
      </c>
      <c r="AK539" s="72"/>
      <c r="AL539" s="72"/>
      <c r="AM539" s="72"/>
    </row>
    <row r="540" spans="1:39" x14ac:dyDescent="0.25">
      <c r="A540" s="37" t="s">
        <v>62</v>
      </c>
      <c r="B540" s="66" t="s">
        <v>1566</v>
      </c>
      <c r="C540" s="47">
        <v>1061</v>
      </c>
      <c r="D540" s="47" t="s">
        <v>1452</v>
      </c>
      <c r="E540" s="41">
        <v>10130101</v>
      </c>
      <c r="F540" s="46" t="s">
        <v>1453</v>
      </c>
      <c r="G540" s="39" t="s">
        <v>635</v>
      </c>
      <c r="H540" s="48" t="s">
        <v>99</v>
      </c>
      <c r="I540" s="52">
        <v>51.3</v>
      </c>
      <c r="J540" s="49">
        <v>2221.8599999999997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50">
        <v>2221.8599999999997</v>
      </c>
      <c r="R540" s="65">
        <v>0</v>
      </c>
      <c r="S540" s="65">
        <v>0</v>
      </c>
      <c r="T540" s="65">
        <v>0</v>
      </c>
      <c r="U540" s="65">
        <v>0</v>
      </c>
      <c r="V540" s="65">
        <v>0</v>
      </c>
      <c r="W540" s="65">
        <v>0</v>
      </c>
      <c r="X540" s="65">
        <v>0</v>
      </c>
      <c r="Y540" s="65">
        <v>0</v>
      </c>
      <c r="Z540" s="65">
        <v>2221.8599999999997</v>
      </c>
      <c r="AA540" s="51">
        <v>0</v>
      </c>
      <c r="AB540" s="102">
        <v>0</v>
      </c>
      <c r="AC540" s="81">
        <f t="shared" si="27"/>
        <v>561.91835555555565</v>
      </c>
      <c r="AD540" s="82">
        <f t="shared" si="28"/>
        <v>7.3285714285714283</v>
      </c>
      <c r="AE540" s="218">
        <v>0</v>
      </c>
      <c r="AF540">
        <v>0</v>
      </c>
      <c r="AH540" t="str">
        <f t="shared" si="26"/>
        <v>Mahua BMC</v>
      </c>
      <c r="AJ540" s="72">
        <v>0</v>
      </c>
      <c r="AK540" s="72"/>
      <c r="AL540" s="72"/>
      <c r="AM540" s="72"/>
    </row>
    <row r="541" spans="1:39" x14ac:dyDescent="0.25">
      <c r="A541" s="37" t="s">
        <v>62</v>
      </c>
      <c r="B541" s="66" t="s">
        <v>1566</v>
      </c>
      <c r="C541" s="47">
        <v>1013</v>
      </c>
      <c r="D541" s="47" t="s">
        <v>351</v>
      </c>
      <c r="E541" s="41">
        <v>10130102</v>
      </c>
      <c r="F541" s="46" t="s">
        <v>697</v>
      </c>
      <c r="G541" s="39" t="s">
        <v>635</v>
      </c>
      <c r="H541" s="48" t="s">
        <v>94</v>
      </c>
      <c r="I541" s="52">
        <v>121.7</v>
      </c>
      <c r="J541" s="49">
        <v>3746.73</v>
      </c>
      <c r="K541" s="65">
        <v>121.7</v>
      </c>
      <c r="L541" s="65">
        <v>3791.8515066300001</v>
      </c>
      <c r="M541" s="65">
        <v>0</v>
      </c>
      <c r="N541" s="65">
        <v>0</v>
      </c>
      <c r="O541" s="65">
        <v>121.7</v>
      </c>
      <c r="P541" s="65">
        <v>3791.8515066300001</v>
      </c>
      <c r="Q541" s="50">
        <v>3746.73</v>
      </c>
      <c r="R541" s="65">
        <v>0</v>
      </c>
      <c r="S541" s="65">
        <v>0</v>
      </c>
      <c r="T541" s="65">
        <v>45.121506630000113</v>
      </c>
      <c r="U541" s="65">
        <v>0</v>
      </c>
      <c r="V541" s="65">
        <v>349.29921818181828</v>
      </c>
      <c r="W541" s="65">
        <v>0</v>
      </c>
      <c r="X541" s="65">
        <v>3397</v>
      </c>
      <c r="Y541" s="65">
        <v>0</v>
      </c>
      <c r="Z541" s="65">
        <v>0</v>
      </c>
      <c r="AA541" s="51">
        <v>0</v>
      </c>
      <c r="AB541" s="102">
        <v>0</v>
      </c>
      <c r="AC541" s="81">
        <f t="shared" si="27"/>
        <v>356.0778897288414</v>
      </c>
      <c r="AD541" s="82">
        <f t="shared" si="28"/>
        <v>17.385714285714286</v>
      </c>
      <c r="AE541" s="218">
        <v>-1.2042903179572618E-2</v>
      </c>
      <c r="AF541">
        <v>1</v>
      </c>
      <c r="AH541" t="str">
        <f t="shared" si="26"/>
        <v>Musrigharari</v>
      </c>
      <c r="AJ541" s="72">
        <v>0</v>
      </c>
      <c r="AK541" s="72"/>
      <c r="AL541" s="72"/>
      <c r="AM541" s="72"/>
    </row>
    <row r="542" spans="1:39" x14ac:dyDescent="0.25">
      <c r="A542" s="37" t="s">
        <v>62</v>
      </c>
      <c r="B542" s="66" t="s">
        <v>1566</v>
      </c>
      <c r="C542" s="47">
        <v>1013</v>
      </c>
      <c r="D542" s="47" t="s">
        <v>351</v>
      </c>
      <c r="E542" s="41">
        <v>10130107</v>
      </c>
      <c r="F542" s="46" t="s">
        <v>522</v>
      </c>
      <c r="G542" s="39" t="s">
        <v>635</v>
      </c>
      <c r="H542" s="48" t="s">
        <v>99</v>
      </c>
      <c r="I542" s="52">
        <v>346.8</v>
      </c>
      <c r="J542" s="49">
        <v>12280.33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50">
        <v>12280.33</v>
      </c>
      <c r="R542" s="65">
        <v>0</v>
      </c>
      <c r="S542" s="65">
        <v>0</v>
      </c>
      <c r="T542" s="65">
        <v>0</v>
      </c>
      <c r="U542" s="65">
        <v>0</v>
      </c>
      <c r="V542" s="65">
        <v>607.90865806451598</v>
      </c>
      <c r="W542" s="65">
        <v>0</v>
      </c>
      <c r="X542" s="65">
        <v>0</v>
      </c>
      <c r="Y542" s="65">
        <v>0</v>
      </c>
      <c r="Z542" s="65">
        <v>11672.421341935484</v>
      </c>
      <c r="AA542" s="51">
        <v>0</v>
      </c>
      <c r="AB542" s="102">
        <v>0</v>
      </c>
      <c r="AC542" s="81">
        <f t="shared" si="27"/>
        <v>250.13913241061127</v>
      </c>
      <c r="AD542" s="82">
        <f t="shared" si="28"/>
        <v>49.542857142857144</v>
      </c>
      <c r="AE542" s="218">
        <v>0</v>
      </c>
      <c r="AF542">
        <v>0</v>
      </c>
      <c r="AH542" t="str">
        <f t="shared" si="26"/>
        <v>Musrigharari</v>
      </c>
      <c r="AJ542" s="72">
        <v>0</v>
      </c>
      <c r="AK542" s="72"/>
      <c r="AL542" s="72"/>
      <c r="AM542" s="72"/>
    </row>
    <row r="543" spans="1:39" x14ac:dyDescent="0.25">
      <c r="A543" s="37" t="s">
        <v>62</v>
      </c>
      <c r="B543" s="66" t="s">
        <v>1566</v>
      </c>
      <c r="C543" s="47">
        <v>1013</v>
      </c>
      <c r="D543" s="47" t="s">
        <v>351</v>
      </c>
      <c r="E543" s="41">
        <v>10130111</v>
      </c>
      <c r="F543" s="46" t="s">
        <v>1271</v>
      </c>
      <c r="G543" s="39" t="s">
        <v>635</v>
      </c>
      <c r="H543" s="48" t="s">
        <v>99</v>
      </c>
      <c r="I543" s="52">
        <v>1044</v>
      </c>
      <c r="J543" s="49">
        <v>29875.279999999999</v>
      </c>
      <c r="K543" s="65">
        <v>0</v>
      </c>
      <c r="L543" s="65">
        <v>0</v>
      </c>
      <c r="M543" s="65">
        <v>0</v>
      </c>
      <c r="N543" s="65">
        <v>0</v>
      </c>
      <c r="O543" s="65">
        <v>0</v>
      </c>
      <c r="P543" s="65">
        <v>0</v>
      </c>
      <c r="Q543" s="50">
        <v>29875.279999999999</v>
      </c>
      <c r="R543" s="65">
        <v>0</v>
      </c>
      <c r="S543" s="65">
        <v>0</v>
      </c>
      <c r="T543" s="65">
        <v>0</v>
      </c>
      <c r="U543" s="65">
        <v>0</v>
      </c>
      <c r="V543" s="65">
        <v>873.20409677419241</v>
      </c>
      <c r="W543" s="65">
        <v>0</v>
      </c>
      <c r="X543" s="65">
        <v>0</v>
      </c>
      <c r="Y543" s="65">
        <v>0</v>
      </c>
      <c r="Z543" s="65">
        <v>29002.075903225807</v>
      </c>
      <c r="AA543" s="51">
        <v>0</v>
      </c>
      <c r="AB543" s="102">
        <v>0</v>
      </c>
      <c r="AC543" s="81">
        <f t="shared" si="27"/>
        <v>0</v>
      </c>
      <c r="AD543" s="82">
        <f t="shared" si="28"/>
        <v>0</v>
      </c>
      <c r="AE543" s="218">
        <v>0</v>
      </c>
      <c r="AF543">
        <v>0</v>
      </c>
      <c r="AH543" t="str">
        <f t="shared" si="26"/>
        <v>Musrigharari</v>
      </c>
      <c r="AJ543" s="72">
        <v>0</v>
      </c>
      <c r="AK543" s="72"/>
      <c r="AL543" s="72"/>
      <c r="AM543" s="72"/>
    </row>
    <row r="544" spans="1:39" x14ac:dyDescent="0.25">
      <c r="A544" s="37" t="s">
        <v>62</v>
      </c>
      <c r="B544" s="66" t="s">
        <v>1566</v>
      </c>
      <c r="C544" s="47">
        <v>1013</v>
      </c>
      <c r="D544" s="47" t="s">
        <v>351</v>
      </c>
      <c r="E544" s="41">
        <v>10130114</v>
      </c>
      <c r="F544" s="46" t="s">
        <v>1327</v>
      </c>
      <c r="G544" s="39" t="s">
        <v>635</v>
      </c>
      <c r="H544" s="48" t="s">
        <v>99</v>
      </c>
      <c r="I544" s="52">
        <v>422.40000000000009</v>
      </c>
      <c r="J544" s="49">
        <v>15246.2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50">
        <v>15246.2</v>
      </c>
      <c r="R544" s="65">
        <v>0</v>
      </c>
      <c r="S544" s="65">
        <v>0</v>
      </c>
      <c r="T544" s="65">
        <v>0</v>
      </c>
      <c r="U544" s="65">
        <v>0</v>
      </c>
      <c r="V544" s="65">
        <v>0</v>
      </c>
      <c r="W544" s="65">
        <v>0</v>
      </c>
      <c r="X544" s="65">
        <v>0</v>
      </c>
      <c r="Y544" s="65">
        <v>0</v>
      </c>
      <c r="Z544" s="65">
        <v>15246.2</v>
      </c>
      <c r="AA544" s="51">
        <v>0</v>
      </c>
      <c r="AB544" s="102">
        <v>0</v>
      </c>
      <c r="AC544" s="81">
        <f t="shared" si="27"/>
        <v>200.39512878787869</v>
      </c>
      <c r="AD544" s="82">
        <f t="shared" si="28"/>
        <v>60.342857142857156</v>
      </c>
      <c r="AE544" s="218">
        <v>0</v>
      </c>
      <c r="AF544">
        <v>0</v>
      </c>
      <c r="AH544" t="str">
        <f t="shared" si="26"/>
        <v>Musrigharari</v>
      </c>
      <c r="AJ544" s="72">
        <v>0</v>
      </c>
      <c r="AK544" s="72"/>
      <c r="AL544" s="72"/>
      <c r="AM544" s="72"/>
    </row>
    <row r="545" spans="1:39" x14ac:dyDescent="0.25">
      <c r="A545" s="37" t="s">
        <v>62</v>
      </c>
      <c r="B545" s="66" t="s">
        <v>1566</v>
      </c>
      <c r="C545" s="47">
        <v>1013</v>
      </c>
      <c r="D545" s="47" t="s">
        <v>351</v>
      </c>
      <c r="E545" s="41">
        <v>10130115</v>
      </c>
      <c r="F545" s="46" t="s">
        <v>1367</v>
      </c>
      <c r="G545" s="39" t="s">
        <v>93</v>
      </c>
      <c r="H545" s="48" t="s">
        <v>94</v>
      </c>
      <c r="I545" s="52">
        <v>380.6</v>
      </c>
      <c r="J545" s="49">
        <v>17647.230000000003</v>
      </c>
      <c r="K545" s="65">
        <v>427</v>
      </c>
      <c r="L545" s="65">
        <v>19390.166929169005</v>
      </c>
      <c r="M545" s="65">
        <v>0</v>
      </c>
      <c r="N545" s="65">
        <v>0</v>
      </c>
      <c r="O545" s="65">
        <v>427</v>
      </c>
      <c r="P545" s="65">
        <v>19390.166929169005</v>
      </c>
      <c r="Q545" s="50">
        <v>17647.230000000003</v>
      </c>
      <c r="R545" s="65">
        <v>0</v>
      </c>
      <c r="S545" s="65">
        <v>0</v>
      </c>
      <c r="T545" s="65">
        <v>1742.9369291690018</v>
      </c>
      <c r="U545" s="65">
        <v>0</v>
      </c>
      <c r="V545" s="65">
        <v>0</v>
      </c>
      <c r="W545" s="65">
        <v>0</v>
      </c>
      <c r="X545" s="65">
        <v>17647</v>
      </c>
      <c r="Y545" s="65">
        <v>0</v>
      </c>
      <c r="Z545" s="65">
        <v>0</v>
      </c>
      <c r="AA545" s="51">
        <v>0</v>
      </c>
      <c r="AB545" s="102">
        <v>0</v>
      </c>
      <c r="AC545" s="81">
        <f t="shared" si="27"/>
        <v>296.19155344193382</v>
      </c>
      <c r="AD545" s="82">
        <f t="shared" si="28"/>
        <v>54.371428571428574</v>
      </c>
      <c r="AE545" s="218">
        <v>-9.8765467961204195E-2</v>
      </c>
      <c r="AF545">
        <v>2</v>
      </c>
      <c r="AH545" t="str">
        <f t="shared" si="26"/>
        <v>Musrigharari</v>
      </c>
      <c r="AJ545" s="72">
        <v>0</v>
      </c>
      <c r="AK545" s="72"/>
      <c r="AL545" s="72"/>
      <c r="AM545" s="72"/>
    </row>
    <row r="546" spans="1:39" x14ac:dyDescent="0.25">
      <c r="A546" s="37" t="s">
        <v>62</v>
      </c>
      <c r="B546" s="66" t="s">
        <v>1566</v>
      </c>
      <c r="C546" s="47">
        <v>1013</v>
      </c>
      <c r="D546" s="47" t="s">
        <v>351</v>
      </c>
      <c r="E546" s="41">
        <v>10130116</v>
      </c>
      <c r="F546" s="46" t="s">
        <v>1368</v>
      </c>
      <c r="G546" s="39" t="s">
        <v>93</v>
      </c>
      <c r="H546" s="48" t="s">
        <v>94</v>
      </c>
      <c r="I546" s="52">
        <v>89.9</v>
      </c>
      <c r="J546" s="49">
        <v>3192.65</v>
      </c>
      <c r="K546" s="65">
        <v>121.9</v>
      </c>
      <c r="L546" s="65">
        <v>4070.6692361280006</v>
      </c>
      <c r="M546" s="65">
        <v>0</v>
      </c>
      <c r="N546" s="65">
        <v>0</v>
      </c>
      <c r="O546" s="65">
        <v>121.9</v>
      </c>
      <c r="P546" s="65">
        <v>4070.6692361280006</v>
      </c>
      <c r="Q546" s="50">
        <v>3192.65</v>
      </c>
      <c r="R546" s="65">
        <v>0</v>
      </c>
      <c r="S546" s="65">
        <v>0</v>
      </c>
      <c r="T546" s="65">
        <v>878.01923612800056</v>
      </c>
      <c r="U546" s="65">
        <v>568</v>
      </c>
      <c r="V546" s="65">
        <v>244.51070322580648</v>
      </c>
      <c r="W546" s="65">
        <v>0</v>
      </c>
      <c r="X546" s="65">
        <v>2380</v>
      </c>
      <c r="Y546" s="65">
        <v>0</v>
      </c>
      <c r="Z546" s="65">
        <v>0</v>
      </c>
      <c r="AA546" s="51">
        <v>0</v>
      </c>
      <c r="AB546" s="102">
        <v>0</v>
      </c>
      <c r="AC546" s="81">
        <f t="shared" si="27"/>
        <v>433.33387430478302</v>
      </c>
      <c r="AD546" s="82">
        <f t="shared" si="28"/>
        <v>12.842857142857143</v>
      </c>
      <c r="AE546" s="218">
        <v>-0.27501268104176796</v>
      </c>
      <c r="AF546">
        <v>2</v>
      </c>
      <c r="AH546" t="str">
        <f t="shared" si="26"/>
        <v>Musrigharari</v>
      </c>
      <c r="AJ546" s="72">
        <v>0</v>
      </c>
      <c r="AK546" s="72"/>
      <c r="AL546" s="72"/>
      <c r="AM546" s="72"/>
    </row>
    <row r="547" spans="1:39" x14ac:dyDescent="0.25">
      <c r="A547" s="37" t="s">
        <v>62</v>
      </c>
      <c r="B547" s="66" t="s">
        <v>1566</v>
      </c>
      <c r="C547" s="47">
        <v>1013</v>
      </c>
      <c r="D547" s="47" t="s">
        <v>351</v>
      </c>
      <c r="E547" s="41">
        <v>10130117</v>
      </c>
      <c r="F547" s="46" t="s">
        <v>1392</v>
      </c>
      <c r="G547" s="39" t="s">
        <v>93</v>
      </c>
      <c r="H547" s="48" t="s">
        <v>94</v>
      </c>
      <c r="I547" s="52">
        <v>354.90000000000003</v>
      </c>
      <c r="J547" s="49">
        <v>11717.220000000001</v>
      </c>
      <c r="K547" s="65">
        <v>362.5</v>
      </c>
      <c r="L547" s="65">
        <v>12875.534122572002</v>
      </c>
      <c r="M547" s="65">
        <v>0</v>
      </c>
      <c r="N547" s="65">
        <v>0</v>
      </c>
      <c r="O547" s="65">
        <v>362.5</v>
      </c>
      <c r="P547" s="65">
        <v>12875.534122572002</v>
      </c>
      <c r="Q547" s="50">
        <v>11717.220000000001</v>
      </c>
      <c r="R547" s="65">
        <v>0</v>
      </c>
      <c r="S547" s="65">
        <v>0</v>
      </c>
      <c r="T547" s="65">
        <v>1158.314122572001</v>
      </c>
      <c r="U547" s="65">
        <v>0</v>
      </c>
      <c r="V547" s="65">
        <v>0</v>
      </c>
      <c r="W547" s="65">
        <v>0</v>
      </c>
      <c r="X547" s="65">
        <v>11717</v>
      </c>
      <c r="Y547" s="65">
        <v>0</v>
      </c>
      <c r="Z547" s="65">
        <v>0</v>
      </c>
      <c r="AA547" s="51">
        <v>0</v>
      </c>
      <c r="AB547" s="102">
        <v>0</v>
      </c>
      <c r="AC547" s="81">
        <f t="shared" si="27"/>
        <v>227.87335147928988</v>
      </c>
      <c r="AD547" s="82">
        <f t="shared" si="28"/>
        <v>50.7</v>
      </c>
      <c r="AE547" s="218">
        <v>-9.8855711727867265E-2</v>
      </c>
      <c r="AF547">
        <v>1</v>
      </c>
      <c r="AH547" t="str">
        <f t="shared" si="26"/>
        <v>Musrigharari</v>
      </c>
      <c r="AJ547" s="72">
        <v>0</v>
      </c>
      <c r="AK547" s="72"/>
      <c r="AL547" s="72"/>
      <c r="AM547" s="72"/>
    </row>
    <row r="548" spans="1:39" x14ac:dyDescent="0.25">
      <c r="A548" s="37" t="s">
        <v>62</v>
      </c>
      <c r="B548" s="66" t="s">
        <v>1566</v>
      </c>
      <c r="C548" s="47">
        <v>1013</v>
      </c>
      <c r="D548" s="47" t="s">
        <v>351</v>
      </c>
      <c r="E548" s="41">
        <v>10130118</v>
      </c>
      <c r="F548" s="46" t="s">
        <v>1405</v>
      </c>
      <c r="G548" s="39" t="s">
        <v>635</v>
      </c>
      <c r="H548" s="48" t="s">
        <v>99</v>
      </c>
      <c r="I548" s="52">
        <v>7099</v>
      </c>
      <c r="J548" s="49">
        <v>252697.99000000002</v>
      </c>
      <c r="K548" s="65">
        <v>0</v>
      </c>
      <c r="L548" s="65">
        <v>0</v>
      </c>
      <c r="M548" s="65">
        <v>0</v>
      </c>
      <c r="N548" s="65">
        <v>0</v>
      </c>
      <c r="O548" s="65">
        <v>0</v>
      </c>
      <c r="P548" s="65">
        <v>0</v>
      </c>
      <c r="Q548" s="50">
        <v>252697.99000000002</v>
      </c>
      <c r="R548" s="65">
        <v>0</v>
      </c>
      <c r="S548" s="65">
        <v>0</v>
      </c>
      <c r="T548" s="65">
        <v>0</v>
      </c>
      <c r="U548" s="65">
        <v>0</v>
      </c>
      <c r="V548" s="65">
        <v>0</v>
      </c>
      <c r="W548" s="65">
        <v>0</v>
      </c>
      <c r="X548" s="65">
        <v>0</v>
      </c>
      <c r="Y548" s="65">
        <v>0</v>
      </c>
      <c r="Z548" s="65">
        <v>252697.99000000002</v>
      </c>
      <c r="AA548" s="51">
        <v>0</v>
      </c>
      <c r="AB548" s="102">
        <v>0</v>
      </c>
      <c r="AC548" s="81">
        <f t="shared" si="27"/>
        <v>0</v>
      </c>
      <c r="AD548" s="82">
        <f t="shared" si="28"/>
        <v>0</v>
      </c>
      <c r="AE548" s="218">
        <v>0</v>
      </c>
      <c r="AF548">
        <v>0</v>
      </c>
      <c r="AH548" t="str">
        <f t="shared" si="26"/>
        <v>Musrigharari</v>
      </c>
      <c r="AJ548" s="72">
        <v>0</v>
      </c>
      <c r="AK548" s="72"/>
      <c r="AL548" s="72"/>
      <c r="AM548" s="72"/>
    </row>
    <row r="549" spans="1:39" x14ac:dyDescent="0.25">
      <c r="A549" s="37" t="s">
        <v>62</v>
      </c>
      <c r="B549" s="66" t="s">
        <v>1566</v>
      </c>
      <c r="C549" s="47">
        <v>1013</v>
      </c>
      <c r="D549" s="47" t="s">
        <v>351</v>
      </c>
      <c r="E549" s="41">
        <v>10130121</v>
      </c>
      <c r="F549" s="46" t="s">
        <v>1581</v>
      </c>
      <c r="G549" s="39" t="s">
        <v>635</v>
      </c>
      <c r="H549" s="48" t="s">
        <v>99</v>
      </c>
      <c r="I549" s="52">
        <v>41.8</v>
      </c>
      <c r="J549" s="49">
        <v>1295.6600000000001</v>
      </c>
      <c r="K549" s="65">
        <v>0</v>
      </c>
      <c r="L549" s="65">
        <v>0</v>
      </c>
      <c r="M549" s="65">
        <v>0</v>
      </c>
      <c r="N549" s="65">
        <v>0</v>
      </c>
      <c r="O549" s="65">
        <v>0</v>
      </c>
      <c r="P549" s="65">
        <v>0</v>
      </c>
      <c r="Q549" s="50">
        <v>1295.6600000000001</v>
      </c>
      <c r="R549" s="65">
        <v>0</v>
      </c>
      <c r="S549" s="65">
        <v>0</v>
      </c>
      <c r="T549" s="65">
        <v>0</v>
      </c>
      <c r="U549" s="65">
        <v>0</v>
      </c>
      <c r="V549" s="65">
        <v>0</v>
      </c>
      <c r="W549" s="65">
        <v>0</v>
      </c>
      <c r="X549" s="65">
        <v>0</v>
      </c>
      <c r="Y549" s="65">
        <v>0</v>
      </c>
      <c r="Z549" s="65">
        <v>1295.6600000000001</v>
      </c>
      <c r="AA549" s="51">
        <v>0</v>
      </c>
      <c r="AB549" s="102">
        <v>0</v>
      </c>
      <c r="AC549" s="81">
        <f t="shared" si="27"/>
        <v>408.03991004784694</v>
      </c>
      <c r="AD549" s="82">
        <f t="shared" si="28"/>
        <v>5.9714285714285706</v>
      </c>
      <c r="AE549" s="218">
        <v>0</v>
      </c>
      <c r="AF549">
        <v>0</v>
      </c>
      <c r="AH549" t="str">
        <f t="shared" si="26"/>
        <v>Musrigharari</v>
      </c>
      <c r="AJ549" s="72">
        <v>0</v>
      </c>
      <c r="AK549" s="72"/>
      <c r="AL549" s="72"/>
      <c r="AM549" s="72"/>
    </row>
    <row r="550" spans="1:39" x14ac:dyDescent="0.25">
      <c r="A550" s="37" t="s">
        <v>62</v>
      </c>
      <c r="B550" s="66" t="s">
        <v>1566</v>
      </c>
      <c r="C550" s="47">
        <v>1014</v>
      </c>
      <c r="D550" s="47" t="s">
        <v>376</v>
      </c>
      <c r="E550" s="41">
        <v>10140001</v>
      </c>
      <c r="F550" s="46" t="s">
        <v>449</v>
      </c>
      <c r="G550" s="39" t="s">
        <v>93</v>
      </c>
      <c r="H550" s="48" t="s">
        <v>94</v>
      </c>
      <c r="I550" s="52">
        <v>35.5</v>
      </c>
      <c r="J550" s="49">
        <v>1157.6600000000001</v>
      </c>
      <c r="K550" s="65">
        <v>71.099999999999994</v>
      </c>
      <c r="L550" s="65">
        <v>2668.0813767475006</v>
      </c>
      <c r="M550" s="65">
        <v>0</v>
      </c>
      <c r="N550" s="65">
        <v>0</v>
      </c>
      <c r="O550" s="65">
        <v>71.099999999999994</v>
      </c>
      <c r="P550" s="65">
        <v>2668.0813767475006</v>
      </c>
      <c r="Q550" s="50">
        <v>1157.6600000000001</v>
      </c>
      <c r="R550" s="65">
        <v>0</v>
      </c>
      <c r="S550" s="65">
        <v>0</v>
      </c>
      <c r="T550" s="65">
        <v>1510.4213767475005</v>
      </c>
      <c r="U550" s="65">
        <v>0</v>
      </c>
      <c r="V550" s="65">
        <v>0</v>
      </c>
      <c r="W550" s="65">
        <v>0</v>
      </c>
      <c r="X550" s="65">
        <v>1158</v>
      </c>
      <c r="Y550" s="65">
        <v>0</v>
      </c>
      <c r="Z550" s="65">
        <v>0</v>
      </c>
      <c r="AA550" s="51">
        <v>0</v>
      </c>
      <c r="AB550" s="102" t="s">
        <v>66</v>
      </c>
      <c r="AC550" s="81">
        <f t="shared" si="27"/>
        <v>433.38877183098595</v>
      </c>
      <c r="AD550" s="82">
        <f t="shared" si="28"/>
        <v>5.0714285714285712</v>
      </c>
      <c r="AE550" s="218">
        <v>-1.3047193275637929</v>
      </c>
      <c r="AF550">
        <v>3</v>
      </c>
      <c r="AH550" t="str">
        <f t="shared" si="26"/>
        <v>Dumraon</v>
      </c>
      <c r="AJ550" s="72">
        <v>0</v>
      </c>
      <c r="AK550" s="72"/>
      <c r="AL550" s="72"/>
      <c r="AM550" s="72"/>
    </row>
    <row r="551" spans="1:39" x14ac:dyDescent="0.25">
      <c r="A551" s="37" t="s">
        <v>62</v>
      </c>
      <c r="B551" s="66" t="s">
        <v>1566</v>
      </c>
      <c r="C551" s="47">
        <v>1014</v>
      </c>
      <c r="D551" s="47" t="s">
        <v>376</v>
      </c>
      <c r="E551" s="41">
        <v>10140002</v>
      </c>
      <c r="F551" s="46" t="s">
        <v>377</v>
      </c>
      <c r="G551" s="39" t="s">
        <v>93</v>
      </c>
      <c r="H551" s="48" t="s">
        <v>94</v>
      </c>
      <c r="I551" s="52">
        <v>712.80000000000007</v>
      </c>
      <c r="J551" s="49">
        <v>26554.179999999997</v>
      </c>
      <c r="K551" s="65">
        <v>777.63</v>
      </c>
      <c r="L551" s="65">
        <v>29353.142639304002</v>
      </c>
      <c r="M551" s="65">
        <v>0</v>
      </c>
      <c r="N551" s="65">
        <v>0</v>
      </c>
      <c r="O551" s="65">
        <v>777.63</v>
      </c>
      <c r="P551" s="65">
        <v>29353.142639304002</v>
      </c>
      <c r="Q551" s="50">
        <v>26554.179999999997</v>
      </c>
      <c r="R551" s="65">
        <v>0</v>
      </c>
      <c r="S551" s="65">
        <v>0</v>
      </c>
      <c r="T551" s="65">
        <v>2798.9626393040053</v>
      </c>
      <c r="U551" s="65">
        <v>0</v>
      </c>
      <c r="V551" s="65">
        <v>0</v>
      </c>
      <c r="W551" s="65">
        <v>0</v>
      </c>
      <c r="X551" s="65">
        <v>26554</v>
      </c>
      <c r="Y551" s="65">
        <v>0</v>
      </c>
      <c r="Z551" s="65">
        <v>0</v>
      </c>
      <c r="AA551" s="51">
        <v>0</v>
      </c>
      <c r="AB551" s="102">
        <v>0</v>
      </c>
      <c r="AC551" s="81">
        <f t="shared" si="27"/>
        <v>0</v>
      </c>
      <c r="AD551" s="82">
        <f t="shared" si="28"/>
        <v>0</v>
      </c>
      <c r="AE551" s="218">
        <v>-0.1054057266804701</v>
      </c>
      <c r="AF551">
        <v>13</v>
      </c>
      <c r="AH551" t="str">
        <f t="shared" si="26"/>
        <v>Dumraon</v>
      </c>
      <c r="AJ551" s="72">
        <v>0</v>
      </c>
      <c r="AK551" s="72"/>
      <c r="AL551" s="72"/>
      <c r="AM551" s="72"/>
    </row>
    <row r="552" spans="1:39" x14ac:dyDescent="0.25">
      <c r="A552" s="37" t="s">
        <v>62</v>
      </c>
      <c r="B552" s="66" t="s">
        <v>1566</v>
      </c>
      <c r="C552" s="47">
        <v>1014</v>
      </c>
      <c r="D552" s="47" t="s">
        <v>376</v>
      </c>
      <c r="E552" s="41">
        <v>10140003</v>
      </c>
      <c r="F552" s="46" t="s">
        <v>378</v>
      </c>
      <c r="G552" s="39" t="s">
        <v>93</v>
      </c>
      <c r="H552" s="48" t="s">
        <v>94</v>
      </c>
      <c r="I552" s="52">
        <v>872.8</v>
      </c>
      <c r="J552" s="49">
        <v>33923.06</v>
      </c>
      <c r="K552" s="65">
        <v>799.29999999999984</v>
      </c>
      <c r="L552" s="65">
        <v>33602.906910088932</v>
      </c>
      <c r="M552" s="65">
        <v>29.500000000000004</v>
      </c>
      <c r="N552" s="65">
        <v>1162.4368615200001</v>
      </c>
      <c r="O552" s="65">
        <v>828.79999999999984</v>
      </c>
      <c r="P552" s="65">
        <v>34765.343771608932</v>
      </c>
      <c r="Q552" s="50">
        <v>33923.06</v>
      </c>
      <c r="R552" s="65">
        <v>0</v>
      </c>
      <c r="S552" s="65">
        <v>1162.4368615200001</v>
      </c>
      <c r="T552" s="65">
        <v>842.28377160893433</v>
      </c>
      <c r="U552" s="65">
        <v>0</v>
      </c>
      <c r="V552" s="65">
        <v>0</v>
      </c>
      <c r="W552" s="65">
        <v>0</v>
      </c>
      <c r="X552" s="65">
        <v>32761</v>
      </c>
      <c r="Y552" s="65">
        <v>0</v>
      </c>
      <c r="Z552" s="65">
        <v>0</v>
      </c>
      <c r="AA552" s="51">
        <v>0</v>
      </c>
      <c r="AB552" s="102">
        <v>0</v>
      </c>
      <c r="AC552" s="81">
        <f t="shared" si="27"/>
        <v>0</v>
      </c>
      <c r="AD552" s="82">
        <f t="shared" si="28"/>
        <v>0</v>
      </c>
      <c r="AE552" s="218">
        <v>-2.4829239213942797E-2</v>
      </c>
      <c r="AF552">
        <v>27</v>
      </c>
      <c r="AH552" t="str">
        <f t="shared" si="26"/>
        <v>Dumraon</v>
      </c>
      <c r="AJ552" s="72">
        <v>0</v>
      </c>
      <c r="AK552" s="72"/>
      <c r="AL552" s="72"/>
      <c r="AM552" s="72"/>
    </row>
    <row r="553" spans="1:39" x14ac:dyDescent="0.25">
      <c r="A553" s="37" t="s">
        <v>62</v>
      </c>
      <c r="B553" s="66" t="s">
        <v>1566</v>
      </c>
      <c r="C553" s="47">
        <v>1014</v>
      </c>
      <c r="D553" s="47" t="s">
        <v>376</v>
      </c>
      <c r="E553" s="41">
        <v>10140007</v>
      </c>
      <c r="F553" s="46" t="s">
        <v>379</v>
      </c>
      <c r="G553" s="39" t="s">
        <v>93</v>
      </c>
      <c r="H553" s="48" t="s">
        <v>94</v>
      </c>
      <c r="I553" s="52">
        <v>661.30000000000007</v>
      </c>
      <c r="J553" s="49">
        <v>22982.59</v>
      </c>
      <c r="K553" s="65">
        <v>754.45999999999992</v>
      </c>
      <c r="L553" s="65">
        <v>29364.987474135247</v>
      </c>
      <c r="M553" s="65">
        <v>22.94</v>
      </c>
      <c r="N553" s="65">
        <v>1344.1196128976103</v>
      </c>
      <c r="O553" s="65">
        <v>777.4</v>
      </c>
      <c r="P553" s="65">
        <v>30709.107087032859</v>
      </c>
      <c r="Q553" s="50">
        <v>22982.59</v>
      </c>
      <c r="R553" s="65">
        <v>0</v>
      </c>
      <c r="S553" s="65">
        <v>1344.1196128976103</v>
      </c>
      <c r="T553" s="65">
        <v>7726.5170870328584</v>
      </c>
      <c r="U553" s="65">
        <v>0</v>
      </c>
      <c r="V553" s="65">
        <v>0</v>
      </c>
      <c r="W553" s="65">
        <v>0</v>
      </c>
      <c r="X553" s="65">
        <v>21638</v>
      </c>
      <c r="Y553" s="65">
        <v>0</v>
      </c>
      <c r="Z553" s="65">
        <v>0</v>
      </c>
      <c r="AA553" s="51">
        <v>0</v>
      </c>
      <c r="AB553" s="102" t="s">
        <v>68</v>
      </c>
      <c r="AC553" s="81">
        <f t="shared" si="27"/>
        <v>26.899326568879459</v>
      </c>
      <c r="AD553" s="82">
        <f t="shared" si="28"/>
        <v>94.471428571428575</v>
      </c>
      <c r="AE553" s="218">
        <v>-0.33619000674131411</v>
      </c>
      <c r="AF553">
        <v>13</v>
      </c>
      <c r="AH553" t="str">
        <f t="shared" si="26"/>
        <v>Dumraon</v>
      </c>
      <c r="AJ553" s="72">
        <v>0</v>
      </c>
      <c r="AK553" s="72"/>
      <c r="AL553" s="72"/>
      <c r="AM553" s="72"/>
    </row>
    <row r="554" spans="1:39" x14ac:dyDescent="0.25">
      <c r="A554" s="37" t="s">
        <v>62</v>
      </c>
      <c r="B554" s="66" t="s">
        <v>1566</v>
      </c>
      <c r="C554" s="47">
        <v>1014</v>
      </c>
      <c r="D554" s="47" t="s">
        <v>376</v>
      </c>
      <c r="E554" s="41">
        <v>10140008</v>
      </c>
      <c r="F554" s="46" t="s">
        <v>380</v>
      </c>
      <c r="G554" s="39" t="s">
        <v>93</v>
      </c>
      <c r="H554" s="48" t="s">
        <v>94</v>
      </c>
      <c r="I554" s="52">
        <v>931.4</v>
      </c>
      <c r="J554" s="49">
        <v>34109.440000000002</v>
      </c>
      <c r="K554" s="65">
        <v>920.08</v>
      </c>
      <c r="L554" s="65">
        <v>33673.769071668001</v>
      </c>
      <c r="M554" s="65">
        <v>9.86</v>
      </c>
      <c r="N554" s="65">
        <v>425.04145167330006</v>
      </c>
      <c r="O554" s="65">
        <v>929.94</v>
      </c>
      <c r="P554" s="65">
        <v>34098.810523341301</v>
      </c>
      <c r="Q554" s="50">
        <v>34098.810523341301</v>
      </c>
      <c r="R554" s="65">
        <v>0</v>
      </c>
      <c r="S554" s="65">
        <v>425.04145167330006</v>
      </c>
      <c r="T554" s="65">
        <v>0</v>
      </c>
      <c r="U554" s="65">
        <v>0</v>
      </c>
      <c r="V554" s="65">
        <v>0</v>
      </c>
      <c r="W554" s="65">
        <v>0</v>
      </c>
      <c r="X554" s="65">
        <v>33673</v>
      </c>
      <c r="Y554" s="65">
        <v>0</v>
      </c>
      <c r="Z554" s="65">
        <v>0</v>
      </c>
      <c r="AA554" s="51">
        <v>11</v>
      </c>
      <c r="AB554" s="102">
        <v>0</v>
      </c>
      <c r="AC554" s="81">
        <f t="shared" si="27"/>
        <v>0</v>
      </c>
      <c r="AD554" s="82">
        <f t="shared" si="28"/>
        <v>0</v>
      </c>
      <c r="AE554" s="218">
        <v>3.1162858899769696E-4</v>
      </c>
      <c r="AF554">
        <v>20</v>
      </c>
      <c r="AH554" t="str">
        <f t="shared" si="26"/>
        <v>Dumraon</v>
      </c>
      <c r="AJ554" s="72">
        <v>0</v>
      </c>
      <c r="AK554" s="72"/>
      <c r="AL554" s="72"/>
      <c r="AM554" s="72"/>
    </row>
    <row r="555" spans="1:39" x14ac:dyDescent="0.25">
      <c r="A555" s="37" t="s">
        <v>62</v>
      </c>
      <c r="B555" s="66" t="s">
        <v>1566</v>
      </c>
      <c r="C555" s="47">
        <v>1014</v>
      </c>
      <c r="D555" s="47" t="s">
        <v>376</v>
      </c>
      <c r="E555" s="41">
        <v>10140009</v>
      </c>
      <c r="F555" s="46" t="s">
        <v>381</v>
      </c>
      <c r="G555" s="39" t="s">
        <v>93</v>
      </c>
      <c r="H555" s="48" t="s">
        <v>94</v>
      </c>
      <c r="I555" s="52">
        <v>534.69999999999993</v>
      </c>
      <c r="J555" s="49">
        <v>19830.779999999995</v>
      </c>
      <c r="K555" s="65">
        <v>541.41999999999996</v>
      </c>
      <c r="L555" s="65">
        <v>20895.4396064502</v>
      </c>
      <c r="M555" s="65">
        <v>0</v>
      </c>
      <c r="N555" s="65">
        <v>0</v>
      </c>
      <c r="O555" s="65">
        <v>541.41999999999996</v>
      </c>
      <c r="P555" s="65">
        <v>20895.4396064502</v>
      </c>
      <c r="Q555" s="50">
        <v>19830.779999999995</v>
      </c>
      <c r="R555" s="65">
        <v>0</v>
      </c>
      <c r="S555" s="65">
        <v>0</v>
      </c>
      <c r="T555" s="65">
        <v>1064.6596064502046</v>
      </c>
      <c r="U555" s="65">
        <v>0</v>
      </c>
      <c r="V555" s="65">
        <v>0</v>
      </c>
      <c r="W555" s="65">
        <v>0</v>
      </c>
      <c r="X555" s="65">
        <v>19831</v>
      </c>
      <c r="Y555" s="65">
        <v>0</v>
      </c>
      <c r="Z555" s="65">
        <v>0</v>
      </c>
      <c r="AA555" s="51">
        <v>0</v>
      </c>
      <c r="AB555" s="102">
        <v>0</v>
      </c>
      <c r="AC555" s="81">
        <f t="shared" si="27"/>
        <v>122.61185464746592</v>
      </c>
      <c r="AD555" s="82">
        <f t="shared" si="28"/>
        <v>76.385714285714272</v>
      </c>
      <c r="AE555" s="218">
        <v>-5.3687227958265124E-2</v>
      </c>
      <c r="AF555">
        <v>6</v>
      </c>
      <c r="AH555" t="str">
        <f t="shared" si="26"/>
        <v>Dumraon</v>
      </c>
      <c r="AJ555" s="72">
        <v>0</v>
      </c>
      <c r="AK555" s="72"/>
      <c r="AL555" s="72"/>
      <c r="AM555" s="72"/>
    </row>
    <row r="556" spans="1:39" x14ac:dyDescent="0.25">
      <c r="A556" s="37" t="s">
        <v>62</v>
      </c>
      <c r="B556" s="66" t="s">
        <v>1566</v>
      </c>
      <c r="C556" s="47">
        <v>1014</v>
      </c>
      <c r="D556" s="47" t="s">
        <v>376</v>
      </c>
      <c r="E556" s="41">
        <v>10140012</v>
      </c>
      <c r="F556" s="46" t="s">
        <v>383</v>
      </c>
      <c r="G556" s="39" t="s">
        <v>93</v>
      </c>
      <c r="H556" s="48" t="s">
        <v>94</v>
      </c>
      <c r="I556" s="52">
        <v>423.50000000000006</v>
      </c>
      <c r="J556" s="49">
        <v>17359.079999999998</v>
      </c>
      <c r="K556" s="65">
        <v>421.90000000000003</v>
      </c>
      <c r="L556" s="65">
        <v>17845.893107307198</v>
      </c>
      <c r="M556" s="65">
        <v>2.6</v>
      </c>
      <c r="N556" s="65">
        <v>93.141781920000014</v>
      </c>
      <c r="O556" s="65">
        <v>424.50000000000006</v>
      </c>
      <c r="P556" s="65">
        <v>17939.034889227198</v>
      </c>
      <c r="Q556" s="50">
        <v>17359.079999999998</v>
      </c>
      <c r="R556" s="65">
        <v>0</v>
      </c>
      <c r="S556" s="65">
        <v>93.141781920000014</v>
      </c>
      <c r="T556" s="65">
        <v>579.9548892271996</v>
      </c>
      <c r="U556" s="65">
        <v>1300</v>
      </c>
      <c r="V556" s="65">
        <v>0</v>
      </c>
      <c r="W556" s="65">
        <v>0</v>
      </c>
      <c r="X556" s="65">
        <v>15966</v>
      </c>
      <c r="Y556" s="65">
        <v>0</v>
      </c>
      <c r="Z556" s="65">
        <v>0</v>
      </c>
      <c r="AA556" s="51">
        <v>0</v>
      </c>
      <c r="AB556" s="102" t="s">
        <v>68</v>
      </c>
      <c r="AC556" s="81">
        <f t="shared" si="27"/>
        <v>226.67228429752058</v>
      </c>
      <c r="AD556" s="82">
        <f t="shared" si="28"/>
        <v>60.500000000000007</v>
      </c>
      <c r="AE556" s="218">
        <v>-3.3409310241510476E-2</v>
      </c>
      <c r="AF556">
        <v>17</v>
      </c>
      <c r="AH556" t="str">
        <f t="shared" si="26"/>
        <v>Dumraon</v>
      </c>
      <c r="AJ556" s="72">
        <v>0</v>
      </c>
      <c r="AK556" s="72"/>
      <c r="AL556" s="72"/>
      <c r="AM556" s="72"/>
    </row>
    <row r="557" spans="1:39" x14ac:dyDescent="0.25">
      <c r="A557" s="37" t="s">
        <v>62</v>
      </c>
      <c r="B557" s="66" t="s">
        <v>1566</v>
      </c>
      <c r="C557" s="47">
        <v>1014</v>
      </c>
      <c r="D557" s="47" t="s">
        <v>376</v>
      </c>
      <c r="E557" s="41">
        <v>10140013</v>
      </c>
      <c r="F557" s="46" t="s">
        <v>384</v>
      </c>
      <c r="G557" s="39" t="s">
        <v>93</v>
      </c>
      <c r="H557" s="48" t="s">
        <v>94</v>
      </c>
      <c r="I557" s="52">
        <v>22.5</v>
      </c>
      <c r="J557" s="49">
        <v>818.3599999999999</v>
      </c>
      <c r="K557" s="65">
        <v>24</v>
      </c>
      <c r="L557" s="65">
        <v>871.22692800000016</v>
      </c>
      <c r="M557" s="65">
        <v>1</v>
      </c>
      <c r="N557" s="65">
        <v>39.073122000000005</v>
      </c>
      <c r="O557" s="65">
        <v>25</v>
      </c>
      <c r="P557" s="65">
        <v>910.30005000000017</v>
      </c>
      <c r="Q557" s="50">
        <v>818.3599999999999</v>
      </c>
      <c r="R557" s="65">
        <v>0</v>
      </c>
      <c r="S557" s="65">
        <v>39.073122000000005</v>
      </c>
      <c r="T557" s="65">
        <v>91.940050000000269</v>
      </c>
      <c r="U557" s="65">
        <v>0</v>
      </c>
      <c r="V557" s="65">
        <v>0</v>
      </c>
      <c r="W557" s="65">
        <v>0</v>
      </c>
      <c r="X557" s="65">
        <v>779</v>
      </c>
      <c r="Y557" s="65">
        <v>0</v>
      </c>
      <c r="Z557" s="65">
        <v>0</v>
      </c>
      <c r="AA557" s="51">
        <v>0</v>
      </c>
      <c r="AB557" s="102" t="s">
        <v>68</v>
      </c>
      <c r="AC557" s="81">
        <f t="shared" si="27"/>
        <v>492.83457777777772</v>
      </c>
      <c r="AD557" s="82">
        <f t="shared" si="28"/>
        <v>3.2142857142857144</v>
      </c>
      <c r="AE557" s="218">
        <v>-0.11234670560633496</v>
      </c>
      <c r="AF557">
        <v>2</v>
      </c>
      <c r="AH557" t="str">
        <f t="shared" si="26"/>
        <v>Dumraon</v>
      </c>
      <c r="AJ557" s="72">
        <v>0</v>
      </c>
      <c r="AK557" s="72"/>
      <c r="AL557" s="72"/>
      <c r="AM557" s="72"/>
    </row>
    <row r="558" spans="1:39" x14ac:dyDescent="0.25">
      <c r="A558" s="37" t="s">
        <v>62</v>
      </c>
      <c r="B558" s="66" t="s">
        <v>1566</v>
      </c>
      <c r="C558" s="47">
        <v>1014</v>
      </c>
      <c r="D558" s="47" t="s">
        <v>376</v>
      </c>
      <c r="E558" s="41">
        <v>10140018</v>
      </c>
      <c r="F558" s="46" t="s">
        <v>1142</v>
      </c>
      <c r="G558" s="39" t="s">
        <v>93</v>
      </c>
      <c r="H558" s="48" t="s">
        <v>94</v>
      </c>
      <c r="I558" s="52">
        <v>619.19999999999993</v>
      </c>
      <c r="J558" s="49">
        <v>25568.549999999988</v>
      </c>
      <c r="K558" s="65">
        <v>618</v>
      </c>
      <c r="L558" s="65">
        <v>25533.965080800001</v>
      </c>
      <c r="M558" s="65">
        <v>0</v>
      </c>
      <c r="N558" s="65">
        <v>0</v>
      </c>
      <c r="O558" s="65">
        <v>618</v>
      </c>
      <c r="P558" s="65">
        <v>25533.965080800001</v>
      </c>
      <c r="Q558" s="50">
        <v>25533.965080800001</v>
      </c>
      <c r="R558" s="65">
        <v>0</v>
      </c>
      <c r="S558" s="65">
        <v>0</v>
      </c>
      <c r="T558" s="65">
        <v>0</v>
      </c>
      <c r="U558" s="65">
        <v>0</v>
      </c>
      <c r="V558" s="65">
        <v>0</v>
      </c>
      <c r="W558" s="65">
        <v>0</v>
      </c>
      <c r="X558" s="65">
        <v>25534</v>
      </c>
      <c r="Y558" s="65">
        <v>0</v>
      </c>
      <c r="Z558" s="65">
        <v>0</v>
      </c>
      <c r="AA558" s="51">
        <v>35</v>
      </c>
      <c r="AB558" s="102">
        <v>0</v>
      </c>
      <c r="AC558" s="81">
        <f t="shared" si="27"/>
        <v>66.729290697674486</v>
      </c>
      <c r="AD558" s="82">
        <f t="shared" si="28"/>
        <v>88.457142857142841</v>
      </c>
      <c r="AE558" s="218">
        <v>1.3526351396535117E-3</v>
      </c>
      <c r="AF558">
        <v>1</v>
      </c>
      <c r="AH558" t="str">
        <f t="shared" si="26"/>
        <v>Dumraon</v>
      </c>
      <c r="AJ558" s="72">
        <v>0</v>
      </c>
      <c r="AK558" s="72"/>
      <c r="AL558" s="72"/>
      <c r="AM558" s="72"/>
    </row>
    <row r="559" spans="1:39" x14ac:dyDescent="0.25">
      <c r="A559" s="37" t="s">
        <v>62</v>
      </c>
      <c r="B559" s="66" t="s">
        <v>1566</v>
      </c>
      <c r="C559" s="47">
        <v>1014</v>
      </c>
      <c r="D559" s="47" t="s">
        <v>376</v>
      </c>
      <c r="E559" s="41">
        <v>10140020</v>
      </c>
      <c r="F559" s="46" t="s">
        <v>1272</v>
      </c>
      <c r="G559" s="39" t="s">
        <v>93</v>
      </c>
      <c r="H559" s="48" t="s">
        <v>94</v>
      </c>
      <c r="I559" s="52">
        <v>48.1</v>
      </c>
      <c r="J559" s="49">
        <v>1632.1000000000001</v>
      </c>
      <c r="K559" s="65">
        <v>40.6</v>
      </c>
      <c r="L559" s="65">
        <v>1600.9926372</v>
      </c>
      <c r="M559" s="65">
        <v>0</v>
      </c>
      <c r="N559" s="65">
        <v>0</v>
      </c>
      <c r="O559" s="65">
        <v>40.6</v>
      </c>
      <c r="P559" s="65">
        <v>1600.9926372</v>
      </c>
      <c r="Q559" s="50">
        <v>1600.9926372</v>
      </c>
      <c r="R559" s="65">
        <v>0</v>
      </c>
      <c r="S559" s="65">
        <v>0</v>
      </c>
      <c r="T559" s="65">
        <v>0</v>
      </c>
      <c r="U559" s="65">
        <v>0</v>
      </c>
      <c r="V559" s="65">
        <v>0</v>
      </c>
      <c r="W559" s="65">
        <v>0</v>
      </c>
      <c r="X559" s="65">
        <v>1601</v>
      </c>
      <c r="Y559" s="65">
        <v>0</v>
      </c>
      <c r="Z559" s="65">
        <v>0</v>
      </c>
      <c r="AA559" s="51">
        <v>31</v>
      </c>
      <c r="AB559" s="102">
        <v>0</v>
      </c>
      <c r="AC559" s="81">
        <f t="shared" si="27"/>
        <v>442.39750103950115</v>
      </c>
      <c r="AD559" s="82">
        <f t="shared" si="28"/>
        <v>6.8714285714285719</v>
      </c>
      <c r="AE559" s="218">
        <v>1.9059716193860758E-2</v>
      </c>
      <c r="AF559">
        <v>1</v>
      </c>
      <c r="AH559" t="str">
        <f t="shared" si="26"/>
        <v>Dumraon</v>
      </c>
      <c r="AJ559" s="72">
        <v>0</v>
      </c>
      <c r="AK559" s="72"/>
      <c r="AL559" s="72"/>
      <c r="AM559" s="72"/>
    </row>
    <row r="560" spans="1:39" x14ac:dyDescent="0.25">
      <c r="A560" s="37" t="s">
        <v>62</v>
      </c>
      <c r="B560" s="66" t="s">
        <v>1566</v>
      </c>
      <c r="C560" s="47">
        <v>1014</v>
      </c>
      <c r="D560" s="47" t="s">
        <v>376</v>
      </c>
      <c r="E560" s="41">
        <v>10140022</v>
      </c>
      <c r="F560" s="46" t="s">
        <v>385</v>
      </c>
      <c r="G560" s="39" t="s">
        <v>93</v>
      </c>
      <c r="H560" s="48" t="s">
        <v>94</v>
      </c>
      <c r="I560" s="52">
        <v>128.20000000000002</v>
      </c>
      <c r="J560" s="49">
        <v>4584.3999999999996</v>
      </c>
      <c r="K560" s="65">
        <v>145</v>
      </c>
      <c r="L560" s="65">
        <v>5428.1319444000001</v>
      </c>
      <c r="M560" s="65">
        <v>0</v>
      </c>
      <c r="N560" s="65">
        <v>0</v>
      </c>
      <c r="O560" s="65">
        <v>145</v>
      </c>
      <c r="P560" s="65">
        <v>5428.1319444000001</v>
      </c>
      <c r="Q560" s="50">
        <v>4584.3999999999996</v>
      </c>
      <c r="R560" s="65">
        <v>0</v>
      </c>
      <c r="S560" s="65">
        <v>0</v>
      </c>
      <c r="T560" s="65">
        <v>843.73194440000043</v>
      </c>
      <c r="U560" s="65">
        <v>0</v>
      </c>
      <c r="V560" s="65">
        <v>0</v>
      </c>
      <c r="W560" s="65">
        <v>0</v>
      </c>
      <c r="X560" s="65">
        <v>4584</v>
      </c>
      <c r="Y560" s="65">
        <v>0</v>
      </c>
      <c r="Z560" s="65">
        <v>0</v>
      </c>
      <c r="AA560" s="51">
        <v>0</v>
      </c>
      <c r="AB560" s="102" t="s">
        <v>68</v>
      </c>
      <c r="AC560" s="81">
        <f t="shared" si="27"/>
        <v>408.94850546021826</v>
      </c>
      <c r="AD560" s="82">
        <f t="shared" si="28"/>
        <v>18.314285714285717</v>
      </c>
      <c r="AE560" s="218">
        <v>-0.18404413759706842</v>
      </c>
      <c r="AF560">
        <v>3</v>
      </c>
      <c r="AH560" t="str">
        <f t="shared" si="26"/>
        <v>Dumraon</v>
      </c>
      <c r="AJ560" s="72">
        <v>0</v>
      </c>
      <c r="AK560" s="72"/>
      <c r="AL560" s="72"/>
      <c r="AM560" s="72"/>
    </row>
    <row r="561" spans="1:39" x14ac:dyDescent="0.25">
      <c r="A561" s="37" t="s">
        <v>62</v>
      </c>
      <c r="B561" s="66" t="s">
        <v>1566</v>
      </c>
      <c r="C561" s="47">
        <v>1014</v>
      </c>
      <c r="D561" s="47" t="s">
        <v>376</v>
      </c>
      <c r="E561" s="41">
        <v>10140032</v>
      </c>
      <c r="F561" s="46" t="s">
        <v>386</v>
      </c>
      <c r="G561" s="39" t="s">
        <v>93</v>
      </c>
      <c r="H561" s="48" t="s">
        <v>94</v>
      </c>
      <c r="I561" s="52">
        <v>23.1</v>
      </c>
      <c r="J561" s="49">
        <v>834.99</v>
      </c>
      <c r="K561" s="65">
        <v>23</v>
      </c>
      <c r="L561" s="65">
        <v>831.8882880000001</v>
      </c>
      <c r="M561" s="65">
        <v>0</v>
      </c>
      <c r="N561" s="65">
        <v>0</v>
      </c>
      <c r="O561" s="65">
        <v>23</v>
      </c>
      <c r="P561" s="65">
        <v>831.8882880000001</v>
      </c>
      <c r="Q561" s="50">
        <v>831.8882880000001</v>
      </c>
      <c r="R561" s="65">
        <v>0</v>
      </c>
      <c r="S561" s="65">
        <v>0</v>
      </c>
      <c r="T561" s="65">
        <v>0</v>
      </c>
      <c r="U561" s="65">
        <v>0</v>
      </c>
      <c r="V561" s="65">
        <v>0</v>
      </c>
      <c r="W561" s="65">
        <v>0</v>
      </c>
      <c r="X561" s="65">
        <v>832</v>
      </c>
      <c r="Y561" s="65">
        <v>0</v>
      </c>
      <c r="Z561" s="65">
        <v>0</v>
      </c>
      <c r="AA561" s="51">
        <v>3</v>
      </c>
      <c r="AB561" s="102">
        <v>0</v>
      </c>
      <c r="AC561" s="81">
        <f t="shared" si="27"/>
        <v>489.35474545454542</v>
      </c>
      <c r="AD561" s="82">
        <f t="shared" si="28"/>
        <v>3.3000000000000003</v>
      </c>
      <c r="AE561" s="218">
        <v>3.7146696367620054E-3</v>
      </c>
      <c r="AF561">
        <v>1</v>
      </c>
      <c r="AH561" t="str">
        <f t="shared" si="26"/>
        <v>Dumraon</v>
      </c>
      <c r="AJ561" s="72">
        <v>0</v>
      </c>
      <c r="AK561" s="72"/>
      <c r="AL561" s="72"/>
      <c r="AM561" s="72"/>
    </row>
    <row r="562" spans="1:39" x14ac:dyDescent="0.25">
      <c r="A562" s="37" t="s">
        <v>62</v>
      </c>
      <c r="B562" s="66" t="s">
        <v>1566</v>
      </c>
      <c r="C562" s="47">
        <v>1014</v>
      </c>
      <c r="D562" s="47" t="s">
        <v>376</v>
      </c>
      <c r="E562" s="41">
        <v>10140033</v>
      </c>
      <c r="F562" s="46" t="s">
        <v>387</v>
      </c>
      <c r="G562" s="39" t="s">
        <v>93</v>
      </c>
      <c r="H562" s="48" t="s">
        <v>94</v>
      </c>
      <c r="I562" s="52">
        <v>172.39999999999998</v>
      </c>
      <c r="J562" s="49">
        <v>5774.93</v>
      </c>
      <c r="K562" s="65">
        <v>173</v>
      </c>
      <c r="L562" s="65">
        <v>5709.1826880000008</v>
      </c>
      <c r="M562" s="65">
        <v>0</v>
      </c>
      <c r="N562" s="65">
        <v>0</v>
      </c>
      <c r="O562" s="65">
        <v>173</v>
      </c>
      <c r="P562" s="65">
        <v>5709.1826880000008</v>
      </c>
      <c r="Q562" s="50">
        <v>5709.1826880000008</v>
      </c>
      <c r="R562" s="65">
        <v>0</v>
      </c>
      <c r="S562" s="65">
        <v>0</v>
      </c>
      <c r="T562" s="65">
        <v>0</v>
      </c>
      <c r="U562" s="65">
        <v>0</v>
      </c>
      <c r="V562" s="65">
        <v>0</v>
      </c>
      <c r="W562" s="65">
        <v>0</v>
      </c>
      <c r="X562" s="65">
        <v>5709</v>
      </c>
      <c r="Y562" s="65">
        <v>0</v>
      </c>
      <c r="Z562" s="65">
        <v>0</v>
      </c>
      <c r="AA562" s="51">
        <v>66</v>
      </c>
      <c r="AB562" s="102">
        <v>0</v>
      </c>
      <c r="AC562" s="81">
        <f t="shared" si="27"/>
        <v>353.46323294663569</v>
      </c>
      <c r="AD562" s="82">
        <f t="shared" si="28"/>
        <v>24.628571428571426</v>
      </c>
      <c r="AE562" s="218">
        <v>1.1384953930177423E-2</v>
      </c>
      <c r="AF562">
        <v>1</v>
      </c>
      <c r="AH562" t="str">
        <f t="shared" si="26"/>
        <v>Dumraon</v>
      </c>
      <c r="AJ562" s="72">
        <v>0</v>
      </c>
      <c r="AK562" s="72"/>
      <c r="AL562" s="72"/>
      <c r="AM562" s="72"/>
    </row>
    <row r="563" spans="1:39" x14ac:dyDescent="0.25">
      <c r="A563" s="37" t="s">
        <v>62</v>
      </c>
      <c r="B563" s="66" t="s">
        <v>1566</v>
      </c>
      <c r="C563" s="47">
        <v>1014</v>
      </c>
      <c r="D563" s="47" t="s">
        <v>376</v>
      </c>
      <c r="E563" s="41">
        <v>10140034</v>
      </c>
      <c r="F563" s="46" t="s">
        <v>388</v>
      </c>
      <c r="G563" s="39" t="s">
        <v>93</v>
      </c>
      <c r="H563" s="48" t="s">
        <v>94</v>
      </c>
      <c r="I563" s="52">
        <v>374.80000000000007</v>
      </c>
      <c r="J563" s="49">
        <v>12293.55</v>
      </c>
      <c r="K563" s="65">
        <v>385.19999999999993</v>
      </c>
      <c r="L563" s="65">
        <v>14567.08500227976</v>
      </c>
      <c r="M563" s="65">
        <v>6.8</v>
      </c>
      <c r="N563" s="65">
        <v>241.70305460399999</v>
      </c>
      <c r="O563" s="65">
        <v>391.99999999999994</v>
      </c>
      <c r="P563" s="65">
        <v>14808.788056883761</v>
      </c>
      <c r="Q563" s="50">
        <v>12293.55</v>
      </c>
      <c r="R563" s="65">
        <v>0</v>
      </c>
      <c r="S563" s="65">
        <v>241.70305460399999</v>
      </c>
      <c r="T563" s="65">
        <v>2515.2380568837616</v>
      </c>
      <c r="U563" s="65">
        <v>0</v>
      </c>
      <c r="V563" s="65">
        <v>0</v>
      </c>
      <c r="W563" s="65">
        <v>0</v>
      </c>
      <c r="X563" s="65">
        <v>12052</v>
      </c>
      <c r="Y563" s="65">
        <v>0</v>
      </c>
      <c r="Z563" s="65">
        <v>0</v>
      </c>
      <c r="AA563" s="51">
        <v>0</v>
      </c>
      <c r="AB563" s="102">
        <v>0</v>
      </c>
      <c r="AC563" s="81">
        <f t="shared" si="27"/>
        <v>213.33310885805759</v>
      </c>
      <c r="AD563" s="82">
        <f t="shared" si="28"/>
        <v>53.542857142857152</v>
      </c>
      <c r="AE563" s="218">
        <v>-0.20459818822746575</v>
      </c>
      <c r="AF563">
        <v>4</v>
      </c>
      <c r="AH563" t="str">
        <f t="shared" si="26"/>
        <v>Dumraon</v>
      </c>
      <c r="AJ563" s="72">
        <v>0</v>
      </c>
      <c r="AK563" s="72"/>
      <c r="AL563" s="72"/>
      <c r="AM563" s="72"/>
    </row>
    <row r="564" spans="1:39" x14ac:dyDescent="0.25">
      <c r="A564" s="37" t="s">
        <v>62</v>
      </c>
      <c r="B564" s="66" t="s">
        <v>1566</v>
      </c>
      <c r="C564" s="47">
        <v>1014</v>
      </c>
      <c r="D564" s="47" t="s">
        <v>376</v>
      </c>
      <c r="E564" s="41">
        <v>10140039</v>
      </c>
      <c r="F564" s="46" t="s">
        <v>389</v>
      </c>
      <c r="G564" s="39" t="s">
        <v>93</v>
      </c>
      <c r="H564" s="48" t="s">
        <v>94</v>
      </c>
      <c r="I564" s="52">
        <v>283.2</v>
      </c>
      <c r="J564" s="49">
        <v>11079.630000000001</v>
      </c>
      <c r="K564" s="65">
        <v>277.8</v>
      </c>
      <c r="L564" s="65">
        <v>10490.598514940701</v>
      </c>
      <c r="M564" s="65">
        <v>5.0999999999999996</v>
      </c>
      <c r="N564" s="65">
        <v>189.18770112000004</v>
      </c>
      <c r="O564" s="65">
        <v>282.90000000000003</v>
      </c>
      <c r="P564" s="65">
        <v>10679.7862160607</v>
      </c>
      <c r="Q564" s="50">
        <v>10679.7862160607</v>
      </c>
      <c r="R564" s="65">
        <v>0</v>
      </c>
      <c r="S564" s="65">
        <v>189.18770112000004</v>
      </c>
      <c r="T564" s="65">
        <v>0</v>
      </c>
      <c r="U564" s="65">
        <v>0</v>
      </c>
      <c r="V564" s="65">
        <v>0</v>
      </c>
      <c r="W564" s="65">
        <v>0</v>
      </c>
      <c r="X564" s="65">
        <v>10488</v>
      </c>
      <c r="Y564" s="65">
        <v>0</v>
      </c>
      <c r="Z564" s="65">
        <v>0</v>
      </c>
      <c r="AA564" s="51">
        <v>402</v>
      </c>
      <c r="AB564" s="102">
        <v>0</v>
      </c>
      <c r="AC564" s="81">
        <f t="shared" si="27"/>
        <v>326.12922203389832</v>
      </c>
      <c r="AD564" s="82">
        <f t="shared" si="28"/>
        <v>40.457142857142856</v>
      </c>
      <c r="AE564" s="218">
        <v>3.6088189221057103E-2</v>
      </c>
      <c r="AF564">
        <v>13</v>
      </c>
      <c r="AH564" t="str">
        <f t="shared" si="26"/>
        <v>Dumraon</v>
      </c>
      <c r="AJ564" s="72">
        <v>0</v>
      </c>
      <c r="AK564" s="72"/>
      <c r="AL564" s="72"/>
      <c r="AM564" s="72"/>
    </row>
    <row r="565" spans="1:39" x14ac:dyDescent="0.25">
      <c r="A565" s="37" t="s">
        <v>62</v>
      </c>
      <c r="B565" s="66" t="s">
        <v>1566</v>
      </c>
      <c r="C565" s="47">
        <v>1014</v>
      </c>
      <c r="D565" s="47" t="s">
        <v>376</v>
      </c>
      <c r="E565" s="41">
        <v>10140043</v>
      </c>
      <c r="F565" s="46" t="s">
        <v>390</v>
      </c>
      <c r="G565" s="39" t="s">
        <v>93</v>
      </c>
      <c r="H565" s="48" t="s">
        <v>94</v>
      </c>
      <c r="I565" s="52">
        <v>290.8</v>
      </c>
      <c r="J565" s="49">
        <v>9678.57</v>
      </c>
      <c r="K565" s="65">
        <v>289</v>
      </c>
      <c r="L565" s="65">
        <v>9636.3051840000026</v>
      </c>
      <c r="M565" s="65">
        <v>0</v>
      </c>
      <c r="N565" s="65">
        <v>0</v>
      </c>
      <c r="O565" s="65">
        <v>289</v>
      </c>
      <c r="P565" s="65">
        <v>9636.3051840000026</v>
      </c>
      <c r="Q565" s="50">
        <v>9636.3051840000026</v>
      </c>
      <c r="R565" s="65">
        <v>0</v>
      </c>
      <c r="S565" s="65">
        <v>0</v>
      </c>
      <c r="T565" s="65">
        <v>0</v>
      </c>
      <c r="U565" s="65">
        <v>0</v>
      </c>
      <c r="V565" s="65">
        <v>0</v>
      </c>
      <c r="W565" s="65">
        <v>0</v>
      </c>
      <c r="X565" s="65">
        <v>9636</v>
      </c>
      <c r="Y565" s="65">
        <v>0</v>
      </c>
      <c r="Z565" s="65">
        <v>0</v>
      </c>
      <c r="AA565" s="51">
        <v>43</v>
      </c>
      <c r="AB565" s="102">
        <v>0</v>
      </c>
      <c r="AC565" s="81">
        <f t="shared" si="27"/>
        <v>272.38451471801926</v>
      </c>
      <c r="AD565" s="82">
        <f t="shared" si="28"/>
        <v>41.542857142857144</v>
      </c>
      <c r="AE565" s="218">
        <v>4.3668451021170642E-3</v>
      </c>
      <c r="AF565">
        <v>2</v>
      </c>
      <c r="AH565" t="str">
        <f t="shared" si="26"/>
        <v>Dumraon</v>
      </c>
      <c r="AJ565" s="72">
        <v>0</v>
      </c>
      <c r="AK565" s="72"/>
      <c r="AL565" s="72"/>
      <c r="AM565" s="72"/>
    </row>
    <row r="566" spans="1:39" x14ac:dyDescent="0.25">
      <c r="A566" s="37" t="s">
        <v>62</v>
      </c>
      <c r="B566" s="66" t="s">
        <v>1566</v>
      </c>
      <c r="C566" s="47">
        <v>1014</v>
      </c>
      <c r="D566" s="47" t="s">
        <v>376</v>
      </c>
      <c r="E566" s="41">
        <v>10140045</v>
      </c>
      <c r="F566" s="46" t="s">
        <v>391</v>
      </c>
      <c r="G566" s="39" t="s">
        <v>93</v>
      </c>
      <c r="H566" s="48" t="s">
        <v>94</v>
      </c>
      <c r="I566" s="52">
        <v>201.99999999999997</v>
      </c>
      <c r="J566" s="49">
        <v>7192.3099999999995</v>
      </c>
      <c r="K566" s="65">
        <v>202</v>
      </c>
      <c r="L566" s="65">
        <v>7146.165312000001</v>
      </c>
      <c r="M566" s="65">
        <v>0</v>
      </c>
      <c r="N566" s="65">
        <v>0</v>
      </c>
      <c r="O566" s="65">
        <v>202</v>
      </c>
      <c r="P566" s="65">
        <v>7146.165312000001</v>
      </c>
      <c r="Q566" s="50">
        <v>7146.165312000001</v>
      </c>
      <c r="R566" s="65">
        <v>0</v>
      </c>
      <c r="S566" s="65">
        <v>0</v>
      </c>
      <c r="T566" s="65">
        <v>0</v>
      </c>
      <c r="U566" s="65">
        <v>0</v>
      </c>
      <c r="V566" s="65">
        <v>0</v>
      </c>
      <c r="W566" s="65">
        <v>0</v>
      </c>
      <c r="X566" s="65">
        <v>7146</v>
      </c>
      <c r="Y566" s="65">
        <v>0</v>
      </c>
      <c r="Z566" s="65">
        <v>0</v>
      </c>
      <c r="AA566" s="51">
        <v>46</v>
      </c>
      <c r="AB566" s="102">
        <v>0</v>
      </c>
      <c r="AC566" s="81">
        <f t="shared" si="27"/>
        <v>354.63073069306932</v>
      </c>
      <c r="AD566" s="82">
        <f t="shared" si="28"/>
        <v>28.857142857142854</v>
      </c>
      <c r="AE566" s="218">
        <v>6.4158369147045242E-3</v>
      </c>
      <c r="AF566">
        <v>1</v>
      </c>
      <c r="AH566" t="str">
        <f t="shared" si="26"/>
        <v>Dumraon</v>
      </c>
      <c r="AJ566" s="72">
        <v>0</v>
      </c>
      <c r="AK566" s="72"/>
      <c r="AL566" s="72"/>
      <c r="AM566" s="72"/>
    </row>
    <row r="567" spans="1:39" x14ac:dyDescent="0.25">
      <c r="A567" s="37" t="s">
        <v>62</v>
      </c>
      <c r="B567" s="66" t="s">
        <v>1566</v>
      </c>
      <c r="C567" s="47">
        <v>1014</v>
      </c>
      <c r="D567" s="47" t="s">
        <v>376</v>
      </c>
      <c r="E567" s="41">
        <v>10140047</v>
      </c>
      <c r="F567" s="46" t="s">
        <v>392</v>
      </c>
      <c r="G567" s="39" t="s">
        <v>93</v>
      </c>
      <c r="H567" s="48" t="s">
        <v>94</v>
      </c>
      <c r="I567" s="52">
        <v>84.7</v>
      </c>
      <c r="J567" s="49">
        <v>3762.33</v>
      </c>
      <c r="K567" s="65">
        <v>85.06</v>
      </c>
      <c r="L567" s="65">
        <v>4208.6958101427999</v>
      </c>
      <c r="M567" s="65">
        <v>0.35</v>
      </c>
      <c r="N567" s="65">
        <v>17.839951651340002</v>
      </c>
      <c r="O567" s="65">
        <v>85.41</v>
      </c>
      <c r="P567" s="65">
        <v>4226.5357617941399</v>
      </c>
      <c r="Q567" s="50">
        <v>3762.33</v>
      </c>
      <c r="R567" s="65">
        <v>0</v>
      </c>
      <c r="S567" s="65">
        <v>17.839951651340002</v>
      </c>
      <c r="T567" s="65">
        <v>464.20576179414002</v>
      </c>
      <c r="U567" s="65">
        <v>0</v>
      </c>
      <c r="V567" s="65">
        <v>0</v>
      </c>
      <c r="W567" s="65">
        <v>0</v>
      </c>
      <c r="X567" s="65">
        <v>3744</v>
      </c>
      <c r="Y567" s="65">
        <v>0</v>
      </c>
      <c r="Z567" s="65">
        <v>0</v>
      </c>
      <c r="AA567" s="51">
        <v>0</v>
      </c>
      <c r="AB567" s="102">
        <v>0</v>
      </c>
      <c r="AC567" s="81">
        <f t="shared" si="27"/>
        <v>546.62612727272733</v>
      </c>
      <c r="AD567" s="82">
        <f t="shared" si="28"/>
        <v>12.1</v>
      </c>
      <c r="AE567" s="218">
        <v>-0.1233825214146925</v>
      </c>
      <c r="AF567">
        <v>3</v>
      </c>
      <c r="AH567" t="str">
        <f t="shared" si="26"/>
        <v>Dumraon</v>
      </c>
      <c r="AJ567" s="72">
        <v>0</v>
      </c>
      <c r="AK567" s="72"/>
      <c r="AL567" s="72"/>
      <c r="AM567" s="72"/>
    </row>
    <row r="568" spans="1:39" x14ac:dyDescent="0.25">
      <c r="A568" s="37" t="s">
        <v>62</v>
      </c>
      <c r="B568" s="66" t="s">
        <v>1566</v>
      </c>
      <c r="C568" s="47">
        <v>1014</v>
      </c>
      <c r="D568" s="47" t="s">
        <v>376</v>
      </c>
      <c r="E568" s="41">
        <v>10140054</v>
      </c>
      <c r="F568" s="46" t="s">
        <v>394</v>
      </c>
      <c r="G568" s="39" t="s">
        <v>93</v>
      </c>
      <c r="H568" s="48" t="s">
        <v>94</v>
      </c>
      <c r="I568" s="52">
        <v>506.5</v>
      </c>
      <c r="J568" s="49">
        <v>19919.169999999998</v>
      </c>
      <c r="K568" s="65">
        <v>500.84000000000003</v>
      </c>
      <c r="L568" s="65">
        <v>20000.521366263278</v>
      </c>
      <c r="M568" s="65">
        <v>5.370000000000001</v>
      </c>
      <c r="N568" s="65">
        <v>223.51466485286201</v>
      </c>
      <c r="O568" s="65">
        <v>506.21000000000004</v>
      </c>
      <c r="P568" s="65">
        <v>20224.036031116138</v>
      </c>
      <c r="Q568" s="50">
        <v>19919.169999999998</v>
      </c>
      <c r="R568" s="65">
        <v>0</v>
      </c>
      <c r="S568" s="65">
        <v>223.51466485286201</v>
      </c>
      <c r="T568" s="65">
        <v>304.86603111614022</v>
      </c>
      <c r="U568" s="65">
        <v>0</v>
      </c>
      <c r="V568" s="65">
        <v>0</v>
      </c>
      <c r="W568" s="65">
        <v>0</v>
      </c>
      <c r="X568" s="65">
        <v>19696</v>
      </c>
      <c r="Y568" s="65">
        <v>0</v>
      </c>
      <c r="Z568" s="65">
        <v>0</v>
      </c>
      <c r="AA568" s="51">
        <v>0</v>
      </c>
      <c r="AB568" s="102">
        <v>0</v>
      </c>
      <c r="AC568" s="81">
        <f t="shared" si="27"/>
        <v>152.19583000987163</v>
      </c>
      <c r="AD568" s="82">
        <f t="shared" si="28"/>
        <v>72.357142857142861</v>
      </c>
      <c r="AE568" s="218">
        <v>-1.5305157349233942E-2</v>
      </c>
      <c r="AF568">
        <v>8</v>
      </c>
      <c r="AH568" t="str">
        <f t="shared" si="26"/>
        <v>Dumraon</v>
      </c>
      <c r="AJ568" s="72">
        <v>0</v>
      </c>
      <c r="AK568" s="72"/>
      <c r="AL568" s="72"/>
      <c r="AM568" s="72"/>
    </row>
    <row r="569" spans="1:39" x14ac:dyDescent="0.25">
      <c r="A569" s="37" t="s">
        <v>62</v>
      </c>
      <c r="B569" s="66" t="s">
        <v>1566</v>
      </c>
      <c r="C569" s="47">
        <v>1014</v>
      </c>
      <c r="D569" s="47" t="s">
        <v>376</v>
      </c>
      <c r="E569" s="41">
        <v>10140055</v>
      </c>
      <c r="F569" s="46" t="s">
        <v>395</v>
      </c>
      <c r="G569" s="39" t="s">
        <v>93</v>
      </c>
      <c r="H569" s="48" t="s">
        <v>94</v>
      </c>
      <c r="I569" s="52">
        <v>365.8</v>
      </c>
      <c r="J569" s="49">
        <v>13758.280000000002</v>
      </c>
      <c r="K569" s="65">
        <v>366</v>
      </c>
      <c r="L569" s="65">
        <v>13721.004158400001</v>
      </c>
      <c r="M569" s="65">
        <v>0</v>
      </c>
      <c r="N569" s="65">
        <v>0</v>
      </c>
      <c r="O569" s="65">
        <v>366</v>
      </c>
      <c r="P569" s="65">
        <v>13721.004158400001</v>
      </c>
      <c r="Q569" s="50">
        <v>13721.004158400001</v>
      </c>
      <c r="R569" s="65">
        <v>0</v>
      </c>
      <c r="S569" s="65">
        <v>0</v>
      </c>
      <c r="T569" s="65">
        <v>0</v>
      </c>
      <c r="U569" s="65">
        <v>0</v>
      </c>
      <c r="V569" s="65">
        <v>0</v>
      </c>
      <c r="W569" s="65">
        <v>0</v>
      </c>
      <c r="X569" s="65">
        <v>13721</v>
      </c>
      <c r="Y569" s="65">
        <v>0</v>
      </c>
      <c r="Z569" s="65">
        <v>0</v>
      </c>
      <c r="AA569" s="51">
        <v>37</v>
      </c>
      <c r="AB569" s="102">
        <v>0</v>
      </c>
      <c r="AC569" s="81">
        <f t="shared" si="27"/>
        <v>251.39514357572446</v>
      </c>
      <c r="AD569" s="82">
        <f t="shared" si="28"/>
        <v>52.25714285714286</v>
      </c>
      <c r="AE569" s="218">
        <v>2.7093387836271327E-3</v>
      </c>
      <c r="AF569">
        <v>1</v>
      </c>
      <c r="AH569" t="str">
        <f t="shared" si="26"/>
        <v>Dumraon</v>
      </c>
      <c r="AJ569" s="72">
        <v>0</v>
      </c>
      <c r="AK569" s="72"/>
      <c r="AL569" s="72"/>
      <c r="AM569" s="72"/>
    </row>
    <row r="570" spans="1:39" x14ac:dyDescent="0.25">
      <c r="A570" s="37" t="s">
        <v>62</v>
      </c>
      <c r="B570" s="66" t="s">
        <v>1566</v>
      </c>
      <c r="C570" s="47">
        <v>1014</v>
      </c>
      <c r="D570" s="47" t="s">
        <v>376</v>
      </c>
      <c r="E570" s="41">
        <v>10140066</v>
      </c>
      <c r="F570" s="46" t="s">
        <v>396</v>
      </c>
      <c r="G570" s="39" t="s">
        <v>93</v>
      </c>
      <c r="H570" s="48" t="s">
        <v>94</v>
      </c>
      <c r="I570" s="52">
        <v>121.60000000000001</v>
      </c>
      <c r="J570" s="49">
        <v>5438.79</v>
      </c>
      <c r="K570" s="65">
        <v>123.9</v>
      </c>
      <c r="L570" s="65">
        <v>7313.34393367132</v>
      </c>
      <c r="M570" s="65">
        <v>0.5</v>
      </c>
      <c r="N570" s="65">
        <v>26.994905938960002</v>
      </c>
      <c r="O570" s="65">
        <v>124.4</v>
      </c>
      <c r="P570" s="65">
        <v>7340.33883961028</v>
      </c>
      <c r="Q570" s="50">
        <v>5438.79</v>
      </c>
      <c r="R570" s="65">
        <v>0</v>
      </c>
      <c r="S570" s="65">
        <v>26.994905938960002</v>
      </c>
      <c r="T570" s="65">
        <v>1901.5488396102801</v>
      </c>
      <c r="U570" s="65">
        <v>0</v>
      </c>
      <c r="V570" s="65">
        <v>0</v>
      </c>
      <c r="W570" s="65">
        <v>0</v>
      </c>
      <c r="X570" s="65">
        <v>5412</v>
      </c>
      <c r="Y570" s="65">
        <v>0</v>
      </c>
      <c r="Z570" s="65">
        <v>0</v>
      </c>
      <c r="AA570" s="51">
        <v>0</v>
      </c>
      <c r="AB570" s="102">
        <v>0</v>
      </c>
      <c r="AC570" s="81">
        <f t="shared" si="27"/>
        <v>517.40068026315794</v>
      </c>
      <c r="AD570" s="82">
        <f t="shared" si="28"/>
        <v>17.371428571428574</v>
      </c>
      <c r="AE570" s="218">
        <v>-0.34962718538687465</v>
      </c>
      <c r="AF570">
        <v>3</v>
      </c>
      <c r="AH570" t="str">
        <f t="shared" si="26"/>
        <v>Dumraon</v>
      </c>
      <c r="AJ570" s="72">
        <v>0</v>
      </c>
      <c r="AK570" s="72"/>
      <c r="AL570" s="72"/>
      <c r="AM570" s="72"/>
    </row>
    <row r="571" spans="1:39" x14ac:dyDescent="0.25">
      <c r="A571" s="37" t="s">
        <v>62</v>
      </c>
      <c r="B571" s="66" t="s">
        <v>1566</v>
      </c>
      <c r="C571" s="47">
        <v>1014</v>
      </c>
      <c r="D571" s="47" t="s">
        <v>376</v>
      </c>
      <c r="E571" s="41">
        <v>10140068</v>
      </c>
      <c r="F571" s="46" t="s">
        <v>397</v>
      </c>
      <c r="G571" s="39" t="s">
        <v>93</v>
      </c>
      <c r="H571" s="48" t="s">
        <v>94</v>
      </c>
      <c r="I571" s="52">
        <v>212.79999999999998</v>
      </c>
      <c r="J571" s="49">
        <v>8228.4499999999989</v>
      </c>
      <c r="K571" s="65">
        <v>222.32</v>
      </c>
      <c r="L571" s="65">
        <v>8570.0561590677025</v>
      </c>
      <c r="M571" s="65">
        <v>0</v>
      </c>
      <c r="N571" s="65">
        <v>0</v>
      </c>
      <c r="O571" s="65">
        <v>222.32</v>
      </c>
      <c r="P571" s="65">
        <v>8570.0561590677025</v>
      </c>
      <c r="Q571" s="50">
        <v>8228.4499999999989</v>
      </c>
      <c r="R571" s="65">
        <v>0</v>
      </c>
      <c r="S571" s="65">
        <v>0</v>
      </c>
      <c r="T571" s="65">
        <v>341.60615906770363</v>
      </c>
      <c r="U571" s="65">
        <v>0</v>
      </c>
      <c r="V571" s="65">
        <v>0</v>
      </c>
      <c r="W571" s="65">
        <v>0</v>
      </c>
      <c r="X571" s="65">
        <v>8228</v>
      </c>
      <c r="Y571" s="65">
        <v>0</v>
      </c>
      <c r="Z571" s="65">
        <v>0</v>
      </c>
      <c r="AA571" s="51">
        <v>0</v>
      </c>
      <c r="AB571" s="102">
        <v>0</v>
      </c>
      <c r="AC571" s="81">
        <f t="shared" si="27"/>
        <v>376.77639473684206</v>
      </c>
      <c r="AD571" s="82">
        <f t="shared" si="28"/>
        <v>30.4</v>
      </c>
      <c r="AE571" s="218">
        <v>-4.1515250024938312E-2</v>
      </c>
      <c r="AF571">
        <v>3</v>
      </c>
      <c r="AH571" t="str">
        <f t="shared" si="26"/>
        <v>Dumraon</v>
      </c>
      <c r="AJ571" s="72">
        <v>0</v>
      </c>
      <c r="AK571" s="72"/>
      <c r="AL571" s="72"/>
      <c r="AM571" s="72"/>
    </row>
    <row r="572" spans="1:39" x14ac:dyDescent="0.25">
      <c r="A572" s="37" t="s">
        <v>62</v>
      </c>
      <c r="B572" s="66" t="s">
        <v>1566</v>
      </c>
      <c r="C572" s="47">
        <v>1014</v>
      </c>
      <c r="D572" s="47" t="s">
        <v>376</v>
      </c>
      <c r="E572" s="41">
        <v>10140069</v>
      </c>
      <c r="F572" s="46" t="s">
        <v>296</v>
      </c>
      <c r="G572" s="39" t="s">
        <v>93</v>
      </c>
      <c r="H572" s="48" t="s">
        <v>94</v>
      </c>
      <c r="I572" s="52">
        <v>452.40000000000003</v>
      </c>
      <c r="J572" s="49">
        <v>16865.640000000003</v>
      </c>
      <c r="K572" s="65">
        <v>454.3</v>
      </c>
      <c r="L572" s="65">
        <v>16624.281703290002</v>
      </c>
      <c r="M572" s="65">
        <v>7</v>
      </c>
      <c r="N572" s="65">
        <v>244.60343820000006</v>
      </c>
      <c r="O572" s="65">
        <v>461.3</v>
      </c>
      <c r="P572" s="65">
        <v>16868.885141490002</v>
      </c>
      <c r="Q572" s="50">
        <v>16865.640000000003</v>
      </c>
      <c r="R572" s="65">
        <v>0</v>
      </c>
      <c r="S572" s="65">
        <v>244.60343820000006</v>
      </c>
      <c r="T572" s="65">
        <v>3.2451414899987867</v>
      </c>
      <c r="U572" s="65">
        <v>0</v>
      </c>
      <c r="V572" s="65">
        <v>0</v>
      </c>
      <c r="W572" s="65">
        <v>0</v>
      </c>
      <c r="X572" s="65">
        <v>16621</v>
      </c>
      <c r="Y572" s="65">
        <v>0</v>
      </c>
      <c r="Z572" s="65">
        <v>0</v>
      </c>
      <c r="AA572" s="51">
        <v>0</v>
      </c>
      <c r="AB572" s="102" t="s">
        <v>68</v>
      </c>
      <c r="AC572" s="81">
        <f t="shared" si="27"/>
        <v>184.61239893899204</v>
      </c>
      <c r="AD572" s="82">
        <f t="shared" si="28"/>
        <v>64.628571428571433</v>
      </c>
      <c r="AE572" s="218">
        <v>-1.9241140508150217E-4</v>
      </c>
      <c r="AF572">
        <v>4</v>
      </c>
      <c r="AH572" t="str">
        <f t="shared" si="26"/>
        <v>Dumraon</v>
      </c>
      <c r="AJ572" s="72">
        <v>0</v>
      </c>
      <c r="AK572" s="72"/>
      <c r="AL572" s="72"/>
      <c r="AM572" s="72"/>
    </row>
    <row r="573" spans="1:39" x14ac:dyDescent="0.25">
      <c r="A573" s="37" t="s">
        <v>62</v>
      </c>
      <c r="B573" s="66" t="s">
        <v>1566</v>
      </c>
      <c r="C573" s="47">
        <v>1014</v>
      </c>
      <c r="D573" s="47" t="s">
        <v>376</v>
      </c>
      <c r="E573" s="41">
        <v>10140071</v>
      </c>
      <c r="F573" s="46" t="s">
        <v>398</v>
      </c>
      <c r="G573" s="39" t="s">
        <v>635</v>
      </c>
      <c r="H573" s="48" t="s">
        <v>99</v>
      </c>
      <c r="I573" s="52">
        <v>926.09999999999991</v>
      </c>
      <c r="J573" s="49">
        <v>30685.489999999998</v>
      </c>
      <c r="K573" s="65">
        <v>0</v>
      </c>
      <c r="L573" s="65">
        <v>0</v>
      </c>
      <c r="M573" s="65">
        <v>0</v>
      </c>
      <c r="N573" s="65">
        <v>0</v>
      </c>
      <c r="O573" s="65">
        <v>0</v>
      </c>
      <c r="P573" s="65">
        <v>0</v>
      </c>
      <c r="Q573" s="50">
        <v>30685.489999999998</v>
      </c>
      <c r="R573" s="65">
        <v>0</v>
      </c>
      <c r="S573" s="65">
        <v>0</v>
      </c>
      <c r="T573" s="65">
        <v>0</v>
      </c>
      <c r="U573" s="65">
        <v>0</v>
      </c>
      <c r="V573" s="65">
        <v>0</v>
      </c>
      <c r="W573" s="65">
        <v>0</v>
      </c>
      <c r="X573" s="65">
        <v>0</v>
      </c>
      <c r="Y573" s="65">
        <v>0</v>
      </c>
      <c r="Z573" s="65">
        <v>30685.489999999998</v>
      </c>
      <c r="AA573" s="51">
        <v>0</v>
      </c>
      <c r="AB573" s="102">
        <v>0</v>
      </c>
      <c r="AC573" s="81">
        <f t="shared" si="27"/>
        <v>0</v>
      </c>
      <c r="AD573" s="82">
        <f t="shared" si="28"/>
        <v>0</v>
      </c>
      <c r="AE573" s="218">
        <v>0</v>
      </c>
      <c r="AF573">
        <v>0</v>
      </c>
      <c r="AH573" t="str">
        <f t="shared" si="26"/>
        <v>Dumraon</v>
      </c>
      <c r="AJ573" s="72">
        <v>0</v>
      </c>
      <c r="AK573" s="72"/>
      <c r="AL573" s="72"/>
      <c r="AM573" s="72"/>
    </row>
    <row r="574" spans="1:39" x14ac:dyDescent="0.25">
      <c r="A574" s="37" t="s">
        <v>62</v>
      </c>
      <c r="B574" s="66" t="s">
        <v>1566</v>
      </c>
      <c r="C574" s="47">
        <v>1014</v>
      </c>
      <c r="D574" s="47" t="s">
        <v>376</v>
      </c>
      <c r="E574" s="41">
        <v>10140083</v>
      </c>
      <c r="F574" s="46" t="s">
        <v>399</v>
      </c>
      <c r="G574" s="39" t="s">
        <v>93</v>
      </c>
      <c r="H574" s="48" t="s">
        <v>94</v>
      </c>
      <c r="I574" s="52">
        <v>245.4</v>
      </c>
      <c r="J574" s="49">
        <v>10590.100000000002</v>
      </c>
      <c r="K574" s="65">
        <v>246.39999999999998</v>
      </c>
      <c r="L574" s="65">
        <v>10820.311952349201</v>
      </c>
      <c r="M574" s="65">
        <v>25.5</v>
      </c>
      <c r="N574" s="65">
        <v>1154.4399347149001</v>
      </c>
      <c r="O574" s="65">
        <v>271.89999999999998</v>
      </c>
      <c r="P574" s="65">
        <v>11974.7518870641</v>
      </c>
      <c r="Q574" s="50">
        <v>10590.100000000002</v>
      </c>
      <c r="R574" s="65">
        <v>0</v>
      </c>
      <c r="S574" s="65">
        <v>141.9141625181</v>
      </c>
      <c r="T574" s="65">
        <v>1384.6518870640975</v>
      </c>
      <c r="U574" s="65">
        <v>0</v>
      </c>
      <c r="V574" s="65">
        <v>0</v>
      </c>
      <c r="W574" s="65">
        <v>0</v>
      </c>
      <c r="X574" s="65">
        <v>9436</v>
      </c>
      <c r="Y574" s="65">
        <v>1012</v>
      </c>
      <c r="Z574" s="65">
        <v>0</v>
      </c>
      <c r="AA574" s="51">
        <v>0</v>
      </c>
      <c r="AB574" s="102">
        <v>0</v>
      </c>
      <c r="AC574" s="81">
        <f t="shared" si="27"/>
        <v>392.36018418907918</v>
      </c>
      <c r="AD574" s="82">
        <f t="shared" si="28"/>
        <v>35.057142857142857</v>
      </c>
      <c r="AE574" s="218">
        <v>-0.1307496517562721</v>
      </c>
      <c r="AF574">
        <v>5</v>
      </c>
      <c r="AH574" t="str">
        <f t="shared" si="26"/>
        <v>Dumraon</v>
      </c>
      <c r="AJ574" s="72">
        <v>0</v>
      </c>
      <c r="AK574" s="72"/>
      <c r="AL574" s="72"/>
      <c r="AM574" s="72"/>
    </row>
    <row r="575" spans="1:39" x14ac:dyDescent="0.25">
      <c r="A575" s="37" t="s">
        <v>62</v>
      </c>
      <c r="B575" s="66" t="s">
        <v>1566</v>
      </c>
      <c r="C575" s="47">
        <v>1014</v>
      </c>
      <c r="D575" s="47" t="s">
        <v>376</v>
      </c>
      <c r="E575" s="41">
        <v>10140087</v>
      </c>
      <c r="F575" s="46" t="s">
        <v>400</v>
      </c>
      <c r="G575" s="39" t="s">
        <v>93</v>
      </c>
      <c r="H575" s="48" t="s">
        <v>94</v>
      </c>
      <c r="I575" s="52">
        <v>247.10000000000002</v>
      </c>
      <c r="J575" s="49">
        <v>9485.4200000000019</v>
      </c>
      <c r="K575" s="65">
        <v>249.51</v>
      </c>
      <c r="L575" s="65">
        <v>9401.6565094354319</v>
      </c>
      <c r="M575" s="65">
        <v>0</v>
      </c>
      <c r="N575" s="65">
        <v>0</v>
      </c>
      <c r="O575" s="65">
        <v>249.51</v>
      </c>
      <c r="P575" s="65">
        <v>9401.6565094354319</v>
      </c>
      <c r="Q575" s="50">
        <v>9401.6565094354319</v>
      </c>
      <c r="R575" s="65">
        <v>0</v>
      </c>
      <c r="S575" s="65">
        <v>0</v>
      </c>
      <c r="T575" s="65">
        <v>0</v>
      </c>
      <c r="U575" s="65">
        <v>0</v>
      </c>
      <c r="V575" s="65">
        <v>0</v>
      </c>
      <c r="W575" s="65">
        <v>0</v>
      </c>
      <c r="X575" s="65">
        <v>9401</v>
      </c>
      <c r="Y575" s="65">
        <v>0</v>
      </c>
      <c r="Z575" s="65">
        <v>0</v>
      </c>
      <c r="AA575" s="51">
        <v>84</v>
      </c>
      <c r="AB575" s="102">
        <v>0</v>
      </c>
      <c r="AC575" s="81">
        <f t="shared" si="27"/>
        <v>347.70916373937678</v>
      </c>
      <c r="AD575" s="82">
        <f t="shared" si="28"/>
        <v>35.300000000000004</v>
      </c>
      <c r="AE575" s="218">
        <v>8.8307624295571527E-3</v>
      </c>
      <c r="AF575">
        <v>6</v>
      </c>
      <c r="AH575" t="str">
        <f t="shared" si="26"/>
        <v>Dumraon</v>
      </c>
      <c r="AJ575" s="72">
        <v>0</v>
      </c>
      <c r="AK575" s="72"/>
      <c r="AL575" s="72"/>
      <c r="AM575" s="72"/>
    </row>
    <row r="576" spans="1:39" x14ac:dyDescent="0.25">
      <c r="A576" s="37" t="s">
        <v>62</v>
      </c>
      <c r="B576" s="66" t="s">
        <v>1566</v>
      </c>
      <c r="C576" s="47">
        <v>1014</v>
      </c>
      <c r="D576" s="47" t="s">
        <v>376</v>
      </c>
      <c r="E576" s="41">
        <v>10140095</v>
      </c>
      <c r="F576" s="46" t="s">
        <v>627</v>
      </c>
      <c r="G576" s="39" t="s">
        <v>93</v>
      </c>
      <c r="H576" s="48" t="s">
        <v>94</v>
      </c>
      <c r="I576" s="52">
        <v>22.1</v>
      </c>
      <c r="J576" s="49">
        <v>783.72</v>
      </c>
      <c r="K576" s="65">
        <v>12</v>
      </c>
      <c r="L576" s="65">
        <v>443.53267199999999</v>
      </c>
      <c r="M576" s="65">
        <v>34.5</v>
      </c>
      <c r="N576" s="65">
        <v>1316.7321030468001</v>
      </c>
      <c r="O576" s="65">
        <v>46.5</v>
      </c>
      <c r="P576" s="65">
        <v>1760.2647750468002</v>
      </c>
      <c r="Q576" s="50">
        <v>783.72</v>
      </c>
      <c r="R576" s="65">
        <v>0</v>
      </c>
      <c r="S576" s="65">
        <v>0</v>
      </c>
      <c r="T576" s="65">
        <v>976.54477504680017</v>
      </c>
      <c r="U576" s="65">
        <v>0</v>
      </c>
      <c r="V576" s="65">
        <v>0</v>
      </c>
      <c r="W576" s="65">
        <v>0</v>
      </c>
      <c r="X576" s="65">
        <v>0</v>
      </c>
      <c r="Y576" s="65">
        <v>784</v>
      </c>
      <c r="Z576" s="65">
        <v>0</v>
      </c>
      <c r="AA576" s="51">
        <v>0</v>
      </c>
      <c r="AB576" s="102" t="s">
        <v>68</v>
      </c>
      <c r="AC576" s="81">
        <f t="shared" si="27"/>
        <v>480.79980814479643</v>
      </c>
      <c r="AD576" s="82">
        <f t="shared" si="28"/>
        <v>3.1571428571428575</v>
      </c>
      <c r="AE576" s="218">
        <v>-1.2460378388286635</v>
      </c>
      <c r="AF576">
        <v>2</v>
      </c>
      <c r="AH576" t="str">
        <f t="shared" si="26"/>
        <v>Dumraon</v>
      </c>
      <c r="AJ576" s="72">
        <v>0</v>
      </c>
      <c r="AK576" s="72"/>
      <c r="AL576" s="72"/>
      <c r="AM576" s="72"/>
    </row>
    <row r="577" spans="1:39" x14ac:dyDescent="0.25">
      <c r="A577" s="37" t="s">
        <v>62</v>
      </c>
      <c r="B577" s="66" t="s">
        <v>1566</v>
      </c>
      <c r="C577" s="41">
        <v>1014</v>
      </c>
      <c r="D577" s="41" t="s">
        <v>376</v>
      </c>
      <c r="E577" s="41">
        <v>10140098</v>
      </c>
      <c r="F577" s="85" t="s">
        <v>428</v>
      </c>
      <c r="G577" s="39" t="s">
        <v>93</v>
      </c>
      <c r="H577" s="52" t="s">
        <v>94</v>
      </c>
      <c r="I577" s="49">
        <v>1507.3</v>
      </c>
      <c r="J577" s="49">
        <v>58421.740000000005</v>
      </c>
      <c r="K577" s="58">
        <v>1463.2599999999998</v>
      </c>
      <c r="L577" s="58">
        <v>57923.312508643095</v>
      </c>
      <c r="M577" s="58">
        <v>12.879999999999997</v>
      </c>
      <c r="N577" s="58">
        <v>491.89072521600002</v>
      </c>
      <c r="O577" s="65">
        <v>1476.1399999999999</v>
      </c>
      <c r="P577" s="65">
        <v>58415.203233859094</v>
      </c>
      <c r="Q577" s="50">
        <v>58415.203233859094</v>
      </c>
      <c r="R577" s="65">
        <v>0</v>
      </c>
      <c r="S577" s="65">
        <v>491.89072521600002</v>
      </c>
      <c r="T577" s="65">
        <v>0</v>
      </c>
      <c r="U577" s="65">
        <v>15818</v>
      </c>
      <c r="V577" s="65">
        <v>0</v>
      </c>
      <c r="W577" s="65">
        <v>0</v>
      </c>
      <c r="X577" s="65">
        <v>42104</v>
      </c>
      <c r="Y577" s="65">
        <v>0</v>
      </c>
      <c r="Z577" s="65">
        <v>0</v>
      </c>
      <c r="AA577" s="51">
        <v>8</v>
      </c>
      <c r="AB577" s="102">
        <v>0</v>
      </c>
      <c r="AC577" s="81">
        <f t="shared" si="27"/>
        <v>0</v>
      </c>
      <c r="AD577" s="82">
        <f t="shared" si="28"/>
        <v>0</v>
      </c>
      <c r="AE577" s="218">
        <v>1.118892751381748E-4</v>
      </c>
      <c r="AF577">
        <v>6</v>
      </c>
      <c r="AH577" t="str">
        <f t="shared" ref="AH577:AH635" si="29">TEXT(D577,"0000")</f>
        <v>Dumraon</v>
      </c>
      <c r="AJ577" s="72">
        <v>0</v>
      </c>
      <c r="AK577" s="72"/>
      <c r="AL577" s="72"/>
      <c r="AM577" s="72"/>
    </row>
    <row r="578" spans="1:39" x14ac:dyDescent="0.25">
      <c r="A578" s="37" t="s">
        <v>62</v>
      </c>
      <c r="B578" s="66" t="s">
        <v>1566</v>
      </c>
      <c r="C578" s="41">
        <v>1014</v>
      </c>
      <c r="D578" s="41" t="s">
        <v>376</v>
      </c>
      <c r="E578" s="41">
        <v>10140099</v>
      </c>
      <c r="F578" s="85" t="s">
        <v>401</v>
      </c>
      <c r="G578" s="39" t="s">
        <v>93</v>
      </c>
      <c r="H578" s="52" t="s">
        <v>94</v>
      </c>
      <c r="I578" s="49">
        <v>202.2</v>
      </c>
      <c r="J578" s="49">
        <v>7110.12</v>
      </c>
      <c r="K578" s="58">
        <v>315.13000000000005</v>
      </c>
      <c r="L578" s="58">
        <v>10687.325945630402</v>
      </c>
      <c r="M578" s="58">
        <v>0</v>
      </c>
      <c r="N578" s="58">
        <v>0</v>
      </c>
      <c r="O578" s="65">
        <v>315.13000000000005</v>
      </c>
      <c r="P578" s="65">
        <v>10687.325945630402</v>
      </c>
      <c r="Q578" s="50">
        <v>7110.12</v>
      </c>
      <c r="R578" s="65">
        <v>0</v>
      </c>
      <c r="S578" s="65">
        <v>0</v>
      </c>
      <c r="T578" s="65">
        <v>3577.2059456304023</v>
      </c>
      <c r="U578" s="65">
        <v>0</v>
      </c>
      <c r="V578" s="65">
        <v>0</v>
      </c>
      <c r="W578" s="65">
        <v>0</v>
      </c>
      <c r="X578" s="65">
        <v>7110</v>
      </c>
      <c r="Y578" s="65">
        <v>0</v>
      </c>
      <c r="Z578" s="65">
        <v>0</v>
      </c>
      <c r="AA578" s="51">
        <v>0</v>
      </c>
      <c r="AB578" s="102" t="s">
        <v>68</v>
      </c>
      <c r="AC578" s="81">
        <f t="shared" si="27"/>
        <v>350.09077507418397</v>
      </c>
      <c r="AD578" s="82">
        <f t="shared" si="28"/>
        <v>28.885714285714283</v>
      </c>
      <c r="AE578" s="218">
        <v>-0.50311470771666333</v>
      </c>
      <c r="AF578">
        <v>9</v>
      </c>
      <c r="AH578" t="str">
        <f t="shared" si="29"/>
        <v>Dumraon</v>
      </c>
      <c r="AJ578" s="72">
        <v>0</v>
      </c>
      <c r="AK578" s="72"/>
      <c r="AL578" s="72"/>
      <c r="AM578" s="72"/>
    </row>
    <row r="579" spans="1:39" x14ac:dyDescent="0.25">
      <c r="A579" s="37" t="s">
        <v>62</v>
      </c>
      <c r="B579" s="66" t="s">
        <v>1566</v>
      </c>
      <c r="C579" s="41">
        <v>1014</v>
      </c>
      <c r="D579" s="41" t="s">
        <v>376</v>
      </c>
      <c r="E579" s="41">
        <v>10140109</v>
      </c>
      <c r="F579" s="85" t="s">
        <v>424</v>
      </c>
      <c r="G579" s="39" t="s">
        <v>635</v>
      </c>
      <c r="H579" s="52" t="s">
        <v>99</v>
      </c>
      <c r="I579" s="52">
        <v>60.2</v>
      </c>
      <c r="J579" s="49">
        <v>2173.25</v>
      </c>
      <c r="K579" s="58">
        <v>0</v>
      </c>
      <c r="L579" s="58">
        <v>0</v>
      </c>
      <c r="M579" s="58">
        <v>0</v>
      </c>
      <c r="N579" s="58">
        <v>0</v>
      </c>
      <c r="O579" s="65">
        <v>0</v>
      </c>
      <c r="P579" s="65">
        <v>0</v>
      </c>
      <c r="Q579" s="50">
        <v>2173.25</v>
      </c>
      <c r="R579" s="65">
        <v>0</v>
      </c>
      <c r="S579" s="65">
        <v>0</v>
      </c>
      <c r="T579" s="65">
        <v>0</v>
      </c>
      <c r="U579" s="65">
        <v>0</v>
      </c>
      <c r="V579" s="65">
        <v>0</v>
      </c>
      <c r="W579" s="65">
        <v>0</v>
      </c>
      <c r="X579" s="65">
        <v>0</v>
      </c>
      <c r="Y579" s="65">
        <v>0</v>
      </c>
      <c r="Z579" s="65">
        <v>2173.25</v>
      </c>
      <c r="AA579" s="51">
        <v>0</v>
      </c>
      <c r="AB579" s="102">
        <v>0</v>
      </c>
      <c r="AC579" s="81">
        <f t="shared" si="27"/>
        <v>461.94197674418609</v>
      </c>
      <c r="AD579" s="82">
        <f t="shared" si="28"/>
        <v>8.6</v>
      </c>
      <c r="AE579" s="218">
        <v>0</v>
      </c>
      <c r="AF579">
        <v>0</v>
      </c>
      <c r="AH579" t="str">
        <f t="shared" si="29"/>
        <v>Dumraon</v>
      </c>
      <c r="AJ579" s="72">
        <v>0</v>
      </c>
      <c r="AK579" s="72"/>
      <c r="AL579" s="72"/>
      <c r="AM579" s="72"/>
    </row>
    <row r="580" spans="1:39" x14ac:dyDescent="0.25">
      <c r="A580" s="37" t="s">
        <v>62</v>
      </c>
      <c r="B580" s="66" t="s">
        <v>1566</v>
      </c>
      <c r="C580" s="41">
        <v>1014</v>
      </c>
      <c r="D580" s="41" t="s">
        <v>376</v>
      </c>
      <c r="E580" s="41">
        <v>10140120</v>
      </c>
      <c r="F580" s="85" t="s">
        <v>628</v>
      </c>
      <c r="G580" s="39" t="s">
        <v>93</v>
      </c>
      <c r="H580" s="52" t="s">
        <v>94</v>
      </c>
      <c r="I580" s="52">
        <v>370.6</v>
      </c>
      <c r="J580" s="49">
        <v>14400.06</v>
      </c>
      <c r="K580" s="58">
        <v>366.15999999999997</v>
      </c>
      <c r="L580" s="58">
        <v>14215.000877352002</v>
      </c>
      <c r="M580" s="58">
        <v>4.9000000000000004</v>
      </c>
      <c r="N580" s="58">
        <v>183.56959961999999</v>
      </c>
      <c r="O580" s="65">
        <v>371.05999999999995</v>
      </c>
      <c r="P580" s="65">
        <v>14398.570476972001</v>
      </c>
      <c r="Q580" s="50">
        <v>14398.570476972001</v>
      </c>
      <c r="R580" s="65">
        <v>0</v>
      </c>
      <c r="S580" s="65">
        <v>183.56959961999999</v>
      </c>
      <c r="T580" s="65">
        <v>0</v>
      </c>
      <c r="U580" s="65">
        <v>0</v>
      </c>
      <c r="V580" s="65">
        <v>0</v>
      </c>
      <c r="W580" s="65">
        <v>0</v>
      </c>
      <c r="X580" s="65">
        <v>14215</v>
      </c>
      <c r="Y580" s="65">
        <v>0</v>
      </c>
      <c r="Z580" s="65">
        <v>0</v>
      </c>
      <c r="AA580" s="51">
        <v>1</v>
      </c>
      <c r="AB580" s="102">
        <v>0</v>
      </c>
      <c r="AC580" s="81">
        <f t="shared" ref="AC580:AC643" si="30">((IF(AD580=0,0,100-AD580))*7*(J580/I580))*2%</f>
        <v>255.98379730167292</v>
      </c>
      <c r="AD580" s="82">
        <f t="shared" ref="AD580:AD643" si="31">IF((I580/7)&gt;100,0,(I580/7))</f>
        <v>52.942857142857143</v>
      </c>
      <c r="AE580" s="218">
        <v>1.0343866817208229E-4</v>
      </c>
      <c r="AF580">
        <v>3</v>
      </c>
      <c r="AH580" t="str">
        <f t="shared" si="29"/>
        <v>Dumraon</v>
      </c>
      <c r="AJ580" s="72">
        <v>0</v>
      </c>
      <c r="AK580" s="72"/>
      <c r="AL580" s="72"/>
      <c r="AM580" s="72"/>
    </row>
    <row r="581" spans="1:39" x14ac:dyDescent="0.25">
      <c r="A581" s="37" t="s">
        <v>62</v>
      </c>
      <c r="B581" s="66" t="s">
        <v>1566</v>
      </c>
      <c r="C581" s="41">
        <v>1014</v>
      </c>
      <c r="D581" s="41" t="s">
        <v>376</v>
      </c>
      <c r="E581" s="41">
        <v>10140126</v>
      </c>
      <c r="F581" s="85" t="s">
        <v>468</v>
      </c>
      <c r="G581" s="39" t="s">
        <v>93</v>
      </c>
      <c r="H581" s="52" t="s">
        <v>94</v>
      </c>
      <c r="I581" s="52">
        <v>130.69999999999999</v>
      </c>
      <c r="J581" s="49">
        <v>4734.97</v>
      </c>
      <c r="K581" s="58">
        <v>136.96</v>
      </c>
      <c r="L581" s="58">
        <v>5128.4004934025397</v>
      </c>
      <c r="M581" s="58">
        <v>2.1999999999999997</v>
      </c>
      <c r="N581" s="58">
        <v>86.831981279999994</v>
      </c>
      <c r="O581" s="65">
        <v>139.16</v>
      </c>
      <c r="P581" s="65">
        <v>5215.2324746825398</v>
      </c>
      <c r="Q581" s="50">
        <v>4734.97</v>
      </c>
      <c r="R581" s="65">
        <v>0</v>
      </c>
      <c r="S581" s="65">
        <v>86.831981279999994</v>
      </c>
      <c r="T581" s="65">
        <v>480.26247468253951</v>
      </c>
      <c r="U581" s="65">
        <v>0</v>
      </c>
      <c r="V581" s="65">
        <v>0</v>
      </c>
      <c r="W581" s="65">
        <v>0</v>
      </c>
      <c r="X581" s="65">
        <v>4648</v>
      </c>
      <c r="Y581" s="65">
        <v>0</v>
      </c>
      <c r="Z581" s="65">
        <v>0</v>
      </c>
      <c r="AA581" s="51">
        <v>0</v>
      </c>
      <c r="AB581" s="102" t="s">
        <v>68</v>
      </c>
      <c r="AC581" s="81">
        <f t="shared" si="30"/>
        <v>412.48942938026022</v>
      </c>
      <c r="AD581" s="82">
        <f t="shared" si="31"/>
        <v>18.671428571428571</v>
      </c>
      <c r="AE581" s="218">
        <v>-0.10142883158341857</v>
      </c>
      <c r="AF581">
        <v>7</v>
      </c>
      <c r="AH581" t="str">
        <f t="shared" si="29"/>
        <v>Dumraon</v>
      </c>
      <c r="AJ581" s="72">
        <v>0</v>
      </c>
      <c r="AK581" s="72"/>
      <c r="AL581" s="72"/>
      <c r="AM581" s="72"/>
    </row>
    <row r="582" spans="1:39" x14ac:dyDescent="0.25">
      <c r="A582" s="37" t="s">
        <v>62</v>
      </c>
      <c r="B582" s="66" t="s">
        <v>1566</v>
      </c>
      <c r="C582" s="41">
        <v>1014</v>
      </c>
      <c r="D582" s="41" t="s">
        <v>376</v>
      </c>
      <c r="E582" s="41">
        <v>10140129</v>
      </c>
      <c r="F582" s="85" t="s">
        <v>467</v>
      </c>
      <c r="G582" s="39" t="s">
        <v>93</v>
      </c>
      <c r="H582" s="52" t="s">
        <v>94</v>
      </c>
      <c r="I582" s="52">
        <v>158.49999999999997</v>
      </c>
      <c r="J582" s="49">
        <v>5492.1100000000006</v>
      </c>
      <c r="K582" s="58">
        <v>158.5</v>
      </c>
      <c r="L582" s="58">
        <v>5481.7313760000006</v>
      </c>
      <c r="M582" s="58">
        <v>0</v>
      </c>
      <c r="N582" s="58">
        <v>0</v>
      </c>
      <c r="O582" s="65">
        <v>158.5</v>
      </c>
      <c r="P582" s="65">
        <v>5481.7313760000006</v>
      </c>
      <c r="Q582" s="50">
        <v>5481.7313760000006</v>
      </c>
      <c r="R582" s="65">
        <v>0</v>
      </c>
      <c r="S582" s="65">
        <v>0</v>
      </c>
      <c r="T582" s="65">
        <v>0</v>
      </c>
      <c r="U582" s="65">
        <v>0</v>
      </c>
      <c r="V582" s="65">
        <v>0</v>
      </c>
      <c r="W582" s="65">
        <v>0</v>
      </c>
      <c r="X582" s="65">
        <v>5482</v>
      </c>
      <c r="Y582" s="65">
        <v>0</v>
      </c>
      <c r="Z582" s="65">
        <v>0</v>
      </c>
      <c r="AA582" s="51">
        <v>10</v>
      </c>
      <c r="AB582" s="102">
        <v>0</v>
      </c>
      <c r="AC582" s="81">
        <f t="shared" si="30"/>
        <v>375.26530788643544</v>
      </c>
      <c r="AD582" s="82">
        <f t="shared" si="31"/>
        <v>22.642857142857139</v>
      </c>
      <c r="AE582" s="218">
        <v>1.889733453991261E-3</v>
      </c>
      <c r="AF582">
        <v>1</v>
      </c>
      <c r="AH582" t="str">
        <f t="shared" si="29"/>
        <v>Dumraon</v>
      </c>
      <c r="AJ582" s="72">
        <v>0</v>
      </c>
      <c r="AK582" s="72"/>
      <c r="AL582" s="72"/>
      <c r="AM582" s="72"/>
    </row>
    <row r="583" spans="1:39" x14ac:dyDescent="0.25">
      <c r="A583" s="37" t="s">
        <v>62</v>
      </c>
      <c r="B583" s="66" t="s">
        <v>1566</v>
      </c>
      <c r="C583" s="41">
        <v>1014</v>
      </c>
      <c r="D583" s="41" t="s">
        <v>376</v>
      </c>
      <c r="E583" s="41">
        <v>10140131</v>
      </c>
      <c r="F583" s="85" t="s">
        <v>466</v>
      </c>
      <c r="G583" s="39" t="s">
        <v>93</v>
      </c>
      <c r="H583" s="52" t="s">
        <v>94</v>
      </c>
      <c r="I583" s="52">
        <v>239.1</v>
      </c>
      <c r="J583" s="49">
        <v>8392.7099999999991</v>
      </c>
      <c r="K583" s="58">
        <v>217.60000000000002</v>
      </c>
      <c r="L583" s="58">
        <v>8533.4744761200018</v>
      </c>
      <c r="M583" s="58">
        <v>0</v>
      </c>
      <c r="N583" s="58">
        <v>0</v>
      </c>
      <c r="O583" s="65">
        <v>217.60000000000002</v>
      </c>
      <c r="P583" s="65">
        <v>8533.4744761200018</v>
      </c>
      <c r="Q583" s="50">
        <v>8392.7099999999991</v>
      </c>
      <c r="R583" s="65">
        <v>0</v>
      </c>
      <c r="S583" s="65">
        <v>0</v>
      </c>
      <c r="T583" s="65">
        <v>140.76447612000266</v>
      </c>
      <c r="U583" s="65">
        <v>0</v>
      </c>
      <c r="V583" s="65">
        <v>0</v>
      </c>
      <c r="W583" s="65">
        <v>0</v>
      </c>
      <c r="X583" s="65">
        <v>8393</v>
      </c>
      <c r="Y583" s="65">
        <v>0</v>
      </c>
      <c r="Z583" s="65">
        <v>0</v>
      </c>
      <c r="AA583" s="51">
        <v>0</v>
      </c>
      <c r="AB583" s="102">
        <v>0</v>
      </c>
      <c r="AC583" s="81">
        <f t="shared" si="30"/>
        <v>323.56336587202003</v>
      </c>
      <c r="AD583" s="82">
        <f t="shared" si="31"/>
        <v>34.157142857142858</v>
      </c>
      <c r="AE583" s="218">
        <v>-1.6772231629593144E-2</v>
      </c>
      <c r="AF583">
        <v>1</v>
      </c>
      <c r="AH583" t="str">
        <f t="shared" si="29"/>
        <v>Dumraon</v>
      </c>
      <c r="AJ583" s="72">
        <v>0</v>
      </c>
      <c r="AK583" s="72"/>
      <c r="AL583" s="72"/>
      <c r="AM583" s="72"/>
    </row>
    <row r="584" spans="1:39" x14ac:dyDescent="0.25">
      <c r="A584" s="37" t="s">
        <v>62</v>
      </c>
      <c r="B584" s="66" t="s">
        <v>1566</v>
      </c>
      <c r="C584" s="41">
        <v>1014</v>
      </c>
      <c r="D584" s="41" t="s">
        <v>376</v>
      </c>
      <c r="E584" s="41">
        <v>10140132</v>
      </c>
      <c r="F584" s="85" t="s">
        <v>465</v>
      </c>
      <c r="G584" s="39" t="s">
        <v>93</v>
      </c>
      <c r="H584" s="52" t="s">
        <v>94</v>
      </c>
      <c r="I584" s="52">
        <v>265.10000000000002</v>
      </c>
      <c r="J584" s="49">
        <v>9162.0800000000017</v>
      </c>
      <c r="K584" s="58">
        <v>264.10000000000002</v>
      </c>
      <c r="L584" s="58">
        <v>9269.6095051918201</v>
      </c>
      <c r="M584" s="58">
        <v>4.5999999999999996</v>
      </c>
      <c r="N584" s="58">
        <v>154.95976188000003</v>
      </c>
      <c r="O584" s="65">
        <v>268.70000000000005</v>
      </c>
      <c r="P584" s="65">
        <v>9424.5692670718199</v>
      </c>
      <c r="Q584" s="50">
        <v>9162.0800000000017</v>
      </c>
      <c r="R584" s="65">
        <v>0</v>
      </c>
      <c r="S584" s="65">
        <v>154.95976188000003</v>
      </c>
      <c r="T584" s="65">
        <v>262.48926707181818</v>
      </c>
      <c r="U584" s="65">
        <v>0</v>
      </c>
      <c r="V584" s="65">
        <v>0</v>
      </c>
      <c r="W584" s="65">
        <v>0</v>
      </c>
      <c r="X584" s="65">
        <v>9007</v>
      </c>
      <c r="Y584" s="65">
        <v>0</v>
      </c>
      <c r="Z584" s="65">
        <v>0</v>
      </c>
      <c r="AA584" s="51">
        <v>0</v>
      </c>
      <c r="AB584" s="102">
        <v>0</v>
      </c>
      <c r="AC584" s="81">
        <f t="shared" si="30"/>
        <v>300.61022949830249</v>
      </c>
      <c r="AD584" s="82">
        <f t="shared" si="31"/>
        <v>37.871428571428574</v>
      </c>
      <c r="AE584" s="218">
        <v>-2.8649527953457963E-2</v>
      </c>
      <c r="AF584">
        <v>10</v>
      </c>
      <c r="AH584" t="str">
        <f t="shared" si="29"/>
        <v>Dumraon</v>
      </c>
      <c r="AJ584" s="72">
        <v>0</v>
      </c>
      <c r="AK584" s="72"/>
      <c r="AL584" s="72"/>
      <c r="AM584" s="72"/>
    </row>
    <row r="585" spans="1:39" x14ac:dyDescent="0.25">
      <c r="A585" s="37" t="s">
        <v>62</v>
      </c>
      <c r="B585" s="66" t="s">
        <v>1566</v>
      </c>
      <c r="C585" s="41">
        <v>1014</v>
      </c>
      <c r="D585" s="41" t="s">
        <v>376</v>
      </c>
      <c r="E585" s="41">
        <v>10140135</v>
      </c>
      <c r="F585" s="85" t="s">
        <v>474</v>
      </c>
      <c r="G585" s="39" t="s">
        <v>93</v>
      </c>
      <c r="H585" s="52" t="s">
        <v>94</v>
      </c>
      <c r="I585" s="52">
        <v>275.10000000000002</v>
      </c>
      <c r="J585" s="49">
        <v>10056.810000000001</v>
      </c>
      <c r="K585" s="58">
        <v>282.5</v>
      </c>
      <c r="L585" s="58">
        <v>10403.055290639111</v>
      </c>
      <c r="M585" s="58">
        <v>0</v>
      </c>
      <c r="N585" s="58">
        <v>0</v>
      </c>
      <c r="O585" s="65">
        <v>282.5</v>
      </c>
      <c r="P585" s="65">
        <v>10403.055290639111</v>
      </c>
      <c r="Q585" s="50">
        <v>10056.810000000001</v>
      </c>
      <c r="R585" s="65">
        <v>0</v>
      </c>
      <c r="S585" s="65">
        <v>0</v>
      </c>
      <c r="T585" s="65">
        <v>346.24529063910995</v>
      </c>
      <c r="U585" s="65">
        <v>0</v>
      </c>
      <c r="V585" s="65">
        <v>0</v>
      </c>
      <c r="W585" s="65">
        <v>0</v>
      </c>
      <c r="X585" s="65">
        <v>10057</v>
      </c>
      <c r="Y585" s="65">
        <v>0</v>
      </c>
      <c r="Z585" s="65">
        <v>0</v>
      </c>
      <c r="AA585" s="51">
        <v>0</v>
      </c>
      <c r="AB585" s="102">
        <v>0</v>
      </c>
      <c r="AC585" s="81">
        <f t="shared" si="30"/>
        <v>310.66074656488547</v>
      </c>
      <c r="AD585" s="82">
        <f t="shared" si="31"/>
        <v>39.300000000000004</v>
      </c>
      <c r="AE585" s="218">
        <v>-3.442893826562398E-2</v>
      </c>
      <c r="AF585">
        <v>2</v>
      </c>
      <c r="AH585" t="str">
        <f t="shared" si="29"/>
        <v>Dumraon</v>
      </c>
      <c r="AJ585" s="72">
        <v>0</v>
      </c>
      <c r="AK585" s="72"/>
      <c r="AL585" s="72"/>
      <c r="AM585" s="72"/>
    </row>
    <row r="586" spans="1:39" x14ac:dyDescent="0.25">
      <c r="A586" s="37" t="s">
        <v>62</v>
      </c>
      <c r="B586" s="66" t="s">
        <v>1566</v>
      </c>
      <c r="C586" s="41">
        <v>1014</v>
      </c>
      <c r="D586" s="41" t="s">
        <v>376</v>
      </c>
      <c r="E586" s="41">
        <v>10140137</v>
      </c>
      <c r="F586" s="85" t="s">
        <v>477</v>
      </c>
      <c r="G586" s="39" t="s">
        <v>93</v>
      </c>
      <c r="H586" s="52" t="s">
        <v>94</v>
      </c>
      <c r="I586" s="52">
        <v>523.40000000000009</v>
      </c>
      <c r="J586" s="49">
        <v>20937.21</v>
      </c>
      <c r="K586" s="58">
        <v>603</v>
      </c>
      <c r="L586" s="58">
        <v>24233.054405528499</v>
      </c>
      <c r="M586" s="58">
        <v>0</v>
      </c>
      <c r="N586" s="58">
        <v>0</v>
      </c>
      <c r="O586" s="65">
        <v>603</v>
      </c>
      <c r="P586" s="65">
        <v>24233.054405528499</v>
      </c>
      <c r="Q586" s="50">
        <v>20937.21</v>
      </c>
      <c r="R586" s="65">
        <v>0</v>
      </c>
      <c r="S586" s="65">
        <v>0</v>
      </c>
      <c r="T586" s="65">
        <v>3295.8444055284999</v>
      </c>
      <c r="U586" s="65">
        <v>0</v>
      </c>
      <c r="V586" s="65">
        <v>0</v>
      </c>
      <c r="W586" s="65">
        <v>0</v>
      </c>
      <c r="X586" s="65">
        <v>20937</v>
      </c>
      <c r="Y586" s="65">
        <v>0</v>
      </c>
      <c r="Z586" s="65">
        <v>0</v>
      </c>
      <c r="AA586" s="51">
        <v>0</v>
      </c>
      <c r="AB586" s="102">
        <v>0</v>
      </c>
      <c r="AC586" s="81">
        <f t="shared" si="30"/>
        <v>141.28816530378285</v>
      </c>
      <c r="AD586" s="82">
        <f t="shared" si="31"/>
        <v>74.771428571428586</v>
      </c>
      <c r="AE586" s="218">
        <v>-0.15741564446879502</v>
      </c>
      <c r="AF586">
        <v>4</v>
      </c>
      <c r="AH586" t="str">
        <f t="shared" si="29"/>
        <v>Dumraon</v>
      </c>
      <c r="AJ586" s="72">
        <v>0</v>
      </c>
      <c r="AK586" s="72"/>
      <c r="AL586" s="72"/>
      <c r="AM586" s="72"/>
    </row>
    <row r="587" spans="1:39" x14ac:dyDescent="0.25">
      <c r="A587" s="37" t="s">
        <v>62</v>
      </c>
      <c r="B587" s="66" t="s">
        <v>1566</v>
      </c>
      <c r="C587" s="41">
        <v>1014</v>
      </c>
      <c r="D587" s="41" t="s">
        <v>376</v>
      </c>
      <c r="E587" s="41">
        <v>10140139</v>
      </c>
      <c r="F587" s="85" t="s">
        <v>494</v>
      </c>
      <c r="G587" s="39" t="s">
        <v>93</v>
      </c>
      <c r="H587" s="52" t="s">
        <v>94</v>
      </c>
      <c r="I587" s="52">
        <v>106.2</v>
      </c>
      <c r="J587" s="49">
        <v>3277.08</v>
      </c>
      <c r="K587" s="58">
        <v>79.7</v>
      </c>
      <c r="L587" s="58">
        <v>3176.7740334000005</v>
      </c>
      <c r="M587" s="58">
        <v>2.4</v>
      </c>
      <c r="N587" s="58">
        <v>99.477892800000006</v>
      </c>
      <c r="O587" s="65">
        <v>82.100000000000009</v>
      </c>
      <c r="P587" s="65">
        <v>3276.2519262000005</v>
      </c>
      <c r="Q587" s="50">
        <v>3276.2519262000005</v>
      </c>
      <c r="R587" s="65">
        <v>0</v>
      </c>
      <c r="S587" s="65">
        <v>99.477892800000006</v>
      </c>
      <c r="T587" s="65">
        <v>0</v>
      </c>
      <c r="U587" s="65">
        <v>0</v>
      </c>
      <c r="V587" s="65">
        <v>0</v>
      </c>
      <c r="W587" s="65">
        <v>0</v>
      </c>
      <c r="X587" s="65">
        <v>3177</v>
      </c>
      <c r="Y587" s="65">
        <v>0</v>
      </c>
      <c r="Z587" s="65">
        <v>0</v>
      </c>
      <c r="AA587" s="51">
        <v>1</v>
      </c>
      <c r="AB587" s="102">
        <v>0</v>
      </c>
      <c r="AC587" s="81">
        <f t="shared" si="30"/>
        <v>366.46517966101698</v>
      </c>
      <c r="AD587" s="82">
        <f t="shared" si="31"/>
        <v>15.171428571428573</v>
      </c>
      <c r="AE587" s="218">
        <v>2.5268647698542659E-4</v>
      </c>
      <c r="AF587">
        <v>2</v>
      </c>
      <c r="AH587" t="str">
        <f t="shared" si="29"/>
        <v>Dumraon</v>
      </c>
      <c r="AJ587" s="72">
        <v>0</v>
      </c>
      <c r="AK587" s="72"/>
      <c r="AL587" s="72"/>
      <c r="AM587" s="72"/>
    </row>
    <row r="588" spans="1:39" x14ac:dyDescent="0.25">
      <c r="A588" s="37" t="s">
        <v>62</v>
      </c>
      <c r="B588" s="66" t="s">
        <v>1566</v>
      </c>
      <c r="C588" s="41">
        <v>1014</v>
      </c>
      <c r="D588" s="41" t="s">
        <v>376</v>
      </c>
      <c r="E588" s="41">
        <v>10140141</v>
      </c>
      <c r="F588" s="85" t="s">
        <v>669</v>
      </c>
      <c r="G588" s="39" t="s">
        <v>635</v>
      </c>
      <c r="H588" s="52" t="s">
        <v>99</v>
      </c>
      <c r="I588" s="52">
        <v>417</v>
      </c>
      <c r="J588" s="49">
        <v>17264.03</v>
      </c>
      <c r="K588" s="58">
        <v>0</v>
      </c>
      <c r="L588" s="58">
        <v>0</v>
      </c>
      <c r="M588" s="58">
        <v>0</v>
      </c>
      <c r="N588" s="58">
        <v>0</v>
      </c>
      <c r="O588" s="65">
        <v>0</v>
      </c>
      <c r="P588" s="65">
        <v>0</v>
      </c>
      <c r="Q588" s="50">
        <v>17264.03</v>
      </c>
      <c r="R588" s="65">
        <v>0</v>
      </c>
      <c r="S588" s="65">
        <v>0</v>
      </c>
      <c r="T588" s="65">
        <v>0</v>
      </c>
      <c r="U588" s="65">
        <v>0</v>
      </c>
      <c r="V588" s="65">
        <v>0</v>
      </c>
      <c r="W588" s="65">
        <v>0</v>
      </c>
      <c r="X588" s="65">
        <v>0</v>
      </c>
      <c r="Y588" s="65">
        <v>0</v>
      </c>
      <c r="Z588" s="65">
        <v>17264.03</v>
      </c>
      <c r="AA588" s="51">
        <v>0</v>
      </c>
      <c r="AB588" s="102">
        <v>0</v>
      </c>
      <c r="AC588" s="81">
        <f t="shared" si="30"/>
        <v>234.32712182254195</v>
      </c>
      <c r="AD588" s="82">
        <f t="shared" si="31"/>
        <v>59.571428571428569</v>
      </c>
      <c r="AE588" s="218">
        <v>0</v>
      </c>
      <c r="AF588">
        <v>0</v>
      </c>
      <c r="AH588" t="str">
        <f t="shared" si="29"/>
        <v>Dumraon</v>
      </c>
      <c r="AJ588" s="72">
        <v>0</v>
      </c>
      <c r="AK588" s="72"/>
      <c r="AL588" s="72"/>
      <c r="AM588" s="72"/>
    </row>
    <row r="589" spans="1:39" x14ac:dyDescent="0.25">
      <c r="A589" s="37" t="s">
        <v>62</v>
      </c>
      <c r="B589" s="66" t="s">
        <v>1566</v>
      </c>
      <c r="C589" s="41">
        <v>1014</v>
      </c>
      <c r="D589" s="41" t="s">
        <v>376</v>
      </c>
      <c r="E589" s="41">
        <v>10140147</v>
      </c>
      <c r="F589" s="85" t="s">
        <v>1328</v>
      </c>
      <c r="G589" s="39" t="s">
        <v>635</v>
      </c>
      <c r="H589" s="52" t="s">
        <v>99</v>
      </c>
      <c r="I589" s="52">
        <v>171.89999999999998</v>
      </c>
      <c r="J589" s="49">
        <v>5977.4700000000012</v>
      </c>
      <c r="K589" s="58">
        <v>0</v>
      </c>
      <c r="L589" s="58">
        <v>0</v>
      </c>
      <c r="M589" s="58">
        <v>0</v>
      </c>
      <c r="N589" s="58">
        <v>0</v>
      </c>
      <c r="O589" s="65">
        <v>0</v>
      </c>
      <c r="P589" s="65">
        <v>0</v>
      </c>
      <c r="Q589" s="50">
        <v>5977.4700000000012</v>
      </c>
      <c r="R589" s="65">
        <v>0</v>
      </c>
      <c r="S589" s="65">
        <v>0</v>
      </c>
      <c r="T589" s="65">
        <v>0</v>
      </c>
      <c r="U589" s="65">
        <v>0</v>
      </c>
      <c r="V589" s="65">
        <v>0</v>
      </c>
      <c r="W589" s="65">
        <v>0</v>
      </c>
      <c r="X589" s="65">
        <v>0</v>
      </c>
      <c r="Y589" s="65">
        <v>0</v>
      </c>
      <c r="Z589" s="65">
        <v>5977.4700000000012</v>
      </c>
      <c r="AA589" s="51">
        <v>0</v>
      </c>
      <c r="AB589" s="102">
        <v>0</v>
      </c>
      <c r="AC589" s="81">
        <f t="shared" si="30"/>
        <v>367.27189144851667</v>
      </c>
      <c r="AD589" s="82">
        <f t="shared" si="31"/>
        <v>24.557142857142853</v>
      </c>
      <c r="AE589" s="218">
        <v>0</v>
      </c>
      <c r="AF589">
        <v>0</v>
      </c>
      <c r="AH589" t="str">
        <f t="shared" si="29"/>
        <v>Dumraon</v>
      </c>
      <c r="AJ589" s="72">
        <v>0</v>
      </c>
      <c r="AK589" s="72"/>
      <c r="AL589" s="72"/>
      <c r="AM589" s="72"/>
    </row>
    <row r="590" spans="1:39" x14ac:dyDescent="0.25">
      <c r="A590" s="37" t="s">
        <v>62</v>
      </c>
      <c r="B590" s="66" t="s">
        <v>1566</v>
      </c>
      <c r="C590" s="41">
        <v>1014</v>
      </c>
      <c r="D590" s="41" t="s">
        <v>376</v>
      </c>
      <c r="E590" s="41">
        <v>10140152</v>
      </c>
      <c r="F590" s="85" t="s">
        <v>513</v>
      </c>
      <c r="G590" s="39" t="s">
        <v>93</v>
      </c>
      <c r="H590" s="52" t="s">
        <v>94</v>
      </c>
      <c r="I590" s="52">
        <v>48.1</v>
      </c>
      <c r="J590" s="49">
        <v>1803.33</v>
      </c>
      <c r="K590" s="58">
        <v>48.800000000000004</v>
      </c>
      <c r="L590" s="58">
        <v>1793.8305807840002</v>
      </c>
      <c r="M590" s="58">
        <v>0</v>
      </c>
      <c r="N590" s="58">
        <v>0</v>
      </c>
      <c r="O590" s="65">
        <v>48.800000000000004</v>
      </c>
      <c r="P590" s="65">
        <v>1793.8305807840002</v>
      </c>
      <c r="Q590" s="50">
        <v>1793.8305807840002</v>
      </c>
      <c r="R590" s="65">
        <v>0</v>
      </c>
      <c r="S590" s="65">
        <v>0</v>
      </c>
      <c r="T590" s="65">
        <v>0</v>
      </c>
      <c r="U590" s="65">
        <v>0</v>
      </c>
      <c r="V590" s="65">
        <v>0</v>
      </c>
      <c r="W590" s="65">
        <v>0</v>
      </c>
      <c r="X590" s="65">
        <v>1794</v>
      </c>
      <c r="Y590" s="65">
        <v>0</v>
      </c>
      <c r="Z590" s="65">
        <v>0</v>
      </c>
      <c r="AA590" s="51">
        <v>9</v>
      </c>
      <c r="AB590" s="102">
        <v>0</v>
      </c>
      <c r="AC590" s="81">
        <f t="shared" si="30"/>
        <v>488.81115467775476</v>
      </c>
      <c r="AD590" s="82">
        <f t="shared" si="31"/>
        <v>6.8714285714285719</v>
      </c>
      <c r="AE590" s="218">
        <v>5.2677098567648472E-3</v>
      </c>
      <c r="AF590">
        <v>1</v>
      </c>
      <c r="AH590" t="str">
        <f t="shared" si="29"/>
        <v>Dumraon</v>
      </c>
      <c r="AJ590" s="72">
        <v>0</v>
      </c>
      <c r="AK590" s="72"/>
      <c r="AL590" s="72"/>
      <c r="AM590" s="72"/>
    </row>
    <row r="591" spans="1:39" x14ac:dyDescent="0.25">
      <c r="A591" s="37" t="s">
        <v>62</v>
      </c>
      <c r="B591" s="66" t="s">
        <v>1566</v>
      </c>
      <c r="C591" s="41">
        <v>1014</v>
      </c>
      <c r="D591" s="41" t="s">
        <v>376</v>
      </c>
      <c r="E591" s="41">
        <v>10140153</v>
      </c>
      <c r="F591" s="85" t="s">
        <v>523</v>
      </c>
      <c r="G591" s="39" t="s">
        <v>93</v>
      </c>
      <c r="H591" s="52" t="s">
        <v>94</v>
      </c>
      <c r="I591" s="52">
        <v>128.1</v>
      </c>
      <c r="J591" s="49">
        <v>4395.9400000000005</v>
      </c>
      <c r="K591" s="58">
        <v>134.35</v>
      </c>
      <c r="L591" s="58">
        <v>5399.7200700887406</v>
      </c>
      <c r="M591" s="58">
        <v>0</v>
      </c>
      <c r="N591" s="58">
        <v>0</v>
      </c>
      <c r="O591" s="65">
        <v>134.35</v>
      </c>
      <c r="P591" s="65">
        <v>5399.7200700887406</v>
      </c>
      <c r="Q591" s="50">
        <v>4395.9400000000005</v>
      </c>
      <c r="R591" s="65">
        <v>0</v>
      </c>
      <c r="S591" s="65">
        <v>0</v>
      </c>
      <c r="T591" s="65">
        <v>1003.7800700887401</v>
      </c>
      <c r="U591" s="65">
        <v>0</v>
      </c>
      <c r="V591" s="65">
        <v>0</v>
      </c>
      <c r="W591" s="65">
        <v>0</v>
      </c>
      <c r="X591" s="65">
        <v>4396</v>
      </c>
      <c r="Y591" s="65">
        <v>0</v>
      </c>
      <c r="Z591" s="65">
        <v>0</v>
      </c>
      <c r="AA591" s="51">
        <v>0</v>
      </c>
      <c r="AB591" s="102">
        <v>0</v>
      </c>
      <c r="AC591" s="81">
        <f t="shared" si="30"/>
        <v>392.51180109289623</v>
      </c>
      <c r="AD591" s="82">
        <f t="shared" si="31"/>
        <v>18.3</v>
      </c>
      <c r="AE591" s="218">
        <v>-0.22834253199287069</v>
      </c>
      <c r="AF591">
        <v>1</v>
      </c>
      <c r="AH591" t="str">
        <f t="shared" si="29"/>
        <v>Dumraon</v>
      </c>
      <c r="AJ591" s="72">
        <v>0</v>
      </c>
      <c r="AK591" s="72"/>
      <c r="AL591" s="72"/>
      <c r="AM591" s="72"/>
    </row>
    <row r="592" spans="1:39" x14ac:dyDescent="0.25">
      <c r="A592" s="37" t="s">
        <v>62</v>
      </c>
      <c r="B592" s="66" t="s">
        <v>1566</v>
      </c>
      <c r="C592" s="41">
        <v>1014</v>
      </c>
      <c r="D592" s="41" t="s">
        <v>376</v>
      </c>
      <c r="E592" s="41">
        <v>10140156</v>
      </c>
      <c r="F592" s="85" t="s">
        <v>527</v>
      </c>
      <c r="G592" s="39" t="s">
        <v>93</v>
      </c>
      <c r="H592" s="52" t="s">
        <v>94</v>
      </c>
      <c r="I592" s="52">
        <v>343.4</v>
      </c>
      <c r="J592" s="49">
        <v>15270.82</v>
      </c>
      <c r="K592" s="58">
        <v>334.09000000000003</v>
      </c>
      <c r="L592" s="58">
        <v>14926.693989448315</v>
      </c>
      <c r="M592" s="58">
        <v>8.01</v>
      </c>
      <c r="N592" s="58">
        <v>336.66441727300003</v>
      </c>
      <c r="O592" s="65">
        <v>342.1</v>
      </c>
      <c r="P592" s="65">
        <v>15263.358406721314</v>
      </c>
      <c r="Q592" s="50">
        <v>15263.358406721314</v>
      </c>
      <c r="R592" s="65">
        <v>0</v>
      </c>
      <c r="S592" s="65">
        <v>336.66441727300003</v>
      </c>
      <c r="T592" s="65">
        <v>0</v>
      </c>
      <c r="U592" s="65">
        <v>0</v>
      </c>
      <c r="V592" s="65">
        <v>0</v>
      </c>
      <c r="W592" s="65">
        <v>0</v>
      </c>
      <c r="X592" s="65">
        <v>14927</v>
      </c>
      <c r="Y592" s="65">
        <v>0</v>
      </c>
      <c r="Z592" s="65">
        <v>0</v>
      </c>
      <c r="AA592" s="51">
        <v>7</v>
      </c>
      <c r="AB592" s="102">
        <v>0</v>
      </c>
      <c r="AC592" s="81">
        <f t="shared" si="30"/>
        <v>317.1563431566687</v>
      </c>
      <c r="AD592" s="82">
        <f t="shared" si="31"/>
        <v>49.057142857142857</v>
      </c>
      <c r="AE592" s="218">
        <v>4.8861772181752784E-4</v>
      </c>
      <c r="AF592">
        <v>3</v>
      </c>
      <c r="AH592" t="str">
        <f t="shared" si="29"/>
        <v>Dumraon</v>
      </c>
      <c r="AJ592" s="72">
        <v>0</v>
      </c>
      <c r="AK592" s="72"/>
      <c r="AL592" s="72"/>
      <c r="AM592" s="72"/>
    </row>
    <row r="593" spans="1:39" x14ac:dyDescent="0.25">
      <c r="A593" s="37" t="s">
        <v>62</v>
      </c>
      <c r="B593" s="66" t="s">
        <v>1566</v>
      </c>
      <c r="C593" s="41">
        <v>1014</v>
      </c>
      <c r="D593" s="41" t="s">
        <v>376</v>
      </c>
      <c r="E593" s="41">
        <v>10140157</v>
      </c>
      <c r="F593" s="85" t="s">
        <v>1289</v>
      </c>
      <c r="G593" s="39" t="s">
        <v>635</v>
      </c>
      <c r="H593" s="52" t="s">
        <v>99</v>
      </c>
      <c r="I593" s="52">
        <v>28</v>
      </c>
      <c r="J593" s="49">
        <v>1030.3700000000001</v>
      </c>
      <c r="K593" s="58">
        <v>0</v>
      </c>
      <c r="L593" s="58">
        <v>0</v>
      </c>
      <c r="M593" s="58">
        <v>0</v>
      </c>
      <c r="N593" s="58">
        <v>0</v>
      </c>
      <c r="O593" s="65">
        <v>0</v>
      </c>
      <c r="P593" s="65">
        <v>0</v>
      </c>
      <c r="Q593" s="50">
        <v>1030.3700000000001</v>
      </c>
      <c r="R593" s="65">
        <v>0</v>
      </c>
      <c r="S593" s="65">
        <v>0</v>
      </c>
      <c r="T593" s="65">
        <v>0</v>
      </c>
      <c r="U593" s="65">
        <v>0</v>
      </c>
      <c r="V593" s="65">
        <v>0</v>
      </c>
      <c r="W593" s="65">
        <v>0</v>
      </c>
      <c r="X593" s="65">
        <v>0</v>
      </c>
      <c r="Y593" s="65">
        <v>0</v>
      </c>
      <c r="Z593" s="65">
        <v>1030.3700000000001</v>
      </c>
      <c r="AA593" s="51">
        <v>0</v>
      </c>
      <c r="AB593" s="102">
        <v>0</v>
      </c>
      <c r="AC593" s="81">
        <f t="shared" si="30"/>
        <v>494.57760000000013</v>
      </c>
      <c r="AD593" s="82">
        <f t="shared" si="31"/>
        <v>4</v>
      </c>
      <c r="AE593" s="218">
        <v>0</v>
      </c>
      <c r="AF593">
        <v>0</v>
      </c>
      <c r="AH593" t="str">
        <f t="shared" si="29"/>
        <v>Dumraon</v>
      </c>
      <c r="AJ593" s="72">
        <v>0</v>
      </c>
      <c r="AK593" s="72"/>
      <c r="AL593" s="72"/>
      <c r="AM593" s="72"/>
    </row>
    <row r="594" spans="1:39" x14ac:dyDescent="0.25">
      <c r="A594" s="37" t="s">
        <v>62</v>
      </c>
      <c r="B594" s="66" t="s">
        <v>1566</v>
      </c>
      <c r="C594" s="41">
        <v>1014</v>
      </c>
      <c r="D594" s="41" t="s">
        <v>376</v>
      </c>
      <c r="E594" s="41">
        <v>10140166</v>
      </c>
      <c r="F594" s="85" t="s">
        <v>600</v>
      </c>
      <c r="G594" s="39" t="s">
        <v>93</v>
      </c>
      <c r="H594" s="52" t="s">
        <v>94</v>
      </c>
      <c r="I594" s="52">
        <v>343.29999999999995</v>
      </c>
      <c r="J594" s="49">
        <v>13936.050000000001</v>
      </c>
      <c r="K594" s="58">
        <v>346</v>
      </c>
      <c r="L594" s="58">
        <v>13930.348212000001</v>
      </c>
      <c r="M594" s="58">
        <v>0</v>
      </c>
      <c r="N594" s="58">
        <v>0</v>
      </c>
      <c r="O594" s="65">
        <v>346</v>
      </c>
      <c r="P594" s="65">
        <v>13930.348212000001</v>
      </c>
      <c r="Q594" s="50">
        <v>13930.348212000001</v>
      </c>
      <c r="R594" s="65">
        <v>0</v>
      </c>
      <c r="S594" s="65">
        <v>0</v>
      </c>
      <c r="T594" s="65">
        <v>0</v>
      </c>
      <c r="U594" s="65">
        <v>0</v>
      </c>
      <c r="V594" s="65">
        <v>0</v>
      </c>
      <c r="W594" s="65">
        <v>0</v>
      </c>
      <c r="X594" s="65">
        <v>13930</v>
      </c>
      <c r="Y594" s="65">
        <v>0</v>
      </c>
      <c r="Z594" s="65">
        <v>0</v>
      </c>
      <c r="AA594" s="51">
        <v>6</v>
      </c>
      <c r="AB594" s="102">
        <v>0</v>
      </c>
      <c r="AC594" s="81">
        <f t="shared" si="30"/>
        <v>289.60029332944953</v>
      </c>
      <c r="AD594" s="82">
        <f t="shared" si="31"/>
        <v>49.042857142857137</v>
      </c>
      <c r="AE594" s="218">
        <v>4.091394620427098E-4</v>
      </c>
      <c r="AF594">
        <v>1</v>
      </c>
      <c r="AH594" t="str">
        <f t="shared" si="29"/>
        <v>Dumraon</v>
      </c>
      <c r="AJ594" s="72">
        <v>0</v>
      </c>
      <c r="AK594" s="72"/>
      <c r="AL594" s="72"/>
      <c r="AM594" s="72"/>
    </row>
    <row r="595" spans="1:39" x14ac:dyDescent="0.25">
      <c r="A595" s="37" t="s">
        <v>62</v>
      </c>
      <c r="B595" s="66" t="s">
        <v>1566</v>
      </c>
      <c r="C595" s="41">
        <v>1014</v>
      </c>
      <c r="D595" s="41" t="s">
        <v>376</v>
      </c>
      <c r="E595" s="41">
        <v>10140167</v>
      </c>
      <c r="F595" s="85" t="s">
        <v>1177</v>
      </c>
      <c r="G595" s="39" t="s">
        <v>635</v>
      </c>
      <c r="H595" s="52" t="s">
        <v>99</v>
      </c>
      <c r="I595" s="52">
        <v>310.3</v>
      </c>
      <c r="J595" s="49">
        <v>12569.16</v>
      </c>
      <c r="K595" s="58">
        <v>0</v>
      </c>
      <c r="L595" s="58">
        <v>0</v>
      </c>
      <c r="M595" s="58">
        <v>0</v>
      </c>
      <c r="N595" s="58">
        <v>0</v>
      </c>
      <c r="O595" s="65">
        <v>0</v>
      </c>
      <c r="P595" s="65">
        <v>0</v>
      </c>
      <c r="Q595" s="50">
        <v>12569.16</v>
      </c>
      <c r="R595" s="65">
        <v>0</v>
      </c>
      <c r="S595" s="65">
        <v>0</v>
      </c>
      <c r="T595" s="65">
        <v>0</v>
      </c>
      <c r="U595" s="65">
        <v>0</v>
      </c>
      <c r="V595" s="65">
        <v>0</v>
      </c>
      <c r="W595" s="65">
        <v>0</v>
      </c>
      <c r="X595" s="65">
        <v>0</v>
      </c>
      <c r="Y595" s="65">
        <v>0</v>
      </c>
      <c r="Z595" s="65">
        <v>12569.16</v>
      </c>
      <c r="AA595" s="51">
        <v>0</v>
      </c>
      <c r="AB595" s="102">
        <v>0</v>
      </c>
      <c r="AC595" s="81">
        <f t="shared" si="30"/>
        <v>315.70748643248464</v>
      </c>
      <c r="AD595" s="82">
        <f t="shared" si="31"/>
        <v>44.328571428571429</v>
      </c>
      <c r="AE595" s="218">
        <v>0</v>
      </c>
      <c r="AF595">
        <v>0</v>
      </c>
      <c r="AH595" t="str">
        <f t="shared" si="29"/>
        <v>Dumraon</v>
      </c>
      <c r="AJ595" s="72">
        <v>0</v>
      </c>
      <c r="AK595" s="72"/>
      <c r="AL595" s="72"/>
      <c r="AM595" s="72"/>
    </row>
    <row r="596" spans="1:39" x14ac:dyDescent="0.25">
      <c r="A596" s="37" t="s">
        <v>62</v>
      </c>
      <c r="B596" s="66" t="s">
        <v>1566</v>
      </c>
      <c r="C596" s="41">
        <v>1014</v>
      </c>
      <c r="D596" s="41" t="s">
        <v>376</v>
      </c>
      <c r="E596" s="41">
        <v>10140170</v>
      </c>
      <c r="F596" s="85" t="s">
        <v>638</v>
      </c>
      <c r="G596" s="39" t="s">
        <v>93</v>
      </c>
      <c r="H596" s="52" t="s">
        <v>94</v>
      </c>
      <c r="I596" s="52">
        <v>633.79999999999995</v>
      </c>
      <c r="J596" s="49">
        <v>25574.55</v>
      </c>
      <c r="K596" s="58">
        <v>694.2600000000001</v>
      </c>
      <c r="L596" s="58">
        <v>29604.077576427539</v>
      </c>
      <c r="M596" s="58">
        <v>0</v>
      </c>
      <c r="N596" s="58">
        <v>0</v>
      </c>
      <c r="O596" s="65">
        <v>694.2600000000001</v>
      </c>
      <c r="P596" s="65">
        <v>29604.077576427539</v>
      </c>
      <c r="Q596" s="50">
        <v>25574.55</v>
      </c>
      <c r="R596" s="65">
        <v>0</v>
      </c>
      <c r="S596" s="65">
        <v>0</v>
      </c>
      <c r="T596" s="65">
        <v>4029.5275764275393</v>
      </c>
      <c r="U596" s="65">
        <v>0</v>
      </c>
      <c r="V596" s="65">
        <v>0</v>
      </c>
      <c r="W596" s="65">
        <v>0</v>
      </c>
      <c r="X596" s="65">
        <v>25575</v>
      </c>
      <c r="Y596" s="65">
        <v>0</v>
      </c>
      <c r="Z596" s="65">
        <v>0</v>
      </c>
      <c r="AA596" s="51">
        <v>0</v>
      </c>
      <c r="AB596" s="102">
        <v>0</v>
      </c>
      <c r="AC596" s="81">
        <f t="shared" si="30"/>
        <v>53.424904070684832</v>
      </c>
      <c r="AD596" s="82">
        <f t="shared" si="31"/>
        <v>90.54285714285713</v>
      </c>
      <c r="AE596" s="218">
        <v>-0.15756005780854559</v>
      </c>
      <c r="AF596">
        <v>2</v>
      </c>
      <c r="AH596" t="str">
        <f t="shared" si="29"/>
        <v>Dumraon</v>
      </c>
      <c r="AJ596" s="72">
        <v>0</v>
      </c>
      <c r="AK596" s="72"/>
      <c r="AL596" s="72"/>
      <c r="AM596" s="72"/>
    </row>
    <row r="597" spans="1:39" x14ac:dyDescent="0.25">
      <c r="A597" s="37" t="s">
        <v>62</v>
      </c>
      <c r="B597" s="66" t="s">
        <v>1566</v>
      </c>
      <c r="C597" s="41">
        <v>1014</v>
      </c>
      <c r="D597" s="41" t="s">
        <v>376</v>
      </c>
      <c r="E597" s="41">
        <v>10140173</v>
      </c>
      <c r="F597" s="85" t="s">
        <v>652</v>
      </c>
      <c r="G597" s="39" t="s">
        <v>93</v>
      </c>
      <c r="H597" s="52" t="s">
        <v>94</v>
      </c>
      <c r="I597" s="52">
        <v>838.5999999999998</v>
      </c>
      <c r="J597" s="49">
        <v>30589.39</v>
      </c>
      <c r="K597" s="58">
        <v>855.39</v>
      </c>
      <c r="L597" s="58">
        <v>35735.072657644807</v>
      </c>
      <c r="M597" s="58">
        <v>0.22</v>
      </c>
      <c r="N597" s="58">
        <v>7.8410265120000009</v>
      </c>
      <c r="O597" s="65">
        <v>855.61</v>
      </c>
      <c r="P597" s="65">
        <v>35742.913684156803</v>
      </c>
      <c r="Q597" s="50">
        <v>30589.39</v>
      </c>
      <c r="R597" s="65">
        <v>0</v>
      </c>
      <c r="S597" s="65">
        <v>7.8410265120000009</v>
      </c>
      <c r="T597" s="65">
        <v>5153.5236841568039</v>
      </c>
      <c r="U597" s="65">
        <v>0</v>
      </c>
      <c r="V597" s="65">
        <v>0</v>
      </c>
      <c r="W597" s="65">
        <v>0</v>
      </c>
      <c r="X597" s="65">
        <v>30582</v>
      </c>
      <c r="Y597" s="65">
        <v>0</v>
      </c>
      <c r="Z597" s="65">
        <v>0</v>
      </c>
      <c r="AA597" s="51">
        <v>0</v>
      </c>
      <c r="AB597" s="102">
        <v>0</v>
      </c>
      <c r="AC597" s="81">
        <f t="shared" si="30"/>
        <v>0</v>
      </c>
      <c r="AD597" s="82">
        <f t="shared" si="31"/>
        <v>0</v>
      </c>
      <c r="AE597" s="218">
        <v>-0.16847422208016583</v>
      </c>
      <c r="AF597">
        <v>3</v>
      </c>
      <c r="AH597" t="str">
        <f t="shared" si="29"/>
        <v>Dumraon</v>
      </c>
      <c r="AJ597" s="72">
        <v>0</v>
      </c>
      <c r="AK597" s="72"/>
      <c r="AL597" s="72"/>
      <c r="AM597" s="72"/>
    </row>
    <row r="598" spans="1:39" x14ac:dyDescent="0.25">
      <c r="A598" s="37" t="s">
        <v>62</v>
      </c>
      <c r="B598" s="66" t="s">
        <v>1566</v>
      </c>
      <c r="C598" s="41">
        <v>1014</v>
      </c>
      <c r="D598" s="41" t="s">
        <v>376</v>
      </c>
      <c r="E598" s="41">
        <v>10140174</v>
      </c>
      <c r="F598" s="85" t="s">
        <v>653</v>
      </c>
      <c r="G598" s="39" t="s">
        <v>93</v>
      </c>
      <c r="H598" s="52" t="s">
        <v>94</v>
      </c>
      <c r="I598" s="52">
        <v>48.1</v>
      </c>
      <c r="J598" s="49">
        <v>1909.5299999999997</v>
      </c>
      <c r="K598" s="58">
        <v>50</v>
      </c>
      <c r="L598" s="58">
        <v>1900.8534600000005</v>
      </c>
      <c r="M598" s="58">
        <v>0</v>
      </c>
      <c r="N598" s="58">
        <v>0</v>
      </c>
      <c r="O598" s="65">
        <v>50</v>
      </c>
      <c r="P598" s="65">
        <v>1900.8534600000005</v>
      </c>
      <c r="Q598" s="50">
        <v>1900.8534600000005</v>
      </c>
      <c r="R598" s="65">
        <v>0</v>
      </c>
      <c r="S598" s="65">
        <v>0</v>
      </c>
      <c r="T598" s="65">
        <v>0</v>
      </c>
      <c r="U598" s="65">
        <v>0</v>
      </c>
      <c r="V598" s="65">
        <v>0</v>
      </c>
      <c r="W598" s="65">
        <v>0</v>
      </c>
      <c r="X598" s="65">
        <v>1901</v>
      </c>
      <c r="Y598" s="65">
        <v>0</v>
      </c>
      <c r="Z598" s="65">
        <v>0</v>
      </c>
      <c r="AA598" s="51">
        <v>9</v>
      </c>
      <c r="AB598" s="102">
        <v>0</v>
      </c>
      <c r="AC598" s="81">
        <f t="shared" si="30"/>
        <v>517.59775758835758</v>
      </c>
      <c r="AD598" s="82">
        <f t="shared" si="31"/>
        <v>6.8714285714285719</v>
      </c>
      <c r="AE598" s="218">
        <v>4.5438092095956865E-3</v>
      </c>
      <c r="AF598">
        <v>1</v>
      </c>
      <c r="AH598" t="str">
        <f t="shared" si="29"/>
        <v>Dumraon</v>
      </c>
      <c r="AJ598" s="72">
        <v>0</v>
      </c>
      <c r="AK598" s="72"/>
      <c r="AL598" s="72"/>
      <c r="AM598" s="72"/>
    </row>
    <row r="599" spans="1:39" x14ac:dyDescent="0.25">
      <c r="A599" s="37" t="s">
        <v>62</v>
      </c>
      <c r="B599" s="66" t="s">
        <v>1566</v>
      </c>
      <c r="C599" s="41">
        <v>1014</v>
      </c>
      <c r="D599" s="41" t="s">
        <v>376</v>
      </c>
      <c r="E599" s="41">
        <v>10140176</v>
      </c>
      <c r="F599" s="85" t="s">
        <v>663</v>
      </c>
      <c r="G599" s="39" t="s">
        <v>635</v>
      </c>
      <c r="H599" s="52" t="s">
        <v>99</v>
      </c>
      <c r="I599" s="52">
        <v>67.3</v>
      </c>
      <c r="J599" s="49">
        <v>2317.2200000000003</v>
      </c>
      <c r="K599" s="58">
        <v>0</v>
      </c>
      <c r="L599" s="58">
        <v>0</v>
      </c>
      <c r="M599" s="58">
        <v>0</v>
      </c>
      <c r="N599" s="58">
        <v>0</v>
      </c>
      <c r="O599" s="65">
        <v>0</v>
      </c>
      <c r="P599" s="65">
        <v>0</v>
      </c>
      <c r="Q599" s="50">
        <v>2317.2200000000003</v>
      </c>
      <c r="R599" s="65">
        <v>0</v>
      </c>
      <c r="S599" s="65">
        <v>0</v>
      </c>
      <c r="T599" s="65">
        <v>0</v>
      </c>
      <c r="U599" s="65">
        <v>0</v>
      </c>
      <c r="V599" s="65">
        <v>0</v>
      </c>
      <c r="W599" s="65">
        <v>0</v>
      </c>
      <c r="X599" s="65">
        <v>0</v>
      </c>
      <c r="Y599" s="65">
        <v>0</v>
      </c>
      <c r="Z599" s="65">
        <v>2317.2200000000003</v>
      </c>
      <c r="AA599" s="51">
        <v>0</v>
      </c>
      <c r="AB599" s="102">
        <v>0</v>
      </c>
      <c r="AC599" s="81">
        <f t="shared" si="30"/>
        <v>435.69244992570589</v>
      </c>
      <c r="AD599" s="82">
        <f t="shared" si="31"/>
        <v>9.6142857142857139</v>
      </c>
      <c r="AE599" s="218">
        <v>0</v>
      </c>
      <c r="AF599">
        <v>0</v>
      </c>
      <c r="AH599" t="str">
        <f t="shared" si="29"/>
        <v>Dumraon</v>
      </c>
      <c r="AJ599" s="72">
        <v>0</v>
      </c>
      <c r="AK599" s="72"/>
      <c r="AL599" s="72"/>
      <c r="AM599" s="72"/>
    </row>
    <row r="600" spans="1:39" x14ac:dyDescent="0.25">
      <c r="A600" s="37" t="s">
        <v>62</v>
      </c>
      <c r="B600" s="66" t="s">
        <v>1566</v>
      </c>
      <c r="C600" s="41">
        <v>1014</v>
      </c>
      <c r="D600" s="41" t="s">
        <v>376</v>
      </c>
      <c r="E600" s="41">
        <v>10140179</v>
      </c>
      <c r="F600" s="85" t="s">
        <v>673</v>
      </c>
      <c r="G600" s="39" t="s">
        <v>93</v>
      </c>
      <c r="H600" s="52" t="s">
        <v>94</v>
      </c>
      <c r="I600" s="52">
        <v>1170.0999999999999</v>
      </c>
      <c r="J600" s="49">
        <v>44348.160000000003</v>
      </c>
      <c r="K600" s="58">
        <v>1155.3799999999999</v>
      </c>
      <c r="L600" s="58">
        <v>43685.220667288711</v>
      </c>
      <c r="M600" s="58">
        <v>13.77</v>
      </c>
      <c r="N600" s="58">
        <v>530.69952909600011</v>
      </c>
      <c r="O600" s="65">
        <v>1169.1499999999999</v>
      </c>
      <c r="P600" s="65">
        <v>44215.920196384708</v>
      </c>
      <c r="Q600" s="50">
        <v>44215.920196384708</v>
      </c>
      <c r="R600" s="65">
        <v>0</v>
      </c>
      <c r="S600" s="65">
        <v>530.69952909600011</v>
      </c>
      <c r="T600" s="65">
        <v>0</v>
      </c>
      <c r="U600" s="65">
        <v>0</v>
      </c>
      <c r="V600" s="65">
        <v>0</v>
      </c>
      <c r="W600" s="65">
        <v>0</v>
      </c>
      <c r="X600" s="65">
        <v>43685</v>
      </c>
      <c r="Y600" s="65">
        <v>0</v>
      </c>
      <c r="Z600" s="65">
        <v>0</v>
      </c>
      <c r="AA600" s="51">
        <v>132</v>
      </c>
      <c r="AB600" s="102" t="s">
        <v>66</v>
      </c>
      <c r="AC600" s="81">
        <f t="shared" si="30"/>
        <v>0</v>
      </c>
      <c r="AD600" s="82">
        <f t="shared" si="31"/>
        <v>0</v>
      </c>
      <c r="AE600" s="218">
        <v>2.9818554730409418E-3</v>
      </c>
      <c r="AF600">
        <v>35</v>
      </c>
      <c r="AH600" t="str">
        <f t="shared" si="29"/>
        <v>Dumraon</v>
      </c>
      <c r="AJ600" s="72">
        <v>0</v>
      </c>
      <c r="AK600" s="72"/>
      <c r="AL600" s="72"/>
      <c r="AM600" s="72"/>
    </row>
    <row r="601" spans="1:39" x14ac:dyDescent="0.25">
      <c r="A601" s="37" t="s">
        <v>62</v>
      </c>
      <c r="B601" s="66" t="s">
        <v>1566</v>
      </c>
      <c r="C601" s="41">
        <v>1014</v>
      </c>
      <c r="D601" s="41" t="s">
        <v>376</v>
      </c>
      <c r="E601" s="41">
        <v>10140180</v>
      </c>
      <c r="F601" s="85" t="s">
        <v>693</v>
      </c>
      <c r="G601" s="39" t="s">
        <v>93</v>
      </c>
      <c r="H601" s="52" t="s">
        <v>94</v>
      </c>
      <c r="I601" s="52">
        <v>147</v>
      </c>
      <c r="J601" s="49">
        <v>5475.5499999999993</v>
      </c>
      <c r="K601" s="58">
        <v>150.5</v>
      </c>
      <c r="L601" s="58">
        <v>5544.72548052</v>
      </c>
      <c r="M601" s="58">
        <v>2.5</v>
      </c>
      <c r="N601" s="58">
        <v>93.4587918</v>
      </c>
      <c r="O601" s="65">
        <v>153</v>
      </c>
      <c r="P601" s="65">
        <v>5638.1842723199998</v>
      </c>
      <c r="Q601" s="50">
        <v>5475.5499999999993</v>
      </c>
      <c r="R601" s="65">
        <v>0</v>
      </c>
      <c r="S601" s="65">
        <v>93.4587918</v>
      </c>
      <c r="T601" s="65">
        <v>162.63427232000049</v>
      </c>
      <c r="U601" s="65">
        <v>2560</v>
      </c>
      <c r="V601" s="65">
        <v>0</v>
      </c>
      <c r="W601" s="65">
        <v>0</v>
      </c>
      <c r="X601" s="65">
        <v>2822</v>
      </c>
      <c r="Y601" s="65">
        <v>0</v>
      </c>
      <c r="Z601" s="65">
        <v>0</v>
      </c>
      <c r="AA601" s="51">
        <v>0</v>
      </c>
      <c r="AB601" s="102">
        <v>0</v>
      </c>
      <c r="AC601" s="81">
        <f t="shared" si="30"/>
        <v>411.96995238095241</v>
      </c>
      <c r="AD601" s="82">
        <f t="shared" si="31"/>
        <v>21</v>
      </c>
      <c r="AE601" s="218">
        <v>-2.9701906168330214E-2</v>
      </c>
      <c r="AF601">
        <v>5</v>
      </c>
      <c r="AH601" t="str">
        <f t="shared" si="29"/>
        <v>Dumraon</v>
      </c>
      <c r="AJ601" s="72">
        <v>0</v>
      </c>
      <c r="AK601" s="72"/>
      <c r="AL601" s="72"/>
      <c r="AM601" s="72"/>
    </row>
    <row r="602" spans="1:39" x14ac:dyDescent="0.25">
      <c r="A602" s="37" t="s">
        <v>62</v>
      </c>
      <c r="B602" s="66" t="s">
        <v>1566</v>
      </c>
      <c r="C602" s="41">
        <v>1014</v>
      </c>
      <c r="D602" s="41" t="s">
        <v>376</v>
      </c>
      <c r="E602" s="41">
        <v>10140181</v>
      </c>
      <c r="F602" s="85" t="s">
        <v>829</v>
      </c>
      <c r="G602" s="39" t="s">
        <v>635</v>
      </c>
      <c r="H602" s="52" t="s">
        <v>99</v>
      </c>
      <c r="I602" s="52">
        <v>59.5</v>
      </c>
      <c r="J602" s="49">
        <v>2434.44</v>
      </c>
      <c r="K602" s="58">
        <v>0</v>
      </c>
      <c r="L602" s="58">
        <v>0</v>
      </c>
      <c r="M602" s="58">
        <v>0</v>
      </c>
      <c r="N602" s="58">
        <v>0</v>
      </c>
      <c r="O602" s="65">
        <v>0</v>
      </c>
      <c r="P602" s="65">
        <v>0</v>
      </c>
      <c r="Q602" s="50">
        <v>2434.44</v>
      </c>
      <c r="R602" s="65">
        <v>0</v>
      </c>
      <c r="S602" s="65">
        <v>0</v>
      </c>
      <c r="T602" s="65">
        <v>0</v>
      </c>
      <c r="U602" s="65">
        <v>0</v>
      </c>
      <c r="V602" s="65">
        <v>0</v>
      </c>
      <c r="W602" s="65">
        <v>0</v>
      </c>
      <c r="X602" s="65">
        <v>0</v>
      </c>
      <c r="Y602" s="65">
        <v>0</v>
      </c>
      <c r="Z602" s="65">
        <v>2434.44</v>
      </c>
      <c r="AA602" s="51">
        <v>0</v>
      </c>
      <c r="AB602" s="102">
        <v>0</v>
      </c>
      <c r="AC602" s="81">
        <f t="shared" si="30"/>
        <v>524.12061176470581</v>
      </c>
      <c r="AD602" s="82">
        <f t="shared" si="31"/>
        <v>8.5</v>
      </c>
      <c r="AE602" s="218">
        <v>0</v>
      </c>
      <c r="AF602">
        <v>0</v>
      </c>
      <c r="AH602" t="str">
        <f t="shared" si="29"/>
        <v>Dumraon</v>
      </c>
      <c r="AJ602" s="72">
        <v>0</v>
      </c>
      <c r="AK602" s="72"/>
      <c r="AL602" s="72"/>
      <c r="AM602" s="72"/>
    </row>
    <row r="603" spans="1:39" x14ac:dyDescent="0.25">
      <c r="A603" s="37" t="s">
        <v>62</v>
      </c>
      <c r="B603" s="66" t="s">
        <v>1566</v>
      </c>
      <c r="C603" s="41">
        <v>1014</v>
      </c>
      <c r="D603" s="41" t="s">
        <v>376</v>
      </c>
      <c r="E603" s="41">
        <v>10140185</v>
      </c>
      <c r="F603" s="85" t="s">
        <v>1158</v>
      </c>
      <c r="G603" s="39" t="s">
        <v>93</v>
      </c>
      <c r="H603" s="52" t="s">
        <v>94</v>
      </c>
      <c r="I603" s="52">
        <v>1412.6</v>
      </c>
      <c r="J603" s="49">
        <v>47337.770000000004</v>
      </c>
      <c r="K603" s="58">
        <v>1422</v>
      </c>
      <c r="L603" s="58">
        <v>47302.928402400001</v>
      </c>
      <c r="M603" s="58">
        <v>0</v>
      </c>
      <c r="N603" s="58">
        <v>0</v>
      </c>
      <c r="O603" s="65">
        <v>1422</v>
      </c>
      <c r="P603" s="65">
        <v>47302.928402400001</v>
      </c>
      <c r="Q603" s="50">
        <v>47302.928402400001</v>
      </c>
      <c r="R603" s="65">
        <v>0</v>
      </c>
      <c r="S603" s="65">
        <v>0</v>
      </c>
      <c r="T603" s="65">
        <v>0</v>
      </c>
      <c r="U603" s="65">
        <v>0</v>
      </c>
      <c r="V603" s="65">
        <v>0</v>
      </c>
      <c r="W603" s="65">
        <v>0</v>
      </c>
      <c r="X603" s="65">
        <v>47303</v>
      </c>
      <c r="Y603" s="65">
        <v>0</v>
      </c>
      <c r="Z603" s="65">
        <v>0</v>
      </c>
      <c r="AA603" s="51">
        <v>35</v>
      </c>
      <c r="AB603" s="102">
        <v>0</v>
      </c>
      <c r="AC603" s="81">
        <f t="shared" si="30"/>
        <v>0</v>
      </c>
      <c r="AD603" s="82">
        <f t="shared" si="31"/>
        <v>0</v>
      </c>
      <c r="AE603" s="218">
        <v>7.360211011208026E-4</v>
      </c>
      <c r="AF603">
        <v>1</v>
      </c>
      <c r="AH603" t="str">
        <f t="shared" si="29"/>
        <v>Dumraon</v>
      </c>
      <c r="AJ603" s="72">
        <v>0</v>
      </c>
      <c r="AK603" s="72"/>
      <c r="AL603" s="72"/>
      <c r="AM603" s="72"/>
    </row>
    <row r="604" spans="1:39" x14ac:dyDescent="0.25">
      <c r="A604" s="37" t="s">
        <v>62</v>
      </c>
      <c r="B604" s="66" t="s">
        <v>1566</v>
      </c>
      <c r="C604" s="41">
        <v>1014</v>
      </c>
      <c r="D604" s="41" t="s">
        <v>376</v>
      </c>
      <c r="E604" s="41">
        <v>10140194</v>
      </c>
      <c r="F604" s="85" t="s">
        <v>1316</v>
      </c>
      <c r="G604" s="39" t="s">
        <v>93</v>
      </c>
      <c r="H604" s="52" t="s">
        <v>94</v>
      </c>
      <c r="I604" s="52">
        <v>233.4</v>
      </c>
      <c r="J604" s="49">
        <v>7937.58</v>
      </c>
      <c r="K604" s="58">
        <v>232</v>
      </c>
      <c r="L604" s="58">
        <v>7931.8609920000017</v>
      </c>
      <c r="M604" s="58">
        <v>0</v>
      </c>
      <c r="N604" s="58">
        <v>0</v>
      </c>
      <c r="O604" s="65">
        <v>232</v>
      </c>
      <c r="P604" s="65">
        <v>7931.8609920000017</v>
      </c>
      <c r="Q604" s="50">
        <v>7931.8609920000017</v>
      </c>
      <c r="R604" s="65">
        <v>0</v>
      </c>
      <c r="S604" s="65">
        <v>0</v>
      </c>
      <c r="T604" s="65">
        <v>0</v>
      </c>
      <c r="U604" s="65">
        <v>541</v>
      </c>
      <c r="V604" s="65">
        <v>0</v>
      </c>
      <c r="W604" s="65">
        <v>0</v>
      </c>
      <c r="X604" s="65">
        <v>7391</v>
      </c>
      <c r="Y604" s="65">
        <v>0</v>
      </c>
      <c r="Z604" s="65">
        <v>0</v>
      </c>
      <c r="AA604" s="51">
        <v>6</v>
      </c>
      <c r="AB604" s="102" t="s">
        <v>66</v>
      </c>
      <c r="AC604" s="81">
        <f t="shared" si="30"/>
        <v>317.36716606683802</v>
      </c>
      <c r="AD604" s="82">
        <f t="shared" si="31"/>
        <v>33.342857142857142</v>
      </c>
      <c r="AE604" s="218">
        <v>7.2049768317273167E-4</v>
      </c>
      <c r="AF604">
        <v>1</v>
      </c>
      <c r="AH604" t="str">
        <f t="shared" si="29"/>
        <v>Dumraon</v>
      </c>
      <c r="AJ604" s="72">
        <v>0</v>
      </c>
      <c r="AK604" s="72"/>
      <c r="AL604" s="72"/>
      <c r="AM604" s="72"/>
    </row>
    <row r="605" spans="1:39" x14ac:dyDescent="0.25">
      <c r="A605" s="37" t="s">
        <v>62</v>
      </c>
      <c r="B605" s="66" t="s">
        <v>1566</v>
      </c>
      <c r="C605" s="41">
        <v>1014</v>
      </c>
      <c r="D605" s="41" t="s">
        <v>376</v>
      </c>
      <c r="E605" s="41">
        <v>10140196</v>
      </c>
      <c r="F605" s="85" t="s">
        <v>1308</v>
      </c>
      <c r="G605" s="39" t="s">
        <v>635</v>
      </c>
      <c r="H605" s="52" t="s">
        <v>99</v>
      </c>
      <c r="I605" s="52">
        <v>163.29999999999998</v>
      </c>
      <c r="J605" s="49">
        <v>6124.74</v>
      </c>
      <c r="K605" s="58">
        <v>0</v>
      </c>
      <c r="L605" s="58">
        <v>0</v>
      </c>
      <c r="M605" s="58">
        <v>0</v>
      </c>
      <c r="N605" s="58">
        <v>0</v>
      </c>
      <c r="O605" s="65">
        <v>0</v>
      </c>
      <c r="P605" s="65">
        <v>0</v>
      </c>
      <c r="Q605" s="50">
        <v>6124.74</v>
      </c>
      <c r="R605" s="65">
        <v>0</v>
      </c>
      <c r="S605" s="65">
        <v>0</v>
      </c>
      <c r="T605" s="65">
        <v>0</v>
      </c>
      <c r="U605" s="65">
        <v>0</v>
      </c>
      <c r="V605" s="65">
        <v>0</v>
      </c>
      <c r="W605" s="65">
        <v>0</v>
      </c>
      <c r="X605" s="65">
        <v>0</v>
      </c>
      <c r="Y605" s="65">
        <v>0</v>
      </c>
      <c r="Z605" s="65">
        <v>6124.74</v>
      </c>
      <c r="AA605" s="51">
        <v>0</v>
      </c>
      <c r="AB605" s="102">
        <v>0</v>
      </c>
      <c r="AC605" s="81">
        <f t="shared" si="30"/>
        <v>402.59007446417644</v>
      </c>
      <c r="AD605" s="82">
        <f t="shared" si="31"/>
        <v>23.328571428571426</v>
      </c>
      <c r="AE605" s="218">
        <v>0</v>
      </c>
      <c r="AF605">
        <v>0</v>
      </c>
      <c r="AH605" t="str">
        <f t="shared" si="29"/>
        <v>Dumraon</v>
      </c>
      <c r="AJ605" s="72">
        <v>0</v>
      </c>
      <c r="AK605" s="72"/>
      <c r="AL605" s="72"/>
      <c r="AM605" s="72"/>
    </row>
    <row r="606" spans="1:39" x14ac:dyDescent="0.25">
      <c r="A606" s="37" t="s">
        <v>62</v>
      </c>
      <c r="B606" s="66" t="s">
        <v>1566</v>
      </c>
      <c r="C606" s="41">
        <v>1014</v>
      </c>
      <c r="D606" s="41" t="s">
        <v>376</v>
      </c>
      <c r="E606" s="41">
        <v>10140197</v>
      </c>
      <c r="F606" s="85" t="s">
        <v>1317</v>
      </c>
      <c r="G606" s="39" t="s">
        <v>93</v>
      </c>
      <c r="H606" s="52" t="s">
        <v>94</v>
      </c>
      <c r="I606" s="52">
        <v>260.40000000000003</v>
      </c>
      <c r="J606" s="49">
        <v>10169.75</v>
      </c>
      <c r="K606" s="58">
        <v>253.86999999999998</v>
      </c>
      <c r="L606" s="58">
        <v>10151.043040908002</v>
      </c>
      <c r="M606" s="58">
        <v>0</v>
      </c>
      <c r="N606" s="58">
        <v>0</v>
      </c>
      <c r="O606" s="65">
        <v>253.86999999999998</v>
      </c>
      <c r="P606" s="65">
        <v>10151.043040908002</v>
      </c>
      <c r="Q606" s="50">
        <v>10151.043040908002</v>
      </c>
      <c r="R606" s="65">
        <v>0</v>
      </c>
      <c r="S606" s="65">
        <v>0</v>
      </c>
      <c r="T606" s="65">
        <v>0</v>
      </c>
      <c r="U606" s="65">
        <v>0</v>
      </c>
      <c r="V606" s="65">
        <v>0</v>
      </c>
      <c r="W606" s="65">
        <v>0</v>
      </c>
      <c r="X606" s="65">
        <v>10151</v>
      </c>
      <c r="Y606" s="65">
        <v>0</v>
      </c>
      <c r="Z606" s="65">
        <v>0</v>
      </c>
      <c r="AA606" s="51">
        <v>19</v>
      </c>
      <c r="AB606" s="102">
        <v>0</v>
      </c>
      <c r="AC606" s="81">
        <f t="shared" si="30"/>
        <v>343.36575268817199</v>
      </c>
      <c r="AD606" s="82">
        <f t="shared" si="31"/>
        <v>37.200000000000003</v>
      </c>
      <c r="AE606" s="218">
        <v>1.8394708908280159E-3</v>
      </c>
      <c r="AF606">
        <v>1</v>
      </c>
      <c r="AH606" t="str">
        <f t="shared" si="29"/>
        <v>Dumraon</v>
      </c>
      <c r="AJ606" s="72">
        <v>0</v>
      </c>
      <c r="AK606" s="72"/>
      <c r="AL606" s="72"/>
      <c r="AM606" s="72"/>
    </row>
    <row r="607" spans="1:39" x14ac:dyDescent="0.25">
      <c r="A607" s="37" t="s">
        <v>62</v>
      </c>
      <c r="B607" s="66" t="s">
        <v>1566</v>
      </c>
      <c r="C607" s="41">
        <v>1014</v>
      </c>
      <c r="D607" s="41" t="s">
        <v>376</v>
      </c>
      <c r="E607" s="41">
        <v>10140198</v>
      </c>
      <c r="F607" s="85" t="s">
        <v>1318</v>
      </c>
      <c r="G607" s="39" t="s">
        <v>635</v>
      </c>
      <c r="H607" s="52" t="s">
        <v>99</v>
      </c>
      <c r="I607" s="52">
        <v>407.4</v>
      </c>
      <c r="J607" s="49">
        <v>15621.63</v>
      </c>
      <c r="K607" s="58">
        <v>0</v>
      </c>
      <c r="L607" s="58">
        <v>0</v>
      </c>
      <c r="M607" s="58">
        <v>0</v>
      </c>
      <c r="N607" s="58">
        <v>0</v>
      </c>
      <c r="O607" s="65">
        <v>0</v>
      </c>
      <c r="P607" s="65">
        <v>0</v>
      </c>
      <c r="Q607" s="50">
        <v>15621.63</v>
      </c>
      <c r="R607" s="65">
        <v>0</v>
      </c>
      <c r="S607" s="65">
        <v>0</v>
      </c>
      <c r="T607" s="65">
        <v>0</v>
      </c>
      <c r="U607" s="65">
        <v>6400</v>
      </c>
      <c r="V607" s="65">
        <v>0</v>
      </c>
      <c r="W607" s="65">
        <v>0</v>
      </c>
      <c r="X607" s="65">
        <v>0</v>
      </c>
      <c r="Y607" s="65">
        <v>0</v>
      </c>
      <c r="Z607" s="65">
        <v>9221.6299999999992</v>
      </c>
      <c r="AA607" s="51">
        <v>0</v>
      </c>
      <c r="AB607" s="102">
        <v>0</v>
      </c>
      <c r="AC607" s="81">
        <f t="shared" si="30"/>
        <v>224.3931731958763</v>
      </c>
      <c r="AD607" s="82">
        <f t="shared" si="31"/>
        <v>58.199999999999996</v>
      </c>
      <c r="AE607" s="218">
        <v>0</v>
      </c>
      <c r="AF607">
        <v>0</v>
      </c>
      <c r="AH607" t="str">
        <f t="shared" si="29"/>
        <v>Dumraon</v>
      </c>
      <c r="AJ607" s="72">
        <v>0</v>
      </c>
      <c r="AK607" s="72"/>
      <c r="AL607" s="72"/>
      <c r="AM607" s="72"/>
    </row>
    <row r="608" spans="1:39" x14ac:dyDescent="0.25">
      <c r="A608" s="37" t="s">
        <v>62</v>
      </c>
      <c r="B608" s="66" t="s">
        <v>1566</v>
      </c>
      <c r="C608" s="41">
        <v>1014</v>
      </c>
      <c r="D608" s="41" t="s">
        <v>376</v>
      </c>
      <c r="E608" s="41">
        <v>10140201</v>
      </c>
      <c r="F608" s="85" t="s">
        <v>1351</v>
      </c>
      <c r="G608" s="39" t="s">
        <v>635</v>
      </c>
      <c r="H608" s="52" t="s">
        <v>99</v>
      </c>
      <c r="I608" s="52">
        <v>387.9</v>
      </c>
      <c r="J608" s="49">
        <v>12973.219999999998</v>
      </c>
      <c r="K608" s="58">
        <v>0</v>
      </c>
      <c r="L608" s="58">
        <v>0</v>
      </c>
      <c r="M608" s="58">
        <v>0</v>
      </c>
      <c r="N608" s="58">
        <v>0</v>
      </c>
      <c r="O608" s="65">
        <v>0</v>
      </c>
      <c r="P608" s="65">
        <v>0</v>
      </c>
      <c r="Q608" s="50">
        <v>12973.219999999998</v>
      </c>
      <c r="R608" s="65">
        <v>0</v>
      </c>
      <c r="S608" s="65">
        <v>0</v>
      </c>
      <c r="T608" s="65">
        <v>0</v>
      </c>
      <c r="U608" s="65">
        <v>0</v>
      </c>
      <c r="V608" s="65">
        <v>0</v>
      </c>
      <c r="W608" s="65">
        <v>0</v>
      </c>
      <c r="X608" s="65">
        <v>0</v>
      </c>
      <c r="Y608" s="65">
        <v>0</v>
      </c>
      <c r="Z608" s="65">
        <v>12973.219999999998</v>
      </c>
      <c r="AA608" s="51">
        <v>0</v>
      </c>
      <c r="AB608" s="102">
        <v>0</v>
      </c>
      <c r="AC608" s="81">
        <f t="shared" si="30"/>
        <v>208.76215323536996</v>
      </c>
      <c r="AD608" s="82">
        <f t="shared" si="31"/>
        <v>55.414285714285711</v>
      </c>
      <c r="AE608" s="218">
        <v>0</v>
      </c>
      <c r="AF608">
        <v>0</v>
      </c>
      <c r="AH608" t="str">
        <f t="shared" si="29"/>
        <v>Dumraon</v>
      </c>
      <c r="AJ608" s="72">
        <v>0</v>
      </c>
      <c r="AK608" s="72"/>
      <c r="AL608" s="72"/>
      <c r="AM608" s="72"/>
    </row>
    <row r="609" spans="1:39" x14ac:dyDescent="0.25">
      <c r="A609" s="37" t="s">
        <v>62</v>
      </c>
      <c r="B609" s="66" t="s">
        <v>1566</v>
      </c>
      <c r="C609" s="41">
        <v>1014</v>
      </c>
      <c r="D609" s="41" t="s">
        <v>376</v>
      </c>
      <c r="E609" s="41">
        <v>10140204</v>
      </c>
      <c r="F609" s="85" t="s">
        <v>1545</v>
      </c>
      <c r="G609" s="39" t="s">
        <v>635</v>
      </c>
      <c r="H609" s="52" t="s">
        <v>99</v>
      </c>
      <c r="I609" s="52">
        <v>203.8</v>
      </c>
      <c r="J609" s="49">
        <v>7635.87</v>
      </c>
      <c r="K609" s="58">
        <v>0</v>
      </c>
      <c r="L609" s="58">
        <v>0</v>
      </c>
      <c r="M609" s="58">
        <v>0</v>
      </c>
      <c r="N609" s="58">
        <v>0</v>
      </c>
      <c r="O609" s="65">
        <v>0</v>
      </c>
      <c r="P609" s="65">
        <v>0</v>
      </c>
      <c r="Q609" s="50">
        <v>7635.87</v>
      </c>
      <c r="R609" s="65">
        <v>0</v>
      </c>
      <c r="S609" s="65">
        <v>0</v>
      </c>
      <c r="T609" s="65">
        <v>0</v>
      </c>
      <c r="U609" s="65">
        <v>0</v>
      </c>
      <c r="V609" s="65">
        <v>0</v>
      </c>
      <c r="W609" s="65">
        <v>0</v>
      </c>
      <c r="X609" s="65">
        <v>0</v>
      </c>
      <c r="Y609" s="65">
        <v>0</v>
      </c>
      <c r="Z609" s="65">
        <v>7635.87</v>
      </c>
      <c r="AA609" s="51">
        <v>0</v>
      </c>
      <c r="AB609" s="102">
        <v>0</v>
      </c>
      <c r="AC609" s="81">
        <f t="shared" si="30"/>
        <v>371.82715348380765</v>
      </c>
      <c r="AD609" s="82">
        <f t="shared" si="31"/>
        <v>29.114285714285717</v>
      </c>
      <c r="AE609" s="218">
        <v>0</v>
      </c>
      <c r="AF609">
        <v>0</v>
      </c>
      <c r="AH609" t="str">
        <f t="shared" si="29"/>
        <v>Dumraon</v>
      </c>
      <c r="AJ609" s="72">
        <v>0</v>
      </c>
      <c r="AK609" s="72"/>
      <c r="AL609" s="72"/>
      <c r="AM609" s="72"/>
    </row>
    <row r="610" spans="1:39" x14ac:dyDescent="0.25">
      <c r="A610" s="37" t="s">
        <v>62</v>
      </c>
      <c r="B610" s="66" t="s">
        <v>1566</v>
      </c>
      <c r="C610" s="41">
        <v>1014</v>
      </c>
      <c r="D610" s="41" t="s">
        <v>376</v>
      </c>
      <c r="E610" s="41">
        <v>10140205</v>
      </c>
      <c r="F610" s="85" t="s">
        <v>1426</v>
      </c>
      <c r="G610" s="39" t="s">
        <v>93</v>
      </c>
      <c r="H610" s="52" t="s">
        <v>94</v>
      </c>
      <c r="I610" s="52">
        <v>268.7</v>
      </c>
      <c r="J610" s="49">
        <v>12117.300000000001</v>
      </c>
      <c r="K610" s="58">
        <v>290.2</v>
      </c>
      <c r="L610" s="58">
        <v>14961.337493344752</v>
      </c>
      <c r="M610" s="58">
        <v>0</v>
      </c>
      <c r="N610" s="58">
        <v>0</v>
      </c>
      <c r="O610" s="65">
        <v>290.2</v>
      </c>
      <c r="P610" s="65">
        <v>14961.337493344752</v>
      </c>
      <c r="Q610" s="50">
        <v>12117.300000000001</v>
      </c>
      <c r="R610" s="65">
        <v>0</v>
      </c>
      <c r="S610" s="65">
        <v>0</v>
      </c>
      <c r="T610" s="65">
        <v>2844.0374933447511</v>
      </c>
      <c r="U610" s="65">
        <v>0</v>
      </c>
      <c r="V610" s="65">
        <v>0</v>
      </c>
      <c r="W610" s="65">
        <v>0</v>
      </c>
      <c r="X610" s="65">
        <v>12117</v>
      </c>
      <c r="Y610" s="65">
        <v>0</v>
      </c>
      <c r="Z610" s="65">
        <v>0</v>
      </c>
      <c r="AA610" s="51">
        <v>0</v>
      </c>
      <c r="AB610" s="102">
        <v>0</v>
      </c>
      <c r="AC610" s="81">
        <f t="shared" si="30"/>
        <v>388.99825009304061</v>
      </c>
      <c r="AD610" s="82">
        <f t="shared" si="31"/>
        <v>38.385714285714286</v>
      </c>
      <c r="AE610" s="218">
        <v>-0.23470884548082088</v>
      </c>
      <c r="AF610">
        <v>1</v>
      </c>
      <c r="AH610" t="str">
        <f t="shared" si="29"/>
        <v>Dumraon</v>
      </c>
      <c r="AJ610" s="72">
        <v>0</v>
      </c>
      <c r="AK610" s="72"/>
      <c r="AL610" s="72"/>
      <c r="AM610" s="72"/>
    </row>
    <row r="611" spans="1:39" x14ac:dyDescent="0.25">
      <c r="A611" s="37" t="s">
        <v>62</v>
      </c>
      <c r="B611" s="66" t="s">
        <v>1566</v>
      </c>
      <c r="C611" s="41">
        <v>1014</v>
      </c>
      <c r="D611" s="41" t="s">
        <v>376</v>
      </c>
      <c r="E611" s="41">
        <v>10140206</v>
      </c>
      <c r="F611" s="85" t="s">
        <v>1435</v>
      </c>
      <c r="G611" s="39" t="s">
        <v>93</v>
      </c>
      <c r="H611" s="52" t="s">
        <v>94</v>
      </c>
      <c r="I611" s="52">
        <v>417.1</v>
      </c>
      <c r="J611" s="49">
        <v>18159.590000000004</v>
      </c>
      <c r="K611" s="58">
        <v>412.42</v>
      </c>
      <c r="L611" s="58">
        <v>18113.237366837526</v>
      </c>
      <c r="M611" s="58">
        <v>0</v>
      </c>
      <c r="N611" s="58">
        <v>0</v>
      </c>
      <c r="O611" s="65">
        <v>412.42</v>
      </c>
      <c r="P611" s="65">
        <v>18113.237366837526</v>
      </c>
      <c r="Q611" s="50">
        <v>18113.237366837526</v>
      </c>
      <c r="R611" s="65">
        <v>0</v>
      </c>
      <c r="S611" s="65">
        <v>0</v>
      </c>
      <c r="T611" s="65">
        <v>0</v>
      </c>
      <c r="U611" s="65">
        <v>0</v>
      </c>
      <c r="V611" s="65">
        <v>0</v>
      </c>
      <c r="W611" s="65">
        <v>0</v>
      </c>
      <c r="X611" s="65">
        <v>18113</v>
      </c>
      <c r="Y611" s="65">
        <v>0</v>
      </c>
      <c r="Z611" s="65">
        <v>0</v>
      </c>
      <c r="AA611" s="51">
        <v>47</v>
      </c>
      <c r="AB611" s="102">
        <v>0</v>
      </c>
      <c r="AC611" s="81">
        <f t="shared" si="30"/>
        <v>246.33651455286505</v>
      </c>
      <c r="AD611" s="82">
        <f t="shared" si="31"/>
        <v>59.585714285714289</v>
      </c>
      <c r="AE611" s="218">
        <v>2.5525154016405659E-3</v>
      </c>
      <c r="AF611">
        <v>1</v>
      </c>
      <c r="AH611" t="str">
        <f t="shared" si="29"/>
        <v>Dumraon</v>
      </c>
      <c r="AJ611" s="72">
        <v>0</v>
      </c>
      <c r="AK611" s="72"/>
      <c r="AL611" s="72"/>
      <c r="AM611" s="72"/>
    </row>
    <row r="612" spans="1:39" x14ac:dyDescent="0.25">
      <c r="A612" s="37" t="s">
        <v>62</v>
      </c>
      <c r="B612" s="66" t="s">
        <v>1566</v>
      </c>
      <c r="C612" s="41">
        <v>1002</v>
      </c>
      <c r="D612" s="41" t="s">
        <v>105</v>
      </c>
      <c r="E612" s="41">
        <v>10180001</v>
      </c>
      <c r="F612" s="85" t="s">
        <v>629</v>
      </c>
      <c r="G612" s="39" t="s">
        <v>635</v>
      </c>
      <c r="H612" s="52" t="s">
        <v>99</v>
      </c>
      <c r="I612" s="52">
        <v>918.2</v>
      </c>
      <c r="J612" s="49">
        <v>38742.950000000004</v>
      </c>
      <c r="K612" s="58">
        <v>0</v>
      </c>
      <c r="L612" s="58">
        <v>0</v>
      </c>
      <c r="M612" s="58">
        <v>0</v>
      </c>
      <c r="N612" s="58">
        <v>0</v>
      </c>
      <c r="O612" s="65">
        <v>0</v>
      </c>
      <c r="P612" s="65">
        <v>0</v>
      </c>
      <c r="Q612" s="50">
        <v>38742.950000000004</v>
      </c>
      <c r="R612" s="65">
        <v>0</v>
      </c>
      <c r="S612" s="65">
        <v>0</v>
      </c>
      <c r="T612" s="65">
        <v>0</v>
      </c>
      <c r="U612" s="65">
        <v>0</v>
      </c>
      <c r="V612" s="65">
        <v>0</v>
      </c>
      <c r="W612" s="65">
        <v>0</v>
      </c>
      <c r="X612" s="65">
        <v>0</v>
      </c>
      <c r="Y612" s="65">
        <v>0</v>
      </c>
      <c r="Z612" s="65">
        <v>38742.950000000004</v>
      </c>
      <c r="AA612" s="51">
        <v>0</v>
      </c>
      <c r="AB612" s="102">
        <v>0</v>
      </c>
      <c r="AC612" s="81">
        <f t="shared" si="30"/>
        <v>0</v>
      </c>
      <c r="AD612" s="82">
        <f t="shared" si="31"/>
        <v>0</v>
      </c>
      <c r="AE612" s="218">
        <v>0</v>
      </c>
      <c r="AF612">
        <v>0</v>
      </c>
      <c r="AH612" t="str">
        <f t="shared" si="29"/>
        <v>Laldiyara</v>
      </c>
      <c r="AJ612" s="72">
        <v>0</v>
      </c>
      <c r="AK612" s="72"/>
      <c r="AL612" s="72"/>
      <c r="AM612" s="72"/>
    </row>
    <row r="613" spans="1:39" x14ac:dyDescent="0.25">
      <c r="A613" s="37" t="s">
        <v>62</v>
      </c>
      <c r="B613" s="66" t="s">
        <v>1566</v>
      </c>
      <c r="C613" s="41">
        <v>1003</v>
      </c>
      <c r="D613" s="41" t="s">
        <v>139</v>
      </c>
      <c r="E613" s="41">
        <v>10220001</v>
      </c>
      <c r="F613" s="85" t="s">
        <v>402</v>
      </c>
      <c r="G613" s="39" t="s">
        <v>285</v>
      </c>
      <c r="H613" s="52" t="s">
        <v>94</v>
      </c>
      <c r="I613" s="52">
        <v>528</v>
      </c>
      <c r="J613" s="49">
        <v>17635.2</v>
      </c>
      <c r="K613" s="58">
        <v>527.1</v>
      </c>
      <c r="L613" s="58">
        <v>18348.230222388003</v>
      </c>
      <c r="M613" s="58">
        <v>5.3</v>
      </c>
      <c r="N613" s="58">
        <v>184.30407864</v>
      </c>
      <c r="O613" s="65">
        <v>532.4</v>
      </c>
      <c r="P613" s="65">
        <v>18532.534301028005</v>
      </c>
      <c r="Q613" s="50">
        <v>17635.2</v>
      </c>
      <c r="R613" s="65">
        <v>0</v>
      </c>
      <c r="S613" s="65">
        <v>184.30407864</v>
      </c>
      <c r="T613" s="65">
        <v>897.33430102800412</v>
      </c>
      <c r="U613" s="65">
        <v>0</v>
      </c>
      <c r="V613" s="65">
        <v>0</v>
      </c>
      <c r="W613" s="65">
        <v>0</v>
      </c>
      <c r="X613" s="65">
        <v>17451</v>
      </c>
      <c r="Y613" s="65">
        <v>0</v>
      </c>
      <c r="Z613" s="65">
        <v>0</v>
      </c>
      <c r="AA613" s="51">
        <v>0</v>
      </c>
      <c r="AB613" s="102">
        <v>0</v>
      </c>
      <c r="AC613" s="81">
        <f t="shared" si="30"/>
        <v>114.896</v>
      </c>
      <c r="AD613" s="82">
        <f t="shared" si="31"/>
        <v>75.428571428571431</v>
      </c>
      <c r="AE613" s="218">
        <v>-5.0883137193114006E-2</v>
      </c>
      <c r="AF613">
        <v>13</v>
      </c>
      <c r="AH613" t="str">
        <f t="shared" si="29"/>
        <v>Asarganj</v>
      </c>
      <c r="AJ613" s="72">
        <v>0</v>
      </c>
      <c r="AK613" s="72"/>
      <c r="AL613" s="72"/>
      <c r="AM613" s="72"/>
    </row>
    <row r="614" spans="1:39" x14ac:dyDescent="0.25">
      <c r="A614" s="37" t="s">
        <v>62</v>
      </c>
      <c r="B614" s="66" t="s">
        <v>1566</v>
      </c>
      <c r="C614" s="41">
        <v>1003</v>
      </c>
      <c r="D614" s="41" t="s">
        <v>139</v>
      </c>
      <c r="E614" s="41">
        <v>10240001</v>
      </c>
      <c r="F614" s="85" t="s">
        <v>403</v>
      </c>
      <c r="G614" s="39" t="s">
        <v>285</v>
      </c>
      <c r="H614" s="52" t="s">
        <v>94</v>
      </c>
      <c r="I614" s="52">
        <v>1144</v>
      </c>
      <c r="J614" s="49">
        <v>39570.959999999999</v>
      </c>
      <c r="K614" s="58">
        <v>1151.9000000000001</v>
      </c>
      <c r="L614" s="58">
        <v>39813.575179326537</v>
      </c>
      <c r="M614" s="58">
        <v>15.299999999999999</v>
      </c>
      <c r="N614" s="58">
        <v>706.35282454168009</v>
      </c>
      <c r="O614" s="65">
        <v>1167.2</v>
      </c>
      <c r="P614" s="65">
        <v>40519.928003868219</v>
      </c>
      <c r="Q614" s="50">
        <v>39570.959999999999</v>
      </c>
      <c r="R614" s="65">
        <v>0</v>
      </c>
      <c r="S614" s="65">
        <v>706.35282454168009</v>
      </c>
      <c r="T614" s="65">
        <v>948.96800386821997</v>
      </c>
      <c r="U614" s="65">
        <v>0</v>
      </c>
      <c r="V614" s="65">
        <v>0</v>
      </c>
      <c r="W614" s="65">
        <v>0</v>
      </c>
      <c r="X614" s="65">
        <v>38865</v>
      </c>
      <c r="Y614" s="65">
        <v>0</v>
      </c>
      <c r="Z614" s="65">
        <v>0</v>
      </c>
      <c r="AA614" s="51">
        <v>0</v>
      </c>
      <c r="AB614" s="102" t="s">
        <v>68</v>
      </c>
      <c r="AC614" s="81">
        <f t="shared" si="30"/>
        <v>0</v>
      </c>
      <c r="AD614" s="82">
        <f t="shared" si="31"/>
        <v>0</v>
      </c>
      <c r="AE614" s="218">
        <v>-2.3981424859751192E-2</v>
      </c>
      <c r="AF614">
        <v>49</v>
      </c>
      <c r="AH614" t="str">
        <f t="shared" si="29"/>
        <v>Asarganj</v>
      </c>
      <c r="AJ614" s="72">
        <v>0</v>
      </c>
      <c r="AK614" s="72"/>
      <c r="AL614" s="72"/>
      <c r="AM614" s="72"/>
    </row>
    <row r="615" spans="1:39" x14ac:dyDescent="0.25">
      <c r="A615" s="37" t="s">
        <v>62</v>
      </c>
      <c r="B615" s="66" t="s">
        <v>1566</v>
      </c>
      <c r="C615" s="41">
        <v>1003</v>
      </c>
      <c r="D615" s="41" t="s">
        <v>139</v>
      </c>
      <c r="E615" s="41">
        <v>10250001</v>
      </c>
      <c r="F615" s="85" t="s">
        <v>404</v>
      </c>
      <c r="G615" s="39" t="s">
        <v>285</v>
      </c>
      <c r="H615" s="52" t="s">
        <v>94</v>
      </c>
      <c r="I615" s="52">
        <v>326.10000000000002</v>
      </c>
      <c r="J615" s="49">
        <v>14729.05</v>
      </c>
      <c r="K615" s="58">
        <v>323.09999999999997</v>
      </c>
      <c r="L615" s="58">
        <v>14673.748654716701</v>
      </c>
      <c r="M615" s="58">
        <v>4</v>
      </c>
      <c r="N615" s="58">
        <v>155.23627680000004</v>
      </c>
      <c r="O615" s="65">
        <v>327.09999999999997</v>
      </c>
      <c r="P615" s="65">
        <v>14828.984931516701</v>
      </c>
      <c r="Q615" s="50">
        <v>14729.05</v>
      </c>
      <c r="R615" s="65">
        <v>0</v>
      </c>
      <c r="S615" s="65">
        <v>155.23627680000004</v>
      </c>
      <c r="T615" s="65">
        <v>99.934931516701909</v>
      </c>
      <c r="U615" s="65">
        <v>0</v>
      </c>
      <c r="V615" s="65">
        <v>0</v>
      </c>
      <c r="W615" s="65">
        <v>0</v>
      </c>
      <c r="X615" s="65">
        <v>14574</v>
      </c>
      <c r="Y615" s="65">
        <v>0</v>
      </c>
      <c r="Z615" s="65">
        <v>0</v>
      </c>
      <c r="AA615" s="51">
        <v>0</v>
      </c>
      <c r="AB615" s="102">
        <v>0</v>
      </c>
      <c r="AC615" s="81">
        <f t="shared" si="30"/>
        <v>337.76091965654706</v>
      </c>
      <c r="AD615" s="82">
        <f t="shared" si="31"/>
        <v>46.585714285714289</v>
      </c>
      <c r="AE615" s="218">
        <v>-6.7848864330491048E-3</v>
      </c>
      <c r="AF615">
        <v>13</v>
      </c>
      <c r="AH615" t="str">
        <f t="shared" si="29"/>
        <v>Asarganj</v>
      </c>
      <c r="AJ615" s="72">
        <v>0</v>
      </c>
      <c r="AK615" s="72"/>
      <c r="AL615" s="72"/>
      <c r="AM615" s="72"/>
    </row>
    <row r="616" spans="1:39" x14ac:dyDescent="0.25">
      <c r="A616" s="37" t="s">
        <v>62</v>
      </c>
      <c r="B616" s="66" t="s">
        <v>1566</v>
      </c>
      <c r="C616" s="41">
        <v>1003</v>
      </c>
      <c r="D616" s="41" t="s">
        <v>139</v>
      </c>
      <c r="E616" s="41">
        <v>10260001</v>
      </c>
      <c r="F616" s="85" t="s">
        <v>405</v>
      </c>
      <c r="G616" s="39" t="s">
        <v>285</v>
      </c>
      <c r="H616" s="52" t="s">
        <v>94</v>
      </c>
      <c r="I616" s="52">
        <v>930.25</v>
      </c>
      <c r="J616" s="49">
        <v>34204.350000000006</v>
      </c>
      <c r="K616" s="58">
        <v>944.2</v>
      </c>
      <c r="L616" s="58">
        <v>41538.595484038087</v>
      </c>
      <c r="M616" s="58">
        <v>6.3</v>
      </c>
      <c r="N616" s="58">
        <v>280.99151541560002</v>
      </c>
      <c r="O616" s="65">
        <v>950.5</v>
      </c>
      <c r="P616" s="65">
        <v>41819.586999453684</v>
      </c>
      <c r="Q616" s="50">
        <v>34204.350000000006</v>
      </c>
      <c r="R616" s="65">
        <v>0</v>
      </c>
      <c r="S616" s="65">
        <v>280.99151541560002</v>
      </c>
      <c r="T616" s="65">
        <v>7615.2369994536784</v>
      </c>
      <c r="U616" s="65">
        <v>0</v>
      </c>
      <c r="V616" s="65">
        <v>0</v>
      </c>
      <c r="W616" s="65">
        <v>0</v>
      </c>
      <c r="X616" s="65">
        <v>33923</v>
      </c>
      <c r="Y616" s="65">
        <v>0</v>
      </c>
      <c r="Z616" s="65">
        <v>0</v>
      </c>
      <c r="AA616" s="51">
        <v>0</v>
      </c>
      <c r="AB616" s="102" t="s">
        <v>68</v>
      </c>
      <c r="AC616" s="81">
        <f t="shared" si="30"/>
        <v>0</v>
      </c>
      <c r="AD616" s="82">
        <f t="shared" si="31"/>
        <v>0</v>
      </c>
      <c r="AE616" s="218">
        <v>-0.22263943034887893</v>
      </c>
      <c r="AF616">
        <v>14</v>
      </c>
      <c r="AH616" t="str">
        <f t="shared" si="29"/>
        <v>Asarganj</v>
      </c>
      <c r="AJ616" s="72">
        <v>0</v>
      </c>
      <c r="AK616" s="72"/>
      <c r="AL616" s="72"/>
      <c r="AM616" s="72"/>
    </row>
    <row r="617" spans="1:39" x14ac:dyDescent="0.25">
      <c r="A617" s="37" t="s">
        <v>62</v>
      </c>
      <c r="B617" s="66" t="s">
        <v>1566</v>
      </c>
      <c r="C617" s="41">
        <v>1006</v>
      </c>
      <c r="D617" s="41" t="s">
        <v>183</v>
      </c>
      <c r="E617" s="41">
        <v>10290001</v>
      </c>
      <c r="F617" s="85" t="s">
        <v>406</v>
      </c>
      <c r="G617" s="39" t="s">
        <v>285</v>
      </c>
      <c r="H617" s="52" t="s">
        <v>94</v>
      </c>
      <c r="I617" s="52">
        <v>1850.6999999999998</v>
      </c>
      <c r="J617" s="49">
        <v>64912.499999999993</v>
      </c>
      <c r="K617" s="58">
        <v>730.09999999999991</v>
      </c>
      <c r="L617" s="58">
        <v>25941.2120154</v>
      </c>
      <c r="M617" s="58">
        <v>1161.1000000000001</v>
      </c>
      <c r="N617" s="58">
        <v>40734.914782320011</v>
      </c>
      <c r="O617" s="65">
        <v>1891.2</v>
      </c>
      <c r="P617" s="65">
        <v>66676.126797720004</v>
      </c>
      <c r="Q617" s="50">
        <v>64912.499999999993</v>
      </c>
      <c r="R617" s="65">
        <v>0</v>
      </c>
      <c r="S617" s="65">
        <v>191.92059216000001</v>
      </c>
      <c r="T617" s="65">
        <v>1763.6267977200114</v>
      </c>
      <c r="U617" s="65">
        <v>0</v>
      </c>
      <c r="V617" s="65">
        <v>0</v>
      </c>
      <c r="W617" s="65">
        <v>0</v>
      </c>
      <c r="X617" s="65">
        <v>24177</v>
      </c>
      <c r="Y617" s="65">
        <v>40544</v>
      </c>
      <c r="Z617" s="65">
        <v>0</v>
      </c>
      <c r="AA617" s="51">
        <v>0</v>
      </c>
      <c r="AB617" s="102">
        <v>0</v>
      </c>
      <c r="AC617" s="81">
        <f t="shared" si="30"/>
        <v>0</v>
      </c>
      <c r="AD617" s="82">
        <f t="shared" si="31"/>
        <v>0</v>
      </c>
      <c r="AE617" s="218">
        <v>-2.7169294014558237E-2</v>
      </c>
      <c r="AF617">
        <v>14</v>
      </c>
      <c r="AH617" t="str">
        <f t="shared" si="29"/>
        <v>Sonvarsha</v>
      </c>
      <c r="AJ617" s="72">
        <v>0</v>
      </c>
      <c r="AK617" s="72"/>
      <c r="AL617" s="72"/>
      <c r="AM617" s="72"/>
    </row>
    <row r="618" spans="1:39" x14ac:dyDescent="0.25">
      <c r="A618" s="37" t="s">
        <v>62</v>
      </c>
      <c r="B618" s="66" t="s">
        <v>1566</v>
      </c>
      <c r="C618" s="41">
        <v>1006</v>
      </c>
      <c r="D618" s="41" t="s">
        <v>183</v>
      </c>
      <c r="E618" s="41">
        <v>10300001</v>
      </c>
      <c r="F618" s="85" t="s">
        <v>1143</v>
      </c>
      <c r="G618" s="39" t="s">
        <v>635</v>
      </c>
      <c r="H618" s="52" t="s">
        <v>99</v>
      </c>
      <c r="I618" s="52">
        <v>558.20000000000016</v>
      </c>
      <c r="J618" s="49">
        <v>31340.400000000005</v>
      </c>
      <c r="K618" s="58">
        <v>0</v>
      </c>
      <c r="L618" s="58">
        <v>0</v>
      </c>
      <c r="M618" s="58">
        <v>0</v>
      </c>
      <c r="N618" s="58">
        <v>0</v>
      </c>
      <c r="O618" s="65">
        <v>0</v>
      </c>
      <c r="P618" s="65">
        <v>0</v>
      </c>
      <c r="Q618" s="50">
        <v>31340.400000000005</v>
      </c>
      <c r="R618" s="65">
        <v>0</v>
      </c>
      <c r="S618" s="65">
        <v>0</v>
      </c>
      <c r="T618" s="65">
        <v>0</v>
      </c>
      <c r="U618" s="65">
        <v>0</v>
      </c>
      <c r="V618" s="65">
        <v>0</v>
      </c>
      <c r="W618" s="65">
        <v>0</v>
      </c>
      <c r="X618" s="65">
        <v>0</v>
      </c>
      <c r="Y618" s="65">
        <v>0</v>
      </c>
      <c r="Z618" s="65">
        <v>31340.400000000005</v>
      </c>
      <c r="AA618" s="51">
        <v>0</v>
      </c>
      <c r="AB618" s="102">
        <v>0</v>
      </c>
      <c r="AC618" s="81">
        <f t="shared" si="30"/>
        <v>159.22854604084543</v>
      </c>
      <c r="AD618" s="82">
        <f t="shared" si="31"/>
        <v>79.742857142857162</v>
      </c>
      <c r="AE618" s="218">
        <v>0</v>
      </c>
      <c r="AF618">
        <v>0</v>
      </c>
      <c r="AH618" t="str">
        <f t="shared" si="29"/>
        <v>Sonvarsha</v>
      </c>
      <c r="AJ618" s="72">
        <v>0</v>
      </c>
      <c r="AK618" s="72"/>
      <c r="AL618" s="72"/>
      <c r="AM618" s="72"/>
    </row>
    <row r="619" spans="1:39" x14ac:dyDescent="0.25">
      <c r="A619" s="37" t="s">
        <v>62</v>
      </c>
      <c r="B619" s="66" t="s">
        <v>1566</v>
      </c>
      <c r="C619" s="41">
        <v>1006</v>
      </c>
      <c r="D619" s="41" t="s">
        <v>183</v>
      </c>
      <c r="E619" s="41">
        <v>10310001</v>
      </c>
      <c r="F619" s="85" t="s">
        <v>407</v>
      </c>
      <c r="G619" s="39" t="s">
        <v>285</v>
      </c>
      <c r="H619" s="52" t="s">
        <v>94</v>
      </c>
      <c r="I619" s="52">
        <v>768.5</v>
      </c>
      <c r="J619" s="49">
        <v>29932.869999999995</v>
      </c>
      <c r="K619" s="58">
        <v>9</v>
      </c>
      <c r="L619" s="58">
        <v>356.40997920000007</v>
      </c>
      <c r="M619" s="58">
        <v>770.2</v>
      </c>
      <c r="N619" s="58">
        <v>30146.2855452</v>
      </c>
      <c r="O619" s="65">
        <v>779.2</v>
      </c>
      <c r="P619" s="65">
        <v>30502.695524400002</v>
      </c>
      <c r="Q619" s="50">
        <v>29932.869999999995</v>
      </c>
      <c r="R619" s="65">
        <v>0</v>
      </c>
      <c r="S619" s="65">
        <v>204.80375520000004</v>
      </c>
      <c r="T619" s="65">
        <v>569.82552440000654</v>
      </c>
      <c r="U619" s="65">
        <v>0</v>
      </c>
      <c r="V619" s="65">
        <v>311.93</v>
      </c>
      <c r="W619" s="65">
        <v>0</v>
      </c>
      <c r="X619" s="65">
        <v>356</v>
      </c>
      <c r="Y619" s="65">
        <v>29060</v>
      </c>
      <c r="Z619" s="65">
        <v>0</v>
      </c>
      <c r="AA619" s="51">
        <v>0</v>
      </c>
      <c r="AB619" s="102" t="s">
        <v>66</v>
      </c>
      <c r="AC619" s="81">
        <f t="shared" si="30"/>
        <v>0</v>
      </c>
      <c r="AD619" s="82">
        <f t="shared" si="31"/>
        <v>0</v>
      </c>
      <c r="AE619" s="218">
        <v>-1.903678211945619E-2</v>
      </c>
      <c r="AF619">
        <v>18</v>
      </c>
      <c r="AH619" t="str">
        <f t="shared" si="29"/>
        <v>Sonvarsha</v>
      </c>
      <c r="AJ619" s="72">
        <v>0</v>
      </c>
      <c r="AK619" s="72"/>
      <c r="AL619" s="72"/>
      <c r="AM619" s="72"/>
    </row>
    <row r="620" spans="1:39" x14ac:dyDescent="0.25">
      <c r="A620" s="37" t="s">
        <v>62</v>
      </c>
      <c r="B620" s="66" t="s">
        <v>1566</v>
      </c>
      <c r="C620" s="41">
        <v>1006</v>
      </c>
      <c r="D620" s="41" t="s">
        <v>183</v>
      </c>
      <c r="E620" s="41">
        <v>10320001</v>
      </c>
      <c r="F620" s="85" t="s">
        <v>408</v>
      </c>
      <c r="G620" s="39" t="s">
        <v>635</v>
      </c>
      <c r="H620" s="52" t="s">
        <v>99</v>
      </c>
      <c r="I620" s="52">
        <v>2313.2000000000003</v>
      </c>
      <c r="J620" s="49">
        <v>87009.180000000008</v>
      </c>
      <c r="K620" s="58">
        <v>0</v>
      </c>
      <c r="L620" s="58">
        <v>0</v>
      </c>
      <c r="M620" s="58">
        <v>0</v>
      </c>
      <c r="N620" s="58">
        <v>0</v>
      </c>
      <c r="O620" s="65">
        <v>0</v>
      </c>
      <c r="P620" s="65">
        <v>0</v>
      </c>
      <c r="Q620" s="50">
        <v>87009.180000000008</v>
      </c>
      <c r="R620" s="65">
        <v>0</v>
      </c>
      <c r="S620" s="65">
        <v>0</v>
      </c>
      <c r="T620" s="65">
        <v>0</v>
      </c>
      <c r="U620" s="65">
        <v>0</v>
      </c>
      <c r="V620" s="65">
        <v>0</v>
      </c>
      <c r="W620" s="65">
        <v>0</v>
      </c>
      <c r="X620" s="65">
        <v>0</v>
      </c>
      <c r="Y620" s="65">
        <v>0</v>
      </c>
      <c r="Z620" s="65">
        <v>87009.180000000008</v>
      </c>
      <c r="AA620" s="51">
        <v>0</v>
      </c>
      <c r="AB620" s="102">
        <v>0</v>
      </c>
      <c r="AC620" s="81">
        <f t="shared" si="30"/>
        <v>0</v>
      </c>
      <c r="AD620" s="82">
        <f t="shared" si="31"/>
        <v>0</v>
      </c>
      <c r="AE620" s="218">
        <v>0</v>
      </c>
      <c r="AF620">
        <v>0</v>
      </c>
      <c r="AH620" t="str">
        <f t="shared" si="29"/>
        <v>Sonvarsha</v>
      </c>
      <c r="AJ620" s="72">
        <v>0</v>
      </c>
      <c r="AK620" s="72"/>
      <c r="AL620" s="72"/>
      <c r="AM620" s="72"/>
    </row>
    <row r="621" spans="1:39" x14ac:dyDescent="0.25">
      <c r="A621" s="37" t="s">
        <v>62</v>
      </c>
      <c r="B621" s="66" t="s">
        <v>1566</v>
      </c>
      <c r="C621" s="41">
        <v>1006</v>
      </c>
      <c r="D621" s="41" t="s">
        <v>183</v>
      </c>
      <c r="E621" s="41">
        <v>10330001</v>
      </c>
      <c r="F621" s="85" t="s">
        <v>1209</v>
      </c>
      <c r="G621" s="39" t="s">
        <v>635</v>
      </c>
      <c r="H621" s="52" t="s">
        <v>99</v>
      </c>
      <c r="I621" s="52">
        <v>367.3</v>
      </c>
      <c r="J621" s="49">
        <v>12690.630000000001</v>
      </c>
      <c r="K621" s="58">
        <v>0</v>
      </c>
      <c r="L621" s="58">
        <v>0</v>
      </c>
      <c r="M621" s="58">
        <v>0</v>
      </c>
      <c r="N621" s="58">
        <v>0</v>
      </c>
      <c r="O621" s="65">
        <v>0</v>
      </c>
      <c r="P621" s="65">
        <v>0</v>
      </c>
      <c r="Q621" s="50">
        <v>12690.630000000001</v>
      </c>
      <c r="R621" s="65">
        <v>0</v>
      </c>
      <c r="S621" s="65">
        <v>0</v>
      </c>
      <c r="T621" s="65">
        <v>0</v>
      </c>
      <c r="U621" s="65">
        <v>9580</v>
      </c>
      <c r="V621" s="65">
        <v>3110.8166322580632</v>
      </c>
      <c r="W621" s="65">
        <v>0</v>
      </c>
      <c r="X621" s="65">
        <v>0</v>
      </c>
      <c r="Y621" s="65">
        <v>0</v>
      </c>
      <c r="Z621" s="65">
        <v>-0.18663225806221817</v>
      </c>
      <c r="AA621" s="51">
        <v>0</v>
      </c>
      <c r="AB621" s="102">
        <v>0</v>
      </c>
      <c r="AC621" s="81">
        <f t="shared" si="30"/>
        <v>229.90321813231691</v>
      </c>
      <c r="AD621" s="82">
        <f t="shared" si="31"/>
        <v>52.471428571428575</v>
      </c>
      <c r="AE621" s="218">
        <v>0</v>
      </c>
      <c r="AF621">
        <v>0</v>
      </c>
      <c r="AH621" t="str">
        <f t="shared" si="29"/>
        <v>Sonvarsha</v>
      </c>
      <c r="AJ621" s="72">
        <v>0</v>
      </c>
      <c r="AK621" s="72"/>
      <c r="AL621" s="72"/>
      <c r="AM621" s="72"/>
    </row>
    <row r="622" spans="1:39" x14ac:dyDescent="0.25">
      <c r="A622" s="37" t="s">
        <v>62</v>
      </c>
      <c r="B622" s="66" t="s">
        <v>1566</v>
      </c>
      <c r="C622" s="41">
        <v>1006</v>
      </c>
      <c r="D622" s="41" t="s">
        <v>183</v>
      </c>
      <c r="E622" s="41">
        <v>10340001</v>
      </c>
      <c r="F622" s="85" t="s">
        <v>409</v>
      </c>
      <c r="G622" s="39" t="s">
        <v>635</v>
      </c>
      <c r="H622" s="52" t="s">
        <v>99</v>
      </c>
      <c r="I622" s="52">
        <v>1707.6000000000001</v>
      </c>
      <c r="J622" s="49">
        <v>62872.539999999994</v>
      </c>
      <c r="K622" s="58">
        <v>0</v>
      </c>
      <c r="L622" s="58">
        <v>0</v>
      </c>
      <c r="M622" s="58">
        <v>0</v>
      </c>
      <c r="N622" s="58">
        <v>0</v>
      </c>
      <c r="O622" s="65">
        <v>0</v>
      </c>
      <c r="P622" s="65">
        <v>0</v>
      </c>
      <c r="Q622" s="50">
        <v>62872.539999999994</v>
      </c>
      <c r="R622" s="65">
        <v>0</v>
      </c>
      <c r="S622" s="65">
        <v>0</v>
      </c>
      <c r="T622" s="65">
        <v>0</v>
      </c>
      <c r="U622" s="65">
        <v>0</v>
      </c>
      <c r="V622" s="65">
        <v>0</v>
      </c>
      <c r="W622" s="65">
        <v>0</v>
      </c>
      <c r="X622" s="65">
        <v>0</v>
      </c>
      <c r="Y622" s="65">
        <v>0</v>
      </c>
      <c r="Z622" s="65">
        <v>62872.539999999994</v>
      </c>
      <c r="AA622" s="51">
        <v>0</v>
      </c>
      <c r="AB622" s="102">
        <v>0</v>
      </c>
      <c r="AC622" s="81">
        <f t="shared" si="30"/>
        <v>0</v>
      </c>
      <c r="AD622" s="82">
        <f t="shared" si="31"/>
        <v>0</v>
      </c>
      <c r="AE622" s="218">
        <v>0</v>
      </c>
      <c r="AF622">
        <v>0</v>
      </c>
      <c r="AH622" t="str">
        <f t="shared" si="29"/>
        <v>Sonvarsha</v>
      </c>
      <c r="AJ622" s="72">
        <v>0</v>
      </c>
      <c r="AK622" s="72"/>
      <c r="AL622" s="72"/>
      <c r="AM622" s="72"/>
    </row>
    <row r="623" spans="1:39" x14ac:dyDescent="0.25">
      <c r="A623" s="37" t="s">
        <v>62</v>
      </c>
      <c r="B623" s="66" t="s">
        <v>1566</v>
      </c>
      <c r="C623" s="41">
        <v>1006</v>
      </c>
      <c r="D623" s="41" t="s">
        <v>183</v>
      </c>
      <c r="E623" s="41">
        <v>10350001</v>
      </c>
      <c r="F623" s="85" t="s">
        <v>410</v>
      </c>
      <c r="G623" s="39" t="s">
        <v>285</v>
      </c>
      <c r="H623" s="52" t="s">
        <v>94</v>
      </c>
      <c r="I623" s="52">
        <v>1867</v>
      </c>
      <c r="J623" s="49">
        <v>68493.440000000002</v>
      </c>
      <c r="K623" s="58">
        <v>1898.8999999999999</v>
      </c>
      <c r="L623" s="58">
        <v>69211.808271567264</v>
      </c>
      <c r="M623" s="58">
        <v>17.399999999999999</v>
      </c>
      <c r="N623" s="58">
        <v>686.76272279999989</v>
      </c>
      <c r="O623" s="65">
        <v>1916.3</v>
      </c>
      <c r="P623" s="65">
        <v>69898.57099436727</v>
      </c>
      <c r="Q623" s="50">
        <v>68493.440000000002</v>
      </c>
      <c r="R623" s="65">
        <v>0</v>
      </c>
      <c r="S623" s="65">
        <v>686.76272279999989</v>
      </c>
      <c r="T623" s="65">
        <v>1405.1309943672677</v>
      </c>
      <c r="U623" s="65">
        <v>0</v>
      </c>
      <c r="V623" s="65">
        <v>0</v>
      </c>
      <c r="W623" s="65">
        <v>0</v>
      </c>
      <c r="X623" s="65">
        <v>67807</v>
      </c>
      <c r="Y623" s="65">
        <v>0</v>
      </c>
      <c r="Z623" s="65">
        <v>0</v>
      </c>
      <c r="AA623" s="51">
        <v>0</v>
      </c>
      <c r="AB623" s="102" t="s">
        <v>1427</v>
      </c>
      <c r="AC623" s="81">
        <f t="shared" si="30"/>
        <v>0</v>
      </c>
      <c r="AD623" s="82">
        <f t="shared" si="31"/>
        <v>0</v>
      </c>
      <c r="AE623" s="218">
        <v>-2.0514825863137662E-2</v>
      </c>
      <c r="AF623">
        <v>19</v>
      </c>
      <c r="AH623" t="str">
        <f t="shared" si="29"/>
        <v>Sonvarsha</v>
      </c>
      <c r="AJ623" s="72">
        <v>0</v>
      </c>
      <c r="AK623" s="72"/>
      <c r="AL623" s="72"/>
      <c r="AM623" s="72"/>
    </row>
    <row r="624" spans="1:39" x14ac:dyDescent="0.25">
      <c r="A624" s="37" t="s">
        <v>62</v>
      </c>
      <c r="B624" s="66" t="s">
        <v>1566</v>
      </c>
      <c r="C624" s="41">
        <v>1036</v>
      </c>
      <c r="D624" s="41" t="s">
        <v>411</v>
      </c>
      <c r="E624" s="41">
        <v>10360001</v>
      </c>
      <c r="F624" s="85" t="s">
        <v>411</v>
      </c>
      <c r="G624" s="39" t="s">
        <v>285</v>
      </c>
      <c r="H624" s="52" t="s">
        <v>94</v>
      </c>
      <c r="I624" s="52">
        <v>2500.6</v>
      </c>
      <c r="J624" s="49">
        <v>92858.589999999967</v>
      </c>
      <c r="K624" s="58">
        <v>2451.1</v>
      </c>
      <c r="L624" s="58">
        <v>91042.647110022823</v>
      </c>
      <c r="M624" s="58">
        <v>49.5</v>
      </c>
      <c r="N624" s="58">
        <v>1813.4955828000002</v>
      </c>
      <c r="O624" s="65">
        <v>2500.6</v>
      </c>
      <c r="P624" s="65">
        <v>92856.142692822817</v>
      </c>
      <c r="Q624" s="50">
        <v>92856.142692822817</v>
      </c>
      <c r="R624" s="65">
        <v>0</v>
      </c>
      <c r="S624" s="65">
        <v>1813.4955828000002</v>
      </c>
      <c r="T624" s="65">
        <v>0</v>
      </c>
      <c r="U624" s="65">
        <v>0</v>
      </c>
      <c r="V624" s="65">
        <v>0</v>
      </c>
      <c r="W624" s="65">
        <v>0</v>
      </c>
      <c r="X624" s="65">
        <v>91043</v>
      </c>
      <c r="Y624" s="65">
        <v>0</v>
      </c>
      <c r="Z624" s="65">
        <v>0</v>
      </c>
      <c r="AA624" s="51">
        <v>2</v>
      </c>
      <c r="AB624" s="102">
        <v>0</v>
      </c>
      <c r="AC624" s="81">
        <f t="shared" si="30"/>
        <v>0</v>
      </c>
      <c r="AD624" s="82">
        <f t="shared" si="31"/>
        <v>0</v>
      </c>
      <c r="AE624" s="218">
        <v>2.6355205018188672E-5</v>
      </c>
      <c r="AF624">
        <v>11</v>
      </c>
      <c r="AH624" t="str">
        <f t="shared" si="29"/>
        <v>MAHADAT PUR 2</v>
      </c>
      <c r="AJ624" s="72">
        <v>0</v>
      </c>
      <c r="AK624" s="72"/>
      <c r="AL624" s="72"/>
      <c r="AM624" s="72"/>
    </row>
    <row r="625" spans="1:39" x14ac:dyDescent="0.25">
      <c r="A625" s="37" t="s">
        <v>62</v>
      </c>
      <c r="B625" s="66" t="s">
        <v>1566</v>
      </c>
      <c r="C625" s="41">
        <v>1007</v>
      </c>
      <c r="D625" s="41" t="s">
        <v>207</v>
      </c>
      <c r="E625" s="41">
        <v>10370001</v>
      </c>
      <c r="F625" s="85" t="s">
        <v>533</v>
      </c>
      <c r="G625" s="39" t="s">
        <v>285</v>
      </c>
      <c r="H625" s="52" t="s">
        <v>94</v>
      </c>
      <c r="I625" s="52">
        <v>133</v>
      </c>
      <c r="J625" s="49">
        <v>4339.79</v>
      </c>
      <c r="K625" s="58">
        <v>133</v>
      </c>
      <c r="L625" s="58">
        <v>4339.9732899600012</v>
      </c>
      <c r="M625" s="58">
        <v>0</v>
      </c>
      <c r="N625" s="58">
        <v>0</v>
      </c>
      <c r="O625" s="65">
        <v>133</v>
      </c>
      <c r="P625" s="65">
        <v>4339.9732899600012</v>
      </c>
      <c r="Q625" s="50">
        <v>4339.79</v>
      </c>
      <c r="R625" s="65">
        <v>0</v>
      </c>
      <c r="S625" s="65">
        <v>0</v>
      </c>
      <c r="T625" s="65">
        <v>0.18328996000127518</v>
      </c>
      <c r="U625" s="65">
        <v>0</v>
      </c>
      <c r="V625" s="65">
        <v>4340</v>
      </c>
      <c r="W625" s="65">
        <v>0</v>
      </c>
      <c r="X625" s="65">
        <v>0</v>
      </c>
      <c r="Y625" s="65">
        <v>0</v>
      </c>
      <c r="Z625" s="65">
        <v>0</v>
      </c>
      <c r="AA625" s="51">
        <v>0</v>
      </c>
      <c r="AB625" s="102" t="s">
        <v>66</v>
      </c>
      <c r="AC625" s="81">
        <f t="shared" si="30"/>
        <v>370.02420000000006</v>
      </c>
      <c r="AD625" s="82">
        <f t="shared" si="31"/>
        <v>19</v>
      </c>
      <c r="AE625" s="218">
        <v>-4.2234753294808085E-5</v>
      </c>
      <c r="AF625">
        <v>2</v>
      </c>
      <c r="AH625" t="str">
        <f t="shared" si="29"/>
        <v>Araria</v>
      </c>
      <c r="AJ625" s="72">
        <v>0</v>
      </c>
      <c r="AK625" s="72"/>
      <c r="AL625" s="72"/>
      <c r="AM625" s="72"/>
    </row>
    <row r="626" spans="1:39" x14ac:dyDescent="0.25">
      <c r="A626" s="37" t="s">
        <v>62</v>
      </c>
      <c r="B626" s="66" t="s">
        <v>1566</v>
      </c>
      <c r="C626" s="41">
        <v>1007</v>
      </c>
      <c r="D626" s="41" t="s">
        <v>207</v>
      </c>
      <c r="E626" s="41">
        <v>10380001</v>
      </c>
      <c r="F626" s="85" t="s">
        <v>412</v>
      </c>
      <c r="G626" s="39" t="s">
        <v>285</v>
      </c>
      <c r="H626" s="52" t="s">
        <v>94</v>
      </c>
      <c r="I626" s="52">
        <v>787</v>
      </c>
      <c r="J626" s="49">
        <v>27077.93</v>
      </c>
      <c r="K626" s="58">
        <v>779</v>
      </c>
      <c r="L626" s="58">
        <v>26799.594624000005</v>
      </c>
      <c r="M626" s="58">
        <v>8</v>
      </c>
      <c r="N626" s="58">
        <v>275.88844800000004</v>
      </c>
      <c r="O626" s="65">
        <v>787</v>
      </c>
      <c r="P626" s="65">
        <v>27075.483072000006</v>
      </c>
      <c r="Q626" s="50">
        <v>27075.483072000006</v>
      </c>
      <c r="R626" s="65">
        <v>0</v>
      </c>
      <c r="S626" s="65">
        <v>275.88844800000004</v>
      </c>
      <c r="T626" s="65">
        <v>0</v>
      </c>
      <c r="U626" s="65">
        <v>0</v>
      </c>
      <c r="V626" s="65">
        <v>5764.5</v>
      </c>
      <c r="W626" s="65">
        <v>0</v>
      </c>
      <c r="X626" s="65">
        <v>21037</v>
      </c>
      <c r="Y626" s="65">
        <v>0</v>
      </c>
      <c r="Z626" s="65">
        <v>0</v>
      </c>
      <c r="AA626" s="51">
        <v>1</v>
      </c>
      <c r="AB626" s="102" t="s">
        <v>68</v>
      </c>
      <c r="AC626" s="81">
        <f t="shared" si="30"/>
        <v>0</v>
      </c>
      <c r="AD626" s="82">
        <f t="shared" si="31"/>
        <v>0</v>
      </c>
      <c r="AE626" s="218">
        <v>9.0366139508962903E-5</v>
      </c>
      <c r="AF626">
        <v>8</v>
      </c>
      <c r="AH626" t="str">
        <f t="shared" si="29"/>
        <v>Araria</v>
      </c>
      <c r="AJ626" s="72">
        <v>0</v>
      </c>
      <c r="AK626" s="72"/>
      <c r="AL626" s="72"/>
      <c r="AM626" s="72"/>
    </row>
    <row r="627" spans="1:39" x14ac:dyDescent="0.25">
      <c r="A627" s="37" t="s">
        <v>62</v>
      </c>
      <c r="B627" s="66" t="s">
        <v>1566</v>
      </c>
      <c r="C627" s="41">
        <v>1007</v>
      </c>
      <c r="D627" s="41" t="s">
        <v>207</v>
      </c>
      <c r="E627" s="41">
        <v>10390001</v>
      </c>
      <c r="F627" s="85" t="s">
        <v>501</v>
      </c>
      <c r="G627" s="39" t="s">
        <v>285</v>
      </c>
      <c r="H627" s="52" t="s">
        <v>99</v>
      </c>
      <c r="I627" s="52">
        <v>622</v>
      </c>
      <c r="J627" s="49">
        <v>21306.58</v>
      </c>
      <c r="K627" s="58">
        <v>451</v>
      </c>
      <c r="L627" s="58">
        <v>15451.340256000003</v>
      </c>
      <c r="M627" s="58">
        <v>0</v>
      </c>
      <c r="N627" s="58">
        <v>0</v>
      </c>
      <c r="O627" s="65">
        <v>451</v>
      </c>
      <c r="P627" s="65">
        <v>15451.340256000003</v>
      </c>
      <c r="Q627" s="50">
        <v>21306.58</v>
      </c>
      <c r="R627" s="65">
        <v>0</v>
      </c>
      <c r="S627" s="65">
        <v>41.185267200000013</v>
      </c>
      <c r="T627" s="65">
        <v>0</v>
      </c>
      <c r="U627" s="65">
        <v>0</v>
      </c>
      <c r="V627" s="65">
        <v>0</v>
      </c>
      <c r="W627" s="65">
        <v>0</v>
      </c>
      <c r="X627" s="65">
        <v>0</v>
      </c>
      <c r="Y627" s="65">
        <v>0</v>
      </c>
      <c r="Z627" s="65">
        <v>21265.394732800003</v>
      </c>
      <c r="AA627" s="51">
        <v>0</v>
      </c>
      <c r="AB627" s="102">
        <v>0</v>
      </c>
      <c r="AC627" s="81">
        <f t="shared" si="30"/>
        <v>53.437724758842435</v>
      </c>
      <c r="AD627" s="82">
        <f t="shared" si="31"/>
        <v>88.857142857142861</v>
      </c>
      <c r="AE627" s="218">
        <v>0</v>
      </c>
      <c r="AF627">
        <v>5</v>
      </c>
      <c r="AH627" t="str">
        <f t="shared" si="29"/>
        <v>Araria</v>
      </c>
      <c r="AJ627" s="72">
        <v>0</v>
      </c>
      <c r="AK627" s="72"/>
      <c r="AL627" s="72"/>
      <c r="AM627" s="72"/>
    </row>
    <row r="628" spans="1:39" x14ac:dyDescent="0.25">
      <c r="A628" s="37" t="s">
        <v>62</v>
      </c>
      <c r="B628" s="66" t="s">
        <v>1566</v>
      </c>
      <c r="C628" s="41">
        <v>1007</v>
      </c>
      <c r="D628" s="41" t="s">
        <v>207</v>
      </c>
      <c r="E628" s="41">
        <v>10400001</v>
      </c>
      <c r="F628" s="85" t="s">
        <v>413</v>
      </c>
      <c r="G628" s="39" t="s">
        <v>285</v>
      </c>
      <c r="H628" s="52" t="s">
        <v>94</v>
      </c>
      <c r="I628" s="52">
        <v>1985</v>
      </c>
      <c r="J628" s="49">
        <v>67333.549999999988</v>
      </c>
      <c r="K628" s="58">
        <v>1977</v>
      </c>
      <c r="L628" s="58">
        <v>67065.479712</v>
      </c>
      <c r="M628" s="58">
        <v>8</v>
      </c>
      <c r="N628" s="58">
        <v>271.53244800000004</v>
      </c>
      <c r="O628" s="65">
        <v>1985</v>
      </c>
      <c r="P628" s="65">
        <v>67337.012159999998</v>
      </c>
      <c r="Q628" s="50">
        <v>67333.549999999988</v>
      </c>
      <c r="R628" s="65">
        <v>0</v>
      </c>
      <c r="S628" s="65">
        <v>271.53244800000004</v>
      </c>
      <c r="T628" s="65">
        <v>3.4621600000100443</v>
      </c>
      <c r="U628" s="65">
        <v>0</v>
      </c>
      <c r="V628" s="65">
        <v>11267.25</v>
      </c>
      <c r="W628" s="65">
        <v>0</v>
      </c>
      <c r="X628" s="65">
        <v>55795</v>
      </c>
      <c r="Y628" s="65">
        <v>0</v>
      </c>
      <c r="Z628" s="65">
        <v>0</v>
      </c>
      <c r="AA628" s="51">
        <v>0</v>
      </c>
      <c r="AB628" s="102" t="s">
        <v>68</v>
      </c>
      <c r="AC628" s="81">
        <f t="shared" si="30"/>
        <v>0</v>
      </c>
      <c r="AD628" s="82">
        <f t="shared" si="31"/>
        <v>0</v>
      </c>
      <c r="AE628" s="218">
        <v>-5.1418052367802451E-5</v>
      </c>
      <c r="AF628">
        <v>7</v>
      </c>
      <c r="AH628" t="str">
        <f t="shared" si="29"/>
        <v>Araria</v>
      </c>
      <c r="AJ628" s="72">
        <v>0</v>
      </c>
      <c r="AK628" s="72"/>
      <c r="AL628" s="72"/>
      <c r="AM628" s="72"/>
    </row>
    <row r="629" spans="1:39" x14ac:dyDescent="0.25">
      <c r="A629" s="37" t="s">
        <v>62</v>
      </c>
      <c r="B629" s="66" t="s">
        <v>1566</v>
      </c>
      <c r="C629" s="41">
        <v>1007</v>
      </c>
      <c r="D629" s="41" t="s">
        <v>207</v>
      </c>
      <c r="E629" s="41">
        <v>10410001</v>
      </c>
      <c r="F629" s="85" t="s">
        <v>414</v>
      </c>
      <c r="G629" s="39" t="s">
        <v>285</v>
      </c>
      <c r="H629" s="52" t="s">
        <v>94</v>
      </c>
      <c r="I629" s="52">
        <v>2741</v>
      </c>
      <c r="J629" s="49">
        <v>92974.39</v>
      </c>
      <c r="K629" s="58">
        <v>1490</v>
      </c>
      <c r="L629" s="58">
        <v>50545.693440000003</v>
      </c>
      <c r="M629" s="58">
        <v>1253</v>
      </c>
      <c r="N629" s="58">
        <v>42501.891168000002</v>
      </c>
      <c r="O629" s="65">
        <v>2743</v>
      </c>
      <c r="P629" s="65">
        <v>93047.584608000005</v>
      </c>
      <c r="Q629" s="50">
        <v>92974.39</v>
      </c>
      <c r="R629" s="65">
        <v>0</v>
      </c>
      <c r="S629" s="65">
        <v>203.55033600000004</v>
      </c>
      <c r="T629" s="65">
        <v>73.194608000005246</v>
      </c>
      <c r="U629" s="65">
        <v>0</v>
      </c>
      <c r="V629" s="65">
        <v>13980.396000000004</v>
      </c>
      <c r="W629" s="65">
        <v>0</v>
      </c>
      <c r="X629" s="65">
        <v>36491</v>
      </c>
      <c r="Y629" s="65">
        <v>42299</v>
      </c>
      <c r="Z629" s="65">
        <v>0</v>
      </c>
      <c r="AA629" s="51">
        <v>0</v>
      </c>
      <c r="AB629" s="102">
        <v>0</v>
      </c>
      <c r="AC629" s="81">
        <f t="shared" si="30"/>
        <v>0</v>
      </c>
      <c r="AD629" s="82">
        <f t="shared" si="31"/>
        <v>0</v>
      </c>
      <c r="AE629" s="218">
        <v>-7.8725558726446335E-4</v>
      </c>
      <c r="AF629">
        <v>8</v>
      </c>
      <c r="AH629" t="str">
        <f t="shared" si="29"/>
        <v>Araria</v>
      </c>
      <c r="AJ629" s="72">
        <v>0</v>
      </c>
      <c r="AK629" s="72"/>
      <c r="AL629" s="72"/>
      <c r="AM629" s="72"/>
    </row>
    <row r="630" spans="1:39" x14ac:dyDescent="0.25">
      <c r="A630" s="37" t="s">
        <v>62</v>
      </c>
      <c r="B630" s="66" t="s">
        <v>1566</v>
      </c>
      <c r="C630" s="41">
        <v>1011</v>
      </c>
      <c r="D630" s="41" t="s">
        <v>289</v>
      </c>
      <c r="E630" s="41">
        <v>10440001</v>
      </c>
      <c r="F630" s="85" t="s">
        <v>415</v>
      </c>
      <c r="G630" s="39" t="s">
        <v>93</v>
      </c>
      <c r="H630" s="52" t="s">
        <v>94</v>
      </c>
      <c r="I630" s="52">
        <v>148.49999999999997</v>
      </c>
      <c r="J630" s="49">
        <v>5210.4500000000007</v>
      </c>
      <c r="K630" s="58">
        <v>266.2</v>
      </c>
      <c r="L630" s="58">
        <v>9745.1572600800009</v>
      </c>
      <c r="M630" s="58">
        <v>0</v>
      </c>
      <c r="N630" s="58">
        <v>0</v>
      </c>
      <c r="O630" s="65">
        <v>266.2</v>
      </c>
      <c r="P630" s="65">
        <v>9745.1572600800009</v>
      </c>
      <c r="Q630" s="50">
        <v>5210.4500000000007</v>
      </c>
      <c r="R630" s="65">
        <v>0</v>
      </c>
      <c r="S630" s="65">
        <v>0</v>
      </c>
      <c r="T630" s="65">
        <v>4534.7072600800002</v>
      </c>
      <c r="U630" s="65">
        <v>0</v>
      </c>
      <c r="V630" s="65">
        <v>114.03</v>
      </c>
      <c r="W630" s="65">
        <v>0</v>
      </c>
      <c r="X630" s="65">
        <v>5096</v>
      </c>
      <c r="Y630" s="65">
        <v>0</v>
      </c>
      <c r="Z630" s="65">
        <v>0</v>
      </c>
      <c r="AA630" s="51">
        <v>0</v>
      </c>
      <c r="AB630" s="102" t="s">
        <v>68</v>
      </c>
      <c r="AC630" s="81">
        <f t="shared" si="30"/>
        <v>387.01187542087558</v>
      </c>
      <c r="AD630" s="82">
        <f t="shared" si="31"/>
        <v>21.214285714285712</v>
      </c>
      <c r="AE630" s="218">
        <v>-0.87031009991075614</v>
      </c>
      <c r="AF630">
        <v>1</v>
      </c>
      <c r="AH630" t="str">
        <f t="shared" si="29"/>
        <v>Sahibpur Kamal</v>
      </c>
      <c r="AJ630" s="72">
        <v>0</v>
      </c>
      <c r="AK630" s="72"/>
      <c r="AL630" s="72"/>
      <c r="AM630" s="72"/>
    </row>
    <row r="631" spans="1:39" x14ac:dyDescent="0.25">
      <c r="A631" s="37" t="s">
        <v>62</v>
      </c>
      <c r="B631" s="66" t="s">
        <v>1566</v>
      </c>
      <c r="C631" s="41">
        <v>1003</v>
      </c>
      <c r="D631" s="41" t="s">
        <v>139</v>
      </c>
      <c r="E631" s="41">
        <v>10460001</v>
      </c>
      <c r="F631" s="85" t="s">
        <v>416</v>
      </c>
      <c r="G631" s="39" t="s">
        <v>285</v>
      </c>
      <c r="H631" s="52" t="s">
        <v>94</v>
      </c>
      <c r="I631" s="52">
        <v>168.85</v>
      </c>
      <c r="J631" s="49">
        <v>5885.0700000000006</v>
      </c>
      <c r="K631" s="58">
        <v>174.79999999999998</v>
      </c>
      <c r="L631" s="58">
        <v>6252.2033997060016</v>
      </c>
      <c r="M631" s="58">
        <v>1.3</v>
      </c>
      <c r="N631" s="58">
        <v>47.727189576000008</v>
      </c>
      <c r="O631" s="65">
        <v>176.1</v>
      </c>
      <c r="P631" s="65">
        <v>6299.9305892820021</v>
      </c>
      <c r="Q631" s="50">
        <v>5885.0700000000006</v>
      </c>
      <c r="R631" s="65">
        <v>0</v>
      </c>
      <c r="S631" s="65">
        <v>47.727189576000008</v>
      </c>
      <c r="T631" s="65">
        <v>414.86058928200146</v>
      </c>
      <c r="U631" s="65">
        <v>0</v>
      </c>
      <c r="V631" s="65">
        <v>0</v>
      </c>
      <c r="W631" s="65">
        <v>0</v>
      </c>
      <c r="X631" s="65">
        <v>5837</v>
      </c>
      <c r="Y631" s="65">
        <v>0</v>
      </c>
      <c r="Z631" s="65">
        <v>0</v>
      </c>
      <c r="AA631" s="51">
        <v>0</v>
      </c>
      <c r="AB631" s="102">
        <v>0</v>
      </c>
      <c r="AC631" s="81">
        <f t="shared" si="30"/>
        <v>370.25228670417545</v>
      </c>
      <c r="AD631" s="82">
        <f t="shared" si="31"/>
        <v>24.12142857142857</v>
      </c>
      <c r="AE631" s="218">
        <v>-7.049373911984079E-2</v>
      </c>
      <c r="AF631">
        <v>7</v>
      </c>
      <c r="AH631" t="str">
        <f t="shared" si="29"/>
        <v>Asarganj</v>
      </c>
      <c r="AJ631" s="72">
        <v>0</v>
      </c>
      <c r="AK631" s="72"/>
      <c r="AL631" s="72"/>
      <c r="AM631" s="72"/>
    </row>
    <row r="632" spans="1:39" x14ac:dyDescent="0.25">
      <c r="A632" s="37" t="s">
        <v>62</v>
      </c>
      <c r="B632" s="66" t="s">
        <v>1566</v>
      </c>
      <c r="C632" s="41">
        <v>1003</v>
      </c>
      <c r="D632" s="41" t="s">
        <v>139</v>
      </c>
      <c r="E632" s="41">
        <v>10460002</v>
      </c>
      <c r="F632" s="85" t="s">
        <v>417</v>
      </c>
      <c r="G632" s="39" t="s">
        <v>93</v>
      </c>
      <c r="H632" s="52" t="s">
        <v>94</v>
      </c>
      <c r="I632" s="52">
        <v>500.15</v>
      </c>
      <c r="J632" s="49">
        <v>14825.130000000001</v>
      </c>
      <c r="K632" s="58">
        <v>418.4</v>
      </c>
      <c r="L632" s="58">
        <v>12816.806997258</v>
      </c>
      <c r="M632" s="58">
        <v>1.2</v>
      </c>
      <c r="N632" s="58">
        <v>37.411259886000011</v>
      </c>
      <c r="O632" s="65">
        <v>419.59999999999997</v>
      </c>
      <c r="P632" s="65">
        <v>12854.218257143999</v>
      </c>
      <c r="Q632" s="50">
        <v>12854.218257143999</v>
      </c>
      <c r="R632" s="65">
        <v>0</v>
      </c>
      <c r="S632" s="65">
        <v>37.411259886000011</v>
      </c>
      <c r="T632" s="65">
        <v>0</v>
      </c>
      <c r="U632" s="65">
        <v>0</v>
      </c>
      <c r="V632" s="65">
        <v>0</v>
      </c>
      <c r="W632" s="65">
        <v>0</v>
      </c>
      <c r="X632" s="65">
        <v>12817</v>
      </c>
      <c r="Y632" s="65">
        <v>0</v>
      </c>
      <c r="Z632" s="65">
        <v>0</v>
      </c>
      <c r="AA632" s="51">
        <v>1971</v>
      </c>
      <c r="AB632" s="102">
        <v>0</v>
      </c>
      <c r="AC632" s="81">
        <f t="shared" si="30"/>
        <v>118.47654625612314</v>
      </c>
      <c r="AD632" s="82">
        <f t="shared" si="31"/>
        <v>71.45</v>
      </c>
      <c r="AE632" s="218">
        <v>0.13294397707514213</v>
      </c>
      <c r="AF632">
        <v>4</v>
      </c>
      <c r="AH632" t="str">
        <f t="shared" si="29"/>
        <v>Asarganj</v>
      </c>
      <c r="AJ632" s="72">
        <v>0</v>
      </c>
      <c r="AK632" s="72"/>
      <c r="AL632" s="72"/>
      <c r="AM632" s="72"/>
    </row>
    <row r="633" spans="1:39" x14ac:dyDescent="0.25">
      <c r="A633" s="37" t="s">
        <v>62</v>
      </c>
      <c r="B633" s="66" t="s">
        <v>1566</v>
      </c>
      <c r="C633" s="41">
        <v>1036</v>
      </c>
      <c r="D633" s="41" t="s">
        <v>411</v>
      </c>
      <c r="E633" s="41">
        <v>10480001</v>
      </c>
      <c r="F633" s="85" t="s">
        <v>418</v>
      </c>
      <c r="G633" s="39" t="s">
        <v>93</v>
      </c>
      <c r="H633" s="52" t="s">
        <v>94</v>
      </c>
      <c r="I633" s="52">
        <v>348.69999999999993</v>
      </c>
      <c r="J633" s="49">
        <v>11524.149999999998</v>
      </c>
      <c r="K633" s="58">
        <v>346.79999999999995</v>
      </c>
      <c r="L633" s="58">
        <v>11792.527098264001</v>
      </c>
      <c r="M633" s="58">
        <v>3.4999999999999996</v>
      </c>
      <c r="N633" s="58">
        <v>119.45419417800002</v>
      </c>
      <c r="O633" s="65">
        <v>350.29999999999995</v>
      </c>
      <c r="P633" s="65">
        <v>11911.981292442002</v>
      </c>
      <c r="Q633" s="50">
        <v>11524.149999999998</v>
      </c>
      <c r="R633" s="65">
        <v>0</v>
      </c>
      <c r="S633" s="65">
        <v>119.45419417800002</v>
      </c>
      <c r="T633" s="65">
        <v>387.83129244200427</v>
      </c>
      <c r="U633" s="65">
        <v>0</v>
      </c>
      <c r="V633" s="65">
        <v>0</v>
      </c>
      <c r="W633" s="65">
        <v>0</v>
      </c>
      <c r="X633" s="65">
        <v>11405</v>
      </c>
      <c r="Y633" s="65">
        <v>0</v>
      </c>
      <c r="Z633" s="65">
        <v>0</v>
      </c>
      <c r="AA633" s="51">
        <v>0</v>
      </c>
      <c r="AB633" s="102">
        <v>0</v>
      </c>
      <c r="AC633" s="81">
        <f t="shared" si="30"/>
        <v>232.20154258675083</v>
      </c>
      <c r="AD633" s="82">
        <f t="shared" si="31"/>
        <v>49.814285714285703</v>
      </c>
      <c r="AE633" s="218">
        <v>-3.3653787259104083E-2</v>
      </c>
      <c r="AF633">
        <v>3</v>
      </c>
      <c r="AH633" t="str">
        <f t="shared" si="29"/>
        <v>MAHADAT PUR 2</v>
      </c>
      <c r="AJ633" s="72">
        <v>0</v>
      </c>
      <c r="AK633" s="72"/>
      <c r="AL633" s="72"/>
      <c r="AM633" s="72"/>
    </row>
    <row r="634" spans="1:39" x14ac:dyDescent="0.25">
      <c r="A634" s="37" t="s">
        <v>62</v>
      </c>
      <c r="B634" s="66" t="s">
        <v>1566</v>
      </c>
      <c r="C634" s="41">
        <v>1036</v>
      </c>
      <c r="D634" s="41" t="s">
        <v>411</v>
      </c>
      <c r="E634" s="41">
        <v>10480002</v>
      </c>
      <c r="F634" s="85" t="s">
        <v>419</v>
      </c>
      <c r="G634" s="39" t="s">
        <v>635</v>
      </c>
      <c r="H634" s="52" t="s">
        <v>99</v>
      </c>
      <c r="I634" s="52">
        <v>247.79999999999998</v>
      </c>
      <c r="J634" s="49">
        <v>8619.9500000000007</v>
      </c>
      <c r="K634" s="58">
        <v>247.90000000000003</v>
      </c>
      <c r="L634" s="58">
        <v>8629.2707048460015</v>
      </c>
      <c r="M634" s="58">
        <v>0</v>
      </c>
      <c r="N634" s="58">
        <v>0</v>
      </c>
      <c r="O634" s="65">
        <v>247.90000000000003</v>
      </c>
      <c r="P634" s="65">
        <v>8629.2707048460015</v>
      </c>
      <c r="Q634" s="50">
        <v>8619.9500000000007</v>
      </c>
      <c r="R634" s="65">
        <v>0</v>
      </c>
      <c r="S634" s="65">
        <v>0</v>
      </c>
      <c r="T634" s="65">
        <v>9.3207048460008082</v>
      </c>
      <c r="U634" s="65">
        <v>0</v>
      </c>
      <c r="V634" s="65">
        <v>0</v>
      </c>
      <c r="W634" s="65">
        <v>0</v>
      </c>
      <c r="X634" s="65">
        <v>0</v>
      </c>
      <c r="Y634" s="65">
        <v>0</v>
      </c>
      <c r="Z634" s="65">
        <v>8619.9500000000007</v>
      </c>
      <c r="AA634" s="51">
        <v>0</v>
      </c>
      <c r="AB634" s="102">
        <v>0</v>
      </c>
      <c r="AC634" s="81">
        <f t="shared" si="30"/>
        <v>314.60382485875709</v>
      </c>
      <c r="AD634" s="82">
        <f t="shared" si="31"/>
        <v>35.4</v>
      </c>
      <c r="AE634" s="218">
        <v>0</v>
      </c>
      <c r="AF634">
        <v>1</v>
      </c>
      <c r="AH634" t="str">
        <f t="shared" si="29"/>
        <v>MAHADAT PUR 2</v>
      </c>
      <c r="AJ634" s="72">
        <v>0</v>
      </c>
      <c r="AK634" s="72"/>
      <c r="AL634" s="72"/>
      <c r="AM634" s="72"/>
    </row>
    <row r="635" spans="1:39" x14ac:dyDescent="0.25">
      <c r="A635" s="37" t="s">
        <v>62</v>
      </c>
      <c r="B635" s="66" t="s">
        <v>1566</v>
      </c>
      <c r="C635" s="41">
        <v>1007</v>
      </c>
      <c r="D635" s="41" t="s">
        <v>207</v>
      </c>
      <c r="E635" s="41">
        <v>10480003</v>
      </c>
      <c r="F635" s="85" t="s">
        <v>630</v>
      </c>
      <c r="G635" s="39" t="s">
        <v>635</v>
      </c>
      <c r="H635" s="52" t="s">
        <v>99</v>
      </c>
      <c r="I635" s="52">
        <v>294</v>
      </c>
      <c r="J635" s="49">
        <v>9608.3700000000008</v>
      </c>
      <c r="K635" s="58">
        <v>0</v>
      </c>
      <c r="L635" s="58">
        <v>0</v>
      </c>
      <c r="M635" s="58">
        <v>0</v>
      </c>
      <c r="N635" s="58">
        <v>0</v>
      </c>
      <c r="O635" s="65">
        <v>0</v>
      </c>
      <c r="P635" s="65">
        <v>0</v>
      </c>
      <c r="Q635" s="50">
        <v>9608.3700000000008</v>
      </c>
      <c r="R635" s="65">
        <v>0</v>
      </c>
      <c r="S635" s="65">
        <v>0</v>
      </c>
      <c r="T635" s="65">
        <v>0</v>
      </c>
      <c r="U635" s="65">
        <v>0</v>
      </c>
      <c r="V635" s="65">
        <v>9.2101935483871955</v>
      </c>
      <c r="W635" s="65">
        <v>0</v>
      </c>
      <c r="X635" s="65">
        <v>0</v>
      </c>
      <c r="Y635" s="65">
        <v>0</v>
      </c>
      <c r="Z635" s="65">
        <v>9599.1598064516129</v>
      </c>
      <c r="AA635" s="51">
        <v>0</v>
      </c>
      <c r="AB635" s="102">
        <v>0</v>
      </c>
      <c r="AC635" s="81">
        <f t="shared" si="30"/>
        <v>265.3740285714286</v>
      </c>
      <c r="AD635" s="82">
        <f t="shared" si="31"/>
        <v>42</v>
      </c>
      <c r="AE635" s="218">
        <v>0</v>
      </c>
      <c r="AF635">
        <v>0</v>
      </c>
      <c r="AH635" t="str">
        <f t="shared" si="29"/>
        <v>Araria</v>
      </c>
      <c r="AJ635" s="72">
        <v>0</v>
      </c>
      <c r="AK635" s="72"/>
      <c r="AL635" s="72"/>
      <c r="AM635" s="72"/>
    </row>
    <row r="636" spans="1:39" x14ac:dyDescent="0.25">
      <c r="A636" s="37" t="s">
        <v>62</v>
      </c>
      <c r="B636" s="66" t="s">
        <v>1566</v>
      </c>
      <c r="C636" s="41">
        <v>1036</v>
      </c>
      <c r="D636" s="41" t="s">
        <v>411</v>
      </c>
      <c r="E636" s="41">
        <v>10480005</v>
      </c>
      <c r="F636" s="85" t="s">
        <v>631</v>
      </c>
      <c r="G636" s="39" t="s">
        <v>93</v>
      </c>
      <c r="H636" s="52" t="s">
        <v>94</v>
      </c>
      <c r="I636" s="52">
        <v>337.09999999999997</v>
      </c>
      <c r="J636" s="49">
        <v>12845.880000000001</v>
      </c>
      <c r="K636" s="58">
        <v>336.5</v>
      </c>
      <c r="L636" s="58">
        <v>12924.799854120001</v>
      </c>
      <c r="M636" s="58">
        <v>1.3</v>
      </c>
      <c r="N636" s="58">
        <v>50.425408440000005</v>
      </c>
      <c r="O636" s="65">
        <v>337.8</v>
      </c>
      <c r="P636" s="65">
        <v>12975.225262560001</v>
      </c>
      <c r="Q636" s="50">
        <v>12845.880000000001</v>
      </c>
      <c r="R636" s="65">
        <v>0</v>
      </c>
      <c r="S636" s="65">
        <v>50.425408440000005</v>
      </c>
      <c r="T636" s="65">
        <v>129.34526256000026</v>
      </c>
      <c r="U636" s="65">
        <v>0</v>
      </c>
      <c r="V636" s="65">
        <v>0</v>
      </c>
      <c r="W636" s="65">
        <v>0</v>
      </c>
      <c r="X636" s="65">
        <v>12795</v>
      </c>
      <c r="Y636" s="65">
        <v>0</v>
      </c>
      <c r="Z636" s="65">
        <v>0</v>
      </c>
      <c r="AA636" s="51">
        <v>0</v>
      </c>
      <c r="AB636" s="102">
        <v>0</v>
      </c>
      <c r="AC636" s="81">
        <f t="shared" si="30"/>
        <v>276.58082776624155</v>
      </c>
      <c r="AD636" s="82">
        <f t="shared" si="31"/>
        <v>48.157142857142851</v>
      </c>
      <c r="AE636" s="218">
        <v>-1.0069007538603836E-2</v>
      </c>
      <c r="AF636">
        <v>5</v>
      </c>
      <c r="AH636" t="str">
        <f t="shared" ref="AH636:AH697" si="32">TEXT(D636,"0000")</f>
        <v>MAHADAT PUR 2</v>
      </c>
      <c r="AJ636" s="72">
        <v>0</v>
      </c>
      <c r="AK636" s="72"/>
      <c r="AL636" s="72"/>
      <c r="AM636" s="72"/>
    </row>
    <row r="637" spans="1:39" x14ac:dyDescent="0.25">
      <c r="A637" s="37" t="s">
        <v>62</v>
      </c>
      <c r="B637" s="66" t="s">
        <v>1566</v>
      </c>
      <c r="C637" s="41">
        <v>1036</v>
      </c>
      <c r="D637" s="41" t="s">
        <v>411</v>
      </c>
      <c r="E637" s="41">
        <v>10480008</v>
      </c>
      <c r="F637" s="85" t="s">
        <v>632</v>
      </c>
      <c r="G637" s="39" t="s">
        <v>93</v>
      </c>
      <c r="H637" s="52" t="s">
        <v>94</v>
      </c>
      <c r="I637" s="52">
        <v>401.2</v>
      </c>
      <c r="J637" s="49">
        <v>15057.04</v>
      </c>
      <c r="K637" s="58">
        <v>268.34000000000003</v>
      </c>
      <c r="L637" s="58">
        <v>10576.141885216801</v>
      </c>
      <c r="M637" s="58">
        <v>141.27000000000001</v>
      </c>
      <c r="N637" s="58">
        <v>5705.5568057457604</v>
      </c>
      <c r="O637" s="65">
        <v>409.61</v>
      </c>
      <c r="P637" s="65">
        <v>16281.698690962561</v>
      </c>
      <c r="Q637" s="50">
        <v>15057.04</v>
      </c>
      <c r="R637" s="65">
        <v>0</v>
      </c>
      <c r="S637" s="65">
        <v>131.39508729600001</v>
      </c>
      <c r="T637" s="65">
        <v>1224.6586909625603</v>
      </c>
      <c r="U637" s="65">
        <v>0</v>
      </c>
      <c r="V637" s="65">
        <v>0</v>
      </c>
      <c r="W637" s="65">
        <v>0</v>
      </c>
      <c r="X637" s="65">
        <v>9351</v>
      </c>
      <c r="Y637" s="65">
        <v>5575</v>
      </c>
      <c r="Z637" s="65">
        <v>0</v>
      </c>
      <c r="AA637" s="51">
        <v>0</v>
      </c>
      <c r="AB637" s="102">
        <v>0</v>
      </c>
      <c r="AC637" s="81">
        <f t="shared" si="30"/>
        <v>224.27933958125629</v>
      </c>
      <c r="AD637" s="82">
        <f t="shared" si="31"/>
        <v>57.31428571428571</v>
      </c>
      <c r="AE637" s="218">
        <v>-8.1334624266294051E-2</v>
      </c>
      <c r="AF637">
        <v>8</v>
      </c>
      <c r="AH637" t="str">
        <f t="shared" si="32"/>
        <v>MAHADAT PUR 2</v>
      </c>
      <c r="AJ637" s="72">
        <v>0</v>
      </c>
      <c r="AK637" s="72"/>
      <c r="AL637" s="72"/>
      <c r="AM637" s="72"/>
    </row>
    <row r="638" spans="1:39" x14ac:dyDescent="0.25">
      <c r="A638" s="37" t="s">
        <v>62</v>
      </c>
      <c r="B638" s="66" t="s">
        <v>1566</v>
      </c>
      <c r="C638" s="41">
        <v>1036</v>
      </c>
      <c r="D638" s="41" t="s">
        <v>411</v>
      </c>
      <c r="E638" s="41">
        <v>10480012</v>
      </c>
      <c r="F638" s="85" t="s">
        <v>73</v>
      </c>
      <c r="G638" s="39" t="s">
        <v>93</v>
      </c>
      <c r="H638" s="52" t="s">
        <v>94</v>
      </c>
      <c r="I638" s="52">
        <v>428.70000000000005</v>
      </c>
      <c r="J638" s="49">
        <v>14122.220000000003</v>
      </c>
      <c r="K638" s="58">
        <v>468.26000000000005</v>
      </c>
      <c r="L638" s="58">
        <v>18169.85455379666</v>
      </c>
      <c r="M638" s="58">
        <v>0</v>
      </c>
      <c r="N638" s="58">
        <v>0</v>
      </c>
      <c r="O638" s="65">
        <v>468.26000000000005</v>
      </c>
      <c r="P638" s="65">
        <v>18169.85455379666</v>
      </c>
      <c r="Q638" s="50">
        <v>14122.220000000003</v>
      </c>
      <c r="R638" s="65">
        <v>0</v>
      </c>
      <c r="S638" s="65">
        <v>0</v>
      </c>
      <c r="T638" s="65">
        <v>4047.6345537966572</v>
      </c>
      <c r="U638" s="65">
        <v>0</v>
      </c>
      <c r="V638" s="65">
        <v>0</v>
      </c>
      <c r="W638" s="65">
        <v>0</v>
      </c>
      <c r="X638" s="65">
        <v>14122</v>
      </c>
      <c r="Y638" s="65">
        <v>0</v>
      </c>
      <c r="Z638" s="65">
        <v>0</v>
      </c>
      <c r="AA638" s="51">
        <v>0</v>
      </c>
      <c r="AB638" s="102">
        <v>0</v>
      </c>
      <c r="AC638" s="81">
        <f t="shared" si="30"/>
        <v>178.74309708420807</v>
      </c>
      <c r="AD638" s="82">
        <f t="shared" si="31"/>
        <v>61.242857142857147</v>
      </c>
      <c r="AE638" s="218">
        <v>-0.2866146083120541</v>
      </c>
      <c r="AF638">
        <v>10</v>
      </c>
      <c r="AH638" t="str">
        <f t="shared" si="32"/>
        <v>MAHADAT PUR 2</v>
      </c>
      <c r="AJ638" s="72">
        <v>0</v>
      </c>
      <c r="AK638" s="72"/>
      <c r="AL638" s="72"/>
      <c r="AM638" s="72"/>
    </row>
    <row r="639" spans="1:39" x14ac:dyDescent="0.25">
      <c r="A639" s="37" t="s">
        <v>62</v>
      </c>
      <c r="B639" s="66" t="s">
        <v>1566</v>
      </c>
      <c r="C639" s="41">
        <v>1036</v>
      </c>
      <c r="D639" s="41" t="s">
        <v>411</v>
      </c>
      <c r="E639" s="41">
        <v>10480016</v>
      </c>
      <c r="F639" s="85" t="s">
        <v>429</v>
      </c>
      <c r="G639" s="39" t="s">
        <v>93</v>
      </c>
      <c r="H639" s="52" t="s">
        <v>94</v>
      </c>
      <c r="I639" s="52">
        <v>106.5</v>
      </c>
      <c r="J639" s="49">
        <v>3534.39</v>
      </c>
      <c r="K639" s="58">
        <v>113.8</v>
      </c>
      <c r="L639" s="58">
        <v>3925.4743206360008</v>
      </c>
      <c r="M639" s="58">
        <v>0</v>
      </c>
      <c r="N639" s="58">
        <v>0</v>
      </c>
      <c r="O639" s="65">
        <v>113.8</v>
      </c>
      <c r="P639" s="65">
        <v>3925.4743206360008</v>
      </c>
      <c r="Q639" s="50">
        <v>3534.39</v>
      </c>
      <c r="R639" s="65">
        <v>0</v>
      </c>
      <c r="S639" s="65">
        <v>0</v>
      </c>
      <c r="T639" s="65">
        <v>391.08432063600094</v>
      </c>
      <c r="U639" s="65">
        <v>0</v>
      </c>
      <c r="V639" s="65">
        <v>0</v>
      </c>
      <c r="W639" s="65">
        <v>0</v>
      </c>
      <c r="X639" s="65">
        <v>3534</v>
      </c>
      <c r="Y639" s="65">
        <v>0</v>
      </c>
      <c r="Z639" s="65">
        <v>0</v>
      </c>
      <c r="AA639" s="51">
        <v>0</v>
      </c>
      <c r="AB639" s="102">
        <v>0</v>
      </c>
      <c r="AC639" s="81">
        <f t="shared" si="30"/>
        <v>393.92684788732396</v>
      </c>
      <c r="AD639" s="82">
        <f t="shared" si="31"/>
        <v>15.214285714285714</v>
      </c>
      <c r="AE639" s="218">
        <v>-0.11065115073209265</v>
      </c>
      <c r="AF639">
        <v>1</v>
      </c>
      <c r="AH639" t="str">
        <f t="shared" si="32"/>
        <v>MAHADAT PUR 2</v>
      </c>
      <c r="AJ639" s="72">
        <v>0</v>
      </c>
      <c r="AK639" s="72"/>
      <c r="AL639" s="72"/>
      <c r="AM639" s="72"/>
    </row>
    <row r="640" spans="1:39" x14ac:dyDescent="0.25">
      <c r="A640" s="37" t="s">
        <v>62</v>
      </c>
      <c r="B640" s="66" t="s">
        <v>1566</v>
      </c>
      <c r="C640" s="41">
        <v>1036</v>
      </c>
      <c r="D640" s="41" t="s">
        <v>411</v>
      </c>
      <c r="E640" s="41">
        <v>10480022</v>
      </c>
      <c r="F640" s="85" t="s">
        <v>633</v>
      </c>
      <c r="G640" s="39" t="s">
        <v>93</v>
      </c>
      <c r="H640" s="52" t="s">
        <v>94</v>
      </c>
      <c r="I640" s="52">
        <v>575.19999999999993</v>
      </c>
      <c r="J640" s="49">
        <v>21398.270000000004</v>
      </c>
      <c r="K640" s="58">
        <v>254.59999999999997</v>
      </c>
      <c r="L640" s="58">
        <v>9801.1892563199999</v>
      </c>
      <c r="M640" s="58">
        <v>257.59999999999997</v>
      </c>
      <c r="N640" s="58">
        <v>9921.3253484400011</v>
      </c>
      <c r="O640" s="65">
        <v>512.19999999999993</v>
      </c>
      <c r="P640" s="65">
        <v>19722.514604759999</v>
      </c>
      <c r="Q640" s="50">
        <v>19722.514604759999</v>
      </c>
      <c r="R640" s="65">
        <v>0</v>
      </c>
      <c r="S640" s="65">
        <v>79.400288880000019</v>
      </c>
      <c r="T640" s="65">
        <v>0</v>
      </c>
      <c r="U640" s="65">
        <v>0</v>
      </c>
      <c r="V640" s="65">
        <v>0</v>
      </c>
      <c r="W640" s="65">
        <v>0</v>
      </c>
      <c r="X640" s="65">
        <v>9801</v>
      </c>
      <c r="Y640" s="65">
        <v>9842</v>
      </c>
      <c r="Z640" s="65">
        <v>0</v>
      </c>
      <c r="AA640" s="51">
        <v>1676</v>
      </c>
      <c r="AB640" s="102">
        <v>0</v>
      </c>
      <c r="AC640" s="81">
        <f t="shared" si="30"/>
        <v>92.854801668984763</v>
      </c>
      <c r="AD640" s="82">
        <f t="shared" si="31"/>
        <v>82.171428571428564</v>
      </c>
      <c r="AE640" s="218">
        <v>7.8312657763454918E-2</v>
      </c>
      <c r="AF640">
        <v>3</v>
      </c>
      <c r="AH640" t="str">
        <f t="shared" si="32"/>
        <v>MAHADAT PUR 2</v>
      </c>
      <c r="AJ640" s="72">
        <v>0</v>
      </c>
      <c r="AK640" s="72"/>
      <c r="AL640" s="72"/>
      <c r="AM640" s="72"/>
    </row>
    <row r="641" spans="1:39" x14ac:dyDescent="0.25">
      <c r="A641" s="37" t="s">
        <v>62</v>
      </c>
      <c r="B641" s="66" t="s">
        <v>1566</v>
      </c>
      <c r="C641" s="41">
        <v>1036</v>
      </c>
      <c r="D641" s="41" t="s">
        <v>411</v>
      </c>
      <c r="E641" s="41">
        <v>10480023</v>
      </c>
      <c r="F641" s="85" t="s">
        <v>634</v>
      </c>
      <c r="G641" s="39" t="s">
        <v>93</v>
      </c>
      <c r="H641" s="52" t="s">
        <v>94</v>
      </c>
      <c r="I641" s="52">
        <v>1283.6000000000004</v>
      </c>
      <c r="J641" s="49">
        <v>49979.18</v>
      </c>
      <c r="K641" s="58">
        <v>1244</v>
      </c>
      <c r="L641" s="58">
        <v>49253.058439200016</v>
      </c>
      <c r="M641" s="58">
        <v>40.500000000000007</v>
      </c>
      <c r="N641" s="58">
        <v>1595.1978306000001</v>
      </c>
      <c r="O641" s="65">
        <v>1284.5</v>
      </c>
      <c r="P641" s="65">
        <v>50848.256269800018</v>
      </c>
      <c r="Q641" s="50">
        <v>49979.18</v>
      </c>
      <c r="R641" s="65">
        <v>0</v>
      </c>
      <c r="S641" s="65">
        <v>1284.725277</v>
      </c>
      <c r="T641" s="65">
        <v>869.07626980001805</v>
      </c>
      <c r="U641" s="65">
        <v>0</v>
      </c>
      <c r="V641" s="65">
        <v>0</v>
      </c>
      <c r="W641" s="65">
        <v>0</v>
      </c>
      <c r="X641" s="65">
        <v>48384</v>
      </c>
      <c r="Y641" s="65">
        <v>310</v>
      </c>
      <c r="Z641" s="65">
        <v>0</v>
      </c>
      <c r="AA641" s="51">
        <v>0</v>
      </c>
      <c r="AB641" s="102">
        <v>0</v>
      </c>
      <c r="AC641" s="81">
        <f t="shared" si="30"/>
        <v>0</v>
      </c>
      <c r="AD641" s="82">
        <f t="shared" si="31"/>
        <v>0</v>
      </c>
      <c r="AE641" s="218">
        <v>-1.7388766078195322E-2</v>
      </c>
      <c r="AF641">
        <v>6</v>
      </c>
      <c r="AH641" t="str">
        <f t="shared" si="32"/>
        <v>MAHADAT PUR 2</v>
      </c>
      <c r="AJ641" s="72">
        <v>0</v>
      </c>
      <c r="AK641" s="72"/>
      <c r="AL641" s="72"/>
      <c r="AM641" s="72"/>
    </row>
    <row r="642" spans="1:39" x14ac:dyDescent="0.25">
      <c r="A642" s="37" t="s">
        <v>62</v>
      </c>
      <c r="B642" s="66" t="s">
        <v>1566</v>
      </c>
      <c r="C642" s="41">
        <v>1036</v>
      </c>
      <c r="D642" s="41" t="s">
        <v>411</v>
      </c>
      <c r="E642" s="41">
        <v>10480028</v>
      </c>
      <c r="F642" s="85" t="s">
        <v>541</v>
      </c>
      <c r="G642" s="39" t="s">
        <v>635</v>
      </c>
      <c r="H642" s="52" t="s">
        <v>99</v>
      </c>
      <c r="I642" s="52">
        <v>60.3</v>
      </c>
      <c r="J642" s="49">
        <v>2191.6799999999998</v>
      </c>
      <c r="K642" s="58">
        <v>0</v>
      </c>
      <c r="L642" s="58">
        <v>0</v>
      </c>
      <c r="M642" s="58">
        <v>0</v>
      </c>
      <c r="N642" s="58">
        <v>0</v>
      </c>
      <c r="O642" s="65">
        <v>0</v>
      </c>
      <c r="P642" s="65">
        <v>0</v>
      </c>
      <c r="Q642" s="50">
        <v>2191.6799999999998</v>
      </c>
      <c r="R642" s="65">
        <v>0</v>
      </c>
      <c r="S642" s="65">
        <v>0</v>
      </c>
      <c r="T642" s="65">
        <v>0</v>
      </c>
      <c r="U642" s="65">
        <v>0</v>
      </c>
      <c r="V642" s="65">
        <v>0</v>
      </c>
      <c r="W642" s="65">
        <v>0</v>
      </c>
      <c r="X642" s="65">
        <v>0</v>
      </c>
      <c r="Y642" s="65">
        <v>0</v>
      </c>
      <c r="Z642" s="65">
        <v>2191.6799999999998</v>
      </c>
      <c r="AA642" s="51">
        <v>0</v>
      </c>
      <c r="AB642" s="102">
        <v>0</v>
      </c>
      <c r="AC642" s="81">
        <f t="shared" si="30"/>
        <v>465.0141611940299</v>
      </c>
      <c r="AD642" s="82">
        <f t="shared" si="31"/>
        <v>8.6142857142857139</v>
      </c>
      <c r="AE642" s="218">
        <v>0</v>
      </c>
      <c r="AF642">
        <v>0</v>
      </c>
      <c r="AH642" t="str">
        <f t="shared" si="32"/>
        <v>MAHADAT PUR 2</v>
      </c>
      <c r="AJ642" s="72">
        <v>0</v>
      </c>
      <c r="AK642" s="72"/>
      <c r="AL642" s="72"/>
      <c r="AM642" s="72"/>
    </row>
    <row r="643" spans="1:39" x14ac:dyDescent="0.25">
      <c r="A643" s="37" t="s">
        <v>62</v>
      </c>
      <c r="B643" s="66" t="s">
        <v>1566</v>
      </c>
      <c r="C643" s="41">
        <v>1036</v>
      </c>
      <c r="D643" s="41" t="s">
        <v>411</v>
      </c>
      <c r="E643" s="41">
        <v>10480033</v>
      </c>
      <c r="F643" s="85" t="s">
        <v>1253</v>
      </c>
      <c r="G643" s="39" t="s">
        <v>635</v>
      </c>
      <c r="H643" s="52" t="s">
        <v>99</v>
      </c>
      <c r="I643" s="52">
        <v>310.59999999999997</v>
      </c>
      <c r="J643" s="49">
        <v>10585.45</v>
      </c>
      <c r="K643" s="58">
        <v>0</v>
      </c>
      <c r="L643" s="58">
        <v>0</v>
      </c>
      <c r="M643" s="58">
        <v>0</v>
      </c>
      <c r="N643" s="58">
        <v>0</v>
      </c>
      <c r="O643" s="65">
        <v>0</v>
      </c>
      <c r="P643" s="65">
        <v>0</v>
      </c>
      <c r="Q643" s="50">
        <v>10585.45</v>
      </c>
      <c r="R643" s="65">
        <v>0</v>
      </c>
      <c r="S643" s="65">
        <v>0</v>
      </c>
      <c r="T643" s="65">
        <v>0</v>
      </c>
      <c r="U643" s="65">
        <v>0</v>
      </c>
      <c r="V643" s="65">
        <v>0</v>
      </c>
      <c r="W643" s="65">
        <v>0</v>
      </c>
      <c r="X643" s="65">
        <v>0</v>
      </c>
      <c r="Y643" s="65">
        <v>0</v>
      </c>
      <c r="Z643" s="65">
        <v>10585.45</v>
      </c>
      <c r="AA643" s="51">
        <v>0</v>
      </c>
      <c r="AB643" s="102">
        <v>0</v>
      </c>
      <c r="AC643" s="81">
        <f t="shared" si="30"/>
        <v>265.42010495814554</v>
      </c>
      <c r="AD643" s="82">
        <f t="shared" si="31"/>
        <v>44.371428571428567</v>
      </c>
      <c r="AE643" s="218">
        <v>0</v>
      </c>
      <c r="AF643">
        <v>0</v>
      </c>
      <c r="AH643" t="str">
        <f t="shared" si="32"/>
        <v>MAHADAT PUR 2</v>
      </c>
      <c r="AJ643" s="72">
        <v>0</v>
      </c>
      <c r="AK643" s="72"/>
      <c r="AL643" s="72"/>
      <c r="AM643" s="72"/>
    </row>
    <row r="644" spans="1:39" x14ac:dyDescent="0.25">
      <c r="A644" s="37" t="s">
        <v>62</v>
      </c>
      <c r="B644" s="66" t="s">
        <v>1566</v>
      </c>
      <c r="C644" s="41">
        <v>1036</v>
      </c>
      <c r="D644" s="41" t="s">
        <v>411</v>
      </c>
      <c r="E644" s="41">
        <v>10480034</v>
      </c>
      <c r="F644" s="85" t="s">
        <v>1159</v>
      </c>
      <c r="G644" s="39" t="s">
        <v>635</v>
      </c>
      <c r="H644" s="52" t="s">
        <v>99</v>
      </c>
      <c r="I644" s="52">
        <v>254.6</v>
      </c>
      <c r="J644" s="49">
        <v>9492.65</v>
      </c>
      <c r="K644" s="58">
        <v>0</v>
      </c>
      <c r="L644" s="58">
        <v>0</v>
      </c>
      <c r="M644" s="58">
        <v>0</v>
      </c>
      <c r="N644" s="58">
        <v>0</v>
      </c>
      <c r="O644" s="65">
        <v>0</v>
      </c>
      <c r="P644" s="65">
        <v>0</v>
      </c>
      <c r="Q644" s="50">
        <v>9492.65</v>
      </c>
      <c r="R644" s="65">
        <v>0</v>
      </c>
      <c r="S644" s="65">
        <v>0</v>
      </c>
      <c r="T644" s="65">
        <v>0</v>
      </c>
      <c r="U644" s="65">
        <v>0</v>
      </c>
      <c r="V644" s="65">
        <v>0</v>
      </c>
      <c r="W644" s="65">
        <v>0</v>
      </c>
      <c r="X644" s="65">
        <v>0</v>
      </c>
      <c r="Y644" s="65">
        <v>0</v>
      </c>
      <c r="Z644" s="65">
        <v>9492.65</v>
      </c>
      <c r="AA644" s="51">
        <v>0</v>
      </c>
      <c r="AB644" s="102">
        <v>0</v>
      </c>
      <c r="AC644" s="81">
        <f t="shared" ref="AC644:AC707" si="33">((IF(AD644=0,0,100-AD644))*7*(J644/I644))*2%</f>
        <v>332.13089630793405</v>
      </c>
      <c r="AD644" s="82">
        <f t="shared" ref="AD644:AD707" si="34">IF((I644/7)&gt;100,0,(I644/7))</f>
        <v>36.371428571428574</v>
      </c>
      <c r="AE644" s="218">
        <v>0</v>
      </c>
      <c r="AF644">
        <v>0</v>
      </c>
      <c r="AH644" t="str">
        <f t="shared" si="32"/>
        <v>MAHADAT PUR 2</v>
      </c>
      <c r="AJ644" s="72">
        <v>0</v>
      </c>
      <c r="AK644" s="72"/>
      <c r="AL644" s="72"/>
      <c r="AM644" s="72"/>
    </row>
    <row r="645" spans="1:39" x14ac:dyDescent="0.25">
      <c r="A645" s="37" t="s">
        <v>62</v>
      </c>
      <c r="B645" s="66" t="s">
        <v>1566</v>
      </c>
      <c r="C645" s="41">
        <v>1036</v>
      </c>
      <c r="D645" s="41" t="s">
        <v>411</v>
      </c>
      <c r="E645" s="41">
        <v>10480036</v>
      </c>
      <c r="F645" s="85" t="s">
        <v>1329</v>
      </c>
      <c r="G645" s="39" t="s">
        <v>635</v>
      </c>
      <c r="H645" s="52" t="s">
        <v>99</v>
      </c>
      <c r="I645" s="52">
        <v>178.6</v>
      </c>
      <c r="J645" s="49">
        <v>6456.8700000000008</v>
      </c>
      <c r="K645" s="58">
        <v>0</v>
      </c>
      <c r="L645" s="58">
        <v>0</v>
      </c>
      <c r="M645" s="58">
        <v>0</v>
      </c>
      <c r="N645" s="58">
        <v>0</v>
      </c>
      <c r="O645" s="65">
        <v>0</v>
      </c>
      <c r="P645" s="65">
        <v>0</v>
      </c>
      <c r="Q645" s="50">
        <v>6456.8700000000008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0</v>
      </c>
      <c r="Y645" s="65">
        <v>0</v>
      </c>
      <c r="Z645" s="65">
        <v>6456.8700000000008</v>
      </c>
      <c r="AA645" s="51">
        <v>0</v>
      </c>
      <c r="AB645" s="102">
        <v>0</v>
      </c>
      <c r="AC645" s="81">
        <f t="shared" si="33"/>
        <v>377.00022597984332</v>
      </c>
      <c r="AD645" s="82">
        <f t="shared" si="34"/>
        <v>25.514285714285712</v>
      </c>
      <c r="AE645" s="218">
        <v>0</v>
      </c>
      <c r="AF645">
        <v>0</v>
      </c>
      <c r="AH645" t="str">
        <f t="shared" si="32"/>
        <v>MAHADAT PUR 2</v>
      </c>
      <c r="AJ645" s="72">
        <v>0</v>
      </c>
      <c r="AK645" s="72"/>
      <c r="AL645" s="72"/>
      <c r="AM645" s="72"/>
    </row>
    <row r="646" spans="1:39" x14ac:dyDescent="0.25">
      <c r="A646" s="37" t="s">
        <v>62</v>
      </c>
      <c r="B646" s="66" t="s">
        <v>1566</v>
      </c>
      <c r="C646" s="41">
        <v>1003</v>
      </c>
      <c r="D646" s="41" t="s">
        <v>139</v>
      </c>
      <c r="E646" s="41">
        <v>10500001</v>
      </c>
      <c r="F646" s="85" t="s">
        <v>420</v>
      </c>
      <c r="G646" s="39" t="s">
        <v>285</v>
      </c>
      <c r="H646" s="52" t="s">
        <v>94</v>
      </c>
      <c r="I646" s="52">
        <v>647</v>
      </c>
      <c r="J646" s="49">
        <v>16912.580000000002</v>
      </c>
      <c r="K646" s="58">
        <v>683.80000000000018</v>
      </c>
      <c r="L646" s="58">
        <v>24935.2316928</v>
      </c>
      <c r="M646" s="58">
        <v>10.8</v>
      </c>
      <c r="N646" s="58">
        <v>415.01940480000007</v>
      </c>
      <c r="O646" s="65">
        <v>694.60000000000014</v>
      </c>
      <c r="P646" s="65">
        <v>25350.251097600001</v>
      </c>
      <c r="Q646" s="50">
        <v>16912.580000000002</v>
      </c>
      <c r="R646" s="65">
        <v>0</v>
      </c>
      <c r="S646" s="65">
        <v>415.01940480000007</v>
      </c>
      <c r="T646" s="65">
        <v>8437.6710975999995</v>
      </c>
      <c r="U646" s="65">
        <v>0</v>
      </c>
      <c r="V646" s="65">
        <v>0</v>
      </c>
      <c r="W646" s="65">
        <v>0</v>
      </c>
      <c r="X646" s="65">
        <v>16498</v>
      </c>
      <c r="Y646" s="65">
        <v>0</v>
      </c>
      <c r="Z646" s="65">
        <v>0</v>
      </c>
      <c r="AA646" s="51">
        <v>0</v>
      </c>
      <c r="AB646" s="102" t="s">
        <v>68</v>
      </c>
      <c r="AC646" s="81">
        <f t="shared" si="33"/>
        <v>27.708399999999997</v>
      </c>
      <c r="AD646" s="82">
        <f t="shared" si="34"/>
        <v>92.428571428571431</v>
      </c>
      <c r="AE646" s="218">
        <v>-0.49889910927841868</v>
      </c>
      <c r="AF646">
        <v>11</v>
      </c>
      <c r="AH646" t="str">
        <f t="shared" si="32"/>
        <v>Asarganj</v>
      </c>
      <c r="AJ646" s="72">
        <v>0</v>
      </c>
      <c r="AK646" s="72"/>
      <c r="AL646" s="72"/>
      <c r="AM646" s="72"/>
    </row>
    <row r="647" spans="1:39" x14ac:dyDescent="0.25">
      <c r="A647" s="37" t="s">
        <v>62</v>
      </c>
      <c r="B647" s="66" t="s">
        <v>1566</v>
      </c>
      <c r="C647" s="41">
        <v>1014</v>
      </c>
      <c r="D647" s="41" t="s">
        <v>376</v>
      </c>
      <c r="E647" s="41">
        <v>10510001</v>
      </c>
      <c r="F647" s="85" t="s">
        <v>421</v>
      </c>
      <c r="G647" s="39" t="s">
        <v>93</v>
      </c>
      <c r="H647" s="52" t="s">
        <v>94</v>
      </c>
      <c r="I647" s="52">
        <v>1978.4999999999993</v>
      </c>
      <c r="J647" s="49">
        <v>72921.320000000007</v>
      </c>
      <c r="K647" s="58">
        <v>1980.7</v>
      </c>
      <c r="L647" s="58">
        <v>74485.387175496304</v>
      </c>
      <c r="M647" s="58">
        <v>12.4</v>
      </c>
      <c r="N647" s="58">
        <v>611.02941950915999</v>
      </c>
      <c r="O647" s="65">
        <v>1993.1000000000001</v>
      </c>
      <c r="P647" s="65">
        <v>75096.416595005459</v>
      </c>
      <c r="Q647" s="50">
        <v>72921.320000000007</v>
      </c>
      <c r="R647" s="65">
        <v>0</v>
      </c>
      <c r="S647" s="65">
        <v>611.02941950915999</v>
      </c>
      <c r="T647" s="65">
        <v>2175.0965950054524</v>
      </c>
      <c r="U647" s="65">
        <v>0</v>
      </c>
      <c r="V647" s="65">
        <v>0</v>
      </c>
      <c r="W647" s="65">
        <v>0</v>
      </c>
      <c r="X647" s="65">
        <v>72310</v>
      </c>
      <c r="Y647" s="65">
        <v>0</v>
      </c>
      <c r="Z647" s="65">
        <v>0</v>
      </c>
      <c r="AA647" s="51">
        <v>0</v>
      </c>
      <c r="AB647" s="102">
        <v>0</v>
      </c>
      <c r="AC647" s="81">
        <f t="shared" si="33"/>
        <v>0</v>
      </c>
      <c r="AD647" s="82">
        <f t="shared" si="34"/>
        <v>0</v>
      </c>
      <c r="AE647" s="218">
        <v>-2.9827992622808421E-2</v>
      </c>
      <c r="AF647">
        <v>42</v>
      </c>
      <c r="AH647" t="str">
        <f t="shared" si="32"/>
        <v>Dumraon</v>
      </c>
      <c r="AJ647" s="72">
        <v>0</v>
      </c>
      <c r="AK647" s="72"/>
      <c r="AL647" s="72"/>
      <c r="AM647" s="72"/>
    </row>
    <row r="648" spans="1:39" x14ac:dyDescent="0.25">
      <c r="A648" s="37" t="s">
        <v>62</v>
      </c>
      <c r="B648" s="66" t="s">
        <v>1566</v>
      </c>
      <c r="C648" s="41">
        <v>1014</v>
      </c>
      <c r="D648" s="41" t="s">
        <v>376</v>
      </c>
      <c r="E648" s="41">
        <v>10510002</v>
      </c>
      <c r="F648" s="85" t="s">
        <v>422</v>
      </c>
      <c r="G648" s="39" t="s">
        <v>93</v>
      </c>
      <c r="H648" s="52" t="s">
        <v>94</v>
      </c>
      <c r="I648" s="52">
        <v>1687.8999999999999</v>
      </c>
      <c r="J648" s="49">
        <v>66944.39</v>
      </c>
      <c r="K648" s="58">
        <v>1673.7999999999997</v>
      </c>
      <c r="L648" s="58">
        <v>67687.316028920322</v>
      </c>
      <c r="M648" s="58">
        <v>6.57</v>
      </c>
      <c r="N648" s="58">
        <v>261.88866158400003</v>
      </c>
      <c r="O648" s="65">
        <v>1680.3699999999997</v>
      </c>
      <c r="P648" s="65">
        <v>67949.204690504324</v>
      </c>
      <c r="Q648" s="50">
        <v>66944.39</v>
      </c>
      <c r="R648" s="65">
        <v>0</v>
      </c>
      <c r="S648" s="65">
        <v>261.88866158400003</v>
      </c>
      <c r="T648" s="65">
        <v>1004.814690504325</v>
      </c>
      <c r="U648" s="65">
        <v>0</v>
      </c>
      <c r="V648" s="65">
        <v>0</v>
      </c>
      <c r="W648" s="65">
        <v>0</v>
      </c>
      <c r="X648" s="65">
        <v>66683</v>
      </c>
      <c r="Y648" s="65">
        <v>0</v>
      </c>
      <c r="Z648" s="65">
        <v>0</v>
      </c>
      <c r="AA648" s="51">
        <v>0</v>
      </c>
      <c r="AB648" s="102">
        <v>0</v>
      </c>
      <c r="AC648" s="81">
        <f t="shared" si="33"/>
        <v>0</v>
      </c>
      <c r="AD648" s="82">
        <f t="shared" si="34"/>
        <v>0</v>
      </c>
      <c r="AE648" s="218">
        <v>-1.5009692231183598E-2</v>
      </c>
      <c r="AF648">
        <v>9</v>
      </c>
      <c r="AH648" t="str">
        <f t="shared" si="32"/>
        <v>Dumraon</v>
      </c>
      <c r="AJ648" s="72">
        <v>0</v>
      </c>
      <c r="AK648" s="72"/>
      <c r="AL648" s="72"/>
      <c r="AM648" s="72"/>
    </row>
    <row r="649" spans="1:39" x14ac:dyDescent="0.25">
      <c r="A649" s="37" t="s">
        <v>62</v>
      </c>
      <c r="B649" s="66" t="s">
        <v>1566</v>
      </c>
      <c r="C649" s="41">
        <v>1014</v>
      </c>
      <c r="D649" s="41" t="s">
        <v>376</v>
      </c>
      <c r="E649" s="41">
        <v>10510004</v>
      </c>
      <c r="F649" s="85" t="s">
        <v>423</v>
      </c>
      <c r="G649" s="39" t="s">
        <v>93</v>
      </c>
      <c r="H649" s="52" t="s">
        <v>94</v>
      </c>
      <c r="I649" s="52">
        <v>2142.6999999999998</v>
      </c>
      <c r="J649" s="49">
        <v>79455.37</v>
      </c>
      <c r="K649" s="58">
        <v>2279.3000000000002</v>
      </c>
      <c r="L649" s="58">
        <v>94747.857834168011</v>
      </c>
      <c r="M649" s="58">
        <v>26.099999999999998</v>
      </c>
      <c r="N649" s="58">
        <v>1457.7932097326002</v>
      </c>
      <c r="O649" s="65">
        <v>2305.4</v>
      </c>
      <c r="P649" s="65">
        <v>96205.651043900609</v>
      </c>
      <c r="Q649" s="50">
        <v>79455.37</v>
      </c>
      <c r="R649" s="65">
        <v>0</v>
      </c>
      <c r="S649" s="65">
        <v>1457.7932097326002</v>
      </c>
      <c r="T649" s="65">
        <v>16750.281043900613</v>
      </c>
      <c r="U649" s="65">
        <v>0</v>
      </c>
      <c r="V649" s="65">
        <v>0</v>
      </c>
      <c r="W649" s="65">
        <v>0</v>
      </c>
      <c r="X649" s="65">
        <v>77998</v>
      </c>
      <c r="Y649" s="65">
        <v>0</v>
      </c>
      <c r="Z649" s="65">
        <v>0</v>
      </c>
      <c r="AA649" s="51">
        <v>0</v>
      </c>
      <c r="AB649" s="102">
        <v>0</v>
      </c>
      <c r="AC649" s="81">
        <f t="shared" si="33"/>
        <v>0</v>
      </c>
      <c r="AD649" s="82">
        <f t="shared" si="34"/>
        <v>0</v>
      </c>
      <c r="AE649" s="218">
        <v>-0.2108137064102856</v>
      </c>
      <c r="AF649">
        <v>6</v>
      </c>
      <c r="AH649" t="str">
        <f t="shared" si="32"/>
        <v>Dumraon</v>
      </c>
      <c r="AJ649" s="72">
        <v>0</v>
      </c>
      <c r="AK649" s="72"/>
      <c r="AL649" s="72"/>
      <c r="AM649" s="72"/>
    </row>
    <row r="650" spans="1:39" x14ac:dyDescent="0.25">
      <c r="A650" s="37" t="s">
        <v>62</v>
      </c>
      <c r="B650" s="66" t="s">
        <v>1566</v>
      </c>
      <c r="C650" s="41">
        <v>1012</v>
      </c>
      <c r="D650" s="41" t="s">
        <v>314</v>
      </c>
      <c r="E650" s="41">
        <v>10520006</v>
      </c>
      <c r="F650" s="85" t="s">
        <v>1179</v>
      </c>
      <c r="G650" s="39" t="s">
        <v>635</v>
      </c>
      <c r="H650" s="52" t="s">
        <v>99</v>
      </c>
      <c r="I650" s="52">
        <v>19251</v>
      </c>
      <c r="J650" s="49">
        <v>666304.07999999996</v>
      </c>
      <c r="K650" s="58">
        <v>0</v>
      </c>
      <c r="L650" s="58">
        <v>0</v>
      </c>
      <c r="M650" s="58">
        <v>0</v>
      </c>
      <c r="N650" s="58">
        <v>0</v>
      </c>
      <c r="O650" s="65">
        <v>0</v>
      </c>
      <c r="P650" s="65">
        <v>0</v>
      </c>
      <c r="Q650" s="50">
        <v>666304.07999999996</v>
      </c>
      <c r="R650" s="65">
        <v>0</v>
      </c>
      <c r="S650" s="65">
        <v>0</v>
      </c>
      <c r="T650" s="65">
        <v>0</v>
      </c>
      <c r="U650" s="65">
        <v>0</v>
      </c>
      <c r="V650" s="65">
        <v>0</v>
      </c>
      <c r="W650" s="65">
        <v>0</v>
      </c>
      <c r="X650" s="65">
        <v>0</v>
      </c>
      <c r="Y650" s="65">
        <v>0</v>
      </c>
      <c r="Z650" s="65">
        <v>666304.07999999996</v>
      </c>
      <c r="AA650" s="51">
        <v>0</v>
      </c>
      <c r="AB650" s="102">
        <v>0</v>
      </c>
      <c r="AC650" s="81">
        <f t="shared" si="33"/>
        <v>0</v>
      </c>
      <c r="AD650" s="82">
        <f t="shared" si="34"/>
        <v>0</v>
      </c>
      <c r="AE650" s="218">
        <v>0</v>
      </c>
      <c r="AF650">
        <v>0</v>
      </c>
      <c r="AH650" t="str">
        <f t="shared" si="32"/>
        <v>DalsinghSarai</v>
      </c>
      <c r="AJ650" s="72">
        <v>0</v>
      </c>
      <c r="AK650" s="72"/>
      <c r="AL650" s="72"/>
      <c r="AM650" s="72"/>
    </row>
    <row r="651" spans="1:39" x14ac:dyDescent="0.25">
      <c r="A651" s="37" t="s">
        <v>62</v>
      </c>
      <c r="B651" s="66" t="s">
        <v>1566</v>
      </c>
      <c r="C651" s="41">
        <v>1053</v>
      </c>
      <c r="D651" s="41" t="s">
        <v>542</v>
      </c>
      <c r="E651" s="41">
        <v>10520010</v>
      </c>
      <c r="F651" s="85" t="s">
        <v>1330</v>
      </c>
      <c r="G651" s="39" t="s">
        <v>635</v>
      </c>
      <c r="H651" s="52" t="s">
        <v>99</v>
      </c>
      <c r="I651" s="52">
        <v>5394</v>
      </c>
      <c r="J651" s="49">
        <v>214252.78</v>
      </c>
      <c r="K651" s="58">
        <v>0</v>
      </c>
      <c r="L651" s="58">
        <v>0</v>
      </c>
      <c r="M651" s="58">
        <v>0</v>
      </c>
      <c r="N651" s="58">
        <v>0</v>
      </c>
      <c r="O651" s="65">
        <v>0</v>
      </c>
      <c r="P651" s="65">
        <v>0</v>
      </c>
      <c r="Q651" s="50">
        <v>214252.78</v>
      </c>
      <c r="R651" s="65">
        <v>0</v>
      </c>
      <c r="S651" s="65">
        <v>0</v>
      </c>
      <c r="T651" s="65">
        <v>0</v>
      </c>
      <c r="U651" s="65">
        <v>0</v>
      </c>
      <c r="V651" s="65">
        <v>0</v>
      </c>
      <c r="W651" s="65">
        <v>0</v>
      </c>
      <c r="X651" s="65">
        <v>0</v>
      </c>
      <c r="Y651" s="65">
        <v>0</v>
      </c>
      <c r="Z651" s="65">
        <v>214252.78</v>
      </c>
      <c r="AA651" s="51">
        <v>0</v>
      </c>
      <c r="AB651" s="102">
        <v>0</v>
      </c>
      <c r="AC651" s="81">
        <f t="shared" si="33"/>
        <v>0</v>
      </c>
      <c r="AD651" s="82">
        <f t="shared" si="34"/>
        <v>0</v>
      </c>
      <c r="AE651" s="218">
        <v>0</v>
      </c>
      <c r="AF651">
        <v>0</v>
      </c>
      <c r="AH651" t="str">
        <f t="shared" si="32"/>
        <v>Kalyanpur</v>
      </c>
      <c r="AJ651" s="72">
        <v>0</v>
      </c>
      <c r="AK651" s="72"/>
      <c r="AL651" s="72"/>
      <c r="AM651" s="72"/>
    </row>
    <row r="652" spans="1:39" x14ac:dyDescent="0.25">
      <c r="A652" s="37" t="s">
        <v>62</v>
      </c>
      <c r="B652" s="66" t="s">
        <v>1566</v>
      </c>
      <c r="C652" s="41">
        <v>1010</v>
      </c>
      <c r="D652" s="41" t="s">
        <v>1359</v>
      </c>
      <c r="E652" s="41">
        <v>10520011</v>
      </c>
      <c r="F652" s="85" t="s">
        <v>1546</v>
      </c>
      <c r="G652" s="39" t="s">
        <v>635</v>
      </c>
      <c r="H652" s="52" t="s">
        <v>99</v>
      </c>
      <c r="I652" s="52">
        <v>4100</v>
      </c>
      <c r="J652" s="49">
        <v>127100.5</v>
      </c>
      <c r="K652" s="58">
        <v>0</v>
      </c>
      <c r="L652" s="58">
        <v>0</v>
      </c>
      <c r="M652" s="58">
        <v>0</v>
      </c>
      <c r="N652" s="58">
        <v>0</v>
      </c>
      <c r="O652" s="65">
        <v>0</v>
      </c>
      <c r="P652" s="65">
        <v>0</v>
      </c>
      <c r="Q652" s="50">
        <v>127100.5</v>
      </c>
      <c r="R652" s="65">
        <v>0</v>
      </c>
      <c r="S652" s="65">
        <v>0</v>
      </c>
      <c r="T652" s="65">
        <v>0</v>
      </c>
      <c r="U652" s="65">
        <v>0</v>
      </c>
      <c r="V652" s="65">
        <v>0</v>
      </c>
      <c r="W652" s="65">
        <v>0</v>
      </c>
      <c r="X652" s="65">
        <v>0</v>
      </c>
      <c r="Y652" s="65">
        <v>0</v>
      </c>
      <c r="Z652" s="65">
        <v>127100.5</v>
      </c>
      <c r="AA652" s="51">
        <v>0</v>
      </c>
      <c r="AB652" s="102">
        <v>0</v>
      </c>
      <c r="AC652" s="81">
        <f t="shared" si="33"/>
        <v>0</v>
      </c>
      <c r="AD652" s="82">
        <f t="shared" si="34"/>
        <v>0</v>
      </c>
      <c r="AE652" s="218">
        <v>0</v>
      </c>
      <c r="AF652">
        <v>0</v>
      </c>
      <c r="AH652" t="str">
        <f t="shared" si="32"/>
        <v>Parbatta</v>
      </c>
      <c r="AJ652" s="72">
        <v>0</v>
      </c>
      <c r="AK652" s="72"/>
      <c r="AL652" s="72"/>
      <c r="AM652" s="72"/>
    </row>
    <row r="653" spans="1:39" x14ac:dyDescent="0.25">
      <c r="A653" s="37" t="s">
        <v>62</v>
      </c>
      <c r="B653" s="66" t="s">
        <v>1566</v>
      </c>
      <c r="C653" s="41">
        <v>1053</v>
      </c>
      <c r="D653" s="41" t="s">
        <v>542</v>
      </c>
      <c r="E653" s="41">
        <v>10530001</v>
      </c>
      <c r="F653" s="85" t="s">
        <v>543</v>
      </c>
      <c r="G653" s="39" t="s">
        <v>93</v>
      </c>
      <c r="H653" s="52" t="s">
        <v>94</v>
      </c>
      <c r="I653" s="52">
        <v>1110.5</v>
      </c>
      <c r="J653" s="49">
        <v>45784.079999999994</v>
      </c>
      <c r="K653" s="58">
        <v>1108.2499999999998</v>
      </c>
      <c r="L653" s="58">
        <v>46461.536710520886</v>
      </c>
      <c r="M653" s="58">
        <v>10.55</v>
      </c>
      <c r="N653" s="58">
        <v>438.05492953200002</v>
      </c>
      <c r="O653" s="65">
        <v>1118.7999999999997</v>
      </c>
      <c r="P653" s="65">
        <v>46899.591640052888</v>
      </c>
      <c r="Q653" s="50">
        <v>45784.079999999994</v>
      </c>
      <c r="R653" s="65">
        <v>0</v>
      </c>
      <c r="S653" s="65">
        <v>438.05492953200002</v>
      </c>
      <c r="T653" s="65">
        <v>1115.5116400528932</v>
      </c>
      <c r="U653" s="65">
        <v>0</v>
      </c>
      <c r="V653" s="65">
        <v>0</v>
      </c>
      <c r="W653" s="65">
        <v>0</v>
      </c>
      <c r="X653" s="65">
        <v>45346</v>
      </c>
      <c r="Y653" s="65">
        <v>0</v>
      </c>
      <c r="Z653" s="65">
        <v>0</v>
      </c>
      <c r="AA653" s="51">
        <v>0</v>
      </c>
      <c r="AB653" s="102">
        <v>0</v>
      </c>
      <c r="AC653" s="81">
        <f t="shared" si="33"/>
        <v>0</v>
      </c>
      <c r="AD653" s="82">
        <f t="shared" si="34"/>
        <v>0</v>
      </c>
      <c r="AE653" s="218">
        <v>-2.436461844494622E-2</v>
      </c>
      <c r="AF653">
        <v>25</v>
      </c>
      <c r="AH653" t="str">
        <f t="shared" si="32"/>
        <v>Kalyanpur</v>
      </c>
      <c r="AJ653" s="72">
        <v>0</v>
      </c>
      <c r="AK653" s="72"/>
      <c r="AL653" s="72"/>
      <c r="AM653" s="72"/>
    </row>
    <row r="654" spans="1:39" x14ac:dyDescent="0.25">
      <c r="A654" s="37" t="s">
        <v>62</v>
      </c>
      <c r="B654" s="66" t="s">
        <v>1566</v>
      </c>
      <c r="C654" s="41">
        <v>1053</v>
      </c>
      <c r="D654" s="41" t="s">
        <v>542</v>
      </c>
      <c r="E654" s="41">
        <v>10530002</v>
      </c>
      <c r="F654" s="85" t="s">
        <v>544</v>
      </c>
      <c r="G654" s="39" t="s">
        <v>93</v>
      </c>
      <c r="H654" s="52" t="s">
        <v>94</v>
      </c>
      <c r="I654" s="52">
        <v>1115.3499999999999</v>
      </c>
      <c r="J654" s="49">
        <v>46414.610000000008</v>
      </c>
      <c r="K654" s="58">
        <v>1122.1799999999998</v>
      </c>
      <c r="L654" s="58">
        <v>46574.946786094319</v>
      </c>
      <c r="M654" s="58">
        <v>12.66</v>
      </c>
      <c r="N654" s="58">
        <v>542.341549332</v>
      </c>
      <c r="O654" s="65">
        <v>1134.8399999999999</v>
      </c>
      <c r="P654" s="65">
        <v>47117.288335426318</v>
      </c>
      <c r="Q654" s="50">
        <v>46414.610000000008</v>
      </c>
      <c r="R654" s="65">
        <v>0</v>
      </c>
      <c r="S654" s="65">
        <v>542.341549332</v>
      </c>
      <c r="T654" s="65">
        <v>702.67833542630979</v>
      </c>
      <c r="U654" s="65">
        <v>15263</v>
      </c>
      <c r="V654" s="65">
        <v>0</v>
      </c>
      <c r="W654" s="65">
        <v>0</v>
      </c>
      <c r="X654" s="65">
        <v>30609</v>
      </c>
      <c r="Y654" s="65">
        <v>0</v>
      </c>
      <c r="Z654" s="65">
        <v>0</v>
      </c>
      <c r="AA654" s="51">
        <v>0</v>
      </c>
      <c r="AB654" s="102">
        <v>0</v>
      </c>
      <c r="AC654" s="81">
        <f t="shared" si="33"/>
        <v>0</v>
      </c>
      <c r="AD654" s="82">
        <f t="shared" si="34"/>
        <v>0</v>
      </c>
      <c r="AE654" s="218">
        <v>-1.5139162764188037E-2</v>
      </c>
      <c r="AF654">
        <v>30</v>
      </c>
      <c r="AH654" t="str">
        <f t="shared" si="32"/>
        <v>Kalyanpur</v>
      </c>
      <c r="AJ654" s="72">
        <v>0</v>
      </c>
      <c r="AK654" s="72"/>
      <c r="AL654" s="72"/>
      <c r="AM654" s="72"/>
    </row>
    <row r="655" spans="1:39" x14ac:dyDescent="0.25">
      <c r="A655" s="37" t="s">
        <v>62</v>
      </c>
      <c r="B655" s="66" t="s">
        <v>1566</v>
      </c>
      <c r="C655" s="41">
        <v>1053</v>
      </c>
      <c r="D655" s="41" t="s">
        <v>542</v>
      </c>
      <c r="E655" s="41">
        <v>10530003</v>
      </c>
      <c r="F655" s="85" t="s">
        <v>545</v>
      </c>
      <c r="G655" s="39" t="s">
        <v>93</v>
      </c>
      <c r="H655" s="52" t="s">
        <v>94</v>
      </c>
      <c r="I655" s="52">
        <v>532.85</v>
      </c>
      <c r="J655" s="49">
        <v>23289.940000000002</v>
      </c>
      <c r="K655" s="58">
        <v>534.70000000000005</v>
      </c>
      <c r="L655" s="58">
        <v>22591.579550988623</v>
      </c>
      <c r="M655" s="58">
        <v>8.82</v>
      </c>
      <c r="N655" s="58">
        <v>679.31125042237977</v>
      </c>
      <c r="O655" s="65">
        <v>543.5200000000001</v>
      </c>
      <c r="P655" s="65">
        <v>23270.890801411002</v>
      </c>
      <c r="Q655" s="50">
        <v>23270.890801411002</v>
      </c>
      <c r="R655" s="65">
        <v>0</v>
      </c>
      <c r="S655" s="65">
        <v>679.31125042237977</v>
      </c>
      <c r="T655" s="65">
        <v>0</v>
      </c>
      <c r="U655" s="65">
        <v>874</v>
      </c>
      <c r="V655" s="65">
        <v>28.325332258064165</v>
      </c>
      <c r="W655" s="65">
        <v>0</v>
      </c>
      <c r="X655" s="65">
        <v>21690</v>
      </c>
      <c r="Y655" s="65">
        <v>0</v>
      </c>
      <c r="Z655" s="65">
        <v>0</v>
      </c>
      <c r="AA655" s="51">
        <v>18</v>
      </c>
      <c r="AB655" s="102">
        <v>0</v>
      </c>
      <c r="AC655" s="81">
        <f t="shared" si="33"/>
        <v>146.11667339776668</v>
      </c>
      <c r="AD655" s="82">
        <f t="shared" si="34"/>
        <v>76.121428571428581</v>
      </c>
      <c r="AE655" s="218">
        <v>8.1791531403688873E-4</v>
      </c>
      <c r="AF655">
        <v>28</v>
      </c>
      <c r="AH655" t="str">
        <f t="shared" si="32"/>
        <v>Kalyanpur</v>
      </c>
      <c r="AJ655" s="72">
        <v>0</v>
      </c>
      <c r="AK655" s="72"/>
      <c r="AL655" s="72"/>
      <c r="AM655" s="72"/>
    </row>
    <row r="656" spans="1:39" x14ac:dyDescent="0.25">
      <c r="A656" s="37" t="s">
        <v>62</v>
      </c>
      <c r="B656" s="66" t="s">
        <v>1566</v>
      </c>
      <c r="C656" s="41">
        <v>1053</v>
      </c>
      <c r="D656" s="41" t="s">
        <v>542</v>
      </c>
      <c r="E656" s="41">
        <v>10530005</v>
      </c>
      <c r="F656" s="85" t="s">
        <v>546</v>
      </c>
      <c r="G656" s="39" t="s">
        <v>93</v>
      </c>
      <c r="H656" s="52" t="s">
        <v>94</v>
      </c>
      <c r="I656" s="52">
        <v>358.94999999999993</v>
      </c>
      <c r="J656" s="49">
        <v>16600.120000000003</v>
      </c>
      <c r="K656" s="58">
        <v>356.66999999999996</v>
      </c>
      <c r="L656" s="58">
        <v>16469.605614634951</v>
      </c>
      <c r="M656" s="58">
        <v>7.0100000000000007</v>
      </c>
      <c r="N656" s="58">
        <v>311.94000461124006</v>
      </c>
      <c r="O656" s="65">
        <v>363.67999999999995</v>
      </c>
      <c r="P656" s="65">
        <v>16781.54561924619</v>
      </c>
      <c r="Q656" s="50">
        <v>16600.120000000003</v>
      </c>
      <c r="R656" s="65">
        <v>0</v>
      </c>
      <c r="S656" s="65">
        <v>311.94000461124006</v>
      </c>
      <c r="T656" s="65">
        <v>181.42561924618713</v>
      </c>
      <c r="U656" s="65">
        <v>2062</v>
      </c>
      <c r="V656" s="65">
        <v>98.719519354838397</v>
      </c>
      <c r="W656" s="65">
        <v>0</v>
      </c>
      <c r="X656" s="65">
        <v>14127</v>
      </c>
      <c r="Y656" s="65">
        <v>0</v>
      </c>
      <c r="Z656" s="65">
        <v>0</v>
      </c>
      <c r="AA656" s="51">
        <v>0</v>
      </c>
      <c r="AB656" s="102" t="s">
        <v>1427</v>
      </c>
      <c r="AC656" s="81">
        <f t="shared" si="33"/>
        <v>315.44621401309394</v>
      </c>
      <c r="AD656" s="82">
        <f t="shared" si="34"/>
        <v>51.278571428571418</v>
      </c>
      <c r="AE656" s="218">
        <v>-1.0929175165371521E-2</v>
      </c>
      <c r="AF656">
        <v>17</v>
      </c>
      <c r="AH656" t="str">
        <f t="shared" si="32"/>
        <v>Kalyanpur</v>
      </c>
      <c r="AJ656" s="72">
        <v>0</v>
      </c>
      <c r="AK656" s="72"/>
      <c r="AL656" s="72"/>
      <c r="AM656" s="72"/>
    </row>
    <row r="657" spans="1:39" x14ac:dyDescent="0.25">
      <c r="A657" s="37" t="s">
        <v>62</v>
      </c>
      <c r="B657" s="66" t="s">
        <v>1566</v>
      </c>
      <c r="C657" s="41">
        <v>1053</v>
      </c>
      <c r="D657" s="41" t="s">
        <v>542</v>
      </c>
      <c r="E657" s="41">
        <v>10530006</v>
      </c>
      <c r="F657" s="85" t="s">
        <v>547</v>
      </c>
      <c r="G657" s="39" t="s">
        <v>93</v>
      </c>
      <c r="H657" s="52" t="s">
        <v>94</v>
      </c>
      <c r="I657" s="52">
        <v>1117.6499999999999</v>
      </c>
      <c r="J657" s="49">
        <v>44370.15</v>
      </c>
      <c r="K657" s="58">
        <v>1107.6299999999999</v>
      </c>
      <c r="L657" s="58">
        <v>42480.868489719898</v>
      </c>
      <c r="M657" s="58">
        <v>45.760000000000005</v>
      </c>
      <c r="N657" s="58">
        <v>1880.9878444848002</v>
      </c>
      <c r="O657" s="65">
        <v>1153.3899999999999</v>
      </c>
      <c r="P657" s="65">
        <v>44361.856334204698</v>
      </c>
      <c r="Q657" s="50">
        <v>44361.856334204698</v>
      </c>
      <c r="R657" s="65">
        <v>0</v>
      </c>
      <c r="S657" s="65">
        <v>1880.9878444848002</v>
      </c>
      <c r="T657" s="65">
        <v>0</v>
      </c>
      <c r="U657" s="65">
        <v>0</v>
      </c>
      <c r="V657" s="65">
        <v>0</v>
      </c>
      <c r="W657" s="65">
        <v>0</v>
      </c>
      <c r="X657" s="65">
        <v>42479</v>
      </c>
      <c r="Y657" s="65">
        <v>0</v>
      </c>
      <c r="Z657" s="65">
        <v>0</v>
      </c>
      <c r="AA657" s="51">
        <v>10</v>
      </c>
      <c r="AB657" s="102">
        <v>0</v>
      </c>
      <c r="AC657" s="81">
        <f t="shared" si="33"/>
        <v>0</v>
      </c>
      <c r="AD657" s="82">
        <f t="shared" si="34"/>
        <v>0</v>
      </c>
      <c r="AE657" s="218">
        <v>1.8691994043976053E-4</v>
      </c>
      <c r="AF657">
        <v>58</v>
      </c>
      <c r="AH657" t="str">
        <f t="shared" si="32"/>
        <v>Kalyanpur</v>
      </c>
      <c r="AJ657" s="72">
        <v>0</v>
      </c>
      <c r="AK657" s="72"/>
      <c r="AL657" s="72"/>
      <c r="AM657" s="72"/>
    </row>
    <row r="658" spans="1:39" x14ac:dyDescent="0.25">
      <c r="A658" s="37" t="s">
        <v>62</v>
      </c>
      <c r="B658" s="66" t="s">
        <v>1566</v>
      </c>
      <c r="C658" s="41">
        <v>1053</v>
      </c>
      <c r="D658" s="41" t="s">
        <v>542</v>
      </c>
      <c r="E658" s="41">
        <v>10530007</v>
      </c>
      <c r="F658" s="85" t="s">
        <v>548</v>
      </c>
      <c r="G658" s="39" t="s">
        <v>93</v>
      </c>
      <c r="H658" s="52" t="s">
        <v>94</v>
      </c>
      <c r="I658" s="52">
        <v>418.40000000000009</v>
      </c>
      <c r="J658" s="49">
        <v>18516.859999999997</v>
      </c>
      <c r="K658" s="58">
        <v>416.84000000000003</v>
      </c>
      <c r="L658" s="58">
        <v>18621.991393513388</v>
      </c>
      <c r="M658" s="58">
        <v>2.14</v>
      </c>
      <c r="N658" s="58">
        <v>98.208036445200008</v>
      </c>
      <c r="O658" s="65">
        <v>418.98</v>
      </c>
      <c r="P658" s="65">
        <v>18720.199429958589</v>
      </c>
      <c r="Q658" s="50">
        <v>18516.859999999997</v>
      </c>
      <c r="R658" s="65">
        <v>0</v>
      </c>
      <c r="S658" s="65">
        <v>98.208036445200008</v>
      </c>
      <c r="T658" s="65">
        <v>203.33942995859252</v>
      </c>
      <c r="U658" s="65">
        <v>0</v>
      </c>
      <c r="V658" s="65">
        <v>0</v>
      </c>
      <c r="W658" s="65">
        <v>0</v>
      </c>
      <c r="X658" s="65">
        <v>18419</v>
      </c>
      <c r="Y658" s="65">
        <v>0</v>
      </c>
      <c r="Z658" s="65">
        <v>0</v>
      </c>
      <c r="AA658" s="51">
        <v>0</v>
      </c>
      <c r="AB658" s="102">
        <v>0</v>
      </c>
      <c r="AC658" s="81">
        <f t="shared" si="33"/>
        <v>249.25180573613747</v>
      </c>
      <c r="AD658" s="82">
        <f t="shared" si="34"/>
        <v>59.771428571428586</v>
      </c>
      <c r="AE658" s="218">
        <v>-1.0981312704129779E-2</v>
      </c>
      <c r="AF658">
        <v>14</v>
      </c>
      <c r="AH658" t="str">
        <f t="shared" si="32"/>
        <v>Kalyanpur</v>
      </c>
      <c r="AJ658" s="72">
        <v>0</v>
      </c>
      <c r="AK658" s="72"/>
      <c r="AL658" s="72"/>
      <c r="AM658" s="72"/>
    </row>
    <row r="659" spans="1:39" x14ac:dyDescent="0.25">
      <c r="A659" s="37" t="s">
        <v>62</v>
      </c>
      <c r="B659" s="66" t="s">
        <v>1566</v>
      </c>
      <c r="C659" s="41">
        <v>1053</v>
      </c>
      <c r="D659" s="41" t="s">
        <v>542</v>
      </c>
      <c r="E659" s="41">
        <v>10530008</v>
      </c>
      <c r="F659" s="85" t="s">
        <v>549</v>
      </c>
      <c r="G659" s="39" t="s">
        <v>93</v>
      </c>
      <c r="H659" s="52" t="s">
        <v>94</v>
      </c>
      <c r="I659" s="52">
        <v>370.4</v>
      </c>
      <c r="J659" s="49">
        <v>18212.36</v>
      </c>
      <c r="K659" s="58">
        <v>368.90999999999997</v>
      </c>
      <c r="L659" s="58">
        <v>18099.423088720789</v>
      </c>
      <c r="M659" s="58">
        <v>3.5</v>
      </c>
      <c r="N659" s="58">
        <v>153.0389880658</v>
      </c>
      <c r="O659" s="65">
        <v>372.40999999999997</v>
      </c>
      <c r="P659" s="65">
        <v>18252.462076786589</v>
      </c>
      <c r="Q659" s="50">
        <v>18212.36</v>
      </c>
      <c r="R659" s="65">
        <v>0</v>
      </c>
      <c r="S659" s="65">
        <v>153.0389880658</v>
      </c>
      <c r="T659" s="65">
        <v>40.102076786588441</v>
      </c>
      <c r="U659" s="65">
        <v>0</v>
      </c>
      <c r="V659" s="65">
        <v>0</v>
      </c>
      <c r="W659" s="65">
        <v>0</v>
      </c>
      <c r="X659" s="65">
        <v>18059</v>
      </c>
      <c r="Y659" s="65">
        <v>0</v>
      </c>
      <c r="Z659" s="65">
        <v>0</v>
      </c>
      <c r="AA659" s="51">
        <v>0</v>
      </c>
      <c r="AB659" s="102">
        <v>0</v>
      </c>
      <c r="AC659" s="81">
        <f t="shared" si="33"/>
        <v>324.12493822894174</v>
      </c>
      <c r="AD659" s="82">
        <f t="shared" si="34"/>
        <v>52.914285714285711</v>
      </c>
      <c r="AE659" s="218">
        <v>-2.2019154456966827E-3</v>
      </c>
      <c r="AF659">
        <v>7</v>
      </c>
      <c r="AH659" t="str">
        <f t="shared" si="32"/>
        <v>Kalyanpur</v>
      </c>
      <c r="AJ659" s="72">
        <v>0</v>
      </c>
      <c r="AK659" s="72"/>
      <c r="AL659" s="72"/>
      <c r="AM659" s="72"/>
    </row>
    <row r="660" spans="1:39" x14ac:dyDescent="0.25">
      <c r="A660" s="37" t="s">
        <v>62</v>
      </c>
      <c r="B660" s="66" t="s">
        <v>1566</v>
      </c>
      <c r="C660" s="41">
        <v>1053</v>
      </c>
      <c r="D660" s="41" t="s">
        <v>542</v>
      </c>
      <c r="E660" s="41">
        <v>10530009</v>
      </c>
      <c r="F660" s="85" t="s">
        <v>550</v>
      </c>
      <c r="G660" s="39" t="s">
        <v>635</v>
      </c>
      <c r="H660" s="52" t="s">
        <v>99</v>
      </c>
      <c r="I660" s="52">
        <v>8347.7999999999993</v>
      </c>
      <c r="J660" s="49">
        <v>322996.66000000003</v>
      </c>
      <c r="K660" s="58">
        <v>0</v>
      </c>
      <c r="L660" s="58">
        <v>0</v>
      </c>
      <c r="M660" s="58">
        <v>0</v>
      </c>
      <c r="N660" s="58">
        <v>0</v>
      </c>
      <c r="O660" s="65">
        <v>0</v>
      </c>
      <c r="P660" s="65">
        <v>0</v>
      </c>
      <c r="Q660" s="50">
        <v>322996.66000000003</v>
      </c>
      <c r="R660" s="65">
        <v>0</v>
      </c>
      <c r="S660" s="65">
        <v>0</v>
      </c>
      <c r="T660" s="65">
        <v>0</v>
      </c>
      <c r="U660" s="65">
        <v>0</v>
      </c>
      <c r="V660" s="65">
        <v>0</v>
      </c>
      <c r="W660" s="65">
        <v>0</v>
      </c>
      <c r="X660" s="65">
        <v>0</v>
      </c>
      <c r="Y660" s="65">
        <v>0</v>
      </c>
      <c r="Z660" s="65">
        <v>322996.66000000003</v>
      </c>
      <c r="AA660" s="51">
        <v>0</v>
      </c>
      <c r="AB660" s="102">
        <v>0</v>
      </c>
      <c r="AC660" s="81">
        <f t="shared" si="33"/>
        <v>0</v>
      </c>
      <c r="AD660" s="82">
        <f t="shared" si="34"/>
        <v>0</v>
      </c>
      <c r="AE660" s="218">
        <v>0</v>
      </c>
      <c r="AF660">
        <v>0</v>
      </c>
      <c r="AH660" t="str">
        <f t="shared" si="32"/>
        <v>Kalyanpur</v>
      </c>
      <c r="AJ660" s="72">
        <v>0</v>
      </c>
      <c r="AK660" s="72"/>
      <c r="AL660" s="72"/>
      <c r="AM660" s="72"/>
    </row>
    <row r="661" spans="1:39" x14ac:dyDescent="0.25">
      <c r="A661" s="37" t="s">
        <v>62</v>
      </c>
      <c r="B661" s="66" t="s">
        <v>1566</v>
      </c>
      <c r="C661" s="41">
        <v>1053</v>
      </c>
      <c r="D661" s="41" t="s">
        <v>542</v>
      </c>
      <c r="E661" s="41">
        <v>10530010</v>
      </c>
      <c r="F661" s="85" t="s">
        <v>551</v>
      </c>
      <c r="G661" s="39" t="s">
        <v>635</v>
      </c>
      <c r="H661" s="52" t="s">
        <v>99</v>
      </c>
      <c r="I661" s="52">
        <v>2985.2999999999997</v>
      </c>
      <c r="J661" s="49">
        <v>122059.58999999998</v>
      </c>
      <c r="K661" s="58">
        <v>0</v>
      </c>
      <c r="L661" s="58">
        <v>0</v>
      </c>
      <c r="M661" s="58">
        <v>0</v>
      </c>
      <c r="N661" s="58">
        <v>0</v>
      </c>
      <c r="O661" s="65">
        <v>0</v>
      </c>
      <c r="P661" s="65">
        <v>0</v>
      </c>
      <c r="Q661" s="50">
        <v>122059.58999999998</v>
      </c>
      <c r="R661" s="65">
        <v>0</v>
      </c>
      <c r="S661" s="65">
        <v>0</v>
      </c>
      <c r="T661" s="65">
        <v>0</v>
      </c>
      <c r="U661" s="65">
        <v>0</v>
      </c>
      <c r="V661" s="65">
        <v>0</v>
      </c>
      <c r="W661" s="65">
        <v>0</v>
      </c>
      <c r="X661" s="65">
        <v>0</v>
      </c>
      <c r="Y661" s="65">
        <v>0</v>
      </c>
      <c r="Z661" s="65">
        <v>122059.58999999998</v>
      </c>
      <c r="AA661" s="51">
        <v>0</v>
      </c>
      <c r="AB661" s="102">
        <v>0</v>
      </c>
      <c r="AC661" s="81">
        <f t="shared" si="33"/>
        <v>0</v>
      </c>
      <c r="AD661" s="82">
        <f t="shared" si="34"/>
        <v>0</v>
      </c>
      <c r="AE661" s="218">
        <v>0</v>
      </c>
      <c r="AF661">
        <v>0</v>
      </c>
      <c r="AH661" t="str">
        <f t="shared" si="32"/>
        <v>Kalyanpur</v>
      </c>
      <c r="AJ661" s="72">
        <v>0</v>
      </c>
      <c r="AK661" s="72"/>
      <c r="AL661" s="72"/>
      <c r="AM661" s="72"/>
    </row>
    <row r="662" spans="1:39" x14ac:dyDescent="0.25">
      <c r="A662" s="37" t="s">
        <v>62</v>
      </c>
      <c r="B662" s="66" t="s">
        <v>1566</v>
      </c>
      <c r="C662" s="41">
        <v>1053</v>
      </c>
      <c r="D662" s="41" t="s">
        <v>542</v>
      </c>
      <c r="E662" s="41">
        <v>10530015</v>
      </c>
      <c r="F662" s="85" t="s">
        <v>554</v>
      </c>
      <c r="G662" s="39" t="s">
        <v>635</v>
      </c>
      <c r="H662" s="52" t="s">
        <v>99</v>
      </c>
      <c r="I662" s="52">
        <v>344.75</v>
      </c>
      <c r="J662" s="49">
        <v>13993.02</v>
      </c>
      <c r="K662" s="58">
        <v>0</v>
      </c>
      <c r="L662" s="58">
        <v>0</v>
      </c>
      <c r="M662" s="58">
        <v>0</v>
      </c>
      <c r="N662" s="58">
        <v>0</v>
      </c>
      <c r="O662" s="65">
        <v>0</v>
      </c>
      <c r="P662" s="65">
        <v>0</v>
      </c>
      <c r="Q662" s="50">
        <v>13993.02</v>
      </c>
      <c r="R662" s="65">
        <v>0</v>
      </c>
      <c r="S662" s="65">
        <v>0</v>
      </c>
      <c r="T662" s="65">
        <v>0</v>
      </c>
      <c r="U662" s="65">
        <v>0</v>
      </c>
      <c r="V662" s="65">
        <v>298.626570967742</v>
      </c>
      <c r="W662" s="65">
        <v>0</v>
      </c>
      <c r="X662" s="65">
        <v>0</v>
      </c>
      <c r="Y662" s="65">
        <v>0</v>
      </c>
      <c r="Z662" s="65">
        <v>13694.393429032258</v>
      </c>
      <c r="AA662" s="51">
        <v>0</v>
      </c>
      <c r="AB662" s="102">
        <v>0</v>
      </c>
      <c r="AC662" s="81">
        <f t="shared" si="33"/>
        <v>288.38406700507613</v>
      </c>
      <c r="AD662" s="82">
        <f t="shared" si="34"/>
        <v>49.25</v>
      </c>
      <c r="AE662" s="218">
        <v>0</v>
      </c>
      <c r="AF662">
        <v>0</v>
      </c>
      <c r="AH662" t="str">
        <f t="shared" si="32"/>
        <v>Kalyanpur</v>
      </c>
      <c r="AJ662" s="72">
        <v>0</v>
      </c>
      <c r="AK662" s="72"/>
      <c r="AL662" s="72"/>
      <c r="AM662" s="72"/>
    </row>
    <row r="663" spans="1:39" x14ac:dyDescent="0.25">
      <c r="A663" s="37" t="s">
        <v>62</v>
      </c>
      <c r="B663" s="66" t="s">
        <v>1566</v>
      </c>
      <c r="C663" s="41">
        <v>1053</v>
      </c>
      <c r="D663" s="41" t="s">
        <v>542</v>
      </c>
      <c r="E663" s="41">
        <v>10530016</v>
      </c>
      <c r="F663" s="85" t="s">
        <v>555</v>
      </c>
      <c r="G663" s="39" t="s">
        <v>635</v>
      </c>
      <c r="H663" s="52" t="s">
        <v>99</v>
      </c>
      <c r="I663" s="52">
        <v>303.2</v>
      </c>
      <c r="J663" s="49">
        <v>11811.100000000002</v>
      </c>
      <c r="K663" s="58">
        <v>0</v>
      </c>
      <c r="L663" s="58">
        <v>0</v>
      </c>
      <c r="M663" s="58">
        <v>0</v>
      </c>
      <c r="N663" s="58">
        <v>0</v>
      </c>
      <c r="O663" s="65">
        <v>0</v>
      </c>
      <c r="P663" s="65">
        <v>0</v>
      </c>
      <c r="Q663" s="50">
        <v>11811.100000000002</v>
      </c>
      <c r="R663" s="65">
        <v>0</v>
      </c>
      <c r="S663" s="65">
        <v>0</v>
      </c>
      <c r="T663" s="65">
        <v>0</v>
      </c>
      <c r="U663" s="65">
        <v>0</v>
      </c>
      <c r="V663" s="65">
        <v>493.30853225806408</v>
      </c>
      <c r="W663" s="65">
        <v>0</v>
      </c>
      <c r="X663" s="65">
        <v>0</v>
      </c>
      <c r="Y663" s="65">
        <v>0</v>
      </c>
      <c r="Z663" s="65">
        <v>11317.791467741938</v>
      </c>
      <c r="AA663" s="51">
        <v>0</v>
      </c>
      <c r="AB663" s="102">
        <v>0</v>
      </c>
      <c r="AC663" s="81">
        <f t="shared" si="33"/>
        <v>309.14541424802121</v>
      </c>
      <c r="AD663" s="82">
        <f t="shared" si="34"/>
        <v>43.31428571428571</v>
      </c>
      <c r="AE663" s="218">
        <v>0</v>
      </c>
      <c r="AF663">
        <v>0</v>
      </c>
      <c r="AH663" t="str">
        <f t="shared" si="32"/>
        <v>Kalyanpur</v>
      </c>
      <c r="AJ663" s="72">
        <v>0</v>
      </c>
      <c r="AK663" s="72"/>
      <c r="AL663" s="72"/>
      <c r="AM663" s="72"/>
    </row>
    <row r="664" spans="1:39" x14ac:dyDescent="0.25">
      <c r="A664" s="37" t="s">
        <v>62</v>
      </c>
      <c r="B664" s="66" t="s">
        <v>1566</v>
      </c>
      <c r="C664" s="41">
        <v>1053</v>
      </c>
      <c r="D664" s="41" t="s">
        <v>542</v>
      </c>
      <c r="E664" s="41">
        <v>10530017</v>
      </c>
      <c r="F664" s="85" t="s">
        <v>556</v>
      </c>
      <c r="G664" s="39" t="s">
        <v>635</v>
      </c>
      <c r="H664" s="52" t="s">
        <v>99</v>
      </c>
      <c r="I664" s="52">
        <v>1479</v>
      </c>
      <c r="J664" s="49">
        <v>62471.099999999977</v>
      </c>
      <c r="K664" s="58">
        <v>0</v>
      </c>
      <c r="L664" s="58">
        <v>0</v>
      </c>
      <c r="M664" s="58">
        <v>0</v>
      </c>
      <c r="N664" s="58">
        <v>0</v>
      </c>
      <c r="O664" s="65">
        <v>0</v>
      </c>
      <c r="P664" s="65">
        <v>0</v>
      </c>
      <c r="Q664" s="50">
        <v>62471.099999999977</v>
      </c>
      <c r="R664" s="65">
        <v>0</v>
      </c>
      <c r="S664" s="65">
        <v>0</v>
      </c>
      <c r="T664" s="65">
        <v>0</v>
      </c>
      <c r="U664" s="65">
        <v>7500</v>
      </c>
      <c r="V664" s="65">
        <v>0</v>
      </c>
      <c r="W664" s="65">
        <v>0</v>
      </c>
      <c r="X664" s="65">
        <v>0</v>
      </c>
      <c r="Y664" s="65">
        <v>0</v>
      </c>
      <c r="Z664" s="65">
        <v>54971.099999999977</v>
      </c>
      <c r="AA664" s="51">
        <v>0</v>
      </c>
      <c r="AB664" s="102">
        <v>0</v>
      </c>
      <c r="AC664" s="81">
        <f t="shared" si="33"/>
        <v>0</v>
      </c>
      <c r="AD664" s="82">
        <f t="shared" si="34"/>
        <v>0</v>
      </c>
      <c r="AE664" s="218">
        <v>0</v>
      </c>
      <c r="AF664">
        <v>0</v>
      </c>
      <c r="AH664" t="str">
        <f t="shared" si="32"/>
        <v>Kalyanpur</v>
      </c>
      <c r="AJ664" s="72">
        <v>0</v>
      </c>
      <c r="AK664" s="72"/>
      <c r="AL664" s="72"/>
      <c r="AM664" s="72"/>
    </row>
    <row r="665" spans="1:39" x14ac:dyDescent="0.25">
      <c r="A665" s="37" t="s">
        <v>62</v>
      </c>
      <c r="B665" s="66" t="s">
        <v>1566</v>
      </c>
      <c r="C665" s="41">
        <v>1053</v>
      </c>
      <c r="D665" s="41" t="s">
        <v>542</v>
      </c>
      <c r="E665" s="41">
        <v>10530018</v>
      </c>
      <c r="F665" s="85" t="s">
        <v>557</v>
      </c>
      <c r="G665" s="39" t="s">
        <v>635</v>
      </c>
      <c r="H665" s="52" t="s">
        <v>99</v>
      </c>
      <c r="I665" s="52">
        <v>973.9000000000002</v>
      </c>
      <c r="J665" s="49">
        <v>41597.629999999997</v>
      </c>
      <c r="K665" s="58">
        <v>0</v>
      </c>
      <c r="L665" s="58">
        <v>0</v>
      </c>
      <c r="M665" s="58">
        <v>0</v>
      </c>
      <c r="N665" s="58">
        <v>0</v>
      </c>
      <c r="O665" s="65">
        <v>0</v>
      </c>
      <c r="P665" s="65">
        <v>0</v>
      </c>
      <c r="Q665" s="50">
        <v>41597.629999999997</v>
      </c>
      <c r="R665" s="65">
        <v>0</v>
      </c>
      <c r="S665" s="65">
        <v>0</v>
      </c>
      <c r="T665" s="65">
        <v>0</v>
      </c>
      <c r="U665" s="65">
        <v>1350</v>
      </c>
      <c r="V665" s="65">
        <v>0</v>
      </c>
      <c r="W665" s="65">
        <v>0</v>
      </c>
      <c r="X665" s="65">
        <v>0</v>
      </c>
      <c r="Y665" s="65">
        <v>0</v>
      </c>
      <c r="Z665" s="65">
        <v>40247.629999999997</v>
      </c>
      <c r="AA665" s="51">
        <v>0</v>
      </c>
      <c r="AB665" s="102">
        <v>0</v>
      </c>
      <c r="AC665" s="81">
        <f t="shared" si="33"/>
        <v>0</v>
      </c>
      <c r="AD665" s="82">
        <f t="shared" si="34"/>
        <v>0</v>
      </c>
      <c r="AE665" s="218">
        <v>0</v>
      </c>
      <c r="AF665">
        <v>0</v>
      </c>
      <c r="AH665" t="str">
        <f t="shared" si="32"/>
        <v>Kalyanpur</v>
      </c>
      <c r="AJ665" s="72">
        <v>0</v>
      </c>
      <c r="AK665" s="72"/>
      <c r="AL665" s="72"/>
      <c r="AM665" s="72"/>
    </row>
    <row r="666" spans="1:39" x14ac:dyDescent="0.25">
      <c r="A666" s="37" t="s">
        <v>62</v>
      </c>
      <c r="B666" s="66" t="s">
        <v>1566</v>
      </c>
      <c r="C666" s="41">
        <v>1053</v>
      </c>
      <c r="D666" s="41" t="s">
        <v>542</v>
      </c>
      <c r="E666" s="41">
        <v>10530029</v>
      </c>
      <c r="F666" s="85" t="s">
        <v>566</v>
      </c>
      <c r="G666" s="39" t="s">
        <v>635</v>
      </c>
      <c r="H666" s="52" t="s">
        <v>99</v>
      </c>
      <c r="I666" s="52">
        <v>1241.3499999999999</v>
      </c>
      <c r="J666" s="49">
        <v>50972.87</v>
      </c>
      <c r="K666" s="58">
        <v>0</v>
      </c>
      <c r="L666" s="58">
        <v>0</v>
      </c>
      <c r="M666" s="58">
        <v>0</v>
      </c>
      <c r="N666" s="58">
        <v>0</v>
      </c>
      <c r="O666" s="65">
        <v>0</v>
      </c>
      <c r="P666" s="65">
        <v>0</v>
      </c>
      <c r="Q666" s="50">
        <v>50972.87</v>
      </c>
      <c r="R666" s="65">
        <v>0</v>
      </c>
      <c r="S666" s="65">
        <v>0</v>
      </c>
      <c r="T666" s="65">
        <v>0</v>
      </c>
      <c r="U666" s="65">
        <v>0</v>
      </c>
      <c r="V666" s="65">
        <v>0</v>
      </c>
      <c r="W666" s="65">
        <v>0</v>
      </c>
      <c r="X666" s="65">
        <v>0</v>
      </c>
      <c r="Y666" s="65">
        <v>0</v>
      </c>
      <c r="Z666" s="65">
        <v>50972.87</v>
      </c>
      <c r="AA666" s="51">
        <v>0</v>
      </c>
      <c r="AB666" s="102">
        <v>0</v>
      </c>
      <c r="AC666" s="81">
        <f t="shared" si="33"/>
        <v>0</v>
      </c>
      <c r="AD666" s="82">
        <f t="shared" si="34"/>
        <v>0</v>
      </c>
      <c r="AE666" s="218">
        <v>0</v>
      </c>
      <c r="AF666">
        <v>0</v>
      </c>
      <c r="AH666" t="str">
        <f t="shared" si="32"/>
        <v>Kalyanpur</v>
      </c>
      <c r="AJ666" s="72">
        <v>0</v>
      </c>
      <c r="AK666" s="72"/>
      <c r="AL666" s="72"/>
      <c r="AM666" s="72"/>
    </row>
    <row r="667" spans="1:39" x14ac:dyDescent="0.25">
      <c r="A667" s="37" t="s">
        <v>62</v>
      </c>
      <c r="B667" s="66" t="s">
        <v>1566</v>
      </c>
      <c r="C667" s="41">
        <v>1053</v>
      </c>
      <c r="D667" s="41" t="s">
        <v>542</v>
      </c>
      <c r="E667" s="41">
        <v>10530030</v>
      </c>
      <c r="F667" s="85" t="s">
        <v>567</v>
      </c>
      <c r="G667" s="39" t="s">
        <v>635</v>
      </c>
      <c r="H667" s="52" t="s">
        <v>99</v>
      </c>
      <c r="I667" s="52">
        <v>218.20000000000002</v>
      </c>
      <c r="J667" s="49">
        <v>8275.18</v>
      </c>
      <c r="K667" s="58">
        <v>0</v>
      </c>
      <c r="L667" s="58">
        <v>0</v>
      </c>
      <c r="M667" s="58">
        <v>0</v>
      </c>
      <c r="N667" s="58">
        <v>0</v>
      </c>
      <c r="O667" s="65">
        <v>0</v>
      </c>
      <c r="P667" s="65">
        <v>0</v>
      </c>
      <c r="Q667" s="50">
        <v>8275.18</v>
      </c>
      <c r="R667" s="65">
        <v>0</v>
      </c>
      <c r="S667" s="65">
        <v>0</v>
      </c>
      <c r="T667" s="65">
        <v>0</v>
      </c>
      <c r="U667" s="65">
        <v>0</v>
      </c>
      <c r="V667" s="65">
        <v>291.11587741935512</v>
      </c>
      <c r="W667" s="65">
        <v>0</v>
      </c>
      <c r="X667" s="65">
        <v>0</v>
      </c>
      <c r="Y667" s="65">
        <v>0</v>
      </c>
      <c r="Z667" s="65">
        <v>7984.0641225806448</v>
      </c>
      <c r="AA667" s="51">
        <v>0</v>
      </c>
      <c r="AB667" s="102">
        <v>0</v>
      </c>
      <c r="AC667" s="81">
        <f t="shared" si="33"/>
        <v>365.44287112740602</v>
      </c>
      <c r="AD667" s="82">
        <f t="shared" si="34"/>
        <v>31.171428571428574</v>
      </c>
      <c r="AE667" s="218">
        <v>0</v>
      </c>
      <c r="AF667">
        <v>0</v>
      </c>
      <c r="AH667" t="str">
        <f t="shared" si="32"/>
        <v>Kalyanpur</v>
      </c>
      <c r="AJ667" s="72">
        <v>0</v>
      </c>
      <c r="AK667" s="72"/>
      <c r="AL667" s="72"/>
      <c r="AM667" s="72"/>
    </row>
    <row r="668" spans="1:39" x14ac:dyDescent="0.25">
      <c r="A668" s="37" t="s">
        <v>62</v>
      </c>
      <c r="B668" s="66" t="s">
        <v>1566</v>
      </c>
      <c r="C668" s="41">
        <v>1053</v>
      </c>
      <c r="D668" s="41" t="s">
        <v>542</v>
      </c>
      <c r="E668" s="41">
        <v>10530031</v>
      </c>
      <c r="F668" s="85" t="s">
        <v>436</v>
      </c>
      <c r="G668" s="39" t="s">
        <v>635</v>
      </c>
      <c r="H668" s="52" t="s">
        <v>99</v>
      </c>
      <c r="I668" s="52">
        <v>1396.75</v>
      </c>
      <c r="J668" s="49">
        <v>59225.47</v>
      </c>
      <c r="K668" s="58">
        <v>0</v>
      </c>
      <c r="L668" s="58">
        <v>0</v>
      </c>
      <c r="M668" s="58">
        <v>0</v>
      </c>
      <c r="N668" s="58">
        <v>0</v>
      </c>
      <c r="O668" s="65">
        <v>0</v>
      </c>
      <c r="P668" s="65">
        <v>0</v>
      </c>
      <c r="Q668" s="50">
        <v>59225.47</v>
      </c>
      <c r="R668" s="65">
        <v>0</v>
      </c>
      <c r="S668" s="65">
        <v>0</v>
      </c>
      <c r="T668" s="65">
        <v>0</v>
      </c>
      <c r="U668" s="65">
        <v>1500</v>
      </c>
      <c r="V668" s="65">
        <v>0</v>
      </c>
      <c r="W668" s="65">
        <v>0</v>
      </c>
      <c r="X668" s="65">
        <v>0</v>
      </c>
      <c r="Y668" s="65">
        <v>0</v>
      </c>
      <c r="Z668" s="65">
        <v>57725.47</v>
      </c>
      <c r="AA668" s="51">
        <v>0</v>
      </c>
      <c r="AB668" s="102">
        <v>0</v>
      </c>
      <c r="AC668" s="81">
        <f t="shared" si="33"/>
        <v>0</v>
      </c>
      <c r="AD668" s="82">
        <f t="shared" si="34"/>
        <v>0</v>
      </c>
      <c r="AE668" s="218">
        <v>0</v>
      </c>
      <c r="AF668">
        <v>0</v>
      </c>
      <c r="AH668" t="str">
        <f t="shared" si="32"/>
        <v>Kalyanpur</v>
      </c>
      <c r="AJ668" s="72">
        <v>0</v>
      </c>
      <c r="AK668" s="72"/>
      <c r="AL668" s="72"/>
      <c r="AM668" s="72"/>
    </row>
    <row r="669" spans="1:39" x14ac:dyDescent="0.25">
      <c r="A669" s="37" t="s">
        <v>62</v>
      </c>
      <c r="B669" s="66" t="s">
        <v>1566</v>
      </c>
      <c r="C669" s="41">
        <v>1053</v>
      </c>
      <c r="D669" s="41" t="s">
        <v>542</v>
      </c>
      <c r="E669" s="41">
        <v>10530032</v>
      </c>
      <c r="F669" s="85" t="s">
        <v>582</v>
      </c>
      <c r="G669" s="39" t="s">
        <v>93</v>
      </c>
      <c r="H669" s="52" t="s">
        <v>94</v>
      </c>
      <c r="I669" s="52">
        <v>454.49999999999989</v>
      </c>
      <c r="J669" s="49">
        <v>23517.410000000003</v>
      </c>
      <c r="K669" s="58">
        <v>456.88000000000005</v>
      </c>
      <c r="L669" s="58">
        <v>23172.51078523164</v>
      </c>
      <c r="M669" s="58">
        <v>7.34</v>
      </c>
      <c r="N669" s="58">
        <v>339.41820916408005</v>
      </c>
      <c r="O669" s="65">
        <v>464.22</v>
      </c>
      <c r="P669" s="65">
        <v>23511.928994395719</v>
      </c>
      <c r="Q669" s="50">
        <v>23511.928994395719</v>
      </c>
      <c r="R669" s="65">
        <v>0</v>
      </c>
      <c r="S669" s="65">
        <v>339.41820916408005</v>
      </c>
      <c r="T669" s="65">
        <v>0</v>
      </c>
      <c r="U669" s="65">
        <v>1500</v>
      </c>
      <c r="V669" s="65">
        <v>0</v>
      </c>
      <c r="W669" s="65">
        <v>0</v>
      </c>
      <c r="X669" s="65">
        <v>21672</v>
      </c>
      <c r="Y669" s="65">
        <v>0</v>
      </c>
      <c r="Z669" s="65">
        <v>0</v>
      </c>
      <c r="AA669" s="51">
        <v>6</v>
      </c>
      <c r="AB669" s="102">
        <v>0</v>
      </c>
      <c r="AC669" s="81">
        <f t="shared" si="33"/>
        <v>254.06046886688688</v>
      </c>
      <c r="AD669" s="82">
        <f t="shared" si="34"/>
        <v>64.928571428571416</v>
      </c>
      <c r="AE669" s="218">
        <v>2.330616170864177E-4</v>
      </c>
      <c r="AF669">
        <v>21</v>
      </c>
      <c r="AH669" t="str">
        <f t="shared" si="32"/>
        <v>Kalyanpur</v>
      </c>
      <c r="AJ669" s="72">
        <v>0</v>
      </c>
      <c r="AK669" s="72"/>
      <c r="AL669" s="72"/>
      <c r="AM669" s="72"/>
    </row>
    <row r="670" spans="1:39" x14ac:dyDescent="0.25">
      <c r="A670" s="37" t="s">
        <v>62</v>
      </c>
      <c r="B670" s="66" t="s">
        <v>1566</v>
      </c>
      <c r="C670" s="41">
        <v>1053</v>
      </c>
      <c r="D670" s="41" t="s">
        <v>542</v>
      </c>
      <c r="E670" s="41">
        <v>10530033</v>
      </c>
      <c r="F670" s="85" t="s">
        <v>603</v>
      </c>
      <c r="G670" s="39" t="s">
        <v>93</v>
      </c>
      <c r="H670" s="52" t="s">
        <v>94</v>
      </c>
      <c r="I670" s="52">
        <v>938.19999999999993</v>
      </c>
      <c r="J670" s="49">
        <v>38381.990000000005</v>
      </c>
      <c r="K670" s="58">
        <v>929.9899999999999</v>
      </c>
      <c r="L670" s="58">
        <v>37767.969057426184</v>
      </c>
      <c r="M670" s="58">
        <v>13.709999999999999</v>
      </c>
      <c r="N670" s="58">
        <v>547.66442924820001</v>
      </c>
      <c r="O670" s="65">
        <v>943.69999999999993</v>
      </c>
      <c r="P670" s="65">
        <v>38315.633486674385</v>
      </c>
      <c r="Q670" s="50">
        <v>38315.633486674385</v>
      </c>
      <c r="R670" s="65">
        <v>0</v>
      </c>
      <c r="S670" s="65">
        <v>547.66442924820001</v>
      </c>
      <c r="T670" s="65">
        <v>0</v>
      </c>
      <c r="U670" s="65">
        <v>0</v>
      </c>
      <c r="V670" s="65">
        <v>0</v>
      </c>
      <c r="W670" s="65">
        <v>0</v>
      </c>
      <c r="X670" s="65">
        <v>37771</v>
      </c>
      <c r="Y670" s="65">
        <v>0</v>
      </c>
      <c r="Z670" s="65">
        <v>0</v>
      </c>
      <c r="AA670" s="51">
        <v>63</v>
      </c>
      <c r="AB670" s="102">
        <v>0</v>
      </c>
      <c r="AC670" s="81">
        <f t="shared" si="33"/>
        <v>0</v>
      </c>
      <c r="AD670" s="82">
        <f t="shared" si="34"/>
        <v>0</v>
      </c>
      <c r="AE670" s="218">
        <v>1.7288450475241052E-3</v>
      </c>
      <c r="AF670">
        <v>28</v>
      </c>
      <c r="AH670" t="str">
        <f t="shared" si="32"/>
        <v>Kalyanpur</v>
      </c>
      <c r="AJ670" s="72">
        <v>0</v>
      </c>
      <c r="AK670" s="72"/>
      <c r="AL670" s="72"/>
      <c r="AM670" s="72"/>
    </row>
    <row r="671" spans="1:39" x14ac:dyDescent="0.25">
      <c r="A671" s="37" t="s">
        <v>62</v>
      </c>
      <c r="B671" s="66" t="s">
        <v>1566</v>
      </c>
      <c r="C671" s="41">
        <v>1053</v>
      </c>
      <c r="D671" s="41" t="s">
        <v>542</v>
      </c>
      <c r="E671" s="41">
        <v>10530034</v>
      </c>
      <c r="F671" s="85" t="s">
        <v>604</v>
      </c>
      <c r="G671" s="39" t="s">
        <v>93</v>
      </c>
      <c r="H671" s="52" t="s">
        <v>94</v>
      </c>
      <c r="I671" s="52">
        <v>856.74999999999989</v>
      </c>
      <c r="J671" s="49">
        <v>43941.419999999991</v>
      </c>
      <c r="K671" s="58">
        <v>868.51</v>
      </c>
      <c r="L671" s="58">
        <v>44068.738633959889</v>
      </c>
      <c r="M671" s="58">
        <v>0</v>
      </c>
      <c r="N671" s="58">
        <v>0</v>
      </c>
      <c r="O671" s="65">
        <v>868.51</v>
      </c>
      <c r="P671" s="65">
        <v>44068.738633959889</v>
      </c>
      <c r="Q671" s="50">
        <v>43941.419999999991</v>
      </c>
      <c r="R671" s="65">
        <v>0</v>
      </c>
      <c r="S671" s="65">
        <v>0</v>
      </c>
      <c r="T671" s="65">
        <v>127.31863395989785</v>
      </c>
      <c r="U671" s="65">
        <v>0</v>
      </c>
      <c r="V671" s="65">
        <v>0</v>
      </c>
      <c r="W671" s="65">
        <v>0</v>
      </c>
      <c r="X671" s="65">
        <v>43941</v>
      </c>
      <c r="Y671" s="65">
        <v>0</v>
      </c>
      <c r="Z671" s="65">
        <v>0</v>
      </c>
      <c r="AA671" s="51">
        <v>0</v>
      </c>
      <c r="AB671" s="102">
        <v>0</v>
      </c>
      <c r="AC671" s="81">
        <f t="shared" si="33"/>
        <v>0</v>
      </c>
      <c r="AD671" s="82">
        <f t="shared" si="34"/>
        <v>0</v>
      </c>
      <c r="AE671" s="218">
        <v>-2.897462894005198E-3</v>
      </c>
      <c r="AF671">
        <v>35</v>
      </c>
      <c r="AH671" t="str">
        <f t="shared" si="32"/>
        <v>Kalyanpur</v>
      </c>
      <c r="AJ671" s="72">
        <v>0</v>
      </c>
      <c r="AK671" s="72"/>
      <c r="AL671" s="72"/>
      <c r="AM671" s="72"/>
    </row>
    <row r="672" spans="1:39" x14ac:dyDescent="0.25">
      <c r="A672" s="37" t="s">
        <v>62</v>
      </c>
      <c r="B672" s="66" t="s">
        <v>1566</v>
      </c>
      <c r="C672" s="41">
        <v>1053</v>
      </c>
      <c r="D672" s="41" t="s">
        <v>542</v>
      </c>
      <c r="E672" s="41">
        <v>10530035</v>
      </c>
      <c r="F672" s="85" t="s">
        <v>605</v>
      </c>
      <c r="G672" s="39" t="s">
        <v>93</v>
      </c>
      <c r="H672" s="52" t="s">
        <v>94</v>
      </c>
      <c r="I672" s="52">
        <v>507.44999999999993</v>
      </c>
      <c r="J672" s="49">
        <v>22094.400000000001</v>
      </c>
      <c r="K672" s="58">
        <v>523.09999999999991</v>
      </c>
      <c r="L672" s="58">
        <v>21442.256432516231</v>
      </c>
      <c r="M672" s="58">
        <v>14.589999999999998</v>
      </c>
      <c r="N672" s="58">
        <v>613.44358606221613</v>
      </c>
      <c r="O672" s="65">
        <v>537.68999999999994</v>
      </c>
      <c r="P672" s="65">
        <v>22055.700018578449</v>
      </c>
      <c r="Q672" s="50">
        <v>22055.700018578449</v>
      </c>
      <c r="R672" s="65">
        <v>0</v>
      </c>
      <c r="S672" s="65">
        <v>613.44358606221613</v>
      </c>
      <c r="T672" s="65">
        <v>0</v>
      </c>
      <c r="U672" s="65">
        <v>6882</v>
      </c>
      <c r="V672" s="65">
        <v>244.31533548387134</v>
      </c>
      <c r="W672" s="65">
        <v>0</v>
      </c>
      <c r="X672" s="65">
        <v>14315</v>
      </c>
      <c r="Y672" s="65">
        <v>0</v>
      </c>
      <c r="Z672" s="65">
        <v>0</v>
      </c>
      <c r="AA672" s="51">
        <v>40</v>
      </c>
      <c r="AB672" s="102" t="s">
        <v>66</v>
      </c>
      <c r="AC672" s="81">
        <f t="shared" si="33"/>
        <v>167.67274490097557</v>
      </c>
      <c r="AD672" s="82">
        <f t="shared" si="34"/>
        <v>72.492857142857133</v>
      </c>
      <c r="AE672" s="218">
        <v>1.7515742188768358E-3</v>
      </c>
      <c r="AF672">
        <v>22</v>
      </c>
      <c r="AH672" t="str">
        <f t="shared" si="32"/>
        <v>Kalyanpur</v>
      </c>
      <c r="AJ672" s="72">
        <v>0</v>
      </c>
      <c r="AK672" s="72"/>
      <c r="AL672" s="72"/>
      <c r="AM672" s="72"/>
    </row>
    <row r="673" spans="1:39" x14ac:dyDescent="0.25">
      <c r="A673" s="37" t="s">
        <v>62</v>
      </c>
      <c r="B673" s="66" t="s">
        <v>1566</v>
      </c>
      <c r="C673" s="41">
        <v>1053</v>
      </c>
      <c r="D673" s="41" t="s">
        <v>542</v>
      </c>
      <c r="E673" s="41">
        <v>10530038</v>
      </c>
      <c r="F673" s="85" t="s">
        <v>606</v>
      </c>
      <c r="G673" s="39" t="s">
        <v>635</v>
      </c>
      <c r="H673" s="52" t="s">
        <v>99</v>
      </c>
      <c r="I673" s="52">
        <v>502.84999999999997</v>
      </c>
      <c r="J673" s="49">
        <v>19767.069999999992</v>
      </c>
      <c r="K673" s="58">
        <v>0</v>
      </c>
      <c r="L673" s="58">
        <v>0</v>
      </c>
      <c r="M673" s="58">
        <v>0</v>
      </c>
      <c r="N673" s="58">
        <v>0</v>
      </c>
      <c r="O673" s="65">
        <v>0</v>
      </c>
      <c r="P673" s="65">
        <v>0</v>
      </c>
      <c r="Q673" s="50">
        <v>19767.069999999992</v>
      </c>
      <c r="R673" s="65">
        <v>0</v>
      </c>
      <c r="S673" s="65">
        <v>0</v>
      </c>
      <c r="T673" s="65">
        <v>0</v>
      </c>
      <c r="U673" s="65">
        <v>0</v>
      </c>
      <c r="V673" s="65">
        <v>0</v>
      </c>
      <c r="W673" s="65">
        <v>0</v>
      </c>
      <c r="X673" s="65">
        <v>0</v>
      </c>
      <c r="Y673" s="65">
        <v>0</v>
      </c>
      <c r="Z673" s="65">
        <v>19767.069999999992</v>
      </c>
      <c r="AA673" s="51">
        <v>0</v>
      </c>
      <c r="AB673" s="102">
        <v>0</v>
      </c>
      <c r="AC673" s="81">
        <f t="shared" si="33"/>
        <v>154.99961620761661</v>
      </c>
      <c r="AD673" s="82">
        <f t="shared" si="34"/>
        <v>71.835714285714275</v>
      </c>
      <c r="AE673" s="218">
        <v>0</v>
      </c>
      <c r="AF673">
        <v>0</v>
      </c>
      <c r="AH673" t="str">
        <f t="shared" si="32"/>
        <v>Kalyanpur</v>
      </c>
      <c r="AJ673" s="72">
        <v>0</v>
      </c>
      <c r="AK673" s="72"/>
      <c r="AL673" s="72"/>
      <c r="AM673" s="72"/>
    </row>
    <row r="674" spans="1:39" x14ac:dyDescent="0.25">
      <c r="A674" s="37" t="s">
        <v>62</v>
      </c>
      <c r="B674" s="66" t="s">
        <v>1566</v>
      </c>
      <c r="C674" s="41">
        <v>1053</v>
      </c>
      <c r="D674" s="41" t="s">
        <v>542</v>
      </c>
      <c r="E674" s="41">
        <v>10530040</v>
      </c>
      <c r="F674" s="85" t="s">
        <v>607</v>
      </c>
      <c r="G674" s="39" t="s">
        <v>93</v>
      </c>
      <c r="H674" s="52" t="s">
        <v>94</v>
      </c>
      <c r="I674" s="52">
        <v>548.55000000000007</v>
      </c>
      <c r="J674" s="49">
        <v>23915.93</v>
      </c>
      <c r="K674" s="58">
        <v>535.07999999999993</v>
      </c>
      <c r="L674" s="58">
        <v>24051.992959026546</v>
      </c>
      <c r="M674" s="58">
        <v>6.02</v>
      </c>
      <c r="N674" s="58">
        <v>258.90100632000002</v>
      </c>
      <c r="O674" s="65">
        <v>541.09999999999991</v>
      </c>
      <c r="P674" s="65">
        <v>24310.893965346546</v>
      </c>
      <c r="Q674" s="50">
        <v>23915.93</v>
      </c>
      <c r="R674" s="65">
        <v>0</v>
      </c>
      <c r="S674" s="65">
        <v>258.90100632000002</v>
      </c>
      <c r="T674" s="65">
        <v>394.96396534654559</v>
      </c>
      <c r="U674" s="65">
        <v>2276</v>
      </c>
      <c r="V674" s="65">
        <v>0</v>
      </c>
      <c r="W674" s="65">
        <v>0</v>
      </c>
      <c r="X674" s="65">
        <v>21381</v>
      </c>
      <c r="Y674" s="65">
        <v>0</v>
      </c>
      <c r="Z674" s="65">
        <v>0</v>
      </c>
      <c r="AA674" s="51">
        <v>0</v>
      </c>
      <c r="AB674" s="102">
        <v>0</v>
      </c>
      <c r="AC674" s="81">
        <f t="shared" si="33"/>
        <v>132.05970644426205</v>
      </c>
      <c r="AD674" s="82">
        <f t="shared" si="34"/>
        <v>78.364285714285728</v>
      </c>
      <c r="AE674" s="218">
        <v>-1.6514681442308353E-2</v>
      </c>
      <c r="AF674">
        <v>22</v>
      </c>
      <c r="AH674" t="str">
        <f t="shared" si="32"/>
        <v>Kalyanpur</v>
      </c>
      <c r="AJ674" s="72">
        <v>0</v>
      </c>
      <c r="AK674" s="72"/>
      <c r="AL674" s="72"/>
      <c r="AM674" s="72"/>
    </row>
    <row r="675" spans="1:39" x14ac:dyDescent="0.25">
      <c r="A675" s="37" t="s">
        <v>62</v>
      </c>
      <c r="B675" s="66" t="s">
        <v>1566</v>
      </c>
      <c r="C675" s="41">
        <v>1053</v>
      </c>
      <c r="D675" s="41" t="s">
        <v>542</v>
      </c>
      <c r="E675" s="41">
        <v>10530041</v>
      </c>
      <c r="F675" s="85" t="s">
        <v>583</v>
      </c>
      <c r="G675" s="39" t="s">
        <v>635</v>
      </c>
      <c r="H675" s="52" t="s">
        <v>99</v>
      </c>
      <c r="I675" s="52">
        <v>2626.95</v>
      </c>
      <c r="J675" s="49">
        <v>105472.77000000002</v>
      </c>
      <c r="K675" s="58">
        <v>0</v>
      </c>
      <c r="L675" s="58">
        <v>0</v>
      </c>
      <c r="M675" s="58">
        <v>0</v>
      </c>
      <c r="N675" s="58">
        <v>0</v>
      </c>
      <c r="O675" s="65">
        <v>0</v>
      </c>
      <c r="P675" s="65">
        <v>0</v>
      </c>
      <c r="Q675" s="50">
        <v>105472.77000000002</v>
      </c>
      <c r="R675" s="65">
        <v>0</v>
      </c>
      <c r="S675" s="65">
        <v>0</v>
      </c>
      <c r="T675" s="65">
        <v>0</v>
      </c>
      <c r="U675" s="65">
        <v>0</v>
      </c>
      <c r="V675" s="65">
        <v>0</v>
      </c>
      <c r="W675" s="65">
        <v>0</v>
      </c>
      <c r="X675" s="65">
        <v>0</v>
      </c>
      <c r="Y675" s="65">
        <v>0</v>
      </c>
      <c r="Z675" s="65">
        <v>105472.77000000002</v>
      </c>
      <c r="AA675" s="51">
        <v>0</v>
      </c>
      <c r="AB675" s="102">
        <v>0</v>
      </c>
      <c r="AC675" s="81">
        <f t="shared" si="33"/>
        <v>0</v>
      </c>
      <c r="AD675" s="82">
        <f t="shared" si="34"/>
        <v>0</v>
      </c>
      <c r="AE675" s="218">
        <v>0</v>
      </c>
      <c r="AF675">
        <v>0</v>
      </c>
      <c r="AH675" t="str">
        <f t="shared" si="32"/>
        <v>Kalyanpur</v>
      </c>
      <c r="AJ675" s="72">
        <v>0</v>
      </c>
      <c r="AK675" s="72"/>
      <c r="AL675" s="72"/>
      <c r="AM675" s="72"/>
    </row>
    <row r="676" spans="1:39" x14ac:dyDescent="0.25">
      <c r="A676" s="37" t="s">
        <v>62</v>
      </c>
      <c r="B676" s="66" t="s">
        <v>1566</v>
      </c>
      <c r="C676" s="41">
        <v>1053</v>
      </c>
      <c r="D676" s="41" t="s">
        <v>542</v>
      </c>
      <c r="E676" s="41">
        <v>10530044</v>
      </c>
      <c r="F676" s="85" t="s">
        <v>608</v>
      </c>
      <c r="G676" s="39" t="s">
        <v>93</v>
      </c>
      <c r="H676" s="52" t="s">
        <v>94</v>
      </c>
      <c r="I676" s="52">
        <v>777.05</v>
      </c>
      <c r="J676" s="49">
        <v>34006.559999999998</v>
      </c>
      <c r="K676" s="58">
        <v>768.38999999999987</v>
      </c>
      <c r="L676" s="58">
        <v>33479.177795636038</v>
      </c>
      <c r="M676" s="58">
        <v>11.73</v>
      </c>
      <c r="N676" s="58">
        <v>493.188933996</v>
      </c>
      <c r="O676" s="65">
        <v>780.11999999999989</v>
      </c>
      <c r="P676" s="65">
        <v>33972.366729632042</v>
      </c>
      <c r="Q676" s="50">
        <v>33972.366729632042</v>
      </c>
      <c r="R676" s="65">
        <v>0</v>
      </c>
      <c r="S676" s="65">
        <v>493.188933996</v>
      </c>
      <c r="T676" s="65">
        <v>0</v>
      </c>
      <c r="U676" s="65">
        <v>0</v>
      </c>
      <c r="V676" s="65">
        <v>533.59714838709704</v>
      </c>
      <c r="W676" s="65">
        <v>0</v>
      </c>
      <c r="X676" s="65">
        <v>32945</v>
      </c>
      <c r="Y676" s="65">
        <v>0</v>
      </c>
      <c r="Z676" s="65">
        <v>0</v>
      </c>
      <c r="AA676" s="51">
        <v>35</v>
      </c>
      <c r="AB676" s="102">
        <v>0</v>
      </c>
      <c r="AC676" s="81">
        <f t="shared" si="33"/>
        <v>0</v>
      </c>
      <c r="AD676" s="82">
        <f t="shared" si="34"/>
        <v>0</v>
      </c>
      <c r="AE676" s="218">
        <v>1.0054904220819704E-3</v>
      </c>
      <c r="AF676">
        <v>20</v>
      </c>
      <c r="AH676" t="str">
        <f t="shared" si="32"/>
        <v>Kalyanpur</v>
      </c>
      <c r="AJ676" s="72">
        <v>0</v>
      </c>
      <c r="AK676" s="72"/>
      <c r="AL676" s="72"/>
      <c r="AM676" s="72"/>
    </row>
    <row r="677" spans="1:39" x14ac:dyDescent="0.25">
      <c r="A677" s="37" t="s">
        <v>62</v>
      </c>
      <c r="B677" s="66" t="s">
        <v>1566</v>
      </c>
      <c r="C677" s="41">
        <v>1053</v>
      </c>
      <c r="D677" s="41" t="s">
        <v>542</v>
      </c>
      <c r="E677" s="41">
        <v>10530046</v>
      </c>
      <c r="F677" s="85" t="s">
        <v>639</v>
      </c>
      <c r="G677" s="39" t="s">
        <v>93</v>
      </c>
      <c r="H677" s="52" t="s">
        <v>94</v>
      </c>
      <c r="I677" s="52">
        <v>425.95</v>
      </c>
      <c r="J677" s="49">
        <v>19473.02</v>
      </c>
      <c r="K677" s="58">
        <v>422.06</v>
      </c>
      <c r="L677" s="58">
        <v>19382.922376653001</v>
      </c>
      <c r="M677" s="58">
        <v>1.74</v>
      </c>
      <c r="N677" s="58">
        <v>85.22343681000001</v>
      </c>
      <c r="O677" s="65">
        <v>423.8</v>
      </c>
      <c r="P677" s="65">
        <v>19468.145813463001</v>
      </c>
      <c r="Q677" s="50">
        <v>19468.145813463001</v>
      </c>
      <c r="R677" s="65">
        <v>0</v>
      </c>
      <c r="S677" s="65">
        <v>85.22343681000001</v>
      </c>
      <c r="T677" s="65">
        <v>0</v>
      </c>
      <c r="U677" s="65">
        <v>0</v>
      </c>
      <c r="V677" s="65">
        <v>0</v>
      </c>
      <c r="W677" s="65">
        <v>0</v>
      </c>
      <c r="X677" s="65">
        <v>19385</v>
      </c>
      <c r="Y677" s="65">
        <v>0</v>
      </c>
      <c r="Z677" s="65">
        <v>0</v>
      </c>
      <c r="AA677" s="51">
        <v>3</v>
      </c>
      <c r="AB677" s="102">
        <v>0</v>
      </c>
      <c r="AC677" s="81">
        <f t="shared" si="33"/>
        <v>250.57312506162697</v>
      </c>
      <c r="AD677" s="82">
        <f t="shared" si="34"/>
        <v>60.85</v>
      </c>
      <c r="AE677" s="218">
        <v>2.5030460282993248E-4</v>
      </c>
      <c r="AF677">
        <v>23</v>
      </c>
      <c r="AH677" t="str">
        <f t="shared" si="32"/>
        <v>Kalyanpur</v>
      </c>
      <c r="AJ677" s="72">
        <v>0</v>
      </c>
      <c r="AK677" s="72"/>
      <c r="AL677" s="72"/>
      <c r="AM677" s="72"/>
    </row>
    <row r="678" spans="1:39" x14ac:dyDescent="0.25">
      <c r="A678" s="37" t="s">
        <v>62</v>
      </c>
      <c r="B678" s="66" t="s">
        <v>1566</v>
      </c>
      <c r="C678" s="41">
        <v>1053</v>
      </c>
      <c r="D678" s="41" t="s">
        <v>542</v>
      </c>
      <c r="E678" s="41">
        <v>10530047</v>
      </c>
      <c r="F678" s="85" t="s">
        <v>609</v>
      </c>
      <c r="G678" s="39" t="s">
        <v>93</v>
      </c>
      <c r="H678" s="52" t="s">
        <v>94</v>
      </c>
      <c r="I678" s="52">
        <v>287.15000000000003</v>
      </c>
      <c r="J678" s="49">
        <v>9674.09</v>
      </c>
      <c r="K678" s="58">
        <v>287.19</v>
      </c>
      <c r="L678" s="58">
        <v>10086.466508137799</v>
      </c>
      <c r="M678" s="58">
        <v>1.32</v>
      </c>
      <c r="N678" s="58">
        <v>45.183500861399999</v>
      </c>
      <c r="O678" s="65">
        <v>288.51</v>
      </c>
      <c r="P678" s="65">
        <v>10131.650008999199</v>
      </c>
      <c r="Q678" s="50">
        <v>9674.09</v>
      </c>
      <c r="R678" s="65">
        <v>0</v>
      </c>
      <c r="S678" s="65">
        <v>45.183500861399999</v>
      </c>
      <c r="T678" s="65">
        <v>457.56000899919854</v>
      </c>
      <c r="U678" s="65">
        <v>0</v>
      </c>
      <c r="V678" s="65">
        <v>94.889912903225877</v>
      </c>
      <c r="W678" s="65">
        <v>0</v>
      </c>
      <c r="X678" s="65">
        <v>9534</v>
      </c>
      <c r="Y678" s="65">
        <v>0</v>
      </c>
      <c r="Z678" s="65">
        <v>0</v>
      </c>
      <c r="AA678" s="51">
        <v>0</v>
      </c>
      <c r="AB678" s="102">
        <v>0</v>
      </c>
      <c r="AC678" s="81">
        <f t="shared" si="33"/>
        <v>278.17851690753957</v>
      </c>
      <c r="AD678" s="82">
        <f t="shared" si="34"/>
        <v>41.021428571428579</v>
      </c>
      <c r="AE678" s="218">
        <v>-4.7297472837155595E-2</v>
      </c>
      <c r="AF678">
        <v>5</v>
      </c>
      <c r="AH678" t="str">
        <f t="shared" si="32"/>
        <v>Kalyanpur</v>
      </c>
      <c r="AJ678" s="72">
        <v>0</v>
      </c>
      <c r="AK678" s="72"/>
      <c r="AL678" s="72"/>
      <c r="AM678" s="72"/>
    </row>
    <row r="679" spans="1:39" x14ac:dyDescent="0.25">
      <c r="A679" s="37" t="s">
        <v>62</v>
      </c>
      <c r="B679" s="66" t="s">
        <v>1566</v>
      </c>
      <c r="C679" s="41">
        <v>1053</v>
      </c>
      <c r="D679" s="41" t="s">
        <v>542</v>
      </c>
      <c r="E679" s="41">
        <v>10530048</v>
      </c>
      <c r="F679" s="85" t="s">
        <v>640</v>
      </c>
      <c r="G679" s="39" t="s">
        <v>93</v>
      </c>
      <c r="H679" s="52" t="s">
        <v>94</v>
      </c>
      <c r="I679" s="52">
        <v>348.59999999999997</v>
      </c>
      <c r="J679" s="49">
        <v>12837.179999999998</v>
      </c>
      <c r="K679" s="58">
        <v>344.9199999999999</v>
      </c>
      <c r="L679" s="58">
        <v>12585.122812260184</v>
      </c>
      <c r="M679" s="58">
        <v>5.77</v>
      </c>
      <c r="N679" s="58">
        <v>227.89277617650603</v>
      </c>
      <c r="O679" s="65">
        <v>350.68999999999988</v>
      </c>
      <c r="P679" s="65">
        <v>12813.01558843669</v>
      </c>
      <c r="Q679" s="50">
        <v>12813.01558843669</v>
      </c>
      <c r="R679" s="65">
        <v>0</v>
      </c>
      <c r="S679" s="65">
        <v>227.89277617650603</v>
      </c>
      <c r="T679" s="65">
        <v>0</v>
      </c>
      <c r="U679" s="65">
        <v>0</v>
      </c>
      <c r="V679" s="65">
        <v>0</v>
      </c>
      <c r="W679" s="65">
        <v>0</v>
      </c>
      <c r="X679" s="65">
        <v>12584</v>
      </c>
      <c r="Y679" s="65">
        <v>0</v>
      </c>
      <c r="Z679" s="65">
        <v>0</v>
      </c>
      <c r="AA679" s="51">
        <v>25</v>
      </c>
      <c r="AB679" s="102">
        <v>0</v>
      </c>
      <c r="AC679" s="81">
        <f t="shared" si="33"/>
        <v>258.80579759036146</v>
      </c>
      <c r="AD679" s="82">
        <f t="shared" si="34"/>
        <v>49.8</v>
      </c>
      <c r="AE679" s="218">
        <v>1.8823769366253355E-3</v>
      </c>
      <c r="AF679">
        <v>12</v>
      </c>
      <c r="AH679" t="str">
        <f t="shared" si="32"/>
        <v>Kalyanpur</v>
      </c>
      <c r="AJ679" s="72">
        <v>0</v>
      </c>
      <c r="AK679" s="72"/>
      <c r="AL679" s="72"/>
      <c r="AM679" s="72"/>
    </row>
    <row r="680" spans="1:39" x14ac:dyDescent="0.25">
      <c r="A680" s="37" t="s">
        <v>62</v>
      </c>
      <c r="B680" s="66" t="s">
        <v>1566</v>
      </c>
      <c r="C680" s="41">
        <v>1053</v>
      </c>
      <c r="D680" s="41" t="s">
        <v>542</v>
      </c>
      <c r="E680" s="41">
        <v>10530049</v>
      </c>
      <c r="F680" s="85" t="s">
        <v>610</v>
      </c>
      <c r="G680" s="39" t="s">
        <v>635</v>
      </c>
      <c r="H680" s="52" t="s">
        <v>99</v>
      </c>
      <c r="I680" s="52">
        <v>1806.7999999999997</v>
      </c>
      <c r="J680" s="49">
        <v>68849.05</v>
      </c>
      <c r="K680" s="58">
        <v>0</v>
      </c>
      <c r="L680" s="58">
        <v>0</v>
      </c>
      <c r="M680" s="58">
        <v>0</v>
      </c>
      <c r="N680" s="58">
        <v>0</v>
      </c>
      <c r="O680" s="65">
        <v>0</v>
      </c>
      <c r="P680" s="65">
        <v>0</v>
      </c>
      <c r="Q680" s="50">
        <v>68849.05</v>
      </c>
      <c r="R680" s="65">
        <v>0</v>
      </c>
      <c r="S680" s="65">
        <v>0</v>
      </c>
      <c r="T680" s="65">
        <v>0</v>
      </c>
      <c r="U680" s="65">
        <v>0</v>
      </c>
      <c r="V680" s="65">
        <v>0</v>
      </c>
      <c r="W680" s="65">
        <v>0</v>
      </c>
      <c r="X680" s="65">
        <v>0</v>
      </c>
      <c r="Y680" s="65">
        <v>0</v>
      </c>
      <c r="Z680" s="65">
        <v>68849.05</v>
      </c>
      <c r="AA680" s="51">
        <v>0</v>
      </c>
      <c r="AB680" s="102">
        <v>0</v>
      </c>
      <c r="AC680" s="81">
        <f t="shared" si="33"/>
        <v>0</v>
      </c>
      <c r="AD680" s="82">
        <f t="shared" si="34"/>
        <v>0</v>
      </c>
      <c r="AE680" s="218">
        <v>0</v>
      </c>
      <c r="AF680">
        <v>0</v>
      </c>
      <c r="AH680" t="str">
        <f t="shared" si="32"/>
        <v>Kalyanpur</v>
      </c>
      <c r="AJ680" s="72">
        <v>0</v>
      </c>
      <c r="AK680" s="72"/>
      <c r="AL680" s="72"/>
      <c r="AM680" s="72"/>
    </row>
    <row r="681" spans="1:39" x14ac:dyDescent="0.25">
      <c r="A681" s="37" t="s">
        <v>62</v>
      </c>
      <c r="B681" s="66" t="s">
        <v>1566</v>
      </c>
      <c r="C681" s="41">
        <v>1053</v>
      </c>
      <c r="D681" s="41" t="s">
        <v>542</v>
      </c>
      <c r="E681" s="41">
        <v>10530050</v>
      </c>
      <c r="F681" s="85" t="s">
        <v>559</v>
      </c>
      <c r="G681" s="39" t="s">
        <v>635</v>
      </c>
      <c r="H681" s="52" t="s">
        <v>99</v>
      </c>
      <c r="I681" s="52">
        <v>48.650000000000006</v>
      </c>
      <c r="J681" s="49">
        <v>2286.06</v>
      </c>
      <c r="K681" s="58">
        <v>0</v>
      </c>
      <c r="L681" s="58">
        <v>0</v>
      </c>
      <c r="M681" s="58">
        <v>0</v>
      </c>
      <c r="N681" s="58">
        <v>0</v>
      </c>
      <c r="O681" s="65">
        <v>0</v>
      </c>
      <c r="P681" s="65">
        <v>0</v>
      </c>
      <c r="Q681" s="50">
        <v>2286.06</v>
      </c>
      <c r="R681" s="65">
        <v>0</v>
      </c>
      <c r="S681" s="65">
        <v>0</v>
      </c>
      <c r="T681" s="65">
        <v>0</v>
      </c>
      <c r="U681" s="65">
        <v>0</v>
      </c>
      <c r="V681" s="65">
        <v>408.58372258064514</v>
      </c>
      <c r="W681" s="65">
        <v>0</v>
      </c>
      <c r="X681" s="65">
        <v>0</v>
      </c>
      <c r="Y681" s="65">
        <v>0</v>
      </c>
      <c r="Z681" s="65">
        <v>1877.4762774193548</v>
      </c>
      <c r="AA681" s="51">
        <v>0</v>
      </c>
      <c r="AB681" s="102">
        <v>0</v>
      </c>
      <c r="AC681" s="81">
        <f t="shared" si="33"/>
        <v>612.13779280575534</v>
      </c>
      <c r="AD681" s="82">
        <f t="shared" si="34"/>
        <v>6.9500000000000011</v>
      </c>
      <c r="AE681" s="218">
        <v>0</v>
      </c>
      <c r="AF681">
        <v>0</v>
      </c>
      <c r="AH681" t="str">
        <f t="shared" si="32"/>
        <v>Kalyanpur</v>
      </c>
      <c r="AJ681" s="72">
        <v>0</v>
      </c>
      <c r="AK681" s="72"/>
      <c r="AL681" s="72"/>
      <c r="AM681" s="72"/>
    </row>
    <row r="682" spans="1:39" x14ac:dyDescent="0.25">
      <c r="A682" s="37" t="s">
        <v>62</v>
      </c>
      <c r="B682" s="66" t="s">
        <v>1566</v>
      </c>
      <c r="C682" s="41">
        <v>1053</v>
      </c>
      <c r="D682" s="41" t="s">
        <v>542</v>
      </c>
      <c r="E682" s="41">
        <v>10530055</v>
      </c>
      <c r="F682" s="85" t="s">
        <v>654</v>
      </c>
      <c r="G682" s="39" t="s">
        <v>93</v>
      </c>
      <c r="H682" s="52" t="s">
        <v>94</v>
      </c>
      <c r="I682" s="52">
        <v>1924.8999999999999</v>
      </c>
      <c r="J682" s="49">
        <v>76006.280000000013</v>
      </c>
      <c r="K682" s="58">
        <v>1891.7700000000002</v>
      </c>
      <c r="L682" s="58">
        <v>74681.882705331562</v>
      </c>
      <c r="M682" s="58">
        <v>28.680000000000003</v>
      </c>
      <c r="N682" s="58">
        <v>1138.3862640480002</v>
      </c>
      <c r="O682" s="65">
        <v>1920.4500000000003</v>
      </c>
      <c r="P682" s="65">
        <v>75820.268969379569</v>
      </c>
      <c r="Q682" s="50">
        <v>75820.268969379569</v>
      </c>
      <c r="R682" s="65">
        <v>0</v>
      </c>
      <c r="S682" s="65">
        <v>1138.3862640480002</v>
      </c>
      <c r="T682" s="65">
        <v>0</v>
      </c>
      <c r="U682" s="65">
        <v>5243</v>
      </c>
      <c r="V682" s="65">
        <v>0</v>
      </c>
      <c r="W682" s="65">
        <v>0</v>
      </c>
      <c r="X682" s="65">
        <v>69441</v>
      </c>
      <c r="Y682" s="65">
        <v>0</v>
      </c>
      <c r="Z682" s="65">
        <v>0</v>
      </c>
      <c r="AA682" s="51">
        <v>184</v>
      </c>
      <c r="AB682" s="102">
        <v>0</v>
      </c>
      <c r="AC682" s="81">
        <f t="shared" si="33"/>
        <v>0</v>
      </c>
      <c r="AD682" s="82">
        <f t="shared" si="34"/>
        <v>0</v>
      </c>
      <c r="AE682" s="218">
        <v>2.4473113355954822E-3</v>
      </c>
      <c r="AF682">
        <v>52</v>
      </c>
      <c r="AH682" t="str">
        <f t="shared" si="32"/>
        <v>Kalyanpur</v>
      </c>
      <c r="AJ682" s="72">
        <v>0</v>
      </c>
      <c r="AK682" s="72"/>
      <c r="AL682" s="72"/>
      <c r="AM682" s="72"/>
    </row>
    <row r="683" spans="1:39" x14ac:dyDescent="0.25">
      <c r="A683" s="37" t="s">
        <v>62</v>
      </c>
      <c r="B683" s="66" t="s">
        <v>1566</v>
      </c>
      <c r="C683" s="41">
        <v>1053</v>
      </c>
      <c r="D683" s="41" t="s">
        <v>542</v>
      </c>
      <c r="E683" s="41">
        <v>10530058</v>
      </c>
      <c r="F683" s="85" t="s">
        <v>674</v>
      </c>
      <c r="G683" s="39" t="s">
        <v>93</v>
      </c>
      <c r="H683" s="52" t="s">
        <v>94</v>
      </c>
      <c r="I683" s="52">
        <v>168.8</v>
      </c>
      <c r="J683" s="49">
        <v>6244.94</v>
      </c>
      <c r="K683" s="58">
        <v>165.64</v>
      </c>
      <c r="L683" s="58">
        <v>6209.0161617330004</v>
      </c>
      <c r="M683" s="58">
        <v>0</v>
      </c>
      <c r="N683" s="58">
        <v>0</v>
      </c>
      <c r="O683" s="65">
        <v>165.64</v>
      </c>
      <c r="P683" s="65">
        <v>6209.0161617330004</v>
      </c>
      <c r="Q683" s="50">
        <v>6209.0161617330004</v>
      </c>
      <c r="R683" s="65">
        <v>0</v>
      </c>
      <c r="S683" s="65">
        <v>0</v>
      </c>
      <c r="T683" s="65">
        <v>0</v>
      </c>
      <c r="U683" s="65">
        <v>0</v>
      </c>
      <c r="V683" s="65">
        <v>0</v>
      </c>
      <c r="W683" s="65">
        <v>0</v>
      </c>
      <c r="X683" s="65">
        <v>6208</v>
      </c>
      <c r="Y683" s="65">
        <v>0</v>
      </c>
      <c r="Z683" s="65">
        <v>0</v>
      </c>
      <c r="AA683" s="51">
        <v>37</v>
      </c>
      <c r="AB683" s="102">
        <v>0</v>
      </c>
      <c r="AC683" s="81">
        <f t="shared" si="33"/>
        <v>393.0464606635071</v>
      </c>
      <c r="AD683" s="82">
        <f t="shared" si="34"/>
        <v>24.114285714285717</v>
      </c>
      <c r="AE683" s="218">
        <v>5.7524713235033737E-3</v>
      </c>
      <c r="AF683">
        <v>9</v>
      </c>
      <c r="AH683" t="str">
        <f t="shared" si="32"/>
        <v>Kalyanpur</v>
      </c>
      <c r="AJ683" s="72">
        <v>0</v>
      </c>
      <c r="AK683" s="72"/>
      <c r="AL683" s="72"/>
      <c r="AM683" s="72"/>
    </row>
    <row r="684" spans="1:39" x14ac:dyDescent="0.25">
      <c r="A684" s="37" t="s">
        <v>62</v>
      </c>
      <c r="B684" s="66" t="s">
        <v>1566</v>
      </c>
      <c r="C684" s="41">
        <v>1053</v>
      </c>
      <c r="D684" s="41" t="s">
        <v>542</v>
      </c>
      <c r="E684" s="41">
        <v>10530059</v>
      </c>
      <c r="F684" s="85" t="s">
        <v>656</v>
      </c>
      <c r="G684" s="39" t="s">
        <v>635</v>
      </c>
      <c r="H684" s="52" t="s">
        <v>99</v>
      </c>
      <c r="I684" s="52">
        <v>1725.4499999999996</v>
      </c>
      <c r="J684" s="49">
        <v>81979.000000000015</v>
      </c>
      <c r="K684" s="58">
        <v>0</v>
      </c>
      <c r="L684" s="58">
        <v>0</v>
      </c>
      <c r="M684" s="58">
        <v>0</v>
      </c>
      <c r="N684" s="58">
        <v>0</v>
      </c>
      <c r="O684" s="65">
        <v>0</v>
      </c>
      <c r="P684" s="65">
        <v>0</v>
      </c>
      <c r="Q684" s="50">
        <v>81979.000000000015</v>
      </c>
      <c r="R684" s="65">
        <v>0</v>
      </c>
      <c r="S684" s="65">
        <v>0</v>
      </c>
      <c r="T684" s="65">
        <v>0</v>
      </c>
      <c r="U684" s="65">
        <v>0</v>
      </c>
      <c r="V684" s="65">
        <v>0</v>
      </c>
      <c r="W684" s="65">
        <v>0</v>
      </c>
      <c r="X684" s="65">
        <v>0</v>
      </c>
      <c r="Y684" s="65">
        <v>0</v>
      </c>
      <c r="Z684" s="65">
        <v>81979.000000000015</v>
      </c>
      <c r="AA684" s="51">
        <v>0</v>
      </c>
      <c r="AB684" s="102">
        <v>0</v>
      </c>
      <c r="AC684" s="81">
        <f t="shared" si="33"/>
        <v>0</v>
      </c>
      <c r="AD684" s="82">
        <f t="shared" si="34"/>
        <v>0</v>
      </c>
      <c r="AE684" s="218">
        <v>0</v>
      </c>
      <c r="AF684">
        <v>0</v>
      </c>
      <c r="AH684" t="str">
        <f t="shared" si="32"/>
        <v>Kalyanpur</v>
      </c>
      <c r="AJ684" s="72">
        <v>0</v>
      </c>
      <c r="AK684" s="72"/>
      <c r="AL684" s="72"/>
      <c r="AM684" s="72"/>
    </row>
    <row r="685" spans="1:39" x14ac:dyDescent="0.25">
      <c r="A685" s="37" t="s">
        <v>62</v>
      </c>
      <c r="B685" s="66" t="s">
        <v>1566</v>
      </c>
      <c r="C685" s="41">
        <v>1053</v>
      </c>
      <c r="D685" s="41" t="s">
        <v>542</v>
      </c>
      <c r="E685" s="41">
        <v>10530060</v>
      </c>
      <c r="F685" s="85" t="s">
        <v>675</v>
      </c>
      <c r="G685" s="39" t="s">
        <v>635</v>
      </c>
      <c r="H685" s="52" t="s">
        <v>99</v>
      </c>
      <c r="I685" s="52">
        <v>477.25</v>
      </c>
      <c r="J685" s="49">
        <v>20125.480000000003</v>
      </c>
      <c r="K685" s="58">
        <v>0</v>
      </c>
      <c r="L685" s="58">
        <v>0</v>
      </c>
      <c r="M685" s="58">
        <v>0</v>
      </c>
      <c r="N685" s="58">
        <v>0</v>
      </c>
      <c r="O685" s="65">
        <v>0</v>
      </c>
      <c r="P685" s="65">
        <v>0</v>
      </c>
      <c r="Q685" s="50">
        <v>20125.480000000003</v>
      </c>
      <c r="R685" s="65">
        <v>0</v>
      </c>
      <c r="S685" s="65">
        <v>0</v>
      </c>
      <c r="T685" s="65">
        <v>0</v>
      </c>
      <c r="U685" s="65">
        <v>0</v>
      </c>
      <c r="V685" s="65">
        <v>0</v>
      </c>
      <c r="W685" s="65">
        <v>0</v>
      </c>
      <c r="X685" s="65">
        <v>0</v>
      </c>
      <c r="Y685" s="65">
        <v>0</v>
      </c>
      <c r="Z685" s="65">
        <v>20125.480000000003</v>
      </c>
      <c r="AA685" s="51">
        <v>0</v>
      </c>
      <c r="AB685" s="102">
        <v>0</v>
      </c>
      <c r="AC685" s="81">
        <f t="shared" si="33"/>
        <v>187.86592645364067</v>
      </c>
      <c r="AD685" s="82">
        <f t="shared" si="34"/>
        <v>68.178571428571431</v>
      </c>
      <c r="AE685" s="218">
        <v>0</v>
      </c>
      <c r="AF685">
        <v>0</v>
      </c>
      <c r="AH685" t="str">
        <f t="shared" si="32"/>
        <v>Kalyanpur</v>
      </c>
      <c r="AJ685" s="72">
        <v>0</v>
      </c>
      <c r="AK685" s="72"/>
      <c r="AL685" s="72"/>
      <c r="AM685" s="72"/>
    </row>
    <row r="686" spans="1:39" x14ac:dyDescent="0.25">
      <c r="A686" s="37" t="s">
        <v>62</v>
      </c>
      <c r="B686" s="66" t="s">
        <v>1566</v>
      </c>
      <c r="C686" s="41">
        <v>1053</v>
      </c>
      <c r="D686" s="41" t="s">
        <v>542</v>
      </c>
      <c r="E686" s="41">
        <v>10530062</v>
      </c>
      <c r="F686" s="85" t="s">
        <v>681</v>
      </c>
      <c r="G686" s="39" t="s">
        <v>93</v>
      </c>
      <c r="H686" s="52" t="s">
        <v>94</v>
      </c>
      <c r="I686" s="52">
        <v>754.95000000000016</v>
      </c>
      <c r="J686" s="49">
        <v>31028.5</v>
      </c>
      <c r="K686" s="58">
        <v>755.99000000000012</v>
      </c>
      <c r="L686" s="58">
        <v>30889.631148361168</v>
      </c>
      <c r="M686" s="58">
        <v>4.4799999999999995</v>
      </c>
      <c r="N686" s="58">
        <v>185.66193800862004</v>
      </c>
      <c r="O686" s="65">
        <v>760.47000000000014</v>
      </c>
      <c r="P686" s="65">
        <v>31075.293086369787</v>
      </c>
      <c r="Q686" s="50">
        <v>31028.5</v>
      </c>
      <c r="R686" s="65">
        <v>0</v>
      </c>
      <c r="S686" s="65">
        <v>185.66193800862004</v>
      </c>
      <c r="T686" s="65">
        <v>46.793086369787488</v>
      </c>
      <c r="U686" s="65">
        <v>0</v>
      </c>
      <c r="V686" s="65">
        <v>0</v>
      </c>
      <c r="W686" s="65">
        <v>0</v>
      </c>
      <c r="X686" s="65">
        <v>30843</v>
      </c>
      <c r="Y686" s="65">
        <v>0</v>
      </c>
      <c r="Z686" s="65">
        <v>0</v>
      </c>
      <c r="AA686" s="51">
        <v>0</v>
      </c>
      <c r="AB686" s="102">
        <v>0</v>
      </c>
      <c r="AC686" s="81">
        <f t="shared" si="33"/>
        <v>0</v>
      </c>
      <c r="AD686" s="82">
        <f t="shared" si="34"/>
        <v>0</v>
      </c>
      <c r="AE686" s="218">
        <v>-1.5080679494589647E-3</v>
      </c>
      <c r="AF686">
        <v>10</v>
      </c>
      <c r="AH686" t="str">
        <f t="shared" si="32"/>
        <v>Kalyanpur</v>
      </c>
      <c r="AJ686" s="72">
        <v>0</v>
      </c>
      <c r="AK686" s="72"/>
      <c r="AL686" s="72"/>
      <c r="AM686" s="72"/>
    </row>
    <row r="687" spans="1:39" x14ac:dyDescent="0.25">
      <c r="A687" s="37" t="s">
        <v>62</v>
      </c>
      <c r="B687" s="66" t="s">
        <v>1566</v>
      </c>
      <c r="C687" s="41">
        <v>1053</v>
      </c>
      <c r="D687" s="41" t="s">
        <v>542</v>
      </c>
      <c r="E687" s="41">
        <v>10530063</v>
      </c>
      <c r="F687" s="85" t="s">
        <v>682</v>
      </c>
      <c r="G687" s="39" t="s">
        <v>635</v>
      </c>
      <c r="H687" s="52" t="s">
        <v>99</v>
      </c>
      <c r="I687" s="52">
        <v>107.30000000000001</v>
      </c>
      <c r="J687" s="49">
        <v>6061.6900000000005</v>
      </c>
      <c r="K687" s="58">
        <v>0</v>
      </c>
      <c r="L687" s="58">
        <v>0</v>
      </c>
      <c r="M687" s="58">
        <v>0</v>
      </c>
      <c r="N687" s="58">
        <v>0</v>
      </c>
      <c r="O687" s="65">
        <v>0</v>
      </c>
      <c r="P687" s="65">
        <v>0</v>
      </c>
      <c r="Q687" s="50">
        <v>6061.6900000000005</v>
      </c>
      <c r="R687" s="65">
        <v>0</v>
      </c>
      <c r="S687" s="65">
        <v>0</v>
      </c>
      <c r="T687" s="65">
        <v>0</v>
      </c>
      <c r="U687" s="65">
        <v>3000</v>
      </c>
      <c r="V687" s="65">
        <v>595.2187258064514</v>
      </c>
      <c r="W687" s="65">
        <v>0</v>
      </c>
      <c r="X687" s="65">
        <v>0</v>
      </c>
      <c r="Y687" s="65">
        <v>0</v>
      </c>
      <c r="Z687" s="65">
        <v>2466.4712741935491</v>
      </c>
      <c r="AA687" s="51">
        <v>0</v>
      </c>
      <c r="AB687" s="102">
        <v>0</v>
      </c>
      <c r="AC687" s="81">
        <f t="shared" si="33"/>
        <v>669.66703876980421</v>
      </c>
      <c r="AD687" s="82">
        <f t="shared" si="34"/>
        <v>15.328571428571431</v>
      </c>
      <c r="AE687" s="218">
        <v>0</v>
      </c>
      <c r="AF687">
        <v>0</v>
      </c>
      <c r="AH687" t="str">
        <f t="shared" si="32"/>
        <v>Kalyanpur</v>
      </c>
      <c r="AJ687" s="72">
        <v>0</v>
      </c>
      <c r="AK687" s="72"/>
      <c r="AL687" s="72"/>
      <c r="AM687" s="72"/>
    </row>
    <row r="688" spans="1:39" x14ac:dyDescent="0.25">
      <c r="A688" s="37" t="s">
        <v>62</v>
      </c>
      <c r="B688" s="66" t="s">
        <v>1566</v>
      </c>
      <c r="C688" s="41">
        <v>1053</v>
      </c>
      <c r="D688" s="41" t="s">
        <v>542</v>
      </c>
      <c r="E688" s="41">
        <v>10530064</v>
      </c>
      <c r="F688" s="85" t="s">
        <v>830</v>
      </c>
      <c r="G688" s="39" t="s">
        <v>93</v>
      </c>
      <c r="H688" s="52" t="s">
        <v>94</v>
      </c>
      <c r="I688" s="52">
        <v>966.3</v>
      </c>
      <c r="J688" s="49">
        <v>40986.300000000003</v>
      </c>
      <c r="K688" s="58">
        <v>957.5200000000001</v>
      </c>
      <c r="L688" s="58">
        <v>40450.831841582301</v>
      </c>
      <c r="M688" s="58">
        <v>14.639999999999999</v>
      </c>
      <c r="N688" s="58">
        <v>629.27630686800001</v>
      </c>
      <c r="O688" s="65">
        <v>972.16000000000008</v>
      </c>
      <c r="P688" s="65">
        <v>41080.108148450301</v>
      </c>
      <c r="Q688" s="50">
        <v>40986.300000000003</v>
      </c>
      <c r="R688" s="65">
        <v>0</v>
      </c>
      <c r="S688" s="65">
        <v>629.27630686800001</v>
      </c>
      <c r="T688" s="65">
        <v>93.808148450298177</v>
      </c>
      <c r="U688" s="65">
        <v>7</v>
      </c>
      <c r="V688" s="65">
        <v>0</v>
      </c>
      <c r="W688" s="65">
        <v>0</v>
      </c>
      <c r="X688" s="65">
        <v>40350</v>
      </c>
      <c r="Y688" s="65">
        <v>0</v>
      </c>
      <c r="Z688" s="65">
        <v>0</v>
      </c>
      <c r="AA688" s="51">
        <v>0</v>
      </c>
      <c r="AB688" s="102">
        <v>0</v>
      </c>
      <c r="AC688" s="81">
        <f t="shared" si="33"/>
        <v>0</v>
      </c>
      <c r="AD688" s="82">
        <f t="shared" si="34"/>
        <v>0</v>
      </c>
      <c r="AE688" s="218">
        <v>-2.2887684043277428E-3</v>
      </c>
      <c r="AF688">
        <v>34</v>
      </c>
      <c r="AH688" t="str">
        <f t="shared" si="32"/>
        <v>Kalyanpur</v>
      </c>
      <c r="AJ688" s="72">
        <v>0</v>
      </c>
      <c r="AK688" s="72"/>
      <c r="AL688" s="72"/>
      <c r="AM688" s="72"/>
    </row>
    <row r="689" spans="1:39" x14ac:dyDescent="0.25">
      <c r="A689" s="37" t="s">
        <v>62</v>
      </c>
      <c r="B689" s="66" t="s">
        <v>1566</v>
      </c>
      <c r="C689" s="41">
        <v>1053</v>
      </c>
      <c r="D689" s="41" t="s">
        <v>542</v>
      </c>
      <c r="E689" s="41">
        <v>10530065</v>
      </c>
      <c r="F689" s="85" t="s">
        <v>832</v>
      </c>
      <c r="G689" s="39" t="s">
        <v>93</v>
      </c>
      <c r="H689" s="52" t="s">
        <v>94</v>
      </c>
      <c r="I689" s="52">
        <v>1267.2499999999998</v>
      </c>
      <c r="J689" s="49">
        <v>47350.14</v>
      </c>
      <c r="K689" s="58">
        <v>1263.32</v>
      </c>
      <c r="L689" s="58">
        <v>49027.714731940046</v>
      </c>
      <c r="M689" s="58">
        <v>8.6300000000000008</v>
      </c>
      <c r="N689" s="58">
        <v>361.22344911250008</v>
      </c>
      <c r="O689" s="65">
        <v>1271.95</v>
      </c>
      <c r="P689" s="65">
        <v>49388.938181052545</v>
      </c>
      <c r="Q689" s="50">
        <v>47350.14</v>
      </c>
      <c r="R689" s="65">
        <v>0</v>
      </c>
      <c r="S689" s="65">
        <v>361.22344911250008</v>
      </c>
      <c r="T689" s="65">
        <v>2038.7981810525453</v>
      </c>
      <c r="U689" s="65">
        <v>16263</v>
      </c>
      <c r="V689" s="65">
        <v>0</v>
      </c>
      <c r="W689" s="65">
        <v>0</v>
      </c>
      <c r="X689" s="65">
        <v>30726</v>
      </c>
      <c r="Y689" s="65">
        <v>0</v>
      </c>
      <c r="Z689" s="65">
        <v>0</v>
      </c>
      <c r="AA689" s="51">
        <v>0</v>
      </c>
      <c r="AB689" s="102">
        <v>0</v>
      </c>
      <c r="AC689" s="81">
        <f t="shared" si="33"/>
        <v>0</v>
      </c>
      <c r="AD689" s="82">
        <f t="shared" si="34"/>
        <v>0</v>
      </c>
      <c r="AE689" s="218">
        <v>-4.3057912416996975E-2</v>
      </c>
      <c r="AF689">
        <v>10</v>
      </c>
      <c r="AH689" t="str">
        <f t="shared" si="32"/>
        <v>Kalyanpur</v>
      </c>
      <c r="AJ689" s="72">
        <v>0</v>
      </c>
      <c r="AK689" s="72"/>
      <c r="AL689" s="72"/>
      <c r="AM689" s="72"/>
    </row>
    <row r="690" spans="1:39" x14ac:dyDescent="0.25">
      <c r="A690" s="37" t="s">
        <v>62</v>
      </c>
      <c r="B690" s="66" t="s">
        <v>1566</v>
      </c>
      <c r="C690" s="41">
        <v>1053</v>
      </c>
      <c r="D690" s="41" t="s">
        <v>542</v>
      </c>
      <c r="E690" s="41">
        <v>10530067</v>
      </c>
      <c r="F690" s="85" t="s">
        <v>840</v>
      </c>
      <c r="G690" s="39" t="s">
        <v>93</v>
      </c>
      <c r="H690" s="52" t="s">
        <v>94</v>
      </c>
      <c r="I690" s="52">
        <v>549.6</v>
      </c>
      <c r="J690" s="49">
        <v>22512.560000000005</v>
      </c>
      <c r="K690" s="58">
        <v>556.37999999999988</v>
      </c>
      <c r="L690" s="58">
        <v>22178.826675229047</v>
      </c>
      <c r="M690" s="58">
        <v>8.18</v>
      </c>
      <c r="N690" s="58">
        <v>322.78840214940004</v>
      </c>
      <c r="O690" s="65">
        <v>564.55999999999983</v>
      </c>
      <c r="P690" s="65">
        <v>22501.615077378447</v>
      </c>
      <c r="Q690" s="50">
        <v>22501.615077378447</v>
      </c>
      <c r="R690" s="65">
        <v>0</v>
      </c>
      <c r="S690" s="65">
        <v>322.78840214940004</v>
      </c>
      <c r="T690" s="65">
        <v>0</v>
      </c>
      <c r="U690" s="65">
        <v>2535</v>
      </c>
      <c r="V690" s="65">
        <v>0</v>
      </c>
      <c r="W690" s="65">
        <v>0</v>
      </c>
      <c r="X690" s="65">
        <v>19646</v>
      </c>
      <c r="Y690" s="65">
        <v>0</v>
      </c>
      <c r="Z690" s="65">
        <v>0</v>
      </c>
      <c r="AA690" s="51">
        <v>9</v>
      </c>
      <c r="AB690" s="102">
        <v>0</v>
      </c>
      <c r="AC690" s="81">
        <f t="shared" si="33"/>
        <v>123.21284657933043</v>
      </c>
      <c r="AD690" s="82">
        <f t="shared" si="34"/>
        <v>78.51428571428572</v>
      </c>
      <c r="AE690" s="218">
        <v>4.8616961471988789E-4</v>
      </c>
      <c r="AF690">
        <v>21</v>
      </c>
      <c r="AH690" t="str">
        <f t="shared" si="32"/>
        <v>Kalyanpur</v>
      </c>
      <c r="AJ690" s="72">
        <v>0</v>
      </c>
      <c r="AK690" s="72"/>
      <c r="AL690" s="72"/>
      <c r="AM690" s="72"/>
    </row>
    <row r="691" spans="1:39" x14ac:dyDescent="0.25">
      <c r="A691" s="37" t="s">
        <v>62</v>
      </c>
      <c r="B691" s="66" t="s">
        <v>1566</v>
      </c>
      <c r="C691" s="41">
        <v>1053</v>
      </c>
      <c r="D691" s="41" t="s">
        <v>542</v>
      </c>
      <c r="E691" s="41">
        <v>10530070</v>
      </c>
      <c r="F691" s="85" t="s">
        <v>851</v>
      </c>
      <c r="G691" s="39" t="s">
        <v>93</v>
      </c>
      <c r="H691" s="52" t="s">
        <v>94</v>
      </c>
      <c r="I691" s="52">
        <v>134.75</v>
      </c>
      <c r="J691" s="49">
        <v>7185.24</v>
      </c>
      <c r="K691" s="58">
        <v>139.82</v>
      </c>
      <c r="L691" s="58">
        <v>7023.2246687107408</v>
      </c>
      <c r="M691" s="58">
        <v>3.15</v>
      </c>
      <c r="N691" s="58">
        <v>157.90380678089599</v>
      </c>
      <c r="O691" s="65">
        <v>142.97</v>
      </c>
      <c r="P691" s="65">
        <v>7181.1284754916369</v>
      </c>
      <c r="Q691" s="50">
        <v>7181.1284754916369</v>
      </c>
      <c r="R691" s="65">
        <v>0</v>
      </c>
      <c r="S691" s="65">
        <v>157.90380678089599</v>
      </c>
      <c r="T691" s="65">
        <v>0</v>
      </c>
      <c r="U691" s="65">
        <v>0</v>
      </c>
      <c r="V691" s="65">
        <v>0</v>
      </c>
      <c r="W691" s="65">
        <v>0</v>
      </c>
      <c r="X691" s="65">
        <v>7023</v>
      </c>
      <c r="Y691" s="65">
        <v>0</v>
      </c>
      <c r="Z691" s="65">
        <v>0</v>
      </c>
      <c r="AA691" s="51">
        <v>4</v>
      </c>
      <c r="AB691" s="102">
        <v>0</v>
      </c>
      <c r="AC691" s="81">
        <f t="shared" si="33"/>
        <v>602.81364155844153</v>
      </c>
      <c r="AD691" s="82">
        <f t="shared" si="34"/>
        <v>19.25</v>
      </c>
      <c r="AE691" s="218">
        <v>5.722181177473391E-4</v>
      </c>
      <c r="AF691">
        <v>10</v>
      </c>
      <c r="AH691" t="str">
        <f t="shared" si="32"/>
        <v>Kalyanpur</v>
      </c>
      <c r="AJ691" s="72">
        <v>0</v>
      </c>
      <c r="AK691" s="72"/>
      <c r="AL691" s="72"/>
      <c r="AM691" s="72"/>
    </row>
    <row r="692" spans="1:39" x14ac:dyDescent="0.25">
      <c r="A692" s="37" t="s">
        <v>62</v>
      </c>
      <c r="B692" s="66" t="s">
        <v>1566</v>
      </c>
      <c r="C692" s="41">
        <v>1053</v>
      </c>
      <c r="D692" s="41" t="s">
        <v>542</v>
      </c>
      <c r="E692" s="41">
        <v>10530071</v>
      </c>
      <c r="F692" s="85" t="s">
        <v>852</v>
      </c>
      <c r="G692" s="39" t="s">
        <v>93</v>
      </c>
      <c r="H692" s="52" t="s">
        <v>94</v>
      </c>
      <c r="I692" s="52">
        <v>319.55</v>
      </c>
      <c r="J692" s="49">
        <v>16197.689999999999</v>
      </c>
      <c r="K692" s="58">
        <v>317.34000000000003</v>
      </c>
      <c r="L692" s="58">
        <v>16486.868718197304</v>
      </c>
      <c r="M692" s="58">
        <v>0</v>
      </c>
      <c r="N692" s="58">
        <v>0</v>
      </c>
      <c r="O692" s="65">
        <v>317.34000000000003</v>
      </c>
      <c r="P692" s="65">
        <v>16486.868718197304</v>
      </c>
      <c r="Q692" s="50">
        <v>16197.689999999999</v>
      </c>
      <c r="R692" s="65">
        <v>0</v>
      </c>
      <c r="S692" s="65">
        <v>0</v>
      </c>
      <c r="T692" s="65">
        <v>289.17871819730499</v>
      </c>
      <c r="U692" s="65">
        <v>0</v>
      </c>
      <c r="V692" s="65">
        <v>0</v>
      </c>
      <c r="W692" s="65">
        <v>0</v>
      </c>
      <c r="X692" s="65">
        <v>16198</v>
      </c>
      <c r="Y692" s="65">
        <v>0</v>
      </c>
      <c r="Z692" s="65">
        <v>0</v>
      </c>
      <c r="AA692" s="51">
        <v>0</v>
      </c>
      <c r="AB692" s="102">
        <v>0</v>
      </c>
      <c r="AC692" s="81">
        <f t="shared" si="33"/>
        <v>385.69307842278198</v>
      </c>
      <c r="AD692" s="82">
        <f t="shared" si="34"/>
        <v>45.65</v>
      </c>
      <c r="AE692" s="218">
        <v>-1.7853083877843384E-2</v>
      </c>
      <c r="AF692">
        <v>11</v>
      </c>
      <c r="AH692" t="str">
        <f t="shared" si="32"/>
        <v>Kalyanpur</v>
      </c>
      <c r="AJ692" s="72">
        <v>0</v>
      </c>
      <c r="AK692" s="72"/>
      <c r="AL692" s="72"/>
      <c r="AM692" s="72"/>
    </row>
    <row r="693" spans="1:39" x14ac:dyDescent="0.25">
      <c r="A693" s="37" t="s">
        <v>62</v>
      </c>
      <c r="B693" s="66" t="s">
        <v>1566</v>
      </c>
      <c r="C693" s="41">
        <v>1053</v>
      </c>
      <c r="D693" s="41" t="s">
        <v>542</v>
      </c>
      <c r="E693" s="41">
        <v>10530072</v>
      </c>
      <c r="F693" s="85" t="s">
        <v>841</v>
      </c>
      <c r="G693" s="39" t="s">
        <v>635</v>
      </c>
      <c r="H693" s="52" t="s">
        <v>99</v>
      </c>
      <c r="I693" s="52">
        <v>458.70000000000005</v>
      </c>
      <c r="J693" s="49">
        <v>26611.29</v>
      </c>
      <c r="K693" s="58">
        <v>0</v>
      </c>
      <c r="L693" s="58">
        <v>0</v>
      </c>
      <c r="M693" s="58">
        <v>0</v>
      </c>
      <c r="N693" s="58">
        <v>0</v>
      </c>
      <c r="O693" s="65">
        <v>0</v>
      </c>
      <c r="P693" s="65">
        <v>0</v>
      </c>
      <c r="Q693" s="50">
        <v>26611.29</v>
      </c>
      <c r="R693" s="65">
        <v>0</v>
      </c>
      <c r="S693" s="65">
        <v>0</v>
      </c>
      <c r="T693" s="65">
        <v>0</v>
      </c>
      <c r="U693" s="65">
        <v>0</v>
      </c>
      <c r="V693" s="65">
        <v>0</v>
      </c>
      <c r="W693" s="65">
        <v>0</v>
      </c>
      <c r="X693" s="65">
        <v>0</v>
      </c>
      <c r="Y693" s="65">
        <v>0</v>
      </c>
      <c r="Z693" s="65">
        <v>26611.29</v>
      </c>
      <c r="AA693" s="51">
        <v>0</v>
      </c>
      <c r="AB693" s="102">
        <v>0</v>
      </c>
      <c r="AC693" s="81">
        <f t="shared" si="33"/>
        <v>279.97838574231514</v>
      </c>
      <c r="AD693" s="82">
        <f t="shared" si="34"/>
        <v>65.528571428571439</v>
      </c>
      <c r="AE693" s="218">
        <v>0</v>
      </c>
      <c r="AF693">
        <v>0</v>
      </c>
      <c r="AH693" t="str">
        <f t="shared" si="32"/>
        <v>Kalyanpur</v>
      </c>
      <c r="AJ693" s="72">
        <v>0</v>
      </c>
      <c r="AK693" s="72"/>
      <c r="AL693" s="72"/>
      <c r="AM693" s="72"/>
    </row>
    <row r="694" spans="1:39" x14ac:dyDescent="0.25">
      <c r="A694" s="37" t="s">
        <v>62</v>
      </c>
      <c r="B694" s="66" t="s">
        <v>1566</v>
      </c>
      <c r="C694" s="41">
        <v>1053</v>
      </c>
      <c r="D694" s="41" t="s">
        <v>542</v>
      </c>
      <c r="E694" s="41">
        <v>10530074</v>
      </c>
      <c r="F694" s="85" t="s">
        <v>1123</v>
      </c>
      <c r="G694" s="39" t="s">
        <v>93</v>
      </c>
      <c r="H694" s="52" t="s">
        <v>94</v>
      </c>
      <c r="I694" s="52">
        <v>864.69999999999993</v>
      </c>
      <c r="J694" s="49">
        <v>32986.94</v>
      </c>
      <c r="K694" s="58">
        <v>853.2</v>
      </c>
      <c r="L694" s="58">
        <v>33076.675521883932</v>
      </c>
      <c r="M694" s="58">
        <v>11.95</v>
      </c>
      <c r="N694" s="58">
        <v>456.275341368</v>
      </c>
      <c r="O694" s="65">
        <v>865.15000000000009</v>
      </c>
      <c r="P694" s="65">
        <v>33532.950863251928</v>
      </c>
      <c r="Q694" s="50">
        <v>32986.94</v>
      </c>
      <c r="R694" s="65">
        <v>0</v>
      </c>
      <c r="S694" s="65">
        <v>456.275341368</v>
      </c>
      <c r="T694" s="65">
        <v>546.01086325192591</v>
      </c>
      <c r="U694" s="65">
        <v>3080</v>
      </c>
      <c r="V694" s="65">
        <v>0</v>
      </c>
      <c r="W694" s="65">
        <v>0</v>
      </c>
      <c r="X694" s="65">
        <v>29451</v>
      </c>
      <c r="Y694" s="65">
        <v>0</v>
      </c>
      <c r="Z694" s="65">
        <v>0</v>
      </c>
      <c r="AA694" s="51">
        <v>0</v>
      </c>
      <c r="AB694" s="102">
        <v>0</v>
      </c>
      <c r="AC694" s="81">
        <f t="shared" si="33"/>
        <v>0</v>
      </c>
      <c r="AD694" s="82">
        <f t="shared" si="34"/>
        <v>0</v>
      </c>
      <c r="AE694" s="218">
        <v>-1.6552334446660582E-2</v>
      </c>
      <c r="AF694">
        <v>24</v>
      </c>
      <c r="AH694" t="str">
        <f t="shared" si="32"/>
        <v>Kalyanpur</v>
      </c>
      <c r="AJ694" s="72">
        <v>0</v>
      </c>
      <c r="AK694" s="72"/>
      <c r="AL694" s="72"/>
      <c r="AM694" s="72"/>
    </row>
    <row r="695" spans="1:39" x14ac:dyDescent="0.25">
      <c r="A695" s="37" t="s">
        <v>62</v>
      </c>
      <c r="B695" s="66" t="s">
        <v>1566</v>
      </c>
      <c r="C695" s="41">
        <v>1053</v>
      </c>
      <c r="D695" s="41" t="s">
        <v>542</v>
      </c>
      <c r="E695" s="41">
        <v>10530076</v>
      </c>
      <c r="F695" s="85" t="s">
        <v>1160</v>
      </c>
      <c r="G695" s="39" t="s">
        <v>93</v>
      </c>
      <c r="H695" s="52" t="s">
        <v>94</v>
      </c>
      <c r="I695" s="52">
        <v>1795.45</v>
      </c>
      <c r="J695" s="49">
        <v>87948.400000000038</v>
      </c>
      <c r="K695" s="58">
        <v>1841.2899999999997</v>
      </c>
      <c r="L695" s="58">
        <v>86188.355088405064</v>
      </c>
      <c r="M695" s="58">
        <v>26.52</v>
      </c>
      <c r="N695" s="58">
        <v>1201.7695206492103</v>
      </c>
      <c r="O695" s="65">
        <v>1867.8099999999997</v>
      </c>
      <c r="P695" s="65">
        <v>87390.12460905427</v>
      </c>
      <c r="Q695" s="50">
        <v>87390.12460905427</v>
      </c>
      <c r="R695" s="65">
        <v>0</v>
      </c>
      <c r="S695" s="65">
        <v>1201.7695206492103</v>
      </c>
      <c r="T695" s="65">
        <v>0</v>
      </c>
      <c r="U695" s="65">
        <v>0</v>
      </c>
      <c r="V695" s="65">
        <v>0</v>
      </c>
      <c r="W695" s="65">
        <v>0</v>
      </c>
      <c r="X695" s="65">
        <v>86189</v>
      </c>
      <c r="Y695" s="65">
        <v>0</v>
      </c>
      <c r="Z695" s="65">
        <v>0</v>
      </c>
      <c r="AA695" s="51">
        <v>558</v>
      </c>
      <c r="AB695" s="102">
        <v>0</v>
      </c>
      <c r="AC695" s="81">
        <f t="shared" si="33"/>
        <v>0</v>
      </c>
      <c r="AD695" s="82">
        <f t="shared" si="34"/>
        <v>0</v>
      </c>
      <c r="AE695" s="218">
        <v>6.3477606294801E-3</v>
      </c>
      <c r="AF695">
        <v>54</v>
      </c>
      <c r="AH695" t="str">
        <f t="shared" si="32"/>
        <v>Kalyanpur</v>
      </c>
      <c r="AJ695" s="72">
        <v>0</v>
      </c>
      <c r="AK695" s="72"/>
      <c r="AL695" s="72"/>
      <c r="AM695" s="72"/>
    </row>
    <row r="696" spans="1:39" x14ac:dyDescent="0.25">
      <c r="A696" s="37" t="s">
        <v>62</v>
      </c>
      <c r="B696" s="66" t="s">
        <v>1566</v>
      </c>
      <c r="C696" s="41">
        <v>1053</v>
      </c>
      <c r="D696" s="41" t="s">
        <v>542</v>
      </c>
      <c r="E696" s="41">
        <v>10530077</v>
      </c>
      <c r="F696" s="85" t="s">
        <v>1309</v>
      </c>
      <c r="G696" s="39" t="s">
        <v>635</v>
      </c>
      <c r="H696" s="52" t="s">
        <v>99</v>
      </c>
      <c r="I696" s="52">
        <v>400</v>
      </c>
      <c r="J696" s="49">
        <v>14508.699999999999</v>
      </c>
      <c r="K696" s="58">
        <v>0</v>
      </c>
      <c r="L696" s="58">
        <v>0</v>
      </c>
      <c r="M696" s="58">
        <v>0</v>
      </c>
      <c r="N696" s="58">
        <v>0</v>
      </c>
      <c r="O696" s="65">
        <v>0</v>
      </c>
      <c r="P696" s="65">
        <v>0</v>
      </c>
      <c r="Q696" s="50">
        <v>14508.699999999999</v>
      </c>
      <c r="R696" s="65">
        <v>0</v>
      </c>
      <c r="S696" s="65">
        <v>0</v>
      </c>
      <c r="T696" s="65">
        <v>0</v>
      </c>
      <c r="U696" s="65">
        <v>0</v>
      </c>
      <c r="V696" s="65">
        <v>0</v>
      </c>
      <c r="W696" s="65">
        <v>0</v>
      </c>
      <c r="X696" s="65">
        <v>0</v>
      </c>
      <c r="Y696" s="65">
        <v>0</v>
      </c>
      <c r="Z696" s="65">
        <v>14508.699999999999</v>
      </c>
      <c r="AA696" s="51">
        <v>0</v>
      </c>
      <c r="AB696" s="102">
        <v>0</v>
      </c>
      <c r="AC696" s="81">
        <f t="shared" si="33"/>
        <v>217.63049999999998</v>
      </c>
      <c r="AD696" s="82">
        <f t="shared" si="34"/>
        <v>57.142857142857146</v>
      </c>
      <c r="AE696" s="218">
        <v>0</v>
      </c>
      <c r="AF696">
        <v>0</v>
      </c>
      <c r="AH696" t="str">
        <f t="shared" si="32"/>
        <v>Kalyanpur</v>
      </c>
      <c r="AJ696" s="72">
        <v>0</v>
      </c>
      <c r="AK696" s="72"/>
      <c r="AL696" s="72"/>
      <c r="AM696" s="72"/>
    </row>
    <row r="697" spans="1:39" x14ac:dyDescent="0.25">
      <c r="A697" s="37" t="s">
        <v>62</v>
      </c>
      <c r="B697" s="66" t="s">
        <v>1566</v>
      </c>
      <c r="C697" s="41">
        <v>1053</v>
      </c>
      <c r="D697" s="41" t="s">
        <v>542</v>
      </c>
      <c r="E697" s="41">
        <v>10530078</v>
      </c>
      <c r="F697" s="85" t="s">
        <v>1191</v>
      </c>
      <c r="G697" s="39" t="s">
        <v>93</v>
      </c>
      <c r="H697" s="52" t="s">
        <v>94</v>
      </c>
      <c r="I697" s="52">
        <v>467.4</v>
      </c>
      <c r="J697" s="49">
        <v>21070.859999999997</v>
      </c>
      <c r="K697" s="58">
        <v>470.61999999999989</v>
      </c>
      <c r="L697" s="58">
        <v>20103.728414651388</v>
      </c>
      <c r="M697" s="58">
        <v>22.520000000000003</v>
      </c>
      <c r="N697" s="58">
        <v>957.54215353120003</v>
      </c>
      <c r="O697" s="65">
        <v>493.13999999999987</v>
      </c>
      <c r="P697" s="65">
        <v>21061.27056818259</v>
      </c>
      <c r="Q697" s="50">
        <v>21061.27056818259</v>
      </c>
      <c r="R697" s="65">
        <v>0</v>
      </c>
      <c r="S697" s="65">
        <v>957.54215353120003</v>
      </c>
      <c r="T697" s="65">
        <v>0</v>
      </c>
      <c r="U697" s="65">
        <v>0</v>
      </c>
      <c r="V697" s="65">
        <v>0</v>
      </c>
      <c r="W697" s="65">
        <v>0</v>
      </c>
      <c r="X697" s="65">
        <v>20106</v>
      </c>
      <c r="Y697" s="65">
        <v>0</v>
      </c>
      <c r="Z697" s="65">
        <v>0</v>
      </c>
      <c r="AA697" s="51">
        <v>7</v>
      </c>
      <c r="AB697" s="102">
        <v>0</v>
      </c>
      <c r="AC697" s="81">
        <f t="shared" si="33"/>
        <v>209.71681797175864</v>
      </c>
      <c r="AD697" s="82">
        <f t="shared" si="34"/>
        <v>66.771428571428572</v>
      </c>
      <c r="AE697" s="218">
        <v>4.5510395956343869E-4</v>
      </c>
      <c r="AF697">
        <v>11</v>
      </c>
      <c r="AH697" t="str">
        <f t="shared" si="32"/>
        <v>Kalyanpur</v>
      </c>
      <c r="AJ697" s="72">
        <v>0</v>
      </c>
      <c r="AK697" s="72"/>
      <c r="AL697" s="72"/>
      <c r="AM697" s="72"/>
    </row>
    <row r="698" spans="1:39" x14ac:dyDescent="0.25">
      <c r="A698" s="37" t="s">
        <v>62</v>
      </c>
      <c r="B698" s="66" t="s">
        <v>1566</v>
      </c>
      <c r="C698" s="41">
        <v>1053</v>
      </c>
      <c r="D698" s="41" t="s">
        <v>542</v>
      </c>
      <c r="E698" s="41">
        <v>10530079</v>
      </c>
      <c r="F698" s="85" t="s">
        <v>1180</v>
      </c>
      <c r="G698" s="39" t="s">
        <v>635</v>
      </c>
      <c r="H698" s="52" t="s">
        <v>99</v>
      </c>
      <c r="I698" s="52">
        <v>70.5</v>
      </c>
      <c r="J698" s="49">
        <v>2963.3900000000003</v>
      </c>
      <c r="K698" s="58">
        <v>0</v>
      </c>
      <c r="L698" s="58">
        <v>0</v>
      </c>
      <c r="M698" s="58">
        <v>0</v>
      </c>
      <c r="N698" s="58">
        <v>0</v>
      </c>
      <c r="O698" s="65">
        <v>0</v>
      </c>
      <c r="P698" s="65">
        <v>0</v>
      </c>
      <c r="Q698" s="50">
        <v>2963.3900000000003</v>
      </c>
      <c r="R698" s="65">
        <v>0</v>
      </c>
      <c r="S698" s="65">
        <v>0</v>
      </c>
      <c r="T698" s="65">
        <v>0</v>
      </c>
      <c r="U698" s="65">
        <v>0</v>
      </c>
      <c r="V698" s="65">
        <v>157.1145387096775</v>
      </c>
      <c r="W698" s="65">
        <v>0</v>
      </c>
      <c r="X698" s="65">
        <v>0</v>
      </c>
      <c r="Y698" s="65">
        <v>0</v>
      </c>
      <c r="Z698" s="65">
        <v>2806.2754612903227</v>
      </c>
      <c r="AA698" s="51">
        <v>0</v>
      </c>
      <c r="AB698" s="102">
        <v>0</v>
      </c>
      <c r="AC698" s="81">
        <f t="shared" si="33"/>
        <v>529.20680992907808</v>
      </c>
      <c r="AD698" s="82">
        <f t="shared" si="34"/>
        <v>10.071428571428571</v>
      </c>
      <c r="AE698" s="218">
        <v>0</v>
      </c>
      <c r="AF698">
        <v>0</v>
      </c>
      <c r="AH698" t="str">
        <f t="shared" ref="AH698:AH760" si="35">TEXT(D698,"0000")</f>
        <v>Kalyanpur</v>
      </c>
      <c r="AJ698" s="72">
        <v>0</v>
      </c>
      <c r="AK698" s="72"/>
      <c r="AL698" s="72"/>
      <c r="AM698" s="72"/>
    </row>
    <row r="699" spans="1:39" x14ac:dyDescent="0.25">
      <c r="A699" s="37" t="s">
        <v>62</v>
      </c>
      <c r="B699" s="66" t="s">
        <v>1566</v>
      </c>
      <c r="C699" s="41">
        <v>1053</v>
      </c>
      <c r="D699" s="41" t="s">
        <v>542</v>
      </c>
      <c r="E699" s="41">
        <v>10530080</v>
      </c>
      <c r="F699" s="85" t="s">
        <v>1192</v>
      </c>
      <c r="G699" s="39" t="s">
        <v>635</v>
      </c>
      <c r="H699" s="52" t="s">
        <v>99</v>
      </c>
      <c r="I699" s="52">
        <v>145.9</v>
      </c>
      <c r="J699" s="49">
        <v>4936.4400000000005</v>
      </c>
      <c r="K699" s="58">
        <v>0</v>
      </c>
      <c r="L699" s="58">
        <v>0</v>
      </c>
      <c r="M699" s="58">
        <v>0</v>
      </c>
      <c r="N699" s="58">
        <v>0</v>
      </c>
      <c r="O699" s="65">
        <v>0</v>
      </c>
      <c r="P699" s="65">
        <v>0</v>
      </c>
      <c r="Q699" s="50">
        <v>4936.4400000000005</v>
      </c>
      <c r="R699" s="65">
        <v>0</v>
      </c>
      <c r="S699" s="65">
        <v>0</v>
      </c>
      <c r="T699" s="65">
        <v>0</v>
      </c>
      <c r="U699" s="65">
        <v>0</v>
      </c>
      <c r="V699" s="65">
        <v>321.71584838709703</v>
      </c>
      <c r="W699" s="65">
        <v>0</v>
      </c>
      <c r="X699" s="65">
        <v>0</v>
      </c>
      <c r="Y699" s="65">
        <v>0</v>
      </c>
      <c r="Z699" s="65">
        <v>4614.7241516129034</v>
      </c>
      <c r="AA699" s="51">
        <v>0</v>
      </c>
      <c r="AB699" s="102">
        <v>0</v>
      </c>
      <c r="AC699" s="81">
        <f t="shared" si="33"/>
        <v>374.95289979437973</v>
      </c>
      <c r="AD699" s="82">
        <f t="shared" si="34"/>
        <v>20.842857142857145</v>
      </c>
      <c r="AE699" s="218">
        <v>0</v>
      </c>
      <c r="AF699">
        <v>0</v>
      </c>
      <c r="AH699" t="str">
        <f t="shared" si="35"/>
        <v>Kalyanpur</v>
      </c>
      <c r="AJ699" s="72">
        <v>0</v>
      </c>
      <c r="AK699" s="72"/>
      <c r="AL699" s="72"/>
      <c r="AM699" s="72"/>
    </row>
    <row r="700" spans="1:39" x14ac:dyDescent="0.25">
      <c r="A700" s="37" t="s">
        <v>62</v>
      </c>
      <c r="B700" s="66" t="s">
        <v>1566</v>
      </c>
      <c r="C700" s="41">
        <v>1053</v>
      </c>
      <c r="D700" s="41" t="s">
        <v>542</v>
      </c>
      <c r="E700" s="41">
        <v>10530081</v>
      </c>
      <c r="F700" s="85" t="s">
        <v>1181</v>
      </c>
      <c r="G700" s="39" t="s">
        <v>93</v>
      </c>
      <c r="H700" s="52" t="s">
        <v>94</v>
      </c>
      <c r="I700" s="52">
        <v>1529.95</v>
      </c>
      <c r="J700" s="49">
        <v>68574.48</v>
      </c>
      <c r="K700" s="58">
        <v>1536.8400000000001</v>
      </c>
      <c r="L700" s="58">
        <v>67578.712406357488</v>
      </c>
      <c r="M700" s="58">
        <v>22.810000000000002</v>
      </c>
      <c r="N700" s="58">
        <v>991.55841933149998</v>
      </c>
      <c r="O700" s="65">
        <v>1559.65</v>
      </c>
      <c r="P700" s="65">
        <v>68570.270825688989</v>
      </c>
      <c r="Q700" s="50">
        <v>68570.270825688989</v>
      </c>
      <c r="R700" s="65">
        <v>0</v>
      </c>
      <c r="S700" s="65">
        <v>991.55841933149998</v>
      </c>
      <c r="T700" s="65">
        <v>0</v>
      </c>
      <c r="U700" s="65">
        <v>0</v>
      </c>
      <c r="V700" s="65">
        <v>0</v>
      </c>
      <c r="W700" s="65">
        <v>0</v>
      </c>
      <c r="X700" s="65">
        <v>67576</v>
      </c>
      <c r="Y700" s="65">
        <v>0</v>
      </c>
      <c r="Z700" s="65">
        <v>0</v>
      </c>
      <c r="AA700" s="51">
        <v>7</v>
      </c>
      <c r="AB700" s="102">
        <v>0</v>
      </c>
      <c r="AC700" s="81">
        <f t="shared" si="33"/>
        <v>0</v>
      </c>
      <c r="AD700" s="82">
        <f t="shared" si="34"/>
        <v>0</v>
      </c>
      <c r="AE700" s="218">
        <v>6.1381060578319976E-5</v>
      </c>
      <c r="AF700">
        <v>38</v>
      </c>
      <c r="AH700" t="str">
        <f t="shared" si="35"/>
        <v>Kalyanpur</v>
      </c>
      <c r="AJ700" s="72">
        <v>0</v>
      </c>
      <c r="AK700" s="72"/>
      <c r="AL700" s="72"/>
      <c r="AM700" s="72"/>
    </row>
    <row r="701" spans="1:39" x14ac:dyDescent="0.25">
      <c r="A701" s="37" t="s">
        <v>62</v>
      </c>
      <c r="B701" s="66" t="s">
        <v>1566</v>
      </c>
      <c r="C701" s="41">
        <v>1053</v>
      </c>
      <c r="D701" s="41" t="s">
        <v>542</v>
      </c>
      <c r="E701" s="41">
        <v>10530082</v>
      </c>
      <c r="F701" s="85" t="s">
        <v>1182</v>
      </c>
      <c r="G701" s="39" t="s">
        <v>93</v>
      </c>
      <c r="H701" s="52" t="s">
        <v>94</v>
      </c>
      <c r="I701" s="52">
        <v>1210.8999999999999</v>
      </c>
      <c r="J701" s="49">
        <v>48470.98</v>
      </c>
      <c r="K701" s="58">
        <v>1205.19</v>
      </c>
      <c r="L701" s="58">
        <v>47656.625796985871</v>
      </c>
      <c r="M701" s="58">
        <v>20.959999999999997</v>
      </c>
      <c r="N701" s="58">
        <v>810.73237845600011</v>
      </c>
      <c r="O701" s="65">
        <v>1226.1500000000001</v>
      </c>
      <c r="P701" s="65">
        <v>48467.35817544187</v>
      </c>
      <c r="Q701" s="50">
        <v>48467.35817544187</v>
      </c>
      <c r="R701" s="65">
        <v>0</v>
      </c>
      <c r="S701" s="65">
        <v>810.73237845600011</v>
      </c>
      <c r="T701" s="65">
        <v>0</v>
      </c>
      <c r="U701" s="65">
        <v>12844</v>
      </c>
      <c r="V701" s="65">
        <v>0</v>
      </c>
      <c r="W701" s="65">
        <v>0</v>
      </c>
      <c r="X701" s="65">
        <v>34813</v>
      </c>
      <c r="Y701" s="65">
        <v>0</v>
      </c>
      <c r="Z701" s="65">
        <v>0</v>
      </c>
      <c r="AA701" s="51">
        <v>3</v>
      </c>
      <c r="AB701" s="102">
        <v>0</v>
      </c>
      <c r="AC701" s="81">
        <f t="shared" si="33"/>
        <v>0</v>
      </c>
      <c r="AD701" s="82">
        <f t="shared" si="34"/>
        <v>0</v>
      </c>
      <c r="AE701" s="218">
        <v>7.4721504663885163E-5</v>
      </c>
      <c r="AF701">
        <v>28</v>
      </c>
      <c r="AH701" t="str">
        <f t="shared" si="35"/>
        <v>Kalyanpur</v>
      </c>
      <c r="AJ701" s="72">
        <v>0</v>
      </c>
      <c r="AK701" s="72"/>
      <c r="AL701" s="72"/>
      <c r="AM701" s="72"/>
    </row>
    <row r="702" spans="1:39" x14ac:dyDescent="0.25">
      <c r="A702" s="37" t="s">
        <v>62</v>
      </c>
      <c r="B702" s="66" t="s">
        <v>1566</v>
      </c>
      <c r="C702" s="41">
        <v>1053</v>
      </c>
      <c r="D702" s="41" t="s">
        <v>542</v>
      </c>
      <c r="E702" s="41">
        <v>10530084</v>
      </c>
      <c r="F702" s="85" t="s">
        <v>1261</v>
      </c>
      <c r="G702" s="39" t="s">
        <v>93</v>
      </c>
      <c r="H702" s="52" t="s">
        <v>94</v>
      </c>
      <c r="I702" s="52">
        <v>1865.3999999999999</v>
      </c>
      <c r="J702" s="49">
        <v>76786.59</v>
      </c>
      <c r="K702" s="58">
        <v>1856.9799999999996</v>
      </c>
      <c r="L702" s="58">
        <v>75390.402189284549</v>
      </c>
      <c r="M702" s="58">
        <v>32.419999999999995</v>
      </c>
      <c r="N702" s="58">
        <v>1387.1039706711006</v>
      </c>
      <c r="O702" s="65">
        <v>1889.3999999999996</v>
      </c>
      <c r="P702" s="65">
        <v>76777.50615995565</v>
      </c>
      <c r="Q702" s="50">
        <v>76777.50615995565</v>
      </c>
      <c r="R702" s="65">
        <v>0</v>
      </c>
      <c r="S702" s="65">
        <v>1387.1039706711006</v>
      </c>
      <c r="T702" s="65">
        <v>0</v>
      </c>
      <c r="U702" s="65">
        <v>1927</v>
      </c>
      <c r="V702" s="65">
        <v>0</v>
      </c>
      <c r="W702" s="65">
        <v>0</v>
      </c>
      <c r="X702" s="65">
        <v>73463</v>
      </c>
      <c r="Y702" s="65">
        <v>0</v>
      </c>
      <c r="Z702" s="65">
        <v>0</v>
      </c>
      <c r="AA702" s="51">
        <v>9</v>
      </c>
      <c r="AB702" s="102">
        <v>0</v>
      </c>
      <c r="AC702" s="81">
        <f t="shared" si="33"/>
        <v>0</v>
      </c>
      <c r="AD702" s="82">
        <f t="shared" si="34"/>
        <v>0</v>
      </c>
      <c r="AE702" s="218">
        <v>1.1829982350233666E-4</v>
      </c>
      <c r="AF702">
        <v>38</v>
      </c>
      <c r="AH702" t="str">
        <f t="shared" si="35"/>
        <v>Kalyanpur</v>
      </c>
      <c r="AJ702" s="72">
        <v>0</v>
      </c>
      <c r="AK702" s="72"/>
      <c r="AL702" s="72"/>
      <c r="AM702" s="72"/>
    </row>
    <row r="703" spans="1:39" x14ac:dyDescent="0.25">
      <c r="A703" s="37" t="s">
        <v>62</v>
      </c>
      <c r="B703" s="66" t="s">
        <v>1566</v>
      </c>
      <c r="C703" s="41">
        <v>1053</v>
      </c>
      <c r="D703" s="41" t="s">
        <v>542</v>
      </c>
      <c r="E703" s="41">
        <v>10530085</v>
      </c>
      <c r="F703" s="85" t="s">
        <v>1210</v>
      </c>
      <c r="G703" s="39" t="s">
        <v>93</v>
      </c>
      <c r="H703" s="52" t="s">
        <v>94</v>
      </c>
      <c r="I703" s="52">
        <v>724.25</v>
      </c>
      <c r="J703" s="49">
        <v>32705.980000000003</v>
      </c>
      <c r="K703" s="58">
        <v>735.31999999999982</v>
      </c>
      <c r="L703" s="58">
        <v>32235.469325454545</v>
      </c>
      <c r="M703" s="58">
        <v>5.3</v>
      </c>
      <c r="N703" s="58">
        <v>460.71025235769986</v>
      </c>
      <c r="O703" s="65">
        <v>740.61999999999978</v>
      </c>
      <c r="P703" s="65">
        <v>32696.179577812247</v>
      </c>
      <c r="Q703" s="50">
        <v>32696.179577812247</v>
      </c>
      <c r="R703" s="65">
        <v>0</v>
      </c>
      <c r="S703" s="65">
        <v>460.71025235769986</v>
      </c>
      <c r="T703" s="65">
        <v>0</v>
      </c>
      <c r="U703" s="65">
        <v>12469</v>
      </c>
      <c r="V703" s="65">
        <v>0</v>
      </c>
      <c r="W703" s="65">
        <v>0</v>
      </c>
      <c r="X703" s="65">
        <v>19765</v>
      </c>
      <c r="Y703" s="65">
        <v>0</v>
      </c>
      <c r="Z703" s="65">
        <v>0</v>
      </c>
      <c r="AA703" s="51">
        <v>11</v>
      </c>
      <c r="AB703" s="102">
        <v>0</v>
      </c>
      <c r="AC703" s="81">
        <f t="shared" si="33"/>
        <v>0</v>
      </c>
      <c r="AD703" s="82">
        <f t="shared" si="34"/>
        <v>0</v>
      </c>
      <c r="AE703" s="218">
        <v>2.9965230174287203E-4</v>
      </c>
      <c r="AF703">
        <v>23</v>
      </c>
      <c r="AH703" t="str">
        <f t="shared" si="35"/>
        <v>Kalyanpur</v>
      </c>
      <c r="AJ703" s="72">
        <v>0</v>
      </c>
      <c r="AK703" s="72"/>
      <c r="AL703" s="72"/>
      <c r="AM703" s="72"/>
    </row>
    <row r="704" spans="1:39" x14ac:dyDescent="0.25">
      <c r="A704" s="37" t="s">
        <v>62</v>
      </c>
      <c r="B704" s="66" t="s">
        <v>1566</v>
      </c>
      <c r="C704" s="41">
        <v>1053</v>
      </c>
      <c r="D704" s="41" t="s">
        <v>542</v>
      </c>
      <c r="E704" s="41">
        <v>10530089</v>
      </c>
      <c r="F704" s="85" t="s">
        <v>1233</v>
      </c>
      <c r="G704" s="39" t="s">
        <v>635</v>
      </c>
      <c r="H704" s="52" t="s">
        <v>99</v>
      </c>
      <c r="I704" s="52">
        <v>135.44999999999999</v>
      </c>
      <c r="J704" s="49">
        <v>5310.99</v>
      </c>
      <c r="K704" s="58">
        <v>0</v>
      </c>
      <c r="L704" s="58">
        <v>0</v>
      </c>
      <c r="M704" s="58">
        <v>0</v>
      </c>
      <c r="N704" s="58">
        <v>0</v>
      </c>
      <c r="O704" s="65">
        <v>0</v>
      </c>
      <c r="P704" s="65">
        <v>0</v>
      </c>
      <c r="Q704" s="50">
        <v>5310.99</v>
      </c>
      <c r="R704" s="65">
        <v>0</v>
      </c>
      <c r="S704" s="65">
        <v>0</v>
      </c>
      <c r="T704" s="65">
        <v>0</v>
      </c>
      <c r="U704" s="65">
        <v>1350</v>
      </c>
      <c r="V704" s="65">
        <v>0</v>
      </c>
      <c r="W704" s="65">
        <v>0</v>
      </c>
      <c r="X704" s="65">
        <v>0</v>
      </c>
      <c r="Y704" s="65">
        <v>0</v>
      </c>
      <c r="Z704" s="65">
        <v>3960.99</v>
      </c>
      <c r="AA704" s="51">
        <v>0</v>
      </c>
      <c r="AB704" s="102">
        <v>0</v>
      </c>
      <c r="AC704" s="81">
        <f t="shared" si="33"/>
        <v>442.71973488372095</v>
      </c>
      <c r="AD704" s="82">
        <f t="shared" si="34"/>
        <v>19.349999999999998</v>
      </c>
      <c r="AE704" s="218">
        <v>0</v>
      </c>
      <c r="AF704">
        <v>0</v>
      </c>
      <c r="AH704" t="str">
        <f t="shared" si="35"/>
        <v>Kalyanpur</v>
      </c>
      <c r="AJ704" s="72">
        <v>0</v>
      </c>
      <c r="AK704" s="72"/>
      <c r="AL704" s="72"/>
      <c r="AM704" s="72"/>
    </row>
    <row r="705" spans="1:39" x14ac:dyDescent="0.25">
      <c r="A705" s="37" t="s">
        <v>62</v>
      </c>
      <c r="B705" s="66" t="s">
        <v>1566</v>
      </c>
      <c r="C705" s="41">
        <v>1012</v>
      </c>
      <c r="D705" s="41" t="s">
        <v>314</v>
      </c>
      <c r="E705" s="41">
        <v>10530090</v>
      </c>
      <c r="F705" s="85" t="s">
        <v>1201</v>
      </c>
      <c r="G705" s="39" t="s">
        <v>635</v>
      </c>
      <c r="H705" s="52" t="s">
        <v>99</v>
      </c>
      <c r="I705" s="52">
        <v>275.60999999999996</v>
      </c>
      <c r="J705" s="49">
        <v>10010.35</v>
      </c>
      <c r="K705" s="58">
        <v>0</v>
      </c>
      <c r="L705" s="58">
        <v>0</v>
      </c>
      <c r="M705" s="58">
        <v>0</v>
      </c>
      <c r="N705" s="58">
        <v>0</v>
      </c>
      <c r="O705" s="65">
        <v>0</v>
      </c>
      <c r="P705" s="65">
        <v>0</v>
      </c>
      <c r="Q705" s="50">
        <v>10010.35</v>
      </c>
      <c r="R705" s="65">
        <v>0</v>
      </c>
      <c r="S705" s="65">
        <v>0</v>
      </c>
      <c r="T705" s="65">
        <v>0</v>
      </c>
      <c r="U705" s="65">
        <v>0</v>
      </c>
      <c r="V705" s="65">
        <v>0</v>
      </c>
      <c r="W705" s="65">
        <v>0</v>
      </c>
      <c r="X705" s="65">
        <v>0</v>
      </c>
      <c r="Y705" s="65">
        <v>0</v>
      </c>
      <c r="Z705" s="65">
        <v>10010.35</v>
      </c>
      <c r="AA705" s="51">
        <v>0</v>
      </c>
      <c r="AB705" s="102">
        <v>0</v>
      </c>
      <c r="AC705" s="81">
        <f t="shared" si="33"/>
        <v>308.2828951416858</v>
      </c>
      <c r="AD705" s="82">
        <f t="shared" si="34"/>
        <v>39.372857142857136</v>
      </c>
      <c r="AE705" s="218">
        <v>0</v>
      </c>
      <c r="AF705">
        <v>0</v>
      </c>
      <c r="AH705" t="str">
        <f t="shared" si="35"/>
        <v>DalsinghSarai</v>
      </c>
      <c r="AJ705" s="72">
        <v>0</v>
      </c>
      <c r="AK705" s="72"/>
      <c r="AL705" s="72"/>
      <c r="AM705" s="72"/>
    </row>
    <row r="706" spans="1:39" x14ac:dyDescent="0.25">
      <c r="A706" s="37" t="s">
        <v>62</v>
      </c>
      <c r="B706" s="66" t="s">
        <v>1566</v>
      </c>
      <c r="C706" s="41">
        <v>1053</v>
      </c>
      <c r="D706" s="41" t="s">
        <v>542</v>
      </c>
      <c r="E706" s="41">
        <v>10530091</v>
      </c>
      <c r="F706" s="85" t="s">
        <v>1229</v>
      </c>
      <c r="G706" s="39" t="s">
        <v>93</v>
      </c>
      <c r="H706" s="52" t="s">
        <v>94</v>
      </c>
      <c r="I706" s="52">
        <v>253.95</v>
      </c>
      <c r="J706" s="49">
        <v>12133.239999999998</v>
      </c>
      <c r="K706" s="58">
        <v>259.5</v>
      </c>
      <c r="L706" s="58">
        <v>11832.809513869253</v>
      </c>
      <c r="M706" s="58">
        <v>6.5999999999999988</v>
      </c>
      <c r="N706" s="58">
        <v>280.32339178795996</v>
      </c>
      <c r="O706" s="65">
        <v>266.10000000000002</v>
      </c>
      <c r="P706" s="65">
        <v>12113.132905657214</v>
      </c>
      <c r="Q706" s="50">
        <v>12113.132905657214</v>
      </c>
      <c r="R706" s="65">
        <v>0</v>
      </c>
      <c r="S706" s="65">
        <v>280.32339178795996</v>
      </c>
      <c r="T706" s="65">
        <v>0</v>
      </c>
      <c r="U706" s="65">
        <v>0</v>
      </c>
      <c r="V706" s="65">
        <v>81.680661290322533</v>
      </c>
      <c r="W706" s="65">
        <v>0</v>
      </c>
      <c r="X706" s="65">
        <v>11752</v>
      </c>
      <c r="Y706" s="65">
        <v>0</v>
      </c>
      <c r="Z706" s="65">
        <v>0</v>
      </c>
      <c r="AA706" s="51">
        <v>19</v>
      </c>
      <c r="AB706" s="102">
        <v>0</v>
      </c>
      <c r="AC706" s="81">
        <f t="shared" si="33"/>
        <v>426.22813167946441</v>
      </c>
      <c r="AD706" s="82">
        <f t="shared" si="34"/>
        <v>36.278571428571425</v>
      </c>
      <c r="AE706" s="218">
        <v>1.6571908527964476E-3</v>
      </c>
      <c r="AF706">
        <v>15</v>
      </c>
      <c r="AH706" t="str">
        <f t="shared" si="35"/>
        <v>Kalyanpur</v>
      </c>
      <c r="AJ706" s="72">
        <v>0</v>
      </c>
      <c r="AK706" s="72"/>
      <c r="AL706" s="72"/>
      <c r="AM706" s="72"/>
    </row>
    <row r="707" spans="1:39" x14ac:dyDescent="0.25">
      <c r="A707" s="37" t="s">
        <v>62</v>
      </c>
      <c r="B707" s="66" t="s">
        <v>1566</v>
      </c>
      <c r="C707" s="41">
        <v>1053</v>
      </c>
      <c r="D707" s="41" t="s">
        <v>542</v>
      </c>
      <c r="E707" s="41">
        <v>10530092</v>
      </c>
      <c r="F707" s="85" t="s">
        <v>1224</v>
      </c>
      <c r="G707" s="39" t="s">
        <v>93</v>
      </c>
      <c r="H707" s="52" t="s">
        <v>94</v>
      </c>
      <c r="I707" s="52">
        <v>1089.4499999999998</v>
      </c>
      <c r="J707" s="49">
        <v>42883.490000000005</v>
      </c>
      <c r="K707" s="58">
        <v>861</v>
      </c>
      <c r="L707" s="58">
        <v>33198.581183766553</v>
      </c>
      <c r="M707" s="58">
        <v>225.79999999999998</v>
      </c>
      <c r="N707" s="58">
        <v>9680.1698437480009</v>
      </c>
      <c r="O707" s="65">
        <v>1086.8</v>
      </c>
      <c r="P707" s="65">
        <v>42878.751027514554</v>
      </c>
      <c r="Q707" s="50">
        <v>42878.751027514554</v>
      </c>
      <c r="R707" s="65">
        <v>0</v>
      </c>
      <c r="S707" s="65">
        <v>845.18438490900019</v>
      </c>
      <c r="T707" s="65">
        <v>0</v>
      </c>
      <c r="U707" s="65">
        <v>5470</v>
      </c>
      <c r="V707" s="65">
        <v>0</v>
      </c>
      <c r="W707" s="65">
        <v>0</v>
      </c>
      <c r="X707" s="65">
        <v>27730</v>
      </c>
      <c r="Y707" s="65">
        <v>8835</v>
      </c>
      <c r="Z707" s="65">
        <v>0</v>
      </c>
      <c r="AA707" s="51">
        <v>3</v>
      </c>
      <c r="AB707" s="102">
        <v>0</v>
      </c>
      <c r="AC707" s="81">
        <f t="shared" si="33"/>
        <v>0</v>
      </c>
      <c r="AD707" s="82">
        <f t="shared" si="34"/>
        <v>0</v>
      </c>
      <c r="AE707" s="218">
        <v>1.105080879716433E-4</v>
      </c>
      <c r="AF707">
        <v>21</v>
      </c>
      <c r="AH707" t="str">
        <f t="shared" si="35"/>
        <v>Kalyanpur</v>
      </c>
      <c r="AJ707" s="72">
        <v>0</v>
      </c>
      <c r="AK707" s="72"/>
      <c r="AL707" s="72"/>
      <c r="AM707" s="72"/>
    </row>
    <row r="708" spans="1:39" x14ac:dyDescent="0.25">
      <c r="A708" s="37" t="s">
        <v>62</v>
      </c>
      <c r="B708" s="66" t="s">
        <v>1566</v>
      </c>
      <c r="C708" s="41">
        <v>1053</v>
      </c>
      <c r="D708" s="41" t="s">
        <v>542</v>
      </c>
      <c r="E708" s="41">
        <v>10530093</v>
      </c>
      <c r="F708" s="85" t="s">
        <v>1225</v>
      </c>
      <c r="G708" s="39" t="s">
        <v>93</v>
      </c>
      <c r="H708" s="52" t="s">
        <v>94</v>
      </c>
      <c r="I708" s="52">
        <v>1042.3</v>
      </c>
      <c r="J708" s="49">
        <v>46841.120000000003</v>
      </c>
      <c r="K708" s="58">
        <v>1027.9000000000001</v>
      </c>
      <c r="L708" s="58">
        <v>45698.499383020142</v>
      </c>
      <c r="M708" s="58">
        <v>27.4</v>
      </c>
      <c r="N708" s="58">
        <v>1131.69275208</v>
      </c>
      <c r="O708" s="65">
        <v>1055.3000000000002</v>
      </c>
      <c r="P708" s="65">
        <v>46830.192135100144</v>
      </c>
      <c r="Q708" s="50">
        <v>46830.192135100144</v>
      </c>
      <c r="R708" s="65">
        <v>0</v>
      </c>
      <c r="S708" s="65">
        <v>1131.69275208</v>
      </c>
      <c r="T708" s="65">
        <v>0</v>
      </c>
      <c r="U708" s="65">
        <v>6904</v>
      </c>
      <c r="V708" s="65">
        <v>0</v>
      </c>
      <c r="W708" s="65">
        <v>0</v>
      </c>
      <c r="X708" s="65">
        <v>38793</v>
      </c>
      <c r="Y708" s="65">
        <v>0</v>
      </c>
      <c r="Z708" s="65">
        <v>0</v>
      </c>
      <c r="AA708" s="51">
        <v>12</v>
      </c>
      <c r="AB708" s="102">
        <v>0</v>
      </c>
      <c r="AC708" s="81">
        <f t="shared" ref="AC708:AC771" si="36">((IF(AD708=0,0,100-AD708))*7*(J708/I708))*2%</f>
        <v>0</v>
      </c>
      <c r="AD708" s="82">
        <f t="shared" ref="AD708:AD771" si="37">IF((I708/7)&gt;100,0,(I708/7))</f>
        <v>0</v>
      </c>
      <c r="AE708" s="218">
        <v>2.3329640495058256E-4</v>
      </c>
      <c r="AF708">
        <v>32</v>
      </c>
      <c r="AH708" t="str">
        <f t="shared" si="35"/>
        <v>Kalyanpur</v>
      </c>
      <c r="AJ708" s="72">
        <v>0</v>
      </c>
      <c r="AK708" s="72"/>
      <c r="AL708" s="72"/>
      <c r="AM708" s="72"/>
    </row>
    <row r="709" spans="1:39" x14ac:dyDescent="0.25">
      <c r="A709" s="37" t="s">
        <v>62</v>
      </c>
      <c r="B709" s="66" t="s">
        <v>1566</v>
      </c>
      <c r="C709" s="41">
        <v>1053</v>
      </c>
      <c r="D709" s="41" t="s">
        <v>542</v>
      </c>
      <c r="E709" s="41">
        <v>10530096</v>
      </c>
      <c r="F709" s="85" t="s">
        <v>1274</v>
      </c>
      <c r="G709" s="39" t="s">
        <v>93</v>
      </c>
      <c r="H709" s="52" t="s">
        <v>94</v>
      </c>
      <c r="I709" s="52">
        <v>340.65000000000003</v>
      </c>
      <c r="J709" s="49">
        <v>19365.410000000003</v>
      </c>
      <c r="K709" s="58">
        <v>358.70000000000005</v>
      </c>
      <c r="L709" s="58">
        <v>19765.3896762105</v>
      </c>
      <c r="M709" s="58">
        <v>0</v>
      </c>
      <c r="N709" s="58">
        <v>0</v>
      </c>
      <c r="O709" s="65">
        <v>358.70000000000005</v>
      </c>
      <c r="P709" s="65">
        <v>19765.3896762105</v>
      </c>
      <c r="Q709" s="50">
        <v>19365.410000000003</v>
      </c>
      <c r="R709" s="65">
        <v>0</v>
      </c>
      <c r="S709" s="65">
        <v>0</v>
      </c>
      <c r="T709" s="65">
        <v>399.97967621049611</v>
      </c>
      <c r="U709" s="65">
        <v>18323</v>
      </c>
      <c r="V709" s="65">
        <v>1042.1244290322584</v>
      </c>
      <c r="W709" s="65">
        <v>0</v>
      </c>
      <c r="X709" s="65">
        <v>0</v>
      </c>
      <c r="Y709" s="65">
        <v>0</v>
      </c>
      <c r="Z709" s="65">
        <v>0</v>
      </c>
      <c r="AA709" s="51">
        <v>0</v>
      </c>
      <c r="AB709" s="102" t="s">
        <v>66</v>
      </c>
      <c r="AC709" s="81">
        <f t="shared" si="36"/>
        <v>408.56950438866875</v>
      </c>
      <c r="AD709" s="82">
        <f t="shared" si="37"/>
        <v>48.664285714285718</v>
      </c>
      <c r="AE709" s="218">
        <v>-2.0654335550370276E-2</v>
      </c>
      <c r="AF709">
        <v>1</v>
      </c>
      <c r="AH709" t="str">
        <f t="shared" si="35"/>
        <v>Kalyanpur</v>
      </c>
      <c r="AJ709" s="72">
        <v>0</v>
      </c>
      <c r="AK709" s="72"/>
      <c r="AL709" s="72"/>
      <c r="AM709" s="72"/>
    </row>
    <row r="710" spans="1:39" x14ac:dyDescent="0.25">
      <c r="A710" s="37" t="s">
        <v>62</v>
      </c>
      <c r="B710" s="66" t="s">
        <v>1566</v>
      </c>
      <c r="C710" s="41">
        <v>1053</v>
      </c>
      <c r="D710" s="41" t="s">
        <v>542</v>
      </c>
      <c r="E710" s="41">
        <v>10530097</v>
      </c>
      <c r="F710" s="85" t="s">
        <v>1275</v>
      </c>
      <c r="G710" s="39" t="s">
        <v>93</v>
      </c>
      <c r="H710" s="52" t="s">
        <v>94</v>
      </c>
      <c r="I710" s="52">
        <v>619.49999999999989</v>
      </c>
      <c r="J710" s="49">
        <v>26375.51</v>
      </c>
      <c r="K710" s="58">
        <v>615</v>
      </c>
      <c r="L710" s="58">
        <v>25812.185460769797</v>
      </c>
      <c r="M710" s="58">
        <v>11</v>
      </c>
      <c r="N710" s="58">
        <v>555.01192247688004</v>
      </c>
      <c r="O710" s="65">
        <v>626</v>
      </c>
      <c r="P710" s="65">
        <v>26367.197383246676</v>
      </c>
      <c r="Q710" s="50">
        <v>26367.197383246676</v>
      </c>
      <c r="R710" s="65">
        <v>0</v>
      </c>
      <c r="S710" s="65">
        <v>555.01192247688004</v>
      </c>
      <c r="T710" s="65">
        <v>0</v>
      </c>
      <c r="U710" s="65">
        <v>1500</v>
      </c>
      <c r="V710" s="65">
        <v>0</v>
      </c>
      <c r="W710" s="65">
        <v>0</v>
      </c>
      <c r="X710" s="65">
        <v>24313</v>
      </c>
      <c r="Y710" s="65">
        <v>0</v>
      </c>
      <c r="Z710" s="65">
        <v>0</v>
      </c>
      <c r="AA710" s="51">
        <v>7</v>
      </c>
      <c r="AB710" s="102">
        <v>0</v>
      </c>
      <c r="AC710" s="81">
        <f t="shared" si="36"/>
        <v>68.546523163841911</v>
      </c>
      <c r="AD710" s="82">
        <f t="shared" si="37"/>
        <v>88.499999999999986</v>
      </c>
      <c r="AE710" s="218">
        <v>3.1516420927302642E-4</v>
      </c>
      <c r="AF710">
        <v>20</v>
      </c>
      <c r="AH710" t="str">
        <f t="shared" si="35"/>
        <v>Kalyanpur</v>
      </c>
      <c r="AJ710" s="72">
        <v>0</v>
      </c>
      <c r="AK710" s="72"/>
      <c r="AL710" s="72"/>
      <c r="AM710" s="72"/>
    </row>
    <row r="711" spans="1:39" x14ac:dyDescent="0.25">
      <c r="A711" s="37" t="s">
        <v>62</v>
      </c>
      <c r="B711" s="66" t="s">
        <v>1566</v>
      </c>
      <c r="C711" s="41">
        <v>1053</v>
      </c>
      <c r="D711" s="41" t="s">
        <v>542</v>
      </c>
      <c r="E711" s="41">
        <v>10530100</v>
      </c>
      <c r="F711" s="85" t="s">
        <v>1352</v>
      </c>
      <c r="G711" s="39" t="s">
        <v>93</v>
      </c>
      <c r="H711" s="52" t="s">
        <v>94</v>
      </c>
      <c r="I711" s="52">
        <v>262.65000000000003</v>
      </c>
      <c r="J711" s="49">
        <v>10552.960000000001</v>
      </c>
      <c r="K711" s="58">
        <v>254.99999999999997</v>
      </c>
      <c r="L711" s="58">
        <v>10580.21878047545</v>
      </c>
      <c r="M711" s="58">
        <v>3.25</v>
      </c>
      <c r="N711" s="58">
        <v>131.892487813</v>
      </c>
      <c r="O711" s="65">
        <v>258.25</v>
      </c>
      <c r="P711" s="65">
        <v>10712.11126828845</v>
      </c>
      <c r="Q711" s="50">
        <v>10552.960000000001</v>
      </c>
      <c r="R711" s="65">
        <v>0</v>
      </c>
      <c r="S711" s="65">
        <v>131.892487813</v>
      </c>
      <c r="T711" s="65">
        <v>159.1512682884495</v>
      </c>
      <c r="U711" s="65">
        <v>3350</v>
      </c>
      <c r="V711" s="65">
        <v>0</v>
      </c>
      <c r="W711" s="65">
        <v>0</v>
      </c>
      <c r="X711" s="65">
        <v>7071</v>
      </c>
      <c r="Y711" s="65">
        <v>0</v>
      </c>
      <c r="Z711" s="65">
        <v>0</v>
      </c>
      <c r="AA711" s="51">
        <v>0</v>
      </c>
      <c r="AB711" s="102">
        <v>0</v>
      </c>
      <c r="AC711" s="81">
        <f t="shared" si="36"/>
        <v>351.44390298876823</v>
      </c>
      <c r="AD711" s="82">
        <f t="shared" si="37"/>
        <v>37.521428571428579</v>
      </c>
      <c r="AE711" s="218">
        <v>-1.5081196961653364E-2</v>
      </c>
      <c r="AF711">
        <v>13</v>
      </c>
      <c r="AH711" t="str">
        <f t="shared" si="35"/>
        <v>Kalyanpur</v>
      </c>
      <c r="AJ711" s="72">
        <v>0</v>
      </c>
      <c r="AK711" s="72"/>
      <c r="AL711" s="72"/>
      <c r="AM711" s="72"/>
    </row>
    <row r="712" spans="1:39" x14ac:dyDescent="0.25">
      <c r="A712" s="37" t="s">
        <v>62</v>
      </c>
      <c r="B712" s="66" t="s">
        <v>1566</v>
      </c>
      <c r="C712" s="41">
        <v>1053</v>
      </c>
      <c r="D712" s="41" t="s">
        <v>542</v>
      </c>
      <c r="E712" s="41">
        <v>10530101</v>
      </c>
      <c r="F712" s="85" t="s">
        <v>1337</v>
      </c>
      <c r="G712" s="39" t="s">
        <v>93</v>
      </c>
      <c r="H712" s="52" t="s">
        <v>94</v>
      </c>
      <c r="I712" s="52">
        <v>304.09999999999991</v>
      </c>
      <c r="J712" s="49">
        <v>13404.51</v>
      </c>
      <c r="K712" s="58">
        <v>299.99999999999994</v>
      </c>
      <c r="L712" s="58">
        <v>13282.839646635413</v>
      </c>
      <c r="M712" s="58">
        <v>2.8</v>
      </c>
      <c r="N712" s="58">
        <v>117.62741183625002</v>
      </c>
      <c r="O712" s="65">
        <v>302.79999999999995</v>
      </c>
      <c r="P712" s="65">
        <v>13400.467058471664</v>
      </c>
      <c r="Q712" s="50">
        <v>13400.467058471664</v>
      </c>
      <c r="R712" s="65">
        <v>0</v>
      </c>
      <c r="S712" s="65">
        <v>117.62741183625002</v>
      </c>
      <c r="T712" s="65">
        <v>0</v>
      </c>
      <c r="U712" s="65">
        <v>0</v>
      </c>
      <c r="V712" s="65">
        <v>0</v>
      </c>
      <c r="W712" s="65">
        <v>0</v>
      </c>
      <c r="X712" s="65">
        <v>13282</v>
      </c>
      <c r="Y712" s="65">
        <v>0</v>
      </c>
      <c r="Z712" s="65">
        <v>0</v>
      </c>
      <c r="AA712" s="51">
        <v>5</v>
      </c>
      <c r="AB712" s="102">
        <v>0</v>
      </c>
      <c r="AC712" s="81">
        <f t="shared" si="36"/>
        <v>349.01976382768851</v>
      </c>
      <c r="AD712" s="82">
        <f t="shared" si="37"/>
        <v>43.442857142857129</v>
      </c>
      <c r="AE712" s="218">
        <v>3.0161054214858184E-4</v>
      </c>
      <c r="AF712">
        <v>14</v>
      </c>
      <c r="AH712" t="str">
        <f t="shared" si="35"/>
        <v>Kalyanpur</v>
      </c>
      <c r="AJ712" s="72">
        <v>0</v>
      </c>
      <c r="AK712" s="72"/>
      <c r="AL712" s="72"/>
      <c r="AM712" s="72"/>
    </row>
    <row r="713" spans="1:39" x14ac:dyDescent="0.25">
      <c r="A713" s="37" t="s">
        <v>62</v>
      </c>
      <c r="B713" s="66" t="s">
        <v>1566</v>
      </c>
      <c r="C713" s="41">
        <v>1053</v>
      </c>
      <c r="D713" s="41" t="s">
        <v>542</v>
      </c>
      <c r="E713" s="41">
        <v>10530102</v>
      </c>
      <c r="F713" s="85" t="s">
        <v>1353</v>
      </c>
      <c r="G713" s="39" t="s">
        <v>93</v>
      </c>
      <c r="H713" s="52" t="s">
        <v>94</v>
      </c>
      <c r="I713" s="52">
        <v>93.949999999999974</v>
      </c>
      <c r="J713" s="49">
        <v>3892.1800000000003</v>
      </c>
      <c r="K713" s="58">
        <v>78.8</v>
      </c>
      <c r="L713" s="58">
        <v>2924.5975809623451</v>
      </c>
      <c r="M713" s="58">
        <v>0.2</v>
      </c>
      <c r="N713" s="58">
        <v>7.7142756240000017</v>
      </c>
      <c r="O713" s="65">
        <v>79</v>
      </c>
      <c r="P713" s="65">
        <v>2932.3118565863451</v>
      </c>
      <c r="Q713" s="50">
        <v>2932.3118565863451</v>
      </c>
      <c r="R713" s="65">
        <v>0</v>
      </c>
      <c r="S713" s="65">
        <v>7.7142756240000017</v>
      </c>
      <c r="T713" s="65">
        <v>0</v>
      </c>
      <c r="U713" s="65">
        <v>0</v>
      </c>
      <c r="V713" s="65">
        <v>0</v>
      </c>
      <c r="W713" s="65">
        <v>0</v>
      </c>
      <c r="X713" s="65">
        <v>2924</v>
      </c>
      <c r="Y713" s="65">
        <v>0</v>
      </c>
      <c r="Z713" s="65">
        <v>0</v>
      </c>
      <c r="AA713" s="51">
        <v>960</v>
      </c>
      <c r="AB713" s="102">
        <v>0</v>
      </c>
      <c r="AC713" s="81">
        <f t="shared" si="36"/>
        <v>502.15129089941485</v>
      </c>
      <c r="AD713" s="82">
        <f t="shared" si="37"/>
        <v>13.421428571428567</v>
      </c>
      <c r="AE713" s="218">
        <v>0.24661453052367954</v>
      </c>
      <c r="AF713">
        <v>5</v>
      </c>
      <c r="AH713" t="str">
        <f t="shared" si="35"/>
        <v>Kalyanpur</v>
      </c>
      <c r="AJ713" s="72">
        <v>0</v>
      </c>
      <c r="AK713" s="72"/>
      <c r="AL713" s="72"/>
      <c r="AM713" s="72"/>
    </row>
    <row r="714" spans="1:39" x14ac:dyDescent="0.25">
      <c r="A714" s="37" t="s">
        <v>62</v>
      </c>
      <c r="B714" s="66" t="s">
        <v>1566</v>
      </c>
      <c r="C714" s="41">
        <v>1053</v>
      </c>
      <c r="D714" s="41" t="s">
        <v>542</v>
      </c>
      <c r="E714" s="41">
        <v>10530103</v>
      </c>
      <c r="F714" s="85" t="s">
        <v>1338</v>
      </c>
      <c r="G714" s="39" t="s">
        <v>93</v>
      </c>
      <c r="H714" s="52" t="s">
        <v>94</v>
      </c>
      <c r="I714" s="52">
        <v>2307.7000000000003</v>
      </c>
      <c r="J714" s="49">
        <v>100492.76000000002</v>
      </c>
      <c r="K714" s="58">
        <v>2269.0000000000005</v>
      </c>
      <c r="L714" s="58">
        <v>99209.875874925448</v>
      </c>
      <c r="M714" s="58">
        <v>29.199999999999996</v>
      </c>
      <c r="N714" s="58">
        <v>1251.7182432900001</v>
      </c>
      <c r="O714" s="65">
        <v>2298.2000000000003</v>
      </c>
      <c r="P714" s="65">
        <v>100461.59411821545</v>
      </c>
      <c r="Q714" s="50">
        <v>100461.59411821545</v>
      </c>
      <c r="R714" s="65">
        <v>0</v>
      </c>
      <c r="S714" s="65">
        <v>1251.7182432900001</v>
      </c>
      <c r="T714" s="65">
        <v>0</v>
      </c>
      <c r="U714" s="65">
        <v>13500</v>
      </c>
      <c r="V714" s="65">
        <v>0</v>
      </c>
      <c r="W714" s="65">
        <v>0</v>
      </c>
      <c r="X714" s="65">
        <v>85708</v>
      </c>
      <c r="Y714" s="65">
        <v>0</v>
      </c>
      <c r="Z714" s="65">
        <v>0</v>
      </c>
      <c r="AA714" s="51">
        <v>33</v>
      </c>
      <c r="AB714" s="102">
        <v>0</v>
      </c>
      <c r="AC714" s="81">
        <f t="shared" si="36"/>
        <v>0</v>
      </c>
      <c r="AD714" s="82">
        <f t="shared" si="37"/>
        <v>0</v>
      </c>
      <c r="AE714" s="218">
        <v>3.1013061821144714E-4</v>
      </c>
      <c r="AF714">
        <v>29</v>
      </c>
      <c r="AH714" t="str">
        <f t="shared" si="35"/>
        <v>Kalyanpur</v>
      </c>
      <c r="AJ714" s="72">
        <v>0</v>
      </c>
      <c r="AK714" s="72"/>
      <c r="AL714" s="72"/>
      <c r="AM714" s="72"/>
    </row>
    <row r="715" spans="1:39" x14ac:dyDescent="0.25">
      <c r="A715" s="37" t="s">
        <v>62</v>
      </c>
      <c r="B715" s="66" t="s">
        <v>1566</v>
      </c>
      <c r="C715" s="41">
        <v>1053</v>
      </c>
      <c r="D715" s="41" t="s">
        <v>542</v>
      </c>
      <c r="E715" s="41">
        <v>10530105</v>
      </c>
      <c r="F715" s="85" t="s">
        <v>1386</v>
      </c>
      <c r="G715" s="39" t="s">
        <v>93</v>
      </c>
      <c r="H715" s="52" t="s">
        <v>94</v>
      </c>
      <c r="I715" s="52">
        <v>159.85</v>
      </c>
      <c r="J715" s="49">
        <v>6275.0300000000007</v>
      </c>
      <c r="K715" s="58">
        <v>160.66999999999999</v>
      </c>
      <c r="L715" s="58">
        <v>5983.2741153240004</v>
      </c>
      <c r="M715" s="58">
        <v>1.2000000000000002</v>
      </c>
      <c r="N715" s="58">
        <v>45.128176632000006</v>
      </c>
      <c r="O715" s="65">
        <v>161.86999999999998</v>
      </c>
      <c r="P715" s="65">
        <v>6028.4022919560002</v>
      </c>
      <c r="Q715" s="50">
        <v>6028.4022919560002</v>
      </c>
      <c r="R715" s="65">
        <v>0</v>
      </c>
      <c r="S715" s="65">
        <v>45.128176632000006</v>
      </c>
      <c r="T715" s="65">
        <v>0</v>
      </c>
      <c r="U715" s="65">
        <v>0</v>
      </c>
      <c r="V715" s="65">
        <v>0</v>
      </c>
      <c r="W715" s="65">
        <v>0</v>
      </c>
      <c r="X715" s="65">
        <v>5983</v>
      </c>
      <c r="Y715" s="65">
        <v>0</v>
      </c>
      <c r="Z715" s="65">
        <v>0</v>
      </c>
      <c r="AA715" s="51">
        <v>247</v>
      </c>
      <c r="AB715" s="102">
        <v>0</v>
      </c>
      <c r="AC715" s="81">
        <f t="shared" si="36"/>
        <v>424.07975658429785</v>
      </c>
      <c r="AD715" s="82">
        <f t="shared" si="37"/>
        <v>22.835714285714285</v>
      </c>
      <c r="AE715" s="218">
        <v>3.9303032502474154E-2</v>
      </c>
      <c r="AF715">
        <v>4</v>
      </c>
      <c r="AH715" t="str">
        <f t="shared" si="35"/>
        <v>Kalyanpur</v>
      </c>
      <c r="AJ715" s="72">
        <v>0</v>
      </c>
      <c r="AK715" s="72"/>
      <c r="AL715" s="72"/>
      <c r="AM715" s="72"/>
    </row>
    <row r="716" spans="1:39" x14ac:dyDescent="0.25">
      <c r="A716" s="37" t="s">
        <v>62</v>
      </c>
      <c r="B716" s="66" t="s">
        <v>1566</v>
      </c>
      <c r="C716" s="41">
        <v>1053</v>
      </c>
      <c r="D716" s="41" t="s">
        <v>542</v>
      </c>
      <c r="E716" s="41">
        <v>10530106</v>
      </c>
      <c r="F716" s="85" t="s">
        <v>1436</v>
      </c>
      <c r="G716" s="39" t="s">
        <v>93</v>
      </c>
      <c r="H716" s="52" t="s">
        <v>94</v>
      </c>
      <c r="I716" s="52">
        <v>418.3</v>
      </c>
      <c r="J716" s="49">
        <v>14815.300000000001</v>
      </c>
      <c r="K716" s="58">
        <v>412.96</v>
      </c>
      <c r="L716" s="58">
        <v>14742.103308912221</v>
      </c>
      <c r="M716" s="58">
        <v>5.63</v>
      </c>
      <c r="N716" s="58">
        <v>209.1094522308</v>
      </c>
      <c r="O716" s="65">
        <v>418.59</v>
      </c>
      <c r="P716" s="65">
        <v>14951.212761143021</v>
      </c>
      <c r="Q716" s="50">
        <v>14815.300000000001</v>
      </c>
      <c r="R716" s="65">
        <v>0</v>
      </c>
      <c r="S716" s="65">
        <v>209.1094522308</v>
      </c>
      <c r="T716" s="65">
        <v>135.91276114301945</v>
      </c>
      <c r="U716" s="65">
        <v>2700</v>
      </c>
      <c r="V716" s="65">
        <v>0</v>
      </c>
      <c r="W716" s="65">
        <v>0</v>
      </c>
      <c r="X716" s="65">
        <v>11906</v>
      </c>
      <c r="Y716" s="65">
        <v>0</v>
      </c>
      <c r="Z716" s="65">
        <v>0</v>
      </c>
      <c r="AA716" s="51">
        <v>0</v>
      </c>
      <c r="AB716" s="102">
        <v>0</v>
      </c>
      <c r="AC716" s="81">
        <f t="shared" si="36"/>
        <v>199.54434664116661</v>
      </c>
      <c r="AD716" s="82">
        <f t="shared" si="37"/>
        <v>59.75714285714286</v>
      </c>
      <c r="AE716" s="218">
        <v>-9.1738109348456966E-3</v>
      </c>
      <c r="AF716">
        <v>7</v>
      </c>
      <c r="AH716" t="str">
        <f t="shared" si="35"/>
        <v>Kalyanpur</v>
      </c>
      <c r="AJ716" s="72">
        <v>0</v>
      </c>
      <c r="AK716" s="72"/>
      <c r="AL716" s="72"/>
      <c r="AM716" s="72"/>
    </row>
    <row r="717" spans="1:39" x14ac:dyDescent="0.25">
      <c r="A717" s="37" t="s">
        <v>62</v>
      </c>
      <c r="B717" s="66" t="s">
        <v>1566</v>
      </c>
      <c r="C717" s="41">
        <v>1053</v>
      </c>
      <c r="D717" s="41" t="s">
        <v>542</v>
      </c>
      <c r="E717" s="41">
        <v>10530107</v>
      </c>
      <c r="F717" s="85" t="s">
        <v>1406</v>
      </c>
      <c r="G717" s="39" t="s">
        <v>635</v>
      </c>
      <c r="H717" s="52" t="s">
        <v>99</v>
      </c>
      <c r="I717" s="52">
        <v>196.3</v>
      </c>
      <c r="J717" s="49">
        <v>10658.96</v>
      </c>
      <c r="K717" s="58">
        <v>0</v>
      </c>
      <c r="L717" s="58">
        <v>0</v>
      </c>
      <c r="M717" s="58">
        <v>0</v>
      </c>
      <c r="N717" s="58">
        <v>0</v>
      </c>
      <c r="O717" s="65">
        <v>0</v>
      </c>
      <c r="P717" s="65">
        <v>0</v>
      </c>
      <c r="Q717" s="50">
        <v>10658.96</v>
      </c>
      <c r="R717" s="65">
        <v>0</v>
      </c>
      <c r="S717" s="65">
        <v>0</v>
      </c>
      <c r="T717" s="65">
        <v>0</v>
      </c>
      <c r="U717" s="65">
        <v>0</v>
      </c>
      <c r="V717" s="65">
        <v>0</v>
      </c>
      <c r="W717" s="65">
        <v>0</v>
      </c>
      <c r="X717" s="65">
        <v>0</v>
      </c>
      <c r="Y717" s="65">
        <v>0</v>
      </c>
      <c r="Z717" s="65">
        <v>10658.96</v>
      </c>
      <c r="AA717" s="51">
        <v>0</v>
      </c>
      <c r="AB717" s="102">
        <v>0</v>
      </c>
      <c r="AC717" s="81">
        <f t="shared" si="36"/>
        <v>547.01152847682113</v>
      </c>
      <c r="AD717" s="82">
        <f t="shared" si="37"/>
        <v>28.042857142857144</v>
      </c>
      <c r="AE717" s="218">
        <v>0</v>
      </c>
      <c r="AF717">
        <v>0</v>
      </c>
      <c r="AH717" t="str">
        <f t="shared" si="35"/>
        <v>Kalyanpur</v>
      </c>
      <c r="AJ717" s="72">
        <v>0</v>
      </c>
      <c r="AK717" s="72"/>
      <c r="AL717" s="72"/>
      <c r="AM717" s="72"/>
    </row>
    <row r="718" spans="1:39" x14ac:dyDescent="0.25">
      <c r="A718" s="37" t="s">
        <v>62</v>
      </c>
      <c r="B718" s="66" t="s">
        <v>1566</v>
      </c>
      <c r="C718" s="41">
        <v>1053</v>
      </c>
      <c r="D718" s="41" t="s">
        <v>542</v>
      </c>
      <c r="E718" s="41">
        <v>10530108</v>
      </c>
      <c r="F718" s="85" t="s">
        <v>1437</v>
      </c>
      <c r="G718" s="39" t="s">
        <v>93</v>
      </c>
      <c r="H718" s="52" t="s">
        <v>94</v>
      </c>
      <c r="I718" s="52">
        <v>204.20000000000005</v>
      </c>
      <c r="J718" s="49">
        <v>8261.369999999999</v>
      </c>
      <c r="K718" s="58">
        <v>210.51999999999998</v>
      </c>
      <c r="L718" s="58">
        <v>8066.9766462516009</v>
      </c>
      <c r="M718" s="58">
        <v>4.97</v>
      </c>
      <c r="N718" s="58">
        <v>184.12398132480004</v>
      </c>
      <c r="O718" s="65">
        <v>215.48999999999998</v>
      </c>
      <c r="P718" s="65">
        <v>8251.1006275764012</v>
      </c>
      <c r="Q718" s="50">
        <v>8251.1006275764012</v>
      </c>
      <c r="R718" s="65">
        <v>0</v>
      </c>
      <c r="S718" s="65">
        <v>184.12398132480004</v>
      </c>
      <c r="T718" s="65">
        <v>0</v>
      </c>
      <c r="U718" s="65">
        <v>0</v>
      </c>
      <c r="V718" s="65">
        <v>0</v>
      </c>
      <c r="W718" s="65">
        <v>0</v>
      </c>
      <c r="X718" s="65">
        <v>8067</v>
      </c>
      <c r="Y718" s="65">
        <v>0</v>
      </c>
      <c r="Z718" s="65">
        <v>0</v>
      </c>
      <c r="AA718" s="51">
        <v>10</v>
      </c>
      <c r="AB718" s="102">
        <v>0</v>
      </c>
      <c r="AC718" s="81">
        <f t="shared" si="36"/>
        <v>401.17406914789404</v>
      </c>
      <c r="AD718" s="82">
        <f t="shared" si="37"/>
        <v>29.171428571428578</v>
      </c>
      <c r="AE718" s="218">
        <v>1.2430592533197056E-3</v>
      </c>
      <c r="AF718">
        <v>4</v>
      </c>
      <c r="AH718" t="str">
        <f t="shared" si="35"/>
        <v>Kalyanpur</v>
      </c>
      <c r="AJ718" s="72">
        <v>0</v>
      </c>
      <c r="AK718" s="72"/>
      <c r="AL718" s="72"/>
      <c r="AM718" s="72"/>
    </row>
    <row r="719" spans="1:39" x14ac:dyDescent="0.25">
      <c r="A719" s="37" t="s">
        <v>62</v>
      </c>
      <c r="B719" s="66" t="s">
        <v>1566</v>
      </c>
      <c r="C719" s="41">
        <v>1053</v>
      </c>
      <c r="D719" s="41" t="s">
        <v>542</v>
      </c>
      <c r="E719" s="41">
        <v>10530109</v>
      </c>
      <c r="F719" s="85" t="s">
        <v>1407</v>
      </c>
      <c r="G719" s="39" t="s">
        <v>93</v>
      </c>
      <c r="H719" s="52" t="s">
        <v>94</v>
      </c>
      <c r="I719" s="52">
        <v>1524.8999999999996</v>
      </c>
      <c r="J719" s="49">
        <v>63629.469999999994</v>
      </c>
      <c r="K719" s="58">
        <v>1514.59</v>
      </c>
      <c r="L719" s="58">
        <v>63600.378444870628</v>
      </c>
      <c r="M719" s="58">
        <v>8.379999999999999</v>
      </c>
      <c r="N719" s="58">
        <v>363.67401007490008</v>
      </c>
      <c r="O719" s="65">
        <v>1522.97</v>
      </c>
      <c r="P719" s="65">
        <v>63964.052454945529</v>
      </c>
      <c r="Q719" s="50">
        <v>63629.469999999994</v>
      </c>
      <c r="R719" s="65">
        <v>0</v>
      </c>
      <c r="S719" s="65">
        <v>363.67401007490008</v>
      </c>
      <c r="T719" s="65">
        <v>334.58245494553557</v>
      </c>
      <c r="U719" s="65">
        <v>27882</v>
      </c>
      <c r="V719" s="65">
        <v>0</v>
      </c>
      <c r="W719" s="65">
        <v>0</v>
      </c>
      <c r="X719" s="65">
        <v>35384</v>
      </c>
      <c r="Y719" s="65">
        <v>0</v>
      </c>
      <c r="Z719" s="65">
        <v>0</v>
      </c>
      <c r="AA719" s="51">
        <v>0</v>
      </c>
      <c r="AB719" s="102">
        <v>0</v>
      </c>
      <c r="AC719" s="81">
        <f t="shared" si="36"/>
        <v>0</v>
      </c>
      <c r="AD719" s="82">
        <f t="shared" si="37"/>
        <v>0</v>
      </c>
      <c r="AE719" s="218">
        <v>-5.2582939154692879E-3</v>
      </c>
      <c r="AF719">
        <v>12</v>
      </c>
      <c r="AH719" t="str">
        <f t="shared" si="35"/>
        <v>Kalyanpur</v>
      </c>
      <c r="AJ719" s="72">
        <v>0</v>
      </c>
      <c r="AK719" s="72"/>
      <c r="AL719" s="72"/>
      <c r="AM719" s="72"/>
    </row>
    <row r="720" spans="1:39" x14ac:dyDescent="0.25">
      <c r="A720" s="37" t="s">
        <v>62</v>
      </c>
      <c r="B720" s="66" t="s">
        <v>1566</v>
      </c>
      <c r="C720" s="41">
        <v>1053</v>
      </c>
      <c r="D720" s="41" t="s">
        <v>542</v>
      </c>
      <c r="E720" s="41">
        <v>10530110</v>
      </c>
      <c r="F720" s="85" t="s">
        <v>1438</v>
      </c>
      <c r="G720" s="39" t="s">
        <v>93</v>
      </c>
      <c r="H720" s="52" t="s">
        <v>94</v>
      </c>
      <c r="I720" s="52">
        <v>717.69999999999982</v>
      </c>
      <c r="J720" s="49">
        <v>28659.190000000002</v>
      </c>
      <c r="K720" s="58">
        <v>695.44999999999982</v>
      </c>
      <c r="L720" s="58">
        <v>27202.761907930304</v>
      </c>
      <c r="M720" s="58">
        <v>34.809999999999988</v>
      </c>
      <c r="N720" s="58">
        <v>1393.8447849480003</v>
      </c>
      <c r="O720" s="65">
        <v>730.25999999999976</v>
      </c>
      <c r="P720" s="65">
        <v>28596.606692878304</v>
      </c>
      <c r="Q720" s="50">
        <v>28596.606692878304</v>
      </c>
      <c r="R720" s="65">
        <v>0</v>
      </c>
      <c r="S720" s="65">
        <v>1393.8447849480003</v>
      </c>
      <c r="T720" s="65">
        <v>0</v>
      </c>
      <c r="U720" s="65">
        <v>0</v>
      </c>
      <c r="V720" s="65">
        <v>0</v>
      </c>
      <c r="W720" s="65">
        <v>0</v>
      </c>
      <c r="X720" s="65">
        <v>27201</v>
      </c>
      <c r="Y720" s="65">
        <v>0</v>
      </c>
      <c r="Z720" s="65">
        <v>0</v>
      </c>
      <c r="AA720" s="51">
        <v>64</v>
      </c>
      <c r="AB720" s="102">
        <v>0</v>
      </c>
      <c r="AC720" s="81">
        <f t="shared" si="36"/>
        <v>0</v>
      </c>
      <c r="AD720" s="82">
        <f t="shared" si="37"/>
        <v>0</v>
      </c>
      <c r="AE720" s="218">
        <v>2.1837081620833822E-3</v>
      </c>
      <c r="AF720">
        <v>20</v>
      </c>
      <c r="AH720" t="str">
        <f t="shared" si="35"/>
        <v>Kalyanpur</v>
      </c>
      <c r="AJ720" s="72">
        <v>0</v>
      </c>
      <c r="AK720" s="72"/>
      <c r="AL720" s="72"/>
      <c r="AM720" s="72"/>
    </row>
    <row r="721" spans="1:39" x14ac:dyDescent="0.25">
      <c r="A721" s="37" t="s">
        <v>62</v>
      </c>
      <c r="B721" s="66" t="s">
        <v>1566</v>
      </c>
      <c r="C721" s="41">
        <v>1053</v>
      </c>
      <c r="D721" s="41" t="s">
        <v>542</v>
      </c>
      <c r="E721" s="41">
        <v>10530111</v>
      </c>
      <c r="F721" s="85" t="s">
        <v>1500</v>
      </c>
      <c r="G721" s="39" t="s">
        <v>93</v>
      </c>
      <c r="H721" s="52" t="s">
        <v>94</v>
      </c>
      <c r="I721" s="52">
        <v>718.25</v>
      </c>
      <c r="J721" s="49">
        <v>29023.54</v>
      </c>
      <c r="K721" s="58">
        <v>709.45</v>
      </c>
      <c r="L721" s="58">
        <v>27860.066532678109</v>
      </c>
      <c r="M721" s="58">
        <v>12</v>
      </c>
      <c r="N721" s="58">
        <v>479.69605846800005</v>
      </c>
      <c r="O721" s="65">
        <v>721.45</v>
      </c>
      <c r="P721" s="65">
        <v>28339.762591146107</v>
      </c>
      <c r="Q721" s="50">
        <v>28339.762591146107</v>
      </c>
      <c r="R721" s="65">
        <v>0</v>
      </c>
      <c r="S721" s="65">
        <v>479.69605846800005</v>
      </c>
      <c r="T721" s="65">
        <v>0</v>
      </c>
      <c r="U721" s="65">
        <v>0</v>
      </c>
      <c r="V721" s="65">
        <v>0</v>
      </c>
      <c r="W721" s="65">
        <v>0</v>
      </c>
      <c r="X721" s="65">
        <v>27861</v>
      </c>
      <c r="Y721" s="65">
        <v>0</v>
      </c>
      <c r="Z721" s="65">
        <v>0</v>
      </c>
      <c r="AA721" s="51">
        <v>683</v>
      </c>
      <c r="AB721" s="102">
        <v>0</v>
      </c>
      <c r="AC721" s="81">
        <f t="shared" si="36"/>
        <v>0</v>
      </c>
      <c r="AD721" s="82">
        <f t="shared" si="37"/>
        <v>0</v>
      </c>
      <c r="AE721" s="218">
        <v>2.3559407599965186E-2</v>
      </c>
      <c r="AF721">
        <v>17</v>
      </c>
      <c r="AH721" t="str">
        <f t="shared" si="35"/>
        <v>Kalyanpur</v>
      </c>
      <c r="AJ721" s="72">
        <v>0</v>
      </c>
      <c r="AK721" s="72"/>
      <c r="AL721" s="72"/>
      <c r="AM721" s="72"/>
    </row>
    <row r="722" spans="1:39" x14ac:dyDescent="0.25">
      <c r="A722" s="37" t="s">
        <v>62</v>
      </c>
      <c r="B722" s="66" t="s">
        <v>1566</v>
      </c>
      <c r="C722" s="41">
        <v>1053</v>
      </c>
      <c r="D722" s="41" t="s">
        <v>542</v>
      </c>
      <c r="E722" s="41">
        <v>10530112</v>
      </c>
      <c r="F722" s="85" t="s">
        <v>1501</v>
      </c>
      <c r="G722" s="39" t="s">
        <v>93</v>
      </c>
      <c r="H722" s="52" t="s">
        <v>94</v>
      </c>
      <c r="I722" s="52">
        <v>318.95000000000005</v>
      </c>
      <c r="J722" s="49">
        <v>12242.99</v>
      </c>
      <c r="K722" s="58">
        <v>323.71999999999991</v>
      </c>
      <c r="L722" s="58">
        <v>12541.896203644805</v>
      </c>
      <c r="M722" s="58">
        <v>0.05</v>
      </c>
      <c r="N722" s="58">
        <v>1.9866547800000003</v>
      </c>
      <c r="O722" s="65">
        <v>323.76999999999992</v>
      </c>
      <c r="P722" s="65">
        <v>12543.882858424804</v>
      </c>
      <c r="Q722" s="50">
        <v>12242.99</v>
      </c>
      <c r="R722" s="65">
        <v>0</v>
      </c>
      <c r="S722" s="65">
        <v>1.9866547800000003</v>
      </c>
      <c r="T722" s="65">
        <v>300.89285842480422</v>
      </c>
      <c r="U722" s="65">
        <v>0</v>
      </c>
      <c r="V722" s="65">
        <v>0</v>
      </c>
      <c r="W722" s="65">
        <v>0</v>
      </c>
      <c r="X722" s="65">
        <v>12241</v>
      </c>
      <c r="Y722" s="65">
        <v>0</v>
      </c>
      <c r="Z722" s="65">
        <v>0</v>
      </c>
      <c r="AA722" s="51">
        <v>0</v>
      </c>
      <c r="AB722" s="102">
        <v>0</v>
      </c>
      <c r="AC722" s="81">
        <f t="shared" si="36"/>
        <v>292.53433701207081</v>
      </c>
      <c r="AD722" s="82">
        <f t="shared" si="37"/>
        <v>45.564285714285724</v>
      </c>
      <c r="AE722" s="218">
        <v>-2.4576746238035335E-2</v>
      </c>
      <c r="AF722">
        <v>3</v>
      </c>
      <c r="AH722" t="str">
        <f t="shared" si="35"/>
        <v>Kalyanpur</v>
      </c>
      <c r="AJ722" s="72">
        <v>0</v>
      </c>
      <c r="AK722" s="72"/>
      <c r="AL722" s="72"/>
      <c r="AM722" s="72"/>
    </row>
    <row r="723" spans="1:39" x14ac:dyDescent="0.25">
      <c r="A723" s="37" t="s">
        <v>62</v>
      </c>
      <c r="B723" s="66" t="s">
        <v>1566</v>
      </c>
      <c r="C723" s="41">
        <v>1053</v>
      </c>
      <c r="D723" s="41" t="s">
        <v>542</v>
      </c>
      <c r="E723" s="41">
        <v>10530113</v>
      </c>
      <c r="F723" s="85" t="s">
        <v>1557</v>
      </c>
      <c r="G723" s="39" t="s">
        <v>93</v>
      </c>
      <c r="H723" s="52" t="s">
        <v>94</v>
      </c>
      <c r="I723" s="52">
        <v>486.75</v>
      </c>
      <c r="J723" s="49">
        <v>18792.88</v>
      </c>
      <c r="K723" s="58">
        <v>491.28</v>
      </c>
      <c r="L723" s="58">
        <v>19498.614495669215</v>
      </c>
      <c r="M723" s="58">
        <v>3.9199999999999995</v>
      </c>
      <c r="N723" s="58">
        <v>154.0150265808</v>
      </c>
      <c r="O723" s="65">
        <v>495.2</v>
      </c>
      <c r="P723" s="65">
        <v>19652.629522250016</v>
      </c>
      <c r="Q723" s="50">
        <v>18792.88</v>
      </c>
      <c r="R723" s="65">
        <v>0</v>
      </c>
      <c r="S723" s="65">
        <v>154.0150265808</v>
      </c>
      <c r="T723" s="65">
        <v>859.74952225001471</v>
      </c>
      <c r="U723" s="65">
        <v>0</v>
      </c>
      <c r="V723" s="65">
        <v>0</v>
      </c>
      <c r="W723" s="65">
        <v>0</v>
      </c>
      <c r="X723" s="65">
        <v>18639</v>
      </c>
      <c r="Y723" s="65">
        <v>0</v>
      </c>
      <c r="Z723" s="65">
        <v>0</v>
      </c>
      <c r="AA723" s="51">
        <v>0</v>
      </c>
      <c r="AB723" s="102">
        <v>0</v>
      </c>
      <c r="AC723" s="81">
        <f t="shared" si="36"/>
        <v>164.66694031843858</v>
      </c>
      <c r="AD723" s="82">
        <f t="shared" si="37"/>
        <v>69.535714285714292</v>
      </c>
      <c r="AE723" s="218">
        <v>-4.5748683663707462E-2</v>
      </c>
      <c r="AF723">
        <v>9</v>
      </c>
      <c r="AH723" t="str">
        <f t="shared" si="35"/>
        <v>Kalyanpur</v>
      </c>
      <c r="AJ723" s="72">
        <v>0</v>
      </c>
      <c r="AK723" s="72"/>
      <c r="AL723" s="72"/>
      <c r="AM723" s="72"/>
    </row>
    <row r="724" spans="1:39" x14ac:dyDescent="0.25">
      <c r="A724" s="37" t="s">
        <v>62</v>
      </c>
      <c r="B724" s="66" t="s">
        <v>1566</v>
      </c>
      <c r="C724" s="41">
        <v>1053</v>
      </c>
      <c r="D724" s="41" t="s">
        <v>542</v>
      </c>
      <c r="E724" s="41">
        <v>10530115</v>
      </c>
      <c r="F724" s="85" t="s">
        <v>1547</v>
      </c>
      <c r="G724" s="39" t="s">
        <v>635</v>
      </c>
      <c r="H724" s="52" t="s">
        <v>99</v>
      </c>
      <c r="I724" s="52">
        <v>319.34999999999997</v>
      </c>
      <c r="J724" s="49">
        <v>11987.01</v>
      </c>
      <c r="K724" s="58">
        <v>0</v>
      </c>
      <c r="L724" s="58">
        <v>0</v>
      </c>
      <c r="M724" s="58">
        <v>0</v>
      </c>
      <c r="N724" s="58">
        <v>0</v>
      </c>
      <c r="O724" s="65">
        <v>0</v>
      </c>
      <c r="P724" s="65">
        <v>0</v>
      </c>
      <c r="Q724" s="50">
        <v>11987.01</v>
      </c>
      <c r="R724" s="65">
        <v>0</v>
      </c>
      <c r="S724" s="65">
        <v>0</v>
      </c>
      <c r="T724" s="65">
        <v>0</v>
      </c>
      <c r="U724" s="65">
        <v>0</v>
      </c>
      <c r="V724" s="65">
        <v>0</v>
      </c>
      <c r="W724" s="65">
        <v>0</v>
      </c>
      <c r="X724" s="65">
        <v>0</v>
      </c>
      <c r="Y724" s="65">
        <v>0</v>
      </c>
      <c r="Z724" s="65">
        <v>11987.01</v>
      </c>
      <c r="AA724" s="51">
        <v>0</v>
      </c>
      <c r="AB724" s="102">
        <v>0</v>
      </c>
      <c r="AC724" s="81">
        <f t="shared" si="36"/>
        <v>285.75890756223589</v>
      </c>
      <c r="AD724" s="82">
        <f t="shared" si="37"/>
        <v>45.621428571428567</v>
      </c>
      <c r="AE724" s="218">
        <v>0</v>
      </c>
      <c r="AF724">
        <v>0</v>
      </c>
      <c r="AH724" t="str">
        <f t="shared" si="35"/>
        <v>Kalyanpur</v>
      </c>
      <c r="AJ724" s="72">
        <v>0</v>
      </c>
      <c r="AK724" s="72"/>
      <c r="AL724" s="72"/>
      <c r="AM724" s="72"/>
    </row>
    <row r="725" spans="1:39" x14ac:dyDescent="0.25">
      <c r="A725" s="37" t="s">
        <v>62</v>
      </c>
      <c r="B725" s="66" t="s">
        <v>1566</v>
      </c>
      <c r="C725" s="41">
        <v>1054</v>
      </c>
      <c r="D725" s="41" t="s">
        <v>828</v>
      </c>
      <c r="E725" s="41">
        <v>10540003</v>
      </c>
      <c r="F725" s="85" t="s">
        <v>683</v>
      </c>
      <c r="G725" s="39" t="s">
        <v>93</v>
      </c>
      <c r="H725" s="52" t="s">
        <v>94</v>
      </c>
      <c r="I725" s="52">
        <v>2753</v>
      </c>
      <c r="J725" s="49">
        <v>110028.71</v>
      </c>
      <c r="K725" s="58">
        <v>3238.1</v>
      </c>
      <c r="L725" s="58">
        <v>131473.49220323999</v>
      </c>
      <c r="M725" s="58">
        <v>0</v>
      </c>
      <c r="N725" s="58">
        <v>0</v>
      </c>
      <c r="O725" s="65">
        <v>3238.1</v>
      </c>
      <c r="P725" s="65">
        <v>131473.49220323999</v>
      </c>
      <c r="Q725" s="50">
        <v>110028.71</v>
      </c>
      <c r="R725" s="65">
        <v>0</v>
      </c>
      <c r="S725" s="65">
        <v>0</v>
      </c>
      <c r="T725" s="65">
        <v>21444.782203239985</v>
      </c>
      <c r="U725" s="65">
        <v>0</v>
      </c>
      <c r="V725" s="65">
        <v>0</v>
      </c>
      <c r="W725" s="65">
        <v>0</v>
      </c>
      <c r="X725" s="65">
        <v>110029</v>
      </c>
      <c r="Y725" s="65">
        <v>0</v>
      </c>
      <c r="Z725" s="65">
        <v>0</v>
      </c>
      <c r="AA725" s="51">
        <v>0</v>
      </c>
      <c r="AB725" s="102">
        <v>0</v>
      </c>
      <c r="AC725" s="81">
        <f t="shared" si="36"/>
        <v>0</v>
      </c>
      <c r="AD725" s="82">
        <f t="shared" si="37"/>
        <v>0</v>
      </c>
      <c r="AE725" s="218">
        <v>-0.19490169614130698</v>
      </c>
      <c r="AF725">
        <v>1</v>
      </c>
      <c r="AH725" t="str">
        <f t="shared" si="35"/>
        <v xml:space="preserve">Alauli </v>
      </c>
      <c r="AJ725" s="72">
        <v>0</v>
      </c>
      <c r="AK725" s="72"/>
      <c r="AL725" s="72"/>
      <c r="AM725" s="72"/>
    </row>
    <row r="726" spans="1:39" x14ac:dyDescent="0.25">
      <c r="A726" s="37" t="s">
        <v>62</v>
      </c>
      <c r="B726" s="66" t="s">
        <v>1566</v>
      </c>
      <c r="C726" s="41">
        <v>1054</v>
      </c>
      <c r="D726" s="41" t="s">
        <v>828</v>
      </c>
      <c r="E726" s="41">
        <v>10540005</v>
      </c>
      <c r="F726" s="85" t="s">
        <v>685</v>
      </c>
      <c r="G726" s="39" t="s">
        <v>93</v>
      </c>
      <c r="H726" s="52" t="s">
        <v>94</v>
      </c>
      <c r="I726" s="52">
        <v>192.9</v>
      </c>
      <c r="J726" s="49">
        <v>7708.329999999999</v>
      </c>
      <c r="K726" s="58">
        <v>237.13999999999996</v>
      </c>
      <c r="L726" s="58">
        <v>9291.8596384548</v>
      </c>
      <c r="M726" s="58">
        <v>0</v>
      </c>
      <c r="N726" s="58">
        <v>0</v>
      </c>
      <c r="O726" s="65">
        <v>237.13999999999996</v>
      </c>
      <c r="P726" s="65">
        <v>9291.8596384548</v>
      </c>
      <c r="Q726" s="50">
        <v>7708.329999999999</v>
      </c>
      <c r="R726" s="65">
        <v>0</v>
      </c>
      <c r="S726" s="65">
        <v>0</v>
      </c>
      <c r="T726" s="65">
        <v>1583.529638454801</v>
      </c>
      <c r="U726" s="65">
        <v>0</v>
      </c>
      <c r="V726" s="65">
        <v>381.49</v>
      </c>
      <c r="W726" s="65">
        <v>0</v>
      </c>
      <c r="X726" s="65">
        <v>7326</v>
      </c>
      <c r="Y726" s="65">
        <v>0</v>
      </c>
      <c r="Z726" s="65">
        <v>0</v>
      </c>
      <c r="AA726" s="51">
        <v>1</v>
      </c>
      <c r="AB726" s="102" t="s">
        <v>68</v>
      </c>
      <c r="AC726" s="81">
        <f t="shared" si="36"/>
        <v>405.27673851736648</v>
      </c>
      <c r="AD726" s="82">
        <f t="shared" si="37"/>
        <v>27.557142857142857</v>
      </c>
      <c r="AE726" s="218">
        <v>-0.20543096085076809</v>
      </c>
      <c r="AF726">
        <v>7</v>
      </c>
      <c r="AH726" t="str">
        <f t="shared" si="35"/>
        <v xml:space="preserve">Alauli </v>
      </c>
      <c r="AJ726" s="72">
        <v>0</v>
      </c>
      <c r="AK726" s="72"/>
      <c r="AL726" s="72"/>
      <c r="AM726" s="72"/>
    </row>
    <row r="727" spans="1:39" x14ac:dyDescent="0.25">
      <c r="A727" s="37" t="s">
        <v>62</v>
      </c>
      <c r="B727" s="66" t="s">
        <v>1566</v>
      </c>
      <c r="C727" s="41">
        <v>1054</v>
      </c>
      <c r="D727" s="41" t="s">
        <v>828</v>
      </c>
      <c r="E727" s="41">
        <v>10540008</v>
      </c>
      <c r="F727" s="85" t="s">
        <v>1146</v>
      </c>
      <c r="G727" s="39" t="s">
        <v>93</v>
      </c>
      <c r="H727" s="52" t="s">
        <v>94</v>
      </c>
      <c r="I727" s="52">
        <v>175.3</v>
      </c>
      <c r="J727" s="49">
        <v>8376.7000000000007</v>
      </c>
      <c r="K727" s="58">
        <v>184.31</v>
      </c>
      <c r="L727" s="58">
        <v>9795.9823844753228</v>
      </c>
      <c r="M727" s="58">
        <v>0</v>
      </c>
      <c r="N727" s="58">
        <v>0</v>
      </c>
      <c r="O727" s="65">
        <v>184.31</v>
      </c>
      <c r="P727" s="65">
        <v>9795.9823844753228</v>
      </c>
      <c r="Q727" s="50">
        <v>8376.7000000000007</v>
      </c>
      <c r="R727" s="65">
        <v>0</v>
      </c>
      <c r="S727" s="65">
        <v>0</v>
      </c>
      <c r="T727" s="65">
        <v>1419.282384475322</v>
      </c>
      <c r="U727" s="65">
        <v>1350</v>
      </c>
      <c r="V727" s="65">
        <v>34.85</v>
      </c>
      <c r="W727" s="65">
        <v>0</v>
      </c>
      <c r="X727" s="65">
        <v>6992</v>
      </c>
      <c r="Y727" s="65">
        <v>0</v>
      </c>
      <c r="Z727" s="65">
        <v>0</v>
      </c>
      <c r="AA727" s="51">
        <v>0</v>
      </c>
      <c r="AB727" s="102" t="s">
        <v>68</v>
      </c>
      <c r="AC727" s="81">
        <f t="shared" si="36"/>
        <v>501.45516143753571</v>
      </c>
      <c r="AD727" s="82">
        <f t="shared" si="37"/>
        <v>25.042857142857144</v>
      </c>
      <c r="AE727" s="218">
        <v>-0.16943216117030835</v>
      </c>
      <c r="AF727">
        <v>10</v>
      </c>
      <c r="AH727" t="str">
        <f t="shared" si="35"/>
        <v xml:space="preserve">Alauli </v>
      </c>
      <c r="AJ727" s="72">
        <v>0</v>
      </c>
      <c r="AK727" s="72"/>
      <c r="AL727" s="72"/>
      <c r="AM727" s="72"/>
    </row>
    <row r="728" spans="1:39" x14ac:dyDescent="0.25">
      <c r="A728" s="37" t="s">
        <v>62</v>
      </c>
      <c r="B728" s="66" t="s">
        <v>1566</v>
      </c>
      <c r="C728" s="41">
        <v>1054</v>
      </c>
      <c r="D728" s="41" t="s">
        <v>828</v>
      </c>
      <c r="E728" s="41">
        <v>10540009</v>
      </c>
      <c r="F728" s="85" t="s">
        <v>853</v>
      </c>
      <c r="G728" s="39" t="s">
        <v>93</v>
      </c>
      <c r="H728" s="52" t="s">
        <v>94</v>
      </c>
      <c r="I728" s="52">
        <v>1086.7</v>
      </c>
      <c r="J728" s="49">
        <v>45631.16</v>
      </c>
      <c r="K728" s="58">
        <v>1089.1200000000003</v>
      </c>
      <c r="L728" s="58">
        <v>47540.181718127336</v>
      </c>
      <c r="M728" s="58">
        <v>0</v>
      </c>
      <c r="N728" s="58">
        <v>0</v>
      </c>
      <c r="O728" s="65">
        <v>1089.1200000000003</v>
      </c>
      <c r="P728" s="65">
        <v>47540.181718127336</v>
      </c>
      <c r="Q728" s="50">
        <v>45631.16</v>
      </c>
      <c r="R728" s="65">
        <v>0</v>
      </c>
      <c r="S728" s="65">
        <v>0</v>
      </c>
      <c r="T728" s="65">
        <v>1909.0217181273329</v>
      </c>
      <c r="U728" s="65">
        <v>0</v>
      </c>
      <c r="V728" s="65">
        <v>805.92</v>
      </c>
      <c r="W728" s="65">
        <v>0</v>
      </c>
      <c r="X728" s="65">
        <v>44825</v>
      </c>
      <c r="Y728" s="65">
        <v>0</v>
      </c>
      <c r="Z728" s="65">
        <v>0</v>
      </c>
      <c r="AA728" s="51">
        <v>0</v>
      </c>
      <c r="AB728" s="102" t="s">
        <v>68</v>
      </c>
      <c r="AC728" s="81">
        <f t="shared" si="36"/>
        <v>0</v>
      </c>
      <c r="AD728" s="82">
        <f t="shared" si="37"/>
        <v>0</v>
      </c>
      <c r="AE728" s="218">
        <v>-4.1835923481395886E-2</v>
      </c>
      <c r="AF728">
        <v>32</v>
      </c>
      <c r="AH728" t="str">
        <f t="shared" si="35"/>
        <v xml:space="preserve">Alauli </v>
      </c>
      <c r="AJ728" s="72">
        <v>0</v>
      </c>
      <c r="AK728" s="72"/>
      <c r="AL728" s="72"/>
      <c r="AM728" s="72"/>
    </row>
    <row r="729" spans="1:39" x14ac:dyDescent="0.25">
      <c r="A729" s="37" t="s">
        <v>62</v>
      </c>
      <c r="B729" s="66" t="s">
        <v>1566</v>
      </c>
      <c r="C729" s="41">
        <v>1054</v>
      </c>
      <c r="D729" s="41" t="s">
        <v>828</v>
      </c>
      <c r="E729" s="41">
        <v>10540010</v>
      </c>
      <c r="F729" s="85" t="s">
        <v>615</v>
      </c>
      <c r="G729" s="39" t="s">
        <v>635</v>
      </c>
      <c r="H729" s="52" t="s">
        <v>99</v>
      </c>
      <c r="I729" s="52">
        <v>2576.5</v>
      </c>
      <c r="J729" s="49">
        <v>104785.76999999999</v>
      </c>
      <c r="K729" s="58">
        <v>0</v>
      </c>
      <c r="L729" s="58">
        <v>0</v>
      </c>
      <c r="M729" s="58">
        <v>0</v>
      </c>
      <c r="N729" s="58">
        <v>0</v>
      </c>
      <c r="O729" s="65">
        <v>0</v>
      </c>
      <c r="P729" s="65">
        <v>0</v>
      </c>
      <c r="Q729" s="50">
        <v>104785.76999999999</v>
      </c>
      <c r="R729" s="65">
        <v>0</v>
      </c>
      <c r="S729" s="65">
        <v>0</v>
      </c>
      <c r="T729" s="65">
        <v>0</v>
      </c>
      <c r="U729" s="65">
        <v>0</v>
      </c>
      <c r="V729" s="65">
        <v>0</v>
      </c>
      <c r="W729" s="65">
        <v>0</v>
      </c>
      <c r="X729" s="65">
        <v>0</v>
      </c>
      <c r="Y729" s="65">
        <v>0</v>
      </c>
      <c r="Z729" s="65">
        <v>104785.76999999999</v>
      </c>
      <c r="AA729" s="51">
        <v>0</v>
      </c>
      <c r="AB729" s="102">
        <v>0</v>
      </c>
      <c r="AC729" s="81">
        <f t="shared" si="36"/>
        <v>0</v>
      </c>
      <c r="AD729" s="82">
        <f t="shared" si="37"/>
        <v>0</v>
      </c>
      <c r="AE729" s="218">
        <v>0</v>
      </c>
      <c r="AF729">
        <v>0</v>
      </c>
      <c r="AH729" t="str">
        <f t="shared" si="35"/>
        <v xml:space="preserve">Alauli </v>
      </c>
      <c r="AJ729" s="72">
        <v>0</v>
      </c>
      <c r="AK729" s="72"/>
      <c r="AL729" s="72"/>
      <c r="AM729" s="72"/>
    </row>
    <row r="730" spans="1:39" x14ac:dyDescent="0.25">
      <c r="A730" s="37" t="s">
        <v>62</v>
      </c>
      <c r="B730" s="66" t="s">
        <v>1566</v>
      </c>
      <c r="C730" s="41">
        <v>1054</v>
      </c>
      <c r="D730" s="41" t="s">
        <v>828</v>
      </c>
      <c r="E730" s="41">
        <v>10540012</v>
      </c>
      <c r="F730" s="85" t="s">
        <v>843</v>
      </c>
      <c r="G730" s="39" t="s">
        <v>635</v>
      </c>
      <c r="H730" s="52" t="s">
        <v>99</v>
      </c>
      <c r="I730" s="52">
        <v>276</v>
      </c>
      <c r="J730" s="49">
        <v>9575.11</v>
      </c>
      <c r="K730" s="58">
        <v>0</v>
      </c>
      <c r="L730" s="58">
        <v>0</v>
      </c>
      <c r="M730" s="58">
        <v>0</v>
      </c>
      <c r="N730" s="58">
        <v>0</v>
      </c>
      <c r="O730" s="65">
        <v>0</v>
      </c>
      <c r="P730" s="65">
        <v>0</v>
      </c>
      <c r="Q730" s="50">
        <v>9575.11</v>
      </c>
      <c r="R730" s="65">
        <v>0</v>
      </c>
      <c r="S730" s="65">
        <v>0</v>
      </c>
      <c r="T730" s="65">
        <v>0</v>
      </c>
      <c r="U730" s="65">
        <v>0</v>
      </c>
      <c r="V730" s="65">
        <v>0</v>
      </c>
      <c r="W730" s="65">
        <v>0</v>
      </c>
      <c r="X730" s="65">
        <v>0</v>
      </c>
      <c r="Y730" s="65">
        <v>0</v>
      </c>
      <c r="Z730" s="65">
        <v>9575.11</v>
      </c>
      <c r="AA730" s="51">
        <v>0</v>
      </c>
      <c r="AB730" s="102">
        <v>0</v>
      </c>
      <c r="AC730" s="81">
        <f t="shared" si="36"/>
        <v>294.19178550724644</v>
      </c>
      <c r="AD730" s="82">
        <f t="shared" si="37"/>
        <v>39.428571428571431</v>
      </c>
      <c r="AE730" s="218">
        <v>0</v>
      </c>
      <c r="AF730">
        <v>0</v>
      </c>
      <c r="AH730" t="str">
        <f t="shared" si="35"/>
        <v xml:space="preserve">Alauli </v>
      </c>
      <c r="AJ730" s="72">
        <v>0</v>
      </c>
      <c r="AK730" s="72"/>
      <c r="AL730" s="72"/>
      <c r="AM730" s="72"/>
    </row>
    <row r="731" spans="1:39" x14ac:dyDescent="0.25">
      <c r="A731" s="37" t="s">
        <v>62</v>
      </c>
      <c r="B731" s="66" t="s">
        <v>1566</v>
      </c>
      <c r="C731" s="41">
        <v>1054</v>
      </c>
      <c r="D731" s="41" t="s">
        <v>828</v>
      </c>
      <c r="E731" s="41">
        <v>10540014</v>
      </c>
      <c r="F731" s="85" t="s">
        <v>1147</v>
      </c>
      <c r="G731" s="39" t="s">
        <v>635</v>
      </c>
      <c r="H731" s="52" t="s">
        <v>99</v>
      </c>
      <c r="I731" s="52">
        <v>76.2</v>
      </c>
      <c r="J731" s="49">
        <v>3084.92</v>
      </c>
      <c r="K731" s="58">
        <v>0</v>
      </c>
      <c r="L731" s="58">
        <v>0</v>
      </c>
      <c r="M731" s="58">
        <v>0</v>
      </c>
      <c r="N731" s="58">
        <v>0</v>
      </c>
      <c r="O731" s="65">
        <v>0</v>
      </c>
      <c r="P731" s="65">
        <v>0</v>
      </c>
      <c r="Q731" s="50">
        <v>3084.92</v>
      </c>
      <c r="R731" s="65">
        <v>0</v>
      </c>
      <c r="S731" s="65">
        <v>0</v>
      </c>
      <c r="T731" s="65">
        <v>0</v>
      </c>
      <c r="U731" s="65">
        <v>0</v>
      </c>
      <c r="V731" s="65">
        <v>0</v>
      </c>
      <c r="W731" s="65">
        <v>0</v>
      </c>
      <c r="X731" s="65">
        <v>0</v>
      </c>
      <c r="Y731" s="65">
        <v>0</v>
      </c>
      <c r="Z731" s="65">
        <v>3084.92</v>
      </c>
      <c r="AA731" s="51">
        <v>0</v>
      </c>
      <c r="AB731" s="102">
        <v>0</v>
      </c>
      <c r="AC731" s="81">
        <f t="shared" si="36"/>
        <v>505.08480209973749</v>
      </c>
      <c r="AD731" s="82">
        <f t="shared" si="37"/>
        <v>10.885714285714286</v>
      </c>
      <c r="AE731" s="218">
        <v>0</v>
      </c>
      <c r="AF731">
        <v>0</v>
      </c>
      <c r="AH731" t="str">
        <f t="shared" si="35"/>
        <v xml:space="preserve">Alauli </v>
      </c>
      <c r="AJ731" s="72">
        <v>0</v>
      </c>
      <c r="AK731" s="72"/>
      <c r="AL731" s="72"/>
      <c r="AM731" s="72"/>
    </row>
    <row r="732" spans="1:39" x14ac:dyDescent="0.25">
      <c r="A732" s="37" t="s">
        <v>62</v>
      </c>
      <c r="B732" s="66" t="s">
        <v>1566</v>
      </c>
      <c r="C732" s="41">
        <v>1054</v>
      </c>
      <c r="D732" s="41" t="s">
        <v>828</v>
      </c>
      <c r="E732" s="41">
        <v>10540016</v>
      </c>
      <c r="F732" s="85" t="s">
        <v>1161</v>
      </c>
      <c r="G732" s="39" t="s">
        <v>93</v>
      </c>
      <c r="H732" s="52" t="s">
        <v>94</v>
      </c>
      <c r="I732" s="52">
        <v>276.8</v>
      </c>
      <c r="J732" s="49">
        <v>14468.999999999998</v>
      </c>
      <c r="K732" s="58">
        <v>279.53000000000003</v>
      </c>
      <c r="L732" s="58">
        <v>13942.908660859957</v>
      </c>
      <c r="M732" s="58">
        <v>0.72999999999999987</v>
      </c>
      <c r="N732" s="58">
        <v>36.594498448940001</v>
      </c>
      <c r="O732" s="65">
        <v>280.26000000000005</v>
      </c>
      <c r="P732" s="65">
        <v>13979.503159308897</v>
      </c>
      <c r="Q732" s="50">
        <v>13979.503159308897</v>
      </c>
      <c r="R732" s="65">
        <v>0</v>
      </c>
      <c r="S732" s="65">
        <v>36.594498448940001</v>
      </c>
      <c r="T732" s="65">
        <v>0</v>
      </c>
      <c r="U732" s="65">
        <v>0</v>
      </c>
      <c r="V732" s="65">
        <v>73.692833898304769</v>
      </c>
      <c r="W732" s="65">
        <v>0</v>
      </c>
      <c r="X732" s="65">
        <v>13868</v>
      </c>
      <c r="Y732" s="65">
        <v>0</v>
      </c>
      <c r="Z732" s="65">
        <v>0</v>
      </c>
      <c r="AA732" s="51">
        <v>491</v>
      </c>
      <c r="AB732" s="102">
        <v>0</v>
      </c>
      <c r="AC732" s="81">
        <f t="shared" si="36"/>
        <v>442.43358381502878</v>
      </c>
      <c r="AD732" s="82">
        <f t="shared" si="37"/>
        <v>39.542857142857144</v>
      </c>
      <c r="AE732" s="218">
        <v>3.3830730575098569E-2</v>
      </c>
      <c r="AF732">
        <v>8</v>
      </c>
      <c r="AH732" t="str">
        <f t="shared" si="35"/>
        <v xml:space="preserve">Alauli </v>
      </c>
      <c r="AJ732" s="72">
        <v>0</v>
      </c>
      <c r="AK732" s="72"/>
      <c r="AL732" s="72"/>
      <c r="AM732" s="72"/>
    </row>
    <row r="733" spans="1:39" x14ac:dyDescent="0.25">
      <c r="A733" s="37" t="s">
        <v>62</v>
      </c>
      <c r="B733" s="66" t="s">
        <v>1566</v>
      </c>
      <c r="C733" s="41">
        <v>1054</v>
      </c>
      <c r="D733" s="41" t="s">
        <v>828</v>
      </c>
      <c r="E733" s="41">
        <v>10540017</v>
      </c>
      <c r="F733" s="85" t="s">
        <v>1162</v>
      </c>
      <c r="G733" s="39" t="s">
        <v>93</v>
      </c>
      <c r="H733" s="52" t="s">
        <v>94</v>
      </c>
      <c r="I733" s="52">
        <v>753.8</v>
      </c>
      <c r="J733" s="49">
        <v>28542.259999999995</v>
      </c>
      <c r="K733" s="58">
        <v>813.34</v>
      </c>
      <c r="L733" s="58">
        <v>38003.033774275013</v>
      </c>
      <c r="M733" s="58">
        <v>0</v>
      </c>
      <c r="N733" s="58">
        <v>0</v>
      </c>
      <c r="O733" s="65">
        <v>813.34</v>
      </c>
      <c r="P733" s="65">
        <v>38003.033774275013</v>
      </c>
      <c r="Q733" s="50">
        <v>28542.259999999995</v>
      </c>
      <c r="R733" s="65">
        <v>0</v>
      </c>
      <c r="S733" s="65">
        <v>0</v>
      </c>
      <c r="T733" s="65">
        <v>9460.7737742750178</v>
      </c>
      <c r="U733" s="65">
        <v>0</v>
      </c>
      <c r="V733" s="65">
        <v>0</v>
      </c>
      <c r="W733" s="65">
        <v>0</v>
      </c>
      <c r="X733" s="65">
        <v>28542</v>
      </c>
      <c r="Y733" s="65">
        <v>0</v>
      </c>
      <c r="Z733" s="65">
        <v>0</v>
      </c>
      <c r="AA733" s="51">
        <v>0</v>
      </c>
      <c r="AB733" s="102">
        <v>0</v>
      </c>
      <c r="AC733" s="81">
        <f t="shared" si="36"/>
        <v>0</v>
      </c>
      <c r="AD733" s="82">
        <f t="shared" si="37"/>
        <v>0</v>
      </c>
      <c r="AE733" s="218">
        <v>-0.3314654752032607</v>
      </c>
      <c r="AF733">
        <v>2</v>
      </c>
      <c r="AH733" t="str">
        <f t="shared" si="35"/>
        <v xml:space="preserve">Alauli </v>
      </c>
      <c r="AJ733" s="72">
        <v>0</v>
      </c>
      <c r="AK733" s="72"/>
      <c r="AL733" s="72"/>
      <c r="AM733" s="72"/>
    </row>
    <row r="734" spans="1:39" x14ac:dyDescent="0.25">
      <c r="A734" s="37" t="s">
        <v>62</v>
      </c>
      <c r="B734" s="66" t="s">
        <v>1566</v>
      </c>
      <c r="C734" s="41">
        <v>1054</v>
      </c>
      <c r="D734" s="41" t="s">
        <v>828</v>
      </c>
      <c r="E734" s="41">
        <v>10540018</v>
      </c>
      <c r="F734" s="85" t="s">
        <v>1163</v>
      </c>
      <c r="G734" s="39" t="s">
        <v>93</v>
      </c>
      <c r="H734" s="52" t="s">
        <v>94</v>
      </c>
      <c r="I734" s="52">
        <v>179.49999999999997</v>
      </c>
      <c r="J734" s="49">
        <v>8042.0400000000009</v>
      </c>
      <c r="K734" s="58">
        <v>203.61</v>
      </c>
      <c r="L734" s="58">
        <v>8759.294088955965</v>
      </c>
      <c r="M734" s="58">
        <v>0</v>
      </c>
      <c r="N734" s="58">
        <v>0</v>
      </c>
      <c r="O734" s="65">
        <v>203.61</v>
      </c>
      <c r="P734" s="65">
        <v>8759.294088955965</v>
      </c>
      <c r="Q734" s="50">
        <v>8042.0400000000009</v>
      </c>
      <c r="R734" s="65">
        <v>0</v>
      </c>
      <c r="S734" s="65">
        <v>0</v>
      </c>
      <c r="T734" s="65">
        <v>717.25408895596411</v>
      </c>
      <c r="U734" s="65">
        <v>0</v>
      </c>
      <c r="V734" s="65">
        <v>0</v>
      </c>
      <c r="W734" s="65">
        <v>0</v>
      </c>
      <c r="X734" s="65">
        <v>8042</v>
      </c>
      <c r="Y734" s="65">
        <v>0</v>
      </c>
      <c r="Z734" s="65">
        <v>0</v>
      </c>
      <c r="AA734" s="51">
        <v>0</v>
      </c>
      <c r="AB734" s="102">
        <v>0</v>
      </c>
      <c r="AC734" s="81">
        <f t="shared" si="36"/>
        <v>466.39351754874662</v>
      </c>
      <c r="AD734" s="82">
        <f t="shared" si="37"/>
        <v>25.642857142857139</v>
      </c>
      <c r="AE734" s="218">
        <v>-8.9188077770809893E-2</v>
      </c>
      <c r="AF734">
        <v>6</v>
      </c>
      <c r="AH734" t="str">
        <f t="shared" si="35"/>
        <v xml:space="preserve">Alauli </v>
      </c>
      <c r="AJ734" s="72">
        <v>0</v>
      </c>
      <c r="AK734" s="72"/>
      <c r="AL734" s="72"/>
      <c r="AM734" s="72"/>
    </row>
    <row r="735" spans="1:39" x14ac:dyDescent="0.25">
      <c r="A735" s="37" t="s">
        <v>62</v>
      </c>
      <c r="B735" s="66" t="s">
        <v>1566</v>
      </c>
      <c r="C735" s="41">
        <v>1054</v>
      </c>
      <c r="D735" s="41" t="s">
        <v>828</v>
      </c>
      <c r="E735" s="41">
        <v>10540019</v>
      </c>
      <c r="F735" s="85" t="s">
        <v>1193</v>
      </c>
      <c r="G735" s="39" t="s">
        <v>93</v>
      </c>
      <c r="H735" s="52" t="s">
        <v>94</v>
      </c>
      <c r="I735" s="52">
        <v>189.8</v>
      </c>
      <c r="J735" s="49">
        <v>7019.1100000000006</v>
      </c>
      <c r="K735" s="58">
        <v>190.28999999999996</v>
      </c>
      <c r="L735" s="58">
        <v>6922.4206201920006</v>
      </c>
      <c r="M735" s="58">
        <v>0</v>
      </c>
      <c r="N735" s="58">
        <v>0</v>
      </c>
      <c r="O735" s="65">
        <v>190.28999999999996</v>
      </c>
      <c r="P735" s="65">
        <v>6922.4206201920006</v>
      </c>
      <c r="Q735" s="50">
        <v>6922.4206201920006</v>
      </c>
      <c r="R735" s="65">
        <v>0</v>
      </c>
      <c r="S735" s="65">
        <v>0</v>
      </c>
      <c r="T735" s="65">
        <v>0</v>
      </c>
      <c r="U735" s="65">
        <v>0</v>
      </c>
      <c r="V735" s="65">
        <v>0</v>
      </c>
      <c r="W735" s="65">
        <v>0</v>
      </c>
      <c r="X735" s="65">
        <v>6922</v>
      </c>
      <c r="Y735" s="65">
        <v>0</v>
      </c>
      <c r="Z735" s="65">
        <v>0</v>
      </c>
      <c r="AA735" s="51">
        <v>97</v>
      </c>
      <c r="AB735" s="102">
        <v>0</v>
      </c>
      <c r="AC735" s="81">
        <f t="shared" si="36"/>
        <v>377.36037112750262</v>
      </c>
      <c r="AD735" s="82">
        <f t="shared" si="37"/>
        <v>27.114285714285717</v>
      </c>
      <c r="AE735" s="218">
        <v>1.3775162350782365E-2</v>
      </c>
      <c r="AF735">
        <v>1</v>
      </c>
      <c r="AH735" t="str">
        <f t="shared" si="35"/>
        <v xml:space="preserve">Alauli </v>
      </c>
      <c r="AJ735" s="72">
        <v>0</v>
      </c>
      <c r="AK735" s="72"/>
      <c r="AL735" s="72"/>
      <c r="AM735" s="72"/>
    </row>
    <row r="736" spans="1:39" x14ac:dyDescent="0.25">
      <c r="A736" s="37" t="s">
        <v>62</v>
      </c>
      <c r="B736" s="66" t="s">
        <v>1566</v>
      </c>
      <c r="C736" s="41">
        <v>1054</v>
      </c>
      <c r="D736" s="41" t="s">
        <v>828</v>
      </c>
      <c r="E736" s="41">
        <v>10540020</v>
      </c>
      <c r="F736" s="85" t="s">
        <v>1164</v>
      </c>
      <c r="G736" s="39" t="s">
        <v>93</v>
      </c>
      <c r="H736" s="52" t="s">
        <v>94</v>
      </c>
      <c r="I736" s="52">
        <v>117.19999999999999</v>
      </c>
      <c r="J736" s="49">
        <v>4177.0599999999995</v>
      </c>
      <c r="K736" s="58">
        <v>123.41</v>
      </c>
      <c r="L736" s="58">
        <v>4343.9513077504453</v>
      </c>
      <c r="M736" s="58">
        <v>0</v>
      </c>
      <c r="N736" s="58">
        <v>0</v>
      </c>
      <c r="O736" s="65">
        <v>123.41</v>
      </c>
      <c r="P736" s="65">
        <v>4343.9513077504453</v>
      </c>
      <c r="Q736" s="50">
        <v>4177.0599999999995</v>
      </c>
      <c r="R736" s="65">
        <v>0</v>
      </c>
      <c r="S736" s="65">
        <v>0</v>
      </c>
      <c r="T736" s="65">
        <v>166.89130775044578</v>
      </c>
      <c r="U736" s="65">
        <v>0</v>
      </c>
      <c r="V736" s="65">
        <v>23.39</v>
      </c>
      <c r="W736" s="65">
        <v>0</v>
      </c>
      <c r="X736" s="65">
        <v>4153</v>
      </c>
      <c r="Y736" s="65">
        <v>0</v>
      </c>
      <c r="Z736" s="65">
        <v>0</v>
      </c>
      <c r="AA736" s="51">
        <v>1</v>
      </c>
      <c r="AB736" s="102" t="s">
        <v>68</v>
      </c>
      <c r="AC736" s="81">
        <f t="shared" si="36"/>
        <v>415.42501160409563</v>
      </c>
      <c r="AD736" s="82">
        <f t="shared" si="37"/>
        <v>16.74285714285714</v>
      </c>
      <c r="AE736" s="218">
        <v>-3.9954251973983085E-2</v>
      </c>
      <c r="AF736">
        <v>6</v>
      </c>
      <c r="AH736" t="str">
        <f t="shared" si="35"/>
        <v xml:space="preserve">Alauli </v>
      </c>
      <c r="AJ736" s="72">
        <v>0</v>
      </c>
      <c r="AK736" s="72"/>
      <c r="AL736" s="72"/>
      <c r="AM736" s="72"/>
    </row>
    <row r="737" spans="1:39" x14ac:dyDescent="0.25">
      <c r="A737" s="37" t="s">
        <v>62</v>
      </c>
      <c r="B737" s="66" t="s">
        <v>1566</v>
      </c>
      <c r="C737" s="41">
        <v>1054</v>
      </c>
      <c r="D737" s="41" t="s">
        <v>828</v>
      </c>
      <c r="E737" s="41">
        <v>10540021</v>
      </c>
      <c r="F737" s="85" t="s">
        <v>1165</v>
      </c>
      <c r="G737" s="39" t="s">
        <v>93</v>
      </c>
      <c r="H737" s="52" t="s">
        <v>99</v>
      </c>
      <c r="I737" s="52">
        <v>552.29999999999995</v>
      </c>
      <c r="J737" s="49">
        <v>20202.93</v>
      </c>
      <c r="K737" s="58">
        <v>0</v>
      </c>
      <c r="L737" s="58">
        <v>0</v>
      </c>
      <c r="M737" s="58">
        <v>0</v>
      </c>
      <c r="N737" s="58">
        <v>0</v>
      </c>
      <c r="O737" s="65">
        <v>0</v>
      </c>
      <c r="P737" s="65">
        <v>0</v>
      </c>
      <c r="Q737" s="50">
        <v>20202.93</v>
      </c>
      <c r="R737" s="65">
        <v>0</v>
      </c>
      <c r="S737" s="65">
        <v>0</v>
      </c>
      <c r="T737" s="65">
        <v>0</v>
      </c>
      <c r="U737" s="65">
        <v>0</v>
      </c>
      <c r="V737" s="65">
        <v>0</v>
      </c>
      <c r="W737" s="65">
        <v>0</v>
      </c>
      <c r="X737" s="65">
        <v>0</v>
      </c>
      <c r="Y737" s="65">
        <v>0</v>
      </c>
      <c r="Z737" s="65">
        <v>20202.93</v>
      </c>
      <c r="AA737" s="51">
        <v>0</v>
      </c>
      <c r="AB737" s="102">
        <v>0</v>
      </c>
      <c r="AC737" s="81">
        <f t="shared" si="36"/>
        <v>108.05622889733844</v>
      </c>
      <c r="AD737" s="82">
        <f t="shared" si="37"/>
        <v>78.899999999999991</v>
      </c>
      <c r="AE737" s="218">
        <v>0</v>
      </c>
      <c r="AF737">
        <v>0</v>
      </c>
      <c r="AH737" t="str">
        <f t="shared" si="35"/>
        <v xml:space="preserve">Alauli </v>
      </c>
      <c r="AJ737" s="72">
        <v>0</v>
      </c>
      <c r="AK737" s="72"/>
      <c r="AL737" s="72"/>
      <c r="AM737" s="72"/>
    </row>
    <row r="738" spans="1:39" x14ac:dyDescent="0.25">
      <c r="A738" s="37" t="s">
        <v>62</v>
      </c>
      <c r="B738" s="66" t="s">
        <v>1566</v>
      </c>
      <c r="C738" s="41">
        <v>1054</v>
      </c>
      <c r="D738" s="41" t="s">
        <v>828</v>
      </c>
      <c r="E738" s="41">
        <v>10540026</v>
      </c>
      <c r="F738" s="85" t="s">
        <v>1276</v>
      </c>
      <c r="G738" s="39" t="s">
        <v>93</v>
      </c>
      <c r="H738" s="52" t="s">
        <v>94</v>
      </c>
      <c r="I738" s="52">
        <v>583.30000000000007</v>
      </c>
      <c r="J738" s="49">
        <v>23899.48</v>
      </c>
      <c r="K738" s="58">
        <v>663.16000000000008</v>
      </c>
      <c r="L738" s="58">
        <v>27298.851916921205</v>
      </c>
      <c r="M738" s="58">
        <v>450.56</v>
      </c>
      <c r="N738" s="58">
        <v>19369.447124138998</v>
      </c>
      <c r="O738" s="65">
        <v>1113.72</v>
      </c>
      <c r="P738" s="65">
        <v>46668.299041060207</v>
      </c>
      <c r="Q738" s="50">
        <v>23899.48</v>
      </c>
      <c r="R738" s="65">
        <v>0</v>
      </c>
      <c r="S738" s="65">
        <v>0</v>
      </c>
      <c r="T738" s="65">
        <v>22768.819041060207</v>
      </c>
      <c r="U738" s="65">
        <v>0</v>
      </c>
      <c r="V738" s="65">
        <v>0</v>
      </c>
      <c r="W738" s="65">
        <v>0</v>
      </c>
      <c r="X738" s="65">
        <v>4529</v>
      </c>
      <c r="Y738" s="65">
        <v>19370</v>
      </c>
      <c r="Z738" s="65">
        <v>0</v>
      </c>
      <c r="AA738" s="51">
        <v>0</v>
      </c>
      <c r="AB738" s="102">
        <v>0</v>
      </c>
      <c r="AC738" s="81">
        <f t="shared" si="36"/>
        <v>95.630698302760109</v>
      </c>
      <c r="AD738" s="82">
        <f t="shared" si="37"/>
        <v>83.328571428571436</v>
      </c>
      <c r="AE738" s="218">
        <v>-0.9526909807686279</v>
      </c>
      <c r="AF738">
        <v>7</v>
      </c>
      <c r="AH738" t="str">
        <f t="shared" si="35"/>
        <v xml:space="preserve">Alauli </v>
      </c>
      <c r="AJ738" s="72">
        <v>0</v>
      </c>
      <c r="AK738" s="72"/>
      <c r="AL738" s="72"/>
      <c r="AM738" s="72"/>
    </row>
    <row r="739" spans="1:39" x14ac:dyDescent="0.25">
      <c r="A739" s="37" t="s">
        <v>62</v>
      </c>
      <c r="B739" s="66" t="s">
        <v>1566</v>
      </c>
      <c r="C739" s="41">
        <v>1054</v>
      </c>
      <c r="D739" s="41" t="s">
        <v>828</v>
      </c>
      <c r="E739" s="41">
        <v>10540027</v>
      </c>
      <c r="F739" s="85" t="s">
        <v>1291</v>
      </c>
      <c r="G739" s="39" t="s">
        <v>635</v>
      </c>
      <c r="H739" s="52" t="s">
        <v>99</v>
      </c>
      <c r="I739" s="52">
        <v>401.39999999999992</v>
      </c>
      <c r="J739" s="49">
        <v>15217.380000000001</v>
      </c>
      <c r="K739" s="58">
        <v>0</v>
      </c>
      <c r="L739" s="58">
        <v>0</v>
      </c>
      <c r="M739" s="58">
        <v>0</v>
      </c>
      <c r="N739" s="58">
        <v>0</v>
      </c>
      <c r="O739" s="65">
        <v>0</v>
      </c>
      <c r="P739" s="65">
        <v>0</v>
      </c>
      <c r="Q739" s="50">
        <v>15217.380000000001</v>
      </c>
      <c r="R739" s="65">
        <v>0</v>
      </c>
      <c r="S739" s="65">
        <v>0</v>
      </c>
      <c r="T739" s="65">
        <v>0</v>
      </c>
      <c r="U739" s="65">
        <v>0</v>
      </c>
      <c r="V739" s="65">
        <v>0</v>
      </c>
      <c r="W739" s="65">
        <v>0</v>
      </c>
      <c r="X739" s="65">
        <v>0</v>
      </c>
      <c r="Y739" s="65">
        <v>0</v>
      </c>
      <c r="Z739" s="65">
        <v>15217.380000000001</v>
      </c>
      <c r="AA739" s="51">
        <v>0</v>
      </c>
      <c r="AB739" s="102">
        <v>0</v>
      </c>
      <c r="AC739" s="81">
        <f t="shared" si="36"/>
        <v>226.40307264574002</v>
      </c>
      <c r="AD739" s="82">
        <f t="shared" si="37"/>
        <v>57.342857142857135</v>
      </c>
      <c r="AE739" s="218">
        <v>0</v>
      </c>
      <c r="AF739">
        <v>0</v>
      </c>
      <c r="AH739" t="str">
        <f t="shared" si="35"/>
        <v xml:space="preserve">Alauli </v>
      </c>
      <c r="AJ739" s="72">
        <v>0</v>
      </c>
      <c r="AK739" s="72"/>
      <c r="AL739" s="72"/>
      <c r="AM739" s="72"/>
    </row>
    <row r="740" spans="1:39" x14ac:dyDescent="0.25">
      <c r="A740" s="37" t="s">
        <v>62</v>
      </c>
      <c r="B740" s="66" t="s">
        <v>1566</v>
      </c>
      <c r="C740" s="41">
        <v>1054</v>
      </c>
      <c r="D740" s="41" t="s">
        <v>828</v>
      </c>
      <c r="E740" s="41">
        <v>10540032</v>
      </c>
      <c r="F740" s="85" t="s">
        <v>1226</v>
      </c>
      <c r="G740" s="39" t="s">
        <v>93</v>
      </c>
      <c r="H740" s="52" t="s">
        <v>94</v>
      </c>
      <c r="I740" s="52">
        <v>202.3</v>
      </c>
      <c r="J740" s="49">
        <v>7552.93</v>
      </c>
      <c r="K740" s="58">
        <v>450</v>
      </c>
      <c r="L740" s="58">
        <v>18505.577574000003</v>
      </c>
      <c r="M740" s="58">
        <v>0</v>
      </c>
      <c r="N740" s="58">
        <v>0</v>
      </c>
      <c r="O740" s="65">
        <v>450</v>
      </c>
      <c r="P740" s="65">
        <v>18505.577574000003</v>
      </c>
      <c r="Q740" s="50">
        <v>7552.93</v>
      </c>
      <c r="R740" s="65">
        <v>0</v>
      </c>
      <c r="S740" s="65">
        <v>0</v>
      </c>
      <c r="T740" s="65">
        <v>10952.647574000002</v>
      </c>
      <c r="U740" s="65">
        <v>0</v>
      </c>
      <c r="V740" s="65">
        <v>0</v>
      </c>
      <c r="W740" s="65">
        <v>0</v>
      </c>
      <c r="X740" s="65">
        <v>7553</v>
      </c>
      <c r="Y740" s="65">
        <v>0</v>
      </c>
      <c r="Z740" s="65">
        <v>0</v>
      </c>
      <c r="AA740" s="51">
        <v>0</v>
      </c>
      <c r="AB740" s="102">
        <v>0</v>
      </c>
      <c r="AC740" s="81">
        <f t="shared" si="36"/>
        <v>371.6355176470588</v>
      </c>
      <c r="AD740" s="82">
        <f t="shared" si="37"/>
        <v>28.900000000000002</v>
      </c>
      <c r="AE740" s="218">
        <v>-1.4501190364534031</v>
      </c>
      <c r="AF740">
        <v>1</v>
      </c>
      <c r="AH740" t="str">
        <f t="shared" si="35"/>
        <v xml:space="preserve">Alauli </v>
      </c>
      <c r="AJ740" s="72">
        <v>0</v>
      </c>
      <c r="AK740" s="72"/>
      <c r="AL740" s="72"/>
      <c r="AM740" s="72"/>
    </row>
    <row r="741" spans="1:39" x14ac:dyDescent="0.25">
      <c r="A741" s="37" t="s">
        <v>62</v>
      </c>
      <c r="B741" s="66" t="s">
        <v>1566</v>
      </c>
      <c r="C741" s="41">
        <v>1054</v>
      </c>
      <c r="D741" s="41" t="s">
        <v>828</v>
      </c>
      <c r="E741" s="41">
        <v>10540034</v>
      </c>
      <c r="F741" s="85" t="s">
        <v>1277</v>
      </c>
      <c r="G741" s="39" t="s">
        <v>93</v>
      </c>
      <c r="H741" s="52" t="s">
        <v>94</v>
      </c>
      <c r="I741" s="52">
        <v>282.60000000000002</v>
      </c>
      <c r="J741" s="49">
        <v>10268.19</v>
      </c>
      <c r="K741" s="58">
        <v>385</v>
      </c>
      <c r="L741" s="58">
        <v>15720.311970000001</v>
      </c>
      <c r="M741" s="58">
        <v>0</v>
      </c>
      <c r="N741" s="58">
        <v>0</v>
      </c>
      <c r="O741" s="65">
        <v>385</v>
      </c>
      <c r="P741" s="65">
        <v>15720.311970000001</v>
      </c>
      <c r="Q741" s="50">
        <v>10268.19</v>
      </c>
      <c r="R741" s="65">
        <v>0</v>
      </c>
      <c r="S741" s="65">
        <v>0</v>
      </c>
      <c r="T741" s="65">
        <v>5452.1219700000001</v>
      </c>
      <c r="U741" s="65">
        <v>0</v>
      </c>
      <c r="V741" s="65">
        <v>0</v>
      </c>
      <c r="W741" s="65">
        <v>0</v>
      </c>
      <c r="X741" s="65">
        <v>10268</v>
      </c>
      <c r="Y741" s="65">
        <v>0</v>
      </c>
      <c r="Z741" s="65">
        <v>0</v>
      </c>
      <c r="AA741" s="51">
        <v>0</v>
      </c>
      <c r="AB741" s="102">
        <v>0</v>
      </c>
      <c r="AC741" s="81">
        <f t="shared" si="36"/>
        <v>303.3221872611465</v>
      </c>
      <c r="AD741" s="82">
        <f t="shared" si="37"/>
        <v>40.371428571428574</v>
      </c>
      <c r="AE741" s="218">
        <v>-0.53097205739278297</v>
      </c>
      <c r="AF741">
        <v>1</v>
      </c>
      <c r="AH741" t="str">
        <f t="shared" si="35"/>
        <v xml:space="preserve">Alauli </v>
      </c>
      <c r="AJ741" s="72">
        <v>0</v>
      </c>
      <c r="AK741" s="72"/>
      <c r="AL741" s="72"/>
      <c r="AM741" s="72"/>
    </row>
    <row r="742" spans="1:39" x14ac:dyDescent="0.25">
      <c r="A742" s="37" t="s">
        <v>62</v>
      </c>
      <c r="B742" s="66" t="s">
        <v>1566</v>
      </c>
      <c r="C742" s="41">
        <v>1054</v>
      </c>
      <c r="D742" s="41" t="s">
        <v>828</v>
      </c>
      <c r="E742" s="41">
        <v>10540039</v>
      </c>
      <c r="F742" s="85" t="s">
        <v>1295</v>
      </c>
      <c r="G742" s="39" t="s">
        <v>635</v>
      </c>
      <c r="H742" s="52" t="s">
        <v>99</v>
      </c>
      <c r="I742" s="52">
        <v>605.90000000000009</v>
      </c>
      <c r="J742" s="49">
        <v>18954.030000000002</v>
      </c>
      <c r="K742" s="58">
        <v>0</v>
      </c>
      <c r="L742" s="58">
        <v>0</v>
      </c>
      <c r="M742" s="58">
        <v>0</v>
      </c>
      <c r="N742" s="58">
        <v>0</v>
      </c>
      <c r="O742" s="65">
        <v>0</v>
      </c>
      <c r="P742" s="65">
        <v>0</v>
      </c>
      <c r="Q742" s="50">
        <v>18954.030000000002</v>
      </c>
      <c r="R742" s="65">
        <v>0</v>
      </c>
      <c r="S742" s="65">
        <v>0</v>
      </c>
      <c r="T742" s="65">
        <v>0</v>
      </c>
      <c r="U742" s="65">
        <v>0</v>
      </c>
      <c r="V742" s="65">
        <v>0</v>
      </c>
      <c r="W742" s="65">
        <v>0</v>
      </c>
      <c r="X742" s="65">
        <v>0</v>
      </c>
      <c r="Y742" s="65">
        <v>0</v>
      </c>
      <c r="Z742" s="65">
        <v>18954.030000000002</v>
      </c>
      <c r="AA742" s="51">
        <v>0</v>
      </c>
      <c r="AB742" s="102">
        <v>0</v>
      </c>
      <c r="AC742" s="81">
        <f t="shared" si="36"/>
        <v>58.87355084997521</v>
      </c>
      <c r="AD742" s="82">
        <f t="shared" si="37"/>
        <v>86.557142857142864</v>
      </c>
      <c r="AE742" s="218">
        <v>0</v>
      </c>
      <c r="AF742">
        <v>0</v>
      </c>
      <c r="AH742" t="str">
        <f t="shared" si="35"/>
        <v xml:space="preserve">Alauli </v>
      </c>
      <c r="AJ742" s="72">
        <v>0</v>
      </c>
      <c r="AK742" s="72"/>
      <c r="AL742" s="72"/>
      <c r="AM742" s="72"/>
    </row>
    <row r="743" spans="1:39" x14ac:dyDescent="0.25">
      <c r="A743" s="37" t="s">
        <v>62</v>
      </c>
      <c r="B743" s="66" t="s">
        <v>1566</v>
      </c>
      <c r="C743" s="41">
        <v>1054</v>
      </c>
      <c r="D743" s="41" t="s">
        <v>828</v>
      </c>
      <c r="E743" s="41">
        <v>10540041</v>
      </c>
      <c r="F743" s="85" t="s">
        <v>1332</v>
      </c>
      <c r="G743" s="39" t="s">
        <v>93</v>
      </c>
      <c r="H743" s="52" t="s">
        <v>99</v>
      </c>
      <c r="I743" s="52">
        <v>130.80000000000001</v>
      </c>
      <c r="J743" s="49">
        <v>4633.16</v>
      </c>
      <c r="K743" s="58">
        <v>0</v>
      </c>
      <c r="L743" s="58">
        <v>0</v>
      </c>
      <c r="M743" s="58">
        <v>0</v>
      </c>
      <c r="N743" s="58">
        <v>0</v>
      </c>
      <c r="O743" s="65">
        <v>0</v>
      </c>
      <c r="P743" s="65">
        <v>0</v>
      </c>
      <c r="Q743" s="50">
        <v>4633.16</v>
      </c>
      <c r="R743" s="65">
        <v>0</v>
      </c>
      <c r="S743" s="65">
        <v>0</v>
      </c>
      <c r="T743" s="65">
        <v>0</v>
      </c>
      <c r="U743" s="65">
        <v>0</v>
      </c>
      <c r="V743" s="65">
        <v>92.503694117647058</v>
      </c>
      <c r="W743" s="65">
        <v>0</v>
      </c>
      <c r="X743" s="65">
        <v>0</v>
      </c>
      <c r="Y743" s="65">
        <v>0</v>
      </c>
      <c r="Z743" s="65">
        <v>4540.6563058823531</v>
      </c>
      <c r="AA743" s="51">
        <v>0</v>
      </c>
      <c r="AB743" s="102">
        <v>0</v>
      </c>
      <c r="AC743" s="81">
        <f t="shared" si="36"/>
        <v>403.24077553516815</v>
      </c>
      <c r="AD743" s="82">
        <f t="shared" si="37"/>
        <v>18.685714285714287</v>
      </c>
      <c r="AE743" s="218">
        <v>0</v>
      </c>
      <c r="AF743">
        <v>0</v>
      </c>
      <c r="AH743" t="str">
        <f t="shared" si="35"/>
        <v xml:space="preserve">Alauli </v>
      </c>
      <c r="AJ743" s="72">
        <v>0</v>
      </c>
      <c r="AK743" s="72"/>
      <c r="AL743" s="72"/>
      <c r="AM743" s="72"/>
    </row>
    <row r="744" spans="1:39" x14ac:dyDescent="0.25">
      <c r="A744" s="37" t="s">
        <v>62</v>
      </c>
      <c r="B744" s="66" t="s">
        <v>1566</v>
      </c>
      <c r="C744" s="41">
        <v>1054</v>
      </c>
      <c r="D744" s="41" t="s">
        <v>828</v>
      </c>
      <c r="E744" s="41">
        <v>10540042</v>
      </c>
      <c r="F744" s="85" t="s">
        <v>1363</v>
      </c>
      <c r="G744" s="39" t="s">
        <v>93</v>
      </c>
      <c r="H744" s="52" t="s">
        <v>94</v>
      </c>
      <c r="I744" s="52">
        <v>1258.5000000000002</v>
      </c>
      <c r="J744" s="49">
        <v>57594.18</v>
      </c>
      <c r="K744" s="58">
        <v>1457.4099999999999</v>
      </c>
      <c r="L744" s="58">
        <v>85425.063854958018</v>
      </c>
      <c r="M744" s="58">
        <v>0</v>
      </c>
      <c r="N744" s="58">
        <v>0</v>
      </c>
      <c r="O744" s="65">
        <v>1457.4099999999999</v>
      </c>
      <c r="P744" s="65">
        <v>85425.063854958018</v>
      </c>
      <c r="Q744" s="50">
        <v>57594.18</v>
      </c>
      <c r="R744" s="65">
        <v>0</v>
      </c>
      <c r="S744" s="65">
        <v>0</v>
      </c>
      <c r="T744" s="65">
        <v>27830.883854958018</v>
      </c>
      <c r="U744" s="65">
        <v>0</v>
      </c>
      <c r="V744" s="65">
        <v>0</v>
      </c>
      <c r="W744" s="65">
        <v>0</v>
      </c>
      <c r="X744" s="65">
        <v>57594</v>
      </c>
      <c r="Y744" s="65">
        <v>0</v>
      </c>
      <c r="Z744" s="65">
        <v>0</v>
      </c>
      <c r="AA744" s="51">
        <v>0</v>
      </c>
      <c r="AB744" s="102">
        <v>0</v>
      </c>
      <c r="AC744" s="81">
        <f t="shared" si="36"/>
        <v>0</v>
      </c>
      <c r="AD744" s="82">
        <f t="shared" si="37"/>
        <v>0</v>
      </c>
      <c r="AE744" s="218">
        <v>-0.48322389267384341</v>
      </c>
      <c r="AF744">
        <v>1</v>
      </c>
      <c r="AH744" t="str">
        <f t="shared" si="35"/>
        <v xml:space="preserve">Alauli </v>
      </c>
      <c r="AJ744" s="72">
        <v>0</v>
      </c>
      <c r="AK744" s="72"/>
      <c r="AL744" s="72"/>
      <c r="AM744" s="72"/>
    </row>
    <row r="745" spans="1:39" x14ac:dyDescent="0.25">
      <c r="A745" s="37" t="s">
        <v>62</v>
      </c>
      <c r="B745" s="66" t="s">
        <v>1566</v>
      </c>
      <c r="C745" s="41">
        <v>1054</v>
      </c>
      <c r="D745" s="41" t="s">
        <v>828</v>
      </c>
      <c r="E745" s="41">
        <v>10540044</v>
      </c>
      <c r="F745" s="85" t="s">
        <v>1370</v>
      </c>
      <c r="G745" s="39" t="s">
        <v>93</v>
      </c>
      <c r="H745" s="52" t="s">
        <v>94</v>
      </c>
      <c r="I745" s="52">
        <v>432.6</v>
      </c>
      <c r="J745" s="49">
        <v>15950.36</v>
      </c>
      <c r="K745" s="58">
        <v>580</v>
      </c>
      <c r="L745" s="58">
        <v>23806.839078000001</v>
      </c>
      <c r="M745" s="58">
        <v>0</v>
      </c>
      <c r="N745" s="58">
        <v>0</v>
      </c>
      <c r="O745" s="65">
        <v>580</v>
      </c>
      <c r="P745" s="65">
        <v>23806.839078000001</v>
      </c>
      <c r="Q745" s="50">
        <v>15950.36</v>
      </c>
      <c r="R745" s="65">
        <v>0</v>
      </c>
      <c r="S745" s="65">
        <v>0</v>
      </c>
      <c r="T745" s="65">
        <v>7856.4790780000003</v>
      </c>
      <c r="U745" s="65">
        <v>0</v>
      </c>
      <c r="V745" s="65">
        <v>0</v>
      </c>
      <c r="W745" s="65">
        <v>0</v>
      </c>
      <c r="X745" s="65">
        <v>15950</v>
      </c>
      <c r="Y745" s="65">
        <v>0</v>
      </c>
      <c r="Z745" s="65">
        <v>0</v>
      </c>
      <c r="AA745" s="51">
        <v>0</v>
      </c>
      <c r="AB745" s="102">
        <v>0</v>
      </c>
      <c r="AC745" s="81">
        <f t="shared" si="36"/>
        <v>197.18568025889968</v>
      </c>
      <c r="AD745" s="82">
        <f t="shared" si="37"/>
        <v>61.800000000000004</v>
      </c>
      <c r="AE745" s="218">
        <v>-0.49255810389232596</v>
      </c>
      <c r="AF745">
        <v>1</v>
      </c>
      <c r="AH745" t="str">
        <f t="shared" si="35"/>
        <v xml:space="preserve">Alauli </v>
      </c>
      <c r="AJ745" s="72">
        <v>0</v>
      </c>
      <c r="AK745" s="72"/>
      <c r="AL745" s="72"/>
      <c r="AM745" s="72"/>
    </row>
    <row r="746" spans="1:39" x14ac:dyDescent="0.25">
      <c r="A746" s="37" t="s">
        <v>62</v>
      </c>
      <c r="B746" s="66" t="s">
        <v>1566</v>
      </c>
      <c r="C746" s="41">
        <v>1054</v>
      </c>
      <c r="D746" s="41" t="s">
        <v>828</v>
      </c>
      <c r="E746" s="41">
        <v>10540045</v>
      </c>
      <c r="F746" s="85" t="s">
        <v>1393</v>
      </c>
      <c r="G746" s="39" t="s">
        <v>635</v>
      </c>
      <c r="H746" s="52" t="s">
        <v>99</v>
      </c>
      <c r="I746" s="52">
        <v>472.5</v>
      </c>
      <c r="J746" s="49">
        <v>20595.060000000005</v>
      </c>
      <c r="K746" s="58">
        <v>0</v>
      </c>
      <c r="L746" s="58">
        <v>0</v>
      </c>
      <c r="M746" s="58">
        <v>0</v>
      </c>
      <c r="N746" s="58">
        <v>0</v>
      </c>
      <c r="O746" s="65">
        <v>0</v>
      </c>
      <c r="P746" s="65">
        <v>0</v>
      </c>
      <c r="Q746" s="50">
        <v>20595.060000000005</v>
      </c>
      <c r="R746" s="65">
        <v>0</v>
      </c>
      <c r="S746" s="65">
        <v>0</v>
      </c>
      <c r="T746" s="65">
        <v>0</v>
      </c>
      <c r="U746" s="65">
        <v>0</v>
      </c>
      <c r="V746" s="65">
        <v>0</v>
      </c>
      <c r="W746" s="65">
        <v>0</v>
      </c>
      <c r="X746" s="65">
        <v>0</v>
      </c>
      <c r="Y746" s="65">
        <v>0</v>
      </c>
      <c r="Z746" s="65">
        <v>20595.060000000005</v>
      </c>
      <c r="AA746" s="51">
        <v>0</v>
      </c>
      <c r="AB746" s="102">
        <v>0</v>
      </c>
      <c r="AC746" s="81">
        <f t="shared" si="36"/>
        <v>198.32280000000006</v>
      </c>
      <c r="AD746" s="82">
        <f t="shared" si="37"/>
        <v>67.5</v>
      </c>
      <c r="AE746" s="218">
        <v>0</v>
      </c>
      <c r="AF746">
        <v>0</v>
      </c>
      <c r="AH746" t="str">
        <f t="shared" si="35"/>
        <v xml:space="preserve">Alauli </v>
      </c>
      <c r="AJ746" s="72">
        <v>0</v>
      </c>
      <c r="AK746" s="72"/>
      <c r="AL746" s="72"/>
      <c r="AM746" s="72"/>
    </row>
    <row r="747" spans="1:39" x14ac:dyDescent="0.25">
      <c r="A747" s="37" t="s">
        <v>62</v>
      </c>
      <c r="B747" s="66" t="s">
        <v>1566</v>
      </c>
      <c r="C747" s="41">
        <v>1054</v>
      </c>
      <c r="D747" s="41" t="s">
        <v>828</v>
      </c>
      <c r="E747" s="41">
        <v>10540046</v>
      </c>
      <c r="F747" s="85" t="s">
        <v>1478</v>
      </c>
      <c r="G747" s="39" t="s">
        <v>93</v>
      </c>
      <c r="H747" s="52" t="s">
        <v>94</v>
      </c>
      <c r="I747" s="52">
        <v>259.7</v>
      </c>
      <c r="J747" s="49">
        <v>11740.91</v>
      </c>
      <c r="K747" s="58">
        <v>287.49</v>
      </c>
      <c r="L747" s="58">
        <v>16594.83968631411</v>
      </c>
      <c r="M747" s="58">
        <v>0</v>
      </c>
      <c r="N747" s="58">
        <v>0</v>
      </c>
      <c r="O747" s="65">
        <v>287.49</v>
      </c>
      <c r="P747" s="65">
        <v>16594.83968631411</v>
      </c>
      <c r="Q747" s="50">
        <v>11740.91</v>
      </c>
      <c r="R747" s="65">
        <v>0</v>
      </c>
      <c r="S747" s="65">
        <v>0</v>
      </c>
      <c r="T747" s="65">
        <v>4853.9296863141099</v>
      </c>
      <c r="U747" s="65">
        <v>0</v>
      </c>
      <c r="V747" s="65">
        <v>0</v>
      </c>
      <c r="W747" s="65">
        <v>0</v>
      </c>
      <c r="X747" s="65">
        <v>11741</v>
      </c>
      <c r="Y747" s="65">
        <v>0</v>
      </c>
      <c r="Z747" s="65">
        <v>0</v>
      </c>
      <c r="AA747" s="51">
        <v>0</v>
      </c>
      <c r="AB747" s="102" t="s">
        <v>1427</v>
      </c>
      <c r="AC747" s="81">
        <f t="shared" si="36"/>
        <v>398.11495363881403</v>
      </c>
      <c r="AD747" s="82">
        <f t="shared" si="37"/>
        <v>37.1</v>
      </c>
      <c r="AE747" s="218">
        <v>-0.4134202277603789</v>
      </c>
      <c r="AF747">
        <v>1</v>
      </c>
      <c r="AH747" t="str">
        <f t="shared" si="35"/>
        <v xml:space="preserve">Alauli </v>
      </c>
      <c r="AJ747" s="72">
        <v>0</v>
      </c>
      <c r="AK747" s="72"/>
      <c r="AL747" s="72"/>
      <c r="AM747" s="72"/>
    </row>
    <row r="748" spans="1:39" x14ac:dyDescent="0.25">
      <c r="A748" s="37" t="s">
        <v>62</v>
      </c>
      <c r="B748" s="66" t="s">
        <v>1566</v>
      </c>
      <c r="C748" s="41">
        <v>1054</v>
      </c>
      <c r="D748" s="41" t="s">
        <v>828</v>
      </c>
      <c r="E748" s="41">
        <v>10540048</v>
      </c>
      <c r="F748" s="85" t="s">
        <v>1502</v>
      </c>
      <c r="G748" s="39" t="s">
        <v>635</v>
      </c>
      <c r="H748" s="52" t="s">
        <v>99</v>
      </c>
      <c r="I748" s="52">
        <v>566.70000000000005</v>
      </c>
      <c r="J748" s="49">
        <v>23118.62</v>
      </c>
      <c r="K748" s="58">
        <v>0</v>
      </c>
      <c r="L748" s="58">
        <v>0</v>
      </c>
      <c r="M748" s="58">
        <v>0</v>
      </c>
      <c r="N748" s="58">
        <v>0</v>
      </c>
      <c r="O748" s="65">
        <v>0</v>
      </c>
      <c r="P748" s="65">
        <v>0</v>
      </c>
      <c r="Q748" s="50">
        <v>23118.62</v>
      </c>
      <c r="R748" s="65">
        <v>0</v>
      </c>
      <c r="S748" s="65">
        <v>0</v>
      </c>
      <c r="T748" s="65">
        <v>0</v>
      </c>
      <c r="U748" s="65">
        <v>0</v>
      </c>
      <c r="V748" s="65">
        <v>0</v>
      </c>
      <c r="W748" s="65">
        <v>0</v>
      </c>
      <c r="X748" s="65">
        <v>0</v>
      </c>
      <c r="Y748" s="65">
        <v>0</v>
      </c>
      <c r="Z748" s="65">
        <v>23118.62</v>
      </c>
      <c r="AA748" s="51">
        <v>0</v>
      </c>
      <c r="AB748" s="102">
        <v>0</v>
      </c>
      <c r="AC748" s="81">
        <f t="shared" si="36"/>
        <v>108.75990986412555</v>
      </c>
      <c r="AD748" s="82">
        <f t="shared" si="37"/>
        <v>80.95714285714287</v>
      </c>
      <c r="AE748" s="218">
        <v>0</v>
      </c>
      <c r="AF748">
        <v>0</v>
      </c>
      <c r="AH748" t="str">
        <f t="shared" si="35"/>
        <v xml:space="preserve">Alauli </v>
      </c>
      <c r="AJ748" s="72">
        <v>0</v>
      </c>
      <c r="AK748" s="72"/>
      <c r="AL748" s="72"/>
      <c r="AM748" s="72"/>
    </row>
    <row r="749" spans="1:39" x14ac:dyDescent="0.25">
      <c r="A749" s="37" t="s">
        <v>62</v>
      </c>
      <c r="B749" s="66" t="s">
        <v>1566</v>
      </c>
      <c r="C749" s="41">
        <v>1055</v>
      </c>
      <c r="D749" s="41" t="s">
        <v>1148</v>
      </c>
      <c r="E749" s="41">
        <v>10550001</v>
      </c>
      <c r="F749" s="85" t="s">
        <v>1196</v>
      </c>
      <c r="G749" s="39" t="s">
        <v>635</v>
      </c>
      <c r="H749" s="52" t="s">
        <v>99</v>
      </c>
      <c r="I749" s="52">
        <v>12115</v>
      </c>
      <c r="J749" s="49">
        <v>444287.83000000007</v>
      </c>
      <c r="K749" s="58">
        <v>0</v>
      </c>
      <c r="L749" s="58">
        <v>0</v>
      </c>
      <c r="M749" s="58">
        <v>0</v>
      </c>
      <c r="N749" s="58">
        <v>0</v>
      </c>
      <c r="O749" s="65">
        <v>0</v>
      </c>
      <c r="P749" s="65">
        <v>0</v>
      </c>
      <c r="Q749" s="50">
        <v>444287.83000000007</v>
      </c>
      <c r="R749" s="65">
        <v>0</v>
      </c>
      <c r="S749" s="65">
        <v>0</v>
      </c>
      <c r="T749" s="65">
        <v>0</v>
      </c>
      <c r="U749" s="65">
        <v>0</v>
      </c>
      <c r="V749" s="65">
        <v>0</v>
      </c>
      <c r="W749" s="65">
        <v>0</v>
      </c>
      <c r="X749" s="65">
        <v>0</v>
      </c>
      <c r="Y749" s="65">
        <v>0</v>
      </c>
      <c r="Z749" s="65">
        <v>444287.83000000007</v>
      </c>
      <c r="AA749" s="51">
        <v>0</v>
      </c>
      <c r="AB749" s="102">
        <v>0</v>
      </c>
      <c r="AC749" s="81">
        <f t="shared" si="36"/>
        <v>0</v>
      </c>
      <c r="AD749" s="82">
        <f t="shared" si="37"/>
        <v>0</v>
      </c>
      <c r="AE749" s="218">
        <v>0</v>
      </c>
      <c r="AF749">
        <v>0</v>
      </c>
      <c r="AH749" t="str">
        <f t="shared" si="35"/>
        <v>Matihani</v>
      </c>
      <c r="AJ749" s="72">
        <v>0</v>
      </c>
      <c r="AK749" s="72"/>
      <c r="AL749" s="72"/>
      <c r="AM749" s="72"/>
    </row>
    <row r="750" spans="1:39" x14ac:dyDescent="0.25">
      <c r="A750" s="37" t="s">
        <v>62</v>
      </c>
      <c r="B750" s="66" t="s">
        <v>1566</v>
      </c>
      <c r="C750" s="41">
        <v>1055</v>
      </c>
      <c r="D750" s="41" t="s">
        <v>1148</v>
      </c>
      <c r="E750" s="41">
        <v>10550002</v>
      </c>
      <c r="F750" s="85" t="s">
        <v>1218</v>
      </c>
      <c r="G750" s="39" t="s">
        <v>635</v>
      </c>
      <c r="H750" s="52" t="s">
        <v>99</v>
      </c>
      <c r="I750" s="52">
        <v>252.5</v>
      </c>
      <c r="J750" s="49">
        <v>9054.18</v>
      </c>
      <c r="K750" s="58">
        <v>0</v>
      </c>
      <c r="L750" s="58">
        <v>0</v>
      </c>
      <c r="M750" s="58">
        <v>0</v>
      </c>
      <c r="N750" s="58">
        <v>0</v>
      </c>
      <c r="O750" s="65">
        <v>0</v>
      </c>
      <c r="P750" s="65">
        <v>0</v>
      </c>
      <c r="Q750" s="50">
        <v>9054.18</v>
      </c>
      <c r="R750" s="65">
        <v>0</v>
      </c>
      <c r="S750" s="65">
        <v>0</v>
      </c>
      <c r="T750" s="65">
        <v>0</v>
      </c>
      <c r="U750" s="65">
        <v>0</v>
      </c>
      <c r="V750" s="65">
        <v>0</v>
      </c>
      <c r="W750" s="65">
        <v>0</v>
      </c>
      <c r="X750" s="65">
        <v>0</v>
      </c>
      <c r="Y750" s="65">
        <v>0</v>
      </c>
      <c r="Z750" s="65">
        <v>9054.18</v>
      </c>
      <c r="AA750" s="51">
        <v>0</v>
      </c>
      <c r="AB750" s="102">
        <v>0</v>
      </c>
      <c r="AC750" s="81">
        <f t="shared" si="36"/>
        <v>320.93034059405937</v>
      </c>
      <c r="AD750" s="82">
        <f t="shared" si="37"/>
        <v>36.071428571428569</v>
      </c>
      <c r="AE750" s="218">
        <v>0</v>
      </c>
      <c r="AF750">
        <v>0</v>
      </c>
      <c r="AH750" t="str">
        <f t="shared" si="35"/>
        <v>Matihani</v>
      </c>
      <c r="AJ750" s="72">
        <v>0</v>
      </c>
      <c r="AK750" s="72"/>
      <c r="AL750" s="72"/>
      <c r="AM750" s="72"/>
    </row>
    <row r="751" spans="1:39" x14ac:dyDescent="0.25">
      <c r="A751" s="37" t="s">
        <v>62</v>
      </c>
      <c r="B751" s="66" t="s">
        <v>1566</v>
      </c>
      <c r="C751" s="41">
        <v>1055</v>
      </c>
      <c r="D751" s="41" t="s">
        <v>1148</v>
      </c>
      <c r="E751" s="41">
        <v>10550005</v>
      </c>
      <c r="F751" s="85" t="s">
        <v>1428</v>
      </c>
      <c r="G751" s="39" t="s">
        <v>93</v>
      </c>
      <c r="H751" s="52" t="s">
        <v>94</v>
      </c>
      <c r="I751" s="52">
        <v>194.90000000000003</v>
      </c>
      <c r="J751" s="49">
        <v>7284.5199999999995</v>
      </c>
      <c r="K751" s="58">
        <v>174.69</v>
      </c>
      <c r="L751" s="58">
        <v>6914.2676083272008</v>
      </c>
      <c r="M751" s="58">
        <v>21.81</v>
      </c>
      <c r="N751" s="58">
        <v>904.004487144</v>
      </c>
      <c r="O751" s="65">
        <v>196.5</v>
      </c>
      <c r="P751" s="65">
        <v>7818.2720954712004</v>
      </c>
      <c r="Q751" s="50">
        <v>7284.5199999999995</v>
      </c>
      <c r="R751" s="65">
        <v>0</v>
      </c>
      <c r="S751" s="65">
        <v>904.004487144</v>
      </c>
      <c r="T751" s="65">
        <v>533.75209547120085</v>
      </c>
      <c r="U751" s="65">
        <v>0</v>
      </c>
      <c r="V751" s="65">
        <v>0</v>
      </c>
      <c r="W751" s="65">
        <v>0</v>
      </c>
      <c r="X751" s="65">
        <v>6381</v>
      </c>
      <c r="Y751" s="65">
        <v>0</v>
      </c>
      <c r="Z751" s="65">
        <v>0</v>
      </c>
      <c r="AA751" s="51">
        <v>0</v>
      </c>
      <c r="AB751" s="102">
        <v>0</v>
      </c>
      <c r="AC751" s="81">
        <f t="shared" si="36"/>
        <v>377.56911770138521</v>
      </c>
      <c r="AD751" s="82">
        <f t="shared" si="37"/>
        <v>27.842857142857149</v>
      </c>
      <c r="AE751" s="218">
        <v>-7.3272102413227069E-2</v>
      </c>
      <c r="AF751">
        <v>3</v>
      </c>
      <c r="AH751" t="str">
        <f t="shared" si="35"/>
        <v>Matihani</v>
      </c>
      <c r="AJ751" s="72">
        <v>0</v>
      </c>
      <c r="AK751" s="72"/>
      <c r="AL751" s="72"/>
      <c r="AM751" s="72"/>
    </row>
    <row r="752" spans="1:39" x14ac:dyDescent="0.25">
      <c r="A752" s="37" t="s">
        <v>62</v>
      </c>
      <c r="B752" s="66" t="s">
        <v>1566</v>
      </c>
      <c r="C752" s="41">
        <v>1055</v>
      </c>
      <c r="D752" s="41" t="s">
        <v>1148</v>
      </c>
      <c r="E752" s="41">
        <v>10550007</v>
      </c>
      <c r="F752" s="85" t="s">
        <v>1429</v>
      </c>
      <c r="G752" s="39" t="s">
        <v>635</v>
      </c>
      <c r="H752" s="52" t="s">
        <v>99</v>
      </c>
      <c r="I752" s="52">
        <v>1117.0999999999999</v>
      </c>
      <c r="J752" s="49">
        <v>40815.339999999997</v>
      </c>
      <c r="K752" s="58">
        <v>0</v>
      </c>
      <c r="L752" s="58">
        <v>0</v>
      </c>
      <c r="M752" s="58">
        <v>0</v>
      </c>
      <c r="N752" s="58">
        <v>0</v>
      </c>
      <c r="O752" s="65">
        <v>0</v>
      </c>
      <c r="P752" s="65">
        <v>0</v>
      </c>
      <c r="Q752" s="50">
        <v>40815.339999999997</v>
      </c>
      <c r="R752" s="65">
        <v>0</v>
      </c>
      <c r="S752" s="65">
        <v>0</v>
      </c>
      <c r="T752" s="65">
        <v>0</v>
      </c>
      <c r="U752" s="65">
        <v>0</v>
      </c>
      <c r="V752" s="65">
        <v>0</v>
      </c>
      <c r="W752" s="65">
        <v>0</v>
      </c>
      <c r="X752" s="65">
        <v>0</v>
      </c>
      <c r="Y752" s="65">
        <v>0</v>
      </c>
      <c r="Z752" s="65">
        <v>40815.339999999997</v>
      </c>
      <c r="AA752" s="51">
        <v>0</v>
      </c>
      <c r="AB752" s="102">
        <v>0</v>
      </c>
      <c r="AC752" s="81">
        <f t="shared" si="36"/>
        <v>0</v>
      </c>
      <c r="AD752" s="82">
        <f t="shared" si="37"/>
        <v>0</v>
      </c>
      <c r="AE752" s="218">
        <v>0</v>
      </c>
      <c r="AF752">
        <v>0</v>
      </c>
      <c r="AH752" t="str">
        <f t="shared" si="35"/>
        <v>Matihani</v>
      </c>
      <c r="AJ752" s="72">
        <v>0</v>
      </c>
      <c r="AK752" s="72"/>
      <c r="AL752" s="72"/>
      <c r="AM752" s="72"/>
    </row>
    <row r="753" spans="1:39" x14ac:dyDescent="0.25">
      <c r="A753" s="37" t="s">
        <v>62</v>
      </c>
      <c r="B753" s="66" t="s">
        <v>1566</v>
      </c>
      <c r="C753" s="41">
        <v>1055</v>
      </c>
      <c r="D753" s="41" t="s">
        <v>1148</v>
      </c>
      <c r="E753" s="41">
        <v>10550009</v>
      </c>
      <c r="F753" s="85" t="s">
        <v>1548</v>
      </c>
      <c r="G753" s="39" t="s">
        <v>635</v>
      </c>
      <c r="H753" s="52" t="s">
        <v>99</v>
      </c>
      <c r="I753" s="52">
        <v>595.29999999999995</v>
      </c>
      <c r="J753" s="49">
        <v>22203.96</v>
      </c>
      <c r="K753" s="58">
        <v>0</v>
      </c>
      <c r="L753" s="58">
        <v>0</v>
      </c>
      <c r="M753" s="58">
        <v>0</v>
      </c>
      <c r="N753" s="58">
        <v>0</v>
      </c>
      <c r="O753" s="65">
        <v>0</v>
      </c>
      <c r="P753" s="65">
        <v>0</v>
      </c>
      <c r="Q753" s="50">
        <v>22203.96</v>
      </c>
      <c r="R753" s="65">
        <v>0</v>
      </c>
      <c r="S753" s="65">
        <v>0</v>
      </c>
      <c r="T753" s="65">
        <v>0</v>
      </c>
      <c r="U753" s="65">
        <v>0</v>
      </c>
      <c r="V753" s="65">
        <v>0</v>
      </c>
      <c r="W753" s="65">
        <v>0</v>
      </c>
      <c r="X753" s="65">
        <v>0</v>
      </c>
      <c r="Y753" s="65">
        <v>0</v>
      </c>
      <c r="Z753" s="65">
        <v>22203.96</v>
      </c>
      <c r="AA753" s="51">
        <v>0</v>
      </c>
      <c r="AB753" s="102">
        <v>0</v>
      </c>
      <c r="AC753" s="81">
        <f t="shared" si="36"/>
        <v>78.103632185452781</v>
      </c>
      <c r="AD753" s="82">
        <f t="shared" si="37"/>
        <v>85.04285714285713</v>
      </c>
      <c r="AE753" s="218">
        <v>0</v>
      </c>
      <c r="AF753">
        <v>0</v>
      </c>
      <c r="AH753" t="str">
        <f t="shared" si="35"/>
        <v>Matihani</v>
      </c>
      <c r="AJ753" s="72">
        <v>0</v>
      </c>
      <c r="AK753" s="72"/>
      <c r="AL753" s="72"/>
      <c r="AM753" s="72"/>
    </row>
    <row r="754" spans="1:39" x14ac:dyDescent="0.25">
      <c r="A754" s="37" t="s">
        <v>62</v>
      </c>
      <c r="B754" s="66" t="s">
        <v>1566</v>
      </c>
      <c r="C754" s="41">
        <v>1056</v>
      </c>
      <c r="D754" s="41" t="s">
        <v>838</v>
      </c>
      <c r="E754" s="41">
        <v>10560001</v>
      </c>
      <c r="F754" s="85" t="s">
        <v>844</v>
      </c>
      <c r="G754" s="39" t="s">
        <v>635</v>
      </c>
      <c r="H754" s="52" t="s">
        <v>99</v>
      </c>
      <c r="I754" s="52">
        <v>1087.04</v>
      </c>
      <c r="J754" s="49">
        <v>40563.89</v>
      </c>
      <c r="K754" s="58">
        <v>0</v>
      </c>
      <c r="L754" s="58">
        <v>0</v>
      </c>
      <c r="M754" s="58">
        <v>0</v>
      </c>
      <c r="N754" s="58">
        <v>0</v>
      </c>
      <c r="O754" s="65">
        <v>0</v>
      </c>
      <c r="P754" s="65">
        <v>0</v>
      </c>
      <c r="Q754" s="50">
        <v>40563.89</v>
      </c>
      <c r="R754" s="65">
        <v>0</v>
      </c>
      <c r="S754" s="65">
        <v>0</v>
      </c>
      <c r="T754" s="65">
        <v>0</v>
      </c>
      <c r="U754" s="65">
        <v>0</v>
      </c>
      <c r="V754" s="65">
        <v>5935.823016774194</v>
      </c>
      <c r="W754" s="65">
        <v>0</v>
      </c>
      <c r="X754" s="65">
        <v>0</v>
      </c>
      <c r="Y754" s="65">
        <v>0</v>
      </c>
      <c r="Z754" s="65">
        <v>34628.066983225806</v>
      </c>
      <c r="AA754" s="51">
        <v>0</v>
      </c>
      <c r="AB754" s="102">
        <v>0</v>
      </c>
      <c r="AC754" s="81">
        <f t="shared" si="36"/>
        <v>0</v>
      </c>
      <c r="AD754" s="82">
        <f t="shared" si="37"/>
        <v>0</v>
      </c>
      <c r="AE754" s="218">
        <v>0</v>
      </c>
      <c r="AF754">
        <v>0</v>
      </c>
      <c r="AH754" t="str">
        <f t="shared" si="35"/>
        <v>Chautham</v>
      </c>
      <c r="AJ754" s="72">
        <v>0</v>
      </c>
      <c r="AK754" s="72"/>
      <c r="AL754" s="72"/>
      <c r="AM754" s="72"/>
    </row>
    <row r="755" spans="1:39" x14ac:dyDescent="0.25">
      <c r="A755" s="37" t="s">
        <v>62</v>
      </c>
      <c r="B755" s="66" t="s">
        <v>1566</v>
      </c>
      <c r="C755" s="41">
        <v>1056</v>
      </c>
      <c r="D755" s="41" t="s">
        <v>838</v>
      </c>
      <c r="E755" s="41">
        <v>10560002</v>
      </c>
      <c r="F755" s="85" t="s">
        <v>1166</v>
      </c>
      <c r="G755" s="39" t="s">
        <v>635</v>
      </c>
      <c r="H755" s="52" t="s">
        <v>99</v>
      </c>
      <c r="I755" s="52">
        <v>858.54</v>
      </c>
      <c r="J755" s="49">
        <v>31340.61</v>
      </c>
      <c r="K755" s="58">
        <v>0</v>
      </c>
      <c r="L755" s="58">
        <v>0</v>
      </c>
      <c r="M755" s="58">
        <v>0</v>
      </c>
      <c r="N755" s="58">
        <v>0</v>
      </c>
      <c r="O755" s="65">
        <v>0</v>
      </c>
      <c r="P755" s="65">
        <v>0</v>
      </c>
      <c r="Q755" s="50">
        <v>31340.61</v>
      </c>
      <c r="R755" s="65">
        <v>0</v>
      </c>
      <c r="S755" s="65">
        <v>0</v>
      </c>
      <c r="T755" s="65">
        <v>0</v>
      </c>
      <c r="U755" s="65">
        <v>0</v>
      </c>
      <c r="V755" s="65">
        <v>0</v>
      </c>
      <c r="W755" s="65">
        <v>0</v>
      </c>
      <c r="X755" s="65">
        <v>0</v>
      </c>
      <c r="Y755" s="65">
        <v>0</v>
      </c>
      <c r="Z755" s="65">
        <v>31340.61</v>
      </c>
      <c r="AA755" s="51">
        <v>0</v>
      </c>
      <c r="AB755" s="102">
        <v>0</v>
      </c>
      <c r="AC755" s="81">
        <f t="shared" si="36"/>
        <v>0</v>
      </c>
      <c r="AD755" s="82">
        <f t="shared" si="37"/>
        <v>0</v>
      </c>
      <c r="AE755" s="218">
        <v>0</v>
      </c>
      <c r="AF755">
        <v>0</v>
      </c>
      <c r="AH755" t="str">
        <f t="shared" si="35"/>
        <v>Chautham</v>
      </c>
      <c r="AJ755" s="72">
        <v>0</v>
      </c>
      <c r="AK755" s="72"/>
      <c r="AL755" s="72"/>
      <c r="AM755" s="72"/>
    </row>
    <row r="756" spans="1:39" x14ac:dyDescent="0.25">
      <c r="A756" s="37" t="s">
        <v>62</v>
      </c>
      <c r="B756" s="66" t="s">
        <v>1566</v>
      </c>
      <c r="C756" s="41">
        <v>1056</v>
      </c>
      <c r="D756" s="41" t="s">
        <v>838</v>
      </c>
      <c r="E756" s="41">
        <v>10560004</v>
      </c>
      <c r="F756" s="85" t="s">
        <v>1183</v>
      </c>
      <c r="G756" s="39" t="s">
        <v>93</v>
      </c>
      <c r="H756" s="52" t="s">
        <v>94</v>
      </c>
      <c r="I756" s="52">
        <v>917.66000000000008</v>
      </c>
      <c r="J756" s="49">
        <v>32120.75</v>
      </c>
      <c r="K756" s="58">
        <v>917.66</v>
      </c>
      <c r="L756" s="58">
        <v>32496.221988648005</v>
      </c>
      <c r="M756" s="58">
        <v>0</v>
      </c>
      <c r="N756" s="58">
        <v>0</v>
      </c>
      <c r="O756" s="65">
        <v>917.66</v>
      </c>
      <c r="P756" s="65">
        <v>32496.221988648005</v>
      </c>
      <c r="Q756" s="50">
        <v>32120.75</v>
      </c>
      <c r="R756" s="65">
        <v>0</v>
      </c>
      <c r="S756" s="65">
        <v>0</v>
      </c>
      <c r="T756" s="65">
        <v>375.47198864800521</v>
      </c>
      <c r="U756" s="65">
        <v>0</v>
      </c>
      <c r="V756" s="65">
        <v>0</v>
      </c>
      <c r="W756" s="65">
        <v>0</v>
      </c>
      <c r="X756" s="65">
        <v>32121</v>
      </c>
      <c r="Y756" s="65">
        <v>0</v>
      </c>
      <c r="Z756" s="65">
        <v>0</v>
      </c>
      <c r="AA756" s="51">
        <v>0</v>
      </c>
      <c r="AB756" s="102">
        <v>0</v>
      </c>
      <c r="AC756" s="81">
        <f t="shared" si="36"/>
        <v>0</v>
      </c>
      <c r="AD756" s="82">
        <f t="shared" si="37"/>
        <v>0</v>
      </c>
      <c r="AE756" s="218">
        <v>-1.1689390460932737E-2</v>
      </c>
      <c r="AF756">
        <v>1</v>
      </c>
      <c r="AH756" t="str">
        <f t="shared" si="35"/>
        <v>Chautham</v>
      </c>
      <c r="AJ756" s="72">
        <v>0</v>
      </c>
      <c r="AK756" s="72"/>
      <c r="AL756" s="72"/>
      <c r="AM756" s="72"/>
    </row>
    <row r="757" spans="1:39" x14ac:dyDescent="0.25">
      <c r="A757" s="37" t="s">
        <v>62</v>
      </c>
      <c r="B757" s="66" t="s">
        <v>1566</v>
      </c>
      <c r="C757" s="41">
        <v>1056</v>
      </c>
      <c r="D757" s="41" t="s">
        <v>838</v>
      </c>
      <c r="E757" s="41">
        <v>10560005</v>
      </c>
      <c r="F757" s="85" t="s">
        <v>1184</v>
      </c>
      <c r="G757" s="39" t="s">
        <v>93</v>
      </c>
      <c r="H757" s="52" t="s">
        <v>94</v>
      </c>
      <c r="I757" s="52">
        <v>2242.36</v>
      </c>
      <c r="J757" s="49">
        <v>90184.860000000015</v>
      </c>
      <c r="K757" s="58">
        <v>25.46</v>
      </c>
      <c r="L757" s="58">
        <v>1029.8968978319999</v>
      </c>
      <c r="M757" s="58">
        <v>2240</v>
      </c>
      <c r="N757" s="58">
        <v>90269.700008399988</v>
      </c>
      <c r="O757" s="65">
        <v>2265.46</v>
      </c>
      <c r="P757" s="65">
        <v>91299.596906231993</v>
      </c>
      <c r="Q757" s="50">
        <v>90184.860000000015</v>
      </c>
      <c r="R757" s="65">
        <v>0</v>
      </c>
      <c r="S757" s="65">
        <v>0</v>
      </c>
      <c r="T757" s="65">
        <v>1114.7369062319776</v>
      </c>
      <c r="U757" s="65">
        <v>0</v>
      </c>
      <c r="V757" s="65">
        <v>0</v>
      </c>
      <c r="W757" s="65">
        <v>0</v>
      </c>
      <c r="X757" s="65">
        <v>0</v>
      </c>
      <c r="Y757" s="65">
        <v>90185</v>
      </c>
      <c r="Z757" s="65">
        <v>0</v>
      </c>
      <c r="AA757" s="51">
        <v>0</v>
      </c>
      <c r="AB757" s="102" t="s">
        <v>68</v>
      </c>
      <c r="AC757" s="81">
        <f t="shared" si="36"/>
        <v>0</v>
      </c>
      <c r="AD757" s="82">
        <f t="shared" si="37"/>
        <v>0</v>
      </c>
      <c r="AE757" s="218">
        <v>-1.2360576999642483E-2</v>
      </c>
      <c r="AF757">
        <v>3</v>
      </c>
      <c r="AH757" t="str">
        <f t="shared" si="35"/>
        <v>Chautham</v>
      </c>
      <c r="AJ757" s="72">
        <v>0</v>
      </c>
      <c r="AK757" s="72"/>
      <c r="AL757" s="72"/>
      <c r="AM757" s="72"/>
    </row>
    <row r="758" spans="1:39" x14ac:dyDescent="0.25">
      <c r="A758" s="37" t="s">
        <v>62</v>
      </c>
      <c r="B758" s="66" t="s">
        <v>1566</v>
      </c>
      <c r="C758" s="41">
        <v>1056</v>
      </c>
      <c r="D758" s="41" t="s">
        <v>838</v>
      </c>
      <c r="E758" s="41">
        <v>10560007</v>
      </c>
      <c r="F758" s="85" t="s">
        <v>1185</v>
      </c>
      <c r="G758" s="39" t="s">
        <v>93</v>
      </c>
      <c r="H758" s="52" t="s">
        <v>94</v>
      </c>
      <c r="I758" s="52">
        <v>180.35999999999999</v>
      </c>
      <c r="J758" s="49">
        <v>8030.8600000000006</v>
      </c>
      <c r="K758" s="58">
        <v>180.36</v>
      </c>
      <c r="L758" s="58">
        <v>8094.761544672001</v>
      </c>
      <c r="M758" s="58">
        <v>0</v>
      </c>
      <c r="N758" s="58">
        <v>0</v>
      </c>
      <c r="O758" s="65">
        <v>180.36</v>
      </c>
      <c r="P758" s="65">
        <v>8094.761544672001</v>
      </c>
      <c r="Q758" s="50">
        <v>8030.8600000000006</v>
      </c>
      <c r="R758" s="65">
        <v>0</v>
      </c>
      <c r="S758" s="65">
        <v>0</v>
      </c>
      <c r="T758" s="65">
        <v>63.901544672000455</v>
      </c>
      <c r="U758" s="65">
        <v>0</v>
      </c>
      <c r="V758" s="65">
        <v>0</v>
      </c>
      <c r="W758" s="65">
        <v>0</v>
      </c>
      <c r="X758" s="65">
        <v>8031</v>
      </c>
      <c r="Y758" s="65">
        <v>0</v>
      </c>
      <c r="Z758" s="65">
        <v>0</v>
      </c>
      <c r="AA758" s="51">
        <v>0</v>
      </c>
      <c r="AB758" s="102">
        <v>0</v>
      </c>
      <c r="AC758" s="81">
        <f t="shared" si="36"/>
        <v>462.75849305832787</v>
      </c>
      <c r="AD758" s="82">
        <f t="shared" si="37"/>
        <v>25.765714285714285</v>
      </c>
      <c r="AE758" s="218">
        <v>-7.9569989605098902E-3</v>
      </c>
      <c r="AF758">
        <v>1</v>
      </c>
      <c r="AH758" t="str">
        <f t="shared" si="35"/>
        <v>Chautham</v>
      </c>
      <c r="AJ758" s="72">
        <v>0</v>
      </c>
      <c r="AK758" s="72"/>
      <c r="AL758" s="72"/>
      <c r="AM758" s="72"/>
    </row>
    <row r="759" spans="1:39" x14ac:dyDescent="0.25">
      <c r="A759" s="37" t="s">
        <v>62</v>
      </c>
      <c r="B759" s="66" t="s">
        <v>1566</v>
      </c>
      <c r="C759" s="41">
        <v>1056</v>
      </c>
      <c r="D759" s="41" t="s">
        <v>838</v>
      </c>
      <c r="E759" s="41">
        <v>10560011</v>
      </c>
      <c r="F759" s="85" t="s">
        <v>1278</v>
      </c>
      <c r="G759" s="39" t="s">
        <v>93</v>
      </c>
      <c r="H759" s="52" t="s">
        <v>94</v>
      </c>
      <c r="I759" s="52">
        <v>1834.04</v>
      </c>
      <c r="J759" s="49">
        <v>68652.429999999993</v>
      </c>
      <c r="K759" s="58">
        <v>1838.2400000000002</v>
      </c>
      <c r="L759" s="58">
        <v>72390.834630216661</v>
      </c>
      <c r="M759" s="58">
        <v>0</v>
      </c>
      <c r="N759" s="58">
        <v>0</v>
      </c>
      <c r="O759" s="65">
        <v>1838.2400000000002</v>
      </c>
      <c r="P759" s="65">
        <v>72390.834630216661</v>
      </c>
      <c r="Q759" s="50">
        <v>68652.429999999993</v>
      </c>
      <c r="R759" s="65">
        <v>0</v>
      </c>
      <c r="S759" s="65">
        <v>0</v>
      </c>
      <c r="T759" s="65">
        <v>3738.404630216668</v>
      </c>
      <c r="U759" s="65">
        <v>0</v>
      </c>
      <c r="V759" s="65">
        <v>0</v>
      </c>
      <c r="W759" s="65">
        <v>0</v>
      </c>
      <c r="X759" s="65">
        <v>68652</v>
      </c>
      <c r="Y759" s="65">
        <v>0</v>
      </c>
      <c r="Z759" s="65">
        <v>0</v>
      </c>
      <c r="AA759" s="51">
        <v>0</v>
      </c>
      <c r="AB759" s="102" t="s">
        <v>66</v>
      </c>
      <c r="AC759" s="81">
        <f t="shared" si="36"/>
        <v>0</v>
      </c>
      <c r="AD759" s="82">
        <f t="shared" si="37"/>
        <v>0</v>
      </c>
      <c r="AE759" s="218">
        <v>-5.4454075845773678E-2</v>
      </c>
      <c r="AF759">
        <v>12</v>
      </c>
      <c r="AH759" t="str">
        <f t="shared" si="35"/>
        <v>Chautham</v>
      </c>
      <c r="AJ759" s="72">
        <v>0</v>
      </c>
      <c r="AK759" s="72"/>
      <c r="AL759" s="72"/>
      <c r="AM759" s="72"/>
    </row>
    <row r="760" spans="1:39" x14ac:dyDescent="0.25">
      <c r="A760" s="37" t="s">
        <v>62</v>
      </c>
      <c r="B760" s="66" t="s">
        <v>1566</v>
      </c>
      <c r="C760" s="41">
        <v>1056</v>
      </c>
      <c r="D760" s="41" t="s">
        <v>838</v>
      </c>
      <c r="E760" s="41">
        <v>10560012</v>
      </c>
      <c r="F760" s="85" t="s">
        <v>1279</v>
      </c>
      <c r="G760" s="39" t="s">
        <v>93</v>
      </c>
      <c r="H760" s="52" t="s">
        <v>94</v>
      </c>
      <c r="I760" s="52">
        <v>1048.8200000000002</v>
      </c>
      <c r="J760" s="49">
        <v>39050.380000000005</v>
      </c>
      <c r="K760" s="58">
        <v>1051.3900000000003</v>
      </c>
      <c r="L760" s="58">
        <v>39340.953600616805</v>
      </c>
      <c r="M760" s="58">
        <v>0</v>
      </c>
      <c r="N760" s="58">
        <v>0</v>
      </c>
      <c r="O760" s="65">
        <v>1051.3900000000003</v>
      </c>
      <c r="P760" s="65">
        <v>39340.953600616805</v>
      </c>
      <c r="Q760" s="50">
        <v>39050.380000000005</v>
      </c>
      <c r="R760" s="65">
        <v>0</v>
      </c>
      <c r="S760" s="65">
        <v>0</v>
      </c>
      <c r="T760" s="65">
        <v>290.57360061680083</v>
      </c>
      <c r="U760" s="65">
        <v>0</v>
      </c>
      <c r="V760" s="65">
        <v>0</v>
      </c>
      <c r="W760" s="65">
        <v>0</v>
      </c>
      <c r="X760" s="65">
        <v>39050</v>
      </c>
      <c r="Y760" s="65">
        <v>0</v>
      </c>
      <c r="Z760" s="65">
        <v>0</v>
      </c>
      <c r="AA760" s="51">
        <v>0</v>
      </c>
      <c r="AB760" s="102">
        <v>0</v>
      </c>
      <c r="AC760" s="81">
        <f t="shared" si="36"/>
        <v>0</v>
      </c>
      <c r="AD760" s="82">
        <f t="shared" si="37"/>
        <v>0</v>
      </c>
      <c r="AE760" s="218">
        <v>-7.4409929075415094E-3</v>
      </c>
      <c r="AF760">
        <v>2</v>
      </c>
      <c r="AH760" t="str">
        <f t="shared" si="35"/>
        <v>Chautham</v>
      </c>
      <c r="AJ760" s="72">
        <v>0</v>
      </c>
      <c r="AK760" s="72"/>
      <c r="AL760" s="72"/>
      <c r="AM760" s="72"/>
    </row>
    <row r="761" spans="1:39" x14ac:dyDescent="0.25">
      <c r="A761" s="37" t="s">
        <v>62</v>
      </c>
      <c r="B761" s="66" t="s">
        <v>1566</v>
      </c>
      <c r="C761" s="41">
        <v>1056</v>
      </c>
      <c r="D761" s="41" t="s">
        <v>838</v>
      </c>
      <c r="E761" s="41">
        <v>10560015</v>
      </c>
      <c r="F761" s="85" t="s">
        <v>1234</v>
      </c>
      <c r="G761" s="39" t="s">
        <v>635</v>
      </c>
      <c r="H761" s="52" t="s">
        <v>99</v>
      </c>
      <c r="I761" s="52">
        <v>795.07999999999993</v>
      </c>
      <c r="J761" s="49">
        <v>28914.44</v>
      </c>
      <c r="K761" s="58">
        <v>0</v>
      </c>
      <c r="L761" s="58">
        <v>0</v>
      </c>
      <c r="M761" s="58">
        <v>0</v>
      </c>
      <c r="N761" s="58">
        <v>0</v>
      </c>
      <c r="O761" s="65">
        <v>0</v>
      </c>
      <c r="P761" s="65">
        <v>0</v>
      </c>
      <c r="Q761" s="50">
        <v>28914.44</v>
      </c>
      <c r="R761" s="65">
        <v>0</v>
      </c>
      <c r="S761" s="65">
        <v>0</v>
      </c>
      <c r="T761" s="65">
        <v>0</v>
      </c>
      <c r="U761" s="65">
        <v>0</v>
      </c>
      <c r="V761" s="65">
        <v>0</v>
      </c>
      <c r="W761" s="65">
        <v>0</v>
      </c>
      <c r="X761" s="65">
        <v>0</v>
      </c>
      <c r="Y761" s="65">
        <v>0</v>
      </c>
      <c r="Z761" s="65">
        <v>28914.44</v>
      </c>
      <c r="AA761" s="51">
        <v>0</v>
      </c>
      <c r="AB761" s="102">
        <v>0</v>
      </c>
      <c r="AC761" s="81">
        <f t="shared" si="36"/>
        <v>0</v>
      </c>
      <c r="AD761" s="82">
        <f t="shared" si="37"/>
        <v>0</v>
      </c>
      <c r="AE761" s="218">
        <v>0</v>
      </c>
      <c r="AF761">
        <v>0</v>
      </c>
      <c r="AH761" t="str">
        <f t="shared" ref="AH761:AH818" si="38">TEXT(D761,"0000")</f>
        <v>Chautham</v>
      </c>
      <c r="AJ761" s="72">
        <v>0</v>
      </c>
      <c r="AK761" s="72"/>
      <c r="AL761" s="72"/>
      <c r="AM761" s="72"/>
    </row>
    <row r="762" spans="1:39" x14ac:dyDescent="0.25">
      <c r="A762" s="37" t="s">
        <v>62</v>
      </c>
      <c r="B762" s="66" t="s">
        <v>1566</v>
      </c>
      <c r="C762" s="41">
        <v>1056</v>
      </c>
      <c r="D762" s="41" t="s">
        <v>838</v>
      </c>
      <c r="E762" s="41">
        <v>10560016</v>
      </c>
      <c r="F762" s="85" t="s">
        <v>1439</v>
      </c>
      <c r="G762" s="39" t="s">
        <v>93</v>
      </c>
      <c r="H762" s="52" t="s">
        <v>94</v>
      </c>
      <c r="I762" s="52">
        <v>989.6</v>
      </c>
      <c r="J762" s="49">
        <v>37066.9</v>
      </c>
      <c r="K762" s="58">
        <v>989.6</v>
      </c>
      <c r="L762" s="58">
        <v>38666.761531200005</v>
      </c>
      <c r="M762" s="58">
        <v>0</v>
      </c>
      <c r="N762" s="58">
        <v>0</v>
      </c>
      <c r="O762" s="65">
        <v>989.6</v>
      </c>
      <c r="P762" s="65">
        <v>38666.761531200005</v>
      </c>
      <c r="Q762" s="50">
        <v>37066.9</v>
      </c>
      <c r="R762" s="65">
        <v>0</v>
      </c>
      <c r="S762" s="65">
        <v>0</v>
      </c>
      <c r="T762" s="65">
        <v>1599.8615312000038</v>
      </c>
      <c r="U762" s="65">
        <v>0</v>
      </c>
      <c r="V762" s="65">
        <v>0</v>
      </c>
      <c r="W762" s="65">
        <v>0</v>
      </c>
      <c r="X762" s="65">
        <v>37067</v>
      </c>
      <c r="Y762" s="65">
        <v>0</v>
      </c>
      <c r="Z762" s="65">
        <v>0</v>
      </c>
      <c r="AA762" s="51">
        <v>0</v>
      </c>
      <c r="AB762" s="102">
        <v>0</v>
      </c>
      <c r="AC762" s="81">
        <f t="shared" si="36"/>
        <v>0</v>
      </c>
      <c r="AD762" s="82">
        <f t="shared" si="37"/>
        <v>0</v>
      </c>
      <c r="AE762" s="218">
        <v>-4.3161460256994889E-2</v>
      </c>
      <c r="AF762">
        <v>1</v>
      </c>
      <c r="AH762" t="str">
        <f t="shared" si="38"/>
        <v>Chautham</v>
      </c>
      <c r="AJ762" s="72">
        <v>0</v>
      </c>
      <c r="AK762" s="72"/>
      <c r="AL762" s="72"/>
      <c r="AM762" s="72"/>
    </row>
    <row r="763" spans="1:39" x14ac:dyDescent="0.25">
      <c r="A763" s="37" t="s">
        <v>62</v>
      </c>
      <c r="B763" s="66" t="s">
        <v>1566</v>
      </c>
      <c r="C763" s="41">
        <v>1056</v>
      </c>
      <c r="D763" s="41" t="s">
        <v>838</v>
      </c>
      <c r="E763" s="41">
        <v>10560017</v>
      </c>
      <c r="F763" s="85" t="s">
        <v>1238</v>
      </c>
      <c r="G763" s="39" t="s">
        <v>93</v>
      </c>
      <c r="H763" s="52" t="s">
        <v>94</v>
      </c>
      <c r="I763" s="52">
        <v>1097.26</v>
      </c>
      <c r="J763" s="49">
        <v>41887.72</v>
      </c>
      <c r="K763" s="58">
        <v>1097.2599999999998</v>
      </c>
      <c r="L763" s="58">
        <v>43571.309083951332</v>
      </c>
      <c r="M763" s="58">
        <v>0</v>
      </c>
      <c r="N763" s="58">
        <v>0</v>
      </c>
      <c r="O763" s="65">
        <v>1097.2599999999998</v>
      </c>
      <c r="P763" s="65">
        <v>43571.309083951332</v>
      </c>
      <c r="Q763" s="50">
        <v>41887.72</v>
      </c>
      <c r="R763" s="65">
        <v>0</v>
      </c>
      <c r="S763" s="65">
        <v>0</v>
      </c>
      <c r="T763" s="65">
        <v>1683.5890839513304</v>
      </c>
      <c r="U763" s="65">
        <v>0</v>
      </c>
      <c r="V763" s="65">
        <v>0</v>
      </c>
      <c r="W763" s="65">
        <v>0</v>
      </c>
      <c r="X763" s="65">
        <v>41888</v>
      </c>
      <c r="Y763" s="65">
        <v>0</v>
      </c>
      <c r="Z763" s="65">
        <v>0</v>
      </c>
      <c r="AA763" s="51">
        <v>0</v>
      </c>
      <c r="AB763" s="102" t="s">
        <v>66</v>
      </c>
      <c r="AC763" s="81">
        <f t="shared" si="36"/>
        <v>0</v>
      </c>
      <c r="AD763" s="82">
        <f t="shared" si="37"/>
        <v>0</v>
      </c>
      <c r="AE763" s="218">
        <v>-4.0192903408238272E-2</v>
      </c>
      <c r="AF763">
        <v>19</v>
      </c>
      <c r="AH763" t="str">
        <f t="shared" si="38"/>
        <v>Chautham</v>
      </c>
      <c r="AJ763" s="72">
        <v>0</v>
      </c>
      <c r="AK763" s="72"/>
      <c r="AL763" s="72"/>
      <c r="AM763" s="72"/>
    </row>
    <row r="764" spans="1:39" x14ac:dyDescent="0.25">
      <c r="A764" s="37" t="s">
        <v>62</v>
      </c>
      <c r="B764" s="66" t="s">
        <v>1566</v>
      </c>
      <c r="C764" s="41">
        <v>1056</v>
      </c>
      <c r="D764" s="41" t="s">
        <v>838</v>
      </c>
      <c r="E764" s="41">
        <v>10560019</v>
      </c>
      <c r="F764" s="85" t="s">
        <v>1239</v>
      </c>
      <c r="G764" s="39" t="s">
        <v>93</v>
      </c>
      <c r="H764" s="52" t="s">
        <v>99</v>
      </c>
      <c r="I764" s="52">
        <v>1805.8200000000002</v>
      </c>
      <c r="J764" s="49">
        <v>64591.8</v>
      </c>
      <c r="K764" s="58">
        <v>0</v>
      </c>
      <c r="L764" s="58">
        <v>0</v>
      </c>
      <c r="M764" s="58">
        <v>0</v>
      </c>
      <c r="N764" s="58">
        <v>0</v>
      </c>
      <c r="O764" s="65">
        <v>0</v>
      </c>
      <c r="P764" s="65">
        <v>0</v>
      </c>
      <c r="Q764" s="50">
        <v>64591.8</v>
      </c>
      <c r="R764" s="65">
        <v>0</v>
      </c>
      <c r="S764" s="65">
        <v>0</v>
      </c>
      <c r="T764" s="65">
        <v>0</v>
      </c>
      <c r="U764" s="65">
        <v>0</v>
      </c>
      <c r="V764" s="65">
        <v>0</v>
      </c>
      <c r="W764" s="65">
        <v>0</v>
      </c>
      <c r="X764" s="65">
        <v>0</v>
      </c>
      <c r="Y764" s="65">
        <v>0</v>
      </c>
      <c r="Z764" s="65">
        <v>64591.8</v>
      </c>
      <c r="AA764" s="51">
        <v>0</v>
      </c>
      <c r="AB764" s="102">
        <v>0</v>
      </c>
      <c r="AC764" s="81">
        <f t="shared" si="36"/>
        <v>0</v>
      </c>
      <c r="AD764" s="82">
        <f t="shared" si="37"/>
        <v>0</v>
      </c>
      <c r="AE764" s="218">
        <v>0</v>
      </c>
      <c r="AF764">
        <v>0</v>
      </c>
      <c r="AH764" t="str">
        <f t="shared" si="38"/>
        <v>Chautham</v>
      </c>
      <c r="AJ764" s="72">
        <v>0</v>
      </c>
      <c r="AK764" s="72"/>
      <c r="AL764" s="72"/>
      <c r="AM764" s="72"/>
    </row>
    <row r="765" spans="1:39" x14ac:dyDescent="0.25">
      <c r="A765" s="37" t="s">
        <v>62</v>
      </c>
      <c r="B765" s="66" t="s">
        <v>1566</v>
      </c>
      <c r="C765" s="41">
        <v>1056</v>
      </c>
      <c r="D765" s="41" t="s">
        <v>838</v>
      </c>
      <c r="E765" s="41">
        <v>10560022</v>
      </c>
      <c r="F765" s="85" t="s">
        <v>1339</v>
      </c>
      <c r="G765" s="39" t="s">
        <v>93</v>
      </c>
      <c r="H765" s="52" t="s">
        <v>94</v>
      </c>
      <c r="I765" s="52">
        <v>2035.1400000000003</v>
      </c>
      <c r="J765" s="49">
        <v>86308.03</v>
      </c>
      <c r="K765" s="58">
        <v>2036.08</v>
      </c>
      <c r="L765" s="58">
        <v>85691.000494123204</v>
      </c>
      <c r="M765" s="58">
        <v>0</v>
      </c>
      <c r="N765" s="58">
        <v>0</v>
      </c>
      <c r="O765" s="65">
        <v>2036.08</v>
      </c>
      <c r="P765" s="65">
        <v>85691.000494123204</v>
      </c>
      <c r="Q765" s="50">
        <v>85691.000494123204</v>
      </c>
      <c r="R765" s="65">
        <v>0</v>
      </c>
      <c r="S765" s="65">
        <v>0</v>
      </c>
      <c r="T765" s="65">
        <v>0</v>
      </c>
      <c r="U765" s="65">
        <v>0</v>
      </c>
      <c r="V765" s="65">
        <v>0</v>
      </c>
      <c r="W765" s="65">
        <v>0</v>
      </c>
      <c r="X765" s="65">
        <v>85691</v>
      </c>
      <c r="Y765" s="65">
        <v>0</v>
      </c>
      <c r="Z765" s="65">
        <v>0</v>
      </c>
      <c r="AA765" s="51">
        <v>617</v>
      </c>
      <c r="AB765" s="102">
        <v>0</v>
      </c>
      <c r="AC765" s="81">
        <f t="shared" si="36"/>
        <v>0</v>
      </c>
      <c r="AD765" s="82">
        <f t="shared" si="37"/>
        <v>0</v>
      </c>
      <c r="AE765" s="218">
        <v>7.1491552509864399E-3</v>
      </c>
      <c r="AF765">
        <v>1</v>
      </c>
      <c r="AH765" t="str">
        <f t="shared" si="38"/>
        <v>Chautham</v>
      </c>
      <c r="AJ765" s="72">
        <v>0</v>
      </c>
      <c r="AK765" s="72"/>
      <c r="AL765" s="72"/>
      <c r="AM765" s="72"/>
    </row>
    <row r="766" spans="1:39" x14ac:dyDescent="0.25">
      <c r="A766" s="37" t="s">
        <v>62</v>
      </c>
      <c r="B766" s="66" t="s">
        <v>1566</v>
      </c>
      <c r="C766" s="41">
        <v>1056</v>
      </c>
      <c r="D766" s="41" t="s">
        <v>838</v>
      </c>
      <c r="E766" s="41">
        <v>10560025</v>
      </c>
      <c r="F766" s="85" t="s">
        <v>1319</v>
      </c>
      <c r="G766" s="39" t="s">
        <v>635</v>
      </c>
      <c r="H766" s="52" t="s">
        <v>99</v>
      </c>
      <c r="I766" s="52">
        <v>132.82</v>
      </c>
      <c r="J766" s="49">
        <v>5624.7500000000009</v>
      </c>
      <c r="K766" s="58">
        <v>0</v>
      </c>
      <c r="L766" s="58">
        <v>0</v>
      </c>
      <c r="M766" s="58">
        <v>0</v>
      </c>
      <c r="N766" s="58">
        <v>0</v>
      </c>
      <c r="O766" s="65">
        <v>0</v>
      </c>
      <c r="P766" s="65">
        <v>0</v>
      </c>
      <c r="Q766" s="50">
        <v>5624.7500000000009</v>
      </c>
      <c r="R766" s="65">
        <v>0</v>
      </c>
      <c r="S766" s="65">
        <v>0</v>
      </c>
      <c r="T766" s="65">
        <v>0</v>
      </c>
      <c r="U766" s="65">
        <v>0</v>
      </c>
      <c r="V766" s="65">
        <v>0</v>
      </c>
      <c r="W766" s="65">
        <v>0</v>
      </c>
      <c r="X766" s="65">
        <v>0</v>
      </c>
      <c r="Y766" s="65">
        <v>0</v>
      </c>
      <c r="Z766" s="65">
        <v>5624.7500000000009</v>
      </c>
      <c r="AA766" s="51">
        <v>0</v>
      </c>
      <c r="AB766" s="102">
        <v>0</v>
      </c>
      <c r="AC766" s="81">
        <f t="shared" si="36"/>
        <v>480.38634317120938</v>
      </c>
      <c r="AD766" s="82">
        <f t="shared" si="37"/>
        <v>18.974285714285713</v>
      </c>
      <c r="AE766" s="218">
        <v>0</v>
      </c>
      <c r="AF766">
        <v>0</v>
      </c>
      <c r="AH766" t="str">
        <f t="shared" si="38"/>
        <v>Chautham</v>
      </c>
      <c r="AJ766" s="72">
        <v>0</v>
      </c>
      <c r="AK766" s="72"/>
      <c r="AL766" s="72"/>
      <c r="AM766" s="72"/>
    </row>
    <row r="767" spans="1:39" x14ac:dyDescent="0.25">
      <c r="A767" s="37" t="s">
        <v>62</v>
      </c>
      <c r="B767" s="66" t="s">
        <v>1566</v>
      </c>
      <c r="C767" s="41">
        <v>1056</v>
      </c>
      <c r="D767" s="41" t="s">
        <v>838</v>
      </c>
      <c r="E767" s="41">
        <v>10560026</v>
      </c>
      <c r="F767" s="85" t="s">
        <v>1340</v>
      </c>
      <c r="G767" s="39" t="s">
        <v>93</v>
      </c>
      <c r="H767" s="52" t="s">
        <v>94</v>
      </c>
      <c r="I767" s="52">
        <v>1100.8000000000002</v>
      </c>
      <c r="J767" s="49">
        <v>41969.979999999996</v>
      </c>
      <c r="K767" s="58">
        <v>1101.1499999999999</v>
      </c>
      <c r="L767" s="58">
        <v>43108.657146024118</v>
      </c>
      <c r="M767" s="58">
        <v>0</v>
      </c>
      <c r="N767" s="58">
        <v>0</v>
      </c>
      <c r="O767" s="65">
        <v>1101.1499999999999</v>
      </c>
      <c r="P767" s="65">
        <v>43108.657146024118</v>
      </c>
      <c r="Q767" s="50">
        <v>41969.979999999996</v>
      </c>
      <c r="R767" s="65">
        <v>0</v>
      </c>
      <c r="S767" s="65">
        <v>0</v>
      </c>
      <c r="T767" s="65">
        <v>1138.6771460241216</v>
      </c>
      <c r="U767" s="65">
        <v>0</v>
      </c>
      <c r="V767" s="65">
        <v>0</v>
      </c>
      <c r="W767" s="65">
        <v>0</v>
      </c>
      <c r="X767" s="65">
        <v>41970</v>
      </c>
      <c r="Y767" s="65">
        <v>0</v>
      </c>
      <c r="Z767" s="65">
        <v>0</v>
      </c>
      <c r="AA767" s="51">
        <v>0</v>
      </c>
      <c r="AB767" s="102" t="s">
        <v>66</v>
      </c>
      <c r="AC767" s="81">
        <f t="shared" si="36"/>
        <v>0</v>
      </c>
      <c r="AD767" s="82">
        <f t="shared" si="37"/>
        <v>0</v>
      </c>
      <c r="AE767" s="218">
        <v>-2.7130752648062299E-2</v>
      </c>
      <c r="AF767">
        <v>21</v>
      </c>
      <c r="AH767" t="str">
        <f t="shared" si="38"/>
        <v>Chautham</v>
      </c>
      <c r="AJ767" s="72">
        <v>0</v>
      </c>
      <c r="AK767" s="72"/>
      <c r="AL767" s="72"/>
      <c r="AM767" s="72"/>
    </row>
    <row r="768" spans="1:39" x14ac:dyDescent="0.25">
      <c r="A768" s="37" t="s">
        <v>62</v>
      </c>
      <c r="B768" s="66" t="s">
        <v>1566</v>
      </c>
      <c r="C768" s="41">
        <v>1056</v>
      </c>
      <c r="D768" s="41" t="s">
        <v>838</v>
      </c>
      <c r="E768" s="41">
        <v>10560027</v>
      </c>
      <c r="F768" s="85" t="s">
        <v>1387</v>
      </c>
      <c r="G768" s="39" t="s">
        <v>93</v>
      </c>
      <c r="H768" s="52" t="s">
        <v>94</v>
      </c>
      <c r="I768" s="52">
        <v>278.8</v>
      </c>
      <c r="J768" s="49">
        <v>10760.7</v>
      </c>
      <c r="K768" s="58">
        <v>278.8</v>
      </c>
      <c r="L768" s="58">
        <v>10709.56369296</v>
      </c>
      <c r="M768" s="58">
        <v>0</v>
      </c>
      <c r="N768" s="58">
        <v>0</v>
      </c>
      <c r="O768" s="65">
        <v>278.8</v>
      </c>
      <c r="P768" s="65">
        <v>10709.56369296</v>
      </c>
      <c r="Q768" s="50">
        <v>10709.56369296</v>
      </c>
      <c r="R768" s="65">
        <v>0</v>
      </c>
      <c r="S768" s="65">
        <v>0</v>
      </c>
      <c r="T768" s="65">
        <v>0</v>
      </c>
      <c r="U768" s="65">
        <v>0</v>
      </c>
      <c r="V768" s="65">
        <v>0</v>
      </c>
      <c r="W768" s="65">
        <v>0</v>
      </c>
      <c r="X768" s="65">
        <v>10710</v>
      </c>
      <c r="Y768" s="65">
        <v>0</v>
      </c>
      <c r="Z768" s="65">
        <v>0</v>
      </c>
      <c r="AA768" s="51">
        <v>51</v>
      </c>
      <c r="AB768" s="102">
        <v>0</v>
      </c>
      <c r="AC768" s="81">
        <f t="shared" si="36"/>
        <v>325.13678909612622</v>
      </c>
      <c r="AD768" s="82">
        <f t="shared" si="37"/>
        <v>39.828571428571429</v>
      </c>
      <c r="AE768" s="218">
        <v>4.7521357383813545E-3</v>
      </c>
      <c r="AF768">
        <v>1</v>
      </c>
      <c r="AH768" t="str">
        <f t="shared" si="38"/>
        <v>Chautham</v>
      </c>
      <c r="AJ768" s="72">
        <v>0</v>
      </c>
      <c r="AK768" s="72"/>
      <c r="AL768" s="72"/>
      <c r="AM768" s="72"/>
    </row>
    <row r="769" spans="1:39" x14ac:dyDescent="0.25">
      <c r="A769" s="37" t="s">
        <v>62</v>
      </c>
      <c r="B769" s="66" t="s">
        <v>1566</v>
      </c>
      <c r="C769" s="41">
        <v>1056</v>
      </c>
      <c r="D769" s="41" t="s">
        <v>838</v>
      </c>
      <c r="E769" s="41">
        <v>10560028</v>
      </c>
      <c r="F769" s="85" t="s">
        <v>1454</v>
      </c>
      <c r="G769" s="39" t="s">
        <v>93</v>
      </c>
      <c r="H769" s="52" t="s">
        <v>94</v>
      </c>
      <c r="I769" s="52">
        <v>371.78</v>
      </c>
      <c r="J769" s="49">
        <v>15161.69</v>
      </c>
      <c r="K769" s="58">
        <v>371.78</v>
      </c>
      <c r="L769" s="58">
        <v>15164.574869664002</v>
      </c>
      <c r="M769" s="58">
        <v>0</v>
      </c>
      <c r="N769" s="58">
        <v>0</v>
      </c>
      <c r="O769" s="65">
        <v>371.78</v>
      </c>
      <c r="P769" s="65">
        <v>15164.574869664002</v>
      </c>
      <c r="Q769" s="50">
        <v>15161.69</v>
      </c>
      <c r="R769" s="65">
        <v>0</v>
      </c>
      <c r="S769" s="65">
        <v>0</v>
      </c>
      <c r="T769" s="65">
        <v>2.8848696640015987</v>
      </c>
      <c r="U769" s="65">
        <v>0</v>
      </c>
      <c r="V769" s="65">
        <v>0</v>
      </c>
      <c r="W769" s="65">
        <v>0</v>
      </c>
      <c r="X769" s="65">
        <v>15162</v>
      </c>
      <c r="Y769" s="65">
        <v>0</v>
      </c>
      <c r="Z769" s="65">
        <v>0</v>
      </c>
      <c r="AA769" s="51">
        <v>0</v>
      </c>
      <c r="AB769" s="102">
        <v>0</v>
      </c>
      <c r="AC769" s="81">
        <f t="shared" si="36"/>
        <v>267.70508859002638</v>
      </c>
      <c r="AD769" s="82">
        <f t="shared" si="37"/>
        <v>53.111428571428569</v>
      </c>
      <c r="AE769" s="218">
        <v>-1.9027362147633928E-4</v>
      </c>
      <c r="AF769">
        <v>1</v>
      </c>
      <c r="AH769" t="str">
        <f t="shared" si="38"/>
        <v>Chautham</v>
      </c>
      <c r="AJ769" s="72">
        <v>0</v>
      </c>
      <c r="AK769" s="72"/>
      <c r="AL769" s="72"/>
      <c r="AM769" s="72"/>
    </row>
    <row r="770" spans="1:39" x14ac:dyDescent="0.25">
      <c r="A770" s="37" t="s">
        <v>62</v>
      </c>
      <c r="B770" s="66" t="s">
        <v>1566</v>
      </c>
      <c r="C770" s="41">
        <v>1056</v>
      </c>
      <c r="D770" s="41" t="s">
        <v>838</v>
      </c>
      <c r="E770" s="41">
        <v>10560029</v>
      </c>
      <c r="F770" s="85" t="s">
        <v>1440</v>
      </c>
      <c r="G770" s="39" t="s">
        <v>93</v>
      </c>
      <c r="H770" s="52" t="s">
        <v>94</v>
      </c>
      <c r="I770" s="52">
        <v>151.12</v>
      </c>
      <c r="J770" s="49">
        <v>6477.47</v>
      </c>
      <c r="K770" s="58">
        <v>162.29</v>
      </c>
      <c r="L770" s="58">
        <v>7631.8982696515377</v>
      </c>
      <c r="M770" s="58">
        <v>0</v>
      </c>
      <c r="N770" s="58">
        <v>0</v>
      </c>
      <c r="O770" s="65">
        <v>162.29</v>
      </c>
      <c r="P770" s="65">
        <v>7631.8982696515377</v>
      </c>
      <c r="Q770" s="50">
        <v>6477.47</v>
      </c>
      <c r="R770" s="65">
        <v>0</v>
      </c>
      <c r="S770" s="65">
        <v>0</v>
      </c>
      <c r="T770" s="65">
        <v>1154.4282696515374</v>
      </c>
      <c r="U770" s="65">
        <v>0</v>
      </c>
      <c r="V770" s="65">
        <v>0</v>
      </c>
      <c r="W770" s="65">
        <v>0</v>
      </c>
      <c r="X770" s="65">
        <v>6477</v>
      </c>
      <c r="Y770" s="65">
        <v>0</v>
      </c>
      <c r="Z770" s="65">
        <v>0</v>
      </c>
      <c r="AA770" s="51">
        <v>0</v>
      </c>
      <c r="AB770" s="102">
        <v>0</v>
      </c>
      <c r="AC770" s="81">
        <f t="shared" si="36"/>
        <v>470.53384510322917</v>
      </c>
      <c r="AD770" s="82">
        <f t="shared" si="37"/>
        <v>21.588571428571431</v>
      </c>
      <c r="AE770" s="218">
        <v>-0.17822209437504727</v>
      </c>
      <c r="AF770">
        <v>1</v>
      </c>
      <c r="AH770" t="str">
        <f t="shared" si="38"/>
        <v>Chautham</v>
      </c>
      <c r="AJ770" s="72">
        <v>0</v>
      </c>
      <c r="AK770" s="72"/>
      <c r="AL770" s="72"/>
      <c r="AM770" s="72"/>
    </row>
    <row r="771" spans="1:39" x14ac:dyDescent="0.25">
      <c r="A771" s="37" t="s">
        <v>62</v>
      </c>
      <c r="B771" s="66" t="s">
        <v>1566</v>
      </c>
      <c r="C771" s="41">
        <v>1056</v>
      </c>
      <c r="D771" s="41" t="s">
        <v>838</v>
      </c>
      <c r="E771" s="41">
        <v>10560031</v>
      </c>
      <c r="F771" s="85" t="s">
        <v>1455</v>
      </c>
      <c r="G771" s="39" t="s">
        <v>93</v>
      </c>
      <c r="H771" s="52" t="s">
        <v>94</v>
      </c>
      <c r="I771" s="52">
        <v>583.33999999999992</v>
      </c>
      <c r="J771" s="49">
        <v>20976.369999999995</v>
      </c>
      <c r="K771" s="58">
        <v>583.34</v>
      </c>
      <c r="L771" s="58">
        <v>20975.931904831203</v>
      </c>
      <c r="M771" s="58">
        <v>0</v>
      </c>
      <c r="N771" s="58">
        <v>0</v>
      </c>
      <c r="O771" s="65">
        <v>583.34</v>
      </c>
      <c r="P771" s="65">
        <v>20975.931904831203</v>
      </c>
      <c r="Q771" s="50">
        <v>20975.931904831203</v>
      </c>
      <c r="R771" s="65">
        <v>0</v>
      </c>
      <c r="S771" s="65">
        <v>0</v>
      </c>
      <c r="T771" s="65">
        <v>0</v>
      </c>
      <c r="U771" s="65">
        <v>0</v>
      </c>
      <c r="V771" s="65">
        <v>0</v>
      </c>
      <c r="W771" s="65">
        <v>0</v>
      </c>
      <c r="X771" s="65">
        <v>20976</v>
      </c>
      <c r="Y771" s="65">
        <v>0</v>
      </c>
      <c r="Z771" s="65">
        <v>0</v>
      </c>
      <c r="AA771" s="51">
        <v>0</v>
      </c>
      <c r="AB771" s="102">
        <v>0</v>
      </c>
      <c r="AC771" s="81">
        <f t="shared" si="36"/>
        <v>83.899726547125255</v>
      </c>
      <c r="AD771" s="82">
        <f t="shared" si="37"/>
        <v>83.334285714285699</v>
      </c>
      <c r="AE771" s="218">
        <v>2.0885175499509342E-5</v>
      </c>
      <c r="AF771">
        <v>1</v>
      </c>
      <c r="AH771" t="str">
        <f t="shared" si="38"/>
        <v>Chautham</v>
      </c>
      <c r="AJ771" s="72">
        <v>0</v>
      </c>
      <c r="AK771" s="72"/>
      <c r="AL771" s="72"/>
      <c r="AM771" s="72"/>
    </row>
    <row r="772" spans="1:39" x14ac:dyDescent="0.25">
      <c r="A772" s="37" t="s">
        <v>62</v>
      </c>
      <c r="B772" s="66" t="s">
        <v>1566</v>
      </c>
      <c r="C772" s="41">
        <v>1056</v>
      </c>
      <c r="D772" s="41" t="s">
        <v>838</v>
      </c>
      <c r="E772" s="41">
        <v>10560033</v>
      </c>
      <c r="F772" s="85" t="s">
        <v>1504</v>
      </c>
      <c r="G772" s="39" t="s">
        <v>635</v>
      </c>
      <c r="H772" s="52" t="s">
        <v>94</v>
      </c>
      <c r="I772" s="52">
        <v>184.64</v>
      </c>
      <c r="J772" s="49">
        <v>7445.76</v>
      </c>
      <c r="K772" s="58">
        <v>184.64</v>
      </c>
      <c r="L772" s="58">
        <v>7409.4362115840004</v>
      </c>
      <c r="M772" s="58">
        <v>0</v>
      </c>
      <c r="N772" s="58">
        <v>0</v>
      </c>
      <c r="O772" s="65">
        <v>184.64</v>
      </c>
      <c r="P772" s="65">
        <v>7409.4362115840004</v>
      </c>
      <c r="Q772" s="50">
        <v>7409.4362115840004</v>
      </c>
      <c r="R772" s="65">
        <v>0</v>
      </c>
      <c r="S772" s="65">
        <v>0</v>
      </c>
      <c r="T772" s="65">
        <v>0</v>
      </c>
      <c r="U772" s="65">
        <v>0</v>
      </c>
      <c r="V772" s="65">
        <v>0</v>
      </c>
      <c r="W772" s="65">
        <v>0</v>
      </c>
      <c r="X772" s="65">
        <v>7409</v>
      </c>
      <c r="Y772" s="65">
        <v>0</v>
      </c>
      <c r="Z772" s="65">
        <v>0</v>
      </c>
      <c r="AA772" s="51">
        <v>37</v>
      </c>
      <c r="AB772" s="102">
        <v>0</v>
      </c>
      <c r="AC772" s="81">
        <f t="shared" ref="AC772:AC835" si="39">((IF(AD772=0,0,100-AD772))*7*(J772/I772))*2%</f>
        <v>415.64632512998276</v>
      </c>
      <c r="AD772" s="82">
        <f t="shared" ref="AD772:AD835" si="40">IF((I772/7)&gt;100,0,(I772/7))</f>
        <v>26.377142857142854</v>
      </c>
      <c r="AE772" s="218">
        <v>4.8784527591541824E-3</v>
      </c>
      <c r="AF772">
        <v>1</v>
      </c>
      <c r="AH772" t="str">
        <f t="shared" si="38"/>
        <v>Chautham</v>
      </c>
      <c r="AJ772" s="72">
        <v>0</v>
      </c>
      <c r="AK772" s="72"/>
      <c r="AL772" s="72"/>
      <c r="AM772" s="72"/>
    </row>
    <row r="773" spans="1:39" x14ac:dyDescent="0.25">
      <c r="A773" s="37" t="s">
        <v>62</v>
      </c>
      <c r="B773" s="66" t="s">
        <v>1566</v>
      </c>
      <c r="C773" s="41">
        <v>1056</v>
      </c>
      <c r="D773" s="41" t="s">
        <v>838</v>
      </c>
      <c r="E773" s="41">
        <v>10560034</v>
      </c>
      <c r="F773" s="85" t="s">
        <v>1394</v>
      </c>
      <c r="G773" s="39" t="s">
        <v>635</v>
      </c>
      <c r="H773" s="52" t="s">
        <v>99</v>
      </c>
      <c r="I773" s="52">
        <v>290.67999999999995</v>
      </c>
      <c r="J773" s="49">
        <v>10289.17</v>
      </c>
      <c r="K773" s="58">
        <v>0</v>
      </c>
      <c r="L773" s="58">
        <v>0</v>
      </c>
      <c r="M773" s="58">
        <v>0</v>
      </c>
      <c r="N773" s="58">
        <v>0</v>
      </c>
      <c r="O773" s="65">
        <v>0</v>
      </c>
      <c r="P773" s="65">
        <v>0</v>
      </c>
      <c r="Q773" s="50">
        <v>10289.17</v>
      </c>
      <c r="R773" s="65">
        <v>0</v>
      </c>
      <c r="S773" s="65">
        <v>0</v>
      </c>
      <c r="T773" s="65">
        <v>0</v>
      </c>
      <c r="U773" s="65">
        <v>1300</v>
      </c>
      <c r="V773" s="65">
        <v>0</v>
      </c>
      <c r="W773" s="65">
        <v>0</v>
      </c>
      <c r="X773" s="65">
        <v>0</v>
      </c>
      <c r="Y773" s="65">
        <v>0</v>
      </c>
      <c r="Z773" s="65">
        <v>8989.17</v>
      </c>
      <c r="AA773" s="51">
        <v>0</v>
      </c>
      <c r="AB773" s="102">
        <v>0</v>
      </c>
      <c r="AC773" s="81">
        <f t="shared" si="39"/>
        <v>289.77315703866805</v>
      </c>
      <c r="AD773" s="82">
        <f t="shared" si="40"/>
        <v>41.52571428571428</v>
      </c>
      <c r="AE773" s="218">
        <v>0</v>
      </c>
      <c r="AF773">
        <v>0</v>
      </c>
      <c r="AH773" t="str">
        <f t="shared" si="38"/>
        <v>Chautham</v>
      </c>
      <c r="AJ773" s="72">
        <v>0</v>
      </c>
      <c r="AK773" s="72"/>
      <c r="AL773" s="72"/>
      <c r="AM773" s="72"/>
    </row>
    <row r="774" spans="1:39" x14ac:dyDescent="0.25">
      <c r="A774" s="37" t="s">
        <v>62</v>
      </c>
      <c r="B774" s="66" t="s">
        <v>1566</v>
      </c>
      <c r="C774" s="41">
        <v>1056</v>
      </c>
      <c r="D774" s="41" t="s">
        <v>838</v>
      </c>
      <c r="E774" s="41">
        <v>10560035</v>
      </c>
      <c r="F774" s="85" t="s">
        <v>1534</v>
      </c>
      <c r="G774" s="39" t="s">
        <v>93</v>
      </c>
      <c r="H774" s="52" t="s">
        <v>94</v>
      </c>
      <c r="I774" s="52">
        <v>229.72</v>
      </c>
      <c r="J774" s="49">
        <v>8737.83</v>
      </c>
      <c r="K774" s="58">
        <v>232.17999999999995</v>
      </c>
      <c r="L774" s="58">
        <v>8912.4979002839991</v>
      </c>
      <c r="M774" s="58">
        <v>0</v>
      </c>
      <c r="N774" s="58">
        <v>0</v>
      </c>
      <c r="O774" s="65">
        <v>232.17999999999995</v>
      </c>
      <c r="P774" s="65">
        <v>8912.4979002839991</v>
      </c>
      <c r="Q774" s="50">
        <v>8737.83</v>
      </c>
      <c r="R774" s="65">
        <v>0</v>
      </c>
      <c r="S774" s="65">
        <v>0</v>
      </c>
      <c r="T774" s="65">
        <v>174.66790028399919</v>
      </c>
      <c r="U774" s="65">
        <v>0</v>
      </c>
      <c r="V774" s="65">
        <v>0</v>
      </c>
      <c r="W774" s="65">
        <v>0</v>
      </c>
      <c r="X774" s="65">
        <v>8738</v>
      </c>
      <c r="Y774" s="65">
        <v>0</v>
      </c>
      <c r="Z774" s="65">
        <v>0</v>
      </c>
      <c r="AA774" s="51">
        <v>0</v>
      </c>
      <c r="AB774" s="102">
        <v>0</v>
      </c>
      <c r="AC774" s="81">
        <f t="shared" si="39"/>
        <v>357.75959362702423</v>
      </c>
      <c r="AD774" s="82">
        <f t="shared" si="40"/>
        <v>32.817142857142855</v>
      </c>
      <c r="AE774" s="218">
        <v>-1.9989848770690113E-2</v>
      </c>
      <c r="AF774">
        <v>1</v>
      </c>
      <c r="AH774" t="str">
        <f t="shared" si="38"/>
        <v>Chautham</v>
      </c>
      <c r="AJ774" s="72">
        <v>0</v>
      </c>
      <c r="AK774" s="72"/>
      <c r="AL774" s="72"/>
      <c r="AM774" s="72"/>
    </row>
    <row r="775" spans="1:39" x14ac:dyDescent="0.25">
      <c r="A775" s="37" t="s">
        <v>62</v>
      </c>
      <c r="B775" s="66" t="s">
        <v>1566</v>
      </c>
      <c r="C775" s="41">
        <v>1056</v>
      </c>
      <c r="D775" s="41" t="s">
        <v>838</v>
      </c>
      <c r="E775" s="41">
        <v>10560036</v>
      </c>
      <c r="F775" s="85" t="s">
        <v>1505</v>
      </c>
      <c r="G775" s="39" t="s">
        <v>93</v>
      </c>
      <c r="H775" s="52" t="s">
        <v>94</v>
      </c>
      <c r="I775" s="52">
        <v>323.71999999999997</v>
      </c>
      <c r="J775" s="49">
        <v>14776.1</v>
      </c>
      <c r="K775" s="58">
        <v>365.98999999999995</v>
      </c>
      <c r="L775" s="58">
        <v>17852.130171540401</v>
      </c>
      <c r="M775" s="58">
        <v>0</v>
      </c>
      <c r="N775" s="58">
        <v>0</v>
      </c>
      <c r="O775" s="65">
        <v>365.98999999999995</v>
      </c>
      <c r="P775" s="65">
        <v>17852.130171540401</v>
      </c>
      <c r="Q775" s="50">
        <v>14776.1</v>
      </c>
      <c r="R775" s="65">
        <v>0</v>
      </c>
      <c r="S775" s="65">
        <v>0</v>
      </c>
      <c r="T775" s="65">
        <v>3076.0301715404003</v>
      </c>
      <c r="U775" s="65">
        <v>0</v>
      </c>
      <c r="V775" s="65">
        <v>0</v>
      </c>
      <c r="W775" s="65">
        <v>0</v>
      </c>
      <c r="X775" s="65">
        <v>14776</v>
      </c>
      <c r="Y775" s="65">
        <v>0</v>
      </c>
      <c r="Z775" s="65">
        <v>0</v>
      </c>
      <c r="AA775" s="51">
        <v>0</v>
      </c>
      <c r="AB775" s="102" t="s">
        <v>66</v>
      </c>
      <c r="AC775" s="81">
        <f t="shared" si="39"/>
        <v>343.50370122327945</v>
      </c>
      <c r="AD775" s="82">
        <f t="shared" si="40"/>
        <v>46.245714285714278</v>
      </c>
      <c r="AE775" s="218">
        <v>-0.20817605264856087</v>
      </c>
      <c r="AF775">
        <v>1</v>
      </c>
      <c r="AH775" t="str">
        <f t="shared" si="38"/>
        <v>Chautham</v>
      </c>
      <c r="AJ775" s="72">
        <v>0</v>
      </c>
      <c r="AK775" s="72"/>
      <c r="AL775" s="72"/>
      <c r="AM775" s="72"/>
    </row>
    <row r="776" spans="1:39" x14ac:dyDescent="0.25">
      <c r="A776" s="37" t="s">
        <v>62</v>
      </c>
      <c r="B776" s="66" t="s">
        <v>1566</v>
      </c>
      <c r="C776" s="41">
        <v>1056</v>
      </c>
      <c r="D776" s="41" t="s">
        <v>838</v>
      </c>
      <c r="E776" s="41">
        <v>10560037</v>
      </c>
      <c r="F776" s="85" t="s">
        <v>1506</v>
      </c>
      <c r="G776" s="39" t="s">
        <v>93</v>
      </c>
      <c r="H776" s="52" t="s">
        <v>94</v>
      </c>
      <c r="I776" s="52">
        <v>240.82</v>
      </c>
      <c r="J776" s="49">
        <v>9250.9499999999989</v>
      </c>
      <c r="K776" s="58">
        <v>240.82000000000002</v>
      </c>
      <c r="L776" s="58">
        <v>9298.8707063472011</v>
      </c>
      <c r="M776" s="58">
        <v>0</v>
      </c>
      <c r="N776" s="58">
        <v>0</v>
      </c>
      <c r="O776" s="65">
        <v>240.82000000000002</v>
      </c>
      <c r="P776" s="65">
        <v>9298.8707063472011</v>
      </c>
      <c r="Q776" s="50">
        <v>9250.9499999999989</v>
      </c>
      <c r="R776" s="65">
        <v>0</v>
      </c>
      <c r="S776" s="65">
        <v>0</v>
      </c>
      <c r="T776" s="65">
        <v>47.920706347202213</v>
      </c>
      <c r="U776" s="65">
        <v>0</v>
      </c>
      <c r="V776" s="65">
        <v>0</v>
      </c>
      <c r="W776" s="65">
        <v>0</v>
      </c>
      <c r="X776" s="65">
        <v>9251</v>
      </c>
      <c r="Y776" s="65">
        <v>0</v>
      </c>
      <c r="Z776" s="65">
        <v>0</v>
      </c>
      <c r="AA776" s="51">
        <v>0</v>
      </c>
      <c r="AB776" s="102">
        <v>0</v>
      </c>
      <c r="AC776" s="81">
        <f t="shared" si="39"/>
        <v>352.78226235362513</v>
      </c>
      <c r="AD776" s="82">
        <f t="shared" si="40"/>
        <v>34.402857142857144</v>
      </c>
      <c r="AE776" s="218">
        <v>-5.1800848936814289E-3</v>
      </c>
      <c r="AF776">
        <v>1</v>
      </c>
      <c r="AH776" t="str">
        <f t="shared" si="38"/>
        <v>Chautham</v>
      </c>
      <c r="AJ776" s="72">
        <v>0</v>
      </c>
      <c r="AK776" s="72"/>
      <c r="AL776" s="72"/>
      <c r="AM776" s="72"/>
    </row>
    <row r="777" spans="1:39" x14ac:dyDescent="0.25">
      <c r="A777" s="37" t="s">
        <v>62</v>
      </c>
      <c r="B777" s="66" t="s">
        <v>1566</v>
      </c>
      <c r="C777" s="41">
        <v>1057</v>
      </c>
      <c r="D777" s="41" t="s">
        <v>1202</v>
      </c>
      <c r="E777" s="41">
        <v>10570001</v>
      </c>
      <c r="F777" s="85" t="s">
        <v>1203</v>
      </c>
      <c r="G777" s="39" t="s">
        <v>93</v>
      </c>
      <c r="H777" s="52" t="s">
        <v>94</v>
      </c>
      <c r="I777" s="52">
        <v>72.2</v>
      </c>
      <c r="J777" s="49">
        <v>3083.69</v>
      </c>
      <c r="K777" s="58">
        <v>72.199999999999989</v>
      </c>
      <c r="L777" s="58">
        <v>3095.8765143063001</v>
      </c>
      <c r="M777" s="58">
        <v>0</v>
      </c>
      <c r="N777" s="58">
        <v>0</v>
      </c>
      <c r="O777" s="65">
        <v>72.199999999999989</v>
      </c>
      <c r="P777" s="65">
        <v>3095.8765143063001</v>
      </c>
      <c r="Q777" s="50">
        <v>3083.69</v>
      </c>
      <c r="R777" s="65">
        <v>0</v>
      </c>
      <c r="S777" s="65">
        <v>0</v>
      </c>
      <c r="T777" s="65">
        <v>12.186514306300069</v>
      </c>
      <c r="U777" s="65">
        <v>0</v>
      </c>
      <c r="V777" s="65">
        <v>84.32662372881353</v>
      </c>
      <c r="W777" s="65">
        <v>0</v>
      </c>
      <c r="X777" s="65">
        <v>2999</v>
      </c>
      <c r="Y777" s="65">
        <v>0</v>
      </c>
      <c r="Z777" s="65">
        <v>0</v>
      </c>
      <c r="AA777" s="51">
        <v>0</v>
      </c>
      <c r="AB777" s="102">
        <v>0</v>
      </c>
      <c r="AC777" s="81">
        <f t="shared" si="39"/>
        <v>536.27162936288084</v>
      </c>
      <c r="AD777" s="82">
        <f t="shared" si="40"/>
        <v>10.314285714285715</v>
      </c>
      <c r="AE777" s="218">
        <v>-3.9519258765634904E-3</v>
      </c>
      <c r="AF777">
        <v>1</v>
      </c>
      <c r="AH777" t="str">
        <f t="shared" si="38"/>
        <v>Warisnagar</v>
      </c>
      <c r="AJ777" s="72">
        <v>0</v>
      </c>
      <c r="AK777" s="72"/>
      <c r="AL777" s="72"/>
      <c r="AM777" s="72"/>
    </row>
    <row r="778" spans="1:39" x14ac:dyDescent="0.25">
      <c r="A778" s="37" t="s">
        <v>62</v>
      </c>
      <c r="B778" s="66" t="s">
        <v>1566</v>
      </c>
      <c r="C778" s="41">
        <v>1057</v>
      </c>
      <c r="D778" s="41" t="s">
        <v>1202</v>
      </c>
      <c r="E778" s="41">
        <v>10570003</v>
      </c>
      <c r="F778" s="85" t="s">
        <v>1204</v>
      </c>
      <c r="G778" s="39" t="s">
        <v>93</v>
      </c>
      <c r="H778" s="52" t="s">
        <v>94</v>
      </c>
      <c r="I778" s="52">
        <v>218.29999999999998</v>
      </c>
      <c r="J778" s="49">
        <v>8518.73</v>
      </c>
      <c r="K778" s="58">
        <v>192.3</v>
      </c>
      <c r="L778" s="58">
        <v>7476.8326491126008</v>
      </c>
      <c r="M778" s="58">
        <v>26.200000000000003</v>
      </c>
      <c r="N778" s="58">
        <v>1045.0205528399999</v>
      </c>
      <c r="O778" s="65">
        <v>218.5</v>
      </c>
      <c r="P778" s="65">
        <v>8521.853201952601</v>
      </c>
      <c r="Q778" s="50">
        <v>8518.73</v>
      </c>
      <c r="R778" s="65">
        <v>0</v>
      </c>
      <c r="S778" s="65">
        <v>0</v>
      </c>
      <c r="T778" s="65">
        <v>3.1232019526014483</v>
      </c>
      <c r="U778" s="65">
        <v>0</v>
      </c>
      <c r="V778" s="65">
        <v>0</v>
      </c>
      <c r="W778" s="65">
        <v>0</v>
      </c>
      <c r="X778" s="65">
        <v>7474</v>
      </c>
      <c r="Y778" s="65">
        <v>1045</v>
      </c>
      <c r="Z778" s="65">
        <v>0</v>
      </c>
      <c r="AA778" s="51">
        <v>0</v>
      </c>
      <c r="AB778" s="102">
        <v>0</v>
      </c>
      <c r="AC778" s="81">
        <f t="shared" si="39"/>
        <v>375.94798360054978</v>
      </c>
      <c r="AD778" s="82">
        <f t="shared" si="40"/>
        <v>31.185714285714283</v>
      </c>
      <c r="AE778" s="218">
        <v>-3.6662764902766593E-4</v>
      </c>
      <c r="AF778">
        <v>3</v>
      </c>
      <c r="AH778" t="str">
        <f t="shared" si="38"/>
        <v>Warisnagar</v>
      </c>
      <c r="AJ778" s="72">
        <v>0</v>
      </c>
      <c r="AK778" s="72"/>
      <c r="AL778" s="72"/>
      <c r="AM778" s="72"/>
    </row>
    <row r="779" spans="1:39" x14ac:dyDescent="0.25">
      <c r="A779" s="37" t="s">
        <v>62</v>
      </c>
      <c r="B779" s="66" t="s">
        <v>1566</v>
      </c>
      <c r="C779" s="41">
        <v>1057</v>
      </c>
      <c r="D779" s="41" t="s">
        <v>1202</v>
      </c>
      <c r="E779" s="41">
        <v>10570007</v>
      </c>
      <c r="F779" s="85" t="s">
        <v>1211</v>
      </c>
      <c r="G779" s="39" t="s">
        <v>93</v>
      </c>
      <c r="H779" s="52" t="s">
        <v>94</v>
      </c>
      <c r="I779" s="52">
        <v>904.9</v>
      </c>
      <c r="J779" s="49">
        <v>43196.67</v>
      </c>
      <c r="K779" s="58">
        <v>904.89999999999986</v>
      </c>
      <c r="L779" s="58">
        <v>43172.382222824104</v>
      </c>
      <c r="M779" s="58">
        <v>0</v>
      </c>
      <c r="N779" s="58">
        <v>0</v>
      </c>
      <c r="O779" s="65">
        <v>904.89999999999986</v>
      </c>
      <c r="P779" s="65">
        <v>43172.382222824104</v>
      </c>
      <c r="Q779" s="50">
        <v>43172.382222824104</v>
      </c>
      <c r="R779" s="65">
        <v>0</v>
      </c>
      <c r="S779" s="65">
        <v>0</v>
      </c>
      <c r="T779" s="65">
        <v>0</v>
      </c>
      <c r="U779" s="65">
        <v>0</v>
      </c>
      <c r="V779" s="65">
        <v>380.28194360655806</v>
      </c>
      <c r="W779" s="65">
        <v>0</v>
      </c>
      <c r="X779" s="65">
        <v>42792</v>
      </c>
      <c r="Y779" s="65">
        <v>0</v>
      </c>
      <c r="Z779" s="65">
        <v>0</v>
      </c>
      <c r="AA779" s="51">
        <v>24</v>
      </c>
      <c r="AB779" s="102">
        <v>0</v>
      </c>
      <c r="AC779" s="81">
        <f t="shared" si="39"/>
        <v>0</v>
      </c>
      <c r="AD779" s="82">
        <f t="shared" si="40"/>
        <v>0</v>
      </c>
      <c r="AE779" s="218">
        <v>5.622604051630371E-4</v>
      </c>
      <c r="AF779">
        <v>1</v>
      </c>
      <c r="AH779" t="str">
        <f t="shared" si="38"/>
        <v>Warisnagar</v>
      </c>
      <c r="AJ779" s="72">
        <v>0</v>
      </c>
      <c r="AK779" s="72"/>
      <c r="AL779" s="72"/>
      <c r="AM779" s="72"/>
    </row>
    <row r="780" spans="1:39" x14ac:dyDescent="0.25">
      <c r="A780" s="37" t="s">
        <v>62</v>
      </c>
      <c r="B780" s="66" t="s">
        <v>1566</v>
      </c>
      <c r="C780" s="41">
        <v>1057</v>
      </c>
      <c r="D780" s="41" t="s">
        <v>1202</v>
      </c>
      <c r="E780" s="41">
        <v>10570008</v>
      </c>
      <c r="F780" s="85" t="s">
        <v>1205</v>
      </c>
      <c r="G780" s="39" t="s">
        <v>93</v>
      </c>
      <c r="H780" s="52" t="s">
        <v>94</v>
      </c>
      <c r="I780" s="52">
        <v>1393.7</v>
      </c>
      <c r="J780" s="49">
        <v>52604.470000000008</v>
      </c>
      <c r="K780" s="58">
        <v>92.40000000000002</v>
      </c>
      <c r="L780" s="58">
        <v>3450.5463966886009</v>
      </c>
      <c r="M780" s="58">
        <v>1299.3000000000004</v>
      </c>
      <c r="N780" s="58">
        <v>48890.146101883998</v>
      </c>
      <c r="O780" s="65">
        <v>1391.7000000000005</v>
      </c>
      <c r="P780" s="65">
        <v>52340.6924985726</v>
      </c>
      <c r="Q780" s="50">
        <v>52340.6924985726</v>
      </c>
      <c r="R780" s="65">
        <v>0</v>
      </c>
      <c r="S780" s="65">
        <v>743.94543736722017</v>
      </c>
      <c r="T780" s="65">
        <v>0</v>
      </c>
      <c r="U780" s="65">
        <v>0</v>
      </c>
      <c r="V780" s="65">
        <v>0</v>
      </c>
      <c r="W780" s="65">
        <v>0</v>
      </c>
      <c r="X780" s="65">
        <v>3451</v>
      </c>
      <c r="Y780" s="65">
        <v>48148</v>
      </c>
      <c r="Z780" s="65">
        <v>0</v>
      </c>
      <c r="AA780" s="51">
        <v>262</v>
      </c>
      <c r="AB780" s="102">
        <v>0</v>
      </c>
      <c r="AC780" s="81">
        <f t="shared" si="39"/>
        <v>0</v>
      </c>
      <c r="AD780" s="82">
        <f t="shared" si="40"/>
        <v>0</v>
      </c>
      <c r="AE780" s="218">
        <v>5.0143552710902395E-3</v>
      </c>
      <c r="AF780">
        <v>16</v>
      </c>
      <c r="AH780" t="str">
        <f t="shared" si="38"/>
        <v>Warisnagar</v>
      </c>
      <c r="AJ780" s="72">
        <v>0</v>
      </c>
      <c r="AK780" s="72"/>
      <c r="AL780" s="72"/>
      <c r="AM780" s="72"/>
    </row>
    <row r="781" spans="1:39" x14ac:dyDescent="0.25">
      <c r="A781" s="37" t="s">
        <v>62</v>
      </c>
      <c r="B781" s="66" t="s">
        <v>1566</v>
      </c>
      <c r="C781" s="41">
        <v>1057</v>
      </c>
      <c r="D781" s="41" t="s">
        <v>1202</v>
      </c>
      <c r="E781" s="41">
        <v>10570009</v>
      </c>
      <c r="F781" s="85" t="s">
        <v>1206</v>
      </c>
      <c r="G781" s="39" t="s">
        <v>93</v>
      </c>
      <c r="H781" s="52" t="s">
        <v>94</v>
      </c>
      <c r="I781" s="52">
        <v>618.4</v>
      </c>
      <c r="J781" s="49">
        <v>24144.01</v>
      </c>
      <c r="K781" s="58">
        <v>529.70000000000005</v>
      </c>
      <c r="L781" s="58">
        <v>20660.424546888004</v>
      </c>
      <c r="M781" s="58">
        <v>88.7</v>
      </c>
      <c r="N781" s="58">
        <v>3449.0577246839998</v>
      </c>
      <c r="O781" s="65">
        <v>618.40000000000009</v>
      </c>
      <c r="P781" s="65">
        <v>24109.482271572004</v>
      </c>
      <c r="Q781" s="50">
        <v>24109.482271572004</v>
      </c>
      <c r="R781" s="65">
        <v>0</v>
      </c>
      <c r="S781" s="65">
        <v>0</v>
      </c>
      <c r="T781" s="65">
        <v>0</v>
      </c>
      <c r="U781" s="65">
        <v>0</v>
      </c>
      <c r="V781" s="65">
        <v>0</v>
      </c>
      <c r="W781" s="65">
        <v>0</v>
      </c>
      <c r="X781" s="65">
        <v>20660</v>
      </c>
      <c r="Y781" s="65">
        <v>3449</v>
      </c>
      <c r="Z781" s="65">
        <v>0</v>
      </c>
      <c r="AA781" s="51">
        <v>35</v>
      </c>
      <c r="AB781" s="102">
        <v>0</v>
      </c>
      <c r="AC781" s="81">
        <f t="shared" si="39"/>
        <v>63.7176978007762</v>
      </c>
      <c r="AD781" s="82">
        <f t="shared" si="40"/>
        <v>88.342857142857142</v>
      </c>
      <c r="AE781" s="218">
        <v>1.4300743094454729E-3</v>
      </c>
      <c r="AF781">
        <v>3</v>
      </c>
      <c r="AH781" t="str">
        <f t="shared" si="38"/>
        <v>Warisnagar</v>
      </c>
      <c r="AJ781" s="72">
        <v>0</v>
      </c>
      <c r="AK781" s="72"/>
      <c r="AL781" s="72"/>
      <c r="AM781" s="72"/>
    </row>
    <row r="782" spans="1:39" x14ac:dyDescent="0.25">
      <c r="A782" s="37" t="s">
        <v>62</v>
      </c>
      <c r="B782" s="66" t="s">
        <v>1566</v>
      </c>
      <c r="C782" s="41">
        <v>1057</v>
      </c>
      <c r="D782" s="41" t="s">
        <v>1202</v>
      </c>
      <c r="E782" s="41">
        <v>10570010</v>
      </c>
      <c r="F782" s="85" t="s">
        <v>1207</v>
      </c>
      <c r="G782" s="39" t="s">
        <v>635</v>
      </c>
      <c r="H782" s="52" t="s">
        <v>99</v>
      </c>
      <c r="I782" s="52">
        <v>1008.8</v>
      </c>
      <c r="J782" s="49">
        <v>34097.29</v>
      </c>
      <c r="K782" s="58">
        <v>0</v>
      </c>
      <c r="L782" s="58">
        <v>0</v>
      </c>
      <c r="M782" s="58">
        <v>0</v>
      </c>
      <c r="N782" s="58">
        <v>0</v>
      </c>
      <c r="O782" s="65">
        <v>0</v>
      </c>
      <c r="P782" s="65">
        <v>0</v>
      </c>
      <c r="Q782" s="50">
        <v>34097.29</v>
      </c>
      <c r="R782" s="65">
        <v>0</v>
      </c>
      <c r="S782" s="65">
        <v>0</v>
      </c>
      <c r="T782" s="65">
        <v>0</v>
      </c>
      <c r="U782" s="65">
        <v>0</v>
      </c>
      <c r="V782" s="65">
        <v>0</v>
      </c>
      <c r="W782" s="65">
        <v>0</v>
      </c>
      <c r="X782" s="65">
        <v>0</v>
      </c>
      <c r="Y782" s="65">
        <v>0</v>
      </c>
      <c r="Z782" s="65">
        <v>34097.29</v>
      </c>
      <c r="AA782" s="51">
        <v>0</v>
      </c>
      <c r="AB782" s="102">
        <v>0</v>
      </c>
      <c r="AC782" s="81">
        <f t="shared" si="39"/>
        <v>0</v>
      </c>
      <c r="AD782" s="82">
        <f t="shared" si="40"/>
        <v>0</v>
      </c>
      <c r="AE782" s="218">
        <v>0</v>
      </c>
      <c r="AF782">
        <v>0</v>
      </c>
      <c r="AH782" t="str">
        <f t="shared" si="38"/>
        <v>Warisnagar</v>
      </c>
      <c r="AJ782" s="72">
        <v>0</v>
      </c>
      <c r="AK782" s="72"/>
      <c r="AL782" s="72"/>
      <c r="AM782" s="72"/>
    </row>
    <row r="783" spans="1:39" x14ac:dyDescent="0.25">
      <c r="A783" s="37" t="s">
        <v>62</v>
      </c>
      <c r="B783" s="66" t="s">
        <v>1566</v>
      </c>
      <c r="C783" s="41">
        <v>1057</v>
      </c>
      <c r="D783" s="41" t="s">
        <v>1202</v>
      </c>
      <c r="E783" s="41">
        <v>10570013</v>
      </c>
      <c r="F783" s="85" t="s">
        <v>1219</v>
      </c>
      <c r="G783" s="39" t="s">
        <v>635</v>
      </c>
      <c r="H783" s="52" t="s">
        <v>99</v>
      </c>
      <c r="I783" s="52">
        <v>470.1</v>
      </c>
      <c r="J783" s="49">
        <v>18282.120000000003</v>
      </c>
      <c r="K783" s="58">
        <v>0</v>
      </c>
      <c r="L783" s="58">
        <v>0</v>
      </c>
      <c r="M783" s="58">
        <v>0</v>
      </c>
      <c r="N783" s="58">
        <v>0</v>
      </c>
      <c r="O783" s="65">
        <v>0</v>
      </c>
      <c r="P783" s="65">
        <v>0</v>
      </c>
      <c r="Q783" s="50">
        <v>18282.120000000003</v>
      </c>
      <c r="R783" s="65">
        <v>0</v>
      </c>
      <c r="S783" s="65">
        <v>0</v>
      </c>
      <c r="T783" s="65">
        <v>0</v>
      </c>
      <c r="U783" s="65">
        <v>0</v>
      </c>
      <c r="V783" s="65">
        <v>0</v>
      </c>
      <c r="W783" s="65">
        <v>0</v>
      </c>
      <c r="X783" s="65">
        <v>0</v>
      </c>
      <c r="Y783" s="65">
        <v>0</v>
      </c>
      <c r="Z783" s="65">
        <v>18282.120000000003</v>
      </c>
      <c r="AA783" s="51">
        <v>0</v>
      </c>
      <c r="AB783" s="102">
        <v>0</v>
      </c>
      <c r="AC783" s="81">
        <f t="shared" si="39"/>
        <v>178.81554511805996</v>
      </c>
      <c r="AD783" s="82">
        <f t="shared" si="40"/>
        <v>67.157142857142858</v>
      </c>
      <c r="AE783" s="218">
        <v>0</v>
      </c>
      <c r="AF783">
        <v>0</v>
      </c>
      <c r="AH783" t="str">
        <f t="shared" si="38"/>
        <v>Warisnagar</v>
      </c>
      <c r="AJ783" s="72">
        <v>0</v>
      </c>
      <c r="AK783" s="72"/>
      <c r="AL783" s="72"/>
      <c r="AM783" s="72"/>
    </row>
    <row r="784" spans="1:39" x14ac:dyDescent="0.25">
      <c r="A784" s="37" t="s">
        <v>62</v>
      </c>
      <c r="B784" s="66" t="s">
        <v>1566</v>
      </c>
      <c r="C784" s="41">
        <v>1057</v>
      </c>
      <c r="D784" s="41" t="s">
        <v>1202</v>
      </c>
      <c r="E784" s="41">
        <v>10570015</v>
      </c>
      <c r="F784" s="85" t="s">
        <v>1220</v>
      </c>
      <c r="G784" s="39" t="s">
        <v>635</v>
      </c>
      <c r="H784" s="52" t="s">
        <v>99</v>
      </c>
      <c r="I784" s="52">
        <v>69.2</v>
      </c>
      <c r="J784" s="49">
        <v>2612.3000000000002</v>
      </c>
      <c r="K784" s="58">
        <v>0</v>
      </c>
      <c r="L784" s="58">
        <v>0</v>
      </c>
      <c r="M784" s="58">
        <v>0</v>
      </c>
      <c r="N784" s="58">
        <v>0</v>
      </c>
      <c r="O784" s="65">
        <v>0</v>
      </c>
      <c r="P784" s="65">
        <v>0</v>
      </c>
      <c r="Q784" s="50">
        <v>2612.3000000000002</v>
      </c>
      <c r="R784" s="65">
        <v>0</v>
      </c>
      <c r="S784" s="65">
        <v>0</v>
      </c>
      <c r="T784" s="65">
        <v>0</v>
      </c>
      <c r="U784" s="65">
        <v>0</v>
      </c>
      <c r="V784" s="65">
        <v>1064.7561870967743</v>
      </c>
      <c r="W784" s="65">
        <v>0</v>
      </c>
      <c r="X784" s="65">
        <v>0</v>
      </c>
      <c r="Y784" s="65">
        <v>0</v>
      </c>
      <c r="Z784" s="65">
        <v>1547.5438129032259</v>
      </c>
      <c r="AA784" s="51">
        <v>0</v>
      </c>
      <c r="AB784" s="102">
        <v>0</v>
      </c>
      <c r="AC784" s="81">
        <f t="shared" si="39"/>
        <v>476.25399999999996</v>
      </c>
      <c r="AD784" s="82">
        <f t="shared" si="40"/>
        <v>9.8857142857142861</v>
      </c>
      <c r="AE784" s="218">
        <v>0</v>
      </c>
      <c r="AF784">
        <v>0</v>
      </c>
      <c r="AH784" t="str">
        <f t="shared" si="38"/>
        <v>Warisnagar</v>
      </c>
      <c r="AJ784" s="72">
        <v>0</v>
      </c>
      <c r="AK784" s="72"/>
      <c r="AL784" s="72"/>
      <c r="AM784" s="72"/>
    </row>
    <row r="785" spans="1:39" x14ac:dyDescent="0.25">
      <c r="A785" s="37" t="s">
        <v>62</v>
      </c>
      <c r="B785" s="66" t="s">
        <v>1566</v>
      </c>
      <c r="C785" s="41">
        <v>1057</v>
      </c>
      <c r="D785" s="41" t="s">
        <v>1202</v>
      </c>
      <c r="E785" s="41">
        <v>10570016</v>
      </c>
      <c r="F785" s="85" t="s">
        <v>354</v>
      </c>
      <c r="G785" s="39" t="s">
        <v>635</v>
      </c>
      <c r="H785" s="52" t="s">
        <v>99</v>
      </c>
      <c r="I785" s="52">
        <v>499.09999999999991</v>
      </c>
      <c r="J785" s="49">
        <v>16086.630000000001</v>
      </c>
      <c r="K785" s="58">
        <v>0</v>
      </c>
      <c r="L785" s="58">
        <v>0</v>
      </c>
      <c r="M785" s="58">
        <v>0</v>
      </c>
      <c r="N785" s="58">
        <v>0</v>
      </c>
      <c r="O785" s="65">
        <v>0</v>
      </c>
      <c r="P785" s="65">
        <v>0</v>
      </c>
      <c r="Q785" s="50">
        <v>16086.630000000001</v>
      </c>
      <c r="R785" s="65">
        <v>0</v>
      </c>
      <c r="S785" s="65">
        <v>0</v>
      </c>
      <c r="T785" s="65">
        <v>0</v>
      </c>
      <c r="U785" s="65">
        <v>0</v>
      </c>
      <c r="V785" s="65">
        <v>0</v>
      </c>
      <c r="W785" s="65">
        <v>0</v>
      </c>
      <c r="X785" s="65">
        <v>0</v>
      </c>
      <c r="Y785" s="65">
        <v>0</v>
      </c>
      <c r="Z785" s="65">
        <v>16086.630000000001</v>
      </c>
      <c r="AA785" s="51">
        <v>0</v>
      </c>
      <c r="AB785" s="102">
        <v>0</v>
      </c>
      <c r="AC785" s="81">
        <f t="shared" si="39"/>
        <v>129.50526816269297</v>
      </c>
      <c r="AD785" s="82">
        <f t="shared" si="40"/>
        <v>71.299999999999983</v>
      </c>
      <c r="AE785" s="218">
        <v>0</v>
      </c>
      <c r="AF785">
        <v>0</v>
      </c>
      <c r="AH785" t="str">
        <f t="shared" si="38"/>
        <v>Warisnagar</v>
      </c>
      <c r="AJ785" s="72">
        <v>0</v>
      </c>
      <c r="AK785" s="72"/>
      <c r="AL785" s="72"/>
      <c r="AM785" s="72"/>
    </row>
    <row r="786" spans="1:39" x14ac:dyDescent="0.25">
      <c r="A786" s="37" t="s">
        <v>62</v>
      </c>
      <c r="B786" s="66" t="s">
        <v>1566</v>
      </c>
      <c r="C786" s="41">
        <v>1057</v>
      </c>
      <c r="D786" s="41" t="s">
        <v>1202</v>
      </c>
      <c r="E786" s="41">
        <v>10570017</v>
      </c>
      <c r="F786" s="85" t="s">
        <v>1280</v>
      </c>
      <c r="G786" s="39" t="s">
        <v>93</v>
      </c>
      <c r="H786" s="52" t="s">
        <v>94</v>
      </c>
      <c r="I786" s="52">
        <v>114.10000000000001</v>
      </c>
      <c r="J786" s="49">
        <v>5089.38</v>
      </c>
      <c r="K786" s="58">
        <v>79.800000000000011</v>
      </c>
      <c r="L786" s="58">
        <v>3580.3871785440006</v>
      </c>
      <c r="M786" s="58">
        <v>34.200000000000003</v>
      </c>
      <c r="N786" s="58">
        <v>1538.3521172306</v>
      </c>
      <c r="O786" s="65">
        <v>114.00000000000001</v>
      </c>
      <c r="P786" s="65">
        <v>5118.7392957746006</v>
      </c>
      <c r="Q786" s="50">
        <v>5089.38</v>
      </c>
      <c r="R786" s="65">
        <v>0</v>
      </c>
      <c r="S786" s="65">
        <v>0</v>
      </c>
      <c r="T786" s="65">
        <v>29.359295774600469</v>
      </c>
      <c r="U786" s="65">
        <v>0</v>
      </c>
      <c r="V786" s="65">
        <v>59.880350163934452</v>
      </c>
      <c r="W786" s="65">
        <v>0</v>
      </c>
      <c r="X786" s="65">
        <v>3491</v>
      </c>
      <c r="Y786" s="65">
        <v>1538</v>
      </c>
      <c r="Z786" s="65">
        <v>0</v>
      </c>
      <c r="AA786" s="51">
        <v>0</v>
      </c>
      <c r="AB786" s="102">
        <v>0</v>
      </c>
      <c r="AC786" s="81">
        <f t="shared" si="39"/>
        <v>522.67620368098153</v>
      </c>
      <c r="AD786" s="82">
        <f t="shared" si="40"/>
        <v>16.3</v>
      </c>
      <c r="AE786" s="218">
        <v>-5.7687372085795264E-3</v>
      </c>
      <c r="AF786">
        <v>8</v>
      </c>
      <c r="AH786" t="str">
        <f t="shared" si="38"/>
        <v>Warisnagar</v>
      </c>
      <c r="AJ786" s="72">
        <v>0</v>
      </c>
      <c r="AK786" s="72"/>
      <c r="AL786" s="72"/>
      <c r="AM786" s="72"/>
    </row>
    <row r="787" spans="1:39" x14ac:dyDescent="0.25">
      <c r="A787" s="37" t="s">
        <v>62</v>
      </c>
      <c r="B787" s="66" t="s">
        <v>1566</v>
      </c>
      <c r="C787" s="41">
        <v>1057</v>
      </c>
      <c r="D787" s="41" t="s">
        <v>1202</v>
      </c>
      <c r="E787" s="41">
        <v>10570018</v>
      </c>
      <c r="F787" s="85" t="s">
        <v>1240</v>
      </c>
      <c r="G787" s="39" t="s">
        <v>93</v>
      </c>
      <c r="H787" s="52" t="s">
        <v>94</v>
      </c>
      <c r="I787" s="52">
        <v>389.4</v>
      </c>
      <c r="J787" s="49">
        <v>15583.76</v>
      </c>
      <c r="K787" s="58">
        <v>81.499999999999972</v>
      </c>
      <c r="L787" s="58">
        <v>3343.9023177120002</v>
      </c>
      <c r="M787" s="58">
        <v>307.90000000000003</v>
      </c>
      <c r="N787" s="58">
        <v>12201.500863567002</v>
      </c>
      <c r="O787" s="65">
        <v>389.4</v>
      </c>
      <c r="P787" s="65">
        <v>15545.403181279002</v>
      </c>
      <c r="Q787" s="50">
        <v>15545.403181279002</v>
      </c>
      <c r="R787" s="65">
        <v>0</v>
      </c>
      <c r="S787" s="65">
        <v>277.59052728</v>
      </c>
      <c r="T787" s="65">
        <v>0</v>
      </c>
      <c r="U787" s="65">
        <v>0</v>
      </c>
      <c r="V787" s="65">
        <v>0</v>
      </c>
      <c r="W787" s="65">
        <v>0</v>
      </c>
      <c r="X787" s="65">
        <v>3344</v>
      </c>
      <c r="Y787" s="65">
        <v>11925</v>
      </c>
      <c r="Z787" s="65">
        <v>0</v>
      </c>
      <c r="AA787" s="51">
        <v>37</v>
      </c>
      <c r="AB787" s="102">
        <v>0</v>
      </c>
      <c r="AC787" s="81">
        <f t="shared" si="39"/>
        <v>248.60379332306115</v>
      </c>
      <c r="AD787" s="82">
        <f t="shared" si="40"/>
        <v>55.628571428571426</v>
      </c>
      <c r="AE787" s="218">
        <v>2.461332741328055E-3</v>
      </c>
      <c r="AF787">
        <v>13</v>
      </c>
      <c r="AH787" t="str">
        <f t="shared" si="38"/>
        <v>Warisnagar</v>
      </c>
      <c r="AJ787" s="72">
        <v>0</v>
      </c>
      <c r="AK787" s="72"/>
      <c r="AL787" s="72"/>
      <c r="AM787" s="72"/>
    </row>
    <row r="788" spans="1:39" x14ac:dyDescent="0.25">
      <c r="A788" s="37" t="s">
        <v>62</v>
      </c>
      <c r="B788" s="66" t="s">
        <v>1566</v>
      </c>
      <c r="C788" s="41">
        <v>1057</v>
      </c>
      <c r="D788" s="41" t="s">
        <v>1202</v>
      </c>
      <c r="E788" s="41">
        <v>10570019</v>
      </c>
      <c r="F788" s="85" t="s">
        <v>1241</v>
      </c>
      <c r="G788" s="39" t="s">
        <v>93</v>
      </c>
      <c r="H788" s="52" t="s">
        <v>94</v>
      </c>
      <c r="I788" s="52">
        <v>647.70000000000016</v>
      </c>
      <c r="J788" s="49">
        <v>27193.83</v>
      </c>
      <c r="K788" s="58">
        <v>166.7</v>
      </c>
      <c r="L788" s="58">
        <v>8078.9958714817994</v>
      </c>
      <c r="M788" s="58">
        <v>480.9</v>
      </c>
      <c r="N788" s="58">
        <v>19126.910420808901</v>
      </c>
      <c r="O788" s="65">
        <v>647.59999999999991</v>
      </c>
      <c r="P788" s="65">
        <v>27205.9062922907</v>
      </c>
      <c r="Q788" s="50">
        <v>27193.83</v>
      </c>
      <c r="R788" s="65">
        <v>0</v>
      </c>
      <c r="S788" s="65">
        <v>109.41420616889999</v>
      </c>
      <c r="T788" s="65">
        <v>12.076292290697893</v>
      </c>
      <c r="U788" s="65">
        <v>0</v>
      </c>
      <c r="V788" s="65">
        <v>0</v>
      </c>
      <c r="W788" s="65">
        <v>0</v>
      </c>
      <c r="X788" s="65">
        <v>8066</v>
      </c>
      <c r="Y788" s="65">
        <v>19018</v>
      </c>
      <c r="Z788" s="65">
        <v>0</v>
      </c>
      <c r="AA788" s="51">
        <v>0</v>
      </c>
      <c r="AB788" s="102">
        <v>0</v>
      </c>
      <c r="AC788" s="81">
        <f t="shared" si="39"/>
        <v>43.916544974525095</v>
      </c>
      <c r="AD788" s="82">
        <f t="shared" si="40"/>
        <v>92.528571428571453</v>
      </c>
      <c r="AE788" s="218">
        <v>-4.4408206900969417E-4</v>
      </c>
      <c r="AF788">
        <v>7</v>
      </c>
      <c r="AH788" t="str">
        <f t="shared" si="38"/>
        <v>Warisnagar</v>
      </c>
      <c r="AJ788" s="72">
        <v>0</v>
      </c>
      <c r="AK788" s="72"/>
      <c r="AL788" s="72"/>
      <c r="AM788" s="72"/>
    </row>
    <row r="789" spans="1:39" x14ac:dyDescent="0.25">
      <c r="A789" s="37" t="s">
        <v>62</v>
      </c>
      <c r="B789" s="66" t="s">
        <v>1566</v>
      </c>
      <c r="C789" s="41">
        <v>1057</v>
      </c>
      <c r="D789" s="41" t="s">
        <v>1202</v>
      </c>
      <c r="E789" s="41">
        <v>10570020</v>
      </c>
      <c r="F789" s="85" t="s">
        <v>1242</v>
      </c>
      <c r="G789" s="39" t="s">
        <v>93</v>
      </c>
      <c r="H789" s="52" t="s">
        <v>94</v>
      </c>
      <c r="I789" s="52">
        <v>855.30000000000007</v>
      </c>
      <c r="J789" s="49">
        <v>37101.640000000007</v>
      </c>
      <c r="K789" s="58">
        <v>855.40000000000009</v>
      </c>
      <c r="L789" s="58">
        <v>37104.762647160009</v>
      </c>
      <c r="M789" s="58">
        <v>0</v>
      </c>
      <c r="N789" s="58">
        <v>0</v>
      </c>
      <c r="O789" s="65">
        <v>855.40000000000009</v>
      </c>
      <c r="P789" s="65">
        <v>37104.762647160009</v>
      </c>
      <c r="Q789" s="50">
        <v>37101.640000000007</v>
      </c>
      <c r="R789" s="65">
        <v>0</v>
      </c>
      <c r="S789" s="65">
        <v>0</v>
      </c>
      <c r="T789" s="65">
        <v>3.1226471600020886</v>
      </c>
      <c r="U789" s="65">
        <v>0</v>
      </c>
      <c r="V789" s="65">
        <v>0</v>
      </c>
      <c r="W789" s="65">
        <v>0</v>
      </c>
      <c r="X789" s="65">
        <v>37102</v>
      </c>
      <c r="Y789" s="65">
        <v>0</v>
      </c>
      <c r="Z789" s="65">
        <v>0</v>
      </c>
      <c r="AA789" s="51">
        <v>0</v>
      </c>
      <c r="AB789" s="102">
        <v>0</v>
      </c>
      <c r="AC789" s="81">
        <f t="shared" si="39"/>
        <v>0</v>
      </c>
      <c r="AD789" s="82">
        <f t="shared" si="40"/>
        <v>0</v>
      </c>
      <c r="AE789" s="218">
        <v>-8.4164666575442171E-5</v>
      </c>
      <c r="AF789">
        <v>1</v>
      </c>
      <c r="AH789" t="str">
        <f t="shared" si="38"/>
        <v>Warisnagar</v>
      </c>
      <c r="AJ789" s="72">
        <v>0</v>
      </c>
      <c r="AK789" s="72"/>
      <c r="AL789" s="72"/>
      <c r="AM789" s="72"/>
    </row>
    <row r="790" spans="1:39" x14ac:dyDescent="0.25">
      <c r="A790" s="37" t="s">
        <v>62</v>
      </c>
      <c r="B790" s="66" t="s">
        <v>1566</v>
      </c>
      <c r="C790" s="41">
        <v>1057</v>
      </c>
      <c r="D790" s="41" t="s">
        <v>1202</v>
      </c>
      <c r="E790" s="41">
        <v>10570021</v>
      </c>
      <c r="F790" s="85" t="s">
        <v>1243</v>
      </c>
      <c r="G790" s="39" t="s">
        <v>93</v>
      </c>
      <c r="H790" s="52" t="s">
        <v>94</v>
      </c>
      <c r="I790" s="52">
        <v>655.70000000000016</v>
      </c>
      <c r="J790" s="49">
        <v>23041.989999999998</v>
      </c>
      <c r="K790" s="58">
        <v>599</v>
      </c>
      <c r="L790" s="58">
        <v>22278.837783925672</v>
      </c>
      <c r="M790" s="58">
        <v>59.9</v>
      </c>
      <c r="N790" s="58">
        <v>2101.9196606760001</v>
      </c>
      <c r="O790" s="65">
        <v>658.9</v>
      </c>
      <c r="P790" s="65">
        <v>24380.757444601673</v>
      </c>
      <c r="Q790" s="50">
        <v>23041.989999999998</v>
      </c>
      <c r="R790" s="65">
        <v>0</v>
      </c>
      <c r="S790" s="65">
        <v>75.936299075999997</v>
      </c>
      <c r="T790" s="65">
        <v>1338.7674446016754</v>
      </c>
      <c r="U790" s="65">
        <v>0</v>
      </c>
      <c r="V790" s="65">
        <v>0</v>
      </c>
      <c r="W790" s="65">
        <v>0</v>
      </c>
      <c r="X790" s="65">
        <v>20940</v>
      </c>
      <c r="Y790" s="65">
        <v>2026</v>
      </c>
      <c r="Z790" s="65">
        <v>0</v>
      </c>
      <c r="AA790" s="51">
        <v>0</v>
      </c>
      <c r="AB790" s="102">
        <v>0</v>
      </c>
      <c r="AC790" s="81">
        <f t="shared" si="39"/>
        <v>31.134975049565238</v>
      </c>
      <c r="AD790" s="82">
        <f t="shared" si="40"/>
        <v>93.671428571428592</v>
      </c>
      <c r="AE790" s="218">
        <v>-5.8101207604103443E-2</v>
      </c>
      <c r="AF790">
        <v>7</v>
      </c>
      <c r="AH790" t="str">
        <f t="shared" si="38"/>
        <v>Warisnagar</v>
      </c>
      <c r="AJ790" s="72">
        <v>0</v>
      </c>
      <c r="AK790" s="72"/>
      <c r="AL790" s="72"/>
      <c r="AM790" s="72"/>
    </row>
    <row r="791" spans="1:39" x14ac:dyDescent="0.25">
      <c r="A791" s="37" t="s">
        <v>62</v>
      </c>
      <c r="B791" s="66" t="s">
        <v>1566</v>
      </c>
      <c r="C791" s="41">
        <v>1057</v>
      </c>
      <c r="D791" s="41" t="s">
        <v>1202</v>
      </c>
      <c r="E791" s="41">
        <v>10570022</v>
      </c>
      <c r="F791" s="85" t="s">
        <v>1244</v>
      </c>
      <c r="G791" s="39" t="s">
        <v>635</v>
      </c>
      <c r="H791" s="52" t="s">
        <v>99</v>
      </c>
      <c r="I791" s="52">
        <v>484.9</v>
      </c>
      <c r="J791" s="49">
        <v>22534.91</v>
      </c>
      <c r="K791" s="58">
        <v>0</v>
      </c>
      <c r="L791" s="58">
        <v>0</v>
      </c>
      <c r="M791" s="58">
        <v>0</v>
      </c>
      <c r="N791" s="58">
        <v>0</v>
      </c>
      <c r="O791" s="65">
        <v>0</v>
      </c>
      <c r="P791" s="65">
        <v>0</v>
      </c>
      <c r="Q791" s="50">
        <v>22534.91</v>
      </c>
      <c r="R791" s="65">
        <v>0</v>
      </c>
      <c r="S791" s="65">
        <v>0</v>
      </c>
      <c r="T791" s="65">
        <v>0</v>
      </c>
      <c r="U791" s="65">
        <v>0</v>
      </c>
      <c r="V791" s="65">
        <v>0</v>
      </c>
      <c r="W791" s="65">
        <v>0</v>
      </c>
      <c r="X791" s="65">
        <v>0</v>
      </c>
      <c r="Y791" s="65">
        <v>0</v>
      </c>
      <c r="Z791" s="65">
        <v>22534.91</v>
      </c>
      <c r="AA791" s="51">
        <v>0</v>
      </c>
      <c r="AB791" s="102">
        <v>0</v>
      </c>
      <c r="AC791" s="81">
        <f t="shared" si="39"/>
        <v>199.92819719529803</v>
      </c>
      <c r="AD791" s="82">
        <f t="shared" si="40"/>
        <v>69.271428571428572</v>
      </c>
      <c r="AE791" s="218">
        <v>0</v>
      </c>
      <c r="AF791">
        <v>0</v>
      </c>
      <c r="AH791" t="str">
        <f t="shared" si="38"/>
        <v>Warisnagar</v>
      </c>
      <c r="AJ791" s="72">
        <v>0</v>
      </c>
      <c r="AK791" s="72"/>
      <c r="AL791" s="72"/>
      <c r="AM791" s="72"/>
    </row>
    <row r="792" spans="1:39" x14ac:dyDescent="0.25">
      <c r="A792" s="37" t="s">
        <v>62</v>
      </c>
      <c r="B792" s="66" t="s">
        <v>1566</v>
      </c>
      <c r="C792" s="41">
        <v>1057</v>
      </c>
      <c r="D792" s="41" t="s">
        <v>1202</v>
      </c>
      <c r="E792" s="41">
        <v>10570024</v>
      </c>
      <c r="F792" s="85" t="s">
        <v>1245</v>
      </c>
      <c r="G792" s="39" t="s">
        <v>635</v>
      </c>
      <c r="H792" s="52" t="s">
        <v>99</v>
      </c>
      <c r="I792" s="52">
        <v>816.80000000000007</v>
      </c>
      <c r="J792" s="49">
        <v>29801.230000000003</v>
      </c>
      <c r="K792" s="58">
        <v>0</v>
      </c>
      <c r="L792" s="58">
        <v>0</v>
      </c>
      <c r="M792" s="58">
        <v>0</v>
      </c>
      <c r="N792" s="58">
        <v>0</v>
      </c>
      <c r="O792" s="65">
        <v>0</v>
      </c>
      <c r="P792" s="65">
        <v>0</v>
      </c>
      <c r="Q792" s="50">
        <v>29801.230000000003</v>
      </c>
      <c r="R792" s="65">
        <v>0</v>
      </c>
      <c r="S792" s="65">
        <v>0</v>
      </c>
      <c r="T792" s="65">
        <v>0</v>
      </c>
      <c r="U792" s="65">
        <v>0</v>
      </c>
      <c r="V792" s="65">
        <v>0</v>
      </c>
      <c r="W792" s="65">
        <v>0</v>
      </c>
      <c r="X792" s="65">
        <v>0</v>
      </c>
      <c r="Y792" s="65">
        <v>0</v>
      </c>
      <c r="Z792" s="65">
        <v>29801.230000000003</v>
      </c>
      <c r="AA792" s="51">
        <v>0</v>
      </c>
      <c r="AB792" s="102">
        <v>0</v>
      </c>
      <c r="AC792" s="81">
        <f t="shared" si="39"/>
        <v>0</v>
      </c>
      <c r="AD792" s="82">
        <f t="shared" si="40"/>
        <v>0</v>
      </c>
      <c r="AE792" s="218">
        <v>0</v>
      </c>
      <c r="AF792">
        <v>0</v>
      </c>
      <c r="AH792" t="str">
        <f t="shared" si="38"/>
        <v>Warisnagar</v>
      </c>
      <c r="AJ792" s="72">
        <v>0</v>
      </c>
      <c r="AK792" s="72"/>
      <c r="AL792" s="72"/>
      <c r="AM792" s="72"/>
    </row>
    <row r="793" spans="1:39" x14ac:dyDescent="0.25">
      <c r="A793" s="37" t="s">
        <v>62</v>
      </c>
      <c r="B793" s="66" t="s">
        <v>1566</v>
      </c>
      <c r="C793" s="41">
        <v>1057</v>
      </c>
      <c r="D793" s="41" t="s">
        <v>1202</v>
      </c>
      <c r="E793" s="41">
        <v>10570025</v>
      </c>
      <c r="F793" s="85" t="s">
        <v>1254</v>
      </c>
      <c r="G793" s="39" t="s">
        <v>635</v>
      </c>
      <c r="H793" s="52" t="s">
        <v>99</v>
      </c>
      <c r="I793" s="52">
        <v>1284.7</v>
      </c>
      <c r="J793" s="49">
        <v>49490.369999999995</v>
      </c>
      <c r="K793" s="58">
        <v>0</v>
      </c>
      <c r="L793" s="58">
        <v>0</v>
      </c>
      <c r="M793" s="58">
        <v>0</v>
      </c>
      <c r="N793" s="58">
        <v>0</v>
      </c>
      <c r="O793" s="65">
        <v>0</v>
      </c>
      <c r="P793" s="65">
        <v>0</v>
      </c>
      <c r="Q793" s="50">
        <v>49490.369999999995</v>
      </c>
      <c r="R793" s="65">
        <v>0</v>
      </c>
      <c r="S793" s="65">
        <v>0</v>
      </c>
      <c r="T793" s="65">
        <v>0</v>
      </c>
      <c r="U793" s="65">
        <v>0</v>
      </c>
      <c r="V793" s="65">
        <v>0</v>
      </c>
      <c r="W793" s="65">
        <v>0</v>
      </c>
      <c r="X793" s="65">
        <v>0</v>
      </c>
      <c r="Y793" s="65">
        <v>0</v>
      </c>
      <c r="Z793" s="65">
        <v>49490.369999999995</v>
      </c>
      <c r="AA793" s="51">
        <v>0</v>
      </c>
      <c r="AB793" s="102">
        <v>0</v>
      </c>
      <c r="AC793" s="81">
        <f t="shared" si="39"/>
        <v>0</v>
      </c>
      <c r="AD793" s="82">
        <f t="shared" si="40"/>
        <v>0</v>
      </c>
      <c r="AE793" s="218">
        <v>0</v>
      </c>
      <c r="AF793">
        <v>0</v>
      </c>
      <c r="AH793" t="str">
        <f t="shared" si="38"/>
        <v>Warisnagar</v>
      </c>
      <c r="AJ793" s="72">
        <v>0</v>
      </c>
      <c r="AK793" s="72"/>
      <c r="AL793" s="72"/>
      <c r="AM793" s="72"/>
    </row>
    <row r="794" spans="1:39" x14ac:dyDescent="0.25">
      <c r="A794" s="37" t="s">
        <v>62</v>
      </c>
      <c r="B794" s="66" t="s">
        <v>1566</v>
      </c>
      <c r="C794" s="41">
        <v>1057</v>
      </c>
      <c r="D794" s="41" t="s">
        <v>1202</v>
      </c>
      <c r="E794" s="41">
        <v>10570026</v>
      </c>
      <c r="F794" s="85" t="s">
        <v>1255</v>
      </c>
      <c r="G794" s="39" t="s">
        <v>635</v>
      </c>
      <c r="H794" s="52" t="s">
        <v>99</v>
      </c>
      <c r="I794" s="52">
        <v>350.7</v>
      </c>
      <c r="J794" s="49">
        <v>13108.569999999998</v>
      </c>
      <c r="K794" s="58">
        <v>0</v>
      </c>
      <c r="L794" s="58">
        <v>0</v>
      </c>
      <c r="M794" s="58">
        <v>0</v>
      </c>
      <c r="N794" s="58">
        <v>0</v>
      </c>
      <c r="O794" s="65">
        <v>0</v>
      </c>
      <c r="P794" s="65">
        <v>0</v>
      </c>
      <c r="Q794" s="50">
        <v>13108.569999999998</v>
      </c>
      <c r="R794" s="65">
        <v>0</v>
      </c>
      <c r="S794" s="65">
        <v>0</v>
      </c>
      <c r="T794" s="65">
        <v>0</v>
      </c>
      <c r="U794" s="65">
        <v>0</v>
      </c>
      <c r="V794" s="65">
        <v>0</v>
      </c>
      <c r="W794" s="65">
        <v>0</v>
      </c>
      <c r="X794" s="65">
        <v>0</v>
      </c>
      <c r="Y794" s="65">
        <v>0</v>
      </c>
      <c r="Z794" s="65">
        <v>13108.569999999998</v>
      </c>
      <c r="AA794" s="51">
        <v>0</v>
      </c>
      <c r="AB794" s="102">
        <v>0</v>
      </c>
      <c r="AC794" s="81">
        <f t="shared" si="39"/>
        <v>261.12480758483031</v>
      </c>
      <c r="AD794" s="82">
        <f t="shared" si="40"/>
        <v>50.1</v>
      </c>
      <c r="AE794" s="218">
        <v>0</v>
      </c>
      <c r="AF794">
        <v>0</v>
      </c>
      <c r="AH794" t="str">
        <f t="shared" si="38"/>
        <v>Warisnagar</v>
      </c>
      <c r="AJ794" s="72">
        <v>0</v>
      </c>
      <c r="AK794" s="72"/>
      <c r="AL794" s="72"/>
      <c r="AM794" s="72"/>
    </row>
    <row r="795" spans="1:39" x14ac:dyDescent="0.25">
      <c r="A795" s="37" t="s">
        <v>62</v>
      </c>
      <c r="B795" s="66" t="s">
        <v>1566</v>
      </c>
      <c r="C795" s="41">
        <v>1057</v>
      </c>
      <c r="D795" s="41" t="s">
        <v>1202</v>
      </c>
      <c r="E795" s="41">
        <v>10570028</v>
      </c>
      <c r="F795" s="85" t="s">
        <v>1297</v>
      </c>
      <c r="G795" s="39" t="s">
        <v>93</v>
      </c>
      <c r="H795" s="52" t="s">
        <v>94</v>
      </c>
      <c r="I795" s="52">
        <v>289.8</v>
      </c>
      <c r="J795" s="49">
        <v>10403.75</v>
      </c>
      <c r="K795" s="58">
        <v>259.09999999999997</v>
      </c>
      <c r="L795" s="58">
        <v>9603.7886289708003</v>
      </c>
      <c r="M795" s="58">
        <v>21</v>
      </c>
      <c r="N795" s="58">
        <v>856.57128480000017</v>
      </c>
      <c r="O795" s="65">
        <v>280.09999999999997</v>
      </c>
      <c r="P795" s="65">
        <v>10460.359913770801</v>
      </c>
      <c r="Q795" s="50">
        <v>10403.75</v>
      </c>
      <c r="R795" s="65">
        <v>0</v>
      </c>
      <c r="S795" s="65">
        <v>0</v>
      </c>
      <c r="T795" s="65">
        <v>56.609913770800631</v>
      </c>
      <c r="U795" s="65">
        <v>0</v>
      </c>
      <c r="V795" s="65">
        <v>0</v>
      </c>
      <c r="W795" s="65">
        <v>0</v>
      </c>
      <c r="X795" s="65">
        <v>9547</v>
      </c>
      <c r="Y795" s="65">
        <v>857</v>
      </c>
      <c r="Z795" s="65">
        <v>0</v>
      </c>
      <c r="AA795" s="51">
        <v>0</v>
      </c>
      <c r="AB795" s="102">
        <v>0</v>
      </c>
      <c r="AC795" s="81">
        <f t="shared" si="39"/>
        <v>294.52161835748791</v>
      </c>
      <c r="AD795" s="82">
        <f t="shared" si="40"/>
        <v>41.4</v>
      </c>
      <c r="AE795" s="218">
        <v>-5.4412989326733758E-3</v>
      </c>
      <c r="AF795">
        <v>2</v>
      </c>
      <c r="AH795" t="str">
        <f t="shared" si="38"/>
        <v>Warisnagar</v>
      </c>
      <c r="AJ795" s="72">
        <v>0</v>
      </c>
      <c r="AK795" s="72"/>
      <c r="AL795" s="72"/>
      <c r="AM795" s="72"/>
    </row>
    <row r="796" spans="1:39" x14ac:dyDescent="0.25">
      <c r="A796" s="37" t="s">
        <v>62</v>
      </c>
      <c r="B796" s="66" t="s">
        <v>1566</v>
      </c>
      <c r="C796" s="41">
        <v>1057</v>
      </c>
      <c r="D796" s="41" t="s">
        <v>1202</v>
      </c>
      <c r="E796" s="41">
        <v>10570029</v>
      </c>
      <c r="F796" s="85" t="s">
        <v>1298</v>
      </c>
      <c r="G796" s="39" t="s">
        <v>93</v>
      </c>
      <c r="H796" s="52" t="s">
        <v>94</v>
      </c>
      <c r="I796" s="52">
        <v>162.09999999999997</v>
      </c>
      <c r="J796" s="49">
        <v>6670.5</v>
      </c>
      <c r="K796" s="58">
        <v>162.09999999999997</v>
      </c>
      <c r="L796" s="58">
        <v>6684.9663597419994</v>
      </c>
      <c r="M796" s="58">
        <v>0</v>
      </c>
      <c r="N796" s="58">
        <v>0</v>
      </c>
      <c r="O796" s="65">
        <v>162.09999999999997</v>
      </c>
      <c r="P796" s="65">
        <v>6684.9663597419994</v>
      </c>
      <c r="Q796" s="50">
        <v>6670.5</v>
      </c>
      <c r="R796" s="65">
        <v>0</v>
      </c>
      <c r="S796" s="65">
        <v>0</v>
      </c>
      <c r="T796" s="65">
        <v>14.46635974199944</v>
      </c>
      <c r="U796" s="65">
        <v>0</v>
      </c>
      <c r="V796" s="65">
        <v>96.481957377049127</v>
      </c>
      <c r="W796" s="65">
        <v>0</v>
      </c>
      <c r="X796" s="65">
        <v>6574</v>
      </c>
      <c r="Y796" s="65">
        <v>0</v>
      </c>
      <c r="Z796" s="65">
        <v>0</v>
      </c>
      <c r="AA796" s="51">
        <v>0</v>
      </c>
      <c r="AB796" s="102">
        <v>0</v>
      </c>
      <c r="AC796" s="81">
        <f t="shared" si="39"/>
        <v>442.69734114744006</v>
      </c>
      <c r="AD796" s="82">
        <f t="shared" si="40"/>
        <v>23.157142857142851</v>
      </c>
      <c r="AE796" s="218">
        <v>-2.1687069548009057E-3</v>
      </c>
      <c r="AF796">
        <v>1</v>
      </c>
      <c r="AH796" t="str">
        <f t="shared" si="38"/>
        <v>Warisnagar</v>
      </c>
      <c r="AJ796" s="72">
        <v>0</v>
      </c>
      <c r="AK796" s="72"/>
      <c r="AL796" s="72"/>
      <c r="AM796" s="72"/>
    </row>
    <row r="797" spans="1:39" x14ac:dyDescent="0.25">
      <c r="A797" s="37" t="s">
        <v>62</v>
      </c>
      <c r="B797" s="66" t="s">
        <v>1566</v>
      </c>
      <c r="C797" s="41">
        <v>1057</v>
      </c>
      <c r="D797" s="41" t="s">
        <v>1202</v>
      </c>
      <c r="E797" s="41">
        <v>10570030</v>
      </c>
      <c r="F797" s="85" t="s">
        <v>1299</v>
      </c>
      <c r="G797" s="39" t="s">
        <v>93</v>
      </c>
      <c r="H797" s="52" t="s">
        <v>94</v>
      </c>
      <c r="I797" s="52">
        <v>291.5</v>
      </c>
      <c r="J797" s="49">
        <v>10417.640000000003</v>
      </c>
      <c r="K797" s="58">
        <v>291.5</v>
      </c>
      <c r="L797" s="58">
        <v>10417.574297988</v>
      </c>
      <c r="M797" s="58">
        <v>0</v>
      </c>
      <c r="N797" s="58">
        <v>0</v>
      </c>
      <c r="O797" s="65">
        <v>291.5</v>
      </c>
      <c r="P797" s="65">
        <v>10417.574297988</v>
      </c>
      <c r="Q797" s="50">
        <v>10417.574297988</v>
      </c>
      <c r="R797" s="65">
        <v>0</v>
      </c>
      <c r="S797" s="65">
        <v>0</v>
      </c>
      <c r="T797" s="65">
        <v>0</v>
      </c>
      <c r="U797" s="65">
        <v>0</v>
      </c>
      <c r="V797" s="65">
        <v>144.18547868852465</v>
      </c>
      <c r="W797" s="65">
        <v>0</v>
      </c>
      <c r="X797" s="65">
        <v>10273</v>
      </c>
      <c r="Y797" s="65">
        <v>0</v>
      </c>
      <c r="Z797" s="65">
        <v>0</v>
      </c>
      <c r="AA797" s="51">
        <v>0</v>
      </c>
      <c r="AB797" s="102">
        <v>0</v>
      </c>
      <c r="AC797" s="81">
        <f t="shared" si="39"/>
        <v>291.9798243567754</v>
      </c>
      <c r="AD797" s="82">
        <f t="shared" si="40"/>
        <v>41.642857142857146</v>
      </c>
      <c r="AE797" s="218">
        <v>6.3068038445737093E-6</v>
      </c>
      <c r="AF797">
        <v>1</v>
      </c>
      <c r="AH797" t="str">
        <f t="shared" si="38"/>
        <v>Warisnagar</v>
      </c>
      <c r="AJ797" s="72">
        <v>0</v>
      </c>
      <c r="AK797" s="72"/>
      <c r="AL797" s="72"/>
      <c r="AM797" s="72"/>
    </row>
    <row r="798" spans="1:39" x14ac:dyDescent="0.25">
      <c r="A798" s="37" t="s">
        <v>62</v>
      </c>
      <c r="B798" s="66" t="s">
        <v>1566</v>
      </c>
      <c r="C798" s="41">
        <v>1057</v>
      </c>
      <c r="D798" s="41" t="s">
        <v>1202</v>
      </c>
      <c r="E798" s="41">
        <v>10570031</v>
      </c>
      <c r="F798" s="85" t="s">
        <v>1300</v>
      </c>
      <c r="G798" s="39" t="s">
        <v>93</v>
      </c>
      <c r="H798" s="52" t="s">
        <v>94</v>
      </c>
      <c r="I798" s="52">
        <v>163.5</v>
      </c>
      <c r="J798" s="49">
        <v>6522.6000000000013</v>
      </c>
      <c r="K798" s="58">
        <v>162.59999999999997</v>
      </c>
      <c r="L798" s="58">
        <v>6434.6178626550009</v>
      </c>
      <c r="M798" s="58">
        <v>0.5</v>
      </c>
      <c r="N798" s="58">
        <v>19.430951759999999</v>
      </c>
      <c r="O798" s="65">
        <v>163.09999999999997</v>
      </c>
      <c r="P798" s="65">
        <v>6454.0488144150013</v>
      </c>
      <c r="Q798" s="50">
        <v>6454.0488144150013</v>
      </c>
      <c r="R798" s="65">
        <v>0</v>
      </c>
      <c r="S798" s="65">
        <v>19.430951759999999</v>
      </c>
      <c r="T798" s="65">
        <v>0</v>
      </c>
      <c r="U798" s="65">
        <v>0</v>
      </c>
      <c r="V798" s="65">
        <v>0</v>
      </c>
      <c r="W798" s="65">
        <v>0</v>
      </c>
      <c r="X798" s="65">
        <v>6435</v>
      </c>
      <c r="Y798" s="65">
        <v>0</v>
      </c>
      <c r="Z798" s="65">
        <v>0</v>
      </c>
      <c r="AA798" s="51">
        <v>68</v>
      </c>
      <c r="AB798" s="102">
        <v>0</v>
      </c>
      <c r="AC798" s="81">
        <f t="shared" si="39"/>
        <v>428.05809174311935</v>
      </c>
      <c r="AD798" s="82">
        <f t="shared" si="40"/>
        <v>23.357142857142858</v>
      </c>
      <c r="AE798" s="218">
        <v>1.0509794496826414E-2</v>
      </c>
      <c r="AF798">
        <v>2</v>
      </c>
      <c r="AH798" t="str">
        <f t="shared" si="38"/>
        <v>Warisnagar</v>
      </c>
      <c r="AJ798" s="72">
        <v>0</v>
      </c>
      <c r="AK798" s="72"/>
      <c r="AL798" s="72"/>
      <c r="AM798" s="72"/>
    </row>
    <row r="799" spans="1:39" x14ac:dyDescent="0.25">
      <c r="A799" s="37" t="s">
        <v>62</v>
      </c>
      <c r="B799" s="66" t="s">
        <v>1566</v>
      </c>
      <c r="C799" s="41">
        <v>1057</v>
      </c>
      <c r="D799" s="41" t="s">
        <v>1202</v>
      </c>
      <c r="E799" s="41">
        <v>10570033</v>
      </c>
      <c r="F799" s="85" t="s">
        <v>1301</v>
      </c>
      <c r="G799" s="39" t="s">
        <v>635</v>
      </c>
      <c r="H799" s="52" t="s">
        <v>99</v>
      </c>
      <c r="I799" s="52">
        <v>140.60000000000002</v>
      </c>
      <c r="J799" s="49">
        <v>5469.3600000000006</v>
      </c>
      <c r="K799" s="58">
        <v>0</v>
      </c>
      <c r="L799" s="58">
        <v>0</v>
      </c>
      <c r="M799" s="58">
        <v>0</v>
      </c>
      <c r="N799" s="58">
        <v>0</v>
      </c>
      <c r="O799" s="65">
        <v>0</v>
      </c>
      <c r="P799" s="65">
        <v>0</v>
      </c>
      <c r="Q799" s="50">
        <v>5469.3600000000006</v>
      </c>
      <c r="R799" s="65">
        <v>0</v>
      </c>
      <c r="S799" s="65">
        <v>0</v>
      </c>
      <c r="T799" s="65">
        <v>0</v>
      </c>
      <c r="U799" s="65">
        <v>0</v>
      </c>
      <c r="V799" s="65">
        <v>162.1990838709678</v>
      </c>
      <c r="W799" s="65">
        <v>0</v>
      </c>
      <c r="X799" s="65">
        <v>0</v>
      </c>
      <c r="Y799" s="65">
        <v>0</v>
      </c>
      <c r="Z799" s="65">
        <v>5307.1609161290326</v>
      </c>
      <c r="AA799" s="51">
        <v>0</v>
      </c>
      <c r="AB799" s="102">
        <v>0</v>
      </c>
      <c r="AC799" s="81">
        <f t="shared" si="39"/>
        <v>435.21479146514935</v>
      </c>
      <c r="AD799" s="82">
        <f t="shared" si="40"/>
        <v>20.085714285714289</v>
      </c>
      <c r="AE799" s="218">
        <v>0</v>
      </c>
      <c r="AF799">
        <v>0</v>
      </c>
      <c r="AH799" t="str">
        <f t="shared" si="38"/>
        <v>Warisnagar</v>
      </c>
      <c r="AJ799" s="72">
        <v>0</v>
      </c>
      <c r="AK799" s="72"/>
      <c r="AL799" s="72"/>
      <c r="AM799" s="72"/>
    </row>
    <row r="800" spans="1:39" x14ac:dyDescent="0.25">
      <c r="A800" s="37" t="s">
        <v>62</v>
      </c>
      <c r="B800" s="66" t="s">
        <v>1566</v>
      </c>
      <c r="C800" s="41">
        <v>1057</v>
      </c>
      <c r="D800" s="41" t="s">
        <v>1202</v>
      </c>
      <c r="E800" s="41">
        <v>10570036</v>
      </c>
      <c r="F800" s="85" t="s">
        <v>1371</v>
      </c>
      <c r="G800" s="39" t="s">
        <v>93</v>
      </c>
      <c r="H800" s="52" t="s">
        <v>94</v>
      </c>
      <c r="I800" s="52">
        <v>321.09999999999997</v>
      </c>
      <c r="J800" s="49">
        <v>13106.749999999998</v>
      </c>
      <c r="K800" s="58">
        <v>320.60000000000008</v>
      </c>
      <c r="L800" s="58">
        <v>13126.915469206489</v>
      </c>
      <c r="M800" s="58">
        <v>0</v>
      </c>
      <c r="N800" s="58">
        <v>0</v>
      </c>
      <c r="O800" s="65">
        <v>320.60000000000008</v>
      </c>
      <c r="P800" s="65">
        <v>13126.915469206489</v>
      </c>
      <c r="Q800" s="50">
        <v>13106.749999999998</v>
      </c>
      <c r="R800" s="65">
        <v>0</v>
      </c>
      <c r="S800" s="65">
        <v>0</v>
      </c>
      <c r="T800" s="65">
        <v>20.165469206491252</v>
      </c>
      <c r="U800" s="65">
        <v>0</v>
      </c>
      <c r="V800" s="65">
        <v>0</v>
      </c>
      <c r="W800" s="65">
        <v>0</v>
      </c>
      <c r="X800" s="65">
        <v>13107</v>
      </c>
      <c r="Y800" s="65">
        <v>0</v>
      </c>
      <c r="Z800" s="65">
        <v>0</v>
      </c>
      <c r="AA800" s="51">
        <v>0</v>
      </c>
      <c r="AB800" s="102">
        <v>0</v>
      </c>
      <c r="AC800" s="81">
        <f t="shared" si="39"/>
        <v>309.32093273123638</v>
      </c>
      <c r="AD800" s="82">
        <f t="shared" si="40"/>
        <v>45.871428571428567</v>
      </c>
      <c r="AE800" s="218">
        <v>-1.5385560269701685E-3</v>
      </c>
      <c r="AF800">
        <v>1</v>
      </c>
      <c r="AH800" t="str">
        <f t="shared" si="38"/>
        <v>Warisnagar</v>
      </c>
      <c r="AJ800" s="72">
        <v>0</v>
      </c>
      <c r="AK800" s="72"/>
      <c r="AL800" s="72"/>
      <c r="AM800" s="72"/>
    </row>
    <row r="801" spans="1:39" x14ac:dyDescent="0.25">
      <c r="A801" s="37" t="s">
        <v>62</v>
      </c>
      <c r="B801" s="66" t="s">
        <v>1566</v>
      </c>
      <c r="C801" s="41">
        <v>1057</v>
      </c>
      <c r="D801" s="41" t="s">
        <v>1202</v>
      </c>
      <c r="E801" s="41">
        <v>10570037</v>
      </c>
      <c r="F801" s="85" t="s">
        <v>1320</v>
      </c>
      <c r="G801" s="39" t="s">
        <v>635</v>
      </c>
      <c r="H801" s="52" t="s">
        <v>99</v>
      </c>
      <c r="I801" s="52">
        <v>342.50000000000006</v>
      </c>
      <c r="J801" s="49">
        <v>11587.3</v>
      </c>
      <c r="K801" s="58">
        <v>0</v>
      </c>
      <c r="L801" s="58">
        <v>0</v>
      </c>
      <c r="M801" s="58">
        <v>0</v>
      </c>
      <c r="N801" s="58">
        <v>0</v>
      </c>
      <c r="O801" s="65">
        <v>0</v>
      </c>
      <c r="P801" s="65">
        <v>0</v>
      </c>
      <c r="Q801" s="50">
        <v>11587.3</v>
      </c>
      <c r="R801" s="65">
        <v>0</v>
      </c>
      <c r="S801" s="65">
        <v>0</v>
      </c>
      <c r="T801" s="65">
        <v>0</v>
      </c>
      <c r="U801" s="65">
        <v>0</v>
      </c>
      <c r="V801" s="65">
        <v>0</v>
      </c>
      <c r="W801" s="65">
        <v>0</v>
      </c>
      <c r="X801" s="65">
        <v>0</v>
      </c>
      <c r="Y801" s="65">
        <v>0</v>
      </c>
      <c r="Z801" s="65">
        <v>11587.3</v>
      </c>
      <c r="AA801" s="51">
        <v>0</v>
      </c>
      <c r="AB801" s="102">
        <v>0</v>
      </c>
      <c r="AC801" s="81">
        <f t="shared" si="39"/>
        <v>241.89545985401449</v>
      </c>
      <c r="AD801" s="82">
        <f t="shared" si="40"/>
        <v>48.928571428571438</v>
      </c>
      <c r="AE801" s="218">
        <v>0</v>
      </c>
      <c r="AF801">
        <v>0</v>
      </c>
      <c r="AH801" t="str">
        <f t="shared" si="38"/>
        <v>Warisnagar</v>
      </c>
      <c r="AJ801" s="72">
        <v>0</v>
      </c>
      <c r="AK801" s="72"/>
      <c r="AL801" s="72"/>
      <c r="AM801" s="72"/>
    </row>
    <row r="802" spans="1:39" x14ac:dyDescent="0.25">
      <c r="A802" s="37" t="s">
        <v>62</v>
      </c>
      <c r="B802" s="66" t="s">
        <v>1566</v>
      </c>
      <c r="C802" s="41">
        <v>1057</v>
      </c>
      <c r="D802" s="41" t="s">
        <v>1202</v>
      </c>
      <c r="E802" s="41">
        <v>10570038</v>
      </c>
      <c r="F802" s="85" t="s">
        <v>1321</v>
      </c>
      <c r="G802" s="39" t="s">
        <v>635</v>
      </c>
      <c r="H802" s="52" t="s">
        <v>99</v>
      </c>
      <c r="I802" s="52">
        <v>87.199999999999989</v>
      </c>
      <c r="J802" s="49">
        <v>3225.88</v>
      </c>
      <c r="K802" s="58">
        <v>0</v>
      </c>
      <c r="L802" s="58">
        <v>0</v>
      </c>
      <c r="M802" s="58">
        <v>0</v>
      </c>
      <c r="N802" s="58">
        <v>0</v>
      </c>
      <c r="O802" s="65">
        <v>0</v>
      </c>
      <c r="P802" s="65">
        <v>0</v>
      </c>
      <c r="Q802" s="50">
        <v>3225.88</v>
      </c>
      <c r="R802" s="65">
        <v>0</v>
      </c>
      <c r="S802" s="65">
        <v>0</v>
      </c>
      <c r="T802" s="65">
        <v>0</v>
      </c>
      <c r="U802" s="65">
        <v>0</v>
      </c>
      <c r="V802" s="65">
        <v>0</v>
      </c>
      <c r="W802" s="65">
        <v>0</v>
      </c>
      <c r="X802" s="65">
        <v>0</v>
      </c>
      <c r="Y802" s="65">
        <v>0</v>
      </c>
      <c r="Z802" s="65">
        <v>3225.88</v>
      </c>
      <c r="AA802" s="51">
        <v>0</v>
      </c>
      <c r="AB802" s="102">
        <v>0</v>
      </c>
      <c r="AC802" s="81">
        <f t="shared" si="39"/>
        <v>453.39891376146801</v>
      </c>
      <c r="AD802" s="82">
        <f t="shared" si="40"/>
        <v>12.457142857142856</v>
      </c>
      <c r="AE802" s="218">
        <v>0</v>
      </c>
      <c r="AF802">
        <v>0</v>
      </c>
      <c r="AH802" t="str">
        <f t="shared" si="38"/>
        <v>Warisnagar</v>
      </c>
      <c r="AJ802" s="72">
        <v>0</v>
      </c>
      <c r="AK802" s="72"/>
      <c r="AL802" s="72"/>
      <c r="AM802" s="72"/>
    </row>
    <row r="803" spans="1:39" x14ac:dyDescent="0.25">
      <c r="A803" s="37" t="s">
        <v>62</v>
      </c>
      <c r="B803" s="66" t="s">
        <v>1566</v>
      </c>
      <c r="C803" s="41">
        <v>1057</v>
      </c>
      <c r="D803" s="41" t="s">
        <v>1202</v>
      </c>
      <c r="E803" s="41">
        <v>10570042</v>
      </c>
      <c r="F803" s="85" t="s">
        <v>1535</v>
      </c>
      <c r="G803" s="39" t="s">
        <v>93</v>
      </c>
      <c r="H803" s="52" t="s">
        <v>94</v>
      </c>
      <c r="I803" s="52">
        <v>155.5</v>
      </c>
      <c r="J803" s="49">
        <v>6430.82</v>
      </c>
      <c r="K803" s="58">
        <v>155.50000000000003</v>
      </c>
      <c r="L803" s="58">
        <v>6430.3910373914996</v>
      </c>
      <c r="M803" s="58">
        <v>0</v>
      </c>
      <c r="N803" s="58">
        <v>0</v>
      </c>
      <c r="O803" s="65">
        <v>155.50000000000003</v>
      </c>
      <c r="P803" s="65">
        <v>6430.3910373914996</v>
      </c>
      <c r="Q803" s="50">
        <v>6430.3910373914996</v>
      </c>
      <c r="R803" s="65">
        <v>0</v>
      </c>
      <c r="S803" s="65">
        <v>0</v>
      </c>
      <c r="T803" s="65">
        <v>0</v>
      </c>
      <c r="U803" s="65">
        <v>0</v>
      </c>
      <c r="V803" s="65">
        <v>0</v>
      </c>
      <c r="W803" s="65">
        <v>0</v>
      </c>
      <c r="X803" s="65">
        <v>6430</v>
      </c>
      <c r="Y803" s="65">
        <v>0</v>
      </c>
      <c r="Z803" s="65">
        <v>0</v>
      </c>
      <c r="AA803" s="51">
        <v>1</v>
      </c>
      <c r="AB803" s="102">
        <v>0</v>
      </c>
      <c r="AC803" s="81">
        <f t="shared" si="39"/>
        <v>450.36417877813506</v>
      </c>
      <c r="AD803" s="82">
        <f t="shared" si="40"/>
        <v>22.214285714285715</v>
      </c>
      <c r="AE803" s="218">
        <v>6.6704185236115242E-5</v>
      </c>
      <c r="AF803">
        <v>1</v>
      </c>
      <c r="AH803" t="str">
        <f t="shared" si="38"/>
        <v>Warisnagar</v>
      </c>
      <c r="AJ803" s="72">
        <v>0</v>
      </c>
      <c r="AK803" s="72"/>
      <c r="AL803" s="72"/>
      <c r="AM803" s="72"/>
    </row>
    <row r="804" spans="1:39" x14ac:dyDescent="0.25">
      <c r="A804" s="37" t="s">
        <v>62</v>
      </c>
      <c r="B804" s="66" t="s">
        <v>1566</v>
      </c>
      <c r="C804" s="41">
        <v>1057</v>
      </c>
      <c r="D804" s="41" t="s">
        <v>1202</v>
      </c>
      <c r="E804" s="41">
        <v>10570044</v>
      </c>
      <c r="F804" s="85" t="s">
        <v>1456</v>
      </c>
      <c r="G804" s="39" t="s">
        <v>93</v>
      </c>
      <c r="H804" s="52" t="s">
        <v>94</v>
      </c>
      <c r="I804" s="52">
        <v>91.5</v>
      </c>
      <c r="J804" s="49">
        <v>4065.3</v>
      </c>
      <c r="K804" s="58">
        <v>83.6</v>
      </c>
      <c r="L804" s="58">
        <v>3700.3404072000008</v>
      </c>
      <c r="M804" s="58">
        <v>0</v>
      </c>
      <c r="N804" s="58">
        <v>0</v>
      </c>
      <c r="O804" s="65">
        <v>83.6</v>
      </c>
      <c r="P804" s="65">
        <v>3700.3404072000008</v>
      </c>
      <c r="Q804" s="50">
        <v>3700.3404072000008</v>
      </c>
      <c r="R804" s="65">
        <v>0</v>
      </c>
      <c r="S804" s="65">
        <v>0</v>
      </c>
      <c r="T804" s="65">
        <v>0</v>
      </c>
      <c r="U804" s="65">
        <v>0</v>
      </c>
      <c r="V804" s="65">
        <v>0</v>
      </c>
      <c r="W804" s="65">
        <v>0</v>
      </c>
      <c r="X804" s="65">
        <v>3700</v>
      </c>
      <c r="Y804" s="65">
        <v>0</v>
      </c>
      <c r="Z804" s="65">
        <v>0</v>
      </c>
      <c r="AA804" s="51">
        <v>365</v>
      </c>
      <c r="AB804" s="102">
        <v>0</v>
      </c>
      <c r="AC804" s="81">
        <f t="shared" si="39"/>
        <v>540.70711475409848</v>
      </c>
      <c r="AD804" s="82">
        <f t="shared" si="40"/>
        <v>13.071428571428571</v>
      </c>
      <c r="AE804" s="218">
        <v>8.9774332226403811E-2</v>
      </c>
      <c r="AF804">
        <v>1</v>
      </c>
      <c r="AH804" t="str">
        <f t="shared" si="38"/>
        <v>Warisnagar</v>
      </c>
      <c r="AJ804" s="72">
        <v>0</v>
      </c>
      <c r="AK804" s="72"/>
      <c r="AL804" s="72"/>
      <c r="AM804" s="72"/>
    </row>
    <row r="805" spans="1:39" x14ac:dyDescent="0.25">
      <c r="A805" s="37" t="s">
        <v>62</v>
      </c>
      <c r="B805" s="66" t="s">
        <v>1566</v>
      </c>
      <c r="C805" s="41">
        <v>1057</v>
      </c>
      <c r="D805" s="41" t="s">
        <v>1202</v>
      </c>
      <c r="E805" s="41">
        <v>10570045</v>
      </c>
      <c r="F805" s="85" t="s">
        <v>1395</v>
      </c>
      <c r="G805" s="39" t="s">
        <v>93</v>
      </c>
      <c r="H805" s="52" t="s">
        <v>94</v>
      </c>
      <c r="I805" s="52">
        <v>1243.6000000000001</v>
      </c>
      <c r="J805" s="49">
        <v>47186.689999999995</v>
      </c>
      <c r="K805" s="58">
        <v>1243.4000000000001</v>
      </c>
      <c r="L805" s="58">
        <v>47382.256692633018</v>
      </c>
      <c r="M805" s="58">
        <v>0</v>
      </c>
      <c r="N805" s="58">
        <v>0</v>
      </c>
      <c r="O805" s="65">
        <v>1243.4000000000001</v>
      </c>
      <c r="P805" s="65">
        <v>47382.256692633018</v>
      </c>
      <c r="Q805" s="50">
        <v>47186.689999999995</v>
      </c>
      <c r="R805" s="65">
        <v>0</v>
      </c>
      <c r="S805" s="65">
        <v>0</v>
      </c>
      <c r="T805" s="65">
        <v>195.56669263302319</v>
      </c>
      <c r="U805" s="65">
        <v>0</v>
      </c>
      <c r="V805" s="65">
        <v>0</v>
      </c>
      <c r="W805" s="65">
        <v>0</v>
      </c>
      <c r="X805" s="65">
        <v>47187</v>
      </c>
      <c r="Y805" s="65">
        <v>0</v>
      </c>
      <c r="Z805" s="65">
        <v>0</v>
      </c>
      <c r="AA805" s="51">
        <v>0</v>
      </c>
      <c r="AB805" s="102">
        <v>0</v>
      </c>
      <c r="AC805" s="81">
        <f t="shared" si="39"/>
        <v>0</v>
      </c>
      <c r="AD805" s="82">
        <f t="shared" si="40"/>
        <v>0</v>
      </c>
      <c r="AE805" s="218">
        <v>-4.14453085463344E-3</v>
      </c>
      <c r="AF805">
        <v>13</v>
      </c>
      <c r="AH805" t="str">
        <f t="shared" si="38"/>
        <v>Warisnagar</v>
      </c>
      <c r="AJ805" s="72">
        <v>0</v>
      </c>
      <c r="AK805" s="72"/>
      <c r="AL805" s="72"/>
      <c r="AM805" s="72"/>
    </row>
    <row r="806" spans="1:39" x14ac:dyDescent="0.25">
      <c r="A806" s="37" t="s">
        <v>62</v>
      </c>
      <c r="B806" s="66" t="s">
        <v>1566</v>
      </c>
      <c r="C806" s="41">
        <v>1057</v>
      </c>
      <c r="D806" s="41" t="s">
        <v>1202</v>
      </c>
      <c r="E806" s="41">
        <v>10570046</v>
      </c>
      <c r="F806" s="85" t="s">
        <v>1396</v>
      </c>
      <c r="G806" s="39" t="s">
        <v>635</v>
      </c>
      <c r="H806" s="52" t="s">
        <v>99</v>
      </c>
      <c r="I806" s="52">
        <v>414.00000000000006</v>
      </c>
      <c r="J806" s="49">
        <v>14226.529999999999</v>
      </c>
      <c r="K806" s="58">
        <v>0</v>
      </c>
      <c r="L806" s="58">
        <v>0</v>
      </c>
      <c r="M806" s="58">
        <v>0</v>
      </c>
      <c r="N806" s="58">
        <v>0</v>
      </c>
      <c r="O806" s="65">
        <v>0</v>
      </c>
      <c r="P806" s="65">
        <v>0</v>
      </c>
      <c r="Q806" s="50">
        <v>14226.529999999999</v>
      </c>
      <c r="R806" s="65">
        <v>0</v>
      </c>
      <c r="S806" s="65">
        <v>0</v>
      </c>
      <c r="T806" s="65">
        <v>0</v>
      </c>
      <c r="U806" s="65">
        <v>0</v>
      </c>
      <c r="V806" s="65">
        <v>0</v>
      </c>
      <c r="W806" s="65">
        <v>0</v>
      </c>
      <c r="X806" s="65">
        <v>0</v>
      </c>
      <c r="Y806" s="65">
        <v>0</v>
      </c>
      <c r="Z806" s="65">
        <v>14226.529999999999</v>
      </c>
      <c r="AA806" s="51">
        <v>0</v>
      </c>
      <c r="AB806" s="102">
        <v>0</v>
      </c>
      <c r="AC806" s="81">
        <f t="shared" si="39"/>
        <v>196.55978647342988</v>
      </c>
      <c r="AD806" s="82">
        <f t="shared" si="40"/>
        <v>59.142857142857153</v>
      </c>
      <c r="AE806" s="218">
        <v>0</v>
      </c>
      <c r="AF806">
        <v>0</v>
      </c>
      <c r="AH806" t="str">
        <f t="shared" si="38"/>
        <v>Warisnagar</v>
      </c>
      <c r="AJ806" s="72">
        <v>0</v>
      </c>
      <c r="AK806" s="72"/>
      <c r="AL806" s="72"/>
      <c r="AM806" s="72"/>
    </row>
    <row r="807" spans="1:39" x14ac:dyDescent="0.25">
      <c r="A807" s="37" t="s">
        <v>62</v>
      </c>
      <c r="B807" s="66" t="s">
        <v>1566</v>
      </c>
      <c r="C807" s="41">
        <v>1057</v>
      </c>
      <c r="D807" s="41" t="s">
        <v>1202</v>
      </c>
      <c r="E807" s="41">
        <v>10570047</v>
      </c>
      <c r="F807" s="85" t="s">
        <v>1441</v>
      </c>
      <c r="G807" s="39" t="s">
        <v>93</v>
      </c>
      <c r="H807" s="52" t="s">
        <v>94</v>
      </c>
      <c r="I807" s="52">
        <v>377</v>
      </c>
      <c r="J807" s="49">
        <v>14675.28</v>
      </c>
      <c r="K807" s="58">
        <v>299.60000000000002</v>
      </c>
      <c r="L807" s="58">
        <v>10815.149860586202</v>
      </c>
      <c r="M807" s="58">
        <v>77.40000000000002</v>
      </c>
      <c r="N807" s="58">
        <v>3798.3907268808748</v>
      </c>
      <c r="O807" s="65">
        <v>377.00000000000006</v>
      </c>
      <c r="P807" s="65">
        <v>14613.540587467076</v>
      </c>
      <c r="Q807" s="50">
        <v>14613.540587467076</v>
      </c>
      <c r="R807" s="65">
        <v>0</v>
      </c>
      <c r="S807" s="65">
        <v>0</v>
      </c>
      <c r="T807" s="65">
        <v>0</v>
      </c>
      <c r="U807" s="65">
        <v>0</v>
      </c>
      <c r="V807" s="65">
        <v>0</v>
      </c>
      <c r="W807" s="65">
        <v>0</v>
      </c>
      <c r="X807" s="65">
        <v>10815</v>
      </c>
      <c r="Y807" s="65">
        <v>3798</v>
      </c>
      <c r="Z807" s="65">
        <v>0</v>
      </c>
      <c r="AA807" s="51">
        <v>62</v>
      </c>
      <c r="AB807" s="102">
        <v>0</v>
      </c>
      <c r="AC807" s="81">
        <f t="shared" si="39"/>
        <v>251.46501007957562</v>
      </c>
      <c r="AD807" s="82">
        <f t="shared" si="40"/>
        <v>53.857142857142854</v>
      </c>
      <c r="AE807" s="218">
        <v>4.2070347232165033E-3</v>
      </c>
      <c r="AF807">
        <v>10</v>
      </c>
      <c r="AH807" t="str">
        <f t="shared" si="38"/>
        <v>Warisnagar</v>
      </c>
      <c r="AJ807" s="72">
        <v>0</v>
      </c>
      <c r="AK807" s="72"/>
      <c r="AL807" s="72"/>
      <c r="AM807" s="72"/>
    </row>
    <row r="808" spans="1:39" x14ac:dyDescent="0.25">
      <c r="A808" s="37" t="s">
        <v>62</v>
      </c>
      <c r="B808" s="66" t="s">
        <v>1566</v>
      </c>
      <c r="C808" s="41">
        <v>1057</v>
      </c>
      <c r="D808" s="41" t="s">
        <v>1202</v>
      </c>
      <c r="E808" s="41">
        <v>10570049</v>
      </c>
      <c r="F808" s="85" t="s">
        <v>1457</v>
      </c>
      <c r="G808" s="39" t="s">
        <v>93</v>
      </c>
      <c r="H808" s="52" t="s">
        <v>94</v>
      </c>
      <c r="I808" s="52">
        <v>244.4</v>
      </c>
      <c r="J808" s="49">
        <v>12659.029999999999</v>
      </c>
      <c r="K808" s="58">
        <v>243.49999999999994</v>
      </c>
      <c r="L808" s="58">
        <v>12755.714549359291</v>
      </c>
      <c r="M808" s="58">
        <v>0</v>
      </c>
      <c r="N808" s="58">
        <v>0</v>
      </c>
      <c r="O808" s="65">
        <v>243.49999999999994</v>
      </c>
      <c r="P808" s="65">
        <v>12755.714549359291</v>
      </c>
      <c r="Q808" s="50">
        <v>12659.029999999999</v>
      </c>
      <c r="R808" s="65">
        <v>0</v>
      </c>
      <c r="S808" s="65">
        <v>0</v>
      </c>
      <c r="T808" s="65">
        <v>96.68454935929185</v>
      </c>
      <c r="U808" s="65">
        <v>0</v>
      </c>
      <c r="V808" s="65">
        <v>0</v>
      </c>
      <c r="W808" s="65">
        <v>0</v>
      </c>
      <c r="X808" s="65">
        <v>12659</v>
      </c>
      <c r="Y808" s="65">
        <v>0</v>
      </c>
      <c r="Z808" s="65">
        <v>0</v>
      </c>
      <c r="AA808" s="51">
        <v>0</v>
      </c>
      <c r="AB808" s="102">
        <v>0</v>
      </c>
      <c r="AC808" s="81">
        <f t="shared" si="39"/>
        <v>471.96841800327331</v>
      </c>
      <c r="AD808" s="82">
        <f t="shared" si="40"/>
        <v>34.914285714285718</v>
      </c>
      <c r="AE808" s="218">
        <v>-7.637595404963244E-3</v>
      </c>
      <c r="AF808">
        <v>1</v>
      </c>
      <c r="AH808" t="str">
        <f t="shared" si="38"/>
        <v>Warisnagar</v>
      </c>
      <c r="AJ808" s="72">
        <v>0</v>
      </c>
      <c r="AK808" s="72"/>
      <c r="AL808" s="72"/>
      <c r="AM808" s="72"/>
    </row>
    <row r="809" spans="1:39" x14ac:dyDescent="0.25">
      <c r="A809" s="37" t="s">
        <v>62</v>
      </c>
      <c r="B809" s="66" t="s">
        <v>1566</v>
      </c>
      <c r="C809" s="41">
        <v>1057</v>
      </c>
      <c r="D809" s="41" t="s">
        <v>1202</v>
      </c>
      <c r="E809" s="41">
        <v>10570053</v>
      </c>
      <c r="F809" s="85" t="s">
        <v>1480</v>
      </c>
      <c r="G809" s="39" t="s">
        <v>635</v>
      </c>
      <c r="H809" s="52" t="s">
        <v>99</v>
      </c>
      <c r="I809" s="52">
        <v>280.7</v>
      </c>
      <c r="J809" s="49">
        <v>10687.810000000001</v>
      </c>
      <c r="K809" s="58">
        <v>0</v>
      </c>
      <c r="L809" s="58">
        <v>0</v>
      </c>
      <c r="M809" s="58">
        <v>0</v>
      </c>
      <c r="N809" s="58">
        <v>0</v>
      </c>
      <c r="O809" s="65">
        <v>0</v>
      </c>
      <c r="P809" s="65">
        <v>0</v>
      </c>
      <c r="Q809" s="50">
        <v>10687.810000000001</v>
      </c>
      <c r="R809" s="65">
        <v>0</v>
      </c>
      <c r="S809" s="65">
        <v>0</v>
      </c>
      <c r="T809" s="65">
        <v>0</v>
      </c>
      <c r="U809" s="65">
        <v>0</v>
      </c>
      <c r="V809" s="65">
        <v>0</v>
      </c>
      <c r="W809" s="65">
        <v>0</v>
      </c>
      <c r="X809" s="65">
        <v>0</v>
      </c>
      <c r="Y809" s="65">
        <v>0</v>
      </c>
      <c r="Z809" s="65">
        <v>10687.810000000001</v>
      </c>
      <c r="AA809" s="51">
        <v>0</v>
      </c>
      <c r="AB809" s="102">
        <v>0</v>
      </c>
      <c r="AC809" s="81">
        <f t="shared" si="39"/>
        <v>319.30165536159609</v>
      </c>
      <c r="AD809" s="82">
        <f t="shared" si="40"/>
        <v>40.1</v>
      </c>
      <c r="AE809" s="218">
        <v>0</v>
      </c>
      <c r="AF809">
        <v>0</v>
      </c>
      <c r="AH809" t="str">
        <f t="shared" si="38"/>
        <v>Warisnagar</v>
      </c>
      <c r="AJ809" s="72">
        <v>0</v>
      </c>
      <c r="AK809" s="72"/>
      <c r="AL809" s="72"/>
      <c r="AM809" s="72"/>
    </row>
    <row r="810" spans="1:39" x14ac:dyDescent="0.25">
      <c r="A810" s="37" t="s">
        <v>62</v>
      </c>
      <c r="B810" s="66" t="s">
        <v>1566</v>
      </c>
      <c r="C810" s="41">
        <v>1057</v>
      </c>
      <c r="D810" s="41" t="s">
        <v>1202</v>
      </c>
      <c r="E810" s="41">
        <v>10570055</v>
      </c>
      <c r="F810" s="85" t="s">
        <v>1507</v>
      </c>
      <c r="G810" s="39" t="s">
        <v>93</v>
      </c>
      <c r="H810" s="52" t="s">
        <v>94</v>
      </c>
      <c r="I810" s="52">
        <v>168.7</v>
      </c>
      <c r="J810" s="49">
        <v>6796.7899999999991</v>
      </c>
      <c r="K810" s="58">
        <v>167.79999999999998</v>
      </c>
      <c r="L810" s="58">
        <v>6858.9193834587195</v>
      </c>
      <c r="M810" s="58">
        <v>0</v>
      </c>
      <c r="N810" s="58">
        <v>0</v>
      </c>
      <c r="O810" s="65">
        <v>167.79999999999998</v>
      </c>
      <c r="P810" s="65">
        <v>6858.9193834587195</v>
      </c>
      <c r="Q810" s="50">
        <v>6796.7899999999991</v>
      </c>
      <c r="R810" s="65">
        <v>0</v>
      </c>
      <c r="S810" s="65">
        <v>0</v>
      </c>
      <c r="T810" s="65">
        <v>62.12938345872044</v>
      </c>
      <c r="U810" s="65">
        <v>0</v>
      </c>
      <c r="V810" s="65">
        <v>0</v>
      </c>
      <c r="W810" s="65">
        <v>0</v>
      </c>
      <c r="X810" s="65">
        <v>6797</v>
      </c>
      <c r="Y810" s="65">
        <v>0</v>
      </c>
      <c r="Z810" s="65">
        <v>0</v>
      </c>
      <c r="AA810" s="51">
        <v>0</v>
      </c>
      <c r="AB810" s="102">
        <v>0</v>
      </c>
      <c r="AC810" s="81">
        <f t="shared" si="39"/>
        <v>428.11316265560163</v>
      </c>
      <c r="AD810" s="82">
        <f t="shared" si="40"/>
        <v>24.099999999999998</v>
      </c>
      <c r="AE810" s="218">
        <v>-9.1409891226182424E-3</v>
      </c>
      <c r="AF810">
        <v>1</v>
      </c>
      <c r="AH810" t="str">
        <f t="shared" si="38"/>
        <v>Warisnagar</v>
      </c>
      <c r="AJ810" s="72">
        <v>0</v>
      </c>
      <c r="AK810" s="72"/>
      <c r="AL810" s="72"/>
      <c r="AM810" s="72"/>
    </row>
    <row r="811" spans="1:39" x14ac:dyDescent="0.25">
      <c r="A811" s="37" t="s">
        <v>62</v>
      </c>
      <c r="B811" s="66" t="s">
        <v>1566</v>
      </c>
      <c r="C811" s="41">
        <v>1057</v>
      </c>
      <c r="D811" s="41" t="s">
        <v>1202</v>
      </c>
      <c r="E811" s="41">
        <v>10570056</v>
      </c>
      <c r="F811" s="85" t="s">
        <v>1508</v>
      </c>
      <c r="G811" s="39" t="s">
        <v>635</v>
      </c>
      <c r="H811" s="52" t="s">
        <v>99</v>
      </c>
      <c r="I811" s="52">
        <v>75.599999999999994</v>
      </c>
      <c r="J811" s="49">
        <v>2662.65</v>
      </c>
      <c r="K811" s="58">
        <v>0</v>
      </c>
      <c r="L811" s="58">
        <v>0</v>
      </c>
      <c r="M811" s="58">
        <v>0</v>
      </c>
      <c r="N811" s="58">
        <v>0</v>
      </c>
      <c r="O811" s="65">
        <v>0</v>
      </c>
      <c r="P811" s="65">
        <v>0</v>
      </c>
      <c r="Q811" s="50">
        <v>2662.65</v>
      </c>
      <c r="R811" s="65">
        <v>0</v>
      </c>
      <c r="S811" s="65">
        <v>0</v>
      </c>
      <c r="T811" s="65">
        <v>0</v>
      </c>
      <c r="U811" s="65">
        <v>0</v>
      </c>
      <c r="V811" s="65">
        <v>0</v>
      </c>
      <c r="W811" s="65">
        <v>0</v>
      </c>
      <c r="X811" s="65">
        <v>0</v>
      </c>
      <c r="Y811" s="65">
        <v>0</v>
      </c>
      <c r="Z811" s="65">
        <v>2662.65</v>
      </c>
      <c r="AA811" s="51">
        <v>0</v>
      </c>
      <c r="AB811" s="102">
        <v>0</v>
      </c>
      <c r="AC811" s="81">
        <f t="shared" si="39"/>
        <v>439.83033333333339</v>
      </c>
      <c r="AD811" s="82">
        <f t="shared" si="40"/>
        <v>10.799999999999999</v>
      </c>
      <c r="AE811" s="218">
        <v>0</v>
      </c>
      <c r="AF811">
        <v>0</v>
      </c>
      <c r="AH811" t="str">
        <f t="shared" si="38"/>
        <v>Warisnagar</v>
      </c>
      <c r="AJ811" s="72">
        <v>0</v>
      </c>
      <c r="AK811" s="72"/>
      <c r="AL811" s="72"/>
      <c r="AM811" s="72"/>
    </row>
    <row r="812" spans="1:39" x14ac:dyDescent="0.25">
      <c r="A812" s="37" t="s">
        <v>62</v>
      </c>
      <c r="B812" s="66" t="s">
        <v>1566</v>
      </c>
      <c r="C812" s="41">
        <v>1057</v>
      </c>
      <c r="D812" s="41" t="s">
        <v>1202</v>
      </c>
      <c r="E812" s="41">
        <v>10570057</v>
      </c>
      <c r="F812" s="85" t="s">
        <v>1509</v>
      </c>
      <c r="G812" s="39" t="s">
        <v>635</v>
      </c>
      <c r="H812" s="52" t="s">
        <v>99</v>
      </c>
      <c r="I812" s="52">
        <v>251</v>
      </c>
      <c r="J812" s="49">
        <v>9103.8499999999985</v>
      </c>
      <c r="K812" s="58">
        <v>0</v>
      </c>
      <c r="L812" s="58">
        <v>0</v>
      </c>
      <c r="M812" s="58">
        <v>0</v>
      </c>
      <c r="N812" s="58">
        <v>0</v>
      </c>
      <c r="O812" s="65">
        <v>0</v>
      </c>
      <c r="P812" s="65">
        <v>0</v>
      </c>
      <c r="Q812" s="50">
        <v>9103.8499999999985</v>
      </c>
      <c r="R812" s="65">
        <v>0</v>
      </c>
      <c r="S812" s="65">
        <v>0</v>
      </c>
      <c r="T812" s="65">
        <v>0</v>
      </c>
      <c r="U812" s="65">
        <v>0</v>
      </c>
      <c r="V812" s="65">
        <v>0</v>
      </c>
      <c r="W812" s="65">
        <v>0</v>
      </c>
      <c r="X812" s="65">
        <v>0</v>
      </c>
      <c r="Y812" s="65">
        <v>0</v>
      </c>
      <c r="Z812" s="65">
        <v>9103.8499999999985</v>
      </c>
      <c r="AA812" s="51">
        <v>0</v>
      </c>
      <c r="AB812" s="102">
        <v>0</v>
      </c>
      <c r="AC812" s="81">
        <f t="shared" si="39"/>
        <v>325.70746215139434</v>
      </c>
      <c r="AD812" s="82">
        <f t="shared" si="40"/>
        <v>35.857142857142854</v>
      </c>
      <c r="AE812" s="218">
        <v>0</v>
      </c>
      <c r="AF812">
        <v>0</v>
      </c>
      <c r="AH812" t="str">
        <f t="shared" si="38"/>
        <v>Warisnagar</v>
      </c>
      <c r="AJ812" s="72">
        <v>0</v>
      </c>
      <c r="AK812" s="72"/>
      <c r="AL812" s="72"/>
      <c r="AM812" s="72"/>
    </row>
    <row r="813" spans="1:39" x14ac:dyDescent="0.25">
      <c r="A813" s="37" t="s">
        <v>62</v>
      </c>
      <c r="B813" s="66" t="s">
        <v>1566</v>
      </c>
      <c r="C813" s="41">
        <v>1057</v>
      </c>
      <c r="D813" s="41" t="s">
        <v>1202</v>
      </c>
      <c r="E813" s="41">
        <v>10570058</v>
      </c>
      <c r="F813" s="85" t="s">
        <v>1549</v>
      </c>
      <c r="G813" s="39" t="s">
        <v>635</v>
      </c>
      <c r="H813" s="52" t="s">
        <v>99</v>
      </c>
      <c r="I813" s="52">
        <v>260.7</v>
      </c>
      <c r="J813" s="49">
        <v>9422.7100000000009</v>
      </c>
      <c r="K813" s="58">
        <v>0</v>
      </c>
      <c r="L813" s="58">
        <v>0</v>
      </c>
      <c r="M813" s="58">
        <v>0</v>
      </c>
      <c r="N813" s="58">
        <v>0</v>
      </c>
      <c r="O813" s="65">
        <v>0</v>
      </c>
      <c r="P813" s="65">
        <v>0</v>
      </c>
      <c r="Q813" s="50">
        <v>9422.7100000000009</v>
      </c>
      <c r="R813" s="65">
        <v>0</v>
      </c>
      <c r="S813" s="65">
        <v>0</v>
      </c>
      <c r="T813" s="65">
        <v>0</v>
      </c>
      <c r="U813" s="65">
        <v>0</v>
      </c>
      <c r="V813" s="65">
        <v>0</v>
      </c>
      <c r="W813" s="65">
        <v>0</v>
      </c>
      <c r="X813" s="65">
        <v>0</v>
      </c>
      <c r="Y813" s="65">
        <v>0</v>
      </c>
      <c r="Z813" s="65">
        <v>9422.7100000000009</v>
      </c>
      <c r="AA813" s="51">
        <v>0</v>
      </c>
      <c r="AB813" s="102">
        <v>0</v>
      </c>
      <c r="AC813" s="81">
        <f t="shared" si="39"/>
        <v>317.56014599156128</v>
      </c>
      <c r="AD813" s="82">
        <f t="shared" si="40"/>
        <v>37.24285714285714</v>
      </c>
      <c r="AE813" s="218">
        <v>0</v>
      </c>
      <c r="AF813">
        <v>0</v>
      </c>
      <c r="AH813" t="str">
        <f t="shared" si="38"/>
        <v>Warisnagar</v>
      </c>
      <c r="AJ813" s="72">
        <v>0</v>
      </c>
      <c r="AK813" s="72"/>
      <c r="AL813" s="72"/>
      <c r="AM813" s="72"/>
    </row>
    <row r="814" spans="1:39" x14ac:dyDescent="0.25">
      <c r="A814" s="37" t="s">
        <v>62</v>
      </c>
      <c r="B814" s="66" t="s">
        <v>1566</v>
      </c>
      <c r="C814" s="41">
        <v>1057</v>
      </c>
      <c r="D814" s="41" t="s">
        <v>1202</v>
      </c>
      <c r="E814" s="41">
        <v>10570059</v>
      </c>
      <c r="F814" s="85" t="s">
        <v>1550</v>
      </c>
      <c r="G814" s="39" t="s">
        <v>635</v>
      </c>
      <c r="H814" s="52" t="s">
        <v>99</v>
      </c>
      <c r="I814" s="52">
        <v>1554</v>
      </c>
      <c r="J814" s="49">
        <v>66602.070000000007</v>
      </c>
      <c r="K814" s="58">
        <v>0</v>
      </c>
      <c r="L814" s="58">
        <v>0</v>
      </c>
      <c r="M814" s="58">
        <v>0</v>
      </c>
      <c r="N814" s="58">
        <v>0</v>
      </c>
      <c r="O814" s="65">
        <v>0</v>
      </c>
      <c r="P814" s="65">
        <v>0</v>
      </c>
      <c r="Q814" s="50">
        <v>66602.070000000007</v>
      </c>
      <c r="R814" s="65">
        <v>0</v>
      </c>
      <c r="S814" s="65">
        <v>0</v>
      </c>
      <c r="T814" s="65">
        <v>0</v>
      </c>
      <c r="U814" s="65">
        <v>0</v>
      </c>
      <c r="V814" s="65">
        <v>0</v>
      </c>
      <c r="W814" s="65">
        <v>0</v>
      </c>
      <c r="X814" s="65">
        <v>0</v>
      </c>
      <c r="Y814" s="65">
        <v>0</v>
      </c>
      <c r="Z814" s="65">
        <v>66602.070000000007</v>
      </c>
      <c r="AA814" s="51">
        <v>0</v>
      </c>
      <c r="AB814" s="102">
        <v>0</v>
      </c>
      <c r="AC814" s="81">
        <f t="shared" si="39"/>
        <v>0</v>
      </c>
      <c r="AD814" s="82">
        <f t="shared" si="40"/>
        <v>0</v>
      </c>
      <c r="AE814" s="218">
        <v>0</v>
      </c>
      <c r="AF814">
        <v>0</v>
      </c>
      <c r="AH814" t="str">
        <f t="shared" si="38"/>
        <v>Warisnagar</v>
      </c>
      <c r="AJ814" s="72">
        <v>0</v>
      </c>
      <c r="AK814" s="72"/>
      <c r="AL814" s="72"/>
      <c r="AM814" s="72"/>
    </row>
    <row r="815" spans="1:39" x14ac:dyDescent="0.25">
      <c r="A815" s="37" t="s">
        <v>62</v>
      </c>
      <c r="B815" s="66" t="s">
        <v>1566</v>
      </c>
      <c r="C815" s="41">
        <v>1057</v>
      </c>
      <c r="D815" s="41" t="s">
        <v>1202</v>
      </c>
      <c r="E815" s="41">
        <v>10570060</v>
      </c>
      <c r="F815" s="85" t="s">
        <v>1551</v>
      </c>
      <c r="G815" s="39" t="s">
        <v>635</v>
      </c>
      <c r="H815" s="52" t="s">
        <v>99</v>
      </c>
      <c r="I815" s="52">
        <v>271.39999999999998</v>
      </c>
      <c r="J815" s="49">
        <v>10739.16</v>
      </c>
      <c r="K815" s="58">
        <v>0</v>
      </c>
      <c r="L815" s="58">
        <v>0</v>
      </c>
      <c r="M815" s="58">
        <v>0</v>
      </c>
      <c r="N815" s="58">
        <v>0</v>
      </c>
      <c r="O815" s="65">
        <v>0</v>
      </c>
      <c r="P815" s="65">
        <v>0</v>
      </c>
      <c r="Q815" s="50">
        <v>10739.16</v>
      </c>
      <c r="R815" s="65">
        <v>0</v>
      </c>
      <c r="S815" s="65">
        <v>0</v>
      </c>
      <c r="T815" s="65">
        <v>0</v>
      </c>
      <c r="U815" s="65">
        <v>0</v>
      </c>
      <c r="V815" s="65">
        <v>0</v>
      </c>
      <c r="W815" s="65">
        <v>0</v>
      </c>
      <c r="X815" s="65">
        <v>0</v>
      </c>
      <c r="Y815" s="65">
        <v>0</v>
      </c>
      <c r="Z815" s="65">
        <v>10739.16</v>
      </c>
      <c r="AA815" s="51">
        <v>0</v>
      </c>
      <c r="AB815" s="102">
        <v>0</v>
      </c>
      <c r="AC815" s="81">
        <f t="shared" si="39"/>
        <v>339.18968135593218</v>
      </c>
      <c r="AD815" s="82">
        <f t="shared" si="40"/>
        <v>38.771428571428565</v>
      </c>
      <c r="AE815" s="218">
        <v>0</v>
      </c>
      <c r="AF815">
        <v>0</v>
      </c>
      <c r="AH815" t="str">
        <f t="shared" si="38"/>
        <v>Warisnagar</v>
      </c>
      <c r="AJ815" s="72">
        <v>0</v>
      </c>
      <c r="AK815" s="72"/>
      <c r="AL815" s="72"/>
      <c r="AM815" s="72"/>
    </row>
    <row r="816" spans="1:39" x14ac:dyDescent="0.25">
      <c r="A816" s="37" t="s">
        <v>62</v>
      </c>
      <c r="B816" s="66" t="s">
        <v>1566</v>
      </c>
      <c r="C816" s="41">
        <v>1057</v>
      </c>
      <c r="D816" s="41" t="s">
        <v>1202</v>
      </c>
      <c r="E816" s="41">
        <v>10570062</v>
      </c>
      <c r="F816" s="85" t="s">
        <v>1582</v>
      </c>
      <c r="G816" s="39" t="s">
        <v>635</v>
      </c>
      <c r="H816" s="52" t="s">
        <v>99</v>
      </c>
      <c r="I816" s="52">
        <v>237.9</v>
      </c>
      <c r="J816" s="49">
        <v>8416.9</v>
      </c>
      <c r="K816" s="58">
        <v>0</v>
      </c>
      <c r="L816" s="58">
        <v>0</v>
      </c>
      <c r="M816" s="58">
        <v>0</v>
      </c>
      <c r="N816" s="58">
        <v>0</v>
      </c>
      <c r="O816" s="65">
        <v>0</v>
      </c>
      <c r="P816" s="65">
        <v>0</v>
      </c>
      <c r="Q816" s="50">
        <v>8416.9</v>
      </c>
      <c r="R816" s="65">
        <v>0</v>
      </c>
      <c r="S816" s="65">
        <v>0</v>
      </c>
      <c r="T816" s="65">
        <v>0</v>
      </c>
      <c r="U816" s="65">
        <v>0</v>
      </c>
      <c r="V816" s="65">
        <v>0</v>
      </c>
      <c r="W816" s="65">
        <v>0</v>
      </c>
      <c r="X816" s="65">
        <v>0</v>
      </c>
      <c r="Y816" s="65">
        <v>0</v>
      </c>
      <c r="Z816" s="65">
        <v>8416.9</v>
      </c>
      <c r="AA816" s="51">
        <v>0</v>
      </c>
      <c r="AB816" s="102">
        <v>0</v>
      </c>
      <c r="AC816" s="81">
        <f t="shared" si="39"/>
        <v>326.98188230348882</v>
      </c>
      <c r="AD816" s="82">
        <f t="shared" si="40"/>
        <v>33.985714285714288</v>
      </c>
      <c r="AE816" s="218">
        <v>0</v>
      </c>
      <c r="AF816">
        <v>0</v>
      </c>
      <c r="AH816" t="str">
        <f t="shared" si="38"/>
        <v>Warisnagar</v>
      </c>
      <c r="AJ816" s="72">
        <v>0</v>
      </c>
      <c r="AK816" s="72"/>
      <c r="AL816" s="72"/>
      <c r="AM816" s="72"/>
    </row>
    <row r="817" spans="1:39" x14ac:dyDescent="0.25">
      <c r="A817" s="37" t="s">
        <v>62</v>
      </c>
      <c r="B817" s="66" t="s">
        <v>1566</v>
      </c>
      <c r="C817" s="41">
        <v>1058</v>
      </c>
      <c r="D817" s="41" t="s">
        <v>1344</v>
      </c>
      <c r="E817" s="41">
        <v>10580001</v>
      </c>
      <c r="F817" s="85" t="s">
        <v>1227</v>
      </c>
      <c r="G817" s="39" t="s">
        <v>93</v>
      </c>
      <c r="H817" s="52" t="s">
        <v>94</v>
      </c>
      <c r="I817" s="52">
        <v>312.60000000000002</v>
      </c>
      <c r="J817" s="49">
        <v>12726.71</v>
      </c>
      <c r="K817" s="58">
        <v>297.2</v>
      </c>
      <c r="L817" s="58">
        <v>12140.7591557878</v>
      </c>
      <c r="M817" s="58">
        <v>9.1</v>
      </c>
      <c r="N817" s="58">
        <v>369.13494420000001</v>
      </c>
      <c r="O817" s="65">
        <v>306.3</v>
      </c>
      <c r="P817" s="65">
        <v>12509.8940999878</v>
      </c>
      <c r="Q817" s="50">
        <v>12509.8940999878</v>
      </c>
      <c r="R817" s="65">
        <v>0</v>
      </c>
      <c r="S817" s="65">
        <v>369.13494420000001</v>
      </c>
      <c r="T817" s="65">
        <v>0</v>
      </c>
      <c r="U817" s="65">
        <v>0</v>
      </c>
      <c r="V817" s="65">
        <v>0</v>
      </c>
      <c r="W817" s="65">
        <v>0</v>
      </c>
      <c r="X817" s="65">
        <v>12140</v>
      </c>
      <c r="Y817" s="65">
        <v>0</v>
      </c>
      <c r="Z817" s="65">
        <v>0</v>
      </c>
      <c r="AA817" s="51">
        <v>218</v>
      </c>
      <c r="AB817" s="102">
        <v>0</v>
      </c>
      <c r="AC817" s="81">
        <f t="shared" si="39"/>
        <v>315.44001625079966</v>
      </c>
      <c r="AD817" s="82">
        <f t="shared" si="40"/>
        <v>44.657142857142858</v>
      </c>
      <c r="AE817" s="218">
        <v>1.7036288248274658E-2</v>
      </c>
      <c r="AF817">
        <v>14</v>
      </c>
      <c r="AH817" t="str">
        <f t="shared" si="38"/>
        <v>Hasanpur</v>
      </c>
      <c r="AJ817" s="72">
        <v>0</v>
      </c>
      <c r="AK817" s="72"/>
      <c r="AL817" s="72"/>
      <c r="AM817" s="72"/>
    </row>
    <row r="818" spans="1:39" x14ac:dyDescent="0.25">
      <c r="A818" s="37" t="s">
        <v>62</v>
      </c>
      <c r="B818" s="66" t="s">
        <v>1566</v>
      </c>
      <c r="C818" s="41">
        <v>1058</v>
      </c>
      <c r="D818" s="41" t="s">
        <v>1344</v>
      </c>
      <c r="E818" s="41">
        <v>10580002</v>
      </c>
      <c r="F818" s="85" t="s">
        <v>1246</v>
      </c>
      <c r="G818" s="39" t="s">
        <v>93</v>
      </c>
      <c r="H818" s="52" t="s">
        <v>94</v>
      </c>
      <c r="I818" s="52">
        <v>383.49999999999994</v>
      </c>
      <c r="J818" s="49">
        <v>15099.51</v>
      </c>
      <c r="K818" s="58">
        <v>377.60000000000008</v>
      </c>
      <c r="L818" s="58">
        <v>15538.337030467841</v>
      </c>
      <c r="M818" s="58">
        <v>8</v>
      </c>
      <c r="N818" s="58">
        <v>319.95021168000005</v>
      </c>
      <c r="O818" s="65">
        <v>385.60000000000008</v>
      </c>
      <c r="P818" s="65">
        <v>15858.287242147841</v>
      </c>
      <c r="Q818" s="50">
        <v>15099.51</v>
      </c>
      <c r="R818" s="65">
        <v>0</v>
      </c>
      <c r="S818" s="65">
        <v>319.95021168000005</v>
      </c>
      <c r="T818" s="65">
        <v>758.7772421478403</v>
      </c>
      <c r="U818" s="65">
        <v>0</v>
      </c>
      <c r="V818" s="65">
        <v>0</v>
      </c>
      <c r="W818" s="65">
        <v>0</v>
      </c>
      <c r="X818" s="65">
        <v>14780</v>
      </c>
      <c r="Y818" s="65">
        <v>0</v>
      </c>
      <c r="Z818" s="65">
        <v>0</v>
      </c>
      <c r="AA818" s="51">
        <v>0</v>
      </c>
      <c r="AB818" s="102">
        <v>0</v>
      </c>
      <c r="AC818" s="81">
        <f t="shared" si="39"/>
        <v>249.23050404172108</v>
      </c>
      <c r="AD818" s="82">
        <f t="shared" si="40"/>
        <v>54.785714285714278</v>
      </c>
      <c r="AE818" s="218">
        <v>-5.0251779173485778E-2</v>
      </c>
      <c r="AF818">
        <v>7</v>
      </c>
      <c r="AH818" t="str">
        <f t="shared" si="38"/>
        <v>Hasanpur</v>
      </c>
      <c r="AJ818" s="72">
        <v>0</v>
      </c>
      <c r="AK818" s="72"/>
      <c r="AL818" s="72"/>
      <c r="AM818" s="72"/>
    </row>
    <row r="819" spans="1:39" x14ac:dyDescent="0.25">
      <c r="A819" s="37" t="s">
        <v>62</v>
      </c>
      <c r="B819" s="66" t="s">
        <v>1566</v>
      </c>
      <c r="C819" s="41">
        <v>1058</v>
      </c>
      <c r="D819" s="41" t="s">
        <v>1344</v>
      </c>
      <c r="E819" s="41">
        <v>10580004</v>
      </c>
      <c r="F819" s="85" t="s">
        <v>1235</v>
      </c>
      <c r="G819" s="39" t="s">
        <v>93</v>
      </c>
      <c r="H819" s="52" t="s">
        <v>94</v>
      </c>
      <c r="I819" s="52">
        <v>277.60000000000002</v>
      </c>
      <c r="J819" s="49">
        <v>10197.209999999999</v>
      </c>
      <c r="K819" s="58">
        <v>262.8</v>
      </c>
      <c r="L819" s="58">
        <v>10653.504715978599</v>
      </c>
      <c r="M819" s="58">
        <v>3.3</v>
      </c>
      <c r="N819" s="58">
        <v>127.27687125720001</v>
      </c>
      <c r="O819" s="65">
        <v>266.10000000000002</v>
      </c>
      <c r="P819" s="65">
        <v>10780.781587235799</v>
      </c>
      <c r="Q819" s="50">
        <v>10197.209999999999</v>
      </c>
      <c r="R819" s="65">
        <v>0</v>
      </c>
      <c r="S819" s="65">
        <v>127.27687125720001</v>
      </c>
      <c r="T819" s="65">
        <v>583.5715872357996</v>
      </c>
      <c r="U819" s="65">
        <v>0</v>
      </c>
      <c r="V819" s="65">
        <v>0</v>
      </c>
      <c r="W819" s="65">
        <v>0</v>
      </c>
      <c r="X819" s="65">
        <v>10070</v>
      </c>
      <c r="Y819" s="65">
        <v>0</v>
      </c>
      <c r="Z819" s="65">
        <v>0</v>
      </c>
      <c r="AA819" s="51">
        <v>0</v>
      </c>
      <c r="AB819" s="102">
        <v>0</v>
      </c>
      <c r="AC819" s="81">
        <f t="shared" si="39"/>
        <v>310.32431585014405</v>
      </c>
      <c r="AD819" s="82">
        <f t="shared" si="40"/>
        <v>39.657142857142858</v>
      </c>
      <c r="AE819" s="218">
        <v>-5.7228554402213902E-2</v>
      </c>
      <c r="AF819">
        <v>3</v>
      </c>
      <c r="AH819" t="str">
        <f t="shared" ref="AH819:AH881" si="41">TEXT(D819,"0000")</f>
        <v>Hasanpur</v>
      </c>
      <c r="AJ819" s="72">
        <v>0</v>
      </c>
      <c r="AK819" s="72"/>
      <c r="AL819" s="72"/>
      <c r="AM819" s="72"/>
    </row>
    <row r="820" spans="1:39" x14ac:dyDescent="0.25">
      <c r="A820" s="37" t="s">
        <v>62</v>
      </c>
      <c r="B820" s="66" t="s">
        <v>1566</v>
      </c>
      <c r="C820" s="41">
        <v>1058</v>
      </c>
      <c r="D820" s="41" t="s">
        <v>1344</v>
      </c>
      <c r="E820" s="41">
        <v>10580005</v>
      </c>
      <c r="F820" s="85" t="s">
        <v>1281</v>
      </c>
      <c r="G820" s="39" t="s">
        <v>93</v>
      </c>
      <c r="H820" s="52" t="s">
        <v>94</v>
      </c>
      <c r="I820" s="52">
        <v>441.80000000000007</v>
      </c>
      <c r="J820" s="49">
        <v>16478.98</v>
      </c>
      <c r="K820" s="58">
        <v>465.9</v>
      </c>
      <c r="L820" s="58">
        <v>18632.059515710498</v>
      </c>
      <c r="M820" s="58">
        <v>3.2</v>
      </c>
      <c r="N820" s="58">
        <v>124.468889292</v>
      </c>
      <c r="O820" s="65">
        <v>469.09999999999997</v>
      </c>
      <c r="P820" s="65">
        <v>18756.528405002497</v>
      </c>
      <c r="Q820" s="50">
        <v>16478.98</v>
      </c>
      <c r="R820" s="65">
        <v>0</v>
      </c>
      <c r="S820" s="65">
        <v>124.468889292</v>
      </c>
      <c r="T820" s="65">
        <v>2277.548405002497</v>
      </c>
      <c r="U820" s="65">
        <v>0</v>
      </c>
      <c r="V820" s="65">
        <v>0</v>
      </c>
      <c r="W820" s="65">
        <v>0</v>
      </c>
      <c r="X820" s="65">
        <v>16355</v>
      </c>
      <c r="Y820" s="65">
        <v>0</v>
      </c>
      <c r="Z820" s="65">
        <v>0</v>
      </c>
      <c r="AA820" s="51">
        <v>0</v>
      </c>
      <c r="AB820" s="102" t="s">
        <v>68</v>
      </c>
      <c r="AC820" s="81">
        <f t="shared" si="39"/>
        <v>192.61532983250331</v>
      </c>
      <c r="AD820" s="82">
        <f t="shared" si="40"/>
        <v>63.114285714285721</v>
      </c>
      <c r="AE820" s="218">
        <v>-0.13820930694754754</v>
      </c>
      <c r="AF820">
        <v>9</v>
      </c>
      <c r="AH820" t="str">
        <f t="shared" si="41"/>
        <v>Hasanpur</v>
      </c>
      <c r="AJ820" s="72">
        <v>0</v>
      </c>
      <c r="AK820" s="72"/>
      <c r="AL820" s="72"/>
      <c r="AM820" s="72"/>
    </row>
    <row r="821" spans="1:39" x14ac:dyDescent="0.25">
      <c r="A821" s="37" t="s">
        <v>62</v>
      </c>
      <c r="B821" s="66" t="s">
        <v>1566</v>
      </c>
      <c r="C821" s="41">
        <v>1058</v>
      </c>
      <c r="D821" s="41" t="s">
        <v>1344</v>
      </c>
      <c r="E821" s="41">
        <v>10580007</v>
      </c>
      <c r="F821" s="85" t="s">
        <v>1282</v>
      </c>
      <c r="G821" s="39" t="s">
        <v>93</v>
      </c>
      <c r="H821" s="52" t="s">
        <v>94</v>
      </c>
      <c r="I821" s="52">
        <v>156.6</v>
      </c>
      <c r="J821" s="49">
        <v>5712.9900000000007</v>
      </c>
      <c r="K821" s="58">
        <v>140.59999999999997</v>
      </c>
      <c r="L821" s="58">
        <v>5466.3645400983469</v>
      </c>
      <c r="M821" s="58">
        <v>4.4000000000000004</v>
      </c>
      <c r="N821" s="58">
        <v>226.30914424142003</v>
      </c>
      <c r="O821" s="65">
        <v>144.99999999999997</v>
      </c>
      <c r="P821" s="65">
        <v>5692.6736843397666</v>
      </c>
      <c r="Q821" s="50">
        <v>5692.6736843397666</v>
      </c>
      <c r="R821" s="65">
        <v>0</v>
      </c>
      <c r="S821" s="65">
        <v>226.30914424142003</v>
      </c>
      <c r="T821" s="65">
        <v>0</v>
      </c>
      <c r="U821" s="65">
        <v>0</v>
      </c>
      <c r="V821" s="65">
        <v>0</v>
      </c>
      <c r="W821" s="65">
        <v>0</v>
      </c>
      <c r="X821" s="65">
        <v>5467</v>
      </c>
      <c r="Y821" s="65">
        <v>0</v>
      </c>
      <c r="Z821" s="65">
        <v>0</v>
      </c>
      <c r="AA821" s="51">
        <v>20</v>
      </c>
      <c r="AB821" s="102">
        <v>0</v>
      </c>
      <c r="AC821" s="81">
        <f t="shared" si="39"/>
        <v>396.48004674329519</v>
      </c>
      <c r="AD821" s="82">
        <f t="shared" si="40"/>
        <v>22.37142857142857</v>
      </c>
      <c r="AE821" s="218">
        <v>3.5561616001838032E-3</v>
      </c>
      <c r="AF821">
        <v>5</v>
      </c>
      <c r="AH821" t="str">
        <f t="shared" si="41"/>
        <v>Hasanpur</v>
      </c>
      <c r="AJ821" s="72">
        <v>0</v>
      </c>
      <c r="AK821" s="72"/>
      <c r="AL821" s="72"/>
      <c r="AM821" s="72"/>
    </row>
    <row r="822" spans="1:39" x14ac:dyDescent="0.25">
      <c r="A822" s="37" t="s">
        <v>62</v>
      </c>
      <c r="B822" s="66" t="s">
        <v>1566</v>
      </c>
      <c r="C822" s="41">
        <v>1058</v>
      </c>
      <c r="D822" s="41" t="s">
        <v>1344</v>
      </c>
      <c r="E822" s="41">
        <v>10580009</v>
      </c>
      <c r="F822" s="85" t="s">
        <v>1302</v>
      </c>
      <c r="G822" s="39" t="s">
        <v>93</v>
      </c>
      <c r="H822" s="52" t="s">
        <v>94</v>
      </c>
      <c r="I822" s="52">
        <v>120</v>
      </c>
      <c r="J822" s="49">
        <v>5401.8799999999992</v>
      </c>
      <c r="K822" s="58">
        <v>124.1</v>
      </c>
      <c r="L822" s="58">
        <v>5645.0699143300999</v>
      </c>
      <c r="M822" s="58">
        <v>0</v>
      </c>
      <c r="N822" s="58">
        <v>0</v>
      </c>
      <c r="O822" s="65">
        <v>124.1</v>
      </c>
      <c r="P822" s="65">
        <v>5645.0699143300999</v>
      </c>
      <c r="Q822" s="50">
        <v>5401.8799999999992</v>
      </c>
      <c r="R822" s="65">
        <v>0</v>
      </c>
      <c r="S822" s="65">
        <v>0</v>
      </c>
      <c r="T822" s="65">
        <v>243.18991433010069</v>
      </c>
      <c r="U822" s="65">
        <v>0</v>
      </c>
      <c r="V822" s="65">
        <v>626.41000000000008</v>
      </c>
      <c r="W822" s="65">
        <v>0</v>
      </c>
      <c r="X822" s="65">
        <v>4775</v>
      </c>
      <c r="Y822" s="65">
        <v>0</v>
      </c>
      <c r="Z822" s="65">
        <v>0</v>
      </c>
      <c r="AA822" s="51">
        <v>0</v>
      </c>
      <c r="AB822" s="102" t="s">
        <v>68</v>
      </c>
      <c r="AC822" s="81">
        <f t="shared" si="39"/>
        <v>522.18173333333323</v>
      </c>
      <c r="AD822" s="82">
        <f t="shared" si="40"/>
        <v>17.142857142857142</v>
      </c>
      <c r="AE822" s="218">
        <v>-4.5019495866272616E-2</v>
      </c>
      <c r="AF822">
        <v>13</v>
      </c>
      <c r="AH822" t="str">
        <f t="shared" si="41"/>
        <v>Hasanpur</v>
      </c>
      <c r="AJ822" s="72">
        <v>0</v>
      </c>
      <c r="AK822" s="72"/>
      <c r="AL822" s="72"/>
      <c r="AM822" s="72"/>
    </row>
    <row r="823" spans="1:39" x14ac:dyDescent="0.25">
      <c r="A823" s="37" t="s">
        <v>62</v>
      </c>
      <c r="B823" s="66" t="s">
        <v>1566</v>
      </c>
      <c r="C823" s="41">
        <v>1058</v>
      </c>
      <c r="D823" s="41" t="s">
        <v>1344</v>
      </c>
      <c r="E823" s="41">
        <v>10580010</v>
      </c>
      <c r="F823" s="85" t="s">
        <v>1354</v>
      </c>
      <c r="G823" s="39" t="s">
        <v>93</v>
      </c>
      <c r="H823" s="52" t="s">
        <v>94</v>
      </c>
      <c r="I823" s="52">
        <v>300.2</v>
      </c>
      <c r="J823" s="49">
        <v>11136.689999999999</v>
      </c>
      <c r="K823" s="58">
        <v>335.1</v>
      </c>
      <c r="L823" s="58">
        <v>13043.076169518001</v>
      </c>
      <c r="M823" s="58">
        <v>0</v>
      </c>
      <c r="N823" s="58">
        <v>0</v>
      </c>
      <c r="O823" s="65">
        <v>335.1</v>
      </c>
      <c r="P823" s="65">
        <v>13043.076169518001</v>
      </c>
      <c r="Q823" s="50">
        <v>11136.689999999999</v>
      </c>
      <c r="R823" s="65">
        <v>0</v>
      </c>
      <c r="S823" s="65">
        <v>0</v>
      </c>
      <c r="T823" s="65">
        <v>1906.3861695180021</v>
      </c>
      <c r="U823" s="65">
        <v>0</v>
      </c>
      <c r="V823" s="65">
        <v>0</v>
      </c>
      <c r="W823" s="65">
        <v>0</v>
      </c>
      <c r="X823" s="65">
        <v>11137</v>
      </c>
      <c r="Y823" s="65">
        <v>0</v>
      </c>
      <c r="Z823" s="65">
        <v>0</v>
      </c>
      <c r="AA823" s="51">
        <v>0</v>
      </c>
      <c r="AB823" s="102">
        <v>0</v>
      </c>
      <c r="AC823" s="81">
        <f t="shared" si="39"/>
        <v>296.63215602931376</v>
      </c>
      <c r="AD823" s="82">
        <f t="shared" si="40"/>
        <v>42.885714285714286</v>
      </c>
      <c r="AE823" s="218">
        <v>-0.17118068021270255</v>
      </c>
      <c r="AF823">
        <v>4</v>
      </c>
      <c r="AH823" t="str">
        <f t="shared" si="41"/>
        <v>Hasanpur</v>
      </c>
      <c r="AJ823" s="72">
        <v>0</v>
      </c>
      <c r="AK823" s="72"/>
      <c r="AL823" s="72"/>
      <c r="AM823" s="72"/>
    </row>
    <row r="824" spans="1:39" x14ac:dyDescent="0.25">
      <c r="A824" s="37" t="s">
        <v>62</v>
      </c>
      <c r="B824" s="66" t="s">
        <v>1566</v>
      </c>
      <c r="C824" s="41">
        <v>1058</v>
      </c>
      <c r="D824" s="41" t="s">
        <v>1344</v>
      </c>
      <c r="E824" s="41">
        <v>10580012</v>
      </c>
      <c r="F824" s="85" t="s">
        <v>1355</v>
      </c>
      <c r="G824" s="39" t="s">
        <v>93</v>
      </c>
      <c r="H824" s="52" t="s">
        <v>94</v>
      </c>
      <c r="I824" s="52">
        <v>76.499999999999986</v>
      </c>
      <c r="J824" s="49">
        <v>2809.12</v>
      </c>
      <c r="K824" s="58">
        <v>61.34</v>
      </c>
      <c r="L824" s="58">
        <v>2372.1127155390391</v>
      </c>
      <c r="M824" s="58">
        <v>0</v>
      </c>
      <c r="N824" s="58">
        <v>0</v>
      </c>
      <c r="O824" s="65">
        <v>61.34</v>
      </c>
      <c r="P824" s="65">
        <v>2372.1127155390391</v>
      </c>
      <c r="Q824" s="50">
        <v>2372.1127155390391</v>
      </c>
      <c r="R824" s="65">
        <v>0</v>
      </c>
      <c r="S824" s="65">
        <v>0</v>
      </c>
      <c r="T824" s="65">
        <v>0</v>
      </c>
      <c r="U824" s="65">
        <v>0</v>
      </c>
      <c r="V824" s="65">
        <v>16.596496551724073</v>
      </c>
      <c r="W824" s="65">
        <v>0</v>
      </c>
      <c r="X824" s="65">
        <v>2356</v>
      </c>
      <c r="Y824" s="65">
        <v>0</v>
      </c>
      <c r="Z824" s="65">
        <v>0</v>
      </c>
      <c r="AA824" s="51">
        <v>437</v>
      </c>
      <c r="AB824" s="102">
        <v>0</v>
      </c>
      <c r="AC824" s="81">
        <f t="shared" si="39"/>
        <v>457.90492026143795</v>
      </c>
      <c r="AD824" s="82">
        <f t="shared" si="40"/>
        <v>10.928571428571427</v>
      </c>
      <c r="AE824" s="218">
        <v>0.15556732516267047</v>
      </c>
      <c r="AF824">
        <v>4</v>
      </c>
      <c r="AH824" t="str">
        <f t="shared" si="41"/>
        <v>Hasanpur</v>
      </c>
      <c r="AJ824" s="72">
        <v>0</v>
      </c>
      <c r="AK824" s="72"/>
      <c r="AL824" s="72"/>
      <c r="AM824" s="72"/>
    </row>
    <row r="825" spans="1:39" x14ac:dyDescent="0.25">
      <c r="A825" s="37" t="s">
        <v>62</v>
      </c>
      <c r="B825" s="66" t="s">
        <v>1566</v>
      </c>
      <c r="C825" s="41">
        <v>1058</v>
      </c>
      <c r="D825" s="41" t="s">
        <v>1344</v>
      </c>
      <c r="E825" s="41">
        <v>10580013</v>
      </c>
      <c r="F825" s="85" t="s">
        <v>1583</v>
      </c>
      <c r="G825" s="39" t="s">
        <v>635</v>
      </c>
      <c r="H825" s="52" t="s">
        <v>99</v>
      </c>
      <c r="I825" s="52">
        <v>163.60000000000002</v>
      </c>
      <c r="J825" s="49">
        <v>5662.58</v>
      </c>
      <c r="K825" s="58">
        <v>0</v>
      </c>
      <c r="L825" s="58">
        <v>0</v>
      </c>
      <c r="M825" s="58">
        <v>0</v>
      </c>
      <c r="N825" s="58">
        <v>0</v>
      </c>
      <c r="O825" s="65">
        <v>0</v>
      </c>
      <c r="P825" s="65">
        <v>0</v>
      </c>
      <c r="Q825" s="50">
        <v>5662.58</v>
      </c>
      <c r="R825" s="65">
        <v>0</v>
      </c>
      <c r="S825" s="65">
        <v>0</v>
      </c>
      <c r="T825" s="65">
        <v>0</v>
      </c>
      <c r="U825" s="65">
        <v>0</v>
      </c>
      <c r="V825" s="65">
        <v>0</v>
      </c>
      <c r="W825" s="65">
        <v>0</v>
      </c>
      <c r="X825" s="65">
        <v>0</v>
      </c>
      <c r="Y825" s="65">
        <v>0</v>
      </c>
      <c r="Z825" s="65">
        <v>5662.58</v>
      </c>
      <c r="AA825" s="51">
        <v>0</v>
      </c>
      <c r="AB825" s="102">
        <v>0</v>
      </c>
      <c r="AC825" s="81">
        <f t="shared" si="39"/>
        <v>371.32126063569683</v>
      </c>
      <c r="AD825" s="82">
        <f t="shared" si="40"/>
        <v>23.371428571428574</v>
      </c>
      <c r="AE825" s="218">
        <v>0</v>
      </c>
      <c r="AF825">
        <v>0</v>
      </c>
      <c r="AH825" t="str">
        <f t="shared" si="41"/>
        <v>Hasanpur</v>
      </c>
      <c r="AJ825" s="72">
        <v>0</v>
      </c>
      <c r="AK825" s="72"/>
      <c r="AL825" s="72"/>
      <c r="AM825" s="72"/>
    </row>
    <row r="826" spans="1:39" x14ac:dyDescent="0.25">
      <c r="A826" s="37" t="s">
        <v>62</v>
      </c>
      <c r="B826" s="66" t="s">
        <v>1566</v>
      </c>
      <c r="C826" s="41">
        <v>1058</v>
      </c>
      <c r="D826" s="41" t="s">
        <v>1344</v>
      </c>
      <c r="E826" s="41">
        <v>10580015</v>
      </c>
      <c r="F826" s="85" t="s">
        <v>1356</v>
      </c>
      <c r="G826" s="39" t="s">
        <v>93</v>
      </c>
      <c r="H826" s="52" t="s">
        <v>94</v>
      </c>
      <c r="I826" s="52">
        <v>384.20000000000005</v>
      </c>
      <c r="J826" s="49">
        <v>12741.449999999997</v>
      </c>
      <c r="K826" s="58">
        <v>359.64</v>
      </c>
      <c r="L826" s="58">
        <v>12692.358687333601</v>
      </c>
      <c r="M826" s="58">
        <v>0</v>
      </c>
      <c r="N826" s="58">
        <v>0</v>
      </c>
      <c r="O826" s="65">
        <v>359.64</v>
      </c>
      <c r="P826" s="65">
        <v>12692.358687333601</v>
      </c>
      <c r="Q826" s="50">
        <v>12692.358687333601</v>
      </c>
      <c r="R826" s="65">
        <v>0</v>
      </c>
      <c r="S826" s="65">
        <v>0</v>
      </c>
      <c r="T826" s="65">
        <v>0</v>
      </c>
      <c r="U826" s="65">
        <v>0</v>
      </c>
      <c r="V826" s="65">
        <v>0</v>
      </c>
      <c r="W826" s="65">
        <v>0</v>
      </c>
      <c r="X826" s="65">
        <v>12693</v>
      </c>
      <c r="Y826" s="65">
        <v>0</v>
      </c>
      <c r="Z826" s="65">
        <v>0</v>
      </c>
      <c r="AA826" s="51">
        <v>48</v>
      </c>
      <c r="AB826" s="102">
        <v>0</v>
      </c>
      <c r="AC826" s="81">
        <f t="shared" si="39"/>
        <v>209.46121343050484</v>
      </c>
      <c r="AD826" s="82">
        <f t="shared" si="40"/>
        <v>54.885714285714293</v>
      </c>
      <c r="AE826" s="218">
        <v>3.8528827304895709E-3</v>
      </c>
      <c r="AF826">
        <v>7</v>
      </c>
      <c r="AH826" t="str">
        <f t="shared" si="41"/>
        <v>Hasanpur</v>
      </c>
      <c r="AJ826" s="72">
        <v>0</v>
      </c>
      <c r="AK826" s="72"/>
      <c r="AL826" s="72"/>
      <c r="AM826" s="72"/>
    </row>
    <row r="827" spans="1:39" x14ac:dyDescent="0.25">
      <c r="A827" s="37" t="s">
        <v>62</v>
      </c>
      <c r="B827" s="66" t="s">
        <v>1566</v>
      </c>
      <c r="C827" s="41">
        <v>1058</v>
      </c>
      <c r="D827" s="41" t="s">
        <v>1344</v>
      </c>
      <c r="E827" s="41">
        <v>10580017</v>
      </c>
      <c r="F827" s="85" t="s">
        <v>1357</v>
      </c>
      <c r="G827" s="39" t="s">
        <v>93</v>
      </c>
      <c r="H827" s="52" t="s">
        <v>94</v>
      </c>
      <c r="I827" s="52">
        <v>1113.2</v>
      </c>
      <c r="J827" s="49">
        <v>48073.37</v>
      </c>
      <c r="K827" s="58">
        <v>1107.8</v>
      </c>
      <c r="L827" s="58">
        <v>48609.7566993492</v>
      </c>
      <c r="M827" s="58">
        <v>5.3</v>
      </c>
      <c r="N827" s="58">
        <v>210.58519680000001</v>
      </c>
      <c r="O827" s="65">
        <v>1113.0999999999999</v>
      </c>
      <c r="P827" s="65">
        <v>48820.341896149199</v>
      </c>
      <c r="Q827" s="50">
        <v>48073.37</v>
      </c>
      <c r="R827" s="65">
        <v>0</v>
      </c>
      <c r="S827" s="65">
        <v>210.58519680000001</v>
      </c>
      <c r="T827" s="65">
        <v>746.97189614919625</v>
      </c>
      <c r="U827" s="65">
        <v>0</v>
      </c>
      <c r="V827" s="65">
        <v>0</v>
      </c>
      <c r="W827" s="65">
        <v>0</v>
      </c>
      <c r="X827" s="65">
        <v>47863</v>
      </c>
      <c r="Y827" s="65">
        <v>0</v>
      </c>
      <c r="Z827" s="65">
        <v>0</v>
      </c>
      <c r="AA827" s="51">
        <v>0</v>
      </c>
      <c r="AB827" s="102">
        <v>0</v>
      </c>
      <c r="AC827" s="81">
        <f t="shared" si="39"/>
        <v>0</v>
      </c>
      <c r="AD827" s="82">
        <f t="shared" si="40"/>
        <v>0</v>
      </c>
      <c r="AE827" s="218">
        <v>-1.5538163772358714E-2</v>
      </c>
      <c r="AF827">
        <v>5</v>
      </c>
      <c r="AH827" t="str">
        <f t="shared" si="41"/>
        <v>Hasanpur</v>
      </c>
      <c r="AJ827" s="72">
        <v>0</v>
      </c>
      <c r="AK827" s="72"/>
      <c r="AL827" s="72"/>
      <c r="AM827" s="72"/>
    </row>
    <row r="828" spans="1:39" x14ac:dyDescent="0.25">
      <c r="A828" s="37" t="s">
        <v>62</v>
      </c>
      <c r="B828" s="66" t="s">
        <v>1566</v>
      </c>
      <c r="C828" s="41">
        <v>1058</v>
      </c>
      <c r="D828" s="41" t="s">
        <v>1344</v>
      </c>
      <c r="E828" s="41">
        <v>10580018</v>
      </c>
      <c r="F828" s="85" t="s">
        <v>1364</v>
      </c>
      <c r="G828" s="39" t="s">
        <v>93</v>
      </c>
      <c r="H828" s="52" t="s">
        <v>94</v>
      </c>
      <c r="I828" s="52">
        <v>183.1</v>
      </c>
      <c r="J828" s="49">
        <v>7951.66</v>
      </c>
      <c r="K828" s="58">
        <v>187.29999999999998</v>
      </c>
      <c r="L828" s="58">
        <v>8374.8762626796397</v>
      </c>
      <c r="M828" s="58">
        <v>0</v>
      </c>
      <c r="N828" s="58">
        <v>0</v>
      </c>
      <c r="O828" s="65">
        <v>187.29999999999998</v>
      </c>
      <c r="P828" s="65">
        <v>8374.8762626796397</v>
      </c>
      <c r="Q828" s="50">
        <v>7951.66</v>
      </c>
      <c r="R828" s="65">
        <v>0</v>
      </c>
      <c r="S828" s="65">
        <v>0</v>
      </c>
      <c r="T828" s="65">
        <v>423.21626267963984</v>
      </c>
      <c r="U828" s="65">
        <v>0</v>
      </c>
      <c r="V828" s="65">
        <v>152.31</v>
      </c>
      <c r="W828" s="65">
        <v>0</v>
      </c>
      <c r="X828" s="65">
        <v>7799</v>
      </c>
      <c r="Y828" s="65">
        <v>0</v>
      </c>
      <c r="Z828" s="65">
        <v>0</v>
      </c>
      <c r="AA828" s="51">
        <v>0</v>
      </c>
      <c r="AB828" s="102" t="s">
        <v>68</v>
      </c>
      <c r="AC828" s="81">
        <f t="shared" si="39"/>
        <v>448.95828006553802</v>
      </c>
      <c r="AD828" s="82">
        <f t="shared" si="40"/>
        <v>26.157142857142855</v>
      </c>
      <c r="AE828" s="218">
        <v>-5.3223636659469831E-2</v>
      </c>
      <c r="AF828">
        <v>12</v>
      </c>
      <c r="AH828" t="str">
        <f t="shared" si="41"/>
        <v>Hasanpur</v>
      </c>
      <c r="AJ828" s="72">
        <v>0</v>
      </c>
      <c r="AK828" s="72"/>
      <c r="AL828" s="72"/>
      <c r="AM828" s="72"/>
    </row>
    <row r="829" spans="1:39" x14ac:dyDescent="0.25">
      <c r="A829" s="37" t="s">
        <v>62</v>
      </c>
      <c r="B829" s="66" t="s">
        <v>1566</v>
      </c>
      <c r="C829" s="41">
        <v>1058</v>
      </c>
      <c r="D829" s="41" t="s">
        <v>1344</v>
      </c>
      <c r="E829" s="41">
        <v>10580019</v>
      </c>
      <c r="F829" s="85" t="s">
        <v>1510</v>
      </c>
      <c r="G829" s="39" t="s">
        <v>93</v>
      </c>
      <c r="H829" s="52" t="s">
        <v>94</v>
      </c>
      <c r="I829" s="52">
        <v>290.89999999999998</v>
      </c>
      <c r="J829" s="49">
        <v>9758</v>
      </c>
      <c r="K829" s="58">
        <v>338.99999999999994</v>
      </c>
      <c r="L829" s="58">
        <v>12109.510168866</v>
      </c>
      <c r="M829" s="58">
        <v>0</v>
      </c>
      <c r="N829" s="58">
        <v>0</v>
      </c>
      <c r="O829" s="65">
        <v>338.99999999999994</v>
      </c>
      <c r="P829" s="65">
        <v>12109.510168866</v>
      </c>
      <c r="Q829" s="50">
        <v>9758</v>
      </c>
      <c r="R829" s="65">
        <v>0</v>
      </c>
      <c r="S829" s="65">
        <v>0</v>
      </c>
      <c r="T829" s="65">
        <v>2351.5101688659997</v>
      </c>
      <c r="U829" s="65">
        <v>0</v>
      </c>
      <c r="V829" s="65">
        <v>0</v>
      </c>
      <c r="W829" s="65">
        <v>0</v>
      </c>
      <c r="X829" s="65">
        <v>9758</v>
      </c>
      <c r="Y829" s="65">
        <v>0</v>
      </c>
      <c r="Z829" s="65">
        <v>0</v>
      </c>
      <c r="AA829" s="51">
        <v>0</v>
      </c>
      <c r="AB829" s="102" t="s">
        <v>68</v>
      </c>
      <c r="AC829" s="81">
        <f t="shared" si="39"/>
        <v>274.45842557579931</v>
      </c>
      <c r="AD829" s="82">
        <f t="shared" si="40"/>
        <v>41.557142857142857</v>
      </c>
      <c r="AE829" s="218">
        <v>-0.24098280066263575</v>
      </c>
      <c r="AF829">
        <v>1</v>
      </c>
      <c r="AH829" t="str">
        <f t="shared" si="41"/>
        <v>Hasanpur</v>
      </c>
      <c r="AJ829" s="72">
        <v>0</v>
      </c>
      <c r="AK829" s="72"/>
      <c r="AL829" s="72"/>
      <c r="AM829" s="72"/>
    </row>
    <row r="830" spans="1:39" x14ac:dyDescent="0.25">
      <c r="A830" s="37" t="s">
        <v>62</v>
      </c>
      <c r="B830" s="66" t="s">
        <v>1566</v>
      </c>
      <c r="C830" s="41">
        <v>1058</v>
      </c>
      <c r="D830" s="41" t="s">
        <v>1344</v>
      </c>
      <c r="E830" s="41">
        <v>10580022</v>
      </c>
      <c r="F830" s="85" t="s">
        <v>1397</v>
      </c>
      <c r="G830" s="39" t="s">
        <v>93</v>
      </c>
      <c r="H830" s="52" t="s">
        <v>94</v>
      </c>
      <c r="I830" s="52">
        <v>236.1</v>
      </c>
      <c r="J830" s="49">
        <v>11438.999999999998</v>
      </c>
      <c r="K830" s="58">
        <v>238.5</v>
      </c>
      <c r="L830" s="58">
        <v>11497.710185466956</v>
      </c>
      <c r="M830" s="58">
        <v>0</v>
      </c>
      <c r="N830" s="58">
        <v>0</v>
      </c>
      <c r="O830" s="65">
        <v>238.5</v>
      </c>
      <c r="P830" s="65">
        <v>11497.710185466956</v>
      </c>
      <c r="Q830" s="50">
        <v>11438.999999999998</v>
      </c>
      <c r="R830" s="65">
        <v>0</v>
      </c>
      <c r="S830" s="65">
        <v>0</v>
      </c>
      <c r="T830" s="65">
        <v>58.710185466958137</v>
      </c>
      <c r="U830" s="65">
        <v>0</v>
      </c>
      <c r="V830" s="65">
        <v>0</v>
      </c>
      <c r="W830" s="65">
        <v>0</v>
      </c>
      <c r="X830" s="65">
        <v>11439</v>
      </c>
      <c r="Y830" s="65">
        <v>0</v>
      </c>
      <c r="Z830" s="65">
        <v>0</v>
      </c>
      <c r="AA830" s="51">
        <v>0</v>
      </c>
      <c r="AB830" s="102">
        <v>0</v>
      </c>
      <c r="AC830" s="81">
        <f t="shared" si="39"/>
        <v>449.51733163913588</v>
      </c>
      <c r="AD830" s="82">
        <f t="shared" si="40"/>
        <v>33.728571428571428</v>
      </c>
      <c r="AE830" s="218">
        <v>-5.1324578605610755E-3</v>
      </c>
      <c r="AF830">
        <v>3</v>
      </c>
      <c r="AH830" t="str">
        <f t="shared" si="41"/>
        <v>Hasanpur</v>
      </c>
      <c r="AJ830" s="72">
        <v>0</v>
      </c>
      <c r="AK830" s="72"/>
      <c r="AL830" s="72"/>
      <c r="AM830" s="72"/>
    </row>
    <row r="831" spans="1:39" x14ac:dyDescent="0.25">
      <c r="A831" s="37" t="s">
        <v>62</v>
      </c>
      <c r="B831" s="66" t="s">
        <v>1566</v>
      </c>
      <c r="C831" s="41">
        <v>1058</v>
      </c>
      <c r="D831" s="41" t="s">
        <v>1344</v>
      </c>
      <c r="E831" s="41">
        <v>10580023</v>
      </c>
      <c r="F831" s="85" t="s">
        <v>1398</v>
      </c>
      <c r="G831" s="39" t="s">
        <v>635</v>
      </c>
      <c r="H831" s="52" t="s">
        <v>99</v>
      </c>
      <c r="I831" s="52">
        <v>803.4</v>
      </c>
      <c r="J831" s="49">
        <v>31474.620000000003</v>
      </c>
      <c r="K831" s="58">
        <v>0</v>
      </c>
      <c r="L831" s="58">
        <v>0</v>
      </c>
      <c r="M831" s="58">
        <v>0</v>
      </c>
      <c r="N831" s="58">
        <v>0</v>
      </c>
      <c r="O831" s="65">
        <v>0</v>
      </c>
      <c r="P831" s="65">
        <v>0</v>
      </c>
      <c r="Q831" s="50">
        <v>31474.620000000003</v>
      </c>
      <c r="R831" s="65">
        <v>0</v>
      </c>
      <c r="S831" s="65">
        <v>0</v>
      </c>
      <c r="T831" s="65">
        <v>0</v>
      </c>
      <c r="U831" s="65">
        <v>0</v>
      </c>
      <c r="V831" s="65">
        <v>0</v>
      </c>
      <c r="W831" s="65">
        <v>0</v>
      </c>
      <c r="X831" s="65">
        <v>0</v>
      </c>
      <c r="Y831" s="65">
        <v>0</v>
      </c>
      <c r="Z831" s="65">
        <v>31474.620000000003</v>
      </c>
      <c r="AA831" s="51">
        <v>0</v>
      </c>
      <c r="AB831" s="102">
        <v>0</v>
      </c>
      <c r="AC831" s="81">
        <f t="shared" si="39"/>
        <v>0</v>
      </c>
      <c r="AD831" s="82">
        <f t="shared" si="40"/>
        <v>0</v>
      </c>
      <c r="AE831" s="218">
        <v>0</v>
      </c>
      <c r="AF831">
        <v>0</v>
      </c>
      <c r="AH831" t="str">
        <f t="shared" si="41"/>
        <v>Hasanpur</v>
      </c>
      <c r="AJ831" s="72">
        <v>0</v>
      </c>
      <c r="AK831" s="72"/>
      <c r="AL831" s="72"/>
      <c r="AM831" s="72"/>
    </row>
    <row r="832" spans="1:39" x14ac:dyDescent="0.25">
      <c r="A832" s="37" t="s">
        <v>62</v>
      </c>
      <c r="B832" s="66" t="s">
        <v>1566</v>
      </c>
      <c r="C832" s="41">
        <v>1058</v>
      </c>
      <c r="D832" s="41" t="s">
        <v>1344</v>
      </c>
      <c r="E832" s="41">
        <v>10580024</v>
      </c>
      <c r="F832" s="85" t="s">
        <v>1511</v>
      </c>
      <c r="G832" s="39" t="s">
        <v>93</v>
      </c>
      <c r="H832" s="52" t="s">
        <v>94</v>
      </c>
      <c r="I832" s="52">
        <v>143.29999999999998</v>
      </c>
      <c r="J832" s="49">
        <v>5620.58</v>
      </c>
      <c r="K832" s="58">
        <v>142.69999999999999</v>
      </c>
      <c r="L832" s="58">
        <v>5620.5129245957996</v>
      </c>
      <c r="M832" s="58">
        <v>0</v>
      </c>
      <c r="N832" s="58">
        <v>0</v>
      </c>
      <c r="O832" s="65">
        <v>142.69999999999999</v>
      </c>
      <c r="P832" s="65">
        <v>5620.5129245957996</v>
      </c>
      <c r="Q832" s="50">
        <v>5620.5129245957996</v>
      </c>
      <c r="R832" s="65">
        <v>0</v>
      </c>
      <c r="S832" s="65">
        <v>0</v>
      </c>
      <c r="T832" s="65">
        <v>0</v>
      </c>
      <c r="U832" s="65">
        <v>0</v>
      </c>
      <c r="V832" s="65">
        <v>0</v>
      </c>
      <c r="W832" s="65">
        <v>0</v>
      </c>
      <c r="X832" s="65">
        <v>5620</v>
      </c>
      <c r="Y832" s="65">
        <v>0</v>
      </c>
      <c r="Z832" s="65">
        <v>0</v>
      </c>
      <c r="AA832" s="51">
        <v>1</v>
      </c>
      <c r="AB832" s="102">
        <v>0</v>
      </c>
      <c r="AC832" s="81">
        <f t="shared" si="39"/>
        <v>436.70298478715989</v>
      </c>
      <c r="AD832" s="82">
        <f t="shared" si="40"/>
        <v>20.471428571428568</v>
      </c>
      <c r="AE832" s="218">
        <v>1.1933893690739292E-5</v>
      </c>
      <c r="AF832">
        <v>2</v>
      </c>
      <c r="AH832" t="str">
        <f t="shared" si="41"/>
        <v>Hasanpur</v>
      </c>
      <c r="AJ832" s="72">
        <v>0</v>
      </c>
      <c r="AK832" s="72"/>
      <c r="AL832" s="72"/>
      <c r="AM832" s="72"/>
    </row>
    <row r="833" spans="1:39" x14ac:dyDescent="0.25">
      <c r="A833" s="37" t="s">
        <v>62</v>
      </c>
      <c r="B833" s="66" t="s">
        <v>1566</v>
      </c>
      <c r="C833" s="41">
        <v>1058</v>
      </c>
      <c r="D833" s="41" t="s">
        <v>1344</v>
      </c>
      <c r="E833" s="41">
        <v>10580025</v>
      </c>
      <c r="F833" s="85" t="s">
        <v>1512</v>
      </c>
      <c r="G833" s="39" t="s">
        <v>93</v>
      </c>
      <c r="H833" s="52" t="s">
        <v>94</v>
      </c>
      <c r="I833" s="52">
        <v>354.50000000000006</v>
      </c>
      <c r="J833" s="49">
        <v>14995.140000000001</v>
      </c>
      <c r="K833" s="58">
        <v>388.51</v>
      </c>
      <c r="L833" s="58">
        <v>16632.863829499238</v>
      </c>
      <c r="M833" s="58">
        <v>0</v>
      </c>
      <c r="N833" s="58">
        <v>0</v>
      </c>
      <c r="O833" s="65">
        <v>388.51</v>
      </c>
      <c r="P833" s="65">
        <v>16632.863829499238</v>
      </c>
      <c r="Q833" s="50">
        <v>14995.140000000001</v>
      </c>
      <c r="R833" s="65">
        <v>0</v>
      </c>
      <c r="S833" s="65">
        <v>0</v>
      </c>
      <c r="T833" s="65">
        <v>1637.7238294992367</v>
      </c>
      <c r="U833" s="65">
        <v>0</v>
      </c>
      <c r="V833" s="65">
        <v>0</v>
      </c>
      <c r="W833" s="65">
        <v>0</v>
      </c>
      <c r="X833" s="65">
        <v>14995</v>
      </c>
      <c r="Y833" s="65">
        <v>0</v>
      </c>
      <c r="Z833" s="65">
        <v>0</v>
      </c>
      <c r="AA833" s="51">
        <v>0</v>
      </c>
      <c r="AB833" s="102">
        <v>0</v>
      </c>
      <c r="AC833" s="81">
        <f t="shared" si="39"/>
        <v>292.28890662905491</v>
      </c>
      <c r="AD833" s="82">
        <f t="shared" si="40"/>
        <v>50.642857142857153</v>
      </c>
      <c r="AE833" s="218">
        <v>-0.10921697493316078</v>
      </c>
      <c r="AF833">
        <v>8</v>
      </c>
      <c r="AH833" t="str">
        <f t="shared" si="41"/>
        <v>Hasanpur</v>
      </c>
      <c r="AJ833" s="72">
        <v>0</v>
      </c>
      <c r="AK833" s="72"/>
      <c r="AL833" s="72"/>
      <c r="AM833" s="72"/>
    </row>
    <row r="834" spans="1:39" x14ac:dyDescent="0.25">
      <c r="A834" s="37" t="s">
        <v>62</v>
      </c>
      <c r="B834" s="66" t="s">
        <v>1566</v>
      </c>
      <c r="C834" s="41">
        <v>1058</v>
      </c>
      <c r="D834" s="41" t="s">
        <v>1344</v>
      </c>
      <c r="E834" s="41">
        <v>10580026</v>
      </c>
      <c r="F834" s="85" t="s">
        <v>1513</v>
      </c>
      <c r="G834" s="39" t="s">
        <v>93</v>
      </c>
      <c r="H834" s="52" t="s">
        <v>94</v>
      </c>
      <c r="I834" s="52">
        <v>185.10000000000002</v>
      </c>
      <c r="J834" s="49">
        <v>6261.86</v>
      </c>
      <c r="K834" s="58">
        <v>205.61000000000004</v>
      </c>
      <c r="L834" s="58">
        <v>7185.0616723116</v>
      </c>
      <c r="M834" s="58">
        <v>0</v>
      </c>
      <c r="N834" s="58">
        <v>0</v>
      </c>
      <c r="O834" s="65">
        <v>205.61000000000004</v>
      </c>
      <c r="P834" s="65">
        <v>7185.0616723116</v>
      </c>
      <c r="Q834" s="50">
        <v>6261.86</v>
      </c>
      <c r="R834" s="65">
        <v>0</v>
      </c>
      <c r="S834" s="65">
        <v>0</v>
      </c>
      <c r="T834" s="65">
        <v>923.2016723116003</v>
      </c>
      <c r="U834" s="65">
        <v>0</v>
      </c>
      <c r="V834" s="65">
        <v>0</v>
      </c>
      <c r="W834" s="65">
        <v>0</v>
      </c>
      <c r="X834" s="65">
        <v>6262</v>
      </c>
      <c r="Y834" s="65">
        <v>0</v>
      </c>
      <c r="Z834" s="65">
        <v>0</v>
      </c>
      <c r="AA834" s="51">
        <v>0</v>
      </c>
      <c r="AB834" s="102">
        <v>0</v>
      </c>
      <c r="AC834" s="81">
        <f t="shared" si="39"/>
        <v>348.37727866018366</v>
      </c>
      <c r="AD834" s="82">
        <f t="shared" si="40"/>
        <v>26.442857142857147</v>
      </c>
      <c r="AE834" s="218">
        <v>-0.14743249965850408</v>
      </c>
      <c r="AF834">
        <v>1</v>
      </c>
      <c r="AH834" t="str">
        <f t="shared" si="41"/>
        <v>Hasanpur</v>
      </c>
      <c r="AJ834" s="72">
        <v>0</v>
      </c>
      <c r="AK834" s="72"/>
      <c r="AL834" s="72"/>
      <c r="AM834" s="72"/>
    </row>
    <row r="835" spans="1:39" x14ac:dyDescent="0.25">
      <c r="A835" s="37" t="s">
        <v>62</v>
      </c>
      <c r="B835" s="66" t="s">
        <v>1566</v>
      </c>
      <c r="C835" s="41">
        <v>1058</v>
      </c>
      <c r="D835" s="41" t="s">
        <v>1344</v>
      </c>
      <c r="E835" s="41">
        <v>10580027</v>
      </c>
      <c r="F835" s="85" t="s">
        <v>1514</v>
      </c>
      <c r="G835" s="39" t="s">
        <v>93</v>
      </c>
      <c r="H835" s="52" t="s">
        <v>94</v>
      </c>
      <c r="I835" s="52">
        <v>129.60000000000002</v>
      </c>
      <c r="J835" s="49">
        <v>4695.3999999999996</v>
      </c>
      <c r="K835" s="58">
        <v>126.57000000000001</v>
      </c>
      <c r="L835" s="58">
        <v>4779.0215720280012</v>
      </c>
      <c r="M835" s="58">
        <v>0</v>
      </c>
      <c r="N835" s="58">
        <v>0</v>
      </c>
      <c r="O835" s="65">
        <v>126.57000000000001</v>
      </c>
      <c r="P835" s="65">
        <v>4779.0215720280012</v>
      </c>
      <c r="Q835" s="50">
        <v>4695.3999999999996</v>
      </c>
      <c r="R835" s="65">
        <v>0</v>
      </c>
      <c r="S835" s="65">
        <v>0</v>
      </c>
      <c r="T835" s="65">
        <v>83.621572028001538</v>
      </c>
      <c r="U835" s="65">
        <v>0</v>
      </c>
      <c r="V835" s="65">
        <v>0</v>
      </c>
      <c r="W835" s="65">
        <v>0</v>
      </c>
      <c r="X835" s="65">
        <v>4695</v>
      </c>
      <c r="Y835" s="65">
        <v>0</v>
      </c>
      <c r="Z835" s="65">
        <v>0</v>
      </c>
      <c r="AA835" s="51">
        <v>0</v>
      </c>
      <c r="AB835" s="102">
        <v>0</v>
      </c>
      <c r="AC835" s="81">
        <f t="shared" si="39"/>
        <v>413.31113580246898</v>
      </c>
      <c r="AD835" s="82">
        <f t="shared" si="40"/>
        <v>18.514285714285716</v>
      </c>
      <c r="AE835" s="218">
        <v>-1.7809254169613143E-2</v>
      </c>
      <c r="AF835">
        <v>2</v>
      </c>
      <c r="AH835" t="str">
        <f t="shared" si="41"/>
        <v>Hasanpur</v>
      </c>
      <c r="AJ835" s="72">
        <v>0</v>
      </c>
      <c r="AK835" s="72"/>
      <c r="AL835" s="72"/>
      <c r="AM835" s="72"/>
    </row>
    <row r="836" spans="1:39" x14ac:dyDescent="0.25">
      <c r="A836" s="37" t="s">
        <v>62</v>
      </c>
      <c r="B836" s="66" t="s">
        <v>1566</v>
      </c>
      <c r="C836" s="41">
        <v>1058</v>
      </c>
      <c r="D836" s="41" t="s">
        <v>1344</v>
      </c>
      <c r="E836" s="41">
        <v>10580028</v>
      </c>
      <c r="F836" s="85" t="s">
        <v>1515</v>
      </c>
      <c r="G836" s="39" t="s">
        <v>93</v>
      </c>
      <c r="H836" s="52" t="s">
        <v>94</v>
      </c>
      <c r="I836" s="52">
        <v>339.6</v>
      </c>
      <c r="J836" s="49">
        <v>14219.54</v>
      </c>
      <c r="K836" s="58">
        <v>327.30000000000007</v>
      </c>
      <c r="L836" s="58">
        <v>14225.52605638885</v>
      </c>
      <c r="M836" s="58">
        <v>0</v>
      </c>
      <c r="N836" s="58">
        <v>0</v>
      </c>
      <c r="O836" s="65">
        <v>327.30000000000007</v>
      </c>
      <c r="P836" s="65">
        <v>14225.52605638885</v>
      </c>
      <c r="Q836" s="50">
        <v>14219.54</v>
      </c>
      <c r="R836" s="65">
        <v>0</v>
      </c>
      <c r="S836" s="65">
        <v>0</v>
      </c>
      <c r="T836" s="65">
        <v>5.9860563888487377</v>
      </c>
      <c r="U836" s="65">
        <v>0</v>
      </c>
      <c r="V836" s="65">
        <v>0</v>
      </c>
      <c r="W836" s="65">
        <v>0</v>
      </c>
      <c r="X836" s="65">
        <v>14220</v>
      </c>
      <c r="Y836" s="65">
        <v>0</v>
      </c>
      <c r="Z836" s="65">
        <v>0</v>
      </c>
      <c r="AA836" s="51">
        <v>0</v>
      </c>
      <c r="AB836" s="102">
        <v>0</v>
      </c>
      <c r="AC836" s="81">
        <f t="shared" ref="AC836:AC899" si="42">((IF(AD836=0,0,100-AD836))*7*(J836/I836))*2%</f>
        <v>301.80931778563013</v>
      </c>
      <c r="AD836" s="82">
        <f t="shared" ref="AD836:AD899" si="43">IF((I836/7)&gt;100,0,(I836/7))</f>
        <v>48.51428571428572</v>
      </c>
      <c r="AE836" s="218">
        <v>-4.2097398290301494E-4</v>
      </c>
      <c r="AF836">
        <v>5</v>
      </c>
      <c r="AH836" t="str">
        <f t="shared" si="41"/>
        <v>Hasanpur</v>
      </c>
      <c r="AJ836" s="72">
        <v>0</v>
      </c>
      <c r="AK836" s="72"/>
      <c r="AL836" s="72"/>
      <c r="AM836" s="72"/>
    </row>
    <row r="837" spans="1:39" x14ac:dyDescent="0.25">
      <c r="A837" s="37" t="s">
        <v>62</v>
      </c>
      <c r="B837" s="66" t="s">
        <v>1566</v>
      </c>
      <c r="C837" s="41">
        <v>1058</v>
      </c>
      <c r="D837" s="41" t="s">
        <v>1344</v>
      </c>
      <c r="E837" s="41">
        <v>10580029</v>
      </c>
      <c r="F837" s="85" t="s">
        <v>1244</v>
      </c>
      <c r="G837" s="39" t="s">
        <v>93</v>
      </c>
      <c r="H837" s="52" t="s">
        <v>94</v>
      </c>
      <c r="I837" s="52">
        <v>194.39999999999995</v>
      </c>
      <c r="J837" s="49">
        <v>8324.8499999999985</v>
      </c>
      <c r="K837" s="58">
        <v>196.90000000000003</v>
      </c>
      <c r="L837" s="58">
        <v>9004.1458231764009</v>
      </c>
      <c r="M837" s="58">
        <v>0</v>
      </c>
      <c r="N837" s="58">
        <v>0</v>
      </c>
      <c r="O837" s="65">
        <v>196.90000000000003</v>
      </c>
      <c r="P837" s="65">
        <v>9004.1458231764009</v>
      </c>
      <c r="Q837" s="50">
        <v>8324.8499999999985</v>
      </c>
      <c r="R837" s="65">
        <v>0</v>
      </c>
      <c r="S837" s="65">
        <v>0</v>
      </c>
      <c r="T837" s="65">
        <v>679.29582317640234</v>
      </c>
      <c r="U837" s="65">
        <v>0</v>
      </c>
      <c r="V837" s="65">
        <v>0</v>
      </c>
      <c r="W837" s="65">
        <v>0</v>
      </c>
      <c r="X837" s="65">
        <v>8325</v>
      </c>
      <c r="Y837" s="65">
        <v>0</v>
      </c>
      <c r="Z837" s="65">
        <v>0</v>
      </c>
      <c r="AA837" s="51">
        <v>0</v>
      </c>
      <c r="AB837" s="102" t="s">
        <v>68</v>
      </c>
      <c r="AC837" s="81">
        <f t="shared" si="42"/>
        <v>433.02923456790131</v>
      </c>
      <c r="AD837" s="82">
        <f t="shared" si="43"/>
        <v>27.771428571428565</v>
      </c>
      <c r="AE837" s="218">
        <v>-8.1598566121479962E-2</v>
      </c>
      <c r="AF837">
        <v>6</v>
      </c>
      <c r="AH837" t="str">
        <f t="shared" si="41"/>
        <v>Hasanpur</v>
      </c>
      <c r="AJ837" s="72">
        <v>0</v>
      </c>
      <c r="AK837" s="72"/>
      <c r="AL837" s="72"/>
      <c r="AM837" s="72"/>
    </row>
    <row r="838" spans="1:39" x14ac:dyDescent="0.25">
      <c r="A838" s="37" t="s">
        <v>62</v>
      </c>
      <c r="B838" s="66" t="s">
        <v>1566</v>
      </c>
      <c r="C838" s="41">
        <v>1058</v>
      </c>
      <c r="D838" s="41" t="s">
        <v>1344</v>
      </c>
      <c r="E838" s="41">
        <v>10580030</v>
      </c>
      <c r="F838" s="85" t="s">
        <v>1516</v>
      </c>
      <c r="G838" s="39" t="s">
        <v>93</v>
      </c>
      <c r="H838" s="52" t="s">
        <v>94</v>
      </c>
      <c r="I838" s="52">
        <v>498.59999999999997</v>
      </c>
      <c r="J838" s="49">
        <v>17248.870000000003</v>
      </c>
      <c r="K838" s="58">
        <v>501</v>
      </c>
      <c r="L838" s="58">
        <v>17689.235935734003</v>
      </c>
      <c r="M838" s="58">
        <v>0</v>
      </c>
      <c r="N838" s="58">
        <v>0</v>
      </c>
      <c r="O838" s="65">
        <v>501</v>
      </c>
      <c r="P838" s="65">
        <v>17689.235935734003</v>
      </c>
      <c r="Q838" s="50">
        <v>17248.870000000003</v>
      </c>
      <c r="R838" s="65">
        <v>0</v>
      </c>
      <c r="S838" s="65">
        <v>0</v>
      </c>
      <c r="T838" s="65">
        <v>440.36593573400023</v>
      </c>
      <c r="U838" s="65">
        <v>0</v>
      </c>
      <c r="V838" s="65">
        <v>0</v>
      </c>
      <c r="W838" s="65">
        <v>0</v>
      </c>
      <c r="X838" s="65">
        <v>17249</v>
      </c>
      <c r="Y838" s="65">
        <v>0</v>
      </c>
      <c r="Z838" s="65">
        <v>0</v>
      </c>
      <c r="AA838" s="51">
        <v>0</v>
      </c>
      <c r="AB838" s="102">
        <v>0</v>
      </c>
      <c r="AC838" s="81">
        <f t="shared" si="42"/>
        <v>139.34706851183316</v>
      </c>
      <c r="AD838" s="82">
        <f t="shared" si="43"/>
        <v>71.228571428571428</v>
      </c>
      <c r="AE838" s="218">
        <v>-2.5530132451227251E-2</v>
      </c>
      <c r="AF838">
        <v>1</v>
      </c>
      <c r="AH838" t="str">
        <f t="shared" si="41"/>
        <v>Hasanpur</v>
      </c>
      <c r="AJ838" s="72">
        <v>0</v>
      </c>
      <c r="AK838" s="72"/>
      <c r="AL838" s="72"/>
      <c r="AM838" s="72"/>
    </row>
    <row r="839" spans="1:39" x14ac:dyDescent="0.25">
      <c r="A839" s="37" t="s">
        <v>62</v>
      </c>
      <c r="B839" s="66" t="s">
        <v>1566</v>
      </c>
      <c r="C839" s="41">
        <v>1059</v>
      </c>
      <c r="D839" s="41" t="s">
        <v>1347</v>
      </c>
      <c r="E839" s="41">
        <v>10590001</v>
      </c>
      <c r="F839" s="85" t="s">
        <v>1341</v>
      </c>
      <c r="G839" s="39" t="s">
        <v>93</v>
      </c>
      <c r="H839" s="52" t="s">
        <v>94</v>
      </c>
      <c r="I839" s="52">
        <v>765.3</v>
      </c>
      <c r="J839" s="49">
        <v>39366.86</v>
      </c>
      <c r="K839" s="58">
        <v>840.61000000000013</v>
      </c>
      <c r="L839" s="58">
        <v>45321.720202443081</v>
      </c>
      <c r="M839" s="58">
        <v>0.1</v>
      </c>
      <c r="N839" s="58">
        <v>7.070866478000001</v>
      </c>
      <c r="O839" s="65">
        <v>840.71000000000015</v>
      </c>
      <c r="P839" s="65">
        <v>45328.791068921084</v>
      </c>
      <c r="Q839" s="50">
        <v>39366.86</v>
      </c>
      <c r="R839" s="65">
        <v>0</v>
      </c>
      <c r="S839" s="65">
        <v>7.070866478000001</v>
      </c>
      <c r="T839" s="65">
        <v>5961.9310689210834</v>
      </c>
      <c r="U839" s="65">
        <v>0</v>
      </c>
      <c r="V839" s="65">
        <v>0</v>
      </c>
      <c r="W839" s="65">
        <v>0</v>
      </c>
      <c r="X839" s="65">
        <v>39360</v>
      </c>
      <c r="Y839" s="65">
        <v>0</v>
      </c>
      <c r="Z839" s="65">
        <v>0</v>
      </c>
      <c r="AA839" s="51">
        <v>0</v>
      </c>
      <c r="AB839" s="102">
        <v>0</v>
      </c>
      <c r="AC839" s="81">
        <f t="shared" si="42"/>
        <v>0</v>
      </c>
      <c r="AD839" s="82">
        <f t="shared" si="43"/>
        <v>0</v>
      </c>
      <c r="AE839" s="218">
        <v>-0.15144543072322972</v>
      </c>
      <c r="AF839">
        <v>5</v>
      </c>
      <c r="AH839" t="str">
        <f t="shared" si="41"/>
        <v>Gopalpur Bmc</v>
      </c>
      <c r="AJ839" s="72">
        <v>0</v>
      </c>
      <c r="AK839" s="72"/>
      <c r="AL839" s="72"/>
      <c r="AM839" s="72"/>
    </row>
    <row r="840" spans="1:39" x14ac:dyDescent="0.25">
      <c r="A840" s="37" t="s">
        <v>62</v>
      </c>
      <c r="B840" s="66" t="s">
        <v>1566</v>
      </c>
      <c r="C840" s="41">
        <v>1059</v>
      </c>
      <c r="D840" s="41" t="s">
        <v>1347</v>
      </c>
      <c r="E840" s="41">
        <v>10590002</v>
      </c>
      <c r="F840" s="85" t="s">
        <v>1342</v>
      </c>
      <c r="G840" s="39" t="s">
        <v>93</v>
      </c>
      <c r="H840" s="52" t="s">
        <v>94</v>
      </c>
      <c r="I840" s="52">
        <v>152.6</v>
      </c>
      <c r="J840" s="49">
        <v>9296.7400000000016</v>
      </c>
      <c r="K840" s="58">
        <v>153.07000000000002</v>
      </c>
      <c r="L840" s="58">
        <v>9551.9312270881983</v>
      </c>
      <c r="M840" s="58">
        <v>0</v>
      </c>
      <c r="N840" s="58">
        <v>0</v>
      </c>
      <c r="O840" s="65">
        <v>153.07000000000002</v>
      </c>
      <c r="P840" s="65">
        <v>9551.9312270881983</v>
      </c>
      <c r="Q840" s="50">
        <v>9296.7400000000016</v>
      </c>
      <c r="R840" s="65">
        <v>0</v>
      </c>
      <c r="S840" s="65">
        <v>0</v>
      </c>
      <c r="T840" s="65">
        <v>255.19122708819668</v>
      </c>
      <c r="U840" s="65">
        <v>0</v>
      </c>
      <c r="V840" s="65">
        <v>45.241587096774026</v>
      </c>
      <c r="W840" s="65">
        <v>0</v>
      </c>
      <c r="X840" s="65">
        <v>9251</v>
      </c>
      <c r="Y840" s="65">
        <v>0</v>
      </c>
      <c r="Z840" s="65">
        <v>0</v>
      </c>
      <c r="AA840" s="51">
        <v>0</v>
      </c>
      <c r="AB840" s="102">
        <v>0</v>
      </c>
      <c r="AC840" s="81">
        <f t="shared" si="42"/>
        <v>666.97712660550474</v>
      </c>
      <c r="AD840" s="82">
        <f t="shared" si="43"/>
        <v>21.8</v>
      </c>
      <c r="AE840" s="218">
        <v>-2.7449538987666285E-2</v>
      </c>
      <c r="AF840">
        <v>1</v>
      </c>
      <c r="AH840" t="str">
        <f t="shared" si="41"/>
        <v>Gopalpur Bmc</v>
      </c>
      <c r="AJ840" s="72">
        <v>0</v>
      </c>
      <c r="AK840" s="72"/>
      <c r="AL840" s="72"/>
      <c r="AM840" s="72"/>
    </row>
    <row r="841" spans="1:39" x14ac:dyDescent="0.25">
      <c r="A841" s="37" t="s">
        <v>62</v>
      </c>
      <c r="B841" s="66" t="s">
        <v>1566</v>
      </c>
      <c r="C841" s="41">
        <v>1059</v>
      </c>
      <c r="D841" s="41" t="s">
        <v>1347</v>
      </c>
      <c r="E841" s="41">
        <v>10590004</v>
      </c>
      <c r="F841" s="85" t="s">
        <v>1343</v>
      </c>
      <c r="G841" s="39" t="s">
        <v>93</v>
      </c>
      <c r="H841" s="52" t="s">
        <v>94</v>
      </c>
      <c r="I841" s="52">
        <v>964.00000000000011</v>
      </c>
      <c r="J841" s="49">
        <v>35916.740000000005</v>
      </c>
      <c r="K841" s="58">
        <v>999.2600000000001</v>
      </c>
      <c r="L841" s="58">
        <v>35857.044595468804</v>
      </c>
      <c r="M841" s="58">
        <v>0</v>
      </c>
      <c r="N841" s="58">
        <v>0</v>
      </c>
      <c r="O841" s="65">
        <v>999.2600000000001</v>
      </c>
      <c r="P841" s="65">
        <v>35857.044595468804</v>
      </c>
      <c r="Q841" s="50">
        <v>35857.044595468804</v>
      </c>
      <c r="R841" s="65">
        <v>0</v>
      </c>
      <c r="S841" s="65">
        <v>0</v>
      </c>
      <c r="T841" s="65">
        <v>0</v>
      </c>
      <c r="U841" s="65">
        <v>0</v>
      </c>
      <c r="V841" s="65">
        <v>0</v>
      </c>
      <c r="W841" s="65">
        <v>0</v>
      </c>
      <c r="X841" s="65">
        <v>35857</v>
      </c>
      <c r="Y841" s="65">
        <v>0</v>
      </c>
      <c r="Z841" s="65">
        <v>0</v>
      </c>
      <c r="AA841" s="51">
        <v>60</v>
      </c>
      <c r="AB841" s="102">
        <v>0</v>
      </c>
      <c r="AC841" s="81">
        <f t="shared" si="42"/>
        <v>0</v>
      </c>
      <c r="AD841" s="82">
        <f t="shared" si="43"/>
        <v>0</v>
      </c>
      <c r="AE841" s="218">
        <v>1.6620496328787451E-3</v>
      </c>
      <c r="AF841">
        <v>1</v>
      </c>
      <c r="AH841" t="str">
        <f t="shared" si="41"/>
        <v>Gopalpur Bmc</v>
      </c>
      <c r="AJ841" s="72">
        <v>0</v>
      </c>
      <c r="AK841" s="72"/>
      <c r="AL841" s="72"/>
      <c r="AM841" s="72"/>
    </row>
    <row r="842" spans="1:39" x14ac:dyDescent="0.25">
      <c r="A842" s="37" t="s">
        <v>62</v>
      </c>
      <c r="B842" s="66" t="s">
        <v>1566</v>
      </c>
      <c r="C842" s="41">
        <v>1059</v>
      </c>
      <c r="D842" s="41" t="s">
        <v>1347</v>
      </c>
      <c r="E842" s="41">
        <v>10590006</v>
      </c>
      <c r="F842" s="85" t="s">
        <v>1358</v>
      </c>
      <c r="G842" s="39" t="s">
        <v>93</v>
      </c>
      <c r="H842" s="52" t="s">
        <v>94</v>
      </c>
      <c r="I842" s="52">
        <v>351.6</v>
      </c>
      <c r="J842" s="49">
        <v>15216.81</v>
      </c>
      <c r="K842" s="58">
        <v>358.70000000000005</v>
      </c>
      <c r="L842" s="58">
        <v>15242.724304834999</v>
      </c>
      <c r="M842" s="58">
        <v>0</v>
      </c>
      <c r="N842" s="58">
        <v>0</v>
      </c>
      <c r="O842" s="65">
        <v>358.70000000000005</v>
      </c>
      <c r="P842" s="65">
        <v>15242.724304834999</v>
      </c>
      <c r="Q842" s="50">
        <v>15216.81</v>
      </c>
      <c r="R842" s="65">
        <v>0</v>
      </c>
      <c r="S842" s="65">
        <v>0</v>
      </c>
      <c r="T842" s="65">
        <v>25.914304834999712</v>
      </c>
      <c r="U842" s="65">
        <v>0</v>
      </c>
      <c r="V842" s="65">
        <v>82.957529032258336</v>
      </c>
      <c r="W842" s="65">
        <v>0</v>
      </c>
      <c r="X842" s="65">
        <v>15134</v>
      </c>
      <c r="Y842" s="65">
        <v>0</v>
      </c>
      <c r="Z842" s="65">
        <v>0</v>
      </c>
      <c r="AA842" s="51">
        <v>0</v>
      </c>
      <c r="AB842" s="102">
        <v>0</v>
      </c>
      <c r="AC842" s="81">
        <f t="shared" si="42"/>
        <v>301.56635972696239</v>
      </c>
      <c r="AD842" s="82">
        <f t="shared" si="43"/>
        <v>50.228571428571435</v>
      </c>
      <c r="AE842" s="218">
        <v>-1.7030050868085829E-3</v>
      </c>
      <c r="AF842">
        <v>9</v>
      </c>
      <c r="AH842" t="str">
        <f t="shared" si="41"/>
        <v>Gopalpur Bmc</v>
      </c>
      <c r="AJ842" s="72">
        <v>0</v>
      </c>
      <c r="AK842" s="72"/>
      <c r="AL842" s="72"/>
      <c r="AM842" s="72"/>
    </row>
    <row r="843" spans="1:39" x14ac:dyDescent="0.25">
      <c r="A843" s="37" t="s">
        <v>62</v>
      </c>
      <c r="B843" s="66" t="s">
        <v>1566</v>
      </c>
      <c r="C843" s="41">
        <v>1059</v>
      </c>
      <c r="D843" s="41" t="s">
        <v>1347</v>
      </c>
      <c r="E843" s="41">
        <v>10590008</v>
      </c>
      <c r="F843" s="85" t="s">
        <v>1430</v>
      </c>
      <c r="G843" s="39" t="s">
        <v>93</v>
      </c>
      <c r="H843" s="52" t="s">
        <v>94</v>
      </c>
      <c r="I843" s="52">
        <v>306</v>
      </c>
      <c r="J843" s="49">
        <v>13360.589999999998</v>
      </c>
      <c r="K843" s="58">
        <v>307.79999999999995</v>
      </c>
      <c r="L843" s="58">
        <v>13475.554200134999</v>
      </c>
      <c r="M843" s="58">
        <v>0</v>
      </c>
      <c r="N843" s="58">
        <v>0</v>
      </c>
      <c r="O843" s="65">
        <v>307.79999999999995</v>
      </c>
      <c r="P843" s="65">
        <v>13475.554200134999</v>
      </c>
      <c r="Q843" s="50">
        <v>13360.589999999998</v>
      </c>
      <c r="R843" s="65">
        <v>0</v>
      </c>
      <c r="S843" s="65">
        <v>0</v>
      </c>
      <c r="T843" s="65">
        <v>114.96420013500028</v>
      </c>
      <c r="U843" s="65">
        <v>0</v>
      </c>
      <c r="V843" s="65">
        <v>0</v>
      </c>
      <c r="W843" s="65">
        <v>0</v>
      </c>
      <c r="X843" s="65">
        <v>13361</v>
      </c>
      <c r="Y843" s="65">
        <v>0</v>
      </c>
      <c r="Z843" s="65">
        <v>0</v>
      </c>
      <c r="AA843" s="51">
        <v>0</v>
      </c>
      <c r="AB843" s="102">
        <v>0</v>
      </c>
      <c r="AC843" s="81">
        <f t="shared" si="42"/>
        <v>344.05702352941177</v>
      </c>
      <c r="AD843" s="82">
        <f t="shared" si="43"/>
        <v>43.714285714285715</v>
      </c>
      <c r="AE843" s="218">
        <v>-8.6047248014496595E-3</v>
      </c>
      <c r="AF843">
        <v>1</v>
      </c>
      <c r="AH843" t="str">
        <f t="shared" si="41"/>
        <v>Gopalpur Bmc</v>
      </c>
      <c r="AJ843" s="72">
        <v>0</v>
      </c>
      <c r="AK843" s="72"/>
      <c r="AL843" s="72"/>
      <c r="AM843" s="72"/>
    </row>
    <row r="844" spans="1:39" x14ac:dyDescent="0.25">
      <c r="A844" s="37" t="s">
        <v>62</v>
      </c>
      <c r="B844" s="66" t="s">
        <v>1566</v>
      </c>
      <c r="C844" s="41">
        <v>1059</v>
      </c>
      <c r="D844" s="41" t="s">
        <v>1347</v>
      </c>
      <c r="E844" s="41">
        <v>10590010</v>
      </c>
      <c r="F844" s="85" t="s">
        <v>1431</v>
      </c>
      <c r="G844" s="39" t="s">
        <v>93</v>
      </c>
      <c r="H844" s="52" t="s">
        <v>94</v>
      </c>
      <c r="I844" s="52">
        <v>1221.3</v>
      </c>
      <c r="J844" s="49">
        <v>59091.07</v>
      </c>
      <c r="K844" s="58">
        <v>1222.9000000000001</v>
      </c>
      <c r="L844" s="58">
        <v>58582.112412026196</v>
      </c>
      <c r="M844" s="58">
        <v>0</v>
      </c>
      <c r="N844" s="58">
        <v>0</v>
      </c>
      <c r="O844" s="65">
        <v>1222.9000000000001</v>
      </c>
      <c r="P844" s="65">
        <v>58582.112412026196</v>
      </c>
      <c r="Q844" s="50">
        <v>58582.112412026196</v>
      </c>
      <c r="R844" s="65">
        <v>0</v>
      </c>
      <c r="S844" s="65">
        <v>0</v>
      </c>
      <c r="T844" s="65">
        <v>0</v>
      </c>
      <c r="U844" s="65">
        <v>0</v>
      </c>
      <c r="V844" s="65">
        <v>0</v>
      </c>
      <c r="W844" s="65">
        <v>0</v>
      </c>
      <c r="X844" s="65">
        <v>58582</v>
      </c>
      <c r="Y844" s="65">
        <v>0</v>
      </c>
      <c r="Z844" s="65">
        <v>0</v>
      </c>
      <c r="AA844" s="51">
        <v>509</v>
      </c>
      <c r="AB844" s="102">
        <v>0</v>
      </c>
      <c r="AC844" s="81">
        <f t="shared" si="42"/>
        <v>0</v>
      </c>
      <c r="AD844" s="82">
        <f t="shared" si="43"/>
        <v>0</v>
      </c>
      <c r="AE844" s="218">
        <v>8.6131049577170288E-3</v>
      </c>
      <c r="AF844">
        <v>2</v>
      </c>
      <c r="AH844" t="str">
        <f t="shared" si="41"/>
        <v>Gopalpur Bmc</v>
      </c>
      <c r="AJ844" s="72">
        <v>0</v>
      </c>
      <c r="AK844" s="72"/>
      <c r="AL844" s="72"/>
      <c r="AM844" s="72"/>
    </row>
    <row r="845" spans="1:39" x14ac:dyDescent="0.25">
      <c r="A845" s="37" t="s">
        <v>62</v>
      </c>
      <c r="B845" s="66" t="s">
        <v>1566</v>
      </c>
      <c r="C845" s="41">
        <v>1059</v>
      </c>
      <c r="D845" s="41" t="s">
        <v>1347</v>
      </c>
      <c r="E845" s="41">
        <v>10590011</v>
      </c>
      <c r="F845" s="85" t="s">
        <v>1432</v>
      </c>
      <c r="G845" s="39" t="s">
        <v>93</v>
      </c>
      <c r="H845" s="52" t="s">
        <v>94</v>
      </c>
      <c r="I845" s="52">
        <v>670.60000000000014</v>
      </c>
      <c r="J845" s="49">
        <v>25726.579999999998</v>
      </c>
      <c r="K845" s="58">
        <v>650.02</v>
      </c>
      <c r="L845" s="58">
        <v>25847.839117014792</v>
      </c>
      <c r="M845" s="58">
        <v>0</v>
      </c>
      <c r="N845" s="58">
        <v>0</v>
      </c>
      <c r="O845" s="65">
        <v>650.02</v>
      </c>
      <c r="P845" s="65">
        <v>25847.839117014792</v>
      </c>
      <c r="Q845" s="50">
        <v>25726.579999999998</v>
      </c>
      <c r="R845" s="65">
        <v>0</v>
      </c>
      <c r="S845" s="65">
        <v>0</v>
      </c>
      <c r="T845" s="65">
        <v>121.25911701479345</v>
      </c>
      <c r="U845" s="65">
        <v>0</v>
      </c>
      <c r="V845" s="65">
        <v>0</v>
      </c>
      <c r="W845" s="65">
        <v>0</v>
      </c>
      <c r="X845" s="65">
        <v>25727</v>
      </c>
      <c r="Y845" s="65">
        <v>0</v>
      </c>
      <c r="Z845" s="65">
        <v>0</v>
      </c>
      <c r="AA845" s="51">
        <v>0</v>
      </c>
      <c r="AB845" s="102">
        <v>0</v>
      </c>
      <c r="AC845" s="81">
        <f t="shared" si="42"/>
        <v>22.557752818371466</v>
      </c>
      <c r="AD845" s="82">
        <f t="shared" si="43"/>
        <v>95.800000000000026</v>
      </c>
      <c r="AE845" s="218">
        <v>-4.7133788095733466E-3</v>
      </c>
      <c r="AF845">
        <v>6</v>
      </c>
      <c r="AH845" t="str">
        <f t="shared" si="41"/>
        <v>Gopalpur Bmc</v>
      </c>
      <c r="AJ845" s="72">
        <v>0</v>
      </c>
      <c r="AK845" s="72"/>
      <c r="AL845" s="72"/>
      <c r="AM845" s="72"/>
    </row>
    <row r="846" spans="1:39" x14ac:dyDescent="0.25">
      <c r="A846" s="37" t="s">
        <v>62</v>
      </c>
      <c r="B846" s="66" t="s">
        <v>1566</v>
      </c>
      <c r="C846" s="41">
        <v>1059</v>
      </c>
      <c r="D846" s="41" t="s">
        <v>1347</v>
      </c>
      <c r="E846" s="41">
        <v>10590012</v>
      </c>
      <c r="F846" s="85" t="s">
        <v>1433</v>
      </c>
      <c r="G846" s="39" t="s">
        <v>93</v>
      </c>
      <c r="H846" s="52" t="s">
        <v>94</v>
      </c>
      <c r="I846" s="52">
        <v>543.99999999999989</v>
      </c>
      <c r="J846" s="49">
        <v>22343.430000000008</v>
      </c>
      <c r="K846" s="58">
        <v>544</v>
      </c>
      <c r="L846" s="58">
        <v>22343.028281338899</v>
      </c>
      <c r="M846" s="58">
        <v>0</v>
      </c>
      <c r="N846" s="58">
        <v>0</v>
      </c>
      <c r="O846" s="65">
        <v>544</v>
      </c>
      <c r="P846" s="65">
        <v>22343.028281338899</v>
      </c>
      <c r="Q846" s="50">
        <v>22343.028281338899</v>
      </c>
      <c r="R846" s="65">
        <v>0</v>
      </c>
      <c r="S846" s="65">
        <v>0</v>
      </c>
      <c r="T846" s="65">
        <v>0</v>
      </c>
      <c r="U846" s="65">
        <v>0</v>
      </c>
      <c r="V846" s="65">
        <v>0</v>
      </c>
      <c r="W846" s="65">
        <v>0</v>
      </c>
      <c r="X846" s="65">
        <v>22343</v>
      </c>
      <c r="Y846" s="65">
        <v>0</v>
      </c>
      <c r="Z846" s="65">
        <v>0</v>
      </c>
      <c r="AA846" s="51">
        <v>0</v>
      </c>
      <c r="AB846" s="102">
        <v>0</v>
      </c>
      <c r="AC846" s="81">
        <f t="shared" si="42"/>
        <v>128.14614264705901</v>
      </c>
      <c r="AD846" s="82">
        <f t="shared" si="43"/>
        <v>77.714285714285694</v>
      </c>
      <c r="AE846" s="218">
        <v>1.797927449407023E-5</v>
      </c>
      <c r="AF846">
        <v>1</v>
      </c>
      <c r="AH846" t="str">
        <f t="shared" si="41"/>
        <v>Gopalpur Bmc</v>
      </c>
      <c r="AJ846" s="72">
        <v>0</v>
      </c>
      <c r="AK846" s="72"/>
      <c r="AL846" s="72"/>
      <c r="AM846" s="72"/>
    </row>
    <row r="847" spans="1:39" x14ac:dyDescent="0.25">
      <c r="A847" s="37" t="s">
        <v>62</v>
      </c>
      <c r="B847" s="66" t="s">
        <v>1566</v>
      </c>
      <c r="C847" s="41">
        <v>1059</v>
      </c>
      <c r="D847" s="41" t="s">
        <v>1347</v>
      </c>
      <c r="E847" s="41">
        <v>10590013</v>
      </c>
      <c r="F847" s="85" t="s">
        <v>1400</v>
      </c>
      <c r="G847" s="39" t="s">
        <v>93</v>
      </c>
      <c r="H847" s="52" t="s">
        <v>94</v>
      </c>
      <c r="I847" s="52">
        <v>318.90000000000003</v>
      </c>
      <c r="J847" s="49">
        <v>14046.060000000001</v>
      </c>
      <c r="K847" s="58">
        <v>318.3</v>
      </c>
      <c r="L847" s="58">
        <v>14077.208095186003</v>
      </c>
      <c r="M847" s="58">
        <v>0</v>
      </c>
      <c r="N847" s="58">
        <v>0</v>
      </c>
      <c r="O847" s="65">
        <v>318.3</v>
      </c>
      <c r="P847" s="65">
        <v>14077.208095186003</v>
      </c>
      <c r="Q847" s="50">
        <v>14046.060000000001</v>
      </c>
      <c r="R847" s="65">
        <v>0</v>
      </c>
      <c r="S847" s="65">
        <v>0</v>
      </c>
      <c r="T847" s="65">
        <v>31.148095186001228</v>
      </c>
      <c r="U847" s="65">
        <v>0</v>
      </c>
      <c r="V847" s="65">
        <v>0</v>
      </c>
      <c r="W847" s="65">
        <v>0</v>
      </c>
      <c r="X847" s="65">
        <v>14046</v>
      </c>
      <c r="Y847" s="65">
        <v>0</v>
      </c>
      <c r="Z847" s="65">
        <v>0</v>
      </c>
      <c r="AA847" s="51">
        <v>0</v>
      </c>
      <c r="AB847" s="102">
        <v>0</v>
      </c>
      <c r="AC847" s="81">
        <f t="shared" si="42"/>
        <v>335.71360714957666</v>
      </c>
      <c r="AD847" s="82">
        <f t="shared" si="43"/>
        <v>45.557142857142864</v>
      </c>
      <c r="AE847" s="218">
        <v>-2.2175681426678533E-3</v>
      </c>
      <c r="AF847">
        <v>1</v>
      </c>
      <c r="AH847" t="str">
        <f t="shared" si="41"/>
        <v>Gopalpur Bmc</v>
      </c>
      <c r="AJ847" s="72">
        <v>0</v>
      </c>
      <c r="AK847" s="72"/>
      <c r="AL847" s="72"/>
      <c r="AM847" s="72"/>
    </row>
    <row r="848" spans="1:39" x14ac:dyDescent="0.25">
      <c r="A848" s="37" t="s">
        <v>62</v>
      </c>
      <c r="B848" s="66" t="s">
        <v>1566</v>
      </c>
      <c r="C848" s="41">
        <v>1059</v>
      </c>
      <c r="D848" s="41" t="s">
        <v>1347</v>
      </c>
      <c r="E848" s="41">
        <v>10590014</v>
      </c>
      <c r="F848" s="85" t="s">
        <v>1517</v>
      </c>
      <c r="G848" s="39" t="s">
        <v>93</v>
      </c>
      <c r="H848" s="52" t="s">
        <v>94</v>
      </c>
      <c r="I848" s="52">
        <v>395.6</v>
      </c>
      <c r="J848" s="49">
        <v>17183.099999999999</v>
      </c>
      <c r="K848" s="58">
        <v>394.7</v>
      </c>
      <c r="L848" s="58">
        <v>16807.31063502</v>
      </c>
      <c r="M848" s="58">
        <v>0</v>
      </c>
      <c r="N848" s="58">
        <v>0</v>
      </c>
      <c r="O848" s="65">
        <v>394.7</v>
      </c>
      <c r="P848" s="65">
        <v>16807.31063502</v>
      </c>
      <c r="Q848" s="50">
        <v>16807.31063502</v>
      </c>
      <c r="R848" s="65">
        <v>0</v>
      </c>
      <c r="S848" s="65">
        <v>0</v>
      </c>
      <c r="T848" s="65">
        <v>0</v>
      </c>
      <c r="U848" s="65">
        <v>0</v>
      </c>
      <c r="V848" s="65">
        <v>0</v>
      </c>
      <c r="W848" s="65">
        <v>0</v>
      </c>
      <c r="X848" s="65">
        <v>16807</v>
      </c>
      <c r="Y848" s="65">
        <v>0</v>
      </c>
      <c r="Z848" s="65">
        <v>0</v>
      </c>
      <c r="AA848" s="51">
        <v>376</v>
      </c>
      <c r="AB848" s="102">
        <v>0</v>
      </c>
      <c r="AC848" s="81">
        <f t="shared" si="42"/>
        <v>264.43557330637003</v>
      </c>
      <c r="AD848" s="82">
        <f t="shared" si="43"/>
        <v>56.51428571428572</v>
      </c>
      <c r="AE848" s="218">
        <v>2.186970715295837E-2</v>
      </c>
      <c r="AF848">
        <v>1</v>
      </c>
      <c r="AH848" t="str">
        <f t="shared" si="41"/>
        <v>Gopalpur Bmc</v>
      </c>
      <c r="AJ848" s="72">
        <v>0</v>
      </c>
      <c r="AK848" s="72"/>
      <c r="AL848" s="72"/>
      <c r="AM848" s="72"/>
    </row>
    <row r="849" spans="1:39" x14ac:dyDescent="0.25">
      <c r="A849" s="37" t="s">
        <v>62</v>
      </c>
      <c r="B849" s="66" t="s">
        <v>1566</v>
      </c>
      <c r="C849" s="41">
        <v>1059</v>
      </c>
      <c r="D849" s="41" t="s">
        <v>1347</v>
      </c>
      <c r="E849" s="41">
        <v>10590015</v>
      </c>
      <c r="F849" s="85" t="s">
        <v>1518</v>
      </c>
      <c r="G849" s="39" t="s">
        <v>93</v>
      </c>
      <c r="H849" s="52" t="s">
        <v>94</v>
      </c>
      <c r="I849" s="52">
        <v>32.400000000000006</v>
      </c>
      <c r="J849" s="49">
        <v>1593.0100000000002</v>
      </c>
      <c r="K849" s="58">
        <v>33.4</v>
      </c>
      <c r="L849" s="58">
        <v>1594.9044064176001</v>
      </c>
      <c r="M849" s="58">
        <v>0</v>
      </c>
      <c r="N849" s="58">
        <v>0</v>
      </c>
      <c r="O849" s="65">
        <v>33.4</v>
      </c>
      <c r="P849" s="65">
        <v>1594.9044064176001</v>
      </c>
      <c r="Q849" s="50">
        <v>1593.0100000000002</v>
      </c>
      <c r="R849" s="65">
        <v>0</v>
      </c>
      <c r="S849" s="65">
        <v>0</v>
      </c>
      <c r="T849" s="65">
        <v>1.8944064175998392</v>
      </c>
      <c r="U849" s="65">
        <v>0</v>
      </c>
      <c r="V849" s="65">
        <v>0</v>
      </c>
      <c r="W849" s="65">
        <v>0</v>
      </c>
      <c r="X849" s="65">
        <v>1593</v>
      </c>
      <c r="Y849" s="65">
        <v>0</v>
      </c>
      <c r="Z849" s="65">
        <v>0</v>
      </c>
      <c r="AA849" s="51">
        <v>0</v>
      </c>
      <c r="AB849" s="102">
        <v>0</v>
      </c>
      <c r="AC849" s="81">
        <f t="shared" si="42"/>
        <v>656.47745432098759</v>
      </c>
      <c r="AD849" s="82">
        <f t="shared" si="43"/>
        <v>4.628571428571429</v>
      </c>
      <c r="AE849" s="218">
        <v>-1.1891993255534108E-3</v>
      </c>
      <c r="AF849">
        <v>1</v>
      </c>
      <c r="AH849" t="str">
        <f t="shared" si="41"/>
        <v>Gopalpur Bmc</v>
      </c>
      <c r="AJ849" s="72">
        <v>0</v>
      </c>
      <c r="AK849" s="72"/>
      <c r="AL849" s="72"/>
      <c r="AM849" s="72"/>
    </row>
    <row r="850" spans="1:39" x14ac:dyDescent="0.25">
      <c r="A850" s="37" t="s">
        <v>62</v>
      </c>
      <c r="B850" s="66" t="s">
        <v>1566</v>
      </c>
      <c r="C850" s="41">
        <v>1059</v>
      </c>
      <c r="D850" s="41" t="s">
        <v>1347</v>
      </c>
      <c r="E850" s="41">
        <v>10590016</v>
      </c>
      <c r="F850" s="85" t="s">
        <v>1552</v>
      </c>
      <c r="G850" s="39" t="s">
        <v>635</v>
      </c>
      <c r="H850" s="52" t="s">
        <v>99</v>
      </c>
      <c r="I850" s="52">
        <v>266.09999999999997</v>
      </c>
      <c r="J850" s="49">
        <v>10751.78</v>
      </c>
      <c r="K850" s="58">
        <v>0</v>
      </c>
      <c r="L850" s="58">
        <v>0</v>
      </c>
      <c r="M850" s="58">
        <v>0</v>
      </c>
      <c r="N850" s="58">
        <v>0</v>
      </c>
      <c r="O850" s="65">
        <v>0</v>
      </c>
      <c r="P850" s="65">
        <v>0</v>
      </c>
      <c r="Q850" s="50">
        <v>10751.78</v>
      </c>
      <c r="R850" s="65">
        <v>0</v>
      </c>
      <c r="S850" s="65">
        <v>0</v>
      </c>
      <c r="T850" s="65">
        <v>0</v>
      </c>
      <c r="U850" s="65">
        <v>0</v>
      </c>
      <c r="V850" s="65">
        <v>0</v>
      </c>
      <c r="W850" s="65">
        <v>0</v>
      </c>
      <c r="X850" s="65">
        <v>0</v>
      </c>
      <c r="Y850" s="65">
        <v>0</v>
      </c>
      <c r="Z850" s="65">
        <v>10751.78</v>
      </c>
      <c r="AA850" s="51">
        <v>0</v>
      </c>
      <c r="AB850" s="102">
        <v>0</v>
      </c>
      <c r="AC850" s="81">
        <f t="shared" si="42"/>
        <v>350.63489981210085</v>
      </c>
      <c r="AD850" s="82">
        <f t="shared" si="43"/>
        <v>38.014285714285712</v>
      </c>
      <c r="AE850" s="218">
        <v>0</v>
      </c>
      <c r="AF850">
        <v>0</v>
      </c>
      <c r="AH850" t="str">
        <f t="shared" si="41"/>
        <v>Gopalpur Bmc</v>
      </c>
      <c r="AJ850" s="72">
        <v>0</v>
      </c>
      <c r="AK850" s="72"/>
      <c r="AL850" s="72"/>
      <c r="AM850" s="72"/>
    </row>
    <row r="851" spans="1:39" x14ac:dyDescent="0.25">
      <c r="A851" s="37" t="s">
        <v>62</v>
      </c>
      <c r="B851" s="66" t="s">
        <v>1566</v>
      </c>
      <c r="C851" s="41">
        <v>1014</v>
      </c>
      <c r="D851" s="41" t="s">
        <v>376</v>
      </c>
      <c r="E851" s="41">
        <v>10600001</v>
      </c>
      <c r="F851" s="85" t="s">
        <v>1372</v>
      </c>
      <c r="G851" s="39" t="s">
        <v>93</v>
      </c>
      <c r="H851" s="52" t="s">
        <v>94</v>
      </c>
      <c r="I851" s="52">
        <v>380.90000000000003</v>
      </c>
      <c r="J851" s="49">
        <v>13414.810000000001</v>
      </c>
      <c r="K851" s="58">
        <v>366.83</v>
      </c>
      <c r="L851" s="58">
        <v>13703.262962796003</v>
      </c>
      <c r="M851" s="58">
        <v>0</v>
      </c>
      <c r="N851" s="58">
        <v>0</v>
      </c>
      <c r="O851" s="65">
        <v>366.83</v>
      </c>
      <c r="P851" s="65">
        <v>13703.262962796003</v>
      </c>
      <c r="Q851" s="50">
        <v>13414.810000000001</v>
      </c>
      <c r="R851" s="65">
        <v>0</v>
      </c>
      <c r="S851" s="65">
        <v>0</v>
      </c>
      <c r="T851" s="65">
        <v>288.45296279600188</v>
      </c>
      <c r="U851" s="65">
        <v>10859</v>
      </c>
      <c r="V851" s="65">
        <v>0</v>
      </c>
      <c r="W851" s="65">
        <v>0</v>
      </c>
      <c r="X851" s="65">
        <v>2556</v>
      </c>
      <c r="Y851" s="65">
        <v>0</v>
      </c>
      <c r="Z851" s="65">
        <v>0</v>
      </c>
      <c r="AA851" s="51">
        <v>0</v>
      </c>
      <c r="AB851" s="102">
        <v>0</v>
      </c>
      <c r="AC851" s="81">
        <f t="shared" si="42"/>
        <v>224.76586353373588</v>
      </c>
      <c r="AD851" s="82">
        <f t="shared" si="43"/>
        <v>54.414285714285718</v>
      </c>
      <c r="AE851" s="218">
        <v>-2.1502575347396038E-2</v>
      </c>
      <c r="AF851">
        <v>2</v>
      </c>
      <c r="AH851" t="str">
        <f t="shared" si="41"/>
        <v>Dumraon</v>
      </c>
      <c r="AJ851" s="72">
        <v>0</v>
      </c>
      <c r="AK851" s="72"/>
      <c r="AL851" s="72"/>
      <c r="AM851" s="72"/>
    </row>
    <row r="852" spans="1:39" x14ac:dyDescent="0.25">
      <c r="A852" s="37" t="s">
        <v>62</v>
      </c>
      <c r="B852" s="66" t="s">
        <v>1566</v>
      </c>
      <c r="C852" s="41">
        <v>1014</v>
      </c>
      <c r="D852" s="41" t="s">
        <v>376</v>
      </c>
      <c r="E852" s="41">
        <v>10600002</v>
      </c>
      <c r="F852" s="85" t="s">
        <v>1373</v>
      </c>
      <c r="G852" s="39" t="s">
        <v>93</v>
      </c>
      <c r="H852" s="52" t="s">
        <v>94</v>
      </c>
      <c r="I852" s="52">
        <v>318.60000000000002</v>
      </c>
      <c r="J852" s="49">
        <v>11213.6</v>
      </c>
      <c r="K852" s="58">
        <v>319</v>
      </c>
      <c r="L852" s="58">
        <v>11158.956864000002</v>
      </c>
      <c r="M852" s="58">
        <v>0</v>
      </c>
      <c r="N852" s="58">
        <v>0</v>
      </c>
      <c r="O852" s="65">
        <v>319</v>
      </c>
      <c r="P852" s="65">
        <v>11158.956864000002</v>
      </c>
      <c r="Q852" s="50">
        <v>11158.956864000002</v>
      </c>
      <c r="R852" s="65">
        <v>0</v>
      </c>
      <c r="S852" s="65">
        <v>0</v>
      </c>
      <c r="T852" s="65">
        <v>0</v>
      </c>
      <c r="U852" s="65">
        <v>0</v>
      </c>
      <c r="V852" s="65">
        <v>0</v>
      </c>
      <c r="W852" s="65">
        <v>0</v>
      </c>
      <c r="X852" s="65">
        <v>11159</v>
      </c>
      <c r="Y852" s="65">
        <v>0</v>
      </c>
      <c r="Z852" s="65">
        <v>0</v>
      </c>
      <c r="AA852" s="51">
        <v>55</v>
      </c>
      <c r="AB852" s="102">
        <v>0</v>
      </c>
      <c r="AC852" s="81">
        <f t="shared" si="42"/>
        <v>268.47878468298802</v>
      </c>
      <c r="AD852" s="82">
        <f t="shared" si="43"/>
        <v>45.51428571428572</v>
      </c>
      <c r="AE852" s="218">
        <v>4.8729342940713755E-3</v>
      </c>
      <c r="AF852">
        <v>1</v>
      </c>
      <c r="AH852" t="str">
        <f t="shared" si="41"/>
        <v>Dumraon</v>
      </c>
      <c r="AJ852" s="72">
        <v>0</v>
      </c>
      <c r="AK852" s="72"/>
      <c r="AL852" s="72"/>
      <c r="AM852" s="72"/>
    </row>
    <row r="853" spans="1:39" x14ac:dyDescent="0.25">
      <c r="A853" s="37" t="s">
        <v>62</v>
      </c>
      <c r="B853" s="66" t="s">
        <v>1566</v>
      </c>
      <c r="C853" s="41">
        <v>1014</v>
      </c>
      <c r="D853" s="41" t="s">
        <v>376</v>
      </c>
      <c r="E853" s="41">
        <v>10600004</v>
      </c>
      <c r="F853" s="85" t="s">
        <v>1374</v>
      </c>
      <c r="G853" s="39" t="s">
        <v>93</v>
      </c>
      <c r="H853" s="52" t="s">
        <v>94</v>
      </c>
      <c r="I853" s="52">
        <v>127.2</v>
      </c>
      <c r="J853" s="49">
        <v>4636.28</v>
      </c>
      <c r="K853" s="58">
        <v>138.01000000000002</v>
      </c>
      <c r="L853" s="58">
        <v>5909.6106017637003</v>
      </c>
      <c r="M853" s="58">
        <v>0</v>
      </c>
      <c r="N853" s="58">
        <v>0</v>
      </c>
      <c r="O853" s="65">
        <v>138.01000000000002</v>
      </c>
      <c r="P853" s="65">
        <v>5909.6106017637003</v>
      </c>
      <c r="Q853" s="50">
        <v>4636.28</v>
      </c>
      <c r="R853" s="65">
        <v>0</v>
      </c>
      <c r="S853" s="65">
        <v>0</v>
      </c>
      <c r="T853" s="65">
        <v>1273.3306017637005</v>
      </c>
      <c r="U853" s="65">
        <v>4636</v>
      </c>
      <c r="V853" s="65">
        <v>0</v>
      </c>
      <c r="W853" s="65">
        <v>0</v>
      </c>
      <c r="X853" s="65">
        <v>0</v>
      </c>
      <c r="Y853" s="65">
        <v>0</v>
      </c>
      <c r="Z853" s="65">
        <v>0</v>
      </c>
      <c r="AA853" s="51">
        <v>0</v>
      </c>
      <c r="AB853" s="102" t="s">
        <v>68</v>
      </c>
      <c r="AC853" s="81">
        <f t="shared" si="42"/>
        <v>417.55678993710688</v>
      </c>
      <c r="AD853" s="82">
        <f t="shared" si="43"/>
        <v>18.171428571428571</v>
      </c>
      <c r="AE853" s="218">
        <v>-0.27464488809211279</v>
      </c>
      <c r="AF853">
        <v>2</v>
      </c>
      <c r="AH853" t="str">
        <f t="shared" si="41"/>
        <v>Dumraon</v>
      </c>
      <c r="AJ853" s="72">
        <v>0</v>
      </c>
      <c r="AK853" s="72"/>
      <c r="AL853" s="72"/>
      <c r="AM853" s="72"/>
    </row>
    <row r="854" spans="1:39" x14ac:dyDescent="0.25">
      <c r="A854" s="37" t="s">
        <v>62</v>
      </c>
      <c r="B854" s="66" t="s">
        <v>1566</v>
      </c>
      <c r="C854" s="41">
        <v>1014</v>
      </c>
      <c r="D854" s="41" t="s">
        <v>376</v>
      </c>
      <c r="E854" s="41">
        <v>10600005</v>
      </c>
      <c r="F854" s="85" t="s">
        <v>1388</v>
      </c>
      <c r="G854" s="39" t="s">
        <v>93</v>
      </c>
      <c r="H854" s="52" t="s">
        <v>94</v>
      </c>
      <c r="I854" s="52">
        <v>183.6</v>
      </c>
      <c r="J854" s="49">
        <v>6887.73</v>
      </c>
      <c r="K854" s="58">
        <v>185</v>
      </c>
      <c r="L854" s="58">
        <v>6886.6378020000011</v>
      </c>
      <c r="M854" s="58">
        <v>0</v>
      </c>
      <c r="N854" s="58">
        <v>0</v>
      </c>
      <c r="O854" s="65">
        <v>185</v>
      </c>
      <c r="P854" s="65">
        <v>6886.6378020000011</v>
      </c>
      <c r="Q854" s="50">
        <v>6886.6378020000011</v>
      </c>
      <c r="R854" s="65">
        <v>0</v>
      </c>
      <c r="S854" s="65">
        <v>0</v>
      </c>
      <c r="T854" s="65">
        <v>0</v>
      </c>
      <c r="U854" s="65">
        <v>5120</v>
      </c>
      <c r="V854" s="65">
        <v>0</v>
      </c>
      <c r="W854" s="65">
        <v>0</v>
      </c>
      <c r="X854" s="65">
        <v>1767</v>
      </c>
      <c r="Y854" s="65">
        <v>0</v>
      </c>
      <c r="Z854" s="65">
        <v>0</v>
      </c>
      <c r="AA854" s="51">
        <v>1</v>
      </c>
      <c r="AB854" s="102" t="s">
        <v>66</v>
      </c>
      <c r="AC854" s="81">
        <f t="shared" si="42"/>
        <v>387.45356993464048</v>
      </c>
      <c r="AD854" s="82">
        <f t="shared" si="43"/>
        <v>26.228571428571428</v>
      </c>
      <c r="AE854" s="218">
        <v>1.5857154679385828E-4</v>
      </c>
      <c r="AF854">
        <v>1</v>
      </c>
      <c r="AH854" t="str">
        <f t="shared" si="41"/>
        <v>Dumraon</v>
      </c>
      <c r="AJ854" s="72">
        <v>0</v>
      </c>
      <c r="AK854" s="72"/>
      <c r="AL854" s="72"/>
      <c r="AM854" s="72"/>
    </row>
    <row r="855" spans="1:39" x14ac:dyDescent="0.25">
      <c r="A855" s="37" t="s">
        <v>62</v>
      </c>
      <c r="B855" s="66" t="s">
        <v>1566</v>
      </c>
      <c r="C855" s="41">
        <v>1014</v>
      </c>
      <c r="D855" s="41" t="s">
        <v>376</v>
      </c>
      <c r="E855" s="41">
        <v>10600006</v>
      </c>
      <c r="F855" s="85" t="s">
        <v>1375</v>
      </c>
      <c r="G855" s="39" t="s">
        <v>93</v>
      </c>
      <c r="H855" s="52" t="s">
        <v>94</v>
      </c>
      <c r="I855" s="52">
        <v>109.89999999999999</v>
      </c>
      <c r="J855" s="49">
        <v>4152.7900000000009</v>
      </c>
      <c r="K855" s="58">
        <v>115.61</v>
      </c>
      <c r="L855" s="58">
        <v>4390.8555695400009</v>
      </c>
      <c r="M855" s="58">
        <v>0</v>
      </c>
      <c r="N855" s="58">
        <v>0</v>
      </c>
      <c r="O855" s="65">
        <v>115.61</v>
      </c>
      <c r="P855" s="65">
        <v>4390.8555695400009</v>
      </c>
      <c r="Q855" s="50">
        <v>4152.7900000000009</v>
      </c>
      <c r="R855" s="65">
        <v>0</v>
      </c>
      <c r="S855" s="65">
        <v>0</v>
      </c>
      <c r="T855" s="65">
        <v>238.06556954000007</v>
      </c>
      <c r="U855" s="65">
        <v>0</v>
      </c>
      <c r="V855" s="65">
        <v>0</v>
      </c>
      <c r="W855" s="65">
        <v>0</v>
      </c>
      <c r="X855" s="65">
        <v>4153</v>
      </c>
      <c r="Y855" s="65">
        <v>0</v>
      </c>
      <c r="Z855" s="65">
        <v>0</v>
      </c>
      <c r="AA855" s="51">
        <v>0</v>
      </c>
      <c r="AB855" s="102">
        <v>0</v>
      </c>
      <c r="AC855" s="81">
        <f t="shared" si="42"/>
        <v>445.96203439490461</v>
      </c>
      <c r="AD855" s="82">
        <f t="shared" si="43"/>
        <v>15.7</v>
      </c>
      <c r="AE855" s="218">
        <v>-5.7326657389369561E-2</v>
      </c>
      <c r="AF855">
        <v>1</v>
      </c>
      <c r="AH855" t="str">
        <f t="shared" si="41"/>
        <v>Dumraon</v>
      </c>
      <c r="AJ855" s="72">
        <v>0</v>
      </c>
      <c r="AK855" s="72"/>
      <c r="AL855" s="72"/>
      <c r="AM855" s="72"/>
    </row>
    <row r="856" spans="1:39" x14ac:dyDescent="0.25">
      <c r="A856" s="37" t="s">
        <v>62</v>
      </c>
      <c r="B856" s="66" t="s">
        <v>1566</v>
      </c>
      <c r="C856" s="41">
        <v>1014</v>
      </c>
      <c r="D856" s="41" t="s">
        <v>376</v>
      </c>
      <c r="E856" s="41">
        <v>10600008</v>
      </c>
      <c r="F856" s="85" t="s">
        <v>1376</v>
      </c>
      <c r="G856" s="39" t="s">
        <v>93</v>
      </c>
      <c r="H856" s="52" t="s">
        <v>94</v>
      </c>
      <c r="I856" s="52">
        <v>143.69999999999999</v>
      </c>
      <c r="J856" s="49">
        <v>4810.79</v>
      </c>
      <c r="K856" s="58">
        <v>144</v>
      </c>
      <c r="L856" s="58">
        <v>4752.1520640000008</v>
      </c>
      <c r="M856" s="58">
        <v>0</v>
      </c>
      <c r="N856" s="58">
        <v>0</v>
      </c>
      <c r="O856" s="65">
        <v>144</v>
      </c>
      <c r="P856" s="65">
        <v>4752.1520640000008</v>
      </c>
      <c r="Q856" s="50">
        <v>4752.1520640000008</v>
      </c>
      <c r="R856" s="65">
        <v>0</v>
      </c>
      <c r="S856" s="65">
        <v>0</v>
      </c>
      <c r="T856" s="65">
        <v>0</v>
      </c>
      <c r="U856" s="65">
        <v>4752</v>
      </c>
      <c r="V856" s="65">
        <v>0</v>
      </c>
      <c r="W856" s="65">
        <v>0</v>
      </c>
      <c r="X856" s="65">
        <v>0</v>
      </c>
      <c r="Y856" s="65">
        <v>0</v>
      </c>
      <c r="Z856" s="65">
        <v>0</v>
      </c>
      <c r="AA856" s="51">
        <v>59</v>
      </c>
      <c r="AB856" s="102" t="s">
        <v>66</v>
      </c>
      <c r="AC856" s="81">
        <f t="shared" si="42"/>
        <v>372.47633639526799</v>
      </c>
      <c r="AD856" s="82">
        <f t="shared" si="43"/>
        <v>20.528571428571428</v>
      </c>
      <c r="AE856" s="218">
        <v>1.2188837176430311E-2</v>
      </c>
      <c r="AF856">
        <v>1</v>
      </c>
      <c r="AH856" t="str">
        <f t="shared" si="41"/>
        <v>Dumraon</v>
      </c>
      <c r="AJ856" s="72">
        <v>0</v>
      </c>
      <c r="AK856" s="72"/>
      <c r="AL856" s="72"/>
      <c r="AM856" s="72"/>
    </row>
    <row r="857" spans="1:39" x14ac:dyDescent="0.25">
      <c r="A857" s="37" t="s">
        <v>62</v>
      </c>
      <c r="B857" s="66" t="s">
        <v>1566</v>
      </c>
      <c r="C857" s="41">
        <v>1014</v>
      </c>
      <c r="D857" s="41" t="s">
        <v>376</v>
      </c>
      <c r="E857" s="41">
        <v>10600009</v>
      </c>
      <c r="F857" s="85" t="s">
        <v>1377</v>
      </c>
      <c r="G857" s="39" t="s">
        <v>93</v>
      </c>
      <c r="H857" s="52" t="s">
        <v>94</v>
      </c>
      <c r="I857" s="52">
        <v>433.4</v>
      </c>
      <c r="J857" s="49">
        <v>15659.909999999998</v>
      </c>
      <c r="K857" s="58">
        <v>478.66</v>
      </c>
      <c r="L857" s="58">
        <v>19956.7136912571</v>
      </c>
      <c r="M857" s="58">
        <v>0</v>
      </c>
      <c r="N857" s="58">
        <v>0</v>
      </c>
      <c r="O857" s="65">
        <v>478.66</v>
      </c>
      <c r="P857" s="65">
        <v>19956.7136912571</v>
      </c>
      <c r="Q857" s="50">
        <v>15659.909999999998</v>
      </c>
      <c r="R857" s="65">
        <v>0</v>
      </c>
      <c r="S857" s="65">
        <v>0</v>
      </c>
      <c r="T857" s="65">
        <v>4296.8036912571024</v>
      </c>
      <c r="U857" s="65">
        <v>0</v>
      </c>
      <c r="V857" s="65">
        <v>0</v>
      </c>
      <c r="W857" s="65">
        <v>0</v>
      </c>
      <c r="X857" s="65">
        <v>15660</v>
      </c>
      <c r="Y857" s="65">
        <v>0</v>
      </c>
      <c r="Z857" s="65">
        <v>0</v>
      </c>
      <c r="AA857" s="51">
        <v>0</v>
      </c>
      <c r="AB857" s="102">
        <v>0</v>
      </c>
      <c r="AC857" s="81">
        <f t="shared" si="42"/>
        <v>192.65952958006463</v>
      </c>
      <c r="AD857" s="82">
        <f t="shared" si="43"/>
        <v>61.914285714285711</v>
      </c>
      <c r="AE857" s="218">
        <v>-0.2743824001068399</v>
      </c>
      <c r="AF857">
        <v>2</v>
      </c>
      <c r="AH857" t="str">
        <f t="shared" si="41"/>
        <v>Dumraon</v>
      </c>
      <c r="AJ857" s="72">
        <v>0</v>
      </c>
      <c r="AK857" s="72"/>
      <c r="AL857" s="72"/>
      <c r="AM857" s="72"/>
    </row>
    <row r="858" spans="1:39" x14ac:dyDescent="0.25">
      <c r="A858" s="37" t="s">
        <v>62</v>
      </c>
      <c r="B858" s="66" t="s">
        <v>1566</v>
      </c>
      <c r="C858" s="41">
        <v>1014</v>
      </c>
      <c r="D858" s="41" t="s">
        <v>376</v>
      </c>
      <c r="E858" s="41">
        <v>10600012</v>
      </c>
      <c r="F858" s="85" t="s">
        <v>1458</v>
      </c>
      <c r="G858" s="39" t="s">
        <v>93</v>
      </c>
      <c r="H858" s="52" t="s">
        <v>94</v>
      </c>
      <c r="I858" s="52">
        <v>458.1</v>
      </c>
      <c r="J858" s="49">
        <v>16093.11</v>
      </c>
      <c r="K858" s="58">
        <v>459.4</v>
      </c>
      <c r="L858" s="58">
        <v>16073.610216444</v>
      </c>
      <c r="M858" s="58">
        <v>0</v>
      </c>
      <c r="N858" s="58">
        <v>0</v>
      </c>
      <c r="O858" s="65">
        <v>459.4</v>
      </c>
      <c r="P858" s="65">
        <v>16073.610216444</v>
      </c>
      <c r="Q858" s="50">
        <v>16073.610216444</v>
      </c>
      <c r="R858" s="65">
        <v>0</v>
      </c>
      <c r="S858" s="65">
        <v>0</v>
      </c>
      <c r="T858" s="65">
        <v>0</v>
      </c>
      <c r="U858" s="65">
        <v>2600</v>
      </c>
      <c r="V858" s="65">
        <v>0</v>
      </c>
      <c r="W858" s="65">
        <v>0</v>
      </c>
      <c r="X858" s="65">
        <v>13473</v>
      </c>
      <c r="Y858" s="65">
        <v>0</v>
      </c>
      <c r="Z858" s="65">
        <v>0</v>
      </c>
      <c r="AA858" s="51">
        <v>20</v>
      </c>
      <c r="AB858" s="102" t="s">
        <v>66</v>
      </c>
      <c r="AC858" s="81">
        <f t="shared" si="42"/>
        <v>169.95954197773409</v>
      </c>
      <c r="AD858" s="82">
        <f t="shared" si="43"/>
        <v>65.44285714285715</v>
      </c>
      <c r="AE858" s="218">
        <v>1.2116852215638054E-3</v>
      </c>
      <c r="AF858">
        <v>2</v>
      </c>
      <c r="AH858" t="str">
        <f t="shared" si="41"/>
        <v>Dumraon</v>
      </c>
      <c r="AJ858" s="72">
        <v>0</v>
      </c>
      <c r="AK858" s="72"/>
      <c r="AL858" s="72"/>
      <c r="AM858" s="72"/>
    </row>
    <row r="859" spans="1:39" x14ac:dyDescent="0.25">
      <c r="A859" s="37" t="s">
        <v>62</v>
      </c>
      <c r="B859" s="66" t="s">
        <v>1566</v>
      </c>
      <c r="C859" s="41">
        <v>1014</v>
      </c>
      <c r="D859" s="41" t="s">
        <v>376</v>
      </c>
      <c r="E859" s="41">
        <v>10600013</v>
      </c>
      <c r="F859" s="85" t="s">
        <v>1459</v>
      </c>
      <c r="G859" s="39" t="s">
        <v>93</v>
      </c>
      <c r="H859" s="52" t="s">
        <v>94</v>
      </c>
      <c r="I859" s="106">
        <v>267.8</v>
      </c>
      <c r="J859" s="49">
        <v>11654.23</v>
      </c>
      <c r="K859" s="58">
        <v>366.44999999999993</v>
      </c>
      <c r="L859" s="58">
        <v>17630.596607855317</v>
      </c>
      <c r="M859" s="58">
        <v>0.61</v>
      </c>
      <c r="N859" s="58">
        <v>34.126761990600002</v>
      </c>
      <c r="O859" s="107">
        <v>367.05999999999995</v>
      </c>
      <c r="P859" s="107">
        <v>17664.723369845917</v>
      </c>
      <c r="Q859" s="108">
        <v>11654.23</v>
      </c>
      <c r="R859" s="65">
        <v>0</v>
      </c>
      <c r="S859" s="65">
        <v>34.126761990600002</v>
      </c>
      <c r="T859" s="107">
        <v>6010.4933698459172</v>
      </c>
      <c r="U859" s="65">
        <v>2600</v>
      </c>
      <c r="V859" s="65">
        <v>0</v>
      </c>
      <c r="W859" s="65">
        <v>0</v>
      </c>
      <c r="X859" s="65">
        <v>9020</v>
      </c>
      <c r="Y859" s="65">
        <v>0</v>
      </c>
      <c r="Z859" s="65">
        <v>0</v>
      </c>
      <c r="AA859" s="51">
        <v>0</v>
      </c>
      <c r="AB859" s="102" t="s">
        <v>66</v>
      </c>
      <c r="AC859" s="81">
        <f t="shared" si="42"/>
        <v>376.17312964899173</v>
      </c>
      <c r="AD859" s="82">
        <f t="shared" si="43"/>
        <v>38.25714285714286</v>
      </c>
      <c r="AE859" s="218">
        <v>-0.5157349194108849</v>
      </c>
      <c r="AF859">
        <v>2</v>
      </c>
      <c r="AH859" t="str">
        <f t="shared" si="41"/>
        <v>Dumraon</v>
      </c>
      <c r="AJ859" s="72">
        <v>0</v>
      </c>
      <c r="AK859" s="72"/>
      <c r="AL859" s="72"/>
      <c r="AM859" s="72"/>
    </row>
    <row r="860" spans="1:39" x14ac:dyDescent="0.25">
      <c r="A860" s="37" t="s">
        <v>62</v>
      </c>
      <c r="B860" s="66" t="s">
        <v>1566</v>
      </c>
      <c r="C860" s="41">
        <v>1061</v>
      </c>
      <c r="D860" s="41" t="s">
        <v>1452</v>
      </c>
      <c r="E860" s="41">
        <v>10610001</v>
      </c>
      <c r="F860" s="85" t="s">
        <v>1460</v>
      </c>
      <c r="G860" s="39" t="s">
        <v>93</v>
      </c>
      <c r="H860" s="52" t="s">
        <v>94</v>
      </c>
      <c r="I860" s="52">
        <v>872.69999999999993</v>
      </c>
      <c r="J860" s="49">
        <v>38723.260000000009</v>
      </c>
      <c r="K860" s="58">
        <v>851.00000000000011</v>
      </c>
      <c r="L860" s="58">
        <v>38998.262705100009</v>
      </c>
      <c r="M860" s="58">
        <v>6.5999999999999988</v>
      </c>
      <c r="N860" s="58">
        <v>300.61764013200002</v>
      </c>
      <c r="O860" s="65">
        <v>857.60000000000014</v>
      </c>
      <c r="P860" s="65">
        <v>39298.880345232006</v>
      </c>
      <c r="Q860" s="50">
        <v>38723.260000000009</v>
      </c>
      <c r="R860" s="65">
        <v>0</v>
      </c>
      <c r="S860" s="65">
        <v>300.61764013200002</v>
      </c>
      <c r="T860" s="65">
        <v>575.62034523199691</v>
      </c>
      <c r="U860" s="65">
        <v>0</v>
      </c>
      <c r="V860" s="65">
        <v>0</v>
      </c>
      <c r="W860" s="65">
        <v>0</v>
      </c>
      <c r="X860" s="65">
        <v>38423</v>
      </c>
      <c r="Y860" s="65">
        <v>0</v>
      </c>
      <c r="Z860" s="65">
        <v>0</v>
      </c>
      <c r="AA860" s="51">
        <v>0</v>
      </c>
      <c r="AB860" s="102">
        <v>0</v>
      </c>
      <c r="AC860" s="81">
        <f t="shared" si="42"/>
        <v>0</v>
      </c>
      <c r="AD860" s="82">
        <f t="shared" si="43"/>
        <v>0</v>
      </c>
      <c r="AE860" s="218">
        <v>-1.486497637936467E-2</v>
      </c>
      <c r="AF860">
        <v>6</v>
      </c>
      <c r="AH860" t="str">
        <f t="shared" si="41"/>
        <v>Mahua BMC</v>
      </c>
      <c r="AJ860" s="72">
        <v>0</v>
      </c>
      <c r="AK860" s="72"/>
      <c r="AL860" s="72"/>
      <c r="AM860" s="72"/>
    </row>
    <row r="861" spans="1:39" x14ac:dyDescent="0.25">
      <c r="A861" s="37" t="s">
        <v>62</v>
      </c>
      <c r="B861" s="66" t="s">
        <v>1566</v>
      </c>
      <c r="C861" s="41">
        <v>1061</v>
      </c>
      <c r="D861" s="41" t="s">
        <v>1452</v>
      </c>
      <c r="E861" s="41">
        <v>10610002</v>
      </c>
      <c r="F861" s="85" t="s">
        <v>1378</v>
      </c>
      <c r="G861" s="39" t="s">
        <v>93</v>
      </c>
      <c r="H861" s="52" t="s">
        <v>94</v>
      </c>
      <c r="I861" s="52">
        <v>321.49999999999994</v>
      </c>
      <c r="J861" s="49">
        <v>15013.240000000002</v>
      </c>
      <c r="K861" s="58">
        <v>339.09999999999997</v>
      </c>
      <c r="L861" s="58">
        <v>15716.469823054602</v>
      </c>
      <c r="M861" s="58">
        <v>0</v>
      </c>
      <c r="N861" s="58">
        <v>0</v>
      </c>
      <c r="O861" s="65">
        <v>339.09999999999997</v>
      </c>
      <c r="P861" s="65">
        <v>15716.469823054602</v>
      </c>
      <c r="Q861" s="50">
        <v>15013.240000000002</v>
      </c>
      <c r="R861" s="65">
        <v>0</v>
      </c>
      <c r="S861" s="65">
        <v>0</v>
      </c>
      <c r="T861" s="65">
        <v>703.22982305460027</v>
      </c>
      <c r="U861" s="65">
        <v>0</v>
      </c>
      <c r="V861" s="65">
        <v>0</v>
      </c>
      <c r="W861" s="65">
        <v>0</v>
      </c>
      <c r="X861" s="65">
        <v>15013</v>
      </c>
      <c r="Y861" s="65">
        <v>0</v>
      </c>
      <c r="Z861" s="65">
        <v>0</v>
      </c>
      <c r="AA861" s="51">
        <v>0</v>
      </c>
      <c r="AB861" s="102">
        <v>0</v>
      </c>
      <c r="AC861" s="81">
        <f t="shared" si="42"/>
        <v>353.49992783825832</v>
      </c>
      <c r="AD861" s="82">
        <f t="shared" si="43"/>
        <v>45.928571428571423</v>
      </c>
      <c r="AE861" s="218">
        <v>-4.6840643528951793E-2</v>
      </c>
      <c r="AF861">
        <v>10</v>
      </c>
      <c r="AH861" t="str">
        <f t="shared" si="41"/>
        <v>Mahua BMC</v>
      </c>
      <c r="AJ861" s="72">
        <v>0</v>
      </c>
      <c r="AK861" s="72"/>
      <c r="AL861" s="72"/>
      <c r="AM861" s="72"/>
    </row>
    <row r="862" spans="1:39" x14ac:dyDescent="0.25">
      <c r="A862" s="37" t="s">
        <v>62</v>
      </c>
      <c r="B862" s="66" t="s">
        <v>1566</v>
      </c>
      <c r="C862" s="41">
        <v>1061</v>
      </c>
      <c r="D862" s="41" t="s">
        <v>1452</v>
      </c>
      <c r="E862" s="41">
        <v>10610003</v>
      </c>
      <c r="F862" s="85" t="s">
        <v>1461</v>
      </c>
      <c r="G862" s="39" t="s">
        <v>93</v>
      </c>
      <c r="H862" s="52" t="s">
        <v>94</v>
      </c>
      <c r="I862" s="52">
        <v>497.3</v>
      </c>
      <c r="J862" s="49">
        <v>20102.57</v>
      </c>
      <c r="K862" s="58">
        <v>495.09999999999997</v>
      </c>
      <c r="L862" s="58">
        <v>19613.048477909004</v>
      </c>
      <c r="M862" s="58">
        <v>0</v>
      </c>
      <c r="N862" s="58">
        <v>0</v>
      </c>
      <c r="O862" s="65">
        <v>495.09999999999997</v>
      </c>
      <c r="P862" s="65">
        <v>19613.048477909004</v>
      </c>
      <c r="Q862" s="50">
        <v>19613.048477909004</v>
      </c>
      <c r="R862" s="65">
        <v>0</v>
      </c>
      <c r="S862" s="65">
        <v>0</v>
      </c>
      <c r="T862" s="65">
        <v>0</v>
      </c>
      <c r="U862" s="65">
        <v>0</v>
      </c>
      <c r="V862" s="65">
        <v>0</v>
      </c>
      <c r="W862" s="65">
        <v>0</v>
      </c>
      <c r="X862" s="65">
        <v>19613</v>
      </c>
      <c r="Y862" s="65">
        <v>0</v>
      </c>
      <c r="Z862" s="65">
        <v>0</v>
      </c>
      <c r="AA862" s="51">
        <v>490</v>
      </c>
      <c r="AB862" s="102">
        <v>0</v>
      </c>
      <c r="AC862" s="81">
        <f t="shared" si="42"/>
        <v>163.87657104363564</v>
      </c>
      <c r="AD862" s="82">
        <f t="shared" si="43"/>
        <v>71.042857142857144</v>
      </c>
      <c r="AE862" s="218">
        <v>2.4351191021396559E-2</v>
      </c>
      <c r="AF862">
        <v>3</v>
      </c>
      <c r="AH862" t="str">
        <f t="shared" si="41"/>
        <v>Mahua BMC</v>
      </c>
      <c r="AJ862" s="72">
        <v>0</v>
      </c>
      <c r="AK862" s="72"/>
      <c r="AL862" s="72"/>
      <c r="AM862" s="72"/>
    </row>
    <row r="863" spans="1:39" x14ac:dyDescent="0.25">
      <c r="A863" s="37" t="s">
        <v>62</v>
      </c>
      <c r="B863" s="66" t="s">
        <v>1566</v>
      </c>
      <c r="C863" s="41">
        <v>1061</v>
      </c>
      <c r="D863" s="41" t="s">
        <v>1452</v>
      </c>
      <c r="E863" s="41">
        <v>10610004</v>
      </c>
      <c r="F863" s="85" t="s">
        <v>1462</v>
      </c>
      <c r="G863" s="39" t="s">
        <v>93</v>
      </c>
      <c r="H863" s="52" t="s">
        <v>94</v>
      </c>
      <c r="I863" s="106">
        <v>164.8</v>
      </c>
      <c r="J863" s="49">
        <v>6838.16</v>
      </c>
      <c r="K863" s="58">
        <v>144.80000000000001</v>
      </c>
      <c r="L863" s="58">
        <v>6121.4726975081003</v>
      </c>
      <c r="M863" s="58">
        <v>6.5000000000000018</v>
      </c>
      <c r="N863" s="58">
        <v>236.46089689200005</v>
      </c>
      <c r="O863" s="107">
        <v>151.30000000000001</v>
      </c>
      <c r="P863" s="107">
        <v>6357.9335944001004</v>
      </c>
      <c r="Q863" s="108">
        <v>6357.9335944001004</v>
      </c>
      <c r="R863" s="65">
        <v>0</v>
      </c>
      <c r="S863" s="65">
        <v>236.46089689200005</v>
      </c>
      <c r="T863" s="107">
        <v>0</v>
      </c>
      <c r="U863" s="65">
        <v>0</v>
      </c>
      <c r="V863" s="65">
        <v>0</v>
      </c>
      <c r="W863" s="65">
        <v>0</v>
      </c>
      <c r="X863" s="65">
        <v>6121</v>
      </c>
      <c r="Y863" s="65">
        <v>0</v>
      </c>
      <c r="Z863" s="65">
        <v>0</v>
      </c>
      <c r="AA863" s="51">
        <v>481</v>
      </c>
      <c r="AB863" s="102">
        <v>0</v>
      </c>
      <c r="AC863" s="81">
        <f t="shared" si="42"/>
        <v>444.14845048543691</v>
      </c>
      <c r="AD863" s="82">
        <f t="shared" si="43"/>
        <v>23.542857142857144</v>
      </c>
      <c r="AE863" s="218">
        <v>7.0227430419864317E-2</v>
      </c>
      <c r="AF863">
        <v>4</v>
      </c>
      <c r="AH863" t="str">
        <f t="shared" si="41"/>
        <v>Mahua BMC</v>
      </c>
      <c r="AJ863" s="72">
        <v>0</v>
      </c>
      <c r="AK863" s="72"/>
      <c r="AL863" s="72"/>
      <c r="AM863" s="72"/>
    </row>
    <row r="864" spans="1:39" x14ac:dyDescent="0.25">
      <c r="A864" s="37" t="s">
        <v>62</v>
      </c>
      <c r="B864" s="66" t="s">
        <v>1566</v>
      </c>
      <c r="C864" s="41">
        <v>1061</v>
      </c>
      <c r="D864" s="41" t="s">
        <v>1452</v>
      </c>
      <c r="E864" s="41">
        <v>10610005</v>
      </c>
      <c r="F864" s="85" t="s">
        <v>467</v>
      </c>
      <c r="G864" s="39" t="s">
        <v>93</v>
      </c>
      <c r="H864" s="52" t="s">
        <v>94</v>
      </c>
      <c r="I864" s="52">
        <v>388.4</v>
      </c>
      <c r="J864" s="49">
        <v>16501.149999999998</v>
      </c>
      <c r="K864" s="58">
        <v>394.39999999999992</v>
      </c>
      <c r="L864" s="58">
        <v>17275.433861350899</v>
      </c>
      <c r="M864" s="58">
        <v>0</v>
      </c>
      <c r="N864" s="58">
        <v>0</v>
      </c>
      <c r="O864" s="65">
        <v>394.39999999999992</v>
      </c>
      <c r="P864" s="65">
        <v>17275.433861350899</v>
      </c>
      <c r="Q864" s="50">
        <v>16501.149999999998</v>
      </c>
      <c r="R864" s="65">
        <v>0</v>
      </c>
      <c r="S864" s="65">
        <v>0</v>
      </c>
      <c r="T864" s="65">
        <v>774.28386135090113</v>
      </c>
      <c r="U864" s="65">
        <v>0</v>
      </c>
      <c r="V864" s="65">
        <v>0</v>
      </c>
      <c r="W864" s="65">
        <v>0</v>
      </c>
      <c r="X864" s="65">
        <v>16501</v>
      </c>
      <c r="Y864" s="65">
        <v>0</v>
      </c>
      <c r="Z864" s="65">
        <v>0</v>
      </c>
      <c r="AA864" s="51">
        <v>0</v>
      </c>
      <c r="AB864" s="102">
        <v>0</v>
      </c>
      <c r="AC864" s="81">
        <f t="shared" si="42"/>
        <v>264.76613491246138</v>
      </c>
      <c r="AD864" s="82">
        <f t="shared" si="43"/>
        <v>55.48571428571428</v>
      </c>
      <c r="AE864" s="218">
        <v>-4.6923024234729167E-2</v>
      </c>
      <c r="AF864">
        <v>4</v>
      </c>
      <c r="AH864" t="str">
        <f t="shared" si="41"/>
        <v>Mahua BMC</v>
      </c>
      <c r="AJ864" s="72">
        <v>0</v>
      </c>
      <c r="AK864" s="72"/>
      <c r="AL864" s="72"/>
      <c r="AM864" s="72"/>
    </row>
    <row r="865" spans="1:39" x14ac:dyDescent="0.25">
      <c r="A865" s="37" t="s">
        <v>62</v>
      </c>
      <c r="B865" s="66" t="s">
        <v>1566</v>
      </c>
      <c r="C865" s="41">
        <v>1061</v>
      </c>
      <c r="D865" s="41" t="s">
        <v>1452</v>
      </c>
      <c r="E865" s="41">
        <v>10610006</v>
      </c>
      <c r="F865" s="85" t="s">
        <v>1379</v>
      </c>
      <c r="G865" s="39" t="s">
        <v>93</v>
      </c>
      <c r="H865" s="52" t="s">
        <v>94</v>
      </c>
      <c r="I865" s="52">
        <v>414.7</v>
      </c>
      <c r="J865" s="49">
        <v>19681.420000000002</v>
      </c>
      <c r="K865" s="58">
        <v>399.3</v>
      </c>
      <c r="L865" s="58">
        <v>18776.554401020196</v>
      </c>
      <c r="M865" s="58">
        <v>2.4</v>
      </c>
      <c r="N865" s="58">
        <v>103.99220766000002</v>
      </c>
      <c r="O865" s="65">
        <v>401.7</v>
      </c>
      <c r="P865" s="65">
        <v>18880.546608680197</v>
      </c>
      <c r="Q865" s="50">
        <v>18880.546608680197</v>
      </c>
      <c r="R865" s="65">
        <v>0</v>
      </c>
      <c r="S865" s="65">
        <v>103.99220766000002</v>
      </c>
      <c r="T865" s="65">
        <v>0</v>
      </c>
      <c r="U865" s="65">
        <v>0</v>
      </c>
      <c r="V865" s="65">
        <v>0</v>
      </c>
      <c r="W865" s="65">
        <v>0</v>
      </c>
      <c r="X865" s="65">
        <v>18776</v>
      </c>
      <c r="Y865" s="65">
        <v>0</v>
      </c>
      <c r="Z865" s="65">
        <v>0</v>
      </c>
      <c r="AA865" s="51">
        <v>801</v>
      </c>
      <c r="AB865" s="102">
        <v>0</v>
      </c>
      <c r="AC865" s="81">
        <f t="shared" si="42"/>
        <v>270.80343023872683</v>
      </c>
      <c r="AD865" s="82">
        <f t="shared" si="43"/>
        <v>59.24285714285714</v>
      </c>
      <c r="AE865" s="218">
        <v>4.0691850045362819E-2</v>
      </c>
      <c r="AF865">
        <v>12</v>
      </c>
      <c r="AH865" t="str">
        <f t="shared" si="41"/>
        <v>Mahua BMC</v>
      </c>
      <c r="AJ865" s="72">
        <v>0</v>
      </c>
      <c r="AK865" s="72"/>
      <c r="AL865" s="72"/>
      <c r="AM865" s="72"/>
    </row>
    <row r="866" spans="1:39" x14ac:dyDescent="0.25">
      <c r="A866" s="37" t="s">
        <v>62</v>
      </c>
      <c r="B866" s="66" t="s">
        <v>1566</v>
      </c>
      <c r="C866" s="41">
        <v>1061</v>
      </c>
      <c r="D866" s="41" t="s">
        <v>1452</v>
      </c>
      <c r="E866" s="41">
        <v>10610007</v>
      </c>
      <c r="F866" s="85" t="s">
        <v>1380</v>
      </c>
      <c r="G866" s="39" t="s">
        <v>93</v>
      </c>
      <c r="H866" s="52" t="s">
        <v>94</v>
      </c>
      <c r="I866" s="106">
        <v>284</v>
      </c>
      <c r="J866" s="49">
        <v>14674.699999999999</v>
      </c>
      <c r="K866" s="58">
        <v>280</v>
      </c>
      <c r="L866" s="58">
        <v>14289.602486548298</v>
      </c>
      <c r="M866" s="58">
        <v>5.6</v>
      </c>
      <c r="N866" s="58">
        <v>290.70650683644004</v>
      </c>
      <c r="O866" s="107">
        <v>285.60000000000002</v>
      </c>
      <c r="P866" s="107">
        <v>14580.308993384739</v>
      </c>
      <c r="Q866" s="108">
        <v>14580.308993384739</v>
      </c>
      <c r="R866" s="65">
        <v>0</v>
      </c>
      <c r="S866" s="65">
        <v>290.70650683644004</v>
      </c>
      <c r="T866" s="107">
        <v>0</v>
      </c>
      <c r="U866" s="65">
        <v>0</v>
      </c>
      <c r="V866" s="65">
        <v>0</v>
      </c>
      <c r="W866" s="65">
        <v>0</v>
      </c>
      <c r="X866" s="65">
        <v>14289</v>
      </c>
      <c r="Y866" s="65">
        <v>0</v>
      </c>
      <c r="Z866" s="65">
        <v>0</v>
      </c>
      <c r="AA866" s="51">
        <v>95</v>
      </c>
      <c r="AB866" s="102">
        <v>0</v>
      </c>
      <c r="AC866" s="81">
        <f t="shared" si="42"/>
        <v>429.90670422535209</v>
      </c>
      <c r="AD866" s="82">
        <f t="shared" si="43"/>
        <v>40.571428571428569</v>
      </c>
      <c r="AE866" s="218">
        <v>6.4322273446993988E-3</v>
      </c>
      <c r="AF866">
        <v>13</v>
      </c>
      <c r="AH866" t="str">
        <f t="shared" si="41"/>
        <v>Mahua BMC</v>
      </c>
      <c r="AJ866" s="72">
        <v>0</v>
      </c>
      <c r="AK866" s="72"/>
      <c r="AL866" s="72"/>
      <c r="AM866" s="72"/>
    </row>
    <row r="867" spans="1:39" x14ac:dyDescent="0.25">
      <c r="A867" s="37" t="s">
        <v>62</v>
      </c>
      <c r="B867" s="66" t="s">
        <v>1566</v>
      </c>
      <c r="C867" s="41">
        <v>1061</v>
      </c>
      <c r="D867" s="41" t="s">
        <v>1452</v>
      </c>
      <c r="E867" s="41">
        <v>10610008</v>
      </c>
      <c r="F867" s="85" t="s">
        <v>1381</v>
      </c>
      <c r="G867" s="39" t="s">
        <v>93</v>
      </c>
      <c r="H867" s="52" t="s">
        <v>94</v>
      </c>
      <c r="I867" s="52">
        <v>496.99999999999994</v>
      </c>
      <c r="J867" s="49">
        <v>21845.450000000004</v>
      </c>
      <c r="K867" s="58">
        <v>547.79999999999995</v>
      </c>
      <c r="L867" s="58">
        <v>23781.660732380009</v>
      </c>
      <c r="M867" s="58">
        <v>0</v>
      </c>
      <c r="N867" s="58">
        <v>0</v>
      </c>
      <c r="O867" s="65">
        <v>547.79999999999995</v>
      </c>
      <c r="P867" s="65">
        <v>23781.660732380009</v>
      </c>
      <c r="Q867" s="50">
        <v>21845.450000000004</v>
      </c>
      <c r="R867" s="65">
        <v>0</v>
      </c>
      <c r="S867" s="65">
        <v>0</v>
      </c>
      <c r="T867" s="65">
        <v>1936.2107323800046</v>
      </c>
      <c r="U867" s="65">
        <v>0</v>
      </c>
      <c r="V867" s="65">
        <v>0</v>
      </c>
      <c r="W867" s="65">
        <v>0</v>
      </c>
      <c r="X867" s="65">
        <v>21845</v>
      </c>
      <c r="Y867" s="65">
        <v>0</v>
      </c>
      <c r="Z867" s="65">
        <v>0</v>
      </c>
      <c r="AA867" s="51">
        <v>0</v>
      </c>
      <c r="AB867" s="102">
        <v>0</v>
      </c>
      <c r="AC867" s="81">
        <f t="shared" si="42"/>
        <v>178.45578873239455</v>
      </c>
      <c r="AD867" s="82">
        <f t="shared" si="43"/>
        <v>70.999999999999986</v>
      </c>
      <c r="AE867" s="218">
        <v>-8.8632220090682695E-2</v>
      </c>
      <c r="AF867">
        <v>2</v>
      </c>
      <c r="AH867" t="str">
        <f t="shared" si="41"/>
        <v>Mahua BMC</v>
      </c>
      <c r="AJ867" s="72">
        <v>0</v>
      </c>
      <c r="AK867" s="72"/>
      <c r="AL867" s="72"/>
      <c r="AM867" s="72"/>
    </row>
    <row r="868" spans="1:39" x14ac:dyDescent="0.25">
      <c r="A868" s="37" t="s">
        <v>62</v>
      </c>
      <c r="B868" s="66" t="s">
        <v>1566</v>
      </c>
      <c r="C868" s="41">
        <v>1061</v>
      </c>
      <c r="D868" s="41" t="s">
        <v>1452</v>
      </c>
      <c r="E868" s="41">
        <v>10610009</v>
      </c>
      <c r="F868" s="85" t="s">
        <v>1399</v>
      </c>
      <c r="G868" s="39" t="s">
        <v>93</v>
      </c>
      <c r="H868" s="52" t="s">
        <v>94</v>
      </c>
      <c r="I868" s="52">
        <v>971.19999999999993</v>
      </c>
      <c r="J868" s="49">
        <v>42662.009999999995</v>
      </c>
      <c r="K868" s="58">
        <v>984.1999999999997</v>
      </c>
      <c r="L868" s="58">
        <v>42963.572928833084</v>
      </c>
      <c r="M868" s="58">
        <v>3.5</v>
      </c>
      <c r="N868" s="58">
        <v>136.39139078400004</v>
      </c>
      <c r="O868" s="65">
        <v>987.6999999999997</v>
      </c>
      <c r="P868" s="65">
        <v>43099.964319617087</v>
      </c>
      <c r="Q868" s="50">
        <v>42662.009999999995</v>
      </c>
      <c r="R868" s="65">
        <v>0</v>
      </c>
      <c r="S868" s="65">
        <v>136.39139078400004</v>
      </c>
      <c r="T868" s="65">
        <v>437.95431961709255</v>
      </c>
      <c r="U868" s="65">
        <v>2600</v>
      </c>
      <c r="V868" s="65">
        <v>0</v>
      </c>
      <c r="W868" s="65">
        <v>0</v>
      </c>
      <c r="X868" s="65">
        <v>39926</v>
      </c>
      <c r="Y868" s="65">
        <v>0</v>
      </c>
      <c r="Z868" s="65">
        <v>0</v>
      </c>
      <c r="AA868" s="51">
        <v>0</v>
      </c>
      <c r="AB868" s="102" t="s">
        <v>66</v>
      </c>
      <c r="AC868" s="81">
        <f t="shared" si="42"/>
        <v>0</v>
      </c>
      <c r="AD868" s="82">
        <f t="shared" si="43"/>
        <v>0</v>
      </c>
      <c r="AE868" s="218">
        <v>-1.0265674768185854E-2</v>
      </c>
      <c r="AF868">
        <v>33</v>
      </c>
      <c r="AH868" t="str">
        <f t="shared" si="41"/>
        <v>Mahua BMC</v>
      </c>
      <c r="AJ868" s="72">
        <v>0</v>
      </c>
      <c r="AK868" s="72"/>
      <c r="AL868" s="72"/>
      <c r="AM868" s="72"/>
    </row>
    <row r="869" spans="1:39" x14ac:dyDescent="0.25">
      <c r="A869" s="37" t="s">
        <v>62</v>
      </c>
      <c r="B869" s="66" t="s">
        <v>1566</v>
      </c>
      <c r="C869" s="41">
        <v>1061</v>
      </c>
      <c r="D869" s="41" t="s">
        <v>1452</v>
      </c>
      <c r="E869" s="41">
        <v>10610010</v>
      </c>
      <c r="F869" s="85" t="s">
        <v>1382</v>
      </c>
      <c r="G869" s="39" t="s">
        <v>93</v>
      </c>
      <c r="H869" s="52" t="s">
        <v>94</v>
      </c>
      <c r="I869" s="52">
        <v>277.59999999999997</v>
      </c>
      <c r="J869" s="49">
        <v>12543.469999999998</v>
      </c>
      <c r="K869" s="58">
        <v>288.3</v>
      </c>
      <c r="L869" s="58">
        <v>13404.58327699883</v>
      </c>
      <c r="M869" s="58">
        <v>0</v>
      </c>
      <c r="N869" s="58">
        <v>0</v>
      </c>
      <c r="O869" s="65">
        <v>288.3</v>
      </c>
      <c r="P869" s="65">
        <v>13404.58327699883</v>
      </c>
      <c r="Q869" s="50">
        <v>12543.469999999998</v>
      </c>
      <c r="R869" s="65">
        <v>0</v>
      </c>
      <c r="S869" s="65">
        <v>0</v>
      </c>
      <c r="T869" s="65">
        <v>861.11327699883259</v>
      </c>
      <c r="U869" s="65">
        <v>0</v>
      </c>
      <c r="V869" s="65">
        <v>51.62772000000011</v>
      </c>
      <c r="W869" s="65">
        <v>0</v>
      </c>
      <c r="X869" s="65">
        <v>12492</v>
      </c>
      <c r="Y869" s="65">
        <v>0</v>
      </c>
      <c r="Z869" s="65">
        <v>0</v>
      </c>
      <c r="AA869" s="51">
        <v>0</v>
      </c>
      <c r="AB869" s="102">
        <v>0</v>
      </c>
      <c r="AC869" s="81">
        <f t="shared" si="42"/>
        <v>381.72634927953891</v>
      </c>
      <c r="AD869" s="82">
        <f t="shared" si="43"/>
        <v>39.657142857142851</v>
      </c>
      <c r="AE869" s="218">
        <v>-6.8650323793881016E-2</v>
      </c>
      <c r="AF869">
        <v>9</v>
      </c>
      <c r="AH869" t="str">
        <f t="shared" si="41"/>
        <v>Mahua BMC</v>
      </c>
      <c r="AJ869" s="72">
        <v>0</v>
      </c>
      <c r="AK869" s="72"/>
      <c r="AL869" s="72"/>
      <c r="AM869" s="72"/>
    </row>
    <row r="870" spans="1:39" x14ac:dyDescent="0.25">
      <c r="A870" s="37" t="s">
        <v>62</v>
      </c>
      <c r="B870" s="66" t="s">
        <v>1566</v>
      </c>
      <c r="C870" s="41">
        <v>1061</v>
      </c>
      <c r="D870" s="41" t="s">
        <v>1452</v>
      </c>
      <c r="E870" s="41">
        <v>10610011</v>
      </c>
      <c r="F870" s="85" t="s">
        <v>1463</v>
      </c>
      <c r="G870" s="39" t="s">
        <v>635</v>
      </c>
      <c r="H870" s="52" t="s">
        <v>99</v>
      </c>
      <c r="I870" s="52">
        <v>413.6</v>
      </c>
      <c r="J870" s="49">
        <v>16828.53</v>
      </c>
      <c r="K870" s="58">
        <v>0</v>
      </c>
      <c r="L870" s="58">
        <v>0</v>
      </c>
      <c r="M870" s="58">
        <v>0</v>
      </c>
      <c r="N870" s="58">
        <v>0</v>
      </c>
      <c r="O870" s="65">
        <v>0</v>
      </c>
      <c r="P870" s="65">
        <v>0</v>
      </c>
      <c r="Q870" s="50">
        <v>16828.53</v>
      </c>
      <c r="R870" s="65">
        <v>0</v>
      </c>
      <c r="S870" s="65">
        <v>0</v>
      </c>
      <c r="T870" s="65">
        <v>0</v>
      </c>
      <c r="U870" s="65">
        <v>0</v>
      </c>
      <c r="V870" s="65">
        <v>0</v>
      </c>
      <c r="W870" s="65">
        <v>0</v>
      </c>
      <c r="X870" s="65">
        <v>0</v>
      </c>
      <c r="Y870" s="65">
        <v>0</v>
      </c>
      <c r="Z870" s="65">
        <v>16828.53</v>
      </c>
      <c r="AA870" s="51">
        <v>0</v>
      </c>
      <c r="AB870" s="102">
        <v>0</v>
      </c>
      <c r="AC870" s="81">
        <f t="shared" si="42"/>
        <v>233.06049284332687</v>
      </c>
      <c r="AD870" s="82">
        <f t="shared" si="43"/>
        <v>59.085714285714289</v>
      </c>
      <c r="AE870" s="218">
        <v>0</v>
      </c>
      <c r="AF870">
        <v>0</v>
      </c>
      <c r="AH870" t="str">
        <f t="shared" si="41"/>
        <v>Mahua BMC</v>
      </c>
      <c r="AJ870" s="72">
        <v>0</v>
      </c>
      <c r="AK870" s="72"/>
      <c r="AL870" s="72"/>
      <c r="AM870" s="72"/>
    </row>
    <row r="871" spans="1:39" x14ac:dyDescent="0.25">
      <c r="A871" s="37" t="s">
        <v>62</v>
      </c>
      <c r="B871" s="66" t="s">
        <v>1566</v>
      </c>
      <c r="C871" s="41">
        <v>1061</v>
      </c>
      <c r="D871" s="41" t="s">
        <v>1452</v>
      </c>
      <c r="E871" s="41">
        <v>10610013</v>
      </c>
      <c r="F871" s="85" t="s">
        <v>1464</v>
      </c>
      <c r="G871" s="39" t="s">
        <v>635</v>
      </c>
      <c r="H871" s="52" t="s">
        <v>99</v>
      </c>
      <c r="I871" s="52">
        <v>250.89999999999998</v>
      </c>
      <c r="J871" s="49">
        <v>8811.9399999999987</v>
      </c>
      <c r="K871" s="58">
        <v>0</v>
      </c>
      <c r="L871" s="58">
        <v>0</v>
      </c>
      <c r="M871" s="58">
        <v>0</v>
      </c>
      <c r="N871" s="58">
        <v>0</v>
      </c>
      <c r="O871" s="65">
        <v>0</v>
      </c>
      <c r="P871" s="65">
        <v>0</v>
      </c>
      <c r="Q871" s="50">
        <v>8811.9399999999987</v>
      </c>
      <c r="R871" s="65">
        <v>0</v>
      </c>
      <c r="S871" s="65">
        <v>0</v>
      </c>
      <c r="T871" s="65">
        <v>0</v>
      </c>
      <c r="U871" s="65">
        <v>0</v>
      </c>
      <c r="V871" s="65">
        <v>0</v>
      </c>
      <c r="W871" s="65">
        <v>0</v>
      </c>
      <c r="X871" s="65">
        <v>0</v>
      </c>
      <c r="Y871" s="65">
        <v>0</v>
      </c>
      <c r="Z871" s="65">
        <v>8811.9399999999987</v>
      </c>
      <c r="AA871" s="51">
        <v>0</v>
      </c>
      <c r="AB871" s="102">
        <v>0</v>
      </c>
      <c r="AC871" s="81">
        <f t="shared" si="42"/>
        <v>315.45972530888804</v>
      </c>
      <c r="AD871" s="82">
        <f t="shared" si="43"/>
        <v>35.842857142857142</v>
      </c>
      <c r="AE871" s="218">
        <v>0</v>
      </c>
      <c r="AF871">
        <v>0</v>
      </c>
      <c r="AH871" t="str">
        <f t="shared" si="41"/>
        <v>Mahua BMC</v>
      </c>
      <c r="AJ871" s="72">
        <v>0</v>
      </c>
      <c r="AK871" s="72"/>
      <c r="AL871" s="72"/>
      <c r="AM871" s="72"/>
    </row>
    <row r="872" spans="1:39" x14ac:dyDescent="0.25">
      <c r="A872" s="37" t="s">
        <v>62</v>
      </c>
      <c r="B872" s="66" t="s">
        <v>1566</v>
      </c>
      <c r="C872" s="41">
        <v>1061</v>
      </c>
      <c r="D872" s="41" t="s">
        <v>1452</v>
      </c>
      <c r="E872" s="41">
        <v>10610015</v>
      </c>
      <c r="F872" s="85" t="s">
        <v>1453</v>
      </c>
      <c r="G872" s="39" t="s">
        <v>635</v>
      </c>
      <c r="H872" s="52" t="s">
        <v>99</v>
      </c>
      <c r="I872" s="52">
        <v>284</v>
      </c>
      <c r="J872" s="49">
        <v>10389.85</v>
      </c>
      <c r="K872" s="58">
        <v>0</v>
      </c>
      <c r="L872" s="58">
        <v>0</v>
      </c>
      <c r="M872" s="58">
        <v>0</v>
      </c>
      <c r="N872" s="58">
        <v>0</v>
      </c>
      <c r="O872" s="65">
        <v>0</v>
      </c>
      <c r="P872" s="65">
        <v>0</v>
      </c>
      <c r="Q872" s="50">
        <v>10389.85</v>
      </c>
      <c r="R872" s="65">
        <v>0</v>
      </c>
      <c r="S872" s="65">
        <v>0</v>
      </c>
      <c r="T872" s="65">
        <v>0</v>
      </c>
      <c r="U872" s="65">
        <v>0</v>
      </c>
      <c r="V872" s="65">
        <v>0</v>
      </c>
      <c r="W872" s="65">
        <v>0</v>
      </c>
      <c r="X872" s="65">
        <v>0</v>
      </c>
      <c r="Y872" s="65">
        <v>0</v>
      </c>
      <c r="Z872" s="65">
        <v>10389.85</v>
      </c>
      <c r="AA872" s="51">
        <v>0</v>
      </c>
      <c r="AB872" s="102">
        <v>0</v>
      </c>
      <c r="AC872" s="81">
        <f t="shared" si="42"/>
        <v>304.37870422535212</v>
      </c>
      <c r="AD872" s="82">
        <f t="shared" si="43"/>
        <v>40.571428571428569</v>
      </c>
      <c r="AE872" s="218">
        <v>0</v>
      </c>
      <c r="AF872">
        <v>0</v>
      </c>
      <c r="AH872" t="str">
        <f t="shared" si="41"/>
        <v>Mahua BMC</v>
      </c>
      <c r="AJ872" s="72">
        <v>0</v>
      </c>
      <c r="AK872" s="72"/>
      <c r="AL872" s="72"/>
      <c r="AM872" s="72"/>
    </row>
    <row r="873" spans="1:39" x14ac:dyDescent="0.25">
      <c r="A873" s="37" t="s">
        <v>62</v>
      </c>
      <c r="B873" s="66" t="s">
        <v>1566</v>
      </c>
      <c r="C873" s="41">
        <v>1061</v>
      </c>
      <c r="D873" s="41" t="s">
        <v>1452</v>
      </c>
      <c r="E873" s="41">
        <v>10610017</v>
      </c>
      <c r="F873" s="85" t="s">
        <v>1465</v>
      </c>
      <c r="G873" s="39" t="s">
        <v>93</v>
      </c>
      <c r="H873" s="52" t="s">
        <v>94</v>
      </c>
      <c r="I873" s="52">
        <v>161.1</v>
      </c>
      <c r="J873" s="49">
        <v>6269.5999999999995</v>
      </c>
      <c r="K873" s="58">
        <v>158.4</v>
      </c>
      <c r="L873" s="58">
        <v>6540.3918554580005</v>
      </c>
      <c r="M873" s="58">
        <v>0</v>
      </c>
      <c r="N873" s="58">
        <v>0</v>
      </c>
      <c r="O873" s="65">
        <v>158.4</v>
      </c>
      <c r="P873" s="65">
        <v>6540.3918554580005</v>
      </c>
      <c r="Q873" s="50">
        <v>6269.5999999999995</v>
      </c>
      <c r="R873" s="65">
        <v>0</v>
      </c>
      <c r="S873" s="65">
        <v>0</v>
      </c>
      <c r="T873" s="65">
        <v>270.79185545800101</v>
      </c>
      <c r="U873" s="65">
        <v>0</v>
      </c>
      <c r="V873" s="65">
        <v>0</v>
      </c>
      <c r="W873" s="65">
        <v>0</v>
      </c>
      <c r="X873" s="65">
        <v>6270</v>
      </c>
      <c r="Y873" s="65">
        <v>0</v>
      </c>
      <c r="Z873" s="65">
        <v>0</v>
      </c>
      <c r="AA873" s="51">
        <v>0</v>
      </c>
      <c r="AB873" s="102" t="s">
        <v>66</v>
      </c>
      <c r="AC873" s="81">
        <f t="shared" si="42"/>
        <v>419.45219615145879</v>
      </c>
      <c r="AD873" s="82">
        <f t="shared" si="43"/>
        <v>23.014285714285712</v>
      </c>
      <c r="AE873" s="218">
        <v>-4.3191249116052224E-2</v>
      </c>
      <c r="AF873">
        <v>6</v>
      </c>
      <c r="AH873" t="str">
        <f t="shared" si="41"/>
        <v>Mahua BMC</v>
      </c>
      <c r="AJ873" s="72">
        <v>0</v>
      </c>
      <c r="AK873" s="72"/>
      <c r="AL873" s="72"/>
      <c r="AM873" s="72"/>
    </row>
    <row r="874" spans="1:39" x14ac:dyDescent="0.25">
      <c r="A874" s="37" t="s">
        <v>62</v>
      </c>
      <c r="B874" s="66" t="s">
        <v>1566</v>
      </c>
      <c r="C874" s="41">
        <v>1061</v>
      </c>
      <c r="D874" s="41" t="s">
        <v>1452</v>
      </c>
      <c r="E874" s="41">
        <v>10610018</v>
      </c>
      <c r="F874" s="85" t="s">
        <v>1466</v>
      </c>
      <c r="G874" s="39" t="s">
        <v>93</v>
      </c>
      <c r="H874" s="52" t="s">
        <v>94</v>
      </c>
      <c r="I874" s="52">
        <v>424.6</v>
      </c>
      <c r="J874" s="49">
        <v>20400.95</v>
      </c>
      <c r="K874" s="58">
        <v>431.50000000000006</v>
      </c>
      <c r="L874" s="58">
        <v>19236.084336462904</v>
      </c>
      <c r="M874" s="58">
        <v>0</v>
      </c>
      <c r="N874" s="58">
        <v>0</v>
      </c>
      <c r="O874" s="65">
        <v>431.50000000000006</v>
      </c>
      <c r="P874" s="65">
        <v>19236.084336462904</v>
      </c>
      <c r="Q874" s="50">
        <v>19236.084336462904</v>
      </c>
      <c r="R874" s="65">
        <v>0</v>
      </c>
      <c r="S874" s="65">
        <v>0</v>
      </c>
      <c r="T874" s="65">
        <v>0</v>
      </c>
      <c r="U874" s="65">
        <v>0</v>
      </c>
      <c r="V874" s="65">
        <v>0</v>
      </c>
      <c r="W874" s="65">
        <v>0</v>
      </c>
      <c r="X874" s="65">
        <v>19236</v>
      </c>
      <c r="Y874" s="65">
        <v>0</v>
      </c>
      <c r="Z874" s="65">
        <v>0</v>
      </c>
      <c r="AA874" s="51">
        <v>1165</v>
      </c>
      <c r="AB874" s="102">
        <v>0</v>
      </c>
      <c r="AC874" s="81">
        <f t="shared" si="42"/>
        <v>264.64539001413095</v>
      </c>
      <c r="AD874" s="82">
        <f t="shared" si="43"/>
        <v>60.657142857142858</v>
      </c>
      <c r="AE874" s="218">
        <v>5.7098599013138948E-2</v>
      </c>
      <c r="AF874">
        <v>7</v>
      </c>
      <c r="AH874" t="str">
        <f t="shared" si="41"/>
        <v>Mahua BMC</v>
      </c>
      <c r="AJ874" s="72">
        <v>0</v>
      </c>
      <c r="AK874" s="72"/>
      <c r="AL874" s="72"/>
      <c r="AM874" s="72"/>
    </row>
    <row r="875" spans="1:39" x14ac:dyDescent="0.25">
      <c r="A875" s="37" t="s">
        <v>62</v>
      </c>
      <c r="B875" s="66" t="s">
        <v>1566</v>
      </c>
      <c r="C875" s="41">
        <v>1061</v>
      </c>
      <c r="D875" s="41" t="s">
        <v>1452</v>
      </c>
      <c r="E875" s="41">
        <v>10610019</v>
      </c>
      <c r="F875" s="85" t="s">
        <v>1481</v>
      </c>
      <c r="G875" s="39" t="s">
        <v>93</v>
      </c>
      <c r="H875" s="52" t="s">
        <v>94</v>
      </c>
      <c r="I875" s="52">
        <v>167.3</v>
      </c>
      <c r="J875" s="49">
        <v>7872.4500000000007</v>
      </c>
      <c r="K875" s="58">
        <v>185.89999999999998</v>
      </c>
      <c r="L875" s="58">
        <v>8624.5690026512493</v>
      </c>
      <c r="M875" s="58">
        <v>0</v>
      </c>
      <c r="N875" s="58">
        <v>0</v>
      </c>
      <c r="O875" s="65">
        <v>185.89999999999998</v>
      </c>
      <c r="P875" s="65">
        <v>8624.5690026512493</v>
      </c>
      <c r="Q875" s="50">
        <v>7872.4500000000007</v>
      </c>
      <c r="R875" s="65">
        <v>0</v>
      </c>
      <c r="S875" s="65">
        <v>0</v>
      </c>
      <c r="T875" s="65">
        <v>752.11900265124859</v>
      </c>
      <c r="U875" s="65">
        <v>0</v>
      </c>
      <c r="V875" s="65">
        <v>0</v>
      </c>
      <c r="W875" s="65">
        <v>0</v>
      </c>
      <c r="X875" s="65">
        <v>7872</v>
      </c>
      <c r="Y875" s="65">
        <v>0</v>
      </c>
      <c r="Z875" s="65">
        <v>0</v>
      </c>
      <c r="AA875" s="51">
        <v>0</v>
      </c>
      <c r="AB875" s="102">
        <v>0</v>
      </c>
      <c r="AC875" s="81">
        <f t="shared" si="42"/>
        <v>501.33342677824265</v>
      </c>
      <c r="AD875" s="82">
        <f t="shared" si="43"/>
        <v>23.900000000000002</v>
      </c>
      <c r="AE875" s="218">
        <v>-9.5538111090098826E-2</v>
      </c>
      <c r="AF875">
        <v>4</v>
      </c>
      <c r="AH875" t="str">
        <f t="shared" si="41"/>
        <v>Mahua BMC</v>
      </c>
      <c r="AJ875" s="72">
        <v>0</v>
      </c>
      <c r="AK875" s="72"/>
      <c r="AL875" s="72"/>
      <c r="AM875" s="72"/>
    </row>
    <row r="876" spans="1:39" x14ac:dyDescent="0.25">
      <c r="A876" s="37" t="s">
        <v>62</v>
      </c>
      <c r="B876" s="66" t="s">
        <v>1566</v>
      </c>
      <c r="C876" s="41">
        <v>1061</v>
      </c>
      <c r="D876" s="41" t="s">
        <v>1452</v>
      </c>
      <c r="E876" s="41">
        <v>10610020</v>
      </c>
      <c r="F876" s="85" t="s">
        <v>1467</v>
      </c>
      <c r="G876" s="39" t="s">
        <v>93</v>
      </c>
      <c r="H876" s="52" t="s">
        <v>94</v>
      </c>
      <c r="I876" s="52">
        <v>371.19999999999993</v>
      </c>
      <c r="J876" s="49">
        <v>14964.29</v>
      </c>
      <c r="K876" s="58">
        <v>401</v>
      </c>
      <c r="L876" s="58">
        <v>16570.714745143199</v>
      </c>
      <c r="M876" s="58">
        <v>0</v>
      </c>
      <c r="N876" s="58">
        <v>0</v>
      </c>
      <c r="O876" s="65">
        <v>401</v>
      </c>
      <c r="P876" s="65">
        <v>16570.714745143199</v>
      </c>
      <c r="Q876" s="50">
        <v>14964.29</v>
      </c>
      <c r="R876" s="65">
        <v>0</v>
      </c>
      <c r="S876" s="65">
        <v>0</v>
      </c>
      <c r="T876" s="65">
        <v>1606.4247451431984</v>
      </c>
      <c r="U876" s="65">
        <v>0</v>
      </c>
      <c r="V876" s="65">
        <v>0</v>
      </c>
      <c r="W876" s="65">
        <v>0</v>
      </c>
      <c r="X876" s="65">
        <v>14964</v>
      </c>
      <c r="Y876" s="65">
        <v>0</v>
      </c>
      <c r="Z876" s="65">
        <v>0</v>
      </c>
      <c r="AA876" s="51">
        <v>0</v>
      </c>
      <c r="AB876" s="102">
        <v>0</v>
      </c>
      <c r="AC876" s="81">
        <f t="shared" si="42"/>
        <v>265.10013750000013</v>
      </c>
      <c r="AD876" s="82">
        <f t="shared" si="43"/>
        <v>53.028571428571418</v>
      </c>
      <c r="AE876" s="218">
        <v>-0.10735054888292049</v>
      </c>
      <c r="AF876">
        <v>12</v>
      </c>
      <c r="AH876" t="str">
        <f t="shared" si="41"/>
        <v>Mahua BMC</v>
      </c>
      <c r="AJ876" s="72">
        <v>0</v>
      </c>
      <c r="AK876" s="72"/>
      <c r="AL876" s="72"/>
      <c r="AM876" s="72"/>
    </row>
    <row r="877" spans="1:39" x14ac:dyDescent="0.25">
      <c r="A877" s="37" t="s">
        <v>62</v>
      </c>
      <c r="B877" s="66" t="s">
        <v>1566</v>
      </c>
      <c r="C877" s="41">
        <v>1061</v>
      </c>
      <c r="D877" s="41" t="s">
        <v>1452</v>
      </c>
      <c r="E877" s="41">
        <v>10610022</v>
      </c>
      <c r="F877" s="85" t="s">
        <v>1468</v>
      </c>
      <c r="G877" s="39" t="s">
        <v>93</v>
      </c>
      <c r="H877" s="52" t="s">
        <v>94</v>
      </c>
      <c r="I877" s="52">
        <v>173</v>
      </c>
      <c r="J877" s="49">
        <v>7106.3099999999995</v>
      </c>
      <c r="K877" s="58">
        <v>173.89999999999992</v>
      </c>
      <c r="L877" s="58">
        <v>7496.5809796221019</v>
      </c>
      <c r="M877" s="58">
        <v>0</v>
      </c>
      <c r="N877" s="58">
        <v>0</v>
      </c>
      <c r="O877" s="65">
        <v>173.89999999999992</v>
      </c>
      <c r="P877" s="65">
        <v>7496.5809796221019</v>
      </c>
      <c r="Q877" s="50">
        <v>7106.3099999999995</v>
      </c>
      <c r="R877" s="65">
        <v>0</v>
      </c>
      <c r="S877" s="65">
        <v>0</v>
      </c>
      <c r="T877" s="65">
        <v>390.27097962210246</v>
      </c>
      <c r="U877" s="65">
        <v>0</v>
      </c>
      <c r="V877" s="65">
        <v>0</v>
      </c>
      <c r="W877" s="65">
        <v>0</v>
      </c>
      <c r="X877" s="65">
        <v>7106</v>
      </c>
      <c r="Y877" s="65">
        <v>0</v>
      </c>
      <c r="Z877" s="65">
        <v>0</v>
      </c>
      <c r="AA877" s="51">
        <v>0</v>
      </c>
      <c r="AB877" s="102">
        <v>0</v>
      </c>
      <c r="AC877" s="81">
        <f t="shared" si="42"/>
        <v>432.95090982658957</v>
      </c>
      <c r="AD877" s="82">
        <f t="shared" si="43"/>
        <v>24.714285714285715</v>
      </c>
      <c r="AE877" s="218">
        <v>-5.4918935371817794E-2</v>
      </c>
      <c r="AF877">
        <v>8</v>
      </c>
      <c r="AH877" t="str">
        <f t="shared" si="41"/>
        <v>Mahua BMC</v>
      </c>
      <c r="AJ877" s="72">
        <v>0</v>
      </c>
      <c r="AK877" s="72"/>
      <c r="AL877" s="72"/>
      <c r="AM877" s="72"/>
    </row>
    <row r="878" spans="1:39" x14ac:dyDescent="0.25">
      <c r="A878" s="37" t="s">
        <v>62</v>
      </c>
      <c r="B878" s="66" t="s">
        <v>1566</v>
      </c>
      <c r="C878" s="41">
        <v>1061</v>
      </c>
      <c r="D878" s="41" t="s">
        <v>1452</v>
      </c>
      <c r="E878" s="41">
        <v>10610024</v>
      </c>
      <c r="F878" s="85" t="s">
        <v>1483</v>
      </c>
      <c r="G878" s="39" t="s">
        <v>93</v>
      </c>
      <c r="H878" s="52" t="s">
        <v>94</v>
      </c>
      <c r="I878" s="52">
        <v>224.99999999999997</v>
      </c>
      <c r="J878" s="49">
        <v>8434.4599999999991</v>
      </c>
      <c r="K878" s="58">
        <v>218.1</v>
      </c>
      <c r="L878" s="58">
        <v>8381.12570056</v>
      </c>
      <c r="M878" s="58">
        <v>2.5</v>
      </c>
      <c r="N878" s="58">
        <v>99.543981239999994</v>
      </c>
      <c r="O878" s="65">
        <v>220.6</v>
      </c>
      <c r="P878" s="65">
        <v>8480.6696818</v>
      </c>
      <c r="Q878" s="50">
        <v>8434.4599999999991</v>
      </c>
      <c r="R878" s="65">
        <v>0</v>
      </c>
      <c r="S878" s="65">
        <v>99.543981239999994</v>
      </c>
      <c r="T878" s="65">
        <v>46.209681800000908</v>
      </c>
      <c r="U878" s="65">
        <v>0</v>
      </c>
      <c r="V878" s="65">
        <v>0</v>
      </c>
      <c r="W878" s="65">
        <v>0</v>
      </c>
      <c r="X878" s="65">
        <v>8335</v>
      </c>
      <c r="Y878" s="65">
        <v>0</v>
      </c>
      <c r="Z878" s="65">
        <v>0</v>
      </c>
      <c r="AA878" s="51">
        <v>0</v>
      </c>
      <c r="AB878" s="102" t="s">
        <v>66</v>
      </c>
      <c r="AC878" s="81">
        <f t="shared" si="42"/>
        <v>356.12164444444448</v>
      </c>
      <c r="AD878" s="82">
        <f t="shared" si="43"/>
        <v>32.142857142857139</v>
      </c>
      <c r="AE878" s="218">
        <v>-5.4786769751710143E-3</v>
      </c>
      <c r="AF878">
        <v>9</v>
      </c>
      <c r="AH878" t="str">
        <f t="shared" si="41"/>
        <v>Mahua BMC</v>
      </c>
      <c r="AJ878" s="72">
        <v>0</v>
      </c>
      <c r="AK878" s="72"/>
      <c r="AL878" s="72"/>
      <c r="AM878" s="72"/>
    </row>
    <row r="879" spans="1:39" x14ac:dyDescent="0.25">
      <c r="A879" s="37" t="s">
        <v>62</v>
      </c>
      <c r="B879" s="66" t="s">
        <v>1566</v>
      </c>
      <c r="C879" s="41">
        <v>1061</v>
      </c>
      <c r="D879" s="41" t="s">
        <v>1452</v>
      </c>
      <c r="E879" s="41">
        <v>10610025</v>
      </c>
      <c r="F879" s="85" t="s">
        <v>1469</v>
      </c>
      <c r="G879" s="39" t="s">
        <v>635</v>
      </c>
      <c r="H879" s="52" t="s">
        <v>99</v>
      </c>
      <c r="I879" s="52">
        <v>37.1</v>
      </c>
      <c r="J879" s="49">
        <v>1461.03</v>
      </c>
      <c r="K879" s="58">
        <v>0</v>
      </c>
      <c r="L879" s="58">
        <v>0</v>
      </c>
      <c r="M879" s="58">
        <v>0</v>
      </c>
      <c r="N879" s="58">
        <v>0</v>
      </c>
      <c r="O879" s="65">
        <v>0</v>
      </c>
      <c r="P879" s="65">
        <v>0</v>
      </c>
      <c r="Q879" s="50">
        <v>1461.03</v>
      </c>
      <c r="R879" s="65">
        <v>0</v>
      </c>
      <c r="S879" s="65">
        <v>0</v>
      </c>
      <c r="T879" s="65">
        <v>0</v>
      </c>
      <c r="U879" s="65">
        <v>0</v>
      </c>
      <c r="V879" s="65">
        <v>0</v>
      </c>
      <c r="W879" s="65">
        <v>0</v>
      </c>
      <c r="X879" s="65">
        <v>0</v>
      </c>
      <c r="Y879" s="65">
        <v>0</v>
      </c>
      <c r="Z879" s="65">
        <v>1461.03</v>
      </c>
      <c r="AA879" s="51">
        <v>0</v>
      </c>
      <c r="AB879" s="102">
        <v>0</v>
      </c>
      <c r="AC879" s="81">
        <f t="shared" si="42"/>
        <v>522.1114754716981</v>
      </c>
      <c r="AD879" s="82">
        <f t="shared" si="43"/>
        <v>5.3</v>
      </c>
      <c r="AE879" s="218">
        <v>0</v>
      </c>
      <c r="AF879">
        <v>0</v>
      </c>
      <c r="AH879" t="str">
        <f t="shared" si="41"/>
        <v>Mahua BMC</v>
      </c>
      <c r="AJ879" s="72">
        <v>0</v>
      </c>
      <c r="AK879" s="72"/>
      <c r="AL879" s="72"/>
      <c r="AM879" s="72"/>
    </row>
    <row r="880" spans="1:39" x14ac:dyDescent="0.25">
      <c r="A880" s="37" t="s">
        <v>62</v>
      </c>
      <c r="B880" s="66" t="s">
        <v>1566</v>
      </c>
      <c r="C880" s="41">
        <v>1061</v>
      </c>
      <c r="D880" s="41" t="s">
        <v>1452</v>
      </c>
      <c r="E880" s="41">
        <v>10610026</v>
      </c>
      <c r="F880" s="85" t="s">
        <v>1519</v>
      </c>
      <c r="G880" s="39" t="s">
        <v>93</v>
      </c>
      <c r="H880" s="52" t="s">
        <v>94</v>
      </c>
      <c r="I880" s="52">
        <v>59.6</v>
      </c>
      <c r="J880" s="49">
        <v>3819.7200000000012</v>
      </c>
      <c r="K880" s="58">
        <v>62.600000000000009</v>
      </c>
      <c r="L880" s="58">
        <v>4117.1373060162005</v>
      </c>
      <c r="M880" s="58">
        <v>0</v>
      </c>
      <c r="N880" s="58">
        <v>0</v>
      </c>
      <c r="O880" s="65">
        <v>62.600000000000009</v>
      </c>
      <c r="P880" s="65">
        <v>4117.1373060162005</v>
      </c>
      <c r="Q880" s="50">
        <v>3819.7200000000012</v>
      </c>
      <c r="R880" s="65">
        <v>0</v>
      </c>
      <c r="S880" s="65">
        <v>0</v>
      </c>
      <c r="T880" s="65">
        <v>297.41730601619929</v>
      </c>
      <c r="U880" s="65">
        <v>0</v>
      </c>
      <c r="V880" s="65">
        <v>0</v>
      </c>
      <c r="W880" s="65">
        <v>0</v>
      </c>
      <c r="X880" s="65">
        <v>3820</v>
      </c>
      <c r="Y880" s="65">
        <v>0</v>
      </c>
      <c r="Z880" s="65">
        <v>0</v>
      </c>
      <c r="AA880" s="51">
        <v>0</v>
      </c>
      <c r="AB880" s="102">
        <v>0</v>
      </c>
      <c r="AC880" s="81">
        <f t="shared" si="42"/>
        <v>820.85526442953051</v>
      </c>
      <c r="AD880" s="82">
        <f t="shared" si="43"/>
        <v>8.5142857142857142</v>
      </c>
      <c r="AE880" s="218">
        <v>-7.7863640794665373E-2</v>
      </c>
      <c r="AF880">
        <v>5</v>
      </c>
      <c r="AH880" t="str">
        <f t="shared" si="41"/>
        <v>Mahua BMC</v>
      </c>
      <c r="AJ880" s="72">
        <v>0</v>
      </c>
      <c r="AK880" s="72"/>
      <c r="AL880" s="72"/>
      <c r="AM880" s="72"/>
    </row>
    <row r="881" spans="1:39" x14ac:dyDescent="0.25">
      <c r="A881" s="37" t="s">
        <v>62</v>
      </c>
      <c r="B881" s="66" t="s">
        <v>1566</v>
      </c>
      <c r="C881" s="41">
        <v>1061</v>
      </c>
      <c r="D881" s="41" t="s">
        <v>1452</v>
      </c>
      <c r="E881" s="41">
        <v>10610027</v>
      </c>
      <c r="F881" s="85" t="s">
        <v>1520</v>
      </c>
      <c r="G881" s="39" t="s">
        <v>635</v>
      </c>
      <c r="H881" s="52" t="s">
        <v>99</v>
      </c>
      <c r="I881" s="52">
        <v>1518.1</v>
      </c>
      <c r="J881" s="49">
        <v>51179.29</v>
      </c>
      <c r="K881" s="58">
        <v>0</v>
      </c>
      <c r="L881" s="58">
        <v>0</v>
      </c>
      <c r="M881" s="58">
        <v>0</v>
      </c>
      <c r="N881" s="58">
        <v>0</v>
      </c>
      <c r="O881" s="65">
        <v>0</v>
      </c>
      <c r="P881" s="65">
        <v>0</v>
      </c>
      <c r="Q881" s="50">
        <v>51179.29</v>
      </c>
      <c r="R881" s="65">
        <v>0</v>
      </c>
      <c r="S881" s="65">
        <v>0</v>
      </c>
      <c r="T881" s="65">
        <v>0</v>
      </c>
      <c r="U881" s="65">
        <v>0</v>
      </c>
      <c r="V881" s="65">
        <v>0</v>
      </c>
      <c r="W881" s="65">
        <v>0</v>
      </c>
      <c r="X881" s="65">
        <v>0</v>
      </c>
      <c r="Y881" s="65">
        <v>0</v>
      </c>
      <c r="Z881" s="65">
        <v>51179.29</v>
      </c>
      <c r="AA881" s="51">
        <v>0</v>
      </c>
      <c r="AB881" s="102">
        <v>0</v>
      </c>
      <c r="AC881" s="81">
        <f t="shared" si="42"/>
        <v>0</v>
      </c>
      <c r="AD881" s="82">
        <f t="shared" si="43"/>
        <v>0</v>
      </c>
      <c r="AE881" s="218">
        <v>0</v>
      </c>
      <c r="AF881">
        <v>0</v>
      </c>
      <c r="AH881" t="str">
        <f t="shared" si="41"/>
        <v>Mahua BMC</v>
      </c>
      <c r="AJ881" s="72">
        <v>0</v>
      </c>
      <c r="AK881" s="72"/>
      <c r="AL881" s="72"/>
      <c r="AM881" s="72"/>
    </row>
    <row r="882" spans="1:39" x14ac:dyDescent="0.25">
      <c r="A882" s="37" t="s">
        <v>62</v>
      </c>
      <c r="B882" s="66" t="s">
        <v>1566</v>
      </c>
      <c r="C882" s="41">
        <v>1061</v>
      </c>
      <c r="D882" s="41" t="s">
        <v>1452</v>
      </c>
      <c r="E882" s="41">
        <v>10610028</v>
      </c>
      <c r="F882" s="85" t="s">
        <v>1521</v>
      </c>
      <c r="G882" s="39" t="s">
        <v>635</v>
      </c>
      <c r="H882" s="52" t="s">
        <v>99</v>
      </c>
      <c r="I882" s="52">
        <v>196.60000000000002</v>
      </c>
      <c r="J882" s="49">
        <v>7092.6400000000012</v>
      </c>
      <c r="K882" s="58">
        <v>0</v>
      </c>
      <c r="L882" s="58">
        <v>0</v>
      </c>
      <c r="M882" s="58">
        <v>0</v>
      </c>
      <c r="N882" s="58">
        <v>0</v>
      </c>
      <c r="O882" s="65">
        <v>0</v>
      </c>
      <c r="P882" s="65">
        <v>0</v>
      </c>
      <c r="Q882" s="50">
        <v>7092.6400000000012</v>
      </c>
      <c r="R882" s="65">
        <v>0</v>
      </c>
      <c r="S882" s="65">
        <v>0</v>
      </c>
      <c r="T882" s="65">
        <v>0</v>
      </c>
      <c r="U882" s="65">
        <v>0</v>
      </c>
      <c r="V882" s="65">
        <v>0</v>
      </c>
      <c r="W882" s="65">
        <v>0</v>
      </c>
      <c r="X882" s="65">
        <v>0</v>
      </c>
      <c r="Y882" s="65">
        <v>0</v>
      </c>
      <c r="Z882" s="65">
        <v>7092.6400000000012</v>
      </c>
      <c r="AA882" s="51">
        <v>0</v>
      </c>
      <c r="AB882" s="102">
        <v>0</v>
      </c>
      <c r="AC882" s="81">
        <f t="shared" si="42"/>
        <v>363.21820712105801</v>
      </c>
      <c r="AD882" s="82">
        <f t="shared" si="43"/>
        <v>28.085714285714289</v>
      </c>
      <c r="AE882" s="218">
        <v>0</v>
      </c>
      <c r="AF882">
        <v>0</v>
      </c>
      <c r="AH882" t="str">
        <f t="shared" ref="AH882:AH942" si="44">TEXT(D882,"0000")</f>
        <v>Mahua BMC</v>
      </c>
      <c r="AJ882" s="72">
        <v>0</v>
      </c>
      <c r="AK882" s="72"/>
      <c r="AL882" s="72"/>
      <c r="AM882" s="72"/>
    </row>
    <row r="883" spans="1:39" x14ac:dyDescent="0.25">
      <c r="A883" s="37" t="s">
        <v>62</v>
      </c>
      <c r="B883" s="66" t="s">
        <v>1566</v>
      </c>
      <c r="C883" s="41">
        <v>1061</v>
      </c>
      <c r="D883" s="41" t="s">
        <v>1452</v>
      </c>
      <c r="E883" s="41">
        <v>10610034</v>
      </c>
      <c r="F883" s="85" t="s">
        <v>1523</v>
      </c>
      <c r="G883" s="39" t="s">
        <v>635</v>
      </c>
      <c r="H883" s="52" t="s">
        <v>99</v>
      </c>
      <c r="I883" s="52">
        <v>312.3</v>
      </c>
      <c r="J883" s="49">
        <v>11953.640000000001</v>
      </c>
      <c r="K883" s="58">
        <v>0</v>
      </c>
      <c r="L883" s="58">
        <v>0</v>
      </c>
      <c r="M883" s="58">
        <v>0</v>
      </c>
      <c r="N883" s="58">
        <v>0</v>
      </c>
      <c r="O883" s="65">
        <v>0</v>
      </c>
      <c r="P883" s="65">
        <v>0</v>
      </c>
      <c r="Q883" s="50">
        <v>11953.640000000001</v>
      </c>
      <c r="R883" s="65">
        <v>0</v>
      </c>
      <c r="S883" s="65">
        <v>0</v>
      </c>
      <c r="T883" s="65">
        <v>0</v>
      </c>
      <c r="U883" s="65">
        <v>0</v>
      </c>
      <c r="V883" s="65">
        <v>0</v>
      </c>
      <c r="W883" s="65">
        <v>0</v>
      </c>
      <c r="X883" s="65">
        <v>0</v>
      </c>
      <c r="Y883" s="65">
        <v>0</v>
      </c>
      <c r="Z883" s="65">
        <v>11953.640000000001</v>
      </c>
      <c r="AA883" s="51">
        <v>0</v>
      </c>
      <c r="AB883" s="102">
        <v>0</v>
      </c>
      <c r="AC883" s="81">
        <f t="shared" si="42"/>
        <v>296.79322625680436</v>
      </c>
      <c r="AD883" s="82">
        <f t="shared" si="43"/>
        <v>44.614285714285714</v>
      </c>
      <c r="AE883" s="218">
        <v>0</v>
      </c>
      <c r="AF883">
        <v>0</v>
      </c>
      <c r="AH883" t="str">
        <f t="shared" si="44"/>
        <v>Mahua BMC</v>
      </c>
      <c r="AJ883" s="72">
        <v>0</v>
      </c>
      <c r="AK883" s="72"/>
      <c r="AL883" s="72"/>
      <c r="AM883" s="72"/>
    </row>
    <row r="884" spans="1:39" x14ac:dyDescent="0.25">
      <c r="A884" s="37" t="s">
        <v>62</v>
      </c>
      <c r="B884" s="66" t="s">
        <v>1566</v>
      </c>
      <c r="C884" s="41">
        <v>1061</v>
      </c>
      <c r="D884" s="41" t="s">
        <v>1452</v>
      </c>
      <c r="E884" s="41">
        <v>10610035</v>
      </c>
      <c r="F884" s="85" t="s">
        <v>1524</v>
      </c>
      <c r="G884" s="39" t="s">
        <v>635</v>
      </c>
      <c r="H884" s="52" t="s">
        <v>99</v>
      </c>
      <c r="I884" s="52">
        <v>347.7</v>
      </c>
      <c r="J884" s="49">
        <v>10391.17</v>
      </c>
      <c r="K884" s="58">
        <v>0</v>
      </c>
      <c r="L884" s="58">
        <v>0</v>
      </c>
      <c r="M884" s="58">
        <v>0</v>
      </c>
      <c r="N884" s="58">
        <v>0</v>
      </c>
      <c r="O884" s="65">
        <v>0</v>
      </c>
      <c r="P884" s="65">
        <v>0</v>
      </c>
      <c r="Q884" s="50">
        <v>10391.17</v>
      </c>
      <c r="R884" s="65">
        <v>0</v>
      </c>
      <c r="S884" s="65">
        <v>0</v>
      </c>
      <c r="T884" s="65">
        <v>0</v>
      </c>
      <c r="U884" s="65">
        <v>0</v>
      </c>
      <c r="V884" s="65">
        <v>0</v>
      </c>
      <c r="W884" s="65">
        <v>0</v>
      </c>
      <c r="X884" s="65">
        <v>0</v>
      </c>
      <c r="Y884" s="65">
        <v>0</v>
      </c>
      <c r="Z884" s="65">
        <v>10391.17</v>
      </c>
      <c r="AA884" s="51">
        <v>0</v>
      </c>
      <c r="AB884" s="102">
        <v>0</v>
      </c>
      <c r="AC884" s="81">
        <f t="shared" si="42"/>
        <v>210.57286114466498</v>
      </c>
      <c r="AD884" s="82">
        <f t="shared" si="43"/>
        <v>49.671428571428571</v>
      </c>
      <c r="AE884" s="218">
        <v>0</v>
      </c>
      <c r="AF884">
        <v>0</v>
      </c>
      <c r="AH884" t="str">
        <f t="shared" si="44"/>
        <v>Mahua BMC</v>
      </c>
      <c r="AJ884" s="72">
        <v>0</v>
      </c>
      <c r="AK884" s="72"/>
      <c r="AL884" s="72"/>
      <c r="AM884" s="72"/>
    </row>
    <row r="885" spans="1:39" x14ac:dyDescent="0.25">
      <c r="A885" s="37" t="s">
        <v>62</v>
      </c>
      <c r="B885" s="66" t="s">
        <v>1566</v>
      </c>
      <c r="C885" s="41">
        <v>1061</v>
      </c>
      <c r="D885" s="41" t="s">
        <v>1452</v>
      </c>
      <c r="E885" s="41">
        <v>10610036</v>
      </c>
      <c r="F885" s="85" t="s">
        <v>1525</v>
      </c>
      <c r="G885" s="39" t="s">
        <v>635</v>
      </c>
      <c r="H885" s="52" t="s">
        <v>99</v>
      </c>
      <c r="I885" s="52">
        <v>18.5</v>
      </c>
      <c r="J885" s="49">
        <v>686.17</v>
      </c>
      <c r="K885" s="58">
        <v>0</v>
      </c>
      <c r="L885" s="58">
        <v>0</v>
      </c>
      <c r="M885" s="58">
        <v>0</v>
      </c>
      <c r="N885" s="58">
        <v>0</v>
      </c>
      <c r="O885" s="65">
        <v>0</v>
      </c>
      <c r="P885" s="65">
        <v>0</v>
      </c>
      <c r="Q885" s="50">
        <v>686.17</v>
      </c>
      <c r="R885" s="65">
        <v>0</v>
      </c>
      <c r="S885" s="65">
        <v>0</v>
      </c>
      <c r="T885" s="65">
        <v>0</v>
      </c>
      <c r="U885" s="65">
        <v>0</v>
      </c>
      <c r="V885" s="65">
        <v>0</v>
      </c>
      <c r="W885" s="65">
        <v>0</v>
      </c>
      <c r="X885" s="65">
        <v>0</v>
      </c>
      <c r="Y885" s="65">
        <v>0</v>
      </c>
      <c r="Z885" s="65">
        <v>686.17</v>
      </c>
      <c r="AA885" s="51">
        <v>0</v>
      </c>
      <c r="AB885" s="102">
        <v>0</v>
      </c>
      <c r="AC885" s="81">
        <f t="shared" si="42"/>
        <v>505.5403837837838</v>
      </c>
      <c r="AD885" s="82">
        <f t="shared" si="43"/>
        <v>2.6428571428571428</v>
      </c>
      <c r="AE885" s="218">
        <v>0</v>
      </c>
      <c r="AF885">
        <v>0</v>
      </c>
      <c r="AH885" t="str">
        <f t="shared" si="44"/>
        <v>Mahua BMC</v>
      </c>
      <c r="AJ885" s="72">
        <v>0</v>
      </c>
      <c r="AK885" s="72"/>
      <c r="AL885" s="72"/>
      <c r="AM885" s="72"/>
    </row>
    <row r="886" spans="1:39" x14ac:dyDescent="0.25">
      <c r="A886" s="37" t="s">
        <v>62</v>
      </c>
      <c r="B886" s="66" t="s">
        <v>1566</v>
      </c>
      <c r="C886" s="41">
        <v>1061</v>
      </c>
      <c r="D886" s="41" t="s">
        <v>1452</v>
      </c>
      <c r="E886" s="41">
        <v>10610038</v>
      </c>
      <c r="F886" s="85" t="s">
        <v>1526</v>
      </c>
      <c r="G886" s="39" t="s">
        <v>635</v>
      </c>
      <c r="H886" s="52" t="s">
        <v>99</v>
      </c>
      <c r="I886" s="52">
        <v>1136.4000000000001</v>
      </c>
      <c r="J886" s="49">
        <v>39960.799999999996</v>
      </c>
      <c r="K886" s="58">
        <v>0</v>
      </c>
      <c r="L886" s="58">
        <v>0</v>
      </c>
      <c r="M886" s="58">
        <v>0</v>
      </c>
      <c r="N886" s="58">
        <v>0</v>
      </c>
      <c r="O886" s="65">
        <v>0</v>
      </c>
      <c r="P886" s="65">
        <v>0</v>
      </c>
      <c r="Q886" s="50">
        <v>39960.799999999996</v>
      </c>
      <c r="R886" s="65">
        <v>0</v>
      </c>
      <c r="S886" s="65">
        <v>0</v>
      </c>
      <c r="T886" s="65">
        <v>0</v>
      </c>
      <c r="U886" s="65">
        <v>0</v>
      </c>
      <c r="V886" s="65">
        <v>0</v>
      </c>
      <c r="W886" s="65">
        <v>0</v>
      </c>
      <c r="X886" s="65">
        <v>0</v>
      </c>
      <c r="Y886" s="65">
        <v>0</v>
      </c>
      <c r="Z886" s="65">
        <v>39960.799999999996</v>
      </c>
      <c r="AA886" s="51">
        <v>0</v>
      </c>
      <c r="AB886" s="102">
        <v>0</v>
      </c>
      <c r="AC886" s="81">
        <f t="shared" si="42"/>
        <v>0</v>
      </c>
      <c r="AD886" s="82">
        <f t="shared" si="43"/>
        <v>0</v>
      </c>
      <c r="AE886" s="218">
        <v>0</v>
      </c>
      <c r="AF886">
        <v>0</v>
      </c>
      <c r="AH886" t="str">
        <f t="shared" si="44"/>
        <v>Mahua BMC</v>
      </c>
      <c r="AJ886" s="72">
        <v>0</v>
      </c>
      <c r="AK886" s="72"/>
      <c r="AL886" s="72"/>
      <c r="AM886" s="72"/>
    </row>
    <row r="887" spans="1:39" x14ac:dyDescent="0.25">
      <c r="A887" s="37" t="s">
        <v>62</v>
      </c>
      <c r="B887" s="66" t="s">
        <v>1566</v>
      </c>
      <c r="C887" s="41">
        <v>1061</v>
      </c>
      <c r="D887" s="41" t="s">
        <v>1452</v>
      </c>
      <c r="E887" s="41">
        <v>10610039</v>
      </c>
      <c r="F887" s="85" t="s">
        <v>1527</v>
      </c>
      <c r="G887" s="39" t="s">
        <v>635</v>
      </c>
      <c r="H887" s="52" t="s">
        <v>99</v>
      </c>
      <c r="I887" s="52">
        <v>768.4</v>
      </c>
      <c r="J887" s="49">
        <v>28187.77</v>
      </c>
      <c r="K887" s="58">
        <v>0</v>
      </c>
      <c r="L887" s="58">
        <v>0</v>
      </c>
      <c r="M887" s="58">
        <v>0</v>
      </c>
      <c r="N887" s="58">
        <v>0</v>
      </c>
      <c r="O887" s="65">
        <v>0</v>
      </c>
      <c r="P887" s="65">
        <v>0</v>
      </c>
      <c r="Q887" s="50">
        <v>28187.77</v>
      </c>
      <c r="R887" s="65">
        <v>0</v>
      </c>
      <c r="S887" s="65">
        <v>0</v>
      </c>
      <c r="T887" s="65">
        <v>0</v>
      </c>
      <c r="U887" s="65">
        <v>0</v>
      </c>
      <c r="V887" s="65">
        <v>0</v>
      </c>
      <c r="W887" s="65">
        <v>0</v>
      </c>
      <c r="X887" s="65">
        <v>0</v>
      </c>
      <c r="Y887" s="65">
        <v>0</v>
      </c>
      <c r="Z887" s="65">
        <v>28187.77</v>
      </c>
      <c r="AA887" s="51">
        <v>0</v>
      </c>
      <c r="AB887" s="102">
        <v>0</v>
      </c>
      <c r="AC887" s="81">
        <f t="shared" si="42"/>
        <v>0</v>
      </c>
      <c r="AD887" s="82">
        <f t="shared" si="43"/>
        <v>0</v>
      </c>
      <c r="AE887" s="218">
        <v>0</v>
      </c>
      <c r="AF887">
        <v>0</v>
      </c>
      <c r="AH887" t="str">
        <f t="shared" si="44"/>
        <v>Mahua BMC</v>
      </c>
      <c r="AJ887" s="72">
        <v>0</v>
      </c>
      <c r="AK887" s="72"/>
      <c r="AL887" s="72"/>
      <c r="AM887" s="72"/>
    </row>
    <row r="888" spans="1:39" x14ac:dyDescent="0.25">
      <c r="A888" s="37" t="s">
        <v>62</v>
      </c>
      <c r="B888" s="66" t="s">
        <v>1566</v>
      </c>
      <c r="C888" s="41">
        <v>1061</v>
      </c>
      <c r="D888" s="41" t="s">
        <v>1452</v>
      </c>
      <c r="E888" s="41">
        <v>10610044</v>
      </c>
      <c r="F888" s="85" t="s">
        <v>1536</v>
      </c>
      <c r="G888" s="39" t="s">
        <v>635</v>
      </c>
      <c r="H888" s="52" t="s">
        <v>99</v>
      </c>
      <c r="I888" s="52">
        <v>49.3</v>
      </c>
      <c r="J888" s="49">
        <v>1741.74</v>
      </c>
      <c r="K888" s="58">
        <v>0</v>
      </c>
      <c r="L888" s="58">
        <v>0</v>
      </c>
      <c r="M888" s="58">
        <v>0</v>
      </c>
      <c r="N888" s="58">
        <v>0</v>
      </c>
      <c r="O888" s="65">
        <v>0</v>
      </c>
      <c r="P888" s="65">
        <v>0</v>
      </c>
      <c r="Q888" s="50">
        <v>1741.74</v>
      </c>
      <c r="R888" s="65">
        <v>0</v>
      </c>
      <c r="S888" s="65">
        <v>0</v>
      </c>
      <c r="T888" s="65">
        <v>0</v>
      </c>
      <c r="U888" s="65">
        <v>0</v>
      </c>
      <c r="V888" s="65">
        <v>0</v>
      </c>
      <c r="W888" s="65">
        <v>0</v>
      </c>
      <c r="X888" s="65">
        <v>0</v>
      </c>
      <c r="Y888" s="65">
        <v>0</v>
      </c>
      <c r="Z888" s="65">
        <v>1741.74</v>
      </c>
      <c r="AA888" s="51">
        <v>0</v>
      </c>
      <c r="AB888" s="102">
        <v>0</v>
      </c>
      <c r="AC888" s="81">
        <f t="shared" si="42"/>
        <v>459.77696470588234</v>
      </c>
      <c r="AD888" s="82">
        <f t="shared" si="43"/>
        <v>7.0428571428571427</v>
      </c>
      <c r="AE888" s="218">
        <v>0</v>
      </c>
      <c r="AF888">
        <v>0</v>
      </c>
      <c r="AH888" t="str">
        <f t="shared" si="44"/>
        <v>Mahua BMC</v>
      </c>
      <c r="AJ888" s="72">
        <v>0</v>
      </c>
      <c r="AK888" s="72"/>
      <c r="AL888" s="72"/>
      <c r="AM888" s="72"/>
    </row>
    <row r="889" spans="1:39" x14ac:dyDescent="0.25">
      <c r="A889" s="37" t="s">
        <v>62</v>
      </c>
      <c r="B889" s="66" t="s">
        <v>1566</v>
      </c>
      <c r="C889" s="41">
        <v>1061</v>
      </c>
      <c r="D889" s="41" t="s">
        <v>1452</v>
      </c>
      <c r="E889" s="41">
        <v>10610045</v>
      </c>
      <c r="F889" s="85" t="s">
        <v>1537</v>
      </c>
      <c r="G889" s="39" t="s">
        <v>635</v>
      </c>
      <c r="H889" s="52" t="s">
        <v>99</v>
      </c>
      <c r="I889" s="52">
        <v>470.00000000000006</v>
      </c>
      <c r="J889" s="49">
        <v>16838.29</v>
      </c>
      <c r="K889" s="58">
        <v>0</v>
      </c>
      <c r="L889" s="58">
        <v>0</v>
      </c>
      <c r="M889" s="58">
        <v>0</v>
      </c>
      <c r="N889" s="58">
        <v>0</v>
      </c>
      <c r="O889" s="65">
        <v>0</v>
      </c>
      <c r="P889" s="65">
        <v>0</v>
      </c>
      <c r="Q889" s="50">
        <v>16838.29</v>
      </c>
      <c r="R889" s="65">
        <v>0</v>
      </c>
      <c r="S889" s="65">
        <v>0</v>
      </c>
      <c r="T889" s="65">
        <v>0</v>
      </c>
      <c r="U889" s="65">
        <v>0</v>
      </c>
      <c r="V889" s="65">
        <v>0</v>
      </c>
      <c r="W889" s="65">
        <v>0</v>
      </c>
      <c r="X889" s="65">
        <v>0</v>
      </c>
      <c r="Y889" s="65">
        <v>0</v>
      </c>
      <c r="Z889" s="65">
        <v>16838.29</v>
      </c>
      <c r="AA889" s="51">
        <v>0</v>
      </c>
      <c r="AB889" s="102">
        <v>0</v>
      </c>
      <c r="AC889" s="81">
        <f t="shared" si="42"/>
        <v>164.80028510638294</v>
      </c>
      <c r="AD889" s="82">
        <f t="shared" si="43"/>
        <v>67.142857142857153</v>
      </c>
      <c r="AE889" s="218">
        <v>0</v>
      </c>
      <c r="AF889">
        <v>0</v>
      </c>
      <c r="AH889" t="str">
        <f t="shared" si="44"/>
        <v>Mahua BMC</v>
      </c>
      <c r="AJ889" s="72">
        <v>0</v>
      </c>
      <c r="AK889" s="72"/>
      <c r="AL889" s="72"/>
      <c r="AM889" s="72"/>
    </row>
    <row r="890" spans="1:39" x14ac:dyDescent="0.25">
      <c r="A890" s="37" t="s">
        <v>62</v>
      </c>
      <c r="B890" s="66" t="s">
        <v>1566</v>
      </c>
      <c r="C890" s="41">
        <v>1061</v>
      </c>
      <c r="D890" s="41" t="s">
        <v>1452</v>
      </c>
      <c r="E890" s="41">
        <v>10610046</v>
      </c>
      <c r="F890" s="85" t="s">
        <v>1538</v>
      </c>
      <c r="G890" s="39" t="s">
        <v>635</v>
      </c>
      <c r="H890" s="52" t="s">
        <v>99</v>
      </c>
      <c r="I890" s="52">
        <v>246.20000000000002</v>
      </c>
      <c r="J890" s="49">
        <v>8721.7000000000007</v>
      </c>
      <c r="K890" s="58">
        <v>0</v>
      </c>
      <c r="L890" s="58">
        <v>0</v>
      </c>
      <c r="M890" s="58">
        <v>0</v>
      </c>
      <c r="N890" s="58">
        <v>0</v>
      </c>
      <c r="O890" s="65">
        <v>0</v>
      </c>
      <c r="P890" s="65">
        <v>0</v>
      </c>
      <c r="Q890" s="50">
        <v>8721.7000000000007</v>
      </c>
      <c r="R890" s="65">
        <v>0</v>
      </c>
      <c r="S890" s="65">
        <v>0</v>
      </c>
      <c r="T890" s="65">
        <v>0</v>
      </c>
      <c r="U890" s="65">
        <v>0</v>
      </c>
      <c r="V890" s="65">
        <v>0</v>
      </c>
      <c r="W890" s="65">
        <v>0</v>
      </c>
      <c r="X890" s="65">
        <v>0</v>
      </c>
      <c r="Y890" s="65">
        <v>0</v>
      </c>
      <c r="Z890" s="65">
        <v>8721.7000000000007</v>
      </c>
      <c r="AA890" s="51">
        <v>0</v>
      </c>
      <c r="AB890" s="102">
        <v>0</v>
      </c>
      <c r="AC890" s="81">
        <f t="shared" si="42"/>
        <v>321.51969618196591</v>
      </c>
      <c r="AD890" s="82">
        <f t="shared" si="43"/>
        <v>35.171428571428571</v>
      </c>
      <c r="AE890" s="218">
        <v>0</v>
      </c>
      <c r="AF890">
        <v>0</v>
      </c>
      <c r="AH890" t="str">
        <f t="shared" si="44"/>
        <v>Mahua BMC</v>
      </c>
      <c r="AJ890" s="72">
        <v>0</v>
      </c>
      <c r="AK890" s="72"/>
      <c r="AL890" s="72"/>
      <c r="AM890" s="72"/>
    </row>
    <row r="891" spans="1:39" x14ac:dyDescent="0.25">
      <c r="A891" s="37" t="s">
        <v>62</v>
      </c>
      <c r="B891" s="66" t="s">
        <v>1566</v>
      </c>
      <c r="C891" s="41">
        <v>1061</v>
      </c>
      <c r="D891" s="41" t="s">
        <v>1452</v>
      </c>
      <c r="E891" s="41">
        <v>10610050</v>
      </c>
      <c r="F891" s="85" t="s">
        <v>1558</v>
      </c>
      <c r="G891" s="39" t="s">
        <v>635</v>
      </c>
      <c r="H891" s="52" t="s">
        <v>99</v>
      </c>
      <c r="I891" s="52">
        <v>132.19999999999999</v>
      </c>
      <c r="J891" s="49">
        <v>5455.44</v>
      </c>
      <c r="K891" s="58">
        <v>0</v>
      </c>
      <c r="L891" s="58">
        <v>0</v>
      </c>
      <c r="M891" s="58">
        <v>0</v>
      </c>
      <c r="N891" s="58">
        <v>0</v>
      </c>
      <c r="O891" s="65">
        <v>0</v>
      </c>
      <c r="P891" s="65">
        <v>0</v>
      </c>
      <c r="Q891" s="50">
        <v>5455.44</v>
      </c>
      <c r="R891" s="65">
        <v>0</v>
      </c>
      <c r="S891" s="65">
        <v>0</v>
      </c>
      <c r="T891" s="65">
        <v>0</v>
      </c>
      <c r="U891" s="65">
        <v>0</v>
      </c>
      <c r="V891" s="65">
        <v>0</v>
      </c>
      <c r="W891" s="65">
        <v>0</v>
      </c>
      <c r="X891" s="65">
        <v>0</v>
      </c>
      <c r="Y891" s="65">
        <v>0</v>
      </c>
      <c r="Z891" s="65">
        <v>5455.44</v>
      </c>
      <c r="AA891" s="51">
        <v>0</v>
      </c>
      <c r="AB891" s="102">
        <v>0</v>
      </c>
      <c r="AC891" s="81">
        <f t="shared" si="42"/>
        <v>468.62312133131616</v>
      </c>
      <c r="AD891" s="82">
        <f t="shared" si="43"/>
        <v>18.885714285714283</v>
      </c>
      <c r="AE891" s="218">
        <v>0</v>
      </c>
      <c r="AF891">
        <v>0</v>
      </c>
      <c r="AH891" t="str">
        <f t="shared" si="44"/>
        <v>Mahua BMC</v>
      </c>
      <c r="AJ891" s="72">
        <v>0</v>
      </c>
      <c r="AK891" s="72"/>
      <c r="AL891" s="72"/>
      <c r="AM891" s="72"/>
    </row>
    <row r="892" spans="1:39" x14ac:dyDescent="0.25">
      <c r="A892" s="37" t="s">
        <v>62</v>
      </c>
      <c r="B892" s="66" t="s">
        <v>1566</v>
      </c>
      <c r="C892" s="41">
        <v>1061</v>
      </c>
      <c r="D892" s="41" t="s">
        <v>1452</v>
      </c>
      <c r="E892" s="41">
        <v>10610051</v>
      </c>
      <c r="F892" s="85" t="s">
        <v>1559</v>
      </c>
      <c r="G892" s="39" t="s">
        <v>635</v>
      </c>
      <c r="H892" s="52" t="s">
        <v>99</v>
      </c>
      <c r="I892" s="52">
        <v>102.19999999999999</v>
      </c>
      <c r="J892" s="49">
        <v>3736.7</v>
      </c>
      <c r="K892" s="58">
        <v>0</v>
      </c>
      <c r="L892" s="58">
        <v>0</v>
      </c>
      <c r="M892" s="58">
        <v>0</v>
      </c>
      <c r="N892" s="58">
        <v>0</v>
      </c>
      <c r="O892" s="65">
        <v>0</v>
      </c>
      <c r="P892" s="65">
        <v>0</v>
      </c>
      <c r="Q892" s="50">
        <v>3736.7</v>
      </c>
      <c r="R892" s="65">
        <v>0</v>
      </c>
      <c r="S892" s="65">
        <v>0</v>
      </c>
      <c r="T892" s="65">
        <v>0</v>
      </c>
      <c r="U892" s="65">
        <v>0</v>
      </c>
      <c r="V892" s="65">
        <v>0</v>
      </c>
      <c r="W892" s="65">
        <v>0</v>
      </c>
      <c r="X892" s="65">
        <v>0</v>
      </c>
      <c r="Y892" s="65">
        <v>0</v>
      </c>
      <c r="Z892" s="65">
        <v>3736.7</v>
      </c>
      <c r="AA892" s="51">
        <v>0</v>
      </c>
      <c r="AB892" s="102">
        <v>0</v>
      </c>
      <c r="AC892" s="81">
        <f t="shared" si="42"/>
        <v>437.14271232876723</v>
      </c>
      <c r="AD892" s="82">
        <f t="shared" si="43"/>
        <v>14.599999999999998</v>
      </c>
      <c r="AE892" s="218">
        <v>0</v>
      </c>
      <c r="AF892">
        <v>0</v>
      </c>
      <c r="AH892" t="str">
        <f t="shared" si="44"/>
        <v>Mahua BMC</v>
      </c>
      <c r="AJ892" s="72">
        <v>0</v>
      </c>
      <c r="AK892" s="72"/>
      <c r="AL892" s="72"/>
      <c r="AM892" s="72"/>
    </row>
    <row r="893" spans="1:39" x14ac:dyDescent="0.25">
      <c r="A893" s="37" t="s">
        <v>62</v>
      </c>
      <c r="B893" s="66" t="s">
        <v>1566</v>
      </c>
      <c r="C893" s="41">
        <v>1061</v>
      </c>
      <c r="D893" s="41" t="s">
        <v>1452</v>
      </c>
      <c r="E893" s="41">
        <v>10610052</v>
      </c>
      <c r="F893" s="85" t="s">
        <v>1563</v>
      </c>
      <c r="G893" s="39" t="s">
        <v>635</v>
      </c>
      <c r="H893" s="52" t="s">
        <v>99</v>
      </c>
      <c r="I893" s="52">
        <v>580.20000000000005</v>
      </c>
      <c r="J893" s="49">
        <v>23008.23</v>
      </c>
      <c r="K893" s="58">
        <v>0</v>
      </c>
      <c r="L893" s="58">
        <v>0</v>
      </c>
      <c r="M893" s="58">
        <v>0</v>
      </c>
      <c r="N893" s="58">
        <v>0</v>
      </c>
      <c r="O893" s="65">
        <v>0</v>
      </c>
      <c r="P893" s="65">
        <v>0</v>
      </c>
      <c r="Q893" s="50">
        <v>23008.23</v>
      </c>
      <c r="R893" s="65">
        <v>0</v>
      </c>
      <c r="S893" s="65">
        <v>0</v>
      </c>
      <c r="T893" s="65">
        <v>0</v>
      </c>
      <c r="U893" s="65">
        <v>0</v>
      </c>
      <c r="V893" s="65">
        <v>0</v>
      </c>
      <c r="W893" s="65">
        <v>0</v>
      </c>
      <c r="X893" s="65">
        <v>0</v>
      </c>
      <c r="Y893" s="65">
        <v>0</v>
      </c>
      <c r="Z893" s="65">
        <v>23008.23</v>
      </c>
      <c r="AA893" s="51">
        <v>0</v>
      </c>
      <c r="AB893" s="102">
        <v>0</v>
      </c>
      <c r="AC893" s="81">
        <f t="shared" si="42"/>
        <v>95.015027714581151</v>
      </c>
      <c r="AD893" s="82">
        <f t="shared" si="43"/>
        <v>82.885714285714286</v>
      </c>
      <c r="AE893" s="218">
        <v>0</v>
      </c>
      <c r="AF893">
        <v>0</v>
      </c>
      <c r="AH893" t="str">
        <f t="shared" si="44"/>
        <v>Mahua BMC</v>
      </c>
      <c r="AJ893" s="72">
        <v>0</v>
      </c>
      <c r="AK893" s="72"/>
      <c r="AL893" s="72"/>
      <c r="AM893" s="72"/>
    </row>
    <row r="894" spans="1:39" x14ac:dyDescent="0.25">
      <c r="A894" s="37" t="s">
        <v>62</v>
      </c>
      <c r="B894" s="66" t="s">
        <v>1566</v>
      </c>
      <c r="C894" s="41">
        <v>1057</v>
      </c>
      <c r="D894" s="41" t="s">
        <v>1202</v>
      </c>
      <c r="E894" s="41">
        <v>10630001</v>
      </c>
      <c r="F894" s="85" t="s">
        <v>1408</v>
      </c>
      <c r="G894" s="39" t="s">
        <v>93</v>
      </c>
      <c r="H894" s="52" t="s">
        <v>94</v>
      </c>
      <c r="I894" s="52">
        <v>0.01</v>
      </c>
      <c r="J894" s="49">
        <v>0.33</v>
      </c>
      <c r="K894" s="58">
        <v>0</v>
      </c>
      <c r="L894" s="58">
        <v>0</v>
      </c>
      <c r="M894" s="58">
        <v>0</v>
      </c>
      <c r="N894" s="58">
        <v>0</v>
      </c>
      <c r="O894" s="65">
        <v>0</v>
      </c>
      <c r="P894" s="65">
        <v>0</v>
      </c>
      <c r="Q894" s="50">
        <v>0</v>
      </c>
      <c r="R894" s="65">
        <v>0</v>
      </c>
      <c r="S894" s="65">
        <v>0</v>
      </c>
      <c r="T894" s="65">
        <v>0</v>
      </c>
      <c r="U894" s="65">
        <v>0</v>
      </c>
      <c r="V894" s="65">
        <v>0</v>
      </c>
      <c r="W894" s="65">
        <v>0</v>
      </c>
      <c r="X894" s="65">
        <v>0</v>
      </c>
      <c r="Y894" s="65">
        <v>0</v>
      </c>
      <c r="Z894" s="65">
        <v>0</v>
      </c>
      <c r="AA894" s="51">
        <v>0</v>
      </c>
      <c r="AB894" s="102">
        <v>0</v>
      </c>
      <c r="AC894" s="81">
        <f t="shared" si="42"/>
        <v>461.99340000000007</v>
      </c>
      <c r="AD894" s="82">
        <f t="shared" si="43"/>
        <v>1.4285714285714286E-3</v>
      </c>
      <c r="AE894" s="218">
        <v>1</v>
      </c>
      <c r="AF894">
        <v>0</v>
      </c>
      <c r="AH894" t="str">
        <f t="shared" si="44"/>
        <v>Warisnagar</v>
      </c>
      <c r="AJ894" s="72">
        <v>0</v>
      </c>
      <c r="AK894" s="72"/>
      <c r="AL894" s="72"/>
      <c r="AM894" s="72"/>
    </row>
    <row r="895" spans="1:39" x14ac:dyDescent="0.25">
      <c r="A895" s="37" t="s">
        <v>62</v>
      </c>
      <c r="B895" s="66" t="s">
        <v>1566</v>
      </c>
      <c r="C895" s="41">
        <v>1057</v>
      </c>
      <c r="D895" s="41" t="s">
        <v>1202</v>
      </c>
      <c r="E895" s="41">
        <v>10630002</v>
      </c>
      <c r="F895" s="85" t="s">
        <v>1528</v>
      </c>
      <c r="G895" s="39" t="s">
        <v>93</v>
      </c>
      <c r="H895" s="52" t="s">
        <v>94</v>
      </c>
      <c r="I895" s="52">
        <v>139.00000000000003</v>
      </c>
      <c r="J895" s="49">
        <v>5836.5999999999995</v>
      </c>
      <c r="K895" s="58">
        <v>139.1</v>
      </c>
      <c r="L895" s="58">
        <v>5814.4117925904002</v>
      </c>
      <c r="M895" s="58">
        <v>0</v>
      </c>
      <c r="N895" s="58">
        <v>0</v>
      </c>
      <c r="O895" s="65">
        <v>139.1</v>
      </c>
      <c r="P895" s="65">
        <v>5814.4117925904002</v>
      </c>
      <c r="Q895" s="50">
        <v>5814.4117925904002</v>
      </c>
      <c r="R895" s="65">
        <v>0</v>
      </c>
      <c r="S895" s="65">
        <v>0</v>
      </c>
      <c r="T895" s="65">
        <v>0</v>
      </c>
      <c r="U895" s="65">
        <v>0</v>
      </c>
      <c r="V895" s="65">
        <v>0</v>
      </c>
      <c r="W895" s="65">
        <v>0</v>
      </c>
      <c r="X895" s="65">
        <v>5814</v>
      </c>
      <c r="Y895" s="65">
        <v>0</v>
      </c>
      <c r="Z895" s="65">
        <v>0</v>
      </c>
      <c r="AA895" s="51">
        <v>23</v>
      </c>
      <c r="AB895" s="102">
        <v>0</v>
      </c>
      <c r="AC895" s="81">
        <f t="shared" si="42"/>
        <v>471.12699280575532</v>
      </c>
      <c r="AD895" s="82">
        <f t="shared" si="43"/>
        <v>19.857142857142861</v>
      </c>
      <c r="AE895" s="218">
        <v>3.8015638230475403E-3</v>
      </c>
      <c r="AF895">
        <v>1</v>
      </c>
      <c r="AH895" t="str">
        <f t="shared" si="44"/>
        <v>Warisnagar</v>
      </c>
      <c r="AJ895" s="72">
        <v>0</v>
      </c>
      <c r="AK895" s="72"/>
      <c r="AL895" s="72"/>
      <c r="AM895" s="72"/>
    </row>
    <row r="896" spans="1:39" x14ac:dyDescent="0.25">
      <c r="A896" s="37" t="s">
        <v>62</v>
      </c>
      <c r="B896" s="66" t="s">
        <v>1566</v>
      </c>
      <c r="C896" s="41">
        <v>1057</v>
      </c>
      <c r="D896" s="41" t="s">
        <v>1202</v>
      </c>
      <c r="E896" s="41">
        <v>10630003</v>
      </c>
      <c r="F896" s="85" t="s">
        <v>1409</v>
      </c>
      <c r="G896" s="39" t="s">
        <v>93</v>
      </c>
      <c r="H896" s="52" t="s">
        <v>94</v>
      </c>
      <c r="I896" s="52">
        <v>136.4</v>
      </c>
      <c r="J896" s="49">
        <v>6817.43</v>
      </c>
      <c r="K896" s="58">
        <v>138.9</v>
      </c>
      <c r="L896" s="58">
        <v>6801.1767750306408</v>
      </c>
      <c r="M896" s="58">
        <v>0.2</v>
      </c>
      <c r="N896" s="58">
        <v>9.9717518263500011</v>
      </c>
      <c r="O896" s="65">
        <v>139.1</v>
      </c>
      <c r="P896" s="65">
        <v>6811.1485268569904</v>
      </c>
      <c r="Q896" s="50">
        <v>6811.1485268569904</v>
      </c>
      <c r="R896" s="65">
        <v>0</v>
      </c>
      <c r="S896" s="65">
        <v>9.9717518263500011</v>
      </c>
      <c r="T896" s="65">
        <v>0</v>
      </c>
      <c r="U896" s="65">
        <v>0</v>
      </c>
      <c r="V896" s="65">
        <v>0</v>
      </c>
      <c r="W896" s="65">
        <v>0</v>
      </c>
      <c r="X896" s="65">
        <v>6801</v>
      </c>
      <c r="Y896" s="65">
        <v>0</v>
      </c>
      <c r="Z896" s="65">
        <v>0</v>
      </c>
      <c r="AA896" s="51">
        <v>6</v>
      </c>
      <c r="AB896" s="102">
        <v>0</v>
      </c>
      <c r="AC896" s="81">
        <f t="shared" si="42"/>
        <v>563.38761700879763</v>
      </c>
      <c r="AD896" s="82">
        <f t="shared" si="43"/>
        <v>19.485714285714288</v>
      </c>
      <c r="AE896" s="218">
        <v>9.2138432561975135E-4</v>
      </c>
      <c r="AF896">
        <v>2</v>
      </c>
      <c r="AH896" t="str">
        <f t="shared" si="44"/>
        <v>Warisnagar</v>
      </c>
      <c r="AJ896" s="72">
        <v>0</v>
      </c>
      <c r="AK896" s="72"/>
      <c r="AL896" s="72"/>
      <c r="AM896" s="72"/>
    </row>
    <row r="897" spans="1:39" x14ac:dyDescent="0.25">
      <c r="A897" s="37" t="s">
        <v>62</v>
      </c>
      <c r="B897" s="66" t="s">
        <v>1566</v>
      </c>
      <c r="C897" s="41">
        <v>1057</v>
      </c>
      <c r="D897" s="41" t="s">
        <v>1202</v>
      </c>
      <c r="E897" s="41">
        <v>10630004</v>
      </c>
      <c r="F897" s="85" t="s">
        <v>1442</v>
      </c>
      <c r="G897" s="39" t="s">
        <v>93</v>
      </c>
      <c r="H897" s="52" t="s">
        <v>94</v>
      </c>
      <c r="I897" s="52">
        <v>119.89999999999999</v>
      </c>
      <c r="J897" s="49">
        <v>6356.3200000000006</v>
      </c>
      <c r="K897" s="58">
        <v>116.10000000000001</v>
      </c>
      <c r="L897" s="58">
        <v>6379.8721724499383</v>
      </c>
      <c r="M897" s="58">
        <v>0.8</v>
      </c>
      <c r="N897" s="58">
        <v>42.493174166880003</v>
      </c>
      <c r="O897" s="65">
        <v>116.9</v>
      </c>
      <c r="P897" s="65">
        <v>6422.365346616818</v>
      </c>
      <c r="Q897" s="50">
        <v>6356.3200000000006</v>
      </c>
      <c r="R897" s="65">
        <v>0</v>
      </c>
      <c r="S897" s="65">
        <v>42.493174166880003</v>
      </c>
      <c r="T897" s="65">
        <v>66.045346616817369</v>
      </c>
      <c r="U897" s="65">
        <v>0</v>
      </c>
      <c r="V897" s="65">
        <v>0</v>
      </c>
      <c r="W897" s="65">
        <v>0</v>
      </c>
      <c r="X897" s="65">
        <v>6314</v>
      </c>
      <c r="Y897" s="65">
        <v>0</v>
      </c>
      <c r="Z897" s="65">
        <v>0</v>
      </c>
      <c r="AA897" s="51">
        <v>0</v>
      </c>
      <c r="AB897" s="102">
        <v>0</v>
      </c>
      <c r="AC897" s="81">
        <f t="shared" si="42"/>
        <v>615.06275763135955</v>
      </c>
      <c r="AD897" s="82">
        <f t="shared" si="43"/>
        <v>17.128571428571426</v>
      </c>
      <c r="AE897" s="218">
        <v>-1.0390500575304164E-2</v>
      </c>
      <c r="AF897">
        <v>2</v>
      </c>
      <c r="AH897" t="str">
        <f t="shared" si="44"/>
        <v>Warisnagar</v>
      </c>
      <c r="AJ897" s="72">
        <v>0</v>
      </c>
      <c r="AK897" s="72"/>
      <c r="AL897" s="72"/>
      <c r="AM897" s="72"/>
    </row>
    <row r="898" spans="1:39" x14ac:dyDescent="0.25">
      <c r="A898" s="37" t="s">
        <v>62</v>
      </c>
      <c r="B898" s="66" t="s">
        <v>1566</v>
      </c>
      <c r="C898" s="41">
        <v>1057</v>
      </c>
      <c r="D898" s="41" t="s">
        <v>1202</v>
      </c>
      <c r="E898" s="41">
        <v>10630007</v>
      </c>
      <c r="F898" s="85" t="s">
        <v>1410</v>
      </c>
      <c r="G898" s="39" t="s">
        <v>93</v>
      </c>
      <c r="H898" s="52" t="s">
        <v>94</v>
      </c>
      <c r="I898" s="52">
        <v>75.299999999999983</v>
      </c>
      <c r="J898" s="49">
        <v>3497.05</v>
      </c>
      <c r="K898" s="58">
        <v>75.900000000000006</v>
      </c>
      <c r="L898" s="58">
        <v>3493.2187423633995</v>
      </c>
      <c r="M898" s="58">
        <v>0</v>
      </c>
      <c r="N898" s="58">
        <v>0</v>
      </c>
      <c r="O898" s="65">
        <v>75.900000000000006</v>
      </c>
      <c r="P898" s="65">
        <v>3493.2187423633995</v>
      </c>
      <c r="Q898" s="50">
        <v>3493.2187423633995</v>
      </c>
      <c r="R898" s="65">
        <v>0</v>
      </c>
      <c r="S898" s="65">
        <v>0</v>
      </c>
      <c r="T898" s="65">
        <v>0</v>
      </c>
      <c r="U898" s="65">
        <v>0</v>
      </c>
      <c r="V898" s="65">
        <v>0</v>
      </c>
      <c r="W898" s="65">
        <v>0</v>
      </c>
      <c r="X898" s="65">
        <v>3493</v>
      </c>
      <c r="Y898" s="65">
        <v>0</v>
      </c>
      <c r="Z898" s="65">
        <v>0</v>
      </c>
      <c r="AA898" s="51">
        <v>4</v>
      </c>
      <c r="AB898" s="102">
        <v>0</v>
      </c>
      <c r="AC898" s="81">
        <f t="shared" si="42"/>
        <v>580.24093891102279</v>
      </c>
      <c r="AD898" s="82">
        <f t="shared" si="43"/>
        <v>10.757142857142854</v>
      </c>
      <c r="AE898" s="218">
        <v>1.0955684467195605E-3</v>
      </c>
      <c r="AF898">
        <v>1</v>
      </c>
      <c r="AH898" t="str">
        <f t="shared" si="44"/>
        <v>Warisnagar</v>
      </c>
      <c r="AJ898" s="72">
        <v>0</v>
      </c>
      <c r="AK898" s="72"/>
      <c r="AL898" s="72"/>
      <c r="AM898" s="72"/>
    </row>
    <row r="899" spans="1:39" x14ac:dyDescent="0.25">
      <c r="A899" s="37" t="s">
        <v>62</v>
      </c>
      <c r="B899" s="66" t="s">
        <v>1566</v>
      </c>
      <c r="C899" s="41">
        <v>1057</v>
      </c>
      <c r="D899" s="41" t="s">
        <v>1202</v>
      </c>
      <c r="E899" s="41">
        <v>10630008</v>
      </c>
      <c r="F899" s="85" t="s">
        <v>1411</v>
      </c>
      <c r="G899" s="39" t="s">
        <v>93</v>
      </c>
      <c r="H899" s="52" t="s">
        <v>94</v>
      </c>
      <c r="I899" s="52">
        <v>685.6</v>
      </c>
      <c r="J899" s="49">
        <v>26065.899999999994</v>
      </c>
      <c r="K899" s="58">
        <v>685.6</v>
      </c>
      <c r="L899" s="58">
        <v>26067.319013538003</v>
      </c>
      <c r="M899" s="58">
        <v>0</v>
      </c>
      <c r="N899" s="58">
        <v>0</v>
      </c>
      <c r="O899" s="65">
        <v>685.6</v>
      </c>
      <c r="P899" s="65">
        <v>26067.319013538003</v>
      </c>
      <c r="Q899" s="50">
        <v>26065.899999999994</v>
      </c>
      <c r="R899" s="65">
        <v>0</v>
      </c>
      <c r="S899" s="65">
        <v>0</v>
      </c>
      <c r="T899" s="65">
        <v>1.4190135380085849</v>
      </c>
      <c r="U899" s="65">
        <v>0</v>
      </c>
      <c r="V899" s="65">
        <v>0</v>
      </c>
      <c r="W899" s="65">
        <v>0</v>
      </c>
      <c r="X899" s="65">
        <v>26066</v>
      </c>
      <c r="Y899" s="65">
        <v>0</v>
      </c>
      <c r="Z899" s="65">
        <v>0</v>
      </c>
      <c r="AA899" s="51">
        <v>0</v>
      </c>
      <c r="AB899" s="102">
        <v>0</v>
      </c>
      <c r="AC899" s="81">
        <f t="shared" si="42"/>
        <v>10.949502917152818</v>
      </c>
      <c r="AD899" s="82">
        <f t="shared" si="43"/>
        <v>97.94285714285715</v>
      </c>
      <c r="AE899" s="218">
        <v>-5.443946067500394E-5</v>
      </c>
      <c r="AF899">
        <v>1</v>
      </c>
      <c r="AH899" t="str">
        <f t="shared" si="44"/>
        <v>Warisnagar</v>
      </c>
      <c r="AJ899" s="72">
        <v>0</v>
      </c>
      <c r="AK899" s="72"/>
      <c r="AL899" s="72"/>
      <c r="AM899" s="72"/>
    </row>
    <row r="900" spans="1:39" x14ac:dyDescent="0.25">
      <c r="A900" s="37" t="s">
        <v>62</v>
      </c>
      <c r="B900" s="66" t="s">
        <v>1566</v>
      </c>
      <c r="C900" s="41">
        <v>1057</v>
      </c>
      <c r="D900" s="41" t="s">
        <v>1202</v>
      </c>
      <c r="E900" s="41">
        <v>10630009</v>
      </c>
      <c r="F900" s="85" t="s">
        <v>1412</v>
      </c>
      <c r="G900" s="39" t="s">
        <v>93</v>
      </c>
      <c r="H900" s="52" t="s">
        <v>94</v>
      </c>
      <c r="I900" s="52">
        <v>224.70000000000002</v>
      </c>
      <c r="J900" s="49">
        <v>10615.84</v>
      </c>
      <c r="K900" s="58">
        <v>230.10000000000002</v>
      </c>
      <c r="L900" s="58">
        <v>10555.718663840114</v>
      </c>
      <c r="M900" s="58">
        <v>1.3</v>
      </c>
      <c r="N900" s="58">
        <v>61.732916446100006</v>
      </c>
      <c r="O900" s="65">
        <v>231.40000000000003</v>
      </c>
      <c r="P900" s="65">
        <v>10617.451580286215</v>
      </c>
      <c r="Q900" s="50">
        <v>10615.84</v>
      </c>
      <c r="R900" s="65">
        <v>0</v>
      </c>
      <c r="S900" s="65">
        <v>61.732916446100006</v>
      </c>
      <c r="T900" s="65">
        <v>1.6115802862150304</v>
      </c>
      <c r="U900" s="65">
        <v>0</v>
      </c>
      <c r="V900" s="65">
        <v>0</v>
      </c>
      <c r="W900" s="65">
        <v>0</v>
      </c>
      <c r="X900" s="65">
        <v>10554</v>
      </c>
      <c r="Y900" s="65">
        <v>0</v>
      </c>
      <c r="Z900" s="65">
        <v>0</v>
      </c>
      <c r="AA900" s="51">
        <v>0</v>
      </c>
      <c r="AB900" s="102">
        <v>0</v>
      </c>
      <c r="AC900" s="81">
        <f t="shared" ref="AC900:AC962" si="45">((IF(AD900=0,0,100-AD900))*7*(J900/I900))*2%</f>
        <v>449.1062529595016</v>
      </c>
      <c r="AD900" s="82">
        <f t="shared" ref="AD900:AD962" si="46">IF((I900/7)&gt;100,0,(I900/7))</f>
        <v>32.1</v>
      </c>
      <c r="AE900" s="218">
        <v>-1.518090218216392E-4</v>
      </c>
      <c r="AF900">
        <v>2</v>
      </c>
      <c r="AH900" t="str">
        <f t="shared" si="44"/>
        <v>Warisnagar</v>
      </c>
      <c r="AJ900" s="72">
        <v>0</v>
      </c>
      <c r="AK900" s="72"/>
      <c r="AL900" s="72"/>
      <c r="AM900" s="72"/>
    </row>
    <row r="901" spans="1:39" x14ac:dyDescent="0.25">
      <c r="A901" s="37" t="s">
        <v>62</v>
      </c>
      <c r="B901" s="66" t="s">
        <v>1566</v>
      </c>
      <c r="C901" s="41">
        <v>1057</v>
      </c>
      <c r="D901" s="41" t="s">
        <v>1202</v>
      </c>
      <c r="E901" s="41">
        <v>10630010</v>
      </c>
      <c r="F901" s="85" t="s">
        <v>1413</v>
      </c>
      <c r="G901" s="39" t="s">
        <v>635</v>
      </c>
      <c r="H901" s="52" t="s">
        <v>99</v>
      </c>
      <c r="I901" s="52">
        <v>278.89999999999998</v>
      </c>
      <c r="J901" s="49">
        <v>10690.220000000001</v>
      </c>
      <c r="K901" s="58">
        <v>0</v>
      </c>
      <c r="L901" s="58">
        <v>0</v>
      </c>
      <c r="M901" s="58">
        <v>0</v>
      </c>
      <c r="N901" s="58">
        <v>0</v>
      </c>
      <c r="O901" s="65">
        <v>0</v>
      </c>
      <c r="P901" s="65">
        <v>0</v>
      </c>
      <c r="Q901" s="50">
        <v>10690.220000000001</v>
      </c>
      <c r="R901" s="65">
        <v>0</v>
      </c>
      <c r="S901" s="65">
        <v>0</v>
      </c>
      <c r="T901" s="65">
        <v>0</v>
      </c>
      <c r="U901" s="65">
        <v>0</v>
      </c>
      <c r="V901" s="65">
        <v>0</v>
      </c>
      <c r="W901" s="65">
        <v>0</v>
      </c>
      <c r="X901" s="65">
        <v>0</v>
      </c>
      <c r="Y901" s="65">
        <v>0</v>
      </c>
      <c r="Z901" s="65">
        <v>10690.220000000001</v>
      </c>
      <c r="AA901" s="51">
        <v>0</v>
      </c>
      <c r="AB901" s="102">
        <v>0</v>
      </c>
      <c r="AC901" s="81">
        <f t="shared" si="45"/>
        <v>322.81474664754404</v>
      </c>
      <c r="AD901" s="82">
        <f t="shared" si="46"/>
        <v>39.842857142857142</v>
      </c>
      <c r="AE901" s="218">
        <v>0</v>
      </c>
      <c r="AF901">
        <v>0</v>
      </c>
      <c r="AH901" t="str">
        <f t="shared" si="44"/>
        <v>Warisnagar</v>
      </c>
      <c r="AJ901" s="72">
        <v>0</v>
      </c>
      <c r="AK901" s="72"/>
      <c r="AL901" s="72"/>
      <c r="AM901" s="72"/>
    </row>
    <row r="902" spans="1:39" x14ac:dyDescent="0.25">
      <c r="A902" s="37" t="s">
        <v>62</v>
      </c>
      <c r="B902" s="66" t="s">
        <v>1566</v>
      </c>
      <c r="C902" s="41">
        <v>1057</v>
      </c>
      <c r="D902" s="41" t="s">
        <v>1202</v>
      </c>
      <c r="E902" s="41">
        <v>10630011</v>
      </c>
      <c r="F902" s="85" t="s">
        <v>1414</v>
      </c>
      <c r="G902" s="39" t="s">
        <v>635</v>
      </c>
      <c r="H902" s="52" t="s">
        <v>99</v>
      </c>
      <c r="I902" s="52">
        <v>152.70000000000002</v>
      </c>
      <c r="J902" s="49">
        <v>4837.97</v>
      </c>
      <c r="K902" s="58">
        <v>0</v>
      </c>
      <c r="L902" s="58">
        <v>0</v>
      </c>
      <c r="M902" s="58">
        <v>0</v>
      </c>
      <c r="N902" s="58">
        <v>0</v>
      </c>
      <c r="O902" s="65">
        <v>0</v>
      </c>
      <c r="P902" s="65">
        <v>0</v>
      </c>
      <c r="Q902" s="50">
        <v>4837.97</v>
      </c>
      <c r="R902" s="65">
        <v>0</v>
      </c>
      <c r="S902" s="65">
        <v>0</v>
      </c>
      <c r="T902" s="65">
        <v>0</v>
      </c>
      <c r="U902" s="65">
        <v>0</v>
      </c>
      <c r="V902" s="65">
        <v>0</v>
      </c>
      <c r="W902" s="65">
        <v>0</v>
      </c>
      <c r="X902" s="65">
        <v>0</v>
      </c>
      <c r="Y902" s="65">
        <v>0</v>
      </c>
      <c r="Z902" s="65">
        <v>4837.97</v>
      </c>
      <c r="AA902" s="51">
        <v>0</v>
      </c>
      <c r="AB902" s="102">
        <v>0</v>
      </c>
      <c r="AC902" s="81">
        <f t="shared" si="45"/>
        <v>346.80039043876872</v>
      </c>
      <c r="AD902" s="82">
        <f t="shared" si="46"/>
        <v>21.814285714285717</v>
      </c>
      <c r="AE902" s="218">
        <v>0</v>
      </c>
      <c r="AF902">
        <v>0</v>
      </c>
      <c r="AH902" t="str">
        <f t="shared" si="44"/>
        <v>Warisnagar</v>
      </c>
      <c r="AJ902" s="72">
        <v>0</v>
      </c>
      <c r="AK902" s="72"/>
      <c r="AL902" s="72"/>
      <c r="AM902" s="72"/>
    </row>
    <row r="903" spans="1:39" x14ac:dyDescent="0.25">
      <c r="A903" s="37" t="s">
        <v>62</v>
      </c>
      <c r="B903" s="66" t="s">
        <v>1566</v>
      </c>
      <c r="C903" s="41">
        <v>1057</v>
      </c>
      <c r="D903" s="41" t="s">
        <v>1202</v>
      </c>
      <c r="E903" s="41">
        <v>10630012</v>
      </c>
      <c r="F903" s="85" t="s">
        <v>1415</v>
      </c>
      <c r="G903" s="39" t="s">
        <v>635</v>
      </c>
      <c r="H903" s="52" t="s">
        <v>99</v>
      </c>
      <c r="I903" s="52">
        <v>346.2</v>
      </c>
      <c r="J903" s="49">
        <v>12949.270000000002</v>
      </c>
      <c r="K903" s="58">
        <v>0</v>
      </c>
      <c r="L903" s="58">
        <v>0</v>
      </c>
      <c r="M903" s="58">
        <v>0</v>
      </c>
      <c r="N903" s="58">
        <v>0</v>
      </c>
      <c r="O903" s="65">
        <v>0</v>
      </c>
      <c r="P903" s="65">
        <v>0</v>
      </c>
      <c r="Q903" s="50">
        <v>12949.270000000002</v>
      </c>
      <c r="R903" s="65">
        <v>0</v>
      </c>
      <c r="S903" s="65">
        <v>0</v>
      </c>
      <c r="T903" s="65">
        <v>0</v>
      </c>
      <c r="U903" s="65">
        <v>0</v>
      </c>
      <c r="V903" s="65">
        <v>0</v>
      </c>
      <c r="W903" s="65">
        <v>0</v>
      </c>
      <c r="X903" s="65">
        <v>0</v>
      </c>
      <c r="Y903" s="65">
        <v>0</v>
      </c>
      <c r="Z903" s="65">
        <v>12949.270000000002</v>
      </c>
      <c r="AA903" s="51">
        <v>0</v>
      </c>
      <c r="AB903" s="102">
        <v>0</v>
      </c>
      <c r="AC903" s="81">
        <f t="shared" si="45"/>
        <v>264.67081028307342</v>
      </c>
      <c r="AD903" s="82">
        <f t="shared" si="46"/>
        <v>49.457142857142856</v>
      </c>
      <c r="AE903" s="218">
        <v>0</v>
      </c>
      <c r="AF903">
        <v>0</v>
      </c>
      <c r="AH903" t="str">
        <f t="shared" si="44"/>
        <v>Warisnagar</v>
      </c>
      <c r="AJ903" s="72">
        <v>0</v>
      </c>
      <c r="AK903" s="72"/>
      <c r="AL903" s="72"/>
      <c r="AM903" s="72"/>
    </row>
    <row r="904" spans="1:39" x14ac:dyDescent="0.25">
      <c r="A904" s="37" t="s">
        <v>62</v>
      </c>
      <c r="B904" s="66" t="s">
        <v>1566</v>
      </c>
      <c r="C904" s="41">
        <v>1057</v>
      </c>
      <c r="D904" s="41" t="s">
        <v>1202</v>
      </c>
      <c r="E904" s="41">
        <v>10630013</v>
      </c>
      <c r="F904" s="85" t="s">
        <v>1539</v>
      </c>
      <c r="G904" s="39" t="s">
        <v>93</v>
      </c>
      <c r="H904" s="52" t="s">
        <v>94</v>
      </c>
      <c r="I904" s="52">
        <v>332.1</v>
      </c>
      <c r="J904" s="49">
        <v>12073.19</v>
      </c>
      <c r="K904" s="58">
        <v>332.09999999999997</v>
      </c>
      <c r="L904" s="58">
        <v>12073.613205060001</v>
      </c>
      <c r="M904" s="58">
        <v>0</v>
      </c>
      <c r="N904" s="58">
        <v>0</v>
      </c>
      <c r="O904" s="65">
        <v>332.09999999999997</v>
      </c>
      <c r="P904" s="65">
        <v>12073.613205060001</v>
      </c>
      <c r="Q904" s="50">
        <v>12073.19</v>
      </c>
      <c r="R904" s="65">
        <v>0</v>
      </c>
      <c r="S904" s="65">
        <v>0</v>
      </c>
      <c r="T904" s="65">
        <v>0.42320506000032765</v>
      </c>
      <c r="U904" s="65">
        <v>0</v>
      </c>
      <c r="V904" s="65">
        <v>0</v>
      </c>
      <c r="W904" s="65">
        <v>0</v>
      </c>
      <c r="X904" s="65">
        <v>12073</v>
      </c>
      <c r="Y904" s="65">
        <v>0</v>
      </c>
      <c r="Z904" s="65">
        <v>0</v>
      </c>
      <c r="AA904" s="51">
        <v>0</v>
      </c>
      <c r="AB904" s="102">
        <v>0</v>
      </c>
      <c r="AC904" s="81">
        <f t="shared" si="45"/>
        <v>267.49332134899129</v>
      </c>
      <c r="AD904" s="82">
        <f t="shared" si="46"/>
        <v>47.442857142857143</v>
      </c>
      <c r="AE904" s="218">
        <v>-3.5053292460429068E-5</v>
      </c>
      <c r="AF904">
        <v>1</v>
      </c>
      <c r="AH904" t="str">
        <f t="shared" si="44"/>
        <v>Warisnagar</v>
      </c>
      <c r="AJ904" s="72">
        <v>0</v>
      </c>
      <c r="AK904" s="72"/>
      <c r="AL904" s="72"/>
      <c r="AM904" s="72"/>
    </row>
    <row r="905" spans="1:39" x14ac:dyDescent="0.25">
      <c r="A905" s="37" t="s">
        <v>62</v>
      </c>
      <c r="B905" s="66" t="s">
        <v>1566</v>
      </c>
      <c r="C905" s="41">
        <v>1057</v>
      </c>
      <c r="D905" s="41" t="s">
        <v>1202</v>
      </c>
      <c r="E905" s="41">
        <v>10630014</v>
      </c>
      <c r="F905" s="85" t="s">
        <v>1540</v>
      </c>
      <c r="G905" s="39" t="s">
        <v>93</v>
      </c>
      <c r="H905" s="52" t="s">
        <v>94</v>
      </c>
      <c r="I905" s="52">
        <v>157.29999999999998</v>
      </c>
      <c r="J905" s="49">
        <v>5790.34</v>
      </c>
      <c r="K905" s="58">
        <v>157</v>
      </c>
      <c r="L905" s="58">
        <v>5776.9781335200005</v>
      </c>
      <c r="M905" s="58">
        <v>0.30000000000000004</v>
      </c>
      <c r="N905" s="58">
        <v>10.787359572000003</v>
      </c>
      <c r="O905" s="65">
        <v>157.30000000000001</v>
      </c>
      <c r="P905" s="65">
        <v>5787.7654930920007</v>
      </c>
      <c r="Q905" s="50">
        <v>5787.7654930920007</v>
      </c>
      <c r="R905" s="65">
        <v>0</v>
      </c>
      <c r="S905" s="65">
        <v>10.787359572000003</v>
      </c>
      <c r="T905" s="65">
        <v>0</v>
      </c>
      <c r="U905" s="65">
        <v>0</v>
      </c>
      <c r="V905" s="65">
        <v>0</v>
      </c>
      <c r="W905" s="65">
        <v>0</v>
      </c>
      <c r="X905" s="65">
        <v>5777</v>
      </c>
      <c r="Y905" s="65">
        <v>0</v>
      </c>
      <c r="Z905" s="65">
        <v>0</v>
      </c>
      <c r="AA905" s="51">
        <v>3</v>
      </c>
      <c r="AB905" s="102">
        <v>0</v>
      </c>
      <c r="AC905" s="81">
        <f t="shared" si="45"/>
        <v>399.54450324221239</v>
      </c>
      <c r="AD905" s="82">
        <f t="shared" si="46"/>
        <v>22.471428571428568</v>
      </c>
      <c r="AE905" s="218">
        <v>4.4462102536283203E-4</v>
      </c>
      <c r="AF905">
        <v>2</v>
      </c>
      <c r="AH905" t="str">
        <f t="shared" si="44"/>
        <v>Warisnagar</v>
      </c>
      <c r="AJ905" s="72">
        <v>0</v>
      </c>
      <c r="AK905" s="72"/>
      <c r="AL905" s="72"/>
      <c r="AM905" s="72"/>
    </row>
    <row r="906" spans="1:39" x14ac:dyDescent="0.25">
      <c r="A906" s="37" t="s">
        <v>62</v>
      </c>
      <c r="B906" s="66" t="s">
        <v>1566</v>
      </c>
      <c r="C906" s="41">
        <v>1057</v>
      </c>
      <c r="D906" s="41" t="s">
        <v>1202</v>
      </c>
      <c r="E906" s="41">
        <v>10630015</v>
      </c>
      <c r="F906" s="85" t="s">
        <v>1484</v>
      </c>
      <c r="G906" s="39" t="s">
        <v>93</v>
      </c>
      <c r="H906" s="52" t="s">
        <v>94</v>
      </c>
      <c r="I906" s="52">
        <v>191.10000000000002</v>
      </c>
      <c r="J906" s="49">
        <v>7021.73</v>
      </c>
      <c r="K906" s="58">
        <v>191.10000000000002</v>
      </c>
      <c r="L906" s="58">
        <v>7020.6669648720017</v>
      </c>
      <c r="M906" s="58">
        <v>0</v>
      </c>
      <c r="N906" s="58">
        <v>0</v>
      </c>
      <c r="O906" s="65">
        <v>191.10000000000002</v>
      </c>
      <c r="P906" s="65">
        <v>7020.6669648720017</v>
      </c>
      <c r="Q906" s="50">
        <v>7020.6669648720017</v>
      </c>
      <c r="R906" s="65">
        <v>0</v>
      </c>
      <c r="S906" s="65">
        <v>0</v>
      </c>
      <c r="T906" s="65">
        <v>0</v>
      </c>
      <c r="U906" s="65">
        <v>0</v>
      </c>
      <c r="V906" s="65">
        <v>0</v>
      </c>
      <c r="W906" s="65">
        <v>0</v>
      </c>
      <c r="X906" s="65">
        <v>7021</v>
      </c>
      <c r="Y906" s="65">
        <v>0</v>
      </c>
      <c r="Z906" s="65">
        <v>0</v>
      </c>
      <c r="AA906" s="51">
        <v>1</v>
      </c>
      <c r="AB906" s="102">
        <v>0</v>
      </c>
      <c r="AC906" s="81">
        <f t="shared" si="45"/>
        <v>373.97785421245413</v>
      </c>
      <c r="AD906" s="82">
        <f t="shared" si="46"/>
        <v>27.300000000000004</v>
      </c>
      <c r="AE906" s="218">
        <v>1.5139219650967271E-4</v>
      </c>
      <c r="AF906">
        <v>1</v>
      </c>
      <c r="AH906" t="str">
        <f t="shared" si="44"/>
        <v>Warisnagar</v>
      </c>
      <c r="AJ906" s="72">
        <v>0</v>
      </c>
      <c r="AK906" s="72"/>
      <c r="AL906" s="72"/>
      <c r="AM906" s="72"/>
    </row>
    <row r="907" spans="1:39" x14ac:dyDescent="0.25">
      <c r="A907" s="37" t="s">
        <v>62</v>
      </c>
      <c r="B907" s="66" t="s">
        <v>1566</v>
      </c>
      <c r="C907" s="41">
        <v>1057</v>
      </c>
      <c r="D907" s="41" t="s">
        <v>1202</v>
      </c>
      <c r="E907" s="41">
        <v>10630016</v>
      </c>
      <c r="F907" s="85" t="s">
        <v>1470</v>
      </c>
      <c r="G907" s="39" t="s">
        <v>635</v>
      </c>
      <c r="H907" s="52" t="s">
        <v>99</v>
      </c>
      <c r="I907" s="52">
        <v>329.69999999999993</v>
      </c>
      <c r="J907" s="49">
        <v>11680.77</v>
      </c>
      <c r="K907" s="58">
        <v>0</v>
      </c>
      <c r="L907" s="58">
        <v>0</v>
      </c>
      <c r="M907" s="58">
        <v>0</v>
      </c>
      <c r="N907" s="58">
        <v>0</v>
      </c>
      <c r="O907" s="65">
        <v>0</v>
      </c>
      <c r="P907" s="65">
        <v>0</v>
      </c>
      <c r="Q907" s="50">
        <v>11680.77</v>
      </c>
      <c r="R907" s="65">
        <v>0</v>
      </c>
      <c r="S907" s="65">
        <v>0</v>
      </c>
      <c r="T907" s="65">
        <v>0</v>
      </c>
      <c r="U907" s="65">
        <v>0</v>
      </c>
      <c r="V907" s="65">
        <v>0</v>
      </c>
      <c r="W907" s="65">
        <v>0</v>
      </c>
      <c r="X907" s="65">
        <v>0</v>
      </c>
      <c r="Y907" s="65">
        <v>0</v>
      </c>
      <c r="Z907" s="65">
        <v>11680.77</v>
      </c>
      <c r="AA907" s="51">
        <v>0</v>
      </c>
      <c r="AB907" s="102">
        <v>0</v>
      </c>
      <c r="AC907" s="81">
        <f t="shared" si="45"/>
        <v>262.38332611464978</v>
      </c>
      <c r="AD907" s="82">
        <f t="shared" si="46"/>
        <v>47.099999999999987</v>
      </c>
      <c r="AE907" s="218">
        <v>0</v>
      </c>
      <c r="AF907">
        <v>0</v>
      </c>
      <c r="AH907" t="str">
        <f t="shared" si="44"/>
        <v>Warisnagar</v>
      </c>
      <c r="AJ907" s="72">
        <v>0</v>
      </c>
      <c r="AK907" s="72"/>
      <c r="AL907" s="72"/>
      <c r="AM907" s="72"/>
    </row>
    <row r="908" spans="1:39" x14ac:dyDescent="0.25">
      <c r="A908" s="37" t="s">
        <v>62</v>
      </c>
      <c r="B908" s="66" t="s">
        <v>1566</v>
      </c>
      <c r="C908" s="41">
        <v>1057</v>
      </c>
      <c r="D908" s="41" t="s">
        <v>1202</v>
      </c>
      <c r="E908" s="41">
        <v>10630017</v>
      </c>
      <c r="F908" s="85" t="s">
        <v>1471</v>
      </c>
      <c r="G908" s="39" t="s">
        <v>635</v>
      </c>
      <c r="H908" s="52" t="s">
        <v>99</v>
      </c>
      <c r="I908" s="52">
        <v>62.9</v>
      </c>
      <c r="J908" s="49">
        <v>2070.4700000000003</v>
      </c>
      <c r="K908" s="58">
        <v>0</v>
      </c>
      <c r="L908" s="58">
        <v>0</v>
      </c>
      <c r="M908" s="58">
        <v>0</v>
      </c>
      <c r="N908" s="58">
        <v>0</v>
      </c>
      <c r="O908" s="65">
        <v>0</v>
      </c>
      <c r="P908" s="65">
        <v>0</v>
      </c>
      <c r="Q908" s="50">
        <v>2070.4700000000003</v>
      </c>
      <c r="R908" s="65">
        <v>0</v>
      </c>
      <c r="S908" s="65">
        <v>0</v>
      </c>
      <c r="T908" s="65">
        <v>0</v>
      </c>
      <c r="U908" s="65">
        <v>0</v>
      </c>
      <c r="V908" s="65">
        <v>0</v>
      </c>
      <c r="W908" s="65">
        <v>0</v>
      </c>
      <c r="X908" s="65">
        <v>0</v>
      </c>
      <c r="Y908" s="65">
        <v>0</v>
      </c>
      <c r="Z908" s="65">
        <v>2070.4700000000003</v>
      </c>
      <c r="AA908" s="51">
        <v>0</v>
      </c>
      <c r="AB908" s="102">
        <v>0</v>
      </c>
      <c r="AC908" s="81">
        <f t="shared" si="45"/>
        <v>419.42653004769483</v>
      </c>
      <c r="AD908" s="82">
        <f t="shared" si="46"/>
        <v>8.9857142857142858</v>
      </c>
      <c r="AE908" s="218">
        <v>0</v>
      </c>
      <c r="AF908">
        <v>0</v>
      </c>
      <c r="AH908" t="str">
        <f t="shared" si="44"/>
        <v>Warisnagar</v>
      </c>
      <c r="AJ908" s="72">
        <v>0</v>
      </c>
      <c r="AK908" s="72"/>
      <c r="AL908" s="72"/>
      <c r="AM908" s="72"/>
    </row>
    <row r="909" spans="1:39" x14ac:dyDescent="0.25">
      <c r="A909" s="37" t="s">
        <v>62</v>
      </c>
      <c r="B909" s="66" t="s">
        <v>1566</v>
      </c>
      <c r="C909" s="41">
        <v>1057</v>
      </c>
      <c r="D909" s="41" t="s">
        <v>1202</v>
      </c>
      <c r="E909" s="41">
        <v>10630018</v>
      </c>
      <c r="F909" s="85" t="s">
        <v>1553</v>
      </c>
      <c r="G909" s="39" t="s">
        <v>635</v>
      </c>
      <c r="H909" s="52" t="s">
        <v>99</v>
      </c>
      <c r="I909" s="52">
        <v>297.5</v>
      </c>
      <c r="J909" s="49">
        <v>11157.949999999999</v>
      </c>
      <c r="K909" s="58">
        <v>0</v>
      </c>
      <c r="L909" s="58">
        <v>0</v>
      </c>
      <c r="M909" s="58">
        <v>0</v>
      </c>
      <c r="N909" s="58">
        <v>0</v>
      </c>
      <c r="O909" s="65">
        <v>0</v>
      </c>
      <c r="P909" s="65">
        <v>0</v>
      </c>
      <c r="Q909" s="50">
        <v>11157.949999999999</v>
      </c>
      <c r="R909" s="65">
        <v>0</v>
      </c>
      <c r="S909" s="65">
        <v>0</v>
      </c>
      <c r="T909" s="65">
        <v>0</v>
      </c>
      <c r="U909" s="65">
        <v>0</v>
      </c>
      <c r="V909" s="65">
        <v>0</v>
      </c>
      <c r="W909" s="65">
        <v>0</v>
      </c>
      <c r="X909" s="65">
        <v>0</v>
      </c>
      <c r="Y909" s="65">
        <v>0</v>
      </c>
      <c r="Z909" s="65">
        <v>11157.949999999999</v>
      </c>
      <c r="AA909" s="51">
        <v>0</v>
      </c>
      <c r="AB909" s="102">
        <v>0</v>
      </c>
      <c r="AC909" s="81">
        <f t="shared" si="45"/>
        <v>301.92099999999999</v>
      </c>
      <c r="AD909" s="82">
        <f t="shared" si="46"/>
        <v>42.5</v>
      </c>
      <c r="AE909" s="218">
        <v>0</v>
      </c>
      <c r="AF909">
        <v>0</v>
      </c>
      <c r="AH909" t="str">
        <f t="shared" si="44"/>
        <v>Warisnagar</v>
      </c>
      <c r="AJ909" s="72">
        <v>0</v>
      </c>
      <c r="AK909" s="72"/>
      <c r="AL909" s="72"/>
      <c r="AM909" s="72"/>
    </row>
    <row r="910" spans="1:39" x14ac:dyDescent="0.25">
      <c r="A910" s="37" t="s">
        <v>62</v>
      </c>
      <c r="B910" s="66" t="s">
        <v>1566</v>
      </c>
      <c r="C910" s="41">
        <v>1057</v>
      </c>
      <c r="D910" s="41" t="s">
        <v>1202</v>
      </c>
      <c r="E910" s="41">
        <v>10630019</v>
      </c>
      <c r="F910" s="85" t="s">
        <v>1472</v>
      </c>
      <c r="G910" s="39" t="s">
        <v>635</v>
      </c>
      <c r="H910" s="52" t="s">
        <v>99</v>
      </c>
      <c r="I910" s="52">
        <v>278.10000000000002</v>
      </c>
      <c r="J910" s="49">
        <v>10583.369999999999</v>
      </c>
      <c r="K910" s="58">
        <v>0</v>
      </c>
      <c r="L910" s="58">
        <v>0</v>
      </c>
      <c r="M910" s="58">
        <v>0</v>
      </c>
      <c r="N910" s="58">
        <v>0</v>
      </c>
      <c r="O910" s="65">
        <v>0</v>
      </c>
      <c r="P910" s="65">
        <v>0</v>
      </c>
      <c r="Q910" s="50">
        <v>10583.369999999999</v>
      </c>
      <c r="R910" s="65">
        <v>0</v>
      </c>
      <c r="S910" s="65">
        <v>0</v>
      </c>
      <c r="T910" s="65">
        <v>0</v>
      </c>
      <c r="U910" s="65">
        <v>0</v>
      </c>
      <c r="V910" s="65">
        <v>0</v>
      </c>
      <c r="W910" s="65">
        <v>0</v>
      </c>
      <c r="X910" s="65">
        <v>0</v>
      </c>
      <c r="Y910" s="65">
        <v>0</v>
      </c>
      <c r="Z910" s="65">
        <v>10583.369999999999</v>
      </c>
      <c r="AA910" s="51">
        <v>0</v>
      </c>
      <c r="AB910" s="102">
        <v>0</v>
      </c>
      <c r="AC910" s="81">
        <f t="shared" si="45"/>
        <v>321.11641877022652</v>
      </c>
      <c r="AD910" s="82">
        <f t="shared" si="46"/>
        <v>39.728571428571435</v>
      </c>
      <c r="AE910" s="218">
        <v>0</v>
      </c>
      <c r="AF910">
        <v>0</v>
      </c>
      <c r="AH910" t="str">
        <f t="shared" si="44"/>
        <v>Warisnagar</v>
      </c>
      <c r="AJ910" s="72">
        <v>0</v>
      </c>
      <c r="AK910" s="72"/>
      <c r="AL910" s="72"/>
      <c r="AM910" s="72"/>
    </row>
    <row r="911" spans="1:39" x14ac:dyDescent="0.25">
      <c r="A911" s="37" t="s">
        <v>62</v>
      </c>
      <c r="B911" s="66" t="s">
        <v>1566</v>
      </c>
      <c r="C911" s="41">
        <v>1062</v>
      </c>
      <c r="D911" s="41" t="s">
        <v>1443</v>
      </c>
      <c r="E911" s="41">
        <v>10640001</v>
      </c>
      <c r="F911" s="85" t="s">
        <v>1444</v>
      </c>
      <c r="G911" s="39" t="s">
        <v>93</v>
      </c>
      <c r="H911" s="52" t="s">
        <v>94</v>
      </c>
      <c r="I911" s="52">
        <v>761.10999999999979</v>
      </c>
      <c r="J911" s="49">
        <v>29573.45</v>
      </c>
      <c r="K911" s="58">
        <v>764.6</v>
      </c>
      <c r="L911" s="58">
        <v>29175.125932136809</v>
      </c>
      <c r="M911" s="58">
        <v>8.9</v>
      </c>
      <c r="N911" s="58">
        <v>331.13172708000002</v>
      </c>
      <c r="O911" s="65">
        <v>773.5</v>
      </c>
      <c r="P911" s="65">
        <v>29506.257659216808</v>
      </c>
      <c r="Q911" s="50">
        <v>29506.257659216808</v>
      </c>
      <c r="R911" s="65">
        <v>0</v>
      </c>
      <c r="S911" s="65">
        <v>331.13172708000002</v>
      </c>
      <c r="T911" s="65">
        <v>0</v>
      </c>
      <c r="U911" s="65">
        <v>0</v>
      </c>
      <c r="V911" s="65">
        <v>0</v>
      </c>
      <c r="W911" s="65">
        <v>0</v>
      </c>
      <c r="X911" s="65">
        <v>29175</v>
      </c>
      <c r="Y911" s="65">
        <v>0</v>
      </c>
      <c r="Z911" s="65">
        <v>0</v>
      </c>
      <c r="AA911" s="51">
        <v>67</v>
      </c>
      <c r="AB911" s="102">
        <v>0</v>
      </c>
      <c r="AC911" s="81">
        <f t="shared" si="45"/>
        <v>0</v>
      </c>
      <c r="AD911" s="82">
        <f t="shared" si="46"/>
        <v>0</v>
      </c>
      <c r="AE911" s="218">
        <v>2.2720494491915138E-3</v>
      </c>
      <c r="AF911">
        <v>6</v>
      </c>
      <c r="AH911" t="str">
        <f t="shared" si="44"/>
        <v>Singhia BMC</v>
      </c>
      <c r="AJ911" s="72">
        <v>0</v>
      </c>
      <c r="AK911" s="72"/>
      <c r="AL911" s="72"/>
      <c r="AM911" s="72"/>
    </row>
    <row r="912" spans="1:39" x14ac:dyDescent="0.25">
      <c r="A912" s="37" t="s">
        <v>62</v>
      </c>
      <c r="B912" s="66" t="s">
        <v>1566</v>
      </c>
      <c r="C912" s="41">
        <v>1062</v>
      </c>
      <c r="D912" s="41" t="s">
        <v>1443</v>
      </c>
      <c r="E912" s="41">
        <v>10640002</v>
      </c>
      <c r="F912" s="85" t="s">
        <v>1554</v>
      </c>
      <c r="G912" s="39" t="s">
        <v>93</v>
      </c>
      <c r="H912" s="52" t="s">
        <v>94</v>
      </c>
      <c r="I912" s="52">
        <v>8.34</v>
      </c>
      <c r="J912" s="49">
        <v>280.02</v>
      </c>
      <c r="K912" s="58">
        <v>10.1</v>
      </c>
      <c r="L912" s="58">
        <v>339.00053220000001</v>
      </c>
      <c r="M912" s="58">
        <v>0</v>
      </c>
      <c r="N912" s="58">
        <v>0</v>
      </c>
      <c r="O912" s="65">
        <v>10.1</v>
      </c>
      <c r="P912" s="65">
        <v>339.00053220000001</v>
      </c>
      <c r="Q912" s="50">
        <v>280.02</v>
      </c>
      <c r="R912" s="65">
        <v>0</v>
      </c>
      <c r="S912" s="65">
        <v>0</v>
      </c>
      <c r="T912" s="65">
        <v>58.980532200000027</v>
      </c>
      <c r="U912" s="65">
        <v>0</v>
      </c>
      <c r="V912" s="65">
        <v>0</v>
      </c>
      <c r="W912" s="65">
        <v>0</v>
      </c>
      <c r="X912" s="65">
        <v>280</v>
      </c>
      <c r="Y912" s="65">
        <v>0</v>
      </c>
      <c r="Z912" s="65">
        <v>0</v>
      </c>
      <c r="AA912" s="51">
        <v>0</v>
      </c>
      <c r="AB912" s="102">
        <v>0</v>
      </c>
      <c r="AC912" s="81">
        <f t="shared" si="45"/>
        <v>464.45715395683447</v>
      </c>
      <c r="AD912" s="82">
        <f t="shared" si="46"/>
        <v>1.1914285714285715</v>
      </c>
      <c r="AE912" s="218">
        <v>-0.2106297128776517</v>
      </c>
      <c r="AF912">
        <v>1</v>
      </c>
      <c r="AH912" t="str">
        <f t="shared" si="44"/>
        <v>Singhia BMC</v>
      </c>
      <c r="AJ912" s="72">
        <v>0</v>
      </c>
      <c r="AK912" s="72"/>
      <c r="AL912" s="72"/>
      <c r="AM912" s="72"/>
    </row>
    <row r="913" spans="1:39" x14ac:dyDescent="0.25">
      <c r="A913" s="37" t="s">
        <v>62</v>
      </c>
      <c r="B913" s="66" t="s">
        <v>1566</v>
      </c>
      <c r="C913" s="41">
        <v>1062</v>
      </c>
      <c r="D913" s="41" t="s">
        <v>1443</v>
      </c>
      <c r="E913" s="41">
        <v>10640003</v>
      </c>
      <c r="F913" s="85" t="s">
        <v>1445</v>
      </c>
      <c r="G913" s="39" t="s">
        <v>93</v>
      </c>
      <c r="H913" s="52" t="s">
        <v>94</v>
      </c>
      <c r="I913" s="52">
        <v>886.02000000000021</v>
      </c>
      <c r="J913" s="49">
        <v>36498.390000000007</v>
      </c>
      <c r="K913" s="58">
        <v>874.7</v>
      </c>
      <c r="L913" s="58">
        <v>35848.066897065881</v>
      </c>
      <c r="M913" s="58">
        <v>10.9</v>
      </c>
      <c r="N913" s="58">
        <v>428.96693109600005</v>
      </c>
      <c r="O913" s="65">
        <v>885.6</v>
      </c>
      <c r="P913" s="65">
        <v>36277.033828161882</v>
      </c>
      <c r="Q913" s="50">
        <v>36277.033828161882</v>
      </c>
      <c r="R913" s="65">
        <v>0</v>
      </c>
      <c r="S913" s="65">
        <v>428.96693109600005</v>
      </c>
      <c r="T913" s="65">
        <v>0</v>
      </c>
      <c r="U913" s="65">
        <v>0</v>
      </c>
      <c r="V913" s="65">
        <v>0</v>
      </c>
      <c r="W913" s="65">
        <v>0</v>
      </c>
      <c r="X913" s="65">
        <v>35847</v>
      </c>
      <c r="Y913" s="65">
        <v>0</v>
      </c>
      <c r="Z913" s="65">
        <v>0</v>
      </c>
      <c r="AA913" s="51">
        <v>222</v>
      </c>
      <c r="AB913" s="102">
        <v>0</v>
      </c>
      <c r="AC913" s="81">
        <f t="shared" si="45"/>
        <v>0</v>
      </c>
      <c r="AD913" s="82">
        <f t="shared" si="46"/>
        <v>0</v>
      </c>
      <c r="AE913" s="218">
        <v>6.064820169824593E-3</v>
      </c>
      <c r="AF913">
        <v>13</v>
      </c>
      <c r="AH913" t="str">
        <f t="shared" si="44"/>
        <v>Singhia BMC</v>
      </c>
      <c r="AJ913" s="72">
        <v>0</v>
      </c>
      <c r="AK913" s="72"/>
      <c r="AL913" s="72"/>
      <c r="AM913" s="72"/>
    </row>
    <row r="914" spans="1:39" x14ac:dyDescent="0.25">
      <c r="A914" s="37" t="s">
        <v>62</v>
      </c>
      <c r="B914" s="66" t="s">
        <v>1566</v>
      </c>
      <c r="C914" s="41">
        <v>1062</v>
      </c>
      <c r="D914" s="41" t="s">
        <v>1443</v>
      </c>
      <c r="E914" s="41">
        <v>10640004</v>
      </c>
      <c r="F914" s="85" t="s">
        <v>1446</v>
      </c>
      <c r="G914" s="39" t="s">
        <v>93</v>
      </c>
      <c r="H914" s="52" t="s">
        <v>94</v>
      </c>
      <c r="I914" s="52">
        <v>132.29</v>
      </c>
      <c r="J914" s="49">
        <v>5183.9799999999996</v>
      </c>
      <c r="K914" s="58">
        <v>131.14999999999998</v>
      </c>
      <c r="L914" s="58">
        <v>5196.2477272200013</v>
      </c>
      <c r="M914" s="58">
        <v>0.49999999999999994</v>
      </c>
      <c r="N914" s="58">
        <v>19.576161000000003</v>
      </c>
      <c r="O914" s="65">
        <v>131.64999999999998</v>
      </c>
      <c r="P914" s="65">
        <v>5215.8238882200012</v>
      </c>
      <c r="Q914" s="50">
        <v>5183.9799999999996</v>
      </c>
      <c r="R914" s="65">
        <v>0</v>
      </c>
      <c r="S914" s="65">
        <v>19.576161000000003</v>
      </c>
      <c r="T914" s="65">
        <v>31.843888220001645</v>
      </c>
      <c r="U914" s="65">
        <v>0</v>
      </c>
      <c r="V914" s="65">
        <v>0</v>
      </c>
      <c r="W914" s="65">
        <v>0</v>
      </c>
      <c r="X914" s="65">
        <v>5164</v>
      </c>
      <c r="Y914" s="65">
        <v>0</v>
      </c>
      <c r="Z914" s="65">
        <v>0</v>
      </c>
      <c r="AA914" s="51">
        <v>0</v>
      </c>
      <c r="AB914" s="102">
        <v>0</v>
      </c>
      <c r="AC914" s="81">
        <f t="shared" si="45"/>
        <v>444.9311793484012</v>
      </c>
      <c r="AD914" s="82">
        <f t="shared" si="46"/>
        <v>18.898571428571426</v>
      </c>
      <c r="AE914" s="218">
        <v>-6.1427490499580727E-3</v>
      </c>
      <c r="AF914">
        <v>2</v>
      </c>
      <c r="AH914" t="str">
        <f t="shared" si="44"/>
        <v>Singhia BMC</v>
      </c>
      <c r="AJ914" s="72">
        <v>0</v>
      </c>
      <c r="AK914" s="72"/>
      <c r="AL914" s="72"/>
      <c r="AM914" s="72"/>
    </row>
    <row r="915" spans="1:39" x14ac:dyDescent="0.25">
      <c r="A915" s="37" t="s">
        <v>62</v>
      </c>
      <c r="B915" s="66" t="s">
        <v>1566</v>
      </c>
      <c r="C915" s="41">
        <v>1062</v>
      </c>
      <c r="D915" s="41" t="s">
        <v>1443</v>
      </c>
      <c r="E915" s="41">
        <v>10640005</v>
      </c>
      <c r="F915" s="85" t="s">
        <v>1447</v>
      </c>
      <c r="G915" s="39" t="s">
        <v>93</v>
      </c>
      <c r="H915" s="52" t="s">
        <v>94</v>
      </c>
      <c r="I915" s="52">
        <v>202.3</v>
      </c>
      <c r="J915" s="49">
        <v>8851.4500000000007</v>
      </c>
      <c r="K915" s="58">
        <v>200.64999999999995</v>
      </c>
      <c r="L915" s="58">
        <v>8777.6663270549998</v>
      </c>
      <c r="M915" s="58">
        <v>0.89999999999999991</v>
      </c>
      <c r="N915" s="58">
        <v>40.524950959000009</v>
      </c>
      <c r="O915" s="65">
        <v>201.54999999999995</v>
      </c>
      <c r="P915" s="65">
        <v>8818.1912780139992</v>
      </c>
      <c r="Q915" s="50">
        <v>8818.1912780139992</v>
      </c>
      <c r="R915" s="65">
        <v>0</v>
      </c>
      <c r="S915" s="65">
        <v>40.524950959000009</v>
      </c>
      <c r="T915" s="65">
        <v>0</v>
      </c>
      <c r="U915" s="65">
        <v>0</v>
      </c>
      <c r="V915" s="65">
        <v>0</v>
      </c>
      <c r="W915" s="65">
        <v>0</v>
      </c>
      <c r="X915" s="65">
        <v>8778</v>
      </c>
      <c r="Y915" s="65">
        <v>0</v>
      </c>
      <c r="Z915" s="65">
        <v>0</v>
      </c>
      <c r="AA915" s="51">
        <v>33</v>
      </c>
      <c r="AB915" s="102">
        <v>0</v>
      </c>
      <c r="AC915" s="81">
        <f t="shared" si="45"/>
        <v>435.5280934256055</v>
      </c>
      <c r="AD915" s="82">
        <f t="shared" si="46"/>
        <v>28.900000000000002</v>
      </c>
      <c r="AE915" s="218">
        <v>3.7574320575726626E-3</v>
      </c>
      <c r="AF915">
        <v>2</v>
      </c>
      <c r="AH915" t="str">
        <f t="shared" si="44"/>
        <v>Singhia BMC</v>
      </c>
      <c r="AJ915" s="72">
        <v>0</v>
      </c>
      <c r="AK915" s="72"/>
      <c r="AL915" s="72"/>
      <c r="AM915" s="72"/>
    </row>
    <row r="916" spans="1:39" x14ac:dyDescent="0.25">
      <c r="A916" s="37" t="s">
        <v>62</v>
      </c>
      <c r="B916" s="66" t="s">
        <v>1566</v>
      </c>
      <c r="C916" s="41">
        <v>1062</v>
      </c>
      <c r="D916" s="41" t="s">
        <v>1443</v>
      </c>
      <c r="E916" s="41">
        <v>10640006</v>
      </c>
      <c r="F916" s="85" t="s">
        <v>1448</v>
      </c>
      <c r="G916" s="39" t="s">
        <v>93</v>
      </c>
      <c r="H916" s="52" t="s">
        <v>94</v>
      </c>
      <c r="I916" s="52">
        <v>126.11</v>
      </c>
      <c r="J916" s="49">
        <v>6757.4399999999987</v>
      </c>
      <c r="K916" s="58">
        <v>95.1</v>
      </c>
      <c r="L916" s="58">
        <v>5288.0718603406012</v>
      </c>
      <c r="M916" s="58">
        <v>30.6</v>
      </c>
      <c r="N916" s="58">
        <v>1629.7713284808001</v>
      </c>
      <c r="O916" s="65">
        <v>125.69999999999999</v>
      </c>
      <c r="P916" s="65">
        <v>6917.8431888214018</v>
      </c>
      <c r="Q916" s="50">
        <v>6757.4399999999987</v>
      </c>
      <c r="R916" s="65">
        <v>0</v>
      </c>
      <c r="S916" s="65">
        <v>213.64185906800003</v>
      </c>
      <c r="T916" s="65">
        <v>160.40318882140309</v>
      </c>
      <c r="U916" s="65">
        <v>0</v>
      </c>
      <c r="V916" s="65">
        <v>0</v>
      </c>
      <c r="W916" s="65">
        <v>0</v>
      </c>
      <c r="X916" s="65">
        <v>5128</v>
      </c>
      <c r="Y916" s="65">
        <v>1416</v>
      </c>
      <c r="Z916" s="65">
        <v>0</v>
      </c>
      <c r="AA916" s="51">
        <v>0</v>
      </c>
      <c r="AB916" s="102">
        <v>0</v>
      </c>
      <c r="AC916" s="81">
        <f t="shared" si="45"/>
        <v>615.02295481722297</v>
      </c>
      <c r="AD916" s="82">
        <f t="shared" si="46"/>
        <v>18.015714285714285</v>
      </c>
      <c r="AE916" s="218">
        <v>-2.3737271632660168E-2</v>
      </c>
      <c r="AF916">
        <v>9</v>
      </c>
      <c r="AH916" t="str">
        <f t="shared" si="44"/>
        <v>Singhia BMC</v>
      </c>
      <c r="AJ916" s="72">
        <v>0</v>
      </c>
      <c r="AK916" s="72"/>
      <c r="AL916" s="72"/>
      <c r="AM916" s="72"/>
    </row>
    <row r="917" spans="1:39" x14ac:dyDescent="0.25">
      <c r="A917" s="37" t="s">
        <v>62</v>
      </c>
      <c r="B917" s="66" t="s">
        <v>1566</v>
      </c>
      <c r="C917" s="41">
        <v>1062</v>
      </c>
      <c r="D917" s="41" t="s">
        <v>1443</v>
      </c>
      <c r="E917" s="41">
        <v>10640007</v>
      </c>
      <c r="F917" s="85" t="s">
        <v>1449</v>
      </c>
      <c r="G917" s="39" t="s">
        <v>635</v>
      </c>
      <c r="H917" s="52" t="s">
        <v>99</v>
      </c>
      <c r="I917" s="52">
        <v>199.24</v>
      </c>
      <c r="J917" s="49">
        <v>8630.35</v>
      </c>
      <c r="K917" s="58">
        <v>0</v>
      </c>
      <c r="L917" s="58">
        <v>0</v>
      </c>
      <c r="M917" s="58">
        <v>0</v>
      </c>
      <c r="N917" s="58">
        <v>0</v>
      </c>
      <c r="O917" s="65">
        <v>0</v>
      </c>
      <c r="P917" s="65">
        <v>0</v>
      </c>
      <c r="Q917" s="50">
        <v>8630.35</v>
      </c>
      <c r="R917" s="65">
        <v>0</v>
      </c>
      <c r="S917" s="65">
        <v>0</v>
      </c>
      <c r="T917" s="65">
        <v>0</v>
      </c>
      <c r="U917" s="65">
        <v>0</v>
      </c>
      <c r="V917" s="65">
        <v>0</v>
      </c>
      <c r="W917" s="65">
        <v>0</v>
      </c>
      <c r="X917" s="65">
        <v>0</v>
      </c>
      <c r="Y917" s="65">
        <v>0</v>
      </c>
      <c r="Z917" s="65">
        <v>8630.35</v>
      </c>
      <c r="AA917" s="51">
        <v>0</v>
      </c>
      <c r="AB917" s="102">
        <v>0</v>
      </c>
      <c r="AC917" s="81">
        <f t="shared" si="45"/>
        <v>433.82192993374827</v>
      </c>
      <c r="AD917" s="82">
        <f t="shared" si="46"/>
        <v>28.462857142857143</v>
      </c>
      <c r="AE917" s="218">
        <v>0</v>
      </c>
      <c r="AF917">
        <v>0</v>
      </c>
      <c r="AH917" t="str">
        <f t="shared" si="44"/>
        <v>Singhia BMC</v>
      </c>
      <c r="AJ917" s="72">
        <v>0</v>
      </c>
      <c r="AK917" s="72"/>
      <c r="AL917" s="72"/>
      <c r="AM917" s="72"/>
    </row>
    <row r="918" spans="1:39" x14ac:dyDescent="0.25">
      <c r="A918" s="37" t="s">
        <v>62</v>
      </c>
      <c r="B918" s="66" t="s">
        <v>1566</v>
      </c>
      <c r="C918" s="41">
        <v>1062</v>
      </c>
      <c r="D918" s="41" t="s">
        <v>1443</v>
      </c>
      <c r="E918" s="41">
        <v>10640008</v>
      </c>
      <c r="F918" s="85" t="s">
        <v>1584</v>
      </c>
      <c r="G918" s="39" t="s">
        <v>93</v>
      </c>
      <c r="H918" s="52" t="s">
        <v>94</v>
      </c>
      <c r="I918" s="52">
        <v>101.58999999999999</v>
      </c>
      <c r="J918" s="49">
        <v>4663.4700000000012</v>
      </c>
      <c r="K918" s="58">
        <v>100.9</v>
      </c>
      <c r="L918" s="58">
        <v>4631.7318946410005</v>
      </c>
      <c r="M918" s="58">
        <v>0</v>
      </c>
      <c r="N918" s="58">
        <v>0</v>
      </c>
      <c r="O918" s="65">
        <v>100.9</v>
      </c>
      <c r="P918" s="65">
        <v>4631.7318946410005</v>
      </c>
      <c r="Q918" s="50">
        <v>4631.7318946410005</v>
      </c>
      <c r="R918" s="65">
        <v>0</v>
      </c>
      <c r="S918" s="65">
        <v>0</v>
      </c>
      <c r="T918" s="65">
        <v>0</v>
      </c>
      <c r="U918" s="65">
        <v>0</v>
      </c>
      <c r="V918" s="65">
        <v>0</v>
      </c>
      <c r="W918" s="65">
        <v>0</v>
      </c>
      <c r="X918" s="65">
        <v>4632</v>
      </c>
      <c r="Y918" s="65">
        <v>0</v>
      </c>
      <c r="Z918" s="65">
        <v>0</v>
      </c>
      <c r="AA918" s="51">
        <v>31</v>
      </c>
      <c r="AB918" s="102">
        <v>0</v>
      </c>
      <c r="AC918" s="81">
        <f t="shared" si="45"/>
        <v>549.3979885224926</v>
      </c>
      <c r="AD918" s="82">
        <f t="shared" si="46"/>
        <v>14.512857142857142</v>
      </c>
      <c r="AE918" s="218">
        <v>6.8056844707912022E-3</v>
      </c>
      <c r="AF918">
        <v>1</v>
      </c>
      <c r="AH918" t="str">
        <f t="shared" si="44"/>
        <v>Singhia BMC</v>
      </c>
      <c r="AJ918" s="72">
        <v>0</v>
      </c>
      <c r="AK918" s="72"/>
      <c r="AL918" s="72"/>
      <c r="AM918" s="72"/>
    </row>
    <row r="919" spans="1:39" x14ac:dyDescent="0.25">
      <c r="A919" s="37" t="s">
        <v>62</v>
      </c>
      <c r="B919" s="66" t="s">
        <v>1566</v>
      </c>
      <c r="C919" s="41">
        <v>1062</v>
      </c>
      <c r="D919" s="41" t="s">
        <v>1443</v>
      </c>
      <c r="E919" s="41">
        <v>10640009</v>
      </c>
      <c r="F919" s="85" t="s">
        <v>1529</v>
      </c>
      <c r="G919" s="39" t="s">
        <v>93</v>
      </c>
      <c r="H919" s="52" t="s">
        <v>94</v>
      </c>
      <c r="I919" s="52">
        <v>337.87</v>
      </c>
      <c r="J919" s="49">
        <v>15049.600000000002</v>
      </c>
      <c r="K919" s="58">
        <v>338.5</v>
      </c>
      <c r="L919" s="58">
        <v>14963.650185048404</v>
      </c>
      <c r="M919" s="58">
        <v>0</v>
      </c>
      <c r="N919" s="58">
        <v>0</v>
      </c>
      <c r="O919" s="65">
        <v>338.5</v>
      </c>
      <c r="P919" s="65">
        <v>14963.650185048404</v>
      </c>
      <c r="Q919" s="50">
        <v>14963.650185048404</v>
      </c>
      <c r="R919" s="65">
        <v>0</v>
      </c>
      <c r="S919" s="65">
        <v>0</v>
      </c>
      <c r="T919" s="65">
        <v>0</v>
      </c>
      <c r="U919" s="65">
        <v>0</v>
      </c>
      <c r="V919" s="65">
        <v>0</v>
      </c>
      <c r="W919" s="65">
        <v>0</v>
      </c>
      <c r="X919" s="65">
        <v>14964</v>
      </c>
      <c r="Y919" s="65">
        <v>0</v>
      </c>
      <c r="Z919" s="65">
        <v>0</v>
      </c>
      <c r="AA919" s="51">
        <v>86</v>
      </c>
      <c r="AB919" s="102">
        <v>0</v>
      </c>
      <c r="AC919" s="81">
        <f t="shared" si="45"/>
        <v>322.60405765531129</v>
      </c>
      <c r="AD919" s="82">
        <f t="shared" si="46"/>
        <v>48.267142857142858</v>
      </c>
      <c r="AE919" s="218">
        <v>5.7111029496862671E-3</v>
      </c>
      <c r="AF919">
        <v>1</v>
      </c>
      <c r="AH919" t="str">
        <f t="shared" si="44"/>
        <v>Singhia BMC</v>
      </c>
      <c r="AJ919" s="72">
        <v>0</v>
      </c>
      <c r="AK919" s="72"/>
      <c r="AL919" s="72"/>
      <c r="AM919" s="72"/>
    </row>
    <row r="920" spans="1:39" x14ac:dyDescent="0.25">
      <c r="A920" s="37" t="s">
        <v>62</v>
      </c>
      <c r="B920" s="66" t="s">
        <v>1566</v>
      </c>
      <c r="C920" s="41">
        <v>1062</v>
      </c>
      <c r="D920" s="41" t="s">
        <v>1443</v>
      </c>
      <c r="E920" s="41">
        <v>10640010</v>
      </c>
      <c r="F920" s="85" t="s">
        <v>1485</v>
      </c>
      <c r="G920" s="39" t="s">
        <v>635</v>
      </c>
      <c r="H920" s="52" t="s">
        <v>99</v>
      </c>
      <c r="I920" s="52">
        <v>132.22999999999999</v>
      </c>
      <c r="J920" s="49">
        <v>5272.16</v>
      </c>
      <c r="K920" s="58">
        <v>0</v>
      </c>
      <c r="L920" s="58">
        <v>0</v>
      </c>
      <c r="M920" s="58">
        <v>0</v>
      </c>
      <c r="N920" s="58">
        <v>0</v>
      </c>
      <c r="O920" s="65">
        <v>0</v>
      </c>
      <c r="P920" s="65">
        <v>0</v>
      </c>
      <c r="Q920" s="50">
        <v>5272.16</v>
      </c>
      <c r="R920" s="65">
        <v>0</v>
      </c>
      <c r="S920" s="65">
        <v>0</v>
      </c>
      <c r="T920" s="65">
        <v>0</v>
      </c>
      <c r="U920" s="65">
        <v>0</v>
      </c>
      <c r="V920" s="65">
        <v>0</v>
      </c>
      <c r="W920" s="65">
        <v>0</v>
      </c>
      <c r="X920" s="65">
        <v>0</v>
      </c>
      <c r="Y920" s="65">
        <v>0</v>
      </c>
      <c r="Z920" s="65">
        <v>5272.16</v>
      </c>
      <c r="AA920" s="51">
        <v>0</v>
      </c>
      <c r="AB920" s="102">
        <v>0</v>
      </c>
      <c r="AC920" s="81">
        <f t="shared" si="45"/>
        <v>452.7526708311276</v>
      </c>
      <c r="AD920" s="82">
        <f t="shared" si="46"/>
        <v>18.889999999999997</v>
      </c>
      <c r="AE920" s="218">
        <v>0</v>
      </c>
      <c r="AF920">
        <v>0</v>
      </c>
      <c r="AH920" t="str">
        <f t="shared" si="44"/>
        <v>Singhia BMC</v>
      </c>
      <c r="AJ920" s="72">
        <v>0</v>
      </c>
      <c r="AK920" s="72"/>
      <c r="AL920" s="72"/>
      <c r="AM920" s="72"/>
    </row>
    <row r="921" spans="1:39" x14ac:dyDescent="0.25">
      <c r="A921" s="37" t="s">
        <v>62</v>
      </c>
      <c r="B921" s="66" t="s">
        <v>1566</v>
      </c>
      <c r="C921" s="41">
        <v>1062</v>
      </c>
      <c r="D921" s="41" t="s">
        <v>1443</v>
      </c>
      <c r="E921" s="41">
        <v>10640011</v>
      </c>
      <c r="F921" s="85" t="s">
        <v>1486</v>
      </c>
      <c r="G921" s="39" t="s">
        <v>635</v>
      </c>
      <c r="H921" s="52" t="s">
        <v>99</v>
      </c>
      <c r="I921" s="52">
        <v>210.85999999999996</v>
      </c>
      <c r="J921" s="49">
        <v>9393.869999999999</v>
      </c>
      <c r="K921" s="58">
        <v>0</v>
      </c>
      <c r="L921" s="58">
        <v>0</v>
      </c>
      <c r="M921" s="58">
        <v>0</v>
      </c>
      <c r="N921" s="58">
        <v>0</v>
      </c>
      <c r="O921" s="65">
        <v>0</v>
      </c>
      <c r="P921" s="65">
        <v>0</v>
      </c>
      <c r="Q921" s="50">
        <v>9393.869999999999</v>
      </c>
      <c r="R921" s="65">
        <v>0</v>
      </c>
      <c r="S921" s="65">
        <v>0</v>
      </c>
      <c r="T921" s="65">
        <v>0</v>
      </c>
      <c r="U921" s="65">
        <v>0</v>
      </c>
      <c r="V921" s="65">
        <v>0</v>
      </c>
      <c r="W921" s="65">
        <v>0</v>
      </c>
      <c r="X921" s="65">
        <v>0</v>
      </c>
      <c r="Y921" s="65">
        <v>0</v>
      </c>
      <c r="Z921" s="65">
        <v>9393.869999999999</v>
      </c>
      <c r="AA921" s="51">
        <v>0</v>
      </c>
      <c r="AB921" s="102">
        <v>0</v>
      </c>
      <c r="AC921" s="81">
        <f t="shared" si="45"/>
        <v>435.82638450156514</v>
      </c>
      <c r="AD921" s="82">
        <f t="shared" si="46"/>
        <v>30.122857142857136</v>
      </c>
      <c r="AE921" s="218">
        <v>0</v>
      </c>
      <c r="AF921">
        <v>0</v>
      </c>
      <c r="AH921" t="str">
        <f t="shared" si="44"/>
        <v>Singhia BMC</v>
      </c>
      <c r="AJ921" s="72">
        <v>0</v>
      </c>
      <c r="AK921" s="72"/>
      <c r="AL921" s="72"/>
      <c r="AM921" s="72"/>
    </row>
    <row r="922" spans="1:39" x14ac:dyDescent="0.25">
      <c r="A922" s="37" t="s">
        <v>62</v>
      </c>
      <c r="B922" s="66" t="s">
        <v>1566</v>
      </c>
      <c r="C922" s="41">
        <v>1065</v>
      </c>
      <c r="D922" s="41" t="s">
        <v>1473</v>
      </c>
      <c r="E922" s="41">
        <v>10650001</v>
      </c>
      <c r="F922" s="85" t="s">
        <v>1474</v>
      </c>
      <c r="G922" s="39" t="s">
        <v>93</v>
      </c>
      <c r="H922" s="52" t="s">
        <v>94</v>
      </c>
      <c r="I922" s="52">
        <v>97.2</v>
      </c>
      <c r="J922" s="49">
        <v>3976.26</v>
      </c>
      <c r="K922" s="58">
        <v>99</v>
      </c>
      <c r="L922" s="58">
        <v>4528.3661496320001</v>
      </c>
      <c r="M922" s="58">
        <v>0</v>
      </c>
      <c r="N922" s="58">
        <v>0</v>
      </c>
      <c r="O922" s="65">
        <v>99</v>
      </c>
      <c r="P922" s="65">
        <v>4528.3661496320001</v>
      </c>
      <c r="Q922" s="50">
        <v>3976.26</v>
      </c>
      <c r="R922" s="65">
        <v>0</v>
      </c>
      <c r="S922" s="65">
        <v>0</v>
      </c>
      <c r="T922" s="65">
        <v>552.10614963199987</v>
      </c>
      <c r="U922" s="65">
        <v>0</v>
      </c>
      <c r="V922" s="65">
        <v>0</v>
      </c>
      <c r="W922" s="65">
        <v>0</v>
      </c>
      <c r="X922" s="65">
        <v>3976</v>
      </c>
      <c r="Y922" s="65">
        <v>0</v>
      </c>
      <c r="Z922" s="65">
        <v>0</v>
      </c>
      <c r="AA922" s="51">
        <v>0</v>
      </c>
      <c r="AB922" s="102">
        <v>0</v>
      </c>
      <c r="AC922" s="81">
        <f t="shared" si="45"/>
        <v>493.18714567901225</v>
      </c>
      <c r="AD922" s="82">
        <f t="shared" si="46"/>
        <v>13.885714285714286</v>
      </c>
      <c r="AE922" s="218">
        <v>-0.13885061581284922</v>
      </c>
      <c r="AF922">
        <v>3</v>
      </c>
      <c r="AH922" t="str">
        <f t="shared" si="44"/>
        <v>Bachhwara BMC</v>
      </c>
      <c r="AJ922" s="72">
        <v>0</v>
      </c>
      <c r="AK922" s="72"/>
      <c r="AL922" s="72"/>
      <c r="AM922" s="72"/>
    </row>
    <row r="923" spans="1:39" x14ac:dyDescent="0.25">
      <c r="A923" s="37" t="s">
        <v>62</v>
      </c>
      <c r="B923" s="66" t="s">
        <v>1566</v>
      </c>
      <c r="C923" s="41">
        <v>1065</v>
      </c>
      <c r="D923" s="41" t="s">
        <v>1473</v>
      </c>
      <c r="E923" s="41">
        <v>10650003</v>
      </c>
      <c r="F923" s="85" t="s">
        <v>1475</v>
      </c>
      <c r="G923" s="39" t="s">
        <v>93</v>
      </c>
      <c r="H923" s="52" t="s">
        <v>94</v>
      </c>
      <c r="I923" s="52">
        <v>1116.8000000000002</v>
      </c>
      <c r="J923" s="49">
        <v>44479.83</v>
      </c>
      <c r="K923" s="58">
        <v>1136.3</v>
      </c>
      <c r="L923" s="58">
        <v>45698.253138402841</v>
      </c>
      <c r="M923" s="58">
        <v>0</v>
      </c>
      <c r="N923" s="58">
        <v>0</v>
      </c>
      <c r="O923" s="65">
        <v>1136.3</v>
      </c>
      <c r="P923" s="65">
        <v>45698.253138402841</v>
      </c>
      <c r="Q923" s="50">
        <v>44479.83</v>
      </c>
      <c r="R923" s="65">
        <v>0</v>
      </c>
      <c r="S923" s="65">
        <v>0</v>
      </c>
      <c r="T923" s="65">
        <v>1218.423138402839</v>
      </c>
      <c r="U923" s="65">
        <v>0</v>
      </c>
      <c r="V923" s="65">
        <v>0</v>
      </c>
      <c r="W923" s="65">
        <v>0</v>
      </c>
      <c r="X923" s="65">
        <v>44480</v>
      </c>
      <c r="Y923" s="65">
        <v>0</v>
      </c>
      <c r="Z923" s="65">
        <v>0</v>
      </c>
      <c r="AA923" s="51">
        <v>0</v>
      </c>
      <c r="AB923" s="102">
        <v>0</v>
      </c>
      <c r="AC923" s="81">
        <f t="shared" si="45"/>
        <v>0</v>
      </c>
      <c r="AD923" s="82">
        <f t="shared" si="46"/>
        <v>0</v>
      </c>
      <c r="AE923" s="218">
        <v>-2.7392711222206535E-2</v>
      </c>
      <c r="AF923">
        <v>19</v>
      </c>
      <c r="AH923" t="str">
        <f t="shared" si="44"/>
        <v>Bachhwara BMC</v>
      </c>
      <c r="AJ923" s="72">
        <v>0</v>
      </c>
      <c r="AK923" s="72"/>
      <c r="AL923" s="72"/>
      <c r="AM923" s="72"/>
    </row>
    <row r="924" spans="1:39" x14ac:dyDescent="0.25">
      <c r="A924" s="37" t="s">
        <v>62</v>
      </c>
      <c r="B924" s="66" t="s">
        <v>1566</v>
      </c>
      <c r="C924" s="41">
        <v>1065</v>
      </c>
      <c r="D924" s="41" t="s">
        <v>1473</v>
      </c>
      <c r="E924" s="41">
        <v>10650004</v>
      </c>
      <c r="F924" s="85" t="s">
        <v>1530</v>
      </c>
      <c r="G924" s="39" t="s">
        <v>93</v>
      </c>
      <c r="H924" s="52" t="s">
        <v>94</v>
      </c>
      <c r="I924" s="52">
        <v>405.3</v>
      </c>
      <c r="J924" s="49">
        <v>15558.81</v>
      </c>
      <c r="K924" s="58">
        <v>419.60000000000008</v>
      </c>
      <c r="L924" s="58">
        <v>16198.454167831116</v>
      </c>
      <c r="M924" s="58">
        <v>0</v>
      </c>
      <c r="N924" s="58">
        <v>0</v>
      </c>
      <c r="O924" s="65">
        <v>419.60000000000008</v>
      </c>
      <c r="P924" s="65">
        <v>16198.454167831116</v>
      </c>
      <c r="Q924" s="50">
        <v>15558.81</v>
      </c>
      <c r="R924" s="65">
        <v>0</v>
      </c>
      <c r="S924" s="65">
        <v>0</v>
      </c>
      <c r="T924" s="65">
        <v>639.64416783111665</v>
      </c>
      <c r="U924" s="65">
        <v>0</v>
      </c>
      <c r="V924" s="65">
        <v>0</v>
      </c>
      <c r="W924" s="65">
        <v>0</v>
      </c>
      <c r="X924" s="65">
        <v>15559</v>
      </c>
      <c r="Y924" s="65">
        <v>0</v>
      </c>
      <c r="Z924" s="65">
        <v>0</v>
      </c>
      <c r="AA924" s="51">
        <v>0</v>
      </c>
      <c r="AB924" s="102">
        <v>0</v>
      </c>
      <c r="AC924" s="81">
        <f t="shared" si="45"/>
        <v>226.26110569948185</v>
      </c>
      <c r="AD924" s="82">
        <f t="shared" si="46"/>
        <v>57.9</v>
      </c>
      <c r="AE924" s="218">
        <v>-4.1111381129476911E-2</v>
      </c>
      <c r="AF924">
        <v>1</v>
      </c>
      <c r="AH924" t="str">
        <f t="shared" si="44"/>
        <v>Bachhwara BMC</v>
      </c>
      <c r="AJ924" s="72">
        <v>0</v>
      </c>
      <c r="AK924" s="72"/>
      <c r="AL924" s="72"/>
      <c r="AM924" s="72"/>
    </row>
    <row r="925" spans="1:39" x14ac:dyDescent="0.25">
      <c r="A925" s="37" t="s">
        <v>62</v>
      </c>
      <c r="B925" s="66" t="s">
        <v>1566</v>
      </c>
      <c r="C925" s="41">
        <v>1065</v>
      </c>
      <c r="D925" s="41" t="s">
        <v>1473</v>
      </c>
      <c r="E925" s="41">
        <v>10650006</v>
      </c>
      <c r="F925" s="85" t="s">
        <v>1476</v>
      </c>
      <c r="G925" s="39" t="s">
        <v>635</v>
      </c>
      <c r="H925" s="52" t="s">
        <v>99</v>
      </c>
      <c r="I925" s="52">
        <v>239.2</v>
      </c>
      <c r="J925" s="49">
        <v>8985.65</v>
      </c>
      <c r="K925" s="58">
        <v>0</v>
      </c>
      <c r="L925" s="58">
        <v>0</v>
      </c>
      <c r="M925" s="58">
        <v>0</v>
      </c>
      <c r="N925" s="58">
        <v>0</v>
      </c>
      <c r="O925" s="65">
        <v>0</v>
      </c>
      <c r="P925" s="65">
        <v>0</v>
      </c>
      <c r="Q925" s="50">
        <v>8985.65</v>
      </c>
      <c r="R925" s="65">
        <v>0</v>
      </c>
      <c r="S925" s="65">
        <v>0</v>
      </c>
      <c r="T925" s="65">
        <v>0</v>
      </c>
      <c r="U925" s="65">
        <v>0</v>
      </c>
      <c r="V925" s="65">
        <v>0</v>
      </c>
      <c r="W925" s="65">
        <v>0</v>
      </c>
      <c r="X925" s="65">
        <v>0</v>
      </c>
      <c r="Y925" s="65">
        <v>0</v>
      </c>
      <c r="Z925" s="65">
        <v>8985.65</v>
      </c>
      <c r="AA925" s="51">
        <v>0</v>
      </c>
      <c r="AB925" s="102">
        <v>0</v>
      </c>
      <c r="AC925" s="81">
        <f t="shared" si="45"/>
        <v>346.2029698996655</v>
      </c>
      <c r="AD925" s="82">
        <f t="shared" si="46"/>
        <v>34.171428571428571</v>
      </c>
      <c r="AE925" s="218">
        <v>0</v>
      </c>
      <c r="AF925">
        <v>0</v>
      </c>
      <c r="AH925" t="str">
        <f t="shared" si="44"/>
        <v>Bachhwara BMC</v>
      </c>
      <c r="AJ925" s="72">
        <v>0</v>
      </c>
      <c r="AK925" s="72"/>
      <c r="AL925" s="72"/>
      <c r="AM925" s="72"/>
    </row>
    <row r="926" spans="1:39" x14ac:dyDescent="0.25">
      <c r="A926" s="37" t="s">
        <v>62</v>
      </c>
      <c r="B926" s="66" t="s">
        <v>1566</v>
      </c>
      <c r="C926" s="41">
        <v>1065</v>
      </c>
      <c r="D926" s="41" t="s">
        <v>1473</v>
      </c>
      <c r="E926" s="41">
        <v>10650008</v>
      </c>
      <c r="F926" s="85" t="s">
        <v>1555</v>
      </c>
      <c r="G926" s="39" t="s">
        <v>635</v>
      </c>
      <c r="H926" s="52" t="s">
        <v>99</v>
      </c>
      <c r="I926" s="52">
        <v>47.400000000000006</v>
      </c>
      <c r="J926" s="49">
        <v>1522.29</v>
      </c>
      <c r="K926" s="58">
        <v>0</v>
      </c>
      <c r="L926" s="58">
        <v>0</v>
      </c>
      <c r="M926" s="58">
        <v>0</v>
      </c>
      <c r="N926" s="58">
        <v>0</v>
      </c>
      <c r="O926" s="65">
        <v>0</v>
      </c>
      <c r="P926" s="65">
        <v>0</v>
      </c>
      <c r="Q926" s="50">
        <v>1522.29</v>
      </c>
      <c r="R926" s="65">
        <v>0</v>
      </c>
      <c r="S926" s="65">
        <v>0</v>
      </c>
      <c r="T926" s="65">
        <v>0</v>
      </c>
      <c r="U926" s="65">
        <v>0</v>
      </c>
      <c r="V926" s="65">
        <v>0</v>
      </c>
      <c r="W926" s="65">
        <v>0</v>
      </c>
      <c r="X926" s="65">
        <v>0</v>
      </c>
      <c r="Y926" s="65">
        <v>0</v>
      </c>
      <c r="Z926" s="65">
        <v>1522.29</v>
      </c>
      <c r="AA926" s="51">
        <v>0</v>
      </c>
      <c r="AB926" s="102">
        <v>0</v>
      </c>
      <c r="AC926" s="81">
        <f t="shared" si="45"/>
        <v>419.17571898734167</v>
      </c>
      <c r="AD926" s="82">
        <f t="shared" si="46"/>
        <v>6.7714285714285722</v>
      </c>
      <c r="AE926" s="218">
        <v>0</v>
      </c>
      <c r="AF926">
        <v>0</v>
      </c>
      <c r="AH926" t="str">
        <f t="shared" si="44"/>
        <v>Bachhwara BMC</v>
      </c>
      <c r="AJ926" s="72">
        <v>0</v>
      </c>
      <c r="AK926" s="72"/>
      <c r="AL926" s="72"/>
      <c r="AM926" s="72"/>
    </row>
    <row r="927" spans="1:39" x14ac:dyDescent="0.25">
      <c r="A927" s="37" t="s">
        <v>62</v>
      </c>
      <c r="B927" s="66" t="s">
        <v>1566</v>
      </c>
      <c r="C927" s="41">
        <v>1065</v>
      </c>
      <c r="D927" s="41" t="s">
        <v>1473</v>
      </c>
      <c r="E927" s="41">
        <v>10650011</v>
      </c>
      <c r="F927" s="85" t="s">
        <v>1560</v>
      </c>
      <c r="G927" s="39" t="s">
        <v>93</v>
      </c>
      <c r="H927" s="52" t="s">
        <v>94</v>
      </c>
      <c r="I927" s="52">
        <v>388.40000000000003</v>
      </c>
      <c r="J927" s="49">
        <v>15213.420000000002</v>
      </c>
      <c r="K927" s="58">
        <v>368.30000000000007</v>
      </c>
      <c r="L927" s="58">
        <v>14393.62484208</v>
      </c>
      <c r="M927" s="58">
        <v>0</v>
      </c>
      <c r="N927" s="58">
        <v>0</v>
      </c>
      <c r="O927" s="65">
        <v>368.30000000000007</v>
      </c>
      <c r="P927" s="65">
        <v>14393.62484208</v>
      </c>
      <c r="Q927" s="50">
        <v>14393.62484208</v>
      </c>
      <c r="R927" s="65">
        <v>0</v>
      </c>
      <c r="S927" s="65">
        <v>0</v>
      </c>
      <c r="T927" s="65">
        <v>0</v>
      </c>
      <c r="U927" s="65">
        <v>0</v>
      </c>
      <c r="V927" s="65">
        <v>0</v>
      </c>
      <c r="W927" s="65">
        <v>0</v>
      </c>
      <c r="X927" s="65">
        <v>14394</v>
      </c>
      <c r="Y927" s="65">
        <v>0</v>
      </c>
      <c r="Z927" s="65">
        <v>0</v>
      </c>
      <c r="AA927" s="51">
        <v>819</v>
      </c>
      <c r="AB927" s="102">
        <v>0</v>
      </c>
      <c r="AC927" s="81">
        <f t="shared" si="45"/>
        <v>244.10410257466526</v>
      </c>
      <c r="AD927" s="82">
        <f t="shared" si="46"/>
        <v>55.485714285714288</v>
      </c>
      <c r="AE927" s="218">
        <v>5.3886316023616092E-2</v>
      </c>
      <c r="AF927">
        <v>8</v>
      </c>
      <c r="AH927" t="str">
        <f t="shared" si="44"/>
        <v>Bachhwara BMC</v>
      </c>
      <c r="AJ927" s="72">
        <v>0</v>
      </c>
      <c r="AK927" s="72"/>
      <c r="AL927" s="72"/>
      <c r="AM927" s="72"/>
    </row>
    <row r="928" spans="1:39" x14ac:dyDescent="0.25">
      <c r="A928" s="37" t="s">
        <v>62</v>
      </c>
      <c r="B928" s="66" t="s">
        <v>1615</v>
      </c>
      <c r="C928" s="41">
        <v>1001</v>
      </c>
      <c r="D928" s="41" t="s">
        <v>92</v>
      </c>
      <c r="E928" s="41">
        <v>10010013</v>
      </c>
      <c r="F928" s="85" t="s">
        <v>95</v>
      </c>
      <c r="G928" s="39" t="s">
        <v>93</v>
      </c>
      <c r="H928" s="52" t="s">
        <v>94</v>
      </c>
      <c r="I928" s="52">
        <v>722</v>
      </c>
      <c r="J928" s="49">
        <v>27255.400000000005</v>
      </c>
      <c r="K928" s="58">
        <v>714.37000000000012</v>
      </c>
      <c r="L928" s="58">
        <v>27067.839834784423</v>
      </c>
      <c r="M928" s="58">
        <v>4.3199999999999994</v>
      </c>
      <c r="N928" s="58">
        <v>162.65833848000003</v>
      </c>
      <c r="O928" s="65">
        <v>718.69000000000017</v>
      </c>
      <c r="P928" s="65">
        <v>27230.498173264423</v>
      </c>
      <c r="Q928" s="50">
        <v>27230.498173264423</v>
      </c>
      <c r="R928" s="65">
        <v>0</v>
      </c>
      <c r="S928" s="65">
        <v>162.65833848000003</v>
      </c>
      <c r="T928" s="65">
        <v>0</v>
      </c>
      <c r="U928" s="65">
        <v>0</v>
      </c>
      <c r="V928" s="65">
        <v>0</v>
      </c>
      <c r="W928" s="65">
        <v>0</v>
      </c>
      <c r="X928" s="65">
        <v>27072</v>
      </c>
      <c r="Y928" s="65">
        <v>0</v>
      </c>
      <c r="Z928" s="65">
        <v>0</v>
      </c>
      <c r="AA928" s="51">
        <v>21</v>
      </c>
      <c r="AB928" s="102">
        <v>0</v>
      </c>
      <c r="AC928" s="81">
        <f t="shared" si="45"/>
        <v>0</v>
      </c>
      <c r="AD928" s="82">
        <f t="shared" si="46"/>
        <v>0</v>
      </c>
      <c r="AE928" s="218">
        <v>9.1364745098520975E-4</v>
      </c>
      <c r="AF928">
        <v>19</v>
      </c>
      <c r="AH928" t="str">
        <f t="shared" si="44"/>
        <v>Majhaul</v>
      </c>
      <c r="AJ928" s="72">
        <v>0</v>
      </c>
      <c r="AK928" s="72"/>
      <c r="AL928" s="72"/>
      <c r="AM928" s="72"/>
    </row>
    <row r="929" spans="1:39" x14ac:dyDescent="0.25">
      <c r="A929" s="37" t="s">
        <v>62</v>
      </c>
      <c r="B929" s="66" t="s">
        <v>1615</v>
      </c>
      <c r="C929" s="41">
        <v>1008</v>
      </c>
      <c r="D929" s="41" t="s">
        <v>221</v>
      </c>
      <c r="E929" s="41">
        <v>10010017</v>
      </c>
      <c r="F929" s="85" t="s">
        <v>96</v>
      </c>
      <c r="G929" s="39" t="s">
        <v>93</v>
      </c>
      <c r="H929" s="52" t="s">
        <v>94</v>
      </c>
      <c r="I929" s="52">
        <v>49.5</v>
      </c>
      <c r="J929" s="49">
        <v>1692.48</v>
      </c>
      <c r="K929" s="58">
        <v>49</v>
      </c>
      <c r="L929" s="58">
        <v>1695.9575278800003</v>
      </c>
      <c r="M929" s="58">
        <v>0</v>
      </c>
      <c r="N929" s="58">
        <v>0</v>
      </c>
      <c r="O929" s="65">
        <v>49</v>
      </c>
      <c r="P929" s="65">
        <v>1695.9575278800003</v>
      </c>
      <c r="Q929" s="50">
        <v>1692.48</v>
      </c>
      <c r="R929" s="65">
        <v>0</v>
      </c>
      <c r="S929" s="65">
        <v>0</v>
      </c>
      <c r="T929" s="65">
        <v>3.4775278800002525</v>
      </c>
      <c r="U929" s="65">
        <v>0</v>
      </c>
      <c r="V929" s="65">
        <v>72.256559999999965</v>
      </c>
      <c r="W929" s="65">
        <v>0</v>
      </c>
      <c r="X929" s="65">
        <v>1620</v>
      </c>
      <c r="Y929" s="65">
        <v>0</v>
      </c>
      <c r="Z929" s="65">
        <v>0</v>
      </c>
      <c r="AA929" s="51">
        <v>0</v>
      </c>
      <c r="AB929" s="102">
        <v>0</v>
      </c>
      <c r="AC929" s="81">
        <f t="shared" si="45"/>
        <v>444.83161212121217</v>
      </c>
      <c r="AD929" s="82">
        <f t="shared" si="46"/>
        <v>7.0714285714285712</v>
      </c>
      <c r="AE929" s="218">
        <v>-2.0546936330120605E-3</v>
      </c>
      <c r="AF929">
        <v>1</v>
      </c>
      <c r="AH929" t="str">
        <f t="shared" si="44"/>
        <v>Teghra</v>
      </c>
      <c r="AJ929" s="72">
        <v>0</v>
      </c>
      <c r="AK929" s="72"/>
      <c r="AL929" s="72"/>
      <c r="AM929" s="72"/>
    </row>
    <row r="930" spans="1:39" x14ac:dyDescent="0.25">
      <c r="A930" s="37" t="s">
        <v>62</v>
      </c>
      <c r="B930" s="66" t="s">
        <v>1615</v>
      </c>
      <c r="C930" s="41">
        <v>1001</v>
      </c>
      <c r="D930" s="41" t="s">
        <v>92</v>
      </c>
      <c r="E930" s="41">
        <v>10010019</v>
      </c>
      <c r="F930" s="85" t="s">
        <v>97</v>
      </c>
      <c r="G930" s="39" t="s">
        <v>93</v>
      </c>
      <c r="H930" s="52" t="s">
        <v>94</v>
      </c>
      <c r="I930" s="52">
        <v>778.50000000000011</v>
      </c>
      <c r="J930" s="49">
        <v>30882.35</v>
      </c>
      <c r="K930" s="58">
        <v>772.83</v>
      </c>
      <c r="L930" s="58">
        <v>31206.224206509098</v>
      </c>
      <c r="M930" s="58">
        <v>11.13</v>
      </c>
      <c r="N930" s="58">
        <v>418.18155112800002</v>
      </c>
      <c r="O930" s="65">
        <v>783.96</v>
      </c>
      <c r="P930" s="65">
        <v>31624.405757637098</v>
      </c>
      <c r="Q930" s="50">
        <v>30882.35</v>
      </c>
      <c r="R930" s="65">
        <v>0</v>
      </c>
      <c r="S930" s="65">
        <v>418.18155112800002</v>
      </c>
      <c r="T930" s="65">
        <v>742.0557576370993</v>
      </c>
      <c r="U930" s="65">
        <v>0</v>
      </c>
      <c r="V930" s="65">
        <v>0</v>
      </c>
      <c r="W930" s="65">
        <v>0</v>
      </c>
      <c r="X930" s="65">
        <v>30464</v>
      </c>
      <c r="Y930" s="65">
        <v>0</v>
      </c>
      <c r="Z930" s="65">
        <v>0</v>
      </c>
      <c r="AA930" s="51">
        <v>0</v>
      </c>
      <c r="AB930" s="102" t="s">
        <v>68</v>
      </c>
      <c r="AC930" s="81">
        <f t="shared" si="45"/>
        <v>0</v>
      </c>
      <c r="AD930" s="82">
        <f t="shared" si="46"/>
        <v>0</v>
      </c>
      <c r="AE930" s="218">
        <v>-2.4028474440484591E-2</v>
      </c>
      <c r="AF930">
        <v>11</v>
      </c>
      <c r="AH930" t="str">
        <f t="shared" si="44"/>
        <v>Majhaul</v>
      </c>
      <c r="AJ930" s="72">
        <v>0</v>
      </c>
      <c r="AK930" s="72"/>
      <c r="AL930" s="72"/>
      <c r="AM930" s="72"/>
    </row>
    <row r="931" spans="1:39" x14ac:dyDescent="0.25">
      <c r="A931" s="37" t="s">
        <v>62</v>
      </c>
      <c r="B931" s="66" t="s">
        <v>1615</v>
      </c>
      <c r="C931" s="41">
        <v>1058</v>
      </c>
      <c r="D931" s="41" t="s">
        <v>1344</v>
      </c>
      <c r="E931" s="41">
        <v>10010038</v>
      </c>
      <c r="F931" s="85" t="s">
        <v>98</v>
      </c>
      <c r="G931" s="39" t="s">
        <v>93</v>
      </c>
      <c r="H931" s="52" t="s">
        <v>94</v>
      </c>
      <c r="I931" s="52">
        <v>1230.1000000000001</v>
      </c>
      <c r="J931" s="49">
        <v>46878.130000000012</v>
      </c>
      <c r="K931" s="58">
        <v>840.8</v>
      </c>
      <c r="L931" s="58">
        <v>32215.366212480003</v>
      </c>
      <c r="M931" s="58">
        <v>398.9</v>
      </c>
      <c r="N931" s="58">
        <v>15186.562439400001</v>
      </c>
      <c r="O931" s="65">
        <v>1239.6999999999998</v>
      </c>
      <c r="P931" s="65">
        <v>47401.928651880007</v>
      </c>
      <c r="Q931" s="50">
        <v>46878.130000000012</v>
      </c>
      <c r="R931" s="65">
        <v>0</v>
      </c>
      <c r="S931" s="65">
        <v>188.105346</v>
      </c>
      <c r="T931" s="65">
        <v>523.7986518799953</v>
      </c>
      <c r="U931" s="65">
        <v>0</v>
      </c>
      <c r="V931" s="65">
        <v>0</v>
      </c>
      <c r="W931" s="65">
        <v>0</v>
      </c>
      <c r="X931" s="65">
        <v>31692</v>
      </c>
      <c r="Y931" s="65">
        <v>14998</v>
      </c>
      <c r="Z931" s="65">
        <v>0</v>
      </c>
      <c r="AA931" s="51">
        <v>0</v>
      </c>
      <c r="AB931" s="102">
        <v>0</v>
      </c>
      <c r="AC931" s="81">
        <f t="shared" si="45"/>
        <v>0</v>
      </c>
      <c r="AD931" s="82">
        <f t="shared" si="46"/>
        <v>0</v>
      </c>
      <c r="AE931" s="218">
        <v>-1.1173625139910555E-2</v>
      </c>
      <c r="AF931">
        <v>8</v>
      </c>
      <c r="AH931" t="str">
        <f t="shared" si="44"/>
        <v>Hasanpur</v>
      </c>
      <c r="AJ931" s="72">
        <v>0</v>
      </c>
      <c r="AK931" s="72"/>
      <c r="AL931" s="72"/>
      <c r="AM931" s="72"/>
    </row>
    <row r="932" spans="1:39" x14ac:dyDescent="0.25">
      <c r="A932" s="37" t="s">
        <v>62</v>
      </c>
      <c r="B932" s="66" t="s">
        <v>1615</v>
      </c>
      <c r="C932" s="41">
        <v>1001</v>
      </c>
      <c r="D932" s="41" t="s">
        <v>92</v>
      </c>
      <c r="E932" s="41">
        <v>10010047</v>
      </c>
      <c r="F932" s="85" t="s">
        <v>837</v>
      </c>
      <c r="G932" s="39" t="s">
        <v>635</v>
      </c>
      <c r="H932" s="52" t="s">
        <v>99</v>
      </c>
      <c r="I932" s="52">
        <v>31.6</v>
      </c>
      <c r="J932" s="49">
        <v>1229.5899999999999</v>
      </c>
      <c r="K932" s="58">
        <v>0</v>
      </c>
      <c r="L932" s="58">
        <v>0</v>
      </c>
      <c r="M932" s="58">
        <v>0</v>
      </c>
      <c r="N932" s="58">
        <v>0</v>
      </c>
      <c r="O932" s="65">
        <v>0</v>
      </c>
      <c r="P932" s="65">
        <v>0</v>
      </c>
      <c r="Q932" s="50">
        <v>1229.5899999999999</v>
      </c>
      <c r="R932" s="65">
        <v>0</v>
      </c>
      <c r="S932" s="65">
        <v>0</v>
      </c>
      <c r="T932" s="65">
        <v>0</v>
      </c>
      <c r="U932" s="65">
        <v>0</v>
      </c>
      <c r="V932" s="65">
        <v>533.50544516129048</v>
      </c>
      <c r="W932" s="65">
        <v>0</v>
      </c>
      <c r="X932" s="65">
        <v>0</v>
      </c>
      <c r="Y932" s="65">
        <v>0</v>
      </c>
      <c r="Z932" s="65">
        <v>696.08455483870944</v>
      </c>
      <c r="AA932" s="51">
        <v>0</v>
      </c>
      <c r="AB932" s="102">
        <v>0</v>
      </c>
      <c r="AC932" s="81">
        <f t="shared" si="45"/>
        <v>520.16326329113917</v>
      </c>
      <c r="AD932" s="82">
        <f t="shared" si="46"/>
        <v>4.5142857142857142</v>
      </c>
      <c r="AE932" s="218">
        <v>0</v>
      </c>
      <c r="AF932">
        <v>0</v>
      </c>
      <c r="AH932" t="str">
        <f t="shared" si="44"/>
        <v>Majhaul</v>
      </c>
      <c r="AJ932" s="72">
        <v>0</v>
      </c>
      <c r="AK932" s="72"/>
      <c r="AL932" s="72"/>
      <c r="AM932" s="72"/>
    </row>
    <row r="933" spans="1:39" x14ac:dyDescent="0.25">
      <c r="A933" s="37" t="s">
        <v>62</v>
      </c>
      <c r="B933" s="66" t="s">
        <v>1615</v>
      </c>
      <c r="C933" s="41">
        <v>1058</v>
      </c>
      <c r="D933" s="41" t="s">
        <v>1344</v>
      </c>
      <c r="E933" s="41">
        <v>10010050</v>
      </c>
      <c r="F933" s="85" t="s">
        <v>100</v>
      </c>
      <c r="G933" s="39" t="s">
        <v>635</v>
      </c>
      <c r="H933" s="52" t="s">
        <v>99</v>
      </c>
      <c r="I933" s="52">
        <v>851</v>
      </c>
      <c r="J933" s="49">
        <v>31473.250000000004</v>
      </c>
      <c r="K933" s="58">
        <v>0</v>
      </c>
      <c r="L933" s="58">
        <v>0</v>
      </c>
      <c r="M933" s="58">
        <v>0</v>
      </c>
      <c r="N933" s="58">
        <v>0</v>
      </c>
      <c r="O933" s="65">
        <v>0</v>
      </c>
      <c r="P933" s="65">
        <v>0</v>
      </c>
      <c r="Q933" s="50">
        <v>31473.250000000004</v>
      </c>
      <c r="R933" s="65">
        <v>0</v>
      </c>
      <c r="S933" s="65">
        <v>0</v>
      </c>
      <c r="T933" s="65">
        <v>0</v>
      </c>
      <c r="U933" s="65">
        <v>0</v>
      </c>
      <c r="V933" s="65">
        <v>0</v>
      </c>
      <c r="W933" s="65">
        <v>0</v>
      </c>
      <c r="X933" s="65">
        <v>0</v>
      </c>
      <c r="Y933" s="65">
        <v>0</v>
      </c>
      <c r="Z933" s="65">
        <v>31473.250000000004</v>
      </c>
      <c r="AA933" s="51">
        <v>0</v>
      </c>
      <c r="AB933" s="102">
        <v>0</v>
      </c>
      <c r="AC933" s="81">
        <f t="shared" si="45"/>
        <v>0</v>
      </c>
      <c r="AD933" s="82">
        <f t="shared" si="46"/>
        <v>0</v>
      </c>
      <c r="AE933" s="218">
        <v>0</v>
      </c>
      <c r="AF933">
        <v>0</v>
      </c>
      <c r="AH933" t="str">
        <f t="shared" si="44"/>
        <v>Hasanpur</v>
      </c>
      <c r="AJ933" s="72">
        <v>0</v>
      </c>
      <c r="AK933" s="72"/>
      <c r="AL933" s="72"/>
      <c r="AM933" s="72"/>
    </row>
    <row r="934" spans="1:39" x14ac:dyDescent="0.25">
      <c r="A934" s="37" t="s">
        <v>62</v>
      </c>
      <c r="B934" s="66" t="s">
        <v>1615</v>
      </c>
      <c r="C934" s="41">
        <v>1058</v>
      </c>
      <c r="D934" s="41" t="s">
        <v>1344</v>
      </c>
      <c r="E934" s="41">
        <v>10010051</v>
      </c>
      <c r="F934" s="85" t="s">
        <v>101</v>
      </c>
      <c r="G934" s="39" t="s">
        <v>93</v>
      </c>
      <c r="H934" s="52" t="s">
        <v>94</v>
      </c>
      <c r="I934" s="52">
        <v>414.1</v>
      </c>
      <c r="J934" s="49">
        <v>15450.710000000001</v>
      </c>
      <c r="K934" s="58">
        <v>226.8</v>
      </c>
      <c r="L934" s="58">
        <v>8432.967024900001</v>
      </c>
      <c r="M934" s="58">
        <v>189.9</v>
      </c>
      <c r="N934" s="58">
        <v>7055.5784191200009</v>
      </c>
      <c r="O934" s="65">
        <v>416.70000000000005</v>
      </c>
      <c r="P934" s="65">
        <v>15488.545444020001</v>
      </c>
      <c r="Q934" s="50">
        <v>15450.710000000001</v>
      </c>
      <c r="R934" s="65">
        <v>0</v>
      </c>
      <c r="S934" s="65">
        <v>192.72547800000007</v>
      </c>
      <c r="T934" s="65">
        <v>37.835444020000068</v>
      </c>
      <c r="U934" s="65">
        <v>0</v>
      </c>
      <c r="V934" s="65">
        <v>1226.5754999999995</v>
      </c>
      <c r="W934" s="65">
        <v>0</v>
      </c>
      <c r="X934" s="65">
        <v>7168</v>
      </c>
      <c r="Y934" s="65">
        <v>6863</v>
      </c>
      <c r="Z934" s="65">
        <v>0</v>
      </c>
      <c r="AA934" s="51">
        <v>0</v>
      </c>
      <c r="AB934" s="102">
        <v>0</v>
      </c>
      <c r="AC934" s="81">
        <f t="shared" si="45"/>
        <v>213.3474034774209</v>
      </c>
      <c r="AD934" s="82">
        <f t="shared" si="46"/>
        <v>59.157142857142858</v>
      </c>
      <c r="AE934" s="218">
        <v>-2.4487835199806397E-3</v>
      </c>
      <c r="AF934">
        <v>6</v>
      </c>
      <c r="AH934" t="str">
        <f t="shared" si="44"/>
        <v>Hasanpur</v>
      </c>
      <c r="AJ934" s="72">
        <v>0</v>
      </c>
      <c r="AK934" s="72"/>
      <c r="AL934" s="72"/>
      <c r="AM934" s="72"/>
    </row>
    <row r="935" spans="1:39" x14ac:dyDescent="0.25">
      <c r="A935" s="37" t="s">
        <v>62</v>
      </c>
      <c r="B935" s="66" t="s">
        <v>1615</v>
      </c>
      <c r="C935" s="41">
        <v>1001</v>
      </c>
      <c r="D935" s="41" t="s">
        <v>92</v>
      </c>
      <c r="E935" s="41">
        <v>10010055</v>
      </c>
      <c r="F935" s="85" t="s">
        <v>102</v>
      </c>
      <c r="G935" s="39" t="s">
        <v>93</v>
      </c>
      <c r="H935" s="52" t="s">
        <v>94</v>
      </c>
      <c r="I935" s="52">
        <v>131.00000000000003</v>
      </c>
      <c r="J935" s="49">
        <v>5264.78</v>
      </c>
      <c r="K935" s="58">
        <v>151.69999999999999</v>
      </c>
      <c r="L935" s="58">
        <v>6236.7867856799994</v>
      </c>
      <c r="M935" s="58">
        <v>0</v>
      </c>
      <c r="N935" s="58">
        <v>0</v>
      </c>
      <c r="O935" s="65">
        <v>151.69999999999999</v>
      </c>
      <c r="P935" s="65">
        <v>6236.7867856799994</v>
      </c>
      <c r="Q935" s="50">
        <v>5264.78</v>
      </c>
      <c r="R935" s="65">
        <v>0</v>
      </c>
      <c r="S935" s="65">
        <v>0</v>
      </c>
      <c r="T935" s="65">
        <v>972.00678567999967</v>
      </c>
      <c r="U935" s="65">
        <v>0</v>
      </c>
      <c r="V935" s="65">
        <v>0</v>
      </c>
      <c r="W935" s="65">
        <v>0</v>
      </c>
      <c r="X935" s="65">
        <v>5265</v>
      </c>
      <c r="Y935" s="65">
        <v>0</v>
      </c>
      <c r="Z935" s="65">
        <v>0</v>
      </c>
      <c r="AA935" s="51">
        <v>0</v>
      </c>
      <c r="AB935" s="102">
        <v>0</v>
      </c>
      <c r="AC935" s="81">
        <f t="shared" si="45"/>
        <v>457.35264427480899</v>
      </c>
      <c r="AD935" s="82">
        <f t="shared" si="46"/>
        <v>18.714285714285719</v>
      </c>
      <c r="AE935" s="218">
        <v>-0.18462438804280515</v>
      </c>
      <c r="AF935">
        <v>2</v>
      </c>
      <c r="AH935" t="str">
        <f t="shared" si="44"/>
        <v>Majhaul</v>
      </c>
      <c r="AJ935" s="72">
        <v>0</v>
      </c>
      <c r="AK935" s="72"/>
      <c r="AL935" s="72"/>
      <c r="AM935" s="72"/>
    </row>
    <row r="936" spans="1:39" x14ac:dyDescent="0.25">
      <c r="A936" s="37" t="s">
        <v>62</v>
      </c>
      <c r="B936" s="66" t="s">
        <v>1615</v>
      </c>
      <c r="C936" s="41">
        <v>1001</v>
      </c>
      <c r="D936" s="41" t="s">
        <v>92</v>
      </c>
      <c r="E936" s="41">
        <v>10010057</v>
      </c>
      <c r="F936" s="85" t="s">
        <v>425</v>
      </c>
      <c r="G936" s="39" t="s">
        <v>635</v>
      </c>
      <c r="H936" s="52" t="s">
        <v>99</v>
      </c>
      <c r="I936" s="52">
        <v>10523.6</v>
      </c>
      <c r="J936" s="49">
        <v>375830.21</v>
      </c>
      <c r="K936" s="58">
        <v>0</v>
      </c>
      <c r="L936" s="58">
        <v>0</v>
      </c>
      <c r="M936" s="58">
        <v>0</v>
      </c>
      <c r="N936" s="58">
        <v>0</v>
      </c>
      <c r="O936" s="65">
        <v>0</v>
      </c>
      <c r="P936" s="65">
        <v>0</v>
      </c>
      <c r="Q936" s="50">
        <v>375830.21</v>
      </c>
      <c r="R936" s="65">
        <v>0</v>
      </c>
      <c r="S936" s="65">
        <v>0</v>
      </c>
      <c r="T936" s="65">
        <v>0</v>
      </c>
      <c r="U936" s="65">
        <v>0</v>
      </c>
      <c r="V936" s="65">
        <v>0</v>
      </c>
      <c r="W936" s="65">
        <v>0</v>
      </c>
      <c r="X936" s="65">
        <v>0</v>
      </c>
      <c r="Y936" s="65">
        <v>0</v>
      </c>
      <c r="Z936" s="65">
        <v>375830.21</v>
      </c>
      <c r="AA936" s="51">
        <v>0</v>
      </c>
      <c r="AB936" s="102">
        <v>0</v>
      </c>
      <c r="AC936" s="81">
        <f t="shared" si="45"/>
        <v>0</v>
      </c>
      <c r="AD936" s="82">
        <f t="shared" si="46"/>
        <v>0</v>
      </c>
      <c r="AE936" s="218">
        <v>0</v>
      </c>
      <c r="AF936">
        <v>0</v>
      </c>
      <c r="AH936" t="str">
        <f t="shared" si="44"/>
        <v>Majhaul</v>
      </c>
      <c r="AJ936" s="72">
        <v>0</v>
      </c>
      <c r="AK936" s="72"/>
      <c r="AL936" s="72"/>
      <c r="AM936" s="72"/>
    </row>
    <row r="937" spans="1:39" x14ac:dyDescent="0.25">
      <c r="A937" s="37" t="s">
        <v>62</v>
      </c>
      <c r="B937" s="66" t="s">
        <v>1615</v>
      </c>
      <c r="C937" s="41">
        <v>1001</v>
      </c>
      <c r="D937" s="41" t="s">
        <v>92</v>
      </c>
      <c r="E937" s="41">
        <v>10010076</v>
      </c>
      <c r="F937" s="85" t="s">
        <v>433</v>
      </c>
      <c r="G937" s="39" t="s">
        <v>93</v>
      </c>
      <c r="H937" s="52" t="s">
        <v>94</v>
      </c>
      <c r="I937" s="52">
        <v>167.4</v>
      </c>
      <c r="J937" s="49">
        <v>5994.3099999999995</v>
      </c>
      <c r="K937" s="58">
        <v>105.28</v>
      </c>
      <c r="L937" s="58">
        <v>4118.5191707397498</v>
      </c>
      <c r="M937" s="58">
        <v>79.219999999999985</v>
      </c>
      <c r="N937" s="58">
        <v>2881.9263821040008</v>
      </c>
      <c r="O937" s="65">
        <v>184.5</v>
      </c>
      <c r="P937" s="65">
        <v>7000.4455528437502</v>
      </c>
      <c r="Q937" s="50">
        <v>5994.3099999999995</v>
      </c>
      <c r="R937" s="65">
        <v>0</v>
      </c>
      <c r="S937" s="65">
        <v>0</v>
      </c>
      <c r="T937" s="65">
        <v>1006.1355528437507</v>
      </c>
      <c r="U937" s="65">
        <v>0</v>
      </c>
      <c r="V937" s="65">
        <v>1019.4611796610171</v>
      </c>
      <c r="W937" s="65">
        <v>0</v>
      </c>
      <c r="X937" s="65">
        <v>2092</v>
      </c>
      <c r="Y937" s="65">
        <v>2882</v>
      </c>
      <c r="Z937" s="65">
        <v>0</v>
      </c>
      <c r="AA937" s="51">
        <v>1</v>
      </c>
      <c r="AB937" s="102">
        <v>0</v>
      </c>
      <c r="AC937" s="81">
        <f t="shared" si="45"/>
        <v>381.43004850657104</v>
      </c>
      <c r="AD937" s="82">
        <f t="shared" si="46"/>
        <v>23.914285714285715</v>
      </c>
      <c r="AE937" s="218">
        <v>-0.16784843507321956</v>
      </c>
      <c r="AF937">
        <v>5</v>
      </c>
      <c r="AH937" t="str">
        <f t="shared" si="44"/>
        <v>Majhaul</v>
      </c>
      <c r="AJ937" s="72">
        <v>0</v>
      </c>
      <c r="AK937" s="72"/>
      <c r="AL937" s="72"/>
      <c r="AM937" s="72"/>
    </row>
    <row r="938" spans="1:39" x14ac:dyDescent="0.25">
      <c r="A938" s="37" t="s">
        <v>62</v>
      </c>
      <c r="B938" s="66" t="s">
        <v>1615</v>
      </c>
      <c r="C938" s="41">
        <v>1001</v>
      </c>
      <c r="D938" s="41" t="s">
        <v>92</v>
      </c>
      <c r="E938" s="41">
        <v>10010082</v>
      </c>
      <c r="F938" s="85" t="s">
        <v>457</v>
      </c>
      <c r="G938" s="39" t="s">
        <v>93</v>
      </c>
      <c r="H938" s="52" t="s">
        <v>94</v>
      </c>
      <c r="I938" s="52">
        <v>1069</v>
      </c>
      <c r="J938" s="49">
        <v>40524.25</v>
      </c>
      <c r="K938" s="58">
        <v>1052.3599999999999</v>
      </c>
      <c r="L938" s="58">
        <v>40102.129962363797</v>
      </c>
      <c r="M938" s="58">
        <v>17.600000000000001</v>
      </c>
      <c r="N938" s="58">
        <v>765.93571574080011</v>
      </c>
      <c r="O938" s="65">
        <v>1069.9599999999998</v>
      </c>
      <c r="P938" s="65">
        <v>40868.065678104598</v>
      </c>
      <c r="Q938" s="50">
        <v>40524.25</v>
      </c>
      <c r="R938" s="65">
        <v>0</v>
      </c>
      <c r="S938" s="65">
        <v>0</v>
      </c>
      <c r="T938" s="65">
        <v>343.81567810459819</v>
      </c>
      <c r="U938" s="65">
        <v>0</v>
      </c>
      <c r="V938" s="65">
        <v>0</v>
      </c>
      <c r="W938" s="65">
        <v>0</v>
      </c>
      <c r="X938" s="65">
        <v>39758</v>
      </c>
      <c r="Y938" s="65">
        <v>766</v>
      </c>
      <c r="Z938" s="65">
        <v>0</v>
      </c>
      <c r="AA938" s="51">
        <v>0</v>
      </c>
      <c r="AB938" s="102">
        <v>0</v>
      </c>
      <c r="AC938" s="81">
        <f t="shared" si="45"/>
        <v>0</v>
      </c>
      <c r="AD938" s="82">
        <f t="shared" si="46"/>
        <v>0</v>
      </c>
      <c r="AE938" s="218">
        <v>-8.4841959593230775E-3</v>
      </c>
      <c r="AF938">
        <v>10</v>
      </c>
      <c r="AH938" t="str">
        <f t="shared" si="44"/>
        <v>Majhaul</v>
      </c>
      <c r="AJ938" s="72">
        <v>0</v>
      </c>
      <c r="AK938" s="72"/>
      <c r="AL938" s="72"/>
      <c r="AM938" s="72"/>
    </row>
    <row r="939" spans="1:39" x14ac:dyDescent="0.25">
      <c r="A939" s="37" t="s">
        <v>62</v>
      </c>
      <c r="B939" s="66" t="s">
        <v>1615</v>
      </c>
      <c r="C939" s="41">
        <v>1001</v>
      </c>
      <c r="D939" s="41" t="s">
        <v>92</v>
      </c>
      <c r="E939" s="41">
        <v>10010084</v>
      </c>
      <c r="F939" s="85" t="s">
        <v>458</v>
      </c>
      <c r="G939" s="39" t="s">
        <v>635</v>
      </c>
      <c r="H939" s="52" t="s">
        <v>99</v>
      </c>
      <c r="I939" s="52">
        <v>199.89999999999998</v>
      </c>
      <c r="J939" s="49">
        <v>6685.2099999999991</v>
      </c>
      <c r="K939" s="58">
        <v>0</v>
      </c>
      <c r="L939" s="58">
        <v>0</v>
      </c>
      <c r="M939" s="58">
        <v>0</v>
      </c>
      <c r="N939" s="58">
        <v>0</v>
      </c>
      <c r="O939" s="65">
        <v>0</v>
      </c>
      <c r="P939" s="65">
        <v>0</v>
      </c>
      <c r="Q939" s="50">
        <v>6685.2099999999991</v>
      </c>
      <c r="R939" s="65">
        <v>0</v>
      </c>
      <c r="S939" s="65">
        <v>0</v>
      </c>
      <c r="T939" s="65">
        <v>0</v>
      </c>
      <c r="U939" s="65">
        <v>0</v>
      </c>
      <c r="V939" s="65">
        <v>0</v>
      </c>
      <c r="W939" s="65">
        <v>0</v>
      </c>
      <c r="X939" s="65">
        <v>0</v>
      </c>
      <c r="Y939" s="65">
        <v>0</v>
      </c>
      <c r="Z939" s="65">
        <v>6685.2099999999991</v>
      </c>
      <c r="AA939" s="51">
        <v>0</v>
      </c>
      <c r="AB939" s="102">
        <v>0</v>
      </c>
      <c r="AC939" s="81">
        <f t="shared" si="45"/>
        <v>334.49459939969978</v>
      </c>
      <c r="AD939" s="82">
        <f t="shared" si="46"/>
        <v>28.557142857142853</v>
      </c>
      <c r="AE939" s="218">
        <v>0</v>
      </c>
      <c r="AF939">
        <v>0</v>
      </c>
      <c r="AH939" t="str">
        <f t="shared" si="44"/>
        <v>Majhaul</v>
      </c>
      <c r="AJ939" s="72">
        <v>0</v>
      </c>
      <c r="AK939" s="72"/>
      <c r="AL939" s="72"/>
      <c r="AM939" s="72"/>
    </row>
    <row r="940" spans="1:39" x14ac:dyDescent="0.25">
      <c r="A940" s="37" t="s">
        <v>62</v>
      </c>
      <c r="B940" s="66" t="s">
        <v>1615</v>
      </c>
      <c r="C940" s="41">
        <v>1058</v>
      </c>
      <c r="D940" s="41" t="s">
        <v>1344</v>
      </c>
      <c r="E940" s="41">
        <v>10010086</v>
      </c>
      <c r="F940" s="85" t="s">
        <v>480</v>
      </c>
      <c r="G940" s="39" t="s">
        <v>93</v>
      </c>
      <c r="H940" s="52" t="s">
        <v>94</v>
      </c>
      <c r="I940" s="52">
        <v>180.79999999999998</v>
      </c>
      <c r="J940" s="49">
        <v>7326.17</v>
      </c>
      <c r="K940" s="58">
        <v>178.83999999999997</v>
      </c>
      <c r="L940" s="58">
        <v>7379.6496003623979</v>
      </c>
      <c r="M940" s="58">
        <v>7.0000000000000009</v>
      </c>
      <c r="N940" s="58">
        <v>279.99535324137503</v>
      </c>
      <c r="O940" s="65">
        <v>185.83999999999997</v>
      </c>
      <c r="P940" s="65">
        <v>7659.6449536037726</v>
      </c>
      <c r="Q940" s="50">
        <v>7326.17</v>
      </c>
      <c r="R940" s="65">
        <v>0</v>
      </c>
      <c r="S940" s="65">
        <v>279.99535324137503</v>
      </c>
      <c r="T940" s="65">
        <v>333.47495360377252</v>
      </c>
      <c r="U940" s="65">
        <v>0</v>
      </c>
      <c r="V940" s="65">
        <v>0</v>
      </c>
      <c r="W940" s="65">
        <v>0</v>
      </c>
      <c r="X940" s="65">
        <v>7046</v>
      </c>
      <c r="Y940" s="65">
        <v>0</v>
      </c>
      <c r="Z940" s="65">
        <v>0</v>
      </c>
      <c r="AA940" s="51">
        <v>0</v>
      </c>
      <c r="AB940" s="102">
        <v>0</v>
      </c>
      <c r="AC940" s="81">
        <f t="shared" si="45"/>
        <v>420.76852477876116</v>
      </c>
      <c r="AD940" s="82">
        <f t="shared" si="46"/>
        <v>25.828571428571426</v>
      </c>
      <c r="AE940" s="218">
        <v>-4.5518320432609741E-2</v>
      </c>
      <c r="AF940">
        <v>9</v>
      </c>
      <c r="AH940" t="str">
        <f t="shared" si="44"/>
        <v>Hasanpur</v>
      </c>
      <c r="AJ940" s="72">
        <v>0</v>
      </c>
      <c r="AK940" s="72"/>
      <c r="AL940" s="72"/>
      <c r="AM940" s="72"/>
    </row>
    <row r="941" spans="1:39" x14ac:dyDescent="0.25">
      <c r="A941" s="37" t="s">
        <v>62</v>
      </c>
      <c r="B941" s="66" t="s">
        <v>1615</v>
      </c>
      <c r="C941" s="41">
        <v>1058</v>
      </c>
      <c r="D941" s="41" t="s">
        <v>1344</v>
      </c>
      <c r="E941" s="41">
        <v>10010087</v>
      </c>
      <c r="F941" s="85" t="s">
        <v>471</v>
      </c>
      <c r="G941" s="39" t="s">
        <v>635</v>
      </c>
      <c r="H941" s="52" t="s">
        <v>99</v>
      </c>
      <c r="I941" s="52">
        <v>115.8</v>
      </c>
      <c r="J941" s="49">
        <v>3371.39</v>
      </c>
      <c r="K941" s="58">
        <v>0</v>
      </c>
      <c r="L941" s="58">
        <v>0</v>
      </c>
      <c r="M941" s="58">
        <v>0</v>
      </c>
      <c r="N941" s="58">
        <v>0</v>
      </c>
      <c r="O941" s="65">
        <v>0</v>
      </c>
      <c r="P941" s="65">
        <v>0</v>
      </c>
      <c r="Q941" s="50">
        <v>3371.39</v>
      </c>
      <c r="R941" s="65">
        <v>0</v>
      </c>
      <c r="S941" s="65">
        <v>0</v>
      </c>
      <c r="T941" s="65">
        <v>0</v>
      </c>
      <c r="U941" s="65">
        <v>0</v>
      </c>
      <c r="V941" s="65">
        <v>206.21862580645143</v>
      </c>
      <c r="W941" s="65">
        <v>0</v>
      </c>
      <c r="X941" s="65">
        <v>0</v>
      </c>
      <c r="Y941" s="65">
        <v>0</v>
      </c>
      <c r="Z941" s="65">
        <v>3165.1713741935482</v>
      </c>
      <c r="AA941" s="51">
        <v>0</v>
      </c>
      <c r="AB941" s="102">
        <v>0</v>
      </c>
      <c r="AC941" s="81">
        <f t="shared" si="45"/>
        <v>340.1668459412781</v>
      </c>
      <c r="AD941" s="82">
        <f t="shared" si="46"/>
        <v>16.542857142857141</v>
      </c>
      <c r="AE941" s="218">
        <v>0</v>
      </c>
      <c r="AF941">
        <v>0</v>
      </c>
      <c r="AH941" t="str">
        <f t="shared" si="44"/>
        <v>Hasanpur</v>
      </c>
      <c r="AJ941" s="72">
        <v>0</v>
      </c>
      <c r="AK941" s="72"/>
      <c r="AL941" s="72"/>
      <c r="AM941" s="72"/>
    </row>
    <row r="942" spans="1:39" x14ac:dyDescent="0.25">
      <c r="A942" s="37" t="s">
        <v>62</v>
      </c>
      <c r="B942" s="66" t="s">
        <v>1615</v>
      </c>
      <c r="C942" s="41">
        <v>1058</v>
      </c>
      <c r="D942" s="41" t="s">
        <v>1344</v>
      </c>
      <c r="E942" s="41">
        <v>10010089</v>
      </c>
      <c r="F942" s="85" t="s">
        <v>481</v>
      </c>
      <c r="G942" s="39" t="s">
        <v>93</v>
      </c>
      <c r="H942" s="52" t="s">
        <v>94</v>
      </c>
      <c r="I942" s="52">
        <v>411.40000000000003</v>
      </c>
      <c r="J942" s="49">
        <v>15574.150000000001</v>
      </c>
      <c r="K942" s="58">
        <v>181.85999999999999</v>
      </c>
      <c r="L942" s="58">
        <v>7071.2203391280009</v>
      </c>
      <c r="M942" s="58">
        <v>227.95999999999998</v>
      </c>
      <c r="N942" s="58">
        <v>8893.9627951639795</v>
      </c>
      <c r="O942" s="65">
        <v>409.81999999999994</v>
      </c>
      <c r="P942" s="65">
        <v>15965.18313429198</v>
      </c>
      <c r="Q942" s="50">
        <v>15574.150000000001</v>
      </c>
      <c r="R942" s="65">
        <v>0</v>
      </c>
      <c r="S942" s="65">
        <v>264.89731886639998</v>
      </c>
      <c r="T942" s="65">
        <v>391.03313429197806</v>
      </c>
      <c r="U942" s="65">
        <v>0</v>
      </c>
      <c r="V942" s="65">
        <v>0</v>
      </c>
      <c r="W942" s="65">
        <v>0</v>
      </c>
      <c r="X942" s="65">
        <v>6681</v>
      </c>
      <c r="Y942" s="65">
        <v>8628</v>
      </c>
      <c r="Z942" s="65">
        <v>0</v>
      </c>
      <c r="AA942" s="51">
        <v>0</v>
      </c>
      <c r="AB942" s="102">
        <v>0</v>
      </c>
      <c r="AC942" s="81">
        <f t="shared" si="45"/>
        <v>218.5075201750121</v>
      </c>
      <c r="AD942" s="82">
        <f t="shared" si="46"/>
        <v>58.771428571428579</v>
      </c>
      <c r="AE942" s="218">
        <v>-2.5107831521590459E-2</v>
      </c>
      <c r="AF942">
        <v>15</v>
      </c>
      <c r="AH942" t="str">
        <f t="shared" si="44"/>
        <v>Hasanpur</v>
      </c>
      <c r="AJ942" s="72">
        <v>0</v>
      </c>
      <c r="AK942" s="72"/>
      <c r="AL942" s="72"/>
      <c r="AM942" s="72"/>
    </row>
    <row r="943" spans="1:39" x14ac:dyDescent="0.25">
      <c r="A943" s="37" t="s">
        <v>62</v>
      </c>
      <c r="B943" s="66" t="s">
        <v>1615</v>
      </c>
      <c r="C943" s="41">
        <v>1001</v>
      </c>
      <c r="D943" s="41" t="s">
        <v>92</v>
      </c>
      <c r="E943" s="41">
        <v>10010092</v>
      </c>
      <c r="F943" s="85" t="s">
        <v>528</v>
      </c>
      <c r="G943" s="39" t="s">
        <v>635</v>
      </c>
      <c r="H943" s="52" t="s">
        <v>99</v>
      </c>
      <c r="I943" s="52">
        <v>450.3</v>
      </c>
      <c r="J943" s="49">
        <v>14974.75</v>
      </c>
      <c r="K943" s="58">
        <v>0</v>
      </c>
      <c r="L943" s="58">
        <v>0</v>
      </c>
      <c r="M943" s="58">
        <v>0</v>
      </c>
      <c r="N943" s="58">
        <v>0</v>
      </c>
      <c r="O943" s="65">
        <v>0</v>
      </c>
      <c r="P943" s="65">
        <v>0</v>
      </c>
      <c r="Q943" s="50">
        <v>14974.75</v>
      </c>
      <c r="R943" s="65">
        <v>0</v>
      </c>
      <c r="S943" s="65">
        <v>0</v>
      </c>
      <c r="T943" s="65">
        <v>0</v>
      </c>
      <c r="U943" s="65">
        <v>0</v>
      </c>
      <c r="V943" s="65">
        <v>55.829322580645467</v>
      </c>
      <c r="W943" s="65">
        <v>0</v>
      </c>
      <c r="X943" s="65">
        <v>0</v>
      </c>
      <c r="Y943" s="65">
        <v>0</v>
      </c>
      <c r="Z943" s="65">
        <v>14918.920677419355</v>
      </c>
      <c r="AA943" s="51">
        <v>0</v>
      </c>
      <c r="AB943" s="102">
        <v>0</v>
      </c>
      <c r="AC943" s="81">
        <f t="shared" si="45"/>
        <v>166.07573062402838</v>
      </c>
      <c r="AD943" s="82">
        <f t="shared" si="46"/>
        <v>64.328571428571436</v>
      </c>
      <c r="AE943" s="218">
        <v>0</v>
      </c>
      <c r="AF943">
        <v>0</v>
      </c>
      <c r="AH943" t="str">
        <f t="shared" ref="AH943:AH1005" si="47">TEXT(D943,"0000")</f>
        <v>Majhaul</v>
      </c>
      <c r="AJ943" s="72">
        <v>0</v>
      </c>
      <c r="AK943" s="72"/>
      <c r="AL943" s="72"/>
      <c r="AM943" s="72"/>
    </row>
    <row r="944" spans="1:39" x14ac:dyDescent="0.25">
      <c r="A944" s="37" t="s">
        <v>62</v>
      </c>
      <c r="B944" s="66" t="s">
        <v>1615</v>
      </c>
      <c r="C944" s="41">
        <v>1058</v>
      </c>
      <c r="D944" s="41" t="s">
        <v>1344</v>
      </c>
      <c r="E944" s="41">
        <v>10010095</v>
      </c>
      <c r="F944" s="85" t="s">
        <v>529</v>
      </c>
      <c r="G944" s="39" t="s">
        <v>93</v>
      </c>
      <c r="H944" s="52" t="s">
        <v>94</v>
      </c>
      <c r="I944" s="52">
        <v>394.50000000000006</v>
      </c>
      <c r="J944" s="49">
        <v>16026.699999999999</v>
      </c>
      <c r="K944" s="58">
        <v>389.24</v>
      </c>
      <c r="L944" s="58">
        <v>15781.88002248</v>
      </c>
      <c r="M944" s="58">
        <v>5</v>
      </c>
      <c r="N944" s="58">
        <v>207.24561</v>
      </c>
      <c r="O944" s="65">
        <v>394.24</v>
      </c>
      <c r="P944" s="65">
        <v>15989.12563248</v>
      </c>
      <c r="Q944" s="50">
        <v>15989.12563248</v>
      </c>
      <c r="R944" s="65">
        <v>0</v>
      </c>
      <c r="S944" s="65">
        <v>207.24561</v>
      </c>
      <c r="T944" s="65">
        <v>0</v>
      </c>
      <c r="U944" s="65">
        <v>0</v>
      </c>
      <c r="V944" s="65">
        <v>0</v>
      </c>
      <c r="W944" s="65">
        <v>0</v>
      </c>
      <c r="X944" s="65">
        <v>15781</v>
      </c>
      <c r="Y944" s="65">
        <v>0</v>
      </c>
      <c r="Z944" s="65">
        <v>0</v>
      </c>
      <c r="AA944" s="51">
        <v>38</v>
      </c>
      <c r="AB944" s="102">
        <v>0</v>
      </c>
      <c r="AC944" s="81">
        <f t="shared" si="45"/>
        <v>248.22087959442325</v>
      </c>
      <c r="AD944" s="82">
        <f t="shared" si="46"/>
        <v>56.357142857142868</v>
      </c>
      <c r="AE944" s="218">
        <v>2.3444856096388662E-3</v>
      </c>
      <c r="AF944">
        <v>3</v>
      </c>
      <c r="AH944" t="str">
        <f t="shared" si="47"/>
        <v>Hasanpur</v>
      </c>
      <c r="AJ944" s="72">
        <v>0</v>
      </c>
      <c r="AK944" s="72"/>
      <c r="AL944" s="72"/>
      <c r="AM944" s="72"/>
    </row>
    <row r="945" spans="1:39" x14ac:dyDescent="0.25">
      <c r="A945" s="37" t="s">
        <v>62</v>
      </c>
      <c r="B945" s="66" t="s">
        <v>1615</v>
      </c>
      <c r="C945" s="41">
        <v>1001</v>
      </c>
      <c r="D945" s="41" t="s">
        <v>92</v>
      </c>
      <c r="E945" s="41">
        <v>10010097</v>
      </c>
      <c r="F945" s="85" t="s">
        <v>534</v>
      </c>
      <c r="G945" s="39" t="s">
        <v>93</v>
      </c>
      <c r="H945" s="52" t="s">
        <v>94</v>
      </c>
      <c r="I945" s="111">
        <v>1285.3</v>
      </c>
      <c r="J945" s="49">
        <v>48191.63</v>
      </c>
      <c r="K945" s="58">
        <v>1304.6600000000003</v>
      </c>
      <c r="L945" s="58">
        <v>48535.019020303349</v>
      </c>
      <c r="M945" s="58">
        <v>2.6</v>
      </c>
      <c r="N945" s="58">
        <v>98.198930016000006</v>
      </c>
      <c r="O945" s="65">
        <v>1307.2600000000002</v>
      </c>
      <c r="P945" s="65">
        <v>48633.217950319347</v>
      </c>
      <c r="Q945" s="50">
        <v>48191.63</v>
      </c>
      <c r="R945" s="65">
        <v>0</v>
      </c>
      <c r="S945" s="65">
        <v>98.198930016000006</v>
      </c>
      <c r="T945" s="65">
        <v>441.58795031935006</v>
      </c>
      <c r="U945" s="65">
        <v>0</v>
      </c>
      <c r="V945" s="65">
        <v>0</v>
      </c>
      <c r="W945" s="65">
        <v>0</v>
      </c>
      <c r="X945" s="65">
        <v>48093</v>
      </c>
      <c r="Y945" s="65">
        <v>0</v>
      </c>
      <c r="Z945" s="65">
        <v>0</v>
      </c>
      <c r="AA945" s="51">
        <v>0</v>
      </c>
      <c r="AB945" s="102">
        <v>0</v>
      </c>
      <c r="AC945" s="81">
        <f t="shared" si="45"/>
        <v>0</v>
      </c>
      <c r="AD945" s="82">
        <f t="shared" si="46"/>
        <v>0</v>
      </c>
      <c r="AE945" s="218">
        <v>-9.1631669300114987E-3</v>
      </c>
      <c r="AF945">
        <v>13</v>
      </c>
      <c r="AH945" t="str">
        <f t="shared" si="47"/>
        <v>Majhaul</v>
      </c>
      <c r="AJ945" s="72">
        <v>0</v>
      </c>
      <c r="AK945" s="72"/>
      <c r="AL945" s="72"/>
      <c r="AM945" s="72"/>
    </row>
    <row r="946" spans="1:39" x14ac:dyDescent="0.25">
      <c r="A946" s="37" t="s">
        <v>62</v>
      </c>
      <c r="B946" s="66" t="s">
        <v>1615</v>
      </c>
      <c r="C946" s="41">
        <v>1058</v>
      </c>
      <c r="D946" s="41" t="s">
        <v>1344</v>
      </c>
      <c r="E946" s="41">
        <v>10010098</v>
      </c>
      <c r="F946" s="85" t="s">
        <v>530</v>
      </c>
      <c r="G946" s="39" t="s">
        <v>93</v>
      </c>
      <c r="H946" s="52" t="s">
        <v>94</v>
      </c>
      <c r="I946" s="52">
        <v>502.2</v>
      </c>
      <c r="J946" s="49">
        <v>19528.379999999997</v>
      </c>
      <c r="K946" s="58">
        <v>499.46</v>
      </c>
      <c r="L946" s="58">
        <v>21035.939034514686</v>
      </c>
      <c r="M946" s="58">
        <v>6.4</v>
      </c>
      <c r="N946" s="58">
        <v>278.67088984348004</v>
      </c>
      <c r="O946" s="65">
        <v>505.85999999999996</v>
      </c>
      <c r="P946" s="65">
        <v>21314.609924358167</v>
      </c>
      <c r="Q946" s="50">
        <v>19528.379999999997</v>
      </c>
      <c r="R946" s="65">
        <v>0</v>
      </c>
      <c r="S946" s="65">
        <v>278.67088984348004</v>
      </c>
      <c r="T946" s="65">
        <v>1786.2299243581692</v>
      </c>
      <c r="U946" s="65">
        <v>0</v>
      </c>
      <c r="V946" s="65">
        <v>0</v>
      </c>
      <c r="W946" s="65">
        <v>0</v>
      </c>
      <c r="X946" s="65">
        <v>19250</v>
      </c>
      <c r="Y946" s="65">
        <v>0</v>
      </c>
      <c r="Z946" s="65">
        <v>0</v>
      </c>
      <c r="AA946" s="51">
        <v>0</v>
      </c>
      <c r="AB946" s="102">
        <v>0</v>
      </c>
      <c r="AC946" s="81">
        <f t="shared" si="45"/>
        <v>153.83168315412181</v>
      </c>
      <c r="AD946" s="82">
        <f t="shared" si="46"/>
        <v>71.742857142857147</v>
      </c>
      <c r="AE946" s="218">
        <v>-9.1468412861597806E-2</v>
      </c>
      <c r="AF946">
        <v>7</v>
      </c>
      <c r="AH946" t="str">
        <f t="shared" si="47"/>
        <v>Hasanpur</v>
      </c>
      <c r="AJ946" s="72">
        <v>0</v>
      </c>
      <c r="AK946" s="72"/>
      <c r="AL946" s="72"/>
      <c r="AM946" s="72"/>
    </row>
    <row r="947" spans="1:39" x14ac:dyDescent="0.25">
      <c r="A947" s="37" t="s">
        <v>62</v>
      </c>
      <c r="B947" s="66" t="s">
        <v>1615</v>
      </c>
      <c r="C947" s="41">
        <v>1058</v>
      </c>
      <c r="D947" s="41" t="s">
        <v>1344</v>
      </c>
      <c r="E947" s="41">
        <v>10010099</v>
      </c>
      <c r="F947" s="85" t="s">
        <v>569</v>
      </c>
      <c r="G947" s="39" t="s">
        <v>93</v>
      </c>
      <c r="H947" s="52" t="s">
        <v>94</v>
      </c>
      <c r="I947" s="49">
        <v>88.100000000000009</v>
      </c>
      <c r="J947" s="49">
        <v>3947.22</v>
      </c>
      <c r="K947" s="58">
        <v>99.200000000000017</v>
      </c>
      <c r="L947" s="58">
        <v>4032.024091920001</v>
      </c>
      <c r="M947" s="58">
        <v>5</v>
      </c>
      <c r="N947" s="58">
        <v>205.92554400000006</v>
      </c>
      <c r="O947" s="65">
        <v>104.20000000000002</v>
      </c>
      <c r="P947" s="65">
        <v>4237.9496359200011</v>
      </c>
      <c r="Q947" s="50">
        <v>3947.22</v>
      </c>
      <c r="R947" s="65">
        <v>0</v>
      </c>
      <c r="S947" s="65">
        <v>205.92554400000006</v>
      </c>
      <c r="T947" s="65">
        <v>290.72963592000133</v>
      </c>
      <c r="U947" s="65">
        <v>0</v>
      </c>
      <c r="V947" s="65">
        <v>261.51288</v>
      </c>
      <c r="W947" s="65">
        <v>0</v>
      </c>
      <c r="X947" s="65">
        <v>3480</v>
      </c>
      <c r="Y947" s="65">
        <v>0</v>
      </c>
      <c r="Z947" s="65">
        <v>0</v>
      </c>
      <c r="AA947" s="51">
        <v>0</v>
      </c>
      <c r="AB947" s="102">
        <v>0</v>
      </c>
      <c r="AC947" s="81">
        <f t="shared" si="45"/>
        <v>548.30962951191816</v>
      </c>
      <c r="AD947" s="82">
        <f t="shared" si="46"/>
        <v>12.585714285714287</v>
      </c>
      <c r="AE947" s="218">
        <v>-7.3654277167221824E-2</v>
      </c>
      <c r="AF947">
        <v>2</v>
      </c>
      <c r="AH947" t="str">
        <f t="shared" si="47"/>
        <v>Hasanpur</v>
      </c>
      <c r="AJ947" s="72">
        <v>0</v>
      </c>
      <c r="AK947" s="72"/>
      <c r="AL947" s="72"/>
      <c r="AM947" s="72"/>
    </row>
    <row r="948" spans="1:39" x14ac:dyDescent="0.25">
      <c r="A948" s="37" t="s">
        <v>62</v>
      </c>
      <c r="B948" s="66" t="s">
        <v>1615</v>
      </c>
      <c r="C948" s="41">
        <v>1001</v>
      </c>
      <c r="D948" s="41" t="s">
        <v>92</v>
      </c>
      <c r="E948" s="41">
        <v>10010108</v>
      </c>
      <c r="F948" s="85" t="s">
        <v>647</v>
      </c>
      <c r="G948" s="39" t="s">
        <v>93</v>
      </c>
      <c r="H948" s="52" t="s">
        <v>94</v>
      </c>
      <c r="I948" s="52">
        <v>114.60000000000001</v>
      </c>
      <c r="J948" s="49">
        <v>4012.66</v>
      </c>
      <c r="K948" s="58">
        <v>119.49000000000004</v>
      </c>
      <c r="L948" s="58">
        <v>4439.7041351256003</v>
      </c>
      <c r="M948" s="58">
        <v>1.47</v>
      </c>
      <c r="N948" s="58">
        <v>54.235132380000003</v>
      </c>
      <c r="O948" s="65">
        <v>120.96000000000004</v>
      </c>
      <c r="P948" s="65">
        <v>4493.9392675056006</v>
      </c>
      <c r="Q948" s="50">
        <v>4012.66</v>
      </c>
      <c r="R948" s="65">
        <v>0</v>
      </c>
      <c r="S948" s="65">
        <v>54.235132380000003</v>
      </c>
      <c r="T948" s="65">
        <v>481.27926750560073</v>
      </c>
      <c r="U948" s="65">
        <v>0</v>
      </c>
      <c r="V948" s="65">
        <v>179.48</v>
      </c>
      <c r="W948" s="65">
        <v>0</v>
      </c>
      <c r="X948" s="65">
        <v>3778</v>
      </c>
      <c r="Y948" s="65">
        <v>0</v>
      </c>
      <c r="Z948" s="65">
        <v>0</v>
      </c>
      <c r="AA948" s="51">
        <v>1</v>
      </c>
      <c r="AB948" s="102" t="s">
        <v>68</v>
      </c>
      <c r="AC948" s="81">
        <f t="shared" si="45"/>
        <v>409.94959232111694</v>
      </c>
      <c r="AD948" s="82">
        <f t="shared" si="46"/>
        <v>16.371428571428574</v>
      </c>
      <c r="AE948" s="218">
        <v>-0.11994020612401766</v>
      </c>
      <c r="AF948">
        <v>2</v>
      </c>
      <c r="AH948" t="str">
        <f t="shared" si="47"/>
        <v>Majhaul</v>
      </c>
      <c r="AJ948" s="72">
        <v>0</v>
      </c>
      <c r="AK948" s="72"/>
      <c r="AL948" s="72"/>
      <c r="AM948" s="72"/>
    </row>
    <row r="949" spans="1:39" x14ac:dyDescent="0.25">
      <c r="A949" s="37" t="s">
        <v>62</v>
      </c>
      <c r="B949" s="66" t="s">
        <v>1615</v>
      </c>
      <c r="C949" s="41">
        <v>1001</v>
      </c>
      <c r="D949" s="41" t="s">
        <v>92</v>
      </c>
      <c r="E949" s="41">
        <v>10010109</v>
      </c>
      <c r="F949" s="85" t="s">
        <v>648</v>
      </c>
      <c r="G949" s="39" t="s">
        <v>635</v>
      </c>
      <c r="H949" s="52" t="s">
        <v>99</v>
      </c>
      <c r="I949" s="52">
        <v>285.59999999999997</v>
      </c>
      <c r="J949" s="49">
        <v>9535.56</v>
      </c>
      <c r="K949" s="58">
        <v>0</v>
      </c>
      <c r="L949" s="58">
        <v>0</v>
      </c>
      <c r="M949" s="58">
        <v>0</v>
      </c>
      <c r="N949" s="58">
        <v>0</v>
      </c>
      <c r="O949" s="65">
        <v>0</v>
      </c>
      <c r="P949" s="65">
        <v>0</v>
      </c>
      <c r="Q949" s="50">
        <v>9535.56</v>
      </c>
      <c r="R949" s="65">
        <v>0</v>
      </c>
      <c r="S949" s="65">
        <v>0</v>
      </c>
      <c r="T949" s="65">
        <v>0</v>
      </c>
      <c r="U949" s="65">
        <v>0</v>
      </c>
      <c r="V949" s="65">
        <v>0</v>
      </c>
      <c r="W949" s="65">
        <v>0</v>
      </c>
      <c r="X949" s="65">
        <v>0</v>
      </c>
      <c r="Y949" s="65">
        <v>0</v>
      </c>
      <c r="Z949" s="65">
        <v>9535.56</v>
      </c>
      <c r="AA949" s="51">
        <v>0</v>
      </c>
      <c r="AB949" s="102">
        <v>0</v>
      </c>
      <c r="AC949" s="81">
        <f t="shared" si="45"/>
        <v>276.71821176470587</v>
      </c>
      <c r="AD949" s="82">
        <f t="shared" si="46"/>
        <v>40.799999999999997</v>
      </c>
      <c r="AE949" s="218">
        <v>0</v>
      </c>
      <c r="AF949">
        <v>0</v>
      </c>
      <c r="AH949" t="str">
        <f t="shared" si="47"/>
        <v>Majhaul</v>
      </c>
      <c r="AJ949" s="72">
        <v>0</v>
      </c>
      <c r="AK949" s="72"/>
      <c r="AL949" s="72"/>
      <c r="AM949" s="72"/>
    </row>
    <row r="950" spans="1:39" x14ac:dyDescent="0.25">
      <c r="A950" s="37" t="s">
        <v>62</v>
      </c>
      <c r="B950" s="66" t="s">
        <v>1615</v>
      </c>
      <c r="C950" s="41">
        <v>1001</v>
      </c>
      <c r="D950" s="41" t="s">
        <v>92</v>
      </c>
      <c r="E950" s="41">
        <v>10010113</v>
      </c>
      <c r="F950" s="85" t="s">
        <v>824</v>
      </c>
      <c r="G950" s="39" t="s">
        <v>93</v>
      </c>
      <c r="H950" s="52" t="s">
        <v>94</v>
      </c>
      <c r="I950" s="52">
        <v>806.10000000000014</v>
      </c>
      <c r="J950" s="49">
        <v>31416.21</v>
      </c>
      <c r="K950" s="58">
        <v>806.75000000000011</v>
      </c>
      <c r="L950" s="58">
        <v>32518.973805100639</v>
      </c>
      <c r="M950" s="58">
        <v>5.04</v>
      </c>
      <c r="N950" s="58">
        <v>203.93107218000006</v>
      </c>
      <c r="O950" s="65">
        <v>811.79000000000008</v>
      </c>
      <c r="P950" s="65">
        <v>32722.904877280638</v>
      </c>
      <c r="Q950" s="50">
        <v>31416.21</v>
      </c>
      <c r="R950" s="65">
        <v>0</v>
      </c>
      <c r="S950" s="65">
        <v>203.93107218000006</v>
      </c>
      <c r="T950" s="65">
        <v>1306.694877280639</v>
      </c>
      <c r="U950" s="65">
        <v>0</v>
      </c>
      <c r="V950" s="65">
        <v>0</v>
      </c>
      <c r="W950" s="65">
        <v>0</v>
      </c>
      <c r="X950" s="65">
        <v>31212</v>
      </c>
      <c r="Y950" s="65">
        <v>0</v>
      </c>
      <c r="Z950" s="65">
        <v>0</v>
      </c>
      <c r="AA950" s="51">
        <v>0</v>
      </c>
      <c r="AB950" s="102">
        <v>0</v>
      </c>
      <c r="AC950" s="81">
        <f t="shared" si="45"/>
        <v>0</v>
      </c>
      <c r="AD950" s="82">
        <f t="shared" si="46"/>
        <v>0</v>
      </c>
      <c r="AE950" s="218">
        <v>-4.159301447503181E-2</v>
      </c>
      <c r="AF950">
        <v>24</v>
      </c>
      <c r="AH950" t="str">
        <f t="shared" si="47"/>
        <v>Majhaul</v>
      </c>
      <c r="AJ950" s="72">
        <v>0</v>
      </c>
      <c r="AK950" s="72"/>
      <c r="AL950" s="72"/>
      <c r="AM950" s="72"/>
    </row>
    <row r="951" spans="1:39" x14ac:dyDescent="0.25">
      <c r="A951" s="37" t="s">
        <v>62</v>
      </c>
      <c r="B951" s="66" t="s">
        <v>1615</v>
      </c>
      <c r="C951" s="41">
        <v>1001</v>
      </c>
      <c r="D951" s="41" t="s">
        <v>92</v>
      </c>
      <c r="E951" s="41">
        <v>10010116</v>
      </c>
      <c r="F951" s="85" t="s">
        <v>845</v>
      </c>
      <c r="G951" s="39" t="s">
        <v>635</v>
      </c>
      <c r="H951" s="52" t="s">
        <v>99</v>
      </c>
      <c r="I951" s="52">
        <v>740.59999999999991</v>
      </c>
      <c r="J951" s="49">
        <v>27489.459999999995</v>
      </c>
      <c r="K951" s="58">
        <v>0</v>
      </c>
      <c r="L951" s="58">
        <v>0</v>
      </c>
      <c r="M951" s="58">
        <v>0</v>
      </c>
      <c r="N951" s="58">
        <v>0</v>
      </c>
      <c r="O951" s="65">
        <v>0</v>
      </c>
      <c r="P951" s="65">
        <v>0</v>
      </c>
      <c r="Q951" s="50">
        <v>27489.459999999995</v>
      </c>
      <c r="R951" s="65">
        <v>0</v>
      </c>
      <c r="S951" s="65">
        <v>0</v>
      </c>
      <c r="T951" s="65">
        <v>0</v>
      </c>
      <c r="U951" s="65">
        <v>0</v>
      </c>
      <c r="V951" s="65">
        <v>0</v>
      </c>
      <c r="W951" s="65">
        <v>0</v>
      </c>
      <c r="X951" s="65">
        <v>0</v>
      </c>
      <c r="Y951" s="65">
        <v>0</v>
      </c>
      <c r="Z951" s="65">
        <v>27489.459999999995</v>
      </c>
      <c r="AA951" s="51">
        <v>0</v>
      </c>
      <c r="AB951" s="102">
        <v>0</v>
      </c>
      <c r="AC951" s="81">
        <f t="shared" si="45"/>
        <v>0</v>
      </c>
      <c r="AD951" s="82">
        <f t="shared" si="46"/>
        <v>0</v>
      </c>
      <c r="AE951" s="218">
        <v>0</v>
      </c>
      <c r="AF951">
        <v>0</v>
      </c>
      <c r="AH951" t="str">
        <f t="shared" si="47"/>
        <v>Majhaul</v>
      </c>
      <c r="AJ951" s="72">
        <v>0</v>
      </c>
      <c r="AK951" s="72"/>
      <c r="AL951" s="72"/>
      <c r="AM951" s="72"/>
    </row>
    <row r="952" spans="1:39" x14ac:dyDescent="0.25">
      <c r="A952" s="37" t="s">
        <v>62</v>
      </c>
      <c r="B952" s="66" t="s">
        <v>1615</v>
      </c>
      <c r="C952" s="41">
        <v>1001</v>
      </c>
      <c r="D952" s="41" t="s">
        <v>92</v>
      </c>
      <c r="E952" s="41">
        <v>10010121</v>
      </c>
      <c r="F952" s="85" t="s">
        <v>1139</v>
      </c>
      <c r="G952" s="39" t="s">
        <v>93</v>
      </c>
      <c r="H952" s="52" t="s">
        <v>94</v>
      </c>
      <c r="I952" s="52">
        <v>905</v>
      </c>
      <c r="J952" s="49">
        <v>33329.789999999994</v>
      </c>
      <c r="K952" s="58">
        <v>911.31999999999982</v>
      </c>
      <c r="L952" s="58">
        <v>33976.282936464006</v>
      </c>
      <c r="M952" s="58">
        <v>5.86</v>
      </c>
      <c r="N952" s="58">
        <v>219.72678591600004</v>
      </c>
      <c r="O952" s="65">
        <v>917.17999999999984</v>
      </c>
      <c r="P952" s="65">
        <v>34196.009722380004</v>
      </c>
      <c r="Q952" s="50">
        <v>33329.789999999994</v>
      </c>
      <c r="R952" s="65">
        <v>0</v>
      </c>
      <c r="S952" s="65">
        <v>219.72678591600004</v>
      </c>
      <c r="T952" s="65">
        <v>866.21972238001035</v>
      </c>
      <c r="U952" s="65">
        <v>0</v>
      </c>
      <c r="V952" s="65">
        <v>0</v>
      </c>
      <c r="W952" s="65">
        <v>0</v>
      </c>
      <c r="X952" s="65">
        <v>33110</v>
      </c>
      <c r="Y952" s="65">
        <v>0</v>
      </c>
      <c r="Z952" s="65">
        <v>0</v>
      </c>
      <c r="AA952" s="51">
        <v>0</v>
      </c>
      <c r="AB952" s="102">
        <v>0</v>
      </c>
      <c r="AC952" s="81">
        <f t="shared" si="45"/>
        <v>0</v>
      </c>
      <c r="AD952" s="82">
        <f t="shared" si="46"/>
        <v>0</v>
      </c>
      <c r="AE952" s="218">
        <v>-2.5989354339766634E-2</v>
      </c>
      <c r="AF952">
        <v>11</v>
      </c>
      <c r="AH952" t="str">
        <f t="shared" si="47"/>
        <v>Majhaul</v>
      </c>
      <c r="AJ952" s="72">
        <v>0</v>
      </c>
      <c r="AK952" s="72"/>
      <c r="AL952" s="72"/>
      <c r="AM952" s="72"/>
    </row>
    <row r="953" spans="1:39" x14ac:dyDescent="0.25">
      <c r="A953" s="37" t="s">
        <v>62</v>
      </c>
      <c r="B953" s="66" t="s">
        <v>1615</v>
      </c>
      <c r="C953" s="41">
        <v>1001</v>
      </c>
      <c r="D953" s="41" t="s">
        <v>92</v>
      </c>
      <c r="E953" s="41">
        <v>10010125</v>
      </c>
      <c r="F953" s="85" t="s">
        <v>1149</v>
      </c>
      <c r="G953" s="39" t="s">
        <v>635</v>
      </c>
      <c r="H953" s="52" t="s">
        <v>99</v>
      </c>
      <c r="I953" s="52">
        <v>201.9</v>
      </c>
      <c r="J953" s="49">
        <v>7259.85</v>
      </c>
      <c r="K953" s="58">
        <v>0</v>
      </c>
      <c r="L953" s="58">
        <v>0</v>
      </c>
      <c r="M953" s="58">
        <v>0</v>
      </c>
      <c r="N953" s="58">
        <v>0</v>
      </c>
      <c r="O953" s="65">
        <v>0</v>
      </c>
      <c r="P953" s="65">
        <v>0</v>
      </c>
      <c r="Q953" s="50">
        <v>7259.85</v>
      </c>
      <c r="R953" s="65">
        <v>0</v>
      </c>
      <c r="S953" s="65">
        <v>0</v>
      </c>
      <c r="T953" s="65">
        <v>0</v>
      </c>
      <c r="U953" s="65">
        <v>0</v>
      </c>
      <c r="V953" s="65">
        <v>836.99129032258031</v>
      </c>
      <c r="W953" s="65">
        <v>0</v>
      </c>
      <c r="X953" s="65">
        <v>0</v>
      </c>
      <c r="Y953" s="65">
        <v>0</v>
      </c>
      <c r="Z953" s="65">
        <v>6422.8587096774199</v>
      </c>
      <c r="AA953" s="51">
        <v>0</v>
      </c>
      <c r="AB953" s="102">
        <v>0</v>
      </c>
      <c r="AC953" s="81">
        <f t="shared" si="45"/>
        <v>358.210132243685</v>
      </c>
      <c r="AD953" s="82">
        <f t="shared" si="46"/>
        <v>28.842857142857145</v>
      </c>
      <c r="AE953" s="218">
        <v>0</v>
      </c>
      <c r="AF953">
        <v>0</v>
      </c>
      <c r="AH953" t="str">
        <f t="shared" si="47"/>
        <v>Majhaul</v>
      </c>
      <c r="AJ953" s="72">
        <v>0</v>
      </c>
      <c r="AK953" s="72"/>
      <c r="AL953" s="72"/>
      <c r="AM953" s="72"/>
    </row>
    <row r="954" spans="1:39" x14ac:dyDescent="0.25">
      <c r="A954" s="37" t="s">
        <v>62</v>
      </c>
      <c r="B954" s="66" t="s">
        <v>1615</v>
      </c>
      <c r="C954" s="41">
        <v>1001</v>
      </c>
      <c r="D954" s="41" t="s">
        <v>92</v>
      </c>
      <c r="E954" s="41">
        <v>10010128</v>
      </c>
      <c r="F954" s="85" t="s">
        <v>1150</v>
      </c>
      <c r="G954" s="39" t="s">
        <v>93</v>
      </c>
      <c r="H954" s="52" t="s">
        <v>94</v>
      </c>
      <c r="I954" s="52">
        <v>1125.2</v>
      </c>
      <c r="J954" s="49">
        <v>45609.56</v>
      </c>
      <c r="K954" s="58">
        <v>1183.6299999999999</v>
      </c>
      <c r="L954" s="58">
        <v>50999.111401777503</v>
      </c>
      <c r="M954" s="58">
        <v>1.1200000000000001</v>
      </c>
      <c r="N954" s="58">
        <v>44.648936640000009</v>
      </c>
      <c r="O954" s="65">
        <v>1184.7499999999998</v>
      </c>
      <c r="P954" s="65">
        <v>51043.760338417502</v>
      </c>
      <c r="Q954" s="50">
        <v>45609.56</v>
      </c>
      <c r="R954" s="65">
        <v>0</v>
      </c>
      <c r="S954" s="65">
        <v>44.648936640000009</v>
      </c>
      <c r="T954" s="65">
        <v>5434.2003384175041</v>
      </c>
      <c r="U954" s="65">
        <v>0</v>
      </c>
      <c r="V954" s="65">
        <v>0</v>
      </c>
      <c r="W954" s="65">
        <v>0</v>
      </c>
      <c r="X954" s="65">
        <v>45565</v>
      </c>
      <c r="Y954" s="65">
        <v>0</v>
      </c>
      <c r="Z954" s="65">
        <v>0</v>
      </c>
      <c r="AA954" s="51">
        <v>0</v>
      </c>
      <c r="AB954" s="102">
        <v>0</v>
      </c>
      <c r="AC954" s="81">
        <f t="shared" si="45"/>
        <v>0</v>
      </c>
      <c r="AD954" s="82">
        <f t="shared" si="46"/>
        <v>0</v>
      </c>
      <c r="AE954" s="218">
        <v>-0.11914608118160983</v>
      </c>
      <c r="AF954">
        <v>5</v>
      </c>
      <c r="AH954" t="str">
        <f t="shared" si="47"/>
        <v>Majhaul</v>
      </c>
      <c r="AJ954" s="72">
        <v>0</v>
      </c>
      <c r="AK954" s="72"/>
      <c r="AL954" s="72"/>
      <c r="AM954" s="72"/>
    </row>
    <row r="955" spans="1:39" x14ac:dyDescent="0.25">
      <c r="A955" s="37" t="s">
        <v>62</v>
      </c>
      <c r="B955" s="66" t="s">
        <v>1615</v>
      </c>
      <c r="C955" s="41">
        <v>1001</v>
      </c>
      <c r="D955" s="41" t="s">
        <v>92</v>
      </c>
      <c r="E955" s="41">
        <v>10010129</v>
      </c>
      <c r="F955" s="85" t="s">
        <v>1151</v>
      </c>
      <c r="G955" s="39" t="s">
        <v>635</v>
      </c>
      <c r="H955" s="52" t="s">
        <v>99</v>
      </c>
      <c r="I955" s="52">
        <v>983.10000000000014</v>
      </c>
      <c r="J955" s="49">
        <v>37291.109999999993</v>
      </c>
      <c r="K955" s="58">
        <v>0</v>
      </c>
      <c r="L955" s="58">
        <v>0</v>
      </c>
      <c r="M955" s="58">
        <v>0</v>
      </c>
      <c r="N955" s="58">
        <v>0</v>
      </c>
      <c r="O955" s="65">
        <v>0</v>
      </c>
      <c r="P955" s="65">
        <v>0</v>
      </c>
      <c r="Q955" s="50">
        <v>37291.109999999993</v>
      </c>
      <c r="R955" s="65">
        <v>0</v>
      </c>
      <c r="S955" s="65">
        <v>0</v>
      </c>
      <c r="T955" s="65">
        <v>0</v>
      </c>
      <c r="U955" s="65">
        <v>0</v>
      </c>
      <c r="V955" s="65">
        <v>0</v>
      </c>
      <c r="W955" s="65">
        <v>0</v>
      </c>
      <c r="X955" s="65">
        <v>0</v>
      </c>
      <c r="Y955" s="65">
        <v>0</v>
      </c>
      <c r="Z955" s="65">
        <v>37291.109999999993</v>
      </c>
      <c r="AA955" s="51">
        <v>0</v>
      </c>
      <c r="AB955" s="102">
        <v>0</v>
      </c>
      <c r="AC955" s="81">
        <f t="shared" si="45"/>
        <v>0</v>
      </c>
      <c r="AD955" s="82">
        <f t="shared" si="46"/>
        <v>0</v>
      </c>
      <c r="AE955" s="218">
        <v>0</v>
      </c>
      <c r="AF955">
        <v>0</v>
      </c>
      <c r="AH955" t="str">
        <f t="shared" si="47"/>
        <v>Majhaul</v>
      </c>
      <c r="AJ955" s="72">
        <v>0</v>
      </c>
      <c r="AK955" s="72"/>
      <c r="AL955" s="72"/>
      <c r="AM955" s="72"/>
    </row>
    <row r="956" spans="1:39" x14ac:dyDescent="0.25">
      <c r="A956" s="37" t="s">
        <v>62</v>
      </c>
      <c r="B956" s="66" t="s">
        <v>1615</v>
      </c>
      <c r="C956" s="41">
        <v>1001</v>
      </c>
      <c r="D956" s="41" t="s">
        <v>92</v>
      </c>
      <c r="E956" s="41">
        <v>10010130</v>
      </c>
      <c r="F956" s="85" t="s">
        <v>1174</v>
      </c>
      <c r="G956" s="39" t="s">
        <v>635</v>
      </c>
      <c r="H956" s="52" t="s">
        <v>99</v>
      </c>
      <c r="I956" s="52">
        <v>440.49999999999989</v>
      </c>
      <c r="J956" s="49">
        <v>16233.960000000003</v>
      </c>
      <c r="K956" s="58">
        <v>0</v>
      </c>
      <c r="L956" s="58">
        <v>0</v>
      </c>
      <c r="M956" s="58">
        <v>0</v>
      </c>
      <c r="N956" s="58">
        <v>0</v>
      </c>
      <c r="O956" s="65">
        <v>0</v>
      </c>
      <c r="P956" s="65">
        <v>0</v>
      </c>
      <c r="Q956" s="50">
        <v>16233.960000000003</v>
      </c>
      <c r="R956" s="65">
        <v>0</v>
      </c>
      <c r="S956" s="65">
        <v>0</v>
      </c>
      <c r="T956" s="65">
        <v>0</v>
      </c>
      <c r="U956" s="65">
        <v>0</v>
      </c>
      <c r="V956" s="65">
        <v>116.58869032258059</v>
      </c>
      <c r="W956" s="65">
        <v>0</v>
      </c>
      <c r="X956" s="65">
        <v>0</v>
      </c>
      <c r="Y956" s="65">
        <v>0</v>
      </c>
      <c r="Z956" s="65">
        <v>16117.371309677423</v>
      </c>
      <c r="AA956" s="51">
        <v>0</v>
      </c>
      <c r="AB956" s="102">
        <v>0</v>
      </c>
      <c r="AC956" s="81">
        <f t="shared" si="45"/>
        <v>191.26958547105579</v>
      </c>
      <c r="AD956" s="82">
        <f t="shared" si="46"/>
        <v>62.928571428571409</v>
      </c>
      <c r="AE956" s="218">
        <v>0</v>
      </c>
      <c r="AF956">
        <v>0</v>
      </c>
      <c r="AH956" t="str">
        <f t="shared" si="47"/>
        <v>Majhaul</v>
      </c>
      <c r="AJ956" s="72">
        <v>0</v>
      </c>
      <c r="AK956" s="72"/>
      <c r="AL956" s="72"/>
      <c r="AM956" s="72"/>
    </row>
    <row r="957" spans="1:39" x14ac:dyDescent="0.25">
      <c r="A957" s="37" t="s">
        <v>62</v>
      </c>
      <c r="B957" s="66" t="s">
        <v>1615</v>
      </c>
      <c r="C957" s="41">
        <v>1001</v>
      </c>
      <c r="D957" s="41" t="s">
        <v>92</v>
      </c>
      <c r="E957" s="41">
        <v>10010131</v>
      </c>
      <c r="F957" s="85" t="s">
        <v>1175</v>
      </c>
      <c r="G957" s="39" t="s">
        <v>635</v>
      </c>
      <c r="H957" s="52" t="s">
        <v>99</v>
      </c>
      <c r="I957" s="52">
        <v>521.5</v>
      </c>
      <c r="J957" s="49">
        <v>18530.71</v>
      </c>
      <c r="K957" s="58">
        <v>0</v>
      </c>
      <c r="L957" s="58">
        <v>0</v>
      </c>
      <c r="M957" s="58">
        <v>0</v>
      </c>
      <c r="N957" s="58">
        <v>0</v>
      </c>
      <c r="O957" s="65">
        <v>0</v>
      </c>
      <c r="P957" s="65">
        <v>0</v>
      </c>
      <c r="Q957" s="50">
        <v>18530.71</v>
      </c>
      <c r="R957" s="65">
        <v>0</v>
      </c>
      <c r="S957" s="65">
        <v>0</v>
      </c>
      <c r="T957" s="65">
        <v>0</v>
      </c>
      <c r="U957" s="65">
        <v>0</v>
      </c>
      <c r="V957" s="65">
        <v>0</v>
      </c>
      <c r="W957" s="65">
        <v>0</v>
      </c>
      <c r="X957" s="65">
        <v>0</v>
      </c>
      <c r="Y957" s="65">
        <v>0</v>
      </c>
      <c r="Z957" s="65">
        <v>18530.71</v>
      </c>
      <c r="AA957" s="51">
        <v>0</v>
      </c>
      <c r="AB957" s="102">
        <v>0</v>
      </c>
      <c r="AC957" s="81">
        <f t="shared" si="45"/>
        <v>126.85452483221476</v>
      </c>
      <c r="AD957" s="82">
        <f t="shared" si="46"/>
        <v>74.5</v>
      </c>
      <c r="AE957" s="218">
        <v>0</v>
      </c>
      <c r="AF957">
        <v>0</v>
      </c>
      <c r="AH957" t="str">
        <f t="shared" si="47"/>
        <v>Majhaul</v>
      </c>
      <c r="AJ957" s="72">
        <v>0</v>
      </c>
      <c r="AK957" s="72"/>
      <c r="AL957" s="72"/>
      <c r="AM957" s="72"/>
    </row>
    <row r="958" spans="1:39" x14ac:dyDescent="0.25">
      <c r="A958" s="37" t="s">
        <v>62</v>
      </c>
      <c r="B958" s="66" t="s">
        <v>1615</v>
      </c>
      <c r="C958" s="41">
        <v>1001</v>
      </c>
      <c r="D958" s="41" t="s">
        <v>92</v>
      </c>
      <c r="E958" s="41">
        <v>10010140</v>
      </c>
      <c r="F958" s="85" t="s">
        <v>1283</v>
      </c>
      <c r="G958" s="39" t="s">
        <v>93</v>
      </c>
      <c r="H958" s="52" t="s">
        <v>94</v>
      </c>
      <c r="I958" s="52">
        <v>290</v>
      </c>
      <c r="J958" s="49">
        <v>11710.439999999999</v>
      </c>
      <c r="K958" s="58">
        <v>293.20000000000005</v>
      </c>
      <c r="L958" s="58">
        <v>11692.195104558212</v>
      </c>
      <c r="M958" s="58">
        <v>0</v>
      </c>
      <c r="N958" s="58">
        <v>0</v>
      </c>
      <c r="O958" s="65">
        <v>293.20000000000005</v>
      </c>
      <c r="P958" s="65">
        <v>11692.195104558212</v>
      </c>
      <c r="Q958" s="50">
        <v>11692.195104558212</v>
      </c>
      <c r="R958" s="65">
        <v>0</v>
      </c>
      <c r="S958" s="65">
        <v>0</v>
      </c>
      <c r="T958" s="65">
        <v>0</v>
      </c>
      <c r="U958" s="65">
        <v>0</v>
      </c>
      <c r="V958" s="65">
        <v>0</v>
      </c>
      <c r="W958" s="65">
        <v>0</v>
      </c>
      <c r="X958" s="65">
        <v>11693</v>
      </c>
      <c r="Y958" s="65">
        <v>0</v>
      </c>
      <c r="Z958" s="65">
        <v>0</v>
      </c>
      <c r="AA958" s="51">
        <v>17</v>
      </c>
      <c r="AB958" s="102">
        <v>0</v>
      </c>
      <c r="AC958" s="81">
        <f t="shared" si="45"/>
        <v>331.12278620689648</v>
      </c>
      <c r="AD958" s="82">
        <f t="shared" si="46"/>
        <v>41.428571428571431</v>
      </c>
      <c r="AE958" s="218">
        <v>1.558002555137712E-3</v>
      </c>
      <c r="AF958">
        <v>8</v>
      </c>
      <c r="AH958" t="str">
        <f t="shared" si="47"/>
        <v>Majhaul</v>
      </c>
      <c r="AJ958" s="72">
        <v>0</v>
      </c>
      <c r="AK958" s="72"/>
      <c r="AL958" s="72"/>
      <c r="AM958" s="72"/>
    </row>
    <row r="959" spans="1:39" x14ac:dyDescent="0.25">
      <c r="A959" s="37" t="s">
        <v>62</v>
      </c>
      <c r="B959" s="66" t="s">
        <v>1615</v>
      </c>
      <c r="C959" s="41">
        <v>1001</v>
      </c>
      <c r="D959" s="41" t="s">
        <v>92</v>
      </c>
      <c r="E959" s="41">
        <v>10010141</v>
      </c>
      <c r="F959" s="85" t="s">
        <v>1346</v>
      </c>
      <c r="G959" s="39" t="s">
        <v>93</v>
      </c>
      <c r="H959" s="52" t="s">
        <v>94</v>
      </c>
      <c r="I959" s="52">
        <v>163.90000000000003</v>
      </c>
      <c r="J959" s="49">
        <v>6285.89</v>
      </c>
      <c r="K959" s="58">
        <v>164.95</v>
      </c>
      <c r="L959" s="58">
        <v>6321.4822494809805</v>
      </c>
      <c r="M959" s="58">
        <v>0</v>
      </c>
      <c r="N959" s="58">
        <v>0</v>
      </c>
      <c r="O959" s="65">
        <v>164.95</v>
      </c>
      <c r="P959" s="65">
        <v>6321.4822494809805</v>
      </c>
      <c r="Q959" s="50">
        <v>6285.89</v>
      </c>
      <c r="R959" s="65">
        <v>0</v>
      </c>
      <c r="S959" s="65">
        <v>0</v>
      </c>
      <c r="T959" s="65">
        <v>35.592249480980172</v>
      </c>
      <c r="U959" s="65">
        <v>0</v>
      </c>
      <c r="V959" s="65">
        <v>7.2224950819668372</v>
      </c>
      <c r="W959" s="65">
        <v>0</v>
      </c>
      <c r="X959" s="65">
        <v>6279</v>
      </c>
      <c r="Y959" s="65">
        <v>0</v>
      </c>
      <c r="Z959" s="65">
        <v>0</v>
      </c>
      <c r="AA959" s="51">
        <v>0</v>
      </c>
      <c r="AB959" s="102">
        <v>0</v>
      </c>
      <c r="AC959" s="81">
        <f t="shared" si="45"/>
        <v>411.20996082977422</v>
      </c>
      <c r="AD959" s="82">
        <f t="shared" si="46"/>
        <v>23.414285714285718</v>
      </c>
      <c r="AE959" s="218">
        <v>-5.6622450410331983E-3</v>
      </c>
      <c r="AF959">
        <v>8</v>
      </c>
      <c r="AH959" t="str">
        <f t="shared" si="47"/>
        <v>Majhaul</v>
      </c>
      <c r="AJ959" s="72">
        <v>0</v>
      </c>
      <c r="AK959" s="72"/>
      <c r="AL959" s="72"/>
      <c r="AM959" s="72"/>
    </row>
    <row r="960" spans="1:39" x14ac:dyDescent="0.25">
      <c r="A960" s="37" t="s">
        <v>62</v>
      </c>
      <c r="B960" s="66" t="s">
        <v>1615</v>
      </c>
      <c r="C960" s="41">
        <v>1001</v>
      </c>
      <c r="D960" s="41" t="s">
        <v>92</v>
      </c>
      <c r="E960" s="41">
        <v>10010143</v>
      </c>
      <c r="F960" s="85" t="s">
        <v>491</v>
      </c>
      <c r="G960" s="39" t="s">
        <v>93</v>
      </c>
      <c r="H960" s="52" t="s">
        <v>94</v>
      </c>
      <c r="I960" s="52">
        <v>150.69999999999999</v>
      </c>
      <c r="J960" s="49">
        <v>5288.58</v>
      </c>
      <c r="K960" s="58">
        <v>141.91</v>
      </c>
      <c r="L960" s="58">
        <v>5607.5272796675999</v>
      </c>
      <c r="M960" s="58">
        <v>0</v>
      </c>
      <c r="N960" s="58">
        <v>0</v>
      </c>
      <c r="O960" s="65">
        <v>141.91</v>
      </c>
      <c r="P960" s="65">
        <v>5607.5272796675999</v>
      </c>
      <c r="Q960" s="50">
        <v>5288.58</v>
      </c>
      <c r="R960" s="65">
        <v>0</v>
      </c>
      <c r="S960" s="65">
        <v>0</v>
      </c>
      <c r="T960" s="65">
        <v>318.94727966760001</v>
      </c>
      <c r="U960" s="65">
        <v>0</v>
      </c>
      <c r="V960" s="65">
        <v>0</v>
      </c>
      <c r="W960" s="65">
        <v>0</v>
      </c>
      <c r="X960" s="65">
        <v>5289</v>
      </c>
      <c r="Y960" s="65">
        <v>0</v>
      </c>
      <c r="Z960" s="65">
        <v>0</v>
      </c>
      <c r="AA960" s="51">
        <v>0</v>
      </c>
      <c r="AB960" s="102">
        <v>0</v>
      </c>
      <c r="AC960" s="81">
        <f t="shared" si="45"/>
        <v>385.53642919708039</v>
      </c>
      <c r="AD960" s="82">
        <f t="shared" si="46"/>
        <v>21.528571428571428</v>
      </c>
      <c r="AE960" s="218">
        <v>-6.030868014998355E-2</v>
      </c>
      <c r="AF960">
        <v>4</v>
      </c>
      <c r="AH960" t="str">
        <f t="shared" si="47"/>
        <v>Majhaul</v>
      </c>
      <c r="AJ960" s="72">
        <v>0</v>
      </c>
      <c r="AK960" s="72"/>
      <c r="AL960" s="72"/>
      <c r="AM960" s="72"/>
    </row>
    <row r="961" spans="1:39" x14ac:dyDescent="0.25">
      <c r="A961" s="37" t="s">
        <v>62</v>
      </c>
      <c r="B961" s="66" t="s">
        <v>1615</v>
      </c>
      <c r="C961" s="41">
        <v>1001</v>
      </c>
      <c r="D961" s="41" t="s">
        <v>92</v>
      </c>
      <c r="E961" s="41">
        <v>10010144</v>
      </c>
      <c r="F961" s="85" t="s">
        <v>1487</v>
      </c>
      <c r="G961" s="39" t="s">
        <v>93</v>
      </c>
      <c r="H961" s="52" t="s">
        <v>94</v>
      </c>
      <c r="I961" s="52">
        <v>34.400000000000006</v>
      </c>
      <c r="J961" s="49">
        <v>992.01999999999987</v>
      </c>
      <c r="K961" s="58">
        <v>40</v>
      </c>
      <c r="L961" s="58">
        <v>1118.9875641120002</v>
      </c>
      <c r="M961" s="58">
        <v>0</v>
      </c>
      <c r="N961" s="58">
        <v>0</v>
      </c>
      <c r="O961" s="65">
        <v>40</v>
      </c>
      <c r="P961" s="65">
        <v>1118.9875641120002</v>
      </c>
      <c r="Q961" s="50">
        <v>992.01999999999987</v>
      </c>
      <c r="R961" s="65">
        <v>0</v>
      </c>
      <c r="S961" s="65">
        <v>0</v>
      </c>
      <c r="T961" s="65">
        <v>126.96756411200033</v>
      </c>
      <c r="U961" s="65">
        <v>0</v>
      </c>
      <c r="V961" s="65">
        <v>0</v>
      </c>
      <c r="W961" s="65">
        <v>0</v>
      </c>
      <c r="X961" s="65">
        <v>992</v>
      </c>
      <c r="Y961" s="65">
        <v>0</v>
      </c>
      <c r="Z961" s="65">
        <v>0</v>
      </c>
      <c r="AA961" s="51">
        <v>0</v>
      </c>
      <c r="AB961" s="102" t="s">
        <v>68</v>
      </c>
      <c r="AC961" s="81">
        <f t="shared" si="45"/>
        <v>383.88866976744174</v>
      </c>
      <c r="AD961" s="82">
        <f t="shared" si="46"/>
        <v>4.9142857142857155</v>
      </c>
      <c r="AE961" s="218">
        <v>-0.12798891565895884</v>
      </c>
      <c r="AF961">
        <v>2</v>
      </c>
      <c r="AH961" t="str">
        <f t="shared" si="47"/>
        <v>Majhaul</v>
      </c>
      <c r="AJ961" s="72">
        <v>0</v>
      </c>
      <c r="AK961" s="72"/>
      <c r="AL961" s="72"/>
      <c r="AM961" s="72"/>
    </row>
    <row r="962" spans="1:39" x14ac:dyDescent="0.25">
      <c r="A962" s="37" t="s">
        <v>62</v>
      </c>
      <c r="B962" s="66" t="s">
        <v>1615</v>
      </c>
      <c r="C962" s="41">
        <v>1001</v>
      </c>
      <c r="D962" s="41" t="s">
        <v>92</v>
      </c>
      <c r="E962" s="41">
        <v>10010145</v>
      </c>
      <c r="F962" s="85" t="s">
        <v>511</v>
      </c>
      <c r="G962" s="39" t="s">
        <v>93</v>
      </c>
      <c r="H962" s="52" t="s">
        <v>94</v>
      </c>
      <c r="I962" s="52">
        <v>317.89999999999998</v>
      </c>
      <c r="J962" s="49">
        <v>12084.989999999998</v>
      </c>
      <c r="K962" s="58">
        <v>313.40999999999997</v>
      </c>
      <c r="L962" s="58">
        <v>11774.741291025897</v>
      </c>
      <c r="M962" s="58">
        <v>4.4400000000000004</v>
      </c>
      <c r="N962" s="58">
        <v>163.03637023740004</v>
      </c>
      <c r="O962" s="65">
        <v>317.84999999999997</v>
      </c>
      <c r="P962" s="65">
        <v>11937.777661263297</v>
      </c>
      <c r="Q962" s="50">
        <v>11937.777661263297</v>
      </c>
      <c r="R962" s="65">
        <v>0</v>
      </c>
      <c r="S962" s="65">
        <v>163.03637023740004</v>
      </c>
      <c r="T962" s="65">
        <v>0</v>
      </c>
      <c r="U962" s="65">
        <v>0</v>
      </c>
      <c r="V962" s="65">
        <v>0</v>
      </c>
      <c r="W962" s="65">
        <v>0</v>
      </c>
      <c r="X962" s="65">
        <v>11775</v>
      </c>
      <c r="Y962" s="65">
        <v>0</v>
      </c>
      <c r="Z962" s="65">
        <v>0</v>
      </c>
      <c r="AA962" s="51">
        <v>147</v>
      </c>
      <c r="AB962" s="102">
        <v>0</v>
      </c>
      <c r="AC962" s="81">
        <f t="shared" si="45"/>
        <v>290.51114683862846</v>
      </c>
      <c r="AD962" s="82">
        <f t="shared" si="46"/>
        <v>45.414285714285711</v>
      </c>
      <c r="AE962" s="218">
        <v>1.2181419987662465E-2</v>
      </c>
      <c r="AF962">
        <v>10</v>
      </c>
      <c r="AH962" t="str">
        <f t="shared" si="47"/>
        <v>Majhaul</v>
      </c>
      <c r="AJ962" s="72">
        <v>0</v>
      </c>
      <c r="AK962" s="72"/>
      <c r="AL962" s="72"/>
      <c r="AM962" s="72"/>
    </row>
    <row r="963" spans="1:39" x14ac:dyDescent="0.25">
      <c r="A963" s="37" t="s">
        <v>62</v>
      </c>
      <c r="B963" s="66" t="s">
        <v>1615</v>
      </c>
      <c r="C963" s="41">
        <v>1001</v>
      </c>
      <c r="D963" s="41" t="s">
        <v>92</v>
      </c>
      <c r="E963" s="41">
        <v>10010146</v>
      </c>
      <c r="F963" s="85" t="s">
        <v>1488</v>
      </c>
      <c r="G963" s="39" t="s">
        <v>93</v>
      </c>
      <c r="H963" s="52" t="s">
        <v>94</v>
      </c>
      <c r="I963" s="52">
        <v>209.4</v>
      </c>
      <c r="J963" s="49">
        <v>7624.58</v>
      </c>
      <c r="K963" s="58">
        <v>207.79999999999998</v>
      </c>
      <c r="L963" s="58">
        <v>7783.5423238182802</v>
      </c>
      <c r="M963" s="58">
        <v>0</v>
      </c>
      <c r="N963" s="58">
        <v>0</v>
      </c>
      <c r="O963" s="65">
        <v>207.79999999999998</v>
      </c>
      <c r="P963" s="65">
        <v>7783.5423238182802</v>
      </c>
      <c r="Q963" s="50">
        <v>7624.58</v>
      </c>
      <c r="R963" s="65">
        <v>0</v>
      </c>
      <c r="S963" s="65">
        <v>0</v>
      </c>
      <c r="T963" s="65">
        <v>158.96232381828031</v>
      </c>
      <c r="U963" s="65">
        <v>0</v>
      </c>
      <c r="V963" s="65">
        <v>0</v>
      </c>
      <c r="W963" s="65">
        <v>0</v>
      </c>
      <c r="X963" s="65">
        <v>7625</v>
      </c>
      <c r="Y963" s="65">
        <v>0</v>
      </c>
      <c r="Z963" s="65">
        <v>0</v>
      </c>
      <c r="AA963" s="51">
        <v>0</v>
      </c>
      <c r="AB963" s="102">
        <v>0</v>
      </c>
      <c r="AC963" s="81">
        <f t="shared" ref="AC963:AC1026" si="48">((IF(AD963=0,0,100-AD963))*7*(J963/I963))*2%</f>
        <v>357.27019560649484</v>
      </c>
      <c r="AD963" s="82">
        <f t="shared" ref="AD963:AD1026" si="49">IF((I963/7)&gt;100,0,(I963/7))</f>
        <v>29.914285714285715</v>
      </c>
      <c r="AE963" s="218">
        <v>-2.0848666263358809E-2</v>
      </c>
      <c r="AF963">
        <v>4</v>
      </c>
      <c r="AH963" t="str">
        <f t="shared" si="47"/>
        <v>Majhaul</v>
      </c>
      <c r="AJ963" s="72">
        <v>0</v>
      </c>
      <c r="AK963" s="72"/>
      <c r="AL963" s="72"/>
      <c r="AM963" s="72"/>
    </row>
    <row r="964" spans="1:39" x14ac:dyDescent="0.25">
      <c r="A964" s="37" t="s">
        <v>62</v>
      </c>
      <c r="B964" s="66" t="s">
        <v>1615</v>
      </c>
      <c r="C964" s="41">
        <v>1001</v>
      </c>
      <c r="D964" s="41" t="s">
        <v>92</v>
      </c>
      <c r="E964" s="41">
        <v>10010147</v>
      </c>
      <c r="F964" s="85" t="s">
        <v>1489</v>
      </c>
      <c r="G964" s="39" t="s">
        <v>635</v>
      </c>
      <c r="H964" s="52" t="s">
        <v>99</v>
      </c>
      <c r="I964" s="52">
        <v>21.1</v>
      </c>
      <c r="J964" s="49">
        <v>880.21</v>
      </c>
      <c r="K964" s="58">
        <v>0</v>
      </c>
      <c r="L964" s="58">
        <v>0</v>
      </c>
      <c r="M964" s="58">
        <v>0</v>
      </c>
      <c r="N964" s="58">
        <v>0</v>
      </c>
      <c r="O964" s="65">
        <v>0</v>
      </c>
      <c r="P964" s="65">
        <v>0</v>
      </c>
      <c r="Q964" s="50">
        <v>880.21</v>
      </c>
      <c r="R964" s="65">
        <v>0</v>
      </c>
      <c r="S964" s="65">
        <v>0</v>
      </c>
      <c r="T964" s="65">
        <v>0</v>
      </c>
      <c r="U964" s="65">
        <v>0</v>
      </c>
      <c r="V964" s="65">
        <v>0</v>
      </c>
      <c r="W964" s="65">
        <v>0</v>
      </c>
      <c r="X964" s="65">
        <v>0</v>
      </c>
      <c r="Y964" s="65">
        <v>0</v>
      </c>
      <c r="Z964" s="65">
        <v>880.21</v>
      </c>
      <c r="AA964" s="51">
        <v>0</v>
      </c>
      <c r="AB964" s="102">
        <v>0</v>
      </c>
      <c r="AC964" s="81">
        <f t="shared" si="48"/>
        <v>566.42139241706161</v>
      </c>
      <c r="AD964" s="82">
        <f t="shared" si="49"/>
        <v>3.0142857142857147</v>
      </c>
      <c r="AE964" s="218">
        <v>0</v>
      </c>
      <c r="AF964">
        <v>0</v>
      </c>
      <c r="AH964" t="str">
        <f t="shared" si="47"/>
        <v>Majhaul</v>
      </c>
      <c r="AJ964" s="72">
        <v>0</v>
      </c>
      <c r="AK964" s="72"/>
      <c r="AL964" s="72"/>
      <c r="AM964" s="72"/>
    </row>
    <row r="965" spans="1:39" x14ac:dyDescent="0.25">
      <c r="A965" s="37" t="s">
        <v>62</v>
      </c>
      <c r="B965" s="66" t="s">
        <v>1615</v>
      </c>
      <c r="C965" s="41">
        <v>1001</v>
      </c>
      <c r="D965" s="41" t="s">
        <v>92</v>
      </c>
      <c r="E965" s="41">
        <v>10010148</v>
      </c>
      <c r="F965" s="85" t="s">
        <v>1490</v>
      </c>
      <c r="G965" s="39" t="s">
        <v>93</v>
      </c>
      <c r="H965" s="52" t="s">
        <v>94</v>
      </c>
      <c r="I965" s="52">
        <v>509.20000000000005</v>
      </c>
      <c r="J965" s="49">
        <v>21424.989999999998</v>
      </c>
      <c r="K965" s="58">
        <v>472.85999999999996</v>
      </c>
      <c r="L965" s="58">
        <v>20016.094618424802</v>
      </c>
      <c r="M965" s="58">
        <v>6.22</v>
      </c>
      <c r="N965" s="58">
        <v>250.13242821600002</v>
      </c>
      <c r="O965" s="65">
        <v>479.08</v>
      </c>
      <c r="P965" s="65">
        <v>20266.227046640801</v>
      </c>
      <c r="Q965" s="50">
        <v>20266.227046640801</v>
      </c>
      <c r="R965" s="65">
        <v>0</v>
      </c>
      <c r="S965" s="65">
        <v>250.13242821600002</v>
      </c>
      <c r="T965" s="65">
        <v>0</v>
      </c>
      <c r="U965" s="65">
        <v>0</v>
      </c>
      <c r="V965" s="65">
        <v>0</v>
      </c>
      <c r="W965" s="65">
        <v>0</v>
      </c>
      <c r="X965" s="65">
        <v>20016</v>
      </c>
      <c r="Y965" s="65">
        <v>0</v>
      </c>
      <c r="Z965" s="65">
        <v>0</v>
      </c>
      <c r="AA965" s="51">
        <v>1159</v>
      </c>
      <c r="AB965" s="102">
        <v>0</v>
      </c>
      <c r="AC965" s="81">
        <f t="shared" si="48"/>
        <v>160.56119764336208</v>
      </c>
      <c r="AD965" s="82">
        <f t="shared" si="49"/>
        <v>72.742857142857147</v>
      </c>
      <c r="AE965" s="218">
        <v>5.408464383690248E-2</v>
      </c>
      <c r="AF965">
        <v>7</v>
      </c>
      <c r="AH965" t="str">
        <f t="shared" si="47"/>
        <v>Majhaul</v>
      </c>
      <c r="AJ965" s="72">
        <v>0</v>
      </c>
      <c r="AK965" s="72"/>
      <c r="AL965" s="72"/>
      <c r="AM965" s="72"/>
    </row>
    <row r="966" spans="1:39" x14ac:dyDescent="0.25">
      <c r="A966" s="37" t="s">
        <v>62</v>
      </c>
      <c r="B966" s="66" t="s">
        <v>1615</v>
      </c>
      <c r="C966" s="41">
        <v>1001</v>
      </c>
      <c r="D966" s="41" t="s">
        <v>92</v>
      </c>
      <c r="E966" s="41">
        <v>10010149</v>
      </c>
      <c r="F966" s="85" t="s">
        <v>1491</v>
      </c>
      <c r="G966" s="39" t="s">
        <v>93</v>
      </c>
      <c r="H966" s="52" t="s">
        <v>94</v>
      </c>
      <c r="I966" s="52">
        <v>311.10000000000002</v>
      </c>
      <c r="J966" s="49">
        <v>11292.240000000002</v>
      </c>
      <c r="K966" s="58">
        <v>311.00000000000006</v>
      </c>
      <c r="L966" s="58">
        <v>11288.443462362004</v>
      </c>
      <c r="M966" s="58">
        <v>0</v>
      </c>
      <c r="N966" s="58">
        <v>0</v>
      </c>
      <c r="O966" s="65">
        <v>311.00000000000006</v>
      </c>
      <c r="P966" s="65">
        <v>11288.443462362004</v>
      </c>
      <c r="Q966" s="50">
        <v>11288.443462362004</v>
      </c>
      <c r="R966" s="65">
        <v>0</v>
      </c>
      <c r="S966" s="65">
        <v>0</v>
      </c>
      <c r="T966" s="65">
        <v>0</v>
      </c>
      <c r="U966" s="65">
        <v>0</v>
      </c>
      <c r="V966" s="65">
        <v>0</v>
      </c>
      <c r="W966" s="65">
        <v>0</v>
      </c>
      <c r="X966" s="65">
        <v>11288</v>
      </c>
      <c r="Y966" s="65">
        <v>0</v>
      </c>
      <c r="Z966" s="65">
        <v>0</v>
      </c>
      <c r="AA966" s="51">
        <v>4</v>
      </c>
      <c r="AB966" s="102">
        <v>0</v>
      </c>
      <c r="AC966" s="81">
        <f t="shared" si="48"/>
        <v>282.32414889103183</v>
      </c>
      <c r="AD966" s="82">
        <f t="shared" si="49"/>
        <v>44.442857142857143</v>
      </c>
      <c r="AE966" s="218">
        <v>3.3620766455530265E-4</v>
      </c>
      <c r="AF966">
        <v>1</v>
      </c>
      <c r="AH966" t="str">
        <f t="shared" si="47"/>
        <v>Majhaul</v>
      </c>
      <c r="AJ966" s="72">
        <v>0</v>
      </c>
      <c r="AK966" s="72"/>
      <c r="AL966" s="72"/>
      <c r="AM966" s="72"/>
    </row>
    <row r="967" spans="1:39" x14ac:dyDescent="0.25">
      <c r="A967" s="37" t="s">
        <v>62</v>
      </c>
      <c r="B967" s="66" t="s">
        <v>1615</v>
      </c>
      <c r="C967" s="41">
        <v>1002</v>
      </c>
      <c r="D967" s="41" t="s">
        <v>105</v>
      </c>
      <c r="E967" s="41">
        <v>10020002</v>
      </c>
      <c r="F967" s="85" t="s">
        <v>106</v>
      </c>
      <c r="G967" s="39" t="s">
        <v>93</v>
      </c>
      <c r="H967" s="52" t="s">
        <v>94</v>
      </c>
      <c r="I967" s="52">
        <v>2584.1999999999998</v>
      </c>
      <c r="J967" s="49">
        <v>113714.44999999997</v>
      </c>
      <c r="K967" s="58">
        <v>1440.1000000000004</v>
      </c>
      <c r="L967" s="58">
        <v>61866.344073493005</v>
      </c>
      <c r="M967" s="58">
        <v>1156.1999999999998</v>
      </c>
      <c r="N967" s="58">
        <v>54492.10044280201</v>
      </c>
      <c r="O967" s="65">
        <v>2596.3000000000002</v>
      </c>
      <c r="P967" s="65">
        <v>116358.44451629501</v>
      </c>
      <c r="Q967" s="50">
        <v>113714.44999999997</v>
      </c>
      <c r="R967" s="65">
        <v>0</v>
      </c>
      <c r="S967" s="65">
        <v>1183.9269611030002</v>
      </c>
      <c r="T967" s="65">
        <v>2643.9945162950462</v>
      </c>
      <c r="U967" s="65">
        <v>0</v>
      </c>
      <c r="V967" s="65">
        <v>0</v>
      </c>
      <c r="W967" s="65">
        <v>0</v>
      </c>
      <c r="X967" s="65">
        <v>59223</v>
      </c>
      <c r="Y967" s="65">
        <v>53308</v>
      </c>
      <c r="Z967" s="65">
        <v>0</v>
      </c>
      <c r="AA967" s="51">
        <v>0</v>
      </c>
      <c r="AB967" s="102">
        <v>0</v>
      </c>
      <c r="AC967" s="81">
        <f t="shared" si="48"/>
        <v>0</v>
      </c>
      <c r="AD967" s="82">
        <f t="shared" si="49"/>
        <v>0</v>
      </c>
      <c r="AE967" s="218">
        <v>-2.3251174466350114E-2</v>
      </c>
      <c r="AF967">
        <v>12</v>
      </c>
      <c r="AH967" t="str">
        <f t="shared" si="47"/>
        <v>Laldiyara</v>
      </c>
      <c r="AJ967" s="72">
        <v>0</v>
      </c>
      <c r="AK967" s="72"/>
      <c r="AL967" s="72"/>
      <c r="AM967" s="72"/>
    </row>
    <row r="968" spans="1:39" x14ac:dyDescent="0.25">
      <c r="A968" s="37" t="s">
        <v>62</v>
      </c>
      <c r="B968" s="66" t="s">
        <v>1615</v>
      </c>
      <c r="C968" s="41">
        <v>1002</v>
      </c>
      <c r="D968" s="41" t="s">
        <v>105</v>
      </c>
      <c r="E968" s="41">
        <v>10020004</v>
      </c>
      <c r="F968" s="85" t="s">
        <v>107</v>
      </c>
      <c r="G968" s="39" t="s">
        <v>93</v>
      </c>
      <c r="H968" s="52" t="s">
        <v>94</v>
      </c>
      <c r="I968" s="52">
        <v>627.1</v>
      </c>
      <c r="J968" s="49">
        <v>23173.39</v>
      </c>
      <c r="K968" s="58">
        <v>628.69999999999993</v>
      </c>
      <c r="L968" s="58">
        <v>23226.651320399997</v>
      </c>
      <c r="M968" s="58">
        <v>0</v>
      </c>
      <c r="N968" s="58">
        <v>0</v>
      </c>
      <c r="O968" s="65">
        <v>628.69999999999993</v>
      </c>
      <c r="P968" s="65">
        <v>23226.651320399997</v>
      </c>
      <c r="Q968" s="50">
        <v>23173.39</v>
      </c>
      <c r="R968" s="65">
        <v>0</v>
      </c>
      <c r="S968" s="65">
        <v>0</v>
      </c>
      <c r="T968" s="65">
        <v>53.261320399997203</v>
      </c>
      <c r="U968" s="65">
        <v>0</v>
      </c>
      <c r="V968" s="65">
        <v>0</v>
      </c>
      <c r="W968" s="65">
        <v>0</v>
      </c>
      <c r="X968" s="65">
        <v>23173</v>
      </c>
      <c r="Y968" s="65">
        <v>0</v>
      </c>
      <c r="Z968" s="65">
        <v>0</v>
      </c>
      <c r="AA968" s="51">
        <v>0</v>
      </c>
      <c r="AB968" s="102" t="s">
        <v>66</v>
      </c>
      <c r="AC968" s="81">
        <f t="shared" si="48"/>
        <v>53.877854600542157</v>
      </c>
      <c r="AD968" s="82">
        <f t="shared" si="49"/>
        <v>89.585714285714289</v>
      </c>
      <c r="AE968" s="218">
        <v>-2.2983827743803219E-3</v>
      </c>
      <c r="AF968">
        <v>1</v>
      </c>
      <c r="AH968" t="str">
        <f t="shared" si="47"/>
        <v>Laldiyara</v>
      </c>
      <c r="AJ968" s="72">
        <v>0</v>
      </c>
      <c r="AK968" s="72"/>
      <c r="AL968" s="72"/>
      <c r="AM968" s="72"/>
    </row>
    <row r="969" spans="1:39" x14ac:dyDescent="0.25">
      <c r="A969" s="37" t="s">
        <v>62</v>
      </c>
      <c r="B969" s="66" t="s">
        <v>1615</v>
      </c>
      <c r="C969" s="41">
        <v>1002</v>
      </c>
      <c r="D969" s="41" t="s">
        <v>105</v>
      </c>
      <c r="E969" s="41">
        <v>10020006</v>
      </c>
      <c r="F969" s="85" t="s">
        <v>109</v>
      </c>
      <c r="G969" s="39" t="s">
        <v>635</v>
      </c>
      <c r="H969" s="52" t="s">
        <v>99</v>
      </c>
      <c r="I969" s="52">
        <v>137.89999999999998</v>
      </c>
      <c r="J969" s="49">
        <v>5186.8999999999996</v>
      </c>
      <c r="K969" s="58">
        <v>0</v>
      </c>
      <c r="L969" s="58">
        <v>0</v>
      </c>
      <c r="M969" s="58">
        <v>0</v>
      </c>
      <c r="N969" s="58">
        <v>0</v>
      </c>
      <c r="O969" s="65">
        <v>0</v>
      </c>
      <c r="P969" s="65">
        <v>0</v>
      </c>
      <c r="Q969" s="50">
        <v>5186.8999999999996</v>
      </c>
      <c r="R969" s="65">
        <v>0</v>
      </c>
      <c r="S969" s="65">
        <v>0</v>
      </c>
      <c r="T969" s="65">
        <v>0</v>
      </c>
      <c r="U969" s="65">
        <v>0</v>
      </c>
      <c r="V969" s="65">
        <v>121.14195483870996</v>
      </c>
      <c r="W969" s="65">
        <v>0</v>
      </c>
      <c r="X969" s="65">
        <v>0</v>
      </c>
      <c r="Y969" s="65">
        <v>0</v>
      </c>
      <c r="Z969" s="65">
        <v>5065.7580451612894</v>
      </c>
      <c r="AA969" s="51">
        <v>0</v>
      </c>
      <c r="AB969" s="102">
        <v>0</v>
      </c>
      <c r="AC969" s="81">
        <f t="shared" si="48"/>
        <v>422.85083248730984</v>
      </c>
      <c r="AD969" s="82">
        <f t="shared" si="49"/>
        <v>19.699999999999996</v>
      </c>
      <c r="AE969" s="218">
        <v>0</v>
      </c>
      <c r="AF969">
        <v>0</v>
      </c>
      <c r="AH969" t="str">
        <f t="shared" si="47"/>
        <v>Laldiyara</v>
      </c>
      <c r="AJ969" s="72">
        <v>0</v>
      </c>
      <c r="AK969" s="72"/>
      <c r="AL969" s="72"/>
      <c r="AM969" s="72"/>
    </row>
    <row r="970" spans="1:39" x14ac:dyDescent="0.25">
      <c r="A970" s="37" t="s">
        <v>62</v>
      </c>
      <c r="B970" s="66" t="s">
        <v>1615</v>
      </c>
      <c r="C970" s="41">
        <v>1002</v>
      </c>
      <c r="D970" s="41" t="s">
        <v>105</v>
      </c>
      <c r="E970" s="41">
        <v>10020008</v>
      </c>
      <c r="F970" s="85" t="s">
        <v>111</v>
      </c>
      <c r="G970" s="39" t="s">
        <v>635</v>
      </c>
      <c r="H970" s="52" t="s">
        <v>99</v>
      </c>
      <c r="I970" s="52">
        <v>1096.4000000000001</v>
      </c>
      <c r="J970" s="49">
        <v>43500.34</v>
      </c>
      <c r="K970" s="58">
        <v>0</v>
      </c>
      <c r="L970" s="58">
        <v>0</v>
      </c>
      <c r="M970" s="58">
        <v>0</v>
      </c>
      <c r="N970" s="58">
        <v>0</v>
      </c>
      <c r="O970" s="65">
        <v>0</v>
      </c>
      <c r="P970" s="65">
        <v>0</v>
      </c>
      <c r="Q970" s="50">
        <v>43500.34</v>
      </c>
      <c r="R970" s="65">
        <v>0</v>
      </c>
      <c r="S970" s="65">
        <v>0</v>
      </c>
      <c r="T970" s="65">
        <v>0</v>
      </c>
      <c r="U970" s="65">
        <v>0</v>
      </c>
      <c r="V970" s="65">
        <v>1012.7544774193541</v>
      </c>
      <c r="W970" s="65">
        <v>0</v>
      </c>
      <c r="X970" s="65">
        <v>0</v>
      </c>
      <c r="Y970" s="65">
        <v>0</v>
      </c>
      <c r="Z970" s="65">
        <v>42487.585522580644</v>
      </c>
      <c r="AA970" s="51">
        <v>0</v>
      </c>
      <c r="AB970" s="102">
        <v>0</v>
      </c>
      <c r="AC970" s="81">
        <f t="shared" si="48"/>
        <v>0</v>
      </c>
      <c r="AD970" s="82">
        <f t="shared" si="49"/>
        <v>0</v>
      </c>
      <c r="AE970" s="218">
        <v>0</v>
      </c>
      <c r="AF970">
        <v>0</v>
      </c>
      <c r="AH970" t="str">
        <f t="shared" si="47"/>
        <v>Laldiyara</v>
      </c>
      <c r="AJ970" s="72">
        <v>0</v>
      </c>
      <c r="AK970" s="72"/>
      <c r="AL970" s="72"/>
      <c r="AM970" s="72"/>
    </row>
    <row r="971" spans="1:39" x14ac:dyDescent="0.25">
      <c r="A971" s="37" t="s">
        <v>62</v>
      </c>
      <c r="B971" s="66" t="s">
        <v>1615</v>
      </c>
      <c r="C971" s="41">
        <v>1002</v>
      </c>
      <c r="D971" s="41" t="s">
        <v>105</v>
      </c>
      <c r="E971" s="41">
        <v>10020010</v>
      </c>
      <c r="F971" s="85" t="s">
        <v>1236</v>
      </c>
      <c r="G971" s="39" t="s">
        <v>93</v>
      </c>
      <c r="H971" s="52" t="s">
        <v>94</v>
      </c>
      <c r="I971" s="52">
        <v>579.30000000000007</v>
      </c>
      <c r="J971" s="49">
        <v>21042.990000000005</v>
      </c>
      <c r="K971" s="58">
        <v>593.40000000000009</v>
      </c>
      <c r="L971" s="58">
        <v>22469.502678479999</v>
      </c>
      <c r="M971" s="58">
        <v>1.6999999999999997</v>
      </c>
      <c r="N971" s="58">
        <v>60.8141952</v>
      </c>
      <c r="O971" s="65">
        <v>595.10000000000014</v>
      </c>
      <c r="P971" s="65">
        <v>22530.31687368</v>
      </c>
      <c r="Q971" s="50">
        <v>21042.990000000005</v>
      </c>
      <c r="R971" s="65">
        <v>0</v>
      </c>
      <c r="S971" s="65">
        <v>60.8141952</v>
      </c>
      <c r="T971" s="65">
        <v>1487.3268736799946</v>
      </c>
      <c r="U971" s="65">
        <v>0</v>
      </c>
      <c r="V971" s="65">
        <v>0</v>
      </c>
      <c r="W971" s="65">
        <v>0</v>
      </c>
      <c r="X971" s="65">
        <v>20982</v>
      </c>
      <c r="Y971" s="65">
        <v>0</v>
      </c>
      <c r="Z971" s="65">
        <v>0</v>
      </c>
      <c r="AA971" s="51">
        <v>0</v>
      </c>
      <c r="AB971" s="102">
        <v>0</v>
      </c>
      <c r="AC971" s="81">
        <f t="shared" si="48"/>
        <v>87.688206214396658</v>
      </c>
      <c r="AD971" s="82">
        <f t="shared" si="49"/>
        <v>82.757142857142867</v>
      </c>
      <c r="AE971" s="218">
        <v>-7.0680396354320094E-2</v>
      </c>
      <c r="AF971">
        <v>4</v>
      </c>
      <c r="AH971" t="str">
        <f t="shared" si="47"/>
        <v>Laldiyara</v>
      </c>
      <c r="AJ971" s="72">
        <v>0</v>
      </c>
      <c r="AK971" s="72"/>
      <c r="AL971" s="72"/>
      <c r="AM971" s="72"/>
    </row>
    <row r="972" spans="1:39" x14ac:dyDescent="0.25">
      <c r="A972" s="37" t="s">
        <v>62</v>
      </c>
      <c r="B972" s="66" t="s">
        <v>1615</v>
      </c>
      <c r="C972" s="41">
        <v>1002</v>
      </c>
      <c r="D972" s="41" t="s">
        <v>105</v>
      </c>
      <c r="E972" s="41">
        <v>10020012</v>
      </c>
      <c r="F972" s="85" t="s">
        <v>1232</v>
      </c>
      <c r="G972" s="39" t="s">
        <v>635</v>
      </c>
      <c r="H972" s="52" t="s">
        <v>99</v>
      </c>
      <c r="I972" s="52">
        <v>333</v>
      </c>
      <c r="J972" s="49">
        <v>13387.590000000002</v>
      </c>
      <c r="K972" s="58">
        <v>0</v>
      </c>
      <c r="L972" s="58">
        <v>0</v>
      </c>
      <c r="M972" s="58">
        <v>0</v>
      </c>
      <c r="N972" s="58">
        <v>0</v>
      </c>
      <c r="O972" s="65">
        <v>0</v>
      </c>
      <c r="P972" s="65">
        <v>0</v>
      </c>
      <c r="Q972" s="50">
        <v>13387.590000000002</v>
      </c>
      <c r="R972" s="65">
        <v>0</v>
      </c>
      <c r="S972" s="65">
        <v>0</v>
      </c>
      <c r="T972" s="65">
        <v>0</v>
      </c>
      <c r="U972" s="65">
        <v>0</v>
      </c>
      <c r="V972" s="65">
        <v>0</v>
      </c>
      <c r="W972" s="65">
        <v>0</v>
      </c>
      <c r="X972" s="65">
        <v>0</v>
      </c>
      <c r="Y972" s="65">
        <v>0</v>
      </c>
      <c r="Z972" s="65">
        <v>13387.590000000002</v>
      </c>
      <c r="AA972" s="51">
        <v>0</v>
      </c>
      <c r="AB972" s="102">
        <v>0</v>
      </c>
      <c r="AC972" s="81">
        <f t="shared" si="48"/>
        <v>295.0898216216217</v>
      </c>
      <c r="AD972" s="82">
        <f t="shared" si="49"/>
        <v>47.571428571428569</v>
      </c>
      <c r="AE972" s="218">
        <v>0</v>
      </c>
      <c r="AF972">
        <v>0</v>
      </c>
      <c r="AH972" t="str">
        <f t="shared" si="47"/>
        <v>Laldiyara</v>
      </c>
      <c r="AJ972" s="72">
        <v>0</v>
      </c>
      <c r="AK972" s="72"/>
      <c r="AL972" s="72"/>
      <c r="AM972" s="72"/>
    </row>
    <row r="973" spans="1:39" x14ac:dyDescent="0.25">
      <c r="A973" s="37" t="s">
        <v>62</v>
      </c>
      <c r="B973" s="66" t="s">
        <v>1615</v>
      </c>
      <c r="C973" s="41">
        <v>1002</v>
      </c>
      <c r="D973" s="41" t="s">
        <v>105</v>
      </c>
      <c r="E973" s="41">
        <v>10020013</v>
      </c>
      <c r="F973" s="85" t="s">
        <v>615</v>
      </c>
      <c r="G973" s="39" t="s">
        <v>635</v>
      </c>
      <c r="H973" s="52" t="s">
        <v>99</v>
      </c>
      <c r="I973" s="52">
        <v>479.3</v>
      </c>
      <c r="J973" s="49">
        <v>18647.439999999999</v>
      </c>
      <c r="K973" s="58">
        <v>0</v>
      </c>
      <c r="L973" s="58">
        <v>0</v>
      </c>
      <c r="M973" s="58">
        <v>0</v>
      </c>
      <c r="N973" s="58">
        <v>0</v>
      </c>
      <c r="O973" s="65">
        <v>0</v>
      </c>
      <c r="P973" s="65">
        <v>0</v>
      </c>
      <c r="Q973" s="50">
        <v>18647.439999999999</v>
      </c>
      <c r="R973" s="65">
        <v>0</v>
      </c>
      <c r="S973" s="65">
        <v>0</v>
      </c>
      <c r="T973" s="65">
        <v>0</v>
      </c>
      <c r="U973" s="65">
        <v>0</v>
      </c>
      <c r="V973" s="65">
        <v>0</v>
      </c>
      <c r="W973" s="65">
        <v>0</v>
      </c>
      <c r="X973" s="65">
        <v>0</v>
      </c>
      <c r="Y973" s="65">
        <v>0</v>
      </c>
      <c r="Z973" s="65">
        <v>18647.439999999999</v>
      </c>
      <c r="AA973" s="51">
        <v>0</v>
      </c>
      <c r="AB973" s="102">
        <v>0</v>
      </c>
      <c r="AC973" s="81">
        <f t="shared" si="48"/>
        <v>171.72918873356977</v>
      </c>
      <c r="AD973" s="82">
        <f t="shared" si="49"/>
        <v>68.471428571428575</v>
      </c>
      <c r="AE973" s="218">
        <v>0</v>
      </c>
      <c r="AF973">
        <v>0</v>
      </c>
      <c r="AH973" t="str">
        <f t="shared" si="47"/>
        <v>Laldiyara</v>
      </c>
      <c r="AJ973" s="72">
        <v>0</v>
      </c>
      <c r="AK973" s="72"/>
      <c r="AL973" s="72"/>
      <c r="AM973" s="72"/>
    </row>
    <row r="974" spans="1:39" x14ac:dyDescent="0.25">
      <c r="A974" s="37" t="s">
        <v>62</v>
      </c>
      <c r="B974" s="66" t="s">
        <v>1615</v>
      </c>
      <c r="C974" s="41">
        <v>1002</v>
      </c>
      <c r="D974" s="41" t="s">
        <v>105</v>
      </c>
      <c r="E974" s="41">
        <v>10020015</v>
      </c>
      <c r="F974" s="85" t="s">
        <v>112</v>
      </c>
      <c r="G974" s="39" t="s">
        <v>635</v>
      </c>
      <c r="H974" s="52" t="s">
        <v>99</v>
      </c>
      <c r="I974" s="52">
        <v>25552.400000000005</v>
      </c>
      <c r="J974" s="49">
        <v>1008844.2100000001</v>
      </c>
      <c r="K974" s="58">
        <v>0</v>
      </c>
      <c r="L974" s="58">
        <v>0</v>
      </c>
      <c r="M974" s="58">
        <v>0</v>
      </c>
      <c r="N974" s="58">
        <v>0</v>
      </c>
      <c r="O974" s="65">
        <v>0</v>
      </c>
      <c r="P974" s="65">
        <v>0</v>
      </c>
      <c r="Q974" s="50">
        <v>1008844.2100000001</v>
      </c>
      <c r="R974" s="65">
        <v>0</v>
      </c>
      <c r="S974" s="65">
        <v>0</v>
      </c>
      <c r="T974" s="65">
        <v>0</v>
      </c>
      <c r="U974" s="65">
        <v>0</v>
      </c>
      <c r="V974" s="65">
        <v>0</v>
      </c>
      <c r="W974" s="65">
        <v>0</v>
      </c>
      <c r="X974" s="65">
        <v>0</v>
      </c>
      <c r="Y974" s="65">
        <v>0</v>
      </c>
      <c r="Z974" s="65">
        <v>1008844.2100000001</v>
      </c>
      <c r="AA974" s="51">
        <v>0</v>
      </c>
      <c r="AB974" s="102">
        <v>0</v>
      </c>
      <c r="AC974" s="81">
        <f t="shared" si="48"/>
        <v>0</v>
      </c>
      <c r="AD974" s="82">
        <f t="shared" si="49"/>
        <v>0</v>
      </c>
      <c r="AE974" s="218">
        <v>0</v>
      </c>
      <c r="AF974">
        <v>0</v>
      </c>
      <c r="AH974" t="str">
        <f t="shared" si="47"/>
        <v>Laldiyara</v>
      </c>
      <c r="AJ974" s="72">
        <v>0</v>
      </c>
      <c r="AK974" s="72"/>
      <c r="AL974" s="72"/>
      <c r="AM974" s="72"/>
    </row>
    <row r="975" spans="1:39" x14ac:dyDescent="0.25">
      <c r="A975" s="37" t="s">
        <v>62</v>
      </c>
      <c r="B975" s="66" t="s">
        <v>1615</v>
      </c>
      <c r="C975" s="41">
        <v>1002</v>
      </c>
      <c r="D975" s="41" t="s">
        <v>105</v>
      </c>
      <c r="E975" s="41">
        <v>10020016</v>
      </c>
      <c r="F975" s="85" t="s">
        <v>113</v>
      </c>
      <c r="G975" s="39" t="s">
        <v>635</v>
      </c>
      <c r="H975" s="52" t="s">
        <v>99</v>
      </c>
      <c r="I975" s="52">
        <v>25339.200000000001</v>
      </c>
      <c r="J975" s="49">
        <v>999451.74</v>
      </c>
      <c r="K975" s="58">
        <v>0</v>
      </c>
      <c r="L975" s="58">
        <v>0</v>
      </c>
      <c r="M975" s="58">
        <v>0</v>
      </c>
      <c r="N975" s="58">
        <v>0</v>
      </c>
      <c r="O975" s="65">
        <v>0</v>
      </c>
      <c r="P975" s="65">
        <v>0</v>
      </c>
      <c r="Q975" s="50">
        <v>999451.74</v>
      </c>
      <c r="R975" s="65">
        <v>0</v>
      </c>
      <c r="S975" s="65">
        <v>0</v>
      </c>
      <c r="T975" s="65">
        <v>0</v>
      </c>
      <c r="U975" s="65">
        <v>0</v>
      </c>
      <c r="V975" s="65">
        <v>0</v>
      </c>
      <c r="W975" s="65">
        <v>0</v>
      </c>
      <c r="X975" s="65">
        <v>0</v>
      </c>
      <c r="Y975" s="65">
        <v>0</v>
      </c>
      <c r="Z975" s="65">
        <v>999451.74</v>
      </c>
      <c r="AA975" s="51">
        <v>0</v>
      </c>
      <c r="AB975" s="102">
        <v>0</v>
      </c>
      <c r="AC975" s="81">
        <f t="shared" si="48"/>
        <v>0</v>
      </c>
      <c r="AD975" s="82">
        <f t="shared" si="49"/>
        <v>0</v>
      </c>
      <c r="AE975" s="218">
        <v>0</v>
      </c>
      <c r="AF975">
        <v>0</v>
      </c>
      <c r="AH975" t="str">
        <f t="shared" si="47"/>
        <v>Laldiyara</v>
      </c>
      <c r="AJ975" s="72">
        <v>0</v>
      </c>
      <c r="AK975" s="72"/>
      <c r="AL975" s="72"/>
      <c r="AM975" s="72"/>
    </row>
    <row r="976" spans="1:39" x14ac:dyDescent="0.25">
      <c r="A976" s="37" t="s">
        <v>62</v>
      </c>
      <c r="B976" s="66" t="s">
        <v>1615</v>
      </c>
      <c r="C976" s="41">
        <v>1002</v>
      </c>
      <c r="D976" s="41" t="s">
        <v>105</v>
      </c>
      <c r="E976" s="41">
        <v>10020017</v>
      </c>
      <c r="F976" s="85" t="s">
        <v>114</v>
      </c>
      <c r="G976" s="39" t="s">
        <v>93</v>
      </c>
      <c r="H976" s="52" t="s">
        <v>94</v>
      </c>
      <c r="I976" s="52">
        <v>4283.5000000000009</v>
      </c>
      <c r="J976" s="49">
        <v>179992.75</v>
      </c>
      <c r="K976" s="58">
        <v>5051.5999999999995</v>
      </c>
      <c r="L976" s="58">
        <v>178374.70196992654</v>
      </c>
      <c r="M976" s="58">
        <v>39</v>
      </c>
      <c r="N976" s="58">
        <v>1724.6237580000002</v>
      </c>
      <c r="O976" s="65">
        <v>5090.5999999999995</v>
      </c>
      <c r="P976" s="65">
        <v>180099.32572792654</v>
      </c>
      <c r="Q976" s="50">
        <v>179992.75</v>
      </c>
      <c r="R976" s="65">
        <v>0</v>
      </c>
      <c r="S976" s="65">
        <v>1724.6237580000002</v>
      </c>
      <c r="T976" s="65">
        <v>106.57572792653809</v>
      </c>
      <c r="U976" s="65">
        <v>0</v>
      </c>
      <c r="V976" s="65">
        <v>0</v>
      </c>
      <c r="W976" s="65">
        <v>0</v>
      </c>
      <c r="X976" s="65">
        <v>178268</v>
      </c>
      <c r="Y976" s="65">
        <v>0</v>
      </c>
      <c r="Z976" s="65">
        <v>0</v>
      </c>
      <c r="AA976" s="51">
        <v>0</v>
      </c>
      <c r="AB976" s="102">
        <v>0</v>
      </c>
      <c r="AC976" s="81">
        <f t="shared" si="48"/>
        <v>0</v>
      </c>
      <c r="AD976" s="82">
        <f t="shared" si="49"/>
        <v>0</v>
      </c>
      <c r="AE976" s="218">
        <v>-5.9211122629404848E-4</v>
      </c>
      <c r="AF976">
        <v>62</v>
      </c>
      <c r="AH976" t="str">
        <f t="shared" si="47"/>
        <v>Laldiyara</v>
      </c>
      <c r="AJ976" s="72">
        <v>0</v>
      </c>
      <c r="AK976" s="72"/>
      <c r="AL976" s="72"/>
      <c r="AM976" s="72"/>
    </row>
    <row r="977" spans="1:39" x14ac:dyDescent="0.25">
      <c r="A977" s="37" t="s">
        <v>62</v>
      </c>
      <c r="B977" s="66" t="s">
        <v>1615</v>
      </c>
      <c r="C977" s="41">
        <v>1002</v>
      </c>
      <c r="D977" s="41" t="s">
        <v>105</v>
      </c>
      <c r="E977" s="41">
        <v>10020021</v>
      </c>
      <c r="F977" s="85" t="s">
        <v>115</v>
      </c>
      <c r="G977" s="39" t="s">
        <v>93</v>
      </c>
      <c r="H977" s="52" t="s">
        <v>94</v>
      </c>
      <c r="I977" s="52">
        <v>5231.7999999999993</v>
      </c>
      <c r="J977" s="49">
        <v>225818.99999999997</v>
      </c>
      <c r="K977" s="58">
        <v>4715.3999999999996</v>
      </c>
      <c r="L977" s="58">
        <v>201210.04446789282</v>
      </c>
      <c r="M977" s="58">
        <v>621.90000000000009</v>
      </c>
      <c r="N977" s="58">
        <v>25902.2958898584</v>
      </c>
      <c r="O977" s="65">
        <v>5337.2999999999993</v>
      </c>
      <c r="P977" s="65">
        <v>227112.34035775121</v>
      </c>
      <c r="Q977" s="50">
        <v>225818.99999999997</v>
      </c>
      <c r="R977" s="65">
        <v>0</v>
      </c>
      <c r="S977" s="65">
        <v>1783.8088408800004</v>
      </c>
      <c r="T977" s="65">
        <v>1293.3403577512363</v>
      </c>
      <c r="U977" s="65">
        <v>0</v>
      </c>
      <c r="V977" s="65">
        <v>0</v>
      </c>
      <c r="W977" s="65">
        <v>0</v>
      </c>
      <c r="X977" s="65">
        <v>199916</v>
      </c>
      <c r="Y977" s="65">
        <v>24119</v>
      </c>
      <c r="Z977" s="65">
        <v>0</v>
      </c>
      <c r="AA977" s="51">
        <v>0</v>
      </c>
      <c r="AB977" s="102">
        <v>0</v>
      </c>
      <c r="AC977" s="81">
        <f t="shared" si="48"/>
        <v>0</v>
      </c>
      <c r="AD977" s="82">
        <f t="shared" si="49"/>
        <v>0</v>
      </c>
      <c r="AE977" s="218">
        <v>-5.7273318797410157E-3</v>
      </c>
      <c r="AF977">
        <v>31</v>
      </c>
      <c r="AH977" t="str">
        <f t="shared" si="47"/>
        <v>Laldiyara</v>
      </c>
      <c r="AJ977" s="72">
        <v>0</v>
      </c>
      <c r="AK977" s="72"/>
      <c r="AL977" s="72"/>
      <c r="AM977" s="72"/>
    </row>
    <row r="978" spans="1:39" x14ac:dyDescent="0.25">
      <c r="A978" s="37" t="s">
        <v>62</v>
      </c>
      <c r="B978" s="66" t="s">
        <v>1615</v>
      </c>
      <c r="C978" s="41">
        <v>1002</v>
      </c>
      <c r="D978" s="41" t="s">
        <v>105</v>
      </c>
      <c r="E978" s="41">
        <v>10020023</v>
      </c>
      <c r="F978" s="85" t="s">
        <v>117</v>
      </c>
      <c r="G978" s="39" t="s">
        <v>93</v>
      </c>
      <c r="H978" s="52" t="s">
        <v>94</v>
      </c>
      <c r="I978" s="52">
        <v>847.6</v>
      </c>
      <c r="J978" s="49">
        <v>32052.47</v>
      </c>
      <c r="K978" s="58">
        <v>868.00999999999988</v>
      </c>
      <c r="L978" s="58">
        <v>31964.827964322001</v>
      </c>
      <c r="M978" s="58">
        <v>7.8999999999999995</v>
      </c>
      <c r="N978" s="58">
        <v>295.54996581</v>
      </c>
      <c r="O978" s="65">
        <v>875.90999999999985</v>
      </c>
      <c r="P978" s="65">
        <v>32260.377930132003</v>
      </c>
      <c r="Q978" s="50">
        <v>32052.47</v>
      </c>
      <c r="R978" s="65">
        <v>0</v>
      </c>
      <c r="S978" s="65">
        <v>295.54996581</v>
      </c>
      <c r="T978" s="65">
        <v>207.90793013200164</v>
      </c>
      <c r="U978" s="65">
        <v>0</v>
      </c>
      <c r="V978" s="65">
        <v>0</v>
      </c>
      <c r="W978" s="65">
        <v>0</v>
      </c>
      <c r="X978" s="65">
        <v>31757</v>
      </c>
      <c r="Y978" s="65">
        <v>0</v>
      </c>
      <c r="Z978" s="65">
        <v>0</v>
      </c>
      <c r="AA978" s="51">
        <v>0</v>
      </c>
      <c r="AB978" s="102">
        <v>0</v>
      </c>
      <c r="AC978" s="81">
        <f t="shared" si="48"/>
        <v>0</v>
      </c>
      <c r="AD978" s="82">
        <f t="shared" si="49"/>
        <v>0</v>
      </c>
      <c r="AE978" s="218">
        <v>-6.4864870049640986E-3</v>
      </c>
      <c r="AF978">
        <v>25</v>
      </c>
      <c r="AH978" t="str">
        <f t="shared" si="47"/>
        <v>Laldiyara</v>
      </c>
      <c r="AJ978" s="72">
        <v>0</v>
      </c>
      <c r="AK978" s="72"/>
      <c r="AL978" s="72"/>
      <c r="AM978" s="72"/>
    </row>
    <row r="979" spans="1:39" x14ac:dyDescent="0.25">
      <c r="A979" s="37" t="s">
        <v>62</v>
      </c>
      <c r="B979" s="66" t="s">
        <v>1615</v>
      </c>
      <c r="C979" s="41">
        <v>1002</v>
      </c>
      <c r="D979" s="41" t="s">
        <v>105</v>
      </c>
      <c r="E979" s="41">
        <v>10020024</v>
      </c>
      <c r="F979" s="85" t="s">
        <v>118</v>
      </c>
      <c r="G979" s="39" t="s">
        <v>93</v>
      </c>
      <c r="H979" s="52" t="s">
        <v>94</v>
      </c>
      <c r="I979" s="52">
        <v>2997</v>
      </c>
      <c r="J979" s="49">
        <v>118970.65999999999</v>
      </c>
      <c r="K979" s="58">
        <v>3247.4600000000009</v>
      </c>
      <c r="L979" s="58">
        <v>129768.77652285734</v>
      </c>
      <c r="M979" s="58">
        <v>0</v>
      </c>
      <c r="N979" s="58">
        <v>0</v>
      </c>
      <c r="O979" s="65">
        <v>3247.4600000000009</v>
      </c>
      <c r="P979" s="65">
        <v>129768.77652285734</v>
      </c>
      <c r="Q979" s="50">
        <v>118970.65999999999</v>
      </c>
      <c r="R979" s="65">
        <v>0</v>
      </c>
      <c r="S979" s="65">
        <v>0</v>
      </c>
      <c r="T979" s="65">
        <v>10798.116522857352</v>
      </c>
      <c r="U979" s="65">
        <v>0</v>
      </c>
      <c r="V979" s="65">
        <v>0</v>
      </c>
      <c r="W979" s="65">
        <v>0</v>
      </c>
      <c r="X979" s="65">
        <v>118971</v>
      </c>
      <c r="Y979" s="65">
        <v>0</v>
      </c>
      <c r="Z979" s="65">
        <v>0</v>
      </c>
      <c r="AA979" s="51">
        <v>0</v>
      </c>
      <c r="AB979" s="102" t="s">
        <v>66</v>
      </c>
      <c r="AC979" s="81">
        <f t="shared" si="48"/>
        <v>0</v>
      </c>
      <c r="AD979" s="82">
        <f t="shared" si="49"/>
        <v>0</v>
      </c>
      <c r="AE979" s="218">
        <v>-9.0762852982889677E-2</v>
      </c>
      <c r="AF979">
        <v>75</v>
      </c>
      <c r="AH979" t="str">
        <f t="shared" si="47"/>
        <v>Laldiyara</v>
      </c>
      <c r="AJ979" s="72">
        <v>0</v>
      </c>
      <c r="AK979" s="72"/>
      <c r="AL979" s="72"/>
      <c r="AM979" s="72"/>
    </row>
    <row r="980" spans="1:39" x14ac:dyDescent="0.25">
      <c r="A980" s="37" t="s">
        <v>62</v>
      </c>
      <c r="B980" s="66" t="s">
        <v>1615</v>
      </c>
      <c r="C980" s="41">
        <v>1002</v>
      </c>
      <c r="D980" s="41" t="s">
        <v>105</v>
      </c>
      <c r="E980" s="41">
        <v>10020025</v>
      </c>
      <c r="F980" s="85" t="s">
        <v>119</v>
      </c>
      <c r="G980" s="39" t="s">
        <v>93</v>
      </c>
      <c r="H980" s="52" t="s">
        <v>94</v>
      </c>
      <c r="I980" s="52">
        <v>976.8</v>
      </c>
      <c r="J980" s="49">
        <v>37022.94</v>
      </c>
      <c r="K980" s="58">
        <v>975.43999999999994</v>
      </c>
      <c r="L980" s="58">
        <v>36671.404520908203</v>
      </c>
      <c r="M980" s="58">
        <v>9.92</v>
      </c>
      <c r="N980" s="58">
        <v>374.20315653599994</v>
      </c>
      <c r="O980" s="65">
        <v>985.3599999999999</v>
      </c>
      <c r="P980" s="65">
        <v>37045.607677444204</v>
      </c>
      <c r="Q980" s="50">
        <v>37022.94</v>
      </c>
      <c r="R980" s="65">
        <v>0</v>
      </c>
      <c r="S980" s="65">
        <v>374.20315653599994</v>
      </c>
      <c r="T980" s="65">
        <v>22.667677444202127</v>
      </c>
      <c r="U980" s="65">
        <v>0</v>
      </c>
      <c r="V980" s="65">
        <v>28.792620000000369</v>
      </c>
      <c r="W980" s="65">
        <v>0</v>
      </c>
      <c r="X980" s="65">
        <v>36620</v>
      </c>
      <c r="Y980" s="65">
        <v>0</v>
      </c>
      <c r="Z980" s="65">
        <v>0</v>
      </c>
      <c r="AA980" s="51">
        <v>0</v>
      </c>
      <c r="AB980" s="102">
        <v>0</v>
      </c>
      <c r="AC980" s="81">
        <f t="shared" si="48"/>
        <v>0</v>
      </c>
      <c r="AD980" s="82">
        <f t="shared" si="49"/>
        <v>0</v>
      </c>
      <c r="AE980" s="218">
        <v>-6.122603295200793E-4</v>
      </c>
      <c r="AF980">
        <v>15</v>
      </c>
      <c r="AH980" t="str">
        <f t="shared" si="47"/>
        <v>Laldiyara</v>
      </c>
      <c r="AJ980" s="72">
        <v>0</v>
      </c>
      <c r="AK980" s="72"/>
      <c r="AL980" s="72"/>
      <c r="AM980" s="72"/>
    </row>
    <row r="981" spans="1:39" x14ac:dyDescent="0.25">
      <c r="A981" s="37" t="s">
        <v>62</v>
      </c>
      <c r="B981" s="66" t="s">
        <v>1615</v>
      </c>
      <c r="C981" s="41">
        <v>1002</v>
      </c>
      <c r="D981" s="41" t="s">
        <v>105</v>
      </c>
      <c r="E981" s="41">
        <v>10020026</v>
      </c>
      <c r="F981" s="85" t="s">
        <v>120</v>
      </c>
      <c r="G981" s="39" t="s">
        <v>93</v>
      </c>
      <c r="H981" s="52" t="s">
        <v>94</v>
      </c>
      <c r="I981" s="52">
        <v>717.9</v>
      </c>
      <c r="J981" s="49">
        <v>29259.360000000001</v>
      </c>
      <c r="K981" s="58">
        <v>880.72</v>
      </c>
      <c r="L981" s="58">
        <v>36457.408416937978</v>
      </c>
      <c r="M981" s="58">
        <v>1.5199999999999998</v>
      </c>
      <c r="N981" s="58">
        <v>58.883752996200009</v>
      </c>
      <c r="O981" s="65">
        <v>882.24</v>
      </c>
      <c r="P981" s="65">
        <v>36516.292169934175</v>
      </c>
      <c r="Q981" s="50">
        <v>29259.360000000001</v>
      </c>
      <c r="R981" s="65">
        <v>0</v>
      </c>
      <c r="S981" s="65">
        <v>58.883752996200009</v>
      </c>
      <c r="T981" s="65">
        <v>7256.9321699341745</v>
      </c>
      <c r="U981" s="65">
        <v>0</v>
      </c>
      <c r="V981" s="65">
        <v>0</v>
      </c>
      <c r="W981" s="65">
        <v>0</v>
      </c>
      <c r="X981" s="65">
        <v>29200</v>
      </c>
      <c r="Y981" s="65">
        <v>0</v>
      </c>
      <c r="Z981" s="65">
        <v>0</v>
      </c>
      <c r="AA981" s="51">
        <v>0</v>
      </c>
      <c r="AB981" s="102">
        <v>0</v>
      </c>
      <c r="AC981" s="81">
        <f t="shared" si="48"/>
        <v>0</v>
      </c>
      <c r="AD981" s="82">
        <f t="shared" si="49"/>
        <v>0</v>
      </c>
      <c r="AE981" s="218">
        <v>-0.24802087844485232</v>
      </c>
      <c r="AF981">
        <v>5</v>
      </c>
      <c r="AH981" t="str">
        <f t="shared" si="47"/>
        <v>Laldiyara</v>
      </c>
      <c r="AJ981" s="72">
        <v>0</v>
      </c>
      <c r="AK981" s="72"/>
      <c r="AL981" s="72"/>
      <c r="AM981" s="72"/>
    </row>
    <row r="982" spans="1:39" x14ac:dyDescent="0.25">
      <c r="A982" s="37" t="s">
        <v>62</v>
      </c>
      <c r="B982" s="66" t="s">
        <v>1615</v>
      </c>
      <c r="C982" s="41">
        <v>1002</v>
      </c>
      <c r="D982" s="41" t="s">
        <v>105</v>
      </c>
      <c r="E982" s="41">
        <v>10020027</v>
      </c>
      <c r="F982" s="85" t="s">
        <v>121</v>
      </c>
      <c r="G982" s="39" t="s">
        <v>93</v>
      </c>
      <c r="H982" s="52" t="s">
        <v>94</v>
      </c>
      <c r="I982" s="52">
        <v>667.5</v>
      </c>
      <c r="J982" s="49">
        <v>24376.879999999997</v>
      </c>
      <c r="K982" s="58">
        <v>670.3</v>
      </c>
      <c r="L982" s="58">
        <v>24612.790569840003</v>
      </c>
      <c r="M982" s="58">
        <v>0</v>
      </c>
      <c r="N982" s="58">
        <v>0</v>
      </c>
      <c r="O982" s="65">
        <v>670.3</v>
      </c>
      <c r="P982" s="65">
        <v>24612.790569840003</v>
      </c>
      <c r="Q982" s="50">
        <v>24376.879999999997</v>
      </c>
      <c r="R982" s="65">
        <v>0</v>
      </c>
      <c r="S982" s="65">
        <v>0</v>
      </c>
      <c r="T982" s="65">
        <v>235.91056984000534</v>
      </c>
      <c r="U982" s="65">
        <v>0</v>
      </c>
      <c r="V982" s="65">
        <v>0</v>
      </c>
      <c r="W982" s="65">
        <v>0</v>
      </c>
      <c r="X982" s="65">
        <v>24377</v>
      </c>
      <c r="Y982" s="65">
        <v>0</v>
      </c>
      <c r="Z982" s="65">
        <v>0</v>
      </c>
      <c r="AA982" s="51">
        <v>0</v>
      </c>
      <c r="AB982" s="102">
        <v>0</v>
      </c>
      <c r="AC982" s="81">
        <f t="shared" si="48"/>
        <v>23.737785767790243</v>
      </c>
      <c r="AD982" s="82">
        <f t="shared" si="49"/>
        <v>95.357142857142861</v>
      </c>
      <c r="AE982" s="218">
        <v>-9.6776359337210245E-3</v>
      </c>
      <c r="AF982">
        <v>1</v>
      </c>
      <c r="AH982" t="str">
        <f t="shared" si="47"/>
        <v>Laldiyara</v>
      </c>
      <c r="AJ982" s="72">
        <v>0</v>
      </c>
      <c r="AK982" s="72"/>
      <c r="AL982" s="72"/>
      <c r="AM982" s="72"/>
    </row>
    <row r="983" spans="1:39" x14ac:dyDescent="0.25">
      <c r="A983" s="37" t="s">
        <v>62</v>
      </c>
      <c r="B983" s="66" t="s">
        <v>1615</v>
      </c>
      <c r="C983" s="41">
        <v>1002</v>
      </c>
      <c r="D983" s="41" t="s">
        <v>105</v>
      </c>
      <c r="E983" s="41">
        <v>10020029</v>
      </c>
      <c r="F983" s="85" t="s">
        <v>122</v>
      </c>
      <c r="G983" s="39" t="s">
        <v>93</v>
      </c>
      <c r="H983" s="52" t="s">
        <v>94</v>
      </c>
      <c r="I983" s="52">
        <v>345</v>
      </c>
      <c r="J983" s="49">
        <v>13681.580000000002</v>
      </c>
      <c r="K983" s="58">
        <v>342.13</v>
      </c>
      <c r="L983" s="58">
        <v>13697.29082594636</v>
      </c>
      <c r="M983" s="58">
        <v>2.85</v>
      </c>
      <c r="N983" s="58">
        <v>110.92271691600001</v>
      </c>
      <c r="O983" s="65">
        <v>344.98</v>
      </c>
      <c r="P983" s="65">
        <v>13808.213542862361</v>
      </c>
      <c r="Q983" s="50">
        <v>13681.580000000002</v>
      </c>
      <c r="R983" s="65">
        <v>0</v>
      </c>
      <c r="S983" s="65">
        <v>110.92271691600001</v>
      </c>
      <c r="T983" s="65">
        <v>126.63354286235881</v>
      </c>
      <c r="U983" s="65">
        <v>0</v>
      </c>
      <c r="V983" s="65">
        <v>0</v>
      </c>
      <c r="W983" s="65">
        <v>0</v>
      </c>
      <c r="X983" s="65">
        <v>13571</v>
      </c>
      <c r="Y983" s="65">
        <v>0</v>
      </c>
      <c r="Z983" s="65">
        <v>0</v>
      </c>
      <c r="AA983" s="51">
        <v>0</v>
      </c>
      <c r="AB983" s="102" t="s">
        <v>68</v>
      </c>
      <c r="AC983" s="81">
        <f t="shared" si="48"/>
        <v>281.56295072463769</v>
      </c>
      <c r="AD983" s="82">
        <f t="shared" si="49"/>
        <v>49.285714285714285</v>
      </c>
      <c r="AE983" s="218">
        <v>-9.25576891428905E-3</v>
      </c>
      <c r="AF983">
        <v>6</v>
      </c>
      <c r="AH983" t="str">
        <f t="shared" si="47"/>
        <v>Laldiyara</v>
      </c>
      <c r="AJ983" s="72">
        <v>0</v>
      </c>
      <c r="AK983" s="72"/>
      <c r="AL983" s="72"/>
      <c r="AM983" s="72"/>
    </row>
    <row r="984" spans="1:39" x14ac:dyDescent="0.25">
      <c r="A984" s="37" t="s">
        <v>62</v>
      </c>
      <c r="B984" s="66" t="s">
        <v>1615</v>
      </c>
      <c r="C984" s="41">
        <v>1002</v>
      </c>
      <c r="D984" s="41" t="s">
        <v>105</v>
      </c>
      <c r="E984" s="41">
        <v>10020032</v>
      </c>
      <c r="F984" s="85" t="s">
        <v>123</v>
      </c>
      <c r="G984" s="39" t="s">
        <v>93</v>
      </c>
      <c r="H984" s="52" t="s">
        <v>94</v>
      </c>
      <c r="I984" s="52">
        <v>838.80000000000007</v>
      </c>
      <c r="J984" s="49">
        <v>36884.48000000001</v>
      </c>
      <c r="K984" s="58">
        <v>851.56000000000017</v>
      </c>
      <c r="L984" s="58">
        <v>36921.495530897941</v>
      </c>
      <c r="M984" s="58">
        <v>10.77</v>
      </c>
      <c r="N984" s="58">
        <v>496.69340391628396</v>
      </c>
      <c r="O984" s="65">
        <v>862.33000000000015</v>
      </c>
      <c r="P984" s="65">
        <v>37418.188934814221</v>
      </c>
      <c r="Q984" s="50">
        <v>36884.48000000001</v>
      </c>
      <c r="R984" s="65">
        <v>0</v>
      </c>
      <c r="S984" s="65">
        <v>496.69340391628396</v>
      </c>
      <c r="T984" s="65">
        <v>533.70893481421081</v>
      </c>
      <c r="U984" s="65">
        <v>0</v>
      </c>
      <c r="V984" s="65">
        <v>0</v>
      </c>
      <c r="W984" s="65">
        <v>0</v>
      </c>
      <c r="X984" s="65">
        <v>36388</v>
      </c>
      <c r="Y984" s="65">
        <v>0</v>
      </c>
      <c r="Z984" s="65">
        <v>0</v>
      </c>
      <c r="AA984" s="51">
        <v>0</v>
      </c>
      <c r="AB984" s="102">
        <v>0</v>
      </c>
      <c r="AC984" s="81">
        <f t="shared" si="48"/>
        <v>0</v>
      </c>
      <c r="AD984" s="82">
        <f t="shared" si="49"/>
        <v>0</v>
      </c>
      <c r="AE984" s="218">
        <v>-1.4469742688909012E-2</v>
      </c>
      <c r="AF984">
        <v>17</v>
      </c>
      <c r="AH984" t="str">
        <f t="shared" si="47"/>
        <v>Laldiyara</v>
      </c>
      <c r="AJ984" s="72">
        <v>0</v>
      </c>
      <c r="AK984" s="72"/>
      <c r="AL984" s="72"/>
      <c r="AM984" s="72"/>
    </row>
    <row r="985" spans="1:39" x14ac:dyDescent="0.25">
      <c r="A985" s="37" t="s">
        <v>62</v>
      </c>
      <c r="B985" s="66" t="s">
        <v>1615</v>
      </c>
      <c r="C985" s="41">
        <v>1002</v>
      </c>
      <c r="D985" s="41" t="s">
        <v>105</v>
      </c>
      <c r="E985" s="41">
        <v>10020034</v>
      </c>
      <c r="F985" s="85" t="s">
        <v>124</v>
      </c>
      <c r="G985" s="39" t="s">
        <v>93</v>
      </c>
      <c r="H985" s="52" t="s">
        <v>94</v>
      </c>
      <c r="I985" s="52">
        <v>998.90000000000009</v>
      </c>
      <c r="J985" s="49">
        <v>40694.850000000006</v>
      </c>
      <c r="K985" s="58">
        <v>984.73999999999967</v>
      </c>
      <c r="L985" s="58">
        <v>39656.644762883967</v>
      </c>
      <c r="M985" s="58">
        <v>11.58</v>
      </c>
      <c r="N985" s="58">
        <v>438.86122592400011</v>
      </c>
      <c r="O985" s="65">
        <v>996.31999999999971</v>
      </c>
      <c r="P985" s="65">
        <v>40095.50598880797</v>
      </c>
      <c r="Q985" s="50">
        <v>40095.50598880797</v>
      </c>
      <c r="R985" s="65">
        <v>0</v>
      </c>
      <c r="S985" s="65">
        <v>438.86122592400011</v>
      </c>
      <c r="T985" s="65">
        <v>0</v>
      </c>
      <c r="U985" s="65">
        <v>0</v>
      </c>
      <c r="V985" s="65">
        <v>0</v>
      </c>
      <c r="W985" s="65">
        <v>0</v>
      </c>
      <c r="X985" s="65">
        <v>39656</v>
      </c>
      <c r="Y985" s="65">
        <v>0</v>
      </c>
      <c r="Z985" s="65">
        <v>0</v>
      </c>
      <c r="AA985" s="51">
        <v>600</v>
      </c>
      <c r="AB985" s="102">
        <v>0</v>
      </c>
      <c r="AC985" s="81">
        <f t="shared" si="48"/>
        <v>0</v>
      </c>
      <c r="AD985" s="82">
        <f t="shared" si="49"/>
        <v>0</v>
      </c>
      <c r="AE985" s="218">
        <v>1.4727760667308893E-2</v>
      </c>
      <c r="AF985">
        <v>28</v>
      </c>
      <c r="AH985" t="str">
        <f t="shared" si="47"/>
        <v>Laldiyara</v>
      </c>
      <c r="AJ985" s="72">
        <v>0</v>
      </c>
      <c r="AK985" s="72"/>
      <c r="AL985" s="72"/>
      <c r="AM985" s="72"/>
    </row>
    <row r="986" spans="1:39" x14ac:dyDescent="0.25">
      <c r="A986" s="37" t="s">
        <v>62</v>
      </c>
      <c r="B986" s="66" t="s">
        <v>1615</v>
      </c>
      <c r="C986" s="41">
        <v>1002</v>
      </c>
      <c r="D986" s="41" t="s">
        <v>105</v>
      </c>
      <c r="E986" s="41">
        <v>10020035</v>
      </c>
      <c r="F986" s="85" t="s">
        <v>125</v>
      </c>
      <c r="G986" s="39" t="s">
        <v>93</v>
      </c>
      <c r="H986" s="52" t="s">
        <v>94</v>
      </c>
      <c r="I986" s="52">
        <v>792.00000000000023</v>
      </c>
      <c r="J986" s="49">
        <v>33216.47</v>
      </c>
      <c r="K986" s="58">
        <v>776</v>
      </c>
      <c r="L986" s="58">
        <v>33948.858499016002</v>
      </c>
      <c r="M986" s="58">
        <v>23</v>
      </c>
      <c r="N986" s="58">
        <v>1091.3303583710003</v>
      </c>
      <c r="O986" s="65">
        <v>799</v>
      </c>
      <c r="P986" s="65">
        <v>35040.188857387002</v>
      </c>
      <c r="Q986" s="50">
        <v>33216.47</v>
      </c>
      <c r="R986" s="65">
        <v>0</v>
      </c>
      <c r="S986" s="65">
        <v>1091.3303583710003</v>
      </c>
      <c r="T986" s="65">
        <v>1823.7188573870008</v>
      </c>
      <c r="U986" s="65">
        <v>0</v>
      </c>
      <c r="V986" s="65">
        <v>721.77456000000029</v>
      </c>
      <c r="W986" s="65">
        <v>0</v>
      </c>
      <c r="X986" s="65">
        <v>31403</v>
      </c>
      <c r="Y986" s="65">
        <v>0</v>
      </c>
      <c r="Z986" s="65">
        <v>0</v>
      </c>
      <c r="AA986" s="51">
        <v>0</v>
      </c>
      <c r="AB986" s="102">
        <v>0</v>
      </c>
      <c r="AC986" s="81">
        <f t="shared" si="48"/>
        <v>0</v>
      </c>
      <c r="AD986" s="82">
        <f t="shared" si="49"/>
        <v>0</v>
      </c>
      <c r="AE986" s="218">
        <v>-5.4904053843981636E-2</v>
      </c>
      <c r="AF986">
        <v>5</v>
      </c>
      <c r="AH986" t="str">
        <f t="shared" si="47"/>
        <v>Laldiyara</v>
      </c>
      <c r="AJ986" s="72">
        <v>0</v>
      </c>
      <c r="AK986" s="72"/>
      <c r="AL986" s="72"/>
      <c r="AM986" s="72"/>
    </row>
    <row r="987" spans="1:39" x14ac:dyDescent="0.25">
      <c r="A987" s="37" t="s">
        <v>62</v>
      </c>
      <c r="B987" s="66" t="s">
        <v>1615</v>
      </c>
      <c r="C987" s="41">
        <v>1002</v>
      </c>
      <c r="D987" s="41" t="s">
        <v>105</v>
      </c>
      <c r="E987" s="41">
        <v>10020038</v>
      </c>
      <c r="F987" s="85" t="s">
        <v>126</v>
      </c>
      <c r="G987" s="39" t="s">
        <v>93</v>
      </c>
      <c r="H987" s="52" t="s">
        <v>94</v>
      </c>
      <c r="I987" s="52">
        <v>621.29999999999995</v>
      </c>
      <c r="J987" s="49">
        <v>24558.610000000004</v>
      </c>
      <c r="K987" s="58">
        <v>617.77999999999986</v>
      </c>
      <c r="L987" s="58">
        <v>23728.244937927</v>
      </c>
      <c r="M987" s="58">
        <v>6.2599999999999989</v>
      </c>
      <c r="N987" s="58">
        <v>246.14214371999998</v>
      </c>
      <c r="O987" s="65">
        <v>624.03999999999985</v>
      </c>
      <c r="P987" s="65">
        <v>23974.387081647001</v>
      </c>
      <c r="Q987" s="50">
        <v>23974.387081647001</v>
      </c>
      <c r="R987" s="65">
        <v>0</v>
      </c>
      <c r="S987" s="65">
        <v>246.14214371999998</v>
      </c>
      <c r="T987" s="65">
        <v>0</v>
      </c>
      <c r="U987" s="65">
        <v>0</v>
      </c>
      <c r="V987" s="65">
        <v>0</v>
      </c>
      <c r="W987" s="65">
        <v>0</v>
      </c>
      <c r="X987" s="65">
        <v>23726</v>
      </c>
      <c r="Y987" s="65">
        <v>0</v>
      </c>
      <c r="Z987" s="65">
        <v>0</v>
      </c>
      <c r="AA987" s="51">
        <v>586</v>
      </c>
      <c r="AB987" s="102">
        <v>0</v>
      </c>
      <c r="AC987" s="81">
        <f t="shared" si="48"/>
        <v>62.216726444551789</v>
      </c>
      <c r="AD987" s="82">
        <f t="shared" si="49"/>
        <v>88.757142857142853</v>
      </c>
      <c r="AE987" s="218">
        <v>2.3788924468974564E-2</v>
      </c>
      <c r="AF987">
        <v>13</v>
      </c>
      <c r="AH987" t="str">
        <f t="shared" si="47"/>
        <v>Laldiyara</v>
      </c>
      <c r="AJ987" s="72">
        <v>0</v>
      </c>
      <c r="AK987" s="72"/>
      <c r="AL987" s="72"/>
      <c r="AM987" s="72"/>
    </row>
    <row r="988" spans="1:39" x14ac:dyDescent="0.25">
      <c r="A988" s="37" t="s">
        <v>62</v>
      </c>
      <c r="B988" s="66" t="s">
        <v>1615</v>
      </c>
      <c r="C988" s="41">
        <v>1002</v>
      </c>
      <c r="D988" s="41" t="s">
        <v>105</v>
      </c>
      <c r="E988" s="41">
        <v>10020041</v>
      </c>
      <c r="F988" s="85" t="s">
        <v>127</v>
      </c>
      <c r="G988" s="39" t="s">
        <v>93</v>
      </c>
      <c r="H988" s="52" t="s">
        <v>94</v>
      </c>
      <c r="I988" s="52">
        <v>279.10000000000002</v>
      </c>
      <c r="J988" s="49">
        <v>11999.05</v>
      </c>
      <c r="K988" s="58">
        <v>278.31999999999994</v>
      </c>
      <c r="L988" s="58">
        <v>12256.082590337768</v>
      </c>
      <c r="M988" s="58">
        <v>2.2799999999999998</v>
      </c>
      <c r="N988" s="58">
        <v>86.000441076000016</v>
      </c>
      <c r="O988" s="65">
        <v>280.59999999999991</v>
      </c>
      <c r="P988" s="65">
        <v>12342.083031413767</v>
      </c>
      <c r="Q988" s="50">
        <v>11999.05</v>
      </c>
      <c r="R988" s="65">
        <v>0</v>
      </c>
      <c r="S988" s="65">
        <v>86.000441076000016</v>
      </c>
      <c r="T988" s="65">
        <v>343.03303141376819</v>
      </c>
      <c r="U988" s="65">
        <v>0</v>
      </c>
      <c r="V988" s="65">
        <v>0</v>
      </c>
      <c r="W988" s="65">
        <v>0</v>
      </c>
      <c r="X988" s="65">
        <v>11913</v>
      </c>
      <c r="Y988" s="65">
        <v>0</v>
      </c>
      <c r="Z988" s="65">
        <v>0</v>
      </c>
      <c r="AA988" s="51">
        <v>0</v>
      </c>
      <c r="AB988" s="102">
        <v>0</v>
      </c>
      <c r="AC988" s="81">
        <f t="shared" si="48"/>
        <v>361.90613722680035</v>
      </c>
      <c r="AD988" s="82">
        <f t="shared" si="49"/>
        <v>39.871428571428574</v>
      </c>
      <c r="AE988" s="218">
        <v>-2.8588349195458659E-2</v>
      </c>
      <c r="AF988">
        <v>7</v>
      </c>
      <c r="AH988" t="str">
        <f t="shared" si="47"/>
        <v>Laldiyara</v>
      </c>
      <c r="AJ988" s="72">
        <v>0</v>
      </c>
      <c r="AK988" s="72"/>
      <c r="AL988" s="72"/>
      <c r="AM988" s="72"/>
    </row>
    <row r="989" spans="1:39" x14ac:dyDescent="0.25">
      <c r="A989" s="37" t="s">
        <v>62</v>
      </c>
      <c r="B989" s="66" t="s">
        <v>1615</v>
      </c>
      <c r="C989" s="41">
        <v>1002</v>
      </c>
      <c r="D989" s="41" t="s">
        <v>105</v>
      </c>
      <c r="E989" s="41">
        <v>10020042</v>
      </c>
      <c r="F989" s="85" t="s">
        <v>128</v>
      </c>
      <c r="G989" s="39" t="s">
        <v>93</v>
      </c>
      <c r="H989" s="52" t="s">
        <v>94</v>
      </c>
      <c r="I989" s="52">
        <v>492</v>
      </c>
      <c r="J989" s="49">
        <v>18582.84</v>
      </c>
      <c r="K989" s="58">
        <v>492</v>
      </c>
      <c r="L989" s="58">
        <v>18610.690942800004</v>
      </c>
      <c r="M989" s="58">
        <v>0</v>
      </c>
      <c r="N989" s="58">
        <v>0</v>
      </c>
      <c r="O989" s="65">
        <v>492</v>
      </c>
      <c r="P989" s="65">
        <v>18610.690942800004</v>
      </c>
      <c r="Q989" s="50">
        <v>18582.84</v>
      </c>
      <c r="R989" s="65">
        <v>0</v>
      </c>
      <c r="S989" s="65">
        <v>0</v>
      </c>
      <c r="T989" s="65">
        <v>27.850942800003395</v>
      </c>
      <c r="U989" s="65">
        <v>0</v>
      </c>
      <c r="V989" s="65">
        <v>0</v>
      </c>
      <c r="W989" s="65">
        <v>0</v>
      </c>
      <c r="X989" s="65">
        <v>18583</v>
      </c>
      <c r="Y989" s="65">
        <v>0</v>
      </c>
      <c r="Z989" s="65">
        <v>0</v>
      </c>
      <c r="AA989" s="51">
        <v>0</v>
      </c>
      <c r="AB989" s="102">
        <v>0</v>
      </c>
      <c r="AC989" s="81">
        <f t="shared" si="48"/>
        <v>157.12319999999997</v>
      </c>
      <c r="AD989" s="82">
        <f t="shared" si="49"/>
        <v>70.285714285714292</v>
      </c>
      <c r="AE989" s="218">
        <v>-1.4987452294699516E-3</v>
      </c>
      <c r="AF989">
        <v>2</v>
      </c>
      <c r="AH989" t="str">
        <f t="shared" si="47"/>
        <v>Laldiyara</v>
      </c>
      <c r="AJ989" s="72">
        <v>0</v>
      </c>
      <c r="AK989" s="72"/>
      <c r="AL989" s="72"/>
      <c r="AM989" s="72"/>
    </row>
    <row r="990" spans="1:39" x14ac:dyDescent="0.25">
      <c r="A990" s="37" t="s">
        <v>62</v>
      </c>
      <c r="B990" s="66" t="s">
        <v>1615</v>
      </c>
      <c r="C990" s="41">
        <v>1002</v>
      </c>
      <c r="D990" s="41" t="s">
        <v>105</v>
      </c>
      <c r="E990" s="41">
        <v>10020043</v>
      </c>
      <c r="F990" s="85" t="s">
        <v>616</v>
      </c>
      <c r="G990" s="39" t="s">
        <v>93</v>
      </c>
      <c r="H990" s="52" t="s">
        <v>94</v>
      </c>
      <c r="I990" s="52">
        <v>1012.5</v>
      </c>
      <c r="J990" s="49">
        <v>41994.909999999996</v>
      </c>
      <c r="K990" s="58">
        <v>990.57</v>
      </c>
      <c r="L990" s="58">
        <v>41736.84945046858</v>
      </c>
      <c r="M990" s="58">
        <v>9.6199999999999992</v>
      </c>
      <c r="N990" s="58">
        <v>401.25773437200007</v>
      </c>
      <c r="O990" s="65">
        <v>1000.19</v>
      </c>
      <c r="P990" s="65">
        <v>42138.107184840577</v>
      </c>
      <c r="Q990" s="50">
        <v>41994.909999999996</v>
      </c>
      <c r="R990" s="65">
        <v>0</v>
      </c>
      <c r="S990" s="65">
        <v>401.25773437200007</v>
      </c>
      <c r="T990" s="65">
        <v>143.19718484058103</v>
      </c>
      <c r="U990" s="65">
        <v>0</v>
      </c>
      <c r="V990" s="65">
        <v>0</v>
      </c>
      <c r="W990" s="65">
        <v>0</v>
      </c>
      <c r="X990" s="65">
        <v>41594</v>
      </c>
      <c r="Y990" s="65">
        <v>0</v>
      </c>
      <c r="Z990" s="65">
        <v>0</v>
      </c>
      <c r="AA990" s="51">
        <v>0</v>
      </c>
      <c r="AB990" s="102">
        <v>0</v>
      </c>
      <c r="AC990" s="81">
        <f t="shared" si="48"/>
        <v>0</v>
      </c>
      <c r="AD990" s="82">
        <f t="shared" si="49"/>
        <v>0</v>
      </c>
      <c r="AE990" s="218">
        <v>-3.4098700256907574E-3</v>
      </c>
      <c r="AF990">
        <v>7</v>
      </c>
      <c r="AH990" t="str">
        <f t="shared" si="47"/>
        <v>Laldiyara</v>
      </c>
      <c r="AJ990" s="72">
        <v>0</v>
      </c>
      <c r="AK990" s="72"/>
      <c r="AL990" s="72"/>
      <c r="AM990" s="72"/>
    </row>
    <row r="991" spans="1:39" x14ac:dyDescent="0.25">
      <c r="A991" s="37" t="s">
        <v>62</v>
      </c>
      <c r="B991" s="66" t="s">
        <v>1615</v>
      </c>
      <c r="C991" s="41">
        <v>1002</v>
      </c>
      <c r="D991" s="41" t="s">
        <v>105</v>
      </c>
      <c r="E991" s="41">
        <v>10020044</v>
      </c>
      <c r="F991" s="85" t="s">
        <v>129</v>
      </c>
      <c r="G991" s="39" t="s">
        <v>93</v>
      </c>
      <c r="H991" s="52" t="s">
        <v>94</v>
      </c>
      <c r="I991" s="52">
        <v>1158.2</v>
      </c>
      <c r="J991" s="49">
        <v>51044.240000000005</v>
      </c>
      <c r="K991" s="58">
        <v>1155.8599999999999</v>
      </c>
      <c r="L991" s="58">
        <v>50246.778376600312</v>
      </c>
      <c r="M991" s="58">
        <v>7.9200000000000026</v>
      </c>
      <c r="N991" s="58">
        <v>336.93220400400003</v>
      </c>
      <c r="O991" s="65">
        <v>1163.78</v>
      </c>
      <c r="P991" s="65">
        <v>50583.710580604311</v>
      </c>
      <c r="Q991" s="50">
        <v>50583.710580604311</v>
      </c>
      <c r="R991" s="65">
        <v>0</v>
      </c>
      <c r="S991" s="65">
        <v>336.93220400400003</v>
      </c>
      <c r="T991" s="65">
        <v>0</v>
      </c>
      <c r="U991" s="65">
        <v>0</v>
      </c>
      <c r="V991" s="65">
        <v>0</v>
      </c>
      <c r="W991" s="65">
        <v>0</v>
      </c>
      <c r="X991" s="65">
        <v>50248</v>
      </c>
      <c r="Y991" s="65">
        <v>0</v>
      </c>
      <c r="Z991" s="65">
        <v>0</v>
      </c>
      <c r="AA991" s="51">
        <v>459</v>
      </c>
      <c r="AB991" s="102">
        <v>0</v>
      </c>
      <c r="AC991" s="81">
        <f t="shared" si="48"/>
        <v>0</v>
      </c>
      <c r="AD991" s="82">
        <f t="shared" si="49"/>
        <v>0</v>
      </c>
      <c r="AE991" s="218">
        <v>9.0221623320416618E-3</v>
      </c>
      <c r="AF991">
        <v>20</v>
      </c>
      <c r="AH991" t="str">
        <f t="shared" si="47"/>
        <v>Laldiyara</v>
      </c>
      <c r="AJ991" s="72">
        <v>0</v>
      </c>
      <c r="AK991" s="72"/>
      <c r="AL991" s="72"/>
      <c r="AM991" s="72"/>
    </row>
    <row r="992" spans="1:39" x14ac:dyDescent="0.25">
      <c r="A992" s="37" t="s">
        <v>62</v>
      </c>
      <c r="B992" s="66" t="s">
        <v>1615</v>
      </c>
      <c r="C992" s="41">
        <v>1002</v>
      </c>
      <c r="D992" s="41" t="s">
        <v>105</v>
      </c>
      <c r="E992" s="41">
        <v>10020047</v>
      </c>
      <c r="F992" s="85" t="s">
        <v>437</v>
      </c>
      <c r="G992" s="39" t="s">
        <v>635</v>
      </c>
      <c r="H992" s="52" t="s">
        <v>99</v>
      </c>
      <c r="I992" s="52">
        <v>3756</v>
      </c>
      <c r="J992" s="49">
        <v>150470.08000000002</v>
      </c>
      <c r="K992" s="58">
        <v>0</v>
      </c>
      <c r="L992" s="58">
        <v>0</v>
      </c>
      <c r="M992" s="58">
        <v>0</v>
      </c>
      <c r="N992" s="58">
        <v>0</v>
      </c>
      <c r="O992" s="65">
        <v>0</v>
      </c>
      <c r="P992" s="65">
        <v>0</v>
      </c>
      <c r="Q992" s="50">
        <v>150470.08000000002</v>
      </c>
      <c r="R992" s="65">
        <v>0</v>
      </c>
      <c r="S992" s="65">
        <v>0</v>
      </c>
      <c r="T992" s="65">
        <v>0</v>
      </c>
      <c r="U992" s="65">
        <v>0</v>
      </c>
      <c r="V992" s="65">
        <v>0</v>
      </c>
      <c r="W992" s="65">
        <v>0</v>
      </c>
      <c r="X992" s="65">
        <v>0</v>
      </c>
      <c r="Y992" s="65">
        <v>0</v>
      </c>
      <c r="Z992" s="65">
        <v>150470.08000000002</v>
      </c>
      <c r="AA992" s="51">
        <v>0</v>
      </c>
      <c r="AB992" s="102">
        <v>0</v>
      </c>
      <c r="AC992" s="81">
        <f t="shared" si="48"/>
        <v>0</v>
      </c>
      <c r="AD992" s="82">
        <f t="shared" si="49"/>
        <v>0</v>
      </c>
      <c r="AE992" s="218">
        <v>0</v>
      </c>
      <c r="AF992">
        <v>0</v>
      </c>
      <c r="AH992" t="str">
        <f t="shared" si="47"/>
        <v>Laldiyara</v>
      </c>
      <c r="AJ992" s="72">
        <v>0</v>
      </c>
      <c r="AK992" s="72"/>
      <c r="AL992" s="72"/>
      <c r="AM992" s="72"/>
    </row>
    <row r="993" spans="1:39" x14ac:dyDescent="0.25">
      <c r="A993" s="37" t="s">
        <v>62</v>
      </c>
      <c r="B993" s="66" t="s">
        <v>1615</v>
      </c>
      <c r="C993" s="41">
        <v>1002</v>
      </c>
      <c r="D993" s="41" t="s">
        <v>105</v>
      </c>
      <c r="E993" s="41">
        <v>10020050</v>
      </c>
      <c r="F993" s="85" t="s">
        <v>130</v>
      </c>
      <c r="G993" s="39" t="s">
        <v>93</v>
      </c>
      <c r="H993" s="52" t="s">
        <v>94</v>
      </c>
      <c r="I993" s="52">
        <v>926.6</v>
      </c>
      <c r="J993" s="49">
        <v>37022.380000000005</v>
      </c>
      <c r="K993" s="58">
        <v>922.21</v>
      </c>
      <c r="L993" s="58">
        <v>36958.224126548404</v>
      </c>
      <c r="M993" s="58">
        <v>4.8299999999999992</v>
      </c>
      <c r="N993" s="58">
        <v>185.15889414000003</v>
      </c>
      <c r="O993" s="65">
        <v>927.04000000000008</v>
      </c>
      <c r="P993" s="65">
        <v>37143.383020688401</v>
      </c>
      <c r="Q993" s="50">
        <v>37022.380000000005</v>
      </c>
      <c r="R993" s="65">
        <v>0</v>
      </c>
      <c r="S993" s="65">
        <v>185.15889414000003</v>
      </c>
      <c r="T993" s="65">
        <v>121.00302068839665</v>
      </c>
      <c r="U993" s="65">
        <v>0</v>
      </c>
      <c r="V993" s="65">
        <v>0</v>
      </c>
      <c r="W993" s="65">
        <v>0</v>
      </c>
      <c r="X993" s="65">
        <v>36837</v>
      </c>
      <c r="Y993" s="65">
        <v>0</v>
      </c>
      <c r="Z993" s="65">
        <v>0</v>
      </c>
      <c r="AA993" s="51">
        <v>0</v>
      </c>
      <c r="AB993" s="102" t="s">
        <v>68</v>
      </c>
      <c r="AC993" s="81">
        <f t="shared" si="48"/>
        <v>0</v>
      </c>
      <c r="AD993" s="82">
        <f t="shared" si="49"/>
        <v>0</v>
      </c>
      <c r="AE993" s="218">
        <v>-3.2683749853033928E-3</v>
      </c>
      <c r="AF993">
        <v>10</v>
      </c>
      <c r="AH993" t="str">
        <f t="shared" si="47"/>
        <v>Laldiyara</v>
      </c>
      <c r="AJ993" s="72">
        <v>0</v>
      </c>
      <c r="AK993" s="72"/>
      <c r="AL993" s="72"/>
      <c r="AM993" s="72"/>
    </row>
    <row r="994" spans="1:39" x14ac:dyDescent="0.25">
      <c r="A994" s="37" t="s">
        <v>62</v>
      </c>
      <c r="B994" s="66" t="s">
        <v>1615</v>
      </c>
      <c r="C994" s="41">
        <v>1002</v>
      </c>
      <c r="D994" s="41" t="s">
        <v>105</v>
      </c>
      <c r="E994" s="41">
        <v>10020052</v>
      </c>
      <c r="F994" s="85" t="s">
        <v>1585</v>
      </c>
      <c r="G994" s="39" t="s">
        <v>635</v>
      </c>
      <c r="H994" s="52" t="s">
        <v>99</v>
      </c>
      <c r="I994" s="52">
        <v>221</v>
      </c>
      <c r="J994" s="49">
        <v>13348.710000000001</v>
      </c>
      <c r="K994" s="58">
        <v>0</v>
      </c>
      <c r="L994" s="58">
        <v>0</v>
      </c>
      <c r="M994" s="58">
        <v>0</v>
      </c>
      <c r="N994" s="58">
        <v>0</v>
      </c>
      <c r="O994" s="65">
        <v>0</v>
      </c>
      <c r="P994" s="65">
        <v>0</v>
      </c>
      <c r="Q994" s="50">
        <v>13348.710000000001</v>
      </c>
      <c r="R994" s="65">
        <v>0</v>
      </c>
      <c r="S994" s="65">
        <v>0</v>
      </c>
      <c r="T994" s="65">
        <v>0</v>
      </c>
      <c r="U994" s="65">
        <v>0</v>
      </c>
      <c r="V994" s="65">
        <v>0</v>
      </c>
      <c r="W994" s="65">
        <v>0</v>
      </c>
      <c r="X994" s="65">
        <v>0</v>
      </c>
      <c r="Y994" s="65">
        <v>0</v>
      </c>
      <c r="Z994" s="65">
        <v>13348.710000000001</v>
      </c>
      <c r="AA994" s="51">
        <v>0</v>
      </c>
      <c r="AB994" s="102">
        <v>0</v>
      </c>
      <c r="AC994" s="81">
        <f t="shared" si="48"/>
        <v>578.64543800904983</v>
      </c>
      <c r="AD994" s="82">
        <f t="shared" si="49"/>
        <v>31.571428571428573</v>
      </c>
      <c r="AE994" s="218">
        <v>0</v>
      </c>
      <c r="AF994">
        <v>0</v>
      </c>
      <c r="AH994" t="str">
        <f t="shared" si="47"/>
        <v>Laldiyara</v>
      </c>
      <c r="AJ994" s="72">
        <v>0</v>
      </c>
      <c r="AK994" s="72"/>
      <c r="AL994" s="72"/>
      <c r="AM994" s="72"/>
    </row>
    <row r="995" spans="1:39" x14ac:dyDescent="0.25">
      <c r="A995" s="37" t="s">
        <v>62</v>
      </c>
      <c r="B995" s="66" t="s">
        <v>1615</v>
      </c>
      <c r="C995" s="41">
        <v>1002</v>
      </c>
      <c r="D995" s="41" t="s">
        <v>105</v>
      </c>
      <c r="E995" s="41">
        <v>10020054</v>
      </c>
      <c r="F995" s="85" t="s">
        <v>131</v>
      </c>
      <c r="G995" s="39" t="s">
        <v>635</v>
      </c>
      <c r="H995" s="52" t="s">
        <v>99</v>
      </c>
      <c r="I995" s="52">
        <v>888.90000000000009</v>
      </c>
      <c r="J995" s="49">
        <v>35748.549999999996</v>
      </c>
      <c r="K995" s="58">
        <v>0</v>
      </c>
      <c r="L995" s="58">
        <v>0</v>
      </c>
      <c r="M995" s="58">
        <v>0</v>
      </c>
      <c r="N995" s="58">
        <v>0</v>
      </c>
      <c r="O995" s="65">
        <v>0</v>
      </c>
      <c r="P995" s="65">
        <v>0</v>
      </c>
      <c r="Q995" s="50">
        <v>35748.549999999996</v>
      </c>
      <c r="R995" s="65">
        <v>0</v>
      </c>
      <c r="S995" s="65">
        <v>0</v>
      </c>
      <c r="T995" s="65">
        <v>0</v>
      </c>
      <c r="U995" s="65">
        <v>0</v>
      </c>
      <c r="V995" s="65">
        <v>559.2979741935485</v>
      </c>
      <c r="W995" s="65">
        <v>0</v>
      </c>
      <c r="X995" s="65">
        <v>0</v>
      </c>
      <c r="Y995" s="65">
        <v>0</v>
      </c>
      <c r="Z995" s="65">
        <v>35189.252025806447</v>
      </c>
      <c r="AA995" s="51">
        <v>0</v>
      </c>
      <c r="AB995" s="102">
        <v>0</v>
      </c>
      <c r="AC995" s="81">
        <f t="shared" si="48"/>
        <v>0</v>
      </c>
      <c r="AD995" s="82">
        <f t="shared" si="49"/>
        <v>0</v>
      </c>
      <c r="AE995" s="218">
        <v>0</v>
      </c>
      <c r="AF995">
        <v>0</v>
      </c>
      <c r="AH995" t="str">
        <f t="shared" si="47"/>
        <v>Laldiyara</v>
      </c>
      <c r="AJ995" s="72">
        <v>0</v>
      </c>
      <c r="AK995" s="72"/>
      <c r="AL995" s="72"/>
      <c r="AM995" s="72"/>
    </row>
    <row r="996" spans="1:39" x14ac:dyDescent="0.25">
      <c r="A996" s="37" t="s">
        <v>62</v>
      </c>
      <c r="B996" s="66" t="s">
        <v>1615</v>
      </c>
      <c r="C996" s="41">
        <v>1002</v>
      </c>
      <c r="D996" s="41" t="s">
        <v>105</v>
      </c>
      <c r="E996" s="41">
        <v>10020057</v>
      </c>
      <c r="F996" s="85" t="s">
        <v>132</v>
      </c>
      <c r="G996" s="39" t="s">
        <v>93</v>
      </c>
      <c r="H996" s="52" t="s">
        <v>94</v>
      </c>
      <c r="I996" s="52">
        <v>3080.1</v>
      </c>
      <c r="J996" s="49">
        <v>133513.56999999998</v>
      </c>
      <c r="K996" s="58">
        <v>2414.66</v>
      </c>
      <c r="L996" s="58">
        <v>108666.92076778594</v>
      </c>
      <c r="M996" s="58">
        <v>604.80999999999995</v>
      </c>
      <c r="N996" s="58">
        <v>24925.402088095696</v>
      </c>
      <c r="O996" s="65">
        <v>3019.47</v>
      </c>
      <c r="P996" s="65">
        <v>133592.32285588165</v>
      </c>
      <c r="Q996" s="50">
        <v>133513.56999999998</v>
      </c>
      <c r="R996" s="65">
        <v>0</v>
      </c>
      <c r="S996" s="65">
        <v>1480.1629110437</v>
      </c>
      <c r="T996" s="65">
        <v>78.752855881670257</v>
      </c>
      <c r="U996" s="65">
        <v>0</v>
      </c>
      <c r="V996" s="65">
        <v>0</v>
      </c>
      <c r="W996" s="65">
        <v>0</v>
      </c>
      <c r="X996" s="65">
        <v>108587</v>
      </c>
      <c r="Y996" s="65">
        <v>23446</v>
      </c>
      <c r="Z996" s="65">
        <v>0</v>
      </c>
      <c r="AA996" s="51">
        <v>0</v>
      </c>
      <c r="AB996" s="102">
        <v>0</v>
      </c>
      <c r="AC996" s="81">
        <f t="shared" si="48"/>
        <v>0</v>
      </c>
      <c r="AD996" s="82">
        <f t="shared" si="49"/>
        <v>0</v>
      </c>
      <c r="AE996" s="218">
        <v>-5.898490758779821E-4</v>
      </c>
      <c r="AF996">
        <v>14</v>
      </c>
      <c r="AH996" t="str">
        <f t="shared" si="47"/>
        <v>Laldiyara</v>
      </c>
      <c r="AJ996" s="72">
        <v>0</v>
      </c>
      <c r="AK996" s="72"/>
      <c r="AL996" s="72"/>
      <c r="AM996" s="72"/>
    </row>
    <row r="997" spans="1:39" x14ac:dyDescent="0.25">
      <c r="A997" s="37" t="s">
        <v>62</v>
      </c>
      <c r="B997" s="66" t="s">
        <v>1615</v>
      </c>
      <c r="C997" s="41">
        <v>1002</v>
      </c>
      <c r="D997" s="41" t="s">
        <v>105</v>
      </c>
      <c r="E997" s="41">
        <v>10020058</v>
      </c>
      <c r="F997" s="85" t="s">
        <v>133</v>
      </c>
      <c r="G997" s="39" t="s">
        <v>93</v>
      </c>
      <c r="H997" s="52" t="s">
        <v>94</v>
      </c>
      <c r="I997" s="52">
        <v>1016.4999999999999</v>
      </c>
      <c r="J997" s="49">
        <v>40848.889999999992</v>
      </c>
      <c r="K997" s="58">
        <v>344.74</v>
      </c>
      <c r="L997" s="58">
        <v>14340.932595576091</v>
      </c>
      <c r="M997" s="58">
        <v>680.19</v>
      </c>
      <c r="N997" s="58">
        <v>26220.956758207201</v>
      </c>
      <c r="O997" s="65">
        <v>1024.93</v>
      </c>
      <c r="P997" s="65">
        <v>40561.889353783292</v>
      </c>
      <c r="Q997" s="50">
        <v>40561.889353783292</v>
      </c>
      <c r="R997" s="65">
        <v>0</v>
      </c>
      <c r="S997" s="65">
        <v>234.76437462060005</v>
      </c>
      <c r="T997" s="65">
        <v>0</v>
      </c>
      <c r="U997" s="65">
        <v>0</v>
      </c>
      <c r="V997" s="65">
        <v>0</v>
      </c>
      <c r="W997" s="65">
        <v>0</v>
      </c>
      <c r="X997" s="65">
        <v>14341</v>
      </c>
      <c r="Y997" s="65">
        <v>25985</v>
      </c>
      <c r="Z997" s="65">
        <v>0</v>
      </c>
      <c r="AA997" s="51">
        <v>288</v>
      </c>
      <c r="AB997" s="102">
        <v>0</v>
      </c>
      <c r="AC997" s="81">
        <f t="shared" si="48"/>
        <v>0</v>
      </c>
      <c r="AD997" s="82">
        <f t="shared" si="49"/>
        <v>0</v>
      </c>
      <c r="AE997" s="218">
        <v>7.0259105257621524E-3</v>
      </c>
      <c r="AF997">
        <v>9</v>
      </c>
      <c r="AH997" t="str">
        <f t="shared" si="47"/>
        <v>Laldiyara</v>
      </c>
      <c r="AJ997" s="72">
        <v>0</v>
      </c>
      <c r="AK997" s="72"/>
      <c r="AL997" s="72"/>
      <c r="AM997" s="72"/>
    </row>
    <row r="998" spans="1:39" x14ac:dyDescent="0.25">
      <c r="A998" s="37" t="s">
        <v>62</v>
      </c>
      <c r="B998" s="66" t="s">
        <v>1615</v>
      </c>
      <c r="C998" s="41">
        <v>1002</v>
      </c>
      <c r="D998" s="41" t="s">
        <v>105</v>
      </c>
      <c r="E998" s="41">
        <v>10020059</v>
      </c>
      <c r="F998" s="85" t="s">
        <v>134</v>
      </c>
      <c r="G998" s="39" t="s">
        <v>93</v>
      </c>
      <c r="H998" s="52" t="s">
        <v>94</v>
      </c>
      <c r="I998" s="52">
        <v>1276.0999999999999</v>
      </c>
      <c r="J998" s="49">
        <v>50533.48</v>
      </c>
      <c r="K998" s="58">
        <v>1267.08</v>
      </c>
      <c r="L998" s="58">
        <v>50214.022272813199</v>
      </c>
      <c r="M998" s="58">
        <v>12.900000000000002</v>
      </c>
      <c r="N998" s="58">
        <v>476.24878857600004</v>
      </c>
      <c r="O998" s="65">
        <v>1279.98</v>
      </c>
      <c r="P998" s="65">
        <v>50690.271061389198</v>
      </c>
      <c r="Q998" s="50">
        <v>50533.48</v>
      </c>
      <c r="R998" s="65">
        <v>0</v>
      </c>
      <c r="S998" s="65">
        <v>476.24878857600004</v>
      </c>
      <c r="T998" s="65">
        <v>156.79106138919451</v>
      </c>
      <c r="U998" s="65">
        <v>0</v>
      </c>
      <c r="V998" s="65">
        <v>0</v>
      </c>
      <c r="W998" s="65">
        <v>0</v>
      </c>
      <c r="X998" s="65">
        <v>50057</v>
      </c>
      <c r="Y998" s="65">
        <v>0</v>
      </c>
      <c r="Z998" s="65">
        <v>0</v>
      </c>
      <c r="AA998" s="51">
        <v>0</v>
      </c>
      <c r="AB998" s="102">
        <v>0</v>
      </c>
      <c r="AC998" s="81">
        <f t="shared" si="48"/>
        <v>0</v>
      </c>
      <c r="AD998" s="82">
        <f t="shared" si="49"/>
        <v>0</v>
      </c>
      <c r="AE998" s="218">
        <v>-3.1027164839863494E-3</v>
      </c>
      <c r="AF998">
        <v>8</v>
      </c>
      <c r="AH998" t="str">
        <f t="shared" si="47"/>
        <v>Laldiyara</v>
      </c>
      <c r="AJ998" s="72">
        <v>0</v>
      </c>
      <c r="AK998" s="72"/>
      <c r="AL998" s="72"/>
      <c r="AM998" s="72"/>
    </row>
    <row r="999" spans="1:39" x14ac:dyDescent="0.25">
      <c r="A999" s="37" t="s">
        <v>62</v>
      </c>
      <c r="B999" s="66" t="s">
        <v>1615</v>
      </c>
      <c r="C999" s="41">
        <v>1002</v>
      </c>
      <c r="D999" s="41" t="s">
        <v>105</v>
      </c>
      <c r="E999" s="41">
        <v>10020062</v>
      </c>
      <c r="F999" s="85" t="s">
        <v>135</v>
      </c>
      <c r="G999" s="39" t="s">
        <v>93</v>
      </c>
      <c r="H999" s="52" t="s">
        <v>94</v>
      </c>
      <c r="I999" s="111">
        <v>328.4</v>
      </c>
      <c r="J999" s="49">
        <v>13403.130000000001</v>
      </c>
      <c r="K999" s="58">
        <v>327.14</v>
      </c>
      <c r="L999" s="58">
        <v>12827.626245889915</v>
      </c>
      <c r="M999" s="58">
        <v>4.63</v>
      </c>
      <c r="N999" s="58">
        <v>171.28325806020001</v>
      </c>
      <c r="O999" s="65">
        <v>331.77</v>
      </c>
      <c r="P999" s="65">
        <v>12998.909503950115</v>
      </c>
      <c r="Q999" s="50">
        <v>12998.909503950115</v>
      </c>
      <c r="R999" s="65">
        <v>0</v>
      </c>
      <c r="S999" s="65">
        <v>171.28325806020001</v>
      </c>
      <c r="T999" s="65">
        <v>0</v>
      </c>
      <c r="U999" s="65">
        <v>0</v>
      </c>
      <c r="V999" s="65">
        <v>0</v>
      </c>
      <c r="W999" s="65">
        <v>0</v>
      </c>
      <c r="X999" s="65">
        <v>12828</v>
      </c>
      <c r="Y999" s="65">
        <v>0</v>
      </c>
      <c r="Z999" s="65">
        <v>0</v>
      </c>
      <c r="AA999" s="51">
        <v>404</v>
      </c>
      <c r="AB999" s="102">
        <v>0</v>
      </c>
      <c r="AC999" s="81">
        <f t="shared" si="48"/>
        <v>303.32540243605365</v>
      </c>
      <c r="AD999" s="82">
        <f t="shared" si="49"/>
        <v>46.914285714285711</v>
      </c>
      <c r="AE999" s="218">
        <v>3.0158664136652084E-2</v>
      </c>
      <c r="AF999">
        <v>16</v>
      </c>
      <c r="AH999" t="str">
        <f t="shared" si="47"/>
        <v>Laldiyara</v>
      </c>
      <c r="AJ999" s="72">
        <v>0</v>
      </c>
      <c r="AK999" s="72"/>
      <c r="AL999" s="72"/>
      <c r="AM999" s="72"/>
    </row>
    <row r="1000" spans="1:39" x14ac:dyDescent="0.25">
      <c r="A1000" s="37" t="s">
        <v>62</v>
      </c>
      <c r="B1000" s="66" t="s">
        <v>1615</v>
      </c>
      <c r="C1000" s="41">
        <v>1002</v>
      </c>
      <c r="D1000" s="41" t="s">
        <v>105</v>
      </c>
      <c r="E1000" s="41">
        <v>10020063</v>
      </c>
      <c r="F1000" s="85" t="s">
        <v>136</v>
      </c>
      <c r="G1000" s="39" t="s">
        <v>93</v>
      </c>
      <c r="H1000" s="52" t="s">
        <v>94</v>
      </c>
      <c r="I1000" s="52">
        <v>1284.9000000000001</v>
      </c>
      <c r="J1000" s="49">
        <v>52966.449999999983</v>
      </c>
      <c r="K1000" s="58">
        <v>603.1400000000001</v>
      </c>
      <c r="L1000" s="58">
        <v>28310.193411884473</v>
      </c>
      <c r="M1000" s="58">
        <v>682.32</v>
      </c>
      <c r="N1000" s="58">
        <v>27163.295862393603</v>
      </c>
      <c r="O1000" s="65">
        <v>1285.46</v>
      </c>
      <c r="P1000" s="65">
        <v>55473.489274278079</v>
      </c>
      <c r="Q1000" s="50">
        <v>52966.449999999983</v>
      </c>
      <c r="R1000" s="65">
        <v>0</v>
      </c>
      <c r="S1000" s="65">
        <v>326.99701782</v>
      </c>
      <c r="T1000" s="65">
        <v>2507.0392742780969</v>
      </c>
      <c r="U1000" s="65">
        <v>0</v>
      </c>
      <c r="V1000" s="65">
        <v>0</v>
      </c>
      <c r="W1000" s="65">
        <v>0</v>
      </c>
      <c r="X1000" s="65">
        <v>25803</v>
      </c>
      <c r="Y1000" s="65">
        <v>26836</v>
      </c>
      <c r="Z1000" s="65">
        <v>0</v>
      </c>
      <c r="AA1000" s="51">
        <v>0</v>
      </c>
      <c r="AB1000" s="102">
        <v>0</v>
      </c>
      <c r="AC1000" s="81">
        <f t="shared" si="48"/>
        <v>0</v>
      </c>
      <c r="AD1000" s="82">
        <f t="shared" si="49"/>
        <v>0</v>
      </c>
      <c r="AE1000" s="218">
        <v>-4.7332590239257073E-2</v>
      </c>
      <c r="AF1000">
        <v>10</v>
      </c>
      <c r="AH1000" t="str">
        <f t="shared" si="47"/>
        <v>Laldiyara</v>
      </c>
      <c r="AJ1000" s="72">
        <v>0</v>
      </c>
      <c r="AK1000" s="72"/>
      <c r="AL1000" s="72"/>
      <c r="AM1000" s="72"/>
    </row>
    <row r="1001" spans="1:39" x14ac:dyDescent="0.25">
      <c r="A1001" s="37" t="s">
        <v>62</v>
      </c>
      <c r="B1001" s="66" t="s">
        <v>1615</v>
      </c>
      <c r="C1001" s="41">
        <v>1002</v>
      </c>
      <c r="D1001" s="41" t="s">
        <v>105</v>
      </c>
      <c r="E1001" s="41">
        <v>10020064</v>
      </c>
      <c r="F1001" s="85" t="s">
        <v>137</v>
      </c>
      <c r="G1001" s="39" t="s">
        <v>635</v>
      </c>
      <c r="H1001" s="52" t="s">
        <v>99</v>
      </c>
      <c r="I1001" s="49">
        <v>859.50000000000011</v>
      </c>
      <c r="J1001" s="49">
        <v>34203.439999999995</v>
      </c>
      <c r="K1001" s="58">
        <v>0</v>
      </c>
      <c r="L1001" s="58">
        <v>0</v>
      </c>
      <c r="M1001" s="58">
        <v>0</v>
      </c>
      <c r="N1001" s="58">
        <v>0</v>
      </c>
      <c r="O1001" s="65">
        <v>0</v>
      </c>
      <c r="P1001" s="65">
        <v>0</v>
      </c>
      <c r="Q1001" s="50">
        <v>34203.439999999995</v>
      </c>
      <c r="R1001" s="65">
        <v>0</v>
      </c>
      <c r="S1001" s="65">
        <v>0</v>
      </c>
      <c r="T1001" s="65">
        <v>0</v>
      </c>
      <c r="U1001" s="65">
        <v>0</v>
      </c>
      <c r="V1001" s="65">
        <v>0</v>
      </c>
      <c r="W1001" s="65">
        <v>0</v>
      </c>
      <c r="X1001" s="65">
        <v>0</v>
      </c>
      <c r="Y1001" s="65">
        <v>0</v>
      </c>
      <c r="Z1001" s="65">
        <v>34203.439999999995</v>
      </c>
      <c r="AA1001" s="51">
        <v>0</v>
      </c>
      <c r="AB1001" s="102">
        <v>0</v>
      </c>
      <c r="AC1001" s="81">
        <f t="shared" si="48"/>
        <v>0</v>
      </c>
      <c r="AD1001" s="82">
        <f t="shared" si="49"/>
        <v>0</v>
      </c>
      <c r="AE1001" s="218">
        <v>0</v>
      </c>
      <c r="AF1001">
        <v>0</v>
      </c>
      <c r="AH1001" t="str">
        <f t="shared" si="47"/>
        <v>Laldiyara</v>
      </c>
      <c r="AJ1001" s="72">
        <v>0</v>
      </c>
      <c r="AK1001" s="72"/>
      <c r="AL1001" s="72"/>
      <c r="AM1001" s="72"/>
    </row>
    <row r="1002" spans="1:39" x14ac:dyDescent="0.25">
      <c r="A1002" s="37" t="s">
        <v>62</v>
      </c>
      <c r="B1002" s="66" t="s">
        <v>1615</v>
      </c>
      <c r="C1002" s="41">
        <v>1002</v>
      </c>
      <c r="D1002" s="41" t="s">
        <v>105</v>
      </c>
      <c r="E1002" s="41">
        <v>10020067</v>
      </c>
      <c r="F1002" s="85" t="s">
        <v>138</v>
      </c>
      <c r="G1002" s="39" t="s">
        <v>635</v>
      </c>
      <c r="H1002" s="52" t="s">
        <v>99</v>
      </c>
      <c r="I1002" s="52">
        <v>1197.9999999999998</v>
      </c>
      <c r="J1002" s="49">
        <v>47355.990000000005</v>
      </c>
      <c r="K1002" s="58">
        <v>0</v>
      </c>
      <c r="L1002" s="58">
        <v>0</v>
      </c>
      <c r="M1002" s="58">
        <v>0</v>
      </c>
      <c r="N1002" s="58">
        <v>0</v>
      </c>
      <c r="O1002" s="65">
        <v>0</v>
      </c>
      <c r="P1002" s="65">
        <v>0</v>
      </c>
      <c r="Q1002" s="50">
        <v>47355.990000000005</v>
      </c>
      <c r="R1002" s="65">
        <v>0</v>
      </c>
      <c r="S1002" s="65">
        <v>0</v>
      </c>
      <c r="T1002" s="65">
        <v>0</v>
      </c>
      <c r="U1002" s="65">
        <v>0</v>
      </c>
      <c r="V1002" s="65">
        <v>0</v>
      </c>
      <c r="W1002" s="65">
        <v>0</v>
      </c>
      <c r="X1002" s="65">
        <v>0</v>
      </c>
      <c r="Y1002" s="65">
        <v>0</v>
      </c>
      <c r="Z1002" s="65">
        <v>47355.990000000005</v>
      </c>
      <c r="AA1002" s="51">
        <v>0</v>
      </c>
      <c r="AB1002" s="102">
        <v>0</v>
      </c>
      <c r="AC1002" s="81">
        <f t="shared" si="48"/>
        <v>0</v>
      </c>
      <c r="AD1002" s="82">
        <f t="shared" si="49"/>
        <v>0</v>
      </c>
      <c r="AE1002" s="218">
        <v>0</v>
      </c>
      <c r="AF1002">
        <v>0</v>
      </c>
      <c r="AH1002" t="str">
        <f t="shared" si="47"/>
        <v>Laldiyara</v>
      </c>
      <c r="AJ1002" s="72">
        <v>0</v>
      </c>
      <c r="AK1002" s="72"/>
      <c r="AL1002" s="72"/>
      <c r="AM1002" s="72"/>
    </row>
    <row r="1003" spans="1:39" x14ac:dyDescent="0.25">
      <c r="A1003" s="37" t="s">
        <v>62</v>
      </c>
      <c r="B1003" s="66" t="s">
        <v>1615</v>
      </c>
      <c r="C1003" s="41">
        <v>1002</v>
      </c>
      <c r="D1003" s="41" t="s">
        <v>105</v>
      </c>
      <c r="E1003" s="41">
        <v>10020068</v>
      </c>
      <c r="F1003" s="85" t="s">
        <v>108</v>
      </c>
      <c r="G1003" s="39" t="s">
        <v>93</v>
      </c>
      <c r="H1003" s="52" t="s">
        <v>94</v>
      </c>
      <c r="I1003" s="111">
        <v>635.09999999999991</v>
      </c>
      <c r="J1003" s="49">
        <v>26459.25</v>
      </c>
      <c r="K1003" s="58">
        <v>666.65</v>
      </c>
      <c r="L1003" s="58">
        <v>28145.951516423142</v>
      </c>
      <c r="M1003" s="58">
        <v>0</v>
      </c>
      <c r="N1003" s="58">
        <v>0</v>
      </c>
      <c r="O1003" s="65">
        <v>666.65</v>
      </c>
      <c r="P1003" s="65">
        <v>28145.951516423142</v>
      </c>
      <c r="Q1003" s="50">
        <v>26459.25</v>
      </c>
      <c r="R1003" s="65">
        <v>0</v>
      </c>
      <c r="S1003" s="65">
        <v>0</v>
      </c>
      <c r="T1003" s="65">
        <v>1686.7015164231416</v>
      </c>
      <c r="U1003" s="65">
        <v>0</v>
      </c>
      <c r="V1003" s="65">
        <v>0</v>
      </c>
      <c r="W1003" s="65">
        <v>0</v>
      </c>
      <c r="X1003" s="65">
        <v>26459</v>
      </c>
      <c r="Y1003" s="65">
        <v>0</v>
      </c>
      <c r="Z1003" s="65">
        <v>0</v>
      </c>
      <c r="AA1003" s="51">
        <v>0</v>
      </c>
      <c r="AB1003" s="102">
        <v>0</v>
      </c>
      <c r="AC1003" s="81">
        <f t="shared" si="48"/>
        <v>54.076691072272183</v>
      </c>
      <c r="AD1003" s="82">
        <f t="shared" si="49"/>
        <v>90.728571428571414</v>
      </c>
      <c r="AE1003" s="218">
        <v>-6.3747140089879403E-2</v>
      </c>
      <c r="AF1003">
        <v>21</v>
      </c>
      <c r="AH1003" t="str">
        <f t="shared" si="47"/>
        <v>Laldiyara</v>
      </c>
      <c r="AJ1003" s="72">
        <v>0</v>
      </c>
      <c r="AK1003" s="72"/>
      <c r="AL1003" s="72"/>
      <c r="AM1003" s="72"/>
    </row>
    <row r="1004" spans="1:39" x14ac:dyDescent="0.25">
      <c r="A1004" s="37" t="s">
        <v>62</v>
      </c>
      <c r="B1004" s="66" t="s">
        <v>1615</v>
      </c>
      <c r="C1004" s="41">
        <v>1002</v>
      </c>
      <c r="D1004" s="41" t="s">
        <v>105</v>
      </c>
      <c r="E1004" s="41">
        <v>10020069</v>
      </c>
      <c r="F1004" s="85" t="s">
        <v>459</v>
      </c>
      <c r="G1004" s="39" t="s">
        <v>93</v>
      </c>
      <c r="H1004" s="52" t="s">
        <v>94</v>
      </c>
      <c r="I1004" s="52">
        <v>227.3</v>
      </c>
      <c r="J1004" s="49">
        <v>9185.6799999999985</v>
      </c>
      <c r="K1004" s="58">
        <v>179.7</v>
      </c>
      <c r="L1004" s="58">
        <v>8259.2561601156522</v>
      </c>
      <c r="M1004" s="58">
        <v>0.26</v>
      </c>
      <c r="N1004" s="58">
        <v>12.318792955150004</v>
      </c>
      <c r="O1004" s="65">
        <v>179.95999999999998</v>
      </c>
      <c r="P1004" s="65">
        <v>8271.5749530708017</v>
      </c>
      <c r="Q1004" s="50">
        <v>8271.5749530708017</v>
      </c>
      <c r="R1004" s="65">
        <v>0</v>
      </c>
      <c r="S1004" s="65">
        <v>12.318792955150004</v>
      </c>
      <c r="T1004" s="65">
        <v>0</v>
      </c>
      <c r="U1004" s="65">
        <v>8259</v>
      </c>
      <c r="V1004" s="65">
        <v>0</v>
      </c>
      <c r="W1004" s="65">
        <v>0</v>
      </c>
      <c r="X1004" s="65">
        <v>0</v>
      </c>
      <c r="Y1004" s="65">
        <v>0</v>
      </c>
      <c r="Z1004" s="65">
        <v>0</v>
      </c>
      <c r="AA1004" s="51">
        <v>914</v>
      </c>
      <c r="AB1004" s="102" t="s">
        <v>1427</v>
      </c>
      <c r="AC1004" s="81">
        <f t="shared" si="48"/>
        <v>382.05639560052782</v>
      </c>
      <c r="AD1004" s="82">
        <f t="shared" si="49"/>
        <v>32.471428571428575</v>
      </c>
      <c r="AE1004" s="218">
        <v>9.9514140153934921E-2</v>
      </c>
      <c r="AF1004">
        <v>3</v>
      </c>
      <c r="AH1004" t="str">
        <f t="shared" si="47"/>
        <v>Laldiyara</v>
      </c>
      <c r="AJ1004" s="72">
        <v>0</v>
      </c>
      <c r="AK1004" s="72"/>
      <c r="AL1004" s="72"/>
      <c r="AM1004" s="72"/>
    </row>
    <row r="1005" spans="1:39" x14ac:dyDescent="0.25">
      <c r="A1005" s="37" t="s">
        <v>62</v>
      </c>
      <c r="B1005" s="66" t="s">
        <v>1615</v>
      </c>
      <c r="C1005" s="41">
        <v>1002</v>
      </c>
      <c r="D1005" s="41" t="s">
        <v>105</v>
      </c>
      <c r="E1005" s="41">
        <v>10020070</v>
      </c>
      <c r="F1005" s="85" t="s">
        <v>478</v>
      </c>
      <c r="G1005" s="39" t="s">
        <v>93</v>
      </c>
      <c r="H1005" s="52" t="s">
        <v>94</v>
      </c>
      <c r="I1005" s="49">
        <v>956.09999999999991</v>
      </c>
      <c r="J1005" s="49">
        <v>38671.170000000006</v>
      </c>
      <c r="K1005" s="58">
        <v>920.59999999999991</v>
      </c>
      <c r="L1005" s="58">
        <v>41768.927084568197</v>
      </c>
      <c r="M1005" s="58">
        <v>0</v>
      </c>
      <c r="N1005" s="58">
        <v>0</v>
      </c>
      <c r="O1005" s="65">
        <v>920.59999999999991</v>
      </c>
      <c r="P1005" s="65">
        <v>41768.927084568197</v>
      </c>
      <c r="Q1005" s="50">
        <v>38671.170000000006</v>
      </c>
      <c r="R1005" s="65">
        <v>0</v>
      </c>
      <c r="S1005" s="65">
        <v>0</v>
      </c>
      <c r="T1005" s="65">
        <v>3097.7570845681912</v>
      </c>
      <c r="U1005" s="65">
        <v>0</v>
      </c>
      <c r="V1005" s="65">
        <v>0</v>
      </c>
      <c r="W1005" s="65">
        <v>0</v>
      </c>
      <c r="X1005" s="65">
        <v>38671</v>
      </c>
      <c r="Y1005" s="65">
        <v>0</v>
      </c>
      <c r="Z1005" s="65">
        <v>0</v>
      </c>
      <c r="AA1005" s="51">
        <v>0</v>
      </c>
      <c r="AB1005" s="102" t="s">
        <v>66</v>
      </c>
      <c r="AC1005" s="81">
        <f t="shared" si="48"/>
        <v>0</v>
      </c>
      <c r="AD1005" s="82">
        <f t="shared" si="49"/>
        <v>0</v>
      </c>
      <c r="AE1005" s="218">
        <v>-8.0105077880193193E-2</v>
      </c>
      <c r="AF1005">
        <v>13</v>
      </c>
      <c r="AH1005" t="str">
        <f t="shared" si="47"/>
        <v>Laldiyara</v>
      </c>
      <c r="AJ1005" s="72">
        <v>0</v>
      </c>
      <c r="AK1005" s="72"/>
      <c r="AL1005" s="72"/>
      <c r="AM1005" s="72"/>
    </row>
    <row r="1006" spans="1:39" x14ac:dyDescent="0.25">
      <c r="A1006" s="37" t="s">
        <v>62</v>
      </c>
      <c r="B1006" s="66" t="s">
        <v>1615</v>
      </c>
      <c r="C1006" s="41">
        <v>1002</v>
      </c>
      <c r="D1006" s="41" t="s">
        <v>105</v>
      </c>
      <c r="E1006" s="41">
        <v>10020073</v>
      </c>
      <c r="F1006" s="85" t="s">
        <v>495</v>
      </c>
      <c r="G1006" s="39" t="s">
        <v>635</v>
      </c>
      <c r="H1006" s="52" t="s">
        <v>99</v>
      </c>
      <c r="I1006" s="52">
        <v>1068.1000000000001</v>
      </c>
      <c r="J1006" s="49">
        <v>44029.95</v>
      </c>
      <c r="K1006" s="58">
        <v>0</v>
      </c>
      <c r="L1006" s="58">
        <v>0</v>
      </c>
      <c r="M1006" s="58">
        <v>0</v>
      </c>
      <c r="N1006" s="58">
        <v>0</v>
      </c>
      <c r="O1006" s="65">
        <v>0</v>
      </c>
      <c r="P1006" s="65">
        <v>0</v>
      </c>
      <c r="Q1006" s="50">
        <v>44029.95</v>
      </c>
      <c r="R1006" s="65">
        <v>0</v>
      </c>
      <c r="S1006" s="65">
        <v>0</v>
      </c>
      <c r="T1006" s="65">
        <v>0</v>
      </c>
      <c r="U1006" s="65">
        <v>0</v>
      </c>
      <c r="V1006" s="65">
        <v>0</v>
      </c>
      <c r="W1006" s="65">
        <v>0</v>
      </c>
      <c r="X1006" s="65">
        <v>0</v>
      </c>
      <c r="Y1006" s="65">
        <v>0</v>
      </c>
      <c r="Z1006" s="65">
        <v>44029.95</v>
      </c>
      <c r="AA1006" s="51">
        <v>0</v>
      </c>
      <c r="AB1006" s="102">
        <v>0</v>
      </c>
      <c r="AC1006" s="81">
        <f t="shared" si="48"/>
        <v>0</v>
      </c>
      <c r="AD1006" s="82">
        <f t="shared" si="49"/>
        <v>0</v>
      </c>
      <c r="AE1006" s="218">
        <v>0</v>
      </c>
      <c r="AF1006">
        <v>0</v>
      </c>
      <c r="AH1006" t="str">
        <f t="shared" ref="AH1006:AH1069" si="50">TEXT(D1006,"0000")</f>
        <v>Laldiyara</v>
      </c>
      <c r="AJ1006" s="72">
        <v>0</v>
      </c>
      <c r="AK1006" s="72"/>
      <c r="AL1006" s="72"/>
      <c r="AM1006" s="72"/>
    </row>
    <row r="1007" spans="1:39" x14ac:dyDescent="0.25">
      <c r="A1007" s="37" t="s">
        <v>62</v>
      </c>
      <c r="B1007" s="66" t="s">
        <v>1615</v>
      </c>
      <c r="C1007" s="41">
        <v>1002</v>
      </c>
      <c r="D1007" s="41" t="s">
        <v>105</v>
      </c>
      <c r="E1007" s="41">
        <v>10020075</v>
      </c>
      <c r="F1007" s="85" t="s">
        <v>267</v>
      </c>
      <c r="G1007" s="39" t="s">
        <v>93</v>
      </c>
      <c r="H1007" s="52" t="s">
        <v>94</v>
      </c>
      <c r="I1007" s="52">
        <v>263.5</v>
      </c>
      <c r="J1007" s="49">
        <v>10968.32</v>
      </c>
      <c r="K1007" s="58">
        <v>270.45999999999998</v>
      </c>
      <c r="L1007" s="58">
        <v>11805.927937580365</v>
      </c>
      <c r="M1007" s="58">
        <v>0</v>
      </c>
      <c r="N1007" s="58">
        <v>0</v>
      </c>
      <c r="O1007" s="65">
        <v>270.45999999999998</v>
      </c>
      <c r="P1007" s="65">
        <v>11805.927937580365</v>
      </c>
      <c r="Q1007" s="50">
        <v>10968.32</v>
      </c>
      <c r="R1007" s="65">
        <v>0</v>
      </c>
      <c r="S1007" s="65">
        <v>0</v>
      </c>
      <c r="T1007" s="65">
        <v>837.60793758036561</v>
      </c>
      <c r="U1007" s="65">
        <v>0</v>
      </c>
      <c r="V1007" s="65">
        <v>0</v>
      </c>
      <c r="W1007" s="65">
        <v>0</v>
      </c>
      <c r="X1007" s="65">
        <v>10968</v>
      </c>
      <c r="Y1007" s="65">
        <v>0</v>
      </c>
      <c r="Z1007" s="65">
        <v>0</v>
      </c>
      <c r="AA1007" s="51">
        <v>0</v>
      </c>
      <c r="AB1007" s="102" t="s">
        <v>66</v>
      </c>
      <c r="AC1007" s="81">
        <f t="shared" si="48"/>
        <v>363.39063984819734</v>
      </c>
      <c r="AD1007" s="82">
        <f t="shared" si="49"/>
        <v>37.642857142857146</v>
      </c>
      <c r="AE1007" s="218">
        <v>-7.6366110542030657E-2</v>
      </c>
      <c r="AF1007">
        <v>3</v>
      </c>
      <c r="AH1007" t="str">
        <f t="shared" si="50"/>
        <v>Laldiyara</v>
      </c>
      <c r="AJ1007" s="72">
        <v>0</v>
      </c>
      <c r="AK1007" s="72"/>
      <c r="AL1007" s="72"/>
      <c r="AM1007" s="72"/>
    </row>
    <row r="1008" spans="1:39" x14ac:dyDescent="0.25">
      <c r="A1008" s="37" t="s">
        <v>62</v>
      </c>
      <c r="B1008" s="66" t="s">
        <v>1615</v>
      </c>
      <c r="C1008" s="41">
        <v>1002</v>
      </c>
      <c r="D1008" s="41" t="s">
        <v>105</v>
      </c>
      <c r="E1008" s="41">
        <v>10020077</v>
      </c>
      <c r="F1008" s="85" t="s">
        <v>1152</v>
      </c>
      <c r="G1008" s="39" t="s">
        <v>93</v>
      </c>
      <c r="H1008" s="52" t="s">
        <v>94</v>
      </c>
      <c r="I1008" s="52">
        <v>106.60000000000001</v>
      </c>
      <c r="J1008" s="49">
        <v>4709.0199999999995</v>
      </c>
      <c r="K1008" s="58">
        <v>106.6</v>
      </c>
      <c r="L1008" s="58">
        <v>4710.2559423216007</v>
      </c>
      <c r="M1008" s="58">
        <v>0</v>
      </c>
      <c r="N1008" s="58">
        <v>0</v>
      </c>
      <c r="O1008" s="65">
        <v>106.6</v>
      </c>
      <c r="P1008" s="65">
        <v>4710.2559423216007</v>
      </c>
      <c r="Q1008" s="50">
        <v>4709.0199999999995</v>
      </c>
      <c r="R1008" s="65">
        <v>0</v>
      </c>
      <c r="S1008" s="65">
        <v>0</v>
      </c>
      <c r="T1008" s="65">
        <v>1.2359423216012146</v>
      </c>
      <c r="U1008" s="65">
        <v>0</v>
      </c>
      <c r="V1008" s="65">
        <v>0</v>
      </c>
      <c r="W1008" s="65">
        <v>0</v>
      </c>
      <c r="X1008" s="65">
        <v>4709</v>
      </c>
      <c r="Y1008" s="65">
        <v>0</v>
      </c>
      <c r="Z1008" s="65">
        <v>0</v>
      </c>
      <c r="AA1008" s="51">
        <v>0</v>
      </c>
      <c r="AB1008" s="102">
        <v>0</v>
      </c>
      <c r="AC1008" s="81">
        <f t="shared" si="48"/>
        <v>524.26500337711059</v>
      </c>
      <c r="AD1008" s="82">
        <f t="shared" si="49"/>
        <v>15.22857142857143</v>
      </c>
      <c r="AE1008" s="218">
        <v>-2.6246274630415984E-4</v>
      </c>
      <c r="AF1008">
        <v>1</v>
      </c>
      <c r="AH1008" t="str">
        <f t="shared" si="50"/>
        <v>Laldiyara</v>
      </c>
      <c r="AJ1008" s="72">
        <v>0</v>
      </c>
      <c r="AK1008" s="72"/>
      <c r="AL1008" s="72"/>
      <c r="AM1008" s="72"/>
    </row>
    <row r="1009" spans="1:39" x14ac:dyDescent="0.25">
      <c r="A1009" s="37" t="s">
        <v>62</v>
      </c>
      <c r="B1009" s="66" t="s">
        <v>1615</v>
      </c>
      <c r="C1009" s="41">
        <v>1002</v>
      </c>
      <c r="D1009" s="41" t="s">
        <v>105</v>
      </c>
      <c r="E1009" s="41">
        <v>10020078</v>
      </c>
      <c r="F1009" s="85" t="s">
        <v>1153</v>
      </c>
      <c r="G1009" s="39" t="s">
        <v>93</v>
      </c>
      <c r="H1009" s="52" t="s">
        <v>94</v>
      </c>
      <c r="I1009" s="52">
        <v>398.8</v>
      </c>
      <c r="J1009" s="49">
        <v>16169.77</v>
      </c>
      <c r="K1009" s="58">
        <v>396.23999999999995</v>
      </c>
      <c r="L1009" s="58">
        <v>17566.595793706285</v>
      </c>
      <c r="M1009" s="58">
        <v>0</v>
      </c>
      <c r="N1009" s="58">
        <v>0</v>
      </c>
      <c r="O1009" s="65">
        <v>396.23999999999995</v>
      </c>
      <c r="P1009" s="65">
        <v>17566.595793706285</v>
      </c>
      <c r="Q1009" s="50">
        <v>16169.77</v>
      </c>
      <c r="R1009" s="65">
        <v>0</v>
      </c>
      <c r="S1009" s="65">
        <v>0</v>
      </c>
      <c r="T1009" s="65">
        <v>1396.8257937062845</v>
      </c>
      <c r="U1009" s="65">
        <v>0</v>
      </c>
      <c r="V1009" s="65">
        <v>0</v>
      </c>
      <c r="W1009" s="65">
        <v>0</v>
      </c>
      <c r="X1009" s="65">
        <v>16170</v>
      </c>
      <c r="Y1009" s="65">
        <v>0</v>
      </c>
      <c r="Z1009" s="65">
        <v>0</v>
      </c>
      <c r="AA1009" s="51">
        <v>0</v>
      </c>
      <c r="AB1009" s="102">
        <v>0</v>
      </c>
      <c r="AC1009" s="81">
        <f t="shared" si="48"/>
        <v>244.24948465396187</v>
      </c>
      <c r="AD1009" s="82">
        <f t="shared" si="49"/>
        <v>56.971428571428575</v>
      </c>
      <c r="AE1009" s="218">
        <v>-8.6385013126734911E-2</v>
      </c>
      <c r="AF1009">
        <v>2</v>
      </c>
      <c r="AH1009" t="str">
        <f t="shared" si="50"/>
        <v>Laldiyara</v>
      </c>
      <c r="AJ1009" s="72">
        <v>0</v>
      </c>
      <c r="AK1009" s="72"/>
      <c r="AL1009" s="72"/>
      <c r="AM1009" s="72"/>
    </row>
    <row r="1010" spans="1:39" x14ac:dyDescent="0.25">
      <c r="A1010" s="37" t="s">
        <v>62</v>
      </c>
      <c r="B1010" s="66" t="s">
        <v>1615</v>
      </c>
      <c r="C1010" s="41">
        <v>1002</v>
      </c>
      <c r="D1010" s="41" t="s">
        <v>105</v>
      </c>
      <c r="E1010" s="41">
        <v>10020079</v>
      </c>
      <c r="F1010" s="85" t="s">
        <v>1154</v>
      </c>
      <c r="G1010" s="39" t="s">
        <v>93</v>
      </c>
      <c r="H1010" s="52" t="s">
        <v>94</v>
      </c>
      <c r="I1010" s="52">
        <v>319.39999999999998</v>
      </c>
      <c r="J1010" s="49">
        <v>15686.8</v>
      </c>
      <c r="K1010" s="58">
        <v>320.74</v>
      </c>
      <c r="L1010" s="58">
        <v>16957.625289345564</v>
      </c>
      <c r="M1010" s="58">
        <v>0</v>
      </c>
      <c r="N1010" s="58">
        <v>0</v>
      </c>
      <c r="O1010" s="65">
        <v>320.74</v>
      </c>
      <c r="P1010" s="65">
        <v>16957.625289345564</v>
      </c>
      <c r="Q1010" s="50">
        <v>15686.8</v>
      </c>
      <c r="R1010" s="65">
        <v>0</v>
      </c>
      <c r="S1010" s="65">
        <v>0</v>
      </c>
      <c r="T1010" s="65">
        <v>1270.8252893455647</v>
      </c>
      <c r="U1010" s="65">
        <v>0</v>
      </c>
      <c r="V1010" s="65">
        <v>0</v>
      </c>
      <c r="W1010" s="65">
        <v>0</v>
      </c>
      <c r="X1010" s="65">
        <v>15687</v>
      </c>
      <c r="Y1010" s="65">
        <v>0</v>
      </c>
      <c r="Z1010" s="65">
        <v>0</v>
      </c>
      <c r="AA1010" s="51">
        <v>0</v>
      </c>
      <c r="AB1010" s="102">
        <v>0</v>
      </c>
      <c r="AC1010" s="81">
        <f t="shared" si="48"/>
        <v>373.85072510958048</v>
      </c>
      <c r="AD1010" s="82">
        <f t="shared" si="49"/>
        <v>45.628571428571426</v>
      </c>
      <c r="AE1010" s="218">
        <v>-8.1012398280437353E-2</v>
      </c>
      <c r="AF1010">
        <v>4</v>
      </c>
      <c r="AH1010" t="str">
        <f t="shared" si="50"/>
        <v>Laldiyara</v>
      </c>
      <c r="AJ1010" s="72">
        <v>0</v>
      </c>
      <c r="AK1010" s="72"/>
      <c r="AL1010" s="72"/>
      <c r="AM1010" s="72"/>
    </row>
    <row r="1011" spans="1:39" x14ac:dyDescent="0.25">
      <c r="A1011" s="37" t="s">
        <v>62</v>
      </c>
      <c r="B1011" s="66" t="s">
        <v>1615</v>
      </c>
      <c r="C1011" s="41">
        <v>1002</v>
      </c>
      <c r="D1011" s="41" t="s">
        <v>105</v>
      </c>
      <c r="E1011" s="41">
        <v>10020080</v>
      </c>
      <c r="F1011" s="85" t="s">
        <v>1187</v>
      </c>
      <c r="G1011" s="39" t="s">
        <v>93</v>
      </c>
      <c r="H1011" s="52" t="s">
        <v>94</v>
      </c>
      <c r="I1011" s="52">
        <v>3.9</v>
      </c>
      <c r="J1011" s="49">
        <v>149.80000000000001</v>
      </c>
      <c r="K1011" s="58">
        <v>3.9</v>
      </c>
      <c r="L1011" s="58">
        <v>150.84077579999999</v>
      </c>
      <c r="M1011" s="58">
        <v>0</v>
      </c>
      <c r="N1011" s="58">
        <v>0</v>
      </c>
      <c r="O1011" s="65">
        <v>3.9</v>
      </c>
      <c r="P1011" s="65">
        <v>150.84077579999999</v>
      </c>
      <c r="Q1011" s="50">
        <v>149.80000000000001</v>
      </c>
      <c r="R1011" s="65">
        <v>0</v>
      </c>
      <c r="S1011" s="65">
        <v>0</v>
      </c>
      <c r="T1011" s="65">
        <v>1.0407757999999774</v>
      </c>
      <c r="U1011" s="65">
        <v>0</v>
      </c>
      <c r="V1011" s="65">
        <v>150</v>
      </c>
      <c r="W1011" s="65">
        <v>0</v>
      </c>
      <c r="X1011" s="65">
        <v>0</v>
      </c>
      <c r="Y1011" s="65">
        <v>0</v>
      </c>
      <c r="Z1011" s="65">
        <v>0</v>
      </c>
      <c r="AA1011" s="51">
        <v>0</v>
      </c>
      <c r="AB1011" s="102" t="s">
        <v>68</v>
      </c>
      <c r="AC1011" s="81">
        <f t="shared" si="48"/>
        <v>534.74758974358974</v>
      </c>
      <c r="AD1011" s="82">
        <f t="shared" si="49"/>
        <v>0.55714285714285716</v>
      </c>
      <c r="AE1011" s="218">
        <v>-6.9477690253670048E-3</v>
      </c>
      <c r="AF1011">
        <v>1</v>
      </c>
      <c r="AH1011" t="str">
        <f t="shared" si="50"/>
        <v>Laldiyara</v>
      </c>
      <c r="AJ1011" s="72">
        <v>0</v>
      </c>
      <c r="AK1011" s="72"/>
      <c r="AL1011" s="72"/>
      <c r="AM1011" s="72"/>
    </row>
    <row r="1012" spans="1:39" x14ac:dyDescent="0.25">
      <c r="A1012" s="37" t="s">
        <v>62</v>
      </c>
      <c r="B1012" s="66" t="s">
        <v>1615</v>
      </c>
      <c r="C1012" s="41">
        <v>1002</v>
      </c>
      <c r="D1012" s="41" t="s">
        <v>105</v>
      </c>
      <c r="E1012" s="41">
        <v>10020081</v>
      </c>
      <c r="F1012" s="85" t="s">
        <v>1197</v>
      </c>
      <c r="G1012" s="39" t="s">
        <v>635</v>
      </c>
      <c r="H1012" s="52" t="s">
        <v>99</v>
      </c>
      <c r="I1012" s="52">
        <v>2148.2999999999997</v>
      </c>
      <c r="J1012" s="49">
        <v>82739.459999999992</v>
      </c>
      <c r="K1012" s="58">
        <v>0</v>
      </c>
      <c r="L1012" s="58">
        <v>0</v>
      </c>
      <c r="M1012" s="58">
        <v>0</v>
      </c>
      <c r="N1012" s="58">
        <v>0</v>
      </c>
      <c r="O1012" s="65">
        <v>0</v>
      </c>
      <c r="P1012" s="65">
        <v>0</v>
      </c>
      <c r="Q1012" s="50">
        <v>82739.459999999992</v>
      </c>
      <c r="R1012" s="65">
        <v>0</v>
      </c>
      <c r="S1012" s="65">
        <v>0</v>
      </c>
      <c r="T1012" s="65">
        <v>0</v>
      </c>
      <c r="U1012" s="65">
        <v>0</v>
      </c>
      <c r="V1012" s="65">
        <v>0</v>
      </c>
      <c r="W1012" s="65">
        <v>0</v>
      </c>
      <c r="X1012" s="65">
        <v>0</v>
      </c>
      <c r="Y1012" s="65">
        <v>0</v>
      </c>
      <c r="Z1012" s="65">
        <v>82739.459999999992</v>
      </c>
      <c r="AA1012" s="51">
        <v>0</v>
      </c>
      <c r="AB1012" s="102">
        <v>0</v>
      </c>
      <c r="AC1012" s="81">
        <f t="shared" si="48"/>
        <v>0</v>
      </c>
      <c r="AD1012" s="82">
        <f t="shared" si="49"/>
        <v>0</v>
      </c>
      <c r="AE1012" s="218">
        <v>0</v>
      </c>
      <c r="AF1012">
        <v>0</v>
      </c>
      <c r="AH1012" t="str">
        <f t="shared" si="50"/>
        <v>Laldiyara</v>
      </c>
      <c r="AJ1012" s="72">
        <v>0</v>
      </c>
      <c r="AK1012" s="72"/>
      <c r="AL1012" s="72"/>
      <c r="AM1012" s="72"/>
    </row>
    <row r="1013" spans="1:39" x14ac:dyDescent="0.25">
      <c r="A1013" s="37" t="s">
        <v>62</v>
      </c>
      <c r="B1013" s="66" t="s">
        <v>1615</v>
      </c>
      <c r="C1013" s="41">
        <v>1002</v>
      </c>
      <c r="D1013" s="41" t="s">
        <v>105</v>
      </c>
      <c r="E1013" s="41">
        <v>10020082</v>
      </c>
      <c r="F1013" s="85" t="s">
        <v>1198</v>
      </c>
      <c r="G1013" s="39" t="s">
        <v>635</v>
      </c>
      <c r="H1013" s="52" t="s">
        <v>99</v>
      </c>
      <c r="I1013" s="52">
        <v>1097.0000000000002</v>
      </c>
      <c r="J1013" s="49">
        <v>45315.000000000015</v>
      </c>
      <c r="K1013" s="58">
        <v>0</v>
      </c>
      <c r="L1013" s="58">
        <v>0</v>
      </c>
      <c r="M1013" s="58">
        <v>0</v>
      </c>
      <c r="N1013" s="58">
        <v>0</v>
      </c>
      <c r="O1013" s="65">
        <v>0</v>
      </c>
      <c r="P1013" s="65">
        <v>0</v>
      </c>
      <c r="Q1013" s="50">
        <v>45315.000000000015</v>
      </c>
      <c r="R1013" s="65">
        <v>0</v>
      </c>
      <c r="S1013" s="65">
        <v>0</v>
      </c>
      <c r="T1013" s="65">
        <v>0</v>
      </c>
      <c r="U1013" s="65">
        <v>0</v>
      </c>
      <c r="V1013" s="65">
        <v>895.77305806451488</v>
      </c>
      <c r="W1013" s="65">
        <v>0</v>
      </c>
      <c r="X1013" s="65">
        <v>0</v>
      </c>
      <c r="Y1013" s="65">
        <v>0</v>
      </c>
      <c r="Z1013" s="65">
        <v>44419.2269419355</v>
      </c>
      <c r="AA1013" s="51">
        <v>0</v>
      </c>
      <c r="AB1013" s="102">
        <v>0</v>
      </c>
      <c r="AC1013" s="81">
        <f t="shared" si="48"/>
        <v>0</v>
      </c>
      <c r="AD1013" s="82">
        <f t="shared" si="49"/>
        <v>0</v>
      </c>
      <c r="AE1013" s="218">
        <v>0</v>
      </c>
      <c r="AF1013">
        <v>0</v>
      </c>
      <c r="AH1013" t="str">
        <f t="shared" si="50"/>
        <v>Laldiyara</v>
      </c>
      <c r="AJ1013" s="72">
        <v>0</v>
      </c>
      <c r="AK1013" s="72"/>
      <c r="AL1013" s="72"/>
      <c r="AM1013" s="72"/>
    </row>
    <row r="1014" spans="1:39" x14ac:dyDescent="0.25">
      <c r="A1014" s="37" t="s">
        <v>62</v>
      </c>
      <c r="B1014" s="66" t="s">
        <v>1615</v>
      </c>
      <c r="C1014" s="41">
        <v>1002</v>
      </c>
      <c r="D1014" s="41" t="s">
        <v>105</v>
      </c>
      <c r="E1014" s="41">
        <v>10020083</v>
      </c>
      <c r="F1014" s="85" t="s">
        <v>1256</v>
      </c>
      <c r="G1014" s="39" t="s">
        <v>93</v>
      </c>
      <c r="H1014" s="52" t="s">
        <v>94</v>
      </c>
      <c r="I1014" s="52">
        <v>409.5</v>
      </c>
      <c r="J1014" s="49">
        <v>15723.250000000002</v>
      </c>
      <c r="K1014" s="58">
        <v>409.5</v>
      </c>
      <c r="L1014" s="58">
        <v>16068.743990640003</v>
      </c>
      <c r="M1014" s="58">
        <v>0</v>
      </c>
      <c r="N1014" s="58">
        <v>0</v>
      </c>
      <c r="O1014" s="65">
        <v>409.5</v>
      </c>
      <c r="P1014" s="65">
        <v>16068.743990640003</v>
      </c>
      <c r="Q1014" s="50">
        <v>15723.250000000002</v>
      </c>
      <c r="R1014" s="65">
        <v>0</v>
      </c>
      <c r="S1014" s="65">
        <v>0</v>
      </c>
      <c r="T1014" s="65">
        <v>345.49399064000136</v>
      </c>
      <c r="U1014" s="65">
        <v>0</v>
      </c>
      <c r="V1014" s="65">
        <v>0</v>
      </c>
      <c r="W1014" s="65">
        <v>0</v>
      </c>
      <c r="X1014" s="65">
        <v>15723</v>
      </c>
      <c r="Y1014" s="65">
        <v>0</v>
      </c>
      <c r="Z1014" s="65">
        <v>0</v>
      </c>
      <c r="AA1014" s="51">
        <v>0</v>
      </c>
      <c r="AB1014" s="102">
        <v>0</v>
      </c>
      <c r="AC1014" s="81">
        <f t="shared" si="48"/>
        <v>223.08200854700857</v>
      </c>
      <c r="AD1014" s="82">
        <f t="shared" si="49"/>
        <v>58.5</v>
      </c>
      <c r="AE1014" s="218">
        <v>-2.1973446370184366E-2</v>
      </c>
      <c r="AF1014">
        <v>2</v>
      </c>
      <c r="AH1014" t="str">
        <f t="shared" si="50"/>
        <v>Laldiyara</v>
      </c>
      <c r="AJ1014" s="72">
        <v>0</v>
      </c>
      <c r="AK1014" s="72"/>
      <c r="AL1014" s="72"/>
      <c r="AM1014" s="72"/>
    </row>
    <row r="1015" spans="1:39" x14ac:dyDescent="0.25">
      <c r="A1015" s="37" t="s">
        <v>62</v>
      </c>
      <c r="B1015" s="66" t="s">
        <v>1615</v>
      </c>
      <c r="C1015" s="41">
        <v>1002</v>
      </c>
      <c r="D1015" s="41" t="s">
        <v>105</v>
      </c>
      <c r="E1015" s="41">
        <v>10020084</v>
      </c>
      <c r="F1015" s="85" t="s">
        <v>1247</v>
      </c>
      <c r="G1015" s="39" t="s">
        <v>93</v>
      </c>
      <c r="H1015" s="52" t="s">
        <v>94</v>
      </c>
      <c r="I1015" s="52">
        <v>1076</v>
      </c>
      <c r="J1015" s="49">
        <v>40779.270000000004</v>
      </c>
      <c r="K1015" s="58">
        <v>446.59999999999997</v>
      </c>
      <c r="L1015" s="58">
        <v>17303.224071697739</v>
      </c>
      <c r="M1015" s="58">
        <v>634.54</v>
      </c>
      <c r="N1015" s="58">
        <v>25033.358943132371</v>
      </c>
      <c r="O1015" s="65">
        <v>1081.1399999999999</v>
      </c>
      <c r="P1015" s="65">
        <v>42336.58301483011</v>
      </c>
      <c r="Q1015" s="50">
        <v>40779.270000000004</v>
      </c>
      <c r="R1015" s="65">
        <v>0</v>
      </c>
      <c r="S1015" s="65">
        <v>0</v>
      </c>
      <c r="T1015" s="65">
        <v>1557.3130148301061</v>
      </c>
      <c r="U1015" s="65">
        <v>0</v>
      </c>
      <c r="V1015" s="65">
        <v>0</v>
      </c>
      <c r="W1015" s="65">
        <v>0</v>
      </c>
      <c r="X1015" s="65">
        <v>15745</v>
      </c>
      <c r="Y1015" s="65">
        <v>25034</v>
      </c>
      <c r="Z1015" s="65">
        <v>0</v>
      </c>
      <c r="AA1015" s="51">
        <v>0</v>
      </c>
      <c r="AB1015" s="102">
        <v>0</v>
      </c>
      <c r="AC1015" s="81">
        <f t="shared" si="48"/>
        <v>0</v>
      </c>
      <c r="AD1015" s="82">
        <f t="shared" si="49"/>
        <v>0</v>
      </c>
      <c r="AE1015" s="218">
        <v>-3.8188839938284966E-2</v>
      </c>
      <c r="AF1015">
        <v>27</v>
      </c>
      <c r="AH1015" t="str">
        <f t="shared" si="50"/>
        <v>Laldiyara</v>
      </c>
      <c r="AJ1015" s="72">
        <v>0</v>
      </c>
      <c r="AK1015" s="72"/>
      <c r="AL1015" s="72"/>
      <c r="AM1015" s="72"/>
    </row>
    <row r="1016" spans="1:39" x14ac:dyDescent="0.25">
      <c r="A1016" s="37" t="s">
        <v>62</v>
      </c>
      <c r="B1016" s="66" t="s">
        <v>1615</v>
      </c>
      <c r="C1016" s="41">
        <v>1002</v>
      </c>
      <c r="D1016" s="41" t="s">
        <v>105</v>
      </c>
      <c r="E1016" s="41">
        <v>10020087</v>
      </c>
      <c r="F1016" s="85" t="s">
        <v>1586</v>
      </c>
      <c r="G1016" s="39" t="s">
        <v>93</v>
      </c>
      <c r="H1016" s="52" t="s">
        <v>94</v>
      </c>
      <c r="I1016" s="52">
        <v>216.9</v>
      </c>
      <c r="J1016" s="49">
        <v>7785.63</v>
      </c>
      <c r="K1016" s="58">
        <v>222.3</v>
      </c>
      <c r="L1016" s="58">
        <v>8017.8726921480011</v>
      </c>
      <c r="M1016" s="58">
        <v>0</v>
      </c>
      <c r="N1016" s="58">
        <v>0</v>
      </c>
      <c r="O1016" s="65">
        <v>222.3</v>
      </c>
      <c r="P1016" s="65">
        <v>8017.8726921480011</v>
      </c>
      <c r="Q1016" s="50">
        <v>7785.63</v>
      </c>
      <c r="R1016" s="65">
        <v>0</v>
      </c>
      <c r="S1016" s="65">
        <v>0</v>
      </c>
      <c r="T1016" s="65">
        <v>232.24269214800097</v>
      </c>
      <c r="U1016" s="65">
        <v>0</v>
      </c>
      <c r="V1016" s="65">
        <v>0</v>
      </c>
      <c r="W1016" s="65">
        <v>0</v>
      </c>
      <c r="X1016" s="65">
        <v>7786</v>
      </c>
      <c r="Y1016" s="65">
        <v>0</v>
      </c>
      <c r="Z1016" s="65">
        <v>0</v>
      </c>
      <c r="AA1016" s="51">
        <v>0</v>
      </c>
      <c r="AB1016" s="102">
        <v>0</v>
      </c>
      <c r="AC1016" s="81">
        <f t="shared" si="48"/>
        <v>346.81769045643148</v>
      </c>
      <c r="AD1016" s="82">
        <f t="shared" si="49"/>
        <v>30.985714285714288</v>
      </c>
      <c r="AE1016" s="218">
        <v>-2.9829659532754699E-2</v>
      </c>
      <c r="AF1016">
        <v>1</v>
      </c>
      <c r="AH1016" t="str">
        <f t="shared" si="50"/>
        <v>Laldiyara</v>
      </c>
      <c r="AJ1016" s="72">
        <v>0</v>
      </c>
      <c r="AK1016" s="72"/>
      <c r="AL1016" s="72"/>
      <c r="AM1016" s="72"/>
    </row>
    <row r="1017" spans="1:39" x14ac:dyDescent="0.25">
      <c r="A1017" s="37" t="s">
        <v>62</v>
      </c>
      <c r="B1017" s="66" t="s">
        <v>1615</v>
      </c>
      <c r="C1017" s="41">
        <v>1003</v>
      </c>
      <c r="D1017" s="41" t="s">
        <v>139</v>
      </c>
      <c r="E1017" s="41">
        <v>10030002</v>
      </c>
      <c r="F1017" s="85" t="s">
        <v>115</v>
      </c>
      <c r="G1017" s="39" t="s">
        <v>635</v>
      </c>
      <c r="H1017" s="52" t="s">
        <v>99</v>
      </c>
      <c r="I1017" s="111">
        <v>547.25</v>
      </c>
      <c r="J1017" s="49">
        <v>21524.760000000002</v>
      </c>
      <c r="K1017" s="58">
        <v>0</v>
      </c>
      <c r="L1017" s="58">
        <v>0</v>
      </c>
      <c r="M1017" s="58">
        <v>0</v>
      </c>
      <c r="N1017" s="58">
        <v>0</v>
      </c>
      <c r="O1017" s="65">
        <v>0</v>
      </c>
      <c r="P1017" s="65">
        <v>0</v>
      </c>
      <c r="Q1017" s="50">
        <v>21524.760000000002</v>
      </c>
      <c r="R1017" s="65">
        <v>0</v>
      </c>
      <c r="S1017" s="65">
        <v>0</v>
      </c>
      <c r="T1017" s="65">
        <v>0</v>
      </c>
      <c r="U1017" s="65">
        <v>0</v>
      </c>
      <c r="V1017" s="65">
        <v>0</v>
      </c>
      <c r="W1017" s="65">
        <v>0</v>
      </c>
      <c r="X1017" s="65">
        <v>0</v>
      </c>
      <c r="Y1017" s="65">
        <v>0</v>
      </c>
      <c r="Z1017" s="65">
        <v>21524.760000000002</v>
      </c>
      <c r="AA1017" s="51">
        <v>0</v>
      </c>
      <c r="AB1017" s="102">
        <v>0</v>
      </c>
      <c r="AC1017" s="81">
        <f t="shared" si="48"/>
        <v>120.1610631338511</v>
      </c>
      <c r="AD1017" s="82">
        <f t="shared" si="49"/>
        <v>78.178571428571431</v>
      </c>
      <c r="AE1017" s="218">
        <v>0</v>
      </c>
      <c r="AF1017">
        <v>0</v>
      </c>
      <c r="AH1017" t="str">
        <f t="shared" si="50"/>
        <v>Asarganj</v>
      </c>
      <c r="AJ1017" s="72">
        <v>0</v>
      </c>
      <c r="AK1017" s="72"/>
      <c r="AL1017" s="72"/>
      <c r="AM1017" s="72"/>
    </row>
    <row r="1018" spans="1:39" x14ac:dyDescent="0.25">
      <c r="A1018" s="37" t="s">
        <v>62</v>
      </c>
      <c r="B1018" s="66" t="s">
        <v>1615</v>
      </c>
      <c r="C1018" s="41">
        <v>1003</v>
      </c>
      <c r="D1018" s="41" t="s">
        <v>139</v>
      </c>
      <c r="E1018" s="41">
        <v>10030003</v>
      </c>
      <c r="F1018" s="85" t="s">
        <v>140</v>
      </c>
      <c r="G1018" s="39" t="s">
        <v>93</v>
      </c>
      <c r="H1018" s="52" t="s">
        <v>94</v>
      </c>
      <c r="I1018" s="52">
        <v>1775.6999999999998</v>
      </c>
      <c r="J1018" s="49">
        <v>75995.180000000008</v>
      </c>
      <c r="K1018" s="58">
        <v>1752.6000000000001</v>
      </c>
      <c r="L1018" s="58">
        <v>74768.293085521596</v>
      </c>
      <c r="M1018" s="58">
        <v>22.5</v>
      </c>
      <c r="N1018" s="58">
        <v>1353.3279543589999</v>
      </c>
      <c r="O1018" s="65">
        <v>1775.1000000000001</v>
      </c>
      <c r="P1018" s="65">
        <v>76121.6210398806</v>
      </c>
      <c r="Q1018" s="50">
        <v>75995.180000000008</v>
      </c>
      <c r="R1018" s="65">
        <v>0</v>
      </c>
      <c r="S1018" s="65">
        <v>1353.3279543589999</v>
      </c>
      <c r="T1018" s="65">
        <v>126.44103988059214</v>
      </c>
      <c r="U1018" s="65">
        <v>0</v>
      </c>
      <c r="V1018" s="65">
        <v>0</v>
      </c>
      <c r="W1018" s="65">
        <v>0</v>
      </c>
      <c r="X1018" s="65">
        <v>74642</v>
      </c>
      <c r="Y1018" s="65">
        <v>0</v>
      </c>
      <c r="Z1018" s="65">
        <v>0</v>
      </c>
      <c r="AA1018" s="51">
        <v>0</v>
      </c>
      <c r="AB1018" s="102" t="s">
        <v>66</v>
      </c>
      <c r="AC1018" s="81">
        <f t="shared" si="48"/>
        <v>0</v>
      </c>
      <c r="AD1018" s="82">
        <f t="shared" si="49"/>
        <v>0</v>
      </c>
      <c r="AE1018" s="218">
        <v>-1.6638034133295313E-3</v>
      </c>
      <c r="AF1018">
        <v>55</v>
      </c>
      <c r="AH1018" t="str">
        <f t="shared" si="50"/>
        <v>Asarganj</v>
      </c>
      <c r="AJ1018" s="72">
        <v>0</v>
      </c>
      <c r="AK1018" s="72"/>
      <c r="AL1018" s="72"/>
      <c r="AM1018" s="72"/>
    </row>
    <row r="1019" spans="1:39" x14ac:dyDescent="0.25">
      <c r="A1019" s="37" t="s">
        <v>62</v>
      </c>
      <c r="B1019" s="66" t="s">
        <v>1615</v>
      </c>
      <c r="C1019" s="41">
        <v>1003</v>
      </c>
      <c r="D1019" s="41" t="s">
        <v>139</v>
      </c>
      <c r="E1019" s="41">
        <v>10030007</v>
      </c>
      <c r="F1019" s="85" t="s">
        <v>141</v>
      </c>
      <c r="G1019" s="39" t="s">
        <v>635</v>
      </c>
      <c r="H1019" s="52" t="s">
        <v>99</v>
      </c>
      <c r="I1019" s="49">
        <v>627.35</v>
      </c>
      <c r="J1019" s="49">
        <v>19879.52</v>
      </c>
      <c r="K1019" s="58">
        <v>0</v>
      </c>
      <c r="L1019" s="58">
        <v>0</v>
      </c>
      <c r="M1019" s="58">
        <v>0</v>
      </c>
      <c r="N1019" s="58">
        <v>0</v>
      </c>
      <c r="O1019" s="65">
        <v>0</v>
      </c>
      <c r="P1019" s="65">
        <v>0</v>
      </c>
      <c r="Q1019" s="50">
        <v>19879.52</v>
      </c>
      <c r="R1019" s="65">
        <v>0</v>
      </c>
      <c r="S1019" s="65">
        <v>0</v>
      </c>
      <c r="T1019" s="65">
        <v>0</v>
      </c>
      <c r="U1019" s="65">
        <v>0</v>
      </c>
      <c r="V1019" s="65">
        <v>0</v>
      </c>
      <c r="W1019" s="65">
        <v>0</v>
      </c>
      <c r="X1019" s="65">
        <v>0</v>
      </c>
      <c r="Y1019" s="65">
        <v>0</v>
      </c>
      <c r="Z1019" s="65">
        <v>19879.52</v>
      </c>
      <c r="AA1019" s="51">
        <v>0</v>
      </c>
      <c r="AB1019" s="102">
        <v>0</v>
      </c>
      <c r="AC1019" s="81">
        <f t="shared" si="48"/>
        <v>46.042787216067545</v>
      </c>
      <c r="AD1019" s="82">
        <f t="shared" si="49"/>
        <v>89.621428571428581</v>
      </c>
      <c r="AE1019" s="218">
        <v>0</v>
      </c>
      <c r="AF1019">
        <v>0</v>
      </c>
      <c r="AH1019" t="str">
        <f t="shared" si="50"/>
        <v>Asarganj</v>
      </c>
      <c r="AJ1019" s="72">
        <v>0</v>
      </c>
      <c r="AK1019" s="72"/>
      <c r="AL1019" s="72"/>
      <c r="AM1019" s="72"/>
    </row>
    <row r="1020" spans="1:39" x14ac:dyDescent="0.25">
      <c r="A1020" s="37" t="s">
        <v>62</v>
      </c>
      <c r="B1020" s="66" t="s">
        <v>1615</v>
      </c>
      <c r="C1020" s="41">
        <v>1003</v>
      </c>
      <c r="D1020" s="41" t="s">
        <v>139</v>
      </c>
      <c r="E1020" s="41">
        <v>10030009</v>
      </c>
      <c r="F1020" s="85" t="s">
        <v>143</v>
      </c>
      <c r="G1020" s="39" t="s">
        <v>635</v>
      </c>
      <c r="H1020" s="52" t="s">
        <v>99</v>
      </c>
      <c r="I1020" s="52">
        <v>5950</v>
      </c>
      <c r="J1020" s="49">
        <v>214812</v>
      </c>
      <c r="K1020" s="58">
        <v>0</v>
      </c>
      <c r="L1020" s="58">
        <v>0</v>
      </c>
      <c r="M1020" s="58">
        <v>0</v>
      </c>
      <c r="N1020" s="58">
        <v>0</v>
      </c>
      <c r="O1020" s="65">
        <v>0</v>
      </c>
      <c r="P1020" s="65">
        <v>0</v>
      </c>
      <c r="Q1020" s="50">
        <v>214812</v>
      </c>
      <c r="R1020" s="65">
        <v>0</v>
      </c>
      <c r="S1020" s="65">
        <v>0</v>
      </c>
      <c r="T1020" s="65">
        <v>0</v>
      </c>
      <c r="U1020" s="65">
        <v>0</v>
      </c>
      <c r="V1020" s="65">
        <v>0</v>
      </c>
      <c r="W1020" s="65">
        <v>0</v>
      </c>
      <c r="X1020" s="65">
        <v>0</v>
      </c>
      <c r="Y1020" s="65">
        <v>0</v>
      </c>
      <c r="Z1020" s="65">
        <v>214812</v>
      </c>
      <c r="AA1020" s="51">
        <v>0</v>
      </c>
      <c r="AB1020" s="102">
        <v>0</v>
      </c>
      <c r="AC1020" s="81">
        <f t="shared" si="48"/>
        <v>0</v>
      </c>
      <c r="AD1020" s="82">
        <f t="shared" si="49"/>
        <v>0</v>
      </c>
      <c r="AE1020" s="218">
        <v>0</v>
      </c>
      <c r="AF1020">
        <v>0</v>
      </c>
      <c r="AH1020" t="str">
        <f t="shared" si="50"/>
        <v>Asarganj</v>
      </c>
      <c r="AJ1020" s="72">
        <v>0</v>
      </c>
      <c r="AK1020" s="72"/>
      <c r="AL1020" s="72"/>
      <c r="AM1020" s="72"/>
    </row>
    <row r="1021" spans="1:39" x14ac:dyDescent="0.25">
      <c r="A1021" s="37" t="s">
        <v>62</v>
      </c>
      <c r="B1021" s="66" t="s">
        <v>1615</v>
      </c>
      <c r="C1021" s="41">
        <v>1003</v>
      </c>
      <c r="D1021" s="41" t="s">
        <v>139</v>
      </c>
      <c r="E1021" s="41">
        <v>10030010</v>
      </c>
      <c r="F1021" s="85" t="s">
        <v>144</v>
      </c>
      <c r="G1021" s="39" t="s">
        <v>93</v>
      </c>
      <c r="H1021" s="52" t="s">
        <v>94</v>
      </c>
      <c r="I1021" s="52">
        <v>377.9</v>
      </c>
      <c r="J1021" s="49">
        <v>13059.42</v>
      </c>
      <c r="K1021" s="58">
        <v>353.55</v>
      </c>
      <c r="L1021" s="58">
        <v>14780.445898680002</v>
      </c>
      <c r="M1021" s="58">
        <v>0</v>
      </c>
      <c r="N1021" s="58">
        <v>0</v>
      </c>
      <c r="O1021" s="65">
        <v>353.55</v>
      </c>
      <c r="P1021" s="65">
        <v>14780.445898680002</v>
      </c>
      <c r="Q1021" s="50">
        <v>13059.42</v>
      </c>
      <c r="R1021" s="65">
        <v>0</v>
      </c>
      <c r="S1021" s="65">
        <v>0</v>
      </c>
      <c r="T1021" s="65">
        <v>1721.0258986800018</v>
      </c>
      <c r="U1021" s="65">
        <v>0</v>
      </c>
      <c r="V1021" s="65">
        <v>0</v>
      </c>
      <c r="W1021" s="65">
        <v>0</v>
      </c>
      <c r="X1021" s="65">
        <v>13059</v>
      </c>
      <c r="Y1021" s="65">
        <v>0</v>
      </c>
      <c r="Z1021" s="65">
        <v>0</v>
      </c>
      <c r="AA1021" s="51">
        <v>0</v>
      </c>
      <c r="AB1021" s="102">
        <v>0</v>
      </c>
      <c r="AC1021" s="81">
        <f t="shared" si="48"/>
        <v>222.62181434241867</v>
      </c>
      <c r="AD1021" s="82">
        <f t="shared" si="49"/>
        <v>53.98571428571428</v>
      </c>
      <c r="AE1021" s="218">
        <v>-0.13178425218577869</v>
      </c>
      <c r="AF1021">
        <v>2</v>
      </c>
      <c r="AH1021" t="str">
        <f t="shared" si="50"/>
        <v>Asarganj</v>
      </c>
      <c r="AJ1021" s="72">
        <v>0</v>
      </c>
      <c r="AK1021" s="72"/>
      <c r="AL1021" s="72"/>
      <c r="AM1021" s="72"/>
    </row>
    <row r="1022" spans="1:39" x14ac:dyDescent="0.25">
      <c r="A1022" s="37" t="s">
        <v>62</v>
      </c>
      <c r="B1022" s="66" t="s">
        <v>1615</v>
      </c>
      <c r="C1022" s="41">
        <v>1003</v>
      </c>
      <c r="D1022" s="41" t="s">
        <v>139</v>
      </c>
      <c r="E1022" s="41">
        <v>10030011</v>
      </c>
      <c r="F1022" s="85" t="s">
        <v>145</v>
      </c>
      <c r="G1022" s="39" t="s">
        <v>93</v>
      </c>
      <c r="H1022" s="52" t="s">
        <v>94</v>
      </c>
      <c r="I1022" s="52">
        <v>1192.1000000000001</v>
      </c>
      <c r="J1022" s="49">
        <v>46109.760000000009</v>
      </c>
      <c r="K1022" s="58">
        <v>863.1</v>
      </c>
      <c r="L1022" s="58">
        <v>33367.79346120001</v>
      </c>
      <c r="M1022" s="58">
        <v>329</v>
      </c>
      <c r="N1022" s="58">
        <v>12739.788638280001</v>
      </c>
      <c r="O1022" s="65">
        <v>1192.0999999999999</v>
      </c>
      <c r="P1022" s="65">
        <v>46107.582099480009</v>
      </c>
      <c r="Q1022" s="50">
        <v>46107.582099480009</v>
      </c>
      <c r="R1022" s="65">
        <v>0</v>
      </c>
      <c r="S1022" s="65">
        <v>270.44932068000003</v>
      </c>
      <c r="T1022" s="65">
        <v>0</v>
      </c>
      <c r="U1022" s="65">
        <v>0</v>
      </c>
      <c r="V1022" s="65">
        <v>0</v>
      </c>
      <c r="W1022" s="65">
        <v>0</v>
      </c>
      <c r="X1022" s="65">
        <v>33367</v>
      </c>
      <c r="Y1022" s="65">
        <v>12469</v>
      </c>
      <c r="Z1022" s="65">
        <v>0</v>
      </c>
      <c r="AA1022" s="51">
        <v>3</v>
      </c>
      <c r="AB1022" s="102">
        <v>0</v>
      </c>
      <c r="AC1022" s="81">
        <f t="shared" si="48"/>
        <v>0</v>
      </c>
      <c r="AD1022" s="82">
        <f t="shared" si="49"/>
        <v>0</v>
      </c>
      <c r="AE1022" s="218">
        <v>4.7232961524860422E-5</v>
      </c>
      <c r="AF1022">
        <v>13</v>
      </c>
      <c r="AH1022" t="str">
        <f t="shared" si="50"/>
        <v>Asarganj</v>
      </c>
      <c r="AJ1022" s="72">
        <v>0</v>
      </c>
      <c r="AK1022" s="72"/>
      <c r="AL1022" s="72"/>
      <c r="AM1022" s="72"/>
    </row>
    <row r="1023" spans="1:39" x14ac:dyDescent="0.25">
      <c r="A1023" s="37" t="s">
        <v>62</v>
      </c>
      <c r="B1023" s="66" t="s">
        <v>1615</v>
      </c>
      <c r="C1023" s="41">
        <v>1003</v>
      </c>
      <c r="D1023" s="41" t="s">
        <v>139</v>
      </c>
      <c r="E1023" s="41">
        <v>10030012</v>
      </c>
      <c r="F1023" s="85" t="s">
        <v>479</v>
      </c>
      <c r="G1023" s="39" t="s">
        <v>635</v>
      </c>
      <c r="H1023" s="52" t="s">
        <v>99</v>
      </c>
      <c r="I1023" s="52">
        <v>477.65</v>
      </c>
      <c r="J1023" s="49">
        <v>16896.78</v>
      </c>
      <c r="K1023" s="58">
        <v>0</v>
      </c>
      <c r="L1023" s="58">
        <v>0</v>
      </c>
      <c r="M1023" s="58">
        <v>0</v>
      </c>
      <c r="N1023" s="58">
        <v>0</v>
      </c>
      <c r="O1023" s="65">
        <v>0</v>
      </c>
      <c r="P1023" s="65">
        <v>0</v>
      </c>
      <c r="Q1023" s="50">
        <v>16896.78</v>
      </c>
      <c r="R1023" s="65">
        <v>0</v>
      </c>
      <c r="S1023" s="65">
        <v>0</v>
      </c>
      <c r="T1023" s="65">
        <v>0</v>
      </c>
      <c r="U1023" s="65">
        <v>0</v>
      </c>
      <c r="V1023" s="65">
        <v>0</v>
      </c>
      <c r="W1023" s="65">
        <v>0</v>
      </c>
      <c r="X1023" s="65">
        <v>0</v>
      </c>
      <c r="Y1023" s="65">
        <v>0</v>
      </c>
      <c r="Z1023" s="65">
        <v>16896.78</v>
      </c>
      <c r="AA1023" s="51">
        <v>0</v>
      </c>
      <c r="AB1023" s="102">
        <v>0</v>
      </c>
      <c r="AC1023" s="81">
        <f t="shared" si="48"/>
        <v>157.31179872291426</v>
      </c>
      <c r="AD1023" s="82">
        <f t="shared" si="49"/>
        <v>68.23571428571428</v>
      </c>
      <c r="AE1023" s="218">
        <v>0</v>
      </c>
      <c r="AF1023">
        <v>0</v>
      </c>
      <c r="AH1023" t="str">
        <f t="shared" si="50"/>
        <v>Asarganj</v>
      </c>
      <c r="AJ1023" s="72">
        <v>0</v>
      </c>
      <c r="AK1023" s="72"/>
      <c r="AL1023" s="72"/>
      <c r="AM1023" s="72"/>
    </row>
    <row r="1024" spans="1:39" x14ac:dyDescent="0.25">
      <c r="A1024" s="37" t="s">
        <v>62</v>
      </c>
      <c r="B1024" s="66" t="s">
        <v>1615</v>
      </c>
      <c r="C1024" s="41">
        <v>1003</v>
      </c>
      <c r="D1024" s="41" t="s">
        <v>139</v>
      </c>
      <c r="E1024" s="41">
        <v>10030013</v>
      </c>
      <c r="F1024" s="85" t="s">
        <v>146</v>
      </c>
      <c r="G1024" s="39" t="s">
        <v>93</v>
      </c>
      <c r="H1024" s="52" t="s">
        <v>94</v>
      </c>
      <c r="I1024" s="52">
        <v>429.39999999999992</v>
      </c>
      <c r="J1024" s="49">
        <v>21249.25</v>
      </c>
      <c r="K1024" s="58">
        <v>424.18</v>
      </c>
      <c r="L1024" s="58">
        <v>22474.321403509599</v>
      </c>
      <c r="M1024" s="58">
        <v>12.52</v>
      </c>
      <c r="N1024" s="58">
        <v>610.58970387200009</v>
      </c>
      <c r="O1024" s="65">
        <v>436.7</v>
      </c>
      <c r="P1024" s="65">
        <v>23084.911107381598</v>
      </c>
      <c r="Q1024" s="50">
        <v>21249.25</v>
      </c>
      <c r="R1024" s="65">
        <v>0</v>
      </c>
      <c r="S1024" s="65">
        <v>610.58970387200009</v>
      </c>
      <c r="T1024" s="65">
        <v>1835.6611073815984</v>
      </c>
      <c r="U1024" s="65">
        <v>0</v>
      </c>
      <c r="V1024" s="65">
        <v>0</v>
      </c>
      <c r="W1024" s="65">
        <v>0</v>
      </c>
      <c r="X1024" s="65">
        <v>20639</v>
      </c>
      <c r="Y1024" s="65">
        <v>0</v>
      </c>
      <c r="Z1024" s="65">
        <v>0</v>
      </c>
      <c r="AA1024" s="51">
        <v>0</v>
      </c>
      <c r="AB1024" s="102" t="s">
        <v>68</v>
      </c>
      <c r="AC1024" s="81">
        <f t="shared" si="48"/>
        <v>267.81774802049381</v>
      </c>
      <c r="AD1024" s="82">
        <f t="shared" si="49"/>
        <v>61.342857142857135</v>
      </c>
      <c r="AE1024" s="218">
        <v>-8.6387101068583522E-2</v>
      </c>
      <c r="AF1024">
        <v>10</v>
      </c>
      <c r="AH1024" t="str">
        <f t="shared" si="50"/>
        <v>Asarganj</v>
      </c>
      <c r="AJ1024" s="72">
        <v>0</v>
      </c>
      <c r="AK1024" s="72"/>
      <c r="AL1024" s="72"/>
      <c r="AM1024" s="72"/>
    </row>
    <row r="1025" spans="1:39" x14ac:dyDescent="0.25">
      <c r="A1025" s="37" t="s">
        <v>62</v>
      </c>
      <c r="B1025" s="66" t="s">
        <v>1615</v>
      </c>
      <c r="C1025" s="41">
        <v>1003</v>
      </c>
      <c r="D1025" s="41" t="s">
        <v>139</v>
      </c>
      <c r="E1025" s="41">
        <v>10030015</v>
      </c>
      <c r="F1025" s="85" t="s">
        <v>147</v>
      </c>
      <c r="G1025" s="39" t="s">
        <v>93</v>
      </c>
      <c r="H1025" s="52" t="s">
        <v>94</v>
      </c>
      <c r="I1025" s="52">
        <v>311.64999999999998</v>
      </c>
      <c r="J1025" s="49">
        <v>11387.21</v>
      </c>
      <c r="K1025" s="58">
        <v>312.69</v>
      </c>
      <c r="L1025" s="58">
        <v>11355.329920413602</v>
      </c>
      <c r="M1025" s="58">
        <v>8.58</v>
      </c>
      <c r="N1025" s="58">
        <v>310.75613278380001</v>
      </c>
      <c r="O1025" s="65">
        <v>321.27</v>
      </c>
      <c r="P1025" s="65">
        <v>11666.086053197401</v>
      </c>
      <c r="Q1025" s="50">
        <v>11387.21</v>
      </c>
      <c r="R1025" s="65">
        <v>0</v>
      </c>
      <c r="S1025" s="65">
        <v>310.75613278380001</v>
      </c>
      <c r="T1025" s="65">
        <v>278.87605319740214</v>
      </c>
      <c r="U1025" s="65">
        <v>0</v>
      </c>
      <c r="V1025" s="65">
        <v>0</v>
      </c>
      <c r="W1025" s="65">
        <v>0</v>
      </c>
      <c r="X1025" s="65">
        <v>11076</v>
      </c>
      <c r="Y1025" s="65">
        <v>0</v>
      </c>
      <c r="Z1025" s="65">
        <v>0</v>
      </c>
      <c r="AA1025" s="51">
        <v>0</v>
      </c>
      <c r="AB1025" s="102">
        <v>0</v>
      </c>
      <c r="AC1025" s="81">
        <f t="shared" si="48"/>
        <v>283.79419242740255</v>
      </c>
      <c r="AD1025" s="82">
        <f t="shared" si="49"/>
        <v>44.521428571428565</v>
      </c>
      <c r="AE1025" s="218">
        <v>-2.4490288068578885E-2</v>
      </c>
      <c r="AF1025">
        <v>5</v>
      </c>
      <c r="AH1025" t="str">
        <f t="shared" si="50"/>
        <v>Asarganj</v>
      </c>
      <c r="AJ1025" s="72">
        <v>0</v>
      </c>
      <c r="AK1025" s="72"/>
      <c r="AL1025" s="72"/>
      <c r="AM1025" s="72"/>
    </row>
    <row r="1026" spans="1:39" x14ac:dyDescent="0.25">
      <c r="A1026" s="37" t="s">
        <v>62</v>
      </c>
      <c r="B1026" s="66" t="s">
        <v>1615</v>
      </c>
      <c r="C1026" s="41">
        <v>1003</v>
      </c>
      <c r="D1026" s="41" t="s">
        <v>139</v>
      </c>
      <c r="E1026" s="41">
        <v>10030016</v>
      </c>
      <c r="F1026" s="85" t="s">
        <v>148</v>
      </c>
      <c r="G1026" s="39" t="s">
        <v>93</v>
      </c>
      <c r="H1026" s="52" t="s">
        <v>94</v>
      </c>
      <c r="I1026" s="52">
        <v>1126.05</v>
      </c>
      <c r="J1026" s="49">
        <v>44289.770000000004</v>
      </c>
      <c r="K1026" s="58">
        <v>174.69</v>
      </c>
      <c r="L1026" s="58">
        <v>8308.9679867448303</v>
      </c>
      <c r="M1026" s="58">
        <v>954.99999999999989</v>
      </c>
      <c r="N1026" s="58">
        <v>37949.698248775356</v>
      </c>
      <c r="O1026" s="65">
        <v>1129.6899999999998</v>
      </c>
      <c r="P1026" s="65">
        <v>46258.666235520184</v>
      </c>
      <c r="Q1026" s="50">
        <v>44289.770000000004</v>
      </c>
      <c r="R1026" s="65">
        <v>0</v>
      </c>
      <c r="S1026" s="65">
        <v>301.546876752</v>
      </c>
      <c r="T1026" s="65">
        <v>1968.8962355201802</v>
      </c>
      <c r="U1026" s="65">
        <v>0</v>
      </c>
      <c r="V1026" s="65">
        <v>0</v>
      </c>
      <c r="W1026" s="65">
        <v>0</v>
      </c>
      <c r="X1026" s="65">
        <v>6340</v>
      </c>
      <c r="Y1026" s="65">
        <v>37648</v>
      </c>
      <c r="Z1026" s="65">
        <v>0</v>
      </c>
      <c r="AA1026" s="51">
        <v>0</v>
      </c>
      <c r="AB1026" s="102" t="s">
        <v>66</v>
      </c>
      <c r="AC1026" s="81">
        <f t="shared" si="48"/>
        <v>0</v>
      </c>
      <c r="AD1026" s="82">
        <f t="shared" si="49"/>
        <v>0</v>
      </c>
      <c r="AE1026" s="218">
        <v>-4.4454876047452491E-2</v>
      </c>
      <c r="AF1026">
        <v>13</v>
      </c>
      <c r="AH1026" t="str">
        <f t="shared" si="50"/>
        <v>Asarganj</v>
      </c>
      <c r="AJ1026" s="72">
        <v>0</v>
      </c>
      <c r="AK1026" s="72"/>
      <c r="AL1026" s="72"/>
      <c r="AM1026" s="72"/>
    </row>
    <row r="1027" spans="1:39" x14ac:dyDescent="0.25">
      <c r="A1027" s="37" t="s">
        <v>62</v>
      </c>
      <c r="B1027" s="66" t="s">
        <v>1615</v>
      </c>
      <c r="C1027" s="41">
        <v>1003</v>
      </c>
      <c r="D1027" s="41" t="s">
        <v>139</v>
      </c>
      <c r="E1027" s="41">
        <v>10030017</v>
      </c>
      <c r="F1027" s="85" t="s">
        <v>149</v>
      </c>
      <c r="G1027" s="39" t="s">
        <v>93</v>
      </c>
      <c r="H1027" s="52" t="s">
        <v>94</v>
      </c>
      <c r="I1027" s="52">
        <v>982.8</v>
      </c>
      <c r="J1027" s="49">
        <v>49264.05</v>
      </c>
      <c r="K1027" s="58">
        <v>991.32000000000016</v>
      </c>
      <c r="L1027" s="58">
        <v>49080.411224744908</v>
      </c>
      <c r="M1027" s="58">
        <v>17.71</v>
      </c>
      <c r="N1027" s="58">
        <v>981.00668154720017</v>
      </c>
      <c r="O1027" s="65">
        <v>1009.0300000000002</v>
      </c>
      <c r="P1027" s="65">
        <v>50061.41790629211</v>
      </c>
      <c r="Q1027" s="50">
        <v>49264.05</v>
      </c>
      <c r="R1027" s="65">
        <v>0</v>
      </c>
      <c r="S1027" s="65">
        <v>981.00668154720017</v>
      </c>
      <c r="T1027" s="65">
        <v>797.36790629210736</v>
      </c>
      <c r="U1027" s="65">
        <v>0</v>
      </c>
      <c r="V1027" s="65">
        <v>0</v>
      </c>
      <c r="W1027" s="65">
        <v>0</v>
      </c>
      <c r="X1027" s="65">
        <v>48283</v>
      </c>
      <c r="Y1027" s="65">
        <v>0</v>
      </c>
      <c r="Z1027" s="65">
        <v>0</v>
      </c>
      <c r="AA1027" s="51">
        <v>0</v>
      </c>
      <c r="AB1027" s="102">
        <v>0</v>
      </c>
      <c r="AC1027" s="81">
        <f t="shared" ref="AC1027:AC1090" si="51">((IF(AD1027=0,0,100-AD1027))*7*(J1027/I1027))*2%</f>
        <v>0</v>
      </c>
      <c r="AD1027" s="82">
        <f t="shared" ref="AD1027:AD1090" si="52">IF((I1027/7)&gt;100,0,(I1027/7))</f>
        <v>0</v>
      </c>
      <c r="AE1027" s="218">
        <v>-1.6185593882194163E-2</v>
      </c>
      <c r="AF1027">
        <v>34</v>
      </c>
      <c r="AH1027" t="str">
        <f t="shared" si="50"/>
        <v>Asarganj</v>
      </c>
      <c r="AJ1027" s="72">
        <v>0</v>
      </c>
      <c r="AK1027" s="72"/>
      <c r="AL1027" s="72"/>
      <c r="AM1027" s="72"/>
    </row>
    <row r="1028" spans="1:39" x14ac:dyDescent="0.25">
      <c r="A1028" s="37" t="s">
        <v>62</v>
      </c>
      <c r="B1028" s="66" t="s">
        <v>1615</v>
      </c>
      <c r="C1028" s="41">
        <v>1003</v>
      </c>
      <c r="D1028" s="41" t="s">
        <v>139</v>
      </c>
      <c r="E1028" s="41">
        <v>10030018</v>
      </c>
      <c r="F1028" s="85" t="s">
        <v>150</v>
      </c>
      <c r="G1028" s="39" t="s">
        <v>93</v>
      </c>
      <c r="H1028" s="52" t="s">
        <v>94</v>
      </c>
      <c r="I1028" s="52">
        <v>796.84999999999991</v>
      </c>
      <c r="J1028" s="49">
        <v>31595.390000000003</v>
      </c>
      <c r="K1028" s="58">
        <v>800.42000000000007</v>
      </c>
      <c r="L1028" s="58">
        <v>31353.706623253838</v>
      </c>
      <c r="M1028" s="58">
        <v>24.229999999999997</v>
      </c>
      <c r="N1028" s="58">
        <v>1008.06862354178</v>
      </c>
      <c r="O1028" s="65">
        <v>824.65000000000009</v>
      </c>
      <c r="P1028" s="65">
        <v>32361.77524679562</v>
      </c>
      <c r="Q1028" s="50">
        <v>31595.390000000003</v>
      </c>
      <c r="R1028" s="65">
        <v>0</v>
      </c>
      <c r="S1028" s="65">
        <v>1008.06862354178</v>
      </c>
      <c r="T1028" s="65">
        <v>766.38524679561669</v>
      </c>
      <c r="U1028" s="65">
        <v>0</v>
      </c>
      <c r="V1028" s="65">
        <v>0</v>
      </c>
      <c r="W1028" s="65">
        <v>0</v>
      </c>
      <c r="X1028" s="65">
        <v>30587</v>
      </c>
      <c r="Y1028" s="65">
        <v>0</v>
      </c>
      <c r="Z1028" s="65">
        <v>0</v>
      </c>
      <c r="AA1028" s="51">
        <v>0</v>
      </c>
      <c r="AB1028" s="102">
        <v>0</v>
      </c>
      <c r="AC1028" s="81">
        <f t="shared" si="51"/>
        <v>0</v>
      </c>
      <c r="AD1028" s="82">
        <f t="shared" si="52"/>
        <v>0</v>
      </c>
      <c r="AE1028" s="218">
        <v>-2.4256236330541154E-2</v>
      </c>
      <c r="AF1028">
        <v>21</v>
      </c>
      <c r="AH1028" t="str">
        <f t="shared" si="50"/>
        <v>Asarganj</v>
      </c>
      <c r="AJ1028" s="72">
        <v>0</v>
      </c>
      <c r="AK1028" s="72"/>
      <c r="AL1028" s="72"/>
      <c r="AM1028" s="72"/>
    </row>
    <row r="1029" spans="1:39" x14ac:dyDescent="0.25">
      <c r="A1029" s="37" t="s">
        <v>62</v>
      </c>
      <c r="B1029" s="66" t="s">
        <v>1615</v>
      </c>
      <c r="C1029" s="41">
        <v>1003</v>
      </c>
      <c r="D1029" s="41" t="s">
        <v>139</v>
      </c>
      <c r="E1029" s="41">
        <v>10030019</v>
      </c>
      <c r="F1029" s="85" t="s">
        <v>151</v>
      </c>
      <c r="G1029" s="39" t="s">
        <v>93</v>
      </c>
      <c r="H1029" s="52" t="s">
        <v>94</v>
      </c>
      <c r="I1029" s="52">
        <v>644.80000000000007</v>
      </c>
      <c r="J1029" s="49">
        <v>29025.399999999998</v>
      </c>
      <c r="K1029" s="58">
        <v>632.96999999999991</v>
      </c>
      <c r="L1029" s="58">
        <v>29377.14384088981</v>
      </c>
      <c r="M1029" s="58">
        <v>25.279999999999998</v>
      </c>
      <c r="N1029" s="58">
        <v>1463.2931242344403</v>
      </c>
      <c r="O1029" s="65">
        <v>658.24999999999989</v>
      </c>
      <c r="P1029" s="65">
        <v>30840.436965124252</v>
      </c>
      <c r="Q1029" s="50">
        <v>29025.399999999998</v>
      </c>
      <c r="R1029" s="65">
        <v>0</v>
      </c>
      <c r="S1029" s="65">
        <v>1463.2931242344403</v>
      </c>
      <c r="T1029" s="65">
        <v>1815.0369651242545</v>
      </c>
      <c r="U1029" s="65">
        <v>0</v>
      </c>
      <c r="V1029" s="65">
        <v>0</v>
      </c>
      <c r="W1029" s="65">
        <v>0</v>
      </c>
      <c r="X1029" s="65">
        <v>27562</v>
      </c>
      <c r="Y1029" s="65">
        <v>0</v>
      </c>
      <c r="Z1029" s="65">
        <v>0</v>
      </c>
      <c r="AA1029" s="51">
        <v>0</v>
      </c>
      <c r="AB1029" s="102">
        <v>0</v>
      </c>
      <c r="AC1029" s="81">
        <f t="shared" si="51"/>
        <v>49.696094292803878</v>
      </c>
      <c r="AD1029" s="82">
        <f t="shared" si="52"/>
        <v>92.114285714285728</v>
      </c>
      <c r="AE1029" s="218">
        <v>-6.2532711525913665E-2</v>
      </c>
      <c r="AF1029">
        <v>11</v>
      </c>
      <c r="AH1029" t="str">
        <f t="shared" si="50"/>
        <v>Asarganj</v>
      </c>
      <c r="AJ1029" s="72">
        <v>0</v>
      </c>
      <c r="AK1029" s="72"/>
      <c r="AL1029" s="72"/>
      <c r="AM1029" s="72"/>
    </row>
    <row r="1030" spans="1:39" x14ac:dyDescent="0.25">
      <c r="A1030" s="37" t="s">
        <v>62</v>
      </c>
      <c r="B1030" s="66" t="s">
        <v>1615</v>
      </c>
      <c r="C1030" s="41">
        <v>1003</v>
      </c>
      <c r="D1030" s="41" t="s">
        <v>139</v>
      </c>
      <c r="E1030" s="41">
        <v>10030021</v>
      </c>
      <c r="F1030" s="85" t="s">
        <v>152</v>
      </c>
      <c r="G1030" s="39" t="s">
        <v>93</v>
      </c>
      <c r="H1030" s="52" t="s">
        <v>94</v>
      </c>
      <c r="I1030" s="52">
        <v>815.6</v>
      </c>
      <c r="J1030" s="49">
        <v>32562.819999999996</v>
      </c>
      <c r="K1030" s="58">
        <v>837.34</v>
      </c>
      <c r="L1030" s="58">
        <v>35477.496309319853</v>
      </c>
      <c r="M1030" s="58">
        <v>27.529999999999994</v>
      </c>
      <c r="N1030" s="58">
        <v>1152.5071250880001</v>
      </c>
      <c r="O1030" s="65">
        <v>864.87</v>
      </c>
      <c r="P1030" s="65">
        <v>36630.003434407852</v>
      </c>
      <c r="Q1030" s="50">
        <v>32562.819999999996</v>
      </c>
      <c r="R1030" s="65">
        <v>0</v>
      </c>
      <c r="S1030" s="65">
        <v>1152.5071250880001</v>
      </c>
      <c r="T1030" s="65">
        <v>4067.1834344078561</v>
      </c>
      <c r="U1030" s="65">
        <v>0</v>
      </c>
      <c r="V1030" s="65">
        <v>0</v>
      </c>
      <c r="W1030" s="65">
        <v>0</v>
      </c>
      <c r="X1030" s="65">
        <v>31410</v>
      </c>
      <c r="Y1030" s="65">
        <v>0</v>
      </c>
      <c r="Z1030" s="65">
        <v>0</v>
      </c>
      <c r="AA1030" s="51">
        <v>0</v>
      </c>
      <c r="AB1030" s="102">
        <v>0</v>
      </c>
      <c r="AC1030" s="81">
        <f t="shared" si="51"/>
        <v>0</v>
      </c>
      <c r="AD1030" s="82">
        <f t="shared" si="52"/>
        <v>0</v>
      </c>
      <c r="AE1030" s="218">
        <v>-0.12490267840463008</v>
      </c>
      <c r="AF1030">
        <v>10</v>
      </c>
      <c r="AH1030" t="str">
        <f t="shared" si="50"/>
        <v>Asarganj</v>
      </c>
      <c r="AJ1030" s="72">
        <v>0</v>
      </c>
      <c r="AK1030" s="72"/>
      <c r="AL1030" s="72"/>
      <c r="AM1030" s="72"/>
    </row>
    <row r="1031" spans="1:39" x14ac:dyDescent="0.25">
      <c r="A1031" s="37" t="s">
        <v>62</v>
      </c>
      <c r="B1031" s="66" t="s">
        <v>1615</v>
      </c>
      <c r="C1031" s="41">
        <v>1003</v>
      </c>
      <c r="D1031" s="41" t="s">
        <v>139</v>
      </c>
      <c r="E1031" s="41">
        <v>10030022</v>
      </c>
      <c r="F1031" s="85" t="s">
        <v>153</v>
      </c>
      <c r="G1031" s="39" t="s">
        <v>93</v>
      </c>
      <c r="H1031" s="52" t="s">
        <v>94</v>
      </c>
      <c r="I1031" s="52">
        <v>1472.3500000000001</v>
      </c>
      <c r="J1031" s="49">
        <v>57059.1</v>
      </c>
      <c r="K1031" s="58">
        <v>1349.7900000000002</v>
      </c>
      <c r="L1031" s="58">
        <v>53657.661248776203</v>
      </c>
      <c r="M1031" s="58">
        <v>125.28999999999999</v>
      </c>
      <c r="N1031" s="58">
        <v>4800.1088819266815</v>
      </c>
      <c r="O1031" s="65">
        <v>1475.0800000000002</v>
      </c>
      <c r="P1031" s="65">
        <v>58457.770130702884</v>
      </c>
      <c r="Q1031" s="50">
        <v>57059.1</v>
      </c>
      <c r="R1031" s="65">
        <v>0</v>
      </c>
      <c r="S1031" s="65">
        <v>831.07483257048034</v>
      </c>
      <c r="T1031" s="65">
        <v>1398.6701307028852</v>
      </c>
      <c r="U1031" s="65">
        <v>0</v>
      </c>
      <c r="V1031" s="65">
        <v>0</v>
      </c>
      <c r="W1031" s="65">
        <v>0</v>
      </c>
      <c r="X1031" s="65">
        <v>52259</v>
      </c>
      <c r="Y1031" s="65">
        <v>3969</v>
      </c>
      <c r="Z1031" s="65">
        <v>0</v>
      </c>
      <c r="AA1031" s="51">
        <v>0</v>
      </c>
      <c r="AB1031" s="102">
        <v>0</v>
      </c>
      <c r="AC1031" s="81">
        <f t="shared" si="51"/>
        <v>0</v>
      </c>
      <c r="AD1031" s="82">
        <f t="shared" si="52"/>
        <v>0</v>
      </c>
      <c r="AE1031" s="218">
        <v>-2.451265671387886E-2</v>
      </c>
      <c r="AF1031">
        <v>27</v>
      </c>
      <c r="AH1031" t="str">
        <f t="shared" si="50"/>
        <v>Asarganj</v>
      </c>
      <c r="AJ1031" s="72">
        <v>0</v>
      </c>
      <c r="AK1031" s="72"/>
      <c r="AL1031" s="72"/>
      <c r="AM1031" s="72"/>
    </row>
    <row r="1032" spans="1:39" x14ac:dyDescent="0.25">
      <c r="A1032" s="37" t="s">
        <v>62</v>
      </c>
      <c r="B1032" s="66" t="s">
        <v>1615</v>
      </c>
      <c r="C1032" s="41">
        <v>1003</v>
      </c>
      <c r="D1032" s="41" t="s">
        <v>139</v>
      </c>
      <c r="E1032" s="41">
        <v>10030023</v>
      </c>
      <c r="F1032" s="85" t="s">
        <v>154</v>
      </c>
      <c r="G1032" s="39" t="s">
        <v>93</v>
      </c>
      <c r="H1032" s="52" t="s">
        <v>94</v>
      </c>
      <c r="I1032" s="52">
        <v>253.65</v>
      </c>
      <c r="J1032" s="49">
        <v>10469.68</v>
      </c>
      <c r="K1032" s="58">
        <v>244.85000000000002</v>
      </c>
      <c r="L1032" s="58">
        <v>10739.707746759801</v>
      </c>
      <c r="M1032" s="58">
        <v>12.260000000000002</v>
      </c>
      <c r="N1032" s="58">
        <v>523.56681432000005</v>
      </c>
      <c r="O1032" s="65">
        <v>257.11</v>
      </c>
      <c r="P1032" s="65">
        <v>11263.274561079801</v>
      </c>
      <c r="Q1032" s="50">
        <v>10469.68</v>
      </c>
      <c r="R1032" s="65">
        <v>0</v>
      </c>
      <c r="S1032" s="65">
        <v>523.56681432000005</v>
      </c>
      <c r="T1032" s="65">
        <v>793.59456107980077</v>
      </c>
      <c r="U1032" s="65">
        <v>0</v>
      </c>
      <c r="V1032" s="65">
        <v>0</v>
      </c>
      <c r="W1032" s="65">
        <v>0</v>
      </c>
      <c r="X1032" s="65">
        <v>9946</v>
      </c>
      <c r="Y1032" s="65">
        <v>0</v>
      </c>
      <c r="Z1032" s="65">
        <v>0</v>
      </c>
      <c r="AA1032" s="51">
        <v>0</v>
      </c>
      <c r="AB1032" s="102" t="s">
        <v>68</v>
      </c>
      <c r="AC1032" s="81">
        <f t="shared" si="51"/>
        <v>368.47164738813319</v>
      </c>
      <c r="AD1032" s="82">
        <f t="shared" si="52"/>
        <v>36.235714285714288</v>
      </c>
      <c r="AE1032" s="218">
        <v>-7.5799313931256801E-2</v>
      </c>
      <c r="AF1032">
        <v>9</v>
      </c>
      <c r="AH1032" t="str">
        <f t="shared" si="50"/>
        <v>Asarganj</v>
      </c>
      <c r="AJ1032" s="72">
        <v>0</v>
      </c>
      <c r="AK1032" s="72"/>
      <c r="AL1032" s="72"/>
      <c r="AM1032" s="72"/>
    </row>
    <row r="1033" spans="1:39" x14ac:dyDescent="0.25">
      <c r="A1033" s="37" t="s">
        <v>62</v>
      </c>
      <c r="B1033" s="66" t="s">
        <v>1615</v>
      </c>
      <c r="C1033" s="41">
        <v>1003</v>
      </c>
      <c r="D1033" s="41" t="s">
        <v>139</v>
      </c>
      <c r="E1033" s="41">
        <v>10030025</v>
      </c>
      <c r="F1033" s="85" t="s">
        <v>155</v>
      </c>
      <c r="G1033" s="39" t="s">
        <v>93</v>
      </c>
      <c r="H1033" s="52" t="s">
        <v>94</v>
      </c>
      <c r="I1033" s="52">
        <v>637.80000000000007</v>
      </c>
      <c r="J1033" s="49">
        <v>24100.689999999995</v>
      </c>
      <c r="K1033" s="58">
        <v>679.08</v>
      </c>
      <c r="L1033" s="58">
        <v>25465.195613880001</v>
      </c>
      <c r="M1033" s="58">
        <v>9.81</v>
      </c>
      <c r="N1033" s="58">
        <v>356.61782336400006</v>
      </c>
      <c r="O1033" s="65">
        <v>688.89</v>
      </c>
      <c r="P1033" s="65">
        <v>25821.813437244</v>
      </c>
      <c r="Q1033" s="50">
        <v>24100.689999999995</v>
      </c>
      <c r="R1033" s="65">
        <v>0</v>
      </c>
      <c r="S1033" s="65">
        <v>356.61782336400006</v>
      </c>
      <c r="T1033" s="65">
        <v>1721.1234372440049</v>
      </c>
      <c r="U1033" s="65">
        <v>0</v>
      </c>
      <c r="V1033" s="65">
        <v>0</v>
      </c>
      <c r="W1033" s="65">
        <v>0</v>
      </c>
      <c r="X1033" s="65">
        <v>23744</v>
      </c>
      <c r="Y1033" s="65">
        <v>0</v>
      </c>
      <c r="Z1033" s="65">
        <v>0</v>
      </c>
      <c r="AA1033" s="51">
        <v>0</v>
      </c>
      <c r="AB1033" s="102">
        <v>0</v>
      </c>
      <c r="AC1033" s="81">
        <f t="shared" si="51"/>
        <v>47.007303794292795</v>
      </c>
      <c r="AD1033" s="82">
        <f t="shared" si="52"/>
        <v>91.114285714285728</v>
      </c>
      <c r="AE1033" s="218">
        <v>-7.1413865629739448E-2</v>
      </c>
      <c r="AF1033">
        <v>6</v>
      </c>
      <c r="AH1033" t="str">
        <f t="shared" si="50"/>
        <v>Asarganj</v>
      </c>
      <c r="AJ1033" s="72">
        <v>0</v>
      </c>
      <c r="AK1033" s="72"/>
      <c r="AL1033" s="72"/>
      <c r="AM1033" s="72"/>
    </row>
    <row r="1034" spans="1:39" x14ac:dyDescent="0.25">
      <c r="A1034" s="37" t="s">
        <v>62</v>
      </c>
      <c r="B1034" s="66" t="s">
        <v>1615</v>
      </c>
      <c r="C1034" s="41">
        <v>1003</v>
      </c>
      <c r="D1034" s="41" t="s">
        <v>139</v>
      </c>
      <c r="E1034" s="41">
        <v>10030026</v>
      </c>
      <c r="F1034" s="85" t="s">
        <v>156</v>
      </c>
      <c r="G1034" s="39" t="s">
        <v>93</v>
      </c>
      <c r="H1034" s="52" t="s">
        <v>94</v>
      </c>
      <c r="I1034" s="52">
        <v>1214.8500000000001</v>
      </c>
      <c r="J1034" s="49">
        <v>45299.490000000005</v>
      </c>
      <c r="K1034" s="58">
        <v>1187.53</v>
      </c>
      <c r="L1034" s="58">
        <v>44766.497752929441</v>
      </c>
      <c r="M1034" s="58">
        <v>0</v>
      </c>
      <c r="N1034" s="58">
        <v>0</v>
      </c>
      <c r="O1034" s="65">
        <v>1187.53</v>
      </c>
      <c r="P1034" s="65">
        <v>44766.497752929441</v>
      </c>
      <c r="Q1034" s="50">
        <v>44766.497752929441</v>
      </c>
      <c r="R1034" s="65">
        <v>0</v>
      </c>
      <c r="S1034" s="65">
        <v>0</v>
      </c>
      <c r="T1034" s="65">
        <v>0</v>
      </c>
      <c r="U1034" s="65">
        <v>0</v>
      </c>
      <c r="V1034" s="65">
        <v>0</v>
      </c>
      <c r="W1034" s="65">
        <v>0</v>
      </c>
      <c r="X1034" s="65">
        <v>44767</v>
      </c>
      <c r="Y1034" s="65">
        <v>0</v>
      </c>
      <c r="Z1034" s="65">
        <v>0</v>
      </c>
      <c r="AA1034" s="51">
        <v>532</v>
      </c>
      <c r="AB1034" s="102">
        <v>0</v>
      </c>
      <c r="AC1034" s="81">
        <f t="shared" si="51"/>
        <v>0</v>
      </c>
      <c r="AD1034" s="82">
        <f t="shared" si="52"/>
        <v>0</v>
      </c>
      <c r="AE1034" s="218">
        <v>1.1765965733180752E-2</v>
      </c>
      <c r="AF1034">
        <v>37</v>
      </c>
      <c r="AH1034" t="str">
        <f t="shared" si="50"/>
        <v>Asarganj</v>
      </c>
      <c r="AJ1034" s="72">
        <v>0</v>
      </c>
      <c r="AK1034" s="72"/>
      <c r="AL1034" s="72"/>
      <c r="AM1034" s="72"/>
    </row>
    <row r="1035" spans="1:39" x14ac:dyDescent="0.25">
      <c r="A1035" s="37" t="s">
        <v>62</v>
      </c>
      <c r="B1035" s="66" t="s">
        <v>1615</v>
      </c>
      <c r="C1035" s="41">
        <v>1003</v>
      </c>
      <c r="D1035" s="41" t="s">
        <v>139</v>
      </c>
      <c r="E1035" s="41">
        <v>10030027</v>
      </c>
      <c r="F1035" s="85" t="s">
        <v>157</v>
      </c>
      <c r="G1035" s="39" t="s">
        <v>93</v>
      </c>
      <c r="H1035" s="52" t="s">
        <v>94</v>
      </c>
      <c r="I1035" s="52">
        <v>743.1</v>
      </c>
      <c r="J1035" s="49">
        <v>27783.93</v>
      </c>
      <c r="K1035" s="58">
        <v>706</v>
      </c>
      <c r="L1035" s="58">
        <v>26594.111269976405</v>
      </c>
      <c r="M1035" s="58">
        <v>23.499999999999996</v>
      </c>
      <c r="N1035" s="58">
        <v>920.50698172960006</v>
      </c>
      <c r="O1035" s="65">
        <v>729.5</v>
      </c>
      <c r="P1035" s="65">
        <v>27514.618251706004</v>
      </c>
      <c r="Q1035" s="50">
        <v>27514.618251706004</v>
      </c>
      <c r="R1035" s="65">
        <v>0</v>
      </c>
      <c r="S1035" s="65">
        <v>920.50698172960006</v>
      </c>
      <c r="T1035" s="65">
        <v>0</v>
      </c>
      <c r="U1035" s="65">
        <v>0</v>
      </c>
      <c r="V1035" s="65">
        <v>0</v>
      </c>
      <c r="W1035" s="65">
        <v>0</v>
      </c>
      <c r="X1035" s="65">
        <v>26595</v>
      </c>
      <c r="Y1035" s="65">
        <v>0</v>
      </c>
      <c r="Z1035" s="65">
        <v>0</v>
      </c>
      <c r="AA1035" s="51">
        <v>268</v>
      </c>
      <c r="AB1035" s="102">
        <v>0</v>
      </c>
      <c r="AC1035" s="81">
        <f t="shared" si="51"/>
        <v>0</v>
      </c>
      <c r="AD1035" s="82">
        <f t="shared" si="52"/>
        <v>0</v>
      </c>
      <c r="AE1035" s="218">
        <v>9.6930761160856672E-3</v>
      </c>
      <c r="AF1035">
        <v>38</v>
      </c>
      <c r="AH1035" t="str">
        <f t="shared" si="50"/>
        <v>Asarganj</v>
      </c>
      <c r="AJ1035" s="72">
        <v>0</v>
      </c>
      <c r="AK1035" s="72"/>
      <c r="AL1035" s="72"/>
      <c r="AM1035" s="72"/>
    </row>
    <row r="1036" spans="1:39" x14ac:dyDescent="0.25">
      <c r="A1036" s="37" t="s">
        <v>62</v>
      </c>
      <c r="B1036" s="66" t="s">
        <v>1615</v>
      </c>
      <c r="C1036" s="41">
        <v>1003</v>
      </c>
      <c r="D1036" s="41" t="s">
        <v>139</v>
      </c>
      <c r="E1036" s="41">
        <v>10030028</v>
      </c>
      <c r="F1036" s="85" t="s">
        <v>158</v>
      </c>
      <c r="G1036" s="39" t="s">
        <v>93</v>
      </c>
      <c r="H1036" s="52" t="s">
        <v>94</v>
      </c>
      <c r="I1036" s="52">
        <v>903.1</v>
      </c>
      <c r="J1036" s="49">
        <v>36090.83</v>
      </c>
      <c r="K1036" s="58">
        <v>910.5</v>
      </c>
      <c r="L1036" s="58">
        <v>36655.068669585904</v>
      </c>
      <c r="M1036" s="58">
        <v>17.900000000000002</v>
      </c>
      <c r="N1036" s="58">
        <v>733.09511484000006</v>
      </c>
      <c r="O1036" s="65">
        <v>928.4</v>
      </c>
      <c r="P1036" s="65">
        <v>37388.163784425902</v>
      </c>
      <c r="Q1036" s="50">
        <v>36090.83</v>
      </c>
      <c r="R1036" s="65">
        <v>0</v>
      </c>
      <c r="S1036" s="65">
        <v>733.09511484000006</v>
      </c>
      <c r="T1036" s="65">
        <v>1297.3337844259004</v>
      </c>
      <c r="U1036" s="65">
        <v>0</v>
      </c>
      <c r="V1036" s="65">
        <v>0</v>
      </c>
      <c r="W1036" s="65">
        <v>0</v>
      </c>
      <c r="X1036" s="65">
        <v>35358</v>
      </c>
      <c r="Y1036" s="65">
        <v>0</v>
      </c>
      <c r="Z1036" s="65">
        <v>0</v>
      </c>
      <c r="AA1036" s="51">
        <v>0</v>
      </c>
      <c r="AB1036" s="102">
        <v>0</v>
      </c>
      <c r="AC1036" s="81">
        <f t="shared" si="51"/>
        <v>0</v>
      </c>
      <c r="AD1036" s="82">
        <f t="shared" si="52"/>
        <v>0</v>
      </c>
      <c r="AE1036" s="218">
        <v>-3.5946354916911033E-2</v>
      </c>
      <c r="AF1036">
        <v>36</v>
      </c>
      <c r="AH1036" t="str">
        <f t="shared" si="50"/>
        <v>Asarganj</v>
      </c>
      <c r="AJ1036" s="72">
        <v>0</v>
      </c>
      <c r="AK1036" s="72"/>
      <c r="AL1036" s="72"/>
      <c r="AM1036" s="72"/>
    </row>
    <row r="1037" spans="1:39" x14ac:dyDescent="0.25">
      <c r="A1037" s="37" t="s">
        <v>62</v>
      </c>
      <c r="B1037" s="66" t="s">
        <v>1615</v>
      </c>
      <c r="C1037" s="41">
        <v>1003</v>
      </c>
      <c r="D1037" s="41" t="s">
        <v>139</v>
      </c>
      <c r="E1037" s="41">
        <v>10030031</v>
      </c>
      <c r="F1037" s="85" t="s">
        <v>159</v>
      </c>
      <c r="G1037" s="39" t="s">
        <v>93</v>
      </c>
      <c r="H1037" s="52" t="s">
        <v>94</v>
      </c>
      <c r="I1037" s="52">
        <v>873.75</v>
      </c>
      <c r="J1037" s="49">
        <v>31337.85</v>
      </c>
      <c r="K1037" s="58">
        <v>845.07000000000016</v>
      </c>
      <c r="L1037" s="58">
        <v>31288.754870047538</v>
      </c>
      <c r="M1037" s="58">
        <v>0</v>
      </c>
      <c r="N1037" s="58">
        <v>0</v>
      </c>
      <c r="O1037" s="65">
        <v>845.07000000000016</v>
      </c>
      <c r="P1037" s="65">
        <v>31288.754870047538</v>
      </c>
      <c r="Q1037" s="50">
        <v>31288.754870047538</v>
      </c>
      <c r="R1037" s="65">
        <v>0</v>
      </c>
      <c r="S1037" s="65">
        <v>0</v>
      </c>
      <c r="T1037" s="65">
        <v>0</v>
      </c>
      <c r="U1037" s="65">
        <v>0</v>
      </c>
      <c r="V1037" s="65">
        <v>0</v>
      </c>
      <c r="W1037" s="65">
        <v>0</v>
      </c>
      <c r="X1037" s="65">
        <v>31287</v>
      </c>
      <c r="Y1037" s="65">
        <v>0</v>
      </c>
      <c r="Z1037" s="65">
        <v>0</v>
      </c>
      <c r="AA1037" s="51">
        <v>51</v>
      </c>
      <c r="AB1037" s="102">
        <v>0</v>
      </c>
      <c r="AC1037" s="81">
        <f t="shared" si="51"/>
        <v>0</v>
      </c>
      <c r="AD1037" s="82">
        <f t="shared" si="52"/>
        <v>0</v>
      </c>
      <c r="AE1037" s="218">
        <v>1.5666400200543564E-3</v>
      </c>
      <c r="AF1037">
        <v>22</v>
      </c>
      <c r="AH1037" t="str">
        <f t="shared" si="50"/>
        <v>Asarganj</v>
      </c>
      <c r="AJ1037" s="72">
        <v>0</v>
      </c>
      <c r="AK1037" s="72"/>
      <c r="AL1037" s="72"/>
      <c r="AM1037" s="72"/>
    </row>
    <row r="1038" spans="1:39" x14ac:dyDescent="0.25">
      <c r="A1038" s="37" t="s">
        <v>62</v>
      </c>
      <c r="B1038" s="66" t="s">
        <v>1615</v>
      </c>
      <c r="C1038" s="41">
        <v>1003</v>
      </c>
      <c r="D1038" s="41" t="s">
        <v>139</v>
      </c>
      <c r="E1038" s="41">
        <v>10030032</v>
      </c>
      <c r="F1038" s="85" t="s">
        <v>160</v>
      </c>
      <c r="G1038" s="39" t="s">
        <v>93</v>
      </c>
      <c r="H1038" s="52" t="s">
        <v>94</v>
      </c>
      <c r="I1038" s="52">
        <v>1468.8999999999999</v>
      </c>
      <c r="J1038" s="49">
        <v>54664.859999999993</v>
      </c>
      <c r="K1038" s="58">
        <v>1402.1000000000001</v>
      </c>
      <c r="L1038" s="58">
        <v>48154.850068080494</v>
      </c>
      <c r="M1038" s="58">
        <v>4</v>
      </c>
      <c r="N1038" s="58">
        <v>161.5722768</v>
      </c>
      <c r="O1038" s="65">
        <v>1406.1000000000001</v>
      </c>
      <c r="P1038" s="65">
        <v>48316.422344880491</v>
      </c>
      <c r="Q1038" s="50">
        <v>48316.422344880491</v>
      </c>
      <c r="R1038" s="65">
        <v>0</v>
      </c>
      <c r="S1038" s="65">
        <v>161.5722768</v>
      </c>
      <c r="T1038" s="65">
        <v>0</v>
      </c>
      <c r="U1038" s="65">
        <v>0</v>
      </c>
      <c r="V1038" s="65">
        <v>0</v>
      </c>
      <c r="W1038" s="65">
        <v>0</v>
      </c>
      <c r="X1038" s="65">
        <v>48154</v>
      </c>
      <c r="Y1038" s="65">
        <v>0</v>
      </c>
      <c r="Z1038" s="65">
        <v>0</v>
      </c>
      <c r="AA1038" s="51">
        <v>6349</v>
      </c>
      <c r="AB1038" s="102">
        <v>0</v>
      </c>
      <c r="AC1038" s="81">
        <f t="shared" si="51"/>
        <v>0</v>
      </c>
      <c r="AD1038" s="82">
        <f t="shared" si="52"/>
        <v>0</v>
      </c>
      <c r="AE1038" s="218">
        <v>0.11613379518614889</v>
      </c>
      <c r="AF1038">
        <v>16</v>
      </c>
      <c r="AH1038" t="str">
        <f t="shared" si="50"/>
        <v>Asarganj</v>
      </c>
      <c r="AJ1038" s="72">
        <v>0</v>
      </c>
      <c r="AK1038" s="72"/>
      <c r="AL1038" s="72"/>
      <c r="AM1038" s="72"/>
    </row>
    <row r="1039" spans="1:39" x14ac:dyDescent="0.25">
      <c r="A1039" s="37" t="s">
        <v>62</v>
      </c>
      <c r="B1039" s="66" t="s">
        <v>1615</v>
      </c>
      <c r="C1039" s="41">
        <v>1003</v>
      </c>
      <c r="D1039" s="41" t="s">
        <v>139</v>
      </c>
      <c r="E1039" s="41">
        <v>10030034</v>
      </c>
      <c r="F1039" s="85" t="s">
        <v>161</v>
      </c>
      <c r="G1039" s="39" t="s">
        <v>93</v>
      </c>
      <c r="H1039" s="52" t="s">
        <v>94</v>
      </c>
      <c r="I1039" s="52">
        <v>1306.7500000000002</v>
      </c>
      <c r="J1039" s="49">
        <v>52686.48</v>
      </c>
      <c r="K1039" s="58">
        <v>1305.1000000000006</v>
      </c>
      <c r="L1039" s="58">
        <v>53317.698194751465</v>
      </c>
      <c r="M1039" s="58">
        <v>0</v>
      </c>
      <c r="N1039" s="58">
        <v>0</v>
      </c>
      <c r="O1039" s="65">
        <v>1305.1000000000006</v>
      </c>
      <c r="P1039" s="65">
        <v>53317.698194751465</v>
      </c>
      <c r="Q1039" s="50">
        <v>52686.48</v>
      </c>
      <c r="R1039" s="65">
        <v>0</v>
      </c>
      <c r="S1039" s="65">
        <v>0</v>
      </c>
      <c r="T1039" s="65">
        <v>631.21819475146185</v>
      </c>
      <c r="U1039" s="65">
        <v>0</v>
      </c>
      <c r="V1039" s="65">
        <v>0</v>
      </c>
      <c r="W1039" s="65">
        <v>0</v>
      </c>
      <c r="X1039" s="65">
        <v>52686</v>
      </c>
      <c r="Y1039" s="65">
        <v>0</v>
      </c>
      <c r="Z1039" s="65">
        <v>0</v>
      </c>
      <c r="AA1039" s="51">
        <v>0</v>
      </c>
      <c r="AB1039" s="102">
        <v>0</v>
      </c>
      <c r="AC1039" s="81">
        <f t="shared" si="51"/>
        <v>0</v>
      </c>
      <c r="AD1039" s="82">
        <f t="shared" si="52"/>
        <v>0</v>
      </c>
      <c r="AE1039" s="218">
        <v>-1.1980648446270501E-2</v>
      </c>
      <c r="AF1039">
        <v>36</v>
      </c>
      <c r="AH1039" t="str">
        <f t="shared" si="50"/>
        <v>Asarganj</v>
      </c>
      <c r="AJ1039" s="72">
        <v>0</v>
      </c>
      <c r="AK1039" s="72"/>
      <c r="AL1039" s="72"/>
      <c r="AM1039" s="72"/>
    </row>
    <row r="1040" spans="1:39" x14ac:dyDescent="0.25">
      <c r="A1040" s="37" t="s">
        <v>62</v>
      </c>
      <c r="B1040" s="66" t="s">
        <v>1615</v>
      </c>
      <c r="C1040" s="41">
        <v>1003</v>
      </c>
      <c r="D1040" s="41" t="s">
        <v>139</v>
      </c>
      <c r="E1040" s="41">
        <v>10030035</v>
      </c>
      <c r="F1040" s="85" t="s">
        <v>162</v>
      </c>
      <c r="G1040" s="39" t="s">
        <v>93</v>
      </c>
      <c r="H1040" s="52" t="s">
        <v>94</v>
      </c>
      <c r="I1040" s="52">
        <v>547.79999999999995</v>
      </c>
      <c r="J1040" s="49">
        <v>22971.180000000004</v>
      </c>
      <c r="K1040" s="58">
        <v>493.97999999999996</v>
      </c>
      <c r="L1040" s="58">
        <v>20709.069863918226</v>
      </c>
      <c r="M1040" s="58">
        <v>2.33</v>
      </c>
      <c r="N1040" s="58">
        <v>97.937076325000007</v>
      </c>
      <c r="O1040" s="65">
        <v>496.30999999999995</v>
      </c>
      <c r="P1040" s="65">
        <v>20807.006940243227</v>
      </c>
      <c r="Q1040" s="50">
        <v>20807.006940243227</v>
      </c>
      <c r="R1040" s="65">
        <v>0</v>
      </c>
      <c r="S1040" s="65">
        <v>97.937076325000007</v>
      </c>
      <c r="T1040" s="65">
        <v>0</v>
      </c>
      <c r="U1040" s="65">
        <v>0</v>
      </c>
      <c r="V1040" s="65">
        <v>0</v>
      </c>
      <c r="W1040" s="65">
        <v>0</v>
      </c>
      <c r="X1040" s="65">
        <v>20709</v>
      </c>
      <c r="Y1040" s="65">
        <v>0</v>
      </c>
      <c r="Z1040" s="65">
        <v>0</v>
      </c>
      <c r="AA1040" s="51">
        <v>2164</v>
      </c>
      <c r="AB1040" s="102">
        <v>0</v>
      </c>
      <c r="AC1040" s="81">
        <f t="shared" si="51"/>
        <v>127.64562234392123</v>
      </c>
      <c r="AD1040" s="82">
        <f t="shared" si="52"/>
        <v>78.257142857142853</v>
      </c>
      <c r="AE1040" s="218">
        <v>9.4212533259361353E-2</v>
      </c>
      <c r="AF1040">
        <v>5</v>
      </c>
      <c r="AH1040" t="str">
        <f t="shared" si="50"/>
        <v>Asarganj</v>
      </c>
      <c r="AJ1040" s="72">
        <v>0</v>
      </c>
      <c r="AK1040" s="72"/>
      <c r="AL1040" s="72"/>
      <c r="AM1040" s="72"/>
    </row>
    <row r="1041" spans="1:39" x14ac:dyDescent="0.25">
      <c r="A1041" s="37" t="s">
        <v>62</v>
      </c>
      <c r="B1041" s="66" t="s">
        <v>1615</v>
      </c>
      <c r="C1041" s="41">
        <v>1003</v>
      </c>
      <c r="D1041" s="41" t="s">
        <v>139</v>
      </c>
      <c r="E1041" s="41">
        <v>10030037</v>
      </c>
      <c r="F1041" s="85" t="s">
        <v>163</v>
      </c>
      <c r="G1041" s="39" t="s">
        <v>93</v>
      </c>
      <c r="H1041" s="52" t="s">
        <v>94</v>
      </c>
      <c r="I1041" s="52">
        <v>1503.9499999999998</v>
      </c>
      <c r="J1041" s="49">
        <v>54515.74</v>
      </c>
      <c r="K1041" s="58">
        <v>1495.4900000000002</v>
      </c>
      <c r="L1041" s="58">
        <v>56358.38991487601</v>
      </c>
      <c r="M1041" s="58">
        <v>21.48</v>
      </c>
      <c r="N1041" s="58">
        <v>834.20026232400016</v>
      </c>
      <c r="O1041" s="65">
        <v>1516.9700000000003</v>
      </c>
      <c r="P1041" s="65">
        <v>57192.590177200007</v>
      </c>
      <c r="Q1041" s="50">
        <v>54515.74</v>
      </c>
      <c r="R1041" s="65">
        <v>0</v>
      </c>
      <c r="S1041" s="65">
        <v>834.20026232400016</v>
      </c>
      <c r="T1041" s="65">
        <v>2676.8501772000091</v>
      </c>
      <c r="U1041" s="65">
        <v>0</v>
      </c>
      <c r="V1041" s="65">
        <v>0</v>
      </c>
      <c r="W1041" s="65">
        <v>0</v>
      </c>
      <c r="X1041" s="65">
        <v>53682</v>
      </c>
      <c r="Y1041" s="65">
        <v>0</v>
      </c>
      <c r="Z1041" s="65">
        <v>0</v>
      </c>
      <c r="AA1041" s="51">
        <v>0</v>
      </c>
      <c r="AB1041" s="102">
        <v>0</v>
      </c>
      <c r="AC1041" s="81">
        <f t="shared" si="51"/>
        <v>0</v>
      </c>
      <c r="AD1041" s="82">
        <f t="shared" si="52"/>
        <v>0</v>
      </c>
      <c r="AE1041" s="218">
        <v>-4.9102335897852789E-2</v>
      </c>
      <c r="AF1041">
        <v>16</v>
      </c>
      <c r="AH1041" t="str">
        <f t="shared" si="50"/>
        <v>Asarganj</v>
      </c>
      <c r="AJ1041" s="72">
        <v>0</v>
      </c>
      <c r="AK1041" s="72"/>
      <c r="AL1041" s="72"/>
      <c r="AM1041" s="72"/>
    </row>
    <row r="1042" spans="1:39" x14ac:dyDescent="0.25">
      <c r="A1042" s="37" t="s">
        <v>62</v>
      </c>
      <c r="B1042" s="66" t="s">
        <v>1615</v>
      </c>
      <c r="C1042" s="41">
        <v>1003</v>
      </c>
      <c r="D1042" s="41" t="s">
        <v>139</v>
      </c>
      <c r="E1042" s="41">
        <v>10030038</v>
      </c>
      <c r="F1042" s="85" t="s">
        <v>164</v>
      </c>
      <c r="G1042" s="39" t="s">
        <v>93</v>
      </c>
      <c r="H1042" s="52" t="s">
        <v>94</v>
      </c>
      <c r="I1042" s="52">
        <v>392.65</v>
      </c>
      <c r="J1042" s="49">
        <v>16218.010000000002</v>
      </c>
      <c r="K1042" s="58">
        <v>406.17</v>
      </c>
      <c r="L1042" s="58">
        <v>18768.275398218157</v>
      </c>
      <c r="M1042" s="58">
        <v>0.02</v>
      </c>
      <c r="N1042" s="58">
        <v>1.1033596672000001</v>
      </c>
      <c r="O1042" s="65">
        <v>406.19</v>
      </c>
      <c r="P1042" s="65">
        <v>18769.378757885355</v>
      </c>
      <c r="Q1042" s="50">
        <v>16218.010000000002</v>
      </c>
      <c r="R1042" s="65">
        <v>0</v>
      </c>
      <c r="S1042" s="65">
        <v>1.1033596672000001</v>
      </c>
      <c r="T1042" s="65">
        <v>2551.3687578853533</v>
      </c>
      <c r="U1042" s="65">
        <v>0</v>
      </c>
      <c r="V1042" s="65">
        <v>0</v>
      </c>
      <c r="W1042" s="65">
        <v>0</v>
      </c>
      <c r="X1042" s="65">
        <v>16217</v>
      </c>
      <c r="Y1042" s="65">
        <v>0</v>
      </c>
      <c r="Z1042" s="65">
        <v>0</v>
      </c>
      <c r="AA1042" s="51">
        <v>0</v>
      </c>
      <c r="AB1042" s="102" t="s">
        <v>68</v>
      </c>
      <c r="AC1042" s="81">
        <f t="shared" si="51"/>
        <v>253.89560033108373</v>
      </c>
      <c r="AD1042" s="82">
        <f t="shared" si="52"/>
        <v>56.092857142857142</v>
      </c>
      <c r="AE1042" s="218">
        <v>-0.15731700485357655</v>
      </c>
      <c r="AF1042">
        <v>17</v>
      </c>
      <c r="AH1042" t="str">
        <f t="shared" si="50"/>
        <v>Asarganj</v>
      </c>
      <c r="AJ1042" s="72">
        <v>0</v>
      </c>
      <c r="AK1042" s="72"/>
      <c r="AL1042" s="72"/>
      <c r="AM1042" s="72"/>
    </row>
    <row r="1043" spans="1:39" x14ac:dyDescent="0.25">
      <c r="A1043" s="37" t="s">
        <v>62</v>
      </c>
      <c r="B1043" s="66" t="s">
        <v>1615</v>
      </c>
      <c r="C1043" s="41">
        <v>1003</v>
      </c>
      <c r="D1043" s="41" t="s">
        <v>139</v>
      </c>
      <c r="E1043" s="41">
        <v>10030040</v>
      </c>
      <c r="F1043" s="85" t="s">
        <v>165</v>
      </c>
      <c r="G1043" s="39" t="s">
        <v>635</v>
      </c>
      <c r="H1043" s="52" t="s">
        <v>99</v>
      </c>
      <c r="I1043" s="52">
        <v>872.34999999999991</v>
      </c>
      <c r="J1043" s="49">
        <v>33885.199999999997</v>
      </c>
      <c r="K1043" s="58">
        <v>0</v>
      </c>
      <c r="L1043" s="58">
        <v>0</v>
      </c>
      <c r="M1043" s="58">
        <v>0</v>
      </c>
      <c r="N1043" s="58">
        <v>0</v>
      </c>
      <c r="O1043" s="65">
        <v>0</v>
      </c>
      <c r="P1043" s="65">
        <v>0</v>
      </c>
      <c r="Q1043" s="50">
        <v>33885.199999999997</v>
      </c>
      <c r="R1043" s="65">
        <v>0</v>
      </c>
      <c r="S1043" s="65">
        <v>0</v>
      </c>
      <c r="T1043" s="65">
        <v>0</v>
      </c>
      <c r="U1043" s="65">
        <v>0</v>
      </c>
      <c r="V1043" s="65">
        <v>0</v>
      </c>
      <c r="W1043" s="65">
        <v>0</v>
      </c>
      <c r="X1043" s="65">
        <v>0</v>
      </c>
      <c r="Y1043" s="65">
        <v>0</v>
      </c>
      <c r="Z1043" s="65">
        <v>33885.199999999997</v>
      </c>
      <c r="AA1043" s="51">
        <v>0</v>
      </c>
      <c r="AB1043" s="102">
        <v>0</v>
      </c>
      <c r="AC1043" s="81">
        <f t="shared" si="51"/>
        <v>0</v>
      </c>
      <c r="AD1043" s="82">
        <f t="shared" si="52"/>
        <v>0</v>
      </c>
      <c r="AE1043" s="218">
        <v>0</v>
      </c>
      <c r="AF1043">
        <v>0</v>
      </c>
      <c r="AH1043" t="str">
        <f t="shared" si="50"/>
        <v>Asarganj</v>
      </c>
      <c r="AJ1043" s="72">
        <v>0</v>
      </c>
      <c r="AK1043" s="72"/>
      <c r="AL1043" s="72"/>
      <c r="AM1043" s="72"/>
    </row>
    <row r="1044" spans="1:39" x14ac:dyDescent="0.25">
      <c r="A1044" s="37" t="s">
        <v>62</v>
      </c>
      <c r="B1044" s="66" t="s">
        <v>1615</v>
      </c>
      <c r="C1044" s="41">
        <v>1003</v>
      </c>
      <c r="D1044" s="41" t="s">
        <v>139</v>
      </c>
      <c r="E1044" s="41">
        <v>10030041</v>
      </c>
      <c r="F1044" s="85" t="s">
        <v>166</v>
      </c>
      <c r="G1044" s="39" t="s">
        <v>635</v>
      </c>
      <c r="H1044" s="52" t="s">
        <v>99</v>
      </c>
      <c r="I1044" s="52">
        <v>1206.1000000000001</v>
      </c>
      <c r="J1044" s="49">
        <v>44780.090000000004</v>
      </c>
      <c r="K1044" s="58">
        <v>0</v>
      </c>
      <c r="L1044" s="58">
        <v>0</v>
      </c>
      <c r="M1044" s="58">
        <v>0</v>
      </c>
      <c r="N1044" s="58">
        <v>0</v>
      </c>
      <c r="O1044" s="65">
        <v>0</v>
      </c>
      <c r="P1044" s="65">
        <v>0</v>
      </c>
      <c r="Q1044" s="50">
        <v>44780.090000000004</v>
      </c>
      <c r="R1044" s="65">
        <v>0</v>
      </c>
      <c r="S1044" s="65">
        <v>0</v>
      </c>
      <c r="T1044" s="65">
        <v>0</v>
      </c>
      <c r="U1044" s="65">
        <v>0</v>
      </c>
      <c r="V1044" s="65">
        <v>0</v>
      </c>
      <c r="W1044" s="65">
        <v>0</v>
      </c>
      <c r="X1044" s="65">
        <v>0</v>
      </c>
      <c r="Y1044" s="65">
        <v>0</v>
      </c>
      <c r="Z1044" s="65">
        <v>44780.090000000004</v>
      </c>
      <c r="AA1044" s="51">
        <v>0</v>
      </c>
      <c r="AB1044" s="102">
        <v>0</v>
      </c>
      <c r="AC1044" s="81">
        <f t="shared" si="51"/>
        <v>0</v>
      </c>
      <c r="AD1044" s="82">
        <f t="shared" si="52"/>
        <v>0</v>
      </c>
      <c r="AE1044" s="218">
        <v>0</v>
      </c>
      <c r="AF1044">
        <v>0</v>
      </c>
      <c r="AH1044" t="str">
        <f t="shared" si="50"/>
        <v>Asarganj</v>
      </c>
      <c r="AJ1044" s="72">
        <v>0</v>
      </c>
      <c r="AK1044" s="72"/>
      <c r="AL1044" s="72"/>
      <c r="AM1044" s="72"/>
    </row>
    <row r="1045" spans="1:39" x14ac:dyDescent="0.25">
      <c r="A1045" s="37" t="s">
        <v>62</v>
      </c>
      <c r="B1045" s="66" t="s">
        <v>1615</v>
      </c>
      <c r="C1045" s="41">
        <v>1003</v>
      </c>
      <c r="D1045" s="41" t="s">
        <v>139</v>
      </c>
      <c r="E1045" s="41">
        <v>10030042</v>
      </c>
      <c r="F1045" s="85" t="s">
        <v>167</v>
      </c>
      <c r="G1045" s="39" t="s">
        <v>635</v>
      </c>
      <c r="H1045" s="52" t="s">
        <v>99</v>
      </c>
      <c r="I1045" s="52">
        <v>700</v>
      </c>
      <c r="J1045" s="49">
        <v>25272</v>
      </c>
      <c r="K1045" s="58">
        <v>0</v>
      </c>
      <c r="L1045" s="58">
        <v>0</v>
      </c>
      <c r="M1045" s="58">
        <v>0</v>
      </c>
      <c r="N1045" s="58">
        <v>0</v>
      </c>
      <c r="O1045" s="65">
        <v>0</v>
      </c>
      <c r="P1045" s="65">
        <v>0</v>
      </c>
      <c r="Q1045" s="50">
        <v>25272</v>
      </c>
      <c r="R1045" s="65">
        <v>0</v>
      </c>
      <c r="S1045" s="65">
        <v>0</v>
      </c>
      <c r="T1045" s="65">
        <v>0</v>
      </c>
      <c r="U1045" s="65">
        <v>0</v>
      </c>
      <c r="V1045" s="65">
        <v>0</v>
      </c>
      <c r="W1045" s="65">
        <v>0</v>
      </c>
      <c r="X1045" s="65">
        <v>0</v>
      </c>
      <c r="Y1045" s="65">
        <v>0</v>
      </c>
      <c r="Z1045" s="65">
        <v>25272</v>
      </c>
      <c r="AA1045" s="51">
        <v>0</v>
      </c>
      <c r="AB1045" s="102">
        <v>0</v>
      </c>
      <c r="AC1045" s="81">
        <f t="shared" si="51"/>
        <v>0</v>
      </c>
      <c r="AD1045" s="82">
        <f t="shared" si="52"/>
        <v>100</v>
      </c>
      <c r="AE1045" s="218">
        <v>0</v>
      </c>
      <c r="AF1045">
        <v>0</v>
      </c>
      <c r="AH1045" t="str">
        <f t="shared" si="50"/>
        <v>Asarganj</v>
      </c>
      <c r="AJ1045" s="72">
        <v>0</v>
      </c>
      <c r="AK1045" s="72"/>
      <c r="AL1045" s="72"/>
      <c r="AM1045" s="72"/>
    </row>
    <row r="1046" spans="1:39" x14ac:dyDescent="0.25">
      <c r="A1046" s="37" t="s">
        <v>62</v>
      </c>
      <c r="B1046" s="66" t="s">
        <v>1615</v>
      </c>
      <c r="C1046" s="41">
        <v>1003</v>
      </c>
      <c r="D1046" s="41" t="s">
        <v>139</v>
      </c>
      <c r="E1046" s="41">
        <v>10030043</v>
      </c>
      <c r="F1046" s="85" t="s">
        <v>168</v>
      </c>
      <c r="G1046" s="39" t="s">
        <v>635</v>
      </c>
      <c r="H1046" s="52" t="s">
        <v>99</v>
      </c>
      <c r="I1046" s="52">
        <v>5740</v>
      </c>
      <c r="J1046" s="49">
        <v>207230.4</v>
      </c>
      <c r="K1046" s="58">
        <v>0</v>
      </c>
      <c r="L1046" s="58">
        <v>0</v>
      </c>
      <c r="M1046" s="58">
        <v>0</v>
      </c>
      <c r="N1046" s="58">
        <v>0</v>
      </c>
      <c r="O1046" s="65">
        <v>0</v>
      </c>
      <c r="P1046" s="65">
        <v>0</v>
      </c>
      <c r="Q1046" s="50">
        <v>207230.4</v>
      </c>
      <c r="R1046" s="65">
        <v>0</v>
      </c>
      <c r="S1046" s="65">
        <v>0</v>
      </c>
      <c r="T1046" s="65">
        <v>0</v>
      </c>
      <c r="U1046" s="65">
        <v>0</v>
      </c>
      <c r="V1046" s="65">
        <v>0</v>
      </c>
      <c r="W1046" s="65">
        <v>0</v>
      </c>
      <c r="X1046" s="65">
        <v>0</v>
      </c>
      <c r="Y1046" s="65">
        <v>0</v>
      </c>
      <c r="Z1046" s="65">
        <v>207230.4</v>
      </c>
      <c r="AA1046" s="51">
        <v>0</v>
      </c>
      <c r="AB1046" s="102">
        <v>0</v>
      </c>
      <c r="AC1046" s="81">
        <f t="shared" si="51"/>
        <v>0</v>
      </c>
      <c r="AD1046" s="82">
        <f t="shared" si="52"/>
        <v>0</v>
      </c>
      <c r="AE1046" s="218">
        <v>0</v>
      </c>
      <c r="AF1046">
        <v>0</v>
      </c>
      <c r="AH1046" t="str">
        <f t="shared" si="50"/>
        <v>Asarganj</v>
      </c>
      <c r="AJ1046" s="72">
        <v>0</v>
      </c>
      <c r="AK1046" s="72"/>
      <c r="AL1046" s="72"/>
      <c r="AM1046" s="72"/>
    </row>
    <row r="1047" spans="1:39" x14ac:dyDescent="0.25">
      <c r="A1047" s="37" t="s">
        <v>62</v>
      </c>
      <c r="B1047" s="66" t="s">
        <v>1615</v>
      </c>
      <c r="C1047" s="41">
        <v>1003</v>
      </c>
      <c r="D1047" s="41" t="s">
        <v>139</v>
      </c>
      <c r="E1047" s="41">
        <v>10030044</v>
      </c>
      <c r="F1047" s="85" t="s">
        <v>169</v>
      </c>
      <c r="G1047" s="39" t="s">
        <v>635</v>
      </c>
      <c r="H1047" s="52" t="s">
        <v>99</v>
      </c>
      <c r="I1047" s="52">
        <v>5810</v>
      </c>
      <c r="J1047" s="49">
        <v>209757.6</v>
      </c>
      <c r="K1047" s="58">
        <v>0</v>
      </c>
      <c r="L1047" s="58">
        <v>0</v>
      </c>
      <c r="M1047" s="58">
        <v>0</v>
      </c>
      <c r="N1047" s="58">
        <v>0</v>
      </c>
      <c r="O1047" s="65">
        <v>0</v>
      </c>
      <c r="P1047" s="65">
        <v>0</v>
      </c>
      <c r="Q1047" s="50">
        <v>209757.6</v>
      </c>
      <c r="R1047" s="65">
        <v>0</v>
      </c>
      <c r="S1047" s="65">
        <v>0</v>
      </c>
      <c r="T1047" s="65">
        <v>0</v>
      </c>
      <c r="U1047" s="65">
        <v>0</v>
      </c>
      <c r="V1047" s="65">
        <v>0</v>
      </c>
      <c r="W1047" s="65">
        <v>0</v>
      </c>
      <c r="X1047" s="65">
        <v>0</v>
      </c>
      <c r="Y1047" s="65">
        <v>0</v>
      </c>
      <c r="Z1047" s="65">
        <v>209757.6</v>
      </c>
      <c r="AA1047" s="51">
        <v>0</v>
      </c>
      <c r="AB1047" s="102">
        <v>0</v>
      </c>
      <c r="AC1047" s="81">
        <f t="shared" si="51"/>
        <v>0</v>
      </c>
      <c r="AD1047" s="82">
        <f t="shared" si="52"/>
        <v>0</v>
      </c>
      <c r="AE1047" s="218">
        <v>0</v>
      </c>
      <c r="AF1047">
        <v>0</v>
      </c>
      <c r="AH1047" t="str">
        <f t="shared" si="50"/>
        <v>Asarganj</v>
      </c>
      <c r="AJ1047" s="72">
        <v>0</v>
      </c>
      <c r="AK1047" s="72"/>
      <c r="AL1047" s="72"/>
      <c r="AM1047" s="72"/>
    </row>
    <row r="1048" spans="1:39" x14ac:dyDescent="0.25">
      <c r="A1048" s="37" t="s">
        <v>62</v>
      </c>
      <c r="B1048" s="66" t="s">
        <v>1615</v>
      </c>
      <c r="C1048" s="41">
        <v>1003</v>
      </c>
      <c r="D1048" s="41" t="s">
        <v>139</v>
      </c>
      <c r="E1048" s="41">
        <v>10030045</v>
      </c>
      <c r="F1048" s="85" t="s">
        <v>170</v>
      </c>
      <c r="G1048" s="39" t="s">
        <v>635</v>
      </c>
      <c r="H1048" s="52" t="s">
        <v>99</v>
      </c>
      <c r="I1048" s="52">
        <v>700</v>
      </c>
      <c r="J1048" s="49">
        <v>25272</v>
      </c>
      <c r="K1048" s="58">
        <v>0</v>
      </c>
      <c r="L1048" s="58">
        <v>0</v>
      </c>
      <c r="M1048" s="58">
        <v>0</v>
      </c>
      <c r="N1048" s="58">
        <v>0</v>
      </c>
      <c r="O1048" s="65">
        <v>0</v>
      </c>
      <c r="P1048" s="65">
        <v>0</v>
      </c>
      <c r="Q1048" s="50">
        <v>25272</v>
      </c>
      <c r="R1048" s="65">
        <v>0</v>
      </c>
      <c r="S1048" s="65">
        <v>0</v>
      </c>
      <c r="T1048" s="65">
        <v>0</v>
      </c>
      <c r="U1048" s="65">
        <v>0</v>
      </c>
      <c r="V1048" s="65">
        <v>0</v>
      </c>
      <c r="W1048" s="65">
        <v>0</v>
      </c>
      <c r="X1048" s="65">
        <v>0</v>
      </c>
      <c r="Y1048" s="65">
        <v>0</v>
      </c>
      <c r="Z1048" s="65">
        <v>25272</v>
      </c>
      <c r="AA1048" s="51">
        <v>0</v>
      </c>
      <c r="AB1048" s="102">
        <v>0</v>
      </c>
      <c r="AC1048" s="81">
        <f t="shared" si="51"/>
        <v>0</v>
      </c>
      <c r="AD1048" s="82">
        <f t="shared" si="52"/>
        <v>100</v>
      </c>
      <c r="AE1048" s="218">
        <v>0</v>
      </c>
      <c r="AF1048">
        <v>0</v>
      </c>
      <c r="AH1048" t="str">
        <f t="shared" si="50"/>
        <v>Asarganj</v>
      </c>
      <c r="AJ1048" s="72">
        <v>0</v>
      </c>
      <c r="AK1048" s="72"/>
      <c r="AL1048" s="72"/>
      <c r="AM1048" s="72"/>
    </row>
    <row r="1049" spans="1:39" x14ac:dyDescent="0.25">
      <c r="A1049" s="37" t="s">
        <v>62</v>
      </c>
      <c r="B1049" s="66" t="s">
        <v>1615</v>
      </c>
      <c r="C1049" s="41">
        <v>1003</v>
      </c>
      <c r="D1049" s="41" t="s">
        <v>139</v>
      </c>
      <c r="E1049" s="41">
        <v>10030046</v>
      </c>
      <c r="F1049" s="85" t="s">
        <v>171</v>
      </c>
      <c r="G1049" s="39" t="s">
        <v>635</v>
      </c>
      <c r="H1049" s="52" t="s">
        <v>99</v>
      </c>
      <c r="I1049" s="52">
        <v>700</v>
      </c>
      <c r="J1049" s="49">
        <v>25272</v>
      </c>
      <c r="K1049" s="58">
        <v>0</v>
      </c>
      <c r="L1049" s="58">
        <v>0</v>
      </c>
      <c r="M1049" s="58">
        <v>0</v>
      </c>
      <c r="N1049" s="58">
        <v>0</v>
      </c>
      <c r="O1049" s="65">
        <v>0</v>
      </c>
      <c r="P1049" s="65">
        <v>0</v>
      </c>
      <c r="Q1049" s="50">
        <v>25272</v>
      </c>
      <c r="R1049" s="65">
        <v>0</v>
      </c>
      <c r="S1049" s="65">
        <v>0</v>
      </c>
      <c r="T1049" s="65">
        <v>0</v>
      </c>
      <c r="U1049" s="65">
        <v>0</v>
      </c>
      <c r="V1049" s="65">
        <v>0</v>
      </c>
      <c r="W1049" s="65">
        <v>0</v>
      </c>
      <c r="X1049" s="65">
        <v>0</v>
      </c>
      <c r="Y1049" s="65">
        <v>0</v>
      </c>
      <c r="Z1049" s="65">
        <v>25272</v>
      </c>
      <c r="AA1049" s="51">
        <v>0</v>
      </c>
      <c r="AB1049" s="102">
        <v>0</v>
      </c>
      <c r="AC1049" s="81">
        <f t="shared" si="51"/>
        <v>0</v>
      </c>
      <c r="AD1049" s="82">
        <f t="shared" si="52"/>
        <v>100</v>
      </c>
      <c r="AE1049" s="218">
        <v>0</v>
      </c>
      <c r="AF1049">
        <v>0</v>
      </c>
      <c r="AH1049" t="str">
        <f t="shared" si="50"/>
        <v>Asarganj</v>
      </c>
      <c r="AJ1049" s="72">
        <v>0</v>
      </c>
      <c r="AK1049" s="72"/>
      <c r="AL1049" s="72"/>
      <c r="AM1049" s="72"/>
    </row>
    <row r="1050" spans="1:39" x14ac:dyDescent="0.25">
      <c r="A1050" s="37" t="s">
        <v>62</v>
      </c>
      <c r="B1050" s="66" t="s">
        <v>1615</v>
      </c>
      <c r="C1050" s="41">
        <v>1003</v>
      </c>
      <c r="D1050" s="41" t="s">
        <v>139</v>
      </c>
      <c r="E1050" s="41">
        <v>10030047</v>
      </c>
      <c r="F1050" s="85" t="s">
        <v>172</v>
      </c>
      <c r="G1050" s="39" t="s">
        <v>635</v>
      </c>
      <c r="H1050" s="52" t="s">
        <v>99</v>
      </c>
      <c r="I1050" s="52">
        <v>700</v>
      </c>
      <c r="J1050" s="49">
        <v>25272</v>
      </c>
      <c r="K1050" s="58">
        <v>0</v>
      </c>
      <c r="L1050" s="58">
        <v>0</v>
      </c>
      <c r="M1050" s="58">
        <v>0</v>
      </c>
      <c r="N1050" s="58">
        <v>0</v>
      </c>
      <c r="O1050" s="65">
        <v>0</v>
      </c>
      <c r="P1050" s="65">
        <v>0</v>
      </c>
      <c r="Q1050" s="50">
        <v>25272</v>
      </c>
      <c r="R1050" s="65">
        <v>0</v>
      </c>
      <c r="S1050" s="65">
        <v>0</v>
      </c>
      <c r="T1050" s="65">
        <v>0</v>
      </c>
      <c r="U1050" s="65">
        <v>0</v>
      </c>
      <c r="V1050" s="65">
        <v>0</v>
      </c>
      <c r="W1050" s="65">
        <v>0</v>
      </c>
      <c r="X1050" s="65">
        <v>0</v>
      </c>
      <c r="Y1050" s="65">
        <v>0</v>
      </c>
      <c r="Z1050" s="65">
        <v>25272</v>
      </c>
      <c r="AA1050" s="51">
        <v>0</v>
      </c>
      <c r="AB1050" s="102">
        <v>0</v>
      </c>
      <c r="AC1050" s="81">
        <f t="shared" si="51"/>
        <v>0</v>
      </c>
      <c r="AD1050" s="82">
        <f t="shared" si="52"/>
        <v>100</v>
      </c>
      <c r="AE1050" s="218">
        <v>0</v>
      </c>
      <c r="AF1050">
        <v>0</v>
      </c>
      <c r="AH1050" t="str">
        <f t="shared" si="50"/>
        <v>Asarganj</v>
      </c>
      <c r="AJ1050" s="72">
        <v>0</v>
      </c>
      <c r="AK1050" s="72"/>
      <c r="AL1050" s="72"/>
      <c r="AM1050" s="72"/>
    </row>
    <row r="1051" spans="1:39" x14ac:dyDescent="0.25">
      <c r="A1051" s="37" t="s">
        <v>62</v>
      </c>
      <c r="B1051" s="66" t="s">
        <v>1615</v>
      </c>
      <c r="C1051" s="41">
        <v>1003</v>
      </c>
      <c r="D1051" s="41" t="s">
        <v>139</v>
      </c>
      <c r="E1051" s="41">
        <v>10030048</v>
      </c>
      <c r="F1051" s="85" t="s">
        <v>173</v>
      </c>
      <c r="G1051" s="39" t="s">
        <v>635</v>
      </c>
      <c r="H1051" s="52" t="s">
        <v>99</v>
      </c>
      <c r="I1051" s="111">
        <v>700</v>
      </c>
      <c r="J1051" s="49">
        <v>25272</v>
      </c>
      <c r="K1051" s="58">
        <v>0</v>
      </c>
      <c r="L1051" s="58">
        <v>0</v>
      </c>
      <c r="M1051" s="58">
        <v>0</v>
      </c>
      <c r="N1051" s="58">
        <v>0</v>
      </c>
      <c r="O1051" s="65">
        <v>0</v>
      </c>
      <c r="P1051" s="65">
        <v>0</v>
      </c>
      <c r="Q1051" s="50">
        <v>25272</v>
      </c>
      <c r="R1051" s="65">
        <v>0</v>
      </c>
      <c r="S1051" s="65">
        <v>0</v>
      </c>
      <c r="T1051" s="65">
        <v>0</v>
      </c>
      <c r="U1051" s="65">
        <v>0</v>
      </c>
      <c r="V1051" s="65">
        <v>0</v>
      </c>
      <c r="W1051" s="65">
        <v>0</v>
      </c>
      <c r="X1051" s="65">
        <v>0</v>
      </c>
      <c r="Y1051" s="65">
        <v>0</v>
      </c>
      <c r="Z1051" s="65">
        <v>25272</v>
      </c>
      <c r="AA1051" s="51">
        <v>0</v>
      </c>
      <c r="AB1051" s="102">
        <v>0</v>
      </c>
      <c r="AC1051" s="81">
        <f t="shared" si="51"/>
        <v>0</v>
      </c>
      <c r="AD1051" s="82">
        <f t="shared" si="52"/>
        <v>100</v>
      </c>
      <c r="AE1051" s="218">
        <v>0</v>
      </c>
      <c r="AF1051">
        <v>0</v>
      </c>
      <c r="AH1051" t="str">
        <f t="shared" si="50"/>
        <v>Asarganj</v>
      </c>
      <c r="AJ1051" s="72">
        <v>0</v>
      </c>
      <c r="AK1051" s="72"/>
      <c r="AL1051" s="72"/>
      <c r="AM1051" s="72"/>
    </row>
    <row r="1052" spans="1:39" x14ac:dyDescent="0.25">
      <c r="A1052" s="37" t="s">
        <v>62</v>
      </c>
      <c r="B1052" s="66" t="s">
        <v>1615</v>
      </c>
      <c r="C1052" s="41">
        <v>1003</v>
      </c>
      <c r="D1052" s="41" t="s">
        <v>139</v>
      </c>
      <c r="E1052" s="41">
        <v>10030049</v>
      </c>
      <c r="F1052" s="85" t="s">
        <v>174</v>
      </c>
      <c r="G1052" s="39" t="s">
        <v>93</v>
      </c>
      <c r="H1052" s="52" t="s">
        <v>94</v>
      </c>
      <c r="I1052" s="52">
        <v>319.55</v>
      </c>
      <c r="J1052" s="49">
        <v>9750.1200000000008</v>
      </c>
      <c r="K1052" s="58">
        <v>261.5</v>
      </c>
      <c r="L1052" s="58">
        <v>7730.2801461600011</v>
      </c>
      <c r="M1052" s="58">
        <v>0</v>
      </c>
      <c r="N1052" s="58">
        <v>0</v>
      </c>
      <c r="O1052" s="65">
        <v>261.5</v>
      </c>
      <c r="P1052" s="65">
        <v>7730.2801461600011</v>
      </c>
      <c r="Q1052" s="50">
        <v>7730.2801461600011</v>
      </c>
      <c r="R1052" s="65">
        <v>0</v>
      </c>
      <c r="S1052" s="65">
        <v>0</v>
      </c>
      <c r="T1052" s="65">
        <v>0</v>
      </c>
      <c r="U1052" s="65">
        <v>7731</v>
      </c>
      <c r="V1052" s="65">
        <v>0</v>
      </c>
      <c r="W1052" s="65">
        <v>0</v>
      </c>
      <c r="X1052" s="65">
        <v>0</v>
      </c>
      <c r="Y1052" s="65">
        <v>0</v>
      </c>
      <c r="Z1052" s="65">
        <v>0</v>
      </c>
      <c r="AA1052" s="51">
        <v>2019</v>
      </c>
      <c r="AB1052" s="102" t="s">
        <v>66</v>
      </c>
      <c r="AC1052" s="81">
        <f t="shared" si="51"/>
        <v>232.16605564074479</v>
      </c>
      <c r="AD1052" s="82">
        <f t="shared" si="52"/>
        <v>45.65</v>
      </c>
      <c r="AE1052" s="218">
        <v>0.20716051226446439</v>
      </c>
      <c r="AF1052">
        <v>2</v>
      </c>
      <c r="AH1052" t="str">
        <f t="shared" si="50"/>
        <v>Asarganj</v>
      </c>
      <c r="AJ1052" s="72">
        <v>0</v>
      </c>
      <c r="AK1052" s="72"/>
      <c r="AL1052" s="72"/>
      <c r="AM1052" s="72"/>
    </row>
    <row r="1053" spans="1:39" x14ac:dyDescent="0.25">
      <c r="A1053" s="37" t="s">
        <v>62</v>
      </c>
      <c r="B1053" s="66" t="s">
        <v>1615</v>
      </c>
      <c r="C1053" s="41">
        <v>1003</v>
      </c>
      <c r="D1053" s="41" t="s">
        <v>139</v>
      </c>
      <c r="E1053" s="41">
        <v>10030050</v>
      </c>
      <c r="F1053" s="85" t="s">
        <v>175</v>
      </c>
      <c r="G1053" s="39" t="s">
        <v>93</v>
      </c>
      <c r="H1053" s="52" t="s">
        <v>94</v>
      </c>
      <c r="I1053" s="49">
        <v>387.90000000000003</v>
      </c>
      <c r="J1053" s="49">
        <v>13413.080000000002</v>
      </c>
      <c r="K1053" s="58">
        <v>413.84000000000009</v>
      </c>
      <c r="L1053" s="58">
        <v>15414.7964230656</v>
      </c>
      <c r="M1053" s="58">
        <v>1.94</v>
      </c>
      <c r="N1053" s="58">
        <v>72.513502835400004</v>
      </c>
      <c r="O1053" s="65">
        <v>415.78000000000009</v>
      </c>
      <c r="P1053" s="65">
        <v>15487.309925901</v>
      </c>
      <c r="Q1053" s="50">
        <v>13413.080000000002</v>
      </c>
      <c r="R1053" s="65">
        <v>0</v>
      </c>
      <c r="S1053" s="65">
        <v>72.513502835400004</v>
      </c>
      <c r="T1053" s="65">
        <v>2074.2299259009978</v>
      </c>
      <c r="U1053" s="65">
        <v>0</v>
      </c>
      <c r="V1053" s="65">
        <v>0</v>
      </c>
      <c r="W1053" s="65">
        <v>0</v>
      </c>
      <c r="X1053" s="65">
        <v>13341</v>
      </c>
      <c r="Y1053" s="65">
        <v>0</v>
      </c>
      <c r="Z1053" s="65">
        <v>0</v>
      </c>
      <c r="AA1053" s="51">
        <v>0</v>
      </c>
      <c r="AB1053" s="102">
        <v>0</v>
      </c>
      <c r="AC1053" s="81">
        <f t="shared" si="51"/>
        <v>215.84028192833202</v>
      </c>
      <c r="AD1053" s="82">
        <f t="shared" si="52"/>
        <v>55.414285714285718</v>
      </c>
      <c r="AE1053" s="218">
        <v>-0.15464232867477101</v>
      </c>
      <c r="AF1053">
        <v>9</v>
      </c>
      <c r="AH1053" t="str">
        <f t="shared" si="50"/>
        <v>Asarganj</v>
      </c>
      <c r="AJ1053" s="72">
        <v>0</v>
      </c>
      <c r="AK1053" s="72"/>
      <c r="AL1053" s="72"/>
      <c r="AM1053" s="72"/>
    </row>
    <row r="1054" spans="1:39" x14ac:dyDescent="0.25">
      <c r="A1054" s="37" t="s">
        <v>62</v>
      </c>
      <c r="B1054" s="66" t="s">
        <v>1615</v>
      </c>
      <c r="C1054" s="41">
        <v>1003</v>
      </c>
      <c r="D1054" s="41" t="s">
        <v>139</v>
      </c>
      <c r="E1054" s="41">
        <v>10030051</v>
      </c>
      <c r="F1054" s="85" t="s">
        <v>176</v>
      </c>
      <c r="G1054" s="39" t="s">
        <v>93</v>
      </c>
      <c r="H1054" s="52" t="s">
        <v>94</v>
      </c>
      <c r="I1054" s="52">
        <v>2134.1</v>
      </c>
      <c r="J1054" s="49">
        <v>75741.719999999987</v>
      </c>
      <c r="K1054" s="58">
        <v>2277.6999999999998</v>
      </c>
      <c r="L1054" s="58">
        <v>83764.374248095221</v>
      </c>
      <c r="M1054" s="58">
        <v>51.22</v>
      </c>
      <c r="N1054" s="58">
        <v>1867.0486214160005</v>
      </c>
      <c r="O1054" s="65">
        <v>2328.9199999999996</v>
      </c>
      <c r="P1054" s="65">
        <v>85631.422869511225</v>
      </c>
      <c r="Q1054" s="50">
        <v>75741.719999999987</v>
      </c>
      <c r="R1054" s="65">
        <v>0</v>
      </c>
      <c r="S1054" s="65">
        <v>1867.0486214160005</v>
      </c>
      <c r="T1054" s="65">
        <v>9889.7028695112385</v>
      </c>
      <c r="U1054" s="65">
        <v>0</v>
      </c>
      <c r="V1054" s="65">
        <v>0</v>
      </c>
      <c r="W1054" s="65">
        <v>0</v>
      </c>
      <c r="X1054" s="65">
        <v>73875</v>
      </c>
      <c r="Y1054" s="65">
        <v>0</v>
      </c>
      <c r="Z1054" s="65">
        <v>0</v>
      </c>
      <c r="AA1054" s="51">
        <v>0</v>
      </c>
      <c r="AB1054" s="102" t="s">
        <v>66</v>
      </c>
      <c r="AC1054" s="81">
        <f t="shared" si="51"/>
        <v>0</v>
      </c>
      <c r="AD1054" s="82">
        <f t="shared" si="52"/>
        <v>0</v>
      </c>
      <c r="AE1054" s="218">
        <v>-0.13057140595052819</v>
      </c>
      <c r="AF1054">
        <v>7</v>
      </c>
      <c r="AH1054" t="str">
        <f t="shared" si="50"/>
        <v>Asarganj</v>
      </c>
      <c r="AJ1054" s="72">
        <v>0</v>
      </c>
      <c r="AK1054" s="72"/>
      <c r="AL1054" s="72"/>
      <c r="AM1054" s="72"/>
    </row>
    <row r="1055" spans="1:39" x14ac:dyDescent="0.25">
      <c r="A1055" s="37" t="s">
        <v>62</v>
      </c>
      <c r="B1055" s="66" t="s">
        <v>1615</v>
      </c>
      <c r="C1055" s="41">
        <v>1003</v>
      </c>
      <c r="D1055" s="41" t="s">
        <v>139</v>
      </c>
      <c r="E1055" s="41">
        <v>10030053</v>
      </c>
      <c r="F1055" s="85" t="s">
        <v>177</v>
      </c>
      <c r="G1055" s="39" t="s">
        <v>93</v>
      </c>
      <c r="H1055" s="52" t="s">
        <v>94</v>
      </c>
      <c r="I1055" s="52">
        <v>122.94999999999999</v>
      </c>
      <c r="J1055" s="49">
        <v>4949.0700000000006</v>
      </c>
      <c r="K1055" s="58">
        <v>121.64999999999998</v>
      </c>
      <c r="L1055" s="58">
        <v>4857.0906228164995</v>
      </c>
      <c r="M1055" s="58">
        <v>0</v>
      </c>
      <c r="N1055" s="58">
        <v>0</v>
      </c>
      <c r="O1055" s="65">
        <v>121.64999999999998</v>
      </c>
      <c r="P1055" s="65">
        <v>4857.0906228164995</v>
      </c>
      <c r="Q1055" s="50">
        <v>4857.0906228164995</v>
      </c>
      <c r="R1055" s="65">
        <v>0</v>
      </c>
      <c r="S1055" s="65">
        <v>0</v>
      </c>
      <c r="T1055" s="65">
        <v>0</v>
      </c>
      <c r="U1055" s="65">
        <v>0</v>
      </c>
      <c r="V1055" s="65">
        <v>0</v>
      </c>
      <c r="W1055" s="65">
        <v>0</v>
      </c>
      <c r="X1055" s="65">
        <v>4857</v>
      </c>
      <c r="Y1055" s="65">
        <v>0</v>
      </c>
      <c r="Z1055" s="65">
        <v>0</v>
      </c>
      <c r="AA1055" s="51">
        <v>92</v>
      </c>
      <c r="AB1055" s="102">
        <v>0</v>
      </c>
      <c r="AC1055" s="81">
        <f t="shared" si="51"/>
        <v>464.55646091907295</v>
      </c>
      <c r="AD1055" s="82">
        <f t="shared" si="52"/>
        <v>17.564285714285713</v>
      </c>
      <c r="AE1055" s="218">
        <v>1.8585184122168634E-2</v>
      </c>
      <c r="AF1055">
        <v>4</v>
      </c>
      <c r="AH1055" t="str">
        <f t="shared" si="50"/>
        <v>Asarganj</v>
      </c>
      <c r="AJ1055" s="72">
        <v>0</v>
      </c>
      <c r="AK1055" s="72"/>
      <c r="AL1055" s="72"/>
      <c r="AM1055" s="72"/>
    </row>
    <row r="1056" spans="1:39" x14ac:dyDescent="0.25">
      <c r="A1056" s="37" t="s">
        <v>62</v>
      </c>
      <c r="B1056" s="66" t="s">
        <v>1615</v>
      </c>
      <c r="C1056" s="41">
        <v>1003</v>
      </c>
      <c r="D1056" s="41" t="s">
        <v>139</v>
      </c>
      <c r="E1056" s="41">
        <v>10030055</v>
      </c>
      <c r="F1056" s="85" t="s">
        <v>178</v>
      </c>
      <c r="G1056" s="39" t="s">
        <v>93</v>
      </c>
      <c r="H1056" s="52" t="s">
        <v>94</v>
      </c>
      <c r="I1056" s="52">
        <v>309.90000000000003</v>
      </c>
      <c r="J1056" s="49">
        <v>12695.61</v>
      </c>
      <c r="K1056" s="58">
        <v>309.06000000000006</v>
      </c>
      <c r="L1056" s="58">
        <v>13459.635057331672</v>
      </c>
      <c r="M1056" s="58">
        <v>2.9299999999999997</v>
      </c>
      <c r="N1056" s="58">
        <v>125.88530033000002</v>
      </c>
      <c r="O1056" s="65">
        <v>311.99000000000007</v>
      </c>
      <c r="P1056" s="65">
        <v>13585.520357661671</v>
      </c>
      <c r="Q1056" s="50">
        <v>12695.61</v>
      </c>
      <c r="R1056" s="65">
        <v>0</v>
      </c>
      <c r="S1056" s="65">
        <v>125.88530033000002</v>
      </c>
      <c r="T1056" s="65">
        <v>889.91035766167079</v>
      </c>
      <c r="U1056" s="65">
        <v>0</v>
      </c>
      <c r="V1056" s="65">
        <v>0</v>
      </c>
      <c r="W1056" s="65">
        <v>0</v>
      </c>
      <c r="X1056" s="65">
        <v>12570</v>
      </c>
      <c r="Y1056" s="65">
        <v>0</v>
      </c>
      <c r="Z1056" s="65">
        <v>0</v>
      </c>
      <c r="AA1056" s="51">
        <v>0</v>
      </c>
      <c r="AB1056" s="102">
        <v>0</v>
      </c>
      <c r="AC1056" s="81">
        <f t="shared" si="51"/>
        <v>319.62294036786056</v>
      </c>
      <c r="AD1056" s="82">
        <f t="shared" si="52"/>
        <v>44.271428571428579</v>
      </c>
      <c r="AE1056" s="218">
        <v>-7.0095911709769809E-2</v>
      </c>
      <c r="AF1056">
        <v>5</v>
      </c>
      <c r="AH1056" t="str">
        <f t="shared" si="50"/>
        <v>Asarganj</v>
      </c>
      <c r="AJ1056" s="72">
        <v>0</v>
      </c>
      <c r="AK1056" s="72"/>
      <c r="AL1056" s="72"/>
      <c r="AM1056" s="72"/>
    </row>
    <row r="1057" spans="1:39" x14ac:dyDescent="0.25">
      <c r="A1057" s="37" t="s">
        <v>62</v>
      </c>
      <c r="B1057" s="66" t="s">
        <v>1615</v>
      </c>
      <c r="C1057" s="41">
        <v>1003</v>
      </c>
      <c r="D1057" s="41" t="s">
        <v>139</v>
      </c>
      <c r="E1057" s="41">
        <v>10030056</v>
      </c>
      <c r="F1057" s="85" t="s">
        <v>179</v>
      </c>
      <c r="G1057" s="39" t="s">
        <v>93</v>
      </c>
      <c r="H1057" s="52" t="s">
        <v>94</v>
      </c>
      <c r="I1057" s="52">
        <v>99.800000000000011</v>
      </c>
      <c r="J1057" s="49">
        <v>3478.3499999999995</v>
      </c>
      <c r="K1057" s="58">
        <v>370</v>
      </c>
      <c r="L1057" s="58">
        <v>20327.271225600001</v>
      </c>
      <c r="M1057" s="58">
        <v>0</v>
      </c>
      <c r="N1057" s="58">
        <v>0</v>
      </c>
      <c r="O1057" s="65">
        <v>370</v>
      </c>
      <c r="P1057" s="65">
        <v>20327.271225600001</v>
      </c>
      <c r="Q1057" s="50">
        <v>3478.3499999999995</v>
      </c>
      <c r="R1057" s="65">
        <v>0</v>
      </c>
      <c r="S1057" s="65">
        <v>0</v>
      </c>
      <c r="T1057" s="65">
        <v>16848.921225600003</v>
      </c>
      <c r="U1057" s="65">
        <v>0</v>
      </c>
      <c r="V1057" s="65">
        <v>0</v>
      </c>
      <c r="W1057" s="65">
        <v>0</v>
      </c>
      <c r="X1057" s="65">
        <v>3478</v>
      </c>
      <c r="Y1057" s="65">
        <v>0</v>
      </c>
      <c r="Z1057" s="65">
        <v>0</v>
      </c>
      <c r="AA1057" s="51">
        <v>0</v>
      </c>
      <c r="AB1057" s="102" t="s">
        <v>68</v>
      </c>
      <c r="AC1057" s="81">
        <f t="shared" si="51"/>
        <v>418.37788977955904</v>
      </c>
      <c r="AD1057" s="82">
        <f t="shared" si="52"/>
        <v>14.257142857142858</v>
      </c>
      <c r="AE1057" s="218">
        <v>-4.8439407263788885</v>
      </c>
      <c r="AF1057">
        <v>2</v>
      </c>
      <c r="AH1057" t="str">
        <f t="shared" si="50"/>
        <v>Asarganj</v>
      </c>
      <c r="AJ1057" s="72">
        <v>0</v>
      </c>
      <c r="AK1057" s="72"/>
      <c r="AL1057" s="72"/>
      <c r="AM1057" s="72"/>
    </row>
    <row r="1058" spans="1:39" x14ac:dyDescent="0.25">
      <c r="A1058" s="37" t="s">
        <v>62</v>
      </c>
      <c r="B1058" s="66" t="s">
        <v>1615</v>
      </c>
      <c r="C1058" s="41">
        <v>1003</v>
      </c>
      <c r="D1058" s="41" t="s">
        <v>139</v>
      </c>
      <c r="E1058" s="41">
        <v>10030059</v>
      </c>
      <c r="F1058" s="85" t="s">
        <v>180</v>
      </c>
      <c r="G1058" s="39" t="s">
        <v>93</v>
      </c>
      <c r="H1058" s="52" t="s">
        <v>94</v>
      </c>
      <c r="I1058" s="52">
        <v>503.84999999999991</v>
      </c>
      <c r="J1058" s="49">
        <v>21014.82</v>
      </c>
      <c r="K1058" s="58">
        <v>485.7</v>
      </c>
      <c r="L1058" s="58">
        <v>21583.340859443699</v>
      </c>
      <c r="M1058" s="58">
        <v>1.66</v>
      </c>
      <c r="N1058" s="58">
        <v>67.490756783999998</v>
      </c>
      <c r="O1058" s="65">
        <v>487.36</v>
      </c>
      <c r="P1058" s="65">
        <v>21650.831616227697</v>
      </c>
      <c r="Q1058" s="50">
        <v>21014.82</v>
      </c>
      <c r="R1058" s="65">
        <v>0</v>
      </c>
      <c r="S1058" s="65">
        <v>67.490756783999998</v>
      </c>
      <c r="T1058" s="65">
        <v>636.01161622769723</v>
      </c>
      <c r="U1058" s="65">
        <v>0</v>
      </c>
      <c r="V1058" s="65">
        <v>0</v>
      </c>
      <c r="W1058" s="65">
        <v>0</v>
      </c>
      <c r="X1058" s="65">
        <v>20947</v>
      </c>
      <c r="Y1058" s="65">
        <v>0</v>
      </c>
      <c r="Z1058" s="65">
        <v>0</v>
      </c>
      <c r="AA1058" s="51">
        <v>0</v>
      </c>
      <c r="AB1058" s="102">
        <v>0</v>
      </c>
      <c r="AC1058" s="81">
        <f t="shared" si="51"/>
        <v>163.62238535278365</v>
      </c>
      <c r="AD1058" s="82">
        <f t="shared" si="52"/>
        <v>71.978571428571414</v>
      </c>
      <c r="AE1058" s="218">
        <v>-3.026490906073415E-2</v>
      </c>
      <c r="AF1058">
        <v>9</v>
      </c>
      <c r="AH1058" t="str">
        <f t="shared" si="50"/>
        <v>Asarganj</v>
      </c>
      <c r="AJ1058" s="72">
        <v>0</v>
      </c>
      <c r="AK1058" s="72"/>
      <c r="AL1058" s="72"/>
      <c r="AM1058" s="72"/>
    </row>
    <row r="1059" spans="1:39" x14ac:dyDescent="0.25">
      <c r="A1059" s="37" t="s">
        <v>62</v>
      </c>
      <c r="B1059" s="66" t="s">
        <v>1615</v>
      </c>
      <c r="C1059" s="41">
        <v>1003</v>
      </c>
      <c r="D1059" s="41" t="s">
        <v>139</v>
      </c>
      <c r="E1059" s="41">
        <v>10030060</v>
      </c>
      <c r="F1059" s="85" t="s">
        <v>181</v>
      </c>
      <c r="G1059" s="39" t="s">
        <v>93</v>
      </c>
      <c r="H1059" s="52" t="s">
        <v>94</v>
      </c>
      <c r="I1059" s="52">
        <v>811.6500000000002</v>
      </c>
      <c r="J1059" s="49">
        <v>33681.89</v>
      </c>
      <c r="K1059" s="58">
        <v>811.4</v>
      </c>
      <c r="L1059" s="58">
        <v>33671.046439800004</v>
      </c>
      <c r="M1059" s="58">
        <v>7</v>
      </c>
      <c r="N1059" s="58">
        <v>290.47384080000006</v>
      </c>
      <c r="O1059" s="65">
        <v>818.4</v>
      </c>
      <c r="P1059" s="65">
        <v>33961.520280600002</v>
      </c>
      <c r="Q1059" s="50">
        <v>33681.89</v>
      </c>
      <c r="R1059" s="65">
        <v>0</v>
      </c>
      <c r="S1059" s="65">
        <v>290.47384080000006</v>
      </c>
      <c r="T1059" s="65">
        <v>279.63028060000215</v>
      </c>
      <c r="U1059" s="65">
        <v>0</v>
      </c>
      <c r="V1059" s="65">
        <v>0</v>
      </c>
      <c r="W1059" s="65">
        <v>0</v>
      </c>
      <c r="X1059" s="65">
        <v>33391</v>
      </c>
      <c r="Y1059" s="65">
        <v>0</v>
      </c>
      <c r="Z1059" s="65">
        <v>0</v>
      </c>
      <c r="AA1059" s="51">
        <v>0</v>
      </c>
      <c r="AB1059" s="102">
        <v>0</v>
      </c>
      <c r="AC1059" s="81">
        <f t="shared" si="51"/>
        <v>0</v>
      </c>
      <c r="AD1059" s="82">
        <f t="shared" si="52"/>
        <v>0</v>
      </c>
      <c r="AE1059" s="218">
        <v>-8.3020958918873667E-3</v>
      </c>
      <c r="AF1059">
        <v>2</v>
      </c>
      <c r="AH1059" t="str">
        <f t="shared" si="50"/>
        <v>Asarganj</v>
      </c>
      <c r="AJ1059" s="72">
        <v>0</v>
      </c>
      <c r="AK1059" s="72"/>
      <c r="AL1059" s="72"/>
      <c r="AM1059" s="72"/>
    </row>
    <row r="1060" spans="1:39" x14ac:dyDescent="0.25">
      <c r="A1060" s="37" t="s">
        <v>62</v>
      </c>
      <c r="B1060" s="66" t="s">
        <v>1615</v>
      </c>
      <c r="C1060" s="41">
        <v>1003</v>
      </c>
      <c r="D1060" s="41" t="s">
        <v>139</v>
      </c>
      <c r="E1060" s="41">
        <v>10030061</v>
      </c>
      <c r="F1060" s="85" t="s">
        <v>182</v>
      </c>
      <c r="G1060" s="39" t="s">
        <v>93</v>
      </c>
      <c r="H1060" s="52" t="s">
        <v>94</v>
      </c>
      <c r="I1060" s="52">
        <v>639.24999999999989</v>
      </c>
      <c r="J1060" s="49">
        <v>20874.260000000006</v>
      </c>
      <c r="K1060" s="58">
        <v>647.32999999999993</v>
      </c>
      <c r="L1060" s="58">
        <v>24251.9238432108</v>
      </c>
      <c r="M1060" s="58">
        <v>0</v>
      </c>
      <c r="N1060" s="58">
        <v>0</v>
      </c>
      <c r="O1060" s="65">
        <v>647.32999999999993</v>
      </c>
      <c r="P1060" s="65">
        <v>24251.9238432108</v>
      </c>
      <c r="Q1060" s="50">
        <v>20874.260000000006</v>
      </c>
      <c r="R1060" s="65">
        <v>0</v>
      </c>
      <c r="S1060" s="65">
        <v>0</v>
      </c>
      <c r="T1060" s="65">
        <v>3377.6638432107939</v>
      </c>
      <c r="U1060" s="65">
        <v>0</v>
      </c>
      <c r="V1060" s="65">
        <v>0</v>
      </c>
      <c r="W1060" s="65">
        <v>0</v>
      </c>
      <c r="X1060" s="65">
        <v>20874</v>
      </c>
      <c r="Y1060" s="65">
        <v>0</v>
      </c>
      <c r="Z1060" s="65">
        <v>0</v>
      </c>
      <c r="AA1060" s="51">
        <v>0</v>
      </c>
      <c r="AB1060" s="102">
        <v>0</v>
      </c>
      <c r="AC1060" s="81">
        <f t="shared" si="51"/>
        <v>39.674972076652423</v>
      </c>
      <c r="AD1060" s="82">
        <f t="shared" si="52"/>
        <v>91.321428571428555</v>
      </c>
      <c r="AE1060" s="218">
        <v>-0.1618099919810711</v>
      </c>
      <c r="AF1060">
        <v>7</v>
      </c>
      <c r="AH1060" t="str">
        <f t="shared" si="50"/>
        <v>Asarganj</v>
      </c>
      <c r="AJ1060" s="72">
        <v>0</v>
      </c>
      <c r="AK1060" s="72"/>
      <c r="AL1060" s="72"/>
      <c r="AM1060" s="72"/>
    </row>
    <row r="1061" spans="1:39" x14ac:dyDescent="0.25">
      <c r="A1061" s="37" t="s">
        <v>62</v>
      </c>
      <c r="B1061" s="66" t="s">
        <v>1615</v>
      </c>
      <c r="C1061" s="41">
        <v>1003</v>
      </c>
      <c r="D1061" s="41" t="s">
        <v>139</v>
      </c>
      <c r="E1061" s="41">
        <v>10030063</v>
      </c>
      <c r="F1061" s="85" t="s">
        <v>448</v>
      </c>
      <c r="G1061" s="39" t="s">
        <v>93</v>
      </c>
      <c r="H1061" s="52" t="s">
        <v>94</v>
      </c>
      <c r="I1061" s="52">
        <v>1035.5</v>
      </c>
      <c r="J1061" s="49">
        <v>40161.950000000004</v>
      </c>
      <c r="K1061" s="58">
        <v>1031.5600000000002</v>
      </c>
      <c r="L1061" s="58">
        <v>40139.809433291826</v>
      </c>
      <c r="M1061" s="58">
        <v>3.04</v>
      </c>
      <c r="N1061" s="58">
        <v>116.58570818400001</v>
      </c>
      <c r="O1061" s="65">
        <v>1034.6000000000001</v>
      </c>
      <c r="P1061" s="65">
        <v>40256.395141475827</v>
      </c>
      <c r="Q1061" s="50">
        <v>40161.950000000004</v>
      </c>
      <c r="R1061" s="65">
        <v>0</v>
      </c>
      <c r="S1061" s="65">
        <v>116.58570818400001</v>
      </c>
      <c r="T1061" s="65">
        <v>94.445141475822311</v>
      </c>
      <c r="U1061" s="65">
        <v>0</v>
      </c>
      <c r="V1061" s="65">
        <v>0</v>
      </c>
      <c r="W1061" s="65">
        <v>0</v>
      </c>
      <c r="X1061" s="65">
        <v>40045</v>
      </c>
      <c r="Y1061" s="65">
        <v>0</v>
      </c>
      <c r="Z1061" s="65">
        <v>0</v>
      </c>
      <c r="AA1061" s="51">
        <v>0</v>
      </c>
      <c r="AB1061" s="102">
        <v>0</v>
      </c>
      <c r="AC1061" s="81">
        <f t="shared" si="51"/>
        <v>0</v>
      </c>
      <c r="AD1061" s="82">
        <f t="shared" si="52"/>
        <v>0</v>
      </c>
      <c r="AE1061" s="218">
        <v>-2.351607466166914E-3</v>
      </c>
      <c r="AF1061">
        <v>7</v>
      </c>
      <c r="AH1061" t="str">
        <f t="shared" si="50"/>
        <v>Asarganj</v>
      </c>
      <c r="AJ1061" s="72">
        <v>0</v>
      </c>
      <c r="AK1061" s="72"/>
      <c r="AL1061" s="72"/>
      <c r="AM1061" s="72"/>
    </row>
    <row r="1062" spans="1:39" x14ac:dyDescent="0.25">
      <c r="A1062" s="37" t="s">
        <v>62</v>
      </c>
      <c r="B1062" s="66" t="s">
        <v>1615</v>
      </c>
      <c r="C1062" s="41">
        <v>1003</v>
      </c>
      <c r="D1062" s="41" t="s">
        <v>139</v>
      </c>
      <c r="E1062" s="41">
        <v>10030064</v>
      </c>
      <c r="F1062" s="85" t="s">
        <v>438</v>
      </c>
      <c r="G1062" s="39" t="s">
        <v>93</v>
      </c>
      <c r="H1062" s="52" t="s">
        <v>94</v>
      </c>
      <c r="I1062" s="52">
        <v>957.05</v>
      </c>
      <c r="J1062" s="49">
        <v>37235.299999999996</v>
      </c>
      <c r="K1062" s="58">
        <v>963.42999999999984</v>
      </c>
      <c r="L1062" s="58">
        <v>40836.598378635739</v>
      </c>
      <c r="M1062" s="58">
        <v>0</v>
      </c>
      <c r="N1062" s="58">
        <v>0</v>
      </c>
      <c r="O1062" s="65">
        <v>963.42999999999984</v>
      </c>
      <c r="P1062" s="65">
        <v>40836.598378635739</v>
      </c>
      <c r="Q1062" s="50">
        <v>37235.299999999996</v>
      </c>
      <c r="R1062" s="65">
        <v>0</v>
      </c>
      <c r="S1062" s="65">
        <v>0</v>
      </c>
      <c r="T1062" s="65">
        <v>3601.2983786357436</v>
      </c>
      <c r="U1062" s="65">
        <v>21750</v>
      </c>
      <c r="V1062" s="65">
        <v>0</v>
      </c>
      <c r="W1062" s="65">
        <v>0</v>
      </c>
      <c r="X1062" s="65">
        <v>15485</v>
      </c>
      <c r="Y1062" s="65">
        <v>0</v>
      </c>
      <c r="Z1062" s="65">
        <v>0</v>
      </c>
      <c r="AA1062" s="51">
        <v>0</v>
      </c>
      <c r="AB1062" s="102" t="s">
        <v>66</v>
      </c>
      <c r="AC1062" s="81">
        <f t="shared" si="51"/>
        <v>0</v>
      </c>
      <c r="AD1062" s="82">
        <f t="shared" si="52"/>
        <v>0</v>
      </c>
      <c r="AE1062" s="218">
        <v>-9.6717318744195535E-2</v>
      </c>
      <c r="AF1062">
        <v>3</v>
      </c>
      <c r="AH1062" t="str">
        <f t="shared" si="50"/>
        <v>Asarganj</v>
      </c>
      <c r="AJ1062" s="72">
        <v>0</v>
      </c>
      <c r="AK1062" s="72"/>
      <c r="AL1062" s="72"/>
      <c r="AM1062" s="72"/>
    </row>
    <row r="1063" spans="1:39" x14ac:dyDescent="0.25">
      <c r="A1063" s="37" t="s">
        <v>62</v>
      </c>
      <c r="B1063" s="66" t="s">
        <v>1615</v>
      </c>
      <c r="C1063" s="41">
        <v>1003</v>
      </c>
      <c r="D1063" s="41" t="s">
        <v>139</v>
      </c>
      <c r="E1063" s="41">
        <v>10030065</v>
      </c>
      <c r="F1063" s="85" t="s">
        <v>482</v>
      </c>
      <c r="G1063" s="39" t="s">
        <v>93</v>
      </c>
      <c r="H1063" s="52" t="s">
        <v>94</v>
      </c>
      <c r="I1063" s="52">
        <v>221.7</v>
      </c>
      <c r="J1063" s="49">
        <v>7928.99</v>
      </c>
      <c r="K1063" s="58">
        <v>250.44</v>
      </c>
      <c r="L1063" s="58">
        <v>8470.116067901401</v>
      </c>
      <c r="M1063" s="58">
        <v>3.0700000000000003</v>
      </c>
      <c r="N1063" s="58">
        <v>105.07341679560001</v>
      </c>
      <c r="O1063" s="65">
        <v>253.51</v>
      </c>
      <c r="P1063" s="65">
        <v>8575.1894846970008</v>
      </c>
      <c r="Q1063" s="50">
        <v>7928.99</v>
      </c>
      <c r="R1063" s="65">
        <v>0</v>
      </c>
      <c r="S1063" s="65">
        <v>105.07341679560001</v>
      </c>
      <c r="T1063" s="65">
        <v>646.19948469700103</v>
      </c>
      <c r="U1063" s="65">
        <v>0</v>
      </c>
      <c r="V1063" s="65">
        <v>0</v>
      </c>
      <c r="W1063" s="65">
        <v>0</v>
      </c>
      <c r="X1063" s="65">
        <v>7824</v>
      </c>
      <c r="Y1063" s="65">
        <v>0</v>
      </c>
      <c r="Z1063" s="65">
        <v>0</v>
      </c>
      <c r="AA1063" s="51">
        <v>0</v>
      </c>
      <c r="AB1063" s="102">
        <v>0</v>
      </c>
      <c r="AC1063" s="81">
        <f t="shared" si="51"/>
        <v>342.12322210193952</v>
      </c>
      <c r="AD1063" s="82">
        <f t="shared" si="52"/>
        <v>31.671428571428571</v>
      </c>
      <c r="AE1063" s="218">
        <v>-8.1498335184809298E-2</v>
      </c>
      <c r="AF1063">
        <v>4</v>
      </c>
      <c r="AH1063" t="str">
        <f t="shared" si="50"/>
        <v>Asarganj</v>
      </c>
      <c r="AJ1063" s="72">
        <v>0</v>
      </c>
      <c r="AK1063" s="72"/>
      <c r="AL1063" s="72"/>
      <c r="AM1063" s="72"/>
    </row>
    <row r="1064" spans="1:39" x14ac:dyDescent="0.25">
      <c r="A1064" s="37" t="s">
        <v>62</v>
      </c>
      <c r="B1064" s="66" t="s">
        <v>1615</v>
      </c>
      <c r="C1064" s="41">
        <v>1003</v>
      </c>
      <c r="D1064" s="41" t="s">
        <v>139</v>
      </c>
      <c r="E1064" s="41">
        <v>10030066</v>
      </c>
      <c r="F1064" s="85" t="s">
        <v>483</v>
      </c>
      <c r="G1064" s="39" t="s">
        <v>93</v>
      </c>
      <c r="H1064" s="52" t="s">
        <v>94</v>
      </c>
      <c r="I1064" s="52">
        <v>2205.35</v>
      </c>
      <c r="J1064" s="49">
        <v>84507.38</v>
      </c>
      <c r="K1064" s="58">
        <v>1258.71</v>
      </c>
      <c r="L1064" s="58">
        <v>52619.585681275232</v>
      </c>
      <c r="M1064" s="58">
        <v>992.34</v>
      </c>
      <c r="N1064" s="58">
        <v>38143.547274719705</v>
      </c>
      <c r="O1064" s="65">
        <v>2251.0500000000002</v>
      </c>
      <c r="P1064" s="65">
        <v>90763.132955994937</v>
      </c>
      <c r="Q1064" s="50">
        <v>84507.38</v>
      </c>
      <c r="R1064" s="65">
        <v>0</v>
      </c>
      <c r="S1064" s="65">
        <v>1059.5587731894002</v>
      </c>
      <c r="T1064" s="65">
        <v>6255.7529559949326</v>
      </c>
      <c r="U1064" s="65">
        <v>0</v>
      </c>
      <c r="V1064" s="65">
        <v>0</v>
      </c>
      <c r="W1064" s="65">
        <v>0</v>
      </c>
      <c r="X1064" s="65">
        <v>46364</v>
      </c>
      <c r="Y1064" s="65">
        <v>37084</v>
      </c>
      <c r="Z1064" s="65">
        <v>0</v>
      </c>
      <c r="AA1064" s="51">
        <v>0</v>
      </c>
      <c r="AB1064" s="102">
        <v>0</v>
      </c>
      <c r="AC1064" s="81">
        <f t="shared" si="51"/>
        <v>0</v>
      </c>
      <c r="AD1064" s="82">
        <f t="shared" si="52"/>
        <v>0</v>
      </c>
      <c r="AE1064" s="218">
        <v>-7.4026114121570591E-2</v>
      </c>
      <c r="AF1064">
        <v>18</v>
      </c>
      <c r="AH1064" t="str">
        <f t="shared" si="50"/>
        <v>Asarganj</v>
      </c>
      <c r="AJ1064" s="72">
        <v>0</v>
      </c>
      <c r="AK1064" s="72"/>
      <c r="AL1064" s="72"/>
      <c r="AM1064" s="72"/>
    </row>
    <row r="1065" spans="1:39" x14ac:dyDescent="0.25">
      <c r="A1065" s="37" t="s">
        <v>62</v>
      </c>
      <c r="B1065" s="66" t="s">
        <v>1615</v>
      </c>
      <c r="C1065" s="41">
        <v>1003</v>
      </c>
      <c r="D1065" s="41" t="s">
        <v>139</v>
      </c>
      <c r="E1065" s="41">
        <v>10030068</v>
      </c>
      <c r="F1065" s="85" t="s">
        <v>1263</v>
      </c>
      <c r="G1065" s="39" t="s">
        <v>93</v>
      </c>
      <c r="H1065" s="52" t="s">
        <v>94</v>
      </c>
      <c r="I1065" s="52">
        <v>1088.1999999999998</v>
      </c>
      <c r="J1065" s="49">
        <v>40282.97</v>
      </c>
      <c r="K1065" s="58">
        <v>1162.73</v>
      </c>
      <c r="L1065" s="58">
        <v>47151.424477911598</v>
      </c>
      <c r="M1065" s="58">
        <v>30.75</v>
      </c>
      <c r="N1065" s="58">
        <v>1360.9909440627628</v>
      </c>
      <c r="O1065" s="65">
        <v>1193.48</v>
      </c>
      <c r="P1065" s="65">
        <v>48512.415421974358</v>
      </c>
      <c r="Q1065" s="50">
        <v>40282.97</v>
      </c>
      <c r="R1065" s="65">
        <v>0</v>
      </c>
      <c r="S1065" s="65">
        <v>1360.9909440627628</v>
      </c>
      <c r="T1065" s="65">
        <v>8229.4454219743566</v>
      </c>
      <c r="U1065" s="65">
        <v>0</v>
      </c>
      <c r="V1065" s="65">
        <v>0</v>
      </c>
      <c r="W1065" s="65">
        <v>0</v>
      </c>
      <c r="X1065" s="65">
        <v>38922</v>
      </c>
      <c r="Y1065" s="65">
        <v>0</v>
      </c>
      <c r="Z1065" s="65">
        <v>0</v>
      </c>
      <c r="AA1065" s="51">
        <v>0</v>
      </c>
      <c r="AB1065" s="102">
        <v>0</v>
      </c>
      <c r="AC1065" s="81">
        <f t="shared" si="51"/>
        <v>0</v>
      </c>
      <c r="AD1065" s="82">
        <f t="shared" si="52"/>
        <v>0</v>
      </c>
      <c r="AE1065" s="218">
        <v>-0.20429093043473101</v>
      </c>
      <c r="AF1065">
        <v>4</v>
      </c>
      <c r="AH1065" t="str">
        <f t="shared" si="50"/>
        <v>Asarganj</v>
      </c>
      <c r="AJ1065" s="72">
        <v>0</v>
      </c>
      <c r="AK1065" s="72"/>
      <c r="AL1065" s="72"/>
      <c r="AM1065" s="72"/>
    </row>
    <row r="1066" spans="1:39" x14ac:dyDescent="0.25">
      <c r="A1066" s="37" t="s">
        <v>62</v>
      </c>
      <c r="B1066" s="66" t="s">
        <v>1615</v>
      </c>
      <c r="C1066" s="41">
        <v>1003</v>
      </c>
      <c r="D1066" s="41" t="s">
        <v>139</v>
      </c>
      <c r="E1066" s="41">
        <v>10030069</v>
      </c>
      <c r="F1066" s="85" t="s">
        <v>524</v>
      </c>
      <c r="G1066" s="39" t="s">
        <v>635</v>
      </c>
      <c r="H1066" s="52" t="s">
        <v>99</v>
      </c>
      <c r="I1066" s="52">
        <v>374.1</v>
      </c>
      <c r="J1066" s="49">
        <v>13475.110000000002</v>
      </c>
      <c r="K1066" s="58">
        <v>0</v>
      </c>
      <c r="L1066" s="58">
        <v>0</v>
      </c>
      <c r="M1066" s="58">
        <v>0</v>
      </c>
      <c r="N1066" s="58">
        <v>0</v>
      </c>
      <c r="O1066" s="65">
        <v>0</v>
      </c>
      <c r="P1066" s="65">
        <v>0</v>
      </c>
      <c r="Q1066" s="50">
        <v>13475.110000000002</v>
      </c>
      <c r="R1066" s="65">
        <v>0</v>
      </c>
      <c r="S1066" s="65">
        <v>0</v>
      </c>
      <c r="T1066" s="65">
        <v>0</v>
      </c>
      <c r="U1066" s="65">
        <v>0</v>
      </c>
      <c r="V1066" s="65">
        <v>0</v>
      </c>
      <c r="W1066" s="65">
        <v>0</v>
      </c>
      <c r="X1066" s="65">
        <v>0</v>
      </c>
      <c r="Y1066" s="65">
        <v>0</v>
      </c>
      <c r="Z1066" s="65">
        <v>13475.110000000002</v>
      </c>
      <c r="AA1066" s="51">
        <v>0</v>
      </c>
      <c r="AB1066" s="102">
        <v>0</v>
      </c>
      <c r="AC1066" s="81">
        <f t="shared" si="51"/>
        <v>234.77884784816897</v>
      </c>
      <c r="AD1066" s="82">
        <f t="shared" si="52"/>
        <v>53.442857142857143</v>
      </c>
      <c r="AE1066" s="218">
        <v>0</v>
      </c>
      <c r="AF1066">
        <v>0</v>
      </c>
      <c r="AH1066" t="str">
        <f t="shared" si="50"/>
        <v>Asarganj</v>
      </c>
      <c r="AJ1066" s="72">
        <v>0</v>
      </c>
      <c r="AK1066" s="72"/>
      <c r="AL1066" s="72"/>
      <c r="AM1066" s="72"/>
    </row>
    <row r="1067" spans="1:39" x14ac:dyDescent="0.25">
      <c r="A1067" s="37" t="s">
        <v>62</v>
      </c>
      <c r="B1067" s="66" t="s">
        <v>1615</v>
      </c>
      <c r="C1067" s="41">
        <v>1003</v>
      </c>
      <c r="D1067" s="41" t="s">
        <v>139</v>
      </c>
      <c r="E1067" s="41">
        <v>10030070</v>
      </c>
      <c r="F1067" s="85" t="s">
        <v>571</v>
      </c>
      <c r="G1067" s="39" t="s">
        <v>93</v>
      </c>
      <c r="H1067" s="52" t="s">
        <v>94</v>
      </c>
      <c r="I1067" s="52">
        <v>777</v>
      </c>
      <c r="J1067" s="49">
        <v>31381.56</v>
      </c>
      <c r="K1067" s="58">
        <v>774.4</v>
      </c>
      <c r="L1067" s="58">
        <v>32137.166991599996</v>
      </c>
      <c r="M1067" s="58">
        <v>14</v>
      </c>
      <c r="N1067" s="58">
        <v>564.71160240000006</v>
      </c>
      <c r="O1067" s="65">
        <v>788.4</v>
      </c>
      <c r="P1067" s="65">
        <v>32701.878593999994</v>
      </c>
      <c r="Q1067" s="50">
        <v>31381.56</v>
      </c>
      <c r="R1067" s="65">
        <v>0</v>
      </c>
      <c r="S1067" s="65">
        <v>564.71160240000006</v>
      </c>
      <c r="T1067" s="65">
        <v>1320.318593999993</v>
      </c>
      <c r="U1067" s="65">
        <v>0</v>
      </c>
      <c r="V1067" s="65">
        <v>0</v>
      </c>
      <c r="W1067" s="65">
        <v>0</v>
      </c>
      <c r="X1067" s="65">
        <v>30817</v>
      </c>
      <c r="Y1067" s="65">
        <v>0</v>
      </c>
      <c r="Z1067" s="65">
        <v>0</v>
      </c>
      <c r="AA1067" s="51">
        <v>0</v>
      </c>
      <c r="AB1067" s="102">
        <v>0</v>
      </c>
      <c r="AC1067" s="81">
        <f t="shared" si="51"/>
        <v>0</v>
      </c>
      <c r="AD1067" s="82">
        <f t="shared" si="52"/>
        <v>0</v>
      </c>
      <c r="AE1067" s="218">
        <v>-4.2073070746004755E-2</v>
      </c>
      <c r="AF1067">
        <v>6</v>
      </c>
      <c r="AH1067" t="str">
        <f t="shared" si="50"/>
        <v>Asarganj</v>
      </c>
      <c r="AJ1067" s="72">
        <v>0</v>
      </c>
      <c r="AK1067" s="72"/>
      <c r="AL1067" s="72"/>
      <c r="AM1067" s="72"/>
    </row>
    <row r="1068" spans="1:39" x14ac:dyDescent="0.25">
      <c r="A1068" s="37" t="s">
        <v>62</v>
      </c>
      <c r="B1068" s="66" t="s">
        <v>1615</v>
      </c>
      <c r="C1068" s="41">
        <v>1003</v>
      </c>
      <c r="D1068" s="41" t="s">
        <v>139</v>
      </c>
      <c r="E1068" s="41">
        <v>10030071</v>
      </c>
      <c r="F1068" s="85" t="s">
        <v>572</v>
      </c>
      <c r="G1068" s="39" t="s">
        <v>93</v>
      </c>
      <c r="H1068" s="52" t="s">
        <v>94</v>
      </c>
      <c r="I1068" s="52">
        <v>128.75</v>
      </c>
      <c r="J1068" s="49">
        <v>5735.8099999999995</v>
      </c>
      <c r="K1068" s="58">
        <v>154.4</v>
      </c>
      <c r="L1068" s="58">
        <v>7236.0275728394408</v>
      </c>
      <c r="M1068" s="58">
        <v>0</v>
      </c>
      <c r="N1068" s="58">
        <v>0</v>
      </c>
      <c r="O1068" s="65">
        <v>154.4</v>
      </c>
      <c r="P1068" s="65">
        <v>7236.0275728394408</v>
      </c>
      <c r="Q1068" s="50">
        <v>5735.8099999999995</v>
      </c>
      <c r="R1068" s="65">
        <v>0</v>
      </c>
      <c r="S1068" s="65">
        <v>0</v>
      </c>
      <c r="T1068" s="65">
        <v>1500.2175728394413</v>
      </c>
      <c r="U1068" s="65">
        <v>0</v>
      </c>
      <c r="V1068" s="65">
        <v>0</v>
      </c>
      <c r="W1068" s="65">
        <v>0</v>
      </c>
      <c r="X1068" s="65">
        <v>5736</v>
      </c>
      <c r="Y1068" s="65">
        <v>0</v>
      </c>
      <c r="Z1068" s="65">
        <v>0</v>
      </c>
      <c r="AA1068" s="51">
        <v>0</v>
      </c>
      <c r="AB1068" s="102" t="s">
        <v>68</v>
      </c>
      <c r="AC1068" s="81">
        <f t="shared" si="51"/>
        <v>508.9835281553398</v>
      </c>
      <c r="AD1068" s="82">
        <f t="shared" si="52"/>
        <v>18.392857142857142</v>
      </c>
      <c r="AE1068" s="218">
        <v>-0.26155287097017538</v>
      </c>
      <c r="AF1068">
        <v>7</v>
      </c>
      <c r="AH1068" t="str">
        <f t="shared" si="50"/>
        <v>Asarganj</v>
      </c>
      <c r="AJ1068" s="72">
        <v>0</v>
      </c>
      <c r="AK1068" s="72"/>
      <c r="AL1068" s="72"/>
      <c r="AM1068" s="72"/>
    </row>
    <row r="1069" spans="1:39" x14ac:dyDescent="0.25">
      <c r="A1069" s="37" t="s">
        <v>62</v>
      </c>
      <c r="B1069" s="66" t="s">
        <v>1615</v>
      </c>
      <c r="C1069" s="41">
        <v>1003</v>
      </c>
      <c r="D1069" s="41" t="s">
        <v>139</v>
      </c>
      <c r="E1069" s="41">
        <v>10030072</v>
      </c>
      <c r="F1069" s="85" t="s">
        <v>1125</v>
      </c>
      <c r="G1069" s="39" t="s">
        <v>93</v>
      </c>
      <c r="H1069" s="52" t="s">
        <v>94</v>
      </c>
      <c r="I1069" s="52">
        <v>992.40000000000009</v>
      </c>
      <c r="J1069" s="49">
        <v>37785.83</v>
      </c>
      <c r="K1069" s="58">
        <v>989.3599999999999</v>
      </c>
      <c r="L1069" s="58">
        <v>37716.006826574012</v>
      </c>
      <c r="M1069" s="58">
        <v>0</v>
      </c>
      <c r="N1069" s="58">
        <v>0</v>
      </c>
      <c r="O1069" s="65">
        <v>989.3599999999999</v>
      </c>
      <c r="P1069" s="65">
        <v>37716.006826574012</v>
      </c>
      <c r="Q1069" s="50">
        <v>37716.006826574012</v>
      </c>
      <c r="R1069" s="65">
        <v>0</v>
      </c>
      <c r="S1069" s="65">
        <v>0</v>
      </c>
      <c r="T1069" s="65">
        <v>0</v>
      </c>
      <c r="U1069" s="65">
        <v>0</v>
      </c>
      <c r="V1069" s="65">
        <v>0</v>
      </c>
      <c r="W1069" s="65">
        <v>0</v>
      </c>
      <c r="X1069" s="65">
        <v>37717</v>
      </c>
      <c r="Y1069" s="65">
        <v>0</v>
      </c>
      <c r="Z1069" s="65">
        <v>0</v>
      </c>
      <c r="AA1069" s="51">
        <v>69</v>
      </c>
      <c r="AB1069" s="102">
        <v>0</v>
      </c>
      <c r="AC1069" s="81">
        <f t="shared" si="51"/>
        <v>0</v>
      </c>
      <c r="AD1069" s="82">
        <f t="shared" si="52"/>
        <v>0</v>
      </c>
      <c r="AE1069" s="218">
        <v>1.8478666057088016E-3</v>
      </c>
      <c r="AF1069">
        <v>26</v>
      </c>
      <c r="AH1069" t="str">
        <f t="shared" si="50"/>
        <v>Asarganj</v>
      </c>
      <c r="AJ1069" s="72">
        <v>0</v>
      </c>
      <c r="AK1069" s="72"/>
      <c r="AL1069" s="72"/>
      <c r="AM1069" s="72"/>
    </row>
    <row r="1070" spans="1:39" x14ac:dyDescent="0.25">
      <c r="A1070" s="37" t="s">
        <v>62</v>
      </c>
      <c r="B1070" s="66" t="s">
        <v>1615</v>
      </c>
      <c r="C1070" s="41">
        <v>1003</v>
      </c>
      <c r="D1070" s="41" t="s">
        <v>139</v>
      </c>
      <c r="E1070" s="41">
        <v>10030074</v>
      </c>
      <c r="F1070" s="85" t="s">
        <v>1188</v>
      </c>
      <c r="G1070" s="39" t="s">
        <v>93</v>
      </c>
      <c r="H1070" s="52" t="s">
        <v>94</v>
      </c>
      <c r="I1070" s="52">
        <v>1620.5000000000002</v>
      </c>
      <c r="J1070" s="49">
        <v>63291.8</v>
      </c>
      <c r="K1070" s="58">
        <v>1652.7800000000002</v>
      </c>
      <c r="L1070" s="58">
        <v>67346.994373089197</v>
      </c>
      <c r="M1070" s="58">
        <v>21.95</v>
      </c>
      <c r="N1070" s="58">
        <v>858.65392641600022</v>
      </c>
      <c r="O1070" s="65">
        <v>1674.7300000000002</v>
      </c>
      <c r="P1070" s="65">
        <v>68205.648299505192</v>
      </c>
      <c r="Q1070" s="50">
        <v>63291.8</v>
      </c>
      <c r="R1070" s="65">
        <v>0</v>
      </c>
      <c r="S1070" s="65">
        <v>858.65392641600022</v>
      </c>
      <c r="T1070" s="65">
        <v>4913.8482995051891</v>
      </c>
      <c r="U1070" s="65">
        <v>43500</v>
      </c>
      <c r="V1070" s="65">
        <v>0</v>
      </c>
      <c r="W1070" s="65">
        <v>0</v>
      </c>
      <c r="X1070" s="65">
        <v>18933</v>
      </c>
      <c r="Y1070" s="65">
        <v>0</v>
      </c>
      <c r="Z1070" s="65">
        <v>0</v>
      </c>
      <c r="AA1070" s="51">
        <v>0</v>
      </c>
      <c r="AB1070" s="102" t="s">
        <v>66</v>
      </c>
      <c r="AC1070" s="81">
        <f t="shared" si="51"/>
        <v>0</v>
      </c>
      <c r="AD1070" s="82">
        <f t="shared" si="52"/>
        <v>0</v>
      </c>
      <c r="AE1070" s="218">
        <v>-7.7637992591539334E-2</v>
      </c>
      <c r="AF1070">
        <v>5</v>
      </c>
      <c r="AH1070" t="str">
        <f t="shared" ref="AH1070:AH1132" si="53">TEXT(D1070,"0000")</f>
        <v>Asarganj</v>
      </c>
      <c r="AJ1070" s="72">
        <v>0</v>
      </c>
      <c r="AK1070" s="72"/>
      <c r="AL1070" s="72"/>
      <c r="AM1070" s="72"/>
    </row>
    <row r="1071" spans="1:39" x14ac:dyDescent="0.25">
      <c r="A1071" s="37" t="s">
        <v>62</v>
      </c>
      <c r="B1071" s="66" t="s">
        <v>1615</v>
      </c>
      <c r="C1071" s="41">
        <v>1003</v>
      </c>
      <c r="D1071" s="41" t="s">
        <v>139</v>
      </c>
      <c r="E1071" s="41">
        <v>10030075</v>
      </c>
      <c r="F1071" s="85" t="s">
        <v>1155</v>
      </c>
      <c r="G1071" s="39" t="s">
        <v>93</v>
      </c>
      <c r="H1071" s="52" t="s">
        <v>94</v>
      </c>
      <c r="I1071" s="52">
        <v>328.6</v>
      </c>
      <c r="J1071" s="49">
        <v>13405.559999999998</v>
      </c>
      <c r="K1071" s="58">
        <v>349.14</v>
      </c>
      <c r="L1071" s="58">
        <v>14622.921209291326</v>
      </c>
      <c r="M1071" s="58">
        <v>0</v>
      </c>
      <c r="N1071" s="58">
        <v>0</v>
      </c>
      <c r="O1071" s="65">
        <v>349.14</v>
      </c>
      <c r="P1071" s="65">
        <v>14622.921209291326</v>
      </c>
      <c r="Q1071" s="50">
        <v>13405.559999999998</v>
      </c>
      <c r="R1071" s="65">
        <v>0</v>
      </c>
      <c r="S1071" s="65">
        <v>0</v>
      </c>
      <c r="T1071" s="65">
        <v>1217.3612092913281</v>
      </c>
      <c r="U1071" s="65">
        <v>0</v>
      </c>
      <c r="V1071" s="65">
        <v>0</v>
      </c>
      <c r="W1071" s="65">
        <v>0</v>
      </c>
      <c r="X1071" s="65">
        <v>13406</v>
      </c>
      <c r="Y1071" s="65">
        <v>0</v>
      </c>
      <c r="Z1071" s="65">
        <v>0</v>
      </c>
      <c r="AA1071" s="51">
        <v>0</v>
      </c>
      <c r="AB1071" s="102">
        <v>0</v>
      </c>
      <c r="AC1071" s="81">
        <f t="shared" si="51"/>
        <v>303.03256141205105</v>
      </c>
      <c r="AD1071" s="82">
        <f t="shared" si="52"/>
        <v>46.942857142857143</v>
      </c>
      <c r="AE1071" s="218">
        <v>-9.0810171995151887E-2</v>
      </c>
      <c r="AF1071">
        <v>3</v>
      </c>
      <c r="AH1071" t="str">
        <f t="shared" si="53"/>
        <v>Asarganj</v>
      </c>
      <c r="AJ1071" s="72">
        <v>0</v>
      </c>
      <c r="AK1071" s="72"/>
      <c r="AL1071" s="72"/>
      <c r="AM1071" s="72"/>
    </row>
    <row r="1072" spans="1:39" x14ac:dyDescent="0.25">
      <c r="A1072" s="37" t="s">
        <v>62</v>
      </c>
      <c r="B1072" s="66" t="s">
        <v>1615</v>
      </c>
      <c r="C1072" s="41">
        <v>1003</v>
      </c>
      <c r="D1072" s="41" t="s">
        <v>139</v>
      </c>
      <c r="E1072" s="41">
        <v>10030077</v>
      </c>
      <c r="F1072" s="85" t="s">
        <v>1199</v>
      </c>
      <c r="G1072" s="39" t="s">
        <v>635</v>
      </c>
      <c r="H1072" s="52" t="s">
        <v>99</v>
      </c>
      <c r="I1072" s="52">
        <v>249.99999999999997</v>
      </c>
      <c r="J1072" s="49">
        <v>9028.91</v>
      </c>
      <c r="K1072" s="58">
        <v>0</v>
      </c>
      <c r="L1072" s="58">
        <v>0</v>
      </c>
      <c r="M1072" s="58">
        <v>0</v>
      </c>
      <c r="N1072" s="58">
        <v>0</v>
      </c>
      <c r="O1072" s="65">
        <v>0</v>
      </c>
      <c r="P1072" s="65">
        <v>0</v>
      </c>
      <c r="Q1072" s="50">
        <v>9028.91</v>
      </c>
      <c r="R1072" s="65">
        <v>0</v>
      </c>
      <c r="S1072" s="65">
        <v>0</v>
      </c>
      <c r="T1072" s="65">
        <v>0</v>
      </c>
      <c r="U1072" s="65">
        <v>0</v>
      </c>
      <c r="V1072" s="65">
        <v>0</v>
      </c>
      <c r="W1072" s="65">
        <v>0</v>
      </c>
      <c r="X1072" s="65">
        <v>0</v>
      </c>
      <c r="Y1072" s="65">
        <v>0</v>
      </c>
      <c r="Z1072" s="65">
        <v>9028.91</v>
      </c>
      <c r="AA1072" s="51">
        <v>0</v>
      </c>
      <c r="AB1072" s="102">
        <v>0</v>
      </c>
      <c r="AC1072" s="81">
        <f t="shared" si="51"/>
        <v>325.04076000000009</v>
      </c>
      <c r="AD1072" s="82">
        <f t="shared" si="52"/>
        <v>35.714285714285708</v>
      </c>
      <c r="AE1072" s="218">
        <v>0</v>
      </c>
      <c r="AF1072">
        <v>0</v>
      </c>
      <c r="AH1072" t="str">
        <f t="shared" si="53"/>
        <v>Asarganj</v>
      </c>
      <c r="AJ1072" s="72">
        <v>0</v>
      </c>
      <c r="AK1072" s="72"/>
      <c r="AL1072" s="72"/>
      <c r="AM1072" s="72"/>
    </row>
    <row r="1073" spans="1:39" x14ac:dyDescent="0.25">
      <c r="A1073" s="37" t="s">
        <v>62</v>
      </c>
      <c r="B1073" s="66" t="s">
        <v>1615</v>
      </c>
      <c r="C1073" s="41">
        <v>1003</v>
      </c>
      <c r="D1073" s="41" t="s">
        <v>139</v>
      </c>
      <c r="E1073" s="41">
        <v>10030078</v>
      </c>
      <c r="F1073" s="85" t="s">
        <v>1248</v>
      </c>
      <c r="G1073" s="39" t="s">
        <v>93</v>
      </c>
      <c r="H1073" s="52" t="s">
        <v>94</v>
      </c>
      <c r="I1073" s="52">
        <v>488.20000000000005</v>
      </c>
      <c r="J1073" s="49">
        <v>17265.04</v>
      </c>
      <c r="K1073" s="58">
        <v>546.4</v>
      </c>
      <c r="L1073" s="58">
        <v>22812.438222954712</v>
      </c>
      <c r="M1073" s="58">
        <v>0</v>
      </c>
      <c r="N1073" s="58">
        <v>0</v>
      </c>
      <c r="O1073" s="65">
        <v>546.4</v>
      </c>
      <c r="P1073" s="65">
        <v>22812.438222954712</v>
      </c>
      <c r="Q1073" s="50">
        <v>17265.04</v>
      </c>
      <c r="R1073" s="65">
        <v>0</v>
      </c>
      <c r="S1073" s="65">
        <v>0</v>
      </c>
      <c r="T1073" s="65">
        <v>5547.3982229547109</v>
      </c>
      <c r="U1073" s="65">
        <v>0</v>
      </c>
      <c r="V1073" s="65">
        <v>0</v>
      </c>
      <c r="W1073" s="65">
        <v>0</v>
      </c>
      <c r="X1073" s="65">
        <v>17265</v>
      </c>
      <c r="Y1073" s="65">
        <v>0</v>
      </c>
      <c r="Z1073" s="65">
        <v>0</v>
      </c>
      <c r="AA1073" s="51">
        <v>0</v>
      </c>
      <c r="AB1073" s="102">
        <v>0</v>
      </c>
      <c r="AC1073" s="81">
        <f t="shared" si="51"/>
        <v>149.80481245391229</v>
      </c>
      <c r="AD1073" s="82">
        <f t="shared" si="52"/>
        <v>69.742857142857147</v>
      </c>
      <c r="AE1073" s="218">
        <v>-0.32130815931817769</v>
      </c>
      <c r="AF1073">
        <v>5</v>
      </c>
      <c r="AH1073" t="str">
        <f t="shared" si="53"/>
        <v>Asarganj</v>
      </c>
      <c r="AJ1073" s="72">
        <v>0</v>
      </c>
      <c r="AK1073" s="72"/>
      <c r="AL1073" s="72"/>
      <c r="AM1073" s="72"/>
    </row>
    <row r="1074" spans="1:39" x14ac:dyDescent="0.25">
      <c r="A1074" s="37" t="s">
        <v>62</v>
      </c>
      <c r="B1074" s="66" t="s">
        <v>1615</v>
      </c>
      <c r="C1074" s="41">
        <v>1003</v>
      </c>
      <c r="D1074" s="41" t="s">
        <v>139</v>
      </c>
      <c r="E1074" s="41">
        <v>10030079</v>
      </c>
      <c r="F1074" s="85" t="s">
        <v>1257</v>
      </c>
      <c r="G1074" s="39" t="s">
        <v>635</v>
      </c>
      <c r="H1074" s="52" t="s">
        <v>99</v>
      </c>
      <c r="I1074" s="52">
        <v>584.9</v>
      </c>
      <c r="J1074" s="49">
        <v>20878.630000000005</v>
      </c>
      <c r="K1074" s="58">
        <v>0</v>
      </c>
      <c r="L1074" s="58">
        <v>0</v>
      </c>
      <c r="M1074" s="58">
        <v>0</v>
      </c>
      <c r="N1074" s="58">
        <v>0</v>
      </c>
      <c r="O1074" s="65">
        <v>0</v>
      </c>
      <c r="P1074" s="65">
        <v>0</v>
      </c>
      <c r="Q1074" s="50">
        <v>20878.630000000005</v>
      </c>
      <c r="R1074" s="65">
        <v>0</v>
      </c>
      <c r="S1074" s="65">
        <v>0</v>
      </c>
      <c r="T1074" s="65">
        <v>0</v>
      </c>
      <c r="U1074" s="65">
        <v>0</v>
      </c>
      <c r="V1074" s="65">
        <v>0</v>
      </c>
      <c r="W1074" s="65">
        <v>0</v>
      </c>
      <c r="X1074" s="65">
        <v>0</v>
      </c>
      <c r="Y1074" s="65">
        <v>0</v>
      </c>
      <c r="Z1074" s="65">
        <v>20878.630000000005</v>
      </c>
      <c r="AA1074" s="51">
        <v>0</v>
      </c>
      <c r="AB1074" s="102">
        <v>0</v>
      </c>
      <c r="AC1074" s="81">
        <f t="shared" si="51"/>
        <v>82.172347854334134</v>
      </c>
      <c r="AD1074" s="82">
        <f t="shared" si="52"/>
        <v>83.55714285714285</v>
      </c>
      <c r="AE1074" s="218">
        <v>0</v>
      </c>
      <c r="AF1074">
        <v>0</v>
      </c>
      <c r="AH1074" t="str">
        <f t="shared" si="53"/>
        <v>Asarganj</v>
      </c>
      <c r="AJ1074" s="72">
        <v>0</v>
      </c>
      <c r="AK1074" s="72"/>
      <c r="AL1074" s="72"/>
      <c r="AM1074" s="72"/>
    </row>
    <row r="1075" spans="1:39" x14ac:dyDescent="0.25">
      <c r="A1075" s="37" t="s">
        <v>62</v>
      </c>
      <c r="B1075" s="66" t="s">
        <v>1615</v>
      </c>
      <c r="C1075" s="41">
        <v>1003</v>
      </c>
      <c r="D1075" s="41" t="s">
        <v>139</v>
      </c>
      <c r="E1075" s="41">
        <v>10030080</v>
      </c>
      <c r="F1075" s="85" t="s">
        <v>1258</v>
      </c>
      <c r="G1075" s="39" t="s">
        <v>93</v>
      </c>
      <c r="H1075" s="52" t="s">
        <v>94</v>
      </c>
      <c r="I1075" s="52">
        <v>859.15</v>
      </c>
      <c r="J1075" s="49">
        <v>33275.429999999993</v>
      </c>
      <c r="K1075" s="58">
        <v>854.66000000000008</v>
      </c>
      <c r="L1075" s="58">
        <v>31873.883073753754</v>
      </c>
      <c r="M1075" s="58">
        <v>0</v>
      </c>
      <c r="N1075" s="58">
        <v>0</v>
      </c>
      <c r="O1075" s="65">
        <v>854.66000000000008</v>
      </c>
      <c r="P1075" s="65">
        <v>31873.883073753754</v>
      </c>
      <c r="Q1075" s="50">
        <v>31873.883073753754</v>
      </c>
      <c r="R1075" s="65">
        <v>0</v>
      </c>
      <c r="S1075" s="65">
        <v>0</v>
      </c>
      <c r="T1075" s="65">
        <v>0</v>
      </c>
      <c r="U1075" s="65">
        <v>0</v>
      </c>
      <c r="V1075" s="65">
        <v>0</v>
      </c>
      <c r="W1075" s="65">
        <v>0</v>
      </c>
      <c r="X1075" s="65">
        <v>31876</v>
      </c>
      <c r="Y1075" s="65">
        <v>0</v>
      </c>
      <c r="Z1075" s="65">
        <v>0</v>
      </c>
      <c r="AA1075" s="51">
        <v>1399</v>
      </c>
      <c r="AB1075" s="102">
        <v>0</v>
      </c>
      <c r="AC1075" s="81">
        <f t="shared" si="51"/>
        <v>0</v>
      </c>
      <c r="AD1075" s="82">
        <f t="shared" si="52"/>
        <v>0</v>
      </c>
      <c r="AE1075" s="218">
        <v>4.2119573698859478E-2</v>
      </c>
      <c r="AF1075">
        <v>26</v>
      </c>
      <c r="AH1075" t="str">
        <f t="shared" si="53"/>
        <v>Asarganj</v>
      </c>
      <c r="AJ1075" s="72">
        <v>0</v>
      </c>
      <c r="AK1075" s="72"/>
      <c r="AL1075" s="72"/>
      <c r="AM1075" s="72"/>
    </row>
    <row r="1076" spans="1:39" x14ac:dyDescent="0.25">
      <c r="A1076" s="37" t="s">
        <v>62</v>
      </c>
      <c r="B1076" s="66" t="s">
        <v>1615</v>
      </c>
      <c r="C1076" s="41">
        <v>1003</v>
      </c>
      <c r="D1076" s="41" t="s">
        <v>139</v>
      </c>
      <c r="E1076" s="41">
        <v>10030081</v>
      </c>
      <c r="F1076" s="85" t="s">
        <v>1259</v>
      </c>
      <c r="G1076" s="39" t="s">
        <v>635</v>
      </c>
      <c r="H1076" s="52" t="s">
        <v>99</v>
      </c>
      <c r="I1076" s="52">
        <v>203.6</v>
      </c>
      <c r="J1076" s="49">
        <v>6999.4699999999993</v>
      </c>
      <c r="K1076" s="58">
        <v>0</v>
      </c>
      <c r="L1076" s="58">
        <v>0</v>
      </c>
      <c r="M1076" s="58">
        <v>0</v>
      </c>
      <c r="N1076" s="58">
        <v>0</v>
      </c>
      <c r="O1076" s="65">
        <v>0</v>
      </c>
      <c r="P1076" s="65">
        <v>0</v>
      </c>
      <c r="Q1076" s="50">
        <v>6999.4699999999993</v>
      </c>
      <c r="R1076" s="65">
        <v>0</v>
      </c>
      <c r="S1076" s="65">
        <v>0</v>
      </c>
      <c r="T1076" s="65">
        <v>0</v>
      </c>
      <c r="U1076" s="65">
        <v>0</v>
      </c>
      <c r="V1076" s="65">
        <v>0</v>
      </c>
      <c r="W1076" s="65">
        <v>0</v>
      </c>
      <c r="X1076" s="65">
        <v>0</v>
      </c>
      <c r="Y1076" s="65">
        <v>0</v>
      </c>
      <c r="Z1076" s="65">
        <v>6999.4699999999993</v>
      </c>
      <c r="AA1076" s="51">
        <v>0</v>
      </c>
      <c r="AB1076" s="102">
        <v>0</v>
      </c>
      <c r="AC1076" s="81">
        <f t="shared" si="51"/>
        <v>341.31010884086442</v>
      </c>
      <c r="AD1076" s="82">
        <f t="shared" si="52"/>
        <v>29.085714285714285</v>
      </c>
      <c r="AE1076" s="218">
        <v>0</v>
      </c>
      <c r="AF1076">
        <v>0</v>
      </c>
      <c r="AH1076" t="str">
        <f t="shared" si="53"/>
        <v>Asarganj</v>
      </c>
      <c r="AJ1076" s="72">
        <v>0</v>
      </c>
      <c r="AK1076" s="72"/>
      <c r="AL1076" s="72"/>
      <c r="AM1076" s="72"/>
    </row>
    <row r="1077" spans="1:39" x14ac:dyDescent="0.25">
      <c r="A1077" s="37" t="s">
        <v>62</v>
      </c>
      <c r="B1077" s="66" t="s">
        <v>1615</v>
      </c>
      <c r="C1077" s="41">
        <v>1003</v>
      </c>
      <c r="D1077" s="41" t="s">
        <v>139</v>
      </c>
      <c r="E1077" s="41">
        <v>10030082</v>
      </c>
      <c r="F1077" s="85" t="s">
        <v>1324</v>
      </c>
      <c r="G1077" s="39" t="s">
        <v>93</v>
      </c>
      <c r="H1077" s="52" t="s">
        <v>94</v>
      </c>
      <c r="I1077" s="52">
        <v>206.4</v>
      </c>
      <c r="J1077" s="49">
        <v>7318.8399999999992</v>
      </c>
      <c r="K1077" s="58">
        <v>262.04000000000002</v>
      </c>
      <c r="L1077" s="58">
        <v>8477.9900769960004</v>
      </c>
      <c r="M1077" s="58">
        <v>0</v>
      </c>
      <c r="N1077" s="58">
        <v>0</v>
      </c>
      <c r="O1077" s="65">
        <v>262.04000000000002</v>
      </c>
      <c r="P1077" s="65">
        <v>8477.9900769960004</v>
      </c>
      <c r="Q1077" s="50">
        <v>7318.8399999999992</v>
      </c>
      <c r="R1077" s="65">
        <v>0</v>
      </c>
      <c r="S1077" s="65">
        <v>0</v>
      </c>
      <c r="T1077" s="65">
        <v>1159.1500769960012</v>
      </c>
      <c r="U1077" s="65">
        <v>0</v>
      </c>
      <c r="V1077" s="65">
        <v>0</v>
      </c>
      <c r="W1077" s="65">
        <v>0</v>
      </c>
      <c r="X1077" s="65">
        <v>7319</v>
      </c>
      <c r="Y1077" s="65">
        <v>0</v>
      </c>
      <c r="Z1077" s="65">
        <v>0</v>
      </c>
      <c r="AA1077" s="51">
        <v>0</v>
      </c>
      <c r="AB1077" s="102">
        <v>0</v>
      </c>
      <c r="AC1077" s="81">
        <f t="shared" si="51"/>
        <v>350.05614573643408</v>
      </c>
      <c r="AD1077" s="82">
        <f t="shared" si="52"/>
        <v>29.485714285714288</v>
      </c>
      <c r="AE1077" s="218">
        <v>-0.1583789339562009</v>
      </c>
      <c r="AF1077">
        <v>1</v>
      </c>
      <c r="AH1077" t="str">
        <f t="shared" si="53"/>
        <v>Asarganj</v>
      </c>
      <c r="AJ1077" s="72">
        <v>0</v>
      </c>
      <c r="AK1077" s="72"/>
      <c r="AL1077" s="72"/>
      <c r="AM1077" s="72"/>
    </row>
    <row r="1078" spans="1:39" x14ac:dyDescent="0.25">
      <c r="A1078" s="37" t="s">
        <v>62</v>
      </c>
      <c r="B1078" s="66" t="s">
        <v>1615</v>
      </c>
      <c r="C1078" s="41">
        <v>1003</v>
      </c>
      <c r="D1078" s="41" t="s">
        <v>139</v>
      </c>
      <c r="E1078" s="41">
        <v>10030084</v>
      </c>
      <c r="F1078" s="85" t="s">
        <v>1333</v>
      </c>
      <c r="G1078" s="39" t="s">
        <v>93</v>
      </c>
      <c r="H1078" s="52" t="s">
        <v>94</v>
      </c>
      <c r="I1078" s="52">
        <v>210.20000000000002</v>
      </c>
      <c r="J1078" s="49">
        <v>7215.26</v>
      </c>
      <c r="K1078" s="58">
        <v>210.00000000000003</v>
      </c>
      <c r="L1078" s="58">
        <v>7213.3474548960012</v>
      </c>
      <c r="M1078" s="58">
        <v>0</v>
      </c>
      <c r="N1078" s="58">
        <v>0</v>
      </c>
      <c r="O1078" s="65">
        <v>210.00000000000003</v>
      </c>
      <c r="P1078" s="65">
        <v>7213.3474548960012</v>
      </c>
      <c r="Q1078" s="50">
        <v>7213.3474548960012</v>
      </c>
      <c r="R1078" s="65">
        <v>0</v>
      </c>
      <c r="S1078" s="65">
        <v>0</v>
      </c>
      <c r="T1078" s="65">
        <v>0</v>
      </c>
      <c r="U1078" s="65">
        <v>0</v>
      </c>
      <c r="V1078" s="65">
        <v>0</v>
      </c>
      <c r="W1078" s="65">
        <v>0</v>
      </c>
      <c r="X1078" s="65">
        <v>7213</v>
      </c>
      <c r="Y1078" s="65">
        <v>0</v>
      </c>
      <c r="Z1078" s="65">
        <v>0</v>
      </c>
      <c r="AA1078" s="51">
        <v>2</v>
      </c>
      <c r="AB1078" s="102">
        <v>0</v>
      </c>
      <c r="AC1078" s="81">
        <f t="shared" si="51"/>
        <v>336.25445746907701</v>
      </c>
      <c r="AD1078" s="82">
        <f t="shared" si="52"/>
        <v>30.028571428571432</v>
      </c>
      <c r="AE1078" s="218">
        <v>2.6506946444051035E-4</v>
      </c>
      <c r="AF1078">
        <v>1</v>
      </c>
      <c r="AH1078" t="str">
        <f t="shared" si="53"/>
        <v>Asarganj</v>
      </c>
      <c r="AJ1078" s="72">
        <v>0</v>
      </c>
      <c r="AK1078" s="72"/>
      <c r="AL1078" s="72"/>
      <c r="AM1078" s="72"/>
    </row>
    <row r="1079" spans="1:39" x14ac:dyDescent="0.25">
      <c r="A1079" s="37" t="s">
        <v>62</v>
      </c>
      <c r="B1079" s="66" t="s">
        <v>1615</v>
      </c>
      <c r="C1079" s="41">
        <v>1003</v>
      </c>
      <c r="D1079" s="41" t="s">
        <v>139</v>
      </c>
      <c r="E1079" s="41">
        <v>10030085</v>
      </c>
      <c r="F1079" s="85" t="s">
        <v>1334</v>
      </c>
      <c r="G1079" s="39" t="s">
        <v>93</v>
      </c>
      <c r="H1079" s="52" t="s">
        <v>94</v>
      </c>
      <c r="I1079" s="52">
        <v>420.45000000000005</v>
      </c>
      <c r="J1079" s="49">
        <v>15938.71</v>
      </c>
      <c r="K1079" s="58">
        <v>439.87000000000006</v>
      </c>
      <c r="L1079" s="58">
        <v>18283.150365129721</v>
      </c>
      <c r="M1079" s="58">
        <v>0</v>
      </c>
      <c r="N1079" s="58">
        <v>0</v>
      </c>
      <c r="O1079" s="65">
        <v>439.87000000000006</v>
      </c>
      <c r="P1079" s="65">
        <v>18283.150365129721</v>
      </c>
      <c r="Q1079" s="50">
        <v>15938.71</v>
      </c>
      <c r="R1079" s="65">
        <v>0</v>
      </c>
      <c r="S1079" s="65">
        <v>0</v>
      </c>
      <c r="T1079" s="65">
        <v>2344.4403651297216</v>
      </c>
      <c r="U1079" s="65">
        <v>0</v>
      </c>
      <c r="V1079" s="65">
        <v>0</v>
      </c>
      <c r="W1079" s="65">
        <v>0</v>
      </c>
      <c r="X1079" s="65">
        <v>15939</v>
      </c>
      <c r="Y1079" s="65">
        <v>0</v>
      </c>
      <c r="Z1079" s="65">
        <v>0</v>
      </c>
      <c r="AA1079" s="51">
        <v>0</v>
      </c>
      <c r="AB1079" s="102">
        <v>0</v>
      </c>
      <c r="AC1079" s="81">
        <f t="shared" si="51"/>
        <v>211.94750293732898</v>
      </c>
      <c r="AD1079" s="82">
        <f t="shared" si="52"/>
        <v>60.064285714285724</v>
      </c>
      <c r="AE1079" s="218">
        <v>-0.14709097317974426</v>
      </c>
      <c r="AF1079">
        <v>1</v>
      </c>
      <c r="AH1079" t="str">
        <f t="shared" si="53"/>
        <v>Asarganj</v>
      </c>
      <c r="AJ1079" s="72">
        <v>0</v>
      </c>
      <c r="AK1079" s="72"/>
      <c r="AL1079" s="72"/>
      <c r="AM1079" s="72"/>
    </row>
    <row r="1080" spans="1:39" x14ac:dyDescent="0.25">
      <c r="A1080" s="37" t="s">
        <v>62</v>
      </c>
      <c r="B1080" s="66" t="s">
        <v>1615</v>
      </c>
      <c r="C1080" s="41">
        <v>1003</v>
      </c>
      <c r="D1080" s="41" t="s">
        <v>139</v>
      </c>
      <c r="E1080" s="41">
        <v>10030086</v>
      </c>
      <c r="F1080" s="85" t="s">
        <v>1575</v>
      </c>
      <c r="G1080" s="39" t="s">
        <v>93</v>
      </c>
      <c r="H1080" s="52" t="s">
        <v>94</v>
      </c>
      <c r="I1080" s="52">
        <v>42.1</v>
      </c>
      <c r="J1080" s="49">
        <v>1591.1999999999998</v>
      </c>
      <c r="K1080" s="58">
        <v>47.899999999999991</v>
      </c>
      <c r="L1080" s="58">
        <v>1785.488903748</v>
      </c>
      <c r="M1080" s="58">
        <v>0</v>
      </c>
      <c r="N1080" s="58">
        <v>0</v>
      </c>
      <c r="O1080" s="65">
        <v>47.899999999999991</v>
      </c>
      <c r="P1080" s="65">
        <v>1785.488903748</v>
      </c>
      <c r="Q1080" s="50">
        <v>1591.1999999999998</v>
      </c>
      <c r="R1080" s="65">
        <v>0</v>
      </c>
      <c r="S1080" s="65">
        <v>0</v>
      </c>
      <c r="T1080" s="65">
        <v>194.28890374800017</v>
      </c>
      <c r="U1080" s="65">
        <v>0</v>
      </c>
      <c r="V1080" s="65">
        <v>0</v>
      </c>
      <c r="W1080" s="65">
        <v>0</v>
      </c>
      <c r="X1080" s="65">
        <v>1591</v>
      </c>
      <c r="Y1080" s="65">
        <v>0</v>
      </c>
      <c r="Z1080" s="65">
        <v>0</v>
      </c>
      <c r="AA1080" s="51">
        <v>0</v>
      </c>
      <c r="AB1080" s="102">
        <v>0</v>
      </c>
      <c r="AC1080" s="81">
        <f t="shared" si="51"/>
        <v>497.31614251781463</v>
      </c>
      <c r="AD1080" s="82">
        <f t="shared" si="52"/>
        <v>6.0142857142857142</v>
      </c>
      <c r="AE1080" s="218">
        <v>-0.12210212653846166</v>
      </c>
      <c r="AF1080">
        <v>1</v>
      </c>
      <c r="AH1080" t="str">
        <f t="shared" si="53"/>
        <v>Asarganj</v>
      </c>
      <c r="AJ1080" s="72">
        <v>0</v>
      </c>
      <c r="AK1080" s="72"/>
      <c r="AL1080" s="72"/>
      <c r="AM1080" s="72"/>
    </row>
    <row r="1081" spans="1:39" x14ac:dyDescent="0.25">
      <c r="A1081" s="37" t="s">
        <v>62</v>
      </c>
      <c r="B1081" s="66" t="s">
        <v>1615</v>
      </c>
      <c r="C1081" s="41">
        <v>1003</v>
      </c>
      <c r="D1081" s="41" t="s">
        <v>139</v>
      </c>
      <c r="E1081" s="41">
        <v>10030087</v>
      </c>
      <c r="F1081" s="85" t="s">
        <v>1576</v>
      </c>
      <c r="G1081" s="39" t="s">
        <v>93</v>
      </c>
      <c r="H1081" s="52" t="s">
        <v>94</v>
      </c>
      <c r="I1081" s="52">
        <v>142.25</v>
      </c>
      <c r="J1081" s="49">
        <v>5585.1</v>
      </c>
      <c r="K1081" s="58">
        <v>151</v>
      </c>
      <c r="L1081" s="58">
        <v>5863.7350727999992</v>
      </c>
      <c r="M1081" s="58">
        <v>0</v>
      </c>
      <c r="N1081" s="58">
        <v>0</v>
      </c>
      <c r="O1081" s="65">
        <v>151</v>
      </c>
      <c r="P1081" s="65">
        <v>5863.7350727999992</v>
      </c>
      <c r="Q1081" s="50">
        <v>5585.1</v>
      </c>
      <c r="R1081" s="65">
        <v>0</v>
      </c>
      <c r="S1081" s="65">
        <v>0</v>
      </c>
      <c r="T1081" s="65">
        <v>278.63507279999885</v>
      </c>
      <c r="U1081" s="65">
        <v>0</v>
      </c>
      <c r="V1081" s="65">
        <v>0</v>
      </c>
      <c r="W1081" s="65">
        <v>0</v>
      </c>
      <c r="X1081" s="65">
        <v>5585</v>
      </c>
      <c r="Y1081" s="65">
        <v>0</v>
      </c>
      <c r="Z1081" s="65">
        <v>0</v>
      </c>
      <c r="AA1081" s="51">
        <v>0</v>
      </c>
      <c r="AB1081" s="102">
        <v>0</v>
      </c>
      <c r="AC1081" s="81">
        <f t="shared" si="51"/>
        <v>437.97392267135331</v>
      </c>
      <c r="AD1081" s="82">
        <f t="shared" si="52"/>
        <v>20.321428571428573</v>
      </c>
      <c r="AE1081" s="218">
        <v>-4.9889003384003656E-2</v>
      </c>
      <c r="AF1081">
        <v>1</v>
      </c>
      <c r="AH1081" t="str">
        <f t="shared" si="53"/>
        <v>Asarganj</v>
      </c>
      <c r="AJ1081" s="72">
        <v>0</v>
      </c>
      <c r="AK1081" s="72"/>
      <c r="AL1081" s="72"/>
      <c r="AM1081" s="72"/>
    </row>
    <row r="1082" spans="1:39" x14ac:dyDescent="0.25">
      <c r="A1082" s="37" t="s">
        <v>62</v>
      </c>
      <c r="B1082" s="66" t="s">
        <v>1615</v>
      </c>
      <c r="C1082" s="41">
        <v>1003</v>
      </c>
      <c r="D1082" s="41" t="s">
        <v>139</v>
      </c>
      <c r="E1082" s="41">
        <v>10030088</v>
      </c>
      <c r="F1082" s="85" t="s">
        <v>1577</v>
      </c>
      <c r="G1082" s="39" t="s">
        <v>93</v>
      </c>
      <c r="H1082" s="52" t="s">
        <v>94</v>
      </c>
      <c r="I1082" s="52">
        <v>200.5</v>
      </c>
      <c r="J1082" s="49">
        <v>8391.2099999999991</v>
      </c>
      <c r="K1082" s="58">
        <v>199.6</v>
      </c>
      <c r="L1082" s="58">
        <v>8231.5040830524013</v>
      </c>
      <c r="M1082" s="58">
        <v>0</v>
      </c>
      <c r="N1082" s="58">
        <v>0</v>
      </c>
      <c r="O1082" s="65">
        <v>199.6</v>
      </c>
      <c r="P1082" s="65">
        <v>8231.5040830524013</v>
      </c>
      <c r="Q1082" s="50">
        <v>8231.5040830524013</v>
      </c>
      <c r="R1082" s="65">
        <v>0</v>
      </c>
      <c r="S1082" s="65">
        <v>0</v>
      </c>
      <c r="T1082" s="65">
        <v>0</v>
      </c>
      <c r="U1082" s="65">
        <v>0</v>
      </c>
      <c r="V1082" s="65">
        <v>0</v>
      </c>
      <c r="W1082" s="65">
        <v>0</v>
      </c>
      <c r="X1082" s="65">
        <v>8232</v>
      </c>
      <c r="Y1082" s="65">
        <v>0</v>
      </c>
      <c r="Z1082" s="65">
        <v>0</v>
      </c>
      <c r="AA1082" s="51">
        <v>159</v>
      </c>
      <c r="AB1082" s="102">
        <v>0</v>
      </c>
      <c r="AC1082" s="81">
        <f t="shared" si="51"/>
        <v>418.09570024937653</v>
      </c>
      <c r="AD1082" s="82">
        <f t="shared" si="52"/>
        <v>28.642857142857142</v>
      </c>
      <c r="AE1082" s="218">
        <v>1.9032525338729206E-2</v>
      </c>
      <c r="AF1082">
        <v>1</v>
      </c>
      <c r="AH1082" t="str">
        <f t="shared" si="53"/>
        <v>Asarganj</v>
      </c>
      <c r="AJ1082" s="72">
        <v>0</v>
      </c>
      <c r="AK1082" s="72"/>
      <c r="AL1082" s="72"/>
      <c r="AM1082" s="72"/>
    </row>
    <row r="1083" spans="1:39" x14ac:dyDescent="0.25">
      <c r="A1083" s="37" t="s">
        <v>62</v>
      </c>
      <c r="B1083" s="66" t="s">
        <v>1615</v>
      </c>
      <c r="C1083" s="41">
        <v>1003</v>
      </c>
      <c r="D1083" s="41" t="s">
        <v>139</v>
      </c>
      <c r="E1083" s="41">
        <v>10030089</v>
      </c>
      <c r="F1083" s="85" t="s">
        <v>1578</v>
      </c>
      <c r="G1083" s="39" t="s">
        <v>93</v>
      </c>
      <c r="H1083" s="52" t="s">
        <v>94</v>
      </c>
      <c r="I1083" s="52">
        <v>750.09999999999991</v>
      </c>
      <c r="J1083" s="49">
        <v>33499.920000000006</v>
      </c>
      <c r="K1083" s="58">
        <v>997.54000000000042</v>
      </c>
      <c r="L1083" s="58">
        <v>43454.076615989041</v>
      </c>
      <c r="M1083" s="58">
        <v>0</v>
      </c>
      <c r="N1083" s="58">
        <v>0</v>
      </c>
      <c r="O1083" s="65">
        <v>997.54000000000042</v>
      </c>
      <c r="P1083" s="65">
        <v>43454.076615989041</v>
      </c>
      <c r="Q1083" s="50">
        <v>33499.920000000006</v>
      </c>
      <c r="R1083" s="65">
        <v>0</v>
      </c>
      <c r="S1083" s="65">
        <v>0</v>
      </c>
      <c r="T1083" s="65">
        <v>9954.1566159890353</v>
      </c>
      <c r="U1083" s="65">
        <v>0</v>
      </c>
      <c r="V1083" s="65">
        <v>0</v>
      </c>
      <c r="W1083" s="65">
        <v>0</v>
      </c>
      <c r="X1083" s="65">
        <v>33500</v>
      </c>
      <c r="Y1083" s="65">
        <v>0</v>
      </c>
      <c r="Z1083" s="65">
        <v>0</v>
      </c>
      <c r="AA1083" s="51">
        <v>0</v>
      </c>
      <c r="AB1083" s="102">
        <v>0</v>
      </c>
      <c r="AC1083" s="81">
        <f t="shared" si="51"/>
        <v>0</v>
      </c>
      <c r="AD1083" s="82">
        <f t="shared" si="52"/>
        <v>0</v>
      </c>
      <c r="AE1083" s="218">
        <v>-0.29713971304973369</v>
      </c>
      <c r="AF1083">
        <v>2</v>
      </c>
      <c r="AH1083" t="str">
        <f t="shared" si="53"/>
        <v>Asarganj</v>
      </c>
      <c r="AJ1083" s="72">
        <v>0</v>
      </c>
      <c r="AK1083" s="72"/>
      <c r="AL1083" s="72"/>
      <c r="AM1083" s="72"/>
    </row>
    <row r="1084" spans="1:39" x14ac:dyDescent="0.25">
      <c r="A1084" s="37" t="s">
        <v>62</v>
      </c>
      <c r="B1084" s="66" t="s">
        <v>1615</v>
      </c>
      <c r="C1084" s="41">
        <v>1003</v>
      </c>
      <c r="D1084" s="41" t="s">
        <v>139</v>
      </c>
      <c r="E1084" s="41">
        <v>10030090</v>
      </c>
      <c r="F1084" s="85" t="s">
        <v>1579</v>
      </c>
      <c r="G1084" s="39" t="s">
        <v>93</v>
      </c>
      <c r="H1084" s="52" t="s">
        <v>94</v>
      </c>
      <c r="I1084" s="52">
        <v>84.149999999999991</v>
      </c>
      <c r="J1084" s="49">
        <v>3071.7500000000005</v>
      </c>
      <c r="K1084" s="58">
        <v>67.830000000000013</v>
      </c>
      <c r="L1084" s="58">
        <v>2409.8960713608003</v>
      </c>
      <c r="M1084" s="58">
        <v>0</v>
      </c>
      <c r="N1084" s="58">
        <v>0</v>
      </c>
      <c r="O1084" s="65">
        <v>67.830000000000013</v>
      </c>
      <c r="P1084" s="65">
        <v>2409.8960713608003</v>
      </c>
      <c r="Q1084" s="50">
        <v>2409.8960713608003</v>
      </c>
      <c r="R1084" s="65">
        <v>0</v>
      </c>
      <c r="S1084" s="65">
        <v>0</v>
      </c>
      <c r="T1084" s="65">
        <v>0</v>
      </c>
      <c r="U1084" s="65">
        <v>0</v>
      </c>
      <c r="V1084" s="65">
        <v>0</v>
      </c>
      <c r="W1084" s="65">
        <v>0</v>
      </c>
      <c r="X1084" s="65">
        <v>2410</v>
      </c>
      <c r="Y1084" s="65">
        <v>0</v>
      </c>
      <c r="Z1084" s="65">
        <v>0</v>
      </c>
      <c r="AA1084" s="51">
        <v>662</v>
      </c>
      <c r="AB1084" s="102">
        <v>0</v>
      </c>
      <c r="AC1084" s="81">
        <f t="shared" si="51"/>
        <v>449.61075163398704</v>
      </c>
      <c r="AD1084" s="82">
        <f t="shared" si="52"/>
        <v>12.02142857142857</v>
      </c>
      <c r="AE1084" s="218">
        <v>0.21546477696401076</v>
      </c>
      <c r="AF1084">
        <v>1</v>
      </c>
      <c r="AH1084" t="str">
        <f t="shared" si="53"/>
        <v>Asarganj</v>
      </c>
      <c r="AJ1084" s="72">
        <v>0</v>
      </c>
      <c r="AK1084" s="72"/>
      <c r="AL1084" s="72"/>
      <c r="AM1084" s="72"/>
    </row>
    <row r="1085" spans="1:39" x14ac:dyDescent="0.25">
      <c r="A1085" s="37" t="s">
        <v>62</v>
      </c>
      <c r="B1085" s="66" t="s">
        <v>1615</v>
      </c>
      <c r="C1085" s="41">
        <v>1006</v>
      </c>
      <c r="D1085" s="41" t="s">
        <v>183</v>
      </c>
      <c r="E1085" s="41">
        <v>10060002</v>
      </c>
      <c r="F1085" s="85" t="s">
        <v>825</v>
      </c>
      <c r="G1085" s="39" t="s">
        <v>635</v>
      </c>
      <c r="H1085" s="52" t="s">
        <v>99</v>
      </c>
      <c r="I1085" s="52">
        <v>1331.3</v>
      </c>
      <c r="J1085" s="49">
        <v>51346.02</v>
      </c>
      <c r="K1085" s="58">
        <v>0</v>
      </c>
      <c r="L1085" s="58">
        <v>0</v>
      </c>
      <c r="M1085" s="58">
        <v>0</v>
      </c>
      <c r="N1085" s="58">
        <v>0</v>
      </c>
      <c r="O1085" s="65">
        <v>0</v>
      </c>
      <c r="P1085" s="65">
        <v>0</v>
      </c>
      <c r="Q1085" s="50">
        <v>51346.02</v>
      </c>
      <c r="R1085" s="65">
        <v>0</v>
      </c>
      <c r="S1085" s="65">
        <v>0</v>
      </c>
      <c r="T1085" s="65">
        <v>0</v>
      </c>
      <c r="U1085" s="65">
        <v>0</v>
      </c>
      <c r="V1085" s="65">
        <v>0</v>
      </c>
      <c r="W1085" s="65">
        <v>0</v>
      </c>
      <c r="X1085" s="65">
        <v>0</v>
      </c>
      <c r="Y1085" s="65">
        <v>0</v>
      </c>
      <c r="Z1085" s="65">
        <v>51346.02</v>
      </c>
      <c r="AA1085" s="51">
        <v>0</v>
      </c>
      <c r="AB1085" s="102">
        <v>0</v>
      </c>
      <c r="AC1085" s="81">
        <f t="shared" si="51"/>
        <v>0</v>
      </c>
      <c r="AD1085" s="82">
        <f t="shared" si="52"/>
        <v>0</v>
      </c>
      <c r="AE1085" s="218">
        <v>0</v>
      </c>
      <c r="AF1085">
        <v>0</v>
      </c>
      <c r="AH1085" t="str">
        <f t="shared" si="53"/>
        <v>Sonvarsha</v>
      </c>
      <c r="AJ1085" s="72">
        <v>0</v>
      </c>
      <c r="AK1085" s="72"/>
      <c r="AL1085" s="72"/>
      <c r="AM1085" s="72"/>
    </row>
    <row r="1086" spans="1:39" x14ac:dyDescent="0.25">
      <c r="A1086" s="37" t="s">
        <v>62</v>
      </c>
      <c r="B1086" s="66" t="s">
        <v>1615</v>
      </c>
      <c r="C1086" s="41">
        <v>1006</v>
      </c>
      <c r="D1086" s="41" t="s">
        <v>183</v>
      </c>
      <c r="E1086" s="41">
        <v>10060003</v>
      </c>
      <c r="F1086" s="85" t="s">
        <v>184</v>
      </c>
      <c r="G1086" s="39" t="s">
        <v>635</v>
      </c>
      <c r="H1086" s="52" t="s">
        <v>99</v>
      </c>
      <c r="I1086" s="52">
        <v>1742.7</v>
      </c>
      <c r="J1086" s="49">
        <v>64097.4</v>
      </c>
      <c r="K1086" s="58">
        <v>0</v>
      </c>
      <c r="L1086" s="58">
        <v>0</v>
      </c>
      <c r="M1086" s="58">
        <v>0</v>
      </c>
      <c r="N1086" s="58">
        <v>0</v>
      </c>
      <c r="O1086" s="65">
        <v>0</v>
      </c>
      <c r="P1086" s="65">
        <v>0</v>
      </c>
      <c r="Q1086" s="50">
        <v>64097.4</v>
      </c>
      <c r="R1086" s="65">
        <v>0</v>
      </c>
      <c r="S1086" s="65">
        <v>0</v>
      </c>
      <c r="T1086" s="65">
        <v>0</v>
      </c>
      <c r="U1086" s="65">
        <v>0</v>
      </c>
      <c r="V1086" s="65">
        <v>0</v>
      </c>
      <c r="W1086" s="65">
        <v>0</v>
      </c>
      <c r="X1086" s="65">
        <v>0</v>
      </c>
      <c r="Y1086" s="65">
        <v>0</v>
      </c>
      <c r="Z1086" s="65">
        <v>64097.4</v>
      </c>
      <c r="AA1086" s="51">
        <v>0</v>
      </c>
      <c r="AB1086" s="102">
        <v>0</v>
      </c>
      <c r="AC1086" s="81">
        <f t="shared" si="51"/>
        <v>0</v>
      </c>
      <c r="AD1086" s="82">
        <f t="shared" si="52"/>
        <v>0</v>
      </c>
      <c r="AE1086" s="218">
        <v>0</v>
      </c>
      <c r="AF1086">
        <v>0</v>
      </c>
      <c r="AH1086" t="str">
        <f t="shared" si="53"/>
        <v>Sonvarsha</v>
      </c>
      <c r="AJ1086" s="72">
        <v>0</v>
      </c>
      <c r="AK1086" s="72"/>
      <c r="AL1086" s="72"/>
      <c r="AM1086" s="72"/>
    </row>
    <row r="1087" spans="1:39" x14ac:dyDescent="0.25">
      <c r="A1087" s="37" t="s">
        <v>62</v>
      </c>
      <c r="B1087" s="66" t="s">
        <v>1615</v>
      </c>
      <c r="C1087" s="41">
        <v>1006</v>
      </c>
      <c r="D1087" s="41" t="s">
        <v>183</v>
      </c>
      <c r="E1087" s="41">
        <v>10060004</v>
      </c>
      <c r="F1087" s="85" t="s">
        <v>185</v>
      </c>
      <c r="G1087" s="39" t="s">
        <v>635</v>
      </c>
      <c r="H1087" s="52" t="s">
        <v>99</v>
      </c>
      <c r="I1087" s="52">
        <v>3292.5</v>
      </c>
      <c r="J1087" s="49">
        <v>124147.12999999998</v>
      </c>
      <c r="K1087" s="58">
        <v>0</v>
      </c>
      <c r="L1087" s="58">
        <v>0</v>
      </c>
      <c r="M1087" s="58">
        <v>0</v>
      </c>
      <c r="N1087" s="58">
        <v>0</v>
      </c>
      <c r="O1087" s="65">
        <v>0</v>
      </c>
      <c r="P1087" s="65">
        <v>0</v>
      </c>
      <c r="Q1087" s="50">
        <v>124147.12999999998</v>
      </c>
      <c r="R1087" s="65">
        <v>0</v>
      </c>
      <c r="S1087" s="65">
        <v>0</v>
      </c>
      <c r="T1087" s="65">
        <v>0</v>
      </c>
      <c r="U1087" s="65">
        <v>1300</v>
      </c>
      <c r="V1087" s="65">
        <v>0</v>
      </c>
      <c r="W1087" s="65">
        <v>0</v>
      </c>
      <c r="X1087" s="65">
        <v>0</v>
      </c>
      <c r="Y1087" s="65">
        <v>0</v>
      </c>
      <c r="Z1087" s="65">
        <v>122847.12999999998</v>
      </c>
      <c r="AA1087" s="51">
        <v>0</v>
      </c>
      <c r="AB1087" s="102">
        <v>0</v>
      </c>
      <c r="AC1087" s="81">
        <f t="shared" si="51"/>
        <v>0</v>
      </c>
      <c r="AD1087" s="82">
        <f t="shared" si="52"/>
        <v>0</v>
      </c>
      <c r="AE1087" s="218">
        <v>0</v>
      </c>
      <c r="AF1087">
        <v>0</v>
      </c>
      <c r="AH1087" t="str">
        <f t="shared" si="53"/>
        <v>Sonvarsha</v>
      </c>
      <c r="AJ1087" s="72">
        <v>0</v>
      </c>
      <c r="AK1087" s="72"/>
      <c r="AL1087" s="72"/>
      <c r="AM1087" s="72"/>
    </row>
    <row r="1088" spans="1:39" x14ac:dyDescent="0.25">
      <c r="A1088" s="37" t="s">
        <v>62</v>
      </c>
      <c r="B1088" s="66" t="s">
        <v>1615</v>
      </c>
      <c r="C1088" s="41">
        <v>1006</v>
      </c>
      <c r="D1088" s="41" t="s">
        <v>183</v>
      </c>
      <c r="E1088" s="41">
        <v>10060005</v>
      </c>
      <c r="F1088" s="85" t="s">
        <v>186</v>
      </c>
      <c r="G1088" s="39" t="s">
        <v>635</v>
      </c>
      <c r="H1088" s="52" t="s">
        <v>99</v>
      </c>
      <c r="I1088" s="52">
        <v>1236.6999999999998</v>
      </c>
      <c r="J1088" s="49">
        <v>46826.84</v>
      </c>
      <c r="K1088" s="58">
        <v>0</v>
      </c>
      <c r="L1088" s="58">
        <v>0</v>
      </c>
      <c r="M1088" s="58">
        <v>0</v>
      </c>
      <c r="N1088" s="58">
        <v>0</v>
      </c>
      <c r="O1088" s="65">
        <v>0</v>
      </c>
      <c r="P1088" s="65">
        <v>0</v>
      </c>
      <c r="Q1088" s="50">
        <v>46826.84</v>
      </c>
      <c r="R1088" s="65">
        <v>0</v>
      </c>
      <c r="S1088" s="65">
        <v>0</v>
      </c>
      <c r="T1088" s="65">
        <v>0</v>
      </c>
      <c r="U1088" s="65">
        <v>6500</v>
      </c>
      <c r="V1088" s="65">
        <v>0</v>
      </c>
      <c r="W1088" s="65">
        <v>0</v>
      </c>
      <c r="X1088" s="65">
        <v>0</v>
      </c>
      <c r="Y1088" s="65">
        <v>0</v>
      </c>
      <c r="Z1088" s="65">
        <v>40326.839999999997</v>
      </c>
      <c r="AA1088" s="51">
        <v>0</v>
      </c>
      <c r="AB1088" s="102">
        <v>0</v>
      </c>
      <c r="AC1088" s="81">
        <f t="shared" si="51"/>
        <v>0</v>
      </c>
      <c r="AD1088" s="82">
        <f t="shared" si="52"/>
        <v>0</v>
      </c>
      <c r="AE1088" s="218">
        <v>0</v>
      </c>
      <c r="AF1088">
        <v>0</v>
      </c>
      <c r="AH1088" t="str">
        <f t="shared" si="53"/>
        <v>Sonvarsha</v>
      </c>
      <c r="AJ1088" s="72">
        <v>0</v>
      </c>
      <c r="AK1088" s="72"/>
      <c r="AL1088" s="72"/>
      <c r="AM1088" s="72"/>
    </row>
    <row r="1089" spans="1:39" x14ac:dyDescent="0.25">
      <c r="A1089" s="37" t="s">
        <v>62</v>
      </c>
      <c r="B1089" s="66" t="s">
        <v>1615</v>
      </c>
      <c r="C1089" s="41">
        <v>1006</v>
      </c>
      <c r="D1089" s="41" t="s">
        <v>183</v>
      </c>
      <c r="E1089" s="41">
        <v>10060007</v>
      </c>
      <c r="F1089" s="85" t="s">
        <v>187</v>
      </c>
      <c r="G1089" s="39" t="s">
        <v>635</v>
      </c>
      <c r="H1089" s="52" t="s">
        <v>99</v>
      </c>
      <c r="I1089" s="52">
        <v>958.69999999999993</v>
      </c>
      <c r="J1089" s="49">
        <v>34149.950000000004</v>
      </c>
      <c r="K1089" s="58">
        <v>0</v>
      </c>
      <c r="L1089" s="58">
        <v>0</v>
      </c>
      <c r="M1089" s="58">
        <v>0</v>
      </c>
      <c r="N1089" s="58">
        <v>0</v>
      </c>
      <c r="O1089" s="65">
        <v>0</v>
      </c>
      <c r="P1089" s="65">
        <v>0</v>
      </c>
      <c r="Q1089" s="50">
        <v>34149.950000000004</v>
      </c>
      <c r="R1089" s="65">
        <v>0</v>
      </c>
      <c r="S1089" s="65">
        <v>0</v>
      </c>
      <c r="T1089" s="65">
        <v>0</v>
      </c>
      <c r="U1089" s="65">
        <v>0</v>
      </c>
      <c r="V1089" s="65">
        <v>0</v>
      </c>
      <c r="W1089" s="65">
        <v>0</v>
      </c>
      <c r="X1089" s="65">
        <v>0</v>
      </c>
      <c r="Y1089" s="65">
        <v>0</v>
      </c>
      <c r="Z1089" s="65">
        <v>34149.950000000004</v>
      </c>
      <c r="AA1089" s="51">
        <v>0</v>
      </c>
      <c r="AB1089" s="102">
        <v>0</v>
      </c>
      <c r="AC1089" s="81">
        <f t="shared" si="51"/>
        <v>0</v>
      </c>
      <c r="AD1089" s="82">
        <f t="shared" si="52"/>
        <v>0</v>
      </c>
      <c r="AE1089" s="218">
        <v>0</v>
      </c>
      <c r="AF1089">
        <v>0</v>
      </c>
      <c r="AH1089" t="str">
        <f t="shared" si="53"/>
        <v>Sonvarsha</v>
      </c>
      <c r="AJ1089" s="72">
        <v>0</v>
      </c>
      <c r="AK1089" s="72"/>
      <c r="AL1089" s="72"/>
      <c r="AM1089" s="72"/>
    </row>
    <row r="1090" spans="1:39" x14ac:dyDescent="0.25">
      <c r="A1090" s="37" t="s">
        <v>62</v>
      </c>
      <c r="B1090" s="66" t="s">
        <v>1615</v>
      </c>
      <c r="C1090" s="41">
        <v>1006</v>
      </c>
      <c r="D1090" s="41" t="s">
        <v>183</v>
      </c>
      <c r="E1090" s="41">
        <v>10060008</v>
      </c>
      <c r="F1090" s="85" t="s">
        <v>188</v>
      </c>
      <c r="G1090" s="39" t="s">
        <v>635</v>
      </c>
      <c r="H1090" s="52" t="s">
        <v>99</v>
      </c>
      <c r="I1090" s="52">
        <v>559.49999999999989</v>
      </c>
      <c r="J1090" s="49">
        <v>20719.079999999998</v>
      </c>
      <c r="K1090" s="58">
        <v>0</v>
      </c>
      <c r="L1090" s="58">
        <v>0</v>
      </c>
      <c r="M1090" s="58">
        <v>0</v>
      </c>
      <c r="N1090" s="58">
        <v>0</v>
      </c>
      <c r="O1090" s="65">
        <v>0</v>
      </c>
      <c r="P1090" s="65">
        <v>0</v>
      </c>
      <c r="Q1090" s="50">
        <v>20719.079999999998</v>
      </c>
      <c r="R1090" s="65">
        <v>0</v>
      </c>
      <c r="S1090" s="65">
        <v>0</v>
      </c>
      <c r="T1090" s="65">
        <v>0</v>
      </c>
      <c r="U1090" s="65">
        <v>0</v>
      </c>
      <c r="V1090" s="65">
        <v>0</v>
      </c>
      <c r="W1090" s="65">
        <v>0</v>
      </c>
      <c r="X1090" s="65">
        <v>0</v>
      </c>
      <c r="Y1090" s="65">
        <v>0</v>
      </c>
      <c r="Z1090" s="65">
        <v>20719.079999999998</v>
      </c>
      <c r="AA1090" s="51">
        <v>0</v>
      </c>
      <c r="AB1090" s="102">
        <v>0</v>
      </c>
      <c r="AC1090" s="81">
        <f t="shared" si="51"/>
        <v>104.05829276139417</v>
      </c>
      <c r="AD1090" s="82">
        <f t="shared" si="52"/>
        <v>79.928571428571416</v>
      </c>
      <c r="AE1090" s="218">
        <v>0</v>
      </c>
      <c r="AF1090">
        <v>0</v>
      </c>
      <c r="AH1090" t="str">
        <f t="shared" si="53"/>
        <v>Sonvarsha</v>
      </c>
      <c r="AJ1090" s="72">
        <v>0</v>
      </c>
      <c r="AK1090" s="72"/>
      <c r="AL1090" s="72"/>
      <c r="AM1090" s="72"/>
    </row>
    <row r="1091" spans="1:39" x14ac:dyDescent="0.25">
      <c r="A1091" s="37" t="s">
        <v>62</v>
      </c>
      <c r="B1091" s="66" t="s">
        <v>1615</v>
      </c>
      <c r="C1091" s="41">
        <v>1006</v>
      </c>
      <c r="D1091" s="41" t="s">
        <v>183</v>
      </c>
      <c r="E1091" s="41">
        <v>10060009</v>
      </c>
      <c r="F1091" s="85" t="s">
        <v>189</v>
      </c>
      <c r="G1091" s="39" t="s">
        <v>635</v>
      </c>
      <c r="H1091" s="52" t="s">
        <v>99</v>
      </c>
      <c r="I1091" s="52">
        <v>1810.8999999999999</v>
      </c>
      <c r="J1091" s="49">
        <v>72187.61</v>
      </c>
      <c r="K1091" s="58">
        <v>0</v>
      </c>
      <c r="L1091" s="58">
        <v>0</v>
      </c>
      <c r="M1091" s="58">
        <v>0</v>
      </c>
      <c r="N1091" s="58">
        <v>0</v>
      </c>
      <c r="O1091" s="65">
        <v>0</v>
      </c>
      <c r="P1091" s="65">
        <v>0</v>
      </c>
      <c r="Q1091" s="50">
        <v>72187.61</v>
      </c>
      <c r="R1091" s="65">
        <v>0</v>
      </c>
      <c r="S1091" s="65">
        <v>0</v>
      </c>
      <c r="T1091" s="65">
        <v>0</v>
      </c>
      <c r="U1091" s="65">
        <v>23000</v>
      </c>
      <c r="V1091" s="65">
        <v>0</v>
      </c>
      <c r="W1091" s="65">
        <v>0</v>
      </c>
      <c r="X1091" s="65">
        <v>0</v>
      </c>
      <c r="Y1091" s="65">
        <v>0</v>
      </c>
      <c r="Z1091" s="65">
        <v>49187.61</v>
      </c>
      <c r="AA1091" s="51">
        <v>0</v>
      </c>
      <c r="AB1091" s="102">
        <v>0</v>
      </c>
      <c r="AC1091" s="81">
        <f t="shared" ref="AC1091:AC1154" si="54">((IF(AD1091=0,0,100-AD1091))*7*(J1091/I1091))*2%</f>
        <v>0</v>
      </c>
      <c r="AD1091" s="82">
        <f t="shared" ref="AD1091:AD1154" si="55">IF((I1091/7)&gt;100,0,(I1091/7))</f>
        <v>0</v>
      </c>
      <c r="AE1091" s="218">
        <v>0</v>
      </c>
      <c r="AF1091">
        <v>0</v>
      </c>
      <c r="AH1091" t="str">
        <f t="shared" si="53"/>
        <v>Sonvarsha</v>
      </c>
      <c r="AJ1091" s="72">
        <v>0</v>
      </c>
      <c r="AK1091" s="72"/>
      <c r="AL1091" s="72"/>
      <c r="AM1091" s="72"/>
    </row>
    <row r="1092" spans="1:39" x14ac:dyDescent="0.25">
      <c r="A1092" s="37" t="s">
        <v>62</v>
      </c>
      <c r="B1092" s="66" t="s">
        <v>1615</v>
      </c>
      <c r="C1092" s="41">
        <v>1006</v>
      </c>
      <c r="D1092" s="41" t="s">
        <v>183</v>
      </c>
      <c r="E1092" s="41">
        <v>10060010</v>
      </c>
      <c r="F1092" s="85" t="s">
        <v>190</v>
      </c>
      <c r="G1092" s="39" t="s">
        <v>635</v>
      </c>
      <c r="H1092" s="52" t="s">
        <v>99</v>
      </c>
      <c r="I1092" s="52">
        <v>1542.1</v>
      </c>
      <c r="J1092" s="49">
        <v>60021.720000000008</v>
      </c>
      <c r="K1092" s="58">
        <v>0</v>
      </c>
      <c r="L1092" s="58">
        <v>0</v>
      </c>
      <c r="M1092" s="58">
        <v>0</v>
      </c>
      <c r="N1092" s="58">
        <v>0</v>
      </c>
      <c r="O1092" s="65">
        <v>0</v>
      </c>
      <c r="P1092" s="65">
        <v>0</v>
      </c>
      <c r="Q1092" s="50">
        <v>60021.720000000008</v>
      </c>
      <c r="R1092" s="65">
        <v>0</v>
      </c>
      <c r="S1092" s="65">
        <v>0</v>
      </c>
      <c r="T1092" s="65">
        <v>0</v>
      </c>
      <c r="U1092" s="65">
        <v>0</v>
      </c>
      <c r="V1092" s="65">
        <v>0</v>
      </c>
      <c r="W1092" s="65">
        <v>0</v>
      </c>
      <c r="X1092" s="65">
        <v>0</v>
      </c>
      <c r="Y1092" s="65">
        <v>0</v>
      </c>
      <c r="Z1092" s="65">
        <v>60021.720000000008</v>
      </c>
      <c r="AA1092" s="51">
        <v>0</v>
      </c>
      <c r="AB1092" s="102">
        <v>0</v>
      </c>
      <c r="AC1092" s="81">
        <f t="shared" si="54"/>
        <v>0</v>
      </c>
      <c r="AD1092" s="82">
        <f t="shared" si="55"/>
        <v>0</v>
      </c>
      <c r="AE1092" s="218">
        <v>0</v>
      </c>
      <c r="AF1092">
        <v>0</v>
      </c>
      <c r="AH1092" t="str">
        <f t="shared" si="53"/>
        <v>Sonvarsha</v>
      </c>
      <c r="AJ1092" s="72">
        <v>0</v>
      </c>
      <c r="AK1092" s="72"/>
      <c r="AL1092" s="72"/>
      <c r="AM1092" s="72"/>
    </row>
    <row r="1093" spans="1:39" x14ac:dyDescent="0.25">
      <c r="A1093" s="37" t="s">
        <v>62</v>
      </c>
      <c r="B1093" s="66" t="s">
        <v>1615</v>
      </c>
      <c r="C1093" s="41">
        <v>1059</v>
      </c>
      <c r="D1093" s="41" t="s">
        <v>1347</v>
      </c>
      <c r="E1093" s="41">
        <v>10060011</v>
      </c>
      <c r="F1093" s="85" t="s">
        <v>191</v>
      </c>
      <c r="G1093" s="39" t="s">
        <v>93</v>
      </c>
      <c r="H1093" s="52" t="s">
        <v>94</v>
      </c>
      <c r="I1093" s="52">
        <v>438.5</v>
      </c>
      <c r="J1093" s="49">
        <v>20494.599999999999</v>
      </c>
      <c r="K1093" s="58">
        <v>433.46000000000004</v>
      </c>
      <c r="L1093" s="58">
        <v>19892.767471817097</v>
      </c>
      <c r="M1093" s="58">
        <v>9.1999999999999993</v>
      </c>
      <c r="N1093" s="58">
        <v>404.70652490399999</v>
      </c>
      <c r="O1093" s="65">
        <v>442.66</v>
      </c>
      <c r="P1093" s="65">
        <v>20297.473996721095</v>
      </c>
      <c r="Q1093" s="50">
        <v>20297.473996721095</v>
      </c>
      <c r="R1093" s="65">
        <v>0</v>
      </c>
      <c r="S1093" s="65">
        <v>404.70652490399999</v>
      </c>
      <c r="T1093" s="65">
        <v>0</v>
      </c>
      <c r="U1093" s="65">
        <v>0</v>
      </c>
      <c r="V1093" s="65">
        <v>0</v>
      </c>
      <c r="W1093" s="65">
        <v>0</v>
      </c>
      <c r="X1093" s="65">
        <v>19894</v>
      </c>
      <c r="Y1093" s="65">
        <v>0</v>
      </c>
      <c r="Z1093" s="65">
        <v>0</v>
      </c>
      <c r="AA1093" s="51">
        <v>196</v>
      </c>
      <c r="AB1093" s="102">
        <v>0</v>
      </c>
      <c r="AC1093" s="81">
        <f t="shared" si="54"/>
        <v>244.43958494868872</v>
      </c>
      <c r="AD1093" s="82">
        <f t="shared" si="55"/>
        <v>62.642857142857146</v>
      </c>
      <c r="AE1093" s="218">
        <v>9.6184362358330121E-3</v>
      </c>
      <c r="AF1093">
        <v>25</v>
      </c>
      <c r="AH1093" t="str">
        <f t="shared" si="53"/>
        <v>Gopalpur Bmc</v>
      </c>
      <c r="AJ1093" s="72">
        <v>0</v>
      </c>
      <c r="AK1093" s="72"/>
      <c r="AL1093" s="72"/>
      <c r="AM1093" s="72"/>
    </row>
    <row r="1094" spans="1:39" x14ac:dyDescent="0.25">
      <c r="A1094" s="37" t="s">
        <v>62</v>
      </c>
      <c r="B1094" s="66" t="s">
        <v>1615</v>
      </c>
      <c r="C1094" s="41">
        <v>1006</v>
      </c>
      <c r="D1094" s="41" t="s">
        <v>183</v>
      </c>
      <c r="E1094" s="41">
        <v>10060014</v>
      </c>
      <c r="F1094" s="85" t="s">
        <v>192</v>
      </c>
      <c r="G1094" s="39" t="s">
        <v>635</v>
      </c>
      <c r="H1094" s="52" t="s">
        <v>99</v>
      </c>
      <c r="I1094" s="52">
        <v>171.60000000000002</v>
      </c>
      <c r="J1094" s="49">
        <v>6399.0599999999995</v>
      </c>
      <c r="K1094" s="58">
        <v>0</v>
      </c>
      <c r="L1094" s="58">
        <v>0</v>
      </c>
      <c r="M1094" s="58">
        <v>0</v>
      </c>
      <c r="N1094" s="58">
        <v>0</v>
      </c>
      <c r="O1094" s="65">
        <v>0</v>
      </c>
      <c r="P1094" s="65">
        <v>0</v>
      </c>
      <c r="Q1094" s="50">
        <v>6399.0599999999995</v>
      </c>
      <c r="R1094" s="65">
        <v>0</v>
      </c>
      <c r="S1094" s="65">
        <v>0</v>
      </c>
      <c r="T1094" s="65">
        <v>0</v>
      </c>
      <c r="U1094" s="65">
        <v>0</v>
      </c>
      <c r="V1094" s="65">
        <v>738.58575483870959</v>
      </c>
      <c r="W1094" s="65">
        <v>0</v>
      </c>
      <c r="X1094" s="65">
        <v>0</v>
      </c>
      <c r="Y1094" s="65">
        <v>0</v>
      </c>
      <c r="Z1094" s="65">
        <v>5660.4742451612901</v>
      </c>
      <c r="AA1094" s="51">
        <v>0</v>
      </c>
      <c r="AB1094" s="102">
        <v>0</v>
      </c>
      <c r="AC1094" s="81">
        <f t="shared" si="54"/>
        <v>394.08663216783208</v>
      </c>
      <c r="AD1094" s="82">
        <f t="shared" si="55"/>
        <v>24.514285714285716</v>
      </c>
      <c r="AE1094" s="218">
        <v>0</v>
      </c>
      <c r="AF1094">
        <v>0</v>
      </c>
      <c r="AH1094" t="str">
        <f t="shared" si="53"/>
        <v>Sonvarsha</v>
      </c>
      <c r="AJ1094" s="72">
        <v>0</v>
      </c>
      <c r="AK1094" s="72"/>
      <c r="AL1094" s="72"/>
      <c r="AM1094" s="72"/>
    </row>
    <row r="1095" spans="1:39" x14ac:dyDescent="0.25">
      <c r="A1095" s="37" t="s">
        <v>62</v>
      </c>
      <c r="B1095" s="66" t="s">
        <v>1615</v>
      </c>
      <c r="C1095" s="41">
        <v>1006</v>
      </c>
      <c r="D1095" s="41" t="s">
        <v>183</v>
      </c>
      <c r="E1095" s="41">
        <v>10060020</v>
      </c>
      <c r="F1095" s="85" t="s">
        <v>194</v>
      </c>
      <c r="G1095" s="39" t="s">
        <v>635</v>
      </c>
      <c r="H1095" s="52" t="s">
        <v>99</v>
      </c>
      <c r="I1095" s="52">
        <v>533.99999999999989</v>
      </c>
      <c r="J1095" s="49">
        <v>19435.54</v>
      </c>
      <c r="K1095" s="58">
        <v>0</v>
      </c>
      <c r="L1095" s="58">
        <v>0</v>
      </c>
      <c r="M1095" s="58">
        <v>0</v>
      </c>
      <c r="N1095" s="58">
        <v>0</v>
      </c>
      <c r="O1095" s="65">
        <v>0</v>
      </c>
      <c r="P1095" s="65">
        <v>0</v>
      </c>
      <c r="Q1095" s="50">
        <v>19435.54</v>
      </c>
      <c r="R1095" s="65">
        <v>0</v>
      </c>
      <c r="S1095" s="65">
        <v>0</v>
      </c>
      <c r="T1095" s="65">
        <v>0</v>
      </c>
      <c r="U1095" s="65">
        <v>0</v>
      </c>
      <c r="V1095" s="65">
        <v>1767.3404516129035</v>
      </c>
      <c r="W1095" s="65">
        <v>0</v>
      </c>
      <c r="X1095" s="65">
        <v>0</v>
      </c>
      <c r="Y1095" s="65">
        <v>0</v>
      </c>
      <c r="Z1095" s="65">
        <v>17668.199548387096</v>
      </c>
      <c r="AA1095" s="51">
        <v>0</v>
      </c>
      <c r="AB1095" s="102">
        <v>0</v>
      </c>
      <c r="AC1095" s="81">
        <f t="shared" si="54"/>
        <v>120.83519250936347</v>
      </c>
      <c r="AD1095" s="82">
        <f t="shared" si="55"/>
        <v>76.285714285714263</v>
      </c>
      <c r="AE1095" s="218">
        <v>0</v>
      </c>
      <c r="AF1095">
        <v>0</v>
      </c>
      <c r="AH1095" t="str">
        <f t="shared" si="53"/>
        <v>Sonvarsha</v>
      </c>
      <c r="AJ1095" s="72">
        <v>0</v>
      </c>
      <c r="AK1095" s="72"/>
      <c r="AL1095" s="72"/>
      <c r="AM1095" s="72"/>
    </row>
    <row r="1096" spans="1:39" x14ac:dyDescent="0.25">
      <c r="A1096" s="37" t="s">
        <v>62</v>
      </c>
      <c r="B1096" s="66" t="s">
        <v>1615</v>
      </c>
      <c r="C1096" s="41">
        <v>1006</v>
      </c>
      <c r="D1096" s="41" t="s">
        <v>183</v>
      </c>
      <c r="E1096" s="41">
        <v>10060021</v>
      </c>
      <c r="F1096" s="85" t="s">
        <v>195</v>
      </c>
      <c r="G1096" s="39" t="s">
        <v>635</v>
      </c>
      <c r="H1096" s="52" t="s">
        <v>99</v>
      </c>
      <c r="I1096" s="52">
        <v>2009.2999999999997</v>
      </c>
      <c r="J1096" s="49">
        <v>86209.16</v>
      </c>
      <c r="K1096" s="58">
        <v>0</v>
      </c>
      <c r="L1096" s="58">
        <v>0</v>
      </c>
      <c r="M1096" s="58">
        <v>0</v>
      </c>
      <c r="N1096" s="58">
        <v>0</v>
      </c>
      <c r="O1096" s="65">
        <v>0</v>
      </c>
      <c r="P1096" s="65">
        <v>0</v>
      </c>
      <c r="Q1096" s="50">
        <v>86209.16</v>
      </c>
      <c r="R1096" s="65">
        <v>0</v>
      </c>
      <c r="S1096" s="65">
        <v>0</v>
      </c>
      <c r="T1096" s="65">
        <v>0</v>
      </c>
      <c r="U1096" s="65">
        <v>23109</v>
      </c>
      <c r="V1096" s="65">
        <v>0</v>
      </c>
      <c r="W1096" s="65">
        <v>0</v>
      </c>
      <c r="X1096" s="65">
        <v>0</v>
      </c>
      <c r="Y1096" s="65">
        <v>0</v>
      </c>
      <c r="Z1096" s="65">
        <v>63100.160000000003</v>
      </c>
      <c r="AA1096" s="51">
        <v>0</v>
      </c>
      <c r="AB1096" s="102">
        <v>0</v>
      </c>
      <c r="AC1096" s="81">
        <f t="shared" si="54"/>
        <v>0</v>
      </c>
      <c r="AD1096" s="82">
        <f t="shared" si="55"/>
        <v>0</v>
      </c>
      <c r="AE1096" s="218">
        <v>0</v>
      </c>
      <c r="AF1096">
        <v>0</v>
      </c>
      <c r="AH1096" t="str">
        <f t="shared" si="53"/>
        <v>Sonvarsha</v>
      </c>
      <c r="AJ1096" s="72">
        <v>0</v>
      </c>
      <c r="AK1096" s="72"/>
      <c r="AL1096" s="72"/>
      <c r="AM1096" s="72"/>
    </row>
    <row r="1097" spans="1:39" x14ac:dyDescent="0.25">
      <c r="A1097" s="37" t="s">
        <v>62</v>
      </c>
      <c r="B1097" s="66" t="s">
        <v>1615</v>
      </c>
      <c r="C1097" s="41">
        <v>1006</v>
      </c>
      <c r="D1097" s="41" t="s">
        <v>183</v>
      </c>
      <c r="E1097" s="41">
        <v>10060022</v>
      </c>
      <c r="F1097" s="85" t="s">
        <v>617</v>
      </c>
      <c r="G1097" s="39" t="s">
        <v>93</v>
      </c>
      <c r="H1097" s="52" t="s">
        <v>94</v>
      </c>
      <c r="I1097" s="52">
        <v>461.4</v>
      </c>
      <c r="J1097" s="49">
        <v>17151.43</v>
      </c>
      <c r="K1097" s="58">
        <v>458.4</v>
      </c>
      <c r="L1097" s="58">
        <v>17279.542859040001</v>
      </c>
      <c r="M1097" s="58">
        <v>12.399999999999999</v>
      </c>
      <c r="N1097" s="58">
        <v>479.41134516000011</v>
      </c>
      <c r="O1097" s="65">
        <v>470.79999999999995</v>
      </c>
      <c r="P1097" s="65">
        <v>17758.954204199999</v>
      </c>
      <c r="Q1097" s="50">
        <v>17151.43</v>
      </c>
      <c r="R1097" s="65">
        <v>0</v>
      </c>
      <c r="S1097" s="65">
        <v>479.41134516000011</v>
      </c>
      <c r="T1097" s="65">
        <v>607.52420419999908</v>
      </c>
      <c r="U1097" s="65">
        <v>14036</v>
      </c>
      <c r="V1097" s="65">
        <v>2635.9986600000002</v>
      </c>
      <c r="W1097" s="65">
        <v>0</v>
      </c>
      <c r="X1097" s="65">
        <v>0</v>
      </c>
      <c r="Y1097" s="65">
        <v>0</v>
      </c>
      <c r="Z1097" s="65">
        <v>0</v>
      </c>
      <c r="AA1097" s="51">
        <v>0</v>
      </c>
      <c r="AB1097" s="102" t="s">
        <v>1427</v>
      </c>
      <c r="AC1097" s="81">
        <f t="shared" si="54"/>
        <v>177.38756818378849</v>
      </c>
      <c r="AD1097" s="82">
        <f t="shared" si="55"/>
        <v>65.914285714285711</v>
      </c>
      <c r="AE1097" s="218">
        <v>-3.5421198360719719E-2</v>
      </c>
      <c r="AF1097">
        <v>5</v>
      </c>
      <c r="AH1097" t="str">
        <f t="shared" si="53"/>
        <v>Sonvarsha</v>
      </c>
      <c r="AJ1097" s="72">
        <v>0</v>
      </c>
      <c r="AK1097" s="72"/>
      <c r="AL1097" s="72"/>
      <c r="AM1097" s="72"/>
    </row>
    <row r="1098" spans="1:39" x14ac:dyDescent="0.25">
      <c r="A1098" s="37" t="s">
        <v>62</v>
      </c>
      <c r="B1098" s="66" t="s">
        <v>1615</v>
      </c>
      <c r="C1098" s="41">
        <v>1006</v>
      </c>
      <c r="D1098" s="41" t="s">
        <v>183</v>
      </c>
      <c r="E1098" s="41">
        <v>10060023</v>
      </c>
      <c r="F1098" s="85" t="s">
        <v>196</v>
      </c>
      <c r="G1098" s="39" t="s">
        <v>635</v>
      </c>
      <c r="H1098" s="52" t="s">
        <v>99</v>
      </c>
      <c r="I1098" s="52">
        <v>92.100000000000009</v>
      </c>
      <c r="J1098" s="49">
        <v>4242.6899999999996</v>
      </c>
      <c r="K1098" s="58">
        <v>0</v>
      </c>
      <c r="L1098" s="58">
        <v>0</v>
      </c>
      <c r="M1098" s="58">
        <v>0</v>
      </c>
      <c r="N1098" s="58">
        <v>0</v>
      </c>
      <c r="O1098" s="65">
        <v>0</v>
      </c>
      <c r="P1098" s="65">
        <v>0</v>
      </c>
      <c r="Q1098" s="50">
        <v>4242.6899999999996</v>
      </c>
      <c r="R1098" s="65">
        <v>0</v>
      </c>
      <c r="S1098" s="65">
        <v>0</v>
      </c>
      <c r="T1098" s="65">
        <v>0</v>
      </c>
      <c r="U1098" s="65">
        <v>0</v>
      </c>
      <c r="V1098" s="65">
        <v>23.282651612903251</v>
      </c>
      <c r="W1098" s="65">
        <v>0</v>
      </c>
      <c r="X1098" s="65">
        <v>0</v>
      </c>
      <c r="Y1098" s="65">
        <v>0</v>
      </c>
      <c r="Z1098" s="65">
        <v>4219.4073483870961</v>
      </c>
      <c r="AA1098" s="51">
        <v>0</v>
      </c>
      <c r="AB1098" s="102">
        <v>0</v>
      </c>
      <c r="AC1098" s="81">
        <f t="shared" si="54"/>
        <v>560.07193289902261</v>
      </c>
      <c r="AD1098" s="82">
        <f t="shared" si="55"/>
        <v>13.157142857142858</v>
      </c>
      <c r="AE1098" s="218">
        <v>0</v>
      </c>
      <c r="AF1098">
        <v>0</v>
      </c>
      <c r="AH1098" t="str">
        <f t="shared" si="53"/>
        <v>Sonvarsha</v>
      </c>
      <c r="AJ1098" s="72">
        <v>0</v>
      </c>
      <c r="AK1098" s="72"/>
      <c r="AL1098" s="72"/>
      <c r="AM1098" s="72"/>
    </row>
    <row r="1099" spans="1:39" x14ac:dyDescent="0.25">
      <c r="A1099" s="37" t="s">
        <v>62</v>
      </c>
      <c r="B1099" s="66" t="s">
        <v>1615</v>
      </c>
      <c r="C1099" s="41">
        <v>1006</v>
      </c>
      <c r="D1099" s="41" t="s">
        <v>183</v>
      </c>
      <c r="E1099" s="41">
        <v>10060026</v>
      </c>
      <c r="F1099" s="85" t="s">
        <v>197</v>
      </c>
      <c r="G1099" s="39" t="s">
        <v>93</v>
      </c>
      <c r="H1099" s="52" t="s">
        <v>94</v>
      </c>
      <c r="I1099" s="52">
        <v>611.60000000000014</v>
      </c>
      <c r="J1099" s="49">
        <v>25230.989999999998</v>
      </c>
      <c r="K1099" s="58">
        <v>645.20000000000005</v>
      </c>
      <c r="L1099" s="58">
        <v>27049.675244289698</v>
      </c>
      <c r="M1099" s="58">
        <v>1.05</v>
      </c>
      <c r="N1099" s="58">
        <v>47.063606908800004</v>
      </c>
      <c r="O1099" s="65">
        <v>646.25</v>
      </c>
      <c r="P1099" s="65">
        <v>27096.738851198497</v>
      </c>
      <c r="Q1099" s="50">
        <v>25230.989999999998</v>
      </c>
      <c r="R1099" s="65">
        <v>0</v>
      </c>
      <c r="S1099" s="65">
        <v>47.063606908800004</v>
      </c>
      <c r="T1099" s="65">
        <v>1865.7488511984993</v>
      </c>
      <c r="U1099" s="65">
        <v>0</v>
      </c>
      <c r="V1099" s="65">
        <v>0</v>
      </c>
      <c r="W1099" s="65">
        <v>0</v>
      </c>
      <c r="X1099" s="65">
        <v>25184</v>
      </c>
      <c r="Y1099" s="65">
        <v>0</v>
      </c>
      <c r="Z1099" s="65">
        <v>0</v>
      </c>
      <c r="AA1099" s="51">
        <v>0</v>
      </c>
      <c r="AB1099" s="102">
        <v>0</v>
      </c>
      <c r="AC1099" s="81">
        <f t="shared" si="54"/>
        <v>72.937198037933129</v>
      </c>
      <c r="AD1099" s="82">
        <f t="shared" si="55"/>
        <v>87.371428571428595</v>
      </c>
      <c r="AE1099" s="218">
        <v>-7.3946715971053831E-2</v>
      </c>
      <c r="AF1099">
        <v>2</v>
      </c>
      <c r="AH1099" t="str">
        <f t="shared" si="53"/>
        <v>Sonvarsha</v>
      </c>
      <c r="AJ1099" s="72">
        <v>0</v>
      </c>
      <c r="AK1099" s="72"/>
      <c r="AL1099" s="72"/>
      <c r="AM1099" s="72"/>
    </row>
    <row r="1100" spans="1:39" x14ac:dyDescent="0.25">
      <c r="A1100" s="37" t="s">
        <v>62</v>
      </c>
      <c r="B1100" s="66" t="s">
        <v>1615</v>
      </c>
      <c r="C1100" s="41">
        <v>1059</v>
      </c>
      <c r="D1100" s="41" t="s">
        <v>1347</v>
      </c>
      <c r="E1100" s="41">
        <v>10060027</v>
      </c>
      <c r="F1100" s="85" t="s">
        <v>198</v>
      </c>
      <c r="G1100" s="39" t="s">
        <v>93</v>
      </c>
      <c r="H1100" s="52" t="s">
        <v>94</v>
      </c>
      <c r="I1100" s="52">
        <v>1373.6000000000001</v>
      </c>
      <c r="J1100" s="49">
        <v>58168.909999999996</v>
      </c>
      <c r="K1100" s="58">
        <v>1437.3399999999995</v>
      </c>
      <c r="L1100" s="58">
        <v>60865.200561060243</v>
      </c>
      <c r="M1100" s="58">
        <v>21.88</v>
      </c>
      <c r="N1100" s="58">
        <v>918.68382936000012</v>
      </c>
      <c r="O1100" s="65">
        <v>1459.2199999999996</v>
      </c>
      <c r="P1100" s="65">
        <v>61783.884390420244</v>
      </c>
      <c r="Q1100" s="50">
        <v>58168.909999999996</v>
      </c>
      <c r="R1100" s="65">
        <v>0</v>
      </c>
      <c r="S1100" s="65">
        <v>918.68382936000012</v>
      </c>
      <c r="T1100" s="65">
        <v>3614.9743904202478</v>
      </c>
      <c r="U1100" s="65">
        <v>0</v>
      </c>
      <c r="V1100" s="65">
        <v>0</v>
      </c>
      <c r="W1100" s="65">
        <v>0</v>
      </c>
      <c r="X1100" s="65">
        <v>57250</v>
      </c>
      <c r="Y1100" s="65">
        <v>0</v>
      </c>
      <c r="Z1100" s="65">
        <v>0</v>
      </c>
      <c r="AA1100" s="51">
        <v>0</v>
      </c>
      <c r="AB1100" s="102" t="s">
        <v>68</v>
      </c>
      <c r="AC1100" s="81">
        <f t="shared" si="54"/>
        <v>0</v>
      </c>
      <c r="AD1100" s="82">
        <f t="shared" si="55"/>
        <v>0</v>
      </c>
      <c r="AE1100" s="218">
        <v>-6.2146160043573928E-2</v>
      </c>
      <c r="AF1100">
        <v>64</v>
      </c>
      <c r="AH1100" t="str">
        <f t="shared" si="53"/>
        <v>Gopalpur Bmc</v>
      </c>
      <c r="AJ1100" s="72">
        <v>0</v>
      </c>
      <c r="AK1100" s="72"/>
      <c r="AL1100" s="72"/>
      <c r="AM1100" s="72"/>
    </row>
    <row r="1101" spans="1:39" x14ac:dyDescent="0.25">
      <c r="A1101" s="37" t="s">
        <v>62</v>
      </c>
      <c r="B1101" s="66" t="s">
        <v>1615</v>
      </c>
      <c r="C1101" s="41">
        <v>1006</v>
      </c>
      <c r="D1101" s="41" t="s">
        <v>183</v>
      </c>
      <c r="E1101" s="41">
        <v>10060028</v>
      </c>
      <c r="F1101" s="85" t="s">
        <v>199</v>
      </c>
      <c r="G1101" s="39" t="s">
        <v>635</v>
      </c>
      <c r="H1101" s="52" t="s">
        <v>99</v>
      </c>
      <c r="I1101" s="52">
        <v>687.8</v>
      </c>
      <c r="J1101" s="49">
        <v>24425.229999999996</v>
      </c>
      <c r="K1101" s="58">
        <v>0</v>
      </c>
      <c r="L1101" s="58">
        <v>0</v>
      </c>
      <c r="M1101" s="58">
        <v>0</v>
      </c>
      <c r="N1101" s="58">
        <v>0</v>
      </c>
      <c r="O1101" s="65">
        <v>0</v>
      </c>
      <c r="P1101" s="65">
        <v>0</v>
      </c>
      <c r="Q1101" s="50">
        <v>24425.229999999996</v>
      </c>
      <c r="R1101" s="65">
        <v>0</v>
      </c>
      <c r="S1101" s="65">
        <v>0</v>
      </c>
      <c r="T1101" s="65">
        <v>0</v>
      </c>
      <c r="U1101" s="65">
        <v>0</v>
      </c>
      <c r="V1101" s="65">
        <v>0</v>
      </c>
      <c r="W1101" s="65">
        <v>0</v>
      </c>
      <c r="X1101" s="65">
        <v>0</v>
      </c>
      <c r="Y1101" s="65">
        <v>0</v>
      </c>
      <c r="Z1101" s="65">
        <v>24425.229999999996</v>
      </c>
      <c r="AA1101" s="51">
        <v>0</v>
      </c>
      <c r="AB1101" s="102">
        <v>0</v>
      </c>
      <c r="AC1101" s="81">
        <f t="shared" si="54"/>
        <v>8.6649551032277028</v>
      </c>
      <c r="AD1101" s="82">
        <f t="shared" si="55"/>
        <v>98.257142857142853</v>
      </c>
      <c r="AE1101" s="218">
        <v>0</v>
      </c>
      <c r="AF1101">
        <v>0</v>
      </c>
      <c r="AH1101" t="str">
        <f t="shared" si="53"/>
        <v>Sonvarsha</v>
      </c>
      <c r="AJ1101" s="72">
        <v>0</v>
      </c>
      <c r="AK1101" s="72"/>
      <c r="AL1101" s="72"/>
      <c r="AM1101" s="72"/>
    </row>
    <row r="1102" spans="1:39" x14ac:dyDescent="0.25">
      <c r="A1102" s="37" t="s">
        <v>62</v>
      </c>
      <c r="B1102" s="66" t="s">
        <v>1615</v>
      </c>
      <c r="C1102" s="41">
        <v>1006</v>
      </c>
      <c r="D1102" s="41" t="s">
        <v>183</v>
      </c>
      <c r="E1102" s="41">
        <v>10060029</v>
      </c>
      <c r="F1102" s="85" t="s">
        <v>200</v>
      </c>
      <c r="G1102" s="39" t="s">
        <v>93</v>
      </c>
      <c r="H1102" s="52" t="s">
        <v>94</v>
      </c>
      <c r="I1102" s="52">
        <v>1585.7</v>
      </c>
      <c r="J1102" s="49">
        <v>70689.279999999999</v>
      </c>
      <c r="K1102" s="58">
        <v>1566.3899999999999</v>
      </c>
      <c r="L1102" s="58">
        <v>69561.007505952148</v>
      </c>
      <c r="M1102" s="58">
        <v>21.55</v>
      </c>
      <c r="N1102" s="58">
        <v>1089.7697043092001</v>
      </c>
      <c r="O1102" s="65">
        <v>1587.9399999999998</v>
      </c>
      <c r="P1102" s="65">
        <v>70650.777210261353</v>
      </c>
      <c r="Q1102" s="50">
        <v>70650.777210261353</v>
      </c>
      <c r="R1102" s="65">
        <v>0</v>
      </c>
      <c r="S1102" s="65">
        <v>976.33653707720009</v>
      </c>
      <c r="T1102" s="65">
        <v>0</v>
      </c>
      <c r="U1102" s="65">
        <v>0</v>
      </c>
      <c r="V1102" s="65">
        <v>0</v>
      </c>
      <c r="W1102" s="65">
        <v>0</v>
      </c>
      <c r="X1102" s="65">
        <v>69560</v>
      </c>
      <c r="Y1102" s="65">
        <v>113</v>
      </c>
      <c r="Z1102" s="65">
        <v>0</v>
      </c>
      <c r="AA1102" s="51">
        <v>40</v>
      </c>
      <c r="AB1102" s="102" t="s">
        <v>68</v>
      </c>
      <c r="AC1102" s="81">
        <f t="shared" si="54"/>
        <v>0</v>
      </c>
      <c r="AD1102" s="82">
        <f t="shared" si="55"/>
        <v>0</v>
      </c>
      <c r="AE1102" s="218">
        <v>5.4467650170784369E-4</v>
      </c>
      <c r="AF1102">
        <v>36</v>
      </c>
      <c r="AH1102" t="str">
        <f t="shared" si="53"/>
        <v>Sonvarsha</v>
      </c>
      <c r="AJ1102" s="72">
        <v>0</v>
      </c>
      <c r="AK1102" s="72"/>
      <c r="AL1102" s="72"/>
      <c r="AM1102" s="72"/>
    </row>
    <row r="1103" spans="1:39" x14ac:dyDescent="0.25">
      <c r="A1103" s="37" t="s">
        <v>62</v>
      </c>
      <c r="B1103" s="66" t="s">
        <v>1615</v>
      </c>
      <c r="C1103" s="41">
        <v>1006</v>
      </c>
      <c r="D1103" s="41" t="s">
        <v>183</v>
      </c>
      <c r="E1103" s="41">
        <v>10060031</v>
      </c>
      <c r="F1103" s="85" t="s">
        <v>201</v>
      </c>
      <c r="G1103" s="39" t="s">
        <v>93</v>
      </c>
      <c r="H1103" s="52" t="s">
        <v>94</v>
      </c>
      <c r="I1103" s="52">
        <v>291.29999999999995</v>
      </c>
      <c r="J1103" s="49">
        <v>11946.93</v>
      </c>
      <c r="K1103" s="58">
        <v>262.83000000000004</v>
      </c>
      <c r="L1103" s="58">
        <v>11378.40835354579</v>
      </c>
      <c r="M1103" s="58">
        <v>0</v>
      </c>
      <c r="N1103" s="58">
        <v>0</v>
      </c>
      <c r="O1103" s="65">
        <v>262.83000000000004</v>
      </c>
      <c r="P1103" s="65">
        <v>11378.40835354579</v>
      </c>
      <c r="Q1103" s="50">
        <v>11378.40835354579</v>
      </c>
      <c r="R1103" s="65">
        <v>0</v>
      </c>
      <c r="S1103" s="65">
        <v>0</v>
      </c>
      <c r="T1103" s="65">
        <v>0</v>
      </c>
      <c r="U1103" s="65">
        <v>0</v>
      </c>
      <c r="V1103" s="65">
        <v>52.38</v>
      </c>
      <c r="W1103" s="65">
        <v>0</v>
      </c>
      <c r="X1103" s="65">
        <v>11326</v>
      </c>
      <c r="Y1103" s="65">
        <v>0</v>
      </c>
      <c r="Z1103" s="65">
        <v>0</v>
      </c>
      <c r="AA1103" s="51">
        <v>569</v>
      </c>
      <c r="AB1103" s="102" t="s">
        <v>66</v>
      </c>
      <c r="AC1103" s="81">
        <f t="shared" si="54"/>
        <v>335.23585932028845</v>
      </c>
      <c r="AD1103" s="82">
        <f t="shared" si="55"/>
        <v>41.614285714285707</v>
      </c>
      <c r="AE1103" s="218">
        <v>4.7587258521997702E-2</v>
      </c>
      <c r="AF1103">
        <v>8</v>
      </c>
      <c r="AH1103" t="str">
        <f t="shared" si="53"/>
        <v>Sonvarsha</v>
      </c>
      <c r="AJ1103" s="72">
        <v>0</v>
      </c>
      <c r="AK1103" s="72"/>
      <c r="AL1103" s="72"/>
      <c r="AM1103" s="72"/>
    </row>
    <row r="1104" spans="1:39" x14ac:dyDescent="0.25">
      <c r="A1104" s="37" t="s">
        <v>62</v>
      </c>
      <c r="B1104" s="66" t="s">
        <v>1615</v>
      </c>
      <c r="C1104" s="41">
        <v>1059</v>
      </c>
      <c r="D1104" s="41" t="s">
        <v>1347</v>
      </c>
      <c r="E1104" s="41">
        <v>10060032</v>
      </c>
      <c r="F1104" s="85" t="s">
        <v>202</v>
      </c>
      <c r="G1104" s="39" t="s">
        <v>93</v>
      </c>
      <c r="H1104" s="52" t="s">
        <v>94</v>
      </c>
      <c r="I1104" s="52">
        <v>3028.6999999999994</v>
      </c>
      <c r="J1104" s="49">
        <v>145753.15000000002</v>
      </c>
      <c r="K1104" s="58">
        <v>3045.8300000000004</v>
      </c>
      <c r="L1104" s="58">
        <v>148193.06243367158</v>
      </c>
      <c r="M1104" s="58">
        <v>28.189999999999998</v>
      </c>
      <c r="N1104" s="58">
        <v>1794.5518409002502</v>
      </c>
      <c r="O1104" s="65">
        <v>3074.0200000000004</v>
      </c>
      <c r="P1104" s="65">
        <v>149987.61427457182</v>
      </c>
      <c r="Q1104" s="50">
        <v>145753.15000000002</v>
      </c>
      <c r="R1104" s="65">
        <v>0</v>
      </c>
      <c r="S1104" s="65">
        <v>1794.5518409002502</v>
      </c>
      <c r="T1104" s="65">
        <v>4234.4642745718011</v>
      </c>
      <c r="U1104" s="65">
        <v>0</v>
      </c>
      <c r="V1104" s="65">
        <v>0</v>
      </c>
      <c r="W1104" s="65">
        <v>0</v>
      </c>
      <c r="X1104" s="65">
        <v>143959</v>
      </c>
      <c r="Y1104" s="65">
        <v>0</v>
      </c>
      <c r="Z1104" s="65">
        <v>0</v>
      </c>
      <c r="AA1104" s="51">
        <v>0</v>
      </c>
      <c r="AB1104" s="102">
        <v>0</v>
      </c>
      <c r="AC1104" s="81">
        <f t="shared" si="54"/>
        <v>0</v>
      </c>
      <c r="AD1104" s="82">
        <f t="shared" si="55"/>
        <v>0</v>
      </c>
      <c r="AE1104" s="218">
        <v>-2.9052300238943722E-2</v>
      </c>
      <c r="AF1104">
        <v>45</v>
      </c>
      <c r="AH1104" t="str">
        <f t="shared" si="53"/>
        <v>Gopalpur Bmc</v>
      </c>
      <c r="AJ1104" s="72">
        <v>0</v>
      </c>
      <c r="AK1104" s="72"/>
      <c r="AL1104" s="72"/>
      <c r="AM1104" s="72"/>
    </row>
    <row r="1105" spans="1:39" x14ac:dyDescent="0.25">
      <c r="A1105" s="37" t="s">
        <v>62</v>
      </c>
      <c r="B1105" s="66" t="s">
        <v>1615</v>
      </c>
      <c r="C1105" s="41">
        <v>1059</v>
      </c>
      <c r="D1105" s="41" t="s">
        <v>1347</v>
      </c>
      <c r="E1105" s="41">
        <v>10060049</v>
      </c>
      <c r="F1105" s="85" t="s">
        <v>204</v>
      </c>
      <c r="G1105" s="39" t="s">
        <v>93</v>
      </c>
      <c r="H1105" s="52" t="s">
        <v>94</v>
      </c>
      <c r="I1105" s="52">
        <v>612.89999999999986</v>
      </c>
      <c r="J1105" s="49">
        <v>25859.299999999996</v>
      </c>
      <c r="K1105" s="58">
        <v>602.46</v>
      </c>
      <c r="L1105" s="58">
        <v>26176.4457331673</v>
      </c>
      <c r="M1105" s="58">
        <v>9.1</v>
      </c>
      <c r="N1105" s="58">
        <v>339.96540277260004</v>
      </c>
      <c r="O1105" s="65">
        <v>611.56000000000006</v>
      </c>
      <c r="P1105" s="65">
        <v>26516.411135939899</v>
      </c>
      <c r="Q1105" s="50">
        <v>25859.299999999996</v>
      </c>
      <c r="R1105" s="65">
        <v>0</v>
      </c>
      <c r="S1105" s="65">
        <v>339.96540277260004</v>
      </c>
      <c r="T1105" s="65">
        <v>657.11113593990376</v>
      </c>
      <c r="U1105" s="65">
        <v>0</v>
      </c>
      <c r="V1105" s="65">
        <v>0</v>
      </c>
      <c r="W1105" s="65">
        <v>0</v>
      </c>
      <c r="X1105" s="65">
        <v>25519</v>
      </c>
      <c r="Y1105" s="65">
        <v>0</v>
      </c>
      <c r="Z1105" s="65">
        <v>0</v>
      </c>
      <c r="AA1105" s="51">
        <v>0</v>
      </c>
      <c r="AB1105" s="102" t="s">
        <v>68</v>
      </c>
      <c r="AC1105" s="81">
        <f t="shared" si="54"/>
        <v>73.497961494534323</v>
      </c>
      <c r="AD1105" s="82">
        <f t="shared" si="55"/>
        <v>87.557142857142836</v>
      </c>
      <c r="AE1105" s="218">
        <v>-2.541101792932925E-2</v>
      </c>
      <c r="AF1105">
        <v>24</v>
      </c>
      <c r="AH1105" t="str">
        <f t="shared" si="53"/>
        <v>Gopalpur Bmc</v>
      </c>
      <c r="AJ1105" s="72">
        <v>0</v>
      </c>
      <c r="AK1105" s="72"/>
      <c r="AL1105" s="72"/>
      <c r="AM1105" s="72"/>
    </row>
    <row r="1106" spans="1:39" x14ac:dyDescent="0.25">
      <c r="A1106" s="37" t="s">
        <v>62</v>
      </c>
      <c r="B1106" s="66" t="s">
        <v>1615</v>
      </c>
      <c r="C1106" s="41">
        <v>1059</v>
      </c>
      <c r="D1106" s="41" t="s">
        <v>1347</v>
      </c>
      <c r="E1106" s="41">
        <v>10060050</v>
      </c>
      <c r="F1106" s="85" t="s">
        <v>205</v>
      </c>
      <c r="G1106" s="39" t="s">
        <v>93</v>
      </c>
      <c r="H1106" s="52" t="s">
        <v>94</v>
      </c>
      <c r="I1106" s="52">
        <v>542.29999999999995</v>
      </c>
      <c r="J1106" s="49">
        <v>24535.640000000003</v>
      </c>
      <c r="K1106" s="58">
        <v>567.59</v>
      </c>
      <c r="L1106" s="58">
        <v>24244.716744013971</v>
      </c>
      <c r="M1106" s="58">
        <v>6.4800000000000022</v>
      </c>
      <c r="N1106" s="58">
        <v>290.38351589709004</v>
      </c>
      <c r="O1106" s="65">
        <v>574.07000000000005</v>
      </c>
      <c r="P1106" s="65">
        <v>24535.100259911062</v>
      </c>
      <c r="Q1106" s="50">
        <v>24535.100259911062</v>
      </c>
      <c r="R1106" s="65">
        <v>0</v>
      </c>
      <c r="S1106" s="65">
        <v>290.38351589709004</v>
      </c>
      <c r="T1106" s="65">
        <v>0</v>
      </c>
      <c r="U1106" s="65">
        <v>0</v>
      </c>
      <c r="V1106" s="65">
        <v>0</v>
      </c>
      <c r="W1106" s="65">
        <v>0</v>
      </c>
      <c r="X1106" s="65">
        <v>24245</v>
      </c>
      <c r="Y1106" s="65">
        <v>0</v>
      </c>
      <c r="Z1106" s="65">
        <v>0</v>
      </c>
      <c r="AA1106" s="51">
        <v>0</v>
      </c>
      <c r="AB1106" s="102">
        <v>0</v>
      </c>
      <c r="AC1106" s="81">
        <f t="shared" si="54"/>
        <v>142.69852214641352</v>
      </c>
      <c r="AD1106" s="82">
        <f t="shared" si="55"/>
        <v>77.471428571428561</v>
      </c>
      <c r="AE1106" s="218">
        <v>2.1998207054777097E-5</v>
      </c>
      <c r="AF1106">
        <v>17</v>
      </c>
      <c r="AH1106" t="str">
        <f t="shared" si="53"/>
        <v>Gopalpur Bmc</v>
      </c>
      <c r="AJ1106" s="72">
        <v>0</v>
      </c>
      <c r="AK1106" s="72"/>
      <c r="AL1106" s="72"/>
      <c r="AM1106" s="72"/>
    </row>
    <row r="1107" spans="1:39" x14ac:dyDescent="0.25">
      <c r="A1107" s="37" t="s">
        <v>62</v>
      </c>
      <c r="B1107" s="66" t="s">
        <v>1615</v>
      </c>
      <c r="C1107" s="41">
        <v>1006</v>
      </c>
      <c r="D1107" s="41" t="s">
        <v>183</v>
      </c>
      <c r="E1107" s="41">
        <v>10060051</v>
      </c>
      <c r="F1107" s="85" t="s">
        <v>1420</v>
      </c>
      <c r="G1107" s="39" t="s">
        <v>635</v>
      </c>
      <c r="H1107" s="52" t="s">
        <v>99</v>
      </c>
      <c r="I1107" s="52">
        <v>91.3</v>
      </c>
      <c r="J1107" s="49">
        <v>3393.84</v>
      </c>
      <c r="K1107" s="58">
        <v>0</v>
      </c>
      <c r="L1107" s="58">
        <v>0</v>
      </c>
      <c r="M1107" s="58">
        <v>0</v>
      </c>
      <c r="N1107" s="58">
        <v>0</v>
      </c>
      <c r="O1107" s="65">
        <v>0</v>
      </c>
      <c r="P1107" s="65">
        <v>0</v>
      </c>
      <c r="Q1107" s="50">
        <v>3393.84</v>
      </c>
      <c r="R1107" s="65">
        <v>0</v>
      </c>
      <c r="S1107" s="65">
        <v>0</v>
      </c>
      <c r="T1107" s="65">
        <v>0</v>
      </c>
      <c r="U1107" s="65">
        <v>0</v>
      </c>
      <c r="V1107" s="65">
        <v>606.58294838709685</v>
      </c>
      <c r="W1107" s="65">
        <v>0</v>
      </c>
      <c r="X1107" s="65">
        <v>0</v>
      </c>
      <c r="Y1107" s="65">
        <v>0</v>
      </c>
      <c r="Z1107" s="65">
        <v>2787.2570516129035</v>
      </c>
      <c r="AA1107" s="51">
        <v>0</v>
      </c>
      <c r="AB1107" s="102">
        <v>0</v>
      </c>
      <c r="AC1107" s="81">
        <f t="shared" si="54"/>
        <v>452.53678159912386</v>
      </c>
      <c r="AD1107" s="82">
        <f t="shared" si="55"/>
        <v>13.042857142857143</v>
      </c>
      <c r="AE1107" s="218">
        <v>0</v>
      </c>
      <c r="AF1107">
        <v>0</v>
      </c>
      <c r="AH1107" t="str">
        <f t="shared" si="53"/>
        <v>Sonvarsha</v>
      </c>
      <c r="AJ1107" s="72">
        <v>0</v>
      </c>
      <c r="AK1107" s="72"/>
      <c r="AL1107" s="72"/>
      <c r="AM1107" s="72"/>
    </row>
    <row r="1108" spans="1:39" x14ac:dyDescent="0.25">
      <c r="A1108" s="37" t="s">
        <v>62</v>
      </c>
      <c r="B1108" s="66" t="s">
        <v>1615</v>
      </c>
      <c r="C1108" s="41">
        <v>1006</v>
      </c>
      <c r="D1108" s="41" t="s">
        <v>183</v>
      </c>
      <c r="E1108" s="41">
        <v>10060055</v>
      </c>
      <c r="F1108" s="85" t="s">
        <v>1434</v>
      </c>
      <c r="G1108" s="39" t="s">
        <v>635</v>
      </c>
      <c r="H1108" s="52" t="s">
        <v>99</v>
      </c>
      <c r="I1108" s="52">
        <v>206.90000000000003</v>
      </c>
      <c r="J1108" s="49">
        <v>7189.85</v>
      </c>
      <c r="K1108" s="58">
        <v>0</v>
      </c>
      <c r="L1108" s="58">
        <v>0</v>
      </c>
      <c r="M1108" s="58">
        <v>0</v>
      </c>
      <c r="N1108" s="58">
        <v>0</v>
      </c>
      <c r="O1108" s="65">
        <v>0</v>
      </c>
      <c r="P1108" s="65">
        <v>0</v>
      </c>
      <c r="Q1108" s="50">
        <v>7189.85</v>
      </c>
      <c r="R1108" s="65">
        <v>0</v>
      </c>
      <c r="S1108" s="65">
        <v>0</v>
      </c>
      <c r="T1108" s="65">
        <v>0</v>
      </c>
      <c r="U1108" s="65">
        <v>0</v>
      </c>
      <c r="V1108" s="65">
        <v>78.320535483870756</v>
      </c>
      <c r="W1108" s="65">
        <v>0</v>
      </c>
      <c r="X1108" s="65">
        <v>0</v>
      </c>
      <c r="Y1108" s="65">
        <v>0</v>
      </c>
      <c r="Z1108" s="65">
        <v>7111.5294645161293</v>
      </c>
      <c r="AA1108" s="51">
        <v>0</v>
      </c>
      <c r="AB1108" s="102">
        <v>0</v>
      </c>
      <c r="AC1108" s="81">
        <f t="shared" si="54"/>
        <v>342.70807491541797</v>
      </c>
      <c r="AD1108" s="82">
        <f t="shared" si="55"/>
        <v>29.55714285714286</v>
      </c>
      <c r="AE1108" s="218">
        <v>0</v>
      </c>
      <c r="AF1108">
        <v>0</v>
      </c>
      <c r="AH1108" t="str">
        <f t="shared" si="53"/>
        <v>Sonvarsha</v>
      </c>
      <c r="AJ1108" s="72">
        <v>0</v>
      </c>
      <c r="AK1108" s="72"/>
      <c r="AL1108" s="72"/>
      <c r="AM1108" s="72"/>
    </row>
    <row r="1109" spans="1:39" x14ac:dyDescent="0.25">
      <c r="A1109" s="37" t="s">
        <v>62</v>
      </c>
      <c r="B1109" s="66" t="s">
        <v>1615</v>
      </c>
      <c r="C1109" s="41">
        <v>1006</v>
      </c>
      <c r="D1109" s="41" t="s">
        <v>183</v>
      </c>
      <c r="E1109" s="41">
        <v>10060058</v>
      </c>
      <c r="F1109" s="85" t="s">
        <v>206</v>
      </c>
      <c r="G1109" s="39" t="s">
        <v>93</v>
      </c>
      <c r="H1109" s="52" t="s">
        <v>94</v>
      </c>
      <c r="I1109" s="52">
        <v>811.09999999999991</v>
      </c>
      <c r="J1109" s="49">
        <v>30094.329999999998</v>
      </c>
      <c r="K1109" s="58">
        <v>359.9</v>
      </c>
      <c r="L1109" s="58">
        <v>13652.108237948401</v>
      </c>
      <c r="M1109" s="58">
        <v>630.34000000000015</v>
      </c>
      <c r="N1109" s="58">
        <v>24530.377980200406</v>
      </c>
      <c r="O1109" s="65">
        <v>990.24000000000012</v>
      </c>
      <c r="P1109" s="65">
        <v>38182.486218148806</v>
      </c>
      <c r="Q1109" s="50">
        <v>30094.329999999998</v>
      </c>
      <c r="R1109" s="65">
        <v>0</v>
      </c>
      <c r="S1109" s="65">
        <v>218.60671017240006</v>
      </c>
      <c r="T1109" s="65">
        <v>8088.156218148808</v>
      </c>
      <c r="U1109" s="65">
        <v>0</v>
      </c>
      <c r="V1109" s="65">
        <v>0</v>
      </c>
      <c r="W1109" s="65">
        <v>0</v>
      </c>
      <c r="X1109" s="65">
        <v>10848</v>
      </c>
      <c r="Y1109" s="65">
        <v>19028</v>
      </c>
      <c r="Z1109" s="65">
        <v>0</v>
      </c>
      <c r="AA1109" s="51">
        <v>0</v>
      </c>
      <c r="AB1109" s="102" t="s">
        <v>68</v>
      </c>
      <c r="AC1109" s="81">
        <f t="shared" si="54"/>
        <v>0</v>
      </c>
      <c r="AD1109" s="82">
        <f t="shared" si="55"/>
        <v>0</v>
      </c>
      <c r="AE1109" s="218">
        <v>-0.26876013581790353</v>
      </c>
      <c r="AF1109">
        <v>6</v>
      </c>
      <c r="AH1109" t="str">
        <f t="shared" si="53"/>
        <v>Sonvarsha</v>
      </c>
      <c r="AJ1109" s="72">
        <v>0</v>
      </c>
      <c r="AK1109" s="72"/>
      <c r="AL1109" s="72"/>
      <c r="AM1109" s="72"/>
    </row>
    <row r="1110" spans="1:39" x14ac:dyDescent="0.25">
      <c r="A1110" s="37" t="s">
        <v>62</v>
      </c>
      <c r="B1110" s="66" t="s">
        <v>1615</v>
      </c>
      <c r="C1110" s="41">
        <v>1006</v>
      </c>
      <c r="D1110" s="41" t="s">
        <v>183</v>
      </c>
      <c r="E1110" s="41">
        <v>10060061</v>
      </c>
      <c r="F1110" s="85" t="s">
        <v>1450</v>
      </c>
      <c r="G1110" s="39" t="s">
        <v>635</v>
      </c>
      <c r="H1110" s="52" t="s">
        <v>99</v>
      </c>
      <c r="I1110" s="52">
        <v>234.79999999999995</v>
      </c>
      <c r="J1110" s="49">
        <v>7934.75</v>
      </c>
      <c r="K1110" s="58">
        <v>0</v>
      </c>
      <c r="L1110" s="58">
        <v>0</v>
      </c>
      <c r="M1110" s="58">
        <v>0</v>
      </c>
      <c r="N1110" s="58">
        <v>0</v>
      </c>
      <c r="O1110" s="65">
        <v>0</v>
      </c>
      <c r="P1110" s="65">
        <v>0</v>
      </c>
      <c r="Q1110" s="50">
        <v>7934.75</v>
      </c>
      <c r="R1110" s="65">
        <v>0</v>
      </c>
      <c r="S1110" s="65">
        <v>0</v>
      </c>
      <c r="T1110" s="65">
        <v>0</v>
      </c>
      <c r="U1110" s="65">
        <v>0</v>
      </c>
      <c r="V1110" s="65">
        <v>0</v>
      </c>
      <c r="W1110" s="65">
        <v>0</v>
      </c>
      <c r="X1110" s="65">
        <v>0</v>
      </c>
      <c r="Y1110" s="65">
        <v>0</v>
      </c>
      <c r="Z1110" s="65">
        <v>7934.75</v>
      </c>
      <c r="AA1110" s="51">
        <v>0</v>
      </c>
      <c r="AB1110" s="102">
        <v>0</v>
      </c>
      <c r="AC1110" s="81">
        <f t="shared" si="54"/>
        <v>314.41615843270876</v>
      </c>
      <c r="AD1110" s="82">
        <f t="shared" si="55"/>
        <v>33.542857142857137</v>
      </c>
      <c r="AE1110" s="218">
        <v>0</v>
      </c>
      <c r="AF1110">
        <v>0</v>
      </c>
      <c r="AH1110" t="str">
        <f t="shared" si="53"/>
        <v>Sonvarsha</v>
      </c>
      <c r="AJ1110" s="72">
        <v>0</v>
      </c>
      <c r="AK1110" s="72"/>
      <c r="AL1110" s="72"/>
      <c r="AM1110" s="72"/>
    </row>
    <row r="1111" spans="1:39" x14ac:dyDescent="0.25">
      <c r="A1111" s="37" t="s">
        <v>62</v>
      </c>
      <c r="B1111" s="66" t="s">
        <v>1615</v>
      </c>
      <c r="C1111" s="41">
        <v>1006</v>
      </c>
      <c r="D1111" s="41" t="s">
        <v>183</v>
      </c>
      <c r="E1111" s="41">
        <v>10060062</v>
      </c>
      <c r="F1111" s="85" t="s">
        <v>484</v>
      </c>
      <c r="G1111" s="39" t="s">
        <v>635</v>
      </c>
      <c r="H1111" s="52" t="s">
        <v>99</v>
      </c>
      <c r="I1111" s="52">
        <v>380.60000000000008</v>
      </c>
      <c r="J1111" s="49">
        <v>14648.789999999999</v>
      </c>
      <c r="K1111" s="58">
        <v>0</v>
      </c>
      <c r="L1111" s="58">
        <v>0</v>
      </c>
      <c r="M1111" s="58">
        <v>0</v>
      </c>
      <c r="N1111" s="58">
        <v>0</v>
      </c>
      <c r="O1111" s="65">
        <v>0</v>
      </c>
      <c r="P1111" s="65">
        <v>0</v>
      </c>
      <c r="Q1111" s="50">
        <v>14648.789999999999</v>
      </c>
      <c r="R1111" s="65">
        <v>0</v>
      </c>
      <c r="S1111" s="65">
        <v>0</v>
      </c>
      <c r="T1111" s="65">
        <v>0</v>
      </c>
      <c r="U1111" s="65">
        <v>0</v>
      </c>
      <c r="V1111" s="65">
        <v>0</v>
      </c>
      <c r="W1111" s="65">
        <v>0</v>
      </c>
      <c r="X1111" s="65">
        <v>0</v>
      </c>
      <c r="Y1111" s="65">
        <v>0</v>
      </c>
      <c r="Z1111" s="65">
        <v>14648.789999999999</v>
      </c>
      <c r="AA1111" s="51">
        <v>0</v>
      </c>
      <c r="AB1111" s="102">
        <v>0</v>
      </c>
      <c r="AC1111" s="81">
        <f t="shared" si="54"/>
        <v>245.86566085128732</v>
      </c>
      <c r="AD1111" s="82">
        <f t="shared" si="55"/>
        <v>54.371428571428581</v>
      </c>
      <c r="AE1111" s="218">
        <v>0</v>
      </c>
      <c r="AF1111">
        <v>0</v>
      </c>
      <c r="AH1111" t="str">
        <f t="shared" si="53"/>
        <v>Sonvarsha</v>
      </c>
      <c r="AJ1111" s="72">
        <v>0</v>
      </c>
      <c r="AK1111" s="72"/>
      <c r="AL1111" s="72"/>
      <c r="AM1111" s="72"/>
    </row>
    <row r="1112" spans="1:39" x14ac:dyDescent="0.25">
      <c r="A1112" s="37" t="s">
        <v>62</v>
      </c>
      <c r="B1112" s="66" t="s">
        <v>1615</v>
      </c>
      <c r="C1112" s="41">
        <v>1059</v>
      </c>
      <c r="D1112" s="41" t="s">
        <v>1347</v>
      </c>
      <c r="E1112" s="41">
        <v>10060069</v>
      </c>
      <c r="F1112" s="85" t="s">
        <v>450</v>
      </c>
      <c r="G1112" s="39" t="s">
        <v>93</v>
      </c>
      <c r="H1112" s="52" t="s">
        <v>94</v>
      </c>
      <c r="I1112" s="52">
        <v>286.8</v>
      </c>
      <c r="J1112" s="49">
        <v>12322.97</v>
      </c>
      <c r="K1112" s="58">
        <v>286.8</v>
      </c>
      <c r="L1112" s="58">
        <v>12325.037633724998</v>
      </c>
      <c r="M1112" s="58">
        <v>0</v>
      </c>
      <c r="N1112" s="58">
        <v>0</v>
      </c>
      <c r="O1112" s="65">
        <v>286.8</v>
      </c>
      <c r="P1112" s="65">
        <v>12325.037633724998</v>
      </c>
      <c r="Q1112" s="50">
        <v>12322.97</v>
      </c>
      <c r="R1112" s="65">
        <v>0</v>
      </c>
      <c r="S1112" s="65">
        <v>0</v>
      </c>
      <c r="T1112" s="65">
        <v>2.0676337249988137</v>
      </c>
      <c r="U1112" s="65">
        <v>0</v>
      </c>
      <c r="V1112" s="65">
        <v>0</v>
      </c>
      <c r="W1112" s="65">
        <v>0</v>
      </c>
      <c r="X1112" s="65">
        <v>12323</v>
      </c>
      <c r="Y1112" s="65">
        <v>0</v>
      </c>
      <c r="Z1112" s="65">
        <v>0</v>
      </c>
      <c r="AA1112" s="51">
        <v>0</v>
      </c>
      <c r="AB1112" s="102">
        <v>0</v>
      </c>
      <c r="AC1112" s="81">
        <f t="shared" si="54"/>
        <v>355.08027921896786</v>
      </c>
      <c r="AD1112" s="82">
        <f t="shared" si="55"/>
        <v>40.971428571428575</v>
      </c>
      <c r="AE1112" s="218">
        <v>-1.677869641002789E-4</v>
      </c>
      <c r="AF1112">
        <v>1</v>
      </c>
      <c r="AH1112" t="str">
        <f t="shared" si="53"/>
        <v>Gopalpur Bmc</v>
      </c>
      <c r="AJ1112" s="72">
        <v>0</v>
      </c>
      <c r="AK1112" s="72"/>
      <c r="AL1112" s="72"/>
      <c r="AM1112" s="72"/>
    </row>
    <row r="1113" spans="1:39" x14ac:dyDescent="0.25">
      <c r="A1113" s="37" t="s">
        <v>62</v>
      </c>
      <c r="B1113" s="66" t="s">
        <v>1615</v>
      </c>
      <c r="C1113" s="41">
        <v>1059</v>
      </c>
      <c r="D1113" s="41" t="s">
        <v>1347</v>
      </c>
      <c r="E1113" s="41">
        <v>10060074</v>
      </c>
      <c r="F1113" s="85" t="s">
        <v>485</v>
      </c>
      <c r="G1113" s="39" t="s">
        <v>93</v>
      </c>
      <c r="H1113" s="52" t="s">
        <v>94</v>
      </c>
      <c r="I1113" s="52">
        <v>363.90000000000003</v>
      </c>
      <c r="J1113" s="49">
        <v>15443.4</v>
      </c>
      <c r="K1113" s="58">
        <v>357.71000000000004</v>
      </c>
      <c r="L1113" s="58">
        <v>16269.706900835828</v>
      </c>
      <c r="M1113" s="58">
        <v>6.43</v>
      </c>
      <c r="N1113" s="58">
        <v>276.54540977851002</v>
      </c>
      <c r="O1113" s="65">
        <v>364.14000000000004</v>
      </c>
      <c r="P1113" s="65">
        <v>16546.252310614338</v>
      </c>
      <c r="Q1113" s="50">
        <v>15443.4</v>
      </c>
      <c r="R1113" s="65">
        <v>0</v>
      </c>
      <c r="S1113" s="65">
        <v>276.54540977851002</v>
      </c>
      <c r="T1113" s="65">
        <v>1102.8523106143384</v>
      </c>
      <c r="U1113" s="65">
        <v>0</v>
      </c>
      <c r="V1113" s="65">
        <v>0</v>
      </c>
      <c r="W1113" s="65">
        <v>0</v>
      </c>
      <c r="X1113" s="65">
        <v>15167</v>
      </c>
      <c r="Y1113" s="65">
        <v>0</v>
      </c>
      <c r="Z1113" s="65">
        <v>0</v>
      </c>
      <c r="AA1113" s="51">
        <v>0</v>
      </c>
      <c r="AB1113" s="102">
        <v>0</v>
      </c>
      <c r="AC1113" s="81">
        <f t="shared" si="54"/>
        <v>285.27214839241543</v>
      </c>
      <c r="AD1113" s="82">
        <f t="shared" si="55"/>
        <v>51.985714285714288</v>
      </c>
      <c r="AE1113" s="218">
        <v>-7.1412532901714551E-2</v>
      </c>
      <c r="AF1113">
        <v>11</v>
      </c>
      <c r="AH1113" t="str">
        <f t="shared" si="53"/>
        <v>Gopalpur Bmc</v>
      </c>
      <c r="AJ1113" s="72">
        <v>0</v>
      </c>
      <c r="AK1113" s="72"/>
      <c r="AL1113" s="72"/>
      <c r="AM1113" s="72"/>
    </row>
    <row r="1114" spans="1:39" x14ac:dyDescent="0.25">
      <c r="A1114" s="37" t="s">
        <v>62</v>
      </c>
      <c r="B1114" s="66" t="s">
        <v>1615</v>
      </c>
      <c r="C1114" s="41">
        <v>1006</v>
      </c>
      <c r="D1114" s="41" t="s">
        <v>183</v>
      </c>
      <c r="E1114" s="41">
        <v>10060077</v>
      </c>
      <c r="F1114" s="85" t="s">
        <v>506</v>
      </c>
      <c r="G1114" s="39" t="s">
        <v>93</v>
      </c>
      <c r="H1114" s="52" t="s">
        <v>94</v>
      </c>
      <c r="I1114" s="52">
        <v>1181.5000000000005</v>
      </c>
      <c r="J1114" s="49">
        <v>46941.389999999992</v>
      </c>
      <c r="K1114" s="58">
        <v>1143.6999999999998</v>
      </c>
      <c r="L1114" s="58">
        <v>44621.706122000156</v>
      </c>
      <c r="M1114" s="58">
        <v>72.37</v>
      </c>
      <c r="N1114" s="58">
        <v>3215.1090543664004</v>
      </c>
      <c r="O1114" s="65">
        <v>1216.0699999999997</v>
      </c>
      <c r="P1114" s="65">
        <v>47836.815176366559</v>
      </c>
      <c r="Q1114" s="50">
        <v>46941.389999999992</v>
      </c>
      <c r="R1114" s="65">
        <v>0</v>
      </c>
      <c r="S1114" s="65">
        <v>671.43260052000016</v>
      </c>
      <c r="T1114" s="65">
        <v>895.42517636656703</v>
      </c>
      <c r="U1114" s="65">
        <v>6500</v>
      </c>
      <c r="V1114" s="65">
        <v>0</v>
      </c>
      <c r="W1114" s="65">
        <v>0</v>
      </c>
      <c r="X1114" s="65">
        <v>38826</v>
      </c>
      <c r="Y1114" s="65">
        <v>944</v>
      </c>
      <c r="Z1114" s="65">
        <v>0</v>
      </c>
      <c r="AA1114" s="51">
        <v>0</v>
      </c>
      <c r="AB1114" s="102" t="s">
        <v>66</v>
      </c>
      <c r="AC1114" s="81">
        <f t="shared" si="54"/>
        <v>0</v>
      </c>
      <c r="AD1114" s="82">
        <f t="shared" si="55"/>
        <v>0</v>
      </c>
      <c r="AE1114" s="218">
        <v>-1.9075386910497691E-2</v>
      </c>
      <c r="AF1114">
        <v>33</v>
      </c>
      <c r="AH1114" t="str">
        <f t="shared" si="53"/>
        <v>Sonvarsha</v>
      </c>
      <c r="AJ1114" s="72">
        <v>0</v>
      </c>
      <c r="AK1114" s="72"/>
      <c r="AL1114" s="72"/>
      <c r="AM1114" s="72"/>
    </row>
    <row r="1115" spans="1:39" x14ac:dyDescent="0.25">
      <c r="A1115" s="37" t="s">
        <v>62</v>
      </c>
      <c r="B1115" s="66" t="s">
        <v>1615</v>
      </c>
      <c r="C1115" s="41">
        <v>1006</v>
      </c>
      <c r="D1115" s="41" t="s">
        <v>183</v>
      </c>
      <c r="E1115" s="41">
        <v>10060083</v>
      </c>
      <c r="F1115" s="85" t="s">
        <v>502</v>
      </c>
      <c r="G1115" s="39" t="s">
        <v>635</v>
      </c>
      <c r="H1115" s="52" t="s">
        <v>99</v>
      </c>
      <c r="I1115" s="52">
        <v>1363.4</v>
      </c>
      <c r="J1115" s="49">
        <v>51264.670000000006</v>
      </c>
      <c r="K1115" s="58">
        <v>0</v>
      </c>
      <c r="L1115" s="58">
        <v>0</v>
      </c>
      <c r="M1115" s="58">
        <v>0</v>
      </c>
      <c r="N1115" s="58">
        <v>0</v>
      </c>
      <c r="O1115" s="65">
        <v>0</v>
      </c>
      <c r="P1115" s="65">
        <v>0</v>
      </c>
      <c r="Q1115" s="50">
        <v>51264.670000000006</v>
      </c>
      <c r="R1115" s="65">
        <v>0</v>
      </c>
      <c r="S1115" s="65">
        <v>0</v>
      </c>
      <c r="T1115" s="65">
        <v>0</v>
      </c>
      <c r="U1115" s="65">
        <v>0</v>
      </c>
      <c r="V1115" s="65">
        <v>0</v>
      </c>
      <c r="W1115" s="65">
        <v>0</v>
      </c>
      <c r="X1115" s="65">
        <v>0</v>
      </c>
      <c r="Y1115" s="65">
        <v>0</v>
      </c>
      <c r="Z1115" s="65">
        <v>51264.670000000006</v>
      </c>
      <c r="AA1115" s="51">
        <v>0</v>
      </c>
      <c r="AB1115" s="102">
        <v>0</v>
      </c>
      <c r="AC1115" s="81">
        <f t="shared" si="54"/>
        <v>0</v>
      </c>
      <c r="AD1115" s="82">
        <f t="shared" si="55"/>
        <v>0</v>
      </c>
      <c r="AE1115" s="218">
        <v>0</v>
      </c>
      <c r="AF1115">
        <v>0</v>
      </c>
      <c r="AH1115" t="str">
        <f t="shared" si="53"/>
        <v>Sonvarsha</v>
      </c>
      <c r="AJ1115" s="72">
        <v>0</v>
      </c>
      <c r="AK1115" s="72"/>
      <c r="AL1115" s="72"/>
      <c r="AM1115" s="72"/>
    </row>
    <row r="1116" spans="1:39" x14ac:dyDescent="0.25">
      <c r="A1116" s="37" t="s">
        <v>62</v>
      </c>
      <c r="B1116" s="66" t="s">
        <v>1615</v>
      </c>
      <c r="C1116" s="41">
        <v>1059</v>
      </c>
      <c r="D1116" s="41" t="s">
        <v>1347</v>
      </c>
      <c r="E1116" s="41">
        <v>10060090</v>
      </c>
      <c r="F1116" s="85" t="s">
        <v>535</v>
      </c>
      <c r="G1116" s="39" t="s">
        <v>93</v>
      </c>
      <c r="H1116" s="52" t="s">
        <v>94</v>
      </c>
      <c r="I1116" s="52">
        <v>756.7</v>
      </c>
      <c r="J1116" s="49">
        <v>33754.539999999994</v>
      </c>
      <c r="K1116" s="58">
        <v>803.1</v>
      </c>
      <c r="L1116" s="58">
        <v>35780.695789641199</v>
      </c>
      <c r="M1116" s="58">
        <v>0</v>
      </c>
      <c r="N1116" s="58">
        <v>0</v>
      </c>
      <c r="O1116" s="65">
        <v>803.1</v>
      </c>
      <c r="P1116" s="65">
        <v>35780.695789641199</v>
      </c>
      <c r="Q1116" s="50">
        <v>33754.539999999994</v>
      </c>
      <c r="R1116" s="65">
        <v>0</v>
      </c>
      <c r="S1116" s="65">
        <v>0</v>
      </c>
      <c r="T1116" s="65">
        <v>2026.155789641205</v>
      </c>
      <c r="U1116" s="65">
        <v>0</v>
      </c>
      <c r="V1116" s="65">
        <v>0</v>
      </c>
      <c r="W1116" s="65">
        <v>0</v>
      </c>
      <c r="X1116" s="65">
        <v>33755</v>
      </c>
      <c r="Y1116" s="65">
        <v>0</v>
      </c>
      <c r="Z1116" s="65">
        <v>0</v>
      </c>
      <c r="AA1116" s="51">
        <v>0</v>
      </c>
      <c r="AB1116" s="102">
        <v>0</v>
      </c>
      <c r="AC1116" s="81">
        <f t="shared" si="54"/>
        <v>0</v>
      </c>
      <c r="AD1116" s="82">
        <f t="shared" si="55"/>
        <v>0</v>
      </c>
      <c r="AE1116" s="218">
        <v>-6.0026170987405113E-2</v>
      </c>
      <c r="AF1116">
        <v>3</v>
      </c>
      <c r="AH1116" t="str">
        <f t="shared" si="53"/>
        <v>Gopalpur Bmc</v>
      </c>
      <c r="AJ1116" s="72">
        <v>0</v>
      </c>
      <c r="AK1116" s="72"/>
      <c r="AL1116" s="72"/>
      <c r="AM1116" s="72"/>
    </row>
    <row r="1117" spans="1:39" x14ac:dyDescent="0.25">
      <c r="A1117" s="37" t="s">
        <v>62</v>
      </c>
      <c r="B1117" s="66" t="s">
        <v>1615</v>
      </c>
      <c r="C1117" s="41">
        <v>1006</v>
      </c>
      <c r="D1117" s="41" t="s">
        <v>183</v>
      </c>
      <c r="E1117" s="41">
        <v>10060096</v>
      </c>
      <c r="F1117" s="85" t="s">
        <v>536</v>
      </c>
      <c r="G1117" s="39" t="s">
        <v>635</v>
      </c>
      <c r="H1117" s="52" t="s">
        <v>99</v>
      </c>
      <c r="I1117" s="52">
        <v>2953.8</v>
      </c>
      <c r="J1117" s="49">
        <v>108744.71</v>
      </c>
      <c r="K1117" s="58">
        <v>0</v>
      </c>
      <c r="L1117" s="58">
        <v>0</v>
      </c>
      <c r="M1117" s="58">
        <v>0</v>
      </c>
      <c r="N1117" s="58">
        <v>0</v>
      </c>
      <c r="O1117" s="65">
        <v>0</v>
      </c>
      <c r="P1117" s="65">
        <v>0</v>
      </c>
      <c r="Q1117" s="50">
        <v>108744.71</v>
      </c>
      <c r="R1117" s="65">
        <v>0</v>
      </c>
      <c r="S1117" s="65">
        <v>0</v>
      </c>
      <c r="T1117" s="65">
        <v>0</v>
      </c>
      <c r="U1117" s="65">
        <v>0</v>
      </c>
      <c r="V1117" s="65">
        <v>0</v>
      </c>
      <c r="W1117" s="65">
        <v>0</v>
      </c>
      <c r="X1117" s="65">
        <v>0</v>
      </c>
      <c r="Y1117" s="65">
        <v>0</v>
      </c>
      <c r="Z1117" s="65">
        <v>108744.71</v>
      </c>
      <c r="AA1117" s="51">
        <v>0</v>
      </c>
      <c r="AB1117" s="102">
        <v>0</v>
      </c>
      <c r="AC1117" s="81">
        <f t="shared" si="54"/>
        <v>0</v>
      </c>
      <c r="AD1117" s="82">
        <f t="shared" si="55"/>
        <v>0</v>
      </c>
      <c r="AE1117" s="218">
        <v>0</v>
      </c>
      <c r="AF1117">
        <v>0</v>
      </c>
      <c r="AH1117" t="str">
        <f t="shared" si="53"/>
        <v>Sonvarsha</v>
      </c>
      <c r="AJ1117" s="72">
        <v>0</v>
      </c>
      <c r="AK1117" s="72"/>
      <c r="AL1117" s="72"/>
      <c r="AM1117" s="72"/>
    </row>
    <row r="1118" spans="1:39" x14ac:dyDescent="0.25">
      <c r="A1118" s="37" t="s">
        <v>62</v>
      </c>
      <c r="B1118" s="66" t="s">
        <v>1615</v>
      </c>
      <c r="C1118" s="41">
        <v>1006</v>
      </c>
      <c r="D1118" s="41" t="s">
        <v>183</v>
      </c>
      <c r="E1118" s="41">
        <v>10060097</v>
      </c>
      <c r="F1118" s="85" t="s">
        <v>573</v>
      </c>
      <c r="G1118" s="39" t="s">
        <v>635</v>
      </c>
      <c r="H1118" s="52" t="s">
        <v>99</v>
      </c>
      <c r="I1118" s="52">
        <v>1644.6000000000001</v>
      </c>
      <c r="J1118" s="49">
        <v>62535.389999999992</v>
      </c>
      <c r="K1118" s="58">
        <v>0</v>
      </c>
      <c r="L1118" s="58">
        <v>0</v>
      </c>
      <c r="M1118" s="58">
        <v>0</v>
      </c>
      <c r="N1118" s="58">
        <v>0</v>
      </c>
      <c r="O1118" s="65">
        <v>0</v>
      </c>
      <c r="P1118" s="65">
        <v>0</v>
      </c>
      <c r="Q1118" s="50">
        <v>62535.389999999992</v>
      </c>
      <c r="R1118" s="65">
        <v>0</v>
      </c>
      <c r="S1118" s="65">
        <v>0</v>
      </c>
      <c r="T1118" s="65">
        <v>0</v>
      </c>
      <c r="U1118" s="65">
        <v>0</v>
      </c>
      <c r="V1118" s="65">
        <v>0</v>
      </c>
      <c r="W1118" s="65">
        <v>0</v>
      </c>
      <c r="X1118" s="65">
        <v>0</v>
      </c>
      <c r="Y1118" s="65">
        <v>0</v>
      </c>
      <c r="Z1118" s="65">
        <v>62535.389999999992</v>
      </c>
      <c r="AA1118" s="51">
        <v>0</v>
      </c>
      <c r="AB1118" s="102">
        <v>0</v>
      </c>
      <c r="AC1118" s="81">
        <f t="shared" si="54"/>
        <v>0</v>
      </c>
      <c r="AD1118" s="82">
        <f t="shared" si="55"/>
        <v>0</v>
      </c>
      <c r="AE1118" s="218">
        <v>0</v>
      </c>
      <c r="AF1118">
        <v>0</v>
      </c>
      <c r="AH1118" t="str">
        <f t="shared" si="53"/>
        <v>Sonvarsha</v>
      </c>
      <c r="AJ1118" s="72">
        <v>0</v>
      </c>
      <c r="AK1118" s="72"/>
      <c r="AL1118" s="72"/>
      <c r="AM1118" s="72"/>
    </row>
    <row r="1119" spans="1:39" x14ac:dyDescent="0.25">
      <c r="A1119" s="37" t="s">
        <v>62</v>
      </c>
      <c r="B1119" s="66" t="s">
        <v>1615</v>
      </c>
      <c r="C1119" s="41">
        <v>1006</v>
      </c>
      <c r="D1119" s="41" t="s">
        <v>183</v>
      </c>
      <c r="E1119" s="41">
        <v>10060098</v>
      </c>
      <c r="F1119" s="85" t="s">
        <v>664</v>
      </c>
      <c r="G1119" s="39" t="s">
        <v>93</v>
      </c>
      <c r="H1119" s="52" t="s">
        <v>94</v>
      </c>
      <c r="I1119" s="52">
        <v>1905.2</v>
      </c>
      <c r="J1119" s="49">
        <v>75270.650000000023</v>
      </c>
      <c r="K1119" s="58">
        <v>990.58</v>
      </c>
      <c r="L1119" s="58">
        <v>43493.169278445341</v>
      </c>
      <c r="M1119" s="58">
        <v>911.88</v>
      </c>
      <c r="N1119" s="58">
        <v>34864.607347020006</v>
      </c>
      <c r="O1119" s="65">
        <v>1902.46</v>
      </c>
      <c r="P1119" s="65">
        <v>78357.77662546534</v>
      </c>
      <c r="Q1119" s="50">
        <v>75270.650000000023</v>
      </c>
      <c r="R1119" s="65">
        <v>0</v>
      </c>
      <c r="S1119" s="65">
        <v>422.08435368000005</v>
      </c>
      <c r="T1119" s="65">
        <v>3087.1266254653165</v>
      </c>
      <c r="U1119" s="65">
        <v>2600</v>
      </c>
      <c r="V1119" s="65">
        <v>0</v>
      </c>
      <c r="W1119" s="65">
        <v>0</v>
      </c>
      <c r="X1119" s="65">
        <v>37807</v>
      </c>
      <c r="Y1119" s="65">
        <v>34442</v>
      </c>
      <c r="Z1119" s="65">
        <v>0</v>
      </c>
      <c r="AA1119" s="51">
        <v>0</v>
      </c>
      <c r="AB1119" s="102" t="s">
        <v>66</v>
      </c>
      <c r="AC1119" s="81">
        <f t="shared" si="54"/>
        <v>0</v>
      </c>
      <c r="AD1119" s="82">
        <f t="shared" si="55"/>
        <v>0</v>
      </c>
      <c r="AE1119" s="218">
        <v>-4.1013683626557169E-2</v>
      </c>
      <c r="AF1119">
        <v>17</v>
      </c>
      <c r="AH1119" t="str">
        <f t="shared" si="53"/>
        <v>Sonvarsha</v>
      </c>
      <c r="AJ1119" s="72">
        <v>0</v>
      </c>
      <c r="AK1119" s="72"/>
      <c r="AL1119" s="72"/>
      <c r="AM1119" s="72"/>
    </row>
    <row r="1120" spans="1:39" x14ac:dyDescent="0.25">
      <c r="A1120" s="37" t="s">
        <v>62</v>
      </c>
      <c r="B1120" s="66" t="s">
        <v>1615</v>
      </c>
      <c r="C1120" s="41">
        <v>1006</v>
      </c>
      <c r="D1120" s="41" t="s">
        <v>183</v>
      </c>
      <c r="E1120" s="41">
        <v>10060104</v>
      </c>
      <c r="F1120" s="85" t="s">
        <v>670</v>
      </c>
      <c r="G1120" s="39" t="s">
        <v>635</v>
      </c>
      <c r="H1120" s="52" t="s">
        <v>99</v>
      </c>
      <c r="I1120" s="52">
        <v>1601.2</v>
      </c>
      <c r="J1120" s="49">
        <v>55938.260000000009</v>
      </c>
      <c r="K1120" s="58">
        <v>0</v>
      </c>
      <c r="L1120" s="58">
        <v>0</v>
      </c>
      <c r="M1120" s="58">
        <v>0</v>
      </c>
      <c r="N1120" s="58">
        <v>0</v>
      </c>
      <c r="O1120" s="65">
        <v>0</v>
      </c>
      <c r="P1120" s="65">
        <v>0</v>
      </c>
      <c r="Q1120" s="50">
        <v>55938.260000000009</v>
      </c>
      <c r="R1120" s="65">
        <v>0</v>
      </c>
      <c r="S1120" s="65">
        <v>0</v>
      </c>
      <c r="T1120" s="65">
        <v>0</v>
      </c>
      <c r="U1120" s="65">
        <v>0</v>
      </c>
      <c r="V1120" s="65">
        <v>0</v>
      </c>
      <c r="W1120" s="65">
        <v>0</v>
      </c>
      <c r="X1120" s="65">
        <v>0</v>
      </c>
      <c r="Y1120" s="65">
        <v>0</v>
      </c>
      <c r="Z1120" s="65">
        <v>55938.260000000009</v>
      </c>
      <c r="AA1120" s="51">
        <v>0</v>
      </c>
      <c r="AB1120" s="102">
        <v>0</v>
      </c>
      <c r="AC1120" s="81">
        <f t="shared" si="54"/>
        <v>0</v>
      </c>
      <c r="AD1120" s="82">
        <f t="shared" si="55"/>
        <v>0</v>
      </c>
      <c r="AE1120" s="218">
        <v>0</v>
      </c>
      <c r="AF1120">
        <v>0</v>
      </c>
      <c r="AH1120" t="str">
        <f t="shared" si="53"/>
        <v>Sonvarsha</v>
      </c>
      <c r="AJ1120" s="72">
        <v>0</v>
      </c>
      <c r="AK1120" s="72"/>
      <c r="AL1120" s="72"/>
      <c r="AM1120" s="72"/>
    </row>
    <row r="1121" spans="1:39" x14ac:dyDescent="0.25">
      <c r="A1121" s="37" t="s">
        <v>62</v>
      </c>
      <c r="B1121" s="66" t="s">
        <v>1615</v>
      </c>
      <c r="C1121" s="41">
        <v>1006</v>
      </c>
      <c r="D1121" s="41" t="s">
        <v>183</v>
      </c>
      <c r="E1121" s="41">
        <v>10060106</v>
      </c>
      <c r="F1121" s="85" t="s">
        <v>698</v>
      </c>
      <c r="G1121" s="39" t="s">
        <v>93</v>
      </c>
      <c r="H1121" s="52" t="s">
        <v>94</v>
      </c>
      <c r="I1121" s="52">
        <v>554.39999999999986</v>
      </c>
      <c r="J1121" s="49">
        <v>26107.210000000003</v>
      </c>
      <c r="K1121" s="58">
        <v>544.89</v>
      </c>
      <c r="L1121" s="58">
        <v>27835.00037235791</v>
      </c>
      <c r="M1121" s="58">
        <v>6.75</v>
      </c>
      <c r="N1121" s="58">
        <v>288.15976172401008</v>
      </c>
      <c r="O1121" s="65">
        <v>551.64</v>
      </c>
      <c r="P1121" s="65">
        <v>28123.160134081922</v>
      </c>
      <c r="Q1121" s="50">
        <v>26107.210000000003</v>
      </c>
      <c r="R1121" s="65">
        <v>0</v>
      </c>
      <c r="S1121" s="65">
        <v>288.15976172401008</v>
      </c>
      <c r="T1121" s="65">
        <v>2015.9501340819188</v>
      </c>
      <c r="U1121" s="65">
        <v>3900</v>
      </c>
      <c r="V1121" s="65">
        <v>0</v>
      </c>
      <c r="W1121" s="65">
        <v>0</v>
      </c>
      <c r="X1121" s="65">
        <v>21919</v>
      </c>
      <c r="Y1121" s="65">
        <v>0</v>
      </c>
      <c r="Z1121" s="65">
        <v>0</v>
      </c>
      <c r="AA1121" s="51">
        <v>0</v>
      </c>
      <c r="AB1121" s="102" t="s">
        <v>68</v>
      </c>
      <c r="AC1121" s="81">
        <f t="shared" si="54"/>
        <v>137.12877979798006</v>
      </c>
      <c r="AD1121" s="82">
        <f t="shared" si="55"/>
        <v>79.199999999999974</v>
      </c>
      <c r="AE1121" s="218">
        <v>-7.7218137598078024E-2</v>
      </c>
      <c r="AF1121">
        <v>9</v>
      </c>
      <c r="AH1121" t="str">
        <f t="shared" si="53"/>
        <v>Sonvarsha</v>
      </c>
      <c r="AJ1121" s="72">
        <v>0</v>
      </c>
      <c r="AK1121" s="72"/>
      <c r="AL1121" s="72"/>
      <c r="AM1121" s="72"/>
    </row>
    <row r="1122" spans="1:39" x14ac:dyDescent="0.25">
      <c r="A1122" s="37" t="s">
        <v>62</v>
      </c>
      <c r="B1122" s="66" t="s">
        <v>1615</v>
      </c>
      <c r="C1122" s="41">
        <v>1006</v>
      </c>
      <c r="D1122" s="41" t="s">
        <v>183</v>
      </c>
      <c r="E1122" s="41">
        <v>10060107</v>
      </c>
      <c r="F1122" s="85" t="s">
        <v>661</v>
      </c>
      <c r="G1122" s="39" t="s">
        <v>635</v>
      </c>
      <c r="H1122" s="52" t="s">
        <v>99</v>
      </c>
      <c r="I1122" s="52">
        <v>591.59999999999991</v>
      </c>
      <c r="J1122" s="49">
        <v>23911.949999999997</v>
      </c>
      <c r="K1122" s="58">
        <v>0</v>
      </c>
      <c r="L1122" s="58">
        <v>0</v>
      </c>
      <c r="M1122" s="58">
        <v>0</v>
      </c>
      <c r="N1122" s="58">
        <v>0</v>
      </c>
      <c r="O1122" s="65">
        <v>0</v>
      </c>
      <c r="P1122" s="65">
        <v>0</v>
      </c>
      <c r="Q1122" s="50">
        <v>23911.949999999997</v>
      </c>
      <c r="R1122" s="65">
        <v>0</v>
      </c>
      <c r="S1122" s="65">
        <v>0</v>
      </c>
      <c r="T1122" s="65">
        <v>0</v>
      </c>
      <c r="U1122" s="65">
        <v>0</v>
      </c>
      <c r="V1122" s="65">
        <v>0</v>
      </c>
      <c r="W1122" s="65">
        <v>0</v>
      </c>
      <c r="X1122" s="65">
        <v>0</v>
      </c>
      <c r="Y1122" s="65">
        <v>0</v>
      </c>
      <c r="Z1122" s="65">
        <v>23911.949999999997</v>
      </c>
      <c r="AA1122" s="51">
        <v>0</v>
      </c>
      <c r="AB1122" s="102">
        <v>0</v>
      </c>
      <c r="AC1122" s="81">
        <f t="shared" si="54"/>
        <v>87.628647058823589</v>
      </c>
      <c r="AD1122" s="82">
        <f t="shared" si="55"/>
        <v>84.514285714285705</v>
      </c>
      <c r="AE1122" s="218">
        <v>0</v>
      </c>
      <c r="AF1122">
        <v>0</v>
      </c>
      <c r="AH1122" t="str">
        <f t="shared" si="53"/>
        <v>Sonvarsha</v>
      </c>
      <c r="AJ1122" s="72">
        <v>0</v>
      </c>
      <c r="AK1122" s="72"/>
      <c r="AL1122" s="72"/>
      <c r="AM1122" s="72"/>
    </row>
    <row r="1123" spans="1:39" x14ac:dyDescent="0.25">
      <c r="A1123" s="37" t="s">
        <v>62</v>
      </c>
      <c r="B1123" s="66" t="s">
        <v>1615</v>
      </c>
      <c r="C1123" s="41">
        <v>1006</v>
      </c>
      <c r="D1123" s="41" t="s">
        <v>183</v>
      </c>
      <c r="E1123" s="41">
        <v>10060109</v>
      </c>
      <c r="F1123" s="85" t="s">
        <v>1124</v>
      </c>
      <c r="G1123" s="39" t="s">
        <v>93</v>
      </c>
      <c r="H1123" s="52" t="s">
        <v>94</v>
      </c>
      <c r="I1123" s="52">
        <v>13.7</v>
      </c>
      <c r="J1123" s="49">
        <v>406</v>
      </c>
      <c r="K1123" s="58">
        <v>13.6</v>
      </c>
      <c r="L1123" s="58">
        <v>430.45351351200003</v>
      </c>
      <c r="M1123" s="58">
        <v>0.2</v>
      </c>
      <c r="N1123" s="58">
        <v>6.8721131160000004</v>
      </c>
      <c r="O1123" s="65">
        <v>13.799999999999999</v>
      </c>
      <c r="P1123" s="65">
        <v>437.32562662800001</v>
      </c>
      <c r="Q1123" s="50">
        <v>406</v>
      </c>
      <c r="R1123" s="65">
        <v>0</v>
      </c>
      <c r="S1123" s="65">
        <v>6.8721131160000004</v>
      </c>
      <c r="T1123" s="65">
        <v>31.325626628000009</v>
      </c>
      <c r="U1123" s="65">
        <v>0</v>
      </c>
      <c r="V1123" s="65">
        <v>108.2118</v>
      </c>
      <c r="W1123" s="65">
        <v>0</v>
      </c>
      <c r="X1123" s="65">
        <v>291</v>
      </c>
      <c r="Y1123" s="65">
        <v>0</v>
      </c>
      <c r="Z1123" s="65">
        <v>0</v>
      </c>
      <c r="AA1123" s="51">
        <v>0</v>
      </c>
      <c r="AB1123" s="102">
        <v>0</v>
      </c>
      <c r="AC1123" s="81">
        <f t="shared" si="54"/>
        <v>406.77051094890516</v>
      </c>
      <c r="AD1123" s="82">
        <f t="shared" si="55"/>
        <v>1.9571428571428571</v>
      </c>
      <c r="AE1123" s="218">
        <v>-7.7156715832512338E-2</v>
      </c>
      <c r="AF1123">
        <v>2</v>
      </c>
      <c r="AH1123" t="str">
        <f t="shared" si="53"/>
        <v>Sonvarsha</v>
      </c>
      <c r="AJ1123" s="72">
        <v>0</v>
      </c>
      <c r="AK1123" s="72"/>
      <c r="AL1123" s="72"/>
      <c r="AM1123" s="72"/>
    </row>
    <row r="1124" spans="1:39" x14ac:dyDescent="0.25">
      <c r="A1124" s="37" t="s">
        <v>62</v>
      </c>
      <c r="B1124" s="66" t="s">
        <v>1615</v>
      </c>
      <c r="C1124" s="41">
        <v>1006</v>
      </c>
      <c r="D1124" s="41" t="s">
        <v>183</v>
      </c>
      <c r="E1124" s="41">
        <v>10060111</v>
      </c>
      <c r="F1124" s="85" t="s">
        <v>847</v>
      </c>
      <c r="G1124" s="39" t="s">
        <v>93</v>
      </c>
      <c r="H1124" s="52" t="s">
        <v>94</v>
      </c>
      <c r="I1124" s="52">
        <v>581.1</v>
      </c>
      <c r="J1124" s="49">
        <v>23645.87</v>
      </c>
      <c r="K1124" s="58">
        <v>735.69999999999982</v>
      </c>
      <c r="L1124" s="58">
        <v>45837.582681203792</v>
      </c>
      <c r="M1124" s="58">
        <v>0</v>
      </c>
      <c r="N1124" s="58">
        <v>0</v>
      </c>
      <c r="O1124" s="65">
        <v>735.69999999999982</v>
      </c>
      <c r="P1124" s="65">
        <v>45837.582681203792</v>
      </c>
      <c r="Q1124" s="50">
        <v>23645.87</v>
      </c>
      <c r="R1124" s="65">
        <v>0</v>
      </c>
      <c r="S1124" s="65">
        <v>0</v>
      </c>
      <c r="T1124" s="65">
        <v>22191.712681203793</v>
      </c>
      <c r="U1124" s="65">
        <v>0</v>
      </c>
      <c r="V1124" s="65">
        <v>0</v>
      </c>
      <c r="W1124" s="65">
        <v>0</v>
      </c>
      <c r="X1124" s="65">
        <v>0</v>
      </c>
      <c r="Y1124" s="65">
        <v>0</v>
      </c>
      <c r="Z1124" s="65">
        <v>0</v>
      </c>
      <c r="AA1124" s="51">
        <v>23646</v>
      </c>
      <c r="AB1124" s="102" t="s">
        <v>65</v>
      </c>
      <c r="AC1124" s="81">
        <f t="shared" si="54"/>
        <v>96.764548029599013</v>
      </c>
      <c r="AD1124" s="82">
        <f t="shared" si="55"/>
        <v>83.01428571428572</v>
      </c>
      <c r="AE1124" s="218">
        <v>-0.93850269333307657</v>
      </c>
      <c r="AF1124">
        <v>3</v>
      </c>
      <c r="AH1124" t="str">
        <f t="shared" si="53"/>
        <v>Sonvarsha</v>
      </c>
      <c r="AJ1124" s="72">
        <v>0</v>
      </c>
      <c r="AK1124" s="72"/>
      <c r="AL1124" s="72"/>
      <c r="AM1124" s="72"/>
    </row>
    <row r="1125" spans="1:39" x14ac:dyDescent="0.25">
      <c r="A1125" s="37" t="s">
        <v>62</v>
      </c>
      <c r="B1125" s="66" t="s">
        <v>1615</v>
      </c>
      <c r="C1125" s="41">
        <v>1006</v>
      </c>
      <c r="D1125" s="41" t="s">
        <v>183</v>
      </c>
      <c r="E1125" s="41">
        <v>10060113</v>
      </c>
      <c r="F1125" s="85" t="s">
        <v>848</v>
      </c>
      <c r="G1125" s="39" t="s">
        <v>635</v>
      </c>
      <c r="H1125" s="52" t="s">
        <v>99</v>
      </c>
      <c r="I1125" s="52">
        <v>677.80000000000007</v>
      </c>
      <c r="J1125" s="49">
        <v>25743.380000000005</v>
      </c>
      <c r="K1125" s="58">
        <v>0</v>
      </c>
      <c r="L1125" s="58">
        <v>0</v>
      </c>
      <c r="M1125" s="58">
        <v>0</v>
      </c>
      <c r="N1125" s="58">
        <v>0</v>
      </c>
      <c r="O1125" s="65">
        <v>0</v>
      </c>
      <c r="P1125" s="65">
        <v>0</v>
      </c>
      <c r="Q1125" s="50">
        <v>25743.380000000005</v>
      </c>
      <c r="R1125" s="65">
        <v>0</v>
      </c>
      <c r="S1125" s="65">
        <v>0</v>
      </c>
      <c r="T1125" s="65">
        <v>0</v>
      </c>
      <c r="U1125" s="65">
        <v>0</v>
      </c>
      <c r="V1125" s="65">
        <v>0</v>
      </c>
      <c r="W1125" s="65">
        <v>0</v>
      </c>
      <c r="X1125" s="65">
        <v>0</v>
      </c>
      <c r="Y1125" s="65">
        <v>0</v>
      </c>
      <c r="Z1125" s="65">
        <v>25743.380000000005</v>
      </c>
      <c r="AA1125" s="51">
        <v>0</v>
      </c>
      <c r="AB1125" s="102">
        <v>0</v>
      </c>
      <c r="AC1125" s="81">
        <f t="shared" si="54"/>
        <v>16.863471112422502</v>
      </c>
      <c r="AD1125" s="82">
        <f t="shared" si="55"/>
        <v>96.828571428571436</v>
      </c>
      <c r="AE1125" s="218">
        <v>0</v>
      </c>
      <c r="AF1125">
        <v>0</v>
      </c>
      <c r="AH1125" t="str">
        <f t="shared" si="53"/>
        <v>Sonvarsha</v>
      </c>
      <c r="AJ1125" s="72">
        <v>0</v>
      </c>
      <c r="AK1125" s="72"/>
      <c r="AL1125" s="72"/>
      <c r="AM1125" s="72"/>
    </row>
    <row r="1126" spans="1:39" x14ac:dyDescent="0.25">
      <c r="A1126" s="37" t="s">
        <v>62</v>
      </c>
      <c r="B1126" s="66" t="s">
        <v>1615</v>
      </c>
      <c r="C1126" s="41">
        <v>1006</v>
      </c>
      <c r="D1126" s="41" t="s">
        <v>183</v>
      </c>
      <c r="E1126" s="41">
        <v>10060114</v>
      </c>
      <c r="F1126" s="85" t="s">
        <v>1129</v>
      </c>
      <c r="G1126" s="39" t="s">
        <v>93</v>
      </c>
      <c r="H1126" s="52" t="s">
        <v>94</v>
      </c>
      <c r="I1126" s="52">
        <v>372</v>
      </c>
      <c r="J1126" s="49">
        <v>14987.410000000002</v>
      </c>
      <c r="K1126" s="58">
        <v>372</v>
      </c>
      <c r="L1126" s="58">
        <v>14972.951252160001</v>
      </c>
      <c r="M1126" s="58">
        <v>0</v>
      </c>
      <c r="N1126" s="58">
        <v>0</v>
      </c>
      <c r="O1126" s="65">
        <v>372</v>
      </c>
      <c r="P1126" s="65">
        <v>14972.951252160001</v>
      </c>
      <c r="Q1126" s="50">
        <v>14972.951252160001</v>
      </c>
      <c r="R1126" s="65">
        <v>0</v>
      </c>
      <c r="S1126" s="65">
        <v>0</v>
      </c>
      <c r="T1126" s="65">
        <v>0</v>
      </c>
      <c r="U1126" s="65">
        <v>0</v>
      </c>
      <c r="V1126" s="65">
        <v>0</v>
      </c>
      <c r="W1126" s="65">
        <v>0</v>
      </c>
      <c r="X1126" s="65">
        <v>14973</v>
      </c>
      <c r="Y1126" s="65">
        <v>0</v>
      </c>
      <c r="Z1126" s="65">
        <v>0</v>
      </c>
      <c r="AA1126" s="51">
        <v>14</v>
      </c>
      <c r="AB1126" s="102">
        <v>0</v>
      </c>
      <c r="AC1126" s="81">
        <f t="shared" si="54"/>
        <v>264.29411182795701</v>
      </c>
      <c r="AD1126" s="82">
        <f t="shared" si="55"/>
        <v>53.142857142857146</v>
      </c>
      <c r="AE1126" s="218">
        <v>9.6472624956552163E-4</v>
      </c>
      <c r="AF1126">
        <v>1</v>
      </c>
      <c r="AH1126" t="str">
        <f t="shared" si="53"/>
        <v>Sonvarsha</v>
      </c>
      <c r="AJ1126" s="72">
        <v>0</v>
      </c>
      <c r="AK1126" s="72"/>
      <c r="AL1126" s="72"/>
      <c r="AM1126" s="72"/>
    </row>
    <row r="1127" spans="1:39" x14ac:dyDescent="0.25">
      <c r="A1127" s="37" t="s">
        <v>62</v>
      </c>
      <c r="B1127" s="66" t="s">
        <v>1615</v>
      </c>
      <c r="C1127" s="41">
        <v>1006</v>
      </c>
      <c r="D1127" s="41" t="s">
        <v>183</v>
      </c>
      <c r="E1127" s="41">
        <v>10060116</v>
      </c>
      <c r="F1127" s="85" t="s">
        <v>1189</v>
      </c>
      <c r="G1127" s="39" t="s">
        <v>93</v>
      </c>
      <c r="H1127" s="52" t="s">
        <v>94</v>
      </c>
      <c r="I1127" s="52">
        <v>141.1</v>
      </c>
      <c r="J1127" s="49">
        <v>5520.42</v>
      </c>
      <c r="K1127" s="58">
        <v>140.1</v>
      </c>
      <c r="L1127" s="58">
        <v>5481.5592546000007</v>
      </c>
      <c r="M1127" s="58">
        <v>2.9999999999999996</v>
      </c>
      <c r="N1127" s="58">
        <v>115.29206568000002</v>
      </c>
      <c r="O1127" s="65">
        <v>143.1</v>
      </c>
      <c r="P1127" s="65">
        <v>5596.8513202800004</v>
      </c>
      <c r="Q1127" s="50">
        <v>5520.42</v>
      </c>
      <c r="R1127" s="65">
        <v>0</v>
      </c>
      <c r="S1127" s="65">
        <v>115.29206568000002</v>
      </c>
      <c r="T1127" s="65">
        <v>76.431320280000364</v>
      </c>
      <c r="U1127" s="65">
        <v>0</v>
      </c>
      <c r="V1127" s="65">
        <v>177.77387999999985</v>
      </c>
      <c r="W1127" s="65">
        <v>0</v>
      </c>
      <c r="X1127" s="65">
        <v>5227</v>
      </c>
      <c r="Y1127" s="65">
        <v>0</v>
      </c>
      <c r="Z1127" s="65">
        <v>0</v>
      </c>
      <c r="AA1127" s="51">
        <v>0</v>
      </c>
      <c r="AB1127" s="102">
        <v>0</v>
      </c>
      <c r="AC1127" s="81">
        <f t="shared" si="54"/>
        <v>437.32994160170091</v>
      </c>
      <c r="AD1127" s="82">
        <f t="shared" si="55"/>
        <v>20.157142857142855</v>
      </c>
      <c r="AE1127" s="218">
        <v>-1.3845200234764812E-2</v>
      </c>
      <c r="AF1127">
        <v>2</v>
      </c>
      <c r="AH1127" t="str">
        <f t="shared" si="53"/>
        <v>Sonvarsha</v>
      </c>
      <c r="AJ1127" s="72">
        <v>0</v>
      </c>
      <c r="AK1127" s="72"/>
      <c r="AL1127" s="72"/>
      <c r="AM1127" s="72"/>
    </row>
    <row r="1128" spans="1:39" x14ac:dyDescent="0.25">
      <c r="A1128" s="37" t="s">
        <v>62</v>
      </c>
      <c r="B1128" s="66" t="s">
        <v>1615</v>
      </c>
      <c r="C1128" s="41">
        <v>1006</v>
      </c>
      <c r="D1128" s="41" t="s">
        <v>183</v>
      </c>
      <c r="E1128" s="41">
        <v>10060118</v>
      </c>
      <c r="F1128" s="85" t="s">
        <v>1195</v>
      </c>
      <c r="G1128" s="39" t="s">
        <v>93</v>
      </c>
      <c r="H1128" s="52" t="s">
        <v>94</v>
      </c>
      <c r="I1128" s="52">
        <v>412.69999999999993</v>
      </c>
      <c r="J1128" s="49">
        <v>15723.909999999998</v>
      </c>
      <c r="K1128" s="58">
        <v>439.2</v>
      </c>
      <c r="L1128" s="58">
        <v>16555.415383698004</v>
      </c>
      <c r="M1128" s="58">
        <v>3.9999999999999996</v>
      </c>
      <c r="N1128" s="58">
        <v>148.297141278</v>
      </c>
      <c r="O1128" s="65">
        <v>443.2</v>
      </c>
      <c r="P1128" s="65">
        <v>16703.712524976003</v>
      </c>
      <c r="Q1128" s="50">
        <v>15723.909999999998</v>
      </c>
      <c r="R1128" s="65">
        <v>0</v>
      </c>
      <c r="S1128" s="65">
        <v>148.297141278</v>
      </c>
      <c r="T1128" s="65">
        <v>979.80252497600486</v>
      </c>
      <c r="U1128" s="65">
        <v>0</v>
      </c>
      <c r="V1128" s="65">
        <v>1139.2511032258058</v>
      </c>
      <c r="W1128" s="65">
        <v>0</v>
      </c>
      <c r="X1128" s="65">
        <v>14436</v>
      </c>
      <c r="Y1128" s="65">
        <v>0</v>
      </c>
      <c r="Z1128" s="65">
        <v>0</v>
      </c>
      <c r="AA1128" s="51">
        <v>0</v>
      </c>
      <c r="AB1128" s="102">
        <v>0</v>
      </c>
      <c r="AC1128" s="81">
        <f t="shared" si="54"/>
        <v>218.92315691785808</v>
      </c>
      <c r="AD1128" s="82">
        <f t="shared" si="55"/>
        <v>58.957142857142848</v>
      </c>
      <c r="AE1128" s="218">
        <v>-6.2312905948711549E-2</v>
      </c>
      <c r="AF1128">
        <v>2</v>
      </c>
      <c r="AH1128" t="str">
        <f t="shared" si="53"/>
        <v>Sonvarsha</v>
      </c>
      <c r="AJ1128" s="72">
        <v>0</v>
      </c>
      <c r="AK1128" s="72"/>
      <c r="AL1128" s="72"/>
      <c r="AM1128" s="72"/>
    </row>
    <row r="1129" spans="1:39" x14ac:dyDescent="0.25">
      <c r="A1129" s="37" t="s">
        <v>62</v>
      </c>
      <c r="B1129" s="66" t="s">
        <v>1615</v>
      </c>
      <c r="C1129" s="41">
        <v>1006</v>
      </c>
      <c r="D1129" s="41" t="s">
        <v>183</v>
      </c>
      <c r="E1129" s="41">
        <v>10060120</v>
      </c>
      <c r="F1129" s="85" t="s">
        <v>1421</v>
      </c>
      <c r="G1129" s="39" t="s">
        <v>635</v>
      </c>
      <c r="H1129" s="52" t="s">
        <v>99</v>
      </c>
      <c r="I1129" s="52">
        <v>188.09999999999997</v>
      </c>
      <c r="J1129" s="49">
        <v>8348.1499999999978</v>
      </c>
      <c r="K1129" s="58">
        <v>0</v>
      </c>
      <c r="L1129" s="58">
        <v>0</v>
      </c>
      <c r="M1129" s="58">
        <v>0</v>
      </c>
      <c r="N1129" s="58">
        <v>0</v>
      </c>
      <c r="O1129" s="65">
        <v>0</v>
      </c>
      <c r="P1129" s="65">
        <v>0</v>
      </c>
      <c r="Q1129" s="50">
        <v>8348.1499999999978</v>
      </c>
      <c r="R1129" s="65">
        <v>0</v>
      </c>
      <c r="S1129" s="65">
        <v>0</v>
      </c>
      <c r="T1129" s="65">
        <v>0</v>
      </c>
      <c r="U1129" s="65">
        <v>0</v>
      </c>
      <c r="V1129" s="65">
        <v>633.84671612903276</v>
      </c>
      <c r="W1129" s="65">
        <v>0</v>
      </c>
      <c r="X1129" s="65">
        <v>0</v>
      </c>
      <c r="Y1129" s="65">
        <v>0</v>
      </c>
      <c r="Z1129" s="65">
        <v>7714.3032838709651</v>
      </c>
      <c r="AA1129" s="51">
        <v>0</v>
      </c>
      <c r="AB1129" s="102">
        <v>0</v>
      </c>
      <c r="AC1129" s="81">
        <f t="shared" si="54"/>
        <v>454.37724455077085</v>
      </c>
      <c r="AD1129" s="82">
        <f t="shared" si="55"/>
        <v>26.871428571428567</v>
      </c>
      <c r="AE1129" s="218">
        <v>0</v>
      </c>
      <c r="AF1129">
        <v>0</v>
      </c>
      <c r="AH1129" t="str">
        <f t="shared" si="53"/>
        <v>Sonvarsha</v>
      </c>
      <c r="AJ1129" s="72">
        <v>0</v>
      </c>
      <c r="AK1129" s="72"/>
      <c r="AL1129" s="72"/>
      <c r="AM1129" s="72"/>
    </row>
    <row r="1130" spans="1:39" x14ac:dyDescent="0.25">
      <c r="A1130" s="37" t="s">
        <v>62</v>
      </c>
      <c r="B1130" s="66" t="s">
        <v>1615</v>
      </c>
      <c r="C1130" s="41">
        <v>1006</v>
      </c>
      <c r="D1130" s="41" t="s">
        <v>183</v>
      </c>
      <c r="E1130" s="41">
        <v>10060122</v>
      </c>
      <c r="F1130" s="85" t="s">
        <v>1216</v>
      </c>
      <c r="G1130" s="39" t="s">
        <v>635</v>
      </c>
      <c r="H1130" s="52" t="s">
        <v>99</v>
      </c>
      <c r="I1130" s="52">
        <v>211.7</v>
      </c>
      <c r="J1130" s="49">
        <v>7649.7</v>
      </c>
      <c r="K1130" s="58">
        <v>0</v>
      </c>
      <c r="L1130" s="58">
        <v>0</v>
      </c>
      <c r="M1130" s="58">
        <v>0</v>
      </c>
      <c r="N1130" s="58">
        <v>0</v>
      </c>
      <c r="O1130" s="65">
        <v>0</v>
      </c>
      <c r="P1130" s="65">
        <v>0</v>
      </c>
      <c r="Q1130" s="50">
        <v>7649.7</v>
      </c>
      <c r="R1130" s="65">
        <v>0</v>
      </c>
      <c r="S1130" s="65">
        <v>0</v>
      </c>
      <c r="T1130" s="65">
        <v>0</v>
      </c>
      <c r="U1130" s="65">
        <v>6500</v>
      </c>
      <c r="V1130" s="65">
        <v>7.5994064516129143</v>
      </c>
      <c r="W1130" s="65">
        <v>0</v>
      </c>
      <c r="X1130" s="65">
        <v>0</v>
      </c>
      <c r="Y1130" s="65">
        <v>0</v>
      </c>
      <c r="Z1130" s="65">
        <v>1142.100593548387</v>
      </c>
      <c r="AA1130" s="51">
        <v>0</v>
      </c>
      <c r="AB1130" s="102">
        <v>0</v>
      </c>
      <c r="AC1130" s="81">
        <f t="shared" si="54"/>
        <v>352.89074256022678</v>
      </c>
      <c r="AD1130" s="82">
        <f t="shared" si="55"/>
        <v>30.24285714285714</v>
      </c>
      <c r="AE1130" s="218">
        <v>0</v>
      </c>
      <c r="AF1130">
        <v>0</v>
      </c>
      <c r="AH1130" t="str">
        <f t="shared" si="53"/>
        <v>Sonvarsha</v>
      </c>
      <c r="AJ1130" s="72">
        <v>0</v>
      </c>
      <c r="AK1130" s="72"/>
      <c r="AL1130" s="72"/>
      <c r="AM1130" s="72"/>
    </row>
    <row r="1131" spans="1:39" x14ac:dyDescent="0.25">
      <c r="A1131" s="37" t="s">
        <v>62</v>
      </c>
      <c r="B1131" s="66" t="s">
        <v>1615</v>
      </c>
      <c r="C1131" s="41">
        <v>1059</v>
      </c>
      <c r="D1131" s="41" t="s">
        <v>1347</v>
      </c>
      <c r="E1131" s="41">
        <v>10060124</v>
      </c>
      <c r="F1131" s="85" t="s">
        <v>1264</v>
      </c>
      <c r="G1131" s="39" t="s">
        <v>93</v>
      </c>
      <c r="H1131" s="52" t="s">
        <v>94</v>
      </c>
      <c r="I1131" s="52">
        <v>26.5</v>
      </c>
      <c r="J1131" s="49">
        <v>1134.8699999999999</v>
      </c>
      <c r="K1131" s="58">
        <v>27.91</v>
      </c>
      <c r="L1131" s="58">
        <v>1054.9467592092001</v>
      </c>
      <c r="M1131" s="58">
        <v>0</v>
      </c>
      <c r="N1131" s="58">
        <v>0</v>
      </c>
      <c r="O1131" s="65">
        <v>27.91</v>
      </c>
      <c r="P1131" s="65">
        <v>1054.9467592092001</v>
      </c>
      <c r="Q1131" s="50">
        <v>1054.9467592092001</v>
      </c>
      <c r="R1131" s="65">
        <v>0</v>
      </c>
      <c r="S1131" s="65">
        <v>0</v>
      </c>
      <c r="T1131" s="65">
        <v>0</v>
      </c>
      <c r="U1131" s="65">
        <v>0</v>
      </c>
      <c r="V1131" s="65">
        <v>144.13984800000003</v>
      </c>
      <c r="W1131" s="65">
        <v>0</v>
      </c>
      <c r="X1131" s="65">
        <v>911</v>
      </c>
      <c r="Y1131" s="65">
        <v>0</v>
      </c>
      <c r="Z1131" s="65">
        <v>0</v>
      </c>
      <c r="AA1131" s="51">
        <v>80</v>
      </c>
      <c r="AB1131" s="102">
        <v>0</v>
      </c>
      <c r="AC1131" s="81">
        <f t="shared" si="54"/>
        <v>576.85656226415097</v>
      </c>
      <c r="AD1131" s="82">
        <f t="shared" si="55"/>
        <v>3.7857142857142856</v>
      </c>
      <c r="AE1131" s="218">
        <v>7.0425018540273179E-2</v>
      </c>
      <c r="AF1131">
        <v>1</v>
      </c>
      <c r="AH1131" t="str">
        <f t="shared" si="53"/>
        <v>Gopalpur Bmc</v>
      </c>
      <c r="AJ1131" s="72">
        <v>0</v>
      </c>
      <c r="AK1131" s="72"/>
      <c r="AL1131" s="72"/>
      <c r="AM1131" s="72"/>
    </row>
    <row r="1132" spans="1:39" x14ac:dyDescent="0.25">
      <c r="A1132" s="37" t="s">
        <v>62</v>
      </c>
      <c r="B1132" s="66" t="s">
        <v>1615</v>
      </c>
      <c r="C1132" s="41">
        <v>1006</v>
      </c>
      <c r="D1132" s="41" t="s">
        <v>183</v>
      </c>
      <c r="E1132" s="41">
        <v>10060125</v>
      </c>
      <c r="F1132" s="85" t="s">
        <v>1310</v>
      </c>
      <c r="G1132" s="39" t="s">
        <v>635</v>
      </c>
      <c r="H1132" s="52" t="s">
        <v>99</v>
      </c>
      <c r="I1132" s="52">
        <v>142.70000000000002</v>
      </c>
      <c r="J1132" s="49">
        <v>6394.2800000000007</v>
      </c>
      <c r="K1132" s="58">
        <v>0</v>
      </c>
      <c r="L1132" s="58">
        <v>0</v>
      </c>
      <c r="M1132" s="58">
        <v>0</v>
      </c>
      <c r="N1132" s="58">
        <v>0</v>
      </c>
      <c r="O1132" s="65">
        <v>0</v>
      </c>
      <c r="P1132" s="65">
        <v>0</v>
      </c>
      <c r="Q1132" s="50">
        <v>6394.2800000000007</v>
      </c>
      <c r="R1132" s="65">
        <v>0</v>
      </c>
      <c r="S1132" s="65">
        <v>0</v>
      </c>
      <c r="T1132" s="65">
        <v>0</v>
      </c>
      <c r="U1132" s="65">
        <v>0</v>
      </c>
      <c r="V1132" s="65">
        <v>0</v>
      </c>
      <c r="W1132" s="65">
        <v>0</v>
      </c>
      <c r="X1132" s="65">
        <v>0</v>
      </c>
      <c r="Y1132" s="65">
        <v>0</v>
      </c>
      <c r="Z1132" s="65">
        <v>6394.2800000000007</v>
      </c>
      <c r="AA1132" s="51">
        <v>0</v>
      </c>
      <c r="AB1132" s="102">
        <v>0</v>
      </c>
      <c r="AC1132" s="81">
        <f t="shared" si="54"/>
        <v>499.4439024526979</v>
      </c>
      <c r="AD1132" s="82">
        <f t="shared" si="55"/>
        <v>20.38571428571429</v>
      </c>
      <c r="AE1132" s="218">
        <v>0</v>
      </c>
      <c r="AF1132">
        <v>0</v>
      </c>
      <c r="AH1132" t="str">
        <f t="shared" si="53"/>
        <v>Sonvarsha</v>
      </c>
      <c r="AJ1132" s="72">
        <v>0</v>
      </c>
      <c r="AK1132" s="72"/>
      <c r="AL1132" s="72"/>
      <c r="AM1132" s="72"/>
    </row>
    <row r="1133" spans="1:39" x14ac:dyDescent="0.25">
      <c r="A1133" s="37" t="s">
        <v>62</v>
      </c>
      <c r="B1133" s="66" t="s">
        <v>1615</v>
      </c>
      <c r="C1133" s="41">
        <v>1006</v>
      </c>
      <c r="D1133" s="41" t="s">
        <v>183</v>
      </c>
      <c r="E1133" s="41">
        <v>10060126</v>
      </c>
      <c r="F1133" s="85" t="s">
        <v>1311</v>
      </c>
      <c r="G1133" s="39" t="s">
        <v>93</v>
      </c>
      <c r="H1133" s="52" t="s">
        <v>94</v>
      </c>
      <c r="I1133" s="52">
        <v>83.199999999999989</v>
      </c>
      <c r="J1133" s="49">
        <v>2581.8599999999997</v>
      </c>
      <c r="K1133" s="58">
        <v>82.800000000000011</v>
      </c>
      <c r="L1133" s="58">
        <v>2570.5938549060002</v>
      </c>
      <c r="M1133" s="58">
        <v>0</v>
      </c>
      <c r="N1133" s="58">
        <v>0</v>
      </c>
      <c r="O1133" s="65">
        <v>82.800000000000011</v>
      </c>
      <c r="P1133" s="65">
        <v>2570.5938549060002</v>
      </c>
      <c r="Q1133" s="50">
        <v>2570.5938549060002</v>
      </c>
      <c r="R1133" s="65">
        <v>0</v>
      </c>
      <c r="S1133" s="65">
        <v>0</v>
      </c>
      <c r="T1133" s="65">
        <v>0</v>
      </c>
      <c r="U1133" s="65">
        <v>0</v>
      </c>
      <c r="V1133" s="65">
        <v>1150.11654</v>
      </c>
      <c r="W1133" s="65">
        <v>0</v>
      </c>
      <c r="X1133" s="65">
        <v>1420</v>
      </c>
      <c r="Y1133" s="65">
        <v>0</v>
      </c>
      <c r="Z1133" s="65">
        <v>0</v>
      </c>
      <c r="AA1133" s="51">
        <v>12</v>
      </c>
      <c r="AB1133" s="102">
        <v>0</v>
      </c>
      <c r="AC1133" s="81">
        <f t="shared" si="54"/>
        <v>382.81039615384617</v>
      </c>
      <c r="AD1133" s="82">
        <f t="shared" si="55"/>
        <v>11.885714285714284</v>
      </c>
      <c r="AE1133" s="218">
        <v>4.3635770700191003E-3</v>
      </c>
      <c r="AF1133">
        <v>1</v>
      </c>
      <c r="AH1133" t="str">
        <f t="shared" ref="AH1133:AH1194" si="56">TEXT(D1133,"0000")</f>
        <v>Sonvarsha</v>
      </c>
      <c r="AJ1133" s="72">
        <v>0</v>
      </c>
      <c r="AK1133" s="72"/>
      <c r="AL1133" s="72"/>
      <c r="AM1133" s="72"/>
    </row>
    <row r="1134" spans="1:39" x14ac:dyDescent="0.25">
      <c r="A1134" s="37" t="s">
        <v>62</v>
      </c>
      <c r="B1134" s="66" t="s">
        <v>1615</v>
      </c>
      <c r="C1134" s="41">
        <v>1006</v>
      </c>
      <c r="D1134" s="41" t="s">
        <v>183</v>
      </c>
      <c r="E1134" s="41">
        <v>10060129</v>
      </c>
      <c r="F1134" s="85" t="s">
        <v>1400</v>
      </c>
      <c r="G1134" s="39" t="s">
        <v>93</v>
      </c>
      <c r="H1134" s="52" t="s">
        <v>94</v>
      </c>
      <c r="I1134" s="52">
        <v>230.29999999999995</v>
      </c>
      <c r="J1134" s="49">
        <v>9181.86</v>
      </c>
      <c r="K1134" s="58">
        <v>221.70000000000002</v>
      </c>
      <c r="L1134" s="58">
        <v>8837.2365008400011</v>
      </c>
      <c r="M1134" s="58">
        <v>9.3000000000000007</v>
      </c>
      <c r="N1134" s="58">
        <v>370.9962907200001</v>
      </c>
      <c r="O1134" s="65">
        <v>231.00000000000003</v>
      </c>
      <c r="P1134" s="65">
        <v>9208.2327915600017</v>
      </c>
      <c r="Q1134" s="50">
        <v>9181.86</v>
      </c>
      <c r="R1134" s="65">
        <v>0</v>
      </c>
      <c r="S1134" s="65">
        <v>130.85523792000004</v>
      </c>
      <c r="T1134" s="65">
        <v>26.372791560001133</v>
      </c>
      <c r="U1134" s="65">
        <v>0</v>
      </c>
      <c r="V1134" s="65">
        <v>0</v>
      </c>
      <c r="W1134" s="65">
        <v>0</v>
      </c>
      <c r="X1134" s="65">
        <v>8811</v>
      </c>
      <c r="Y1134" s="65">
        <v>240</v>
      </c>
      <c r="Z1134" s="65">
        <v>0</v>
      </c>
      <c r="AA1134" s="51">
        <v>0</v>
      </c>
      <c r="AB1134" s="102">
        <v>0</v>
      </c>
      <c r="AC1134" s="81">
        <f t="shared" si="54"/>
        <v>374.5305811550154</v>
      </c>
      <c r="AD1134" s="82">
        <f t="shared" si="55"/>
        <v>32.899999999999991</v>
      </c>
      <c r="AE1134" s="218">
        <v>-2.8722711476760845E-3</v>
      </c>
      <c r="AF1134">
        <v>3</v>
      </c>
      <c r="AH1134" t="str">
        <f t="shared" si="56"/>
        <v>Sonvarsha</v>
      </c>
      <c r="AJ1134" s="72">
        <v>0</v>
      </c>
      <c r="AK1134" s="72"/>
      <c r="AL1134" s="72"/>
      <c r="AM1134" s="72"/>
    </row>
    <row r="1135" spans="1:39" x14ac:dyDescent="0.25">
      <c r="A1135" s="37" t="s">
        <v>62</v>
      </c>
      <c r="B1135" s="66" t="s">
        <v>1615</v>
      </c>
      <c r="C1135" s="41">
        <v>1006</v>
      </c>
      <c r="D1135" s="41" t="s">
        <v>183</v>
      </c>
      <c r="E1135" s="41">
        <v>10060130</v>
      </c>
      <c r="F1135" s="85" t="s">
        <v>1383</v>
      </c>
      <c r="G1135" s="39" t="s">
        <v>93</v>
      </c>
      <c r="H1135" s="52" t="s">
        <v>94</v>
      </c>
      <c r="I1135" s="52">
        <v>606.29999999999995</v>
      </c>
      <c r="J1135" s="49">
        <v>23834.839999999997</v>
      </c>
      <c r="K1135" s="58">
        <v>488.93</v>
      </c>
      <c r="L1135" s="58">
        <v>18184.282693065445</v>
      </c>
      <c r="M1135" s="58">
        <v>125.77000000000001</v>
      </c>
      <c r="N1135" s="58">
        <v>5797.796656523501</v>
      </c>
      <c r="O1135" s="65">
        <v>614.70000000000005</v>
      </c>
      <c r="P1135" s="65">
        <v>23982.079349588945</v>
      </c>
      <c r="Q1135" s="50">
        <v>23834.839999999997</v>
      </c>
      <c r="R1135" s="65">
        <v>0</v>
      </c>
      <c r="S1135" s="65">
        <v>0</v>
      </c>
      <c r="T1135" s="65">
        <v>147.23934958894824</v>
      </c>
      <c r="U1135" s="65">
        <v>0</v>
      </c>
      <c r="V1135" s="65">
        <v>0</v>
      </c>
      <c r="W1135" s="65">
        <v>0</v>
      </c>
      <c r="X1135" s="65">
        <v>18037</v>
      </c>
      <c r="Y1135" s="65">
        <v>5798</v>
      </c>
      <c r="Z1135" s="65">
        <v>0</v>
      </c>
      <c r="AA1135" s="51">
        <v>0</v>
      </c>
      <c r="AB1135" s="102">
        <v>0</v>
      </c>
      <c r="AC1135" s="81">
        <f t="shared" si="54"/>
        <v>73.670608873494956</v>
      </c>
      <c r="AD1135" s="82">
        <f t="shared" si="55"/>
        <v>86.614285714285714</v>
      </c>
      <c r="AE1135" s="218">
        <v>-6.1774842872428879E-3</v>
      </c>
      <c r="AF1135">
        <v>10</v>
      </c>
      <c r="AH1135" t="str">
        <f t="shared" si="56"/>
        <v>Sonvarsha</v>
      </c>
      <c r="AJ1135" s="72">
        <v>0</v>
      </c>
      <c r="AK1135" s="72"/>
      <c r="AL1135" s="72"/>
      <c r="AM1135" s="72"/>
    </row>
    <row r="1136" spans="1:39" x14ac:dyDescent="0.25">
      <c r="A1136" s="37" t="s">
        <v>62</v>
      </c>
      <c r="B1136" s="66" t="s">
        <v>1615</v>
      </c>
      <c r="C1136" s="41">
        <v>1006</v>
      </c>
      <c r="D1136" s="41" t="s">
        <v>183</v>
      </c>
      <c r="E1136" s="41">
        <v>10060132</v>
      </c>
      <c r="F1136" s="85" t="s">
        <v>1533</v>
      </c>
      <c r="G1136" s="39" t="s">
        <v>635</v>
      </c>
      <c r="H1136" s="52" t="s">
        <v>99</v>
      </c>
      <c r="I1136" s="52">
        <v>188.3</v>
      </c>
      <c r="J1136" s="49">
        <v>7005.45</v>
      </c>
      <c r="K1136" s="58">
        <v>0</v>
      </c>
      <c r="L1136" s="58">
        <v>0</v>
      </c>
      <c r="M1136" s="58">
        <v>0</v>
      </c>
      <c r="N1136" s="58">
        <v>0</v>
      </c>
      <c r="O1136" s="65">
        <v>0</v>
      </c>
      <c r="P1136" s="65">
        <v>0</v>
      </c>
      <c r="Q1136" s="50">
        <v>7005.45</v>
      </c>
      <c r="R1136" s="65">
        <v>0</v>
      </c>
      <c r="S1136" s="65">
        <v>0</v>
      </c>
      <c r="T1136" s="65">
        <v>0</v>
      </c>
      <c r="U1136" s="65">
        <v>0</v>
      </c>
      <c r="V1136" s="65">
        <v>0</v>
      </c>
      <c r="W1136" s="65">
        <v>0</v>
      </c>
      <c r="X1136" s="65">
        <v>0</v>
      </c>
      <c r="Y1136" s="65">
        <v>0</v>
      </c>
      <c r="Z1136" s="65">
        <v>7005.45</v>
      </c>
      <c r="AA1136" s="51">
        <v>0</v>
      </c>
      <c r="AB1136" s="102">
        <v>0</v>
      </c>
      <c r="AC1136" s="81">
        <f t="shared" si="54"/>
        <v>380.74230111524156</v>
      </c>
      <c r="AD1136" s="82">
        <f t="shared" si="55"/>
        <v>26.900000000000002</v>
      </c>
      <c r="AE1136" s="218">
        <v>0</v>
      </c>
      <c r="AF1136">
        <v>0</v>
      </c>
      <c r="AH1136" t="str">
        <f t="shared" si="56"/>
        <v>Sonvarsha</v>
      </c>
      <c r="AJ1136" s="72">
        <v>0</v>
      </c>
      <c r="AK1136" s="72"/>
      <c r="AL1136" s="72"/>
      <c r="AM1136" s="72"/>
    </row>
    <row r="1137" spans="1:39" x14ac:dyDescent="0.25">
      <c r="A1137" s="37" t="s">
        <v>62</v>
      </c>
      <c r="B1137" s="66" t="s">
        <v>1615</v>
      </c>
      <c r="C1137" s="41">
        <v>1006</v>
      </c>
      <c r="D1137" s="41" t="s">
        <v>183</v>
      </c>
      <c r="E1137" s="41">
        <v>10060133</v>
      </c>
      <c r="F1137" s="85" t="s">
        <v>1544</v>
      </c>
      <c r="G1137" s="39" t="s">
        <v>635</v>
      </c>
      <c r="H1137" s="52" t="s">
        <v>99</v>
      </c>
      <c r="I1137" s="52">
        <v>609</v>
      </c>
      <c r="J1137" s="49">
        <v>20667.32</v>
      </c>
      <c r="K1137" s="58">
        <v>0</v>
      </c>
      <c r="L1137" s="58">
        <v>0</v>
      </c>
      <c r="M1137" s="58">
        <v>0</v>
      </c>
      <c r="N1137" s="58">
        <v>0</v>
      </c>
      <c r="O1137" s="65">
        <v>0</v>
      </c>
      <c r="P1137" s="65">
        <v>0</v>
      </c>
      <c r="Q1137" s="50">
        <v>20667.32</v>
      </c>
      <c r="R1137" s="65">
        <v>0</v>
      </c>
      <c r="S1137" s="65">
        <v>0</v>
      </c>
      <c r="T1137" s="65">
        <v>0</v>
      </c>
      <c r="U1137" s="65">
        <v>0</v>
      </c>
      <c r="V1137" s="65">
        <v>0</v>
      </c>
      <c r="W1137" s="65">
        <v>0</v>
      </c>
      <c r="X1137" s="65">
        <v>0</v>
      </c>
      <c r="Y1137" s="65">
        <v>0</v>
      </c>
      <c r="Z1137" s="65">
        <v>20667.32</v>
      </c>
      <c r="AA1137" s="51">
        <v>0</v>
      </c>
      <c r="AB1137" s="102">
        <v>0</v>
      </c>
      <c r="AC1137" s="81">
        <f t="shared" si="54"/>
        <v>61.764404597701152</v>
      </c>
      <c r="AD1137" s="82">
        <f t="shared" si="55"/>
        <v>87</v>
      </c>
      <c r="AE1137" s="218">
        <v>0</v>
      </c>
      <c r="AF1137">
        <v>0</v>
      </c>
      <c r="AH1137" t="str">
        <f t="shared" si="56"/>
        <v>Sonvarsha</v>
      </c>
      <c r="AJ1137" s="72">
        <v>0</v>
      </c>
      <c r="AK1137" s="72"/>
      <c r="AL1137" s="72"/>
      <c r="AM1137" s="72"/>
    </row>
    <row r="1138" spans="1:39" x14ac:dyDescent="0.25">
      <c r="A1138" s="37" t="s">
        <v>62</v>
      </c>
      <c r="B1138" s="66" t="s">
        <v>1615</v>
      </c>
      <c r="C1138" s="41">
        <v>1007</v>
      </c>
      <c r="D1138" s="41" t="s">
        <v>207</v>
      </c>
      <c r="E1138" s="41">
        <v>10070002</v>
      </c>
      <c r="F1138" s="85" t="s">
        <v>208</v>
      </c>
      <c r="G1138" s="39" t="s">
        <v>635</v>
      </c>
      <c r="H1138" s="52" t="s">
        <v>99</v>
      </c>
      <c r="I1138" s="52">
        <v>4678.5</v>
      </c>
      <c r="J1138" s="49">
        <v>170733.49</v>
      </c>
      <c r="K1138" s="58">
        <v>0</v>
      </c>
      <c r="L1138" s="58">
        <v>0</v>
      </c>
      <c r="M1138" s="58">
        <v>0</v>
      </c>
      <c r="N1138" s="58">
        <v>0</v>
      </c>
      <c r="O1138" s="65">
        <v>0</v>
      </c>
      <c r="P1138" s="65">
        <v>0</v>
      </c>
      <c r="Q1138" s="50">
        <v>170733.49</v>
      </c>
      <c r="R1138" s="65">
        <v>0</v>
      </c>
      <c r="S1138" s="65">
        <v>0</v>
      </c>
      <c r="T1138" s="65">
        <v>0</v>
      </c>
      <c r="U1138" s="65">
        <v>0</v>
      </c>
      <c r="V1138" s="65">
        <v>0</v>
      </c>
      <c r="W1138" s="65">
        <v>0</v>
      </c>
      <c r="X1138" s="65">
        <v>0</v>
      </c>
      <c r="Y1138" s="65">
        <v>0</v>
      </c>
      <c r="Z1138" s="65">
        <v>170733.49</v>
      </c>
      <c r="AA1138" s="51">
        <v>0</v>
      </c>
      <c r="AB1138" s="102">
        <v>0</v>
      </c>
      <c r="AC1138" s="81">
        <f t="shared" si="54"/>
        <v>0</v>
      </c>
      <c r="AD1138" s="82">
        <f t="shared" si="55"/>
        <v>0</v>
      </c>
      <c r="AE1138" s="218">
        <v>0</v>
      </c>
      <c r="AF1138">
        <v>0</v>
      </c>
      <c r="AH1138" t="str">
        <f t="shared" si="56"/>
        <v>Araria</v>
      </c>
      <c r="AJ1138" s="72">
        <v>0</v>
      </c>
      <c r="AK1138" s="72"/>
      <c r="AL1138" s="72"/>
      <c r="AM1138" s="72"/>
    </row>
    <row r="1139" spans="1:39" x14ac:dyDescent="0.25">
      <c r="A1139" s="37" t="s">
        <v>62</v>
      </c>
      <c r="B1139" s="66" t="s">
        <v>1615</v>
      </c>
      <c r="C1139" s="47">
        <v>1007</v>
      </c>
      <c r="D1139" s="47" t="s">
        <v>207</v>
      </c>
      <c r="E1139" s="47">
        <v>10070003</v>
      </c>
      <c r="F1139" s="46" t="s">
        <v>209</v>
      </c>
      <c r="G1139" s="48" t="s">
        <v>635</v>
      </c>
      <c r="H1139" s="48" t="s">
        <v>99</v>
      </c>
      <c r="I1139" s="49">
        <v>852.90000000000009</v>
      </c>
      <c r="J1139" s="49">
        <v>29489.329999999994</v>
      </c>
      <c r="K1139" s="65">
        <v>0</v>
      </c>
      <c r="L1139" s="65">
        <v>0</v>
      </c>
      <c r="M1139" s="65">
        <v>0</v>
      </c>
      <c r="N1139" s="65">
        <v>0</v>
      </c>
      <c r="O1139" s="65">
        <v>0</v>
      </c>
      <c r="P1139" s="65">
        <v>0</v>
      </c>
      <c r="Q1139" s="50">
        <v>29489.329999999994</v>
      </c>
      <c r="R1139" s="65">
        <v>0</v>
      </c>
      <c r="S1139" s="65">
        <v>0</v>
      </c>
      <c r="T1139" s="65">
        <v>0</v>
      </c>
      <c r="U1139" s="65">
        <v>6500</v>
      </c>
      <c r="V1139" s="65">
        <v>0</v>
      </c>
      <c r="W1139" s="65">
        <v>0</v>
      </c>
      <c r="X1139" s="65">
        <v>0</v>
      </c>
      <c r="Y1139" s="65">
        <v>0</v>
      </c>
      <c r="Z1139" s="65">
        <v>22989.329999999994</v>
      </c>
      <c r="AA1139" s="51">
        <v>0</v>
      </c>
      <c r="AB1139" s="102">
        <v>0</v>
      </c>
      <c r="AC1139" s="81">
        <f t="shared" si="54"/>
        <v>0</v>
      </c>
      <c r="AD1139" s="82">
        <f t="shared" si="55"/>
        <v>0</v>
      </c>
      <c r="AE1139" s="218">
        <v>0</v>
      </c>
      <c r="AF1139">
        <v>0</v>
      </c>
      <c r="AH1139" t="str">
        <f t="shared" si="56"/>
        <v>Araria</v>
      </c>
      <c r="AJ1139" s="72">
        <v>0</v>
      </c>
      <c r="AK1139" s="72"/>
      <c r="AL1139" s="72"/>
      <c r="AM1139" s="72"/>
    </row>
    <row r="1140" spans="1:39" x14ac:dyDescent="0.25">
      <c r="A1140" s="37" t="s">
        <v>62</v>
      </c>
      <c r="B1140" s="66" t="s">
        <v>1615</v>
      </c>
      <c r="C1140" s="47">
        <v>1056</v>
      </c>
      <c r="D1140" s="47" t="s">
        <v>838</v>
      </c>
      <c r="E1140" s="47">
        <v>10070004</v>
      </c>
      <c r="F1140" s="46" t="s">
        <v>210</v>
      </c>
      <c r="G1140" s="48" t="s">
        <v>635</v>
      </c>
      <c r="H1140" s="48" t="s">
        <v>99</v>
      </c>
      <c r="I1140" s="49">
        <v>189.44000000000003</v>
      </c>
      <c r="J1140" s="49">
        <v>6933.4400000000005</v>
      </c>
      <c r="K1140" s="65">
        <v>0</v>
      </c>
      <c r="L1140" s="65">
        <v>0</v>
      </c>
      <c r="M1140" s="65">
        <v>0</v>
      </c>
      <c r="N1140" s="65">
        <v>0</v>
      </c>
      <c r="O1140" s="65">
        <v>0</v>
      </c>
      <c r="P1140" s="65">
        <v>0</v>
      </c>
      <c r="Q1140" s="50">
        <v>6933.4400000000005</v>
      </c>
      <c r="R1140" s="65">
        <v>0</v>
      </c>
      <c r="S1140" s="65">
        <v>0</v>
      </c>
      <c r="T1140" s="65">
        <v>0</v>
      </c>
      <c r="U1140" s="65">
        <v>0</v>
      </c>
      <c r="V1140" s="65">
        <v>681.56787870967707</v>
      </c>
      <c r="W1140" s="65">
        <v>0</v>
      </c>
      <c r="X1140" s="65">
        <v>0</v>
      </c>
      <c r="Y1140" s="65">
        <v>0</v>
      </c>
      <c r="Z1140" s="65">
        <v>6251.8721212903238</v>
      </c>
      <c r="AA1140" s="51">
        <v>0</v>
      </c>
      <c r="AB1140" s="102">
        <v>0</v>
      </c>
      <c r="AC1140" s="81">
        <f t="shared" si="54"/>
        <v>373.72647027027023</v>
      </c>
      <c r="AD1140" s="82">
        <f t="shared" si="55"/>
        <v>27.062857142857148</v>
      </c>
      <c r="AE1140" s="218">
        <v>0</v>
      </c>
      <c r="AF1140">
        <v>0</v>
      </c>
      <c r="AH1140" t="str">
        <f t="shared" si="56"/>
        <v>Chautham</v>
      </c>
      <c r="AJ1140" s="72">
        <v>0</v>
      </c>
      <c r="AK1140" s="72"/>
      <c r="AL1140" s="72"/>
      <c r="AM1140" s="72"/>
    </row>
    <row r="1141" spans="1:39" x14ac:dyDescent="0.25">
      <c r="A1141" s="37" t="s">
        <v>62</v>
      </c>
      <c r="B1141" s="66" t="s">
        <v>1615</v>
      </c>
      <c r="C1141" s="47">
        <v>1056</v>
      </c>
      <c r="D1141" s="47" t="s">
        <v>838</v>
      </c>
      <c r="E1141" s="41">
        <v>10070008</v>
      </c>
      <c r="F1141" s="46" t="s">
        <v>211</v>
      </c>
      <c r="G1141" s="39" t="s">
        <v>635</v>
      </c>
      <c r="H1141" s="48" t="s">
        <v>99</v>
      </c>
      <c r="I1141" s="52">
        <v>661.21999999999991</v>
      </c>
      <c r="J1141" s="49">
        <v>23411.769999999997</v>
      </c>
      <c r="K1141" s="65">
        <v>0</v>
      </c>
      <c r="L1141" s="65">
        <v>0</v>
      </c>
      <c r="M1141" s="65">
        <v>0</v>
      </c>
      <c r="N1141" s="65">
        <v>0</v>
      </c>
      <c r="O1141" s="65">
        <v>0</v>
      </c>
      <c r="P1141" s="65">
        <v>0</v>
      </c>
      <c r="Q1141" s="50">
        <v>23411.769999999997</v>
      </c>
      <c r="R1141" s="65">
        <v>0</v>
      </c>
      <c r="S1141" s="65">
        <v>0</v>
      </c>
      <c r="T1141" s="65">
        <v>0</v>
      </c>
      <c r="U1141" s="65">
        <v>13000</v>
      </c>
      <c r="V1141" s="65">
        <v>1768.3097148387101</v>
      </c>
      <c r="W1141" s="65">
        <v>0</v>
      </c>
      <c r="X1141" s="65">
        <v>0</v>
      </c>
      <c r="Y1141" s="65">
        <v>0</v>
      </c>
      <c r="Z1141" s="65">
        <v>8643.4602851612872</v>
      </c>
      <c r="AA1141" s="51">
        <v>0</v>
      </c>
      <c r="AB1141" s="102">
        <v>0</v>
      </c>
      <c r="AC1141" s="81">
        <f t="shared" si="54"/>
        <v>27.461614609358492</v>
      </c>
      <c r="AD1141" s="82">
        <f t="shared" si="55"/>
        <v>94.46</v>
      </c>
      <c r="AE1141" s="218">
        <v>0</v>
      </c>
      <c r="AF1141">
        <v>0</v>
      </c>
      <c r="AH1141" t="str">
        <f t="shared" si="56"/>
        <v>Chautham</v>
      </c>
      <c r="AJ1141" s="72">
        <v>0</v>
      </c>
      <c r="AK1141" s="72"/>
      <c r="AL1141" s="72"/>
      <c r="AM1141" s="72"/>
    </row>
    <row r="1142" spans="1:39" x14ac:dyDescent="0.25">
      <c r="A1142" s="37" t="s">
        <v>62</v>
      </c>
      <c r="B1142" s="66" t="s">
        <v>1615</v>
      </c>
      <c r="C1142" s="47">
        <v>1007</v>
      </c>
      <c r="D1142" s="47" t="s">
        <v>207</v>
      </c>
      <c r="E1142" s="41">
        <v>10070013</v>
      </c>
      <c r="F1142" s="46" t="s">
        <v>212</v>
      </c>
      <c r="G1142" s="39" t="s">
        <v>93</v>
      </c>
      <c r="H1142" s="48" t="s">
        <v>94</v>
      </c>
      <c r="I1142" s="52">
        <v>266.29999999999995</v>
      </c>
      <c r="J1142" s="49">
        <v>10054.119999999999</v>
      </c>
      <c r="K1142" s="65">
        <v>498.4</v>
      </c>
      <c r="L1142" s="65">
        <v>22133.4728954538</v>
      </c>
      <c r="M1142" s="65">
        <v>32.239999999999995</v>
      </c>
      <c r="N1142" s="65">
        <v>1207.1242723914002</v>
      </c>
      <c r="O1142" s="65">
        <v>530.64</v>
      </c>
      <c r="P1142" s="65">
        <v>23340.597167845201</v>
      </c>
      <c r="Q1142" s="50">
        <v>10054.119999999999</v>
      </c>
      <c r="R1142" s="65">
        <v>0</v>
      </c>
      <c r="S1142" s="65">
        <v>153.08691971760004</v>
      </c>
      <c r="T1142" s="65">
        <v>13286.477167845202</v>
      </c>
      <c r="U1142" s="65">
        <v>0</v>
      </c>
      <c r="V1142" s="65">
        <v>0</v>
      </c>
      <c r="W1142" s="65">
        <v>0</v>
      </c>
      <c r="X1142" s="65">
        <v>8847</v>
      </c>
      <c r="Y1142" s="65">
        <v>1054</v>
      </c>
      <c r="Z1142" s="65">
        <v>0</v>
      </c>
      <c r="AA1142" s="51">
        <v>0</v>
      </c>
      <c r="AB1142" s="102">
        <v>0</v>
      </c>
      <c r="AC1142" s="81">
        <f t="shared" si="54"/>
        <v>327.48568111152838</v>
      </c>
      <c r="AD1142" s="82">
        <f t="shared" si="55"/>
        <v>38.042857142857137</v>
      </c>
      <c r="AE1142" s="218">
        <v>-1.321495781614423</v>
      </c>
      <c r="AF1142">
        <v>9</v>
      </c>
      <c r="AH1142" t="str">
        <f t="shared" si="56"/>
        <v>Araria</v>
      </c>
      <c r="AJ1142" s="72">
        <v>0</v>
      </c>
      <c r="AK1142" s="72"/>
      <c r="AL1142" s="72"/>
      <c r="AM1142" s="72"/>
    </row>
    <row r="1143" spans="1:39" x14ac:dyDescent="0.25">
      <c r="A1143" s="37" t="s">
        <v>62</v>
      </c>
      <c r="B1143" s="66" t="s">
        <v>1615</v>
      </c>
      <c r="C1143" s="47">
        <v>1007</v>
      </c>
      <c r="D1143" s="47" t="s">
        <v>207</v>
      </c>
      <c r="E1143" s="41">
        <v>10070016</v>
      </c>
      <c r="F1143" s="46" t="s">
        <v>213</v>
      </c>
      <c r="G1143" s="39" t="s">
        <v>93</v>
      </c>
      <c r="H1143" s="48" t="s">
        <v>94</v>
      </c>
      <c r="I1143" s="52">
        <v>302.8</v>
      </c>
      <c r="J1143" s="49">
        <v>11402.53</v>
      </c>
      <c r="K1143" s="65">
        <v>301.27</v>
      </c>
      <c r="L1143" s="65">
        <v>11655.530741052</v>
      </c>
      <c r="M1143" s="65">
        <v>1.5000000000000004</v>
      </c>
      <c r="N1143" s="65">
        <v>57.819000095999996</v>
      </c>
      <c r="O1143" s="65">
        <v>302.77</v>
      </c>
      <c r="P1143" s="65">
        <v>11713.349741148</v>
      </c>
      <c r="Q1143" s="50">
        <v>11402.53</v>
      </c>
      <c r="R1143" s="65">
        <v>0</v>
      </c>
      <c r="S1143" s="65">
        <v>57.819000095999996</v>
      </c>
      <c r="T1143" s="65">
        <v>310.81974114799959</v>
      </c>
      <c r="U1143" s="65">
        <v>0</v>
      </c>
      <c r="V1143" s="65">
        <v>0</v>
      </c>
      <c r="W1143" s="65">
        <v>0</v>
      </c>
      <c r="X1143" s="65">
        <v>11345</v>
      </c>
      <c r="Y1143" s="65">
        <v>0</v>
      </c>
      <c r="Z1143" s="65">
        <v>0</v>
      </c>
      <c r="AA1143" s="51">
        <v>0</v>
      </c>
      <c r="AB1143" s="102" t="s">
        <v>68</v>
      </c>
      <c r="AC1143" s="81">
        <f t="shared" si="54"/>
        <v>299.14695614266844</v>
      </c>
      <c r="AD1143" s="82">
        <f t="shared" si="55"/>
        <v>43.25714285714286</v>
      </c>
      <c r="AE1143" s="218">
        <v>-2.7258840024801476E-2</v>
      </c>
      <c r="AF1143">
        <v>4</v>
      </c>
      <c r="AH1143" t="str">
        <f t="shared" si="56"/>
        <v>Araria</v>
      </c>
      <c r="AJ1143" s="72">
        <v>0</v>
      </c>
      <c r="AK1143" s="72"/>
      <c r="AL1143" s="72"/>
      <c r="AM1143" s="72"/>
    </row>
    <row r="1144" spans="1:39" x14ac:dyDescent="0.25">
      <c r="A1144" s="37" t="s">
        <v>62</v>
      </c>
      <c r="B1144" s="66" t="s">
        <v>1615</v>
      </c>
      <c r="C1144" s="47">
        <v>1007</v>
      </c>
      <c r="D1144" s="47" t="s">
        <v>207</v>
      </c>
      <c r="E1144" s="41">
        <v>10070018</v>
      </c>
      <c r="F1144" s="46" t="s">
        <v>214</v>
      </c>
      <c r="G1144" s="39" t="s">
        <v>635</v>
      </c>
      <c r="H1144" s="48" t="s">
        <v>99</v>
      </c>
      <c r="I1144" s="52">
        <v>13403.199999999999</v>
      </c>
      <c r="J1144" s="49">
        <v>500564.61999999988</v>
      </c>
      <c r="K1144" s="65">
        <v>0</v>
      </c>
      <c r="L1144" s="65">
        <v>0</v>
      </c>
      <c r="M1144" s="65">
        <v>0</v>
      </c>
      <c r="N1144" s="65">
        <v>0</v>
      </c>
      <c r="O1144" s="65">
        <v>0</v>
      </c>
      <c r="P1144" s="65">
        <v>0</v>
      </c>
      <c r="Q1144" s="50">
        <v>500564.61999999988</v>
      </c>
      <c r="R1144" s="65">
        <v>0</v>
      </c>
      <c r="S1144" s="65">
        <v>0</v>
      </c>
      <c r="T1144" s="65">
        <v>0</v>
      </c>
      <c r="U1144" s="65">
        <v>0</v>
      </c>
      <c r="V1144" s="65">
        <v>0</v>
      </c>
      <c r="W1144" s="65">
        <v>0</v>
      </c>
      <c r="X1144" s="65">
        <v>0</v>
      </c>
      <c r="Y1144" s="65">
        <v>0</v>
      </c>
      <c r="Z1144" s="65">
        <v>500564.61999999988</v>
      </c>
      <c r="AA1144" s="51">
        <v>0</v>
      </c>
      <c r="AB1144" s="102">
        <v>0</v>
      </c>
      <c r="AC1144" s="81">
        <f t="shared" si="54"/>
        <v>0</v>
      </c>
      <c r="AD1144" s="82">
        <f t="shared" si="55"/>
        <v>0</v>
      </c>
      <c r="AE1144" s="218">
        <v>0</v>
      </c>
      <c r="AF1144">
        <v>0</v>
      </c>
      <c r="AH1144" t="str">
        <f t="shared" si="56"/>
        <v>Araria</v>
      </c>
      <c r="AJ1144" s="72">
        <v>0</v>
      </c>
      <c r="AK1144" s="72"/>
      <c r="AL1144" s="72"/>
      <c r="AM1144" s="72"/>
    </row>
    <row r="1145" spans="1:39" x14ac:dyDescent="0.25">
      <c r="A1145" s="37" t="s">
        <v>62</v>
      </c>
      <c r="B1145" s="66" t="s">
        <v>1615</v>
      </c>
      <c r="C1145" s="47">
        <v>1007</v>
      </c>
      <c r="D1145" s="47" t="s">
        <v>207</v>
      </c>
      <c r="E1145" s="41">
        <v>10070019</v>
      </c>
      <c r="F1145" s="46" t="s">
        <v>215</v>
      </c>
      <c r="G1145" s="39" t="s">
        <v>635</v>
      </c>
      <c r="H1145" s="48" t="s">
        <v>99</v>
      </c>
      <c r="I1145" s="52">
        <v>13123.199999999999</v>
      </c>
      <c r="J1145" s="49">
        <v>485784.88000000006</v>
      </c>
      <c r="K1145" s="65">
        <v>0</v>
      </c>
      <c r="L1145" s="65">
        <v>0</v>
      </c>
      <c r="M1145" s="65">
        <v>0</v>
      </c>
      <c r="N1145" s="65">
        <v>0</v>
      </c>
      <c r="O1145" s="65">
        <v>0</v>
      </c>
      <c r="P1145" s="65">
        <v>0</v>
      </c>
      <c r="Q1145" s="50">
        <v>485784.88000000006</v>
      </c>
      <c r="R1145" s="65">
        <v>0</v>
      </c>
      <c r="S1145" s="65">
        <v>0</v>
      </c>
      <c r="T1145" s="65">
        <v>0</v>
      </c>
      <c r="U1145" s="65">
        <v>0</v>
      </c>
      <c r="V1145" s="65">
        <v>0</v>
      </c>
      <c r="W1145" s="65">
        <v>0</v>
      </c>
      <c r="X1145" s="65">
        <v>0</v>
      </c>
      <c r="Y1145" s="65">
        <v>0</v>
      </c>
      <c r="Z1145" s="65">
        <v>485784.88000000006</v>
      </c>
      <c r="AA1145" s="51">
        <v>0</v>
      </c>
      <c r="AB1145" s="102">
        <v>0</v>
      </c>
      <c r="AC1145" s="81">
        <f t="shared" si="54"/>
        <v>0</v>
      </c>
      <c r="AD1145" s="82">
        <f t="shared" si="55"/>
        <v>0</v>
      </c>
      <c r="AE1145" s="218">
        <v>0</v>
      </c>
      <c r="AF1145">
        <v>0</v>
      </c>
      <c r="AH1145" t="str">
        <f t="shared" si="56"/>
        <v>Araria</v>
      </c>
      <c r="AJ1145" s="72">
        <v>0</v>
      </c>
      <c r="AK1145" s="72"/>
      <c r="AL1145" s="72"/>
      <c r="AM1145" s="72"/>
    </row>
    <row r="1146" spans="1:39" x14ac:dyDescent="0.25">
      <c r="A1146" s="37" t="s">
        <v>62</v>
      </c>
      <c r="B1146" s="66" t="s">
        <v>1615</v>
      </c>
      <c r="C1146" s="47">
        <v>1007</v>
      </c>
      <c r="D1146" s="47" t="s">
        <v>207</v>
      </c>
      <c r="E1146" s="41">
        <v>10070020</v>
      </c>
      <c r="F1146" s="46" t="s">
        <v>216</v>
      </c>
      <c r="G1146" s="39" t="s">
        <v>635</v>
      </c>
      <c r="H1146" s="48" t="s">
        <v>99</v>
      </c>
      <c r="I1146" s="52">
        <v>4825.5000000000009</v>
      </c>
      <c r="J1146" s="49">
        <v>174991.57</v>
      </c>
      <c r="K1146" s="65">
        <v>0</v>
      </c>
      <c r="L1146" s="65">
        <v>0</v>
      </c>
      <c r="M1146" s="65">
        <v>0</v>
      </c>
      <c r="N1146" s="65">
        <v>0</v>
      </c>
      <c r="O1146" s="65">
        <v>0</v>
      </c>
      <c r="P1146" s="65">
        <v>0</v>
      </c>
      <c r="Q1146" s="50">
        <v>174991.57</v>
      </c>
      <c r="R1146" s="65">
        <v>0</v>
      </c>
      <c r="S1146" s="65">
        <v>0</v>
      </c>
      <c r="T1146" s="65">
        <v>0</v>
      </c>
      <c r="U1146" s="65">
        <v>0</v>
      </c>
      <c r="V1146" s="65">
        <v>0</v>
      </c>
      <c r="W1146" s="65">
        <v>0</v>
      </c>
      <c r="X1146" s="65">
        <v>0</v>
      </c>
      <c r="Y1146" s="65">
        <v>0</v>
      </c>
      <c r="Z1146" s="65">
        <v>174991.57</v>
      </c>
      <c r="AA1146" s="51">
        <v>0</v>
      </c>
      <c r="AB1146" s="102">
        <v>0</v>
      </c>
      <c r="AC1146" s="81">
        <f t="shared" si="54"/>
        <v>0</v>
      </c>
      <c r="AD1146" s="82">
        <f t="shared" si="55"/>
        <v>0</v>
      </c>
      <c r="AE1146" s="218">
        <v>0</v>
      </c>
      <c r="AF1146">
        <v>0</v>
      </c>
      <c r="AH1146" t="str">
        <f t="shared" si="56"/>
        <v>Araria</v>
      </c>
      <c r="AJ1146" s="72">
        <v>0</v>
      </c>
      <c r="AK1146" s="72"/>
      <c r="AL1146" s="72"/>
      <c r="AM1146" s="72"/>
    </row>
    <row r="1147" spans="1:39" x14ac:dyDescent="0.25">
      <c r="A1147" s="37" t="s">
        <v>62</v>
      </c>
      <c r="B1147" s="66" t="s">
        <v>1615</v>
      </c>
      <c r="C1147" s="47">
        <v>1007</v>
      </c>
      <c r="D1147" s="47" t="s">
        <v>207</v>
      </c>
      <c r="E1147" s="41">
        <v>10070024</v>
      </c>
      <c r="F1147" s="46" t="s">
        <v>217</v>
      </c>
      <c r="G1147" s="39" t="s">
        <v>635</v>
      </c>
      <c r="H1147" s="48" t="s">
        <v>99</v>
      </c>
      <c r="I1147" s="52">
        <v>923.90000000000009</v>
      </c>
      <c r="J1147" s="49">
        <v>33490.640000000007</v>
      </c>
      <c r="K1147" s="65">
        <v>0</v>
      </c>
      <c r="L1147" s="65">
        <v>0</v>
      </c>
      <c r="M1147" s="65">
        <v>0</v>
      </c>
      <c r="N1147" s="65">
        <v>0</v>
      </c>
      <c r="O1147" s="65">
        <v>0</v>
      </c>
      <c r="P1147" s="65">
        <v>0</v>
      </c>
      <c r="Q1147" s="50">
        <v>33490.640000000007</v>
      </c>
      <c r="R1147" s="65">
        <v>0</v>
      </c>
      <c r="S1147" s="65">
        <v>0</v>
      </c>
      <c r="T1147" s="65">
        <v>0</v>
      </c>
      <c r="U1147" s="65">
        <v>0</v>
      </c>
      <c r="V1147" s="65">
        <v>0</v>
      </c>
      <c r="W1147" s="65">
        <v>0</v>
      </c>
      <c r="X1147" s="65">
        <v>0</v>
      </c>
      <c r="Y1147" s="65">
        <v>0</v>
      </c>
      <c r="Z1147" s="65">
        <v>33490.640000000007</v>
      </c>
      <c r="AA1147" s="51">
        <v>0</v>
      </c>
      <c r="AB1147" s="102">
        <v>0</v>
      </c>
      <c r="AC1147" s="81">
        <f t="shared" si="54"/>
        <v>0</v>
      </c>
      <c r="AD1147" s="82">
        <f t="shared" si="55"/>
        <v>0</v>
      </c>
      <c r="AE1147" s="218">
        <v>0</v>
      </c>
      <c r="AF1147">
        <v>0</v>
      </c>
      <c r="AH1147" t="str">
        <f t="shared" si="56"/>
        <v>Araria</v>
      </c>
      <c r="AJ1147" s="72">
        <v>0</v>
      </c>
      <c r="AK1147" s="72"/>
      <c r="AL1147" s="72"/>
      <c r="AM1147" s="72"/>
    </row>
    <row r="1148" spans="1:39" x14ac:dyDescent="0.25">
      <c r="A1148" s="37" t="s">
        <v>62</v>
      </c>
      <c r="B1148" s="66" t="s">
        <v>1615</v>
      </c>
      <c r="C1148" s="47">
        <v>1007</v>
      </c>
      <c r="D1148" s="47" t="s">
        <v>207</v>
      </c>
      <c r="E1148" s="41">
        <v>10070026</v>
      </c>
      <c r="F1148" s="46" t="s">
        <v>218</v>
      </c>
      <c r="G1148" s="39" t="s">
        <v>635</v>
      </c>
      <c r="H1148" s="48" t="s">
        <v>99</v>
      </c>
      <c r="I1148" s="52">
        <v>1953.1999999999998</v>
      </c>
      <c r="J1148" s="49">
        <v>71400.490000000005</v>
      </c>
      <c r="K1148" s="65">
        <v>0</v>
      </c>
      <c r="L1148" s="65">
        <v>0</v>
      </c>
      <c r="M1148" s="65">
        <v>0</v>
      </c>
      <c r="N1148" s="65">
        <v>0</v>
      </c>
      <c r="O1148" s="65">
        <v>0</v>
      </c>
      <c r="P1148" s="65">
        <v>0</v>
      </c>
      <c r="Q1148" s="50">
        <v>71400.490000000005</v>
      </c>
      <c r="R1148" s="65">
        <v>0</v>
      </c>
      <c r="S1148" s="65">
        <v>0</v>
      </c>
      <c r="T1148" s="65">
        <v>0</v>
      </c>
      <c r="U1148" s="65">
        <v>63040</v>
      </c>
      <c r="V1148" s="65">
        <v>8360.6887548387131</v>
      </c>
      <c r="W1148" s="65">
        <v>0</v>
      </c>
      <c r="X1148" s="65">
        <v>0</v>
      </c>
      <c r="Y1148" s="65">
        <v>0</v>
      </c>
      <c r="Z1148" s="65">
        <v>-0.19875483870782773</v>
      </c>
      <c r="AA1148" s="51">
        <v>0</v>
      </c>
      <c r="AB1148" s="102">
        <v>0</v>
      </c>
      <c r="AC1148" s="81">
        <f t="shared" si="54"/>
        <v>0</v>
      </c>
      <c r="AD1148" s="82">
        <f t="shared" si="55"/>
        <v>0</v>
      </c>
      <c r="AE1148" s="218">
        <v>0</v>
      </c>
      <c r="AF1148">
        <v>0</v>
      </c>
      <c r="AH1148" t="str">
        <f t="shared" si="56"/>
        <v>Araria</v>
      </c>
      <c r="AJ1148" s="72">
        <v>0</v>
      </c>
      <c r="AK1148" s="72"/>
      <c r="AL1148" s="72"/>
      <c r="AM1148" s="72"/>
    </row>
    <row r="1149" spans="1:39" x14ac:dyDescent="0.25">
      <c r="A1149" s="37" t="s">
        <v>62</v>
      </c>
      <c r="B1149" s="66" t="s">
        <v>1615</v>
      </c>
      <c r="C1149" s="47">
        <v>1010</v>
      </c>
      <c r="D1149" s="47" t="s">
        <v>1359</v>
      </c>
      <c r="E1149" s="41">
        <v>10070033</v>
      </c>
      <c r="F1149" s="46" t="s">
        <v>219</v>
      </c>
      <c r="G1149" s="39" t="s">
        <v>93</v>
      </c>
      <c r="H1149" s="48" t="s">
        <v>94</v>
      </c>
      <c r="I1149" s="52">
        <v>555</v>
      </c>
      <c r="J1149" s="49">
        <v>26195.219999999998</v>
      </c>
      <c r="K1149" s="65">
        <v>531.09999999999991</v>
      </c>
      <c r="L1149" s="65">
        <v>24035.153751074802</v>
      </c>
      <c r="M1149" s="65">
        <v>0</v>
      </c>
      <c r="N1149" s="65">
        <v>0</v>
      </c>
      <c r="O1149" s="65">
        <v>531.09999999999991</v>
      </c>
      <c r="P1149" s="65">
        <v>24035.153751074802</v>
      </c>
      <c r="Q1149" s="50">
        <v>24035.153751074802</v>
      </c>
      <c r="R1149" s="65">
        <v>0</v>
      </c>
      <c r="S1149" s="65">
        <v>0</v>
      </c>
      <c r="T1149" s="65">
        <v>0</v>
      </c>
      <c r="U1149" s="65">
        <v>0</v>
      </c>
      <c r="V1149" s="65">
        <v>0</v>
      </c>
      <c r="W1149" s="65">
        <v>0</v>
      </c>
      <c r="X1149" s="65">
        <v>24035</v>
      </c>
      <c r="Y1149" s="65">
        <v>0</v>
      </c>
      <c r="Z1149" s="65">
        <v>0</v>
      </c>
      <c r="AA1149" s="51">
        <v>2160</v>
      </c>
      <c r="AB1149" s="102">
        <v>0</v>
      </c>
      <c r="AC1149" s="81">
        <f t="shared" si="54"/>
        <v>136.87592432432427</v>
      </c>
      <c r="AD1149" s="82">
        <f t="shared" si="55"/>
        <v>79.285714285714292</v>
      </c>
      <c r="AE1149" s="218">
        <v>8.2460320964099387E-2</v>
      </c>
      <c r="AF1149">
        <v>2</v>
      </c>
      <c r="AH1149" t="str">
        <f t="shared" si="56"/>
        <v>Parbatta</v>
      </c>
      <c r="AJ1149" s="72">
        <v>0</v>
      </c>
      <c r="AK1149" s="72"/>
      <c r="AL1149" s="72"/>
      <c r="AM1149" s="72"/>
    </row>
    <row r="1150" spans="1:39" x14ac:dyDescent="0.25">
      <c r="A1150" s="37" t="s">
        <v>62</v>
      </c>
      <c r="B1150" s="66" t="s">
        <v>1615</v>
      </c>
      <c r="C1150" s="47">
        <v>1056</v>
      </c>
      <c r="D1150" s="47" t="s">
        <v>838</v>
      </c>
      <c r="E1150" s="41">
        <v>10070039</v>
      </c>
      <c r="F1150" s="46" t="s">
        <v>1249</v>
      </c>
      <c r="G1150" s="39" t="s">
        <v>635</v>
      </c>
      <c r="H1150" s="48" t="s">
        <v>99</v>
      </c>
      <c r="I1150" s="52">
        <v>319.34000000000003</v>
      </c>
      <c r="J1150" s="49">
        <v>10308.02</v>
      </c>
      <c r="K1150" s="65">
        <v>0</v>
      </c>
      <c r="L1150" s="65">
        <v>0</v>
      </c>
      <c r="M1150" s="65">
        <v>0</v>
      </c>
      <c r="N1150" s="65">
        <v>0</v>
      </c>
      <c r="O1150" s="65">
        <v>0</v>
      </c>
      <c r="P1150" s="65">
        <v>0</v>
      </c>
      <c r="Q1150" s="50">
        <v>10308.02</v>
      </c>
      <c r="R1150" s="65">
        <v>0</v>
      </c>
      <c r="S1150" s="65">
        <v>0</v>
      </c>
      <c r="T1150" s="65">
        <v>0</v>
      </c>
      <c r="U1150" s="65">
        <v>0</v>
      </c>
      <c r="V1150" s="65">
        <v>0</v>
      </c>
      <c r="W1150" s="65">
        <v>0</v>
      </c>
      <c r="X1150" s="65">
        <v>0</v>
      </c>
      <c r="Y1150" s="65">
        <v>0</v>
      </c>
      <c r="Z1150" s="65">
        <v>10308.02</v>
      </c>
      <c r="AA1150" s="51">
        <v>0</v>
      </c>
      <c r="AB1150" s="102">
        <v>0</v>
      </c>
      <c r="AC1150" s="81">
        <f t="shared" si="54"/>
        <v>245.74753511617709</v>
      </c>
      <c r="AD1150" s="82">
        <f t="shared" si="55"/>
        <v>45.620000000000005</v>
      </c>
      <c r="AE1150" s="218">
        <v>0</v>
      </c>
      <c r="AF1150">
        <v>0</v>
      </c>
      <c r="AH1150" t="str">
        <f t="shared" si="56"/>
        <v>Chautham</v>
      </c>
      <c r="AJ1150" s="72">
        <v>0</v>
      </c>
      <c r="AK1150" s="72"/>
      <c r="AL1150" s="72"/>
      <c r="AM1150" s="72"/>
    </row>
    <row r="1151" spans="1:39" x14ac:dyDescent="0.25">
      <c r="A1151" s="37" t="s">
        <v>62</v>
      </c>
      <c r="B1151" s="66" t="s">
        <v>1615</v>
      </c>
      <c r="C1151" s="47">
        <v>1007</v>
      </c>
      <c r="D1151" s="47" t="s">
        <v>207</v>
      </c>
      <c r="E1151" s="41">
        <v>10070042</v>
      </c>
      <c r="F1151" s="46" t="s">
        <v>220</v>
      </c>
      <c r="G1151" s="39" t="s">
        <v>93</v>
      </c>
      <c r="H1151" s="48" t="s">
        <v>94</v>
      </c>
      <c r="I1151" s="52">
        <v>174.8</v>
      </c>
      <c r="J1151" s="49">
        <v>7184.23</v>
      </c>
      <c r="K1151" s="65">
        <v>174.8</v>
      </c>
      <c r="L1151" s="65">
        <v>7037.6441256000007</v>
      </c>
      <c r="M1151" s="65">
        <v>0</v>
      </c>
      <c r="N1151" s="65">
        <v>0</v>
      </c>
      <c r="O1151" s="65">
        <v>174.8</v>
      </c>
      <c r="P1151" s="65">
        <v>7037.6441256000007</v>
      </c>
      <c r="Q1151" s="50">
        <v>7037.6441256000007</v>
      </c>
      <c r="R1151" s="65">
        <v>0</v>
      </c>
      <c r="S1151" s="65">
        <v>0</v>
      </c>
      <c r="T1151" s="65">
        <v>0</v>
      </c>
      <c r="U1151" s="65">
        <v>0</v>
      </c>
      <c r="V1151" s="65">
        <v>0</v>
      </c>
      <c r="W1151" s="65">
        <v>0</v>
      </c>
      <c r="X1151" s="65">
        <v>7038</v>
      </c>
      <c r="Y1151" s="65">
        <v>0</v>
      </c>
      <c r="Z1151" s="65">
        <v>0</v>
      </c>
      <c r="AA1151" s="51">
        <v>146</v>
      </c>
      <c r="AB1151" s="102">
        <v>0</v>
      </c>
      <c r="AC1151" s="81">
        <f t="shared" si="54"/>
        <v>431.71139542334089</v>
      </c>
      <c r="AD1151" s="82">
        <f t="shared" si="55"/>
        <v>24.971428571428572</v>
      </c>
      <c r="AE1151" s="218">
        <v>2.0403839298017857E-2</v>
      </c>
      <c r="AF1151">
        <v>1</v>
      </c>
      <c r="AH1151" t="str">
        <f t="shared" si="56"/>
        <v>Araria</v>
      </c>
      <c r="AJ1151" s="72">
        <v>0</v>
      </c>
      <c r="AK1151" s="72"/>
      <c r="AL1151" s="72"/>
      <c r="AM1151" s="72"/>
    </row>
    <row r="1152" spans="1:39" x14ac:dyDescent="0.25">
      <c r="A1152" s="37" t="s">
        <v>62</v>
      </c>
      <c r="B1152" s="66" t="s">
        <v>1615</v>
      </c>
      <c r="C1152" s="47">
        <v>1007</v>
      </c>
      <c r="D1152" s="47" t="s">
        <v>207</v>
      </c>
      <c r="E1152" s="41">
        <v>10070043</v>
      </c>
      <c r="F1152" s="46" t="s">
        <v>207</v>
      </c>
      <c r="G1152" s="39" t="s">
        <v>635</v>
      </c>
      <c r="H1152" s="48" t="s">
        <v>99</v>
      </c>
      <c r="I1152" s="52">
        <v>15076.199999999999</v>
      </c>
      <c r="J1152" s="49">
        <v>564006.22</v>
      </c>
      <c r="K1152" s="65">
        <v>0</v>
      </c>
      <c r="L1152" s="65">
        <v>0</v>
      </c>
      <c r="M1152" s="65">
        <v>0</v>
      </c>
      <c r="N1152" s="65">
        <v>0</v>
      </c>
      <c r="O1152" s="65">
        <v>0</v>
      </c>
      <c r="P1152" s="65">
        <v>0</v>
      </c>
      <c r="Q1152" s="50">
        <v>564006.22</v>
      </c>
      <c r="R1152" s="65">
        <v>0</v>
      </c>
      <c r="S1152" s="65">
        <v>0</v>
      </c>
      <c r="T1152" s="65">
        <v>0</v>
      </c>
      <c r="U1152" s="65">
        <v>0</v>
      </c>
      <c r="V1152" s="65">
        <v>0</v>
      </c>
      <c r="W1152" s="65">
        <v>0</v>
      </c>
      <c r="X1152" s="65">
        <v>0</v>
      </c>
      <c r="Y1152" s="65">
        <v>0</v>
      </c>
      <c r="Z1152" s="65">
        <v>564006.22</v>
      </c>
      <c r="AA1152" s="51">
        <v>0</v>
      </c>
      <c r="AB1152" s="102">
        <v>0</v>
      </c>
      <c r="AC1152" s="81">
        <f t="shared" si="54"/>
        <v>0</v>
      </c>
      <c r="AD1152" s="82">
        <f t="shared" si="55"/>
        <v>0</v>
      </c>
      <c r="AE1152" s="218">
        <v>0</v>
      </c>
      <c r="AF1152">
        <v>0</v>
      </c>
      <c r="AH1152" t="str">
        <f t="shared" si="56"/>
        <v>Araria</v>
      </c>
      <c r="AJ1152" s="72">
        <v>0</v>
      </c>
      <c r="AK1152" s="72"/>
      <c r="AL1152" s="72"/>
      <c r="AM1152" s="72"/>
    </row>
    <row r="1153" spans="1:39" x14ac:dyDescent="0.25">
      <c r="A1153" s="37" t="s">
        <v>62</v>
      </c>
      <c r="B1153" s="66" t="s">
        <v>1615</v>
      </c>
      <c r="C1153" s="47">
        <v>1007</v>
      </c>
      <c r="D1153" s="47" t="s">
        <v>207</v>
      </c>
      <c r="E1153" s="41">
        <v>10070045</v>
      </c>
      <c r="F1153" s="46" t="s">
        <v>213</v>
      </c>
      <c r="G1153" s="39" t="s">
        <v>93</v>
      </c>
      <c r="H1153" s="48" t="s">
        <v>94</v>
      </c>
      <c r="I1153" s="52">
        <v>118.10000000000001</v>
      </c>
      <c r="J1153" s="49">
        <v>4047.5299999999993</v>
      </c>
      <c r="K1153" s="65">
        <v>118.8</v>
      </c>
      <c r="L1153" s="65">
        <v>4798.7013254400008</v>
      </c>
      <c r="M1153" s="65">
        <v>0</v>
      </c>
      <c r="N1153" s="65">
        <v>0</v>
      </c>
      <c r="O1153" s="65">
        <v>118.8</v>
      </c>
      <c r="P1153" s="65">
        <v>4798.7013254400008</v>
      </c>
      <c r="Q1153" s="50">
        <v>4047.5299999999993</v>
      </c>
      <c r="R1153" s="65">
        <v>0</v>
      </c>
      <c r="S1153" s="65">
        <v>0</v>
      </c>
      <c r="T1153" s="65">
        <v>751.17132544000151</v>
      </c>
      <c r="U1153" s="65">
        <v>0</v>
      </c>
      <c r="V1153" s="65">
        <v>2524.2386571428565</v>
      </c>
      <c r="W1153" s="65">
        <v>0</v>
      </c>
      <c r="X1153" s="65">
        <v>1523</v>
      </c>
      <c r="Y1153" s="65">
        <v>0</v>
      </c>
      <c r="Z1153" s="65">
        <v>0</v>
      </c>
      <c r="AA1153" s="51">
        <v>0</v>
      </c>
      <c r="AB1153" s="102">
        <v>0</v>
      </c>
      <c r="AC1153" s="81">
        <f t="shared" si="54"/>
        <v>398.85820609652836</v>
      </c>
      <c r="AD1153" s="82">
        <f t="shared" si="55"/>
        <v>16.871428571428574</v>
      </c>
      <c r="AE1153" s="218">
        <v>-0.18558758685914661</v>
      </c>
      <c r="AF1153">
        <v>1</v>
      </c>
      <c r="AH1153" t="str">
        <f t="shared" si="56"/>
        <v>Araria</v>
      </c>
      <c r="AJ1153" s="72">
        <v>0</v>
      </c>
      <c r="AK1153" s="72"/>
      <c r="AL1153" s="72"/>
      <c r="AM1153" s="72"/>
    </row>
    <row r="1154" spans="1:39" x14ac:dyDescent="0.25">
      <c r="A1154" s="37" t="s">
        <v>62</v>
      </c>
      <c r="B1154" s="66" t="s">
        <v>1615</v>
      </c>
      <c r="C1154" s="47">
        <v>1056</v>
      </c>
      <c r="D1154" s="47" t="s">
        <v>838</v>
      </c>
      <c r="E1154" s="41">
        <v>10070046</v>
      </c>
      <c r="F1154" s="46" t="s">
        <v>503</v>
      </c>
      <c r="G1154" s="39" t="s">
        <v>93</v>
      </c>
      <c r="H1154" s="48" t="s">
        <v>94</v>
      </c>
      <c r="I1154" s="52">
        <v>2313.6800000000003</v>
      </c>
      <c r="J1154" s="49">
        <v>88578.359999999986</v>
      </c>
      <c r="K1154" s="65">
        <v>2322.67</v>
      </c>
      <c r="L1154" s="65">
        <v>91385.041314600006</v>
      </c>
      <c r="M1154" s="65">
        <v>6.4</v>
      </c>
      <c r="N1154" s="65">
        <v>222.73035840000006</v>
      </c>
      <c r="O1154" s="65">
        <v>2329.0700000000002</v>
      </c>
      <c r="P1154" s="65">
        <v>91607.77167300001</v>
      </c>
      <c r="Q1154" s="50">
        <v>88578.359999999986</v>
      </c>
      <c r="R1154" s="65">
        <v>0</v>
      </c>
      <c r="S1154" s="65">
        <v>222.73035840000006</v>
      </c>
      <c r="T1154" s="65">
        <v>3029.4116730000242</v>
      </c>
      <c r="U1154" s="65">
        <v>0</v>
      </c>
      <c r="V1154" s="65">
        <v>0</v>
      </c>
      <c r="W1154" s="65">
        <v>0</v>
      </c>
      <c r="X1154" s="65">
        <v>88356</v>
      </c>
      <c r="Y1154" s="65">
        <v>0</v>
      </c>
      <c r="Z1154" s="65">
        <v>0</v>
      </c>
      <c r="AA1154" s="51">
        <v>0</v>
      </c>
      <c r="AB1154" s="102">
        <v>0</v>
      </c>
      <c r="AC1154" s="81">
        <f t="shared" si="54"/>
        <v>0</v>
      </c>
      <c r="AD1154" s="82">
        <f t="shared" si="55"/>
        <v>0</v>
      </c>
      <c r="AE1154" s="218">
        <v>-3.4200358563875245E-2</v>
      </c>
      <c r="AF1154">
        <v>7</v>
      </c>
      <c r="AH1154" t="str">
        <f t="shared" si="56"/>
        <v>Chautham</v>
      </c>
      <c r="AJ1154" s="72">
        <v>0</v>
      </c>
      <c r="AK1154" s="72"/>
      <c r="AL1154" s="72"/>
      <c r="AM1154" s="72"/>
    </row>
    <row r="1155" spans="1:39" x14ac:dyDescent="0.25">
      <c r="A1155" s="37" t="s">
        <v>62</v>
      </c>
      <c r="B1155" s="66" t="s">
        <v>1615</v>
      </c>
      <c r="C1155" s="47">
        <v>1007</v>
      </c>
      <c r="D1155" s="47" t="s">
        <v>207</v>
      </c>
      <c r="E1155" s="41">
        <v>10070048</v>
      </c>
      <c r="F1155" s="46" t="s">
        <v>525</v>
      </c>
      <c r="G1155" s="39" t="s">
        <v>93</v>
      </c>
      <c r="H1155" s="48" t="s">
        <v>94</v>
      </c>
      <c r="I1155" s="52">
        <v>1465.3999999999999</v>
      </c>
      <c r="J1155" s="49">
        <v>57138.790000000008</v>
      </c>
      <c r="K1155" s="65">
        <v>1905.7699999999995</v>
      </c>
      <c r="L1155" s="65">
        <v>81767.915214347871</v>
      </c>
      <c r="M1155" s="65">
        <v>0</v>
      </c>
      <c r="N1155" s="65">
        <v>0</v>
      </c>
      <c r="O1155" s="65">
        <v>1905.7699999999995</v>
      </c>
      <c r="P1155" s="65">
        <v>81767.915214347871</v>
      </c>
      <c r="Q1155" s="50">
        <v>57138.790000000008</v>
      </c>
      <c r="R1155" s="65">
        <v>0</v>
      </c>
      <c r="S1155" s="65">
        <v>0</v>
      </c>
      <c r="T1155" s="65">
        <v>24629.125214347863</v>
      </c>
      <c r="U1155" s="65">
        <v>0</v>
      </c>
      <c r="V1155" s="65">
        <v>0</v>
      </c>
      <c r="W1155" s="65">
        <v>0</v>
      </c>
      <c r="X1155" s="65">
        <v>57139</v>
      </c>
      <c r="Y1155" s="65">
        <v>0</v>
      </c>
      <c r="Z1155" s="65">
        <v>0</v>
      </c>
      <c r="AA1155" s="51">
        <v>0</v>
      </c>
      <c r="AB1155" s="102">
        <v>0</v>
      </c>
      <c r="AC1155" s="81">
        <f t="shared" ref="AC1155:AC1218" si="57">((IF(AD1155=0,0,100-AD1155))*7*(J1155/I1155))*2%</f>
        <v>0</v>
      </c>
      <c r="AD1155" s="82">
        <f t="shared" ref="AD1155:AD1218" si="58">IF((I1155/7)&gt;100,0,(I1155/7))</f>
        <v>0</v>
      </c>
      <c r="AE1155" s="218">
        <v>-0.43104037054946143</v>
      </c>
      <c r="AF1155">
        <v>7</v>
      </c>
      <c r="AH1155" t="str">
        <f t="shared" si="56"/>
        <v>Araria</v>
      </c>
      <c r="AJ1155" s="72">
        <v>0</v>
      </c>
      <c r="AK1155" s="72"/>
      <c r="AL1155" s="72"/>
      <c r="AM1155" s="72"/>
    </row>
    <row r="1156" spans="1:39" x14ac:dyDescent="0.25">
      <c r="A1156" s="37" t="s">
        <v>62</v>
      </c>
      <c r="B1156" s="66" t="s">
        <v>1615</v>
      </c>
      <c r="C1156" s="47">
        <v>1056</v>
      </c>
      <c r="D1156" s="47" t="s">
        <v>838</v>
      </c>
      <c r="E1156" s="41">
        <v>10070053</v>
      </c>
      <c r="F1156" s="46" t="s">
        <v>1305</v>
      </c>
      <c r="G1156" s="39" t="s">
        <v>635</v>
      </c>
      <c r="H1156" s="48" t="s">
        <v>94</v>
      </c>
      <c r="I1156" s="52">
        <v>271.76000000000005</v>
      </c>
      <c r="J1156" s="49">
        <v>9738.94</v>
      </c>
      <c r="K1156" s="65">
        <v>272.42999999999995</v>
      </c>
      <c r="L1156" s="65">
        <v>10968.57336366</v>
      </c>
      <c r="M1156" s="65">
        <v>0</v>
      </c>
      <c r="N1156" s="65">
        <v>0</v>
      </c>
      <c r="O1156" s="65">
        <v>272.42999999999995</v>
      </c>
      <c r="P1156" s="65">
        <v>10968.57336366</v>
      </c>
      <c r="Q1156" s="50">
        <v>9738.94</v>
      </c>
      <c r="R1156" s="65">
        <v>0</v>
      </c>
      <c r="S1156" s="65">
        <v>0</v>
      </c>
      <c r="T1156" s="65">
        <v>1229.6333636599993</v>
      </c>
      <c r="U1156" s="65">
        <v>0</v>
      </c>
      <c r="V1156" s="65">
        <v>0</v>
      </c>
      <c r="W1156" s="65">
        <v>0</v>
      </c>
      <c r="X1156" s="65">
        <v>9739</v>
      </c>
      <c r="Y1156" s="65">
        <v>0</v>
      </c>
      <c r="Z1156" s="65">
        <v>0</v>
      </c>
      <c r="AA1156" s="51">
        <v>0</v>
      </c>
      <c r="AB1156" s="102">
        <v>0</v>
      </c>
      <c r="AC1156" s="81">
        <f t="shared" si="57"/>
        <v>306.93285734471584</v>
      </c>
      <c r="AD1156" s="82">
        <f t="shared" si="58"/>
        <v>38.822857142857153</v>
      </c>
      <c r="AE1156" s="218">
        <v>-0.12625946598500445</v>
      </c>
      <c r="AF1156">
        <v>2</v>
      </c>
      <c r="AH1156" t="str">
        <f t="shared" si="56"/>
        <v>Chautham</v>
      </c>
      <c r="AJ1156" s="72">
        <v>0</v>
      </c>
      <c r="AK1156" s="72"/>
      <c r="AL1156" s="72"/>
      <c r="AM1156" s="72"/>
    </row>
    <row r="1157" spans="1:39" x14ac:dyDescent="0.25">
      <c r="A1157" s="37" t="s">
        <v>62</v>
      </c>
      <c r="B1157" s="66" t="s">
        <v>1615</v>
      </c>
      <c r="C1157" s="47">
        <v>1056</v>
      </c>
      <c r="D1157" s="47" t="s">
        <v>838</v>
      </c>
      <c r="E1157" s="41">
        <v>10070056</v>
      </c>
      <c r="F1157" s="46" t="s">
        <v>539</v>
      </c>
      <c r="G1157" s="39" t="s">
        <v>635</v>
      </c>
      <c r="H1157" s="48" t="s">
        <v>99</v>
      </c>
      <c r="I1157" s="52">
        <v>679.48000000000013</v>
      </c>
      <c r="J1157" s="49">
        <v>27291.539999999994</v>
      </c>
      <c r="K1157" s="65">
        <v>0</v>
      </c>
      <c r="L1157" s="65">
        <v>0</v>
      </c>
      <c r="M1157" s="65">
        <v>0</v>
      </c>
      <c r="N1157" s="65">
        <v>0</v>
      </c>
      <c r="O1157" s="65">
        <v>0</v>
      </c>
      <c r="P1157" s="65">
        <v>0</v>
      </c>
      <c r="Q1157" s="50">
        <v>27291.539999999994</v>
      </c>
      <c r="R1157" s="65">
        <v>0</v>
      </c>
      <c r="S1157" s="65">
        <v>0</v>
      </c>
      <c r="T1157" s="65">
        <v>0</v>
      </c>
      <c r="U1157" s="65">
        <v>0</v>
      </c>
      <c r="V1157" s="65">
        <v>0</v>
      </c>
      <c r="W1157" s="65">
        <v>0</v>
      </c>
      <c r="X1157" s="65">
        <v>0</v>
      </c>
      <c r="Y1157" s="65">
        <v>0</v>
      </c>
      <c r="Z1157" s="65">
        <v>27291.539999999994</v>
      </c>
      <c r="AA1157" s="51">
        <v>0</v>
      </c>
      <c r="AB1157" s="102">
        <v>0</v>
      </c>
      <c r="AC1157" s="81">
        <f t="shared" si="57"/>
        <v>16.483852381232605</v>
      </c>
      <c r="AD1157" s="82">
        <f t="shared" si="58"/>
        <v>97.068571428571445</v>
      </c>
      <c r="AE1157" s="218">
        <v>0</v>
      </c>
      <c r="AF1157">
        <v>0</v>
      </c>
      <c r="AH1157" t="str">
        <f t="shared" si="56"/>
        <v>Chautham</v>
      </c>
      <c r="AJ1157" s="72">
        <v>0</v>
      </c>
      <c r="AK1157" s="72"/>
      <c r="AL1157" s="72"/>
      <c r="AM1157" s="72"/>
    </row>
    <row r="1158" spans="1:39" x14ac:dyDescent="0.25">
      <c r="A1158" s="37" t="s">
        <v>62</v>
      </c>
      <c r="B1158" s="66" t="s">
        <v>1615</v>
      </c>
      <c r="C1158" s="47">
        <v>1056</v>
      </c>
      <c r="D1158" s="47" t="s">
        <v>838</v>
      </c>
      <c r="E1158" s="41">
        <v>10070058</v>
      </c>
      <c r="F1158" s="46" t="s">
        <v>1292</v>
      </c>
      <c r="G1158" s="39" t="s">
        <v>635</v>
      </c>
      <c r="H1158" s="48" t="s">
        <v>99</v>
      </c>
      <c r="I1158" s="52">
        <v>133.84</v>
      </c>
      <c r="J1158" s="49">
        <v>4383.2</v>
      </c>
      <c r="K1158" s="65">
        <v>0</v>
      </c>
      <c r="L1158" s="65">
        <v>0</v>
      </c>
      <c r="M1158" s="65">
        <v>0</v>
      </c>
      <c r="N1158" s="65">
        <v>0</v>
      </c>
      <c r="O1158" s="65">
        <v>0</v>
      </c>
      <c r="P1158" s="65">
        <v>0</v>
      </c>
      <c r="Q1158" s="50">
        <v>4383.2</v>
      </c>
      <c r="R1158" s="65">
        <v>0</v>
      </c>
      <c r="S1158" s="65">
        <v>0</v>
      </c>
      <c r="T1158" s="65">
        <v>0</v>
      </c>
      <c r="U1158" s="65">
        <v>0</v>
      </c>
      <c r="V1158" s="65">
        <v>0</v>
      </c>
      <c r="W1158" s="65">
        <v>0</v>
      </c>
      <c r="X1158" s="65">
        <v>0</v>
      </c>
      <c r="Y1158" s="65">
        <v>0</v>
      </c>
      <c r="Z1158" s="65">
        <v>4383.2</v>
      </c>
      <c r="AA1158" s="51">
        <v>0</v>
      </c>
      <c r="AB1158" s="102">
        <v>0</v>
      </c>
      <c r="AC1158" s="81">
        <f t="shared" si="57"/>
        <v>370.82972384937239</v>
      </c>
      <c r="AD1158" s="82">
        <f t="shared" si="58"/>
        <v>19.12</v>
      </c>
      <c r="AE1158" s="218">
        <v>0</v>
      </c>
      <c r="AF1158">
        <v>0</v>
      </c>
      <c r="AH1158" t="str">
        <f t="shared" si="56"/>
        <v>Chautham</v>
      </c>
      <c r="AJ1158" s="72">
        <v>0</v>
      </c>
      <c r="AK1158" s="72"/>
      <c r="AL1158" s="72"/>
      <c r="AM1158" s="72"/>
    </row>
    <row r="1159" spans="1:39" x14ac:dyDescent="0.25">
      <c r="A1159" s="37" t="s">
        <v>62</v>
      </c>
      <c r="B1159" s="66" t="s">
        <v>1615</v>
      </c>
      <c r="C1159" s="47">
        <v>1056</v>
      </c>
      <c r="D1159" s="47" t="s">
        <v>838</v>
      </c>
      <c r="E1159" s="41">
        <v>10070059</v>
      </c>
      <c r="F1159" s="46" t="s">
        <v>568</v>
      </c>
      <c r="G1159" s="39" t="s">
        <v>635</v>
      </c>
      <c r="H1159" s="48" t="s">
        <v>99</v>
      </c>
      <c r="I1159" s="52">
        <v>1839.76</v>
      </c>
      <c r="J1159" s="49">
        <v>69297.03</v>
      </c>
      <c r="K1159" s="65">
        <v>0</v>
      </c>
      <c r="L1159" s="65">
        <v>0</v>
      </c>
      <c r="M1159" s="65">
        <v>0</v>
      </c>
      <c r="N1159" s="65">
        <v>0</v>
      </c>
      <c r="O1159" s="65">
        <v>0</v>
      </c>
      <c r="P1159" s="65">
        <v>0</v>
      </c>
      <c r="Q1159" s="50">
        <v>69297.03</v>
      </c>
      <c r="R1159" s="65">
        <v>0</v>
      </c>
      <c r="S1159" s="65">
        <v>0</v>
      </c>
      <c r="T1159" s="65">
        <v>0</v>
      </c>
      <c r="U1159" s="65">
        <v>0</v>
      </c>
      <c r="V1159" s="65">
        <v>0</v>
      </c>
      <c r="W1159" s="65">
        <v>0</v>
      </c>
      <c r="X1159" s="65">
        <v>0</v>
      </c>
      <c r="Y1159" s="65">
        <v>0</v>
      </c>
      <c r="Z1159" s="65">
        <v>69297.03</v>
      </c>
      <c r="AA1159" s="51">
        <v>0</v>
      </c>
      <c r="AB1159" s="102">
        <v>0</v>
      </c>
      <c r="AC1159" s="81">
        <f t="shared" si="57"/>
        <v>0</v>
      </c>
      <c r="AD1159" s="82">
        <f t="shared" si="58"/>
        <v>0</v>
      </c>
      <c r="AE1159" s="218">
        <v>0</v>
      </c>
      <c r="AF1159">
        <v>0</v>
      </c>
      <c r="AH1159" t="str">
        <f t="shared" si="56"/>
        <v>Chautham</v>
      </c>
      <c r="AJ1159" s="72">
        <v>0</v>
      </c>
      <c r="AK1159" s="72"/>
      <c r="AL1159" s="72"/>
      <c r="AM1159" s="72"/>
    </row>
    <row r="1160" spans="1:39" x14ac:dyDescent="0.25">
      <c r="A1160" s="37" t="s">
        <v>62</v>
      </c>
      <c r="B1160" s="66" t="s">
        <v>1615</v>
      </c>
      <c r="C1160" s="47">
        <v>1056</v>
      </c>
      <c r="D1160" s="47" t="s">
        <v>838</v>
      </c>
      <c r="E1160" s="41">
        <v>10070060</v>
      </c>
      <c r="F1160" s="46" t="s">
        <v>1348</v>
      </c>
      <c r="G1160" s="39" t="s">
        <v>635</v>
      </c>
      <c r="H1160" s="48" t="s">
        <v>99</v>
      </c>
      <c r="I1160" s="52">
        <v>111.60000000000001</v>
      </c>
      <c r="J1160" s="49">
        <v>4099.5600000000004</v>
      </c>
      <c r="K1160" s="65">
        <v>0</v>
      </c>
      <c r="L1160" s="65">
        <v>0</v>
      </c>
      <c r="M1160" s="65">
        <v>0</v>
      </c>
      <c r="N1160" s="65">
        <v>0</v>
      </c>
      <c r="O1160" s="65">
        <v>0</v>
      </c>
      <c r="P1160" s="65">
        <v>0</v>
      </c>
      <c r="Q1160" s="50">
        <v>4099.5600000000004</v>
      </c>
      <c r="R1160" s="65">
        <v>0</v>
      </c>
      <c r="S1160" s="65">
        <v>0</v>
      </c>
      <c r="T1160" s="65">
        <v>0</v>
      </c>
      <c r="U1160" s="65">
        <v>0</v>
      </c>
      <c r="V1160" s="65">
        <v>43.541489032258077</v>
      </c>
      <c r="W1160" s="65">
        <v>0</v>
      </c>
      <c r="X1160" s="65">
        <v>0</v>
      </c>
      <c r="Y1160" s="65">
        <v>0</v>
      </c>
      <c r="Z1160" s="65">
        <v>4056.0185109677423</v>
      </c>
      <c r="AA1160" s="51">
        <v>0</v>
      </c>
      <c r="AB1160" s="102">
        <v>0</v>
      </c>
      <c r="AC1160" s="81">
        <f t="shared" si="57"/>
        <v>432.29052043010751</v>
      </c>
      <c r="AD1160" s="82">
        <f t="shared" si="58"/>
        <v>15.942857142857145</v>
      </c>
      <c r="AE1160" s="218">
        <v>0</v>
      </c>
      <c r="AF1160">
        <v>0</v>
      </c>
      <c r="AH1160" t="str">
        <f t="shared" si="56"/>
        <v>Chautham</v>
      </c>
      <c r="AJ1160" s="72">
        <v>0</v>
      </c>
      <c r="AK1160" s="72"/>
      <c r="AL1160" s="72"/>
      <c r="AM1160" s="72"/>
    </row>
    <row r="1161" spans="1:39" x14ac:dyDescent="0.25">
      <c r="A1161" s="37" t="s">
        <v>62</v>
      </c>
      <c r="B1161" s="66" t="s">
        <v>1615</v>
      </c>
      <c r="C1161" s="47">
        <v>1007</v>
      </c>
      <c r="D1161" s="47" t="s">
        <v>207</v>
      </c>
      <c r="E1161" s="41">
        <v>10070061</v>
      </c>
      <c r="F1161" s="46" t="s">
        <v>574</v>
      </c>
      <c r="G1161" s="39" t="s">
        <v>635</v>
      </c>
      <c r="H1161" s="48" t="s">
        <v>99</v>
      </c>
      <c r="I1161" s="52">
        <v>170.89999999999998</v>
      </c>
      <c r="J1161" s="49">
        <v>5815.9400000000005</v>
      </c>
      <c r="K1161" s="65">
        <v>0</v>
      </c>
      <c r="L1161" s="65">
        <v>0</v>
      </c>
      <c r="M1161" s="65">
        <v>0</v>
      </c>
      <c r="N1161" s="65">
        <v>0</v>
      </c>
      <c r="O1161" s="65">
        <v>0</v>
      </c>
      <c r="P1161" s="65">
        <v>0</v>
      </c>
      <c r="Q1161" s="50">
        <v>5815.9400000000005</v>
      </c>
      <c r="R1161" s="65">
        <v>0</v>
      </c>
      <c r="S1161" s="65">
        <v>0</v>
      </c>
      <c r="T1161" s="65">
        <v>0</v>
      </c>
      <c r="U1161" s="65">
        <v>0</v>
      </c>
      <c r="V1161" s="65">
        <v>0</v>
      </c>
      <c r="W1161" s="65">
        <v>0</v>
      </c>
      <c r="X1161" s="65">
        <v>0</v>
      </c>
      <c r="Y1161" s="65">
        <v>0</v>
      </c>
      <c r="Z1161" s="65">
        <v>5815.9400000000005</v>
      </c>
      <c r="AA1161" s="51">
        <v>0</v>
      </c>
      <c r="AB1161" s="102">
        <v>0</v>
      </c>
      <c r="AC1161" s="81">
        <f t="shared" si="57"/>
        <v>360.11864880046824</v>
      </c>
      <c r="AD1161" s="82">
        <f t="shared" si="58"/>
        <v>24.414285714285711</v>
      </c>
      <c r="AE1161" s="218">
        <v>0</v>
      </c>
      <c r="AF1161">
        <v>0</v>
      </c>
      <c r="AH1161" t="str">
        <f t="shared" si="56"/>
        <v>Araria</v>
      </c>
      <c r="AJ1161" s="72">
        <v>0</v>
      </c>
      <c r="AK1161" s="72"/>
      <c r="AL1161" s="72"/>
      <c r="AM1161" s="72"/>
    </row>
    <row r="1162" spans="1:39" x14ac:dyDescent="0.25">
      <c r="A1162" s="37" t="s">
        <v>62</v>
      </c>
      <c r="B1162" s="66" t="s">
        <v>1615</v>
      </c>
      <c r="C1162" s="47">
        <v>1010</v>
      </c>
      <c r="D1162" s="47" t="s">
        <v>1359</v>
      </c>
      <c r="E1162" s="41">
        <v>10070063</v>
      </c>
      <c r="F1162" s="46" t="s">
        <v>641</v>
      </c>
      <c r="G1162" s="39" t="s">
        <v>93</v>
      </c>
      <c r="H1162" s="48" t="s">
        <v>94</v>
      </c>
      <c r="I1162" s="52">
        <v>389.20000000000005</v>
      </c>
      <c r="J1162" s="49">
        <v>14686.72</v>
      </c>
      <c r="K1162" s="65">
        <v>389.2</v>
      </c>
      <c r="L1162" s="65">
        <v>15823.7518824</v>
      </c>
      <c r="M1162" s="65">
        <v>0</v>
      </c>
      <c r="N1162" s="65">
        <v>0</v>
      </c>
      <c r="O1162" s="65">
        <v>389.2</v>
      </c>
      <c r="P1162" s="65">
        <v>15823.7518824</v>
      </c>
      <c r="Q1162" s="50">
        <v>14686.72</v>
      </c>
      <c r="R1162" s="65">
        <v>0</v>
      </c>
      <c r="S1162" s="65">
        <v>0</v>
      </c>
      <c r="T1162" s="65">
        <v>1137.0318824000005</v>
      </c>
      <c r="U1162" s="65">
        <v>13000</v>
      </c>
      <c r="V1162" s="65">
        <v>218.95233442622899</v>
      </c>
      <c r="W1162" s="65">
        <v>0</v>
      </c>
      <c r="X1162" s="65">
        <v>1468</v>
      </c>
      <c r="Y1162" s="65">
        <v>0</v>
      </c>
      <c r="Z1162" s="65">
        <v>0</v>
      </c>
      <c r="AA1162" s="51">
        <v>0</v>
      </c>
      <c r="AB1162" s="102">
        <v>0</v>
      </c>
      <c r="AC1162" s="81">
        <f t="shared" si="57"/>
        <v>234.56488057553952</v>
      </c>
      <c r="AD1162" s="82">
        <f t="shared" si="58"/>
        <v>55.600000000000009</v>
      </c>
      <c r="AE1162" s="218">
        <v>-7.7419048119661882E-2</v>
      </c>
      <c r="AF1162">
        <v>1</v>
      </c>
      <c r="AH1162" t="str">
        <f t="shared" si="56"/>
        <v>Parbatta</v>
      </c>
      <c r="AJ1162" s="72">
        <v>0</v>
      </c>
      <c r="AK1162" s="72"/>
      <c r="AL1162" s="72"/>
      <c r="AM1162" s="72"/>
    </row>
    <row r="1163" spans="1:39" x14ac:dyDescent="0.25">
      <c r="A1163" s="37" t="s">
        <v>62</v>
      </c>
      <c r="B1163" s="66" t="s">
        <v>1615</v>
      </c>
      <c r="C1163" s="47">
        <v>1056</v>
      </c>
      <c r="D1163" s="47" t="s">
        <v>838</v>
      </c>
      <c r="E1163" s="41">
        <v>10070064</v>
      </c>
      <c r="F1163" s="46" t="s">
        <v>642</v>
      </c>
      <c r="G1163" s="39" t="s">
        <v>93</v>
      </c>
      <c r="H1163" s="48" t="s">
        <v>94</v>
      </c>
      <c r="I1163" s="52">
        <v>1290.5199999999998</v>
      </c>
      <c r="J1163" s="49">
        <v>47773.859999999993</v>
      </c>
      <c r="K1163" s="65">
        <v>1290.6199999999999</v>
      </c>
      <c r="L1163" s="65">
        <v>47967.470052480006</v>
      </c>
      <c r="M1163" s="65">
        <v>3.73</v>
      </c>
      <c r="N1163" s="65">
        <v>143.72304526800002</v>
      </c>
      <c r="O1163" s="65">
        <v>1294.3499999999999</v>
      </c>
      <c r="P1163" s="65">
        <v>48111.193097748008</v>
      </c>
      <c r="Q1163" s="50">
        <v>47773.859999999993</v>
      </c>
      <c r="R1163" s="65">
        <v>0</v>
      </c>
      <c r="S1163" s="65">
        <v>143.72304526800002</v>
      </c>
      <c r="T1163" s="65">
        <v>337.33309774801455</v>
      </c>
      <c r="U1163" s="65">
        <v>13000</v>
      </c>
      <c r="V1163" s="65">
        <v>0</v>
      </c>
      <c r="W1163" s="65">
        <v>0</v>
      </c>
      <c r="X1163" s="65">
        <v>34630</v>
      </c>
      <c r="Y1163" s="65">
        <v>0</v>
      </c>
      <c r="Z1163" s="65">
        <v>0</v>
      </c>
      <c r="AA1163" s="51">
        <v>0</v>
      </c>
      <c r="AB1163" s="102">
        <v>0</v>
      </c>
      <c r="AC1163" s="81">
        <f t="shared" si="57"/>
        <v>0</v>
      </c>
      <c r="AD1163" s="82">
        <f t="shared" si="58"/>
        <v>0</v>
      </c>
      <c r="AE1163" s="218">
        <v>-7.0610391906371934E-3</v>
      </c>
      <c r="AF1163">
        <v>2</v>
      </c>
      <c r="AH1163" t="str">
        <f t="shared" si="56"/>
        <v>Chautham</v>
      </c>
      <c r="AJ1163" s="72">
        <v>0</v>
      </c>
      <c r="AK1163" s="72"/>
      <c r="AL1163" s="72"/>
      <c r="AM1163" s="72"/>
    </row>
    <row r="1164" spans="1:39" x14ac:dyDescent="0.25">
      <c r="A1164" s="37" t="s">
        <v>62</v>
      </c>
      <c r="B1164" s="66" t="s">
        <v>1615</v>
      </c>
      <c r="C1164" s="47">
        <v>1007</v>
      </c>
      <c r="D1164" s="47" t="s">
        <v>207</v>
      </c>
      <c r="E1164" s="41">
        <v>10070065</v>
      </c>
      <c r="F1164" s="46" t="s">
        <v>643</v>
      </c>
      <c r="G1164" s="39" t="s">
        <v>635</v>
      </c>
      <c r="H1164" s="48" t="s">
        <v>99</v>
      </c>
      <c r="I1164" s="52">
        <v>489.9</v>
      </c>
      <c r="J1164" s="49">
        <v>17611.78</v>
      </c>
      <c r="K1164" s="65">
        <v>0</v>
      </c>
      <c r="L1164" s="65">
        <v>0</v>
      </c>
      <c r="M1164" s="65">
        <v>0</v>
      </c>
      <c r="N1164" s="65">
        <v>0</v>
      </c>
      <c r="O1164" s="65">
        <v>0</v>
      </c>
      <c r="P1164" s="65">
        <v>0</v>
      </c>
      <c r="Q1164" s="50">
        <v>17611.78</v>
      </c>
      <c r="R1164" s="65">
        <v>0</v>
      </c>
      <c r="S1164" s="65">
        <v>0</v>
      </c>
      <c r="T1164" s="65">
        <v>0</v>
      </c>
      <c r="U1164" s="65">
        <v>0</v>
      </c>
      <c r="V1164" s="65">
        <v>0</v>
      </c>
      <c r="W1164" s="65">
        <v>0</v>
      </c>
      <c r="X1164" s="65">
        <v>0</v>
      </c>
      <c r="Y1164" s="65">
        <v>0</v>
      </c>
      <c r="Z1164" s="65">
        <v>17611.78</v>
      </c>
      <c r="AA1164" s="51">
        <v>0</v>
      </c>
      <c r="AB1164" s="102">
        <v>0</v>
      </c>
      <c r="AC1164" s="81">
        <f t="shared" si="57"/>
        <v>151.06082784241681</v>
      </c>
      <c r="AD1164" s="82">
        <f t="shared" si="58"/>
        <v>69.98571428571428</v>
      </c>
      <c r="AE1164" s="218">
        <v>0</v>
      </c>
      <c r="AF1164">
        <v>0</v>
      </c>
      <c r="AH1164" t="str">
        <f t="shared" si="56"/>
        <v>Araria</v>
      </c>
      <c r="AJ1164" s="72">
        <v>0</v>
      </c>
      <c r="AK1164" s="72"/>
      <c r="AL1164" s="72"/>
      <c r="AM1164" s="72"/>
    </row>
    <row r="1165" spans="1:39" x14ac:dyDescent="0.25">
      <c r="A1165" s="37" t="s">
        <v>62</v>
      </c>
      <c r="B1165" s="66" t="s">
        <v>1615</v>
      </c>
      <c r="C1165" s="47">
        <v>1007</v>
      </c>
      <c r="D1165" s="47" t="s">
        <v>207</v>
      </c>
      <c r="E1165" s="41">
        <v>10070074</v>
      </c>
      <c r="F1165" s="46" t="s">
        <v>1156</v>
      </c>
      <c r="G1165" s="39" t="s">
        <v>635</v>
      </c>
      <c r="H1165" s="48" t="s">
        <v>99</v>
      </c>
      <c r="I1165" s="52">
        <v>175.1</v>
      </c>
      <c r="J1165" s="49">
        <v>5690.11</v>
      </c>
      <c r="K1165" s="65">
        <v>0</v>
      </c>
      <c r="L1165" s="65">
        <v>0</v>
      </c>
      <c r="M1165" s="65">
        <v>0</v>
      </c>
      <c r="N1165" s="65">
        <v>0</v>
      </c>
      <c r="O1165" s="65">
        <v>0</v>
      </c>
      <c r="P1165" s="65">
        <v>0</v>
      </c>
      <c r="Q1165" s="50">
        <v>5690.11</v>
      </c>
      <c r="R1165" s="65">
        <v>0</v>
      </c>
      <c r="S1165" s="65">
        <v>0</v>
      </c>
      <c r="T1165" s="65">
        <v>0</v>
      </c>
      <c r="U1165" s="65">
        <v>0</v>
      </c>
      <c r="V1165" s="65">
        <v>452.51156129032245</v>
      </c>
      <c r="W1165" s="65">
        <v>0</v>
      </c>
      <c r="X1165" s="65">
        <v>0</v>
      </c>
      <c r="Y1165" s="65">
        <v>0</v>
      </c>
      <c r="Z1165" s="65">
        <v>5237.5984387096769</v>
      </c>
      <c r="AA1165" s="51">
        <v>0</v>
      </c>
      <c r="AB1165" s="102">
        <v>0</v>
      </c>
      <c r="AC1165" s="81">
        <f t="shared" si="57"/>
        <v>341.14662924043404</v>
      </c>
      <c r="AD1165" s="82">
        <f t="shared" si="58"/>
        <v>25.014285714285712</v>
      </c>
      <c r="AE1165" s="218">
        <v>0</v>
      </c>
      <c r="AF1165">
        <v>0</v>
      </c>
      <c r="AH1165" t="str">
        <f t="shared" si="56"/>
        <v>Araria</v>
      </c>
      <c r="AJ1165" s="72">
        <v>0</v>
      </c>
      <c r="AK1165" s="72"/>
      <c r="AL1165" s="72"/>
      <c r="AM1165" s="72"/>
    </row>
    <row r="1166" spans="1:39" x14ac:dyDescent="0.25">
      <c r="A1166" s="37" t="s">
        <v>62</v>
      </c>
      <c r="B1166" s="66" t="s">
        <v>1615</v>
      </c>
      <c r="C1166" s="47">
        <v>1007</v>
      </c>
      <c r="D1166" s="47" t="s">
        <v>207</v>
      </c>
      <c r="E1166" s="41">
        <v>10070076</v>
      </c>
      <c r="F1166" s="46" t="s">
        <v>1178</v>
      </c>
      <c r="G1166" s="39" t="s">
        <v>635</v>
      </c>
      <c r="H1166" s="48" t="s">
        <v>99</v>
      </c>
      <c r="I1166" s="52">
        <v>569.79999999999995</v>
      </c>
      <c r="J1166" s="49">
        <v>19198.349999999999</v>
      </c>
      <c r="K1166" s="65">
        <v>0</v>
      </c>
      <c r="L1166" s="65">
        <v>0</v>
      </c>
      <c r="M1166" s="65">
        <v>0</v>
      </c>
      <c r="N1166" s="65">
        <v>0</v>
      </c>
      <c r="O1166" s="65">
        <v>0</v>
      </c>
      <c r="P1166" s="65">
        <v>0</v>
      </c>
      <c r="Q1166" s="50">
        <v>19198.349999999999</v>
      </c>
      <c r="R1166" s="65">
        <v>0</v>
      </c>
      <c r="S1166" s="65">
        <v>0</v>
      </c>
      <c r="T1166" s="65">
        <v>0</v>
      </c>
      <c r="U1166" s="65">
        <v>0</v>
      </c>
      <c r="V1166" s="65">
        <v>0</v>
      </c>
      <c r="W1166" s="65">
        <v>0</v>
      </c>
      <c r="X1166" s="65">
        <v>0</v>
      </c>
      <c r="Y1166" s="65">
        <v>0</v>
      </c>
      <c r="Z1166" s="65">
        <v>19198.349999999999</v>
      </c>
      <c r="AA1166" s="51">
        <v>0</v>
      </c>
      <c r="AB1166" s="102">
        <v>0</v>
      </c>
      <c r="AC1166" s="81">
        <f t="shared" si="57"/>
        <v>87.736931203931235</v>
      </c>
      <c r="AD1166" s="82">
        <f t="shared" si="58"/>
        <v>81.399999999999991</v>
      </c>
      <c r="AE1166" s="218">
        <v>0</v>
      </c>
      <c r="AF1166">
        <v>0</v>
      </c>
      <c r="AH1166" t="str">
        <f t="shared" si="56"/>
        <v>Araria</v>
      </c>
      <c r="AJ1166" s="72">
        <v>0</v>
      </c>
      <c r="AK1166" s="72"/>
      <c r="AL1166" s="72"/>
      <c r="AM1166" s="72"/>
    </row>
    <row r="1167" spans="1:39" x14ac:dyDescent="0.25">
      <c r="A1167" s="37" t="s">
        <v>62</v>
      </c>
      <c r="B1167" s="66" t="s">
        <v>1615</v>
      </c>
      <c r="C1167" s="47">
        <v>1007</v>
      </c>
      <c r="D1167" s="47" t="s">
        <v>207</v>
      </c>
      <c r="E1167" s="41">
        <v>10070077</v>
      </c>
      <c r="F1167" s="46" t="s">
        <v>1349</v>
      </c>
      <c r="G1167" s="39" t="s">
        <v>93</v>
      </c>
      <c r="H1167" s="48" t="s">
        <v>94</v>
      </c>
      <c r="I1167" s="52">
        <v>183.2</v>
      </c>
      <c r="J1167" s="49">
        <v>6409.1200000000008</v>
      </c>
      <c r="K1167" s="65">
        <v>183.2</v>
      </c>
      <c r="L1167" s="65">
        <v>7134.0087139200004</v>
      </c>
      <c r="M1167" s="65">
        <v>0</v>
      </c>
      <c r="N1167" s="65">
        <v>0</v>
      </c>
      <c r="O1167" s="65">
        <v>183.2</v>
      </c>
      <c r="P1167" s="65">
        <v>7134.0087139200004</v>
      </c>
      <c r="Q1167" s="50">
        <v>6409.1200000000008</v>
      </c>
      <c r="R1167" s="65">
        <v>0</v>
      </c>
      <c r="S1167" s="65">
        <v>0</v>
      </c>
      <c r="T1167" s="65">
        <v>724.88871391999965</v>
      </c>
      <c r="U1167" s="65">
        <v>0</v>
      </c>
      <c r="V1167" s="65">
        <v>0</v>
      </c>
      <c r="W1167" s="65">
        <v>0</v>
      </c>
      <c r="X1167" s="65">
        <v>6409</v>
      </c>
      <c r="Y1167" s="65">
        <v>0</v>
      </c>
      <c r="Z1167" s="65">
        <v>0</v>
      </c>
      <c r="AA1167" s="51">
        <v>0</v>
      </c>
      <c r="AB1167" s="102">
        <v>0</v>
      </c>
      <c r="AC1167" s="81">
        <f t="shared" si="57"/>
        <v>361.59751266375548</v>
      </c>
      <c r="AD1167" s="82">
        <f t="shared" si="58"/>
        <v>26.171428571428571</v>
      </c>
      <c r="AE1167" s="218">
        <v>-0.1131026902164415</v>
      </c>
      <c r="AF1167">
        <v>1</v>
      </c>
      <c r="AH1167" t="str">
        <f t="shared" si="56"/>
        <v>Araria</v>
      </c>
      <c r="AJ1167" s="72">
        <v>0</v>
      </c>
      <c r="AK1167" s="72"/>
      <c r="AL1167" s="72"/>
      <c r="AM1167" s="72"/>
    </row>
    <row r="1168" spans="1:39" x14ac:dyDescent="0.25">
      <c r="A1168" s="37" t="s">
        <v>62</v>
      </c>
      <c r="B1168" s="66" t="s">
        <v>1615</v>
      </c>
      <c r="C1168" s="47">
        <v>1007</v>
      </c>
      <c r="D1168" s="47" t="s">
        <v>207</v>
      </c>
      <c r="E1168" s="41">
        <v>10070078</v>
      </c>
      <c r="F1168" s="46" t="s">
        <v>1350</v>
      </c>
      <c r="G1168" s="39" t="s">
        <v>93</v>
      </c>
      <c r="H1168" s="48" t="s">
        <v>94</v>
      </c>
      <c r="I1168" s="52">
        <v>1050.8000000000002</v>
      </c>
      <c r="J1168" s="49">
        <v>37616.44</v>
      </c>
      <c r="K1168" s="65">
        <v>1050.8</v>
      </c>
      <c r="L1168" s="65">
        <v>42722.503797600002</v>
      </c>
      <c r="M1168" s="65">
        <v>0</v>
      </c>
      <c r="N1168" s="65">
        <v>0</v>
      </c>
      <c r="O1168" s="65">
        <v>1050.8</v>
      </c>
      <c r="P1168" s="65">
        <v>42722.503797600002</v>
      </c>
      <c r="Q1168" s="50">
        <v>37616.44</v>
      </c>
      <c r="R1168" s="65">
        <v>0</v>
      </c>
      <c r="S1168" s="65">
        <v>0</v>
      </c>
      <c r="T1168" s="65">
        <v>5106.0637975999998</v>
      </c>
      <c r="U1168" s="65">
        <v>0</v>
      </c>
      <c r="V1168" s="65">
        <v>0</v>
      </c>
      <c r="W1168" s="65">
        <v>0</v>
      </c>
      <c r="X1168" s="65">
        <v>37616</v>
      </c>
      <c r="Y1168" s="65">
        <v>0</v>
      </c>
      <c r="Z1168" s="65">
        <v>0</v>
      </c>
      <c r="AA1168" s="51">
        <v>0</v>
      </c>
      <c r="AB1168" s="102">
        <v>0</v>
      </c>
      <c r="AC1168" s="81">
        <f t="shared" si="57"/>
        <v>0</v>
      </c>
      <c r="AD1168" s="82">
        <f t="shared" si="58"/>
        <v>0</v>
      </c>
      <c r="AE1168" s="218">
        <v>-0.13574021884048568</v>
      </c>
      <c r="AF1168">
        <v>1</v>
      </c>
      <c r="AH1168" t="str">
        <f t="shared" si="56"/>
        <v>Araria</v>
      </c>
      <c r="AJ1168" s="72">
        <v>0</v>
      </c>
      <c r="AK1168" s="72"/>
      <c r="AL1168" s="72"/>
      <c r="AM1168" s="72"/>
    </row>
    <row r="1169" spans="1:39" x14ac:dyDescent="0.25">
      <c r="A1169" s="37" t="s">
        <v>62</v>
      </c>
      <c r="B1169" s="66" t="s">
        <v>1615</v>
      </c>
      <c r="C1169" s="47">
        <v>1055</v>
      </c>
      <c r="D1169" s="47" t="s">
        <v>1148</v>
      </c>
      <c r="E1169" s="41">
        <v>10080001</v>
      </c>
      <c r="F1169" s="46" t="s">
        <v>618</v>
      </c>
      <c r="G1169" s="39" t="s">
        <v>635</v>
      </c>
      <c r="H1169" s="48" t="s">
        <v>99</v>
      </c>
      <c r="I1169" s="52">
        <v>724.5</v>
      </c>
      <c r="J1169" s="49">
        <v>26656.789999999997</v>
      </c>
      <c r="K1169" s="65">
        <v>0</v>
      </c>
      <c r="L1169" s="65">
        <v>0</v>
      </c>
      <c r="M1169" s="65">
        <v>0</v>
      </c>
      <c r="N1169" s="65">
        <v>0</v>
      </c>
      <c r="O1169" s="65">
        <v>0</v>
      </c>
      <c r="P1169" s="65">
        <v>0</v>
      </c>
      <c r="Q1169" s="50">
        <v>26656.789999999997</v>
      </c>
      <c r="R1169" s="65">
        <v>0</v>
      </c>
      <c r="S1169" s="65">
        <v>0</v>
      </c>
      <c r="T1169" s="65">
        <v>0</v>
      </c>
      <c r="U1169" s="65">
        <v>0</v>
      </c>
      <c r="V1169" s="65">
        <v>0</v>
      </c>
      <c r="W1169" s="65">
        <v>0</v>
      </c>
      <c r="X1169" s="65">
        <v>0</v>
      </c>
      <c r="Y1169" s="65">
        <v>0</v>
      </c>
      <c r="Z1169" s="65">
        <v>26656.789999999997</v>
      </c>
      <c r="AA1169" s="51">
        <v>0</v>
      </c>
      <c r="AB1169" s="102">
        <v>0</v>
      </c>
      <c r="AC1169" s="81">
        <f t="shared" si="57"/>
        <v>0</v>
      </c>
      <c r="AD1169" s="82">
        <f t="shared" si="58"/>
        <v>0</v>
      </c>
      <c r="AE1169" s="218">
        <v>0</v>
      </c>
      <c r="AF1169">
        <v>0</v>
      </c>
      <c r="AH1169" t="str">
        <f t="shared" si="56"/>
        <v>Matihani</v>
      </c>
      <c r="AJ1169" s="72">
        <v>0</v>
      </c>
      <c r="AK1169" s="72"/>
      <c r="AL1169" s="72"/>
      <c r="AM1169" s="72"/>
    </row>
    <row r="1170" spans="1:39" x14ac:dyDescent="0.25">
      <c r="A1170" s="37" t="s">
        <v>62</v>
      </c>
      <c r="B1170" s="66" t="s">
        <v>1615</v>
      </c>
      <c r="C1170" s="47">
        <v>1008</v>
      </c>
      <c r="D1170" s="47" t="s">
        <v>221</v>
      </c>
      <c r="E1170" s="41">
        <v>10080002</v>
      </c>
      <c r="F1170" s="46" t="s">
        <v>222</v>
      </c>
      <c r="G1170" s="39" t="s">
        <v>635</v>
      </c>
      <c r="H1170" s="48" t="s">
        <v>99</v>
      </c>
      <c r="I1170" s="52">
        <v>286.60000000000002</v>
      </c>
      <c r="J1170" s="49">
        <v>10523.16</v>
      </c>
      <c r="K1170" s="65">
        <v>0</v>
      </c>
      <c r="L1170" s="65">
        <v>0</v>
      </c>
      <c r="M1170" s="65">
        <v>0</v>
      </c>
      <c r="N1170" s="65">
        <v>0</v>
      </c>
      <c r="O1170" s="65">
        <v>0</v>
      </c>
      <c r="P1170" s="65">
        <v>0</v>
      </c>
      <c r="Q1170" s="50">
        <v>10523.16</v>
      </c>
      <c r="R1170" s="65">
        <v>0</v>
      </c>
      <c r="S1170" s="65">
        <v>0</v>
      </c>
      <c r="T1170" s="65">
        <v>0</v>
      </c>
      <c r="U1170" s="65">
        <v>10523</v>
      </c>
      <c r="V1170" s="65">
        <v>0</v>
      </c>
      <c r="W1170" s="65">
        <v>0</v>
      </c>
      <c r="X1170" s="65">
        <v>0</v>
      </c>
      <c r="Y1170" s="65">
        <v>0</v>
      </c>
      <c r="Z1170" s="65">
        <v>0.15999999999985448</v>
      </c>
      <c r="AA1170" s="51">
        <v>0</v>
      </c>
      <c r="AB1170" s="102">
        <v>0</v>
      </c>
      <c r="AC1170" s="81">
        <f t="shared" si="57"/>
        <v>303.57811193300762</v>
      </c>
      <c r="AD1170" s="82">
        <f t="shared" si="58"/>
        <v>40.942857142857143</v>
      </c>
      <c r="AE1170" s="218">
        <v>0</v>
      </c>
      <c r="AF1170">
        <v>0</v>
      </c>
      <c r="AH1170" t="str">
        <f t="shared" si="56"/>
        <v>Teghra</v>
      </c>
      <c r="AJ1170" s="72">
        <v>0</v>
      </c>
      <c r="AK1170" s="72"/>
      <c r="AL1170" s="72"/>
      <c r="AM1170" s="72"/>
    </row>
    <row r="1171" spans="1:39" x14ac:dyDescent="0.25">
      <c r="A1171" s="37" t="s">
        <v>62</v>
      </c>
      <c r="B1171" s="66" t="s">
        <v>1615</v>
      </c>
      <c r="C1171" s="47">
        <v>1008</v>
      </c>
      <c r="D1171" s="47" t="s">
        <v>221</v>
      </c>
      <c r="E1171" s="41">
        <v>10080003</v>
      </c>
      <c r="F1171" s="46" t="s">
        <v>223</v>
      </c>
      <c r="G1171" s="39" t="s">
        <v>635</v>
      </c>
      <c r="H1171" s="48" t="s">
        <v>99</v>
      </c>
      <c r="I1171" s="52">
        <v>136.74999999999997</v>
      </c>
      <c r="J1171" s="49">
        <v>4643.58</v>
      </c>
      <c r="K1171" s="65">
        <v>0</v>
      </c>
      <c r="L1171" s="65">
        <v>0</v>
      </c>
      <c r="M1171" s="65">
        <v>0</v>
      </c>
      <c r="N1171" s="65">
        <v>0</v>
      </c>
      <c r="O1171" s="65">
        <v>0</v>
      </c>
      <c r="P1171" s="65">
        <v>0</v>
      </c>
      <c r="Q1171" s="50">
        <v>4643.58</v>
      </c>
      <c r="R1171" s="65">
        <v>0</v>
      </c>
      <c r="S1171" s="65">
        <v>0</v>
      </c>
      <c r="T1171" s="65">
        <v>0</v>
      </c>
      <c r="U1171" s="65">
        <v>0</v>
      </c>
      <c r="V1171" s="65">
        <v>501.99940645161269</v>
      </c>
      <c r="W1171" s="65">
        <v>0</v>
      </c>
      <c r="X1171" s="65">
        <v>0</v>
      </c>
      <c r="Y1171" s="65">
        <v>0</v>
      </c>
      <c r="Z1171" s="65">
        <v>4141.5805935483877</v>
      </c>
      <c r="AA1171" s="51">
        <v>0</v>
      </c>
      <c r="AB1171" s="102">
        <v>0</v>
      </c>
      <c r="AC1171" s="81">
        <f t="shared" si="57"/>
        <v>382.52233053016465</v>
      </c>
      <c r="AD1171" s="82">
        <f t="shared" si="58"/>
        <v>19.535714285714281</v>
      </c>
      <c r="AE1171" s="218">
        <v>0</v>
      </c>
      <c r="AF1171">
        <v>0</v>
      </c>
      <c r="AH1171" t="str">
        <f t="shared" si="56"/>
        <v>Teghra</v>
      </c>
      <c r="AJ1171" s="72">
        <v>0</v>
      </c>
      <c r="AK1171" s="72"/>
      <c r="AL1171" s="72"/>
      <c r="AM1171" s="72"/>
    </row>
    <row r="1172" spans="1:39" x14ac:dyDescent="0.25">
      <c r="A1172" s="37" t="s">
        <v>62</v>
      </c>
      <c r="B1172" s="66" t="s">
        <v>1615</v>
      </c>
      <c r="C1172" s="47">
        <v>1008</v>
      </c>
      <c r="D1172" s="47" t="s">
        <v>221</v>
      </c>
      <c r="E1172" s="41">
        <v>10080004</v>
      </c>
      <c r="F1172" s="46" t="s">
        <v>224</v>
      </c>
      <c r="G1172" s="39" t="s">
        <v>635</v>
      </c>
      <c r="H1172" s="48" t="s">
        <v>99</v>
      </c>
      <c r="I1172" s="52">
        <v>64.199999999999989</v>
      </c>
      <c r="J1172" s="49">
        <v>2460.7200000000003</v>
      </c>
      <c r="K1172" s="65">
        <v>0</v>
      </c>
      <c r="L1172" s="65">
        <v>0</v>
      </c>
      <c r="M1172" s="65">
        <v>0</v>
      </c>
      <c r="N1172" s="65">
        <v>0</v>
      </c>
      <c r="O1172" s="65">
        <v>0</v>
      </c>
      <c r="P1172" s="65">
        <v>0</v>
      </c>
      <c r="Q1172" s="50">
        <v>2460.7200000000003</v>
      </c>
      <c r="R1172" s="65">
        <v>0</v>
      </c>
      <c r="S1172" s="65">
        <v>0</v>
      </c>
      <c r="T1172" s="65">
        <v>0</v>
      </c>
      <c r="U1172" s="65">
        <v>0</v>
      </c>
      <c r="V1172" s="65">
        <v>111.04263870967743</v>
      </c>
      <c r="W1172" s="65">
        <v>0</v>
      </c>
      <c r="X1172" s="65">
        <v>0</v>
      </c>
      <c r="Y1172" s="65">
        <v>0</v>
      </c>
      <c r="Z1172" s="65">
        <v>2349.677361290323</v>
      </c>
      <c r="AA1172" s="51">
        <v>0</v>
      </c>
      <c r="AB1172" s="102">
        <v>0</v>
      </c>
      <c r="AC1172" s="81">
        <f t="shared" si="57"/>
        <v>487.39120747663571</v>
      </c>
      <c r="AD1172" s="82">
        <f t="shared" si="58"/>
        <v>9.171428571428569</v>
      </c>
      <c r="AE1172" s="218">
        <v>0</v>
      </c>
      <c r="AF1172">
        <v>0</v>
      </c>
      <c r="AH1172" t="str">
        <f t="shared" si="56"/>
        <v>Teghra</v>
      </c>
      <c r="AJ1172" s="72">
        <v>0</v>
      </c>
      <c r="AK1172" s="72"/>
      <c r="AL1172" s="72"/>
      <c r="AM1172" s="72"/>
    </row>
    <row r="1173" spans="1:39" x14ac:dyDescent="0.25">
      <c r="A1173" s="37" t="s">
        <v>62</v>
      </c>
      <c r="B1173" s="66" t="s">
        <v>1615</v>
      </c>
      <c r="C1173" s="47">
        <v>1008</v>
      </c>
      <c r="D1173" s="47" t="s">
        <v>221</v>
      </c>
      <c r="E1173" s="41">
        <v>10080006</v>
      </c>
      <c r="F1173" s="46" t="s">
        <v>225</v>
      </c>
      <c r="G1173" s="39" t="s">
        <v>635</v>
      </c>
      <c r="H1173" s="48" t="s">
        <v>99</v>
      </c>
      <c r="I1173" s="52">
        <v>287.14999999999998</v>
      </c>
      <c r="J1173" s="49">
        <v>10096.620000000003</v>
      </c>
      <c r="K1173" s="65">
        <v>0</v>
      </c>
      <c r="L1173" s="65">
        <v>0</v>
      </c>
      <c r="M1173" s="65">
        <v>0</v>
      </c>
      <c r="N1173" s="65">
        <v>0</v>
      </c>
      <c r="O1173" s="65">
        <v>0</v>
      </c>
      <c r="P1173" s="65">
        <v>0</v>
      </c>
      <c r="Q1173" s="50">
        <v>10096.620000000003</v>
      </c>
      <c r="R1173" s="65">
        <v>0</v>
      </c>
      <c r="S1173" s="65">
        <v>0</v>
      </c>
      <c r="T1173" s="65">
        <v>0</v>
      </c>
      <c r="U1173" s="65">
        <v>0</v>
      </c>
      <c r="V1173" s="65">
        <v>0</v>
      </c>
      <c r="W1173" s="65">
        <v>0</v>
      </c>
      <c r="X1173" s="65">
        <v>0</v>
      </c>
      <c r="Y1173" s="65">
        <v>0</v>
      </c>
      <c r="Z1173" s="65">
        <v>10096.620000000003</v>
      </c>
      <c r="AA1173" s="51">
        <v>0</v>
      </c>
      <c r="AB1173" s="102">
        <v>0</v>
      </c>
      <c r="AC1173" s="81">
        <f t="shared" si="57"/>
        <v>290.32836963259632</v>
      </c>
      <c r="AD1173" s="82">
        <f t="shared" si="58"/>
        <v>41.021428571428565</v>
      </c>
      <c r="AE1173" s="218">
        <v>0</v>
      </c>
      <c r="AF1173">
        <v>0</v>
      </c>
      <c r="AH1173" t="str">
        <f t="shared" si="56"/>
        <v>Teghra</v>
      </c>
      <c r="AJ1173" s="72">
        <v>0</v>
      </c>
      <c r="AK1173" s="72"/>
      <c r="AL1173" s="72"/>
      <c r="AM1173" s="72"/>
    </row>
    <row r="1174" spans="1:39" x14ac:dyDescent="0.25">
      <c r="A1174" s="37" t="s">
        <v>62</v>
      </c>
      <c r="B1174" s="66" t="s">
        <v>1615</v>
      </c>
      <c r="C1174" s="47">
        <v>1008</v>
      </c>
      <c r="D1174" s="47" t="s">
        <v>221</v>
      </c>
      <c r="E1174" s="41">
        <v>10080007</v>
      </c>
      <c r="F1174" s="46" t="s">
        <v>226</v>
      </c>
      <c r="G1174" s="39" t="s">
        <v>635</v>
      </c>
      <c r="H1174" s="48" t="s">
        <v>99</v>
      </c>
      <c r="I1174" s="52">
        <v>728.44999999999993</v>
      </c>
      <c r="J1174" s="49">
        <v>26108.77</v>
      </c>
      <c r="K1174" s="65">
        <v>0</v>
      </c>
      <c r="L1174" s="65">
        <v>0</v>
      </c>
      <c r="M1174" s="65">
        <v>0</v>
      </c>
      <c r="N1174" s="65">
        <v>0</v>
      </c>
      <c r="O1174" s="65">
        <v>0</v>
      </c>
      <c r="P1174" s="65">
        <v>0</v>
      </c>
      <c r="Q1174" s="50">
        <v>26108.77</v>
      </c>
      <c r="R1174" s="65">
        <v>0</v>
      </c>
      <c r="S1174" s="65">
        <v>0</v>
      </c>
      <c r="T1174" s="65">
        <v>0</v>
      </c>
      <c r="U1174" s="65">
        <v>0</v>
      </c>
      <c r="V1174" s="65">
        <v>0</v>
      </c>
      <c r="W1174" s="65">
        <v>0</v>
      </c>
      <c r="X1174" s="65">
        <v>0</v>
      </c>
      <c r="Y1174" s="65">
        <v>0</v>
      </c>
      <c r="Z1174" s="65">
        <v>26108.77</v>
      </c>
      <c r="AA1174" s="51">
        <v>0</v>
      </c>
      <c r="AB1174" s="102">
        <v>0</v>
      </c>
      <c r="AC1174" s="81">
        <f t="shared" si="57"/>
        <v>0</v>
      </c>
      <c r="AD1174" s="82">
        <f t="shared" si="58"/>
        <v>0</v>
      </c>
      <c r="AE1174" s="218">
        <v>0</v>
      </c>
      <c r="AF1174">
        <v>0</v>
      </c>
      <c r="AH1174" t="str">
        <f t="shared" si="56"/>
        <v>Teghra</v>
      </c>
      <c r="AJ1174" s="72">
        <v>0</v>
      </c>
      <c r="AK1174" s="72"/>
      <c r="AL1174" s="72"/>
      <c r="AM1174" s="72"/>
    </row>
    <row r="1175" spans="1:39" x14ac:dyDescent="0.25">
      <c r="A1175" s="37" t="s">
        <v>62</v>
      </c>
      <c r="B1175" s="66" t="s">
        <v>1615</v>
      </c>
      <c r="C1175" s="47">
        <v>1008</v>
      </c>
      <c r="D1175" s="47" t="s">
        <v>221</v>
      </c>
      <c r="E1175" s="41">
        <v>10080012</v>
      </c>
      <c r="F1175" s="46" t="s">
        <v>1230</v>
      </c>
      <c r="G1175" s="39" t="s">
        <v>635</v>
      </c>
      <c r="H1175" s="48" t="s">
        <v>99</v>
      </c>
      <c r="I1175" s="52">
        <v>733.6</v>
      </c>
      <c r="J1175" s="49">
        <v>27899.18</v>
      </c>
      <c r="K1175" s="65">
        <v>0</v>
      </c>
      <c r="L1175" s="65">
        <v>0</v>
      </c>
      <c r="M1175" s="65">
        <v>0</v>
      </c>
      <c r="N1175" s="65">
        <v>0</v>
      </c>
      <c r="O1175" s="65">
        <v>0</v>
      </c>
      <c r="P1175" s="65">
        <v>0</v>
      </c>
      <c r="Q1175" s="50">
        <v>27899.18</v>
      </c>
      <c r="R1175" s="65">
        <v>0</v>
      </c>
      <c r="S1175" s="65">
        <v>0</v>
      </c>
      <c r="T1175" s="65">
        <v>0</v>
      </c>
      <c r="U1175" s="65">
        <v>0</v>
      </c>
      <c r="V1175" s="65">
        <v>4263.8102612903231</v>
      </c>
      <c r="W1175" s="65">
        <v>0</v>
      </c>
      <c r="X1175" s="65">
        <v>0</v>
      </c>
      <c r="Y1175" s="65">
        <v>0</v>
      </c>
      <c r="Z1175" s="65">
        <v>23635.369738709676</v>
      </c>
      <c r="AA1175" s="51">
        <v>0</v>
      </c>
      <c r="AB1175" s="102">
        <v>0</v>
      </c>
      <c r="AC1175" s="81">
        <f t="shared" si="57"/>
        <v>0</v>
      </c>
      <c r="AD1175" s="82">
        <f t="shared" si="58"/>
        <v>0</v>
      </c>
      <c r="AE1175" s="218">
        <v>0</v>
      </c>
      <c r="AF1175">
        <v>0</v>
      </c>
      <c r="AH1175" t="str">
        <f t="shared" si="56"/>
        <v>Teghra</v>
      </c>
      <c r="AJ1175" s="72">
        <v>0</v>
      </c>
      <c r="AK1175" s="72"/>
      <c r="AL1175" s="72"/>
      <c r="AM1175" s="72"/>
    </row>
    <row r="1176" spans="1:39" x14ac:dyDescent="0.25">
      <c r="A1176" s="37" t="s">
        <v>62</v>
      </c>
      <c r="B1176" s="66" t="s">
        <v>1615</v>
      </c>
      <c r="C1176" s="47">
        <v>1008</v>
      </c>
      <c r="D1176" s="47" t="s">
        <v>221</v>
      </c>
      <c r="E1176" s="41">
        <v>10080013</v>
      </c>
      <c r="F1176" s="46" t="s">
        <v>227</v>
      </c>
      <c r="G1176" s="39" t="s">
        <v>635</v>
      </c>
      <c r="H1176" s="48" t="s">
        <v>99</v>
      </c>
      <c r="I1176" s="52">
        <v>780.2</v>
      </c>
      <c r="J1176" s="49">
        <v>29453.149999999998</v>
      </c>
      <c r="K1176" s="65">
        <v>0</v>
      </c>
      <c r="L1176" s="65">
        <v>0</v>
      </c>
      <c r="M1176" s="65">
        <v>0</v>
      </c>
      <c r="N1176" s="65">
        <v>0</v>
      </c>
      <c r="O1176" s="65">
        <v>0</v>
      </c>
      <c r="P1176" s="65">
        <v>0</v>
      </c>
      <c r="Q1176" s="50">
        <v>29453.149999999998</v>
      </c>
      <c r="R1176" s="65">
        <v>0</v>
      </c>
      <c r="S1176" s="65">
        <v>0</v>
      </c>
      <c r="T1176" s="65">
        <v>0</v>
      </c>
      <c r="U1176" s="65">
        <v>0</v>
      </c>
      <c r="V1176" s="65">
        <v>0</v>
      </c>
      <c r="W1176" s="65">
        <v>0</v>
      </c>
      <c r="X1176" s="65">
        <v>0</v>
      </c>
      <c r="Y1176" s="65">
        <v>0</v>
      </c>
      <c r="Z1176" s="65">
        <v>29453.149999999998</v>
      </c>
      <c r="AA1176" s="51">
        <v>0</v>
      </c>
      <c r="AB1176" s="102">
        <v>0</v>
      </c>
      <c r="AC1176" s="81">
        <f t="shared" si="57"/>
        <v>0</v>
      </c>
      <c r="AD1176" s="82">
        <f t="shared" si="58"/>
        <v>0</v>
      </c>
      <c r="AE1176" s="218">
        <v>0</v>
      </c>
      <c r="AF1176">
        <v>0</v>
      </c>
      <c r="AH1176" t="str">
        <f t="shared" si="56"/>
        <v>Teghra</v>
      </c>
      <c r="AJ1176" s="72">
        <v>0</v>
      </c>
      <c r="AK1176" s="72"/>
      <c r="AL1176" s="72"/>
      <c r="AM1176" s="72"/>
    </row>
    <row r="1177" spans="1:39" x14ac:dyDescent="0.25">
      <c r="A1177" s="37" t="s">
        <v>62</v>
      </c>
      <c r="B1177" s="66" t="s">
        <v>1615</v>
      </c>
      <c r="C1177" s="47">
        <v>1008</v>
      </c>
      <c r="D1177" s="47" t="s">
        <v>221</v>
      </c>
      <c r="E1177" s="41">
        <v>10080014</v>
      </c>
      <c r="F1177" s="46" t="s">
        <v>228</v>
      </c>
      <c r="G1177" s="39" t="s">
        <v>635</v>
      </c>
      <c r="H1177" s="48" t="s">
        <v>99</v>
      </c>
      <c r="I1177" s="52">
        <v>148.19999999999999</v>
      </c>
      <c r="J1177" s="49">
        <v>5927.12</v>
      </c>
      <c r="K1177" s="65">
        <v>0</v>
      </c>
      <c r="L1177" s="65">
        <v>0</v>
      </c>
      <c r="M1177" s="65">
        <v>0</v>
      </c>
      <c r="N1177" s="65">
        <v>0</v>
      </c>
      <c r="O1177" s="65">
        <v>0</v>
      </c>
      <c r="P1177" s="65">
        <v>0</v>
      </c>
      <c r="Q1177" s="50">
        <v>5927.12</v>
      </c>
      <c r="R1177" s="65">
        <v>0</v>
      </c>
      <c r="S1177" s="65">
        <v>0</v>
      </c>
      <c r="T1177" s="65">
        <v>0</v>
      </c>
      <c r="U1177" s="65">
        <v>0</v>
      </c>
      <c r="V1177" s="65">
        <v>103.42329677419379</v>
      </c>
      <c r="W1177" s="65">
        <v>0</v>
      </c>
      <c r="X1177" s="65">
        <v>0</v>
      </c>
      <c r="Y1177" s="65">
        <v>0</v>
      </c>
      <c r="Z1177" s="65">
        <v>5823.6967032258062</v>
      </c>
      <c r="AA1177" s="51">
        <v>0</v>
      </c>
      <c r="AB1177" s="102">
        <v>0</v>
      </c>
      <c r="AC1177" s="81">
        <f t="shared" si="57"/>
        <v>441.37446909581649</v>
      </c>
      <c r="AD1177" s="82">
        <f t="shared" si="58"/>
        <v>21.171428571428571</v>
      </c>
      <c r="AE1177" s="218">
        <v>0</v>
      </c>
      <c r="AF1177">
        <v>0</v>
      </c>
      <c r="AH1177" t="str">
        <f t="shared" si="56"/>
        <v>Teghra</v>
      </c>
      <c r="AJ1177" s="72">
        <v>0</v>
      </c>
      <c r="AK1177" s="72"/>
      <c r="AL1177" s="72"/>
      <c r="AM1177" s="72"/>
    </row>
    <row r="1178" spans="1:39" x14ac:dyDescent="0.25">
      <c r="A1178" s="37" t="s">
        <v>62</v>
      </c>
      <c r="B1178" s="66" t="s">
        <v>1615</v>
      </c>
      <c r="C1178" s="47">
        <v>1008</v>
      </c>
      <c r="D1178" s="47" t="s">
        <v>221</v>
      </c>
      <c r="E1178" s="41">
        <v>10080015</v>
      </c>
      <c r="F1178" s="46" t="s">
        <v>229</v>
      </c>
      <c r="G1178" s="39" t="s">
        <v>93</v>
      </c>
      <c r="H1178" s="48" t="s">
        <v>94</v>
      </c>
      <c r="I1178" s="52">
        <v>3250.05</v>
      </c>
      <c r="J1178" s="49">
        <v>114191.06</v>
      </c>
      <c r="K1178" s="65">
        <v>3199.6</v>
      </c>
      <c r="L1178" s="65">
        <v>113966.4893483967</v>
      </c>
      <c r="M1178" s="65">
        <v>60.999999999999993</v>
      </c>
      <c r="N1178" s="65">
        <v>2138.4286585200007</v>
      </c>
      <c r="O1178" s="65">
        <v>3260.6</v>
      </c>
      <c r="P1178" s="65">
        <v>116104.91800691671</v>
      </c>
      <c r="Q1178" s="50">
        <v>114191.06</v>
      </c>
      <c r="R1178" s="65">
        <v>0</v>
      </c>
      <c r="S1178" s="65">
        <v>2138.4286585200007</v>
      </c>
      <c r="T1178" s="65">
        <v>1913.8580069167074</v>
      </c>
      <c r="U1178" s="65">
        <v>0</v>
      </c>
      <c r="V1178" s="65">
        <v>0</v>
      </c>
      <c r="W1178" s="65">
        <v>0</v>
      </c>
      <c r="X1178" s="65">
        <v>112053</v>
      </c>
      <c r="Y1178" s="65">
        <v>0</v>
      </c>
      <c r="Z1178" s="65">
        <v>0</v>
      </c>
      <c r="AA1178" s="51">
        <v>0</v>
      </c>
      <c r="AB1178" s="102">
        <v>0</v>
      </c>
      <c r="AC1178" s="81">
        <f t="shared" si="57"/>
        <v>0</v>
      </c>
      <c r="AD1178" s="82">
        <f t="shared" si="58"/>
        <v>0</v>
      </c>
      <c r="AE1178" s="218">
        <v>-1.6760138726417878E-2</v>
      </c>
      <c r="AF1178">
        <v>10</v>
      </c>
      <c r="AH1178" t="str">
        <f t="shared" si="56"/>
        <v>Teghra</v>
      </c>
      <c r="AJ1178" s="72">
        <v>0</v>
      </c>
      <c r="AK1178" s="72"/>
      <c r="AL1178" s="72"/>
      <c r="AM1178" s="72"/>
    </row>
    <row r="1179" spans="1:39" x14ac:dyDescent="0.25">
      <c r="A1179" s="37" t="s">
        <v>62</v>
      </c>
      <c r="B1179" s="66" t="s">
        <v>1615</v>
      </c>
      <c r="C1179" s="47">
        <v>1008</v>
      </c>
      <c r="D1179" s="47" t="s">
        <v>221</v>
      </c>
      <c r="E1179" s="41">
        <v>10080016</v>
      </c>
      <c r="F1179" s="46" t="s">
        <v>230</v>
      </c>
      <c r="G1179" s="39" t="s">
        <v>93</v>
      </c>
      <c r="H1179" s="48" t="s">
        <v>94</v>
      </c>
      <c r="I1179" s="52">
        <v>105.5</v>
      </c>
      <c r="J1179" s="49">
        <v>3789.6699999999996</v>
      </c>
      <c r="K1179" s="65">
        <v>104.30000000000001</v>
      </c>
      <c r="L1179" s="65">
        <v>3756.2510820779999</v>
      </c>
      <c r="M1179" s="65">
        <v>1.2</v>
      </c>
      <c r="N1179" s="65">
        <v>40.48428641400001</v>
      </c>
      <c r="O1179" s="65">
        <v>105.50000000000001</v>
      </c>
      <c r="P1179" s="65">
        <v>3796.7353684919999</v>
      </c>
      <c r="Q1179" s="50">
        <v>3789.6699999999996</v>
      </c>
      <c r="R1179" s="65">
        <v>0</v>
      </c>
      <c r="S1179" s="65">
        <v>40.48428641400001</v>
      </c>
      <c r="T1179" s="65">
        <v>7.0653684920002888</v>
      </c>
      <c r="U1179" s="65">
        <v>0</v>
      </c>
      <c r="V1179" s="65">
        <v>71.525775000000039</v>
      </c>
      <c r="W1179" s="65">
        <v>0</v>
      </c>
      <c r="X1179" s="65">
        <v>3677</v>
      </c>
      <c r="Y1179" s="65">
        <v>0</v>
      </c>
      <c r="Z1179" s="65">
        <v>0</v>
      </c>
      <c r="AA1179" s="51">
        <v>1</v>
      </c>
      <c r="AB1179" s="102" t="s">
        <v>66</v>
      </c>
      <c r="AC1179" s="81">
        <f t="shared" si="57"/>
        <v>427.10119715639803</v>
      </c>
      <c r="AD1179" s="82">
        <f t="shared" si="58"/>
        <v>15.071428571428571</v>
      </c>
      <c r="AE1179" s="218">
        <v>-1.8643756559279013E-3</v>
      </c>
      <c r="AF1179">
        <v>4</v>
      </c>
      <c r="AH1179" t="str">
        <f t="shared" si="56"/>
        <v>Teghra</v>
      </c>
      <c r="AJ1179" s="72">
        <v>0</v>
      </c>
      <c r="AK1179" s="72"/>
      <c r="AL1179" s="72"/>
      <c r="AM1179" s="72"/>
    </row>
    <row r="1180" spans="1:39" x14ac:dyDescent="0.25">
      <c r="A1180" s="37" t="s">
        <v>62</v>
      </c>
      <c r="B1180" s="66" t="s">
        <v>1615</v>
      </c>
      <c r="C1180" s="47">
        <v>1008</v>
      </c>
      <c r="D1180" s="47" t="s">
        <v>221</v>
      </c>
      <c r="E1180" s="41">
        <v>10080022</v>
      </c>
      <c r="F1180" s="46" t="s">
        <v>232</v>
      </c>
      <c r="G1180" s="39" t="s">
        <v>93</v>
      </c>
      <c r="H1180" s="48" t="s">
        <v>94</v>
      </c>
      <c r="I1180" s="52">
        <v>270.15000000000003</v>
      </c>
      <c r="J1180" s="49">
        <v>11445.269999999997</v>
      </c>
      <c r="K1180" s="65">
        <v>269.19</v>
      </c>
      <c r="L1180" s="65">
        <v>11203.788838595126</v>
      </c>
      <c r="M1180" s="65">
        <v>4.55</v>
      </c>
      <c r="N1180" s="65">
        <v>177.44288053140002</v>
      </c>
      <c r="O1180" s="65">
        <v>273.74</v>
      </c>
      <c r="P1180" s="65">
        <v>11381.231719126527</v>
      </c>
      <c r="Q1180" s="50">
        <v>11381.231719126527</v>
      </c>
      <c r="R1180" s="65">
        <v>0</v>
      </c>
      <c r="S1180" s="65">
        <v>177.44288053140002</v>
      </c>
      <c r="T1180" s="65">
        <v>0</v>
      </c>
      <c r="U1180" s="65">
        <v>0</v>
      </c>
      <c r="V1180" s="65">
        <v>0</v>
      </c>
      <c r="W1180" s="65">
        <v>0</v>
      </c>
      <c r="X1180" s="65">
        <v>11204</v>
      </c>
      <c r="Y1180" s="65">
        <v>0</v>
      </c>
      <c r="Z1180" s="65">
        <v>0</v>
      </c>
      <c r="AA1180" s="51">
        <v>64</v>
      </c>
      <c r="AB1180" s="102">
        <v>0</v>
      </c>
      <c r="AC1180" s="81">
        <f t="shared" si="57"/>
        <v>364.22352837312587</v>
      </c>
      <c r="AD1180" s="82">
        <f t="shared" si="58"/>
        <v>38.592857142857149</v>
      </c>
      <c r="AE1180" s="218">
        <v>5.5951743273396177E-3</v>
      </c>
      <c r="AF1180">
        <v>8</v>
      </c>
      <c r="AH1180" t="str">
        <f t="shared" si="56"/>
        <v>Teghra</v>
      </c>
      <c r="AJ1180" s="72">
        <v>0</v>
      </c>
      <c r="AK1180" s="72"/>
      <c r="AL1180" s="72"/>
      <c r="AM1180" s="72"/>
    </row>
    <row r="1181" spans="1:39" x14ac:dyDescent="0.25">
      <c r="A1181" s="37" t="s">
        <v>62</v>
      </c>
      <c r="B1181" s="66" t="s">
        <v>1615</v>
      </c>
      <c r="C1181" s="47">
        <v>1008</v>
      </c>
      <c r="D1181" s="47" t="s">
        <v>221</v>
      </c>
      <c r="E1181" s="41">
        <v>10080025</v>
      </c>
      <c r="F1181" s="46" t="s">
        <v>235</v>
      </c>
      <c r="G1181" s="39" t="s">
        <v>93</v>
      </c>
      <c r="H1181" s="48" t="s">
        <v>94</v>
      </c>
      <c r="I1181" s="52">
        <v>769.4</v>
      </c>
      <c r="J1181" s="49">
        <v>27295.77</v>
      </c>
      <c r="K1181" s="65">
        <v>781.44000000000017</v>
      </c>
      <c r="L1181" s="65">
        <v>28968.202746710518</v>
      </c>
      <c r="M1181" s="65">
        <v>11.58</v>
      </c>
      <c r="N1181" s="65">
        <v>455.94520135965007</v>
      </c>
      <c r="O1181" s="65">
        <v>793.02000000000021</v>
      </c>
      <c r="P1181" s="65">
        <v>29424.147948070167</v>
      </c>
      <c r="Q1181" s="50">
        <v>27295.77</v>
      </c>
      <c r="R1181" s="65">
        <v>0</v>
      </c>
      <c r="S1181" s="65">
        <v>455.94520135965007</v>
      </c>
      <c r="T1181" s="65">
        <v>2128.3779480701669</v>
      </c>
      <c r="U1181" s="65">
        <v>0</v>
      </c>
      <c r="V1181" s="65">
        <v>0</v>
      </c>
      <c r="W1181" s="65">
        <v>0</v>
      </c>
      <c r="X1181" s="65">
        <v>26840</v>
      </c>
      <c r="Y1181" s="65">
        <v>0</v>
      </c>
      <c r="Z1181" s="65">
        <v>0</v>
      </c>
      <c r="AA1181" s="51">
        <v>0</v>
      </c>
      <c r="AB1181" s="102" t="s">
        <v>68</v>
      </c>
      <c r="AC1181" s="81">
        <f t="shared" si="57"/>
        <v>0</v>
      </c>
      <c r="AD1181" s="82">
        <f t="shared" si="58"/>
        <v>0</v>
      </c>
      <c r="AE1181" s="218">
        <v>-7.7974643985869119E-2</v>
      </c>
      <c r="AF1181">
        <v>25</v>
      </c>
      <c r="AH1181" t="str">
        <f t="shared" si="56"/>
        <v>Teghra</v>
      </c>
      <c r="AJ1181" s="72">
        <v>0</v>
      </c>
      <c r="AK1181" s="72"/>
      <c r="AL1181" s="72"/>
      <c r="AM1181" s="72"/>
    </row>
    <row r="1182" spans="1:39" x14ac:dyDescent="0.25">
      <c r="A1182" s="37" t="s">
        <v>62</v>
      </c>
      <c r="B1182" s="66" t="s">
        <v>1615</v>
      </c>
      <c r="C1182" s="47">
        <v>1008</v>
      </c>
      <c r="D1182" s="47" t="s">
        <v>221</v>
      </c>
      <c r="E1182" s="41">
        <v>10080032</v>
      </c>
      <c r="F1182" s="46" t="s">
        <v>237</v>
      </c>
      <c r="G1182" s="39" t="s">
        <v>93</v>
      </c>
      <c r="H1182" s="48" t="s">
        <v>94</v>
      </c>
      <c r="I1182" s="52">
        <v>452.2</v>
      </c>
      <c r="J1182" s="49">
        <v>18525.280000000002</v>
      </c>
      <c r="K1182" s="65">
        <v>450</v>
      </c>
      <c r="L1182" s="65">
        <v>18770.89302</v>
      </c>
      <c r="M1182" s="65">
        <v>0</v>
      </c>
      <c r="N1182" s="65">
        <v>0</v>
      </c>
      <c r="O1182" s="65">
        <v>450</v>
      </c>
      <c r="P1182" s="65">
        <v>18770.89302</v>
      </c>
      <c r="Q1182" s="50">
        <v>18525.280000000002</v>
      </c>
      <c r="R1182" s="65">
        <v>0</v>
      </c>
      <c r="S1182" s="65">
        <v>0</v>
      </c>
      <c r="T1182" s="65">
        <v>245.61301999999705</v>
      </c>
      <c r="U1182" s="65">
        <v>5850</v>
      </c>
      <c r="V1182" s="65">
        <v>6.9003245901647432</v>
      </c>
      <c r="W1182" s="65">
        <v>0</v>
      </c>
      <c r="X1182" s="65">
        <v>12668</v>
      </c>
      <c r="Y1182" s="65">
        <v>0</v>
      </c>
      <c r="Z1182" s="65">
        <v>0</v>
      </c>
      <c r="AA1182" s="51">
        <v>0</v>
      </c>
      <c r="AB1182" s="102" t="s">
        <v>66</v>
      </c>
      <c r="AC1182" s="81">
        <f t="shared" si="57"/>
        <v>203.03248049535611</v>
      </c>
      <c r="AD1182" s="82">
        <f t="shared" si="58"/>
        <v>64.599999999999994</v>
      </c>
      <c r="AE1182" s="218">
        <v>-1.3258262223296869E-2</v>
      </c>
      <c r="AF1182">
        <v>1</v>
      </c>
      <c r="AH1182" t="str">
        <f t="shared" si="56"/>
        <v>Teghra</v>
      </c>
      <c r="AJ1182" s="72">
        <v>0</v>
      </c>
      <c r="AK1182" s="72"/>
      <c r="AL1182" s="72"/>
      <c r="AM1182" s="72"/>
    </row>
    <row r="1183" spans="1:39" x14ac:dyDescent="0.25">
      <c r="A1183" s="37" t="s">
        <v>62</v>
      </c>
      <c r="B1183" s="66" t="s">
        <v>1615</v>
      </c>
      <c r="C1183" s="47">
        <v>1008</v>
      </c>
      <c r="D1183" s="47" t="s">
        <v>221</v>
      </c>
      <c r="E1183" s="41">
        <v>10080040</v>
      </c>
      <c r="F1183" s="46" t="s">
        <v>238</v>
      </c>
      <c r="G1183" s="39" t="s">
        <v>635</v>
      </c>
      <c r="H1183" s="48" t="s">
        <v>99</v>
      </c>
      <c r="I1183" s="52">
        <v>866.95000000000016</v>
      </c>
      <c r="J1183" s="49">
        <v>34698.449999999997</v>
      </c>
      <c r="K1183" s="65">
        <v>0</v>
      </c>
      <c r="L1183" s="65">
        <v>0</v>
      </c>
      <c r="M1183" s="65">
        <v>0</v>
      </c>
      <c r="N1183" s="65">
        <v>0</v>
      </c>
      <c r="O1183" s="65">
        <v>0</v>
      </c>
      <c r="P1183" s="65">
        <v>0</v>
      </c>
      <c r="Q1183" s="50">
        <v>34698.449999999997</v>
      </c>
      <c r="R1183" s="65">
        <v>0</v>
      </c>
      <c r="S1183" s="65">
        <v>0</v>
      </c>
      <c r="T1183" s="65">
        <v>0</v>
      </c>
      <c r="U1183" s="65">
        <v>0</v>
      </c>
      <c r="V1183" s="65">
        <v>0</v>
      </c>
      <c r="W1183" s="65">
        <v>0</v>
      </c>
      <c r="X1183" s="65">
        <v>0</v>
      </c>
      <c r="Y1183" s="65">
        <v>0</v>
      </c>
      <c r="Z1183" s="65">
        <v>34698.449999999997</v>
      </c>
      <c r="AA1183" s="51">
        <v>0</v>
      </c>
      <c r="AB1183" s="102">
        <v>0</v>
      </c>
      <c r="AC1183" s="81">
        <f t="shared" si="57"/>
        <v>0</v>
      </c>
      <c r="AD1183" s="82">
        <f t="shared" si="58"/>
        <v>0</v>
      </c>
      <c r="AE1183" s="218">
        <v>0</v>
      </c>
      <c r="AF1183">
        <v>0</v>
      </c>
      <c r="AH1183" t="str">
        <f t="shared" si="56"/>
        <v>Teghra</v>
      </c>
      <c r="AJ1183" s="72">
        <v>0</v>
      </c>
      <c r="AK1183" s="72"/>
      <c r="AL1183" s="72"/>
      <c r="AM1183" s="72"/>
    </row>
    <row r="1184" spans="1:39" x14ac:dyDescent="0.25">
      <c r="A1184" s="37" t="s">
        <v>62</v>
      </c>
      <c r="B1184" s="66" t="s">
        <v>1615</v>
      </c>
      <c r="C1184" s="47">
        <v>1008</v>
      </c>
      <c r="D1184" s="47" t="s">
        <v>221</v>
      </c>
      <c r="E1184" s="41">
        <v>10080043</v>
      </c>
      <c r="F1184" s="46" t="s">
        <v>1312</v>
      </c>
      <c r="G1184" s="39" t="s">
        <v>635</v>
      </c>
      <c r="H1184" s="48" t="s">
        <v>99</v>
      </c>
      <c r="I1184" s="52">
        <v>642.65</v>
      </c>
      <c r="J1184" s="49">
        <v>22827.27</v>
      </c>
      <c r="K1184" s="65">
        <v>0</v>
      </c>
      <c r="L1184" s="65">
        <v>0</v>
      </c>
      <c r="M1184" s="65">
        <v>0</v>
      </c>
      <c r="N1184" s="65">
        <v>0</v>
      </c>
      <c r="O1184" s="65">
        <v>0</v>
      </c>
      <c r="P1184" s="65">
        <v>0</v>
      </c>
      <c r="Q1184" s="50">
        <v>22827.27</v>
      </c>
      <c r="R1184" s="65">
        <v>0</v>
      </c>
      <c r="S1184" s="65">
        <v>0</v>
      </c>
      <c r="T1184" s="65">
        <v>0</v>
      </c>
      <c r="U1184" s="65">
        <v>0</v>
      </c>
      <c r="V1184" s="65">
        <v>0</v>
      </c>
      <c r="W1184" s="65">
        <v>0</v>
      </c>
      <c r="X1184" s="65">
        <v>0</v>
      </c>
      <c r="Y1184" s="65">
        <v>0</v>
      </c>
      <c r="Z1184" s="65">
        <v>22827.27</v>
      </c>
      <c r="AA1184" s="51">
        <v>0</v>
      </c>
      <c r="AB1184" s="102">
        <v>0</v>
      </c>
      <c r="AC1184" s="81">
        <f t="shared" si="57"/>
        <v>40.742050400684704</v>
      </c>
      <c r="AD1184" s="82">
        <f t="shared" si="58"/>
        <v>91.80714285714285</v>
      </c>
      <c r="AE1184" s="218">
        <v>0</v>
      </c>
      <c r="AF1184">
        <v>0</v>
      </c>
      <c r="AH1184" t="str">
        <f t="shared" si="56"/>
        <v>Teghra</v>
      </c>
      <c r="AJ1184" s="72">
        <v>0</v>
      </c>
      <c r="AK1184" s="72"/>
      <c r="AL1184" s="72"/>
      <c r="AM1184" s="72"/>
    </row>
    <row r="1185" spans="1:39" x14ac:dyDescent="0.25">
      <c r="A1185" s="37" t="s">
        <v>62</v>
      </c>
      <c r="B1185" s="66" t="s">
        <v>1615</v>
      </c>
      <c r="C1185" s="47">
        <v>1008</v>
      </c>
      <c r="D1185" s="47" t="s">
        <v>221</v>
      </c>
      <c r="E1185" s="41">
        <v>10080048</v>
      </c>
      <c r="F1185" s="46" t="s">
        <v>239</v>
      </c>
      <c r="G1185" s="39" t="s">
        <v>93</v>
      </c>
      <c r="H1185" s="48" t="s">
        <v>94</v>
      </c>
      <c r="I1185" s="52">
        <v>305.60000000000002</v>
      </c>
      <c r="J1185" s="49">
        <v>13247.73</v>
      </c>
      <c r="K1185" s="65">
        <v>302.34000000000003</v>
      </c>
      <c r="L1185" s="65">
        <v>12867.639590248451</v>
      </c>
      <c r="M1185" s="65">
        <v>2.1999999999999997</v>
      </c>
      <c r="N1185" s="65">
        <v>99.888408599424992</v>
      </c>
      <c r="O1185" s="65">
        <v>304.54000000000002</v>
      </c>
      <c r="P1185" s="65">
        <v>12967.527998847876</v>
      </c>
      <c r="Q1185" s="50">
        <v>12967.527998847876</v>
      </c>
      <c r="R1185" s="65">
        <v>0</v>
      </c>
      <c r="S1185" s="65">
        <v>93.512644259424988</v>
      </c>
      <c r="T1185" s="65">
        <v>0</v>
      </c>
      <c r="U1185" s="65">
        <v>0</v>
      </c>
      <c r="V1185" s="65">
        <v>0</v>
      </c>
      <c r="W1185" s="65">
        <v>0</v>
      </c>
      <c r="X1185" s="65">
        <v>12868</v>
      </c>
      <c r="Y1185" s="65">
        <v>6</v>
      </c>
      <c r="Z1185" s="65">
        <v>0</v>
      </c>
      <c r="AA1185" s="51">
        <v>280</v>
      </c>
      <c r="AB1185" s="102" t="s">
        <v>66</v>
      </c>
      <c r="AC1185" s="81">
        <f t="shared" si="57"/>
        <v>341.94402565445023</v>
      </c>
      <c r="AD1185" s="82">
        <f t="shared" si="58"/>
        <v>43.657142857142858</v>
      </c>
      <c r="AE1185" s="218">
        <v>2.1150944437433702E-2</v>
      </c>
      <c r="AF1185">
        <v>8</v>
      </c>
      <c r="AH1185" t="str">
        <f t="shared" si="56"/>
        <v>Teghra</v>
      </c>
      <c r="AJ1185" s="72">
        <v>0</v>
      </c>
      <c r="AK1185" s="72"/>
      <c r="AL1185" s="72"/>
      <c r="AM1185" s="72"/>
    </row>
    <row r="1186" spans="1:39" x14ac:dyDescent="0.25">
      <c r="A1186" s="37" t="s">
        <v>62</v>
      </c>
      <c r="B1186" s="66" t="s">
        <v>1615</v>
      </c>
      <c r="C1186" s="47">
        <v>1008</v>
      </c>
      <c r="D1186" s="47" t="s">
        <v>221</v>
      </c>
      <c r="E1186" s="41">
        <v>10080052</v>
      </c>
      <c r="F1186" s="46" t="s">
        <v>241</v>
      </c>
      <c r="G1186" s="39" t="s">
        <v>93</v>
      </c>
      <c r="H1186" s="48" t="s">
        <v>94</v>
      </c>
      <c r="I1186" s="52">
        <v>718.1</v>
      </c>
      <c r="J1186" s="49">
        <v>25973.469999999994</v>
      </c>
      <c r="K1186" s="65">
        <v>716</v>
      </c>
      <c r="L1186" s="65">
        <v>26180.580096000005</v>
      </c>
      <c r="M1186" s="65">
        <v>0</v>
      </c>
      <c r="N1186" s="65">
        <v>0</v>
      </c>
      <c r="O1186" s="65">
        <v>716</v>
      </c>
      <c r="P1186" s="65">
        <v>26180.580096000005</v>
      </c>
      <c r="Q1186" s="50">
        <v>25973.469999999994</v>
      </c>
      <c r="R1186" s="65">
        <v>0</v>
      </c>
      <c r="S1186" s="65">
        <v>0</v>
      </c>
      <c r="T1186" s="65">
        <v>207.11009600001125</v>
      </c>
      <c r="U1186" s="65">
        <v>0</v>
      </c>
      <c r="V1186" s="65">
        <v>0</v>
      </c>
      <c r="W1186" s="65">
        <v>0</v>
      </c>
      <c r="X1186" s="65">
        <v>25973</v>
      </c>
      <c r="Y1186" s="65">
        <v>0</v>
      </c>
      <c r="Z1186" s="65">
        <v>0</v>
      </c>
      <c r="AA1186" s="51">
        <v>0</v>
      </c>
      <c r="AB1186" s="102">
        <v>0</v>
      </c>
      <c r="AC1186" s="81">
        <f t="shared" si="57"/>
        <v>0</v>
      </c>
      <c r="AD1186" s="82">
        <f t="shared" si="58"/>
        <v>0</v>
      </c>
      <c r="AE1186" s="218">
        <v>-7.9739093775306608E-3</v>
      </c>
      <c r="AF1186">
        <v>1</v>
      </c>
      <c r="AH1186" t="str">
        <f t="shared" si="56"/>
        <v>Teghra</v>
      </c>
      <c r="AJ1186" s="72">
        <v>0</v>
      </c>
      <c r="AK1186" s="72"/>
      <c r="AL1186" s="72"/>
      <c r="AM1186" s="72"/>
    </row>
    <row r="1187" spans="1:39" x14ac:dyDescent="0.25">
      <c r="A1187" s="37" t="s">
        <v>62</v>
      </c>
      <c r="B1187" s="66" t="s">
        <v>1615</v>
      </c>
      <c r="C1187" s="47">
        <v>1008</v>
      </c>
      <c r="D1187" s="47" t="s">
        <v>221</v>
      </c>
      <c r="E1187" s="41">
        <v>10080053</v>
      </c>
      <c r="F1187" s="46" t="s">
        <v>242</v>
      </c>
      <c r="G1187" s="39" t="s">
        <v>93</v>
      </c>
      <c r="H1187" s="48" t="s">
        <v>94</v>
      </c>
      <c r="I1187" s="52">
        <v>546.54999999999995</v>
      </c>
      <c r="J1187" s="49">
        <v>19274</v>
      </c>
      <c r="K1187" s="65">
        <v>632.22</v>
      </c>
      <c r="L1187" s="65">
        <v>22332.192335640004</v>
      </c>
      <c r="M1187" s="65">
        <v>0</v>
      </c>
      <c r="N1187" s="65">
        <v>0</v>
      </c>
      <c r="O1187" s="65">
        <v>632.22</v>
      </c>
      <c r="P1187" s="65">
        <v>22332.192335640004</v>
      </c>
      <c r="Q1187" s="50">
        <v>19274</v>
      </c>
      <c r="R1187" s="65">
        <v>0</v>
      </c>
      <c r="S1187" s="65">
        <v>0</v>
      </c>
      <c r="T1187" s="65">
        <v>3058.1923356400039</v>
      </c>
      <c r="U1187" s="65">
        <v>0</v>
      </c>
      <c r="V1187" s="65">
        <v>0</v>
      </c>
      <c r="W1187" s="65">
        <v>0</v>
      </c>
      <c r="X1187" s="65">
        <v>19274</v>
      </c>
      <c r="Y1187" s="65">
        <v>0</v>
      </c>
      <c r="Z1187" s="65">
        <v>0</v>
      </c>
      <c r="AA1187" s="51">
        <v>0</v>
      </c>
      <c r="AB1187" s="102">
        <v>0</v>
      </c>
      <c r="AC1187" s="81">
        <f t="shared" si="57"/>
        <v>108.22780349464828</v>
      </c>
      <c r="AD1187" s="82">
        <f t="shared" si="58"/>
        <v>78.078571428571422</v>
      </c>
      <c r="AE1187" s="218">
        <v>-0.15866931283802033</v>
      </c>
      <c r="AF1187">
        <v>2</v>
      </c>
      <c r="AH1187" t="str">
        <f t="shared" si="56"/>
        <v>Teghra</v>
      </c>
      <c r="AJ1187" s="72">
        <v>0</v>
      </c>
      <c r="AK1187" s="72"/>
      <c r="AL1187" s="72"/>
      <c r="AM1187" s="72"/>
    </row>
    <row r="1188" spans="1:39" x14ac:dyDescent="0.25">
      <c r="A1188" s="37" t="s">
        <v>62</v>
      </c>
      <c r="B1188" s="66" t="s">
        <v>1615</v>
      </c>
      <c r="C1188" s="47">
        <v>1008</v>
      </c>
      <c r="D1188" s="47" t="s">
        <v>221</v>
      </c>
      <c r="E1188" s="41">
        <v>10080054</v>
      </c>
      <c r="F1188" s="46" t="s">
        <v>243</v>
      </c>
      <c r="G1188" s="39" t="s">
        <v>635</v>
      </c>
      <c r="H1188" s="48" t="s">
        <v>99</v>
      </c>
      <c r="I1188" s="52">
        <v>348.3</v>
      </c>
      <c r="J1188" s="49">
        <v>12590.5</v>
      </c>
      <c r="K1188" s="65">
        <v>0</v>
      </c>
      <c r="L1188" s="65">
        <v>0</v>
      </c>
      <c r="M1188" s="65">
        <v>0</v>
      </c>
      <c r="N1188" s="65">
        <v>0</v>
      </c>
      <c r="O1188" s="65">
        <v>0</v>
      </c>
      <c r="P1188" s="65">
        <v>0</v>
      </c>
      <c r="Q1188" s="50">
        <v>12590.5</v>
      </c>
      <c r="R1188" s="65">
        <v>0</v>
      </c>
      <c r="S1188" s="65">
        <v>0</v>
      </c>
      <c r="T1188" s="65">
        <v>0</v>
      </c>
      <c r="U1188" s="65">
        <v>0</v>
      </c>
      <c r="V1188" s="65">
        <v>5892.8762032258037</v>
      </c>
      <c r="W1188" s="65">
        <v>0</v>
      </c>
      <c r="X1188" s="65">
        <v>0</v>
      </c>
      <c r="Y1188" s="65">
        <v>0</v>
      </c>
      <c r="Z1188" s="65">
        <v>6697.6237967741963</v>
      </c>
      <c r="AA1188" s="51">
        <v>0</v>
      </c>
      <c r="AB1188" s="102">
        <v>0</v>
      </c>
      <c r="AC1188" s="81">
        <f t="shared" si="57"/>
        <v>254.26809359747341</v>
      </c>
      <c r="AD1188" s="82">
        <f t="shared" si="58"/>
        <v>49.75714285714286</v>
      </c>
      <c r="AE1188" s="218">
        <v>0</v>
      </c>
      <c r="AF1188">
        <v>0</v>
      </c>
      <c r="AH1188" t="str">
        <f t="shared" si="56"/>
        <v>Teghra</v>
      </c>
      <c r="AJ1188" s="72">
        <v>0</v>
      </c>
      <c r="AK1188" s="72"/>
      <c r="AL1188" s="72"/>
      <c r="AM1188" s="72"/>
    </row>
    <row r="1189" spans="1:39" x14ac:dyDescent="0.25">
      <c r="A1189" s="37" t="s">
        <v>62</v>
      </c>
      <c r="B1189" s="66" t="s">
        <v>1615</v>
      </c>
      <c r="C1189" s="47">
        <v>1008</v>
      </c>
      <c r="D1189" s="47" t="s">
        <v>221</v>
      </c>
      <c r="E1189" s="41">
        <v>10080055</v>
      </c>
      <c r="F1189" s="46" t="s">
        <v>244</v>
      </c>
      <c r="G1189" s="39" t="s">
        <v>93</v>
      </c>
      <c r="H1189" s="48" t="s">
        <v>94</v>
      </c>
      <c r="I1189" s="52">
        <v>204.94999999999996</v>
      </c>
      <c r="J1189" s="49">
        <v>7350.7800000000007</v>
      </c>
      <c r="K1189" s="65">
        <v>204.7</v>
      </c>
      <c r="L1189" s="65">
        <v>8335.8144856799991</v>
      </c>
      <c r="M1189" s="65">
        <v>0</v>
      </c>
      <c r="N1189" s="65">
        <v>0</v>
      </c>
      <c r="O1189" s="65">
        <v>204.7</v>
      </c>
      <c r="P1189" s="65">
        <v>8335.8144856799991</v>
      </c>
      <c r="Q1189" s="50">
        <v>7350.7800000000007</v>
      </c>
      <c r="R1189" s="65">
        <v>0</v>
      </c>
      <c r="S1189" s="65">
        <v>0</v>
      </c>
      <c r="T1189" s="65">
        <v>985.0344856799984</v>
      </c>
      <c r="U1189" s="65">
        <v>0</v>
      </c>
      <c r="V1189" s="65">
        <v>801.02395263157848</v>
      </c>
      <c r="W1189" s="65">
        <v>0</v>
      </c>
      <c r="X1189" s="65">
        <v>6550</v>
      </c>
      <c r="Y1189" s="65">
        <v>0</v>
      </c>
      <c r="Z1189" s="65">
        <v>0</v>
      </c>
      <c r="AA1189" s="51">
        <v>0</v>
      </c>
      <c r="AB1189" s="102">
        <v>0</v>
      </c>
      <c r="AC1189" s="81">
        <f t="shared" si="57"/>
        <v>355.11135779458419</v>
      </c>
      <c r="AD1189" s="82">
        <f t="shared" si="58"/>
        <v>29.278571428571421</v>
      </c>
      <c r="AE1189" s="218">
        <v>-0.13400407653065366</v>
      </c>
      <c r="AF1189">
        <v>2</v>
      </c>
      <c r="AH1189" t="str">
        <f t="shared" si="56"/>
        <v>Teghra</v>
      </c>
      <c r="AJ1189" s="72">
        <v>0</v>
      </c>
      <c r="AK1189" s="72"/>
      <c r="AL1189" s="72"/>
      <c r="AM1189" s="72"/>
    </row>
    <row r="1190" spans="1:39" x14ac:dyDescent="0.25">
      <c r="A1190" s="37" t="s">
        <v>62</v>
      </c>
      <c r="B1190" s="66" t="s">
        <v>1615</v>
      </c>
      <c r="C1190" s="47">
        <v>1008</v>
      </c>
      <c r="D1190" s="47" t="s">
        <v>221</v>
      </c>
      <c r="E1190" s="41">
        <v>10080061</v>
      </c>
      <c r="F1190" s="46" t="s">
        <v>245</v>
      </c>
      <c r="G1190" s="39" t="s">
        <v>93</v>
      </c>
      <c r="H1190" s="48" t="s">
        <v>94</v>
      </c>
      <c r="I1190" s="52">
        <v>181.39999999999995</v>
      </c>
      <c r="J1190" s="49">
        <v>6150.64</v>
      </c>
      <c r="K1190" s="65">
        <v>181.3</v>
      </c>
      <c r="L1190" s="65">
        <v>6146.4541050000007</v>
      </c>
      <c r="M1190" s="65">
        <v>0</v>
      </c>
      <c r="N1190" s="65">
        <v>0</v>
      </c>
      <c r="O1190" s="65">
        <v>181.3</v>
      </c>
      <c r="P1190" s="65">
        <v>6146.4541050000007</v>
      </c>
      <c r="Q1190" s="50">
        <v>6146.4541050000007</v>
      </c>
      <c r="R1190" s="65">
        <v>0</v>
      </c>
      <c r="S1190" s="65">
        <v>0</v>
      </c>
      <c r="T1190" s="65">
        <v>0</v>
      </c>
      <c r="U1190" s="65">
        <v>0</v>
      </c>
      <c r="V1190" s="65">
        <v>0</v>
      </c>
      <c r="W1190" s="65">
        <v>0</v>
      </c>
      <c r="X1190" s="65">
        <v>6146</v>
      </c>
      <c r="Y1190" s="65">
        <v>0</v>
      </c>
      <c r="Z1190" s="65">
        <v>0</v>
      </c>
      <c r="AA1190" s="51">
        <v>5</v>
      </c>
      <c r="AB1190" s="102">
        <v>0</v>
      </c>
      <c r="AC1190" s="81">
        <f t="shared" si="57"/>
        <v>351.67826945975759</v>
      </c>
      <c r="AD1190" s="82">
        <f t="shared" si="58"/>
        <v>25.914285714285707</v>
      </c>
      <c r="AE1190" s="218">
        <v>6.8056251056794383E-4</v>
      </c>
      <c r="AF1190">
        <v>1</v>
      </c>
      <c r="AH1190" t="str">
        <f t="shared" si="56"/>
        <v>Teghra</v>
      </c>
      <c r="AJ1190" s="72">
        <v>0</v>
      </c>
      <c r="AK1190" s="72"/>
      <c r="AL1190" s="72"/>
      <c r="AM1190" s="72"/>
    </row>
    <row r="1191" spans="1:39" x14ac:dyDescent="0.25">
      <c r="A1191" s="37" t="s">
        <v>62</v>
      </c>
      <c r="B1191" s="66" t="s">
        <v>1615</v>
      </c>
      <c r="C1191" s="47">
        <v>1008</v>
      </c>
      <c r="D1191" s="47" t="s">
        <v>221</v>
      </c>
      <c r="E1191" s="41">
        <v>10080062</v>
      </c>
      <c r="F1191" s="46" t="s">
        <v>246</v>
      </c>
      <c r="G1191" s="39" t="s">
        <v>93</v>
      </c>
      <c r="H1191" s="48" t="s">
        <v>94</v>
      </c>
      <c r="I1191" s="52">
        <v>46.25</v>
      </c>
      <c r="J1191" s="49">
        <v>1905.0300000000002</v>
      </c>
      <c r="K1191" s="65">
        <v>46</v>
      </c>
      <c r="L1191" s="65">
        <v>1955.2325760000006</v>
      </c>
      <c r="M1191" s="65">
        <v>0</v>
      </c>
      <c r="N1191" s="65">
        <v>0</v>
      </c>
      <c r="O1191" s="65">
        <v>46</v>
      </c>
      <c r="P1191" s="65">
        <v>1955.2325760000006</v>
      </c>
      <c r="Q1191" s="50">
        <v>1905.0300000000002</v>
      </c>
      <c r="R1191" s="65">
        <v>0</v>
      </c>
      <c r="S1191" s="65">
        <v>0</v>
      </c>
      <c r="T1191" s="65">
        <v>50.202576000000363</v>
      </c>
      <c r="U1191" s="65">
        <v>0</v>
      </c>
      <c r="V1191" s="65">
        <v>397.84459180327889</v>
      </c>
      <c r="W1191" s="65">
        <v>0</v>
      </c>
      <c r="X1191" s="65">
        <v>1507</v>
      </c>
      <c r="Y1191" s="65">
        <v>0</v>
      </c>
      <c r="Z1191" s="65">
        <v>0</v>
      </c>
      <c r="AA1191" s="51">
        <v>0</v>
      </c>
      <c r="AB1191" s="102">
        <v>0</v>
      </c>
      <c r="AC1191" s="81">
        <f t="shared" si="57"/>
        <v>538.55712972972981</v>
      </c>
      <c r="AD1191" s="82">
        <f t="shared" si="58"/>
        <v>6.6071428571428568</v>
      </c>
      <c r="AE1191" s="218">
        <v>-2.6352643265460576E-2</v>
      </c>
      <c r="AF1191">
        <v>1</v>
      </c>
      <c r="AH1191" t="str">
        <f t="shared" si="56"/>
        <v>Teghra</v>
      </c>
      <c r="AJ1191" s="72">
        <v>0</v>
      </c>
      <c r="AK1191" s="72"/>
      <c r="AL1191" s="72"/>
      <c r="AM1191" s="72"/>
    </row>
    <row r="1192" spans="1:39" x14ac:dyDescent="0.25">
      <c r="A1192" s="37" t="s">
        <v>62</v>
      </c>
      <c r="B1192" s="66" t="s">
        <v>1615</v>
      </c>
      <c r="C1192" s="47">
        <v>1008</v>
      </c>
      <c r="D1192" s="47" t="s">
        <v>221</v>
      </c>
      <c r="E1192" s="41">
        <v>10080067</v>
      </c>
      <c r="F1192" s="46" t="s">
        <v>248</v>
      </c>
      <c r="G1192" s="39" t="s">
        <v>93</v>
      </c>
      <c r="H1192" s="48" t="s">
        <v>94</v>
      </c>
      <c r="I1192" s="52">
        <v>76.75</v>
      </c>
      <c r="J1192" s="49">
        <v>2761.92</v>
      </c>
      <c r="K1192" s="65">
        <v>86.17</v>
      </c>
      <c r="L1192" s="65">
        <v>2726.2145460388001</v>
      </c>
      <c r="M1192" s="65">
        <v>0</v>
      </c>
      <c r="N1192" s="65">
        <v>0</v>
      </c>
      <c r="O1192" s="65">
        <v>86.17</v>
      </c>
      <c r="P1192" s="65">
        <v>2726.2145460388001</v>
      </c>
      <c r="Q1192" s="50">
        <v>2726.2145460388001</v>
      </c>
      <c r="R1192" s="65">
        <v>0</v>
      </c>
      <c r="S1192" s="65">
        <v>0</v>
      </c>
      <c r="T1192" s="65">
        <v>0</v>
      </c>
      <c r="U1192" s="65">
        <v>0</v>
      </c>
      <c r="V1192" s="65">
        <v>69.426119999999969</v>
      </c>
      <c r="W1192" s="65">
        <v>0</v>
      </c>
      <c r="X1192" s="65">
        <v>2657</v>
      </c>
      <c r="Y1192" s="65">
        <v>0</v>
      </c>
      <c r="Z1192" s="65">
        <v>0</v>
      </c>
      <c r="AA1192" s="51">
        <v>35</v>
      </c>
      <c r="AB1192" s="102">
        <v>0</v>
      </c>
      <c r="AC1192" s="81">
        <f t="shared" si="57"/>
        <v>448.56459674267097</v>
      </c>
      <c r="AD1192" s="82">
        <f t="shared" si="58"/>
        <v>10.964285714285714</v>
      </c>
      <c r="AE1192" s="218">
        <v>1.2927765453452658E-2</v>
      </c>
      <c r="AF1192">
        <v>3</v>
      </c>
      <c r="AH1192" t="str">
        <f t="shared" si="56"/>
        <v>Teghra</v>
      </c>
      <c r="AJ1192" s="72">
        <v>0</v>
      </c>
      <c r="AK1192" s="72"/>
      <c r="AL1192" s="72"/>
      <c r="AM1192" s="72"/>
    </row>
    <row r="1193" spans="1:39" x14ac:dyDescent="0.25">
      <c r="A1193" s="37" t="s">
        <v>62</v>
      </c>
      <c r="B1193" s="66" t="s">
        <v>1615</v>
      </c>
      <c r="C1193" s="47">
        <v>1008</v>
      </c>
      <c r="D1193" s="47" t="s">
        <v>221</v>
      </c>
      <c r="E1193" s="41">
        <v>10080076</v>
      </c>
      <c r="F1193" s="46" t="s">
        <v>472</v>
      </c>
      <c r="G1193" s="39" t="s">
        <v>635</v>
      </c>
      <c r="H1193" s="48" t="s">
        <v>99</v>
      </c>
      <c r="I1193" s="52">
        <v>51.349999999999994</v>
      </c>
      <c r="J1193" s="49">
        <v>1958.32</v>
      </c>
      <c r="K1193" s="65">
        <v>0</v>
      </c>
      <c r="L1193" s="65">
        <v>0</v>
      </c>
      <c r="M1193" s="65">
        <v>0</v>
      </c>
      <c r="N1193" s="65">
        <v>0</v>
      </c>
      <c r="O1193" s="65">
        <v>0</v>
      </c>
      <c r="P1193" s="65">
        <v>0</v>
      </c>
      <c r="Q1193" s="50">
        <v>1958.32</v>
      </c>
      <c r="R1193" s="65">
        <v>0</v>
      </c>
      <c r="S1193" s="65">
        <v>0</v>
      </c>
      <c r="T1193" s="65">
        <v>0</v>
      </c>
      <c r="U1193" s="65">
        <v>0</v>
      </c>
      <c r="V1193" s="65">
        <v>54.251429032258166</v>
      </c>
      <c r="W1193" s="65">
        <v>0</v>
      </c>
      <c r="X1193" s="65">
        <v>0</v>
      </c>
      <c r="Y1193" s="65">
        <v>0</v>
      </c>
      <c r="Z1193" s="65">
        <v>1904.0685709677418</v>
      </c>
      <c r="AA1193" s="51">
        <v>0</v>
      </c>
      <c r="AB1193" s="102">
        <v>0</v>
      </c>
      <c r="AC1193" s="81">
        <f t="shared" si="57"/>
        <v>494.74752405063293</v>
      </c>
      <c r="AD1193" s="82">
        <f t="shared" si="58"/>
        <v>7.3357142857142845</v>
      </c>
      <c r="AE1193" s="218">
        <v>0</v>
      </c>
      <c r="AF1193">
        <v>0</v>
      </c>
      <c r="AH1193" t="str">
        <f t="shared" si="56"/>
        <v>Teghra</v>
      </c>
      <c r="AJ1193" s="72">
        <v>0</v>
      </c>
      <c r="AK1193" s="72"/>
      <c r="AL1193" s="72"/>
      <c r="AM1193" s="72"/>
    </row>
    <row r="1194" spans="1:39" x14ac:dyDescent="0.25">
      <c r="A1194" s="37" t="s">
        <v>62</v>
      </c>
      <c r="B1194" s="66" t="s">
        <v>1615</v>
      </c>
      <c r="C1194" s="47">
        <v>1008</v>
      </c>
      <c r="D1194" s="47" t="s">
        <v>221</v>
      </c>
      <c r="E1194" s="41">
        <v>10080077</v>
      </c>
      <c r="F1194" s="46" t="s">
        <v>475</v>
      </c>
      <c r="G1194" s="39" t="s">
        <v>93</v>
      </c>
      <c r="H1194" s="48" t="s">
        <v>94</v>
      </c>
      <c r="I1194" s="52">
        <v>1105.25</v>
      </c>
      <c r="J1194" s="49">
        <v>40478.860000000015</v>
      </c>
      <c r="K1194" s="65">
        <v>1112.47</v>
      </c>
      <c r="L1194" s="65">
        <v>39780.372003808043</v>
      </c>
      <c r="M1194" s="65">
        <v>3.07</v>
      </c>
      <c r="N1194" s="65">
        <v>115.45710125400001</v>
      </c>
      <c r="O1194" s="65">
        <v>1115.54</v>
      </c>
      <c r="P1194" s="65">
        <v>39895.829105062046</v>
      </c>
      <c r="Q1194" s="50">
        <v>39895.829105062046</v>
      </c>
      <c r="R1194" s="65">
        <v>0</v>
      </c>
      <c r="S1194" s="65">
        <v>115.45710125400001</v>
      </c>
      <c r="T1194" s="65">
        <v>0</v>
      </c>
      <c r="U1194" s="65">
        <v>0</v>
      </c>
      <c r="V1194" s="65">
        <v>0</v>
      </c>
      <c r="W1194" s="65">
        <v>0</v>
      </c>
      <c r="X1194" s="65">
        <v>39779</v>
      </c>
      <c r="Y1194" s="65">
        <v>0</v>
      </c>
      <c r="Z1194" s="65">
        <v>0</v>
      </c>
      <c r="AA1194" s="51">
        <v>584</v>
      </c>
      <c r="AB1194" s="102">
        <v>0</v>
      </c>
      <c r="AC1194" s="81">
        <f t="shared" si="57"/>
        <v>0</v>
      </c>
      <c r="AD1194" s="82">
        <f t="shared" si="58"/>
        <v>0</v>
      </c>
      <c r="AE1194" s="218">
        <v>1.4403342755649948E-2</v>
      </c>
      <c r="AF1194">
        <v>7</v>
      </c>
      <c r="AH1194" t="str">
        <f t="shared" si="56"/>
        <v>Teghra</v>
      </c>
      <c r="AJ1194" s="72">
        <v>0</v>
      </c>
      <c r="AK1194" s="72"/>
      <c r="AL1194" s="72"/>
      <c r="AM1194" s="72"/>
    </row>
    <row r="1195" spans="1:39" x14ac:dyDescent="0.25">
      <c r="A1195" s="37" t="s">
        <v>62</v>
      </c>
      <c r="B1195" s="66" t="s">
        <v>1615</v>
      </c>
      <c r="C1195" s="47">
        <v>1008</v>
      </c>
      <c r="D1195" s="47" t="s">
        <v>221</v>
      </c>
      <c r="E1195" s="41">
        <v>10080078</v>
      </c>
      <c r="F1195" s="46" t="s">
        <v>619</v>
      </c>
      <c r="G1195" s="39" t="s">
        <v>635</v>
      </c>
      <c r="H1195" s="48" t="s">
        <v>99</v>
      </c>
      <c r="I1195" s="52">
        <v>31.1</v>
      </c>
      <c r="J1195" s="49">
        <v>1168.1300000000001</v>
      </c>
      <c r="K1195" s="65">
        <v>0</v>
      </c>
      <c r="L1195" s="65">
        <v>0</v>
      </c>
      <c r="M1195" s="65">
        <v>0</v>
      </c>
      <c r="N1195" s="65">
        <v>0</v>
      </c>
      <c r="O1195" s="65">
        <v>0</v>
      </c>
      <c r="P1195" s="65">
        <v>0</v>
      </c>
      <c r="Q1195" s="50">
        <v>1168.1300000000001</v>
      </c>
      <c r="R1195" s="65">
        <v>0</v>
      </c>
      <c r="S1195" s="65">
        <v>0</v>
      </c>
      <c r="T1195" s="65">
        <v>0</v>
      </c>
      <c r="U1195" s="65">
        <v>0</v>
      </c>
      <c r="V1195" s="65">
        <v>1168</v>
      </c>
      <c r="W1195" s="65">
        <v>0</v>
      </c>
      <c r="X1195" s="65">
        <v>0</v>
      </c>
      <c r="Y1195" s="65">
        <v>0</v>
      </c>
      <c r="Z1195" s="65">
        <v>0.13000000000010914</v>
      </c>
      <c r="AA1195" s="51">
        <v>0</v>
      </c>
      <c r="AB1195" s="102" t="s">
        <v>68</v>
      </c>
      <c r="AC1195" s="81">
        <f t="shared" si="57"/>
        <v>502.4837022508039</v>
      </c>
      <c r="AD1195" s="82">
        <f t="shared" si="58"/>
        <v>4.4428571428571431</v>
      </c>
      <c r="AE1195" s="218">
        <v>0</v>
      </c>
      <c r="AF1195">
        <v>0</v>
      </c>
      <c r="AH1195" t="str">
        <f t="shared" ref="AH1195:AH1254" si="59">TEXT(D1195,"0000")</f>
        <v>Teghra</v>
      </c>
      <c r="AJ1195" s="72">
        <v>0</v>
      </c>
      <c r="AK1195" s="72"/>
      <c r="AL1195" s="72"/>
      <c r="AM1195" s="72"/>
    </row>
    <row r="1196" spans="1:39" x14ac:dyDescent="0.25">
      <c r="A1196" s="37" t="s">
        <v>62</v>
      </c>
      <c r="B1196" s="66" t="s">
        <v>1615</v>
      </c>
      <c r="C1196" s="47">
        <v>1008</v>
      </c>
      <c r="D1196" s="47" t="s">
        <v>221</v>
      </c>
      <c r="E1196" s="41">
        <v>10080079</v>
      </c>
      <c r="F1196" s="46" t="s">
        <v>486</v>
      </c>
      <c r="G1196" s="39" t="s">
        <v>93</v>
      </c>
      <c r="H1196" s="48" t="s">
        <v>94</v>
      </c>
      <c r="I1196" s="52">
        <v>134.70000000000002</v>
      </c>
      <c r="J1196" s="49">
        <v>5119.24</v>
      </c>
      <c r="K1196" s="65">
        <v>134</v>
      </c>
      <c r="L1196" s="65">
        <v>5111.9788103999999</v>
      </c>
      <c r="M1196" s="65">
        <v>0</v>
      </c>
      <c r="N1196" s="65">
        <v>0</v>
      </c>
      <c r="O1196" s="65">
        <v>134</v>
      </c>
      <c r="P1196" s="65">
        <v>5111.9788103999999</v>
      </c>
      <c r="Q1196" s="50">
        <v>5111.9788103999999</v>
      </c>
      <c r="R1196" s="65">
        <v>0</v>
      </c>
      <c r="S1196" s="65">
        <v>0</v>
      </c>
      <c r="T1196" s="65">
        <v>0</v>
      </c>
      <c r="U1196" s="65">
        <v>0</v>
      </c>
      <c r="V1196" s="65">
        <v>12.385916129032189</v>
      </c>
      <c r="W1196" s="65">
        <v>0</v>
      </c>
      <c r="X1196" s="65">
        <v>5100</v>
      </c>
      <c r="Y1196" s="65">
        <v>0</v>
      </c>
      <c r="Z1196" s="65">
        <v>0</v>
      </c>
      <c r="AA1196" s="51">
        <v>7</v>
      </c>
      <c r="AB1196" s="102">
        <v>0</v>
      </c>
      <c r="AC1196" s="81">
        <f t="shared" si="57"/>
        <v>429.68171818856706</v>
      </c>
      <c r="AD1196" s="82">
        <f t="shared" si="58"/>
        <v>19.242857142857144</v>
      </c>
      <c r="AE1196" s="218">
        <v>1.4184116392276691E-3</v>
      </c>
      <c r="AF1196">
        <v>1</v>
      </c>
      <c r="AH1196" t="str">
        <f t="shared" si="59"/>
        <v>Teghra</v>
      </c>
      <c r="AJ1196" s="72">
        <v>0</v>
      </c>
      <c r="AK1196" s="72"/>
      <c r="AL1196" s="72"/>
      <c r="AM1196" s="72"/>
    </row>
    <row r="1197" spans="1:39" x14ac:dyDescent="0.25">
      <c r="A1197" s="37" t="s">
        <v>62</v>
      </c>
      <c r="B1197" s="66" t="s">
        <v>1615</v>
      </c>
      <c r="C1197" s="47">
        <v>1008</v>
      </c>
      <c r="D1197" s="47" t="s">
        <v>221</v>
      </c>
      <c r="E1197" s="41">
        <v>10080080</v>
      </c>
      <c r="F1197" s="46" t="s">
        <v>497</v>
      </c>
      <c r="G1197" s="39" t="s">
        <v>635</v>
      </c>
      <c r="H1197" s="48" t="s">
        <v>99</v>
      </c>
      <c r="I1197" s="52">
        <v>119.6</v>
      </c>
      <c r="J1197" s="49">
        <v>4252.51</v>
      </c>
      <c r="K1197" s="65">
        <v>0</v>
      </c>
      <c r="L1197" s="65">
        <v>0</v>
      </c>
      <c r="M1197" s="65">
        <v>0</v>
      </c>
      <c r="N1197" s="65">
        <v>0</v>
      </c>
      <c r="O1197" s="65">
        <v>0</v>
      </c>
      <c r="P1197" s="65">
        <v>0</v>
      </c>
      <c r="Q1197" s="50">
        <v>4252.51</v>
      </c>
      <c r="R1197" s="65">
        <v>0</v>
      </c>
      <c r="S1197" s="65">
        <v>0</v>
      </c>
      <c r="T1197" s="65">
        <v>0</v>
      </c>
      <c r="U1197" s="65">
        <v>0</v>
      </c>
      <c r="V1197" s="65">
        <v>906.44551935483867</v>
      </c>
      <c r="W1197" s="65">
        <v>0</v>
      </c>
      <c r="X1197" s="65">
        <v>0</v>
      </c>
      <c r="Y1197" s="65">
        <v>0</v>
      </c>
      <c r="Z1197" s="65">
        <v>3346.0644806451614</v>
      </c>
      <c r="AA1197" s="51">
        <v>0</v>
      </c>
      <c r="AB1197" s="102">
        <v>0</v>
      </c>
      <c r="AC1197" s="81">
        <f t="shared" si="57"/>
        <v>412.73525150501672</v>
      </c>
      <c r="AD1197" s="82">
        <f t="shared" si="58"/>
        <v>17.085714285714285</v>
      </c>
      <c r="AE1197" s="218">
        <v>0</v>
      </c>
      <c r="AF1197">
        <v>0</v>
      </c>
      <c r="AH1197" t="str">
        <f t="shared" si="59"/>
        <v>Teghra</v>
      </c>
      <c r="AJ1197" s="72">
        <v>0</v>
      </c>
      <c r="AK1197" s="72"/>
      <c r="AL1197" s="72"/>
      <c r="AM1197" s="72"/>
    </row>
    <row r="1198" spans="1:39" x14ac:dyDescent="0.25">
      <c r="A1198" s="37" t="s">
        <v>62</v>
      </c>
      <c r="B1198" s="66" t="s">
        <v>1615</v>
      </c>
      <c r="C1198" s="47">
        <v>1008</v>
      </c>
      <c r="D1198" s="47" t="s">
        <v>221</v>
      </c>
      <c r="E1198" s="41">
        <v>10080082</v>
      </c>
      <c r="F1198" s="46" t="s">
        <v>498</v>
      </c>
      <c r="G1198" s="39" t="s">
        <v>635</v>
      </c>
      <c r="H1198" s="48" t="s">
        <v>99</v>
      </c>
      <c r="I1198" s="52">
        <v>470.25</v>
      </c>
      <c r="J1198" s="49">
        <v>17164.310000000001</v>
      </c>
      <c r="K1198" s="65">
        <v>0</v>
      </c>
      <c r="L1198" s="65">
        <v>0</v>
      </c>
      <c r="M1198" s="65">
        <v>0</v>
      </c>
      <c r="N1198" s="65">
        <v>0</v>
      </c>
      <c r="O1198" s="65">
        <v>0</v>
      </c>
      <c r="P1198" s="65">
        <v>0</v>
      </c>
      <c r="Q1198" s="50">
        <v>17164.310000000001</v>
      </c>
      <c r="R1198" s="65">
        <v>0</v>
      </c>
      <c r="S1198" s="65">
        <v>0</v>
      </c>
      <c r="T1198" s="65">
        <v>0</v>
      </c>
      <c r="U1198" s="65">
        <v>0</v>
      </c>
      <c r="V1198" s="65">
        <v>0</v>
      </c>
      <c r="W1198" s="65">
        <v>0</v>
      </c>
      <c r="X1198" s="65">
        <v>0</v>
      </c>
      <c r="Y1198" s="65">
        <v>0</v>
      </c>
      <c r="Z1198" s="65">
        <v>17164.310000000001</v>
      </c>
      <c r="AA1198" s="51">
        <v>0</v>
      </c>
      <c r="AB1198" s="102">
        <v>0</v>
      </c>
      <c r="AC1198" s="81">
        <f t="shared" si="57"/>
        <v>167.71930770866561</v>
      </c>
      <c r="AD1198" s="82">
        <f t="shared" si="58"/>
        <v>67.178571428571431</v>
      </c>
      <c r="AE1198" s="218">
        <v>0</v>
      </c>
      <c r="AF1198">
        <v>0</v>
      </c>
      <c r="AH1198" t="str">
        <f t="shared" si="59"/>
        <v>Teghra</v>
      </c>
      <c r="AJ1198" s="72">
        <v>0</v>
      </c>
      <c r="AK1198" s="72"/>
      <c r="AL1198" s="72"/>
      <c r="AM1198" s="72"/>
    </row>
    <row r="1199" spans="1:39" x14ac:dyDescent="0.25">
      <c r="A1199" s="37" t="s">
        <v>62</v>
      </c>
      <c r="B1199" s="66" t="s">
        <v>1615</v>
      </c>
      <c r="C1199" s="47">
        <v>1008</v>
      </c>
      <c r="D1199" s="47" t="s">
        <v>221</v>
      </c>
      <c r="E1199" s="41">
        <v>10080083</v>
      </c>
      <c r="F1199" s="46" t="s">
        <v>499</v>
      </c>
      <c r="G1199" s="39" t="s">
        <v>635</v>
      </c>
      <c r="H1199" s="48" t="s">
        <v>99</v>
      </c>
      <c r="I1199" s="52">
        <v>84.35</v>
      </c>
      <c r="J1199" s="49">
        <v>3170.44</v>
      </c>
      <c r="K1199" s="65">
        <v>0</v>
      </c>
      <c r="L1199" s="65">
        <v>0</v>
      </c>
      <c r="M1199" s="65">
        <v>0</v>
      </c>
      <c r="N1199" s="65">
        <v>0</v>
      </c>
      <c r="O1199" s="65">
        <v>0</v>
      </c>
      <c r="P1199" s="65">
        <v>0</v>
      </c>
      <c r="Q1199" s="50">
        <v>3170.44</v>
      </c>
      <c r="R1199" s="65">
        <v>0</v>
      </c>
      <c r="S1199" s="65">
        <v>0</v>
      </c>
      <c r="T1199" s="65">
        <v>0</v>
      </c>
      <c r="U1199" s="65">
        <v>0</v>
      </c>
      <c r="V1199" s="65">
        <v>0</v>
      </c>
      <c r="W1199" s="65">
        <v>0</v>
      </c>
      <c r="X1199" s="65">
        <v>0</v>
      </c>
      <c r="Y1199" s="65">
        <v>0</v>
      </c>
      <c r="Z1199" s="65">
        <v>3170.44</v>
      </c>
      <c r="AA1199" s="51">
        <v>0</v>
      </c>
      <c r="AB1199" s="102">
        <v>0</v>
      </c>
      <c r="AC1199" s="81">
        <f t="shared" si="57"/>
        <v>462.80530788381748</v>
      </c>
      <c r="AD1199" s="82">
        <f t="shared" si="58"/>
        <v>12.049999999999999</v>
      </c>
      <c r="AE1199" s="218">
        <v>0</v>
      </c>
      <c r="AF1199">
        <v>0</v>
      </c>
      <c r="AH1199" t="str">
        <f t="shared" si="59"/>
        <v>Teghra</v>
      </c>
      <c r="AJ1199" s="72">
        <v>0</v>
      </c>
      <c r="AK1199" s="72"/>
      <c r="AL1199" s="72"/>
      <c r="AM1199" s="72"/>
    </row>
    <row r="1200" spans="1:39" x14ac:dyDescent="0.25">
      <c r="A1200" s="37" t="s">
        <v>62</v>
      </c>
      <c r="B1200" s="66" t="s">
        <v>1615</v>
      </c>
      <c r="C1200" s="47">
        <v>1008</v>
      </c>
      <c r="D1200" s="47" t="s">
        <v>221</v>
      </c>
      <c r="E1200" s="41">
        <v>10080087</v>
      </c>
      <c r="F1200" s="46" t="s">
        <v>586</v>
      </c>
      <c r="G1200" s="39" t="s">
        <v>93</v>
      </c>
      <c r="H1200" s="48" t="s">
        <v>94</v>
      </c>
      <c r="I1200" s="52">
        <v>612.75</v>
      </c>
      <c r="J1200" s="49">
        <v>22981.57</v>
      </c>
      <c r="K1200" s="65">
        <v>606.31000000000006</v>
      </c>
      <c r="L1200" s="65">
        <v>24163.628937623998</v>
      </c>
      <c r="M1200" s="65">
        <v>0.73000000000000009</v>
      </c>
      <c r="N1200" s="65">
        <v>29.187324936000003</v>
      </c>
      <c r="O1200" s="65">
        <v>607.04000000000008</v>
      </c>
      <c r="P1200" s="65">
        <v>24192.816262559998</v>
      </c>
      <c r="Q1200" s="50">
        <v>22981.57</v>
      </c>
      <c r="R1200" s="65">
        <v>0</v>
      </c>
      <c r="S1200" s="65">
        <v>29.187324936000003</v>
      </c>
      <c r="T1200" s="65">
        <v>1211.2462625599983</v>
      </c>
      <c r="U1200" s="65">
        <v>0</v>
      </c>
      <c r="V1200" s="65">
        <v>0</v>
      </c>
      <c r="W1200" s="65">
        <v>0</v>
      </c>
      <c r="X1200" s="65">
        <v>22952</v>
      </c>
      <c r="Y1200" s="65">
        <v>0</v>
      </c>
      <c r="Z1200" s="65">
        <v>0</v>
      </c>
      <c r="AA1200" s="51">
        <v>0</v>
      </c>
      <c r="AB1200" s="102">
        <v>0</v>
      </c>
      <c r="AC1200" s="81">
        <f t="shared" si="57"/>
        <v>65.447310730314129</v>
      </c>
      <c r="AD1200" s="82">
        <f t="shared" si="58"/>
        <v>87.535714285714292</v>
      </c>
      <c r="AE1200" s="218">
        <v>-5.2705113817724303E-2</v>
      </c>
      <c r="AF1200">
        <v>4</v>
      </c>
      <c r="AH1200" t="str">
        <f t="shared" si="59"/>
        <v>Teghra</v>
      </c>
      <c r="AJ1200" s="72">
        <v>0</v>
      </c>
      <c r="AK1200" s="72"/>
      <c r="AL1200" s="72"/>
      <c r="AM1200" s="72"/>
    </row>
    <row r="1201" spans="1:39" x14ac:dyDescent="0.25">
      <c r="A1201" s="37" t="s">
        <v>62</v>
      </c>
      <c r="B1201" s="66" t="s">
        <v>1615</v>
      </c>
      <c r="C1201" s="47">
        <v>1008</v>
      </c>
      <c r="D1201" s="47" t="s">
        <v>221</v>
      </c>
      <c r="E1201" s="41">
        <v>10080088</v>
      </c>
      <c r="F1201" s="46" t="s">
        <v>587</v>
      </c>
      <c r="G1201" s="39" t="s">
        <v>93</v>
      </c>
      <c r="H1201" s="48" t="s">
        <v>94</v>
      </c>
      <c r="I1201" s="52">
        <v>1580.4</v>
      </c>
      <c r="J1201" s="49">
        <v>58035.299999999996</v>
      </c>
      <c r="K1201" s="65">
        <v>2813.6</v>
      </c>
      <c r="L1201" s="65">
        <v>102443.54857901999</v>
      </c>
      <c r="M1201" s="65">
        <v>3.0000000000000004</v>
      </c>
      <c r="N1201" s="65">
        <v>110.262159117</v>
      </c>
      <c r="O1201" s="65">
        <v>2816.6</v>
      </c>
      <c r="P1201" s="65">
        <v>102553.81073813699</v>
      </c>
      <c r="Q1201" s="50">
        <v>58035.299999999996</v>
      </c>
      <c r="R1201" s="65">
        <v>0</v>
      </c>
      <c r="S1201" s="65">
        <v>110.262159117</v>
      </c>
      <c r="T1201" s="65">
        <v>44518.510738136996</v>
      </c>
      <c r="U1201" s="65">
        <v>0</v>
      </c>
      <c r="V1201" s="65">
        <v>0</v>
      </c>
      <c r="W1201" s="65">
        <v>0</v>
      </c>
      <c r="X1201" s="65">
        <v>57925</v>
      </c>
      <c r="Y1201" s="65">
        <v>0</v>
      </c>
      <c r="Z1201" s="65">
        <v>0</v>
      </c>
      <c r="AA1201" s="51">
        <v>0</v>
      </c>
      <c r="AB1201" s="102">
        <v>0</v>
      </c>
      <c r="AC1201" s="81">
        <f t="shared" si="57"/>
        <v>0</v>
      </c>
      <c r="AD1201" s="82">
        <f t="shared" si="58"/>
        <v>0</v>
      </c>
      <c r="AE1201" s="218">
        <v>-0.76709366089495534</v>
      </c>
      <c r="AF1201">
        <v>10</v>
      </c>
      <c r="AH1201" t="str">
        <f t="shared" si="59"/>
        <v>Teghra</v>
      </c>
      <c r="AJ1201" s="72">
        <v>0</v>
      </c>
      <c r="AK1201" s="72"/>
      <c r="AL1201" s="72"/>
      <c r="AM1201" s="72"/>
    </row>
    <row r="1202" spans="1:39" x14ac:dyDescent="0.25">
      <c r="A1202" s="37" t="s">
        <v>62</v>
      </c>
      <c r="B1202" s="66" t="s">
        <v>1615</v>
      </c>
      <c r="C1202" s="47">
        <v>1008</v>
      </c>
      <c r="D1202" s="47" t="s">
        <v>221</v>
      </c>
      <c r="E1202" s="41">
        <v>10080089</v>
      </c>
      <c r="F1202" s="46" t="s">
        <v>1284</v>
      </c>
      <c r="G1202" s="39" t="s">
        <v>635</v>
      </c>
      <c r="H1202" s="48" t="s">
        <v>99</v>
      </c>
      <c r="I1202" s="52">
        <v>192.45</v>
      </c>
      <c r="J1202" s="49">
        <v>6586.56</v>
      </c>
      <c r="K1202" s="65">
        <v>0</v>
      </c>
      <c r="L1202" s="65">
        <v>0</v>
      </c>
      <c r="M1202" s="65">
        <v>0</v>
      </c>
      <c r="N1202" s="65">
        <v>0</v>
      </c>
      <c r="O1202" s="65">
        <v>0</v>
      </c>
      <c r="P1202" s="65">
        <v>0</v>
      </c>
      <c r="Q1202" s="50">
        <v>6586.56</v>
      </c>
      <c r="R1202" s="65">
        <v>0</v>
      </c>
      <c r="S1202" s="65">
        <v>0</v>
      </c>
      <c r="T1202" s="65">
        <v>0</v>
      </c>
      <c r="U1202" s="65">
        <v>0</v>
      </c>
      <c r="V1202" s="65">
        <v>870.08519032258073</v>
      </c>
      <c r="W1202" s="65">
        <v>0</v>
      </c>
      <c r="X1202" s="65">
        <v>0</v>
      </c>
      <c r="Y1202" s="65">
        <v>0</v>
      </c>
      <c r="Z1202" s="65">
        <v>5716.4748096774201</v>
      </c>
      <c r="AA1202" s="51">
        <v>0</v>
      </c>
      <c r="AB1202" s="102">
        <v>0</v>
      </c>
      <c r="AC1202" s="81">
        <f t="shared" si="57"/>
        <v>347.4157992205769</v>
      </c>
      <c r="AD1202" s="82">
        <f t="shared" si="58"/>
        <v>27.49285714285714</v>
      </c>
      <c r="AE1202" s="218">
        <v>0</v>
      </c>
      <c r="AF1202">
        <v>0</v>
      </c>
      <c r="AH1202" t="str">
        <f t="shared" si="59"/>
        <v>Teghra</v>
      </c>
      <c r="AJ1202" s="72">
        <v>0</v>
      </c>
      <c r="AK1202" s="72"/>
      <c r="AL1202" s="72"/>
      <c r="AM1202" s="72"/>
    </row>
    <row r="1203" spans="1:39" x14ac:dyDescent="0.25">
      <c r="A1203" s="37" t="s">
        <v>62</v>
      </c>
      <c r="B1203" s="66" t="s">
        <v>1615</v>
      </c>
      <c r="C1203" s="47">
        <v>1008</v>
      </c>
      <c r="D1203" s="47" t="s">
        <v>221</v>
      </c>
      <c r="E1203" s="41">
        <v>10080090</v>
      </c>
      <c r="F1203" s="46" t="s">
        <v>649</v>
      </c>
      <c r="G1203" s="39" t="s">
        <v>635</v>
      </c>
      <c r="H1203" s="48" t="s">
        <v>99</v>
      </c>
      <c r="I1203" s="52">
        <v>116.1</v>
      </c>
      <c r="J1203" s="49">
        <v>3989.2400000000007</v>
      </c>
      <c r="K1203" s="65">
        <v>0</v>
      </c>
      <c r="L1203" s="65">
        <v>0</v>
      </c>
      <c r="M1203" s="65">
        <v>0</v>
      </c>
      <c r="N1203" s="65">
        <v>0</v>
      </c>
      <c r="O1203" s="65">
        <v>0</v>
      </c>
      <c r="P1203" s="65">
        <v>0</v>
      </c>
      <c r="Q1203" s="50">
        <v>3989.2400000000007</v>
      </c>
      <c r="R1203" s="65">
        <v>0</v>
      </c>
      <c r="S1203" s="65">
        <v>0</v>
      </c>
      <c r="T1203" s="65">
        <v>0</v>
      </c>
      <c r="U1203" s="65">
        <v>0</v>
      </c>
      <c r="V1203" s="65">
        <v>501.6296032258067</v>
      </c>
      <c r="W1203" s="65">
        <v>0</v>
      </c>
      <c r="X1203" s="65">
        <v>0</v>
      </c>
      <c r="Y1203" s="65">
        <v>0</v>
      </c>
      <c r="Z1203" s="65">
        <v>3487.6103967741938</v>
      </c>
      <c r="AA1203" s="51">
        <v>0</v>
      </c>
      <c r="AB1203" s="102">
        <v>0</v>
      </c>
      <c r="AC1203" s="81">
        <f t="shared" si="57"/>
        <v>401.26050577088716</v>
      </c>
      <c r="AD1203" s="82">
        <f t="shared" si="58"/>
        <v>16.585714285714285</v>
      </c>
      <c r="AE1203" s="218">
        <v>0</v>
      </c>
      <c r="AF1203">
        <v>0</v>
      </c>
      <c r="AH1203" t="str">
        <f t="shared" si="59"/>
        <v>Teghra</v>
      </c>
      <c r="AJ1203" s="72">
        <v>0</v>
      </c>
      <c r="AK1203" s="72"/>
      <c r="AL1203" s="72"/>
      <c r="AM1203" s="72"/>
    </row>
    <row r="1204" spans="1:39" x14ac:dyDescent="0.25">
      <c r="A1204" s="37" t="s">
        <v>62</v>
      </c>
      <c r="B1204" s="66" t="s">
        <v>1615</v>
      </c>
      <c r="C1204" s="47">
        <v>1008</v>
      </c>
      <c r="D1204" s="47" t="s">
        <v>221</v>
      </c>
      <c r="E1204" s="41">
        <v>10080093</v>
      </c>
      <c r="F1204" s="46" t="s">
        <v>826</v>
      </c>
      <c r="G1204" s="39" t="s">
        <v>93</v>
      </c>
      <c r="H1204" s="48" t="s">
        <v>94</v>
      </c>
      <c r="I1204" s="52">
        <v>550.80000000000007</v>
      </c>
      <c r="J1204" s="49">
        <v>20022.54</v>
      </c>
      <c r="K1204" s="65">
        <v>594</v>
      </c>
      <c r="L1204" s="65">
        <v>21641.266627200002</v>
      </c>
      <c r="M1204" s="65">
        <v>0</v>
      </c>
      <c r="N1204" s="65">
        <v>0</v>
      </c>
      <c r="O1204" s="65">
        <v>594</v>
      </c>
      <c r="P1204" s="65">
        <v>21641.266627200002</v>
      </c>
      <c r="Q1204" s="50">
        <v>20022.54</v>
      </c>
      <c r="R1204" s="65">
        <v>0</v>
      </c>
      <c r="S1204" s="65">
        <v>0</v>
      </c>
      <c r="T1204" s="65">
        <v>1618.7266272000015</v>
      </c>
      <c r="U1204" s="65">
        <v>0</v>
      </c>
      <c r="V1204" s="65">
        <v>0</v>
      </c>
      <c r="W1204" s="65">
        <v>0</v>
      </c>
      <c r="X1204" s="65">
        <v>20023</v>
      </c>
      <c r="Y1204" s="65">
        <v>0</v>
      </c>
      <c r="Z1204" s="65">
        <v>0</v>
      </c>
      <c r="AA1204" s="51">
        <v>0</v>
      </c>
      <c r="AB1204" s="102">
        <v>0</v>
      </c>
      <c r="AC1204" s="81">
        <f t="shared" si="57"/>
        <v>108.47360087145964</v>
      </c>
      <c r="AD1204" s="82">
        <f t="shared" si="58"/>
        <v>78.685714285714297</v>
      </c>
      <c r="AE1204" s="218">
        <v>-8.0845218798414262E-2</v>
      </c>
      <c r="AF1204">
        <v>1</v>
      </c>
      <c r="AH1204" t="str">
        <f t="shared" si="59"/>
        <v>Teghra</v>
      </c>
      <c r="AJ1204" s="72">
        <v>0</v>
      </c>
      <c r="AK1204" s="72"/>
      <c r="AL1204" s="72"/>
      <c r="AM1204" s="72"/>
    </row>
    <row r="1205" spans="1:39" x14ac:dyDescent="0.25">
      <c r="A1205" s="37" t="s">
        <v>62</v>
      </c>
      <c r="B1205" s="66" t="s">
        <v>1615</v>
      </c>
      <c r="C1205" s="47">
        <v>1008</v>
      </c>
      <c r="D1205" s="47" t="s">
        <v>221</v>
      </c>
      <c r="E1205" s="41">
        <v>10080095</v>
      </c>
      <c r="F1205" s="46" t="s">
        <v>701</v>
      </c>
      <c r="G1205" s="39" t="s">
        <v>93</v>
      </c>
      <c r="H1205" s="48" t="s">
        <v>94</v>
      </c>
      <c r="I1205" s="52">
        <v>199.70000000000002</v>
      </c>
      <c r="J1205" s="49">
        <v>7042.5499999999993</v>
      </c>
      <c r="K1205" s="65">
        <v>198.8</v>
      </c>
      <c r="L1205" s="65">
        <v>7050.9422905019992</v>
      </c>
      <c r="M1205" s="65">
        <v>0</v>
      </c>
      <c r="N1205" s="65">
        <v>0</v>
      </c>
      <c r="O1205" s="65">
        <v>198.8</v>
      </c>
      <c r="P1205" s="65">
        <v>7050.9422905019992</v>
      </c>
      <c r="Q1205" s="50">
        <v>7042.5499999999993</v>
      </c>
      <c r="R1205" s="65">
        <v>0</v>
      </c>
      <c r="S1205" s="65">
        <v>0</v>
      </c>
      <c r="T1205" s="65">
        <v>8.3922905019999234</v>
      </c>
      <c r="U1205" s="65">
        <v>0</v>
      </c>
      <c r="V1205" s="65">
        <v>0</v>
      </c>
      <c r="W1205" s="65">
        <v>0</v>
      </c>
      <c r="X1205" s="65">
        <v>7043</v>
      </c>
      <c r="Y1205" s="65">
        <v>0</v>
      </c>
      <c r="Z1205" s="65">
        <v>0</v>
      </c>
      <c r="AA1205" s="51">
        <v>0</v>
      </c>
      <c r="AB1205" s="102" t="s">
        <v>68</v>
      </c>
      <c r="AC1205" s="81">
        <f t="shared" si="57"/>
        <v>352.86807861792681</v>
      </c>
      <c r="AD1205" s="82">
        <f t="shared" si="58"/>
        <v>28.528571428571432</v>
      </c>
      <c r="AE1205" s="218">
        <v>-1.1916550826050116E-3</v>
      </c>
      <c r="AF1205">
        <v>1</v>
      </c>
      <c r="AH1205" t="str">
        <f t="shared" si="59"/>
        <v>Teghra</v>
      </c>
      <c r="AJ1205" s="72">
        <v>0</v>
      </c>
      <c r="AK1205" s="72"/>
      <c r="AL1205" s="72"/>
      <c r="AM1205" s="72"/>
    </row>
    <row r="1206" spans="1:39" x14ac:dyDescent="0.25">
      <c r="A1206" s="37" t="s">
        <v>62</v>
      </c>
      <c r="B1206" s="66" t="s">
        <v>1615</v>
      </c>
      <c r="C1206" s="47">
        <v>1008</v>
      </c>
      <c r="D1206" s="47" t="s">
        <v>221</v>
      </c>
      <c r="E1206" s="41">
        <v>10080097</v>
      </c>
      <c r="F1206" s="46" t="s">
        <v>662</v>
      </c>
      <c r="G1206" s="39" t="s">
        <v>635</v>
      </c>
      <c r="H1206" s="48" t="s">
        <v>99</v>
      </c>
      <c r="I1206" s="52">
        <v>1163.8499999999999</v>
      </c>
      <c r="J1206" s="49">
        <v>40262.769999999997</v>
      </c>
      <c r="K1206" s="65">
        <v>0</v>
      </c>
      <c r="L1206" s="65">
        <v>0</v>
      </c>
      <c r="M1206" s="65">
        <v>0</v>
      </c>
      <c r="N1206" s="65">
        <v>0</v>
      </c>
      <c r="O1206" s="65">
        <v>0</v>
      </c>
      <c r="P1206" s="65">
        <v>0</v>
      </c>
      <c r="Q1206" s="50">
        <v>40262.769999999997</v>
      </c>
      <c r="R1206" s="65">
        <v>0</v>
      </c>
      <c r="S1206" s="65">
        <v>0</v>
      </c>
      <c r="T1206" s="65">
        <v>0</v>
      </c>
      <c r="U1206" s="65">
        <v>0</v>
      </c>
      <c r="V1206" s="65">
        <v>0</v>
      </c>
      <c r="W1206" s="65">
        <v>0</v>
      </c>
      <c r="X1206" s="65">
        <v>0</v>
      </c>
      <c r="Y1206" s="65">
        <v>0</v>
      </c>
      <c r="Z1206" s="65">
        <v>40262.769999999997</v>
      </c>
      <c r="AA1206" s="51">
        <v>0</v>
      </c>
      <c r="AB1206" s="102">
        <v>0</v>
      </c>
      <c r="AC1206" s="81">
        <f t="shared" si="57"/>
        <v>0</v>
      </c>
      <c r="AD1206" s="82">
        <f t="shared" si="58"/>
        <v>0</v>
      </c>
      <c r="AE1206" s="218">
        <v>0</v>
      </c>
      <c r="AF1206">
        <v>0</v>
      </c>
      <c r="AH1206" t="str">
        <f t="shared" si="59"/>
        <v>Teghra</v>
      </c>
      <c r="AJ1206" s="72">
        <v>0</v>
      </c>
      <c r="AK1206" s="72"/>
      <c r="AL1206" s="72"/>
      <c r="AM1206" s="72"/>
    </row>
    <row r="1207" spans="1:39" x14ac:dyDescent="0.25">
      <c r="A1207" s="37" t="s">
        <v>62</v>
      </c>
      <c r="B1207" s="66" t="s">
        <v>1615</v>
      </c>
      <c r="C1207" s="47">
        <v>1008</v>
      </c>
      <c r="D1207" s="47" t="s">
        <v>221</v>
      </c>
      <c r="E1207" s="41">
        <v>10080099</v>
      </c>
      <c r="F1207" s="46" t="s">
        <v>827</v>
      </c>
      <c r="G1207" s="39" t="s">
        <v>93</v>
      </c>
      <c r="H1207" s="48" t="s">
        <v>94</v>
      </c>
      <c r="I1207" s="52">
        <v>1823.1000000000001</v>
      </c>
      <c r="J1207" s="49">
        <v>60669.35</v>
      </c>
      <c r="K1207" s="65">
        <v>1822.9</v>
      </c>
      <c r="L1207" s="65">
        <v>60663.870091440011</v>
      </c>
      <c r="M1207" s="65">
        <v>0</v>
      </c>
      <c r="N1207" s="65">
        <v>0</v>
      </c>
      <c r="O1207" s="65">
        <v>1822.9</v>
      </c>
      <c r="P1207" s="65">
        <v>60663.870091440011</v>
      </c>
      <c r="Q1207" s="50">
        <v>60663.870091440011</v>
      </c>
      <c r="R1207" s="65">
        <v>0</v>
      </c>
      <c r="S1207" s="65">
        <v>0</v>
      </c>
      <c r="T1207" s="65">
        <v>0</v>
      </c>
      <c r="U1207" s="65">
        <v>0</v>
      </c>
      <c r="V1207" s="65">
        <v>1139.1439499999992</v>
      </c>
      <c r="W1207" s="65">
        <v>0</v>
      </c>
      <c r="X1207" s="65">
        <v>59525</v>
      </c>
      <c r="Y1207" s="65">
        <v>0</v>
      </c>
      <c r="Z1207" s="65">
        <v>0</v>
      </c>
      <c r="AA1207" s="51">
        <v>5</v>
      </c>
      <c r="AB1207" s="102">
        <v>0</v>
      </c>
      <c r="AC1207" s="81">
        <f t="shared" si="57"/>
        <v>0</v>
      </c>
      <c r="AD1207" s="82">
        <f t="shared" si="58"/>
        <v>0</v>
      </c>
      <c r="AE1207" s="218">
        <v>9.0324167969295236E-5</v>
      </c>
      <c r="AF1207">
        <v>2</v>
      </c>
      <c r="AH1207" t="str">
        <f t="shared" si="59"/>
        <v>Teghra</v>
      </c>
      <c r="AJ1207" s="72">
        <v>0</v>
      </c>
      <c r="AK1207" s="72"/>
      <c r="AL1207" s="72"/>
      <c r="AM1207" s="72"/>
    </row>
    <row r="1208" spans="1:39" x14ac:dyDescent="0.25">
      <c r="A1208" s="37" t="s">
        <v>62</v>
      </c>
      <c r="B1208" s="66" t="s">
        <v>1615</v>
      </c>
      <c r="C1208" s="47">
        <v>1008</v>
      </c>
      <c r="D1208" s="47" t="s">
        <v>221</v>
      </c>
      <c r="E1208" s="41">
        <v>10080107</v>
      </c>
      <c r="F1208" s="46" t="s">
        <v>325</v>
      </c>
      <c r="G1208" s="39" t="s">
        <v>635</v>
      </c>
      <c r="H1208" s="48" t="s">
        <v>99</v>
      </c>
      <c r="I1208" s="52">
        <v>286.7</v>
      </c>
      <c r="J1208" s="49">
        <v>10277.09</v>
      </c>
      <c r="K1208" s="65">
        <v>0</v>
      </c>
      <c r="L1208" s="65">
        <v>0</v>
      </c>
      <c r="M1208" s="65">
        <v>0</v>
      </c>
      <c r="N1208" s="65">
        <v>0</v>
      </c>
      <c r="O1208" s="65">
        <v>0</v>
      </c>
      <c r="P1208" s="65">
        <v>0</v>
      </c>
      <c r="Q1208" s="50">
        <v>10277.09</v>
      </c>
      <c r="R1208" s="65">
        <v>0</v>
      </c>
      <c r="S1208" s="65">
        <v>0</v>
      </c>
      <c r="T1208" s="65">
        <v>0</v>
      </c>
      <c r="U1208" s="65">
        <v>0</v>
      </c>
      <c r="V1208" s="65">
        <v>420.75134516129026</v>
      </c>
      <c r="W1208" s="65">
        <v>0</v>
      </c>
      <c r="X1208" s="65">
        <v>0</v>
      </c>
      <c r="Y1208" s="65">
        <v>0</v>
      </c>
      <c r="Z1208" s="65">
        <v>9856.3386548387098</v>
      </c>
      <c r="AA1208" s="51">
        <v>0</v>
      </c>
      <c r="AB1208" s="102">
        <v>0</v>
      </c>
      <c r="AC1208" s="81">
        <f t="shared" si="57"/>
        <v>296.30424115800491</v>
      </c>
      <c r="AD1208" s="82">
        <f t="shared" si="58"/>
        <v>40.957142857142856</v>
      </c>
      <c r="AE1208" s="218">
        <v>0</v>
      </c>
      <c r="AF1208">
        <v>0</v>
      </c>
      <c r="AH1208" t="str">
        <f t="shared" si="59"/>
        <v>Teghra</v>
      </c>
      <c r="AJ1208" s="72">
        <v>0</v>
      </c>
      <c r="AK1208" s="72"/>
      <c r="AL1208" s="72"/>
      <c r="AM1208" s="72"/>
    </row>
    <row r="1209" spans="1:39" x14ac:dyDescent="0.25">
      <c r="A1209" s="37" t="s">
        <v>62</v>
      </c>
      <c r="B1209" s="66" t="s">
        <v>1615</v>
      </c>
      <c r="C1209" s="47">
        <v>1065</v>
      </c>
      <c r="D1209" s="47" t="s">
        <v>1473</v>
      </c>
      <c r="E1209" s="41">
        <v>10080112</v>
      </c>
      <c r="F1209" s="46" t="s">
        <v>1221</v>
      </c>
      <c r="G1209" s="39" t="s">
        <v>635</v>
      </c>
      <c r="H1209" s="48" t="s">
        <v>99</v>
      </c>
      <c r="I1209" s="52">
        <v>821.10000000000014</v>
      </c>
      <c r="J1209" s="49">
        <v>32240.42</v>
      </c>
      <c r="K1209" s="65">
        <v>0</v>
      </c>
      <c r="L1209" s="65">
        <v>0</v>
      </c>
      <c r="M1209" s="65">
        <v>0</v>
      </c>
      <c r="N1209" s="65">
        <v>0</v>
      </c>
      <c r="O1209" s="65">
        <v>0</v>
      </c>
      <c r="P1209" s="65">
        <v>0</v>
      </c>
      <c r="Q1209" s="50">
        <v>32240.42</v>
      </c>
      <c r="R1209" s="65">
        <v>0</v>
      </c>
      <c r="S1209" s="65">
        <v>0</v>
      </c>
      <c r="T1209" s="65">
        <v>0</v>
      </c>
      <c r="U1209" s="65">
        <v>0</v>
      </c>
      <c r="V1209" s="65">
        <v>0</v>
      </c>
      <c r="W1209" s="65">
        <v>0</v>
      </c>
      <c r="X1209" s="65">
        <v>0</v>
      </c>
      <c r="Y1209" s="65">
        <v>0</v>
      </c>
      <c r="Z1209" s="65">
        <v>32240.42</v>
      </c>
      <c r="AA1209" s="51">
        <v>0</v>
      </c>
      <c r="AB1209" s="102">
        <v>0</v>
      </c>
      <c r="AC1209" s="81">
        <f t="shared" si="57"/>
        <v>0</v>
      </c>
      <c r="AD1209" s="82">
        <f t="shared" si="58"/>
        <v>0</v>
      </c>
      <c r="AE1209" s="218">
        <v>0</v>
      </c>
      <c r="AF1209">
        <v>0</v>
      </c>
      <c r="AH1209" t="str">
        <f t="shared" si="59"/>
        <v>Bachhwara BMC</v>
      </c>
      <c r="AJ1209" s="72">
        <v>0</v>
      </c>
      <c r="AK1209" s="72"/>
      <c r="AL1209" s="72"/>
      <c r="AM1209" s="72"/>
    </row>
    <row r="1210" spans="1:39" x14ac:dyDescent="0.25">
      <c r="A1210" s="37" t="s">
        <v>62</v>
      </c>
      <c r="B1210" s="66" t="s">
        <v>1615</v>
      </c>
      <c r="C1210" s="47">
        <v>1008</v>
      </c>
      <c r="D1210" s="47" t="s">
        <v>221</v>
      </c>
      <c r="E1210" s="41">
        <v>10080113</v>
      </c>
      <c r="F1210" s="46" t="s">
        <v>1222</v>
      </c>
      <c r="G1210" s="39" t="s">
        <v>635</v>
      </c>
      <c r="H1210" s="48" t="s">
        <v>99</v>
      </c>
      <c r="I1210" s="52">
        <v>185.89999999999998</v>
      </c>
      <c r="J1210" s="49">
        <v>7000.96</v>
      </c>
      <c r="K1210" s="65">
        <v>0</v>
      </c>
      <c r="L1210" s="65">
        <v>0</v>
      </c>
      <c r="M1210" s="65">
        <v>0</v>
      </c>
      <c r="N1210" s="65">
        <v>0</v>
      </c>
      <c r="O1210" s="65">
        <v>0</v>
      </c>
      <c r="P1210" s="65">
        <v>0</v>
      </c>
      <c r="Q1210" s="50">
        <v>7000.96</v>
      </c>
      <c r="R1210" s="65">
        <v>0</v>
      </c>
      <c r="S1210" s="65">
        <v>0</v>
      </c>
      <c r="T1210" s="65">
        <v>0</v>
      </c>
      <c r="U1210" s="65">
        <v>0</v>
      </c>
      <c r="V1210" s="65">
        <v>397.32814838709658</v>
      </c>
      <c r="W1210" s="65">
        <v>0</v>
      </c>
      <c r="X1210" s="65">
        <v>0</v>
      </c>
      <c r="Y1210" s="65">
        <v>0</v>
      </c>
      <c r="Z1210" s="65">
        <v>6603.6318516129031</v>
      </c>
      <c r="AA1210" s="51">
        <v>0</v>
      </c>
      <c r="AB1210" s="102">
        <v>0</v>
      </c>
      <c r="AC1210" s="81">
        <f t="shared" si="57"/>
        <v>387.21823948359344</v>
      </c>
      <c r="AD1210" s="82">
        <f t="shared" si="58"/>
        <v>26.557142857142853</v>
      </c>
      <c r="AE1210" s="218">
        <v>0</v>
      </c>
      <c r="AF1210">
        <v>0</v>
      </c>
      <c r="AH1210" t="str">
        <f t="shared" si="59"/>
        <v>Teghra</v>
      </c>
      <c r="AJ1210" s="72">
        <v>0</v>
      </c>
      <c r="AK1210" s="72"/>
      <c r="AL1210" s="72"/>
      <c r="AM1210" s="72"/>
    </row>
    <row r="1211" spans="1:39" x14ac:dyDescent="0.25">
      <c r="A1211" s="37" t="s">
        <v>62</v>
      </c>
      <c r="B1211" s="66" t="s">
        <v>1615</v>
      </c>
      <c r="C1211" s="47">
        <v>1008</v>
      </c>
      <c r="D1211" s="47" t="s">
        <v>221</v>
      </c>
      <c r="E1211" s="41">
        <v>10080115</v>
      </c>
      <c r="F1211" s="46" t="s">
        <v>1265</v>
      </c>
      <c r="G1211" s="39" t="s">
        <v>93</v>
      </c>
      <c r="H1211" s="48" t="s">
        <v>94</v>
      </c>
      <c r="I1211" s="52">
        <v>501.65</v>
      </c>
      <c r="J1211" s="49">
        <v>18859.63</v>
      </c>
      <c r="K1211" s="65">
        <v>500</v>
      </c>
      <c r="L1211" s="65">
        <v>18876.547800000004</v>
      </c>
      <c r="M1211" s="65">
        <v>0</v>
      </c>
      <c r="N1211" s="65">
        <v>0</v>
      </c>
      <c r="O1211" s="65">
        <v>500</v>
      </c>
      <c r="P1211" s="65">
        <v>18876.547800000004</v>
      </c>
      <c r="Q1211" s="50">
        <v>18859.63</v>
      </c>
      <c r="R1211" s="65">
        <v>0</v>
      </c>
      <c r="S1211" s="65">
        <v>0</v>
      </c>
      <c r="T1211" s="65">
        <v>16.917800000002899</v>
      </c>
      <c r="U1211" s="65">
        <v>0</v>
      </c>
      <c r="V1211" s="65">
        <v>507.12686727272728</v>
      </c>
      <c r="W1211" s="65">
        <v>0</v>
      </c>
      <c r="X1211" s="65">
        <v>18352</v>
      </c>
      <c r="Y1211" s="65">
        <v>0</v>
      </c>
      <c r="Z1211" s="65">
        <v>0</v>
      </c>
      <c r="AA1211" s="51">
        <v>1</v>
      </c>
      <c r="AB1211" s="102">
        <v>0</v>
      </c>
      <c r="AC1211" s="81">
        <f t="shared" si="57"/>
        <v>149.14014195155988</v>
      </c>
      <c r="AD1211" s="82">
        <f t="shared" si="58"/>
        <v>71.664285714285711</v>
      </c>
      <c r="AE1211" s="218">
        <v>-8.9703774676400854E-4</v>
      </c>
      <c r="AF1211">
        <v>1</v>
      </c>
      <c r="AH1211" t="str">
        <f t="shared" si="59"/>
        <v>Teghra</v>
      </c>
      <c r="AJ1211" s="72">
        <v>0</v>
      </c>
      <c r="AK1211" s="72"/>
      <c r="AL1211" s="72"/>
      <c r="AM1211" s="72"/>
    </row>
    <row r="1212" spans="1:39" x14ac:dyDescent="0.25">
      <c r="A1212" s="37" t="s">
        <v>62</v>
      </c>
      <c r="B1212" s="66" t="s">
        <v>1615</v>
      </c>
      <c r="C1212" s="47">
        <v>1008</v>
      </c>
      <c r="D1212" s="47" t="s">
        <v>221</v>
      </c>
      <c r="E1212" s="41">
        <v>10080117</v>
      </c>
      <c r="F1212" s="46" t="s">
        <v>1293</v>
      </c>
      <c r="G1212" s="39" t="s">
        <v>635</v>
      </c>
      <c r="H1212" s="48" t="s">
        <v>99</v>
      </c>
      <c r="I1212" s="52">
        <v>164.3</v>
      </c>
      <c r="J1212" s="49">
        <v>5998.2099999999991</v>
      </c>
      <c r="K1212" s="65">
        <v>0</v>
      </c>
      <c r="L1212" s="65">
        <v>0</v>
      </c>
      <c r="M1212" s="65">
        <v>0</v>
      </c>
      <c r="N1212" s="65">
        <v>0</v>
      </c>
      <c r="O1212" s="65">
        <v>0</v>
      </c>
      <c r="P1212" s="65">
        <v>0</v>
      </c>
      <c r="Q1212" s="50">
        <v>5998.2099999999991</v>
      </c>
      <c r="R1212" s="65">
        <v>0</v>
      </c>
      <c r="S1212" s="65">
        <v>0</v>
      </c>
      <c r="T1212" s="65">
        <v>0</v>
      </c>
      <c r="U1212" s="65">
        <v>0</v>
      </c>
      <c r="V1212" s="65">
        <v>0</v>
      </c>
      <c r="W1212" s="65">
        <v>0</v>
      </c>
      <c r="X1212" s="65">
        <v>0</v>
      </c>
      <c r="Y1212" s="65">
        <v>0</v>
      </c>
      <c r="Z1212" s="65">
        <v>5998.2099999999991</v>
      </c>
      <c r="AA1212" s="51">
        <v>0</v>
      </c>
      <c r="AB1212" s="102">
        <v>0</v>
      </c>
      <c r="AC1212" s="81">
        <f t="shared" si="57"/>
        <v>391.14316457699317</v>
      </c>
      <c r="AD1212" s="82">
        <f t="shared" si="58"/>
        <v>23.471428571428572</v>
      </c>
      <c r="AE1212" s="218">
        <v>0</v>
      </c>
      <c r="AF1212">
        <v>0</v>
      </c>
      <c r="AH1212" t="str">
        <f t="shared" si="59"/>
        <v>Teghra</v>
      </c>
      <c r="AJ1212" s="72">
        <v>0</v>
      </c>
      <c r="AK1212" s="72"/>
      <c r="AL1212" s="72"/>
      <c r="AM1212" s="72"/>
    </row>
    <row r="1213" spans="1:39" x14ac:dyDescent="0.25">
      <c r="A1213" s="37" t="s">
        <v>62</v>
      </c>
      <c r="B1213" s="66" t="s">
        <v>1615</v>
      </c>
      <c r="C1213" s="47">
        <v>1008</v>
      </c>
      <c r="D1213" s="47" t="s">
        <v>221</v>
      </c>
      <c r="E1213" s="41">
        <v>10080119</v>
      </c>
      <c r="F1213" s="46" t="s">
        <v>1325</v>
      </c>
      <c r="G1213" s="39" t="s">
        <v>93</v>
      </c>
      <c r="H1213" s="48" t="s">
        <v>94</v>
      </c>
      <c r="I1213" s="52">
        <v>329.1</v>
      </c>
      <c r="J1213" s="49">
        <v>11753.01</v>
      </c>
      <c r="K1213" s="65">
        <v>378.52</v>
      </c>
      <c r="L1213" s="65">
        <v>15289.139793237642</v>
      </c>
      <c r="M1213" s="65">
        <v>0</v>
      </c>
      <c r="N1213" s="65">
        <v>0</v>
      </c>
      <c r="O1213" s="65">
        <v>378.52</v>
      </c>
      <c r="P1213" s="65">
        <v>15289.139793237642</v>
      </c>
      <c r="Q1213" s="50">
        <v>11753.01</v>
      </c>
      <c r="R1213" s="65">
        <v>0</v>
      </c>
      <c r="S1213" s="65">
        <v>0</v>
      </c>
      <c r="T1213" s="65">
        <v>3536.1297932376419</v>
      </c>
      <c r="U1213" s="65">
        <v>0</v>
      </c>
      <c r="V1213" s="65">
        <v>1204.6380196721309</v>
      </c>
      <c r="W1213" s="65">
        <v>0</v>
      </c>
      <c r="X1213" s="65">
        <v>10548</v>
      </c>
      <c r="Y1213" s="65">
        <v>0</v>
      </c>
      <c r="Z1213" s="65">
        <v>0</v>
      </c>
      <c r="AA1213" s="51">
        <v>0</v>
      </c>
      <c r="AB1213" s="102">
        <v>0</v>
      </c>
      <c r="AC1213" s="81">
        <f t="shared" si="57"/>
        <v>264.91591668185958</v>
      </c>
      <c r="AD1213" s="82">
        <f t="shared" si="58"/>
        <v>47.01428571428572</v>
      </c>
      <c r="AE1213" s="218">
        <v>-0.30087014247734339</v>
      </c>
      <c r="AF1213">
        <v>2</v>
      </c>
      <c r="AH1213" t="str">
        <f t="shared" si="59"/>
        <v>Teghra</v>
      </c>
      <c r="AJ1213" s="72">
        <v>0</v>
      </c>
      <c r="AK1213" s="72"/>
      <c r="AL1213" s="72"/>
      <c r="AM1213" s="72"/>
    </row>
    <row r="1214" spans="1:39" x14ac:dyDescent="0.25">
      <c r="A1214" s="37" t="s">
        <v>62</v>
      </c>
      <c r="B1214" s="66" t="s">
        <v>1615</v>
      </c>
      <c r="C1214" s="47">
        <v>1008</v>
      </c>
      <c r="D1214" s="47" t="s">
        <v>221</v>
      </c>
      <c r="E1214" s="41">
        <v>10080120</v>
      </c>
      <c r="F1214" s="46" t="s">
        <v>1389</v>
      </c>
      <c r="G1214" s="39" t="s">
        <v>93</v>
      </c>
      <c r="H1214" s="48" t="s">
        <v>94</v>
      </c>
      <c r="I1214" s="52">
        <v>356.25000000000006</v>
      </c>
      <c r="J1214" s="49">
        <v>13253.960000000001</v>
      </c>
      <c r="K1214" s="65">
        <v>293.09999999999997</v>
      </c>
      <c r="L1214" s="65">
        <v>9870.9550496171996</v>
      </c>
      <c r="M1214" s="65">
        <v>80</v>
      </c>
      <c r="N1214" s="65">
        <v>2978.0055360000006</v>
      </c>
      <c r="O1214" s="65">
        <v>373.09999999999997</v>
      </c>
      <c r="P1214" s="65">
        <v>12848.9605856172</v>
      </c>
      <c r="Q1214" s="50">
        <v>12848.9605856172</v>
      </c>
      <c r="R1214" s="65">
        <v>0</v>
      </c>
      <c r="S1214" s="65">
        <v>0</v>
      </c>
      <c r="T1214" s="65">
        <v>0</v>
      </c>
      <c r="U1214" s="65">
        <v>0</v>
      </c>
      <c r="V1214" s="65">
        <v>0</v>
      </c>
      <c r="W1214" s="65">
        <v>0</v>
      </c>
      <c r="X1214" s="65">
        <v>9872</v>
      </c>
      <c r="Y1214" s="65">
        <v>2978</v>
      </c>
      <c r="Z1214" s="65">
        <v>0</v>
      </c>
      <c r="AA1214" s="51">
        <v>404</v>
      </c>
      <c r="AB1214" s="102">
        <v>0</v>
      </c>
      <c r="AC1214" s="81">
        <f t="shared" si="57"/>
        <v>255.77817543859646</v>
      </c>
      <c r="AD1214" s="82">
        <f t="shared" si="58"/>
        <v>50.892857142857153</v>
      </c>
      <c r="AE1214" s="218">
        <v>3.0556861072675693E-2</v>
      </c>
      <c r="AF1214">
        <v>9</v>
      </c>
      <c r="AH1214" t="str">
        <f t="shared" si="59"/>
        <v>Teghra</v>
      </c>
      <c r="AJ1214" s="72">
        <v>0</v>
      </c>
      <c r="AK1214" s="72"/>
      <c r="AL1214" s="72"/>
      <c r="AM1214" s="72"/>
    </row>
    <row r="1215" spans="1:39" x14ac:dyDescent="0.25">
      <c r="A1215" s="37" t="s">
        <v>62</v>
      </c>
      <c r="B1215" s="66" t="s">
        <v>1615</v>
      </c>
      <c r="C1215" s="47">
        <v>1008</v>
      </c>
      <c r="D1215" s="47" t="s">
        <v>221</v>
      </c>
      <c r="E1215" s="41">
        <v>10080122</v>
      </c>
      <c r="F1215" s="46" t="s">
        <v>1401</v>
      </c>
      <c r="G1215" s="39" t="s">
        <v>93</v>
      </c>
      <c r="H1215" s="48" t="s">
        <v>94</v>
      </c>
      <c r="I1215" s="52">
        <v>726.65000000000009</v>
      </c>
      <c r="J1215" s="49">
        <v>27225.11</v>
      </c>
      <c r="K1215" s="65">
        <v>726.29999999999984</v>
      </c>
      <c r="L1215" s="65">
        <v>27225.761927759995</v>
      </c>
      <c r="M1215" s="65">
        <v>0</v>
      </c>
      <c r="N1215" s="65">
        <v>0</v>
      </c>
      <c r="O1215" s="65">
        <v>726.29999999999984</v>
      </c>
      <c r="P1215" s="65">
        <v>27225.761927759995</v>
      </c>
      <c r="Q1215" s="50">
        <v>27225.11</v>
      </c>
      <c r="R1215" s="65">
        <v>0</v>
      </c>
      <c r="S1215" s="65">
        <v>0</v>
      </c>
      <c r="T1215" s="65">
        <v>0.65192775999457808</v>
      </c>
      <c r="U1215" s="65">
        <v>0</v>
      </c>
      <c r="V1215" s="65">
        <v>0</v>
      </c>
      <c r="W1215" s="65">
        <v>0</v>
      </c>
      <c r="X1215" s="65">
        <v>27225</v>
      </c>
      <c r="Y1215" s="65">
        <v>0</v>
      </c>
      <c r="Z1215" s="65">
        <v>0</v>
      </c>
      <c r="AA1215" s="51">
        <v>0</v>
      </c>
      <c r="AB1215" s="102">
        <v>0</v>
      </c>
      <c r="AC1215" s="81">
        <f t="shared" si="57"/>
        <v>0</v>
      </c>
      <c r="AD1215" s="82">
        <f t="shared" si="58"/>
        <v>0</v>
      </c>
      <c r="AE1215" s="218">
        <v>-2.3945826481310014E-5</v>
      </c>
      <c r="AF1215">
        <v>1</v>
      </c>
      <c r="AH1215" t="str">
        <f t="shared" si="59"/>
        <v>Teghra</v>
      </c>
      <c r="AJ1215" s="72">
        <v>0</v>
      </c>
      <c r="AK1215" s="72"/>
      <c r="AL1215" s="72"/>
      <c r="AM1215" s="72"/>
    </row>
    <row r="1216" spans="1:39" x14ac:dyDescent="0.25">
      <c r="A1216" s="37" t="s">
        <v>62</v>
      </c>
      <c r="B1216" s="66" t="s">
        <v>1615</v>
      </c>
      <c r="C1216" s="47">
        <v>1008</v>
      </c>
      <c r="D1216" s="47" t="s">
        <v>221</v>
      </c>
      <c r="E1216" s="41">
        <v>10080124</v>
      </c>
      <c r="F1216" s="46" t="s">
        <v>1422</v>
      </c>
      <c r="G1216" s="39" t="s">
        <v>93</v>
      </c>
      <c r="H1216" s="48" t="s">
        <v>94</v>
      </c>
      <c r="I1216" s="52">
        <v>270.54999999999995</v>
      </c>
      <c r="J1216" s="49">
        <v>11084.82</v>
      </c>
      <c r="K1216" s="65">
        <v>270</v>
      </c>
      <c r="L1216" s="65">
        <v>11084.34294</v>
      </c>
      <c r="M1216" s="65">
        <v>0</v>
      </c>
      <c r="N1216" s="65">
        <v>0</v>
      </c>
      <c r="O1216" s="65">
        <v>270</v>
      </c>
      <c r="P1216" s="65">
        <v>11084.34294</v>
      </c>
      <c r="Q1216" s="50">
        <v>11084.34294</v>
      </c>
      <c r="R1216" s="65">
        <v>0</v>
      </c>
      <c r="S1216" s="65">
        <v>0</v>
      </c>
      <c r="T1216" s="65">
        <v>0</v>
      </c>
      <c r="U1216" s="65">
        <v>0</v>
      </c>
      <c r="V1216" s="65">
        <v>0</v>
      </c>
      <c r="W1216" s="65">
        <v>0</v>
      </c>
      <c r="X1216" s="65">
        <v>11084</v>
      </c>
      <c r="Y1216" s="65">
        <v>0</v>
      </c>
      <c r="Z1216" s="65">
        <v>0</v>
      </c>
      <c r="AA1216" s="51">
        <v>1</v>
      </c>
      <c r="AB1216" s="102">
        <v>0</v>
      </c>
      <c r="AC1216" s="81">
        <f t="shared" si="57"/>
        <v>351.9036000000001</v>
      </c>
      <c r="AD1216" s="82">
        <f t="shared" si="58"/>
        <v>38.649999999999991</v>
      </c>
      <c r="AE1216" s="218">
        <v>4.3037234704691237E-5</v>
      </c>
      <c r="AF1216">
        <v>1</v>
      </c>
      <c r="AH1216" t="str">
        <f t="shared" si="59"/>
        <v>Teghra</v>
      </c>
      <c r="AJ1216" s="72">
        <v>0</v>
      </c>
      <c r="AK1216" s="72"/>
      <c r="AL1216" s="72"/>
      <c r="AM1216" s="72"/>
    </row>
    <row r="1217" spans="1:39" x14ac:dyDescent="0.25">
      <c r="A1217" s="37" t="s">
        <v>62</v>
      </c>
      <c r="B1217" s="66" t="s">
        <v>1615</v>
      </c>
      <c r="C1217" s="47">
        <v>1008</v>
      </c>
      <c r="D1217" s="47" t="s">
        <v>221</v>
      </c>
      <c r="E1217" s="41">
        <v>10080126</v>
      </c>
      <c r="F1217" s="46" t="s">
        <v>1492</v>
      </c>
      <c r="G1217" s="39" t="s">
        <v>93</v>
      </c>
      <c r="H1217" s="48" t="s">
        <v>94</v>
      </c>
      <c r="I1217" s="52">
        <v>241.75</v>
      </c>
      <c r="J1217" s="49">
        <v>8830.1099999999988</v>
      </c>
      <c r="K1217" s="65">
        <v>240</v>
      </c>
      <c r="L1217" s="65">
        <v>8775.613440000001</v>
      </c>
      <c r="M1217" s="65">
        <v>0</v>
      </c>
      <c r="N1217" s="65">
        <v>0</v>
      </c>
      <c r="O1217" s="65">
        <v>240</v>
      </c>
      <c r="P1217" s="65">
        <v>8775.613440000001</v>
      </c>
      <c r="Q1217" s="50">
        <v>8775.613440000001</v>
      </c>
      <c r="R1217" s="65">
        <v>0</v>
      </c>
      <c r="S1217" s="65">
        <v>0</v>
      </c>
      <c r="T1217" s="65">
        <v>0</v>
      </c>
      <c r="U1217" s="65">
        <v>0</v>
      </c>
      <c r="V1217" s="65">
        <v>0</v>
      </c>
      <c r="W1217" s="65">
        <v>0</v>
      </c>
      <c r="X1217" s="65">
        <v>8776</v>
      </c>
      <c r="Y1217" s="65">
        <v>0</v>
      </c>
      <c r="Z1217" s="65">
        <v>0</v>
      </c>
      <c r="AA1217" s="51">
        <v>54</v>
      </c>
      <c r="AB1217" s="102">
        <v>0</v>
      </c>
      <c r="AC1217" s="81">
        <f t="shared" si="57"/>
        <v>334.75887549120989</v>
      </c>
      <c r="AD1217" s="82">
        <f t="shared" si="58"/>
        <v>34.535714285714285</v>
      </c>
      <c r="AE1217" s="218">
        <v>6.1716739655562364E-3</v>
      </c>
      <c r="AF1217">
        <v>1</v>
      </c>
      <c r="AH1217" t="str">
        <f t="shared" si="59"/>
        <v>Teghra</v>
      </c>
      <c r="AJ1217" s="72">
        <v>0</v>
      </c>
      <c r="AK1217" s="72"/>
      <c r="AL1217" s="72"/>
      <c r="AM1217" s="72"/>
    </row>
    <row r="1218" spans="1:39" x14ac:dyDescent="0.25">
      <c r="A1218" s="37" t="s">
        <v>62</v>
      </c>
      <c r="B1218" s="66" t="s">
        <v>1615</v>
      </c>
      <c r="C1218" s="47">
        <v>1009</v>
      </c>
      <c r="D1218" s="47" t="s">
        <v>249</v>
      </c>
      <c r="E1218" s="41">
        <v>10090001</v>
      </c>
      <c r="F1218" s="46" t="s">
        <v>250</v>
      </c>
      <c r="G1218" s="39" t="s">
        <v>635</v>
      </c>
      <c r="H1218" s="48" t="s">
        <v>99</v>
      </c>
      <c r="I1218" s="52">
        <v>361.6</v>
      </c>
      <c r="J1218" s="49">
        <v>14955.76</v>
      </c>
      <c r="K1218" s="65">
        <v>0</v>
      </c>
      <c r="L1218" s="65">
        <v>0</v>
      </c>
      <c r="M1218" s="65">
        <v>0</v>
      </c>
      <c r="N1218" s="65">
        <v>0</v>
      </c>
      <c r="O1218" s="65">
        <v>0</v>
      </c>
      <c r="P1218" s="65">
        <v>0</v>
      </c>
      <c r="Q1218" s="50">
        <v>14955.76</v>
      </c>
      <c r="R1218" s="65">
        <v>0</v>
      </c>
      <c r="S1218" s="65">
        <v>0</v>
      </c>
      <c r="T1218" s="65">
        <v>0</v>
      </c>
      <c r="U1218" s="65">
        <v>0</v>
      </c>
      <c r="V1218" s="65">
        <v>0</v>
      </c>
      <c r="W1218" s="65">
        <v>0</v>
      </c>
      <c r="X1218" s="65">
        <v>0</v>
      </c>
      <c r="Y1218" s="65">
        <v>0</v>
      </c>
      <c r="Z1218" s="65">
        <v>14955.76</v>
      </c>
      <c r="AA1218" s="51">
        <v>0</v>
      </c>
      <c r="AB1218" s="102">
        <v>0</v>
      </c>
      <c r="AC1218" s="81">
        <f t="shared" si="57"/>
        <v>279.92418053097344</v>
      </c>
      <c r="AD1218" s="82">
        <f t="shared" si="58"/>
        <v>51.657142857142858</v>
      </c>
      <c r="AE1218" s="218">
        <v>0</v>
      </c>
      <c r="AF1218">
        <v>0</v>
      </c>
      <c r="AH1218" t="str">
        <f t="shared" si="59"/>
        <v>Halsi</v>
      </c>
      <c r="AJ1218" s="72">
        <v>0</v>
      </c>
      <c r="AK1218" s="72"/>
      <c r="AL1218" s="72"/>
      <c r="AM1218" s="72"/>
    </row>
    <row r="1219" spans="1:39" x14ac:dyDescent="0.25">
      <c r="A1219" s="37" t="s">
        <v>62</v>
      </c>
      <c r="B1219" s="66" t="s">
        <v>1615</v>
      </c>
      <c r="C1219" s="47">
        <v>1009</v>
      </c>
      <c r="D1219" s="47" t="s">
        <v>249</v>
      </c>
      <c r="E1219" s="41">
        <v>10090002</v>
      </c>
      <c r="F1219" s="46" t="s">
        <v>251</v>
      </c>
      <c r="G1219" s="39" t="s">
        <v>93</v>
      </c>
      <c r="H1219" s="48" t="s">
        <v>94</v>
      </c>
      <c r="I1219" s="52">
        <v>1789.5000000000002</v>
      </c>
      <c r="J1219" s="49">
        <v>74493.45</v>
      </c>
      <c r="K1219" s="65">
        <v>1282.23</v>
      </c>
      <c r="L1219" s="65">
        <v>54899.139139076811</v>
      </c>
      <c r="M1219" s="65">
        <v>514.41</v>
      </c>
      <c r="N1219" s="65">
        <v>21540.308707000513</v>
      </c>
      <c r="O1219" s="65">
        <v>1796.6399999999999</v>
      </c>
      <c r="P1219" s="65">
        <v>76439.447846077324</v>
      </c>
      <c r="Q1219" s="50">
        <v>74493.45</v>
      </c>
      <c r="R1219" s="65">
        <v>0</v>
      </c>
      <c r="S1219" s="65">
        <v>574.66626584400012</v>
      </c>
      <c r="T1219" s="65">
        <v>1945.9978460773273</v>
      </c>
      <c r="U1219" s="65">
        <v>0</v>
      </c>
      <c r="V1219" s="65">
        <v>0</v>
      </c>
      <c r="W1219" s="65">
        <v>0</v>
      </c>
      <c r="X1219" s="65">
        <v>52954</v>
      </c>
      <c r="Y1219" s="65">
        <v>20965</v>
      </c>
      <c r="Z1219" s="65">
        <v>0</v>
      </c>
      <c r="AA1219" s="51">
        <v>0</v>
      </c>
      <c r="AB1219" s="102">
        <v>0</v>
      </c>
      <c r="AC1219" s="81">
        <f t="shared" ref="AC1219:AC1282" si="60">((IF(AD1219=0,0,100-AD1219))*7*(J1219/I1219))*2%</f>
        <v>0</v>
      </c>
      <c r="AD1219" s="82">
        <f t="shared" ref="AD1219:AD1282" si="61">IF((I1219/7)&gt;100,0,(I1219/7))</f>
        <v>0</v>
      </c>
      <c r="AE1219" s="218">
        <v>-2.6123073183982316E-2</v>
      </c>
      <c r="AF1219">
        <v>14</v>
      </c>
      <c r="AH1219" t="str">
        <f t="shared" si="59"/>
        <v>Halsi</v>
      </c>
      <c r="AJ1219" s="72">
        <v>0</v>
      </c>
      <c r="AK1219" s="72"/>
      <c r="AL1219" s="72"/>
      <c r="AM1219" s="72"/>
    </row>
    <row r="1220" spans="1:39" x14ac:dyDescent="0.25">
      <c r="A1220" s="37" t="s">
        <v>62</v>
      </c>
      <c r="B1220" s="66" t="s">
        <v>1615</v>
      </c>
      <c r="C1220" s="47">
        <v>1009</v>
      </c>
      <c r="D1220" s="47" t="s">
        <v>249</v>
      </c>
      <c r="E1220" s="41">
        <v>10090003</v>
      </c>
      <c r="F1220" s="46" t="s">
        <v>252</v>
      </c>
      <c r="G1220" s="39" t="s">
        <v>93</v>
      </c>
      <c r="H1220" s="48" t="s">
        <v>94</v>
      </c>
      <c r="I1220" s="52">
        <v>112.9</v>
      </c>
      <c r="J1220" s="49">
        <v>3669.8700000000003</v>
      </c>
      <c r="K1220" s="65">
        <v>112.2</v>
      </c>
      <c r="L1220" s="65">
        <v>3647.1846626820006</v>
      </c>
      <c r="M1220" s="65">
        <v>0.7</v>
      </c>
      <c r="N1220" s="65">
        <v>22.740313662000002</v>
      </c>
      <c r="O1220" s="65">
        <v>112.9</v>
      </c>
      <c r="P1220" s="65">
        <v>3669.9249763440007</v>
      </c>
      <c r="Q1220" s="50">
        <v>3669.8700000000003</v>
      </c>
      <c r="R1220" s="65">
        <v>0</v>
      </c>
      <c r="S1220" s="65">
        <v>22.740313662000002</v>
      </c>
      <c r="T1220" s="65">
        <v>5.4976344000351673E-2</v>
      </c>
      <c r="U1220" s="65">
        <v>0</v>
      </c>
      <c r="V1220" s="65">
        <v>52.535980645161267</v>
      </c>
      <c r="W1220" s="65">
        <v>0</v>
      </c>
      <c r="X1220" s="65">
        <v>3594</v>
      </c>
      <c r="Y1220" s="65">
        <v>0</v>
      </c>
      <c r="Z1220" s="65">
        <v>0</v>
      </c>
      <c r="AA1220" s="51">
        <v>1</v>
      </c>
      <c r="AB1220" s="102">
        <v>0</v>
      </c>
      <c r="AC1220" s="81">
        <f t="shared" si="60"/>
        <v>381.67948219663413</v>
      </c>
      <c r="AD1220" s="82">
        <f t="shared" si="61"/>
        <v>16.12857142857143</v>
      </c>
      <c r="AE1220" s="218">
        <v>-1.4980460888356174E-5</v>
      </c>
      <c r="AF1220">
        <v>3</v>
      </c>
      <c r="AH1220" t="str">
        <f t="shared" si="59"/>
        <v>Halsi</v>
      </c>
      <c r="AJ1220" s="72">
        <v>0</v>
      </c>
      <c r="AK1220" s="72"/>
      <c r="AL1220" s="72"/>
      <c r="AM1220" s="72"/>
    </row>
    <row r="1221" spans="1:39" x14ac:dyDescent="0.25">
      <c r="A1221" s="37" t="s">
        <v>62</v>
      </c>
      <c r="B1221" s="66" t="s">
        <v>1615</v>
      </c>
      <c r="C1221" s="47">
        <v>1009</v>
      </c>
      <c r="D1221" s="47" t="s">
        <v>249</v>
      </c>
      <c r="E1221" s="41">
        <v>10090005</v>
      </c>
      <c r="F1221" s="46" t="s">
        <v>253</v>
      </c>
      <c r="G1221" s="39" t="s">
        <v>635</v>
      </c>
      <c r="H1221" s="48" t="s">
        <v>99</v>
      </c>
      <c r="I1221" s="52">
        <v>226.9</v>
      </c>
      <c r="J1221" s="49">
        <v>9996.3900000000012</v>
      </c>
      <c r="K1221" s="65">
        <v>0</v>
      </c>
      <c r="L1221" s="65">
        <v>0</v>
      </c>
      <c r="M1221" s="65">
        <v>0</v>
      </c>
      <c r="N1221" s="65">
        <v>0</v>
      </c>
      <c r="O1221" s="65">
        <v>0</v>
      </c>
      <c r="P1221" s="65">
        <v>0</v>
      </c>
      <c r="Q1221" s="50">
        <v>9996.3900000000012</v>
      </c>
      <c r="R1221" s="65">
        <v>0</v>
      </c>
      <c r="S1221" s="65">
        <v>0</v>
      </c>
      <c r="T1221" s="65">
        <v>0</v>
      </c>
      <c r="U1221" s="65">
        <v>0</v>
      </c>
      <c r="V1221" s="65">
        <v>69.144232258064505</v>
      </c>
      <c r="W1221" s="65">
        <v>0</v>
      </c>
      <c r="X1221" s="65">
        <v>0</v>
      </c>
      <c r="Y1221" s="65">
        <v>0</v>
      </c>
      <c r="Z1221" s="65">
        <v>9927.245767741937</v>
      </c>
      <c r="AA1221" s="51">
        <v>0</v>
      </c>
      <c r="AB1221" s="102">
        <v>0</v>
      </c>
      <c r="AC1221" s="81">
        <f t="shared" si="60"/>
        <v>416.86135821947994</v>
      </c>
      <c r="AD1221" s="82">
        <f t="shared" si="61"/>
        <v>32.414285714285718</v>
      </c>
      <c r="AE1221" s="218">
        <v>0</v>
      </c>
      <c r="AF1221">
        <v>0</v>
      </c>
      <c r="AH1221" t="str">
        <f t="shared" si="59"/>
        <v>Halsi</v>
      </c>
      <c r="AJ1221" s="72">
        <v>0</v>
      </c>
      <c r="AK1221" s="72"/>
      <c r="AL1221" s="72"/>
      <c r="AM1221" s="72"/>
    </row>
    <row r="1222" spans="1:39" x14ac:dyDescent="0.25">
      <c r="A1222" s="37" t="s">
        <v>62</v>
      </c>
      <c r="B1222" s="66" t="s">
        <v>1615</v>
      </c>
      <c r="C1222" s="47">
        <v>1009</v>
      </c>
      <c r="D1222" s="47" t="s">
        <v>249</v>
      </c>
      <c r="E1222" s="41">
        <v>10090006</v>
      </c>
      <c r="F1222" s="46" t="s">
        <v>254</v>
      </c>
      <c r="G1222" s="39" t="s">
        <v>93</v>
      </c>
      <c r="H1222" s="48" t="s">
        <v>94</v>
      </c>
      <c r="I1222" s="52">
        <v>1399.6</v>
      </c>
      <c r="J1222" s="49">
        <v>55117.61</v>
      </c>
      <c r="K1222" s="65">
        <v>1422.7</v>
      </c>
      <c r="L1222" s="65">
        <v>58828.115771355806</v>
      </c>
      <c r="M1222" s="65">
        <v>0</v>
      </c>
      <c r="N1222" s="65">
        <v>0</v>
      </c>
      <c r="O1222" s="65">
        <v>1422.7</v>
      </c>
      <c r="P1222" s="65">
        <v>58828.115771355806</v>
      </c>
      <c r="Q1222" s="50">
        <v>55117.61</v>
      </c>
      <c r="R1222" s="65">
        <v>0</v>
      </c>
      <c r="S1222" s="65">
        <v>0</v>
      </c>
      <c r="T1222" s="65">
        <v>3710.5057713558053</v>
      </c>
      <c r="U1222" s="65">
        <v>0</v>
      </c>
      <c r="V1222" s="65">
        <v>0</v>
      </c>
      <c r="W1222" s="65">
        <v>0</v>
      </c>
      <c r="X1222" s="65">
        <v>55118</v>
      </c>
      <c r="Y1222" s="65">
        <v>0</v>
      </c>
      <c r="Z1222" s="65">
        <v>0</v>
      </c>
      <c r="AA1222" s="51">
        <v>0</v>
      </c>
      <c r="AB1222" s="102">
        <v>0</v>
      </c>
      <c r="AC1222" s="81">
        <f t="shared" si="60"/>
        <v>0</v>
      </c>
      <c r="AD1222" s="82">
        <f t="shared" si="61"/>
        <v>0</v>
      </c>
      <c r="AE1222" s="218">
        <v>-6.7319787112608928E-2</v>
      </c>
      <c r="AF1222">
        <v>10</v>
      </c>
      <c r="AH1222" t="str">
        <f t="shared" si="59"/>
        <v>Halsi</v>
      </c>
      <c r="AJ1222" s="72">
        <v>0</v>
      </c>
      <c r="AK1222" s="72"/>
      <c r="AL1222" s="72"/>
      <c r="AM1222" s="72"/>
    </row>
    <row r="1223" spans="1:39" x14ac:dyDescent="0.25">
      <c r="A1223" s="37" t="s">
        <v>62</v>
      </c>
      <c r="B1223" s="66" t="s">
        <v>1615</v>
      </c>
      <c r="C1223" s="47">
        <v>1009</v>
      </c>
      <c r="D1223" s="47" t="s">
        <v>249</v>
      </c>
      <c r="E1223" s="41">
        <v>10090007</v>
      </c>
      <c r="F1223" s="46" t="s">
        <v>255</v>
      </c>
      <c r="G1223" s="39" t="s">
        <v>93</v>
      </c>
      <c r="H1223" s="48" t="s">
        <v>94</v>
      </c>
      <c r="I1223" s="52">
        <v>414.20000000000005</v>
      </c>
      <c r="J1223" s="49">
        <v>14178.949999999999</v>
      </c>
      <c r="K1223" s="65">
        <v>429.90000000000003</v>
      </c>
      <c r="L1223" s="65">
        <v>15078.590974656003</v>
      </c>
      <c r="M1223" s="65">
        <v>0</v>
      </c>
      <c r="N1223" s="65">
        <v>0</v>
      </c>
      <c r="O1223" s="65">
        <v>429.90000000000003</v>
      </c>
      <c r="P1223" s="65">
        <v>15078.590974656003</v>
      </c>
      <c r="Q1223" s="50">
        <v>14178.949999999999</v>
      </c>
      <c r="R1223" s="65">
        <v>0</v>
      </c>
      <c r="S1223" s="65">
        <v>0</v>
      </c>
      <c r="T1223" s="65">
        <v>899.64097465600389</v>
      </c>
      <c r="U1223" s="65">
        <v>0</v>
      </c>
      <c r="V1223" s="65">
        <v>0</v>
      </c>
      <c r="W1223" s="65">
        <v>0</v>
      </c>
      <c r="X1223" s="65">
        <v>14179</v>
      </c>
      <c r="Y1223" s="65">
        <v>0</v>
      </c>
      <c r="Z1223" s="65">
        <v>0</v>
      </c>
      <c r="AA1223" s="51">
        <v>0</v>
      </c>
      <c r="AB1223" s="102">
        <v>0</v>
      </c>
      <c r="AC1223" s="81">
        <f t="shared" si="60"/>
        <v>195.67087928536935</v>
      </c>
      <c r="AD1223" s="82">
        <f t="shared" si="61"/>
        <v>59.171428571428578</v>
      </c>
      <c r="AE1223" s="218">
        <v>-6.3449054736493454E-2</v>
      </c>
      <c r="AF1223">
        <v>1</v>
      </c>
      <c r="AH1223" t="str">
        <f t="shared" si="59"/>
        <v>Halsi</v>
      </c>
      <c r="AJ1223" s="72">
        <v>0</v>
      </c>
      <c r="AK1223" s="72"/>
      <c r="AL1223" s="72"/>
      <c r="AM1223" s="72"/>
    </row>
    <row r="1224" spans="1:39" x14ac:dyDescent="0.25">
      <c r="A1224" s="37" t="s">
        <v>62</v>
      </c>
      <c r="B1224" s="66" t="s">
        <v>1615</v>
      </c>
      <c r="C1224" s="47">
        <v>1009</v>
      </c>
      <c r="D1224" s="47" t="s">
        <v>249</v>
      </c>
      <c r="E1224" s="41">
        <v>10090008</v>
      </c>
      <c r="F1224" s="46" t="s">
        <v>256</v>
      </c>
      <c r="G1224" s="39" t="s">
        <v>93</v>
      </c>
      <c r="H1224" s="48" t="s">
        <v>94</v>
      </c>
      <c r="I1224" s="52">
        <v>1046.0999999999999</v>
      </c>
      <c r="J1224" s="49">
        <v>39875.670000000006</v>
      </c>
      <c r="K1224" s="65">
        <v>1058.5999999999999</v>
      </c>
      <c r="L1224" s="65">
        <v>39420.621004404813</v>
      </c>
      <c r="M1224" s="65">
        <v>11.600000000000001</v>
      </c>
      <c r="N1224" s="65">
        <v>413.45956000800004</v>
      </c>
      <c r="O1224" s="65">
        <v>1070.1999999999998</v>
      </c>
      <c r="P1224" s="65">
        <v>39834.080564412812</v>
      </c>
      <c r="Q1224" s="50">
        <v>39834.080564412812</v>
      </c>
      <c r="R1224" s="65">
        <v>0</v>
      </c>
      <c r="S1224" s="65">
        <v>413.45956000800004</v>
      </c>
      <c r="T1224" s="65">
        <v>0</v>
      </c>
      <c r="U1224" s="65">
        <v>0</v>
      </c>
      <c r="V1224" s="65">
        <v>0</v>
      </c>
      <c r="W1224" s="65">
        <v>0</v>
      </c>
      <c r="X1224" s="65">
        <v>39422</v>
      </c>
      <c r="Y1224" s="65">
        <v>0</v>
      </c>
      <c r="Z1224" s="65">
        <v>0</v>
      </c>
      <c r="AA1224" s="51">
        <v>40</v>
      </c>
      <c r="AB1224" s="102">
        <v>0</v>
      </c>
      <c r="AC1224" s="81">
        <f t="shared" si="60"/>
        <v>0</v>
      </c>
      <c r="AD1224" s="82">
        <f t="shared" si="61"/>
        <v>0</v>
      </c>
      <c r="AE1224" s="218">
        <v>1.0429777251941669E-3</v>
      </c>
      <c r="AF1224">
        <v>27</v>
      </c>
      <c r="AH1224" t="str">
        <f t="shared" si="59"/>
        <v>Halsi</v>
      </c>
      <c r="AJ1224" s="72">
        <v>0</v>
      </c>
      <c r="AK1224" s="72"/>
      <c r="AL1224" s="72"/>
      <c r="AM1224" s="72"/>
    </row>
    <row r="1225" spans="1:39" x14ac:dyDescent="0.25">
      <c r="A1225" s="37" t="s">
        <v>62</v>
      </c>
      <c r="B1225" s="66" t="s">
        <v>1615</v>
      </c>
      <c r="C1225" s="47">
        <v>1009</v>
      </c>
      <c r="D1225" s="47" t="s">
        <v>249</v>
      </c>
      <c r="E1225" s="41">
        <v>10090009</v>
      </c>
      <c r="F1225" s="46" t="s">
        <v>257</v>
      </c>
      <c r="G1225" s="39" t="s">
        <v>93</v>
      </c>
      <c r="H1225" s="48" t="s">
        <v>94</v>
      </c>
      <c r="I1225" s="52">
        <v>619.9</v>
      </c>
      <c r="J1225" s="49">
        <v>24485.600000000006</v>
      </c>
      <c r="K1225" s="65">
        <v>604.4</v>
      </c>
      <c r="L1225" s="65">
        <v>23307.760579981004</v>
      </c>
      <c r="M1225" s="65">
        <v>5.7000000000000011</v>
      </c>
      <c r="N1225" s="65">
        <v>227.97276163200002</v>
      </c>
      <c r="O1225" s="65">
        <v>610.1</v>
      </c>
      <c r="P1225" s="65">
        <v>23535.733341613006</v>
      </c>
      <c r="Q1225" s="50">
        <v>23535.733341613006</v>
      </c>
      <c r="R1225" s="65">
        <v>0</v>
      </c>
      <c r="S1225" s="65">
        <v>227.97276163200002</v>
      </c>
      <c r="T1225" s="65">
        <v>0</v>
      </c>
      <c r="U1225" s="65">
        <v>0</v>
      </c>
      <c r="V1225" s="65">
        <v>0</v>
      </c>
      <c r="W1225" s="65">
        <v>0</v>
      </c>
      <c r="X1225" s="65">
        <v>23310</v>
      </c>
      <c r="Y1225" s="65">
        <v>0</v>
      </c>
      <c r="Z1225" s="65">
        <v>0</v>
      </c>
      <c r="AA1225" s="51">
        <v>948</v>
      </c>
      <c r="AB1225" s="102">
        <v>0</v>
      </c>
      <c r="AC1225" s="81">
        <f t="shared" si="60"/>
        <v>63.277837070495302</v>
      </c>
      <c r="AD1225" s="82">
        <f t="shared" si="61"/>
        <v>88.55714285714285</v>
      </c>
      <c r="AE1225" s="218">
        <v>3.8792868395587599E-2</v>
      </c>
      <c r="AF1225">
        <v>12</v>
      </c>
      <c r="AH1225" t="str">
        <f t="shared" si="59"/>
        <v>Halsi</v>
      </c>
      <c r="AJ1225" s="72">
        <v>0</v>
      </c>
      <c r="AK1225" s="72"/>
      <c r="AL1225" s="72"/>
      <c r="AM1225" s="72"/>
    </row>
    <row r="1226" spans="1:39" x14ac:dyDescent="0.25">
      <c r="A1226" s="37" t="s">
        <v>62</v>
      </c>
      <c r="B1226" s="66" t="s">
        <v>1615</v>
      </c>
      <c r="C1226" s="47">
        <v>1009</v>
      </c>
      <c r="D1226" s="47" t="s">
        <v>249</v>
      </c>
      <c r="E1226" s="41">
        <v>10090011</v>
      </c>
      <c r="F1226" s="46" t="s">
        <v>258</v>
      </c>
      <c r="G1226" s="39" t="s">
        <v>635</v>
      </c>
      <c r="H1226" s="48" t="s">
        <v>99</v>
      </c>
      <c r="I1226" s="52">
        <v>910.40000000000009</v>
      </c>
      <c r="J1226" s="49">
        <v>33488.379999999997</v>
      </c>
      <c r="K1226" s="65">
        <v>0</v>
      </c>
      <c r="L1226" s="65">
        <v>0</v>
      </c>
      <c r="M1226" s="65">
        <v>0</v>
      </c>
      <c r="N1226" s="65">
        <v>0</v>
      </c>
      <c r="O1226" s="65">
        <v>0</v>
      </c>
      <c r="P1226" s="65">
        <v>0</v>
      </c>
      <c r="Q1226" s="50">
        <v>33488.379999999997</v>
      </c>
      <c r="R1226" s="65">
        <v>0</v>
      </c>
      <c r="S1226" s="65">
        <v>0</v>
      </c>
      <c r="T1226" s="65">
        <v>0</v>
      </c>
      <c r="U1226" s="65">
        <v>0</v>
      </c>
      <c r="V1226" s="65">
        <v>0</v>
      </c>
      <c r="W1226" s="65">
        <v>0</v>
      </c>
      <c r="X1226" s="65">
        <v>0</v>
      </c>
      <c r="Y1226" s="65">
        <v>0</v>
      </c>
      <c r="Z1226" s="65">
        <v>33488.379999999997</v>
      </c>
      <c r="AA1226" s="51">
        <v>0</v>
      </c>
      <c r="AB1226" s="102">
        <v>0</v>
      </c>
      <c r="AC1226" s="81">
        <f t="shared" si="60"/>
        <v>0</v>
      </c>
      <c r="AD1226" s="82">
        <f t="shared" si="61"/>
        <v>0</v>
      </c>
      <c r="AE1226" s="218">
        <v>0</v>
      </c>
      <c r="AF1226">
        <v>0</v>
      </c>
      <c r="AH1226" t="str">
        <f t="shared" si="59"/>
        <v>Halsi</v>
      </c>
      <c r="AJ1226" s="72">
        <v>0</v>
      </c>
      <c r="AK1226" s="72"/>
      <c r="AL1226" s="72"/>
      <c r="AM1226" s="72"/>
    </row>
    <row r="1227" spans="1:39" x14ac:dyDescent="0.25">
      <c r="A1227" s="37" t="s">
        <v>62</v>
      </c>
      <c r="B1227" s="66" t="s">
        <v>1615</v>
      </c>
      <c r="C1227" s="47">
        <v>1009</v>
      </c>
      <c r="D1227" s="47" t="s">
        <v>249</v>
      </c>
      <c r="E1227" s="41">
        <v>10090012</v>
      </c>
      <c r="F1227" s="46" t="s">
        <v>259</v>
      </c>
      <c r="G1227" s="39" t="s">
        <v>635</v>
      </c>
      <c r="H1227" s="48" t="s">
        <v>99</v>
      </c>
      <c r="I1227" s="52">
        <v>1121.1999999999998</v>
      </c>
      <c r="J1227" s="49">
        <v>41267.770000000004</v>
      </c>
      <c r="K1227" s="65">
        <v>0</v>
      </c>
      <c r="L1227" s="65">
        <v>0</v>
      </c>
      <c r="M1227" s="65">
        <v>0</v>
      </c>
      <c r="N1227" s="65">
        <v>0</v>
      </c>
      <c r="O1227" s="65">
        <v>0</v>
      </c>
      <c r="P1227" s="65">
        <v>0</v>
      </c>
      <c r="Q1227" s="50">
        <v>41267.770000000004</v>
      </c>
      <c r="R1227" s="65">
        <v>0</v>
      </c>
      <c r="S1227" s="65">
        <v>0</v>
      </c>
      <c r="T1227" s="65">
        <v>0</v>
      </c>
      <c r="U1227" s="65">
        <v>0</v>
      </c>
      <c r="V1227" s="65">
        <v>0</v>
      </c>
      <c r="W1227" s="65">
        <v>0</v>
      </c>
      <c r="X1227" s="65">
        <v>0</v>
      </c>
      <c r="Y1227" s="65">
        <v>0</v>
      </c>
      <c r="Z1227" s="65">
        <v>41267.770000000004</v>
      </c>
      <c r="AA1227" s="51">
        <v>0</v>
      </c>
      <c r="AB1227" s="102">
        <v>0</v>
      </c>
      <c r="AC1227" s="81">
        <f t="shared" si="60"/>
        <v>0</v>
      </c>
      <c r="AD1227" s="82">
        <f t="shared" si="61"/>
        <v>0</v>
      </c>
      <c r="AE1227" s="218">
        <v>0</v>
      </c>
      <c r="AF1227">
        <v>0</v>
      </c>
      <c r="AH1227" t="str">
        <f t="shared" si="59"/>
        <v>Halsi</v>
      </c>
      <c r="AJ1227" s="72">
        <v>0</v>
      </c>
      <c r="AK1227" s="72"/>
      <c r="AL1227" s="72"/>
      <c r="AM1227" s="72"/>
    </row>
    <row r="1228" spans="1:39" x14ac:dyDescent="0.25">
      <c r="A1228" s="37" t="s">
        <v>62</v>
      </c>
      <c r="B1228" s="66" t="s">
        <v>1615</v>
      </c>
      <c r="C1228" s="47">
        <v>1009</v>
      </c>
      <c r="D1228" s="47" t="s">
        <v>249</v>
      </c>
      <c r="E1228" s="41">
        <v>10090014</v>
      </c>
      <c r="F1228" s="46" t="s">
        <v>260</v>
      </c>
      <c r="G1228" s="39" t="s">
        <v>635</v>
      </c>
      <c r="H1228" s="48" t="s">
        <v>99</v>
      </c>
      <c r="I1228" s="52">
        <v>868.2</v>
      </c>
      <c r="J1228" s="49">
        <v>33365.639999999992</v>
      </c>
      <c r="K1228" s="65">
        <v>0</v>
      </c>
      <c r="L1228" s="65">
        <v>0</v>
      </c>
      <c r="M1228" s="65">
        <v>0</v>
      </c>
      <c r="N1228" s="65">
        <v>0</v>
      </c>
      <c r="O1228" s="65">
        <v>0</v>
      </c>
      <c r="P1228" s="65">
        <v>0</v>
      </c>
      <c r="Q1228" s="50">
        <v>33365.639999999992</v>
      </c>
      <c r="R1228" s="65">
        <v>0</v>
      </c>
      <c r="S1228" s="65">
        <v>0</v>
      </c>
      <c r="T1228" s="65">
        <v>0</v>
      </c>
      <c r="U1228" s="65">
        <v>0</v>
      </c>
      <c r="V1228" s="65">
        <v>0</v>
      </c>
      <c r="W1228" s="65">
        <v>0</v>
      </c>
      <c r="X1228" s="65">
        <v>0</v>
      </c>
      <c r="Y1228" s="65">
        <v>0</v>
      </c>
      <c r="Z1228" s="65">
        <v>33365.639999999992</v>
      </c>
      <c r="AA1228" s="51">
        <v>0</v>
      </c>
      <c r="AB1228" s="102">
        <v>0</v>
      </c>
      <c r="AC1228" s="81">
        <f t="shared" si="60"/>
        <v>0</v>
      </c>
      <c r="AD1228" s="82">
        <f t="shared" si="61"/>
        <v>0</v>
      </c>
      <c r="AE1228" s="218">
        <v>0</v>
      </c>
      <c r="AF1228">
        <v>0</v>
      </c>
      <c r="AH1228" t="str">
        <f t="shared" si="59"/>
        <v>Halsi</v>
      </c>
      <c r="AJ1228" s="72">
        <v>0</v>
      </c>
      <c r="AK1228" s="72"/>
      <c r="AL1228" s="72"/>
      <c r="AM1228" s="72"/>
    </row>
    <row r="1229" spans="1:39" x14ac:dyDescent="0.25">
      <c r="A1229" s="37" t="s">
        <v>62</v>
      </c>
      <c r="B1229" s="66" t="s">
        <v>1615</v>
      </c>
      <c r="C1229" s="47">
        <v>1009</v>
      </c>
      <c r="D1229" s="47" t="s">
        <v>249</v>
      </c>
      <c r="E1229" s="41">
        <v>10090015</v>
      </c>
      <c r="F1229" s="46" t="s">
        <v>261</v>
      </c>
      <c r="G1229" s="39" t="s">
        <v>635</v>
      </c>
      <c r="H1229" s="48" t="s">
        <v>99</v>
      </c>
      <c r="I1229" s="52">
        <v>438.50000000000011</v>
      </c>
      <c r="J1229" s="49">
        <v>17704.61</v>
      </c>
      <c r="K1229" s="65">
        <v>0</v>
      </c>
      <c r="L1229" s="65">
        <v>0</v>
      </c>
      <c r="M1229" s="65">
        <v>0</v>
      </c>
      <c r="N1229" s="65">
        <v>0</v>
      </c>
      <c r="O1229" s="65">
        <v>0</v>
      </c>
      <c r="P1229" s="65">
        <v>0</v>
      </c>
      <c r="Q1229" s="50">
        <v>17704.61</v>
      </c>
      <c r="R1229" s="65">
        <v>0</v>
      </c>
      <c r="S1229" s="65">
        <v>0</v>
      </c>
      <c r="T1229" s="65">
        <v>0</v>
      </c>
      <c r="U1229" s="65">
        <v>0</v>
      </c>
      <c r="V1229" s="65">
        <v>0</v>
      </c>
      <c r="W1229" s="65">
        <v>0</v>
      </c>
      <c r="X1229" s="65">
        <v>0</v>
      </c>
      <c r="Y1229" s="65">
        <v>0</v>
      </c>
      <c r="Z1229" s="65">
        <v>17704.61</v>
      </c>
      <c r="AA1229" s="51">
        <v>0</v>
      </c>
      <c r="AB1229" s="102">
        <v>0</v>
      </c>
      <c r="AC1229" s="81">
        <f t="shared" si="60"/>
        <v>211.16330741163043</v>
      </c>
      <c r="AD1229" s="82">
        <f t="shared" si="61"/>
        <v>62.64285714285716</v>
      </c>
      <c r="AE1229" s="218">
        <v>0</v>
      </c>
      <c r="AF1229">
        <v>0</v>
      </c>
      <c r="AH1229" t="str">
        <f t="shared" si="59"/>
        <v>Halsi</v>
      </c>
      <c r="AJ1229" s="72">
        <v>0</v>
      </c>
      <c r="AK1229" s="72"/>
      <c r="AL1229" s="72"/>
      <c r="AM1229" s="72"/>
    </row>
    <row r="1230" spans="1:39" x14ac:dyDescent="0.25">
      <c r="A1230" s="37" t="s">
        <v>62</v>
      </c>
      <c r="B1230" s="66" t="s">
        <v>1615</v>
      </c>
      <c r="C1230" s="47">
        <v>1009</v>
      </c>
      <c r="D1230" s="47" t="s">
        <v>249</v>
      </c>
      <c r="E1230" s="41">
        <v>10090017</v>
      </c>
      <c r="F1230" s="46" t="s">
        <v>262</v>
      </c>
      <c r="G1230" s="39" t="s">
        <v>635</v>
      </c>
      <c r="H1230" s="48" t="s">
        <v>99</v>
      </c>
      <c r="I1230" s="52">
        <v>5448.6</v>
      </c>
      <c r="J1230" s="49">
        <v>189733.38999999998</v>
      </c>
      <c r="K1230" s="65">
        <v>0</v>
      </c>
      <c r="L1230" s="65">
        <v>0</v>
      </c>
      <c r="M1230" s="65">
        <v>0</v>
      </c>
      <c r="N1230" s="65">
        <v>0</v>
      </c>
      <c r="O1230" s="65">
        <v>0</v>
      </c>
      <c r="P1230" s="65">
        <v>0</v>
      </c>
      <c r="Q1230" s="50">
        <v>189733.38999999998</v>
      </c>
      <c r="R1230" s="65">
        <v>0</v>
      </c>
      <c r="S1230" s="65">
        <v>0</v>
      </c>
      <c r="T1230" s="65">
        <v>0</v>
      </c>
      <c r="U1230" s="65">
        <v>0</v>
      </c>
      <c r="V1230" s="65">
        <v>0</v>
      </c>
      <c r="W1230" s="65">
        <v>0</v>
      </c>
      <c r="X1230" s="65">
        <v>0</v>
      </c>
      <c r="Y1230" s="65">
        <v>0</v>
      </c>
      <c r="Z1230" s="65">
        <v>189733.38999999998</v>
      </c>
      <c r="AA1230" s="51">
        <v>0</v>
      </c>
      <c r="AB1230" s="102">
        <v>0</v>
      </c>
      <c r="AC1230" s="81">
        <f t="shared" si="60"/>
        <v>0</v>
      </c>
      <c r="AD1230" s="82">
        <f t="shared" si="61"/>
        <v>0</v>
      </c>
      <c r="AE1230" s="218">
        <v>0</v>
      </c>
      <c r="AF1230">
        <v>0</v>
      </c>
      <c r="AH1230" t="str">
        <f t="shared" si="59"/>
        <v>Halsi</v>
      </c>
      <c r="AJ1230" s="72">
        <v>0</v>
      </c>
      <c r="AK1230" s="72"/>
      <c r="AL1230" s="72"/>
      <c r="AM1230" s="72"/>
    </row>
    <row r="1231" spans="1:39" x14ac:dyDescent="0.25">
      <c r="A1231" s="37" t="s">
        <v>62</v>
      </c>
      <c r="B1231" s="66" t="s">
        <v>1615</v>
      </c>
      <c r="C1231" s="47">
        <v>1009</v>
      </c>
      <c r="D1231" s="47" t="s">
        <v>249</v>
      </c>
      <c r="E1231" s="41">
        <v>10090018</v>
      </c>
      <c r="F1231" s="46" t="s">
        <v>1200</v>
      </c>
      <c r="G1231" s="39" t="s">
        <v>635</v>
      </c>
      <c r="H1231" s="48" t="s">
        <v>99</v>
      </c>
      <c r="I1231" s="52">
        <v>116.6</v>
      </c>
      <c r="J1231" s="49">
        <v>4223.4800000000005</v>
      </c>
      <c r="K1231" s="65">
        <v>0</v>
      </c>
      <c r="L1231" s="65">
        <v>0</v>
      </c>
      <c r="M1231" s="65">
        <v>0</v>
      </c>
      <c r="N1231" s="65">
        <v>0</v>
      </c>
      <c r="O1231" s="65">
        <v>0</v>
      </c>
      <c r="P1231" s="65">
        <v>0</v>
      </c>
      <c r="Q1231" s="50">
        <v>4223.4800000000005</v>
      </c>
      <c r="R1231" s="65">
        <v>0</v>
      </c>
      <c r="S1231" s="65">
        <v>0</v>
      </c>
      <c r="T1231" s="65">
        <v>0</v>
      </c>
      <c r="U1231" s="65">
        <v>0</v>
      </c>
      <c r="V1231" s="65">
        <v>140.90798709677418</v>
      </c>
      <c r="W1231" s="65">
        <v>0</v>
      </c>
      <c r="X1231" s="65">
        <v>0</v>
      </c>
      <c r="Y1231" s="65">
        <v>0</v>
      </c>
      <c r="Z1231" s="65">
        <v>4082.5720129032261</v>
      </c>
      <c r="AA1231" s="51">
        <v>0</v>
      </c>
      <c r="AB1231" s="102">
        <v>0</v>
      </c>
      <c r="AC1231" s="81">
        <f t="shared" si="60"/>
        <v>422.63777564322476</v>
      </c>
      <c r="AD1231" s="82">
        <f t="shared" si="61"/>
        <v>16.657142857142855</v>
      </c>
      <c r="AE1231" s="218">
        <v>0</v>
      </c>
      <c r="AF1231">
        <v>0</v>
      </c>
      <c r="AH1231" t="str">
        <f t="shared" si="59"/>
        <v>Halsi</v>
      </c>
      <c r="AJ1231" s="72">
        <v>0</v>
      </c>
      <c r="AK1231" s="72"/>
      <c r="AL1231" s="72"/>
      <c r="AM1231" s="72"/>
    </row>
    <row r="1232" spans="1:39" x14ac:dyDescent="0.25">
      <c r="A1232" s="37" t="s">
        <v>62</v>
      </c>
      <c r="B1232" s="66" t="s">
        <v>1615</v>
      </c>
      <c r="C1232" s="47">
        <v>1009</v>
      </c>
      <c r="D1232" s="47" t="s">
        <v>249</v>
      </c>
      <c r="E1232" s="41">
        <v>10090021</v>
      </c>
      <c r="F1232" s="46" t="s">
        <v>263</v>
      </c>
      <c r="G1232" s="39" t="s">
        <v>93</v>
      </c>
      <c r="H1232" s="48" t="s">
        <v>94</v>
      </c>
      <c r="I1232" s="52">
        <v>842.8</v>
      </c>
      <c r="J1232" s="49">
        <v>35321.210000000006</v>
      </c>
      <c r="K1232" s="65">
        <v>1042.5999999999999</v>
      </c>
      <c r="L1232" s="65">
        <v>44666.873355724601</v>
      </c>
      <c r="M1232" s="65">
        <v>23.3</v>
      </c>
      <c r="N1232" s="65">
        <v>875.07126079200009</v>
      </c>
      <c r="O1232" s="65">
        <v>1065.8999999999999</v>
      </c>
      <c r="P1232" s="65">
        <v>45541.944616516601</v>
      </c>
      <c r="Q1232" s="50">
        <v>35321.210000000006</v>
      </c>
      <c r="R1232" s="65">
        <v>0</v>
      </c>
      <c r="S1232" s="65">
        <v>875.07126079200009</v>
      </c>
      <c r="T1232" s="65">
        <v>10220.734616516595</v>
      </c>
      <c r="U1232" s="65">
        <v>0</v>
      </c>
      <c r="V1232" s="65">
        <v>0</v>
      </c>
      <c r="W1232" s="65">
        <v>0</v>
      </c>
      <c r="X1232" s="65">
        <v>34446</v>
      </c>
      <c r="Y1232" s="65">
        <v>0</v>
      </c>
      <c r="Z1232" s="65">
        <v>0</v>
      </c>
      <c r="AA1232" s="51">
        <v>0</v>
      </c>
      <c r="AB1232" s="102">
        <v>0</v>
      </c>
      <c r="AC1232" s="81">
        <f t="shared" si="60"/>
        <v>0</v>
      </c>
      <c r="AD1232" s="82">
        <f t="shared" si="61"/>
        <v>0</v>
      </c>
      <c r="AE1232" s="218">
        <v>-0.28936535912888017</v>
      </c>
      <c r="AF1232">
        <v>4</v>
      </c>
      <c r="AH1232" t="str">
        <f t="shared" si="59"/>
        <v>Halsi</v>
      </c>
      <c r="AJ1232" s="72">
        <v>0</v>
      </c>
      <c r="AK1232" s="72"/>
      <c r="AL1232" s="72"/>
      <c r="AM1232" s="72"/>
    </row>
    <row r="1233" spans="1:39" x14ac:dyDescent="0.25">
      <c r="A1233" s="37" t="s">
        <v>62</v>
      </c>
      <c r="B1233" s="66" t="s">
        <v>1615</v>
      </c>
      <c r="C1233" s="47">
        <v>1009</v>
      </c>
      <c r="D1233" s="47" t="s">
        <v>249</v>
      </c>
      <c r="E1233" s="41">
        <v>10090022</v>
      </c>
      <c r="F1233" s="46" t="s">
        <v>264</v>
      </c>
      <c r="G1233" s="39" t="s">
        <v>635</v>
      </c>
      <c r="H1233" s="48" t="s">
        <v>99</v>
      </c>
      <c r="I1233" s="52">
        <v>468.3</v>
      </c>
      <c r="J1233" s="49">
        <v>18253.95</v>
      </c>
      <c r="K1233" s="65">
        <v>0</v>
      </c>
      <c r="L1233" s="65">
        <v>0</v>
      </c>
      <c r="M1233" s="65">
        <v>0</v>
      </c>
      <c r="N1233" s="65">
        <v>0</v>
      </c>
      <c r="O1233" s="65">
        <v>0</v>
      </c>
      <c r="P1233" s="65">
        <v>0</v>
      </c>
      <c r="Q1233" s="50">
        <v>18253.95</v>
      </c>
      <c r="R1233" s="65">
        <v>0</v>
      </c>
      <c r="S1233" s="65">
        <v>0</v>
      </c>
      <c r="T1233" s="65">
        <v>0</v>
      </c>
      <c r="U1233" s="65">
        <v>0</v>
      </c>
      <c r="V1233" s="65">
        <v>0</v>
      </c>
      <c r="W1233" s="65">
        <v>0</v>
      </c>
      <c r="X1233" s="65">
        <v>0</v>
      </c>
      <c r="Y1233" s="65">
        <v>0</v>
      </c>
      <c r="Z1233" s="65">
        <v>18253.95</v>
      </c>
      <c r="AA1233" s="51">
        <v>0</v>
      </c>
      <c r="AB1233" s="102">
        <v>0</v>
      </c>
      <c r="AC1233" s="81">
        <f t="shared" si="60"/>
        <v>180.62952017937215</v>
      </c>
      <c r="AD1233" s="82">
        <f t="shared" si="61"/>
        <v>66.900000000000006</v>
      </c>
      <c r="AE1233" s="218">
        <v>0</v>
      </c>
      <c r="AF1233">
        <v>0</v>
      </c>
      <c r="AH1233" t="str">
        <f t="shared" si="59"/>
        <v>Halsi</v>
      </c>
      <c r="AJ1233" s="72">
        <v>0</v>
      </c>
      <c r="AK1233" s="72"/>
      <c r="AL1233" s="72"/>
      <c r="AM1233" s="72"/>
    </row>
    <row r="1234" spans="1:39" x14ac:dyDescent="0.25">
      <c r="A1234" s="37" t="s">
        <v>62</v>
      </c>
      <c r="B1234" s="66" t="s">
        <v>1615</v>
      </c>
      <c r="C1234" s="47">
        <v>1009</v>
      </c>
      <c r="D1234" s="47" t="s">
        <v>249</v>
      </c>
      <c r="E1234" s="41">
        <v>10090024</v>
      </c>
      <c r="F1234" s="46" t="s">
        <v>265</v>
      </c>
      <c r="G1234" s="39" t="s">
        <v>635</v>
      </c>
      <c r="H1234" s="48" t="s">
        <v>99</v>
      </c>
      <c r="I1234" s="52">
        <v>361.20000000000005</v>
      </c>
      <c r="J1234" s="49">
        <v>13581.21</v>
      </c>
      <c r="K1234" s="65">
        <v>0</v>
      </c>
      <c r="L1234" s="65">
        <v>0</v>
      </c>
      <c r="M1234" s="65">
        <v>0</v>
      </c>
      <c r="N1234" s="65">
        <v>0</v>
      </c>
      <c r="O1234" s="65">
        <v>0</v>
      </c>
      <c r="P1234" s="65">
        <v>0</v>
      </c>
      <c r="Q1234" s="50">
        <v>13581.21</v>
      </c>
      <c r="R1234" s="65">
        <v>0</v>
      </c>
      <c r="S1234" s="65">
        <v>0</v>
      </c>
      <c r="T1234" s="65">
        <v>0</v>
      </c>
      <c r="U1234" s="65">
        <v>0</v>
      </c>
      <c r="V1234" s="65">
        <v>0</v>
      </c>
      <c r="W1234" s="65">
        <v>0</v>
      </c>
      <c r="X1234" s="65">
        <v>0</v>
      </c>
      <c r="Y1234" s="65">
        <v>0</v>
      </c>
      <c r="Z1234" s="65">
        <v>13581.21</v>
      </c>
      <c r="AA1234" s="51">
        <v>0</v>
      </c>
      <c r="AB1234" s="102">
        <v>0</v>
      </c>
      <c r="AC1234" s="81">
        <f t="shared" si="60"/>
        <v>254.77928837209294</v>
      </c>
      <c r="AD1234" s="82">
        <f t="shared" si="61"/>
        <v>51.600000000000009</v>
      </c>
      <c r="AE1234" s="218">
        <v>0</v>
      </c>
      <c r="AF1234">
        <v>0</v>
      </c>
      <c r="AH1234" t="str">
        <f t="shared" si="59"/>
        <v>Halsi</v>
      </c>
      <c r="AJ1234" s="72">
        <v>0</v>
      </c>
      <c r="AK1234" s="72"/>
      <c r="AL1234" s="72"/>
      <c r="AM1234" s="72"/>
    </row>
    <row r="1235" spans="1:39" x14ac:dyDescent="0.25">
      <c r="A1235" s="37" t="s">
        <v>62</v>
      </c>
      <c r="B1235" s="66" t="s">
        <v>1615</v>
      </c>
      <c r="C1235" s="47">
        <v>1009</v>
      </c>
      <c r="D1235" s="47" t="s">
        <v>249</v>
      </c>
      <c r="E1235" s="41">
        <v>10090025</v>
      </c>
      <c r="F1235" s="46" t="s">
        <v>496</v>
      </c>
      <c r="G1235" s="39" t="s">
        <v>635</v>
      </c>
      <c r="H1235" s="48" t="s">
        <v>99</v>
      </c>
      <c r="I1235" s="52">
        <v>963.3</v>
      </c>
      <c r="J1235" s="49">
        <v>36351.89</v>
      </c>
      <c r="K1235" s="65">
        <v>0</v>
      </c>
      <c r="L1235" s="65">
        <v>0</v>
      </c>
      <c r="M1235" s="65">
        <v>0</v>
      </c>
      <c r="N1235" s="65">
        <v>0</v>
      </c>
      <c r="O1235" s="65">
        <v>0</v>
      </c>
      <c r="P1235" s="65">
        <v>0</v>
      </c>
      <c r="Q1235" s="50">
        <v>36351.89</v>
      </c>
      <c r="R1235" s="65">
        <v>0</v>
      </c>
      <c r="S1235" s="65">
        <v>0</v>
      </c>
      <c r="T1235" s="65">
        <v>0</v>
      </c>
      <c r="U1235" s="65">
        <v>0</v>
      </c>
      <c r="V1235" s="65">
        <v>0</v>
      </c>
      <c r="W1235" s="65">
        <v>0</v>
      </c>
      <c r="X1235" s="65">
        <v>0</v>
      </c>
      <c r="Y1235" s="65">
        <v>0</v>
      </c>
      <c r="Z1235" s="65">
        <v>36351.89</v>
      </c>
      <c r="AA1235" s="51">
        <v>0</v>
      </c>
      <c r="AB1235" s="102">
        <v>0</v>
      </c>
      <c r="AC1235" s="81">
        <f t="shared" si="60"/>
        <v>0</v>
      </c>
      <c r="AD1235" s="82">
        <f t="shared" si="61"/>
        <v>0</v>
      </c>
      <c r="AE1235" s="218">
        <v>0</v>
      </c>
      <c r="AF1235">
        <v>0</v>
      </c>
      <c r="AH1235" t="str">
        <f t="shared" si="59"/>
        <v>Halsi</v>
      </c>
      <c r="AJ1235" s="72">
        <v>0</v>
      </c>
      <c r="AK1235" s="72"/>
      <c r="AL1235" s="72"/>
      <c r="AM1235" s="72"/>
    </row>
    <row r="1236" spans="1:39" x14ac:dyDescent="0.25">
      <c r="A1236" s="37" t="s">
        <v>62</v>
      </c>
      <c r="B1236" s="66" t="s">
        <v>1615</v>
      </c>
      <c r="C1236" s="47">
        <v>1009</v>
      </c>
      <c r="D1236" s="47" t="s">
        <v>249</v>
      </c>
      <c r="E1236" s="41">
        <v>10090027</v>
      </c>
      <c r="F1236" s="46" t="s">
        <v>266</v>
      </c>
      <c r="G1236" s="39" t="s">
        <v>635</v>
      </c>
      <c r="H1236" s="48" t="s">
        <v>99</v>
      </c>
      <c r="I1236" s="52">
        <v>1540.6000000000001</v>
      </c>
      <c r="J1236" s="49">
        <v>64135.09</v>
      </c>
      <c r="K1236" s="65">
        <v>0</v>
      </c>
      <c r="L1236" s="65">
        <v>0</v>
      </c>
      <c r="M1236" s="65">
        <v>0</v>
      </c>
      <c r="N1236" s="65">
        <v>0</v>
      </c>
      <c r="O1236" s="65">
        <v>0</v>
      </c>
      <c r="P1236" s="65">
        <v>0</v>
      </c>
      <c r="Q1236" s="50">
        <v>64135.09</v>
      </c>
      <c r="R1236" s="65">
        <v>0</v>
      </c>
      <c r="S1236" s="65">
        <v>0</v>
      </c>
      <c r="T1236" s="65">
        <v>0</v>
      </c>
      <c r="U1236" s="65">
        <v>0</v>
      </c>
      <c r="V1236" s="65">
        <v>0</v>
      </c>
      <c r="W1236" s="65">
        <v>0</v>
      </c>
      <c r="X1236" s="65">
        <v>0</v>
      </c>
      <c r="Y1236" s="65">
        <v>0</v>
      </c>
      <c r="Z1236" s="65">
        <v>64135.09</v>
      </c>
      <c r="AA1236" s="51">
        <v>0</v>
      </c>
      <c r="AB1236" s="102">
        <v>0</v>
      </c>
      <c r="AC1236" s="81">
        <f t="shared" si="60"/>
        <v>0</v>
      </c>
      <c r="AD1236" s="82">
        <f t="shared" si="61"/>
        <v>0</v>
      </c>
      <c r="AE1236" s="218">
        <v>0</v>
      </c>
      <c r="AF1236">
        <v>0</v>
      </c>
      <c r="AH1236" t="str">
        <f t="shared" si="59"/>
        <v>Halsi</v>
      </c>
      <c r="AJ1236" s="72">
        <v>0</v>
      </c>
      <c r="AK1236" s="72"/>
      <c r="AL1236" s="72"/>
      <c r="AM1236" s="72"/>
    </row>
    <row r="1237" spans="1:39" x14ac:dyDescent="0.25">
      <c r="A1237" s="37" t="s">
        <v>62</v>
      </c>
      <c r="B1237" s="66" t="s">
        <v>1615</v>
      </c>
      <c r="C1237" s="47">
        <v>1009</v>
      </c>
      <c r="D1237" s="47" t="s">
        <v>249</v>
      </c>
      <c r="E1237" s="41">
        <v>10090029</v>
      </c>
      <c r="F1237" s="46" t="s">
        <v>267</v>
      </c>
      <c r="G1237" s="39" t="s">
        <v>93</v>
      </c>
      <c r="H1237" s="48" t="s">
        <v>94</v>
      </c>
      <c r="I1237" s="52">
        <v>693.8</v>
      </c>
      <c r="J1237" s="49">
        <v>29008.400000000005</v>
      </c>
      <c r="K1237" s="65">
        <v>707.75999999999976</v>
      </c>
      <c r="L1237" s="65">
        <v>29498.75576624132</v>
      </c>
      <c r="M1237" s="65">
        <v>7.54</v>
      </c>
      <c r="N1237" s="65">
        <v>287.64418082400005</v>
      </c>
      <c r="O1237" s="65">
        <v>715.29999999999973</v>
      </c>
      <c r="P1237" s="65">
        <v>29786.399947065322</v>
      </c>
      <c r="Q1237" s="50">
        <v>29008.400000000005</v>
      </c>
      <c r="R1237" s="65">
        <v>0</v>
      </c>
      <c r="S1237" s="65">
        <v>287.64418082400005</v>
      </c>
      <c r="T1237" s="65">
        <v>777.99994706531652</v>
      </c>
      <c r="U1237" s="65">
        <v>0</v>
      </c>
      <c r="V1237" s="65">
        <v>0</v>
      </c>
      <c r="W1237" s="65">
        <v>0</v>
      </c>
      <c r="X1237" s="65">
        <v>28721</v>
      </c>
      <c r="Y1237" s="65">
        <v>0</v>
      </c>
      <c r="Z1237" s="65">
        <v>0</v>
      </c>
      <c r="AA1237" s="51">
        <v>0</v>
      </c>
      <c r="AB1237" s="102">
        <v>0</v>
      </c>
      <c r="AC1237" s="81">
        <f t="shared" si="60"/>
        <v>5.1845511674834288</v>
      </c>
      <c r="AD1237" s="82">
        <f t="shared" si="61"/>
        <v>99.114285714285714</v>
      </c>
      <c r="AE1237" s="218">
        <v>-2.6819815883168889E-2</v>
      </c>
      <c r="AF1237">
        <v>20</v>
      </c>
      <c r="AH1237" t="str">
        <f t="shared" si="59"/>
        <v>Halsi</v>
      </c>
      <c r="AJ1237" s="72">
        <v>0</v>
      </c>
      <c r="AK1237" s="72"/>
      <c r="AL1237" s="72"/>
      <c r="AM1237" s="72"/>
    </row>
    <row r="1238" spans="1:39" x14ac:dyDescent="0.25">
      <c r="A1238" s="37" t="s">
        <v>62</v>
      </c>
      <c r="B1238" s="66" t="s">
        <v>1615</v>
      </c>
      <c r="C1238" s="47">
        <v>1009</v>
      </c>
      <c r="D1238" s="47" t="s">
        <v>249</v>
      </c>
      <c r="E1238" s="41">
        <v>10090033</v>
      </c>
      <c r="F1238" s="46" t="s">
        <v>268</v>
      </c>
      <c r="G1238" s="39" t="s">
        <v>93</v>
      </c>
      <c r="H1238" s="48" t="s">
        <v>94</v>
      </c>
      <c r="I1238" s="52">
        <v>1151.3999999999999</v>
      </c>
      <c r="J1238" s="49">
        <v>54563.44</v>
      </c>
      <c r="K1238" s="65">
        <v>1154.8800000000001</v>
      </c>
      <c r="L1238" s="65">
        <v>56855.623558659201</v>
      </c>
      <c r="M1238" s="65">
        <v>6.5999999999999988</v>
      </c>
      <c r="N1238" s="65">
        <v>318.59185755396004</v>
      </c>
      <c r="O1238" s="65">
        <v>1161.48</v>
      </c>
      <c r="P1238" s="65">
        <v>57174.215416213163</v>
      </c>
      <c r="Q1238" s="50">
        <v>54563.44</v>
      </c>
      <c r="R1238" s="65">
        <v>0</v>
      </c>
      <c r="S1238" s="65">
        <v>318.59185755396004</v>
      </c>
      <c r="T1238" s="65">
        <v>2610.7754162131605</v>
      </c>
      <c r="U1238" s="65">
        <v>0</v>
      </c>
      <c r="V1238" s="65">
        <v>0</v>
      </c>
      <c r="W1238" s="65">
        <v>0</v>
      </c>
      <c r="X1238" s="65">
        <v>54245</v>
      </c>
      <c r="Y1238" s="65">
        <v>0</v>
      </c>
      <c r="Z1238" s="65">
        <v>0</v>
      </c>
      <c r="AA1238" s="51">
        <v>0</v>
      </c>
      <c r="AB1238" s="102">
        <v>0</v>
      </c>
      <c r="AC1238" s="81">
        <f t="shared" si="60"/>
        <v>0</v>
      </c>
      <c r="AD1238" s="82">
        <f t="shared" si="61"/>
        <v>0</v>
      </c>
      <c r="AE1238" s="218">
        <v>-4.7848438738707831E-2</v>
      </c>
      <c r="AF1238">
        <v>11</v>
      </c>
      <c r="AH1238" t="str">
        <f t="shared" si="59"/>
        <v>Halsi</v>
      </c>
      <c r="AJ1238" s="72">
        <v>0</v>
      </c>
      <c r="AK1238" s="72"/>
      <c r="AL1238" s="72"/>
      <c r="AM1238" s="72"/>
    </row>
    <row r="1239" spans="1:39" x14ac:dyDescent="0.25">
      <c r="A1239" s="37" t="s">
        <v>62</v>
      </c>
      <c r="B1239" s="66" t="s">
        <v>1615</v>
      </c>
      <c r="C1239" s="47">
        <v>1009</v>
      </c>
      <c r="D1239" s="47" t="s">
        <v>249</v>
      </c>
      <c r="E1239" s="41">
        <v>10090036</v>
      </c>
      <c r="F1239" s="46" t="s">
        <v>270</v>
      </c>
      <c r="G1239" s="39" t="s">
        <v>93</v>
      </c>
      <c r="H1239" s="48" t="s">
        <v>94</v>
      </c>
      <c r="I1239" s="52">
        <v>83.700000000000017</v>
      </c>
      <c r="J1239" s="49">
        <v>3117.9500000000007</v>
      </c>
      <c r="K1239" s="65">
        <v>83.7</v>
      </c>
      <c r="L1239" s="65">
        <v>3137.83619688</v>
      </c>
      <c r="M1239" s="65">
        <v>0</v>
      </c>
      <c r="N1239" s="65">
        <v>0</v>
      </c>
      <c r="O1239" s="65">
        <v>83.7</v>
      </c>
      <c r="P1239" s="65">
        <v>3137.83619688</v>
      </c>
      <c r="Q1239" s="50">
        <v>3117.9500000000007</v>
      </c>
      <c r="R1239" s="65">
        <v>0</v>
      </c>
      <c r="S1239" s="65">
        <v>0</v>
      </c>
      <c r="T1239" s="65">
        <v>19.886196879999261</v>
      </c>
      <c r="U1239" s="65">
        <v>0</v>
      </c>
      <c r="V1239" s="65">
        <v>1373.9993999999997</v>
      </c>
      <c r="W1239" s="65">
        <v>0</v>
      </c>
      <c r="X1239" s="65">
        <v>1744</v>
      </c>
      <c r="Y1239" s="65">
        <v>0</v>
      </c>
      <c r="Z1239" s="65">
        <v>0</v>
      </c>
      <c r="AA1239" s="51">
        <v>0</v>
      </c>
      <c r="AB1239" s="102">
        <v>0</v>
      </c>
      <c r="AC1239" s="81">
        <f t="shared" si="60"/>
        <v>459.16190800477898</v>
      </c>
      <c r="AD1239" s="82">
        <f t="shared" si="61"/>
        <v>11.957142857142859</v>
      </c>
      <c r="AE1239" s="218">
        <v>-6.377971705767975E-3</v>
      </c>
      <c r="AF1239">
        <v>1</v>
      </c>
      <c r="AH1239" t="str">
        <f t="shared" si="59"/>
        <v>Halsi</v>
      </c>
      <c r="AJ1239" s="72">
        <v>0</v>
      </c>
      <c r="AK1239" s="72"/>
      <c r="AL1239" s="72"/>
      <c r="AM1239" s="72"/>
    </row>
    <row r="1240" spans="1:39" x14ac:dyDescent="0.25">
      <c r="A1240" s="37" t="s">
        <v>62</v>
      </c>
      <c r="B1240" s="66" t="s">
        <v>1615</v>
      </c>
      <c r="C1240" s="47">
        <v>1009</v>
      </c>
      <c r="D1240" s="47" t="s">
        <v>249</v>
      </c>
      <c r="E1240" s="41">
        <v>10090037</v>
      </c>
      <c r="F1240" s="46" t="s">
        <v>271</v>
      </c>
      <c r="G1240" s="39" t="s">
        <v>93</v>
      </c>
      <c r="H1240" s="48" t="s">
        <v>94</v>
      </c>
      <c r="I1240" s="52">
        <v>438.09999999999985</v>
      </c>
      <c r="J1240" s="49">
        <v>19866.59</v>
      </c>
      <c r="K1240" s="65">
        <v>435.39000000000004</v>
      </c>
      <c r="L1240" s="65">
        <v>20567.686486301478</v>
      </c>
      <c r="M1240" s="65">
        <v>4.0100000000000007</v>
      </c>
      <c r="N1240" s="65">
        <v>165.58792272000005</v>
      </c>
      <c r="O1240" s="65">
        <v>439.40000000000003</v>
      </c>
      <c r="P1240" s="65">
        <v>20733.274409021476</v>
      </c>
      <c r="Q1240" s="50">
        <v>19866.59</v>
      </c>
      <c r="R1240" s="65">
        <v>0</v>
      </c>
      <c r="S1240" s="65">
        <v>165.58792272000005</v>
      </c>
      <c r="T1240" s="65">
        <v>866.68440902147631</v>
      </c>
      <c r="U1240" s="65">
        <v>0</v>
      </c>
      <c r="V1240" s="65">
        <v>0</v>
      </c>
      <c r="W1240" s="65">
        <v>0</v>
      </c>
      <c r="X1240" s="65">
        <v>19701</v>
      </c>
      <c r="Y1240" s="65">
        <v>0</v>
      </c>
      <c r="Z1240" s="65">
        <v>0</v>
      </c>
      <c r="AA1240" s="51">
        <v>0</v>
      </c>
      <c r="AB1240" s="102">
        <v>0</v>
      </c>
      <c r="AC1240" s="81">
        <f t="shared" si="60"/>
        <v>237.52841456288542</v>
      </c>
      <c r="AD1240" s="82">
        <f t="shared" si="61"/>
        <v>62.585714285714268</v>
      </c>
      <c r="AE1240" s="218">
        <v>-4.3625222497745024E-2</v>
      </c>
      <c r="AF1240">
        <v>6</v>
      </c>
      <c r="AH1240" t="str">
        <f t="shared" si="59"/>
        <v>Halsi</v>
      </c>
      <c r="AJ1240" s="72">
        <v>0</v>
      </c>
      <c r="AK1240" s="72"/>
      <c r="AL1240" s="72"/>
      <c r="AM1240" s="72"/>
    </row>
    <row r="1241" spans="1:39" x14ac:dyDescent="0.25">
      <c r="A1241" s="37" t="s">
        <v>62</v>
      </c>
      <c r="B1241" s="66" t="s">
        <v>1615</v>
      </c>
      <c r="C1241" s="47">
        <v>1009</v>
      </c>
      <c r="D1241" s="47" t="s">
        <v>249</v>
      </c>
      <c r="E1241" s="41">
        <v>10090041</v>
      </c>
      <c r="F1241" s="46" t="s">
        <v>272</v>
      </c>
      <c r="G1241" s="39" t="s">
        <v>635</v>
      </c>
      <c r="H1241" s="48" t="s">
        <v>99</v>
      </c>
      <c r="I1241" s="52">
        <v>280.70000000000005</v>
      </c>
      <c r="J1241" s="49">
        <v>8756.6400000000012</v>
      </c>
      <c r="K1241" s="65">
        <v>0</v>
      </c>
      <c r="L1241" s="65">
        <v>0</v>
      </c>
      <c r="M1241" s="65">
        <v>0</v>
      </c>
      <c r="N1241" s="65">
        <v>0</v>
      </c>
      <c r="O1241" s="65">
        <v>0</v>
      </c>
      <c r="P1241" s="65">
        <v>0</v>
      </c>
      <c r="Q1241" s="50">
        <v>8756.6400000000012</v>
      </c>
      <c r="R1241" s="65">
        <v>0</v>
      </c>
      <c r="S1241" s="65">
        <v>0</v>
      </c>
      <c r="T1241" s="65">
        <v>0</v>
      </c>
      <c r="U1241" s="65">
        <v>0</v>
      </c>
      <c r="V1241" s="65">
        <v>0</v>
      </c>
      <c r="W1241" s="65">
        <v>0</v>
      </c>
      <c r="X1241" s="65">
        <v>0</v>
      </c>
      <c r="Y1241" s="65">
        <v>0</v>
      </c>
      <c r="Z1241" s="65">
        <v>8756.6400000000012</v>
      </c>
      <c r="AA1241" s="51">
        <v>0</v>
      </c>
      <c r="AB1241" s="102">
        <v>0</v>
      </c>
      <c r="AC1241" s="81">
        <f t="shared" si="60"/>
        <v>261.60734962593511</v>
      </c>
      <c r="AD1241" s="82">
        <f t="shared" si="61"/>
        <v>40.100000000000009</v>
      </c>
      <c r="AE1241" s="218">
        <v>0</v>
      </c>
      <c r="AF1241">
        <v>0</v>
      </c>
      <c r="AH1241" t="str">
        <f t="shared" si="59"/>
        <v>Halsi</v>
      </c>
      <c r="AJ1241" s="72">
        <v>0</v>
      </c>
      <c r="AK1241" s="72"/>
      <c r="AL1241" s="72"/>
      <c r="AM1241" s="72"/>
    </row>
    <row r="1242" spans="1:39" x14ac:dyDescent="0.25">
      <c r="A1242" s="37" t="s">
        <v>62</v>
      </c>
      <c r="B1242" s="66" t="s">
        <v>1615</v>
      </c>
      <c r="C1242" s="47">
        <v>1009</v>
      </c>
      <c r="D1242" s="47" t="s">
        <v>249</v>
      </c>
      <c r="E1242" s="41">
        <v>10090042</v>
      </c>
      <c r="F1242" s="46" t="s">
        <v>273</v>
      </c>
      <c r="G1242" s="39" t="s">
        <v>93</v>
      </c>
      <c r="H1242" s="48" t="s">
        <v>94</v>
      </c>
      <c r="I1242" s="52">
        <v>532.29999999999995</v>
      </c>
      <c r="J1242" s="49">
        <v>21305.420000000002</v>
      </c>
      <c r="K1242" s="65">
        <v>542.06999999999994</v>
      </c>
      <c r="L1242" s="65">
        <v>20865.346170519155</v>
      </c>
      <c r="M1242" s="65">
        <v>1.3399999999999999</v>
      </c>
      <c r="N1242" s="65">
        <v>50.771895272999998</v>
      </c>
      <c r="O1242" s="65">
        <v>543.41</v>
      </c>
      <c r="P1242" s="65">
        <v>20916.118065792154</v>
      </c>
      <c r="Q1242" s="50">
        <v>20916.118065792154</v>
      </c>
      <c r="R1242" s="65">
        <v>0</v>
      </c>
      <c r="S1242" s="65">
        <v>50.771895272999998</v>
      </c>
      <c r="T1242" s="65">
        <v>0</v>
      </c>
      <c r="U1242" s="65">
        <v>0</v>
      </c>
      <c r="V1242" s="65">
        <v>0</v>
      </c>
      <c r="W1242" s="65">
        <v>0</v>
      </c>
      <c r="X1242" s="65">
        <v>20865</v>
      </c>
      <c r="Y1242" s="65">
        <v>0</v>
      </c>
      <c r="Z1242" s="65">
        <v>0</v>
      </c>
      <c r="AA1242" s="51">
        <v>390</v>
      </c>
      <c r="AB1242" s="102">
        <v>0</v>
      </c>
      <c r="AC1242" s="81">
        <f t="shared" si="60"/>
        <v>134.24455885778707</v>
      </c>
      <c r="AD1242" s="82">
        <f t="shared" si="61"/>
        <v>76.04285714285713</v>
      </c>
      <c r="AE1242" s="218">
        <v>1.827243650713517E-2</v>
      </c>
      <c r="AF1242">
        <v>5</v>
      </c>
      <c r="AH1242" t="str">
        <f t="shared" si="59"/>
        <v>Halsi</v>
      </c>
      <c r="AJ1242" s="72">
        <v>0</v>
      </c>
      <c r="AK1242" s="72"/>
      <c r="AL1242" s="72"/>
      <c r="AM1242" s="72"/>
    </row>
    <row r="1243" spans="1:39" x14ac:dyDescent="0.25">
      <c r="A1243" s="37" t="s">
        <v>62</v>
      </c>
      <c r="B1243" s="66" t="s">
        <v>1615</v>
      </c>
      <c r="C1243" s="47">
        <v>1009</v>
      </c>
      <c r="D1243" s="47" t="s">
        <v>249</v>
      </c>
      <c r="E1243" s="41">
        <v>10090045</v>
      </c>
      <c r="F1243" s="46" t="s">
        <v>1313</v>
      </c>
      <c r="G1243" s="39" t="s">
        <v>93</v>
      </c>
      <c r="H1243" s="48" t="s">
        <v>94</v>
      </c>
      <c r="I1243" s="52">
        <v>823.40000000000009</v>
      </c>
      <c r="J1243" s="49">
        <v>34107.949999999997</v>
      </c>
      <c r="K1243" s="65">
        <v>884.30000000000007</v>
      </c>
      <c r="L1243" s="65">
        <v>37171.000936080003</v>
      </c>
      <c r="M1243" s="65">
        <v>0</v>
      </c>
      <c r="N1243" s="65">
        <v>0</v>
      </c>
      <c r="O1243" s="65">
        <v>884.30000000000007</v>
      </c>
      <c r="P1243" s="65">
        <v>37171.000936080003</v>
      </c>
      <c r="Q1243" s="50">
        <v>34107.949999999997</v>
      </c>
      <c r="R1243" s="65">
        <v>0</v>
      </c>
      <c r="S1243" s="65">
        <v>0</v>
      </c>
      <c r="T1243" s="65">
        <v>3063.0509360800061</v>
      </c>
      <c r="U1243" s="65">
        <v>0</v>
      </c>
      <c r="V1243" s="65">
        <v>0</v>
      </c>
      <c r="W1243" s="65">
        <v>0</v>
      </c>
      <c r="X1243" s="65">
        <v>34108</v>
      </c>
      <c r="Y1243" s="65">
        <v>0</v>
      </c>
      <c r="Z1243" s="65">
        <v>0</v>
      </c>
      <c r="AA1243" s="51">
        <v>0</v>
      </c>
      <c r="AB1243" s="102">
        <v>0</v>
      </c>
      <c r="AC1243" s="81">
        <f t="shared" si="60"/>
        <v>0</v>
      </c>
      <c r="AD1243" s="82">
        <f t="shared" si="61"/>
        <v>0</v>
      </c>
      <c r="AE1243" s="218">
        <v>-8.9804603797062163E-2</v>
      </c>
      <c r="AF1243">
        <v>3</v>
      </c>
      <c r="AH1243" t="str">
        <f t="shared" si="59"/>
        <v>Halsi</v>
      </c>
      <c r="AJ1243" s="72">
        <v>0</v>
      </c>
      <c r="AK1243" s="72"/>
      <c r="AL1243" s="72"/>
      <c r="AM1243" s="72"/>
    </row>
    <row r="1244" spans="1:39" x14ac:dyDescent="0.25">
      <c r="A1244" s="37" t="s">
        <v>62</v>
      </c>
      <c r="B1244" s="66" t="s">
        <v>1615</v>
      </c>
      <c r="C1244" s="47">
        <v>1009</v>
      </c>
      <c r="D1244" s="47" t="s">
        <v>249</v>
      </c>
      <c r="E1244" s="41">
        <v>10090046</v>
      </c>
      <c r="F1244" s="46" t="s">
        <v>275</v>
      </c>
      <c r="G1244" s="39" t="s">
        <v>93</v>
      </c>
      <c r="H1244" s="48" t="s">
        <v>94</v>
      </c>
      <c r="I1244" s="52">
        <v>485.9</v>
      </c>
      <c r="J1244" s="49">
        <v>19693.199999999997</v>
      </c>
      <c r="K1244" s="65">
        <v>492.46</v>
      </c>
      <c r="L1244" s="65">
        <v>19533.011433911244</v>
      </c>
      <c r="M1244" s="65">
        <v>0</v>
      </c>
      <c r="N1244" s="65">
        <v>0</v>
      </c>
      <c r="O1244" s="65">
        <v>492.46</v>
      </c>
      <c r="P1244" s="65">
        <v>19533.011433911244</v>
      </c>
      <c r="Q1244" s="50">
        <v>19533.011433911244</v>
      </c>
      <c r="R1244" s="65">
        <v>0</v>
      </c>
      <c r="S1244" s="65">
        <v>0</v>
      </c>
      <c r="T1244" s="65">
        <v>0</v>
      </c>
      <c r="U1244" s="65">
        <v>0</v>
      </c>
      <c r="V1244" s="65">
        <v>0</v>
      </c>
      <c r="W1244" s="65">
        <v>0</v>
      </c>
      <c r="X1244" s="65">
        <v>19533</v>
      </c>
      <c r="Y1244" s="65">
        <v>0</v>
      </c>
      <c r="Z1244" s="65">
        <v>0</v>
      </c>
      <c r="AA1244" s="51">
        <v>160</v>
      </c>
      <c r="AB1244" s="102">
        <v>0</v>
      </c>
      <c r="AC1244" s="81">
        <f t="shared" si="60"/>
        <v>173.54657830829387</v>
      </c>
      <c r="AD1244" s="82">
        <f t="shared" si="61"/>
        <v>69.414285714285711</v>
      </c>
      <c r="AE1244" s="218">
        <v>8.1342070404379612E-3</v>
      </c>
      <c r="AF1244">
        <v>5</v>
      </c>
      <c r="AH1244" t="str">
        <f t="shared" si="59"/>
        <v>Halsi</v>
      </c>
      <c r="AJ1244" s="72">
        <v>0</v>
      </c>
      <c r="AK1244" s="72"/>
      <c r="AL1244" s="72"/>
      <c r="AM1244" s="72"/>
    </row>
    <row r="1245" spans="1:39" x14ac:dyDescent="0.25">
      <c r="A1245" s="37" t="s">
        <v>62</v>
      </c>
      <c r="B1245" s="66" t="s">
        <v>1615</v>
      </c>
      <c r="C1245" s="47">
        <v>1009</v>
      </c>
      <c r="D1245" s="47" t="s">
        <v>249</v>
      </c>
      <c r="E1245" s="43">
        <v>10090047</v>
      </c>
      <c r="F1245" s="46" t="s">
        <v>276</v>
      </c>
      <c r="G1245" s="39" t="s">
        <v>93</v>
      </c>
      <c r="H1245" s="48" t="s">
        <v>94</v>
      </c>
      <c r="I1245" s="52">
        <v>391.49999999999994</v>
      </c>
      <c r="J1245" s="49">
        <v>17379.600000000002</v>
      </c>
      <c r="K1245" s="65">
        <v>377.00000000000006</v>
      </c>
      <c r="L1245" s="65">
        <v>17017.350140235452</v>
      </c>
      <c r="M1245" s="65">
        <v>5.7200000000000006</v>
      </c>
      <c r="N1245" s="65">
        <v>246.79751935960002</v>
      </c>
      <c r="O1245" s="65">
        <v>382.72000000000008</v>
      </c>
      <c r="P1245" s="65">
        <v>17264.147659595052</v>
      </c>
      <c r="Q1245" s="50">
        <v>17264.147659595052</v>
      </c>
      <c r="R1245" s="65">
        <v>0</v>
      </c>
      <c r="S1245" s="65">
        <v>246.79751935960002</v>
      </c>
      <c r="T1245" s="65">
        <v>0</v>
      </c>
      <c r="U1245" s="65">
        <v>0</v>
      </c>
      <c r="V1245" s="65">
        <v>0</v>
      </c>
      <c r="W1245" s="65">
        <v>0</v>
      </c>
      <c r="X1245" s="65">
        <v>17017</v>
      </c>
      <c r="Y1245" s="65">
        <v>0</v>
      </c>
      <c r="Z1245" s="65">
        <v>0</v>
      </c>
      <c r="AA1245" s="51">
        <v>116</v>
      </c>
      <c r="AB1245" s="102">
        <v>0</v>
      </c>
      <c r="AC1245" s="81">
        <f t="shared" si="60"/>
        <v>273.90072030651356</v>
      </c>
      <c r="AD1245" s="82">
        <f t="shared" si="61"/>
        <v>55.928571428571423</v>
      </c>
      <c r="AE1245" s="218">
        <v>6.6429802990258984E-3</v>
      </c>
      <c r="AF1245">
        <v>14</v>
      </c>
      <c r="AH1245" t="str">
        <f t="shared" si="59"/>
        <v>Halsi</v>
      </c>
      <c r="AJ1245" s="72">
        <v>0</v>
      </c>
      <c r="AK1245" s="72"/>
      <c r="AL1245" s="72"/>
      <c r="AM1245" s="72"/>
    </row>
    <row r="1246" spans="1:39" x14ac:dyDescent="0.25">
      <c r="A1246" s="37" t="s">
        <v>62</v>
      </c>
      <c r="B1246" s="66" t="s">
        <v>1615</v>
      </c>
      <c r="C1246" s="47">
        <v>1009</v>
      </c>
      <c r="D1246" s="47" t="s">
        <v>249</v>
      </c>
      <c r="E1246" s="41">
        <v>10090049</v>
      </c>
      <c r="F1246" s="46" t="s">
        <v>277</v>
      </c>
      <c r="G1246" s="39" t="s">
        <v>93</v>
      </c>
      <c r="H1246" s="48" t="s">
        <v>94</v>
      </c>
      <c r="I1246" s="52">
        <v>686.40000000000009</v>
      </c>
      <c r="J1246" s="49">
        <v>32450.25</v>
      </c>
      <c r="K1246" s="65">
        <v>686.66000000000008</v>
      </c>
      <c r="L1246" s="65">
        <v>36515.021828083394</v>
      </c>
      <c r="M1246" s="65">
        <v>5.6400000000000015</v>
      </c>
      <c r="N1246" s="65">
        <v>293.68855875970002</v>
      </c>
      <c r="O1246" s="65">
        <v>692.30000000000007</v>
      </c>
      <c r="P1246" s="65">
        <v>36808.710386843093</v>
      </c>
      <c r="Q1246" s="50">
        <v>32450.25</v>
      </c>
      <c r="R1246" s="65">
        <v>0</v>
      </c>
      <c r="S1246" s="65">
        <v>293.68855875970002</v>
      </c>
      <c r="T1246" s="65">
        <v>4358.4603868430931</v>
      </c>
      <c r="U1246" s="65">
        <v>0</v>
      </c>
      <c r="V1246" s="65">
        <v>0</v>
      </c>
      <c r="W1246" s="65">
        <v>0</v>
      </c>
      <c r="X1246" s="65">
        <v>32157</v>
      </c>
      <c r="Y1246" s="65">
        <v>0</v>
      </c>
      <c r="Z1246" s="65">
        <v>0</v>
      </c>
      <c r="AA1246" s="51">
        <v>0</v>
      </c>
      <c r="AB1246" s="102">
        <v>0</v>
      </c>
      <c r="AC1246" s="81">
        <f t="shared" si="60"/>
        <v>12.85907342657338</v>
      </c>
      <c r="AD1246" s="82">
        <f t="shared" si="61"/>
        <v>98.057142857142864</v>
      </c>
      <c r="AE1246" s="218">
        <v>-0.13431207423188091</v>
      </c>
      <c r="AF1246">
        <v>11</v>
      </c>
      <c r="AH1246" t="str">
        <f t="shared" si="59"/>
        <v>Halsi</v>
      </c>
      <c r="AJ1246" s="72">
        <v>0</v>
      </c>
      <c r="AK1246" s="72"/>
      <c r="AL1246" s="72"/>
      <c r="AM1246" s="72"/>
    </row>
    <row r="1247" spans="1:39" x14ac:dyDescent="0.25">
      <c r="A1247" s="37" t="s">
        <v>62</v>
      </c>
      <c r="B1247" s="66" t="s">
        <v>1615</v>
      </c>
      <c r="C1247" s="47">
        <v>1009</v>
      </c>
      <c r="D1247" s="47" t="s">
        <v>249</v>
      </c>
      <c r="E1247" s="41">
        <v>10090052</v>
      </c>
      <c r="F1247" s="46" t="s">
        <v>278</v>
      </c>
      <c r="G1247" s="39" t="s">
        <v>93</v>
      </c>
      <c r="H1247" s="48" t="s">
        <v>94</v>
      </c>
      <c r="I1247" s="52">
        <v>456.00000000000006</v>
      </c>
      <c r="J1247" s="49">
        <v>17252.989999999998</v>
      </c>
      <c r="K1247" s="65">
        <v>516.81000000000006</v>
      </c>
      <c r="L1247" s="65">
        <v>19645.297589114947</v>
      </c>
      <c r="M1247" s="65">
        <v>1.94</v>
      </c>
      <c r="N1247" s="65">
        <v>76.037882972480006</v>
      </c>
      <c r="O1247" s="65">
        <v>518.75000000000011</v>
      </c>
      <c r="P1247" s="65">
        <v>19721.335472087427</v>
      </c>
      <c r="Q1247" s="50">
        <v>17252.989999999998</v>
      </c>
      <c r="R1247" s="65">
        <v>0</v>
      </c>
      <c r="S1247" s="65">
        <v>76.037882972480006</v>
      </c>
      <c r="T1247" s="65">
        <v>2468.3454720874288</v>
      </c>
      <c r="U1247" s="65">
        <v>0</v>
      </c>
      <c r="V1247" s="65">
        <v>0</v>
      </c>
      <c r="W1247" s="65">
        <v>0</v>
      </c>
      <c r="X1247" s="65">
        <v>17177</v>
      </c>
      <c r="Y1247" s="65">
        <v>0</v>
      </c>
      <c r="Z1247" s="65">
        <v>0</v>
      </c>
      <c r="AA1247" s="51">
        <v>0</v>
      </c>
      <c r="AB1247" s="102">
        <v>0</v>
      </c>
      <c r="AC1247" s="81">
        <f t="shared" si="60"/>
        <v>184.63726140350869</v>
      </c>
      <c r="AD1247" s="82">
        <f t="shared" si="61"/>
        <v>65.142857142857153</v>
      </c>
      <c r="AE1247" s="218">
        <v>-0.14306769273542899</v>
      </c>
      <c r="AF1247">
        <v>5</v>
      </c>
      <c r="AH1247" t="str">
        <f t="shared" si="59"/>
        <v>Halsi</v>
      </c>
      <c r="AJ1247" s="72">
        <v>0</v>
      </c>
      <c r="AK1247" s="72"/>
      <c r="AL1247" s="72"/>
      <c r="AM1247" s="72"/>
    </row>
    <row r="1248" spans="1:39" x14ac:dyDescent="0.25">
      <c r="A1248" s="37" t="s">
        <v>62</v>
      </c>
      <c r="B1248" s="66" t="s">
        <v>1615</v>
      </c>
      <c r="C1248" s="47">
        <v>1009</v>
      </c>
      <c r="D1248" s="47" t="s">
        <v>249</v>
      </c>
      <c r="E1248" s="41">
        <v>10090055</v>
      </c>
      <c r="F1248" s="46" t="s">
        <v>464</v>
      </c>
      <c r="G1248" s="39" t="s">
        <v>635</v>
      </c>
      <c r="H1248" s="48" t="s">
        <v>99</v>
      </c>
      <c r="I1248" s="52">
        <v>228.29999999999998</v>
      </c>
      <c r="J1248" s="49">
        <v>8759.0199999999986</v>
      </c>
      <c r="K1248" s="65">
        <v>0</v>
      </c>
      <c r="L1248" s="65">
        <v>0</v>
      </c>
      <c r="M1248" s="65">
        <v>0</v>
      </c>
      <c r="N1248" s="65">
        <v>0</v>
      </c>
      <c r="O1248" s="65">
        <v>0</v>
      </c>
      <c r="P1248" s="65">
        <v>0</v>
      </c>
      <c r="Q1248" s="50">
        <v>8759.0199999999986</v>
      </c>
      <c r="R1248" s="65">
        <v>0</v>
      </c>
      <c r="S1248" s="65">
        <v>0</v>
      </c>
      <c r="T1248" s="65">
        <v>0</v>
      </c>
      <c r="U1248" s="65">
        <v>0</v>
      </c>
      <c r="V1248" s="65">
        <v>0</v>
      </c>
      <c r="W1248" s="65">
        <v>0</v>
      </c>
      <c r="X1248" s="65">
        <v>0</v>
      </c>
      <c r="Y1248" s="65">
        <v>0</v>
      </c>
      <c r="Z1248" s="65">
        <v>8759.0199999999986</v>
      </c>
      <c r="AA1248" s="51">
        <v>0</v>
      </c>
      <c r="AB1248" s="102">
        <v>0</v>
      </c>
      <c r="AC1248" s="81">
        <f t="shared" si="60"/>
        <v>361.94741427945678</v>
      </c>
      <c r="AD1248" s="82">
        <f t="shared" si="61"/>
        <v>32.614285714285714</v>
      </c>
      <c r="AE1248" s="218">
        <v>0</v>
      </c>
      <c r="AF1248">
        <v>0</v>
      </c>
      <c r="AH1248" t="str">
        <f t="shared" si="59"/>
        <v>Halsi</v>
      </c>
      <c r="AJ1248" s="72">
        <v>0</v>
      </c>
      <c r="AK1248" s="72"/>
      <c r="AL1248" s="72"/>
      <c r="AM1248" s="72"/>
    </row>
    <row r="1249" spans="1:39" x14ac:dyDescent="0.25">
      <c r="A1249" s="37" t="s">
        <v>62</v>
      </c>
      <c r="B1249" s="66" t="s">
        <v>1615</v>
      </c>
      <c r="C1249" s="47">
        <v>1009</v>
      </c>
      <c r="D1249" s="47" t="s">
        <v>249</v>
      </c>
      <c r="E1249" s="41">
        <v>10090056</v>
      </c>
      <c r="F1249" s="46" t="s">
        <v>476</v>
      </c>
      <c r="G1249" s="39" t="s">
        <v>93</v>
      </c>
      <c r="H1249" s="48" t="s">
        <v>94</v>
      </c>
      <c r="I1249" s="52">
        <v>595.6</v>
      </c>
      <c r="J1249" s="49">
        <v>23494.739999999998</v>
      </c>
      <c r="K1249" s="65">
        <v>635.78</v>
      </c>
      <c r="L1249" s="65">
        <v>25139.06615283473</v>
      </c>
      <c r="M1249" s="65">
        <v>1.3999999999999997</v>
      </c>
      <c r="N1249" s="65">
        <v>56.449990122360006</v>
      </c>
      <c r="O1249" s="65">
        <v>637.17999999999995</v>
      </c>
      <c r="P1249" s="65">
        <v>25195.516142957091</v>
      </c>
      <c r="Q1249" s="50">
        <v>23494.739999999998</v>
      </c>
      <c r="R1249" s="65">
        <v>0</v>
      </c>
      <c r="S1249" s="65">
        <v>56.449990122360006</v>
      </c>
      <c r="T1249" s="65">
        <v>1700.7761429570928</v>
      </c>
      <c r="U1249" s="65">
        <v>0</v>
      </c>
      <c r="V1249" s="65">
        <v>0</v>
      </c>
      <c r="W1249" s="65">
        <v>0</v>
      </c>
      <c r="X1249" s="65">
        <v>23438</v>
      </c>
      <c r="Y1249" s="65">
        <v>0</v>
      </c>
      <c r="Z1249" s="65">
        <v>0</v>
      </c>
      <c r="AA1249" s="51">
        <v>0</v>
      </c>
      <c r="AB1249" s="102">
        <v>0</v>
      </c>
      <c r="AC1249" s="81">
        <f t="shared" si="60"/>
        <v>82.365710409670882</v>
      </c>
      <c r="AD1249" s="82">
        <f t="shared" si="61"/>
        <v>85.085714285714289</v>
      </c>
      <c r="AE1249" s="218">
        <v>-7.2389655853058732E-2</v>
      </c>
      <c r="AF1249">
        <v>4</v>
      </c>
      <c r="AH1249" t="str">
        <f t="shared" si="59"/>
        <v>Halsi</v>
      </c>
      <c r="AJ1249" s="72">
        <v>0</v>
      </c>
      <c r="AK1249" s="72"/>
      <c r="AL1249" s="72"/>
      <c r="AM1249" s="72"/>
    </row>
    <row r="1250" spans="1:39" x14ac:dyDescent="0.25">
      <c r="A1250" s="37" t="s">
        <v>62</v>
      </c>
      <c r="B1250" s="66" t="s">
        <v>1615</v>
      </c>
      <c r="C1250" s="47">
        <v>1009</v>
      </c>
      <c r="D1250" s="47" t="s">
        <v>249</v>
      </c>
      <c r="E1250" s="41">
        <v>10090058</v>
      </c>
      <c r="F1250" s="46" t="s">
        <v>526</v>
      </c>
      <c r="G1250" s="39" t="s">
        <v>93</v>
      </c>
      <c r="H1250" s="48" t="s">
        <v>94</v>
      </c>
      <c r="I1250" s="52">
        <v>674.1</v>
      </c>
      <c r="J1250" s="49">
        <v>28563.79</v>
      </c>
      <c r="K1250" s="65">
        <v>674.80000000000007</v>
      </c>
      <c r="L1250" s="65">
        <v>30726.940421026353</v>
      </c>
      <c r="M1250" s="65">
        <v>0</v>
      </c>
      <c r="N1250" s="65">
        <v>0</v>
      </c>
      <c r="O1250" s="65">
        <v>674.80000000000007</v>
      </c>
      <c r="P1250" s="65">
        <v>30726.940421026353</v>
      </c>
      <c r="Q1250" s="50">
        <v>28563.79</v>
      </c>
      <c r="R1250" s="65">
        <v>0</v>
      </c>
      <c r="S1250" s="65">
        <v>0</v>
      </c>
      <c r="T1250" s="65">
        <v>2163.150421026352</v>
      </c>
      <c r="U1250" s="65">
        <v>0</v>
      </c>
      <c r="V1250" s="65">
        <v>0</v>
      </c>
      <c r="W1250" s="65">
        <v>0</v>
      </c>
      <c r="X1250" s="65">
        <v>28564</v>
      </c>
      <c r="Y1250" s="65">
        <v>0</v>
      </c>
      <c r="Z1250" s="65">
        <v>0</v>
      </c>
      <c r="AA1250" s="51">
        <v>0</v>
      </c>
      <c r="AB1250" s="102">
        <v>0</v>
      </c>
      <c r="AC1250" s="81">
        <f t="shared" si="60"/>
        <v>21.949329802699914</v>
      </c>
      <c r="AD1250" s="82">
        <f t="shared" si="61"/>
        <v>96.3</v>
      </c>
      <c r="AE1250" s="218">
        <v>-7.5730511288115199E-2</v>
      </c>
      <c r="AF1250">
        <v>2</v>
      </c>
      <c r="AH1250" t="str">
        <f t="shared" si="59"/>
        <v>Halsi</v>
      </c>
      <c r="AJ1250" s="72">
        <v>0</v>
      </c>
      <c r="AK1250" s="72"/>
      <c r="AL1250" s="72"/>
      <c r="AM1250" s="72"/>
    </row>
    <row r="1251" spans="1:39" x14ac:dyDescent="0.25">
      <c r="A1251" s="37" t="s">
        <v>62</v>
      </c>
      <c r="B1251" s="66" t="s">
        <v>1615</v>
      </c>
      <c r="C1251" s="47">
        <v>1009</v>
      </c>
      <c r="D1251" s="47" t="s">
        <v>249</v>
      </c>
      <c r="E1251" s="41">
        <v>10090059</v>
      </c>
      <c r="F1251" s="46" t="s">
        <v>1228</v>
      </c>
      <c r="G1251" s="39" t="s">
        <v>93</v>
      </c>
      <c r="H1251" s="48" t="s">
        <v>94</v>
      </c>
      <c r="I1251" s="52">
        <v>782.19999999999993</v>
      </c>
      <c r="J1251" s="49">
        <v>31325.009999999995</v>
      </c>
      <c r="K1251" s="65">
        <v>967.23</v>
      </c>
      <c r="L1251" s="65">
        <v>52928.889972615005</v>
      </c>
      <c r="M1251" s="65">
        <v>0</v>
      </c>
      <c r="N1251" s="65">
        <v>0</v>
      </c>
      <c r="O1251" s="65">
        <v>967.23</v>
      </c>
      <c r="P1251" s="65">
        <v>52928.889972615005</v>
      </c>
      <c r="Q1251" s="50">
        <v>31325.009999999995</v>
      </c>
      <c r="R1251" s="65">
        <v>0</v>
      </c>
      <c r="S1251" s="65">
        <v>0</v>
      </c>
      <c r="T1251" s="65">
        <v>21603.87997261501</v>
      </c>
      <c r="U1251" s="65">
        <v>0</v>
      </c>
      <c r="V1251" s="65">
        <v>0</v>
      </c>
      <c r="W1251" s="65">
        <v>0</v>
      </c>
      <c r="X1251" s="65">
        <v>31325</v>
      </c>
      <c r="Y1251" s="65">
        <v>0</v>
      </c>
      <c r="Z1251" s="65">
        <v>0</v>
      </c>
      <c r="AA1251" s="51">
        <v>0</v>
      </c>
      <c r="AB1251" s="102">
        <v>0</v>
      </c>
      <c r="AC1251" s="81">
        <f t="shared" si="60"/>
        <v>0</v>
      </c>
      <c r="AD1251" s="82">
        <f t="shared" si="61"/>
        <v>0</v>
      </c>
      <c r="AE1251" s="218">
        <v>-0.68966873346935931</v>
      </c>
      <c r="AF1251">
        <v>2</v>
      </c>
      <c r="AH1251" t="str">
        <f t="shared" si="59"/>
        <v>Halsi</v>
      </c>
      <c r="AJ1251" s="72">
        <v>0</v>
      </c>
      <c r="AK1251" s="72"/>
      <c r="AL1251" s="72"/>
      <c r="AM1251" s="72"/>
    </row>
    <row r="1252" spans="1:39" x14ac:dyDescent="0.25">
      <c r="A1252" s="37" t="s">
        <v>62</v>
      </c>
      <c r="B1252" s="66" t="s">
        <v>1615</v>
      </c>
      <c r="C1252" s="47">
        <v>1009</v>
      </c>
      <c r="D1252" s="47" t="s">
        <v>249</v>
      </c>
      <c r="E1252" s="41">
        <v>10090060</v>
      </c>
      <c r="F1252" s="46" t="s">
        <v>537</v>
      </c>
      <c r="G1252" s="39" t="s">
        <v>93</v>
      </c>
      <c r="H1252" s="48" t="s">
        <v>94</v>
      </c>
      <c r="I1252" s="52">
        <v>202.2</v>
      </c>
      <c r="J1252" s="49">
        <v>8251.3199999999979</v>
      </c>
      <c r="K1252" s="65">
        <v>211.7</v>
      </c>
      <c r="L1252" s="65">
        <v>8621.7139883160016</v>
      </c>
      <c r="M1252" s="65">
        <v>0</v>
      </c>
      <c r="N1252" s="65">
        <v>0</v>
      </c>
      <c r="O1252" s="65">
        <v>211.7</v>
      </c>
      <c r="P1252" s="65">
        <v>8621.7139883160016</v>
      </c>
      <c r="Q1252" s="50">
        <v>8251.3199999999979</v>
      </c>
      <c r="R1252" s="65">
        <v>0</v>
      </c>
      <c r="S1252" s="65">
        <v>0</v>
      </c>
      <c r="T1252" s="65">
        <v>370.39398831600374</v>
      </c>
      <c r="U1252" s="65">
        <v>0</v>
      </c>
      <c r="V1252" s="65">
        <v>0</v>
      </c>
      <c r="W1252" s="65">
        <v>0</v>
      </c>
      <c r="X1252" s="65">
        <v>8251</v>
      </c>
      <c r="Y1252" s="65">
        <v>0</v>
      </c>
      <c r="Z1252" s="65">
        <v>0</v>
      </c>
      <c r="AA1252" s="51">
        <v>0</v>
      </c>
      <c r="AB1252" s="102">
        <v>0</v>
      </c>
      <c r="AC1252" s="81">
        <f t="shared" si="60"/>
        <v>406.28161186943612</v>
      </c>
      <c r="AD1252" s="82">
        <f t="shared" si="61"/>
        <v>28.885714285714283</v>
      </c>
      <c r="AE1252" s="218">
        <v>-4.4889058758599089E-2</v>
      </c>
      <c r="AF1252">
        <v>1</v>
      </c>
      <c r="AH1252" t="str">
        <f t="shared" si="59"/>
        <v>Halsi</v>
      </c>
      <c r="AJ1252" s="72">
        <v>0</v>
      </c>
      <c r="AK1252" s="72"/>
      <c r="AL1252" s="72"/>
      <c r="AM1252" s="72"/>
    </row>
    <row r="1253" spans="1:39" x14ac:dyDescent="0.25">
      <c r="A1253" s="37" t="s">
        <v>62</v>
      </c>
      <c r="B1253" s="66" t="s">
        <v>1615</v>
      </c>
      <c r="C1253" s="47">
        <v>1009</v>
      </c>
      <c r="D1253" s="47" t="s">
        <v>249</v>
      </c>
      <c r="E1253" s="41">
        <v>10090061</v>
      </c>
      <c r="F1253" s="46" t="s">
        <v>564</v>
      </c>
      <c r="G1253" s="39" t="s">
        <v>93</v>
      </c>
      <c r="H1253" s="48" t="s">
        <v>94</v>
      </c>
      <c r="I1253" s="52">
        <v>180.90000000000003</v>
      </c>
      <c r="J1253" s="49">
        <v>7845.23</v>
      </c>
      <c r="K1253" s="65">
        <v>184.39999999999998</v>
      </c>
      <c r="L1253" s="65">
        <v>7977.1798893599989</v>
      </c>
      <c r="M1253" s="65">
        <v>0</v>
      </c>
      <c r="N1253" s="65">
        <v>0</v>
      </c>
      <c r="O1253" s="65">
        <v>184.39999999999998</v>
      </c>
      <c r="P1253" s="65">
        <v>7977.1798893599989</v>
      </c>
      <c r="Q1253" s="50">
        <v>7845.23</v>
      </c>
      <c r="R1253" s="65">
        <v>0</v>
      </c>
      <c r="S1253" s="65">
        <v>0</v>
      </c>
      <c r="T1253" s="65">
        <v>131.94988935999936</v>
      </c>
      <c r="U1253" s="65">
        <v>0</v>
      </c>
      <c r="V1253" s="65">
        <v>0</v>
      </c>
      <c r="W1253" s="65">
        <v>0</v>
      </c>
      <c r="X1253" s="65">
        <v>7845</v>
      </c>
      <c r="Y1253" s="65">
        <v>0</v>
      </c>
      <c r="Z1253" s="65">
        <v>0</v>
      </c>
      <c r="AA1253" s="51">
        <v>0</v>
      </c>
      <c r="AB1253" s="102">
        <v>0</v>
      </c>
      <c r="AC1253" s="81">
        <f t="shared" si="60"/>
        <v>450.24421149806506</v>
      </c>
      <c r="AD1253" s="82">
        <f t="shared" si="61"/>
        <v>25.842857142857149</v>
      </c>
      <c r="AE1253" s="218">
        <v>-1.6819123130870525E-2</v>
      </c>
      <c r="AF1253">
        <v>1</v>
      </c>
      <c r="AH1253" t="str">
        <f t="shared" si="59"/>
        <v>Halsi</v>
      </c>
      <c r="AJ1253" s="72">
        <v>0</v>
      </c>
      <c r="AK1253" s="72"/>
      <c r="AL1253" s="72"/>
      <c r="AM1253" s="72"/>
    </row>
    <row r="1254" spans="1:39" x14ac:dyDescent="0.25">
      <c r="A1254" s="37" t="s">
        <v>62</v>
      </c>
      <c r="B1254" s="66" t="s">
        <v>1615</v>
      </c>
      <c r="C1254" s="47">
        <v>1009</v>
      </c>
      <c r="D1254" s="47" t="s">
        <v>249</v>
      </c>
      <c r="E1254" s="41">
        <v>10090063</v>
      </c>
      <c r="F1254" s="46" t="s">
        <v>588</v>
      </c>
      <c r="G1254" s="39" t="s">
        <v>93</v>
      </c>
      <c r="H1254" s="48" t="s">
        <v>94</v>
      </c>
      <c r="I1254" s="52">
        <v>138.20000000000002</v>
      </c>
      <c r="J1254" s="49">
        <v>5797.0800000000008</v>
      </c>
      <c r="K1254" s="65">
        <v>140.6</v>
      </c>
      <c r="L1254" s="65">
        <v>5891.7017332800015</v>
      </c>
      <c r="M1254" s="65">
        <v>0</v>
      </c>
      <c r="N1254" s="65">
        <v>0</v>
      </c>
      <c r="O1254" s="65">
        <v>140.6</v>
      </c>
      <c r="P1254" s="65">
        <v>5891.7017332800015</v>
      </c>
      <c r="Q1254" s="50">
        <v>5797.0800000000008</v>
      </c>
      <c r="R1254" s="65">
        <v>0</v>
      </c>
      <c r="S1254" s="65">
        <v>0</v>
      </c>
      <c r="T1254" s="65">
        <v>94.621733280000626</v>
      </c>
      <c r="U1254" s="65">
        <v>0</v>
      </c>
      <c r="V1254" s="65">
        <v>158.18328000000002</v>
      </c>
      <c r="W1254" s="65">
        <v>0</v>
      </c>
      <c r="X1254" s="65">
        <v>5639</v>
      </c>
      <c r="Y1254" s="65">
        <v>0</v>
      </c>
      <c r="Z1254" s="65">
        <v>0</v>
      </c>
      <c r="AA1254" s="51">
        <v>0</v>
      </c>
      <c r="AB1254" s="102">
        <v>0</v>
      </c>
      <c r="AC1254" s="81">
        <f t="shared" si="60"/>
        <v>471.31686599131689</v>
      </c>
      <c r="AD1254" s="82">
        <f t="shared" si="61"/>
        <v>19.742857142857144</v>
      </c>
      <c r="AE1254" s="218">
        <v>-1.6322309383344825E-2</v>
      </c>
      <c r="AF1254">
        <v>1</v>
      </c>
      <c r="AH1254" t="str">
        <f t="shared" si="59"/>
        <v>Halsi</v>
      </c>
      <c r="AJ1254" s="72">
        <v>0</v>
      </c>
      <c r="AK1254" s="72"/>
      <c r="AL1254" s="72"/>
      <c r="AM1254" s="72"/>
    </row>
    <row r="1255" spans="1:39" x14ac:dyDescent="0.25">
      <c r="A1255" s="37" t="s">
        <v>62</v>
      </c>
      <c r="B1255" s="66" t="s">
        <v>1615</v>
      </c>
      <c r="C1255" s="47">
        <v>1009</v>
      </c>
      <c r="D1255" s="47" t="s">
        <v>249</v>
      </c>
      <c r="E1255" s="41">
        <v>10090064</v>
      </c>
      <c r="F1255" s="46" t="s">
        <v>589</v>
      </c>
      <c r="G1255" s="39" t="s">
        <v>93</v>
      </c>
      <c r="H1255" s="48" t="s">
        <v>94</v>
      </c>
      <c r="I1255" s="52">
        <v>413.60000000000008</v>
      </c>
      <c r="J1255" s="49">
        <v>16644.219999999998</v>
      </c>
      <c r="K1255" s="65">
        <v>413.70000000000005</v>
      </c>
      <c r="L1255" s="65">
        <v>16745.1785818114</v>
      </c>
      <c r="M1255" s="65">
        <v>0</v>
      </c>
      <c r="N1255" s="65">
        <v>0</v>
      </c>
      <c r="O1255" s="65">
        <v>413.70000000000005</v>
      </c>
      <c r="P1255" s="65">
        <v>16745.1785818114</v>
      </c>
      <c r="Q1255" s="50">
        <v>16644.219999999998</v>
      </c>
      <c r="R1255" s="65">
        <v>0</v>
      </c>
      <c r="S1255" s="65">
        <v>0</v>
      </c>
      <c r="T1255" s="65">
        <v>100.95858181140284</v>
      </c>
      <c r="U1255" s="65">
        <v>0</v>
      </c>
      <c r="V1255" s="65">
        <v>0</v>
      </c>
      <c r="W1255" s="65">
        <v>0</v>
      </c>
      <c r="X1255" s="65">
        <v>16644</v>
      </c>
      <c r="Y1255" s="65">
        <v>0</v>
      </c>
      <c r="Z1255" s="65">
        <v>0</v>
      </c>
      <c r="AA1255" s="51">
        <v>0</v>
      </c>
      <c r="AB1255" s="102">
        <v>0</v>
      </c>
      <c r="AC1255" s="81">
        <f t="shared" si="60"/>
        <v>230.50795976789152</v>
      </c>
      <c r="AD1255" s="82">
        <f t="shared" si="61"/>
        <v>59.085714285714296</v>
      </c>
      <c r="AE1255" s="218">
        <v>-6.0656841721271918E-3</v>
      </c>
      <c r="AF1255">
        <v>1</v>
      </c>
      <c r="AH1255" t="str">
        <f t="shared" ref="AH1255:AH1316" si="62">TEXT(D1255,"0000")</f>
        <v>Halsi</v>
      </c>
      <c r="AJ1255" s="72">
        <v>0</v>
      </c>
      <c r="AK1255" s="72"/>
      <c r="AL1255" s="72"/>
      <c r="AM1255" s="72"/>
    </row>
    <row r="1256" spans="1:39" x14ac:dyDescent="0.25">
      <c r="A1256" s="37" t="s">
        <v>62</v>
      </c>
      <c r="B1256" s="66" t="s">
        <v>1615</v>
      </c>
      <c r="C1256" s="47">
        <v>1009</v>
      </c>
      <c r="D1256" s="47" t="s">
        <v>249</v>
      </c>
      <c r="E1256" s="41">
        <v>10090065</v>
      </c>
      <c r="F1256" s="46" t="s">
        <v>666</v>
      </c>
      <c r="G1256" s="39" t="s">
        <v>93</v>
      </c>
      <c r="H1256" s="48" t="s">
        <v>94</v>
      </c>
      <c r="I1256" s="52">
        <v>384.8</v>
      </c>
      <c r="J1256" s="49">
        <v>14878.420000000002</v>
      </c>
      <c r="K1256" s="65">
        <v>391.72</v>
      </c>
      <c r="L1256" s="65">
        <v>16394.920164266081</v>
      </c>
      <c r="M1256" s="65">
        <v>0</v>
      </c>
      <c r="N1256" s="65">
        <v>0</v>
      </c>
      <c r="O1256" s="65">
        <v>391.72</v>
      </c>
      <c r="P1256" s="65">
        <v>16394.920164266081</v>
      </c>
      <c r="Q1256" s="50">
        <v>14878.420000000002</v>
      </c>
      <c r="R1256" s="65">
        <v>0</v>
      </c>
      <c r="S1256" s="65">
        <v>0</v>
      </c>
      <c r="T1256" s="65">
        <v>1516.5001642660791</v>
      </c>
      <c r="U1256" s="65">
        <v>0</v>
      </c>
      <c r="V1256" s="65">
        <v>0</v>
      </c>
      <c r="W1256" s="65">
        <v>0</v>
      </c>
      <c r="X1256" s="65">
        <v>14878</v>
      </c>
      <c r="Y1256" s="65">
        <v>0</v>
      </c>
      <c r="Z1256" s="65">
        <v>0</v>
      </c>
      <c r="AA1256" s="51">
        <v>0</v>
      </c>
      <c r="AB1256" s="102">
        <v>0</v>
      </c>
      <c r="AC1256" s="81">
        <f t="shared" si="60"/>
        <v>243.74625696465696</v>
      </c>
      <c r="AD1256" s="82">
        <f t="shared" si="61"/>
        <v>54.971428571428575</v>
      </c>
      <c r="AE1256" s="218">
        <v>-0.10192615642427616</v>
      </c>
      <c r="AF1256">
        <v>2</v>
      </c>
      <c r="AH1256" t="str">
        <f t="shared" si="62"/>
        <v>Halsi</v>
      </c>
      <c r="AJ1256" s="72">
        <v>0</v>
      </c>
      <c r="AK1256" s="72"/>
      <c r="AL1256" s="72"/>
      <c r="AM1256" s="72"/>
    </row>
    <row r="1257" spans="1:39" x14ac:dyDescent="0.25">
      <c r="A1257" s="37" t="s">
        <v>62</v>
      </c>
      <c r="B1257" s="66" t="s">
        <v>1615</v>
      </c>
      <c r="C1257" s="47">
        <v>1009</v>
      </c>
      <c r="D1257" s="47" t="s">
        <v>249</v>
      </c>
      <c r="E1257" s="41">
        <v>10090072</v>
      </c>
      <c r="F1257" s="46" t="s">
        <v>1294</v>
      </c>
      <c r="G1257" s="39" t="s">
        <v>93</v>
      </c>
      <c r="H1257" s="48" t="s">
        <v>94</v>
      </c>
      <c r="I1257" s="52">
        <v>389.6</v>
      </c>
      <c r="J1257" s="49">
        <v>14767.279999999999</v>
      </c>
      <c r="K1257" s="65">
        <v>454.46000000000004</v>
      </c>
      <c r="L1257" s="65">
        <v>17088.007898610002</v>
      </c>
      <c r="M1257" s="65">
        <v>0</v>
      </c>
      <c r="N1257" s="65">
        <v>0</v>
      </c>
      <c r="O1257" s="65">
        <v>454.46000000000004</v>
      </c>
      <c r="P1257" s="65">
        <v>17088.007898610002</v>
      </c>
      <c r="Q1257" s="50">
        <v>14767.279999999999</v>
      </c>
      <c r="R1257" s="65">
        <v>0</v>
      </c>
      <c r="S1257" s="65">
        <v>0</v>
      </c>
      <c r="T1257" s="65">
        <v>2320.7278986100027</v>
      </c>
      <c r="U1257" s="65">
        <v>0</v>
      </c>
      <c r="V1257" s="65">
        <v>0</v>
      </c>
      <c r="W1257" s="65">
        <v>0</v>
      </c>
      <c r="X1257" s="65">
        <v>14767</v>
      </c>
      <c r="Y1257" s="65">
        <v>0</v>
      </c>
      <c r="Z1257" s="65">
        <v>0</v>
      </c>
      <c r="AA1257" s="51">
        <v>0</v>
      </c>
      <c r="AB1257" s="102">
        <v>0</v>
      </c>
      <c r="AC1257" s="81">
        <f t="shared" si="60"/>
        <v>235.30614537987677</v>
      </c>
      <c r="AD1257" s="82">
        <f t="shared" si="61"/>
        <v>55.657142857142858</v>
      </c>
      <c r="AE1257" s="218">
        <v>-0.15715337547672983</v>
      </c>
      <c r="AF1257">
        <v>2</v>
      </c>
      <c r="AH1257" t="str">
        <f t="shared" si="62"/>
        <v>Halsi</v>
      </c>
      <c r="AJ1257" s="72">
        <v>0</v>
      </c>
      <c r="AK1257" s="72"/>
      <c r="AL1257" s="72"/>
      <c r="AM1257" s="72"/>
    </row>
    <row r="1258" spans="1:39" x14ac:dyDescent="0.25">
      <c r="A1258" s="37" t="s">
        <v>62</v>
      </c>
      <c r="B1258" s="66" t="s">
        <v>1615</v>
      </c>
      <c r="C1258" s="47">
        <v>1009</v>
      </c>
      <c r="D1258" s="47" t="s">
        <v>249</v>
      </c>
      <c r="E1258" s="41">
        <v>10090074</v>
      </c>
      <c r="F1258" s="46" t="s">
        <v>1314</v>
      </c>
      <c r="G1258" s="39" t="s">
        <v>93</v>
      </c>
      <c r="H1258" s="48" t="s">
        <v>94</v>
      </c>
      <c r="I1258" s="52">
        <v>504.7</v>
      </c>
      <c r="J1258" s="49">
        <v>20004.77</v>
      </c>
      <c r="K1258" s="65">
        <v>547.76</v>
      </c>
      <c r="L1258" s="65">
        <v>21886.646410350273</v>
      </c>
      <c r="M1258" s="65">
        <v>0</v>
      </c>
      <c r="N1258" s="65">
        <v>0</v>
      </c>
      <c r="O1258" s="65">
        <v>547.76</v>
      </c>
      <c r="P1258" s="65">
        <v>21886.646410350273</v>
      </c>
      <c r="Q1258" s="50">
        <v>20004.77</v>
      </c>
      <c r="R1258" s="65">
        <v>0</v>
      </c>
      <c r="S1258" s="65">
        <v>0</v>
      </c>
      <c r="T1258" s="65">
        <v>1881.8764103502726</v>
      </c>
      <c r="U1258" s="65">
        <v>0</v>
      </c>
      <c r="V1258" s="65">
        <v>0</v>
      </c>
      <c r="W1258" s="65">
        <v>0</v>
      </c>
      <c r="X1258" s="65">
        <v>20005</v>
      </c>
      <c r="Y1258" s="65">
        <v>0</v>
      </c>
      <c r="Z1258" s="65">
        <v>0</v>
      </c>
      <c r="AA1258" s="51">
        <v>0</v>
      </c>
      <c r="AB1258" s="102">
        <v>0</v>
      </c>
      <c r="AC1258" s="81">
        <f t="shared" si="60"/>
        <v>154.82193703190021</v>
      </c>
      <c r="AD1258" s="82">
        <f t="shared" si="61"/>
        <v>72.099999999999994</v>
      </c>
      <c r="AE1258" s="218">
        <v>-9.4071384492312213E-2</v>
      </c>
      <c r="AF1258">
        <v>3</v>
      </c>
      <c r="AH1258" t="str">
        <f t="shared" si="62"/>
        <v>Halsi</v>
      </c>
      <c r="AJ1258" s="72">
        <v>0</v>
      </c>
      <c r="AK1258" s="72"/>
      <c r="AL1258" s="72"/>
      <c r="AM1258" s="72"/>
    </row>
    <row r="1259" spans="1:39" x14ac:dyDescent="0.25">
      <c r="A1259" s="37" t="s">
        <v>62</v>
      </c>
      <c r="B1259" s="66" t="s">
        <v>1615</v>
      </c>
      <c r="C1259" s="47">
        <v>1009</v>
      </c>
      <c r="D1259" s="47" t="s">
        <v>249</v>
      </c>
      <c r="E1259" s="41">
        <v>10090075</v>
      </c>
      <c r="F1259" s="46" t="s">
        <v>1326</v>
      </c>
      <c r="G1259" s="39" t="s">
        <v>93</v>
      </c>
      <c r="H1259" s="48" t="s">
        <v>94</v>
      </c>
      <c r="I1259" s="52">
        <v>644.19999999999993</v>
      </c>
      <c r="J1259" s="49">
        <v>25039.599999999999</v>
      </c>
      <c r="K1259" s="65">
        <v>715.57</v>
      </c>
      <c r="L1259" s="65">
        <v>29462.478248015999</v>
      </c>
      <c r="M1259" s="65">
        <v>0</v>
      </c>
      <c r="N1259" s="65">
        <v>0</v>
      </c>
      <c r="O1259" s="65">
        <v>715.57</v>
      </c>
      <c r="P1259" s="65">
        <v>29462.478248015999</v>
      </c>
      <c r="Q1259" s="50">
        <v>25039.599999999999</v>
      </c>
      <c r="R1259" s="65">
        <v>0</v>
      </c>
      <c r="S1259" s="65">
        <v>0</v>
      </c>
      <c r="T1259" s="65">
        <v>4422.8782480160007</v>
      </c>
      <c r="U1259" s="65">
        <v>0</v>
      </c>
      <c r="V1259" s="65">
        <v>0</v>
      </c>
      <c r="W1259" s="65">
        <v>0</v>
      </c>
      <c r="X1259" s="65">
        <v>25040</v>
      </c>
      <c r="Y1259" s="65">
        <v>0</v>
      </c>
      <c r="Z1259" s="65">
        <v>0</v>
      </c>
      <c r="AA1259" s="51">
        <v>0</v>
      </c>
      <c r="AB1259" s="102">
        <v>0</v>
      </c>
      <c r="AC1259" s="81">
        <f t="shared" si="60"/>
        <v>43.378133498913407</v>
      </c>
      <c r="AD1259" s="82">
        <f t="shared" si="61"/>
        <v>92.028571428571425</v>
      </c>
      <c r="AE1259" s="218">
        <v>-0.17663533954280425</v>
      </c>
      <c r="AF1259">
        <v>2</v>
      </c>
      <c r="AH1259" t="str">
        <f t="shared" si="62"/>
        <v>Halsi</v>
      </c>
      <c r="AJ1259" s="72">
        <v>0</v>
      </c>
      <c r="AK1259" s="72"/>
      <c r="AL1259" s="72"/>
      <c r="AM1259" s="72"/>
    </row>
    <row r="1260" spans="1:39" x14ac:dyDescent="0.25">
      <c r="A1260" s="37" t="s">
        <v>62</v>
      </c>
      <c r="B1260" s="66" t="s">
        <v>1615</v>
      </c>
      <c r="C1260" s="47">
        <v>1009</v>
      </c>
      <c r="D1260" s="47" t="s">
        <v>249</v>
      </c>
      <c r="E1260" s="41">
        <v>10090076</v>
      </c>
      <c r="F1260" s="46" t="s">
        <v>1335</v>
      </c>
      <c r="G1260" s="39" t="s">
        <v>635</v>
      </c>
      <c r="H1260" s="48" t="s">
        <v>99</v>
      </c>
      <c r="I1260" s="52">
        <v>15520</v>
      </c>
      <c r="J1260" s="49">
        <v>565823.19999999995</v>
      </c>
      <c r="K1260" s="65">
        <v>0</v>
      </c>
      <c r="L1260" s="65">
        <v>0</v>
      </c>
      <c r="M1260" s="65">
        <v>0</v>
      </c>
      <c r="N1260" s="65">
        <v>0</v>
      </c>
      <c r="O1260" s="65">
        <v>0</v>
      </c>
      <c r="P1260" s="65">
        <v>0</v>
      </c>
      <c r="Q1260" s="50">
        <v>565823.19999999995</v>
      </c>
      <c r="R1260" s="65">
        <v>0</v>
      </c>
      <c r="S1260" s="65">
        <v>0</v>
      </c>
      <c r="T1260" s="65">
        <v>0</v>
      </c>
      <c r="U1260" s="65">
        <v>0</v>
      </c>
      <c r="V1260" s="65">
        <v>0</v>
      </c>
      <c r="W1260" s="65">
        <v>0</v>
      </c>
      <c r="X1260" s="65">
        <v>0</v>
      </c>
      <c r="Y1260" s="65">
        <v>0</v>
      </c>
      <c r="Z1260" s="65">
        <v>565823.19999999995</v>
      </c>
      <c r="AA1260" s="51">
        <v>0</v>
      </c>
      <c r="AB1260" s="102">
        <v>0</v>
      </c>
      <c r="AC1260" s="81">
        <f t="shared" si="60"/>
        <v>0</v>
      </c>
      <c r="AD1260" s="82">
        <f t="shared" si="61"/>
        <v>0</v>
      </c>
      <c r="AE1260" s="218">
        <v>0</v>
      </c>
      <c r="AF1260">
        <v>0</v>
      </c>
      <c r="AH1260" t="str">
        <f t="shared" si="62"/>
        <v>Halsi</v>
      </c>
      <c r="AJ1260" s="72">
        <v>0</v>
      </c>
      <c r="AK1260" s="72"/>
      <c r="AL1260" s="72"/>
      <c r="AM1260" s="72"/>
    </row>
    <row r="1261" spans="1:39" x14ac:dyDescent="0.25">
      <c r="A1261" s="37" t="s">
        <v>62</v>
      </c>
      <c r="B1261" s="66" t="s">
        <v>1615</v>
      </c>
      <c r="C1261" s="47">
        <v>1009</v>
      </c>
      <c r="D1261" s="47" t="s">
        <v>249</v>
      </c>
      <c r="E1261" s="41">
        <v>10090077</v>
      </c>
      <c r="F1261" s="46" t="s">
        <v>1336</v>
      </c>
      <c r="G1261" s="39" t="s">
        <v>635</v>
      </c>
      <c r="H1261" s="48" t="s">
        <v>99</v>
      </c>
      <c r="I1261" s="52">
        <v>15500.599999999999</v>
      </c>
      <c r="J1261" s="49">
        <v>564976.54</v>
      </c>
      <c r="K1261" s="65">
        <v>0</v>
      </c>
      <c r="L1261" s="65">
        <v>0</v>
      </c>
      <c r="M1261" s="65">
        <v>0</v>
      </c>
      <c r="N1261" s="65">
        <v>0</v>
      </c>
      <c r="O1261" s="65">
        <v>0</v>
      </c>
      <c r="P1261" s="65">
        <v>0</v>
      </c>
      <c r="Q1261" s="50">
        <v>564976.54</v>
      </c>
      <c r="R1261" s="65">
        <v>0</v>
      </c>
      <c r="S1261" s="65">
        <v>0</v>
      </c>
      <c r="T1261" s="65">
        <v>0</v>
      </c>
      <c r="U1261" s="65">
        <v>0</v>
      </c>
      <c r="V1261" s="65">
        <v>0</v>
      </c>
      <c r="W1261" s="65">
        <v>0</v>
      </c>
      <c r="X1261" s="65">
        <v>0</v>
      </c>
      <c r="Y1261" s="65">
        <v>0</v>
      </c>
      <c r="Z1261" s="65">
        <v>564976.54</v>
      </c>
      <c r="AA1261" s="51">
        <v>0</v>
      </c>
      <c r="AB1261" s="102">
        <v>0</v>
      </c>
      <c r="AC1261" s="81">
        <f t="shared" si="60"/>
        <v>0</v>
      </c>
      <c r="AD1261" s="82">
        <f t="shared" si="61"/>
        <v>0</v>
      </c>
      <c r="AE1261" s="218">
        <v>0</v>
      </c>
      <c r="AF1261">
        <v>0</v>
      </c>
      <c r="AH1261" t="str">
        <f t="shared" si="62"/>
        <v>Halsi</v>
      </c>
      <c r="AJ1261" s="72">
        <v>0</v>
      </c>
      <c r="AK1261" s="72"/>
      <c r="AL1261" s="72"/>
      <c r="AM1261" s="72"/>
    </row>
    <row r="1262" spans="1:39" x14ac:dyDescent="0.25">
      <c r="A1262" s="37" t="s">
        <v>62</v>
      </c>
      <c r="B1262" s="66" t="s">
        <v>1615</v>
      </c>
      <c r="C1262" s="47">
        <v>1009</v>
      </c>
      <c r="D1262" s="47" t="s">
        <v>249</v>
      </c>
      <c r="E1262" s="41">
        <v>10090078</v>
      </c>
      <c r="F1262" s="46" t="s">
        <v>1365</v>
      </c>
      <c r="G1262" s="39" t="s">
        <v>93</v>
      </c>
      <c r="H1262" s="48" t="s">
        <v>94</v>
      </c>
      <c r="I1262" s="52">
        <v>309.49999999999994</v>
      </c>
      <c r="J1262" s="49">
        <v>11477.68</v>
      </c>
      <c r="K1262" s="65">
        <v>321.7</v>
      </c>
      <c r="L1262" s="65">
        <v>12026.162289240003</v>
      </c>
      <c r="M1262" s="65">
        <v>0</v>
      </c>
      <c r="N1262" s="65">
        <v>0</v>
      </c>
      <c r="O1262" s="65">
        <v>321.7</v>
      </c>
      <c r="P1262" s="65">
        <v>12026.162289240003</v>
      </c>
      <c r="Q1262" s="50">
        <v>11477.68</v>
      </c>
      <c r="R1262" s="65">
        <v>0</v>
      </c>
      <c r="S1262" s="65">
        <v>0</v>
      </c>
      <c r="T1262" s="65">
        <v>548.4822892400025</v>
      </c>
      <c r="U1262" s="65">
        <v>0</v>
      </c>
      <c r="V1262" s="65">
        <v>0</v>
      </c>
      <c r="W1262" s="65">
        <v>0</v>
      </c>
      <c r="X1262" s="65">
        <v>11478</v>
      </c>
      <c r="Y1262" s="65">
        <v>0</v>
      </c>
      <c r="Z1262" s="65">
        <v>0</v>
      </c>
      <c r="AA1262" s="51">
        <v>0</v>
      </c>
      <c r="AB1262" s="102">
        <v>0</v>
      </c>
      <c r="AC1262" s="81">
        <f t="shared" si="60"/>
        <v>289.63063263327956</v>
      </c>
      <c r="AD1262" s="82">
        <f t="shared" si="61"/>
        <v>44.214285714285708</v>
      </c>
      <c r="AE1262" s="218">
        <v>-4.7786860170348229E-2</v>
      </c>
      <c r="AF1262">
        <v>1</v>
      </c>
      <c r="AH1262" t="str">
        <f t="shared" si="62"/>
        <v>Halsi</v>
      </c>
      <c r="AJ1262" s="72">
        <v>0</v>
      </c>
      <c r="AK1262" s="72"/>
      <c r="AL1262" s="72"/>
      <c r="AM1262" s="72"/>
    </row>
    <row r="1263" spans="1:39" x14ac:dyDescent="0.25">
      <c r="A1263" s="37" t="s">
        <v>62</v>
      </c>
      <c r="B1263" s="66" t="s">
        <v>1615</v>
      </c>
      <c r="C1263" s="47">
        <v>1009</v>
      </c>
      <c r="D1263" s="47" t="s">
        <v>249</v>
      </c>
      <c r="E1263" s="41">
        <v>10090079</v>
      </c>
      <c r="F1263" s="46" t="s">
        <v>1493</v>
      </c>
      <c r="G1263" s="39" t="s">
        <v>93</v>
      </c>
      <c r="H1263" s="48" t="s">
        <v>94</v>
      </c>
      <c r="I1263" s="52">
        <v>254.69999999999996</v>
      </c>
      <c r="J1263" s="49">
        <v>9810.8499999999985</v>
      </c>
      <c r="K1263" s="65">
        <v>266.91000000000003</v>
      </c>
      <c r="L1263" s="65">
        <v>10375.050204288</v>
      </c>
      <c r="M1263" s="65">
        <v>0</v>
      </c>
      <c r="N1263" s="65">
        <v>0</v>
      </c>
      <c r="O1263" s="65">
        <v>266.91000000000003</v>
      </c>
      <c r="P1263" s="65">
        <v>10375.050204288</v>
      </c>
      <c r="Q1263" s="50">
        <v>9810.8499999999985</v>
      </c>
      <c r="R1263" s="65">
        <v>0</v>
      </c>
      <c r="S1263" s="65">
        <v>0</v>
      </c>
      <c r="T1263" s="65">
        <v>564.20020428800126</v>
      </c>
      <c r="U1263" s="65">
        <v>0</v>
      </c>
      <c r="V1263" s="65">
        <v>0</v>
      </c>
      <c r="W1263" s="65">
        <v>0</v>
      </c>
      <c r="X1263" s="65">
        <v>9811</v>
      </c>
      <c r="Y1263" s="65">
        <v>0</v>
      </c>
      <c r="Z1263" s="65">
        <v>0</v>
      </c>
      <c r="AA1263" s="51">
        <v>0</v>
      </c>
      <c r="AB1263" s="102">
        <v>0</v>
      </c>
      <c r="AC1263" s="81">
        <f t="shared" si="60"/>
        <v>343.05233647428349</v>
      </c>
      <c r="AD1263" s="82">
        <f t="shared" si="61"/>
        <v>36.385714285714279</v>
      </c>
      <c r="AE1263" s="218">
        <v>-5.750778008918711E-2</v>
      </c>
      <c r="AF1263">
        <v>1</v>
      </c>
      <c r="AH1263" t="str">
        <f t="shared" si="62"/>
        <v>Halsi</v>
      </c>
      <c r="AJ1263" s="72">
        <v>0</v>
      </c>
      <c r="AK1263" s="72"/>
      <c r="AL1263" s="72"/>
      <c r="AM1263" s="72"/>
    </row>
    <row r="1264" spans="1:39" x14ac:dyDescent="0.25">
      <c r="A1264" s="37" t="s">
        <v>62</v>
      </c>
      <c r="B1264" s="66" t="s">
        <v>1615</v>
      </c>
      <c r="C1264" s="47">
        <v>1009</v>
      </c>
      <c r="D1264" s="47" t="s">
        <v>249</v>
      </c>
      <c r="E1264" s="41">
        <v>10090080</v>
      </c>
      <c r="F1264" s="46" t="s">
        <v>1580</v>
      </c>
      <c r="G1264" s="39" t="s">
        <v>93</v>
      </c>
      <c r="H1264" s="48" t="s">
        <v>94</v>
      </c>
      <c r="I1264" s="52">
        <v>331.2</v>
      </c>
      <c r="J1264" s="49">
        <v>14645.98</v>
      </c>
      <c r="K1264" s="65">
        <v>331.3</v>
      </c>
      <c r="L1264" s="65">
        <v>14125.678518600002</v>
      </c>
      <c r="M1264" s="65">
        <v>0</v>
      </c>
      <c r="N1264" s="65">
        <v>0</v>
      </c>
      <c r="O1264" s="65">
        <v>331.3</v>
      </c>
      <c r="P1264" s="65">
        <v>14125.678518600002</v>
      </c>
      <c r="Q1264" s="50">
        <v>14125.678518600002</v>
      </c>
      <c r="R1264" s="65">
        <v>0</v>
      </c>
      <c r="S1264" s="65">
        <v>0</v>
      </c>
      <c r="T1264" s="65">
        <v>0</v>
      </c>
      <c r="U1264" s="65">
        <v>0</v>
      </c>
      <c r="V1264" s="65">
        <v>0</v>
      </c>
      <c r="W1264" s="65">
        <v>0</v>
      </c>
      <c r="X1264" s="65">
        <v>14126</v>
      </c>
      <c r="Y1264" s="65">
        <v>0</v>
      </c>
      <c r="Z1264" s="65">
        <v>0</v>
      </c>
      <c r="AA1264" s="51">
        <v>520</v>
      </c>
      <c r="AB1264" s="102">
        <v>0</v>
      </c>
      <c r="AC1264" s="81">
        <f t="shared" si="60"/>
        <v>326.17375748792273</v>
      </c>
      <c r="AD1264" s="82">
        <f t="shared" si="61"/>
        <v>47.31428571428571</v>
      </c>
      <c r="AE1264" s="218">
        <v>3.5525207695217255E-2</v>
      </c>
      <c r="AF1264">
        <v>1</v>
      </c>
      <c r="AH1264" t="str">
        <f t="shared" si="62"/>
        <v>Halsi</v>
      </c>
      <c r="AJ1264" s="72">
        <v>0</v>
      </c>
      <c r="AK1264" s="72"/>
      <c r="AL1264" s="72"/>
      <c r="AM1264" s="72"/>
    </row>
    <row r="1265" spans="1:39" x14ac:dyDescent="0.25">
      <c r="A1265" s="37" t="s">
        <v>62</v>
      </c>
      <c r="B1265" s="66" t="s">
        <v>1615</v>
      </c>
      <c r="C1265" s="47">
        <v>1010</v>
      </c>
      <c r="D1265" s="47" t="s">
        <v>1359</v>
      </c>
      <c r="E1265" s="41">
        <v>10100001</v>
      </c>
      <c r="F1265" s="46" t="s">
        <v>620</v>
      </c>
      <c r="G1265" s="39" t="s">
        <v>93</v>
      </c>
      <c r="H1265" s="48" t="s">
        <v>94</v>
      </c>
      <c r="I1265" s="52">
        <v>824.19999999999993</v>
      </c>
      <c r="J1265" s="49">
        <v>30375.279999999999</v>
      </c>
      <c r="K1265" s="65">
        <v>828.69</v>
      </c>
      <c r="L1265" s="65">
        <v>32775.22078974</v>
      </c>
      <c r="M1265" s="65">
        <v>7.04</v>
      </c>
      <c r="N1265" s="65">
        <v>270.06119949600009</v>
      </c>
      <c r="O1265" s="65">
        <v>835.73</v>
      </c>
      <c r="P1265" s="65">
        <v>33045.281989235998</v>
      </c>
      <c r="Q1265" s="50">
        <v>30375.279999999999</v>
      </c>
      <c r="R1265" s="65">
        <v>0</v>
      </c>
      <c r="S1265" s="65">
        <v>270.06119949600009</v>
      </c>
      <c r="T1265" s="65">
        <v>2670.0019892359996</v>
      </c>
      <c r="U1265" s="65">
        <v>0</v>
      </c>
      <c r="V1265" s="65">
        <v>0</v>
      </c>
      <c r="W1265" s="65">
        <v>0</v>
      </c>
      <c r="X1265" s="65">
        <v>30105</v>
      </c>
      <c r="Y1265" s="65">
        <v>0</v>
      </c>
      <c r="Z1265" s="65">
        <v>0</v>
      </c>
      <c r="AA1265" s="51">
        <v>0</v>
      </c>
      <c r="AB1265" s="102" t="s">
        <v>68</v>
      </c>
      <c r="AC1265" s="81">
        <f t="shared" si="60"/>
        <v>0</v>
      </c>
      <c r="AD1265" s="82">
        <f t="shared" si="61"/>
        <v>0</v>
      </c>
      <c r="AE1265" s="218">
        <v>-8.7900489781032459E-2</v>
      </c>
      <c r="AF1265">
        <v>10</v>
      </c>
      <c r="AH1265" t="str">
        <f t="shared" si="62"/>
        <v>Parbatta</v>
      </c>
      <c r="AJ1265" s="72">
        <v>0</v>
      </c>
      <c r="AK1265" s="72"/>
      <c r="AL1265" s="72"/>
      <c r="AM1265" s="72"/>
    </row>
    <row r="1266" spans="1:39" x14ac:dyDescent="0.25">
      <c r="A1266" s="37" t="s">
        <v>62</v>
      </c>
      <c r="B1266" s="66" t="s">
        <v>1615</v>
      </c>
      <c r="C1266" s="47">
        <v>1010</v>
      </c>
      <c r="D1266" s="47" t="s">
        <v>1359</v>
      </c>
      <c r="E1266" s="41">
        <v>10100003</v>
      </c>
      <c r="F1266" s="46" t="s">
        <v>279</v>
      </c>
      <c r="G1266" s="39" t="s">
        <v>93</v>
      </c>
      <c r="H1266" s="48" t="s">
        <v>94</v>
      </c>
      <c r="I1266" s="52">
        <v>1224.8999999999999</v>
      </c>
      <c r="J1266" s="49">
        <v>46812.35</v>
      </c>
      <c r="K1266" s="65">
        <v>1342.3</v>
      </c>
      <c r="L1266" s="65">
        <v>57342.113976980007</v>
      </c>
      <c r="M1266" s="65">
        <v>6.7</v>
      </c>
      <c r="N1266" s="65">
        <v>308.01656951999996</v>
      </c>
      <c r="O1266" s="65">
        <v>1349</v>
      </c>
      <c r="P1266" s="65">
        <v>57650.130546500004</v>
      </c>
      <c r="Q1266" s="50">
        <v>46812.35</v>
      </c>
      <c r="R1266" s="65">
        <v>0</v>
      </c>
      <c r="S1266" s="65">
        <v>308.01656951999996</v>
      </c>
      <c r="T1266" s="65">
        <v>10837.780546500006</v>
      </c>
      <c r="U1266" s="65">
        <v>6500</v>
      </c>
      <c r="V1266" s="65">
        <v>0</v>
      </c>
      <c r="W1266" s="65">
        <v>0</v>
      </c>
      <c r="X1266" s="65">
        <v>40004</v>
      </c>
      <c r="Y1266" s="65">
        <v>0</v>
      </c>
      <c r="Z1266" s="65">
        <v>0</v>
      </c>
      <c r="AA1266" s="51">
        <v>0</v>
      </c>
      <c r="AB1266" s="102" t="s">
        <v>68</v>
      </c>
      <c r="AC1266" s="81">
        <f t="shared" si="60"/>
        <v>0</v>
      </c>
      <c r="AD1266" s="82">
        <f t="shared" si="61"/>
        <v>0</v>
      </c>
      <c r="AE1266" s="218">
        <v>-0.23151541305873355</v>
      </c>
      <c r="AF1266">
        <v>5</v>
      </c>
      <c r="AH1266" t="str">
        <f t="shared" si="62"/>
        <v>Parbatta</v>
      </c>
      <c r="AJ1266" s="72">
        <v>0</v>
      </c>
      <c r="AK1266" s="72"/>
      <c r="AL1266" s="72"/>
      <c r="AM1266" s="72"/>
    </row>
    <row r="1267" spans="1:39" x14ac:dyDescent="0.25">
      <c r="A1267" s="37" t="s">
        <v>62</v>
      </c>
      <c r="B1267" s="66" t="s">
        <v>1615</v>
      </c>
      <c r="C1267" s="47">
        <v>1010</v>
      </c>
      <c r="D1267" s="47" t="s">
        <v>1359</v>
      </c>
      <c r="E1267" s="41">
        <v>10100004</v>
      </c>
      <c r="F1267" s="46" t="s">
        <v>280</v>
      </c>
      <c r="G1267" s="39" t="s">
        <v>635</v>
      </c>
      <c r="H1267" s="48" t="s">
        <v>99</v>
      </c>
      <c r="I1267" s="52">
        <v>126.19999999999999</v>
      </c>
      <c r="J1267" s="49">
        <v>4149.8600000000006</v>
      </c>
      <c r="K1267" s="65">
        <v>0</v>
      </c>
      <c r="L1267" s="65">
        <v>0</v>
      </c>
      <c r="M1267" s="65">
        <v>0</v>
      </c>
      <c r="N1267" s="65">
        <v>0</v>
      </c>
      <c r="O1267" s="65">
        <v>0</v>
      </c>
      <c r="P1267" s="65">
        <v>0</v>
      </c>
      <c r="Q1267" s="50">
        <v>4149.8600000000006</v>
      </c>
      <c r="R1267" s="65">
        <v>0</v>
      </c>
      <c r="S1267" s="65">
        <v>0</v>
      </c>
      <c r="T1267" s="65">
        <v>0</v>
      </c>
      <c r="U1267" s="65">
        <v>0</v>
      </c>
      <c r="V1267" s="65">
        <v>0</v>
      </c>
      <c r="W1267" s="65">
        <v>0</v>
      </c>
      <c r="X1267" s="65">
        <v>0</v>
      </c>
      <c r="Y1267" s="65">
        <v>0</v>
      </c>
      <c r="Z1267" s="65">
        <v>4149.8600000000006</v>
      </c>
      <c r="AA1267" s="51">
        <v>0</v>
      </c>
      <c r="AB1267" s="102">
        <v>0</v>
      </c>
      <c r="AC1267" s="81">
        <f t="shared" si="60"/>
        <v>377.36761774960399</v>
      </c>
      <c r="AD1267" s="82">
        <f t="shared" si="61"/>
        <v>18.028571428571428</v>
      </c>
      <c r="AE1267" s="218">
        <v>0</v>
      </c>
      <c r="AF1267">
        <v>0</v>
      </c>
      <c r="AH1267" t="str">
        <f t="shared" si="62"/>
        <v>Parbatta</v>
      </c>
      <c r="AJ1267" s="72">
        <v>0</v>
      </c>
      <c r="AK1267" s="72"/>
      <c r="AL1267" s="72"/>
      <c r="AM1267" s="72"/>
    </row>
    <row r="1268" spans="1:39" x14ac:dyDescent="0.25">
      <c r="A1268" s="37" t="s">
        <v>62</v>
      </c>
      <c r="B1268" s="66" t="s">
        <v>1615</v>
      </c>
      <c r="C1268" s="47">
        <v>1010</v>
      </c>
      <c r="D1268" s="47" t="s">
        <v>1359</v>
      </c>
      <c r="E1268" s="41">
        <v>10100009</v>
      </c>
      <c r="F1268" s="46" t="s">
        <v>282</v>
      </c>
      <c r="G1268" s="39" t="s">
        <v>93</v>
      </c>
      <c r="H1268" s="48" t="s">
        <v>94</v>
      </c>
      <c r="I1268" s="52">
        <v>1125.3</v>
      </c>
      <c r="J1268" s="49">
        <v>44608.729999999996</v>
      </c>
      <c r="K1268" s="65">
        <v>1145.02</v>
      </c>
      <c r="L1268" s="65">
        <v>51469.412852384798</v>
      </c>
      <c r="M1268" s="65">
        <v>0</v>
      </c>
      <c r="N1268" s="65">
        <v>0</v>
      </c>
      <c r="O1268" s="65">
        <v>1145.02</v>
      </c>
      <c r="P1268" s="65">
        <v>51469.412852384798</v>
      </c>
      <c r="Q1268" s="50">
        <v>44608.729999999996</v>
      </c>
      <c r="R1268" s="65">
        <v>0</v>
      </c>
      <c r="S1268" s="65">
        <v>0</v>
      </c>
      <c r="T1268" s="65">
        <v>6860.6828523848017</v>
      </c>
      <c r="U1268" s="65">
        <v>0</v>
      </c>
      <c r="V1268" s="65">
        <v>0</v>
      </c>
      <c r="W1268" s="65">
        <v>0</v>
      </c>
      <c r="X1268" s="65">
        <v>44609</v>
      </c>
      <c r="Y1268" s="65">
        <v>0</v>
      </c>
      <c r="Z1268" s="65">
        <v>0</v>
      </c>
      <c r="AA1268" s="51">
        <v>0</v>
      </c>
      <c r="AB1268" s="102">
        <v>0</v>
      </c>
      <c r="AC1268" s="81">
        <f t="shared" si="60"/>
        <v>0</v>
      </c>
      <c r="AD1268" s="82">
        <f t="shared" si="61"/>
        <v>0</v>
      </c>
      <c r="AE1268" s="218">
        <v>-0.15379686559973355</v>
      </c>
      <c r="AF1268">
        <v>4</v>
      </c>
      <c r="AH1268" t="str">
        <f t="shared" si="62"/>
        <v>Parbatta</v>
      </c>
      <c r="AJ1268" s="72">
        <v>0</v>
      </c>
      <c r="AK1268" s="72"/>
      <c r="AL1268" s="72"/>
      <c r="AM1268" s="72"/>
    </row>
    <row r="1269" spans="1:39" x14ac:dyDescent="0.25">
      <c r="A1269" s="37" t="s">
        <v>62</v>
      </c>
      <c r="B1269" s="66" t="s">
        <v>1615</v>
      </c>
      <c r="C1269" s="47">
        <v>1010</v>
      </c>
      <c r="D1269" s="47" t="s">
        <v>1359</v>
      </c>
      <c r="E1269" s="41">
        <v>10100014</v>
      </c>
      <c r="F1269" s="46" t="s">
        <v>1237</v>
      </c>
      <c r="G1269" s="39" t="s">
        <v>93</v>
      </c>
      <c r="H1269" s="48" t="s">
        <v>94</v>
      </c>
      <c r="I1269" s="52">
        <v>348</v>
      </c>
      <c r="J1269" s="49">
        <v>13053.650000000001</v>
      </c>
      <c r="K1269" s="65">
        <v>350.18000000000006</v>
      </c>
      <c r="L1269" s="65">
        <v>13494.2048208</v>
      </c>
      <c r="M1269" s="65">
        <v>0</v>
      </c>
      <c r="N1269" s="65">
        <v>0</v>
      </c>
      <c r="O1269" s="65">
        <v>350.18000000000006</v>
      </c>
      <c r="P1269" s="65">
        <v>13494.2048208</v>
      </c>
      <c r="Q1269" s="50">
        <v>13053.650000000001</v>
      </c>
      <c r="R1269" s="65">
        <v>0</v>
      </c>
      <c r="S1269" s="65">
        <v>0</v>
      </c>
      <c r="T1269" s="65">
        <v>440.5548207999982</v>
      </c>
      <c r="U1269" s="65">
        <v>0</v>
      </c>
      <c r="V1269" s="65">
        <v>0</v>
      </c>
      <c r="W1269" s="65">
        <v>0</v>
      </c>
      <c r="X1269" s="65">
        <v>13054</v>
      </c>
      <c r="Y1269" s="65">
        <v>0</v>
      </c>
      <c r="Z1269" s="65">
        <v>0</v>
      </c>
      <c r="AA1269" s="51">
        <v>0</v>
      </c>
      <c r="AB1269" s="102">
        <v>0</v>
      </c>
      <c r="AC1269" s="81">
        <f t="shared" si="60"/>
        <v>264.07383908045983</v>
      </c>
      <c r="AD1269" s="82">
        <f t="shared" si="61"/>
        <v>49.714285714285715</v>
      </c>
      <c r="AE1269" s="218">
        <v>-3.3749550570146905E-2</v>
      </c>
      <c r="AF1269">
        <v>5</v>
      </c>
      <c r="AH1269" t="str">
        <f t="shared" si="62"/>
        <v>Parbatta</v>
      </c>
      <c r="AJ1269" s="72">
        <v>0</v>
      </c>
      <c r="AK1269" s="72"/>
      <c r="AL1269" s="72"/>
      <c r="AM1269" s="72"/>
    </row>
    <row r="1270" spans="1:39" x14ac:dyDescent="0.25">
      <c r="A1270" s="37" t="s">
        <v>62</v>
      </c>
      <c r="B1270" s="66" t="s">
        <v>1615</v>
      </c>
      <c r="C1270" s="47">
        <v>1010</v>
      </c>
      <c r="D1270" s="47" t="s">
        <v>1359</v>
      </c>
      <c r="E1270" s="41">
        <v>10100016</v>
      </c>
      <c r="F1270" s="46" t="s">
        <v>1285</v>
      </c>
      <c r="G1270" s="39" t="s">
        <v>93</v>
      </c>
      <c r="H1270" s="48" t="s">
        <v>94</v>
      </c>
      <c r="I1270" s="52">
        <v>123.2</v>
      </c>
      <c r="J1270" s="49">
        <v>5016.8300000000008</v>
      </c>
      <c r="K1270" s="65">
        <v>140</v>
      </c>
      <c r="L1270" s="65">
        <v>5821.3552320000017</v>
      </c>
      <c r="M1270" s="65">
        <v>0</v>
      </c>
      <c r="N1270" s="65">
        <v>0</v>
      </c>
      <c r="O1270" s="65">
        <v>140</v>
      </c>
      <c r="P1270" s="65">
        <v>5821.3552320000017</v>
      </c>
      <c r="Q1270" s="50">
        <v>5016.8300000000008</v>
      </c>
      <c r="R1270" s="65">
        <v>0</v>
      </c>
      <c r="S1270" s="65">
        <v>0</v>
      </c>
      <c r="T1270" s="65">
        <v>804.52523200000087</v>
      </c>
      <c r="U1270" s="65">
        <v>0</v>
      </c>
      <c r="V1270" s="65">
        <v>0</v>
      </c>
      <c r="W1270" s="65">
        <v>0</v>
      </c>
      <c r="X1270" s="65">
        <v>5017</v>
      </c>
      <c r="Y1270" s="65">
        <v>0</v>
      </c>
      <c r="Z1270" s="65">
        <v>0</v>
      </c>
      <c r="AA1270" s="51">
        <v>0</v>
      </c>
      <c r="AB1270" s="102" t="s">
        <v>68</v>
      </c>
      <c r="AC1270" s="81">
        <f t="shared" si="60"/>
        <v>469.75771818181829</v>
      </c>
      <c r="AD1270" s="82">
        <f t="shared" si="61"/>
        <v>17.600000000000001</v>
      </c>
      <c r="AE1270" s="218">
        <v>-0.16036525694512285</v>
      </c>
      <c r="AF1270">
        <v>1</v>
      </c>
      <c r="AH1270" t="str">
        <f t="shared" si="62"/>
        <v>Parbatta</v>
      </c>
      <c r="AJ1270" s="72">
        <v>0</v>
      </c>
      <c r="AK1270" s="72"/>
      <c r="AL1270" s="72"/>
      <c r="AM1270" s="72"/>
    </row>
    <row r="1271" spans="1:39" x14ac:dyDescent="0.25">
      <c r="A1271" s="37" t="s">
        <v>62</v>
      </c>
      <c r="B1271" s="66" t="s">
        <v>1615</v>
      </c>
      <c r="C1271" s="47">
        <v>1010</v>
      </c>
      <c r="D1271" s="47" t="s">
        <v>1359</v>
      </c>
      <c r="E1271" s="41">
        <v>10100021</v>
      </c>
      <c r="F1271" s="46" t="s">
        <v>284</v>
      </c>
      <c r="G1271" s="39" t="s">
        <v>93</v>
      </c>
      <c r="H1271" s="48" t="s">
        <v>94</v>
      </c>
      <c r="I1271" s="52">
        <v>475.70000000000005</v>
      </c>
      <c r="J1271" s="49">
        <v>17222.239999999998</v>
      </c>
      <c r="K1271" s="65">
        <v>0</v>
      </c>
      <c r="L1271" s="65">
        <v>0</v>
      </c>
      <c r="M1271" s="65">
        <v>0</v>
      </c>
      <c r="N1271" s="65">
        <v>0</v>
      </c>
      <c r="O1271" s="65">
        <v>0</v>
      </c>
      <c r="P1271" s="65">
        <v>0</v>
      </c>
      <c r="Q1271" s="50">
        <v>0</v>
      </c>
      <c r="R1271" s="65">
        <v>0</v>
      </c>
      <c r="S1271" s="65">
        <v>0</v>
      </c>
      <c r="T1271" s="65">
        <v>0</v>
      </c>
      <c r="U1271" s="65">
        <v>0</v>
      </c>
      <c r="V1271" s="65">
        <v>0</v>
      </c>
      <c r="W1271" s="65">
        <v>0</v>
      </c>
      <c r="X1271" s="65">
        <v>0</v>
      </c>
      <c r="Y1271" s="65">
        <v>0</v>
      </c>
      <c r="Z1271" s="65">
        <v>17222</v>
      </c>
      <c r="AA1271" s="51">
        <v>0</v>
      </c>
      <c r="AB1271" s="102">
        <v>0</v>
      </c>
      <c r="AC1271" s="81">
        <f t="shared" si="60"/>
        <v>162.41111759512287</v>
      </c>
      <c r="AD1271" s="82">
        <f t="shared" si="61"/>
        <v>67.95714285714287</v>
      </c>
      <c r="AE1271" s="218">
        <v>1</v>
      </c>
      <c r="AF1271">
        <v>0</v>
      </c>
      <c r="AH1271" t="str">
        <f t="shared" si="62"/>
        <v>Parbatta</v>
      </c>
      <c r="AJ1271" s="72">
        <v>0</v>
      </c>
      <c r="AK1271" s="72"/>
      <c r="AL1271" s="72"/>
      <c r="AM1271" s="72"/>
    </row>
    <row r="1272" spans="1:39" x14ac:dyDescent="0.25">
      <c r="A1272" s="37" t="s">
        <v>62</v>
      </c>
      <c r="B1272" s="66" t="s">
        <v>1615</v>
      </c>
      <c r="C1272" s="47">
        <v>1010</v>
      </c>
      <c r="D1272" s="47" t="s">
        <v>1359</v>
      </c>
      <c r="E1272" s="41">
        <v>10100026</v>
      </c>
      <c r="F1272" s="46" t="s">
        <v>1360</v>
      </c>
      <c r="G1272" s="39" t="s">
        <v>635</v>
      </c>
      <c r="H1272" s="48" t="s">
        <v>99</v>
      </c>
      <c r="I1272" s="52">
        <v>522.29999999999995</v>
      </c>
      <c r="J1272" s="49">
        <v>17788.16</v>
      </c>
      <c r="K1272" s="65">
        <v>0</v>
      </c>
      <c r="L1272" s="65">
        <v>0</v>
      </c>
      <c r="M1272" s="65">
        <v>0</v>
      </c>
      <c r="N1272" s="65">
        <v>0</v>
      </c>
      <c r="O1272" s="65">
        <v>0</v>
      </c>
      <c r="P1272" s="65">
        <v>0</v>
      </c>
      <c r="Q1272" s="50">
        <v>17788.16</v>
      </c>
      <c r="R1272" s="65">
        <v>0</v>
      </c>
      <c r="S1272" s="65">
        <v>0</v>
      </c>
      <c r="T1272" s="65">
        <v>0</v>
      </c>
      <c r="U1272" s="65">
        <v>0</v>
      </c>
      <c r="V1272" s="65">
        <v>374.78310967742038</v>
      </c>
      <c r="W1272" s="65">
        <v>0</v>
      </c>
      <c r="X1272" s="65">
        <v>0</v>
      </c>
      <c r="Y1272" s="65">
        <v>0</v>
      </c>
      <c r="Z1272" s="65">
        <v>17413.376890322579</v>
      </c>
      <c r="AA1272" s="51">
        <v>0</v>
      </c>
      <c r="AB1272" s="102">
        <v>0</v>
      </c>
      <c r="AC1272" s="81">
        <f t="shared" si="60"/>
        <v>121.0398633735401</v>
      </c>
      <c r="AD1272" s="82">
        <f t="shared" si="61"/>
        <v>74.614285714285714</v>
      </c>
      <c r="AE1272" s="218">
        <v>0</v>
      </c>
      <c r="AF1272">
        <v>0</v>
      </c>
      <c r="AH1272" t="str">
        <f t="shared" si="62"/>
        <v>Parbatta</v>
      </c>
      <c r="AJ1272" s="72">
        <v>0</v>
      </c>
      <c r="AK1272" s="72"/>
      <c r="AL1272" s="72"/>
      <c r="AM1272" s="72"/>
    </row>
    <row r="1273" spans="1:39" x14ac:dyDescent="0.25">
      <c r="A1273" s="37" t="s">
        <v>62</v>
      </c>
      <c r="B1273" s="66" t="s">
        <v>1615</v>
      </c>
      <c r="C1273" s="47">
        <v>1010</v>
      </c>
      <c r="D1273" s="47" t="s">
        <v>1359</v>
      </c>
      <c r="E1273" s="41">
        <v>10100028</v>
      </c>
      <c r="F1273" s="46" t="s">
        <v>1587</v>
      </c>
      <c r="G1273" s="39" t="s">
        <v>635</v>
      </c>
      <c r="H1273" s="48" t="s">
        <v>99</v>
      </c>
      <c r="I1273" s="52">
        <v>435.8</v>
      </c>
      <c r="J1273" s="49">
        <v>14196.250000000002</v>
      </c>
      <c r="K1273" s="65">
        <v>0</v>
      </c>
      <c r="L1273" s="65">
        <v>0</v>
      </c>
      <c r="M1273" s="65">
        <v>0</v>
      </c>
      <c r="N1273" s="65">
        <v>0</v>
      </c>
      <c r="O1273" s="65">
        <v>0</v>
      </c>
      <c r="P1273" s="65">
        <v>0</v>
      </c>
      <c r="Q1273" s="50">
        <v>14196.250000000002</v>
      </c>
      <c r="R1273" s="65">
        <v>0</v>
      </c>
      <c r="S1273" s="65">
        <v>0</v>
      </c>
      <c r="T1273" s="65">
        <v>0</v>
      </c>
      <c r="U1273" s="65">
        <v>0</v>
      </c>
      <c r="V1273" s="65">
        <v>0</v>
      </c>
      <c r="W1273" s="65">
        <v>0</v>
      </c>
      <c r="X1273" s="65">
        <v>0</v>
      </c>
      <c r="Y1273" s="65">
        <v>0</v>
      </c>
      <c r="Z1273" s="65">
        <v>14196.250000000002</v>
      </c>
      <c r="AA1273" s="51">
        <v>0</v>
      </c>
      <c r="AB1273" s="102">
        <v>0</v>
      </c>
      <c r="AC1273" s="81">
        <f t="shared" si="60"/>
        <v>172.1270881138137</v>
      </c>
      <c r="AD1273" s="82">
        <f t="shared" si="61"/>
        <v>62.25714285714286</v>
      </c>
      <c r="AE1273" s="218">
        <v>0</v>
      </c>
      <c r="AF1273">
        <v>0</v>
      </c>
      <c r="AH1273" t="str">
        <f t="shared" si="62"/>
        <v>Parbatta</v>
      </c>
      <c r="AJ1273" s="72">
        <v>0</v>
      </c>
      <c r="AK1273" s="72"/>
      <c r="AL1273" s="72"/>
      <c r="AM1273" s="72"/>
    </row>
    <row r="1274" spans="1:39" x14ac:dyDescent="0.25">
      <c r="A1274" s="37" t="s">
        <v>62</v>
      </c>
      <c r="B1274" s="66" t="s">
        <v>1615</v>
      </c>
      <c r="C1274" s="47">
        <v>1007</v>
      </c>
      <c r="D1274" s="47" t="s">
        <v>207</v>
      </c>
      <c r="E1274" s="41">
        <v>10100033</v>
      </c>
      <c r="F1274" s="46" t="s">
        <v>286</v>
      </c>
      <c r="G1274" s="39" t="s">
        <v>635</v>
      </c>
      <c r="H1274" s="48" t="s">
        <v>99</v>
      </c>
      <c r="I1274" s="52">
        <v>73.099999999999994</v>
      </c>
      <c r="J1274" s="49">
        <v>2706.8600000000006</v>
      </c>
      <c r="K1274" s="65">
        <v>0</v>
      </c>
      <c r="L1274" s="65">
        <v>0</v>
      </c>
      <c r="M1274" s="65">
        <v>0</v>
      </c>
      <c r="N1274" s="65">
        <v>0</v>
      </c>
      <c r="O1274" s="65">
        <v>0</v>
      </c>
      <c r="P1274" s="65">
        <v>0</v>
      </c>
      <c r="Q1274" s="50">
        <v>2706.8600000000006</v>
      </c>
      <c r="R1274" s="65">
        <v>0</v>
      </c>
      <c r="S1274" s="65">
        <v>0</v>
      </c>
      <c r="T1274" s="65">
        <v>0</v>
      </c>
      <c r="U1274" s="65">
        <v>0</v>
      </c>
      <c r="V1274" s="65">
        <v>0</v>
      </c>
      <c r="W1274" s="65">
        <v>0</v>
      </c>
      <c r="X1274" s="65">
        <v>0</v>
      </c>
      <c r="Y1274" s="65">
        <v>0</v>
      </c>
      <c r="Z1274" s="65">
        <v>2706.8600000000006</v>
      </c>
      <c r="AA1274" s="51">
        <v>0</v>
      </c>
      <c r="AB1274" s="102">
        <v>0</v>
      </c>
      <c r="AC1274" s="81">
        <f t="shared" si="60"/>
        <v>464.27647989056101</v>
      </c>
      <c r="AD1274" s="82">
        <f t="shared" si="61"/>
        <v>10.442857142857141</v>
      </c>
      <c r="AE1274" s="218">
        <v>0</v>
      </c>
      <c r="AF1274">
        <v>0</v>
      </c>
      <c r="AH1274" t="str">
        <f t="shared" si="62"/>
        <v>Araria</v>
      </c>
      <c r="AJ1274" s="72">
        <v>0</v>
      </c>
      <c r="AK1274" s="72"/>
      <c r="AL1274" s="72"/>
      <c r="AM1274" s="72"/>
    </row>
    <row r="1275" spans="1:39" x14ac:dyDescent="0.25">
      <c r="A1275" s="37" t="s">
        <v>62</v>
      </c>
      <c r="B1275" s="66" t="s">
        <v>1615</v>
      </c>
      <c r="C1275" s="47">
        <v>1007</v>
      </c>
      <c r="D1275" s="47" t="s">
        <v>207</v>
      </c>
      <c r="E1275" s="41">
        <v>10100037</v>
      </c>
      <c r="F1275" s="46" t="s">
        <v>288</v>
      </c>
      <c r="G1275" s="39" t="s">
        <v>93</v>
      </c>
      <c r="H1275" s="48" t="s">
        <v>94</v>
      </c>
      <c r="I1275" s="52">
        <v>186.00000000000003</v>
      </c>
      <c r="J1275" s="49">
        <v>9351.619999999999</v>
      </c>
      <c r="K1275" s="65">
        <v>207.09999999999997</v>
      </c>
      <c r="L1275" s="65">
        <v>10447.072076275801</v>
      </c>
      <c r="M1275" s="65">
        <v>0</v>
      </c>
      <c r="N1275" s="65">
        <v>0</v>
      </c>
      <c r="O1275" s="65">
        <v>207.09999999999997</v>
      </c>
      <c r="P1275" s="65">
        <v>10447.072076275801</v>
      </c>
      <c r="Q1275" s="50">
        <v>9351.619999999999</v>
      </c>
      <c r="R1275" s="65">
        <v>0</v>
      </c>
      <c r="S1275" s="65">
        <v>0</v>
      </c>
      <c r="T1275" s="65">
        <v>1095.452076275802</v>
      </c>
      <c r="U1275" s="65">
        <v>0</v>
      </c>
      <c r="V1275" s="65">
        <v>0</v>
      </c>
      <c r="W1275" s="65">
        <v>0</v>
      </c>
      <c r="X1275" s="65">
        <v>9352</v>
      </c>
      <c r="Y1275" s="65">
        <v>0</v>
      </c>
      <c r="Z1275" s="65">
        <v>0</v>
      </c>
      <c r="AA1275" s="51">
        <v>0</v>
      </c>
      <c r="AB1275" s="102">
        <v>0</v>
      </c>
      <c r="AC1275" s="81">
        <f t="shared" si="60"/>
        <v>516.85297634408573</v>
      </c>
      <c r="AD1275" s="82">
        <f t="shared" si="61"/>
        <v>26.571428571428577</v>
      </c>
      <c r="AE1275" s="218">
        <v>-0.11714035389331497</v>
      </c>
      <c r="AF1275">
        <v>2</v>
      </c>
      <c r="AH1275" t="str">
        <f t="shared" si="62"/>
        <v>Araria</v>
      </c>
      <c r="AJ1275" s="72">
        <v>0</v>
      </c>
      <c r="AK1275" s="72"/>
      <c r="AL1275" s="72"/>
      <c r="AM1275" s="72"/>
    </row>
    <row r="1276" spans="1:39" x14ac:dyDescent="0.25">
      <c r="A1276" s="37" t="s">
        <v>62</v>
      </c>
      <c r="B1276" s="66" t="s">
        <v>1615</v>
      </c>
      <c r="C1276" s="47">
        <v>1007</v>
      </c>
      <c r="D1276" s="47" t="s">
        <v>207</v>
      </c>
      <c r="E1276" s="41">
        <v>10100044</v>
      </c>
      <c r="F1276" s="46" t="s">
        <v>1286</v>
      </c>
      <c r="G1276" s="39" t="s">
        <v>635</v>
      </c>
      <c r="H1276" s="48" t="s">
        <v>99</v>
      </c>
      <c r="I1276" s="52">
        <v>1188.5999999999999</v>
      </c>
      <c r="J1276" s="49">
        <v>42977.25</v>
      </c>
      <c r="K1276" s="65">
        <v>0</v>
      </c>
      <c r="L1276" s="65">
        <v>0</v>
      </c>
      <c r="M1276" s="65">
        <v>0</v>
      </c>
      <c r="N1276" s="65">
        <v>0</v>
      </c>
      <c r="O1276" s="65">
        <v>0</v>
      </c>
      <c r="P1276" s="65">
        <v>0</v>
      </c>
      <c r="Q1276" s="50">
        <v>42977.25</v>
      </c>
      <c r="R1276" s="65">
        <v>0</v>
      </c>
      <c r="S1276" s="65">
        <v>0</v>
      </c>
      <c r="T1276" s="65">
        <v>0</v>
      </c>
      <c r="U1276" s="65">
        <v>0</v>
      </c>
      <c r="V1276" s="65">
        <v>0</v>
      </c>
      <c r="W1276" s="65">
        <v>0</v>
      </c>
      <c r="X1276" s="65">
        <v>0</v>
      </c>
      <c r="Y1276" s="65">
        <v>0</v>
      </c>
      <c r="Z1276" s="65">
        <v>42977.25</v>
      </c>
      <c r="AA1276" s="51">
        <v>0</v>
      </c>
      <c r="AB1276" s="102">
        <v>0</v>
      </c>
      <c r="AC1276" s="81">
        <f t="shared" si="60"/>
        <v>0</v>
      </c>
      <c r="AD1276" s="82">
        <f t="shared" si="61"/>
        <v>0</v>
      </c>
      <c r="AE1276" s="218">
        <v>0</v>
      </c>
      <c r="AF1276">
        <v>0</v>
      </c>
      <c r="AH1276" t="str">
        <f t="shared" si="62"/>
        <v>Araria</v>
      </c>
      <c r="AJ1276" s="72">
        <v>0</v>
      </c>
      <c r="AK1276" s="72"/>
      <c r="AL1276" s="72"/>
      <c r="AM1276" s="72"/>
    </row>
    <row r="1277" spans="1:39" x14ac:dyDescent="0.25">
      <c r="A1277" s="37" t="s">
        <v>62</v>
      </c>
      <c r="B1277" s="66" t="s">
        <v>1615</v>
      </c>
      <c r="C1277" s="47">
        <v>1010</v>
      </c>
      <c r="D1277" s="47" t="s">
        <v>1359</v>
      </c>
      <c r="E1277" s="41">
        <v>10100045</v>
      </c>
      <c r="F1277" s="46" t="s">
        <v>434</v>
      </c>
      <c r="G1277" s="39" t="s">
        <v>93</v>
      </c>
      <c r="H1277" s="48" t="s">
        <v>94</v>
      </c>
      <c r="I1277" s="52">
        <v>319.29999999999995</v>
      </c>
      <c r="J1277" s="49">
        <v>11356.869999999999</v>
      </c>
      <c r="K1277" s="65">
        <v>638.20000000000005</v>
      </c>
      <c r="L1277" s="65">
        <v>24887.548622376005</v>
      </c>
      <c r="M1277" s="65">
        <v>2.48</v>
      </c>
      <c r="N1277" s="65">
        <v>95.689582560000005</v>
      </c>
      <c r="O1277" s="65">
        <v>640.68000000000006</v>
      </c>
      <c r="P1277" s="65">
        <v>24983.238204936006</v>
      </c>
      <c r="Q1277" s="50">
        <v>11356.869999999999</v>
      </c>
      <c r="R1277" s="65">
        <v>0</v>
      </c>
      <c r="S1277" s="65">
        <v>95.689582560000005</v>
      </c>
      <c r="T1277" s="65">
        <v>13626.368204936007</v>
      </c>
      <c r="U1277" s="65">
        <v>0</v>
      </c>
      <c r="V1277" s="65">
        <v>963.89</v>
      </c>
      <c r="W1277" s="65">
        <v>0</v>
      </c>
      <c r="X1277" s="65">
        <v>10297</v>
      </c>
      <c r="Y1277" s="65">
        <v>0</v>
      </c>
      <c r="Z1277" s="65">
        <v>0</v>
      </c>
      <c r="AA1277" s="51">
        <v>0</v>
      </c>
      <c r="AB1277" s="102" t="s">
        <v>68</v>
      </c>
      <c r="AC1277" s="81">
        <f t="shared" si="60"/>
        <v>270.81493322893834</v>
      </c>
      <c r="AD1277" s="82">
        <f t="shared" si="61"/>
        <v>45.614285714285707</v>
      </c>
      <c r="AE1277" s="218">
        <v>-1.1998348316865481</v>
      </c>
      <c r="AF1277">
        <v>4</v>
      </c>
      <c r="AH1277" t="str">
        <f t="shared" si="62"/>
        <v>Parbatta</v>
      </c>
      <c r="AJ1277" s="72">
        <v>0</v>
      </c>
      <c r="AK1277" s="72"/>
      <c r="AL1277" s="72"/>
      <c r="AM1277" s="72"/>
    </row>
    <row r="1278" spans="1:39" x14ac:dyDescent="0.25">
      <c r="A1278" s="37" t="s">
        <v>62</v>
      </c>
      <c r="B1278" s="66" t="s">
        <v>1615</v>
      </c>
      <c r="C1278" s="47">
        <v>1007</v>
      </c>
      <c r="D1278" s="47" t="s">
        <v>207</v>
      </c>
      <c r="E1278" s="41">
        <v>10100049</v>
      </c>
      <c r="F1278" s="46" t="s">
        <v>621</v>
      </c>
      <c r="G1278" s="39" t="s">
        <v>93</v>
      </c>
      <c r="H1278" s="48" t="s">
        <v>94</v>
      </c>
      <c r="I1278" s="52">
        <v>165.7</v>
      </c>
      <c r="J1278" s="49">
        <v>5899.98</v>
      </c>
      <c r="K1278" s="65">
        <v>165.7</v>
      </c>
      <c r="L1278" s="65">
        <v>6561.9037281600004</v>
      </c>
      <c r="M1278" s="65">
        <v>0</v>
      </c>
      <c r="N1278" s="65">
        <v>0</v>
      </c>
      <c r="O1278" s="65">
        <v>165.7</v>
      </c>
      <c r="P1278" s="65">
        <v>6561.9037281600004</v>
      </c>
      <c r="Q1278" s="50">
        <v>5899.98</v>
      </c>
      <c r="R1278" s="65">
        <v>0</v>
      </c>
      <c r="S1278" s="65">
        <v>0</v>
      </c>
      <c r="T1278" s="65">
        <v>661.92372816000079</v>
      </c>
      <c r="U1278" s="65">
        <v>0</v>
      </c>
      <c r="V1278" s="65">
        <v>519.55899310344842</v>
      </c>
      <c r="W1278" s="65">
        <v>0</v>
      </c>
      <c r="X1278" s="65">
        <v>5380</v>
      </c>
      <c r="Y1278" s="65">
        <v>0</v>
      </c>
      <c r="Z1278" s="65">
        <v>0</v>
      </c>
      <c r="AA1278" s="51">
        <v>0</v>
      </c>
      <c r="AB1278" s="102">
        <v>0</v>
      </c>
      <c r="AC1278" s="81">
        <f t="shared" si="60"/>
        <v>380.48995944477969</v>
      </c>
      <c r="AD1278" s="82">
        <f t="shared" si="61"/>
        <v>23.671428571428571</v>
      </c>
      <c r="AE1278" s="218">
        <v>-0.11219084270794152</v>
      </c>
      <c r="AF1278">
        <v>1</v>
      </c>
      <c r="AH1278" t="str">
        <f t="shared" si="62"/>
        <v>Araria</v>
      </c>
      <c r="AJ1278" s="72">
        <v>0</v>
      </c>
      <c r="AK1278" s="72"/>
      <c r="AL1278" s="72"/>
      <c r="AM1278" s="72"/>
    </row>
    <row r="1279" spans="1:39" x14ac:dyDescent="0.25">
      <c r="A1279" s="37" t="s">
        <v>62</v>
      </c>
      <c r="B1279" s="66" t="s">
        <v>1615</v>
      </c>
      <c r="C1279" s="47">
        <v>1007</v>
      </c>
      <c r="D1279" s="47" t="s">
        <v>207</v>
      </c>
      <c r="E1279" s="41">
        <v>10100051</v>
      </c>
      <c r="F1279" s="46" t="s">
        <v>451</v>
      </c>
      <c r="G1279" s="39" t="s">
        <v>93</v>
      </c>
      <c r="H1279" s="48" t="s">
        <v>94</v>
      </c>
      <c r="I1279" s="52">
        <v>1218</v>
      </c>
      <c r="J1279" s="49">
        <v>45067.9</v>
      </c>
      <c r="K1279" s="65">
        <v>1264</v>
      </c>
      <c r="L1279" s="65">
        <v>47325.369762000002</v>
      </c>
      <c r="M1279" s="65">
        <v>0</v>
      </c>
      <c r="N1279" s="65">
        <v>0</v>
      </c>
      <c r="O1279" s="65">
        <v>1264</v>
      </c>
      <c r="P1279" s="65">
        <v>47325.369762000002</v>
      </c>
      <c r="Q1279" s="50">
        <v>45067.9</v>
      </c>
      <c r="R1279" s="65">
        <v>0</v>
      </c>
      <c r="S1279" s="65">
        <v>0</v>
      </c>
      <c r="T1279" s="65">
        <v>2257.4697620000006</v>
      </c>
      <c r="U1279" s="65">
        <v>0</v>
      </c>
      <c r="V1279" s="65">
        <v>0</v>
      </c>
      <c r="W1279" s="65">
        <v>0</v>
      </c>
      <c r="X1279" s="65">
        <v>45068</v>
      </c>
      <c r="Y1279" s="65">
        <v>0</v>
      </c>
      <c r="Z1279" s="65">
        <v>0</v>
      </c>
      <c r="AA1279" s="51">
        <v>0</v>
      </c>
      <c r="AB1279" s="102">
        <v>0</v>
      </c>
      <c r="AC1279" s="81">
        <f t="shared" si="60"/>
        <v>0</v>
      </c>
      <c r="AD1279" s="82">
        <f t="shared" si="61"/>
        <v>0</v>
      </c>
      <c r="AE1279" s="218">
        <v>-5.0090413842224742E-2</v>
      </c>
      <c r="AF1279">
        <v>2</v>
      </c>
      <c r="AH1279" t="str">
        <f t="shared" si="62"/>
        <v>Araria</v>
      </c>
      <c r="AJ1279" s="72">
        <v>0</v>
      </c>
      <c r="AK1279" s="72"/>
      <c r="AL1279" s="72"/>
      <c r="AM1279" s="72"/>
    </row>
    <row r="1280" spans="1:39" x14ac:dyDescent="0.25">
      <c r="A1280" s="37" t="s">
        <v>62</v>
      </c>
      <c r="B1280" s="66" t="s">
        <v>1615</v>
      </c>
      <c r="C1280" s="47">
        <v>1007</v>
      </c>
      <c r="D1280" s="47" t="s">
        <v>207</v>
      </c>
      <c r="E1280" s="41">
        <v>10100054</v>
      </c>
      <c r="F1280" s="46" t="s">
        <v>507</v>
      </c>
      <c r="G1280" s="39" t="s">
        <v>93</v>
      </c>
      <c r="H1280" s="48" t="s">
        <v>94</v>
      </c>
      <c r="I1280" s="52">
        <v>196.2</v>
      </c>
      <c r="J1280" s="49">
        <v>8614.2799999999988</v>
      </c>
      <c r="K1280" s="65">
        <v>312.86</v>
      </c>
      <c r="L1280" s="65">
        <v>12990.722720477404</v>
      </c>
      <c r="M1280" s="65">
        <v>2.11</v>
      </c>
      <c r="N1280" s="65">
        <v>87.185929525200009</v>
      </c>
      <c r="O1280" s="65">
        <v>314.97000000000003</v>
      </c>
      <c r="P1280" s="65">
        <v>13077.908650002604</v>
      </c>
      <c r="Q1280" s="50">
        <v>8614.2799999999988</v>
      </c>
      <c r="R1280" s="65">
        <v>0</v>
      </c>
      <c r="S1280" s="65">
        <v>87.185929525200009</v>
      </c>
      <c r="T1280" s="65">
        <v>4463.6286500026054</v>
      </c>
      <c r="U1280" s="65">
        <v>0</v>
      </c>
      <c r="V1280" s="65">
        <v>143.95550163934428</v>
      </c>
      <c r="W1280" s="65">
        <v>0</v>
      </c>
      <c r="X1280" s="65">
        <v>8383</v>
      </c>
      <c r="Y1280" s="65">
        <v>0</v>
      </c>
      <c r="Z1280" s="65">
        <v>0</v>
      </c>
      <c r="AA1280" s="51">
        <v>0</v>
      </c>
      <c r="AB1280" s="102">
        <v>0</v>
      </c>
      <c r="AC1280" s="81">
        <f t="shared" si="60"/>
        <v>442.39289133537204</v>
      </c>
      <c r="AD1280" s="82">
        <f t="shared" si="61"/>
        <v>28.028571428571428</v>
      </c>
      <c r="AE1280" s="218">
        <v>-0.51816619032613354</v>
      </c>
      <c r="AF1280">
        <v>8</v>
      </c>
      <c r="AH1280" t="str">
        <f t="shared" si="62"/>
        <v>Araria</v>
      </c>
      <c r="AJ1280" s="72">
        <v>0</v>
      </c>
      <c r="AK1280" s="72"/>
      <c r="AL1280" s="72"/>
      <c r="AM1280" s="72"/>
    </row>
    <row r="1281" spans="1:39" x14ac:dyDescent="0.25">
      <c r="A1281" s="37" t="s">
        <v>62</v>
      </c>
      <c r="B1281" s="66" t="s">
        <v>1615</v>
      </c>
      <c r="C1281" s="47">
        <v>1007</v>
      </c>
      <c r="D1281" s="47" t="s">
        <v>207</v>
      </c>
      <c r="E1281" s="41">
        <v>10100060</v>
      </c>
      <c r="F1281" s="46" t="s">
        <v>508</v>
      </c>
      <c r="G1281" s="39" t="s">
        <v>93</v>
      </c>
      <c r="H1281" s="48" t="s">
        <v>94</v>
      </c>
      <c r="I1281" s="52">
        <v>265</v>
      </c>
      <c r="J1281" s="49">
        <v>9486.1400000000012</v>
      </c>
      <c r="K1281" s="65">
        <v>265</v>
      </c>
      <c r="L1281" s="65">
        <v>10984.017330000001</v>
      </c>
      <c r="M1281" s="65">
        <v>0</v>
      </c>
      <c r="N1281" s="65">
        <v>0</v>
      </c>
      <c r="O1281" s="65">
        <v>265</v>
      </c>
      <c r="P1281" s="65">
        <v>10984.017330000001</v>
      </c>
      <c r="Q1281" s="50">
        <v>9486.1400000000012</v>
      </c>
      <c r="R1281" s="65">
        <v>0</v>
      </c>
      <c r="S1281" s="65">
        <v>0</v>
      </c>
      <c r="T1281" s="65">
        <v>1497.8773299999993</v>
      </c>
      <c r="U1281" s="65">
        <v>0</v>
      </c>
      <c r="V1281" s="65">
        <v>0</v>
      </c>
      <c r="W1281" s="65">
        <v>0</v>
      </c>
      <c r="X1281" s="65">
        <v>9486</v>
      </c>
      <c r="Y1281" s="65">
        <v>0</v>
      </c>
      <c r="Z1281" s="65">
        <v>0</v>
      </c>
      <c r="AA1281" s="51">
        <v>0</v>
      </c>
      <c r="AB1281" s="102" t="s">
        <v>68</v>
      </c>
      <c r="AC1281" s="81">
        <f t="shared" si="60"/>
        <v>311.43176603773588</v>
      </c>
      <c r="AD1281" s="82">
        <f t="shared" si="61"/>
        <v>37.857142857142854</v>
      </c>
      <c r="AE1281" s="218">
        <v>-0.15790166811790668</v>
      </c>
      <c r="AF1281">
        <v>1</v>
      </c>
      <c r="AH1281" t="str">
        <f t="shared" si="62"/>
        <v>Araria</v>
      </c>
      <c r="AJ1281" s="72">
        <v>0</v>
      </c>
      <c r="AK1281" s="72"/>
      <c r="AL1281" s="72"/>
      <c r="AM1281" s="72"/>
    </row>
    <row r="1282" spans="1:39" x14ac:dyDescent="0.25">
      <c r="A1282" s="37" t="s">
        <v>62</v>
      </c>
      <c r="B1282" s="66" t="s">
        <v>1615</v>
      </c>
      <c r="C1282" s="47">
        <v>1010</v>
      </c>
      <c r="D1282" s="47" t="s">
        <v>1359</v>
      </c>
      <c r="E1282" s="41">
        <v>10100062</v>
      </c>
      <c r="F1282" s="46" t="s">
        <v>1361</v>
      </c>
      <c r="G1282" s="39" t="s">
        <v>635</v>
      </c>
      <c r="H1282" s="48" t="s">
        <v>99</v>
      </c>
      <c r="I1282" s="52">
        <v>7274.5</v>
      </c>
      <c r="J1282" s="49">
        <v>288274.17</v>
      </c>
      <c r="K1282" s="65">
        <v>0</v>
      </c>
      <c r="L1282" s="65">
        <v>0</v>
      </c>
      <c r="M1282" s="65">
        <v>0</v>
      </c>
      <c r="N1282" s="65">
        <v>0</v>
      </c>
      <c r="O1282" s="65">
        <v>0</v>
      </c>
      <c r="P1282" s="65">
        <v>0</v>
      </c>
      <c r="Q1282" s="50">
        <v>288274.17</v>
      </c>
      <c r="R1282" s="65">
        <v>0</v>
      </c>
      <c r="S1282" s="65">
        <v>0</v>
      </c>
      <c r="T1282" s="65">
        <v>0</v>
      </c>
      <c r="U1282" s="65">
        <v>0</v>
      </c>
      <c r="V1282" s="65">
        <v>0</v>
      </c>
      <c r="W1282" s="65">
        <v>0</v>
      </c>
      <c r="X1282" s="65">
        <v>0</v>
      </c>
      <c r="Y1282" s="65">
        <v>0</v>
      </c>
      <c r="Z1282" s="65">
        <v>288274.17</v>
      </c>
      <c r="AA1282" s="51">
        <v>0</v>
      </c>
      <c r="AB1282" s="102">
        <v>0</v>
      </c>
      <c r="AC1282" s="81">
        <f t="shared" si="60"/>
        <v>0</v>
      </c>
      <c r="AD1282" s="82">
        <f t="shared" si="61"/>
        <v>0</v>
      </c>
      <c r="AE1282" s="218">
        <v>0</v>
      </c>
      <c r="AF1282">
        <v>0</v>
      </c>
      <c r="AH1282" t="str">
        <f t="shared" si="62"/>
        <v>Parbatta</v>
      </c>
      <c r="AJ1282" s="72">
        <v>0</v>
      </c>
      <c r="AK1282" s="72"/>
      <c r="AL1282" s="72"/>
      <c r="AM1282" s="72"/>
    </row>
    <row r="1283" spans="1:39" x14ac:dyDescent="0.25">
      <c r="A1283" s="37" t="s">
        <v>62</v>
      </c>
      <c r="B1283" s="66" t="s">
        <v>1615</v>
      </c>
      <c r="C1283" s="47">
        <v>1010</v>
      </c>
      <c r="D1283" s="47" t="s">
        <v>1359</v>
      </c>
      <c r="E1283" s="41">
        <v>10100065</v>
      </c>
      <c r="F1283" s="46" t="s">
        <v>1384</v>
      </c>
      <c r="G1283" s="39" t="s">
        <v>635</v>
      </c>
      <c r="H1283" s="48" t="s">
        <v>99</v>
      </c>
      <c r="I1283" s="52">
        <v>799.8</v>
      </c>
      <c r="J1283" s="49">
        <v>26829.82</v>
      </c>
      <c r="K1283" s="65">
        <v>0</v>
      </c>
      <c r="L1283" s="65">
        <v>0</v>
      </c>
      <c r="M1283" s="65">
        <v>0</v>
      </c>
      <c r="N1283" s="65">
        <v>0</v>
      </c>
      <c r="O1283" s="65">
        <v>0</v>
      </c>
      <c r="P1283" s="65">
        <v>0</v>
      </c>
      <c r="Q1283" s="50">
        <v>26829.82</v>
      </c>
      <c r="R1283" s="65">
        <v>0</v>
      </c>
      <c r="S1283" s="65">
        <v>0</v>
      </c>
      <c r="T1283" s="65">
        <v>0</v>
      </c>
      <c r="U1283" s="65">
        <v>0</v>
      </c>
      <c r="V1283" s="65">
        <v>0</v>
      </c>
      <c r="W1283" s="65">
        <v>0</v>
      </c>
      <c r="X1283" s="65">
        <v>0</v>
      </c>
      <c r="Y1283" s="65">
        <v>0</v>
      </c>
      <c r="Z1283" s="65">
        <v>26829.82</v>
      </c>
      <c r="AA1283" s="51">
        <v>0</v>
      </c>
      <c r="AB1283" s="102">
        <v>0</v>
      </c>
      <c r="AC1283" s="81">
        <f t="shared" ref="AC1283:AC1346" si="63">((IF(AD1283=0,0,100-AD1283))*7*(J1283/I1283))*2%</f>
        <v>0</v>
      </c>
      <c r="AD1283" s="82">
        <f t="shared" ref="AD1283:AD1346" si="64">IF((I1283/7)&gt;100,0,(I1283/7))</f>
        <v>0</v>
      </c>
      <c r="AE1283" s="218">
        <v>0</v>
      </c>
      <c r="AF1283">
        <v>0</v>
      </c>
      <c r="AH1283" t="str">
        <f t="shared" si="62"/>
        <v>Parbatta</v>
      </c>
      <c r="AJ1283" s="72">
        <v>0</v>
      </c>
      <c r="AK1283" s="72"/>
      <c r="AL1283" s="72"/>
      <c r="AM1283" s="72"/>
    </row>
    <row r="1284" spans="1:39" x14ac:dyDescent="0.25">
      <c r="A1284" s="37" t="s">
        <v>62</v>
      </c>
      <c r="B1284" s="66" t="s">
        <v>1615</v>
      </c>
      <c r="C1284" s="47">
        <v>1010</v>
      </c>
      <c r="D1284" s="47" t="s">
        <v>1359</v>
      </c>
      <c r="E1284" s="41">
        <v>10100067</v>
      </c>
      <c r="F1284" s="46" t="s">
        <v>1556</v>
      </c>
      <c r="G1284" s="39" t="s">
        <v>635</v>
      </c>
      <c r="H1284" s="48" t="s">
        <v>99</v>
      </c>
      <c r="I1284" s="52">
        <v>26.5</v>
      </c>
      <c r="J1284" s="49">
        <v>864.06999999999994</v>
      </c>
      <c r="K1284" s="65">
        <v>0</v>
      </c>
      <c r="L1284" s="65">
        <v>0</v>
      </c>
      <c r="M1284" s="65">
        <v>0</v>
      </c>
      <c r="N1284" s="65">
        <v>0</v>
      </c>
      <c r="O1284" s="65">
        <v>0</v>
      </c>
      <c r="P1284" s="65">
        <v>0</v>
      </c>
      <c r="Q1284" s="50">
        <v>864.06999999999994</v>
      </c>
      <c r="R1284" s="65">
        <v>0</v>
      </c>
      <c r="S1284" s="65">
        <v>0</v>
      </c>
      <c r="T1284" s="65">
        <v>0</v>
      </c>
      <c r="U1284" s="65">
        <v>0</v>
      </c>
      <c r="V1284" s="65">
        <v>0</v>
      </c>
      <c r="W1284" s="65">
        <v>0</v>
      </c>
      <c r="X1284" s="65">
        <v>0</v>
      </c>
      <c r="Y1284" s="65">
        <v>0</v>
      </c>
      <c r="Z1284" s="65">
        <v>864.06999999999994</v>
      </c>
      <c r="AA1284" s="51">
        <v>0</v>
      </c>
      <c r="AB1284" s="102">
        <v>0</v>
      </c>
      <c r="AC1284" s="81">
        <f t="shared" si="63"/>
        <v>439.20841132075469</v>
      </c>
      <c r="AD1284" s="82">
        <f t="shared" si="64"/>
        <v>3.7857142857142856</v>
      </c>
      <c r="AE1284" s="218">
        <v>0</v>
      </c>
      <c r="AF1284">
        <v>0</v>
      </c>
      <c r="AH1284" t="str">
        <f t="shared" si="62"/>
        <v>Parbatta</v>
      </c>
      <c r="AJ1284" s="72">
        <v>0</v>
      </c>
      <c r="AK1284" s="72"/>
      <c r="AL1284" s="72"/>
      <c r="AM1284" s="72"/>
    </row>
    <row r="1285" spans="1:39" x14ac:dyDescent="0.25">
      <c r="A1285" s="37" t="s">
        <v>62</v>
      </c>
      <c r="B1285" s="66" t="s">
        <v>1615</v>
      </c>
      <c r="C1285" s="47">
        <v>1010</v>
      </c>
      <c r="D1285" s="47" t="s">
        <v>1359</v>
      </c>
      <c r="E1285" s="41">
        <v>10100070</v>
      </c>
      <c r="F1285" s="46" t="s">
        <v>1495</v>
      </c>
      <c r="G1285" s="39" t="s">
        <v>635</v>
      </c>
      <c r="H1285" s="48" t="s">
        <v>99</v>
      </c>
      <c r="I1285" s="52">
        <v>2898.9000000000005</v>
      </c>
      <c r="J1285" s="49">
        <v>135626.6</v>
      </c>
      <c r="K1285" s="65">
        <v>0</v>
      </c>
      <c r="L1285" s="65">
        <v>0</v>
      </c>
      <c r="M1285" s="65">
        <v>0</v>
      </c>
      <c r="N1285" s="65">
        <v>0</v>
      </c>
      <c r="O1285" s="65">
        <v>0</v>
      </c>
      <c r="P1285" s="65">
        <v>0</v>
      </c>
      <c r="Q1285" s="50">
        <v>135626.6</v>
      </c>
      <c r="R1285" s="65">
        <v>0</v>
      </c>
      <c r="S1285" s="65">
        <v>0</v>
      </c>
      <c r="T1285" s="65">
        <v>0</v>
      </c>
      <c r="U1285" s="65">
        <v>0</v>
      </c>
      <c r="V1285" s="65">
        <v>0</v>
      </c>
      <c r="W1285" s="65">
        <v>0</v>
      </c>
      <c r="X1285" s="65">
        <v>0</v>
      </c>
      <c r="Y1285" s="65">
        <v>0</v>
      </c>
      <c r="Z1285" s="65">
        <v>135626.6</v>
      </c>
      <c r="AA1285" s="51">
        <v>0</v>
      </c>
      <c r="AB1285" s="102">
        <v>0</v>
      </c>
      <c r="AC1285" s="81">
        <f t="shared" si="63"/>
        <v>0</v>
      </c>
      <c r="AD1285" s="82">
        <f t="shared" si="64"/>
        <v>0</v>
      </c>
      <c r="AE1285" s="218">
        <v>0</v>
      </c>
      <c r="AF1285">
        <v>0</v>
      </c>
      <c r="AH1285" t="str">
        <f t="shared" si="62"/>
        <v>Parbatta</v>
      </c>
      <c r="AJ1285" s="72">
        <v>0</v>
      </c>
      <c r="AK1285" s="72"/>
      <c r="AL1285" s="72"/>
      <c r="AM1285" s="72"/>
    </row>
    <row r="1286" spans="1:39" x14ac:dyDescent="0.25">
      <c r="A1286" s="37" t="s">
        <v>62</v>
      </c>
      <c r="B1286" s="66" t="s">
        <v>1615</v>
      </c>
      <c r="C1286" s="47">
        <v>1055</v>
      </c>
      <c r="D1286" s="47" t="s">
        <v>1148</v>
      </c>
      <c r="E1286" s="41">
        <v>10110001</v>
      </c>
      <c r="F1286" s="46" t="s">
        <v>290</v>
      </c>
      <c r="G1286" s="39" t="s">
        <v>93</v>
      </c>
      <c r="H1286" s="48" t="s">
        <v>94</v>
      </c>
      <c r="I1286" s="52">
        <v>2012.1000000000001</v>
      </c>
      <c r="J1286" s="49">
        <v>78861.73000000001</v>
      </c>
      <c r="K1286" s="65">
        <v>1979.5</v>
      </c>
      <c r="L1286" s="65">
        <v>79799.501931388208</v>
      </c>
      <c r="M1286" s="65">
        <v>41</v>
      </c>
      <c r="N1286" s="65">
        <v>1674.0700019999999</v>
      </c>
      <c r="O1286" s="65">
        <v>2020.5</v>
      </c>
      <c r="P1286" s="65">
        <v>81473.571933388201</v>
      </c>
      <c r="Q1286" s="50">
        <v>78861.73000000001</v>
      </c>
      <c r="R1286" s="65">
        <v>0</v>
      </c>
      <c r="S1286" s="65">
        <v>1674.0700019999999</v>
      </c>
      <c r="T1286" s="65">
        <v>2611.8419333881902</v>
      </c>
      <c r="U1286" s="65">
        <v>2700</v>
      </c>
      <c r="V1286" s="65">
        <v>0</v>
      </c>
      <c r="W1286" s="65">
        <v>0</v>
      </c>
      <c r="X1286" s="65">
        <v>74488</v>
      </c>
      <c r="Y1286" s="65">
        <v>0</v>
      </c>
      <c r="Z1286" s="65">
        <v>0</v>
      </c>
      <c r="AA1286" s="51">
        <v>0</v>
      </c>
      <c r="AB1286" s="102">
        <v>0</v>
      </c>
      <c r="AC1286" s="81">
        <f t="shared" si="63"/>
        <v>0</v>
      </c>
      <c r="AD1286" s="82">
        <f t="shared" si="64"/>
        <v>0</v>
      </c>
      <c r="AE1286" s="218">
        <v>-3.3119257381092067E-2</v>
      </c>
      <c r="AF1286">
        <v>13</v>
      </c>
      <c r="AH1286" t="str">
        <f t="shared" si="62"/>
        <v>Matihani</v>
      </c>
      <c r="AJ1286" s="72">
        <v>0</v>
      </c>
      <c r="AK1286" s="72"/>
      <c r="AL1286" s="72"/>
      <c r="AM1286" s="72"/>
    </row>
    <row r="1287" spans="1:39" x14ac:dyDescent="0.25">
      <c r="A1287" s="37" t="s">
        <v>62</v>
      </c>
      <c r="B1287" s="66" t="s">
        <v>1615</v>
      </c>
      <c r="C1287" s="47">
        <v>1055</v>
      </c>
      <c r="D1287" s="47" t="s">
        <v>1148</v>
      </c>
      <c r="E1287" s="41">
        <v>10110002</v>
      </c>
      <c r="F1287" s="46" t="s">
        <v>291</v>
      </c>
      <c r="G1287" s="39" t="s">
        <v>93</v>
      </c>
      <c r="H1287" s="48" t="s">
        <v>94</v>
      </c>
      <c r="I1287" s="52">
        <v>322.60000000000002</v>
      </c>
      <c r="J1287" s="49">
        <v>11724.17</v>
      </c>
      <c r="K1287" s="65">
        <v>359.7</v>
      </c>
      <c r="L1287" s="65">
        <v>13175.698143959999</v>
      </c>
      <c r="M1287" s="65">
        <v>0</v>
      </c>
      <c r="N1287" s="65">
        <v>0</v>
      </c>
      <c r="O1287" s="65">
        <v>359.7</v>
      </c>
      <c r="P1287" s="65">
        <v>13175.698143959999</v>
      </c>
      <c r="Q1287" s="50">
        <v>11724.17</v>
      </c>
      <c r="R1287" s="65">
        <v>0</v>
      </c>
      <c r="S1287" s="65">
        <v>0</v>
      </c>
      <c r="T1287" s="65">
        <v>1451.5281439599985</v>
      </c>
      <c r="U1287" s="65">
        <v>0</v>
      </c>
      <c r="V1287" s="65">
        <v>0</v>
      </c>
      <c r="W1287" s="65">
        <v>0</v>
      </c>
      <c r="X1287" s="65">
        <v>11724</v>
      </c>
      <c r="Y1287" s="65">
        <v>0</v>
      </c>
      <c r="Z1287" s="65">
        <v>0</v>
      </c>
      <c r="AA1287" s="51">
        <v>0</v>
      </c>
      <c r="AB1287" s="102">
        <v>0</v>
      </c>
      <c r="AC1287" s="81">
        <f t="shared" si="63"/>
        <v>274.3150500929944</v>
      </c>
      <c r="AD1287" s="82">
        <f t="shared" si="64"/>
        <v>46.085714285714289</v>
      </c>
      <c r="AE1287" s="218">
        <v>-0.123806473631822</v>
      </c>
      <c r="AF1287">
        <v>2</v>
      </c>
      <c r="AH1287" t="str">
        <f t="shared" si="62"/>
        <v>Matihani</v>
      </c>
      <c r="AJ1287" s="72">
        <v>0</v>
      </c>
      <c r="AK1287" s="72"/>
      <c r="AL1287" s="72"/>
      <c r="AM1287" s="72"/>
    </row>
    <row r="1288" spans="1:39" x14ac:dyDescent="0.25">
      <c r="A1288" s="37" t="s">
        <v>62</v>
      </c>
      <c r="B1288" s="66" t="s">
        <v>1615</v>
      </c>
      <c r="C1288" s="47">
        <v>1011</v>
      </c>
      <c r="D1288" s="47" t="s">
        <v>289</v>
      </c>
      <c r="E1288" s="41">
        <v>10110004</v>
      </c>
      <c r="F1288" s="46" t="s">
        <v>292</v>
      </c>
      <c r="G1288" s="39" t="s">
        <v>93</v>
      </c>
      <c r="H1288" s="48" t="s">
        <v>94</v>
      </c>
      <c r="I1288" s="52">
        <v>472.89999999999986</v>
      </c>
      <c r="J1288" s="49">
        <v>17339.800000000003</v>
      </c>
      <c r="K1288" s="65">
        <v>472.8</v>
      </c>
      <c r="L1288" s="65">
        <v>17387.919806400001</v>
      </c>
      <c r="M1288" s="65">
        <v>1.4000000000000001</v>
      </c>
      <c r="N1288" s="65">
        <v>51.441908760000025</v>
      </c>
      <c r="O1288" s="65">
        <v>474.2</v>
      </c>
      <c r="P1288" s="65">
        <v>17439.361715160001</v>
      </c>
      <c r="Q1288" s="50">
        <v>17339.800000000003</v>
      </c>
      <c r="R1288" s="65">
        <v>0</v>
      </c>
      <c r="S1288" s="65">
        <v>51.441908760000025</v>
      </c>
      <c r="T1288" s="65">
        <v>99.56171515999813</v>
      </c>
      <c r="U1288" s="65">
        <v>0</v>
      </c>
      <c r="V1288" s="65">
        <v>53.271599999999353</v>
      </c>
      <c r="W1288" s="65">
        <v>0</v>
      </c>
      <c r="X1288" s="65">
        <v>17235</v>
      </c>
      <c r="Y1288" s="65">
        <v>0</v>
      </c>
      <c r="Z1288" s="65">
        <v>0</v>
      </c>
      <c r="AA1288" s="51">
        <v>0</v>
      </c>
      <c r="AB1288" s="102">
        <v>0</v>
      </c>
      <c r="AC1288" s="81">
        <f t="shared" si="63"/>
        <v>166.54128060900842</v>
      </c>
      <c r="AD1288" s="82">
        <f t="shared" si="64"/>
        <v>67.557142857142836</v>
      </c>
      <c r="AE1288" s="218">
        <v>-5.7418029711990975E-3</v>
      </c>
      <c r="AF1288">
        <v>3</v>
      </c>
      <c r="AH1288" t="str">
        <f t="shared" si="62"/>
        <v>Sahibpur Kamal</v>
      </c>
      <c r="AJ1288" s="72">
        <v>0</v>
      </c>
      <c r="AK1288" s="72"/>
      <c r="AL1288" s="72"/>
      <c r="AM1288" s="72"/>
    </row>
    <row r="1289" spans="1:39" x14ac:dyDescent="0.25">
      <c r="A1289" s="37" t="s">
        <v>62</v>
      </c>
      <c r="B1289" s="66" t="s">
        <v>1615</v>
      </c>
      <c r="C1289" s="47">
        <v>1055</v>
      </c>
      <c r="D1289" s="47" t="s">
        <v>1148</v>
      </c>
      <c r="E1289" s="41">
        <v>10110005</v>
      </c>
      <c r="F1289" s="46" t="s">
        <v>293</v>
      </c>
      <c r="G1289" s="39" t="s">
        <v>93</v>
      </c>
      <c r="H1289" s="48" t="s">
        <v>94</v>
      </c>
      <c r="I1289" s="52">
        <v>4597.5</v>
      </c>
      <c r="J1289" s="49">
        <v>187122.29999999996</v>
      </c>
      <c r="K1289" s="65">
        <v>4571.6600000000008</v>
      </c>
      <c r="L1289" s="65">
        <v>186440.38484829559</v>
      </c>
      <c r="M1289" s="65">
        <v>29.199999999999996</v>
      </c>
      <c r="N1289" s="65">
        <v>2177.5153966717799</v>
      </c>
      <c r="O1289" s="65">
        <v>4600.8600000000006</v>
      </c>
      <c r="P1289" s="65">
        <v>188617.90024496737</v>
      </c>
      <c r="Q1289" s="50">
        <v>187122.29999999996</v>
      </c>
      <c r="R1289" s="65">
        <v>0</v>
      </c>
      <c r="S1289" s="65">
        <v>2177.5153966717799</v>
      </c>
      <c r="T1289" s="65">
        <v>1495.6002449674124</v>
      </c>
      <c r="U1289" s="65">
        <v>0</v>
      </c>
      <c r="V1289" s="65">
        <v>0</v>
      </c>
      <c r="W1289" s="65">
        <v>0</v>
      </c>
      <c r="X1289" s="65">
        <v>184945</v>
      </c>
      <c r="Y1289" s="65">
        <v>0</v>
      </c>
      <c r="Z1289" s="65">
        <v>0</v>
      </c>
      <c r="AA1289" s="51">
        <v>0</v>
      </c>
      <c r="AB1289" s="102">
        <v>0</v>
      </c>
      <c r="AC1289" s="81">
        <f t="shared" si="63"/>
        <v>0</v>
      </c>
      <c r="AD1289" s="82">
        <f t="shared" si="64"/>
        <v>0</v>
      </c>
      <c r="AE1289" s="218">
        <v>-7.9926350037778111E-3</v>
      </c>
      <c r="AF1289">
        <v>36</v>
      </c>
      <c r="AH1289" t="str">
        <f t="shared" si="62"/>
        <v>Matihani</v>
      </c>
      <c r="AJ1289" s="72">
        <v>0</v>
      </c>
      <c r="AK1289" s="72"/>
      <c r="AL1289" s="72"/>
      <c r="AM1289" s="72"/>
    </row>
    <row r="1290" spans="1:39" x14ac:dyDescent="0.25">
      <c r="A1290" s="37" t="s">
        <v>62</v>
      </c>
      <c r="B1290" s="66" t="s">
        <v>1615</v>
      </c>
      <c r="C1290" s="47">
        <v>1011</v>
      </c>
      <c r="D1290" s="47" t="s">
        <v>289</v>
      </c>
      <c r="E1290" s="41">
        <v>10110007</v>
      </c>
      <c r="F1290" s="46" t="s">
        <v>294</v>
      </c>
      <c r="G1290" s="39" t="s">
        <v>93</v>
      </c>
      <c r="H1290" s="48" t="s">
        <v>94</v>
      </c>
      <c r="I1290" s="52">
        <v>1295</v>
      </c>
      <c r="J1290" s="49">
        <v>46943.91</v>
      </c>
      <c r="K1290" s="65">
        <v>1298.3</v>
      </c>
      <c r="L1290" s="65">
        <v>47225.814993522006</v>
      </c>
      <c r="M1290" s="65">
        <v>2.4</v>
      </c>
      <c r="N1290" s="65">
        <v>88.028060076000017</v>
      </c>
      <c r="O1290" s="65">
        <v>1300.7</v>
      </c>
      <c r="P1290" s="65">
        <v>47313.843053598008</v>
      </c>
      <c r="Q1290" s="50">
        <v>46943.91</v>
      </c>
      <c r="R1290" s="65">
        <v>0</v>
      </c>
      <c r="S1290" s="65">
        <v>88.028060076000017</v>
      </c>
      <c r="T1290" s="65">
        <v>369.93305359800434</v>
      </c>
      <c r="U1290" s="65">
        <v>0</v>
      </c>
      <c r="V1290" s="65">
        <v>0</v>
      </c>
      <c r="W1290" s="65">
        <v>0</v>
      </c>
      <c r="X1290" s="65">
        <v>46856</v>
      </c>
      <c r="Y1290" s="65">
        <v>0</v>
      </c>
      <c r="Z1290" s="65">
        <v>0</v>
      </c>
      <c r="AA1290" s="51">
        <v>0</v>
      </c>
      <c r="AB1290" s="102">
        <v>0</v>
      </c>
      <c r="AC1290" s="81">
        <f t="shared" si="63"/>
        <v>0</v>
      </c>
      <c r="AD1290" s="82">
        <f t="shared" si="64"/>
        <v>0</v>
      </c>
      <c r="AE1290" s="218">
        <v>-7.8803204419487915E-3</v>
      </c>
      <c r="AF1290">
        <v>6</v>
      </c>
      <c r="AH1290" t="str">
        <f t="shared" si="62"/>
        <v>Sahibpur Kamal</v>
      </c>
      <c r="AJ1290" s="72">
        <v>0</v>
      </c>
      <c r="AK1290" s="72"/>
      <c r="AL1290" s="72"/>
      <c r="AM1290" s="72"/>
    </row>
    <row r="1291" spans="1:39" x14ac:dyDescent="0.25">
      <c r="A1291" s="37" t="s">
        <v>62</v>
      </c>
      <c r="B1291" s="66" t="s">
        <v>1615</v>
      </c>
      <c r="C1291" s="47">
        <v>1011</v>
      </c>
      <c r="D1291" s="47" t="s">
        <v>289</v>
      </c>
      <c r="E1291" s="41">
        <v>10110008</v>
      </c>
      <c r="F1291" s="46" t="s">
        <v>622</v>
      </c>
      <c r="G1291" s="39" t="s">
        <v>635</v>
      </c>
      <c r="H1291" s="48" t="s">
        <v>99</v>
      </c>
      <c r="I1291" s="52">
        <v>5923.3</v>
      </c>
      <c r="J1291" s="49">
        <v>226984.38000000003</v>
      </c>
      <c r="K1291" s="65">
        <v>0</v>
      </c>
      <c r="L1291" s="65">
        <v>0</v>
      </c>
      <c r="M1291" s="65">
        <v>0</v>
      </c>
      <c r="N1291" s="65">
        <v>0</v>
      </c>
      <c r="O1291" s="65">
        <v>0</v>
      </c>
      <c r="P1291" s="65">
        <v>0</v>
      </c>
      <c r="Q1291" s="50">
        <v>226984.38000000003</v>
      </c>
      <c r="R1291" s="65">
        <v>0</v>
      </c>
      <c r="S1291" s="65">
        <v>0</v>
      </c>
      <c r="T1291" s="65">
        <v>0</v>
      </c>
      <c r="U1291" s="65">
        <v>0</v>
      </c>
      <c r="V1291" s="65">
        <v>0</v>
      </c>
      <c r="W1291" s="65">
        <v>0</v>
      </c>
      <c r="X1291" s="65">
        <v>0</v>
      </c>
      <c r="Y1291" s="65">
        <v>0</v>
      </c>
      <c r="Z1291" s="65">
        <v>226984.38000000003</v>
      </c>
      <c r="AA1291" s="51">
        <v>0</v>
      </c>
      <c r="AB1291" s="102">
        <v>0</v>
      </c>
      <c r="AC1291" s="81">
        <f t="shared" si="63"/>
        <v>0</v>
      </c>
      <c r="AD1291" s="82">
        <f t="shared" si="64"/>
        <v>0</v>
      </c>
      <c r="AE1291" s="218">
        <v>0</v>
      </c>
      <c r="AF1291">
        <v>0</v>
      </c>
      <c r="AH1291" t="str">
        <f t="shared" si="62"/>
        <v>Sahibpur Kamal</v>
      </c>
      <c r="AJ1291" s="72">
        <v>0</v>
      </c>
      <c r="AK1291" s="72"/>
      <c r="AL1291" s="72"/>
      <c r="AM1291" s="72"/>
    </row>
    <row r="1292" spans="1:39" x14ac:dyDescent="0.25">
      <c r="A1292" s="37" t="s">
        <v>62</v>
      </c>
      <c r="B1292" s="66" t="s">
        <v>1615</v>
      </c>
      <c r="C1292" s="47">
        <v>1011</v>
      </c>
      <c r="D1292" s="47" t="s">
        <v>289</v>
      </c>
      <c r="E1292" s="41">
        <v>10110013</v>
      </c>
      <c r="F1292" s="46" t="s">
        <v>295</v>
      </c>
      <c r="G1292" s="39" t="s">
        <v>93</v>
      </c>
      <c r="H1292" s="48" t="s">
        <v>94</v>
      </c>
      <c r="I1292" s="52">
        <v>848.09999999999991</v>
      </c>
      <c r="J1292" s="49">
        <v>31372.210000000003</v>
      </c>
      <c r="K1292" s="65">
        <v>950</v>
      </c>
      <c r="L1292" s="65">
        <v>35498.716862400004</v>
      </c>
      <c r="M1292" s="65">
        <v>1.8</v>
      </c>
      <c r="N1292" s="65">
        <v>66.925908719999995</v>
      </c>
      <c r="O1292" s="65">
        <v>951.8</v>
      </c>
      <c r="P1292" s="65">
        <v>35565.642771120001</v>
      </c>
      <c r="Q1292" s="50">
        <v>31372.210000000003</v>
      </c>
      <c r="R1292" s="65">
        <v>0</v>
      </c>
      <c r="S1292" s="65">
        <v>66.925908719999995</v>
      </c>
      <c r="T1292" s="65">
        <v>4193.4327711199985</v>
      </c>
      <c r="U1292" s="65">
        <v>1300</v>
      </c>
      <c r="V1292" s="65">
        <v>0</v>
      </c>
      <c r="W1292" s="65">
        <v>0</v>
      </c>
      <c r="X1292" s="65">
        <v>30005</v>
      </c>
      <c r="Y1292" s="65">
        <v>0</v>
      </c>
      <c r="Z1292" s="65">
        <v>0</v>
      </c>
      <c r="AA1292" s="51">
        <v>0</v>
      </c>
      <c r="AB1292" s="102" t="s">
        <v>68</v>
      </c>
      <c r="AC1292" s="81">
        <f t="shared" si="63"/>
        <v>0</v>
      </c>
      <c r="AD1292" s="82">
        <f t="shared" si="64"/>
        <v>0</v>
      </c>
      <c r="AE1292" s="218">
        <v>-0.13366711401970083</v>
      </c>
      <c r="AF1292">
        <v>7</v>
      </c>
      <c r="AH1292" t="str">
        <f t="shared" si="62"/>
        <v>Sahibpur Kamal</v>
      </c>
      <c r="AJ1292" s="72">
        <v>0</v>
      </c>
      <c r="AK1292" s="72"/>
      <c r="AL1292" s="72"/>
      <c r="AM1292" s="72"/>
    </row>
    <row r="1293" spans="1:39" x14ac:dyDescent="0.25">
      <c r="A1293" s="37" t="s">
        <v>62</v>
      </c>
      <c r="B1293" s="66" t="s">
        <v>1615</v>
      </c>
      <c r="C1293" s="47">
        <v>1011</v>
      </c>
      <c r="D1293" s="47" t="s">
        <v>289</v>
      </c>
      <c r="E1293" s="41">
        <v>10110014</v>
      </c>
      <c r="F1293" s="46" t="s">
        <v>296</v>
      </c>
      <c r="G1293" s="39" t="s">
        <v>93</v>
      </c>
      <c r="H1293" s="48" t="s">
        <v>94</v>
      </c>
      <c r="I1293" s="52">
        <v>941.80000000000018</v>
      </c>
      <c r="J1293" s="49">
        <v>41148.53</v>
      </c>
      <c r="K1293" s="65">
        <v>957.50000000000011</v>
      </c>
      <c r="L1293" s="65">
        <v>40980.42076759565</v>
      </c>
      <c r="M1293" s="65">
        <v>15.799999999999999</v>
      </c>
      <c r="N1293" s="65">
        <v>669.70434007224014</v>
      </c>
      <c r="O1293" s="65">
        <v>973.30000000000007</v>
      </c>
      <c r="P1293" s="65">
        <v>41650.125107667889</v>
      </c>
      <c r="Q1293" s="50">
        <v>41148.53</v>
      </c>
      <c r="R1293" s="65">
        <v>0</v>
      </c>
      <c r="S1293" s="65">
        <v>669.70434007224014</v>
      </c>
      <c r="T1293" s="65">
        <v>501.59510766789026</v>
      </c>
      <c r="U1293" s="65">
        <v>0</v>
      </c>
      <c r="V1293" s="65">
        <v>101.5126799999999</v>
      </c>
      <c r="W1293" s="65">
        <v>0</v>
      </c>
      <c r="X1293" s="65">
        <v>40377</v>
      </c>
      <c r="Y1293" s="65">
        <v>0</v>
      </c>
      <c r="Z1293" s="65">
        <v>0</v>
      </c>
      <c r="AA1293" s="51">
        <v>0</v>
      </c>
      <c r="AB1293" s="102">
        <v>0</v>
      </c>
      <c r="AC1293" s="81">
        <f t="shared" si="63"/>
        <v>0</v>
      </c>
      <c r="AD1293" s="82">
        <f t="shared" si="64"/>
        <v>0</v>
      </c>
      <c r="AE1293" s="218">
        <v>-1.2189866993253229E-2</v>
      </c>
      <c r="AF1293">
        <v>33</v>
      </c>
      <c r="AH1293" t="str">
        <f t="shared" si="62"/>
        <v>Sahibpur Kamal</v>
      </c>
      <c r="AJ1293" s="72">
        <v>0</v>
      </c>
      <c r="AK1293" s="72"/>
      <c r="AL1293" s="72"/>
      <c r="AM1293" s="72"/>
    </row>
    <row r="1294" spans="1:39" x14ac:dyDescent="0.25">
      <c r="A1294" s="37" t="s">
        <v>62</v>
      </c>
      <c r="B1294" s="66" t="s">
        <v>1615</v>
      </c>
      <c r="C1294" s="47">
        <v>1055</v>
      </c>
      <c r="D1294" s="47" t="s">
        <v>1148</v>
      </c>
      <c r="E1294" s="41">
        <v>10110015</v>
      </c>
      <c r="F1294" s="46" t="s">
        <v>297</v>
      </c>
      <c r="G1294" s="39" t="s">
        <v>93</v>
      </c>
      <c r="H1294" s="48" t="s">
        <v>94</v>
      </c>
      <c r="I1294" s="52">
        <v>1099.1000000000001</v>
      </c>
      <c r="J1294" s="49">
        <v>44761.53</v>
      </c>
      <c r="K1294" s="65">
        <v>1093.46</v>
      </c>
      <c r="L1294" s="65">
        <v>46620.560065746497</v>
      </c>
      <c r="M1294" s="65">
        <v>0</v>
      </c>
      <c r="N1294" s="65">
        <v>0</v>
      </c>
      <c r="O1294" s="65">
        <v>1093.46</v>
      </c>
      <c r="P1294" s="65">
        <v>46620.560065746497</v>
      </c>
      <c r="Q1294" s="50">
        <v>44761.53</v>
      </c>
      <c r="R1294" s="65">
        <v>0</v>
      </c>
      <c r="S1294" s="65">
        <v>0</v>
      </c>
      <c r="T1294" s="65">
        <v>1859.0300657464977</v>
      </c>
      <c r="U1294" s="65">
        <v>0</v>
      </c>
      <c r="V1294" s="65">
        <v>0</v>
      </c>
      <c r="W1294" s="65">
        <v>0</v>
      </c>
      <c r="X1294" s="65">
        <v>44762</v>
      </c>
      <c r="Y1294" s="65">
        <v>0</v>
      </c>
      <c r="Z1294" s="65">
        <v>0</v>
      </c>
      <c r="AA1294" s="51">
        <v>0</v>
      </c>
      <c r="AB1294" s="102">
        <v>0</v>
      </c>
      <c r="AC1294" s="81">
        <f t="shared" si="63"/>
        <v>0</v>
      </c>
      <c r="AD1294" s="82">
        <f t="shared" si="64"/>
        <v>0</v>
      </c>
      <c r="AE1294" s="218">
        <v>-4.1531870464358515E-2</v>
      </c>
      <c r="AF1294">
        <v>8</v>
      </c>
      <c r="AH1294" t="str">
        <f t="shared" si="62"/>
        <v>Matihani</v>
      </c>
      <c r="AJ1294" s="72">
        <v>0</v>
      </c>
      <c r="AK1294" s="72"/>
      <c r="AL1294" s="72"/>
      <c r="AM1294" s="72"/>
    </row>
    <row r="1295" spans="1:39" x14ac:dyDescent="0.25">
      <c r="A1295" s="37" t="s">
        <v>62</v>
      </c>
      <c r="B1295" s="66" t="s">
        <v>1615</v>
      </c>
      <c r="C1295" s="47">
        <v>1055</v>
      </c>
      <c r="D1295" s="47" t="s">
        <v>1148</v>
      </c>
      <c r="E1295" s="41">
        <v>10110016</v>
      </c>
      <c r="F1295" s="46" t="s">
        <v>298</v>
      </c>
      <c r="G1295" s="39" t="s">
        <v>93</v>
      </c>
      <c r="H1295" s="48" t="s">
        <v>94</v>
      </c>
      <c r="I1295" s="52">
        <v>776.7</v>
      </c>
      <c r="J1295" s="49">
        <v>30815.840000000004</v>
      </c>
      <c r="K1295" s="65">
        <v>762.7</v>
      </c>
      <c r="L1295" s="65">
        <v>30877.280192880004</v>
      </c>
      <c r="M1295" s="65">
        <v>3.5</v>
      </c>
      <c r="N1295" s="65">
        <v>142.49793690000001</v>
      </c>
      <c r="O1295" s="65">
        <v>766.2</v>
      </c>
      <c r="P1295" s="65">
        <v>31019.778129780003</v>
      </c>
      <c r="Q1295" s="50">
        <v>30815.840000000004</v>
      </c>
      <c r="R1295" s="65">
        <v>0</v>
      </c>
      <c r="S1295" s="65">
        <v>142.49793690000001</v>
      </c>
      <c r="T1295" s="65">
        <v>203.93812977999914</v>
      </c>
      <c r="U1295" s="65">
        <v>0</v>
      </c>
      <c r="V1295" s="65">
        <v>0</v>
      </c>
      <c r="W1295" s="65">
        <v>0</v>
      </c>
      <c r="X1295" s="65">
        <v>30673</v>
      </c>
      <c r="Y1295" s="65">
        <v>0</v>
      </c>
      <c r="Z1295" s="65">
        <v>0</v>
      </c>
      <c r="AA1295" s="51">
        <v>0</v>
      </c>
      <c r="AB1295" s="102">
        <v>0</v>
      </c>
      <c r="AC1295" s="81">
        <f t="shared" si="63"/>
        <v>0</v>
      </c>
      <c r="AD1295" s="82">
        <f t="shared" si="64"/>
        <v>0</v>
      </c>
      <c r="AE1295" s="218">
        <v>-6.6179643254897199E-3</v>
      </c>
      <c r="AF1295">
        <v>6</v>
      </c>
      <c r="AH1295" t="str">
        <f t="shared" si="62"/>
        <v>Matihani</v>
      </c>
      <c r="AJ1295" s="72">
        <v>0</v>
      </c>
      <c r="AK1295" s="72"/>
      <c r="AL1295" s="72"/>
      <c r="AM1295" s="72"/>
    </row>
    <row r="1296" spans="1:39" x14ac:dyDescent="0.25">
      <c r="A1296" s="37" t="s">
        <v>62</v>
      </c>
      <c r="B1296" s="66" t="s">
        <v>1615</v>
      </c>
      <c r="C1296" s="47">
        <v>1011</v>
      </c>
      <c r="D1296" s="47" t="s">
        <v>289</v>
      </c>
      <c r="E1296" s="41">
        <v>10110021</v>
      </c>
      <c r="F1296" s="46" t="s">
        <v>299</v>
      </c>
      <c r="G1296" s="39" t="s">
        <v>93</v>
      </c>
      <c r="H1296" s="48" t="s">
        <v>94</v>
      </c>
      <c r="I1296" s="52">
        <v>64.400000000000006</v>
      </c>
      <c r="J1296" s="49">
        <v>2509.2800000000002</v>
      </c>
      <c r="K1296" s="65">
        <v>63.319999999999993</v>
      </c>
      <c r="L1296" s="65">
        <v>2300.2099079921995</v>
      </c>
      <c r="M1296" s="65">
        <v>0.94</v>
      </c>
      <c r="N1296" s="65">
        <v>33.706221931800002</v>
      </c>
      <c r="O1296" s="65">
        <v>64.259999999999991</v>
      </c>
      <c r="P1296" s="65">
        <v>2333.9161299239995</v>
      </c>
      <c r="Q1296" s="50">
        <v>2333.9161299239995</v>
      </c>
      <c r="R1296" s="65">
        <v>0</v>
      </c>
      <c r="S1296" s="65">
        <v>33.706221931800002</v>
      </c>
      <c r="T1296" s="65">
        <v>0</v>
      </c>
      <c r="U1296" s="65">
        <v>0</v>
      </c>
      <c r="V1296" s="65">
        <v>80.42</v>
      </c>
      <c r="W1296" s="65">
        <v>0</v>
      </c>
      <c r="X1296" s="65">
        <v>2219</v>
      </c>
      <c r="Y1296" s="65">
        <v>0</v>
      </c>
      <c r="Z1296" s="65">
        <v>0</v>
      </c>
      <c r="AA1296" s="51">
        <v>176</v>
      </c>
      <c r="AB1296" s="102" t="s">
        <v>68</v>
      </c>
      <c r="AC1296" s="81">
        <f t="shared" si="63"/>
        <v>495.31005217391316</v>
      </c>
      <c r="AD1296" s="82">
        <f t="shared" si="64"/>
        <v>9.2000000000000011</v>
      </c>
      <c r="AE1296" s="218">
        <v>6.9886130713192898E-2</v>
      </c>
      <c r="AF1296">
        <v>3</v>
      </c>
      <c r="AH1296" t="str">
        <f t="shared" si="62"/>
        <v>Sahibpur Kamal</v>
      </c>
      <c r="AJ1296" s="72">
        <v>0</v>
      </c>
      <c r="AK1296" s="72"/>
      <c r="AL1296" s="72"/>
      <c r="AM1296" s="72"/>
    </row>
    <row r="1297" spans="1:39" x14ac:dyDescent="0.25">
      <c r="A1297" s="37" t="s">
        <v>62</v>
      </c>
      <c r="B1297" s="66" t="s">
        <v>1615</v>
      </c>
      <c r="C1297" s="47">
        <v>1011</v>
      </c>
      <c r="D1297" s="47" t="s">
        <v>289</v>
      </c>
      <c r="E1297" s="41">
        <v>10110032</v>
      </c>
      <c r="F1297" s="46" t="s">
        <v>1266</v>
      </c>
      <c r="G1297" s="39" t="s">
        <v>93</v>
      </c>
      <c r="H1297" s="48" t="s">
        <v>94</v>
      </c>
      <c r="I1297" s="52">
        <v>185.1</v>
      </c>
      <c r="J1297" s="49">
        <v>6279.71</v>
      </c>
      <c r="K1297" s="65">
        <v>182.5</v>
      </c>
      <c r="L1297" s="65">
        <v>6725.3026420799997</v>
      </c>
      <c r="M1297" s="65">
        <v>0.5</v>
      </c>
      <c r="N1297" s="65">
        <v>18.546529320000005</v>
      </c>
      <c r="O1297" s="65">
        <v>183</v>
      </c>
      <c r="P1297" s="65">
        <v>6743.8491714000002</v>
      </c>
      <c r="Q1297" s="50">
        <v>6279.71</v>
      </c>
      <c r="R1297" s="65">
        <v>0</v>
      </c>
      <c r="S1297" s="65">
        <v>18.546529320000005</v>
      </c>
      <c r="T1297" s="65">
        <v>464.13917140000012</v>
      </c>
      <c r="U1297" s="65">
        <v>0</v>
      </c>
      <c r="V1297" s="65">
        <v>505.7016749999998</v>
      </c>
      <c r="W1297" s="65">
        <v>0</v>
      </c>
      <c r="X1297" s="65">
        <v>5755</v>
      </c>
      <c r="Y1297" s="65">
        <v>0</v>
      </c>
      <c r="Z1297" s="65">
        <v>0</v>
      </c>
      <c r="AA1297" s="51">
        <v>0</v>
      </c>
      <c r="AB1297" s="102">
        <v>0</v>
      </c>
      <c r="AC1297" s="81">
        <f t="shared" si="63"/>
        <v>349.3703596974608</v>
      </c>
      <c r="AD1297" s="82">
        <f t="shared" si="64"/>
        <v>26.442857142857143</v>
      </c>
      <c r="AE1297" s="218">
        <v>-7.3910924453517782E-2</v>
      </c>
      <c r="AF1297">
        <v>3</v>
      </c>
      <c r="AH1297" t="str">
        <f t="shared" si="62"/>
        <v>Sahibpur Kamal</v>
      </c>
      <c r="AJ1297" s="72">
        <v>0</v>
      </c>
      <c r="AK1297" s="72"/>
      <c r="AL1297" s="72"/>
      <c r="AM1297" s="72"/>
    </row>
    <row r="1298" spans="1:39" x14ac:dyDescent="0.25">
      <c r="A1298" s="37" t="s">
        <v>62</v>
      </c>
      <c r="B1298" s="66" t="s">
        <v>1615</v>
      </c>
      <c r="C1298" s="47">
        <v>1055</v>
      </c>
      <c r="D1298" s="47" t="s">
        <v>1148</v>
      </c>
      <c r="E1298" s="41">
        <v>10110042</v>
      </c>
      <c r="F1298" s="46" t="s">
        <v>301</v>
      </c>
      <c r="G1298" s="39" t="s">
        <v>635</v>
      </c>
      <c r="H1298" s="48" t="s">
        <v>99</v>
      </c>
      <c r="I1298" s="52">
        <v>421.79999999999995</v>
      </c>
      <c r="J1298" s="49">
        <v>15940.889999999998</v>
      </c>
      <c r="K1298" s="65">
        <v>0</v>
      </c>
      <c r="L1298" s="65">
        <v>0</v>
      </c>
      <c r="M1298" s="65">
        <v>0</v>
      </c>
      <c r="N1298" s="65">
        <v>0</v>
      </c>
      <c r="O1298" s="65">
        <v>0</v>
      </c>
      <c r="P1298" s="65">
        <v>0</v>
      </c>
      <c r="Q1298" s="50">
        <v>15940.889999999998</v>
      </c>
      <c r="R1298" s="65">
        <v>0</v>
      </c>
      <c r="S1298" s="65">
        <v>0</v>
      </c>
      <c r="T1298" s="65">
        <v>0</v>
      </c>
      <c r="U1298" s="65">
        <v>0</v>
      </c>
      <c r="V1298" s="65">
        <v>196.05750967741915</v>
      </c>
      <c r="W1298" s="65">
        <v>0</v>
      </c>
      <c r="X1298" s="65">
        <v>0</v>
      </c>
      <c r="Y1298" s="65">
        <v>0</v>
      </c>
      <c r="Z1298" s="65">
        <v>15744.832490322578</v>
      </c>
      <c r="AA1298" s="51">
        <v>0</v>
      </c>
      <c r="AB1298" s="102">
        <v>0</v>
      </c>
      <c r="AC1298" s="81">
        <f t="shared" si="63"/>
        <v>210.27764807965866</v>
      </c>
      <c r="AD1298" s="82">
        <f t="shared" si="64"/>
        <v>60.257142857142853</v>
      </c>
      <c r="AE1298" s="218">
        <v>0</v>
      </c>
      <c r="AF1298">
        <v>0</v>
      </c>
      <c r="AH1298" t="str">
        <f t="shared" si="62"/>
        <v>Matihani</v>
      </c>
      <c r="AJ1298" s="72">
        <v>0</v>
      </c>
      <c r="AK1298" s="72"/>
      <c r="AL1298" s="72"/>
      <c r="AM1298" s="72"/>
    </row>
    <row r="1299" spans="1:39" x14ac:dyDescent="0.25">
      <c r="A1299" s="37" t="s">
        <v>62</v>
      </c>
      <c r="B1299" s="66" t="s">
        <v>1615</v>
      </c>
      <c r="C1299" s="47">
        <v>1011</v>
      </c>
      <c r="D1299" s="47" t="s">
        <v>289</v>
      </c>
      <c r="E1299" s="41">
        <v>10110043</v>
      </c>
      <c r="F1299" s="46" t="s">
        <v>302</v>
      </c>
      <c r="G1299" s="39" t="s">
        <v>93</v>
      </c>
      <c r="H1299" s="48" t="s">
        <v>99</v>
      </c>
      <c r="I1299" s="52">
        <v>516.80000000000007</v>
      </c>
      <c r="J1299" s="49">
        <v>19137.57</v>
      </c>
      <c r="K1299" s="65">
        <v>0</v>
      </c>
      <c r="L1299" s="65">
        <v>0</v>
      </c>
      <c r="M1299" s="65">
        <v>0</v>
      </c>
      <c r="N1299" s="65">
        <v>0</v>
      </c>
      <c r="O1299" s="65">
        <v>0</v>
      </c>
      <c r="P1299" s="65">
        <v>0</v>
      </c>
      <c r="Q1299" s="50">
        <v>19137.57</v>
      </c>
      <c r="R1299" s="65">
        <v>0</v>
      </c>
      <c r="S1299" s="65">
        <v>0</v>
      </c>
      <c r="T1299" s="65">
        <v>0</v>
      </c>
      <c r="U1299" s="65">
        <v>0</v>
      </c>
      <c r="V1299" s="65">
        <v>868.74054193548272</v>
      </c>
      <c r="W1299" s="65">
        <v>0</v>
      </c>
      <c r="X1299" s="65">
        <v>0</v>
      </c>
      <c r="Y1299" s="65">
        <v>0</v>
      </c>
      <c r="Z1299" s="65">
        <v>18268.829458064516</v>
      </c>
      <c r="AA1299" s="51">
        <v>0</v>
      </c>
      <c r="AB1299" s="102">
        <v>0</v>
      </c>
      <c r="AC1299" s="81">
        <f t="shared" si="63"/>
        <v>135.68122383900922</v>
      </c>
      <c r="AD1299" s="82">
        <f t="shared" si="64"/>
        <v>73.828571428571436</v>
      </c>
      <c r="AE1299" s="218">
        <v>0</v>
      </c>
      <c r="AF1299">
        <v>0</v>
      </c>
      <c r="AH1299" t="str">
        <f t="shared" si="62"/>
        <v>Sahibpur Kamal</v>
      </c>
      <c r="AJ1299" s="72">
        <v>0</v>
      </c>
      <c r="AK1299" s="72"/>
      <c r="AL1299" s="72"/>
      <c r="AM1299" s="72"/>
    </row>
    <row r="1300" spans="1:39" x14ac:dyDescent="0.25">
      <c r="A1300" s="37" t="s">
        <v>62</v>
      </c>
      <c r="B1300" s="66" t="s">
        <v>1615</v>
      </c>
      <c r="C1300" s="47">
        <v>1011</v>
      </c>
      <c r="D1300" s="47" t="s">
        <v>289</v>
      </c>
      <c r="E1300" s="41">
        <v>10110049</v>
      </c>
      <c r="F1300" s="46" t="s">
        <v>1366</v>
      </c>
      <c r="G1300" s="39" t="s">
        <v>93</v>
      </c>
      <c r="H1300" s="48" t="s">
        <v>94</v>
      </c>
      <c r="I1300" s="52">
        <v>679.6</v>
      </c>
      <c r="J1300" s="49">
        <v>25862.649999999998</v>
      </c>
      <c r="K1300" s="65">
        <v>681.40000000000009</v>
      </c>
      <c r="L1300" s="65">
        <v>26234.575638480004</v>
      </c>
      <c r="M1300" s="65">
        <v>3.1999999999999997</v>
      </c>
      <c r="N1300" s="65">
        <v>123.02753364000003</v>
      </c>
      <c r="O1300" s="65">
        <v>684.60000000000014</v>
      </c>
      <c r="P1300" s="65">
        <v>26357.603172120005</v>
      </c>
      <c r="Q1300" s="50">
        <v>25862.649999999998</v>
      </c>
      <c r="R1300" s="65">
        <v>0</v>
      </c>
      <c r="S1300" s="65">
        <v>123.02753364000003</v>
      </c>
      <c r="T1300" s="65">
        <v>494.95317212000737</v>
      </c>
      <c r="U1300" s="65">
        <v>0</v>
      </c>
      <c r="V1300" s="65">
        <v>0</v>
      </c>
      <c r="W1300" s="65">
        <v>0</v>
      </c>
      <c r="X1300" s="65">
        <v>25740</v>
      </c>
      <c r="Y1300" s="65">
        <v>0</v>
      </c>
      <c r="Z1300" s="65">
        <v>0</v>
      </c>
      <c r="AA1300" s="51">
        <v>0</v>
      </c>
      <c r="AB1300" s="102">
        <v>0</v>
      </c>
      <c r="AC1300" s="81">
        <f t="shared" si="63"/>
        <v>15.526723366686268</v>
      </c>
      <c r="AD1300" s="82">
        <f t="shared" si="64"/>
        <v>97.085714285714289</v>
      </c>
      <c r="AE1300" s="218">
        <v>-1.9137759360313325E-2</v>
      </c>
      <c r="AF1300">
        <v>5</v>
      </c>
      <c r="AH1300" t="str">
        <f t="shared" si="62"/>
        <v>Sahibpur Kamal</v>
      </c>
      <c r="AJ1300" s="72">
        <v>0</v>
      </c>
      <c r="AK1300" s="72"/>
      <c r="AL1300" s="72"/>
      <c r="AM1300" s="72"/>
    </row>
    <row r="1301" spans="1:39" x14ac:dyDescent="0.25">
      <c r="A1301" s="37" t="s">
        <v>62</v>
      </c>
      <c r="B1301" s="66" t="s">
        <v>1615</v>
      </c>
      <c r="C1301" s="47">
        <v>1011</v>
      </c>
      <c r="D1301" s="47" t="s">
        <v>289</v>
      </c>
      <c r="E1301" s="41">
        <v>10110050</v>
      </c>
      <c r="F1301" s="46" t="s">
        <v>304</v>
      </c>
      <c r="G1301" s="39" t="s">
        <v>93</v>
      </c>
      <c r="H1301" s="48" t="s">
        <v>94</v>
      </c>
      <c r="I1301" s="52">
        <v>610.9</v>
      </c>
      <c r="J1301" s="49">
        <v>24589.34</v>
      </c>
      <c r="K1301" s="65">
        <v>733.5</v>
      </c>
      <c r="L1301" s="65">
        <v>28991.774862540005</v>
      </c>
      <c r="M1301" s="65">
        <v>0</v>
      </c>
      <c r="N1301" s="65">
        <v>0</v>
      </c>
      <c r="O1301" s="65">
        <v>733.5</v>
      </c>
      <c r="P1301" s="65">
        <v>28991.774862540005</v>
      </c>
      <c r="Q1301" s="50">
        <v>24589.34</v>
      </c>
      <c r="R1301" s="65">
        <v>0</v>
      </c>
      <c r="S1301" s="65">
        <v>0</v>
      </c>
      <c r="T1301" s="65">
        <v>4402.4348625400053</v>
      </c>
      <c r="U1301" s="65">
        <v>0</v>
      </c>
      <c r="V1301" s="65">
        <v>2576.4678436363643</v>
      </c>
      <c r="W1301" s="65">
        <v>0</v>
      </c>
      <c r="X1301" s="65">
        <v>22012</v>
      </c>
      <c r="Y1301" s="65">
        <v>0</v>
      </c>
      <c r="Z1301" s="65">
        <v>0</v>
      </c>
      <c r="AA1301" s="51">
        <v>1</v>
      </c>
      <c r="AB1301" s="102">
        <v>0</v>
      </c>
      <c r="AC1301" s="81">
        <f t="shared" si="63"/>
        <v>71.72729395973154</v>
      </c>
      <c r="AD1301" s="82">
        <f t="shared" si="64"/>
        <v>87.271428571428572</v>
      </c>
      <c r="AE1301" s="218">
        <v>-0.17903835005494273</v>
      </c>
      <c r="AF1301">
        <v>2</v>
      </c>
      <c r="AH1301" t="str">
        <f t="shared" si="62"/>
        <v>Sahibpur Kamal</v>
      </c>
      <c r="AJ1301" s="72">
        <v>0</v>
      </c>
      <c r="AK1301" s="72"/>
      <c r="AL1301" s="72"/>
      <c r="AM1301" s="72"/>
    </row>
    <row r="1302" spans="1:39" x14ac:dyDescent="0.25">
      <c r="A1302" s="37" t="s">
        <v>62</v>
      </c>
      <c r="B1302" s="66" t="s">
        <v>1615</v>
      </c>
      <c r="C1302" s="47">
        <v>1011</v>
      </c>
      <c r="D1302" s="47" t="s">
        <v>289</v>
      </c>
      <c r="E1302" s="41">
        <v>10110053</v>
      </c>
      <c r="F1302" s="46" t="s">
        <v>305</v>
      </c>
      <c r="G1302" s="39" t="s">
        <v>93</v>
      </c>
      <c r="H1302" s="48" t="s">
        <v>94</v>
      </c>
      <c r="I1302" s="52">
        <v>102.4</v>
      </c>
      <c r="J1302" s="49">
        <v>4874.54</v>
      </c>
      <c r="K1302" s="65">
        <v>108.5</v>
      </c>
      <c r="L1302" s="65">
        <v>5269.4498786550012</v>
      </c>
      <c r="M1302" s="65">
        <v>2.7</v>
      </c>
      <c r="N1302" s="65">
        <v>133.60220002440005</v>
      </c>
      <c r="O1302" s="65">
        <v>111.2</v>
      </c>
      <c r="P1302" s="65">
        <v>5403.0520786794013</v>
      </c>
      <c r="Q1302" s="50">
        <v>4874.54</v>
      </c>
      <c r="R1302" s="65">
        <v>0</v>
      </c>
      <c r="S1302" s="65">
        <v>133.60220002440005</v>
      </c>
      <c r="T1302" s="65">
        <v>528.51207867940138</v>
      </c>
      <c r="U1302" s="65">
        <v>3900</v>
      </c>
      <c r="V1302" s="65">
        <v>0</v>
      </c>
      <c r="W1302" s="65">
        <v>0</v>
      </c>
      <c r="X1302" s="65">
        <v>841</v>
      </c>
      <c r="Y1302" s="65">
        <v>0</v>
      </c>
      <c r="Z1302" s="65">
        <v>0</v>
      </c>
      <c r="AA1302" s="51">
        <v>0</v>
      </c>
      <c r="AB1302" s="102" t="s">
        <v>66</v>
      </c>
      <c r="AC1302" s="81">
        <f t="shared" si="63"/>
        <v>568.95021562499983</v>
      </c>
      <c r="AD1302" s="82">
        <f t="shared" si="64"/>
        <v>14.62857142857143</v>
      </c>
      <c r="AE1302" s="218">
        <v>-0.10842296476783479</v>
      </c>
      <c r="AF1302">
        <v>2</v>
      </c>
      <c r="AH1302" t="str">
        <f t="shared" si="62"/>
        <v>Sahibpur Kamal</v>
      </c>
      <c r="AJ1302" s="72">
        <v>0</v>
      </c>
      <c r="AK1302" s="72"/>
      <c r="AL1302" s="72"/>
      <c r="AM1302" s="72"/>
    </row>
    <row r="1303" spans="1:39" x14ac:dyDescent="0.25">
      <c r="A1303" s="37" t="s">
        <v>62</v>
      </c>
      <c r="B1303" s="66" t="s">
        <v>1615</v>
      </c>
      <c r="C1303" s="47">
        <v>1011</v>
      </c>
      <c r="D1303" s="47" t="s">
        <v>289</v>
      </c>
      <c r="E1303" s="41">
        <v>10110055</v>
      </c>
      <c r="F1303" s="46" t="s">
        <v>306</v>
      </c>
      <c r="G1303" s="39" t="s">
        <v>93</v>
      </c>
      <c r="H1303" s="48" t="s">
        <v>94</v>
      </c>
      <c r="I1303" s="52">
        <v>715.09999999999991</v>
      </c>
      <c r="J1303" s="49">
        <v>29071.140000000003</v>
      </c>
      <c r="K1303" s="65">
        <v>630.76</v>
      </c>
      <c r="L1303" s="65">
        <v>26073.4191637316</v>
      </c>
      <c r="M1303" s="65">
        <v>209.5</v>
      </c>
      <c r="N1303" s="65">
        <v>8698.7098105343612</v>
      </c>
      <c r="O1303" s="65">
        <v>840.26</v>
      </c>
      <c r="P1303" s="65">
        <v>34772.128974265957</v>
      </c>
      <c r="Q1303" s="50">
        <v>29071.140000000003</v>
      </c>
      <c r="R1303" s="65">
        <v>0</v>
      </c>
      <c r="S1303" s="65">
        <v>0</v>
      </c>
      <c r="T1303" s="65">
        <v>5700.9889742659543</v>
      </c>
      <c r="U1303" s="65">
        <v>0</v>
      </c>
      <c r="V1303" s="65">
        <v>0</v>
      </c>
      <c r="W1303" s="65">
        <v>0</v>
      </c>
      <c r="X1303" s="65">
        <v>20372</v>
      </c>
      <c r="Y1303" s="65">
        <v>8699</v>
      </c>
      <c r="Z1303" s="65">
        <v>0</v>
      </c>
      <c r="AA1303" s="51">
        <v>0</v>
      </c>
      <c r="AB1303" s="102">
        <v>0</v>
      </c>
      <c r="AC1303" s="81">
        <f t="shared" si="63"/>
        <v>0</v>
      </c>
      <c r="AD1303" s="82">
        <f t="shared" si="64"/>
        <v>0</v>
      </c>
      <c r="AE1303" s="218">
        <v>-0.19610476143233302</v>
      </c>
      <c r="AF1303">
        <v>4</v>
      </c>
      <c r="AH1303" t="str">
        <f t="shared" si="62"/>
        <v>Sahibpur Kamal</v>
      </c>
      <c r="AJ1303" s="72">
        <v>0</v>
      </c>
      <c r="AK1303" s="72"/>
      <c r="AL1303" s="72"/>
      <c r="AM1303" s="72"/>
    </row>
    <row r="1304" spans="1:39" x14ac:dyDescent="0.25">
      <c r="A1304" s="37" t="s">
        <v>62</v>
      </c>
      <c r="B1304" s="66" t="s">
        <v>1615</v>
      </c>
      <c r="C1304" s="47">
        <v>1011</v>
      </c>
      <c r="D1304" s="47" t="s">
        <v>289</v>
      </c>
      <c r="E1304" s="41">
        <v>10110057</v>
      </c>
      <c r="F1304" s="46" t="s">
        <v>307</v>
      </c>
      <c r="G1304" s="39" t="s">
        <v>93</v>
      </c>
      <c r="H1304" s="48" t="s">
        <v>94</v>
      </c>
      <c r="I1304" s="52">
        <v>300.29999999999995</v>
      </c>
      <c r="J1304" s="49">
        <v>12941.48</v>
      </c>
      <c r="K1304" s="65">
        <v>309.5</v>
      </c>
      <c r="L1304" s="65">
        <v>14393.080938917003</v>
      </c>
      <c r="M1304" s="65">
        <v>0</v>
      </c>
      <c r="N1304" s="65">
        <v>0</v>
      </c>
      <c r="O1304" s="65">
        <v>309.5</v>
      </c>
      <c r="P1304" s="65">
        <v>14393.080938917003</v>
      </c>
      <c r="Q1304" s="50">
        <v>12941.48</v>
      </c>
      <c r="R1304" s="65">
        <v>0</v>
      </c>
      <c r="S1304" s="65">
        <v>0</v>
      </c>
      <c r="T1304" s="65">
        <v>1451.6009389170031</v>
      </c>
      <c r="U1304" s="65">
        <v>0</v>
      </c>
      <c r="V1304" s="65">
        <v>0</v>
      </c>
      <c r="W1304" s="65">
        <v>0</v>
      </c>
      <c r="X1304" s="65">
        <v>12941</v>
      </c>
      <c r="Y1304" s="65">
        <v>0</v>
      </c>
      <c r="Z1304" s="65">
        <v>0</v>
      </c>
      <c r="AA1304" s="51">
        <v>0</v>
      </c>
      <c r="AB1304" s="102" t="s">
        <v>68</v>
      </c>
      <c r="AC1304" s="81">
        <f t="shared" si="63"/>
        <v>344.50280093240099</v>
      </c>
      <c r="AD1304" s="82">
        <f t="shared" si="64"/>
        <v>42.899999999999991</v>
      </c>
      <c r="AE1304" s="218">
        <v>-0.11216653264672999</v>
      </c>
      <c r="AF1304">
        <v>1</v>
      </c>
      <c r="AH1304" t="str">
        <f t="shared" si="62"/>
        <v>Sahibpur Kamal</v>
      </c>
      <c r="AJ1304" s="72">
        <v>0</v>
      </c>
      <c r="AK1304" s="72"/>
      <c r="AL1304" s="72"/>
      <c r="AM1304" s="72"/>
    </row>
    <row r="1305" spans="1:39" x14ac:dyDescent="0.25">
      <c r="A1305" s="37" t="s">
        <v>62</v>
      </c>
      <c r="B1305" s="66" t="s">
        <v>1615</v>
      </c>
      <c r="C1305" s="47">
        <v>1011</v>
      </c>
      <c r="D1305" s="47" t="s">
        <v>289</v>
      </c>
      <c r="E1305" s="41">
        <v>10110065</v>
      </c>
      <c r="F1305" s="46" t="s">
        <v>308</v>
      </c>
      <c r="G1305" s="39" t="s">
        <v>93</v>
      </c>
      <c r="H1305" s="48" t="s">
        <v>94</v>
      </c>
      <c r="I1305" s="52">
        <v>1013.4999999999998</v>
      </c>
      <c r="J1305" s="49">
        <v>39291.21</v>
      </c>
      <c r="K1305" s="65">
        <v>1009.46</v>
      </c>
      <c r="L1305" s="65">
        <v>39127.690499591277</v>
      </c>
      <c r="M1305" s="65">
        <v>6.240000000000002</v>
      </c>
      <c r="N1305" s="65">
        <v>233.62781650560004</v>
      </c>
      <c r="O1305" s="65">
        <v>1015.7</v>
      </c>
      <c r="P1305" s="65">
        <v>39361.318316096877</v>
      </c>
      <c r="Q1305" s="50">
        <v>39291.21</v>
      </c>
      <c r="R1305" s="65">
        <v>0</v>
      </c>
      <c r="S1305" s="65">
        <v>233.62781650560004</v>
      </c>
      <c r="T1305" s="65">
        <v>70.108316096877388</v>
      </c>
      <c r="U1305" s="65">
        <v>6500</v>
      </c>
      <c r="V1305" s="65">
        <v>0</v>
      </c>
      <c r="W1305" s="65">
        <v>0</v>
      </c>
      <c r="X1305" s="65">
        <v>32558</v>
      </c>
      <c r="Y1305" s="65">
        <v>0</v>
      </c>
      <c r="Z1305" s="65">
        <v>0</v>
      </c>
      <c r="AA1305" s="51">
        <v>0</v>
      </c>
      <c r="AB1305" s="102" t="s">
        <v>68</v>
      </c>
      <c r="AC1305" s="81">
        <f t="shared" si="63"/>
        <v>0</v>
      </c>
      <c r="AD1305" s="82">
        <f t="shared" si="64"/>
        <v>0</v>
      </c>
      <c r="AE1305" s="218">
        <v>-1.7843257078842161E-3</v>
      </c>
      <c r="AF1305">
        <v>19</v>
      </c>
      <c r="AH1305" t="str">
        <f t="shared" si="62"/>
        <v>Sahibpur Kamal</v>
      </c>
      <c r="AJ1305" s="72">
        <v>0</v>
      </c>
      <c r="AK1305" s="72"/>
      <c r="AL1305" s="72"/>
      <c r="AM1305" s="72"/>
    </row>
    <row r="1306" spans="1:39" x14ac:dyDescent="0.25">
      <c r="A1306" s="37" t="s">
        <v>62</v>
      </c>
      <c r="B1306" s="66" t="s">
        <v>1615</v>
      </c>
      <c r="C1306" s="47">
        <v>1011</v>
      </c>
      <c r="D1306" s="47" t="s">
        <v>289</v>
      </c>
      <c r="E1306" s="41">
        <v>10110066</v>
      </c>
      <c r="F1306" s="46" t="s">
        <v>309</v>
      </c>
      <c r="G1306" s="39" t="s">
        <v>93</v>
      </c>
      <c r="H1306" s="48" t="s">
        <v>94</v>
      </c>
      <c r="I1306" s="52">
        <v>892.50000000000011</v>
      </c>
      <c r="J1306" s="49">
        <v>35439.89</v>
      </c>
      <c r="K1306" s="65">
        <v>895.72000000000025</v>
      </c>
      <c r="L1306" s="65">
        <v>35525.744702799428</v>
      </c>
      <c r="M1306" s="65">
        <v>7.3800000000000017</v>
      </c>
      <c r="N1306" s="65">
        <v>295.82531510399997</v>
      </c>
      <c r="O1306" s="65">
        <v>903.10000000000025</v>
      </c>
      <c r="P1306" s="65">
        <v>35821.570017903425</v>
      </c>
      <c r="Q1306" s="50">
        <v>35439.89</v>
      </c>
      <c r="R1306" s="65">
        <v>0</v>
      </c>
      <c r="S1306" s="65">
        <v>295.82531510399997</v>
      </c>
      <c r="T1306" s="65">
        <v>381.68001790342532</v>
      </c>
      <c r="U1306" s="65">
        <v>6500</v>
      </c>
      <c r="V1306" s="65">
        <v>0</v>
      </c>
      <c r="W1306" s="65">
        <v>0</v>
      </c>
      <c r="X1306" s="65">
        <v>28644</v>
      </c>
      <c r="Y1306" s="65">
        <v>0</v>
      </c>
      <c r="Z1306" s="65">
        <v>0</v>
      </c>
      <c r="AA1306" s="51">
        <v>0</v>
      </c>
      <c r="AB1306" s="102" t="s">
        <v>68</v>
      </c>
      <c r="AC1306" s="81">
        <f t="shared" si="63"/>
        <v>0</v>
      </c>
      <c r="AD1306" s="82">
        <f t="shared" si="64"/>
        <v>0</v>
      </c>
      <c r="AE1306" s="218">
        <v>-1.0769785625842104E-2</v>
      </c>
      <c r="AF1306">
        <v>17</v>
      </c>
      <c r="AH1306" t="str">
        <f t="shared" si="62"/>
        <v>Sahibpur Kamal</v>
      </c>
      <c r="AJ1306" s="72">
        <v>0</v>
      </c>
      <c r="AK1306" s="72"/>
      <c r="AL1306" s="72"/>
      <c r="AM1306" s="72"/>
    </row>
    <row r="1307" spans="1:39" x14ac:dyDescent="0.25">
      <c r="A1307" s="37" t="s">
        <v>62</v>
      </c>
      <c r="B1307" s="66" t="s">
        <v>1615</v>
      </c>
      <c r="C1307" s="47">
        <v>1011</v>
      </c>
      <c r="D1307" s="47" t="s">
        <v>289</v>
      </c>
      <c r="E1307" s="41">
        <v>10110071</v>
      </c>
      <c r="F1307" s="46" t="s">
        <v>310</v>
      </c>
      <c r="G1307" s="39" t="s">
        <v>93</v>
      </c>
      <c r="H1307" s="48" t="s">
        <v>94</v>
      </c>
      <c r="I1307" s="52">
        <v>12.4</v>
      </c>
      <c r="J1307" s="49">
        <v>434.12</v>
      </c>
      <c r="K1307" s="65">
        <v>39.799999999999997</v>
      </c>
      <c r="L1307" s="65">
        <v>1590.5126556</v>
      </c>
      <c r="M1307" s="65">
        <v>0</v>
      </c>
      <c r="N1307" s="65">
        <v>0</v>
      </c>
      <c r="O1307" s="65">
        <v>39.799999999999997</v>
      </c>
      <c r="P1307" s="65">
        <v>1590.5126556</v>
      </c>
      <c r="Q1307" s="50">
        <v>434.12</v>
      </c>
      <c r="R1307" s="65">
        <v>0</v>
      </c>
      <c r="S1307" s="65">
        <v>0</v>
      </c>
      <c r="T1307" s="65">
        <v>1156.3926556000001</v>
      </c>
      <c r="U1307" s="65">
        <v>0</v>
      </c>
      <c r="V1307" s="65">
        <v>434</v>
      </c>
      <c r="W1307" s="65">
        <v>0</v>
      </c>
      <c r="X1307" s="65">
        <v>0</v>
      </c>
      <c r="Y1307" s="65">
        <v>0</v>
      </c>
      <c r="Z1307" s="65">
        <v>0</v>
      </c>
      <c r="AA1307" s="51">
        <v>0</v>
      </c>
      <c r="AB1307" s="102" t="s">
        <v>68</v>
      </c>
      <c r="AC1307" s="81">
        <f t="shared" si="63"/>
        <v>481.45308387096776</v>
      </c>
      <c r="AD1307" s="82">
        <f t="shared" si="64"/>
        <v>1.7714285714285716</v>
      </c>
      <c r="AE1307" s="218">
        <v>-2.6637626822076848</v>
      </c>
      <c r="AF1307">
        <v>1</v>
      </c>
      <c r="AH1307" t="str">
        <f t="shared" si="62"/>
        <v>Sahibpur Kamal</v>
      </c>
      <c r="AJ1307" s="72">
        <v>0</v>
      </c>
      <c r="AK1307" s="72"/>
      <c r="AL1307" s="72"/>
      <c r="AM1307" s="72"/>
    </row>
    <row r="1308" spans="1:39" x14ac:dyDescent="0.25">
      <c r="A1308" s="37" t="s">
        <v>62</v>
      </c>
      <c r="B1308" s="66" t="s">
        <v>1615</v>
      </c>
      <c r="C1308" s="47">
        <v>1011</v>
      </c>
      <c r="D1308" s="47" t="s">
        <v>289</v>
      </c>
      <c r="E1308" s="41">
        <v>10110073</v>
      </c>
      <c r="F1308" s="46" t="s">
        <v>623</v>
      </c>
      <c r="G1308" s="39" t="s">
        <v>93</v>
      </c>
      <c r="H1308" s="48" t="s">
        <v>94</v>
      </c>
      <c r="I1308" s="52">
        <v>63.7</v>
      </c>
      <c r="J1308" s="49">
        <v>2167.21</v>
      </c>
      <c r="K1308" s="65">
        <v>31.97</v>
      </c>
      <c r="L1308" s="65">
        <v>1154.84697108</v>
      </c>
      <c r="M1308" s="65">
        <v>0</v>
      </c>
      <c r="N1308" s="65">
        <v>0</v>
      </c>
      <c r="O1308" s="65">
        <v>31.97</v>
      </c>
      <c r="P1308" s="65">
        <v>1154.84697108</v>
      </c>
      <c r="Q1308" s="50">
        <v>1154.84697108</v>
      </c>
      <c r="R1308" s="65">
        <v>0</v>
      </c>
      <c r="S1308" s="65">
        <v>0</v>
      </c>
      <c r="T1308" s="65">
        <v>0</v>
      </c>
      <c r="U1308" s="65">
        <v>0</v>
      </c>
      <c r="V1308" s="65">
        <v>568.66999999999996</v>
      </c>
      <c r="W1308" s="65">
        <v>0</v>
      </c>
      <c r="X1308" s="65">
        <v>586</v>
      </c>
      <c r="Y1308" s="65">
        <v>0</v>
      </c>
      <c r="Z1308" s="65">
        <v>0</v>
      </c>
      <c r="AA1308" s="51">
        <v>1013</v>
      </c>
      <c r="AB1308" s="102" t="s">
        <v>68</v>
      </c>
      <c r="AC1308" s="81">
        <f t="shared" si="63"/>
        <v>432.96569010989015</v>
      </c>
      <c r="AD1308" s="82">
        <f t="shared" si="64"/>
        <v>9.1</v>
      </c>
      <c r="AE1308" s="218">
        <v>0.46712733372400461</v>
      </c>
      <c r="AF1308">
        <v>2</v>
      </c>
      <c r="AH1308" t="str">
        <f t="shared" si="62"/>
        <v>Sahibpur Kamal</v>
      </c>
      <c r="AJ1308" s="72">
        <v>0</v>
      </c>
      <c r="AK1308" s="72"/>
      <c r="AL1308" s="72"/>
      <c r="AM1308" s="72"/>
    </row>
    <row r="1309" spans="1:39" x14ac:dyDescent="0.25">
      <c r="A1309" s="37" t="s">
        <v>62</v>
      </c>
      <c r="B1309" s="66" t="s">
        <v>1615</v>
      </c>
      <c r="C1309" s="47">
        <v>1011</v>
      </c>
      <c r="D1309" s="47" t="s">
        <v>289</v>
      </c>
      <c r="E1309" s="41">
        <v>10110076</v>
      </c>
      <c r="F1309" s="46" t="s">
        <v>311</v>
      </c>
      <c r="G1309" s="39" t="s">
        <v>93</v>
      </c>
      <c r="H1309" s="48" t="s">
        <v>94</v>
      </c>
      <c r="I1309" s="52">
        <v>1598.6</v>
      </c>
      <c r="J1309" s="49">
        <v>64931.72</v>
      </c>
      <c r="K1309" s="65">
        <v>1261.28</v>
      </c>
      <c r="L1309" s="65">
        <v>55061.214516726468</v>
      </c>
      <c r="M1309" s="65">
        <v>378.64</v>
      </c>
      <c r="N1309" s="65">
        <v>15005.175294598541</v>
      </c>
      <c r="O1309" s="65">
        <v>1639.92</v>
      </c>
      <c r="P1309" s="65">
        <v>70066.389811325003</v>
      </c>
      <c r="Q1309" s="50">
        <v>64931.72</v>
      </c>
      <c r="R1309" s="65">
        <v>0</v>
      </c>
      <c r="S1309" s="65">
        <v>150.15561510048005</v>
      </c>
      <c r="T1309" s="65">
        <v>5134.6698113250022</v>
      </c>
      <c r="U1309" s="65">
        <v>0</v>
      </c>
      <c r="V1309" s="65">
        <v>0</v>
      </c>
      <c r="W1309" s="65">
        <v>0</v>
      </c>
      <c r="X1309" s="65">
        <v>49927</v>
      </c>
      <c r="Y1309" s="65">
        <v>14855</v>
      </c>
      <c r="Z1309" s="65">
        <v>0</v>
      </c>
      <c r="AA1309" s="51">
        <v>0</v>
      </c>
      <c r="AB1309" s="102">
        <v>0</v>
      </c>
      <c r="AC1309" s="81">
        <f t="shared" si="63"/>
        <v>0</v>
      </c>
      <c r="AD1309" s="82">
        <f t="shared" si="64"/>
        <v>0</v>
      </c>
      <c r="AE1309" s="218">
        <v>-7.9077988559751719E-2</v>
      </c>
      <c r="AF1309">
        <v>11</v>
      </c>
      <c r="AH1309" t="str">
        <f t="shared" si="62"/>
        <v>Sahibpur Kamal</v>
      </c>
      <c r="AJ1309" s="72">
        <v>0</v>
      </c>
      <c r="AK1309" s="72"/>
      <c r="AL1309" s="72"/>
      <c r="AM1309" s="72"/>
    </row>
    <row r="1310" spans="1:39" x14ac:dyDescent="0.25">
      <c r="A1310" s="37" t="s">
        <v>62</v>
      </c>
      <c r="B1310" s="66" t="s">
        <v>1615</v>
      </c>
      <c r="C1310" s="47">
        <v>1011</v>
      </c>
      <c r="D1310" s="47" t="s">
        <v>289</v>
      </c>
      <c r="E1310" s="41">
        <v>10110078</v>
      </c>
      <c r="F1310" s="46" t="s">
        <v>312</v>
      </c>
      <c r="G1310" s="39" t="s">
        <v>93</v>
      </c>
      <c r="H1310" s="48" t="s">
        <v>94</v>
      </c>
      <c r="I1310" s="52">
        <v>337.09999999999997</v>
      </c>
      <c r="J1310" s="49">
        <v>11835.619999999999</v>
      </c>
      <c r="K1310" s="65">
        <v>371.5</v>
      </c>
      <c r="L1310" s="65">
        <v>13143.680737506002</v>
      </c>
      <c r="M1310" s="65">
        <v>0</v>
      </c>
      <c r="N1310" s="65">
        <v>0</v>
      </c>
      <c r="O1310" s="65">
        <v>371.5</v>
      </c>
      <c r="P1310" s="65">
        <v>13143.680737506002</v>
      </c>
      <c r="Q1310" s="50">
        <v>11835.619999999999</v>
      </c>
      <c r="R1310" s="65">
        <v>0</v>
      </c>
      <c r="S1310" s="65">
        <v>0</v>
      </c>
      <c r="T1310" s="65">
        <v>1308.0607375060026</v>
      </c>
      <c r="U1310" s="65">
        <v>0</v>
      </c>
      <c r="V1310" s="65">
        <v>0</v>
      </c>
      <c r="W1310" s="65">
        <v>0</v>
      </c>
      <c r="X1310" s="65">
        <v>11836</v>
      </c>
      <c r="Y1310" s="65">
        <v>0</v>
      </c>
      <c r="Z1310" s="65">
        <v>0</v>
      </c>
      <c r="AA1310" s="51">
        <v>0</v>
      </c>
      <c r="AB1310" s="102">
        <v>0</v>
      </c>
      <c r="AC1310" s="81">
        <f t="shared" si="63"/>
        <v>254.82921969741921</v>
      </c>
      <c r="AD1310" s="82">
        <f t="shared" si="64"/>
        <v>48.157142857142851</v>
      </c>
      <c r="AE1310" s="218">
        <v>-0.11051898738773319</v>
      </c>
      <c r="AF1310">
        <v>1</v>
      </c>
      <c r="AH1310" t="str">
        <f t="shared" si="62"/>
        <v>Sahibpur Kamal</v>
      </c>
      <c r="AJ1310" s="72">
        <v>0</v>
      </c>
      <c r="AK1310" s="72"/>
      <c r="AL1310" s="72"/>
      <c r="AM1310" s="72"/>
    </row>
    <row r="1311" spans="1:39" x14ac:dyDescent="0.25">
      <c r="A1311" s="37" t="s">
        <v>62</v>
      </c>
      <c r="B1311" s="66" t="s">
        <v>1615</v>
      </c>
      <c r="C1311" s="47">
        <v>1011</v>
      </c>
      <c r="D1311" s="47" t="s">
        <v>289</v>
      </c>
      <c r="E1311" s="41">
        <v>10110083</v>
      </c>
      <c r="F1311" s="46" t="s">
        <v>435</v>
      </c>
      <c r="G1311" s="39" t="s">
        <v>93</v>
      </c>
      <c r="H1311" s="48" t="s">
        <v>94</v>
      </c>
      <c r="I1311" s="52">
        <v>323.2</v>
      </c>
      <c r="J1311" s="49">
        <v>11773.49</v>
      </c>
      <c r="K1311" s="65">
        <v>322</v>
      </c>
      <c r="L1311" s="65">
        <v>11561.436532800002</v>
      </c>
      <c r="M1311" s="65">
        <v>0</v>
      </c>
      <c r="N1311" s="65">
        <v>0</v>
      </c>
      <c r="O1311" s="65">
        <v>322</v>
      </c>
      <c r="P1311" s="65">
        <v>11561.436532800002</v>
      </c>
      <c r="Q1311" s="50">
        <v>11561.436532800002</v>
      </c>
      <c r="R1311" s="65">
        <v>0</v>
      </c>
      <c r="S1311" s="65">
        <v>0</v>
      </c>
      <c r="T1311" s="65">
        <v>0</v>
      </c>
      <c r="U1311" s="65">
        <v>0</v>
      </c>
      <c r="V1311" s="65">
        <v>337.87296000000015</v>
      </c>
      <c r="W1311" s="65">
        <v>0</v>
      </c>
      <c r="X1311" s="65">
        <v>11225</v>
      </c>
      <c r="Y1311" s="65">
        <v>0</v>
      </c>
      <c r="Z1311" s="65">
        <v>0</v>
      </c>
      <c r="AA1311" s="51">
        <v>211</v>
      </c>
      <c r="AB1311" s="102">
        <v>0</v>
      </c>
      <c r="AC1311" s="81">
        <f t="shared" si="63"/>
        <v>274.52048465346536</v>
      </c>
      <c r="AD1311" s="82">
        <f t="shared" si="64"/>
        <v>46.171428571428571</v>
      </c>
      <c r="AE1311" s="218">
        <v>1.8011096726628859E-2</v>
      </c>
      <c r="AF1311">
        <v>3</v>
      </c>
      <c r="AH1311" t="str">
        <f t="shared" si="62"/>
        <v>Sahibpur Kamal</v>
      </c>
      <c r="AJ1311" s="72">
        <v>0</v>
      </c>
      <c r="AK1311" s="72"/>
      <c r="AL1311" s="72"/>
      <c r="AM1311" s="72"/>
    </row>
    <row r="1312" spans="1:39" x14ac:dyDescent="0.25">
      <c r="A1312" s="37" t="s">
        <v>62</v>
      </c>
      <c r="B1312" s="66" t="s">
        <v>1615</v>
      </c>
      <c r="C1312" s="47">
        <v>1011</v>
      </c>
      <c r="D1312" s="47" t="s">
        <v>289</v>
      </c>
      <c r="E1312" s="41">
        <v>10110086</v>
      </c>
      <c r="F1312" s="46" t="s">
        <v>439</v>
      </c>
      <c r="G1312" s="39" t="s">
        <v>93</v>
      </c>
      <c r="H1312" s="48" t="s">
        <v>94</v>
      </c>
      <c r="I1312" s="52">
        <v>365.90000000000009</v>
      </c>
      <c r="J1312" s="49">
        <v>14084.499999999998</v>
      </c>
      <c r="K1312" s="65">
        <v>392.1</v>
      </c>
      <c r="L1312" s="65">
        <v>15590.990309400004</v>
      </c>
      <c r="M1312" s="65">
        <v>1.8</v>
      </c>
      <c r="N1312" s="65">
        <v>71.519572080000003</v>
      </c>
      <c r="O1312" s="65">
        <v>393.90000000000003</v>
      </c>
      <c r="P1312" s="65">
        <v>15662.509881480004</v>
      </c>
      <c r="Q1312" s="50">
        <v>14084.499999999998</v>
      </c>
      <c r="R1312" s="65">
        <v>0</v>
      </c>
      <c r="S1312" s="65">
        <v>71.519572080000003</v>
      </c>
      <c r="T1312" s="65">
        <v>1578.0098814800058</v>
      </c>
      <c r="U1312" s="65">
        <v>0</v>
      </c>
      <c r="V1312" s="65">
        <v>0</v>
      </c>
      <c r="W1312" s="65">
        <v>0</v>
      </c>
      <c r="X1312" s="65">
        <v>14013</v>
      </c>
      <c r="Y1312" s="65">
        <v>0</v>
      </c>
      <c r="Z1312" s="65">
        <v>0</v>
      </c>
      <c r="AA1312" s="51">
        <v>0</v>
      </c>
      <c r="AB1312" s="102">
        <v>0</v>
      </c>
      <c r="AC1312" s="81">
        <f t="shared" si="63"/>
        <v>257.2086061765508</v>
      </c>
      <c r="AD1312" s="82">
        <f t="shared" si="64"/>
        <v>52.271428571428586</v>
      </c>
      <c r="AE1312" s="218">
        <v>-0.11203875760445922</v>
      </c>
      <c r="AF1312">
        <v>4</v>
      </c>
      <c r="AH1312" t="str">
        <f t="shared" si="62"/>
        <v>Sahibpur Kamal</v>
      </c>
      <c r="AJ1312" s="72">
        <v>0</v>
      </c>
      <c r="AK1312" s="72"/>
      <c r="AL1312" s="72"/>
      <c r="AM1312" s="72"/>
    </row>
    <row r="1313" spans="1:39" x14ac:dyDescent="0.25">
      <c r="A1313" s="37" t="s">
        <v>62</v>
      </c>
      <c r="B1313" s="66" t="s">
        <v>1615</v>
      </c>
      <c r="C1313" s="47">
        <v>1054</v>
      </c>
      <c r="D1313" s="47" t="s">
        <v>828</v>
      </c>
      <c r="E1313" s="41">
        <v>10110093</v>
      </c>
      <c r="F1313" s="46" t="s">
        <v>487</v>
      </c>
      <c r="G1313" s="39" t="s">
        <v>93</v>
      </c>
      <c r="H1313" s="48" t="s">
        <v>94</v>
      </c>
      <c r="I1313" s="52">
        <v>444.09999999999997</v>
      </c>
      <c r="J1313" s="49">
        <v>15780.660000000002</v>
      </c>
      <c r="K1313" s="65">
        <v>571.5</v>
      </c>
      <c r="L1313" s="65">
        <v>22417.327567799999</v>
      </c>
      <c r="M1313" s="65">
        <v>12</v>
      </c>
      <c r="N1313" s="65">
        <v>469.00913400000007</v>
      </c>
      <c r="O1313" s="65">
        <v>583.5</v>
      </c>
      <c r="P1313" s="65">
        <v>22886.336701799999</v>
      </c>
      <c r="Q1313" s="50">
        <v>15780.660000000002</v>
      </c>
      <c r="R1313" s="65">
        <v>0</v>
      </c>
      <c r="S1313" s="65">
        <v>469.00913400000007</v>
      </c>
      <c r="T1313" s="65">
        <v>7105.6767017999973</v>
      </c>
      <c r="U1313" s="65">
        <v>0</v>
      </c>
      <c r="V1313" s="65">
        <v>0</v>
      </c>
      <c r="W1313" s="65">
        <v>0</v>
      </c>
      <c r="X1313" s="65">
        <v>15312</v>
      </c>
      <c r="Y1313" s="65">
        <v>0</v>
      </c>
      <c r="Z1313" s="65">
        <v>0</v>
      </c>
      <c r="AA1313" s="51">
        <v>0</v>
      </c>
      <c r="AB1313" s="102">
        <v>0</v>
      </c>
      <c r="AC1313" s="81">
        <f t="shared" si="63"/>
        <v>181.86313415897325</v>
      </c>
      <c r="AD1313" s="82">
        <f t="shared" si="64"/>
        <v>63.442857142857136</v>
      </c>
      <c r="AE1313" s="218">
        <v>-0.45027753603461429</v>
      </c>
      <c r="AF1313">
        <v>2</v>
      </c>
      <c r="AH1313" t="str">
        <f t="shared" si="62"/>
        <v xml:space="preserve">Alauli </v>
      </c>
      <c r="AJ1313" s="72">
        <v>0</v>
      </c>
      <c r="AK1313" s="72"/>
      <c r="AL1313" s="72"/>
      <c r="AM1313" s="72"/>
    </row>
    <row r="1314" spans="1:39" x14ac:dyDescent="0.25">
      <c r="A1314" s="37" t="s">
        <v>62</v>
      </c>
      <c r="B1314" s="66" t="s">
        <v>1615</v>
      </c>
      <c r="C1314" s="47">
        <v>1011</v>
      </c>
      <c r="D1314" s="47" t="s">
        <v>289</v>
      </c>
      <c r="E1314" s="41">
        <v>10110094</v>
      </c>
      <c r="F1314" s="46" t="s">
        <v>488</v>
      </c>
      <c r="G1314" s="39" t="s">
        <v>93</v>
      </c>
      <c r="H1314" s="48" t="s">
        <v>94</v>
      </c>
      <c r="I1314" s="52">
        <v>360</v>
      </c>
      <c r="J1314" s="49">
        <v>13191.03</v>
      </c>
      <c r="K1314" s="65">
        <v>361.33999999999992</v>
      </c>
      <c r="L1314" s="65">
        <v>13178.5954646346</v>
      </c>
      <c r="M1314" s="65">
        <v>5.4399999999999995</v>
      </c>
      <c r="N1314" s="65">
        <v>202.57982355600006</v>
      </c>
      <c r="O1314" s="65">
        <v>366.77999999999992</v>
      </c>
      <c r="P1314" s="65">
        <v>13381.1752881906</v>
      </c>
      <c r="Q1314" s="50">
        <v>13191.03</v>
      </c>
      <c r="R1314" s="65">
        <v>0</v>
      </c>
      <c r="S1314" s="65">
        <v>202.57982355600006</v>
      </c>
      <c r="T1314" s="65">
        <v>190.14528819059888</v>
      </c>
      <c r="U1314" s="65">
        <v>0</v>
      </c>
      <c r="V1314" s="65">
        <v>49.13</v>
      </c>
      <c r="W1314" s="65">
        <v>0</v>
      </c>
      <c r="X1314" s="65">
        <v>12939</v>
      </c>
      <c r="Y1314" s="65">
        <v>0</v>
      </c>
      <c r="Z1314" s="65">
        <v>0</v>
      </c>
      <c r="AA1314" s="51">
        <v>0</v>
      </c>
      <c r="AB1314" s="102" t="s">
        <v>68</v>
      </c>
      <c r="AC1314" s="81">
        <f t="shared" si="63"/>
        <v>249.16390000000001</v>
      </c>
      <c r="AD1314" s="82">
        <f t="shared" si="64"/>
        <v>51.428571428571431</v>
      </c>
      <c r="AE1314" s="218">
        <v>-1.4414741547142177E-2</v>
      </c>
      <c r="AF1314">
        <v>10</v>
      </c>
      <c r="AH1314" t="str">
        <f t="shared" si="62"/>
        <v>Sahibpur Kamal</v>
      </c>
      <c r="AJ1314" s="72">
        <v>0</v>
      </c>
      <c r="AK1314" s="72"/>
      <c r="AL1314" s="72"/>
      <c r="AM1314" s="72"/>
    </row>
    <row r="1315" spans="1:39" x14ac:dyDescent="0.25">
      <c r="A1315" s="37" t="s">
        <v>62</v>
      </c>
      <c r="B1315" s="66" t="s">
        <v>1615</v>
      </c>
      <c r="C1315" s="47">
        <v>1011</v>
      </c>
      <c r="D1315" s="47" t="s">
        <v>289</v>
      </c>
      <c r="E1315" s="41">
        <v>10110095</v>
      </c>
      <c r="F1315" s="46" t="s">
        <v>489</v>
      </c>
      <c r="G1315" s="39" t="s">
        <v>93</v>
      </c>
      <c r="H1315" s="48" t="s">
        <v>94</v>
      </c>
      <c r="I1315" s="52">
        <v>411.60000000000008</v>
      </c>
      <c r="J1315" s="49">
        <v>18081.879999999997</v>
      </c>
      <c r="K1315" s="65">
        <v>413.28</v>
      </c>
      <c r="L1315" s="65">
        <v>18730.086798259752</v>
      </c>
      <c r="M1315" s="65">
        <v>6.4</v>
      </c>
      <c r="N1315" s="65">
        <v>286.52786751599996</v>
      </c>
      <c r="O1315" s="65">
        <v>419.67999999999995</v>
      </c>
      <c r="P1315" s="65">
        <v>19016.614665775753</v>
      </c>
      <c r="Q1315" s="50">
        <v>18081.879999999997</v>
      </c>
      <c r="R1315" s="65">
        <v>0</v>
      </c>
      <c r="S1315" s="65">
        <v>286.52786751599996</v>
      </c>
      <c r="T1315" s="65">
        <v>934.73466577575527</v>
      </c>
      <c r="U1315" s="65">
        <v>0</v>
      </c>
      <c r="V1315" s="65">
        <v>0</v>
      </c>
      <c r="W1315" s="65">
        <v>0</v>
      </c>
      <c r="X1315" s="65">
        <v>17795</v>
      </c>
      <c r="Y1315" s="65">
        <v>0</v>
      </c>
      <c r="Z1315" s="65">
        <v>0</v>
      </c>
      <c r="AA1315" s="51">
        <v>0</v>
      </c>
      <c r="AB1315" s="102" t="s">
        <v>68</v>
      </c>
      <c r="AC1315" s="81">
        <f t="shared" si="63"/>
        <v>253.39233197278898</v>
      </c>
      <c r="AD1315" s="82">
        <f t="shared" si="64"/>
        <v>58.800000000000011</v>
      </c>
      <c r="AE1315" s="218">
        <v>-5.1694550886066906E-2</v>
      </c>
      <c r="AF1315">
        <v>12</v>
      </c>
      <c r="AH1315" t="str">
        <f t="shared" si="62"/>
        <v>Sahibpur Kamal</v>
      </c>
      <c r="AJ1315" s="72">
        <v>0</v>
      </c>
      <c r="AK1315" s="72"/>
      <c r="AL1315" s="72"/>
      <c r="AM1315" s="72"/>
    </row>
    <row r="1316" spans="1:39" x14ac:dyDescent="0.25">
      <c r="A1316" s="37" t="s">
        <v>62</v>
      </c>
      <c r="B1316" s="66" t="s">
        <v>1615</v>
      </c>
      <c r="C1316" s="47">
        <v>1054</v>
      </c>
      <c r="D1316" s="47" t="s">
        <v>828</v>
      </c>
      <c r="E1316" s="41">
        <v>10110097</v>
      </c>
      <c r="F1316" s="46" t="s">
        <v>504</v>
      </c>
      <c r="G1316" s="39" t="s">
        <v>93</v>
      </c>
      <c r="H1316" s="48" t="s">
        <v>94</v>
      </c>
      <c r="I1316" s="52">
        <v>94.7</v>
      </c>
      <c r="J1316" s="49">
        <v>4404.58</v>
      </c>
      <c r="K1316" s="65">
        <v>95.279999999999987</v>
      </c>
      <c r="L1316" s="65">
        <v>4140.3351802794305</v>
      </c>
      <c r="M1316" s="65">
        <v>0.57000000000000006</v>
      </c>
      <c r="N1316" s="65">
        <v>24.121596005100002</v>
      </c>
      <c r="O1316" s="65">
        <v>95.84999999999998</v>
      </c>
      <c r="P1316" s="65">
        <v>4164.4567762845309</v>
      </c>
      <c r="Q1316" s="50">
        <v>4164.4567762845309</v>
      </c>
      <c r="R1316" s="65">
        <v>0</v>
      </c>
      <c r="S1316" s="65">
        <v>24.121596005100002</v>
      </c>
      <c r="T1316" s="65">
        <v>0</v>
      </c>
      <c r="U1316" s="65">
        <v>0</v>
      </c>
      <c r="V1316" s="65">
        <v>244.11000000000013</v>
      </c>
      <c r="W1316" s="65">
        <v>0</v>
      </c>
      <c r="X1316" s="65">
        <v>3896</v>
      </c>
      <c r="Y1316" s="65">
        <v>0</v>
      </c>
      <c r="Z1316" s="65">
        <v>0</v>
      </c>
      <c r="AA1316" s="51">
        <v>240</v>
      </c>
      <c r="AB1316" s="102">
        <v>0</v>
      </c>
      <c r="AC1316" s="81">
        <f t="shared" si="63"/>
        <v>563.06067032734961</v>
      </c>
      <c r="AD1316" s="82">
        <f t="shared" si="64"/>
        <v>13.528571428571428</v>
      </c>
      <c r="AE1316" s="218">
        <v>5.4516712993172803E-2</v>
      </c>
      <c r="AF1316">
        <v>3</v>
      </c>
      <c r="AH1316" t="str">
        <f t="shared" si="62"/>
        <v xml:space="preserve">Alauli </v>
      </c>
      <c r="AJ1316" s="72">
        <v>0</v>
      </c>
      <c r="AK1316" s="72"/>
      <c r="AL1316" s="72"/>
      <c r="AM1316" s="72"/>
    </row>
    <row r="1317" spans="1:39" x14ac:dyDescent="0.25">
      <c r="A1317" s="37" t="s">
        <v>62</v>
      </c>
      <c r="B1317" s="66" t="s">
        <v>1615</v>
      </c>
      <c r="C1317" s="47">
        <v>1054</v>
      </c>
      <c r="D1317" s="47" t="s">
        <v>828</v>
      </c>
      <c r="E1317" s="41">
        <v>10110098</v>
      </c>
      <c r="F1317" s="46" t="s">
        <v>509</v>
      </c>
      <c r="G1317" s="39" t="s">
        <v>93</v>
      </c>
      <c r="H1317" s="48" t="s">
        <v>94</v>
      </c>
      <c r="I1317" s="52">
        <v>156.50000000000003</v>
      </c>
      <c r="J1317" s="49">
        <v>6523.63</v>
      </c>
      <c r="K1317" s="65">
        <v>158.50000000000003</v>
      </c>
      <c r="L1317" s="65">
        <v>6641.17460424</v>
      </c>
      <c r="M1317" s="65">
        <v>0</v>
      </c>
      <c r="N1317" s="65">
        <v>0</v>
      </c>
      <c r="O1317" s="65">
        <v>158.50000000000003</v>
      </c>
      <c r="P1317" s="65">
        <v>6641.17460424</v>
      </c>
      <c r="Q1317" s="50">
        <v>6523.63</v>
      </c>
      <c r="R1317" s="65">
        <v>0</v>
      </c>
      <c r="S1317" s="65">
        <v>0</v>
      </c>
      <c r="T1317" s="65">
        <v>117.5446042399999</v>
      </c>
      <c r="U1317" s="65">
        <v>0</v>
      </c>
      <c r="V1317" s="65">
        <v>0</v>
      </c>
      <c r="W1317" s="65">
        <v>0</v>
      </c>
      <c r="X1317" s="65">
        <v>6524</v>
      </c>
      <c r="Y1317" s="65">
        <v>0</v>
      </c>
      <c r="Z1317" s="65">
        <v>0</v>
      </c>
      <c r="AA1317" s="51">
        <v>0</v>
      </c>
      <c r="AB1317" s="102">
        <v>0</v>
      </c>
      <c r="AC1317" s="81">
        <f t="shared" si="63"/>
        <v>453.11091437699673</v>
      </c>
      <c r="AD1317" s="82">
        <f t="shared" si="64"/>
        <v>22.357142857142861</v>
      </c>
      <c r="AE1317" s="218">
        <v>-1.8018281882939392E-2</v>
      </c>
      <c r="AF1317">
        <v>1</v>
      </c>
      <c r="AH1317" t="str">
        <f t="shared" ref="AH1317:AH1380" si="65">TEXT(D1317,"0000")</f>
        <v xml:space="preserve">Alauli </v>
      </c>
      <c r="AJ1317" s="72">
        <v>0</v>
      </c>
      <c r="AK1317" s="72"/>
      <c r="AL1317" s="72"/>
      <c r="AM1317" s="72"/>
    </row>
    <row r="1318" spans="1:39" x14ac:dyDescent="0.25">
      <c r="A1318" s="37" t="s">
        <v>62</v>
      </c>
      <c r="B1318" s="66" t="s">
        <v>1615</v>
      </c>
      <c r="C1318" s="47">
        <v>1054</v>
      </c>
      <c r="D1318" s="47" t="s">
        <v>828</v>
      </c>
      <c r="E1318" s="41">
        <v>10110100</v>
      </c>
      <c r="F1318" s="46" t="s">
        <v>510</v>
      </c>
      <c r="G1318" s="39" t="s">
        <v>93</v>
      </c>
      <c r="H1318" s="48" t="s">
        <v>94</v>
      </c>
      <c r="I1318" s="52">
        <v>3335.5000000000005</v>
      </c>
      <c r="J1318" s="49">
        <v>132713.07999999999</v>
      </c>
      <c r="K1318" s="65">
        <v>3465.82</v>
      </c>
      <c r="L1318" s="65">
        <v>136881.3017894502</v>
      </c>
      <c r="M1318" s="65">
        <v>1.92</v>
      </c>
      <c r="N1318" s="65">
        <v>74.513438208000025</v>
      </c>
      <c r="O1318" s="65">
        <v>3467.7400000000002</v>
      </c>
      <c r="P1318" s="65">
        <v>136955.8152276582</v>
      </c>
      <c r="Q1318" s="50">
        <v>132713.07999999999</v>
      </c>
      <c r="R1318" s="65">
        <v>0</v>
      </c>
      <c r="S1318" s="65">
        <v>74.513438208000025</v>
      </c>
      <c r="T1318" s="65">
        <v>4242.7352276582096</v>
      </c>
      <c r="U1318" s="65">
        <v>641</v>
      </c>
      <c r="V1318" s="65">
        <v>0</v>
      </c>
      <c r="W1318" s="65">
        <v>0</v>
      </c>
      <c r="X1318" s="65">
        <v>131998</v>
      </c>
      <c r="Y1318" s="65">
        <v>0</v>
      </c>
      <c r="Z1318" s="65">
        <v>0</v>
      </c>
      <c r="AA1318" s="51">
        <v>0</v>
      </c>
      <c r="AB1318" s="102" t="s">
        <v>66</v>
      </c>
      <c r="AC1318" s="81">
        <f t="shared" si="63"/>
        <v>0</v>
      </c>
      <c r="AD1318" s="82">
        <f t="shared" si="64"/>
        <v>0</v>
      </c>
      <c r="AE1318" s="218">
        <v>-3.1969231877206149E-2</v>
      </c>
      <c r="AF1318">
        <v>18</v>
      </c>
      <c r="AH1318" t="str">
        <f t="shared" si="65"/>
        <v xml:space="preserve">Alauli </v>
      </c>
      <c r="AJ1318" s="72">
        <v>0</v>
      </c>
      <c r="AK1318" s="72"/>
      <c r="AL1318" s="72"/>
      <c r="AM1318" s="72"/>
    </row>
    <row r="1319" spans="1:39" x14ac:dyDescent="0.25">
      <c r="A1319" s="37" t="s">
        <v>62</v>
      </c>
      <c r="B1319" s="66" t="s">
        <v>1615</v>
      </c>
      <c r="C1319" s="47">
        <v>1054</v>
      </c>
      <c r="D1319" s="47" t="s">
        <v>828</v>
      </c>
      <c r="E1319" s="41">
        <v>10110101</v>
      </c>
      <c r="F1319" s="46" t="s">
        <v>520</v>
      </c>
      <c r="G1319" s="39" t="s">
        <v>93</v>
      </c>
      <c r="H1319" s="48" t="s">
        <v>94</v>
      </c>
      <c r="I1319" s="52">
        <v>261.7</v>
      </c>
      <c r="J1319" s="49">
        <v>11047.599999999997</v>
      </c>
      <c r="K1319" s="65">
        <v>232.28999999999996</v>
      </c>
      <c r="L1319" s="65">
        <v>10962.81746571383</v>
      </c>
      <c r="M1319" s="65">
        <v>8.27</v>
      </c>
      <c r="N1319" s="65">
        <v>408.19786934952998</v>
      </c>
      <c r="O1319" s="65">
        <v>240.55999999999997</v>
      </c>
      <c r="P1319" s="65">
        <v>11371.015335063359</v>
      </c>
      <c r="Q1319" s="50">
        <v>11047.599999999997</v>
      </c>
      <c r="R1319" s="65">
        <v>0</v>
      </c>
      <c r="S1319" s="65">
        <v>408.19786934952998</v>
      </c>
      <c r="T1319" s="65">
        <v>323.41533506336236</v>
      </c>
      <c r="U1319" s="65">
        <v>0</v>
      </c>
      <c r="V1319" s="65">
        <v>0</v>
      </c>
      <c r="W1319" s="65">
        <v>0</v>
      </c>
      <c r="X1319" s="65">
        <v>10639</v>
      </c>
      <c r="Y1319" s="65">
        <v>0</v>
      </c>
      <c r="Z1319" s="65">
        <v>0</v>
      </c>
      <c r="AA1319" s="51">
        <v>0</v>
      </c>
      <c r="AB1319" s="102">
        <v>0</v>
      </c>
      <c r="AC1319" s="81">
        <f t="shared" si="63"/>
        <v>370.05449598777216</v>
      </c>
      <c r="AD1319" s="82">
        <f t="shared" si="64"/>
        <v>37.385714285714286</v>
      </c>
      <c r="AE1319" s="218">
        <v>-2.9274714423346469E-2</v>
      </c>
      <c r="AF1319">
        <v>13</v>
      </c>
      <c r="AH1319" t="str">
        <f t="shared" si="65"/>
        <v xml:space="preserve">Alauli </v>
      </c>
      <c r="AJ1319" s="72">
        <v>0</v>
      </c>
      <c r="AK1319" s="72"/>
      <c r="AL1319" s="72"/>
      <c r="AM1319" s="72"/>
    </row>
    <row r="1320" spans="1:39" x14ac:dyDescent="0.25">
      <c r="A1320" s="37" t="s">
        <v>62</v>
      </c>
      <c r="B1320" s="66" t="s">
        <v>1615</v>
      </c>
      <c r="C1320" s="47">
        <v>1011</v>
      </c>
      <c r="D1320" s="47" t="s">
        <v>289</v>
      </c>
      <c r="E1320" s="41">
        <v>10110105</v>
      </c>
      <c r="F1320" s="46" t="s">
        <v>531</v>
      </c>
      <c r="G1320" s="39" t="s">
        <v>93</v>
      </c>
      <c r="H1320" s="48" t="s">
        <v>94</v>
      </c>
      <c r="I1320" s="52">
        <v>365.6</v>
      </c>
      <c r="J1320" s="49">
        <v>13222.030000000002</v>
      </c>
      <c r="K1320" s="65">
        <v>416.58</v>
      </c>
      <c r="L1320" s="65">
        <v>15600.40768029946</v>
      </c>
      <c r="M1320" s="65">
        <v>0</v>
      </c>
      <c r="N1320" s="65">
        <v>0</v>
      </c>
      <c r="O1320" s="65">
        <v>416.58</v>
      </c>
      <c r="P1320" s="65">
        <v>15600.40768029946</v>
      </c>
      <c r="Q1320" s="50">
        <v>13222.030000000002</v>
      </c>
      <c r="R1320" s="65">
        <v>0</v>
      </c>
      <c r="S1320" s="65">
        <v>0</v>
      </c>
      <c r="T1320" s="65">
        <v>2378.377680299458</v>
      </c>
      <c r="U1320" s="65">
        <v>0</v>
      </c>
      <c r="V1320" s="65">
        <v>0</v>
      </c>
      <c r="W1320" s="65">
        <v>0</v>
      </c>
      <c r="X1320" s="65">
        <v>13222</v>
      </c>
      <c r="Y1320" s="65">
        <v>0</v>
      </c>
      <c r="Z1320" s="65">
        <v>0</v>
      </c>
      <c r="AA1320" s="51">
        <v>0</v>
      </c>
      <c r="AB1320" s="102">
        <v>0</v>
      </c>
      <c r="AC1320" s="81">
        <f t="shared" si="63"/>
        <v>241.87345908096282</v>
      </c>
      <c r="AD1320" s="82">
        <f t="shared" si="64"/>
        <v>52.228571428571435</v>
      </c>
      <c r="AE1320" s="218">
        <v>-0.17987991861306149</v>
      </c>
      <c r="AF1320">
        <v>13</v>
      </c>
      <c r="AH1320" t="str">
        <f t="shared" si="65"/>
        <v>Sahibpur Kamal</v>
      </c>
      <c r="AJ1320" s="72">
        <v>0</v>
      </c>
      <c r="AK1320" s="72"/>
      <c r="AL1320" s="72"/>
      <c r="AM1320" s="72"/>
    </row>
    <row r="1321" spans="1:39" x14ac:dyDescent="0.25">
      <c r="A1321" s="37" t="s">
        <v>62</v>
      </c>
      <c r="B1321" s="66" t="s">
        <v>1615</v>
      </c>
      <c r="C1321" s="47">
        <v>1011</v>
      </c>
      <c r="D1321" s="47" t="s">
        <v>289</v>
      </c>
      <c r="E1321" s="41">
        <v>10110106</v>
      </c>
      <c r="F1321" s="46" t="s">
        <v>624</v>
      </c>
      <c r="G1321" s="39" t="s">
        <v>93</v>
      </c>
      <c r="H1321" s="48" t="s">
        <v>94</v>
      </c>
      <c r="I1321" s="52">
        <v>6378.5</v>
      </c>
      <c r="J1321" s="49">
        <v>247308.28999999998</v>
      </c>
      <c r="K1321" s="65">
        <v>1559.76</v>
      </c>
      <c r="L1321" s="65">
        <v>66879.922086180246</v>
      </c>
      <c r="M1321" s="65">
        <v>4819.8</v>
      </c>
      <c r="N1321" s="65">
        <v>185464.16703936004</v>
      </c>
      <c r="O1321" s="65">
        <v>6379.56</v>
      </c>
      <c r="P1321" s="65">
        <v>252344.08912554028</v>
      </c>
      <c r="Q1321" s="50">
        <v>247308.28999999998</v>
      </c>
      <c r="R1321" s="65">
        <v>0</v>
      </c>
      <c r="S1321" s="65">
        <v>320.32042416000002</v>
      </c>
      <c r="T1321" s="65">
        <v>5035.7991255403031</v>
      </c>
      <c r="U1321" s="65">
        <v>0</v>
      </c>
      <c r="V1321" s="65">
        <v>0</v>
      </c>
      <c r="W1321" s="65">
        <v>0</v>
      </c>
      <c r="X1321" s="65">
        <v>61845</v>
      </c>
      <c r="Y1321" s="65">
        <v>185143</v>
      </c>
      <c r="Z1321" s="65">
        <v>0</v>
      </c>
      <c r="AA1321" s="51">
        <v>0</v>
      </c>
      <c r="AB1321" s="102">
        <v>0</v>
      </c>
      <c r="AC1321" s="81">
        <f t="shared" si="63"/>
        <v>0</v>
      </c>
      <c r="AD1321" s="82">
        <f t="shared" si="64"/>
        <v>0</v>
      </c>
      <c r="AE1321" s="218">
        <v>-2.0362435588149121E-2</v>
      </c>
      <c r="AF1321">
        <v>10</v>
      </c>
      <c r="AH1321" t="str">
        <f t="shared" si="65"/>
        <v>Sahibpur Kamal</v>
      </c>
      <c r="AJ1321" s="72">
        <v>0</v>
      </c>
      <c r="AK1321" s="72"/>
      <c r="AL1321" s="72"/>
      <c r="AM1321" s="72"/>
    </row>
    <row r="1322" spans="1:39" x14ac:dyDescent="0.25">
      <c r="A1322" s="37" t="s">
        <v>62</v>
      </c>
      <c r="B1322" s="66" t="s">
        <v>1615</v>
      </c>
      <c r="C1322" s="47">
        <v>1054</v>
      </c>
      <c r="D1322" s="47" t="s">
        <v>828</v>
      </c>
      <c r="E1322" s="41">
        <v>10110109</v>
      </c>
      <c r="F1322" s="46" t="s">
        <v>1345</v>
      </c>
      <c r="G1322" s="39" t="s">
        <v>93</v>
      </c>
      <c r="H1322" s="48" t="s">
        <v>94</v>
      </c>
      <c r="I1322" s="52">
        <v>238.3</v>
      </c>
      <c r="J1322" s="49">
        <v>9934.86</v>
      </c>
      <c r="K1322" s="65">
        <v>237.21999999999997</v>
      </c>
      <c r="L1322" s="65">
        <v>9994.2656845680012</v>
      </c>
      <c r="M1322" s="65">
        <v>1.4500000000000002</v>
      </c>
      <c r="N1322" s="65">
        <v>60.254349804000007</v>
      </c>
      <c r="O1322" s="65">
        <v>238.66999999999996</v>
      </c>
      <c r="P1322" s="65">
        <v>10054.520034372001</v>
      </c>
      <c r="Q1322" s="50">
        <v>9934.86</v>
      </c>
      <c r="R1322" s="65">
        <v>0</v>
      </c>
      <c r="S1322" s="65">
        <v>60.254349804000007</v>
      </c>
      <c r="T1322" s="65">
        <v>119.66003437200015</v>
      </c>
      <c r="U1322" s="65">
        <v>0</v>
      </c>
      <c r="V1322" s="65">
        <v>93.41</v>
      </c>
      <c r="W1322" s="65">
        <v>0</v>
      </c>
      <c r="X1322" s="65">
        <v>9781</v>
      </c>
      <c r="Y1322" s="65">
        <v>0</v>
      </c>
      <c r="Z1322" s="65">
        <v>0</v>
      </c>
      <c r="AA1322" s="51">
        <v>0</v>
      </c>
      <c r="AB1322" s="102" t="s">
        <v>68</v>
      </c>
      <c r="AC1322" s="81">
        <f t="shared" si="63"/>
        <v>384.97061368023503</v>
      </c>
      <c r="AD1322" s="82">
        <f t="shared" si="64"/>
        <v>34.042857142857144</v>
      </c>
      <c r="AE1322" s="218">
        <v>-1.2044461056522201E-2</v>
      </c>
      <c r="AF1322">
        <v>2</v>
      </c>
      <c r="AH1322" t="str">
        <f t="shared" si="65"/>
        <v xml:space="preserve">Alauli </v>
      </c>
      <c r="AJ1322" s="72">
        <v>0</v>
      </c>
      <c r="AK1322" s="72"/>
      <c r="AL1322" s="72"/>
      <c r="AM1322" s="72"/>
    </row>
    <row r="1323" spans="1:39" x14ac:dyDescent="0.25">
      <c r="A1323" s="37" t="s">
        <v>62</v>
      </c>
      <c r="B1323" s="66" t="s">
        <v>1615</v>
      </c>
      <c r="C1323" s="47">
        <v>1055</v>
      </c>
      <c r="D1323" s="47" t="s">
        <v>1148</v>
      </c>
      <c r="E1323" s="41">
        <v>10110110</v>
      </c>
      <c r="F1323" s="46" t="s">
        <v>590</v>
      </c>
      <c r="G1323" s="39" t="s">
        <v>93</v>
      </c>
      <c r="H1323" s="48" t="s">
        <v>94</v>
      </c>
      <c r="I1323" s="52">
        <v>137.9</v>
      </c>
      <c r="J1323" s="49">
        <v>6453.67</v>
      </c>
      <c r="K1323" s="65">
        <v>138.57</v>
      </c>
      <c r="L1323" s="65">
        <v>6785.4075893118197</v>
      </c>
      <c r="M1323" s="65">
        <v>1.9899999999999998</v>
      </c>
      <c r="N1323" s="65">
        <v>119.36047876352002</v>
      </c>
      <c r="O1323" s="65">
        <v>140.56</v>
      </c>
      <c r="P1323" s="65">
        <v>6904.7680680753401</v>
      </c>
      <c r="Q1323" s="50">
        <v>6453.67</v>
      </c>
      <c r="R1323" s="65">
        <v>0</v>
      </c>
      <c r="S1323" s="65">
        <v>119.36047876352002</v>
      </c>
      <c r="T1323" s="65">
        <v>451.09806807534005</v>
      </c>
      <c r="U1323" s="65">
        <v>0</v>
      </c>
      <c r="V1323" s="65">
        <v>142.07</v>
      </c>
      <c r="W1323" s="65">
        <v>0</v>
      </c>
      <c r="X1323" s="65">
        <v>6192</v>
      </c>
      <c r="Y1323" s="65">
        <v>0</v>
      </c>
      <c r="Z1323" s="65">
        <v>0</v>
      </c>
      <c r="AA1323" s="51">
        <v>0</v>
      </c>
      <c r="AB1323" s="102" t="s">
        <v>68</v>
      </c>
      <c r="AC1323" s="81">
        <f t="shared" si="63"/>
        <v>526.12152385786806</v>
      </c>
      <c r="AD1323" s="82">
        <f t="shared" si="64"/>
        <v>19.7</v>
      </c>
      <c r="AE1323" s="218">
        <v>-6.9897913601925737E-2</v>
      </c>
      <c r="AF1323">
        <v>3</v>
      </c>
      <c r="AH1323" t="str">
        <f t="shared" si="65"/>
        <v>Matihani</v>
      </c>
      <c r="AJ1323" s="72">
        <v>0</v>
      </c>
      <c r="AK1323" s="72"/>
      <c r="AL1323" s="72"/>
      <c r="AM1323" s="72"/>
    </row>
    <row r="1324" spans="1:39" x14ac:dyDescent="0.25">
      <c r="A1324" s="37" t="s">
        <v>62</v>
      </c>
      <c r="B1324" s="66" t="s">
        <v>1615</v>
      </c>
      <c r="C1324" s="47">
        <v>1055</v>
      </c>
      <c r="D1324" s="47" t="s">
        <v>1148</v>
      </c>
      <c r="E1324" s="41">
        <v>10110111</v>
      </c>
      <c r="F1324" s="46" t="s">
        <v>565</v>
      </c>
      <c r="G1324" s="39" t="s">
        <v>93</v>
      </c>
      <c r="H1324" s="48" t="s">
        <v>94</v>
      </c>
      <c r="I1324" s="52">
        <v>219.39999999999992</v>
      </c>
      <c r="J1324" s="49">
        <v>11985.15</v>
      </c>
      <c r="K1324" s="65">
        <v>218.68</v>
      </c>
      <c r="L1324" s="65">
        <v>12124.375719610802</v>
      </c>
      <c r="M1324" s="65">
        <v>3.2000000000000006</v>
      </c>
      <c r="N1324" s="65">
        <v>210.55586563679998</v>
      </c>
      <c r="O1324" s="65">
        <v>221.88</v>
      </c>
      <c r="P1324" s="65">
        <v>12334.931585247601</v>
      </c>
      <c r="Q1324" s="50">
        <v>11985.15</v>
      </c>
      <c r="R1324" s="65">
        <v>0</v>
      </c>
      <c r="S1324" s="65">
        <v>210.55586563679998</v>
      </c>
      <c r="T1324" s="65">
        <v>349.78158524760147</v>
      </c>
      <c r="U1324" s="65">
        <v>0</v>
      </c>
      <c r="V1324" s="65">
        <v>0</v>
      </c>
      <c r="W1324" s="65">
        <v>0</v>
      </c>
      <c r="X1324" s="65">
        <v>11775</v>
      </c>
      <c r="Y1324" s="65">
        <v>0</v>
      </c>
      <c r="Z1324" s="65">
        <v>0</v>
      </c>
      <c r="AA1324" s="51">
        <v>0</v>
      </c>
      <c r="AB1324" s="102" t="s">
        <v>68</v>
      </c>
      <c r="AC1324" s="81">
        <f t="shared" si="63"/>
        <v>525.07411941659109</v>
      </c>
      <c r="AD1324" s="82">
        <f t="shared" si="64"/>
        <v>31.342857142857131</v>
      </c>
      <c r="AE1324" s="218">
        <v>-2.9184581356729074E-2</v>
      </c>
      <c r="AF1324">
        <v>3</v>
      </c>
      <c r="AH1324" t="str">
        <f t="shared" si="65"/>
        <v>Matihani</v>
      </c>
      <c r="AJ1324" s="72">
        <v>0</v>
      </c>
      <c r="AK1324" s="72"/>
      <c r="AL1324" s="72"/>
      <c r="AM1324" s="72"/>
    </row>
    <row r="1325" spans="1:39" x14ac:dyDescent="0.25">
      <c r="A1325" s="37" t="s">
        <v>62</v>
      </c>
      <c r="B1325" s="66" t="s">
        <v>1615</v>
      </c>
      <c r="C1325" s="47">
        <v>1054</v>
      </c>
      <c r="D1325" s="47" t="s">
        <v>828</v>
      </c>
      <c r="E1325" s="41">
        <v>10110114</v>
      </c>
      <c r="F1325" s="46" t="s">
        <v>591</v>
      </c>
      <c r="G1325" s="39" t="s">
        <v>93</v>
      </c>
      <c r="H1325" s="48" t="s">
        <v>94</v>
      </c>
      <c r="I1325" s="52">
        <v>525.90000000000009</v>
      </c>
      <c r="J1325" s="49">
        <v>19601.88</v>
      </c>
      <c r="K1325" s="65">
        <v>526.99999999999989</v>
      </c>
      <c r="L1325" s="65">
        <v>19417.596811272004</v>
      </c>
      <c r="M1325" s="65">
        <v>0</v>
      </c>
      <c r="N1325" s="65">
        <v>0</v>
      </c>
      <c r="O1325" s="65">
        <v>526.99999999999989</v>
      </c>
      <c r="P1325" s="65">
        <v>19417.596811272004</v>
      </c>
      <c r="Q1325" s="50">
        <v>19417.596811272004</v>
      </c>
      <c r="R1325" s="65">
        <v>0</v>
      </c>
      <c r="S1325" s="65">
        <v>0</v>
      </c>
      <c r="T1325" s="65">
        <v>0</v>
      </c>
      <c r="U1325" s="65">
        <v>0</v>
      </c>
      <c r="V1325" s="65">
        <v>0</v>
      </c>
      <c r="W1325" s="65">
        <v>0</v>
      </c>
      <c r="X1325" s="65">
        <v>19418</v>
      </c>
      <c r="Y1325" s="65">
        <v>0</v>
      </c>
      <c r="Z1325" s="65">
        <v>0</v>
      </c>
      <c r="AA1325" s="51">
        <v>184</v>
      </c>
      <c r="AB1325" s="102">
        <v>0</v>
      </c>
      <c r="AC1325" s="81">
        <f t="shared" si="63"/>
        <v>129.78464757558459</v>
      </c>
      <c r="AD1325" s="82">
        <f t="shared" si="64"/>
        <v>75.128571428571448</v>
      </c>
      <c r="AE1325" s="218">
        <v>9.4013017490157669E-3</v>
      </c>
      <c r="AF1325">
        <v>2</v>
      </c>
      <c r="AH1325" t="str">
        <f t="shared" si="65"/>
        <v xml:space="preserve">Alauli </v>
      </c>
      <c r="AJ1325" s="72">
        <v>0</v>
      </c>
      <c r="AK1325" s="72"/>
      <c r="AL1325" s="72"/>
      <c r="AM1325" s="72"/>
    </row>
    <row r="1326" spans="1:39" x14ac:dyDescent="0.25">
      <c r="A1326" s="37" t="s">
        <v>62</v>
      </c>
      <c r="B1326" s="66" t="s">
        <v>1615</v>
      </c>
      <c r="C1326" s="47">
        <v>1054</v>
      </c>
      <c r="D1326" s="47" t="s">
        <v>828</v>
      </c>
      <c r="E1326" s="41">
        <v>10110116</v>
      </c>
      <c r="F1326" s="46" t="s">
        <v>546</v>
      </c>
      <c r="G1326" s="39" t="s">
        <v>93</v>
      </c>
      <c r="H1326" s="48" t="s">
        <v>94</v>
      </c>
      <c r="I1326" s="52">
        <v>766</v>
      </c>
      <c r="J1326" s="49">
        <v>27601.550000000003</v>
      </c>
      <c r="K1326" s="65">
        <v>766</v>
      </c>
      <c r="L1326" s="65">
        <v>27801.67009752</v>
      </c>
      <c r="M1326" s="65">
        <v>0</v>
      </c>
      <c r="N1326" s="65">
        <v>0</v>
      </c>
      <c r="O1326" s="65">
        <v>766</v>
      </c>
      <c r="P1326" s="65">
        <v>27801.67009752</v>
      </c>
      <c r="Q1326" s="50">
        <v>27601.550000000003</v>
      </c>
      <c r="R1326" s="65">
        <v>0</v>
      </c>
      <c r="S1326" s="65">
        <v>0</v>
      </c>
      <c r="T1326" s="65">
        <v>200.12009751999722</v>
      </c>
      <c r="U1326" s="65">
        <v>0</v>
      </c>
      <c r="V1326" s="65">
        <v>0</v>
      </c>
      <c r="W1326" s="65">
        <v>0</v>
      </c>
      <c r="X1326" s="65">
        <v>27602</v>
      </c>
      <c r="Y1326" s="65">
        <v>0</v>
      </c>
      <c r="Z1326" s="65">
        <v>0</v>
      </c>
      <c r="AA1326" s="51">
        <v>0</v>
      </c>
      <c r="AB1326" s="102">
        <v>0</v>
      </c>
      <c r="AC1326" s="81">
        <f t="shared" si="63"/>
        <v>0</v>
      </c>
      <c r="AD1326" s="82">
        <f t="shared" si="64"/>
        <v>0</v>
      </c>
      <c r="AE1326" s="218">
        <v>-7.2503209971902733E-3</v>
      </c>
      <c r="AF1326">
        <v>5</v>
      </c>
      <c r="AH1326" t="str">
        <f t="shared" si="65"/>
        <v xml:space="preserve">Alauli </v>
      </c>
      <c r="AJ1326" s="72">
        <v>0</v>
      </c>
      <c r="AK1326" s="72"/>
      <c r="AL1326" s="72"/>
      <c r="AM1326" s="72"/>
    </row>
    <row r="1327" spans="1:39" x14ac:dyDescent="0.25">
      <c r="A1327" s="37" t="s">
        <v>62</v>
      </c>
      <c r="B1327" s="66" t="s">
        <v>1615</v>
      </c>
      <c r="C1327" s="47">
        <v>1054</v>
      </c>
      <c r="D1327" s="47" t="s">
        <v>828</v>
      </c>
      <c r="E1327" s="41">
        <v>10110118</v>
      </c>
      <c r="F1327" s="46" t="s">
        <v>593</v>
      </c>
      <c r="G1327" s="39" t="s">
        <v>93</v>
      </c>
      <c r="H1327" s="48" t="s">
        <v>94</v>
      </c>
      <c r="I1327" s="52">
        <v>517.1</v>
      </c>
      <c r="J1327" s="49">
        <v>19768.190000000006</v>
      </c>
      <c r="K1327" s="65">
        <v>313.27999999999992</v>
      </c>
      <c r="L1327" s="65">
        <v>12730.25938051398</v>
      </c>
      <c r="M1327" s="65">
        <v>193.22</v>
      </c>
      <c r="N1327" s="65">
        <v>7588.5161152812016</v>
      </c>
      <c r="O1327" s="65">
        <v>506.49999999999989</v>
      </c>
      <c r="P1327" s="65">
        <v>20318.775495795184</v>
      </c>
      <c r="Q1327" s="50">
        <v>19768.190000000006</v>
      </c>
      <c r="R1327" s="65">
        <v>0</v>
      </c>
      <c r="S1327" s="65">
        <v>619.32839288420007</v>
      </c>
      <c r="T1327" s="65">
        <v>550.58549579517785</v>
      </c>
      <c r="U1327" s="65">
        <v>0</v>
      </c>
      <c r="V1327" s="65">
        <v>62.263500000000619</v>
      </c>
      <c r="W1327" s="65">
        <v>0</v>
      </c>
      <c r="X1327" s="65">
        <v>12117</v>
      </c>
      <c r="Y1327" s="65">
        <v>6969</v>
      </c>
      <c r="Z1327" s="65">
        <v>0</v>
      </c>
      <c r="AA1327" s="51">
        <v>1</v>
      </c>
      <c r="AB1327" s="102">
        <v>0</v>
      </c>
      <c r="AC1327" s="81">
        <f t="shared" si="63"/>
        <v>139.84149878166698</v>
      </c>
      <c r="AD1327" s="82">
        <f t="shared" si="64"/>
        <v>73.871428571428581</v>
      </c>
      <c r="AE1327" s="218">
        <v>-2.7852094490956315E-2</v>
      </c>
      <c r="AF1327">
        <v>13</v>
      </c>
      <c r="AH1327" t="str">
        <f t="shared" si="65"/>
        <v xml:space="preserve">Alauli </v>
      </c>
      <c r="AJ1327" s="72">
        <v>0</v>
      </c>
      <c r="AK1327" s="72"/>
      <c r="AL1327" s="72"/>
      <c r="AM1327" s="72"/>
    </row>
    <row r="1328" spans="1:39" x14ac:dyDescent="0.25">
      <c r="A1328" s="37" t="s">
        <v>62</v>
      </c>
      <c r="B1328" s="66" t="s">
        <v>1615</v>
      </c>
      <c r="C1328" s="47">
        <v>1054</v>
      </c>
      <c r="D1328" s="47" t="s">
        <v>828</v>
      </c>
      <c r="E1328" s="41">
        <v>10110119</v>
      </c>
      <c r="F1328" s="46" t="s">
        <v>594</v>
      </c>
      <c r="G1328" s="39" t="s">
        <v>93</v>
      </c>
      <c r="H1328" s="48" t="s">
        <v>94</v>
      </c>
      <c r="I1328" s="52">
        <v>319.39999999999992</v>
      </c>
      <c r="J1328" s="49">
        <v>12127.81</v>
      </c>
      <c r="K1328" s="65">
        <v>324.04999999999995</v>
      </c>
      <c r="L1328" s="65">
        <v>12576.590582523442</v>
      </c>
      <c r="M1328" s="65">
        <v>0</v>
      </c>
      <c r="N1328" s="65">
        <v>0</v>
      </c>
      <c r="O1328" s="65">
        <v>324.04999999999995</v>
      </c>
      <c r="P1328" s="65">
        <v>12576.590582523442</v>
      </c>
      <c r="Q1328" s="50">
        <v>12127.81</v>
      </c>
      <c r="R1328" s="65">
        <v>0</v>
      </c>
      <c r="S1328" s="65">
        <v>0</v>
      </c>
      <c r="T1328" s="65">
        <v>448.78058252344272</v>
      </c>
      <c r="U1328" s="65">
        <v>0</v>
      </c>
      <c r="V1328" s="65">
        <v>0</v>
      </c>
      <c r="W1328" s="65">
        <v>0</v>
      </c>
      <c r="X1328" s="65">
        <v>12128</v>
      </c>
      <c r="Y1328" s="65">
        <v>0</v>
      </c>
      <c r="Z1328" s="65">
        <v>0</v>
      </c>
      <c r="AA1328" s="51">
        <v>0</v>
      </c>
      <c r="AB1328" s="102">
        <v>0</v>
      </c>
      <c r="AC1328" s="81">
        <f t="shared" si="63"/>
        <v>289.03221577958686</v>
      </c>
      <c r="AD1328" s="82">
        <f t="shared" si="64"/>
        <v>45.628571428571419</v>
      </c>
      <c r="AE1328" s="218">
        <v>-3.700425571669104E-2</v>
      </c>
      <c r="AF1328">
        <v>13</v>
      </c>
      <c r="AH1328" t="str">
        <f t="shared" si="65"/>
        <v xml:space="preserve">Alauli </v>
      </c>
      <c r="AJ1328" s="72">
        <v>0</v>
      </c>
      <c r="AK1328" s="72"/>
      <c r="AL1328" s="72"/>
      <c r="AM1328" s="72"/>
    </row>
    <row r="1329" spans="1:39" x14ac:dyDescent="0.25">
      <c r="A1329" s="37" t="s">
        <v>62</v>
      </c>
      <c r="B1329" s="66" t="s">
        <v>1615</v>
      </c>
      <c r="C1329" s="47">
        <v>1054</v>
      </c>
      <c r="D1329" s="47" t="s">
        <v>828</v>
      </c>
      <c r="E1329" s="41">
        <v>10110120</v>
      </c>
      <c r="F1329" s="46" t="s">
        <v>831</v>
      </c>
      <c r="G1329" s="39" t="s">
        <v>93</v>
      </c>
      <c r="H1329" s="48" t="s">
        <v>94</v>
      </c>
      <c r="I1329" s="52">
        <v>1115.5</v>
      </c>
      <c r="J1329" s="49">
        <v>48649.63</v>
      </c>
      <c r="K1329" s="65">
        <v>31.499999999999996</v>
      </c>
      <c r="L1329" s="65">
        <v>1366.1785674654002</v>
      </c>
      <c r="M1329" s="65">
        <v>1084</v>
      </c>
      <c r="N1329" s="65">
        <v>47282.216896440004</v>
      </c>
      <c r="O1329" s="65">
        <v>1115.5</v>
      </c>
      <c r="P1329" s="65">
        <v>48648.395463905406</v>
      </c>
      <c r="Q1329" s="50">
        <v>48648.395463905406</v>
      </c>
      <c r="R1329" s="65">
        <v>0</v>
      </c>
      <c r="S1329" s="65">
        <v>0</v>
      </c>
      <c r="T1329" s="65">
        <v>0</v>
      </c>
      <c r="U1329" s="65">
        <v>0</v>
      </c>
      <c r="V1329" s="65">
        <v>0</v>
      </c>
      <c r="W1329" s="65">
        <v>0</v>
      </c>
      <c r="X1329" s="65">
        <v>1366</v>
      </c>
      <c r="Y1329" s="65">
        <v>47283</v>
      </c>
      <c r="Z1329" s="65">
        <v>0</v>
      </c>
      <c r="AA1329" s="51">
        <v>1</v>
      </c>
      <c r="AB1329" s="102">
        <v>0</v>
      </c>
      <c r="AC1329" s="81">
        <f t="shared" si="63"/>
        <v>0</v>
      </c>
      <c r="AD1329" s="82">
        <f t="shared" si="64"/>
        <v>0</v>
      </c>
      <c r="AE1329" s="218">
        <v>2.5376063386114583E-5</v>
      </c>
      <c r="AF1329">
        <v>6</v>
      </c>
      <c r="AH1329" t="str">
        <f t="shared" si="65"/>
        <v xml:space="preserve">Alauli </v>
      </c>
      <c r="AJ1329" s="72">
        <v>0</v>
      </c>
      <c r="AK1329" s="72"/>
      <c r="AL1329" s="72"/>
      <c r="AM1329" s="72"/>
    </row>
    <row r="1330" spans="1:39" x14ac:dyDescent="0.25">
      <c r="A1330" s="37" t="s">
        <v>62</v>
      </c>
      <c r="B1330" s="66" t="s">
        <v>1615</v>
      </c>
      <c r="C1330" s="47">
        <v>1054</v>
      </c>
      <c r="D1330" s="47" t="s">
        <v>828</v>
      </c>
      <c r="E1330" s="41">
        <v>10110121</v>
      </c>
      <c r="F1330" s="46" t="s">
        <v>595</v>
      </c>
      <c r="G1330" s="39" t="s">
        <v>93</v>
      </c>
      <c r="H1330" s="48" t="s">
        <v>94</v>
      </c>
      <c r="I1330" s="52">
        <v>495.30000000000007</v>
      </c>
      <c r="J1330" s="49">
        <v>18128.53</v>
      </c>
      <c r="K1330" s="65">
        <v>500.30000000000007</v>
      </c>
      <c r="L1330" s="65">
        <v>18034.908657242402</v>
      </c>
      <c r="M1330" s="65">
        <v>0</v>
      </c>
      <c r="N1330" s="65">
        <v>0</v>
      </c>
      <c r="O1330" s="65">
        <v>500.30000000000007</v>
      </c>
      <c r="P1330" s="65">
        <v>18034.908657242402</v>
      </c>
      <c r="Q1330" s="50">
        <v>18034.908657242402</v>
      </c>
      <c r="R1330" s="65">
        <v>0</v>
      </c>
      <c r="S1330" s="65">
        <v>0</v>
      </c>
      <c r="T1330" s="65">
        <v>0</v>
      </c>
      <c r="U1330" s="65">
        <v>0</v>
      </c>
      <c r="V1330" s="65">
        <v>0</v>
      </c>
      <c r="W1330" s="65">
        <v>0</v>
      </c>
      <c r="X1330" s="65">
        <v>18035</v>
      </c>
      <c r="Y1330" s="65">
        <v>0</v>
      </c>
      <c r="Z1330" s="65">
        <v>0</v>
      </c>
      <c r="AA1330" s="51">
        <v>94</v>
      </c>
      <c r="AB1330" s="102">
        <v>0</v>
      </c>
      <c r="AC1330" s="81">
        <f t="shared" si="63"/>
        <v>149.84494613365629</v>
      </c>
      <c r="AD1330" s="82">
        <f t="shared" si="64"/>
        <v>70.757142857142867</v>
      </c>
      <c r="AE1330" s="218">
        <v>5.1643096686602129E-3</v>
      </c>
      <c r="AF1330">
        <v>1</v>
      </c>
      <c r="AH1330" t="str">
        <f t="shared" si="65"/>
        <v xml:space="preserve">Alauli </v>
      </c>
      <c r="AJ1330" s="72">
        <v>0</v>
      </c>
      <c r="AK1330" s="72"/>
      <c r="AL1330" s="72"/>
      <c r="AM1330" s="72"/>
    </row>
    <row r="1331" spans="1:39" x14ac:dyDescent="0.25">
      <c r="A1331" s="37" t="s">
        <v>62</v>
      </c>
      <c r="B1331" s="66" t="s">
        <v>1615</v>
      </c>
      <c r="C1331" s="47">
        <v>1055</v>
      </c>
      <c r="D1331" s="47" t="s">
        <v>1148</v>
      </c>
      <c r="E1331" s="41">
        <v>10110123</v>
      </c>
      <c r="F1331" s="46" t="s">
        <v>596</v>
      </c>
      <c r="G1331" s="39" t="s">
        <v>93</v>
      </c>
      <c r="H1331" s="48" t="s">
        <v>94</v>
      </c>
      <c r="I1331" s="52">
        <v>927.7</v>
      </c>
      <c r="J1331" s="49">
        <v>37009.200000000012</v>
      </c>
      <c r="K1331" s="65">
        <v>930.22000000000014</v>
      </c>
      <c r="L1331" s="65">
        <v>36512.138153372704</v>
      </c>
      <c r="M1331" s="65">
        <v>10.01</v>
      </c>
      <c r="N1331" s="65">
        <v>375.59703535200003</v>
      </c>
      <c r="O1331" s="65">
        <v>940.23000000000013</v>
      </c>
      <c r="P1331" s="65">
        <v>36887.735188724706</v>
      </c>
      <c r="Q1331" s="50">
        <v>36887.735188724706</v>
      </c>
      <c r="R1331" s="65">
        <v>0</v>
      </c>
      <c r="S1331" s="65">
        <v>375.59703535200003</v>
      </c>
      <c r="T1331" s="65">
        <v>0</v>
      </c>
      <c r="U1331" s="65">
        <v>6013</v>
      </c>
      <c r="V1331" s="65">
        <v>0</v>
      </c>
      <c r="W1331" s="65">
        <v>0</v>
      </c>
      <c r="X1331" s="65">
        <v>30499</v>
      </c>
      <c r="Y1331" s="65">
        <v>0</v>
      </c>
      <c r="Z1331" s="65">
        <v>0</v>
      </c>
      <c r="AA1331" s="51">
        <v>122</v>
      </c>
      <c r="AB1331" s="102">
        <v>0</v>
      </c>
      <c r="AC1331" s="81">
        <f t="shared" si="63"/>
        <v>0</v>
      </c>
      <c r="AD1331" s="82">
        <f t="shared" si="64"/>
        <v>0</v>
      </c>
      <c r="AE1331" s="218">
        <v>3.2820166681610426E-3</v>
      </c>
      <c r="AF1331">
        <v>12</v>
      </c>
      <c r="AH1331" t="str">
        <f t="shared" si="65"/>
        <v>Matihani</v>
      </c>
      <c r="AJ1331" s="72">
        <v>0</v>
      </c>
      <c r="AK1331" s="72"/>
      <c r="AL1331" s="72"/>
      <c r="AM1331" s="72"/>
    </row>
    <row r="1332" spans="1:39" x14ac:dyDescent="0.25">
      <c r="A1332" s="37" t="s">
        <v>62</v>
      </c>
      <c r="B1332" s="66" t="s">
        <v>1615</v>
      </c>
      <c r="C1332" s="47">
        <v>1055</v>
      </c>
      <c r="D1332" s="47" t="s">
        <v>1148</v>
      </c>
      <c r="E1332" s="41">
        <v>10110124</v>
      </c>
      <c r="F1332" s="46" t="s">
        <v>597</v>
      </c>
      <c r="G1332" s="39" t="s">
        <v>93</v>
      </c>
      <c r="H1332" s="48" t="s">
        <v>94</v>
      </c>
      <c r="I1332" s="52">
        <v>596.90000000000009</v>
      </c>
      <c r="J1332" s="49">
        <v>23967.59</v>
      </c>
      <c r="K1332" s="65">
        <v>586.96</v>
      </c>
      <c r="L1332" s="65">
        <v>23621.134856409852</v>
      </c>
      <c r="M1332" s="65">
        <v>8.02</v>
      </c>
      <c r="N1332" s="65">
        <v>334.11002091761998</v>
      </c>
      <c r="O1332" s="65">
        <v>594.98</v>
      </c>
      <c r="P1332" s="65">
        <v>23955.24487732747</v>
      </c>
      <c r="Q1332" s="50">
        <v>23955.24487732747</v>
      </c>
      <c r="R1332" s="65">
        <v>0</v>
      </c>
      <c r="S1332" s="65">
        <v>334.11002091761998</v>
      </c>
      <c r="T1332" s="65">
        <v>0</v>
      </c>
      <c r="U1332" s="65">
        <v>4050</v>
      </c>
      <c r="V1332" s="65">
        <v>0</v>
      </c>
      <c r="W1332" s="65">
        <v>0</v>
      </c>
      <c r="X1332" s="65">
        <v>19571</v>
      </c>
      <c r="Y1332" s="65">
        <v>0</v>
      </c>
      <c r="Z1332" s="65">
        <v>0</v>
      </c>
      <c r="AA1332" s="51">
        <v>12</v>
      </c>
      <c r="AB1332" s="102">
        <v>0</v>
      </c>
      <c r="AC1332" s="81">
        <f t="shared" si="63"/>
        <v>82.796399028312862</v>
      </c>
      <c r="AD1332" s="82">
        <f t="shared" si="64"/>
        <v>85.271428571428586</v>
      </c>
      <c r="AE1332" s="218">
        <v>5.1507567813577099E-4</v>
      </c>
      <c r="AF1332">
        <v>12</v>
      </c>
      <c r="AH1332" t="str">
        <f t="shared" si="65"/>
        <v>Matihani</v>
      </c>
      <c r="AJ1332" s="72">
        <v>0</v>
      </c>
      <c r="AK1332" s="72"/>
      <c r="AL1332" s="72"/>
      <c r="AM1332" s="72"/>
    </row>
    <row r="1333" spans="1:39" x14ac:dyDescent="0.25">
      <c r="A1333" s="37" t="s">
        <v>62</v>
      </c>
      <c r="B1333" s="66" t="s">
        <v>1615</v>
      </c>
      <c r="C1333" s="47">
        <v>1055</v>
      </c>
      <c r="D1333" s="47" t="s">
        <v>1148</v>
      </c>
      <c r="E1333" s="41">
        <v>10110128</v>
      </c>
      <c r="F1333" s="46" t="s">
        <v>598</v>
      </c>
      <c r="G1333" s="39" t="s">
        <v>93</v>
      </c>
      <c r="H1333" s="48" t="s">
        <v>94</v>
      </c>
      <c r="I1333" s="52">
        <v>1141.4000000000001</v>
      </c>
      <c r="J1333" s="49">
        <v>44265.049999999996</v>
      </c>
      <c r="K1333" s="65">
        <v>1134.26</v>
      </c>
      <c r="L1333" s="65">
        <v>43927.268924087999</v>
      </c>
      <c r="M1333" s="65">
        <v>4.05</v>
      </c>
      <c r="N1333" s="65">
        <v>149.19611810400002</v>
      </c>
      <c r="O1333" s="65">
        <v>1138.31</v>
      </c>
      <c r="P1333" s="65">
        <v>44076.465042192001</v>
      </c>
      <c r="Q1333" s="50">
        <v>44076.465042192001</v>
      </c>
      <c r="R1333" s="65">
        <v>0</v>
      </c>
      <c r="S1333" s="65">
        <v>149.19611810400002</v>
      </c>
      <c r="T1333" s="65">
        <v>0</v>
      </c>
      <c r="U1333" s="65">
        <v>0</v>
      </c>
      <c r="V1333" s="65">
        <v>62.964772881355714</v>
      </c>
      <c r="W1333" s="65">
        <v>0</v>
      </c>
      <c r="X1333" s="65">
        <v>43864</v>
      </c>
      <c r="Y1333" s="65">
        <v>0</v>
      </c>
      <c r="Z1333" s="65">
        <v>0</v>
      </c>
      <c r="AA1333" s="51">
        <v>189</v>
      </c>
      <c r="AB1333" s="102">
        <v>0</v>
      </c>
      <c r="AC1333" s="81">
        <f t="shared" si="63"/>
        <v>0</v>
      </c>
      <c r="AD1333" s="82">
        <f t="shared" si="64"/>
        <v>0</v>
      </c>
      <c r="AE1333" s="218">
        <v>4.2603579530124608E-3</v>
      </c>
      <c r="AF1333">
        <v>11</v>
      </c>
      <c r="AH1333" t="str">
        <f t="shared" si="65"/>
        <v>Matihani</v>
      </c>
      <c r="AJ1333" s="72">
        <v>0</v>
      </c>
      <c r="AK1333" s="72"/>
      <c r="AL1333" s="72"/>
      <c r="AM1333" s="72"/>
    </row>
    <row r="1334" spans="1:39" x14ac:dyDescent="0.25">
      <c r="A1334" s="37" t="s">
        <v>62</v>
      </c>
      <c r="B1334" s="66" t="s">
        <v>1615</v>
      </c>
      <c r="C1334" s="47">
        <v>1054</v>
      </c>
      <c r="D1334" s="47" t="s">
        <v>828</v>
      </c>
      <c r="E1334" s="41">
        <v>10110129</v>
      </c>
      <c r="F1334" s="46" t="s">
        <v>710</v>
      </c>
      <c r="G1334" s="39" t="s">
        <v>93</v>
      </c>
      <c r="H1334" s="48" t="s">
        <v>94</v>
      </c>
      <c r="I1334" s="52">
        <v>838.9</v>
      </c>
      <c r="J1334" s="49">
        <v>31275.29</v>
      </c>
      <c r="K1334" s="65">
        <v>987</v>
      </c>
      <c r="L1334" s="65">
        <v>39237.049843200002</v>
      </c>
      <c r="M1334" s="65">
        <v>0</v>
      </c>
      <c r="N1334" s="65">
        <v>0</v>
      </c>
      <c r="O1334" s="65">
        <v>987</v>
      </c>
      <c r="P1334" s="65">
        <v>39237.049843200002</v>
      </c>
      <c r="Q1334" s="50">
        <v>31275.29</v>
      </c>
      <c r="R1334" s="65">
        <v>0</v>
      </c>
      <c r="S1334" s="65">
        <v>0</v>
      </c>
      <c r="T1334" s="65">
        <v>7961.7598432000013</v>
      </c>
      <c r="U1334" s="65">
        <v>0</v>
      </c>
      <c r="V1334" s="65">
        <v>0</v>
      </c>
      <c r="W1334" s="65">
        <v>0</v>
      </c>
      <c r="X1334" s="65">
        <v>31275</v>
      </c>
      <c r="Y1334" s="65">
        <v>0</v>
      </c>
      <c r="Z1334" s="65">
        <v>0</v>
      </c>
      <c r="AA1334" s="51">
        <v>0</v>
      </c>
      <c r="AB1334" s="102">
        <v>0</v>
      </c>
      <c r="AC1334" s="81">
        <f t="shared" si="63"/>
        <v>0</v>
      </c>
      <c r="AD1334" s="82">
        <f t="shared" si="64"/>
        <v>0</v>
      </c>
      <c r="AE1334" s="218">
        <v>-0.25457029633298367</v>
      </c>
      <c r="AF1334">
        <v>3</v>
      </c>
      <c r="AH1334" t="str">
        <f t="shared" si="65"/>
        <v xml:space="preserve">Alauli </v>
      </c>
      <c r="AJ1334" s="72">
        <v>0</v>
      </c>
      <c r="AK1334" s="72"/>
      <c r="AL1334" s="72"/>
      <c r="AM1334" s="72"/>
    </row>
    <row r="1335" spans="1:39" x14ac:dyDescent="0.25">
      <c r="A1335" s="37" t="s">
        <v>62</v>
      </c>
      <c r="B1335" s="66" t="s">
        <v>1615</v>
      </c>
      <c r="C1335" s="47">
        <v>1054</v>
      </c>
      <c r="D1335" s="47" t="s">
        <v>828</v>
      </c>
      <c r="E1335" s="41">
        <v>10110132</v>
      </c>
      <c r="F1335" s="46" t="s">
        <v>650</v>
      </c>
      <c r="G1335" s="39" t="s">
        <v>93</v>
      </c>
      <c r="H1335" s="48" t="s">
        <v>94</v>
      </c>
      <c r="I1335" s="52">
        <v>223.5</v>
      </c>
      <c r="J1335" s="49">
        <v>8978.1000000000022</v>
      </c>
      <c r="K1335" s="65">
        <v>291.05</v>
      </c>
      <c r="L1335" s="65">
        <v>11873.054561544001</v>
      </c>
      <c r="M1335" s="65">
        <v>0</v>
      </c>
      <c r="N1335" s="65">
        <v>0</v>
      </c>
      <c r="O1335" s="65">
        <v>291.05</v>
      </c>
      <c r="P1335" s="65">
        <v>11873.054561544001</v>
      </c>
      <c r="Q1335" s="50">
        <v>8978.1000000000022</v>
      </c>
      <c r="R1335" s="65">
        <v>0</v>
      </c>
      <c r="S1335" s="65">
        <v>0</v>
      </c>
      <c r="T1335" s="65">
        <v>2894.9545615439984</v>
      </c>
      <c r="U1335" s="65">
        <v>0</v>
      </c>
      <c r="V1335" s="65">
        <v>0</v>
      </c>
      <c r="W1335" s="65">
        <v>0</v>
      </c>
      <c r="X1335" s="65">
        <v>8978</v>
      </c>
      <c r="Y1335" s="65">
        <v>0</v>
      </c>
      <c r="Z1335" s="65">
        <v>0</v>
      </c>
      <c r="AA1335" s="51">
        <v>0</v>
      </c>
      <c r="AB1335" s="102">
        <v>0</v>
      </c>
      <c r="AC1335" s="81">
        <f t="shared" si="63"/>
        <v>382.82457718120816</v>
      </c>
      <c r="AD1335" s="82">
        <f t="shared" si="64"/>
        <v>31.928571428571427</v>
      </c>
      <c r="AE1335" s="218">
        <v>-0.32244623712634052</v>
      </c>
      <c r="AF1335">
        <v>1</v>
      </c>
      <c r="AH1335" t="str">
        <f t="shared" si="65"/>
        <v xml:space="preserve">Alauli </v>
      </c>
      <c r="AJ1335" s="72">
        <v>0</v>
      </c>
      <c r="AK1335" s="72"/>
      <c r="AL1335" s="72"/>
      <c r="AM1335" s="72"/>
    </row>
    <row r="1336" spans="1:39" x14ac:dyDescent="0.25">
      <c r="A1336" s="37" t="s">
        <v>62</v>
      </c>
      <c r="B1336" s="66" t="s">
        <v>1615</v>
      </c>
      <c r="C1336" s="47">
        <v>1054</v>
      </c>
      <c r="D1336" s="47" t="s">
        <v>828</v>
      </c>
      <c r="E1336" s="41">
        <v>10110133</v>
      </c>
      <c r="F1336" s="46" t="s">
        <v>676</v>
      </c>
      <c r="G1336" s="39" t="s">
        <v>93</v>
      </c>
      <c r="H1336" s="48" t="s">
        <v>94</v>
      </c>
      <c r="I1336" s="52">
        <v>2310.6999999999998</v>
      </c>
      <c r="J1336" s="49">
        <v>88304.33</v>
      </c>
      <c r="K1336" s="65">
        <v>2304.6999999999998</v>
      </c>
      <c r="L1336" s="65">
        <v>87306.879108240013</v>
      </c>
      <c r="M1336" s="65">
        <v>0</v>
      </c>
      <c r="N1336" s="65">
        <v>0</v>
      </c>
      <c r="O1336" s="65">
        <v>2304.6999999999998</v>
      </c>
      <c r="P1336" s="65">
        <v>87306.879108240013</v>
      </c>
      <c r="Q1336" s="50">
        <v>87306.879108240013</v>
      </c>
      <c r="R1336" s="65">
        <v>0</v>
      </c>
      <c r="S1336" s="65">
        <v>0</v>
      </c>
      <c r="T1336" s="65">
        <v>0</v>
      </c>
      <c r="U1336" s="65">
        <v>0</v>
      </c>
      <c r="V1336" s="65">
        <v>0</v>
      </c>
      <c r="W1336" s="65">
        <v>0</v>
      </c>
      <c r="X1336" s="65">
        <v>87307</v>
      </c>
      <c r="Y1336" s="65">
        <v>0</v>
      </c>
      <c r="Z1336" s="65">
        <v>0</v>
      </c>
      <c r="AA1336" s="51">
        <v>997</v>
      </c>
      <c r="AB1336" s="102">
        <v>0</v>
      </c>
      <c r="AC1336" s="81">
        <f t="shared" si="63"/>
        <v>0</v>
      </c>
      <c r="AD1336" s="82">
        <f t="shared" si="64"/>
        <v>0</v>
      </c>
      <c r="AE1336" s="218">
        <v>1.1295605682756312E-2</v>
      </c>
      <c r="AF1336">
        <v>2</v>
      </c>
      <c r="AH1336" t="str">
        <f t="shared" si="65"/>
        <v xml:space="preserve">Alauli </v>
      </c>
      <c r="AJ1336" s="72">
        <v>0</v>
      </c>
      <c r="AK1336" s="72"/>
      <c r="AL1336" s="72"/>
      <c r="AM1336" s="72"/>
    </row>
    <row r="1337" spans="1:39" x14ac:dyDescent="0.25">
      <c r="A1337" s="37" t="s">
        <v>62</v>
      </c>
      <c r="B1337" s="66" t="s">
        <v>1615</v>
      </c>
      <c r="C1337" s="47">
        <v>1054</v>
      </c>
      <c r="D1337" s="47" t="s">
        <v>828</v>
      </c>
      <c r="E1337" s="41">
        <v>10110134</v>
      </c>
      <c r="F1337" s="46" t="s">
        <v>235</v>
      </c>
      <c r="G1337" s="39" t="s">
        <v>93</v>
      </c>
      <c r="H1337" s="48" t="s">
        <v>94</v>
      </c>
      <c r="I1337" s="52">
        <v>326.3</v>
      </c>
      <c r="J1337" s="49">
        <v>13207.029999999997</v>
      </c>
      <c r="K1337" s="65">
        <v>326.74000000000007</v>
      </c>
      <c r="L1337" s="65">
        <v>12941.180419239583</v>
      </c>
      <c r="M1337" s="65">
        <v>0</v>
      </c>
      <c r="N1337" s="65">
        <v>0</v>
      </c>
      <c r="O1337" s="65">
        <v>326.74000000000007</v>
      </c>
      <c r="P1337" s="65">
        <v>12941.180419239583</v>
      </c>
      <c r="Q1337" s="50">
        <v>12941.180419239583</v>
      </c>
      <c r="R1337" s="65">
        <v>0</v>
      </c>
      <c r="S1337" s="65">
        <v>0</v>
      </c>
      <c r="T1337" s="65">
        <v>0</v>
      </c>
      <c r="U1337" s="65">
        <v>0</v>
      </c>
      <c r="V1337" s="65">
        <v>0</v>
      </c>
      <c r="W1337" s="65">
        <v>0</v>
      </c>
      <c r="X1337" s="65">
        <v>12941</v>
      </c>
      <c r="Y1337" s="65">
        <v>0</v>
      </c>
      <c r="Z1337" s="65">
        <v>0</v>
      </c>
      <c r="AA1337" s="51">
        <v>266</v>
      </c>
      <c r="AB1337" s="102">
        <v>0</v>
      </c>
      <c r="AC1337" s="81">
        <f t="shared" si="63"/>
        <v>302.51100894882001</v>
      </c>
      <c r="AD1337" s="82">
        <f t="shared" si="64"/>
        <v>46.614285714285714</v>
      </c>
      <c r="AE1337" s="218">
        <v>2.0129399324482045E-2</v>
      </c>
      <c r="AF1337">
        <v>6</v>
      </c>
      <c r="AH1337" t="str">
        <f t="shared" si="65"/>
        <v xml:space="preserve">Alauli </v>
      </c>
      <c r="AJ1337" s="72">
        <v>0</v>
      </c>
      <c r="AK1337" s="72"/>
      <c r="AL1337" s="72"/>
      <c r="AM1337" s="72"/>
    </row>
    <row r="1338" spans="1:39" x14ac:dyDescent="0.25">
      <c r="A1338" s="37" t="s">
        <v>62</v>
      </c>
      <c r="B1338" s="66" t="s">
        <v>1615</v>
      </c>
      <c r="C1338" s="47">
        <v>1054</v>
      </c>
      <c r="D1338" s="47" t="s">
        <v>828</v>
      </c>
      <c r="E1338" s="41">
        <v>10110135</v>
      </c>
      <c r="F1338" s="46" t="s">
        <v>644</v>
      </c>
      <c r="G1338" s="39" t="s">
        <v>93</v>
      </c>
      <c r="H1338" s="48" t="s">
        <v>94</v>
      </c>
      <c r="I1338" s="52">
        <v>676.60000000000014</v>
      </c>
      <c r="J1338" s="49">
        <v>26383.979999999996</v>
      </c>
      <c r="K1338" s="65">
        <v>681.5</v>
      </c>
      <c r="L1338" s="65">
        <v>26107.757475281989</v>
      </c>
      <c r="M1338" s="65">
        <v>0</v>
      </c>
      <c r="N1338" s="65">
        <v>0</v>
      </c>
      <c r="O1338" s="65">
        <v>681.5</v>
      </c>
      <c r="P1338" s="65">
        <v>26107.757475281989</v>
      </c>
      <c r="Q1338" s="50">
        <v>26107.757475281989</v>
      </c>
      <c r="R1338" s="65">
        <v>0</v>
      </c>
      <c r="S1338" s="65">
        <v>0</v>
      </c>
      <c r="T1338" s="65">
        <v>0</v>
      </c>
      <c r="U1338" s="65">
        <v>0</v>
      </c>
      <c r="V1338" s="65">
        <v>0</v>
      </c>
      <c r="W1338" s="65">
        <v>0</v>
      </c>
      <c r="X1338" s="65">
        <v>26109</v>
      </c>
      <c r="Y1338" s="65">
        <v>0</v>
      </c>
      <c r="Z1338" s="65">
        <v>0</v>
      </c>
      <c r="AA1338" s="51">
        <v>275</v>
      </c>
      <c r="AB1338" s="102">
        <v>0</v>
      </c>
      <c r="AC1338" s="81">
        <f t="shared" si="63"/>
        <v>18.249634407330682</v>
      </c>
      <c r="AD1338" s="82">
        <f t="shared" si="64"/>
        <v>96.657142857142873</v>
      </c>
      <c r="AE1338" s="218">
        <v>1.0469327399353957E-2</v>
      </c>
      <c r="AF1338">
        <v>12</v>
      </c>
      <c r="AH1338" t="str">
        <f t="shared" si="65"/>
        <v xml:space="preserve">Alauli </v>
      </c>
      <c r="AJ1338" s="72">
        <v>0</v>
      </c>
      <c r="AK1338" s="72"/>
      <c r="AL1338" s="72"/>
      <c r="AM1338" s="72"/>
    </row>
    <row r="1339" spans="1:39" x14ac:dyDescent="0.25">
      <c r="A1339" s="37" t="s">
        <v>62</v>
      </c>
      <c r="B1339" s="66" t="s">
        <v>1615</v>
      </c>
      <c r="C1339" s="47">
        <v>1054</v>
      </c>
      <c r="D1339" s="47" t="s">
        <v>828</v>
      </c>
      <c r="E1339" s="41">
        <v>10110140</v>
      </c>
      <c r="F1339" s="46" t="s">
        <v>677</v>
      </c>
      <c r="G1339" s="39" t="s">
        <v>93</v>
      </c>
      <c r="H1339" s="48" t="s">
        <v>94</v>
      </c>
      <c r="I1339" s="52">
        <v>189.09999999999997</v>
      </c>
      <c r="J1339" s="49">
        <v>8430.6500000000015</v>
      </c>
      <c r="K1339" s="65">
        <v>186.17000000000002</v>
      </c>
      <c r="L1339" s="65">
        <v>8663.3317985297599</v>
      </c>
      <c r="M1339" s="65">
        <v>2.67</v>
      </c>
      <c r="N1339" s="65">
        <v>126.96164796960001</v>
      </c>
      <c r="O1339" s="65">
        <v>188.84</v>
      </c>
      <c r="P1339" s="65">
        <v>8790.2934464993596</v>
      </c>
      <c r="Q1339" s="50">
        <v>8430.6500000000015</v>
      </c>
      <c r="R1339" s="65">
        <v>0</v>
      </c>
      <c r="S1339" s="65">
        <v>126.96164796960001</v>
      </c>
      <c r="T1339" s="65">
        <v>359.64344649935811</v>
      </c>
      <c r="U1339" s="65">
        <v>0</v>
      </c>
      <c r="V1339" s="65">
        <v>1.8972599999997755</v>
      </c>
      <c r="W1339" s="65">
        <v>0</v>
      </c>
      <c r="X1339" s="65">
        <v>8302</v>
      </c>
      <c r="Y1339" s="65">
        <v>0</v>
      </c>
      <c r="Z1339" s="65">
        <v>0</v>
      </c>
      <c r="AA1339" s="51">
        <v>0</v>
      </c>
      <c r="AB1339" s="102" t="s">
        <v>66</v>
      </c>
      <c r="AC1339" s="81">
        <f t="shared" si="63"/>
        <v>455.54934796404041</v>
      </c>
      <c r="AD1339" s="82">
        <f t="shared" si="64"/>
        <v>27.014285714285709</v>
      </c>
      <c r="AE1339" s="218">
        <v>-4.2659041295672107E-2</v>
      </c>
      <c r="AF1339">
        <v>6</v>
      </c>
      <c r="AH1339" t="str">
        <f t="shared" si="65"/>
        <v xml:space="preserve">Alauli </v>
      </c>
      <c r="AJ1339" s="72">
        <v>0</v>
      </c>
      <c r="AK1339" s="72"/>
      <c r="AL1339" s="72"/>
      <c r="AM1339" s="72"/>
    </row>
    <row r="1340" spans="1:39" x14ac:dyDescent="0.25">
      <c r="A1340" s="37" t="s">
        <v>62</v>
      </c>
      <c r="B1340" s="66" t="s">
        <v>1615</v>
      </c>
      <c r="C1340" s="47">
        <v>1054</v>
      </c>
      <c r="D1340" s="47" t="s">
        <v>828</v>
      </c>
      <c r="E1340" s="41">
        <v>10110141</v>
      </c>
      <c r="F1340" s="46" t="s">
        <v>678</v>
      </c>
      <c r="G1340" s="39" t="s">
        <v>93</v>
      </c>
      <c r="H1340" s="48" t="s">
        <v>94</v>
      </c>
      <c r="I1340" s="52">
        <v>893.5</v>
      </c>
      <c r="J1340" s="49">
        <v>35554.85</v>
      </c>
      <c r="K1340" s="65">
        <v>881.6400000000001</v>
      </c>
      <c r="L1340" s="65">
        <v>36545.686642247281</v>
      </c>
      <c r="M1340" s="65">
        <v>11.860000000000001</v>
      </c>
      <c r="N1340" s="65">
        <v>528.41199114000005</v>
      </c>
      <c r="O1340" s="65">
        <v>893.50000000000011</v>
      </c>
      <c r="P1340" s="65">
        <v>37074.098633387279</v>
      </c>
      <c r="Q1340" s="50">
        <v>35554.85</v>
      </c>
      <c r="R1340" s="65">
        <v>0</v>
      </c>
      <c r="S1340" s="65">
        <v>528.41199114000005</v>
      </c>
      <c r="T1340" s="65">
        <v>1519.2486333872803</v>
      </c>
      <c r="U1340" s="65">
        <v>0</v>
      </c>
      <c r="V1340" s="65">
        <v>0</v>
      </c>
      <c r="W1340" s="65">
        <v>0</v>
      </c>
      <c r="X1340" s="65">
        <v>35026</v>
      </c>
      <c r="Y1340" s="65">
        <v>0</v>
      </c>
      <c r="Z1340" s="65">
        <v>0</v>
      </c>
      <c r="AA1340" s="51">
        <v>0</v>
      </c>
      <c r="AB1340" s="102">
        <v>0</v>
      </c>
      <c r="AC1340" s="81">
        <f t="shared" si="63"/>
        <v>0</v>
      </c>
      <c r="AD1340" s="82">
        <f t="shared" si="64"/>
        <v>0</v>
      </c>
      <c r="AE1340" s="218">
        <v>-4.2729715731813812E-2</v>
      </c>
      <c r="AF1340">
        <v>18</v>
      </c>
      <c r="AH1340" t="str">
        <f t="shared" si="65"/>
        <v xml:space="preserve">Alauli </v>
      </c>
      <c r="AJ1340" s="72">
        <v>0</v>
      </c>
      <c r="AK1340" s="72"/>
      <c r="AL1340" s="72"/>
      <c r="AM1340" s="72"/>
    </row>
    <row r="1341" spans="1:39" x14ac:dyDescent="0.25">
      <c r="A1341" s="37" t="s">
        <v>62</v>
      </c>
      <c r="B1341" s="66" t="s">
        <v>1615</v>
      </c>
      <c r="C1341" s="47">
        <v>1054</v>
      </c>
      <c r="D1341" s="47" t="s">
        <v>828</v>
      </c>
      <c r="E1341" s="41">
        <v>10110143</v>
      </c>
      <c r="F1341" s="46" t="s">
        <v>679</v>
      </c>
      <c r="G1341" s="39" t="s">
        <v>93</v>
      </c>
      <c r="H1341" s="48" t="s">
        <v>94</v>
      </c>
      <c r="I1341" s="52">
        <v>917.79999999999984</v>
      </c>
      <c r="J1341" s="49">
        <v>33386.950000000004</v>
      </c>
      <c r="K1341" s="65">
        <v>1062</v>
      </c>
      <c r="L1341" s="65">
        <v>44907.605899200003</v>
      </c>
      <c r="M1341" s="65">
        <v>0</v>
      </c>
      <c r="N1341" s="65">
        <v>0</v>
      </c>
      <c r="O1341" s="65">
        <v>1062</v>
      </c>
      <c r="P1341" s="65">
        <v>44907.605899200003</v>
      </c>
      <c r="Q1341" s="50">
        <v>33386.950000000004</v>
      </c>
      <c r="R1341" s="65">
        <v>0</v>
      </c>
      <c r="S1341" s="65">
        <v>0</v>
      </c>
      <c r="T1341" s="65">
        <v>11520.655899199999</v>
      </c>
      <c r="U1341" s="65">
        <v>0</v>
      </c>
      <c r="V1341" s="65">
        <v>0</v>
      </c>
      <c r="W1341" s="65">
        <v>0</v>
      </c>
      <c r="X1341" s="65">
        <v>33387</v>
      </c>
      <c r="Y1341" s="65">
        <v>0</v>
      </c>
      <c r="Z1341" s="65">
        <v>0</v>
      </c>
      <c r="AA1341" s="51">
        <v>0</v>
      </c>
      <c r="AB1341" s="102">
        <v>0</v>
      </c>
      <c r="AC1341" s="81">
        <f t="shared" si="63"/>
        <v>0</v>
      </c>
      <c r="AD1341" s="82">
        <f t="shared" si="64"/>
        <v>0</v>
      </c>
      <c r="AE1341" s="218">
        <v>-0.34506464050175284</v>
      </c>
      <c r="AF1341">
        <v>1</v>
      </c>
      <c r="AH1341" t="str">
        <f t="shared" si="65"/>
        <v xml:space="preserve">Alauli </v>
      </c>
      <c r="AJ1341" s="72">
        <v>0</v>
      </c>
      <c r="AK1341" s="72"/>
      <c r="AL1341" s="72"/>
      <c r="AM1341" s="72"/>
    </row>
    <row r="1342" spans="1:39" x14ac:dyDescent="0.25">
      <c r="A1342" s="37" t="s">
        <v>62</v>
      </c>
      <c r="B1342" s="66" t="s">
        <v>1615</v>
      </c>
      <c r="C1342" s="47">
        <v>1054</v>
      </c>
      <c r="D1342" s="47" t="s">
        <v>828</v>
      </c>
      <c r="E1342" s="41">
        <v>10110144</v>
      </c>
      <c r="F1342" s="46" t="s">
        <v>680</v>
      </c>
      <c r="G1342" s="39" t="s">
        <v>93</v>
      </c>
      <c r="H1342" s="48" t="s">
        <v>94</v>
      </c>
      <c r="I1342" s="52">
        <v>760.7</v>
      </c>
      <c r="J1342" s="49">
        <v>28118.770000000004</v>
      </c>
      <c r="K1342" s="65">
        <v>802.19</v>
      </c>
      <c r="L1342" s="65">
        <v>31269.594239522507</v>
      </c>
      <c r="M1342" s="65">
        <v>0</v>
      </c>
      <c r="N1342" s="65">
        <v>0</v>
      </c>
      <c r="O1342" s="65">
        <v>802.19</v>
      </c>
      <c r="P1342" s="65">
        <v>31269.594239522507</v>
      </c>
      <c r="Q1342" s="50">
        <v>28118.770000000004</v>
      </c>
      <c r="R1342" s="65">
        <v>0</v>
      </c>
      <c r="S1342" s="65">
        <v>0</v>
      </c>
      <c r="T1342" s="65">
        <v>3150.8242395225025</v>
      </c>
      <c r="U1342" s="65">
        <v>398</v>
      </c>
      <c r="V1342" s="65">
        <v>0</v>
      </c>
      <c r="W1342" s="65">
        <v>0</v>
      </c>
      <c r="X1342" s="65">
        <v>27721</v>
      </c>
      <c r="Y1342" s="65">
        <v>0</v>
      </c>
      <c r="Z1342" s="65">
        <v>0</v>
      </c>
      <c r="AA1342" s="51">
        <v>0</v>
      </c>
      <c r="AB1342" s="102" t="s">
        <v>66</v>
      </c>
      <c r="AC1342" s="81">
        <f t="shared" si="63"/>
        <v>0</v>
      </c>
      <c r="AD1342" s="82">
        <f t="shared" si="64"/>
        <v>0</v>
      </c>
      <c r="AE1342" s="218">
        <v>-0.11205412752842682</v>
      </c>
      <c r="AF1342">
        <v>6</v>
      </c>
      <c r="AH1342" t="str">
        <f t="shared" si="65"/>
        <v xml:space="preserve">Alauli </v>
      </c>
      <c r="AJ1342" s="72">
        <v>0</v>
      </c>
      <c r="AK1342" s="72"/>
      <c r="AL1342" s="72"/>
      <c r="AM1342" s="72"/>
    </row>
    <row r="1343" spans="1:39" x14ac:dyDescent="0.25">
      <c r="A1343" s="37" t="s">
        <v>62</v>
      </c>
      <c r="B1343" s="66" t="s">
        <v>1615</v>
      </c>
      <c r="C1343" s="47">
        <v>1011</v>
      </c>
      <c r="D1343" s="47" t="s">
        <v>289</v>
      </c>
      <c r="E1343" s="41">
        <v>10110146</v>
      </c>
      <c r="F1343" s="46" t="s">
        <v>645</v>
      </c>
      <c r="G1343" s="39" t="s">
        <v>93</v>
      </c>
      <c r="H1343" s="48" t="s">
        <v>94</v>
      </c>
      <c r="I1343" s="52">
        <v>1595.8</v>
      </c>
      <c r="J1343" s="49">
        <v>57459.790000000008</v>
      </c>
      <c r="K1343" s="65">
        <v>1596</v>
      </c>
      <c r="L1343" s="65">
        <v>58384.497148560011</v>
      </c>
      <c r="M1343" s="65">
        <v>0</v>
      </c>
      <c r="N1343" s="65">
        <v>0</v>
      </c>
      <c r="O1343" s="65">
        <v>1596</v>
      </c>
      <c r="P1343" s="65">
        <v>58384.497148560011</v>
      </c>
      <c r="Q1343" s="50">
        <v>57459.790000000008</v>
      </c>
      <c r="R1343" s="65">
        <v>0</v>
      </c>
      <c r="S1343" s="65">
        <v>0</v>
      </c>
      <c r="T1343" s="65">
        <v>924.70714856000268</v>
      </c>
      <c r="U1343" s="65">
        <v>0</v>
      </c>
      <c r="V1343" s="65">
        <v>3815.2708451612907</v>
      </c>
      <c r="W1343" s="65">
        <v>0</v>
      </c>
      <c r="X1343" s="65">
        <v>53644</v>
      </c>
      <c r="Y1343" s="65">
        <v>0</v>
      </c>
      <c r="Z1343" s="65">
        <v>0</v>
      </c>
      <c r="AA1343" s="51">
        <v>1</v>
      </c>
      <c r="AB1343" s="102">
        <v>0</v>
      </c>
      <c r="AC1343" s="81">
        <f t="shared" si="63"/>
        <v>0</v>
      </c>
      <c r="AD1343" s="82">
        <f t="shared" si="64"/>
        <v>0</v>
      </c>
      <c r="AE1343" s="218">
        <v>-1.6093117440213453E-2</v>
      </c>
      <c r="AF1343">
        <v>2</v>
      </c>
      <c r="AH1343" t="str">
        <f t="shared" si="65"/>
        <v>Sahibpur Kamal</v>
      </c>
      <c r="AJ1343" s="72">
        <v>0</v>
      </c>
      <c r="AK1343" s="72"/>
      <c r="AL1343" s="72"/>
      <c r="AM1343" s="72"/>
    </row>
    <row r="1344" spans="1:39" x14ac:dyDescent="0.25">
      <c r="A1344" s="37" t="s">
        <v>62</v>
      </c>
      <c r="B1344" s="66" t="s">
        <v>1615</v>
      </c>
      <c r="C1344" s="47">
        <v>1054</v>
      </c>
      <c r="D1344" s="47" t="s">
        <v>828</v>
      </c>
      <c r="E1344" s="41">
        <v>10110149</v>
      </c>
      <c r="F1344" s="46" t="s">
        <v>684</v>
      </c>
      <c r="G1344" s="39" t="s">
        <v>93</v>
      </c>
      <c r="H1344" s="48" t="s">
        <v>94</v>
      </c>
      <c r="I1344" s="52">
        <v>377.4</v>
      </c>
      <c r="J1344" s="49">
        <v>14107.929999999998</v>
      </c>
      <c r="K1344" s="65">
        <v>92.929999999999993</v>
      </c>
      <c r="L1344" s="65">
        <v>5375.3398237292004</v>
      </c>
      <c r="M1344" s="65">
        <v>285.14</v>
      </c>
      <c r="N1344" s="65">
        <v>12439.793372355742</v>
      </c>
      <c r="O1344" s="65">
        <v>378.07</v>
      </c>
      <c r="P1344" s="65">
        <v>17815.133196084942</v>
      </c>
      <c r="Q1344" s="50">
        <v>14107.929999999998</v>
      </c>
      <c r="R1344" s="65">
        <v>0</v>
      </c>
      <c r="S1344" s="65">
        <v>0</v>
      </c>
      <c r="T1344" s="65">
        <v>3707.2031960849436</v>
      </c>
      <c r="U1344" s="65">
        <v>261</v>
      </c>
      <c r="V1344" s="65">
        <v>0</v>
      </c>
      <c r="W1344" s="65">
        <v>0</v>
      </c>
      <c r="X1344" s="65">
        <v>1406</v>
      </c>
      <c r="Y1344" s="65">
        <v>12441</v>
      </c>
      <c r="Z1344" s="65">
        <v>0</v>
      </c>
      <c r="AA1344" s="51">
        <v>0</v>
      </c>
      <c r="AB1344" s="102" t="s">
        <v>66</v>
      </c>
      <c r="AC1344" s="81">
        <f t="shared" si="63"/>
        <v>241.1880348701643</v>
      </c>
      <c r="AD1344" s="82">
        <f t="shared" si="64"/>
        <v>53.914285714285711</v>
      </c>
      <c r="AE1344" s="218">
        <v>-0.26277442516974098</v>
      </c>
      <c r="AF1344">
        <v>4</v>
      </c>
      <c r="AH1344" t="str">
        <f t="shared" si="65"/>
        <v xml:space="preserve">Alauli </v>
      </c>
      <c r="AJ1344" s="72">
        <v>0</v>
      </c>
      <c r="AK1344" s="72"/>
      <c r="AL1344" s="72"/>
      <c r="AM1344" s="72"/>
    </row>
    <row r="1345" spans="1:39" x14ac:dyDescent="0.25">
      <c r="A1345" s="37" t="s">
        <v>62</v>
      </c>
      <c r="B1345" s="66" t="s">
        <v>1615</v>
      </c>
      <c r="C1345" s="47">
        <v>1011</v>
      </c>
      <c r="D1345" s="47" t="s">
        <v>289</v>
      </c>
      <c r="E1345" s="41">
        <v>10110153</v>
      </c>
      <c r="F1345" s="46" t="s">
        <v>834</v>
      </c>
      <c r="G1345" s="39" t="s">
        <v>635</v>
      </c>
      <c r="H1345" s="48" t="s">
        <v>99</v>
      </c>
      <c r="I1345" s="52">
        <v>644.4</v>
      </c>
      <c r="J1345" s="49">
        <v>24490.159999999996</v>
      </c>
      <c r="K1345" s="65">
        <v>0</v>
      </c>
      <c r="L1345" s="65">
        <v>0</v>
      </c>
      <c r="M1345" s="65">
        <v>0</v>
      </c>
      <c r="N1345" s="65">
        <v>0</v>
      </c>
      <c r="O1345" s="65">
        <v>0</v>
      </c>
      <c r="P1345" s="65">
        <v>0</v>
      </c>
      <c r="Q1345" s="50">
        <v>24490.159999999996</v>
      </c>
      <c r="R1345" s="65">
        <v>0</v>
      </c>
      <c r="S1345" s="65">
        <v>0</v>
      </c>
      <c r="T1345" s="65">
        <v>0</v>
      </c>
      <c r="U1345" s="65">
        <v>1350</v>
      </c>
      <c r="V1345" s="65">
        <v>1330.8789483870969</v>
      </c>
      <c r="W1345" s="65">
        <v>0</v>
      </c>
      <c r="X1345" s="65">
        <v>0</v>
      </c>
      <c r="Y1345" s="65">
        <v>0</v>
      </c>
      <c r="Z1345" s="65">
        <v>21809.281051612899</v>
      </c>
      <c r="AA1345" s="51">
        <v>0</v>
      </c>
      <c r="AB1345" s="102">
        <v>0</v>
      </c>
      <c r="AC1345" s="81">
        <f t="shared" si="63"/>
        <v>42.26110788330233</v>
      </c>
      <c r="AD1345" s="82">
        <f t="shared" si="64"/>
        <v>92.05714285714285</v>
      </c>
      <c r="AE1345" s="218">
        <v>0</v>
      </c>
      <c r="AF1345">
        <v>0</v>
      </c>
      <c r="AH1345" t="str">
        <f t="shared" si="65"/>
        <v>Sahibpur Kamal</v>
      </c>
      <c r="AJ1345" s="72">
        <v>0</v>
      </c>
      <c r="AK1345" s="72"/>
      <c r="AL1345" s="72"/>
      <c r="AM1345" s="72"/>
    </row>
    <row r="1346" spans="1:39" x14ac:dyDescent="0.25">
      <c r="A1346" s="37" t="s">
        <v>62</v>
      </c>
      <c r="B1346" s="66" t="s">
        <v>1615</v>
      </c>
      <c r="C1346" s="47">
        <v>1055</v>
      </c>
      <c r="D1346" s="47" t="s">
        <v>1148</v>
      </c>
      <c r="E1346" s="41">
        <v>10110155</v>
      </c>
      <c r="F1346" s="46" t="s">
        <v>839</v>
      </c>
      <c r="G1346" s="39" t="s">
        <v>635</v>
      </c>
      <c r="H1346" s="48" t="s">
        <v>99</v>
      </c>
      <c r="I1346" s="52">
        <v>279.10000000000002</v>
      </c>
      <c r="J1346" s="49">
        <v>10062.549999999999</v>
      </c>
      <c r="K1346" s="65">
        <v>0</v>
      </c>
      <c r="L1346" s="65">
        <v>0</v>
      </c>
      <c r="M1346" s="65">
        <v>0</v>
      </c>
      <c r="N1346" s="65">
        <v>0</v>
      </c>
      <c r="O1346" s="65">
        <v>0</v>
      </c>
      <c r="P1346" s="65">
        <v>0</v>
      </c>
      <c r="Q1346" s="50">
        <v>10062.549999999999</v>
      </c>
      <c r="R1346" s="65">
        <v>0</v>
      </c>
      <c r="S1346" s="65">
        <v>0</v>
      </c>
      <c r="T1346" s="65">
        <v>0</v>
      </c>
      <c r="U1346" s="65">
        <v>0</v>
      </c>
      <c r="V1346" s="65">
        <v>0</v>
      </c>
      <c r="W1346" s="65">
        <v>0</v>
      </c>
      <c r="X1346" s="65">
        <v>0</v>
      </c>
      <c r="Y1346" s="65">
        <v>0</v>
      </c>
      <c r="Z1346" s="65">
        <v>10062.549999999999</v>
      </c>
      <c r="AA1346" s="51">
        <v>0</v>
      </c>
      <c r="AB1346" s="102">
        <v>0</v>
      </c>
      <c r="AC1346" s="81">
        <f t="shared" si="63"/>
        <v>303.4989104263704</v>
      </c>
      <c r="AD1346" s="82">
        <f t="shared" si="64"/>
        <v>39.871428571428574</v>
      </c>
      <c r="AE1346" s="218">
        <v>0</v>
      </c>
      <c r="AF1346">
        <v>0</v>
      </c>
      <c r="AH1346" t="str">
        <f t="shared" si="65"/>
        <v>Matihani</v>
      </c>
      <c r="AJ1346" s="72">
        <v>0</v>
      </c>
      <c r="AK1346" s="72"/>
      <c r="AL1346" s="72"/>
      <c r="AM1346" s="72"/>
    </row>
    <row r="1347" spans="1:39" x14ac:dyDescent="0.25">
      <c r="A1347" s="37" t="s">
        <v>62</v>
      </c>
      <c r="B1347" s="66" t="s">
        <v>1615</v>
      </c>
      <c r="C1347" s="47">
        <v>1011</v>
      </c>
      <c r="D1347" s="47" t="s">
        <v>289</v>
      </c>
      <c r="E1347" s="41">
        <v>10110158</v>
      </c>
      <c r="F1347" s="46" t="s">
        <v>1141</v>
      </c>
      <c r="G1347" s="39" t="s">
        <v>93</v>
      </c>
      <c r="H1347" s="48" t="s">
        <v>94</v>
      </c>
      <c r="I1347" s="52">
        <v>3132.9999999999995</v>
      </c>
      <c r="J1347" s="49">
        <v>119527.40000000001</v>
      </c>
      <c r="K1347" s="65">
        <v>2999.76</v>
      </c>
      <c r="L1347" s="65">
        <v>117855.00820305897</v>
      </c>
      <c r="M1347" s="65">
        <v>306.94</v>
      </c>
      <c r="N1347" s="65">
        <v>11887.660621451001</v>
      </c>
      <c r="O1347" s="65">
        <v>3306.7000000000003</v>
      </c>
      <c r="P1347" s="65">
        <v>129742.66882450996</v>
      </c>
      <c r="Q1347" s="50">
        <v>119527.40000000001</v>
      </c>
      <c r="R1347" s="65">
        <v>0</v>
      </c>
      <c r="S1347" s="65">
        <v>0</v>
      </c>
      <c r="T1347" s="65">
        <v>10215.268824509956</v>
      </c>
      <c r="U1347" s="65">
        <v>0</v>
      </c>
      <c r="V1347" s="65">
        <v>2115.6999999999998</v>
      </c>
      <c r="W1347" s="65">
        <v>0</v>
      </c>
      <c r="X1347" s="65">
        <v>105524</v>
      </c>
      <c r="Y1347" s="65">
        <v>11888</v>
      </c>
      <c r="Z1347" s="65">
        <v>0</v>
      </c>
      <c r="AA1347" s="51">
        <v>0</v>
      </c>
      <c r="AB1347" s="102" t="s">
        <v>68</v>
      </c>
      <c r="AC1347" s="81">
        <f t="shared" ref="AC1347:AC1410" si="66">((IF(AD1347=0,0,100-AD1347))*7*(J1347/I1347))*2%</f>
        <v>0</v>
      </c>
      <c r="AD1347" s="82">
        <f t="shared" ref="AD1347:AD1410" si="67">IF((I1347/7)&gt;100,0,(I1347/7))</f>
        <v>0</v>
      </c>
      <c r="AE1347" s="218">
        <v>-8.5463825235970625E-2</v>
      </c>
      <c r="AF1347">
        <v>27</v>
      </c>
      <c r="AJ1347" s="72">
        <v>0</v>
      </c>
      <c r="AK1347" s="72"/>
      <c r="AL1347" s="72"/>
      <c r="AM1347" s="72"/>
    </row>
    <row r="1348" spans="1:39" x14ac:dyDescent="0.25">
      <c r="A1348" s="37" t="s">
        <v>62</v>
      </c>
      <c r="B1348" s="66" t="s">
        <v>1615</v>
      </c>
      <c r="C1348" s="47">
        <v>1011</v>
      </c>
      <c r="D1348" s="47" t="s">
        <v>289</v>
      </c>
      <c r="E1348" s="41">
        <v>10110159</v>
      </c>
      <c r="F1348" s="46" t="s">
        <v>849</v>
      </c>
      <c r="G1348" s="39" t="s">
        <v>93</v>
      </c>
      <c r="H1348" s="48" t="s">
        <v>94</v>
      </c>
      <c r="I1348" s="52">
        <v>1567.4</v>
      </c>
      <c r="J1348" s="49">
        <v>58955.770000000011</v>
      </c>
      <c r="K1348" s="65">
        <v>1083.1999999999998</v>
      </c>
      <c r="L1348" s="65">
        <v>41097.55589280001</v>
      </c>
      <c r="M1348" s="65">
        <v>483.8</v>
      </c>
      <c r="N1348" s="65">
        <v>18318.963310560004</v>
      </c>
      <c r="O1348" s="65">
        <v>1566.9999999999998</v>
      </c>
      <c r="P1348" s="65">
        <v>59416.519203360018</v>
      </c>
      <c r="Q1348" s="50">
        <v>58955.770000000011</v>
      </c>
      <c r="R1348" s="65">
        <v>0</v>
      </c>
      <c r="S1348" s="65">
        <v>106.13107296000004</v>
      </c>
      <c r="T1348" s="65">
        <v>460.7492033600065</v>
      </c>
      <c r="U1348" s="65">
        <v>0</v>
      </c>
      <c r="V1348" s="65">
        <v>0</v>
      </c>
      <c r="W1348" s="65">
        <v>0</v>
      </c>
      <c r="X1348" s="65">
        <v>40637</v>
      </c>
      <c r="Y1348" s="65">
        <v>18213</v>
      </c>
      <c r="Z1348" s="65">
        <v>0</v>
      </c>
      <c r="AA1348" s="51">
        <v>0</v>
      </c>
      <c r="AB1348" s="102">
        <v>0</v>
      </c>
      <c r="AC1348" s="81">
        <f t="shared" si="66"/>
        <v>0</v>
      </c>
      <c r="AD1348" s="82">
        <f t="shared" si="67"/>
        <v>0</v>
      </c>
      <c r="AE1348" s="218">
        <v>-7.8151672577596119E-3</v>
      </c>
      <c r="AF1348">
        <v>8</v>
      </c>
      <c r="AH1348" t="str">
        <f t="shared" si="65"/>
        <v>Sahibpur Kamal</v>
      </c>
      <c r="AJ1348" s="72">
        <v>0</v>
      </c>
      <c r="AK1348" s="72"/>
      <c r="AL1348" s="72"/>
      <c r="AM1348" s="72"/>
    </row>
    <row r="1349" spans="1:39" x14ac:dyDescent="0.25">
      <c r="A1349" s="37" t="s">
        <v>62</v>
      </c>
      <c r="B1349" s="66" t="s">
        <v>1615</v>
      </c>
      <c r="C1349" s="47">
        <v>1011</v>
      </c>
      <c r="D1349" s="47" t="s">
        <v>289</v>
      </c>
      <c r="E1349" s="41">
        <v>10110160</v>
      </c>
      <c r="F1349" s="46" t="s">
        <v>1144</v>
      </c>
      <c r="G1349" s="39" t="s">
        <v>635</v>
      </c>
      <c r="H1349" s="48" t="s">
        <v>99</v>
      </c>
      <c r="I1349" s="52">
        <v>726.7</v>
      </c>
      <c r="J1349" s="49">
        <v>24970.769999999997</v>
      </c>
      <c r="K1349" s="65">
        <v>0</v>
      </c>
      <c r="L1349" s="65">
        <v>0</v>
      </c>
      <c r="M1349" s="65">
        <v>0</v>
      </c>
      <c r="N1349" s="65">
        <v>0</v>
      </c>
      <c r="O1349" s="65">
        <v>0</v>
      </c>
      <c r="P1349" s="65">
        <v>0</v>
      </c>
      <c r="Q1349" s="50">
        <v>24970.769999999997</v>
      </c>
      <c r="R1349" s="65">
        <v>0</v>
      </c>
      <c r="S1349" s="65">
        <v>0</v>
      </c>
      <c r="T1349" s="65">
        <v>0</v>
      </c>
      <c r="U1349" s="65">
        <v>0</v>
      </c>
      <c r="V1349" s="65">
        <v>0</v>
      </c>
      <c r="W1349" s="65">
        <v>0</v>
      </c>
      <c r="X1349" s="65">
        <v>0</v>
      </c>
      <c r="Y1349" s="65">
        <v>0</v>
      </c>
      <c r="Z1349" s="65">
        <v>24970.769999999997</v>
      </c>
      <c r="AA1349" s="51">
        <v>0</v>
      </c>
      <c r="AB1349" s="102">
        <v>0</v>
      </c>
      <c r="AC1349" s="81">
        <f t="shared" si="66"/>
        <v>0</v>
      </c>
      <c r="AD1349" s="82">
        <f t="shared" si="67"/>
        <v>0</v>
      </c>
      <c r="AE1349" s="218">
        <v>0</v>
      </c>
      <c r="AF1349">
        <v>0</v>
      </c>
      <c r="AH1349" t="str">
        <f t="shared" si="65"/>
        <v>Sahibpur Kamal</v>
      </c>
      <c r="AJ1349" s="72">
        <v>0</v>
      </c>
      <c r="AK1349" s="72"/>
      <c r="AL1349" s="72"/>
      <c r="AM1349" s="72"/>
    </row>
    <row r="1350" spans="1:39" x14ac:dyDescent="0.25">
      <c r="A1350" s="37" t="s">
        <v>62</v>
      </c>
      <c r="B1350" s="66" t="s">
        <v>1615</v>
      </c>
      <c r="C1350" s="47">
        <v>1011</v>
      </c>
      <c r="D1350" s="47" t="s">
        <v>289</v>
      </c>
      <c r="E1350" s="41">
        <v>10110161</v>
      </c>
      <c r="F1350" s="46" t="s">
        <v>1145</v>
      </c>
      <c r="G1350" s="39" t="s">
        <v>635</v>
      </c>
      <c r="H1350" s="48" t="s">
        <v>99</v>
      </c>
      <c r="I1350" s="52">
        <v>920.3</v>
      </c>
      <c r="J1350" s="49">
        <v>32010.690000000002</v>
      </c>
      <c r="K1350" s="65">
        <v>0</v>
      </c>
      <c r="L1350" s="65">
        <v>0</v>
      </c>
      <c r="M1350" s="65">
        <v>0</v>
      </c>
      <c r="N1350" s="65">
        <v>0</v>
      </c>
      <c r="O1350" s="65">
        <v>0</v>
      </c>
      <c r="P1350" s="65">
        <v>0</v>
      </c>
      <c r="Q1350" s="50">
        <v>32010.690000000002</v>
      </c>
      <c r="R1350" s="65">
        <v>0</v>
      </c>
      <c r="S1350" s="65">
        <v>0</v>
      </c>
      <c r="T1350" s="65">
        <v>0</v>
      </c>
      <c r="U1350" s="65">
        <v>0</v>
      </c>
      <c r="V1350" s="65">
        <v>0</v>
      </c>
      <c r="W1350" s="65">
        <v>0</v>
      </c>
      <c r="X1350" s="65">
        <v>0</v>
      </c>
      <c r="Y1350" s="65">
        <v>0</v>
      </c>
      <c r="Z1350" s="65">
        <v>32010.690000000002</v>
      </c>
      <c r="AA1350" s="51">
        <v>0</v>
      </c>
      <c r="AB1350" s="102">
        <v>0</v>
      </c>
      <c r="AC1350" s="81">
        <f t="shared" si="66"/>
        <v>0</v>
      </c>
      <c r="AD1350" s="82">
        <f t="shared" si="67"/>
        <v>0</v>
      </c>
      <c r="AE1350" s="218">
        <v>0</v>
      </c>
      <c r="AF1350">
        <v>0</v>
      </c>
      <c r="AH1350" t="str">
        <f t="shared" si="65"/>
        <v>Sahibpur Kamal</v>
      </c>
      <c r="AJ1350" s="72">
        <v>0</v>
      </c>
      <c r="AK1350" s="72"/>
      <c r="AL1350" s="72"/>
      <c r="AM1350" s="72"/>
    </row>
    <row r="1351" spans="1:39" x14ac:dyDescent="0.25">
      <c r="A1351" s="37" t="s">
        <v>62</v>
      </c>
      <c r="B1351" s="66" t="s">
        <v>1615</v>
      </c>
      <c r="C1351" s="47">
        <v>1011</v>
      </c>
      <c r="D1351" s="47" t="s">
        <v>289</v>
      </c>
      <c r="E1351" s="41">
        <v>10110164</v>
      </c>
      <c r="F1351" s="46" t="s">
        <v>1250</v>
      </c>
      <c r="G1351" s="39" t="s">
        <v>93</v>
      </c>
      <c r="H1351" s="48" t="s">
        <v>94</v>
      </c>
      <c r="I1351" s="52">
        <v>264.3</v>
      </c>
      <c r="J1351" s="49">
        <v>10979.82</v>
      </c>
      <c r="K1351" s="65">
        <v>264</v>
      </c>
      <c r="L1351" s="65">
        <v>10872.868723200003</v>
      </c>
      <c r="M1351" s="65">
        <v>0</v>
      </c>
      <c r="N1351" s="65">
        <v>0</v>
      </c>
      <c r="O1351" s="65">
        <v>264</v>
      </c>
      <c r="P1351" s="65">
        <v>10872.868723200003</v>
      </c>
      <c r="Q1351" s="50">
        <v>10872.868723200003</v>
      </c>
      <c r="R1351" s="65">
        <v>0</v>
      </c>
      <c r="S1351" s="65">
        <v>0</v>
      </c>
      <c r="T1351" s="65">
        <v>0</v>
      </c>
      <c r="U1351" s="65">
        <v>0</v>
      </c>
      <c r="V1351" s="65">
        <v>0</v>
      </c>
      <c r="W1351" s="65">
        <v>0</v>
      </c>
      <c r="X1351" s="65">
        <v>10873</v>
      </c>
      <c r="Y1351" s="65">
        <v>0</v>
      </c>
      <c r="Z1351" s="65">
        <v>0</v>
      </c>
      <c r="AA1351" s="51">
        <v>107</v>
      </c>
      <c r="AB1351" s="102">
        <v>0</v>
      </c>
      <c r="AC1351" s="81">
        <f t="shared" si="66"/>
        <v>362.00587014755956</v>
      </c>
      <c r="AD1351" s="82">
        <f t="shared" si="67"/>
        <v>37.75714285714286</v>
      </c>
      <c r="AE1351" s="218">
        <v>9.7407131264444016E-3</v>
      </c>
      <c r="AF1351">
        <v>4</v>
      </c>
      <c r="AH1351" t="str">
        <f t="shared" si="65"/>
        <v>Sahibpur Kamal</v>
      </c>
      <c r="AJ1351" s="72">
        <v>0</v>
      </c>
      <c r="AK1351" s="72"/>
      <c r="AL1351" s="72"/>
      <c r="AM1351" s="72"/>
    </row>
    <row r="1352" spans="1:39" x14ac:dyDescent="0.25">
      <c r="A1352" s="37" t="s">
        <v>62</v>
      </c>
      <c r="B1352" s="66" t="s">
        <v>1615</v>
      </c>
      <c r="C1352" s="47">
        <v>1011</v>
      </c>
      <c r="D1352" s="47" t="s">
        <v>289</v>
      </c>
      <c r="E1352" s="41">
        <v>10110166</v>
      </c>
      <c r="F1352" s="46" t="s">
        <v>1157</v>
      </c>
      <c r="G1352" s="39" t="s">
        <v>635</v>
      </c>
      <c r="H1352" s="48" t="s">
        <v>99</v>
      </c>
      <c r="I1352" s="52">
        <v>209.5</v>
      </c>
      <c r="J1352" s="49">
        <v>7315.0299999999988</v>
      </c>
      <c r="K1352" s="65">
        <v>0</v>
      </c>
      <c r="L1352" s="65">
        <v>0</v>
      </c>
      <c r="M1352" s="65">
        <v>0</v>
      </c>
      <c r="N1352" s="65">
        <v>0</v>
      </c>
      <c r="O1352" s="65">
        <v>0</v>
      </c>
      <c r="P1352" s="65">
        <v>0</v>
      </c>
      <c r="Q1352" s="50">
        <v>7315.0299999999988</v>
      </c>
      <c r="R1352" s="65">
        <v>0</v>
      </c>
      <c r="S1352" s="65">
        <v>0</v>
      </c>
      <c r="T1352" s="65">
        <v>0</v>
      </c>
      <c r="U1352" s="65">
        <v>0</v>
      </c>
      <c r="V1352" s="65">
        <v>48.726309677419579</v>
      </c>
      <c r="W1352" s="65">
        <v>0</v>
      </c>
      <c r="X1352" s="65">
        <v>0</v>
      </c>
      <c r="Y1352" s="65">
        <v>0</v>
      </c>
      <c r="Z1352" s="65">
        <v>7266.3036903225793</v>
      </c>
      <c r="AA1352" s="51">
        <v>0</v>
      </c>
      <c r="AB1352" s="102">
        <v>0</v>
      </c>
      <c r="AC1352" s="81">
        <f t="shared" si="66"/>
        <v>342.53195369928397</v>
      </c>
      <c r="AD1352" s="82">
        <f t="shared" si="67"/>
        <v>29.928571428571427</v>
      </c>
      <c r="AE1352" s="218">
        <v>0</v>
      </c>
      <c r="AF1352">
        <v>0</v>
      </c>
      <c r="AH1352" t="str">
        <f t="shared" si="65"/>
        <v>Sahibpur Kamal</v>
      </c>
      <c r="AJ1352" s="72">
        <v>0</v>
      </c>
      <c r="AK1352" s="72"/>
      <c r="AL1352" s="72"/>
      <c r="AM1352" s="72"/>
    </row>
    <row r="1353" spans="1:39" x14ac:dyDescent="0.25">
      <c r="A1353" s="37" t="s">
        <v>62</v>
      </c>
      <c r="B1353" s="66" t="s">
        <v>1615</v>
      </c>
      <c r="C1353" s="47">
        <v>1011</v>
      </c>
      <c r="D1353" s="47" t="s">
        <v>289</v>
      </c>
      <c r="E1353" s="41">
        <v>10110167</v>
      </c>
      <c r="F1353" s="46" t="s">
        <v>1208</v>
      </c>
      <c r="G1353" s="39" t="s">
        <v>93</v>
      </c>
      <c r="H1353" s="48" t="s">
        <v>94</v>
      </c>
      <c r="I1353" s="52">
        <v>46.300000000000004</v>
      </c>
      <c r="J1353" s="49">
        <v>1830.18</v>
      </c>
      <c r="K1353" s="65">
        <v>46.300000000000004</v>
      </c>
      <c r="L1353" s="65">
        <v>1836.9366721200001</v>
      </c>
      <c r="M1353" s="65">
        <v>0</v>
      </c>
      <c r="N1353" s="65">
        <v>0</v>
      </c>
      <c r="O1353" s="65">
        <v>46.300000000000004</v>
      </c>
      <c r="P1353" s="65">
        <v>1836.9366721200001</v>
      </c>
      <c r="Q1353" s="50">
        <v>1830.18</v>
      </c>
      <c r="R1353" s="65">
        <v>0</v>
      </c>
      <c r="S1353" s="65">
        <v>0</v>
      </c>
      <c r="T1353" s="65">
        <v>6.7566721200000757</v>
      </c>
      <c r="U1353" s="65">
        <v>0</v>
      </c>
      <c r="V1353" s="65">
        <v>120.25214482758619</v>
      </c>
      <c r="W1353" s="65">
        <v>0</v>
      </c>
      <c r="X1353" s="65">
        <v>1710</v>
      </c>
      <c r="Y1353" s="65">
        <v>0</v>
      </c>
      <c r="Z1353" s="65">
        <v>0</v>
      </c>
      <c r="AA1353" s="51">
        <v>0</v>
      </c>
      <c r="AB1353" s="102">
        <v>0</v>
      </c>
      <c r="AC1353" s="81">
        <f t="shared" si="66"/>
        <v>516.79855982721381</v>
      </c>
      <c r="AD1353" s="82">
        <f t="shared" si="67"/>
        <v>6.6142857142857148</v>
      </c>
      <c r="AE1353" s="218">
        <v>-3.6918074287775387E-3</v>
      </c>
      <c r="AF1353">
        <v>1</v>
      </c>
      <c r="AH1353" t="str">
        <f t="shared" si="65"/>
        <v>Sahibpur Kamal</v>
      </c>
      <c r="AJ1353" s="72">
        <v>0</v>
      </c>
      <c r="AK1353" s="72"/>
      <c r="AL1353" s="72"/>
      <c r="AM1353" s="72"/>
    </row>
    <row r="1354" spans="1:39" x14ac:dyDescent="0.25">
      <c r="A1354" s="37" t="s">
        <v>62</v>
      </c>
      <c r="B1354" s="66" t="s">
        <v>1615</v>
      </c>
      <c r="C1354" s="47">
        <v>1011</v>
      </c>
      <c r="D1354" s="47" t="s">
        <v>289</v>
      </c>
      <c r="E1354" s="41">
        <v>10110168</v>
      </c>
      <c r="F1354" s="46" t="s">
        <v>1251</v>
      </c>
      <c r="G1354" s="39" t="s">
        <v>93</v>
      </c>
      <c r="H1354" s="48" t="s">
        <v>94</v>
      </c>
      <c r="I1354" s="52">
        <v>1581.6000000000001</v>
      </c>
      <c r="J1354" s="49">
        <v>57502.81</v>
      </c>
      <c r="K1354" s="65">
        <v>1567.5</v>
      </c>
      <c r="L1354" s="65">
        <v>58852.218989520014</v>
      </c>
      <c r="M1354" s="65">
        <v>5.3000000000000007</v>
      </c>
      <c r="N1354" s="65">
        <v>200.48742648000001</v>
      </c>
      <c r="O1354" s="65">
        <v>1572.8</v>
      </c>
      <c r="P1354" s="65">
        <v>59052.706416000015</v>
      </c>
      <c r="Q1354" s="50">
        <v>57502.81</v>
      </c>
      <c r="R1354" s="65">
        <v>0</v>
      </c>
      <c r="S1354" s="65">
        <v>200.48742648000001</v>
      </c>
      <c r="T1354" s="65">
        <v>1549.8964160000178</v>
      </c>
      <c r="U1354" s="65">
        <v>7800</v>
      </c>
      <c r="V1354" s="65">
        <v>0</v>
      </c>
      <c r="W1354" s="65">
        <v>0</v>
      </c>
      <c r="X1354" s="65">
        <v>49502</v>
      </c>
      <c r="Y1354" s="65">
        <v>0</v>
      </c>
      <c r="Z1354" s="65">
        <v>0</v>
      </c>
      <c r="AA1354" s="51">
        <v>0</v>
      </c>
      <c r="AB1354" s="102" t="s">
        <v>68</v>
      </c>
      <c r="AC1354" s="81">
        <f t="shared" si="66"/>
        <v>0</v>
      </c>
      <c r="AD1354" s="82">
        <f t="shared" si="67"/>
        <v>0</v>
      </c>
      <c r="AE1354" s="218">
        <v>-2.6953403077171669E-2</v>
      </c>
      <c r="AF1354">
        <v>3</v>
      </c>
      <c r="AH1354" t="str">
        <f t="shared" si="65"/>
        <v>Sahibpur Kamal</v>
      </c>
      <c r="AJ1354" s="72">
        <v>0</v>
      </c>
      <c r="AK1354" s="72"/>
      <c r="AL1354" s="72"/>
      <c r="AM1354" s="72"/>
    </row>
    <row r="1355" spans="1:39" x14ac:dyDescent="0.25">
      <c r="A1355" s="37" t="s">
        <v>62</v>
      </c>
      <c r="B1355" s="66" t="s">
        <v>1615</v>
      </c>
      <c r="C1355" s="47">
        <v>1011</v>
      </c>
      <c r="D1355" s="47" t="s">
        <v>289</v>
      </c>
      <c r="E1355" s="41">
        <v>10110172</v>
      </c>
      <c r="F1355" s="46" t="s">
        <v>1267</v>
      </c>
      <c r="G1355" s="39" t="s">
        <v>93</v>
      </c>
      <c r="H1355" s="48" t="s">
        <v>94</v>
      </c>
      <c r="I1355" s="52">
        <v>348.4</v>
      </c>
      <c r="J1355" s="49">
        <v>12548.91</v>
      </c>
      <c r="K1355" s="65">
        <v>348.4</v>
      </c>
      <c r="L1355" s="65">
        <v>12489.659764560001</v>
      </c>
      <c r="M1355" s="65">
        <v>0</v>
      </c>
      <c r="N1355" s="65">
        <v>0</v>
      </c>
      <c r="O1355" s="65">
        <v>348.4</v>
      </c>
      <c r="P1355" s="65">
        <v>12489.659764560001</v>
      </c>
      <c r="Q1355" s="50">
        <v>12489.659764560001</v>
      </c>
      <c r="R1355" s="65">
        <v>0</v>
      </c>
      <c r="S1355" s="65">
        <v>0</v>
      </c>
      <c r="T1355" s="65">
        <v>0</v>
      </c>
      <c r="U1355" s="65">
        <v>0</v>
      </c>
      <c r="V1355" s="65">
        <v>0</v>
      </c>
      <c r="W1355" s="65">
        <v>0</v>
      </c>
      <c r="X1355" s="65">
        <v>12490</v>
      </c>
      <c r="Y1355" s="65">
        <v>0</v>
      </c>
      <c r="Z1355" s="65">
        <v>0</v>
      </c>
      <c r="AA1355" s="51">
        <v>59</v>
      </c>
      <c r="AB1355" s="102">
        <v>0</v>
      </c>
      <c r="AC1355" s="81">
        <f t="shared" si="66"/>
        <v>253.28339586681977</v>
      </c>
      <c r="AD1355" s="82">
        <f t="shared" si="67"/>
        <v>49.771428571428565</v>
      </c>
      <c r="AE1355" s="218">
        <v>4.7215443763640435E-3</v>
      </c>
      <c r="AF1355">
        <v>1</v>
      </c>
      <c r="AH1355" t="str">
        <f t="shared" si="65"/>
        <v>Sahibpur Kamal</v>
      </c>
      <c r="AJ1355" s="72">
        <v>0</v>
      </c>
      <c r="AK1355" s="72"/>
      <c r="AL1355" s="72"/>
      <c r="AM1355" s="72"/>
    </row>
    <row r="1356" spans="1:39" x14ac:dyDescent="0.25">
      <c r="A1356" s="37" t="s">
        <v>62</v>
      </c>
      <c r="B1356" s="66" t="s">
        <v>1615</v>
      </c>
      <c r="C1356" s="47">
        <v>1011</v>
      </c>
      <c r="D1356" s="47" t="s">
        <v>289</v>
      </c>
      <c r="E1356" s="41">
        <v>10110173</v>
      </c>
      <c r="F1356" s="46" t="s">
        <v>1252</v>
      </c>
      <c r="G1356" s="39" t="s">
        <v>635</v>
      </c>
      <c r="H1356" s="48" t="s">
        <v>99</v>
      </c>
      <c r="I1356" s="52">
        <v>364.6</v>
      </c>
      <c r="J1356" s="49">
        <v>14749.58</v>
      </c>
      <c r="K1356" s="65">
        <v>0</v>
      </c>
      <c r="L1356" s="65">
        <v>0</v>
      </c>
      <c r="M1356" s="65">
        <v>0</v>
      </c>
      <c r="N1356" s="65">
        <v>0</v>
      </c>
      <c r="O1356" s="65">
        <v>0</v>
      </c>
      <c r="P1356" s="65">
        <v>0</v>
      </c>
      <c r="Q1356" s="50">
        <v>14749.58</v>
      </c>
      <c r="R1356" s="65">
        <v>0</v>
      </c>
      <c r="S1356" s="65">
        <v>0</v>
      </c>
      <c r="T1356" s="65">
        <v>0</v>
      </c>
      <c r="U1356" s="65">
        <v>0</v>
      </c>
      <c r="V1356" s="65">
        <v>963.38823870967803</v>
      </c>
      <c r="W1356" s="65">
        <v>0</v>
      </c>
      <c r="X1356" s="65">
        <v>0</v>
      </c>
      <c r="Y1356" s="65">
        <v>0</v>
      </c>
      <c r="Z1356" s="65">
        <v>13786.191761290322</v>
      </c>
      <c r="AA1356" s="51">
        <v>0</v>
      </c>
      <c r="AB1356" s="102">
        <v>0</v>
      </c>
      <c r="AC1356" s="81">
        <f t="shared" si="66"/>
        <v>271.36638134942399</v>
      </c>
      <c r="AD1356" s="82">
        <f t="shared" si="67"/>
        <v>52.085714285714289</v>
      </c>
      <c r="AE1356" s="218">
        <v>0</v>
      </c>
      <c r="AF1356">
        <v>0</v>
      </c>
      <c r="AH1356" t="str">
        <f t="shared" si="65"/>
        <v>Sahibpur Kamal</v>
      </c>
      <c r="AJ1356" s="72">
        <v>0</v>
      </c>
      <c r="AK1356" s="72"/>
      <c r="AL1356" s="72"/>
      <c r="AM1356" s="72"/>
    </row>
    <row r="1357" spans="1:39" x14ac:dyDescent="0.25">
      <c r="A1357" s="37" t="s">
        <v>62</v>
      </c>
      <c r="B1357" s="66" t="s">
        <v>1615</v>
      </c>
      <c r="C1357" s="47">
        <v>1011</v>
      </c>
      <c r="D1357" s="47" t="s">
        <v>289</v>
      </c>
      <c r="E1357" s="41">
        <v>10110176</v>
      </c>
      <c r="F1357" s="46" t="s">
        <v>1287</v>
      </c>
      <c r="G1357" s="39" t="s">
        <v>635</v>
      </c>
      <c r="H1357" s="48" t="s">
        <v>99</v>
      </c>
      <c r="I1357" s="52">
        <v>101.8</v>
      </c>
      <c r="J1357" s="49">
        <v>3743.4199999999996</v>
      </c>
      <c r="K1357" s="65">
        <v>0</v>
      </c>
      <c r="L1357" s="65">
        <v>0</v>
      </c>
      <c r="M1357" s="65">
        <v>0</v>
      </c>
      <c r="N1357" s="65">
        <v>0</v>
      </c>
      <c r="O1357" s="65">
        <v>0</v>
      </c>
      <c r="P1357" s="65">
        <v>0</v>
      </c>
      <c r="Q1357" s="50">
        <v>3743.4199999999996</v>
      </c>
      <c r="R1357" s="65">
        <v>0</v>
      </c>
      <c r="S1357" s="65">
        <v>0</v>
      </c>
      <c r="T1357" s="65">
        <v>0</v>
      </c>
      <c r="U1357" s="65">
        <v>0</v>
      </c>
      <c r="V1357" s="65">
        <v>1110.7154516129037</v>
      </c>
      <c r="W1357" s="65">
        <v>0</v>
      </c>
      <c r="X1357" s="65">
        <v>0</v>
      </c>
      <c r="Y1357" s="65">
        <v>0</v>
      </c>
      <c r="Z1357" s="65">
        <v>2632.7045483870961</v>
      </c>
      <c r="AA1357" s="51">
        <v>0</v>
      </c>
      <c r="AB1357" s="102">
        <v>0</v>
      </c>
      <c r="AC1357" s="81">
        <f t="shared" si="66"/>
        <v>439.94378074656191</v>
      </c>
      <c r="AD1357" s="82">
        <f t="shared" si="67"/>
        <v>14.542857142857143</v>
      </c>
      <c r="AE1357" s="218">
        <v>0</v>
      </c>
      <c r="AF1357">
        <v>0</v>
      </c>
      <c r="AH1357" t="str">
        <f t="shared" si="65"/>
        <v>Sahibpur Kamal</v>
      </c>
      <c r="AJ1357" s="72">
        <v>0</v>
      </c>
      <c r="AK1357" s="72"/>
      <c r="AL1357" s="72"/>
      <c r="AM1357" s="72"/>
    </row>
    <row r="1358" spans="1:39" x14ac:dyDescent="0.25">
      <c r="A1358" s="37" t="s">
        <v>62</v>
      </c>
      <c r="B1358" s="66" t="s">
        <v>1615</v>
      </c>
      <c r="C1358" s="47">
        <v>1011</v>
      </c>
      <c r="D1358" s="47" t="s">
        <v>289</v>
      </c>
      <c r="E1358" s="41">
        <v>10110177</v>
      </c>
      <c r="F1358" s="46" t="s">
        <v>1390</v>
      </c>
      <c r="G1358" s="39" t="s">
        <v>93</v>
      </c>
      <c r="H1358" s="48" t="s">
        <v>94</v>
      </c>
      <c r="I1358" s="52">
        <v>604.59999999999991</v>
      </c>
      <c r="J1358" s="49">
        <v>25193.379999999997</v>
      </c>
      <c r="K1358" s="65">
        <v>600.6</v>
      </c>
      <c r="L1358" s="65">
        <v>25121.764529988403</v>
      </c>
      <c r="M1358" s="65">
        <v>4.3999999999999986</v>
      </c>
      <c r="N1358" s="65">
        <v>197.26584372000002</v>
      </c>
      <c r="O1358" s="65">
        <v>605</v>
      </c>
      <c r="P1358" s="65">
        <v>25319.030373708403</v>
      </c>
      <c r="Q1358" s="50">
        <v>25193.379999999997</v>
      </c>
      <c r="R1358" s="65">
        <v>0</v>
      </c>
      <c r="S1358" s="65">
        <v>197.26584372000002</v>
      </c>
      <c r="T1358" s="65">
        <v>125.65037370840582</v>
      </c>
      <c r="U1358" s="65">
        <v>0</v>
      </c>
      <c r="V1358" s="65">
        <v>0</v>
      </c>
      <c r="W1358" s="65">
        <v>0</v>
      </c>
      <c r="X1358" s="65">
        <v>24996</v>
      </c>
      <c r="Y1358" s="65">
        <v>0</v>
      </c>
      <c r="Z1358" s="65">
        <v>0</v>
      </c>
      <c r="AA1358" s="51">
        <v>0</v>
      </c>
      <c r="AB1358" s="102">
        <v>0</v>
      </c>
      <c r="AC1358" s="81">
        <f t="shared" si="66"/>
        <v>79.505406946741758</v>
      </c>
      <c r="AD1358" s="82">
        <f t="shared" si="67"/>
        <v>86.371428571428552</v>
      </c>
      <c r="AE1358" s="218">
        <v>-4.9874361323651627E-3</v>
      </c>
      <c r="AF1358">
        <v>3</v>
      </c>
      <c r="AH1358" t="str">
        <f t="shared" si="65"/>
        <v>Sahibpur Kamal</v>
      </c>
      <c r="AJ1358" s="72">
        <v>0</v>
      </c>
      <c r="AK1358" s="72"/>
      <c r="AL1358" s="72"/>
      <c r="AM1358" s="72"/>
    </row>
    <row r="1359" spans="1:39" x14ac:dyDescent="0.25">
      <c r="A1359" s="37" t="s">
        <v>62</v>
      </c>
      <c r="B1359" s="66" t="s">
        <v>1615</v>
      </c>
      <c r="C1359" s="47">
        <v>1011</v>
      </c>
      <c r="D1359" s="47" t="s">
        <v>289</v>
      </c>
      <c r="E1359" s="41">
        <v>10110178</v>
      </c>
      <c r="F1359" s="46" t="s">
        <v>1306</v>
      </c>
      <c r="G1359" s="39" t="s">
        <v>635</v>
      </c>
      <c r="H1359" s="48" t="s">
        <v>99</v>
      </c>
      <c r="I1359" s="52">
        <v>8481.5</v>
      </c>
      <c r="J1359" s="49">
        <v>316299.21000000002</v>
      </c>
      <c r="K1359" s="65">
        <v>0</v>
      </c>
      <c r="L1359" s="65">
        <v>0</v>
      </c>
      <c r="M1359" s="65">
        <v>0</v>
      </c>
      <c r="N1359" s="65">
        <v>0</v>
      </c>
      <c r="O1359" s="65">
        <v>0</v>
      </c>
      <c r="P1359" s="65">
        <v>0</v>
      </c>
      <c r="Q1359" s="50">
        <v>316299.21000000002</v>
      </c>
      <c r="R1359" s="65">
        <v>0</v>
      </c>
      <c r="S1359" s="65">
        <v>0</v>
      </c>
      <c r="T1359" s="65">
        <v>0</v>
      </c>
      <c r="U1359" s="65">
        <v>0</v>
      </c>
      <c r="V1359" s="65">
        <v>0</v>
      </c>
      <c r="W1359" s="65">
        <v>0</v>
      </c>
      <c r="X1359" s="65">
        <v>0</v>
      </c>
      <c r="Y1359" s="65">
        <v>0</v>
      </c>
      <c r="Z1359" s="65">
        <v>316299.21000000002</v>
      </c>
      <c r="AA1359" s="51">
        <v>0</v>
      </c>
      <c r="AB1359" s="102">
        <v>0</v>
      </c>
      <c r="AC1359" s="81">
        <f t="shared" si="66"/>
        <v>0</v>
      </c>
      <c r="AD1359" s="82">
        <f t="shared" si="67"/>
        <v>0</v>
      </c>
      <c r="AE1359" s="218">
        <v>0</v>
      </c>
      <c r="AF1359">
        <v>0</v>
      </c>
      <c r="AH1359" t="str">
        <f t="shared" si="65"/>
        <v>Sahibpur Kamal</v>
      </c>
      <c r="AJ1359" s="72">
        <v>0</v>
      </c>
      <c r="AK1359" s="72"/>
      <c r="AL1359" s="72"/>
      <c r="AM1359" s="72"/>
    </row>
    <row r="1360" spans="1:39" x14ac:dyDescent="0.25">
      <c r="A1360" s="37" t="s">
        <v>62</v>
      </c>
      <c r="B1360" s="66" t="s">
        <v>1615</v>
      </c>
      <c r="C1360" s="47">
        <v>1011</v>
      </c>
      <c r="D1360" s="47" t="s">
        <v>289</v>
      </c>
      <c r="E1360" s="41">
        <v>10110181</v>
      </c>
      <c r="F1360" s="46" t="s">
        <v>1402</v>
      </c>
      <c r="G1360" s="39" t="s">
        <v>93</v>
      </c>
      <c r="H1360" s="48" t="s">
        <v>94</v>
      </c>
      <c r="I1360" s="52">
        <v>19.2</v>
      </c>
      <c r="J1360" s="49">
        <v>720.18000000000006</v>
      </c>
      <c r="K1360" s="65">
        <v>19</v>
      </c>
      <c r="L1360" s="65">
        <v>699.75231480000014</v>
      </c>
      <c r="M1360" s="65">
        <v>0</v>
      </c>
      <c r="N1360" s="65">
        <v>0</v>
      </c>
      <c r="O1360" s="65">
        <v>19</v>
      </c>
      <c r="P1360" s="65">
        <v>699.75231480000014</v>
      </c>
      <c r="Q1360" s="50">
        <v>699.75231480000014</v>
      </c>
      <c r="R1360" s="65">
        <v>0</v>
      </c>
      <c r="S1360" s="65">
        <v>0</v>
      </c>
      <c r="T1360" s="65">
        <v>0</v>
      </c>
      <c r="U1360" s="65">
        <v>0</v>
      </c>
      <c r="V1360" s="65">
        <v>0</v>
      </c>
      <c r="W1360" s="65">
        <v>0</v>
      </c>
      <c r="X1360" s="65">
        <v>700</v>
      </c>
      <c r="Y1360" s="65">
        <v>0</v>
      </c>
      <c r="Z1360" s="65">
        <v>0</v>
      </c>
      <c r="AA1360" s="51">
        <v>20</v>
      </c>
      <c r="AB1360" s="102">
        <v>0</v>
      </c>
      <c r="AC1360" s="81">
        <f t="shared" si="66"/>
        <v>510.7276500000001</v>
      </c>
      <c r="AD1360" s="82">
        <f t="shared" si="67"/>
        <v>2.7428571428571429</v>
      </c>
      <c r="AE1360" s="218">
        <v>2.8364693826543261E-2</v>
      </c>
      <c r="AF1360">
        <v>1</v>
      </c>
      <c r="AH1360" t="str">
        <f t="shared" si="65"/>
        <v>Sahibpur Kamal</v>
      </c>
      <c r="AJ1360" s="72">
        <v>0</v>
      </c>
      <c r="AK1360" s="72"/>
      <c r="AL1360" s="72"/>
      <c r="AM1360" s="72"/>
    </row>
    <row r="1361" spans="1:39" x14ac:dyDescent="0.25">
      <c r="A1361" s="37" t="s">
        <v>62</v>
      </c>
      <c r="B1361" s="66" t="s">
        <v>1615</v>
      </c>
      <c r="C1361" s="47">
        <v>1011</v>
      </c>
      <c r="D1361" s="47" t="s">
        <v>289</v>
      </c>
      <c r="E1361" s="41">
        <v>10110183</v>
      </c>
      <c r="F1361" s="46" t="s">
        <v>1403</v>
      </c>
      <c r="G1361" s="39" t="s">
        <v>635</v>
      </c>
      <c r="H1361" s="48" t="s">
        <v>99</v>
      </c>
      <c r="I1361" s="52">
        <v>780</v>
      </c>
      <c r="J1361" s="49">
        <v>31230.28</v>
      </c>
      <c r="K1361" s="65">
        <v>0</v>
      </c>
      <c r="L1361" s="65">
        <v>0</v>
      </c>
      <c r="M1361" s="65">
        <v>0</v>
      </c>
      <c r="N1361" s="65">
        <v>0</v>
      </c>
      <c r="O1361" s="65">
        <v>0</v>
      </c>
      <c r="P1361" s="65">
        <v>0</v>
      </c>
      <c r="Q1361" s="50">
        <v>31230.28</v>
      </c>
      <c r="R1361" s="65">
        <v>0</v>
      </c>
      <c r="S1361" s="65">
        <v>0</v>
      </c>
      <c r="T1361" s="65">
        <v>0</v>
      </c>
      <c r="U1361" s="65">
        <v>0</v>
      </c>
      <c r="V1361" s="65">
        <v>0</v>
      </c>
      <c r="W1361" s="65">
        <v>0</v>
      </c>
      <c r="X1361" s="65">
        <v>0</v>
      </c>
      <c r="Y1361" s="65">
        <v>0</v>
      </c>
      <c r="Z1361" s="65">
        <v>31230.28</v>
      </c>
      <c r="AA1361" s="51">
        <v>0</v>
      </c>
      <c r="AB1361" s="102">
        <v>0</v>
      </c>
      <c r="AC1361" s="81">
        <f t="shared" si="66"/>
        <v>0</v>
      </c>
      <c r="AD1361" s="82">
        <f t="shared" si="67"/>
        <v>0</v>
      </c>
      <c r="AE1361" s="218">
        <v>0</v>
      </c>
      <c r="AF1361">
        <v>0</v>
      </c>
      <c r="AH1361" t="str">
        <f t="shared" si="65"/>
        <v>Sahibpur Kamal</v>
      </c>
      <c r="AJ1361" s="72">
        <v>0</v>
      </c>
      <c r="AK1361" s="72"/>
      <c r="AL1361" s="72"/>
      <c r="AM1361" s="72"/>
    </row>
    <row r="1362" spans="1:39" x14ac:dyDescent="0.25">
      <c r="A1362" s="37" t="s">
        <v>62</v>
      </c>
      <c r="B1362" s="66" t="s">
        <v>1615</v>
      </c>
      <c r="C1362" s="47">
        <v>1011</v>
      </c>
      <c r="D1362" s="47" t="s">
        <v>289</v>
      </c>
      <c r="E1362" s="41">
        <v>10110184</v>
      </c>
      <c r="F1362" s="46" t="s">
        <v>1404</v>
      </c>
      <c r="G1362" s="39" t="s">
        <v>635</v>
      </c>
      <c r="H1362" s="48" t="s">
        <v>99</v>
      </c>
      <c r="I1362" s="52">
        <v>430.20000000000005</v>
      </c>
      <c r="J1362" s="49">
        <v>16742.830000000002</v>
      </c>
      <c r="K1362" s="65">
        <v>0</v>
      </c>
      <c r="L1362" s="65">
        <v>0</v>
      </c>
      <c r="M1362" s="65">
        <v>0</v>
      </c>
      <c r="N1362" s="65">
        <v>0</v>
      </c>
      <c r="O1362" s="65">
        <v>0</v>
      </c>
      <c r="P1362" s="65">
        <v>0</v>
      </c>
      <c r="Q1362" s="50">
        <v>16742.830000000002</v>
      </c>
      <c r="R1362" s="65">
        <v>0</v>
      </c>
      <c r="S1362" s="65">
        <v>0</v>
      </c>
      <c r="T1362" s="65">
        <v>0</v>
      </c>
      <c r="U1362" s="65">
        <v>0</v>
      </c>
      <c r="V1362" s="65">
        <v>0</v>
      </c>
      <c r="W1362" s="65">
        <v>0</v>
      </c>
      <c r="X1362" s="65">
        <v>0</v>
      </c>
      <c r="Y1362" s="65">
        <v>0</v>
      </c>
      <c r="Z1362" s="65">
        <v>16742.830000000002</v>
      </c>
      <c r="AA1362" s="51">
        <v>0</v>
      </c>
      <c r="AB1362" s="102">
        <v>0</v>
      </c>
      <c r="AC1362" s="81">
        <f t="shared" si="66"/>
        <v>210.00537117619709</v>
      </c>
      <c r="AD1362" s="82">
        <f t="shared" si="67"/>
        <v>61.457142857142863</v>
      </c>
      <c r="AE1362" s="218">
        <v>0</v>
      </c>
      <c r="AF1362">
        <v>0</v>
      </c>
      <c r="AH1362" t="str">
        <f t="shared" si="65"/>
        <v>Sahibpur Kamal</v>
      </c>
      <c r="AJ1362" s="72">
        <v>0</v>
      </c>
      <c r="AK1362" s="72"/>
      <c r="AL1362" s="72"/>
      <c r="AM1362" s="72"/>
    </row>
    <row r="1363" spans="1:39" x14ac:dyDescent="0.25">
      <c r="A1363" s="37" t="s">
        <v>62</v>
      </c>
      <c r="B1363" s="66" t="s">
        <v>1615</v>
      </c>
      <c r="C1363" s="47">
        <v>1011</v>
      </c>
      <c r="D1363" s="47" t="s">
        <v>289</v>
      </c>
      <c r="E1363" s="41">
        <v>10110185</v>
      </c>
      <c r="F1363" s="46" t="s">
        <v>1423</v>
      </c>
      <c r="G1363" s="39" t="s">
        <v>635</v>
      </c>
      <c r="H1363" s="48" t="s">
        <v>99</v>
      </c>
      <c r="I1363" s="52">
        <v>342.59999999999997</v>
      </c>
      <c r="J1363" s="49">
        <v>12781.619999999999</v>
      </c>
      <c r="K1363" s="65">
        <v>0</v>
      </c>
      <c r="L1363" s="65">
        <v>0</v>
      </c>
      <c r="M1363" s="65">
        <v>0</v>
      </c>
      <c r="N1363" s="65">
        <v>0</v>
      </c>
      <c r="O1363" s="65">
        <v>0</v>
      </c>
      <c r="P1363" s="65">
        <v>0</v>
      </c>
      <c r="Q1363" s="50">
        <v>12781.619999999999</v>
      </c>
      <c r="R1363" s="65">
        <v>0</v>
      </c>
      <c r="S1363" s="65">
        <v>0</v>
      </c>
      <c r="T1363" s="65">
        <v>0</v>
      </c>
      <c r="U1363" s="65">
        <v>0</v>
      </c>
      <c r="V1363" s="65">
        <v>0</v>
      </c>
      <c r="W1363" s="65">
        <v>0</v>
      </c>
      <c r="X1363" s="65">
        <v>0</v>
      </c>
      <c r="Y1363" s="65">
        <v>0</v>
      </c>
      <c r="Z1363" s="65">
        <v>12781.619999999999</v>
      </c>
      <c r="AA1363" s="51">
        <v>0</v>
      </c>
      <c r="AB1363" s="102">
        <v>0</v>
      </c>
      <c r="AC1363" s="81">
        <f t="shared" si="66"/>
        <v>266.67548091068306</v>
      </c>
      <c r="AD1363" s="82">
        <f t="shared" si="67"/>
        <v>48.942857142857136</v>
      </c>
      <c r="AE1363" s="218">
        <v>0</v>
      </c>
      <c r="AF1363">
        <v>0</v>
      </c>
      <c r="AH1363" t="str">
        <f t="shared" si="65"/>
        <v>Sahibpur Kamal</v>
      </c>
      <c r="AJ1363" s="72">
        <v>0</v>
      </c>
      <c r="AK1363" s="72"/>
      <c r="AL1363" s="72"/>
      <c r="AM1363" s="72"/>
    </row>
    <row r="1364" spans="1:39" x14ac:dyDescent="0.25">
      <c r="A1364" s="37" t="s">
        <v>62</v>
      </c>
      <c r="B1364" s="66" t="s">
        <v>1615</v>
      </c>
      <c r="C1364" s="47">
        <v>1011</v>
      </c>
      <c r="D1364" s="47" t="s">
        <v>289</v>
      </c>
      <c r="E1364" s="41">
        <v>10110186</v>
      </c>
      <c r="F1364" s="46" t="s">
        <v>1496</v>
      </c>
      <c r="G1364" s="39" t="s">
        <v>93</v>
      </c>
      <c r="H1364" s="48" t="s">
        <v>94</v>
      </c>
      <c r="I1364" s="52">
        <v>271.3</v>
      </c>
      <c r="J1364" s="49">
        <v>9961.6200000000026</v>
      </c>
      <c r="K1364" s="65">
        <v>270</v>
      </c>
      <c r="L1364" s="65">
        <v>10050.768684000002</v>
      </c>
      <c r="M1364" s="65">
        <v>0</v>
      </c>
      <c r="N1364" s="65">
        <v>0</v>
      </c>
      <c r="O1364" s="65">
        <v>270</v>
      </c>
      <c r="P1364" s="65">
        <v>10050.768684000002</v>
      </c>
      <c r="Q1364" s="50">
        <v>9961.6200000000026</v>
      </c>
      <c r="R1364" s="65">
        <v>0</v>
      </c>
      <c r="S1364" s="65">
        <v>0</v>
      </c>
      <c r="T1364" s="65">
        <v>89.148683999999776</v>
      </c>
      <c r="U1364" s="65">
        <v>0</v>
      </c>
      <c r="V1364" s="65">
        <v>0</v>
      </c>
      <c r="W1364" s="65">
        <v>0</v>
      </c>
      <c r="X1364" s="65">
        <v>9962</v>
      </c>
      <c r="Y1364" s="65">
        <v>0</v>
      </c>
      <c r="Z1364" s="65">
        <v>0</v>
      </c>
      <c r="AA1364" s="51">
        <v>0</v>
      </c>
      <c r="AB1364" s="102">
        <v>0</v>
      </c>
      <c r="AC1364" s="81">
        <f t="shared" si="66"/>
        <v>314.8209726502028</v>
      </c>
      <c r="AD1364" s="82">
        <f t="shared" si="67"/>
        <v>38.75714285714286</v>
      </c>
      <c r="AE1364" s="218">
        <v>-8.9492154890469366E-3</v>
      </c>
      <c r="AF1364">
        <v>1</v>
      </c>
      <c r="AH1364" t="str">
        <f t="shared" si="65"/>
        <v>Sahibpur Kamal</v>
      </c>
      <c r="AJ1364" s="72">
        <v>0</v>
      </c>
      <c r="AK1364" s="72"/>
      <c r="AL1364" s="72"/>
      <c r="AM1364" s="72"/>
    </row>
    <row r="1365" spans="1:39" x14ac:dyDescent="0.25">
      <c r="A1365" s="37" t="s">
        <v>62</v>
      </c>
      <c r="B1365" s="66" t="s">
        <v>1615</v>
      </c>
      <c r="C1365" s="47">
        <v>1011</v>
      </c>
      <c r="D1365" s="47" t="s">
        <v>289</v>
      </c>
      <c r="E1365" s="41">
        <v>10110187</v>
      </c>
      <c r="F1365" s="46" t="s">
        <v>1497</v>
      </c>
      <c r="G1365" s="39" t="s">
        <v>93</v>
      </c>
      <c r="H1365" s="48" t="s">
        <v>94</v>
      </c>
      <c r="I1365" s="52">
        <v>73.599999999999994</v>
      </c>
      <c r="J1365" s="49">
        <v>2738.9199999999996</v>
      </c>
      <c r="K1365" s="65">
        <v>74</v>
      </c>
      <c r="L1365" s="65">
        <v>2877.1527312000003</v>
      </c>
      <c r="M1365" s="65">
        <v>0</v>
      </c>
      <c r="N1365" s="65">
        <v>0</v>
      </c>
      <c r="O1365" s="65">
        <v>74</v>
      </c>
      <c r="P1365" s="65">
        <v>2877.1527312000003</v>
      </c>
      <c r="Q1365" s="50">
        <v>2738.9199999999996</v>
      </c>
      <c r="R1365" s="65">
        <v>0</v>
      </c>
      <c r="S1365" s="65">
        <v>0</v>
      </c>
      <c r="T1365" s="65">
        <v>138.23273120000067</v>
      </c>
      <c r="U1365" s="65">
        <v>0</v>
      </c>
      <c r="V1365" s="65">
        <v>0</v>
      </c>
      <c r="W1365" s="65">
        <v>0</v>
      </c>
      <c r="X1365" s="65">
        <v>2739</v>
      </c>
      <c r="Y1365" s="65">
        <v>0</v>
      </c>
      <c r="Z1365" s="65">
        <v>0</v>
      </c>
      <c r="AA1365" s="51">
        <v>0</v>
      </c>
      <c r="AB1365" s="102">
        <v>0</v>
      </c>
      <c r="AC1365" s="81">
        <f t="shared" si="66"/>
        <v>466.21181739130429</v>
      </c>
      <c r="AD1365" s="82">
        <f t="shared" si="67"/>
        <v>10.514285714285714</v>
      </c>
      <c r="AE1365" s="218">
        <v>-5.046979510171918E-2</v>
      </c>
      <c r="AF1365">
        <v>1</v>
      </c>
      <c r="AH1365" t="str">
        <f t="shared" si="65"/>
        <v>Sahibpur Kamal</v>
      </c>
      <c r="AJ1365" s="72">
        <v>0</v>
      </c>
      <c r="AK1365" s="72"/>
      <c r="AL1365" s="72"/>
      <c r="AM1365" s="72"/>
    </row>
    <row r="1366" spans="1:39" x14ac:dyDescent="0.25">
      <c r="A1366" s="37" t="s">
        <v>62</v>
      </c>
      <c r="B1366" s="66" t="s">
        <v>1615</v>
      </c>
      <c r="C1366" s="47">
        <v>1012</v>
      </c>
      <c r="D1366" s="47" t="s">
        <v>314</v>
      </c>
      <c r="E1366" s="41">
        <v>10120001</v>
      </c>
      <c r="F1366" s="46" t="s">
        <v>315</v>
      </c>
      <c r="G1366" s="39" t="s">
        <v>635</v>
      </c>
      <c r="H1366" s="48" t="s">
        <v>99</v>
      </c>
      <c r="I1366" s="52">
        <v>175.79999999999998</v>
      </c>
      <c r="J1366" s="49">
        <v>7645.409999999998</v>
      </c>
      <c r="K1366" s="65">
        <v>0</v>
      </c>
      <c r="L1366" s="65">
        <v>0</v>
      </c>
      <c r="M1366" s="65">
        <v>0</v>
      </c>
      <c r="N1366" s="65">
        <v>0</v>
      </c>
      <c r="O1366" s="65">
        <v>0</v>
      </c>
      <c r="P1366" s="65">
        <v>0</v>
      </c>
      <c r="Q1366" s="50">
        <v>7645.409999999998</v>
      </c>
      <c r="R1366" s="65">
        <v>0</v>
      </c>
      <c r="S1366" s="65">
        <v>0</v>
      </c>
      <c r="T1366" s="65">
        <v>0</v>
      </c>
      <c r="U1366" s="65">
        <v>7645</v>
      </c>
      <c r="V1366" s="65">
        <v>0</v>
      </c>
      <c r="W1366" s="65">
        <v>0</v>
      </c>
      <c r="X1366" s="65">
        <v>0</v>
      </c>
      <c r="Y1366" s="65">
        <v>0</v>
      </c>
      <c r="Z1366" s="65">
        <v>0.40999999999803549</v>
      </c>
      <c r="AA1366" s="51">
        <v>0</v>
      </c>
      <c r="AB1366" s="102">
        <v>0</v>
      </c>
      <c r="AC1366" s="81">
        <f t="shared" si="66"/>
        <v>455.94128805460753</v>
      </c>
      <c r="AD1366" s="82">
        <f t="shared" si="67"/>
        <v>25.11428571428571</v>
      </c>
      <c r="AE1366" s="218">
        <v>0</v>
      </c>
      <c r="AF1366">
        <v>0</v>
      </c>
      <c r="AH1366" t="str">
        <f t="shared" si="65"/>
        <v>DalsinghSarai</v>
      </c>
      <c r="AJ1366" s="72">
        <v>0</v>
      </c>
      <c r="AK1366" s="72"/>
      <c r="AL1366" s="72"/>
      <c r="AM1366" s="72"/>
    </row>
    <row r="1367" spans="1:39" x14ac:dyDescent="0.25">
      <c r="A1367" s="37" t="s">
        <v>62</v>
      </c>
      <c r="B1367" s="66" t="s">
        <v>1615</v>
      </c>
      <c r="C1367" s="47">
        <v>1012</v>
      </c>
      <c r="D1367" s="47" t="s">
        <v>314</v>
      </c>
      <c r="E1367" s="41">
        <v>10120002</v>
      </c>
      <c r="F1367" s="46" t="s">
        <v>316</v>
      </c>
      <c r="G1367" s="39" t="s">
        <v>635</v>
      </c>
      <c r="H1367" s="48" t="s">
        <v>99</v>
      </c>
      <c r="I1367" s="52">
        <v>486.07000000000011</v>
      </c>
      <c r="J1367" s="49">
        <v>18621.600000000002</v>
      </c>
      <c r="K1367" s="65">
        <v>0</v>
      </c>
      <c r="L1367" s="65">
        <v>0</v>
      </c>
      <c r="M1367" s="65">
        <v>0</v>
      </c>
      <c r="N1367" s="65">
        <v>0</v>
      </c>
      <c r="O1367" s="65">
        <v>0</v>
      </c>
      <c r="P1367" s="65">
        <v>0</v>
      </c>
      <c r="Q1367" s="50">
        <v>18621.600000000002</v>
      </c>
      <c r="R1367" s="65">
        <v>0</v>
      </c>
      <c r="S1367" s="65">
        <v>0</v>
      </c>
      <c r="T1367" s="65">
        <v>0</v>
      </c>
      <c r="U1367" s="65">
        <v>2700</v>
      </c>
      <c r="V1367" s="65">
        <v>0</v>
      </c>
      <c r="W1367" s="65">
        <v>0</v>
      </c>
      <c r="X1367" s="65">
        <v>0</v>
      </c>
      <c r="Y1367" s="65">
        <v>0</v>
      </c>
      <c r="Z1367" s="65">
        <v>15921.600000000002</v>
      </c>
      <c r="AA1367" s="51">
        <v>0</v>
      </c>
      <c r="AB1367" s="102">
        <v>0</v>
      </c>
      <c r="AC1367" s="81">
        <f t="shared" si="66"/>
        <v>163.91543966918329</v>
      </c>
      <c r="AD1367" s="82">
        <f t="shared" si="67"/>
        <v>69.43857142857145</v>
      </c>
      <c r="AE1367" s="218">
        <v>0</v>
      </c>
      <c r="AF1367">
        <v>0</v>
      </c>
      <c r="AH1367" t="str">
        <f t="shared" si="65"/>
        <v>DalsinghSarai</v>
      </c>
      <c r="AJ1367" s="72">
        <v>0</v>
      </c>
      <c r="AK1367" s="72"/>
      <c r="AL1367" s="72"/>
      <c r="AM1367" s="72"/>
    </row>
    <row r="1368" spans="1:39" x14ac:dyDescent="0.25">
      <c r="A1368" s="37" t="s">
        <v>62</v>
      </c>
      <c r="B1368" s="66" t="s">
        <v>1615</v>
      </c>
      <c r="C1368" s="47">
        <v>1012</v>
      </c>
      <c r="D1368" s="47" t="s">
        <v>314</v>
      </c>
      <c r="E1368" s="41">
        <v>10120005</v>
      </c>
      <c r="F1368" s="46" t="s">
        <v>317</v>
      </c>
      <c r="G1368" s="39" t="s">
        <v>93</v>
      </c>
      <c r="H1368" s="48" t="s">
        <v>94</v>
      </c>
      <c r="I1368" s="52">
        <v>388.09000000000003</v>
      </c>
      <c r="J1368" s="49">
        <v>14568.189999999999</v>
      </c>
      <c r="K1368" s="65">
        <v>406.89</v>
      </c>
      <c r="L1368" s="65">
        <v>14742.663021880202</v>
      </c>
      <c r="M1368" s="65">
        <v>0</v>
      </c>
      <c r="N1368" s="65">
        <v>0</v>
      </c>
      <c r="O1368" s="65">
        <v>406.89</v>
      </c>
      <c r="P1368" s="65">
        <v>14742.663021880202</v>
      </c>
      <c r="Q1368" s="50">
        <v>14568.189999999999</v>
      </c>
      <c r="R1368" s="65">
        <v>0</v>
      </c>
      <c r="S1368" s="65">
        <v>0</v>
      </c>
      <c r="T1368" s="65">
        <v>174.47302188020331</v>
      </c>
      <c r="U1368" s="65">
        <v>0</v>
      </c>
      <c r="V1368" s="65">
        <v>0</v>
      </c>
      <c r="W1368" s="65">
        <v>0</v>
      </c>
      <c r="X1368" s="65">
        <v>14568</v>
      </c>
      <c r="Y1368" s="65">
        <v>0</v>
      </c>
      <c r="Z1368" s="65">
        <v>0</v>
      </c>
      <c r="AA1368" s="51">
        <v>0</v>
      </c>
      <c r="AB1368" s="102">
        <v>0</v>
      </c>
      <c r="AC1368" s="81">
        <f t="shared" si="66"/>
        <v>234.1706378881187</v>
      </c>
      <c r="AD1368" s="82">
        <f t="shared" si="67"/>
        <v>55.441428571428574</v>
      </c>
      <c r="AE1368" s="218">
        <v>-1.1976300547988688E-2</v>
      </c>
      <c r="AF1368">
        <v>4</v>
      </c>
      <c r="AH1368" t="str">
        <f t="shared" si="65"/>
        <v>DalsinghSarai</v>
      </c>
      <c r="AJ1368" s="72">
        <v>0</v>
      </c>
      <c r="AK1368" s="72"/>
      <c r="AL1368" s="72"/>
      <c r="AM1368" s="72"/>
    </row>
    <row r="1369" spans="1:39" x14ac:dyDescent="0.25">
      <c r="A1369" s="37" t="s">
        <v>62</v>
      </c>
      <c r="B1369" s="66" t="s">
        <v>1615</v>
      </c>
      <c r="C1369" s="47">
        <v>1012</v>
      </c>
      <c r="D1369" s="47" t="s">
        <v>314</v>
      </c>
      <c r="E1369" s="41">
        <v>10120006</v>
      </c>
      <c r="F1369" s="46" t="s">
        <v>318</v>
      </c>
      <c r="G1369" s="39" t="s">
        <v>93</v>
      </c>
      <c r="H1369" s="48" t="s">
        <v>94</v>
      </c>
      <c r="I1369" s="52">
        <v>379.53</v>
      </c>
      <c r="J1369" s="49">
        <v>13670.9</v>
      </c>
      <c r="K1369" s="65">
        <v>370.75999999999993</v>
      </c>
      <c r="L1369" s="65">
        <v>13445.310657121201</v>
      </c>
      <c r="M1369" s="65">
        <v>11.7</v>
      </c>
      <c r="N1369" s="65">
        <v>429.12617457600004</v>
      </c>
      <c r="O1369" s="65">
        <v>382.45999999999992</v>
      </c>
      <c r="P1369" s="65">
        <v>13874.436831697201</v>
      </c>
      <c r="Q1369" s="50">
        <v>13670.9</v>
      </c>
      <c r="R1369" s="65">
        <v>0</v>
      </c>
      <c r="S1369" s="65">
        <v>19.338560999999999</v>
      </c>
      <c r="T1369" s="65">
        <v>203.53683169720171</v>
      </c>
      <c r="U1369" s="65">
        <v>0</v>
      </c>
      <c r="V1369" s="65">
        <v>0</v>
      </c>
      <c r="W1369" s="65">
        <v>0</v>
      </c>
      <c r="X1369" s="65">
        <v>13242</v>
      </c>
      <c r="Y1369" s="65">
        <v>410</v>
      </c>
      <c r="Z1369" s="65">
        <v>0</v>
      </c>
      <c r="AA1369" s="51">
        <v>0</v>
      </c>
      <c r="AB1369" s="102">
        <v>0</v>
      </c>
      <c r="AC1369" s="81">
        <f t="shared" si="66"/>
        <v>230.87046204516116</v>
      </c>
      <c r="AD1369" s="82">
        <f t="shared" si="67"/>
        <v>54.218571428571423</v>
      </c>
      <c r="AE1369" s="218">
        <v>-1.488832715455469E-2</v>
      </c>
      <c r="AF1369">
        <v>8</v>
      </c>
      <c r="AH1369" t="str">
        <f t="shared" si="65"/>
        <v>DalsinghSarai</v>
      </c>
      <c r="AJ1369" s="72">
        <v>0</v>
      </c>
      <c r="AK1369" s="72"/>
      <c r="AL1369" s="72"/>
      <c r="AM1369" s="72"/>
    </row>
    <row r="1370" spans="1:39" x14ac:dyDescent="0.25">
      <c r="A1370" s="37" t="s">
        <v>62</v>
      </c>
      <c r="B1370" s="66" t="s">
        <v>1615</v>
      </c>
      <c r="C1370" s="47">
        <v>1012</v>
      </c>
      <c r="D1370" s="47" t="s">
        <v>314</v>
      </c>
      <c r="E1370" s="41">
        <v>10120007</v>
      </c>
      <c r="F1370" s="46" t="s">
        <v>319</v>
      </c>
      <c r="G1370" s="39" t="s">
        <v>93</v>
      </c>
      <c r="H1370" s="48" t="s">
        <v>94</v>
      </c>
      <c r="I1370" s="52">
        <v>1355.3500000000001</v>
      </c>
      <c r="J1370" s="49">
        <v>53635.46</v>
      </c>
      <c r="K1370" s="65">
        <v>1353.6</v>
      </c>
      <c r="L1370" s="65">
        <v>52979.425239802149</v>
      </c>
      <c r="M1370" s="65">
        <v>16.200000000000003</v>
      </c>
      <c r="N1370" s="65">
        <v>638.009144558</v>
      </c>
      <c r="O1370" s="65">
        <v>1369.8</v>
      </c>
      <c r="P1370" s="65">
        <v>53617.434384360145</v>
      </c>
      <c r="Q1370" s="50">
        <v>53617.434384360145</v>
      </c>
      <c r="R1370" s="65">
        <v>0</v>
      </c>
      <c r="S1370" s="65">
        <v>638.009144558</v>
      </c>
      <c r="T1370" s="65">
        <v>0</v>
      </c>
      <c r="U1370" s="65">
        <v>9137</v>
      </c>
      <c r="V1370" s="65">
        <v>0</v>
      </c>
      <c r="W1370" s="65">
        <v>0</v>
      </c>
      <c r="X1370" s="65">
        <v>43843</v>
      </c>
      <c r="Y1370" s="65">
        <v>0</v>
      </c>
      <c r="Z1370" s="65">
        <v>0</v>
      </c>
      <c r="AA1370" s="51">
        <v>17</v>
      </c>
      <c r="AB1370" s="102">
        <v>0</v>
      </c>
      <c r="AC1370" s="81">
        <f t="shared" si="66"/>
        <v>0</v>
      </c>
      <c r="AD1370" s="82">
        <f t="shared" si="67"/>
        <v>0</v>
      </c>
      <c r="AE1370" s="218">
        <v>3.3607646209902255E-4</v>
      </c>
      <c r="AF1370">
        <v>38</v>
      </c>
      <c r="AH1370" t="str">
        <f t="shared" si="65"/>
        <v>DalsinghSarai</v>
      </c>
      <c r="AJ1370" s="72">
        <v>0</v>
      </c>
      <c r="AK1370" s="72"/>
      <c r="AL1370" s="72"/>
      <c r="AM1370" s="72"/>
    </row>
    <row r="1371" spans="1:39" x14ac:dyDescent="0.25">
      <c r="A1371" s="37" t="s">
        <v>62</v>
      </c>
      <c r="B1371" s="66" t="s">
        <v>1615</v>
      </c>
      <c r="C1371" s="47">
        <v>1012</v>
      </c>
      <c r="D1371" s="47" t="s">
        <v>314</v>
      </c>
      <c r="E1371" s="41">
        <v>10120008</v>
      </c>
      <c r="F1371" s="46" t="s">
        <v>320</v>
      </c>
      <c r="G1371" s="39" t="s">
        <v>635</v>
      </c>
      <c r="H1371" s="48" t="s">
        <v>99</v>
      </c>
      <c r="I1371" s="52">
        <v>50.09</v>
      </c>
      <c r="J1371" s="49">
        <v>1692.48</v>
      </c>
      <c r="K1371" s="65">
        <v>0</v>
      </c>
      <c r="L1371" s="65">
        <v>0</v>
      </c>
      <c r="M1371" s="65">
        <v>0</v>
      </c>
      <c r="N1371" s="65">
        <v>0</v>
      </c>
      <c r="O1371" s="65">
        <v>0</v>
      </c>
      <c r="P1371" s="65">
        <v>0</v>
      </c>
      <c r="Q1371" s="50">
        <v>1692.48</v>
      </c>
      <c r="R1371" s="65">
        <v>0</v>
      </c>
      <c r="S1371" s="65">
        <v>0</v>
      </c>
      <c r="T1371" s="65">
        <v>0</v>
      </c>
      <c r="U1371" s="65">
        <v>1350</v>
      </c>
      <c r="V1371" s="65">
        <v>0</v>
      </c>
      <c r="W1371" s="65">
        <v>0</v>
      </c>
      <c r="X1371" s="65">
        <v>0</v>
      </c>
      <c r="Y1371" s="65">
        <v>0</v>
      </c>
      <c r="Z1371" s="65">
        <v>342.48</v>
      </c>
      <c r="AA1371" s="51">
        <v>0</v>
      </c>
      <c r="AB1371" s="102">
        <v>0</v>
      </c>
      <c r="AC1371" s="81">
        <f t="shared" si="66"/>
        <v>439.19332273906969</v>
      </c>
      <c r="AD1371" s="82">
        <f t="shared" si="67"/>
        <v>7.1557142857142866</v>
      </c>
      <c r="AE1371" s="218">
        <v>0</v>
      </c>
      <c r="AF1371">
        <v>0</v>
      </c>
      <c r="AH1371" t="str">
        <f t="shared" si="65"/>
        <v>DalsinghSarai</v>
      </c>
      <c r="AJ1371" s="72">
        <v>0</v>
      </c>
      <c r="AK1371" s="72"/>
      <c r="AL1371" s="72"/>
      <c r="AM1371" s="72"/>
    </row>
    <row r="1372" spans="1:39" x14ac:dyDescent="0.25">
      <c r="A1372" s="37" t="s">
        <v>62</v>
      </c>
      <c r="B1372" s="66" t="s">
        <v>1615</v>
      </c>
      <c r="C1372" s="47">
        <v>1012</v>
      </c>
      <c r="D1372" s="47" t="s">
        <v>314</v>
      </c>
      <c r="E1372" s="41">
        <v>10120010</v>
      </c>
      <c r="F1372" s="46" t="s">
        <v>321</v>
      </c>
      <c r="G1372" s="39" t="s">
        <v>635</v>
      </c>
      <c r="H1372" s="48" t="s">
        <v>99</v>
      </c>
      <c r="I1372" s="52">
        <v>1885.6699999999996</v>
      </c>
      <c r="J1372" s="49">
        <v>77875.209999999992</v>
      </c>
      <c r="K1372" s="65">
        <v>0</v>
      </c>
      <c r="L1372" s="65">
        <v>0</v>
      </c>
      <c r="M1372" s="65">
        <v>0</v>
      </c>
      <c r="N1372" s="65">
        <v>0</v>
      </c>
      <c r="O1372" s="65">
        <v>0</v>
      </c>
      <c r="P1372" s="65">
        <v>0</v>
      </c>
      <c r="Q1372" s="50">
        <v>77875.209999999992</v>
      </c>
      <c r="R1372" s="65">
        <v>0</v>
      </c>
      <c r="S1372" s="65">
        <v>0</v>
      </c>
      <c r="T1372" s="65">
        <v>0</v>
      </c>
      <c r="U1372" s="65">
        <v>0</v>
      </c>
      <c r="V1372" s="65">
        <v>0</v>
      </c>
      <c r="W1372" s="65">
        <v>0</v>
      </c>
      <c r="X1372" s="65">
        <v>0</v>
      </c>
      <c r="Y1372" s="65">
        <v>0</v>
      </c>
      <c r="Z1372" s="65">
        <v>77875.209999999992</v>
      </c>
      <c r="AA1372" s="51">
        <v>0</v>
      </c>
      <c r="AB1372" s="102">
        <v>0</v>
      </c>
      <c r="AC1372" s="81">
        <f t="shared" si="66"/>
        <v>0</v>
      </c>
      <c r="AD1372" s="82">
        <f t="shared" si="67"/>
        <v>0</v>
      </c>
      <c r="AE1372" s="218">
        <v>0</v>
      </c>
      <c r="AF1372">
        <v>0</v>
      </c>
      <c r="AH1372" t="str">
        <f t="shared" si="65"/>
        <v>DalsinghSarai</v>
      </c>
      <c r="AJ1372" s="72">
        <v>0</v>
      </c>
      <c r="AK1372" s="72"/>
      <c r="AL1372" s="72"/>
      <c r="AM1372" s="72"/>
    </row>
    <row r="1373" spans="1:39" x14ac:dyDescent="0.25">
      <c r="A1373" s="37" t="s">
        <v>62</v>
      </c>
      <c r="B1373" s="66" t="s">
        <v>1615</v>
      </c>
      <c r="C1373" s="47">
        <v>1012</v>
      </c>
      <c r="D1373" s="47" t="s">
        <v>314</v>
      </c>
      <c r="E1373" s="41">
        <v>10120011</v>
      </c>
      <c r="F1373" s="46" t="s">
        <v>625</v>
      </c>
      <c r="G1373" s="39" t="s">
        <v>635</v>
      </c>
      <c r="H1373" s="48" t="s">
        <v>99</v>
      </c>
      <c r="I1373" s="52">
        <v>361.20000000000005</v>
      </c>
      <c r="J1373" s="49">
        <v>13616.31</v>
      </c>
      <c r="K1373" s="65">
        <v>0</v>
      </c>
      <c r="L1373" s="65">
        <v>0</v>
      </c>
      <c r="M1373" s="65">
        <v>0</v>
      </c>
      <c r="N1373" s="65">
        <v>0</v>
      </c>
      <c r="O1373" s="65">
        <v>0</v>
      </c>
      <c r="P1373" s="65">
        <v>0</v>
      </c>
      <c r="Q1373" s="50">
        <v>13616.31</v>
      </c>
      <c r="R1373" s="65">
        <v>0</v>
      </c>
      <c r="S1373" s="65">
        <v>0</v>
      </c>
      <c r="T1373" s="65">
        <v>0</v>
      </c>
      <c r="U1373" s="65">
        <v>9000</v>
      </c>
      <c r="V1373" s="65">
        <v>0</v>
      </c>
      <c r="W1373" s="65">
        <v>0</v>
      </c>
      <c r="X1373" s="65">
        <v>0</v>
      </c>
      <c r="Y1373" s="65">
        <v>0</v>
      </c>
      <c r="Z1373" s="65">
        <v>4616.3099999999995</v>
      </c>
      <c r="AA1373" s="51">
        <v>0</v>
      </c>
      <c r="AB1373" s="102">
        <v>0</v>
      </c>
      <c r="AC1373" s="81">
        <f t="shared" si="66"/>
        <v>255.43775348837201</v>
      </c>
      <c r="AD1373" s="82">
        <f t="shared" si="67"/>
        <v>51.600000000000009</v>
      </c>
      <c r="AE1373" s="218">
        <v>0</v>
      </c>
      <c r="AF1373">
        <v>0</v>
      </c>
      <c r="AH1373" t="str">
        <f t="shared" si="65"/>
        <v>DalsinghSarai</v>
      </c>
      <c r="AJ1373" s="72">
        <v>0</v>
      </c>
      <c r="AK1373" s="72"/>
      <c r="AL1373" s="72"/>
      <c r="AM1373" s="72"/>
    </row>
    <row r="1374" spans="1:39" x14ac:dyDescent="0.25">
      <c r="A1374" s="37" t="s">
        <v>62</v>
      </c>
      <c r="B1374" s="66" t="s">
        <v>1615</v>
      </c>
      <c r="C1374" s="47">
        <v>1012</v>
      </c>
      <c r="D1374" s="47" t="s">
        <v>314</v>
      </c>
      <c r="E1374" s="41">
        <v>10120012</v>
      </c>
      <c r="F1374" s="46" t="s">
        <v>322</v>
      </c>
      <c r="G1374" s="39" t="s">
        <v>93</v>
      </c>
      <c r="H1374" s="48" t="s">
        <v>94</v>
      </c>
      <c r="I1374" s="52">
        <v>738.63000000000011</v>
      </c>
      <c r="J1374" s="49">
        <v>32089.06</v>
      </c>
      <c r="K1374" s="65">
        <v>732.50000000000023</v>
      </c>
      <c r="L1374" s="65">
        <v>32488.898455288698</v>
      </c>
      <c r="M1374" s="65">
        <v>13.9</v>
      </c>
      <c r="N1374" s="65">
        <v>603.38770271999999</v>
      </c>
      <c r="O1374" s="65">
        <v>746.4000000000002</v>
      </c>
      <c r="P1374" s="65">
        <v>33092.286158008697</v>
      </c>
      <c r="Q1374" s="50">
        <v>32089.06</v>
      </c>
      <c r="R1374" s="65">
        <v>1979</v>
      </c>
      <c r="S1374" s="65">
        <v>603.38770271999999</v>
      </c>
      <c r="T1374" s="65">
        <v>1003.2261580086961</v>
      </c>
      <c r="U1374" s="65">
        <v>0</v>
      </c>
      <c r="V1374" s="65">
        <v>0</v>
      </c>
      <c r="W1374" s="65">
        <v>0</v>
      </c>
      <c r="X1374" s="65">
        <v>29507</v>
      </c>
      <c r="Y1374" s="65">
        <v>0</v>
      </c>
      <c r="Z1374" s="65">
        <v>0</v>
      </c>
      <c r="AA1374" s="51">
        <v>0</v>
      </c>
      <c r="AB1374" s="102">
        <v>0</v>
      </c>
      <c r="AC1374" s="81">
        <f t="shared" si="66"/>
        <v>0</v>
      </c>
      <c r="AD1374" s="82">
        <f t="shared" si="67"/>
        <v>0</v>
      </c>
      <c r="AE1374" s="218">
        <v>-3.1263806356705247E-2</v>
      </c>
      <c r="AF1374">
        <v>19</v>
      </c>
      <c r="AH1374" t="str">
        <f t="shared" si="65"/>
        <v>DalsinghSarai</v>
      </c>
      <c r="AJ1374" s="72">
        <v>0</v>
      </c>
      <c r="AK1374" s="72"/>
      <c r="AL1374" s="72"/>
      <c r="AM1374" s="72"/>
    </row>
    <row r="1375" spans="1:39" x14ac:dyDescent="0.25">
      <c r="A1375" s="37" t="s">
        <v>62</v>
      </c>
      <c r="B1375" s="66" t="s">
        <v>1615</v>
      </c>
      <c r="C1375" s="47">
        <v>1012</v>
      </c>
      <c r="D1375" s="47" t="s">
        <v>314</v>
      </c>
      <c r="E1375" s="41">
        <v>10120013</v>
      </c>
      <c r="F1375" s="46" t="s">
        <v>323</v>
      </c>
      <c r="G1375" s="39" t="s">
        <v>635</v>
      </c>
      <c r="H1375" s="48" t="s">
        <v>99</v>
      </c>
      <c r="I1375" s="52">
        <v>359.56000000000006</v>
      </c>
      <c r="J1375" s="49">
        <v>11550.87</v>
      </c>
      <c r="K1375" s="65">
        <v>0</v>
      </c>
      <c r="L1375" s="65">
        <v>0</v>
      </c>
      <c r="M1375" s="65">
        <v>0</v>
      </c>
      <c r="N1375" s="65">
        <v>0</v>
      </c>
      <c r="O1375" s="65">
        <v>0</v>
      </c>
      <c r="P1375" s="65">
        <v>0</v>
      </c>
      <c r="Q1375" s="50">
        <v>11550.87</v>
      </c>
      <c r="R1375" s="65">
        <v>0</v>
      </c>
      <c r="S1375" s="65">
        <v>0</v>
      </c>
      <c r="T1375" s="65">
        <v>0</v>
      </c>
      <c r="U1375" s="65">
        <v>0</v>
      </c>
      <c r="V1375" s="65">
        <v>0</v>
      </c>
      <c r="W1375" s="65">
        <v>0</v>
      </c>
      <c r="X1375" s="65">
        <v>0</v>
      </c>
      <c r="Y1375" s="65">
        <v>0</v>
      </c>
      <c r="Z1375" s="65">
        <v>11550.87</v>
      </c>
      <c r="AA1375" s="51">
        <v>0</v>
      </c>
      <c r="AB1375" s="102">
        <v>0</v>
      </c>
      <c r="AC1375" s="81">
        <f t="shared" si="66"/>
        <v>218.73279468238954</v>
      </c>
      <c r="AD1375" s="82">
        <f t="shared" si="67"/>
        <v>51.365714285714297</v>
      </c>
      <c r="AE1375" s="218">
        <v>0</v>
      </c>
      <c r="AF1375">
        <v>0</v>
      </c>
      <c r="AH1375" t="str">
        <f t="shared" si="65"/>
        <v>DalsinghSarai</v>
      </c>
      <c r="AJ1375" s="72">
        <v>0</v>
      </c>
      <c r="AK1375" s="72"/>
      <c r="AL1375" s="72"/>
      <c r="AM1375" s="72"/>
    </row>
    <row r="1376" spans="1:39" x14ac:dyDescent="0.25">
      <c r="A1376" s="37" t="s">
        <v>62</v>
      </c>
      <c r="B1376" s="66" t="s">
        <v>1615</v>
      </c>
      <c r="C1376" s="47">
        <v>1012</v>
      </c>
      <c r="D1376" s="47" t="s">
        <v>314</v>
      </c>
      <c r="E1376" s="41">
        <v>10120014</v>
      </c>
      <c r="F1376" s="46" t="s">
        <v>324</v>
      </c>
      <c r="G1376" s="39" t="s">
        <v>93</v>
      </c>
      <c r="H1376" s="48" t="s">
        <v>94</v>
      </c>
      <c r="I1376" s="52">
        <v>903.23</v>
      </c>
      <c r="J1376" s="49">
        <v>36437.640000000007</v>
      </c>
      <c r="K1376" s="65">
        <v>661.10000000000014</v>
      </c>
      <c r="L1376" s="65">
        <v>27651.515201718001</v>
      </c>
      <c r="M1376" s="65">
        <v>419.20000000000005</v>
      </c>
      <c r="N1376" s="65">
        <v>17673.2261250724</v>
      </c>
      <c r="O1376" s="65">
        <v>1080.3000000000002</v>
      </c>
      <c r="P1376" s="65">
        <v>45324.741326790405</v>
      </c>
      <c r="Q1376" s="50">
        <v>36437.640000000007</v>
      </c>
      <c r="R1376" s="65">
        <v>0</v>
      </c>
      <c r="S1376" s="65">
        <v>0</v>
      </c>
      <c r="T1376" s="65">
        <v>8887.1013267903982</v>
      </c>
      <c r="U1376" s="65">
        <v>0</v>
      </c>
      <c r="V1376" s="65">
        <v>0</v>
      </c>
      <c r="W1376" s="65">
        <v>0</v>
      </c>
      <c r="X1376" s="65">
        <v>18765</v>
      </c>
      <c r="Y1376" s="65">
        <v>17673</v>
      </c>
      <c r="Z1376" s="65">
        <v>0</v>
      </c>
      <c r="AA1376" s="51">
        <v>0</v>
      </c>
      <c r="AB1376" s="102">
        <v>0</v>
      </c>
      <c r="AC1376" s="81">
        <f t="shared" si="66"/>
        <v>0</v>
      </c>
      <c r="AD1376" s="82">
        <f t="shared" si="67"/>
        <v>0</v>
      </c>
      <c r="AE1376" s="218">
        <v>-0.24389892777881325</v>
      </c>
      <c r="AF1376">
        <v>13</v>
      </c>
      <c r="AH1376" t="str">
        <f t="shared" si="65"/>
        <v>DalsinghSarai</v>
      </c>
      <c r="AJ1376" s="72">
        <v>0</v>
      </c>
      <c r="AK1376" s="72"/>
      <c r="AL1376" s="72"/>
      <c r="AM1376" s="72"/>
    </row>
    <row r="1377" spans="1:39" x14ac:dyDescent="0.25">
      <c r="A1377" s="37" t="s">
        <v>62</v>
      </c>
      <c r="B1377" s="66" t="s">
        <v>1615</v>
      </c>
      <c r="C1377" s="47">
        <v>1012</v>
      </c>
      <c r="D1377" s="47" t="s">
        <v>314</v>
      </c>
      <c r="E1377" s="41">
        <v>10120015</v>
      </c>
      <c r="F1377" s="46" t="s">
        <v>325</v>
      </c>
      <c r="G1377" s="39" t="s">
        <v>93</v>
      </c>
      <c r="H1377" s="48" t="s">
        <v>94</v>
      </c>
      <c r="I1377" s="52">
        <v>1357.04</v>
      </c>
      <c r="J1377" s="49">
        <v>51376.81</v>
      </c>
      <c r="K1377" s="65">
        <v>1444.6999999999998</v>
      </c>
      <c r="L1377" s="65">
        <v>53332.268354422558</v>
      </c>
      <c r="M1377" s="65">
        <v>172.26999999999998</v>
      </c>
      <c r="N1377" s="65">
        <v>6380.2698538796812</v>
      </c>
      <c r="O1377" s="65">
        <v>1616.9699999999998</v>
      </c>
      <c r="P1377" s="65">
        <v>59712.538208302241</v>
      </c>
      <c r="Q1377" s="50">
        <v>51376.81</v>
      </c>
      <c r="R1377" s="65">
        <v>0</v>
      </c>
      <c r="S1377" s="65">
        <v>0</v>
      </c>
      <c r="T1377" s="65">
        <v>8335.7282083022437</v>
      </c>
      <c r="U1377" s="65">
        <v>0</v>
      </c>
      <c r="V1377" s="65">
        <v>0</v>
      </c>
      <c r="W1377" s="65">
        <v>0</v>
      </c>
      <c r="X1377" s="65">
        <v>44998</v>
      </c>
      <c r="Y1377" s="65">
        <v>6379</v>
      </c>
      <c r="Z1377" s="65">
        <v>0</v>
      </c>
      <c r="AA1377" s="51">
        <v>0</v>
      </c>
      <c r="AB1377" s="102">
        <v>0</v>
      </c>
      <c r="AC1377" s="81">
        <f t="shared" si="66"/>
        <v>0</v>
      </c>
      <c r="AD1377" s="82">
        <f t="shared" si="67"/>
        <v>0</v>
      </c>
      <c r="AE1377" s="218">
        <v>-0.16224690104936923</v>
      </c>
      <c r="AF1377">
        <v>17</v>
      </c>
      <c r="AH1377" t="str">
        <f t="shared" si="65"/>
        <v>DalsinghSarai</v>
      </c>
      <c r="AJ1377" s="72">
        <v>0</v>
      </c>
      <c r="AK1377" s="72"/>
      <c r="AL1377" s="72"/>
      <c r="AM1377" s="72"/>
    </row>
    <row r="1378" spans="1:39" x14ac:dyDescent="0.25">
      <c r="A1378" s="37" t="s">
        <v>62</v>
      </c>
      <c r="B1378" s="66" t="s">
        <v>1615</v>
      </c>
      <c r="C1378" s="47">
        <v>1012</v>
      </c>
      <c r="D1378" s="47" t="s">
        <v>314</v>
      </c>
      <c r="E1378" s="41">
        <v>10120016</v>
      </c>
      <c r="F1378" s="46" t="s">
        <v>326</v>
      </c>
      <c r="G1378" s="39" t="s">
        <v>93</v>
      </c>
      <c r="H1378" s="48" t="s">
        <v>94</v>
      </c>
      <c r="I1378" s="52">
        <v>270.91000000000003</v>
      </c>
      <c r="J1378" s="49">
        <v>9946.5899999999983</v>
      </c>
      <c r="K1378" s="65">
        <v>279.11</v>
      </c>
      <c r="L1378" s="65">
        <v>10042.829576643602</v>
      </c>
      <c r="M1378" s="65">
        <v>5.66</v>
      </c>
      <c r="N1378" s="65">
        <v>189.75160203120001</v>
      </c>
      <c r="O1378" s="65">
        <v>284.77000000000004</v>
      </c>
      <c r="P1378" s="65">
        <v>10232.581178674802</v>
      </c>
      <c r="Q1378" s="50">
        <v>9946.5899999999983</v>
      </c>
      <c r="R1378" s="65">
        <v>0</v>
      </c>
      <c r="S1378" s="65">
        <v>189.75160203120001</v>
      </c>
      <c r="T1378" s="65">
        <v>285.99117867480345</v>
      </c>
      <c r="U1378" s="65">
        <v>0</v>
      </c>
      <c r="V1378" s="65">
        <v>0</v>
      </c>
      <c r="W1378" s="65">
        <v>0</v>
      </c>
      <c r="X1378" s="65">
        <v>9757</v>
      </c>
      <c r="Y1378" s="65">
        <v>0</v>
      </c>
      <c r="Z1378" s="65">
        <v>0</v>
      </c>
      <c r="AA1378" s="51">
        <v>0</v>
      </c>
      <c r="AB1378" s="102">
        <v>0</v>
      </c>
      <c r="AC1378" s="81">
        <f t="shared" si="66"/>
        <v>315.08488450777003</v>
      </c>
      <c r="AD1378" s="82">
        <f t="shared" si="67"/>
        <v>38.701428571428572</v>
      </c>
      <c r="AE1378" s="218">
        <v>-2.8752685963209852E-2</v>
      </c>
      <c r="AF1378">
        <v>5</v>
      </c>
      <c r="AH1378" t="str">
        <f t="shared" si="65"/>
        <v>DalsinghSarai</v>
      </c>
      <c r="AJ1378" s="72">
        <v>0</v>
      </c>
      <c r="AK1378" s="72"/>
      <c r="AL1378" s="72"/>
      <c r="AM1378" s="72"/>
    </row>
    <row r="1379" spans="1:39" x14ac:dyDescent="0.25">
      <c r="A1379" s="37" t="s">
        <v>62</v>
      </c>
      <c r="B1379" s="66" t="s">
        <v>1615</v>
      </c>
      <c r="C1379" s="47">
        <v>1012</v>
      </c>
      <c r="D1379" s="47" t="s">
        <v>314</v>
      </c>
      <c r="E1379" s="41">
        <v>10120017</v>
      </c>
      <c r="F1379" s="46" t="s">
        <v>327</v>
      </c>
      <c r="G1379" s="39" t="s">
        <v>93</v>
      </c>
      <c r="H1379" s="48" t="s">
        <v>94</v>
      </c>
      <c r="I1379" s="52">
        <v>417.56000000000006</v>
      </c>
      <c r="J1379" s="49">
        <v>15794.810000000001</v>
      </c>
      <c r="K1379" s="65">
        <v>417.55999999999995</v>
      </c>
      <c r="L1379" s="65">
        <v>15794.414436704403</v>
      </c>
      <c r="M1379" s="65">
        <v>0</v>
      </c>
      <c r="N1379" s="65">
        <v>0</v>
      </c>
      <c r="O1379" s="65">
        <v>417.55999999999995</v>
      </c>
      <c r="P1379" s="65">
        <v>15794.414436704403</v>
      </c>
      <c r="Q1379" s="50">
        <v>15794.414436704403</v>
      </c>
      <c r="R1379" s="65">
        <v>0</v>
      </c>
      <c r="S1379" s="65">
        <v>0</v>
      </c>
      <c r="T1379" s="65">
        <v>0</v>
      </c>
      <c r="U1379" s="65">
        <v>0</v>
      </c>
      <c r="V1379" s="65">
        <v>0</v>
      </c>
      <c r="W1379" s="65">
        <v>0</v>
      </c>
      <c r="X1379" s="65">
        <v>15794</v>
      </c>
      <c r="Y1379" s="65">
        <v>0</v>
      </c>
      <c r="Z1379" s="65">
        <v>0</v>
      </c>
      <c r="AA1379" s="51">
        <v>1</v>
      </c>
      <c r="AB1379" s="102" t="s">
        <v>66</v>
      </c>
      <c r="AC1379" s="81">
        <f t="shared" si="66"/>
        <v>213.67401745377904</v>
      </c>
      <c r="AD1379" s="82">
        <f t="shared" si="67"/>
        <v>59.651428571428582</v>
      </c>
      <c r="AE1379" s="218">
        <v>2.504387805858692E-5</v>
      </c>
      <c r="AF1379">
        <v>1</v>
      </c>
      <c r="AH1379" t="str">
        <f t="shared" si="65"/>
        <v>DalsinghSarai</v>
      </c>
      <c r="AJ1379" s="72">
        <v>0</v>
      </c>
      <c r="AK1379" s="72"/>
      <c r="AL1379" s="72"/>
      <c r="AM1379" s="72"/>
    </row>
    <row r="1380" spans="1:39" x14ac:dyDescent="0.25">
      <c r="A1380" s="37" t="s">
        <v>62</v>
      </c>
      <c r="B1380" s="66" t="s">
        <v>1615</v>
      </c>
      <c r="C1380" s="47">
        <v>1012</v>
      </c>
      <c r="D1380" s="47" t="s">
        <v>314</v>
      </c>
      <c r="E1380" s="41">
        <v>10120018</v>
      </c>
      <c r="F1380" s="46" t="s">
        <v>328</v>
      </c>
      <c r="G1380" s="39" t="s">
        <v>93</v>
      </c>
      <c r="H1380" s="48" t="s">
        <v>94</v>
      </c>
      <c r="I1380" s="52">
        <v>205.63999999999996</v>
      </c>
      <c r="J1380" s="49">
        <v>7580.64</v>
      </c>
      <c r="K1380" s="65">
        <v>245</v>
      </c>
      <c r="L1380" s="65">
        <v>10155.034889999999</v>
      </c>
      <c r="M1380" s="65">
        <v>0</v>
      </c>
      <c r="N1380" s="65">
        <v>0</v>
      </c>
      <c r="O1380" s="65">
        <v>245</v>
      </c>
      <c r="P1380" s="65">
        <v>10155.034889999999</v>
      </c>
      <c r="Q1380" s="50">
        <v>7580.64</v>
      </c>
      <c r="R1380" s="65">
        <v>0</v>
      </c>
      <c r="S1380" s="65">
        <v>0</v>
      </c>
      <c r="T1380" s="65">
        <v>2574.3948899999987</v>
      </c>
      <c r="U1380" s="65">
        <v>0</v>
      </c>
      <c r="V1380" s="65">
        <v>316.83524322580627</v>
      </c>
      <c r="W1380" s="65">
        <v>0</v>
      </c>
      <c r="X1380" s="65">
        <v>7264</v>
      </c>
      <c r="Y1380" s="65">
        <v>0</v>
      </c>
      <c r="Z1380" s="65">
        <v>0</v>
      </c>
      <c r="AA1380" s="51">
        <v>0</v>
      </c>
      <c r="AB1380" s="102">
        <v>0</v>
      </c>
      <c r="AC1380" s="81">
        <f t="shared" si="66"/>
        <v>364.47823287298212</v>
      </c>
      <c r="AD1380" s="82">
        <f t="shared" si="67"/>
        <v>29.37714285714285</v>
      </c>
      <c r="AE1380" s="218">
        <v>-0.33960125926043166</v>
      </c>
      <c r="AF1380">
        <v>2</v>
      </c>
      <c r="AH1380" t="str">
        <f t="shared" si="65"/>
        <v>DalsinghSarai</v>
      </c>
      <c r="AJ1380" s="72">
        <v>0</v>
      </c>
      <c r="AK1380" s="72"/>
      <c r="AL1380" s="72"/>
      <c r="AM1380" s="72"/>
    </row>
    <row r="1381" spans="1:39" x14ac:dyDescent="0.25">
      <c r="A1381" s="37" t="s">
        <v>62</v>
      </c>
      <c r="B1381" s="66" t="s">
        <v>1615</v>
      </c>
      <c r="C1381" s="47">
        <v>1012</v>
      </c>
      <c r="D1381" s="47" t="s">
        <v>314</v>
      </c>
      <c r="E1381" s="41">
        <v>10120019</v>
      </c>
      <c r="F1381" s="46" t="s">
        <v>329</v>
      </c>
      <c r="G1381" s="39" t="s">
        <v>93</v>
      </c>
      <c r="H1381" s="48" t="s">
        <v>94</v>
      </c>
      <c r="I1381" s="52">
        <v>250.58</v>
      </c>
      <c r="J1381" s="49">
        <v>9605.27</v>
      </c>
      <c r="K1381" s="65">
        <v>143.16</v>
      </c>
      <c r="L1381" s="65">
        <v>5249.881138392001</v>
      </c>
      <c r="M1381" s="65">
        <v>115.70000000000002</v>
      </c>
      <c r="N1381" s="65">
        <v>4242.202926588001</v>
      </c>
      <c r="O1381" s="65">
        <v>258.86</v>
      </c>
      <c r="P1381" s="65">
        <v>9492.0840649800011</v>
      </c>
      <c r="Q1381" s="50">
        <v>9492.0840649800011</v>
      </c>
      <c r="R1381" s="65">
        <v>0</v>
      </c>
      <c r="S1381" s="65">
        <v>224.13860251200003</v>
      </c>
      <c r="T1381" s="65">
        <v>0</v>
      </c>
      <c r="U1381" s="65">
        <v>0</v>
      </c>
      <c r="V1381" s="65">
        <v>0</v>
      </c>
      <c r="W1381" s="65">
        <v>0</v>
      </c>
      <c r="X1381" s="65">
        <v>5250</v>
      </c>
      <c r="Y1381" s="65">
        <v>4018</v>
      </c>
      <c r="Z1381" s="65">
        <v>0</v>
      </c>
      <c r="AA1381" s="51">
        <v>113</v>
      </c>
      <c r="AB1381" s="102">
        <v>0</v>
      </c>
      <c r="AC1381" s="81">
        <f t="shared" si="66"/>
        <v>344.54469178705398</v>
      </c>
      <c r="AD1381" s="82">
        <f t="shared" si="67"/>
        <v>35.797142857142859</v>
      </c>
      <c r="AE1381" s="218">
        <v>1.1783732786272464E-2</v>
      </c>
      <c r="AF1381">
        <v>6</v>
      </c>
      <c r="AH1381" t="str">
        <f t="shared" ref="AH1381:AH1444" si="68">TEXT(D1381,"0000")</f>
        <v>DalsinghSarai</v>
      </c>
      <c r="AJ1381" s="72">
        <v>0</v>
      </c>
      <c r="AK1381" s="72"/>
      <c r="AL1381" s="72"/>
      <c r="AM1381" s="72"/>
    </row>
    <row r="1382" spans="1:39" x14ac:dyDescent="0.25">
      <c r="A1382" s="37" t="s">
        <v>62</v>
      </c>
      <c r="B1382" s="66" t="s">
        <v>1615</v>
      </c>
      <c r="C1382" s="47">
        <v>1012</v>
      </c>
      <c r="D1382" s="47" t="s">
        <v>314</v>
      </c>
      <c r="E1382" s="41">
        <v>10120022</v>
      </c>
      <c r="F1382" s="46" t="s">
        <v>330</v>
      </c>
      <c r="G1382" s="39" t="s">
        <v>635</v>
      </c>
      <c r="H1382" s="48" t="s">
        <v>99</v>
      </c>
      <c r="I1382" s="52">
        <v>209.84999999999997</v>
      </c>
      <c r="J1382" s="49">
        <v>9478.89</v>
      </c>
      <c r="K1382" s="65">
        <v>0</v>
      </c>
      <c r="L1382" s="65">
        <v>0</v>
      </c>
      <c r="M1382" s="65">
        <v>0</v>
      </c>
      <c r="N1382" s="65">
        <v>0</v>
      </c>
      <c r="O1382" s="65">
        <v>0</v>
      </c>
      <c r="P1382" s="65">
        <v>0</v>
      </c>
      <c r="Q1382" s="50">
        <v>9478.89</v>
      </c>
      <c r="R1382" s="65">
        <v>0</v>
      </c>
      <c r="S1382" s="65">
        <v>0</v>
      </c>
      <c r="T1382" s="65">
        <v>0</v>
      </c>
      <c r="U1382" s="65">
        <v>6750</v>
      </c>
      <c r="V1382" s="65">
        <v>0</v>
      </c>
      <c r="W1382" s="65">
        <v>0</v>
      </c>
      <c r="X1382" s="65">
        <v>0</v>
      </c>
      <c r="Y1382" s="65">
        <v>0</v>
      </c>
      <c r="Z1382" s="65">
        <v>2728.8899999999994</v>
      </c>
      <c r="AA1382" s="51">
        <v>0</v>
      </c>
      <c r="AB1382" s="102">
        <v>0</v>
      </c>
      <c r="AC1382" s="81">
        <f t="shared" si="66"/>
        <v>442.79989835596865</v>
      </c>
      <c r="AD1382" s="82">
        <f t="shared" si="67"/>
        <v>29.978571428571424</v>
      </c>
      <c r="AE1382" s="218">
        <v>0</v>
      </c>
      <c r="AF1382">
        <v>0</v>
      </c>
      <c r="AH1382" t="str">
        <f t="shared" si="68"/>
        <v>DalsinghSarai</v>
      </c>
      <c r="AJ1382" s="72">
        <v>0</v>
      </c>
      <c r="AK1382" s="72"/>
      <c r="AL1382" s="72"/>
      <c r="AM1382" s="72"/>
    </row>
    <row r="1383" spans="1:39" x14ac:dyDescent="0.25">
      <c r="A1383" s="37" t="s">
        <v>62</v>
      </c>
      <c r="B1383" s="66" t="s">
        <v>1615</v>
      </c>
      <c r="C1383" s="47">
        <v>1012</v>
      </c>
      <c r="D1383" s="47" t="s">
        <v>314</v>
      </c>
      <c r="E1383" s="41">
        <v>10120023</v>
      </c>
      <c r="F1383" s="46" t="s">
        <v>331</v>
      </c>
      <c r="G1383" s="39" t="s">
        <v>635</v>
      </c>
      <c r="H1383" s="48" t="s">
        <v>99</v>
      </c>
      <c r="I1383" s="52">
        <v>283.81999999999994</v>
      </c>
      <c r="J1383" s="49">
        <v>10030.119999999999</v>
      </c>
      <c r="K1383" s="65">
        <v>0</v>
      </c>
      <c r="L1383" s="65">
        <v>0</v>
      </c>
      <c r="M1383" s="65">
        <v>0</v>
      </c>
      <c r="N1383" s="65">
        <v>0</v>
      </c>
      <c r="O1383" s="65">
        <v>0</v>
      </c>
      <c r="P1383" s="65">
        <v>0</v>
      </c>
      <c r="Q1383" s="50">
        <v>10030.119999999999</v>
      </c>
      <c r="R1383" s="65">
        <v>0</v>
      </c>
      <c r="S1383" s="65">
        <v>0</v>
      </c>
      <c r="T1383" s="65">
        <v>0</v>
      </c>
      <c r="U1383" s="65">
        <v>0</v>
      </c>
      <c r="V1383" s="65">
        <v>0</v>
      </c>
      <c r="W1383" s="65">
        <v>0</v>
      </c>
      <c r="X1383" s="65">
        <v>0</v>
      </c>
      <c r="Y1383" s="65">
        <v>0</v>
      </c>
      <c r="Z1383" s="65">
        <v>10030.119999999999</v>
      </c>
      <c r="AA1383" s="51">
        <v>0</v>
      </c>
      <c r="AB1383" s="102">
        <v>0</v>
      </c>
      <c r="AC1383" s="81">
        <f t="shared" si="66"/>
        <v>294.1537130293849</v>
      </c>
      <c r="AD1383" s="82">
        <f t="shared" si="67"/>
        <v>40.545714285714276</v>
      </c>
      <c r="AE1383" s="218">
        <v>0</v>
      </c>
      <c r="AF1383">
        <v>0</v>
      </c>
      <c r="AH1383" t="str">
        <f t="shared" si="68"/>
        <v>DalsinghSarai</v>
      </c>
      <c r="AJ1383" s="72">
        <v>0</v>
      </c>
      <c r="AK1383" s="72"/>
      <c r="AL1383" s="72"/>
      <c r="AM1383" s="72"/>
    </row>
    <row r="1384" spans="1:39" x14ac:dyDescent="0.25">
      <c r="A1384" s="37" t="s">
        <v>62</v>
      </c>
      <c r="B1384" s="66" t="s">
        <v>1615</v>
      </c>
      <c r="C1384" s="47">
        <v>1012</v>
      </c>
      <c r="D1384" s="47" t="s">
        <v>314</v>
      </c>
      <c r="E1384" s="41">
        <v>10120024</v>
      </c>
      <c r="F1384" s="46" t="s">
        <v>332</v>
      </c>
      <c r="G1384" s="39" t="s">
        <v>635</v>
      </c>
      <c r="H1384" s="48" t="s">
        <v>99</v>
      </c>
      <c r="I1384" s="52">
        <v>235.27000000000004</v>
      </c>
      <c r="J1384" s="49">
        <v>8178.1399999999994</v>
      </c>
      <c r="K1384" s="65">
        <v>0</v>
      </c>
      <c r="L1384" s="65">
        <v>0</v>
      </c>
      <c r="M1384" s="65">
        <v>0</v>
      </c>
      <c r="N1384" s="65">
        <v>0</v>
      </c>
      <c r="O1384" s="65">
        <v>0</v>
      </c>
      <c r="P1384" s="65">
        <v>0</v>
      </c>
      <c r="Q1384" s="50">
        <v>8178.1399999999994</v>
      </c>
      <c r="R1384" s="65">
        <v>0</v>
      </c>
      <c r="S1384" s="65">
        <v>0</v>
      </c>
      <c r="T1384" s="65">
        <v>0</v>
      </c>
      <c r="U1384" s="65">
        <v>0</v>
      </c>
      <c r="V1384" s="65">
        <v>0</v>
      </c>
      <c r="W1384" s="65">
        <v>0</v>
      </c>
      <c r="X1384" s="65">
        <v>0</v>
      </c>
      <c r="Y1384" s="65">
        <v>0</v>
      </c>
      <c r="Z1384" s="65">
        <v>8178.1399999999994</v>
      </c>
      <c r="AA1384" s="51">
        <v>0</v>
      </c>
      <c r="AB1384" s="102">
        <v>0</v>
      </c>
      <c r="AC1384" s="81">
        <f t="shared" si="66"/>
        <v>323.08641154418314</v>
      </c>
      <c r="AD1384" s="82">
        <f t="shared" si="67"/>
        <v>33.610000000000007</v>
      </c>
      <c r="AE1384" s="218">
        <v>0</v>
      </c>
      <c r="AF1384">
        <v>0</v>
      </c>
      <c r="AH1384" t="str">
        <f t="shared" si="68"/>
        <v>DalsinghSarai</v>
      </c>
      <c r="AJ1384" s="72">
        <v>0</v>
      </c>
      <c r="AK1384" s="72"/>
      <c r="AL1384" s="72"/>
      <c r="AM1384" s="72"/>
    </row>
    <row r="1385" spans="1:39" x14ac:dyDescent="0.25">
      <c r="A1385" s="37" t="s">
        <v>62</v>
      </c>
      <c r="B1385" s="66" t="s">
        <v>1615</v>
      </c>
      <c r="C1385" s="47">
        <v>1012</v>
      </c>
      <c r="D1385" s="47" t="s">
        <v>314</v>
      </c>
      <c r="E1385" s="41">
        <v>10120025</v>
      </c>
      <c r="F1385" s="46" t="s">
        <v>333</v>
      </c>
      <c r="G1385" s="39" t="s">
        <v>93</v>
      </c>
      <c r="H1385" s="48" t="s">
        <v>94</v>
      </c>
      <c r="I1385" s="52">
        <v>2773.03</v>
      </c>
      <c r="J1385" s="49">
        <v>109454.78</v>
      </c>
      <c r="K1385" s="65">
        <v>1874.15</v>
      </c>
      <c r="L1385" s="65">
        <v>83190.450335214729</v>
      </c>
      <c r="M1385" s="65">
        <v>963.14999999999986</v>
      </c>
      <c r="N1385" s="65">
        <v>38748.64598586801</v>
      </c>
      <c r="O1385" s="65">
        <v>2837.3</v>
      </c>
      <c r="P1385" s="65">
        <v>121939.09632108273</v>
      </c>
      <c r="Q1385" s="50">
        <v>109454.78</v>
      </c>
      <c r="R1385" s="65">
        <v>0</v>
      </c>
      <c r="S1385" s="65">
        <v>653.59624453200013</v>
      </c>
      <c r="T1385" s="65">
        <v>12484.316321082733</v>
      </c>
      <c r="U1385" s="65">
        <v>1739</v>
      </c>
      <c r="V1385" s="65">
        <v>0</v>
      </c>
      <c r="W1385" s="65">
        <v>0</v>
      </c>
      <c r="X1385" s="65">
        <v>70706</v>
      </c>
      <c r="Y1385" s="65">
        <v>36356</v>
      </c>
      <c r="Z1385" s="65">
        <v>0</v>
      </c>
      <c r="AA1385" s="51">
        <v>0</v>
      </c>
      <c r="AB1385" s="102" t="s">
        <v>66</v>
      </c>
      <c r="AC1385" s="81">
        <f t="shared" si="66"/>
        <v>0</v>
      </c>
      <c r="AD1385" s="82">
        <f t="shared" si="67"/>
        <v>0</v>
      </c>
      <c r="AE1385" s="218">
        <v>-0.1140591239695766</v>
      </c>
      <c r="AF1385">
        <v>27</v>
      </c>
      <c r="AH1385" t="str">
        <f t="shared" si="68"/>
        <v>DalsinghSarai</v>
      </c>
      <c r="AJ1385" s="72">
        <v>0</v>
      </c>
      <c r="AK1385" s="72"/>
      <c r="AL1385" s="72"/>
      <c r="AM1385" s="72"/>
    </row>
    <row r="1386" spans="1:39" x14ac:dyDescent="0.25">
      <c r="A1386" s="37" t="s">
        <v>62</v>
      </c>
      <c r="B1386" s="66" t="s">
        <v>1615</v>
      </c>
      <c r="C1386" s="47">
        <v>1012</v>
      </c>
      <c r="D1386" s="47" t="s">
        <v>314</v>
      </c>
      <c r="E1386" s="41">
        <v>10120026</v>
      </c>
      <c r="F1386" s="46" t="s">
        <v>659</v>
      </c>
      <c r="G1386" s="39" t="s">
        <v>635</v>
      </c>
      <c r="H1386" s="48" t="s">
        <v>99</v>
      </c>
      <c r="I1386" s="52">
        <v>46.18</v>
      </c>
      <c r="J1386" s="49">
        <v>1434.01</v>
      </c>
      <c r="K1386" s="65">
        <v>0</v>
      </c>
      <c r="L1386" s="65">
        <v>0</v>
      </c>
      <c r="M1386" s="65">
        <v>0</v>
      </c>
      <c r="N1386" s="65">
        <v>0</v>
      </c>
      <c r="O1386" s="65">
        <v>0</v>
      </c>
      <c r="P1386" s="65">
        <v>0</v>
      </c>
      <c r="Q1386" s="50">
        <v>1434.01</v>
      </c>
      <c r="R1386" s="65">
        <v>0</v>
      </c>
      <c r="S1386" s="65">
        <v>0</v>
      </c>
      <c r="T1386" s="65">
        <v>0</v>
      </c>
      <c r="U1386" s="65">
        <v>0</v>
      </c>
      <c r="V1386" s="65">
        <v>0</v>
      </c>
      <c r="W1386" s="65">
        <v>0</v>
      </c>
      <c r="X1386" s="65">
        <v>0</v>
      </c>
      <c r="Y1386" s="65">
        <v>0</v>
      </c>
      <c r="Z1386" s="65">
        <v>1434.01</v>
      </c>
      <c r="AA1386" s="51">
        <v>0</v>
      </c>
      <c r="AB1386" s="102">
        <v>0</v>
      </c>
      <c r="AC1386" s="81">
        <f t="shared" si="66"/>
        <v>406.05648254655694</v>
      </c>
      <c r="AD1386" s="82">
        <f t="shared" si="67"/>
        <v>6.597142857142857</v>
      </c>
      <c r="AE1386" s="218">
        <v>0</v>
      </c>
      <c r="AF1386">
        <v>0</v>
      </c>
      <c r="AH1386" t="str">
        <f t="shared" si="68"/>
        <v>DalsinghSarai</v>
      </c>
      <c r="AJ1386" s="72">
        <v>0</v>
      </c>
      <c r="AK1386" s="72"/>
      <c r="AL1386" s="72"/>
      <c r="AM1386" s="72"/>
    </row>
    <row r="1387" spans="1:39" x14ac:dyDescent="0.25">
      <c r="A1387" s="37" t="s">
        <v>62</v>
      </c>
      <c r="B1387" s="66" t="s">
        <v>1615</v>
      </c>
      <c r="C1387" s="47">
        <v>1012</v>
      </c>
      <c r="D1387" s="47" t="s">
        <v>314</v>
      </c>
      <c r="E1387" s="41">
        <v>10120029</v>
      </c>
      <c r="F1387" s="46" t="s">
        <v>334</v>
      </c>
      <c r="G1387" s="39" t="s">
        <v>93</v>
      </c>
      <c r="H1387" s="48" t="s">
        <v>94</v>
      </c>
      <c r="I1387" s="52">
        <v>880.4799999999999</v>
      </c>
      <c r="J1387" s="49">
        <v>33644.319999999992</v>
      </c>
      <c r="K1387" s="65">
        <v>609.44000000000005</v>
      </c>
      <c r="L1387" s="65">
        <v>23105.816495078307</v>
      </c>
      <c r="M1387" s="65">
        <v>324.85000000000008</v>
      </c>
      <c r="N1387" s="65">
        <v>11672.180699328601</v>
      </c>
      <c r="O1387" s="65">
        <v>934.29000000000019</v>
      </c>
      <c r="P1387" s="65">
        <v>34777.997194406911</v>
      </c>
      <c r="Q1387" s="50">
        <v>33644.319999999992</v>
      </c>
      <c r="R1387" s="65">
        <v>0</v>
      </c>
      <c r="S1387" s="65">
        <v>354.73750376460004</v>
      </c>
      <c r="T1387" s="65">
        <v>1133.6771944069187</v>
      </c>
      <c r="U1387" s="65">
        <v>0</v>
      </c>
      <c r="V1387" s="65">
        <v>0</v>
      </c>
      <c r="W1387" s="65">
        <v>0</v>
      </c>
      <c r="X1387" s="65">
        <v>21972</v>
      </c>
      <c r="Y1387" s="65">
        <v>11318</v>
      </c>
      <c r="Z1387" s="65">
        <v>0</v>
      </c>
      <c r="AA1387" s="51">
        <v>0</v>
      </c>
      <c r="AB1387" s="102">
        <v>0</v>
      </c>
      <c r="AC1387" s="81">
        <f t="shared" si="66"/>
        <v>0</v>
      </c>
      <c r="AD1387" s="82">
        <f t="shared" si="67"/>
        <v>0</v>
      </c>
      <c r="AE1387" s="218">
        <v>-3.3695946133163603E-2</v>
      </c>
      <c r="AF1387">
        <v>18</v>
      </c>
      <c r="AH1387" t="str">
        <f t="shared" si="68"/>
        <v>DalsinghSarai</v>
      </c>
      <c r="AJ1387" s="72">
        <v>0</v>
      </c>
      <c r="AK1387" s="72"/>
      <c r="AL1387" s="72"/>
      <c r="AM1387" s="72"/>
    </row>
    <row r="1388" spans="1:39" x14ac:dyDescent="0.25">
      <c r="A1388" s="37" t="s">
        <v>62</v>
      </c>
      <c r="B1388" s="66" t="s">
        <v>1615</v>
      </c>
      <c r="C1388" s="47">
        <v>1012</v>
      </c>
      <c r="D1388" s="47" t="s">
        <v>314</v>
      </c>
      <c r="E1388" s="41">
        <v>10120031</v>
      </c>
      <c r="F1388" s="46" t="s">
        <v>336</v>
      </c>
      <c r="G1388" s="39" t="s">
        <v>93</v>
      </c>
      <c r="H1388" s="48" t="s">
        <v>94</v>
      </c>
      <c r="I1388" s="52">
        <v>421.59</v>
      </c>
      <c r="J1388" s="49">
        <v>15861.080000000002</v>
      </c>
      <c r="K1388" s="65">
        <v>406.5</v>
      </c>
      <c r="L1388" s="65">
        <v>15516.747529668002</v>
      </c>
      <c r="M1388" s="65">
        <v>23.299999999999997</v>
      </c>
      <c r="N1388" s="65">
        <v>887.71155065999983</v>
      </c>
      <c r="O1388" s="65">
        <v>429.8</v>
      </c>
      <c r="P1388" s="65">
        <v>16404.459080328001</v>
      </c>
      <c r="Q1388" s="50">
        <v>15861.080000000002</v>
      </c>
      <c r="R1388" s="65">
        <v>0</v>
      </c>
      <c r="S1388" s="65">
        <v>18.005327999999999</v>
      </c>
      <c r="T1388" s="65">
        <v>543.37908032799896</v>
      </c>
      <c r="U1388" s="65">
        <v>0</v>
      </c>
      <c r="V1388" s="65">
        <v>0</v>
      </c>
      <c r="W1388" s="65">
        <v>0</v>
      </c>
      <c r="X1388" s="65">
        <v>14973</v>
      </c>
      <c r="Y1388" s="65">
        <v>870</v>
      </c>
      <c r="Z1388" s="65">
        <v>0</v>
      </c>
      <c r="AA1388" s="51">
        <v>0</v>
      </c>
      <c r="AB1388" s="102">
        <v>0</v>
      </c>
      <c r="AC1388" s="81">
        <f t="shared" si="66"/>
        <v>209.48709802414672</v>
      </c>
      <c r="AD1388" s="82">
        <f t="shared" si="67"/>
        <v>60.227142857142852</v>
      </c>
      <c r="AE1388" s="218">
        <v>-3.4258643189997079E-2</v>
      </c>
      <c r="AF1388">
        <v>6</v>
      </c>
      <c r="AH1388" t="str">
        <f t="shared" si="68"/>
        <v>DalsinghSarai</v>
      </c>
      <c r="AJ1388" s="72">
        <v>0</v>
      </c>
      <c r="AK1388" s="72"/>
      <c r="AL1388" s="72"/>
      <c r="AM1388" s="72"/>
    </row>
    <row r="1389" spans="1:39" x14ac:dyDescent="0.25">
      <c r="A1389" s="37" t="s">
        <v>62</v>
      </c>
      <c r="B1389" s="66" t="s">
        <v>1615</v>
      </c>
      <c r="C1389" s="47">
        <v>1012</v>
      </c>
      <c r="D1389" s="47" t="s">
        <v>314</v>
      </c>
      <c r="E1389" s="41">
        <v>10120034</v>
      </c>
      <c r="F1389" s="46" t="s">
        <v>337</v>
      </c>
      <c r="G1389" s="39" t="s">
        <v>93</v>
      </c>
      <c r="H1389" s="48" t="s">
        <v>94</v>
      </c>
      <c r="I1389" s="52">
        <v>111.88</v>
      </c>
      <c r="J1389" s="49">
        <v>4369.7</v>
      </c>
      <c r="K1389" s="65">
        <v>111.87</v>
      </c>
      <c r="L1389" s="65">
        <v>4369.3102427040003</v>
      </c>
      <c r="M1389" s="65">
        <v>0</v>
      </c>
      <c r="N1389" s="65">
        <v>0</v>
      </c>
      <c r="O1389" s="65">
        <v>111.87</v>
      </c>
      <c r="P1389" s="65">
        <v>4369.3102427040003</v>
      </c>
      <c r="Q1389" s="50">
        <v>4369.3102427040003</v>
      </c>
      <c r="R1389" s="65">
        <v>0</v>
      </c>
      <c r="S1389" s="65">
        <v>0</v>
      </c>
      <c r="T1389" s="65">
        <v>0</v>
      </c>
      <c r="U1389" s="65">
        <v>2700</v>
      </c>
      <c r="V1389" s="65">
        <v>0</v>
      </c>
      <c r="W1389" s="65">
        <v>0</v>
      </c>
      <c r="X1389" s="65">
        <v>1669</v>
      </c>
      <c r="Y1389" s="65">
        <v>0</v>
      </c>
      <c r="Z1389" s="65">
        <v>0</v>
      </c>
      <c r="AA1389" s="51">
        <v>1</v>
      </c>
      <c r="AB1389" s="102">
        <v>0</v>
      </c>
      <c r="AC1389" s="81">
        <f t="shared" si="66"/>
        <v>459.40435538076514</v>
      </c>
      <c r="AD1389" s="82">
        <f t="shared" si="67"/>
        <v>15.982857142857142</v>
      </c>
      <c r="AE1389" s="218">
        <v>8.9195435842166722E-5</v>
      </c>
      <c r="AF1389">
        <v>1</v>
      </c>
      <c r="AH1389" t="str">
        <f t="shared" si="68"/>
        <v>DalsinghSarai</v>
      </c>
      <c r="AJ1389" s="72">
        <v>0</v>
      </c>
      <c r="AK1389" s="72"/>
      <c r="AL1389" s="72"/>
      <c r="AM1389" s="72"/>
    </row>
    <row r="1390" spans="1:39" x14ac:dyDescent="0.25">
      <c r="A1390" s="37" t="s">
        <v>62</v>
      </c>
      <c r="B1390" s="66" t="s">
        <v>1615</v>
      </c>
      <c r="C1390" s="47">
        <v>1012</v>
      </c>
      <c r="D1390" s="47" t="s">
        <v>314</v>
      </c>
      <c r="E1390" s="41">
        <v>10120035</v>
      </c>
      <c r="F1390" s="46" t="s">
        <v>338</v>
      </c>
      <c r="G1390" s="39" t="s">
        <v>635</v>
      </c>
      <c r="H1390" s="48" t="s">
        <v>99</v>
      </c>
      <c r="I1390" s="52">
        <v>419.53999999999991</v>
      </c>
      <c r="J1390" s="49">
        <v>17856.400000000005</v>
      </c>
      <c r="K1390" s="65">
        <v>0</v>
      </c>
      <c r="L1390" s="65">
        <v>0</v>
      </c>
      <c r="M1390" s="65">
        <v>0</v>
      </c>
      <c r="N1390" s="65">
        <v>0</v>
      </c>
      <c r="O1390" s="65">
        <v>0</v>
      </c>
      <c r="P1390" s="65">
        <v>0</v>
      </c>
      <c r="Q1390" s="50">
        <v>17856.400000000005</v>
      </c>
      <c r="R1390" s="65">
        <v>0</v>
      </c>
      <c r="S1390" s="65">
        <v>0</v>
      </c>
      <c r="T1390" s="65">
        <v>0</v>
      </c>
      <c r="U1390" s="65">
        <v>0</v>
      </c>
      <c r="V1390" s="65">
        <v>0</v>
      </c>
      <c r="W1390" s="65">
        <v>0</v>
      </c>
      <c r="X1390" s="65">
        <v>0</v>
      </c>
      <c r="Y1390" s="65">
        <v>0</v>
      </c>
      <c r="Z1390" s="65">
        <v>17856.400000000005</v>
      </c>
      <c r="AA1390" s="51">
        <v>0</v>
      </c>
      <c r="AB1390" s="102">
        <v>0</v>
      </c>
      <c r="AC1390" s="81">
        <f t="shared" si="66"/>
        <v>238.73794841969797</v>
      </c>
      <c r="AD1390" s="82">
        <f t="shared" si="67"/>
        <v>59.9342857142857</v>
      </c>
      <c r="AE1390" s="218">
        <v>0</v>
      </c>
      <c r="AF1390">
        <v>0</v>
      </c>
      <c r="AH1390" t="str">
        <f t="shared" si="68"/>
        <v>DalsinghSarai</v>
      </c>
      <c r="AJ1390" s="72">
        <v>0</v>
      </c>
      <c r="AK1390" s="72"/>
      <c r="AL1390" s="72"/>
      <c r="AM1390" s="72"/>
    </row>
    <row r="1391" spans="1:39" x14ac:dyDescent="0.25">
      <c r="A1391" s="37" t="s">
        <v>62</v>
      </c>
      <c r="B1391" s="66" t="s">
        <v>1615</v>
      </c>
      <c r="C1391" s="47">
        <v>1012</v>
      </c>
      <c r="D1391" s="47" t="s">
        <v>314</v>
      </c>
      <c r="E1391" s="41">
        <v>10120043</v>
      </c>
      <c r="F1391" s="46" t="s">
        <v>339</v>
      </c>
      <c r="G1391" s="39" t="s">
        <v>93</v>
      </c>
      <c r="H1391" s="48" t="s">
        <v>94</v>
      </c>
      <c r="I1391" s="52">
        <v>175.52999999999997</v>
      </c>
      <c r="J1391" s="49">
        <v>7959.659999999998</v>
      </c>
      <c r="K1391" s="65">
        <v>191.79999999999995</v>
      </c>
      <c r="L1391" s="65">
        <v>8557.7851619840803</v>
      </c>
      <c r="M1391" s="65">
        <v>0</v>
      </c>
      <c r="N1391" s="65">
        <v>0</v>
      </c>
      <c r="O1391" s="65">
        <v>191.79999999999995</v>
      </c>
      <c r="P1391" s="65">
        <v>8557.7851619840803</v>
      </c>
      <c r="Q1391" s="50">
        <v>7959.659999999998</v>
      </c>
      <c r="R1391" s="65">
        <v>0</v>
      </c>
      <c r="S1391" s="65">
        <v>0</v>
      </c>
      <c r="T1391" s="65">
        <v>598.1251619840823</v>
      </c>
      <c r="U1391" s="65">
        <v>0</v>
      </c>
      <c r="V1391" s="65">
        <v>0</v>
      </c>
      <c r="W1391" s="65">
        <v>0</v>
      </c>
      <c r="X1391" s="65">
        <v>7960</v>
      </c>
      <c r="Y1391" s="65">
        <v>0</v>
      </c>
      <c r="Z1391" s="65">
        <v>0</v>
      </c>
      <c r="AA1391" s="51">
        <v>0</v>
      </c>
      <c r="AB1391" s="102">
        <v>0</v>
      </c>
      <c r="AC1391" s="81">
        <f t="shared" si="66"/>
        <v>475.65691109212099</v>
      </c>
      <c r="AD1391" s="82">
        <f t="shared" si="67"/>
        <v>25.07571428571428</v>
      </c>
      <c r="AE1391" s="218">
        <v>-7.5144561700384499E-2</v>
      </c>
      <c r="AF1391">
        <v>1</v>
      </c>
      <c r="AH1391" t="str">
        <f t="shared" si="68"/>
        <v>DalsinghSarai</v>
      </c>
      <c r="AJ1391" s="72">
        <v>0</v>
      </c>
      <c r="AK1391" s="72"/>
      <c r="AL1391" s="72"/>
      <c r="AM1391" s="72"/>
    </row>
    <row r="1392" spans="1:39" x14ac:dyDescent="0.25">
      <c r="A1392" s="37" t="s">
        <v>62</v>
      </c>
      <c r="B1392" s="66" t="s">
        <v>1615</v>
      </c>
      <c r="C1392" s="47">
        <v>1012</v>
      </c>
      <c r="D1392" s="47" t="s">
        <v>314</v>
      </c>
      <c r="E1392" s="41">
        <v>10120046</v>
      </c>
      <c r="F1392" s="46" t="s">
        <v>340</v>
      </c>
      <c r="G1392" s="39" t="s">
        <v>93</v>
      </c>
      <c r="H1392" s="48" t="s">
        <v>94</v>
      </c>
      <c r="I1392" s="52">
        <v>1967.51</v>
      </c>
      <c r="J1392" s="49">
        <v>73189.11</v>
      </c>
      <c r="K1392" s="65">
        <v>1479.8000000000004</v>
      </c>
      <c r="L1392" s="65">
        <v>54969.650922875939</v>
      </c>
      <c r="M1392" s="65">
        <v>462.9</v>
      </c>
      <c r="N1392" s="65">
        <v>18219.019465547357</v>
      </c>
      <c r="O1392" s="65">
        <v>1942.7000000000003</v>
      </c>
      <c r="P1392" s="65">
        <v>73188.670388423299</v>
      </c>
      <c r="Q1392" s="50">
        <v>73188.670388423299</v>
      </c>
      <c r="R1392" s="65">
        <v>0</v>
      </c>
      <c r="S1392" s="65">
        <v>624.32872939799995</v>
      </c>
      <c r="T1392" s="65">
        <v>0</v>
      </c>
      <c r="U1392" s="65">
        <v>0</v>
      </c>
      <c r="V1392" s="65">
        <v>0</v>
      </c>
      <c r="W1392" s="65">
        <v>0</v>
      </c>
      <c r="X1392" s="65">
        <v>54969</v>
      </c>
      <c r="Y1392" s="65">
        <v>17595</v>
      </c>
      <c r="Z1392" s="65">
        <v>0</v>
      </c>
      <c r="AA1392" s="51">
        <v>1</v>
      </c>
      <c r="AB1392" s="102">
        <v>0</v>
      </c>
      <c r="AC1392" s="81">
        <f t="shared" si="66"/>
        <v>0</v>
      </c>
      <c r="AD1392" s="82">
        <f t="shared" si="67"/>
        <v>0</v>
      </c>
      <c r="AE1392" s="218">
        <v>6.0065162249039726E-6</v>
      </c>
      <c r="AF1392">
        <v>31</v>
      </c>
      <c r="AH1392" t="str">
        <f t="shared" si="68"/>
        <v>DalsinghSarai</v>
      </c>
      <c r="AJ1392" s="72">
        <v>0</v>
      </c>
      <c r="AK1392" s="72"/>
      <c r="AL1392" s="72"/>
      <c r="AM1392" s="72"/>
    </row>
    <row r="1393" spans="1:39" x14ac:dyDescent="0.25">
      <c r="A1393" s="37" t="s">
        <v>62</v>
      </c>
      <c r="B1393" s="66" t="s">
        <v>1615</v>
      </c>
      <c r="C1393" s="47">
        <v>1012</v>
      </c>
      <c r="D1393" s="47" t="s">
        <v>314</v>
      </c>
      <c r="E1393" s="41">
        <v>10120049</v>
      </c>
      <c r="F1393" s="46" t="s">
        <v>341</v>
      </c>
      <c r="G1393" s="39" t="s">
        <v>635</v>
      </c>
      <c r="H1393" s="48" t="s">
        <v>99</v>
      </c>
      <c r="I1393" s="52">
        <v>509</v>
      </c>
      <c r="J1393" s="49">
        <v>22373.66</v>
      </c>
      <c r="K1393" s="65">
        <v>0</v>
      </c>
      <c r="L1393" s="65">
        <v>0</v>
      </c>
      <c r="M1393" s="65">
        <v>0</v>
      </c>
      <c r="N1393" s="65">
        <v>0</v>
      </c>
      <c r="O1393" s="65">
        <v>0</v>
      </c>
      <c r="P1393" s="65">
        <v>0</v>
      </c>
      <c r="Q1393" s="50">
        <v>22373.66</v>
      </c>
      <c r="R1393" s="65">
        <v>0</v>
      </c>
      <c r="S1393" s="65">
        <v>0</v>
      </c>
      <c r="T1393" s="65">
        <v>0</v>
      </c>
      <c r="U1393" s="65">
        <v>3000</v>
      </c>
      <c r="V1393" s="65">
        <v>0</v>
      </c>
      <c r="W1393" s="65">
        <v>0</v>
      </c>
      <c r="X1393" s="65">
        <v>0</v>
      </c>
      <c r="Y1393" s="65">
        <v>0</v>
      </c>
      <c r="Z1393" s="65">
        <v>19373.66</v>
      </c>
      <c r="AA1393" s="51">
        <v>0</v>
      </c>
      <c r="AB1393" s="102">
        <v>0</v>
      </c>
      <c r="AC1393" s="81">
        <f t="shared" si="66"/>
        <v>167.91234027504919</v>
      </c>
      <c r="AD1393" s="82">
        <f t="shared" si="67"/>
        <v>72.714285714285708</v>
      </c>
      <c r="AE1393" s="218">
        <v>0</v>
      </c>
      <c r="AF1393">
        <v>0</v>
      </c>
      <c r="AH1393" t="str">
        <f t="shared" si="68"/>
        <v>DalsinghSarai</v>
      </c>
      <c r="AJ1393" s="72">
        <v>0</v>
      </c>
      <c r="AK1393" s="72"/>
      <c r="AL1393" s="72"/>
      <c r="AM1393" s="72"/>
    </row>
    <row r="1394" spans="1:39" x14ac:dyDescent="0.25">
      <c r="A1394" s="37" t="s">
        <v>62</v>
      </c>
      <c r="B1394" s="66" t="s">
        <v>1615</v>
      </c>
      <c r="C1394" s="47">
        <v>1012</v>
      </c>
      <c r="D1394" s="47" t="s">
        <v>314</v>
      </c>
      <c r="E1394" s="41">
        <v>10120050</v>
      </c>
      <c r="F1394" s="46" t="s">
        <v>342</v>
      </c>
      <c r="G1394" s="39" t="s">
        <v>635</v>
      </c>
      <c r="H1394" s="48" t="s">
        <v>99</v>
      </c>
      <c r="I1394" s="52">
        <v>754.4</v>
      </c>
      <c r="J1394" s="49">
        <v>37146.51</v>
      </c>
      <c r="K1394" s="65">
        <v>0</v>
      </c>
      <c r="L1394" s="65">
        <v>0</v>
      </c>
      <c r="M1394" s="65">
        <v>0</v>
      </c>
      <c r="N1394" s="65">
        <v>0</v>
      </c>
      <c r="O1394" s="65">
        <v>0</v>
      </c>
      <c r="P1394" s="65">
        <v>0</v>
      </c>
      <c r="Q1394" s="50">
        <v>37146.51</v>
      </c>
      <c r="R1394" s="65">
        <v>0</v>
      </c>
      <c r="S1394" s="65">
        <v>0</v>
      </c>
      <c r="T1394" s="65">
        <v>0</v>
      </c>
      <c r="U1394" s="65">
        <v>0</v>
      </c>
      <c r="V1394" s="65">
        <v>0</v>
      </c>
      <c r="W1394" s="65">
        <v>0</v>
      </c>
      <c r="X1394" s="65">
        <v>0</v>
      </c>
      <c r="Y1394" s="65">
        <v>0</v>
      </c>
      <c r="Z1394" s="65">
        <v>37146.51</v>
      </c>
      <c r="AA1394" s="51">
        <v>0</v>
      </c>
      <c r="AB1394" s="102">
        <v>0</v>
      </c>
      <c r="AC1394" s="81">
        <f t="shared" si="66"/>
        <v>0</v>
      </c>
      <c r="AD1394" s="82">
        <f t="shared" si="67"/>
        <v>0</v>
      </c>
      <c r="AE1394" s="218">
        <v>0</v>
      </c>
      <c r="AF1394">
        <v>0</v>
      </c>
      <c r="AH1394" t="str">
        <f t="shared" si="68"/>
        <v>DalsinghSarai</v>
      </c>
      <c r="AJ1394" s="72">
        <v>0</v>
      </c>
      <c r="AK1394" s="72"/>
      <c r="AL1394" s="72"/>
      <c r="AM1394" s="72"/>
    </row>
    <row r="1395" spans="1:39" x14ac:dyDescent="0.25">
      <c r="A1395" s="37" t="s">
        <v>62</v>
      </c>
      <c r="B1395" s="66" t="s">
        <v>1615</v>
      </c>
      <c r="C1395" s="47">
        <v>1012</v>
      </c>
      <c r="D1395" s="47" t="s">
        <v>314</v>
      </c>
      <c r="E1395" s="41">
        <v>10120051</v>
      </c>
      <c r="F1395" s="46" t="s">
        <v>343</v>
      </c>
      <c r="G1395" s="39" t="s">
        <v>93</v>
      </c>
      <c r="H1395" s="48" t="s">
        <v>94</v>
      </c>
      <c r="I1395" s="52">
        <v>331.14000000000004</v>
      </c>
      <c r="J1395" s="49">
        <v>13375.2</v>
      </c>
      <c r="K1395" s="65">
        <v>75.430000000000007</v>
      </c>
      <c r="L1395" s="65">
        <v>2855.1725952339402</v>
      </c>
      <c r="M1395" s="65">
        <v>249.82000000000002</v>
      </c>
      <c r="N1395" s="65">
        <v>10594.6009681166</v>
      </c>
      <c r="O1395" s="65">
        <v>325.25</v>
      </c>
      <c r="P1395" s="65">
        <v>13449.77356335054</v>
      </c>
      <c r="Q1395" s="50">
        <v>13375.2</v>
      </c>
      <c r="R1395" s="65">
        <v>0</v>
      </c>
      <c r="S1395" s="65">
        <v>0</v>
      </c>
      <c r="T1395" s="65">
        <v>74.573563350539189</v>
      </c>
      <c r="U1395" s="65">
        <v>6750</v>
      </c>
      <c r="V1395" s="65">
        <v>0</v>
      </c>
      <c r="W1395" s="65">
        <v>0</v>
      </c>
      <c r="X1395" s="65">
        <v>1526</v>
      </c>
      <c r="Y1395" s="65">
        <v>5099</v>
      </c>
      <c r="Z1395" s="65">
        <v>0</v>
      </c>
      <c r="AA1395" s="51">
        <v>0</v>
      </c>
      <c r="AB1395" s="102">
        <v>0</v>
      </c>
      <c r="AC1395" s="81">
        <f t="shared" si="66"/>
        <v>297.97525348795068</v>
      </c>
      <c r="AD1395" s="82">
        <f t="shared" si="67"/>
        <v>47.305714285714295</v>
      </c>
      <c r="AE1395" s="218">
        <v>-5.5755101494212563E-3</v>
      </c>
      <c r="AF1395">
        <v>11</v>
      </c>
      <c r="AH1395" t="str">
        <f t="shared" si="68"/>
        <v>DalsinghSarai</v>
      </c>
      <c r="AJ1395" s="72">
        <v>0</v>
      </c>
      <c r="AK1395" s="72"/>
      <c r="AL1395" s="72"/>
      <c r="AM1395" s="72"/>
    </row>
    <row r="1396" spans="1:39" x14ac:dyDescent="0.25">
      <c r="A1396" s="37" t="s">
        <v>62</v>
      </c>
      <c r="B1396" s="66" t="s">
        <v>1615</v>
      </c>
      <c r="C1396" s="47">
        <v>1012</v>
      </c>
      <c r="D1396" s="47" t="s">
        <v>314</v>
      </c>
      <c r="E1396" s="41">
        <v>10120052</v>
      </c>
      <c r="F1396" s="46" t="s">
        <v>344</v>
      </c>
      <c r="G1396" s="39" t="s">
        <v>93</v>
      </c>
      <c r="H1396" s="48" t="s">
        <v>94</v>
      </c>
      <c r="I1396" s="52">
        <v>1202.31</v>
      </c>
      <c r="J1396" s="49">
        <v>48857.919999999991</v>
      </c>
      <c r="K1396" s="65">
        <v>904.56999999999994</v>
      </c>
      <c r="L1396" s="65">
        <v>38295.009407535079</v>
      </c>
      <c r="M1396" s="65">
        <v>288.0499999999999</v>
      </c>
      <c r="N1396" s="65">
        <v>11522.457693188418</v>
      </c>
      <c r="O1396" s="65">
        <v>1192.6199999999999</v>
      </c>
      <c r="P1396" s="65">
        <v>49817.467100723501</v>
      </c>
      <c r="Q1396" s="50">
        <v>48857.919999999991</v>
      </c>
      <c r="R1396" s="65">
        <v>0</v>
      </c>
      <c r="S1396" s="65">
        <v>25.474979341120005</v>
      </c>
      <c r="T1396" s="65">
        <v>959.54710072351008</v>
      </c>
      <c r="U1396" s="65">
        <v>0</v>
      </c>
      <c r="V1396" s="65">
        <v>693.60173419354874</v>
      </c>
      <c r="W1396" s="65">
        <v>0</v>
      </c>
      <c r="X1396" s="65">
        <v>36642</v>
      </c>
      <c r="Y1396" s="65">
        <v>11496</v>
      </c>
      <c r="Z1396" s="65">
        <v>0</v>
      </c>
      <c r="AA1396" s="51">
        <v>1</v>
      </c>
      <c r="AB1396" s="102">
        <v>0</v>
      </c>
      <c r="AC1396" s="81">
        <f t="shared" si="66"/>
        <v>0</v>
      </c>
      <c r="AD1396" s="82">
        <f t="shared" si="67"/>
        <v>0</v>
      </c>
      <c r="AE1396" s="218">
        <v>-1.9639540543754427E-2</v>
      </c>
      <c r="AF1396">
        <v>7</v>
      </c>
      <c r="AH1396" t="str">
        <f t="shared" si="68"/>
        <v>DalsinghSarai</v>
      </c>
      <c r="AJ1396" s="72">
        <v>0</v>
      </c>
      <c r="AK1396" s="72"/>
      <c r="AL1396" s="72"/>
      <c r="AM1396" s="72"/>
    </row>
    <row r="1397" spans="1:39" x14ac:dyDescent="0.25">
      <c r="A1397" s="37" t="s">
        <v>62</v>
      </c>
      <c r="B1397" s="66" t="s">
        <v>1615</v>
      </c>
      <c r="C1397" s="47">
        <v>1012</v>
      </c>
      <c r="D1397" s="47" t="s">
        <v>314</v>
      </c>
      <c r="E1397" s="41">
        <v>10120053</v>
      </c>
      <c r="F1397" s="46" t="s">
        <v>345</v>
      </c>
      <c r="G1397" s="39" t="s">
        <v>93</v>
      </c>
      <c r="H1397" s="48" t="s">
        <v>94</v>
      </c>
      <c r="I1397" s="52">
        <v>230.51</v>
      </c>
      <c r="J1397" s="49">
        <v>8704.34</v>
      </c>
      <c r="K1397" s="65">
        <v>256.07</v>
      </c>
      <c r="L1397" s="65">
        <v>9138.3373436132333</v>
      </c>
      <c r="M1397" s="65">
        <v>0</v>
      </c>
      <c r="N1397" s="65">
        <v>0</v>
      </c>
      <c r="O1397" s="65">
        <v>256.07</v>
      </c>
      <c r="P1397" s="65">
        <v>9138.3373436132333</v>
      </c>
      <c r="Q1397" s="50">
        <v>8704.34</v>
      </c>
      <c r="R1397" s="65">
        <v>0</v>
      </c>
      <c r="S1397" s="65">
        <v>0</v>
      </c>
      <c r="T1397" s="65">
        <v>433.99734361323317</v>
      </c>
      <c r="U1397" s="65">
        <v>0</v>
      </c>
      <c r="V1397" s="65">
        <v>0</v>
      </c>
      <c r="W1397" s="65">
        <v>0</v>
      </c>
      <c r="X1397" s="65">
        <v>8704</v>
      </c>
      <c r="Y1397" s="65">
        <v>0</v>
      </c>
      <c r="Z1397" s="65">
        <v>0</v>
      </c>
      <c r="AA1397" s="51">
        <v>0</v>
      </c>
      <c r="AB1397" s="102" t="s">
        <v>66</v>
      </c>
      <c r="AC1397" s="81">
        <f t="shared" si="66"/>
        <v>354.57035153355594</v>
      </c>
      <c r="AD1397" s="82">
        <f t="shared" si="67"/>
        <v>32.93</v>
      </c>
      <c r="AE1397" s="218">
        <v>-4.9859879509903469E-2</v>
      </c>
      <c r="AF1397">
        <v>9</v>
      </c>
      <c r="AH1397" t="str">
        <f t="shared" si="68"/>
        <v>DalsinghSarai</v>
      </c>
      <c r="AJ1397" s="72">
        <v>0</v>
      </c>
      <c r="AK1397" s="72"/>
      <c r="AL1397" s="72"/>
      <c r="AM1397" s="72"/>
    </row>
    <row r="1398" spans="1:39" x14ac:dyDescent="0.25">
      <c r="A1398" s="37" t="s">
        <v>62</v>
      </c>
      <c r="B1398" s="66" t="s">
        <v>1615</v>
      </c>
      <c r="C1398" s="47">
        <v>1012</v>
      </c>
      <c r="D1398" s="47" t="s">
        <v>314</v>
      </c>
      <c r="E1398" s="41">
        <v>10120060</v>
      </c>
      <c r="F1398" s="46" t="s">
        <v>347</v>
      </c>
      <c r="G1398" s="39" t="s">
        <v>635</v>
      </c>
      <c r="H1398" s="48" t="s">
        <v>99</v>
      </c>
      <c r="I1398" s="52">
        <v>1835</v>
      </c>
      <c r="J1398" s="49">
        <v>63552.049999999996</v>
      </c>
      <c r="K1398" s="65">
        <v>0</v>
      </c>
      <c r="L1398" s="65">
        <v>0</v>
      </c>
      <c r="M1398" s="65">
        <v>0</v>
      </c>
      <c r="N1398" s="65">
        <v>0</v>
      </c>
      <c r="O1398" s="65">
        <v>0</v>
      </c>
      <c r="P1398" s="65">
        <v>0</v>
      </c>
      <c r="Q1398" s="50">
        <v>63552.049999999996</v>
      </c>
      <c r="R1398" s="65">
        <v>0</v>
      </c>
      <c r="S1398" s="65">
        <v>0</v>
      </c>
      <c r="T1398" s="65">
        <v>0</v>
      </c>
      <c r="U1398" s="65">
        <v>0</v>
      </c>
      <c r="V1398" s="65">
        <v>571.84935483870845</v>
      </c>
      <c r="W1398" s="65">
        <v>0</v>
      </c>
      <c r="X1398" s="65">
        <v>0</v>
      </c>
      <c r="Y1398" s="65">
        <v>0</v>
      </c>
      <c r="Z1398" s="65">
        <v>62980.200645161291</v>
      </c>
      <c r="AA1398" s="51">
        <v>0</v>
      </c>
      <c r="AB1398" s="102">
        <v>0</v>
      </c>
      <c r="AC1398" s="81">
        <f t="shared" si="66"/>
        <v>0</v>
      </c>
      <c r="AD1398" s="82">
        <f t="shared" si="67"/>
        <v>0</v>
      </c>
      <c r="AE1398" s="218">
        <v>0</v>
      </c>
      <c r="AF1398">
        <v>0</v>
      </c>
      <c r="AH1398" t="str">
        <f t="shared" si="68"/>
        <v>DalsinghSarai</v>
      </c>
      <c r="AJ1398" s="72">
        <v>0</v>
      </c>
      <c r="AK1398" s="72"/>
      <c r="AL1398" s="72"/>
      <c r="AM1398" s="72"/>
    </row>
    <row r="1399" spans="1:39" x14ac:dyDescent="0.25">
      <c r="A1399" s="37" t="s">
        <v>62</v>
      </c>
      <c r="B1399" s="66" t="s">
        <v>1615</v>
      </c>
      <c r="C1399" s="47">
        <v>1012</v>
      </c>
      <c r="D1399" s="47" t="s">
        <v>314</v>
      </c>
      <c r="E1399" s="41">
        <v>10120066</v>
      </c>
      <c r="F1399" s="46" t="s">
        <v>348</v>
      </c>
      <c r="G1399" s="39" t="s">
        <v>635</v>
      </c>
      <c r="H1399" s="48" t="s">
        <v>99</v>
      </c>
      <c r="I1399" s="52">
        <v>199.44</v>
      </c>
      <c r="J1399" s="49">
        <v>7284.77</v>
      </c>
      <c r="K1399" s="65">
        <v>0</v>
      </c>
      <c r="L1399" s="65">
        <v>0</v>
      </c>
      <c r="M1399" s="65">
        <v>0</v>
      </c>
      <c r="N1399" s="65">
        <v>0</v>
      </c>
      <c r="O1399" s="65">
        <v>0</v>
      </c>
      <c r="P1399" s="65">
        <v>0</v>
      </c>
      <c r="Q1399" s="50">
        <v>7284.77</v>
      </c>
      <c r="R1399" s="65">
        <v>0</v>
      </c>
      <c r="S1399" s="65">
        <v>0</v>
      </c>
      <c r="T1399" s="65">
        <v>0</v>
      </c>
      <c r="U1399" s="65">
        <v>0</v>
      </c>
      <c r="V1399" s="65">
        <v>0</v>
      </c>
      <c r="W1399" s="65">
        <v>0</v>
      </c>
      <c r="X1399" s="65">
        <v>0</v>
      </c>
      <c r="Y1399" s="65">
        <v>0</v>
      </c>
      <c r="Z1399" s="65">
        <v>7284.77</v>
      </c>
      <c r="AA1399" s="51">
        <v>0</v>
      </c>
      <c r="AB1399" s="102">
        <v>0</v>
      </c>
      <c r="AC1399" s="81">
        <f t="shared" si="66"/>
        <v>365.67032402727642</v>
      </c>
      <c r="AD1399" s="82">
        <f t="shared" si="67"/>
        <v>28.491428571428571</v>
      </c>
      <c r="AE1399" s="218">
        <v>0</v>
      </c>
      <c r="AF1399">
        <v>0</v>
      </c>
      <c r="AH1399" t="str">
        <f t="shared" si="68"/>
        <v>DalsinghSarai</v>
      </c>
      <c r="AJ1399" s="72">
        <v>0</v>
      </c>
      <c r="AK1399" s="72"/>
      <c r="AL1399" s="72"/>
      <c r="AM1399" s="72"/>
    </row>
    <row r="1400" spans="1:39" x14ac:dyDescent="0.25">
      <c r="A1400" s="37" t="s">
        <v>62</v>
      </c>
      <c r="B1400" s="66" t="s">
        <v>1615</v>
      </c>
      <c r="C1400" s="47">
        <v>1012</v>
      </c>
      <c r="D1400" s="47" t="s">
        <v>314</v>
      </c>
      <c r="E1400" s="41">
        <v>10120071</v>
      </c>
      <c r="F1400" s="46" t="s">
        <v>349</v>
      </c>
      <c r="G1400" s="39" t="s">
        <v>93</v>
      </c>
      <c r="H1400" s="48" t="s">
        <v>94</v>
      </c>
      <c r="I1400" s="52">
        <v>240.5</v>
      </c>
      <c r="J1400" s="49">
        <v>9714.57</v>
      </c>
      <c r="K1400" s="65">
        <v>63.600000000000009</v>
      </c>
      <c r="L1400" s="65">
        <v>2677.5705703561707</v>
      </c>
      <c r="M1400" s="65">
        <v>182.16</v>
      </c>
      <c r="N1400" s="65">
        <v>7383.1368137942954</v>
      </c>
      <c r="O1400" s="65">
        <v>245.76</v>
      </c>
      <c r="P1400" s="65">
        <v>10060.707384150466</v>
      </c>
      <c r="Q1400" s="50">
        <v>9714.57</v>
      </c>
      <c r="R1400" s="65">
        <v>0</v>
      </c>
      <c r="S1400" s="65">
        <v>38.8510734348</v>
      </c>
      <c r="T1400" s="65">
        <v>346.13738415046646</v>
      </c>
      <c r="U1400" s="65">
        <v>0</v>
      </c>
      <c r="V1400" s="65">
        <v>599.79750774193519</v>
      </c>
      <c r="W1400" s="65">
        <v>0</v>
      </c>
      <c r="X1400" s="65">
        <v>1731</v>
      </c>
      <c r="Y1400" s="65">
        <v>7345</v>
      </c>
      <c r="Z1400" s="65">
        <v>0</v>
      </c>
      <c r="AA1400" s="51">
        <v>0</v>
      </c>
      <c r="AB1400" s="102">
        <v>0</v>
      </c>
      <c r="AC1400" s="81">
        <f t="shared" si="66"/>
        <v>371.21371434511428</v>
      </c>
      <c r="AD1400" s="82">
        <f t="shared" si="67"/>
        <v>34.357142857142854</v>
      </c>
      <c r="AE1400" s="218">
        <v>-3.5630746821574862E-2</v>
      </c>
      <c r="AF1400">
        <v>9</v>
      </c>
      <c r="AH1400" t="str">
        <f t="shared" si="68"/>
        <v>DalsinghSarai</v>
      </c>
      <c r="AJ1400" s="72">
        <v>0</v>
      </c>
      <c r="AK1400" s="72"/>
      <c r="AL1400" s="72"/>
      <c r="AM1400" s="72"/>
    </row>
    <row r="1401" spans="1:39" x14ac:dyDescent="0.25">
      <c r="A1401" s="37" t="s">
        <v>62</v>
      </c>
      <c r="B1401" s="66" t="s">
        <v>1615</v>
      </c>
      <c r="C1401" s="47">
        <v>1012</v>
      </c>
      <c r="D1401" s="47" t="s">
        <v>314</v>
      </c>
      <c r="E1401" s="41">
        <v>10120080</v>
      </c>
      <c r="F1401" s="46" t="s">
        <v>427</v>
      </c>
      <c r="G1401" s="39" t="s">
        <v>93</v>
      </c>
      <c r="H1401" s="48" t="s">
        <v>94</v>
      </c>
      <c r="I1401" s="52">
        <v>17.34</v>
      </c>
      <c r="J1401" s="49">
        <v>604.1400000000001</v>
      </c>
      <c r="K1401" s="65">
        <v>17.29</v>
      </c>
      <c r="L1401" s="65">
        <v>598.95492069600004</v>
      </c>
      <c r="M1401" s="65">
        <v>0</v>
      </c>
      <c r="N1401" s="65">
        <v>0</v>
      </c>
      <c r="O1401" s="65">
        <v>17.29</v>
      </c>
      <c r="P1401" s="65">
        <v>598.95492069600004</v>
      </c>
      <c r="Q1401" s="50">
        <v>598.95492069600004</v>
      </c>
      <c r="R1401" s="65">
        <v>0</v>
      </c>
      <c r="S1401" s="65">
        <v>0</v>
      </c>
      <c r="T1401" s="65">
        <v>0</v>
      </c>
      <c r="U1401" s="65">
        <v>0</v>
      </c>
      <c r="V1401" s="65">
        <v>209.46904000000009</v>
      </c>
      <c r="W1401" s="65">
        <v>0</v>
      </c>
      <c r="X1401" s="65">
        <v>389</v>
      </c>
      <c r="Y1401" s="65">
        <v>0</v>
      </c>
      <c r="Z1401" s="65">
        <v>0</v>
      </c>
      <c r="AA1401" s="51">
        <v>6</v>
      </c>
      <c r="AB1401" s="102">
        <v>0</v>
      </c>
      <c r="AC1401" s="81">
        <f t="shared" si="66"/>
        <v>475.68882629757798</v>
      </c>
      <c r="AD1401" s="82">
        <f t="shared" si="67"/>
        <v>2.4771428571428573</v>
      </c>
      <c r="AE1401" s="218">
        <v>8.5825790445924026E-3</v>
      </c>
      <c r="AF1401">
        <v>1</v>
      </c>
      <c r="AH1401" t="str">
        <f t="shared" si="68"/>
        <v>DalsinghSarai</v>
      </c>
      <c r="AJ1401" s="72">
        <v>0</v>
      </c>
      <c r="AK1401" s="72"/>
      <c r="AL1401" s="72"/>
      <c r="AM1401" s="72"/>
    </row>
    <row r="1402" spans="1:39" x14ac:dyDescent="0.25">
      <c r="A1402" s="37" t="s">
        <v>62</v>
      </c>
      <c r="B1402" s="66" t="s">
        <v>1615</v>
      </c>
      <c r="C1402" s="47">
        <v>1012</v>
      </c>
      <c r="D1402" s="47" t="s">
        <v>314</v>
      </c>
      <c r="E1402" s="41">
        <v>10120083</v>
      </c>
      <c r="F1402" s="46" t="s">
        <v>441</v>
      </c>
      <c r="G1402" s="39" t="s">
        <v>93</v>
      </c>
      <c r="H1402" s="48" t="s">
        <v>94</v>
      </c>
      <c r="I1402" s="52">
        <v>264.29999999999995</v>
      </c>
      <c r="J1402" s="49">
        <v>9723.83</v>
      </c>
      <c r="K1402" s="65">
        <v>264.30000000000007</v>
      </c>
      <c r="L1402" s="65">
        <v>9723.5636555376004</v>
      </c>
      <c r="M1402" s="65">
        <v>0</v>
      </c>
      <c r="N1402" s="65">
        <v>0</v>
      </c>
      <c r="O1402" s="65">
        <v>264.30000000000007</v>
      </c>
      <c r="P1402" s="65">
        <v>9723.5636555376004</v>
      </c>
      <c r="Q1402" s="50">
        <v>9723.5636555376004</v>
      </c>
      <c r="R1402" s="65">
        <v>0</v>
      </c>
      <c r="S1402" s="65">
        <v>0</v>
      </c>
      <c r="T1402" s="65">
        <v>0</v>
      </c>
      <c r="U1402" s="65">
        <v>9681</v>
      </c>
      <c r="V1402" s="65">
        <v>42.858917999999882</v>
      </c>
      <c r="W1402" s="65">
        <v>0</v>
      </c>
      <c r="X1402" s="65">
        <v>0</v>
      </c>
      <c r="Y1402" s="65">
        <v>0</v>
      </c>
      <c r="Z1402" s="65">
        <v>0</v>
      </c>
      <c r="AA1402" s="51">
        <v>0</v>
      </c>
      <c r="AB1402" s="102" t="s">
        <v>65</v>
      </c>
      <c r="AC1402" s="81">
        <f t="shared" si="66"/>
        <v>320.59574203556576</v>
      </c>
      <c r="AD1402" s="82">
        <f t="shared" si="67"/>
        <v>37.757142857142853</v>
      </c>
      <c r="AE1402" s="218">
        <v>2.7390900745848284E-5</v>
      </c>
      <c r="AF1402">
        <v>1</v>
      </c>
      <c r="AH1402" t="str">
        <f t="shared" si="68"/>
        <v>DalsinghSarai</v>
      </c>
      <c r="AJ1402" s="72">
        <v>0</v>
      </c>
      <c r="AK1402" s="72"/>
      <c r="AL1402" s="72"/>
      <c r="AM1402" s="72"/>
    </row>
    <row r="1403" spans="1:39" x14ac:dyDescent="0.25">
      <c r="A1403" s="37" t="s">
        <v>62</v>
      </c>
      <c r="B1403" s="66" t="s">
        <v>1615</v>
      </c>
      <c r="C1403" s="47">
        <v>1012</v>
      </c>
      <c r="D1403" s="47" t="s">
        <v>314</v>
      </c>
      <c r="E1403" s="41">
        <v>10120084</v>
      </c>
      <c r="F1403" s="46" t="s">
        <v>446</v>
      </c>
      <c r="G1403" s="39" t="s">
        <v>93</v>
      </c>
      <c r="H1403" s="48" t="s">
        <v>94</v>
      </c>
      <c r="I1403" s="52">
        <v>1651.0500000000002</v>
      </c>
      <c r="J1403" s="49">
        <v>80923.61</v>
      </c>
      <c r="K1403" s="65">
        <v>469.15000000000003</v>
      </c>
      <c r="L1403" s="65">
        <v>23645.629677704597</v>
      </c>
      <c r="M1403" s="65">
        <v>1265.23</v>
      </c>
      <c r="N1403" s="65">
        <v>64889.344576051146</v>
      </c>
      <c r="O1403" s="65">
        <v>1734.38</v>
      </c>
      <c r="P1403" s="65">
        <v>88534.974253755747</v>
      </c>
      <c r="Q1403" s="50">
        <v>80923.61</v>
      </c>
      <c r="R1403" s="65">
        <v>0</v>
      </c>
      <c r="S1403" s="65">
        <v>41.607232304</v>
      </c>
      <c r="T1403" s="65">
        <v>7611.3642537557462</v>
      </c>
      <c r="U1403" s="65">
        <v>0</v>
      </c>
      <c r="V1403" s="65">
        <v>0</v>
      </c>
      <c r="W1403" s="65">
        <v>0</v>
      </c>
      <c r="X1403" s="65">
        <v>20069</v>
      </c>
      <c r="Y1403" s="65">
        <v>60813</v>
      </c>
      <c r="Z1403" s="65">
        <v>0</v>
      </c>
      <c r="AA1403" s="51">
        <v>0</v>
      </c>
      <c r="AB1403" s="102" t="s">
        <v>68</v>
      </c>
      <c r="AC1403" s="81">
        <f t="shared" si="66"/>
        <v>0</v>
      </c>
      <c r="AD1403" s="82">
        <f t="shared" si="67"/>
        <v>0</v>
      </c>
      <c r="AE1403" s="218">
        <v>-9.4056163012942035E-2</v>
      </c>
      <c r="AF1403">
        <v>27</v>
      </c>
      <c r="AH1403" t="str">
        <f t="shared" si="68"/>
        <v>DalsinghSarai</v>
      </c>
      <c r="AJ1403" s="72">
        <v>0</v>
      </c>
      <c r="AK1403" s="72"/>
      <c r="AL1403" s="72"/>
      <c r="AM1403" s="72"/>
    </row>
    <row r="1404" spans="1:39" x14ac:dyDescent="0.25">
      <c r="A1404" s="37" t="s">
        <v>62</v>
      </c>
      <c r="B1404" s="66" t="s">
        <v>1615</v>
      </c>
      <c r="C1404" s="47">
        <v>1012</v>
      </c>
      <c r="D1404" s="47" t="s">
        <v>314</v>
      </c>
      <c r="E1404" s="41">
        <v>10120086</v>
      </c>
      <c r="F1404" s="46" t="s">
        <v>442</v>
      </c>
      <c r="G1404" s="39" t="s">
        <v>635</v>
      </c>
      <c r="H1404" s="48" t="s">
        <v>99</v>
      </c>
      <c r="I1404" s="52">
        <v>962.45</v>
      </c>
      <c r="J1404" s="49">
        <v>36534.590000000004</v>
      </c>
      <c r="K1404" s="65">
        <v>0</v>
      </c>
      <c r="L1404" s="65">
        <v>0</v>
      </c>
      <c r="M1404" s="65">
        <v>0</v>
      </c>
      <c r="N1404" s="65">
        <v>0</v>
      </c>
      <c r="O1404" s="65">
        <v>0</v>
      </c>
      <c r="P1404" s="65">
        <v>0</v>
      </c>
      <c r="Q1404" s="50">
        <v>36534.590000000004</v>
      </c>
      <c r="R1404" s="65">
        <v>0</v>
      </c>
      <c r="S1404" s="65">
        <v>0</v>
      </c>
      <c r="T1404" s="65">
        <v>0</v>
      </c>
      <c r="U1404" s="65">
        <v>0</v>
      </c>
      <c r="V1404" s="65">
        <v>0</v>
      </c>
      <c r="W1404" s="65">
        <v>0</v>
      </c>
      <c r="X1404" s="65">
        <v>0</v>
      </c>
      <c r="Y1404" s="65">
        <v>0</v>
      </c>
      <c r="Z1404" s="65">
        <v>36534.590000000004</v>
      </c>
      <c r="AA1404" s="51">
        <v>0</v>
      </c>
      <c r="AB1404" s="102">
        <v>0</v>
      </c>
      <c r="AC1404" s="81">
        <f t="shared" si="66"/>
        <v>0</v>
      </c>
      <c r="AD1404" s="82">
        <f t="shared" si="67"/>
        <v>0</v>
      </c>
      <c r="AE1404" s="218">
        <v>0</v>
      </c>
      <c r="AF1404">
        <v>0</v>
      </c>
      <c r="AH1404" t="str">
        <f t="shared" si="68"/>
        <v>DalsinghSarai</v>
      </c>
      <c r="AJ1404" s="72">
        <v>0</v>
      </c>
      <c r="AK1404" s="72"/>
      <c r="AL1404" s="72"/>
      <c r="AM1404" s="72"/>
    </row>
    <row r="1405" spans="1:39" x14ac:dyDescent="0.25">
      <c r="A1405" s="37" t="s">
        <v>62</v>
      </c>
      <c r="B1405" s="66" t="s">
        <v>1615</v>
      </c>
      <c r="C1405" s="47">
        <v>1062</v>
      </c>
      <c r="D1405" s="47" t="s">
        <v>1443</v>
      </c>
      <c r="E1405" s="41">
        <v>10120088</v>
      </c>
      <c r="F1405" s="46" t="s">
        <v>1391</v>
      </c>
      <c r="G1405" s="39" t="s">
        <v>635</v>
      </c>
      <c r="H1405" s="48" t="s">
        <v>99</v>
      </c>
      <c r="I1405" s="52">
        <v>2196</v>
      </c>
      <c r="J1405" s="49">
        <v>83681.73000000001</v>
      </c>
      <c r="K1405" s="65">
        <v>0</v>
      </c>
      <c r="L1405" s="65">
        <v>0</v>
      </c>
      <c r="M1405" s="65">
        <v>0</v>
      </c>
      <c r="N1405" s="65">
        <v>0</v>
      </c>
      <c r="O1405" s="65">
        <v>0</v>
      </c>
      <c r="P1405" s="65">
        <v>0</v>
      </c>
      <c r="Q1405" s="50">
        <v>83681.73000000001</v>
      </c>
      <c r="R1405" s="65">
        <v>0</v>
      </c>
      <c r="S1405" s="65">
        <v>0</v>
      </c>
      <c r="T1405" s="65">
        <v>0</v>
      </c>
      <c r="U1405" s="65">
        <v>0</v>
      </c>
      <c r="V1405" s="65">
        <v>744.25839677419253</v>
      </c>
      <c r="W1405" s="65">
        <v>0</v>
      </c>
      <c r="X1405" s="65">
        <v>0</v>
      </c>
      <c r="Y1405" s="65">
        <v>0</v>
      </c>
      <c r="Z1405" s="65">
        <v>82937.471603225815</v>
      </c>
      <c r="AA1405" s="51">
        <v>0</v>
      </c>
      <c r="AB1405" s="102">
        <v>0</v>
      </c>
      <c r="AC1405" s="81">
        <f t="shared" si="66"/>
        <v>0</v>
      </c>
      <c r="AD1405" s="82">
        <f t="shared" si="67"/>
        <v>0</v>
      </c>
      <c r="AE1405" s="218">
        <v>0</v>
      </c>
      <c r="AF1405">
        <v>0</v>
      </c>
      <c r="AH1405" t="str">
        <f t="shared" si="68"/>
        <v>Singhia BMC</v>
      </c>
      <c r="AJ1405" s="72">
        <v>0</v>
      </c>
      <c r="AK1405" s="72"/>
      <c r="AL1405" s="72"/>
      <c r="AM1405" s="72"/>
    </row>
    <row r="1406" spans="1:39" x14ac:dyDescent="0.25">
      <c r="A1406" s="37" t="s">
        <v>62</v>
      </c>
      <c r="B1406" s="66" t="s">
        <v>1615</v>
      </c>
      <c r="C1406" s="47">
        <v>1012</v>
      </c>
      <c r="D1406" s="47" t="s">
        <v>314</v>
      </c>
      <c r="E1406" s="41">
        <v>10120089</v>
      </c>
      <c r="F1406" s="46" t="s">
        <v>505</v>
      </c>
      <c r="G1406" s="39" t="s">
        <v>93</v>
      </c>
      <c r="H1406" s="48" t="s">
        <v>94</v>
      </c>
      <c r="I1406" s="52">
        <v>720.25</v>
      </c>
      <c r="J1406" s="49">
        <v>26032.379999999997</v>
      </c>
      <c r="K1406" s="65">
        <v>718.2</v>
      </c>
      <c r="L1406" s="65">
        <v>27354.870544320001</v>
      </c>
      <c r="M1406" s="65">
        <v>7</v>
      </c>
      <c r="N1406" s="65">
        <v>261.16957151999998</v>
      </c>
      <c r="O1406" s="65">
        <v>725.2</v>
      </c>
      <c r="P1406" s="65">
        <v>27616.040115840002</v>
      </c>
      <c r="Q1406" s="50">
        <v>26032.379999999997</v>
      </c>
      <c r="R1406" s="65">
        <v>0</v>
      </c>
      <c r="S1406" s="65">
        <v>53.448310079999999</v>
      </c>
      <c r="T1406" s="65">
        <v>1583.6601158400044</v>
      </c>
      <c r="U1406" s="65">
        <v>0</v>
      </c>
      <c r="V1406" s="65">
        <v>0</v>
      </c>
      <c r="W1406" s="65">
        <v>0</v>
      </c>
      <c r="X1406" s="65">
        <v>25771</v>
      </c>
      <c r="Y1406" s="65">
        <v>208</v>
      </c>
      <c r="Z1406" s="65">
        <v>0</v>
      </c>
      <c r="AA1406" s="51">
        <v>0</v>
      </c>
      <c r="AB1406" s="102">
        <v>0</v>
      </c>
      <c r="AC1406" s="81">
        <f t="shared" si="66"/>
        <v>0</v>
      </c>
      <c r="AD1406" s="82">
        <f t="shared" si="67"/>
        <v>0</v>
      </c>
      <c r="AE1406" s="218">
        <v>-6.0834242425779152E-2</v>
      </c>
      <c r="AF1406">
        <v>3</v>
      </c>
      <c r="AH1406" t="str">
        <f t="shared" si="68"/>
        <v>DalsinghSarai</v>
      </c>
      <c r="AJ1406" s="72">
        <v>0</v>
      </c>
      <c r="AK1406" s="72"/>
      <c r="AL1406" s="72"/>
      <c r="AM1406" s="72"/>
    </row>
    <row r="1407" spans="1:39" x14ac:dyDescent="0.25">
      <c r="A1407" s="37" t="s">
        <v>62</v>
      </c>
      <c r="B1407" s="66" t="s">
        <v>1615</v>
      </c>
      <c r="C1407" s="47">
        <v>1012</v>
      </c>
      <c r="D1407" s="47" t="s">
        <v>314</v>
      </c>
      <c r="E1407" s="41">
        <v>10120091</v>
      </c>
      <c r="F1407" s="46" t="s">
        <v>511</v>
      </c>
      <c r="G1407" s="39" t="s">
        <v>93</v>
      </c>
      <c r="H1407" s="48" t="s">
        <v>94</v>
      </c>
      <c r="I1407" s="52">
        <v>544.94000000000005</v>
      </c>
      <c r="J1407" s="49">
        <v>20204.780000000002</v>
      </c>
      <c r="K1407" s="65">
        <v>180.64</v>
      </c>
      <c r="L1407" s="65">
        <v>7019.3252640139208</v>
      </c>
      <c r="M1407" s="65">
        <v>367.31</v>
      </c>
      <c r="N1407" s="65">
        <v>12918.192957872499</v>
      </c>
      <c r="O1407" s="65">
        <v>547.95000000000005</v>
      </c>
      <c r="P1407" s="65">
        <v>19937.518221886421</v>
      </c>
      <c r="Q1407" s="50">
        <v>19937.518221886421</v>
      </c>
      <c r="R1407" s="65">
        <v>0</v>
      </c>
      <c r="S1407" s="65">
        <v>355.25924782920004</v>
      </c>
      <c r="T1407" s="65">
        <v>0</v>
      </c>
      <c r="U1407" s="65">
        <v>0</v>
      </c>
      <c r="V1407" s="65">
        <v>0</v>
      </c>
      <c r="W1407" s="65">
        <v>0</v>
      </c>
      <c r="X1407" s="65">
        <v>7019</v>
      </c>
      <c r="Y1407" s="65">
        <v>12564</v>
      </c>
      <c r="Z1407" s="65">
        <v>0</v>
      </c>
      <c r="AA1407" s="51">
        <v>267</v>
      </c>
      <c r="AB1407" s="102">
        <v>0</v>
      </c>
      <c r="AC1407" s="81">
        <f t="shared" si="66"/>
        <v>114.98341787352736</v>
      </c>
      <c r="AD1407" s="82">
        <f t="shared" si="67"/>
        <v>77.848571428571432</v>
      </c>
      <c r="AE1407" s="218">
        <v>1.3227650987220913E-2</v>
      </c>
      <c r="AF1407">
        <v>14</v>
      </c>
      <c r="AH1407" t="str">
        <f t="shared" si="68"/>
        <v>DalsinghSarai</v>
      </c>
      <c r="AJ1407" s="72">
        <v>0</v>
      </c>
      <c r="AK1407" s="72"/>
      <c r="AL1407" s="72"/>
      <c r="AM1407" s="72"/>
    </row>
    <row r="1408" spans="1:39" x14ac:dyDescent="0.25">
      <c r="A1408" s="37" t="s">
        <v>62</v>
      </c>
      <c r="B1408" s="66" t="s">
        <v>1615</v>
      </c>
      <c r="C1408" s="47">
        <v>1012</v>
      </c>
      <c r="D1408" s="47" t="s">
        <v>314</v>
      </c>
      <c r="E1408" s="41">
        <v>10120094</v>
      </c>
      <c r="F1408" s="46" t="s">
        <v>518</v>
      </c>
      <c r="G1408" s="39" t="s">
        <v>93</v>
      </c>
      <c r="H1408" s="48" t="s">
        <v>94</v>
      </c>
      <c r="I1408" s="52">
        <v>831.9</v>
      </c>
      <c r="J1408" s="49">
        <v>36213.009999999987</v>
      </c>
      <c r="K1408" s="65">
        <v>89.12</v>
      </c>
      <c r="L1408" s="65">
        <v>4126.5116023450901</v>
      </c>
      <c r="M1408" s="65">
        <v>728.34999999999991</v>
      </c>
      <c r="N1408" s="65">
        <v>32161.423505743704</v>
      </c>
      <c r="O1408" s="65">
        <v>817.46999999999991</v>
      </c>
      <c r="P1408" s="65">
        <v>36287.935108088794</v>
      </c>
      <c r="Q1408" s="50">
        <v>36213.009999999987</v>
      </c>
      <c r="R1408" s="65">
        <v>0</v>
      </c>
      <c r="S1408" s="65">
        <v>0</v>
      </c>
      <c r="T1408" s="65">
        <v>74.925108088806155</v>
      </c>
      <c r="U1408" s="65">
        <v>635</v>
      </c>
      <c r="V1408" s="65">
        <v>0</v>
      </c>
      <c r="W1408" s="65">
        <v>0</v>
      </c>
      <c r="X1408" s="65">
        <v>3416</v>
      </c>
      <c r="Y1408" s="65">
        <v>32162</v>
      </c>
      <c r="Z1408" s="65">
        <v>0</v>
      </c>
      <c r="AA1408" s="51">
        <v>0</v>
      </c>
      <c r="AB1408" s="102">
        <v>0</v>
      </c>
      <c r="AC1408" s="81">
        <f t="shared" si="66"/>
        <v>0</v>
      </c>
      <c r="AD1408" s="82">
        <f t="shared" si="67"/>
        <v>0</v>
      </c>
      <c r="AE1408" s="218">
        <v>-2.0690107806229357E-3</v>
      </c>
      <c r="AF1408">
        <v>24</v>
      </c>
      <c r="AH1408" t="str">
        <f t="shared" si="68"/>
        <v>DalsinghSarai</v>
      </c>
      <c r="AJ1408" s="72">
        <v>0</v>
      </c>
      <c r="AK1408" s="72"/>
      <c r="AL1408" s="72"/>
      <c r="AM1408" s="72"/>
    </row>
    <row r="1409" spans="1:39" x14ac:dyDescent="0.25">
      <c r="A1409" s="37" t="s">
        <v>62</v>
      </c>
      <c r="B1409" s="66" t="s">
        <v>1615</v>
      </c>
      <c r="C1409" s="47">
        <v>1012</v>
      </c>
      <c r="D1409" s="47" t="s">
        <v>314</v>
      </c>
      <c r="E1409" s="41">
        <v>10120095</v>
      </c>
      <c r="F1409" s="46" t="s">
        <v>538</v>
      </c>
      <c r="G1409" s="39" t="s">
        <v>93</v>
      </c>
      <c r="H1409" s="48" t="s">
        <v>94</v>
      </c>
      <c r="I1409" s="52">
        <v>206.15000000000003</v>
      </c>
      <c r="J1409" s="49">
        <v>8477.5300000000007</v>
      </c>
      <c r="K1409" s="65">
        <v>86</v>
      </c>
      <c r="L1409" s="65">
        <v>3558.6844919999994</v>
      </c>
      <c r="M1409" s="65">
        <v>158</v>
      </c>
      <c r="N1409" s="65">
        <v>6535.8932759999989</v>
      </c>
      <c r="O1409" s="65">
        <v>244</v>
      </c>
      <c r="P1409" s="65">
        <v>10094.577767999999</v>
      </c>
      <c r="Q1409" s="50">
        <v>8477.5300000000007</v>
      </c>
      <c r="R1409" s="65">
        <v>0</v>
      </c>
      <c r="S1409" s="65">
        <v>0</v>
      </c>
      <c r="T1409" s="65">
        <v>1617.0477679999985</v>
      </c>
      <c r="U1409" s="65">
        <v>0</v>
      </c>
      <c r="V1409" s="65">
        <v>0</v>
      </c>
      <c r="W1409" s="65">
        <v>0</v>
      </c>
      <c r="X1409" s="65">
        <v>1943</v>
      </c>
      <c r="Y1409" s="65">
        <v>6535</v>
      </c>
      <c r="Z1409" s="65">
        <v>0</v>
      </c>
      <c r="AA1409" s="51">
        <v>0</v>
      </c>
      <c r="AB1409" s="102">
        <v>0</v>
      </c>
      <c r="AC1409" s="81">
        <f t="shared" si="66"/>
        <v>406.17299932088275</v>
      </c>
      <c r="AD1409" s="82">
        <f t="shared" si="67"/>
        <v>29.450000000000006</v>
      </c>
      <c r="AE1409" s="218">
        <v>-0.19074515430791733</v>
      </c>
      <c r="AF1409">
        <v>4</v>
      </c>
      <c r="AH1409" t="str">
        <f t="shared" si="68"/>
        <v>DalsinghSarai</v>
      </c>
      <c r="AJ1409" s="72">
        <v>0</v>
      </c>
      <c r="AK1409" s="72"/>
      <c r="AL1409" s="72"/>
      <c r="AM1409" s="72"/>
    </row>
    <row r="1410" spans="1:39" x14ac:dyDescent="0.25">
      <c r="A1410" s="37" t="s">
        <v>62</v>
      </c>
      <c r="B1410" s="66" t="s">
        <v>1615</v>
      </c>
      <c r="C1410" s="47">
        <v>1012</v>
      </c>
      <c r="D1410" s="47" t="s">
        <v>314</v>
      </c>
      <c r="E1410" s="41">
        <v>10120096</v>
      </c>
      <c r="F1410" s="46" t="s">
        <v>519</v>
      </c>
      <c r="G1410" s="39" t="s">
        <v>635</v>
      </c>
      <c r="H1410" s="48" t="s">
        <v>99</v>
      </c>
      <c r="I1410" s="52">
        <v>353.64</v>
      </c>
      <c r="J1410" s="49">
        <v>13810.94</v>
      </c>
      <c r="K1410" s="65">
        <v>0</v>
      </c>
      <c r="L1410" s="65">
        <v>0</v>
      </c>
      <c r="M1410" s="65">
        <v>0</v>
      </c>
      <c r="N1410" s="65">
        <v>0</v>
      </c>
      <c r="O1410" s="65">
        <v>0</v>
      </c>
      <c r="P1410" s="65">
        <v>0</v>
      </c>
      <c r="Q1410" s="50">
        <v>13810.94</v>
      </c>
      <c r="R1410" s="65">
        <v>0</v>
      </c>
      <c r="S1410" s="65">
        <v>0</v>
      </c>
      <c r="T1410" s="65">
        <v>0</v>
      </c>
      <c r="U1410" s="65">
        <v>13054</v>
      </c>
      <c r="V1410" s="65">
        <v>756.57134903225767</v>
      </c>
      <c r="W1410" s="65">
        <v>0</v>
      </c>
      <c r="X1410" s="65">
        <v>0</v>
      </c>
      <c r="Y1410" s="65">
        <v>0</v>
      </c>
      <c r="Z1410" s="65">
        <v>0.36865096774283757</v>
      </c>
      <c r="AA1410" s="51">
        <v>0</v>
      </c>
      <c r="AB1410" s="102">
        <v>0</v>
      </c>
      <c r="AC1410" s="81">
        <f t="shared" si="66"/>
        <v>270.53258558986539</v>
      </c>
      <c r="AD1410" s="82">
        <f t="shared" si="67"/>
        <v>50.519999999999996</v>
      </c>
      <c r="AE1410" s="218">
        <v>0</v>
      </c>
      <c r="AF1410">
        <v>0</v>
      </c>
      <c r="AH1410" t="str">
        <f t="shared" si="68"/>
        <v>DalsinghSarai</v>
      </c>
      <c r="AJ1410" s="72">
        <v>0</v>
      </c>
      <c r="AK1410" s="72"/>
      <c r="AL1410" s="72"/>
      <c r="AM1410" s="72"/>
    </row>
    <row r="1411" spans="1:39" x14ac:dyDescent="0.25">
      <c r="A1411" s="37" t="s">
        <v>62</v>
      </c>
      <c r="B1411" s="66" t="s">
        <v>1615</v>
      </c>
      <c r="C1411" s="47">
        <v>1012</v>
      </c>
      <c r="D1411" s="47" t="s">
        <v>314</v>
      </c>
      <c r="E1411" s="41">
        <v>10120099</v>
      </c>
      <c r="F1411" s="46" t="s">
        <v>540</v>
      </c>
      <c r="G1411" s="39" t="s">
        <v>635</v>
      </c>
      <c r="H1411" s="48" t="s">
        <v>99</v>
      </c>
      <c r="I1411" s="52">
        <v>5670</v>
      </c>
      <c r="J1411" s="49">
        <v>214787.16</v>
      </c>
      <c r="K1411" s="65">
        <v>0</v>
      </c>
      <c r="L1411" s="65">
        <v>0</v>
      </c>
      <c r="M1411" s="65">
        <v>0</v>
      </c>
      <c r="N1411" s="65">
        <v>0</v>
      </c>
      <c r="O1411" s="65">
        <v>0</v>
      </c>
      <c r="P1411" s="65">
        <v>0</v>
      </c>
      <c r="Q1411" s="50">
        <v>214787.16</v>
      </c>
      <c r="R1411" s="65">
        <v>0</v>
      </c>
      <c r="S1411" s="65">
        <v>0</v>
      </c>
      <c r="T1411" s="65">
        <v>0</v>
      </c>
      <c r="U1411" s="65">
        <v>0</v>
      </c>
      <c r="V1411" s="65">
        <v>4814.8379999999979</v>
      </c>
      <c r="W1411" s="65">
        <v>0</v>
      </c>
      <c r="X1411" s="65">
        <v>0</v>
      </c>
      <c r="Y1411" s="65">
        <v>0</v>
      </c>
      <c r="Z1411" s="65">
        <v>209972.32200000001</v>
      </c>
      <c r="AA1411" s="51">
        <v>0</v>
      </c>
      <c r="AB1411" s="102">
        <v>0</v>
      </c>
      <c r="AC1411" s="81">
        <f t="shared" ref="AC1411:AC1474" si="69">((IF(AD1411=0,0,100-AD1411))*7*(J1411/I1411))*2%</f>
        <v>0</v>
      </c>
      <c r="AD1411" s="82">
        <f t="shared" ref="AD1411:AD1474" si="70">IF((I1411/7)&gt;100,0,(I1411/7))</f>
        <v>0</v>
      </c>
      <c r="AE1411" s="218">
        <v>0</v>
      </c>
      <c r="AF1411">
        <v>0</v>
      </c>
      <c r="AH1411" t="str">
        <f t="shared" si="68"/>
        <v>DalsinghSarai</v>
      </c>
      <c r="AJ1411" s="72">
        <v>0</v>
      </c>
      <c r="AK1411" s="72"/>
      <c r="AL1411" s="72"/>
      <c r="AM1411" s="72"/>
    </row>
    <row r="1412" spans="1:39" x14ac:dyDescent="0.25">
      <c r="A1412" s="37" t="s">
        <v>62</v>
      </c>
      <c r="B1412" s="66" t="s">
        <v>1615</v>
      </c>
      <c r="C1412" s="47">
        <v>1012</v>
      </c>
      <c r="D1412" s="47" t="s">
        <v>314</v>
      </c>
      <c r="E1412" s="41">
        <v>10120103</v>
      </c>
      <c r="F1412" s="46" t="s">
        <v>577</v>
      </c>
      <c r="G1412" s="39" t="s">
        <v>635</v>
      </c>
      <c r="H1412" s="48" t="s">
        <v>99</v>
      </c>
      <c r="I1412" s="52">
        <v>997</v>
      </c>
      <c r="J1412" s="49">
        <v>37017.769999999997</v>
      </c>
      <c r="K1412" s="65">
        <v>0</v>
      </c>
      <c r="L1412" s="65">
        <v>0</v>
      </c>
      <c r="M1412" s="65">
        <v>0</v>
      </c>
      <c r="N1412" s="65">
        <v>0</v>
      </c>
      <c r="O1412" s="65">
        <v>0</v>
      </c>
      <c r="P1412" s="65">
        <v>0</v>
      </c>
      <c r="Q1412" s="50">
        <v>37017.769999999997</v>
      </c>
      <c r="R1412" s="65">
        <v>0</v>
      </c>
      <c r="S1412" s="65">
        <v>0</v>
      </c>
      <c r="T1412" s="65">
        <v>0</v>
      </c>
      <c r="U1412" s="65">
        <v>0</v>
      </c>
      <c r="V1412" s="65">
        <v>0</v>
      </c>
      <c r="W1412" s="65">
        <v>0</v>
      </c>
      <c r="X1412" s="65">
        <v>0</v>
      </c>
      <c r="Y1412" s="65">
        <v>0</v>
      </c>
      <c r="Z1412" s="65">
        <v>37017.769999999997</v>
      </c>
      <c r="AA1412" s="51">
        <v>0</v>
      </c>
      <c r="AB1412" s="102">
        <v>0</v>
      </c>
      <c r="AC1412" s="81">
        <f t="shared" si="69"/>
        <v>0</v>
      </c>
      <c r="AD1412" s="82">
        <f t="shared" si="70"/>
        <v>0</v>
      </c>
      <c r="AE1412" s="218">
        <v>0</v>
      </c>
      <c r="AF1412">
        <v>0</v>
      </c>
      <c r="AH1412" t="str">
        <f t="shared" si="68"/>
        <v>DalsinghSarai</v>
      </c>
      <c r="AJ1412" s="72">
        <v>0</v>
      </c>
      <c r="AK1412" s="72"/>
      <c r="AL1412" s="72"/>
      <c r="AM1412" s="72"/>
    </row>
    <row r="1413" spans="1:39" x14ac:dyDescent="0.25">
      <c r="A1413" s="37" t="s">
        <v>62</v>
      </c>
      <c r="B1413" s="66" t="s">
        <v>1615</v>
      </c>
      <c r="C1413" s="47">
        <v>1012</v>
      </c>
      <c r="D1413" s="47" t="s">
        <v>314</v>
      </c>
      <c r="E1413" s="41">
        <v>10120104</v>
      </c>
      <c r="F1413" s="46" t="s">
        <v>667</v>
      </c>
      <c r="G1413" s="39" t="s">
        <v>93</v>
      </c>
      <c r="H1413" s="48" t="s">
        <v>94</v>
      </c>
      <c r="I1413" s="52">
        <v>863.8599999999999</v>
      </c>
      <c r="J1413" s="49">
        <v>32966.25</v>
      </c>
      <c r="K1413" s="65">
        <v>359</v>
      </c>
      <c r="L1413" s="65">
        <v>13868.177954400002</v>
      </c>
      <c r="M1413" s="65">
        <v>569.20000000000005</v>
      </c>
      <c r="N1413" s="65">
        <v>21934.079038080006</v>
      </c>
      <c r="O1413" s="65">
        <v>928.2</v>
      </c>
      <c r="P1413" s="65">
        <v>35802.256992480005</v>
      </c>
      <c r="Q1413" s="50">
        <v>32966.25</v>
      </c>
      <c r="R1413" s="65">
        <v>0</v>
      </c>
      <c r="S1413" s="65">
        <v>0</v>
      </c>
      <c r="T1413" s="65">
        <v>2836.0069924800046</v>
      </c>
      <c r="U1413" s="65">
        <v>84</v>
      </c>
      <c r="V1413" s="65">
        <v>0</v>
      </c>
      <c r="W1413" s="65">
        <v>0</v>
      </c>
      <c r="X1413" s="65">
        <v>10948</v>
      </c>
      <c r="Y1413" s="65">
        <v>21934</v>
      </c>
      <c r="Z1413" s="65">
        <v>0</v>
      </c>
      <c r="AA1413" s="51">
        <v>0</v>
      </c>
      <c r="AB1413" s="102" t="s">
        <v>66</v>
      </c>
      <c r="AC1413" s="81">
        <f t="shared" si="69"/>
        <v>0</v>
      </c>
      <c r="AD1413" s="82">
        <f t="shared" si="70"/>
        <v>0</v>
      </c>
      <c r="AE1413" s="218">
        <v>-8.6027588593789242E-2</v>
      </c>
      <c r="AF1413">
        <v>4</v>
      </c>
      <c r="AH1413" t="str">
        <f t="shared" si="68"/>
        <v>DalsinghSarai</v>
      </c>
      <c r="AJ1413" s="72">
        <v>0</v>
      </c>
      <c r="AK1413" s="72"/>
      <c r="AL1413" s="72"/>
      <c r="AM1413" s="72"/>
    </row>
    <row r="1414" spans="1:39" x14ac:dyDescent="0.25">
      <c r="A1414" s="37" t="s">
        <v>62</v>
      </c>
      <c r="B1414" s="66" t="s">
        <v>1615</v>
      </c>
      <c r="C1414" s="47">
        <v>1012</v>
      </c>
      <c r="D1414" s="47" t="s">
        <v>314</v>
      </c>
      <c r="E1414" s="41">
        <v>10120106</v>
      </c>
      <c r="F1414" s="46" t="s">
        <v>660</v>
      </c>
      <c r="G1414" s="39" t="s">
        <v>635</v>
      </c>
      <c r="H1414" s="48" t="s">
        <v>99</v>
      </c>
      <c r="I1414" s="52">
        <v>995</v>
      </c>
      <c r="J1414" s="49">
        <v>34383.35</v>
      </c>
      <c r="K1414" s="65">
        <v>0</v>
      </c>
      <c r="L1414" s="65">
        <v>0</v>
      </c>
      <c r="M1414" s="65">
        <v>0</v>
      </c>
      <c r="N1414" s="65">
        <v>0</v>
      </c>
      <c r="O1414" s="65">
        <v>0</v>
      </c>
      <c r="P1414" s="65">
        <v>0</v>
      </c>
      <c r="Q1414" s="50">
        <v>34383.35</v>
      </c>
      <c r="R1414" s="65">
        <v>0</v>
      </c>
      <c r="S1414" s="65">
        <v>0</v>
      </c>
      <c r="T1414" s="65">
        <v>0</v>
      </c>
      <c r="U1414" s="65">
        <v>0</v>
      </c>
      <c r="V1414" s="65">
        <v>1869.6493548387105</v>
      </c>
      <c r="W1414" s="65">
        <v>0</v>
      </c>
      <c r="X1414" s="65">
        <v>0</v>
      </c>
      <c r="Y1414" s="65">
        <v>0</v>
      </c>
      <c r="Z1414" s="65">
        <v>32513.700645161287</v>
      </c>
      <c r="AA1414" s="51">
        <v>0</v>
      </c>
      <c r="AB1414" s="102">
        <v>0</v>
      </c>
      <c r="AC1414" s="81">
        <f t="shared" si="69"/>
        <v>0</v>
      </c>
      <c r="AD1414" s="82">
        <f t="shared" si="70"/>
        <v>0</v>
      </c>
      <c r="AE1414" s="218">
        <v>0</v>
      </c>
      <c r="AF1414">
        <v>0</v>
      </c>
      <c r="AH1414" t="str">
        <f t="shared" si="68"/>
        <v>DalsinghSarai</v>
      </c>
      <c r="AJ1414" s="72">
        <v>0</v>
      </c>
      <c r="AK1414" s="72"/>
      <c r="AL1414" s="72"/>
      <c r="AM1414" s="72"/>
    </row>
    <row r="1415" spans="1:39" x14ac:dyDescent="0.25">
      <c r="A1415" s="37" t="s">
        <v>62</v>
      </c>
      <c r="B1415" s="66" t="s">
        <v>1615</v>
      </c>
      <c r="C1415" s="47">
        <v>1012</v>
      </c>
      <c r="D1415" s="47" t="s">
        <v>314</v>
      </c>
      <c r="E1415" s="41">
        <v>10120107</v>
      </c>
      <c r="F1415" s="46" t="s">
        <v>668</v>
      </c>
      <c r="G1415" s="39" t="s">
        <v>93</v>
      </c>
      <c r="H1415" s="48" t="s">
        <v>94</v>
      </c>
      <c r="I1415" s="52">
        <v>705.48</v>
      </c>
      <c r="J1415" s="49">
        <v>26685.539999999997</v>
      </c>
      <c r="K1415" s="65">
        <v>625.63000000000011</v>
      </c>
      <c r="L1415" s="65">
        <v>23665.526810620202</v>
      </c>
      <c r="M1415" s="65">
        <v>0</v>
      </c>
      <c r="N1415" s="65">
        <v>0</v>
      </c>
      <c r="O1415" s="65">
        <v>625.63000000000011</v>
      </c>
      <c r="P1415" s="65">
        <v>23665.526810620202</v>
      </c>
      <c r="Q1415" s="50">
        <v>23665.526810620202</v>
      </c>
      <c r="R1415" s="65">
        <v>0</v>
      </c>
      <c r="S1415" s="65">
        <v>0</v>
      </c>
      <c r="T1415" s="65">
        <v>0</v>
      </c>
      <c r="U1415" s="65">
        <v>0</v>
      </c>
      <c r="V1415" s="65">
        <v>0</v>
      </c>
      <c r="W1415" s="65">
        <v>0</v>
      </c>
      <c r="X1415" s="65">
        <v>23666</v>
      </c>
      <c r="Y1415" s="65">
        <v>0</v>
      </c>
      <c r="Z1415" s="65">
        <v>0</v>
      </c>
      <c r="AA1415" s="51">
        <v>3020</v>
      </c>
      <c r="AB1415" s="102">
        <v>0</v>
      </c>
      <c r="AC1415" s="81">
        <f t="shared" si="69"/>
        <v>0</v>
      </c>
      <c r="AD1415" s="82">
        <f t="shared" si="70"/>
        <v>0</v>
      </c>
      <c r="AE1415" s="218">
        <v>0.11317039825237921</v>
      </c>
      <c r="AF1415">
        <v>1</v>
      </c>
      <c r="AH1415" t="str">
        <f t="shared" si="68"/>
        <v>DalsinghSarai</v>
      </c>
      <c r="AJ1415" s="72">
        <v>0</v>
      </c>
      <c r="AK1415" s="72"/>
      <c r="AL1415" s="72"/>
      <c r="AM1415" s="72"/>
    </row>
    <row r="1416" spans="1:39" x14ac:dyDescent="0.25">
      <c r="A1416" s="37" t="s">
        <v>62</v>
      </c>
      <c r="B1416" s="66" t="s">
        <v>1615</v>
      </c>
      <c r="C1416" s="47">
        <v>1012</v>
      </c>
      <c r="D1416" s="47" t="s">
        <v>314</v>
      </c>
      <c r="E1416" s="41">
        <v>10120108</v>
      </c>
      <c r="F1416" s="46" t="s">
        <v>1122</v>
      </c>
      <c r="G1416" s="39" t="s">
        <v>93</v>
      </c>
      <c r="H1416" s="48" t="s">
        <v>94</v>
      </c>
      <c r="I1416" s="52">
        <v>904.67</v>
      </c>
      <c r="J1416" s="49">
        <v>35048.519999999997</v>
      </c>
      <c r="K1416" s="65">
        <v>607.09999999999991</v>
      </c>
      <c r="L1416" s="65">
        <v>24708.759989186001</v>
      </c>
      <c r="M1416" s="65">
        <v>321.7</v>
      </c>
      <c r="N1416" s="65">
        <v>12703.106753289501</v>
      </c>
      <c r="O1416" s="65">
        <v>928.8</v>
      </c>
      <c r="P1416" s="65">
        <v>37411.866742475504</v>
      </c>
      <c r="Q1416" s="50">
        <v>35048.519999999997</v>
      </c>
      <c r="R1416" s="65">
        <v>0</v>
      </c>
      <c r="S1416" s="65">
        <v>0</v>
      </c>
      <c r="T1416" s="65">
        <v>2363.3467424755072</v>
      </c>
      <c r="U1416" s="65">
        <v>0</v>
      </c>
      <c r="V1416" s="65">
        <v>0</v>
      </c>
      <c r="W1416" s="65">
        <v>0</v>
      </c>
      <c r="X1416" s="65">
        <v>22345</v>
      </c>
      <c r="Y1416" s="65">
        <v>12704</v>
      </c>
      <c r="Z1416" s="65">
        <v>0</v>
      </c>
      <c r="AA1416" s="51">
        <v>0</v>
      </c>
      <c r="AB1416" s="102">
        <v>0</v>
      </c>
      <c r="AC1416" s="81">
        <f t="shared" si="69"/>
        <v>0</v>
      </c>
      <c r="AD1416" s="82">
        <f t="shared" si="70"/>
        <v>0</v>
      </c>
      <c r="AE1416" s="218">
        <v>-6.7430714406072137E-2</v>
      </c>
      <c r="AF1416">
        <v>11</v>
      </c>
      <c r="AH1416" t="str">
        <f t="shared" si="68"/>
        <v>DalsinghSarai</v>
      </c>
      <c r="AJ1416" s="72">
        <v>0</v>
      </c>
      <c r="AK1416" s="72"/>
      <c r="AL1416" s="72"/>
      <c r="AM1416" s="72"/>
    </row>
    <row r="1417" spans="1:39" x14ac:dyDescent="0.25">
      <c r="A1417" s="37" t="s">
        <v>62</v>
      </c>
      <c r="B1417" s="66" t="s">
        <v>1615</v>
      </c>
      <c r="C1417" s="47">
        <v>1012</v>
      </c>
      <c r="D1417" s="47" t="s">
        <v>314</v>
      </c>
      <c r="E1417" s="41">
        <v>10120109</v>
      </c>
      <c r="F1417" s="46" t="s">
        <v>1498</v>
      </c>
      <c r="G1417" s="39" t="s">
        <v>635</v>
      </c>
      <c r="H1417" s="48" t="s">
        <v>99</v>
      </c>
      <c r="I1417" s="52">
        <v>1410.6100000000001</v>
      </c>
      <c r="J1417" s="49">
        <v>47447.69</v>
      </c>
      <c r="K1417" s="65">
        <v>0</v>
      </c>
      <c r="L1417" s="65">
        <v>0</v>
      </c>
      <c r="M1417" s="65">
        <v>0</v>
      </c>
      <c r="N1417" s="65">
        <v>0</v>
      </c>
      <c r="O1417" s="65">
        <v>0</v>
      </c>
      <c r="P1417" s="65">
        <v>0</v>
      </c>
      <c r="Q1417" s="50">
        <v>47447.69</v>
      </c>
      <c r="R1417" s="65">
        <v>0</v>
      </c>
      <c r="S1417" s="65">
        <v>0</v>
      </c>
      <c r="T1417" s="65">
        <v>0</v>
      </c>
      <c r="U1417" s="65">
        <v>0</v>
      </c>
      <c r="V1417" s="65">
        <v>0</v>
      </c>
      <c r="W1417" s="65">
        <v>0</v>
      </c>
      <c r="X1417" s="65">
        <v>0</v>
      </c>
      <c r="Y1417" s="65">
        <v>0</v>
      </c>
      <c r="Z1417" s="65">
        <v>47447.69</v>
      </c>
      <c r="AA1417" s="51">
        <v>0</v>
      </c>
      <c r="AB1417" s="102">
        <v>0</v>
      </c>
      <c r="AC1417" s="81">
        <f t="shared" si="69"/>
        <v>0</v>
      </c>
      <c r="AD1417" s="82">
        <f t="shared" si="70"/>
        <v>0</v>
      </c>
      <c r="AE1417" s="218">
        <v>0</v>
      </c>
      <c r="AF1417">
        <v>0</v>
      </c>
      <c r="AH1417" t="str">
        <f t="shared" si="68"/>
        <v>DalsinghSarai</v>
      </c>
      <c r="AJ1417" s="72">
        <v>0</v>
      </c>
      <c r="AK1417" s="72"/>
      <c r="AL1417" s="72"/>
      <c r="AM1417" s="72"/>
    </row>
    <row r="1418" spans="1:39" x14ac:dyDescent="0.25">
      <c r="A1418" s="37" t="s">
        <v>62</v>
      </c>
      <c r="B1418" s="66" t="s">
        <v>1615</v>
      </c>
      <c r="C1418" s="47">
        <v>1012</v>
      </c>
      <c r="D1418" s="47" t="s">
        <v>314</v>
      </c>
      <c r="E1418" s="41">
        <v>10120110</v>
      </c>
      <c r="F1418" s="46" t="s">
        <v>1268</v>
      </c>
      <c r="G1418" s="39" t="s">
        <v>635</v>
      </c>
      <c r="H1418" s="48" t="s">
        <v>99</v>
      </c>
      <c r="I1418" s="52">
        <v>964.56</v>
      </c>
      <c r="J1418" s="49">
        <v>37511.03</v>
      </c>
      <c r="K1418" s="65">
        <v>0</v>
      </c>
      <c r="L1418" s="65">
        <v>0</v>
      </c>
      <c r="M1418" s="65">
        <v>0</v>
      </c>
      <c r="N1418" s="65">
        <v>0</v>
      </c>
      <c r="O1418" s="65">
        <v>0</v>
      </c>
      <c r="P1418" s="65">
        <v>0</v>
      </c>
      <c r="Q1418" s="50">
        <v>37511.03</v>
      </c>
      <c r="R1418" s="65">
        <v>0</v>
      </c>
      <c r="S1418" s="65">
        <v>0</v>
      </c>
      <c r="T1418" s="65">
        <v>0</v>
      </c>
      <c r="U1418" s="65">
        <v>0</v>
      </c>
      <c r="V1418" s="65">
        <v>0</v>
      </c>
      <c r="W1418" s="65">
        <v>0</v>
      </c>
      <c r="X1418" s="65">
        <v>0</v>
      </c>
      <c r="Y1418" s="65">
        <v>0</v>
      </c>
      <c r="Z1418" s="65">
        <v>37511.03</v>
      </c>
      <c r="AA1418" s="51">
        <v>0</v>
      </c>
      <c r="AB1418" s="102">
        <v>0</v>
      </c>
      <c r="AC1418" s="81">
        <f t="shared" si="69"/>
        <v>0</v>
      </c>
      <c r="AD1418" s="82">
        <f t="shared" si="70"/>
        <v>0</v>
      </c>
      <c r="AE1418" s="218">
        <v>0</v>
      </c>
      <c r="AF1418">
        <v>0</v>
      </c>
      <c r="AH1418" t="str">
        <f t="shared" si="68"/>
        <v>DalsinghSarai</v>
      </c>
      <c r="AJ1418" s="72">
        <v>0</v>
      </c>
      <c r="AK1418" s="72"/>
      <c r="AL1418" s="72"/>
      <c r="AM1418" s="72"/>
    </row>
    <row r="1419" spans="1:39" x14ac:dyDescent="0.25">
      <c r="A1419" s="37" t="s">
        <v>62</v>
      </c>
      <c r="B1419" s="66" t="s">
        <v>1615</v>
      </c>
      <c r="C1419" s="47">
        <v>1012</v>
      </c>
      <c r="D1419" s="47" t="s">
        <v>314</v>
      </c>
      <c r="E1419" s="41">
        <v>10120111</v>
      </c>
      <c r="F1419" s="46" t="s">
        <v>1176</v>
      </c>
      <c r="G1419" s="39" t="s">
        <v>93</v>
      </c>
      <c r="H1419" s="48" t="s">
        <v>94</v>
      </c>
      <c r="I1419" s="52">
        <v>1281.3700000000003</v>
      </c>
      <c r="J1419" s="49">
        <v>49068.739999999991</v>
      </c>
      <c r="K1419" s="65">
        <v>262.7</v>
      </c>
      <c r="L1419" s="65">
        <v>10642.595659031011</v>
      </c>
      <c r="M1419" s="65">
        <v>1018.6700000000001</v>
      </c>
      <c r="N1419" s="65">
        <v>39258.427856664035</v>
      </c>
      <c r="O1419" s="65">
        <v>1281.3700000000001</v>
      </c>
      <c r="P1419" s="65">
        <v>49901.023515695044</v>
      </c>
      <c r="Q1419" s="50">
        <v>49068.739999999991</v>
      </c>
      <c r="R1419" s="65">
        <v>0</v>
      </c>
      <c r="S1419" s="65">
        <v>309.60802818000002</v>
      </c>
      <c r="T1419" s="65">
        <v>832.28351569505321</v>
      </c>
      <c r="U1419" s="65">
        <v>0</v>
      </c>
      <c r="V1419" s="65">
        <v>0</v>
      </c>
      <c r="W1419" s="65">
        <v>0</v>
      </c>
      <c r="X1419" s="65">
        <v>9810</v>
      </c>
      <c r="Y1419" s="65">
        <v>38949</v>
      </c>
      <c r="Z1419" s="65">
        <v>0</v>
      </c>
      <c r="AA1419" s="51">
        <v>0</v>
      </c>
      <c r="AB1419" s="102">
        <v>0</v>
      </c>
      <c r="AC1419" s="81">
        <f t="shared" si="69"/>
        <v>0</v>
      </c>
      <c r="AD1419" s="82">
        <f t="shared" si="70"/>
        <v>0</v>
      </c>
      <c r="AE1419" s="218">
        <v>-1.6961583193190886E-2</v>
      </c>
      <c r="AF1419">
        <v>11</v>
      </c>
      <c r="AH1419" t="str">
        <f t="shared" si="68"/>
        <v>DalsinghSarai</v>
      </c>
      <c r="AJ1419" s="72">
        <v>0</v>
      </c>
      <c r="AK1419" s="72"/>
      <c r="AL1419" s="72"/>
      <c r="AM1419" s="72"/>
    </row>
    <row r="1420" spans="1:39" x14ac:dyDescent="0.25">
      <c r="A1420" s="37" t="s">
        <v>62</v>
      </c>
      <c r="B1420" s="66" t="s">
        <v>1615</v>
      </c>
      <c r="C1420" s="47">
        <v>1012</v>
      </c>
      <c r="D1420" s="47" t="s">
        <v>314</v>
      </c>
      <c r="E1420" s="41">
        <v>10120113</v>
      </c>
      <c r="F1420" s="46" t="s">
        <v>1260</v>
      </c>
      <c r="G1420" s="39" t="s">
        <v>93</v>
      </c>
      <c r="H1420" s="48" t="s">
        <v>94</v>
      </c>
      <c r="I1420" s="52">
        <v>59.870000000000005</v>
      </c>
      <c r="J1420" s="49">
        <v>2354.63</v>
      </c>
      <c r="K1420" s="65">
        <v>60.84</v>
      </c>
      <c r="L1420" s="65">
        <v>2585.0278549855402</v>
      </c>
      <c r="M1420" s="65">
        <v>0</v>
      </c>
      <c r="N1420" s="65">
        <v>0</v>
      </c>
      <c r="O1420" s="65">
        <v>60.84</v>
      </c>
      <c r="P1420" s="65">
        <v>2585.0278549855402</v>
      </c>
      <c r="Q1420" s="50">
        <v>2354.63</v>
      </c>
      <c r="R1420" s="65">
        <v>0</v>
      </c>
      <c r="S1420" s="65">
        <v>0</v>
      </c>
      <c r="T1420" s="65">
        <v>230.39785498554011</v>
      </c>
      <c r="U1420" s="65">
        <v>0</v>
      </c>
      <c r="V1420" s="65">
        <v>0</v>
      </c>
      <c r="W1420" s="65">
        <v>0</v>
      </c>
      <c r="X1420" s="65">
        <v>2355</v>
      </c>
      <c r="Y1420" s="65">
        <v>0</v>
      </c>
      <c r="Z1420" s="65">
        <v>0</v>
      </c>
      <c r="AA1420" s="51">
        <v>0</v>
      </c>
      <c r="AB1420" s="102">
        <v>0</v>
      </c>
      <c r="AC1420" s="81">
        <f t="shared" si="69"/>
        <v>503.51404773676296</v>
      </c>
      <c r="AD1420" s="82">
        <f t="shared" si="70"/>
        <v>8.5528571428571443</v>
      </c>
      <c r="AE1420" s="218">
        <v>-9.7848857351490515E-2</v>
      </c>
      <c r="AF1420">
        <v>2</v>
      </c>
      <c r="AH1420" t="str">
        <f t="shared" si="68"/>
        <v>DalsinghSarai</v>
      </c>
      <c r="AJ1420" s="72">
        <v>0</v>
      </c>
      <c r="AK1420" s="72"/>
      <c r="AL1420" s="72"/>
      <c r="AM1420" s="72"/>
    </row>
    <row r="1421" spans="1:39" x14ac:dyDescent="0.25">
      <c r="A1421" s="37" t="s">
        <v>62</v>
      </c>
      <c r="B1421" s="66" t="s">
        <v>1615</v>
      </c>
      <c r="C1421" s="47">
        <v>1012</v>
      </c>
      <c r="D1421" s="47" t="s">
        <v>314</v>
      </c>
      <c r="E1421" s="41">
        <v>10120114</v>
      </c>
      <c r="F1421" s="46" t="s">
        <v>1217</v>
      </c>
      <c r="G1421" s="39" t="s">
        <v>93</v>
      </c>
      <c r="H1421" s="48" t="s">
        <v>94</v>
      </c>
      <c r="I1421" s="52">
        <v>170.3</v>
      </c>
      <c r="J1421" s="49">
        <v>7027.21</v>
      </c>
      <c r="K1421" s="65">
        <v>120.10000000000001</v>
      </c>
      <c r="L1421" s="65">
        <v>4947.69259908</v>
      </c>
      <c r="M1421" s="65">
        <v>53.1</v>
      </c>
      <c r="N1421" s="65">
        <v>2172.9267426098254</v>
      </c>
      <c r="O1421" s="65">
        <v>173.20000000000002</v>
      </c>
      <c r="P1421" s="65">
        <v>7120.6193416898259</v>
      </c>
      <c r="Q1421" s="50">
        <v>7027.21</v>
      </c>
      <c r="R1421" s="65">
        <v>0</v>
      </c>
      <c r="S1421" s="65">
        <v>0</v>
      </c>
      <c r="T1421" s="65">
        <v>93.409341689825851</v>
      </c>
      <c r="U1421" s="65">
        <v>0</v>
      </c>
      <c r="V1421" s="65">
        <v>0</v>
      </c>
      <c r="W1421" s="65">
        <v>0</v>
      </c>
      <c r="X1421" s="65">
        <v>4855</v>
      </c>
      <c r="Y1421" s="65">
        <v>2172</v>
      </c>
      <c r="Z1421" s="65">
        <v>0</v>
      </c>
      <c r="AA1421" s="51">
        <v>0</v>
      </c>
      <c r="AB1421" s="102">
        <v>0</v>
      </c>
      <c r="AC1421" s="81">
        <f t="shared" si="69"/>
        <v>437.14775537287142</v>
      </c>
      <c r="AD1421" s="82">
        <f t="shared" si="70"/>
        <v>24.328571428571429</v>
      </c>
      <c r="AE1421" s="218">
        <v>-1.3292521739043781E-2</v>
      </c>
      <c r="AF1421">
        <v>5</v>
      </c>
      <c r="AH1421" t="str">
        <f t="shared" si="68"/>
        <v>DalsinghSarai</v>
      </c>
      <c r="AJ1421" s="72">
        <v>0</v>
      </c>
      <c r="AK1421" s="72"/>
      <c r="AL1421" s="72"/>
      <c r="AM1421" s="72"/>
    </row>
    <row r="1422" spans="1:39" x14ac:dyDescent="0.25">
      <c r="A1422" s="37" t="s">
        <v>62</v>
      </c>
      <c r="B1422" s="66" t="s">
        <v>1615</v>
      </c>
      <c r="C1422" s="47">
        <v>1012</v>
      </c>
      <c r="D1422" s="47" t="s">
        <v>314</v>
      </c>
      <c r="E1422" s="41">
        <v>10120115</v>
      </c>
      <c r="F1422" s="46" t="s">
        <v>1223</v>
      </c>
      <c r="G1422" s="39" t="s">
        <v>635</v>
      </c>
      <c r="H1422" s="48" t="s">
        <v>99</v>
      </c>
      <c r="I1422" s="52">
        <v>700.75</v>
      </c>
      <c r="J1422" s="49">
        <v>25602.53</v>
      </c>
      <c r="K1422" s="65">
        <v>0</v>
      </c>
      <c r="L1422" s="65">
        <v>0</v>
      </c>
      <c r="M1422" s="65">
        <v>0</v>
      </c>
      <c r="N1422" s="65">
        <v>0</v>
      </c>
      <c r="O1422" s="65">
        <v>0</v>
      </c>
      <c r="P1422" s="65">
        <v>0</v>
      </c>
      <c r="Q1422" s="50">
        <v>25602.53</v>
      </c>
      <c r="R1422" s="65">
        <v>0</v>
      </c>
      <c r="S1422" s="65">
        <v>0</v>
      </c>
      <c r="T1422" s="65">
        <v>0</v>
      </c>
      <c r="U1422" s="65">
        <v>0</v>
      </c>
      <c r="V1422" s="65">
        <v>319.63877032258131</v>
      </c>
      <c r="W1422" s="65">
        <v>0</v>
      </c>
      <c r="X1422" s="65">
        <v>0</v>
      </c>
      <c r="Y1422" s="65">
        <v>0</v>
      </c>
      <c r="Z1422" s="65">
        <v>25282.891229677418</v>
      </c>
      <c r="AA1422" s="51">
        <v>0</v>
      </c>
      <c r="AB1422" s="102">
        <v>0</v>
      </c>
      <c r="AC1422" s="81">
        <f t="shared" si="69"/>
        <v>0</v>
      </c>
      <c r="AD1422" s="82">
        <f t="shared" si="70"/>
        <v>0</v>
      </c>
      <c r="AE1422" s="218">
        <v>0</v>
      </c>
      <c r="AF1422">
        <v>0</v>
      </c>
      <c r="AH1422" t="str">
        <f t="shared" si="68"/>
        <v>DalsinghSarai</v>
      </c>
      <c r="AJ1422" s="72">
        <v>0</v>
      </c>
      <c r="AK1422" s="72"/>
      <c r="AL1422" s="72"/>
      <c r="AM1422" s="72"/>
    </row>
    <row r="1423" spans="1:39" x14ac:dyDescent="0.25">
      <c r="A1423" s="37" t="s">
        <v>62</v>
      </c>
      <c r="B1423" s="66" t="s">
        <v>1615</v>
      </c>
      <c r="C1423" s="47">
        <v>1012</v>
      </c>
      <c r="D1423" s="47" t="s">
        <v>314</v>
      </c>
      <c r="E1423" s="41">
        <v>10120116</v>
      </c>
      <c r="F1423" s="46" t="s">
        <v>1269</v>
      </c>
      <c r="G1423" s="39" t="s">
        <v>93</v>
      </c>
      <c r="H1423" s="48" t="s">
        <v>94</v>
      </c>
      <c r="I1423" s="52">
        <v>1701.33</v>
      </c>
      <c r="J1423" s="49">
        <v>69475.889999999985</v>
      </c>
      <c r="K1423" s="65">
        <v>551.70000000000005</v>
      </c>
      <c r="L1423" s="65">
        <v>19774.092238855505</v>
      </c>
      <c r="M1423" s="65">
        <v>1170.2999999999997</v>
      </c>
      <c r="N1423" s="65">
        <v>49613.713609192506</v>
      </c>
      <c r="O1423" s="65">
        <v>1721.9999999999998</v>
      </c>
      <c r="P1423" s="65">
        <v>69387.80584804801</v>
      </c>
      <c r="Q1423" s="50">
        <v>69387.80584804801</v>
      </c>
      <c r="R1423" s="65">
        <v>0</v>
      </c>
      <c r="S1423" s="65">
        <v>1653.6419002482</v>
      </c>
      <c r="T1423" s="65">
        <v>0</v>
      </c>
      <c r="U1423" s="65">
        <v>0</v>
      </c>
      <c r="V1423" s="65">
        <v>0</v>
      </c>
      <c r="W1423" s="65">
        <v>0</v>
      </c>
      <c r="X1423" s="65">
        <v>19774</v>
      </c>
      <c r="Y1423" s="65">
        <v>47959</v>
      </c>
      <c r="Z1423" s="65">
        <v>0</v>
      </c>
      <c r="AA1423" s="51">
        <v>89</v>
      </c>
      <c r="AB1423" s="102">
        <v>0</v>
      </c>
      <c r="AC1423" s="81">
        <f t="shared" si="69"/>
        <v>0</v>
      </c>
      <c r="AD1423" s="82">
        <f t="shared" si="70"/>
        <v>0</v>
      </c>
      <c r="AE1423" s="218">
        <v>1.2678376909165828E-3</v>
      </c>
      <c r="AF1423">
        <v>27</v>
      </c>
      <c r="AH1423" t="str">
        <f t="shared" si="68"/>
        <v>DalsinghSarai</v>
      </c>
      <c r="AJ1423" s="72">
        <v>0</v>
      </c>
      <c r="AK1423" s="72"/>
      <c r="AL1423" s="72"/>
      <c r="AM1423" s="72"/>
    </row>
    <row r="1424" spans="1:39" x14ac:dyDescent="0.25">
      <c r="A1424" s="37" t="s">
        <v>62</v>
      </c>
      <c r="B1424" s="66" t="s">
        <v>1615</v>
      </c>
      <c r="C1424" s="47">
        <v>1012</v>
      </c>
      <c r="D1424" s="47" t="s">
        <v>314</v>
      </c>
      <c r="E1424" s="41">
        <v>10120120</v>
      </c>
      <c r="F1424" s="46" t="s">
        <v>1424</v>
      </c>
      <c r="G1424" s="39" t="s">
        <v>93</v>
      </c>
      <c r="H1424" s="48" t="s">
        <v>94</v>
      </c>
      <c r="I1424" s="52">
        <v>307.02</v>
      </c>
      <c r="J1424" s="49">
        <v>11783.439999999999</v>
      </c>
      <c r="K1424" s="65">
        <v>138.79000000000002</v>
      </c>
      <c r="L1424" s="65">
        <v>5538.1856857866005</v>
      </c>
      <c r="M1424" s="65">
        <v>157.88000000000002</v>
      </c>
      <c r="N1424" s="65">
        <v>6244.410075604801</v>
      </c>
      <c r="O1424" s="65">
        <v>296.67000000000007</v>
      </c>
      <c r="P1424" s="65">
        <v>11782.595761391402</v>
      </c>
      <c r="Q1424" s="50">
        <v>11782.595761391402</v>
      </c>
      <c r="R1424" s="65">
        <v>0</v>
      </c>
      <c r="S1424" s="65">
        <v>0</v>
      </c>
      <c r="T1424" s="65">
        <v>0</v>
      </c>
      <c r="U1424" s="65">
        <v>0</v>
      </c>
      <c r="V1424" s="65">
        <v>0</v>
      </c>
      <c r="W1424" s="65">
        <v>0</v>
      </c>
      <c r="X1424" s="65">
        <v>5538</v>
      </c>
      <c r="Y1424" s="65">
        <v>6245</v>
      </c>
      <c r="Z1424" s="65">
        <v>0</v>
      </c>
      <c r="AA1424" s="51">
        <v>0</v>
      </c>
      <c r="AB1424" s="102" t="s">
        <v>66</v>
      </c>
      <c r="AC1424" s="81">
        <f t="shared" si="69"/>
        <v>301.65176543547648</v>
      </c>
      <c r="AD1424" s="82">
        <f t="shared" si="70"/>
        <v>43.86</v>
      </c>
      <c r="AE1424" s="218">
        <v>7.1646192334085139E-5</v>
      </c>
      <c r="AF1424">
        <v>7</v>
      </c>
      <c r="AH1424" t="str">
        <f t="shared" si="68"/>
        <v>DalsinghSarai</v>
      </c>
      <c r="AJ1424" s="72">
        <v>0</v>
      </c>
      <c r="AK1424" s="72"/>
      <c r="AL1424" s="72"/>
      <c r="AM1424" s="72"/>
    </row>
    <row r="1425" spans="1:39" x14ac:dyDescent="0.25">
      <c r="A1425" s="37" t="s">
        <v>62</v>
      </c>
      <c r="B1425" s="66" t="s">
        <v>1615</v>
      </c>
      <c r="C1425" s="47">
        <v>1012</v>
      </c>
      <c r="D1425" s="47" t="s">
        <v>314</v>
      </c>
      <c r="E1425" s="41">
        <v>10120122</v>
      </c>
      <c r="F1425" s="46" t="s">
        <v>1362</v>
      </c>
      <c r="G1425" s="39" t="s">
        <v>93</v>
      </c>
      <c r="H1425" s="48" t="s">
        <v>94</v>
      </c>
      <c r="I1425" s="52">
        <v>1309.7399999999998</v>
      </c>
      <c r="J1425" s="49">
        <v>54726.109999999993</v>
      </c>
      <c r="K1425" s="65">
        <v>328.47</v>
      </c>
      <c r="L1425" s="65">
        <v>15054.76916721634</v>
      </c>
      <c r="M1425" s="65">
        <v>886.84</v>
      </c>
      <c r="N1425" s="65">
        <v>37794.857518535231</v>
      </c>
      <c r="O1425" s="65">
        <v>1215.31</v>
      </c>
      <c r="P1425" s="65">
        <v>52849.626685751573</v>
      </c>
      <c r="Q1425" s="50">
        <v>52849.626685751573</v>
      </c>
      <c r="R1425" s="65">
        <v>0</v>
      </c>
      <c r="S1425" s="65">
        <v>0</v>
      </c>
      <c r="T1425" s="65">
        <v>0</v>
      </c>
      <c r="U1425" s="65">
        <v>6750</v>
      </c>
      <c r="V1425" s="65">
        <v>0</v>
      </c>
      <c r="W1425" s="65">
        <v>0</v>
      </c>
      <c r="X1425" s="65">
        <v>13217</v>
      </c>
      <c r="Y1425" s="65">
        <v>32881</v>
      </c>
      <c r="Z1425" s="65">
        <v>0</v>
      </c>
      <c r="AA1425" s="51">
        <v>1878</v>
      </c>
      <c r="AB1425" s="102">
        <v>0</v>
      </c>
      <c r="AC1425" s="81">
        <f t="shared" si="69"/>
        <v>0</v>
      </c>
      <c r="AD1425" s="82">
        <f t="shared" si="70"/>
        <v>0</v>
      </c>
      <c r="AE1425" s="218">
        <v>3.4288629581901958E-2</v>
      </c>
      <c r="AF1425">
        <v>20</v>
      </c>
      <c r="AH1425" t="str">
        <f t="shared" si="68"/>
        <v>DalsinghSarai</v>
      </c>
      <c r="AJ1425" s="72">
        <v>0</v>
      </c>
      <c r="AK1425" s="72"/>
      <c r="AL1425" s="72"/>
      <c r="AM1425" s="72"/>
    </row>
    <row r="1426" spans="1:39" x14ac:dyDescent="0.25">
      <c r="A1426" s="37" t="s">
        <v>62</v>
      </c>
      <c r="B1426" s="66" t="s">
        <v>1615</v>
      </c>
      <c r="C1426" s="47">
        <v>1012</v>
      </c>
      <c r="D1426" s="47" t="s">
        <v>314</v>
      </c>
      <c r="E1426" s="41">
        <v>10120123</v>
      </c>
      <c r="F1426" s="46" t="s">
        <v>1425</v>
      </c>
      <c r="G1426" s="39" t="s">
        <v>93</v>
      </c>
      <c r="H1426" s="48" t="s">
        <v>94</v>
      </c>
      <c r="I1426" s="52">
        <v>753.62999999999988</v>
      </c>
      <c r="J1426" s="49">
        <v>28494.32</v>
      </c>
      <c r="K1426" s="65">
        <v>541.4799999999999</v>
      </c>
      <c r="L1426" s="65">
        <v>21296.261962706736</v>
      </c>
      <c r="M1426" s="65">
        <v>219.76000000000005</v>
      </c>
      <c r="N1426" s="65">
        <v>7755.0014860889605</v>
      </c>
      <c r="O1426" s="65">
        <v>761.24</v>
      </c>
      <c r="P1426" s="65">
        <v>29051.263448795697</v>
      </c>
      <c r="Q1426" s="50">
        <v>28494.32</v>
      </c>
      <c r="R1426" s="65">
        <v>0</v>
      </c>
      <c r="S1426" s="65">
        <v>132.870970188</v>
      </c>
      <c r="T1426" s="65">
        <v>556.9434487956969</v>
      </c>
      <c r="U1426" s="65">
        <v>1350</v>
      </c>
      <c r="V1426" s="65">
        <v>0</v>
      </c>
      <c r="W1426" s="65">
        <v>0</v>
      </c>
      <c r="X1426" s="65">
        <v>19387</v>
      </c>
      <c r="Y1426" s="65">
        <v>7624</v>
      </c>
      <c r="Z1426" s="65">
        <v>0</v>
      </c>
      <c r="AA1426" s="51">
        <v>0</v>
      </c>
      <c r="AB1426" s="102">
        <v>0</v>
      </c>
      <c r="AC1426" s="81">
        <f t="shared" si="69"/>
        <v>0</v>
      </c>
      <c r="AD1426" s="82">
        <f t="shared" si="70"/>
        <v>0</v>
      </c>
      <c r="AE1426" s="218">
        <v>-1.9545770834176669E-2</v>
      </c>
      <c r="AF1426">
        <v>19</v>
      </c>
      <c r="AH1426" t="str">
        <f t="shared" si="68"/>
        <v>DalsinghSarai</v>
      </c>
      <c r="AJ1426" s="72">
        <v>0</v>
      </c>
      <c r="AK1426" s="72"/>
      <c r="AL1426" s="72"/>
      <c r="AM1426" s="72"/>
    </row>
    <row r="1427" spans="1:39" x14ac:dyDescent="0.25">
      <c r="A1427" s="37" t="s">
        <v>62</v>
      </c>
      <c r="B1427" s="66" t="s">
        <v>1615</v>
      </c>
      <c r="C1427" s="47">
        <v>1013</v>
      </c>
      <c r="D1427" s="47" t="s">
        <v>351</v>
      </c>
      <c r="E1427" s="41">
        <v>10130001</v>
      </c>
      <c r="F1427" s="46" t="s">
        <v>352</v>
      </c>
      <c r="G1427" s="39" t="s">
        <v>93</v>
      </c>
      <c r="H1427" s="48" t="s">
        <v>94</v>
      </c>
      <c r="I1427" s="52">
        <v>730.2</v>
      </c>
      <c r="J1427" s="49">
        <v>25053.89</v>
      </c>
      <c r="K1427" s="65">
        <v>112.1</v>
      </c>
      <c r="L1427" s="65">
        <v>3897.7827558120007</v>
      </c>
      <c r="M1427" s="65">
        <v>611</v>
      </c>
      <c r="N1427" s="65">
        <v>21272.260216086004</v>
      </c>
      <c r="O1427" s="65">
        <v>723.1</v>
      </c>
      <c r="P1427" s="65">
        <v>25170.042971898005</v>
      </c>
      <c r="Q1427" s="50">
        <v>25053.89</v>
      </c>
      <c r="R1427" s="65">
        <v>0</v>
      </c>
      <c r="S1427" s="65">
        <v>155.07931962600006</v>
      </c>
      <c r="T1427" s="65">
        <v>116.15297189800549</v>
      </c>
      <c r="U1427" s="65">
        <v>0</v>
      </c>
      <c r="V1427" s="65">
        <v>0</v>
      </c>
      <c r="W1427" s="65">
        <v>0</v>
      </c>
      <c r="X1427" s="65">
        <v>3782</v>
      </c>
      <c r="Y1427" s="65">
        <v>21117</v>
      </c>
      <c r="Z1427" s="65">
        <v>0</v>
      </c>
      <c r="AA1427" s="51">
        <v>0</v>
      </c>
      <c r="AB1427" s="102">
        <v>0</v>
      </c>
      <c r="AC1427" s="81">
        <f t="shared" si="69"/>
        <v>0</v>
      </c>
      <c r="AD1427" s="82">
        <f t="shared" si="70"/>
        <v>0</v>
      </c>
      <c r="AE1427" s="218">
        <v>-4.6361252443435129E-3</v>
      </c>
      <c r="AF1427">
        <v>11</v>
      </c>
      <c r="AH1427" t="str">
        <f t="shared" si="68"/>
        <v>Musrigharari</v>
      </c>
      <c r="AJ1427" s="72">
        <v>0</v>
      </c>
      <c r="AK1427" s="72"/>
      <c r="AL1427" s="72"/>
      <c r="AM1427" s="72"/>
    </row>
    <row r="1428" spans="1:39" x14ac:dyDescent="0.25">
      <c r="A1428" s="37" t="s">
        <v>62</v>
      </c>
      <c r="B1428" s="66" t="s">
        <v>1615</v>
      </c>
      <c r="C1428" s="47">
        <v>1013</v>
      </c>
      <c r="D1428" s="47" t="s">
        <v>351</v>
      </c>
      <c r="E1428" s="41">
        <v>10130002</v>
      </c>
      <c r="F1428" s="46" t="s">
        <v>353</v>
      </c>
      <c r="G1428" s="39" t="s">
        <v>635</v>
      </c>
      <c r="H1428" s="48" t="s">
        <v>99</v>
      </c>
      <c r="I1428" s="52">
        <v>109.89999999999999</v>
      </c>
      <c r="J1428" s="49">
        <v>3553.5</v>
      </c>
      <c r="K1428" s="65">
        <v>0</v>
      </c>
      <c r="L1428" s="65">
        <v>0</v>
      </c>
      <c r="M1428" s="65">
        <v>0</v>
      </c>
      <c r="N1428" s="65">
        <v>0</v>
      </c>
      <c r="O1428" s="65">
        <v>0</v>
      </c>
      <c r="P1428" s="65">
        <v>0</v>
      </c>
      <c r="Q1428" s="50">
        <v>3553.5</v>
      </c>
      <c r="R1428" s="65">
        <v>0</v>
      </c>
      <c r="S1428" s="65">
        <v>0</v>
      </c>
      <c r="T1428" s="65">
        <v>0</v>
      </c>
      <c r="U1428" s="65">
        <v>0</v>
      </c>
      <c r="V1428" s="65">
        <v>0</v>
      </c>
      <c r="W1428" s="65">
        <v>0</v>
      </c>
      <c r="X1428" s="65">
        <v>0</v>
      </c>
      <c r="Y1428" s="65">
        <v>0</v>
      </c>
      <c r="Z1428" s="65">
        <v>3553.5</v>
      </c>
      <c r="AA1428" s="51">
        <v>0</v>
      </c>
      <c r="AB1428" s="102">
        <v>0</v>
      </c>
      <c r="AC1428" s="81">
        <f t="shared" si="69"/>
        <v>381.60515923566885</v>
      </c>
      <c r="AD1428" s="82">
        <f t="shared" si="70"/>
        <v>15.7</v>
      </c>
      <c r="AE1428" s="218">
        <v>0</v>
      </c>
      <c r="AF1428">
        <v>0</v>
      </c>
      <c r="AH1428" t="str">
        <f t="shared" si="68"/>
        <v>Musrigharari</v>
      </c>
      <c r="AJ1428" s="72">
        <v>0</v>
      </c>
      <c r="AK1428" s="72"/>
      <c r="AL1428" s="72"/>
      <c r="AM1428" s="72"/>
    </row>
    <row r="1429" spans="1:39" x14ac:dyDescent="0.25">
      <c r="A1429" s="37" t="s">
        <v>62</v>
      </c>
      <c r="B1429" s="66" t="s">
        <v>1615</v>
      </c>
      <c r="C1429" s="47">
        <v>1013</v>
      </c>
      <c r="D1429" s="47" t="s">
        <v>351</v>
      </c>
      <c r="E1429" s="41">
        <v>10130003</v>
      </c>
      <c r="F1429" s="104" t="s">
        <v>354</v>
      </c>
      <c r="G1429" s="105" t="s">
        <v>93</v>
      </c>
      <c r="H1429" s="48" t="s">
        <v>94</v>
      </c>
      <c r="I1429" s="106">
        <v>88.600000000000009</v>
      </c>
      <c r="J1429" s="49">
        <v>2942.77</v>
      </c>
      <c r="K1429" s="107">
        <v>77.510000000000005</v>
      </c>
      <c r="L1429" s="107">
        <v>2602.9002926717999</v>
      </c>
      <c r="M1429" s="107">
        <v>0.4</v>
      </c>
      <c r="N1429" s="107">
        <v>13.860396</v>
      </c>
      <c r="O1429" s="107">
        <v>77.910000000000011</v>
      </c>
      <c r="P1429" s="107">
        <v>2616.7606886717999</v>
      </c>
      <c r="Q1429" s="108">
        <v>2616.7606886717999</v>
      </c>
      <c r="R1429" s="65">
        <v>0</v>
      </c>
      <c r="S1429" s="65">
        <v>13.860396</v>
      </c>
      <c r="T1429" s="107">
        <v>0</v>
      </c>
      <c r="U1429" s="65">
        <v>0</v>
      </c>
      <c r="V1429" s="65">
        <v>75.983100000000022</v>
      </c>
      <c r="W1429" s="65">
        <v>0</v>
      </c>
      <c r="X1429" s="65">
        <v>2527</v>
      </c>
      <c r="Y1429" s="65">
        <v>0</v>
      </c>
      <c r="Z1429" s="65">
        <v>0</v>
      </c>
      <c r="AA1429" s="51">
        <v>326</v>
      </c>
      <c r="AB1429" s="102">
        <v>0</v>
      </c>
      <c r="AC1429" s="81">
        <f t="shared" si="69"/>
        <v>406.14211693002244</v>
      </c>
      <c r="AD1429" s="82">
        <f t="shared" si="70"/>
        <v>12.657142857142858</v>
      </c>
      <c r="AE1429" s="218">
        <v>0.11078314354441565</v>
      </c>
      <c r="AF1429">
        <v>3</v>
      </c>
      <c r="AH1429" t="str">
        <f t="shared" si="68"/>
        <v>Musrigharari</v>
      </c>
      <c r="AJ1429" s="72">
        <v>0</v>
      </c>
      <c r="AK1429" s="72"/>
      <c r="AL1429" s="72"/>
      <c r="AM1429" s="72"/>
    </row>
    <row r="1430" spans="1:39" x14ac:dyDescent="0.25">
      <c r="A1430" s="37" t="s">
        <v>62</v>
      </c>
      <c r="B1430" s="66" t="s">
        <v>1615</v>
      </c>
      <c r="C1430" s="47">
        <v>1013</v>
      </c>
      <c r="D1430" s="47" t="s">
        <v>351</v>
      </c>
      <c r="E1430" s="41">
        <v>10130005</v>
      </c>
      <c r="F1430" s="46" t="s">
        <v>355</v>
      </c>
      <c r="G1430" s="39" t="s">
        <v>635</v>
      </c>
      <c r="H1430" s="48" t="s">
        <v>99</v>
      </c>
      <c r="I1430" s="52">
        <v>41.8</v>
      </c>
      <c r="J1430" s="49">
        <v>1366.94</v>
      </c>
      <c r="K1430" s="65">
        <v>0</v>
      </c>
      <c r="L1430" s="65">
        <v>0</v>
      </c>
      <c r="M1430" s="65">
        <v>0</v>
      </c>
      <c r="N1430" s="65">
        <v>0</v>
      </c>
      <c r="O1430" s="65">
        <v>0</v>
      </c>
      <c r="P1430" s="65">
        <v>0</v>
      </c>
      <c r="Q1430" s="50">
        <v>1366.94</v>
      </c>
      <c r="R1430" s="65">
        <v>0</v>
      </c>
      <c r="S1430" s="65">
        <v>0</v>
      </c>
      <c r="T1430" s="65">
        <v>0</v>
      </c>
      <c r="U1430" s="65">
        <v>0</v>
      </c>
      <c r="V1430" s="65">
        <v>0</v>
      </c>
      <c r="W1430" s="65">
        <v>0</v>
      </c>
      <c r="X1430" s="65">
        <v>0</v>
      </c>
      <c r="Y1430" s="65">
        <v>0</v>
      </c>
      <c r="Z1430" s="65">
        <v>1366.94</v>
      </c>
      <c r="AA1430" s="51">
        <v>0</v>
      </c>
      <c r="AB1430" s="102">
        <v>0</v>
      </c>
      <c r="AC1430" s="81">
        <f t="shared" si="69"/>
        <v>430.48799425837313</v>
      </c>
      <c r="AD1430" s="82">
        <f t="shared" si="70"/>
        <v>5.9714285714285706</v>
      </c>
      <c r="AE1430" s="218">
        <v>0</v>
      </c>
      <c r="AF1430">
        <v>0</v>
      </c>
      <c r="AH1430" t="str">
        <f t="shared" si="68"/>
        <v>Musrigharari</v>
      </c>
      <c r="AJ1430" s="72">
        <v>0</v>
      </c>
      <c r="AK1430" s="72"/>
      <c r="AL1430" s="72"/>
      <c r="AM1430" s="72"/>
    </row>
    <row r="1431" spans="1:39" x14ac:dyDescent="0.25">
      <c r="A1431" s="37" t="s">
        <v>62</v>
      </c>
      <c r="B1431" s="66" t="s">
        <v>1615</v>
      </c>
      <c r="C1431" s="47">
        <v>1013</v>
      </c>
      <c r="D1431" s="47" t="s">
        <v>351</v>
      </c>
      <c r="E1431" s="41">
        <v>10130006</v>
      </c>
      <c r="F1431" s="46" t="s">
        <v>356</v>
      </c>
      <c r="G1431" s="39" t="s">
        <v>93</v>
      </c>
      <c r="H1431" s="48" t="s">
        <v>94</v>
      </c>
      <c r="I1431" s="52">
        <v>500.7</v>
      </c>
      <c r="J1431" s="49">
        <v>17311.669999999998</v>
      </c>
      <c r="K1431" s="65">
        <v>481.32000000000005</v>
      </c>
      <c r="L1431" s="65">
        <v>17289.464886441001</v>
      </c>
      <c r="M1431" s="65">
        <v>0</v>
      </c>
      <c r="N1431" s="65">
        <v>0</v>
      </c>
      <c r="O1431" s="65">
        <v>481.32000000000005</v>
      </c>
      <c r="P1431" s="65">
        <v>17289.464886441001</v>
      </c>
      <c r="Q1431" s="50">
        <v>17289.464886441001</v>
      </c>
      <c r="R1431" s="65">
        <v>0</v>
      </c>
      <c r="S1431" s="65">
        <v>0</v>
      </c>
      <c r="T1431" s="65">
        <v>0</v>
      </c>
      <c r="U1431" s="65">
        <v>0</v>
      </c>
      <c r="V1431" s="65">
        <v>0</v>
      </c>
      <c r="W1431" s="65">
        <v>0</v>
      </c>
      <c r="X1431" s="65">
        <v>17289</v>
      </c>
      <c r="Y1431" s="65">
        <v>0</v>
      </c>
      <c r="Z1431" s="65">
        <v>0</v>
      </c>
      <c r="AA1431" s="51">
        <v>23</v>
      </c>
      <c r="AB1431" s="102">
        <v>0</v>
      </c>
      <c r="AC1431" s="81">
        <f t="shared" si="69"/>
        <v>137.81569127221891</v>
      </c>
      <c r="AD1431" s="82">
        <f t="shared" si="70"/>
        <v>71.528571428571425</v>
      </c>
      <c r="AE1431" s="218">
        <v>1.2826673312856158E-3</v>
      </c>
      <c r="AF1431">
        <v>8</v>
      </c>
      <c r="AH1431" t="str">
        <f t="shared" si="68"/>
        <v>Musrigharari</v>
      </c>
      <c r="AJ1431" s="72">
        <v>0</v>
      </c>
      <c r="AK1431" s="72"/>
      <c r="AL1431" s="72"/>
      <c r="AM1431" s="72"/>
    </row>
    <row r="1432" spans="1:39" x14ac:dyDescent="0.25">
      <c r="A1432" s="37" t="s">
        <v>62</v>
      </c>
      <c r="B1432" s="66" t="s">
        <v>1615</v>
      </c>
      <c r="C1432" s="47">
        <v>1013</v>
      </c>
      <c r="D1432" s="47" t="s">
        <v>351</v>
      </c>
      <c r="E1432" s="41">
        <v>10130008</v>
      </c>
      <c r="F1432" s="46" t="s">
        <v>357</v>
      </c>
      <c r="G1432" s="39" t="s">
        <v>93</v>
      </c>
      <c r="H1432" s="48" t="s">
        <v>94</v>
      </c>
      <c r="I1432" s="52">
        <v>707.8</v>
      </c>
      <c r="J1432" s="49">
        <v>27490.769999999997</v>
      </c>
      <c r="K1432" s="65">
        <v>691</v>
      </c>
      <c r="L1432" s="65">
        <v>29052.554599764375</v>
      </c>
      <c r="M1432" s="65">
        <v>75.849999999999994</v>
      </c>
      <c r="N1432" s="65">
        <v>2911.5004998554405</v>
      </c>
      <c r="O1432" s="65">
        <v>766.85</v>
      </c>
      <c r="P1432" s="65">
        <v>31964.055099619814</v>
      </c>
      <c r="Q1432" s="50">
        <v>27490.769999999997</v>
      </c>
      <c r="R1432" s="65">
        <v>0</v>
      </c>
      <c r="S1432" s="65">
        <v>304.44278061144007</v>
      </c>
      <c r="T1432" s="65">
        <v>4473.2850996198176</v>
      </c>
      <c r="U1432" s="65">
        <v>0</v>
      </c>
      <c r="V1432" s="65">
        <v>0</v>
      </c>
      <c r="W1432" s="65">
        <v>0</v>
      </c>
      <c r="X1432" s="65">
        <v>24578</v>
      </c>
      <c r="Y1432" s="65">
        <v>2608</v>
      </c>
      <c r="Z1432" s="65">
        <v>0</v>
      </c>
      <c r="AA1432" s="51">
        <v>0</v>
      </c>
      <c r="AB1432" s="102">
        <v>0</v>
      </c>
      <c r="AC1432" s="81">
        <f t="shared" si="69"/>
        <v>0</v>
      </c>
      <c r="AD1432" s="82">
        <f t="shared" si="70"/>
        <v>0</v>
      </c>
      <c r="AE1432" s="218">
        <v>-0.16271952730388484</v>
      </c>
      <c r="AF1432">
        <v>12</v>
      </c>
      <c r="AH1432" t="str">
        <f t="shared" si="68"/>
        <v>Musrigharari</v>
      </c>
      <c r="AJ1432" s="72">
        <v>0</v>
      </c>
      <c r="AK1432" s="72"/>
      <c r="AL1432" s="72"/>
      <c r="AM1432" s="72"/>
    </row>
    <row r="1433" spans="1:39" x14ac:dyDescent="0.25">
      <c r="A1433" s="37" t="s">
        <v>62</v>
      </c>
      <c r="B1433" s="66" t="s">
        <v>1615</v>
      </c>
      <c r="C1433" s="47">
        <v>1013</v>
      </c>
      <c r="D1433" s="47" t="s">
        <v>351</v>
      </c>
      <c r="E1433" s="41">
        <v>10130012</v>
      </c>
      <c r="F1433" s="104" t="s">
        <v>358</v>
      </c>
      <c r="G1433" s="105" t="s">
        <v>93</v>
      </c>
      <c r="H1433" s="48" t="s">
        <v>94</v>
      </c>
      <c r="I1433" s="106">
        <v>3453.3000000000006</v>
      </c>
      <c r="J1433" s="49">
        <v>124823.90999999999</v>
      </c>
      <c r="K1433" s="107">
        <v>1981.9999999999998</v>
      </c>
      <c r="L1433" s="107">
        <v>72821.360169360021</v>
      </c>
      <c r="M1433" s="107">
        <v>1498.0000000000002</v>
      </c>
      <c r="N1433" s="107">
        <v>54565.855941762013</v>
      </c>
      <c r="O1433" s="107">
        <v>3480</v>
      </c>
      <c r="P1433" s="107">
        <v>127387.21611112203</v>
      </c>
      <c r="Q1433" s="108">
        <v>124823.90999999999</v>
      </c>
      <c r="R1433" s="65">
        <v>0</v>
      </c>
      <c r="S1433" s="65">
        <v>1262.6959197600002</v>
      </c>
      <c r="T1433" s="107">
        <v>2563.306111122045</v>
      </c>
      <c r="U1433" s="65">
        <v>0</v>
      </c>
      <c r="V1433" s="65">
        <v>0</v>
      </c>
      <c r="W1433" s="65">
        <v>0</v>
      </c>
      <c r="X1433" s="65">
        <v>70258</v>
      </c>
      <c r="Y1433" s="65">
        <v>53303</v>
      </c>
      <c r="Z1433" s="65">
        <v>0</v>
      </c>
      <c r="AA1433" s="51">
        <v>0</v>
      </c>
      <c r="AB1433" s="102" t="s">
        <v>68</v>
      </c>
      <c r="AC1433" s="81">
        <f t="shared" si="69"/>
        <v>0</v>
      </c>
      <c r="AD1433" s="82">
        <f t="shared" si="70"/>
        <v>0</v>
      </c>
      <c r="AE1433" s="218">
        <v>-2.0535377485948365E-2</v>
      </c>
      <c r="AF1433">
        <v>56</v>
      </c>
      <c r="AH1433" t="str">
        <f t="shared" si="68"/>
        <v>Musrigharari</v>
      </c>
      <c r="AJ1433" s="72">
        <v>0</v>
      </c>
      <c r="AK1433" s="72"/>
      <c r="AL1433" s="72"/>
      <c r="AM1433" s="72"/>
    </row>
    <row r="1434" spans="1:39" x14ac:dyDescent="0.25">
      <c r="A1434" s="37" t="s">
        <v>62</v>
      </c>
      <c r="B1434" s="66" t="s">
        <v>1615</v>
      </c>
      <c r="C1434" s="47">
        <v>1013</v>
      </c>
      <c r="D1434" s="47" t="s">
        <v>351</v>
      </c>
      <c r="E1434" s="41">
        <v>10130015</v>
      </c>
      <c r="F1434" s="46" t="s">
        <v>359</v>
      </c>
      <c r="G1434" s="39" t="s">
        <v>635</v>
      </c>
      <c r="H1434" s="48" t="s">
        <v>99</v>
      </c>
      <c r="I1434" s="52">
        <v>511.99999999999994</v>
      </c>
      <c r="J1434" s="49">
        <v>19926.649999999998</v>
      </c>
      <c r="K1434" s="65">
        <v>0</v>
      </c>
      <c r="L1434" s="65">
        <v>0</v>
      </c>
      <c r="M1434" s="65">
        <v>0</v>
      </c>
      <c r="N1434" s="65">
        <v>0</v>
      </c>
      <c r="O1434" s="65">
        <v>0</v>
      </c>
      <c r="P1434" s="65">
        <v>0</v>
      </c>
      <c r="Q1434" s="50">
        <v>19926.649999999998</v>
      </c>
      <c r="R1434" s="65">
        <v>0</v>
      </c>
      <c r="S1434" s="65">
        <v>0</v>
      </c>
      <c r="T1434" s="65">
        <v>0</v>
      </c>
      <c r="U1434" s="65">
        <v>0</v>
      </c>
      <c r="V1434" s="65">
        <v>0</v>
      </c>
      <c r="W1434" s="65">
        <v>0</v>
      </c>
      <c r="X1434" s="65">
        <v>0</v>
      </c>
      <c r="Y1434" s="65">
        <v>0</v>
      </c>
      <c r="Z1434" s="65">
        <v>19926.649999999998</v>
      </c>
      <c r="AA1434" s="51">
        <v>0</v>
      </c>
      <c r="AB1434" s="102">
        <v>0</v>
      </c>
      <c r="AC1434" s="81">
        <f t="shared" si="69"/>
        <v>146.33633593750002</v>
      </c>
      <c r="AD1434" s="82">
        <f t="shared" si="70"/>
        <v>73.142857142857139</v>
      </c>
      <c r="AE1434" s="218">
        <v>0</v>
      </c>
      <c r="AF1434">
        <v>0</v>
      </c>
      <c r="AH1434" t="str">
        <f t="shared" si="68"/>
        <v>Musrigharari</v>
      </c>
      <c r="AJ1434" s="72">
        <v>0</v>
      </c>
      <c r="AK1434" s="72"/>
      <c r="AL1434" s="72"/>
      <c r="AM1434" s="72"/>
    </row>
    <row r="1435" spans="1:39" x14ac:dyDescent="0.25">
      <c r="A1435" s="37" t="s">
        <v>62</v>
      </c>
      <c r="B1435" s="66" t="s">
        <v>1615</v>
      </c>
      <c r="C1435" s="47">
        <v>1013</v>
      </c>
      <c r="D1435" s="47" t="s">
        <v>351</v>
      </c>
      <c r="E1435" s="41">
        <v>10130016</v>
      </c>
      <c r="F1435" s="46" t="s">
        <v>360</v>
      </c>
      <c r="G1435" s="39" t="s">
        <v>635</v>
      </c>
      <c r="H1435" s="48" t="s">
        <v>99</v>
      </c>
      <c r="I1435" s="52">
        <v>243.7</v>
      </c>
      <c r="J1435" s="49">
        <v>11174.1</v>
      </c>
      <c r="K1435" s="65">
        <v>0</v>
      </c>
      <c r="L1435" s="65">
        <v>0</v>
      </c>
      <c r="M1435" s="65">
        <v>0</v>
      </c>
      <c r="N1435" s="65">
        <v>0</v>
      </c>
      <c r="O1435" s="65">
        <v>0</v>
      </c>
      <c r="P1435" s="65">
        <v>0</v>
      </c>
      <c r="Q1435" s="50">
        <v>11174.1</v>
      </c>
      <c r="R1435" s="65">
        <v>0</v>
      </c>
      <c r="S1435" s="65">
        <v>0</v>
      </c>
      <c r="T1435" s="65">
        <v>0</v>
      </c>
      <c r="U1435" s="65">
        <v>0</v>
      </c>
      <c r="V1435" s="65">
        <v>0</v>
      </c>
      <c r="W1435" s="65">
        <v>0</v>
      </c>
      <c r="X1435" s="65">
        <v>0</v>
      </c>
      <c r="Y1435" s="65">
        <v>0</v>
      </c>
      <c r="Z1435" s="65">
        <v>11174.1</v>
      </c>
      <c r="AA1435" s="51">
        <v>0</v>
      </c>
      <c r="AB1435" s="102">
        <v>0</v>
      </c>
      <c r="AC1435" s="81">
        <f t="shared" si="69"/>
        <v>418.44413869511692</v>
      </c>
      <c r="AD1435" s="82">
        <f t="shared" si="70"/>
        <v>34.81428571428571</v>
      </c>
      <c r="AE1435" s="218">
        <v>0</v>
      </c>
      <c r="AF1435">
        <v>0</v>
      </c>
      <c r="AH1435" t="str">
        <f t="shared" si="68"/>
        <v>Musrigharari</v>
      </c>
      <c r="AJ1435" s="72">
        <v>0</v>
      </c>
      <c r="AK1435" s="72"/>
      <c r="AL1435" s="72"/>
      <c r="AM1435" s="72"/>
    </row>
    <row r="1436" spans="1:39" x14ac:dyDescent="0.25">
      <c r="A1436" s="37" t="s">
        <v>62</v>
      </c>
      <c r="B1436" s="66" t="s">
        <v>1615</v>
      </c>
      <c r="C1436" s="47">
        <v>1013</v>
      </c>
      <c r="D1436" s="47" t="s">
        <v>351</v>
      </c>
      <c r="E1436" s="41">
        <v>10130018</v>
      </c>
      <c r="F1436" s="104" t="s">
        <v>361</v>
      </c>
      <c r="G1436" s="105" t="s">
        <v>635</v>
      </c>
      <c r="H1436" s="48" t="s">
        <v>99</v>
      </c>
      <c r="I1436" s="106">
        <v>215.79999999999998</v>
      </c>
      <c r="J1436" s="49">
        <v>6788.4</v>
      </c>
      <c r="K1436" s="107">
        <v>0</v>
      </c>
      <c r="L1436" s="107">
        <v>0</v>
      </c>
      <c r="M1436" s="107">
        <v>0</v>
      </c>
      <c r="N1436" s="107">
        <v>0</v>
      </c>
      <c r="O1436" s="107">
        <v>0</v>
      </c>
      <c r="P1436" s="107">
        <v>0</v>
      </c>
      <c r="Q1436" s="108">
        <v>6788.4</v>
      </c>
      <c r="R1436" s="65">
        <v>0</v>
      </c>
      <c r="S1436" s="65">
        <v>0</v>
      </c>
      <c r="T1436" s="107">
        <v>0</v>
      </c>
      <c r="U1436" s="65">
        <v>1350</v>
      </c>
      <c r="V1436" s="65">
        <v>0</v>
      </c>
      <c r="W1436" s="65">
        <v>0</v>
      </c>
      <c r="X1436" s="65">
        <v>0</v>
      </c>
      <c r="Y1436" s="65">
        <v>0</v>
      </c>
      <c r="Z1436" s="65">
        <v>5438.4</v>
      </c>
      <c r="AA1436" s="51">
        <v>0</v>
      </c>
      <c r="AB1436" s="102">
        <v>0</v>
      </c>
      <c r="AC1436" s="81">
        <f t="shared" si="69"/>
        <v>304.62866357738653</v>
      </c>
      <c r="AD1436" s="82">
        <f t="shared" si="70"/>
        <v>30.828571428571426</v>
      </c>
      <c r="AE1436" s="218">
        <v>0</v>
      </c>
      <c r="AF1436">
        <v>0</v>
      </c>
      <c r="AH1436" t="str">
        <f t="shared" si="68"/>
        <v>Musrigharari</v>
      </c>
      <c r="AJ1436" s="72">
        <v>0</v>
      </c>
      <c r="AK1436" s="72"/>
      <c r="AL1436" s="72"/>
      <c r="AM1436" s="72"/>
    </row>
    <row r="1437" spans="1:39" x14ac:dyDescent="0.25">
      <c r="A1437" s="37" t="s">
        <v>62</v>
      </c>
      <c r="B1437" s="66" t="s">
        <v>1615</v>
      </c>
      <c r="C1437" s="47">
        <v>1013</v>
      </c>
      <c r="D1437" s="47" t="s">
        <v>351</v>
      </c>
      <c r="E1437" s="41">
        <v>10130020</v>
      </c>
      <c r="F1437" s="46" t="s">
        <v>362</v>
      </c>
      <c r="G1437" s="39" t="s">
        <v>635</v>
      </c>
      <c r="H1437" s="48" t="s">
        <v>99</v>
      </c>
      <c r="I1437" s="52">
        <v>638.69999999999993</v>
      </c>
      <c r="J1437" s="49">
        <v>23438.97</v>
      </c>
      <c r="K1437" s="65">
        <v>0</v>
      </c>
      <c r="L1437" s="65">
        <v>0</v>
      </c>
      <c r="M1437" s="65">
        <v>0</v>
      </c>
      <c r="N1437" s="65">
        <v>0</v>
      </c>
      <c r="O1437" s="65">
        <v>0</v>
      </c>
      <c r="P1437" s="65">
        <v>0</v>
      </c>
      <c r="Q1437" s="50">
        <v>23438.97</v>
      </c>
      <c r="R1437" s="65">
        <v>0</v>
      </c>
      <c r="S1437" s="65">
        <v>0</v>
      </c>
      <c r="T1437" s="65">
        <v>0</v>
      </c>
      <c r="U1437" s="65">
        <v>0</v>
      </c>
      <c r="V1437" s="65">
        <v>0</v>
      </c>
      <c r="W1437" s="65">
        <v>0</v>
      </c>
      <c r="X1437" s="65">
        <v>0</v>
      </c>
      <c r="Y1437" s="65">
        <v>0</v>
      </c>
      <c r="Z1437" s="65">
        <v>23438.97</v>
      </c>
      <c r="AA1437" s="51">
        <v>0</v>
      </c>
      <c r="AB1437" s="102">
        <v>0</v>
      </c>
      <c r="AC1437" s="81">
        <f t="shared" si="69"/>
        <v>44.991666228276245</v>
      </c>
      <c r="AD1437" s="82">
        <f t="shared" si="70"/>
        <v>91.242857142857133</v>
      </c>
      <c r="AE1437" s="218">
        <v>0</v>
      </c>
      <c r="AF1437">
        <v>0</v>
      </c>
      <c r="AH1437" t="str">
        <f t="shared" si="68"/>
        <v>Musrigharari</v>
      </c>
      <c r="AJ1437" s="72">
        <v>0</v>
      </c>
      <c r="AK1437" s="72"/>
      <c r="AL1437" s="72"/>
      <c r="AM1437" s="72"/>
    </row>
    <row r="1438" spans="1:39" x14ac:dyDescent="0.25">
      <c r="A1438" s="37" t="s">
        <v>62</v>
      </c>
      <c r="B1438" s="66" t="s">
        <v>1615</v>
      </c>
      <c r="C1438" s="47">
        <v>1013</v>
      </c>
      <c r="D1438" s="47" t="s">
        <v>351</v>
      </c>
      <c r="E1438" s="41">
        <v>10130025</v>
      </c>
      <c r="F1438" s="46" t="s">
        <v>363</v>
      </c>
      <c r="G1438" s="39" t="s">
        <v>635</v>
      </c>
      <c r="H1438" s="48" t="s">
        <v>99</v>
      </c>
      <c r="I1438" s="52">
        <v>406.4</v>
      </c>
      <c r="J1438" s="49">
        <v>16584.940000000002</v>
      </c>
      <c r="K1438" s="65">
        <v>0</v>
      </c>
      <c r="L1438" s="65">
        <v>0</v>
      </c>
      <c r="M1438" s="65">
        <v>0</v>
      </c>
      <c r="N1438" s="65">
        <v>0</v>
      </c>
      <c r="O1438" s="65">
        <v>0</v>
      </c>
      <c r="P1438" s="65">
        <v>0</v>
      </c>
      <c r="Q1438" s="50">
        <v>16584.940000000002</v>
      </c>
      <c r="R1438" s="65">
        <v>0</v>
      </c>
      <c r="S1438" s="65">
        <v>0</v>
      </c>
      <c r="T1438" s="65">
        <v>0</v>
      </c>
      <c r="U1438" s="65">
        <v>0</v>
      </c>
      <c r="V1438" s="65">
        <v>0</v>
      </c>
      <c r="W1438" s="65">
        <v>0</v>
      </c>
      <c r="X1438" s="65">
        <v>0</v>
      </c>
      <c r="Y1438" s="65">
        <v>0</v>
      </c>
      <c r="Z1438" s="65">
        <v>16584.940000000002</v>
      </c>
      <c r="AA1438" s="51">
        <v>0</v>
      </c>
      <c r="AB1438" s="102">
        <v>0</v>
      </c>
      <c r="AC1438" s="81">
        <f t="shared" si="69"/>
        <v>239.63279448818906</v>
      </c>
      <c r="AD1438" s="82">
        <f t="shared" si="70"/>
        <v>58.057142857142857</v>
      </c>
      <c r="AE1438" s="218">
        <v>0</v>
      </c>
      <c r="AF1438">
        <v>0</v>
      </c>
      <c r="AH1438" t="str">
        <f t="shared" si="68"/>
        <v>Musrigharari</v>
      </c>
      <c r="AJ1438" s="72">
        <v>0</v>
      </c>
      <c r="AK1438" s="72"/>
      <c r="AL1438" s="72"/>
      <c r="AM1438" s="72"/>
    </row>
    <row r="1439" spans="1:39" x14ac:dyDescent="0.25">
      <c r="A1439" s="37" t="s">
        <v>62</v>
      </c>
      <c r="B1439" s="66" t="s">
        <v>1615</v>
      </c>
      <c r="C1439" s="47">
        <v>1013</v>
      </c>
      <c r="D1439" s="47" t="s">
        <v>351</v>
      </c>
      <c r="E1439" s="41">
        <v>10130026</v>
      </c>
      <c r="F1439" s="46" t="s">
        <v>325</v>
      </c>
      <c r="G1439" s="39" t="s">
        <v>93</v>
      </c>
      <c r="H1439" s="48" t="s">
        <v>94</v>
      </c>
      <c r="I1439" s="52">
        <v>286.60000000000002</v>
      </c>
      <c r="J1439" s="49">
        <v>12268.969999999998</v>
      </c>
      <c r="K1439" s="65">
        <v>76.77000000000001</v>
      </c>
      <c r="L1439" s="65">
        <v>3872.3648532615607</v>
      </c>
      <c r="M1439" s="65">
        <v>223.39</v>
      </c>
      <c r="N1439" s="65">
        <v>9515.5785397024611</v>
      </c>
      <c r="O1439" s="65">
        <v>300.15999999999997</v>
      </c>
      <c r="P1439" s="65">
        <v>13387.943392964022</v>
      </c>
      <c r="Q1439" s="50">
        <v>12268.969999999998</v>
      </c>
      <c r="R1439" s="65">
        <v>0</v>
      </c>
      <c r="S1439" s="65">
        <v>101.08413176580001</v>
      </c>
      <c r="T1439" s="65">
        <v>1118.9733929640242</v>
      </c>
      <c r="U1439" s="65">
        <v>0</v>
      </c>
      <c r="V1439" s="65">
        <v>0</v>
      </c>
      <c r="W1439" s="65">
        <v>0</v>
      </c>
      <c r="X1439" s="65">
        <v>2754</v>
      </c>
      <c r="Y1439" s="65">
        <v>9414</v>
      </c>
      <c r="Z1439" s="65">
        <v>0</v>
      </c>
      <c r="AA1439" s="51">
        <v>0</v>
      </c>
      <c r="AB1439" s="102">
        <v>0</v>
      </c>
      <c r="AC1439" s="81">
        <f t="shared" si="69"/>
        <v>353.94223293789241</v>
      </c>
      <c r="AD1439" s="82">
        <f t="shared" si="70"/>
        <v>40.942857142857143</v>
      </c>
      <c r="AE1439" s="218">
        <v>-9.1203531589369322E-2</v>
      </c>
      <c r="AF1439">
        <v>8</v>
      </c>
      <c r="AH1439" t="str">
        <f t="shared" si="68"/>
        <v>Musrigharari</v>
      </c>
      <c r="AJ1439" s="72">
        <v>0</v>
      </c>
      <c r="AK1439" s="72"/>
      <c r="AL1439" s="72"/>
      <c r="AM1439" s="72"/>
    </row>
    <row r="1440" spans="1:39" x14ac:dyDescent="0.25">
      <c r="A1440" s="37" t="s">
        <v>62</v>
      </c>
      <c r="B1440" s="66" t="s">
        <v>1615</v>
      </c>
      <c r="C1440" s="47">
        <v>1013</v>
      </c>
      <c r="D1440" s="47" t="s">
        <v>351</v>
      </c>
      <c r="E1440" s="41">
        <v>10130027</v>
      </c>
      <c r="F1440" s="46" t="s">
        <v>1561</v>
      </c>
      <c r="G1440" s="39" t="s">
        <v>635</v>
      </c>
      <c r="H1440" s="48" t="s">
        <v>99</v>
      </c>
      <c r="I1440" s="52">
        <v>51.199999999999996</v>
      </c>
      <c r="J1440" s="49">
        <v>1528.2299999999998</v>
      </c>
      <c r="K1440" s="65">
        <v>0</v>
      </c>
      <c r="L1440" s="65">
        <v>0</v>
      </c>
      <c r="M1440" s="65">
        <v>0</v>
      </c>
      <c r="N1440" s="65">
        <v>0</v>
      </c>
      <c r="O1440" s="65">
        <v>0</v>
      </c>
      <c r="P1440" s="65">
        <v>0</v>
      </c>
      <c r="Q1440" s="50">
        <v>1528.2299999999998</v>
      </c>
      <c r="R1440" s="65">
        <v>0</v>
      </c>
      <c r="S1440" s="65">
        <v>0</v>
      </c>
      <c r="T1440" s="65">
        <v>0</v>
      </c>
      <c r="U1440" s="65">
        <v>0</v>
      </c>
      <c r="V1440" s="65">
        <v>597.79200000000003</v>
      </c>
      <c r="W1440" s="65">
        <v>0</v>
      </c>
      <c r="X1440" s="65">
        <v>0</v>
      </c>
      <c r="Y1440" s="65">
        <v>0</v>
      </c>
      <c r="Z1440" s="65">
        <v>930.43799999999976</v>
      </c>
      <c r="AA1440" s="51">
        <v>0</v>
      </c>
      <c r="AB1440" s="102">
        <v>0</v>
      </c>
      <c r="AC1440" s="81">
        <f t="shared" si="69"/>
        <v>387.31079062499992</v>
      </c>
      <c r="AD1440" s="82">
        <f t="shared" si="70"/>
        <v>7.3142857142857141</v>
      </c>
      <c r="AE1440" s="218">
        <v>0</v>
      </c>
      <c r="AF1440">
        <v>0</v>
      </c>
      <c r="AH1440" t="str">
        <f t="shared" si="68"/>
        <v>Musrigharari</v>
      </c>
      <c r="AJ1440" s="72">
        <v>0</v>
      </c>
      <c r="AK1440" s="72"/>
      <c r="AL1440" s="72"/>
      <c r="AM1440" s="72"/>
    </row>
    <row r="1441" spans="1:39" x14ac:dyDescent="0.25">
      <c r="A1441" s="37" t="s">
        <v>62</v>
      </c>
      <c r="B1441" s="66" t="s">
        <v>1615</v>
      </c>
      <c r="C1441" s="47">
        <v>1013</v>
      </c>
      <c r="D1441" s="47" t="s">
        <v>351</v>
      </c>
      <c r="E1441" s="41">
        <v>10130030</v>
      </c>
      <c r="F1441" s="46" t="s">
        <v>364</v>
      </c>
      <c r="G1441" s="39" t="s">
        <v>93</v>
      </c>
      <c r="H1441" s="48" t="s">
        <v>94</v>
      </c>
      <c r="I1441" s="52">
        <v>124.4</v>
      </c>
      <c r="J1441" s="49">
        <v>3907.3700000000003</v>
      </c>
      <c r="K1441" s="65">
        <v>141</v>
      </c>
      <c r="L1441" s="65">
        <v>5211.5088960000003</v>
      </c>
      <c r="M1441" s="65">
        <v>0</v>
      </c>
      <c r="N1441" s="65">
        <v>0</v>
      </c>
      <c r="O1441" s="65">
        <v>141</v>
      </c>
      <c r="P1441" s="65">
        <v>5211.5088960000003</v>
      </c>
      <c r="Q1441" s="50">
        <v>3907.3700000000003</v>
      </c>
      <c r="R1441" s="65">
        <v>0</v>
      </c>
      <c r="S1441" s="65">
        <v>0</v>
      </c>
      <c r="T1441" s="65">
        <v>1304.1388959999999</v>
      </c>
      <c r="U1441" s="65">
        <v>0</v>
      </c>
      <c r="V1441" s="65">
        <v>485.33491578947354</v>
      </c>
      <c r="W1441" s="65">
        <v>0</v>
      </c>
      <c r="X1441" s="65">
        <v>3421</v>
      </c>
      <c r="Y1441" s="65">
        <v>0</v>
      </c>
      <c r="Z1441" s="65">
        <v>0</v>
      </c>
      <c r="AA1441" s="51">
        <v>1</v>
      </c>
      <c r="AB1441" s="102">
        <v>0</v>
      </c>
      <c r="AC1441" s="81">
        <f t="shared" si="69"/>
        <v>361.58877363344061</v>
      </c>
      <c r="AD1441" s="82">
        <f t="shared" si="70"/>
        <v>17.771428571428572</v>
      </c>
      <c r="AE1441" s="218">
        <v>-0.33376386060188817</v>
      </c>
      <c r="AF1441">
        <v>1</v>
      </c>
      <c r="AH1441" t="str">
        <f t="shared" si="68"/>
        <v>Musrigharari</v>
      </c>
      <c r="AJ1441" s="72">
        <v>0</v>
      </c>
      <c r="AK1441" s="72"/>
      <c r="AL1441" s="72"/>
      <c r="AM1441" s="72"/>
    </row>
    <row r="1442" spans="1:39" x14ac:dyDescent="0.25">
      <c r="A1442" s="37" t="s">
        <v>62</v>
      </c>
      <c r="B1442" s="66" t="s">
        <v>1615</v>
      </c>
      <c r="C1442" s="47">
        <v>1013</v>
      </c>
      <c r="D1442" s="47" t="s">
        <v>351</v>
      </c>
      <c r="E1442" s="41">
        <v>10130031</v>
      </c>
      <c r="F1442" s="46" t="s">
        <v>365</v>
      </c>
      <c r="G1442" s="39" t="s">
        <v>635</v>
      </c>
      <c r="H1442" s="48" t="s">
        <v>99</v>
      </c>
      <c r="I1442" s="52">
        <v>123.80000000000001</v>
      </c>
      <c r="J1442" s="49">
        <v>4985.7700000000004</v>
      </c>
      <c r="K1442" s="65">
        <v>0</v>
      </c>
      <c r="L1442" s="65">
        <v>0</v>
      </c>
      <c r="M1442" s="65">
        <v>0</v>
      </c>
      <c r="N1442" s="65">
        <v>0</v>
      </c>
      <c r="O1442" s="65">
        <v>0</v>
      </c>
      <c r="P1442" s="65">
        <v>0</v>
      </c>
      <c r="Q1442" s="50">
        <v>4985.7700000000004</v>
      </c>
      <c r="R1442" s="65">
        <v>0</v>
      </c>
      <c r="S1442" s="65">
        <v>0</v>
      </c>
      <c r="T1442" s="65">
        <v>0</v>
      </c>
      <c r="U1442" s="65">
        <v>0</v>
      </c>
      <c r="V1442" s="65">
        <v>0</v>
      </c>
      <c r="W1442" s="65">
        <v>0</v>
      </c>
      <c r="X1442" s="65">
        <v>0</v>
      </c>
      <c r="Y1442" s="65">
        <v>0</v>
      </c>
      <c r="Z1442" s="65">
        <v>4985.7700000000004</v>
      </c>
      <c r="AA1442" s="51">
        <v>0</v>
      </c>
      <c r="AB1442" s="102">
        <v>0</v>
      </c>
      <c r="AC1442" s="81">
        <f t="shared" si="69"/>
        <v>464.10350145395807</v>
      </c>
      <c r="AD1442" s="82">
        <f t="shared" si="70"/>
        <v>17.685714285714287</v>
      </c>
      <c r="AE1442" s="218">
        <v>0</v>
      </c>
      <c r="AF1442">
        <v>0</v>
      </c>
      <c r="AH1442" t="str">
        <f t="shared" si="68"/>
        <v>Musrigharari</v>
      </c>
      <c r="AJ1442" s="72">
        <v>0</v>
      </c>
      <c r="AK1442" s="72"/>
      <c r="AL1442" s="72"/>
      <c r="AM1442" s="72"/>
    </row>
    <row r="1443" spans="1:39" x14ac:dyDescent="0.25">
      <c r="A1443" s="37" t="s">
        <v>62</v>
      </c>
      <c r="B1443" s="66" t="s">
        <v>1615</v>
      </c>
      <c r="C1443" s="47">
        <v>1013</v>
      </c>
      <c r="D1443" s="47" t="s">
        <v>351</v>
      </c>
      <c r="E1443" s="41">
        <v>10130032</v>
      </c>
      <c r="F1443" s="46" t="s">
        <v>626</v>
      </c>
      <c r="G1443" s="39" t="s">
        <v>93</v>
      </c>
      <c r="H1443" s="48" t="s">
        <v>94</v>
      </c>
      <c r="I1443" s="52">
        <v>37.1</v>
      </c>
      <c r="J1443" s="49">
        <v>1847.6699999999998</v>
      </c>
      <c r="K1443" s="65">
        <v>59</v>
      </c>
      <c r="L1443" s="65">
        <v>3010.3349228620004</v>
      </c>
      <c r="M1443" s="65">
        <v>0</v>
      </c>
      <c r="N1443" s="65">
        <v>0</v>
      </c>
      <c r="O1443" s="65">
        <v>59</v>
      </c>
      <c r="P1443" s="65">
        <v>3010.3349228620004</v>
      </c>
      <c r="Q1443" s="50">
        <v>1847.6699999999998</v>
      </c>
      <c r="R1443" s="65">
        <v>0</v>
      </c>
      <c r="S1443" s="65">
        <v>0</v>
      </c>
      <c r="T1443" s="65">
        <v>1162.6649228620006</v>
      </c>
      <c r="U1443" s="65">
        <v>0</v>
      </c>
      <c r="V1443" s="65">
        <v>64.369413559321998</v>
      </c>
      <c r="W1443" s="65">
        <v>0</v>
      </c>
      <c r="X1443" s="65">
        <v>1783</v>
      </c>
      <c r="Y1443" s="65">
        <v>0</v>
      </c>
      <c r="Z1443" s="65">
        <v>0</v>
      </c>
      <c r="AA1443" s="51">
        <v>0</v>
      </c>
      <c r="AB1443" s="102">
        <v>0</v>
      </c>
      <c r="AC1443" s="81">
        <f t="shared" si="69"/>
        <v>660.28056226415083</v>
      </c>
      <c r="AD1443" s="82">
        <f t="shared" si="70"/>
        <v>5.3</v>
      </c>
      <c r="AE1443" s="218">
        <v>-0.6292600533980639</v>
      </c>
      <c r="AF1443">
        <v>1</v>
      </c>
      <c r="AH1443" t="str">
        <f t="shared" si="68"/>
        <v>Musrigharari</v>
      </c>
      <c r="AJ1443" s="72">
        <v>0</v>
      </c>
      <c r="AK1443" s="72"/>
      <c r="AL1443" s="72"/>
      <c r="AM1443" s="72"/>
    </row>
    <row r="1444" spans="1:39" x14ac:dyDescent="0.25">
      <c r="A1444" s="37" t="s">
        <v>62</v>
      </c>
      <c r="B1444" s="66" t="s">
        <v>1615</v>
      </c>
      <c r="C1444" s="47">
        <v>1013</v>
      </c>
      <c r="D1444" s="47" t="s">
        <v>351</v>
      </c>
      <c r="E1444" s="41">
        <v>10130040</v>
      </c>
      <c r="F1444" s="46" t="s">
        <v>366</v>
      </c>
      <c r="G1444" s="39" t="s">
        <v>635</v>
      </c>
      <c r="H1444" s="48" t="s">
        <v>99</v>
      </c>
      <c r="I1444" s="52">
        <v>785.8</v>
      </c>
      <c r="J1444" s="49">
        <v>20061.47</v>
      </c>
      <c r="K1444" s="65">
        <v>0</v>
      </c>
      <c r="L1444" s="65">
        <v>0</v>
      </c>
      <c r="M1444" s="65">
        <v>0</v>
      </c>
      <c r="N1444" s="65">
        <v>0</v>
      </c>
      <c r="O1444" s="65">
        <v>0</v>
      </c>
      <c r="P1444" s="65">
        <v>0</v>
      </c>
      <c r="Q1444" s="50">
        <v>20061.47</v>
      </c>
      <c r="R1444" s="65">
        <v>0</v>
      </c>
      <c r="S1444" s="65">
        <v>0</v>
      </c>
      <c r="T1444" s="65">
        <v>0</v>
      </c>
      <c r="U1444" s="65">
        <v>0</v>
      </c>
      <c r="V1444" s="65">
        <v>955.78683870967689</v>
      </c>
      <c r="W1444" s="65">
        <v>0</v>
      </c>
      <c r="X1444" s="65">
        <v>0</v>
      </c>
      <c r="Y1444" s="65">
        <v>0</v>
      </c>
      <c r="Z1444" s="65">
        <v>19105.683161290326</v>
      </c>
      <c r="AA1444" s="51">
        <v>0</v>
      </c>
      <c r="AB1444" s="102">
        <v>0</v>
      </c>
      <c r="AC1444" s="81">
        <f t="shared" si="69"/>
        <v>0</v>
      </c>
      <c r="AD1444" s="82">
        <f t="shared" si="70"/>
        <v>0</v>
      </c>
      <c r="AE1444" s="218">
        <v>0</v>
      </c>
      <c r="AF1444">
        <v>0</v>
      </c>
      <c r="AH1444" t="str">
        <f t="shared" si="68"/>
        <v>Musrigharari</v>
      </c>
      <c r="AJ1444" s="72">
        <v>0</v>
      </c>
      <c r="AK1444" s="72"/>
      <c r="AL1444" s="72"/>
      <c r="AM1444" s="72"/>
    </row>
    <row r="1445" spans="1:39" x14ac:dyDescent="0.25">
      <c r="A1445" s="37" t="s">
        <v>62</v>
      </c>
      <c r="B1445" s="66" t="s">
        <v>1615</v>
      </c>
      <c r="C1445" s="47">
        <v>1013</v>
      </c>
      <c r="D1445" s="47" t="s">
        <v>351</v>
      </c>
      <c r="E1445" s="41">
        <v>10130041</v>
      </c>
      <c r="F1445" s="46" t="s">
        <v>367</v>
      </c>
      <c r="G1445" s="39" t="s">
        <v>635</v>
      </c>
      <c r="H1445" s="48" t="s">
        <v>99</v>
      </c>
      <c r="I1445" s="52">
        <v>77.5</v>
      </c>
      <c r="J1445" s="49">
        <v>2737.0699999999997</v>
      </c>
      <c r="K1445" s="65">
        <v>0</v>
      </c>
      <c r="L1445" s="65">
        <v>0</v>
      </c>
      <c r="M1445" s="65">
        <v>0</v>
      </c>
      <c r="N1445" s="65">
        <v>0</v>
      </c>
      <c r="O1445" s="65">
        <v>0</v>
      </c>
      <c r="P1445" s="65">
        <v>0</v>
      </c>
      <c r="Q1445" s="50">
        <v>2737.0699999999997</v>
      </c>
      <c r="R1445" s="65">
        <v>0</v>
      </c>
      <c r="S1445" s="65">
        <v>0</v>
      </c>
      <c r="T1445" s="65">
        <v>0</v>
      </c>
      <c r="U1445" s="65">
        <v>0</v>
      </c>
      <c r="V1445" s="65">
        <v>0</v>
      </c>
      <c r="W1445" s="65">
        <v>0</v>
      </c>
      <c r="X1445" s="65">
        <v>0</v>
      </c>
      <c r="Y1445" s="65">
        <v>0</v>
      </c>
      <c r="Z1445" s="65">
        <v>2737.0699999999997</v>
      </c>
      <c r="AA1445" s="51">
        <v>0</v>
      </c>
      <c r="AB1445" s="102">
        <v>0</v>
      </c>
      <c r="AC1445" s="81">
        <f t="shared" si="69"/>
        <v>439.69705161290324</v>
      </c>
      <c r="AD1445" s="82">
        <f t="shared" si="70"/>
        <v>11.071428571428571</v>
      </c>
      <c r="AE1445" s="218">
        <v>0</v>
      </c>
      <c r="AF1445">
        <v>0</v>
      </c>
      <c r="AH1445" t="str">
        <f t="shared" ref="AH1445:AH1507" si="71">TEXT(D1445,"0000")</f>
        <v>Musrigharari</v>
      </c>
      <c r="AJ1445" s="72">
        <v>0</v>
      </c>
      <c r="AK1445" s="72"/>
      <c r="AL1445" s="72"/>
      <c r="AM1445" s="72"/>
    </row>
    <row r="1446" spans="1:39" x14ac:dyDescent="0.25">
      <c r="A1446" s="37" t="s">
        <v>62</v>
      </c>
      <c r="B1446" s="66" t="s">
        <v>1615</v>
      </c>
      <c r="C1446" s="47">
        <v>1013</v>
      </c>
      <c r="D1446" s="47" t="s">
        <v>351</v>
      </c>
      <c r="E1446" s="41">
        <v>10130044</v>
      </c>
      <c r="F1446" s="46" t="s">
        <v>369</v>
      </c>
      <c r="G1446" s="39" t="s">
        <v>93</v>
      </c>
      <c r="H1446" s="48" t="s">
        <v>99</v>
      </c>
      <c r="I1446" s="52">
        <v>2980.2999999999997</v>
      </c>
      <c r="J1446" s="49">
        <v>122513.73000000001</v>
      </c>
      <c r="K1446" s="65">
        <v>0</v>
      </c>
      <c r="L1446" s="65">
        <v>0</v>
      </c>
      <c r="M1446" s="65">
        <v>0</v>
      </c>
      <c r="N1446" s="65">
        <v>0</v>
      </c>
      <c r="O1446" s="65">
        <v>0</v>
      </c>
      <c r="P1446" s="65">
        <v>0</v>
      </c>
      <c r="Q1446" s="50">
        <v>122513.73000000001</v>
      </c>
      <c r="R1446" s="65">
        <v>0</v>
      </c>
      <c r="S1446" s="65">
        <v>0</v>
      </c>
      <c r="T1446" s="65">
        <v>0</v>
      </c>
      <c r="U1446" s="65">
        <v>3000</v>
      </c>
      <c r="V1446" s="65">
        <v>0</v>
      </c>
      <c r="W1446" s="65">
        <v>0</v>
      </c>
      <c r="X1446" s="65">
        <v>0</v>
      </c>
      <c r="Y1446" s="65">
        <v>0</v>
      </c>
      <c r="Z1446" s="65">
        <v>119513.73000000001</v>
      </c>
      <c r="AA1446" s="51">
        <v>0</v>
      </c>
      <c r="AB1446" s="102">
        <v>0</v>
      </c>
      <c r="AC1446" s="81">
        <f t="shared" si="69"/>
        <v>0</v>
      </c>
      <c r="AD1446" s="82">
        <f t="shared" si="70"/>
        <v>0</v>
      </c>
      <c r="AE1446" s="218">
        <v>0</v>
      </c>
      <c r="AF1446">
        <v>0</v>
      </c>
      <c r="AH1446" t="str">
        <f t="shared" si="71"/>
        <v>Musrigharari</v>
      </c>
      <c r="AJ1446" s="72">
        <v>0</v>
      </c>
      <c r="AK1446" s="72"/>
      <c r="AL1446" s="72"/>
      <c r="AM1446" s="72"/>
    </row>
    <row r="1447" spans="1:39" x14ac:dyDescent="0.25">
      <c r="A1447" s="37" t="s">
        <v>62</v>
      </c>
      <c r="B1447" s="66" t="s">
        <v>1615</v>
      </c>
      <c r="C1447" s="47">
        <v>1013</v>
      </c>
      <c r="D1447" s="47" t="s">
        <v>351</v>
      </c>
      <c r="E1447" s="41">
        <v>10130046</v>
      </c>
      <c r="F1447" s="46" t="s">
        <v>370</v>
      </c>
      <c r="G1447" s="39" t="s">
        <v>93</v>
      </c>
      <c r="H1447" s="48" t="s">
        <v>94</v>
      </c>
      <c r="I1447" s="52">
        <v>300.09999999999997</v>
      </c>
      <c r="J1447" s="49">
        <v>13086.18</v>
      </c>
      <c r="K1447" s="65">
        <v>268.59000000000003</v>
      </c>
      <c r="L1447" s="65">
        <v>11541.78759721274</v>
      </c>
      <c r="M1447" s="65">
        <v>65.830000000000013</v>
      </c>
      <c r="N1447" s="65">
        <v>3398.2487907897971</v>
      </c>
      <c r="O1447" s="65">
        <v>334.42000000000007</v>
      </c>
      <c r="P1447" s="65">
        <v>14940.036388002538</v>
      </c>
      <c r="Q1447" s="50">
        <v>13086.18</v>
      </c>
      <c r="R1447" s="65">
        <v>0</v>
      </c>
      <c r="S1447" s="65">
        <v>0</v>
      </c>
      <c r="T1447" s="65">
        <v>1853.8563880025376</v>
      </c>
      <c r="U1447" s="65">
        <v>0</v>
      </c>
      <c r="V1447" s="65">
        <v>0</v>
      </c>
      <c r="W1447" s="65">
        <v>0</v>
      </c>
      <c r="X1447" s="65">
        <v>9689</v>
      </c>
      <c r="Y1447" s="65">
        <v>3397</v>
      </c>
      <c r="Z1447" s="65">
        <v>0</v>
      </c>
      <c r="AA1447" s="51">
        <v>0</v>
      </c>
      <c r="AB1447" s="102">
        <v>0</v>
      </c>
      <c r="AC1447" s="81">
        <f t="shared" si="69"/>
        <v>348.76130503165626</v>
      </c>
      <c r="AD1447" s="82">
        <f t="shared" si="70"/>
        <v>42.871428571428567</v>
      </c>
      <c r="AE1447" s="218">
        <v>-0.14166520619482062</v>
      </c>
      <c r="AF1447">
        <v>14</v>
      </c>
      <c r="AH1447" t="str">
        <f t="shared" si="71"/>
        <v>Musrigharari</v>
      </c>
      <c r="AJ1447" s="72">
        <v>0</v>
      </c>
      <c r="AK1447" s="72"/>
      <c r="AL1447" s="72"/>
      <c r="AM1447" s="72"/>
    </row>
    <row r="1448" spans="1:39" x14ac:dyDescent="0.25">
      <c r="A1448" s="37" t="s">
        <v>62</v>
      </c>
      <c r="B1448" s="66" t="s">
        <v>1615</v>
      </c>
      <c r="C1448" s="47">
        <v>1013</v>
      </c>
      <c r="D1448" s="47" t="s">
        <v>351</v>
      </c>
      <c r="E1448" s="41">
        <v>10130047</v>
      </c>
      <c r="F1448" s="46" t="s">
        <v>371</v>
      </c>
      <c r="G1448" s="39" t="s">
        <v>93</v>
      </c>
      <c r="H1448" s="48" t="s">
        <v>94</v>
      </c>
      <c r="I1448" s="52">
        <v>250.4</v>
      </c>
      <c r="J1448" s="49">
        <v>8592.57</v>
      </c>
      <c r="K1448" s="65">
        <v>250.65</v>
      </c>
      <c r="L1448" s="65">
        <v>8923.3319683332029</v>
      </c>
      <c r="M1448" s="65">
        <v>2.7300000000000004</v>
      </c>
      <c r="N1448" s="65">
        <v>94.75750969740001</v>
      </c>
      <c r="O1448" s="65">
        <v>253.38</v>
      </c>
      <c r="P1448" s="65">
        <v>9018.0894780306025</v>
      </c>
      <c r="Q1448" s="50">
        <v>8592.57</v>
      </c>
      <c r="R1448" s="65">
        <v>0</v>
      </c>
      <c r="S1448" s="65">
        <v>94.75750969740001</v>
      </c>
      <c r="T1448" s="65">
        <v>425.51947803060284</v>
      </c>
      <c r="U1448" s="65">
        <v>0</v>
      </c>
      <c r="V1448" s="65">
        <v>0</v>
      </c>
      <c r="W1448" s="65">
        <v>0</v>
      </c>
      <c r="X1448" s="65">
        <v>8498</v>
      </c>
      <c r="Y1448" s="65">
        <v>0</v>
      </c>
      <c r="Z1448" s="65">
        <v>0</v>
      </c>
      <c r="AA1448" s="51">
        <v>0</v>
      </c>
      <c r="AB1448" s="102">
        <v>0</v>
      </c>
      <c r="AC1448" s="81">
        <f t="shared" si="69"/>
        <v>308.56385559105433</v>
      </c>
      <c r="AD1448" s="82">
        <f t="shared" si="70"/>
        <v>35.771428571428572</v>
      </c>
      <c r="AE1448" s="218">
        <v>-4.9521793599656777E-2</v>
      </c>
      <c r="AF1448">
        <v>6</v>
      </c>
      <c r="AH1448" t="str">
        <f t="shared" si="71"/>
        <v>Musrigharari</v>
      </c>
      <c r="AJ1448" s="72">
        <v>0</v>
      </c>
      <c r="AK1448" s="72"/>
      <c r="AL1448" s="72"/>
      <c r="AM1448" s="72"/>
    </row>
    <row r="1449" spans="1:39" x14ac:dyDescent="0.25">
      <c r="A1449" s="37" t="s">
        <v>62</v>
      </c>
      <c r="B1449" s="66" t="s">
        <v>1615</v>
      </c>
      <c r="C1449" s="47">
        <v>1013</v>
      </c>
      <c r="D1449" s="47" t="s">
        <v>351</v>
      </c>
      <c r="E1449" s="41">
        <v>10130051</v>
      </c>
      <c r="F1449" s="46" t="s">
        <v>372</v>
      </c>
      <c r="G1449" s="39" t="s">
        <v>93</v>
      </c>
      <c r="H1449" s="48" t="s">
        <v>94</v>
      </c>
      <c r="I1449" s="52">
        <v>9.3000000000000007</v>
      </c>
      <c r="J1449" s="49">
        <v>397.02</v>
      </c>
      <c r="K1449" s="65">
        <v>9</v>
      </c>
      <c r="L1449" s="65">
        <v>392.04997920000011</v>
      </c>
      <c r="M1449" s="65">
        <v>0</v>
      </c>
      <c r="N1449" s="65">
        <v>0</v>
      </c>
      <c r="O1449" s="65">
        <v>9</v>
      </c>
      <c r="P1449" s="65">
        <v>392.04997920000011</v>
      </c>
      <c r="Q1449" s="50">
        <v>392.04997920000011</v>
      </c>
      <c r="R1449" s="65">
        <v>0</v>
      </c>
      <c r="S1449" s="65">
        <v>0</v>
      </c>
      <c r="T1449" s="65">
        <v>0</v>
      </c>
      <c r="U1449" s="65">
        <v>0</v>
      </c>
      <c r="V1449" s="65">
        <v>392</v>
      </c>
      <c r="W1449" s="65">
        <v>0</v>
      </c>
      <c r="X1449" s="65">
        <v>0</v>
      </c>
      <c r="Y1449" s="65">
        <v>0</v>
      </c>
      <c r="Z1449" s="65">
        <v>0</v>
      </c>
      <c r="AA1449" s="51">
        <v>5</v>
      </c>
      <c r="AB1449" s="102" t="s">
        <v>68</v>
      </c>
      <c r="AC1449" s="81">
        <f t="shared" si="69"/>
        <v>589.72411612903227</v>
      </c>
      <c r="AD1449" s="82">
        <f t="shared" si="70"/>
        <v>1.3285714285714287</v>
      </c>
      <c r="AE1449" s="218">
        <v>1.251831343509111E-2</v>
      </c>
      <c r="AF1449">
        <v>1</v>
      </c>
      <c r="AH1449" t="str">
        <f t="shared" si="71"/>
        <v>Musrigharari</v>
      </c>
      <c r="AJ1449" s="72">
        <v>0</v>
      </c>
      <c r="AK1449" s="72"/>
      <c r="AL1449" s="72"/>
      <c r="AM1449" s="72"/>
    </row>
    <row r="1450" spans="1:39" x14ac:dyDescent="0.25">
      <c r="A1450" s="37" t="s">
        <v>62</v>
      </c>
      <c r="B1450" s="66" t="s">
        <v>1615</v>
      </c>
      <c r="C1450" s="47">
        <v>1013</v>
      </c>
      <c r="D1450" s="47" t="s">
        <v>351</v>
      </c>
      <c r="E1450" s="41">
        <v>10130052</v>
      </c>
      <c r="F1450" s="46" t="s">
        <v>373</v>
      </c>
      <c r="G1450" s="39" t="s">
        <v>93</v>
      </c>
      <c r="H1450" s="48" t="s">
        <v>94</v>
      </c>
      <c r="I1450" s="52">
        <v>1356.1</v>
      </c>
      <c r="J1450" s="49">
        <v>47534.709999999992</v>
      </c>
      <c r="K1450" s="65">
        <v>773.68</v>
      </c>
      <c r="L1450" s="65">
        <v>28606.900089199436</v>
      </c>
      <c r="M1450" s="65">
        <v>585.13999999999987</v>
      </c>
      <c r="N1450" s="65">
        <v>19796.250542732403</v>
      </c>
      <c r="O1450" s="65">
        <v>1358.8199999999997</v>
      </c>
      <c r="P1450" s="65">
        <v>48403.150631931843</v>
      </c>
      <c r="Q1450" s="50">
        <v>47534.709999999992</v>
      </c>
      <c r="R1450" s="65">
        <v>0</v>
      </c>
      <c r="S1450" s="65">
        <v>554.82691568040013</v>
      </c>
      <c r="T1450" s="65">
        <v>868.44063193185139</v>
      </c>
      <c r="U1450" s="65">
        <v>0</v>
      </c>
      <c r="V1450" s="65">
        <v>0</v>
      </c>
      <c r="W1450" s="65">
        <v>0</v>
      </c>
      <c r="X1450" s="65">
        <v>27738</v>
      </c>
      <c r="Y1450" s="65">
        <v>19242</v>
      </c>
      <c r="Z1450" s="65">
        <v>0</v>
      </c>
      <c r="AA1450" s="51">
        <v>0</v>
      </c>
      <c r="AB1450" s="102">
        <v>0</v>
      </c>
      <c r="AC1450" s="81">
        <f t="shared" si="69"/>
        <v>0</v>
      </c>
      <c r="AD1450" s="82">
        <f t="shared" si="70"/>
        <v>0</v>
      </c>
      <c r="AE1450" s="218">
        <v>-1.8269610394843084E-2</v>
      </c>
      <c r="AF1450">
        <v>28</v>
      </c>
      <c r="AH1450" t="str">
        <f t="shared" si="71"/>
        <v>Musrigharari</v>
      </c>
      <c r="AJ1450" s="72">
        <v>0</v>
      </c>
      <c r="AK1450" s="72"/>
      <c r="AL1450" s="72"/>
      <c r="AM1450" s="72"/>
    </row>
    <row r="1451" spans="1:39" x14ac:dyDescent="0.25">
      <c r="A1451" s="37" t="s">
        <v>62</v>
      </c>
      <c r="B1451" s="66" t="s">
        <v>1615</v>
      </c>
      <c r="C1451" s="47">
        <v>1013</v>
      </c>
      <c r="D1451" s="47" t="s">
        <v>351</v>
      </c>
      <c r="E1451" s="41">
        <v>10130054</v>
      </c>
      <c r="F1451" s="46" t="s">
        <v>374</v>
      </c>
      <c r="G1451" s="39" t="s">
        <v>93</v>
      </c>
      <c r="H1451" s="48" t="s">
        <v>94</v>
      </c>
      <c r="I1451" s="52">
        <v>436.50000000000006</v>
      </c>
      <c r="J1451" s="49">
        <v>17337.53</v>
      </c>
      <c r="K1451" s="65">
        <v>262.58000000000004</v>
      </c>
      <c r="L1451" s="65">
        <v>11383.235300376011</v>
      </c>
      <c r="M1451" s="65">
        <v>182.04999999999998</v>
      </c>
      <c r="N1451" s="65">
        <v>6673.3556637528018</v>
      </c>
      <c r="O1451" s="65">
        <v>444.63</v>
      </c>
      <c r="P1451" s="65">
        <v>18056.590964128813</v>
      </c>
      <c r="Q1451" s="50">
        <v>17337.53</v>
      </c>
      <c r="R1451" s="65">
        <v>0</v>
      </c>
      <c r="S1451" s="65">
        <v>38.093589863999995</v>
      </c>
      <c r="T1451" s="65">
        <v>719.06096412881379</v>
      </c>
      <c r="U1451" s="65">
        <v>0</v>
      </c>
      <c r="V1451" s="65">
        <v>149.08895409836038</v>
      </c>
      <c r="W1451" s="65">
        <v>0</v>
      </c>
      <c r="X1451" s="65">
        <v>10514</v>
      </c>
      <c r="Y1451" s="65">
        <v>6636</v>
      </c>
      <c r="Z1451" s="65">
        <v>0</v>
      </c>
      <c r="AA1451" s="51">
        <v>0</v>
      </c>
      <c r="AB1451" s="102">
        <v>0</v>
      </c>
      <c r="AC1451" s="81">
        <f t="shared" si="69"/>
        <v>209.32138167239395</v>
      </c>
      <c r="AD1451" s="82">
        <f t="shared" si="70"/>
        <v>62.357142857142868</v>
      </c>
      <c r="AE1451" s="218">
        <v>-4.1474244839306049E-2</v>
      </c>
      <c r="AF1451">
        <v>13</v>
      </c>
      <c r="AH1451" t="str">
        <f t="shared" si="71"/>
        <v>Musrigharari</v>
      </c>
      <c r="AJ1451" s="72">
        <v>0</v>
      </c>
      <c r="AK1451" s="72"/>
      <c r="AL1451" s="72"/>
      <c r="AM1451" s="72"/>
    </row>
    <row r="1452" spans="1:39" x14ac:dyDescent="0.25">
      <c r="A1452" s="37" t="s">
        <v>62</v>
      </c>
      <c r="B1452" s="66" t="s">
        <v>1615</v>
      </c>
      <c r="C1452" s="47">
        <v>1013</v>
      </c>
      <c r="D1452" s="47" t="s">
        <v>351</v>
      </c>
      <c r="E1452" s="41">
        <v>10130058</v>
      </c>
      <c r="F1452" s="46" t="s">
        <v>375</v>
      </c>
      <c r="G1452" s="39" t="s">
        <v>635</v>
      </c>
      <c r="H1452" s="48" t="s">
        <v>99</v>
      </c>
      <c r="I1452" s="52">
        <v>276.09999999999997</v>
      </c>
      <c r="J1452" s="49">
        <v>8728.5999999999985</v>
      </c>
      <c r="K1452" s="65">
        <v>0</v>
      </c>
      <c r="L1452" s="65">
        <v>0</v>
      </c>
      <c r="M1452" s="65">
        <v>0</v>
      </c>
      <c r="N1452" s="65">
        <v>0</v>
      </c>
      <c r="O1452" s="65">
        <v>0</v>
      </c>
      <c r="P1452" s="65">
        <v>0</v>
      </c>
      <c r="Q1452" s="50">
        <v>8728.5999999999985</v>
      </c>
      <c r="R1452" s="65">
        <v>0</v>
      </c>
      <c r="S1452" s="65">
        <v>0</v>
      </c>
      <c r="T1452" s="65">
        <v>0</v>
      </c>
      <c r="U1452" s="65">
        <v>0</v>
      </c>
      <c r="V1452" s="65">
        <v>0</v>
      </c>
      <c r="W1452" s="65">
        <v>0</v>
      </c>
      <c r="X1452" s="65">
        <v>0</v>
      </c>
      <c r="Y1452" s="65">
        <v>0</v>
      </c>
      <c r="Z1452" s="65">
        <v>8728.5999999999985</v>
      </c>
      <c r="AA1452" s="51">
        <v>0</v>
      </c>
      <c r="AB1452" s="102">
        <v>0</v>
      </c>
      <c r="AC1452" s="81">
        <f t="shared" si="69"/>
        <v>268.02271206084754</v>
      </c>
      <c r="AD1452" s="82">
        <f t="shared" si="70"/>
        <v>39.442857142857136</v>
      </c>
      <c r="AE1452" s="218">
        <v>0</v>
      </c>
      <c r="AF1452">
        <v>0</v>
      </c>
      <c r="AH1452" t="str">
        <f t="shared" si="71"/>
        <v>Musrigharari</v>
      </c>
      <c r="AJ1452" s="72">
        <v>0</v>
      </c>
      <c r="AK1452" s="72"/>
      <c r="AL1452" s="72"/>
      <c r="AM1452" s="72"/>
    </row>
    <row r="1453" spans="1:39" x14ac:dyDescent="0.25">
      <c r="A1453" s="37" t="s">
        <v>62</v>
      </c>
      <c r="B1453" s="66" t="s">
        <v>1615</v>
      </c>
      <c r="C1453" s="47">
        <v>1013</v>
      </c>
      <c r="D1453" s="47" t="s">
        <v>351</v>
      </c>
      <c r="E1453" s="41">
        <v>10130065</v>
      </c>
      <c r="F1453" s="46" t="s">
        <v>426</v>
      </c>
      <c r="G1453" s="39" t="s">
        <v>635</v>
      </c>
      <c r="H1453" s="48" t="s">
        <v>99</v>
      </c>
      <c r="I1453" s="52">
        <v>779.4</v>
      </c>
      <c r="J1453" s="49">
        <v>30495.49</v>
      </c>
      <c r="K1453" s="65">
        <v>0</v>
      </c>
      <c r="L1453" s="65">
        <v>0</v>
      </c>
      <c r="M1453" s="65">
        <v>0</v>
      </c>
      <c r="N1453" s="65">
        <v>0</v>
      </c>
      <c r="O1453" s="65">
        <v>0</v>
      </c>
      <c r="P1453" s="65">
        <v>0</v>
      </c>
      <c r="Q1453" s="50">
        <v>30495.49</v>
      </c>
      <c r="R1453" s="65">
        <v>0</v>
      </c>
      <c r="S1453" s="65">
        <v>0</v>
      </c>
      <c r="T1453" s="65">
        <v>0</v>
      </c>
      <c r="U1453" s="65">
        <v>0</v>
      </c>
      <c r="V1453" s="65">
        <v>0</v>
      </c>
      <c r="W1453" s="65">
        <v>0</v>
      </c>
      <c r="X1453" s="65">
        <v>0</v>
      </c>
      <c r="Y1453" s="65">
        <v>0</v>
      </c>
      <c r="Z1453" s="65">
        <v>30495.49</v>
      </c>
      <c r="AA1453" s="51">
        <v>0</v>
      </c>
      <c r="AB1453" s="102">
        <v>0</v>
      </c>
      <c r="AC1453" s="81">
        <f t="shared" si="69"/>
        <v>0</v>
      </c>
      <c r="AD1453" s="82">
        <f t="shared" si="70"/>
        <v>0</v>
      </c>
      <c r="AE1453" s="218">
        <v>0</v>
      </c>
      <c r="AF1453">
        <v>0</v>
      </c>
      <c r="AH1453" t="str">
        <f t="shared" si="71"/>
        <v>Musrigharari</v>
      </c>
      <c r="AJ1453" s="72">
        <v>0</v>
      </c>
      <c r="AK1453" s="72"/>
      <c r="AL1453" s="72"/>
      <c r="AM1453" s="72"/>
    </row>
    <row r="1454" spans="1:39" x14ac:dyDescent="0.25">
      <c r="A1454" s="37" t="s">
        <v>62</v>
      </c>
      <c r="B1454" s="66" t="s">
        <v>1615</v>
      </c>
      <c r="C1454" s="47">
        <v>1013</v>
      </c>
      <c r="D1454" s="47" t="s">
        <v>351</v>
      </c>
      <c r="E1454" s="41">
        <v>10130074</v>
      </c>
      <c r="F1454" s="46" t="s">
        <v>463</v>
      </c>
      <c r="G1454" s="39" t="s">
        <v>93</v>
      </c>
      <c r="H1454" s="48" t="s">
        <v>94</v>
      </c>
      <c r="I1454" s="52">
        <v>276.3</v>
      </c>
      <c r="J1454" s="49">
        <v>10023.41</v>
      </c>
      <c r="K1454" s="65">
        <v>118.60999999999999</v>
      </c>
      <c r="L1454" s="65">
        <v>4136.0691155058003</v>
      </c>
      <c r="M1454" s="65">
        <v>182.51000000000002</v>
      </c>
      <c r="N1454" s="65">
        <v>6290.0963365811403</v>
      </c>
      <c r="O1454" s="65">
        <v>301.12</v>
      </c>
      <c r="P1454" s="65">
        <v>10426.165452086942</v>
      </c>
      <c r="Q1454" s="50">
        <v>10023.41</v>
      </c>
      <c r="R1454" s="65">
        <v>0</v>
      </c>
      <c r="S1454" s="65">
        <v>161.69630174280002</v>
      </c>
      <c r="T1454" s="65">
        <v>402.75545208694166</v>
      </c>
      <c r="U1454" s="65">
        <v>0</v>
      </c>
      <c r="V1454" s="65">
        <v>0</v>
      </c>
      <c r="W1454" s="65">
        <v>0</v>
      </c>
      <c r="X1454" s="65">
        <v>3735</v>
      </c>
      <c r="Y1454" s="65">
        <v>6127</v>
      </c>
      <c r="Z1454" s="65">
        <v>0</v>
      </c>
      <c r="AA1454" s="51">
        <v>0</v>
      </c>
      <c r="AB1454" s="102">
        <v>0</v>
      </c>
      <c r="AC1454" s="81">
        <f t="shared" si="69"/>
        <v>307.413595150199</v>
      </c>
      <c r="AD1454" s="82">
        <f t="shared" si="70"/>
        <v>39.471428571428575</v>
      </c>
      <c r="AE1454" s="218">
        <v>-4.0181480363163997E-2</v>
      </c>
      <c r="AF1454">
        <v>11</v>
      </c>
      <c r="AH1454" t="str">
        <f t="shared" si="71"/>
        <v>Musrigharari</v>
      </c>
      <c r="AJ1454" s="72">
        <v>0</v>
      </c>
      <c r="AK1454" s="72"/>
      <c r="AL1454" s="72"/>
      <c r="AM1454" s="72"/>
    </row>
    <row r="1455" spans="1:39" x14ac:dyDescent="0.25">
      <c r="A1455" s="37" t="s">
        <v>62</v>
      </c>
      <c r="B1455" s="66" t="s">
        <v>1615</v>
      </c>
      <c r="C1455" s="47">
        <v>1013</v>
      </c>
      <c r="D1455" s="47" t="s">
        <v>351</v>
      </c>
      <c r="E1455" s="41">
        <v>10130077</v>
      </c>
      <c r="F1455" s="46" t="s">
        <v>491</v>
      </c>
      <c r="G1455" s="39" t="s">
        <v>93</v>
      </c>
      <c r="H1455" s="48" t="s">
        <v>94</v>
      </c>
      <c r="I1455" s="52">
        <v>184.00000000000003</v>
      </c>
      <c r="J1455" s="49">
        <v>6454.6299999999992</v>
      </c>
      <c r="K1455" s="65">
        <v>136.96</v>
      </c>
      <c r="L1455" s="65">
        <v>4846.6175157972011</v>
      </c>
      <c r="M1455" s="65">
        <v>52.69</v>
      </c>
      <c r="N1455" s="65">
        <v>2189.6488912549003</v>
      </c>
      <c r="O1455" s="65">
        <v>189.65</v>
      </c>
      <c r="P1455" s="65">
        <v>7036.2664070521014</v>
      </c>
      <c r="Q1455" s="50">
        <v>6454.6299999999992</v>
      </c>
      <c r="R1455" s="65">
        <v>0</v>
      </c>
      <c r="S1455" s="65">
        <v>37.293409018800006</v>
      </c>
      <c r="T1455" s="65">
        <v>581.63640705210219</v>
      </c>
      <c r="U1455" s="65">
        <v>0</v>
      </c>
      <c r="V1455" s="65">
        <v>0</v>
      </c>
      <c r="W1455" s="65">
        <v>0</v>
      </c>
      <c r="X1455" s="65">
        <v>4265</v>
      </c>
      <c r="Y1455" s="65">
        <v>2152</v>
      </c>
      <c r="Z1455" s="65">
        <v>0</v>
      </c>
      <c r="AA1455" s="51">
        <v>0</v>
      </c>
      <c r="AB1455" s="102">
        <v>0</v>
      </c>
      <c r="AC1455" s="81">
        <f t="shared" si="69"/>
        <v>362.02055217391296</v>
      </c>
      <c r="AD1455" s="82">
        <f t="shared" si="70"/>
        <v>26.285714285714288</v>
      </c>
      <c r="AE1455" s="218">
        <v>-9.0111502448955591E-2</v>
      </c>
      <c r="AF1455">
        <v>7</v>
      </c>
      <c r="AH1455" t="str">
        <f t="shared" si="71"/>
        <v>Musrigharari</v>
      </c>
      <c r="AJ1455" s="72">
        <v>0</v>
      </c>
      <c r="AK1455" s="72"/>
      <c r="AL1455" s="72"/>
      <c r="AM1455" s="72"/>
    </row>
    <row r="1456" spans="1:39" x14ac:dyDescent="0.25">
      <c r="A1456" s="37" t="s">
        <v>62</v>
      </c>
      <c r="B1456" s="66" t="s">
        <v>1615</v>
      </c>
      <c r="C1456" s="47">
        <v>1013</v>
      </c>
      <c r="D1456" s="47" t="s">
        <v>351</v>
      </c>
      <c r="E1456" s="41">
        <v>10130080</v>
      </c>
      <c r="F1456" s="46" t="s">
        <v>493</v>
      </c>
      <c r="G1456" s="39" t="s">
        <v>635</v>
      </c>
      <c r="H1456" s="48" t="s">
        <v>99</v>
      </c>
      <c r="I1456" s="52">
        <v>214.79999999999998</v>
      </c>
      <c r="J1456" s="49">
        <v>6326.76</v>
      </c>
      <c r="K1456" s="65">
        <v>0</v>
      </c>
      <c r="L1456" s="65">
        <v>0</v>
      </c>
      <c r="M1456" s="65">
        <v>0</v>
      </c>
      <c r="N1456" s="65">
        <v>0</v>
      </c>
      <c r="O1456" s="65">
        <v>0</v>
      </c>
      <c r="P1456" s="65">
        <v>0</v>
      </c>
      <c r="Q1456" s="50">
        <v>6326.76</v>
      </c>
      <c r="R1456" s="65">
        <v>0</v>
      </c>
      <c r="S1456" s="65">
        <v>0</v>
      </c>
      <c r="T1456" s="65">
        <v>0</v>
      </c>
      <c r="U1456" s="65">
        <v>0</v>
      </c>
      <c r="V1456" s="65">
        <v>0</v>
      </c>
      <c r="W1456" s="65">
        <v>0</v>
      </c>
      <c r="X1456" s="65">
        <v>0</v>
      </c>
      <c r="Y1456" s="65">
        <v>0</v>
      </c>
      <c r="Z1456" s="65">
        <v>6326.76</v>
      </c>
      <c r="AA1456" s="51">
        <v>0</v>
      </c>
      <c r="AB1456" s="102">
        <v>0</v>
      </c>
      <c r="AC1456" s="81">
        <f t="shared" si="69"/>
        <v>285.8234592178772</v>
      </c>
      <c r="AD1456" s="82">
        <f t="shared" si="70"/>
        <v>30.685714285714283</v>
      </c>
      <c r="AE1456" s="218">
        <v>0</v>
      </c>
      <c r="AF1456">
        <v>0</v>
      </c>
      <c r="AH1456" t="str">
        <f t="shared" si="71"/>
        <v>Musrigharari</v>
      </c>
      <c r="AJ1456" s="72">
        <v>0</v>
      </c>
      <c r="AK1456" s="72"/>
      <c r="AL1456" s="72"/>
      <c r="AM1456" s="72"/>
    </row>
    <row r="1457" spans="1:39" x14ac:dyDescent="0.25">
      <c r="A1457" s="37" t="s">
        <v>62</v>
      </c>
      <c r="B1457" s="66" t="s">
        <v>1615</v>
      </c>
      <c r="C1457" s="47">
        <v>1013</v>
      </c>
      <c r="D1457" s="47" t="s">
        <v>351</v>
      </c>
      <c r="E1457" s="41">
        <v>10130081</v>
      </c>
      <c r="F1457" s="46" t="s">
        <v>1270</v>
      </c>
      <c r="G1457" s="39" t="s">
        <v>635</v>
      </c>
      <c r="H1457" s="48" t="s">
        <v>99</v>
      </c>
      <c r="I1457" s="52">
        <v>75.599999999999994</v>
      </c>
      <c r="J1457" s="49">
        <v>2766.45</v>
      </c>
      <c r="K1457" s="65">
        <v>0</v>
      </c>
      <c r="L1457" s="65">
        <v>0</v>
      </c>
      <c r="M1457" s="65">
        <v>0</v>
      </c>
      <c r="N1457" s="65">
        <v>0</v>
      </c>
      <c r="O1457" s="65">
        <v>0</v>
      </c>
      <c r="P1457" s="65">
        <v>0</v>
      </c>
      <c r="Q1457" s="50">
        <v>2766.45</v>
      </c>
      <c r="R1457" s="65">
        <v>0</v>
      </c>
      <c r="S1457" s="65">
        <v>0</v>
      </c>
      <c r="T1457" s="65">
        <v>0</v>
      </c>
      <c r="U1457" s="65">
        <v>0</v>
      </c>
      <c r="V1457" s="65">
        <v>19.173948387096758</v>
      </c>
      <c r="W1457" s="65">
        <v>0</v>
      </c>
      <c r="X1457" s="65">
        <v>0</v>
      </c>
      <c r="Y1457" s="65">
        <v>0</v>
      </c>
      <c r="Z1457" s="65">
        <v>2747.2760516129028</v>
      </c>
      <c r="AA1457" s="51">
        <v>0</v>
      </c>
      <c r="AB1457" s="102">
        <v>0</v>
      </c>
      <c r="AC1457" s="81">
        <f t="shared" si="69"/>
        <v>456.97655555555554</v>
      </c>
      <c r="AD1457" s="82">
        <f t="shared" si="70"/>
        <v>10.799999999999999</v>
      </c>
      <c r="AE1457" s="218">
        <v>0</v>
      </c>
      <c r="AF1457">
        <v>0</v>
      </c>
      <c r="AH1457" t="str">
        <f t="shared" si="71"/>
        <v>Musrigharari</v>
      </c>
      <c r="AJ1457" s="72">
        <v>0</v>
      </c>
      <c r="AK1457" s="72"/>
      <c r="AL1457" s="72"/>
      <c r="AM1457" s="72"/>
    </row>
    <row r="1458" spans="1:39" x14ac:dyDescent="0.25">
      <c r="A1458" s="37" t="s">
        <v>62</v>
      </c>
      <c r="B1458" s="66" t="s">
        <v>1615</v>
      </c>
      <c r="C1458" s="47">
        <v>1013</v>
      </c>
      <c r="D1458" s="47" t="s">
        <v>351</v>
      </c>
      <c r="E1458" s="41">
        <v>10130083</v>
      </c>
      <c r="F1458" s="46" t="s">
        <v>500</v>
      </c>
      <c r="G1458" s="39" t="s">
        <v>635</v>
      </c>
      <c r="H1458" s="48" t="s">
        <v>99</v>
      </c>
      <c r="I1458" s="52">
        <v>451.1</v>
      </c>
      <c r="J1458" s="49">
        <v>13678.079999999998</v>
      </c>
      <c r="K1458" s="65">
        <v>0</v>
      </c>
      <c r="L1458" s="65">
        <v>0</v>
      </c>
      <c r="M1458" s="65">
        <v>0</v>
      </c>
      <c r="N1458" s="65">
        <v>0</v>
      </c>
      <c r="O1458" s="65">
        <v>0</v>
      </c>
      <c r="P1458" s="65">
        <v>0</v>
      </c>
      <c r="Q1458" s="50">
        <v>13678.079999999998</v>
      </c>
      <c r="R1458" s="65">
        <v>0</v>
      </c>
      <c r="S1458" s="65">
        <v>0</v>
      </c>
      <c r="T1458" s="65">
        <v>0</v>
      </c>
      <c r="U1458" s="65">
        <v>0</v>
      </c>
      <c r="V1458" s="65">
        <v>1058.6499483870971</v>
      </c>
      <c r="W1458" s="65">
        <v>0</v>
      </c>
      <c r="X1458" s="65">
        <v>0</v>
      </c>
      <c r="Y1458" s="65">
        <v>0</v>
      </c>
      <c r="Z1458" s="65">
        <v>12619.430051612901</v>
      </c>
      <c r="AA1458" s="51">
        <v>0</v>
      </c>
      <c r="AB1458" s="102">
        <v>0</v>
      </c>
      <c r="AC1458" s="81">
        <f t="shared" si="69"/>
        <v>150.94099365994231</v>
      </c>
      <c r="AD1458" s="82">
        <f t="shared" si="70"/>
        <v>64.44285714285715</v>
      </c>
      <c r="AE1458" s="218">
        <v>0</v>
      </c>
      <c r="AF1458">
        <v>0</v>
      </c>
      <c r="AH1458" t="str">
        <f t="shared" si="71"/>
        <v>Musrigharari</v>
      </c>
      <c r="AJ1458" s="72">
        <v>0</v>
      </c>
      <c r="AK1458" s="72"/>
      <c r="AL1458" s="72"/>
      <c r="AM1458" s="72"/>
    </row>
    <row r="1459" spans="1:39" x14ac:dyDescent="0.25">
      <c r="A1459" s="37" t="s">
        <v>62</v>
      </c>
      <c r="B1459" s="66" t="s">
        <v>1615</v>
      </c>
      <c r="C1459" s="47">
        <v>1013</v>
      </c>
      <c r="D1459" s="47" t="s">
        <v>351</v>
      </c>
      <c r="E1459" s="41">
        <v>10130085</v>
      </c>
      <c r="F1459" s="46" t="s">
        <v>121</v>
      </c>
      <c r="G1459" s="39" t="s">
        <v>93</v>
      </c>
      <c r="H1459" s="48" t="s">
        <v>94</v>
      </c>
      <c r="I1459" s="52">
        <v>18.8</v>
      </c>
      <c r="J1459" s="49">
        <v>604.76</v>
      </c>
      <c r="K1459" s="65">
        <v>26.5</v>
      </c>
      <c r="L1459" s="65">
        <v>929.36006064000003</v>
      </c>
      <c r="M1459" s="65">
        <v>0</v>
      </c>
      <c r="N1459" s="65">
        <v>0</v>
      </c>
      <c r="O1459" s="65">
        <v>26.5</v>
      </c>
      <c r="P1459" s="65">
        <v>929.36006064000003</v>
      </c>
      <c r="Q1459" s="50">
        <v>604.76</v>
      </c>
      <c r="R1459" s="65">
        <v>0</v>
      </c>
      <c r="S1459" s="65">
        <v>0</v>
      </c>
      <c r="T1459" s="65">
        <v>324.60006064000004</v>
      </c>
      <c r="U1459" s="65">
        <v>0</v>
      </c>
      <c r="V1459" s="65">
        <v>605</v>
      </c>
      <c r="W1459" s="65">
        <v>0</v>
      </c>
      <c r="X1459" s="65">
        <v>0</v>
      </c>
      <c r="Y1459" s="65">
        <v>0</v>
      </c>
      <c r="Z1459" s="65">
        <v>0</v>
      </c>
      <c r="AA1459" s="51">
        <v>0</v>
      </c>
      <c r="AB1459" s="102" t="s">
        <v>68</v>
      </c>
      <c r="AC1459" s="81">
        <f t="shared" si="69"/>
        <v>438.2579914893617</v>
      </c>
      <c r="AD1459" s="82">
        <f t="shared" si="70"/>
        <v>2.6857142857142859</v>
      </c>
      <c r="AE1459" s="218">
        <v>-0.5367419482770025</v>
      </c>
      <c r="AF1459">
        <v>1</v>
      </c>
      <c r="AH1459" t="str">
        <f t="shared" si="71"/>
        <v>Musrigharari</v>
      </c>
      <c r="AJ1459" s="72">
        <v>0</v>
      </c>
      <c r="AK1459" s="72"/>
      <c r="AL1459" s="72"/>
      <c r="AM1459" s="72"/>
    </row>
    <row r="1460" spans="1:39" x14ac:dyDescent="0.25">
      <c r="A1460" s="37" t="s">
        <v>62</v>
      </c>
      <c r="B1460" s="66" t="s">
        <v>1615</v>
      </c>
      <c r="C1460" s="47">
        <v>1013</v>
      </c>
      <c r="D1460" s="47" t="s">
        <v>351</v>
      </c>
      <c r="E1460" s="41">
        <v>10130093</v>
      </c>
      <c r="F1460" s="46" t="s">
        <v>578</v>
      </c>
      <c r="G1460" s="39" t="s">
        <v>93</v>
      </c>
      <c r="H1460" s="48" t="s">
        <v>94</v>
      </c>
      <c r="I1460" s="52">
        <v>229.29999999999998</v>
      </c>
      <c r="J1460" s="49">
        <v>8446.8100000000013</v>
      </c>
      <c r="K1460" s="65">
        <v>191.22</v>
      </c>
      <c r="L1460" s="65">
        <v>7059.9974734080006</v>
      </c>
      <c r="M1460" s="65">
        <v>41.949999999999996</v>
      </c>
      <c r="N1460" s="65">
        <v>1575.2270719152</v>
      </c>
      <c r="O1460" s="65">
        <v>233.17</v>
      </c>
      <c r="P1460" s="65">
        <v>8635.2245453232008</v>
      </c>
      <c r="Q1460" s="50">
        <v>8446.8100000000013</v>
      </c>
      <c r="R1460" s="65">
        <v>0</v>
      </c>
      <c r="S1460" s="65">
        <v>0</v>
      </c>
      <c r="T1460" s="65">
        <v>188.41454532319949</v>
      </c>
      <c r="U1460" s="65">
        <v>0</v>
      </c>
      <c r="V1460" s="65">
        <v>251.66754193548383</v>
      </c>
      <c r="W1460" s="65">
        <v>0</v>
      </c>
      <c r="X1460" s="65">
        <v>6620</v>
      </c>
      <c r="Y1460" s="65">
        <v>1575</v>
      </c>
      <c r="Z1460" s="65">
        <v>0</v>
      </c>
      <c r="AA1460" s="51">
        <v>0</v>
      </c>
      <c r="AB1460" s="102">
        <v>0</v>
      </c>
      <c r="AC1460" s="81">
        <f t="shared" si="69"/>
        <v>346.78704465765389</v>
      </c>
      <c r="AD1460" s="82">
        <f t="shared" si="70"/>
        <v>32.757142857142853</v>
      </c>
      <c r="AE1460" s="218">
        <v>-2.2306000173225093E-2</v>
      </c>
      <c r="AF1460">
        <v>3</v>
      </c>
      <c r="AH1460" t="str">
        <f t="shared" si="71"/>
        <v>Musrigharari</v>
      </c>
      <c r="AJ1460" s="72">
        <v>0</v>
      </c>
      <c r="AK1460" s="72"/>
      <c r="AL1460" s="72"/>
      <c r="AM1460" s="72"/>
    </row>
    <row r="1461" spans="1:39" x14ac:dyDescent="0.25">
      <c r="A1461" s="37" t="s">
        <v>62</v>
      </c>
      <c r="B1461" s="66" t="s">
        <v>1615</v>
      </c>
      <c r="C1461" s="47">
        <v>1013</v>
      </c>
      <c r="D1461" s="47" t="s">
        <v>351</v>
      </c>
      <c r="E1461" s="41">
        <v>10130097</v>
      </c>
      <c r="F1461" s="46" t="s">
        <v>835</v>
      </c>
      <c r="G1461" s="39" t="s">
        <v>93</v>
      </c>
      <c r="H1461" s="48" t="s">
        <v>94</v>
      </c>
      <c r="I1461" s="52">
        <v>70.800000000000011</v>
      </c>
      <c r="J1461" s="49">
        <v>2774.5800000000004</v>
      </c>
      <c r="K1461" s="65">
        <v>122</v>
      </c>
      <c r="L1461" s="65">
        <v>4563.104832</v>
      </c>
      <c r="M1461" s="65">
        <v>0</v>
      </c>
      <c r="N1461" s="65">
        <v>0</v>
      </c>
      <c r="O1461" s="65">
        <v>122</v>
      </c>
      <c r="P1461" s="65">
        <v>4563.104832</v>
      </c>
      <c r="Q1461" s="50">
        <v>2774.5800000000004</v>
      </c>
      <c r="R1461" s="65">
        <v>0</v>
      </c>
      <c r="S1461" s="65">
        <v>0</v>
      </c>
      <c r="T1461" s="65">
        <v>1788.5248319999996</v>
      </c>
      <c r="U1461" s="65">
        <v>0</v>
      </c>
      <c r="V1461" s="65">
        <v>359.73884745762712</v>
      </c>
      <c r="W1461" s="65">
        <v>0</v>
      </c>
      <c r="X1461" s="65">
        <v>2415</v>
      </c>
      <c r="Y1461" s="65">
        <v>0</v>
      </c>
      <c r="Z1461" s="65">
        <v>0</v>
      </c>
      <c r="AA1461" s="51">
        <v>0</v>
      </c>
      <c r="AB1461" s="102">
        <v>0</v>
      </c>
      <c r="AC1461" s="81">
        <f t="shared" si="69"/>
        <v>493.15416271186444</v>
      </c>
      <c r="AD1461" s="82">
        <f t="shared" si="70"/>
        <v>10.114285714285716</v>
      </c>
      <c r="AE1461" s="218">
        <v>-0.64461101572129809</v>
      </c>
      <c r="AF1461">
        <v>1</v>
      </c>
      <c r="AH1461" t="str">
        <f t="shared" si="71"/>
        <v>Musrigharari</v>
      </c>
      <c r="AJ1461" s="72">
        <v>0</v>
      </c>
      <c r="AK1461" s="72"/>
      <c r="AL1461" s="72"/>
      <c r="AM1461" s="72"/>
    </row>
    <row r="1462" spans="1:39" x14ac:dyDescent="0.25">
      <c r="A1462" s="37" t="s">
        <v>62</v>
      </c>
      <c r="B1462" s="66" t="s">
        <v>1615</v>
      </c>
      <c r="C1462" s="47">
        <v>1013</v>
      </c>
      <c r="D1462" s="47" t="s">
        <v>351</v>
      </c>
      <c r="E1462" s="41">
        <v>10130098</v>
      </c>
      <c r="F1462" s="46" t="s">
        <v>646</v>
      </c>
      <c r="G1462" s="39" t="s">
        <v>93</v>
      </c>
      <c r="H1462" s="48" t="s">
        <v>94</v>
      </c>
      <c r="I1462" s="52">
        <v>767.30000000000007</v>
      </c>
      <c r="J1462" s="49">
        <v>27847.809999999998</v>
      </c>
      <c r="K1462" s="65">
        <v>774.75</v>
      </c>
      <c r="L1462" s="65">
        <v>29065.106593353055</v>
      </c>
      <c r="M1462" s="65">
        <v>0</v>
      </c>
      <c r="N1462" s="65">
        <v>0</v>
      </c>
      <c r="O1462" s="65">
        <v>774.75</v>
      </c>
      <c r="P1462" s="65">
        <v>29065.106593353055</v>
      </c>
      <c r="Q1462" s="50">
        <v>27847.809999999998</v>
      </c>
      <c r="R1462" s="65">
        <v>0</v>
      </c>
      <c r="S1462" s="65">
        <v>0</v>
      </c>
      <c r="T1462" s="65">
        <v>1217.2965933530577</v>
      </c>
      <c r="U1462" s="65">
        <v>0</v>
      </c>
      <c r="V1462" s="65">
        <v>431.41184516129022</v>
      </c>
      <c r="W1462" s="65">
        <v>0</v>
      </c>
      <c r="X1462" s="65">
        <v>27416</v>
      </c>
      <c r="Y1462" s="65">
        <v>0</v>
      </c>
      <c r="Z1462" s="65">
        <v>0</v>
      </c>
      <c r="AA1462" s="51">
        <v>0</v>
      </c>
      <c r="AB1462" s="102">
        <v>0</v>
      </c>
      <c r="AC1462" s="81">
        <f t="shared" si="69"/>
        <v>0</v>
      </c>
      <c r="AD1462" s="82">
        <f t="shared" si="70"/>
        <v>0</v>
      </c>
      <c r="AE1462" s="218">
        <v>-4.3712471226752043E-2</v>
      </c>
      <c r="AF1462">
        <v>4</v>
      </c>
      <c r="AH1462" t="str">
        <f t="shared" si="71"/>
        <v>Musrigharari</v>
      </c>
      <c r="AJ1462" s="72">
        <v>0</v>
      </c>
      <c r="AK1462" s="72"/>
      <c r="AL1462" s="72"/>
      <c r="AM1462" s="72"/>
    </row>
    <row r="1463" spans="1:39" x14ac:dyDescent="0.25">
      <c r="A1463" s="37" t="s">
        <v>62</v>
      </c>
      <c r="B1463" s="66" t="s">
        <v>1615</v>
      </c>
      <c r="C1463" s="47">
        <v>1013</v>
      </c>
      <c r="D1463" s="47" t="s">
        <v>351</v>
      </c>
      <c r="E1463" s="41">
        <v>10130100</v>
      </c>
      <c r="F1463" s="46" t="s">
        <v>696</v>
      </c>
      <c r="G1463" s="39" t="s">
        <v>93</v>
      </c>
      <c r="H1463" s="48" t="s">
        <v>94</v>
      </c>
      <c r="I1463" s="52">
        <v>141.20000000000002</v>
      </c>
      <c r="J1463" s="49">
        <v>5651.79</v>
      </c>
      <c r="K1463" s="65">
        <v>141.21999999999997</v>
      </c>
      <c r="L1463" s="65">
        <v>5650.1352152808004</v>
      </c>
      <c r="M1463" s="65">
        <v>0.2</v>
      </c>
      <c r="N1463" s="65">
        <v>7.3922112000000002</v>
      </c>
      <c r="O1463" s="65">
        <v>141.41999999999996</v>
      </c>
      <c r="P1463" s="65">
        <v>5657.5274264808004</v>
      </c>
      <c r="Q1463" s="50">
        <v>5651.79</v>
      </c>
      <c r="R1463" s="65">
        <v>0</v>
      </c>
      <c r="S1463" s="65">
        <v>7.3922112000000002</v>
      </c>
      <c r="T1463" s="65">
        <v>5.7374264808004227</v>
      </c>
      <c r="U1463" s="65">
        <v>0</v>
      </c>
      <c r="V1463" s="65">
        <v>0</v>
      </c>
      <c r="W1463" s="65">
        <v>0</v>
      </c>
      <c r="X1463" s="65">
        <v>5644</v>
      </c>
      <c r="Y1463" s="65">
        <v>0</v>
      </c>
      <c r="Z1463" s="65">
        <v>0</v>
      </c>
      <c r="AA1463" s="51">
        <v>0</v>
      </c>
      <c r="AB1463" s="102">
        <v>0</v>
      </c>
      <c r="AC1463" s="81">
        <f t="shared" si="69"/>
        <v>447.33997903682706</v>
      </c>
      <c r="AD1463" s="82">
        <f t="shared" si="70"/>
        <v>20.171428571428574</v>
      </c>
      <c r="AE1463" s="218">
        <v>-1.015152098857251E-3</v>
      </c>
      <c r="AF1463">
        <v>3</v>
      </c>
      <c r="AH1463" t="str">
        <f t="shared" si="71"/>
        <v>Musrigharari</v>
      </c>
      <c r="AJ1463" s="72">
        <v>0</v>
      </c>
      <c r="AK1463" s="72"/>
      <c r="AL1463" s="72"/>
      <c r="AM1463" s="72"/>
    </row>
    <row r="1464" spans="1:39" x14ac:dyDescent="0.25">
      <c r="A1464" s="37" t="s">
        <v>62</v>
      </c>
      <c r="B1464" s="66" t="s">
        <v>1615</v>
      </c>
      <c r="C1464" s="47">
        <v>1061</v>
      </c>
      <c r="D1464" s="47" t="s">
        <v>1452</v>
      </c>
      <c r="E1464" s="41">
        <v>10130101</v>
      </c>
      <c r="F1464" s="46" t="s">
        <v>1562</v>
      </c>
      <c r="G1464" s="39" t="s">
        <v>635</v>
      </c>
      <c r="H1464" s="48" t="s">
        <v>99</v>
      </c>
      <c r="I1464" s="52">
        <v>108.39999999999999</v>
      </c>
      <c r="J1464" s="49">
        <v>4592.1400000000003</v>
      </c>
      <c r="K1464" s="65">
        <v>0</v>
      </c>
      <c r="L1464" s="65">
        <v>0</v>
      </c>
      <c r="M1464" s="65">
        <v>0</v>
      </c>
      <c r="N1464" s="65">
        <v>0</v>
      </c>
      <c r="O1464" s="65">
        <v>0</v>
      </c>
      <c r="P1464" s="65">
        <v>0</v>
      </c>
      <c r="Q1464" s="50">
        <v>4592.1400000000003</v>
      </c>
      <c r="R1464" s="65">
        <v>0</v>
      </c>
      <c r="S1464" s="65">
        <v>0</v>
      </c>
      <c r="T1464" s="65">
        <v>0</v>
      </c>
      <c r="U1464" s="65">
        <v>0</v>
      </c>
      <c r="V1464" s="65">
        <v>0</v>
      </c>
      <c r="W1464" s="65">
        <v>0</v>
      </c>
      <c r="X1464" s="65">
        <v>0</v>
      </c>
      <c r="Y1464" s="65">
        <v>0</v>
      </c>
      <c r="Z1464" s="65">
        <v>4592.1400000000003</v>
      </c>
      <c r="AA1464" s="51">
        <v>0</v>
      </c>
      <c r="AB1464" s="102">
        <v>0</v>
      </c>
      <c r="AC1464" s="81">
        <f t="shared" si="69"/>
        <v>501.23801180811819</v>
      </c>
      <c r="AD1464" s="82">
        <f t="shared" si="70"/>
        <v>15.485714285714284</v>
      </c>
      <c r="AE1464" s="218">
        <v>0</v>
      </c>
      <c r="AF1464">
        <v>0</v>
      </c>
      <c r="AH1464" t="str">
        <f t="shared" si="71"/>
        <v>Mahua BMC</v>
      </c>
      <c r="AJ1464" s="72">
        <v>0</v>
      </c>
      <c r="AK1464" s="72"/>
      <c r="AL1464" s="72"/>
      <c r="AM1464" s="72"/>
    </row>
    <row r="1465" spans="1:39" x14ac:dyDescent="0.25">
      <c r="A1465" s="37" t="s">
        <v>62</v>
      </c>
      <c r="B1465" s="66" t="s">
        <v>1615</v>
      </c>
      <c r="C1465" s="47">
        <v>1013</v>
      </c>
      <c r="D1465" s="47" t="s">
        <v>351</v>
      </c>
      <c r="E1465" s="41">
        <v>10130102</v>
      </c>
      <c r="F1465" s="46" t="s">
        <v>697</v>
      </c>
      <c r="G1465" s="39" t="s">
        <v>635</v>
      </c>
      <c r="H1465" s="48" t="s">
        <v>94</v>
      </c>
      <c r="I1465" s="52">
        <v>339.2</v>
      </c>
      <c r="J1465" s="49">
        <v>12130.95</v>
      </c>
      <c r="K1465" s="65">
        <v>186.6</v>
      </c>
      <c r="L1465" s="65">
        <v>6686.8266708540004</v>
      </c>
      <c r="M1465" s="65">
        <v>152.6</v>
      </c>
      <c r="N1465" s="65">
        <v>5491.4924988000012</v>
      </c>
      <c r="O1465" s="65">
        <v>339.2</v>
      </c>
      <c r="P1465" s="65">
        <v>12178.319169654002</v>
      </c>
      <c r="Q1465" s="50">
        <v>12130.95</v>
      </c>
      <c r="R1465" s="65">
        <v>0</v>
      </c>
      <c r="S1465" s="65">
        <v>0</v>
      </c>
      <c r="T1465" s="65">
        <v>47.369169654000871</v>
      </c>
      <c r="U1465" s="65">
        <v>0</v>
      </c>
      <c r="V1465" s="65">
        <v>0</v>
      </c>
      <c r="W1465" s="65">
        <v>0</v>
      </c>
      <c r="X1465" s="65">
        <v>6640</v>
      </c>
      <c r="Y1465" s="65">
        <v>5491</v>
      </c>
      <c r="Z1465" s="65">
        <v>0</v>
      </c>
      <c r="AA1465" s="51">
        <v>0</v>
      </c>
      <c r="AB1465" s="102">
        <v>0</v>
      </c>
      <c r="AC1465" s="81">
        <f t="shared" si="69"/>
        <v>258.0687948113208</v>
      </c>
      <c r="AD1465" s="82">
        <f t="shared" si="70"/>
        <v>48.457142857142856</v>
      </c>
      <c r="AE1465" s="218">
        <v>-3.9048194621196914E-3</v>
      </c>
      <c r="AF1465">
        <v>3</v>
      </c>
      <c r="AH1465" t="str">
        <f t="shared" si="71"/>
        <v>Musrigharari</v>
      </c>
      <c r="AJ1465" s="72">
        <v>0</v>
      </c>
      <c r="AK1465" s="72"/>
      <c r="AL1465" s="72"/>
      <c r="AM1465" s="72"/>
    </row>
    <row r="1466" spans="1:39" x14ac:dyDescent="0.25">
      <c r="A1466" s="37" t="s">
        <v>62</v>
      </c>
      <c r="B1466" s="66" t="s">
        <v>1615</v>
      </c>
      <c r="C1466" s="47">
        <v>1013</v>
      </c>
      <c r="D1466" s="47" t="s">
        <v>351</v>
      </c>
      <c r="E1466" s="41">
        <v>10130107</v>
      </c>
      <c r="F1466" s="46" t="s">
        <v>522</v>
      </c>
      <c r="G1466" s="39" t="s">
        <v>635</v>
      </c>
      <c r="H1466" s="48" t="s">
        <v>99</v>
      </c>
      <c r="I1466" s="52">
        <v>321.3</v>
      </c>
      <c r="J1466" s="49">
        <v>12429.03</v>
      </c>
      <c r="K1466" s="65">
        <v>0</v>
      </c>
      <c r="L1466" s="65">
        <v>0</v>
      </c>
      <c r="M1466" s="65">
        <v>0</v>
      </c>
      <c r="N1466" s="65">
        <v>0</v>
      </c>
      <c r="O1466" s="65">
        <v>0</v>
      </c>
      <c r="P1466" s="65">
        <v>0</v>
      </c>
      <c r="Q1466" s="50">
        <v>12429.03</v>
      </c>
      <c r="R1466" s="65">
        <v>0</v>
      </c>
      <c r="S1466" s="65">
        <v>0</v>
      </c>
      <c r="T1466" s="65">
        <v>0</v>
      </c>
      <c r="U1466" s="65">
        <v>6750</v>
      </c>
      <c r="V1466" s="65">
        <v>686.70365806451593</v>
      </c>
      <c r="W1466" s="65">
        <v>0</v>
      </c>
      <c r="X1466" s="65">
        <v>0</v>
      </c>
      <c r="Y1466" s="65">
        <v>0</v>
      </c>
      <c r="Z1466" s="65">
        <v>4992.3263419354844</v>
      </c>
      <c r="AA1466" s="51">
        <v>0</v>
      </c>
      <c r="AB1466" s="102">
        <v>0</v>
      </c>
      <c r="AC1466" s="81">
        <f t="shared" si="69"/>
        <v>292.98933464052288</v>
      </c>
      <c r="AD1466" s="82">
        <f t="shared" si="70"/>
        <v>45.9</v>
      </c>
      <c r="AE1466" s="218">
        <v>0</v>
      </c>
      <c r="AF1466">
        <v>0</v>
      </c>
      <c r="AH1466" t="str">
        <f t="shared" si="71"/>
        <v>Musrigharari</v>
      </c>
      <c r="AJ1466" s="72">
        <v>0</v>
      </c>
      <c r="AK1466" s="72"/>
      <c r="AL1466" s="72"/>
      <c r="AM1466" s="72"/>
    </row>
    <row r="1467" spans="1:39" x14ac:dyDescent="0.25">
      <c r="A1467" s="37" t="s">
        <v>62</v>
      </c>
      <c r="B1467" s="66" t="s">
        <v>1615</v>
      </c>
      <c r="C1467" s="47">
        <v>1013</v>
      </c>
      <c r="D1467" s="47" t="s">
        <v>351</v>
      </c>
      <c r="E1467" s="41">
        <v>10130113</v>
      </c>
      <c r="F1467" s="46" t="s">
        <v>1307</v>
      </c>
      <c r="G1467" s="39" t="s">
        <v>635</v>
      </c>
      <c r="H1467" s="48" t="s">
        <v>99</v>
      </c>
      <c r="I1467" s="52">
        <v>76.3</v>
      </c>
      <c r="J1467" s="49">
        <v>2623.04</v>
      </c>
      <c r="K1467" s="65">
        <v>0</v>
      </c>
      <c r="L1467" s="65">
        <v>0</v>
      </c>
      <c r="M1467" s="65">
        <v>0</v>
      </c>
      <c r="N1467" s="65">
        <v>0</v>
      </c>
      <c r="O1467" s="65">
        <v>0</v>
      </c>
      <c r="P1467" s="65">
        <v>0</v>
      </c>
      <c r="Q1467" s="50">
        <v>2623.04</v>
      </c>
      <c r="R1467" s="65">
        <v>0</v>
      </c>
      <c r="S1467" s="65">
        <v>0</v>
      </c>
      <c r="T1467" s="65">
        <v>0</v>
      </c>
      <c r="U1467" s="65">
        <v>0</v>
      </c>
      <c r="V1467" s="65">
        <v>645.35547096774189</v>
      </c>
      <c r="W1467" s="65">
        <v>0</v>
      </c>
      <c r="X1467" s="65">
        <v>0</v>
      </c>
      <c r="Y1467" s="65">
        <v>0</v>
      </c>
      <c r="Z1467" s="65">
        <v>1977.6845290322581</v>
      </c>
      <c r="AA1467" s="51">
        <v>0</v>
      </c>
      <c r="AB1467" s="102">
        <v>0</v>
      </c>
      <c r="AC1467" s="81">
        <f t="shared" si="69"/>
        <v>428.83094311926601</v>
      </c>
      <c r="AD1467" s="82">
        <f t="shared" si="70"/>
        <v>10.9</v>
      </c>
      <c r="AE1467" s="218">
        <v>0</v>
      </c>
      <c r="AF1467">
        <v>0</v>
      </c>
      <c r="AH1467" t="str">
        <f t="shared" si="71"/>
        <v>Musrigharari</v>
      </c>
      <c r="AJ1467" s="72">
        <v>0</v>
      </c>
      <c r="AK1467" s="72"/>
      <c r="AL1467" s="72"/>
      <c r="AM1467" s="72"/>
    </row>
    <row r="1468" spans="1:39" x14ac:dyDescent="0.25">
      <c r="A1468" s="37" t="s">
        <v>62</v>
      </c>
      <c r="B1468" s="66" t="s">
        <v>1615</v>
      </c>
      <c r="C1468" s="47">
        <v>1013</v>
      </c>
      <c r="D1468" s="47" t="s">
        <v>351</v>
      </c>
      <c r="E1468" s="41">
        <v>10130114</v>
      </c>
      <c r="F1468" s="46" t="s">
        <v>1327</v>
      </c>
      <c r="G1468" s="39" t="s">
        <v>635</v>
      </c>
      <c r="H1468" s="48" t="s">
        <v>99</v>
      </c>
      <c r="I1468" s="52">
        <v>326.69999999999993</v>
      </c>
      <c r="J1468" s="49">
        <v>11808.340000000002</v>
      </c>
      <c r="K1468" s="65">
        <v>0</v>
      </c>
      <c r="L1468" s="65">
        <v>0</v>
      </c>
      <c r="M1468" s="65">
        <v>0</v>
      </c>
      <c r="N1468" s="65">
        <v>0</v>
      </c>
      <c r="O1468" s="65">
        <v>0</v>
      </c>
      <c r="P1468" s="65">
        <v>0</v>
      </c>
      <c r="Q1468" s="50">
        <v>11808.340000000002</v>
      </c>
      <c r="R1468" s="65">
        <v>0</v>
      </c>
      <c r="S1468" s="65">
        <v>0</v>
      </c>
      <c r="T1468" s="65">
        <v>0</v>
      </c>
      <c r="U1468" s="65">
        <v>0</v>
      </c>
      <c r="V1468" s="65">
        <v>0</v>
      </c>
      <c r="W1468" s="65">
        <v>0</v>
      </c>
      <c r="X1468" s="65">
        <v>0</v>
      </c>
      <c r="Y1468" s="65">
        <v>0</v>
      </c>
      <c r="Z1468" s="65">
        <v>11808.340000000002</v>
      </c>
      <c r="AA1468" s="51">
        <v>0</v>
      </c>
      <c r="AB1468" s="102">
        <v>0</v>
      </c>
      <c r="AC1468" s="81">
        <f t="shared" si="69"/>
        <v>269.85327958371613</v>
      </c>
      <c r="AD1468" s="82">
        <f t="shared" si="70"/>
        <v>46.671428571428564</v>
      </c>
      <c r="AE1468" s="218">
        <v>0</v>
      </c>
      <c r="AF1468">
        <v>0</v>
      </c>
      <c r="AH1468" t="str">
        <f t="shared" si="71"/>
        <v>Musrigharari</v>
      </c>
      <c r="AJ1468" s="72">
        <v>0</v>
      </c>
      <c r="AK1468" s="72"/>
      <c r="AL1468" s="72"/>
      <c r="AM1468" s="72"/>
    </row>
    <row r="1469" spans="1:39" x14ac:dyDescent="0.25">
      <c r="A1469" s="37" t="s">
        <v>62</v>
      </c>
      <c r="B1469" s="66" t="s">
        <v>1615</v>
      </c>
      <c r="C1469" s="47">
        <v>1013</v>
      </c>
      <c r="D1469" s="47" t="s">
        <v>351</v>
      </c>
      <c r="E1469" s="41">
        <v>10130115</v>
      </c>
      <c r="F1469" s="46" t="s">
        <v>1367</v>
      </c>
      <c r="G1469" s="39" t="s">
        <v>93</v>
      </c>
      <c r="H1469" s="48" t="s">
        <v>94</v>
      </c>
      <c r="I1469" s="52">
        <v>392.4</v>
      </c>
      <c r="J1469" s="49">
        <v>17589.22</v>
      </c>
      <c r="K1469" s="65">
        <v>534.29999999999995</v>
      </c>
      <c r="L1469" s="65">
        <v>24048.09597854632</v>
      </c>
      <c r="M1469" s="65">
        <v>0</v>
      </c>
      <c r="N1469" s="65">
        <v>0</v>
      </c>
      <c r="O1469" s="65">
        <v>534.29999999999995</v>
      </c>
      <c r="P1469" s="65">
        <v>24048.09597854632</v>
      </c>
      <c r="Q1469" s="50">
        <v>17589.22</v>
      </c>
      <c r="R1469" s="65">
        <v>0</v>
      </c>
      <c r="S1469" s="65">
        <v>0</v>
      </c>
      <c r="T1469" s="65">
        <v>6458.8759785463189</v>
      </c>
      <c r="U1469" s="65">
        <v>0</v>
      </c>
      <c r="V1469" s="65">
        <v>0</v>
      </c>
      <c r="W1469" s="65">
        <v>0</v>
      </c>
      <c r="X1469" s="65">
        <v>17589</v>
      </c>
      <c r="Y1469" s="65">
        <v>0</v>
      </c>
      <c r="Z1469" s="65">
        <v>0</v>
      </c>
      <c r="AA1469" s="51">
        <v>0</v>
      </c>
      <c r="AB1469" s="102">
        <v>0</v>
      </c>
      <c r="AC1469" s="81">
        <f t="shared" si="69"/>
        <v>275.76167543323146</v>
      </c>
      <c r="AD1469" s="82">
        <f t="shared" si="70"/>
        <v>56.057142857142857</v>
      </c>
      <c r="AE1469" s="218">
        <v>-0.36720650367363183</v>
      </c>
      <c r="AF1469">
        <v>2</v>
      </c>
      <c r="AH1469" t="str">
        <f t="shared" si="71"/>
        <v>Musrigharari</v>
      </c>
      <c r="AJ1469" s="72">
        <v>0</v>
      </c>
      <c r="AK1469" s="72"/>
      <c r="AL1469" s="72"/>
      <c r="AM1469" s="72"/>
    </row>
    <row r="1470" spans="1:39" x14ac:dyDescent="0.25">
      <c r="A1470" s="37" t="s">
        <v>62</v>
      </c>
      <c r="B1470" s="66" t="s">
        <v>1615</v>
      </c>
      <c r="C1470" s="47">
        <v>1013</v>
      </c>
      <c r="D1470" s="47" t="s">
        <v>351</v>
      </c>
      <c r="E1470" s="41">
        <v>10130116</v>
      </c>
      <c r="F1470" s="46" t="s">
        <v>1368</v>
      </c>
      <c r="G1470" s="39" t="s">
        <v>93</v>
      </c>
      <c r="H1470" s="48" t="s">
        <v>94</v>
      </c>
      <c r="I1470" s="52">
        <v>37.700000000000003</v>
      </c>
      <c r="J1470" s="49">
        <v>1292.1400000000001</v>
      </c>
      <c r="K1470" s="65">
        <v>34.4</v>
      </c>
      <c r="L1470" s="65">
        <v>1161.788740596</v>
      </c>
      <c r="M1470" s="65">
        <v>0</v>
      </c>
      <c r="N1470" s="65">
        <v>0</v>
      </c>
      <c r="O1470" s="65">
        <v>34.4</v>
      </c>
      <c r="P1470" s="65">
        <v>1161.788740596</v>
      </c>
      <c r="Q1470" s="50">
        <v>1161.788740596</v>
      </c>
      <c r="R1470" s="65">
        <v>0</v>
      </c>
      <c r="S1470" s="65">
        <v>0</v>
      </c>
      <c r="T1470" s="65">
        <v>0</v>
      </c>
      <c r="U1470" s="65">
        <v>0</v>
      </c>
      <c r="V1470" s="65">
        <v>405.81</v>
      </c>
      <c r="W1470" s="65">
        <v>0</v>
      </c>
      <c r="X1470" s="65">
        <v>756</v>
      </c>
      <c r="Y1470" s="65">
        <v>0</v>
      </c>
      <c r="Z1470" s="65">
        <v>0</v>
      </c>
      <c r="AA1470" s="51">
        <v>130</v>
      </c>
      <c r="AB1470" s="102" t="s">
        <v>68</v>
      </c>
      <c r="AC1470" s="81">
        <f t="shared" si="69"/>
        <v>453.99698779840844</v>
      </c>
      <c r="AD1470" s="82">
        <f t="shared" si="70"/>
        <v>5.3857142857142861</v>
      </c>
      <c r="AE1470" s="218">
        <v>0.10088013636602849</v>
      </c>
      <c r="AF1470">
        <v>2</v>
      </c>
      <c r="AH1470" t="str">
        <f t="shared" si="71"/>
        <v>Musrigharari</v>
      </c>
      <c r="AJ1470" s="72">
        <v>0</v>
      </c>
      <c r="AK1470" s="72"/>
      <c r="AL1470" s="72"/>
      <c r="AM1470" s="72"/>
    </row>
    <row r="1471" spans="1:39" x14ac:dyDescent="0.25">
      <c r="A1471" s="37" t="s">
        <v>62</v>
      </c>
      <c r="B1471" s="66" t="s">
        <v>1615</v>
      </c>
      <c r="C1471" s="47">
        <v>1013</v>
      </c>
      <c r="D1471" s="47" t="s">
        <v>351</v>
      </c>
      <c r="E1471" s="41">
        <v>10130117</v>
      </c>
      <c r="F1471" s="46" t="s">
        <v>1392</v>
      </c>
      <c r="G1471" s="39" t="s">
        <v>93</v>
      </c>
      <c r="H1471" s="48" t="s">
        <v>94</v>
      </c>
      <c r="I1471" s="52">
        <v>342.99999999999994</v>
      </c>
      <c r="J1471" s="49">
        <v>9956.409999999998</v>
      </c>
      <c r="K1471" s="65">
        <v>360.70000000000005</v>
      </c>
      <c r="L1471" s="65">
        <v>10908.248085900002</v>
      </c>
      <c r="M1471" s="65">
        <v>0</v>
      </c>
      <c r="N1471" s="65">
        <v>0</v>
      </c>
      <c r="O1471" s="65">
        <v>360.70000000000005</v>
      </c>
      <c r="P1471" s="65">
        <v>10908.248085900002</v>
      </c>
      <c r="Q1471" s="50">
        <v>9956.409999999998</v>
      </c>
      <c r="R1471" s="65">
        <v>0</v>
      </c>
      <c r="S1471" s="65">
        <v>0</v>
      </c>
      <c r="T1471" s="65">
        <v>951.83808590000444</v>
      </c>
      <c r="U1471" s="65">
        <v>0</v>
      </c>
      <c r="V1471" s="65">
        <v>0</v>
      </c>
      <c r="W1471" s="65">
        <v>0</v>
      </c>
      <c r="X1471" s="65">
        <v>9956</v>
      </c>
      <c r="Y1471" s="65">
        <v>0</v>
      </c>
      <c r="Z1471" s="65">
        <v>0</v>
      </c>
      <c r="AA1471" s="51">
        <v>0</v>
      </c>
      <c r="AB1471" s="102">
        <v>0</v>
      </c>
      <c r="AC1471" s="81">
        <f t="shared" si="69"/>
        <v>207.25588163265309</v>
      </c>
      <c r="AD1471" s="82">
        <f t="shared" si="70"/>
        <v>48.999999999999993</v>
      </c>
      <c r="AE1471" s="218">
        <v>-9.560053130596316E-2</v>
      </c>
      <c r="AF1471">
        <v>1</v>
      </c>
      <c r="AH1471" t="str">
        <f t="shared" si="71"/>
        <v>Musrigharari</v>
      </c>
      <c r="AJ1471" s="72">
        <v>0</v>
      </c>
      <c r="AK1471" s="72"/>
      <c r="AL1471" s="72"/>
      <c r="AM1471" s="72"/>
    </row>
    <row r="1472" spans="1:39" x14ac:dyDescent="0.25">
      <c r="A1472" s="37" t="s">
        <v>62</v>
      </c>
      <c r="B1472" s="66" t="s">
        <v>1615</v>
      </c>
      <c r="C1472" s="47">
        <v>1013</v>
      </c>
      <c r="D1472" s="47" t="s">
        <v>351</v>
      </c>
      <c r="E1472" s="41">
        <v>10130118</v>
      </c>
      <c r="F1472" s="46" t="s">
        <v>1405</v>
      </c>
      <c r="G1472" s="39" t="s">
        <v>635</v>
      </c>
      <c r="H1472" s="48" t="s">
        <v>99</v>
      </c>
      <c r="I1472" s="52">
        <v>5829.2999999999993</v>
      </c>
      <c r="J1472" s="49">
        <v>202438.78</v>
      </c>
      <c r="K1472" s="65">
        <v>0</v>
      </c>
      <c r="L1472" s="65">
        <v>0</v>
      </c>
      <c r="M1472" s="65">
        <v>0</v>
      </c>
      <c r="N1472" s="65">
        <v>0</v>
      </c>
      <c r="O1472" s="65">
        <v>0</v>
      </c>
      <c r="P1472" s="65">
        <v>0</v>
      </c>
      <c r="Q1472" s="50">
        <v>202438.78</v>
      </c>
      <c r="R1472" s="65">
        <v>0</v>
      </c>
      <c r="S1472" s="65">
        <v>0</v>
      </c>
      <c r="T1472" s="65">
        <v>0</v>
      </c>
      <c r="U1472" s="65">
        <v>0</v>
      </c>
      <c r="V1472" s="65">
        <v>0</v>
      </c>
      <c r="W1472" s="65">
        <v>0</v>
      </c>
      <c r="X1472" s="65">
        <v>0</v>
      </c>
      <c r="Y1472" s="65">
        <v>0</v>
      </c>
      <c r="Z1472" s="65">
        <v>202438.78</v>
      </c>
      <c r="AA1472" s="51">
        <v>0</v>
      </c>
      <c r="AB1472" s="102">
        <v>0</v>
      </c>
      <c r="AC1472" s="81">
        <f t="shared" si="69"/>
        <v>0</v>
      </c>
      <c r="AD1472" s="82">
        <f t="shared" si="70"/>
        <v>0</v>
      </c>
      <c r="AE1472" s="218">
        <v>0</v>
      </c>
      <c r="AF1472">
        <v>0</v>
      </c>
      <c r="AH1472" t="str">
        <f t="shared" si="71"/>
        <v>Musrigharari</v>
      </c>
      <c r="AJ1472" s="72">
        <v>0</v>
      </c>
      <c r="AK1472" s="72"/>
      <c r="AL1472" s="72"/>
      <c r="AM1472" s="72"/>
    </row>
    <row r="1473" spans="1:39" x14ac:dyDescent="0.25">
      <c r="A1473" s="37" t="s">
        <v>62</v>
      </c>
      <c r="B1473" s="66" t="s">
        <v>1615</v>
      </c>
      <c r="C1473" s="47">
        <v>1013</v>
      </c>
      <c r="D1473" s="47" t="s">
        <v>351</v>
      </c>
      <c r="E1473" s="41">
        <v>10130120</v>
      </c>
      <c r="F1473" s="46" t="s">
        <v>1588</v>
      </c>
      <c r="G1473" s="39" t="s">
        <v>93</v>
      </c>
      <c r="H1473" s="48" t="s">
        <v>94</v>
      </c>
      <c r="I1473" s="52">
        <v>90.7</v>
      </c>
      <c r="J1473" s="49">
        <v>3698.1700000000005</v>
      </c>
      <c r="K1473" s="65">
        <v>98.000000000000014</v>
      </c>
      <c r="L1473" s="65">
        <v>3980.7066915000005</v>
      </c>
      <c r="M1473" s="65">
        <v>0</v>
      </c>
      <c r="N1473" s="65">
        <v>0</v>
      </c>
      <c r="O1473" s="65">
        <v>98.000000000000014</v>
      </c>
      <c r="P1473" s="65">
        <v>3980.7066915000005</v>
      </c>
      <c r="Q1473" s="50">
        <v>3698.1700000000005</v>
      </c>
      <c r="R1473" s="65">
        <v>0</v>
      </c>
      <c r="S1473" s="65">
        <v>0</v>
      </c>
      <c r="T1473" s="65">
        <v>282.53669149999996</v>
      </c>
      <c r="U1473" s="65">
        <v>0</v>
      </c>
      <c r="V1473" s="65">
        <v>0</v>
      </c>
      <c r="W1473" s="65">
        <v>0</v>
      </c>
      <c r="X1473" s="65">
        <v>3698</v>
      </c>
      <c r="Y1473" s="65">
        <v>0</v>
      </c>
      <c r="Z1473" s="65">
        <v>0</v>
      </c>
      <c r="AA1473" s="51">
        <v>0</v>
      </c>
      <c r="AB1473" s="102">
        <v>0</v>
      </c>
      <c r="AC1473" s="81">
        <f t="shared" si="69"/>
        <v>496.86769151047412</v>
      </c>
      <c r="AD1473" s="82">
        <f t="shared" si="70"/>
        <v>12.957142857142857</v>
      </c>
      <c r="AE1473" s="218">
        <v>-7.6399054532376803E-2</v>
      </c>
      <c r="AF1473">
        <v>2</v>
      </c>
      <c r="AH1473" t="str">
        <f t="shared" si="71"/>
        <v>Musrigharari</v>
      </c>
      <c r="AJ1473" s="72">
        <v>0</v>
      </c>
      <c r="AK1473" s="72"/>
      <c r="AL1473" s="72"/>
      <c r="AM1473" s="72"/>
    </row>
    <row r="1474" spans="1:39" x14ac:dyDescent="0.25">
      <c r="A1474" s="37" t="s">
        <v>62</v>
      </c>
      <c r="B1474" s="66" t="s">
        <v>1615</v>
      </c>
      <c r="C1474" s="47">
        <v>1014</v>
      </c>
      <c r="D1474" s="47" t="s">
        <v>376</v>
      </c>
      <c r="E1474" s="41">
        <v>10140001</v>
      </c>
      <c r="F1474" s="46" t="s">
        <v>449</v>
      </c>
      <c r="G1474" s="39" t="s">
        <v>93</v>
      </c>
      <c r="H1474" s="48" t="s">
        <v>94</v>
      </c>
      <c r="I1474" s="52">
        <v>424.80000000000007</v>
      </c>
      <c r="J1474" s="49">
        <v>14599.060000000001</v>
      </c>
      <c r="K1474" s="65">
        <v>418.7</v>
      </c>
      <c r="L1474" s="65">
        <v>14599.273457868301</v>
      </c>
      <c r="M1474" s="65">
        <v>0</v>
      </c>
      <c r="N1474" s="65">
        <v>0</v>
      </c>
      <c r="O1474" s="65">
        <v>418.7</v>
      </c>
      <c r="P1474" s="65">
        <v>14599.273457868301</v>
      </c>
      <c r="Q1474" s="50">
        <v>14599.060000000001</v>
      </c>
      <c r="R1474" s="65">
        <v>0</v>
      </c>
      <c r="S1474" s="65">
        <v>0</v>
      </c>
      <c r="T1474" s="65">
        <v>0.21345786829988356</v>
      </c>
      <c r="U1474" s="65">
        <v>12962</v>
      </c>
      <c r="V1474" s="65">
        <v>0</v>
      </c>
      <c r="W1474" s="65">
        <v>0</v>
      </c>
      <c r="X1474" s="65">
        <v>1637</v>
      </c>
      <c r="Y1474" s="65">
        <v>0</v>
      </c>
      <c r="Z1474" s="65">
        <v>0</v>
      </c>
      <c r="AA1474" s="51">
        <v>0</v>
      </c>
      <c r="AB1474" s="102" t="s">
        <v>68</v>
      </c>
      <c r="AC1474" s="81">
        <f t="shared" si="69"/>
        <v>189.15542900188322</v>
      </c>
      <c r="AD1474" s="82">
        <f t="shared" si="70"/>
        <v>60.685714285714297</v>
      </c>
      <c r="AE1474" s="218">
        <v>-1.4621343312506664E-5</v>
      </c>
      <c r="AF1474">
        <v>5</v>
      </c>
      <c r="AH1474" t="str">
        <f t="shared" si="71"/>
        <v>Dumraon</v>
      </c>
      <c r="AJ1474" s="72">
        <v>0</v>
      </c>
      <c r="AK1474" s="72"/>
      <c r="AL1474" s="72"/>
      <c r="AM1474" s="72"/>
    </row>
    <row r="1475" spans="1:39" x14ac:dyDescent="0.25">
      <c r="A1475" s="37" t="s">
        <v>62</v>
      </c>
      <c r="B1475" s="66" t="s">
        <v>1615</v>
      </c>
      <c r="C1475" s="47">
        <v>1014</v>
      </c>
      <c r="D1475" s="47" t="s">
        <v>376</v>
      </c>
      <c r="E1475" s="41">
        <v>10140002</v>
      </c>
      <c r="F1475" s="46" t="s">
        <v>377</v>
      </c>
      <c r="G1475" s="39" t="s">
        <v>93</v>
      </c>
      <c r="H1475" s="48" t="s">
        <v>94</v>
      </c>
      <c r="I1475" s="52">
        <v>820.80000000000007</v>
      </c>
      <c r="J1475" s="49">
        <v>29511.870000000006</v>
      </c>
      <c r="K1475" s="65">
        <v>850.41999999999973</v>
      </c>
      <c r="L1475" s="65">
        <v>31586.986105884003</v>
      </c>
      <c r="M1475" s="65">
        <v>0</v>
      </c>
      <c r="N1475" s="65">
        <v>0</v>
      </c>
      <c r="O1475" s="65">
        <v>850.41999999999973</v>
      </c>
      <c r="P1475" s="65">
        <v>31586.986105884003</v>
      </c>
      <c r="Q1475" s="50">
        <v>29511.870000000006</v>
      </c>
      <c r="R1475" s="65">
        <v>0</v>
      </c>
      <c r="S1475" s="65">
        <v>0</v>
      </c>
      <c r="T1475" s="65">
        <v>2075.1161058839971</v>
      </c>
      <c r="U1475" s="65">
        <v>0</v>
      </c>
      <c r="V1475" s="65">
        <v>0</v>
      </c>
      <c r="W1475" s="65">
        <v>0</v>
      </c>
      <c r="X1475" s="65">
        <v>29512</v>
      </c>
      <c r="Y1475" s="65">
        <v>0</v>
      </c>
      <c r="Z1475" s="65">
        <v>0</v>
      </c>
      <c r="AA1475" s="51">
        <v>0</v>
      </c>
      <c r="AB1475" s="102">
        <v>0</v>
      </c>
      <c r="AC1475" s="81">
        <f t="shared" ref="AC1475:AC1538" si="72">((IF(AD1475=0,0,100-AD1475))*7*(J1475/I1475))*2%</f>
        <v>0</v>
      </c>
      <c r="AD1475" s="82">
        <f t="shared" ref="AD1475:AD1538" si="73">IF((I1475/7)&gt;100,0,(I1475/7))</f>
        <v>0</v>
      </c>
      <c r="AE1475" s="218">
        <v>-7.0314626144801967E-2</v>
      </c>
      <c r="AF1475">
        <v>13</v>
      </c>
      <c r="AH1475" t="str">
        <f t="shared" si="71"/>
        <v>Dumraon</v>
      </c>
      <c r="AJ1475" s="72">
        <v>0</v>
      </c>
      <c r="AK1475" s="72"/>
      <c r="AL1475" s="72"/>
      <c r="AM1475" s="72"/>
    </row>
    <row r="1476" spans="1:39" x14ac:dyDescent="0.25">
      <c r="A1476" s="37" t="s">
        <v>62</v>
      </c>
      <c r="B1476" s="66" t="s">
        <v>1615</v>
      </c>
      <c r="C1476" s="47">
        <v>1014</v>
      </c>
      <c r="D1476" s="47" t="s">
        <v>376</v>
      </c>
      <c r="E1476" s="41">
        <v>10140003</v>
      </c>
      <c r="F1476" s="46" t="s">
        <v>378</v>
      </c>
      <c r="G1476" s="39" t="s">
        <v>93</v>
      </c>
      <c r="H1476" s="48" t="s">
        <v>94</v>
      </c>
      <c r="I1476" s="52">
        <v>1143.6999999999998</v>
      </c>
      <c r="J1476" s="49">
        <v>44761.81</v>
      </c>
      <c r="K1476" s="65">
        <v>1206.8000000000006</v>
      </c>
      <c r="L1476" s="65">
        <v>50694.675315293622</v>
      </c>
      <c r="M1476" s="65">
        <v>33.800000000000004</v>
      </c>
      <c r="N1476" s="65">
        <v>1333.4872280400004</v>
      </c>
      <c r="O1476" s="65">
        <v>1240.6000000000006</v>
      </c>
      <c r="P1476" s="65">
        <v>52028.162543333623</v>
      </c>
      <c r="Q1476" s="50">
        <v>44761.81</v>
      </c>
      <c r="R1476" s="65">
        <v>0</v>
      </c>
      <c r="S1476" s="65">
        <v>1333.4872280400004</v>
      </c>
      <c r="T1476" s="65">
        <v>7266.3525433336254</v>
      </c>
      <c r="U1476" s="65">
        <v>0</v>
      </c>
      <c r="V1476" s="65">
        <v>0</v>
      </c>
      <c r="W1476" s="65">
        <v>0</v>
      </c>
      <c r="X1476" s="65">
        <v>43428</v>
      </c>
      <c r="Y1476" s="65">
        <v>0</v>
      </c>
      <c r="Z1476" s="65">
        <v>0</v>
      </c>
      <c r="AA1476" s="51">
        <v>0</v>
      </c>
      <c r="AB1476" s="102">
        <v>0</v>
      </c>
      <c r="AC1476" s="81">
        <f t="shared" si="72"/>
        <v>0</v>
      </c>
      <c r="AD1476" s="82">
        <f t="shared" si="73"/>
        <v>0</v>
      </c>
      <c r="AE1476" s="218">
        <v>-0.1623337515469912</v>
      </c>
      <c r="AF1476">
        <v>27</v>
      </c>
      <c r="AH1476" t="str">
        <f t="shared" si="71"/>
        <v>Dumraon</v>
      </c>
      <c r="AJ1476" s="72">
        <v>0</v>
      </c>
      <c r="AK1476" s="72"/>
      <c r="AL1476" s="72"/>
      <c r="AM1476" s="72"/>
    </row>
    <row r="1477" spans="1:39" x14ac:dyDescent="0.25">
      <c r="A1477" s="37" t="s">
        <v>62</v>
      </c>
      <c r="B1477" s="66" t="s">
        <v>1615</v>
      </c>
      <c r="C1477" s="47">
        <v>1014</v>
      </c>
      <c r="D1477" s="47" t="s">
        <v>376</v>
      </c>
      <c r="E1477" s="41">
        <v>10140007</v>
      </c>
      <c r="F1477" s="46" t="s">
        <v>379</v>
      </c>
      <c r="G1477" s="39" t="s">
        <v>93</v>
      </c>
      <c r="H1477" s="48" t="s">
        <v>94</v>
      </c>
      <c r="I1477" s="52">
        <v>747.30000000000007</v>
      </c>
      <c r="J1477" s="49">
        <v>26052.700000000004</v>
      </c>
      <c r="K1477" s="65">
        <v>868.33999999999992</v>
      </c>
      <c r="L1477" s="65">
        <v>34196.496973001726</v>
      </c>
      <c r="M1477" s="65">
        <v>25</v>
      </c>
      <c r="N1477" s="65">
        <v>1441.4541536330798</v>
      </c>
      <c r="O1477" s="65">
        <v>893.33999999999992</v>
      </c>
      <c r="P1477" s="65">
        <v>35637.951126634805</v>
      </c>
      <c r="Q1477" s="50">
        <v>26052.700000000004</v>
      </c>
      <c r="R1477" s="65">
        <v>0</v>
      </c>
      <c r="S1477" s="65">
        <v>1441.4541536330798</v>
      </c>
      <c r="T1477" s="65">
        <v>9585.251126634801</v>
      </c>
      <c r="U1477" s="65">
        <v>0</v>
      </c>
      <c r="V1477" s="65">
        <v>0</v>
      </c>
      <c r="W1477" s="65">
        <v>0</v>
      </c>
      <c r="X1477" s="65">
        <v>24611</v>
      </c>
      <c r="Y1477" s="65">
        <v>0</v>
      </c>
      <c r="Z1477" s="65">
        <v>0</v>
      </c>
      <c r="AA1477" s="51">
        <v>0</v>
      </c>
      <c r="AB1477" s="102" t="s">
        <v>68</v>
      </c>
      <c r="AC1477" s="81">
        <f t="shared" si="72"/>
        <v>0</v>
      </c>
      <c r="AD1477" s="82">
        <f t="shared" si="73"/>
        <v>0</v>
      </c>
      <c r="AE1477" s="218">
        <v>-0.36791776386458214</v>
      </c>
      <c r="AF1477">
        <v>14</v>
      </c>
      <c r="AH1477" t="str">
        <f t="shared" si="71"/>
        <v>Dumraon</v>
      </c>
      <c r="AJ1477" s="72">
        <v>0</v>
      </c>
      <c r="AK1477" s="72"/>
      <c r="AL1477" s="72"/>
      <c r="AM1477" s="72"/>
    </row>
    <row r="1478" spans="1:39" x14ac:dyDescent="0.25">
      <c r="A1478" s="37" t="s">
        <v>62</v>
      </c>
      <c r="B1478" s="66" t="s">
        <v>1615</v>
      </c>
      <c r="C1478" s="47">
        <v>1014</v>
      </c>
      <c r="D1478" s="47" t="s">
        <v>376</v>
      </c>
      <c r="E1478" s="41">
        <v>10140008</v>
      </c>
      <c r="F1478" s="46" t="s">
        <v>380</v>
      </c>
      <c r="G1478" s="39" t="s">
        <v>93</v>
      </c>
      <c r="H1478" s="48" t="s">
        <v>94</v>
      </c>
      <c r="I1478" s="52">
        <v>1082.3000000000002</v>
      </c>
      <c r="J1478" s="49">
        <v>40140.909999999996</v>
      </c>
      <c r="K1478" s="65">
        <v>1075.6199999999997</v>
      </c>
      <c r="L1478" s="65">
        <v>39558.227265145193</v>
      </c>
      <c r="M1478" s="65">
        <v>12.11</v>
      </c>
      <c r="N1478" s="65">
        <v>544.7950561002001</v>
      </c>
      <c r="O1478" s="65">
        <v>1087.7299999999996</v>
      </c>
      <c r="P1478" s="65">
        <v>40103.022321245393</v>
      </c>
      <c r="Q1478" s="50">
        <v>40103.022321245393</v>
      </c>
      <c r="R1478" s="65">
        <v>0</v>
      </c>
      <c r="S1478" s="65">
        <v>544.7950561002001</v>
      </c>
      <c r="T1478" s="65">
        <v>0</v>
      </c>
      <c r="U1478" s="65">
        <v>0</v>
      </c>
      <c r="V1478" s="65">
        <v>0</v>
      </c>
      <c r="W1478" s="65">
        <v>0</v>
      </c>
      <c r="X1478" s="65">
        <v>39557</v>
      </c>
      <c r="Y1478" s="65">
        <v>0</v>
      </c>
      <c r="Z1478" s="65">
        <v>0</v>
      </c>
      <c r="AA1478" s="51">
        <v>39</v>
      </c>
      <c r="AB1478" s="102">
        <v>0</v>
      </c>
      <c r="AC1478" s="81">
        <f t="shared" si="72"/>
        <v>0</v>
      </c>
      <c r="AD1478" s="82">
        <f t="shared" si="73"/>
        <v>0</v>
      </c>
      <c r="AE1478" s="218">
        <v>9.4386696152636452E-4</v>
      </c>
      <c r="AF1478">
        <v>19</v>
      </c>
      <c r="AH1478" t="str">
        <f t="shared" si="71"/>
        <v>Dumraon</v>
      </c>
      <c r="AJ1478" s="72">
        <v>0</v>
      </c>
      <c r="AK1478" s="72"/>
      <c r="AL1478" s="72"/>
      <c r="AM1478" s="72"/>
    </row>
    <row r="1479" spans="1:39" x14ac:dyDescent="0.25">
      <c r="A1479" s="37" t="s">
        <v>62</v>
      </c>
      <c r="B1479" s="66" t="s">
        <v>1615</v>
      </c>
      <c r="C1479" s="47">
        <v>1014</v>
      </c>
      <c r="D1479" s="47" t="s">
        <v>376</v>
      </c>
      <c r="E1479" s="41">
        <v>10140009</v>
      </c>
      <c r="F1479" s="46" t="s">
        <v>381</v>
      </c>
      <c r="G1479" s="39" t="s">
        <v>93</v>
      </c>
      <c r="H1479" s="48" t="s">
        <v>94</v>
      </c>
      <c r="I1479" s="52">
        <v>900.5</v>
      </c>
      <c r="J1479" s="49">
        <v>34255.140000000007</v>
      </c>
      <c r="K1479" s="65">
        <v>902.0100000000001</v>
      </c>
      <c r="L1479" s="65">
        <v>37595.823072094725</v>
      </c>
      <c r="M1479" s="65">
        <v>0</v>
      </c>
      <c r="N1479" s="65">
        <v>0</v>
      </c>
      <c r="O1479" s="65">
        <v>902.0100000000001</v>
      </c>
      <c r="P1479" s="65">
        <v>37595.823072094725</v>
      </c>
      <c r="Q1479" s="50">
        <v>34255.140000000007</v>
      </c>
      <c r="R1479" s="65">
        <v>0</v>
      </c>
      <c r="S1479" s="65">
        <v>0</v>
      </c>
      <c r="T1479" s="65">
        <v>3340.6830720947182</v>
      </c>
      <c r="U1479" s="65">
        <v>0</v>
      </c>
      <c r="V1479" s="65">
        <v>0</v>
      </c>
      <c r="W1479" s="65">
        <v>0</v>
      </c>
      <c r="X1479" s="65">
        <v>34255</v>
      </c>
      <c r="Y1479" s="65">
        <v>0</v>
      </c>
      <c r="Z1479" s="65">
        <v>0</v>
      </c>
      <c r="AA1479" s="51">
        <v>0</v>
      </c>
      <c r="AB1479" s="102">
        <v>0</v>
      </c>
      <c r="AC1479" s="81">
        <f t="shared" si="72"/>
        <v>0</v>
      </c>
      <c r="AD1479" s="82">
        <f t="shared" si="73"/>
        <v>0</v>
      </c>
      <c r="AE1479" s="218">
        <v>-9.7523556234034289E-2</v>
      </c>
      <c r="AF1479">
        <v>6</v>
      </c>
      <c r="AH1479" t="str">
        <f t="shared" si="71"/>
        <v>Dumraon</v>
      </c>
      <c r="AJ1479" s="72">
        <v>0</v>
      </c>
      <c r="AK1479" s="72"/>
      <c r="AL1479" s="72"/>
      <c r="AM1479" s="72"/>
    </row>
    <row r="1480" spans="1:39" x14ac:dyDescent="0.25">
      <c r="A1480" s="37" t="s">
        <v>62</v>
      </c>
      <c r="B1480" s="66" t="s">
        <v>1615</v>
      </c>
      <c r="C1480" s="47">
        <v>1014</v>
      </c>
      <c r="D1480" s="47" t="s">
        <v>376</v>
      </c>
      <c r="E1480" s="41">
        <v>10140012</v>
      </c>
      <c r="F1480" s="46" t="s">
        <v>383</v>
      </c>
      <c r="G1480" s="39" t="s">
        <v>93</v>
      </c>
      <c r="H1480" s="48" t="s">
        <v>94</v>
      </c>
      <c r="I1480" s="52">
        <v>689.69999999999993</v>
      </c>
      <c r="J1480" s="49">
        <v>28237.73</v>
      </c>
      <c r="K1480" s="65">
        <v>693</v>
      </c>
      <c r="L1480" s="65">
        <v>29182.767021086103</v>
      </c>
      <c r="M1480" s="65">
        <v>1.3</v>
      </c>
      <c r="N1480" s="65">
        <v>51.283409760000012</v>
      </c>
      <c r="O1480" s="65">
        <v>694.3</v>
      </c>
      <c r="P1480" s="65">
        <v>29234.050430846102</v>
      </c>
      <c r="Q1480" s="50">
        <v>28237.73</v>
      </c>
      <c r="R1480" s="65">
        <v>0</v>
      </c>
      <c r="S1480" s="65">
        <v>51.283409760000012</v>
      </c>
      <c r="T1480" s="65">
        <v>996.32043084610268</v>
      </c>
      <c r="U1480" s="65">
        <v>0</v>
      </c>
      <c r="V1480" s="65">
        <v>0</v>
      </c>
      <c r="W1480" s="65">
        <v>0</v>
      </c>
      <c r="X1480" s="65">
        <v>28186</v>
      </c>
      <c r="Y1480" s="65">
        <v>0</v>
      </c>
      <c r="Z1480" s="65">
        <v>0</v>
      </c>
      <c r="AA1480" s="51">
        <v>0</v>
      </c>
      <c r="AB1480" s="102">
        <v>0</v>
      </c>
      <c r="AC1480" s="81">
        <f t="shared" si="72"/>
        <v>8.4340617369871183</v>
      </c>
      <c r="AD1480" s="82">
        <f t="shared" si="73"/>
        <v>98.528571428571425</v>
      </c>
      <c r="AE1480" s="218">
        <v>-3.5283304672369301E-2</v>
      </c>
      <c r="AF1480">
        <v>19</v>
      </c>
      <c r="AH1480" t="str">
        <f t="shared" si="71"/>
        <v>Dumraon</v>
      </c>
      <c r="AJ1480" s="72">
        <v>0</v>
      </c>
      <c r="AK1480" s="72"/>
      <c r="AL1480" s="72"/>
      <c r="AM1480" s="72"/>
    </row>
    <row r="1481" spans="1:39" x14ac:dyDescent="0.25">
      <c r="A1481" s="37" t="s">
        <v>62</v>
      </c>
      <c r="B1481" s="66" t="s">
        <v>1615</v>
      </c>
      <c r="C1481" s="47">
        <v>1014</v>
      </c>
      <c r="D1481" s="47" t="s">
        <v>376</v>
      </c>
      <c r="E1481" s="41">
        <v>10140013</v>
      </c>
      <c r="F1481" s="46" t="s">
        <v>384</v>
      </c>
      <c r="G1481" s="39" t="s">
        <v>93</v>
      </c>
      <c r="H1481" s="48" t="s">
        <v>94</v>
      </c>
      <c r="I1481" s="52">
        <v>508.7</v>
      </c>
      <c r="J1481" s="49">
        <v>18047.34</v>
      </c>
      <c r="K1481" s="65">
        <v>482.4</v>
      </c>
      <c r="L1481" s="65">
        <v>17933.251459042003</v>
      </c>
      <c r="M1481" s="65">
        <v>2</v>
      </c>
      <c r="N1481" s="65">
        <v>70.226244000000008</v>
      </c>
      <c r="O1481" s="65">
        <v>484.4</v>
      </c>
      <c r="P1481" s="65">
        <v>18003.477703042005</v>
      </c>
      <c r="Q1481" s="50">
        <v>18003.477703042005</v>
      </c>
      <c r="R1481" s="65">
        <v>0</v>
      </c>
      <c r="S1481" s="65">
        <v>70.226244000000008</v>
      </c>
      <c r="T1481" s="65">
        <v>0</v>
      </c>
      <c r="U1481" s="65">
        <v>0</v>
      </c>
      <c r="V1481" s="65">
        <v>0</v>
      </c>
      <c r="W1481" s="65">
        <v>0</v>
      </c>
      <c r="X1481" s="65">
        <v>17934</v>
      </c>
      <c r="Y1481" s="65">
        <v>0</v>
      </c>
      <c r="Z1481" s="65">
        <v>0</v>
      </c>
      <c r="AA1481" s="51">
        <v>43</v>
      </c>
      <c r="AB1481" s="102">
        <v>0</v>
      </c>
      <c r="AC1481" s="81">
        <f t="shared" si="72"/>
        <v>135.73643176724991</v>
      </c>
      <c r="AD1481" s="82">
        <f t="shared" si="73"/>
        <v>72.671428571428564</v>
      </c>
      <c r="AE1481" s="218">
        <v>2.4304023173495688E-3</v>
      </c>
      <c r="AF1481">
        <v>3</v>
      </c>
      <c r="AH1481" t="str">
        <f t="shared" si="71"/>
        <v>Dumraon</v>
      </c>
      <c r="AJ1481" s="72">
        <v>0</v>
      </c>
      <c r="AK1481" s="72"/>
      <c r="AL1481" s="72"/>
      <c r="AM1481" s="72"/>
    </row>
    <row r="1482" spans="1:39" x14ac:dyDescent="0.25">
      <c r="A1482" s="37" t="s">
        <v>62</v>
      </c>
      <c r="B1482" s="66" t="s">
        <v>1615</v>
      </c>
      <c r="C1482" s="47">
        <v>1014</v>
      </c>
      <c r="D1482" s="47" t="s">
        <v>376</v>
      </c>
      <c r="E1482" s="41">
        <v>10140018</v>
      </c>
      <c r="F1482" s="46" t="s">
        <v>1142</v>
      </c>
      <c r="G1482" s="39" t="s">
        <v>93</v>
      </c>
      <c r="H1482" s="48" t="s">
        <v>94</v>
      </c>
      <c r="I1482" s="52">
        <v>622</v>
      </c>
      <c r="J1482" s="49">
        <v>26210.219999999998</v>
      </c>
      <c r="K1482" s="65">
        <v>622.79999999999995</v>
      </c>
      <c r="L1482" s="65">
        <v>26143.343360640003</v>
      </c>
      <c r="M1482" s="65">
        <v>0</v>
      </c>
      <c r="N1482" s="65">
        <v>0</v>
      </c>
      <c r="O1482" s="65">
        <v>622.79999999999995</v>
      </c>
      <c r="P1482" s="65">
        <v>26143.343360640003</v>
      </c>
      <c r="Q1482" s="50">
        <v>26143.343360640003</v>
      </c>
      <c r="R1482" s="65">
        <v>0</v>
      </c>
      <c r="S1482" s="65">
        <v>0</v>
      </c>
      <c r="T1482" s="65">
        <v>0</v>
      </c>
      <c r="U1482" s="65">
        <v>6400</v>
      </c>
      <c r="V1482" s="65">
        <v>0</v>
      </c>
      <c r="W1482" s="65">
        <v>0</v>
      </c>
      <c r="X1482" s="65">
        <v>19743</v>
      </c>
      <c r="Y1482" s="65">
        <v>0</v>
      </c>
      <c r="Z1482" s="65">
        <v>0</v>
      </c>
      <c r="AA1482" s="51">
        <v>67</v>
      </c>
      <c r="AB1482" s="102">
        <v>0</v>
      </c>
      <c r="AC1482" s="81">
        <f t="shared" si="72"/>
        <v>65.736243086816685</v>
      </c>
      <c r="AD1482" s="82">
        <f t="shared" si="73"/>
        <v>88.857142857142861</v>
      </c>
      <c r="AE1482" s="218">
        <v>2.5515481884545209E-3</v>
      </c>
      <c r="AF1482">
        <v>1</v>
      </c>
      <c r="AH1482" t="str">
        <f t="shared" si="71"/>
        <v>Dumraon</v>
      </c>
      <c r="AJ1482" s="72">
        <v>0</v>
      </c>
      <c r="AK1482" s="72"/>
      <c r="AL1482" s="72"/>
      <c r="AM1482" s="72"/>
    </row>
    <row r="1483" spans="1:39" x14ac:dyDescent="0.25">
      <c r="A1483" s="37" t="s">
        <v>62</v>
      </c>
      <c r="B1483" s="66" t="s">
        <v>1615</v>
      </c>
      <c r="C1483" s="47">
        <v>1014</v>
      </c>
      <c r="D1483" s="47" t="s">
        <v>376</v>
      </c>
      <c r="E1483" s="41">
        <v>10140020</v>
      </c>
      <c r="F1483" s="46" t="s">
        <v>1272</v>
      </c>
      <c r="G1483" s="39" t="s">
        <v>93</v>
      </c>
      <c r="H1483" s="48" t="s">
        <v>94</v>
      </c>
      <c r="I1483" s="52">
        <v>68.900000000000006</v>
      </c>
      <c r="J1483" s="49">
        <v>2476.54</v>
      </c>
      <c r="K1483" s="65">
        <v>84.5</v>
      </c>
      <c r="L1483" s="65">
        <v>3334.9786473540003</v>
      </c>
      <c r="M1483" s="65">
        <v>0</v>
      </c>
      <c r="N1483" s="65">
        <v>0</v>
      </c>
      <c r="O1483" s="65">
        <v>84.5</v>
      </c>
      <c r="P1483" s="65">
        <v>3334.9786473540003</v>
      </c>
      <c r="Q1483" s="50">
        <v>2476.54</v>
      </c>
      <c r="R1483" s="65">
        <v>0</v>
      </c>
      <c r="S1483" s="65">
        <v>0</v>
      </c>
      <c r="T1483" s="65">
        <v>858.4386473540003</v>
      </c>
      <c r="U1483" s="65">
        <v>0</v>
      </c>
      <c r="V1483" s="65">
        <v>0</v>
      </c>
      <c r="W1483" s="65">
        <v>0</v>
      </c>
      <c r="X1483" s="65">
        <v>2477</v>
      </c>
      <c r="Y1483" s="65">
        <v>0</v>
      </c>
      <c r="Z1483" s="65">
        <v>0</v>
      </c>
      <c r="AA1483" s="51">
        <v>0</v>
      </c>
      <c r="AB1483" s="102">
        <v>0</v>
      </c>
      <c r="AC1483" s="81">
        <f t="shared" si="72"/>
        <v>453.68487489114653</v>
      </c>
      <c r="AD1483" s="82">
        <f t="shared" si="73"/>
        <v>9.8428571428571434</v>
      </c>
      <c r="AE1483" s="218">
        <v>-0.34662821814063183</v>
      </c>
      <c r="AF1483">
        <v>2</v>
      </c>
      <c r="AH1483" t="str">
        <f t="shared" si="71"/>
        <v>Dumraon</v>
      </c>
      <c r="AJ1483" s="72">
        <v>0</v>
      </c>
      <c r="AK1483" s="72"/>
      <c r="AL1483" s="72"/>
      <c r="AM1483" s="72"/>
    </row>
    <row r="1484" spans="1:39" x14ac:dyDescent="0.25">
      <c r="A1484" s="37" t="s">
        <v>62</v>
      </c>
      <c r="B1484" s="66" t="s">
        <v>1615</v>
      </c>
      <c r="C1484" s="47">
        <v>1014</v>
      </c>
      <c r="D1484" s="47" t="s">
        <v>376</v>
      </c>
      <c r="E1484" s="41">
        <v>10140022</v>
      </c>
      <c r="F1484" s="46" t="s">
        <v>385</v>
      </c>
      <c r="G1484" s="39" t="s">
        <v>93</v>
      </c>
      <c r="H1484" s="48" t="s">
        <v>94</v>
      </c>
      <c r="I1484" s="52">
        <v>198</v>
      </c>
      <c r="J1484" s="49">
        <v>7077.6600000000008</v>
      </c>
      <c r="K1484" s="65">
        <v>206.1</v>
      </c>
      <c r="L1484" s="65">
        <v>7746.4516179600005</v>
      </c>
      <c r="M1484" s="65">
        <v>0</v>
      </c>
      <c r="N1484" s="65">
        <v>0</v>
      </c>
      <c r="O1484" s="65">
        <v>206.1</v>
      </c>
      <c r="P1484" s="65">
        <v>7746.4516179600005</v>
      </c>
      <c r="Q1484" s="50">
        <v>7077.6600000000008</v>
      </c>
      <c r="R1484" s="65">
        <v>0</v>
      </c>
      <c r="S1484" s="65">
        <v>0</v>
      </c>
      <c r="T1484" s="65">
        <v>668.79161795999971</v>
      </c>
      <c r="U1484" s="65">
        <v>0</v>
      </c>
      <c r="V1484" s="65">
        <v>0</v>
      </c>
      <c r="W1484" s="65">
        <v>0</v>
      </c>
      <c r="X1484" s="65">
        <v>7078</v>
      </c>
      <c r="Y1484" s="65">
        <v>0</v>
      </c>
      <c r="Z1484" s="65">
        <v>0</v>
      </c>
      <c r="AA1484" s="51">
        <v>0</v>
      </c>
      <c r="AB1484" s="102">
        <v>0</v>
      </c>
      <c r="AC1484" s="81">
        <f t="shared" si="72"/>
        <v>358.88740606060617</v>
      </c>
      <c r="AD1484" s="82">
        <f t="shared" si="73"/>
        <v>28.285714285714285</v>
      </c>
      <c r="AE1484" s="218">
        <v>-9.4493323776502353E-2</v>
      </c>
      <c r="AF1484">
        <v>3</v>
      </c>
      <c r="AH1484" t="str">
        <f t="shared" si="71"/>
        <v>Dumraon</v>
      </c>
      <c r="AJ1484" s="72">
        <v>0</v>
      </c>
      <c r="AK1484" s="72"/>
      <c r="AL1484" s="72"/>
      <c r="AM1484" s="72"/>
    </row>
    <row r="1485" spans="1:39" x14ac:dyDescent="0.25">
      <c r="A1485" s="37" t="s">
        <v>62</v>
      </c>
      <c r="B1485" s="66" t="s">
        <v>1615</v>
      </c>
      <c r="C1485" s="47">
        <v>1014</v>
      </c>
      <c r="D1485" s="47" t="s">
        <v>376</v>
      </c>
      <c r="E1485" s="41">
        <v>10140032</v>
      </c>
      <c r="F1485" s="46" t="s">
        <v>386</v>
      </c>
      <c r="G1485" s="39" t="s">
        <v>93</v>
      </c>
      <c r="H1485" s="48" t="s">
        <v>94</v>
      </c>
      <c r="I1485" s="52">
        <v>131.80000000000001</v>
      </c>
      <c r="J1485" s="49">
        <v>4778.92</v>
      </c>
      <c r="K1485" s="65">
        <v>132</v>
      </c>
      <c r="L1485" s="65">
        <v>4774.3153920000004</v>
      </c>
      <c r="M1485" s="65">
        <v>0</v>
      </c>
      <c r="N1485" s="65">
        <v>0</v>
      </c>
      <c r="O1485" s="65">
        <v>132</v>
      </c>
      <c r="P1485" s="65">
        <v>4774.3153920000004</v>
      </c>
      <c r="Q1485" s="50">
        <v>4774.3153920000004</v>
      </c>
      <c r="R1485" s="65">
        <v>0</v>
      </c>
      <c r="S1485" s="65">
        <v>0</v>
      </c>
      <c r="T1485" s="65">
        <v>0</v>
      </c>
      <c r="U1485" s="65">
        <v>0</v>
      </c>
      <c r="V1485" s="65">
        <v>0</v>
      </c>
      <c r="W1485" s="65">
        <v>0</v>
      </c>
      <c r="X1485" s="65">
        <v>4774</v>
      </c>
      <c r="Y1485" s="65">
        <v>0</v>
      </c>
      <c r="Z1485" s="65">
        <v>0</v>
      </c>
      <c r="AA1485" s="51">
        <v>5</v>
      </c>
      <c r="AB1485" s="102">
        <v>0</v>
      </c>
      <c r="AC1485" s="81">
        <f t="shared" si="72"/>
        <v>412.04587921092565</v>
      </c>
      <c r="AD1485" s="82">
        <f t="shared" si="73"/>
        <v>18.828571428571429</v>
      </c>
      <c r="AE1485" s="218">
        <v>9.635248131376218E-4</v>
      </c>
      <c r="AF1485">
        <v>1</v>
      </c>
      <c r="AH1485" t="str">
        <f t="shared" si="71"/>
        <v>Dumraon</v>
      </c>
      <c r="AJ1485" s="72">
        <v>0</v>
      </c>
      <c r="AK1485" s="72"/>
      <c r="AL1485" s="72"/>
      <c r="AM1485" s="72"/>
    </row>
    <row r="1486" spans="1:39" x14ac:dyDescent="0.25">
      <c r="A1486" s="37" t="s">
        <v>62</v>
      </c>
      <c r="B1486" s="66" t="s">
        <v>1615</v>
      </c>
      <c r="C1486" s="47">
        <v>1014</v>
      </c>
      <c r="D1486" s="47" t="s">
        <v>376</v>
      </c>
      <c r="E1486" s="41">
        <v>10140033</v>
      </c>
      <c r="F1486" s="46" t="s">
        <v>387</v>
      </c>
      <c r="G1486" s="39" t="s">
        <v>93</v>
      </c>
      <c r="H1486" s="48" t="s">
        <v>94</v>
      </c>
      <c r="I1486" s="52">
        <v>141.80000000000001</v>
      </c>
      <c r="J1486" s="49">
        <v>4729.17</v>
      </c>
      <c r="K1486" s="65">
        <v>142</v>
      </c>
      <c r="L1486" s="65">
        <v>4686.1499520000007</v>
      </c>
      <c r="M1486" s="65">
        <v>0</v>
      </c>
      <c r="N1486" s="65">
        <v>0</v>
      </c>
      <c r="O1486" s="65">
        <v>142</v>
      </c>
      <c r="P1486" s="65">
        <v>4686.1499520000007</v>
      </c>
      <c r="Q1486" s="50">
        <v>4686.1499520000007</v>
      </c>
      <c r="R1486" s="65">
        <v>0</v>
      </c>
      <c r="S1486" s="65">
        <v>0</v>
      </c>
      <c r="T1486" s="65">
        <v>0</v>
      </c>
      <c r="U1486" s="65">
        <v>0</v>
      </c>
      <c r="V1486" s="65">
        <v>0</v>
      </c>
      <c r="W1486" s="65">
        <v>0</v>
      </c>
      <c r="X1486" s="65">
        <v>4686</v>
      </c>
      <c r="Y1486" s="65">
        <v>0</v>
      </c>
      <c r="Z1486" s="65">
        <v>0</v>
      </c>
      <c r="AA1486" s="51">
        <v>43</v>
      </c>
      <c r="AB1486" s="102">
        <v>0</v>
      </c>
      <c r="AC1486" s="81">
        <f t="shared" si="72"/>
        <v>372.33042228490825</v>
      </c>
      <c r="AD1486" s="82">
        <f t="shared" si="73"/>
        <v>20.25714285714286</v>
      </c>
      <c r="AE1486" s="218">
        <v>9.0967438260835202E-3</v>
      </c>
      <c r="AF1486">
        <v>1</v>
      </c>
      <c r="AH1486" t="str">
        <f t="shared" si="71"/>
        <v>Dumraon</v>
      </c>
      <c r="AJ1486" s="72">
        <v>0</v>
      </c>
      <c r="AK1486" s="72"/>
      <c r="AL1486" s="72"/>
      <c r="AM1486" s="72"/>
    </row>
    <row r="1487" spans="1:39" x14ac:dyDescent="0.25">
      <c r="A1487" s="37" t="s">
        <v>62</v>
      </c>
      <c r="B1487" s="66" t="s">
        <v>1615</v>
      </c>
      <c r="C1487" s="47">
        <v>1014</v>
      </c>
      <c r="D1487" s="47" t="s">
        <v>376</v>
      </c>
      <c r="E1487" s="41">
        <v>10140034</v>
      </c>
      <c r="F1487" s="46" t="s">
        <v>388</v>
      </c>
      <c r="G1487" s="39" t="s">
        <v>93</v>
      </c>
      <c r="H1487" s="48" t="s">
        <v>94</v>
      </c>
      <c r="I1487" s="52">
        <v>537.70000000000005</v>
      </c>
      <c r="J1487" s="49">
        <v>17606.349999999999</v>
      </c>
      <c r="K1487" s="65">
        <v>523.1</v>
      </c>
      <c r="L1487" s="65">
        <v>20526.195055334476</v>
      </c>
      <c r="M1487" s="65">
        <v>4.5</v>
      </c>
      <c r="N1487" s="65">
        <v>172.27499229155001</v>
      </c>
      <c r="O1487" s="65">
        <v>527.6</v>
      </c>
      <c r="P1487" s="65">
        <v>20698.470047626026</v>
      </c>
      <c r="Q1487" s="50">
        <v>17606.349999999999</v>
      </c>
      <c r="R1487" s="65">
        <v>0</v>
      </c>
      <c r="S1487" s="65">
        <v>172.27499229155001</v>
      </c>
      <c r="T1487" s="65">
        <v>3092.1200476260274</v>
      </c>
      <c r="U1487" s="65">
        <v>0</v>
      </c>
      <c r="V1487" s="65">
        <v>0</v>
      </c>
      <c r="W1487" s="65">
        <v>0</v>
      </c>
      <c r="X1487" s="65">
        <v>17434</v>
      </c>
      <c r="Y1487" s="65">
        <v>0</v>
      </c>
      <c r="Z1487" s="65">
        <v>0</v>
      </c>
      <c r="AA1487" s="51">
        <v>0</v>
      </c>
      <c r="AB1487" s="102">
        <v>0</v>
      </c>
      <c r="AC1487" s="81">
        <f t="shared" si="72"/>
        <v>106.28642756183743</v>
      </c>
      <c r="AD1487" s="82">
        <f t="shared" si="73"/>
        <v>76.814285714285717</v>
      </c>
      <c r="AE1487" s="218">
        <v>-0.1756252742690011</v>
      </c>
      <c r="AF1487">
        <v>4</v>
      </c>
      <c r="AH1487" t="str">
        <f t="shared" si="71"/>
        <v>Dumraon</v>
      </c>
      <c r="AJ1487" s="72">
        <v>0</v>
      </c>
      <c r="AK1487" s="72"/>
      <c r="AL1487" s="72"/>
      <c r="AM1487" s="72"/>
    </row>
    <row r="1488" spans="1:39" x14ac:dyDescent="0.25">
      <c r="A1488" s="37" t="s">
        <v>62</v>
      </c>
      <c r="B1488" s="66" t="s">
        <v>1615</v>
      </c>
      <c r="C1488" s="47">
        <v>1014</v>
      </c>
      <c r="D1488" s="47" t="s">
        <v>376</v>
      </c>
      <c r="E1488" s="41">
        <v>10140039</v>
      </c>
      <c r="F1488" s="46" t="s">
        <v>389</v>
      </c>
      <c r="G1488" s="39" t="s">
        <v>93</v>
      </c>
      <c r="H1488" s="48" t="s">
        <v>94</v>
      </c>
      <c r="I1488" s="52">
        <v>381.3</v>
      </c>
      <c r="J1488" s="49">
        <v>15146.200000000003</v>
      </c>
      <c r="K1488" s="65">
        <v>388.00000000000006</v>
      </c>
      <c r="L1488" s="65">
        <v>14924.675704345262</v>
      </c>
      <c r="M1488" s="65">
        <v>5.6000000000000005</v>
      </c>
      <c r="N1488" s="65">
        <v>199.93012696800005</v>
      </c>
      <c r="O1488" s="65">
        <v>393.60000000000008</v>
      </c>
      <c r="P1488" s="65">
        <v>15124.605831313262</v>
      </c>
      <c r="Q1488" s="50">
        <v>15124.605831313262</v>
      </c>
      <c r="R1488" s="65">
        <v>0</v>
      </c>
      <c r="S1488" s="65">
        <v>199.93012696800005</v>
      </c>
      <c r="T1488" s="65">
        <v>0</v>
      </c>
      <c r="U1488" s="65">
        <v>0</v>
      </c>
      <c r="V1488" s="65">
        <v>0</v>
      </c>
      <c r="W1488" s="65">
        <v>0</v>
      </c>
      <c r="X1488" s="65">
        <v>14925</v>
      </c>
      <c r="Y1488" s="65">
        <v>0</v>
      </c>
      <c r="Z1488" s="65">
        <v>0</v>
      </c>
      <c r="AA1488" s="51">
        <v>21</v>
      </c>
      <c r="AB1488" s="102">
        <v>0</v>
      </c>
      <c r="AC1488" s="81">
        <f t="shared" si="72"/>
        <v>253.19139470233415</v>
      </c>
      <c r="AD1488" s="82">
        <f t="shared" si="73"/>
        <v>54.471428571428575</v>
      </c>
      <c r="AE1488" s="218">
        <v>1.4257152742431028E-3</v>
      </c>
      <c r="AF1488">
        <v>13</v>
      </c>
      <c r="AH1488" t="str">
        <f t="shared" si="71"/>
        <v>Dumraon</v>
      </c>
      <c r="AJ1488" s="72">
        <v>0</v>
      </c>
      <c r="AK1488" s="72"/>
      <c r="AL1488" s="72"/>
      <c r="AM1488" s="72"/>
    </row>
    <row r="1489" spans="1:39" x14ac:dyDescent="0.25">
      <c r="A1489" s="37" t="s">
        <v>62</v>
      </c>
      <c r="B1489" s="66" t="s">
        <v>1615</v>
      </c>
      <c r="C1489" s="47">
        <v>1014</v>
      </c>
      <c r="D1489" s="47" t="s">
        <v>376</v>
      </c>
      <c r="E1489" s="41">
        <v>10140043</v>
      </c>
      <c r="F1489" s="46" t="s">
        <v>390</v>
      </c>
      <c r="G1489" s="39" t="s">
        <v>93</v>
      </c>
      <c r="H1489" s="48" t="s">
        <v>94</v>
      </c>
      <c r="I1489" s="52">
        <v>296</v>
      </c>
      <c r="J1489" s="49">
        <v>9031.98</v>
      </c>
      <c r="K1489" s="65">
        <v>279</v>
      </c>
      <c r="L1489" s="65">
        <v>8978.8026240000017</v>
      </c>
      <c r="M1489" s="65">
        <v>0</v>
      </c>
      <c r="N1489" s="65">
        <v>0</v>
      </c>
      <c r="O1489" s="65">
        <v>279</v>
      </c>
      <c r="P1489" s="65">
        <v>8978.8026240000017</v>
      </c>
      <c r="Q1489" s="50">
        <v>8978.8026240000017</v>
      </c>
      <c r="R1489" s="65">
        <v>0</v>
      </c>
      <c r="S1489" s="65">
        <v>0</v>
      </c>
      <c r="T1489" s="65">
        <v>0</v>
      </c>
      <c r="U1489" s="65">
        <v>0</v>
      </c>
      <c r="V1489" s="65">
        <v>0</v>
      </c>
      <c r="W1489" s="65">
        <v>0</v>
      </c>
      <c r="X1489" s="65">
        <v>8979</v>
      </c>
      <c r="Y1489" s="65">
        <v>0</v>
      </c>
      <c r="Z1489" s="65">
        <v>0</v>
      </c>
      <c r="AA1489" s="51">
        <v>53</v>
      </c>
      <c r="AB1489" s="102">
        <v>0</v>
      </c>
      <c r="AC1489" s="81">
        <f t="shared" si="72"/>
        <v>246.54864324324322</v>
      </c>
      <c r="AD1489" s="82">
        <f t="shared" si="73"/>
        <v>42.285714285714285</v>
      </c>
      <c r="AE1489" s="218">
        <v>5.8876764563249506E-3</v>
      </c>
      <c r="AF1489">
        <v>2</v>
      </c>
      <c r="AH1489" t="str">
        <f t="shared" si="71"/>
        <v>Dumraon</v>
      </c>
      <c r="AJ1489" s="72">
        <v>0</v>
      </c>
      <c r="AK1489" s="72"/>
      <c r="AL1489" s="72"/>
      <c r="AM1489" s="72"/>
    </row>
    <row r="1490" spans="1:39" x14ac:dyDescent="0.25">
      <c r="A1490" s="37" t="s">
        <v>62</v>
      </c>
      <c r="B1490" s="66" t="s">
        <v>1615</v>
      </c>
      <c r="C1490" s="47">
        <v>1014</v>
      </c>
      <c r="D1490" s="47" t="s">
        <v>376</v>
      </c>
      <c r="E1490" s="41">
        <v>10140045</v>
      </c>
      <c r="F1490" s="46" t="s">
        <v>391</v>
      </c>
      <c r="G1490" s="39" t="s">
        <v>93</v>
      </c>
      <c r="H1490" s="48" t="s">
        <v>94</v>
      </c>
      <c r="I1490" s="52">
        <v>238.3</v>
      </c>
      <c r="J1490" s="49">
        <v>8519.7100000000009</v>
      </c>
      <c r="K1490" s="65">
        <v>237</v>
      </c>
      <c r="L1490" s="65">
        <v>8572.0662720000018</v>
      </c>
      <c r="M1490" s="65">
        <v>0</v>
      </c>
      <c r="N1490" s="65">
        <v>0</v>
      </c>
      <c r="O1490" s="65">
        <v>237</v>
      </c>
      <c r="P1490" s="65">
        <v>8572.0662720000018</v>
      </c>
      <c r="Q1490" s="50">
        <v>8519.7100000000009</v>
      </c>
      <c r="R1490" s="65">
        <v>0</v>
      </c>
      <c r="S1490" s="65">
        <v>0</v>
      </c>
      <c r="T1490" s="65">
        <v>52.356272000000899</v>
      </c>
      <c r="U1490" s="65">
        <v>0</v>
      </c>
      <c r="V1490" s="65">
        <v>0</v>
      </c>
      <c r="W1490" s="65">
        <v>0</v>
      </c>
      <c r="X1490" s="65">
        <v>8520</v>
      </c>
      <c r="Y1490" s="65">
        <v>0</v>
      </c>
      <c r="Z1490" s="65">
        <v>0</v>
      </c>
      <c r="AA1490" s="51">
        <v>0</v>
      </c>
      <c r="AB1490" s="102">
        <v>0</v>
      </c>
      <c r="AC1490" s="81">
        <f t="shared" si="72"/>
        <v>330.13429349559379</v>
      </c>
      <c r="AD1490" s="82">
        <f t="shared" si="73"/>
        <v>34.042857142857144</v>
      </c>
      <c r="AE1490" s="218">
        <v>-6.1453115188194072E-3</v>
      </c>
      <c r="AF1490">
        <v>1</v>
      </c>
      <c r="AH1490" t="str">
        <f t="shared" si="71"/>
        <v>Dumraon</v>
      </c>
      <c r="AJ1490" s="72">
        <v>0</v>
      </c>
      <c r="AK1490" s="72"/>
      <c r="AL1490" s="72"/>
      <c r="AM1490" s="72"/>
    </row>
    <row r="1491" spans="1:39" x14ac:dyDescent="0.25">
      <c r="A1491" s="37" t="s">
        <v>62</v>
      </c>
      <c r="B1491" s="66" t="s">
        <v>1615</v>
      </c>
      <c r="C1491" s="47">
        <v>1014</v>
      </c>
      <c r="D1491" s="47" t="s">
        <v>376</v>
      </c>
      <c r="E1491" s="41">
        <v>10140047</v>
      </c>
      <c r="F1491" s="46" t="s">
        <v>392</v>
      </c>
      <c r="G1491" s="39" t="s">
        <v>93</v>
      </c>
      <c r="H1491" s="48" t="s">
        <v>94</v>
      </c>
      <c r="I1491" s="52">
        <v>297.7</v>
      </c>
      <c r="J1491" s="49">
        <v>13643.61</v>
      </c>
      <c r="K1491" s="65">
        <v>322.09999999999997</v>
      </c>
      <c r="L1491" s="65">
        <v>16006.930182173463</v>
      </c>
      <c r="M1491" s="65">
        <v>1.28</v>
      </c>
      <c r="N1491" s="65">
        <v>57.961591116280012</v>
      </c>
      <c r="O1491" s="65">
        <v>323.37999999999994</v>
      </c>
      <c r="P1491" s="65">
        <v>16064.891773289743</v>
      </c>
      <c r="Q1491" s="50">
        <v>13643.61</v>
      </c>
      <c r="R1491" s="65">
        <v>0</v>
      </c>
      <c r="S1491" s="65">
        <v>57.961591116280012</v>
      </c>
      <c r="T1491" s="65">
        <v>2421.281773289742</v>
      </c>
      <c r="U1491" s="65">
        <v>0</v>
      </c>
      <c r="V1491" s="65">
        <v>0</v>
      </c>
      <c r="W1491" s="65">
        <v>0</v>
      </c>
      <c r="X1491" s="65">
        <v>13586</v>
      </c>
      <c r="Y1491" s="65">
        <v>0</v>
      </c>
      <c r="Z1491" s="65">
        <v>0</v>
      </c>
      <c r="AA1491" s="51">
        <v>0</v>
      </c>
      <c r="AB1491" s="102">
        <v>0</v>
      </c>
      <c r="AC1491" s="81">
        <f t="shared" si="72"/>
        <v>368.7486935169635</v>
      </c>
      <c r="AD1491" s="82">
        <f t="shared" si="73"/>
        <v>42.528571428571425</v>
      </c>
      <c r="AE1491" s="218">
        <v>-0.17746635775207162</v>
      </c>
      <c r="AF1491">
        <v>3</v>
      </c>
      <c r="AH1491" t="str">
        <f t="shared" si="71"/>
        <v>Dumraon</v>
      </c>
      <c r="AJ1491" s="72">
        <v>0</v>
      </c>
      <c r="AK1491" s="72"/>
      <c r="AL1491" s="72"/>
      <c r="AM1491" s="72"/>
    </row>
    <row r="1492" spans="1:39" x14ac:dyDescent="0.25">
      <c r="A1492" s="37" t="s">
        <v>62</v>
      </c>
      <c r="B1492" s="66" t="s">
        <v>1615</v>
      </c>
      <c r="C1492" s="47">
        <v>1014</v>
      </c>
      <c r="D1492" s="47" t="s">
        <v>376</v>
      </c>
      <c r="E1492" s="41">
        <v>10140048</v>
      </c>
      <c r="F1492" s="46" t="s">
        <v>393</v>
      </c>
      <c r="G1492" s="39" t="s">
        <v>93</v>
      </c>
      <c r="H1492" s="48" t="s">
        <v>94</v>
      </c>
      <c r="I1492" s="52">
        <v>19.5</v>
      </c>
      <c r="J1492" s="49">
        <v>715.22</v>
      </c>
      <c r="K1492" s="65">
        <v>21.590000000000003</v>
      </c>
      <c r="L1492" s="65">
        <v>845.96260636007992</v>
      </c>
      <c r="M1492" s="65">
        <v>0.33</v>
      </c>
      <c r="N1492" s="65">
        <v>13.601643660000002</v>
      </c>
      <c r="O1492" s="65">
        <v>21.92</v>
      </c>
      <c r="P1492" s="65">
        <v>859.56425002007995</v>
      </c>
      <c r="Q1492" s="50">
        <v>715.22</v>
      </c>
      <c r="R1492" s="65">
        <v>0</v>
      </c>
      <c r="S1492" s="65">
        <v>13.601643660000002</v>
      </c>
      <c r="T1492" s="65">
        <v>144.34425002007993</v>
      </c>
      <c r="U1492" s="65">
        <v>0</v>
      </c>
      <c r="V1492" s="65">
        <v>0</v>
      </c>
      <c r="W1492" s="65">
        <v>0</v>
      </c>
      <c r="X1492" s="65">
        <v>702</v>
      </c>
      <c r="Y1492" s="65">
        <v>0</v>
      </c>
      <c r="Z1492" s="65">
        <v>0</v>
      </c>
      <c r="AA1492" s="51">
        <v>0</v>
      </c>
      <c r="AB1492" s="102">
        <v>0</v>
      </c>
      <c r="AC1492" s="81">
        <f t="shared" si="72"/>
        <v>499.186882051282</v>
      </c>
      <c r="AD1492" s="82">
        <f t="shared" si="73"/>
        <v>2.7857142857142856</v>
      </c>
      <c r="AE1492" s="218">
        <v>-0.20181797212057817</v>
      </c>
      <c r="AF1492">
        <v>3</v>
      </c>
      <c r="AH1492" t="str">
        <f t="shared" si="71"/>
        <v>Dumraon</v>
      </c>
      <c r="AJ1492" s="72">
        <v>0</v>
      </c>
      <c r="AK1492" s="72"/>
      <c r="AL1492" s="72"/>
      <c r="AM1492" s="72"/>
    </row>
    <row r="1493" spans="1:39" x14ac:dyDescent="0.25">
      <c r="A1493" s="37" t="s">
        <v>62</v>
      </c>
      <c r="B1493" s="66" t="s">
        <v>1615</v>
      </c>
      <c r="C1493" s="47">
        <v>1014</v>
      </c>
      <c r="D1493" s="47" t="s">
        <v>376</v>
      </c>
      <c r="E1493" s="41">
        <v>10140054</v>
      </c>
      <c r="F1493" s="46" t="s">
        <v>394</v>
      </c>
      <c r="G1493" s="39" t="s">
        <v>93</v>
      </c>
      <c r="H1493" s="48" t="s">
        <v>94</v>
      </c>
      <c r="I1493" s="52">
        <v>461.90000000000003</v>
      </c>
      <c r="J1493" s="49">
        <v>18923.13</v>
      </c>
      <c r="K1493" s="65">
        <v>472.66999999999996</v>
      </c>
      <c r="L1493" s="65">
        <v>19154.84261148463</v>
      </c>
      <c r="M1493" s="65">
        <v>4.21</v>
      </c>
      <c r="N1493" s="65">
        <v>174.52001154753006</v>
      </c>
      <c r="O1493" s="65">
        <v>476.87999999999994</v>
      </c>
      <c r="P1493" s="65">
        <v>19329.362623032161</v>
      </c>
      <c r="Q1493" s="50">
        <v>18923.13</v>
      </c>
      <c r="R1493" s="65">
        <v>0</v>
      </c>
      <c r="S1493" s="65">
        <v>174.52001154753006</v>
      </c>
      <c r="T1493" s="65">
        <v>406.23262303215961</v>
      </c>
      <c r="U1493" s="65">
        <v>6400</v>
      </c>
      <c r="V1493" s="65">
        <v>0</v>
      </c>
      <c r="W1493" s="65">
        <v>0</v>
      </c>
      <c r="X1493" s="65">
        <v>12349</v>
      </c>
      <c r="Y1493" s="65">
        <v>0</v>
      </c>
      <c r="Z1493" s="65">
        <v>0</v>
      </c>
      <c r="AA1493" s="51">
        <v>0</v>
      </c>
      <c r="AB1493" s="102">
        <v>0</v>
      </c>
      <c r="AC1493" s="81">
        <f t="shared" si="72"/>
        <v>195.08972734358082</v>
      </c>
      <c r="AD1493" s="82">
        <f t="shared" si="73"/>
        <v>65.985714285714295</v>
      </c>
      <c r="AE1493" s="218">
        <v>-2.1467517426142481E-2</v>
      </c>
      <c r="AF1493">
        <v>8</v>
      </c>
      <c r="AH1493" t="str">
        <f t="shared" si="71"/>
        <v>Dumraon</v>
      </c>
      <c r="AJ1493" s="72">
        <v>0</v>
      </c>
      <c r="AK1493" s="72"/>
      <c r="AL1493" s="72"/>
      <c r="AM1493" s="72"/>
    </row>
    <row r="1494" spans="1:39" x14ac:dyDescent="0.25">
      <c r="A1494" s="37" t="s">
        <v>62</v>
      </c>
      <c r="B1494" s="66" t="s">
        <v>1615</v>
      </c>
      <c r="C1494" s="47">
        <v>1014</v>
      </c>
      <c r="D1494" s="47" t="s">
        <v>376</v>
      </c>
      <c r="E1494" s="41">
        <v>10140055</v>
      </c>
      <c r="F1494" s="46" t="s">
        <v>395</v>
      </c>
      <c r="G1494" s="39" t="s">
        <v>93</v>
      </c>
      <c r="H1494" s="48" t="s">
        <v>94</v>
      </c>
      <c r="I1494" s="52">
        <v>389.70000000000005</v>
      </c>
      <c r="J1494" s="49">
        <v>15518.42</v>
      </c>
      <c r="K1494" s="65">
        <v>390</v>
      </c>
      <c r="L1494" s="65">
        <v>15392.95758</v>
      </c>
      <c r="M1494" s="65">
        <v>0</v>
      </c>
      <c r="N1494" s="65">
        <v>0</v>
      </c>
      <c r="O1494" s="65">
        <v>390</v>
      </c>
      <c r="P1494" s="65">
        <v>15392.95758</v>
      </c>
      <c r="Q1494" s="50">
        <v>15392.95758</v>
      </c>
      <c r="R1494" s="65">
        <v>0</v>
      </c>
      <c r="S1494" s="65">
        <v>0</v>
      </c>
      <c r="T1494" s="65">
        <v>0</v>
      </c>
      <c r="U1494" s="65">
        <v>2540</v>
      </c>
      <c r="V1494" s="65">
        <v>0</v>
      </c>
      <c r="W1494" s="65">
        <v>0</v>
      </c>
      <c r="X1494" s="65">
        <v>12853</v>
      </c>
      <c r="Y1494" s="65">
        <v>0</v>
      </c>
      <c r="Z1494" s="65">
        <v>0</v>
      </c>
      <c r="AA1494" s="51">
        <v>125</v>
      </c>
      <c r="AB1494" s="102">
        <v>0</v>
      </c>
      <c r="AC1494" s="81">
        <f t="shared" si="72"/>
        <v>247.13193358994093</v>
      </c>
      <c r="AD1494" s="82">
        <f t="shared" si="73"/>
        <v>55.671428571428578</v>
      </c>
      <c r="AE1494" s="218">
        <v>8.0847418744949447E-3</v>
      </c>
      <c r="AF1494">
        <v>1</v>
      </c>
      <c r="AH1494" t="str">
        <f t="shared" si="71"/>
        <v>Dumraon</v>
      </c>
      <c r="AJ1494" s="72">
        <v>0</v>
      </c>
      <c r="AK1494" s="72"/>
      <c r="AL1494" s="72"/>
      <c r="AM1494" s="72"/>
    </row>
    <row r="1495" spans="1:39" x14ac:dyDescent="0.25">
      <c r="A1495" s="37" t="s">
        <v>62</v>
      </c>
      <c r="B1495" s="66" t="s">
        <v>1615</v>
      </c>
      <c r="C1495" s="47">
        <v>1014</v>
      </c>
      <c r="D1495" s="47" t="s">
        <v>376</v>
      </c>
      <c r="E1495" s="41">
        <v>10140066</v>
      </c>
      <c r="F1495" s="46" t="s">
        <v>396</v>
      </c>
      <c r="G1495" s="39" t="s">
        <v>93</v>
      </c>
      <c r="H1495" s="48" t="s">
        <v>94</v>
      </c>
      <c r="I1495" s="52">
        <v>232.60000000000002</v>
      </c>
      <c r="J1495" s="49">
        <v>10461.549999999999</v>
      </c>
      <c r="K1495" s="65">
        <v>247.9</v>
      </c>
      <c r="L1495" s="65">
        <v>13578.45869631694</v>
      </c>
      <c r="M1495" s="65">
        <v>1</v>
      </c>
      <c r="N1495" s="65">
        <v>55.000513470530002</v>
      </c>
      <c r="O1495" s="65">
        <v>248.9</v>
      </c>
      <c r="P1495" s="65">
        <v>13633.45920978747</v>
      </c>
      <c r="Q1495" s="50">
        <v>10461.549999999999</v>
      </c>
      <c r="R1495" s="65">
        <v>0</v>
      </c>
      <c r="S1495" s="65">
        <v>55.000513470530002</v>
      </c>
      <c r="T1495" s="65">
        <v>3171.9092097874709</v>
      </c>
      <c r="U1495" s="65">
        <v>0</v>
      </c>
      <c r="V1495" s="65">
        <v>0</v>
      </c>
      <c r="W1495" s="65">
        <v>0</v>
      </c>
      <c r="X1495" s="65">
        <v>10407</v>
      </c>
      <c r="Y1495" s="65">
        <v>0</v>
      </c>
      <c r="Z1495" s="65">
        <v>0</v>
      </c>
      <c r="AA1495" s="51">
        <v>0</v>
      </c>
      <c r="AB1495" s="102">
        <v>0</v>
      </c>
      <c r="AC1495" s="81">
        <f t="shared" si="72"/>
        <v>420.44096904557171</v>
      </c>
      <c r="AD1495" s="82">
        <f t="shared" si="73"/>
        <v>33.228571428571435</v>
      </c>
      <c r="AE1495" s="218">
        <v>-0.30319686946843166</v>
      </c>
      <c r="AF1495">
        <v>5</v>
      </c>
      <c r="AH1495" t="str">
        <f t="shared" si="71"/>
        <v>Dumraon</v>
      </c>
      <c r="AJ1495" s="72">
        <v>0</v>
      </c>
      <c r="AK1495" s="72"/>
      <c r="AL1495" s="72"/>
      <c r="AM1495" s="72"/>
    </row>
    <row r="1496" spans="1:39" x14ac:dyDescent="0.25">
      <c r="A1496" s="37" t="s">
        <v>62</v>
      </c>
      <c r="B1496" s="66" t="s">
        <v>1615</v>
      </c>
      <c r="C1496" s="47">
        <v>1014</v>
      </c>
      <c r="D1496" s="47" t="s">
        <v>376</v>
      </c>
      <c r="E1496" s="41">
        <v>10140068</v>
      </c>
      <c r="F1496" s="46" t="s">
        <v>397</v>
      </c>
      <c r="G1496" s="39" t="s">
        <v>93</v>
      </c>
      <c r="H1496" s="48" t="s">
        <v>94</v>
      </c>
      <c r="I1496" s="52">
        <v>181.60000000000002</v>
      </c>
      <c r="J1496" s="49">
        <v>7192.24</v>
      </c>
      <c r="K1496" s="65">
        <v>188.77</v>
      </c>
      <c r="L1496" s="65">
        <v>7619.3921685693012</v>
      </c>
      <c r="M1496" s="65">
        <v>0</v>
      </c>
      <c r="N1496" s="65">
        <v>0</v>
      </c>
      <c r="O1496" s="65">
        <v>188.77</v>
      </c>
      <c r="P1496" s="65">
        <v>7619.3921685693012</v>
      </c>
      <c r="Q1496" s="50">
        <v>7192.24</v>
      </c>
      <c r="R1496" s="65">
        <v>0</v>
      </c>
      <c r="S1496" s="65">
        <v>0</v>
      </c>
      <c r="T1496" s="65">
        <v>427.15216856930147</v>
      </c>
      <c r="U1496" s="65">
        <v>0</v>
      </c>
      <c r="V1496" s="65">
        <v>0</v>
      </c>
      <c r="W1496" s="65">
        <v>0</v>
      </c>
      <c r="X1496" s="65">
        <v>7192</v>
      </c>
      <c r="Y1496" s="65">
        <v>0</v>
      </c>
      <c r="Z1496" s="65">
        <v>0</v>
      </c>
      <c r="AA1496" s="51">
        <v>0</v>
      </c>
      <c r="AB1496" s="102">
        <v>0</v>
      </c>
      <c r="AC1496" s="81">
        <f t="shared" si="72"/>
        <v>410.62304140969161</v>
      </c>
      <c r="AD1496" s="82">
        <f t="shared" si="73"/>
        <v>25.942857142857147</v>
      </c>
      <c r="AE1496" s="218">
        <v>-5.9390700055796455E-2</v>
      </c>
      <c r="AF1496">
        <v>3</v>
      </c>
      <c r="AH1496" t="str">
        <f t="shared" si="71"/>
        <v>Dumraon</v>
      </c>
      <c r="AJ1496" s="72">
        <v>0</v>
      </c>
      <c r="AK1496" s="72"/>
      <c r="AL1496" s="72"/>
      <c r="AM1496" s="72"/>
    </row>
    <row r="1497" spans="1:39" x14ac:dyDescent="0.25">
      <c r="A1497" s="37" t="s">
        <v>62</v>
      </c>
      <c r="B1497" s="66" t="s">
        <v>1615</v>
      </c>
      <c r="C1497" s="47">
        <v>1014</v>
      </c>
      <c r="D1497" s="47" t="s">
        <v>376</v>
      </c>
      <c r="E1497" s="41">
        <v>10140069</v>
      </c>
      <c r="F1497" s="46" t="s">
        <v>296</v>
      </c>
      <c r="G1497" s="39" t="s">
        <v>93</v>
      </c>
      <c r="H1497" s="48" t="s">
        <v>94</v>
      </c>
      <c r="I1497" s="52">
        <v>437.70000000000005</v>
      </c>
      <c r="J1497" s="49">
        <v>16073.39</v>
      </c>
      <c r="K1497" s="65">
        <v>432</v>
      </c>
      <c r="L1497" s="65">
        <v>15746.591579000802</v>
      </c>
      <c r="M1497" s="65">
        <v>7</v>
      </c>
      <c r="N1497" s="65">
        <v>246.71554380000003</v>
      </c>
      <c r="O1497" s="65">
        <v>439</v>
      </c>
      <c r="P1497" s="65">
        <v>15993.307122800803</v>
      </c>
      <c r="Q1497" s="50">
        <v>15993.307122800803</v>
      </c>
      <c r="R1497" s="65">
        <v>0</v>
      </c>
      <c r="S1497" s="65">
        <v>246.71554380000003</v>
      </c>
      <c r="T1497" s="65">
        <v>0</v>
      </c>
      <c r="U1497" s="65">
        <v>0</v>
      </c>
      <c r="V1497" s="65">
        <v>0</v>
      </c>
      <c r="W1497" s="65">
        <v>0</v>
      </c>
      <c r="X1497" s="65">
        <v>15746</v>
      </c>
      <c r="Y1497" s="65">
        <v>0</v>
      </c>
      <c r="Z1497" s="65">
        <v>0</v>
      </c>
      <c r="AA1497" s="51">
        <v>81</v>
      </c>
      <c r="AB1497" s="102">
        <v>0</v>
      </c>
      <c r="AC1497" s="81">
        <f t="shared" si="72"/>
        <v>192.64565670550601</v>
      </c>
      <c r="AD1497" s="82">
        <f t="shared" si="73"/>
        <v>62.528571428571432</v>
      </c>
      <c r="AE1497" s="218">
        <v>4.9823265160116471E-3</v>
      </c>
      <c r="AF1497">
        <v>4</v>
      </c>
      <c r="AH1497" t="str">
        <f t="shared" si="71"/>
        <v>Dumraon</v>
      </c>
      <c r="AJ1497" s="72">
        <v>0</v>
      </c>
      <c r="AK1497" s="72"/>
      <c r="AL1497" s="72"/>
      <c r="AM1497" s="72"/>
    </row>
    <row r="1498" spans="1:39" x14ac:dyDescent="0.25">
      <c r="A1498" s="37" t="s">
        <v>62</v>
      </c>
      <c r="B1498" s="66" t="s">
        <v>1615</v>
      </c>
      <c r="C1498" s="47">
        <v>1014</v>
      </c>
      <c r="D1498" s="47" t="s">
        <v>376</v>
      </c>
      <c r="E1498" s="41">
        <v>10140071</v>
      </c>
      <c r="F1498" s="46" t="s">
        <v>398</v>
      </c>
      <c r="G1498" s="39" t="s">
        <v>635</v>
      </c>
      <c r="H1498" s="48" t="s">
        <v>99</v>
      </c>
      <c r="I1498" s="52">
        <v>1619.8</v>
      </c>
      <c r="J1498" s="49">
        <v>52231.979999999996</v>
      </c>
      <c r="K1498" s="65">
        <v>0</v>
      </c>
      <c r="L1498" s="65">
        <v>0</v>
      </c>
      <c r="M1498" s="65">
        <v>0</v>
      </c>
      <c r="N1498" s="65">
        <v>0</v>
      </c>
      <c r="O1498" s="65">
        <v>0</v>
      </c>
      <c r="P1498" s="65">
        <v>0</v>
      </c>
      <c r="Q1498" s="50">
        <v>52231.979999999996</v>
      </c>
      <c r="R1498" s="65">
        <v>0</v>
      </c>
      <c r="S1498" s="65">
        <v>0</v>
      </c>
      <c r="T1498" s="65">
        <v>0</v>
      </c>
      <c r="U1498" s="65">
        <v>0</v>
      </c>
      <c r="V1498" s="65">
        <v>0</v>
      </c>
      <c r="W1498" s="65">
        <v>0</v>
      </c>
      <c r="X1498" s="65">
        <v>0</v>
      </c>
      <c r="Y1498" s="65">
        <v>0</v>
      </c>
      <c r="Z1498" s="65">
        <v>52231.979999999996</v>
      </c>
      <c r="AA1498" s="51">
        <v>0</v>
      </c>
      <c r="AB1498" s="102">
        <v>0</v>
      </c>
      <c r="AC1498" s="81">
        <f t="shared" si="72"/>
        <v>0</v>
      </c>
      <c r="AD1498" s="82">
        <f t="shared" si="73"/>
        <v>0</v>
      </c>
      <c r="AE1498" s="218">
        <v>0</v>
      </c>
      <c r="AF1498">
        <v>0</v>
      </c>
      <c r="AH1498" t="str">
        <f t="shared" si="71"/>
        <v>Dumraon</v>
      </c>
      <c r="AJ1498" s="72">
        <v>0</v>
      </c>
      <c r="AK1498" s="72"/>
      <c r="AL1498" s="72"/>
      <c r="AM1498" s="72"/>
    </row>
    <row r="1499" spans="1:39" x14ac:dyDescent="0.25">
      <c r="A1499" s="37" t="s">
        <v>62</v>
      </c>
      <c r="B1499" s="66" t="s">
        <v>1615</v>
      </c>
      <c r="C1499" s="47">
        <v>1014</v>
      </c>
      <c r="D1499" s="47" t="s">
        <v>376</v>
      </c>
      <c r="E1499" s="41">
        <v>10140083</v>
      </c>
      <c r="F1499" s="46" t="s">
        <v>399</v>
      </c>
      <c r="G1499" s="39" t="s">
        <v>93</v>
      </c>
      <c r="H1499" s="48" t="s">
        <v>94</v>
      </c>
      <c r="I1499" s="52">
        <v>511.40000000000003</v>
      </c>
      <c r="J1499" s="49">
        <v>20027.600000000002</v>
      </c>
      <c r="K1499" s="65">
        <v>443.90000000000003</v>
      </c>
      <c r="L1499" s="65">
        <v>17431.6129674312</v>
      </c>
      <c r="M1499" s="65">
        <v>204.5</v>
      </c>
      <c r="N1499" s="65">
        <v>8737.2269089323217</v>
      </c>
      <c r="O1499" s="65">
        <v>648.40000000000009</v>
      </c>
      <c r="P1499" s="65">
        <v>26168.83987636352</v>
      </c>
      <c r="Q1499" s="50">
        <v>20027.600000000002</v>
      </c>
      <c r="R1499" s="65">
        <v>0</v>
      </c>
      <c r="S1499" s="65">
        <v>197.59483249159999</v>
      </c>
      <c r="T1499" s="65">
        <v>6141.2398763635174</v>
      </c>
      <c r="U1499" s="65">
        <v>0</v>
      </c>
      <c r="V1499" s="65">
        <v>0</v>
      </c>
      <c r="W1499" s="65">
        <v>0</v>
      </c>
      <c r="X1499" s="65">
        <v>11289</v>
      </c>
      <c r="Y1499" s="65">
        <v>8541</v>
      </c>
      <c r="Z1499" s="65">
        <v>0</v>
      </c>
      <c r="AA1499" s="51">
        <v>0</v>
      </c>
      <c r="AB1499" s="102">
        <v>0</v>
      </c>
      <c r="AC1499" s="81">
        <f t="shared" si="72"/>
        <v>147.72019397731714</v>
      </c>
      <c r="AD1499" s="82">
        <f t="shared" si="73"/>
        <v>73.057142857142864</v>
      </c>
      <c r="AE1499" s="218">
        <v>-0.30663883222969884</v>
      </c>
      <c r="AF1499">
        <v>18</v>
      </c>
      <c r="AH1499" t="str">
        <f t="shared" si="71"/>
        <v>Dumraon</v>
      </c>
      <c r="AJ1499" s="72">
        <v>0</v>
      </c>
      <c r="AK1499" s="72"/>
      <c r="AL1499" s="72"/>
      <c r="AM1499" s="72"/>
    </row>
    <row r="1500" spans="1:39" x14ac:dyDescent="0.25">
      <c r="A1500" s="37" t="s">
        <v>62</v>
      </c>
      <c r="B1500" s="66" t="s">
        <v>1615</v>
      </c>
      <c r="C1500" s="47">
        <v>1014</v>
      </c>
      <c r="D1500" s="47" t="s">
        <v>376</v>
      </c>
      <c r="E1500" s="41">
        <v>10140087</v>
      </c>
      <c r="F1500" s="46" t="s">
        <v>400</v>
      </c>
      <c r="G1500" s="39" t="s">
        <v>93</v>
      </c>
      <c r="H1500" s="48" t="s">
        <v>94</v>
      </c>
      <c r="I1500" s="52">
        <v>284.59999999999997</v>
      </c>
      <c r="J1500" s="49">
        <v>10777.57</v>
      </c>
      <c r="K1500" s="65">
        <v>284.70999999999998</v>
      </c>
      <c r="L1500" s="65">
        <v>11050.944959219729</v>
      </c>
      <c r="M1500" s="65">
        <v>0</v>
      </c>
      <c r="N1500" s="65">
        <v>0</v>
      </c>
      <c r="O1500" s="65">
        <v>284.70999999999998</v>
      </c>
      <c r="P1500" s="65">
        <v>11050.944959219729</v>
      </c>
      <c r="Q1500" s="50">
        <v>10777.57</v>
      </c>
      <c r="R1500" s="65">
        <v>0</v>
      </c>
      <c r="S1500" s="65">
        <v>0</v>
      </c>
      <c r="T1500" s="65">
        <v>273.37495921972913</v>
      </c>
      <c r="U1500" s="65">
        <v>0</v>
      </c>
      <c r="V1500" s="65">
        <v>0</v>
      </c>
      <c r="W1500" s="65">
        <v>0</v>
      </c>
      <c r="X1500" s="65">
        <v>10778</v>
      </c>
      <c r="Y1500" s="65">
        <v>0</v>
      </c>
      <c r="Z1500" s="65">
        <v>0</v>
      </c>
      <c r="AA1500" s="51">
        <v>0</v>
      </c>
      <c r="AB1500" s="102">
        <v>0</v>
      </c>
      <c r="AC1500" s="81">
        <f t="shared" si="72"/>
        <v>314.61718749121582</v>
      </c>
      <c r="AD1500" s="82">
        <f t="shared" si="73"/>
        <v>40.657142857142851</v>
      </c>
      <c r="AE1500" s="218">
        <v>-2.5365175936665606E-2</v>
      </c>
      <c r="AF1500">
        <v>6</v>
      </c>
      <c r="AH1500" t="str">
        <f t="shared" si="71"/>
        <v>Dumraon</v>
      </c>
      <c r="AJ1500" s="72">
        <v>0</v>
      </c>
      <c r="AK1500" s="72"/>
      <c r="AL1500" s="72"/>
      <c r="AM1500" s="72"/>
    </row>
    <row r="1501" spans="1:39" x14ac:dyDescent="0.25">
      <c r="A1501" s="37" t="s">
        <v>62</v>
      </c>
      <c r="B1501" s="66" t="s">
        <v>1615</v>
      </c>
      <c r="C1501" s="47">
        <v>1014</v>
      </c>
      <c r="D1501" s="47" t="s">
        <v>376</v>
      </c>
      <c r="E1501" s="41">
        <v>10140095</v>
      </c>
      <c r="F1501" s="46" t="s">
        <v>627</v>
      </c>
      <c r="G1501" s="39" t="s">
        <v>93</v>
      </c>
      <c r="H1501" s="48" t="s">
        <v>94</v>
      </c>
      <c r="I1501" s="52">
        <v>501.50000000000006</v>
      </c>
      <c r="J1501" s="49">
        <v>21013.870000000003</v>
      </c>
      <c r="K1501" s="65">
        <v>162.5</v>
      </c>
      <c r="L1501" s="65">
        <v>6612.2798731681014</v>
      </c>
      <c r="M1501" s="65">
        <v>324.5</v>
      </c>
      <c r="N1501" s="65">
        <v>14368.501272749001</v>
      </c>
      <c r="O1501" s="65">
        <v>487</v>
      </c>
      <c r="P1501" s="65">
        <v>20980.781145917103</v>
      </c>
      <c r="Q1501" s="50">
        <v>20980.781145917103</v>
      </c>
      <c r="R1501" s="65">
        <v>0</v>
      </c>
      <c r="S1501" s="65">
        <v>0</v>
      </c>
      <c r="T1501" s="65">
        <v>0</v>
      </c>
      <c r="U1501" s="65">
        <v>0</v>
      </c>
      <c r="V1501" s="65">
        <v>0</v>
      </c>
      <c r="W1501" s="65">
        <v>0</v>
      </c>
      <c r="X1501" s="65">
        <v>6612</v>
      </c>
      <c r="Y1501" s="65">
        <v>14367</v>
      </c>
      <c r="Z1501" s="65">
        <v>0</v>
      </c>
      <c r="AA1501" s="51">
        <v>35</v>
      </c>
      <c r="AB1501" s="102">
        <v>0</v>
      </c>
      <c r="AC1501" s="81">
        <f t="shared" si="72"/>
        <v>166.35107457627115</v>
      </c>
      <c r="AD1501" s="82">
        <f t="shared" si="73"/>
        <v>71.642857142857153</v>
      </c>
      <c r="AE1501" s="218">
        <v>1.5746197193996188E-3</v>
      </c>
      <c r="AF1501">
        <v>8</v>
      </c>
      <c r="AH1501" t="str">
        <f t="shared" si="71"/>
        <v>Dumraon</v>
      </c>
      <c r="AJ1501" s="72">
        <v>0</v>
      </c>
      <c r="AK1501" s="72"/>
      <c r="AL1501" s="72"/>
      <c r="AM1501" s="72"/>
    </row>
    <row r="1502" spans="1:39" x14ac:dyDescent="0.25">
      <c r="A1502" s="37" t="s">
        <v>62</v>
      </c>
      <c r="B1502" s="66" t="s">
        <v>1615</v>
      </c>
      <c r="C1502" s="47">
        <v>1014</v>
      </c>
      <c r="D1502" s="47" t="s">
        <v>376</v>
      </c>
      <c r="E1502" s="41">
        <v>10140098</v>
      </c>
      <c r="F1502" s="46" t="s">
        <v>428</v>
      </c>
      <c r="G1502" s="39" t="s">
        <v>93</v>
      </c>
      <c r="H1502" s="48" t="s">
        <v>94</v>
      </c>
      <c r="I1502" s="52">
        <v>1905</v>
      </c>
      <c r="J1502" s="49">
        <v>73905.430000000008</v>
      </c>
      <c r="K1502" s="65">
        <v>1855.66</v>
      </c>
      <c r="L1502" s="65">
        <v>73403.589740400726</v>
      </c>
      <c r="M1502" s="65">
        <v>12.42</v>
      </c>
      <c r="N1502" s="65">
        <v>477.7252753680001</v>
      </c>
      <c r="O1502" s="65">
        <v>1868.0800000000002</v>
      </c>
      <c r="P1502" s="65">
        <v>73881.31501576872</v>
      </c>
      <c r="Q1502" s="50">
        <v>73881.31501576872</v>
      </c>
      <c r="R1502" s="65">
        <v>0</v>
      </c>
      <c r="S1502" s="65">
        <v>477.7252753680001</v>
      </c>
      <c r="T1502" s="65">
        <v>0</v>
      </c>
      <c r="U1502" s="65">
        <v>0</v>
      </c>
      <c r="V1502" s="65">
        <v>0</v>
      </c>
      <c r="W1502" s="65">
        <v>0</v>
      </c>
      <c r="X1502" s="65">
        <v>73403</v>
      </c>
      <c r="Y1502" s="65">
        <v>0</v>
      </c>
      <c r="Z1502" s="65">
        <v>0</v>
      </c>
      <c r="AA1502" s="51">
        <v>25</v>
      </c>
      <c r="AB1502" s="102">
        <v>0</v>
      </c>
      <c r="AC1502" s="81">
        <f t="shared" si="72"/>
        <v>0</v>
      </c>
      <c r="AD1502" s="82">
        <f t="shared" si="73"/>
        <v>0</v>
      </c>
      <c r="AE1502" s="218">
        <v>3.2629516168552108E-4</v>
      </c>
      <c r="AF1502">
        <v>6</v>
      </c>
      <c r="AH1502" t="str">
        <f t="shared" si="71"/>
        <v>Dumraon</v>
      </c>
      <c r="AJ1502" s="72">
        <v>0</v>
      </c>
      <c r="AK1502" s="72"/>
      <c r="AL1502" s="72"/>
      <c r="AM1502" s="72"/>
    </row>
    <row r="1503" spans="1:39" x14ac:dyDescent="0.25">
      <c r="A1503" s="37" t="s">
        <v>62</v>
      </c>
      <c r="B1503" s="66" t="s">
        <v>1615</v>
      </c>
      <c r="C1503" s="47">
        <v>1014</v>
      </c>
      <c r="D1503" s="47" t="s">
        <v>376</v>
      </c>
      <c r="E1503" s="43">
        <v>10140099</v>
      </c>
      <c r="F1503" s="46" t="s">
        <v>401</v>
      </c>
      <c r="G1503" s="39" t="s">
        <v>93</v>
      </c>
      <c r="H1503" s="48" t="s">
        <v>94</v>
      </c>
      <c r="I1503" s="52">
        <v>233.59999999999997</v>
      </c>
      <c r="J1503" s="49">
        <v>8031.0599999999995</v>
      </c>
      <c r="K1503" s="65">
        <v>296.67</v>
      </c>
      <c r="L1503" s="65">
        <v>10421.68290768</v>
      </c>
      <c r="M1503" s="65">
        <v>0</v>
      </c>
      <c r="N1503" s="65">
        <v>0</v>
      </c>
      <c r="O1503" s="65">
        <v>296.67</v>
      </c>
      <c r="P1503" s="65">
        <v>10421.68290768</v>
      </c>
      <c r="Q1503" s="50">
        <v>8031.0599999999995</v>
      </c>
      <c r="R1503" s="65">
        <v>0</v>
      </c>
      <c r="S1503" s="65">
        <v>0</v>
      </c>
      <c r="T1503" s="65">
        <v>2390.6229076800009</v>
      </c>
      <c r="U1503" s="65">
        <v>0</v>
      </c>
      <c r="V1503" s="65">
        <v>0</v>
      </c>
      <c r="W1503" s="65">
        <v>0</v>
      </c>
      <c r="X1503" s="65">
        <v>8031</v>
      </c>
      <c r="Y1503" s="65">
        <v>0</v>
      </c>
      <c r="Z1503" s="65">
        <v>0</v>
      </c>
      <c r="AA1503" s="51">
        <v>0</v>
      </c>
      <c r="AB1503" s="102" t="s">
        <v>68</v>
      </c>
      <c r="AC1503" s="81">
        <f t="shared" si="72"/>
        <v>320.69232739726033</v>
      </c>
      <c r="AD1503" s="82">
        <f t="shared" si="73"/>
        <v>33.371428571428567</v>
      </c>
      <c r="AE1503" s="218">
        <v>-0.2976721513324519</v>
      </c>
      <c r="AF1503">
        <v>7</v>
      </c>
      <c r="AH1503" t="str">
        <f t="shared" si="71"/>
        <v>Dumraon</v>
      </c>
      <c r="AJ1503" s="72">
        <v>0</v>
      </c>
      <c r="AK1503" s="72"/>
      <c r="AL1503" s="72"/>
      <c r="AM1503" s="72"/>
    </row>
    <row r="1504" spans="1:39" x14ac:dyDescent="0.25">
      <c r="A1504" s="37" t="s">
        <v>62</v>
      </c>
      <c r="B1504" s="66" t="s">
        <v>1615</v>
      </c>
      <c r="C1504" s="47">
        <v>1014</v>
      </c>
      <c r="D1504" s="47" t="s">
        <v>376</v>
      </c>
      <c r="E1504" s="43">
        <v>10140109</v>
      </c>
      <c r="F1504" s="46" t="s">
        <v>424</v>
      </c>
      <c r="G1504" s="39" t="s">
        <v>635</v>
      </c>
      <c r="H1504" s="48" t="s">
        <v>99</v>
      </c>
      <c r="I1504" s="52">
        <v>360.3</v>
      </c>
      <c r="J1504" s="49">
        <v>13485.239999999998</v>
      </c>
      <c r="K1504" s="65">
        <v>0</v>
      </c>
      <c r="L1504" s="65">
        <v>0</v>
      </c>
      <c r="M1504" s="65">
        <v>0</v>
      </c>
      <c r="N1504" s="65">
        <v>0</v>
      </c>
      <c r="O1504" s="65">
        <v>0</v>
      </c>
      <c r="P1504" s="65">
        <v>0</v>
      </c>
      <c r="Q1504" s="50">
        <v>13485.239999999998</v>
      </c>
      <c r="R1504" s="65">
        <v>0</v>
      </c>
      <c r="S1504" s="65">
        <v>0</v>
      </c>
      <c r="T1504" s="65">
        <v>0</v>
      </c>
      <c r="U1504" s="65">
        <v>0</v>
      </c>
      <c r="V1504" s="65">
        <v>0</v>
      </c>
      <c r="W1504" s="65">
        <v>0</v>
      </c>
      <c r="X1504" s="65">
        <v>0</v>
      </c>
      <c r="Y1504" s="65">
        <v>0</v>
      </c>
      <c r="Z1504" s="65">
        <v>13485.239999999998</v>
      </c>
      <c r="AA1504" s="51">
        <v>0</v>
      </c>
      <c r="AB1504" s="102">
        <v>0</v>
      </c>
      <c r="AC1504" s="81">
        <f t="shared" si="72"/>
        <v>254.2845422148209</v>
      </c>
      <c r="AD1504" s="82">
        <f t="shared" si="73"/>
        <v>51.471428571428575</v>
      </c>
      <c r="AE1504" s="218">
        <v>0</v>
      </c>
      <c r="AF1504">
        <v>0</v>
      </c>
      <c r="AH1504" t="str">
        <f t="shared" si="71"/>
        <v>Dumraon</v>
      </c>
      <c r="AJ1504" s="72">
        <v>0</v>
      </c>
      <c r="AK1504" s="72"/>
      <c r="AL1504" s="72"/>
      <c r="AM1504" s="72"/>
    </row>
    <row r="1505" spans="1:39" x14ac:dyDescent="0.25">
      <c r="A1505" s="37" t="s">
        <v>62</v>
      </c>
      <c r="B1505" s="66" t="s">
        <v>1615</v>
      </c>
      <c r="C1505" s="47">
        <v>1014</v>
      </c>
      <c r="D1505" s="47" t="s">
        <v>376</v>
      </c>
      <c r="E1505" s="41">
        <v>10140120</v>
      </c>
      <c r="F1505" s="46" t="s">
        <v>628</v>
      </c>
      <c r="G1505" s="39" t="s">
        <v>93</v>
      </c>
      <c r="H1505" s="48" t="s">
        <v>94</v>
      </c>
      <c r="I1505" s="52">
        <v>483.20000000000005</v>
      </c>
      <c r="J1505" s="49">
        <v>19028.689999999999</v>
      </c>
      <c r="K1505" s="65">
        <v>475.25</v>
      </c>
      <c r="L1505" s="65">
        <v>19358.747050500002</v>
      </c>
      <c r="M1505" s="65">
        <v>6.87</v>
      </c>
      <c r="N1505" s="65">
        <v>260.33367729599996</v>
      </c>
      <c r="O1505" s="65">
        <v>482.12</v>
      </c>
      <c r="P1505" s="65">
        <v>19619.080727796001</v>
      </c>
      <c r="Q1505" s="50">
        <v>19028.689999999999</v>
      </c>
      <c r="R1505" s="65">
        <v>0</v>
      </c>
      <c r="S1505" s="65">
        <v>260.33367729599996</v>
      </c>
      <c r="T1505" s="65">
        <v>590.39072779600247</v>
      </c>
      <c r="U1505" s="65">
        <v>0</v>
      </c>
      <c r="V1505" s="65">
        <v>0</v>
      </c>
      <c r="W1505" s="65">
        <v>0</v>
      </c>
      <c r="X1505" s="65">
        <v>18768</v>
      </c>
      <c r="Y1505" s="65">
        <v>0</v>
      </c>
      <c r="Z1505" s="65">
        <v>0</v>
      </c>
      <c r="AA1505" s="51">
        <v>0</v>
      </c>
      <c r="AB1505" s="102">
        <v>0</v>
      </c>
      <c r="AC1505" s="81">
        <f t="shared" si="72"/>
        <v>170.75413874172176</v>
      </c>
      <c r="AD1505" s="82">
        <f t="shared" si="73"/>
        <v>69.028571428571439</v>
      </c>
      <c r="AE1505" s="218">
        <v>-3.1026346416700389E-2</v>
      </c>
      <c r="AF1505">
        <v>3</v>
      </c>
      <c r="AH1505" t="str">
        <f t="shared" si="71"/>
        <v>Dumraon</v>
      </c>
      <c r="AJ1505" s="72">
        <v>0</v>
      </c>
      <c r="AK1505" s="72"/>
      <c r="AL1505" s="72"/>
      <c r="AM1505" s="72"/>
    </row>
    <row r="1506" spans="1:39" x14ac:dyDescent="0.25">
      <c r="A1506" s="37" t="s">
        <v>62</v>
      </c>
      <c r="B1506" s="66" t="s">
        <v>1615</v>
      </c>
      <c r="C1506" s="47">
        <v>1014</v>
      </c>
      <c r="D1506" s="47" t="s">
        <v>376</v>
      </c>
      <c r="E1506" s="43">
        <v>10140126</v>
      </c>
      <c r="F1506" s="46" t="s">
        <v>468</v>
      </c>
      <c r="G1506" s="39" t="s">
        <v>93</v>
      </c>
      <c r="H1506" s="48" t="s">
        <v>94</v>
      </c>
      <c r="I1506" s="52">
        <v>149.00000000000003</v>
      </c>
      <c r="J1506" s="49">
        <v>5331.9699999999993</v>
      </c>
      <c r="K1506" s="65">
        <v>144.60000000000002</v>
      </c>
      <c r="L1506" s="65">
        <v>5345.1163730562193</v>
      </c>
      <c r="M1506" s="65">
        <v>2.5</v>
      </c>
      <c r="N1506" s="65">
        <v>97.418684880000001</v>
      </c>
      <c r="O1506" s="65">
        <v>147.10000000000002</v>
      </c>
      <c r="P1506" s="65">
        <v>5442.5350579362193</v>
      </c>
      <c r="Q1506" s="50">
        <v>5331.9699999999993</v>
      </c>
      <c r="R1506" s="65">
        <v>0</v>
      </c>
      <c r="S1506" s="65">
        <v>97.418684880000001</v>
      </c>
      <c r="T1506" s="65">
        <v>110.56505793622</v>
      </c>
      <c r="U1506" s="65">
        <v>0</v>
      </c>
      <c r="V1506" s="65">
        <v>0</v>
      </c>
      <c r="W1506" s="65">
        <v>0</v>
      </c>
      <c r="X1506" s="65">
        <v>5235</v>
      </c>
      <c r="Y1506" s="65">
        <v>0</v>
      </c>
      <c r="Z1506" s="65">
        <v>0</v>
      </c>
      <c r="AA1506" s="51">
        <v>0</v>
      </c>
      <c r="AB1506" s="102" t="s">
        <v>68</v>
      </c>
      <c r="AC1506" s="81">
        <f t="shared" si="72"/>
        <v>394.35106979865759</v>
      </c>
      <c r="AD1506" s="82">
        <f t="shared" si="73"/>
        <v>21.285714285714288</v>
      </c>
      <c r="AE1506" s="218">
        <v>-2.0736249066708932E-2</v>
      </c>
      <c r="AF1506">
        <v>7</v>
      </c>
      <c r="AH1506" t="str">
        <f t="shared" si="71"/>
        <v>Dumraon</v>
      </c>
      <c r="AJ1506" s="72">
        <v>0</v>
      </c>
      <c r="AK1506" s="72"/>
      <c r="AL1506" s="72"/>
      <c r="AM1506" s="72"/>
    </row>
    <row r="1507" spans="1:39" x14ac:dyDescent="0.25">
      <c r="A1507" s="37" t="s">
        <v>62</v>
      </c>
      <c r="B1507" s="66" t="s">
        <v>1615</v>
      </c>
      <c r="C1507" s="47">
        <v>1014</v>
      </c>
      <c r="D1507" s="47" t="s">
        <v>376</v>
      </c>
      <c r="E1507" s="41">
        <v>10140129</v>
      </c>
      <c r="F1507" s="46" t="s">
        <v>467</v>
      </c>
      <c r="G1507" s="39" t="s">
        <v>93</v>
      </c>
      <c r="H1507" s="48" t="s">
        <v>94</v>
      </c>
      <c r="I1507" s="52">
        <v>183.6</v>
      </c>
      <c r="J1507" s="49">
        <v>6339.2500000000009</v>
      </c>
      <c r="K1507" s="65">
        <v>184</v>
      </c>
      <c r="L1507" s="65">
        <v>6290.7863040000011</v>
      </c>
      <c r="M1507" s="65">
        <v>0</v>
      </c>
      <c r="N1507" s="65">
        <v>0</v>
      </c>
      <c r="O1507" s="65">
        <v>184</v>
      </c>
      <c r="P1507" s="65">
        <v>6290.7863040000011</v>
      </c>
      <c r="Q1507" s="50">
        <v>6290.7863040000011</v>
      </c>
      <c r="R1507" s="65">
        <v>0</v>
      </c>
      <c r="S1507" s="65">
        <v>0</v>
      </c>
      <c r="T1507" s="65">
        <v>0</v>
      </c>
      <c r="U1507" s="65">
        <v>0</v>
      </c>
      <c r="V1507" s="65">
        <v>0</v>
      </c>
      <c r="W1507" s="65">
        <v>0</v>
      </c>
      <c r="X1507" s="65">
        <v>6291</v>
      </c>
      <c r="Y1507" s="65">
        <v>0</v>
      </c>
      <c r="Z1507" s="65">
        <v>0</v>
      </c>
      <c r="AA1507" s="51">
        <v>48</v>
      </c>
      <c r="AB1507" s="102">
        <v>0</v>
      </c>
      <c r="AC1507" s="81">
        <f t="shared" si="72"/>
        <v>356.6000762527234</v>
      </c>
      <c r="AD1507" s="82">
        <f t="shared" si="73"/>
        <v>26.228571428571428</v>
      </c>
      <c r="AE1507" s="218">
        <v>7.6450204677209121E-3</v>
      </c>
      <c r="AF1507">
        <v>1</v>
      </c>
      <c r="AH1507" t="str">
        <f t="shared" si="71"/>
        <v>Dumraon</v>
      </c>
      <c r="AJ1507" s="72">
        <v>0</v>
      </c>
      <c r="AK1507" s="72"/>
      <c r="AL1507" s="72"/>
      <c r="AM1507" s="72"/>
    </row>
    <row r="1508" spans="1:39" x14ac:dyDescent="0.25">
      <c r="A1508" s="37" t="s">
        <v>62</v>
      </c>
      <c r="B1508" s="66" t="s">
        <v>1615</v>
      </c>
      <c r="C1508" s="47">
        <v>1014</v>
      </c>
      <c r="D1508" s="47" t="s">
        <v>376</v>
      </c>
      <c r="E1508" s="43">
        <v>10140131</v>
      </c>
      <c r="F1508" s="46" t="s">
        <v>466</v>
      </c>
      <c r="G1508" s="39" t="s">
        <v>93</v>
      </c>
      <c r="H1508" s="48" t="s">
        <v>94</v>
      </c>
      <c r="I1508" s="52">
        <v>221.4</v>
      </c>
      <c r="J1508" s="49">
        <v>7655.42</v>
      </c>
      <c r="K1508" s="65">
        <v>198.10000000000002</v>
      </c>
      <c r="L1508" s="65">
        <v>7804.1782170000006</v>
      </c>
      <c r="M1508" s="65">
        <v>0</v>
      </c>
      <c r="N1508" s="65">
        <v>0</v>
      </c>
      <c r="O1508" s="65">
        <v>198.10000000000002</v>
      </c>
      <c r="P1508" s="65">
        <v>7804.1782170000006</v>
      </c>
      <c r="Q1508" s="50">
        <v>7655.42</v>
      </c>
      <c r="R1508" s="65">
        <v>0</v>
      </c>
      <c r="S1508" s="65">
        <v>0</v>
      </c>
      <c r="T1508" s="65">
        <v>148.75821700000051</v>
      </c>
      <c r="U1508" s="65">
        <v>0</v>
      </c>
      <c r="V1508" s="65">
        <v>0</v>
      </c>
      <c r="W1508" s="65">
        <v>0</v>
      </c>
      <c r="X1508" s="65">
        <v>7655</v>
      </c>
      <c r="Y1508" s="65">
        <v>0</v>
      </c>
      <c r="Z1508" s="65">
        <v>0</v>
      </c>
      <c r="AA1508" s="51">
        <v>0</v>
      </c>
      <c r="AB1508" s="102">
        <v>0</v>
      </c>
      <c r="AC1508" s="81">
        <f t="shared" si="72"/>
        <v>330.97416549232156</v>
      </c>
      <c r="AD1508" s="82">
        <f t="shared" si="73"/>
        <v>31.62857142857143</v>
      </c>
      <c r="AE1508" s="218">
        <v>-1.943175122984768E-2</v>
      </c>
      <c r="AF1508">
        <v>1</v>
      </c>
      <c r="AH1508" t="str">
        <f t="shared" ref="AH1508:AH1568" si="74">TEXT(D1508,"0000")</f>
        <v>Dumraon</v>
      </c>
      <c r="AJ1508" s="72">
        <v>0</v>
      </c>
      <c r="AK1508" s="72"/>
      <c r="AL1508" s="72"/>
      <c r="AM1508" s="72"/>
    </row>
    <row r="1509" spans="1:39" x14ac:dyDescent="0.25">
      <c r="A1509" s="37" t="s">
        <v>62</v>
      </c>
      <c r="B1509" s="66" t="s">
        <v>1615</v>
      </c>
      <c r="C1509" s="47">
        <v>1014</v>
      </c>
      <c r="D1509" s="47" t="s">
        <v>376</v>
      </c>
      <c r="E1509" s="43">
        <v>10140132</v>
      </c>
      <c r="F1509" s="46" t="s">
        <v>465</v>
      </c>
      <c r="G1509" s="39" t="s">
        <v>93</v>
      </c>
      <c r="H1509" s="48" t="s">
        <v>94</v>
      </c>
      <c r="I1509" s="52">
        <v>252.99999999999997</v>
      </c>
      <c r="J1509" s="49">
        <v>9072.0399999999991</v>
      </c>
      <c r="K1509" s="65">
        <v>249.60000000000002</v>
      </c>
      <c r="L1509" s="65">
        <v>8642.0705636957991</v>
      </c>
      <c r="M1509" s="65">
        <v>4.2</v>
      </c>
      <c r="N1509" s="65">
        <v>142.57776852000001</v>
      </c>
      <c r="O1509" s="65">
        <v>253.8</v>
      </c>
      <c r="P1509" s="65">
        <v>8784.6483322157983</v>
      </c>
      <c r="Q1509" s="50">
        <v>8784.6483322157983</v>
      </c>
      <c r="R1509" s="65">
        <v>0</v>
      </c>
      <c r="S1509" s="65">
        <v>142.57776852000001</v>
      </c>
      <c r="T1509" s="65">
        <v>0</v>
      </c>
      <c r="U1509" s="65">
        <v>0</v>
      </c>
      <c r="V1509" s="65">
        <v>0</v>
      </c>
      <c r="W1509" s="65">
        <v>0</v>
      </c>
      <c r="X1509" s="65">
        <v>8642</v>
      </c>
      <c r="Y1509" s="65">
        <v>0</v>
      </c>
      <c r="Z1509" s="65">
        <v>0</v>
      </c>
      <c r="AA1509" s="51">
        <v>287</v>
      </c>
      <c r="AB1509" s="102">
        <v>0</v>
      </c>
      <c r="AC1509" s="81">
        <f t="shared" si="72"/>
        <v>320.56931857707508</v>
      </c>
      <c r="AD1509" s="82">
        <f t="shared" si="73"/>
        <v>36.142857142857139</v>
      </c>
      <c r="AE1509" s="218">
        <v>3.1678836048364072E-2</v>
      </c>
      <c r="AF1509">
        <v>10</v>
      </c>
      <c r="AH1509" t="str">
        <f t="shared" si="74"/>
        <v>Dumraon</v>
      </c>
      <c r="AJ1509" s="72">
        <v>0</v>
      </c>
      <c r="AK1509" s="72"/>
      <c r="AL1509" s="72"/>
      <c r="AM1509" s="72"/>
    </row>
    <row r="1510" spans="1:39" x14ac:dyDescent="0.25">
      <c r="A1510" s="37" t="s">
        <v>62</v>
      </c>
      <c r="B1510" s="66" t="s">
        <v>1615</v>
      </c>
      <c r="C1510" s="47">
        <v>1014</v>
      </c>
      <c r="D1510" s="47" t="s">
        <v>376</v>
      </c>
      <c r="E1510" s="43">
        <v>10140135</v>
      </c>
      <c r="F1510" s="46" t="s">
        <v>474</v>
      </c>
      <c r="G1510" s="39" t="s">
        <v>93</v>
      </c>
      <c r="H1510" s="48" t="s">
        <v>94</v>
      </c>
      <c r="I1510" s="52">
        <v>204.90000000000003</v>
      </c>
      <c r="J1510" s="49">
        <v>7893.420000000001</v>
      </c>
      <c r="K1510" s="65">
        <v>212.52</v>
      </c>
      <c r="L1510" s="65">
        <v>7342.1701740226408</v>
      </c>
      <c r="M1510" s="65">
        <v>0</v>
      </c>
      <c r="N1510" s="65">
        <v>0</v>
      </c>
      <c r="O1510" s="65">
        <v>212.52</v>
      </c>
      <c r="P1510" s="65">
        <v>7342.1701740226408</v>
      </c>
      <c r="Q1510" s="50">
        <v>7342.1701740226408</v>
      </c>
      <c r="R1510" s="65">
        <v>0</v>
      </c>
      <c r="S1510" s="65">
        <v>0</v>
      </c>
      <c r="T1510" s="65">
        <v>0</v>
      </c>
      <c r="U1510" s="65">
        <v>0</v>
      </c>
      <c r="V1510" s="65">
        <v>0</v>
      </c>
      <c r="W1510" s="65">
        <v>0</v>
      </c>
      <c r="X1510" s="65">
        <v>7343</v>
      </c>
      <c r="Y1510" s="65">
        <v>0</v>
      </c>
      <c r="Z1510" s="65">
        <v>0</v>
      </c>
      <c r="AA1510" s="51">
        <v>550</v>
      </c>
      <c r="AB1510" s="102">
        <v>0</v>
      </c>
      <c r="AC1510" s="81">
        <f t="shared" si="72"/>
        <v>381.45751508052712</v>
      </c>
      <c r="AD1510" s="82">
        <f t="shared" si="73"/>
        <v>29.271428571428576</v>
      </c>
      <c r="AE1510" s="218">
        <v>6.9836626706466912E-2</v>
      </c>
      <c r="AF1510">
        <v>3</v>
      </c>
      <c r="AH1510" t="str">
        <f t="shared" si="74"/>
        <v>Dumraon</v>
      </c>
      <c r="AJ1510" s="72">
        <v>0</v>
      </c>
      <c r="AK1510" s="72"/>
      <c r="AL1510" s="72"/>
      <c r="AM1510" s="72"/>
    </row>
    <row r="1511" spans="1:39" x14ac:dyDescent="0.25">
      <c r="A1511" s="37" t="s">
        <v>62</v>
      </c>
      <c r="B1511" s="66" t="s">
        <v>1615</v>
      </c>
      <c r="C1511" s="47">
        <v>1014</v>
      </c>
      <c r="D1511" s="47" t="s">
        <v>376</v>
      </c>
      <c r="E1511" s="43">
        <v>10140137</v>
      </c>
      <c r="F1511" s="46" t="s">
        <v>477</v>
      </c>
      <c r="G1511" s="39" t="s">
        <v>93</v>
      </c>
      <c r="H1511" s="48" t="s">
        <v>94</v>
      </c>
      <c r="I1511" s="52">
        <v>515.40000000000009</v>
      </c>
      <c r="J1511" s="49">
        <v>20448.98</v>
      </c>
      <c r="K1511" s="65">
        <v>549.5</v>
      </c>
      <c r="L1511" s="65">
        <v>22398.6823612148</v>
      </c>
      <c r="M1511" s="65">
        <v>0</v>
      </c>
      <c r="N1511" s="65">
        <v>0</v>
      </c>
      <c r="O1511" s="65">
        <v>549.5</v>
      </c>
      <c r="P1511" s="65">
        <v>22398.6823612148</v>
      </c>
      <c r="Q1511" s="50">
        <v>20448.98</v>
      </c>
      <c r="R1511" s="65">
        <v>0</v>
      </c>
      <c r="S1511" s="65">
        <v>0</v>
      </c>
      <c r="T1511" s="65">
        <v>1949.7023612148005</v>
      </c>
      <c r="U1511" s="65">
        <v>0</v>
      </c>
      <c r="V1511" s="65">
        <v>0</v>
      </c>
      <c r="W1511" s="65">
        <v>0</v>
      </c>
      <c r="X1511" s="65">
        <v>20449</v>
      </c>
      <c r="Y1511" s="65">
        <v>0</v>
      </c>
      <c r="Z1511" s="65">
        <v>0</v>
      </c>
      <c r="AA1511" s="51">
        <v>0</v>
      </c>
      <c r="AB1511" s="102">
        <v>0</v>
      </c>
      <c r="AC1511" s="81">
        <f t="shared" si="72"/>
        <v>146.48357423360483</v>
      </c>
      <c r="AD1511" s="82">
        <f t="shared" si="73"/>
        <v>73.628571428571448</v>
      </c>
      <c r="AE1511" s="218">
        <v>-9.5344724343942852E-2</v>
      </c>
      <c r="AF1511">
        <v>4</v>
      </c>
      <c r="AH1511" t="str">
        <f t="shared" si="74"/>
        <v>Dumraon</v>
      </c>
      <c r="AJ1511" s="72">
        <v>0</v>
      </c>
      <c r="AK1511" s="72"/>
      <c r="AL1511" s="72"/>
      <c r="AM1511" s="72"/>
    </row>
    <row r="1512" spans="1:39" x14ac:dyDescent="0.25">
      <c r="A1512" s="37" t="s">
        <v>62</v>
      </c>
      <c r="B1512" s="66" t="s">
        <v>1615</v>
      </c>
      <c r="C1512" s="47">
        <v>1014</v>
      </c>
      <c r="D1512" s="47" t="s">
        <v>376</v>
      </c>
      <c r="E1512" s="41">
        <v>10140139</v>
      </c>
      <c r="F1512" s="46" t="s">
        <v>494</v>
      </c>
      <c r="G1512" s="39" t="s">
        <v>93</v>
      </c>
      <c r="H1512" s="48" t="s">
        <v>94</v>
      </c>
      <c r="I1512" s="52">
        <v>105.9</v>
      </c>
      <c r="J1512" s="49">
        <v>3641.06</v>
      </c>
      <c r="K1512" s="65">
        <v>95</v>
      </c>
      <c r="L1512" s="65">
        <v>3937.6665900000003</v>
      </c>
      <c r="M1512" s="65">
        <v>5.2000000000000011</v>
      </c>
      <c r="N1512" s="65">
        <v>215.53543440000001</v>
      </c>
      <c r="O1512" s="65">
        <v>100.2</v>
      </c>
      <c r="P1512" s="65">
        <v>4153.2020244000005</v>
      </c>
      <c r="Q1512" s="50">
        <v>3641.06</v>
      </c>
      <c r="R1512" s="65">
        <v>0</v>
      </c>
      <c r="S1512" s="65">
        <v>215.53543440000001</v>
      </c>
      <c r="T1512" s="65">
        <v>512.14202440000054</v>
      </c>
      <c r="U1512" s="65">
        <v>0</v>
      </c>
      <c r="V1512" s="65">
        <v>0</v>
      </c>
      <c r="W1512" s="65">
        <v>0</v>
      </c>
      <c r="X1512" s="65">
        <v>3426</v>
      </c>
      <c r="Y1512" s="65">
        <v>0</v>
      </c>
      <c r="Z1512" s="65">
        <v>0</v>
      </c>
      <c r="AA1512" s="51">
        <v>0</v>
      </c>
      <c r="AB1512" s="102">
        <v>0</v>
      </c>
      <c r="AC1512" s="81">
        <f t="shared" si="72"/>
        <v>408.52761964117082</v>
      </c>
      <c r="AD1512" s="82">
        <f t="shared" si="73"/>
        <v>15.12857142857143</v>
      </c>
      <c r="AE1512" s="218">
        <v>-0.14065739768089527</v>
      </c>
      <c r="AF1512">
        <v>2</v>
      </c>
      <c r="AH1512" t="str">
        <f t="shared" si="74"/>
        <v>Dumraon</v>
      </c>
      <c r="AJ1512" s="72">
        <v>0</v>
      </c>
      <c r="AK1512" s="72"/>
      <c r="AL1512" s="72"/>
      <c r="AM1512" s="72"/>
    </row>
    <row r="1513" spans="1:39" x14ac:dyDescent="0.25">
      <c r="A1513" s="37" t="s">
        <v>62</v>
      </c>
      <c r="B1513" s="66" t="s">
        <v>1615</v>
      </c>
      <c r="C1513" s="47">
        <v>1014</v>
      </c>
      <c r="D1513" s="47" t="s">
        <v>376</v>
      </c>
      <c r="E1513" s="41">
        <v>10140141</v>
      </c>
      <c r="F1513" s="46" t="s">
        <v>669</v>
      </c>
      <c r="G1513" s="39" t="s">
        <v>635</v>
      </c>
      <c r="H1513" s="48" t="s">
        <v>99</v>
      </c>
      <c r="I1513" s="52">
        <v>447.7</v>
      </c>
      <c r="J1513" s="49">
        <v>19824.240000000002</v>
      </c>
      <c r="K1513" s="65">
        <v>0</v>
      </c>
      <c r="L1513" s="65">
        <v>0</v>
      </c>
      <c r="M1513" s="65">
        <v>0</v>
      </c>
      <c r="N1513" s="65">
        <v>0</v>
      </c>
      <c r="O1513" s="65">
        <v>0</v>
      </c>
      <c r="P1513" s="65">
        <v>0</v>
      </c>
      <c r="Q1513" s="50">
        <v>19824.240000000002</v>
      </c>
      <c r="R1513" s="65">
        <v>0</v>
      </c>
      <c r="S1513" s="65">
        <v>0</v>
      </c>
      <c r="T1513" s="65">
        <v>0</v>
      </c>
      <c r="U1513" s="65">
        <v>0</v>
      </c>
      <c r="V1513" s="65">
        <v>0</v>
      </c>
      <c r="W1513" s="65">
        <v>0</v>
      </c>
      <c r="X1513" s="65">
        <v>0</v>
      </c>
      <c r="Y1513" s="65">
        <v>0</v>
      </c>
      <c r="Z1513" s="65">
        <v>19824.240000000002</v>
      </c>
      <c r="AA1513" s="51">
        <v>0</v>
      </c>
      <c r="AB1513" s="102">
        <v>0</v>
      </c>
      <c r="AC1513" s="81">
        <f t="shared" si="72"/>
        <v>223.43782675899047</v>
      </c>
      <c r="AD1513" s="82">
        <f t="shared" si="73"/>
        <v>63.957142857142856</v>
      </c>
      <c r="AE1513" s="218">
        <v>0</v>
      </c>
      <c r="AF1513">
        <v>0</v>
      </c>
      <c r="AH1513" t="str">
        <f t="shared" si="74"/>
        <v>Dumraon</v>
      </c>
      <c r="AJ1513" s="72">
        <v>0</v>
      </c>
      <c r="AK1513" s="72"/>
      <c r="AL1513" s="72"/>
      <c r="AM1513" s="72"/>
    </row>
    <row r="1514" spans="1:39" x14ac:dyDescent="0.25">
      <c r="A1514" s="37" t="s">
        <v>62</v>
      </c>
      <c r="B1514" s="66" t="s">
        <v>1615</v>
      </c>
      <c r="C1514" s="47">
        <v>1014</v>
      </c>
      <c r="D1514" s="47" t="s">
        <v>376</v>
      </c>
      <c r="E1514" s="41">
        <v>10140147</v>
      </c>
      <c r="F1514" s="46" t="s">
        <v>1328</v>
      </c>
      <c r="G1514" s="39" t="s">
        <v>635</v>
      </c>
      <c r="H1514" s="48" t="s">
        <v>99</v>
      </c>
      <c r="I1514" s="52">
        <v>259.89999999999998</v>
      </c>
      <c r="J1514" s="49">
        <v>9083.5499999999993</v>
      </c>
      <c r="K1514" s="65">
        <v>0</v>
      </c>
      <c r="L1514" s="65">
        <v>0</v>
      </c>
      <c r="M1514" s="65">
        <v>0</v>
      </c>
      <c r="N1514" s="65">
        <v>0</v>
      </c>
      <c r="O1514" s="65">
        <v>0</v>
      </c>
      <c r="P1514" s="65">
        <v>0</v>
      </c>
      <c r="Q1514" s="50">
        <v>9083.5499999999993</v>
      </c>
      <c r="R1514" s="65">
        <v>0</v>
      </c>
      <c r="S1514" s="65">
        <v>0</v>
      </c>
      <c r="T1514" s="65">
        <v>0</v>
      </c>
      <c r="U1514" s="65">
        <v>0</v>
      </c>
      <c r="V1514" s="65">
        <v>0</v>
      </c>
      <c r="W1514" s="65">
        <v>0</v>
      </c>
      <c r="X1514" s="65">
        <v>0</v>
      </c>
      <c r="Y1514" s="65">
        <v>0</v>
      </c>
      <c r="Z1514" s="65">
        <v>9083.5499999999993</v>
      </c>
      <c r="AA1514" s="51">
        <v>0</v>
      </c>
      <c r="AB1514" s="102">
        <v>0</v>
      </c>
      <c r="AC1514" s="81">
        <f t="shared" si="72"/>
        <v>307.63142400923431</v>
      </c>
      <c r="AD1514" s="82">
        <f t="shared" si="73"/>
        <v>37.128571428571426</v>
      </c>
      <c r="AE1514" s="218">
        <v>0</v>
      </c>
      <c r="AF1514">
        <v>0</v>
      </c>
      <c r="AH1514" t="str">
        <f t="shared" si="74"/>
        <v>Dumraon</v>
      </c>
      <c r="AJ1514" s="72">
        <v>0</v>
      </c>
      <c r="AK1514" s="72"/>
      <c r="AL1514" s="72"/>
      <c r="AM1514" s="72"/>
    </row>
    <row r="1515" spans="1:39" x14ac:dyDescent="0.25">
      <c r="A1515" s="37" t="s">
        <v>62</v>
      </c>
      <c r="B1515" s="66" t="s">
        <v>1615</v>
      </c>
      <c r="C1515" s="47">
        <v>1014</v>
      </c>
      <c r="D1515" s="47" t="s">
        <v>376</v>
      </c>
      <c r="E1515" s="41">
        <v>10140152</v>
      </c>
      <c r="F1515" s="46" t="s">
        <v>513</v>
      </c>
      <c r="G1515" s="39" t="s">
        <v>93</v>
      </c>
      <c r="H1515" s="48" t="s">
        <v>94</v>
      </c>
      <c r="I1515" s="52">
        <v>45.400000000000006</v>
      </c>
      <c r="J1515" s="49">
        <v>1672.6399999999999</v>
      </c>
      <c r="K1515" s="65">
        <v>45</v>
      </c>
      <c r="L1515" s="65">
        <v>1663.2475199999999</v>
      </c>
      <c r="M1515" s="65">
        <v>0</v>
      </c>
      <c r="N1515" s="65">
        <v>0</v>
      </c>
      <c r="O1515" s="65">
        <v>45</v>
      </c>
      <c r="P1515" s="65">
        <v>1663.2475199999999</v>
      </c>
      <c r="Q1515" s="50">
        <v>1663.2475199999999</v>
      </c>
      <c r="R1515" s="65">
        <v>0</v>
      </c>
      <c r="S1515" s="65">
        <v>0</v>
      </c>
      <c r="T1515" s="65">
        <v>0</v>
      </c>
      <c r="U1515" s="65">
        <v>0</v>
      </c>
      <c r="V1515" s="65">
        <v>0</v>
      </c>
      <c r="W1515" s="65">
        <v>0</v>
      </c>
      <c r="X1515" s="65">
        <v>1663</v>
      </c>
      <c r="Y1515" s="65">
        <v>0</v>
      </c>
      <c r="Z1515" s="65">
        <v>0</v>
      </c>
      <c r="AA1515" s="51">
        <v>10</v>
      </c>
      <c r="AB1515" s="102">
        <v>0</v>
      </c>
      <c r="AC1515" s="81">
        <f t="shared" si="72"/>
        <v>482.33927048458145</v>
      </c>
      <c r="AD1515" s="82">
        <f t="shared" si="73"/>
        <v>6.4857142857142867</v>
      </c>
      <c r="AE1515" s="218">
        <v>5.6153625406542822E-3</v>
      </c>
      <c r="AF1515">
        <v>1</v>
      </c>
      <c r="AH1515" t="str">
        <f t="shared" si="74"/>
        <v>Dumraon</v>
      </c>
      <c r="AJ1515" s="72">
        <v>0</v>
      </c>
      <c r="AK1515" s="72"/>
      <c r="AL1515" s="72"/>
      <c r="AM1515" s="72"/>
    </row>
    <row r="1516" spans="1:39" x14ac:dyDescent="0.25">
      <c r="A1516" s="37" t="s">
        <v>62</v>
      </c>
      <c r="B1516" s="66" t="s">
        <v>1615</v>
      </c>
      <c r="C1516" s="47">
        <v>1014</v>
      </c>
      <c r="D1516" s="47" t="s">
        <v>376</v>
      </c>
      <c r="E1516" s="41">
        <v>10140153</v>
      </c>
      <c r="F1516" s="46" t="s">
        <v>523</v>
      </c>
      <c r="G1516" s="39" t="s">
        <v>93</v>
      </c>
      <c r="H1516" s="48" t="s">
        <v>94</v>
      </c>
      <c r="I1516" s="52">
        <v>276.3</v>
      </c>
      <c r="J1516" s="49">
        <v>9325.3000000000011</v>
      </c>
      <c r="K1516" s="65">
        <v>295.25</v>
      </c>
      <c r="L1516" s="65">
        <v>11882.243126695526</v>
      </c>
      <c r="M1516" s="65">
        <v>0</v>
      </c>
      <c r="N1516" s="65">
        <v>0</v>
      </c>
      <c r="O1516" s="65">
        <v>295.25</v>
      </c>
      <c r="P1516" s="65">
        <v>11882.243126695526</v>
      </c>
      <c r="Q1516" s="50">
        <v>9325.3000000000011</v>
      </c>
      <c r="R1516" s="65">
        <v>0</v>
      </c>
      <c r="S1516" s="65">
        <v>0</v>
      </c>
      <c r="T1516" s="65">
        <v>2556.9431266955253</v>
      </c>
      <c r="U1516" s="65">
        <v>0</v>
      </c>
      <c r="V1516" s="65">
        <v>0</v>
      </c>
      <c r="W1516" s="65">
        <v>0</v>
      </c>
      <c r="X1516" s="65">
        <v>9325</v>
      </c>
      <c r="Y1516" s="65">
        <v>0</v>
      </c>
      <c r="Z1516" s="65">
        <v>0</v>
      </c>
      <c r="AA1516" s="51">
        <v>0</v>
      </c>
      <c r="AB1516" s="102">
        <v>0</v>
      </c>
      <c r="AC1516" s="81">
        <f t="shared" si="72"/>
        <v>286.00286717336229</v>
      </c>
      <c r="AD1516" s="82">
        <f t="shared" si="73"/>
        <v>39.471428571428575</v>
      </c>
      <c r="AE1516" s="218">
        <v>-0.27419419500665126</v>
      </c>
      <c r="AF1516">
        <v>2</v>
      </c>
      <c r="AH1516" t="str">
        <f t="shared" si="74"/>
        <v>Dumraon</v>
      </c>
      <c r="AJ1516" s="72">
        <v>0</v>
      </c>
      <c r="AK1516" s="72"/>
      <c r="AL1516" s="72"/>
      <c r="AM1516" s="72"/>
    </row>
    <row r="1517" spans="1:39" x14ac:dyDescent="0.25">
      <c r="A1517" s="37" t="s">
        <v>62</v>
      </c>
      <c r="B1517" s="66" t="s">
        <v>1615</v>
      </c>
      <c r="C1517" s="47">
        <v>1014</v>
      </c>
      <c r="D1517" s="47" t="s">
        <v>376</v>
      </c>
      <c r="E1517" s="109">
        <v>10140156</v>
      </c>
      <c r="F1517" s="46" t="s">
        <v>527</v>
      </c>
      <c r="G1517" s="110" t="s">
        <v>93</v>
      </c>
      <c r="H1517" s="48" t="s">
        <v>94</v>
      </c>
      <c r="I1517" s="111">
        <v>380.90000000000003</v>
      </c>
      <c r="J1517" s="49">
        <v>15958.13</v>
      </c>
      <c r="K1517" s="65">
        <v>289.98</v>
      </c>
      <c r="L1517" s="65">
        <v>14331.987854984316</v>
      </c>
      <c r="M1517" s="65">
        <v>105.81</v>
      </c>
      <c r="N1517" s="65">
        <v>4517.5417063867626</v>
      </c>
      <c r="O1517" s="65">
        <v>395.79</v>
      </c>
      <c r="P1517" s="65">
        <v>18849.529561371077</v>
      </c>
      <c r="Q1517" s="50">
        <v>15958.13</v>
      </c>
      <c r="R1517" s="65">
        <v>0</v>
      </c>
      <c r="S1517" s="65">
        <v>1380.8784051995194</v>
      </c>
      <c r="T1517" s="65">
        <v>2891.3995613710777</v>
      </c>
      <c r="U1517" s="65">
        <v>0</v>
      </c>
      <c r="V1517" s="65">
        <v>0</v>
      </c>
      <c r="W1517" s="65">
        <v>0</v>
      </c>
      <c r="X1517" s="65">
        <v>11440</v>
      </c>
      <c r="Y1517" s="65">
        <v>3137</v>
      </c>
      <c r="Z1517" s="65">
        <v>0</v>
      </c>
      <c r="AA1517" s="51">
        <v>0</v>
      </c>
      <c r="AB1517" s="102">
        <v>0</v>
      </c>
      <c r="AC1517" s="81">
        <f t="shared" si="72"/>
        <v>267.37932701496453</v>
      </c>
      <c r="AD1517" s="82">
        <f t="shared" si="73"/>
        <v>54.414285714285718</v>
      </c>
      <c r="AE1517" s="218">
        <v>-0.18118661530963076</v>
      </c>
      <c r="AF1517">
        <v>5</v>
      </c>
      <c r="AH1517" t="str">
        <f t="shared" si="74"/>
        <v>Dumraon</v>
      </c>
      <c r="AJ1517" s="72">
        <v>0</v>
      </c>
      <c r="AK1517" s="72"/>
      <c r="AL1517" s="72"/>
      <c r="AM1517" s="72"/>
    </row>
    <row r="1518" spans="1:39" x14ac:dyDescent="0.25">
      <c r="A1518" s="37" t="s">
        <v>62</v>
      </c>
      <c r="B1518" s="66" t="s">
        <v>1615</v>
      </c>
      <c r="C1518" s="47">
        <v>1014</v>
      </c>
      <c r="D1518" s="47" t="s">
        <v>376</v>
      </c>
      <c r="E1518" s="41">
        <v>10140157</v>
      </c>
      <c r="F1518" s="46" t="s">
        <v>1289</v>
      </c>
      <c r="G1518" s="39" t="s">
        <v>635</v>
      </c>
      <c r="H1518" s="48" t="s">
        <v>99</v>
      </c>
      <c r="I1518" s="52">
        <v>143.70000000000002</v>
      </c>
      <c r="J1518" s="49">
        <v>5566.75</v>
      </c>
      <c r="K1518" s="65">
        <v>0</v>
      </c>
      <c r="L1518" s="65">
        <v>0</v>
      </c>
      <c r="M1518" s="65">
        <v>0</v>
      </c>
      <c r="N1518" s="65">
        <v>0</v>
      </c>
      <c r="O1518" s="65">
        <v>0</v>
      </c>
      <c r="P1518" s="65">
        <v>0</v>
      </c>
      <c r="Q1518" s="50">
        <v>5566.75</v>
      </c>
      <c r="R1518" s="65">
        <v>0</v>
      </c>
      <c r="S1518" s="65">
        <v>0</v>
      </c>
      <c r="T1518" s="65">
        <v>0</v>
      </c>
      <c r="U1518" s="65">
        <v>0</v>
      </c>
      <c r="V1518" s="65">
        <v>0</v>
      </c>
      <c r="W1518" s="65">
        <v>0</v>
      </c>
      <c r="X1518" s="65">
        <v>0</v>
      </c>
      <c r="Y1518" s="65">
        <v>0</v>
      </c>
      <c r="Z1518" s="65">
        <v>5566.75</v>
      </c>
      <c r="AA1518" s="51">
        <v>0</v>
      </c>
      <c r="AB1518" s="102">
        <v>0</v>
      </c>
      <c r="AC1518" s="81">
        <f t="shared" si="72"/>
        <v>431.00668406402218</v>
      </c>
      <c r="AD1518" s="82">
        <f t="shared" si="73"/>
        <v>20.528571428571432</v>
      </c>
      <c r="AE1518" s="218">
        <v>0</v>
      </c>
      <c r="AF1518">
        <v>0</v>
      </c>
      <c r="AH1518" t="str">
        <f t="shared" si="74"/>
        <v>Dumraon</v>
      </c>
      <c r="AJ1518" s="72">
        <v>0</v>
      </c>
      <c r="AK1518" s="72"/>
      <c r="AL1518" s="72"/>
      <c r="AM1518" s="72"/>
    </row>
    <row r="1519" spans="1:39" x14ac:dyDescent="0.25">
      <c r="A1519" s="37" t="s">
        <v>62</v>
      </c>
      <c r="B1519" s="66" t="s">
        <v>1615</v>
      </c>
      <c r="C1519" s="47">
        <v>1014</v>
      </c>
      <c r="D1519" s="47" t="s">
        <v>376</v>
      </c>
      <c r="E1519" s="47">
        <v>10140166</v>
      </c>
      <c r="F1519" s="46" t="s">
        <v>600</v>
      </c>
      <c r="G1519" s="48" t="s">
        <v>93</v>
      </c>
      <c r="H1519" s="48" t="s">
        <v>94</v>
      </c>
      <c r="I1519" s="49">
        <v>386.2</v>
      </c>
      <c r="J1519" s="49">
        <v>15731.2</v>
      </c>
      <c r="K1519" s="65">
        <v>386.8</v>
      </c>
      <c r="L1519" s="65">
        <v>15726.174789600002</v>
      </c>
      <c r="M1519" s="65">
        <v>0</v>
      </c>
      <c r="N1519" s="65">
        <v>0</v>
      </c>
      <c r="O1519" s="65">
        <v>386.8</v>
      </c>
      <c r="P1519" s="65">
        <v>15726.174789600002</v>
      </c>
      <c r="Q1519" s="50">
        <v>15726.174789600002</v>
      </c>
      <c r="R1519" s="65">
        <v>0</v>
      </c>
      <c r="S1519" s="65">
        <v>0</v>
      </c>
      <c r="T1519" s="65">
        <v>0</v>
      </c>
      <c r="U1519" s="65">
        <v>0</v>
      </c>
      <c r="V1519" s="65">
        <v>0</v>
      </c>
      <c r="W1519" s="65">
        <v>0</v>
      </c>
      <c r="X1519" s="65">
        <v>15726</v>
      </c>
      <c r="Y1519" s="65">
        <v>0</v>
      </c>
      <c r="Z1519" s="65">
        <v>0</v>
      </c>
      <c r="AA1519" s="51">
        <v>5</v>
      </c>
      <c r="AB1519" s="102">
        <v>0</v>
      </c>
      <c r="AC1519" s="81">
        <f t="shared" si="72"/>
        <v>255.64218332470227</v>
      </c>
      <c r="AD1519" s="82">
        <f t="shared" si="73"/>
        <v>55.171428571428571</v>
      </c>
      <c r="AE1519" s="218">
        <v>3.1944228030914332E-4</v>
      </c>
      <c r="AF1519">
        <v>1</v>
      </c>
      <c r="AH1519" t="str">
        <f t="shared" si="74"/>
        <v>Dumraon</v>
      </c>
      <c r="AJ1519" s="72">
        <v>0</v>
      </c>
      <c r="AK1519" s="72"/>
      <c r="AL1519" s="72"/>
      <c r="AM1519" s="72"/>
    </row>
    <row r="1520" spans="1:39" x14ac:dyDescent="0.25">
      <c r="A1520" s="37" t="s">
        <v>62</v>
      </c>
      <c r="B1520" s="66" t="s">
        <v>1615</v>
      </c>
      <c r="C1520" s="47">
        <v>1014</v>
      </c>
      <c r="D1520" s="47" t="s">
        <v>376</v>
      </c>
      <c r="E1520" s="41">
        <v>10140167</v>
      </c>
      <c r="F1520" s="46" t="s">
        <v>1177</v>
      </c>
      <c r="G1520" s="39" t="s">
        <v>635</v>
      </c>
      <c r="H1520" s="48" t="s">
        <v>99</v>
      </c>
      <c r="I1520" s="52">
        <v>977.2</v>
      </c>
      <c r="J1520" s="49">
        <v>45555.400000000009</v>
      </c>
      <c r="K1520" s="65">
        <v>0</v>
      </c>
      <c r="L1520" s="65">
        <v>0</v>
      </c>
      <c r="M1520" s="65">
        <v>0</v>
      </c>
      <c r="N1520" s="65">
        <v>0</v>
      </c>
      <c r="O1520" s="65">
        <v>0</v>
      </c>
      <c r="P1520" s="65">
        <v>0</v>
      </c>
      <c r="Q1520" s="50">
        <v>45555.400000000009</v>
      </c>
      <c r="R1520" s="65">
        <v>0</v>
      </c>
      <c r="S1520" s="65">
        <v>0</v>
      </c>
      <c r="T1520" s="65">
        <v>0</v>
      </c>
      <c r="U1520" s="65">
        <v>0</v>
      </c>
      <c r="V1520" s="65">
        <v>0</v>
      </c>
      <c r="W1520" s="65">
        <v>0</v>
      </c>
      <c r="X1520" s="65">
        <v>0</v>
      </c>
      <c r="Y1520" s="65">
        <v>0</v>
      </c>
      <c r="Z1520" s="65">
        <v>45555.400000000009</v>
      </c>
      <c r="AA1520" s="51">
        <v>0</v>
      </c>
      <c r="AB1520" s="102">
        <v>0</v>
      </c>
      <c r="AC1520" s="81">
        <f t="shared" si="72"/>
        <v>0</v>
      </c>
      <c r="AD1520" s="82">
        <f t="shared" si="73"/>
        <v>0</v>
      </c>
      <c r="AE1520" s="218">
        <v>0</v>
      </c>
      <c r="AF1520">
        <v>0</v>
      </c>
      <c r="AH1520" t="str">
        <f t="shared" si="74"/>
        <v>Dumraon</v>
      </c>
      <c r="AJ1520" s="72">
        <v>0</v>
      </c>
      <c r="AK1520" s="72"/>
      <c r="AL1520" s="72"/>
      <c r="AM1520" s="72"/>
    </row>
    <row r="1521" spans="1:39" x14ac:dyDescent="0.25">
      <c r="A1521" s="37" t="s">
        <v>62</v>
      </c>
      <c r="B1521" s="66" t="s">
        <v>1615</v>
      </c>
      <c r="C1521" s="47">
        <v>1014</v>
      </c>
      <c r="D1521" s="47" t="s">
        <v>376</v>
      </c>
      <c r="E1521" s="41">
        <v>10140170</v>
      </c>
      <c r="F1521" s="46" t="s">
        <v>638</v>
      </c>
      <c r="G1521" s="39" t="s">
        <v>93</v>
      </c>
      <c r="H1521" s="48" t="s">
        <v>94</v>
      </c>
      <c r="I1521" s="52">
        <v>610.40000000000009</v>
      </c>
      <c r="J1521" s="49">
        <v>25022.550000000003</v>
      </c>
      <c r="K1521" s="65">
        <v>666.51999999999987</v>
      </c>
      <c r="L1521" s="65">
        <v>27047.480944660118</v>
      </c>
      <c r="M1521" s="65">
        <v>0</v>
      </c>
      <c r="N1521" s="65">
        <v>0</v>
      </c>
      <c r="O1521" s="65">
        <v>666.51999999999987</v>
      </c>
      <c r="P1521" s="65">
        <v>27047.480944660118</v>
      </c>
      <c r="Q1521" s="50">
        <v>25022.550000000003</v>
      </c>
      <c r="R1521" s="65">
        <v>0</v>
      </c>
      <c r="S1521" s="65">
        <v>0</v>
      </c>
      <c r="T1521" s="65">
        <v>2024.9309446601146</v>
      </c>
      <c r="U1521" s="65">
        <v>0</v>
      </c>
      <c r="V1521" s="65">
        <v>0</v>
      </c>
      <c r="W1521" s="65">
        <v>0</v>
      </c>
      <c r="X1521" s="65">
        <v>25023</v>
      </c>
      <c r="Y1521" s="65">
        <v>0</v>
      </c>
      <c r="Z1521" s="65">
        <v>0</v>
      </c>
      <c r="AA1521" s="51">
        <v>0</v>
      </c>
      <c r="AB1521" s="102">
        <v>0</v>
      </c>
      <c r="AC1521" s="81">
        <f t="shared" si="72"/>
        <v>73.460697247706321</v>
      </c>
      <c r="AD1521" s="82">
        <f t="shared" si="73"/>
        <v>87.200000000000017</v>
      </c>
      <c r="AE1521" s="218">
        <v>-8.0924244118209948E-2</v>
      </c>
      <c r="AF1521">
        <v>2</v>
      </c>
      <c r="AH1521" t="str">
        <f t="shared" si="74"/>
        <v>Dumraon</v>
      </c>
      <c r="AJ1521" s="72">
        <v>0</v>
      </c>
      <c r="AK1521" s="72"/>
      <c r="AL1521" s="72"/>
      <c r="AM1521" s="72"/>
    </row>
    <row r="1522" spans="1:39" x14ac:dyDescent="0.25">
      <c r="A1522" s="37" t="s">
        <v>62</v>
      </c>
      <c r="B1522" s="66" t="s">
        <v>1615</v>
      </c>
      <c r="C1522" s="47">
        <v>1014</v>
      </c>
      <c r="D1522" s="47" t="s">
        <v>376</v>
      </c>
      <c r="E1522" s="41">
        <v>10140173</v>
      </c>
      <c r="F1522" s="46" t="s">
        <v>652</v>
      </c>
      <c r="G1522" s="39" t="s">
        <v>93</v>
      </c>
      <c r="H1522" s="48" t="s">
        <v>94</v>
      </c>
      <c r="I1522" s="52">
        <v>660.6</v>
      </c>
      <c r="J1522" s="49">
        <v>24209.42</v>
      </c>
      <c r="K1522" s="65">
        <v>746.43999999999994</v>
      </c>
      <c r="L1522" s="65">
        <v>31175.005643362798</v>
      </c>
      <c r="M1522" s="65">
        <v>0</v>
      </c>
      <c r="N1522" s="65">
        <v>0</v>
      </c>
      <c r="O1522" s="65">
        <v>746.43999999999994</v>
      </c>
      <c r="P1522" s="65">
        <v>31175.005643362798</v>
      </c>
      <c r="Q1522" s="50">
        <v>24209.42</v>
      </c>
      <c r="R1522" s="65">
        <v>0</v>
      </c>
      <c r="S1522" s="65">
        <v>0</v>
      </c>
      <c r="T1522" s="65">
        <v>6965.5856433627996</v>
      </c>
      <c r="U1522" s="65">
        <v>0</v>
      </c>
      <c r="V1522" s="65">
        <v>0</v>
      </c>
      <c r="W1522" s="65">
        <v>0</v>
      </c>
      <c r="X1522" s="65">
        <v>24209</v>
      </c>
      <c r="Y1522" s="65">
        <v>0</v>
      </c>
      <c r="Z1522" s="65">
        <v>0</v>
      </c>
      <c r="AA1522" s="51">
        <v>0</v>
      </c>
      <c r="AB1522" s="102">
        <v>0</v>
      </c>
      <c r="AC1522" s="81">
        <f t="shared" si="72"/>
        <v>28.878327217680848</v>
      </c>
      <c r="AD1522" s="82">
        <f t="shared" si="73"/>
        <v>94.371428571428581</v>
      </c>
      <c r="AE1522" s="218">
        <v>-0.28772211987576735</v>
      </c>
      <c r="AF1522">
        <v>2</v>
      </c>
      <c r="AH1522" t="str">
        <f t="shared" si="74"/>
        <v>Dumraon</v>
      </c>
      <c r="AJ1522" s="72">
        <v>0</v>
      </c>
      <c r="AK1522" s="72"/>
      <c r="AL1522" s="72"/>
      <c r="AM1522" s="72"/>
    </row>
    <row r="1523" spans="1:39" x14ac:dyDescent="0.25">
      <c r="A1523" s="37" t="s">
        <v>62</v>
      </c>
      <c r="B1523" s="66" t="s">
        <v>1615</v>
      </c>
      <c r="C1523" s="47">
        <v>1014</v>
      </c>
      <c r="D1523" s="47" t="s">
        <v>376</v>
      </c>
      <c r="E1523" s="41">
        <v>10140174</v>
      </c>
      <c r="F1523" s="46" t="s">
        <v>653</v>
      </c>
      <c r="G1523" s="39" t="s">
        <v>93</v>
      </c>
      <c r="H1523" s="48" t="s">
        <v>94</v>
      </c>
      <c r="I1523" s="52">
        <v>17</v>
      </c>
      <c r="J1523" s="49">
        <v>659.19999999999993</v>
      </c>
      <c r="K1523" s="65">
        <v>17</v>
      </c>
      <c r="L1523" s="65">
        <v>628.33795199999997</v>
      </c>
      <c r="M1523" s="65">
        <v>0</v>
      </c>
      <c r="N1523" s="65">
        <v>0</v>
      </c>
      <c r="O1523" s="65">
        <v>17</v>
      </c>
      <c r="P1523" s="65">
        <v>628.33795199999997</v>
      </c>
      <c r="Q1523" s="50">
        <v>628.33795199999997</v>
      </c>
      <c r="R1523" s="65">
        <v>0</v>
      </c>
      <c r="S1523" s="65">
        <v>0</v>
      </c>
      <c r="T1523" s="65">
        <v>0</v>
      </c>
      <c r="U1523" s="65">
        <v>0</v>
      </c>
      <c r="V1523" s="65">
        <v>0</v>
      </c>
      <c r="W1523" s="65">
        <v>0</v>
      </c>
      <c r="X1523" s="65">
        <v>628</v>
      </c>
      <c r="Y1523" s="65">
        <v>0</v>
      </c>
      <c r="Z1523" s="65">
        <v>0</v>
      </c>
      <c r="AA1523" s="51">
        <v>31</v>
      </c>
      <c r="AB1523" s="102">
        <v>0</v>
      </c>
      <c r="AC1523" s="81">
        <f t="shared" si="72"/>
        <v>529.68658823529415</v>
      </c>
      <c r="AD1523" s="82">
        <f t="shared" si="73"/>
        <v>2.4285714285714284</v>
      </c>
      <c r="AE1523" s="218">
        <v>4.6817427184465965E-2</v>
      </c>
      <c r="AF1523">
        <v>1</v>
      </c>
      <c r="AH1523" t="str">
        <f t="shared" si="74"/>
        <v>Dumraon</v>
      </c>
      <c r="AJ1523" s="72">
        <v>0</v>
      </c>
      <c r="AK1523" s="72"/>
      <c r="AL1523" s="72"/>
      <c r="AM1523" s="72"/>
    </row>
    <row r="1524" spans="1:39" x14ac:dyDescent="0.25">
      <c r="A1524" s="37" t="s">
        <v>62</v>
      </c>
      <c r="B1524" s="66" t="s">
        <v>1615</v>
      </c>
      <c r="C1524" s="47">
        <v>1014</v>
      </c>
      <c r="D1524" s="47" t="s">
        <v>376</v>
      </c>
      <c r="E1524" s="41">
        <v>10140176</v>
      </c>
      <c r="F1524" s="46" t="s">
        <v>663</v>
      </c>
      <c r="G1524" s="39" t="s">
        <v>635</v>
      </c>
      <c r="H1524" s="48" t="s">
        <v>99</v>
      </c>
      <c r="I1524" s="52">
        <v>179.4</v>
      </c>
      <c r="J1524" s="49">
        <v>6210.3799999999992</v>
      </c>
      <c r="K1524" s="65">
        <v>0</v>
      </c>
      <c r="L1524" s="65">
        <v>0</v>
      </c>
      <c r="M1524" s="65">
        <v>0</v>
      </c>
      <c r="N1524" s="65">
        <v>0</v>
      </c>
      <c r="O1524" s="65">
        <v>0</v>
      </c>
      <c r="P1524" s="65">
        <v>0</v>
      </c>
      <c r="Q1524" s="50">
        <v>6210.3799999999992</v>
      </c>
      <c r="R1524" s="65">
        <v>0</v>
      </c>
      <c r="S1524" s="65">
        <v>0</v>
      </c>
      <c r="T1524" s="65">
        <v>0</v>
      </c>
      <c r="U1524" s="65">
        <v>0</v>
      </c>
      <c r="V1524" s="65">
        <v>0</v>
      </c>
      <c r="W1524" s="65">
        <v>0</v>
      </c>
      <c r="X1524" s="65">
        <v>0</v>
      </c>
      <c r="Y1524" s="65">
        <v>0</v>
      </c>
      <c r="Z1524" s="65">
        <v>6210.3799999999992</v>
      </c>
      <c r="AA1524" s="51">
        <v>0</v>
      </c>
      <c r="AB1524" s="102">
        <v>0</v>
      </c>
      <c r="AC1524" s="81">
        <f t="shared" si="72"/>
        <v>360.43743901895192</v>
      </c>
      <c r="AD1524" s="82">
        <f t="shared" si="73"/>
        <v>25.62857142857143</v>
      </c>
      <c r="AE1524" s="218">
        <v>0</v>
      </c>
      <c r="AF1524">
        <v>0</v>
      </c>
      <c r="AH1524" t="str">
        <f t="shared" si="74"/>
        <v>Dumraon</v>
      </c>
      <c r="AJ1524" s="72">
        <v>0</v>
      </c>
      <c r="AK1524" s="72"/>
      <c r="AL1524" s="72"/>
      <c r="AM1524" s="72"/>
    </row>
    <row r="1525" spans="1:39" x14ac:dyDescent="0.25">
      <c r="A1525" s="37" t="s">
        <v>62</v>
      </c>
      <c r="B1525" s="66" t="s">
        <v>1615</v>
      </c>
      <c r="C1525" s="47">
        <v>1014</v>
      </c>
      <c r="D1525" s="47" t="s">
        <v>376</v>
      </c>
      <c r="E1525" s="41">
        <v>10140179</v>
      </c>
      <c r="F1525" s="46" t="s">
        <v>673</v>
      </c>
      <c r="G1525" s="39" t="s">
        <v>93</v>
      </c>
      <c r="H1525" s="48" t="s">
        <v>94</v>
      </c>
      <c r="I1525" s="52">
        <v>1307.5000000000002</v>
      </c>
      <c r="J1525" s="49">
        <v>49707.89</v>
      </c>
      <c r="K1525" s="65">
        <v>1296.9599999999996</v>
      </c>
      <c r="L1525" s="65">
        <v>50206.024334137124</v>
      </c>
      <c r="M1525" s="65">
        <v>15.89</v>
      </c>
      <c r="N1525" s="65">
        <v>622.6427176200001</v>
      </c>
      <c r="O1525" s="65">
        <v>1312.8499999999997</v>
      </c>
      <c r="P1525" s="65">
        <v>50828.667051757126</v>
      </c>
      <c r="Q1525" s="50">
        <v>49707.89</v>
      </c>
      <c r="R1525" s="65">
        <v>0</v>
      </c>
      <c r="S1525" s="65">
        <v>622.6427176200001</v>
      </c>
      <c r="T1525" s="65">
        <v>1120.7770517571262</v>
      </c>
      <c r="U1525" s="65">
        <v>0</v>
      </c>
      <c r="V1525" s="65">
        <v>0</v>
      </c>
      <c r="W1525" s="65">
        <v>0</v>
      </c>
      <c r="X1525" s="65">
        <v>49085</v>
      </c>
      <c r="Y1525" s="65">
        <v>0</v>
      </c>
      <c r="Z1525" s="65">
        <v>0</v>
      </c>
      <c r="AA1525" s="51">
        <v>0</v>
      </c>
      <c r="AB1525" s="102" t="s">
        <v>68</v>
      </c>
      <c r="AC1525" s="81">
        <f t="shared" si="72"/>
        <v>0</v>
      </c>
      <c r="AD1525" s="82">
        <f t="shared" si="73"/>
        <v>0</v>
      </c>
      <c r="AE1525" s="218">
        <v>-2.254726667652009E-2</v>
      </c>
      <c r="AF1525">
        <v>37</v>
      </c>
      <c r="AH1525" t="str">
        <f t="shared" si="74"/>
        <v>Dumraon</v>
      </c>
      <c r="AJ1525" s="72">
        <v>0</v>
      </c>
      <c r="AK1525" s="72"/>
      <c r="AL1525" s="72"/>
      <c r="AM1525" s="72"/>
    </row>
    <row r="1526" spans="1:39" x14ac:dyDescent="0.25">
      <c r="A1526" s="37" t="s">
        <v>62</v>
      </c>
      <c r="B1526" s="66" t="s">
        <v>1615</v>
      </c>
      <c r="C1526" s="47">
        <v>1014</v>
      </c>
      <c r="D1526" s="47" t="s">
        <v>376</v>
      </c>
      <c r="E1526" s="41">
        <v>10140180</v>
      </c>
      <c r="F1526" s="46" t="s">
        <v>693</v>
      </c>
      <c r="G1526" s="39" t="s">
        <v>93</v>
      </c>
      <c r="H1526" s="48" t="s">
        <v>94</v>
      </c>
      <c r="I1526" s="52">
        <v>192.70000000000002</v>
      </c>
      <c r="J1526" s="49">
        <v>7209.56</v>
      </c>
      <c r="K1526" s="65">
        <v>192.6</v>
      </c>
      <c r="L1526" s="65">
        <v>7129.8097596000025</v>
      </c>
      <c r="M1526" s="65">
        <v>2.6999999999999997</v>
      </c>
      <c r="N1526" s="65">
        <v>100.46819772000002</v>
      </c>
      <c r="O1526" s="65">
        <v>195.29999999999998</v>
      </c>
      <c r="P1526" s="65">
        <v>7230.2779573200023</v>
      </c>
      <c r="Q1526" s="50">
        <v>7209.56</v>
      </c>
      <c r="R1526" s="65">
        <v>0</v>
      </c>
      <c r="S1526" s="65">
        <v>100.46819772000002</v>
      </c>
      <c r="T1526" s="65">
        <v>20.717957320001915</v>
      </c>
      <c r="U1526" s="65">
        <v>0</v>
      </c>
      <c r="V1526" s="65">
        <v>0</v>
      </c>
      <c r="W1526" s="65">
        <v>0</v>
      </c>
      <c r="X1526" s="65">
        <v>7109</v>
      </c>
      <c r="Y1526" s="65">
        <v>0</v>
      </c>
      <c r="Z1526" s="65">
        <v>0</v>
      </c>
      <c r="AA1526" s="51">
        <v>0</v>
      </c>
      <c r="AB1526" s="102" t="s">
        <v>68</v>
      </c>
      <c r="AC1526" s="81">
        <f t="shared" si="72"/>
        <v>379.59624161909699</v>
      </c>
      <c r="AD1526" s="82">
        <f t="shared" si="73"/>
        <v>27.528571428571432</v>
      </c>
      <c r="AE1526" s="218">
        <v>-2.8736784658151002E-3</v>
      </c>
      <c r="AF1526">
        <v>5</v>
      </c>
      <c r="AH1526" t="str">
        <f t="shared" si="74"/>
        <v>Dumraon</v>
      </c>
      <c r="AJ1526" s="72">
        <v>0</v>
      </c>
      <c r="AK1526" s="72"/>
      <c r="AL1526" s="72"/>
      <c r="AM1526" s="72"/>
    </row>
    <row r="1527" spans="1:39" x14ac:dyDescent="0.25">
      <c r="A1527" s="37" t="s">
        <v>62</v>
      </c>
      <c r="B1527" s="66" t="s">
        <v>1615</v>
      </c>
      <c r="C1527" s="47">
        <v>1014</v>
      </c>
      <c r="D1527" s="47" t="s">
        <v>376</v>
      </c>
      <c r="E1527" s="41">
        <v>10140185</v>
      </c>
      <c r="F1527" s="46" t="s">
        <v>1158</v>
      </c>
      <c r="G1527" s="39" t="s">
        <v>93</v>
      </c>
      <c r="H1527" s="48" t="s">
        <v>94</v>
      </c>
      <c r="I1527" s="52">
        <v>1923.4999999999998</v>
      </c>
      <c r="J1527" s="49">
        <v>65256.97</v>
      </c>
      <c r="K1527" s="65">
        <v>1920</v>
      </c>
      <c r="L1527" s="65">
        <v>65136.158208000001</v>
      </c>
      <c r="M1527" s="65">
        <v>0</v>
      </c>
      <c r="N1527" s="65">
        <v>0</v>
      </c>
      <c r="O1527" s="65">
        <v>1920</v>
      </c>
      <c r="P1527" s="65">
        <v>65136.158208000001</v>
      </c>
      <c r="Q1527" s="50">
        <v>65136.158208000001</v>
      </c>
      <c r="R1527" s="65">
        <v>0</v>
      </c>
      <c r="S1527" s="65">
        <v>0</v>
      </c>
      <c r="T1527" s="65">
        <v>0</v>
      </c>
      <c r="U1527" s="65">
        <v>6400</v>
      </c>
      <c r="V1527" s="65">
        <v>0</v>
      </c>
      <c r="W1527" s="65">
        <v>0</v>
      </c>
      <c r="X1527" s="65">
        <v>58736</v>
      </c>
      <c r="Y1527" s="65">
        <v>0</v>
      </c>
      <c r="Z1527" s="65">
        <v>0</v>
      </c>
      <c r="AA1527" s="51">
        <v>121</v>
      </c>
      <c r="AB1527" s="102" t="s">
        <v>68</v>
      </c>
      <c r="AC1527" s="81">
        <f t="shared" si="72"/>
        <v>0</v>
      </c>
      <c r="AD1527" s="82">
        <f t="shared" si="73"/>
        <v>0</v>
      </c>
      <c r="AE1527" s="218">
        <v>1.8513239581917521E-3</v>
      </c>
      <c r="AF1527">
        <v>1</v>
      </c>
      <c r="AH1527" t="str">
        <f t="shared" si="74"/>
        <v>Dumraon</v>
      </c>
      <c r="AJ1527" s="72">
        <v>0</v>
      </c>
      <c r="AK1527" s="72"/>
      <c r="AL1527" s="72"/>
      <c r="AM1527" s="72"/>
    </row>
    <row r="1528" spans="1:39" x14ac:dyDescent="0.25">
      <c r="A1528" s="37" t="s">
        <v>62</v>
      </c>
      <c r="B1528" s="66" t="s">
        <v>1615</v>
      </c>
      <c r="C1528" s="47">
        <v>1014</v>
      </c>
      <c r="D1528" s="47" t="s">
        <v>376</v>
      </c>
      <c r="E1528" s="41">
        <v>10140194</v>
      </c>
      <c r="F1528" s="46" t="s">
        <v>1316</v>
      </c>
      <c r="G1528" s="39" t="s">
        <v>93</v>
      </c>
      <c r="H1528" s="48" t="s">
        <v>94</v>
      </c>
      <c r="I1528" s="52">
        <v>582.79999999999995</v>
      </c>
      <c r="J1528" s="49">
        <v>21718.719999999998</v>
      </c>
      <c r="K1528" s="65">
        <v>583</v>
      </c>
      <c r="L1528" s="65">
        <v>21702.215343600004</v>
      </c>
      <c r="M1528" s="65">
        <v>0</v>
      </c>
      <c r="N1528" s="65">
        <v>0</v>
      </c>
      <c r="O1528" s="65">
        <v>583</v>
      </c>
      <c r="P1528" s="65">
        <v>21702.215343600004</v>
      </c>
      <c r="Q1528" s="50">
        <v>21702.215343600004</v>
      </c>
      <c r="R1528" s="65">
        <v>0</v>
      </c>
      <c r="S1528" s="65">
        <v>0</v>
      </c>
      <c r="T1528" s="65">
        <v>0</v>
      </c>
      <c r="U1528" s="65">
        <v>0</v>
      </c>
      <c r="V1528" s="65">
        <v>0</v>
      </c>
      <c r="W1528" s="65">
        <v>0</v>
      </c>
      <c r="X1528" s="65">
        <v>21702</v>
      </c>
      <c r="Y1528" s="65">
        <v>0</v>
      </c>
      <c r="Z1528" s="65">
        <v>0</v>
      </c>
      <c r="AA1528" s="51">
        <v>17</v>
      </c>
      <c r="AB1528" s="102" t="s">
        <v>68</v>
      </c>
      <c r="AC1528" s="81">
        <f t="shared" si="72"/>
        <v>87.351886890871683</v>
      </c>
      <c r="AD1528" s="82">
        <f t="shared" si="73"/>
        <v>83.257142857142853</v>
      </c>
      <c r="AE1528" s="218">
        <v>7.5992767529546449E-4</v>
      </c>
      <c r="AF1528">
        <v>1</v>
      </c>
      <c r="AH1528" t="str">
        <f t="shared" si="74"/>
        <v>Dumraon</v>
      </c>
      <c r="AJ1528" s="72">
        <v>0</v>
      </c>
      <c r="AK1528" s="72"/>
      <c r="AL1528" s="72"/>
      <c r="AM1528" s="72"/>
    </row>
    <row r="1529" spans="1:39" x14ac:dyDescent="0.25">
      <c r="A1529" s="37" t="s">
        <v>62</v>
      </c>
      <c r="B1529" s="66" t="s">
        <v>1615</v>
      </c>
      <c r="C1529" s="47">
        <v>1014</v>
      </c>
      <c r="D1529" s="47" t="s">
        <v>376</v>
      </c>
      <c r="E1529" s="41">
        <v>10140196</v>
      </c>
      <c r="F1529" s="46" t="s">
        <v>1308</v>
      </c>
      <c r="G1529" s="39" t="s">
        <v>635</v>
      </c>
      <c r="H1529" s="48" t="s">
        <v>99</v>
      </c>
      <c r="I1529" s="52">
        <v>78.599999999999994</v>
      </c>
      <c r="J1529" s="49">
        <v>2986.26</v>
      </c>
      <c r="K1529" s="65">
        <v>0</v>
      </c>
      <c r="L1529" s="65">
        <v>0</v>
      </c>
      <c r="M1529" s="65">
        <v>0</v>
      </c>
      <c r="N1529" s="65">
        <v>0</v>
      </c>
      <c r="O1529" s="65">
        <v>0</v>
      </c>
      <c r="P1529" s="65">
        <v>0</v>
      </c>
      <c r="Q1529" s="50">
        <v>2986.26</v>
      </c>
      <c r="R1529" s="65">
        <v>0</v>
      </c>
      <c r="S1529" s="65">
        <v>0</v>
      </c>
      <c r="T1529" s="65">
        <v>0</v>
      </c>
      <c r="U1529" s="65">
        <v>0</v>
      </c>
      <c r="V1529" s="65">
        <v>0</v>
      </c>
      <c r="W1529" s="65">
        <v>0</v>
      </c>
      <c r="X1529" s="65">
        <v>0</v>
      </c>
      <c r="Y1529" s="65">
        <v>0</v>
      </c>
      <c r="Z1529" s="65">
        <v>2986.26</v>
      </c>
      <c r="AA1529" s="51">
        <v>0</v>
      </c>
      <c r="AB1529" s="102">
        <v>0</v>
      </c>
      <c r="AC1529" s="81">
        <f t="shared" si="72"/>
        <v>472.17861679389324</v>
      </c>
      <c r="AD1529" s="82">
        <f t="shared" si="73"/>
        <v>11.228571428571428</v>
      </c>
      <c r="AE1529" s="218">
        <v>0</v>
      </c>
      <c r="AF1529">
        <v>0</v>
      </c>
      <c r="AH1529" t="str">
        <f t="shared" si="74"/>
        <v>Dumraon</v>
      </c>
      <c r="AJ1529" s="72">
        <v>0</v>
      </c>
      <c r="AK1529" s="72"/>
      <c r="AL1529" s="72"/>
      <c r="AM1529" s="72"/>
    </row>
    <row r="1530" spans="1:39" x14ac:dyDescent="0.25">
      <c r="A1530" s="37" t="s">
        <v>62</v>
      </c>
      <c r="B1530" s="66" t="s">
        <v>1615</v>
      </c>
      <c r="C1530" s="47">
        <v>1014</v>
      </c>
      <c r="D1530" s="47" t="s">
        <v>376</v>
      </c>
      <c r="E1530" s="41">
        <v>10140197</v>
      </c>
      <c r="F1530" s="46" t="s">
        <v>1317</v>
      </c>
      <c r="G1530" s="39" t="s">
        <v>93</v>
      </c>
      <c r="H1530" s="48" t="s">
        <v>94</v>
      </c>
      <c r="I1530" s="52">
        <v>282.40000000000003</v>
      </c>
      <c r="J1530" s="49">
        <v>10919.63</v>
      </c>
      <c r="K1530" s="65">
        <v>274.98</v>
      </c>
      <c r="L1530" s="65">
        <v>10903.255832304001</v>
      </c>
      <c r="M1530" s="65">
        <v>0</v>
      </c>
      <c r="N1530" s="65">
        <v>0</v>
      </c>
      <c r="O1530" s="65">
        <v>274.98</v>
      </c>
      <c r="P1530" s="65">
        <v>10903.255832304001</v>
      </c>
      <c r="Q1530" s="50">
        <v>10903.255832304001</v>
      </c>
      <c r="R1530" s="65">
        <v>0</v>
      </c>
      <c r="S1530" s="65">
        <v>0</v>
      </c>
      <c r="T1530" s="65">
        <v>0</v>
      </c>
      <c r="U1530" s="65">
        <v>0</v>
      </c>
      <c r="V1530" s="65">
        <v>0</v>
      </c>
      <c r="W1530" s="65">
        <v>0</v>
      </c>
      <c r="X1530" s="65">
        <v>10903</v>
      </c>
      <c r="Y1530" s="65">
        <v>0</v>
      </c>
      <c r="Z1530" s="65">
        <v>0</v>
      </c>
      <c r="AA1530" s="51">
        <v>17</v>
      </c>
      <c r="AB1530" s="102">
        <v>0</v>
      </c>
      <c r="AC1530" s="81">
        <f t="shared" si="72"/>
        <v>322.94883059490076</v>
      </c>
      <c r="AD1530" s="82">
        <f t="shared" si="73"/>
        <v>40.342857142857149</v>
      </c>
      <c r="AE1530" s="218">
        <v>1.4995167140276768E-3</v>
      </c>
      <c r="AF1530">
        <v>1</v>
      </c>
      <c r="AH1530" t="str">
        <f t="shared" si="74"/>
        <v>Dumraon</v>
      </c>
      <c r="AJ1530" s="72">
        <v>0</v>
      </c>
      <c r="AK1530" s="72"/>
      <c r="AL1530" s="72"/>
      <c r="AM1530" s="72"/>
    </row>
    <row r="1531" spans="1:39" x14ac:dyDescent="0.25">
      <c r="A1531" s="37" t="s">
        <v>62</v>
      </c>
      <c r="B1531" s="66" t="s">
        <v>1615</v>
      </c>
      <c r="C1531" s="47">
        <v>1014</v>
      </c>
      <c r="D1531" s="47" t="s">
        <v>376</v>
      </c>
      <c r="E1531" s="41">
        <v>10140198</v>
      </c>
      <c r="F1531" s="46" t="s">
        <v>1318</v>
      </c>
      <c r="G1531" s="39" t="s">
        <v>635</v>
      </c>
      <c r="H1531" s="48" t="s">
        <v>99</v>
      </c>
      <c r="I1531" s="52">
        <v>774.6</v>
      </c>
      <c r="J1531" s="49">
        <v>30537.180000000004</v>
      </c>
      <c r="K1531" s="65">
        <v>0</v>
      </c>
      <c r="L1531" s="65">
        <v>0</v>
      </c>
      <c r="M1531" s="65">
        <v>0</v>
      </c>
      <c r="N1531" s="65">
        <v>0</v>
      </c>
      <c r="O1531" s="65">
        <v>0</v>
      </c>
      <c r="P1531" s="65">
        <v>0</v>
      </c>
      <c r="Q1531" s="50">
        <v>30537.180000000004</v>
      </c>
      <c r="R1531" s="65">
        <v>0</v>
      </c>
      <c r="S1531" s="65">
        <v>0</v>
      </c>
      <c r="T1531" s="65">
        <v>0</v>
      </c>
      <c r="U1531" s="65">
        <v>0</v>
      </c>
      <c r="V1531" s="65">
        <v>0</v>
      </c>
      <c r="W1531" s="65">
        <v>0</v>
      </c>
      <c r="X1531" s="65">
        <v>0</v>
      </c>
      <c r="Y1531" s="65">
        <v>0</v>
      </c>
      <c r="Z1531" s="65">
        <v>30537.180000000004</v>
      </c>
      <c r="AA1531" s="51">
        <v>0</v>
      </c>
      <c r="AB1531" s="102">
        <v>0</v>
      </c>
      <c r="AC1531" s="81">
        <f t="shared" si="72"/>
        <v>0</v>
      </c>
      <c r="AD1531" s="82">
        <f t="shared" si="73"/>
        <v>0</v>
      </c>
      <c r="AE1531" s="218">
        <v>0</v>
      </c>
      <c r="AF1531">
        <v>0</v>
      </c>
      <c r="AH1531" t="str">
        <f t="shared" si="74"/>
        <v>Dumraon</v>
      </c>
      <c r="AJ1531" s="72">
        <v>0</v>
      </c>
      <c r="AK1531" s="72"/>
      <c r="AL1531" s="72"/>
      <c r="AM1531" s="72"/>
    </row>
    <row r="1532" spans="1:39" x14ac:dyDescent="0.25">
      <c r="A1532" s="37" t="s">
        <v>62</v>
      </c>
      <c r="B1532" s="66" t="s">
        <v>1615</v>
      </c>
      <c r="C1532" s="47">
        <v>1014</v>
      </c>
      <c r="D1532" s="47" t="s">
        <v>376</v>
      </c>
      <c r="E1532" s="41">
        <v>10140201</v>
      </c>
      <c r="F1532" s="46" t="s">
        <v>1351</v>
      </c>
      <c r="G1532" s="39" t="s">
        <v>635</v>
      </c>
      <c r="H1532" s="48" t="s">
        <v>99</v>
      </c>
      <c r="I1532" s="52">
        <v>327.49999999999994</v>
      </c>
      <c r="J1532" s="49">
        <v>10922.839999999998</v>
      </c>
      <c r="K1532" s="65">
        <v>0</v>
      </c>
      <c r="L1532" s="65">
        <v>0</v>
      </c>
      <c r="M1532" s="65">
        <v>0</v>
      </c>
      <c r="N1532" s="65">
        <v>0</v>
      </c>
      <c r="O1532" s="65">
        <v>0</v>
      </c>
      <c r="P1532" s="65">
        <v>0</v>
      </c>
      <c r="Q1532" s="50">
        <v>10922.839999999998</v>
      </c>
      <c r="R1532" s="65">
        <v>0</v>
      </c>
      <c r="S1532" s="65">
        <v>0</v>
      </c>
      <c r="T1532" s="65">
        <v>0</v>
      </c>
      <c r="U1532" s="65">
        <v>0</v>
      </c>
      <c r="V1532" s="65">
        <v>0</v>
      </c>
      <c r="W1532" s="65">
        <v>0</v>
      </c>
      <c r="X1532" s="65">
        <v>0</v>
      </c>
      <c r="Y1532" s="65">
        <v>0</v>
      </c>
      <c r="Z1532" s="65">
        <v>10922.839999999998</v>
      </c>
      <c r="AA1532" s="51">
        <v>0</v>
      </c>
      <c r="AB1532" s="102">
        <v>0</v>
      </c>
      <c r="AC1532" s="81">
        <f t="shared" si="72"/>
        <v>248.47376488549625</v>
      </c>
      <c r="AD1532" s="82">
        <f t="shared" si="73"/>
        <v>46.785714285714278</v>
      </c>
      <c r="AE1532" s="218">
        <v>0</v>
      </c>
      <c r="AF1532">
        <v>0</v>
      </c>
      <c r="AH1532" t="str">
        <f t="shared" si="74"/>
        <v>Dumraon</v>
      </c>
      <c r="AJ1532" s="72">
        <v>0</v>
      </c>
      <c r="AK1532" s="72"/>
      <c r="AL1532" s="72"/>
      <c r="AM1532" s="72"/>
    </row>
    <row r="1533" spans="1:39" x14ac:dyDescent="0.25">
      <c r="A1533" s="37" t="s">
        <v>62</v>
      </c>
      <c r="B1533" s="66" t="s">
        <v>1615</v>
      </c>
      <c r="C1533" s="47">
        <v>1014</v>
      </c>
      <c r="D1533" s="47" t="s">
        <v>376</v>
      </c>
      <c r="E1533" s="41">
        <v>10140203</v>
      </c>
      <c r="F1533" s="46" t="s">
        <v>1385</v>
      </c>
      <c r="G1533" s="39" t="s">
        <v>635</v>
      </c>
      <c r="H1533" s="48" t="s">
        <v>99</v>
      </c>
      <c r="I1533" s="52">
        <v>2847.9</v>
      </c>
      <c r="J1533" s="49">
        <v>103034.96</v>
      </c>
      <c r="K1533" s="65">
        <v>0</v>
      </c>
      <c r="L1533" s="65">
        <v>0</v>
      </c>
      <c r="M1533" s="65">
        <v>0</v>
      </c>
      <c r="N1533" s="65">
        <v>0</v>
      </c>
      <c r="O1533" s="65">
        <v>0</v>
      </c>
      <c r="P1533" s="65">
        <v>0</v>
      </c>
      <c r="Q1533" s="50">
        <v>103034.96</v>
      </c>
      <c r="R1533" s="65">
        <v>0</v>
      </c>
      <c r="S1533" s="65">
        <v>0</v>
      </c>
      <c r="T1533" s="65">
        <v>0</v>
      </c>
      <c r="U1533" s="65">
        <v>0</v>
      </c>
      <c r="V1533" s="65">
        <v>0</v>
      </c>
      <c r="W1533" s="65">
        <v>0</v>
      </c>
      <c r="X1533" s="65">
        <v>0</v>
      </c>
      <c r="Y1533" s="65">
        <v>0</v>
      </c>
      <c r="Z1533" s="65">
        <v>103034.96</v>
      </c>
      <c r="AA1533" s="51">
        <v>0</v>
      </c>
      <c r="AB1533" s="102">
        <v>0</v>
      </c>
      <c r="AC1533" s="81">
        <f t="shared" si="72"/>
        <v>0</v>
      </c>
      <c r="AD1533" s="82">
        <f t="shared" si="73"/>
        <v>0</v>
      </c>
      <c r="AE1533" s="218">
        <v>0</v>
      </c>
      <c r="AF1533">
        <v>0</v>
      </c>
      <c r="AH1533" t="str">
        <f t="shared" si="74"/>
        <v>Dumraon</v>
      </c>
      <c r="AJ1533" s="72">
        <v>0</v>
      </c>
      <c r="AK1533" s="72"/>
      <c r="AL1533" s="72"/>
      <c r="AM1533" s="72"/>
    </row>
    <row r="1534" spans="1:39" x14ac:dyDescent="0.25">
      <c r="A1534" s="37" t="s">
        <v>62</v>
      </c>
      <c r="B1534" s="66" t="s">
        <v>1615</v>
      </c>
      <c r="C1534" s="47">
        <v>1014</v>
      </c>
      <c r="D1534" s="47" t="s">
        <v>376</v>
      </c>
      <c r="E1534" s="41">
        <v>10140204</v>
      </c>
      <c r="F1534" s="46" t="s">
        <v>1545</v>
      </c>
      <c r="G1534" s="39" t="s">
        <v>635</v>
      </c>
      <c r="H1534" s="48" t="s">
        <v>99</v>
      </c>
      <c r="I1534" s="52">
        <v>124.10000000000001</v>
      </c>
      <c r="J1534" s="49">
        <v>4780.8499999999995</v>
      </c>
      <c r="K1534" s="65">
        <v>0</v>
      </c>
      <c r="L1534" s="65">
        <v>0</v>
      </c>
      <c r="M1534" s="65">
        <v>0</v>
      </c>
      <c r="N1534" s="65">
        <v>0</v>
      </c>
      <c r="O1534" s="65">
        <v>0</v>
      </c>
      <c r="P1534" s="65">
        <v>0</v>
      </c>
      <c r="Q1534" s="50">
        <v>4780.8499999999995</v>
      </c>
      <c r="R1534" s="65">
        <v>0</v>
      </c>
      <c r="S1534" s="65">
        <v>0</v>
      </c>
      <c r="T1534" s="65">
        <v>0</v>
      </c>
      <c r="U1534" s="65">
        <v>0</v>
      </c>
      <c r="V1534" s="65">
        <v>0</v>
      </c>
      <c r="W1534" s="65">
        <v>0</v>
      </c>
      <c r="X1534" s="65">
        <v>0</v>
      </c>
      <c r="Y1534" s="65">
        <v>0</v>
      </c>
      <c r="Z1534" s="65">
        <v>4780.8499999999995</v>
      </c>
      <c r="AA1534" s="51">
        <v>0</v>
      </c>
      <c r="AB1534" s="102">
        <v>0</v>
      </c>
      <c r="AC1534" s="81">
        <f t="shared" si="72"/>
        <v>443.72143674456078</v>
      </c>
      <c r="AD1534" s="82">
        <f t="shared" si="73"/>
        <v>17.728571428571431</v>
      </c>
      <c r="AE1534" s="218">
        <v>0</v>
      </c>
      <c r="AF1534">
        <v>0</v>
      </c>
      <c r="AH1534" t="str">
        <f t="shared" si="74"/>
        <v>Dumraon</v>
      </c>
      <c r="AJ1534" s="72">
        <v>0</v>
      </c>
      <c r="AK1534" s="72"/>
      <c r="AL1534" s="72"/>
      <c r="AM1534" s="72"/>
    </row>
    <row r="1535" spans="1:39" x14ac:dyDescent="0.25">
      <c r="A1535" s="37" t="s">
        <v>62</v>
      </c>
      <c r="B1535" s="66" t="s">
        <v>1615</v>
      </c>
      <c r="C1535" s="47">
        <v>1014</v>
      </c>
      <c r="D1535" s="47" t="s">
        <v>376</v>
      </c>
      <c r="E1535" s="41">
        <v>10140205</v>
      </c>
      <c r="F1535" s="46" t="s">
        <v>1426</v>
      </c>
      <c r="G1535" s="39" t="s">
        <v>93</v>
      </c>
      <c r="H1535" s="48" t="s">
        <v>94</v>
      </c>
      <c r="I1535" s="52">
        <v>322.3</v>
      </c>
      <c r="J1535" s="49">
        <v>14038.57</v>
      </c>
      <c r="K1535" s="65">
        <v>324.59999999999997</v>
      </c>
      <c r="L1535" s="65">
        <v>16011.6378209104</v>
      </c>
      <c r="M1535" s="65">
        <v>0</v>
      </c>
      <c r="N1535" s="65">
        <v>0</v>
      </c>
      <c r="O1535" s="65">
        <v>324.59999999999997</v>
      </c>
      <c r="P1535" s="65">
        <v>16011.6378209104</v>
      </c>
      <c r="Q1535" s="50">
        <v>14038.57</v>
      </c>
      <c r="R1535" s="65">
        <v>0</v>
      </c>
      <c r="S1535" s="65">
        <v>0</v>
      </c>
      <c r="T1535" s="65">
        <v>1973.0678209104008</v>
      </c>
      <c r="U1535" s="65">
        <v>0</v>
      </c>
      <c r="V1535" s="65">
        <v>0</v>
      </c>
      <c r="W1535" s="65">
        <v>0</v>
      </c>
      <c r="X1535" s="65">
        <v>14039</v>
      </c>
      <c r="Y1535" s="65">
        <v>0</v>
      </c>
      <c r="Z1535" s="65">
        <v>0</v>
      </c>
      <c r="AA1535" s="51">
        <v>0</v>
      </c>
      <c r="AB1535" s="102">
        <v>0</v>
      </c>
      <c r="AC1535" s="81">
        <f t="shared" si="72"/>
        <v>329.0330678870618</v>
      </c>
      <c r="AD1535" s="82">
        <f t="shared" si="73"/>
        <v>46.042857142857144</v>
      </c>
      <c r="AE1535" s="218">
        <v>-0.14054621096809725</v>
      </c>
      <c r="AF1535">
        <v>1</v>
      </c>
      <c r="AH1535" t="str">
        <f t="shared" si="74"/>
        <v>Dumraon</v>
      </c>
      <c r="AJ1535" s="72">
        <v>0</v>
      </c>
      <c r="AK1535" s="72"/>
      <c r="AL1535" s="72"/>
      <c r="AM1535" s="72"/>
    </row>
    <row r="1536" spans="1:39" x14ac:dyDescent="0.25">
      <c r="A1536" s="37" t="s">
        <v>62</v>
      </c>
      <c r="B1536" s="66" t="s">
        <v>1615</v>
      </c>
      <c r="C1536" s="47">
        <v>1014</v>
      </c>
      <c r="D1536" s="47" t="s">
        <v>376</v>
      </c>
      <c r="E1536" s="41">
        <v>10140206</v>
      </c>
      <c r="F1536" s="46" t="s">
        <v>1435</v>
      </c>
      <c r="G1536" s="39" t="s">
        <v>93</v>
      </c>
      <c r="H1536" s="48" t="s">
        <v>94</v>
      </c>
      <c r="I1536" s="52">
        <v>615.79999999999995</v>
      </c>
      <c r="J1536" s="49">
        <v>25798.819999999992</v>
      </c>
      <c r="K1536" s="65">
        <v>570.32000000000005</v>
      </c>
      <c r="L1536" s="65">
        <v>26131.751842815767</v>
      </c>
      <c r="M1536" s="65">
        <v>0</v>
      </c>
      <c r="N1536" s="65">
        <v>0</v>
      </c>
      <c r="O1536" s="65">
        <v>570.32000000000005</v>
      </c>
      <c r="P1536" s="65">
        <v>26131.751842815767</v>
      </c>
      <c r="Q1536" s="50">
        <v>25798.819999999992</v>
      </c>
      <c r="R1536" s="65">
        <v>0</v>
      </c>
      <c r="S1536" s="65">
        <v>0</v>
      </c>
      <c r="T1536" s="65">
        <v>332.93184281577487</v>
      </c>
      <c r="U1536" s="65">
        <v>0</v>
      </c>
      <c r="V1536" s="65">
        <v>0</v>
      </c>
      <c r="W1536" s="65">
        <v>0</v>
      </c>
      <c r="X1536" s="65">
        <v>25799</v>
      </c>
      <c r="Y1536" s="65">
        <v>0</v>
      </c>
      <c r="Z1536" s="65">
        <v>0</v>
      </c>
      <c r="AA1536" s="51">
        <v>0</v>
      </c>
      <c r="AB1536" s="102">
        <v>0</v>
      </c>
      <c r="AC1536" s="81">
        <f t="shared" si="72"/>
        <v>70.550849106852922</v>
      </c>
      <c r="AD1536" s="82">
        <f t="shared" si="73"/>
        <v>87.971428571428561</v>
      </c>
      <c r="AE1536" s="218">
        <v>-1.2904925218121409E-2</v>
      </c>
      <c r="AF1536">
        <v>1</v>
      </c>
      <c r="AH1536" t="str">
        <f t="shared" si="74"/>
        <v>Dumraon</v>
      </c>
      <c r="AJ1536" s="72">
        <v>0</v>
      </c>
      <c r="AK1536" s="72"/>
      <c r="AL1536" s="72"/>
      <c r="AM1536" s="72"/>
    </row>
    <row r="1537" spans="1:39" x14ac:dyDescent="0.25">
      <c r="A1537" s="37" t="s">
        <v>62</v>
      </c>
      <c r="B1537" s="66" t="s">
        <v>1615</v>
      </c>
      <c r="C1537" s="47">
        <v>1002</v>
      </c>
      <c r="D1537" s="47" t="s">
        <v>105</v>
      </c>
      <c r="E1537" s="41">
        <v>10180001</v>
      </c>
      <c r="F1537" s="46" t="s">
        <v>629</v>
      </c>
      <c r="G1537" s="39" t="s">
        <v>635</v>
      </c>
      <c r="H1537" s="48" t="s">
        <v>99</v>
      </c>
      <c r="I1537" s="52">
        <v>904.8</v>
      </c>
      <c r="J1537" s="49">
        <v>37693.859999999993</v>
      </c>
      <c r="K1537" s="65">
        <v>0</v>
      </c>
      <c r="L1537" s="65">
        <v>0</v>
      </c>
      <c r="M1537" s="65">
        <v>0</v>
      </c>
      <c r="N1537" s="65">
        <v>0</v>
      </c>
      <c r="O1537" s="65">
        <v>0</v>
      </c>
      <c r="P1537" s="65">
        <v>0</v>
      </c>
      <c r="Q1537" s="50">
        <v>37693.859999999993</v>
      </c>
      <c r="R1537" s="65">
        <v>0</v>
      </c>
      <c r="S1537" s="65">
        <v>0</v>
      </c>
      <c r="T1537" s="65">
        <v>0</v>
      </c>
      <c r="U1537" s="65">
        <v>0</v>
      </c>
      <c r="V1537" s="65">
        <v>0</v>
      </c>
      <c r="W1537" s="65">
        <v>0</v>
      </c>
      <c r="X1537" s="65">
        <v>0</v>
      </c>
      <c r="Y1537" s="65">
        <v>0</v>
      </c>
      <c r="Z1537" s="65">
        <v>37693.859999999993</v>
      </c>
      <c r="AA1537" s="51">
        <v>0</v>
      </c>
      <c r="AB1537" s="102">
        <v>0</v>
      </c>
      <c r="AC1537" s="81">
        <f t="shared" si="72"/>
        <v>0</v>
      </c>
      <c r="AD1537" s="82">
        <f t="shared" si="73"/>
        <v>0</v>
      </c>
      <c r="AE1537" s="218">
        <v>0</v>
      </c>
      <c r="AF1537">
        <v>0</v>
      </c>
      <c r="AH1537" t="str">
        <f t="shared" si="74"/>
        <v>Laldiyara</v>
      </c>
      <c r="AJ1537" s="72">
        <v>0</v>
      </c>
      <c r="AK1537" s="72"/>
      <c r="AL1537" s="72"/>
      <c r="AM1537" s="72"/>
    </row>
    <row r="1538" spans="1:39" x14ac:dyDescent="0.25">
      <c r="A1538" s="37" t="s">
        <v>62</v>
      </c>
      <c r="B1538" s="66" t="s">
        <v>1615</v>
      </c>
      <c r="C1538" s="47">
        <v>1003</v>
      </c>
      <c r="D1538" s="47" t="s">
        <v>139</v>
      </c>
      <c r="E1538" s="41">
        <v>10220001</v>
      </c>
      <c r="F1538" s="46" t="s">
        <v>402</v>
      </c>
      <c r="G1538" s="39" t="s">
        <v>285</v>
      </c>
      <c r="H1538" s="48" t="s">
        <v>94</v>
      </c>
      <c r="I1538" s="52">
        <v>797</v>
      </c>
      <c r="J1538" s="49">
        <v>24722.94</v>
      </c>
      <c r="K1538" s="65">
        <v>776.89999999999986</v>
      </c>
      <c r="L1538" s="65">
        <v>26603.327702160001</v>
      </c>
      <c r="M1538" s="65">
        <v>6.6</v>
      </c>
      <c r="N1538" s="65">
        <v>225.41026464000001</v>
      </c>
      <c r="O1538" s="65">
        <v>783.49999999999989</v>
      </c>
      <c r="P1538" s="65">
        <v>26828.737966799999</v>
      </c>
      <c r="Q1538" s="50">
        <v>24722.94</v>
      </c>
      <c r="R1538" s="65">
        <v>0</v>
      </c>
      <c r="S1538" s="65">
        <v>225.41026464000001</v>
      </c>
      <c r="T1538" s="65">
        <v>2105.7979668000007</v>
      </c>
      <c r="U1538" s="65">
        <v>0</v>
      </c>
      <c r="V1538" s="65">
        <v>0</v>
      </c>
      <c r="W1538" s="65">
        <v>0</v>
      </c>
      <c r="X1538" s="65">
        <v>24498</v>
      </c>
      <c r="Y1538" s="65">
        <v>0</v>
      </c>
      <c r="Z1538" s="65">
        <v>0</v>
      </c>
      <c r="AA1538" s="51">
        <v>0</v>
      </c>
      <c r="AB1538" s="102">
        <v>0</v>
      </c>
      <c r="AC1538" s="81">
        <f t="shared" si="72"/>
        <v>0</v>
      </c>
      <c r="AD1538" s="82">
        <f t="shared" si="73"/>
        <v>0</v>
      </c>
      <c r="AE1538" s="218">
        <v>-8.5175871753116777E-2</v>
      </c>
      <c r="AF1538">
        <v>14</v>
      </c>
      <c r="AH1538" t="str">
        <f t="shared" si="74"/>
        <v>Asarganj</v>
      </c>
      <c r="AJ1538" s="72">
        <v>0</v>
      </c>
      <c r="AK1538" s="72"/>
      <c r="AL1538" s="72"/>
      <c r="AM1538" s="72"/>
    </row>
    <row r="1539" spans="1:39" x14ac:dyDescent="0.25">
      <c r="A1539" s="37" t="s">
        <v>62</v>
      </c>
      <c r="B1539" s="66" t="s">
        <v>1615</v>
      </c>
      <c r="C1539" s="47">
        <v>1003</v>
      </c>
      <c r="D1539" s="47" t="s">
        <v>139</v>
      </c>
      <c r="E1539" s="41">
        <v>10240001</v>
      </c>
      <c r="F1539" s="46" t="s">
        <v>403</v>
      </c>
      <c r="G1539" s="39" t="s">
        <v>285</v>
      </c>
      <c r="H1539" s="48" t="s">
        <v>94</v>
      </c>
      <c r="I1539" s="52">
        <v>1255</v>
      </c>
      <c r="J1539" s="49">
        <v>43899.9</v>
      </c>
      <c r="K1539" s="65">
        <v>1237.2999999999997</v>
      </c>
      <c r="L1539" s="65">
        <v>43122.489326961309</v>
      </c>
      <c r="M1539" s="65">
        <v>16.400000000000002</v>
      </c>
      <c r="N1539" s="65">
        <v>753.21772079897005</v>
      </c>
      <c r="O1539" s="65">
        <v>1253.6999999999998</v>
      </c>
      <c r="P1539" s="65">
        <v>43875.707047760283</v>
      </c>
      <c r="Q1539" s="50">
        <v>43875.707047760283</v>
      </c>
      <c r="R1539" s="65">
        <v>0</v>
      </c>
      <c r="S1539" s="65">
        <v>753.21772079897005</v>
      </c>
      <c r="T1539" s="65">
        <v>0</v>
      </c>
      <c r="U1539" s="65">
        <v>0</v>
      </c>
      <c r="V1539" s="65">
        <v>0</v>
      </c>
      <c r="W1539" s="65">
        <v>0</v>
      </c>
      <c r="X1539" s="65">
        <v>43124</v>
      </c>
      <c r="Y1539" s="65">
        <v>0</v>
      </c>
      <c r="Z1539" s="65">
        <v>0</v>
      </c>
      <c r="AA1539" s="51">
        <v>23</v>
      </c>
      <c r="AB1539" s="102">
        <v>0</v>
      </c>
      <c r="AC1539" s="81">
        <f t="shared" ref="AC1539:AC1602" si="75">((IF(AD1539=0,0,100-AD1539))*7*(J1539/I1539))*2%</f>
        <v>0</v>
      </c>
      <c r="AD1539" s="82">
        <f t="shared" ref="AD1539:AD1602" si="76">IF((I1539/7)&gt;100,0,(I1539/7))</f>
        <v>0</v>
      </c>
      <c r="AE1539" s="218">
        <v>5.5109356148234001E-4</v>
      </c>
      <c r="AF1539">
        <v>50</v>
      </c>
      <c r="AH1539" t="str">
        <f t="shared" si="74"/>
        <v>Asarganj</v>
      </c>
      <c r="AJ1539" s="72">
        <v>0</v>
      </c>
      <c r="AK1539" s="72"/>
      <c r="AL1539" s="72"/>
      <c r="AM1539" s="72"/>
    </row>
    <row r="1540" spans="1:39" x14ac:dyDescent="0.25">
      <c r="A1540" s="37" t="s">
        <v>62</v>
      </c>
      <c r="B1540" s="66" t="s">
        <v>1615</v>
      </c>
      <c r="C1540" s="47">
        <v>1003</v>
      </c>
      <c r="D1540" s="47" t="s">
        <v>139</v>
      </c>
      <c r="E1540" s="41">
        <v>10250001</v>
      </c>
      <c r="F1540" s="46" t="s">
        <v>404</v>
      </c>
      <c r="G1540" s="39" t="s">
        <v>285</v>
      </c>
      <c r="H1540" s="48" t="s">
        <v>94</v>
      </c>
      <c r="I1540" s="52">
        <v>1025</v>
      </c>
      <c r="J1540" s="49">
        <v>46970.579999999994</v>
      </c>
      <c r="K1540" s="65">
        <v>1019.9000000000003</v>
      </c>
      <c r="L1540" s="65">
        <v>46824.738097773101</v>
      </c>
      <c r="M1540" s="65">
        <v>7.5</v>
      </c>
      <c r="N1540" s="65">
        <v>332.76723084000002</v>
      </c>
      <c r="O1540" s="65">
        <v>1027.4000000000003</v>
      </c>
      <c r="P1540" s="65">
        <v>47157.505328613101</v>
      </c>
      <c r="Q1540" s="50">
        <v>46970.579999999994</v>
      </c>
      <c r="R1540" s="65">
        <v>0</v>
      </c>
      <c r="S1540" s="65">
        <v>332.76723084000002</v>
      </c>
      <c r="T1540" s="65">
        <v>186.9253286131061</v>
      </c>
      <c r="U1540" s="65">
        <v>0</v>
      </c>
      <c r="V1540" s="65">
        <v>0</v>
      </c>
      <c r="W1540" s="65">
        <v>0</v>
      </c>
      <c r="X1540" s="65">
        <v>46638</v>
      </c>
      <c r="Y1540" s="65">
        <v>0</v>
      </c>
      <c r="Z1540" s="65">
        <v>0</v>
      </c>
      <c r="AA1540" s="51">
        <v>0</v>
      </c>
      <c r="AB1540" s="102">
        <v>0</v>
      </c>
      <c r="AC1540" s="81">
        <f t="shared" si="75"/>
        <v>0</v>
      </c>
      <c r="AD1540" s="82">
        <f t="shared" si="76"/>
        <v>0</v>
      </c>
      <c r="AE1540" s="218">
        <v>-3.9796257277024492E-3</v>
      </c>
      <c r="AF1540">
        <v>16</v>
      </c>
      <c r="AH1540" t="str">
        <f t="shared" si="74"/>
        <v>Asarganj</v>
      </c>
      <c r="AJ1540" s="72">
        <v>0</v>
      </c>
      <c r="AK1540" s="72"/>
      <c r="AL1540" s="72"/>
      <c r="AM1540" s="72"/>
    </row>
    <row r="1541" spans="1:39" x14ac:dyDescent="0.25">
      <c r="A1541" s="37" t="s">
        <v>62</v>
      </c>
      <c r="B1541" s="66" t="s">
        <v>1615</v>
      </c>
      <c r="C1541" s="47">
        <v>1003</v>
      </c>
      <c r="D1541" s="47" t="s">
        <v>139</v>
      </c>
      <c r="E1541" s="41">
        <v>10260001</v>
      </c>
      <c r="F1541" s="46" t="s">
        <v>405</v>
      </c>
      <c r="G1541" s="39" t="s">
        <v>285</v>
      </c>
      <c r="H1541" s="48" t="s">
        <v>94</v>
      </c>
      <c r="I1541" s="52">
        <v>904.35</v>
      </c>
      <c r="J1541" s="49">
        <v>33757.339999999997</v>
      </c>
      <c r="K1541" s="65">
        <v>982.3</v>
      </c>
      <c r="L1541" s="65">
        <v>42073.152646449686</v>
      </c>
      <c r="M1541" s="65">
        <v>5.0999999999999996</v>
      </c>
      <c r="N1541" s="65">
        <v>225.89403931210006</v>
      </c>
      <c r="O1541" s="65">
        <v>987.4</v>
      </c>
      <c r="P1541" s="65">
        <v>42299.046685761787</v>
      </c>
      <c r="Q1541" s="50">
        <v>33757.339999999997</v>
      </c>
      <c r="R1541" s="65">
        <v>0</v>
      </c>
      <c r="S1541" s="65">
        <v>225.89403931210006</v>
      </c>
      <c r="T1541" s="65">
        <v>8541.7066857617901</v>
      </c>
      <c r="U1541" s="65">
        <v>0</v>
      </c>
      <c r="V1541" s="65">
        <v>0</v>
      </c>
      <c r="W1541" s="65">
        <v>0</v>
      </c>
      <c r="X1541" s="65">
        <v>33531</v>
      </c>
      <c r="Y1541" s="65">
        <v>0</v>
      </c>
      <c r="Z1541" s="65">
        <v>0</v>
      </c>
      <c r="AA1541" s="51">
        <v>0</v>
      </c>
      <c r="AB1541" s="102" t="s">
        <v>66</v>
      </c>
      <c r="AC1541" s="81">
        <f t="shared" si="75"/>
        <v>0</v>
      </c>
      <c r="AD1541" s="82">
        <f t="shared" si="76"/>
        <v>0</v>
      </c>
      <c r="AE1541" s="218">
        <v>-0.25303257560464748</v>
      </c>
      <c r="AF1541">
        <v>15</v>
      </c>
      <c r="AH1541" t="str">
        <f t="shared" si="74"/>
        <v>Asarganj</v>
      </c>
      <c r="AJ1541" s="72">
        <v>0</v>
      </c>
      <c r="AK1541" s="72"/>
      <c r="AL1541" s="72"/>
      <c r="AM1541" s="72"/>
    </row>
    <row r="1542" spans="1:39" x14ac:dyDescent="0.25">
      <c r="A1542" s="37" t="s">
        <v>62</v>
      </c>
      <c r="B1542" s="66" t="s">
        <v>1615</v>
      </c>
      <c r="C1542" s="47">
        <v>1006</v>
      </c>
      <c r="D1542" s="47" t="s">
        <v>183</v>
      </c>
      <c r="E1542" s="41">
        <v>10290001</v>
      </c>
      <c r="F1542" s="46" t="s">
        <v>406</v>
      </c>
      <c r="G1542" s="39" t="s">
        <v>285</v>
      </c>
      <c r="H1542" s="48" t="s">
        <v>94</v>
      </c>
      <c r="I1542" s="52">
        <v>1856</v>
      </c>
      <c r="J1542" s="49">
        <v>66305.739999999991</v>
      </c>
      <c r="K1542" s="65">
        <v>799.6</v>
      </c>
      <c r="L1542" s="65">
        <v>28452.702274919997</v>
      </c>
      <c r="M1542" s="65">
        <v>867.49999999999989</v>
      </c>
      <c r="N1542" s="65">
        <v>31678.463183400003</v>
      </c>
      <c r="O1542" s="65">
        <v>1667.1</v>
      </c>
      <c r="P1542" s="65">
        <v>60131.16545832</v>
      </c>
      <c r="Q1542" s="50">
        <v>60131.16545832</v>
      </c>
      <c r="R1542" s="65">
        <v>0</v>
      </c>
      <c r="S1542" s="65">
        <v>244.49769036000006</v>
      </c>
      <c r="T1542" s="65">
        <v>0</v>
      </c>
      <c r="U1542" s="65">
        <v>0</v>
      </c>
      <c r="V1542" s="65">
        <v>0</v>
      </c>
      <c r="W1542" s="65">
        <v>0</v>
      </c>
      <c r="X1542" s="65">
        <v>28453</v>
      </c>
      <c r="Y1542" s="65">
        <v>31433</v>
      </c>
      <c r="Z1542" s="65">
        <v>0</v>
      </c>
      <c r="AA1542" s="51">
        <v>6175</v>
      </c>
      <c r="AB1542" s="102">
        <v>0</v>
      </c>
      <c r="AC1542" s="81">
        <f t="shared" si="75"/>
        <v>0</v>
      </c>
      <c r="AD1542" s="82">
        <f t="shared" si="76"/>
        <v>0</v>
      </c>
      <c r="AE1542" s="218">
        <v>9.3122775519585366E-2</v>
      </c>
      <c r="AF1542">
        <v>12</v>
      </c>
      <c r="AH1542" t="str">
        <f t="shared" si="74"/>
        <v>Sonvarsha</v>
      </c>
      <c r="AJ1542" s="72">
        <v>0</v>
      </c>
      <c r="AK1542" s="72"/>
      <c r="AL1542" s="72"/>
      <c r="AM1542" s="72"/>
    </row>
    <row r="1543" spans="1:39" x14ac:dyDescent="0.25">
      <c r="A1543" s="37" t="s">
        <v>62</v>
      </c>
      <c r="B1543" s="66" t="s">
        <v>1615</v>
      </c>
      <c r="C1543" s="47">
        <v>1006</v>
      </c>
      <c r="D1543" s="47" t="s">
        <v>183</v>
      </c>
      <c r="E1543" s="41">
        <v>10300001</v>
      </c>
      <c r="F1543" s="46" t="s">
        <v>1143</v>
      </c>
      <c r="G1543" s="39" t="s">
        <v>635</v>
      </c>
      <c r="H1543" s="48" t="s">
        <v>99</v>
      </c>
      <c r="I1543" s="52">
        <v>563.69999999999993</v>
      </c>
      <c r="J1543" s="49">
        <v>31326.589999999997</v>
      </c>
      <c r="K1543" s="65">
        <v>0</v>
      </c>
      <c r="L1543" s="65">
        <v>0</v>
      </c>
      <c r="M1543" s="65">
        <v>0</v>
      </c>
      <c r="N1543" s="65">
        <v>0</v>
      </c>
      <c r="O1543" s="65">
        <v>0</v>
      </c>
      <c r="P1543" s="65">
        <v>0</v>
      </c>
      <c r="Q1543" s="50">
        <v>31326.589999999997</v>
      </c>
      <c r="R1543" s="65">
        <v>0</v>
      </c>
      <c r="S1543" s="65">
        <v>0</v>
      </c>
      <c r="T1543" s="65">
        <v>0</v>
      </c>
      <c r="U1543" s="65">
        <v>0</v>
      </c>
      <c r="V1543" s="65">
        <v>0</v>
      </c>
      <c r="W1543" s="65">
        <v>0</v>
      </c>
      <c r="X1543" s="65">
        <v>0</v>
      </c>
      <c r="Y1543" s="65">
        <v>0</v>
      </c>
      <c r="Z1543" s="65">
        <v>31326.589999999997</v>
      </c>
      <c r="AA1543" s="51">
        <v>0</v>
      </c>
      <c r="AB1543" s="102">
        <v>0</v>
      </c>
      <c r="AC1543" s="81">
        <f t="shared" si="75"/>
        <v>151.49243274791559</v>
      </c>
      <c r="AD1543" s="82">
        <f t="shared" si="76"/>
        <v>80.528571428571425</v>
      </c>
      <c r="AE1543" s="218">
        <v>0</v>
      </c>
      <c r="AF1543">
        <v>0</v>
      </c>
      <c r="AH1543" t="str">
        <f t="shared" si="74"/>
        <v>Sonvarsha</v>
      </c>
      <c r="AJ1543" s="72">
        <v>0</v>
      </c>
      <c r="AK1543" s="72"/>
      <c r="AL1543" s="72"/>
      <c r="AM1543" s="72"/>
    </row>
    <row r="1544" spans="1:39" x14ac:dyDescent="0.25">
      <c r="A1544" s="37" t="s">
        <v>62</v>
      </c>
      <c r="B1544" s="66" t="s">
        <v>1615</v>
      </c>
      <c r="C1544" s="47">
        <v>1006</v>
      </c>
      <c r="D1544" s="47" t="s">
        <v>183</v>
      </c>
      <c r="E1544" s="41">
        <v>10310001</v>
      </c>
      <c r="F1544" s="46" t="s">
        <v>407</v>
      </c>
      <c r="G1544" s="39" t="s">
        <v>285</v>
      </c>
      <c r="H1544" s="48" t="s">
        <v>94</v>
      </c>
      <c r="I1544" s="52">
        <v>992.10000000000014</v>
      </c>
      <c r="J1544" s="49">
        <v>38365.409999999996</v>
      </c>
      <c r="K1544" s="65">
        <v>9</v>
      </c>
      <c r="L1544" s="65">
        <v>369.47809800000005</v>
      </c>
      <c r="M1544" s="65">
        <v>995</v>
      </c>
      <c r="N1544" s="65">
        <v>38449.925276400005</v>
      </c>
      <c r="O1544" s="65">
        <v>1004</v>
      </c>
      <c r="P1544" s="65">
        <v>38819.403374400004</v>
      </c>
      <c r="Q1544" s="50">
        <v>38365.409999999996</v>
      </c>
      <c r="R1544" s="65">
        <v>0</v>
      </c>
      <c r="S1544" s="65">
        <v>232.45861320000003</v>
      </c>
      <c r="T1544" s="65">
        <v>453.99337440000818</v>
      </c>
      <c r="U1544" s="65">
        <v>0</v>
      </c>
      <c r="V1544" s="65">
        <v>0</v>
      </c>
      <c r="W1544" s="65">
        <v>0</v>
      </c>
      <c r="X1544" s="65">
        <v>369</v>
      </c>
      <c r="Y1544" s="65">
        <v>37764</v>
      </c>
      <c r="Z1544" s="65">
        <v>0</v>
      </c>
      <c r="AA1544" s="51">
        <v>0</v>
      </c>
      <c r="AB1544" s="102" t="s">
        <v>68</v>
      </c>
      <c r="AC1544" s="81">
        <f t="shared" si="75"/>
        <v>0</v>
      </c>
      <c r="AD1544" s="82">
        <f t="shared" si="76"/>
        <v>0</v>
      </c>
      <c r="AE1544" s="218">
        <v>-1.1833403432936289E-2</v>
      </c>
      <c r="AF1544">
        <v>15</v>
      </c>
      <c r="AH1544" t="str">
        <f t="shared" si="74"/>
        <v>Sonvarsha</v>
      </c>
      <c r="AJ1544" s="72">
        <v>0</v>
      </c>
      <c r="AK1544" s="72"/>
      <c r="AL1544" s="72"/>
      <c r="AM1544" s="72"/>
    </row>
    <row r="1545" spans="1:39" x14ac:dyDescent="0.25">
      <c r="A1545" s="37" t="s">
        <v>62</v>
      </c>
      <c r="B1545" s="66" t="s">
        <v>1615</v>
      </c>
      <c r="C1545" s="47">
        <v>1006</v>
      </c>
      <c r="D1545" s="47" t="s">
        <v>183</v>
      </c>
      <c r="E1545" s="41">
        <v>10320001</v>
      </c>
      <c r="F1545" s="46" t="s">
        <v>408</v>
      </c>
      <c r="G1545" s="39" t="s">
        <v>635</v>
      </c>
      <c r="H1545" s="48" t="s">
        <v>99</v>
      </c>
      <c r="I1545" s="52">
        <v>2371.6999999999998</v>
      </c>
      <c r="J1545" s="49">
        <v>88901.459999999992</v>
      </c>
      <c r="K1545" s="65">
        <v>0</v>
      </c>
      <c r="L1545" s="65">
        <v>0</v>
      </c>
      <c r="M1545" s="65">
        <v>0</v>
      </c>
      <c r="N1545" s="65">
        <v>0</v>
      </c>
      <c r="O1545" s="65">
        <v>0</v>
      </c>
      <c r="P1545" s="65">
        <v>0</v>
      </c>
      <c r="Q1545" s="50">
        <v>88901.459999999992</v>
      </c>
      <c r="R1545" s="65">
        <v>0</v>
      </c>
      <c r="S1545" s="65">
        <v>0</v>
      </c>
      <c r="T1545" s="65">
        <v>0</v>
      </c>
      <c r="U1545" s="65">
        <v>0</v>
      </c>
      <c r="V1545" s="65">
        <v>0</v>
      </c>
      <c r="W1545" s="65">
        <v>0</v>
      </c>
      <c r="X1545" s="65">
        <v>0</v>
      </c>
      <c r="Y1545" s="65">
        <v>0</v>
      </c>
      <c r="Z1545" s="65">
        <v>88901.459999999992</v>
      </c>
      <c r="AA1545" s="51">
        <v>0</v>
      </c>
      <c r="AB1545" s="102">
        <v>0</v>
      </c>
      <c r="AC1545" s="81">
        <f t="shared" si="75"/>
        <v>0</v>
      </c>
      <c r="AD1545" s="82">
        <f t="shared" si="76"/>
        <v>0</v>
      </c>
      <c r="AE1545" s="218">
        <v>0</v>
      </c>
      <c r="AF1545">
        <v>0</v>
      </c>
      <c r="AH1545" t="str">
        <f t="shared" si="74"/>
        <v>Sonvarsha</v>
      </c>
      <c r="AJ1545" s="72">
        <v>0</v>
      </c>
      <c r="AK1545" s="72"/>
      <c r="AL1545" s="72"/>
      <c r="AM1545" s="72"/>
    </row>
    <row r="1546" spans="1:39" x14ac:dyDescent="0.25">
      <c r="A1546" s="37" t="s">
        <v>62</v>
      </c>
      <c r="B1546" s="66" t="s">
        <v>1615</v>
      </c>
      <c r="C1546" s="47">
        <v>1006</v>
      </c>
      <c r="D1546" s="47" t="s">
        <v>183</v>
      </c>
      <c r="E1546" s="41">
        <v>10340001</v>
      </c>
      <c r="F1546" s="46" t="s">
        <v>409</v>
      </c>
      <c r="G1546" s="39" t="s">
        <v>635</v>
      </c>
      <c r="H1546" s="48" t="s">
        <v>99</v>
      </c>
      <c r="I1546" s="52">
        <v>1634.1000000000001</v>
      </c>
      <c r="J1546" s="49">
        <v>60812.750000000007</v>
      </c>
      <c r="K1546" s="65">
        <v>0</v>
      </c>
      <c r="L1546" s="65">
        <v>0</v>
      </c>
      <c r="M1546" s="65">
        <v>0</v>
      </c>
      <c r="N1546" s="65">
        <v>0</v>
      </c>
      <c r="O1546" s="65">
        <v>0</v>
      </c>
      <c r="P1546" s="65">
        <v>0</v>
      </c>
      <c r="Q1546" s="50">
        <v>60812.750000000007</v>
      </c>
      <c r="R1546" s="65">
        <v>0</v>
      </c>
      <c r="S1546" s="65">
        <v>0</v>
      </c>
      <c r="T1546" s="65">
        <v>0</v>
      </c>
      <c r="U1546" s="65">
        <v>26000</v>
      </c>
      <c r="V1546" s="65">
        <v>0</v>
      </c>
      <c r="W1546" s="65">
        <v>0</v>
      </c>
      <c r="X1546" s="65">
        <v>0</v>
      </c>
      <c r="Y1546" s="65">
        <v>0</v>
      </c>
      <c r="Z1546" s="65">
        <v>34812.750000000007</v>
      </c>
      <c r="AA1546" s="51">
        <v>0</v>
      </c>
      <c r="AB1546" s="102">
        <v>0</v>
      </c>
      <c r="AC1546" s="81">
        <f t="shared" si="75"/>
        <v>0</v>
      </c>
      <c r="AD1546" s="82">
        <f t="shared" si="76"/>
        <v>0</v>
      </c>
      <c r="AE1546" s="218">
        <v>0</v>
      </c>
      <c r="AF1546">
        <v>0</v>
      </c>
      <c r="AH1546" t="str">
        <f t="shared" si="74"/>
        <v>Sonvarsha</v>
      </c>
      <c r="AJ1546" s="72">
        <v>0</v>
      </c>
      <c r="AK1546" s="72"/>
      <c r="AL1546" s="72"/>
      <c r="AM1546" s="72"/>
    </row>
    <row r="1547" spans="1:39" x14ac:dyDescent="0.25">
      <c r="A1547" s="37" t="s">
        <v>62</v>
      </c>
      <c r="B1547" s="66" t="s">
        <v>1615</v>
      </c>
      <c r="C1547" s="47">
        <v>1006</v>
      </c>
      <c r="D1547" s="47" t="s">
        <v>183</v>
      </c>
      <c r="E1547" s="41">
        <v>10350001</v>
      </c>
      <c r="F1547" s="46" t="s">
        <v>410</v>
      </c>
      <c r="G1547" s="39" t="s">
        <v>285</v>
      </c>
      <c r="H1547" s="48" t="s">
        <v>94</v>
      </c>
      <c r="I1547" s="52">
        <v>1718</v>
      </c>
      <c r="J1547" s="49">
        <v>64184.479999999996</v>
      </c>
      <c r="K1547" s="65">
        <v>1787.6000000000001</v>
      </c>
      <c r="L1547" s="65">
        <v>65439.793291418944</v>
      </c>
      <c r="M1547" s="65">
        <v>17.3</v>
      </c>
      <c r="N1547" s="65">
        <v>630.519098418</v>
      </c>
      <c r="O1547" s="65">
        <v>1804.9</v>
      </c>
      <c r="P1547" s="65">
        <v>66070.312389836938</v>
      </c>
      <c r="Q1547" s="50">
        <v>64184.479999999996</v>
      </c>
      <c r="R1547" s="65">
        <v>0</v>
      </c>
      <c r="S1547" s="65">
        <v>630.519098418</v>
      </c>
      <c r="T1547" s="65">
        <v>1885.8323898369417</v>
      </c>
      <c r="U1547" s="65">
        <v>0</v>
      </c>
      <c r="V1547" s="65">
        <v>0</v>
      </c>
      <c r="W1547" s="65">
        <v>0</v>
      </c>
      <c r="X1547" s="65">
        <v>63554</v>
      </c>
      <c r="Y1547" s="65">
        <v>0</v>
      </c>
      <c r="Z1547" s="65">
        <v>0</v>
      </c>
      <c r="AA1547" s="51">
        <v>0</v>
      </c>
      <c r="AB1547" s="102" t="s">
        <v>66</v>
      </c>
      <c r="AC1547" s="81">
        <f t="shared" si="75"/>
        <v>0</v>
      </c>
      <c r="AD1547" s="82">
        <f t="shared" si="76"/>
        <v>0</v>
      </c>
      <c r="AE1547" s="218">
        <v>-2.9381439093016597E-2</v>
      </c>
      <c r="AF1547">
        <v>18</v>
      </c>
      <c r="AH1547" t="str">
        <f t="shared" si="74"/>
        <v>Sonvarsha</v>
      </c>
      <c r="AJ1547" s="72">
        <v>0</v>
      </c>
      <c r="AK1547" s="72"/>
      <c r="AL1547" s="72"/>
      <c r="AM1547" s="72"/>
    </row>
    <row r="1548" spans="1:39" x14ac:dyDescent="0.25">
      <c r="A1548" s="37" t="s">
        <v>62</v>
      </c>
      <c r="B1548" s="66" t="s">
        <v>1615</v>
      </c>
      <c r="C1548" s="47">
        <v>1036</v>
      </c>
      <c r="D1548" s="47" t="s">
        <v>411</v>
      </c>
      <c r="E1548" s="41">
        <v>10360001</v>
      </c>
      <c r="F1548" s="46" t="s">
        <v>411</v>
      </c>
      <c r="G1548" s="39" t="s">
        <v>285</v>
      </c>
      <c r="H1548" s="48" t="s">
        <v>94</v>
      </c>
      <c r="I1548" s="52">
        <v>2462.1</v>
      </c>
      <c r="J1548" s="49">
        <v>91353.639999999985</v>
      </c>
      <c r="K1548" s="65">
        <v>2429.1999999999998</v>
      </c>
      <c r="L1548" s="65">
        <v>90206.729498952016</v>
      </c>
      <c r="M1548" s="65">
        <v>32.900000000000006</v>
      </c>
      <c r="N1548" s="65">
        <v>1203.072930972</v>
      </c>
      <c r="O1548" s="65">
        <v>2462.1</v>
      </c>
      <c r="P1548" s="65">
        <v>91409.802429924021</v>
      </c>
      <c r="Q1548" s="50">
        <v>91353.639999999985</v>
      </c>
      <c r="R1548" s="65">
        <v>0</v>
      </c>
      <c r="S1548" s="65">
        <v>1203.072930972</v>
      </c>
      <c r="T1548" s="65">
        <v>56.162429924035678</v>
      </c>
      <c r="U1548" s="65">
        <v>0</v>
      </c>
      <c r="V1548" s="65">
        <v>0</v>
      </c>
      <c r="W1548" s="65">
        <v>0</v>
      </c>
      <c r="X1548" s="65">
        <v>90151</v>
      </c>
      <c r="Y1548" s="65">
        <v>0</v>
      </c>
      <c r="Z1548" s="65">
        <v>0</v>
      </c>
      <c r="AA1548" s="51">
        <v>0</v>
      </c>
      <c r="AB1548" s="102">
        <v>0</v>
      </c>
      <c r="AC1548" s="81">
        <f t="shared" si="75"/>
        <v>0</v>
      </c>
      <c r="AD1548" s="82">
        <f t="shared" si="76"/>
        <v>0</v>
      </c>
      <c r="AE1548" s="218">
        <v>-6.1478042827889162E-4</v>
      </c>
      <c r="AF1548">
        <v>11</v>
      </c>
      <c r="AH1548" t="str">
        <f t="shared" si="74"/>
        <v>MAHADAT PUR 2</v>
      </c>
      <c r="AJ1548" s="72">
        <v>0</v>
      </c>
      <c r="AK1548" s="72"/>
      <c r="AL1548" s="72"/>
      <c r="AM1548" s="72"/>
    </row>
    <row r="1549" spans="1:39" x14ac:dyDescent="0.25">
      <c r="A1549" s="37" t="s">
        <v>62</v>
      </c>
      <c r="B1549" s="66" t="s">
        <v>1615</v>
      </c>
      <c r="C1549" s="47">
        <v>1007</v>
      </c>
      <c r="D1549" s="47" t="s">
        <v>207</v>
      </c>
      <c r="E1549" s="41">
        <v>10380001</v>
      </c>
      <c r="F1549" s="46" t="s">
        <v>412</v>
      </c>
      <c r="G1549" s="39" t="s">
        <v>285</v>
      </c>
      <c r="H1549" s="48" t="s">
        <v>94</v>
      </c>
      <c r="I1549" s="52">
        <v>1068</v>
      </c>
      <c r="J1549" s="49">
        <v>37080.18</v>
      </c>
      <c r="K1549" s="65">
        <v>1406</v>
      </c>
      <c r="L1549" s="65">
        <v>48766.376736000006</v>
      </c>
      <c r="M1549" s="65">
        <v>8</v>
      </c>
      <c r="N1549" s="65">
        <v>277.47244800000004</v>
      </c>
      <c r="O1549" s="65">
        <v>1414</v>
      </c>
      <c r="P1549" s="65">
        <v>49043.849184000006</v>
      </c>
      <c r="Q1549" s="50">
        <v>37080.18</v>
      </c>
      <c r="R1549" s="65">
        <v>0</v>
      </c>
      <c r="S1549" s="65">
        <v>277.47244800000004</v>
      </c>
      <c r="T1549" s="65">
        <v>11963.669184000006</v>
      </c>
      <c r="U1549" s="65">
        <v>0</v>
      </c>
      <c r="V1549" s="65">
        <v>4896.21</v>
      </c>
      <c r="W1549" s="65">
        <v>0</v>
      </c>
      <c r="X1549" s="65">
        <v>31906</v>
      </c>
      <c r="Y1549" s="65">
        <v>0</v>
      </c>
      <c r="Z1549" s="65">
        <v>0</v>
      </c>
      <c r="AA1549" s="51">
        <v>0</v>
      </c>
      <c r="AB1549" s="102" t="s">
        <v>68</v>
      </c>
      <c r="AC1549" s="81">
        <f t="shared" si="75"/>
        <v>0</v>
      </c>
      <c r="AD1549" s="82">
        <f t="shared" si="76"/>
        <v>0</v>
      </c>
      <c r="AE1549" s="218">
        <v>-0.32264323377071003</v>
      </c>
      <c r="AF1549">
        <v>9</v>
      </c>
      <c r="AH1549" t="str">
        <f t="shared" si="74"/>
        <v>Araria</v>
      </c>
      <c r="AJ1549" s="72">
        <v>0</v>
      </c>
      <c r="AK1549" s="72"/>
      <c r="AL1549" s="72"/>
      <c r="AM1549" s="72"/>
    </row>
    <row r="1550" spans="1:39" x14ac:dyDescent="0.25">
      <c r="A1550" s="37" t="s">
        <v>62</v>
      </c>
      <c r="B1550" s="66" t="s">
        <v>1615</v>
      </c>
      <c r="C1550" s="47">
        <v>1007</v>
      </c>
      <c r="D1550" s="47" t="s">
        <v>207</v>
      </c>
      <c r="E1550" s="41">
        <v>10390001</v>
      </c>
      <c r="F1550" s="46" t="s">
        <v>501</v>
      </c>
      <c r="G1550" s="39" t="s">
        <v>285</v>
      </c>
      <c r="H1550" s="48" t="s">
        <v>99</v>
      </c>
      <c r="I1550" s="52">
        <v>591</v>
      </c>
      <c r="J1550" s="49">
        <v>20414.25</v>
      </c>
      <c r="K1550" s="65">
        <v>654</v>
      </c>
      <c r="L1550" s="65">
        <v>22499.826624000005</v>
      </c>
      <c r="M1550" s="65">
        <v>0</v>
      </c>
      <c r="N1550" s="65">
        <v>0</v>
      </c>
      <c r="O1550" s="65">
        <v>654</v>
      </c>
      <c r="P1550" s="65">
        <v>22499.826624000005</v>
      </c>
      <c r="Q1550" s="50">
        <v>20414.25</v>
      </c>
      <c r="R1550" s="65">
        <v>0</v>
      </c>
      <c r="S1550" s="65">
        <v>55.177689600000008</v>
      </c>
      <c r="T1550" s="65">
        <v>2085.5766240000048</v>
      </c>
      <c r="U1550" s="65">
        <v>0</v>
      </c>
      <c r="V1550" s="65">
        <v>0</v>
      </c>
      <c r="W1550" s="65">
        <v>0</v>
      </c>
      <c r="X1550" s="65">
        <v>0</v>
      </c>
      <c r="Y1550" s="65">
        <v>0</v>
      </c>
      <c r="Z1550" s="65">
        <v>20359.072310399999</v>
      </c>
      <c r="AA1550" s="51">
        <v>0</v>
      </c>
      <c r="AB1550" s="102">
        <v>0</v>
      </c>
      <c r="AC1550" s="81">
        <f t="shared" si="75"/>
        <v>75.30129441624365</v>
      </c>
      <c r="AD1550" s="82">
        <f t="shared" si="76"/>
        <v>84.428571428571431</v>
      </c>
      <c r="AE1550" s="218">
        <v>0</v>
      </c>
      <c r="AF1550">
        <v>5</v>
      </c>
      <c r="AH1550" t="str">
        <f t="shared" si="74"/>
        <v>Araria</v>
      </c>
      <c r="AJ1550" s="72">
        <v>0</v>
      </c>
      <c r="AK1550" s="72"/>
      <c r="AL1550" s="72"/>
      <c r="AM1550" s="72"/>
    </row>
    <row r="1551" spans="1:39" x14ac:dyDescent="0.25">
      <c r="A1551" s="37" t="s">
        <v>62</v>
      </c>
      <c r="B1551" s="66" t="s">
        <v>1615</v>
      </c>
      <c r="C1551" s="47">
        <v>1007</v>
      </c>
      <c r="D1551" s="47" t="s">
        <v>207</v>
      </c>
      <c r="E1551" s="41">
        <v>10400001</v>
      </c>
      <c r="F1551" s="46" t="s">
        <v>413</v>
      </c>
      <c r="G1551" s="39" t="s">
        <v>285</v>
      </c>
      <c r="H1551" s="48" t="s">
        <v>94</v>
      </c>
      <c r="I1551" s="52">
        <v>1862</v>
      </c>
      <c r="J1551" s="49">
        <v>65303.45</v>
      </c>
      <c r="K1551" s="65">
        <v>3151</v>
      </c>
      <c r="L1551" s="65">
        <v>110761.88745600001</v>
      </c>
      <c r="M1551" s="65">
        <v>12</v>
      </c>
      <c r="N1551" s="65">
        <v>422.14867200000003</v>
      </c>
      <c r="O1551" s="65">
        <v>3163</v>
      </c>
      <c r="P1551" s="65">
        <v>111184.03612800001</v>
      </c>
      <c r="Q1551" s="50">
        <v>65303.45</v>
      </c>
      <c r="R1551" s="65">
        <v>0</v>
      </c>
      <c r="S1551" s="65">
        <v>422.14867200000003</v>
      </c>
      <c r="T1551" s="65">
        <v>45880.58612800001</v>
      </c>
      <c r="U1551" s="65">
        <v>0</v>
      </c>
      <c r="V1551" s="65">
        <v>11647.32</v>
      </c>
      <c r="W1551" s="65">
        <v>0</v>
      </c>
      <c r="X1551" s="65">
        <v>53234</v>
      </c>
      <c r="Y1551" s="65">
        <v>0</v>
      </c>
      <c r="Z1551" s="65">
        <v>0</v>
      </c>
      <c r="AA1551" s="51">
        <v>0</v>
      </c>
      <c r="AB1551" s="102" t="s">
        <v>68</v>
      </c>
      <c r="AC1551" s="81">
        <f t="shared" si="75"/>
        <v>0</v>
      </c>
      <c r="AD1551" s="82">
        <f t="shared" si="76"/>
        <v>0</v>
      </c>
      <c r="AE1551" s="218">
        <v>-0.70257522578056764</v>
      </c>
      <c r="AF1551">
        <v>8</v>
      </c>
      <c r="AH1551" t="str">
        <f t="shared" si="74"/>
        <v>Araria</v>
      </c>
      <c r="AJ1551" s="72">
        <v>0</v>
      </c>
      <c r="AK1551" s="72"/>
      <c r="AL1551" s="72"/>
      <c r="AM1551" s="72"/>
    </row>
    <row r="1552" spans="1:39" x14ac:dyDescent="0.25">
      <c r="A1552" s="37" t="s">
        <v>62</v>
      </c>
      <c r="B1552" s="66" t="s">
        <v>1615</v>
      </c>
      <c r="C1552" s="47">
        <v>1007</v>
      </c>
      <c r="D1552" s="47" t="s">
        <v>207</v>
      </c>
      <c r="E1552" s="41">
        <v>10410001</v>
      </c>
      <c r="F1552" s="46" t="s">
        <v>414</v>
      </c>
      <c r="G1552" s="39" t="s">
        <v>285</v>
      </c>
      <c r="H1552" s="48" t="s">
        <v>94</v>
      </c>
      <c r="I1552" s="52">
        <v>3656</v>
      </c>
      <c r="J1552" s="49">
        <v>122217.16</v>
      </c>
      <c r="K1552" s="65">
        <v>5250</v>
      </c>
      <c r="L1552" s="65">
        <v>174621.74400000001</v>
      </c>
      <c r="M1552" s="65">
        <v>566</v>
      </c>
      <c r="N1552" s="65">
        <v>18882.141696000006</v>
      </c>
      <c r="O1552" s="65">
        <v>5816</v>
      </c>
      <c r="P1552" s="65">
        <v>193503.88569600001</v>
      </c>
      <c r="Q1552" s="50">
        <v>122217.16</v>
      </c>
      <c r="R1552" s="65">
        <v>0</v>
      </c>
      <c r="S1552" s="65">
        <v>332.38656000000009</v>
      </c>
      <c r="T1552" s="65">
        <v>71286.725696000009</v>
      </c>
      <c r="U1552" s="65">
        <v>0</v>
      </c>
      <c r="V1552" s="65">
        <v>11153.05</v>
      </c>
      <c r="W1552" s="65">
        <v>0</v>
      </c>
      <c r="X1552" s="65">
        <v>92182</v>
      </c>
      <c r="Y1552" s="65">
        <v>18550</v>
      </c>
      <c r="Z1552" s="65">
        <v>0</v>
      </c>
      <c r="AA1552" s="51">
        <v>0</v>
      </c>
      <c r="AB1552" s="102" t="s">
        <v>68</v>
      </c>
      <c r="AC1552" s="81">
        <f t="shared" si="75"/>
        <v>0</v>
      </c>
      <c r="AD1552" s="82">
        <f t="shared" si="76"/>
        <v>0</v>
      </c>
      <c r="AE1552" s="218">
        <v>-0.58327918678522728</v>
      </c>
      <c r="AF1552">
        <v>9</v>
      </c>
      <c r="AH1552" t="str">
        <f t="shared" si="74"/>
        <v>Araria</v>
      </c>
      <c r="AJ1552" s="72">
        <v>0</v>
      </c>
      <c r="AK1552" s="72"/>
      <c r="AL1552" s="72"/>
      <c r="AM1552" s="72"/>
    </row>
    <row r="1553" spans="1:39" x14ac:dyDescent="0.25">
      <c r="A1553" s="37" t="s">
        <v>62</v>
      </c>
      <c r="B1553" s="66" t="s">
        <v>1615</v>
      </c>
      <c r="C1553" s="47">
        <v>1011</v>
      </c>
      <c r="D1553" s="47" t="s">
        <v>289</v>
      </c>
      <c r="E1553" s="41">
        <v>10440001</v>
      </c>
      <c r="F1553" s="46" t="s">
        <v>415</v>
      </c>
      <c r="G1553" s="39" t="s">
        <v>93</v>
      </c>
      <c r="H1553" s="48" t="s">
        <v>94</v>
      </c>
      <c r="I1553" s="52">
        <v>145.09999999999997</v>
      </c>
      <c r="J1553" s="49">
        <v>4902.08</v>
      </c>
      <c r="K1553" s="65">
        <v>239.6</v>
      </c>
      <c r="L1553" s="65">
        <v>8364.8396339640003</v>
      </c>
      <c r="M1553" s="65">
        <v>0</v>
      </c>
      <c r="N1553" s="65">
        <v>0</v>
      </c>
      <c r="O1553" s="65">
        <v>239.6</v>
      </c>
      <c r="P1553" s="65">
        <v>8364.8396339640003</v>
      </c>
      <c r="Q1553" s="50">
        <v>4902.08</v>
      </c>
      <c r="R1553" s="65">
        <v>0</v>
      </c>
      <c r="S1553" s="65">
        <v>0</v>
      </c>
      <c r="T1553" s="65">
        <v>3462.7596339640004</v>
      </c>
      <c r="U1553" s="65">
        <v>0</v>
      </c>
      <c r="V1553" s="65">
        <v>124.54</v>
      </c>
      <c r="W1553" s="65">
        <v>0</v>
      </c>
      <c r="X1553" s="65">
        <v>4778</v>
      </c>
      <c r="Y1553" s="65">
        <v>0</v>
      </c>
      <c r="Z1553" s="65">
        <v>0</v>
      </c>
      <c r="AA1553" s="51">
        <v>0</v>
      </c>
      <c r="AB1553" s="102" t="s">
        <v>68</v>
      </c>
      <c r="AC1553" s="81">
        <f t="shared" si="75"/>
        <v>374.93648407994493</v>
      </c>
      <c r="AD1553" s="82">
        <f t="shared" si="76"/>
        <v>20.728571428571424</v>
      </c>
      <c r="AE1553" s="218">
        <v>-0.70638578602633995</v>
      </c>
      <c r="AF1553">
        <v>1</v>
      </c>
      <c r="AH1553" t="str">
        <f t="shared" si="74"/>
        <v>Sahibpur Kamal</v>
      </c>
      <c r="AJ1553" s="72">
        <v>0</v>
      </c>
      <c r="AK1553" s="72"/>
      <c r="AL1553" s="72"/>
      <c r="AM1553" s="72"/>
    </row>
    <row r="1554" spans="1:39" x14ac:dyDescent="0.25">
      <c r="A1554" s="37" t="s">
        <v>62</v>
      </c>
      <c r="B1554" s="66" t="s">
        <v>1615</v>
      </c>
      <c r="C1554" s="47">
        <v>1003</v>
      </c>
      <c r="D1554" s="47" t="s">
        <v>139</v>
      </c>
      <c r="E1554" s="41">
        <v>10460001</v>
      </c>
      <c r="F1554" s="46" t="s">
        <v>416</v>
      </c>
      <c r="G1554" s="39" t="s">
        <v>285</v>
      </c>
      <c r="H1554" s="48" t="s">
        <v>94</v>
      </c>
      <c r="I1554" s="52">
        <v>294.20000000000005</v>
      </c>
      <c r="J1554" s="49">
        <v>10371.25</v>
      </c>
      <c r="K1554" s="65">
        <v>334.1</v>
      </c>
      <c r="L1554" s="65">
        <v>12012.698839877999</v>
      </c>
      <c r="M1554" s="65">
        <v>0.8</v>
      </c>
      <c r="N1554" s="65">
        <v>28.190725596</v>
      </c>
      <c r="O1554" s="65">
        <v>334.90000000000003</v>
      </c>
      <c r="P1554" s="65">
        <v>12040.889565473999</v>
      </c>
      <c r="Q1554" s="50">
        <v>10371.25</v>
      </c>
      <c r="R1554" s="65">
        <v>0</v>
      </c>
      <c r="S1554" s="65">
        <v>28.190725596</v>
      </c>
      <c r="T1554" s="65">
        <v>1669.639565473999</v>
      </c>
      <c r="U1554" s="65">
        <v>0</v>
      </c>
      <c r="V1554" s="65">
        <v>0</v>
      </c>
      <c r="W1554" s="65">
        <v>0</v>
      </c>
      <c r="X1554" s="65">
        <v>10343</v>
      </c>
      <c r="Y1554" s="65">
        <v>0</v>
      </c>
      <c r="Z1554" s="65">
        <v>0</v>
      </c>
      <c r="AA1554" s="51">
        <v>0</v>
      </c>
      <c r="AB1554" s="102">
        <v>0</v>
      </c>
      <c r="AC1554" s="81">
        <f t="shared" si="75"/>
        <v>286.10831067301149</v>
      </c>
      <c r="AD1554" s="82">
        <f t="shared" si="76"/>
        <v>42.028571428571432</v>
      </c>
      <c r="AE1554" s="218">
        <v>-0.1609873029262624</v>
      </c>
      <c r="AF1554">
        <v>8</v>
      </c>
      <c r="AH1554" t="str">
        <f t="shared" si="74"/>
        <v>Asarganj</v>
      </c>
      <c r="AJ1554" s="72">
        <v>0</v>
      </c>
      <c r="AK1554" s="72"/>
      <c r="AL1554" s="72"/>
      <c r="AM1554" s="72"/>
    </row>
    <row r="1555" spans="1:39" x14ac:dyDescent="0.25">
      <c r="A1555" s="37" t="s">
        <v>62</v>
      </c>
      <c r="B1555" s="66" t="s">
        <v>1615</v>
      </c>
      <c r="C1555" s="47">
        <v>1003</v>
      </c>
      <c r="D1555" s="47" t="s">
        <v>139</v>
      </c>
      <c r="E1555" s="41">
        <v>10460002</v>
      </c>
      <c r="F1555" s="46" t="s">
        <v>417</v>
      </c>
      <c r="G1555" s="39" t="s">
        <v>93</v>
      </c>
      <c r="H1555" s="48" t="s">
        <v>94</v>
      </c>
      <c r="I1555" s="52">
        <v>603.44999999999993</v>
      </c>
      <c r="J1555" s="49">
        <v>18231.379999999997</v>
      </c>
      <c r="K1555" s="65">
        <v>601.70000000000005</v>
      </c>
      <c r="L1555" s="65">
        <v>19246.669834392003</v>
      </c>
      <c r="M1555" s="65">
        <v>1.6</v>
      </c>
      <c r="N1555" s="65">
        <v>51.63207944400002</v>
      </c>
      <c r="O1555" s="65">
        <v>603.30000000000007</v>
      </c>
      <c r="P1555" s="65">
        <v>19298.301913836003</v>
      </c>
      <c r="Q1555" s="50">
        <v>18231.379999999997</v>
      </c>
      <c r="R1555" s="65">
        <v>0</v>
      </c>
      <c r="S1555" s="65">
        <v>51.63207944400002</v>
      </c>
      <c r="T1555" s="65">
        <v>1066.9219138360058</v>
      </c>
      <c r="U1555" s="65">
        <v>0</v>
      </c>
      <c r="V1555" s="65">
        <v>0</v>
      </c>
      <c r="W1555" s="65">
        <v>0</v>
      </c>
      <c r="X1555" s="65">
        <v>18180</v>
      </c>
      <c r="Y1555" s="65">
        <v>0</v>
      </c>
      <c r="Z1555" s="65">
        <v>0</v>
      </c>
      <c r="AA1555" s="51">
        <v>0</v>
      </c>
      <c r="AB1555" s="102">
        <v>0</v>
      </c>
      <c r="AC1555" s="81">
        <f t="shared" si="75"/>
        <v>58.33920752340714</v>
      </c>
      <c r="AD1555" s="82">
        <f t="shared" si="76"/>
        <v>86.207142857142841</v>
      </c>
      <c r="AE1555" s="218">
        <v>-5.8521182369958062E-2</v>
      </c>
      <c r="AF1555">
        <v>4</v>
      </c>
      <c r="AH1555" t="str">
        <f t="shared" si="74"/>
        <v>Asarganj</v>
      </c>
      <c r="AJ1555" s="72">
        <v>0</v>
      </c>
      <c r="AK1555" s="72"/>
      <c r="AL1555" s="72"/>
      <c r="AM1555" s="72"/>
    </row>
    <row r="1556" spans="1:39" x14ac:dyDescent="0.25">
      <c r="A1556" s="37" t="s">
        <v>62</v>
      </c>
      <c r="B1556" s="66" t="s">
        <v>1615</v>
      </c>
      <c r="C1556" s="47">
        <v>1036</v>
      </c>
      <c r="D1556" s="47" t="s">
        <v>411</v>
      </c>
      <c r="E1556" s="41">
        <v>10480001</v>
      </c>
      <c r="F1556" s="46" t="s">
        <v>418</v>
      </c>
      <c r="G1556" s="39" t="s">
        <v>93</v>
      </c>
      <c r="H1556" s="48" t="s">
        <v>94</v>
      </c>
      <c r="I1556" s="52">
        <v>400.59999999999991</v>
      </c>
      <c r="J1556" s="49">
        <v>12991.49</v>
      </c>
      <c r="K1556" s="65">
        <v>417.20000000000005</v>
      </c>
      <c r="L1556" s="65">
        <v>13654.935159822002</v>
      </c>
      <c r="M1556" s="65">
        <v>3.5000000000000004</v>
      </c>
      <c r="N1556" s="65">
        <v>113.55233353200001</v>
      </c>
      <c r="O1556" s="65">
        <v>420.70000000000005</v>
      </c>
      <c r="P1556" s="65">
        <v>13768.487493354001</v>
      </c>
      <c r="Q1556" s="50">
        <v>12991.49</v>
      </c>
      <c r="R1556" s="65">
        <v>0</v>
      </c>
      <c r="S1556" s="65">
        <v>113.55233353200001</v>
      </c>
      <c r="T1556" s="65">
        <v>776.99749335400156</v>
      </c>
      <c r="U1556" s="65">
        <v>0</v>
      </c>
      <c r="V1556" s="65">
        <v>0</v>
      </c>
      <c r="W1556" s="65">
        <v>0</v>
      </c>
      <c r="X1556" s="65">
        <v>12878</v>
      </c>
      <c r="Y1556" s="65">
        <v>0</v>
      </c>
      <c r="Z1556" s="65">
        <v>0</v>
      </c>
      <c r="AA1556" s="51">
        <v>0</v>
      </c>
      <c r="AB1556" s="102">
        <v>0</v>
      </c>
      <c r="AC1556" s="81">
        <f t="shared" si="75"/>
        <v>194.19131832251634</v>
      </c>
      <c r="AD1556" s="82">
        <f t="shared" si="76"/>
        <v>57.228571428571414</v>
      </c>
      <c r="AE1556" s="218">
        <v>-5.980818931115689E-2</v>
      </c>
      <c r="AF1556">
        <v>3</v>
      </c>
      <c r="AH1556" t="str">
        <f t="shared" si="74"/>
        <v>MAHADAT PUR 2</v>
      </c>
      <c r="AJ1556" s="72">
        <v>0</v>
      </c>
      <c r="AK1556" s="72"/>
      <c r="AL1556" s="72"/>
      <c r="AM1556" s="72"/>
    </row>
    <row r="1557" spans="1:39" x14ac:dyDescent="0.25">
      <c r="A1557" s="37" t="s">
        <v>62</v>
      </c>
      <c r="B1557" s="66" t="s">
        <v>1615</v>
      </c>
      <c r="C1557" s="47">
        <v>1036</v>
      </c>
      <c r="D1557" s="47" t="s">
        <v>411</v>
      </c>
      <c r="E1557" s="41">
        <v>10480002</v>
      </c>
      <c r="F1557" s="46" t="s">
        <v>419</v>
      </c>
      <c r="G1557" s="39" t="s">
        <v>635</v>
      </c>
      <c r="H1557" s="48" t="s">
        <v>99</v>
      </c>
      <c r="I1557" s="52">
        <v>285.20000000000005</v>
      </c>
      <c r="J1557" s="49">
        <v>8988.1200000000008</v>
      </c>
      <c r="K1557" s="65">
        <v>288.7</v>
      </c>
      <c r="L1557" s="65">
        <v>9198.5190065999996</v>
      </c>
      <c r="M1557" s="65">
        <v>0</v>
      </c>
      <c r="N1557" s="65">
        <v>0</v>
      </c>
      <c r="O1557" s="65">
        <v>288.7</v>
      </c>
      <c r="P1557" s="65">
        <v>9198.5190065999996</v>
      </c>
      <c r="Q1557" s="50">
        <v>8988.1200000000008</v>
      </c>
      <c r="R1557" s="65">
        <v>0</v>
      </c>
      <c r="S1557" s="65">
        <v>0</v>
      </c>
      <c r="T1557" s="65">
        <v>210.39900659999876</v>
      </c>
      <c r="U1557" s="65">
        <v>0</v>
      </c>
      <c r="V1557" s="65">
        <v>0</v>
      </c>
      <c r="W1557" s="65">
        <v>0</v>
      </c>
      <c r="X1557" s="65">
        <v>0</v>
      </c>
      <c r="Y1557" s="65">
        <v>0</v>
      </c>
      <c r="Z1557" s="65">
        <v>8988.1200000000008</v>
      </c>
      <c r="AA1557" s="51">
        <v>0</v>
      </c>
      <c r="AB1557" s="102">
        <v>0</v>
      </c>
      <c r="AC1557" s="81">
        <f t="shared" si="75"/>
        <v>261.4496617110799</v>
      </c>
      <c r="AD1557" s="82">
        <f t="shared" si="76"/>
        <v>40.742857142857147</v>
      </c>
      <c r="AE1557" s="218">
        <v>0</v>
      </c>
      <c r="AF1557">
        <v>1</v>
      </c>
      <c r="AH1557" t="str">
        <f t="shared" si="74"/>
        <v>MAHADAT PUR 2</v>
      </c>
      <c r="AJ1557" s="72">
        <v>0</v>
      </c>
      <c r="AK1557" s="72"/>
      <c r="AL1557" s="72"/>
      <c r="AM1557" s="72"/>
    </row>
    <row r="1558" spans="1:39" x14ac:dyDescent="0.25">
      <c r="A1558" s="37" t="s">
        <v>62</v>
      </c>
      <c r="B1558" s="66" t="s">
        <v>1615</v>
      </c>
      <c r="C1558" s="47">
        <v>1007</v>
      </c>
      <c r="D1558" s="47" t="s">
        <v>207</v>
      </c>
      <c r="E1558" s="41">
        <v>10480003</v>
      </c>
      <c r="F1558" s="46" t="s">
        <v>630</v>
      </c>
      <c r="G1558" s="39" t="s">
        <v>635</v>
      </c>
      <c r="H1558" s="48" t="s">
        <v>99</v>
      </c>
      <c r="I1558" s="52">
        <v>561</v>
      </c>
      <c r="J1558" s="49">
        <v>18370.260000000002</v>
      </c>
      <c r="K1558" s="65">
        <v>0</v>
      </c>
      <c r="L1558" s="65">
        <v>0</v>
      </c>
      <c r="M1558" s="65">
        <v>0</v>
      </c>
      <c r="N1558" s="65">
        <v>0</v>
      </c>
      <c r="O1558" s="65">
        <v>0</v>
      </c>
      <c r="P1558" s="65">
        <v>0</v>
      </c>
      <c r="Q1558" s="50">
        <v>18370.260000000002</v>
      </c>
      <c r="R1558" s="65">
        <v>0</v>
      </c>
      <c r="S1558" s="65">
        <v>0</v>
      </c>
      <c r="T1558" s="65">
        <v>0</v>
      </c>
      <c r="U1558" s="65">
        <v>0</v>
      </c>
      <c r="V1558" s="65">
        <v>0</v>
      </c>
      <c r="W1558" s="65">
        <v>0</v>
      </c>
      <c r="X1558" s="65">
        <v>0</v>
      </c>
      <c r="Y1558" s="65">
        <v>0</v>
      </c>
      <c r="Z1558" s="65">
        <v>18370.260000000002</v>
      </c>
      <c r="AA1558" s="51">
        <v>0</v>
      </c>
      <c r="AB1558" s="102">
        <v>0</v>
      </c>
      <c r="AC1558" s="81">
        <f t="shared" si="75"/>
        <v>91.032660962566879</v>
      </c>
      <c r="AD1558" s="82">
        <f t="shared" si="76"/>
        <v>80.142857142857139</v>
      </c>
      <c r="AE1558" s="218">
        <v>0</v>
      </c>
      <c r="AF1558">
        <v>0</v>
      </c>
      <c r="AH1558" t="str">
        <f t="shared" si="74"/>
        <v>Araria</v>
      </c>
      <c r="AJ1558" s="72">
        <v>0</v>
      </c>
      <c r="AK1558" s="72"/>
      <c r="AL1558" s="72"/>
      <c r="AM1558" s="72"/>
    </row>
    <row r="1559" spans="1:39" x14ac:dyDescent="0.25">
      <c r="A1559" s="37" t="s">
        <v>62</v>
      </c>
      <c r="B1559" s="66" t="s">
        <v>1615</v>
      </c>
      <c r="C1559" s="47">
        <v>1036</v>
      </c>
      <c r="D1559" s="47" t="s">
        <v>411</v>
      </c>
      <c r="E1559" s="41">
        <v>10480005</v>
      </c>
      <c r="F1559" s="46" t="s">
        <v>631</v>
      </c>
      <c r="G1559" s="39" t="s">
        <v>93</v>
      </c>
      <c r="H1559" s="48" t="s">
        <v>94</v>
      </c>
      <c r="I1559" s="52">
        <v>324.30000000000007</v>
      </c>
      <c r="J1559" s="49">
        <v>11987.34</v>
      </c>
      <c r="K1559" s="65">
        <v>363.59999999999997</v>
      </c>
      <c r="L1559" s="65">
        <v>13901.137180920003</v>
      </c>
      <c r="M1559" s="65">
        <v>1.4000000000000001</v>
      </c>
      <c r="N1559" s="65">
        <v>53.91030348000001</v>
      </c>
      <c r="O1559" s="65">
        <v>364.99999999999994</v>
      </c>
      <c r="P1559" s="65">
        <v>13955.047484400002</v>
      </c>
      <c r="Q1559" s="50">
        <v>11987.34</v>
      </c>
      <c r="R1559" s="65">
        <v>0</v>
      </c>
      <c r="S1559" s="65">
        <v>53.91030348000001</v>
      </c>
      <c r="T1559" s="65">
        <v>1967.7074844000017</v>
      </c>
      <c r="U1559" s="65">
        <v>0</v>
      </c>
      <c r="V1559" s="65">
        <v>0</v>
      </c>
      <c r="W1559" s="65">
        <v>0</v>
      </c>
      <c r="X1559" s="65">
        <v>11933</v>
      </c>
      <c r="Y1559" s="65">
        <v>0</v>
      </c>
      <c r="Z1559" s="65">
        <v>0</v>
      </c>
      <c r="AA1559" s="51">
        <v>0</v>
      </c>
      <c r="AB1559" s="102">
        <v>0</v>
      </c>
      <c r="AC1559" s="81">
        <f t="shared" si="75"/>
        <v>277.74552192414421</v>
      </c>
      <c r="AD1559" s="82">
        <f t="shared" si="76"/>
        <v>46.328571428571436</v>
      </c>
      <c r="AE1559" s="218">
        <v>-0.16414880068472251</v>
      </c>
      <c r="AF1559">
        <v>5</v>
      </c>
      <c r="AH1559" t="str">
        <f t="shared" si="74"/>
        <v>MAHADAT PUR 2</v>
      </c>
      <c r="AJ1559" s="72">
        <v>0</v>
      </c>
      <c r="AK1559" s="72"/>
      <c r="AL1559" s="72"/>
      <c r="AM1559" s="72"/>
    </row>
    <row r="1560" spans="1:39" x14ac:dyDescent="0.25">
      <c r="A1560" s="37" t="s">
        <v>62</v>
      </c>
      <c r="B1560" s="66" t="s">
        <v>1615</v>
      </c>
      <c r="C1560" s="47">
        <v>1036</v>
      </c>
      <c r="D1560" s="47" t="s">
        <v>411</v>
      </c>
      <c r="E1560" s="41">
        <v>10480008</v>
      </c>
      <c r="F1560" s="46" t="s">
        <v>632</v>
      </c>
      <c r="G1560" s="39" t="s">
        <v>93</v>
      </c>
      <c r="H1560" s="48" t="s">
        <v>94</v>
      </c>
      <c r="I1560" s="52">
        <v>342.2</v>
      </c>
      <c r="J1560" s="49">
        <v>12648.8</v>
      </c>
      <c r="K1560" s="65">
        <v>239.09</v>
      </c>
      <c r="L1560" s="65">
        <v>9143.6354839367996</v>
      </c>
      <c r="M1560" s="65">
        <v>114.61999999999999</v>
      </c>
      <c r="N1560" s="65">
        <v>4483.0738255271408</v>
      </c>
      <c r="O1560" s="65">
        <v>353.71</v>
      </c>
      <c r="P1560" s="65">
        <v>13626.70930946394</v>
      </c>
      <c r="Q1560" s="50">
        <v>12648.8</v>
      </c>
      <c r="R1560" s="65">
        <v>0</v>
      </c>
      <c r="S1560" s="65">
        <v>103.849979508</v>
      </c>
      <c r="T1560" s="65">
        <v>977.9093094639411</v>
      </c>
      <c r="U1560" s="65">
        <v>0</v>
      </c>
      <c r="V1560" s="65">
        <v>0</v>
      </c>
      <c r="W1560" s="65">
        <v>0</v>
      </c>
      <c r="X1560" s="65">
        <v>8166</v>
      </c>
      <c r="Y1560" s="65">
        <v>4379</v>
      </c>
      <c r="Z1560" s="65">
        <v>0</v>
      </c>
      <c r="AA1560" s="51">
        <v>0</v>
      </c>
      <c r="AB1560" s="102">
        <v>0</v>
      </c>
      <c r="AC1560" s="81">
        <f t="shared" si="75"/>
        <v>264.50851198129743</v>
      </c>
      <c r="AD1560" s="82">
        <f t="shared" si="76"/>
        <v>48.885714285714286</v>
      </c>
      <c r="AE1560" s="218">
        <v>-7.7312417736381409E-2</v>
      </c>
      <c r="AF1560">
        <v>8</v>
      </c>
      <c r="AH1560" t="str">
        <f t="shared" si="74"/>
        <v>MAHADAT PUR 2</v>
      </c>
      <c r="AJ1560" s="72">
        <v>0</v>
      </c>
      <c r="AK1560" s="72"/>
      <c r="AL1560" s="72"/>
      <c r="AM1560" s="72"/>
    </row>
    <row r="1561" spans="1:39" x14ac:dyDescent="0.25">
      <c r="A1561" s="37" t="s">
        <v>62</v>
      </c>
      <c r="B1561" s="66" t="s">
        <v>1615</v>
      </c>
      <c r="C1561" s="47">
        <v>1036</v>
      </c>
      <c r="D1561" s="47" t="s">
        <v>411</v>
      </c>
      <c r="E1561" s="41">
        <v>10480012</v>
      </c>
      <c r="F1561" s="46" t="s">
        <v>73</v>
      </c>
      <c r="G1561" s="39" t="s">
        <v>93</v>
      </c>
      <c r="H1561" s="48" t="s">
        <v>94</v>
      </c>
      <c r="I1561" s="52">
        <v>574.4</v>
      </c>
      <c r="J1561" s="49">
        <v>19300.650000000001</v>
      </c>
      <c r="K1561" s="65">
        <v>669.63000000000011</v>
      </c>
      <c r="L1561" s="65">
        <v>25426.429004870497</v>
      </c>
      <c r="M1561" s="65">
        <v>0</v>
      </c>
      <c r="N1561" s="65">
        <v>0</v>
      </c>
      <c r="O1561" s="65">
        <v>669.63000000000011</v>
      </c>
      <c r="P1561" s="65">
        <v>25426.429004870497</v>
      </c>
      <c r="Q1561" s="50">
        <v>19300.650000000001</v>
      </c>
      <c r="R1561" s="65">
        <v>0</v>
      </c>
      <c r="S1561" s="65">
        <v>0</v>
      </c>
      <c r="T1561" s="65">
        <v>6125.7790048704956</v>
      </c>
      <c r="U1561" s="65">
        <v>0</v>
      </c>
      <c r="V1561" s="65">
        <v>0</v>
      </c>
      <c r="W1561" s="65">
        <v>0</v>
      </c>
      <c r="X1561" s="65">
        <v>19301</v>
      </c>
      <c r="Y1561" s="65">
        <v>0</v>
      </c>
      <c r="Z1561" s="65">
        <v>0</v>
      </c>
      <c r="AA1561" s="51">
        <v>0</v>
      </c>
      <c r="AB1561" s="102">
        <v>0</v>
      </c>
      <c r="AC1561" s="81">
        <f t="shared" si="75"/>
        <v>84.406742339832917</v>
      </c>
      <c r="AD1561" s="82">
        <f t="shared" si="76"/>
        <v>82.05714285714285</v>
      </c>
      <c r="AE1561" s="218">
        <v>-0.31738718669425614</v>
      </c>
      <c r="AF1561">
        <v>9</v>
      </c>
      <c r="AH1561" t="str">
        <f t="shared" si="74"/>
        <v>MAHADAT PUR 2</v>
      </c>
      <c r="AJ1561" s="72">
        <v>0</v>
      </c>
      <c r="AK1561" s="72"/>
      <c r="AL1561" s="72"/>
      <c r="AM1561" s="72"/>
    </row>
    <row r="1562" spans="1:39" x14ac:dyDescent="0.25">
      <c r="A1562" s="37" t="s">
        <v>62</v>
      </c>
      <c r="B1562" s="66" t="s">
        <v>1615</v>
      </c>
      <c r="C1562" s="47">
        <v>1036</v>
      </c>
      <c r="D1562" s="47" t="s">
        <v>411</v>
      </c>
      <c r="E1562" s="41">
        <v>10480016</v>
      </c>
      <c r="F1562" s="46" t="s">
        <v>429</v>
      </c>
      <c r="G1562" s="39" t="s">
        <v>93</v>
      </c>
      <c r="H1562" s="48" t="s">
        <v>94</v>
      </c>
      <c r="I1562" s="52">
        <v>66.399999999999991</v>
      </c>
      <c r="J1562" s="49">
        <v>2284.1999999999998</v>
      </c>
      <c r="K1562" s="65">
        <v>94.3</v>
      </c>
      <c r="L1562" s="65">
        <v>3183.8165401680008</v>
      </c>
      <c r="M1562" s="65">
        <v>0</v>
      </c>
      <c r="N1562" s="65">
        <v>0</v>
      </c>
      <c r="O1562" s="65">
        <v>94.3</v>
      </c>
      <c r="P1562" s="65">
        <v>3183.8165401680008</v>
      </c>
      <c r="Q1562" s="50">
        <v>2284.1999999999998</v>
      </c>
      <c r="R1562" s="65">
        <v>0</v>
      </c>
      <c r="S1562" s="65">
        <v>0</v>
      </c>
      <c r="T1562" s="65">
        <v>899.61654016800094</v>
      </c>
      <c r="U1562" s="65">
        <v>0</v>
      </c>
      <c r="V1562" s="65">
        <v>0</v>
      </c>
      <c r="W1562" s="65">
        <v>0</v>
      </c>
      <c r="X1562" s="65">
        <v>2284</v>
      </c>
      <c r="Y1562" s="65">
        <v>0</v>
      </c>
      <c r="Z1562" s="65">
        <v>0</v>
      </c>
      <c r="AA1562" s="51">
        <v>0</v>
      </c>
      <c r="AB1562" s="102">
        <v>0</v>
      </c>
      <c r="AC1562" s="81">
        <f t="shared" si="75"/>
        <v>435.92443373493984</v>
      </c>
      <c r="AD1562" s="82">
        <f t="shared" si="76"/>
        <v>9.485714285714284</v>
      </c>
      <c r="AE1562" s="218">
        <v>-0.39384315741528808</v>
      </c>
      <c r="AF1562">
        <v>1</v>
      </c>
      <c r="AH1562" t="str">
        <f t="shared" si="74"/>
        <v>MAHADAT PUR 2</v>
      </c>
      <c r="AJ1562" s="72">
        <v>0</v>
      </c>
      <c r="AK1562" s="72"/>
      <c r="AL1562" s="72"/>
      <c r="AM1562" s="72"/>
    </row>
    <row r="1563" spans="1:39" x14ac:dyDescent="0.25">
      <c r="A1563" s="37" t="s">
        <v>62</v>
      </c>
      <c r="B1563" s="66" t="s">
        <v>1615</v>
      </c>
      <c r="C1563" s="47">
        <v>1036</v>
      </c>
      <c r="D1563" s="47" t="s">
        <v>411</v>
      </c>
      <c r="E1563" s="41">
        <v>10480022</v>
      </c>
      <c r="F1563" s="46" t="s">
        <v>633</v>
      </c>
      <c r="G1563" s="39" t="s">
        <v>93</v>
      </c>
      <c r="H1563" s="48" t="s">
        <v>94</v>
      </c>
      <c r="I1563" s="52">
        <v>501.3</v>
      </c>
      <c r="J1563" s="49">
        <v>17819.63</v>
      </c>
      <c r="K1563" s="65">
        <v>256</v>
      </c>
      <c r="L1563" s="65">
        <v>9945.9051129900017</v>
      </c>
      <c r="M1563" s="65">
        <v>258.3</v>
      </c>
      <c r="N1563" s="65">
        <v>10293.954243210002</v>
      </c>
      <c r="O1563" s="65">
        <v>514.29999999999995</v>
      </c>
      <c r="P1563" s="65">
        <v>20239.859356200002</v>
      </c>
      <c r="Q1563" s="50">
        <v>17819.63</v>
      </c>
      <c r="R1563" s="65">
        <v>0</v>
      </c>
      <c r="S1563" s="65">
        <v>46.122112080000001</v>
      </c>
      <c r="T1563" s="65">
        <v>2420.2293562000013</v>
      </c>
      <c r="U1563" s="65">
        <v>0</v>
      </c>
      <c r="V1563" s="65">
        <v>0</v>
      </c>
      <c r="W1563" s="65">
        <v>0</v>
      </c>
      <c r="X1563" s="65">
        <v>7526</v>
      </c>
      <c r="Y1563" s="65">
        <v>10248</v>
      </c>
      <c r="Z1563" s="65">
        <v>0</v>
      </c>
      <c r="AA1563" s="51">
        <v>0</v>
      </c>
      <c r="AB1563" s="102">
        <v>0</v>
      </c>
      <c r="AC1563" s="81">
        <f t="shared" si="75"/>
        <v>141.26313508876919</v>
      </c>
      <c r="AD1563" s="82">
        <f t="shared" si="76"/>
        <v>71.614285714285714</v>
      </c>
      <c r="AE1563" s="218">
        <v>-0.13581815987200638</v>
      </c>
      <c r="AF1563">
        <v>3</v>
      </c>
      <c r="AH1563" t="str">
        <f t="shared" si="74"/>
        <v>MAHADAT PUR 2</v>
      </c>
      <c r="AJ1563" s="72">
        <v>0</v>
      </c>
      <c r="AK1563" s="72"/>
      <c r="AL1563" s="72"/>
      <c r="AM1563" s="72"/>
    </row>
    <row r="1564" spans="1:39" x14ac:dyDescent="0.25">
      <c r="A1564" s="37" t="s">
        <v>62</v>
      </c>
      <c r="B1564" s="66" t="s">
        <v>1615</v>
      </c>
      <c r="C1564" s="47">
        <v>1036</v>
      </c>
      <c r="D1564" s="47" t="s">
        <v>411</v>
      </c>
      <c r="E1564" s="41">
        <v>10480023</v>
      </c>
      <c r="F1564" s="46" t="s">
        <v>634</v>
      </c>
      <c r="G1564" s="39" t="s">
        <v>93</v>
      </c>
      <c r="H1564" s="48" t="s">
        <v>94</v>
      </c>
      <c r="I1564" s="52">
        <v>1133.8000000000002</v>
      </c>
      <c r="J1564" s="49">
        <v>43177.69999999999</v>
      </c>
      <c r="K1564" s="65">
        <v>1004.6</v>
      </c>
      <c r="L1564" s="65">
        <v>38755.603317023997</v>
      </c>
      <c r="M1564" s="65">
        <v>27.1</v>
      </c>
      <c r="N1564" s="65">
        <v>1043.3541979080001</v>
      </c>
      <c r="O1564" s="65">
        <v>1031.7</v>
      </c>
      <c r="P1564" s="65">
        <v>39798.957514932001</v>
      </c>
      <c r="Q1564" s="50">
        <v>39798.957514932001</v>
      </c>
      <c r="R1564" s="65">
        <v>0</v>
      </c>
      <c r="S1564" s="65">
        <v>1043.3541979080001</v>
      </c>
      <c r="T1564" s="65">
        <v>0</v>
      </c>
      <c r="U1564" s="65">
        <v>0</v>
      </c>
      <c r="V1564" s="65">
        <v>0</v>
      </c>
      <c r="W1564" s="65">
        <v>0</v>
      </c>
      <c r="X1564" s="65">
        <v>38756</v>
      </c>
      <c r="Y1564" s="65">
        <v>0</v>
      </c>
      <c r="Z1564" s="65">
        <v>0</v>
      </c>
      <c r="AA1564" s="51">
        <v>3378</v>
      </c>
      <c r="AB1564" s="102">
        <v>0</v>
      </c>
      <c r="AC1564" s="81">
        <f t="shared" si="75"/>
        <v>0</v>
      </c>
      <c r="AD1564" s="82">
        <f t="shared" si="76"/>
        <v>0</v>
      </c>
      <c r="AE1564" s="218">
        <v>7.8252025584224949E-2</v>
      </c>
      <c r="AF1564">
        <v>5</v>
      </c>
      <c r="AH1564" t="str">
        <f t="shared" si="74"/>
        <v>MAHADAT PUR 2</v>
      </c>
      <c r="AJ1564" s="72">
        <v>0</v>
      </c>
      <c r="AK1564" s="72"/>
      <c r="AL1564" s="72"/>
      <c r="AM1564" s="72"/>
    </row>
    <row r="1565" spans="1:39" x14ac:dyDescent="0.25">
      <c r="A1565" s="37" t="s">
        <v>62</v>
      </c>
      <c r="B1565" s="66" t="s">
        <v>1615</v>
      </c>
      <c r="C1565" s="47">
        <v>1036</v>
      </c>
      <c r="D1565" s="47" t="s">
        <v>411</v>
      </c>
      <c r="E1565" s="41">
        <v>10480028</v>
      </c>
      <c r="F1565" s="46" t="s">
        <v>541</v>
      </c>
      <c r="G1565" s="39" t="s">
        <v>635</v>
      </c>
      <c r="H1565" s="48" t="s">
        <v>99</v>
      </c>
      <c r="I1565" s="52">
        <v>60.1</v>
      </c>
      <c r="J1565" s="49">
        <v>2306.29</v>
      </c>
      <c r="K1565" s="65">
        <v>0</v>
      </c>
      <c r="L1565" s="65">
        <v>0</v>
      </c>
      <c r="M1565" s="65">
        <v>0</v>
      </c>
      <c r="N1565" s="65">
        <v>0</v>
      </c>
      <c r="O1565" s="65">
        <v>0</v>
      </c>
      <c r="P1565" s="65">
        <v>0</v>
      </c>
      <c r="Q1565" s="50">
        <v>2306.29</v>
      </c>
      <c r="R1565" s="65">
        <v>0</v>
      </c>
      <c r="S1565" s="65">
        <v>0</v>
      </c>
      <c r="T1565" s="65">
        <v>0</v>
      </c>
      <c r="U1565" s="65">
        <v>0</v>
      </c>
      <c r="V1565" s="65">
        <v>0</v>
      </c>
      <c r="W1565" s="65">
        <v>0</v>
      </c>
      <c r="X1565" s="65">
        <v>0</v>
      </c>
      <c r="Y1565" s="65">
        <v>0</v>
      </c>
      <c r="Z1565" s="65">
        <v>2306.29</v>
      </c>
      <c r="AA1565" s="51">
        <v>0</v>
      </c>
      <c r="AB1565" s="102">
        <v>0</v>
      </c>
      <c r="AC1565" s="81">
        <f t="shared" si="75"/>
        <v>491.11313510815302</v>
      </c>
      <c r="AD1565" s="82">
        <f t="shared" si="76"/>
        <v>8.5857142857142854</v>
      </c>
      <c r="AE1565" s="218">
        <v>0</v>
      </c>
      <c r="AF1565">
        <v>0</v>
      </c>
      <c r="AH1565" t="str">
        <f t="shared" si="74"/>
        <v>MAHADAT PUR 2</v>
      </c>
      <c r="AJ1565" s="72">
        <v>0</v>
      </c>
      <c r="AK1565" s="72"/>
      <c r="AL1565" s="72"/>
      <c r="AM1565" s="72"/>
    </row>
    <row r="1566" spans="1:39" x14ac:dyDescent="0.25">
      <c r="A1566" s="37" t="s">
        <v>62</v>
      </c>
      <c r="B1566" s="66" t="s">
        <v>1615</v>
      </c>
      <c r="C1566" s="47">
        <v>1036</v>
      </c>
      <c r="D1566" s="47" t="s">
        <v>411</v>
      </c>
      <c r="E1566" s="41">
        <v>10480033</v>
      </c>
      <c r="F1566" s="46" t="s">
        <v>1253</v>
      </c>
      <c r="G1566" s="39" t="s">
        <v>635</v>
      </c>
      <c r="H1566" s="48" t="s">
        <v>99</v>
      </c>
      <c r="I1566" s="52">
        <v>296.79999999999995</v>
      </c>
      <c r="J1566" s="49">
        <v>9772.0300000000007</v>
      </c>
      <c r="K1566" s="65">
        <v>0</v>
      </c>
      <c r="L1566" s="65">
        <v>0</v>
      </c>
      <c r="M1566" s="65">
        <v>0</v>
      </c>
      <c r="N1566" s="65">
        <v>0</v>
      </c>
      <c r="O1566" s="65">
        <v>0</v>
      </c>
      <c r="P1566" s="65">
        <v>0</v>
      </c>
      <c r="Q1566" s="50">
        <v>9772.0300000000007</v>
      </c>
      <c r="R1566" s="65">
        <v>0</v>
      </c>
      <c r="S1566" s="65">
        <v>0</v>
      </c>
      <c r="T1566" s="65">
        <v>0</v>
      </c>
      <c r="U1566" s="65">
        <v>0</v>
      </c>
      <c r="V1566" s="65">
        <v>0</v>
      </c>
      <c r="W1566" s="65">
        <v>0</v>
      </c>
      <c r="X1566" s="65">
        <v>0</v>
      </c>
      <c r="Y1566" s="65">
        <v>0</v>
      </c>
      <c r="Z1566" s="65">
        <v>9772.0300000000007</v>
      </c>
      <c r="AA1566" s="51">
        <v>0</v>
      </c>
      <c r="AB1566" s="102">
        <v>0</v>
      </c>
      <c r="AC1566" s="81">
        <f t="shared" si="75"/>
        <v>265.50421132075479</v>
      </c>
      <c r="AD1566" s="82">
        <f t="shared" si="76"/>
        <v>42.399999999999991</v>
      </c>
      <c r="AE1566" s="218">
        <v>0</v>
      </c>
      <c r="AF1566">
        <v>0</v>
      </c>
      <c r="AH1566" t="str">
        <f t="shared" si="74"/>
        <v>MAHADAT PUR 2</v>
      </c>
      <c r="AJ1566" s="72">
        <v>0</v>
      </c>
      <c r="AK1566" s="72"/>
      <c r="AL1566" s="72"/>
      <c r="AM1566" s="72"/>
    </row>
    <row r="1567" spans="1:39" x14ac:dyDescent="0.25">
      <c r="A1567" s="37" t="s">
        <v>62</v>
      </c>
      <c r="B1567" s="66" t="s">
        <v>1615</v>
      </c>
      <c r="C1567" s="47">
        <v>1036</v>
      </c>
      <c r="D1567" s="47" t="s">
        <v>411</v>
      </c>
      <c r="E1567" s="41">
        <v>10480034</v>
      </c>
      <c r="F1567" s="46" t="s">
        <v>1159</v>
      </c>
      <c r="G1567" s="39" t="s">
        <v>635</v>
      </c>
      <c r="H1567" s="48" t="s">
        <v>99</v>
      </c>
      <c r="I1567" s="52">
        <v>265.40000000000003</v>
      </c>
      <c r="J1567" s="49">
        <v>9795.7100000000009</v>
      </c>
      <c r="K1567" s="65">
        <v>0</v>
      </c>
      <c r="L1567" s="65">
        <v>0</v>
      </c>
      <c r="M1567" s="65">
        <v>0</v>
      </c>
      <c r="N1567" s="65">
        <v>0</v>
      </c>
      <c r="O1567" s="65">
        <v>0</v>
      </c>
      <c r="P1567" s="65">
        <v>0</v>
      </c>
      <c r="Q1567" s="50">
        <v>9795.7100000000009</v>
      </c>
      <c r="R1567" s="65">
        <v>0</v>
      </c>
      <c r="S1567" s="65">
        <v>0</v>
      </c>
      <c r="T1567" s="65">
        <v>0</v>
      </c>
      <c r="U1567" s="65">
        <v>0</v>
      </c>
      <c r="V1567" s="65">
        <v>0</v>
      </c>
      <c r="W1567" s="65">
        <v>0</v>
      </c>
      <c r="X1567" s="65">
        <v>0</v>
      </c>
      <c r="Y1567" s="65">
        <v>0</v>
      </c>
      <c r="Z1567" s="65">
        <v>9795.7100000000009</v>
      </c>
      <c r="AA1567" s="51">
        <v>0</v>
      </c>
      <c r="AB1567" s="102">
        <v>0</v>
      </c>
      <c r="AC1567" s="81">
        <f t="shared" si="75"/>
        <v>320.81503888470235</v>
      </c>
      <c r="AD1567" s="82">
        <f t="shared" si="76"/>
        <v>37.914285714285718</v>
      </c>
      <c r="AE1567" s="218">
        <v>0</v>
      </c>
      <c r="AF1567">
        <v>0</v>
      </c>
      <c r="AH1567" t="str">
        <f t="shared" si="74"/>
        <v>MAHADAT PUR 2</v>
      </c>
      <c r="AJ1567" s="72">
        <v>0</v>
      </c>
      <c r="AK1567" s="72"/>
      <c r="AL1567" s="72"/>
      <c r="AM1567" s="72"/>
    </row>
    <row r="1568" spans="1:39" x14ac:dyDescent="0.25">
      <c r="A1568" s="37" t="s">
        <v>62</v>
      </c>
      <c r="B1568" s="66" t="s">
        <v>1615</v>
      </c>
      <c r="C1568" s="47">
        <v>1036</v>
      </c>
      <c r="D1568" s="47" t="s">
        <v>411</v>
      </c>
      <c r="E1568" s="41">
        <v>10480036</v>
      </c>
      <c r="F1568" s="46" t="s">
        <v>1329</v>
      </c>
      <c r="G1568" s="39" t="s">
        <v>635</v>
      </c>
      <c r="H1568" s="48" t="s">
        <v>99</v>
      </c>
      <c r="I1568" s="52">
        <v>159.5</v>
      </c>
      <c r="J1568" s="49">
        <v>5426.5299999999988</v>
      </c>
      <c r="K1568" s="65">
        <v>0</v>
      </c>
      <c r="L1568" s="65">
        <v>0</v>
      </c>
      <c r="M1568" s="65">
        <v>0</v>
      </c>
      <c r="N1568" s="65">
        <v>0</v>
      </c>
      <c r="O1568" s="65">
        <v>0</v>
      </c>
      <c r="P1568" s="65">
        <v>0</v>
      </c>
      <c r="Q1568" s="50">
        <v>5426.5299999999988</v>
      </c>
      <c r="R1568" s="65">
        <v>0</v>
      </c>
      <c r="S1568" s="65">
        <v>0</v>
      </c>
      <c r="T1568" s="65">
        <v>0</v>
      </c>
      <c r="U1568" s="65">
        <v>0</v>
      </c>
      <c r="V1568" s="65">
        <v>0</v>
      </c>
      <c r="W1568" s="65">
        <v>0</v>
      </c>
      <c r="X1568" s="65">
        <v>0</v>
      </c>
      <c r="Y1568" s="65">
        <v>0</v>
      </c>
      <c r="Z1568" s="65">
        <v>5426.5299999999988</v>
      </c>
      <c r="AA1568" s="51">
        <v>0</v>
      </c>
      <c r="AB1568" s="102">
        <v>0</v>
      </c>
      <c r="AC1568" s="81">
        <f t="shared" si="75"/>
        <v>367.77924326018803</v>
      </c>
      <c r="AD1568" s="82">
        <f t="shared" si="76"/>
        <v>22.785714285714285</v>
      </c>
      <c r="AE1568" s="218">
        <v>0</v>
      </c>
      <c r="AF1568">
        <v>0</v>
      </c>
      <c r="AH1568" t="str">
        <f t="shared" si="74"/>
        <v>MAHADAT PUR 2</v>
      </c>
      <c r="AJ1568" s="72">
        <v>0</v>
      </c>
      <c r="AK1568" s="72"/>
      <c r="AL1568" s="72"/>
      <c r="AM1568" s="72"/>
    </row>
    <row r="1569" spans="1:39" x14ac:dyDescent="0.25">
      <c r="A1569" s="37" t="s">
        <v>62</v>
      </c>
      <c r="B1569" s="66" t="s">
        <v>1615</v>
      </c>
      <c r="C1569" s="47">
        <v>1003</v>
      </c>
      <c r="D1569" s="47" t="s">
        <v>139</v>
      </c>
      <c r="E1569" s="109">
        <v>10500001</v>
      </c>
      <c r="F1569" s="46" t="s">
        <v>420</v>
      </c>
      <c r="G1569" s="110" t="s">
        <v>285</v>
      </c>
      <c r="H1569" s="48" t="s">
        <v>94</v>
      </c>
      <c r="I1569" s="111">
        <v>1241</v>
      </c>
      <c r="J1569" s="49">
        <v>38882.92</v>
      </c>
      <c r="K1569" s="65">
        <v>1413.5000000000002</v>
      </c>
      <c r="L1569" s="65">
        <v>47132.805456000009</v>
      </c>
      <c r="M1569" s="65">
        <v>16.600000000000001</v>
      </c>
      <c r="N1569" s="65">
        <v>548.53032960000019</v>
      </c>
      <c r="O1569" s="65">
        <v>1430.1000000000001</v>
      </c>
      <c r="P1569" s="65">
        <v>47681.335785600008</v>
      </c>
      <c r="Q1569" s="50">
        <v>38882.92</v>
      </c>
      <c r="R1569" s="65">
        <v>0</v>
      </c>
      <c r="S1569" s="65">
        <v>548.53032960000019</v>
      </c>
      <c r="T1569" s="65">
        <v>8798.4157856000093</v>
      </c>
      <c r="U1569" s="65">
        <v>0</v>
      </c>
      <c r="V1569" s="65">
        <v>0</v>
      </c>
      <c r="W1569" s="65">
        <v>0</v>
      </c>
      <c r="X1569" s="65">
        <v>38334</v>
      </c>
      <c r="Y1569" s="65">
        <v>0</v>
      </c>
      <c r="Z1569" s="65">
        <v>0</v>
      </c>
      <c r="AA1569" s="51">
        <v>0</v>
      </c>
      <c r="AB1569" s="102" t="s">
        <v>66</v>
      </c>
      <c r="AC1569" s="81">
        <f t="shared" si="75"/>
        <v>0</v>
      </c>
      <c r="AD1569" s="82">
        <f t="shared" si="76"/>
        <v>0</v>
      </c>
      <c r="AE1569" s="218">
        <v>-0.22627970804661815</v>
      </c>
      <c r="AF1569">
        <v>9</v>
      </c>
      <c r="AH1569" t="str">
        <f t="shared" ref="AH1569:AH1630" si="77">TEXT(D1569,"0000")</f>
        <v>Asarganj</v>
      </c>
      <c r="AJ1569" s="72">
        <v>0</v>
      </c>
      <c r="AK1569" s="72"/>
      <c r="AL1569" s="72"/>
      <c r="AM1569" s="72"/>
    </row>
    <row r="1570" spans="1:39" x14ac:dyDescent="0.25">
      <c r="A1570" s="37" t="s">
        <v>62</v>
      </c>
      <c r="B1570" s="66" t="s">
        <v>1615</v>
      </c>
      <c r="C1570" s="47">
        <v>1014</v>
      </c>
      <c r="D1570" s="47" t="s">
        <v>376</v>
      </c>
      <c r="E1570" s="47">
        <v>10510001</v>
      </c>
      <c r="F1570" s="46" t="s">
        <v>421</v>
      </c>
      <c r="G1570" s="48" t="s">
        <v>93</v>
      </c>
      <c r="H1570" s="48" t="s">
        <v>94</v>
      </c>
      <c r="I1570" s="49">
        <v>2124.9</v>
      </c>
      <c r="J1570" s="49">
        <v>77918.840000000011</v>
      </c>
      <c r="K1570" s="65">
        <v>2077.6000000000004</v>
      </c>
      <c r="L1570" s="65">
        <v>77911.480109453347</v>
      </c>
      <c r="M1570" s="65">
        <v>13.700000000000001</v>
      </c>
      <c r="N1570" s="65">
        <v>658.00719480377018</v>
      </c>
      <c r="O1570" s="65">
        <v>2091.3000000000002</v>
      </c>
      <c r="P1570" s="65">
        <v>78569.487304257113</v>
      </c>
      <c r="Q1570" s="50">
        <v>77918.840000000011</v>
      </c>
      <c r="R1570" s="65">
        <v>0</v>
      </c>
      <c r="S1570" s="65">
        <v>658.00719480377018</v>
      </c>
      <c r="T1570" s="65">
        <v>650.6473042571015</v>
      </c>
      <c r="U1570" s="65">
        <v>0</v>
      </c>
      <c r="V1570" s="65">
        <v>0</v>
      </c>
      <c r="W1570" s="65">
        <v>0</v>
      </c>
      <c r="X1570" s="65">
        <v>77261</v>
      </c>
      <c r="Y1570" s="65">
        <v>0</v>
      </c>
      <c r="Z1570" s="65">
        <v>0</v>
      </c>
      <c r="AA1570" s="51">
        <v>0</v>
      </c>
      <c r="AB1570" s="102">
        <v>0</v>
      </c>
      <c r="AC1570" s="81">
        <f t="shared" si="75"/>
        <v>0</v>
      </c>
      <c r="AD1570" s="82">
        <f t="shared" si="76"/>
        <v>0</v>
      </c>
      <c r="AE1570" s="218">
        <v>-8.3503207216265203E-3</v>
      </c>
      <c r="AF1570">
        <v>43</v>
      </c>
      <c r="AH1570" t="str">
        <f t="shared" si="77"/>
        <v>Dumraon</v>
      </c>
      <c r="AJ1570" s="72">
        <v>0</v>
      </c>
      <c r="AK1570" s="72"/>
      <c r="AL1570" s="72"/>
      <c r="AM1570" s="72"/>
    </row>
    <row r="1571" spans="1:39" x14ac:dyDescent="0.25">
      <c r="A1571" s="37" t="s">
        <v>62</v>
      </c>
      <c r="B1571" s="66" t="s">
        <v>1615</v>
      </c>
      <c r="C1571" s="47">
        <v>1014</v>
      </c>
      <c r="D1571" s="47" t="s">
        <v>376</v>
      </c>
      <c r="E1571" s="43">
        <v>10510002</v>
      </c>
      <c r="F1571" s="46" t="s">
        <v>422</v>
      </c>
      <c r="G1571" s="39" t="s">
        <v>93</v>
      </c>
      <c r="H1571" s="48" t="s">
        <v>94</v>
      </c>
      <c r="I1571" s="52">
        <v>1589.3</v>
      </c>
      <c r="J1571" s="49">
        <v>64374.83</v>
      </c>
      <c r="K1571" s="65">
        <v>1578.03</v>
      </c>
      <c r="L1571" s="65">
        <v>64140.940660162581</v>
      </c>
      <c r="M1571" s="65">
        <v>6.57</v>
      </c>
      <c r="N1571" s="65">
        <v>266.39649550800004</v>
      </c>
      <c r="O1571" s="65">
        <v>1584.6</v>
      </c>
      <c r="P1571" s="65">
        <v>64407.337155670582</v>
      </c>
      <c r="Q1571" s="50">
        <v>64374.83</v>
      </c>
      <c r="R1571" s="65">
        <v>0</v>
      </c>
      <c r="S1571" s="65">
        <v>266.39649550800004</v>
      </c>
      <c r="T1571" s="65">
        <v>32.507155670580687</v>
      </c>
      <c r="U1571" s="65">
        <v>0</v>
      </c>
      <c r="V1571" s="65">
        <v>0</v>
      </c>
      <c r="W1571" s="65">
        <v>0</v>
      </c>
      <c r="X1571" s="65">
        <v>64108</v>
      </c>
      <c r="Y1571" s="65">
        <v>0</v>
      </c>
      <c r="Z1571" s="65">
        <v>0</v>
      </c>
      <c r="AA1571" s="51">
        <v>0</v>
      </c>
      <c r="AB1571" s="102">
        <v>0</v>
      </c>
      <c r="AC1571" s="81">
        <f t="shared" si="75"/>
        <v>0</v>
      </c>
      <c r="AD1571" s="82">
        <f t="shared" si="76"/>
        <v>0</v>
      </c>
      <c r="AE1571" s="218">
        <v>-5.0496685848460787E-4</v>
      </c>
      <c r="AF1571">
        <v>9</v>
      </c>
      <c r="AH1571" t="str">
        <f t="shared" si="77"/>
        <v>Dumraon</v>
      </c>
      <c r="AJ1571" s="72">
        <v>0</v>
      </c>
      <c r="AK1571" s="72"/>
      <c r="AL1571" s="72"/>
      <c r="AM1571" s="72"/>
    </row>
    <row r="1572" spans="1:39" x14ac:dyDescent="0.25">
      <c r="A1572" s="37" t="s">
        <v>62</v>
      </c>
      <c r="B1572" s="66" t="s">
        <v>1615</v>
      </c>
      <c r="C1572" s="47">
        <v>1014</v>
      </c>
      <c r="D1572" s="47" t="s">
        <v>376</v>
      </c>
      <c r="E1572" s="112">
        <v>10510004</v>
      </c>
      <c r="F1572" s="46" t="s">
        <v>423</v>
      </c>
      <c r="G1572" s="110" t="s">
        <v>93</v>
      </c>
      <c r="H1572" s="48" t="s">
        <v>94</v>
      </c>
      <c r="I1572" s="111">
        <v>2374</v>
      </c>
      <c r="J1572" s="49">
        <v>87451.77</v>
      </c>
      <c r="K1572" s="65">
        <v>2559.5</v>
      </c>
      <c r="L1572" s="65">
        <v>106547.11272188801</v>
      </c>
      <c r="M1572" s="65">
        <v>27.5</v>
      </c>
      <c r="N1572" s="65">
        <v>1565.1694710968002</v>
      </c>
      <c r="O1572" s="65">
        <v>2587</v>
      </c>
      <c r="P1572" s="65">
        <v>108112.28219298481</v>
      </c>
      <c r="Q1572" s="50">
        <v>87451.77</v>
      </c>
      <c r="R1572" s="65">
        <v>0</v>
      </c>
      <c r="S1572" s="65">
        <v>1565.1694710968002</v>
      </c>
      <c r="T1572" s="65">
        <v>20660.51219298481</v>
      </c>
      <c r="U1572" s="65">
        <v>0</v>
      </c>
      <c r="V1572" s="65">
        <v>0</v>
      </c>
      <c r="W1572" s="65">
        <v>0</v>
      </c>
      <c r="X1572" s="65">
        <v>85887</v>
      </c>
      <c r="Y1572" s="65">
        <v>0</v>
      </c>
      <c r="Z1572" s="65">
        <v>0</v>
      </c>
      <c r="AA1572" s="51">
        <v>0</v>
      </c>
      <c r="AB1572" s="102">
        <v>0</v>
      </c>
      <c r="AC1572" s="81">
        <f t="shared" si="75"/>
        <v>0</v>
      </c>
      <c r="AD1572" s="82">
        <f t="shared" si="76"/>
        <v>0</v>
      </c>
      <c r="AE1572" s="218">
        <v>-0.23625036054713139</v>
      </c>
      <c r="AF1572">
        <v>5</v>
      </c>
      <c r="AH1572" t="str">
        <f t="shared" si="77"/>
        <v>Dumraon</v>
      </c>
      <c r="AJ1572" s="72">
        <v>0</v>
      </c>
      <c r="AK1572" s="72"/>
      <c r="AL1572" s="72"/>
      <c r="AM1572" s="72"/>
    </row>
    <row r="1573" spans="1:39" x14ac:dyDescent="0.25">
      <c r="A1573" s="37" t="s">
        <v>62</v>
      </c>
      <c r="B1573" s="66" t="s">
        <v>1615</v>
      </c>
      <c r="C1573" s="47">
        <v>1012</v>
      </c>
      <c r="D1573" s="47" t="s">
        <v>314</v>
      </c>
      <c r="E1573" s="43">
        <v>10520006</v>
      </c>
      <c r="F1573" s="46" t="s">
        <v>1179</v>
      </c>
      <c r="G1573" s="39" t="s">
        <v>635</v>
      </c>
      <c r="H1573" s="48" t="s">
        <v>99</v>
      </c>
      <c r="I1573" s="52">
        <v>21680</v>
      </c>
      <c r="J1573" s="49">
        <v>757270</v>
      </c>
      <c r="K1573" s="65">
        <v>0</v>
      </c>
      <c r="L1573" s="65">
        <v>0</v>
      </c>
      <c r="M1573" s="65">
        <v>0</v>
      </c>
      <c r="N1573" s="65">
        <v>0</v>
      </c>
      <c r="O1573" s="65">
        <v>0</v>
      </c>
      <c r="P1573" s="65">
        <v>0</v>
      </c>
      <c r="Q1573" s="50">
        <v>757270</v>
      </c>
      <c r="R1573" s="65">
        <v>0</v>
      </c>
      <c r="S1573" s="65">
        <v>0</v>
      </c>
      <c r="T1573" s="65">
        <v>0</v>
      </c>
      <c r="U1573" s="65">
        <v>0</v>
      </c>
      <c r="V1573" s="65">
        <v>0</v>
      </c>
      <c r="W1573" s="65">
        <v>0</v>
      </c>
      <c r="X1573" s="65">
        <v>0</v>
      </c>
      <c r="Y1573" s="65">
        <v>0</v>
      </c>
      <c r="Z1573" s="65">
        <v>757270</v>
      </c>
      <c r="AA1573" s="51">
        <v>0</v>
      </c>
      <c r="AB1573" s="102">
        <v>0</v>
      </c>
      <c r="AC1573" s="81">
        <f t="shared" si="75"/>
        <v>0</v>
      </c>
      <c r="AD1573" s="82">
        <f t="shared" si="76"/>
        <v>0</v>
      </c>
      <c r="AE1573" s="218">
        <v>0</v>
      </c>
      <c r="AF1573">
        <v>0</v>
      </c>
      <c r="AH1573" t="str">
        <f t="shared" si="77"/>
        <v>DalsinghSarai</v>
      </c>
      <c r="AJ1573" s="72">
        <v>0</v>
      </c>
      <c r="AK1573" s="72"/>
      <c r="AL1573" s="72"/>
      <c r="AM1573" s="72"/>
    </row>
    <row r="1574" spans="1:39" x14ac:dyDescent="0.25">
      <c r="A1574" s="37" t="s">
        <v>62</v>
      </c>
      <c r="B1574" s="66" t="s">
        <v>1615</v>
      </c>
      <c r="C1574" s="47">
        <v>1012</v>
      </c>
      <c r="D1574" s="47" t="s">
        <v>314</v>
      </c>
      <c r="E1574" s="113">
        <v>10520007</v>
      </c>
      <c r="F1574" s="46" t="s">
        <v>1589</v>
      </c>
      <c r="G1574" s="48" t="s">
        <v>635</v>
      </c>
      <c r="H1574" s="48" t="s">
        <v>99</v>
      </c>
      <c r="I1574" s="49">
        <v>2966</v>
      </c>
      <c r="J1574" s="49">
        <v>101482.36</v>
      </c>
      <c r="K1574" s="65">
        <v>0</v>
      </c>
      <c r="L1574" s="65">
        <v>0</v>
      </c>
      <c r="M1574" s="65">
        <v>0</v>
      </c>
      <c r="N1574" s="65">
        <v>0</v>
      </c>
      <c r="O1574" s="65">
        <v>0</v>
      </c>
      <c r="P1574" s="65">
        <v>0</v>
      </c>
      <c r="Q1574" s="50">
        <v>101482.36</v>
      </c>
      <c r="R1574" s="65">
        <v>0</v>
      </c>
      <c r="S1574" s="65">
        <v>0</v>
      </c>
      <c r="T1574" s="65">
        <v>0</v>
      </c>
      <c r="U1574" s="65">
        <v>0</v>
      </c>
      <c r="V1574" s="65">
        <v>0</v>
      </c>
      <c r="W1574" s="65">
        <v>0</v>
      </c>
      <c r="X1574" s="65">
        <v>0</v>
      </c>
      <c r="Y1574" s="65">
        <v>0</v>
      </c>
      <c r="Z1574" s="65">
        <v>101482.36</v>
      </c>
      <c r="AA1574" s="51">
        <v>0</v>
      </c>
      <c r="AB1574" s="102">
        <v>0</v>
      </c>
      <c r="AC1574" s="81">
        <f t="shared" si="75"/>
        <v>0</v>
      </c>
      <c r="AD1574" s="82">
        <f t="shared" si="76"/>
        <v>0</v>
      </c>
      <c r="AE1574" s="218">
        <v>0</v>
      </c>
      <c r="AF1574">
        <v>0</v>
      </c>
      <c r="AH1574" t="str">
        <f t="shared" si="77"/>
        <v>DalsinghSarai</v>
      </c>
      <c r="AJ1574" s="72">
        <v>0</v>
      </c>
      <c r="AK1574" s="72"/>
      <c r="AL1574" s="72"/>
      <c r="AM1574" s="72"/>
    </row>
    <row r="1575" spans="1:39" x14ac:dyDescent="0.25">
      <c r="A1575" s="37" t="s">
        <v>62</v>
      </c>
      <c r="B1575" s="66" t="s">
        <v>1615</v>
      </c>
      <c r="C1575" s="47">
        <v>1053</v>
      </c>
      <c r="D1575" s="47" t="s">
        <v>542</v>
      </c>
      <c r="E1575" s="41">
        <v>10520010</v>
      </c>
      <c r="F1575" s="46" t="s">
        <v>1330</v>
      </c>
      <c r="G1575" s="39" t="s">
        <v>635</v>
      </c>
      <c r="H1575" s="48" t="s">
        <v>99</v>
      </c>
      <c r="I1575" s="52">
        <v>5433</v>
      </c>
      <c r="J1575" s="49">
        <v>215827.90999999997</v>
      </c>
      <c r="K1575" s="65">
        <v>0</v>
      </c>
      <c r="L1575" s="65">
        <v>0</v>
      </c>
      <c r="M1575" s="65">
        <v>0</v>
      </c>
      <c r="N1575" s="65">
        <v>0</v>
      </c>
      <c r="O1575" s="65">
        <v>0</v>
      </c>
      <c r="P1575" s="65">
        <v>0</v>
      </c>
      <c r="Q1575" s="50">
        <v>215827.90999999997</v>
      </c>
      <c r="R1575" s="65">
        <v>0</v>
      </c>
      <c r="S1575" s="65">
        <v>0</v>
      </c>
      <c r="T1575" s="65">
        <v>0</v>
      </c>
      <c r="U1575" s="65">
        <v>0</v>
      </c>
      <c r="V1575" s="65">
        <v>0</v>
      </c>
      <c r="W1575" s="65">
        <v>0</v>
      </c>
      <c r="X1575" s="65">
        <v>0</v>
      </c>
      <c r="Y1575" s="65">
        <v>0</v>
      </c>
      <c r="Z1575" s="65">
        <v>215827.90999999997</v>
      </c>
      <c r="AA1575" s="51">
        <v>0</v>
      </c>
      <c r="AB1575" s="102">
        <v>0</v>
      </c>
      <c r="AC1575" s="81">
        <f t="shared" si="75"/>
        <v>0</v>
      </c>
      <c r="AD1575" s="82">
        <f t="shared" si="76"/>
        <v>0</v>
      </c>
      <c r="AE1575" s="218">
        <v>0</v>
      </c>
      <c r="AF1575">
        <v>0</v>
      </c>
      <c r="AH1575" t="str">
        <f t="shared" si="77"/>
        <v>Kalyanpur</v>
      </c>
      <c r="AJ1575" s="72">
        <v>0</v>
      </c>
      <c r="AK1575" s="72"/>
      <c r="AL1575" s="72"/>
      <c r="AM1575" s="72"/>
    </row>
    <row r="1576" spans="1:39" x14ac:dyDescent="0.25">
      <c r="A1576" s="37" t="s">
        <v>62</v>
      </c>
      <c r="B1576" s="66" t="s">
        <v>1615</v>
      </c>
      <c r="C1576" s="47">
        <v>1010</v>
      </c>
      <c r="D1576" s="47" t="s">
        <v>1359</v>
      </c>
      <c r="E1576" s="41">
        <v>10520011</v>
      </c>
      <c r="F1576" s="46" t="s">
        <v>1546</v>
      </c>
      <c r="G1576" s="39" t="s">
        <v>635</v>
      </c>
      <c r="H1576" s="48" t="s">
        <v>99</v>
      </c>
      <c r="I1576" s="52">
        <v>5160</v>
      </c>
      <c r="J1576" s="49">
        <v>168549.6</v>
      </c>
      <c r="K1576" s="65">
        <v>0</v>
      </c>
      <c r="L1576" s="65">
        <v>0</v>
      </c>
      <c r="M1576" s="65">
        <v>0</v>
      </c>
      <c r="N1576" s="65">
        <v>0</v>
      </c>
      <c r="O1576" s="65">
        <v>0</v>
      </c>
      <c r="P1576" s="65">
        <v>0</v>
      </c>
      <c r="Q1576" s="50">
        <v>168549.6</v>
      </c>
      <c r="R1576" s="65">
        <v>0</v>
      </c>
      <c r="S1576" s="65">
        <v>0</v>
      </c>
      <c r="T1576" s="65">
        <v>0</v>
      </c>
      <c r="U1576" s="65">
        <v>0</v>
      </c>
      <c r="V1576" s="65">
        <v>0</v>
      </c>
      <c r="W1576" s="65">
        <v>0</v>
      </c>
      <c r="X1576" s="65">
        <v>0</v>
      </c>
      <c r="Y1576" s="65">
        <v>0</v>
      </c>
      <c r="Z1576" s="65">
        <v>168549.6</v>
      </c>
      <c r="AA1576" s="51">
        <v>0</v>
      </c>
      <c r="AB1576" s="102">
        <v>0</v>
      </c>
      <c r="AC1576" s="81">
        <f t="shared" si="75"/>
        <v>0</v>
      </c>
      <c r="AD1576" s="82">
        <f t="shared" si="76"/>
        <v>0</v>
      </c>
      <c r="AE1576" s="218">
        <v>0</v>
      </c>
      <c r="AF1576">
        <v>0</v>
      </c>
      <c r="AH1576" t="str">
        <f t="shared" si="77"/>
        <v>Parbatta</v>
      </c>
      <c r="AJ1576" s="72">
        <v>0</v>
      </c>
      <c r="AK1576" s="72"/>
      <c r="AL1576" s="72"/>
      <c r="AM1576" s="72"/>
    </row>
    <row r="1577" spans="1:39" x14ac:dyDescent="0.25">
      <c r="A1577" s="37" t="s">
        <v>62</v>
      </c>
      <c r="B1577" s="66" t="s">
        <v>1615</v>
      </c>
      <c r="C1577" s="47">
        <v>1053</v>
      </c>
      <c r="D1577" s="47" t="s">
        <v>542</v>
      </c>
      <c r="E1577" s="41">
        <v>10530001</v>
      </c>
      <c r="F1577" s="46" t="s">
        <v>543</v>
      </c>
      <c r="G1577" s="39" t="s">
        <v>93</v>
      </c>
      <c r="H1577" s="48" t="s">
        <v>94</v>
      </c>
      <c r="I1577" s="52">
        <v>1234.4999999999995</v>
      </c>
      <c r="J1577" s="49">
        <v>51804.960000000006</v>
      </c>
      <c r="K1577" s="65">
        <v>1229.77</v>
      </c>
      <c r="L1577" s="65">
        <v>51881.281317862107</v>
      </c>
      <c r="M1577" s="65">
        <v>12.43</v>
      </c>
      <c r="N1577" s="65">
        <v>520.02118198800008</v>
      </c>
      <c r="O1577" s="65">
        <v>1242.2</v>
      </c>
      <c r="P1577" s="65">
        <v>52401.302499850106</v>
      </c>
      <c r="Q1577" s="50">
        <v>51804.960000000006</v>
      </c>
      <c r="R1577" s="65">
        <v>0</v>
      </c>
      <c r="S1577" s="65">
        <v>520.02118198800008</v>
      </c>
      <c r="T1577" s="65">
        <v>596.34249985009956</v>
      </c>
      <c r="U1577" s="65">
        <v>0</v>
      </c>
      <c r="V1577" s="65">
        <v>0</v>
      </c>
      <c r="W1577" s="65">
        <v>0</v>
      </c>
      <c r="X1577" s="65">
        <v>51285</v>
      </c>
      <c r="Y1577" s="65">
        <v>0</v>
      </c>
      <c r="Z1577" s="65">
        <v>0</v>
      </c>
      <c r="AA1577" s="51">
        <v>0</v>
      </c>
      <c r="AB1577" s="102">
        <v>0</v>
      </c>
      <c r="AC1577" s="81">
        <f t="shared" si="75"/>
        <v>0</v>
      </c>
      <c r="AD1577" s="82">
        <f t="shared" si="76"/>
        <v>0</v>
      </c>
      <c r="AE1577" s="218">
        <v>-1.1511301231582834E-2</v>
      </c>
      <c r="AF1577">
        <v>26</v>
      </c>
      <c r="AH1577" t="str">
        <f t="shared" si="77"/>
        <v>Kalyanpur</v>
      </c>
      <c r="AJ1577" s="72">
        <v>0</v>
      </c>
      <c r="AK1577" s="72"/>
      <c r="AL1577" s="72"/>
      <c r="AM1577" s="72"/>
    </row>
    <row r="1578" spans="1:39" x14ac:dyDescent="0.25">
      <c r="A1578" s="37" t="s">
        <v>62</v>
      </c>
      <c r="B1578" s="66" t="s">
        <v>1615</v>
      </c>
      <c r="C1578" s="47">
        <v>1053</v>
      </c>
      <c r="D1578" s="47" t="s">
        <v>542</v>
      </c>
      <c r="E1578" s="41">
        <v>10530002</v>
      </c>
      <c r="F1578" s="46" t="s">
        <v>544</v>
      </c>
      <c r="G1578" s="39" t="s">
        <v>93</v>
      </c>
      <c r="H1578" s="48" t="s">
        <v>94</v>
      </c>
      <c r="I1578" s="52">
        <v>1338.8999999999999</v>
      </c>
      <c r="J1578" s="49">
        <v>56357.710000000006</v>
      </c>
      <c r="K1578" s="65">
        <v>1338.6400000000003</v>
      </c>
      <c r="L1578" s="65">
        <v>55705.413324240501</v>
      </c>
      <c r="M1578" s="65">
        <v>14.81</v>
      </c>
      <c r="N1578" s="65">
        <v>631.28024071200014</v>
      </c>
      <c r="O1578" s="65">
        <v>1353.4500000000003</v>
      </c>
      <c r="P1578" s="65">
        <v>56336.693564952504</v>
      </c>
      <c r="Q1578" s="50">
        <v>56336.693564952504</v>
      </c>
      <c r="R1578" s="65">
        <v>0</v>
      </c>
      <c r="S1578" s="65">
        <v>631.28024071200014</v>
      </c>
      <c r="T1578" s="65">
        <v>0</v>
      </c>
      <c r="U1578" s="65">
        <v>937</v>
      </c>
      <c r="V1578" s="65">
        <v>0</v>
      </c>
      <c r="W1578" s="65">
        <v>0</v>
      </c>
      <c r="X1578" s="65">
        <v>54771</v>
      </c>
      <c r="Y1578" s="65">
        <v>0</v>
      </c>
      <c r="Z1578" s="65">
        <v>0</v>
      </c>
      <c r="AA1578" s="51">
        <v>18</v>
      </c>
      <c r="AB1578" s="102">
        <v>0</v>
      </c>
      <c r="AC1578" s="81">
        <f t="shared" si="75"/>
        <v>0</v>
      </c>
      <c r="AD1578" s="82">
        <f t="shared" si="76"/>
        <v>0</v>
      </c>
      <c r="AE1578" s="218">
        <v>3.7291144454773718E-4</v>
      </c>
      <c r="AF1578">
        <v>30</v>
      </c>
      <c r="AH1578" t="str">
        <f t="shared" si="77"/>
        <v>Kalyanpur</v>
      </c>
      <c r="AJ1578" s="72">
        <v>0</v>
      </c>
      <c r="AK1578" s="72"/>
      <c r="AL1578" s="72"/>
      <c r="AM1578" s="72"/>
    </row>
    <row r="1579" spans="1:39" x14ac:dyDescent="0.25">
      <c r="A1579" s="37" t="s">
        <v>62</v>
      </c>
      <c r="B1579" s="66" t="s">
        <v>1615</v>
      </c>
      <c r="C1579" s="47">
        <v>1053</v>
      </c>
      <c r="D1579" s="47" t="s">
        <v>542</v>
      </c>
      <c r="E1579" s="41">
        <v>10530003</v>
      </c>
      <c r="F1579" s="46" t="s">
        <v>545</v>
      </c>
      <c r="G1579" s="39" t="s">
        <v>93</v>
      </c>
      <c r="H1579" s="48" t="s">
        <v>94</v>
      </c>
      <c r="I1579" s="52">
        <v>562.65</v>
      </c>
      <c r="J1579" s="49">
        <v>25170.28</v>
      </c>
      <c r="K1579" s="65">
        <v>562.9799999999999</v>
      </c>
      <c r="L1579" s="65">
        <v>24240.291853518342</v>
      </c>
      <c r="M1579" s="65">
        <v>5.46</v>
      </c>
      <c r="N1579" s="65">
        <v>226.53533319120004</v>
      </c>
      <c r="O1579" s="65">
        <v>568.43999999999994</v>
      </c>
      <c r="P1579" s="65">
        <v>24466.827186709543</v>
      </c>
      <c r="Q1579" s="50">
        <v>24466.827186709543</v>
      </c>
      <c r="R1579" s="65">
        <v>0</v>
      </c>
      <c r="S1579" s="65">
        <v>226.53533319120004</v>
      </c>
      <c r="T1579" s="65">
        <v>0</v>
      </c>
      <c r="U1579" s="65">
        <v>73</v>
      </c>
      <c r="V1579" s="65">
        <v>0</v>
      </c>
      <c r="W1579" s="65">
        <v>0</v>
      </c>
      <c r="X1579" s="65">
        <v>24169</v>
      </c>
      <c r="Y1579" s="65">
        <v>0</v>
      </c>
      <c r="Z1579" s="65">
        <v>0</v>
      </c>
      <c r="AA1579" s="51">
        <v>702</v>
      </c>
      <c r="AB1579" s="102">
        <v>0</v>
      </c>
      <c r="AC1579" s="81">
        <f t="shared" si="75"/>
        <v>122.88769067804148</v>
      </c>
      <c r="AD1579" s="82">
        <f t="shared" si="76"/>
        <v>80.378571428571419</v>
      </c>
      <c r="AE1579" s="218">
        <v>2.7947754784231886E-2</v>
      </c>
      <c r="AF1579">
        <v>25</v>
      </c>
      <c r="AH1579" t="str">
        <f t="shared" si="77"/>
        <v>Kalyanpur</v>
      </c>
      <c r="AJ1579" s="72">
        <v>0</v>
      </c>
      <c r="AK1579" s="72"/>
      <c r="AL1579" s="72"/>
      <c r="AM1579" s="72"/>
    </row>
    <row r="1580" spans="1:39" x14ac:dyDescent="0.25">
      <c r="A1580" s="37" t="s">
        <v>62</v>
      </c>
      <c r="B1580" s="66" t="s">
        <v>1615</v>
      </c>
      <c r="C1580" s="47">
        <v>1053</v>
      </c>
      <c r="D1580" s="47" t="s">
        <v>542</v>
      </c>
      <c r="E1580" s="41">
        <v>10530005</v>
      </c>
      <c r="F1580" s="46" t="s">
        <v>546</v>
      </c>
      <c r="G1580" s="39" t="s">
        <v>93</v>
      </c>
      <c r="H1580" s="48" t="s">
        <v>94</v>
      </c>
      <c r="I1580" s="52">
        <v>456.30000000000007</v>
      </c>
      <c r="J1580" s="49">
        <v>20597.939999999999</v>
      </c>
      <c r="K1580" s="65">
        <v>442.81</v>
      </c>
      <c r="L1580" s="65">
        <v>19805.910293256551</v>
      </c>
      <c r="M1580" s="65">
        <v>9.25</v>
      </c>
      <c r="N1580" s="65">
        <v>405.28726024591799</v>
      </c>
      <c r="O1580" s="65">
        <v>452.06</v>
      </c>
      <c r="P1580" s="65">
        <v>20211.197553502469</v>
      </c>
      <c r="Q1580" s="50">
        <v>20211.197553502469</v>
      </c>
      <c r="R1580" s="65">
        <v>0</v>
      </c>
      <c r="S1580" s="65">
        <v>405.28726024591799</v>
      </c>
      <c r="T1580" s="65">
        <v>0</v>
      </c>
      <c r="U1580" s="65">
        <v>1687</v>
      </c>
      <c r="V1580" s="65">
        <v>0</v>
      </c>
      <c r="W1580" s="65">
        <v>0</v>
      </c>
      <c r="X1580" s="65">
        <v>18120</v>
      </c>
      <c r="Y1580" s="65">
        <v>0</v>
      </c>
      <c r="Z1580" s="65">
        <v>0</v>
      </c>
      <c r="AA1580" s="51">
        <v>386</v>
      </c>
      <c r="AB1580" s="102">
        <v>0</v>
      </c>
      <c r="AC1580" s="81">
        <f t="shared" si="75"/>
        <v>220.01832031558175</v>
      </c>
      <c r="AD1580" s="82">
        <f t="shared" si="76"/>
        <v>65.185714285714297</v>
      </c>
      <c r="AE1580" s="218">
        <v>1.8775782748057825E-2</v>
      </c>
      <c r="AF1580">
        <v>16</v>
      </c>
      <c r="AH1580" t="str">
        <f t="shared" si="77"/>
        <v>Kalyanpur</v>
      </c>
      <c r="AJ1580" s="72">
        <v>0</v>
      </c>
      <c r="AK1580" s="72"/>
      <c r="AL1580" s="72"/>
      <c r="AM1580" s="72"/>
    </row>
    <row r="1581" spans="1:39" x14ac:dyDescent="0.25">
      <c r="A1581" s="37" t="s">
        <v>62</v>
      </c>
      <c r="B1581" s="66" t="s">
        <v>1615</v>
      </c>
      <c r="C1581" s="47">
        <v>1053</v>
      </c>
      <c r="D1581" s="47" t="s">
        <v>542</v>
      </c>
      <c r="E1581" s="41">
        <v>10530006</v>
      </c>
      <c r="F1581" s="46" t="s">
        <v>547</v>
      </c>
      <c r="G1581" s="39" t="s">
        <v>93</v>
      </c>
      <c r="H1581" s="48" t="s">
        <v>94</v>
      </c>
      <c r="I1581" s="52">
        <v>1211.2000000000003</v>
      </c>
      <c r="J1581" s="49">
        <v>48907.12000000001</v>
      </c>
      <c r="K1581" s="65">
        <v>1207.1799999999998</v>
      </c>
      <c r="L1581" s="65">
        <v>47506.727592639669</v>
      </c>
      <c r="M1581" s="65">
        <v>25.83</v>
      </c>
      <c r="N1581" s="65">
        <v>1220.21974655901</v>
      </c>
      <c r="O1581" s="65">
        <v>1233.0099999999998</v>
      </c>
      <c r="P1581" s="65">
        <v>48726.947339198676</v>
      </c>
      <c r="Q1581" s="50">
        <v>48726.947339198676</v>
      </c>
      <c r="R1581" s="65">
        <v>0</v>
      </c>
      <c r="S1581" s="65">
        <v>1220.21974655901</v>
      </c>
      <c r="T1581" s="65">
        <v>0</v>
      </c>
      <c r="U1581" s="65">
        <v>0</v>
      </c>
      <c r="V1581" s="65">
        <v>0</v>
      </c>
      <c r="W1581" s="65">
        <v>0</v>
      </c>
      <c r="X1581" s="65">
        <v>47509</v>
      </c>
      <c r="Y1581" s="65">
        <v>0</v>
      </c>
      <c r="Z1581" s="65">
        <v>0</v>
      </c>
      <c r="AA1581" s="51">
        <v>178</v>
      </c>
      <c r="AB1581" s="102">
        <v>0</v>
      </c>
      <c r="AC1581" s="81">
        <f t="shared" si="75"/>
        <v>0</v>
      </c>
      <c r="AD1581" s="82">
        <f t="shared" si="76"/>
        <v>0</v>
      </c>
      <c r="AE1581" s="218">
        <v>3.6839760918519452E-3</v>
      </c>
      <c r="AF1581">
        <v>59</v>
      </c>
      <c r="AH1581" t="str">
        <f t="shared" si="77"/>
        <v>Kalyanpur</v>
      </c>
      <c r="AJ1581" s="72">
        <v>0</v>
      </c>
      <c r="AK1581" s="72"/>
      <c r="AL1581" s="72"/>
      <c r="AM1581" s="72"/>
    </row>
    <row r="1582" spans="1:39" x14ac:dyDescent="0.25">
      <c r="A1582" s="37" t="s">
        <v>62</v>
      </c>
      <c r="B1582" s="66" t="s">
        <v>1615</v>
      </c>
      <c r="C1582" s="47">
        <v>1053</v>
      </c>
      <c r="D1582" s="47" t="s">
        <v>542</v>
      </c>
      <c r="E1582" s="41">
        <v>10530007</v>
      </c>
      <c r="F1582" s="46" t="s">
        <v>548</v>
      </c>
      <c r="G1582" s="39" t="s">
        <v>93</v>
      </c>
      <c r="H1582" s="48" t="s">
        <v>94</v>
      </c>
      <c r="I1582" s="52">
        <v>430.15000000000003</v>
      </c>
      <c r="J1582" s="49">
        <v>19125.420000000002</v>
      </c>
      <c r="K1582" s="65">
        <v>413.18</v>
      </c>
      <c r="L1582" s="65">
        <v>18440.620608529574</v>
      </c>
      <c r="M1582" s="65">
        <v>1.6099999999999999</v>
      </c>
      <c r="N1582" s="65">
        <v>86.618949812050005</v>
      </c>
      <c r="O1582" s="65">
        <v>414.79</v>
      </c>
      <c r="P1582" s="65">
        <v>18527.239558341626</v>
      </c>
      <c r="Q1582" s="50">
        <v>18527.239558341626</v>
      </c>
      <c r="R1582" s="65">
        <v>0</v>
      </c>
      <c r="S1582" s="65">
        <v>86.618949812050005</v>
      </c>
      <c r="T1582" s="65">
        <v>0</v>
      </c>
      <c r="U1582" s="65">
        <v>0</v>
      </c>
      <c r="V1582" s="65">
        <v>0</v>
      </c>
      <c r="W1582" s="65">
        <v>0</v>
      </c>
      <c r="X1582" s="65">
        <v>18442</v>
      </c>
      <c r="Y1582" s="65">
        <v>0</v>
      </c>
      <c r="Z1582" s="65">
        <v>0</v>
      </c>
      <c r="AA1582" s="51">
        <v>597</v>
      </c>
      <c r="AB1582" s="102">
        <v>0</v>
      </c>
      <c r="AC1582" s="81">
        <f t="shared" si="75"/>
        <v>239.96255199349065</v>
      </c>
      <c r="AD1582" s="82">
        <f t="shared" si="76"/>
        <v>61.45</v>
      </c>
      <c r="AE1582" s="218">
        <v>3.1276721852820814E-2</v>
      </c>
      <c r="AF1582">
        <v>13</v>
      </c>
      <c r="AH1582" t="str">
        <f t="shared" si="77"/>
        <v>Kalyanpur</v>
      </c>
      <c r="AJ1582" s="72">
        <v>0</v>
      </c>
      <c r="AK1582" s="72"/>
      <c r="AL1582" s="72"/>
      <c r="AM1582" s="72"/>
    </row>
    <row r="1583" spans="1:39" x14ac:dyDescent="0.25">
      <c r="A1583" s="37" t="s">
        <v>62</v>
      </c>
      <c r="B1583" s="66" t="s">
        <v>1615</v>
      </c>
      <c r="C1583" s="47">
        <v>1053</v>
      </c>
      <c r="D1583" s="47" t="s">
        <v>542</v>
      </c>
      <c r="E1583" s="41">
        <v>10530008</v>
      </c>
      <c r="F1583" s="46" t="s">
        <v>549</v>
      </c>
      <c r="G1583" s="39" t="s">
        <v>93</v>
      </c>
      <c r="H1583" s="48" t="s">
        <v>94</v>
      </c>
      <c r="I1583" s="52">
        <v>321.90000000000003</v>
      </c>
      <c r="J1583" s="49">
        <v>16052.41</v>
      </c>
      <c r="K1583" s="65">
        <v>321.10000000000002</v>
      </c>
      <c r="L1583" s="65">
        <v>15997.264291617852</v>
      </c>
      <c r="M1583" s="65">
        <v>3.35</v>
      </c>
      <c r="N1583" s="65">
        <v>147.05291437455</v>
      </c>
      <c r="O1583" s="65">
        <v>324.45000000000005</v>
      </c>
      <c r="P1583" s="65">
        <v>16144.317205992402</v>
      </c>
      <c r="Q1583" s="50">
        <v>16052.41</v>
      </c>
      <c r="R1583" s="65">
        <v>0</v>
      </c>
      <c r="S1583" s="65">
        <v>147.05291437455</v>
      </c>
      <c r="T1583" s="65">
        <v>91.907205992401941</v>
      </c>
      <c r="U1583" s="65">
        <v>0</v>
      </c>
      <c r="V1583" s="65">
        <v>0</v>
      </c>
      <c r="W1583" s="65">
        <v>0</v>
      </c>
      <c r="X1583" s="65">
        <v>15905</v>
      </c>
      <c r="Y1583" s="65">
        <v>0</v>
      </c>
      <c r="Z1583" s="65">
        <v>0</v>
      </c>
      <c r="AA1583" s="51">
        <v>0</v>
      </c>
      <c r="AB1583" s="102">
        <v>0</v>
      </c>
      <c r="AC1583" s="81">
        <f t="shared" si="75"/>
        <v>377.09948561665107</v>
      </c>
      <c r="AD1583" s="82">
        <f t="shared" si="76"/>
        <v>45.985714285714288</v>
      </c>
      <c r="AE1583" s="218">
        <v>-5.7254459606004299E-3</v>
      </c>
      <c r="AF1583">
        <v>8</v>
      </c>
      <c r="AH1583" t="str">
        <f t="shared" si="77"/>
        <v>Kalyanpur</v>
      </c>
      <c r="AJ1583" s="72">
        <v>0</v>
      </c>
      <c r="AK1583" s="72"/>
      <c r="AL1583" s="72"/>
      <c r="AM1583" s="72"/>
    </row>
    <row r="1584" spans="1:39" x14ac:dyDescent="0.25">
      <c r="A1584" s="37" t="s">
        <v>62</v>
      </c>
      <c r="B1584" s="66" t="s">
        <v>1615</v>
      </c>
      <c r="C1584" s="47">
        <v>1053</v>
      </c>
      <c r="D1584" s="47" t="s">
        <v>542</v>
      </c>
      <c r="E1584" s="41">
        <v>10530009</v>
      </c>
      <c r="F1584" s="46" t="s">
        <v>550</v>
      </c>
      <c r="G1584" s="39" t="s">
        <v>635</v>
      </c>
      <c r="H1584" s="48" t="s">
        <v>99</v>
      </c>
      <c r="I1584" s="52">
        <v>6310.55</v>
      </c>
      <c r="J1584" s="49">
        <v>247429.51000000004</v>
      </c>
      <c r="K1584" s="65">
        <v>0</v>
      </c>
      <c r="L1584" s="65">
        <v>0</v>
      </c>
      <c r="M1584" s="65">
        <v>0</v>
      </c>
      <c r="N1584" s="65">
        <v>0</v>
      </c>
      <c r="O1584" s="65">
        <v>0</v>
      </c>
      <c r="P1584" s="65">
        <v>0</v>
      </c>
      <c r="Q1584" s="50">
        <v>247429.51000000004</v>
      </c>
      <c r="R1584" s="65">
        <v>0</v>
      </c>
      <c r="S1584" s="65">
        <v>0</v>
      </c>
      <c r="T1584" s="65">
        <v>0</v>
      </c>
      <c r="U1584" s="65">
        <v>0</v>
      </c>
      <c r="V1584" s="65">
        <v>0</v>
      </c>
      <c r="W1584" s="65">
        <v>0</v>
      </c>
      <c r="X1584" s="65">
        <v>0</v>
      </c>
      <c r="Y1584" s="65">
        <v>0</v>
      </c>
      <c r="Z1584" s="65">
        <v>247429.51000000004</v>
      </c>
      <c r="AA1584" s="51">
        <v>0</v>
      </c>
      <c r="AB1584" s="102">
        <v>0</v>
      </c>
      <c r="AC1584" s="81">
        <f t="shared" si="75"/>
        <v>0</v>
      </c>
      <c r="AD1584" s="82">
        <f t="shared" si="76"/>
        <v>0</v>
      </c>
      <c r="AE1584" s="218">
        <v>0</v>
      </c>
      <c r="AF1584">
        <v>0</v>
      </c>
      <c r="AH1584" t="str">
        <f t="shared" si="77"/>
        <v>Kalyanpur</v>
      </c>
      <c r="AJ1584" s="72">
        <v>0</v>
      </c>
      <c r="AK1584" s="72"/>
      <c r="AL1584" s="72"/>
      <c r="AM1584" s="72"/>
    </row>
    <row r="1585" spans="1:39" x14ac:dyDescent="0.25">
      <c r="A1585" s="37" t="s">
        <v>62</v>
      </c>
      <c r="B1585" s="66" t="s">
        <v>1615</v>
      </c>
      <c r="C1585" s="47">
        <v>1053</v>
      </c>
      <c r="D1585" s="47" t="s">
        <v>542</v>
      </c>
      <c r="E1585" s="41">
        <v>10530010</v>
      </c>
      <c r="F1585" s="46" t="s">
        <v>551</v>
      </c>
      <c r="G1585" s="39" t="s">
        <v>635</v>
      </c>
      <c r="H1585" s="48" t="s">
        <v>99</v>
      </c>
      <c r="I1585" s="52">
        <v>3270.0499999999997</v>
      </c>
      <c r="J1585" s="49">
        <v>135403.66000000003</v>
      </c>
      <c r="K1585" s="65">
        <v>0</v>
      </c>
      <c r="L1585" s="65">
        <v>0</v>
      </c>
      <c r="M1585" s="65">
        <v>0</v>
      </c>
      <c r="N1585" s="65">
        <v>0</v>
      </c>
      <c r="O1585" s="65">
        <v>0</v>
      </c>
      <c r="P1585" s="65">
        <v>0</v>
      </c>
      <c r="Q1585" s="50">
        <v>135403.66000000003</v>
      </c>
      <c r="R1585" s="65">
        <v>0</v>
      </c>
      <c r="S1585" s="65">
        <v>0</v>
      </c>
      <c r="T1585" s="65">
        <v>0</v>
      </c>
      <c r="U1585" s="65">
        <v>0</v>
      </c>
      <c r="V1585" s="65">
        <v>0</v>
      </c>
      <c r="W1585" s="65">
        <v>0</v>
      </c>
      <c r="X1585" s="65">
        <v>0</v>
      </c>
      <c r="Y1585" s="65">
        <v>0</v>
      </c>
      <c r="Z1585" s="65">
        <v>135403.66000000003</v>
      </c>
      <c r="AA1585" s="51">
        <v>0</v>
      </c>
      <c r="AB1585" s="102">
        <v>0</v>
      </c>
      <c r="AC1585" s="81">
        <f t="shared" si="75"/>
        <v>0</v>
      </c>
      <c r="AD1585" s="82">
        <f t="shared" si="76"/>
        <v>0</v>
      </c>
      <c r="AE1585" s="218">
        <v>0</v>
      </c>
      <c r="AF1585">
        <v>0</v>
      </c>
      <c r="AH1585" t="str">
        <f t="shared" si="77"/>
        <v>Kalyanpur</v>
      </c>
      <c r="AJ1585" s="72">
        <v>0</v>
      </c>
      <c r="AK1585" s="72"/>
      <c r="AL1585" s="72"/>
      <c r="AM1585" s="72"/>
    </row>
    <row r="1586" spans="1:39" x14ac:dyDescent="0.25">
      <c r="A1586" s="37" t="s">
        <v>62</v>
      </c>
      <c r="B1586" s="66" t="s">
        <v>1615</v>
      </c>
      <c r="C1586" s="47">
        <v>1053</v>
      </c>
      <c r="D1586" s="47" t="s">
        <v>542</v>
      </c>
      <c r="E1586" s="109">
        <v>10530013</v>
      </c>
      <c r="F1586" s="46" t="s">
        <v>552</v>
      </c>
      <c r="G1586" s="110" t="s">
        <v>635</v>
      </c>
      <c r="H1586" s="48" t="s">
        <v>99</v>
      </c>
      <c r="I1586" s="111">
        <v>1240.8999999999999</v>
      </c>
      <c r="J1586" s="49">
        <v>50382.85</v>
      </c>
      <c r="K1586" s="65">
        <v>0</v>
      </c>
      <c r="L1586" s="65">
        <v>0</v>
      </c>
      <c r="M1586" s="65">
        <v>0</v>
      </c>
      <c r="N1586" s="65">
        <v>0</v>
      </c>
      <c r="O1586" s="65">
        <v>0</v>
      </c>
      <c r="P1586" s="65">
        <v>0</v>
      </c>
      <c r="Q1586" s="50">
        <v>50382.85</v>
      </c>
      <c r="R1586" s="65">
        <v>0</v>
      </c>
      <c r="S1586" s="65">
        <v>0</v>
      </c>
      <c r="T1586" s="65">
        <v>0</v>
      </c>
      <c r="U1586" s="65">
        <v>0</v>
      </c>
      <c r="V1586" s="65">
        <v>0</v>
      </c>
      <c r="W1586" s="65">
        <v>0</v>
      </c>
      <c r="X1586" s="65">
        <v>0</v>
      </c>
      <c r="Y1586" s="65">
        <v>0</v>
      </c>
      <c r="Z1586" s="65">
        <v>50382.85</v>
      </c>
      <c r="AA1586" s="51">
        <v>0</v>
      </c>
      <c r="AB1586" s="102">
        <v>0</v>
      </c>
      <c r="AC1586" s="81">
        <f t="shared" si="75"/>
        <v>0</v>
      </c>
      <c r="AD1586" s="82">
        <f t="shared" si="76"/>
        <v>0</v>
      </c>
      <c r="AE1586" s="218">
        <v>0</v>
      </c>
      <c r="AF1586">
        <v>0</v>
      </c>
      <c r="AH1586" t="str">
        <f t="shared" si="77"/>
        <v>Kalyanpur</v>
      </c>
      <c r="AJ1586" s="72">
        <v>0</v>
      </c>
      <c r="AK1586" s="72"/>
      <c r="AL1586" s="72"/>
      <c r="AM1586" s="72"/>
    </row>
    <row r="1587" spans="1:39" x14ac:dyDescent="0.25">
      <c r="A1587" s="37" t="s">
        <v>62</v>
      </c>
      <c r="B1587" s="66" t="s">
        <v>1615</v>
      </c>
      <c r="C1587" s="47">
        <v>1053</v>
      </c>
      <c r="D1587" s="47" t="s">
        <v>542</v>
      </c>
      <c r="E1587" s="41">
        <v>10530014</v>
      </c>
      <c r="F1587" s="46" t="s">
        <v>553</v>
      </c>
      <c r="G1587" s="39" t="s">
        <v>635</v>
      </c>
      <c r="H1587" s="48" t="s">
        <v>99</v>
      </c>
      <c r="I1587" s="52">
        <v>1154.5999999999999</v>
      </c>
      <c r="J1587" s="49">
        <v>42743.45</v>
      </c>
      <c r="K1587" s="65">
        <v>0</v>
      </c>
      <c r="L1587" s="65">
        <v>0</v>
      </c>
      <c r="M1587" s="65">
        <v>0</v>
      </c>
      <c r="N1587" s="65">
        <v>0</v>
      </c>
      <c r="O1587" s="65">
        <v>0</v>
      </c>
      <c r="P1587" s="65">
        <v>0</v>
      </c>
      <c r="Q1587" s="50">
        <v>42743.45</v>
      </c>
      <c r="R1587" s="65">
        <v>0</v>
      </c>
      <c r="S1587" s="65">
        <v>0</v>
      </c>
      <c r="T1587" s="65">
        <v>0</v>
      </c>
      <c r="U1587" s="65">
        <v>0</v>
      </c>
      <c r="V1587" s="65">
        <v>0</v>
      </c>
      <c r="W1587" s="65">
        <v>0</v>
      </c>
      <c r="X1587" s="65">
        <v>0</v>
      </c>
      <c r="Y1587" s="65">
        <v>0</v>
      </c>
      <c r="Z1587" s="65">
        <v>42743.45</v>
      </c>
      <c r="AA1587" s="51">
        <v>0</v>
      </c>
      <c r="AB1587" s="102">
        <v>0</v>
      </c>
      <c r="AC1587" s="81">
        <f t="shared" si="75"/>
        <v>0</v>
      </c>
      <c r="AD1587" s="82">
        <f t="shared" si="76"/>
        <v>0</v>
      </c>
      <c r="AE1587" s="218">
        <v>0</v>
      </c>
      <c r="AF1587">
        <v>0</v>
      </c>
      <c r="AH1587" t="str">
        <f t="shared" si="77"/>
        <v>Kalyanpur</v>
      </c>
      <c r="AJ1587" s="72">
        <v>0</v>
      </c>
      <c r="AK1587" s="72"/>
      <c r="AL1587" s="72"/>
      <c r="AM1587" s="72"/>
    </row>
    <row r="1588" spans="1:39" x14ac:dyDescent="0.25">
      <c r="A1588" s="37" t="s">
        <v>62</v>
      </c>
      <c r="B1588" s="66" t="s">
        <v>1615</v>
      </c>
      <c r="C1588" s="47">
        <v>1053</v>
      </c>
      <c r="D1588" s="47" t="s">
        <v>542</v>
      </c>
      <c r="E1588" s="47">
        <v>10530015</v>
      </c>
      <c r="F1588" s="46" t="s">
        <v>554</v>
      </c>
      <c r="G1588" s="48" t="s">
        <v>635</v>
      </c>
      <c r="H1588" s="48" t="s">
        <v>99</v>
      </c>
      <c r="I1588" s="49">
        <v>131.6</v>
      </c>
      <c r="J1588" s="49">
        <v>5807.13</v>
      </c>
      <c r="K1588" s="65">
        <v>0</v>
      </c>
      <c r="L1588" s="65">
        <v>0</v>
      </c>
      <c r="M1588" s="65">
        <v>0</v>
      </c>
      <c r="N1588" s="65">
        <v>0</v>
      </c>
      <c r="O1588" s="65">
        <v>0</v>
      </c>
      <c r="P1588" s="65">
        <v>0</v>
      </c>
      <c r="Q1588" s="50">
        <v>5807.13</v>
      </c>
      <c r="R1588" s="65">
        <v>0</v>
      </c>
      <c r="S1588" s="65">
        <v>0</v>
      </c>
      <c r="T1588" s="65">
        <v>0</v>
      </c>
      <c r="U1588" s="65">
        <v>2850</v>
      </c>
      <c r="V1588" s="65">
        <v>957.26007096774197</v>
      </c>
      <c r="W1588" s="65">
        <v>0</v>
      </c>
      <c r="X1588" s="65">
        <v>0</v>
      </c>
      <c r="Y1588" s="65">
        <v>0</v>
      </c>
      <c r="Z1588" s="65">
        <v>1999.8699290322581</v>
      </c>
      <c r="AA1588" s="51">
        <v>0</v>
      </c>
      <c r="AB1588" s="102">
        <v>0</v>
      </c>
      <c r="AC1588" s="81">
        <f t="shared" si="75"/>
        <v>501.63718723404259</v>
      </c>
      <c r="AD1588" s="82">
        <f t="shared" si="76"/>
        <v>18.8</v>
      </c>
      <c r="AE1588" s="218">
        <v>0</v>
      </c>
      <c r="AF1588">
        <v>0</v>
      </c>
      <c r="AH1588" t="str">
        <f t="shared" si="77"/>
        <v>Kalyanpur</v>
      </c>
      <c r="AJ1588" s="72">
        <v>0</v>
      </c>
      <c r="AK1588" s="72"/>
      <c r="AL1588" s="72"/>
      <c r="AM1588" s="72"/>
    </row>
    <row r="1589" spans="1:39" x14ac:dyDescent="0.25">
      <c r="A1589" s="37" t="s">
        <v>62</v>
      </c>
      <c r="B1589" s="66" t="s">
        <v>1615</v>
      </c>
      <c r="C1589" s="47">
        <v>1053</v>
      </c>
      <c r="D1589" s="47" t="s">
        <v>542</v>
      </c>
      <c r="E1589" s="41">
        <v>10530016</v>
      </c>
      <c r="F1589" s="46" t="s">
        <v>555</v>
      </c>
      <c r="G1589" s="39" t="s">
        <v>635</v>
      </c>
      <c r="H1589" s="48" t="s">
        <v>99</v>
      </c>
      <c r="I1589" s="52">
        <v>570</v>
      </c>
      <c r="J1589" s="49">
        <v>21662.879999999997</v>
      </c>
      <c r="K1589" s="65">
        <v>0</v>
      </c>
      <c r="L1589" s="65">
        <v>0</v>
      </c>
      <c r="M1589" s="65">
        <v>0</v>
      </c>
      <c r="N1589" s="65">
        <v>0</v>
      </c>
      <c r="O1589" s="65">
        <v>0</v>
      </c>
      <c r="P1589" s="65">
        <v>0</v>
      </c>
      <c r="Q1589" s="50">
        <v>21662.879999999997</v>
      </c>
      <c r="R1589" s="65">
        <v>0</v>
      </c>
      <c r="S1589" s="65">
        <v>0</v>
      </c>
      <c r="T1589" s="65">
        <v>0</v>
      </c>
      <c r="U1589" s="65">
        <v>0</v>
      </c>
      <c r="V1589" s="65">
        <v>0</v>
      </c>
      <c r="W1589" s="65">
        <v>0</v>
      </c>
      <c r="X1589" s="65">
        <v>0</v>
      </c>
      <c r="Y1589" s="65">
        <v>0</v>
      </c>
      <c r="Z1589" s="65">
        <v>21662.879999999997</v>
      </c>
      <c r="AA1589" s="51">
        <v>0</v>
      </c>
      <c r="AB1589" s="102">
        <v>0</v>
      </c>
      <c r="AC1589" s="81">
        <f t="shared" si="75"/>
        <v>98.813136842105251</v>
      </c>
      <c r="AD1589" s="82">
        <f t="shared" si="76"/>
        <v>81.428571428571431</v>
      </c>
      <c r="AE1589" s="218">
        <v>0</v>
      </c>
      <c r="AF1589">
        <v>0</v>
      </c>
      <c r="AH1589" t="str">
        <f t="shared" si="77"/>
        <v>Kalyanpur</v>
      </c>
      <c r="AJ1589" s="72">
        <v>0</v>
      </c>
      <c r="AK1589" s="72"/>
      <c r="AL1589" s="72"/>
      <c r="AM1589" s="72"/>
    </row>
    <row r="1590" spans="1:39" x14ac:dyDescent="0.25">
      <c r="A1590" s="37" t="s">
        <v>62</v>
      </c>
      <c r="B1590" s="66" t="s">
        <v>1615</v>
      </c>
      <c r="C1590" s="47">
        <v>1053</v>
      </c>
      <c r="D1590" s="47" t="s">
        <v>542</v>
      </c>
      <c r="E1590" s="41">
        <v>10530017</v>
      </c>
      <c r="F1590" s="46" t="s">
        <v>556</v>
      </c>
      <c r="G1590" s="39" t="s">
        <v>635</v>
      </c>
      <c r="H1590" s="48" t="s">
        <v>99</v>
      </c>
      <c r="I1590" s="52">
        <v>1585.5</v>
      </c>
      <c r="J1590" s="49">
        <v>67478.820000000007</v>
      </c>
      <c r="K1590" s="65">
        <v>0</v>
      </c>
      <c r="L1590" s="65">
        <v>0</v>
      </c>
      <c r="M1590" s="65">
        <v>0</v>
      </c>
      <c r="N1590" s="65">
        <v>0</v>
      </c>
      <c r="O1590" s="65">
        <v>0</v>
      </c>
      <c r="P1590" s="65">
        <v>0</v>
      </c>
      <c r="Q1590" s="50">
        <v>67478.820000000007</v>
      </c>
      <c r="R1590" s="65">
        <v>0</v>
      </c>
      <c r="S1590" s="65">
        <v>0</v>
      </c>
      <c r="T1590" s="65">
        <v>0</v>
      </c>
      <c r="U1590" s="65">
        <v>0</v>
      </c>
      <c r="V1590" s="65">
        <v>0</v>
      </c>
      <c r="W1590" s="65">
        <v>0</v>
      </c>
      <c r="X1590" s="65">
        <v>0</v>
      </c>
      <c r="Y1590" s="65">
        <v>0</v>
      </c>
      <c r="Z1590" s="65">
        <v>67478.820000000007</v>
      </c>
      <c r="AA1590" s="51">
        <v>0</v>
      </c>
      <c r="AB1590" s="102">
        <v>0</v>
      </c>
      <c r="AC1590" s="81">
        <f t="shared" si="75"/>
        <v>0</v>
      </c>
      <c r="AD1590" s="82">
        <f t="shared" si="76"/>
        <v>0</v>
      </c>
      <c r="AE1590" s="218">
        <v>0</v>
      </c>
      <c r="AF1590">
        <v>0</v>
      </c>
      <c r="AH1590" t="str">
        <f t="shared" si="77"/>
        <v>Kalyanpur</v>
      </c>
      <c r="AJ1590" s="72">
        <v>0</v>
      </c>
      <c r="AK1590" s="72"/>
      <c r="AL1590" s="72"/>
      <c r="AM1590" s="72"/>
    </row>
    <row r="1591" spans="1:39" x14ac:dyDescent="0.25">
      <c r="A1591" s="37" t="s">
        <v>62</v>
      </c>
      <c r="B1591" s="66" t="s">
        <v>1615</v>
      </c>
      <c r="C1591" s="47">
        <v>1053</v>
      </c>
      <c r="D1591" s="47" t="s">
        <v>542</v>
      </c>
      <c r="E1591" s="41">
        <v>10530018</v>
      </c>
      <c r="F1591" s="46" t="s">
        <v>557</v>
      </c>
      <c r="G1591" s="39" t="s">
        <v>635</v>
      </c>
      <c r="H1591" s="48" t="s">
        <v>99</v>
      </c>
      <c r="I1591" s="52">
        <v>1059.5</v>
      </c>
      <c r="J1591" s="49">
        <v>44218.299999999996</v>
      </c>
      <c r="K1591" s="65">
        <v>0</v>
      </c>
      <c r="L1591" s="65">
        <v>0</v>
      </c>
      <c r="M1591" s="65">
        <v>0</v>
      </c>
      <c r="N1591" s="65">
        <v>0</v>
      </c>
      <c r="O1591" s="65">
        <v>0</v>
      </c>
      <c r="P1591" s="65">
        <v>0</v>
      </c>
      <c r="Q1591" s="50">
        <v>44218.299999999996</v>
      </c>
      <c r="R1591" s="65">
        <v>0</v>
      </c>
      <c r="S1591" s="65">
        <v>0</v>
      </c>
      <c r="T1591" s="65">
        <v>0</v>
      </c>
      <c r="U1591" s="65">
        <v>1350</v>
      </c>
      <c r="V1591" s="65">
        <v>0</v>
      </c>
      <c r="W1591" s="65">
        <v>0</v>
      </c>
      <c r="X1591" s="65">
        <v>0</v>
      </c>
      <c r="Y1591" s="65">
        <v>0</v>
      </c>
      <c r="Z1591" s="65">
        <v>42868.299999999996</v>
      </c>
      <c r="AA1591" s="51">
        <v>0</v>
      </c>
      <c r="AB1591" s="102">
        <v>0</v>
      </c>
      <c r="AC1591" s="81">
        <f t="shared" si="75"/>
        <v>0</v>
      </c>
      <c r="AD1591" s="82">
        <f t="shared" si="76"/>
        <v>0</v>
      </c>
      <c r="AE1591" s="218">
        <v>0</v>
      </c>
      <c r="AF1591">
        <v>0</v>
      </c>
      <c r="AH1591" t="str">
        <f t="shared" si="77"/>
        <v>Kalyanpur</v>
      </c>
      <c r="AJ1591" s="72">
        <v>0</v>
      </c>
      <c r="AK1591" s="72"/>
      <c r="AL1591" s="72"/>
      <c r="AM1591" s="72"/>
    </row>
    <row r="1592" spans="1:39" x14ac:dyDescent="0.25">
      <c r="A1592" s="37" t="s">
        <v>62</v>
      </c>
      <c r="B1592" s="66" t="s">
        <v>1615</v>
      </c>
      <c r="C1592" s="47">
        <v>1053</v>
      </c>
      <c r="D1592" s="47" t="s">
        <v>542</v>
      </c>
      <c r="E1592" s="41">
        <v>10530019</v>
      </c>
      <c r="F1592" s="46" t="s">
        <v>558</v>
      </c>
      <c r="G1592" s="39" t="s">
        <v>635</v>
      </c>
      <c r="H1592" s="48" t="s">
        <v>99</v>
      </c>
      <c r="I1592" s="52">
        <v>703.8</v>
      </c>
      <c r="J1592" s="49">
        <v>28957.34</v>
      </c>
      <c r="K1592" s="65">
        <v>0</v>
      </c>
      <c r="L1592" s="65">
        <v>0</v>
      </c>
      <c r="M1592" s="65">
        <v>0</v>
      </c>
      <c r="N1592" s="65">
        <v>0</v>
      </c>
      <c r="O1592" s="65">
        <v>0</v>
      </c>
      <c r="P1592" s="65">
        <v>0</v>
      </c>
      <c r="Q1592" s="50">
        <v>28957.34</v>
      </c>
      <c r="R1592" s="65">
        <v>0</v>
      </c>
      <c r="S1592" s="65">
        <v>0</v>
      </c>
      <c r="T1592" s="65">
        <v>0</v>
      </c>
      <c r="U1592" s="65">
        <v>0</v>
      </c>
      <c r="V1592" s="65">
        <v>122.82450967741877</v>
      </c>
      <c r="W1592" s="65">
        <v>0</v>
      </c>
      <c r="X1592" s="65">
        <v>0</v>
      </c>
      <c r="Y1592" s="65">
        <v>0</v>
      </c>
      <c r="Z1592" s="65">
        <v>28834.515490322581</v>
      </c>
      <c r="AA1592" s="51">
        <v>0</v>
      </c>
      <c r="AB1592" s="102">
        <v>0</v>
      </c>
      <c r="AC1592" s="81">
        <f t="shared" si="75"/>
        <v>0</v>
      </c>
      <c r="AD1592" s="82">
        <f t="shared" si="76"/>
        <v>0</v>
      </c>
      <c r="AE1592" s="218">
        <v>0</v>
      </c>
      <c r="AF1592">
        <v>0</v>
      </c>
      <c r="AH1592" t="str">
        <f t="shared" si="77"/>
        <v>Kalyanpur</v>
      </c>
      <c r="AJ1592" s="72">
        <v>0</v>
      </c>
      <c r="AK1592" s="72"/>
      <c r="AL1592" s="72"/>
      <c r="AM1592" s="72"/>
    </row>
    <row r="1593" spans="1:39" x14ac:dyDescent="0.25">
      <c r="A1593" s="37" t="s">
        <v>62</v>
      </c>
      <c r="B1593" s="66" t="s">
        <v>1615</v>
      </c>
      <c r="C1593" s="47">
        <v>1053</v>
      </c>
      <c r="D1593" s="47" t="s">
        <v>542</v>
      </c>
      <c r="E1593" s="41">
        <v>10530025</v>
      </c>
      <c r="F1593" s="46" t="s">
        <v>560</v>
      </c>
      <c r="G1593" s="39" t="s">
        <v>635</v>
      </c>
      <c r="H1593" s="48" t="s">
        <v>99</v>
      </c>
      <c r="I1593" s="52">
        <v>58.1</v>
      </c>
      <c r="J1593" s="49">
        <v>2224.0700000000002</v>
      </c>
      <c r="K1593" s="65">
        <v>0</v>
      </c>
      <c r="L1593" s="65">
        <v>0</v>
      </c>
      <c r="M1593" s="65">
        <v>0</v>
      </c>
      <c r="N1593" s="65">
        <v>0</v>
      </c>
      <c r="O1593" s="65">
        <v>0</v>
      </c>
      <c r="P1593" s="65">
        <v>0</v>
      </c>
      <c r="Q1593" s="50">
        <v>2224.0700000000002</v>
      </c>
      <c r="R1593" s="65">
        <v>0</v>
      </c>
      <c r="S1593" s="65">
        <v>0</v>
      </c>
      <c r="T1593" s="65">
        <v>0</v>
      </c>
      <c r="U1593" s="65">
        <v>0</v>
      </c>
      <c r="V1593" s="65">
        <v>2224</v>
      </c>
      <c r="W1593" s="65">
        <v>0</v>
      </c>
      <c r="X1593" s="65">
        <v>0</v>
      </c>
      <c r="Y1593" s="65">
        <v>0</v>
      </c>
      <c r="Z1593" s="65">
        <v>7.0000000000163709E-2</v>
      </c>
      <c r="AA1593" s="51">
        <v>0</v>
      </c>
      <c r="AB1593" s="102">
        <v>0</v>
      </c>
      <c r="AC1593" s="81">
        <f t="shared" si="75"/>
        <v>491.4390819277109</v>
      </c>
      <c r="AD1593" s="82">
        <f t="shared" si="76"/>
        <v>8.3000000000000007</v>
      </c>
      <c r="AE1593" s="218">
        <v>0</v>
      </c>
      <c r="AF1593">
        <v>0</v>
      </c>
      <c r="AH1593" t="str">
        <f t="shared" si="77"/>
        <v>Kalyanpur</v>
      </c>
      <c r="AJ1593" s="72">
        <v>0</v>
      </c>
      <c r="AK1593" s="72"/>
      <c r="AL1593" s="72"/>
      <c r="AM1593" s="72"/>
    </row>
    <row r="1594" spans="1:39" x14ac:dyDescent="0.25">
      <c r="A1594" s="37" t="s">
        <v>62</v>
      </c>
      <c r="B1594" s="66" t="s">
        <v>1615</v>
      </c>
      <c r="C1594" s="47">
        <v>1053</v>
      </c>
      <c r="D1594" s="47" t="s">
        <v>542</v>
      </c>
      <c r="E1594" s="41">
        <v>10530029</v>
      </c>
      <c r="F1594" s="46" t="s">
        <v>566</v>
      </c>
      <c r="G1594" s="39" t="s">
        <v>635</v>
      </c>
      <c r="H1594" s="48" t="s">
        <v>99</v>
      </c>
      <c r="I1594" s="52">
        <v>1971.6</v>
      </c>
      <c r="J1594" s="49">
        <v>81887.710000000021</v>
      </c>
      <c r="K1594" s="65">
        <v>0</v>
      </c>
      <c r="L1594" s="65">
        <v>0</v>
      </c>
      <c r="M1594" s="65">
        <v>0</v>
      </c>
      <c r="N1594" s="65">
        <v>0</v>
      </c>
      <c r="O1594" s="65">
        <v>0</v>
      </c>
      <c r="P1594" s="65">
        <v>0</v>
      </c>
      <c r="Q1594" s="50">
        <v>81887.710000000021</v>
      </c>
      <c r="R1594" s="65">
        <v>0</v>
      </c>
      <c r="S1594" s="65">
        <v>0</v>
      </c>
      <c r="T1594" s="65">
        <v>0</v>
      </c>
      <c r="U1594" s="65">
        <v>0</v>
      </c>
      <c r="V1594" s="65">
        <v>0</v>
      </c>
      <c r="W1594" s="65">
        <v>0</v>
      </c>
      <c r="X1594" s="65">
        <v>0</v>
      </c>
      <c r="Y1594" s="65">
        <v>0</v>
      </c>
      <c r="Z1594" s="65">
        <v>81887.710000000021</v>
      </c>
      <c r="AA1594" s="51">
        <v>0</v>
      </c>
      <c r="AB1594" s="102">
        <v>0</v>
      </c>
      <c r="AC1594" s="81">
        <f t="shared" si="75"/>
        <v>0</v>
      </c>
      <c r="AD1594" s="82">
        <f t="shared" si="76"/>
        <v>0</v>
      </c>
      <c r="AE1594" s="218">
        <v>0</v>
      </c>
      <c r="AF1594">
        <v>0</v>
      </c>
      <c r="AH1594" t="str">
        <f t="shared" si="77"/>
        <v>Kalyanpur</v>
      </c>
      <c r="AJ1594" s="72">
        <v>0</v>
      </c>
      <c r="AK1594" s="72"/>
      <c r="AL1594" s="72"/>
      <c r="AM1594" s="72"/>
    </row>
    <row r="1595" spans="1:39" x14ac:dyDescent="0.25">
      <c r="A1595" s="37" t="s">
        <v>62</v>
      </c>
      <c r="B1595" s="66" t="s">
        <v>1615</v>
      </c>
      <c r="C1595" s="47">
        <v>1053</v>
      </c>
      <c r="D1595" s="47" t="s">
        <v>542</v>
      </c>
      <c r="E1595" s="41">
        <v>10530030</v>
      </c>
      <c r="F1595" s="46" t="s">
        <v>567</v>
      </c>
      <c r="G1595" s="39" t="s">
        <v>635</v>
      </c>
      <c r="H1595" s="48" t="s">
        <v>99</v>
      </c>
      <c r="I1595" s="52">
        <v>283.04999999999995</v>
      </c>
      <c r="J1595" s="49">
        <v>11143.23</v>
      </c>
      <c r="K1595" s="65">
        <v>0</v>
      </c>
      <c r="L1595" s="65">
        <v>0</v>
      </c>
      <c r="M1595" s="65">
        <v>0</v>
      </c>
      <c r="N1595" s="65">
        <v>0</v>
      </c>
      <c r="O1595" s="65">
        <v>0</v>
      </c>
      <c r="P1595" s="65">
        <v>0</v>
      </c>
      <c r="Q1595" s="50">
        <v>11143.23</v>
      </c>
      <c r="R1595" s="65">
        <v>0</v>
      </c>
      <c r="S1595" s="65">
        <v>0</v>
      </c>
      <c r="T1595" s="65">
        <v>0</v>
      </c>
      <c r="U1595" s="65">
        <v>0</v>
      </c>
      <c r="V1595" s="65">
        <v>90.729377419355401</v>
      </c>
      <c r="W1595" s="65">
        <v>0</v>
      </c>
      <c r="X1595" s="65">
        <v>0</v>
      </c>
      <c r="Y1595" s="65">
        <v>0</v>
      </c>
      <c r="Z1595" s="65">
        <v>11052.500622580645</v>
      </c>
      <c r="AA1595" s="51">
        <v>0</v>
      </c>
      <c r="AB1595" s="102">
        <v>0</v>
      </c>
      <c r="AC1595" s="81">
        <f t="shared" si="75"/>
        <v>328.2932166401697</v>
      </c>
      <c r="AD1595" s="82">
        <f t="shared" si="76"/>
        <v>40.435714285714276</v>
      </c>
      <c r="AE1595" s="218">
        <v>0</v>
      </c>
      <c r="AF1595">
        <v>0</v>
      </c>
      <c r="AH1595" t="str">
        <f t="shared" si="77"/>
        <v>Kalyanpur</v>
      </c>
      <c r="AJ1595" s="72">
        <v>0</v>
      </c>
      <c r="AK1595" s="72"/>
      <c r="AL1595" s="72"/>
      <c r="AM1595" s="72"/>
    </row>
    <row r="1596" spans="1:39" x14ac:dyDescent="0.25">
      <c r="A1596" s="37" t="s">
        <v>62</v>
      </c>
      <c r="B1596" s="66" t="s">
        <v>1615</v>
      </c>
      <c r="C1596" s="47">
        <v>1053</v>
      </c>
      <c r="D1596" s="47" t="s">
        <v>542</v>
      </c>
      <c r="E1596" s="41">
        <v>10530031</v>
      </c>
      <c r="F1596" s="46" t="s">
        <v>436</v>
      </c>
      <c r="G1596" s="39" t="s">
        <v>635</v>
      </c>
      <c r="H1596" s="48" t="s">
        <v>99</v>
      </c>
      <c r="I1596" s="52">
        <v>2025.45</v>
      </c>
      <c r="J1596" s="49">
        <v>82639.040000000008</v>
      </c>
      <c r="K1596" s="65">
        <v>0</v>
      </c>
      <c r="L1596" s="65">
        <v>0</v>
      </c>
      <c r="M1596" s="65">
        <v>0</v>
      </c>
      <c r="N1596" s="65">
        <v>0</v>
      </c>
      <c r="O1596" s="65">
        <v>0</v>
      </c>
      <c r="P1596" s="65">
        <v>0</v>
      </c>
      <c r="Q1596" s="50">
        <v>82639.040000000008</v>
      </c>
      <c r="R1596" s="65">
        <v>0</v>
      </c>
      <c r="S1596" s="65">
        <v>0</v>
      </c>
      <c r="T1596" s="65">
        <v>0</v>
      </c>
      <c r="U1596" s="65">
        <v>1350</v>
      </c>
      <c r="V1596" s="65">
        <v>0</v>
      </c>
      <c r="W1596" s="65">
        <v>0</v>
      </c>
      <c r="X1596" s="65">
        <v>0</v>
      </c>
      <c r="Y1596" s="65">
        <v>0</v>
      </c>
      <c r="Z1596" s="65">
        <v>81289.040000000008</v>
      </c>
      <c r="AA1596" s="51">
        <v>0</v>
      </c>
      <c r="AB1596" s="102">
        <v>0</v>
      </c>
      <c r="AC1596" s="81">
        <f t="shared" si="75"/>
        <v>0</v>
      </c>
      <c r="AD1596" s="82">
        <f t="shared" si="76"/>
        <v>0</v>
      </c>
      <c r="AE1596" s="218">
        <v>0</v>
      </c>
      <c r="AF1596">
        <v>0</v>
      </c>
      <c r="AH1596" t="str">
        <f t="shared" si="77"/>
        <v>Kalyanpur</v>
      </c>
      <c r="AJ1596" s="72">
        <v>0</v>
      </c>
      <c r="AK1596" s="72"/>
      <c r="AL1596" s="72"/>
      <c r="AM1596" s="72"/>
    </row>
    <row r="1597" spans="1:39" x14ac:dyDescent="0.25">
      <c r="A1597" s="37" t="s">
        <v>62</v>
      </c>
      <c r="B1597" s="66" t="s">
        <v>1615</v>
      </c>
      <c r="C1597" s="47">
        <v>1053</v>
      </c>
      <c r="D1597" s="47" t="s">
        <v>542</v>
      </c>
      <c r="E1597" s="41">
        <v>10530032</v>
      </c>
      <c r="F1597" s="46" t="s">
        <v>582</v>
      </c>
      <c r="G1597" s="39" t="s">
        <v>93</v>
      </c>
      <c r="H1597" s="48" t="s">
        <v>94</v>
      </c>
      <c r="I1597" s="52">
        <v>478.8</v>
      </c>
      <c r="J1597" s="49">
        <v>24236.020000000004</v>
      </c>
      <c r="K1597" s="65">
        <v>482.56</v>
      </c>
      <c r="L1597" s="65">
        <v>23939.689860306356</v>
      </c>
      <c r="M1597" s="65">
        <v>5.35</v>
      </c>
      <c r="N1597" s="65">
        <v>245.70979296630006</v>
      </c>
      <c r="O1597" s="65">
        <v>487.91</v>
      </c>
      <c r="P1597" s="65">
        <v>24185.399653272656</v>
      </c>
      <c r="Q1597" s="50">
        <v>24185.399653272656</v>
      </c>
      <c r="R1597" s="65">
        <v>0</v>
      </c>
      <c r="S1597" s="65">
        <v>245.70979296630006</v>
      </c>
      <c r="T1597" s="65">
        <v>0</v>
      </c>
      <c r="U1597" s="65">
        <v>1500</v>
      </c>
      <c r="V1597" s="65">
        <v>0</v>
      </c>
      <c r="W1597" s="65">
        <v>0</v>
      </c>
      <c r="X1597" s="65">
        <v>22440</v>
      </c>
      <c r="Y1597" s="65">
        <v>0</v>
      </c>
      <c r="Z1597" s="65">
        <v>0</v>
      </c>
      <c r="AA1597" s="51">
        <v>50</v>
      </c>
      <c r="AB1597" s="102">
        <v>0</v>
      </c>
      <c r="AC1597" s="81">
        <f t="shared" si="75"/>
        <v>223.93515555555555</v>
      </c>
      <c r="AD1597" s="82">
        <f t="shared" si="76"/>
        <v>68.400000000000006</v>
      </c>
      <c r="AE1597" s="218">
        <v>2.0886410692575789E-3</v>
      </c>
      <c r="AF1597">
        <v>21</v>
      </c>
      <c r="AH1597" t="str">
        <f t="shared" si="77"/>
        <v>Kalyanpur</v>
      </c>
      <c r="AJ1597" s="72">
        <v>0</v>
      </c>
      <c r="AK1597" s="72"/>
      <c r="AL1597" s="72"/>
      <c r="AM1597" s="72"/>
    </row>
    <row r="1598" spans="1:39" x14ac:dyDescent="0.25">
      <c r="A1598" s="37" t="s">
        <v>62</v>
      </c>
      <c r="B1598" s="66" t="s">
        <v>1615</v>
      </c>
      <c r="C1598" s="47">
        <v>1053</v>
      </c>
      <c r="D1598" s="47" t="s">
        <v>542</v>
      </c>
      <c r="E1598" s="41">
        <v>10530033</v>
      </c>
      <c r="F1598" s="46" t="s">
        <v>603</v>
      </c>
      <c r="G1598" s="39" t="s">
        <v>93</v>
      </c>
      <c r="H1598" s="48" t="s">
        <v>94</v>
      </c>
      <c r="I1598" s="52">
        <v>961.25000000000011</v>
      </c>
      <c r="J1598" s="49">
        <v>40378.299999999996</v>
      </c>
      <c r="K1598" s="65">
        <v>951.40000000000009</v>
      </c>
      <c r="L1598" s="65">
        <v>39125.78270656064</v>
      </c>
      <c r="M1598" s="65">
        <v>24.540000000000003</v>
      </c>
      <c r="N1598" s="65">
        <v>1030.0427319600001</v>
      </c>
      <c r="O1598" s="65">
        <v>975.94</v>
      </c>
      <c r="P1598" s="65">
        <v>40155.825438520638</v>
      </c>
      <c r="Q1598" s="50">
        <v>40155.825438520638</v>
      </c>
      <c r="R1598" s="65">
        <v>0</v>
      </c>
      <c r="S1598" s="65">
        <v>1030.0427319600001</v>
      </c>
      <c r="T1598" s="65">
        <v>0</v>
      </c>
      <c r="U1598" s="65">
        <v>0</v>
      </c>
      <c r="V1598" s="65">
        <v>0</v>
      </c>
      <c r="W1598" s="65">
        <v>0</v>
      </c>
      <c r="X1598" s="65">
        <v>39125</v>
      </c>
      <c r="Y1598" s="65">
        <v>0</v>
      </c>
      <c r="Z1598" s="65">
        <v>0</v>
      </c>
      <c r="AA1598" s="51">
        <v>223</v>
      </c>
      <c r="AB1598" s="102">
        <v>0</v>
      </c>
      <c r="AC1598" s="81">
        <f t="shared" si="75"/>
        <v>0</v>
      </c>
      <c r="AD1598" s="82">
        <f t="shared" si="76"/>
        <v>0</v>
      </c>
      <c r="AE1598" s="218">
        <v>5.5097555241146205E-3</v>
      </c>
      <c r="AF1598">
        <v>26</v>
      </c>
      <c r="AH1598" t="str">
        <f t="shared" si="77"/>
        <v>Kalyanpur</v>
      </c>
      <c r="AJ1598" s="72">
        <v>0</v>
      </c>
      <c r="AK1598" s="72"/>
      <c r="AL1598" s="72"/>
      <c r="AM1598" s="72"/>
    </row>
    <row r="1599" spans="1:39" x14ac:dyDescent="0.25">
      <c r="A1599" s="37" t="s">
        <v>62</v>
      </c>
      <c r="B1599" s="66" t="s">
        <v>1615</v>
      </c>
      <c r="C1599" s="47">
        <v>1053</v>
      </c>
      <c r="D1599" s="47" t="s">
        <v>542</v>
      </c>
      <c r="E1599" s="41">
        <v>10530034</v>
      </c>
      <c r="F1599" s="46" t="s">
        <v>604</v>
      </c>
      <c r="G1599" s="39" t="s">
        <v>93</v>
      </c>
      <c r="H1599" s="48" t="s">
        <v>94</v>
      </c>
      <c r="I1599" s="52">
        <v>929.40000000000009</v>
      </c>
      <c r="J1599" s="49">
        <v>49178.5</v>
      </c>
      <c r="K1599" s="65">
        <v>944.20999999999981</v>
      </c>
      <c r="L1599" s="65">
        <v>49033.632736253036</v>
      </c>
      <c r="M1599" s="65">
        <v>0</v>
      </c>
      <c r="N1599" s="65">
        <v>0</v>
      </c>
      <c r="O1599" s="65">
        <v>944.20999999999981</v>
      </c>
      <c r="P1599" s="65">
        <v>49033.632736253036</v>
      </c>
      <c r="Q1599" s="50">
        <v>49033.632736253036</v>
      </c>
      <c r="R1599" s="65">
        <v>0</v>
      </c>
      <c r="S1599" s="65">
        <v>0</v>
      </c>
      <c r="T1599" s="65">
        <v>0</v>
      </c>
      <c r="U1599" s="65">
        <v>0</v>
      </c>
      <c r="V1599" s="65">
        <v>0</v>
      </c>
      <c r="W1599" s="65">
        <v>0</v>
      </c>
      <c r="X1599" s="65">
        <v>49031</v>
      </c>
      <c r="Y1599" s="65">
        <v>0</v>
      </c>
      <c r="Z1599" s="65">
        <v>0</v>
      </c>
      <c r="AA1599" s="51">
        <v>148</v>
      </c>
      <c r="AB1599" s="102">
        <v>0</v>
      </c>
      <c r="AC1599" s="81">
        <f t="shared" si="75"/>
        <v>0</v>
      </c>
      <c r="AD1599" s="82">
        <f t="shared" si="76"/>
        <v>0</v>
      </c>
      <c r="AE1599" s="218">
        <v>2.945743846334566E-3</v>
      </c>
      <c r="AF1599">
        <v>36</v>
      </c>
      <c r="AH1599" t="str">
        <f t="shared" si="77"/>
        <v>Kalyanpur</v>
      </c>
      <c r="AJ1599" s="72">
        <v>0</v>
      </c>
      <c r="AK1599" s="72"/>
      <c r="AL1599" s="72"/>
      <c r="AM1599" s="72"/>
    </row>
    <row r="1600" spans="1:39" x14ac:dyDescent="0.25">
      <c r="A1600" s="37" t="s">
        <v>62</v>
      </c>
      <c r="B1600" s="66" t="s">
        <v>1615</v>
      </c>
      <c r="C1600" s="47">
        <v>1053</v>
      </c>
      <c r="D1600" s="47" t="s">
        <v>542</v>
      </c>
      <c r="E1600" s="41">
        <v>10530035</v>
      </c>
      <c r="F1600" s="46" t="s">
        <v>605</v>
      </c>
      <c r="G1600" s="39" t="s">
        <v>93</v>
      </c>
      <c r="H1600" s="48" t="s">
        <v>94</v>
      </c>
      <c r="I1600" s="52">
        <v>552.15</v>
      </c>
      <c r="J1600" s="49">
        <v>24110.950000000004</v>
      </c>
      <c r="K1600" s="65">
        <v>539.82000000000005</v>
      </c>
      <c r="L1600" s="65">
        <v>22127.556960780752</v>
      </c>
      <c r="M1600" s="65">
        <v>14.109999999999998</v>
      </c>
      <c r="N1600" s="65">
        <v>623.36912563728413</v>
      </c>
      <c r="O1600" s="65">
        <v>553.93000000000006</v>
      </c>
      <c r="P1600" s="65">
        <v>22750.926086418036</v>
      </c>
      <c r="Q1600" s="50">
        <v>22750.926086418036</v>
      </c>
      <c r="R1600" s="65">
        <v>0</v>
      </c>
      <c r="S1600" s="65">
        <v>623.36912563728413</v>
      </c>
      <c r="T1600" s="65">
        <v>0</v>
      </c>
      <c r="U1600" s="65">
        <v>618</v>
      </c>
      <c r="V1600" s="65">
        <v>106.19233548387118</v>
      </c>
      <c r="W1600" s="65">
        <v>0</v>
      </c>
      <c r="X1600" s="65">
        <v>21401</v>
      </c>
      <c r="Y1600" s="65">
        <v>0</v>
      </c>
      <c r="Z1600" s="65">
        <v>0</v>
      </c>
      <c r="AA1600" s="51">
        <v>1362</v>
      </c>
      <c r="AB1600" s="102" t="s">
        <v>68</v>
      </c>
      <c r="AC1600" s="81">
        <f t="shared" si="75"/>
        <v>129.12447550484481</v>
      </c>
      <c r="AD1600" s="82">
        <f t="shared" si="76"/>
        <v>78.878571428571419</v>
      </c>
      <c r="AE1600" s="218">
        <v>5.6406898673920694E-2</v>
      </c>
      <c r="AF1600">
        <v>22</v>
      </c>
      <c r="AH1600" t="str">
        <f t="shared" si="77"/>
        <v>Kalyanpur</v>
      </c>
      <c r="AJ1600" s="72">
        <v>0</v>
      </c>
      <c r="AK1600" s="72"/>
      <c r="AL1600" s="72"/>
      <c r="AM1600" s="72"/>
    </row>
    <row r="1601" spans="1:39" x14ac:dyDescent="0.25">
      <c r="A1601" s="37" t="s">
        <v>62</v>
      </c>
      <c r="B1601" s="66" t="s">
        <v>1615</v>
      </c>
      <c r="C1601" s="47">
        <v>1053</v>
      </c>
      <c r="D1601" s="47" t="s">
        <v>542</v>
      </c>
      <c r="E1601" s="41">
        <v>10530038</v>
      </c>
      <c r="F1601" s="46" t="s">
        <v>606</v>
      </c>
      <c r="G1601" s="39" t="s">
        <v>635</v>
      </c>
      <c r="H1601" s="48" t="s">
        <v>99</v>
      </c>
      <c r="I1601" s="52">
        <v>553.79999999999995</v>
      </c>
      <c r="J1601" s="49">
        <v>22480.82</v>
      </c>
      <c r="K1601" s="65">
        <v>0</v>
      </c>
      <c r="L1601" s="65">
        <v>0</v>
      </c>
      <c r="M1601" s="65">
        <v>0</v>
      </c>
      <c r="N1601" s="65">
        <v>0</v>
      </c>
      <c r="O1601" s="65">
        <v>0</v>
      </c>
      <c r="P1601" s="65">
        <v>0</v>
      </c>
      <c r="Q1601" s="50">
        <v>22480.82</v>
      </c>
      <c r="R1601" s="65">
        <v>0</v>
      </c>
      <c r="S1601" s="65">
        <v>0</v>
      </c>
      <c r="T1601" s="65">
        <v>0</v>
      </c>
      <c r="U1601" s="65">
        <v>0</v>
      </c>
      <c r="V1601" s="65">
        <v>0</v>
      </c>
      <c r="W1601" s="65">
        <v>0</v>
      </c>
      <c r="X1601" s="65">
        <v>0</v>
      </c>
      <c r="Y1601" s="65">
        <v>0</v>
      </c>
      <c r="Z1601" s="65">
        <v>22480.82</v>
      </c>
      <c r="AA1601" s="51">
        <v>0</v>
      </c>
      <c r="AB1601" s="102">
        <v>0</v>
      </c>
      <c r="AC1601" s="81">
        <f t="shared" si="75"/>
        <v>118.69613159985555</v>
      </c>
      <c r="AD1601" s="82">
        <f t="shared" si="76"/>
        <v>79.114285714285714</v>
      </c>
      <c r="AE1601" s="218">
        <v>0</v>
      </c>
      <c r="AF1601">
        <v>0</v>
      </c>
      <c r="AH1601" t="str">
        <f t="shared" si="77"/>
        <v>Kalyanpur</v>
      </c>
      <c r="AJ1601" s="72">
        <v>0</v>
      </c>
      <c r="AK1601" s="72"/>
      <c r="AL1601" s="72"/>
      <c r="AM1601" s="72"/>
    </row>
    <row r="1602" spans="1:39" x14ac:dyDescent="0.25">
      <c r="A1602" s="37" t="s">
        <v>62</v>
      </c>
      <c r="B1602" s="66" t="s">
        <v>1615</v>
      </c>
      <c r="C1602" s="47">
        <v>1053</v>
      </c>
      <c r="D1602" s="47" t="s">
        <v>542</v>
      </c>
      <c r="E1602" s="41">
        <v>10530040</v>
      </c>
      <c r="F1602" s="46" t="s">
        <v>607</v>
      </c>
      <c r="G1602" s="39" t="s">
        <v>93</v>
      </c>
      <c r="H1602" s="48" t="s">
        <v>94</v>
      </c>
      <c r="I1602" s="52">
        <v>579.19999999999993</v>
      </c>
      <c r="J1602" s="49">
        <v>25519.060000000005</v>
      </c>
      <c r="K1602" s="65">
        <v>575.79000000000008</v>
      </c>
      <c r="L1602" s="65">
        <v>25214.653347360956</v>
      </c>
      <c r="M1602" s="65">
        <v>8.5900000000000016</v>
      </c>
      <c r="N1602" s="65">
        <v>369.35390246400004</v>
      </c>
      <c r="O1602" s="65">
        <v>584.38000000000011</v>
      </c>
      <c r="P1602" s="65">
        <v>25584.007249824957</v>
      </c>
      <c r="Q1602" s="50">
        <v>25519.060000000005</v>
      </c>
      <c r="R1602" s="65">
        <v>0</v>
      </c>
      <c r="S1602" s="65">
        <v>369.35390246400004</v>
      </c>
      <c r="T1602" s="65">
        <v>64.947249824952451</v>
      </c>
      <c r="U1602" s="65">
        <v>0</v>
      </c>
      <c r="V1602" s="65">
        <v>0</v>
      </c>
      <c r="W1602" s="65">
        <v>0</v>
      </c>
      <c r="X1602" s="65">
        <v>25150</v>
      </c>
      <c r="Y1602" s="65">
        <v>0</v>
      </c>
      <c r="Z1602" s="65">
        <v>0</v>
      </c>
      <c r="AA1602" s="51">
        <v>0</v>
      </c>
      <c r="AB1602" s="102">
        <v>0</v>
      </c>
      <c r="AC1602" s="81">
        <f t="shared" si="75"/>
        <v>106.44690773480671</v>
      </c>
      <c r="AD1602" s="82">
        <f t="shared" si="76"/>
        <v>82.742857142857133</v>
      </c>
      <c r="AE1602" s="218">
        <v>-2.54504867440072E-3</v>
      </c>
      <c r="AF1602">
        <v>24</v>
      </c>
      <c r="AH1602" t="str">
        <f t="shared" si="77"/>
        <v>Kalyanpur</v>
      </c>
      <c r="AJ1602" s="72">
        <v>0</v>
      </c>
      <c r="AK1602" s="72"/>
      <c r="AL1602" s="72"/>
      <c r="AM1602" s="72"/>
    </row>
    <row r="1603" spans="1:39" x14ac:dyDescent="0.25">
      <c r="A1603" s="37" t="s">
        <v>62</v>
      </c>
      <c r="B1603" s="66" t="s">
        <v>1615</v>
      </c>
      <c r="C1603" s="47">
        <v>1053</v>
      </c>
      <c r="D1603" s="47" t="s">
        <v>542</v>
      </c>
      <c r="E1603" s="41">
        <v>10530041</v>
      </c>
      <c r="F1603" s="46" t="s">
        <v>583</v>
      </c>
      <c r="G1603" s="39" t="s">
        <v>635</v>
      </c>
      <c r="H1603" s="48" t="s">
        <v>99</v>
      </c>
      <c r="I1603" s="52">
        <v>1799.2000000000003</v>
      </c>
      <c r="J1603" s="49">
        <v>71106.84</v>
      </c>
      <c r="K1603" s="65">
        <v>0</v>
      </c>
      <c r="L1603" s="65">
        <v>0</v>
      </c>
      <c r="M1603" s="65">
        <v>0</v>
      </c>
      <c r="N1603" s="65">
        <v>0</v>
      </c>
      <c r="O1603" s="65">
        <v>0</v>
      </c>
      <c r="P1603" s="65">
        <v>0</v>
      </c>
      <c r="Q1603" s="50">
        <v>71106.84</v>
      </c>
      <c r="R1603" s="65">
        <v>0</v>
      </c>
      <c r="S1603" s="65">
        <v>0</v>
      </c>
      <c r="T1603" s="65">
        <v>0</v>
      </c>
      <c r="U1603" s="65">
        <v>0</v>
      </c>
      <c r="V1603" s="65">
        <v>0</v>
      </c>
      <c r="W1603" s="65">
        <v>0</v>
      </c>
      <c r="X1603" s="65">
        <v>0</v>
      </c>
      <c r="Y1603" s="65">
        <v>0</v>
      </c>
      <c r="Z1603" s="65">
        <v>71106.84</v>
      </c>
      <c r="AA1603" s="51">
        <v>0</v>
      </c>
      <c r="AB1603" s="102">
        <v>0</v>
      </c>
      <c r="AC1603" s="81">
        <f t="shared" ref="AC1603:AC1666" si="78">((IF(AD1603=0,0,100-AD1603))*7*(J1603/I1603))*2%</f>
        <v>0</v>
      </c>
      <c r="AD1603" s="82">
        <f t="shared" ref="AD1603:AD1666" si="79">IF((I1603/7)&gt;100,0,(I1603/7))</f>
        <v>0</v>
      </c>
      <c r="AE1603" s="218">
        <v>0</v>
      </c>
      <c r="AF1603">
        <v>0</v>
      </c>
      <c r="AH1603" t="str">
        <f t="shared" si="77"/>
        <v>Kalyanpur</v>
      </c>
      <c r="AJ1603" s="72">
        <v>0</v>
      </c>
      <c r="AK1603" s="72"/>
      <c r="AL1603" s="72"/>
      <c r="AM1603" s="72"/>
    </row>
    <row r="1604" spans="1:39" x14ac:dyDescent="0.25">
      <c r="A1604" s="37" t="s">
        <v>62</v>
      </c>
      <c r="B1604" s="66" t="s">
        <v>1615</v>
      </c>
      <c r="C1604" s="47">
        <v>1066</v>
      </c>
      <c r="D1604" s="47" t="s">
        <v>1590</v>
      </c>
      <c r="E1604" s="41">
        <v>10530042</v>
      </c>
      <c r="F1604" s="46" t="s">
        <v>1499</v>
      </c>
      <c r="G1604" s="39" t="s">
        <v>635</v>
      </c>
      <c r="H1604" s="48" t="s">
        <v>99</v>
      </c>
      <c r="I1604" s="52">
        <v>113.1</v>
      </c>
      <c r="J1604" s="49">
        <v>3516.5</v>
      </c>
      <c r="K1604" s="65">
        <v>0</v>
      </c>
      <c r="L1604" s="65">
        <v>0</v>
      </c>
      <c r="M1604" s="65">
        <v>0</v>
      </c>
      <c r="N1604" s="65">
        <v>0</v>
      </c>
      <c r="O1604" s="65">
        <v>0</v>
      </c>
      <c r="P1604" s="65">
        <v>0</v>
      </c>
      <c r="Q1604" s="50">
        <v>3516.5</v>
      </c>
      <c r="R1604" s="65">
        <v>0</v>
      </c>
      <c r="S1604" s="65">
        <v>0</v>
      </c>
      <c r="T1604" s="65">
        <v>0</v>
      </c>
      <c r="U1604" s="65">
        <v>0</v>
      </c>
      <c r="V1604" s="65">
        <v>0</v>
      </c>
      <c r="W1604" s="65">
        <v>0</v>
      </c>
      <c r="X1604" s="65">
        <v>0</v>
      </c>
      <c r="Y1604" s="65">
        <v>0</v>
      </c>
      <c r="Z1604" s="65">
        <v>3516.5</v>
      </c>
      <c r="AA1604" s="51">
        <v>0</v>
      </c>
      <c r="AB1604" s="102">
        <v>0</v>
      </c>
      <c r="AC1604" s="81">
        <f t="shared" si="78"/>
        <v>364.95735632183909</v>
      </c>
      <c r="AD1604" s="82">
        <f t="shared" si="79"/>
        <v>16.157142857142855</v>
      </c>
      <c r="AE1604" s="218">
        <v>0</v>
      </c>
      <c r="AF1604">
        <v>0</v>
      </c>
      <c r="AH1604" t="str">
        <f t="shared" si="77"/>
        <v>Gaighat</v>
      </c>
      <c r="AJ1604" s="72">
        <v>0</v>
      </c>
      <c r="AK1604" s="72"/>
      <c r="AL1604" s="72"/>
      <c r="AM1604" s="72"/>
    </row>
    <row r="1605" spans="1:39" x14ac:dyDescent="0.25">
      <c r="A1605" s="37" t="s">
        <v>62</v>
      </c>
      <c r="B1605" s="66" t="s">
        <v>1615</v>
      </c>
      <c r="C1605" s="47">
        <v>1066</v>
      </c>
      <c r="D1605" s="47" t="s">
        <v>1590</v>
      </c>
      <c r="E1605" s="41">
        <v>10530043</v>
      </c>
      <c r="F1605" s="46" t="s">
        <v>1591</v>
      </c>
      <c r="G1605" s="39" t="s">
        <v>635</v>
      </c>
      <c r="H1605" s="48" t="s">
        <v>99</v>
      </c>
      <c r="I1605" s="52">
        <v>317.42</v>
      </c>
      <c r="J1605" s="49">
        <v>11066.619999999999</v>
      </c>
      <c r="K1605" s="65">
        <v>0</v>
      </c>
      <c r="L1605" s="65">
        <v>0</v>
      </c>
      <c r="M1605" s="65">
        <v>0</v>
      </c>
      <c r="N1605" s="65">
        <v>0</v>
      </c>
      <c r="O1605" s="65">
        <v>0</v>
      </c>
      <c r="P1605" s="65">
        <v>0</v>
      </c>
      <c r="Q1605" s="50">
        <v>11066.619999999999</v>
      </c>
      <c r="R1605" s="65">
        <v>0</v>
      </c>
      <c r="S1605" s="65">
        <v>0</v>
      </c>
      <c r="T1605" s="65">
        <v>0</v>
      </c>
      <c r="U1605" s="65">
        <v>0</v>
      </c>
      <c r="V1605" s="65">
        <v>0</v>
      </c>
      <c r="W1605" s="65">
        <v>0</v>
      </c>
      <c r="X1605" s="65">
        <v>0</v>
      </c>
      <c r="Y1605" s="65">
        <v>0</v>
      </c>
      <c r="Z1605" s="65">
        <v>11066.619999999999</v>
      </c>
      <c r="AA1605" s="51">
        <v>0</v>
      </c>
      <c r="AB1605" s="102">
        <v>0</v>
      </c>
      <c r="AC1605" s="81">
        <f t="shared" si="78"/>
        <v>266.76753069119775</v>
      </c>
      <c r="AD1605" s="82">
        <f t="shared" si="79"/>
        <v>45.345714285714287</v>
      </c>
      <c r="AE1605" s="218">
        <v>0</v>
      </c>
      <c r="AF1605">
        <v>0</v>
      </c>
      <c r="AH1605" t="str">
        <f t="shared" si="77"/>
        <v>Gaighat</v>
      </c>
      <c r="AJ1605" s="72">
        <v>0</v>
      </c>
      <c r="AK1605" s="72"/>
      <c r="AL1605" s="72"/>
      <c r="AM1605" s="72"/>
    </row>
    <row r="1606" spans="1:39" x14ac:dyDescent="0.25">
      <c r="A1606" s="37" t="s">
        <v>62</v>
      </c>
      <c r="B1606" s="66" t="s">
        <v>1615</v>
      </c>
      <c r="C1606" s="47">
        <v>1053</v>
      </c>
      <c r="D1606" s="47" t="s">
        <v>542</v>
      </c>
      <c r="E1606" s="41">
        <v>10530044</v>
      </c>
      <c r="F1606" s="46" t="s">
        <v>608</v>
      </c>
      <c r="G1606" s="39" t="s">
        <v>93</v>
      </c>
      <c r="H1606" s="48" t="s">
        <v>94</v>
      </c>
      <c r="I1606" s="52">
        <v>756.5</v>
      </c>
      <c r="J1606" s="49">
        <v>34150.229999999996</v>
      </c>
      <c r="K1606" s="65">
        <v>733.97999999999979</v>
      </c>
      <c r="L1606" s="65">
        <v>32494.372151231506</v>
      </c>
      <c r="M1606" s="65">
        <v>11.51</v>
      </c>
      <c r="N1606" s="65">
        <v>488.43577484400004</v>
      </c>
      <c r="O1606" s="65">
        <v>745.48999999999978</v>
      </c>
      <c r="P1606" s="65">
        <v>32982.807926075504</v>
      </c>
      <c r="Q1606" s="50">
        <v>32982.807926075504</v>
      </c>
      <c r="R1606" s="65">
        <v>0</v>
      </c>
      <c r="S1606" s="65">
        <v>488.43577484400004</v>
      </c>
      <c r="T1606" s="65">
        <v>0</v>
      </c>
      <c r="U1606" s="65">
        <v>0</v>
      </c>
      <c r="V1606" s="65">
        <v>597.09664838709682</v>
      </c>
      <c r="W1606" s="65">
        <v>0</v>
      </c>
      <c r="X1606" s="65">
        <v>31896</v>
      </c>
      <c r="Y1606" s="65">
        <v>0</v>
      </c>
      <c r="Z1606" s="65">
        <v>0</v>
      </c>
      <c r="AA1606" s="51">
        <v>1169</v>
      </c>
      <c r="AB1606" s="102">
        <v>0</v>
      </c>
      <c r="AC1606" s="81">
        <f t="shared" si="78"/>
        <v>0</v>
      </c>
      <c r="AD1606" s="82">
        <f t="shared" si="79"/>
        <v>0</v>
      </c>
      <c r="AE1606" s="218">
        <v>3.4184896380624441E-2</v>
      </c>
      <c r="AF1606">
        <v>20</v>
      </c>
      <c r="AH1606" t="str">
        <f t="shared" si="77"/>
        <v>Kalyanpur</v>
      </c>
      <c r="AJ1606" s="72">
        <v>0</v>
      </c>
      <c r="AK1606" s="72"/>
      <c r="AL1606" s="72"/>
      <c r="AM1606" s="72"/>
    </row>
    <row r="1607" spans="1:39" x14ac:dyDescent="0.25">
      <c r="A1607" s="37" t="s">
        <v>62</v>
      </c>
      <c r="B1607" s="66" t="s">
        <v>1615</v>
      </c>
      <c r="C1607" s="47">
        <v>1053</v>
      </c>
      <c r="D1607" s="47" t="s">
        <v>542</v>
      </c>
      <c r="E1607" s="41">
        <v>10530046</v>
      </c>
      <c r="F1607" s="46" t="s">
        <v>639</v>
      </c>
      <c r="G1607" s="39" t="s">
        <v>93</v>
      </c>
      <c r="H1607" s="48" t="s">
        <v>94</v>
      </c>
      <c r="I1607" s="52">
        <v>394.05000000000007</v>
      </c>
      <c r="J1607" s="49">
        <v>19332.34</v>
      </c>
      <c r="K1607" s="65">
        <v>400.94000000000005</v>
      </c>
      <c r="L1607" s="65">
        <v>19175.931790001581</v>
      </c>
      <c r="M1607" s="65">
        <v>6.11</v>
      </c>
      <c r="N1607" s="65">
        <v>285.95724412496003</v>
      </c>
      <c r="O1607" s="65">
        <v>407.05000000000007</v>
      </c>
      <c r="P1607" s="65">
        <v>19461.88903412654</v>
      </c>
      <c r="Q1607" s="50">
        <v>19332.34</v>
      </c>
      <c r="R1607" s="65">
        <v>0</v>
      </c>
      <c r="S1607" s="65">
        <v>285.95724412496003</v>
      </c>
      <c r="T1607" s="65">
        <v>129.54903412653948</v>
      </c>
      <c r="U1607" s="65">
        <v>0</v>
      </c>
      <c r="V1607" s="65">
        <v>98.103512903225436</v>
      </c>
      <c r="W1607" s="65">
        <v>0</v>
      </c>
      <c r="X1607" s="65">
        <v>18947</v>
      </c>
      <c r="Y1607" s="65">
        <v>0</v>
      </c>
      <c r="Z1607" s="65">
        <v>0</v>
      </c>
      <c r="AA1607" s="51">
        <v>1</v>
      </c>
      <c r="AB1607" s="102">
        <v>0</v>
      </c>
      <c r="AC1607" s="81">
        <f t="shared" si="78"/>
        <v>300.20197553609933</v>
      </c>
      <c r="AD1607" s="82">
        <f t="shared" si="79"/>
        <v>56.292857142857152</v>
      </c>
      <c r="AE1607" s="218">
        <v>-6.7011564107883207E-3</v>
      </c>
      <c r="AF1607">
        <v>23</v>
      </c>
      <c r="AH1607" t="str">
        <f t="shared" si="77"/>
        <v>Kalyanpur</v>
      </c>
      <c r="AJ1607" s="72">
        <v>0</v>
      </c>
      <c r="AK1607" s="72"/>
      <c r="AL1607" s="72"/>
      <c r="AM1607" s="72"/>
    </row>
    <row r="1608" spans="1:39" x14ac:dyDescent="0.25">
      <c r="A1608" s="37" t="s">
        <v>62</v>
      </c>
      <c r="B1608" s="66" t="s">
        <v>1615</v>
      </c>
      <c r="C1608" s="47">
        <v>1053</v>
      </c>
      <c r="D1608" s="47" t="s">
        <v>542</v>
      </c>
      <c r="E1608" s="41">
        <v>10530047</v>
      </c>
      <c r="F1608" s="46" t="s">
        <v>609</v>
      </c>
      <c r="G1608" s="39" t="s">
        <v>93</v>
      </c>
      <c r="H1608" s="48" t="s">
        <v>94</v>
      </c>
      <c r="I1608" s="52">
        <v>267.89999999999998</v>
      </c>
      <c r="J1608" s="49">
        <v>8854.619999999999</v>
      </c>
      <c r="K1608" s="65">
        <v>268.02</v>
      </c>
      <c r="L1608" s="65">
        <v>9532.8334790364006</v>
      </c>
      <c r="M1608" s="65">
        <v>0.66999999999999993</v>
      </c>
      <c r="N1608" s="65">
        <v>22.655952732599999</v>
      </c>
      <c r="O1608" s="65">
        <v>268.69</v>
      </c>
      <c r="P1608" s="65">
        <v>9555.4894317690014</v>
      </c>
      <c r="Q1608" s="50">
        <v>8854.619999999999</v>
      </c>
      <c r="R1608" s="65">
        <v>0</v>
      </c>
      <c r="S1608" s="65">
        <v>22.655952732599999</v>
      </c>
      <c r="T1608" s="65">
        <v>700.8694317690024</v>
      </c>
      <c r="U1608" s="65">
        <v>1500</v>
      </c>
      <c r="V1608" s="65">
        <v>154.37241290322595</v>
      </c>
      <c r="W1608" s="65">
        <v>0</v>
      </c>
      <c r="X1608" s="65">
        <v>7177</v>
      </c>
      <c r="Y1608" s="65">
        <v>0</v>
      </c>
      <c r="Z1608" s="65">
        <v>0</v>
      </c>
      <c r="AA1608" s="51">
        <v>1</v>
      </c>
      <c r="AB1608" s="102">
        <v>0</v>
      </c>
      <c r="AC1608" s="81">
        <f t="shared" si="78"/>
        <v>285.6350356103024</v>
      </c>
      <c r="AD1608" s="82">
        <f t="shared" si="79"/>
        <v>38.271428571428565</v>
      </c>
      <c r="AE1608" s="218">
        <v>-7.9152965544427939E-2</v>
      </c>
      <c r="AF1608">
        <v>5</v>
      </c>
      <c r="AH1608" t="str">
        <f t="shared" si="77"/>
        <v>Kalyanpur</v>
      </c>
      <c r="AJ1608" s="72">
        <v>0</v>
      </c>
      <c r="AK1608" s="72"/>
      <c r="AL1608" s="72"/>
      <c r="AM1608" s="72"/>
    </row>
    <row r="1609" spans="1:39" x14ac:dyDescent="0.25">
      <c r="A1609" s="37" t="s">
        <v>62</v>
      </c>
      <c r="B1609" s="66" t="s">
        <v>1615</v>
      </c>
      <c r="C1609" s="47">
        <v>1053</v>
      </c>
      <c r="D1609" s="47" t="s">
        <v>542</v>
      </c>
      <c r="E1609" s="41">
        <v>10530048</v>
      </c>
      <c r="F1609" s="46" t="s">
        <v>640</v>
      </c>
      <c r="G1609" s="39" t="s">
        <v>93</v>
      </c>
      <c r="H1609" s="48" t="s">
        <v>94</v>
      </c>
      <c r="I1609" s="52">
        <v>360.55000000000007</v>
      </c>
      <c r="J1609" s="49">
        <v>13731.33</v>
      </c>
      <c r="K1609" s="65">
        <v>356.47</v>
      </c>
      <c r="L1609" s="65">
        <v>13457.207005078722</v>
      </c>
      <c r="M1609" s="65">
        <v>6.1599999999999993</v>
      </c>
      <c r="N1609" s="65">
        <v>241.33121391901801</v>
      </c>
      <c r="O1609" s="65">
        <v>362.63000000000005</v>
      </c>
      <c r="P1609" s="65">
        <v>13698.538218997741</v>
      </c>
      <c r="Q1609" s="50">
        <v>13698.538218997741</v>
      </c>
      <c r="R1609" s="65">
        <v>0</v>
      </c>
      <c r="S1609" s="65">
        <v>241.33121391901801</v>
      </c>
      <c r="T1609" s="65">
        <v>0</v>
      </c>
      <c r="U1609" s="65">
        <v>0</v>
      </c>
      <c r="V1609" s="65">
        <v>0</v>
      </c>
      <c r="W1609" s="65">
        <v>0</v>
      </c>
      <c r="X1609" s="65">
        <v>13458</v>
      </c>
      <c r="Y1609" s="65">
        <v>0</v>
      </c>
      <c r="Z1609" s="65">
        <v>0</v>
      </c>
      <c r="AA1609" s="51">
        <v>32</v>
      </c>
      <c r="AB1609" s="102">
        <v>0</v>
      </c>
      <c r="AC1609" s="81">
        <f t="shared" si="78"/>
        <v>258.55498369158221</v>
      </c>
      <c r="AD1609" s="82">
        <f t="shared" si="79"/>
        <v>51.507142857142867</v>
      </c>
      <c r="AE1609" s="218">
        <v>2.3880994049563361E-3</v>
      </c>
      <c r="AF1609">
        <v>10</v>
      </c>
      <c r="AH1609" t="str">
        <f t="shared" si="77"/>
        <v>Kalyanpur</v>
      </c>
      <c r="AJ1609" s="72">
        <v>0</v>
      </c>
      <c r="AK1609" s="72"/>
      <c r="AL1609" s="72"/>
      <c r="AM1609" s="72"/>
    </row>
    <row r="1610" spans="1:39" x14ac:dyDescent="0.25">
      <c r="A1610" s="37" t="s">
        <v>62</v>
      </c>
      <c r="B1610" s="66" t="s">
        <v>1615</v>
      </c>
      <c r="C1610" s="47">
        <v>1053</v>
      </c>
      <c r="D1610" s="47" t="s">
        <v>542</v>
      </c>
      <c r="E1610" s="41">
        <v>10530049</v>
      </c>
      <c r="F1610" s="46" t="s">
        <v>610</v>
      </c>
      <c r="G1610" s="39" t="s">
        <v>635</v>
      </c>
      <c r="H1610" s="48" t="s">
        <v>99</v>
      </c>
      <c r="I1610" s="52">
        <v>1851.3</v>
      </c>
      <c r="J1610" s="49">
        <v>68425.03</v>
      </c>
      <c r="K1610" s="65">
        <v>0</v>
      </c>
      <c r="L1610" s="65">
        <v>0</v>
      </c>
      <c r="M1610" s="65">
        <v>0</v>
      </c>
      <c r="N1610" s="65">
        <v>0</v>
      </c>
      <c r="O1610" s="65">
        <v>0</v>
      </c>
      <c r="P1610" s="65">
        <v>0</v>
      </c>
      <c r="Q1610" s="50">
        <v>68425.03</v>
      </c>
      <c r="R1610" s="65">
        <v>0</v>
      </c>
      <c r="S1610" s="65">
        <v>0</v>
      </c>
      <c r="T1610" s="65">
        <v>0</v>
      </c>
      <c r="U1610" s="65">
        <v>0</v>
      </c>
      <c r="V1610" s="65">
        <v>0</v>
      </c>
      <c r="W1610" s="65">
        <v>0</v>
      </c>
      <c r="X1610" s="65">
        <v>0</v>
      </c>
      <c r="Y1610" s="65">
        <v>0</v>
      </c>
      <c r="Z1610" s="65">
        <v>68425.03</v>
      </c>
      <c r="AA1610" s="51">
        <v>0</v>
      </c>
      <c r="AB1610" s="102">
        <v>0</v>
      </c>
      <c r="AC1610" s="81">
        <f t="shared" si="78"/>
        <v>0</v>
      </c>
      <c r="AD1610" s="82">
        <f t="shared" si="79"/>
        <v>0</v>
      </c>
      <c r="AE1610" s="218">
        <v>0</v>
      </c>
      <c r="AF1610">
        <v>0</v>
      </c>
      <c r="AH1610" t="str">
        <f t="shared" si="77"/>
        <v>Kalyanpur</v>
      </c>
      <c r="AJ1610" s="72">
        <v>0</v>
      </c>
      <c r="AK1610" s="72"/>
      <c r="AL1610" s="72"/>
      <c r="AM1610" s="72"/>
    </row>
    <row r="1611" spans="1:39" x14ac:dyDescent="0.25">
      <c r="A1611" s="37" t="s">
        <v>62</v>
      </c>
      <c r="B1611" s="66" t="s">
        <v>1615</v>
      </c>
      <c r="C1611" s="47">
        <v>1053</v>
      </c>
      <c r="D1611" s="47" t="s">
        <v>542</v>
      </c>
      <c r="E1611" s="41">
        <v>10530050</v>
      </c>
      <c r="F1611" s="46" t="s">
        <v>559</v>
      </c>
      <c r="G1611" s="39" t="s">
        <v>635</v>
      </c>
      <c r="H1611" s="48" t="s">
        <v>99</v>
      </c>
      <c r="I1611" s="52">
        <v>41.95</v>
      </c>
      <c r="J1611" s="49">
        <v>2314.38</v>
      </c>
      <c r="K1611" s="65">
        <v>0</v>
      </c>
      <c r="L1611" s="65">
        <v>0</v>
      </c>
      <c r="M1611" s="65">
        <v>0</v>
      </c>
      <c r="N1611" s="65">
        <v>0</v>
      </c>
      <c r="O1611" s="65">
        <v>0</v>
      </c>
      <c r="P1611" s="65">
        <v>0</v>
      </c>
      <c r="Q1611" s="50">
        <v>2314.38</v>
      </c>
      <c r="R1611" s="65">
        <v>0</v>
      </c>
      <c r="S1611" s="65">
        <v>0</v>
      </c>
      <c r="T1611" s="65">
        <v>0</v>
      </c>
      <c r="U1611" s="65">
        <v>0</v>
      </c>
      <c r="V1611" s="65">
        <v>429.28672258064512</v>
      </c>
      <c r="W1611" s="65">
        <v>0</v>
      </c>
      <c r="X1611" s="65">
        <v>0</v>
      </c>
      <c r="Y1611" s="65">
        <v>0</v>
      </c>
      <c r="Z1611" s="65">
        <v>1885.093277419355</v>
      </c>
      <c r="AA1611" s="51">
        <v>0</v>
      </c>
      <c r="AB1611" s="102">
        <v>0</v>
      </c>
      <c r="AC1611" s="81">
        <f t="shared" si="78"/>
        <v>726.09189940405236</v>
      </c>
      <c r="AD1611" s="82">
        <f t="shared" si="79"/>
        <v>5.9928571428571429</v>
      </c>
      <c r="AE1611" s="218">
        <v>0</v>
      </c>
      <c r="AF1611">
        <v>0</v>
      </c>
      <c r="AH1611" t="str">
        <f t="shared" si="77"/>
        <v>Kalyanpur</v>
      </c>
      <c r="AJ1611" s="72">
        <v>0</v>
      </c>
      <c r="AK1611" s="72"/>
      <c r="AL1611" s="72"/>
      <c r="AM1611" s="72"/>
    </row>
    <row r="1612" spans="1:39" x14ac:dyDescent="0.25">
      <c r="A1612" s="37" t="s">
        <v>62</v>
      </c>
      <c r="B1612" s="66" t="s">
        <v>1615</v>
      </c>
      <c r="C1612" s="47">
        <v>1053</v>
      </c>
      <c r="D1612" s="47" t="s">
        <v>542</v>
      </c>
      <c r="E1612" s="41">
        <v>10530055</v>
      </c>
      <c r="F1612" s="46" t="s">
        <v>654</v>
      </c>
      <c r="G1612" s="39" t="s">
        <v>93</v>
      </c>
      <c r="H1612" s="48" t="s">
        <v>94</v>
      </c>
      <c r="I1612" s="52">
        <v>1762.7500000000005</v>
      </c>
      <c r="J1612" s="49">
        <v>70735.839999999982</v>
      </c>
      <c r="K1612" s="65">
        <v>1746.53</v>
      </c>
      <c r="L1612" s="65">
        <v>68891.801364095823</v>
      </c>
      <c r="M1612" s="65">
        <v>32.06</v>
      </c>
      <c r="N1612" s="65">
        <v>1264.3762431960001</v>
      </c>
      <c r="O1612" s="65">
        <v>1778.59</v>
      </c>
      <c r="P1612" s="65">
        <v>70156.177607291829</v>
      </c>
      <c r="Q1612" s="50">
        <v>70156.177607291829</v>
      </c>
      <c r="R1612" s="65">
        <v>0</v>
      </c>
      <c r="S1612" s="65">
        <v>1264.3762431960001</v>
      </c>
      <c r="T1612" s="65">
        <v>0</v>
      </c>
      <c r="U1612" s="65">
        <v>0</v>
      </c>
      <c r="V1612" s="65">
        <v>0</v>
      </c>
      <c r="W1612" s="65">
        <v>0</v>
      </c>
      <c r="X1612" s="65">
        <v>68892</v>
      </c>
      <c r="Y1612" s="65">
        <v>0</v>
      </c>
      <c r="Z1612" s="65">
        <v>0</v>
      </c>
      <c r="AA1612" s="51">
        <v>579</v>
      </c>
      <c r="AB1612" s="102">
        <v>0</v>
      </c>
      <c r="AC1612" s="81">
        <f t="shared" si="78"/>
        <v>0</v>
      </c>
      <c r="AD1612" s="82">
        <f t="shared" si="79"/>
        <v>0</v>
      </c>
      <c r="AE1612" s="218">
        <v>8.1947481320381998E-3</v>
      </c>
      <c r="AF1612">
        <v>50</v>
      </c>
      <c r="AH1612" t="str">
        <f t="shared" si="77"/>
        <v>Kalyanpur</v>
      </c>
      <c r="AJ1612" s="72">
        <v>0</v>
      </c>
      <c r="AK1612" s="72"/>
      <c r="AL1612" s="72"/>
      <c r="AM1612" s="72"/>
    </row>
    <row r="1613" spans="1:39" x14ac:dyDescent="0.25">
      <c r="A1613" s="37" t="s">
        <v>62</v>
      </c>
      <c r="B1613" s="66" t="s">
        <v>1615</v>
      </c>
      <c r="C1613" s="47">
        <v>1053</v>
      </c>
      <c r="D1613" s="47" t="s">
        <v>542</v>
      </c>
      <c r="E1613" s="41">
        <v>10530057</v>
      </c>
      <c r="F1613" s="46" t="s">
        <v>655</v>
      </c>
      <c r="G1613" s="39" t="s">
        <v>635</v>
      </c>
      <c r="H1613" s="48" t="s">
        <v>99</v>
      </c>
      <c r="I1613" s="52">
        <v>112.15</v>
      </c>
      <c r="J1613" s="49">
        <v>4517.4000000000005</v>
      </c>
      <c r="K1613" s="65">
        <v>0</v>
      </c>
      <c r="L1613" s="65">
        <v>0</v>
      </c>
      <c r="M1613" s="65">
        <v>0</v>
      </c>
      <c r="N1613" s="65">
        <v>0</v>
      </c>
      <c r="O1613" s="65">
        <v>0</v>
      </c>
      <c r="P1613" s="65">
        <v>0</v>
      </c>
      <c r="Q1613" s="50">
        <v>4517.4000000000005</v>
      </c>
      <c r="R1613" s="65">
        <v>0</v>
      </c>
      <c r="S1613" s="65">
        <v>0</v>
      </c>
      <c r="T1613" s="65">
        <v>0</v>
      </c>
      <c r="U1613" s="65">
        <v>0</v>
      </c>
      <c r="V1613" s="65">
        <v>0</v>
      </c>
      <c r="W1613" s="65">
        <v>0</v>
      </c>
      <c r="X1613" s="65">
        <v>0</v>
      </c>
      <c r="Y1613" s="65">
        <v>0</v>
      </c>
      <c r="Z1613" s="65">
        <v>4517.4000000000005</v>
      </c>
      <c r="AA1613" s="51">
        <v>0</v>
      </c>
      <c r="AB1613" s="102">
        <v>0</v>
      </c>
      <c r="AC1613" s="81">
        <f t="shared" si="78"/>
        <v>473.57175033437363</v>
      </c>
      <c r="AD1613" s="82">
        <f t="shared" si="79"/>
        <v>16.021428571428572</v>
      </c>
      <c r="AE1613" s="218">
        <v>0</v>
      </c>
      <c r="AF1613">
        <v>0</v>
      </c>
      <c r="AH1613" t="str">
        <f t="shared" si="77"/>
        <v>Kalyanpur</v>
      </c>
      <c r="AJ1613" s="72">
        <v>0</v>
      </c>
      <c r="AK1613" s="72"/>
      <c r="AL1613" s="72"/>
      <c r="AM1613" s="72"/>
    </row>
    <row r="1614" spans="1:39" x14ac:dyDescent="0.25">
      <c r="A1614" s="37" t="s">
        <v>62</v>
      </c>
      <c r="B1614" s="66" t="s">
        <v>1615</v>
      </c>
      <c r="C1614" s="47">
        <v>1053</v>
      </c>
      <c r="D1614" s="47" t="s">
        <v>542</v>
      </c>
      <c r="E1614" s="41">
        <v>10530058</v>
      </c>
      <c r="F1614" s="46" t="s">
        <v>674</v>
      </c>
      <c r="G1614" s="39" t="s">
        <v>93</v>
      </c>
      <c r="H1614" s="48" t="s">
        <v>94</v>
      </c>
      <c r="I1614" s="52">
        <v>146.79999999999998</v>
      </c>
      <c r="J1614" s="49">
        <v>5395.17</v>
      </c>
      <c r="K1614" s="65">
        <v>150.72</v>
      </c>
      <c r="L1614" s="65">
        <v>5392.8696973337992</v>
      </c>
      <c r="M1614" s="65">
        <v>0</v>
      </c>
      <c r="N1614" s="65">
        <v>0</v>
      </c>
      <c r="O1614" s="65">
        <v>150.72</v>
      </c>
      <c r="P1614" s="65">
        <v>5392.8696973337992</v>
      </c>
      <c r="Q1614" s="50">
        <v>5392.8696973337992</v>
      </c>
      <c r="R1614" s="65">
        <v>0</v>
      </c>
      <c r="S1614" s="65">
        <v>0</v>
      </c>
      <c r="T1614" s="65">
        <v>0</v>
      </c>
      <c r="U1614" s="65">
        <v>0</v>
      </c>
      <c r="V1614" s="65">
        <v>5.62</v>
      </c>
      <c r="W1614" s="65">
        <v>0</v>
      </c>
      <c r="X1614" s="65">
        <v>5387</v>
      </c>
      <c r="Y1614" s="65">
        <v>0</v>
      </c>
      <c r="Z1614" s="65">
        <v>0</v>
      </c>
      <c r="AA1614" s="51">
        <v>3</v>
      </c>
      <c r="AB1614" s="102" t="s">
        <v>68</v>
      </c>
      <c r="AC1614" s="81">
        <f t="shared" si="78"/>
        <v>406.62234931880124</v>
      </c>
      <c r="AD1614" s="82">
        <f t="shared" si="79"/>
        <v>20.971428571428568</v>
      </c>
      <c r="AE1614" s="218">
        <v>4.2636333353738209E-4</v>
      </c>
      <c r="AF1614">
        <v>8</v>
      </c>
      <c r="AH1614" t="str">
        <f t="shared" si="77"/>
        <v>Kalyanpur</v>
      </c>
      <c r="AJ1614" s="72">
        <v>0</v>
      </c>
      <c r="AK1614" s="72"/>
      <c r="AL1614" s="72"/>
      <c r="AM1614" s="72"/>
    </row>
    <row r="1615" spans="1:39" x14ac:dyDescent="0.25">
      <c r="A1615" s="37" t="s">
        <v>62</v>
      </c>
      <c r="B1615" s="66" t="s">
        <v>1615</v>
      </c>
      <c r="C1615" s="47">
        <v>1053</v>
      </c>
      <c r="D1615" s="47" t="s">
        <v>542</v>
      </c>
      <c r="E1615" s="41">
        <v>10530059</v>
      </c>
      <c r="F1615" s="46" t="s">
        <v>656</v>
      </c>
      <c r="G1615" s="39" t="s">
        <v>635</v>
      </c>
      <c r="H1615" s="48" t="s">
        <v>99</v>
      </c>
      <c r="I1615" s="52">
        <v>1857.25</v>
      </c>
      <c r="J1615" s="49">
        <v>88876.560000000012</v>
      </c>
      <c r="K1615" s="65">
        <v>0</v>
      </c>
      <c r="L1615" s="65">
        <v>0</v>
      </c>
      <c r="M1615" s="65">
        <v>0</v>
      </c>
      <c r="N1615" s="65">
        <v>0</v>
      </c>
      <c r="O1615" s="65">
        <v>0</v>
      </c>
      <c r="P1615" s="65">
        <v>0</v>
      </c>
      <c r="Q1615" s="50">
        <v>88876.560000000012</v>
      </c>
      <c r="R1615" s="65">
        <v>0</v>
      </c>
      <c r="S1615" s="65">
        <v>0</v>
      </c>
      <c r="T1615" s="65">
        <v>0</v>
      </c>
      <c r="U1615" s="65">
        <v>2700</v>
      </c>
      <c r="V1615" s="65">
        <v>0</v>
      </c>
      <c r="W1615" s="65">
        <v>0</v>
      </c>
      <c r="X1615" s="65">
        <v>0</v>
      </c>
      <c r="Y1615" s="65">
        <v>0</v>
      </c>
      <c r="Z1615" s="65">
        <v>86176.560000000012</v>
      </c>
      <c r="AA1615" s="51">
        <v>0</v>
      </c>
      <c r="AB1615" s="102">
        <v>0</v>
      </c>
      <c r="AC1615" s="81">
        <f t="shared" si="78"/>
        <v>0</v>
      </c>
      <c r="AD1615" s="82">
        <f t="shared" si="79"/>
        <v>0</v>
      </c>
      <c r="AE1615" s="218">
        <v>0</v>
      </c>
      <c r="AF1615">
        <v>0</v>
      </c>
      <c r="AH1615" t="str">
        <f t="shared" si="77"/>
        <v>Kalyanpur</v>
      </c>
      <c r="AJ1615" s="72">
        <v>0</v>
      </c>
      <c r="AK1615" s="72"/>
      <c r="AL1615" s="72"/>
      <c r="AM1615" s="72"/>
    </row>
    <row r="1616" spans="1:39" x14ac:dyDescent="0.25">
      <c r="A1616" s="37" t="s">
        <v>62</v>
      </c>
      <c r="B1616" s="66" t="s">
        <v>1615</v>
      </c>
      <c r="C1616" s="47">
        <v>1053</v>
      </c>
      <c r="D1616" s="47" t="s">
        <v>542</v>
      </c>
      <c r="E1616" s="41">
        <v>10530060</v>
      </c>
      <c r="F1616" s="46" t="s">
        <v>675</v>
      </c>
      <c r="G1616" s="39" t="s">
        <v>635</v>
      </c>
      <c r="H1616" s="48" t="s">
        <v>99</v>
      </c>
      <c r="I1616" s="52">
        <v>445.90000000000003</v>
      </c>
      <c r="J1616" s="49">
        <v>19501.72</v>
      </c>
      <c r="K1616" s="65">
        <v>0</v>
      </c>
      <c r="L1616" s="65">
        <v>0</v>
      </c>
      <c r="M1616" s="65">
        <v>0</v>
      </c>
      <c r="N1616" s="65">
        <v>0</v>
      </c>
      <c r="O1616" s="65">
        <v>0</v>
      </c>
      <c r="P1616" s="65">
        <v>0</v>
      </c>
      <c r="Q1616" s="50">
        <v>19501.72</v>
      </c>
      <c r="R1616" s="65">
        <v>0</v>
      </c>
      <c r="S1616" s="65">
        <v>0</v>
      </c>
      <c r="T1616" s="65">
        <v>0</v>
      </c>
      <c r="U1616" s="65">
        <v>0</v>
      </c>
      <c r="V1616" s="65">
        <v>0</v>
      </c>
      <c r="W1616" s="65">
        <v>0</v>
      </c>
      <c r="X1616" s="65">
        <v>0</v>
      </c>
      <c r="Y1616" s="65">
        <v>0</v>
      </c>
      <c r="Z1616" s="65">
        <v>19501.72</v>
      </c>
      <c r="AA1616" s="51">
        <v>0</v>
      </c>
      <c r="AB1616" s="102">
        <v>0</v>
      </c>
      <c r="AC1616" s="81">
        <f t="shared" si="78"/>
        <v>222.26450109890109</v>
      </c>
      <c r="AD1616" s="82">
        <f t="shared" si="79"/>
        <v>63.7</v>
      </c>
      <c r="AE1616" s="218">
        <v>0</v>
      </c>
      <c r="AF1616">
        <v>0</v>
      </c>
      <c r="AH1616" t="str">
        <f t="shared" si="77"/>
        <v>Kalyanpur</v>
      </c>
      <c r="AJ1616" s="72">
        <v>0</v>
      </c>
      <c r="AK1616" s="72"/>
      <c r="AL1616" s="72"/>
      <c r="AM1616" s="72"/>
    </row>
    <row r="1617" spans="1:39" x14ac:dyDescent="0.25">
      <c r="A1617" s="37" t="s">
        <v>62</v>
      </c>
      <c r="B1617" s="66" t="s">
        <v>1615</v>
      </c>
      <c r="C1617" s="47">
        <v>1053</v>
      </c>
      <c r="D1617" s="47" t="s">
        <v>542</v>
      </c>
      <c r="E1617" s="41">
        <v>10530062</v>
      </c>
      <c r="F1617" s="46" t="s">
        <v>681</v>
      </c>
      <c r="G1617" s="39" t="s">
        <v>93</v>
      </c>
      <c r="H1617" s="48" t="s">
        <v>94</v>
      </c>
      <c r="I1617" s="52">
        <v>826.69999999999982</v>
      </c>
      <c r="J1617" s="49">
        <v>34321.589999999997</v>
      </c>
      <c r="K1617" s="65">
        <v>826.92000000000007</v>
      </c>
      <c r="L1617" s="65">
        <v>34123.250615837933</v>
      </c>
      <c r="M1617" s="65">
        <v>5.72</v>
      </c>
      <c r="N1617" s="65">
        <v>260.30237974761997</v>
      </c>
      <c r="O1617" s="65">
        <v>832.6400000000001</v>
      </c>
      <c r="P1617" s="65">
        <v>34383.552995585553</v>
      </c>
      <c r="Q1617" s="50">
        <v>34321.589999999997</v>
      </c>
      <c r="R1617" s="65">
        <v>0</v>
      </c>
      <c r="S1617" s="65">
        <v>260.30237974761997</v>
      </c>
      <c r="T1617" s="65">
        <v>61.9629955855562</v>
      </c>
      <c r="U1617" s="65">
        <v>0</v>
      </c>
      <c r="V1617" s="65">
        <v>0</v>
      </c>
      <c r="W1617" s="65">
        <v>0</v>
      </c>
      <c r="X1617" s="65">
        <v>34061</v>
      </c>
      <c r="Y1617" s="65">
        <v>0</v>
      </c>
      <c r="Z1617" s="65">
        <v>0</v>
      </c>
      <c r="AA1617" s="51">
        <v>0</v>
      </c>
      <c r="AB1617" s="102">
        <v>0</v>
      </c>
      <c r="AC1617" s="81">
        <f t="shared" si="78"/>
        <v>0</v>
      </c>
      <c r="AD1617" s="82">
        <f t="shared" si="79"/>
        <v>0</v>
      </c>
      <c r="AE1617" s="218">
        <v>-1.8053649491633751E-3</v>
      </c>
      <c r="AF1617">
        <v>10</v>
      </c>
      <c r="AH1617" t="str">
        <f t="shared" si="77"/>
        <v>Kalyanpur</v>
      </c>
      <c r="AJ1617" s="72">
        <v>0</v>
      </c>
      <c r="AK1617" s="72"/>
      <c r="AL1617" s="72"/>
      <c r="AM1617" s="72"/>
    </row>
    <row r="1618" spans="1:39" x14ac:dyDescent="0.25">
      <c r="A1618" s="37" t="s">
        <v>62</v>
      </c>
      <c r="B1618" s="66" t="s">
        <v>1615</v>
      </c>
      <c r="C1618" s="47">
        <v>1053</v>
      </c>
      <c r="D1618" s="47" t="s">
        <v>542</v>
      </c>
      <c r="E1618" s="41">
        <v>10530063</v>
      </c>
      <c r="F1618" s="46" t="s">
        <v>682</v>
      </c>
      <c r="G1618" s="39" t="s">
        <v>635</v>
      </c>
      <c r="H1618" s="48" t="s">
        <v>99</v>
      </c>
      <c r="I1618" s="52">
        <v>217.8</v>
      </c>
      <c r="J1618" s="49">
        <v>10955.09</v>
      </c>
      <c r="K1618" s="65">
        <v>0</v>
      </c>
      <c r="L1618" s="65">
        <v>0</v>
      </c>
      <c r="M1618" s="65">
        <v>0</v>
      </c>
      <c r="N1618" s="65">
        <v>0</v>
      </c>
      <c r="O1618" s="65">
        <v>0</v>
      </c>
      <c r="P1618" s="65">
        <v>0</v>
      </c>
      <c r="Q1618" s="50">
        <v>10955.09</v>
      </c>
      <c r="R1618" s="65">
        <v>0</v>
      </c>
      <c r="S1618" s="65">
        <v>0</v>
      </c>
      <c r="T1618" s="65">
        <v>0</v>
      </c>
      <c r="U1618" s="65">
        <v>2850</v>
      </c>
      <c r="V1618" s="65">
        <v>253.77372580645147</v>
      </c>
      <c r="W1618" s="65">
        <v>0</v>
      </c>
      <c r="X1618" s="65">
        <v>0</v>
      </c>
      <c r="Y1618" s="65">
        <v>0</v>
      </c>
      <c r="Z1618" s="65">
        <v>7851.3162741935485</v>
      </c>
      <c r="AA1618" s="51">
        <v>0</v>
      </c>
      <c r="AB1618" s="102">
        <v>0</v>
      </c>
      <c r="AC1618" s="81">
        <f t="shared" si="78"/>
        <v>485.08213021120292</v>
      </c>
      <c r="AD1618" s="82">
        <f t="shared" si="79"/>
        <v>31.114285714285717</v>
      </c>
      <c r="AE1618" s="218">
        <v>0</v>
      </c>
      <c r="AF1618">
        <v>0</v>
      </c>
      <c r="AH1618" t="str">
        <f t="shared" si="77"/>
        <v>Kalyanpur</v>
      </c>
      <c r="AJ1618" s="72">
        <v>0</v>
      </c>
      <c r="AK1618" s="72"/>
      <c r="AL1618" s="72"/>
      <c r="AM1618" s="72"/>
    </row>
    <row r="1619" spans="1:39" x14ac:dyDescent="0.25">
      <c r="A1619" s="37" t="s">
        <v>62</v>
      </c>
      <c r="B1619" s="66" t="s">
        <v>1615</v>
      </c>
      <c r="C1619" s="47">
        <v>1053</v>
      </c>
      <c r="D1619" s="47" t="s">
        <v>542</v>
      </c>
      <c r="E1619" s="109">
        <v>10530064</v>
      </c>
      <c r="F1619" s="46" t="s">
        <v>830</v>
      </c>
      <c r="G1619" s="110" t="s">
        <v>93</v>
      </c>
      <c r="H1619" s="48" t="s">
        <v>94</v>
      </c>
      <c r="I1619" s="111">
        <v>896.1</v>
      </c>
      <c r="J1619" s="49">
        <v>38907.860000000008</v>
      </c>
      <c r="K1619" s="65">
        <v>896.53999999999985</v>
      </c>
      <c r="L1619" s="65">
        <v>37401.300163696797</v>
      </c>
      <c r="M1619" s="65">
        <v>33.99</v>
      </c>
      <c r="N1619" s="65">
        <v>1425.6221930279999</v>
      </c>
      <c r="O1619" s="65">
        <v>930.52999999999986</v>
      </c>
      <c r="P1619" s="65">
        <v>38826.922356724797</v>
      </c>
      <c r="Q1619" s="50">
        <v>38826.922356724797</v>
      </c>
      <c r="R1619" s="65">
        <v>0</v>
      </c>
      <c r="S1619" s="65">
        <v>1425.6221930279999</v>
      </c>
      <c r="T1619" s="65">
        <v>0</v>
      </c>
      <c r="U1619" s="65">
        <v>0</v>
      </c>
      <c r="V1619" s="65">
        <v>50.16565161290319</v>
      </c>
      <c r="W1619" s="65">
        <v>0</v>
      </c>
      <c r="X1619" s="65">
        <v>37351</v>
      </c>
      <c r="Y1619" s="65">
        <v>0</v>
      </c>
      <c r="Z1619" s="65">
        <v>0</v>
      </c>
      <c r="AA1619" s="51">
        <v>81</v>
      </c>
      <c r="AB1619" s="102">
        <v>0</v>
      </c>
      <c r="AC1619" s="81">
        <f t="shared" si="78"/>
        <v>0</v>
      </c>
      <c r="AD1619" s="82">
        <f t="shared" si="79"/>
        <v>0</v>
      </c>
      <c r="AE1619" s="218">
        <v>2.0802388842565632E-3</v>
      </c>
      <c r="AF1619">
        <v>32</v>
      </c>
      <c r="AH1619" t="str">
        <f t="shared" si="77"/>
        <v>Kalyanpur</v>
      </c>
      <c r="AJ1619" s="72">
        <v>0</v>
      </c>
      <c r="AK1619" s="72"/>
      <c r="AL1619" s="72"/>
      <c r="AM1619" s="72"/>
    </row>
    <row r="1620" spans="1:39" x14ac:dyDescent="0.25">
      <c r="A1620" s="37" t="s">
        <v>62</v>
      </c>
      <c r="B1620" s="66" t="s">
        <v>1615</v>
      </c>
      <c r="C1620" s="47">
        <v>1053</v>
      </c>
      <c r="D1620" s="47" t="s">
        <v>542</v>
      </c>
      <c r="E1620" s="41">
        <v>10530065</v>
      </c>
      <c r="F1620" s="46" t="s">
        <v>832</v>
      </c>
      <c r="G1620" s="39" t="s">
        <v>93</v>
      </c>
      <c r="H1620" s="48" t="s">
        <v>94</v>
      </c>
      <c r="I1620" s="52">
        <v>1292.3</v>
      </c>
      <c r="J1620" s="49">
        <v>48394.630000000005</v>
      </c>
      <c r="K1620" s="65">
        <v>1269.01</v>
      </c>
      <c r="L1620" s="65">
        <v>48777.929408450902</v>
      </c>
      <c r="M1620" s="65">
        <v>9.6</v>
      </c>
      <c r="N1620" s="65">
        <v>371.85467655600007</v>
      </c>
      <c r="O1620" s="65">
        <v>1278.6099999999999</v>
      </c>
      <c r="P1620" s="65">
        <v>49149.784085006904</v>
      </c>
      <c r="Q1620" s="50">
        <v>48394.630000000005</v>
      </c>
      <c r="R1620" s="65">
        <v>1500</v>
      </c>
      <c r="S1620" s="65">
        <v>371.85467655600007</v>
      </c>
      <c r="T1620" s="65">
        <v>755.15408500689955</v>
      </c>
      <c r="U1620" s="65">
        <v>10689</v>
      </c>
      <c r="V1620" s="65">
        <v>0</v>
      </c>
      <c r="W1620" s="65">
        <v>0</v>
      </c>
      <c r="X1620" s="65">
        <v>35834</v>
      </c>
      <c r="Y1620" s="65">
        <v>0</v>
      </c>
      <c r="Z1620" s="65">
        <v>0</v>
      </c>
      <c r="AA1620" s="51">
        <v>0</v>
      </c>
      <c r="AB1620" s="102">
        <v>0</v>
      </c>
      <c r="AC1620" s="81">
        <f t="shared" si="78"/>
        <v>0</v>
      </c>
      <c r="AD1620" s="82">
        <f t="shared" si="79"/>
        <v>0</v>
      </c>
      <c r="AE1620" s="218">
        <v>-1.5604088408298597E-2</v>
      </c>
      <c r="AF1620">
        <v>9</v>
      </c>
      <c r="AH1620" t="str">
        <f t="shared" si="77"/>
        <v>Kalyanpur</v>
      </c>
      <c r="AJ1620" s="72">
        <v>0</v>
      </c>
      <c r="AK1620" s="72"/>
      <c r="AL1620" s="72"/>
      <c r="AM1620" s="72"/>
    </row>
    <row r="1621" spans="1:39" x14ac:dyDescent="0.25">
      <c r="A1621" s="37" t="s">
        <v>62</v>
      </c>
      <c r="B1621" s="66" t="s">
        <v>1615</v>
      </c>
      <c r="C1621" s="47">
        <v>1053</v>
      </c>
      <c r="D1621" s="47" t="s">
        <v>542</v>
      </c>
      <c r="E1621" s="47">
        <v>10530067</v>
      </c>
      <c r="F1621" s="46" t="s">
        <v>840</v>
      </c>
      <c r="G1621" s="48" t="s">
        <v>93</v>
      </c>
      <c r="H1621" s="48" t="s">
        <v>94</v>
      </c>
      <c r="I1621" s="49">
        <v>575.20000000000005</v>
      </c>
      <c r="J1621" s="49">
        <v>23958.7</v>
      </c>
      <c r="K1621" s="65">
        <v>580.2299999999999</v>
      </c>
      <c r="L1621" s="65">
        <v>23698.464203397423</v>
      </c>
      <c r="M1621" s="65">
        <v>9.0699999999999985</v>
      </c>
      <c r="N1621" s="65">
        <v>369.99957654000002</v>
      </c>
      <c r="O1621" s="65">
        <v>589.29999999999995</v>
      </c>
      <c r="P1621" s="65">
        <v>24068.463779937425</v>
      </c>
      <c r="Q1621" s="50">
        <v>23958.7</v>
      </c>
      <c r="R1621" s="65">
        <v>0</v>
      </c>
      <c r="S1621" s="65">
        <v>369.99957654000002</v>
      </c>
      <c r="T1621" s="65">
        <v>109.76377993742426</v>
      </c>
      <c r="U1621" s="65">
        <v>465</v>
      </c>
      <c r="V1621" s="65">
        <v>0</v>
      </c>
      <c r="W1621" s="65">
        <v>0</v>
      </c>
      <c r="X1621" s="65">
        <v>23124</v>
      </c>
      <c r="Y1621" s="65">
        <v>0</v>
      </c>
      <c r="Z1621" s="65">
        <v>0</v>
      </c>
      <c r="AA1621" s="51">
        <v>0</v>
      </c>
      <c r="AB1621" s="102">
        <v>0</v>
      </c>
      <c r="AC1621" s="81">
        <f t="shared" si="78"/>
        <v>103.96542976356046</v>
      </c>
      <c r="AD1621" s="82">
        <f t="shared" si="79"/>
        <v>82.171428571428578</v>
      </c>
      <c r="AE1621" s="218">
        <v>-4.5813746128723284E-3</v>
      </c>
      <c r="AF1621">
        <v>19</v>
      </c>
      <c r="AH1621" t="str">
        <f t="shared" si="77"/>
        <v>Kalyanpur</v>
      </c>
      <c r="AJ1621" s="72">
        <v>0</v>
      </c>
      <c r="AK1621" s="72"/>
      <c r="AL1621" s="72"/>
      <c r="AM1621" s="72"/>
    </row>
    <row r="1622" spans="1:39" x14ac:dyDescent="0.25">
      <c r="A1622" s="37" t="s">
        <v>62</v>
      </c>
      <c r="B1622" s="66" t="s">
        <v>1615</v>
      </c>
      <c r="C1622" s="47">
        <v>1053</v>
      </c>
      <c r="D1622" s="47" t="s">
        <v>542</v>
      </c>
      <c r="E1622" s="41">
        <v>10530070</v>
      </c>
      <c r="F1622" s="46" t="s">
        <v>851</v>
      </c>
      <c r="G1622" s="39" t="s">
        <v>93</v>
      </c>
      <c r="H1622" s="48" t="s">
        <v>94</v>
      </c>
      <c r="I1622" s="52">
        <v>182</v>
      </c>
      <c r="J1622" s="49">
        <v>9844.0799999999981</v>
      </c>
      <c r="K1622" s="65">
        <v>188.41000000000003</v>
      </c>
      <c r="L1622" s="65">
        <v>9505.2568155972094</v>
      </c>
      <c r="M1622" s="65">
        <v>3.53</v>
      </c>
      <c r="N1622" s="65">
        <v>184.21329283929998</v>
      </c>
      <c r="O1622" s="65">
        <v>191.94000000000003</v>
      </c>
      <c r="P1622" s="65">
        <v>9689.4701084365097</v>
      </c>
      <c r="Q1622" s="50">
        <v>9689.4701084365097</v>
      </c>
      <c r="R1622" s="65">
        <v>0</v>
      </c>
      <c r="S1622" s="65">
        <v>184.21329283929998</v>
      </c>
      <c r="T1622" s="65">
        <v>0</v>
      </c>
      <c r="U1622" s="65">
        <v>0</v>
      </c>
      <c r="V1622" s="65">
        <v>0</v>
      </c>
      <c r="W1622" s="65">
        <v>0</v>
      </c>
      <c r="X1622" s="65">
        <v>9505</v>
      </c>
      <c r="Y1622" s="65">
        <v>0</v>
      </c>
      <c r="Z1622" s="65">
        <v>0</v>
      </c>
      <c r="AA1622" s="51">
        <v>155</v>
      </c>
      <c r="AB1622" s="102">
        <v>0</v>
      </c>
      <c r="AC1622" s="81">
        <f t="shared" si="78"/>
        <v>560.35532307692301</v>
      </c>
      <c r="AD1622" s="82">
        <f t="shared" si="79"/>
        <v>26</v>
      </c>
      <c r="AE1622" s="218">
        <v>1.5705875161872766E-2</v>
      </c>
      <c r="AF1622">
        <v>12</v>
      </c>
      <c r="AH1622" t="str">
        <f t="shared" si="77"/>
        <v>Kalyanpur</v>
      </c>
      <c r="AJ1622" s="72">
        <v>0</v>
      </c>
      <c r="AK1622" s="72"/>
      <c r="AL1622" s="72"/>
      <c r="AM1622" s="72"/>
    </row>
    <row r="1623" spans="1:39" x14ac:dyDescent="0.25">
      <c r="A1623" s="37" t="s">
        <v>62</v>
      </c>
      <c r="B1623" s="66" t="s">
        <v>1615</v>
      </c>
      <c r="C1623" s="47">
        <v>1053</v>
      </c>
      <c r="D1623" s="47" t="s">
        <v>542</v>
      </c>
      <c r="E1623" s="41">
        <v>10530071</v>
      </c>
      <c r="F1623" s="46" t="s">
        <v>852</v>
      </c>
      <c r="G1623" s="39" t="s">
        <v>93</v>
      </c>
      <c r="H1623" s="48" t="s">
        <v>94</v>
      </c>
      <c r="I1623" s="52">
        <v>378.8</v>
      </c>
      <c r="J1623" s="49">
        <v>18917.099999999999</v>
      </c>
      <c r="K1623" s="65">
        <v>381.39</v>
      </c>
      <c r="L1623" s="65">
        <v>19716.085951250436</v>
      </c>
      <c r="M1623" s="65">
        <v>0</v>
      </c>
      <c r="N1623" s="65">
        <v>0</v>
      </c>
      <c r="O1623" s="65">
        <v>381.39</v>
      </c>
      <c r="P1623" s="65">
        <v>19716.085951250436</v>
      </c>
      <c r="Q1623" s="50">
        <v>18917.099999999999</v>
      </c>
      <c r="R1623" s="65">
        <v>0</v>
      </c>
      <c r="S1623" s="65">
        <v>0</v>
      </c>
      <c r="T1623" s="65">
        <v>798.98595125043721</v>
      </c>
      <c r="U1623" s="65">
        <v>0</v>
      </c>
      <c r="V1623" s="65">
        <v>0</v>
      </c>
      <c r="W1623" s="65">
        <v>0</v>
      </c>
      <c r="X1623" s="65">
        <v>18917</v>
      </c>
      <c r="Y1623" s="65">
        <v>0</v>
      </c>
      <c r="Z1623" s="65">
        <v>0</v>
      </c>
      <c r="AA1623" s="51">
        <v>0</v>
      </c>
      <c r="AB1623" s="102">
        <v>0</v>
      </c>
      <c r="AC1623" s="81">
        <f t="shared" si="78"/>
        <v>320.81164308342125</v>
      </c>
      <c r="AD1623" s="82">
        <f t="shared" si="79"/>
        <v>54.114285714285714</v>
      </c>
      <c r="AE1623" s="218">
        <v>-4.2236175272660041E-2</v>
      </c>
      <c r="AF1623">
        <v>9</v>
      </c>
      <c r="AH1623" t="str">
        <f t="shared" si="77"/>
        <v>Kalyanpur</v>
      </c>
      <c r="AJ1623" s="72">
        <v>0</v>
      </c>
      <c r="AK1623" s="72"/>
      <c r="AL1623" s="72"/>
      <c r="AM1623" s="72"/>
    </row>
    <row r="1624" spans="1:39" x14ac:dyDescent="0.25">
      <c r="A1624" s="37" t="s">
        <v>62</v>
      </c>
      <c r="B1624" s="66" t="s">
        <v>1615</v>
      </c>
      <c r="C1624" s="47">
        <v>1053</v>
      </c>
      <c r="D1624" s="47" t="s">
        <v>542</v>
      </c>
      <c r="E1624" s="41">
        <v>10530072</v>
      </c>
      <c r="F1624" s="46" t="s">
        <v>841</v>
      </c>
      <c r="G1624" s="39" t="s">
        <v>635</v>
      </c>
      <c r="H1624" s="48" t="s">
        <v>99</v>
      </c>
      <c r="I1624" s="52">
        <v>488.05</v>
      </c>
      <c r="J1624" s="49">
        <v>27564.92</v>
      </c>
      <c r="K1624" s="65">
        <v>0</v>
      </c>
      <c r="L1624" s="65">
        <v>0</v>
      </c>
      <c r="M1624" s="65">
        <v>0</v>
      </c>
      <c r="N1624" s="65">
        <v>0</v>
      </c>
      <c r="O1624" s="65">
        <v>0</v>
      </c>
      <c r="P1624" s="65">
        <v>0</v>
      </c>
      <c r="Q1624" s="50">
        <v>27564.92</v>
      </c>
      <c r="R1624" s="65">
        <v>0</v>
      </c>
      <c r="S1624" s="65">
        <v>0</v>
      </c>
      <c r="T1624" s="65">
        <v>0</v>
      </c>
      <c r="U1624" s="65">
        <v>0</v>
      </c>
      <c r="V1624" s="65">
        <v>0</v>
      </c>
      <c r="W1624" s="65">
        <v>0</v>
      </c>
      <c r="X1624" s="65">
        <v>0</v>
      </c>
      <c r="Y1624" s="65">
        <v>0</v>
      </c>
      <c r="Z1624" s="65">
        <v>27564.92</v>
      </c>
      <c r="AA1624" s="51">
        <v>0</v>
      </c>
      <c r="AB1624" s="102">
        <v>0</v>
      </c>
      <c r="AC1624" s="81">
        <f t="shared" si="78"/>
        <v>239.41746927568897</v>
      </c>
      <c r="AD1624" s="82">
        <f t="shared" si="79"/>
        <v>69.721428571428575</v>
      </c>
      <c r="AE1624" s="218">
        <v>0</v>
      </c>
      <c r="AF1624">
        <v>0</v>
      </c>
      <c r="AH1624" t="str">
        <f t="shared" si="77"/>
        <v>Kalyanpur</v>
      </c>
      <c r="AJ1624" s="72">
        <v>0</v>
      </c>
      <c r="AK1624" s="72"/>
      <c r="AL1624" s="72"/>
      <c r="AM1624" s="72"/>
    </row>
    <row r="1625" spans="1:39" x14ac:dyDescent="0.25">
      <c r="A1625" s="37" t="s">
        <v>62</v>
      </c>
      <c r="B1625" s="66" t="s">
        <v>1615</v>
      </c>
      <c r="C1625" s="47">
        <v>1053</v>
      </c>
      <c r="D1625" s="47" t="s">
        <v>542</v>
      </c>
      <c r="E1625" s="41">
        <v>10530074</v>
      </c>
      <c r="F1625" s="46" t="s">
        <v>1123</v>
      </c>
      <c r="G1625" s="39" t="s">
        <v>93</v>
      </c>
      <c r="H1625" s="48" t="s">
        <v>94</v>
      </c>
      <c r="I1625" s="52">
        <v>908.64999999999975</v>
      </c>
      <c r="J1625" s="49">
        <v>34773.290000000008</v>
      </c>
      <c r="K1625" s="65">
        <v>896.7800000000002</v>
      </c>
      <c r="L1625" s="65">
        <v>34600.662985947376</v>
      </c>
      <c r="M1625" s="65">
        <v>11.99</v>
      </c>
      <c r="N1625" s="65">
        <v>457.20715550400001</v>
      </c>
      <c r="O1625" s="65">
        <v>908.77000000000021</v>
      </c>
      <c r="P1625" s="65">
        <v>35057.870141451378</v>
      </c>
      <c r="Q1625" s="50">
        <v>34773.290000000008</v>
      </c>
      <c r="R1625" s="65">
        <v>1474</v>
      </c>
      <c r="S1625" s="65">
        <v>457.20715550400001</v>
      </c>
      <c r="T1625" s="65">
        <v>284.58014145136985</v>
      </c>
      <c r="U1625" s="65">
        <v>850</v>
      </c>
      <c r="V1625" s="65">
        <v>0</v>
      </c>
      <c r="W1625" s="65">
        <v>0</v>
      </c>
      <c r="X1625" s="65">
        <v>31992</v>
      </c>
      <c r="Y1625" s="65">
        <v>0</v>
      </c>
      <c r="Z1625" s="65">
        <v>0</v>
      </c>
      <c r="AA1625" s="51">
        <v>0</v>
      </c>
      <c r="AB1625" s="102" t="s">
        <v>66</v>
      </c>
      <c r="AC1625" s="81">
        <f t="shared" si="78"/>
        <v>0</v>
      </c>
      <c r="AD1625" s="82">
        <f t="shared" si="79"/>
        <v>0</v>
      </c>
      <c r="AE1625" s="218">
        <v>-8.1838716282344806E-3</v>
      </c>
      <c r="AF1625">
        <v>23</v>
      </c>
      <c r="AH1625" t="str">
        <f t="shared" si="77"/>
        <v>Kalyanpur</v>
      </c>
      <c r="AJ1625" s="72">
        <v>0</v>
      </c>
      <c r="AK1625" s="72"/>
      <c r="AL1625" s="72"/>
      <c r="AM1625" s="72"/>
    </row>
    <row r="1626" spans="1:39" x14ac:dyDescent="0.25">
      <c r="A1626" s="37" t="s">
        <v>62</v>
      </c>
      <c r="B1626" s="66" t="s">
        <v>1615</v>
      </c>
      <c r="C1626" s="47">
        <v>1053</v>
      </c>
      <c r="D1626" s="47" t="s">
        <v>542</v>
      </c>
      <c r="E1626" s="41">
        <v>10530075</v>
      </c>
      <c r="F1626" s="46" t="s">
        <v>1406</v>
      </c>
      <c r="G1626" s="39" t="s">
        <v>635</v>
      </c>
      <c r="H1626" s="48" t="s">
        <v>99</v>
      </c>
      <c r="I1626" s="52">
        <v>337.85</v>
      </c>
      <c r="J1626" s="49">
        <v>12509.33</v>
      </c>
      <c r="K1626" s="65">
        <v>0</v>
      </c>
      <c r="L1626" s="65">
        <v>0</v>
      </c>
      <c r="M1626" s="65">
        <v>0</v>
      </c>
      <c r="N1626" s="65">
        <v>0</v>
      </c>
      <c r="O1626" s="65">
        <v>0</v>
      </c>
      <c r="P1626" s="65">
        <v>0</v>
      </c>
      <c r="Q1626" s="50">
        <v>12509.33</v>
      </c>
      <c r="R1626" s="65">
        <v>0</v>
      </c>
      <c r="S1626" s="65">
        <v>0</v>
      </c>
      <c r="T1626" s="65">
        <v>0</v>
      </c>
      <c r="U1626" s="65">
        <v>0</v>
      </c>
      <c r="V1626" s="65">
        <v>0</v>
      </c>
      <c r="W1626" s="65">
        <v>0</v>
      </c>
      <c r="X1626" s="65">
        <v>0</v>
      </c>
      <c r="Y1626" s="65">
        <v>0</v>
      </c>
      <c r="Z1626" s="65">
        <v>12509.33</v>
      </c>
      <c r="AA1626" s="51">
        <v>0</v>
      </c>
      <c r="AB1626" s="102">
        <v>0</v>
      </c>
      <c r="AC1626" s="81">
        <f t="shared" si="78"/>
        <v>268.18137395293763</v>
      </c>
      <c r="AD1626" s="82">
        <f t="shared" si="79"/>
        <v>48.26428571428572</v>
      </c>
      <c r="AE1626" s="218">
        <v>0</v>
      </c>
      <c r="AF1626">
        <v>0</v>
      </c>
      <c r="AH1626" t="str">
        <f t="shared" si="77"/>
        <v>Kalyanpur</v>
      </c>
      <c r="AJ1626" s="72">
        <v>0</v>
      </c>
      <c r="AK1626" s="72"/>
      <c r="AL1626" s="72"/>
      <c r="AM1626" s="72"/>
    </row>
    <row r="1627" spans="1:39" x14ac:dyDescent="0.25">
      <c r="A1627" s="37" t="s">
        <v>62</v>
      </c>
      <c r="B1627" s="66" t="s">
        <v>1615</v>
      </c>
      <c r="C1627" s="47">
        <v>1053</v>
      </c>
      <c r="D1627" s="47" t="s">
        <v>542</v>
      </c>
      <c r="E1627" s="41">
        <v>10530076</v>
      </c>
      <c r="F1627" s="46" t="s">
        <v>1160</v>
      </c>
      <c r="G1627" s="39" t="s">
        <v>93</v>
      </c>
      <c r="H1627" s="48" t="s">
        <v>94</v>
      </c>
      <c r="I1627" s="52">
        <v>1794.9</v>
      </c>
      <c r="J1627" s="49">
        <v>86045.280000000013</v>
      </c>
      <c r="K1627" s="65">
        <v>1799.1399999999999</v>
      </c>
      <c r="L1627" s="65">
        <v>83334.401867755791</v>
      </c>
      <c r="M1627" s="65">
        <v>26.09</v>
      </c>
      <c r="N1627" s="65">
        <v>1168.21930691019</v>
      </c>
      <c r="O1627" s="65">
        <v>1825.2299999999998</v>
      </c>
      <c r="P1627" s="65">
        <v>84502.621174665983</v>
      </c>
      <c r="Q1627" s="50">
        <v>84502.621174665983</v>
      </c>
      <c r="R1627" s="65">
        <v>1038</v>
      </c>
      <c r="S1627" s="65">
        <v>1168.21930691019</v>
      </c>
      <c r="T1627" s="65">
        <v>0</v>
      </c>
      <c r="U1627" s="65">
        <v>0</v>
      </c>
      <c r="V1627" s="65">
        <v>0</v>
      </c>
      <c r="W1627" s="65">
        <v>0</v>
      </c>
      <c r="X1627" s="65">
        <v>82296</v>
      </c>
      <c r="Y1627" s="65">
        <v>0</v>
      </c>
      <c r="Z1627" s="65">
        <v>0</v>
      </c>
      <c r="AA1627" s="51">
        <v>1543</v>
      </c>
      <c r="AB1627" s="102">
        <v>0</v>
      </c>
      <c r="AC1627" s="81">
        <f t="shared" si="78"/>
        <v>0</v>
      </c>
      <c r="AD1627" s="82">
        <f t="shared" si="79"/>
        <v>0</v>
      </c>
      <c r="AE1627" s="218">
        <v>1.7928453778452813E-2</v>
      </c>
      <c r="AF1627">
        <v>53</v>
      </c>
      <c r="AH1627" t="str">
        <f t="shared" si="77"/>
        <v>Kalyanpur</v>
      </c>
      <c r="AJ1627" s="72">
        <v>0</v>
      </c>
      <c r="AK1627" s="72"/>
      <c r="AL1627" s="72"/>
      <c r="AM1627" s="72"/>
    </row>
    <row r="1628" spans="1:39" x14ac:dyDescent="0.25">
      <c r="A1628" s="37" t="s">
        <v>62</v>
      </c>
      <c r="B1628" s="66" t="s">
        <v>1615</v>
      </c>
      <c r="C1628" s="47">
        <v>1053</v>
      </c>
      <c r="D1628" s="47" t="s">
        <v>542</v>
      </c>
      <c r="E1628" s="41">
        <v>10530077</v>
      </c>
      <c r="F1628" s="46" t="s">
        <v>1309</v>
      </c>
      <c r="G1628" s="39" t="s">
        <v>635</v>
      </c>
      <c r="H1628" s="48" t="s">
        <v>99</v>
      </c>
      <c r="I1628" s="52">
        <v>465.1</v>
      </c>
      <c r="J1628" s="49">
        <v>16927.189999999999</v>
      </c>
      <c r="K1628" s="65">
        <v>0</v>
      </c>
      <c r="L1628" s="65">
        <v>0</v>
      </c>
      <c r="M1628" s="65">
        <v>0</v>
      </c>
      <c r="N1628" s="65">
        <v>0</v>
      </c>
      <c r="O1628" s="65">
        <v>0</v>
      </c>
      <c r="P1628" s="65">
        <v>0</v>
      </c>
      <c r="Q1628" s="50">
        <v>16927.189999999999</v>
      </c>
      <c r="R1628" s="65">
        <v>0</v>
      </c>
      <c r="S1628" s="65">
        <v>0</v>
      </c>
      <c r="T1628" s="65">
        <v>0</v>
      </c>
      <c r="U1628" s="65">
        <v>0</v>
      </c>
      <c r="V1628" s="65">
        <v>0</v>
      </c>
      <c r="W1628" s="65">
        <v>0</v>
      </c>
      <c r="X1628" s="65">
        <v>0</v>
      </c>
      <c r="Y1628" s="65">
        <v>0</v>
      </c>
      <c r="Z1628" s="65">
        <v>16927.189999999999</v>
      </c>
      <c r="AA1628" s="51">
        <v>0</v>
      </c>
      <c r="AB1628" s="102">
        <v>0</v>
      </c>
      <c r="AC1628" s="81">
        <f t="shared" si="78"/>
        <v>170.98245241883458</v>
      </c>
      <c r="AD1628" s="82">
        <f t="shared" si="79"/>
        <v>66.44285714285715</v>
      </c>
      <c r="AE1628" s="218">
        <v>0</v>
      </c>
      <c r="AF1628">
        <v>0</v>
      </c>
      <c r="AH1628" t="str">
        <f t="shared" si="77"/>
        <v>Kalyanpur</v>
      </c>
      <c r="AJ1628" s="72">
        <v>0</v>
      </c>
      <c r="AK1628" s="72"/>
      <c r="AL1628" s="72"/>
      <c r="AM1628" s="72"/>
    </row>
    <row r="1629" spans="1:39" x14ac:dyDescent="0.25">
      <c r="A1629" s="37" t="s">
        <v>62</v>
      </c>
      <c r="B1629" s="66" t="s">
        <v>1615</v>
      </c>
      <c r="C1629" s="47">
        <v>1053</v>
      </c>
      <c r="D1629" s="47" t="s">
        <v>542</v>
      </c>
      <c r="E1629" s="41">
        <v>10530078</v>
      </c>
      <c r="F1629" s="46" t="s">
        <v>1191</v>
      </c>
      <c r="G1629" s="39" t="s">
        <v>93</v>
      </c>
      <c r="H1629" s="48" t="s">
        <v>94</v>
      </c>
      <c r="I1629" s="52">
        <v>490.04999999999995</v>
      </c>
      <c r="J1629" s="49">
        <v>22774.959999999999</v>
      </c>
      <c r="K1629" s="65">
        <v>514.56000000000006</v>
      </c>
      <c r="L1629" s="65">
        <v>22696.371946036208</v>
      </c>
      <c r="M1629" s="65">
        <v>11.409999999999998</v>
      </c>
      <c r="N1629" s="65">
        <v>492.69719924370003</v>
      </c>
      <c r="O1629" s="65">
        <v>525.97</v>
      </c>
      <c r="P1629" s="65">
        <v>23189.069145279907</v>
      </c>
      <c r="Q1629" s="50">
        <v>22774.959999999999</v>
      </c>
      <c r="R1629" s="65">
        <v>0</v>
      </c>
      <c r="S1629" s="65">
        <v>492.69719924370003</v>
      </c>
      <c r="T1629" s="65">
        <v>414.10914527990826</v>
      </c>
      <c r="U1629" s="65">
        <v>0</v>
      </c>
      <c r="V1629" s="65">
        <v>0</v>
      </c>
      <c r="W1629" s="65">
        <v>0</v>
      </c>
      <c r="X1629" s="65">
        <v>22282</v>
      </c>
      <c r="Y1629" s="65">
        <v>0</v>
      </c>
      <c r="Z1629" s="65">
        <v>0</v>
      </c>
      <c r="AA1629" s="51">
        <v>0</v>
      </c>
      <c r="AB1629" s="102">
        <v>0</v>
      </c>
      <c r="AC1629" s="81">
        <f t="shared" si="78"/>
        <v>195.14755033159886</v>
      </c>
      <c r="AD1629" s="82">
        <f t="shared" si="79"/>
        <v>70.007142857142853</v>
      </c>
      <c r="AE1629" s="218">
        <v>-1.8182650827044625E-2</v>
      </c>
      <c r="AF1629">
        <v>9</v>
      </c>
      <c r="AH1629" t="str">
        <f t="shared" si="77"/>
        <v>Kalyanpur</v>
      </c>
      <c r="AJ1629" s="72">
        <v>0</v>
      </c>
      <c r="AK1629" s="72"/>
      <c r="AL1629" s="72"/>
      <c r="AM1629" s="72"/>
    </row>
    <row r="1630" spans="1:39" x14ac:dyDescent="0.25">
      <c r="A1630" s="37" t="s">
        <v>62</v>
      </c>
      <c r="B1630" s="66" t="s">
        <v>1615</v>
      </c>
      <c r="C1630" s="47">
        <v>1053</v>
      </c>
      <c r="D1630" s="47" t="s">
        <v>542</v>
      </c>
      <c r="E1630" s="41">
        <v>10530079</v>
      </c>
      <c r="F1630" s="46" t="s">
        <v>1180</v>
      </c>
      <c r="G1630" s="39" t="s">
        <v>635</v>
      </c>
      <c r="H1630" s="48" t="s">
        <v>99</v>
      </c>
      <c r="I1630" s="52">
        <v>74.099999999999994</v>
      </c>
      <c r="J1630" s="49">
        <v>2875.2499999999995</v>
      </c>
      <c r="K1630" s="65">
        <v>0</v>
      </c>
      <c r="L1630" s="65">
        <v>0</v>
      </c>
      <c r="M1630" s="65">
        <v>0</v>
      </c>
      <c r="N1630" s="65">
        <v>0</v>
      </c>
      <c r="O1630" s="65">
        <v>0</v>
      </c>
      <c r="P1630" s="65">
        <v>0</v>
      </c>
      <c r="Q1630" s="50">
        <v>2875.2499999999995</v>
      </c>
      <c r="R1630" s="65">
        <v>0</v>
      </c>
      <c r="S1630" s="65">
        <v>0</v>
      </c>
      <c r="T1630" s="65">
        <v>0</v>
      </c>
      <c r="U1630" s="65">
        <v>0</v>
      </c>
      <c r="V1630" s="65">
        <v>145.99053870967748</v>
      </c>
      <c r="W1630" s="65">
        <v>0</v>
      </c>
      <c r="X1630" s="65">
        <v>0</v>
      </c>
      <c r="Y1630" s="65">
        <v>0</v>
      </c>
      <c r="Z1630" s="65">
        <v>2729.2594612903222</v>
      </c>
      <c r="AA1630" s="51">
        <v>0</v>
      </c>
      <c r="AB1630" s="102">
        <v>0</v>
      </c>
      <c r="AC1630" s="81">
        <f t="shared" si="78"/>
        <v>485.72711875843453</v>
      </c>
      <c r="AD1630" s="82">
        <f t="shared" si="79"/>
        <v>10.585714285714285</v>
      </c>
      <c r="AE1630" s="218">
        <v>0</v>
      </c>
      <c r="AF1630">
        <v>0</v>
      </c>
      <c r="AH1630" t="str">
        <f t="shared" si="77"/>
        <v>Kalyanpur</v>
      </c>
      <c r="AJ1630" s="72">
        <v>0</v>
      </c>
      <c r="AK1630" s="72"/>
      <c r="AL1630" s="72"/>
      <c r="AM1630" s="72"/>
    </row>
    <row r="1631" spans="1:39" x14ac:dyDescent="0.25">
      <c r="A1631" s="37" t="s">
        <v>62</v>
      </c>
      <c r="B1631" s="66" t="s">
        <v>1615</v>
      </c>
      <c r="C1631" s="47">
        <v>1053</v>
      </c>
      <c r="D1631" s="47" t="s">
        <v>542</v>
      </c>
      <c r="E1631" s="41">
        <v>10530080</v>
      </c>
      <c r="F1631" s="46" t="s">
        <v>1192</v>
      </c>
      <c r="G1631" s="39" t="s">
        <v>635</v>
      </c>
      <c r="H1631" s="48" t="s">
        <v>99</v>
      </c>
      <c r="I1631" s="52">
        <v>146.80000000000001</v>
      </c>
      <c r="J1631" s="49">
        <v>4972.33</v>
      </c>
      <c r="K1631" s="65">
        <v>0</v>
      </c>
      <c r="L1631" s="65">
        <v>0</v>
      </c>
      <c r="M1631" s="65">
        <v>0</v>
      </c>
      <c r="N1631" s="65">
        <v>0</v>
      </c>
      <c r="O1631" s="65">
        <v>0</v>
      </c>
      <c r="P1631" s="65">
        <v>0</v>
      </c>
      <c r="Q1631" s="50">
        <v>4972.33</v>
      </c>
      <c r="R1631" s="65">
        <v>0</v>
      </c>
      <c r="S1631" s="65">
        <v>0</v>
      </c>
      <c r="T1631" s="65">
        <v>0</v>
      </c>
      <c r="U1631" s="65">
        <v>0</v>
      </c>
      <c r="V1631" s="65">
        <v>318.93484838709702</v>
      </c>
      <c r="W1631" s="65">
        <v>0</v>
      </c>
      <c r="X1631" s="65">
        <v>0</v>
      </c>
      <c r="Y1631" s="65">
        <v>0</v>
      </c>
      <c r="Z1631" s="65">
        <v>4653.3951516129027</v>
      </c>
      <c r="AA1631" s="51">
        <v>0</v>
      </c>
      <c r="AB1631" s="102">
        <v>0</v>
      </c>
      <c r="AC1631" s="81">
        <f t="shared" si="78"/>
        <v>374.75380871934601</v>
      </c>
      <c r="AD1631" s="82">
        <f t="shared" si="79"/>
        <v>20.971428571428572</v>
      </c>
      <c r="AE1631" s="218">
        <v>0</v>
      </c>
      <c r="AF1631">
        <v>0</v>
      </c>
      <c r="AH1631" t="str">
        <f t="shared" ref="AH1631:AH1691" si="80">TEXT(D1631,"0000")</f>
        <v>Kalyanpur</v>
      </c>
      <c r="AJ1631" s="72">
        <v>0</v>
      </c>
      <c r="AK1631" s="72"/>
      <c r="AL1631" s="72"/>
      <c r="AM1631" s="72"/>
    </row>
    <row r="1632" spans="1:39" x14ac:dyDescent="0.25">
      <c r="A1632" s="37" t="s">
        <v>62</v>
      </c>
      <c r="B1632" s="66" t="s">
        <v>1615</v>
      </c>
      <c r="C1632" s="47">
        <v>1053</v>
      </c>
      <c r="D1632" s="47" t="s">
        <v>542</v>
      </c>
      <c r="E1632" s="41">
        <v>10530081</v>
      </c>
      <c r="F1632" s="46" t="s">
        <v>1181</v>
      </c>
      <c r="G1632" s="39" t="s">
        <v>93</v>
      </c>
      <c r="H1632" s="48" t="s">
        <v>94</v>
      </c>
      <c r="I1632" s="52">
        <v>1663.3</v>
      </c>
      <c r="J1632" s="49">
        <v>73430.92</v>
      </c>
      <c r="K1632" s="65">
        <v>1683.9</v>
      </c>
      <c r="L1632" s="65">
        <v>72677.665092232201</v>
      </c>
      <c r="M1632" s="65">
        <v>21.97</v>
      </c>
      <c r="N1632" s="65">
        <v>994.40188830198008</v>
      </c>
      <c r="O1632" s="65">
        <v>1705.8700000000001</v>
      </c>
      <c r="P1632" s="65">
        <v>73672.066980534175</v>
      </c>
      <c r="Q1632" s="50">
        <v>73430.92</v>
      </c>
      <c r="R1632" s="65">
        <v>0</v>
      </c>
      <c r="S1632" s="65">
        <v>994.40188830198008</v>
      </c>
      <c r="T1632" s="65">
        <v>241.14698053417669</v>
      </c>
      <c r="U1632" s="65">
        <v>0</v>
      </c>
      <c r="V1632" s="65">
        <v>0</v>
      </c>
      <c r="W1632" s="65">
        <v>0</v>
      </c>
      <c r="X1632" s="65">
        <v>72437</v>
      </c>
      <c r="Y1632" s="65">
        <v>0</v>
      </c>
      <c r="Z1632" s="65">
        <v>0</v>
      </c>
      <c r="AA1632" s="51">
        <v>0</v>
      </c>
      <c r="AB1632" s="102">
        <v>0</v>
      </c>
      <c r="AC1632" s="81">
        <f t="shared" si="78"/>
        <v>0</v>
      </c>
      <c r="AD1632" s="82">
        <f t="shared" si="79"/>
        <v>0</v>
      </c>
      <c r="AE1632" s="218">
        <v>-3.2839978109245626E-3</v>
      </c>
      <c r="AF1632">
        <v>37</v>
      </c>
      <c r="AH1632" t="str">
        <f t="shared" si="80"/>
        <v>Kalyanpur</v>
      </c>
      <c r="AJ1632" s="72">
        <v>0</v>
      </c>
      <c r="AK1632" s="72"/>
      <c r="AL1632" s="72"/>
      <c r="AM1632" s="72"/>
    </row>
    <row r="1633" spans="1:39" x14ac:dyDescent="0.25">
      <c r="A1633" s="37" t="s">
        <v>62</v>
      </c>
      <c r="B1633" s="66" t="s">
        <v>1615</v>
      </c>
      <c r="C1633" s="47">
        <v>1053</v>
      </c>
      <c r="D1633" s="47" t="s">
        <v>542</v>
      </c>
      <c r="E1633" s="41">
        <v>10530082</v>
      </c>
      <c r="F1633" s="46" t="s">
        <v>1182</v>
      </c>
      <c r="G1633" s="39" t="s">
        <v>93</v>
      </c>
      <c r="H1633" s="48" t="s">
        <v>94</v>
      </c>
      <c r="I1633" s="52">
        <v>1133</v>
      </c>
      <c r="J1633" s="49">
        <v>45730.79</v>
      </c>
      <c r="K1633" s="65">
        <v>1111.1799999999998</v>
      </c>
      <c r="L1633" s="65">
        <v>45450.355516098447</v>
      </c>
      <c r="M1633" s="65">
        <v>7.15</v>
      </c>
      <c r="N1633" s="65">
        <v>277.51932172800008</v>
      </c>
      <c r="O1633" s="65">
        <v>1118.33</v>
      </c>
      <c r="P1633" s="65">
        <v>45727.87483782645</v>
      </c>
      <c r="Q1633" s="50">
        <v>45727.87483782645</v>
      </c>
      <c r="R1633" s="65">
        <v>0</v>
      </c>
      <c r="S1633" s="65">
        <v>277.51932172800008</v>
      </c>
      <c r="T1633" s="65">
        <v>0</v>
      </c>
      <c r="U1633" s="65">
        <v>3117</v>
      </c>
      <c r="V1633" s="65">
        <v>0</v>
      </c>
      <c r="W1633" s="65">
        <v>0</v>
      </c>
      <c r="X1633" s="65">
        <v>42333</v>
      </c>
      <c r="Y1633" s="65">
        <v>0</v>
      </c>
      <c r="Z1633" s="65">
        <v>0</v>
      </c>
      <c r="AA1633" s="51">
        <v>3</v>
      </c>
      <c r="AB1633" s="102">
        <v>0</v>
      </c>
      <c r="AC1633" s="81">
        <f t="shared" si="78"/>
        <v>0</v>
      </c>
      <c r="AD1633" s="82">
        <f t="shared" si="79"/>
        <v>0</v>
      </c>
      <c r="AE1633" s="218">
        <v>6.3746158191252004E-5</v>
      </c>
      <c r="AF1633">
        <v>26</v>
      </c>
      <c r="AH1633" t="str">
        <f t="shared" si="80"/>
        <v>Kalyanpur</v>
      </c>
      <c r="AJ1633" s="72">
        <v>0</v>
      </c>
      <c r="AK1633" s="72"/>
      <c r="AL1633" s="72"/>
      <c r="AM1633" s="72"/>
    </row>
    <row r="1634" spans="1:39" x14ac:dyDescent="0.25">
      <c r="A1634" s="37" t="s">
        <v>62</v>
      </c>
      <c r="B1634" s="66" t="s">
        <v>1615</v>
      </c>
      <c r="C1634" s="47">
        <v>1053</v>
      </c>
      <c r="D1634" s="47" t="s">
        <v>542</v>
      </c>
      <c r="E1634" s="41">
        <v>10530084</v>
      </c>
      <c r="F1634" s="46" t="s">
        <v>1261</v>
      </c>
      <c r="G1634" s="39" t="s">
        <v>93</v>
      </c>
      <c r="H1634" s="48" t="s">
        <v>94</v>
      </c>
      <c r="I1634" s="52">
        <v>1885.1499999999999</v>
      </c>
      <c r="J1634" s="49">
        <v>78276.050000000017</v>
      </c>
      <c r="K1634" s="65">
        <v>1878.84</v>
      </c>
      <c r="L1634" s="65">
        <v>77230.456410752944</v>
      </c>
      <c r="M1634" s="65">
        <v>15.63</v>
      </c>
      <c r="N1634" s="65">
        <v>659.84995414800005</v>
      </c>
      <c r="O1634" s="65">
        <v>1894.47</v>
      </c>
      <c r="P1634" s="65">
        <v>77890.306364900942</v>
      </c>
      <c r="Q1634" s="50">
        <v>77890.306364900942</v>
      </c>
      <c r="R1634" s="65">
        <v>0</v>
      </c>
      <c r="S1634" s="65">
        <v>659.84995414800005</v>
      </c>
      <c r="T1634" s="65">
        <v>0</v>
      </c>
      <c r="U1634" s="65">
        <v>3000</v>
      </c>
      <c r="V1634" s="65">
        <v>0</v>
      </c>
      <c r="W1634" s="65">
        <v>0</v>
      </c>
      <c r="X1634" s="65">
        <v>74230</v>
      </c>
      <c r="Y1634" s="65">
        <v>0</v>
      </c>
      <c r="Z1634" s="65">
        <v>0</v>
      </c>
      <c r="AA1634" s="51">
        <v>386</v>
      </c>
      <c r="AB1634" s="102">
        <v>0</v>
      </c>
      <c r="AC1634" s="81">
        <f t="shared" si="78"/>
        <v>0</v>
      </c>
      <c r="AD1634" s="82">
        <f t="shared" si="79"/>
        <v>0</v>
      </c>
      <c r="AE1634" s="218">
        <v>4.9279905552091037E-3</v>
      </c>
      <c r="AF1634">
        <v>38</v>
      </c>
      <c r="AH1634" t="str">
        <f t="shared" si="80"/>
        <v>Kalyanpur</v>
      </c>
      <c r="AJ1634" s="72">
        <v>0</v>
      </c>
      <c r="AK1634" s="72"/>
      <c r="AL1634" s="72"/>
      <c r="AM1634" s="72"/>
    </row>
    <row r="1635" spans="1:39" x14ac:dyDescent="0.25">
      <c r="A1635" s="37" t="s">
        <v>62</v>
      </c>
      <c r="B1635" s="66" t="s">
        <v>1615</v>
      </c>
      <c r="C1635" s="47">
        <v>1053</v>
      </c>
      <c r="D1635" s="47" t="s">
        <v>542</v>
      </c>
      <c r="E1635" s="41">
        <v>10530085</v>
      </c>
      <c r="F1635" s="46" t="s">
        <v>1210</v>
      </c>
      <c r="G1635" s="39" t="s">
        <v>93</v>
      </c>
      <c r="H1635" s="48" t="s">
        <v>94</v>
      </c>
      <c r="I1635" s="52">
        <v>706.8</v>
      </c>
      <c r="J1635" s="49">
        <v>34253.850000000006</v>
      </c>
      <c r="K1635" s="65">
        <v>707.47</v>
      </c>
      <c r="L1635" s="65">
        <v>33620.937787987044</v>
      </c>
      <c r="M1635" s="65">
        <v>4.79</v>
      </c>
      <c r="N1635" s="65">
        <v>187.28548375680001</v>
      </c>
      <c r="O1635" s="65">
        <v>712.26</v>
      </c>
      <c r="P1635" s="65">
        <v>33808.223271743846</v>
      </c>
      <c r="Q1635" s="50">
        <v>33808.223271743846</v>
      </c>
      <c r="R1635" s="65">
        <v>0</v>
      </c>
      <c r="S1635" s="65">
        <v>187.28548375680001</v>
      </c>
      <c r="T1635" s="65">
        <v>0</v>
      </c>
      <c r="U1635" s="65">
        <v>1031</v>
      </c>
      <c r="V1635" s="65">
        <v>0</v>
      </c>
      <c r="W1635" s="65">
        <v>0</v>
      </c>
      <c r="X1635" s="65">
        <v>32589</v>
      </c>
      <c r="Y1635" s="65">
        <v>0</v>
      </c>
      <c r="Z1635" s="65">
        <v>0</v>
      </c>
      <c r="AA1635" s="51">
        <v>447</v>
      </c>
      <c r="AB1635" s="102">
        <v>0</v>
      </c>
      <c r="AC1635" s="81">
        <f t="shared" si="78"/>
        <v>0</v>
      </c>
      <c r="AD1635" s="82">
        <f t="shared" si="79"/>
        <v>0</v>
      </c>
      <c r="AE1635" s="218">
        <v>1.3009536979234749E-2</v>
      </c>
      <c r="AF1635">
        <v>21</v>
      </c>
      <c r="AH1635" t="str">
        <f t="shared" si="80"/>
        <v>Kalyanpur</v>
      </c>
      <c r="AJ1635" s="72">
        <v>0</v>
      </c>
      <c r="AK1635" s="72"/>
      <c r="AL1635" s="72"/>
      <c r="AM1635" s="72"/>
    </row>
    <row r="1636" spans="1:39" x14ac:dyDescent="0.25">
      <c r="A1636" s="37" t="s">
        <v>62</v>
      </c>
      <c r="B1636" s="66" t="s">
        <v>1615</v>
      </c>
      <c r="C1636" s="47">
        <v>1066</v>
      </c>
      <c r="D1636" s="47" t="s">
        <v>1590</v>
      </c>
      <c r="E1636" s="41">
        <v>10530088</v>
      </c>
      <c r="F1636" s="46" t="s">
        <v>1592</v>
      </c>
      <c r="G1636" s="39" t="s">
        <v>635</v>
      </c>
      <c r="H1636" s="48" t="s">
        <v>99</v>
      </c>
      <c r="I1636" s="52">
        <v>1998.6</v>
      </c>
      <c r="J1636" s="49">
        <v>90672.590000000011</v>
      </c>
      <c r="K1636" s="65">
        <v>0</v>
      </c>
      <c r="L1636" s="65">
        <v>0</v>
      </c>
      <c r="M1636" s="65">
        <v>0</v>
      </c>
      <c r="N1636" s="65">
        <v>0</v>
      </c>
      <c r="O1636" s="65">
        <v>0</v>
      </c>
      <c r="P1636" s="65">
        <v>0</v>
      </c>
      <c r="Q1636" s="50">
        <v>90672.590000000011</v>
      </c>
      <c r="R1636" s="65">
        <v>0</v>
      </c>
      <c r="S1636" s="65">
        <v>0</v>
      </c>
      <c r="T1636" s="65">
        <v>0</v>
      </c>
      <c r="U1636" s="65">
        <v>0</v>
      </c>
      <c r="V1636" s="65">
        <v>0</v>
      </c>
      <c r="W1636" s="65">
        <v>0</v>
      </c>
      <c r="X1636" s="65">
        <v>0</v>
      </c>
      <c r="Y1636" s="65">
        <v>0</v>
      </c>
      <c r="Z1636" s="65">
        <v>90672.590000000011</v>
      </c>
      <c r="AA1636" s="51">
        <v>0</v>
      </c>
      <c r="AB1636" s="102">
        <v>0</v>
      </c>
      <c r="AC1636" s="81">
        <f t="shared" si="78"/>
        <v>0</v>
      </c>
      <c r="AD1636" s="82">
        <f t="shared" si="79"/>
        <v>0</v>
      </c>
      <c r="AE1636" s="218">
        <v>0</v>
      </c>
      <c r="AF1636">
        <v>0</v>
      </c>
      <c r="AH1636" t="str">
        <f t="shared" si="80"/>
        <v>Gaighat</v>
      </c>
      <c r="AJ1636" s="72">
        <v>0</v>
      </c>
      <c r="AK1636" s="72"/>
      <c r="AL1636" s="72"/>
      <c r="AM1636" s="72"/>
    </row>
    <row r="1637" spans="1:39" x14ac:dyDescent="0.25">
      <c r="A1637" s="37" t="s">
        <v>62</v>
      </c>
      <c r="B1637" s="66" t="s">
        <v>1615</v>
      </c>
      <c r="C1637" s="47">
        <v>1012</v>
      </c>
      <c r="D1637" s="47" t="s">
        <v>314</v>
      </c>
      <c r="E1637" s="41">
        <v>10530090</v>
      </c>
      <c r="F1637" s="46" t="s">
        <v>1201</v>
      </c>
      <c r="G1637" s="39" t="s">
        <v>635</v>
      </c>
      <c r="H1637" s="48" t="s">
        <v>99</v>
      </c>
      <c r="I1637" s="52">
        <v>237.32</v>
      </c>
      <c r="J1637" s="49">
        <v>8589.5400000000009</v>
      </c>
      <c r="K1637" s="65">
        <v>0</v>
      </c>
      <c r="L1637" s="65">
        <v>0</v>
      </c>
      <c r="M1637" s="65">
        <v>0</v>
      </c>
      <c r="N1637" s="65">
        <v>0</v>
      </c>
      <c r="O1637" s="65">
        <v>0</v>
      </c>
      <c r="P1637" s="65">
        <v>0</v>
      </c>
      <c r="Q1637" s="50">
        <v>8589.5400000000009</v>
      </c>
      <c r="R1637" s="65">
        <v>0</v>
      </c>
      <c r="S1637" s="65">
        <v>0</v>
      </c>
      <c r="T1637" s="65">
        <v>0</v>
      </c>
      <c r="U1637" s="65">
        <v>0</v>
      </c>
      <c r="V1637" s="65">
        <v>0</v>
      </c>
      <c r="W1637" s="65">
        <v>0</v>
      </c>
      <c r="X1637" s="65">
        <v>0</v>
      </c>
      <c r="Y1637" s="65">
        <v>0</v>
      </c>
      <c r="Z1637" s="65">
        <v>8589.5400000000009</v>
      </c>
      <c r="AA1637" s="51">
        <v>0</v>
      </c>
      <c r="AB1637" s="102">
        <v>0</v>
      </c>
      <c r="AC1637" s="81">
        <f t="shared" si="78"/>
        <v>334.92401543906965</v>
      </c>
      <c r="AD1637" s="82">
        <f t="shared" si="79"/>
        <v>33.902857142857144</v>
      </c>
      <c r="AE1637" s="218">
        <v>0</v>
      </c>
      <c r="AF1637">
        <v>0</v>
      </c>
      <c r="AH1637" t="str">
        <f t="shared" si="80"/>
        <v>DalsinghSarai</v>
      </c>
      <c r="AJ1637" s="72">
        <v>0</v>
      </c>
      <c r="AK1637" s="72"/>
      <c r="AL1637" s="72"/>
      <c r="AM1637" s="72"/>
    </row>
    <row r="1638" spans="1:39" x14ac:dyDescent="0.25">
      <c r="A1638" s="37" t="s">
        <v>62</v>
      </c>
      <c r="B1638" s="66" t="s">
        <v>1615</v>
      </c>
      <c r="C1638" s="47">
        <v>1053</v>
      </c>
      <c r="D1638" s="47" t="s">
        <v>542</v>
      </c>
      <c r="E1638" s="41">
        <v>10530091</v>
      </c>
      <c r="F1638" s="46" t="s">
        <v>1229</v>
      </c>
      <c r="G1638" s="39" t="s">
        <v>93</v>
      </c>
      <c r="H1638" s="48" t="s">
        <v>94</v>
      </c>
      <c r="I1638" s="52">
        <v>275.5</v>
      </c>
      <c r="J1638" s="49">
        <v>12859.02</v>
      </c>
      <c r="K1638" s="65">
        <v>276.5</v>
      </c>
      <c r="L1638" s="65">
        <v>12838.547698979011</v>
      </c>
      <c r="M1638" s="65">
        <v>6.25</v>
      </c>
      <c r="N1638" s="65">
        <v>267.39758705760005</v>
      </c>
      <c r="O1638" s="65">
        <v>282.75</v>
      </c>
      <c r="P1638" s="65">
        <v>13105.945286036611</v>
      </c>
      <c r="Q1638" s="50">
        <v>12859.02</v>
      </c>
      <c r="R1638" s="65">
        <v>0</v>
      </c>
      <c r="S1638" s="65">
        <v>267.39758705760005</v>
      </c>
      <c r="T1638" s="65">
        <v>246.92528603661049</v>
      </c>
      <c r="U1638" s="65">
        <v>0</v>
      </c>
      <c r="V1638" s="65">
        <v>15.091161290322447</v>
      </c>
      <c r="W1638" s="65">
        <v>0</v>
      </c>
      <c r="X1638" s="65">
        <v>12577</v>
      </c>
      <c r="Y1638" s="65">
        <v>0</v>
      </c>
      <c r="Z1638" s="65">
        <v>0</v>
      </c>
      <c r="AA1638" s="51">
        <v>0</v>
      </c>
      <c r="AB1638" s="102">
        <v>0</v>
      </c>
      <c r="AC1638" s="81">
        <f t="shared" si="78"/>
        <v>396.27252196007265</v>
      </c>
      <c r="AD1638" s="82">
        <f t="shared" si="79"/>
        <v>39.357142857142854</v>
      </c>
      <c r="AE1638" s="218">
        <v>-1.9202496460586457E-2</v>
      </c>
      <c r="AF1638">
        <v>13</v>
      </c>
      <c r="AH1638" t="str">
        <f t="shared" si="80"/>
        <v>Kalyanpur</v>
      </c>
      <c r="AJ1638" s="72">
        <v>0</v>
      </c>
      <c r="AK1638" s="72"/>
      <c r="AL1638" s="72"/>
      <c r="AM1638" s="72"/>
    </row>
    <row r="1639" spans="1:39" x14ac:dyDescent="0.25">
      <c r="A1639" s="37" t="s">
        <v>62</v>
      </c>
      <c r="B1639" s="66" t="s">
        <v>1615</v>
      </c>
      <c r="C1639" s="47">
        <v>1053</v>
      </c>
      <c r="D1639" s="47" t="s">
        <v>542</v>
      </c>
      <c r="E1639" s="41">
        <v>10530092</v>
      </c>
      <c r="F1639" s="46" t="s">
        <v>1224</v>
      </c>
      <c r="G1639" s="39" t="s">
        <v>93</v>
      </c>
      <c r="H1639" s="48" t="s">
        <v>94</v>
      </c>
      <c r="I1639" s="52">
        <v>1127.1500000000003</v>
      </c>
      <c r="J1639" s="49">
        <v>46130.590000000004</v>
      </c>
      <c r="K1639" s="65">
        <v>893.75</v>
      </c>
      <c r="L1639" s="65">
        <v>35161.192284684119</v>
      </c>
      <c r="M1639" s="65">
        <v>251.3</v>
      </c>
      <c r="N1639" s="65">
        <v>10838.631326823348</v>
      </c>
      <c r="O1639" s="65">
        <v>1145.05</v>
      </c>
      <c r="P1639" s="65">
        <v>45999.823611507469</v>
      </c>
      <c r="Q1639" s="50">
        <v>45999.823611507469</v>
      </c>
      <c r="R1639" s="65">
        <v>0</v>
      </c>
      <c r="S1639" s="65">
        <v>896.5882500852</v>
      </c>
      <c r="T1639" s="65">
        <v>0</v>
      </c>
      <c r="U1639" s="65">
        <v>3404</v>
      </c>
      <c r="V1639" s="65">
        <v>0</v>
      </c>
      <c r="W1639" s="65">
        <v>0</v>
      </c>
      <c r="X1639" s="65">
        <v>31756</v>
      </c>
      <c r="Y1639" s="65">
        <v>9942</v>
      </c>
      <c r="Z1639" s="65">
        <v>0</v>
      </c>
      <c r="AA1639" s="51">
        <v>132</v>
      </c>
      <c r="AB1639" s="102">
        <v>0</v>
      </c>
      <c r="AC1639" s="81">
        <f t="shared" si="78"/>
        <v>0</v>
      </c>
      <c r="AD1639" s="82">
        <f t="shared" si="79"/>
        <v>0</v>
      </c>
      <c r="AE1639" s="218">
        <v>2.8347001088114207E-3</v>
      </c>
      <c r="AF1639">
        <v>20</v>
      </c>
      <c r="AH1639" t="str">
        <f t="shared" si="80"/>
        <v>Kalyanpur</v>
      </c>
      <c r="AJ1639" s="72">
        <v>0</v>
      </c>
      <c r="AK1639" s="72"/>
      <c r="AL1639" s="72"/>
      <c r="AM1639" s="72"/>
    </row>
    <row r="1640" spans="1:39" x14ac:dyDescent="0.25">
      <c r="A1640" s="37" t="s">
        <v>62</v>
      </c>
      <c r="B1640" s="66" t="s">
        <v>1615</v>
      </c>
      <c r="C1640" s="47">
        <v>1053</v>
      </c>
      <c r="D1640" s="47" t="s">
        <v>542</v>
      </c>
      <c r="E1640" s="41">
        <v>10530093</v>
      </c>
      <c r="F1640" s="46" t="s">
        <v>1225</v>
      </c>
      <c r="G1640" s="39" t="s">
        <v>93</v>
      </c>
      <c r="H1640" s="48" t="s">
        <v>94</v>
      </c>
      <c r="I1640" s="52">
        <v>1096.8500000000001</v>
      </c>
      <c r="J1640" s="49">
        <v>50530.46</v>
      </c>
      <c r="K1640" s="65">
        <v>1080.4000000000001</v>
      </c>
      <c r="L1640" s="65">
        <v>49448.123500227593</v>
      </c>
      <c r="M1640" s="65">
        <v>18</v>
      </c>
      <c r="N1640" s="65">
        <v>797.47568505689992</v>
      </c>
      <c r="O1640" s="65">
        <v>1098.4000000000001</v>
      </c>
      <c r="P1640" s="65">
        <v>50245.599185284496</v>
      </c>
      <c r="Q1640" s="50">
        <v>50245.599185284496</v>
      </c>
      <c r="R1640" s="65">
        <v>0</v>
      </c>
      <c r="S1640" s="65">
        <v>797.47568505689992</v>
      </c>
      <c r="T1640" s="65">
        <v>0</v>
      </c>
      <c r="U1640" s="65">
        <v>596</v>
      </c>
      <c r="V1640" s="65">
        <v>0</v>
      </c>
      <c r="W1640" s="65">
        <v>0</v>
      </c>
      <c r="X1640" s="65">
        <v>48851</v>
      </c>
      <c r="Y1640" s="65">
        <v>0</v>
      </c>
      <c r="Z1640" s="65">
        <v>0</v>
      </c>
      <c r="AA1640" s="51">
        <v>286</v>
      </c>
      <c r="AB1640" s="102">
        <v>0</v>
      </c>
      <c r="AC1640" s="81">
        <f t="shared" si="78"/>
        <v>0</v>
      </c>
      <c r="AD1640" s="82">
        <f t="shared" si="79"/>
        <v>0</v>
      </c>
      <c r="AE1640" s="218">
        <v>5.6374079063500069E-3</v>
      </c>
      <c r="AF1640">
        <v>29</v>
      </c>
      <c r="AH1640" t="str">
        <f t="shared" si="80"/>
        <v>Kalyanpur</v>
      </c>
      <c r="AJ1640" s="72">
        <v>0</v>
      </c>
      <c r="AK1640" s="72"/>
      <c r="AL1640" s="72"/>
      <c r="AM1640" s="72"/>
    </row>
    <row r="1641" spans="1:39" x14ac:dyDescent="0.25">
      <c r="A1641" s="37" t="s">
        <v>62</v>
      </c>
      <c r="B1641" s="66" t="s">
        <v>1615</v>
      </c>
      <c r="C1641" s="47">
        <v>1053</v>
      </c>
      <c r="D1641" s="47" t="s">
        <v>542</v>
      </c>
      <c r="E1641" s="41">
        <v>10530096</v>
      </c>
      <c r="F1641" s="46" t="s">
        <v>1274</v>
      </c>
      <c r="G1641" s="39" t="s">
        <v>93</v>
      </c>
      <c r="H1641" s="48" t="s">
        <v>94</v>
      </c>
      <c r="I1641" s="52">
        <v>386.15000000000003</v>
      </c>
      <c r="J1641" s="49">
        <v>21588.440000000002</v>
      </c>
      <c r="K1641" s="65">
        <v>393.2</v>
      </c>
      <c r="L1641" s="65">
        <v>20619.352055002604</v>
      </c>
      <c r="M1641" s="65">
        <v>0</v>
      </c>
      <c r="N1641" s="65">
        <v>0</v>
      </c>
      <c r="O1641" s="65">
        <v>393.2</v>
      </c>
      <c r="P1641" s="65">
        <v>20619.352055002604</v>
      </c>
      <c r="Q1641" s="50">
        <v>20619.352055002604</v>
      </c>
      <c r="R1641" s="65">
        <v>0</v>
      </c>
      <c r="S1641" s="65">
        <v>0</v>
      </c>
      <c r="T1641" s="65">
        <v>0</v>
      </c>
      <c r="U1641" s="65">
        <v>19718</v>
      </c>
      <c r="V1641" s="65">
        <v>901.52942903225835</v>
      </c>
      <c r="W1641" s="65">
        <v>0</v>
      </c>
      <c r="X1641" s="65">
        <v>0</v>
      </c>
      <c r="Y1641" s="65">
        <v>0</v>
      </c>
      <c r="Z1641" s="65">
        <v>0</v>
      </c>
      <c r="AA1641" s="51">
        <v>969</v>
      </c>
      <c r="AB1641" s="102">
        <v>0</v>
      </c>
      <c r="AC1641" s="81">
        <f t="shared" si="78"/>
        <v>350.92745793085589</v>
      </c>
      <c r="AD1641" s="82">
        <f t="shared" si="79"/>
        <v>55.164285714285718</v>
      </c>
      <c r="AE1641" s="218">
        <v>4.4889206677156755E-2</v>
      </c>
      <c r="AF1641">
        <v>1</v>
      </c>
      <c r="AH1641" t="str">
        <f t="shared" si="80"/>
        <v>Kalyanpur</v>
      </c>
      <c r="AJ1641" s="72">
        <v>0</v>
      </c>
      <c r="AK1641" s="72"/>
      <c r="AL1641" s="72"/>
      <c r="AM1641" s="72"/>
    </row>
    <row r="1642" spans="1:39" x14ac:dyDescent="0.25">
      <c r="A1642" s="37" t="s">
        <v>62</v>
      </c>
      <c r="B1642" s="66" t="s">
        <v>1615</v>
      </c>
      <c r="C1642" s="47">
        <v>1053</v>
      </c>
      <c r="D1642" s="47" t="s">
        <v>542</v>
      </c>
      <c r="E1642" s="41">
        <v>10530097</v>
      </c>
      <c r="F1642" s="46" t="s">
        <v>1275</v>
      </c>
      <c r="G1642" s="39" t="s">
        <v>93</v>
      </c>
      <c r="H1642" s="48" t="s">
        <v>94</v>
      </c>
      <c r="I1642" s="52">
        <v>624.30000000000007</v>
      </c>
      <c r="J1642" s="49">
        <v>26471.579999999998</v>
      </c>
      <c r="K1642" s="65">
        <v>617.09999999999991</v>
      </c>
      <c r="L1642" s="65">
        <v>25637.942240337161</v>
      </c>
      <c r="M1642" s="65">
        <v>7.4999999999999991</v>
      </c>
      <c r="N1642" s="65">
        <v>335.49671478599998</v>
      </c>
      <c r="O1642" s="65">
        <v>624.59999999999991</v>
      </c>
      <c r="P1642" s="65">
        <v>25973.438955123162</v>
      </c>
      <c r="Q1642" s="50">
        <v>25973.438955123162</v>
      </c>
      <c r="R1642" s="65">
        <v>0</v>
      </c>
      <c r="S1642" s="65">
        <v>335.49671478599998</v>
      </c>
      <c r="T1642" s="65">
        <v>0</v>
      </c>
      <c r="U1642" s="65">
        <v>0</v>
      </c>
      <c r="V1642" s="65">
        <v>0</v>
      </c>
      <c r="W1642" s="65">
        <v>0</v>
      </c>
      <c r="X1642" s="65">
        <v>25637</v>
      </c>
      <c r="Y1642" s="65">
        <v>0</v>
      </c>
      <c r="Z1642" s="65">
        <v>0</v>
      </c>
      <c r="AA1642" s="51">
        <v>499</v>
      </c>
      <c r="AB1642" s="102">
        <v>0</v>
      </c>
      <c r="AC1642" s="81">
        <f t="shared" si="78"/>
        <v>64.196655646323805</v>
      </c>
      <c r="AD1642" s="82">
        <f t="shared" si="79"/>
        <v>89.185714285714297</v>
      </c>
      <c r="AE1642" s="218">
        <v>1.8817956649238035E-2</v>
      </c>
      <c r="AF1642">
        <v>19</v>
      </c>
      <c r="AH1642" t="str">
        <f t="shared" si="80"/>
        <v>Kalyanpur</v>
      </c>
      <c r="AJ1642" s="72">
        <v>0</v>
      </c>
      <c r="AK1642" s="72"/>
      <c r="AL1642" s="72"/>
      <c r="AM1642" s="72"/>
    </row>
    <row r="1643" spans="1:39" x14ac:dyDescent="0.25">
      <c r="A1643" s="37" t="s">
        <v>62</v>
      </c>
      <c r="B1643" s="66" t="s">
        <v>1615</v>
      </c>
      <c r="C1643" s="47">
        <v>1053</v>
      </c>
      <c r="D1643" s="47" t="s">
        <v>542</v>
      </c>
      <c r="E1643" s="41">
        <v>10530100</v>
      </c>
      <c r="F1643" s="46" t="s">
        <v>1352</v>
      </c>
      <c r="G1643" s="39" t="s">
        <v>93</v>
      </c>
      <c r="H1643" s="48" t="s">
        <v>94</v>
      </c>
      <c r="I1643" s="52">
        <v>224.1</v>
      </c>
      <c r="J1643" s="49">
        <v>9389.6999999999989</v>
      </c>
      <c r="K1643" s="65">
        <v>194.60000000000002</v>
      </c>
      <c r="L1643" s="65">
        <v>8478.8495281385003</v>
      </c>
      <c r="M1643" s="65">
        <v>1.7000000000000002</v>
      </c>
      <c r="N1643" s="65">
        <v>73.248682320000015</v>
      </c>
      <c r="O1643" s="65">
        <v>196.3</v>
      </c>
      <c r="P1643" s="65">
        <v>8552.0982104585</v>
      </c>
      <c r="Q1643" s="50">
        <v>8552.0982104585</v>
      </c>
      <c r="R1643" s="65">
        <v>0</v>
      </c>
      <c r="S1643" s="65">
        <v>73.248682320000015</v>
      </c>
      <c r="T1643" s="65">
        <v>0</v>
      </c>
      <c r="U1643" s="65">
        <v>700</v>
      </c>
      <c r="V1643" s="65">
        <v>113.1298838709677</v>
      </c>
      <c r="W1643" s="65">
        <v>0</v>
      </c>
      <c r="X1643" s="65">
        <v>7665</v>
      </c>
      <c r="Y1643" s="65">
        <v>0</v>
      </c>
      <c r="Z1643" s="65">
        <v>0</v>
      </c>
      <c r="AA1643" s="51">
        <v>838</v>
      </c>
      <c r="AB1643" s="102">
        <v>0</v>
      </c>
      <c r="AC1643" s="81">
        <f t="shared" si="78"/>
        <v>398.80037751004022</v>
      </c>
      <c r="AD1643" s="82">
        <f t="shared" si="79"/>
        <v>32.014285714285712</v>
      </c>
      <c r="AE1643" s="218">
        <v>8.9204318512998176E-2</v>
      </c>
      <c r="AF1643">
        <v>9</v>
      </c>
      <c r="AH1643" t="str">
        <f t="shared" si="80"/>
        <v>Kalyanpur</v>
      </c>
      <c r="AJ1643" s="72">
        <v>0</v>
      </c>
      <c r="AK1643" s="72"/>
      <c r="AL1643" s="72"/>
      <c r="AM1643" s="72"/>
    </row>
    <row r="1644" spans="1:39" x14ac:dyDescent="0.25">
      <c r="A1644" s="37" t="s">
        <v>62</v>
      </c>
      <c r="B1644" s="66" t="s">
        <v>1615</v>
      </c>
      <c r="C1644" s="47">
        <v>1053</v>
      </c>
      <c r="D1644" s="47" t="s">
        <v>542</v>
      </c>
      <c r="E1644" s="41">
        <v>10530101</v>
      </c>
      <c r="F1644" s="46" t="s">
        <v>1337</v>
      </c>
      <c r="G1644" s="39" t="s">
        <v>93</v>
      </c>
      <c r="H1644" s="48" t="s">
        <v>94</v>
      </c>
      <c r="I1644" s="52">
        <v>325.8</v>
      </c>
      <c r="J1644" s="49">
        <v>14445.650000000001</v>
      </c>
      <c r="K1644" s="65">
        <v>337.69999999999993</v>
      </c>
      <c r="L1644" s="65">
        <v>14685.876400095502</v>
      </c>
      <c r="M1644" s="65">
        <v>2.1</v>
      </c>
      <c r="N1644" s="65">
        <v>90.638206872840001</v>
      </c>
      <c r="O1644" s="65">
        <v>339.79999999999995</v>
      </c>
      <c r="P1644" s="65">
        <v>14776.514606968341</v>
      </c>
      <c r="Q1644" s="50">
        <v>14445.650000000001</v>
      </c>
      <c r="R1644" s="65">
        <v>0</v>
      </c>
      <c r="S1644" s="65">
        <v>90.638206872840001</v>
      </c>
      <c r="T1644" s="65">
        <v>330.86460696834001</v>
      </c>
      <c r="U1644" s="65">
        <v>5296</v>
      </c>
      <c r="V1644" s="65">
        <v>0</v>
      </c>
      <c r="W1644" s="65">
        <v>0</v>
      </c>
      <c r="X1644" s="65">
        <v>9059</v>
      </c>
      <c r="Y1644" s="65">
        <v>0</v>
      </c>
      <c r="Z1644" s="65">
        <v>0</v>
      </c>
      <c r="AA1644" s="51">
        <v>0</v>
      </c>
      <c r="AB1644" s="102">
        <v>0</v>
      </c>
      <c r="AC1644" s="81">
        <f t="shared" si="78"/>
        <v>331.83316329036222</v>
      </c>
      <c r="AD1644" s="82">
        <f t="shared" si="79"/>
        <v>46.542857142857144</v>
      </c>
      <c r="AE1644" s="218">
        <v>-2.2904099640261254E-2</v>
      </c>
      <c r="AF1644">
        <v>14</v>
      </c>
      <c r="AH1644" t="str">
        <f t="shared" si="80"/>
        <v>Kalyanpur</v>
      </c>
      <c r="AJ1644" s="72">
        <v>0</v>
      </c>
      <c r="AK1644" s="72"/>
      <c r="AL1644" s="72"/>
      <c r="AM1644" s="72"/>
    </row>
    <row r="1645" spans="1:39" x14ac:dyDescent="0.25">
      <c r="A1645" s="37" t="s">
        <v>62</v>
      </c>
      <c r="B1645" s="66" t="s">
        <v>1615</v>
      </c>
      <c r="C1645" s="47">
        <v>1053</v>
      </c>
      <c r="D1645" s="47" t="s">
        <v>542</v>
      </c>
      <c r="E1645" s="41">
        <v>10530102</v>
      </c>
      <c r="F1645" s="46" t="s">
        <v>1353</v>
      </c>
      <c r="G1645" s="39" t="s">
        <v>93</v>
      </c>
      <c r="H1645" s="48" t="s">
        <v>94</v>
      </c>
      <c r="I1645" s="52">
        <v>105.3</v>
      </c>
      <c r="J1645" s="49">
        <v>4341.7999999999993</v>
      </c>
      <c r="K1645" s="65">
        <v>100</v>
      </c>
      <c r="L1645" s="65">
        <v>3782.3094812660306</v>
      </c>
      <c r="M1645" s="65">
        <v>0</v>
      </c>
      <c r="N1645" s="65">
        <v>0</v>
      </c>
      <c r="O1645" s="65">
        <v>100</v>
      </c>
      <c r="P1645" s="65">
        <v>3782.3094812660306</v>
      </c>
      <c r="Q1645" s="50">
        <v>3782.3094812660306</v>
      </c>
      <c r="R1645" s="65">
        <v>0</v>
      </c>
      <c r="S1645" s="65">
        <v>0</v>
      </c>
      <c r="T1645" s="65">
        <v>0</v>
      </c>
      <c r="U1645" s="65">
        <v>0</v>
      </c>
      <c r="V1645" s="65">
        <v>0</v>
      </c>
      <c r="W1645" s="65">
        <v>0</v>
      </c>
      <c r="X1645" s="65">
        <v>3782</v>
      </c>
      <c r="Y1645" s="65">
        <v>0</v>
      </c>
      <c r="Z1645" s="65">
        <v>0</v>
      </c>
      <c r="AA1645" s="51">
        <v>560</v>
      </c>
      <c r="AB1645" s="102">
        <v>0</v>
      </c>
      <c r="AC1645" s="81">
        <f t="shared" si="78"/>
        <v>490.42135992402655</v>
      </c>
      <c r="AD1645" s="82">
        <f t="shared" si="79"/>
        <v>15.042857142857143</v>
      </c>
      <c r="AE1645" s="218">
        <v>0.12886142123864958</v>
      </c>
      <c r="AF1645">
        <v>4</v>
      </c>
      <c r="AH1645" t="str">
        <f t="shared" si="80"/>
        <v>Kalyanpur</v>
      </c>
      <c r="AJ1645" s="72">
        <v>0</v>
      </c>
      <c r="AK1645" s="72"/>
      <c r="AL1645" s="72"/>
      <c r="AM1645" s="72"/>
    </row>
    <row r="1646" spans="1:39" x14ac:dyDescent="0.25">
      <c r="A1646" s="37" t="s">
        <v>62</v>
      </c>
      <c r="B1646" s="66" t="s">
        <v>1615</v>
      </c>
      <c r="C1646" s="47">
        <v>1053</v>
      </c>
      <c r="D1646" s="47" t="s">
        <v>542</v>
      </c>
      <c r="E1646" s="41">
        <v>10530103</v>
      </c>
      <c r="F1646" s="46" t="s">
        <v>1338</v>
      </c>
      <c r="G1646" s="39" t="s">
        <v>93</v>
      </c>
      <c r="H1646" s="48" t="s">
        <v>94</v>
      </c>
      <c r="I1646" s="52">
        <v>2423.7999999999997</v>
      </c>
      <c r="J1646" s="49">
        <v>107301.08</v>
      </c>
      <c r="K1646" s="65">
        <v>2405.7999999999997</v>
      </c>
      <c r="L1646" s="65">
        <v>106193.45859323822</v>
      </c>
      <c r="M1646" s="65">
        <v>26.999999999999996</v>
      </c>
      <c r="N1646" s="65">
        <v>1168.5203402400002</v>
      </c>
      <c r="O1646" s="65">
        <v>2432.7999999999997</v>
      </c>
      <c r="P1646" s="65">
        <v>107361.97893347821</v>
      </c>
      <c r="Q1646" s="50">
        <v>107301.08</v>
      </c>
      <c r="R1646" s="65">
        <v>0</v>
      </c>
      <c r="S1646" s="65">
        <v>1168.5203402400002</v>
      </c>
      <c r="T1646" s="65">
        <v>60.898933478209074</v>
      </c>
      <c r="U1646" s="65">
        <v>22500</v>
      </c>
      <c r="V1646" s="65">
        <v>0</v>
      </c>
      <c r="W1646" s="65">
        <v>0</v>
      </c>
      <c r="X1646" s="65">
        <v>83633</v>
      </c>
      <c r="Y1646" s="65">
        <v>0</v>
      </c>
      <c r="Z1646" s="65">
        <v>0</v>
      </c>
      <c r="AA1646" s="51">
        <v>0</v>
      </c>
      <c r="AB1646" s="102">
        <v>0</v>
      </c>
      <c r="AC1646" s="81">
        <f t="shared" si="78"/>
        <v>0</v>
      </c>
      <c r="AD1646" s="82">
        <f t="shared" si="79"/>
        <v>0</v>
      </c>
      <c r="AE1646" s="218">
        <v>-5.6755191539739462E-4</v>
      </c>
      <c r="AF1646">
        <v>29</v>
      </c>
      <c r="AH1646" t="str">
        <f t="shared" si="80"/>
        <v>Kalyanpur</v>
      </c>
      <c r="AJ1646" s="72">
        <v>0</v>
      </c>
      <c r="AK1646" s="72"/>
      <c r="AL1646" s="72"/>
      <c r="AM1646" s="72"/>
    </row>
    <row r="1647" spans="1:39" x14ac:dyDescent="0.25">
      <c r="A1647" s="37" t="s">
        <v>62</v>
      </c>
      <c r="B1647" s="66" t="s">
        <v>1615</v>
      </c>
      <c r="C1647" s="47">
        <v>1053</v>
      </c>
      <c r="D1647" s="47" t="s">
        <v>542</v>
      </c>
      <c r="E1647" s="41">
        <v>10530105</v>
      </c>
      <c r="F1647" s="46" t="s">
        <v>1386</v>
      </c>
      <c r="G1647" s="39" t="s">
        <v>93</v>
      </c>
      <c r="H1647" s="48" t="s">
        <v>94</v>
      </c>
      <c r="I1647" s="52">
        <v>151.35000000000002</v>
      </c>
      <c r="J1647" s="49">
        <v>6066.1799999999994</v>
      </c>
      <c r="K1647" s="65">
        <v>152.09</v>
      </c>
      <c r="L1647" s="65">
        <v>5708.613007152001</v>
      </c>
      <c r="M1647" s="65">
        <v>1.24</v>
      </c>
      <c r="N1647" s="65">
        <v>47.249453196000005</v>
      </c>
      <c r="O1647" s="65">
        <v>153.33000000000001</v>
      </c>
      <c r="P1647" s="65">
        <v>5755.8624603480012</v>
      </c>
      <c r="Q1647" s="50">
        <v>5755.8624603480012</v>
      </c>
      <c r="R1647" s="65">
        <v>0</v>
      </c>
      <c r="S1647" s="65">
        <v>47.249453196000005</v>
      </c>
      <c r="T1647" s="65">
        <v>0</v>
      </c>
      <c r="U1647" s="65">
        <v>0</v>
      </c>
      <c r="V1647" s="65">
        <v>0</v>
      </c>
      <c r="W1647" s="65">
        <v>0</v>
      </c>
      <c r="X1647" s="65">
        <v>5709</v>
      </c>
      <c r="Y1647" s="65">
        <v>0</v>
      </c>
      <c r="Z1647" s="65">
        <v>0</v>
      </c>
      <c r="AA1647" s="51">
        <v>310</v>
      </c>
      <c r="AB1647" s="102">
        <v>0</v>
      </c>
      <c r="AC1647" s="81">
        <f t="shared" si="78"/>
        <v>439.80306005946483</v>
      </c>
      <c r="AD1647" s="82">
        <f t="shared" si="79"/>
        <v>21.621428571428574</v>
      </c>
      <c r="AE1647" s="218">
        <v>5.1155346470430858E-2</v>
      </c>
      <c r="AF1647">
        <v>4</v>
      </c>
      <c r="AH1647" t="str">
        <f t="shared" si="80"/>
        <v>Kalyanpur</v>
      </c>
      <c r="AJ1647" s="72">
        <v>0</v>
      </c>
      <c r="AK1647" s="72"/>
      <c r="AL1647" s="72"/>
      <c r="AM1647" s="72"/>
    </row>
    <row r="1648" spans="1:39" x14ac:dyDescent="0.25">
      <c r="A1648" s="37" t="s">
        <v>62</v>
      </c>
      <c r="B1648" s="66" t="s">
        <v>1615</v>
      </c>
      <c r="C1648" s="47">
        <v>1053</v>
      </c>
      <c r="D1648" s="47" t="s">
        <v>542</v>
      </c>
      <c r="E1648" s="41">
        <v>10530106</v>
      </c>
      <c r="F1648" s="46" t="s">
        <v>1436</v>
      </c>
      <c r="G1648" s="39" t="s">
        <v>93</v>
      </c>
      <c r="H1648" s="48" t="s">
        <v>94</v>
      </c>
      <c r="I1648" s="52">
        <v>416.05</v>
      </c>
      <c r="J1648" s="49">
        <v>15747.81</v>
      </c>
      <c r="K1648" s="65">
        <v>408.32000000000005</v>
      </c>
      <c r="L1648" s="65">
        <v>15076.67217967143</v>
      </c>
      <c r="M1648" s="65">
        <v>7.15</v>
      </c>
      <c r="N1648" s="65">
        <v>285.7099901040001</v>
      </c>
      <c r="O1648" s="65">
        <v>415.47</v>
      </c>
      <c r="P1648" s="65">
        <v>15362.38216977543</v>
      </c>
      <c r="Q1648" s="50">
        <v>15362.38216977543</v>
      </c>
      <c r="R1648" s="65">
        <v>0</v>
      </c>
      <c r="S1648" s="65">
        <v>285.7099901040001</v>
      </c>
      <c r="T1648" s="65">
        <v>0</v>
      </c>
      <c r="U1648" s="65">
        <v>0</v>
      </c>
      <c r="V1648" s="65">
        <v>0</v>
      </c>
      <c r="W1648" s="65">
        <v>0</v>
      </c>
      <c r="X1648" s="65">
        <v>15077</v>
      </c>
      <c r="Y1648" s="65">
        <v>0</v>
      </c>
      <c r="Z1648" s="65">
        <v>0</v>
      </c>
      <c r="AA1648" s="51">
        <v>385</v>
      </c>
      <c r="AB1648" s="102">
        <v>0</v>
      </c>
      <c r="AC1648" s="81">
        <f t="shared" si="78"/>
        <v>214.95448381204181</v>
      </c>
      <c r="AD1648" s="82">
        <f t="shared" si="79"/>
        <v>59.43571428571429</v>
      </c>
      <c r="AE1648" s="218">
        <v>2.4475011460296344E-2</v>
      </c>
      <c r="AF1648">
        <v>7</v>
      </c>
      <c r="AH1648" t="str">
        <f t="shared" si="80"/>
        <v>Kalyanpur</v>
      </c>
      <c r="AJ1648" s="72">
        <v>0</v>
      </c>
      <c r="AK1648" s="72"/>
      <c r="AL1648" s="72"/>
      <c r="AM1648" s="72"/>
    </row>
    <row r="1649" spans="1:39" x14ac:dyDescent="0.25">
      <c r="A1649" s="37" t="s">
        <v>62</v>
      </c>
      <c r="B1649" s="66" t="s">
        <v>1615</v>
      </c>
      <c r="C1649" s="47">
        <v>1053</v>
      </c>
      <c r="D1649" s="47" t="s">
        <v>542</v>
      </c>
      <c r="E1649" s="41">
        <v>10530107</v>
      </c>
      <c r="F1649" s="46" t="s">
        <v>1406</v>
      </c>
      <c r="G1649" s="39" t="s">
        <v>635</v>
      </c>
      <c r="H1649" s="48" t="s">
        <v>99</v>
      </c>
      <c r="I1649" s="52">
        <v>263.2</v>
      </c>
      <c r="J1649" s="49">
        <v>14680.82</v>
      </c>
      <c r="K1649" s="65">
        <v>0</v>
      </c>
      <c r="L1649" s="65">
        <v>0</v>
      </c>
      <c r="M1649" s="65">
        <v>0</v>
      </c>
      <c r="N1649" s="65">
        <v>0</v>
      </c>
      <c r="O1649" s="65">
        <v>0</v>
      </c>
      <c r="P1649" s="65">
        <v>0</v>
      </c>
      <c r="Q1649" s="50">
        <v>14680.82</v>
      </c>
      <c r="R1649" s="65">
        <v>0</v>
      </c>
      <c r="S1649" s="65">
        <v>0</v>
      </c>
      <c r="T1649" s="65">
        <v>0</v>
      </c>
      <c r="U1649" s="65">
        <v>0</v>
      </c>
      <c r="V1649" s="65">
        <v>0</v>
      </c>
      <c r="W1649" s="65">
        <v>0</v>
      </c>
      <c r="X1649" s="65">
        <v>0</v>
      </c>
      <c r="Y1649" s="65">
        <v>0</v>
      </c>
      <c r="Z1649" s="65">
        <v>14680.82</v>
      </c>
      <c r="AA1649" s="51">
        <v>0</v>
      </c>
      <c r="AB1649" s="102">
        <v>0</v>
      </c>
      <c r="AC1649" s="81">
        <f t="shared" si="78"/>
        <v>487.27828085106381</v>
      </c>
      <c r="AD1649" s="82">
        <f t="shared" si="79"/>
        <v>37.6</v>
      </c>
      <c r="AE1649" s="218">
        <v>0</v>
      </c>
      <c r="AF1649">
        <v>0</v>
      </c>
      <c r="AH1649" t="str">
        <f t="shared" si="80"/>
        <v>Kalyanpur</v>
      </c>
      <c r="AJ1649" s="72">
        <v>0</v>
      </c>
      <c r="AK1649" s="72"/>
      <c r="AL1649" s="72"/>
      <c r="AM1649" s="72"/>
    </row>
    <row r="1650" spans="1:39" x14ac:dyDescent="0.25">
      <c r="A1650" s="37" t="s">
        <v>62</v>
      </c>
      <c r="B1650" s="66" t="s">
        <v>1615</v>
      </c>
      <c r="C1650" s="47">
        <v>1053</v>
      </c>
      <c r="D1650" s="47" t="s">
        <v>542</v>
      </c>
      <c r="E1650" s="41">
        <v>10530108</v>
      </c>
      <c r="F1650" s="46" t="s">
        <v>1437</v>
      </c>
      <c r="G1650" s="39" t="s">
        <v>93</v>
      </c>
      <c r="H1650" s="48" t="s">
        <v>94</v>
      </c>
      <c r="I1650" s="52">
        <v>193.85000000000002</v>
      </c>
      <c r="J1650" s="49">
        <v>7741.3100000000013</v>
      </c>
      <c r="K1650" s="65">
        <v>190.68</v>
      </c>
      <c r="L1650" s="65">
        <v>7380.8999344708345</v>
      </c>
      <c r="M1650" s="65">
        <v>4.1899999999999995</v>
      </c>
      <c r="N1650" s="65">
        <v>157.76968917600001</v>
      </c>
      <c r="O1650" s="65">
        <v>194.87</v>
      </c>
      <c r="P1650" s="65">
        <v>7538.6696236468342</v>
      </c>
      <c r="Q1650" s="50">
        <v>7538.6696236468342</v>
      </c>
      <c r="R1650" s="65">
        <v>0</v>
      </c>
      <c r="S1650" s="65">
        <v>157.76968917600001</v>
      </c>
      <c r="T1650" s="65">
        <v>0</v>
      </c>
      <c r="U1650" s="65">
        <v>0</v>
      </c>
      <c r="V1650" s="65">
        <v>0</v>
      </c>
      <c r="W1650" s="65">
        <v>0</v>
      </c>
      <c r="X1650" s="65">
        <v>7381</v>
      </c>
      <c r="Y1650" s="65">
        <v>0</v>
      </c>
      <c r="Z1650" s="65">
        <v>0</v>
      </c>
      <c r="AA1650" s="51">
        <v>203</v>
      </c>
      <c r="AB1650" s="102">
        <v>0</v>
      </c>
      <c r="AC1650" s="81">
        <f t="shared" si="78"/>
        <v>404.25731818416301</v>
      </c>
      <c r="AD1650" s="82">
        <f t="shared" si="79"/>
        <v>27.692857142857147</v>
      </c>
      <c r="AE1650" s="218">
        <v>2.6176496788420441E-2</v>
      </c>
      <c r="AF1650">
        <v>4</v>
      </c>
      <c r="AH1650" t="str">
        <f t="shared" si="80"/>
        <v>Kalyanpur</v>
      </c>
      <c r="AJ1650" s="72">
        <v>0</v>
      </c>
      <c r="AK1650" s="72"/>
      <c r="AL1650" s="72"/>
      <c r="AM1650" s="72"/>
    </row>
    <row r="1651" spans="1:39" x14ac:dyDescent="0.25">
      <c r="A1651" s="37" t="s">
        <v>62</v>
      </c>
      <c r="B1651" s="66" t="s">
        <v>1615</v>
      </c>
      <c r="C1651" s="47">
        <v>1053</v>
      </c>
      <c r="D1651" s="47" t="s">
        <v>542</v>
      </c>
      <c r="E1651" s="41">
        <v>10530109</v>
      </c>
      <c r="F1651" s="46" t="s">
        <v>1407</v>
      </c>
      <c r="G1651" s="39" t="s">
        <v>93</v>
      </c>
      <c r="H1651" s="48" t="s">
        <v>94</v>
      </c>
      <c r="I1651" s="52">
        <v>1561.5499999999997</v>
      </c>
      <c r="J1651" s="49">
        <v>64555.070000000014</v>
      </c>
      <c r="K1651" s="65">
        <v>1551.68</v>
      </c>
      <c r="L1651" s="65">
        <v>63770.731571584431</v>
      </c>
      <c r="M1651" s="65">
        <v>10.74</v>
      </c>
      <c r="N1651" s="65">
        <v>461.49474135599996</v>
      </c>
      <c r="O1651" s="65">
        <v>1562.42</v>
      </c>
      <c r="P1651" s="65">
        <v>64232.226312940431</v>
      </c>
      <c r="Q1651" s="50">
        <v>64232.226312940431</v>
      </c>
      <c r="R1651" s="65">
        <v>0</v>
      </c>
      <c r="S1651" s="65">
        <v>461.49474135599996</v>
      </c>
      <c r="T1651" s="65">
        <v>0</v>
      </c>
      <c r="U1651" s="65">
        <v>15000</v>
      </c>
      <c r="V1651" s="65">
        <v>0</v>
      </c>
      <c r="W1651" s="65">
        <v>0</v>
      </c>
      <c r="X1651" s="65">
        <v>48771</v>
      </c>
      <c r="Y1651" s="65">
        <v>0</v>
      </c>
      <c r="Z1651" s="65">
        <v>0</v>
      </c>
      <c r="AA1651" s="51">
        <v>323</v>
      </c>
      <c r="AB1651" s="102">
        <v>0</v>
      </c>
      <c r="AC1651" s="81">
        <f t="shared" si="78"/>
        <v>0</v>
      </c>
      <c r="AD1651" s="82">
        <f t="shared" si="79"/>
        <v>0</v>
      </c>
      <c r="AE1651" s="218">
        <v>5.0010585854772249E-3</v>
      </c>
      <c r="AF1651">
        <v>17</v>
      </c>
      <c r="AH1651" t="str">
        <f t="shared" si="80"/>
        <v>Kalyanpur</v>
      </c>
      <c r="AJ1651" s="72">
        <v>0</v>
      </c>
      <c r="AK1651" s="72"/>
      <c r="AL1651" s="72"/>
      <c r="AM1651" s="72"/>
    </row>
    <row r="1652" spans="1:39" x14ac:dyDescent="0.25">
      <c r="A1652" s="37" t="s">
        <v>62</v>
      </c>
      <c r="B1652" s="66" t="s">
        <v>1615</v>
      </c>
      <c r="C1652" s="47">
        <v>1053</v>
      </c>
      <c r="D1652" s="47" t="s">
        <v>542</v>
      </c>
      <c r="E1652" s="41">
        <v>10530110</v>
      </c>
      <c r="F1652" s="46" t="s">
        <v>1438</v>
      </c>
      <c r="G1652" s="39" t="s">
        <v>93</v>
      </c>
      <c r="H1652" s="48" t="s">
        <v>94</v>
      </c>
      <c r="I1652" s="52">
        <v>785.6</v>
      </c>
      <c r="J1652" s="49">
        <v>31173.41</v>
      </c>
      <c r="K1652" s="65">
        <v>762.43000000000006</v>
      </c>
      <c r="L1652" s="65">
        <v>29107.411301967826</v>
      </c>
      <c r="M1652" s="65">
        <v>18.52</v>
      </c>
      <c r="N1652" s="65">
        <v>705.6802803600001</v>
      </c>
      <c r="O1652" s="65">
        <v>780.95</v>
      </c>
      <c r="P1652" s="65">
        <v>29813.091582327826</v>
      </c>
      <c r="Q1652" s="50">
        <v>29813.091582327826</v>
      </c>
      <c r="R1652" s="65">
        <v>0</v>
      </c>
      <c r="S1652" s="65">
        <v>705.6802803600001</v>
      </c>
      <c r="T1652" s="65">
        <v>0</v>
      </c>
      <c r="U1652" s="65">
        <v>0</v>
      </c>
      <c r="V1652" s="65">
        <v>0</v>
      </c>
      <c r="W1652" s="65">
        <v>0</v>
      </c>
      <c r="X1652" s="65">
        <v>29106</v>
      </c>
      <c r="Y1652" s="65">
        <v>0</v>
      </c>
      <c r="Z1652" s="65">
        <v>0</v>
      </c>
      <c r="AA1652" s="51">
        <v>1362</v>
      </c>
      <c r="AB1652" s="102">
        <v>0</v>
      </c>
      <c r="AC1652" s="81">
        <f t="shared" si="78"/>
        <v>0</v>
      </c>
      <c r="AD1652" s="82">
        <f t="shared" si="79"/>
        <v>0</v>
      </c>
      <c r="AE1652" s="218">
        <v>4.3637138756144209E-2</v>
      </c>
      <c r="AF1652">
        <v>20</v>
      </c>
      <c r="AH1652" t="str">
        <f t="shared" si="80"/>
        <v>Kalyanpur</v>
      </c>
      <c r="AJ1652" s="72">
        <v>0</v>
      </c>
      <c r="AK1652" s="72"/>
      <c r="AL1652" s="72"/>
      <c r="AM1652" s="72"/>
    </row>
    <row r="1653" spans="1:39" x14ac:dyDescent="0.25">
      <c r="A1653" s="37" t="s">
        <v>62</v>
      </c>
      <c r="B1653" s="66" t="s">
        <v>1615</v>
      </c>
      <c r="C1653" s="47">
        <v>1053</v>
      </c>
      <c r="D1653" s="47" t="s">
        <v>542</v>
      </c>
      <c r="E1653" s="41">
        <v>10530111</v>
      </c>
      <c r="F1653" s="46" t="s">
        <v>1500</v>
      </c>
      <c r="G1653" s="39" t="s">
        <v>93</v>
      </c>
      <c r="H1653" s="48" t="s">
        <v>94</v>
      </c>
      <c r="I1653" s="52">
        <v>677.35</v>
      </c>
      <c r="J1653" s="49">
        <v>27028.33</v>
      </c>
      <c r="K1653" s="65">
        <v>671.10999999999967</v>
      </c>
      <c r="L1653" s="65">
        <v>26070.226043700313</v>
      </c>
      <c r="M1653" s="65">
        <v>12.330000000000002</v>
      </c>
      <c r="N1653" s="65">
        <v>495.14841486</v>
      </c>
      <c r="O1653" s="65">
        <v>683.43999999999971</v>
      </c>
      <c r="P1653" s="65">
        <v>26565.374458560313</v>
      </c>
      <c r="Q1653" s="50">
        <v>26565.374458560313</v>
      </c>
      <c r="R1653" s="65">
        <v>0</v>
      </c>
      <c r="S1653" s="65">
        <v>495.14841486</v>
      </c>
      <c r="T1653" s="65">
        <v>0</v>
      </c>
      <c r="U1653" s="65">
        <v>1500</v>
      </c>
      <c r="V1653" s="65">
        <v>0</v>
      </c>
      <c r="W1653" s="65">
        <v>0</v>
      </c>
      <c r="X1653" s="65">
        <v>24571</v>
      </c>
      <c r="Y1653" s="65">
        <v>0</v>
      </c>
      <c r="Z1653" s="65">
        <v>0</v>
      </c>
      <c r="AA1653" s="51">
        <v>462</v>
      </c>
      <c r="AB1653" s="102" t="s">
        <v>66</v>
      </c>
      <c r="AC1653" s="81">
        <f t="shared" si="78"/>
        <v>18.076081036391791</v>
      </c>
      <c r="AD1653" s="82">
        <f t="shared" si="79"/>
        <v>96.76428571428572</v>
      </c>
      <c r="AE1653" s="218">
        <v>1.7128529266872541E-2</v>
      </c>
      <c r="AF1653">
        <v>16</v>
      </c>
      <c r="AH1653" t="str">
        <f t="shared" si="80"/>
        <v>Kalyanpur</v>
      </c>
      <c r="AJ1653" s="72">
        <v>0</v>
      </c>
      <c r="AK1653" s="72"/>
      <c r="AL1653" s="72"/>
      <c r="AM1653" s="72"/>
    </row>
    <row r="1654" spans="1:39" x14ac:dyDescent="0.25">
      <c r="A1654" s="37" t="s">
        <v>62</v>
      </c>
      <c r="B1654" s="66" t="s">
        <v>1615</v>
      </c>
      <c r="C1654" s="47">
        <v>1053</v>
      </c>
      <c r="D1654" s="47" t="s">
        <v>542</v>
      </c>
      <c r="E1654" s="41">
        <v>10530112</v>
      </c>
      <c r="F1654" s="46" t="s">
        <v>1501</v>
      </c>
      <c r="G1654" s="39" t="s">
        <v>93</v>
      </c>
      <c r="H1654" s="48" t="s">
        <v>94</v>
      </c>
      <c r="I1654" s="52">
        <v>324.75</v>
      </c>
      <c r="J1654" s="49">
        <v>12805.150000000001</v>
      </c>
      <c r="K1654" s="65">
        <v>324.13</v>
      </c>
      <c r="L1654" s="65">
        <v>12770.88865866</v>
      </c>
      <c r="M1654" s="65">
        <v>0.54999999999999993</v>
      </c>
      <c r="N1654" s="65">
        <v>21.807015120000003</v>
      </c>
      <c r="O1654" s="65">
        <v>324.68</v>
      </c>
      <c r="P1654" s="65">
        <v>12792.695673780001</v>
      </c>
      <c r="Q1654" s="50">
        <v>12792.695673780001</v>
      </c>
      <c r="R1654" s="65">
        <v>0</v>
      </c>
      <c r="S1654" s="65">
        <v>21.807015120000003</v>
      </c>
      <c r="T1654" s="65">
        <v>0</v>
      </c>
      <c r="U1654" s="65">
        <v>0</v>
      </c>
      <c r="V1654" s="65">
        <v>0</v>
      </c>
      <c r="W1654" s="65">
        <v>0</v>
      </c>
      <c r="X1654" s="65">
        <v>12771</v>
      </c>
      <c r="Y1654" s="65">
        <v>0</v>
      </c>
      <c r="Z1654" s="65">
        <v>0</v>
      </c>
      <c r="AA1654" s="51">
        <v>12</v>
      </c>
      <c r="AB1654" s="102">
        <v>0</v>
      </c>
      <c r="AC1654" s="81">
        <f t="shared" si="78"/>
        <v>295.92810084680525</v>
      </c>
      <c r="AD1654" s="82">
        <f t="shared" si="79"/>
        <v>46.392857142857146</v>
      </c>
      <c r="AE1654" s="218">
        <v>9.7260291523335832E-4</v>
      </c>
      <c r="AF1654">
        <v>3</v>
      </c>
      <c r="AH1654" t="str">
        <f t="shared" si="80"/>
        <v>Kalyanpur</v>
      </c>
      <c r="AJ1654" s="72">
        <v>0</v>
      </c>
      <c r="AK1654" s="72"/>
      <c r="AL1654" s="72"/>
      <c r="AM1654" s="72"/>
    </row>
    <row r="1655" spans="1:39" x14ac:dyDescent="0.25">
      <c r="A1655" s="37" t="s">
        <v>62</v>
      </c>
      <c r="B1655" s="66" t="s">
        <v>1615</v>
      </c>
      <c r="C1655" s="47">
        <v>1053</v>
      </c>
      <c r="D1655" s="47" t="s">
        <v>542</v>
      </c>
      <c r="E1655" s="41">
        <v>10530113</v>
      </c>
      <c r="F1655" s="46" t="s">
        <v>1557</v>
      </c>
      <c r="G1655" s="39" t="s">
        <v>93</v>
      </c>
      <c r="H1655" s="48" t="s">
        <v>94</v>
      </c>
      <c r="I1655" s="52">
        <v>511.74999999999994</v>
      </c>
      <c r="J1655" s="49">
        <v>20178.370000000003</v>
      </c>
      <c r="K1655" s="65">
        <v>509.02000000000004</v>
      </c>
      <c r="L1655" s="65">
        <v>19940.289717150004</v>
      </c>
      <c r="M1655" s="65">
        <v>4.04</v>
      </c>
      <c r="N1655" s="65">
        <v>156.14670915360003</v>
      </c>
      <c r="O1655" s="65">
        <v>513.06000000000006</v>
      </c>
      <c r="P1655" s="65">
        <v>20096.436426303604</v>
      </c>
      <c r="Q1655" s="50">
        <v>20096.436426303604</v>
      </c>
      <c r="R1655" s="65">
        <v>0</v>
      </c>
      <c r="S1655" s="65">
        <v>156.14670915360003</v>
      </c>
      <c r="T1655" s="65">
        <v>0</v>
      </c>
      <c r="U1655" s="65">
        <v>0</v>
      </c>
      <c r="V1655" s="65">
        <v>0</v>
      </c>
      <c r="W1655" s="65">
        <v>0</v>
      </c>
      <c r="X1655" s="65">
        <v>19941</v>
      </c>
      <c r="Y1655" s="65">
        <v>0</v>
      </c>
      <c r="Z1655" s="65">
        <v>0</v>
      </c>
      <c r="AA1655" s="51">
        <v>81</v>
      </c>
      <c r="AB1655" s="102">
        <v>0</v>
      </c>
      <c r="AC1655" s="81">
        <f t="shared" si="78"/>
        <v>148.45444660478759</v>
      </c>
      <c r="AD1655" s="82">
        <f t="shared" si="79"/>
        <v>73.107142857142847</v>
      </c>
      <c r="AE1655" s="218">
        <v>4.0604654239365474E-3</v>
      </c>
      <c r="AF1655">
        <v>8</v>
      </c>
      <c r="AH1655" t="str">
        <f t="shared" si="80"/>
        <v>Kalyanpur</v>
      </c>
      <c r="AJ1655" s="72">
        <v>0</v>
      </c>
      <c r="AK1655" s="72"/>
      <c r="AL1655" s="72"/>
      <c r="AM1655" s="72"/>
    </row>
    <row r="1656" spans="1:39" x14ac:dyDescent="0.25">
      <c r="A1656" s="37" t="s">
        <v>62</v>
      </c>
      <c r="B1656" s="66" t="s">
        <v>1615</v>
      </c>
      <c r="C1656" s="47">
        <v>1053</v>
      </c>
      <c r="D1656" s="47" t="s">
        <v>542</v>
      </c>
      <c r="E1656" s="41">
        <v>10530114</v>
      </c>
      <c r="F1656" s="46" t="s">
        <v>1593</v>
      </c>
      <c r="G1656" s="39" t="s">
        <v>93</v>
      </c>
      <c r="H1656" s="48" t="s">
        <v>94</v>
      </c>
      <c r="I1656" s="52">
        <v>47.15</v>
      </c>
      <c r="J1656" s="49">
        <v>2333.0500000000002</v>
      </c>
      <c r="K1656" s="65">
        <v>47.36</v>
      </c>
      <c r="L1656" s="65">
        <v>2330.9290936001598</v>
      </c>
      <c r="M1656" s="65">
        <v>0</v>
      </c>
      <c r="N1656" s="65">
        <v>0</v>
      </c>
      <c r="O1656" s="65">
        <v>47.36</v>
      </c>
      <c r="P1656" s="65">
        <v>2330.9290936001598</v>
      </c>
      <c r="Q1656" s="50">
        <v>2330.9290936001598</v>
      </c>
      <c r="R1656" s="65">
        <v>0</v>
      </c>
      <c r="S1656" s="65">
        <v>0</v>
      </c>
      <c r="T1656" s="65">
        <v>0</v>
      </c>
      <c r="U1656" s="65">
        <v>0</v>
      </c>
      <c r="V1656" s="65">
        <v>0</v>
      </c>
      <c r="W1656" s="65">
        <v>0</v>
      </c>
      <c r="X1656" s="65">
        <v>2332</v>
      </c>
      <c r="Y1656" s="65">
        <v>0</v>
      </c>
      <c r="Z1656" s="65">
        <v>0</v>
      </c>
      <c r="AA1656" s="51">
        <v>1</v>
      </c>
      <c r="AB1656" s="102">
        <v>0</v>
      </c>
      <c r="AC1656" s="81">
        <f t="shared" si="78"/>
        <v>646.07919088016979</v>
      </c>
      <c r="AD1656" s="82">
        <f t="shared" si="79"/>
        <v>6.7357142857142858</v>
      </c>
      <c r="AE1656" s="218">
        <v>9.0907027275041285E-4</v>
      </c>
      <c r="AF1656">
        <v>6</v>
      </c>
      <c r="AH1656" t="str">
        <f t="shared" si="80"/>
        <v>Kalyanpur</v>
      </c>
      <c r="AJ1656" s="72">
        <v>0</v>
      </c>
      <c r="AK1656" s="72"/>
      <c r="AL1656" s="72"/>
      <c r="AM1656" s="72"/>
    </row>
    <row r="1657" spans="1:39" x14ac:dyDescent="0.25">
      <c r="A1657" s="37" t="s">
        <v>62</v>
      </c>
      <c r="B1657" s="66" t="s">
        <v>1615</v>
      </c>
      <c r="C1657" s="47">
        <v>1053</v>
      </c>
      <c r="D1657" s="47" t="s">
        <v>542</v>
      </c>
      <c r="E1657" s="41">
        <v>10530115</v>
      </c>
      <c r="F1657" s="46" t="s">
        <v>1547</v>
      </c>
      <c r="G1657" s="39" t="s">
        <v>635</v>
      </c>
      <c r="H1657" s="48" t="s">
        <v>99</v>
      </c>
      <c r="I1657" s="52">
        <v>291.10000000000002</v>
      </c>
      <c r="J1657" s="49">
        <v>10856.06</v>
      </c>
      <c r="K1657" s="65">
        <v>0</v>
      </c>
      <c r="L1657" s="65">
        <v>0</v>
      </c>
      <c r="M1657" s="65">
        <v>0</v>
      </c>
      <c r="N1657" s="65">
        <v>0</v>
      </c>
      <c r="O1657" s="65">
        <v>0</v>
      </c>
      <c r="P1657" s="65">
        <v>0</v>
      </c>
      <c r="Q1657" s="50">
        <v>10856.06</v>
      </c>
      <c r="R1657" s="65">
        <v>0</v>
      </c>
      <c r="S1657" s="65">
        <v>0</v>
      </c>
      <c r="T1657" s="65">
        <v>0</v>
      </c>
      <c r="U1657" s="65">
        <v>0</v>
      </c>
      <c r="V1657" s="65">
        <v>0</v>
      </c>
      <c r="W1657" s="65">
        <v>0</v>
      </c>
      <c r="X1657" s="65">
        <v>0</v>
      </c>
      <c r="Y1657" s="65">
        <v>0</v>
      </c>
      <c r="Z1657" s="65">
        <v>10856.06</v>
      </c>
      <c r="AA1657" s="51">
        <v>0</v>
      </c>
      <c r="AB1657" s="102">
        <v>0</v>
      </c>
      <c r="AC1657" s="81">
        <f t="shared" si="78"/>
        <v>304.98405592579866</v>
      </c>
      <c r="AD1657" s="82">
        <f t="shared" si="79"/>
        <v>41.585714285714289</v>
      </c>
      <c r="AE1657" s="218">
        <v>0</v>
      </c>
      <c r="AF1657">
        <v>0</v>
      </c>
      <c r="AH1657" t="str">
        <f t="shared" si="80"/>
        <v>Kalyanpur</v>
      </c>
      <c r="AJ1657" s="72">
        <v>0</v>
      </c>
      <c r="AK1657" s="72"/>
      <c r="AL1657" s="72"/>
      <c r="AM1657" s="72"/>
    </row>
    <row r="1658" spans="1:39" x14ac:dyDescent="0.25">
      <c r="A1658" s="37" t="s">
        <v>62</v>
      </c>
      <c r="B1658" s="66" t="s">
        <v>1615</v>
      </c>
      <c r="C1658" s="47">
        <v>1054</v>
      </c>
      <c r="D1658" s="47" t="s">
        <v>828</v>
      </c>
      <c r="E1658" s="41">
        <v>10540003</v>
      </c>
      <c r="F1658" s="46" t="s">
        <v>683</v>
      </c>
      <c r="G1658" s="39" t="s">
        <v>93</v>
      </c>
      <c r="H1658" s="48" t="s">
        <v>94</v>
      </c>
      <c r="I1658" s="52">
        <v>2545.3000000000002</v>
      </c>
      <c r="J1658" s="49">
        <v>102602.26999999999</v>
      </c>
      <c r="K1658" s="65">
        <v>2545.2999999999997</v>
      </c>
      <c r="L1658" s="65">
        <v>102594.56718060002</v>
      </c>
      <c r="M1658" s="65">
        <v>0</v>
      </c>
      <c r="N1658" s="65">
        <v>0</v>
      </c>
      <c r="O1658" s="65">
        <v>2545.2999999999997</v>
      </c>
      <c r="P1658" s="65">
        <v>102594.56718060002</v>
      </c>
      <c r="Q1658" s="50">
        <v>102594.56718060002</v>
      </c>
      <c r="R1658" s="65">
        <v>0</v>
      </c>
      <c r="S1658" s="65">
        <v>0</v>
      </c>
      <c r="T1658" s="65">
        <v>0</v>
      </c>
      <c r="U1658" s="65">
        <v>0</v>
      </c>
      <c r="V1658" s="65">
        <v>0</v>
      </c>
      <c r="W1658" s="65">
        <v>0</v>
      </c>
      <c r="X1658" s="65">
        <v>102595</v>
      </c>
      <c r="Y1658" s="65">
        <v>0</v>
      </c>
      <c r="Z1658" s="65">
        <v>0</v>
      </c>
      <c r="AA1658" s="51">
        <v>7</v>
      </c>
      <c r="AB1658" s="102">
        <v>0</v>
      </c>
      <c r="AC1658" s="81">
        <f t="shared" si="78"/>
        <v>0</v>
      </c>
      <c r="AD1658" s="82">
        <f t="shared" si="79"/>
        <v>0</v>
      </c>
      <c r="AE1658" s="218">
        <v>7.5074551469204469E-5</v>
      </c>
      <c r="AF1658">
        <v>1</v>
      </c>
      <c r="AH1658" t="str">
        <f t="shared" si="80"/>
        <v xml:space="preserve">Alauli </v>
      </c>
      <c r="AJ1658" s="72">
        <v>0</v>
      </c>
      <c r="AK1658" s="72"/>
      <c r="AL1658" s="72"/>
      <c r="AM1658" s="72"/>
    </row>
    <row r="1659" spans="1:39" x14ac:dyDescent="0.25">
      <c r="A1659" s="37" t="s">
        <v>62</v>
      </c>
      <c r="B1659" s="66" t="s">
        <v>1615</v>
      </c>
      <c r="C1659" s="47">
        <v>1054</v>
      </c>
      <c r="D1659" s="47" t="s">
        <v>828</v>
      </c>
      <c r="E1659" s="41">
        <v>10540005</v>
      </c>
      <c r="F1659" s="46" t="s">
        <v>685</v>
      </c>
      <c r="G1659" s="39" t="s">
        <v>93</v>
      </c>
      <c r="H1659" s="48" t="s">
        <v>94</v>
      </c>
      <c r="I1659" s="52">
        <v>266</v>
      </c>
      <c r="J1659" s="49">
        <v>10787.94</v>
      </c>
      <c r="K1659" s="65">
        <v>302.8</v>
      </c>
      <c r="L1659" s="65">
        <v>12147.146230534683</v>
      </c>
      <c r="M1659" s="65">
        <v>0</v>
      </c>
      <c r="N1659" s="65">
        <v>0</v>
      </c>
      <c r="O1659" s="65">
        <v>302.8</v>
      </c>
      <c r="P1659" s="65">
        <v>12147.146230534683</v>
      </c>
      <c r="Q1659" s="50">
        <v>10787.94</v>
      </c>
      <c r="R1659" s="65">
        <v>0</v>
      </c>
      <c r="S1659" s="65">
        <v>0</v>
      </c>
      <c r="T1659" s="65">
        <v>1359.2062305346826</v>
      </c>
      <c r="U1659" s="65">
        <v>0</v>
      </c>
      <c r="V1659" s="65">
        <v>155.61000000000001</v>
      </c>
      <c r="W1659" s="65">
        <v>0</v>
      </c>
      <c r="X1659" s="65">
        <v>10632</v>
      </c>
      <c r="Y1659" s="65">
        <v>0</v>
      </c>
      <c r="Z1659" s="65">
        <v>0</v>
      </c>
      <c r="AA1659" s="51">
        <v>0</v>
      </c>
      <c r="AB1659" s="102" t="s">
        <v>68</v>
      </c>
      <c r="AC1659" s="81">
        <f t="shared" si="78"/>
        <v>352.02751578947368</v>
      </c>
      <c r="AD1659" s="82">
        <f t="shared" si="79"/>
        <v>38</v>
      </c>
      <c r="AE1659" s="218">
        <v>-0.12599312107174146</v>
      </c>
      <c r="AF1659">
        <v>10</v>
      </c>
      <c r="AH1659" t="str">
        <f t="shared" si="80"/>
        <v xml:space="preserve">Alauli </v>
      </c>
      <c r="AJ1659" s="72">
        <v>0</v>
      </c>
      <c r="AK1659" s="72"/>
      <c r="AL1659" s="72"/>
      <c r="AM1659" s="72"/>
    </row>
    <row r="1660" spans="1:39" x14ac:dyDescent="0.25">
      <c r="A1660" s="37" t="s">
        <v>62</v>
      </c>
      <c r="B1660" s="66" t="s">
        <v>1615</v>
      </c>
      <c r="C1660" s="47">
        <v>1054</v>
      </c>
      <c r="D1660" s="47" t="s">
        <v>828</v>
      </c>
      <c r="E1660" s="41">
        <v>10540008</v>
      </c>
      <c r="F1660" s="46" t="s">
        <v>1146</v>
      </c>
      <c r="G1660" s="39" t="s">
        <v>93</v>
      </c>
      <c r="H1660" s="48" t="s">
        <v>94</v>
      </c>
      <c r="I1660" s="52">
        <v>154.90000000000003</v>
      </c>
      <c r="J1660" s="49">
        <v>7261.55</v>
      </c>
      <c r="K1660" s="65">
        <v>167.19</v>
      </c>
      <c r="L1660" s="65">
        <v>9157.8803913143693</v>
      </c>
      <c r="M1660" s="65">
        <v>0</v>
      </c>
      <c r="N1660" s="65">
        <v>0</v>
      </c>
      <c r="O1660" s="65">
        <v>167.19</v>
      </c>
      <c r="P1660" s="65">
        <v>9157.8803913143693</v>
      </c>
      <c r="Q1660" s="50">
        <v>7261.55</v>
      </c>
      <c r="R1660" s="65">
        <v>0</v>
      </c>
      <c r="S1660" s="65">
        <v>0</v>
      </c>
      <c r="T1660" s="65">
        <v>1896.3303913143691</v>
      </c>
      <c r="U1660" s="65">
        <v>1008</v>
      </c>
      <c r="V1660" s="65">
        <v>97.89</v>
      </c>
      <c r="W1660" s="65">
        <v>0</v>
      </c>
      <c r="X1660" s="65">
        <v>6156</v>
      </c>
      <c r="Y1660" s="65">
        <v>0</v>
      </c>
      <c r="Z1660" s="65">
        <v>0</v>
      </c>
      <c r="AA1660" s="51">
        <v>0</v>
      </c>
      <c r="AB1660" s="102" t="s">
        <v>66</v>
      </c>
      <c r="AC1660" s="81">
        <f t="shared" si="78"/>
        <v>511.07435829567447</v>
      </c>
      <c r="AD1660" s="82">
        <f t="shared" si="79"/>
        <v>22.128571428571433</v>
      </c>
      <c r="AE1660" s="218">
        <v>-0.26114677876133457</v>
      </c>
      <c r="AF1660">
        <v>9</v>
      </c>
      <c r="AH1660" t="str">
        <f t="shared" si="80"/>
        <v xml:space="preserve">Alauli </v>
      </c>
      <c r="AJ1660" s="72">
        <v>0</v>
      </c>
      <c r="AK1660" s="72"/>
      <c r="AL1660" s="72"/>
      <c r="AM1660" s="72"/>
    </row>
    <row r="1661" spans="1:39" x14ac:dyDescent="0.25">
      <c r="A1661" s="37" t="s">
        <v>62</v>
      </c>
      <c r="B1661" s="66" t="s">
        <v>1615</v>
      </c>
      <c r="C1661" s="47">
        <v>1054</v>
      </c>
      <c r="D1661" s="47" t="s">
        <v>828</v>
      </c>
      <c r="E1661" s="41">
        <v>10540009</v>
      </c>
      <c r="F1661" s="46" t="s">
        <v>853</v>
      </c>
      <c r="G1661" s="39" t="s">
        <v>93</v>
      </c>
      <c r="H1661" s="48" t="s">
        <v>94</v>
      </c>
      <c r="I1661" s="52">
        <v>1008.1999999999998</v>
      </c>
      <c r="J1661" s="49">
        <v>41390.03</v>
      </c>
      <c r="K1661" s="65">
        <v>1041.7599999999998</v>
      </c>
      <c r="L1661" s="65">
        <v>42878.978346640557</v>
      </c>
      <c r="M1661" s="65">
        <v>0</v>
      </c>
      <c r="N1661" s="65">
        <v>0</v>
      </c>
      <c r="O1661" s="65">
        <v>1041.7599999999998</v>
      </c>
      <c r="P1661" s="65">
        <v>42878.978346640557</v>
      </c>
      <c r="Q1661" s="50">
        <v>41390.03</v>
      </c>
      <c r="R1661" s="65">
        <v>0</v>
      </c>
      <c r="S1661" s="65">
        <v>0</v>
      </c>
      <c r="T1661" s="65">
        <v>1488.9483466405582</v>
      </c>
      <c r="U1661" s="65">
        <v>0</v>
      </c>
      <c r="V1661" s="65">
        <v>1048.48</v>
      </c>
      <c r="W1661" s="65">
        <v>0</v>
      </c>
      <c r="X1661" s="65">
        <v>40341</v>
      </c>
      <c r="Y1661" s="65">
        <v>0</v>
      </c>
      <c r="Z1661" s="65">
        <v>0</v>
      </c>
      <c r="AA1661" s="51">
        <v>1</v>
      </c>
      <c r="AB1661" s="102" t="s">
        <v>68</v>
      </c>
      <c r="AC1661" s="81">
        <f t="shared" si="78"/>
        <v>0</v>
      </c>
      <c r="AD1661" s="82">
        <f t="shared" si="79"/>
        <v>0</v>
      </c>
      <c r="AE1661" s="218">
        <v>-3.5973599116515695E-2</v>
      </c>
      <c r="AF1661">
        <v>27</v>
      </c>
      <c r="AH1661" t="str">
        <f t="shared" si="80"/>
        <v xml:space="preserve">Alauli </v>
      </c>
      <c r="AJ1661" s="72">
        <v>0</v>
      </c>
      <c r="AK1661" s="72"/>
      <c r="AL1661" s="72"/>
      <c r="AM1661" s="72"/>
    </row>
    <row r="1662" spans="1:39" x14ac:dyDescent="0.25">
      <c r="A1662" s="37" t="s">
        <v>62</v>
      </c>
      <c r="B1662" s="66" t="s">
        <v>1615</v>
      </c>
      <c r="C1662" s="47">
        <v>1054</v>
      </c>
      <c r="D1662" s="47" t="s">
        <v>828</v>
      </c>
      <c r="E1662" s="41">
        <v>10540010</v>
      </c>
      <c r="F1662" s="46" t="s">
        <v>615</v>
      </c>
      <c r="G1662" s="39" t="s">
        <v>635</v>
      </c>
      <c r="H1662" s="48" t="s">
        <v>99</v>
      </c>
      <c r="I1662" s="52">
        <v>2709.2</v>
      </c>
      <c r="J1662" s="49">
        <v>109740.98</v>
      </c>
      <c r="K1662" s="65">
        <v>0</v>
      </c>
      <c r="L1662" s="65">
        <v>0</v>
      </c>
      <c r="M1662" s="65">
        <v>0</v>
      </c>
      <c r="N1662" s="65">
        <v>0</v>
      </c>
      <c r="O1662" s="65">
        <v>0</v>
      </c>
      <c r="P1662" s="65">
        <v>0</v>
      </c>
      <c r="Q1662" s="50">
        <v>109740.98</v>
      </c>
      <c r="R1662" s="65">
        <v>0</v>
      </c>
      <c r="S1662" s="65">
        <v>0</v>
      </c>
      <c r="T1662" s="65">
        <v>0</v>
      </c>
      <c r="U1662" s="65">
        <v>0</v>
      </c>
      <c r="V1662" s="65">
        <v>0</v>
      </c>
      <c r="W1662" s="65">
        <v>0</v>
      </c>
      <c r="X1662" s="65">
        <v>0</v>
      </c>
      <c r="Y1662" s="65">
        <v>0</v>
      </c>
      <c r="Z1662" s="65">
        <v>109740.98</v>
      </c>
      <c r="AA1662" s="51">
        <v>0</v>
      </c>
      <c r="AB1662" s="102">
        <v>0</v>
      </c>
      <c r="AC1662" s="81">
        <f t="shared" si="78"/>
        <v>0</v>
      </c>
      <c r="AD1662" s="82">
        <f t="shared" si="79"/>
        <v>0</v>
      </c>
      <c r="AE1662" s="218">
        <v>0</v>
      </c>
      <c r="AF1662">
        <v>0</v>
      </c>
      <c r="AH1662" t="str">
        <f t="shared" si="80"/>
        <v xml:space="preserve">Alauli </v>
      </c>
      <c r="AJ1662" s="72">
        <v>0</v>
      </c>
      <c r="AK1662" s="72"/>
      <c r="AL1662" s="72"/>
      <c r="AM1662" s="72"/>
    </row>
    <row r="1663" spans="1:39" x14ac:dyDescent="0.25">
      <c r="A1663" s="37" t="s">
        <v>62</v>
      </c>
      <c r="B1663" s="66" t="s">
        <v>1615</v>
      </c>
      <c r="C1663" s="47">
        <v>1054</v>
      </c>
      <c r="D1663" s="47" t="s">
        <v>828</v>
      </c>
      <c r="E1663" s="41">
        <v>10540012</v>
      </c>
      <c r="F1663" s="46" t="s">
        <v>843</v>
      </c>
      <c r="G1663" s="39" t="s">
        <v>635</v>
      </c>
      <c r="H1663" s="48" t="s">
        <v>99</v>
      </c>
      <c r="I1663" s="52">
        <v>285.7</v>
      </c>
      <c r="J1663" s="49">
        <v>9714.73</v>
      </c>
      <c r="K1663" s="65">
        <v>0</v>
      </c>
      <c r="L1663" s="65">
        <v>0</v>
      </c>
      <c r="M1663" s="65">
        <v>0</v>
      </c>
      <c r="N1663" s="65">
        <v>0</v>
      </c>
      <c r="O1663" s="65">
        <v>0</v>
      </c>
      <c r="P1663" s="65">
        <v>0</v>
      </c>
      <c r="Q1663" s="50">
        <v>9714.73</v>
      </c>
      <c r="R1663" s="65">
        <v>0</v>
      </c>
      <c r="S1663" s="65">
        <v>0</v>
      </c>
      <c r="T1663" s="65">
        <v>0</v>
      </c>
      <c r="U1663" s="65">
        <v>0</v>
      </c>
      <c r="V1663" s="65">
        <v>0</v>
      </c>
      <c r="W1663" s="65">
        <v>0</v>
      </c>
      <c r="X1663" s="65">
        <v>0</v>
      </c>
      <c r="Y1663" s="65">
        <v>0</v>
      </c>
      <c r="Z1663" s="65">
        <v>9714.73</v>
      </c>
      <c r="AA1663" s="51">
        <v>0</v>
      </c>
      <c r="AB1663" s="102">
        <v>0</v>
      </c>
      <c r="AC1663" s="81">
        <f t="shared" si="78"/>
        <v>281.75097227861392</v>
      </c>
      <c r="AD1663" s="82">
        <f t="shared" si="79"/>
        <v>40.81428571428571</v>
      </c>
      <c r="AE1663" s="218">
        <v>0</v>
      </c>
      <c r="AF1663">
        <v>0</v>
      </c>
      <c r="AH1663" t="str">
        <f t="shared" si="80"/>
        <v xml:space="preserve">Alauli </v>
      </c>
      <c r="AJ1663" s="72">
        <v>0</v>
      </c>
      <c r="AK1663" s="72"/>
      <c r="AL1663" s="72"/>
      <c r="AM1663" s="72"/>
    </row>
    <row r="1664" spans="1:39" x14ac:dyDescent="0.25">
      <c r="A1664" s="37" t="s">
        <v>62</v>
      </c>
      <c r="B1664" s="66" t="s">
        <v>1615</v>
      </c>
      <c r="C1664" s="47">
        <v>1054</v>
      </c>
      <c r="D1664" s="47" t="s">
        <v>828</v>
      </c>
      <c r="E1664" s="41">
        <v>10540014</v>
      </c>
      <c r="F1664" s="46" t="s">
        <v>1147</v>
      </c>
      <c r="G1664" s="39" t="s">
        <v>635</v>
      </c>
      <c r="H1664" s="48" t="s">
        <v>99</v>
      </c>
      <c r="I1664" s="52">
        <v>55.100000000000009</v>
      </c>
      <c r="J1664" s="49">
        <v>2216.14</v>
      </c>
      <c r="K1664" s="65">
        <v>0</v>
      </c>
      <c r="L1664" s="65">
        <v>0</v>
      </c>
      <c r="M1664" s="65">
        <v>0</v>
      </c>
      <c r="N1664" s="65">
        <v>0</v>
      </c>
      <c r="O1664" s="65">
        <v>0</v>
      </c>
      <c r="P1664" s="65">
        <v>0</v>
      </c>
      <c r="Q1664" s="50">
        <v>2216.14</v>
      </c>
      <c r="R1664" s="65">
        <v>0</v>
      </c>
      <c r="S1664" s="65">
        <v>0</v>
      </c>
      <c r="T1664" s="65">
        <v>0</v>
      </c>
      <c r="U1664" s="65">
        <v>0</v>
      </c>
      <c r="V1664" s="65">
        <v>0</v>
      </c>
      <c r="W1664" s="65">
        <v>0</v>
      </c>
      <c r="X1664" s="65">
        <v>0</v>
      </c>
      <c r="Y1664" s="65">
        <v>0</v>
      </c>
      <c r="Z1664" s="65">
        <v>2216.14</v>
      </c>
      <c r="AA1664" s="51">
        <v>0</v>
      </c>
      <c r="AB1664" s="102">
        <v>0</v>
      </c>
      <c r="AC1664" s="81">
        <f t="shared" si="78"/>
        <v>518.76177350272224</v>
      </c>
      <c r="AD1664" s="82">
        <f t="shared" si="79"/>
        <v>7.8714285714285728</v>
      </c>
      <c r="AE1664" s="218">
        <v>0</v>
      </c>
      <c r="AF1664">
        <v>0</v>
      </c>
      <c r="AH1664" t="str">
        <f t="shared" si="80"/>
        <v xml:space="preserve">Alauli </v>
      </c>
      <c r="AJ1664" s="72">
        <v>0</v>
      </c>
      <c r="AK1664" s="72"/>
      <c r="AL1664" s="72"/>
      <c r="AM1664" s="72"/>
    </row>
    <row r="1665" spans="1:39" x14ac:dyDescent="0.25">
      <c r="A1665" s="37" t="s">
        <v>62</v>
      </c>
      <c r="B1665" s="66" t="s">
        <v>1615</v>
      </c>
      <c r="C1665" s="47">
        <v>1054</v>
      </c>
      <c r="D1665" s="47" t="s">
        <v>828</v>
      </c>
      <c r="E1665" s="41">
        <v>10540015</v>
      </c>
      <c r="F1665" s="46" t="s">
        <v>1331</v>
      </c>
      <c r="G1665" s="39" t="s">
        <v>635</v>
      </c>
      <c r="H1665" s="48" t="s">
        <v>99</v>
      </c>
      <c r="I1665" s="52">
        <v>71</v>
      </c>
      <c r="J1665" s="49">
        <v>2737.05</v>
      </c>
      <c r="K1665" s="65">
        <v>0</v>
      </c>
      <c r="L1665" s="65">
        <v>0</v>
      </c>
      <c r="M1665" s="65">
        <v>0</v>
      </c>
      <c r="N1665" s="65">
        <v>0</v>
      </c>
      <c r="O1665" s="65">
        <v>0</v>
      </c>
      <c r="P1665" s="65">
        <v>0</v>
      </c>
      <c r="Q1665" s="50">
        <v>2737.05</v>
      </c>
      <c r="R1665" s="65">
        <v>0</v>
      </c>
      <c r="S1665" s="65">
        <v>0</v>
      </c>
      <c r="T1665" s="65">
        <v>0</v>
      </c>
      <c r="U1665" s="65">
        <v>0</v>
      </c>
      <c r="V1665" s="65">
        <v>873.31573548387109</v>
      </c>
      <c r="W1665" s="65">
        <v>0</v>
      </c>
      <c r="X1665" s="65">
        <v>0</v>
      </c>
      <c r="Y1665" s="65">
        <v>0</v>
      </c>
      <c r="Z1665" s="65">
        <v>1863.7342645161291</v>
      </c>
      <c r="AA1665" s="51">
        <v>0</v>
      </c>
      <c r="AB1665" s="102">
        <v>0</v>
      </c>
      <c r="AC1665" s="81">
        <f t="shared" si="78"/>
        <v>484.95900000000012</v>
      </c>
      <c r="AD1665" s="82">
        <f t="shared" si="79"/>
        <v>10.142857142857142</v>
      </c>
      <c r="AE1665" s="218">
        <v>0</v>
      </c>
      <c r="AF1665">
        <v>0</v>
      </c>
      <c r="AH1665" t="str">
        <f t="shared" si="80"/>
        <v xml:space="preserve">Alauli </v>
      </c>
      <c r="AJ1665" s="72">
        <v>0</v>
      </c>
      <c r="AK1665" s="72"/>
      <c r="AL1665" s="72"/>
      <c r="AM1665" s="72"/>
    </row>
    <row r="1666" spans="1:39" x14ac:dyDescent="0.25">
      <c r="A1666" s="37" t="s">
        <v>62</v>
      </c>
      <c r="B1666" s="66" t="s">
        <v>1615</v>
      </c>
      <c r="C1666" s="47">
        <v>1054</v>
      </c>
      <c r="D1666" s="47" t="s">
        <v>828</v>
      </c>
      <c r="E1666" s="41">
        <v>10540016</v>
      </c>
      <c r="F1666" s="46" t="s">
        <v>1161</v>
      </c>
      <c r="G1666" s="39" t="s">
        <v>93</v>
      </c>
      <c r="H1666" s="48" t="s">
        <v>94</v>
      </c>
      <c r="I1666" s="52">
        <v>322.89999999999998</v>
      </c>
      <c r="J1666" s="49">
        <v>16942.309999999998</v>
      </c>
      <c r="K1666" s="65">
        <v>329.63000000000005</v>
      </c>
      <c r="L1666" s="65">
        <v>16778.646396962697</v>
      </c>
      <c r="M1666" s="65">
        <v>0.8899999999999999</v>
      </c>
      <c r="N1666" s="65">
        <v>48.545026764397996</v>
      </c>
      <c r="O1666" s="65">
        <v>330.52000000000004</v>
      </c>
      <c r="P1666" s="65">
        <v>16827.191423727094</v>
      </c>
      <c r="Q1666" s="50">
        <v>16827.191423727094</v>
      </c>
      <c r="R1666" s="65">
        <v>0</v>
      </c>
      <c r="S1666" s="65">
        <v>48.545026764397996</v>
      </c>
      <c r="T1666" s="65">
        <v>0</v>
      </c>
      <c r="U1666" s="65">
        <v>0</v>
      </c>
      <c r="V1666" s="65">
        <v>0</v>
      </c>
      <c r="W1666" s="65">
        <v>0</v>
      </c>
      <c r="X1666" s="65">
        <v>16778</v>
      </c>
      <c r="Y1666" s="65">
        <v>0</v>
      </c>
      <c r="Z1666" s="65">
        <v>0</v>
      </c>
      <c r="AA1666" s="51">
        <v>116</v>
      </c>
      <c r="AB1666" s="102">
        <v>0</v>
      </c>
      <c r="AC1666" s="81">
        <f t="shared" si="78"/>
        <v>395.72283065964695</v>
      </c>
      <c r="AD1666" s="82">
        <f t="shared" si="79"/>
        <v>46.128571428571426</v>
      </c>
      <c r="AE1666" s="218">
        <v>6.7947391042250879E-3</v>
      </c>
      <c r="AF1666">
        <v>8</v>
      </c>
      <c r="AH1666" t="str">
        <f t="shared" si="80"/>
        <v xml:space="preserve">Alauli </v>
      </c>
      <c r="AJ1666" s="72">
        <v>0</v>
      </c>
      <c r="AK1666" s="72"/>
      <c r="AL1666" s="72"/>
      <c r="AM1666" s="72"/>
    </row>
    <row r="1667" spans="1:39" x14ac:dyDescent="0.25">
      <c r="A1667" s="37" t="s">
        <v>62</v>
      </c>
      <c r="B1667" s="66" t="s">
        <v>1615</v>
      </c>
      <c r="C1667" s="47">
        <v>1054</v>
      </c>
      <c r="D1667" s="47" t="s">
        <v>828</v>
      </c>
      <c r="E1667" s="41">
        <v>10540017</v>
      </c>
      <c r="F1667" s="46" t="s">
        <v>1162</v>
      </c>
      <c r="G1667" s="39" t="s">
        <v>93</v>
      </c>
      <c r="H1667" s="48" t="s">
        <v>94</v>
      </c>
      <c r="I1667" s="52">
        <v>785</v>
      </c>
      <c r="J1667" s="49">
        <v>29143.05</v>
      </c>
      <c r="K1667" s="65">
        <v>887.40999999999985</v>
      </c>
      <c r="L1667" s="65">
        <v>40310.035271346482</v>
      </c>
      <c r="M1667" s="65">
        <v>0</v>
      </c>
      <c r="N1667" s="65">
        <v>0</v>
      </c>
      <c r="O1667" s="65">
        <v>887.40999999999985</v>
      </c>
      <c r="P1667" s="65">
        <v>40310.035271346482</v>
      </c>
      <c r="Q1667" s="50">
        <v>29143.05</v>
      </c>
      <c r="R1667" s="65">
        <v>0</v>
      </c>
      <c r="S1667" s="65">
        <v>0</v>
      </c>
      <c r="T1667" s="65">
        <v>11166.985271346482</v>
      </c>
      <c r="U1667" s="65">
        <v>0</v>
      </c>
      <c r="V1667" s="65">
        <v>0</v>
      </c>
      <c r="W1667" s="65">
        <v>0</v>
      </c>
      <c r="X1667" s="65">
        <v>29143</v>
      </c>
      <c r="Y1667" s="65">
        <v>0</v>
      </c>
      <c r="Z1667" s="65">
        <v>0</v>
      </c>
      <c r="AA1667" s="51">
        <v>0</v>
      </c>
      <c r="AB1667" s="102">
        <v>0</v>
      </c>
      <c r="AC1667" s="81">
        <f t="shared" ref="AC1667:AC1730" si="81">((IF(AD1667=0,0,100-AD1667))*7*(J1667/I1667))*2%</f>
        <v>0</v>
      </c>
      <c r="AD1667" s="82">
        <f t="shared" ref="AD1667:AD1730" si="82">IF((I1667/7)&gt;100,0,(I1667/7))</f>
        <v>0</v>
      </c>
      <c r="AE1667" s="218">
        <v>-0.38317833141508806</v>
      </c>
      <c r="AF1667">
        <v>2</v>
      </c>
      <c r="AH1667" t="str">
        <f t="shared" si="80"/>
        <v xml:space="preserve">Alauli </v>
      </c>
      <c r="AJ1667" s="72">
        <v>0</v>
      </c>
      <c r="AK1667" s="72"/>
      <c r="AL1667" s="72"/>
      <c r="AM1667" s="72"/>
    </row>
    <row r="1668" spans="1:39" x14ac:dyDescent="0.25">
      <c r="A1668" s="37" t="s">
        <v>62</v>
      </c>
      <c r="B1668" s="66" t="s">
        <v>1615</v>
      </c>
      <c r="C1668" s="47">
        <v>1054</v>
      </c>
      <c r="D1668" s="47" t="s">
        <v>828</v>
      </c>
      <c r="E1668" s="41">
        <v>10540018</v>
      </c>
      <c r="F1668" s="46" t="s">
        <v>1163</v>
      </c>
      <c r="G1668" s="39" t="s">
        <v>93</v>
      </c>
      <c r="H1668" s="48" t="s">
        <v>94</v>
      </c>
      <c r="I1668" s="52">
        <v>185.49999999999997</v>
      </c>
      <c r="J1668" s="49">
        <v>8088.8799999999974</v>
      </c>
      <c r="K1668" s="65">
        <v>220.46</v>
      </c>
      <c r="L1668" s="65">
        <v>9486.2408229716857</v>
      </c>
      <c r="M1668" s="65">
        <v>0</v>
      </c>
      <c r="N1668" s="65">
        <v>0</v>
      </c>
      <c r="O1668" s="65">
        <v>220.46</v>
      </c>
      <c r="P1668" s="65">
        <v>9486.2408229716857</v>
      </c>
      <c r="Q1668" s="50">
        <v>8088.8799999999974</v>
      </c>
      <c r="R1668" s="65">
        <v>0</v>
      </c>
      <c r="S1668" s="65">
        <v>0</v>
      </c>
      <c r="T1668" s="65">
        <v>1397.3608229716883</v>
      </c>
      <c r="U1668" s="65">
        <v>0</v>
      </c>
      <c r="V1668" s="65">
        <v>0</v>
      </c>
      <c r="W1668" s="65">
        <v>0</v>
      </c>
      <c r="X1668" s="65">
        <v>8089</v>
      </c>
      <c r="Y1668" s="65">
        <v>0</v>
      </c>
      <c r="Z1668" s="65">
        <v>0</v>
      </c>
      <c r="AA1668" s="51">
        <v>0</v>
      </c>
      <c r="AB1668" s="102">
        <v>0</v>
      </c>
      <c r="AC1668" s="81">
        <f t="shared" si="81"/>
        <v>448.70390943396217</v>
      </c>
      <c r="AD1668" s="82">
        <f t="shared" si="82"/>
        <v>26.499999999999996</v>
      </c>
      <c r="AE1668" s="218">
        <v>-0.17275084102764396</v>
      </c>
      <c r="AF1668">
        <v>6</v>
      </c>
      <c r="AH1668" t="str">
        <f t="shared" si="80"/>
        <v xml:space="preserve">Alauli </v>
      </c>
      <c r="AJ1668" s="72">
        <v>0</v>
      </c>
      <c r="AK1668" s="72"/>
      <c r="AL1668" s="72"/>
      <c r="AM1668" s="72"/>
    </row>
    <row r="1669" spans="1:39" x14ac:dyDescent="0.25">
      <c r="A1669" s="37" t="s">
        <v>62</v>
      </c>
      <c r="B1669" s="66" t="s">
        <v>1615</v>
      </c>
      <c r="C1669" s="47">
        <v>1054</v>
      </c>
      <c r="D1669" s="47" t="s">
        <v>828</v>
      </c>
      <c r="E1669" s="41">
        <v>10540019</v>
      </c>
      <c r="F1669" s="46" t="s">
        <v>1193</v>
      </c>
      <c r="G1669" s="39" t="s">
        <v>93</v>
      </c>
      <c r="H1669" s="48" t="s">
        <v>94</v>
      </c>
      <c r="I1669" s="52">
        <v>178.20000000000002</v>
      </c>
      <c r="J1669" s="49">
        <v>6756.4799999999987</v>
      </c>
      <c r="K1669" s="65">
        <v>177.53000000000003</v>
      </c>
      <c r="L1669" s="65">
        <v>6597.0647404200017</v>
      </c>
      <c r="M1669" s="65">
        <v>0</v>
      </c>
      <c r="N1669" s="65">
        <v>0</v>
      </c>
      <c r="O1669" s="65">
        <v>177.53000000000003</v>
      </c>
      <c r="P1669" s="65">
        <v>6597.0647404200017</v>
      </c>
      <c r="Q1669" s="50">
        <v>6597.0647404200017</v>
      </c>
      <c r="R1669" s="65">
        <v>0</v>
      </c>
      <c r="S1669" s="65">
        <v>0</v>
      </c>
      <c r="T1669" s="65">
        <v>0</v>
      </c>
      <c r="U1669" s="65">
        <v>0</v>
      </c>
      <c r="V1669" s="65">
        <v>0</v>
      </c>
      <c r="W1669" s="65">
        <v>0</v>
      </c>
      <c r="X1669" s="65">
        <v>6597</v>
      </c>
      <c r="Y1669" s="65">
        <v>0</v>
      </c>
      <c r="Z1669" s="65">
        <v>0</v>
      </c>
      <c r="AA1669" s="51">
        <v>159</v>
      </c>
      <c r="AB1669" s="102">
        <v>0</v>
      </c>
      <c r="AC1669" s="81">
        <f t="shared" si="81"/>
        <v>395.68252121212106</v>
      </c>
      <c r="AD1669" s="82">
        <f t="shared" si="82"/>
        <v>25.457142857142859</v>
      </c>
      <c r="AE1669" s="218">
        <v>2.3594424845481222E-2</v>
      </c>
      <c r="AF1669">
        <v>1</v>
      </c>
      <c r="AH1669" t="str">
        <f t="shared" si="80"/>
        <v xml:space="preserve">Alauli </v>
      </c>
      <c r="AJ1669" s="72">
        <v>0</v>
      </c>
      <c r="AK1669" s="72"/>
      <c r="AL1669" s="72"/>
      <c r="AM1669" s="72"/>
    </row>
    <row r="1670" spans="1:39" x14ac:dyDescent="0.25">
      <c r="A1670" s="37" t="s">
        <v>62</v>
      </c>
      <c r="B1670" s="66" t="s">
        <v>1615</v>
      </c>
      <c r="C1670" s="47">
        <v>1054</v>
      </c>
      <c r="D1670" s="47" t="s">
        <v>828</v>
      </c>
      <c r="E1670" s="41">
        <v>10540020</v>
      </c>
      <c r="F1670" s="46" t="s">
        <v>1164</v>
      </c>
      <c r="G1670" s="39" t="s">
        <v>93</v>
      </c>
      <c r="H1670" s="48" t="s">
        <v>94</v>
      </c>
      <c r="I1670" s="52">
        <v>124.10000000000001</v>
      </c>
      <c r="J1670" s="49">
        <v>4410.2400000000007</v>
      </c>
      <c r="K1670" s="65">
        <v>126.38000000000001</v>
      </c>
      <c r="L1670" s="65">
        <v>4460.5991868325164</v>
      </c>
      <c r="M1670" s="65">
        <v>0</v>
      </c>
      <c r="N1670" s="65">
        <v>0</v>
      </c>
      <c r="O1670" s="65">
        <v>126.38000000000001</v>
      </c>
      <c r="P1670" s="65">
        <v>4460.5991868325164</v>
      </c>
      <c r="Q1670" s="50">
        <v>4410.2400000000007</v>
      </c>
      <c r="R1670" s="65">
        <v>0</v>
      </c>
      <c r="S1670" s="65">
        <v>0</v>
      </c>
      <c r="T1670" s="65">
        <v>50.359186832515661</v>
      </c>
      <c r="U1670" s="65">
        <v>0</v>
      </c>
      <c r="V1670" s="65">
        <v>2.0699999999999998</v>
      </c>
      <c r="W1670" s="65">
        <v>0</v>
      </c>
      <c r="X1670" s="65">
        <v>4407</v>
      </c>
      <c r="Y1670" s="65">
        <v>0</v>
      </c>
      <c r="Z1670" s="65">
        <v>0</v>
      </c>
      <c r="AA1670" s="51">
        <v>1</v>
      </c>
      <c r="AB1670" s="102" t="s">
        <v>68</v>
      </c>
      <c r="AC1670" s="81">
        <f t="shared" si="81"/>
        <v>409.32428944399675</v>
      </c>
      <c r="AD1670" s="82">
        <f t="shared" si="82"/>
        <v>17.728571428571431</v>
      </c>
      <c r="AE1670" s="218">
        <v>-1.1418695316471588E-2</v>
      </c>
      <c r="AF1670">
        <v>7</v>
      </c>
      <c r="AH1670" t="str">
        <f t="shared" si="80"/>
        <v xml:space="preserve">Alauli </v>
      </c>
      <c r="AJ1670" s="72">
        <v>0</v>
      </c>
      <c r="AK1670" s="72"/>
      <c r="AL1670" s="72"/>
      <c r="AM1670" s="72"/>
    </row>
    <row r="1671" spans="1:39" x14ac:dyDescent="0.25">
      <c r="A1671" s="37" t="s">
        <v>62</v>
      </c>
      <c r="B1671" s="66" t="s">
        <v>1615</v>
      </c>
      <c r="C1671" s="47">
        <v>1054</v>
      </c>
      <c r="D1671" s="47" t="s">
        <v>828</v>
      </c>
      <c r="E1671" s="41">
        <v>10540021</v>
      </c>
      <c r="F1671" s="46" t="s">
        <v>1165</v>
      </c>
      <c r="G1671" s="39" t="s">
        <v>93</v>
      </c>
      <c r="H1671" s="48" t="s">
        <v>99</v>
      </c>
      <c r="I1671" s="52">
        <v>482.19999999999993</v>
      </c>
      <c r="J1671" s="49">
        <v>17917.27</v>
      </c>
      <c r="K1671" s="65">
        <v>0</v>
      </c>
      <c r="L1671" s="65">
        <v>0</v>
      </c>
      <c r="M1671" s="65">
        <v>0</v>
      </c>
      <c r="N1671" s="65">
        <v>0</v>
      </c>
      <c r="O1671" s="65">
        <v>0</v>
      </c>
      <c r="P1671" s="65">
        <v>0</v>
      </c>
      <c r="Q1671" s="50">
        <v>17917.27</v>
      </c>
      <c r="R1671" s="65">
        <v>0</v>
      </c>
      <c r="S1671" s="65">
        <v>0</v>
      </c>
      <c r="T1671" s="65">
        <v>0</v>
      </c>
      <c r="U1671" s="65">
        <v>0</v>
      </c>
      <c r="V1671" s="65">
        <v>204.27990000000051</v>
      </c>
      <c r="W1671" s="65">
        <v>0</v>
      </c>
      <c r="X1671" s="65">
        <v>0</v>
      </c>
      <c r="Y1671" s="65">
        <v>0</v>
      </c>
      <c r="Z1671" s="65">
        <v>17712.990099999999</v>
      </c>
      <c r="AA1671" s="51">
        <v>0</v>
      </c>
      <c r="AB1671" s="102">
        <v>0</v>
      </c>
      <c r="AC1671" s="81">
        <f t="shared" si="81"/>
        <v>161.85737892990471</v>
      </c>
      <c r="AD1671" s="82">
        <f t="shared" si="82"/>
        <v>68.885714285714272</v>
      </c>
      <c r="AE1671" s="218">
        <v>0</v>
      </c>
      <c r="AF1671">
        <v>0</v>
      </c>
      <c r="AH1671" t="str">
        <f t="shared" si="80"/>
        <v xml:space="preserve">Alauli </v>
      </c>
      <c r="AJ1671" s="72">
        <v>0</v>
      </c>
      <c r="AK1671" s="72"/>
      <c r="AL1671" s="72"/>
      <c r="AM1671" s="72"/>
    </row>
    <row r="1672" spans="1:39" x14ac:dyDescent="0.25">
      <c r="A1672" s="37" t="s">
        <v>62</v>
      </c>
      <c r="B1672" s="66" t="s">
        <v>1615</v>
      </c>
      <c r="C1672" s="47">
        <v>1054</v>
      </c>
      <c r="D1672" s="47" t="s">
        <v>828</v>
      </c>
      <c r="E1672" s="41">
        <v>10540026</v>
      </c>
      <c r="F1672" s="46" t="s">
        <v>1276</v>
      </c>
      <c r="G1672" s="39" t="s">
        <v>93</v>
      </c>
      <c r="H1672" s="48" t="s">
        <v>94</v>
      </c>
      <c r="I1672" s="52">
        <v>568</v>
      </c>
      <c r="J1672" s="49">
        <v>23120.030000000002</v>
      </c>
      <c r="K1672" s="65">
        <v>266.89999999999998</v>
      </c>
      <c r="L1672" s="65">
        <v>11323.021672503002</v>
      </c>
      <c r="M1672" s="65">
        <v>425.76000000000005</v>
      </c>
      <c r="N1672" s="65">
        <v>18243.853628156601</v>
      </c>
      <c r="O1672" s="65">
        <v>692.66000000000008</v>
      </c>
      <c r="P1672" s="65">
        <v>29566.875300659602</v>
      </c>
      <c r="Q1672" s="50">
        <v>23120.030000000002</v>
      </c>
      <c r="R1672" s="65">
        <v>0</v>
      </c>
      <c r="S1672" s="65">
        <v>0</v>
      </c>
      <c r="T1672" s="65">
        <v>6446.8453006595992</v>
      </c>
      <c r="U1672" s="65">
        <v>0</v>
      </c>
      <c r="V1672" s="65">
        <v>0</v>
      </c>
      <c r="W1672" s="65">
        <v>0</v>
      </c>
      <c r="X1672" s="65">
        <v>4876</v>
      </c>
      <c r="Y1672" s="65">
        <v>18244</v>
      </c>
      <c r="Z1672" s="65">
        <v>0</v>
      </c>
      <c r="AA1672" s="51">
        <v>0</v>
      </c>
      <c r="AB1672" s="102">
        <v>0</v>
      </c>
      <c r="AC1672" s="81">
        <f t="shared" si="81"/>
        <v>107.45929436619721</v>
      </c>
      <c r="AD1672" s="82">
        <f t="shared" si="82"/>
        <v>81.142857142857139</v>
      </c>
      <c r="AE1672" s="218">
        <v>-0.27884242800115738</v>
      </c>
      <c r="AF1672">
        <v>7</v>
      </c>
      <c r="AH1672" t="str">
        <f t="shared" si="80"/>
        <v xml:space="preserve">Alauli </v>
      </c>
      <c r="AJ1672" s="72">
        <v>0</v>
      </c>
      <c r="AK1672" s="72"/>
      <c r="AL1672" s="72"/>
      <c r="AM1672" s="72"/>
    </row>
    <row r="1673" spans="1:39" x14ac:dyDescent="0.25">
      <c r="A1673" s="37" t="s">
        <v>62</v>
      </c>
      <c r="B1673" s="66" t="s">
        <v>1615</v>
      </c>
      <c r="C1673" s="47">
        <v>1054</v>
      </c>
      <c r="D1673" s="47" t="s">
        <v>828</v>
      </c>
      <c r="E1673" s="41">
        <v>10540027</v>
      </c>
      <c r="F1673" s="46" t="s">
        <v>1291</v>
      </c>
      <c r="G1673" s="39" t="s">
        <v>635</v>
      </c>
      <c r="H1673" s="48" t="s">
        <v>99</v>
      </c>
      <c r="I1673" s="52">
        <v>343.20000000000005</v>
      </c>
      <c r="J1673" s="49">
        <v>13037.62</v>
      </c>
      <c r="K1673" s="65">
        <v>0</v>
      </c>
      <c r="L1673" s="65">
        <v>0</v>
      </c>
      <c r="M1673" s="65">
        <v>0</v>
      </c>
      <c r="N1673" s="65">
        <v>0</v>
      </c>
      <c r="O1673" s="65">
        <v>0</v>
      </c>
      <c r="P1673" s="65">
        <v>0</v>
      </c>
      <c r="Q1673" s="50">
        <v>13037.62</v>
      </c>
      <c r="R1673" s="65">
        <v>0</v>
      </c>
      <c r="S1673" s="65">
        <v>0</v>
      </c>
      <c r="T1673" s="65">
        <v>0</v>
      </c>
      <c r="U1673" s="65">
        <v>0</v>
      </c>
      <c r="V1673" s="65">
        <v>0</v>
      </c>
      <c r="W1673" s="65">
        <v>0</v>
      </c>
      <c r="X1673" s="65">
        <v>0</v>
      </c>
      <c r="Y1673" s="65">
        <v>0</v>
      </c>
      <c r="Z1673" s="65">
        <v>13037.62</v>
      </c>
      <c r="AA1673" s="51">
        <v>0</v>
      </c>
      <c r="AB1673" s="102">
        <v>0</v>
      </c>
      <c r="AC1673" s="81">
        <f t="shared" si="81"/>
        <v>271.08524568764568</v>
      </c>
      <c r="AD1673" s="82">
        <f t="shared" si="82"/>
        <v>49.028571428571432</v>
      </c>
      <c r="AE1673" s="218">
        <v>0</v>
      </c>
      <c r="AF1673">
        <v>0</v>
      </c>
      <c r="AH1673" t="str">
        <f t="shared" si="80"/>
        <v xml:space="preserve">Alauli </v>
      </c>
      <c r="AJ1673" s="72">
        <v>0</v>
      </c>
      <c r="AK1673" s="72"/>
      <c r="AL1673" s="72"/>
      <c r="AM1673" s="72"/>
    </row>
    <row r="1674" spans="1:39" x14ac:dyDescent="0.25">
      <c r="A1674" s="37" t="s">
        <v>62</v>
      </c>
      <c r="B1674" s="66" t="s">
        <v>1615</v>
      </c>
      <c r="C1674" s="47">
        <v>1054</v>
      </c>
      <c r="D1674" s="47" t="s">
        <v>828</v>
      </c>
      <c r="E1674" s="41">
        <v>10540032</v>
      </c>
      <c r="F1674" s="46" t="s">
        <v>1226</v>
      </c>
      <c r="G1674" s="39" t="s">
        <v>93</v>
      </c>
      <c r="H1674" s="48" t="s">
        <v>94</v>
      </c>
      <c r="I1674" s="52">
        <v>201.5</v>
      </c>
      <c r="J1674" s="49">
        <v>7558.97</v>
      </c>
      <c r="K1674" s="65">
        <v>265</v>
      </c>
      <c r="L1674" s="65">
        <v>10984.017330000002</v>
      </c>
      <c r="M1674" s="65">
        <v>0</v>
      </c>
      <c r="N1674" s="65">
        <v>0</v>
      </c>
      <c r="O1674" s="65">
        <v>265</v>
      </c>
      <c r="P1674" s="65">
        <v>10984.017330000002</v>
      </c>
      <c r="Q1674" s="50">
        <v>7558.97</v>
      </c>
      <c r="R1674" s="65">
        <v>0</v>
      </c>
      <c r="S1674" s="65">
        <v>0</v>
      </c>
      <c r="T1674" s="65">
        <v>3425.0473300000021</v>
      </c>
      <c r="U1674" s="65">
        <v>0</v>
      </c>
      <c r="V1674" s="65">
        <v>0</v>
      </c>
      <c r="W1674" s="65">
        <v>0</v>
      </c>
      <c r="X1674" s="65">
        <v>7559</v>
      </c>
      <c r="Y1674" s="65">
        <v>0</v>
      </c>
      <c r="Z1674" s="65">
        <v>0</v>
      </c>
      <c r="AA1674" s="51">
        <v>0</v>
      </c>
      <c r="AB1674" s="102">
        <v>0</v>
      </c>
      <c r="AC1674" s="81">
        <f t="shared" si="81"/>
        <v>374.00958263027303</v>
      </c>
      <c r="AD1674" s="82">
        <f t="shared" si="82"/>
        <v>28.785714285714285</v>
      </c>
      <c r="AE1674" s="218">
        <v>-0.45311032190893757</v>
      </c>
      <c r="AF1674">
        <v>1</v>
      </c>
      <c r="AH1674" t="str">
        <f t="shared" si="80"/>
        <v xml:space="preserve">Alauli </v>
      </c>
      <c r="AJ1674" s="72">
        <v>0</v>
      </c>
      <c r="AK1674" s="72"/>
      <c r="AL1674" s="72"/>
      <c r="AM1674" s="72"/>
    </row>
    <row r="1675" spans="1:39" x14ac:dyDescent="0.25">
      <c r="A1675" s="37" t="s">
        <v>62</v>
      </c>
      <c r="B1675" s="66" t="s">
        <v>1615</v>
      </c>
      <c r="C1675" s="47">
        <v>1054</v>
      </c>
      <c r="D1675" s="47" t="s">
        <v>828</v>
      </c>
      <c r="E1675" s="41">
        <v>10540034</v>
      </c>
      <c r="F1675" s="46" t="s">
        <v>1277</v>
      </c>
      <c r="G1675" s="39" t="s">
        <v>93</v>
      </c>
      <c r="H1675" s="48" t="s">
        <v>94</v>
      </c>
      <c r="I1675" s="52">
        <v>319.7</v>
      </c>
      <c r="J1675" s="49">
        <v>12189.36</v>
      </c>
      <c r="K1675" s="65">
        <v>700</v>
      </c>
      <c r="L1675" s="65">
        <v>30908.590020000003</v>
      </c>
      <c r="M1675" s="65">
        <v>0</v>
      </c>
      <c r="N1675" s="65">
        <v>0</v>
      </c>
      <c r="O1675" s="65">
        <v>700</v>
      </c>
      <c r="P1675" s="65">
        <v>30908.590020000003</v>
      </c>
      <c r="Q1675" s="50">
        <v>12189.36</v>
      </c>
      <c r="R1675" s="65">
        <v>0</v>
      </c>
      <c r="S1675" s="65">
        <v>0</v>
      </c>
      <c r="T1675" s="65">
        <v>18719.230020000003</v>
      </c>
      <c r="U1675" s="65">
        <v>0</v>
      </c>
      <c r="V1675" s="65">
        <v>0</v>
      </c>
      <c r="W1675" s="65">
        <v>0</v>
      </c>
      <c r="X1675" s="65">
        <v>12189</v>
      </c>
      <c r="Y1675" s="65">
        <v>0</v>
      </c>
      <c r="Z1675" s="65">
        <v>0</v>
      </c>
      <c r="AA1675" s="51">
        <v>0</v>
      </c>
      <c r="AB1675" s="102">
        <v>0</v>
      </c>
      <c r="AC1675" s="81">
        <f t="shared" si="81"/>
        <v>289.99772336565536</v>
      </c>
      <c r="AD1675" s="82">
        <f t="shared" si="82"/>
        <v>45.671428571428571</v>
      </c>
      <c r="AE1675" s="218">
        <v>-1.5357024503337338</v>
      </c>
      <c r="AF1675">
        <v>1</v>
      </c>
      <c r="AH1675" t="str">
        <f t="shared" si="80"/>
        <v xml:space="preserve">Alauli </v>
      </c>
      <c r="AJ1675" s="72">
        <v>0</v>
      </c>
      <c r="AK1675" s="72"/>
      <c r="AL1675" s="72"/>
      <c r="AM1675" s="72"/>
    </row>
    <row r="1676" spans="1:39" x14ac:dyDescent="0.25">
      <c r="A1676" s="37" t="s">
        <v>62</v>
      </c>
      <c r="B1676" s="66" t="s">
        <v>1615</v>
      </c>
      <c r="C1676" s="47">
        <v>1054</v>
      </c>
      <c r="D1676" s="47" t="s">
        <v>828</v>
      </c>
      <c r="E1676" s="41">
        <v>10540039</v>
      </c>
      <c r="F1676" s="46" t="s">
        <v>1295</v>
      </c>
      <c r="G1676" s="39" t="s">
        <v>635</v>
      </c>
      <c r="H1676" s="48" t="s">
        <v>99</v>
      </c>
      <c r="I1676" s="52">
        <v>565.70000000000005</v>
      </c>
      <c r="J1676" s="49">
        <v>18449.849999999999</v>
      </c>
      <c r="K1676" s="65">
        <v>0</v>
      </c>
      <c r="L1676" s="65">
        <v>0</v>
      </c>
      <c r="M1676" s="65">
        <v>0</v>
      </c>
      <c r="N1676" s="65">
        <v>0</v>
      </c>
      <c r="O1676" s="65">
        <v>0</v>
      </c>
      <c r="P1676" s="65">
        <v>0</v>
      </c>
      <c r="Q1676" s="50">
        <v>18449.849999999999</v>
      </c>
      <c r="R1676" s="65">
        <v>0</v>
      </c>
      <c r="S1676" s="65">
        <v>0</v>
      </c>
      <c r="T1676" s="65">
        <v>0</v>
      </c>
      <c r="U1676" s="65">
        <v>0</v>
      </c>
      <c r="V1676" s="65">
        <v>0</v>
      </c>
      <c r="W1676" s="65">
        <v>0</v>
      </c>
      <c r="X1676" s="65">
        <v>0</v>
      </c>
      <c r="Y1676" s="65">
        <v>0</v>
      </c>
      <c r="Z1676" s="65">
        <v>18449.849999999999</v>
      </c>
      <c r="AA1676" s="51">
        <v>0</v>
      </c>
      <c r="AB1676" s="102">
        <v>0</v>
      </c>
      <c r="AC1676" s="81">
        <f t="shared" si="81"/>
        <v>87.601727240586868</v>
      </c>
      <c r="AD1676" s="82">
        <f t="shared" si="82"/>
        <v>80.814285714285717</v>
      </c>
      <c r="AE1676" s="218">
        <v>0</v>
      </c>
      <c r="AF1676">
        <v>0</v>
      </c>
      <c r="AH1676" t="str">
        <f t="shared" si="80"/>
        <v xml:space="preserve">Alauli </v>
      </c>
      <c r="AJ1676" s="72">
        <v>0</v>
      </c>
      <c r="AK1676" s="72"/>
      <c r="AL1676" s="72"/>
      <c r="AM1676" s="72"/>
    </row>
    <row r="1677" spans="1:39" x14ac:dyDescent="0.25">
      <c r="A1677" s="37" t="s">
        <v>62</v>
      </c>
      <c r="B1677" s="66" t="s">
        <v>1615</v>
      </c>
      <c r="C1677" s="47">
        <v>1054</v>
      </c>
      <c r="D1677" s="47" t="s">
        <v>828</v>
      </c>
      <c r="E1677" s="41">
        <v>10540040</v>
      </c>
      <c r="F1677" s="46" t="s">
        <v>1296</v>
      </c>
      <c r="G1677" s="39" t="s">
        <v>635</v>
      </c>
      <c r="H1677" s="48" t="s">
        <v>99</v>
      </c>
      <c r="I1677" s="52">
        <v>426.59999999999997</v>
      </c>
      <c r="J1677" s="49">
        <v>14973.080000000002</v>
      </c>
      <c r="K1677" s="65">
        <v>0</v>
      </c>
      <c r="L1677" s="65">
        <v>0</v>
      </c>
      <c r="M1677" s="65">
        <v>0</v>
      </c>
      <c r="N1677" s="65">
        <v>0</v>
      </c>
      <c r="O1677" s="65">
        <v>0</v>
      </c>
      <c r="P1677" s="65">
        <v>0</v>
      </c>
      <c r="Q1677" s="50">
        <v>14973.080000000002</v>
      </c>
      <c r="R1677" s="65">
        <v>0</v>
      </c>
      <c r="S1677" s="65">
        <v>0</v>
      </c>
      <c r="T1677" s="65">
        <v>0</v>
      </c>
      <c r="U1677" s="65">
        <v>0</v>
      </c>
      <c r="V1677" s="65">
        <v>206.93032258064522</v>
      </c>
      <c r="W1677" s="65">
        <v>0</v>
      </c>
      <c r="X1677" s="65">
        <v>0</v>
      </c>
      <c r="Y1677" s="65">
        <v>0</v>
      </c>
      <c r="Z1677" s="65">
        <v>14766.149677419357</v>
      </c>
      <c r="AA1677" s="51">
        <v>0</v>
      </c>
      <c r="AB1677" s="102">
        <v>0</v>
      </c>
      <c r="AC1677" s="81">
        <f t="shared" si="81"/>
        <v>191.91936577590255</v>
      </c>
      <c r="AD1677" s="82">
        <f t="shared" si="82"/>
        <v>60.942857142857136</v>
      </c>
      <c r="AE1677" s="218">
        <v>0</v>
      </c>
      <c r="AF1677">
        <v>0</v>
      </c>
      <c r="AH1677" t="str">
        <f t="shared" si="80"/>
        <v xml:space="preserve">Alauli </v>
      </c>
      <c r="AJ1677" s="72">
        <v>0</v>
      </c>
      <c r="AK1677" s="72"/>
      <c r="AL1677" s="72"/>
      <c r="AM1677" s="72"/>
    </row>
    <row r="1678" spans="1:39" x14ac:dyDescent="0.25">
      <c r="A1678" s="37" t="s">
        <v>62</v>
      </c>
      <c r="B1678" s="66" t="s">
        <v>1615</v>
      </c>
      <c r="C1678" s="47">
        <v>1054</v>
      </c>
      <c r="D1678" s="47" t="s">
        <v>828</v>
      </c>
      <c r="E1678" s="41">
        <v>10540041</v>
      </c>
      <c r="F1678" s="46" t="s">
        <v>1332</v>
      </c>
      <c r="G1678" s="39" t="s">
        <v>93</v>
      </c>
      <c r="H1678" s="48" t="s">
        <v>99</v>
      </c>
      <c r="I1678" s="52">
        <v>120.19999999999999</v>
      </c>
      <c r="J1678" s="49">
        <v>4229.95</v>
      </c>
      <c r="K1678" s="65">
        <v>0</v>
      </c>
      <c r="L1678" s="65">
        <v>0</v>
      </c>
      <c r="M1678" s="65">
        <v>0</v>
      </c>
      <c r="N1678" s="65">
        <v>0</v>
      </c>
      <c r="O1678" s="65">
        <v>0</v>
      </c>
      <c r="P1678" s="65">
        <v>0</v>
      </c>
      <c r="Q1678" s="50">
        <v>4229.95</v>
      </c>
      <c r="R1678" s="65">
        <v>0</v>
      </c>
      <c r="S1678" s="65">
        <v>0</v>
      </c>
      <c r="T1678" s="65">
        <v>0</v>
      </c>
      <c r="U1678" s="65">
        <v>0</v>
      </c>
      <c r="V1678" s="65">
        <v>125.25769411764705</v>
      </c>
      <c r="W1678" s="65">
        <v>0</v>
      </c>
      <c r="X1678" s="65">
        <v>0</v>
      </c>
      <c r="Y1678" s="65">
        <v>0</v>
      </c>
      <c r="Z1678" s="65">
        <v>4104.6923058823531</v>
      </c>
      <c r="AA1678" s="51">
        <v>0</v>
      </c>
      <c r="AB1678" s="102">
        <v>0</v>
      </c>
      <c r="AC1678" s="81">
        <f t="shared" si="81"/>
        <v>408.07404492512478</v>
      </c>
      <c r="AD1678" s="82">
        <f t="shared" si="82"/>
        <v>17.171428571428571</v>
      </c>
      <c r="AE1678" s="218">
        <v>0</v>
      </c>
      <c r="AF1678">
        <v>0</v>
      </c>
      <c r="AH1678" t="str">
        <f t="shared" si="80"/>
        <v xml:space="preserve">Alauli </v>
      </c>
      <c r="AJ1678" s="72">
        <v>0</v>
      </c>
      <c r="AK1678" s="72"/>
      <c r="AL1678" s="72"/>
      <c r="AM1678" s="72"/>
    </row>
    <row r="1679" spans="1:39" x14ac:dyDescent="0.25">
      <c r="A1679" s="37" t="s">
        <v>62</v>
      </c>
      <c r="B1679" s="66" t="s">
        <v>1615</v>
      </c>
      <c r="C1679" s="47">
        <v>1054</v>
      </c>
      <c r="D1679" s="47" t="s">
        <v>828</v>
      </c>
      <c r="E1679" s="41">
        <v>10540042</v>
      </c>
      <c r="F1679" s="46" t="s">
        <v>1363</v>
      </c>
      <c r="G1679" s="39" t="s">
        <v>93</v>
      </c>
      <c r="H1679" s="48" t="s">
        <v>94</v>
      </c>
      <c r="I1679" s="52">
        <v>1373.2000000000003</v>
      </c>
      <c r="J1679" s="49">
        <v>69517.67</v>
      </c>
      <c r="K1679" s="65">
        <v>700</v>
      </c>
      <c r="L1679" s="65">
        <v>44600.728249</v>
      </c>
      <c r="M1679" s="65">
        <v>0</v>
      </c>
      <c r="N1679" s="65">
        <v>0</v>
      </c>
      <c r="O1679" s="65">
        <v>700</v>
      </c>
      <c r="P1679" s="65">
        <v>44600.728249</v>
      </c>
      <c r="Q1679" s="50">
        <v>44600.728249</v>
      </c>
      <c r="R1679" s="65">
        <v>0</v>
      </c>
      <c r="S1679" s="65">
        <v>0</v>
      </c>
      <c r="T1679" s="65">
        <v>0</v>
      </c>
      <c r="U1679" s="65">
        <v>0</v>
      </c>
      <c r="V1679" s="65">
        <v>0</v>
      </c>
      <c r="W1679" s="65">
        <v>0</v>
      </c>
      <c r="X1679" s="65">
        <v>44601</v>
      </c>
      <c r="Y1679" s="65">
        <v>0</v>
      </c>
      <c r="Z1679" s="65">
        <v>24917</v>
      </c>
      <c r="AA1679" s="51">
        <v>0</v>
      </c>
      <c r="AB1679" s="102">
        <v>0</v>
      </c>
      <c r="AC1679" s="81">
        <f t="shared" si="81"/>
        <v>0</v>
      </c>
      <c r="AD1679" s="82">
        <f t="shared" si="82"/>
        <v>0</v>
      </c>
      <c r="AE1679" s="218">
        <v>0.35842601961486914</v>
      </c>
      <c r="AF1679">
        <v>1</v>
      </c>
      <c r="AH1679" t="str">
        <f t="shared" si="80"/>
        <v xml:space="preserve">Alauli </v>
      </c>
      <c r="AJ1679" s="72">
        <v>0</v>
      </c>
      <c r="AK1679" s="72"/>
      <c r="AL1679" s="72"/>
      <c r="AM1679" s="72"/>
    </row>
    <row r="1680" spans="1:39" x14ac:dyDescent="0.25">
      <c r="A1680" s="37" t="s">
        <v>62</v>
      </c>
      <c r="B1680" s="66" t="s">
        <v>1615</v>
      </c>
      <c r="C1680" s="47">
        <v>1054</v>
      </c>
      <c r="D1680" s="47" t="s">
        <v>828</v>
      </c>
      <c r="E1680" s="41">
        <v>10540044</v>
      </c>
      <c r="F1680" s="46" t="s">
        <v>1370</v>
      </c>
      <c r="G1680" s="39" t="s">
        <v>93</v>
      </c>
      <c r="H1680" s="48" t="s">
        <v>94</v>
      </c>
      <c r="I1680" s="52">
        <v>421</v>
      </c>
      <c r="J1680" s="49">
        <v>15503.430000000002</v>
      </c>
      <c r="K1680" s="65">
        <v>466</v>
      </c>
      <c r="L1680" s="65">
        <v>19315.290852000002</v>
      </c>
      <c r="M1680" s="65">
        <v>0</v>
      </c>
      <c r="N1680" s="65">
        <v>0</v>
      </c>
      <c r="O1680" s="65">
        <v>466</v>
      </c>
      <c r="P1680" s="65">
        <v>19315.290852000002</v>
      </c>
      <c r="Q1680" s="50">
        <v>15503.430000000002</v>
      </c>
      <c r="R1680" s="65">
        <v>0</v>
      </c>
      <c r="S1680" s="65">
        <v>0</v>
      </c>
      <c r="T1680" s="65">
        <v>3811.8608519999998</v>
      </c>
      <c r="U1680" s="65">
        <v>0</v>
      </c>
      <c r="V1680" s="65">
        <v>0</v>
      </c>
      <c r="W1680" s="65">
        <v>0</v>
      </c>
      <c r="X1680" s="65">
        <v>15503</v>
      </c>
      <c r="Y1680" s="65">
        <v>0</v>
      </c>
      <c r="Z1680" s="65">
        <v>0</v>
      </c>
      <c r="AA1680" s="51">
        <v>0</v>
      </c>
      <c r="AB1680" s="102">
        <v>0</v>
      </c>
      <c r="AC1680" s="81">
        <f t="shared" si="81"/>
        <v>205.48489168646083</v>
      </c>
      <c r="AD1680" s="82">
        <f t="shared" si="82"/>
        <v>60.142857142857146</v>
      </c>
      <c r="AE1680" s="218">
        <v>-0.24587209746488353</v>
      </c>
      <c r="AF1680">
        <v>1</v>
      </c>
      <c r="AH1680" t="str">
        <f t="shared" si="80"/>
        <v xml:space="preserve">Alauli </v>
      </c>
      <c r="AJ1680" s="72">
        <v>0</v>
      </c>
      <c r="AK1680" s="72"/>
      <c r="AL1680" s="72"/>
      <c r="AM1680" s="72"/>
    </row>
    <row r="1681" spans="1:39" x14ac:dyDescent="0.25">
      <c r="A1681" s="37" t="s">
        <v>62</v>
      </c>
      <c r="B1681" s="66" t="s">
        <v>1615</v>
      </c>
      <c r="C1681" s="47">
        <v>1054</v>
      </c>
      <c r="D1681" s="47" t="s">
        <v>828</v>
      </c>
      <c r="E1681" s="41">
        <v>10540045</v>
      </c>
      <c r="F1681" s="46" t="s">
        <v>1393</v>
      </c>
      <c r="G1681" s="39" t="s">
        <v>635</v>
      </c>
      <c r="H1681" s="48" t="s">
        <v>99</v>
      </c>
      <c r="I1681" s="52">
        <v>387.4</v>
      </c>
      <c r="J1681" s="49">
        <v>16216.72</v>
      </c>
      <c r="K1681" s="65">
        <v>0</v>
      </c>
      <c r="L1681" s="65">
        <v>0</v>
      </c>
      <c r="M1681" s="65">
        <v>0</v>
      </c>
      <c r="N1681" s="65">
        <v>0</v>
      </c>
      <c r="O1681" s="65">
        <v>0</v>
      </c>
      <c r="P1681" s="65">
        <v>0</v>
      </c>
      <c r="Q1681" s="50">
        <v>16216.72</v>
      </c>
      <c r="R1681" s="65">
        <v>0</v>
      </c>
      <c r="S1681" s="65">
        <v>0</v>
      </c>
      <c r="T1681" s="65">
        <v>0</v>
      </c>
      <c r="U1681" s="65">
        <v>0</v>
      </c>
      <c r="V1681" s="65">
        <v>0</v>
      </c>
      <c r="W1681" s="65">
        <v>0</v>
      </c>
      <c r="X1681" s="65">
        <v>0</v>
      </c>
      <c r="Y1681" s="65">
        <v>0</v>
      </c>
      <c r="Z1681" s="65">
        <v>16216.72</v>
      </c>
      <c r="AA1681" s="51">
        <v>0</v>
      </c>
      <c r="AB1681" s="102">
        <v>0</v>
      </c>
      <c r="AC1681" s="81">
        <f t="shared" si="81"/>
        <v>261.71123758389268</v>
      </c>
      <c r="AD1681" s="82">
        <f t="shared" si="82"/>
        <v>55.342857142857142</v>
      </c>
      <c r="AE1681" s="218">
        <v>0</v>
      </c>
      <c r="AF1681">
        <v>0</v>
      </c>
      <c r="AH1681" t="str">
        <f t="shared" si="80"/>
        <v xml:space="preserve">Alauli </v>
      </c>
      <c r="AJ1681" s="72">
        <v>0</v>
      </c>
      <c r="AK1681" s="72"/>
      <c r="AL1681" s="72"/>
      <c r="AM1681" s="72"/>
    </row>
    <row r="1682" spans="1:39" x14ac:dyDescent="0.25">
      <c r="A1682" s="37" t="s">
        <v>62</v>
      </c>
      <c r="B1682" s="66" t="s">
        <v>1615</v>
      </c>
      <c r="C1682" s="47">
        <v>1054</v>
      </c>
      <c r="D1682" s="47" t="s">
        <v>828</v>
      </c>
      <c r="E1682" s="41">
        <v>10540046</v>
      </c>
      <c r="F1682" s="46" t="s">
        <v>1478</v>
      </c>
      <c r="G1682" s="39" t="s">
        <v>93</v>
      </c>
      <c r="H1682" s="48" t="s">
        <v>94</v>
      </c>
      <c r="I1682" s="52">
        <v>167.79999999999998</v>
      </c>
      <c r="J1682" s="49">
        <v>7919.8600000000006</v>
      </c>
      <c r="K1682" s="65">
        <v>283.44000000000005</v>
      </c>
      <c r="L1682" s="65">
        <v>16604.650893717004</v>
      </c>
      <c r="M1682" s="65">
        <v>0</v>
      </c>
      <c r="N1682" s="65">
        <v>0</v>
      </c>
      <c r="O1682" s="65">
        <v>283.44000000000005</v>
      </c>
      <c r="P1682" s="65">
        <v>16604.650893717004</v>
      </c>
      <c r="Q1682" s="50">
        <v>7919.8600000000006</v>
      </c>
      <c r="R1682" s="65">
        <v>0</v>
      </c>
      <c r="S1682" s="65">
        <v>0</v>
      </c>
      <c r="T1682" s="65">
        <v>8684.7908937170032</v>
      </c>
      <c r="U1682" s="65">
        <v>6750</v>
      </c>
      <c r="V1682" s="65">
        <v>0</v>
      </c>
      <c r="W1682" s="65">
        <v>0</v>
      </c>
      <c r="X1682" s="65">
        <v>1170</v>
      </c>
      <c r="Y1682" s="65">
        <v>0</v>
      </c>
      <c r="Z1682" s="65">
        <v>0</v>
      </c>
      <c r="AA1682" s="51">
        <v>0</v>
      </c>
      <c r="AB1682" s="102" t="s">
        <v>66</v>
      </c>
      <c r="AC1682" s="81">
        <f t="shared" si="81"/>
        <v>502.37777020262229</v>
      </c>
      <c r="AD1682" s="82">
        <f t="shared" si="82"/>
        <v>23.971428571428568</v>
      </c>
      <c r="AE1682" s="218">
        <v>-1.0965838908411263</v>
      </c>
      <c r="AF1682">
        <v>1</v>
      </c>
      <c r="AH1682" t="str">
        <f t="shared" si="80"/>
        <v xml:space="preserve">Alauli </v>
      </c>
      <c r="AJ1682" s="72">
        <v>0</v>
      </c>
      <c r="AK1682" s="72"/>
      <c r="AL1682" s="72"/>
      <c r="AM1682" s="72"/>
    </row>
    <row r="1683" spans="1:39" x14ac:dyDescent="0.25">
      <c r="A1683" s="37" t="s">
        <v>62</v>
      </c>
      <c r="B1683" s="66" t="s">
        <v>1615</v>
      </c>
      <c r="C1683" s="47">
        <v>1054</v>
      </c>
      <c r="D1683" s="47" t="s">
        <v>828</v>
      </c>
      <c r="E1683" s="41">
        <v>10540048</v>
      </c>
      <c r="F1683" s="46" t="s">
        <v>1502</v>
      </c>
      <c r="G1683" s="39" t="s">
        <v>635</v>
      </c>
      <c r="H1683" s="48" t="s">
        <v>99</v>
      </c>
      <c r="I1683" s="52">
        <v>749.9</v>
      </c>
      <c r="J1683" s="49">
        <v>31453.479999999996</v>
      </c>
      <c r="K1683" s="65">
        <v>0</v>
      </c>
      <c r="L1683" s="65">
        <v>0</v>
      </c>
      <c r="M1683" s="65">
        <v>0</v>
      </c>
      <c r="N1683" s="65">
        <v>0</v>
      </c>
      <c r="O1683" s="65">
        <v>0</v>
      </c>
      <c r="P1683" s="65">
        <v>0</v>
      </c>
      <c r="Q1683" s="50">
        <v>31453.479999999996</v>
      </c>
      <c r="R1683" s="65">
        <v>0</v>
      </c>
      <c r="S1683" s="65">
        <v>0</v>
      </c>
      <c r="T1683" s="65">
        <v>0</v>
      </c>
      <c r="U1683" s="65">
        <v>0</v>
      </c>
      <c r="V1683" s="65">
        <v>0</v>
      </c>
      <c r="W1683" s="65">
        <v>0</v>
      </c>
      <c r="X1683" s="65">
        <v>0</v>
      </c>
      <c r="Y1683" s="65">
        <v>0</v>
      </c>
      <c r="Z1683" s="65">
        <v>31453.479999999996</v>
      </c>
      <c r="AA1683" s="51">
        <v>0</v>
      </c>
      <c r="AB1683" s="102">
        <v>0</v>
      </c>
      <c r="AC1683" s="81">
        <f t="shared" si="81"/>
        <v>0</v>
      </c>
      <c r="AD1683" s="82">
        <f t="shared" si="82"/>
        <v>0</v>
      </c>
      <c r="AE1683" s="218">
        <v>0</v>
      </c>
      <c r="AF1683">
        <v>0</v>
      </c>
      <c r="AH1683" t="str">
        <f t="shared" si="80"/>
        <v xml:space="preserve">Alauli </v>
      </c>
      <c r="AJ1683" s="72">
        <v>0</v>
      </c>
      <c r="AK1683" s="72"/>
      <c r="AL1683" s="72"/>
      <c r="AM1683" s="72"/>
    </row>
    <row r="1684" spans="1:39" x14ac:dyDescent="0.25">
      <c r="A1684" s="37" t="s">
        <v>62</v>
      </c>
      <c r="B1684" s="66" t="s">
        <v>1615</v>
      </c>
      <c r="C1684" s="47">
        <v>1054</v>
      </c>
      <c r="D1684" s="47" t="s">
        <v>828</v>
      </c>
      <c r="E1684" s="41">
        <v>10540049</v>
      </c>
      <c r="F1684" s="46" t="s">
        <v>1503</v>
      </c>
      <c r="G1684" s="39" t="s">
        <v>635</v>
      </c>
      <c r="H1684" s="48" t="s">
        <v>99</v>
      </c>
      <c r="I1684" s="52">
        <v>419.70000000000005</v>
      </c>
      <c r="J1684" s="49">
        <v>15164.75</v>
      </c>
      <c r="K1684" s="65">
        <v>0</v>
      </c>
      <c r="L1684" s="65">
        <v>0</v>
      </c>
      <c r="M1684" s="65">
        <v>0</v>
      </c>
      <c r="N1684" s="65">
        <v>0</v>
      </c>
      <c r="O1684" s="65">
        <v>0</v>
      </c>
      <c r="P1684" s="65">
        <v>0</v>
      </c>
      <c r="Q1684" s="50">
        <v>15164.75</v>
      </c>
      <c r="R1684" s="65">
        <v>0</v>
      </c>
      <c r="S1684" s="65">
        <v>0</v>
      </c>
      <c r="T1684" s="65">
        <v>0</v>
      </c>
      <c r="U1684" s="65">
        <v>0</v>
      </c>
      <c r="V1684" s="65">
        <v>0</v>
      </c>
      <c r="W1684" s="65">
        <v>0</v>
      </c>
      <c r="X1684" s="65">
        <v>0</v>
      </c>
      <c r="Y1684" s="65">
        <v>0</v>
      </c>
      <c r="Z1684" s="65">
        <v>15164.75</v>
      </c>
      <c r="AA1684" s="51">
        <v>0</v>
      </c>
      <c r="AB1684" s="102">
        <v>0</v>
      </c>
      <c r="AC1684" s="81">
        <f t="shared" si="81"/>
        <v>202.5579902311174</v>
      </c>
      <c r="AD1684" s="82">
        <f t="shared" si="82"/>
        <v>59.957142857142863</v>
      </c>
      <c r="AE1684" s="218">
        <v>0</v>
      </c>
      <c r="AF1684">
        <v>0</v>
      </c>
      <c r="AH1684" t="str">
        <f t="shared" si="80"/>
        <v xml:space="preserve">Alauli </v>
      </c>
      <c r="AJ1684" s="72">
        <v>0</v>
      </c>
      <c r="AK1684" s="72"/>
      <c r="AL1684" s="72"/>
      <c r="AM1684" s="72"/>
    </row>
    <row r="1685" spans="1:39" x14ac:dyDescent="0.25">
      <c r="A1685" s="37" t="s">
        <v>62</v>
      </c>
      <c r="B1685" s="66" t="s">
        <v>1615</v>
      </c>
      <c r="C1685" s="47">
        <v>1055</v>
      </c>
      <c r="D1685" s="47" t="s">
        <v>1148</v>
      </c>
      <c r="E1685" s="41">
        <v>10550001</v>
      </c>
      <c r="F1685" s="46" t="s">
        <v>1196</v>
      </c>
      <c r="G1685" s="39" t="s">
        <v>635</v>
      </c>
      <c r="H1685" s="48" t="s">
        <v>99</v>
      </c>
      <c r="I1685" s="52">
        <v>33020</v>
      </c>
      <c r="J1685" s="49">
        <v>1179602.6600000001</v>
      </c>
      <c r="K1685" s="65">
        <v>0</v>
      </c>
      <c r="L1685" s="65">
        <v>0</v>
      </c>
      <c r="M1685" s="65">
        <v>0</v>
      </c>
      <c r="N1685" s="65">
        <v>0</v>
      </c>
      <c r="O1685" s="65">
        <v>0</v>
      </c>
      <c r="P1685" s="65">
        <v>0</v>
      </c>
      <c r="Q1685" s="50">
        <v>1179602.6600000001</v>
      </c>
      <c r="R1685" s="65">
        <v>0</v>
      </c>
      <c r="S1685" s="65">
        <v>0</v>
      </c>
      <c r="T1685" s="65">
        <v>0</v>
      </c>
      <c r="U1685" s="65">
        <v>0</v>
      </c>
      <c r="V1685" s="65">
        <v>0</v>
      </c>
      <c r="W1685" s="65">
        <v>0</v>
      </c>
      <c r="X1685" s="65">
        <v>0</v>
      </c>
      <c r="Y1685" s="65">
        <v>0</v>
      </c>
      <c r="Z1685" s="65">
        <v>1179602.6600000001</v>
      </c>
      <c r="AA1685" s="51">
        <v>0</v>
      </c>
      <c r="AB1685" s="102">
        <v>0</v>
      </c>
      <c r="AC1685" s="81">
        <f t="shared" si="81"/>
        <v>0</v>
      </c>
      <c r="AD1685" s="82">
        <f t="shared" si="82"/>
        <v>0</v>
      </c>
      <c r="AE1685" s="218">
        <v>0</v>
      </c>
      <c r="AF1685">
        <v>0</v>
      </c>
      <c r="AH1685" t="str">
        <f t="shared" si="80"/>
        <v>Matihani</v>
      </c>
      <c r="AJ1685" s="72">
        <v>0</v>
      </c>
      <c r="AK1685" s="72"/>
      <c r="AL1685" s="72"/>
      <c r="AM1685" s="72"/>
    </row>
    <row r="1686" spans="1:39" x14ac:dyDescent="0.25">
      <c r="A1686" s="37" t="s">
        <v>62</v>
      </c>
      <c r="B1686" s="66" t="s">
        <v>1615</v>
      </c>
      <c r="C1686" s="47">
        <v>1055</v>
      </c>
      <c r="D1686" s="47" t="s">
        <v>1148</v>
      </c>
      <c r="E1686" s="41">
        <v>10550002</v>
      </c>
      <c r="F1686" s="46" t="s">
        <v>1218</v>
      </c>
      <c r="G1686" s="39" t="s">
        <v>635</v>
      </c>
      <c r="H1686" s="48" t="s">
        <v>99</v>
      </c>
      <c r="I1686" s="52">
        <v>176.10000000000002</v>
      </c>
      <c r="J1686" s="49">
        <v>6283.9000000000005</v>
      </c>
      <c r="K1686" s="65">
        <v>0</v>
      </c>
      <c r="L1686" s="65">
        <v>0</v>
      </c>
      <c r="M1686" s="65">
        <v>0</v>
      </c>
      <c r="N1686" s="65">
        <v>0</v>
      </c>
      <c r="O1686" s="65">
        <v>0</v>
      </c>
      <c r="P1686" s="65">
        <v>0</v>
      </c>
      <c r="Q1686" s="50">
        <v>6283.9000000000005</v>
      </c>
      <c r="R1686" s="65">
        <v>0</v>
      </c>
      <c r="S1686" s="65">
        <v>0</v>
      </c>
      <c r="T1686" s="65">
        <v>0</v>
      </c>
      <c r="U1686" s="65">
        <v>0</v>
      </c>
      <c r="V1686" s="65">
        <v>0</v>
      </c>
      <c r="W1686" s="65">
        <v>0</v>
      </c>
      <c r="X1686" s="65">
        <v>0</v>
      </c>
      <c r="Y1686" s="65">
        <v>0</v>
      </c>
      <c r="Z1686" s="65">
        <v>6283.9000000000005</v>
      </c>
      <c r="AA1686" s="51">
        <v>0</v>
      </c>
      <c r="AB1686" s="102">
        <v>0</v>
      </c>
      <c r="AC1686" s="81">
        <f t="shared" si="81"/>
        <v>373.89383418512205</v>
      </c>
      <c r="AD1686" s="82">
        <f t="shared" si="82"/>
        <v>25.157142857142862</v>
      </c>
      <c r="AE1686" s="218">
        <v>0</v>
      </c>
      <c r="AF1686">
        <v>0</v>
      </c>
      <c r="AH1686" t="str">
        <f t="shared" si="80"/>
        <v>Matihani</v>
      </c>
      <c r="AJ1686" s="72">
        <v>0</v>
      </c>
      <c r="AK1686" s="72"/>
      <c r="AL1686" s="72"/>
      <c r="AM1686" s="72"/>
    </row>
    <row r="1687" spans="1:39" x14ac:dyDescent="0.25">
      <c r="A1687" s="37" t="s">
        <v>62</v>
      </c>
      <c r="B1687" s="66" t="s">
        <v>1615</v>
      </c>
      <c r="C1687" s="47">
        <v>1055</v>
      </c>
      <c r="D1687" s="47" t="s">
        <v>1148</v>
      </c>
      <c r="E1687" s="41">
        <v>10550004</v>
      </c>
      <c r="F1687" s="46" t="s">
        <v>1594</v>
      </c>
      <c r="G1687" s="39" t="s">
        <v>93</v>
      </c>
      <c r="H1687" s="48" t="s">
        <v>94</v>
      </c>
      <c r="I1687" s="52">
        <v>24.700000000000003</v>
      </c>
      <c r="J1687" s="49">
        <v>866.47</v>
      </c>
      <c r="K1687" s="65">
        <v>19</v>
      </c>
      <c r="L1687" s="65">
        <v>667.14931800000011</v>
      </c>
      <c r="M1687" s="65">
        <v>0</v>
      </c>
      <c r="N1687" s="65">
        <v>0</v>
      </c>
      <c r="O1687" s="65">
        <v>19</v>
      </c>
      <c r="P1687" s="65">
        <v>667.14931800000011</v>
      </c>
      <c r="Q1687" s="50">
        <v>667.14931800000011</v>
      </c>
      <c r="R1687" s="65">
        <v>0</v>
      </c>
      <c r="S1687" s="65">
        <v>0</v>
      </c>
      <c r="T1687" s="65">
        <v>0</v>
      </c>
      <c r="U1687" s="65">
        <v>0</v>
      </c>
      <c r="V1687" s="65">
        <v>41.284531034482768</v>
      </c>
      <c r="W1687" s="65">
        <v>0</v>
      </c>
      <c r="X1687" s="65">
        <v>626</v>
      </c>
      <c r="Y1687" s="65">
        <v>0</v>
      </c>
      <c r="Z1687" s="65">
        <v>0</v>
      </c>
      <c r="AA1687" s="51">
        <v>199</v>
      </c>
      <c r="AB1687" s="102">
        <v>0</v>
      </c>
      <c r="AC1687" s="81">
        <f t="shared" si="81"/>
        <v>473.78719919028345</v>
      </c>
      <c r="AD1687" s="82">
        <f t="shared" si="82"/>
        <v>3.5285714285714289</v>
      </c>
      <c r="AE1687" s="218">
        <v>0.23003760314840666</v>
      </c>
      <c r="AF1687">
        <v>1</v>
      </c>
      <c r="AH1687" t="str">
        <f t="shared" si="80"/>
        <v>Matihani</v>
      </c>
      <c r="AJ1687" s="72">
        <v>0</v>
      </c>
      <c r="AK1687" s="72"/>
      <c r="AL1687" s="72"/>
      <c r="AM1687" s="72"/>
    </row>
    <row r="1688" spans="1:39" x14ac:dyDescent="0.25">
      <c r="A1688" s="37" t="s">
        <v>62</v>
      </c>
      <c r="B1688" s="66" t="s">
        <v>1615</v>
      </c>
      <c r="C1688" s="47">
        <v>1055</v>
      </c>
      <c r="D1688" s="47" t="s">
        <v>1148</v>
      </c>
      <c r="E1688" s="41">
        <v>10550005</v>
      </c>
      <c r="F1688" s="46" t="s">
        <v>1428</v>
      </c>
      <c r="G1688" s="39" t="s">
        <v>93</v>
      </c>
      <c r="H1688" s="48" t="s">
        <v>94</v>
      </c>
      <c r="I1688" s="52">
        <v>218.6</v>
      </c>
      <c r="J1688" s="49">
        <v>8257.2899999999991</v>
      </c>
      <c r="K1688" s="65">
        <v>172.03</v>
      </c>
      <c r="L1688" s="65">
        <v>6745.2866860896011</v>
      </c>
      <c r="M1688" s="65">
        <v>49</v>
      </c>
      <c r="N1688" s="65">
        <v>1876.7855129760001</v>
      </c>
      <c r="O1688" s="65">
        <v>221.03</v>
      </c>
      <c r="P1688" s="65">
        <v>8622.072199065602</v>
      </c>
      <c r="Q1688" s="50">
        <v>8257.2899999999991</v>
      </c>
      <c r="R1688" s="65">
        <v>0</v>
      </c>
      <c r="S1688" s="65">
        <v>1876.7855129760001</v>
      </c>
      <c r="T1688" s="65">
        <v>364.78219906560298</v>
      </c>
      <c r="U1688" s="65">
        <v>0</v>
      </c>
      <c r="V1688" s="65">
        <v>0</v>
      </c>
      <c r="W1688" s="65">
        <v>0</v>
      </c>
      <c r="X1688" s="65">
        <v>6381</v>
      </c>
      <c r="Y1688" s="65">
        <v>0</v>
      </c>
      <c r="Z1688" s="65">
        <v>0</v>
      </c>
      <c r="AA1688" s="51">
        <v>0</v>
      </c>
      <c r="AB1688" s="102">
        <v>0</v>
      </c>
      <c r="AC1688" s="81">
        <f t="shared" si="81"/>
        <v>363.68338572735587</v>
      </c>
      <c r="AD1688" s="82">
        <f t="shared" si="82"/>
        <v>31.228571428571428</v>
      </c>
      <c r="AE1688" s="218">
        <v>-4.4176987736364234E-2</v>
      </c>
      <c r="AF1688">
        <v>3</v>
      </c>
      <c r="AH1688" t="str">
        <f t="shared" si="80"/>
        <v>Matihani</v>
      </c>
      <c r="AJ1688" s="72">
        <v>0</v>
      </c>
      <c r="AK1688" s="72"/>
      <c r="AL1688" s="72"/>
      <c r="AM1688" s="72"/>
    </row>
    <row r="1689" spans="1:39" x14ac:dyDescent="0.25">
      <c r="A1689" s="37" t="s">
        <v>62</v>
      </c>
      <c r="B1689" s="66" t="s">
        <v>1615</v>
      </c>
      <c r="C1689" s="47">
        <v>1055</v>
      </c>
      <c r="D1689" s="47" t="s">
        <v>1148</v>
      </c>
      <c r="E1689" s="41">
        <v>10550007</v>
      </c>
      <c r="F1689" s="46" t="s">
        <v>1429</v>
      </c>
      <c r="G1689" s="39" t="s">
        <v>635</v>
      </c>
      <c r="H1689" s="48" t="s">
        <v>99</v>
      </c>
      <c r="I1689" s="52">
        <v>1719.6</v>
      </c>
      <c r="J1689" s="49">
        <v>59984.13</v>
      </c>
      <c r="K1689" s="65">
        <v>0</v>
      </c>
      <c r="L1689" s="65">
        <v>0</v>
      </c>
      <c r="M1689" s="65">
        <v>0</v>
      </c>
      <c r="N1689" s="65">
        <v>0</v>
      </c>
      <c r="O1689" s="65">
        <v>0</v>
      </c>
      <c r="P1689" s="65">
        <v>0</v>
      </c>
      <c r="Q1689" s="50">
        <v>59984.13</v>
      </c>
      <c r="R1689" s="65">
        <v>0</v>
      </c>
      <c r="S1689" s="65">
        <v>0</v>
      </c>
      <c r="T1689" s="65">
        <v>0</v>
      </c>
      <c r="U1689" s="65">
        <v>0</v>
      </c>
      <c r="V1689" s="65">
        <v>0</v>
      </c>
      <c r="W1689" s="65">
        <v>0</v>
      </c>
      <c r="X1689" s="65">
        <v>0</v>
      </c>
      <c r="Y1689" s="65">
        <v>0</v>
      </c>
      <c r="Z1689" s="65">
        <v>59984.13</v>
      </c>
      <c r="AA1689" s="51">
        <v>0</v>
      </c>
      <c r="AB1689" s="102">
        <v>0</v>
      </c>
      <c r="AC1689" s="81">
        <f t="shared" si="81"/>
        <v>0</v>
      </c>
      <c r="AD1689" s="82">
        <f t="shared" si="82"/>
        <v>0</v>
      </c>
      <c r="AE1689" s="218">
        <v>0</v>
      </c>
      <c r="AF1689">
        <v>0</v>
      </c>
      <c r="AH1689" t="str">
        <f t="shared" si="80"/>
        <v>Matihani</v>
      </c>
      <c r="AJ1689" s="72">
        <v>0</v>
      </c>
      <c r="AK1689" s="72"/>
      <c r="AL1689" s="72"/>
      <c r="AM1689" s="72"/>
    </row>
    <row r="1690" spans="1:39" x14ac:dyDescent="0.25">
      <c r="A1690" s="37" t="s">
        <v>62</v>
      </c>
      <c r="B1690" s="66" t="s">
        <v>1615</v>
      </c>
      <c r="C1690" s="47">
        <v>1055</v>
      </c>
      <c r="D1690" s="47" t="s">
        <v>1148</v>
      </c>
      <c r="E1690" s="41">
        <v>10550008</v>
      </c>
      <c r="F1690" s="46" t="s">
        <v>1479</v>
      </c>
      <c r="G1690" s="39" t="s">
        <v>635</v>
      </c>
      <c r="H1690" s="48" t="s">
        <v>99</v>
      </c>
      <c r="I1690" s="52">
        <v>37.5</v>
      </c>
      <c r="J1690" s="49">
        <v>1415.63</v>
      </c>
      <c r="K1690" s="65">
        <v>0</v>
      </c>
      <c r="L1690" s="65">
        <v>0</v>
      </c>
      <c r="M1690" s="65">
        <v>0</v>
      </c>
      <c r="N1690" s="65">
        <v>0</v>
      </c>
      <c r="O1690" s="65">
        <v>0</v>
      </c>
      <c r="P1690" s="65">
        <v>0</v>
      </c>
      <c r="Q1690" s="50">
        <v>1415.63</v>
      </c>
      <c r="R1690" s="65">
        <v>0</v>
      </c>
      <c r="S1690" s="65">
        <v>0</v>
      </c>
      <c r="T1690" s="65">
        <v>0</v>
      </c>
      <c r="U1690" s="65">
        <v>0</v>
      </c>
      <c r="V1690" s="65">
        <v>0</v>
      </c>
      <c r="W1690" s="65">
        <v>0</v>
      </c>
      <c r="X1690" s="65">
        <v>0</v>
      </c>
      <c r="Y1690" s="65">
        <v>0</v>
      </c>
      <c r="Z1690" s="65">
        <v>1415.63</v>
      </c>
      <c r="AA1690" s="51">
        <v>0</v>
      </c>
      <c r="AB1690" s="102">
        <v>0</v>
      </c>
      <c r="AC1690" s="81">
        <f t="shared" si="81"/>
        <v>500.18926666666675</v>
      </c>
      <c r="AD1690" s="82">
        <f t="shared" si="82"/>
        <v>5.3571428571428568</v>
      </c>
      <c r="AE1690" s="218">
        <v>0</v>
      </c>
      <c r="AF1690">
        <v>0</v>
      </c>
      <c r="AH1690" t="str">
        <f t="shared" si="80"/>
        <v>Matihani</v>
      </c>
      <c r="AJ1690" s="72">
        <v>0</v>
      </c>
      <c r="AK1690" s="72"/>
      <c r="AL1690" s="72"/>
      <c r="AM1690" s="72"/>
    </row>
    <row r="1691" spans="1:39" x14ac:dyDescent="0.25">
      <c r="A1691" s="37" t="s">
        <v>62</v>
      </c>
      <c r="B1691" s="66" t="s">
        <v>1615</v>
      </c>
      <c r="C1691" s="47">
        <v>1055</v>
      </c>
      <c r="D1691" s="47" t="s">
        <v>1148</v>
      </c>
      <c r="E1691" s="41">
        <v>10550009</v>
      </c>
      <c r="F1691" s="46" t="s">
        <v>1548</v>
      </c>
      <c r="G1691" s="39" t="s">
        <v>635</v>
      </c>
      <c r="H1691" s="48" t="s">
        <v>99</v>
      </c>
      <c r="I1691" s="52">
        <v>825</v>
      </c>
      <c r="J1691" s="49">
        <v>31056.769999999997</v>
      </c>
      <c r="K1691" s="65">
        <v>0</v>
      </c>
      <c r="L1691" s="65">
        <v>0</v>
      </c>
      <c r="M1691" s="65">
        <v>0</v>
      </c>
      <c r="N1691" s="65">
        <v>0</v>
      </c>
      <c r="O1691" s="65">
        <v>0</v>
      </c>
      <c r="P1691" s="65">
        <v>0</v>
      </c>
      <c r="Q1691" s="50">
        <v>31056.769999999997</v>
      </c>
      <c r="R1691" s="65">
        <v>0</v>
      </c>
      <c r="S1691" s="65">
        <v>0</v>
      </c>
      <c r="T1691" s="65">
        <v>0</v>
      </c>
      <c r="U1691" s="65">
        <v>0</v>
      </c>
      <c r="V1691" s="65">
        <v>0</v>
      </c>
      <c r="W1691" s="65">
        <v>0</v>
      </c>
      <c r="X1691" s="65">
        <v>0</v>
      </c>
      <c r="Y1691" s="65">
        <v>0</v>
      </c>
      <c r="Z1691" s="65">
        <v>31056.769999999997</v>
      </c>
      <c r="AA1691" s="51">
        <v>0</v>
      </c>
      <c r="AB1691" s="102">
        <v>0</v>
      </c>
      <c r="AC1691" s="81">
        <f t="shared" si="81"/>
        <v>0</v>
      </c>
      <c r="AD1691" s="82">
        <f t="shared" si="82"/>
        <v>0</v>
      </c>
      <c r="AE1691" s="218">
        <v>0</v>
      </c>
      <c r="AF1691">
        <v>0</v>
      </c>
      <c r="AH1691" t="str">
        <f t="shared" si="80"/>
        <v>Matihani</v>
      </c>
      <c r="AJ1691" s="72">
        <v>0</v>
      </c>
      <c r="AK1691" s="72"/>
      <c r="AL1691" s="72"/>
      <c r="AM1691" s="72"/>
    </row>
    <row r="1692" spans="1:39" x14ac:dyDescent="0.25">
      <c r="A1692" s="37" t="s">
        <v>62</v>
      </c>
      <c r="B1692" s="66" t="s">
        <v>1615</v>
      </c>
      <c r="C1692" s="47">
        <v>1056</v>
      </c>
      <c r="D1692" s="47" t="s">
        <v>838</v>
      </c>
      <c r="E1692" s="41">
        <v>10560001</v>
      </c>
      <c r="F1692" s="46" t="s">
        <v>844</v>
      </c>
      <c r="G1692" s="39" t="s">
        <v>635</v>
      </c>
      <c r="H1692" s="48" t="s">
        <v>99</v>
      </c>
      <c r="I1692" s="52">
        <v>1235.1799999999998</v>
      </c>
      <c r="J1692" s="49">
        <v>46278.869999999995</v>
      </c>
      <c r="K1692" s="65">
        <v>0</v>
      </c>
      <c r="L1692" s="65">
        <v>0</v>
      </c>
      <c r="M1692" s="65">
        <v>0</v>
      </c>
      <c r="N1692" s="65">
        <v>0</v>
      </c>
      <c r="O1692" s="65">
        <v>0</v>
      </c>
      <c r="P1692" s="65">
        <v>0</v>
      </c>
      <c r="Q1692" s="50">
        <v>46278.869999999995</v>
      </c>
      <c r="R1692" s="65">
        <v>0</v>
      </c>
      <c r="S1692" s="65">
        <v>0</v>
      </c>
      <c r="T1692" s="65">
        <v>0</v>
      </c>
      <c r="U1692" s="65">
        <v>1300</v>
      </c>
      <c r="V1692" s="65">
        <v>5478.0704167741942</v>
      </c>
      <c r="W1692" s="65">
        <v>0</v>
      </c>
      <c r="X1692" s="65">
        <v>0</v>
      </c>
      <c r="Y1692" s="65">
        <v>0</v>
      </c>
      <c r="Z1692" s="65">
        <v>39500.799583225802</v>
      </c>
      <c r="AA1692" s="51">
        <v>0</v>
      </c>
      <c r="AB1692" s="102">
        <v>0</v>
      </c>
      <c r="AC1692" s="81">
        <f t="shared" si="81"/>
        <v>0</v>
      </c>
      <c r="AD1692" s="82">
        <f t="shared" si="82"/>
        <v>0</v>
      </c>
      <c r="AE1692" s="218">
        <v>0</v>
      </c>
      <c r="AF1692">
        <v>0</v>
      </c>
      <c r="AH1692" t="str">
        <f t="shared" ref="AH1692:AH1754" si="83">TEXT(D1692,"0000")</f>
        <v>Chautham</v>
      </c>
      <c r="AJ1692" s="72">
        <v>0</v>
      </c>
      <c r="AK1692" s="72"/>
      <c r="AL1692" s="72"/>
      <c r="AM1692" s="72"/>
    </row>
    <row r="1693" spans="1:39" x14ac:dyDescent="0.25">
      <c r="A1693" s="37" t="s">
        <v>62</v>
      </c>
      <c r="B1693" s="66" t="s">
        <v>1615</v>
      </c>
      <c r="C1693" s="47">
        <v>1056</v>
      </c>
      <c r="D1693" s="47" t="s">
        <v>838</v>
      </c>
      <c r="E1693" s="41">
        <v>10560002</v>
      </c>
      <c r="F1693" s="46" t="s">
        <v>1166</v>
      </c>
      <c r="G1693" s="39" t="s">
        <v>635</v>
      </c>
      <c r="H1693" s="48" t="s">
        <v>99</v>
      </c>
      <c r="I1693" s="52">
        <v>844.34</v>
      </c>
      <c r="J1693" s="49">
        <v>30325.95</v>
      </c>
      <c r="K1693" s="65">
        <v>0</v>
      </c>
      <c r="L1693" s="65">
        <v>0</v>
      </c>
      <c r="M1693" s="65">
        <v>0</v>
      </c>
      <c r="N1693" s="65">
        <v>0</v>
      </c>
      <c r="O1693" s="65">
        <v>0</v>
      </c>
      <c r="P1693" s="65">
        <v>0</v>
      </c>
      <c r="Q1693" s="50">
        <v>30325.95</v>
      </c>
      <c r="R1693" s="65">
        <v>0</v>
      </c>
      <c r="S1693" s="65">
        <v>0</v>
      </c>
      <c r="T1693" s="65">
        <v>0</v>
      </c>
      <c r="U1693" s="65">
        <v>0</v>
      </c>
      <c r="V1693" s="65">
        <v>0</v>
      </c>
      <c r="W1693" s="65">
        <v>0</v>
      </c>
      <c r="X1693" s="65">
        <v>0</v>
      </c>
      <c r="Y1693" s="65">
        <v>0</v>
      </c>
      <c r="Z1693" s="65">
        <v>30325.95</v>
      </c>
      <c r="AA1693" s="51">
        <v>0</v>
      </c>
      <c r="AB1693" s="102">
        <v>0</v>
      </c>
      <c r="AC1693" s="81">
        <f t="shared" si="81"/>
        <v>0</v>
      </c>
      <c r="AD1693" s="82">
        <f t="shared" si="82"/>
        <v>0</v>
      </c>
      <c r="AE1693" s="218">
        <v>0</v>
      </c>
      <c r="AF1693">
        <v>0</v>
      </c>
      <c r="AH1693" t="str">
        <f t="shared" si="83"/>
        <v>Chautham</v>
      </c>
      <c r="AJ1693" s="72">
        <v>0</v>
      </c>
      <c r="AK1693" s="72"/>
      <c r="AL1693" s="72"/>
      <c r="AM1693" s="72"/>
    </row>
    <row r="1694" spans="1:39" x14ac:dyDescent="0.25">
      <c r="A1694" s="37" t="s">
        <v>62</v>
      </c>
      <c r="B1694" s="66" t="s">
        <v>1615</v>
      </c>
      <c r="C1694" s="47">
        <v>1056</v>
      </c>
      <c r="D1694" s="47" t="s">
        <v>838</v>
      </c>
      <c r="E1694" s="41">
        <v>10560004</v>
      </c>
      <c r="F1694" s="46" t="s">
        <v>1183</v>
      </c>
      <c r="G1694" s="39" t="s">
        <v>93</v>
      </c>
      <c r="H1694" s="48" t="s">
        <v>94</v>
      </c>
      <c r="I1694" s="52">
        <v>811.64</v>
      </c>
      <c r="J1694" s="49">
        <v>28429.879999999997</v>
      </c>
      <c r="K1694" s="65">
        <v>811.64</v>
      </c>
      <c r="L1694" s="65">
        <v>28553.677045344</v>
      </c>
      <c r="M1694" s="65">
        <v>0</v>
      </c>
      <c r="N1694" s="65">
        <v>0</v>
      </c>
      <c r="O1694" s="65">
        <v>811.64</v>
      </c>
      <c r="P1694" s="65">
        <v>28553.677045344</v>
      </c>
      <c r="Q1694" s="50">
        <v>28429.879999999997</v>
      </c>
      <c r="R1694" s="65">
        <v>0</v>
      </c>
      <c r="S1694" s="65">
        <v>0</v>
      </c>
      <c r="T1694" s="65">
        <v>123.79704534400298</v>
      </c>
      <c r="U1694" s="65">
        <v>0</v>
      </c>
      <c r="V1694" s="65">
        <v>0</v>
      </c>
      <c r="W1694" s="65">
        <v>0</v>
      </c>
      <c r="X1694" s="65">
        <v>28430</v>
      </c>
      <c r="Y1694" s="65">
        <v>0</v>
      </c>
      <c r="Z1694" s="65">
        <v>0</v>
      </c>
      <c r="AA1694" s="51">
        <v>0</v>
      </c>
      <c r="AB1694" s="102">
        <v>0</v>
      </c>
      <c r="AC1694" s="81">
        <f t="shared" si="81"/>
        <v>0</v>
      </c>
      <c r="AD1694" s="82">
        <f t="shared" si="82"/>
        <v>0</v>
      </c>
      <c r="AE1694" s="218">
        <v>-4.354469499836193E-3</v>
      </c>
      <c r="AF1694">
        <v>1</v>
      </c>
      <c r="AH1694" t="str">
        <f t="shared" si="83"/>
        <v>Chautham</v>
      </c>
      <c r="AJ1694" s="72">
        <v>0</v>
      </c>
      <c r="AK1694" s="72"/>
      <c r="AL1694" s="72"/>
      <c r="AM1694" s="72"/>
    </row>
    <row r="1695" spans="1:39" x14ac:dyDescent="0.25">
      <c r="A1695" s="37" t="s">
        <v>62</v>
      </c>
      <c r="B1695" s="66" t="s">
        <v>1615</v>
      </c>
      <c r="C1695" s="47">
        <v>1056</v>
      </c>
      <c r="D1695" s="47" t="s">
        <v>838</v>
      </c>
      <c r="E1695" s="41">
        <v>10560005</v>
      </c>
      <c r="F1695" s="46" t="s">
        <v>1184</v>
      </c>
      <c r="G1695" s="39" t="s">
        <v>93</v>
      </c>
      <c r="H1695" s="48" t="s">
        <v>94</v>
      </c>
      <c r="I1695" s="52">
        <v>1973.9400000000003</v>
      </c>
      <c r="J1695" s="49">
        <v>78508.94</v>
      </c>
      <c r="K1695" s="65">
        <v>26.939999999999998</v>
      </c>
      <c r="L1695" s="65">
        <v>1072.2174153563999</v>
      </c>
      <c r="M1695" s="65">
        <v>1947</v>
      </c>
      <c r="N1695" s="65">
        <v>77433.496916790013</v>
      </c>
      <c r="O1695" s="65">
        <v>1973.94</v>
      </c>
      <c r="P1695" s="65">
        <v>78505.71433214641</v>
      </c>
      <c r="Q1695" s="50">
        <v>78505.71433214641</v>
      </c>
      <c r="R1695" s="65">
        <v>0</v>
      </c>
      <c r="S1695" s="65">
        <v>0</v>
      </c>
      <c r="T1695" s="65">
        <v>0</v>
      </c>
      <c r="U1695" s="65">
        <v>0</v>
      </c>
      <c r="V1695" s="65">
        <v>0</v>
      </c>
      <c r="W1695" s="65">
        <v>0</v>
      </c>
      <c r="X1695" s="65">
        <v>1072</v>
      </c>
      <c r="Y1695" s="65">
        <v>77434</v>
      </c>
      <c r="Z1695" s="65">
        <v>0</v>
      </c>
      <c r="AA1695" s="51">
        <v>3</v>
      </c>
      <c r="AB1695" s="102">
        <v>0</v>
      </c>
      <c r="AC1695" s="81">
        <f t="shared" si="81"/>
        <v>0</v>
      </c>
      <c r="AD1695" s="82">
        <f t="shared" si="82"/>
        <v>0</v>
      </c>
      <c r="AE1695" s="218">
        <v>4.1086631071471771E-5</v>
      </c>
      <c r="AF1695">
        <v>3</v>
      </c>
      <c r="AH1695" t="str">
        <f t="shared" si="83"/>
        <v>Chautham</v>
      </c>
      <c r="AJ1695" s="72">
        <v>0</v>
      </c>
      <c r="AK1695" s="72"/>
      <c r="AL1695" s="72"/>
      <c r="AM1695" s="72"/>
    </row>
    <row r="1696" spans="1:39" x14ac:dyDescent="0.25">
      <c r="A1696" s="37" t="s">
        <v>62</v>
      </c>
      <c r="B1696" s="66" t="s">
        <v>1615</v>
      </c>
      <c r="C1696" s="47">
        <v>1056</v>
      </c>
      <c r="D1696" s="47" t="s">
        <v>838</v>
      </c>
      <c r="E1696" s="41">
        <v>10560007</v>
      </c>
      <c r="F1696" s="46" t="s">
        <v>1185</v>
      </c>
      <c r="G1696" s="39" t="s">
        <v>93</v>
      </c>
      <c r="H1696" s="48" t="s">
        <v>94</v>
      </c>
      <c r="I1696" s="52">
        <v>214.59999999999997</v>
      </c>
      <c r="J1696" s="49">
        <v>9314.7999999999993</v>
      </c>
      <c r="K1696" s="65">
        <v>191.22</v>
      </c>
      <c r="L1696" s="65">
        <v>9009.881793734201</v>
      </c>
      <c r="M1696" s="65">
        <v>0</v>
      </c>
      <c r="N1696" s="65">
        <v>0</v>
      </c>
      <c r="O1696" s="65">
        <v>191.22</v>
      </c>
      <c r="P1696" s="65">
        <v>9009.881793734201</v>
      </c>
      <c r="Q1696" s="50">
        <v>9009.881793734201</v>
      </c>
      <c r="R1696" s="65">
        <v>0</v>
      </c>
      <c r="S1696" s="65">
        <v>0</v>
      </c>
      <c r="T1696" s="65">
        <v>0</v>
      </c>
      <c r="U1696" s="65">
        <v>0</v>
      </c>
      <c r="V1696" s="65">
        <v>0</v>
      </c>
      <c r="W1696" s="65">
        <v>0</v>
      </c>
      <c r="X1696" s="65">
        <v>9010</v>
      </c>
      <c r="Y1696" s="65">
        <v>0</v>
      </c>
      <c r="Z1696" s="65">
        <v>0</v>
      </c>
      <c r="AA1696" s="51">
        <v>305</v>
      </c>
      <c r="AB1696" s="102">
        <v>0</v>
      </c>
      <c r="AC1696" s="81">
        <f t="shared" si="81"/>
        <v>421.37967567567586</v>
      </c>
      <c r="AD1696" s="82">
        <f t="shared" si="82"/>
        <v>30.657142857142851</v>
      </c>
      <c r="AE1696" s="218">
        <v>3.2734809793640046E-2</v>
      </c>
      <c r="AF1696">
        <v>1</v>
      </c>
      <c r="AH1696" t="str">
        <f t="shared" si="83"/>
        <v>Chautham</v>
      </c>
      <c r="AJ1696" s="72">
        <v>0</v>
      </c>
      <c r="AK1696" s="72"/>
      <c r="AL1696" s="72"/>
      <c r="AM1696" s="72"/>
    </row>
    <row r="1697" spans="1:39" x14ac:dyDescent="0.25">
      <c r="A1697" s="37" t="s">
        <v>62</v>
      </c>
      <c r="B1697" s="66" t="s">
        <v>1615</v>
      </c>
      <c r="C1697" s="47">
        <v>1056</v>
      </c>
      <c r="D1697" s="47" t="s">
        <v>838</v>
      </c>
      <c r="E1697" s="41">
        <v>10560011</v>
      </c>
      <c r="F1697" s="46" t="s">
        <v>1278</v>
      </c>
      <c r="G1697" s="39" t="s">
        <v>93</v>
      </c>
      <c r="H1697" s="48" t="s">
        <v>94</v>
      </c>
      <c r="I1697" s="52">
        <v>1752.1</v>
      </c>
      <c r="J1697" s="49">
        <v>66645.400000000009</v>
      </c>
      <c r="K1697" s="65">
        <v>1752.1600000000005</v>
      </c>
      <c r="L1697" s="65">
        <v>69399.165509765793</v>
      </c>
      <c r="M1697" s="65">
        <v>0</v>
      </c>
      <c r="N1697" s="65">
        <v>0</v>
      </c>
      <c r="O1697" s="65">
        <v>1752.1600000000005</v>
      </c>
      <c r="P1697" s="65">
        <v>69399.165509765793</v>
      </c>
      <c r="Q1697" s="50">
        <v>66645.400000000009</v>
      </c>
      <c r="R1697" s="65">
        <v>0</v>
      </c>
      <c r="S1697" s="65">
        <v>0</v>
      </c>
      <c r="T1697" s="65">
        <v>2753.7655097657844</v>
      </c>
      <c r="U1697" s="65">
        <v>2121</v>
      </c>
      <c r="V1697" s="65">
        <v>0</v>
      </c>
      <c r="W1697" s="65">
        <v>0</v>
      </c>
      <c r="X1697" s="65">
        <v>64524</v>
      </c>
      <c r="Y1697" s="65">
        <v>0</v>
      </c>
      <c r="Z1697" s="65">
        <v>0</v>
      </c>
      <c r="AA1697" s="51">
        <v>0</v>
      </c>
      <c r="AB1697" s="102" t="s">
        <v>66</v>
      </c>
      <c r="AC1697" s="81">
        <f t="shared" si="81"/>
        <v>0</v>
      </c>
      <c r="AD1697" s="82">
        <f t="shared" si="82"/>
        <v>0</v>
      </c>
      <c r="AE1697" s="218">
        <v>-4.1319663619181282E-2</v>
      </c>
      <c r="AF1697">
        <v>12</v>
      </c>
      <c r="AH1697" t="str">
        <f t="shared" si="83"/>
        <v>Chautham</v>
      </c>
      <c r="AJ1697" s="72">
        <v>0</v>
      </c>
      <c r="AK1697" s="72"/>
      <c r="AL1697" s="72"/>
      <c r="AM1697" s="72"/>
    </row>
    <row r="1698" spans="1:39" x14ac:dyDescent="0.25">
      <c r="A1698" s="37" t="s">
        <v>62</v>
      </c>
      <c r="B1698" s="66" t="s">
        <v>1615</v>
      </c>
      <c r="C1698" s="47">
        <v>1056</v>
      </c>
      <c r="D1698" s="47" t="s">
        <v>838</v>
      </c>
      <c r="E1698" s="41">
        <v>10560012</v>
      </c>
      <c r="F1698" s="46" t="s">
        <v>1279</v>
      </c>
      <c r="G1698" s="39" t="s">
        <v>93</v>
      </c>
      <c r="H1698" s="48" t="s">
        <v>94</v>
      </c>
      <c r="I1698" s="52">
        <v>1198.6199999999999</v>
      </c>
      <c r="J1698" s="49">
        <v>45815.549999999996</v>
      </c>
      <c r="K1698" s="65">
        <v>1202.6399999999999</v>
      </c>
      <c r="L1698" s="65">
        <v>46293.230843660443</v>
      </c>
      <c r="M1698" s="65">
        <v>0</v>
      </c>
      <c r="N1698" s="65">
        <v>0</v>
      </c>
      <c r="O1698" s="65">
        <v>1202.6399999999999</v>
      </c>
      <c r="P1698" s="65">
        <v>46293.230843660443</v>
      </c>
      <c r="Q1698" s="50">
        <v>45815.549999999996</v>
      </c>
      <c r="R1698" s="65">
        <v>0</v>
      </c>
      <c r="S1698" s="65">
        <v>0</v>
      </c>
      <c r="T1698" s="65">
        <v>477.68084366044786</v>
      </c>
      <c r="U1698" s="65">
        <v>6500</v>
      </c>
      <c r="V1698" s="65">
        <v>0</v>
      </c>
      <c r="W1698" s="65">
        <v>0</v>
      </c>
      <c r="X1698" s="65">
        <v>39316</v>
      </c>
      <c r="Y1698" s="65">
        <v>0</v>
      </c>
      <c r="Z1698" s="65">
        <v>0</v>
      </c>
      <c r="AA1698" s="51">
        <v>0</v>
      </c>
      <c r="AB1698" s="102">
        <v>0</v>
      </c>
      <c r="AC1698" s="81">
        <f t="shared" si="81"/>
        <v>0</v>
      </c>
      <c r="AD1698" s="82">
        <f t="shared" si="82"/>
        <v>0</v>
      </c>
      <c r="AE1698" s="218">
        <v>-1.0426172853113144E-2</v>
      </c>
      <c r="AF1698">
        <v>2</v>
      </c>
      <c r="AH1698" t="str">
        <f t="shared" si="83"/>
        <v>Chautham</v>
      </c>
      <c r="AJ1698" s="72">
        <v>0</v>
      </c>
      <c r="AK1698" s="72"/>
      <c r="AL1698" s="72"/>
      <c r="AM1698" s="72"/>
    </row>
    <row r="1699" spans="1:39" x14ac:dyDescent="0.25">
      <c r="A1699" s="37" t="s">
        <v>62</v>
      </c>
      <c r="B1699" s="66" t="s">
        <v>1615</v>
      </c>
      <c r="C1699" s="47">
        <v>1056</v>
      </c>
      <c r="D1699" s="47" t="s">
        <v>838</v>
      </c>
      <c r="E1699" s="41">
        <v>10560015</v>
      </c>
      <c r="F1699" s="46" t="s">
        <v>1234</v>
      </c>
      <c r="G1699" s="39" t="s">
        <v>635</v>
      </c>
      <c r="H1699" s="48" t="s">
        <v>99</v>
      </c>
      <c r="I1699" s="52">
        <v>293.04000000000002</v>
      </c>
      <c r="J1699" s="49">
        <v>10772.49</v>
      </c>
      <c r="K1699" s="65">
        <v>0</v>
      </c>
      <c r="L1699" s="65">
        <v>0</v>
      </c>
      <c r="M1699" s="65">
        <v>0</v>
      </c>
      <c r="N1699" s="65">
        <v>0</v>
      </c>
      <c r="O1699" s="65">
        <v>0</v>
      </c>
      <c r="P1699" s="65">
        <v>0</v>
      </c>
      <c r="Q1699" s="50">
        <v>10772.49</v>
      </c>
      <c r="R1699" s="65">
        <v>0</v>
      </c>
      <c r="S1699" s="65">
        <v>0</v>
      </c>
      <c r="T1699" s="65">
        <v>0</v>
      </c>
      <c r="U1699" s="65">
        <v>5200</v>
      </c>
      <c r="V1699" s="65">
        <v>193.89371225806437</v>
      </c>
      <c r="W1699" s="65">
        <v>0</v>
      </c>
      <c r="X1699" s="65">
        <v>0</v>
      </c>
      <c r="Y1699" s="65">
        <v>0</v>
      </c>
      <c r="Z1699" s="65">
        <v>5378.5962877419352</v>
      </c>
      <c r="AA1699" s="51">
        <v>0</v>
      </c>
      <c r="AB1699" s="102">
        <v>0</v>
      </c>
      <c r="AC1699" s="81">
        <f t="shared" si="81"/>
        <v>299.20642440622436</v>
      </c>
      <c r="AD1699" s="82">
        <f t="shared" si="82"/>
        <v>41.862857142857145</v>
      </c>
      <c r="AE1699" s="218">
        <v>0</v>
      </c>
      <c r="AF1699">
        <v>0</v>
      </c>
      <c r="AH1699" t="str">
        <f t="shared" si="83"/>
        <v>Chautham</v>
      </c>
      <c r="AJ1699" s="72">
        <v>0</v>
      </c>
      <c r="AK1699" s="72"/>
      <c r="AL1699" s="72"/>
      <c r="AM1699" s="72"/>
    </row>
    <row r="1700" spans="1:39" x14ac:dyDescent="0.25">
      <c r="A1700" s="37" t="s">
        <v>62</v>
      </c>
      <c r="B1700" s="66" t="s">
        <v>1615</v>
      </c>
      <c r="C1700" s="41">
        <v>1056</v>
      </c>
      <c r="D1700" s="41" t="s">
        <v>838</v>
      </c>
      <c r="E1700" s="41">
        <v>10560016</v>
      </c>
      <c r="F1700" s="85" t="s">
        <v>1439</v>
      </c>
      <c r="G1700" s="39" t="s">
        <v>93</v>
      </c>
      <c r="H1700" s="52" t="s">
        <v>94</v>
      </c>
      <c r="I1700" s="52">
        <v>910.94</v>
      </c>
      <c r="J1700" s="49">
        <v>34055.51</v>
      </c>
      <c r="K1700" s="58">
        <v>910.94</v>
      </c>
      <c r="L1700" s="58">
        <v>34948.5033466206</v>
      </c>
      <c r="M1700" s="58">
        <v>0</v>
      </c>
      <c r="N1700" s="58">
        <v>0</v>
      </c>
      <c r="O1700" s="58">
        <v>910.94</v>
      </c>
      <c r="P1700" s="53">
        <v>34948.5033466206</v>
      </c>
      <c r="Q1700" s="58">
        <v>34055.51</v>
      </c>
      <c r="R1700" s="58">
        <v>0</v>
      </c>
      <c r="S1700" s="58">
        <v>0</v>
      </c>
      <c r="T1700" s="58">
        <v>892.99334662059846</v>
      </c>
      <c r="U1700" s="58">
        <v>13000</v>
      </c>
      <c r="V1700" s="58">
        <v>0</v>
      </c>
      <c r="W1700" s="58">
        <v>0</v>
      </c>
      <c r="X1700" s="58">
        <v>21056</v>
      </c>
      <c r="Y1700" s="58">
        <v>0</v>
      </c>
      <c r="Z1700" s="55">
        <v>0</v>
      </c>
      <c r="AA1700" s="51">
        <v>0</v>
      </c>
      <c r="AB1700" s="102">
        <v>0</v>
      </c>
      <c r="AC1700" s="81">
        <f t="shared" si="81"/>
        <v>0</v>
      </c>
      <c r="AD1700" s="82">
        <f t="shared" si="82"/>
        <v>0</v>
      </c>
      <c r="AE1700" s="218">
        <v>-2.6221699414297375E-2</v>
      </c>
      <c r="AF1700">
        <v>1</v>
      </c>
      <c r="AH1700" t="str">
        <f t="shared" si="83"/>
        <v>Chautham</v>
      </c>
      <c r="AJ1700" s="72">
        <v>0</v>
      </c>
      <c r="AK1700" s="72"/>
      <c r="AL1700" s="72"/>
      <c r="AM1700" s="72"/>
    </row>
    <row r="1701" spans="1:39" x14ac:dyDescent="0.25">
      <c r="A1701" s="37" t="s">
        <v>62</v>
      </c>
      <c r="B1701" s="66" t="s">
        <v>1615</v>
      </c>
      <c r="C1701" s="41">
        <v>1056</v>
      </c>
      <c r="D1701" s="41" t="s">
        <v>838</v>
      </c>
      <c r="E1701" s="41">
        <v>10560017</v>
      </c>
      <c r="F1701" s="85" t="s">
        <v>1238</v>
      </c>
      <c r="G1701" s="39" t="s">
        <v>93</v>
      </c>
      <c r="H1701" s="52" t="s">
        <v>94</v>
      </c>
      <c r="I1701" s="52">
        <v>1040.3400000000001</v>
      </c>
      <c r="J1701" s="49">
        <v>40309.060000000005</v>
      </c>
      <c r="K1701" s="58">
        <v>1040.3499999999999</v>
      </c>
      <c r="L1701" s="58">
        <v>41789.55300738263</v>
      </c>
      <c r="M1701" s="58">
        <v>0</v>
      </c>
      <c r="N1701" s="58">
        <v>0</v>
      </c>
      <c r="O1701" s="58">
        <v>1040.3499999999999</v>
      </c>
      <c r="P1701" s="53">
        <v>41789.55300738263</v>
      </c>
      <c r="Q1701" s="58">
        <v>40309.060000000005</v>
      </c>
      <c r="R1701" s="58">
        <v>0</v>
      </c>
      <c r="S1701" s="58">
        <v>0</v>
      </c>
      <c r="T1701" s="58">
        <v>1480.4930073826254</v>
      </c>
      <c r="U1701" s="58">
        <v>13000</v>
      </c>
      <c r="V1701" s="58">
        <v>0</v>
      </c>
      <c r="W1701" s="58">
        <v>0</v>
      </c>
      <c r="X1701" s="58">
        <v>27309</v>
      </c>
      <c r="Y1701" s="58">
        <v>0</v>
      </c>
      <c r="Z1701" s="55">
        <v>0</v>
      </c>
      <c r="AA1701" s="51">
        <v>0</v>
      </c>
      <c r="AB1701" s="102" t="s">
        <v>68</v>
      </c>
      <c r="AC1701" s="81">
        <f t="shared" si="81"/>
        <v>0</v>
      </c>
      <c r="AD1701" s="82">
        <f t="shared" si="82"/>
        <v>0</v>
      </c>
      <c r="AE1701" s="218">
        <v>-3.6728542103999083E-2</v>
      </c>
      <c r="AF1701">
        <v>21</v>
      </c>
      <c r="AH1701" t="str">
        <f t="shared" si="83"/>
        <v>Chautham</v>
      </c>
      <c r="AJ1701" s="72">
        <v>0</v>
      </c>
      <c r="AK1701" s="72"/>
      <c r="AL1701" s="72"/>
      <c r="AM1701" s="72"/>
    </row>
    <row r="1702" spans="1:39" x14ac:dyDescent="0.25">
      <c r="A1702" s="37" t="s">
        <v>62</v>
      </c>
      <c r="B1702" s="66" t="s">
        <v>1615</v>
      </c>
      <c r="C1702" s="41">
        <v>1056</v>
      </c>
      <c r="D1702" s="41" t="s">
        <v>838</v>
      </c>
      <c r="E1702" s="41">
        <v>10560019</v>
      </c>
      <c r="F1702" s="85" t="s">
        <v>1239</v>
      </c>
      <c r="G1702" s="39" t="s">
        <v>93</v>
      </c>
      <c r="H1702" s="52" t="s">
        <v>99</v>
      </c>
      <c r="I1702" s="52">
        <v>1980.8599999999997</v>
      </c>
      <c r="J1702" s="49">
        <v>71043.69</v>
      </c>
      <c r="K1702" s="58">
        <v>0</v>
      </c>
      <c r="L1702" s="58">
        <v>0</v>
      </c>
      <c r="M1702" s="58">
        <v>0</v>
      </c>
      <c r="N1702" s="58">
        <v>0</v>
      </c>
      <c r="O1702" s="58">
        <v>0</v>
      </c>
      <c r="P1702" s="53">
        <v>0</v>
      </c>
      <c r="Q1702" s="58">
        <v>71043.69</v>
      </c>
      <c r="R1702" s="58">
        <v>0</v>
      </c>
      <c r="S1702" s="58">
        <v>0</v>
      </c>
      <c r="T1702" s="58">
        <v>0</v>
      </c>
      <c r="U1702" s="58">
        <v>1300</v>
      </c>
      <c r="V1702" s="58">
        <v>0</v>
      </c>
      <c r="W1702" s="58">
        <v>0</v>
      </c>
      <c r="X1702" s="58">
        <v>0</v>
      </c>
      <c r="Y1702" s="58">
        <v>0</v>
      </c>
      <c r="Z1702" s="55">
        <v>69743.69</v>
      </c>
      <c r="AA1702" s="51">
        <v>0</v>
      </c>
      <c r="AB1702" s="102">
        <v>0</v>
      </c>
      <c r="AC1702" s="81">
        <f t="shared" si="81"/>
        <v>0</v>
      </c>
      <c r="AD1702" s="82">
        <f t="shared" si="82"/>
        <v>0</v>
      </c>
      <c r="AE1702" s="218">
        <v>0</v>
      </c>
      <c r="AF1702">
        <v>0</v>
      </c>
      <c r="AH1702" t="str">
        <f t="shared" si="83"/>
        <v>Chautham</v>
      </c>
      <c r="AJ1702" s="72">
        <v>0</v>
      </c>
      <c r="AK1702" s="72"/>
      <c r="AL1702" s="72"/>
      <c r="AM1702" s="72"/>
    </row>
    <row r="1703" spans="1:39" x14ac:dyDescent="0.25">
      <c r="A1703" s="37" t="s">
        <v>62</v>
      </c>
      <c r="B1703" s="66" t="s">
        <v>1615</v>
      </c>
      <c r="C1703" s="41">
        <v>1056</v>
      </c>
      <c r="D1703" s="41" t="s">
        <v>838</v>
      </c>
      <c r="E1703" s="41">
        <v>10560021</v>
      </c>
      <c r="F1703" s="85" t="s">
        <v>1595</v>
      </c>
      <c r="G1703" s="39" t="s">
        <v>635</v>
      </c>
      <c r="H1703" s="52" t="s">
        <v>99</v>
      </c>
      <c r="I1703" s="52">
        <v>18.54</v>
      </c>
      <c r="J1703" s="49">
        <v>704.89</v>
      </c>
      <c r="K1703" s="58">
        <v>0</v>
      </c>
      <c r="L1703" s="58">
        <v>0</v>
      </c>
      <c r="M1703" s="58">
        <v>0</v>
      </c>
      <c r="N1703" s="58">
        <v>0</v>
      </c>
      <c r="O1703" s="58">
        <v>0</v>
      </c>
      <c r="P1703" s="53">
        <v>0</v>
      </c>
      <c r="Q1703" s="58">
        <v>704.89</v>
      </c>
      <c r="R1703" s="58">
        <v>0</v>
      </c>
      <c r="S1703" s="58">
        <v>0</v>
      </c>
      <c r="T1703" s="58">
        <v>0</v>
      </c>
      <c r="U1703" s="58">
        <v>0</v>
      </c>
      <c r="V1703" s="58">
        <v>698.71139999999991</v>
      </c>
      <c r="W1703" s="58">
        <v>0</v>
      </c>
      <c r="X1703" s="58">
        <v>0</v>
      </c>
      <c r="Y1703" s="58">
        <v>0</v>
      </c>
      <c r="Z1703" s="55">
        <v>6.178600000000074</v>
      </c>
      <c r="AA1703" s="51">
        <v>0</v>
      </c>
      <c r="AB1703" s="102">
        <v>0</v>
      </c>
      <c r="AC1703" s="81">
        <f t="shared" si="81"/>
        <v>518.18159590075516</v>
      </c>
      <c r="AD1703" s="82">
        <f t="shared" si="82"/>
        <v>2.6485714285714286</v>
      </c>
      <c r="AE1703" s="218">
        <v>0</v>
      </c>
      <c r="AF1703">
        <v>0</v>
      </c>
      <c r="AH1703" t="str">
        <f t="shared" si="83"/>
        <v>Chautham</v>
      </c>
      <c r="AJ1703" s="72">
        <v>0</v>
      </c>
      <c r="AK1703" s="72"/>
      <c r="AL1703" s="72"/>
      <c r="AM1703" s="72"/>
    </row>
    <row r="1704" spans="1:39" x14ac:dyDescent="0.25">
      <c r="A1704" s="37" t="s">
        <v>62</v>
      </c>
      <c r="B1704" s="66" t="s">
        <v>1615</v>
      </c>
      <c r="C1704" s="41">
        <v>1056</v>
      </c>
      <c r="D1704" s="41" t="s">
        <v>838</v>
      </c>
      <c r="E1704" s="41">
        <v>10560022</v>
      </c>
      <c r="F1704" s="85" t="s">
        <v>1339</v>
      </c>
      <c r="G1704" s="39" t="s">
        <v>93</v>
      </c>
      <c r="H1704" s="52" t="s">
        <v>94</v>
      </c>
      <c r="I1704" s="52">
        <v>2011.1000000000001</v>
      </c>
      <c r="J1704" s="49">
        <v>85900.6</v>
      </c>
      <c r="K1704" s="58">
        <v>2016.1199999999997</v>
      </c>
      <c r="L1704" s="58">
        <v>85947.830317800006</v>
      </c>
      <c r="M1704" s="58">
        <v>0</v>
      </c>
      <c r="N1704" s="58">
        <v>0</v>
      </c>
      <c r="O1704" s="58">
        <v>2016.1199999999997</v>
      </c>
      <c r="P1704" s="53">
        <v>85947.830317800006</v>
      </c>
      <c r="Q1704" s="58">
        <v>85900.6</v>
      </c>
      <c r="R1704" s="58">
        <v>0</v>
      </c>
      <c r="S1704" s="58">
        <v>0</v>
      </c>
      <c r="T1704" s="58">
        <v>47.230317800000194</v>
      </c>
      <c r="U1704" s="58">
        <v>0</v>
      </c>
      <c r="V1704" s="58">
        <v>0</v>
      </c>
      <c r="W1704" s="58">
        <v>0</v>
      </c>
      <c r="X1704" s="58">
        <v>85901</v>
      </c>
      <c r="Y1704" s="58">
        <v>0</v>
      </c>
      <c r="Z1704" s="55">
        <v>0</v>
      </c>
      <c r="AA1704" s="51">
        <v>0</v>
      </c>
      <c r="AB1704" s="102">
        <v>0</v>
      </c>
      <c r="AC1704" s="81">
        <f t="shared" si="81"/>
        <v>0</v>
      </c>
      <c r="AD1704" s="82">
        <f t="shared" si="82"/>
        <v>0</v>
      </c>
      <c r="AE1704" s="218">
        <v>-5.4982523754199843E-4</v>
      </c>
      <c r="AF1704">
        <v>1</v>
      </c>
      <c r="AH1704" t="str">
        <f t="shared" si="83"/>
        <v>Chautham</v>
      </c>
      <c r="AJ1704" s="72">
        <v>0</v>
      </c>
      <c r="AK1704" s="72"/>
      <c r="AL1704" s="72"/>
      <c r="AM1704" s="72"/>
    </row>
    <row r="1705" spans="1:39" x14ac:dyDescent="0.25">
      <c r="A1705" s="37" t="s">
        <v>62</v>
      </c>
      <c r="B1705" s="66" t="s">
        <v>1615</v>
      </c>
      <c r="C1705" s="41">
        <v>1056</v>
      </c>
      <c r="D1705" s="41" t="s">
        <v>838</v>
      </c>
      <c r="E1705" s="41">
        <v>10560025</v>
      </c>
      <c r="F1705" s="85" t="s">
        <v>1319</v>
      </c>
      <c r="G1705" s="39" t="s">
        <v>635</v>
      </c>
      <c r="H1705" s="52" t="s">
        <v>99</v>
      </c>
      <c r="I1705" s="52">
        <v>129.16</v>
      </c>
      <c r="J1705" s="49">
        <v>5303.87</v>
      </c>
      <c r="K1705" s="58">
        <v>0</v>
      </c>
      <c r="L1705" s="58">
        <v>0</v>
      </c>
      <c r="M1705" s="58">
        <v>0</v>
      </c>
      <c r="N1705" s="58">
        <v>0</v>
      </c>
      <c r="O1705" s="58">
        <v>0</v>
      </c>
      <c r="P1705" s="53">
        <v>0</v>
      </c>
      <c r="Q1705" s="58">
        <v>5303.87</v>
      </c>
      <c r="R1705" s="58">
        <v>0</v>
      </c>
      <c r="S1705" s="58">
        <v>0</v>
      </c>
      <c r="T1705" s="58">
        <v>0</v>
      </c>
      <c r="U1705" s="58">
        <v>1300</v>
      </c>
      <c r="V1705" s="58">
        <v>0</v>
      </c>
      <c r="W1705" s="58">
        <v>0</v>
      </c>
      <c r="X1705" s="58">
        <v>0</v>
      </c>
      <c r="Y1705" s="58">
        <v>0</v>
      </c>
      <c r="Z1705" s="55">
        <v>4003.87</v>
      </c>
      <c r="AA1705" s="51">
        <v>0</v>
      </c>
      <c r="AB1705" s="102">
        <v>0</v>
      </c>
      <c r="AC1705" s="81">
        <f t="shared" si="81"/>
        <v>468.82334326416844</v>
      </c>
      <c r="AD1705" s="82">
        <f t="shared" si="82"/>
        <v>18.451428571428572</v>
      </c>
      <c r="AE1705" s="218">
        <v>0</v>
      </c>
      <c r="AF1705">
        <v>0</v>
      </c>
      <c r="AH1705" t="str">
        <f t="shared" si="83"/>
        <v>Chautham</v>
      </c>
      <c r="AJ1705" s="72">
        <v>0</v>
      </c>
      <c r="AK1705" s="72"/>
      <c r="AL1705" s="72"/>
      <c r="AM1705" s="72"/>
    </row>
    <row r="1706" spans="1:39" x14ac:dyDescent="0.25">
      <c r="A1706" s="37" t="s">
        <v>62</v>
      </c>
      <c r="B1706" s="66" t="s">
        <v>1615</v>
      </c>
      <c r="C1706" s="41">
        <v>1056</v>
      </c>
      <c r="D1706" s="41" t="s">
        <v>838</v>
      </c>
      <c r="E1706" s="41">
        <v>10560026</v>
      </c>
      <c r="F1706" s="85" t="s">
        <v>1340</v>
      </c>
      <c r="G1706" s="39" t="s">
        <v>93</v>
      </c>
      <c r="H1706" s="52" t="s">
        <v>94</v>
      </c>
      <c r="I1706" s="52">
        <v>1179.8</v>
      </c>
      <c r="J1706" s="49">
        <v>45591.24</v>
      </c>
      <c r="K1706" s="58">
        <v>1191.6399999999999</v>
      </c>
      <c r="L1706" s="58">
        <v>46960.264352140606</v>
      </c>
      <c r="M1706" s="58">
        <v>0</v>
      </c>
      <c r="N1706" s="58">
        <v>0</v>
      </c>
      <c r="O1706" s="58">
        <v>1191.6399999999999</v>
      </c>
      <c r="P1706" s="53">
        <v>46960.264352140606</v>
      </c>
      <c r="Q1706" s="58">
        <v>45591.24</v>
      </c>
      <c r="R1706" s="58">
        <v>0</v>
      </c>
      <c r="S1706" s="58">
        <v>0</v>
      </c>
      <c r="T1706" s="58">
        <v>1369.0243521406082</v>
      </c>
      <c r="U1706" s="58">
        <v>2097</v>
      </c>
      <c r="V1706" s="58">
        <v>0</v>
      </c>
      <c r="W1706" s="58">
        <v>0</v>
      </c>
      <c r="X1706" s="58">
        <v>43494</v>
      </c>
      <c r="Y1706" s="58">
        <v>0</v>
      </c>
      <c r="Z1706" s="55">
        <v>0</v>
      </c>
      <c r="AA1706" s="51">
        <v>0</v>
      </c>
      <c r="AB1706" s="102" t="s">
        <v>66</v>
      </c>
      <c r="AC1706" s="81">
        <f t="shared" si="81"/>
        <v>0</v>
      </c>
      <c r="AD1706" s="82">
        <f t="shared" si="82"/>
        <v>0</v>
      </c>
      <c r="AE1706" s="218">
        <v>-3.0028232444228503E-2</v>
      </c>
      <c r="AF1706">
        <v>20</v>
      </c>
      <c r="AH1706" t="str">
        <f t="shared" si="83"/>
        <v>Chautham</v>
      </c>
      <c r="AJ1706" s="72">
        <v>0</v>
      </c>
      <c r="AK1706" s="72"/>
      <c r="AL1706" s="72"/>
      <c r="AM1706" s="72"/>
    </row>
    <row r="1707" spans="1:39" x14ac:dyDescent="0.25">
      <c r="A1707" s="37" t="s">
        <v>62</v>
      </c>
      <c r="B1707" s="66" t="s">
        <v>1615</v>
      </c>
      <c r="C1707" s="41">
        <v>1056</v>
      </c>
      <c r="D1707" s="41" t="s">
        <v>838</v>
      </c>
      <c r="E1707" s="41">
        <v>10560027</v>
      </c>
      <c r="F1707" s="85" t="s">
        <v>1387</v>
      </c>
      <c r="G1707" s="39" t="s">
        <v>93</v>
      </c>
      <c r="H1707" s="52" t="s">
        <v>94</v>
      </c>
      <c r="I1707" s="52">
        <v>278.68</v>
      </c>
      <c r="J1707" s="49">
        <v>10753.37</v>
      </c>
      <c r="K1707" s="58">
        <v>297.22000000000003</v>
      </c>
      <c r="L1707" s="58">
        <v>11457.9686993508</v>
      </c>
      <c r="M1707" s="58">
        <v>0</v>
      </c>
      <c r="N1707" s="58">
        <v>0</v>
      </c>
      <c r="O1707" s="58">
        <v>297.22000000000003</v>
      </c>
      <c r="P1707" s="53">
        <v>11457.9686993508</v>
      </c>
      <c r="Q1707" s="58">
        <v>10753.37</v>
      </c>
      <c r="R1707" s="58">
        <v>0</v>
      </c>
      <c r="S1707" s="58">
        <v>0</v>
      </c>
      <c r="T1707" s="58">
        <v>704.59869935079951</v>
      </c>
      <c r="U1707" s="58">
        <v>0</v>
      </c>
      <c r="V1707" s="58">
        <v>0</v>
      </c>
      <c r="W1707" s="58">
        <v>0</v>
      </c>
      <c r="X1707" s="58">
        <v>10753</v>
      </c>
      <c r="Y1707" s="58">
        <v>0</v>
      </c>
      <c r="Z1707" s="55">
        <v>0</v>
      </c>
      <c r="AA1707" s="51">
        <v>0</v>
      </c>
      <c r="AB1707" s="102">
        <v>0</v>
      </c>
      <c r="AC1707" s="81">
        <f t="shared" si="81"/>
        <v>325.14782893641456</v>
      </c>
      <c r="AD1707" s="82">
        <f t="shared" si="82"/>
        <v>39.811428571428571</v>
      </c>
      <c r="AE1707" s="218">
        <v>-6.5523524192955276E-2</v>
      </c>
      <c r="AF1707">
        <v>1</v>
      </c>
      <c r="AH1707" t="str">
        <f t="shared" si="83"/>
        <v>Chautham</v>
      </c>
      <c r="AJ1707" s="72">
        <v>0</v>
      </c>
      <c r="AK1707" s="72"/>
      <c r="AL1707" s="72"/>
      <c r="AM1707" s="72"/>
    </row>
    <row r="1708" spans="1:39" x14ac:dyDescent="0.25">
      <c r="A1708" s="37" t="s">
        <v>62</v>
      </c>
      <c r="B1708" s="66" t="s">
        <v>1615</v>
      </c>
      <c r="C1708" s="41">
        <v>1056</v>
      </c>
      <c r="D1708" s="41" t="s">
        <v>838</v>
      </c>
      <c r="E1708" s="41">
        <v>10560028</v>
      </c>
      <c r="F1708" s="85" t="s">
        <v>1454</v>
      </c>
      <c r="G1708" s="39" t="s">
        <v>93</v>
      </c>
      <c r="H1708" s="52" t="s">
        <v>94</v>
      </c>
      <c r="I1708" s="52">
        <v>295.70000000000005</v>
      </c>
      <c r="J1708" s="49">
        <v>12449.16</v>
      </c>
      <c r="K1708" s="58">
        <v>295.96000000000004</v>
      </c>
      <c r="L1708" s="58">
        <v>12469.078935878402</v>
      </c>
      <c r="M1708" s="58">
        <v>0</v>
      </c>
      <c r="N1708" s="58">
        <v>0</v>
      </c>
      <c r="O1708" s="58">
        <v>295.96000000000004</v>
      </c>
      <c r="P1708" s="53">
        <v>12469.078935878402</v>
      </c>
      <c r="Q1708" s="58">
        <v>12449.16</v>
      </c>
      <c r="R1708" s="58">
        <v>0</v>
      </c>
      <c r="S1708" s="58">
        <v>0</v>
      </c>
      <c r="T1708" s="58">
        <v>19.918935878402408</v>
      </c>
      <c r="U1708" s="58">
        <v>0</v>
      </c>
      <c r="V1708" s="58">
        <v>0</v>
      </c>
      <c r="W1708" s="58">
        <v>0</v>
      </c>
      <c r="X1708" s="58">
        <v>12449</v>
      </c>
      <c r="Y1708" s="58">
        <v>0</v>
      </c>
      <c r="Z1708" s="55">
        <v>0</v>
      </c>
      <c r="AA1708" s="51">
        <v>0</v>
      </c>
      <c r="AB1708" s="102">
        <v>0</v>
      </c>
      <c r="AC1708" s="81">
        <f t="shared" si="81"/>
        <v>340.42579560365232</v>
      </c>
      <c r="AD1708" s="82">
        <f t="shared" si="82"/>
        <v>42.242857142857147</v>
      </c>
      <c r="AE1708" s="218">
        <v>-1.6000224817098027E-3</v>
      </c>
      <c r="AF1708">
        <v>1</v>
      </c>
      <c r="AH1708" t="str">
        <f t="shared" si="83"/>
        <v>Chautham</v>
      </c>
      <c r="AJ1708" s="72">
        <v>0</v>
      </c>
      <c r="AK1708" s="72"/>
      <c r="AL1708" s="72"/>
      <c r="AM1708" s="72"/>
    </row>
    <row r="1709" spans="1:39" x14ac:dyDescent="0.25">
      <c r="A1709" s="37" t="s">
        <v>62</v>
      </c>
      <c r="B1709" s="66" t="s">
        <v>1615</v>
      </c>
      <c r="C1709" s="41">
        <v>1056</v>
      </c>
      <c r="D1709" s="41" t="s">
        <v>838</v>
      </c>
      <c r="E1709" s="41">
        <v>10560029</v>
      </c>
      <c r="F1709" s="85" t="s">
        <v>1440</v>
      </c>
      <c r="G1709" s="39" t="s">
        <v>93</v>
      </c>
      <c r="H1709" s="52" t="s">
        <v>94</v>
      </c>
      <c r="I1709" s="52">
        <v>81.160000000000011</v>
      </c>
      <c r="J1709" s="49">
        <v>3250.71</v>
      </c>
      <c r="K1709" s="58">
        <v>131.44</v>
      </c>
      <c r="L1709" s="58">
        <v>5779.3856766274521</v>
      </c>
      <c r="M1709" s="58">
        <v>0</v>
      </c>
      <c r="N1709" s="58">
        <v>0</v>
      </c>
      <c r="O1709" s="58">
        <v>131.44</v>
      </c>
      <c r="P1709" s="53">
        <v>5779.3856766274521</v>
      </c>
      <c r="Q1709" s="58">
        <v>3250.71</v>
      </c>
      <c r="R1709" s="58">
        <v>0</v>
      </c>
      <c r="S1709" s="58">
        <v>0</v>
      </c>
      <c r="T1709" s="58">
        <v>2528.675676627452</v>
      </c>
      <c r="U1709" s="58">
        <v>2600</v>
      </c>
      <c r="V1709" s="58">
        <v>0</v>
      </c>
      <c r="W1709" s="58">
        <v>0</v>
      </c>
      <c r="X1709" s="58">
        <v>651</v>
      </c>
      <c r="Y1709" s="58">
        <v>0</v>
      </c>
      <c r="Z1709" s="55">
        <v>0</v>
      </c>
      <c r="AA1709" s="51">
        <v>0</v>
      </c>
      <c r="AB1709" s="102">
        <v>0</v>
      </c>
      <c r="AC1709" s="81">
        <f t="shared" si="81"/>
        <v>495.72926968950213</v>
      </c>
      <c r="AD1709" s="82">
        <f t="shared" si="82"/>
        <v>11.594285714285716</v>
      </c>
      <c r="AE1709" s="218">
        <v>-0.77788411658605416</v>
      </c>
      <c r="AF1709">
        <v>1</v>
      </c>
      <c r="AH1709" t="str">
        <f t="shared" si="83"/>
        <v>Chautham</v>
      </c>
      <c r="AJ1709" s="72">
        <v>0</v>
      </c>
      <c r="AK1709" s="72"/>
      <c r="AL1709" s="72"/>
      <c r="AM1709" s="72"/>
    </row>
    <row r="1710" spans="1:39" x14ac:dyDescent="0.25">
      <c r="A1710" s="37" t="s">
        <v>62</v>
      </c>
      <c r="B1710" s="66" t="s">
        <v>1615</v>
      </c>
      <c r="C1710" s="41">
        <v>1056</v>
      </c>
      <c r="D1710" s="41" t="s">
        <v>838</v>
      </c>
      <c r="E1710" s="41">
        <v>10560031</v>
      </c>
      <c r="F1710" s="85" t="s">
        <v>1455</v>
      </c>
      <c r="G1710" s="39" t="s">
        <v>93</v>
      </c>
      <c r="H1710" s="52" t="s">
        <v>94</v>
      </c>
      <c r="I1710" s="52">
        <v>642.82000000000005</v>
      </c>
      <c r="J1710" s="49">
        <v>23454.02</v>
      </c>
      <c r="K1710" s="58">
        <v>653.49</v>
      </c>
      <c r="L1710" s="58">
        <v>23959.846511964002</v>
      </c>
      <c r="M1710" s="58">
        <v>0</v>
      </c>
      <c r="N1710" s="58">
        <v>0</v>
      </c>
      <c r="O1710" s="58">
        <v>653.49</v>
      </c>
      <c r="P1710" s="53">
        <v>23959.846511964002</v>
      </c>
      <c r="Q1710" s="58">
        <v>23454.02</v>
      </c>
      <c r="R1710" s="58">
        <v>0</v>
      </c>
      <c r="S1710" s="58">
        <v>0</v>
      </c>
      <c r="T1710" s="58">
        <v>505.82651196400184</v>
      </c>
      <c r="U1710" s="58">
        <v>0</v>
      </c>
      <c r="V1710" s="58">
        <v>0</v>
      </c>
      <c r="W1710" s="58">
        <v>0</v>
      </c>
      <c r="X1710" s="58">
        <v>23454</v>
      </c>
      <c r="Y1710" s="58">
        <v>0</v>
      </c>
      <c r="Z1710" s="55">
        <v>0</v>
      </c>
      <c r="AA1710" s="51">
        <v>0</v>
      </c>
      <c r="AB1710" s="102">
        <v>0</v>
      </c>
      <c r="AC1710" s="81">
        <f t="shared" si="81"/>
        <v>41.725548788152182</v>
      </c>
      <c r="AD1710" s="82">
        <f t="shared" si="82"/>
        <v>91.831428571428575</v>
      </c>
      <c r="AE1710" s="218">
        <v>-2.1566729795745115E-2</v>
      </c>
      <c r="AF1710">
        <v>1</v>
      </c>
      <c r="AH1710" t="str">
        <f t="shared" si="83"/>
        <v>Chautham</v>
      </c>
      <c r="AJ1710" s="72">
        <v>0</v>
      </c>
      <c r="AK1710" s="72"/>
      <c r="AL1710" s="72"/>
      <c r="AM1710" s="72"/>
    </row>
    <row r="1711" spans="1:39" x14ac:dyDescent="0.25">
      <c r="A1711" s="37" t="s">
        <v>62</v>
      </c>
      <c r="B1711" s="66" t="s">
        <v>1615</v>
      </c>
      <c r="C1711" s="41">
        <v>1056</v>
      </c>
      <c r="D1711" s="41" t="s">
        <v>838</v>
      </c>
      <c r="E1711" s="41">
        <v>10560033</v>
      </c>
      <c r="F1711" s="85" t="s">
        <v>1504</v>
      </c>
      <c r="G1711" s="39" t="s">
        <v>635</v>
      </c>
      <c r="H1711" s="52" t="s">
        <v>99</v>
      </c>
      <c r="I1711" s="52">
        <v>236.32000000000002</v>
      </c>
      <c r="J1711" s="49">
        <v>9450.9500000000007</v>
      </c>
      <c r="K1711" s="58">
        <v>0</v>
      </c>
      <c r="L1711" s="58">
        <v>0</v>
      </c>
      <c r="M1711" s="58">
        <v>0</v>
      </c>
      <c r="N1711" s="58">
        <v>0</v>
      </c>
      <c r="O1711" s="58">
        <v>0</v>
      </c>
      <c r="P1711" s="53">
        <v>0</v>
      </c>
      <c r="Q1711" s="58">
        <v>9450.9500000000007</v>
      </c>
      <c r="R1711" s="58">
        <v>0</v>
      </c>
      <c r="S1711" s="58">
        <v>0</v>
      </c>
      <c r="T1711" s="58">
        <v>0</v>
      </c>
      <c r="U1711" s="58">
        <v>0</v>
      </c>
      <c r="V1711" s="58">
        <v>0</v>
      </c>
      <c r="W1711" s="58">
        <v>0</v>
      </c>
      <c r="X1711" s="58">
        <v>0</v>
      </c>
      <c r="Y1711" s="58">
        <v>0</v>
      </c>
      <c r="Z1711" s="55">
        <v>9450.9500000000007</v>
      </c>
      <c r="AA1711" s="51">
        <v>0</v>
      </c>
      <c r="AB1711" s="102" t="s">
        <v>1427</v>
      </c>
      <c r="AC1711" s="81">
        <f t="shared" si="81"/>
        <v>370.87140284360186</v>
      </c>
      <c r="AD1711" s="82">
        <f t="shared" si="82"/>
        <v>33.760000000000005</v>
      </c>
      <c r="AE1711" s="218">
        <v>0</v>
      </c>
      <c r="AF1711">
        <v>0</v>
      </c>
      <c r="AH1711" t="str">
        <f t="shared" si="83"/>
        <v>Chautham</v>
      </c>
      <c r="AJ1711" s="72">
        <v>0</v>
      </c>
      <c r="AK1711" s="72"/>
      <c r="AL1711" s="72"/>
      <c r="AM1711" s="72"/>
    </row>
    <row r="1712" spans="1:39" x14ac:dyDescent="0.25">
      <c r="A1712" s="37" t="s">
        <v>62</v>
      </c>
      <c r="B1712" s="66" t="s">
        <v>1615</v>
      </c>
      <c r="C1712" s="41">
        <v>1056</v>
      </c>
      <c r="D1712" s="41" t="s">
        <v>838</v>
      </c>
      <c r="E1712" s="41">
        <v>10560034</v>
      </c>
      <c r="F1712" s="85" t="s">
        <v>1394</v>
      </c>
      <c r="G1712" s="39" t="s">
        <v>635</v>
      </c>
      <c r="H1712" s="52" t="s">
        <v>99</v>
      </c>
      <c r="I1712" s="52">
        <v>209.78</v>
      </c>
      <c r="J1712" s="49">
        <v>7415.4300000000012</v>
      </c>
      <c r="K1712" s="58">
        <v>0</v>
      </c>
      <c r="L1712" s="58">
        <v>0</v>
      </c>
      <c r="M1712" s="58">
        <v>0</v>
      </c>
      <c r="N1712" s="58">
        <v>0</v>
      </c>
      <c r="O1712" s="58">
        <v>0</v>
      </c>
      <c r="P1712" s="53">
        <v>0</v>
      </c>
      <c r="Q1712" s="58">
        <v>7415.4300000000012</v>
      </c>
      <c r="R1712" s="58">
        <v>0</v>
      </c>
      <c r="S1712" s="58">
        <v>0</v>
      </c>
      <c r="T1712" s="58">
        <v>0</v>
      </c>
      <c r="U1712" s="58">
        <v>6500</v>
      </c>
      <c r="V1712" s="58">
        <v>0</v>
      </c>
      <c r="W1712" s="58">
        <v>0</v>
      </c>
      <c r="X1712" s="58">
        <v>0</v>
      </c>
      <c r="Y1712" s="58">
        <v>0</v>
      </c>
      <c r="Z1712" s="55">
        <v>915.4300000000012</v>
      </c>
      <c r="AA1712" s="51">
        <v>0</v>
      </c>
      <c r="AB1712" s="102">
        <v>0</v>
      </c>
      <c r="AC1712" s="81">
        <f t="shared" si="81"/>
        <v>346.57184618171414</v>
      </c>
      <c r="AD1712" s="82">
        <f t="shared" si="82"/>
        <v>29.96857142857143</v>
      </c>
      <c r="AE1712" s="218">
        <v>0</v>
      </c>
      <c r="AF1712">
        <v>0</v>
      </c>
      <c r="AH1712" t="str">
        <f t="shared" si="83"/>
        <v>Chautham</v>
      </c>
      <c r="AJ1712" s="72">
        <v>0</v>
      </c>
      <c r="AK1712" s="72"/>
      <c r="AL1712" s="72"/>
      <c r="AM1712" s="72"/>
    </row>
    <row r="1713" spans="1:39" x14ac:dyDescent="0.25">
      <c r="A1713" s="37" t="s">
        <v>62</v>
      </c>
      <c r="B1713" s="66" t="s">
        <v>1615</v>
      </c>
      <c r="C1713" s="41">
        <v>1056</v>
      </c>
      <c r="D1713" s="41" t="s">
        <v>838</v>
      </c>
      <c r="E1713" s="41">
        <v>10560035</v>
      </c>
      <c r="F1713" s="85" t="s">
        <v>1534</v>
      </c>
      <c r="G1713" s="39" t="s">
        <v>93</v>
      </c>
      <c r="H1713" s="52" t="s">
        <v>94</v>
      </c>
      <c r="I1713" s="52">
        <v>343.90000000000003</v>
      </c>
      <c r="J1713" s="49">
        <v>13495.63</v>
      </c>
      <c r="K1713" s="58">
        <v>355.88</v>
      </c>
      <c r="L1713" s="58">
        <v>14115.460798295999</v>
      </c>
      <c r="M1713" s="58">
        <v>0</v>
      </c>
      <c r="N1713" s="58">
        <v>0</v>
      </c>
      <c r="O1713" s="58">
        <v>355.88</v>
      </c>
      <c r="P1713" s="53">
        <v>14115.460798295999</v>
      </c>
      <c r="Q1713" s="58">
        <v>13495.63</v>
      </c>
      <c r="R1713" s="58">
        <v>0</v>
      </c>
      <c r="S1713" s="58">
        <v>0</v>
      </c>
      <c r="T1713" s="58">
        <v>619.83079829599956</v>
      </c>
      <c r="U1713" s="58">
        <v>0</v>
      </c>
      <c r="V1713" s="58">
        <v>0</v>
      </c>
      <c r="W1713" s="58">
        <v>0</v>
      </c>
      <c r="X1713" s="58">
        <v>13496</v>
      </c>
      <c r="Y1713" s="58">
        <v>0</v>
      </c>
      <c r="Z1713" s="55">
        <v>0</v>
      </c>
      <c r="AA1713" s="51">
        <v>0</v>
      </c>
      <c r="AB1713" s="102">
        <v>0</v>
      </c>
      <c r="AC1713" s="81">
        <f t="shared" si="81"/>
        <v>279.48786525152656</v>
      </c>
      <c r="AD1713" s="82">
        <f t="shared" si="82"/>
        <v>49.128571428571433</v>
      </c>
      <c r="AE1713" s="218">
        <v>-4.5928259614112094E-2</v>
      </c>
      <c r="AF1713">
        <v>1</v>
      </c>
      <c r="AH1713" t="str">
        <f t="shared" si="83"/>
        <v>Chautham</v>
      </c>
      <c r="AJ1713" s="72">
        <v>0</v>
      </c>
      <c r="AK1713" s="72"/>
      <c r="AL1713" s="72"/>
      <c r="AM1713" s="72"/>
    </row>
    <row r="1714" spans="1:39" x14ac:dyDescent="0.25">
      <c r="A1714" s="37" t="s">
        <v>62</v>
      </c>
      <c r="B1714" s="66" t="s">
        <v>1615</v>
      </c>
      <c r="C1714" s="41">
        <v>1056</v>
      </c>
      <c r="D1714" s="41" t="s">
        <v>838</v>
      </c>
      <c r="E1714" s="41">
        <v>10560036</v>
      </c>
      <c r="F1714" s="85" t="s">
        <v>1505</v>
      </c>
      <c r="G1714" s="39" t="s">
        <v>93</v>
      </c>
      <c r="H1714" s="52" t="s">
        <v>94</v>
      </c>
      <c r="I1714" s="52">
        <v>269.58</v>
      </c>
      <c r="J1714" s="49">
        <v>12051.41</v>
      </c>
      <c r="K1714" s="58">
        <v>269.58000000000004</v>
      </c>
      <c r="L1714" s="58">
        <v>12363.091581925499</v>
      </c>
      <c r="M1714" s="58">
        <v>0</v>
      </c>
      <c r="N1714" s="58">
        <v>0</v>
      </c>
      <c r="O1714" s="58">
        <v>269.58000000000004</v>
      </c>
      <c r="P1714" s="53">
        <v>12363.091581925499</v>
      </c>
      <c r="Q1714" s="58">
        <v>12051.41</v>
      </c>
      <c r="R1714" s="58">
        <v>0</v>
      </c>
      <c r="S1714" s="58">
        <v>0</v>
      </c>
      <c r="T1714" s="58">
        <v>311.6815819254989</v>
      </c>
      <c r="U1714" s="58">
        <v>12051</v>
      </c>
      <c r="V1714" s="58">
        <v>0</v>
      </c>
      <c r="W1714" s="58">
        <v>0</v>
      </c>
      <c r="X1714" s="58">
        <v>0</v>
      </c>
      <c r="Y1714" s="58">
        <v>0</v>
      </c>
      <c r="Z1714" s="55">
        <v>0</v>
      </c>
      <c r="AA1714" s="51">
        <v>0</v>
      </c>
      <c r="AB1714" s="102" t="s">
        <v>66</v>
      </c>
      <c r="AC1714" s="81">
        <f t="shared" si="81"/>
        <v>384.83328824096748</v>
      </c>
      <c r="AD1714" s="82">
        <f t="shared" si="82"/>
        <v>38.511428571428567</v>
      </c>
      <c r="AE1714" s="218">
        <v>-2.58626651923301E-2</v>
      </c>
      <c r="AF1714">
        <v>1</v>
      </c>
      <c r="AH1714" t="str">
        <f t="shared" si="83"/>
        <v>Chautham</v>
      </c>
      <c r="AJ1714" s="72">
        <v>0</v>
      </c>
      <c r="AK1714" s="72"/>
      <c r="AL1714" s="72"/>
      <c r="AM1714" s="72"/>
    </row>
    <row r="1715" spans="1:39" x14ac:dyDescent="0.25">
      <c r="A1715" s="37" t="s">
        <v>62</v>
      </c>
      <c r="B1715" s="66" t="s">
        <v>1615</v>
      </c>
      <c r="C1715" s="41">
        <v>1056</v>
      </c>
      <c r="D1715" s="41" t="s">
        <v>838</v>
      </c>
      <c r="E1715" s="41">
        <v>10560037</v>
      </c>
      <c r="F1715" s="85" t="s">
        <v>1506</v>
      </c>
      <c r="G1715" s="39" t="s">
        <v>93</v>
      </c>
      <c r="H1715" s="52" t="s">
        <v>94</v>
      </c>
      <c r="I1715" s="52">
        <v>212.12</v>
      </c>
      <c r="J1715" s="49">
        <v>8344.51</v>
      </c>
      <c r="K1715" s="58">
        <v>212.24999999999994</v>
      </c>
      <c r="L1715" s="58">
        <v>8171.677735452</v>
      </c>
      <c r="M1715" s="58">
        <v>0</v>
      </c>
      <c r="N1715" s="58">
        <v>0</v>
      </c>
      <c r="O1715" s="58">
        <v>212.24999999999994</v>
      </c>
      <c r="P1715" s="53">
        <v>8171.677735452</v>
      </c>
      <c r="Q1715" s="58">
        <v>8171.677735452</v>
      </c>
      <c r="R1715" s="58">
        <v>0</v>
      </c>
      <c r="S1715" s="58">
        <v>0</v>
      </c>
      <c r="T1715" s="58">
        <v>0</v>
      </c>
      <c r="U1715" s="58">
        <v>6500</v>
      </c>
      <c r="V1715" s="58">
        <v>0</v>
      </c>
      <c r="W1715" s="58">
        <v>0</v>
      </c>
      <c r="X1715" s="58">
        <v>1672</v>
      </c>
      <c r="Y1715" s="58">
        <v>0</v>
      </c>
      <c r="Z1715" s="55">
        <v>0</v>
      </c>
      <c r="AA1715" s="51">
        <v>173</v>
      </c>
      <c r="AB1715" s="102">
        <v>0</v>
      </c>
      <c r="AC1715" s="81">
        <f t="shared" si="81"/>
        <v>383.85060709032632</v>
      </c>
      <c r="AD1715" s="82">
        <f t="shared" si="82"/>
        <v>30.302857142857142</v>
      </c>
      <c r="AE1715" s="218">
        <v>2.0712092687048159E-2</v>
      </c>
      <c r="AF1715">
        <v>1</v>
      </c>
      <c r="AH1715" t="str">
        <f t="shared" si="83"/>
        <v>Chautham</v>
      </c>
      <c r="AJ1715" s="72">
        <v>0</v>
      </c>
      <c r="AK1715" s="72"/>
      <c r="AL1715" s="72"/>
      <c r="AM1715" s="72"/>
    </row>
    <row r="1716" spans="1:39" x14ac:dyDescent="0.25">
      <c r="A1716" s="37" t="s">
        <v>62</v>
      </c>
      <c r="B1716" s="66" t="s">
        <v>1615</v>
      </c>
      <c r="C1716" s="41">
        <v>1057</v>
      </c>
      <c r="D1716" s="41" t="s">
        <v>1202</v>
      </c>
      <c r="E1716" s="41">
        <v>10570001</v>
      </c>
      <c r="F1716" s="85" t="s">
        <v>1203</v>
      </c>
      <c r="G1716" s="39" t="s">
        <v>93</v>
      </c>
      <c r="H1716" s="52" t="s">
        <v>94</v>
      </c>
      <c r="I1716" s="52">
        <v>86.199999999999989</v>
      </c>
      <c r="J1716" s="49">
        <v>3349.4</v>
      </c>
      <c r="K1716" s="58">
        <v>86.2</v>
      </c>
      <c r="L1716" s="58">
        <v>3343.4035945200003</v>
      </c>
      <c r="M1716" s="58">
        <v>0</v>
      </c>
      <c r="N1716" s="58">
        <v>0</v>
      </c>
      <c r="O1716" s="58">
        <v>86.2</v>
      </c>
      <c r="P1716" s="53">
        <v>3343.4035945200003</v>
      </c>
      <c r="Q1716" s="58">
        <v>3343.4035945200003</v>
      </c>
      <c r="R1716" s="58">
        <v>0</v>
      </c>
      <c r="S1716" s="58">
        <v>0</v>
      </c>
      <c r="T1716" s="58">
        <v>0</v>
      </c>
      <c r="U1716" s="58">
        <v>0</v>
      </c>
      <c r="V1716" s="58">
        <v>41.066623728813454</v>
      </c>
      <c r="W1716" s="58">
        <v>0</v>
      </c>
      <c r="X1716" s="58">
        <v>3302</v>
      </c>
      <c r="Y1716" s="58">
        <v>0</v>
      </c>
      <c r="Z1716" s="55">
        <v>0</v>
      </c>
      <c r="AA1716" s="51">
        <v>6</v>
      </c>
      <c r="AB1716" s="102">
        <v>0</v>
      </c>
      <c r="AC1716" s="81">
        <f t="shared" si="81"/>
        <v>476.99807888631096</v>
      </c>
      <c r="AD1716" s="82">
        <f t="shared" si="82"/>
        <v>12.314285714285713</v>
      </c>
      <c r="AE1716" s="218">
        <v>1.7902924344658129E-3</v>
      </c>
      <c r="AF1716">
        <v>1</v>
      </c>
      <c r="AH1716" t="str">
        <f t="shared" si="83"/>
        <v>Warisnagar</v>
      </c>
      <c r="AJ1716" s="72">
        <v>0</v>
      </c>
      <c r="AK1716" s="72"/>
      <c r="AL1716" s="72"/>
      <c r="AM1716" s="72"/>
    </row>
    <row r="1717" spans="1:39" x14ac:dyDescent="0.25">
      <c r="A1717" s="37" t="s">
        <v>62</v>
      </c>
      <c r="B1717" s="66" t="s">
        <v>1615</v>
      </c>
      <c r="C1717" s="41">
        <v>1057</v>
      </c>
      <c r="D1717" s="41" t="s">
        <v>1202</v>
      </c>
      <c r="E1717" s="41">
        <v>10570003</v>
      </c>
      <c r="F1717" s="85" t="s">
        <v>1204</v>
      </c>
      <c r="G1717" s="39" t="s">
        <v>93</v>
      </c>
      <c r="H1717" s="52" t="s">
        <v>94</v>
      </c>
      <c r="I1717" s="52">
        <v>212.70000000000002</v>
      </c>
      <c r="J1717" s="49">
        <v>8309.5</v>
      </c>
      <c r="K1717" s="58">
        <v>188</v>
      </c>
      <c r="L1717" s="58">
        <v>7251.7861695792026</v>
      </c>
      <c r="M1717" s="58">
        <v>24.7</v>
      </c>
      <c r="N1717" s="58">
        <v>1049.1637648260003</v>
      </c>
      <c r="O1717" s="58">
        <v>212.7</v>
      </c>
      <c r="P1717" s="53">
        <v>8300.9499344052019</v>
      </c>
      <c r="Q1717" s="58">
        <v>8300.9499344052019</v>
      </c>
      <c r="R1717" s="58">
        <v>0</v>
      </c>
      <c r="S1717" s="58">
        <v>0</v>
      </c>
      <c r="T1717" s="58">
        <v>0</v>
      </c>
      <c r="U1717" s="58">
        <v>0</v>
      </c>
      <c r="V1717" s="58">
        <v>0</v>
      </c>
      <c r="W1717" s="58">
        <v>0</v>
      </c>
      <c r="X1717" s="58">
        <v>7252</v>
      </c>
      <c r="Y1717" s="58">
        <v>1049</v>
      </c>
      <c r="Z1717" s="55">
        <v>0</v>
      </c>
      <c r="AA1717" s="51">
        <v>9</v>
      </c>
      <c r="AB1717" s="102">
        <v>0</v>
      </c>
      <c r="AC1717" s="81">
        <f t="shared" si="81"/>
        <v>380.74464974141983</v>
      </c>
      <c r="AD1717" s="82">
        <f t="shared" si="82"/>
        <v>30.38571428571429</v>
      </c>
      <c r="AE1717" s="218">
        <v>1.0289506702928059E-3</v>
      </c>
      <c r="AF1717">
        <v>3</v>
      </c>
      <c r="AH1717" t="str">
        <f t="shared" si="83"/>
        <v>Warisnagar</v>
      </c>
      <c r="AJ1717" s="72">
        <v>0</v>
      </c>
      <c r="AK1717" s="72"/>
      <c r="AL1717" s="72"/>
      <c r="AM1717" s="72"/>
    </row>
    <row r="1718" spans="1:39" x14ac:dyDescent="0.25">
      <c r="A1718" s="37" t="s">
        <v>62</v>
      </c>
      <c r="B1718" s="66" t="s">
        <v>1615</v>
      </c>
      <c r="C1718" s="41">
        <v>1057</v>
      </c>
      <c r="D1718" s="41" t="s">
        <v>1202</v>
      </c>
      <c r="E1718" s="41">
        <v>10570005</v>
      </c>
      <c r="F1718" s="85" t="s">
        <v>1596</v>
      </c>
      <c r="G1718" s="39" t="s">
        <v>635</v>
      </c>
      <c r="H1718" s="52" t="s">
        <v>99</v>
      </c>
      <c r="I1718" s="52">
        <v>133.30000000000001</v>
      </c>
      <c r="J1718" s="49">
        <v>5058.97</v>
      </c>
      <c r="K1718" s="58">
        <v>0</v>
      </c>
      <c r="L1718" s="58">
        <v>0</v>
      </c>
      <c r="M1718" s="58">
        <v>0</v>
      </c>
      <c r="N1718" s="58">
        <v>0</v>
      </c>
      <c r="O1718" s="58">
        <v>0</v>
      </c>
      <c r="P1718" s="53">
        <v>0</v>
      </c>
      <c r="Q1718" s="58">
        <v>5058.97</v>
      </c>
      <c r="R1718" s="58">
        <v>0</v>
      </c>
      <c r="S1718" s="58">
        <v>0</v>
      </c>
      <c r="T1718" s="58">
        <v>0</v>
      </c>
      <c r="U1718" s="58">
        <v>0</v>
      </c>
      <c r="V1718" s="58">
        <v>0</v>
      </c>
      <c r="W1718" s="58">
        <v>0</v>
      </c>
      <c r="X1718" s="58">
        <v>0</v>
      </c>
      <c r="Y1718" s="58">
        <v>0</v>
      </c>
      <c r="Z1718" s="55">
        <v>0</v>
      </c>
      <c r="AA1718" s="51">
        <v>5059</v>
      </c>
      <c r="AB1718" s="102" t="s">
        <v>65</v>
      </c>
      <c r="AC1718" s="81">
        <f t="shared" si="81"/>
        <v>430.14528117029261</v>
      </c>
      <c r="AD1718" s="82">
        <f t="shared" si="82"/>
        <v>19.042857142857144</v>
      </c>
      <c r="AE1718" s="218">
        <v>0</v>
      </c>
      <c r="AF1718">
        <v>0</v>
      </c>
      <c r="AH1718" t="str">
        <f t="shared" si="83"/>
        <v>Warisnagar</v>
      </c>
      <c r="AJ1718" s="72">
        <v>0</v>
      </c>
      <c r="AK1718" s="72"/>
      <c r="AL1718" s="72"/>
      <c r="AM1718" s="72"/>
    </row>
    <row r="1719" spans="1:39" x14ac:dyDescent="0.25">
      <c r="A1719" s="37" t="s">
        <v>62</v>
      </c>
      <c r="B1719" s="66" t="s">
        <v>1615</v>
      </c>
      <c r="C1719" s="41">
        <v>1057</v>
      </c>
      <c r="D1719" s="41" t="s">
        <v>1202</v>
      </c>
      <c r="E1719" s="41">
        <v>10570007</v>
      </c>
      <c r="F1719" s="85" t="s">
        <v>1211</v>
      </c>
      <c r="G1719" s="39" t="s">
        <v>93</v>
      </c>
      <c r="H1719" s="52" t="s">
        <v>94</v>
      </c>
      <c r="I1719" s="52">
        <v>798.4</v>
      </c>
      <c r="J1719" s="49">
        <v>35205.26</v>
      </c>
      <c r="K1719" s="58">
        <v>798.4</v>
      </c>
      <c r="L1719" s="58">
        <v>35204.481814332605</v>
      </c>
      <c r="M1719" s="58">
        <v>0</v>
      </c>
      <c r="N1719" s="58">
        <v>0</v>
      </c>
      <c r="O1719" s="58">
        <v>798.4</v>
      </c>
      <c r="P1719" s="53">
        <v>35204.481814332605</v>
      </c>
      <c r="Q1719" s="58">
        <v>35204.481814332605</v>
      </c>
      <c r="R1719" s="58">
        <v>0</v>
      </c>
      <c r="S1719" s="58">
        <v>0</v>
      </c>
      <c r="T1719" s="58">
        <v>0</v>
      </c>
      <c r="U1719" s="58">
        <v>0</v>
      </c>
      <c r="V1719" s="58">
        <v>709.3669436065577</v>
      </c>
      <c r="W1719" s="58">
        <v>0</v>
      </c>
      <c r="X1719" s="58">
        <v>34495</v>
      </c>
      <c r="Y1719" s="58">
        <v>0</v>
      </c>
      <c r="Z1719" s="55">
        <v>0</v>
      </c>
      <c r="AA1719" s="51">
        <v>1</v>
      </c>
      <c r="AB1719" s="102">
        <v>0</v>
      </c>
      <c r="AC1719" s="81">
        <f t="shared" si="81"/>
        <v>0</v>
      </c>
      <c r="AD1719" s="82">
        <f t="shared" si="82"/>
        <v>0</v>
      </c>
      <c r="AE1719" s="218">
        <v>2.2104244291828493E-5</v>
      </c>
      <c r="AF1719">
        <v>1</v>
      </c>
      <c r="AH1719" t="str">
        <f t="shared" si="83"/>
        <v>Warisnagar</v>
      </c>
      <c r="AJ1719" s="72">
        <v>0</v>
      </c>
      <c r="AK1719" s="72"/>
      <c r="AL1719" s="72"/>
      <c r="AM1719" s="72"/>
    </row>
    <row r="1720" spans="1:39" x14ac:dyDescent="0.25">
      <c r="A1720" s="37" t="s">
        <v>62</v>
      </c>
      <c r="B1720" s="66" t="s">
        <v>1615</v>
      </c>
      <c r="C1720" s="41">
        <v>1057</v>
      </c>
      <c r="D1720" s="41" t="s">
        <v>1202</v>
      </c>
      <c r="E1720" s="41">
        <v>10570008</v>
      </c>
      <c r="F1720" s="85" t="s">
        <v>1205</v>
      </c>
      <c r="G1720" s="39" t="s">
        <v>93</v>
      </c>
      <c r="H1720" s="52" t="s">
        <v>94</v>
      </c>
      <c r="I1720" s="52">
        <v>1422.1999999999998</v>
      </c>
      <c r="J1720" s="49">
        <v>53132.920000000006</v>
      </c>
      <c r="K1720" s="58">
        <v>85.300000000000011</v>
      </c>
      <c r="L1720" s="58">
        <v>3290.2357247895006</v>
      </c>
      <c r="M1720" s="58">
        <v>1340.3999999999999</v>
      </c>
      <c r="N1720" s="58">
        <v>50079.174780960522</v>
      </c>
      <c r="O1720" s="58">
        <v>1425.6999999999998</v>
      </c>
      <c r="P1720" s="53">
        <v>53369.41050575002</v>
      </c>
      <c r="Q1720" s="58">
        <v>53132.920000000006</v>
      </c>
      <c r="R1720" s="58">
        <v>0</v>
      </c>
      <c r="S1720" s="58">
        <v>866.38354551057989</v>
      </c>
      <c r="T1720" s="58">
        <v>236.49050575001456</v>
      </c>
      <c r="U1720" s="58">
        <v>0</v>
      </c>
      <c r="V1720" s="58">
        <v>0</v>
      </c>
      <c r="W1720" s="58">
        <v>0</v>
      </c>
      <c r="X1720" s="58">
        <v>3055</v>
      </c>
      <c r="Y1720" s="58">
        <v>49212</v>
      </c>
      <c r="Z1720" s="55">
        <v>0</v>
      </c>
      <c r="AA1720" s="51">
        <v>0</v>
      </c>
      <c r="AB1720" s="102">
        <v>0</v>
      </c>
      <c r="AC1720" s="81">
        <f t="shared" si="81"/>
        <v>0</v>
      </c>
      <c r="AD1720" s="82">
        <f t="shared" si="82"/>
        <v>0</v>
      </c>
      <c r="AE1720" s="218">
        <v>-4.4509224365989024E-3</v>
      </c>
      <c r="AF1720">
        <v>16</v>
      </c>
      <c r="AH1720" t="str">
        <f t="shared" si="83"/>
        <v>Warisnagar</v>
      </c>
      <c r="AJ1720" s="72">
        <v>0</v>
      </c>
      <c r="AK1720" s="72"/>
      <c r="AL1720" s="72"/>
      <c r="AM1720" s="72"/>
    </row>
    <row r="1721" spans="1:39" x14ac:dyDescent="0.25">
      <c r="A1721" s="37" t="s">
        <v>62</v>
      </c>
      <c r="B1721" s="66" t="s">
        <v>1615</v>
      </c>
      <c r="C1721" s="41">
        <v>1057</v>
      </c>
      <c r="D1721" s="41" t="s">
        <v>1202</v>
      </c>
      <c r="E1721" s="41">
        <v>10570009</v>
      </c>
      <c r="F1721" s="85" t="s">
        <v>1206</v>
      </c>
      <c r="G1721" s="39" t="s">
        <v>93</v>
      </c>
      <c r="H1721" s="52" t="s">
        <v>94</v>
      </c>
      <c r="I1721" s="52">
        <v>761.3</v>
      </c>
      <c r="J1721" s="49">
        <v>28271.93</v>
      </c>
      <c r="K1721" s="58">
        <v>761.3</v>
      </c>
      <c r="L1721" s="58">
        <v>28344.854893829302</v>
      </c>
      <c r="M1721" s="58">
        <v>0</v>
      </c>
      <c r="N1721" s="58">
        <v>0</v>
      </c>
      <c r="O1721" s="58">
        <v>761.3</v>
      </c>
      <c r="P1721" s="53">
        <v>28344.854893829302</v>
      </c>
      <c r="Q1721" s="58">
        <v>28271.93</v>
      </c>
      <c r="R1721" s="58">
        <v>0</v>
      </c>
      <c r="S1721" s="58">
        <v>0</v>
      </c>
      <c r="T1721" s="58">
        <v>72.924893829302164</v>
      </c>
      <c r="U1721" s="58">
        <v>0</v>
      </c>
      <c r="V1721" s="58">
        <v>0</v>
      </c>
      <c r="W1721" s="58">
        <v>0</v>
      </c>
      <c r="X1721" s="58">
        <v>28272</v>
      </c>
      <c r="Y1721" s="58">
        <v>0</v>
      </c>
      <c r="Z1721" s="55">
        <v>0</v>
      </c>
      <c r="AA1721" s="51">
        <v>0</v>
      </c>
      <c r="AB1721" s="102">
        <v>0</v>
      </c>
      <c r="AC1721" s="81">
        <f t="shared" si="81"/>
        <v>0</v>
      </c>
      <c r="AD1721" s="82">
        <f t="shared" si="82"/>
        <v>0</v>
      </c>
      <c r="AE1721" s="218">
        <v>-2.5794098184772729E-3</v>
      </c>
      <c r="AF1721">
        <v>1</v>
      </c>
      <c r="AH1721" t="str">
        <f t="shared" si="83"/>
        <v>Warisnagar</v>
      </c>
      <c r="AJ1721" s="72">
        <v>0</v>
      </c>
      <c r="AK1721" s="72"/>
      <c r="AL1721" s="72"/>
      <c r="AM1721" s="72"/>
    </row>
    <row r="1722" spans="1:39" x14ac:dyDescent="0.25">
      <c r="A1722" s="37" t="s">
        <v>62</v>
      </c>
      <c r="B1722" s="66" t="s">
        <v>1615</v>
      </c>
      <c r="C1722" s="41">
        <v>1057</v>
      </c>
      <c r="D1722" s="41" t="s">
        <v>1202</v>
      </c>
      <c r="E1722" s="41">
        <v>10570010</v>
      </c>
      <c r="F1722" s="85" t="s">
        <v>1207</v>
      </c>
      <c r="G1722" s="39" t="s">
        <v>635</v>
      </c>
      <c r="H1722" s="52" t="s">
        <v>99</v>
      </c>
      <c r="I1722" s="52">
        <v>930.29999999999984</v>
      </c>
      <c r="J1722" s="49">
        <v>30720.690000000002</v>
      </c>
      <c r="K1722" s="58">
        <v>0</v>
      </c>
      <c r="L1722" s="58">
        <v>0</v>
      </c>
      <c r="M1722" s="58">
        <v>0</v>
      </c>
      <c r="N1722" s="58">
        <v>0</v>
      </c>
      <c r="O1722" s="58">
        <v>0</v>
      </c>
      <c r="P1722" s="53">
        <v>0</v>
      </c>
      <c r="Q1722" s="58">
        <v>30720.690000000002</v>
      </c>
      <c r="R1722" s="58">
        <v>0</v>
      </c>
      <c r="S1722" s="58">
        <v>0</v>
      </c>
      <c r="T1722" s="58">
        <v>0</v>
      </c>
      <c r="U1722" s="58">
        <v>0</v>
      </c>
      <c r="V1722" s="58">
        <v>0</v>
      </c>
      <c r="W1722" s="58">
        <v>0</v>
      </c>
      <c r="X1722" s="58">
        <v>0</v>
      </c>
      <c r="Y1722" s="58">
        <v>0</v>
      </c>
      <c r="Z1722" s="55">
        <v>30720.690000000002</v>
      </c>
      <c r="AA1722" s="51">
        <v>0</v>
      </c>
      <c r="AB1722" s="102">
        <v>0</v>
      </c>
      <c r="AC1722" s="81">
        <f t="shared" si="81"/>
        <v>0</v>
      </c>
      <c r="AD1722" s="82">
        <f t="shared" si="82"/>
        <v>0</v>
      </c>
      <c r="AE1722" s="218">
        <v>0</v>
      </c>
      <c r="AF1722">
        <v>0</v>
      </c>
      <c r="AH1722" t="str">
        <f t="shared" si="83"/>
        <v>Warisnagar</v>
      </c>
      <c r="AJ1722" s="72">
        <v>0</v>
      </c>
      <c r="AK1722" s="72"/>
      <c r="AL1722" s="72"/>
      <c r="AM1722" s="72"/>
    </row>
    <row r="1723" spans="1:39" x14ac:dyDescent="0.25">
      <c r="A1723" s="37" t="s">
        <v>62</v>
      </c>
      <c r="B1723" s="66" t="s">
        <v>1615</v>
      </c>
      <c r="C1723" s="41">
        <v>1057</v>
      </c>
      <c r="D1723" s="41" t="s">
        <v>1202</v>
      </c>
      <c r="E1723" s="41">
        <v>10570013</v>
      </c>
      <c r="F1723" s="85" t="s">
        <v>1219</v>
      </c>
      <c r="G1723" s="39" t="s">
        <v>635</v>
      </c>
      <c r="H1723" s="52" t="s">
        <v>99</v>
      </c>
      <c r="I1723" s="52">
        <v>739</v>
      </c>
      <c r="J1723" s="49">
        <v>26837.610000000004</v>
      </c>
      <c r="K1723" s="58">
        <v>0</v>
      </c>
      <c r="L1723" s="58">
        <v>0</v>
      </c>
      <c r="M1723" s="58">
        <v>0</v>
      </c>
      <c r="N1723" s="58">
        <v>0</v>
      </c>
      <c r="O1723" s="58">
        <v>0</v>
      </c>
      <c r="P1723" s="53">
        <v>0</v>
      </c>
      <c r="Q1723" s="58">
        <v>26837.610000000004</v>
      </c>
      <c r="R1723" s="58">
        <v>0</v>
      </c>
      <c r="S1723" s="58">
        <v>0</v>
      </c>
      <c r="T1723" s="58">
        <v>0</v>
      </c>
      <c r="U1723" s="58">
        <v>0</v>
      </c>
      <c r="V1723" s="58">
        <v>0</v>
      </c>
      <c r="W1723" s="58">
        <v>0</v>
      </c>
      <c r="X1723" s="58">
        <v>0</v>
      </c>
      <c r="Y1723" s="58">
        <v>0</v>
      </c>
      <c r="Z1723" s="55">
        <v>26837.610000000004</v>
      </c>
      <c r="AA1723" s="51">
        <v>0</v>
      </c>
      <c r="AB1723" s="102">
        <v>0</v>
      </c>
      <c r="AC1723" s="81">
        <f t="shared" si="81"/>
        <v>0</v>
      </c>
      <c r="AD1723" s="82">
        <f t="shared" si="82"/>
        <v>0</v>
      </c>
      <c r="AE1723" s="218">
        <v>0</v>
      </c>
      <c r="AF1723">
        <v>0</v>
      </c>
      <c r="AH1723" t="str">
        <f t="shared" si="83"/>
        <v>Warisnagar</v>
      </c>
      <c r="AJ1723" s="72">
        <v>0</v>
      </c>
      <c r="AK1723" s="72"/>
      <c r="AL1723" s="72"/>
      <c r="AM1723" s="72"/>
    </row>
    <row r="1724" spans="1:39" x14ac:dyDescent="0.25">
      <c r="A1724" s="37" t="s">
        <v>62</v>
      </c>
      <c r="B1724" s="66" t="s">
        <v>1615</v>
      </c>
      <c r="C1724" s="41">
        <v>1057</v>
      </c>
      <c r="D1724" s="41" t="s">
        <v>1202</v>
      </c>
      <c r="E1724" s="41">
        <v>10570016</v>
      </c>
      <c r="F1724" s="85" t="s">
        <v>354</v>
      </c>
      <c r="G1724" s="39" t="s">
        <v>635</v>
      </c>
      <c r="H1724" s="52" t="s">
        <v>99</v>
      </c>
      <c r="I1724" s="52">
        <v>604.70000000000005</v>
      </c>
      <c r="J1724" s="49">
        <v>20429.870000000003</v>
      </c>
      <c r="K1724" s="58">
        <v>0</v>
      </c>
      <c r="L1724" s="58">
        <v>0</v>
      </c>
      <c r="M1724" s="58">
        <v>0</v>
      </c>
      <c r="N1724" s="58">
        <v>0</v>
      </c>
      <c r="O1724" s="58">
        <v>0</v>
      </c>
      <c r="P1724" s="53">
        <v>0</v>
      </c>
      <c r="Q1724" s="58">
        <v>20429.870000000003</v>
      </c>
      <c r="R1724" s="58">
        <v>0</v>
      </c>
      <c r="S1724" s="58">
        <v>0</v>
      </c>
      <c r="T1724" s="58">
        <v>0</v>
      </c>
      <c r="U1724" s="58">
        <v>0</v>
      </c>
      <c r="V1724" s="58">
        <v>0</v>
      </c>
      <c r="W1724" s="58">
        <v>0</v>
      </c>
      <c r="X1724" s="58">
        <v>0</v>
      </c>
      <c r="Y1724" s="58">
        <v>0</v>
      </c>
      <c r="Z1724" s="55">
        <v>20429.870000000003</v>
      </c>
      <c r="AA1724" s="51">
        <v>0</v>
      </c>
      <c r="AB1724" s="102">
        <v>0</v>
      </c>
      <c r="AC1724" s="81">
        <f t="shared" si="81"/>
        <v>64.394463734083018</v>
      </c>
      <c r="AD1724" s="82">
        <f t="shared" si="82"/>
        <v>86.385714285714286</v>
      </c>
      <c r="AE1724" s="218">
        <v>0</v>
      </c>
      <c r="AF1724">
        <v>0</v>
      </c>
      <c r="AH1724" t="str">
        <f t="shared" si="83"/>
        <v>Warisnagar</v>
      </c>
      <c r="AJ1724" s="72">
        <v>0</v>
      </c>
      <c r="AK1724" s="72"/>
      <c r="AL1724" s="72"/>
      <c r="AM1724" s="72"/>
    </row>
    <row r="1725" spans="1:39" x14ac:dyDescent="0.25">
      <c r="A1725" s="37" t="s">
        <v>62</v>
      </c>
      <c r="B1725" s="66" t="s">
        <v>1615</v>
      </c>
      <c r="C1725" s="41">
        <v>1057</v>
      </c>
      <c r="D1725" s="41" t="s">
        <v>1202</v>
      </c>
      <c r="E1725" s="41">
        <v>10570017</v>
      </c>
      <c r="F1725" s="85" t="s">
        <v>1280</v>
      </c>
      <c r="G1725" s="39" t="s">
        <v>93</v>
      </c>
      <c r="H1725" s="52" t="s">
        <v>94</v>
      </c>
      <c r="I1725" s="52">
        <v>80.899999999999991</v>
      </c>
      <c r="J1725" s="49">
        <v>3296.62</v>
      </c>
      <c r="K1725" s="58">
        <v>20.5</v>
      </c>
      <c r="L1725" s="58">
        <v>957.6855907800001</v>
      </c>
      <c r="M1725" s="58">
        <v>57.099999999999994</v>
      </c>
      <c r="N1725" s="58">
        <v>2349.8187771173007</v>
      </c>
      <c r="O1725" s="58">
        <v>77.599999999999994</v>
      </c>
      <c r="P1725" s="53">
        <v>3307.5043678973007</v>
      </c>
      <c r="Q1725" s="58">
        <v>3296.62</v>
      </c>
      <c r="R1725" s="58">
        <v>0</v>
      </c>
      <c r="S1725" s="58">
        <v>0</v>
      </c>
      <c r="T1725" s="58">
        <v>10.884367897300763</v>
      </c>
      <c r="U1725" s="58">
        <v>0</v>
      </c>
      <c r="V1725" s="58">
        <v>162.46835016393436</v>
      </c>
      <c r="W1725" s="58">
        <v>0</v>
      </c>
      <c r="X1725" s="58">
        <v>784</v>
      </c>
      <c r="Y1725" s="58">
        <v>2350</v>
      </c>
      <c r="Z1725" s="55">
        <v>0</v>
      </c>
      <c r="AA1725" s="51">
        <v>0</v>
      </c>
      <c r="AB1725" s="102">
        <v>0</v>
      </c>
      <c r="AC1725" s="81">
        <f t="shared" si="81"/>
        <v>504.55808207663796</v>
      </c>
      <c r="AD1725" s="82">
        <f t="shared" si="82"/>
        <v>11.557142857142855</v>
      </c>
      <c r="AE1725" s="218">
        <v>-3.3016750178366822E-3</v>
      </c>
      <c r="AF1725">
        <v>8</v>
      </c>
      <c r="AH1725" t="str">
        <f t="shared" si="83"/>
        <v>Warisnagar</v>
      </c>
      <c r="AJ1725" s="72">
        <v>0</v>
      </c>
      <c r="AK1725" s="72"/>
      <c r="AL1725" s="72"/>
      <c r="AM1725" s="72"/>
    </row>
    <row r="1726" spans="1:39" x14ac:dyDescent="0.25">
      <c r="A1726" s="37" t="s">
        <v>62</v>
      </c>
      <c r="B1726" s="66" t="s">
        <v>1615</v>
      </c>
      <c r="C1726" s="41">
        <v>1057</v>
      </c>
      <c r="D1726" s="41" t="s">
        <v>1202</v>
      </c>
      <c r="E1726" s="41">
        <v>10570018</v>
      </c>
      <c r="F1726" s="85" t="s">
        <v>1240</v>
      </c>
      <c r="G1726" s="39" t="s">
        <v>93</v>
      </c>
      <c r="H1726" s="52" t="s">
        <v>94</v>
      </c>
      <c r="I1726" s="52">
        <v>379.9</v>
      </c>
      <c r="J1726" s="49">
        <v>14824.909999999998</v>
      </c>
      <c r="K1726" s="58">
        <v>126.49999999999999</v>
      </c>
      <c r="L1726" s="58">
        <v>4670.0389380570514</v>
      </c>
      <c r="M1726" s="58">
        <v>253.7</v>
      </c>
      <c r="N1726" s="58">
        <v>10293.555395739002</v>
      </c>
      <c r="O1726" s="58">
        <v>380.2</v>
      </c>
      <c r="P1726" s="53">
        <v>14963.594333796053</v>
      </c>
      <c r="Q1726" s="58">
        <v>14824.909999999998</v>
      </c>
      <c r="R1726" s="58">
        <v>0</v>
      </c>
      <c r="S1726" s="58">
        <v>285.57688896000002</v>
      </c>
      <c r="T1726" s="58">
        <v>138.68433379605449</v>
      </c>
      <c r="U1726" s="58">
        <v>0</v>
      </c>
      <c r="V1726" s="58">
        <v>0</v>
      </c>
      <c r="W1726" s="58">
        <v>0</v>
      </c>
      <c r="X1726" s="58">
        <v>4530</v>
      </c>
      <c r="Y1726" s="58">
        <v>10009</v>
      </c>
      <c r="Z1726" s="55">
        <v>0</v>
      </c>
      <c r="AA1726" s="51">
        <v>0</v>
      </c>
      <c r="AB1726" s="102">
        <v>0</v>
      </c>
      <c r="AC1726" s="81">
        <f t="shared" si="81"/>
        <v>249.82646438536457</v>
      </c>
      <c r="AD1726" s="82">
        <f t="shared" si="82"/>
        <v>54.271428571428565</v>
      </c>
      <c r="AE1726" s="218">
        <v>-9.3548179244295256E-3</v>
      </c>
      <c r="AF1726">
        <v>13</v>
      </c>
      <c r="AH1726" t="str">
        <f t="shared" si="83"/>
        <v>Warisnagar</v>
      </c>
      <c r="AJ1726" s="72">
        <v>0</v>
      </c>
      <c r="AK1726" s="72"/>
      <c r="AL1726" s="72"/>
      <c r="AM1726" s="72"/>
    </row>
    <row r="1727" spans="1:39" x14ac:dyDescent="0.25">
      <c r="A1727" s="37" t="s">
        <v>62</v>
      </c>
      <c r="B1727" s="66" t="s">
        <v>1615</v>
      </c>
      <c r="C1727" s="41">
        <v>1057</v>
      </c>
      <c r="D1727" s="41" t="s">
        <v>1202</v>
      </c>
      <c r="E1727" s="41">
        <v>10570019</v>
      </c>
      <c r="F1727" s="85" t="s">
        <v>1241</v>
      </c>
      <c r="G1727" s="39" t="s">
        <v>93</v>
      </c>
      <c r="H1727" s="52" t="s">
        <v>94</v>
      </c>
      <c r="I1727" s="52">
        <v>690.10000000000014</v>
      </c>
      <c r="J1727" s="49">
        <v>28877.249999999996</v>
      </c>
      <c r="K1727" s="58">
        <v>270.8</v>
      </c>
      <c r="L1727" s="58">
        <v>12185.669856784001</v>
      </c>
      <c r="M1727" s="58">
        <v>419.3</v>
      </c>
      <c r="N1727" s="58">
        <v>16692.280367598603</v>
      </c>
      <c r="O1727" s="58">
        <v>690.1</v>
      </c>
      <c r="P1727" s="53">
        <v>28877.950224382606</v>
      </c>
      <c r="Q1727" s="58">
        <v>28877.249999999996</v>
      </c>
      <c r="R1727" s="58">
        <v>0</v>
      </c>
      <c r="S1727" s="58">
        <v>151.29389385059997</v>
      </c>
      <c r="T1727" s="58">
        <v>0.70022438261003117</v>
      </c>
      <c r="U1727" s="58">
        <v>0</v>
      </c>
      <c r="V1727" s="58">
        <v>0</v>
      </c>
      <c r="W1727" s="58">
        <v>0</v>
      </c>
      <c r="X1727" s="58">
        <v>12185</v>
      </c>
      <c r="Y1727" s="58">
        <v>16541</v>
      </c>
      <c r="Z1727" s="55">
        <v>0</v>
      </c>
      <c r="AA1727" s="51">
        <v>0</v>
      </c>
      <c r="AB1727" s="102">
        <v>0</v>
      </c>
      <c r="AC1727" s="81">
        <f t="shared" si="81"/>
        <v>8.285314447181463</v>
      </c>
      <c r="AD1727" s="82">
        <f t="shared" si="82"/>
        <v>98.585714285714303</v>
      </c>
      <c r="AE1727" s="218">
        <v>-2.4248305590387978E-5</v>
      </c>
      <c r="AF1727">
        <v>7</v>
      </c>
      <c r="AH1727" t="str">
        <f t="shared" si="83"/>
        <v>Warisnagar</v>
      </c>
      <c r="AJ1727" s="72">
        <v>0</v>
      </c>
      <c r="AK1727" s="72"/>
      <c r="AL1727" s="72"/>
      <c r="AM1727" s="72"/>
    </row>
    <row r="1728" spans="1:39" x14ac:dyDescent="0.25">
      <c r="A1728" s="37" t="s">
        <v>62</v>
      </c>
      <c r="B1728" s="66" t="s">
        <v>1615</v>
      </c>
      <c r="C1728" s="41">
        <v>1057</v>
      </c>
      <c r="D1728" s="41" t="s">
        <v>1202</v>
      </c>
      <c r="E1728" s="41">
        <v>10570020</v>
      </c>
      <c r="F1728" s="85" t="s">
        <v>1242</v>
      </c>
      <c r="G1728" s="39" t="s">
        <v>93</v>
      </c>
      <c r="H1728" s="52" t="s">
        <v>94</v>
      </c>
      <c r="I1728" s="52">
        <v>808.30000000000018</v>
      </c>
      <c r="J1728" s="49">
        <v>34638.180000000008</v>
      </c>
      <c r="K1728" s="58">
        <v>808.19999999999993</v>
      </c>
      <c r="L1728" s="58">
        <v>34633.312704936005</v>
      </c>
      <c r="M1728" s="58">
        <v>0</v>
      </c>
      <c r="N1728" s="58">
        <v>0</v>
      </c>
      <c r="O1728" s="58">
        <v>808.19999999999993</v>
      </c>
      <c r="P1728" s="53">
        <v>34633.312704936005</v>
      </c>
      <c r="Q1728" s="58">
        <v>34633.312704936005</v>
      </c>
      <c r="R1728" s="58">
        <v>0</v>
      </c>
      <c r="S1728" s="58">
        <v>0</v>
      </c>
      <c r="T1728" s="58">
        <v>0</v>
      </c>
      <c r="U1728" s="58">
        <v>0</v>
      </c>
      <c r="V1728" s="58">
        <v>0</v>
      </c>
      <c r="W1728" s="58">
        <v>0</v>
      </c>
      <c r="X1728" s="58">
        <v>34633</v>
      </c>
      <c r="Y1728" s="58">
        <v>0</v>
      </c>
      <c r="Z1728" s="55">
        <v>0</v>
      </c>
      <c r="AA1728" s="51">
        <v>5</v>
      </c>
      <c r="AB1728" s="102">
        <v>0</v>
      </c>
      <c r="AC1728" s="81">
        <f t="shared" si="81"/>
        <v>0</v>
      </c>
      <c r="AD1728" s="82">
        <f t="shared" si="82"/>
        <v>0</v>
      </c>
      <c r="AE1728" s="218">
        <v>1.4051821036795159E-4</v>
      </c>
      <c r="AF1728">
        <v>1</v>
      </c>
      <c r="AH1728" t="str">
        <f t="shared" si="83"/>
        <v>Warisnagar</v>
      </c>
      <c r="AJ1728" s="72">
        <v>0</v>
      </c>
      <c r="AK1728" s="72"/>
      <c r="AL1728" s="72"/>
      <c r="AM1728" s="72"/>
    </row>
    <row r="1729" spans="1:39" x14ac:dyDescent="0.25">
      <c r="A1729" s="37" t="s">
        <v>62</v>
      </c>
      <c r="B1729" s="66" t="s">
        <v>1615</v>
      </c>
      <c r="C1729" s="41">
        <v>1057</v>
      </c>
      <c r="D1729" s="41" t="s">
        <v>1202</v>
      </c>
      <c r="E1729" s="41">
        <v>10570021</v>
      </c>
      <c r="F1729" s="85" t="s">
        <v>1243</v>
      </c>
      <c r="G1729" s="39" t="s">
        <v>93</v>
      </c>
      <c r="H1729" s="52" t="s">
        <v>94</v>
      </c>
      <c r="I1729" s="52">
        <v>713.59999999999991</v>
      </c>
      <c r="J1729" s="49">
        <v>25119.250000000004</v>
      </c>
      <c r="K1729" s="58">
        <v>581.1</v>
      </c>
      <c r="L1729" s="58">
        <v>21600.037178364601</v>
      </c>
      <c r="M1729" s="58">
        <v>133.30000000000001</v>
      </c>
      <c r="N1729" s="58">
        <v>4670.5364354879994</v>
      </c>
      <c r="O1729" s="58">
        <v>714.40000000000009</v>
      </c>
      <c r="P1729" s="53">
        <v>26270.573613852601</v>
      </c>
      <c r="Q1729" s="58">
        <v>25119.250000000004</v>
      </c>
      <c r="R1729" s="58">
        <v>0</v>
      </c>
      <c r="S1729" s="58">
        <v>127.56582748800002</v>
      </c>
      <c r="T1729" s="58">
        <v>1151.3236138525972</v>
      </c>
      <c r="U1729" s="58">
        <v>0</v>
      </c>
      <c r="V1729" s="58">
        <v>0</v>
      </c>
      <c r="W1729" s="58">
        <v>0</v>
      </c>
      <c r="X1729" s="58">
        <v>20449</v>
      </c>
      <c r="Y1729" s="58">
        <v>4543</v>
      </c>
      <c r="Z1729" s="55">
        <v>0</v>
      </c>
      <c r="AA1729" s="51">
        <v>0</v>
      </c>
      <c r="AB1729" s="102">
        <v>0</v>
      </c>
      <c r="AC1729" s="81">
        <f t="shared" si="81"/>
        <v>0</v>
      </c>
      <c r="AD1729" s="82">
        <f t="shared" si="82"/>
        <v>0</v>
      </c>
      <c r="AE1729" s="218">
        <v>-4.5834314872163662E-2</v>
      </c>
      <c r="AF1729">
        <v>7</v>
      </c>
      <c r="AH1729" t="str">
        <f t="shared" si="83"/>
        <v>Warisnagar</v>
      </c>
      <c r="AJ1729" s="72">
        <v>0</v>
      </c>
      <c r="AK1729" s="72"/>
      <c r="AL1729" s="72"/>
      <c r="AM1729" s="72"/>
    </row>
    <row r="1730" spans="1:39" x14ac:dyDescent="0.25">
      <c r="A1730" s="37" t="s">
        <v>62</v>
      </c>
      <c r="B1730" s="66" t="s">
        <v>1615</v>
      </c>
      <c r="C1730" s="41">
        <v>1057</v>
      </c>
      <c r="D1730" s="41" t="s">
        <v>1202</v>
      </c>
      <c r="E1730" s="41">
        <v>10570022</v>
      </c>
      <c r="F1730" s="85" t="s">
        <v>1244</v>
      </c>
      <c r="G1730" s="39" t="s">
        <v>635</v>
      </c>
      <c r="H1730" s="52" t="s">
        <v>99</v>
      </c>
      <c r="I1730" s="52">
        <v>562.79999999999995</v>
      </c>
      <c r="J1730" s="49">
        <v>24773.56</v>
      </c>
      <c r="K1730" s="58">
        <v>0</v>
      </c>
      <c r="L1730" s="58">
        <v>0</v>
      </c>
      <c r="M1730" s="58">
        <v>0</v>
      </c>
      <c r="N1730" s="58">
        <v>0</v>
      </c>
      <c r="O1730" s="58">
        <v>0</v>
      </c>
      <c r="P1730" s="53">
        <v>0</v>
      </c>
      <c r="Q1730" s="58">
        <v>24773.56</v>
      </c>
      <c r="R1730" s="58">
        <v>0</v>
      </c>
      <c r="S1730" s="58">
        <v>0</v>
      </c>
      <c r="T1730" s="58">
        <v>0</v>
      </c>
      <c r="U1730" s="58">
        <v>0</v>
      </c>
      <c r="V1730" s="58">
        <v>0</v>
      </c>
      <c r="W1730" s="58">
        <v>0</v>
      </c>
      <c r="X1730" s="58">
        <v>0</v>
      </c>
      <c r="Y1730" s="58">
        <v>0</v>
      </c>
      <c r="Z1730" s="55">
        <v>24773.56</v>
      </c>
      <c r="AA1730" s="51">
        <v>0</v>
      </c>
      <c r="AB1730" s="102">
        <v>0</v>
      </c>
      <c r="AC1730" s="81">
        <f t="shared" si="81"/>
        <v>120.78651144278615</v>
      </c>
      <c r="AD1730" s="82">
        <f t="shared" si="82"/>
        <v>80.399999999999991</v>
      </c>
      <c r="AE1730" s="218">
        <v>0</v>
      </c>
      <c r="AF1730">
        <v>0</v>
      </c>
      <c r="AH1730" t="str">
        <f t="shared" si="83"/>
        <v>Warisnagar</v>
      </c>
      <c r="AJ1730" s="72">
        <v>0</v>
      </c>
      <c r="AK1730" s="72"/>
      <c r="AL1730" s="72"/>
      <c r="AM1730" s="72"/>
    </row>
    <row r="1731" spans="1:39" x14ac:dyDescent="0.25">
      <c r="A1731" s="37" t="s">
        <v>62</v>
      </c>
      <c r="B1731" s="66" t="s">
        <v>1615</v>
      </c>
      <c r="C1731" s="41">
        <v>1057</v>
      </c>
      <c r="D1731" s="41" t="s">
        <v>1202</v>
      </c>
      <c r="E1731" s="41">
        <v>10570024</v>
      </c>
      <c r="F1731" s="85" t="s">
        <v>1245</v>
      </c>
      <c r="G1731" s="39" t="s">
        <v>635</v>
      </c>
      <c r="H1731" s="52" t="s">
        <v>99</v>
      </c>
      <c r="I1731" s="52">
        <v>828.69999999999982</v>
      </c>
      <c r="J1731" s="49">
        <v>30102.050000000003</v>
      </c>
      <c r="K1731" s="58">
        <v>0</v>
      </c>
      <c r="L1731" s="58">
        <v>0</v>
      </c>
      <c r="M1731" s="58">
        <v>0</v>
      </c>
      <c r="N1731" s="58">
        <v>0</v>
      </c>
      <c r="O1731" s="58">
        <v>0</v>
      </c>
      <c r="P1731" s="53">
        <v>0</v>
      </c>
      <c r="Q1731" s="58">
        <v>30102.050000000003</v>
      </c>
      <c r="R1731" s="58">
        <v>0</v>
      </c>
      <c r="S1731" s="58">
        <v>0</v>
      </c>
      <c r="T1731" s="58">
        <v>0</v>
      </c>
      <c r="U1731" s="58">
        <v>0</v>
      </c>
      <c r="V1731" s="58">
        <v>0</v>
      </c>
      <c r="W1731" s="58">
        <v>0</v>
      </c>
      <c r="X1731" s="58">
        <v>0</v>
      </c>
      <c r="Y1731" s="58">
        <v>0</v>
      </c>
      <c r="Z1731" s="55">
        <v>30102.050000000003</v>
      </c>
      <c r="AA1731" s="51">
        <v>0</v>
      </c>
      <c r="AB1731" s="102">
        <v>0</v>
      </c>
      <c r="AC1731" s="81">
        <f t="shared" ref="AC1731:AC1794" si="84">((IF(AD1731=0,0,100-AD1731))*7*(J1731/I1731))*2%</f>
        <v>0</v>
      </c>
      <c r="AD1731" s="82">
        <f t="shared" ref="AD1731:AD1794" si="85">IF((I1731/7)&gt;100,0,(I1731/7))</f>
        <v>0</v>
      </c>
      <c r="AE1731" s="218">
        <v>0</v>
      </c>
      <c r="AF1731">
        <v>0</v>
      </c>
      <c r="AH1731" t="str">
        <f t="shared" si="83"/>
        <v>Warisnagar</v>
      </c>
      <c r="AJ1731" s="72">
        <v>0</v>
      </c>
      <c r="AK1731" s="72"/>
      <c r="AL1731" s="72"/>
      <c r="AM1731" s="72"/>
    </row>
    <row r="1732" spans="1:39" x14ac:dyDescent="0.25">
      <c r="A1732" s="37" t="s">
        <v>62</v>
      </c>
      <c r="B1732" s="66" t="s">
        <v>1615</v>
      </c>
      <c r="C1732" s="41">
        <v>1057</v>
      </c>
      <c r="D1732" s="41" t="s">
        <v>1202</v>
      </c>
      <c r="E1732" s="41">
        <v>10570025</v>
      </c>
      <c r="F1732" s="85" t="s">
        <v>1254</v>
      </c>
      <c r="G1732" s="39" t="s">
        <v>635</v>
      </c>
      <c r="H1732" s="52" t="s">
        <v>99</v>
      </c>
      <c r="I1732" s="52">
        <v>1095</v>
      </c>
      <c r="J1732" s="49">
        <v>41499.659999999996</v>
      </c>
      <c r="K1732" s="58">
        <v>0</v>
      </c>
      <c r="L1732" s="58">
        <v>0</v>
      </c>
      <c r="M1732" s="58">
        <v>0</v>
      </c>
      <c r="N1732" s="58">
        <v>0</v>
      </c>
      <c r="O1732" s="58">
        <v>0</v>
      </c>
      <c r="P1732" s="53">
        <v>0</v>
      </c>
      <c r="Q1732" s="58">
        <v>41499.659999999996</v>
      </c>
      <c r="R1732" s="58">
        <v>0</v>
      </c>
      <c r="S1732" s="58">
        <v>0</v>
      </c>
      <c r="T1732" s="58">
        <v>0</v>
      </c>
      <c r="U1732" s="58">
        <v>0</v>
      </c>
      <c r="V1732" s="58">
        <v>0</v>
      </c>
      <c r="W1732" s="58">
        <v>0</v>
      </c>
      <c r="X1732" s="58">
        <v>0</v>
      </c>
      <c r="Y1732" s="58">
        <v>0</v>
      </c>
      <c r="Z1732" s="55">
        <v>41499.659999999996</v>
      </c>
      <c r="AA1732" s="51">
        <v>0</v>
      </c>
      <c r="AB1732" s="102">
        <v>0</v>
      </c>
      <c r="AC1732" s="81">
        <f t="shared" si="84"/>
        <v>0</v>
      </c>
      <c r="AD1732" s="82">
        <f t="shared" si="85"/>
        <v>0</v>
      </c>
      <c r="AE1732" s="218">
        <v>0</v>
      </c>
      <c r="AF1732">
        <v>0</v>
      </c>
      <c r="AH1732" t="str">
        <f t="shared" si="83"/>
        <v>Warisnagar</v>
      </c>
      <c r="AJ1732" s="72">
        <v>0</v>
      </c>
      <c r="AK1732" s="72"/>
      <c r="AL1732" s="72"/>
      <c r="AM1732" s="72"/>
    </row>
    <row r="1733" spans="1:39" x14ac:dyDescent="0.25">
      <c r="A1733" s="37" t="s">
        <v>62</v>
      </c>
      <c r="B1733" s="66" t="s">
        <v>1615</v>
      </c>
      <c r="C1733" s="41">
        <v>1057</v>
      </c>
      <c r="D1733" s="41" t="s">
        <v>1202</v>
      </c>
      <c r="E1733" s="41">
        <v>10570026</v>
      </c>
      <c r="F1733" s="85" t="s">
        <v>1255</v>
      </c>
      <c r="G1733" s="39" t="s">
        <v>635</v>
      </c>
      <c r="H1733" s="52" t="s">
        <v>99</v>
      </c>
      <c r="I1733" s="52">
        <v>331.5</v>
      </c>
      <c r="J1733" s="49">
        <v>11766.76</v>
      </c>
      <c r="K1733" s="58">
        <v>0</v>
      </c>
      <c r="L1733" s="58">
        <v>0</v>
      </c>
      <c r="M1733" s="58">
        <v>0</v>
      </c>
      <c r="N1733" s="58">
        <v>0</v>
      </c>
      <c r="O1733" s="58">
        <v>0</v>
      </c>
      <c r="P1733" s="53">
        <v>0</v>
      </c>
      <c r="Q1733" s="58">
        <v>11766.76</v>
      </c>
      <c r="R1733" s="58">
        <v>0</v>
      </c>
      <c r="S1733" s="58">
        <v>0</v>
      </c>
      <c r="T1733" s="58">
        <v>0</v>
      </c>
      <c r="U1733" s="58">
        <v>0</v>
      </c>
      <c r="V1733" s="58">
        <v>0</v>
      </c>
      <c r="W1733" s="58">
        <v>0</v>
      </c>
      <c r="X1733" s="58">
        <v>0</v>
      </c>
      <c r="Y1733" s="58">
        <v>0</v>
      </c>
      <c r="Z1733" s="55">
        <v>11766.76</v>
      </c>
      <c r="AA1733" s="51">
        <v>0</v>
      </c>
      <c r="AB1733" s="102">
        <v>0</v>
      </c>
      <c r="AC1733" s="81">
        <f t="shared" si="84"/>
        <v>261.60187390648565</v>
      </c>
      <c r="AD1733" s="82">
        <f t="shared" si="85"/>
        <v>47.357142857142854</v>
      </c>
      <c r="AE1733" s="218">
        <v>0</v>
      </c>
      <c r="AF1733">
        <v>0</v>
      </c>
      <c r="AH1733" t="str">
        <f t="shared" si="83"/>
        <v>Warisnagar</v>
      </c>
      <c r="AJ1733" s="72">
        <v>0</v>
      </c>
      <c r="AK1733" s="72"/>
      <c r="AL1733" s="72"/>
      <c r="AM1733" s="72"/>
    </row>
    <row r="1734" spans="1:39" x14ac:dyDescent="0.25">
      <c r="A1734" s="37" t="s">
        <v>62</v>
      </c>
      <c r="B1734" s="66" t="s">
        <v>1615</v>
      </c>
      <c r="C1734" s="41">
        <v>1057</v>
      </c>
      <c r="D1734" s="41" t="s">
        <v>1202</v>
      </c>
      <c r="E1734" s="41">
        <v>10570028</v>
      </c>
      <c r="F1734" s="85" t="s">
        <v>1297</v>
      </c>
      <c r="G1734" s="39" t="s">
        <v>93</v>
      </c>
      <c r="H1734" s="52" t="s">
        <v>94</v>
      </c>
      <c r="I1734" s="52">
        <v>277.10000000000002</v>
      </c>
      <c r="J1734" s="49">
        <v>10070.960000000001</v>
      </c>
      <c r="K1734" s="58">
        <v>277.09999999999997</v>
      </c>
      <c r="L1734" s="58">
        <v>10070.300433600001</v>
      </c>
      <c r="M1734" s="58">
        <v>0</v>
      </c>
      <c r="N1734" s="58">
        <v>0</v>
      </c>
      <c r="O1734" s="58">
        <v>277.09999999999997</v>
      </c>
      <c r="P1734" s="53">
        <v>10070.300433600001</v>
      </c>
      <c r="Q1734" s="58">
        <v>10070.300433600001</v>
      </c>
      <c r="R1734" s="58">
        <v>0</v>
      </c>
      <c r="S1734" s="58">
        <v>0</v>
      </c>
      <c r="T1734" s="58">
        <v>0</v>
      </c>
      <c r="U1734" s="58">
        <v>0</v>
      </c>
      <c r="V1734" s="58">
        <v>0</v>
      </c>
      <c r="W1734" s="58">
        <v>0</v>
      </c>
      <c r="X1734" s="58">
        <v>10070</v>
      </c>
      <c r="Y1734" s="58">
        <v>0</v>
      </c>
      <c r="Z1734" s="55">
        <v>0</v>
      </c>
      <c r="AA1734" s="51">
        <v>1</v>
      </c>
      <c r="AB1734" s="102">
        <v>0</v>
      </c>
      <c r="AC1734" s="81">
        <f t="shared" si="84"/>
        <v>307.39869967520752</v>
      </c>
      <c r="AD1734" s="82">
        <f t="shared" si="85"/>
        <v>39.585714285714289</v>
      </c>
      <c r="AE1734" s="218">
        <v>6.5491909410788631E-5</v>
      </c>
      <c r="AF1734">
        <v>1</v>
      </c>
      <c r="AH1734" t="str">
        <f t="shared" si="83"/>
        <v>Warisnagar</v>
      </c>
      <c r="AJ1734" s="72">
        <v>0</v>
      </c>
      <c r="AK1734" s="72"/>
      <c r="AL1734" s="72"/>
      <c r="AM1734" s="72"/>
    </row>
    <row r="1735" spans="1:39" x14ac:dyDescent="0.25">
      <c r="A1735" s="37" t="s">
        <v>62</v>
      </c>
      <c r="B1735" s="66" t="s">
        <v>1615</v>
      </c>
      <c r="C1735" s="41">
        <v>1057</v>
      </c>
      <c r="D1735" s="41" t="s">
        <v>1202</v>
      </c>
      <c r="E1735" s="41">
        <v>10570029</v>
      </c>
      <c r="F1735" s="85" t="s">
        <v>1298</v>
      </c>
      <c r="G1735" s="39" t="s">
        <v>93</v>
      </c>
      <c r="H1735" s="52" t="s">
        <v>94</v>
      </c>
      <c r="I1735" s="52">
        <v>184.4</v>
      </c>
      <c r="J1735" s="49">
        <v>7772.1200000000008</v>
      </c>
      <c r="K1735" s="58">
        <v>184.29999999999998</v>
      </c>
      <c r="L1735" s="58">
        <v>7764.2620291960993</v>
      </c>
      <c r="M1735" s="58">
        <v>0</v>
      </c>
      <c r="N1735" s="58">
        <v>0</v>
      </c>
      <c r="O1735" s="58">
        <v>184.29999999999998</v>
      </c>
      <c r="P1735" s="53">
        <v>7764.2620291960993</v>
      </c>
      <c r="Q1735" s="58">
        <v>7764.2620291960993</v>
      </c>
      <c r="R1735" s="58">
        <v>0</v>
      </c>
      <c r="S1735" s="58">
        <v>0</v>
      </c>
      <c r="T1735" s="58">
        <v>0</v>
      </c>
      <c r="U1735" s="58">
        <v>0</v>
      </c>
      <c r="V1735" s="58">
        <v>27.574957377049113</v>
      </c>
      <c r="W1735" s="58">
        <v>0</v>
      </c>
      <c r="X1735" s="58">
        <v>7737</v>
      </c>
      <c r="Y1735" s="58">
        <v>0</v>
      </c>
      <c r="Z1735" s="55">
        <v>0</v>
      </c>
      <c r="AA1735" s="51">
        <v>8</v>
      </c>
      <c r="AB1735" s="102">
        <v>0</v>
      </c>
      <c r="AC1735" s="81">
        <f t="shared" si="84"/>
        <v>434.63178655097619</v>
      </c>
      <c r="AD1735" s="82">
        <f t="shared" si="85"/>
        <v>26.342857142857145</v>
      </c>
      <c r="AE1735" s="218">
        <v>1.0110459956744723E-3</v>
      </c>
      <c r="AF1735">
        <v>1</v>
      </c>
      <c r="AH1735" t="str">
        <f t="shared" si="83"/>
        <v>Warisnagar</v>
      </c>
      <c r="AJ1735" s="72">
        <v>0</v>
      </c>
      <c r="AK1735" s="72"/>
      <c r="AL1735" s="72"/>
      <c r="AM1735" s="72"/>
    </row>
    <row r="1736" spans="1:39" x14ac:dyDescent="0.25">
      <c r="A1736" s="37" t="s">
        <v>62</v>
      </c>
      <c r="B1736" s="66" t="s">
        <v>1615</v>
      </c>
      <c r="C1736" s="41">
        <v>1057</v>
      </c>
      <c r="D1736" s="41" t="s">
        <v>1202</v>
      </c>
      <c r="E1736" s="41">
        <v>10570030</v>
      </c>
      <c r="F1736" s="85" t="s">
        <v>1299</v>
      </c>
      <c r="G1736" s="39" t="s">
        <v>93</v>
      </c>
      <c r="H1736" s="52" t="s">
        <v>94</v>
      </c>
      <c r="I1736" s="52">
        <v>315.10000000000002</v>
      </c>
      <c r="J1736" s="49">
        <v>10906.8</v>
      </c>
      <c r="K1736" s="58">
        <v>315.09999999999997</v>
      </c>
      <c r="L1736" s="58">
        <v>10907.057145600002</v>
      </c>
      <c r="M1736" s="58">
        <v>0</v>
      </c>
      <c r="N1736" s="58">
        <v>0</v>
      </c>
      <c r="O1736" s="58">
        <v>315.09999999999997</v>
      </c>
      <c r="P1736" s="53">
        <v>10907.057145600002</v>
      </c>
      <c r="Q1736" s="58">
        <v>10906.8</v>
      </c>
      <c r="R1736" s="58">
        <v>0</v>
      </c>
      <c r="S1736" s="58">
        <v>0</v>
      </c>
      <c r="T1736" s="58">
        <v>0.25714560000233178</v>
      </c>
      <c r="U1736" s="58">
        <v>0</v>
      </c>
      <c r="V1736" s="58">
        <v>71.261478688524676</v>
      </c>
      <c r="W1736" s="58">
        <v>0</v>
      </c>
      <c r="X1736" s="58">
        <v>10836</v>
      </c>
      <c r="Y1736" s="58">
        <v>0</v>
      </c>
      <c r="Z1736" s="55">
        <v>0</v>
      </c>
      <c r="AA1736" s="51">
        <v>0</v>
      </c>
      <c r="AB1736" s="102">
        <v>0</v>
      </c>
      <c r="AC1736" s="81">
        <f t="shared" si="84"/>
        <v>266.45682767375433</v>
      </c>
      <c r="AD1736" s="82">
        <f t="shared" si="85"/>
        <v>45.01428571428572</v>
      </c>
      <c r="AE1736" s="218">
        <v>-2.3576631092743225E-5</v>
      </c>
      <c r="AF1736">
        <v>1</v>
      </c>
      <c r="AH1736" t="str">
        <f t="shared" si="83"/>
        <v>Warisnagar</v>
      </c>
      <c r="AJ1736" s="72">
        <v>0</v>
      </c>
      <c r="AK1736" s="72"/>
      <c r="AL1736" s="72"/>
      <c r="AM1736" s="72"/>
    </row>
    <row r="1737" spans="1:39" x14ac:dyDescent="0.25">
      <c r="A1737" s="37" t="s">
        <v>62</v>
      </c>
      <c r="B1737" s="66" t="s">
        <v>1615</v>
      </c>
      <c r="C1737" s="41">
        <v>1057</v>
      </c>
      <c r="D1737" s="41" t="s">
        <v>1202</v>
      </c>
      <c r="E1737" s="41">
        <v>10570031</v>
      </c>
      <c r="F1737" s="85" t="s">
        <v>1300</v>
      </c>
      <c r="G1737" s="39" t="s">
        <v>93</v>
      </c>
      <c r="H1737" s="52" t="s">
        <v>94</v>
      </c>
      <c r="I1737" s="52">
        <v>162.19999999999999</v>
      </c>
      <c r="J1737" s="49">
        <v>6465.95</v>
      </c>
      <c r="K1737" s="58">
        <v>163.30000000000001</v>
      </c>
      <c r="L1737" s="58">
        <v>6383.7683453700001</v>
      </c>
      <c r="M1737" s="58">
        <v>0.5</v>
      </c>
      <c r="N1737" s="58">
        <v>20.341751760000008</v>
      </c>
      <c r="O1737" s="58">
        <v>163.80000000000001</v>
      </c>
      <c r="P1737" s="53">
        <v>6404.1100971300002</v>
      </c>
      <c r="Q1737" s="58">
        <v>6404.1100971300002</v>
      </c>
      <c r="R1737" s="58">
        <v>0</v>
      </c>
      <c r="S1737" s="58">
        <v>20.341751760000008</v>
      </c>
      <c r="T1737" s="58">
        <v>0</v>
      </c>
      <c r="U1737" s="58">
        <v>0</v>
      </c>
      <c r="V1737" s="58">
        <v>0</v>
      </c>
      <c r="W1737" s="58">
        <v>0</v>
      </c>
      <c r="X1737" s="58">
        <v>6384</v>
      </c>
      <c r="Y1737" s="58">
        <v>0</v>
      </c>
      <c r="Z1737" s="55">
        <v>0</v>
      </c>
      <c r="AA1737" s="51">
        <v>62</v>
      </c>
      <c r="AB1737" s="102">
        <v>0</v>
      </c>
      <c r="AC1737" s="81">
        <f t="shared" si="84"/>
        <v>428.77779408138099</v>
      </c>
      <c r="AD1737" s="82">
        <f t="shared" si="85"/>
        <v>23.171428571428571</v>
      </c>
      <c r="AE1737" s="218">
        <v>9.563931498078335E-3</v>
      </c>
      <c r="AF1737">
        <v>2</v>
      </c>
      <c r="AH1737" t="str">
        <f t="shared" si="83"/>
        <v>Warisnagar</v>
      </c>
      <c r="AJ1737" s="72">
        <v>0</v>
      </c>
      <c r="AK1737" s="72"/>
      <c r="AL1737" s="72"/>
      <c r="AM1737" s="72"/>
    </row>
    <row r="1738" spans="1:39" x14ac:dyDescent="0.25">
      <c r="A1738" s="37" t="s">
        <v>62</v>
      </c>
      <c r="B1738" s="66" t="s">
        <v>1615</v>
      </c>
      <c r="C1738" s="41">
        <v>1057</v>
      </c>
      <c r="D1738" s="41" t="s">
        <v>1202</v>
      </c>
      <c r="E1738" s="41">
        <v>10570033</v>
      </c>
      <c r="F1738" s="85" t="s">
        <v>1301</v>
      </c>
      <c r="G1738" s="39" t="s">
        <v>635</v>
      </c>
      <c r="H1738" s="52" t="s">
        <v>99</v>
      </c>
      <c r="I1738" s="52">
        <v>145.9</v>
      </c>
      <c r="J1738" s="49">
        <v>5415.7</v>
      </c>
      <c r="K1738" s="58">
        <v>0</v>
      </c>
      <c r="L1738" s="58">
        <v>0</v>
      </c>
      <c r="M1738" s="58">
        <v>0</v>
      </c>
      <c r="N1738" s="58">
        <v>0</v>
      </c>
      <c r="O1738" s="58">
        <v>0</v>
      </c>
      <c r="P1738" s="53">
        <v>0</v>
      </c>
      <c r="Q1738" s="58">
        <v>5415.7</v>
      </c>
      <c r="R1738" s="58">
        <v>0</v>
      </c>
      <c r="S1738" s="58">
        <v>0</v>
      </c>
      <c r="T1738" s="58">
        <v>0</v>
      </c>
      <c r="U1738" s="58">
        <v>0</v>
      </c>
      <c r="V1738" s="58">
        <v>145.82208387096773</v>
      </c>
      <c r="W1738" s="58">
        <v>0</v>
      </c>
      <c r="X1738" s="58">
        <v>0</v>
      </c>
      <c r="Y1738" s="58">
        <v>0</v>
      </c>
      <c r="Z1738" s="55">
        <v>5269.8779161290322</v>
      </c>
      <c r="AA1738" s="51">
        <v>0</v>
      </c>
      <c r="AB1738" s="102">
        <v>0</v>
      </c>
      <c r="AC1738" s="81">
        <f t="shared" si="84"/>
        <v>411.35563673749147</v>
      </c>
      <c r="AD1738" s="82">
        <f t="shared" si="85"/>
        <v>20.842857142857145</v>
      </c>
      <c r="AE1738" s="218">
        <v>0</v>
      </c>
      <c r="AF1738">
        <v>0</v>
      </c>
      <c r="AH1738" t="str">
        <f t="shared" si="83"/>
        <v>Warisnagar</v>
      </c>
      <c r="AJ1738" s="72">
        <v>0</v>
      </c>
      <c r="AK1738" s="72"/>
      <c r="AL1738" s="72"/>
      <c r="AM1738" s="72"/>
    </row>
    <row r="1739" spans="1:39" x14ac:dyDescent="0.25">
      <c r="A1739" s="37" t="s">
        <v>62</v>
      </c>
      <c r="B1739" s="66" t="s">
        <v>1615</v>
      </c>
      <c r="C1739" s="41">
        <v>1057</v>
      </c>
      <c r="D1739" s="41" t="s">
        <v>1202</v>
      </c>
      <c r="E1739" s="41">
        <v>10570036</v>
      </c>
      <c r="F1739" s="85" t="s">
        <v>1371</v>
      </c>
      <c r="G1739" s="39" t="s">
        <v>93</v>
      </c>
      <c r="H1739" s="52" t="s">
        <v>94</v>
      </c>
      <c r="I1739" s="52">
        <v>289.2</v>
      </c>
      <c r="J1739" s="49">
        <v>11496.560000000001</v>
      </c>
      <c r="K1739" s="58">
        <v>288.70000000000005</v>
      </c>
      <c r="L1739" s="58">
        <v>11579.293267263156</v>
      </c>
      <c r="M1739" s="58">
        <v>0</v>
      </c>
      <c r="N1739" s="58">
        <v>0</v>
      </c>
      <c r="O1739" s="58">
        <v>288.70000000000005</v>
      </c>
      <c r="P1739" s="53">
        <v>11579.293267263156</v>
      </c>
      <c r="Q1739" s="58">
        <v>11496.560000000001</v>
      </c>
      <c r="R1739" s="58">
        <v>0</v>
      </c>
      <c r="S1739" s="58">
        <v>0</v>
      </c>
      <c r="T1739" s="58">
        <v>82.73326726315463</v>
      </c>
      <c r="U1739" s="58">
        <v>0</v>
      </c>
      <c r="V1739" s="58">
        <v>0</v>
      </c>
      <c r="W1739" s="58">
        <v>0</v>
      </c>
      <c r="X1739" s="58">
        <v>11497</v>
      </c>
      <c r="Y1739" s="58">
        <v>0</v>
      </c>
      <c r="Z1739" s="55">
        <v>0</v>
      </c>
      <c r="AA1739" s="51">
        <v>0</v>
      </c>
      <c r="AB1739" s="102">
        <v>0</v>
      </c>
      <c r="AC1739" s="81">
        <f t="shared" si="84"/>
        <v>326.6104320885201</v>
      </c>
      <c r="AD1739" s="82">
        <f t="shared" si="85"/>
        <v>41.31428571428571</v>
      </c>
      <c r="AE1739" s="218">
        <v>-7.1963498005624829E-3</v>
      </c>
      <c r="AF1739">
        <v>1</v>
      </c>
      <c r="AH1739" t="str">
        <f t="shared" si="83"/>
        <v>Warisnagar</v>
      </c>
      <c r="AJ1739" s="72">
        <v>0</v>
      </c>
      <c r="AK1739" s="72"/>
      <c r="AL1739" s="72"/>
      <c r="AM1739" s="72"/>
    </row>
    <row r="1740" spans="1:39" x14ac:dyDescent="0.25">
      <c r="A1740" s="37" t="s">
        <v>62</v>
      </c>
      <c r="B1740" s="66" t="s">
        <v>1615</v>
      </c>
      <c r="C1740" s="41">
        <v>1057</v>
      </c>
      <c r="D1740" s="41" t="s">
        <v>1202</v>
      </c>
      <c r="E1740" s="41">
        <v>10570037</v>
      </c>
      <c r="F1740" s="85" t="s">
        <v>1320</v>
      </c>
      <c r="G1740" s="39" t="s">
        <v>635</v>
      </c>
      <c r="H1740" s="52" t="s">
        <v>99</v>
      </c>
      <c r="I1740" s="52">
        <v>388.50000000000006</v>
      </c>
      <c r="J1740" s="49">
        <v>13047.060000000001</v>
      </c>
      <c r="K1740" s="58">
        <v>0</v>
      </c>
      <c r="L1740" s="58">
        <v>0</v>
      </c>
      <c r="M1740" s="58">
        <v>0</v>
      </c>
      <c r="N1740" s="58">
        <v>0</v>
      </c>
      <c r="O1740" s="58">
        <v>0</v>
      </c>
      <c r="P1740" s="53">
        <v>0</v>
      </c>
      <c r="Q1740" s="58">
        <v>13047.060000000001</v>
      </c>
      <c r="R1740" s="58">
        <v>0</v>
      </c>
      <c r="S1740" s="58">
        <v>0</v>
      </c>
      <c r="T1740" s="58">
        <v>0</v>
      </c>
      <c r="U1740" s="58">
        <v>0</v>
      </c>
      <c r="V1740" s="58">
        <v>0</v>
      </c>
      <c r="W1740" s="58">
        <v>0</v>
      </c>
      <c r="X1740" s="58">
        <v>0</v>
      </c>
      <c r="Y1740" s="58">
        <v>0</v>
      </c>
      <c r="Z1740" s="55">
        <v>13047.060000000001</v>
      </c>
      <c r="AA1740" s="51">
        <v>0</v>
      </c>
      <c r="AB1740" s="102">
        <v>0</v>
      </c>
      <c r="AC1740" s="81">
        <f t="shared" si="84"/>
        <v>209.22312432432429</v>
      </c>
      <c r="AD1740" s="82">
        <f t="shared" si="85"/>
        <v>55.500000000000007</v>
      </c>
      <c r="AE1740" s="218">
        <v>0</v>
      </c>
      <c r="AF1740">
        <v>0</v>
      </c>
      <c r="AH1740" t="str">
        <f t="shared" si="83"/>
        <v>Warisnagar</v>
      </c>
      <c r="AJ1740" s="72">
        <v>0</v>
      </c>
      <c r="AK1740" s="72"/>
      <c r="AL1740" s="72"/>
      <c r="AM1740" s="72"/>
    </row>
    <row r="1741" spans="1:39" x14ac:dyDescent="0.25">
      <c r="A1741" s="37" t="s">
        <v>62</v>
      </c>
      <c r="B1741" s="66" t="s">
        <v>1615</v>
      </c>
      <c r="C1741" s="41">
        <v>1057</v>
      </c>
      <c r="D1741" s="41" t="s">
        <v>1202</v>
      </c>
      <c r="E1741" s="41">
        <v>10570038</v>
      </c>
      <c r="F1741" s="85" t="s">
        <v>1321</v>
      </c>
      <c r="G1741" s="39" t="s">
        <v>635</v>
      </c>
      <c r="H1741" s="52" t="s">
        <v>99</v>
      </c>
      <c r="I1741" s="52">
        <v>137.19999999999999</v>
      </c>
      <c r="J1741" s="49">
        <v>5014.9799999999996</v>
      </c>
      <c r="K1741" s="58">
        <v>0</v>
      </c>
      <c r="L1741" s="58">
        <v>0</v>
      </c>
      <c r="M1741" s="58">
        <v>0</v>
      </c>
      <c r="N1741" s="58">
        <v>0</v>
      </c>
      <c r="O1741" s="58">
        <v>0</v>
      </c>
      <c r="P1741" s="53">
        <v>0</v>
      </c>
      <c r="Q1741" s="58">
        <v>5014.9799999999996</v>
      </c>
      <c r="R1741" s="58">
        <v>0</v>
      </c>
      <c r="S1741" s="58">
        <v>0</v>
      </c>
      <c r="T1741" s="58">
        <v>0</v>
      </c>
      <c r="U1741" s="58">
        <v>0</v>
      </c>
      <c r="V1741" s="58">
        <v>0</v>
      </c>
      <c r="W1741" s="58">
        <v>0</v>
      </c>
      <c r="X1741" s="58">
        <v>0</v>
      </c>
      <c r="Y1741" s="58">
        <v>0</v>
      </c>
      <c r="Z1741" s="55">
        <v>5014.9799999999996</v>
      </c>
      <c r="AA1741" s="51">
        <v>0</v>
      </c>
      <c r="AB1741" s="102">
        <v>0</v>
      </c>
      <c r="AC1741" s="81">
        <f t="shared" si="84"/>
        <v>411.4330530612246</v>
      </c>
      <c r="AD1741" s="82">
        <f t="shared" si="85"/>
        <v>19.599999999999998</v>
      </c>
      <c r="AE1741" s="218">
        <v>0</v>
      </c>
      <c r="AF1741">
        <v>0</v>
      </c>
      <c r="AH1741" t="str">
        <f t="shared" si="83"/>
        <v>Warisnagar</v>
      </c>
      <c r="AJ1741" s="72">
        <v>0</v>
      </c>
      <c r="AK1741" s="72"/>
      <c r="AL1741" s="72"/>
      <c r="AM1741" s="72"/>
    </row>
    <row r="1742" spans="1:39" x14ac:dyDescent="0.25">
      <c r="A1742" s="37" t="s">
        <v>62</v>
      </c>
      <c r="B1742" s="66" t="s">
        <v>1615</v>
      </c>
      <c r="C1742" s="41">
        <v>1057</v>
      </c>
      <c r="D1742" s="41" t="s">
        <v>1202</v>
      </c>
      <c r="E1742" s="41">
        <v>10570042</v>
      </c>
      <c r="F1742" s="85" t="s">
        <v>1535</v>
      </c>
      <c r="G1742" s="39" t="s">
        <v>93</v>
      </c>
      <c r="H1742" s="52" t="s">
        <v>94</v>
      </c>
      <c r="I1742" s="52">
        <v>229</v>
      </c>
      <c r="J1742" s="49">
        <v>8950.24</v>
      </c>
      <c r="K1742" s="58">
        <v>229</v>
      </c>
      <c r="L1742" s="58">
        <v>8949.9505358511997</v>
      </c>
      <c r="M1742" s="58">
        <v>0</v>
      </c>
      <c r="N1742" s="58">
        <v>0</v>
      </c>
      <c r="O1742" s="58">
        <v>229</v>
      </c>
      <c r="P1742" s="53">
        <v>8949.9505358511997</v>
      </c>
      <c r="Q1742" s="58">
        <v>8949.9505358511997</v>
      </c>
      <c r="R1742" s="58">
        <v>0</v>
      </c>
      <c r="S1742" s="58">
        <v>0</v>
      </c>
      <c r="T1742" s="58">
        <v>0</v>
      </c>
      <c r="U1742" s="58">
        <v>0</v>
      </c>
      <c r="V1742" s="58">
        <v>0</v>
      </c>
      <c r="W1742" s="58">
        <v>0</v>
      </c>
      <c r="X1742" s="58">
        <v>8950</v>
      </c>
      <c r="Y1742" s="58">
        <v>0</v>
      </c>
      <c r="Z1742" s="55">
        <v>0</v>
      </c>
      <c r="AA1742" s="51">
        <v>0</v>
      </c>
      <c r="AB1742" s="102">
        <v>0</v>
      </c>
      <c r="AC1742" s="81">
        <f t="shared" si="84"/>
        <v>368.17144454148468</v>
      </c>
      <c r="AD1742" s="82">
        <f t="shared" si="85"/>
        <v>32.714285714285715</v>
      </c>
      <c r="AE1742" s="218">
        <v>3.2341495736439143E-5</v>
      </c>
      <c r="AF1742">
        <v>1</v>
      </c>
      <c r="AH1742" t="str">
        <f t="shared" si="83"/>
        <v>Warisnagar</v>
      </c>
      <c r="AJ1742" s="72">
        <v>0</v>
      </c>
      <c r="AK1742" s="72"/>
      <c r="AL1742" s="72"/>
      <c r="AM1742" s="72"/>
    </row>
    <row r="1743" spans="1:39" x14ac:dyDescent="0.25">
      <c r="A1743" s="37" t="s">
        <v>62</v>
      </c>
      <c r="B1743" s="66" t="s">
        <v>1615</v>
      </c>
      <c r="C1743" s="41">
        <v>1057</v>
      </c>
      <c r="D1743" s="41" t="s">
        <v>1202</v>
      </c>
      <c r="E1743" s="41">
        <v>10570044</v>
      </c>
      <c r="F1743" s="85" t="s">
        <v>1456</v>
      </c>
      <c r="G1743" s="39" t="s">
        <v>93</v>
      </c>
      <c r="H1743" s="52" t="s">
        <v>94</v>
      </c>
      <c r="I1743" s="52">
        <v>104.9</v>
      </c>
      <c r="J1743" s="49">
        <v>4743.99</v>
      </c>
      <c r="K1743" s="58">
        <v>104.93</v>
      </c>
      <c r="L1743" s="58">
        <v>4741.1443320119997</v>
      </c>
      <c r="M1743" s="58">
        <v>0</v>
      </c>
      <c r="N1743" s="58">
        <v>0</v>
      </c>
      <c r="O1743" s="58">
        <v>104.93</v>
      </c>
      <c r="P1743" s="53">
        <v>4741.1443320119997</v>
      </c>
      <c r="Q1743" s="58">
        <v>4741.1443320119997</v>
      </c>
      <c r="R1743" s="58">
        <v>0</v>
      </c>
      <c r="S1743" s="58">
        <v>0</v>
      </c>
      <c r="T1743" s="58">
        <v>0</v>
      </c>
      <c r="U1743" s="58">
        <v>0</v>
      </c>
      <c r="V1743" s="58">
        <v>0</v>
      </c>
      <c r="W1743" s="58">
        <v>0</v>
      </c>
      <c r="X1743" s="58">
        <v>4741</v>
      </c>
      <c r="Y1743" s="58">
        <v>0</v>
      </c>
      <c r="Z1743" s="55">
        <v>0</v>
      </c>
      <c r="AA1743" s="51">
        <v>3</v>
      </c>
      <c r="AB1743" s="102">
        <v>0</v>
      </c>
      <c r="AC1743" s="81">
        <f t="shared" si="84"/>
        <v>538.25518570066731</v>
      </c>
      <c r="AD1743" s="82">
        <f t="shared" si="85"/>
        <v>14.985714285714286</v>
      </c>
      <c r="AE1743" s="218">
        <v>5.9984696173475478E-4</v>
      </c>
      <c r="AF1743">
        <v>1</v>
      </c>
      <c r="AH1743" t="str">
        <f t="shared" si="83"/>
        <v>Warisnagar</v>
      </c>
      <c r="AJ1743" s="72">
        <v>0</v>
      </c>
      <c r="AK1743" s="72"/>
      <c r="AL1743" s="72"/>
      <c r="AM1743" s="72"/>
    </row>
    <row r="1744" spans="1:39" x14ac:dyDescent="0.25">
      <c r="A1744" s="37" t="s">
        <v>62</v>
      </c>
      <c r="B1744" s="66" t="s">
        <v>1615</v>
      </c>
      <c r="C1744" s="41">
        <v>1057</v>
      </c>
      <c r="D1744" s="41" t="s">
        <v>1202</v>
      </c>
      <c r="E1744" s="41">
        <v>10570045</v>
      </c>
      <c r="F1744" s="85" t="s">
        <v>1395</v>
      </c>
      <c r="G1744" s="39" t="s">
        <v>93</v>
      </c>
      <c r="H1744" s="52" t="s">
        <v>94</v>
      </c>
      <c r="I1744" s="52">
        <v>1191.8000000000002</v>
      </c>
      <c r="J1744" s="49">
        <v>44767.1</v>
      </c>
      <c r="K1744" s="58">
        <v>1192.1000000000001</v>
      </c>
      <c r="L1744" s="58">
        <v>44961.90178901844</v>
      </c>
      <c r="M1744" s="58">
        <v>0</v>
      </c>
      <c r="N1744" s="58">
        <v>0</v>
      </c>
      <c r="O1744" s="58">
        <v>1192.1000000000001</v>
      </c>
      <c r="P1744" s="53">
        <v>44961.90178901844</v>
      </c>
      <c r="Q1744" s="58">
        <v>44767.1</v>
      </c>
      <c r="R1744" s="58">
        <v>0</v>
      </c>
      <c r="S1744" s="58">
        <v>0</v>
      </c>
      <c r="T1744" s="58">
        <v>194.80178901844192</v>
      </c>
      <c r="U1744" s="58">
        <v>0</v>
      </c>
      <c r="V1744" s="58">
        <v>0</v>
      </c>
      <c r="W1744" s="58">
        <v>0</v>
      </c>
      <c r="X1744" s="58">
        <v>44767</v>
      </c>
      <c r="Y1744" s="58">
        <v>0</v>
      </c>
      <c r="Z1744" s="55">
        <v>0</v>
      </c>
      <c r="AA1744" s="51">
        <v>0</v>
      </c>
      <c r="AB1744" s="102">
        <v>0</v>
      </c>
      <c r="AC1744" s="81">
        <f t="shared" si="84"/>
        <v>0</v>
      </c>
      <c r="AD1744" s="82">
        <f t="shared" si="85"/>
        <v>0</v>
      </c>
      <c r="AE1744" s="218">
        <v>-4.3514498151196283E-3</v>
      </c>
      <c r="AF1744">
        <v>13</v>
      </c>
      <c r="AH1744" t="str">
        <f t="shared" si="83"/>
        <v>Warisnagar</v>
      </c>
      <c r="AJ1744" s="72">
        <v>0</v>
      </c>
      <c r="AK1744" s="72"/>
      <c r="AL1744" s="72"/>
      <c r="AM1744" s="72"/>
    </row>
    <row r="1745" spans="1:39" x14ac:dyDescent="0.25">
      <c r="A1745" s="37" t="s">
        <v>62</v>
      </c>
      <c r="B1745" s="66" t="s">
        <v>1615</v>
      </c>
      <c r="C1745" s="41">
        <v>1057</v>
      </c>
      <c r="D1745" s="41" t="s">
        <v>1202</v>
      </c>
      <c r="E1745" s="41">
        <v>10570046</v>
      </c>
      <c r="F1745" s="85" t="s">
        <v>1396</v>
      </c>
      <c r="G1745" s="39" t="s">
        <v>635</v>
      </c>
      <c r="H1745" s="52" t="s">
        <v>99</v>
      </c>
      <c r="I1745" s="52">
        <v>598.39999999999986</v>
      </c>
      <c r="J1745" s="49">
        <v>20187.830000000005</v>
      </c>
      <c r="K1745" s="58">
        <v>0</v>
      </c>
      <c r="L1745" s="58">
        <v>0</v>
      </c>
      <c r="M1745" s="58">
        <v>0</v>
      </c>
      <c r="N1745" s="58">
        <v>0</v>
      </c>
      <c r="O1745" s="58">
        <v>0</v>
      </c>
      <c r="P1745" s="53">
        <v>0</v>
      </c>
      <c r="Q1745" s="58">
        <v>20187.830000000005</v>
      </c>
      <c r="R1745" s="58">
        <v>0</v>
      </c>
      <c r="S1745" s="58">
        <v>0</v>
      </c>
      <c r="T1745" s="58">
        <v>0</v>
      </c>
      <c r="U1745" s="58">
        <v>0</v>
      </c>
      <c r="V1745" s="58">
        <v>0</v>
      </c>
      <c r="W1745" s="58">
        <v>0</v>
      </c>
      <c r="X1745" s="58">
        <v>0</v>
      </c>
      <c r="Y1745" s="58">
        <v>0</v>
      </c>
      <c r="Z1745" s="55">
        <v>20187.830000000005</v>
      </c>
      <c r="AA1745" s="51">
        <v>0</v>
      </c>
      <c r="AB1745" s="102">
        <v>0</v>
      </c>
      <c r="AC1745" s="81">
        <f t="shared" si="84"/>
        <v>68.552256951871783</v>
      </c>
      <c r="AD1745" s="82">
        <f t="shared" si="85"/>
        <v>85.485714285714266</v>
      </c>
      <c r="AE1745" s="218">
        <v>0</v>
      </c>
      <c r="AF1745">
        <v>0</v>
      </c>
      <c r="AH1745" t="str">
        <f t="shared" si="83"/>
        <v>Warisnagar</v>
      </c>
      <c r="AJ1745" s="72">
        <v>0</v>
      </c>
      <c r="AK1745" s="72"/>
      <c r="AL1745" s="72"/>
      <c r="AM1745" s="72"/>
    </row>
    <row r="1746" spans="1:39" x14ac:dyDescent="0.25">
      <c r="A1746" s="37" t="s">
        <v>62</v>
      </c>
      <c r="B1746" s="66" t="s">
        <v>1615</v>
      </c>
      <c r="C1746" s="41">
        <v>1057</v>
      </c>
      <c r="D1746" s="41" t="s">
        <v>1202</v>
      </c>
      <c r="E1746" s="41">
        <v>10570047</v>
      </c>
      <c r="F1746" s="85" t="s">
        <v>1441</v>
      </c>
      <c r="G1746" s="39" t="s">
        <v>93</v>
      </c>
      <c r="H1746" s="52" t="s">
        <v>94</v>
      </c>
      <c r="I1746" s="52">
        <v>353.8</v>
      </c>
      <c r="J1746" s="49">
        <v>13614.860000000002</v>
      </c>
      <c r="K1746" s="58">
        <v>280.7</v>
      </c>
      <c r="L1746" s="58">
        <v>10172.73480007225</v>
      </c>
      <c r="M1746" s="58">
        <v>73.100000000000009</v>
      </c>
      <c r="N1746" s="58">
        <v>3424.6054675643404</v>
      </c>
      <c r="O1746" s="58">
        <v>353.8</v>
      </c>
      <c r="P1746" s="53">
        <v>13597.340267636591</v>
      </c>
      <c r="Q1746" s="58">
        <v>13597.340267636591</v>
      </c>
      <c r="R1746" s="58">
        <v>0</v>
      </c>
      <c r="S1746" s="58">
        <v>0</v>
      </c>
      <c r="T1746" s="58">
        <v>0</v>
      </c>
      <c r="U1746" s="58">
        <v>0</v>
      </c>
      <c r="V1746" s="58">
        <v>0</v>
      </c>
      <c r="W1746" s="58">
        <v>0</v>
      </c>
      <c r="X1746" s="58">
        <v>10173</v>
      </c>
      <c r="Y1746" s="58">
        <v>3424</v>
      </c>
      <c r="Z1746" s="55">
        <v>0</v>
      </c>
      <c r="AA1746" s="51">
        <v>18</v>
      </c>
      <c r="AB1746" s="102">
        <v>0</v>
      </c>
      <c r="AC1746" s="81">
        <f t="shared" si="84"/>
        <v>266.44796676088191</v>
      </c>
      <c r="AD1746" s="82">
        <f t="shared" si="85"/>
        <v>50.542857142857144</v>
      </c>
      <c r="AE1746" s="218">
        <v>1.2868095862470191E-3</v>
      </c>
      <c r="AF1746">
        <v>10</v>
      </c>
      <c r="AH1746" t="str">
        <f t="shared" si="83"/>
        <v>Warisnagar</v>
      </c>
      <c r="AJ1746" s="72">
        <v>0</v>
      </c>
      <c r="AK1746" s="72"/>
      <c r="AL1746" s="72"/>
      <c r="AM1746" s="72"/>
    </row>
    <row r="1747" spans="1:39" x14ac:dyDescent="0.25">
      <c r="A1747" s="37" t="s">
        <v>62</v>
      </c>
      <c r="B1747" s="66" t="s">
        <v>1615</v>
      </c>
      <c r="C1747" s="41">
        <v>1057</v>
      </c>
      <c r="D1747" s="41" t="s">
        <v>1202</v>
      </c>
      <c r="E1747" s="41">
        <v>10570049</v>
      </c>
      <c r="F1747" s="85" t="s">
        <v>1457</v>
      </c>
      <c r="G1747" s="39" t="s">
        <v>93</v>
      </c>
      <c r="H1747" s="52" t="s">
        <v>94</v>
      </c>
      <c r="I1747" s="52">
        <v>241</v>
      </c>
      <c r="J1747" s="49">
        <v>12398.56</v>
      </c>
      <c r="K1747" s="58">
        <v>239.29999999999998</v>
      </c>
      <c r="L1747" s="58">
        <v>12367.313876696837</v>
      </c>
      <c r="M1747" s="58">
        <v>0</v>
      </c>
      <c r="N1747" s="58">
        <v>0</v>
      </c>
      <c r="O1747" s="58">
        <v>239.29999999999998</v>
      </c>
      <c r="P1747" s="53">
        <v>12367.313876696837</v>
      </c>
      <c r="Q1747" s="58">
        <v>12367.313876696837</v>
      </c>
      <c r="R1747" s="58">
        <v>0</v>
      </c>
      <c r="S1747" s="58">
        <v>0</v>
      </c>
      <c r="T1747" s="58">
        <v>0</v>
      </c>
      <c r="U1747" s="58">
        <v>0</v>
      </c>
      <c r="V1747" s="58">
        <v>0</v>
      </c>
      <c r="W1747" s="58">
        <v>0</v>
      </c>
      <c r="X1747" s="58">
        <v>12367</v>
      </c>
      <c r="Y1747" s="58">
        <v>0</v>
      </c>
      <c r="Z1747" s="55">
        <v>0</v>
      </c>
      <c r="AA1747" s="51">
        <v>32</v>
      </c>
      <c r="AB1747" s="102">
        <v>0</v>
      </c>
      <c r="AC1747" s="81">
        <f t="shared" si="84"/>
        <v>472.27709875518673</v>
      </c>
      <c r="AD1747" s="82">
        <f t="shared" si="85"/>
        <v>34.428571428571431</v>
      </c>
      <c r="AE1747" s="218">
        <v>2.5201413150529317E-3</v>
      </c>
      <c r="AF1747">
        <v>1</v>
      </c>
      <c r="AH1747" t="str">
        <f t="shared" si="83"/>
        <v>Warisnagar</v>
      </c>
      <c r="AJ1747" s="72">
        <v>0</v>
      </c>
      <c r="AK1747" s="72"/>
      <c r="AL1747" s="72"/>
      <c r="AM1747" s="72"/>
    </row>
    <row r="1748" spans="1:39" x14ac:dyDescent="0.25">
      <c r="A1748" s="37" t="s">
        <v>62</v>
      </c>
      <c r="B1748" s="66" t="s">
        <v>1615</v>
      </c>
      <c r="C1748" s="41">
        <v>1057</v>
      </c>
      <c r="D1748" s="41" t="s">
        <v>1202</v>
      </c>
      <c r="E1748" s="41">
        <v>10570053</v>
      </c>
      <c r="F1748" s="85" t="s">
        <v>1480</v>
      </c>
      <c r="G1748" s="39" t="s">
        <v>635</v>
      </c>
      <c r="H1748" s="52" t="s">
        <v>99</v>
      </c>
      <c r="I1748" s="52">
        <v>343.90000000000003</v>
      </c>
      <c r="J1748" s="49">
        <v>12617.89</v>
      </c>
      <c r="K1748" s="58">
        <v>0</v>
      </c>
      <c r="L1748" s="58">
        <v>0</v>
      </c>
      <c r="M1748" s="58">
        <v>0</v>
      </c>
      <c r="N1748" s="58">
        <v>0</v>
      </c>
      <c r="O1748" s="58">
        <v>0</v>
      </c>
      <c r="P1748" s="53">
        <v>0</v>
      </c>
      <c r="Q1748" s="58">
        <v>12617.89</v>
      </c>
      <c r="R1748" s="58">
        <v>0</v>
      </c>
      <c r="S1748" s="58">
        <v>0</v>
      </c>
      <c r="T1748" s="58">
        <v>0</v>
      </c>
      <c r="U1748" s="58">
        <v>0</v>
      </c>
      <c r="V1748" s="58">
        <v>0</v>
      </c>
      <c r="W1748" s="58">
        <v>0</v>
      </c>
      <c r="X1748" s="58">
        <v>0</v>
      </c>
      <c r="Y1748" s="58">
        <v>0</v>
      </c>
      <c r="Z1748" s="55">
        <v>12617.89</v>
      </c>
      <c r="AA1748" s="51">
        <v>0</v>
      </c>
      <c r="AB1748" s="102">
        <v>0</v>
      </c>
      <c r="AC1748" s="81">
        <f t="shared" si="84"/>
        <v>261.31030119220696</v>
      </c>
      <c r="AD1748" s="82">
        <f t="shared" si="85"/>
        <v>49.128571428571433</v>
      </c>
      <c r="AE1748" s="218">
        <v>0</v>
      </c>
      <c r="AF1748">
        <v>0</v>
      </c>
      <c r="AH1748" t="str">
        <f t="shared" si="83"/>
        <v>Warisnagar</v>
      </c>
      <c r="AJ1748" s="72">
        <v>0</v>
      </c>
      <c r="AK1748" s="72"/>
      <c r="AL1748" s="72"/>
      <c r="AM1748" s="72"/>
    </row>
    <row r="1749" spans="1:39" x14ac:dyDescent="0.25">
      <c r="A1749" s="37" t="s">
        <v>62</v>
      </c>
      <c r="B1749" s="66" t="s">
        <v>1615</v>
      </c>
      <c r="C1749" s="41">
        <v>1057</v>
      </c>
      <c r="D1749" s="41" t="s">
        <v>1202</v>
      </c>
      <c r="E1749" s="41">
        <v>10570055</v>
      </c>
      <c r="F1749" s="85" t="s">
        <v>1507</v>
      </c>
      <c r="G1749" s="39" t="s">
        <v>93</v>
      </c>
      <c r="H1749" s="52" t="s">
        <v>94</v>
      </c>
      <c r="I1749" s="52">
        <v>136.4</v>
      </c>
      <c r="J1749" s="49">
        <v>5393.58</v>
      </c>
      <c r="K1749" s="58">
        <v>138.30000000000001</v>
      </c>
      <c r="L1749" s="58">
        <v>5431.7768855349614</v>
      </c>
      <c r="M1749" s="58">
        <v>0</v>
      </c>
      <c r="N1749" s="58">
        <v>0</v>
      </c>
      <c r="O1749" s="58">
        <v>138.30000000000001</v>
      </c>
      <c r="P1749" s="53">
        <v>5431.7768855349614</v>
      </c>
      <c r="Q1749" s="58">
        <v>5393.58</v>
      </c>
      <c r="R1749" s="58">
        <v>0</v>
      </c>
      <c r="S1749" s="58">
        <v>0</v>
      </c>
      <c r="T1749" s="58">
        <v>38.196885534961439</v>
      </c>
      <c r="U1749" s="58">
        <v>0</v>
      </c>
      <c r="V1749" s="58">
        <v>0</v>
      </c>
      <c r="W1749" s="58">
        <v>0</v>
      </c>
      <c r="X1749" s="58">
        <v>5394</v>
      </c>
      <c r="Y1749" s="58">
        <v>0</v>
      </c>
      <c r="Z1749" s="55">
        <v>0</v>
      </c>
      <c r="AA1749" s="51">
        <v>0</v>
      </c>
      <c r="AB1749" s="102">
        <v>0</v>
      </c>
      <c r="AC1749" s="81">
        <f t="shared" si="84"/>
        <v>445.72165513196472</v>
      </c>
      <c r="AD1749" s="82">
        <f t="shared" si="85"/>
        <v>19.485714285714288</v>
      </c>
      <c r="AE1749" s="218">
        <v>-7.0819169336435979E-3</v>
      </c>
      <c r="AF1749">
        <v>1</v>
      </c>
      <c r="AH1749" t="str">
        <f t="shared" si="83"/>
        <v>Warisnagar</v>
      </c>
      <c r="AJ1749" s="72">
        <v>0</v>
      </c>
      <c r="AK1749" s="72"/>
      <c r="AL1749" s="72"/>
      <c r="AM1749" s="72"/>
    </row>
    <row r="1750" spans="1:39" x14ac:dyDescent="0.25">
      <c r="A1750" s="37" t="s">
        <v>62</v>
      </c>
      <c r="B1750" s="66" t="s">
        <v>1615</v>
      </c>
      <c r="C1750" s="41">
        <v>1057</v>
      </c>
      <c r="D1750" s="41" t="s">
        <v>1202</v>
      </c>
      <c r="E1750" s="41">
        <v>10570056</v>
      </c>
      <c r="F1750" s="85" t="s">
        <v>1508</v>
      </c>
      <c r="G1750" s="39" t="s">
        <v>635</v>
      </c>
      <c r="H1750" s="52" t="s">
        <v>99</v>
      </c>
      <c r="I1750" s="52">
        <v>9.8000000000000007</v>
      </c>
      <c r="J1750" s="49">
        <v>371.8</v>
      </c>
      <c r="K1750" s="58">
        <v>0</v>
      </c>
      <c r="L1750" s="58">
        <v>0</v>
      </c>
      <c r="M1750" s="58">
        <v>0</v>
      </c>
      <c r="N1750" s="58">
        <v>0</v>
      </c>
      <c r="O1750" s="58">
        <v>0</v>
      </c>
      <c r="P1750" s="53">
        <v>0</v>
      </c>
      <c r="Q1750" s="58">
        <v>371.8</v>
      </c>
      <c r="R1750" s="58">
        <v>0</v>
      </c>
      <c r="S1750" s="58">
        <v>0</v>
      </c>
      <c r="T1750" s="58">
        <v>0</v>
      </c>
      <c r="U1750" s="58">
        <v>0</v>
      </c>
      <c r="V1750" s="58">
        <v>0</v>
      </c>
      <c r="W1750" s="58">
        <v>0</v>
      </c>
      <c r="X1750" s="58">
        <v>0</v>
      </c>
      <c r="Y1750" s="58">
        <v>0</v>
      </c>
      <c r="Z1750" s="55">
        <v>371.8</v>
      </c>
      <c r="AA1750" s="51">
        <v>0</v>
      </c>
      <c r="AB1750" s="102">
        <v>0</v>
      </c>
      <c r="AC1750" s="81">
        <f t="shared" si="84"/>
        <v>523.70685714285707</v>
      </c>
      <c r="AD1750" s="82">
        <f t="shared" si="85"/>
        <v>1.4000000000000001</v>
      </c>
      <c r="AE1750" s="218">
        <v>0</v>
      </c>
      <c r="AF1750">
        <v>0</v>
      </c>
      <c r="AH1750" t="str">
        <f t="shared" si="83"/>
        <v>Warisnagar</v>
      </c>
      <c r="AJ1750" s="72">
        <v>0</v>
      </c>
      <c r="AK1750" s="72"/>
      <c r="AL1750" s="72"/>
      <c r="AM1750" s="72"/>
    </row>
    <row r="1751" spans="1:39" x14ac:dyDescent="0.25">
      <c r="A1751" s="37" t="s">
        <v>62</v>
      </c>
      <c r="B1751" s="66" t="s">
        <v>1615</v>
      </c>
      <c r="C1751" s="41">
        <v>1057</v>
      </c>
      <c r="D1751" s="41" t="s">
        <v>1202</v>
      </c>
      <c r="E1751" s="41">
        <v>10570057</v>
      </c>
      <c r="F1751" s="85" t="s">
        <v>1509</v>
      </c>
      <c r="G1751" s="39" t="s">
        <v>635</v>
      </c>
      <c r="H1751" s="52" t="s">
        <v>99</v>
      </c>
      <c r="I1751" s="52">
        <v>239.1</v>
      </c>
      <c r="J1751" s="49">
        <v>8624.5300000000007</v>
      </c>
      <c r="K1751" s="58">
        <v>0</v>
      </c>
      <c r="L1751" s="58">
        <v>0</v>
      </c>
      <c r="M1751" s="58">
        <v>0</v>
      </c>
      <c r="N1751" s="58">
        <v>0</v>
      </c>
      <c r="O1751" s="58">
        <v>0</v>
      </c>
      <c r="P1751" s="53">
        <v>0</v>
      </c>
      <c r="Q1751" s="58">
        <v>8624.5300000000007</v>
      </c>
      <c r="R1751" s="58">
        <v>0</v>
      </c>
      <c r="S1751" s="58">
        <v>0</v>
      </c>
      <c r="T1751" s="58">
        <v>0</v>
      </c>
      <c r="U1751" s="58">
        <v>0</v>
      </c>
      <c r="V1751" s="58">
        <v>0</v>
      </c>
      <c r="W1751" s="58">
        <v>0</v>
      </c>
      <c r="X1751" s="58">
        <v>0</v>
      </c>
      <c r="Y1751" s="58">
        <v>0</v>
      </c>
      <c r="Z1751" s="55">
        <v>8624.5300000000007</v>
      </c>
      <c r="AA1751" s="51">
        <v>0</v>
      </c>
      <c r="AB1751" s="102">
        <v>0</v>
      </c>
      <c r="AC1751" s="81">
        <f t="shared" si="84"/>
        <v>332.50070071099958</v>
      </c>
      <c r="AD1751" s="82">
        <f t="shared" si="85"/>
        <v>34.157142857142858</v>
      </c>
      <c r="AE1751" s="218">
        <v>0</v>
      </c>
      <c r="AF1751">
        <v>0</v>
      </c>
      <c r="AH1751" t="str">
        <f t="shared" si="83"/>
        <v>Warisnagar</v>
      </c>
      <c r="AJ1751" s="72">
        <v>0</v>
      </c>
      <c r="AK1751" s="72"/>
      <c r="AL1751" s="72"/>
      <c r="AM1751" s="72"/>
    </row>
    <row r="1752" spans="1:39" x14ac:dyDescent="0.25">
      <c r="A1752" s="37" t="s">
        <v>62</v>
      </c>
      <c r="B1752" s="66" t="s">
        <v>1615</v>
      </c>
      <c r="C1752" s="41">
        <v>1057</v>
      </c>
      <c r="D1752" s="41" t="s">
        <v>1202</v>
      </c>
      <c r="E1752" s="41">
        <v>10570058</v>
      </c>
      <c r="F1752" s="85" t="s">
        <v>1549</v>
      </c>
      <c r="G1752" s="39" t="s">
        <v>635</v>
      </c>
      <c r="H1752" s="52" t="s">
        <v>99</v>
      </c>
      <c r="I1752" s="52">
        <v>279.5</v>
      </c>
      <c r="J1752" s="49">
        <v>10609.93</v>
      </c>
      <c r="K1752" s="58">
        <v>0</v>
      </c>
      <c r="L1752" s="58">
        <v>0</v>
      </c>
      <c r="M1752" s="58">
        <v>0</v>
      </c>
      <c r="N1752" s="58">
        <v>0</v>
      </c>
      <c r="O1752" s="58">
        <v>0</v>
      </c>
      <c r="P1752" s="53">
        <v>0</v>
      </c>
      <c r="Q1752" s="58">
        <v>10609.93</v>
      </c>
      <c r="R1752" s="58">
        <v>0</v>
      </c>
      <c r="S1752" s="58">
        <v>0</v>
      </c>
      <c r="T1752" s="58">
        <v>0</v>
      </c>
      <c r="U1752" s="58">
        <v>0</v>
      </c>
      <c r="V1752" s="58">
        <v>0</v>
      </c>
      <c r="W1752" s="58">
        <v>0</v>
      </c>
      <c r="X1752" s="58">
        <v>0</v>
      </c>
      <c r="Y1752" s="58">
        <v>0</v>
      </c>
      <c r="Z1752" s="55">
        <v>10609.93</v>
      </c>
      <c r="AA1752" s="51">
        <v>0</v>
      </c>
      <c r="AB1752" s="102">
        <v>0</v>
      </c>
      <c r="AC1752" s="81">
        <f t="shared" si="84"/>
        <v>319.24690983899819</v>
      </c>
      <c r="AD1752" s="82">
        <f t="shared" si="85"/>
        <v>39.928571428571431</v>
      </c>
      <c r="AE1752" s="218">
        <v>0</v>
      </c>
      <c r="AF1752">
        <v>0</v>
      </c>
      <c r="AH1752" t="str">
        <f t="shared" si="83"/>
        <v>Warisnagar</v>
      </c>
      <c r="AJ1752" s="72">
        <v>0</v>
      </c>
      <c r="AK1752" s="72"/>
      <c r="AL1752" s="72"/>
      <c r="AM1752" s="72"/>
    </row>
    <row r="1753" spans="1:39" x14ac:dyDescent="0.25">
      <c r="A1753" s="37" t="s">
        <v>62</v>
      </c>
      <c r="B1753" s="66" t="s">
        <v>1615</v>
      </c>
      <c r="C1753" s="41">
        <v>1057</v>
      </c>
      <c r="D1753" s="41" t="s">
        <v>1202</v>
      </c>
      <c r="E1753" s="41">
        <v>10570059</v>
      </c>
      <c r="F1753" s="85" t="s">
        <v>1550</v>
      </c>
      <c r="G1753" s="39" t="s">
        <v>635</v>
      </c>
      <c r="H1753" s="52" t="s">
        <v>99</v>
      </c>
      <c r="I1753" s="52">
        <v>1456.6</v>
      </c>
      <c r="J1753" s="49">
        <v>62339.85</v>
      </c>
      <c r="K1753" s="58">
        <v>0</v>
      </c>
      <c r="L1753" s="58">
        <v>0</v>
      </c>
      <c r="M1753" s="58">
        <v>0</v>
      </c>
      <c r="N1753" s="58">
        <v>0</v>
      </c>
      <c r="O1753" s="58">
        <v>0</v>
      </c>
      <c r="P1753" s="53">
        <v>0</v>
      </c>
      <c r="Q1753" s="58">
        <v>62339.85</v>
      </c>
      <c r="R1753" s="58">
        <v>0</v>
      </c>
      <c r="S1753" s="58">
        <v>0</v>
      </c>
      <c r="T1753" s="58">
        <v>0</v>
      </c>
      <c r="U1753" s="58">
        <v>0</v>
      </c>
      <c r="V1753" s="58">
        <v>0</v>
      </c>
      <c r="W1753" s="58">
        <v>0</v>
      </c>
      <c r="X1753" s="58">
        <v>0</v>
      </c>
      <c r="Y1753" s="58">
        <v>0</v>
      </c>
      <c r="Z1753" s="55">
        <v>62339.85</v>
      </c>
      <c r="AA1753" s="51">
        <v>0</v>
      </c>
      <c r="AB1753" s="102">
        <v>0</v>
      </c>
      <c r="AC1753" s="81">
        <f t="shared" si="84"/>
        <v>0</v>
      </c>
      <c r="AD1753" s="82">
        <f t="shared" si="85"/>
        <v>0</v>
      </c>
      <c r="AE1753" s="218">
        <v>0</v>
      </c>
      <c r="AF1753">
        <v>0</v>
      </c>
      <c r="AH1753" t="str">
        <f t="shared" si="83"/>
        <v>Warisnagar</v>
      </c>
      <c r="AJ1753" s="72">
        <v>0</v>
      </c>
      <c r="AK1753" s="72"/>
      <c r="AL1753" s="72"/>
      <c r="AM1753" s="72"/>
    </row>
    <row r="1754" spans="1:39" x14ac:dyDescent="0.25">
      <c r="A1754" s="37" t="s">
        <v>62</v>
      </c>
      <c r="B1754" s="66" t="s">
        <v>1615</v>
      </c>
      <c r="C1754" s="41">
        <v>1057</v>
      </c>
      <c r="D1754" s="41" t="s">
        <v>1202</v>
      </c>
      <c r="E1754" s="41">
        <v>10570060</v>
      </c>
      <c r="F1754" s="85" t="s">
        <v>1551</v>
      </c>
      <c r="G1754" s="39" t="s">
        <v>635</v>
      </c>
      <c r="H1754" s="52" t="s">
        <v>99</v>
      </c>
      <c r="I1754" s="52">
        <v>748.5</v>
      </c>
      <c r="J1754" s="49">
        <v>29898.149999999998</v>
      </c>
      <c r="K1754" s="58">
        <v>0</v>
      </c>
      <c r="L1754" s="58">
        <v>0</v>
      </c>
      <c r="M1754" s="58">
        <v>0</v>
      </c>
      <c r="N1754" s="58">
        <v>0</v>
      </c>
      <c r="O1754" s="58">
        <v>0</v>
      </c>
      <c r="P1754" s="53">
        <v>0</v>
      </c>
      <c r="Q1754" s="58">
        <v>29898.149999999998</v>
      </c>
      <c r="R1754" s="58">
        <v>0</v>
      </c>
      <c r="S1754" s="58">
        <v>0</v>
      </c>
      <c r="T1754" s="58">
        <v>0</v>
      </c>
      <c r="U1754" s="58">
        <v>0</v>
      </c>
      <c r="V1754" s="58">
        <v>0</v>
      </c>
      <c r="W1754" s="58">
        <v>0</v>
      </c>
      <c r="X1754" s="58">
        <v>0</v>
      </c>
      <c r="Y1754" s="58">
        <v>0</v>
      </c>
      <c r="Z1754" s="55">
        <v>29898.149999999998</v>
      </c>
      <c r="AA1754" s="51">
        <v>0</v>
      </c>
      <c r="AB1754" s="102">
        <v>0</v>
      </c>
      <c r="AC1754" s="81">
        <f t="shared" si="84"/>
        <v>0</v>
      </c>
      <c r="AD1754" s="82">
        <f t="shared" si="85"/>
        <v>0</v>
      </c>
      <c r="AE1754" s="218">
        <v>0</v>
      </c>
      <c r="AF1754">
        <v>0</v>
      </c>
      <c r="AH1754" t="str">
        <f t="shared" si="83"/>
        <v>Warisnagar</v>
      </c>
      <c r="AJ1754" s="72">
        <v>0</v>
      </c>
      <c r="AK1754" s="72"/>
      <c r="AL1754" s="72"/>
      <c r="AM1754" s="72"/>
    </row>
    <row r="1755" spans="1:39" x14ac:dyDescent="0.25">
      <c r="A1755" s="37" t="s">
        <v>62</v>
      </c>
      <c r="B1755" s="66" t="s">
        <v>1615</v>
      </c>
      <c r="C1755" s="41">
        <v>1057</v>
      </c>
      <c r="D1755" s="41" t="s">
        <v>1202</v>
      </c>
      <c r="E1755" s="41">
        <v>10570062</v>
      </c>
      <c r="F1755" s="85" t="s">
        <v>1582</v>
      </c>
      <c r="G1755" s="39" t="s">
        <v>635</v>
      </c>
      <c r="H1755" s="52" t="s">
        <v>99</v>
      </c>
      <c r="I1755" s="52">
        <v>2355.4</v>
      </c>
      <c r="J1755" s="49">
        <v>84016.55</v>
      </c>
      <c r="K1755" s="58">
        <v>0</v>
      </c>
      <c r="L1755" s="58">
        <v>0</v>
      </c>
      <c r="M1755" s="58">
        <v>0</v>
      </c>
      <c r="N1755" s="58">
        <v>0</v>
      </c>
      <c r="O1755" s="58">
        <v>0</v>
      </c>
      <c r="P1755" s="53">
        <v>0</v>
      </c>
      <c r="Q1755" s="58">
        <v>84016.55</v>
      </c>
      <c r="R1755" s="58">
        <v>0</v>
      </c>
      <c r="S1755" s="58">
        <v>0</v>
      </c>
      <c r="T1755" s="58">
        <v>0</v>
      </c>
      <c r="U1755" s="58">
        <v>0</v>
      </c>
      <c r="V1755" s="58">
        <v>0</v>
      </c>
      <c r="W1755" s="58">
        <v>0</v>
      </c>
      <c r="X1755" s="58">
        <v>0</v>
      </c>
      <c r="Y1755" s="58">
        <v>0</v>
      </c>
      <c r="Z1755" s="55">
        <v>84016.55</v>
      </c>
      <c r="AA1755" s="51">
        <v>0</v>
      </c>
      <c r="AB1755" s="102">
        <v>0</v>
      </c>
      <c r="AC1755" s="81">
        <f t="shared" si="84"/>
        <v>0</v>
      </c>
      <c r="AD1755" s="82">
        <f t="shared" si="85"/>
        <v>0</v>
      </c>
      <c r="AE1755" s="218">
        <v>0</v>
      </c>
      <c r="AF1755">
        <v>0</v>
      </c>
      <c r="AH1755" t="str">
        <f t="shared" ref="AH1755:AH1814" si="86">TEXT(D1755,"0000")</f>
        <v>Warisnagar</v>
      </c>
      <c r="AJ1755" s="72">
        <v>0</v>
      </c>
      <c r="AK1755" s="72"/>
      <c r="AL1755" s="72"/>
      <c r="AM1755" s="72"/>
    </row>
    <row r="1756" spans="1:39" ht="15.75" thickBot="1" x14ac:dyDescent="0.3">
      <c r="A1756" s="37" t="s">
        <v>62</v>
      </c>
      <c r="B1756" s="66" t="s">
        <v>1615</v>
      </c>
      <c r="C1756" s="59">
        <v>1058</v>
      </c>
      <c r="D1756" s="59" t="s">
        <v>1344</v>
      </c>
      <c r="E1756" s="59">
        <v>10580001</v>
      </c>
      <c r="F1756" s="86" t="s">
        <v>1227</v>
      </c>
      <c r="G1756" s="60" t="s">
        <v>93</v>
      </c>
      <c r="H1756" s="61" t="s">
        <v>94</v>
      </c>
      <c r="I1756" s="61">
        <v>262.5</v>
      </c>
      <c r="J1756" s="49">
        <v>10990.39</v>
      </c>
      <c r="K1756" s="62">
        <v>258.20000000000005</v>
      </c>
      <c r="L1756" s="62">
        <v>11037.952570636022</v>
      </c>
      <c r="M1756" s="62">
        <v>9.4999999999999982</v>
      </c>
      <c r="N1756" s="62">
        <v>394.94592535440006</v>
      </c>
      <c r="O1756" s="62">
        <v>267.70000000000005</v>
      </c>
      <c r="P1756" s="63">
        <v>11432.898495990423</v>
      </c>
      <c r="Q1756" s="62">
        <v>10990.39</v>
      </c>
      <c r="R1756" s="62">
        <v>0</v>
      </c>
      <c r="S1756" s="62">
        <v>394.94592535440006</v>
      </c>
      <c r="T1756" s="62">
        <v>442.5084959904234</v>
      </c>
      <c r="U1756" s="62">
        <v>0</v>
      </c>
      <c r="V1756" s="62">
        <v>0</v>
      </c>
      <c r="W1756" s="62">
        <v>0</v>
      </c>
      <c r="X1756" s="62">
        <v>10595</v>
      </c>
      <c r="Y1756" s="62">
        <v>0</v>
      </c>
      <c r="Z1756" s="64">
        <v>0</v>
      </c>
      <c r="AA1756" s="51">
        <v>0</v>
      </c>
      <c r="AB1756" s="102">
        <v>0</v>
      </c>
      <c r="AC1756" s="81">
        <f t="shared" si="84"/>
        <v>366.34633333333335</v>
      </c>
      <c r="AD1756" s="82">
        <f t="shared" si="85"/>
        <v>37.5</v>
      </c>
      <c r="AE1756" s="218">
        <v>-4.0263220503587535E-2</v>
      </c>
      <c r="AF1756">
        <v>13</v>
      </c>
      <c r="AH1756" t="str">
        <f t="shared" si="86"/>
        <v>Hasanpur</v>
      </c>
      <c r="AJ1756" s="72">
        <v>0</v>
      </c>
      <c r="AK1756" s="72"/>
      <c r="AL1756" s="72"/>
      <c r="AM1756" s="72"/>
    </row>
    <row r="1757" spans="1:39" x14ac:dyDescent="0.25">
      <c r="A1757" s="37" t="s">
        <v>62</v>
      </c>
      <c r="B1757" s="66" t="s">
        <v>1615</v>
      </c>
      <c r="C1757" s="47">
        <v>1058</v>
      </c>
      <c r="D1757" s="47" t="s">
        <v>1344</v>
      </c>
      <c r="E1757" s="47">
        <v>10580002</v>
      </c>
      <c r="F1757" s="87" t="s">
        <v>1246</v>
      </c>
      <c r="G1757" s="48" t="s">
        <v>93</v>
      </c>
      <c r="H1757" s="49" t="s">
        <v>94</v>
      </c>
      <c r="I1757" s="49">
        <v>435.9</v>
      </c>
      <c r="J1757" s="49">
        <v>17708.29</v>
      </c>
      <c r="K1757" s="65">
        <v>472.49999999999994</v>
      </c>
      <c r="L1757" s="65">
        <v>19325.893368582823</v>
      </c>
      <c r="M1757" s="65">
        <v>5.6999999999999993</v>
      </c>
      <c r="N1757" s="65">
        <v>227.39718711600005</v>
      </c>
      <c r="O1757" s="65">
        <v>478.19999999999993</v>
      </c>
      <c r="P1757" s="50">
        <v>19553.290555698823</v>
      </c>
      <c r="Q1757" s="65">
        <v>17708.29</v>
      </c>
      <c r="R1757" s="65">
        <v>0</v>
      </c>
      <c r="S1757" s="65">
        <v>227.39718711600005</v>
      </c>
      <c r="T1757" s="65">
        <v>1845.0005556988217</v>
      </c>
      <c r="U1757" s="65">
        <v>0</v>
      </c>
      <c r="V1757" s="65">
        <v>0</v>
      </c>
      <c r="W1757" s="65">
        <v>0</v>
      </c>
      <c r="X1757" s="65">
        <v>17481</v>
      </c>
      <c r="Y1757" s="65">
        <v>0</v>
      </c>
      <c r="Z1757" s="51">
        <v>0</v>
      </c>
      <c r="AA1757" s="51">
        <v>0</v>
      </c>
      <c r="AB1757" s="102">
        <v>0</v>
      </c>
      <c r="AC1757" s="81">
        <f t="shared" si="84"/>
        <v>214.57946267492548</v>
      </c>
      <c r="AD1757" s="82">
        <f t="shared" si="85"/>
        <v>62.271428571428565</v>
      </c>
      <c r="AE1757" s="218">
        <v>-0.10418852163019815</v>
      </c>
      <c r="AF1757">
        <v>6</v>
      </c>
      <c r="AH1757" t="str">
        <f t="shared" si="86"/>
        <v>Hasanpur</v>
      </c>
      <c r="AJ1757" s="72">
        <v>0</v>
      </c>
      <c r="AK1757" s="72"/>
      <c r="AL1757" s="72"/>
      <c r="AM1757" s="72"/>
    </row>
    <row r="1758" spans="1:39" x14ac:dyDescent="0.25">
      <c r="A1758" s="37" t="s">
        <v>62</v>
      </c>
      <c r="B1758" s="66" t="s">
        <v>1615</v>
      </c>
      <c r="C1758" s="41">
        <v>1058</v>
      </c>
      <c r="D1758" s="41" t="s">
        <v>1344</v>
      </c>
      <c r="E1758" s="41">
        <v>10580004</v>
      </c>
      <c r="F1758" s="85" t="s">
        <v>1235</v>
      </c>
      <c r="G1758" s="39" t="s">
        <v>93</v>
      </c>
      <c r="H1758" s="52" t="s">
        <v>94</v>
      </c>
      <c r="I1758" s="52">
        <v>293.40000000000003</v>
      </c>
      <c r="J1758" s="49">
        <v>10980.63</v>
      </c>
      <c r="K1758" s="58">
        <v>294.40000000000003</v>
      </c>
      <c r="L1758" s="58">
        <v>11804.2989293832</v>
      </c>
      <c r="M1758" s="58">
        <v>3.9</v>
      </c>
      <c r="N1758" s="58">
        <v>155.36546781600001</v>
      </c>
      <c r="O1758" s="58">
        <v>298.3</v>
      </c>
      <c r="P1758" s="53">
        <v>11959.6643971992</v>
      </c>
      <c r="Q1758" s="65">
        <v>10980.63</v>
      </c>
      <c r="R1758" s="65">
        <v>0</v>
      </c>
      <c r="S1758" s="65">
        <v>155.36546781600001</v>
      </c>
      <c r="T1758" s="65">
        <v>979.03439719920061</v>
      </c>
      <c r="U1758" s="58">
        <v>0</v>
      </c>
      <c r="V1758" s="65">
        <v>0</v>
      </c>
      <c r="W1758" s="65">
        <v>0</v>
      </c>
      <c r="X1758" s="65">
        <v>10825</v>
      </c>
      <c r="Y1758" s="65">
        <v>0</v>
      </c>
      <c r="Z1758" s="51">
        <v>0</v>
      </c>
      <c r="AA1758" s="51">
        <v>0</v>
      </c>
      <c r="AB1758" s="102">
        <v>0</v>
      </c>
      <c r="AC1758" s="81">
        <f t="shared" si="84"/>
        <v>304.34384171779129</v>
      </c>
      <c r="AD1758" s="82">
        <f t="shared" si="85"/>
        <v>41.914285714285718</v>
      </c>
      <c r="AE1758" s="218">
        <v>-8.9160129901399168E-2</v>
      </c>
      <c r="AF1758">
        <v>3</v>
      </c>
      <c r="AH1758" t="str">
        <f t="shared" si="86"/>
        <v>Hasanpur</v>
      </c>
      <c r="AJ1758" s="72">
        <v>0</v>
      </c>
      <c r="AK1758" s="72"/>
      <c r="AL1758" s="72"/>
      <c r="AM1758" s="72"/>
    </row>
    <row r="1759" spans="1:39" x14ac:dyDescent="0.25">
      <c r="A1759" s="37" t="s">
        <v>62</v>
      </c>
      <c r="B1759" s="66" t="s">
        <v>1615</v>
      </c>
      <c r="C1759" s="41">
        <v>1058</v>
      </c>
      <c r="D1759" s="41" t="s">
        <v>1344</v>
      </c>
      <c r="E1759" s="41">
        <v>10580005</v>
      </c>
      <c r="F1759" s="85" t="s">
        <v>1281</v>
      </c>
      <c r="G1759" s="39" t="s">
        <v>93</v>
      </c>
      <c r="H1759" s="52" t="s">
        <v>94</v>
      </c>
      <c r="I1759" s="52">
        <v>485.80000000000007</v>
      </c>
      <c r="J1759" s="49">
        <v>18823.78</v>
      </c>
      <c r="K1759" s="58">
        <v>481.6</v>
      </c>
      <c r="L1759" s="58">
        <v>19105.242402747797</v>
      </c>
      <c r="M1759" s="58">
        <v>3.8999999999999995</v>
      </c>
      <c r="N1759" s="58">
        <v>153.05826096000004</v>
      </c>
      <c r="O1759" s="58">
        <v>485.5</v>
      </c>
      <c r="P1759" s="53">
        <v>19258.300663707796</v>
      </c>
      <c r="Q1759" s="65">
        <v>18823.78</v>
      </c>
      <c r="R1759" s="65">
        <v>0</v>
      </c>
      <c r="S1759" s="65">
        <v>153.05826096000004</v>
      </c>
      <c r="T1759" s="65">
        <v>434.52066370779721</v>
      </c>
      <c r="U1759" s="58">
        <v>0</v>
      </c>
      <c r="V1759" s="65">
        <v>0</v>
      </c>
      <c r="W1759" s="65">
        <v>0</v>
      </c>
      <c r="X1759" s="65">
        <v>18671</v>
      </c>
      <c r="Y1759" s="65">
        <v>0</v>
      </c>
      <c r="Z1759" s="51">
        <v>0</v>
      </c>
      <c r="AA1759" s="51">
        <v>0</v>
      </c>
      <c r="AB1759" s="102" t="s">
        <v>68</v>
      </c>
      <c r="AC1759" s="81">
        <f t="shared" si="84"/>
        <v>165.99644610951003</v>
      </c>
      <c r="AD1759" s="82">
        <f t="shared" si="85"/>
        <v>69.400000000000006</v>
      </c>
      <c r="AE1759" s="218">
        <v>-2.3083602959012336E-2</v>
      </c>
      <c r="AF1759">
        <v>8</v>
      </c>
      <c r="AH1759" t="str">
        <f t="shared" si="86"/>
        <v>Hasanpur</v>
      </c>
      <c r="AJ1759" s="72">
        <v>0</v>
      </c>
      <c r="AK1759" s="72"/>
      <c r="AL1759" s="72"/>
      <c r="AM1759" s="72"/>
    </row>
    <row r="1760" spans="1:39" x14ac:dyDescent="0.25">
      <c r="A1760" s="37" t="s">
        <v>62</v>
      </c>
      <c r="B1760" s="66" t="s">
        <v>1615</v>
      </c>
      <c r="C1760" s="41">
        <v>1058</v>
      </c>
      <c r="D1760" s="41" t="s">
        <v>1344</v>
      </c>
      <c r="E1760" s="41">
        <v>10580007</v>
      </c>
      <c r="F1760" s="85" t="s">
        <v>1282</v>
      </c>
      <c r="G1760" s="39" t="s">
        <v>93</v>
      </c>
      <c r="H1760" s="52" t="s">
        <v>94</v>
      </c>
      <c r="I1760" s="52">
        <v>157.6</v>
      </c>
      <c r="J1760" s="49">
        <v>5934.8300000000008</v>
      </c>
      <c r="K1760" s="58">
        <v>144.5</v>
      </c>
      <c r="L1760" s="58">
        <v>5877.6332965009005</v>
      </c>
      <c r="M1760" s="58">
        <v>1.6</v>
      </c>
      <c r="N1760" s="58">
        <v>86.677377045</v>
      </c>
      <c r="O1760" s="58">
        <v>146.1</v>
      </c>
      <c r="P1760" s="53">
        <v>5964.3106735459005</v>
      </c>
      <c r="Q1760" s="65">
        <v>5934.8300000000008</v>
      </c>
      <c r="R1760" s="65">
        <v>0</v>
      </c>
      <c r="S1760" s="65">
        <v>86.677377045</v>
      </c>
      <c r="T1760" s="65">
        <v>29.480673545899663</v>
      </c>
      <c r="U1760" s="58">
        <v>0</v>
      </c>
      <c r="V1760" s="65">
        <v>0</v>
      </c>
      <c r="W1760" s="65">
        <v>0</v>
      </c>
      <c r="X1760" s="65">
        <v>5848</v>
      </c>
      <c r="Y1760" s="65">
        <v>0</v>
      </c>
      <c r="Z1760" s="51">
        <v>0</v>
      </c>
      <c r="AA1760" s="51">
        <v>0</v>
      </c>
      <c r="AB1760" s="102">
        <v>0</v>
      </c>
      <c r="AC1760" s="81">
        <f t="shared" si="84"/>
        <v>408.50911065989868</v>
      </c>
      <c r="AD1760" s="82">
        <f t="shared" si="85"/>
        <v>22.514285714285712</v>
      </c>
      <c r="AE1760" s="218">
        <v>-4.9673998321602573E-3</v>
      </c>
      <c r="AF1760">
        <v>5</v>
      </c>
      <c r="AH1760" t="str">
        <f t="shared" si="86"/>
        <v>Hasanpur</v>
      </c>
      <c r="AJ1760" s="72">
        <v>0</v>
      </c>
      <c r="AK1760" s="72"/>
      <c r="AL1760" s="72"/>
      <c r="AM1760" s="72"/>
    </row>
    <row r="1761" spans="1:39" x14ac:dyDescent="0.25">
      <c r="A1761" s="37" t="s">
        <v>62</v>
      </c>
      <c r="B1761" s="66" t="s">
        <v>1615</v>
      </c>
      <c r="C1761" s="41">
        <v>1058</v>
      </c>
      <c r="D1761" s="41" t="s">
        <v>1344</v>
      </c>
      <c r="E1761" s="41">
        <v>10580009</v>
      </c>
      <c r="F1761" s="85" t="s">
        <v>1302</v>
      </c>
      <c r="G1761" s="39" t="s">
        <v>93</v>
      </c>
      <c r="H1761" s="52" t="s">
        <v>94</v>
      </c>
      <c r="I1761" s="52">
        <v>142.1</v>
      </c>
      <c r="J1761" s="49">
        <v>6616.18</v>
      </c>
      <c r="K1761" s="58">
        <v>144.1</v>
      </c>
      <c r="L1761" s="58">
        <v>6738.9165641465197</v>
      </c>
      <c r="M1761" s="58">
        <v>1.7</v>
      </c>
      <c r="N1761" s="58">
        <v>70.59550212000002</v>
      </c>
      <c r="O1761" s="58">
        <v>145.79999999999998</v>
      </c>
      <c r="P1761" s="53">
        <v>6809.5120662665195</v>
      </c>
      <c r="Q1761" s="65">
        <v>6616.18</v>
      </c>
      <c r="R1761" s="65">
        <v>0</v>
      </c>
      <c r="S1761" s="65">
        <v>70.59550212000002</v>
      </c>
      <c r="T1761" s="65">
        <v>193.33206626651918</v>
      </c>
      <c r="U1761" s="58">
        <v>0</v>
      </c>
      <c r="V1761" s="65">
        <v>558.12</v>
      </c>
      <c r="W1761" s="65">
        <v>0</v>
      </c>
      <c r="X1761" s="65">
        <v>5987</v>
      </c>
      <c r="Y1761" s="65">
        <v>0</v>
      </c>
      <c r="Z1761" s="51">
        <v>0</v>
      </c>
      <c r="AA1761" s="51">
        <v>0</v>
      </c>
      <c r="AB1761" s="102" t="s">
        <v>68</v>
      </c>
      <c r="AC1761" s="81">
        <f t="shared" si="84"/>
        <v>519.51679408867005</v>
      </c>
      <c r="AD1761" s="82">
        <f t="shared" si="85"/>
        <v>20.3</v>
      </c>
      <c r="AE1761" s="218">
        <v>-2.9221101340428945E-2</v>
      </c>
      <c r="AF1761">
        <v>15</v>
      </c>
      <c r="AH1761" t="str">
        <f t="shared" si="86"/>
        <v>Hasanpur</v>
      </c>
      <c r="AJ1761" s="72">
        <v>0</v>
      </c>
      <c r="AK1761" s="72"/>
      <c r="AL1761" s="72"/>
      <c r="AM1761" s="72"/>
    </row>
    <row r="1762" spans="1:39" x14ac:dyDescent="0.25">
      <c r="A1762" s="37" t="s">
        <v>62</v>
      </c>
      <c r="B1762" s="66" t="s">
        <v>1615</v>
      </c>
      <c r="C1762" s="41">
        <v>1058</v>
      </c>
      <c r="D1762" s="41" t="s">
        <v>1344</v>
      </c>
      <c r="E1762" s="41">
        <v>10580010</v>
      </c>
      <c r="F1762" s="85" t="s">
        <v>1354</v>
      </c>
      <c r="G1762" s="39" t="s">
        <v>93</v>
      </c>
      <c r="H1762" s="52" t="s">
        <v>94</v>
      </c>
      <c r="I1762" s="52">
        <v>239.3</v>
      </c>
      <c r="J1762" s="49">
        <v>9077.65</v>
      </c>
      <c r="K1762" s="58">
        <v>309.10000000000002</v>
      </c>
      <c r="L1762" s="58">
        <v>11634.274508076003</v>
      </c>
      <c r="M1762" s="58">
        <v>0</v>
      </c>
      <c r="N1762" s="58">
        <v>0</v>
      </c>
      <c r="O1762" s="58">
        <v>309.10000000000002</v>
      </c>
      <c r="P1762" s="53">
        <v>11634.274508076003</v>
      </c>
      <c r="Q1762" s="65">
        <v>9077.65</v>
      </c>
      <c r="R1762" s="65">
        <v>0</v>
      </c>
      <c r="S1762" s="65">
        <v>0</v>
      </c>
      <c r="T1762" s="65">
        <v>2556.6245080760036</v>
      </c>
      <c r="U1762" s="58">
        <v>0</v>
      </c>
      <c r="V1762" s="65">
        <v>0</v>
      </c>
      <c r="W1762" s="65">
        <v>0</v>
      </c>
      <c r="X1762" s="65">
        <v>9078</v>
      </c>
      <c r="Y1762" s="65">
        <v>0</v>
      </c>
      <c r="Z1762" s="51">
        <v>0</v>
      </c>
      <c r="AA1762" s="51">
        <v>0</v>
      </c>
      <c r="AB1762" s="102">
        <v>0</v>
      </c>
      <c r="AC1762" s="81">
        <f t="shared" si="84"/>
        <v>349.52556247388219</v>
      </c>
      <c r="AD1762" s="82">
        <f t="shared" si="85"/>
        <v>34.18571428571429</v>
      </c>
      <c r="AE1762" s="218">
        <v>-0.28163946705105436</v>
      </c>
      <c r="AF1762">
        <v>3</v>
      </c>
      <c r="AH1762" t="str">
        <f t="shared" si="86"/>
        <v>Hasanpur</v>
      </c>
      <c r="AJ1762" s="72">
        <v>0</v>
      </c>
      <c r="AK1762" s="72"/>
      <c r="AL1762" s="72"/>
      <c r="AM1762" s="72"/>
    </row>
    <row r="1763" spans="1:39" x14ac:dyDescent="0.25">
      <c r="A1763" s="37" t="s">
        <v>62</v>
      </c>
      <c r="B1763" s="66" t="s">
        <v>1615</v>
      </c>
      <c r="C1763" s="41">
        <v>1058</v>
      </c>
      <c r="D1763" s="41" t="s">
        <v>1344</v>
      </c>
      <c r="E1763" s="41">
        <v>10580012</v>
      </c>
      <c r="F1763" s="85" t="s">
        <v>1355</v>
      </c>
      <c r="G1763" s="39" t="s">
        <v>93</v>
      </c>
      <c r="H1763" s="52" t="s">
        <v>94</v>
      </c>
      <c r="I1763" s="52">
        <v>85.9</v>
      </c>
      <c r="J1763" s="49">
        <v>3370.97</v>
      </c>
      <c r="K1763" s="58">
        <v>89.48</v>
      </c>
      <c r="L1763" s="58">
        <v>3463.7184489861447</v>
      </c>
      <c r="M1763" s="58">
        <v>0</v>
      </c>
      <c r="N1763" s="58">
        <v>0</v>
      </c>
      <c r="O1763" s="58">
        <v>89.48</v>
      </c>
      <c r="P1763" s="53">
        <v>3463.7184489861447</v>
      </c>
      <c r="Q1763" s="65">
        <v>3370.97</v>
      </c>
      <c r="R1763" s="65">
        <v>0</v>
      </c>
      <c r="S1763" s="65">
        <v>0</v>
      </c>
      <c r="T1763" s="65">
        <v>92.748448986144922</v>
      </c>
      <c r="U1763" s="58">
        <v>0</v>
      </c>
      <c r="V1763" s="65">
        <v>0</v>
      </c>
      <c r="W1763" s="65">
        <v>0</v>
      </c>
      <c r="X1763" s="65">
        <v>3371</v>
      </c>
      <c r="Y1763" s="65">
        <v>0</v>
      </c>
      <c r="Z1763" s="51">
        <v>0</v>
      </c>
      <c r="AA1763" s="51">
        <v>0</v>
      </c>
      <c r="AB1763" s="102">
        <v>0</v>
      </c>
      <c r="AC1763" s="81">
        <f t="shared" si="84"/>
        <v>481.98199697322462</v>
      </c>
      <c r="AD1763" s="82">
        <f t="shared" si="85"/>
        <v>12.271428571428572</v>
      </c>
      <c r="AE1763" s="218">
        <v>-2.7513875527265128E-2</v>
      </c>
      <c r="AF1763">
        <v>4</v>
      </c>
      <c r="AH1763" t="str">
        <f t="shared" si="86"/>
        <v>Hasanpur</v>
      </c>
      <c r="AJ1763" s="72">
        <v>0</v>
      </c>
      <c r="AK1763" s="72"/>
      <c r="AL1763" s="72"/>
      <c r="AM1763" s="72"/>
    </row>
    <row r="1764" spans="1:39" x14ac:dyDescent="0.25">
      <c r="A1764" s="37" t="s">
        <v>62</v>
      </c>
      <c r="B1764" s="66" t="s">
        <v>1615</v>
      </c>
      <c r="C1764" s="41">
        <v>1058</v>
      </c>
      <c r="D1764" s="41" t="s">
        <v>1344</v>
      </c>
      <c r="E1764" s="41">
        <v>10580013</v>
      </c>
      <c r="F1764" s="85" t="s">
        <v>1583</v>
      </c>
      <c r="G1764" s="39" t="s">
        <v>635</v>
      </c>
      <c r="H1764" s="52" t="s">
        <v>99</v>
      </c>
      <c r="I1764" s="52">
        <v>173.1</v>
      </c>
      <c r="J1764" s="49">
        <v>6237.19</v>
      </c>
      <c r="K1764" s="58">
        <v>0</v>
      </c>
      <c r="L1764" s="58">
        <v>0</v>
      </c>
      <c r="M1764" s="58">
        <v>0</v>
      </c>
      <c r="N1764" s="58">
        <v>0</v>
      </c>
      <c r="O1764" s="58">
        <v>0</v>
      </c>
      <c r="P1764" s="53">
        <v>0</v>
      </c>
      <c r="Q1764" s="65">
        <v>6237.19</v>
      </c>
      <c r="R1764" s="65">
        <v>0</v>
      </c>
      <c r="S1764" s="65">
        <v>0</v>
      </c>
      <c r="T1764" s="65">
        <v>0</v>
      </c>
      <c r="U1764" s="58">
        <v>0</v>
      </c>
      <c r="V1764" s="65">
        <v>0</v>
      </c>
      <c r="W1764" s="65">
        <v>0</v>
      </c>
      <c r="X1764" s="65">
        <v>0</v>
      </c>
      <c r="Y1764" s="65">
        <v>0</v>
      </c>
      <c r="Z1764" s="51">
        <v>6237.19</v>
      </c>
      <c r="AA1764" s="51">
        <v>0</v>
      </c>
      <c r="AB1764" s="102">
        <v>0</v>
      </c>
      <c r="AC1764" s="81">
        <f t="shared" si="84"/>
        <v>379.70830860774112</v>
      </c>
      <c r="AD1764" s="82">
        <f t="shared" si="85"/>
        <v>24.728571428571428</v>
      </c>
      <c r="AE1764" s="218">
        <v>0</v>
      </c>
      <c r="AF1764">
        <v>0</v>
      </c>
      <c r="AH1764" t="str">
        <f t="shared" si="86"/>
        <v>Hasanpur</v>
      </c>
      <c r="AJ1764" s="72">
        <v>0</v>
      </c>
      <c r="AK1764" s="72"/>
      <c r="AL1764" s="72"/>
      <c r="AM1764" s="72"/>
    </row>
    <row r="1765" spans="1:39" x14ac:dyDescent="0.25">
      <c r="A1765" s="37" t="s">
        <v>62</v>
      </c>
      <c r="B1765" s="66" t="s">
        <v>1615</v>
      </c>
      <c r="C1765" s="41">
        <v>1058</v>
      </c>
      <c r="D1765" s="41" t="s">
        <v>1344</v>
      </c>
      <c r="E1765" s="41">
        <v>10580015</v>
      </c>
      <c r="F1765" s="85" t="s">
        <v>1356</v>
      </c>
      <c r="G1765" s="39" t="s">
        <v>93</v>
      </c>
      <c r="H1765" s="52" t="s">
        <v>94</v>
      </c>
      <c r="I1765" s="52">
        <v>412.5</v>
      </c>
      <c r="J1765" s="49">
        <v>14199.67</v>
      </c>
      <c r="K1765" s="58">
        <v>360.51</v>
      </c>
      <c r="L1765" s="58">
        <v>12803.256761149802</v>
      </c>
      <c r="M1765" s="58">
        <v>0</v>
      </c>
      <c r="N1765" s="58">
        <v>0</v>
      </c>
      <c r="O1765" s="58">
        <v>360.51</v>
      </c>
      <c r="P1765" s="53">
        <v>12803.256761149802</v>
      </c>
      <c r="Q1765" s="65">
        <v>12803.256761149802</v>
      </c>
      <c r="R1765" s="65">
        <v>0</v>
      </c>
      <c r="S1765" s="65">
        <v>0</v>
      </c>
      <c r="T1765" s="65">
        <v>0</v>
      </c>
      <c r="U1765" s="58">
        <v>0</v>
      </c>
      <c r="V1765" s="65">
        <v>0</v>
      </c>
      <c r="W1765" s="65">
        <v>0</v>
      </c>
      <c r="X1765" s="65">
        <v>12803</v>
      </c>
      <c r="Y1765" s="65">
        <v>0</v>
      </c>
      <c r="Z1765" s="51">
        <v>0</v>
      </c>
      <c r="AA1765" s="51">
        <v>1397</v>
      </c>
      <c r="AB1765" s="102">
        <v>0</v>
      </c>
      <c r="AC1765" s="81">
        <f t="shared" si="84"/>
        <v>197.93479393939393</v>
      </c>
      <c r="AD1765" s="82">
        <f t="shared" si="85"/>
        <v>58.928571428571431</v>
      </c>
      <c r="AE1765" s="218">
        <v>9.8341245877559019E-2</v>
      </c>
      <c r="AF1765">
        <v>7</v>
      </c>
      <c r="AH1765" t="str">
        <f t="shared" si="86"/>
        <v>Hasanpur</v>
      </c>
      <c r="AJ1765" s="72">
        <v>0</v>
      </c>
      <c r="AK1765" s="72"/>
      <c r="AL1765" s="72"/>
      <c r="AM1765" s="72"/>
    </row>
    <row r="1766" spans="1:39" x14ac:dyDescent="0.25">
      <c r="A1766" s="37" t="s">
        <v>62</v>
      </c>
      <c r="B1766" s="66" t="s">
        <v>1615</v>
      </c>
      <c r="C1766" s="41">
        <v>1058</v>
      </c>
      <c r="D1766" s="41" t="s">
        <v>1344</v>
      </c>
      <c r="E1766" s="41">
        <v>10580017</v>
      </c>
      <c r="F1766" s="85" t="s">
        <v>1357</v>
      </c>
      <c r="G1766" s="39" t="s">
        <v>93</v>
      </c>
      <c r="H1766" s="52" t="s">
        <v>94</v>
      </c>
      <c r="I1766" s="52">
        <v>1256.4000000000001</v>
      </c>
      <c r="J1766" s="49">
        <v>50437</v>
      </c>
      <c r="K1766" s="58">
        <v>1166.8</v>
      </c>
      <c r="L1766" s="58">
        <v>48678.807372117255</v>
      </c>
      <c r="M1766" s="58">
        <v>5.5</v>
      </c>
      <c r="N1766" s="58">
        <v>206.81027928000003</v>
      </c>
      <c r="O1766" s="58">
        <v>1172.3</v>
      </c>
      <c r="P1766" s="53">
        <v>48885.617651397253</v>
      </c>
      <c r="Q1766" s="65">
        <v>48885.617651397253</v>
      </c>
      <c r="R1766" s="65">
        <v>0</v>
      </c>
      <c r="S1766" s="65">
        <v>206.81027928000003</v>
      </c>
      <c r="T1766" s="65">
        <v>0</v>
      </c>
      <c r="U1766" s="58">
        <v>0</v>
      </c>
      <c r="V1766" s="65">
        <v>0</v>
      </c>
      <c r="W1766" s="65">
        <v>0</v>
      </c>
      <c r="X1766" s="65">
        <v>48679</v>
      </c>
      <c r="Y1766" s="65">
        <v>0</v>
      </c>
      <c r="Z1766" s="51">
        <v>0</v>
      </c>
      <c r="AA1766" s="51">
        <v>1551</v>
      </c>
      <c r="AB1766" s="102">
        <v>0</v>
      </c>
      <c r="AC1766" s="81">
        <f t="shared" si="84"/>
        <v>0</v>
      </c>
      <c r="AD1766" s="82">
        <f t="shared" si="85"/>
        <v>0</v>
      </c>
      <c r="AE1766" s="218">
        <v>3.0758814929570489E-2</v>
      </c>
      <c r="AF1766">
        <v>3</v>
      </c>
      <c r="AH1766" t="str">
        <f t="shared" si="86"/>
        <v>Hasanpur</v>
      </c>
      <c r="AJ1766" s="72">
        <v>0</v>
      </c>
      <c r="AK1766" s="72"/>
      <c r="AL1766" s="72"/>
      <c r="AM1766" s="72"/>
    </row>
    <row r="1767" spans="1:39" x14ac:dyDescent="0.25">
      <c r="A1767" s="37" t="s">
        <v>62</v>
      </c>
      <c r="B1767" s="66" t="s">
        <v>1615</v>
      </c>
      <c r="C1767" s="41">
        <v>1058</v>
      </c>
      <c r="D1767" s="41" t="s">
        <v>1344</v>
      </c>
      <c r="E1767" s="41">
        <v>10580018</v>
      </c>
      <c r="F1767" s="85" t="s">
        <v>1364</v>
      </c>
      <c r="G1767" s="39" t="s">
        <v>93</v>
      </c>
      <c r="H1767" s="52" t="s">
        <v>94</v>
      </c>
      <c r="I1767" s="52">
        <v>182.1</v>
      </c>
      <c r="J1767" s="49">
        <v>7983.0199999999995</v>
      </c>
      <c r="K1767" s="58">
        <v>94.32</v>
      </c>
      <c r="L1767" s="58">
        <v>4105.393038979315</v>
      </c>
      <c r="M1767" s="58">
        <v>0</v>
      </c>
      <c r="N1767" s="58">
        <v>0</v>
      </c>
      <c r="O1767" s="58">
        <v>94.32</v>
      </c>
      <c r="P1767" s="53">
        <v>4105.393038979315</v>
      </c>
      <c r="Q1767" s="65">
        <v>4105.393038979315</v>
      </c>
      <c r="R1767" s="65">
        <v>0</v>
      </c>
      <c r="S1767" s="65">
        <v>0</v>
      </c>
      <c r="T1767" s="65">
        <v>0</v>
      </c>
      <c r="U1767" s="58">
        <v>0</v>
      </c>
      <c r="V1767" s="65">
        <v>155.4</v>
      </c>
      <c r="W1767" s="65">
        <v>0</v>
      </c>
      <c r="X1767" s="65">
        <v>3950</v>
      </c>
      <c r="Y1767" s="65">
        <v>0</v>
      </c>
      <c r="Z1767" s="51">
        <v>0</v>
      </c>
      <c r="AA1767" s="51">
        <v>3878</v>
      </c>
      <c r="AB1767" s="102" t="s">
        <v>68</v>
      </c>
      <c r="AC1767" s="81">
        <f t="shared" si="84"/>
        <v>454.08084107633181</v>
      </c>
      <c r="AD1767" s="82">
        <f t="shared" si="85"/>
        <v>26.014285714285712</v>
      </c>
      <c r="AE1767" s="218">
        <v>0.48573434126692466</v>
      </c>
      <c r="AF1767">
        <v>11</v>
      </c>
      <c r="AH1767" t="str">
        <f t="shared" si="86"/>
        <v>Hasanpur</v>
      </c>
      <c r="AJ1767" s="72">
        <v>0</v>
      </c>
      <c r="AK1767" s="72"/>
      <c r="AL1767" s="72"/>
      <c r="AM1767" s="72"/>
    </row>
    <row r="1768" spans="1:39" x14ac:dyDescent="0.25">
      <c r="A1768" s="37" t="s">
        <v>62</v>
      </c>
      <c r="B1768" s="66" t="s">
        <v>1615</v>
      </c>
      <c r="C1768" s="41">
        <v>1058</v>
      </c>
      <c r="D1768" s="41" t="s">
        <v>1344</v>
      </c>
      <c r="E1768" s="41">
        <v>10580019</v>
      </c>
      <c r="F1768" s="85" t="s">
        <v>1510</v>
      </c>
      <c r="G1768" s="39" t="s">
        <v>93</v>
      </c>
      <c r="H1768" s="52" t="s">
        <v>94</v>
      </c>
      <c r="I1768" s="52">
        <v>226.10000000000002</v>
      </c>
      <c r="J1768" s="49">
        <v>7880.28</v>
      </c>
      <c r="K1768" s="58">
        <v>289.3</v>
      </c>
      <c r="L1768" s="58">
        <v>10088.657236944</v>
      </c>
      <c r="M1768" s="58">
        <v>0</v>
      </c>
      <c r="N1768" s="58">
        <v>0</v>
      </c>
      <c r="O1768" s="58">
        <v>289.3</v>
      </c>
      <c r="P1768" s="53">
        <v>10088.657236944</v>
      </c>
      <c r="Q1768" s="65">
        <v>7880.28</v>
      </c>
      <c r="R1768" s="65">
        <v>0</v>
      </c>
      <c r="S1768" s="65">
        <v>0</v>
      </c>
      <c r="T1768" s="65">
        <v>2208.3772369440003</v>
      </c>
      <c r="U1768" s="58">
        <v>0</v>
      </c>
      <c r="V1768" s="65">
        <v>0</v>
      </c>
      <c r="W1768" s="65">
        <v>0</v>
      </c>
      <c r="X1768" s="65">
        <v>7880</v>
      </c>
      <c r="Y1768" s="65">
        <v>0</v>
      </c>
      <c r="Z1768" s="51">
        <v>0</v>
      </c>
      <c r="AA1768" s="51">
        <v>0</v>
      </c>
      <c r="AB1768" s="102" t="s">
        <v>68</v>
      </c>
      <c r="AC1768" s="81">
        <f t="shared" si="84"/>
        <v>330.33743405572744</v>
      </c>
      <c r="AD1768" s="82">
        <f t="shared" si="85"/>
        <v>32.300000000000004</v>
      </c>
      <c r="AE1768" s="218">
        <v>-0.28024096059327847</v>
      </c>
      <c r="AF1768">
        <v>1</v>
      </c>
      <c r="AH1768" t="str">
        <f t="shared" si="86"/>
        <v>Hasanpur</v>
      </c>
      <c r="AJ1768" s="72">
        <v>0</v>
      </c>
      <c r="AK1768" s="72"/>
      <c r="AL1768" s="72"/>
      <c r="AM1768" s="72"/>
    </row>
    <row r="1769" spans="1:39" x14ac:dyDescent="0.25">
      <c r="A1769" s="37" t="s">
        <v>62</v>
      </c>
      <c r="B1769" s="66" t="s">
        <v>1615</v>
      </c>
      <c r="C1769" s="41">
        <v>1058</v>
      </c>
      <c r="D1769" s="41" t="s">
        <v>1344</v>
      </c>
      <c r="E1769" s="41">
        <v>10580022</v>
      </c>
      <c r="F1769" s="85" t="s">
        <v>1397</v>
      </c>
      <c r="G1769" s="39" t="s">
        <v>93</v>
      </c>
      <c r="H1769" s="52" t="s">
        <v>94</v>
      </c>
      <c r="I1769" s="52">
        <v>143.29999999999998</v>
      </c>
      <c r="J1769" s="49">
        <v>7344.4399999999987</v>
      </c>
      <c r="K1769" s="58">
        <v>109.89999999999999</v>
      </c>
      <c r="L1769" s="58">
        <v>5603.3127889171901</v>
      </c>
      <c r="M1769" s="58">
        <v>0</v>
      </c>
      <c r="N1769" s="58">
        <v>0</v>
      </c>
      <c r="O1769" s="58">
        <v>109.89999999999999</v>
      </c>
      <c r="P1769" s="53">
        <v>5603.3127889171901</v>
      </c>
      <c r="Q1769" s="65">
        <v>5603.3127889171901</v>
      </c>
      <c r="R1769" s="65">
        <v>0</v>
      </c>
      <c r="S1769" s="65">
        <v>0</v>
      </c>
      <c r="T1769" s="65">
        <v>0</v>
      </c>
      <c r="U1769" s="58">
        <v>0</v>
      </c>
      <c r="V1769" s="65">
        <v>0</v>
      </c>
      <c r="W1769" s="65">
        <v>0</v>
      </c>
      <c r="X1769" s="65">
        <v>5604</v>
      </c>
      <c r="Y1769" s="65">
        <v>0</v>
      </c>
      <c r="Z1769" s="51">
        <v>0</v>
      </c>
      <c r="AA1769" s="51">
        <v>1740</v>
      </c>
      <c r="AB1769" s="102">
        <v>0</v>
      </c>
      <c r="AC1769" s="81">
        <f t="shared" si="84"/>
        <v>570.6419745987439</v>
      </c>
      <c r="AD1769" s="82">
        <f t="shared" si="85"/>
        <v>20.471428571428568</v>
      </c>
      <c r="AE1769" s="218">
        <v>0.23706738853919548</v>
      </c>
      <c r="AF1769">
        <v>2</v>
      </c>
      <c r="AH1769" t="str">
        <f t="shared" si="86"/>
        <v>Hasanpur</v>
      </c>
      <c r="AJ1769" s="72">
        <v>0</v>
      </c>
      <c r="AK1769" s="72"/>
      <c r="AL1769" s="72"/>
      <c r="AM1769" s="72"/>
    </row>
    <row r="1770" spans="1:39" x14ac:dyDescent="0.25">
      <c r="A1770" s="37" t="s">
        <v>62</v>
      </c>
      <c r="B1770" s="66" t="s">
        <v>1615</v>
      </c>
      <c r="C1770" s="41">
        <v>1058</v>
      </c>
      <c r="D1770" s="41" t="s">
        <v>1344</v>
      </c>
      <c r="E1770" s="41">
        <v>10580023</v>
      </c>
      <c r="F1770" s="85" t="s">
        <v>1398</v>
      </c>
      <c r="G1770" s="39" t="s">
        <v>635</v>
      </c>
      <c r="H1770" s="52" t="s">
        <v>99</v>
      </c>
      <c r="I1770" s="52">
        <v>791.40000000000009</v>
      </c>
      <c r="J1770" s="49">
        <v>31403.18</v>
      </c>
      <c r="K1770" s="58">
        <v>0</v>
      </c>
      <c r="L1770" s="58">
        <v>0</v>
      </c>
      <c r="M1770" s="58">
        <v>0</v>
      </c>
      <c r="N1770" s="58">
        <v>0</v>
      </c>
      <c r="O1770" s="58">
        <v>0</v>
      </c>
      <c r="P1770" s="53">
        <v>0</v>
      </c>
      <c r="Q1770" s="65">
        <v>31403.18</v>
      </c>
      <c r="R1770" s="65">
        <v>0</v>
      </c>
      <c r="S1770" s="65">
        <v>0</v>
      </c>
      <c r="T1770" s="65">
        <v>0</v>
      </c>
      <c r="U1770" s="58">
        <v>0</v>
      </c>
      <c r="V1770" s="65">
        <v>0</v>
      </c>
      <c r="W1770" s="65">
        <v>0</v>
      </c>
      <c r="X1770" s="65">
        <v>0</v>
      </c>
      <c r="Y1770" s="65">
        <v>0</v>
      </c>
      <c r="Z1770" s="51">
        <v>31403.18</v>
      </c>
      <c r="AA1770" s="51">
        <v>0</v>
      </c>
      <c r="AB1770" s="102">
        <v>0</v>
      </c>
      <c r="AC1770" s="81">
        <f t="shared" si="84"/>
        <v>0</v>
      </c>
      <c r="AD1770" s="82">
        <f t="shared" si="85"/>
        <v>0</v>
      </c>
      <c r="AE1770" s="218">
        <v>0</v>
      </c>
      <c r="AF1770">
        <v>0</v>
      </c>
      <c r="AH1770" t="str">
        <f t="shared" si="86"/>
        <v>Hasanpur</v>
      </c>
      <c r="AJ1770" s="72">
        <v>0</v>
      </c>
      <c r="AK1770" s="72"/>
      <c r="AL1770" s="72"/>
      <c r="AM1770" s="72"/>
    </row>
    <row r="1771" spans="1:39" x14ac:dyDescent="0.25">
      <c r="A1771" s="37" t="s">
        <v>62</v>
      </c>
      <c r="B1771" s="66" t="s">
        <v>1615</v>
      </c>
      <c r="C1771" s="41">
        <v>1058</v>
      </c>
      <c r="D1771" s="41" t="s">
        <v>1344</v>
      </c>
      <c r="E1771" s="41">
        <v>10580024</v>
      </c>
      <c r="F1771" s="85" t="s">
        <v>1511</v>
      </c>
      <c r="G1771" s="39" t="s">
        <v>93</v>
      </c>
      <c r="H1771" s="52" t="s">
        <v>94</v>
      </c>
      <c r="I1771" s="52">
        <v>161.1</v>
      </c>
      <c r="J1771" s="49">
        <v>6268.48</v>
      </c>
      <c r="K1771" s="58">
        <v>164</v>
      </c>
      <c r="L1771" s="58">
        <v>6275.5628499346221</v>
      </c>
      <c r="M1771" s="58">
        <v>0</v>
      </c>
      <c r="N1771" s="58">
        <v>0</v>
      </c>
      <c r="O1771" s="58">
        <v>164</v>
      </c>
      <c r="P1771" s="53">
        <v>6275.5628499346221</v>
      </c>
      <c r="Q1771" s="65">
        <v>6268.48</v>
      </c>
      <c r="R1771" s="65">
        <v>0</v>
      </c>
      <c r="S1771" s="65">
        <v>0</v>
      </c>
      <c r="T1771" s="65">
        <v>7.0828499346225726</v>
      </c>
      <c r="U1771" s="58">
        <v>0</v>
      </c>
      <c r="V1771" s="65">
        <v>0</v>
      </c>
      <c r="W1771" s="65">
        <v>0</v>
      </c>
      <c r="X1771" s="65">
        <v>6268</v>
      </c>
      <c r="Y1771" s="65">
        <v>0</v>
      </c>
      <c r="Z1771" s="51">
        <v>0</v>
      </c>
      <c r="AA1771" s="51">
        <v>0</v>
      </c>
      <c r="AB1771" s="102">
        <v>0</v>
      </c>
      <c r="AC1771" s="81">
        <f t="shared" si="84"/>
        <v>419.37726530105522</v>
      </c>
      <c r="AD1771" s="82">
        <f t="shared" si="85"/>
        <v>23.014285714285712</v>
      </c>
      <c r="AE1771" s="218">
        <v>-1.1299150566999613E-3</v>
      </c>
      <c r="AF1771">
        <v>2</v>
      </c>
      <c r="AH1771" t="str">
        <f t="shared" si="86"/>
        <v>Hasanpur</v>
      </c>
      <c r="AJ1771" s="72">
        <v>0</v>
      </c>
      <c r="AK1771" s="72"/>
      <c r="AL1771" s="72"/>
      <c r="AM1771" s="72"/>
    </row>
    <row r="1772" spans="1:39" x14ac:dyDescent="0.25">
      <c r="A1772" s="37" t="s">
        <v>62</v>
      </c>
      <c r="B1772" s="66" t="s">
        <v>1615</v>
      </c>
      <c r="C1772" s="41">
        <v>1058</v>
      </c>
      <c r="D1772" s="41" t="s">
        <v>1344</v>
      </c>
      <c r="E1772" s="41">
        <v>10580025</v>
      </c>
      <c r="F1772" s="85" t="s">
        <v>1512</v>
      </c>
      <c r="G1772" s="39" t="s">
        <v>93</v>
      </c>
      <c r="H1772" s="52" t="s">
        <v>94</v>
      </c>
      <c r="I1772" s="52">
        <v>482.7</v>
      </c>
      <c r="J1772" s="49">
        <v>20238.829999999998</v>
      </c>
      <c r="K1772" s="58">
        <v>466.30999999999983</v>
      </c>
      <c r="L1772" s="58">
        <v>19417.674233692411</v>
      </c>
      <c r="M1772" s="58">
        <v>0</v>
      </c>
      <c r="N1772" s="58">
        <v>0</v>
      </c>
      <c r="O1772" s="58">
        <v>466.30999999999983</v>
      </c>
      <c r="P1772" s="53">
        <v>19417.674233692411</v>
      </c>
      <c r="Q1772" s="65">
        <v>19417.674233692411</v>
      </c>
      <c r="R1772" s="65">
        <v>0</v>
      </c>
      <c r="S1772" s="65">
        <v>0</v>
      </c>
      <c r="T1772" s="65">
        <v>0</v>
      </c>
      <c r="U1772" s="58">
        <v>0</v>
      </c>
      <c r="V1772" s="65">
        <v>0</v>
      </c>
      <c r="W1772" s="65">
        <v>0</v>
      </c>
      <c r="X1772" s="65">
        <v>19418</v>
      </c>
      <c r="Y1772" s="65">
        <v>0</v>
      </c>
      <c r="Z1772" s="51">
        <v>0</v>
      </c>
      <c r="AA1772" s="51">
        <v>821</v>
      </c>
      <c r="AB1772" s="102">
        <v>0</v>
      </c>
      <c r="AC1772" s="81">
        <f t="shared" si="84"/>
        <v>182.2207482494303</v>
      </c>
      <c r="AD1772" s="82">
        <f t="shared" si="85"/>
        <v>68.957142857142856</v>
      </c>
      <c r="AE1772" s="218">
        <v>4.0573282462849254E-2</v>
      </c>
      <c r="AF1772">
        <v>7</v>
      </c>
      <c r="AH1772" t="str">
        <f t="shared" si="86"/>
        <v>Hasanpur</v>
      </c>
      <c r="AJ1772" s="72">
        <v>0</v>
      </c>
      <c r="AK1772" s="72"/>
      <c r="AL1772" s="72"/>
      <c r="AM1772" s="72"/>
    </row>
    <row r="1773" spans="1:39" x14ac:dyDescent="0.25">
      <c r="A1773" s="37" t="s">
        <v>62</v>
      </c>
      <c r="B1773" s="66" t="s">
        <v>1615</v>
      </c>
      <c r="C1773" s="41">
        <v>1058</v>
      </c>
      <c r="D1773" s="41" t="s">
        <v>1344</v>
      </c>
      <c r="E1773" s="41">
        <v>10580026</v>
      </c>
      <c r="F1773" s="85" t="s">
        <v>1513</v>
      </c>
      <c r="G1773" s="39" t="s">
        <v>93</v>
      </c>
      <c r="H1773" s="52" t="s">
        <v>94</v>
      </c>
      <c r="I1773" s="52">
        <v>174</v>
      </c>
      <c r="J1773" s="49">
        <v>5625.0700000000006</v>
      </c>
      <c r="K1773" s="58">
        <v>176.2</v>
      </c>
      <c r="L1773" s="58">
        <v>6041.099002514401</v>
      </c>
      <c r="M1773" s="58">
        <v>0</v>
      </c>
      <c r="N1773" s="58">
        <v>0</v>
      </c>
      <c r="O1773" s="58">
        <v>176.2</v>
      </c>
      <c r="P1773" s="53">
        <v>6041.099002514401</v>
      </c>
      <c r="Q1773" s="65">
        <v>5625.0700000000006</v>
      </c>
      <c r="R1773" s="65">
        <v>0</v>
      </c>
      <c r="S1773" s="65">
        <v>0</v>
      </c>
      <c r="T1773" s="65">
        <v>416.02900251440042</v>
      </c>
      <c r="U1773" s="58">
        <v>0</v>
      </c>
      <c r="V1773" s="65">
        <v>0</v>
      </c>
      <c r="W1773" s="65">
        <v>0</v>
      </c>
      <c r="X1773" s="65">
        <v>5625</v>
      </c>
      <c r="Y1773" s="65">
        <v>0</v>
      </c>
      <c r="Z1773" s="51">
        <v>0</v>
      </c>
      <c r="AA1773" s="51">
        <v>0</v>
      </c>
      <c r="AB1773" s="102">
        <v>0</v>
      </c>
      <c r="AC1773" s="81">
        <f t="shared" si="84"/>
        <v>340.09043908045976</v>
      </c>
      <c r="AD1773" s="82">
        <f t="shared" si="85"/>
        <v>24.857142857142858</v>
      </c>
      <c r="AE1773" s="218">
        <v>-7.3959791169603287E-2</v>
      </c>
      <c r="AF1773">
        <v>1</v>
      </c>
      <c r="AH1773" t="str">
        <f t="shared" si="86"/>
        <v>Hasanpur</v>
      </c>
      <c r="AJ1773" s="72">
        <v>0</v>
      </c>
      <c r="AK1773" s="72"/>
      <c r="AL1773" s="72"/>
      <c r="AM1773" s="72"/>
    </row>
    <row r="1774" spans="1:39" x14ac:dyDescent="0.25">
      <c r="A1774" s="37" t="s">
        <v>62</v>
      </c>
      <c r="B1774" s="66" t="s">
        <v>1615</v>
      </c>
      <c r="C1774" s="41">
        <v>1058</v>
      </c>
      <c r="D1774" s="41" t="s">
        <v>1344</v>
      </c>
      <c r="E1774" s="41">
        <v>10580027</v>
      </c>
      <c r="F1774" s="85" t="s">
        <v>1514</v>
      </c>
      <c r="G1774" s="39" t="s">
        <v>93</v>
      </c>
      <c r="H1774" s="52" t="s">
        <v>94</v>
      </c>
      <c r="I1774" s="52">
        <v>118.7</v>
      </c>
      <c r="J1774" s="49">
        <v>4549.8900000000003</v>
      </c>
      <c r="K1774" s="58">
        <v>0</v>
      </c>
      <c r="L1774" s="58">
        <v>0</v>
      </c>
      <c r="M1774" s="58">
        <v>0</v>
      </c>
      <c r="N1774" s="58">
        <v>0</v>
      </c>
      <c r="O1774" s="58">
        <v>0</v>
      </c>
      <c r="P1774" s="53">
        <v>0</v>
      </c>
      <c r="Q1774" s="65">
        <v>0</v>
      </c>
      <c r="R1774" s="65">
        <v>0</v>
      </c>
      <c r="S1774" s="65">
        <v>0</v>
      </c>
      <c r="T1774" s="65">
        <v>0</v>
      </c>
      <c r="U1774" s="58">
        <v>0</v>
      </c>
      <c r="V1774" s="65">
        <v>0</v>
      </c>
      <c r="W1774" s="65">
        <v>0</v>
      </c>
      <c r="X1774" s="65">
        <v>0</v>
      </c>
      <c r="Y1774" s="65">
        <v>0</v>
      </c>
      <c r="Z1774" s="51">
        <v>0</v>
      </c>
      <c r="AA1774" s="51">
        <v>4550</v>
      </c>
      <c r="AB1774" s="102">
        <v>0</v>
      </c>
      <c r="AC1774" s="81">
        <f t="shared" si="84"/>
        <v>445.63623538331927</v>
      </c>
      <c r="AD1774" s="82">
        <f t="shared" si="85"/>
        <v>16.957142857142859</v>
      </c>
      <c r="AE1774" s="218">
        <v>1</v>
      </c>
      <c r="AF1774">
        <v>0</v>
      </c>
      <c r="AH1774" t="str">
        <f t="shared" si="86"/>
        <v>Hasanpur</v>
      </c>
      <c r="AJ1774" s="72">
        <v>0</v>
      </c>
      <c r="AK1774" s="72"/>
      <c r="AL1774" s="72"/>
      <c r="AM1774" s="72"/>
    </row>
    <row r="1775" spans="1:39" x14ac:dyDescent="0.25">
      <c r="A1775" s="37" t="s">
        <v>62</v>
      </c>
      <c r="B1775" s="66" t="s">
        <v>1615</v>
      </c>
      <c r="C1775" s="41">
        <v>1058</v>
      </c>
      <c r="D1775" s="41" t="s">
        <v>1344</v>
      </c>
      <c r="E1775" s="41">
        <v>10580028</v>
      </c>
      <c r="F1775" s="85" t="s">
        <v>1515</v>
      </c>
      <c r="G1775" s="39" t="s">
        <v>93</v>
      </c>
      <c r="H1775" s="52" t="s">
        <v>94</v>
      </c>
      <c r="I1775" s="52">
        <v>393.2</v>
      </c>
      <c r="J1775" s="49">
        <v>16341.09</v>
      </c>
      <c r="K1775" s="58">
        <v>271.79999999999995</v>
      </c>
      <c r="L1775" s="58">
        <v>11903.972182025978</v>
      </c>
      <c r="M1775" s="58">
        <v>0</v>
      </c>
      <c r="N1775" s="58">
        <v>0</v>
      </c>
      <c r="O1775" s="58">
        <v>271.79999999999995</v>
      </c>
      <c r="P1775" s="53">
        <v>11903.972182025978</v>
      </c>
      <c r="Q1775" s="65">
        <v>11903.972182025978</v>
      </c>
      <c r="R1775" s="65">
        <v>0</v>
      </c>
      <c r="S1775" s="65">
        <v>0</v>
      </c>
      <c r="T1775" s="65">
        <v>0</v>
      </c>
      <c r="U1775" s="58">
        <v>0</v>
      </c>
      <c r="V1775" s="65">
        <v>0</v>
      </c>
      <c r="W1775" s="65">
        <v>0</v>
      </c>
      <c r="X1775" s="65">
        <v>11904</v>
      </c>
      <c r="Y1775" s="65">
        <v>0</v>
      </c>
      <c r="Z1775" s="51">
        <v>0</v>
      </c>
      <c r="AA1775" s="51">
        <v>4437</v>
      </c>
      <c r="AB1775" s="102">
        <v>0</v>
      </c>
      <c r="AC1775" s="81">
        <f t="shared" si="84"/>
        <v>255.00744720244151</v>
      </c>
      <c r="AD1775" s="82">
        <f t="shared" si="85"/>
        <v>56.171428571428571</v>
      </c>
      <c r="AE1775" s="218">
        <v>0.27153132489778969</v>
      </c>
      <c r="AF1775">
        <v>5</v>
      </c>
      <c r="AH1775" t="str">
        <f t="shared" si="86"/>
        <v>Hasanpur</v>
      </c>
      <c r="AJ1775" s="72">
        <v>0</v>
      </c>
      <c r="AK1775" s="72"/>
      <c r="AL1775" s="72"/>
      <c r="AM1775" s="72"/>
    </row>
    <row r="1776" spans="1:39" x14ac:dyDescent="0.25">
      <c r="A1776" s="37" t="s">
        <v>62</v>
      </c>
      <c r="B1776" s="66" t="s">
        <v>1615</v>
      </c>
      <c r="C1776" s="41">
        <v>1058</v>
      </c>
      <c r="D1776" s="41" t="s">
        <v>1344</v>
      </c>
      <c r="E1776" s="41">
        <v>10580029</v>
      </c>
      <c r="F1776" s="85" t="s">
        <v>1244</v>
      </c>
      <c r="G1776" s="39" t="s">
        <v>93</v>
      </c>
      <c r="H1776" s="52" t="s">
        <v>94</v>
      </c>
      <c r="I1776" s="52">
        <v>148.79999999999998</v>
      </c>
      <c r="J1776" s="49">
        <v>6353.3700000000017</v>
      </c>
      <c r="K1776" s="58">
        <v>164.2</v>
      </c>
      <c r="L1776" s="58">
        <v>7317.9070807111011</v>
      </c>
      <c r="M1776" s="58">
        <v>0</v>
      </c>
      <c r="N1776" s="58">
        <v>0</v>
      </c>
      <c r="O1776" s="58">
        <v>164.2</v>
      </c>
      <c r="P1776" s="53">
        <v>7317.9070807111011</v>
      </c>
      <c r="Q1776" s="65">
        <v>6353.3700000000017</v>
      </c>
      <c r="R1776" s="65">
        <v>0</v>
      </c>
      <c r="S1776" s="65">
        <v>0</v>
      </c>
      <c r="T1776" s="65">
        <v>964.53708071109941</v>
      </c>
      <c r="U1776" s="58">
        <v>0</v>
      </c>
      <c r="V1776" s="65">
        <v>0</v>
      </c>
      <c r="W1776" s="65">
        <v>0</v>
      </c>
      <c r="X1776" s="65">
        <v>6353</v>
      </c>
      <c r="Y1776" s="65">
        <v>0</v>
      </c>
      <c r="Z1776" s="51">
        <v>0</v>
      </c>
      <c r="AA1776" s="51">
        <v>0</v>
      </c>
      <c r="AB1776" s="102" t="s">
        <v>68</v>
      </c>
      <c r="AC1776" s="81">
        <f t="shared" si="84"/>
        <v>470.69590645161321</v>
      </c>
      <c r="AD1776" s="82">
        <f t="shared" si="85"/>
        <v>21.257142857142856</v>
      </c>
      <c r="AE1776" s="218">
        <v>-0.15181503370826807</v>
      </c>
      <c r="AF1776">
        <v>5</v>
      </c>
      <c r="AH1776" t="str">
        <f t="shared" si="86"/>
        <v>Hasanpur</v>
      </c>
      <c r="AJ1776" s="72">
        <v>0</v>
      </c>
      <c r="AK1776" s="72"/>
      <c r="AL1776" s="72"/>
      <c r="AM1776" s="72"/>
    </row>
    <row r="1777" spans="1:39" x14ac:dyDescent="0.25">
      <c r="A1777" s="37" t="s">
        <v>62</v>
      </c>
      <c r="B1777" s="66" t="s">
        <v>1615</v>
      </c>
      <c r="C1777" s="41">
        <v>1058</v>
      </c>
      <c r="D1777" s="41" t="s">
        <v>1344</v>
      </c>
      <c r="E1777" s="41">
        <v>10580030</v>
      </c>
      <c r="F1777" s="85" t="s">
        <v>1516</v>
      </c>
      <c r="G1777" s="39" t="s">
        <v>93</v>
      </c>
      <c r="H1777" s="52" t="s">
        <v>94</v>
      </c>
      <c r="I1777" s="52">
        <v>620.1</v>
      </c>
      <c r="J1777" s="49">
        <v>21683.5</v>
      </c>
      <c r="K1777" s="58">
        <v>620.1</v>
      </c>
      <c r="L1777" s="58">
        <v>21954.680058960002</v>
      </c>
      <c r="M1777" s="58">
        <v>0</v>
      </c>
      <c r="N1777" s="58">
        <v>0</v>
      </c>
      <c r="O1777" s="58">
        <v>620.1</v>
      </c>
      <c r="P1777" s="53">
        <v>21954.680058960002</v>
      </c>
      <c r="Q1777" s="65">
        <v>21683.5</v>
      </c>
      <c r="R1777" s="65">
        <v>0</v>
      </c>
      <c r="S1777" s="65">
        <v>0</v>
      </c>
      <c r="T1777" s="65">
        <v>271.1800589600025</v>
      </c>
      <c r="U1777" s="58">
        <v>0</v>
      </c>
      <c r="V1777" s="65">
        <v>0</v>
      </c>
      <c r="W1777" s="65">
        <v>0</v>
      </c>
      <c r="X1777" s="65">
        <v>21683</v>
      </c>
      <c r="Y1777" s="65">
        <v>0</v>
      </c>
      <c r="Z1777" s="51">
        <v>0</v>
      </c>
      <c r="AA1777" s="51">
        <v>1</v>
      </c>
      <c r="AB1777" s="102">
        <v>0</v>
      </c>
      <c r="AC1777" s="81">
        <f t="shared" si="84"/>
        <v>55.878459925818397</v>
      </c>
      <c r="AD1777" s="82">
        <f t="shared" si="85"/>
        <v>88.585714285714289</v>
      </c>
      <c r="AE1777" s="218">
        <v>-1.2506286298798741E-2</v>
      </c>
      <c r="AF1777">
        <v>1</v>
      </c>
      <c r="AH1777" t="str">
        <f t="shared" si="86"/>
        <v>Hasanpur</v>
      </c>
      <c r="AJ1777" s="72">
        <v>0</v>
      </c>
      <c r="AK1777" s="72"/>
      <c r="AL1777" s="72"/>
      <c r="AM1777" s="72"/>
    </row>
    <row r="1778" spans="1:39" x14ac:dyDescent="0.25">
      <c r="A1778" s="37" t="s">
        <v>62</v>
      </c>
      <c r="B1778" s="66" t="s">
        <v>1615</v>
      </c>
      <c r="C1778" s="41">
        <v>1059</v>
      </c>
      <c r="D1778" s="41" t="s">
        <v>1347</v>
      </c>
      <c r="E1778" s="41">
        <v>10590001</v>
      </c>
      <c r="F1778" s="85" t="s">
        <v>1341</v>
      </c>
      <c r="G1778" s="39" t="s">
        <v>93</v>
      </c>
      <c r="H1778" s="52" t="s">
        <v>94</v>
      </c>
      <c r="I1778" s="52">
        <v>747.50000000000011</v>
      </c>
      <c r="J1778" s="49">
        <v>40448.979999999996</v>
      </c>
      <c r="K1778" s="58">
        <v>864.45999999999981</v>
      </c>
      <c r="L1778" s="58">
        <v>46683.580223517798</v>
      </c>
      <c r="M1778" s="58">
        <v>0</v>
      </c>
      <c r="N1778" s="58">
        <v>0</v>
      </c>
      <c r="O1778" s="58">
        <v>864.45999999999981</v>
      </c>
      <c r="P1778" s="53">
        <v>46683.580223517798</v>
      </c>
      <c r="Q1778" s="65">
        <v>40448.979999999996</v>
      </c>
      <c r="R1778" s="65">
        <v>0</v>
      </c>
      <c r="S1778" s="65">
        <v>0</v>
      </c>
      <c r="T1778" s="65">
        <v>6234.6002235178021</v>
      </c>
      <c r="U1778" s="58">
        <v>0</v>
      </c>
      <c r="V1778" s="65">
        <v>0</v>
      </c>
      <c r="W1778" s="65">
        <v>0</v>
      </c>
      <c r="X1778" s="65">
        <v>40449</v>
      </c>
      <c r="Y1778" s="65">
        <v>0</v>
      </c>
      <c r="Z1778" s="51">
        <v>0</v>
      </c>
      <c r="AA1778" s="51">
        <v>0</v>
      </c>
      <c r="AB1778" s="102">
        <v>0</v>
      </c>
      <c r="AC1778" s="81">
        <f t="shared" si="84"/>
        <v>0</v>
      </c>
      <c r="AD1778" s="82">
        <f t="shared" si="85"/>
        <v>0</v>
      </c>
      <c r="AE1778" s="218">
        <v>-0.1541349181986246</v>
      </c>
      <c r="AF1778">
        <v>3</v>
      </c>
      <c r="AH1778" t="str">
        <f t="shared" si="86"/>
        <v>Gopalpur Bmc</v>
      </c>
      <c r="AJ1778" s="72">
        <v>0</v>
      </c>
      <c r="AK1778" s="72"/>
      <c r="AL1778" s="72"/>
      <c r="AM1778" s="72"/>
    </row>
    <row r="1779" spans="1:39" x14ac:dyDescent="0.25">
      <c r="A1779" s="37" t="s">
        <v>62</v>
      </c>
      <c r="B1779" s="66" t="s">
        <v>1615</v>
      </c>
      <c r="C1779" s="41">
        <v>1059</v>
      </c>
      <c r="D1779" s="41" t="s">
        <v>1347</v>
      </c>
      <c r="E1779" s="41">
        <v>10590002</v>
      </c>
      <c r="F1779" s="85" t="s">
        <v>1342</v>
      </c>
      <c r="G1779" s="39" t="s">
        <v>93</v>
      </c>
      <c r="H1779" s="52" t="s">
        <v>94</v>
      </c>
      <c r="I1779" s="52">
        <v>132.6</v>
      </c>
      <c r="J1779" s="49">
        <v>8106.93</v>
      </c>
      <c r="K1779" s="58">
        <v>126.45</v>
      </c>
      <c r="L1779" s="58">
        <v>8070.4248510123998</v>
      </c>
      <c r="M1779" s="58">
        <v>0</v>
      </c>
      <c r="N1779" s="58">
        <v>0</v>
      </c>
      <c r="O1779" s="58">
        <v>126.45</v>
      </c>
      <c r="P1779" s="53">
        <v>8070.4248510123998</v>
      </c>
      <c r="Q1779" s="65">
        <v>8070.4248510123998</v>
      </c>
      <c r="R1779" s="65">
        <v>0</v>
      </c>
      <c r="S1779" s="65">
        <v>0</v>
      </c>
      <c r="T1779" s="65">
        <v>0</v>
      </c>
      <c r="U1779" s="58">
        <v>0</v>
      </c>
      <c r="V1779" s="65">
        <v>107.04158709677395</v>
      </c>
      <c r="W1779" s="65">
        <v>0</v>
      </c>
      <c r="X1779" s="65">
        <v>7963</v>
      </c>
      <c r="Y1779" s="65">
        <v>0</v>
      </c>
      <c r="Z1779" s="51">
        <v>0</v>
      </c>
      <c r="AA1779" s="51">
        <v>37</v>
      </c>
      <c r="AB1779" s="102">
        <v>0</v>
      </c>
      <c r="AC1779" s="81">
        <f t="shared" si="84"/>
        <v>693.79669411764701</v>
      </c>
      <c r="AD1779" s="82">
        <f t="shared" si="85"/>
        <v>18.942857142857143</v>
      </c>
      <c r="AE1779" s="218">
        <v>4.5029559879757788E-3</v>
      </c>
      <c r="AF1779">
        <v>1</v>
      </c>
      <c r="AH1779" t="str">
        <f t="shared" si="86"/>
        <v>Gopalpur Bmc</v>
      </c>
      <c r="AJ1779" s="72">
        <v>0</v>
      </c>
      <c r="AK1779" s="72"/>
      <c r="AL1779" s="72"/>
      <c r="AM1779" s="72"/>
    </row>
    <row r="1780" spans="1:39" x14ac:dyDescent="0.25">
      <c r="A1780" s="37" t="s">
        <v>62</v>
      </c>
      <c r="B1780" s="66" t="s">
        <v>1615</v>
      </c>
      <c r="C1780" s="41">
        <v>1059</v>
      </c>
      <c r="D1780" s="41" t="s">
        <v>1347</v>
      </c>
      <c r="E1780" s="41">
        <v>10590004</v>
      </c>
      <c r="F1780" s="85" t="s">
        <v>1343</v>
      </c>
      <c r="G1780" s="39" t="s">
        <v>93</v>
      </c>
      <c r="H1780" s="52" t="s">
        <v>94</v>
      </c>
      <c r="I1780" s="52">
        <v>1012.5000000000001</v>
      </c>
      <c r="J1780" s="49">
        <v>37986.86</v>
      </c>
      <c r="K1780" s="58">
        <v>1019.5000000000001</v>
      </c>
      <c r="L1780" s="58">
        <v>38455.824330791889</v>
      </c>
      <c r="M1780" s="58">
        <v>0</v>
      </c>
      <c r="N1780" s="58">
        <v>0</v>
      </c>
      <c r="O1780" s="58">
        <v>1019.5000000000001</v>
      </c>
      <c r="P1780" s="53">
        <v>38455.824330791889</v>
      </c>
      <c r="Q1780" s="65">
        <v>37986.86</v>
      </c>
      <c r="R1780" s="65">
        <v>0</v>
      </c>
      <c r="S1780" s="65">
        <v>0</v>
      </c>
      <c r="T1780" s="65">
        <v>468.96433079188864</v>
      </c>
      <c r="U1780" s="58">
        <v>0</v>
      </c>
      <c r="V1780" s="65">
        <v>0</v>
      </c>
      <c r="W1780" s="65">
        <v>0</v>
      </c>
      <c r="X1780" s="65">
        <v>37987</v>
      </c>
      <c r="Y1780" s="65">
        <v>0</v>
      </c>
      <c r="Z1780" s="51">
        <v>0</v>
      </c>
      <c r="AA1780" s="51">
        <v>0</v>
      </c>
      <c r="AB1780" s="102">
        <v>0</v>
      </c>
      <c r="AC1780" s="81">
        <f t="shared" si="84"/>
        <v>0</v>
      </c>
      <c r="AD1780" s="82">
        <f t="shared" si="85"/>
        <v>0</v>
      </c>
      <c r="AE1780" s="218">
        <v>-1.2345435521437903E-2</v>
      </c>
      <c r="AF1780">
        <v>1</v>
      </c>
      <c r="AH1780" t="str">
        <f t="shared" si="86"/>
        <v>Gopalpur Bmc</v>
      </c>
      <c r="AJ1780" s="72">
        <v>0</v>
      </c>
      <c r="AK1780" s="72"/>
      <c r="AL1780" s="72"/>
      <c r="AM1780" s="72"/>
    </row>
    <row r="1781" spans="1:39" x14ac:dyDescent="0.25">
      <c r="A1781" s="37" t="s">
        <v>62</v>
      </c>
      <c r="B1781" s="66" t="s">
        <v>1615</v>
      </c>
      <c r="C1781" s="41">
        <v>1059</v>
      </c>
      <c r="D1781" s="41" t="s">
        <v>1347</v>
      </c>
      <c r="E1781" s="41">
        <v>10590006</v>
      </c>
      <c r="F1781" s="85" t="s">
        <v>1358</v>
      </c>
      <c r="G1781" s="39" t="s">
        <v>93</v>
      </c>
      <c r="H1781" s="52" t="s">
        <v>94</v>
      </c>
      <c r="I1781" s="52">
        <v>448.70000000000005</v>
      </c>
      <c r="J1781" s="49">
        <v>18224.519999999997</v>
      </c>
      <c r="K1781" s="58">
        <v>431.89999999999992</v>
      </c>
      <c r="L1781" s="58">
        <v>18022.658192920302</v>
      </c>
      <c r="M1781" s="58">
        <v>0</v>
      </c>
      <c r="N1781" s="58">
        <v>0</v>
      </c>
      <c r="O1781" s="58">
        <v>431.89999999999992</v>
      </c>
      <c r="P1781" s="53">
        <v>18022.658192920302</v>
      </c>
      <c r="Q1781" s="65">
        <v>18022.658192920302</v>
      </c>
      <c r="R1781" s="65">
        <v>0</v>
      </c>
      <c r="S1781" s="65">
        <v>0</v>
      </c>
      <c r="T1781" s="65">
        <v>0</v>
      </c>
      <c r="U1781" s="58">
        <v>0</v>
      </c>
      <c r="V1781" s="65">
        <v>0</v>
      </c>
      <c r="W1781" s="65">
        <v>0</v>
      </c>
      <c r="X1781" s="65">
        <v>18024</v>
      </c>
      <c r="Y1781" s="65">
        <v>0</v>
      </c>
      <c r="Z1781" s="51">
        <v>0</v>
      </c>
      <c r="AA1781" s="51">
        <v>201</v>
      </c>
      <c r="AB1781" s="102">
        <v>0</v>
      </c>
      <c r="AC1781" s="81">
        <f t="shared" si="84"/>
        <v>204.13736911076435</v>
      </c>
      <c r="AD1781" s="82">
        <f t="shared" si="85"/>
        <v>64.100000000000009</v>
      </c>
      <c r="AE1781" s="218">
        <v>1.1076385390654718E-2</v>
      </c>
      <c r="AF1781">
        <v>8</v>
      </c>
      <c r="AH1781" t="str">
        <f t="shared" si="86"/>
        <v>Gopalpur Bmc</v>
      </c>
      <c r="AJ1781" s="72">
        <v>0</v>
      </c>
      <c r="AK1781" s="72"/>
      <c r="AL1781" s="72"/>
      <c r="AM1781" s="72"/>
    </row>
    <row r="1782" spans="1:39" x14ac:dyDescent="0.25">
      <c r="A1782" s="37" t="s">
        <v>62</v>
      </c>
      <c r="B1782" s="66" t="s">
        <v>1615</v>
      </c>
      <c r="C1782" s="41">
        <v>1059</v>
      </c>
      <c r="D1782" s="41" t="s">
        <v>1347</v>
      </c>
      <c r="E1782" s="41">
        <v>10590008</v>
      </c>
      <c r="F1782" s="85" t="s">
        <v>1430</v>
      </c>
      <c r="G1782" s="39" t="s">
        <v>93</v>
      </c>
      <c r="H1782" s="52" t="s">
        <v>94</v>
      </c>
      <c r="I1782" s="52">
        <v>330.9</v>
      </c>
      <c r="J1782" s="49">
        <v>14654.560000000001</v>
      </c>
      <c r="K1782" s="58">
        <v>332.79999999999995</v>
      </c>
      <c r="L1782" s="58">
        <v>14665.169072412</v>
      </c>
      <c r="M1782" s="58">
        <v>0</v>
      </c>
      <c r="N1782" s="58">
        <v>0</v>
      </c>
      <c r="O1782" s="58">
        <v>332.79999999999995</v>
      </c>
      <c r="P1782" s="53">
        <v>14665.169072412</v>
      </c>
      <c r="Q1782" s="65">
        <v>14654.560000000001</v>
      </c>
      <c r="R1782" s="65">
        <v>0</v>
      </c>
      <c r="S1782" s="65">
        <v>0</v>
      </c>
      <c r="T1782" s="65">
        <v>10.609072411998568</v>
      </c>
      <c r="U1782" s="58">
        <v>0</v>
      </c>
      <c r="V1782" s="65">
        <v>0</v>
      </c>
      <c r="W1782" s="65">
        <v>0</v>
      </c>
      <c r="X1782" s="65">
        <v>14655</v>
      </c>
      <c r="Y1782" s="65">
        <v>0</v>
      </c>
      <c r="Z1782" s="51">
        <v>0</v>
      </c>
      <c r="AA1782" s="51">
        <v>0</v>
      </c>
      <c r="AB1782" s="102">
        <v>0</v>
      </c>
      <c r="AC1782" s="81">
        <f t="shared" si="84"/>
        <v>326.92644883650655</v>
      </c>
      <c r="AD1782" s="82">
        <f t="shared" si="85"/>
        <v>47.271428571428565</v>
      </c>
      <c r="AE1782" s="218">
        <v>-7.2394342866647428E-4</v>
      </c>
      <c r="AF1782">
        <v>1</v>
      </c>
      <c r="AH1782" t="str">
        <f t="shared" si="86"/>
        <v>Gopalpur Bmc</v>
      </c>
      <c r="AJ1782" s="72">
        <v>0</v>
      </c>
      <c r="AK1782" s="72"/>
      <c r="AL1782" s="72"/>
      <c r="AM1782" s="72"/>
    </row>
    <row r="1783" spans="1:39" x14ac:dyDescent="0.25">
      <c r="A1783" s="37" t="s">
        <v>62</v>
      </c>
      <c r="B1783" s="66" t="s">
        <v>1615</v>
      </c>
      <c r="C1783" s="41">
        <v>1059</v>
      </c>
      <c r="D1783" s="41" t="s">
        <v>1347</v>
      </c>
      <c r="E1783" s="41">
        <v>10590010</v>
      </c>
      <c r="F1783" s="85" t="s">
        <v>1431</v>
      </c>
      <c r="G1783" s="39" t="s">
        <v>93</v>
      </c>
      <c r="H1783" s="52" t="s">
        <v>94</v>
      </c>
      <c r="I1783" s="52">
        <v>1147.9000000000001</v>
      </c>
      <c r="J1783" s="49">
        <v>55022.879999999997</v>
      </c>
      <c r="K1783" s="58">
        <v>1147.9000000000001</v>
      </c>
      <c r="L1783" s="58">
        <v>54932.239160618301</v>
      </c>
      <c r="M1783" s="58">
        <v>0</v>
      </c>
      <c r="N1783" s="58">
        <v>0</v>
      </c>
      <c r="O1783" s="58">
        <v>1147.9000000000001</v>
      </c>
      <c r="P1783" s="53">
        <v>54932.239160618301</v>
      </c>
      <c r="Q1783" s="65">
        <v>54932.239160618301</v>
      </c>
      <c r="R1783" s="65">
        <v>0</v>
      </c>
      <c r="S1783" s="65">
        <v>0</v>
      </c>
      <c r="T1783" s="65">
        <v>0</v>
      </c>
      <c r="U1783" s="58">
        <v>0</v>
      </c>
      <c r="V1783" s="65">
        <v>0</v>
      </c>
      <c r="W1783" s="65">
        <v>0</v>
      </c>
      <c r="X1783" s="65">
        <v>54932</v>
      </c>
      <c r="Y1783" s="65">
        <v>0</v>
      </c>
      <c r="Z1783" s="51">
        <v>0</v>
      </c>
      <c r="AA1783" s="51">
        <v>91</v>
      </c>
      <c r="AB1783" s="102">
        <v>0</v>
      </c>
      <c r="AC1783" s="81">
        <f t="shared" si="84"/>
        <v>0</v>
      </c>
      <c r="AD1783" s="82">
        <f t="shared" si="85"/>
        <v>0</v>
      </c>
      <c r="AE1783" s="218">
        <v>1.6473299722169473E-3</v>
      </c>
      <c r="AF1783">
        <v>2</v>
      </c>
      <c r="AH1783" t="str">
        <f t="shared" si="86"/>
        <v>Gopalpur Bmc</v>
      </c>
      <c r="AJ1783" s="72">
        <v>0</v>
      </c>
      <c r="AK1783" s="72"/>
      <c r="AL1783" s="72"/>
      <c r="AM1783" s="72"/>
    </row>
    <row r="1784" spans="1:39" x14ac:dyDescent="0.25">
      <c r="A1784" s="37" t="s">
        <v>62</v>
      </c>
      <c r="B1784" s="66" t="s">
        <v>1615</v>
      </c>
      <c r="C1784" s="41">
        <v>1059</v>
      </c>
      <c r="D1784" s="41" t="s">
        <v>1347</v>
      </c>
      <c r="E1784" s="41">
        <v>10590011</v>
      </c>
      <c r="F1784" s="85" t="s">
        <v>1432</v>
      </c>
      <c r="G1784" s="39" t="s">
        <v>93</v>
      </c>
      <c r="H1784" s="52" t="s">
        <v>94</v>
      </c>
      <c r="I1784" s="52">
        <v>688.99999999999989</v>
      </c>
      <c r="J1784" s="49">
        <v>26282.320000000003</v>
      </c>
      <c r="K1784" s="58">
        <v>763.32999999999993</v>
      </c>
      <c r="L1784" s="58">
        <v>30616.194279430205</v>
      </c>
      <c r="M1784" s="58">
        <v>0</v>
      </c>
      <c r="N1784" s="58">
        <v>0</v>
      </c>
      <c r="O1784" s="58">
        <v>763.32999999999993</v>
      </c>
      <c r="P1784" s="53">
        <v>30616.194279430205</v>
      </c>
      <c r="Q1784" s="65">
        <v>26282.320000000003</v>
      </c>
      <c r="R1784" s="65">
        <v>0</v>
      </c>
      <c r="S1784" s="65">
        <v>0</v>
      </c>
      <c r="T1784" s="65">
        <v>4333.8742794302016</v>
      </c>
      <c r="U1784" s="58">
        <v>0</v>
      </c>
      <c r="V1784" s="65">
        <v>0</v>
      </c>
      <c r="W1784" s="65">
        <v>0</v>
      </c>
      <c r="X1784" s="65">
        <v>26282</v>
      </c>
      <c r="Y1784" s="65">
        <v>0</v>
      </c>
      <c r="Z1784" s="51">
        <v>0</v>
      </c>
      <c r="AA1784" s="51">
        <v>0</v>
      </c>
      <c r="AB1784" s="102">
        <v>0</v>
      </c>
      <c r="AC1784" s="81">
        <f t="shared" si="84"/>
        <v>8.392032510885409</v>
      </c>
      <c r="AD1784" s="82">
        <f t="shared" si="85"/>
        <v>98.428571428571416</v>
      </c>
      <c r="AE1784" s="218">
        <v>-0.16489694514906603</v>
      </c>
      <c r="AF1784">
        <v>6</v>
      </c>
      <c r="AH1784" t="str">
        <f t="shared" si="86"/>
        <v>Gopalpur Bmc</v>
      </c>
      <c r="AJ1784" s="72">
        <v>0</v>
      </c>
      <c r="AK1784" s="72"/>
      <c r="AL1784" s="72"/>
      <c r="AM1784" s="72"/>
    </row>
    <row r="1785" spans="1:39" x14ac:dyDescent="0.25">
      <c r="A1785" s="37" t="s">
        <v>62</v>
      </c>
      <c r="B1785" s="66" t="s">
        <v>1615</v>
      </c>
      <c r="C1785" s="41">
        <v>1059</v>
      </c>
      <c r="D1785" s="41" t="s">
        <v>1347</v>
      </c>
      <c r="E1785" s="41">
        <v>10590012</v>
      </c>
      <c r="F1785" s="85" t="s">
        <v>1433</v>
      </c>
      <c r="G1785" s="39" t="s">
        <v>93</v>
      </c>
      <c r="H1785" s="52" t="s">
        <v>94</v>
      </c>
      <c r="I1785" s="52">
        <v>684.09999999999991</v>
      </c>
      <c r="J1785" s="49">
        <v>28127.43</v>
      </c>
      <c r="K1785" s="58">
        <v>684.1</v>
      </c>
      <c r="L1785" s="58">
        <v>28127.097381533502</v>
      </c>
      <c r="M1785" s="58">
        <v>0</v>
      </c>
      <c r="N1785" s="58">
        <v>0</v>
      </c>
      <c r="O1785" s="58">
        <v>684.1</v>
      </c>
      <c r="P1785" s="53">
        <v>28127.097381533502</v>
      </c>
      <c r="Q1785" s="65">
        <v>28127.097381533502</v>
      </c>
      <c r="R1785" s="65">
        <v>0</v>
      </c>
      <c r="S1785" s="65">
        <v>0</v>
      </c>
      <c r="T1785" s="65">
        <v>0</v>
      </c>
      <c r="U1785" s="58">
        <v>0</v>
      </c>
      <c r="V1785" s="65">
        <v>0</v>
      </c>
      <c r="W1785" s="65">
        <v>0</v>
      </c>
      <c r="X1785" s="65">
        <v>28127</v>
      </c>
      <c r="Y1785" s="65">
        <v>0</v>
      </c>
      <c r="Z1785" s="51">
        <v>0</v>
      </c>
      <c r="AA1785" s="51">
        <v>0</v>
      </c>
      <c r="AB1785" s="102">
        <v>0</v>
      </c>
      <c r="AC1785" s="81">
        <f t="shared" si="84"/>
        <v>13.07487609998547</v>
      </c>
      <c r="AD1785" s="82">
        <f t="shared" si="85"/>
        <v>97.728571428571414</v>
      </c>
      <c r="AE1785" s="218">
        <v>1.1825412648734294E-5</v>
      </c>
      <c r="AF1785">
        <v>1</v>
      </c>
      <c r="AH1785" t="str">
        <f t="shared" si="86"/>
        <v>Gopalpur Bmc</v>
      </c>
      <c r="AJ1785" s="72">
        <v>0</v>
      </c>
      <c r="AK1785" s="72"/>
      <c r="AL1785" s="72"/>
      <c r="AM1785" s="72"/>
    </row>
    <row r="1786" spans="1:39" x14ac:dyDescent="0.25">
      <c r="A1786" s="37" t="s">
        <v>62</v>
      </c>
      <c r="B1786" s="66" t="s">
        <v>1615</v>
      </c>
      <c r="C1786" s="41">
        <v>1059</v>
      </c>
      <c r="D1786" s="41" t="s">
        <v>1347</v>
      </c>
      <c r="E1786" s="41">
        <v>10590013</v>
      </c>
      <c r="F1786" s="85" t="s">
        <v>1400</v>
      </c>
      <c r="G1786" s="39" t="s">
        <v>93</v>
      </c>
      <c r="H1786" s="52" t="s">
        <v>94</v>
      </c>
      <c r="I1786" s="52">
        <v>349.1</v>
      </c>
      <c r="J1786" s="49">
        <v>14521.34</v>
      </c>
      <c r="K1786" s="58">
        <v>349.09999999999997</v>
      </c>
      <c r="L1786" s="58">
        <v>14542.23750132</v>
      </c>
      <c r="M1786" s="58">
        <v>0</v>
      </c>
      <c r="N1786" s="58">
        <v>0</v>
      </c>
      <c r="O1786" s="58">
        <v>349.09999999999997</v>
      </c>
      <c r="P1786" s="53">
        <v>14542.23750132</v>
      </c>
      <c r="Q1786" s="65">
        <v>14521.34</v>
      </c>
      <c r="R1786" s="65">
        <v>0</v>
      </c>
      <c r="S1786" s="65">
        <v>0</v>
      </c>
      <c r="T1786" s="65">
        <v>20.897501319999719</v>
      </c>
      <c r="U1786" s="58">
        <v>0</v>
      </c>
      <c r="V1786" s="65">
        <v>0</v>
      </c>
      <c r="W1786" s="65">
        <v>0</v>
      </c>
      <c r="X1786" s="65">
        <v>14521</v>
      </c>
      <c r="Y1786" s="65">
        <v>0</v>
      </c>
      <c r="Z1786" s="51">
        <v>0</v>
      </c>
      <c r="AA1786" s="51">
        <v>0</v>
      </c>
      <c r="AB1786" s="102">
        <v>0</v>
      </c>
      <c r="AC1786" s="81">
        <f t="shared" si="84"/>
        <v>291.92427419077626</v>
      </c>
      <c r="AD1786" s="82">
        <f t="shared" si="85"/>
        <v>49.871428571428574</v>
      </c>
      <c r="AE1786" s="218">
        <v>-1.4390890455012911E-3</v>
      </c>
      <c r="AF1786">
        <v>1</v>
      </c>
      <c r="AH1786" t="str">
        <f t="shared" si="86"/>
        <v>Gopalpur Bmc</v>
      </c>
      <c r="AJ1786" s="72">
        <v>0</v>
      </c>
      <c r="AK1786" s="72"/>
      <c r="AL1786" s="72"/>
      <c r="AM1786" s="72"/>
    </row>
    <row r="1787" spans="1:39" x14ac:dyDescent="0.25">
      <c r="A1787" s="37" t="s">
        <v>62</v>
      </c>
      <c r="B1787" s="66" t="s">
        <v>1615</v>
      </c>
      <c r="C1787" s="41">
        <v>1059</v>
      </c>
      <c r="D1787" s="41" t="s">
        <v>1347</v>
      </c>
      <c r="E1787" s="41">
        <v>10590014</v>
      </c>
      <c r="F1787" s="85" t="s">
        <v>1517</v>
      </c>
      <c r="G1787" s="39" t="s">
        <v>93</v>
      </c>
      <c r="H1787" s="52" t="s">
        <v>94</v>
      </c>
      <c r="I1787" s="52">
        <v>447.5</v>
      </c>
      <c r="J1787" s="49">
        <v>19366.689999999995</v>
      </c>
      <c r="K1787" s="58">
        <v>450.19999999999993</v>
      </c>
      <c r="L1787" s="58">
        <v>19453.225710336003</v>
      </c>
      <c r="M1787" s="58">
        <v>0</v>
      </c>
      <c r="N1787" s="58">
        <v>0</v>
      </c>
      <c r="O1787" s="58">
        <v>450.19999999999993</v>
      </c>
      <c r="P1787" s="53">
        <v>19453.225710336003</v>
      </c>
      <c r="Q1787" s="65">
        <v>19366.689999999995</v>
      </c>
      <c r="R1787" s="65">
        <v>0</v>
      </c>
      <c r="S1787" s="65">
        <v>0</v>
      </c>
      <c r="T1787" s="65">
        <v>86.535710336007469</v>
      </c>
      <c r="U1787" s="58">
        <v>0</v>
      </c>
      <c r="V1787" s="65">
        <v>0</v>
      </c>
      <c r="W1787" s="65">
        <v>0</v>
      </c>
      <c r="X1787" s="65">
        <v>19367</v>
      </c>
      <c r="Y1787" s="65">
        <v>0</v>
      </c>
      <c r="Z1787" s="51">
        <v>0</v>
      </c>
      <c r="AA1787" s="51">
        <v>0</v>
      </c>
      <c r="AB1787" s="102">
        <v>0</v>
      </c>
      <c r="AC1787" s="81">
        <f t="shared" si="84"/>
        <v>218.55147374301671</v>
      </c>
      <c r="AD1787" s="82">
        <f t="shared" si="85"/>
        <v>63.928571428571431</v>
      </c>
      <c r="AE1787" s="218">
        <v>-4.4682757010107302E-3</v>
      </c>
      <c r="AF1787">
        <v>1</v>
      </c>
      <c r="AH1787" t="str">
        <f t="shared" si="86"/>
        <v>Gopalpur Bmc</v>
      </c>
      <c r="AJ1787" s="72">
        <v>0</v>
      </c>
      <c r="AK1787" s="72"/>
      <c r="AL1787" s="72"/>
      <c r="AM1787" s="72"/>
    </row>
    <row r="1788" spans="1:39" x14ac:dyDescent="0.25">
      <c r="A1788" s="37" t="s">
        <v>62</v>
      </c>
      <c r="B1788" s="66" t="s">
        <v>1615</v>
      </c>
      <c r="C1788" s="41">
        <v>1059</v>
      </c>
      <c r="D1788" s="41" t="s">
        <v>1347</v>
      </c>
      <c r="E1788" s="41">
        <v>10590015</v>
      </c>
      <c r="F1788" s="85" t="s">
        <v>1518</v>
      </c>
      <c r="G1788" s="39" t="s">
        <v>93</v>
      </c>
      <c r="H1788" s="52" t="s">
        <v>94</v>
      </c>
      <c r="I1788" s="52">
        <v>31.299999999999997</v>
      </c>
      <c r="J1788" s="49">
        <v>1573.85</v>
      </c>
      <c r="K1788" s="58">
        <v>31.3</v>
      </c>
      <c r="L1788" s="58">
        <v>1564.9429289736001</v>
      </c>
      <c r="M1788" s="58">
        <v>0</v>
      </c>
      <c r="N1788" s="58">
        <v>0</v>
      </c>
      <c r="O1788" s="58">
        <v>31.3</v>
      </c>
      <c r="P1788" s="53">
        <v>1564.9429289736001</v>
      </c>
      <c r="Q1788" s="65">
        <v>1564.9429289736001</v>
      </c>
      <c r="R1788" s="65">
        <v>0</v>
      </c>
      <c r="S1788" s="65">
        <v>0</v>
      </c>
      <c r="T1788" s="65">
        <v>0</v>
      </c>
      <c r="U1788" s="58">
        <v>0</v>
      </c>
      <c r="V1788" s="65">
        <v>0</v>
      </c>
      <c r="W1788" s="65">
        <v>0</v>
      </c>
      <c r="X1788" s="65">
        <v>1565</v>
      </c>
      <c r="Y1788" s="65">
        <v>0</v>
      </c>
      <c r="Z1788" s="51">
        <v>0</v>
      </c>
      <c r="AA1788" s="51">
        <v>9</v>
      </c>
      <c r="AB1788" s="102">
        <v>0</v>
      </c>
      <c r="AC1788" s="81">
        <f t="shared" si="84"/>
        <v>672.4814664536741</v>
      </c>
      <c r="AD1788" s="82">
        <f t="shared" si="85"/>
        <v>4.4714285714285706</v>
      </c>
      <c r="AE1788" s="218">
        <v>5.6594154629728138E-3</v>
      </c>
      <c r="AF1788">
        <v>1</v>
      </c>
      <c r="AH1788" t="str">
        <f t="shared" si="86"/>
        <v>Gopalpur Bmc</v>
      </c>
      <c r="AJ1788" s="72">
        <v>0</v>
      </c>
      <c r="AK1788" s="72"/>
      <c r="AL1788" s="72"/>
      <c r="AM1788" s="72"/>
    </row>
    <row r="1789" spans="1:39" x14ac:dyDescent="0.25">
      <c r="A1789" s="37" t="s">
        <v>62</v>
      </c>
      <c r="B1789" s="66" t="s">
        <v>1615</v>
      </c>
      <c r="C1789" s="41">
        <v>1059</v>
      </c>
      <c r="D1789" s="41" t="s">
        <v>1347</v>
      </c>
      <c r="E1789" s="41">
        <v>10590016</v>
      </c>
      <c r="F1789" s="85" t="s">
        <v>1552</v>
      </c>
      <c r="G1789" s="39" t="s">
        <v>635</v>
      </c>
      <c r="H1789" s="52" t="s">
        <v>99</v>
      </c>
      <c r="I1789" s="52">
        <v>283.29999999999995</v>
      </c>
      <c r="J1789" s="49">
        <v>11736.43</v>
      </c>
      <c r="K1789" s="58">
        <v>0</v>
      </c>
      <c r="L1789" s="58">
        <v>0</v>
      </c>
      <c r="M1789" s="58">
        <v>0</v>
      </c>
      <c r="N1789" s="58">
        <v>0</v>
      </c>
      <c r="O1789" s="58">
        <v>0</v>
      </c>
      <c r="P1789" s="53">
        <v>0</v>
      </c>
      <c r="Q1789" s="65">
        <v>11736.43</v>
      </c>
      <c r="R1789" s="65">
        <v>0</v>
      </c>
      <c r="S1789" s="65">
        <v>0</v>
      </c>
      <c r="T1789" s="65">
        <v>0</v>
      </c>
      <c r="U1789" s="58">
        <v>0</v>
      </c>
      <c r="V1789" s="65">
        <v>0</v>
      </c>
      <c r="W1789" s="65">
        <v>0</v>
      </c>
      <c r="X1789" s="65">
        <v>0</v>
      </c>
      <c r="Y1789" s="65">
        <v>0</v>
      </c>
      <c r="Z1789" s="51">
        <v>11736.43</v>
      </c>
      <c r="AA1789" s="51">
        <v>0</v>
      </c>
      <c r="AB1789" s="102">
        <v>0</v>
      </c>
      <c r="AC1789" s="81">
        <f t="shared" si="84"/>
        <v>345.25735128838693</v>
      </c>
      <c r="AD1789" s="82">
        <f t="shared" si="85"/>
        <v>40.471428571428568</v>
      </c>
      <c r="AE1789" s="218">
        <v>0</v>
      </c>
      <c r="AF1789">
        <v>0</v>
      </c>
      <c r="AH1789" t="str">
        <f t="shared" si="86"/>
        <v>Gopalpur Bmc</v>
      </c>
      <c r="AJ1789" s="72">
        <v>0</v>
      </c>
      <c r="AK1789" s="72"/>
      <c r="AL1789" s="72"/>
      <c r="AM1789" s="72"/>
    </row>
    <row r="1790" spans="1:39" x14ac:dyDescent="0.25">
      <c r="A1790" s="37" t="s">
        <v>62</v>
      </c>
      <c r="B1790" s="66" t="s">
        <v>1615</v>
      </c>
      <c r="C1790" s="41">
        <v>1014</v>
      </c>
      <c r="D1790" s="41" t="s">
        <v>376</v>
      </c>
      <c r="E1790" s="41">
        <v>10600001</v>
      </c>
      <c r="F1790" s="85" t="s">
        <v>1372</v>
      </c>
      <c r="G1790" s="39" t="s">
        <v>93</v>
      </c>
      <c r="H1790" s="52" t="s">
        <v>94</v>
      </c>
      <c r="I1790" s="52">
        <v>315.60000000000002</v>
      </c>
      <c r="J1790" s="49">
        <v>11097.85</v>
      </c>
      <c r="K1790" s="58">
        <v>312.83999999999997</v>
      </c>
      <c r="L1790" s="58">
        <v>11175.947929080001</v>
      </c>
      <c r="M1790" s="58">
        <v>0</v>
      </c>
      <c r="N1790" s="58">
        <v>0</v>
      </c>
      <c r="O1790" s="58">
        <v>312.83999999999997</v>
      </c>
      <c r="P1790" s="53">
        <v>11175.947929080001</v>
      </c>
      <c r="Q1790" s="65">
        <v>11097.85</v>
      </c>
      <c r="R1790" s="65">
        <v>0</v>
      </c>
      <c r="S1790" s="65">
        <v>0</v>
      </c>
      <c r="T1790" s="65">
        <v>78.09792908000054</v>
      </c>
      <c r="U1790" s="58">
        <v>8960</v>
      </c>
      <c r="V1790" s="65">
        <v>0</v>
      </c>
      <c r="W1790" s="65">
        <v>0</v>
      </c>
      <c r="X1790" s="65">
        <v>2138</v>
      </c>
      <c r="Y1790" s="65">
        <v>0</v>
      </c>
      <c r="Z1790" s="51">
        <v>0</v>
      </c>
      <c r="AA1790" s="51">
        <v>0</v>
      </c>
      <c r="AB1790" s="102">
        <v>0</v>
      </c>
      <c r="AC1790" s="81">
        <f t="shared" si="84"/>
        <v>270.34306337135615</v>
      </c>
      <c r="AD1790" s="82">
        <f t="shared" si="85"/>
        <v>45.085714285714289</v>
      </c>
      <c r="AE1790" s="218">
        <v>-7.0372125303550274E-3</v>
      </c>
      <c r="AF1790">
        <v>2</v>
      </c>
      <c r="AH1790" t="str">
        <f t="shared" si="86"/>
        <v>Dumraon</v>
      </c>
      <c r="AJ1790" s="72">
        <v>0</v>
      </c>
      <c r="AK1790" s="72"/>
      <c r="AL1790" s="72"/>
      <c r="AM1790" s="72"/>
    </row>
    <row r="1791" spans="1:39" x14ac:dyDescent="0.25">
      <c r="A1791" s="37" t="s">
        <v>62</v>
      </c>
      <c r="B1791" s="66" t="s">
        <v>1615</v>
      </c>
      <c r="C1791" s="41">
        <v>1014</v>
      </c>
      <c r="D1791" s="41" t="s">
        <v>376</v>
      </c>
      <c r="E1791" s="41">
        <v>10600002</v>
      </c>
      <c r="F1791" s="85" t="s">
        <v>1373</v>
      </c>
      <c r="G1791" s="39" t="s">
        <v>93</v>
      </c>
      <c r="H1791" s="52" t="s">
        <v>94</v>
      </c>
      <c r="I1791" s="52">
        <v>633.20000000000005</v>
      </c>
      <c r="J1791" s="49">
        <v>22217.670000000002</v>
      </c>
      <c r="K1791" s="58">
        <v>633.01</v>
      </c>
      <c r="L1791" s="58">
        <v>22168.05734694354</v>
      </c>
      <c r="M1791" s="58">
        <v>0</v>
      </c>
      <c r="N1791" s="58">
        <v>0</v>
      </c>
      <c r="O1791" s="58">
        <v>633.01</v>
      </c>
      <c r="P1791" s="53">
        <v>22168.05734694354</v>
      </c>
      <c r="Q1791" s="65">
        <v>22168.05734694354</v>
      </c>
      <c r="R1791" s="65">
        <v>0</v>
      </c>
      <c r="S1791" s="65">
        <v>0</v>
      </c>
      <c r="T1791" s="65">
        <v>0</v>
      </c>
      <c r="U1791" s="58">
        <v>14080</v>
      </c>
      <c r="V1791" s="65">
        <v>0</v>
      </c>
      <c r="W1791" s="65">
        <v>0</v>
      </c>
      <c r="X1791" s="65">
        <v>8088</v>
      </c>
      <c r="Y1791" s="65">
        <v>0</v>
      </c>
      <c r="Z1791" s="51">
        <v>0</v>
      </c>
      <c r="AA1791" s="51">
        <v>50</v>
      </c>
      <c r="AB1791" s="102">
        <v>0</v>
      </c>
      <c r="AC1791" s="81">
        <f t="shared" si="84"/>
        <v>46.877459128237462</v>
      </c>
      <c r="AD1791" s="82">
        <f t="shared" si="85"/>
        <v>90.45714285714287</v>
      </c>
      <c r="AE1791" s="218">
        <v>2.2330268230854795E-3</v>
      </c>
      <c r="AF1791">
        <v>1</v>
      </c>
      <c r="AH1791" t="str">
        <f t="shared" si="86"/>
        <v>Dumraon</v>
      </c>
      <c r="AJ1791" s="72">
        <v>0</v>
      </c>
      <c r="AK1791" s="72"/>
      <c r="AL1791" s="72"/>
      <c r="AM1791" s="72"/>
    </row>
    <row r="1792" spans="1:39" x14ac:dyDescent="0.25">
      <c r="A1792" s="37" t="s">
        <v>62</v>
      </c>
      <c r="B1792" s="66" t="s">
        <v>1615</v>
      </c>
      <c r="C1792" s="41">
        <v>1014</v>
      </c>
      <c r="D1792" s="41" t="s">
        <v>376</v>
      </c>
      <c r="E1792" s="41">
        <v>10600004</v>
      </c>
      <c r="F1792" s="85" t="s">
        <v>1374</v>
      </c>
      <c r="G1792" s="39" t="s">
        <v>93</v>
      </c>
      <c r="H1792" s="52" t="s">
        <v>94</v>
      </c>
      <c r="I1792" s="52">
        <v>615.09999999999991</v>
      </c>
      <c r="J1792" s="49">
        <v>20969.54</v>
      </c>
      <c r="K1792" s="58">
        <v>706.4799999999999</v>
      </c>
      <c r="L1792" s="58">
        <v>29113.072820787751</v>
      </c>
      <c r="M1792" s="58">
        <v>0</v>
      </c>
      <c r="N1792" s="58">
        <v>0</v>
      </c>
      <c r="O1792" s="58">
        <v>706.4799999999999</v>
      </c>
      <c r="P1792" s="53">
        <v>29113.072820787751</v>
      </c>
      <c r="Q1792" s="65">
        <v>20969.54</v>
      </c>
      <c r="R1792" s="65">
        <v>0</v>
      </c>
      <c r="S1792" s="65">
        <v>0</v>
      </c>
      <c r="T1792" s="65">
        <v>8143.5328207877501</v>
      </c>
      <c r="U1792" s="58">
        <v>15360</v>
      </c>
      <c r="V1792" s="65">
        <v>0</v>
      </c>
      <c r="W1792" s="65">
        <v>0</v>
      </c>
      <c r="X1792" s="65">
        <v>5610</v>
      </c>
      <c r="Y1792" s="65">
        <v>0</v>
      </c>
      <c r="Z1792" s="51">
        <v>0</v>
      </c>
      <c r="AA1792" s="51">
        <v>0</v>
      </c>
      <c r="AB1792" s="102">
        <v>0</v>
      </c>
      <c r="AC1792" s="81">
        <f t="shared" si="84"/>
        <v>57.886975971386867</v>
      </c>
      <c r="AD1792" s="82">
        <f t="shared" si="85"/>
        <v>87.871428571428552</v>
      </c>
      <c r="AE1792" s="218">
        <v>-0.3883505704363448</v>
      </c>
      <c r="AF1792">
        <v>2</v>
      </c>
      <c r="AH1792" t="str">
        <f t="shared" si="86"/>
        <v>Dumraon</v>
      </c>
      <c r="AJ1792" s="72">
        <v>0</v>
      </c>
      <c r="AK1792" s="72"/>
      <c r="AL1792" s="72"/>
      <c r="AM1792" s="72"/>
    </row>
    <row r="1793" spans="1:39" x14ac:dyDescent="0.25">
      <c r="A1793" s="37" t="s">
        <v>62</v>
      </c>
      <c r="B1793" s="66" t="s">
        <v>1615</v>
      </c>
      <c r="C1793" s="41">
        <v>1014</v>
      </c>
      <c r="D1793" s="41" t="s">
        <v>376</v>
      </c>
      <c r="E1793" s="41">
        <v>10600005</v>
      </c>
      <c r="F1793" s="85" t="s">
        <v>1388</v>
      </c>
      <c r="G1793" s="39" t="s">
        <v>93</v>
      </c>
      <c r="H1793" s="52" t="s">
        <v>94</v>
      </c>
      <c r="I1793" s="52">
        <v>157.69999999999999</v>
      </c>
      <c r="J1793" s="49">
        <v>5830.28</v>
      </c>
      <c r="K1793" s="58">
        <v>155.44000000000003</v>
      </c>
      <c r="L1793" s="58">
        <v>5887.8558927000004</v>
      </c>
      <c r="M1793" s="58">
        <v>2.1</v>
      </c>
      <c r="N1793" s="58">
        <v>72.334666166400012</v>
      </c>
      <c r="O1793" s="58">
        <v>157.54000000000002</v>
      </c>
      <c r="P1793" s="53">
        <v>5960.1905588664004</v>
      </c>
      <c r="Q1793" s="65">
        <v>5830.28</v>
      </c>
      <c r="R1793" s="65">
        <v>0</v>
      </c>
      <c r="S1793" s="65">
        <v>72.334666166400012</v>
      </c>
      <c r="T1793" s="65">
        <v>129.91055886640061</v>
      </c>
      <c r="U1793" s="58">
        <v>1280</v>
      </c>
      <c r="V1793" s="65">
        <v>0</v>
      </c>
      <c r="W1793" s="65">
        <v>0</v>
      </c>
      <c r="X1793" s="65">
        <v>4478</v>
      </c>
      <c r="Y1793" s="65">
        <v>0</v>
      </c>
      <c r="Z1793" s="51">
        <v>0</v>
      </c>
      <c r="AA1793" s="51">
        <v>0</v>
      </c>
      <c r="AB1793" s="102" t="s">
        <v>68</v>
      </c>
      <c r="AC1793" s="81">
        <f t="shared" si="84"/>
        <v>400.98425415345599</v>
      </c>
      <c r="AD1793" s="82">
        <f t="shared" si="85"/>
        <v>22.528571428571428</v>
      </c>
      <c r="AE1793" s="218">
        <v>-2.2282044578716735E-2</v>
      </c>
      <c r="AF1793">
        <v>2</v>
      </c>
      <c r="AH1793" t="str">
        <f t="shared" si="86"/>
        <v>Dumraon</v>
      </c>
      <c r="AJ1793" s="72">
        <v>0</v>
      </c>
      <c r="AK1793" s="72"/>
      <c r="AL1793" s="72"/>
      <c r="AM1793" s="72"/>
    </row>
    <row r="1794" spans="1:39" x14ac:dyDescent="0.25">
      <c r="A1794" s="37" t="s">
        <v>62</v>
      </c>
      <c r="B1794" s="66" t="s">
        <v>1615</v>
      </c>
      <c r="C1794" s="41">
        <v>1014</v>
      </c>
      <c r="D1794" s="41" t="s">
        <v>376</v>
      </c>
      <c r="E1794" s="41">
        <v>10600006</v>
      </c>
      <c r="F1794" s="85" t="s">
        <v>1375</v>
      </c>
      <c r="G1794" s="39" t="s">
        <v>93</v>
      </c>
      <c r="H1794" s="52" t="s">
        <v>94</v>
      </c>
      <c r="I1794" s="52">
        <v>230.7</v>
      </c>
      <c r="J1794" s="49">
        <v>9281.4999999999982</v>
      </c>
      <c r="K1794" s="58">
        <v>236.83999999999997</v>
      </c>
      <c r="L1794" s="58">
        <v>9745.9683405480027</v>
      </c>
      <c r="M1794" s="58">
        <v>0</v>
      </c>
      <c r="N1794" s="58">
        <v>0</v>
      </c>
      <c r="O1794" s="58">
        <v>236.83999999999997</v>
      </c>
      <c r="P1794" s="53">
        <v>9745.9683405480027</v>
      </c>
      <c r="Q1794" s="65">
        <v>9281.4999999999982</v>
      </c>
      <c r="R1794" s="65">
        <v>0</v>
      </c>
      <c r="S1794" s="65">
        <v>0</v>
      </c>
      <c r="T1794" s="65">
        <v>464.46834054800456</v>
      </c>
      <c r="U1794" s="58">
        <v>0</v>
      </c>
      <c r="V1794" s="65">
        <v>0</v>
      </c>
      <c r="W1794" s="65">
        <v>0</v>
      </c>
      <c r="X1794" s="65">
        <v>9281</v>
      </c>
      <c r="Y1794" s="65">
        <v>0</v>
      </c>
      <c r="Z1794" s="51">
        <v>0</v>
      </c>
      <c r="AA1794" s="51">
        <v>0</v>
      </c>
      <c r="AB1794" s="102">
        <v>0</v>
      </c>
      <c r="AC1794" s="81">
        <f t="shared" si="84"/>
        <v>377.6166406588643</v>
      </c>
      <c r="AD1794" s="82">
        <f t="shared" si="85"/>
        <v>32.957142857142856</v>
      </c>
      <c r="AE1794" s="218">
        <v>-5.0042378984862863E-2</v>
      </c>
      <c r="AF1794">
        <v>1</v>
      </c>
      <c r="AH1794" t="str">
        <f t="shared" si="86"/>
        <v>Dumraon</v>
      </c>
      <c r="AJ1794" s="72">
        <v>0</v>
      </c>
      <c r="AK1794" s="72"/>
      <c r="AL1794" s="72"/>
      <c r="AM1794" s="72"/>
    </row>
    <row r="1795" spans="1:39" x14ac:dyDescent="0.25">
      <c r="A1795" s="37" t="s">
        <v>62</v>
      </c>
      <c r="B1795" s="66" t="s">
        <v>1615</v>
      </c>
      <c r="C1795" s="41">
        <v>1014</v>
      </c>
      <c r="D1795" s="41" t="s">
        <v>376</v>
      </c>
      <c r="E1795" s="41">
        <v>10600008</v>
      </c>
      <c r="F1795" s="85" t="s">
        <v>1376</v>
      </c>
      <c r="G1795" s="39" t="s">
        <v>93</v>
      </c>
      <c r="H1795" s="52" t="s">
        <v>94</v>
      </c>
      <c r="I1795" s="52">
        <v>113.99999999999999</v>
      </c>
      <c r="J1795" s="49">
        <v>3717.58</v>
      </c>
      <c r="K1795" s="58">
        <v>114</v>
      </c>
      <c r="L1795" s="58">
        <v>3762.1203840000007</v>
      </c>
      <c r="M1795" s="58">
        <v>0</v>
      </c>
      <c r="N1795" s="58">
        <v>0</v>
      </c>
      <c r="O1795" s="58">
        <v>114</v>
      </c>
      <c r="P1795" s="53">
        <v>3762.1203840000007</v>
      </c>
      <c r="Q1795" s="65">
        <v>3717.58</v>
      </c>
      <c r="R1795" s="65">
        <v>0</v>
      </c>
      <c r="S1795" s="65">
        <v>0</v>
      </c>
      <c r="T1795" s="65">
        <v>44.540384000000813</v>
      </c>
      <c r="U1795" s="58">
        <v>3250</v>
      </c>
      <c r="V1795" s="65">
        <v>0</v>
      </c>
      <c r="W1795" s="65">
        <v>0</v>
      </c>
      <c r="X1795" s="65">
        <v>468</v>
      </c>
      <c r="Y1795" s="65">
        <v>0</v>
      </c>
      <c r="Z1795" s="51">
        <v>0</v>
      </c>
      <c r="AA1795" s="51">
        <v>0</v>
      </c>
      <c r="AB1795" s="102" t="s">
        <v>68</v>
      </c>
      <c r="AC1795" s="81">
        <f t="shared" ref="AC1795:AC1858" si="87">((IF(AD1795=0,0,100-AD1795))*7*(J1795/I1795))*2%</f>
        <v>382.19331228070178</v>
      </c>
      <c r="AD1795" s="82">
        <f t="shared" ref="AD1795:AD1858" si="88">IF((I1795/7)&gt;100,0,(I1795/7))</f>
        <v>16.285714285714285</v>
      </c>
      <c r="AE1795" s="218">
        <v>-1.1981015606927306E-2</v>
      </c>
      <c r="AF1795">
        <v>1</v>
      </c>
      <c r="AH1795" t="str">
        <f t="shared" si="86"/>
        <v>Dumraon</v>
      </c>
      <c r="AJ1795" s="72">
        <v>0</v>
      </c>
      <c r="AK1795" s="72"/>
      <c r="AL1795" s="72"/>
      <c r="AM1795" s="72"/>
    </row>
    <row r="1796" spans="1:39" x14ac:dyDescent="0.25">
      <c r="A1796" s="37" t="s">
        <v>62</v>
      </c>
      <c r="B1796" s="66" t="s">
        <v>1615</v>
      </c>
      <c r="C1796" s="41">
        <v>1014</v>
      </c>
      <c r="D1796" s="41" t="s">
        <v>376</v>
      </c>
      <c r="E1796" s="41">
        <v>10600009</v>
      </c>
      <c r="F1796" s="85" t="s">
        <v>1377</v>
      </c>
      <c r="G1796" s="39" t="s">
        <v>93</v>
      </c>
      <c r="H1796" s="52" t="s">
        <v>94</v>
      </c>
      <c r="I1796" s="52">
        <v>426.69999999999993</v>
      </c>
      <c r="J1796" s="49">
        <v>15590.779999999997</v>
      </c>
      <c r="K1796" s="58">
        <v>438.36</v>
      </c>
      <c r="L1796" s="58">
        <v>18439.018775496006</v>
      </c>
      <c r="M1796" s="58">
        <v>0</v>
      </c>
      <c r="N1796" s="58">
        <v>0</v>
      </c>
      <c r="O1796" s="58">
        <v>438.36</v>
      </c>
      <c r="P1796" s="53">
        <v>18439.018775496006</v>
      </c>
      <c r="Q1796" s="65">
        <v>15590.779999999997</v>
      </c>
      <c r="R1796" s="65">
        <v>0</v>
      </c>
      <c r="S1796" s="65">
        <v>0</v>
      </c>
      <c r="T1796" s="65">
        <v>2848.2387754960091</v>
      </c>
      <c r="U1796" s="58">
        <v>7680</v>
      </c>
      <c r="V1796" s="65">
        <v>0</v>
      </c>
      <c r="W1796" s="65">
        <v>0</v>
      </c>
      <c r="X1796" s="65">
        <v>7911</v>
      </c>
      <c r="Y1796" s="65">
        <v>0</v>
      </c>
      <c r="Z1796" s="51">
        <v>0</v>
      </c>
      <c r="AA1796" s="51">
        <v>0</v>
      </c>
      <c r="AB1796" s="102" t="s">
        <v>68</v>
      </c>
      <c r="AC1796" s="81">
        <f t="shared" si="87"/>
        <v>199.71690527302559</v>
      </c>
      <c r="AD1796" s="82">
        <f t="shared" si="88"/>
        <v>60.957142857142848</v>
      </c>
      <c r="AE1796" s="218">
        <v>-0.18268738161246645</v>
      </c>
      <c r="AF1796">
        <v>1</v>
      </c>
      <c r="AH1796" t="str">
        <f t="shared" si="86"/>
        <v>Dumraon</v>
      </c>
      <c r="AJ1796" s="72">
        <v>0</v>
      </c>
      <c r="AK1796" s="72"/>
      <c r="AL1796" s="72"/>
      <c r="AM1796" s="72"/>
    </row>
    <row r="1797" spans="1:39" x14ac:dyDescent="0.25">
      <c r="A1797" s="37" t="s">
        <v>62</v>
      </c>
      <c r="B1797" s="66" t="s">
        <v>1615</v>
      </c>
      <c r="C1797" s="41">
        <v>1014</v>
      </c>
      <c r="D1797" s="41" t="s">
        <v>376</v>
      </c>
      <c r="E1797" s="41">
        <v>10600012</v>
      </c>
      <c r="F1797" s="85" t="s">
        <v>1458</v>
      </c>
      <c r="G1797" s="39" t="s">
        <v>93</v>
      </c>
      <c r="H1797" s="52" t="s">
        <v>94</v>
      </c>
      <c r="I1797" s="52">
        <v>492</v>
      </c>
      <c r="J1797" s="49">
        <v>17737.310000000001</v>
      </c>
      <c r="K1797" s="58">
        <v>486.66999999999996</v>
      </c>
      <c r="L1797" s="58">
        <v>17557.068698848801</v>
      </c>
      <c r="M1797" s="58">
        <v>4.3500000000000005</v>
      </c>
      <c r="N1797" s="58">
        <v>165.51551412000003</v>
      </c>
      <c r="O1797" s="58">
        <v>491.02</v>
      </c>
      <c r="P1797" s="53">
        <v>17722.584212968803</v>
      </c>
      <c r="Q1797" s="65">
        <v>17722.584212968803</v>
      </c>
      <c r="R1797" s="65">
        <v>0</v>
      </c>
      <c r="S1797" s="65">
        <v>165.51551412000003</v>
      </c>
      <c r="T1797" s="65">
        <v>0</v>
      </c>
      <c r="U1797" s="58">
        <v>2600</v>
      </c>
      <c r="V1797" s="65">
        <v>0</v>
      </c>
      <c r="W1797" s="65">
        <v>0</v>
      </c>
      <c r="X1797" s="65">
        <v>14957</v>
      </c>
      <c r="Y1797" s="65">
        <v>0</v>
      </c>
      <c r="Z1797" s="51">
        <v>0</v>
      </c>
      <c r="AA1797" s="51">
        <v>15</v>
      </c>
      <c r="AB1797" s="102">
        <v>0</v>
      </c>
      <c r="AC1797" s="81">
        <f t="shared" si="87"/>
        <v>149.9740032520325</v>
      </c>
      <c r="AD1797" s="82">
        <f t="shared" si="88"/>
        <v>70.285714285714292</v>
      </c>
      <c r="AE1797" s="218">
        <v>8.302153500840153E-4</v>
      </c>
      <c r="AF1797">
        <v>3</v>
      </c>
      <c r="AH1797" t="str">
        <f t="shared" si="86"/>
        <v>Dumraon</v>
      </c>
      <c r="AJ1797" s="72">
        <v>0</v>
      </c>
      <c r="AK1797" s="72"/>
      <c r="AL1797" s="72"/>
      <c r="AM1797" s="72"/>
    </row>
    <row r="1798" spans="1:39" x14ac:dyDescent="0.25">
      <c r="A1798" s="37" t="s">
        <v>62</v>
      </c>
      <c r="B1798" s="66" t="s">
        <v>1615</v>
      </c>
      <c r="C1798" s="41">
        <v>1061</v>
      </c>
      <c r="D1798" s="41" t="s">
        <v>1452</v>
      </c>
      <c r="E1798" s="41">
        <v>10610001</v>
      </c>
      <c r="F1798" s="85" t="s">
        <v>1460</v>
      </c>
      <c r="G1798" s="39" t="s">
        <v>93</v>
      </c>
      <c r="H1798" s="52" t="s">
        <v>94</v>
      </c>
      <c r="I1798" s="52">
        <v>960.9000000000002</v>
      </c>
      <c r="J1798" s="49">
        <v>41682.960000000006</v>
      </c>
      <c r="K1798" s="58">
        <v>963.90000000000009</v>
      </c>
      <c r="L1798" s="58">
        <v>41709.248329037604</v>
      </c>
      <c r="M1798" s="58">
        <v>7.8</v>
      </c>
      <c r="N1798" s="58">
        <v>357.42707034649999</v>
      </c>
      <c r="O1798" s="58">
        <v>971.7</v>
      </c>
      <c r="P1798" s="53">
        <v>42066.675399384105</v>
      </c>
      <c r="Q1798" s="65">
        <v>41682.960000000006</v>
      </c>
      <c r="R1798" s="65">
        <v>25028</v>
      </c>
      <c r="S1798" s="65">
        <v>357.42707034649999</v>
      </c>
      <c r="T1798" s="65">
        <v>383.71539938409842</v>
      </c>
      <c r="U1798" s="58">
        <v>0</v>
      </c>
      <c r="V1798" s="65">
        <v>0</v>
      </c>
      <c r="W1798" s="65">
        <v>0</v>
      </c>
      <c r="X1798" s="65">
        <v>16298</v>
      </c>
      <c r="Y1798" s="65">
        <v>0</v>
      </c>
      <c r="Z1798" s="51">
        <v>0</v>
      </c>
      <c r="AA1798" s="51">
        <v>0</v>
      </c>
      <c r="AB1798" s="102">
        <v>0</v>
      </c>
      <c r="AC1798" s="81">
        <f t="shared" si="87"/>
        <v>0</v>
      </c>
      <c r="AD1798" s="82">
        <f t="shared" si="88"/>
        <v>0</v>
      </c>
      <c r="AE1798" s="218">
        <v>-9.2055698391884447E-3</v>
      </c>
      <c r="AF1798">
        <v>6</v>
      </c>
      <c r="AH1798" t="str">
        <f t="shared" si="86"/>
        <v>Mahua BMC</v>
      </c>
      <c r="AJ1798" s="72">
        <v>0</v>
      </c>
      <c r="AK1798" s="72"/>
      <c r="AL1798" s="72"/>
      <c r="AM1798" s="72"/>
    </row>
    <row r="1799" spans="1:39" x14ac:dyDescent="0.25">
      <c r="A1799" s="37" t="s">
        <v>62</v>
      </c>
      <c r="B1799" s="66" t="s">
        <v>1615</v>
      </c>
      <c r="C1799" s="41">
        <v>1061</v>
      </c>
      <c r="D1799" s="41" t="s">
        <v>1452</v>
      </c>
      <c r="E1799" s="41">
        <v>10610002</v>
      </c>
      <c r="F1799" s="85" t="s">
        <v>1378</v>
      </c>
      <c r="G1799" s="39" t="s">
        <v>93</v>
      </c>
      <c r="H1799" s="52" t="s">
        <v>94</v>
      </c>
      <c r="I1799" s="52">
        <v>324.3</v>
      </c>
      <c r="J1799" s="49">
        <v>14864.53</v>
      </c>
      <c r="K1799" s="58">
        <v>314</v>
      </c>
      <c r="L1799" s="58">
        <v>14962.024067338822</v>
      </c>
      <c r="M1799" s="58">
        <v>0</v>
      </c>
      <c r="N1799" s="58">
        <v>0</v>
      </c>
      <c r="O1799" s="58">
        <v>314</v>
      </c>
      <c r="P1799" s="53">
        <v>14962.024067338822</v>
      </c>
      <c r="Q1799" s="65">
        <v>14864.53</v>
      </c>
      <c r="R1799" s="65">
        <v>0</v>
      </c>
      <c r="S1799" s="65">
        <v>0</v>
      </c>
      <c r="T1799" s="65">
        <v>97.494067338820969</v>
      </c>
      <c r="U1799" s="58">
        <v>0</v>
      </c>
      <c r="V1799" s="65">
        <v>0</v>
      </c>
      <c r="W1799" s="65">
        <v>0</v>
      </c>
      <c r="X1799" s="65">
        <v>14865</v>
      </c>
      <c r="Y1799" s="65">
        <v>0</v>
      </c>
      <c r="Z1799" s="51">
        <v>0</v>
      </c>
      <c r="AA1799" s="51">
        <v>0</v>
      </c>
      <c r="AB1799" s="102">
        <v>0</v>
      </c>
      <c r="AC1799" s="81">
        <f t="shared" si="87"/>
        <v>344.40973919210609</v>
      </c>
      <c r="AD1799" s="82">
        <f t="shared" si="88"/>
        <v>46.328571428571429</v>
      </c>
      <c r="AE1799" s="218">
        <v>-6.5588395555608529E-3</v>
      </c>
      <c r="AF1799">
        <v>10</v>
      </c>
      <c r="AH1799" t="str">
        <f t="shared" si="86"/>
        <v>Mahua BMC</v>
      </c>
      <c r="AJ1799" s="72">
        <v>0</v>
      </c>
      <c r="AK1799" s="72"/>
      <c r="AL1799" s="72"/>
      <c r="AM1799" s="72"/>
    </row>
    <row r="1800" spans="1:39" x14ac:dyDescent="0.25">
      <c r="A1800" s="37" t="s">
        <v>62</v>
      </c>
      <c r="B1800" s="66" t="s">
        <v>1615</v>
      </c>
      <c r="C1800" s="41">
        <v>1061</v>
      </c>
      <c r="D1800" s="41" t="s">
        <v>1452</v>
      </c>
      <c r="E1800" s="41">
        <v>10610003</v>
      </c>
      <c r="F1800" s="85" t="s">
        <v>1461</v>
      </c>
      <c r="G1800" s="39" t="s">
        <v>93</v>
      </c>
      <c r="H1800" s="52" t="s">
        <v>94</v>
      </c>
      <c r="I1800" s="52">
        <v>356.60000000000008</v>
      </c>
      <c r="J1800" s="49">
        <v>14396.53</v>
      </c>
      <c r="K1800" s="58">
        <v>379.7</v>
      </c>
      <c r="L1800" s="58">
        <v>15418.020380422</v>
      </c>
      <c r="M1800" s="58">
        <v>0</v>
      </c>
      <c r="N1800" s="58">
        <v>0</v>
      </c>
      <c r="O1800" s="58">
        <v>379.7</v>
      </c>
      <c r="P1800" s="53">
        <v>15418.020380422</v>
      </c>
      <c r="Q1800" s="65">
        <v>14396.53</v>
      </c>
      <c r="R1800" s="65">
        <v>6389</v>
      </c>
      <c r="S1800" s="65">
        <v>0</v>
      </c>
      <c r="T1800" s="65">
        <v>1021.4903804219994</v>
      </c>
      <c r="U1800" s="58">
        <v>0</v>
      </c>
      <c r="V1800" s="65">
        <v>0</v>
      </c>
      <c r="W1800" s="65">
        <v>0</v>
      </c>
      <c r="X1800" s="65">
        <v>8008</v>
      </c>
      <c r="Y1800" s="65">
        <v>0</v>
      </c>
      <c r="Z1800" s="51">
        <v>0</v>
      </c>
      <c r="AA1800" s="51">
        <v>0</v>
      </c>
      <c r="AB1800" s="102">
        <v>0</v>
      </c>
      <c r="AC1800" s="81">
        <f t="shared" si="87"/>
        <v>277.27248468872676</v>
      </c>
      <c r="AD1800" s="82">
        <f t="shared" si="88"/>
        <v>50.942857142857157</v>
      </c>
      <c r="AE1800" s="218">
        <v>-7.0953929899913337E-2</v>
      </c>
      <c r="AF1800">
        <v>3</v>
      </c>
      <c r="AH1800" t="str">
        <f t="shared" si="86"/>
        <v>Mahua BMC</v>
      </c>
      <c r="AJ1800" s="72">
        <v>0</v>
      </c>
      <c r="AK1800" s="72"/>
      <c r="AL1800" s="72"/>
      <c r="AM1800" s="72"/>
    </row>
    <row r="1801" spans="1:39" x14ac:dyDescent="0.25">
      <c r="A1801" s="37" t="s">
        <v>62</v>
      </c>
      <c r="B1801" s="66" t="s">
        <v>1615</v>
      </c>
      <c r="C1801" s="41">
        <v>1061</v>
      </c>
      <c r="D1801" s="41" t="s">
        <v>1452</v>
      </c>
      <c r="E1801" s="41">
        <v>10610004</v>
      </c>
      <c r="F1801" s="85" t="s">
        <v>1462</v>
      </c>
      <c r="G1801" s="39" t="s">
        <v>93</v>
      </c>
      <c r="H1801" s="52" t="s">
        <v>94</v>
      </c>
      <c r="I1801" s="52">
        <v>173.1</v>
      </c>
      <c r="J1801" s="49">
        <v>7384.6100000000006</v>
      </c>
      <c r="K1801" s="58">
        <v>169.6</v>
      </c>
      <c r="L1801" s="58">
        <v>7402.2411970893008</v>
      </c>
      <c r="M1801" s="58">
        <v>3.2000000000000011</v>
      </c>
      <c r="N1801" s="58">
        <v>133.09638724800001</v>
      </c>
      <c r="O1801" s="58">
        <v>172.79999999999998</v>
      </c>
      <c r="P1801" s="53">
        <v>7535.3375843373005</v>
      </c>
      <c r="Q1801" s="65">
        <v>7384.6100000000006</v>
      </c>
      <c r="R1801" s="65">
        <v>0</v>
      </c>
      <c r="S1801" s="65">
        <v>133.09638724800001</v>
      </c>
      <c r="T1801" s="65">
        <v>150.72758433729996</v>
      </c>
      <c r="U1801" s="58">
        <v>0</v>
      </c>
      <c r="V1801" s="65">
        <v>0</v>
      </c>
      <c r="W1801" s="65">
        <v>0</v>
      </c>
      <c r="X1801" s="65">
        <v>7252</v>
      </c>
      <c r="Y1801" s="65">
        <v>0</v>
      </c>
      <c r="Z1801" s="51">
        <v>0</v>
      </c>
      <c r="AA1801" s="51">
        <v>0</v>
      </c>
      <c r="AB1801" s="102">
        <v>0</v>
      </c>
      <c r="AC1801" s="81">
        <f t="shared" si="87"/>
        <v>449.56106400924318</v>
      </c>
      <c r="AD1801" s="82">
        <f t="shared" si="88"/>
        <v>24.728571428571428</v>
      </c>
      <c r="AE1801" s="218">
        <v>-2.041104192872744E-2</v>
      </c>
      <c r="AF1801">
        <v>4</v>
      </c>
      <c r="AH1801" t="str">
        <f t="shared" si="86"/>
        <v>Mahua BMC</v>
      </c>
      <c r="AJ1801" s="72">
        <v>0</v>
      </c>
      <c r="AK1801" s="72"/>
      <c r="AL1801" s="72"/>
      <c r="AM1801" s="72"/>
    </row>
    <row r="1802" spans="1:39" x14ac:dyDescent="0.25">
      <c r="A1802" s="37" t="s">
        <v>62</v>
      </c>
      <c r="B1802" s="66" t="s">
        <v>1615</v>
      </c>
      <c r="C1802" s="41">
        <v>1061</v>
      </c>
      <c r="D1802" s="41" t="s">
        <v>1452</v>
      </c>
      <c r="E1802" s="41">
        <v>10610005</v>
      </c>
      <c r="F1802" s="85" t="s">
        <v>467</v>
      </c>
      <c r="G1802" s="39" t="s">
        <v>93</v>
      </c>
      <c r="H1802" s="52" t="s">
        <v>94</v>
      </c>
      <c r="I1802" s="52">
        <v>403.8</v>
      </c>
      <c r="J1802" s="49">
        <v>16975.249999999996</v>
      </c>
      <c r="K1802" s="58">
        <v>403.50000000000006</v>
      </c>
      <c r="L1802" s="58">
        <v>17624.384505675011</v>
      </c>
      <c r="M1802" s="58">
        <v>0</v>
      </c>
      <c r="N1802" s="58">
        <v>0</v>
      </c>
      <c r="O1802" s="58">
        <v>403.50000000000006</v>
      </c>
      <c r="P1802" s="53">
        <v>17624.384505675011</v>
      </c>
      <c r="Q1802" s="65">
        <v>16975.249999999996</v>
      </c>
      <c r="R1802" s="65">
        <v>5257</v>
      </c>
      <c r="S1802" s="65">
        <v>0</v>
      </c>
      <c r="T1802" s="65">
        <v>649.13450567501422</v>
      </c>
      <c r="U1802" s="58">
        <v>0</v>
      </c>
      <c r="V1802" s="65">
        <v>0</v>
      </c>
      <c r="W1802" s="65">
        <v>0</v>
      </c>
      <c r="X1802" s="65">
        <v>11718</v>
      </c>
      <c r="Y1802" s="65">
        <v>0</v>
      </c>
      <c r="Z1802" s="51">
        <v>0</v>
      </c>
      <c r="AA1802" s="51">
        <v>0</v>
      </c>
      <c r="AB1802" s="102">
        <v>0</v>
      </c>
      <c r="AC1802" s="81">
        <f t="shared" si="87"/>
        <v>249.03759534422974</v>
      </c>
      <c r="AD1802" s="82">
        <f t="shared" si="88"/>
        <v>57.68571428571429</v>
      </c>
      <c r="AE1802" s="218">
        <v>-3.8240055709047843E-2</v>
      </c>
      <c r="AF1802">
        <v>4</v>
      </c>
      <c r="AH1802" t="str">
        <f t="shared" si="86"/>
        <v>Mahua BMC</v>
      </c>
      <c r="AJ1802" s="72">
        <v>0</v>
      </c>
      <c r="AK1802" s="72"/>
      <c r="AL1802" s="72"/>
      <c r="AM1802" s="72"/>
    </row>
    <row r="1803" spans="1:39" x14ac:dyDescent="0.25">
      <c r="A1803" s="37" t="s">
        <v>62</v>
      </c>
      <c r="B1803" s="66" t="s">
        <v>1615</v>
      </c>
      <c r="C1803" s="41">
        <v>1061</v>
      </c>
      <c r="D1803" s="41" t="s">
        <v>1452</v>
      </c>
      <c r="E1803" s="41">
        <v>10610006</v>
      </c>
      <c r="F1803" s="85" t="s">
        <v>1379</v>
      </c>
      <c r="G1803" s="39" t="s">
        <v>93</v>
      </c>
      <c r="H1803" s="52" t="s">
        <v>94</v>
      </c>
      <c r="I1803" s="52">
        <v>362.3</v>
      </c>
      <c r="J1803" s="49">
        <v>17338.28</v>
      </c>
      <c r="K1803" s="58">
        <v>387.6</v>
      </c>
      <c r="L1803" s="58">
        <v>18840.643799041001</v>
      </c>
      <c r="M1803" s="58">
        <v>3</v>
      </c>
      <c r="N1803" s="58">
        <v>132.84818316000002</v>
      </c>
      <c r="O1803" s="58">
        <v>390.6</v>
      </c>
      <c r="P1803" s="53">
        <v>18973.491982201002</v>
      </c>
      <c r="Q1803" s="65">
        <v>17338.28</v>
      </c>
      <c r="R1803" s="65">
        <v>0</v>
      </c>
      <c r="S1803" s="65">
        <v>132.84818316000002</v>
      </c>
      <c r="T1803" s="65">
        <v>1635.2119822010027</v>
      </c>
      <c r="U1803" s="58">
        <v>0</v>
      </c>
      <c r="V1803" s="65">
        <v>0</v>
      </c>
      <c r="W1803" s="65">
        <v>0</v>
      </c>
      <c r="X1803" s="65">
        <v>17205</v>
      </c>
      <c r="Y1803" s="65">
        <v>0</v>
      </c>
      <c r="Z1803" s="51">
        <v>0</v>
      </c>
      <c r="AA1803" s="51">
        <v>0</v>
      </c>
      <c r="AB1803" s="102">
        <v>0</v>
      </c>
      <c r="AC1803" s="81">
        <f t="shared" si="87"/>
        <v>323.22037847088046</v>
      </c>
      <c r="AD1803" s="82">
        <f t="shared" si="88"/>
        <v>51.75714285714286</v>
      </c>
      <c r="AE1803" s="218">
        <v>-9.4312237557647172E-2</v>
      </c>
      <c r="AF1803">
        <v>12</v>
      </c>
      <c r="AH1803" t="str">
        <f t="shared" si="86"/>
        <v>Mahua BMC</v>
      </c>
      <c r="AJ1803" s="72">
        <v>0</v>
      </c>
      <c r="AK1803" s="72"/>
      <c r="AL1803" s="72"/>
      <c r="AM1803" s="72"/>
    </row>
    <row r="1804" spans="1:39" x14ac:dyDescent="0.25">
      <c r="A1804" s="37" t="s">
        <v>62</v>
      </c>
      <c r="B1804" s="66" t="s">
        <v>1615</v>
      </c>
      <c r="C1804" s="41">
        <v>1061</v>
      </c>
      <c r="D1804" s="41" t="s">
        <v>1452</v>
      </c>
      <c r="E1804" s="41">
        <v>10610007</v>
      </c>
      <c r="F1804" s="85" t="s">
        <v>1380</v>
      </c>
      <c r="G1804" s="39" t="s">
        <v>93</v>
      </c>
      <c r="H1804" s="52" t="s">
        <v>94</v>
      </c>
      <c r="I1804" s="52">
        <v>291.8</v>
      </c>
      <c r="J1804" s="49">
        <v>14135.87</v>
      </c>
      <c r="K1804" s="58">
        <v>273.60000000000002</v>
      </c>
      <c r="L1804" s="58">
        <v>13962.266154850939</v>
      </c>
      <c r="M1804" s="58">
        <v>5.4999999999999991</v>
      </c>
      <c r="N1804" s="58">
        <v>304.69156489379998</v>
      </c>
      <c r="O1804" s="58">
        <v>279.10000000000002</v>
      </c>
      <c r="P1804" s="53">
        <v>14266.957719744738</v>
      </c>
      <c r="Q1804" s="65">
        <v>14135.87</v>
      </c>
      <c r="R1804" s="65">
        <v>0</v>
      </c>
      <c r="S1804" s="65">
        <v>304.69156489379998</v>
      </c>
      <c r="T1804" s="65">
        <v>131.08771974473711</v>
      </c>
      <c r="U1804" s="58">
        <v>0</v>
      </c>
      <c r="V1804" s="65">
        <v>0</v>
      </c>
      <c r="W1804" s="65">
        <v>0</v>
      </c>
      <c r="X1804" s="65">
        <v>13831</v>
      </c>
      <c r="Y1804" s="65">
        <v>0</v>
      </c>
      <c r="Z1804" s="51">
        <v>0</v>
      </c>
      <c r="AA1804" s="51">
        <v>0</v>
      </c>
      <c r="AB1804" s="102">
        <v>0</v>
      </c>
      <c r="AC1804" s="81">
        <f t="shared" si="87"/>
        <v>395.49432035640848</v>
      </c>
      <c r="AD1804" s="82">
        <f t="shared" si="88"/>
        <v>41.68571428571429</v>
      </c>
      <c r="AE1804" s="218">
        <v>-9.2734101080964321E-3</v>
      </c>
      <c r="AF1804">
        <v>13</v>
      </c>
      <c r="AH1804" t="str">
        <f t="shared" si="86"/>
        <v>Mahua BMC</v>
      </c>
      <c r="AJ1804" s="72">
        <v>0</v>
      </c>
      <c r="AK1804" s="72"/>
      <c r="AL1804" s="72"/>
      <c r="AM1804" s="72"/>
    </row>
    <row r="1805" spans="1:39" x14ac:dyDescent="0.25">
      <c r="A1805" s="37" t="s">
        <v>62</v>
      </c>
      <c r="B1805" s="66" t="s">
        <v>1615</v>
      </c>
      <c r="C1805" s="41">
        <v>1061</v>
      </c>
      <c r="D1805" s="41" t="s">
        <v>1452</v>
      </c>
      <c r="E1805" s="41">
        <v>10610008</v>
      </c>
      <c r="F1805" s="85" t="s">
        <v>1381</v>
      </c>
      <c r="G1805" s="39" t="s">
        <v>93</v>
      </c>
      <c r="H1805" s="52" t="s">
        <v>94</v>
      </c>
      <c r="I1805" s="52">
        <v>594.80000000000007</v>
      </c>
      <c r="J1805" s="49">
        <v>25589.989999999998</v>
      </c>
      <c r="K1805" s="58">
        <v>630.5</v>
      </c>
      <c r="L1805" s="58">
        <v>27175.192848405648</v>
      </c>
      <c r="M1805" s="58">
        <v>0</v>
      </c>
      <c r="N1805" s="58">
        <v>0</v>
      </c>
      <c r="O1805" s="58">
        <v>630.5</v>
      </c>
      <c r="P1805" s="53">
        <v>27175.192848405648</v>
      </c>
      <c r="Q1805" s="65">
        <v>25589.989999999998</v>
      </c>
      <c r="R1805" s="65">
        <v>0</v>
      </c>
      <c r="S1805" s="65">
        <v>0</v>
      </c>
      <c r="T1805" s="65">
        <v>1585.20284840565</v>
      </c>
      <c r="U1805" s="58">
        <v>0</v>
      </c>
      <c r="V1805" s="65">
        <v>0</v>
      </c>
      <c r="W1805" s="65">
        <v>0</v>
      </c>
      <c r="X1805" s="65">
        <v>25590</v>
      </c>
      <c r="Y1805" s="65">
        <v>0</v>
      </c>
      <c r="Z1805" s="51">
        <v>0</v>
      </c>
      <c r="AA1805" s="51">
        <v>0</v>
      </c>
      <c r="AB1805" s="102">
        <v>0</v>
      </c>
      <c r="AC1805" s="81">
        <f t="shared" si="87"/>
        <v>90.520072225958273</v>
      </c>
      <c r="AD1805" s="82">
        <f t="shared" si="88"/>
        <v>84.971428571428575</v>
      </c>
      <c r="AE1805" s="218">
        <v>-6.1946208201161868E-2</v>
      </c>
      <c r="AF1805">
        <v>2</v>
      </c>
      <c r="AH1805" t="str">
        <f t="shared" si="86"/>
        <v>Mahua BMC</v>
      </c>
      <c r="AJ1805" s="72">
        <v>0</v>
      </c>
      <c r="AK1805" s="72"/>
      <c r="AL1805" s="72"/>
      <c r="AM1805" s="72"/>
    </row>
    <row r="1806" spans="1:39" x14ac:dyDescent="0.25">
      <c r="A1806" s="37" t="s">
        <v>62</v>
      </c>
      <c r="B1806" s="66" t="s">
        <v>1615</v>
      </c>
      <c r="C1806" s="41">
        <v>1061</v>
      </c>
      <c r="D1806" s="41" t="s">
        <v>1452</v>
      </c>
      <c r="E1806" s="41">
        <v>10610009</v>
      </c>
      <c r="F1806" s="85" t="s">
        <v>1399</v>
      </c>
      <c r="G1806" s="39" t="s">
        <v>93</v>
      </c>
      <c r="H1806" s="52" t="s">
        <v>94</v>
      </c>
      <c r="I1806" s="52">
        <v>905.2</v>
      </c>
      <c r="J1806" s="49">
        <v>39930.439999999995</v>
      </c>
      <c r="K1806" s="58">
        <v>919.5</v>
      </c>
      <c r="L1806" s="58">
        <v>39746.249839732714</v>
      </c>
      <c r="M1806" s="58">
        <v>5.9</v>
      </c>
      <c r="N1806" s="58">
        <v>250.79847368399999</v>
      </c>
      <c r="O1806" s="58">
        <v>925.4</v>
      </c>
      <c r="P1806" s="53">
        <v>39997.048313416715</v>
      </c>
      <c r="Q1806" s="65">
        <v>39930.439999999995</v>
      </c>
      <c r="R1806" s="65">
        <v>0</v>
      </c>
      <c r="S1806" s="65">
        <v>250.79847368399999</v>
      </c>
      <c r="T1806" s="65">
        <v>66.608313416720193</v>
      </c>
      <c r="U1806" s="58">
        <v>2600</v>
      </c>
      <c r="V1806" s="65">
        <v>0</v>
      </c>
      <c r="W1806" s="65">
        <v>0</v>
      </c>
      <c r="X1806" s="65">
        <v>37080</v>
      </c>
      <c r="Y1806" s="65">
        <v>0</v>
      </c>
      <c r="Z1806" s="51">
        <v>0</v>
      </c>
      <c r="AA1806" s="51">
        <v>0</v>
      </c>
      <c r="AB1806" s="102" t="s">
        <v>66</v>
      </c>
      <c r="AC1806" s="81">
        <f t="shared" si="87"/>
        <v>0</v>
      </c>
      <c r="AD1806" s="82">
        <f t="shared" si="88"/>
        <v>0</v>
      </c>
      <c r="AE1806" s="218">
        <v>-1.6681086764062756E-3</v>
      </c>
      <c r="AF1806">
        <v>34</v>
      </c>
      <c r="AH1806" t="str">
        <f t="shared" si="86"/>
        <v>Mahua BMC</v>
      </c>
      <c r="AJ1806" s="72">
        <v>0</v>
      </c>
      <c r="AK1806" s="72"/>
      <c r="AL1806" s="72"/>
      <c r="AM1806" s="72"/>
    </row>
    <row r="1807" spans="1:39" x14ac:dyDescent="0.25">
      <c r="A1807" s="37" t="s">
        <v>62</v>
      </c>
      <c r="B1807" s="66" t="s">
        <v>1615</v>
      </c>
      <c r="C1807" s="41">
        <v>1061</v>
      </c>
      <c r="D1807" s="41" t="s">
        <v>1452</v>
      </c>
      <c r="E1807" s="41">
        <v>10610010</v>
      </c>
      <c r="F1807" s="85" t="s">
        <v>1382</v>
      </c>
      <c r="G1807" s="39" t="s">
        <v>93</v>
      </c>
      <c r="H1807" s="52" t="s">
        <v>94</v>
      </c>
      <c r="I1807" s="52">
        <v>474.00000000000006</v>
      </c>
      <c r="J1807" s="49">
        <v>19345.96</v>
      </c>
      <c r="K1807" s="58">
        <v>442.79999999999995</v>
      </c>
      <c r="L1807" s="58">
        <v>18451.718363213433</v>
      </c>
      <c r="M1807" s="58">
        <v>0</v>
      </c>
      <c r="N1807" s="58">
        <v>0</v>
      </c>
      <c r="O1807" s="58">
        <v>442.79999999999995</v>
      </c>
      <c r="P1807" s="53">
        <v>18451.718363213433</v>
      </c>
      <c r="Q1807" s="65">
        <v>18451.718363213433</v>
      </c>
      <c r="R1807" s="65">
        <v>0</v>
      </c>
      <c r="S1807" s="65">
        <v>0</v>
      </c>
      <c r="T1807" s="65">
        <v>0</v>
      </c>
      <c r="U1807" s="58">
        <v>0</v>
      </c>
      <c r="V1807" s="65">
        <v>0</v>
      </c>
      <c r="W1807" s="65">
        <v>0</v>
      </c>
      <c r="X1807" s="65">
        <v>18451</v>
      </c>
      <c r="Y1807" s="65">
        <v>0</v>
      </c>
      <c r="Z1807" s="51">
        <v>0</v>
      </c>
      <c r="AA1807" s="51">
        <v>895</v>
      </c>
      <c r="AB1807" s="102">
        <v>0</v>
      </c>
      <c r="AC1807" s="81">
        <f t="shared" si="87"/>
        <v>184.48046244725731</v>
      </c>
      <c r="AD1807" s="82">
        <f t="shared" si="88"/>
        <v>67.714285714285722</v>
      </c>
      <c r="AE1807" s="218">
        <v>4.6223688914200499E-2</v>
      </c>
      <c r="AF1807">
        <v>9</v>
      </c>
      <c r="AH1807" t="str">
        <f t="shared" si="86"/>
        <v>Mahua BMC</v>
      </c>
      <c r="AJ1807" s="72">
        <v>0</v>
      </c>
      <c r="AK1807" s="72"/>
      <c r="AL1807" s="72"/>
      <c r="AM1807" s="72"/>
    </row>
    <row r="1808" spans="1:39" x14ac:dyDescent="0.25">
      <c r="A1808" s="37" t="s">
        <v>62</v>
      </c>
      <c r="B1808" s="66" t="s">
        <v>1615</v>
      </c>
      <c r="C1808" s="41">
        <v>1061</v>
      </c>
      <c r="D1808" s="41" t="s">
        <v>1452</v>
      </c>
      <c r="E1808" s="41">
        <v>10610011</v>
      </c>
      <c r="F1808" s="85" t="s">
        <v>1463</v>
      </c>
      <c r="G1808" s="39" t="s">
        <v>635</v>
      </c>
      <c r="H1808" s="52" t="s">
        <v>99</v>
      </c>
      <c r="I1808" s="52">
        <v>244.9</v>
      </c>
      <c r="J1808" s="49">
        <v>9145.24</v>
      </c>
      <c r="K1808" s="58">
        <v>0</v>
      </c>
      <c r="L1808" s="58">
        <v>0</v>
      </c>
      <c r="M1808" s="58">
        <v>0</v>
      </c>
      <c r="N1808" s="58">
        <v>0</v>
      </c>
      <c r="O1808" s="58">
        <v>0</v>
      </c>
      <c r="P1808" s="53">
        <v>0</v>
      </c>
      <c r="Q1808" s="65">
        <v>9145.24</v>
      </c>
      <c r="R1808" s="65">
        <v>0</v>
      </c>
      <c r="S1808" s="65">
        <v>0</v>
      </c>
      <c r="T1808" s="65">
        <v>0</v>
      </c>
      <c r="U1808" s="58">
        <v>0</v>
      </c>
      <c r="V1808" s="65">
        <v>0</v>
      </c>
      <c r="W1808" s="65">
        <v>0</v>
      </c>
      <c r="X1808" s="65">
        <v>0</v>
      </c>
      <c r="Y1808" s="65">
        <v>0</v>
      </c>
      <c r="Z1808" s="51">
        <v>9145.24</v>
      </c>
      <c r="AA1808" s="51">
        <v>0</v>
      </c>
      <c r="AB1808" s="102">
        <v>0</v>
      </c>
      <c r="AC1808" s="81">
        <f t="shared" si="87"/>
        <v>339.89373001224982</v>
      </c>
      <c r="AD1808" s="82">
        <f t="shared" si="88"/>
        <v>34.985714285714288</v>
      </c>
      <c r="AE1808" s="218">
        <v>0</v>
      </c>
      <c r="AF1808">
        <v>0</v>
      </c>
      <c r="AH1808" t="str">
        <f t="shared" si="86"/>
        <v>Mahua BMC</v>
      </c>
      <c r="AJ1808" s="72">
        <v>0</v>
      </c>
      <c r="AK1808" s="72"/>
      <c r="AL1808" s="72"/>
      <c r="AM1808" s="72"/>
    </row>
    <row r="1809" spans="1:39" x14ac:dyDescent="0.25">
      <c r="A1809" s="37" t="s">
        <v>62</v>
      </c>
      <c r="B1809" s="66" t="s">
        <v>1615</v>
      </c>
      <c r="C1809" s="41">
        <v>1061</v>
      </c>
      <c r="D1809" s="41" t="s">
        <v>1452</v>
      </c>
      <c r="E1809" s="41">
        <v>10610013</v>
      </c>
      <c r="F1809" s="85" t="s">
        <v>1464</v>
      </c>
      <c r="G1809" s="39" t="s">
        <v>635</v>
      </c>
      <c r="H1809" s="52" t="s">
        <v>99</v>
      </c>
      <c r="I1809" s="52">
        <v>287.2</v>
      </c>
      <c r="J1809" s="49">
        <v>10611.400000000001</v>
      </c>
      <c r="K1809" s="58">
        <v>0</v>
      </c>
      <c r="L1809" s="58">
        <v>0</v>
      </c>
      <c r="M1809" s="58">
        <v>0</v>
      </c>
      <c r="N1809" s="58">
        <v>0</v>
      </c>
      <c r="O1809" s="58">
        <v>0</v>
      </c>
      <c r="P1809" s="53">
        <v>0</v>
      </c>
      <c r="Q1809" s="65">
        <v>10611.400000000001</v>
      </c>
      <c r="R1809" s="65">
        <v>0</v>
      </c>
      <c r="S1809" s="65">
        <v>0</v>
      </c>
      <c r="T1809" s="65">
        <v>0</v>
      </c>
      <c r="U1809" s="58">
        <v>0</v>
      </c>
      <c r="V1809" s="65">
        <v>0</v>
      </c>
      <c r="W1809" s="65">
        <v>0</v>
      </c>
      <c r="X1809" s="65">
        <v>0</v>
      </c>
      <c r="Y1809" s="65">
        <v>0</v>
      </c>
      <c r="Z1809" s="51">
        <v>10611.400000000001</v>
      </c>
      <c r="AA1809" s="51">
        <v>0</v>
      </c>
      <c r="AB1809" s="102">
        <v>0</v>
      </c>
      <c r="AC1809" s="81">
        <f t="shared" si="87"/>
        <v>305.0408022284123</v>
      </c>
      <c r="AD1809" s="82">
        <f t="shared" si="88"/>
        <v>41.028571428571425</v>
      </c>
      <c r="AE1809" s="218">
        <v>0</v>
      </c>
      <c r="AF1809">
        <v>0</v>
      </c>
      <c r="AH1809" t="str">
        <f t="shared" si="86"/>
        <v>Mahua BMC</v>
      </c>
      <c r="AJ1809" s="72">
        <v>0</v>
      </c>
      <c r="AK1809" s="72"/>
      <c r="AL1809" s="72"/>
      <c r="AM1809" s="72"/>
    </row>
    <row r="1810" spans="1:39" x14ac:dyDescent="0.25">
      <c r="A1810" s="37" t="s">
        <v>62</v>
      </c>
      <c r="B1810" s="66" t="s">
        <v>1615</v>
      </c>
      <c r="C1810" s="41">
        <v>1061</v>
      </c>
      <c r="D1810" s="41" t="s">
        <v>1452</v>
      </c>
      <c r="E1810" s="41">
        <v>10610015</v>
      </c>
      <c r="F1810" s="85" t="s">
        <v>1562</v>
      </c>
      <c r="G1810" s="39" t="s">
        <v>635</v>
      </c>
      <c r="H1810" s="52" t="s">
        <v>99</v>
      </c>
      <c r="I1810" s="52">
        <v>254.69999999999996</v>
      </c>
      <c r="J1810" s="49">
        <v>8861.8000000000011</v>
      </c>
      <c r="K1810" s="58">
        <v>0</v>
      </c>
      <c r="L1810" s="58">
        <v>0</v>
      </c>
      <c r="M1810" s="58">
        <v>0</v>
      </c>
      <c r="N1810" s="58">
        <v>0</v>
      </c>
      <c r="O1810" s="58">
        <v>0</v>
      </c>
      <c r="P1810" s="53">
        <v>0</v>
      </c>
      <c r="Q1810" s="65">
        <v>8861.8000000000011</v>
      </c>
      <c r="R1810" s="65">
        <v>0</v>
      </c>
      <c r="S1810" s="65">
        <v>0</v>
      </c>
      <c r="T1810" s="65">
        <v>0</v>
      </c>
      <c r="U1810" s="58">
        <v>0</v>
      </c>
      <c r="V1810" s="65">
        <v>0</v>
      </c>
      <c r="W1810" s="65">
        <v>0</v>
      </c>
      <c r="X1810" s="65">
        <v>0</v>
      </c>
      <c r="Y1810" s="65">
        <v>0</v>
      </c>
      <c r="Z1810" s="51">
        <v>8861.8000000000011</v>
      </c>
      <c r="AA1810" s="51">
        <v>0</v>
      </c>
      <c r="AB1810" s="102">
        <v>0</v>
      </c>
      <c r="AC1810" s="81">
        <f t="shared" si="87"/>
        <v>309.86725873576768</v>
      </c>
      <c r="AD1810" s="82">
        <f t="shared" si="88"/>
        <v>36.385714285714279</v>
      </c>
      <c r="AE1810" s="218">
        <v>0</v>
      </c>
      <c r="AF1810">
        <v>0</v>
      </c>
      <c r="AH1810" t="str">
        <f t="shared" si="86"/>
        <v>Mahua BMC</v>
      </c>
      <c r="AJ1810" s="72">
        <v>0</v>
      </c>
      <c r="AK1810" s="72"/>
      <c r="AL1810" s="72"/>
      <c r="AM1810" s="72"/>
    </row>
    <row r="1811" spans="1:39" x14ac:dyDescent="0.25">
      <c r="A1811" s="37" t="s">
        <v>62</v>
      </c>
      <c r="B1811" s="66" t="s">
        <v>1615</v>
      </c>
      <c r="C1811" s="41">
        <v>1061</v>
      </c>
      <c r="D1811" s="41" t="s">
        <v>1452</v>
      </c>
      <c r="E1811" s="41">
        <v>10610017</v>
      </c>
      <c r="F1811" s="85" t="s">
        <v>1465</v>
      </c>
      <c r="G1811" s="39" t="s">
        <v>93</v>
      </c>
      <c r="H1811" s="52" t="s">
        <v>94</v>
      </c>
      <c r="I1811" s="52">
        <v>136</v>
      </c>
      <c r="J1811" s="49">
        <v>5036.82</v>
      </c>
      <c r="K1811" s="58">
        <v>141</v>
      </c>
      <c r="L1811" s="58">
        <v>5788.4813106530009</v>
      </c>
      <c r="M1811" s="58">
        <v>0</v>
      </c>
      <c r="N1811" s="58">
        <v>0</v>
      </c>
      <c r="O1811" s="58">
        <v>141</v>
      </c>
      <c r="P1811" s="53">
        <v>5788.4813106530009</v>
      </c>
      <c r="Q1811" s="65">
        <v>5036.82</v>
      </c>
      <c r="R1811" s="65">
        <v>1015</v>
      </c>
      <c r="S1811" s="65">
        <v>0</v>
      </c>
      <c r="T1811" s="65">
        <v>751.66131065300124</v>
      </c>
      <c r="U1811" s="58">
        <v>0</v>
      </c>
      <c r="V1811" s="65">
        <v>0</v>
      </c>
      <c r="W1811" s="65">
        <v>0</v>
      </c>
      <c r="X1811" s="65">
        <v>4022</v>
      </c>
      <c r="Y1811" s="65">
        <v>0</v>
      </c>
      <c r="Z1811" s="51">
        <v>0</v>
      </c>
      <c r="AA1811" s="51">
        <v>0</v>
      </c>
      <c r="AB1811" s="102" t="s">
        <v>66</v>
      </c>
      <c r="AC1811" s="81">
        <f t="shared" si="87"/>
        <v>417.75977647058818</v>
      </c>
      <c r="AD1811" s="82">
        <f t="shared" si="88"/>
        <v>19.428571428571427</v>
      </c>
      <c r="AE1811" s="218">
        <v>-0.14923330805011917</v>
      </c>
      <c r="AF1811">
        <v>6</v>
      </c>
      <c r="AH1811" t="str">
        <f t="shared" si="86"/>
        <v>Mahua BMC</v>
      </c>
      <c r="AJ1811" s="72">
        <v>0</v>
      </c>
      <c r="AK1811" s="72"/>
      <c r="AL1811" s="72"/>
      <c r="AM1811" s="72"/>
    </row>
    <row r="1812" spans="1:39" x14ac:dyDescent="0.25">
      <c r="A1812" s="37" t="s">
        <v>62</v>
      </c>
      <c r="B1812" s="66" t="s">
        <v>1615</v>
      </c>
      <c r="C1812" s="41">
        <v>1061</v>
      </c>
      <c r="D1812" s="41" t="s">
        <v>1452</v>
      </c>
      <c r="E1812" s="41">
        <v>10610018</v>
      </c>
      <c r="F1812" s="85" t="s">
        <v>1466</v>
      </c>
      <c r="G1812" s="39" t="s">
        <v>93</v>
      </c>
      <c r="H1812" s="52" t="s">
        <v>94</v>
      </c>
      <c r="I1812" s="52">
        <v>513.69999999999993</v>
      </c>
      <c r="J1812" s="49">
        <v>22652.84</v>
      </c>
      <c r="K1812" s="58">
        <v>361.20000000000005</v>
      </c>
      <c r="L1812" s="58">
        <v>15529.845587518003</v>
      </c>
      <c r="M1812" s="58">
        <v>0</v>
      </c>
      <c r="N1812" s="58">
        <v>0</v>
      </c>
      <c r="O1812" s="58">
        <v>361.20000000000005</v>
      </c>
      <c r="P1812" s="53">
        <v>15529.845587518003</v>
      </c>
      <c r="Q1812" s="65">
        <v>15529.845587518003</v>
      </c>
      <c r="R1812" s="65">
        <v>0</v>
      </c>
      <c r="S1812" s="65">
        <v>0</v>
      </c>
      <c r="T1812" s="65">
        <v>0</v>
      </c>
      <c r="U1812" s="58">
        <v>0</v>
      </c>
      <c r="V1812" s="65">
        <v>0</v>
      </c>
      <c r="W1812" s="65">
        <v>0</v>
      </c>
      <c r="X1812" s="65">
        <v>15530</v>
      </c>
      <c r="Y1812" s="65">
        <v>0</v>
      </c>
      <c r="Z1812" s="51">
        <v>0</v>
      </c>
      <c r="AA1812" s="51">
        <v>7123</v>
      </c>
      <c r="AB1812" s="102">
        <v>0</v>
      </c>
      <c r="AC1812" s="81">
        <f t="shared" si="87"/>
        <v>164.30695316332501</v>
      </c>
      <c r="AD1812" s="82">
        <f t="shared" si="88"/>
        <v>73.385714285714272</v>
      </c>
      <c r="AE1812" s="218">
        <v>0.31444156284518843</v>
      </c>
      <c r="AF1812">
        <v>7</v>
      </c>
      <c r="AH1812" t="str">
        <f t="shared" si="86"/>
        <v>Mahua BMC</v>
      </c>
      <c r="AJ1812" s="72">
        <v>0</v>
      </c>
      <c r="AK1812" s="72"/>
      <c r="AL1812" s="72"/>
      <c r="AM1812" s="72"/>
    </row>
    <row r="1813" spans="1:39" x14ac:dyDescent="0.25">
      <c r="A1813" s="37" t="s">
        <v>62</v>
      </c>
      <c r="B1813" s="66" t="s">
        <v>1615</v>
      </c>
      <c r="C1813" s="41">
        <v>1061</v>
      </c>
      <c r="D1813" s="41" t="s">
        <v>1452</v>
      </c>
      <c r="E1813" s="41">
        <v>10610019</v>
      </c>
      <c r="F1813" s="85" t="s">
        <v>1481</v>
      </c>
      <c r="G1813" s="39" t="s">
        <v>93</v>
      </c>
      <c r="H1813" s="52" t="s">
        <v>94</v>
      </c>
      <c r="I1813" s="52">
        <v>147.9</v>
      </c>
      <c r="J1813" s="49">
        <v>7394.81</v>
      </c>
      <c r="K1813" s="58">
        <v>96</v>
      </c>
      <c r="L1813" s="58">
        <v>5079.0639867623995</v>
      </c>
      <c r="M1813" s="58">
        <v>0</v>
      </c>
      <c r="N1813" s="58">
        <v>0</v>
      </c>
      <c r="O1813" s="58">
        <v>96</v>
      </c>
      <c r="P1813" s="53">
        <v>5079.0639867623995</v>
      </c>
      <c r="Q1813" s="65">
        <v>5079.0639867623995</v>
      </c>
      <c r="R1813" s="65">
        <v>0</v>
      </c>
      <c r="S1813" s="65">
        <v>0</v>
      </c>
      <c r="T1813" s="65">
        <v>0</v>
      </c>
      <c r="U1813" s="58">
        <v>0</v>
      </c>
      <c r="V1813" s="65">
        <v>0</v>
      </c>
      <c r="W1813" s="65">
        <v>0</v>
      </c>
      <c r="X1813" s="65">
        <v>5079</v>
      </c>
      <c r="Y1813" s="65">
        <v>0</v>
      </c>
      <c r="Z1813" s="51">
        <v>0</v>
      </c>
      <c r="AA1813" s="51">
        <v>2316</v>
      </c>
      <c r="AB1813" s="102">
        <v>0</v>
      </c>
      <c r="AC1813" s="81">
        <f t="shared" si="87"/>
        <v>552.0858148749154</v>
      </c>
      <c r="AD1813" s="82">
        <f t="shared" si="88"/>
        <v>21.12857142857143</v>
      </c>
      <c r="AE1813" s="218">
        <v>0.31315828442348087</v>
      </c>
      <c r="AF1813">
        <v>3</v>
      </c>
      <c r="AH1813" t="str">
        <f t="shared" si="86"/>
        <v>Mahua BMC</v>
      </c>
      <c r="AJ1813" s="72">
        <v>0</v>
      </c>
      <c r="AK1813" s="72"/>
      <c r="AL1813" s="72"/>
      <c r="AM1813" s="72"/>
    </row>
    <row r="1814" spans="1:39" x14ac:dyDescent="0.25">
      <c r="A1814" s="37" t="s">
        <v>62</v>
      </c>
      <c r="B1814" s="66" t="s">
        <v>1615</v>
      </c>
      <c r="C1814" s="41">
        <v>1061</v>
      </c>
      <c r="D1814" s="41" t="s">
        <v>1452</v>
      </c>
      <c r="E1814" s="41">
        <v>10610020</v>
      </c>
      <c r="F1814" s="85" t="s">
        <v>1467</v>
      </c>
      <c r="G1814" s="39" t="s">
        <v>93</v>
      </c>
      <c r="H1814" s="52" t="s">
        <v>94</v>
      </c>
      <c r="I1814" s="52">
        <v>387.49999999999994</v>
      </c>
      <c r="J1814" s="49">
        <v>15184.140000000001</v>
      </c>
      <c r="K1814" s="58">
        <v>391.3</v>
      </c>
      <c r="L1814" s="58">
        <v>15575.9865650417</v>
      </c>
      <c r="M1814" s="58">
        <v>0</v>
      </c>
      <c r="N1814" s="58">
        <v>0</v>
      </c>
      <c r="O1814" s="58">
        <v>391.3</v>
      </c>
      <c r="P1814" s="53">
        <v>15575.9865650417</v>
      </c>
      <c r="Q1814" s="65">
        <v>15184.140000000001</v>
      </c>
      <c r="R1814" s="65">
        <v>5182</v>
      </c>
      <c r="S1814" s="65">
        <v>0</v>
      </c>
      <c r="T1814" s="65">
        <v>391.84656504169834</v>
      </c>
      <c r="U1814" s="58">
        <v>0</v>
      </c>
      <c r="V1814" s="65">
        <v>0</v>
      </c>
      <c r="W1814" s="65">
        <v>0</v>
      </c>
      <c r="X1814" s="65">
        <v>10002</v>
      </c>
      <c r="Y1814" s="65">
        <v>0</v>
      </c>
      <c r="Z1814" s="51">
        <v>0</v>
      </c>
      <c r="AA1814" s="51">
        <v>0</v>
      </c>
      <c r="AB1814" s="102">
        <v>0</v>
      </c>
      <c r="AC1814" s="81">
        <f t="shared" si="87"/>
        <v>244.90548387096783</v>
      </c>
      <c r="AD1814" s="82">
        <f t="shared" si="88"/>
        <v>55.357142857142847</v>
      </c>
      <c r="AE1814" s="218">
        <v>-2.5806306122157615E-2</v>
      </c>
      <c r="AF1814">
        <v>11</v>
      </c>
      <c r="AH1814" t="str">
        <f t="shared" si="86"/>
        <v>Mahua BMC</v>
      </c>
      <c r="AJ1814" s="72">
        <v>0</v>
      </c>
      <c r="AK1814" s="72"/>
      <c r="AL1814" s="72"/>
      <c r="AM1814" s="72"/>
    </row>
    <row r="1815" spans="1:39" x14ac:dyDescent="0.25">
      <c r="A1815" s="37" t="s">
        <v>62</v>
      </c>
      <c r="B1815" s="66" t="s">
        <v>1615</v>
      </c>
      <c r="C1815" s="41">
        <v>1061</v>
      </c>
      <c r="D1815" s="41" t="s">
        <v>1452</v>
      </c>
      <c r="E1815" s="41">
        <v>10610022</v>
      </c>
      <c r="F1815" s="85" t="s">
        <v>1468</v>
      </c>
      <c r="G1815" s="39" t="s">
        <v>93</v>
      </c>
      <c r="H1815" s="52" t="s">
        <v>94</v>
      </c>
      <c r="I1815" s="52">
        <v>276.10000000000002</v>
      </c>
      <c r="J1815" s="49">
        <v>11439.830000000002</v>
      </c>
      <c r="K1815" s="58">
        <v>287.59999999999997</v>
      </c>
      <c r="L1815" s="58">
        <v>12159.540021506004</v>
      </c>
      <c r="M1815" s="58">
        <v>0</v>
      </c>
      <c r="N1815" s="58">
        <v>0</v>
      </c>
      <c r="O1815" s="58">
        <v>287.59999999999997</v>
      </c>
      <c r="P1815" s="53">
        <v>12159.540021506004</v>
      </c>
      <c r="Q1815" s="65">
        <v>11439.830000000002</v>
      </c>
      <c r="R1815" s="65">
        <v>2116</v>
      </c>
      <c r="S1815" s="65">
        <v>0</v>
      </c>
      <c r="T1815" s="65">
        <v>719.71002150600179</v>
      </c>
      <c r="U1815" s="58">
        <v>0</v>
      </c>
      <c r="V1815" s="65">
        <v>0</v>
      </c>
      <c r="W1815" s="65">
        <v>0</v>
      </c>
      <c r="X1815" s="65">
        <v>9324</v>
      </c>
      <c r="Y1815" s="65">
        <v>0</v>
      </c>
      <c r="Z1815" s="51">
        <v>0</v>
      </c>
      <c r="AA1815" s="51">
        <v>0</v>
      </c>
      <c r="AB1815" s="102">
        <v>0</v>
      </c>
      <c r="AC1815" s="81">
        <f t="shared" si="87"/>
        <v>351.27446120970666</v>
      </c>
      <c r="AD1815" s="82">
        <f t="shared" si="88"/>
        <v>39.442857142857143</v>
      </c>
      <c r="AE1815" s="218">
        <v>-6.2912650057387359E-2</v>
      </c>
      <c r="AF1815">
        <v>5</v>
      </c>
      <c r="AH1815" t="str">
        <f t="shared" ref="AH1815:AH1875" si="89">TEXT(D1815,"0000")</f>
        <v>Mahua BMC</v>
      </c>
      <c r="AJ1815" s="72">
        <v>0</v>
      </c>
      <c r="AK1815" s="72"/>
      <c r="AL1815" s="72"/>
      <c r="AM1815" s="72"/>
    </row>
    <row r="1816" spans="1:39" x14ac:dyDescent="0.25">
      <c r="A1816" s="37" t="s">
        <v>62</v>
      </c>
      <c r="B1816" s="66" t="s">
        <v>1615</v>
      </c>
      <c r="C1816" s="41">
        <v>1061</v>
      </c>
      <c r="D1816" s="41" t="s">
        <v>1452</v>
      </c>
      <c r="E1816" s="41">
        <v>10610024</v>
      </c>
      <c r="F1816" s="85" t="s">
        <v>1483</v>
      </c>
      <c r="G1816" s="39" t="s">
        <v>93</v>
      </c>
      <c r="H1816" s="52" t="s">
        <v>94</v>
      </c>
      <c r="I1816" s="52">
        <v>278.2</v>
      </c>
      <c r="J1816" s="49">
        <v>10518.790000000003</v>
      </c>
      <c r="K1816" s="58">
        <v>270.8</v>
      </c>
      <c r="L1816" s="58">
        <v>10223.977209210901</v>
      </c>
      <c r="M1816" s="58">
        <v>4.0999999999999996</v>
      </c>
      <c r="N1816" s="58">
        <v>161.21603520000002</v>
      </c>
      <c r="O1816" s="58">
        <v>274.90000000000003</v>
      </c>
      <c r="P1816" s="53">
        <v>10385.193244410901</v>
      </c>
      <c r="Q1816" s="65">
        <v>10385.193244410901</v>
      </c>
      <c r="R1816" s="65">
        <v>0</v>
      </c>
      <c r="S1816" s="65">
        <v>161.21603520000002</v>
      </c>
      <c r="T1816" s="65">
        <v>0</v>
      </c>
      <c r="U1816" s="58">
        <v>0</v>
      </c>
      <c r="V1816" s="65">
        <v>0</v>
      </c>
      <c r="W1816" s="65">
        <v>0</v>
      </c>
      <c r="X1816" s="65">
        <v>10224</v>
      </c>
      <c r="Y1816" s="65">
        <v>0</v>
      </c>
      <c r="Z1816" s="51">
        <v>0</v>
      </c>
      <c r="AA1816" s="51">
        <v>134</v>
      </c>
      <c r="AB1816" s="102">
        <v>0</v>
      </c>
      <c r="AC1816" s="81">
        <f t="shared" si="87"/>
        <v>318.96661552839697</v>
      </c>
      <c r="AD1816" s="82">
        <f t="shared" si="88"/>
        <v>39.74285714285714</v>
      </c>
      <c r="AE1816" s="218">
        <v>1.2700772198047683E-2</v>
      </c>
      <c r="AF1816">
        <v>8</v>
      </c>
      <c r="AH1816" t="str">
        <f t="shared" si="89"/>
        <v>Mahua BMC</v>
      </c>
      <c r="AJ1816" s="72">
        <v>0</v>
      </c>
      <c r="AK1816" s="72"/>
      <c r="AL1816" s="72"/>
      <c r="AM1816" s="72"/>
    </row>
    <row r="1817" spans="1:39" x14ac:dyDescent="0.25">
      <c r="A1817" s="37" t="s">
        <v>62</v>
      </c>
      <c r="B1817" s="66" t="s">
        <v>1615</v>
      </c>
      <c r="C1817" s="41">
        <v>1061</v>
      </c>
      <c r="D1817" s="41" t="s">
        <v>1452</v>
      </c>
      <c r="E1817" s="41">
        <v>10610025</v>
      </c>
      <c r="F1817" s="85" t="s">
        <v>1469</v>
      </c>
      <c r="G1817" s="39" t="s">
        <v>635</v>
      </c>
      <c r="H1817" s="52" t="s">
        <v>99</v>
      </c>
      <c r="I1817" s="52">
        <v>116.10000000000001</v>
      </c>
      <c r="J1817" s="49">
        <v>4127.1900000000005</v>
      </c>
      <c r="K1817" s="58">
        <v>0</v>
      </c>
      <c r="L1817" s="58">
        <v>0</v>
      </c>
      <c r="M1817" s="58">
        <v>0</v>
      </c>
      <c r="N1817" s="58">
        <v>0</v>
      </c>
      <c r="O1817" s="58">
        <v>0</v>
      </c>
      <c r="P1817" s="53">
        <v>0</v>
      </c>
      <c r="Q1817" s="65">
        <v>4127.1900000000005</v>
      </c>
      <c r="R1817" s="65">
        <v>0</v>
      </c>
      <c r="S1817" s="65">
        <v>0</v>
      </c>
      <c r="T1817" s="65">
        <v>0</v>
      </c>
      <c r="U1817" s="58">
        <v>0</v>
      </c>
      <c r="V1817" s="65">
        <v>0</v>
      </c>
      <c r="W1817" s="65">
        <v>0</v>
      </c>
      <c r="X1817" s="65">
        <v>0</v>
      </c>
      <c r="Y1817" s="65">
        <v>0</v>
      </c>
      <c r="Z1817" s="51">
        <v>4127.1900000000005</v>
      </c>
      <c r="AA1817" s="51">
        <v>0</v>
      </c>
      <c r="AB1817" s="102">
        <v>0</v>
      </c>
      <c r="AC1817" s="81">
        <f t="shared" si="87"/>
        <v>415.1363033591731</v>
      </c>
      <c r="AD1817" s="82">
        <f t="shared" si="88"/>
        <v>16.585714285714285</v>
      </c>
      <c r="AE1817" s="218">
        <v>0</v>
      </c>
      <c r="AF1817">
        <v>0</v>
      </c>
      <c r="AH1817" t="str">
        <f t="shared" si="89"/>
        <v>Mahua BMC</v>
      </c>
      <c r="AJ1817" s="72">
        <v>0</v>
      </c>
      <c r="AK1817" s="72"/>
      <c r="AL1817" s="72"/>
      <c r="AM1817" s="72"/>
    </row>
    <row r="1818" spans="1:39" x14ac:dyDescent="0.25">
      <c r="A1818" s="37" t="s">
        <v>62</v>
      </c>
      <c r="B1818" s="66" t="s">
        <v>1615</v>
      </c>
      <c r="C1818" s="41">
        <v>1061</v>
      </c>
      <c r="D1818" s="41" t="s">
        <v>1452</v>
      </c>
      <c r="E1818" s="41">
        <v>10610026</v>
      </c>
      <c r="F1818" s="85" t="s">
        <v>1519</v>
      </c>
      <c r="G1818" s="39" t="s">
        <v>93</v>
      </c>
      <c r="H1818" s="52" t="s">
        <v>94</v>
      </c>
      <c r="I1818" s="52">
        <v>81.800000000000011</v>
      </c>
      <c r="J1818" s="49">
        <v>5289.75</v>
      </c>
      <c r="K1818" s="58">
        <v>66.8</v>
      </c>
      <c r="L1818" s="58">
        <v>4430.3134203828995</v>
      </c>
      <c r="M1818" s="58">
        <v>0</v>
      </c>
      <c r="N1818" s="58">
        <v>0</v>
      </c>
      <c r="O1818" s="58">
        <v>66.8</v>
      </c>
      <c r="P1818" s="53">
        <v>4430.3134203828995</v>
      </c>
      <c r="Q1818" s="65">
        <v>4430.3134203828995</v>
      </c>
      <c r="R1818" s="65">
        <v>0</v>
      </c>
      <c r="S1818" s="65">
        <v>0</v>
      </c>
      <c r="T1818" s="65">
        <v>0</v>
      </c>
      <c r="U1818" s="58">
        <v>0</v>
      </c>
      <c r="V1818" s="65">
        <v>0</v>
      </c>
      <c r="W1818" s="65">
        <v>0</v>
      </c>
      <c r="X1818" s="65">
        <v>4429</v>
      </c>
      <c r="Y1818" s="65">
        <v>0</v>
      </c>
      <c r="Z1818" s="51">
        <v>0</v>
      </c>
      <c r="AA1818" s="51">
        <v>861</v>
      </c>
      <c r="AB1818" s="102">
        <v>0</v>
      </c>
      <c r="AC1818" s="81">
        <f t="shared" si="87"/>
        <v>799.54118581907085</v>
      </c>
      <c r="AD1818" s="82">
        <f t="shared" si="88"/>
        <v>11.685714285714287</v>
      </c>
      <c r="AE1818" s="218">
        <v>0.1624720600438774</v>
      </c>
      <c r="AF1818">
        <v>5</v>
      </c>
      <c r="AH1818" t="str">
        <f t="shared" si="89"/>
        <v>Mahua BMC</v>
      </c>
      <c r="AJ1818" s="72">
        <v>0</v>
      </c>
      <c r="AK1818" s="72"/>
      <c r="AL1818" s="72"/>
      <c r="AM1818" s="72"/>
    </row>
    <row r="1819" spans="1:39" x14ac:dyDescent="0.25">
      <c r="A1819" s="37" t="s">
        <v>62</v>
      </c>
      <c r="B1819" s="66" t="s">
        <v>1615</v>
      </c>
      <c r="C1819" s="41">
        <v>1061</v>
      </c>
      <c r="D1819" s="41" t="s">
        <v>1452</v>
      </c>
      <c r="E1819" s="41">
        <v>10610027</v>
      </c>
      <c r="F1819" s="85" t="s">
        <v>1520</v>
      </c>
      <c r="G1819" s="39" t="s">
        <v>635</v>
      </c>
      <c r="H1819" s="52" t="s">
        <v>99</v>
      </c>
      <c r="I1819" s="52">
        <v>1077.3</v>
      </c>
      <c r="J1819" s="49">
        <v>38139.870000000003</v>
      </c>
      <c r="K1819" s="58">
        <v>0</v>
      </c>
      <c r="L1819" s="58">
        <v>0</v>
      </c>
      <c r="M1819" s="58">
        <v>0</v>
      </c>
      <c r="N1819" s="58">
        <v>0</v>
      </c>
      <c r="O1819" s="58">
        <v>0</v>
      </c>
      <c r="P1819" s="53">
        <v>0</v>
      </c>
      <c r="Q1819" s="65">
        <v>38139.870000000003</v>
      </c>
      <c r="R1819" s="65">
        <v>0</v>
      </c>
      <c r="S1819" s="65">
        <v>0</v>
      </c>
      <c r="T1819" s="65">
        <v>0</v>
      </c>
      <c r="U1819" s="58">
        <v>0</v>
      </c>
      <c r="V1819" s="65">
        <v>0</v>
      </c>
      <c r="W1819" s="65">
        <v>0</v>
      </c>
      <c r="X1819" s="65">
        <v>0</v>
      </c>
      <c r="Y1819" s="65">
        <v>0</v>
      </c>
      <c r="Z1819" s="51">
        <v>38139.870000000003</v>
      </c>
      <c r="AA1819" s="51">
        <v>0</v>
      </c>
      <c r="AB1819" s="102">
        <v>0</v>
      </c>
      <c r="AC1819" s="81">
        <f t="shared" si="87"/>
        <v>0</v>
      </c>
      <c r="AD1819" s="82">
        <f t="shared" si="88"/>
        <v>0</v>
      </c>
      <c r="AE1819" s="218">
        <v>0</v>
      </c>
      <c r="AF1819">
        <v>0</v>
      </c>
      <c r="AH1819" t="str">
        <f t="shared" si="89"/>
        <v>Mahua BMC</v>
      </c>
      <c r="AJ1819" s="72">
        <v>0</v>
      </c>
      <c r="AK1819" s="72"/>
      <c r="AL1819" s="72"/>
      <c r="AM1819" s="72"/>
    </row>
    <row r="1820" spans="1:39" x14ac:dyDescent="0.25">
      <c r="A1820" s="37" t="s">
        <v>62</v>
      </c>
      <c r="B1820" s="66" t="s">
        <v>1615</v>
      </c>
      <c r="C1820" s="41">
        <v>1061</v>
      </c>
      <c r="D1820" s="41" t="s">
        <v>1452</v>
      </c>
      <c r="E1820" s="41">
        <v>10610028</v>
      </c>
      <c r="F1820" s="85" t="s">
        <v>1521</v>
      </c>
      <c r="G1820" s="39" t="s">
        <v>635</v>
      </c>
      <c r="H1820" s="52" t="s">
        <v>99</v>
      </c>
      <c r="I1820" s="52">
        <v>135.89999999999998</v>
      </c>
      <c r="J1820" s="49">
        <v>4705.3899999999994</v>
      </c>
      <c r="K1820" s="58">
        <v>0</v>
      </c>
      <c r="L1820" s="58">
        <v>0</v>
      </c>
      <c r="M1820" s="58">
        <v>0</v>
      </c>
      <c r="N1820" s="58">
        <v>0</v>
      </c>
      <c r="O1820" s="58">
        <v>0</v>
      </c>
      <c r="P1820" s="53">
        <v>0</v>
      </c>
      <c r="Q1820" s="65">
        <v>4705.3899999999994</v>
      </c>
      <c r="R1820" s="65">
        <v>0</v>
      </c>
      <c r="S1820" s="65">
        <v>0</v>
      </c>
      <c r="T1820" s="65">
        <v>0</v>
      </c>
      <c r="U1820" s="58">
        <v>0</v>
      </c>
      <c r="V1820" s="65">
        <v>0</v>
      </c>
      <c r="W1820" s="65">
        <v>0</v>
      </c>
      <c r="X1820" s="65">
        <v>0</v>
      </c>
      <c r="Y1820" s="65">
        <v>0</v>
      </c>
      <c r="Z1820" s="51">
        <v>4705.3899999999994</v>
      </c>
      <c r="AA1820" s="51">
        <v>0</v>
      </c>
      <c r="AB1820" s="102">
        <v>0</v>
      </c>
      <c r="AC1820" s="81">
        <f t="shared" si="87"/>
        <v>390.62700500367924</v>
      </c>
      <c r="AD1820" s="82">
        <f t="shared" si="88"/>
        <v>19.414285714285711</v>
      </c>
      <c r="AE1820" s="218">
        <v>0</v>
      </c>
      <c r="AF1820">
        <v>0</v>
      </c>
      <c r="AH1820" t="str">
        <f t="shared" si="89"/>
        <v>Mahua BMC</v>
      </c>
      <c r="AJ1820" s="72">
        <v>0</v>
      </c>
      <c r="AK1820" s="72"/>
      <c r="AL1820" s="72"/>
      <c r="AM1820" s="72"/>
    </row>
    <row r="1821" spans="1:39" x14ac:dyDescent="0.25">
      <c r="A1821" s="37" t="s">
        <v>62</v>
      </c>
      <c r="B1821" s="66" t="s">
        <v>1615</v>
      </c>
      <c r="C1821" s="41">
        <v>1061</v>
      </c>
      <c r="D1821" s="41" t="s">
        <v>1452</v>
      </c>
      <c r="E1821" s="41">
        <v>10610034</v>
      </c>
      <c r="F1821" s="85" t="s">
        <v>1523</v>
      </c>
      <c r="G1821" s="39" t="s">
        <v>635</v>
      </c>
      <c r="H1821" s="52" t="s">
        <v>99</v>
      </c>
      <c r="I1821" s="52">
        <v>431.70000000000005</v>
      </c>
      <c r="J1821" s="49">
        <v>15786.580000000002</v>
      </c>
      <c r="K1821" s="58">
        <v>0</v>
      </c>
      <c r="L1821" s="58">
        <v>0</v>
      </c>
      <c r="M1821" s="58">
        <v>0</v>
      </c>
      <c r="N1821" s="58">
        <v>0</v>
      </c>
      <c r="O1821" s="58">
        <v>0</v>
      </c>
      <c r="P1821" s="53">
        <v>0</v>
      </c>
      <c r="Q1821" s="65">
        <v>15786.580000000002</v>
      </c>
      <c r="R1821" s="65">
        <v>0</v>
      </c>
      <c r="S1821" s="65">
        <v>0</v>
      </c>
      <c r="T1821" s="65">
        <v>0</v>
      </c>
      <c r="U1821" s="58">
        <v>0</v>
      </c>
      <c r="V1821" s="65">
        <v>0</v>
      </c>
      <c r="W1821" s="65">
        <v>0</v>
      </c>
      <c r="X1821" s="65">
        <v>0</v>
      </c>
      <c r="Y1821" s="65">
        <v>0</v>
      </c>
      <c r="Z1821" s="51">
        <v>15786.580000000002</v>
      </c>
      <c r="AA1821" s="51">
        <v>0</v>
      </c>
      <c r="AB1821" s="102">
        <v>0</v>
      </c>
      <c r="AC1821" s="81">
        <f t="shared" si="87"/>
        <v>196.22605577947644</v>
      </c>
      <c r="AD1821" s="82">
        <f t="shared" si="88"/>
        <v>61.671428571428578</v>
      </c>
      <c r="AE1821" s="218">
        <v>0</v>
      </c>
      <c r="AF1821">
        <v>0</v>
      </c>
      <c r="AH1821" t="str">
        <f t="shared" si="89"/>
        <v>Mahua BMC</v>
      </c>
      <c r="AJ1821" s="72">
        <v>0</v>
      </c>
      <c r="AK1821" s="72"/>
      <c r="AL1821" s="72"/>
      <c r="AM1821" s="72"/>
    </row>
    <row r="1822" spans="1:39" x14ac:dyDescent="0.25">
      <c r="A1822" s="37" t="s">
        <v>62</v>
      </c>
      <c r="B1822" s="66" t="s">
        <v>1615</v>
      </c>
      <c r="C1822" s="41">
        <v>1061</v>
      </c>
      <c r="D1822" s="41" t="s">
        <v>1452</v>
      </c>
      <c r="E1822" s="41">
        <v>10610035</v>
      </c>
      <c r="F1822" s="85" t="s">
        <v>1524</v>
      </c>
      <c r="G1822" s="39" t="s">
        <v>635</v>
      </c>
      <c r="H1822" s="52" t="s">
        <v>99</v>
      </c>
      <c r="I1822" s="52">
        <v>390.00000000000006</v>
      </c>
      <c r="J1822" s="49">
        <v>11934.070000000002</v>
      </c>
      <c r="K1822" s="58">
        <v>0</v>
      </c>
      <c r="L1822" s="58">
        <v>0</v>
      </c>
      <c r="M1822" s="58">
        <v>0</v>
      </c>
      <c r="N1822" s="58">
        <v>0</v>
      </c>
      <c r="O1822" s="58">
        <v>0</v>
      </c>
      <c r="P1822" s="53">
        <v>0</v>
      </c>
      <c r="Q1822" s="65">
        <v>11934.070000000002</v>
      </c>
      <c r="R1822" s="65">
        <v>0</v>
      </c>
      <c r="S1822" s="65">
        <v>0</v>
      </c>
      <c r="T1822" s="65">
        <v>0</v>
      </c>
      <c r="U1822" s="58">
        <v>0</v>
      </c>
      <c r="V1822" s="65">
        <v>0</v>
      </c>
      <c r="W1822" s="65">
        <v>0</v>
      </c>
      <c r="X1822" s="65">
        <v>0</v>
      </c>
      <c r="Y1822" s="65">
        <v>0</v>
      </c>
      <c r="Z1822" s="51">
        <v>11934.070000000002</v>
      </c>
      <c r="AA1822" s="51">
        <v>0</v>
      </c>
      <c r="AB1822" s="102">
        <v>0</v>
      </c>
      <c r="AC1822" s="81">
        <f t="shared" si="87"/>
        <v>189.72111282051279</v>
      </c>
      <c r="AD1822" s="82">
        <f t="shared" si="88"/>
        <v>55.714285714285722</v>
      </c>
      <c r="AE1822" s="218">
        <v>0</v>
      </c>
      <c r="AF1822">
        <v>0</v>
      </c>
      <c r="AH1822" t="str">
        <f t="shared" si="89"/>
        <v>Mahua BMC</v>
      </c>
      <c r="AJ1822" s="72">
        <v>0</v>
      </c>
      <c r="AK1822" s="72"/>
      <c r="AL1822" s="72"/>
      <c r="AM1822" s="72"/>
    </row>
    <row r="1823" spans="1:39" x14ac:dyDescent="0.25">
      <c r="A1823" s="37" t="s">
        <v>62</v>
      </c>
      <c r="B1823" s="66" t="s">
        <v>1615</v>
      </c>
      <c r="C1823" s="41">
        <v>1061</v>
      </c>
      <c r="D1823" s="41" t="s">
        <v>1452</v>
      </c>
      <c r="E1823" s="41">
        <v>10610036</v>
      </c>
      <c r="F1823" s="85" t="s">
        <v>1525</v>
      </c>
      <c r="G1823" s="39" t="s">
        <v>635</v>
      </c>
      <c r="H1823" s="52" t="s">
        <v>99</v>
      </c>
      <c r="I1823" s="52">
        <v>129.69999999999999</v>
      </c>
      <c r="J1823" s="49">
        <v>4721.93</v>
      </c>
      <c r="K1823" s="58">
        <v>0</v>
      </c>
      <c r="L1823" s="58">
        <v>0</v>
      </c>
      <c r="M1823" s="58">
        <v>0</v>
      </c>
      <c r="N1823" s="58">
        <v>0</v>
      </c>
      <c r="O1823" s="58">
        <v>0</v>
      </c>
      <c r="P1823" s="53">
        <v>0</v>
      </c>
      <c r="Q1823" s="65">
        <v>4721.93</v>
      </c>
      <c r="R1823" s="65">
        <v>0</v>
      </c>
      <c r="S1823" s="65">
        <v>0</v>
      </c>
      <c r="T1823" s="65">
        <v>0</v>
      </c>
      <c r="U1823" s="58">
        <v>0</v>
      </c>
      <c r="V1823" s="65">
        <v>0</v>
      </c>
      <c r="W1823" s="65">
        <v>0</v>
      </c>
      <c r="X1823" s="65">
        <v>0</v>
      </c>
      <c r="Y1823" s="65">
        <v>0</v>
      </c>
      <c r="Z1823" s="51">
        <v>4721.93</v>
      </c>
      <c r="AA1823" s="51">
        <v>0</v>
      </c>
      <c r="AB1823" s="102">
        <v>0</v>
      </c>
      <c r="AC1823" s="81">
        <f t="shared" si="87"/>
        <v>415.25315019275257</v>
      </c>
      <c r="AD1823" s="82">
        <f t="shared" si="88"/>
        <v>18.528571428571428</v>
      </c>
      <c r="AE1823" s="218">
        <v>0</v>
      </c>
      <c r="AF1823">
        <v>0</v>
      </c>
      <c r="AH1823" t="str">
        <f t="shared" si="89"/>
        <v>Mahua BMC</v>
      </c>
      <c r="AJ1823" s="72">
        <v>0</v>
      </c>
      <c r="AK1823" s="72"/>
      <c r="AL1823" s="72"/>
      <c r="AM1823" s="72"/>
    </row>
    <row r="1824" spans="1:39" x14ac:dyDescent="0.25">
      <c r="A1824" s="37" t="s">
        <v>62</v>
      </c>
      <c r="B1824" s="66" t="s">
        <v>1615</v>
      </c>
      <c r="C1824" s="41">
        <v>1061</v>
      </c>
      <c r="D1824" s="41" t="s">
        <v>1452</v>
      </c>
      <c r="E1824" s="41">
        <v>10610038</v>
      </c>
      <c r="F1824" s="85" t="s">
        <v>1526</v>
      </c>
      <c r="G1824" s="39" t="s">
        <v>635</v>
      </c>
      <c r="H1824" s="52" t="s">
        <v>99</v>
      </c>
      <c r="I1824" s="52">
        <v>1103</v>
      </c>
      <c r="J1824" s="49">
        <v>41633.710000000006</v>
      </c>
      <c r="K1824" s="58">
        <v>0</v>
      </c>
      <c r="L1824" s="58">
        <v>0</v>
      </c>
      <c r="M1824" s="58">
        <v>0</v>
      </c>
      <c r="N1824" s="58">
        <v>0</v>
      </c>
      <c r="O1824" s="58">
        <v>0</v>
      </c>
      <c r="P1824" s="53">
        <v>0</v>
      </c>
      <c r="Q1824" s="65">
        <v>41633.710000000006</v>
      </c>
      <c r="R1824" s="65">
        <v>0</v>
      </c>
      <c r="S1824" s="65">
        <v>0</v>
      </c>
      <c r="T1824" s="65">
        <v>0</v>
      </c>
      <c r="U1824" s="58">
        <v>0</v>
      </c>
      <c r="V1824" s="65">
        <v>0</v>
      </c>
      <c r="W1824" s="65">
        <v>0</v>
      </c>
      <c r="X1824" s="65">
        <v>0</v>
      </c>
      <c r="Y1824" s="65">
        <v>0</v>
      </c>
      <c r="Z1824" s="51">
        <v>41633.710000000006</v>
      </c>
      <c r="AA1824" s="51">
        <v>0</v>
      </c>
      <c r="AB1824" s="102">
        <v>0</v>
      </c>
      <c r="AC1824" s="81">
        <f t="shared" si="87"/>
        <v>0</v>
      </c>
      <c r="AD1824" s="82">
        <f t="shared" si="88"/>
        <v>0</v>
      </c>
      <c r="AE1824" s="218">
        <v>0</v>
      </c>
      <c r="AF1824">
        <v>0</v>
      </c>
      <c r="AH1824" t="str">
        <f t="shared" si="89"/>
        <v>Mahua BMC</v>
      </c>
      <c r="AJ1824" s="72">
        <v>0</v>
      </c>
      <c r="AK1824" s="72"/>
      <c r="AL1824" s="72"/>
      <c r="AM1824" s="72"/>
    </row>
    <row r="1825" spans="1:39" x14ac:dyDescent="0.25">
      <c r="A1825" s="37" t="s">
        <v>62</v>
      </c>
      <c r="B1825" s="66" t="s">
        <v>1615</v>
      </c>
      <c r="C1825" s="41">
        <v>1061</v>
      </c>
      <c r="D1825" s="41" t="s">
        <v>1452</v>
      </c>
      <c r="E1825" s="41">
        <v>10610041</v>
      </c>
      <c r="F1825" s="85" t="s">
        <v>1597</v>
      </c>
      <c r="G1825" s="39" t="s">
        <v>635</v>
      </c>
      <c r="H1825" s="52" t="s">
        <v>99</v>
      </c>
      <c r="I1825" s="52">
        <v>62.9</v>
      </c>
      <c r="J1825" s="49">
        <v>2291.4499999999998</v>
      </c>
      <c r="K1825" s="58">
        <v>0</v>
      </c>
      <c r="L1825" s="58">
        <v>0</v>
      </c>
      <c r="M1825" s="58">
        <v>0</v>
      </c>
      <c r="N1825" s="58">
        <v>0</v>
      </c>
      <c r="O1825" s="58">
        <v>0</v>
      </c>
      <c r="P1825" s="53">
        <v>0</v>
      </c>
      <c r="Q1825" s="65">
        <v>2291.4499999999998</v>
      </c>
      <c r="R1825" s="65">
        <v>0</v>
      </c>
      <c r="S1825" s="65">
        <v>0</v>
      </c>
      <c r="T1825" s="65">
        <v>0</v>
      </c>
      <c r="U1825" s="58">
        <v>0</v>
      </c>
      <c r="V1825" s="65">
        <v>0</v>
      </c>
      <c r="W1825" s="65">
        <v>0</v>
      </c>
      <c r="X1825" s="65">
        <v>0</v>
      </c>
      <c r="Y1825" s="65">
        <v>0</v>
      </c>
      <c r="Z1825" s="51">
        <v>2291.4499999999998</v>
      </c>
      <c r="AA1825" s="51">
        <v>0</v>
      </c>
      <c r="AB1825" s="102">
        <v>0</v>
      </c>
      <c r="AC1825" s="81">
        <f t="shared" si="87"/>
        <v>464.19166772655007</v>
      </c>
      <c r="AD1825" s="82">
        <f t="shared" si="88"/>
        <v>8.9857142857142858</v>
      </c>
      <c r="AE1825" s="218">
        <v>0</v>
      </c>
      <c r="AF1825">
        <v>0</v>
      </c>
      <c r="AH1825" t="str">
        <f t="shared" si="89"/>
        <v>Mahua BMC</v>
      </c>
      <c r="AJ1825" s="72">
        <v>0</v>
      </c>
      <c r="AK1825" s="72"/>
      <c r="AL1825" s="72"/>
      <c r="AM1825" s="72"/>
    </row>
    <row r="1826" spans="1:39" x14ac:dyDescent="0.25">
      <c r="A1826" s="37" t="s">
        <v>62</v>
      </c>
      <c r="B1826" s="66" t="s">
        <v>1615</v>
      </c>
      <c r="C1826" s="41">
        <v>1061</v>
      </c>
      <c r="D1826" s="41" t="s">
        <v>1452</v>
      </c>
      <c r="E1826" s="41">
        <v>10610045</v>
      </c>
      <c r="F1826" s="85" t="s">
        <v>1537</v>
      </c>
      <c r="G1826" s="39" t="s">
        <v>635</v>
      </c>
      <c r="H1826" s="52" t="s">
        <v>99</v>
      </c>
      <c r="I1826" s="52">
        <v>92.1</v>
      </c>
      <c r="J1826" s="49">
        <v>3284</v>
      </c>
      <c r="K1826" s="58">
        <v>0</v>
      </c>
      <c r="L1826" s="58">
        <v>0</v>
      </c>
      <c r="M1826" s="58">
        <v>0</v>
      </c>
      <c r="N1826" s="58">
        <v>0</v>
      </c>
      <c r="O1826" s="58">
        <v>0</v>
      </c>
      <c r="P1826" s="53">
        <v>0</v>
      </c>
      <c r="Q1826" s="65">
        <v>3284</v>
      </c>
      <c r="R1826" s="65">
        <v>0</v>
      </c>
      <c r="S1826" s="65">
        <v>0</v>
      </c>
      <c r="T1826" s="65">
        <v>0</v>
      </c>
      <c r="U1826" s="58">
        <v>0</v>
      </c>
      <c r="V1826" s="65">
        <v>0</v>
      </c>
      <c r="W1826" s="65">
        <v>0</v>
      </c>
      <c r="X1826" s="65">
        <v>0</v>
      </c>
      <c r="Y1826" s="65">
        <v>0</v>
      </c>
      <c r="Z1826" s="51">
        <v>3284</v>
      </c>
      <c r="AA1826" s="51">
        <v>0</v>
      </c>
      <c r="AB1826" s="102">
        <v>0</v>
      </c>
      <c r="AC1826" s="81">
        <f t="shared" si="87"/>
        <v>433.51652551574381</v>
      </c>
      <c r="AD1826" s="82">
        <f t="shared" si="88"/>
        <v>13.157142857142857</v>
      </c>
      <c r="AE1826" s="218">
        <v>0</v>
      </c>
      <c r="AF1826">
        <v>0</v>
      </c>
      <c r="AH1826" t="str">
        <f t="shared" si="89"/>
        <v>Mahua BMC</v>
      </c>
      <c r="AJ1826" s="72">
        <v>0</v>
      </c>
      <c r="AK1826" s="72"/>
      <c r="AL1826" s="72"/>
      <c r="AM1826" s="72"/>
    </row>
    <row r="1827" spans="1:39" x14ac:dyDescent="0.25">
      <c r="A1827" s="37" t="s">
        <v>62</v>
      </c>
      <c r="B1827" s="66" t="s">
        <v>1615</v>
      </c>
      <c r="C1827" s="41">
        <v>1061</v>
      </c>
      <c r="D1827" s="41" t="s">
        <v>1452</v>
      </c>
      <c r="E1827" s="41">
        <v>10610046</v>
      </c>
      <c r="F1827" s="85" t="s">
        <v>1538</v>
      </c>
      <c r="G1827" s="39" t="s">
        <v>635</v>
      </c>
      <c r="H1827" s="52" t="s">
        <v>99</v>
      </c>
      <c r="I1827" s="52">
        <v>69.599999999999994</v>
      </c>
      <c r="J1827" s="49">
        <v>2351.4299999999998</v>
      </c>
      <c r="K1827" s="58">
        <v>0</v>
      </c>
      <c r="L1827" s="58">
        <v>0</v>
      </c>
      <c r="M1827" s="58">
        <v>0</v>
      </c>
      <c r="N1827" s="58">
        <v>0</v>
      </c>
      <c r="O1827" s="58">
        <v>0</v>
      </c>
      <c r="P1827" s="53">
        <v>0</v>
      </c>
      <c r="Q1827" s="65">
        <v>2351.4299999999998</v>
      </c>
      <c r="R1827" s="65">
        <v>0</v>
      </c>
      <c r="S1827" s="65">
        <v>0</v>
      </c>
      <c r="T1827" s="65">
        <v>0</v>
      </c>
      <c r="U1827" s="58">
        <v>0</v>
      </c>
      <c r="V1827" s="65">
        <v>0</v>
      </c>
      <c r="W1827" s="65">
        <v>0</v>
      </c>
      <c r="X1827" s="65">
        <v>0</v>
      </c>
      <c r="Y1827" s="65">
        <v>0</v>
      </c>
      <c r="Z1827" s="51">
        <v>2351.4299999999998</v>
      </c>
      <c r="AA1827" s="51">
        <v>0</v>
      </c>
      <c r="AB1827" s="102">
        <v>0</v>
      </c>
      <c r="AC1827" s="81">
        <f t="shared" si="87"/>
        <v>425.96019310344832</v>
      </c>
      <c r="AD1827" s="82">
        <f t="shared" si="88"/>
        <v>9.9428571428571413</v>
      </c>
      <c r="AE1827" s="218">
        <v>0</v>
      </c>
      <c r="AF1827">
        <v>0</v>
      </c>
      <c r="AH1827" t="str">
        <f t="shared" si="89"/>
        <v>Mahua BMC</v>
      </c>
      <c r="AJ1827" s="72">
        <v>0</v>
      </c>
      <c r="AK1827" s="72"/>
      <c r="AL1827" s="72"/>
      <c r="AM1827" s="72"/>
    </row>
    <row r="1828" spans="1:39" x14ac:dyDescent="0.25">
      <c r="A1828" s="37" t="s">
        <v>62</v>
      </c>
      <c r="B1828" s="66" t="s">
        <v>1615</v>
      </c>
      <c r="C1828" s="41">
        <v>1061</v>
      </c>
      <c r="D1828" s="41" t="s">
        <v>1452</v>
      </c>
      <c r="E1828" s="41">
        <v>10610050</v>
      </c>
      <c r="F1828" s="85" t="s">
        <v>1558</v>
      </c>
      <c r="G1828" s="39" t="s">
        <v>635</v>
      </c>
      <c r="H1828" s="52" t="s">
        <v>99</v>
      </c>
      <c r="I1828" s="52">
        <v>144.99999999999997</v>
      </c>
      <c r="J1828" s="49">
        <v>6302.48</v>
      </c>
      <c r="K1828" s="58">
        <v>0</v>
      </c>
      <c r="L1828" s="58">
        <v>0</v>
      </c>
      <c r="M1828" s="58">
        <v>0</v>
      </c>
      <c r="N1828" s="58">
        <v>0</v>
      </c>
      <c r="O1828" s="58">
        <v>0</v>
      </c>
      <c r="P1828" s="53">
        <v>0</v>
      </c>
      <c r="Q1828" s="65">
        <v>6302.48</v>
      </c>
      <c r="R1828" s="65">
        <v>0</v>
      </c>
      <c r="S1828" s="65">
        <v>0</v>
      </c>
      <c r="T1828" s="65">
        <v>0</v>
      </c>
      <c r="U1828" s="58">
        <v>0</v>
      </c>
      <c r="V1828" s="65">
        <v>0</v>
      </c>
      <c r="W1828" s="65">
        <v>0</v>
      </c>
      <c r="X1828" s="65">
        <v>0</v>
      </c>
      <c r="Y1828" s="65">
        <v>0</v>
      </c>
      <c r="Z1828" s="51">
        <v>6302.48</v>
      </c>
      <c r="AA1828" s="51">
        <v>0</v>
      </c>
      <c r="AB1828" s="102">
        <v>0</v>
      </c>
      <c r="AC1828" s="81">
        <f t="shared" si="87"/>
        <v>482.4657103448277</v>
      </c>
      <c r="AD1828" s="82">
        <f t="shared" si="88"/>
        <v>20.714285714285712</v>
      </c>
      <c r="AE1828" s="218">
        <v>0</v>
      </c>
      <c r="AF1828">
        <v>0</v>
      </c>
      <c r="AH1828" t="str">
        <f t="shared" si="89"/>
        <v>Mahua BMC</v>
      </c>
      <c r="AJ1828" s="72">
        <v>0</v>
      </c>
      <c r="AK1828" s="72"/>
      <c r="AL1828" s="72"/>
      <c r="AM1828" s="72"/>
    </row>
    <row r="1829" spans="1:39" x14ac:dyDescent="0.25">
      <c r="A1829" s="37" t="s">
        <v>62</v>
      </c>
      <c r="B1829" s="66" t="s">
        <v>1615</v>
      </c>
      <c r="C1829" s="41">
        <v>1061</v>
      </c>
      <c r="D1829" s="41" t="s">
        <v>1452</v>
      </c>
      <c r="E1829" s="41">
        <v>10610051</v>
      </c>
      <c r="F1829" s="85" t="s">
        <v>1559</v>
      </c>
      <c r="G1829" s="39" t="s">
        <v>635</v>
      </c>
      <c r="H1829" s="52" t="s">
        <v>99</v>
      </c>
      <c r="I1829" s="52">
        <v>333.5</v>
      </c>
      <c r="J1829" s="49">
        <v>13582.15</v>
      </c>
      <c r="K1829" s="58">
        <v>0</v>
      </c>
      <c r="L1829" s="58">
        <v>0</v>
      </c>
      <c r="M1829" s="58">
        <v>0</v>
      </c>
      <c r="N1829" s="58">
        <v>0</v>
      </c>
      <c r="O1829" s="58">
        <v>0</v>
      </c>
      <c r="P1829" s="53">
        <v>0</v>
      </c>
      <c r="Q1829" s="65">
        <v>13582.15</v>
      </c>
      <c r="R1829" s="65">
        <v>0</v>
      </c>
      <c r="S1829" s="65">
        <v>0</v>
      </c>
      <c r="T1829" s="65">
        <v>0</v>
      </c>
      <c r="U1829" s="58">
        <v>0</v>
      </c>
      <c r="V1829" s="65">
        <v>0</v>
      </c>
      <c r="W1829" s="65">
        <v>0</v>
      </c>
      <c r="X1829" s="65">
        <v>0</v>
      </c>
      <c r="Y1829" s="65">
        <v>0</v>
      </c>
      <c r="Z1829" s="51">
        <v>13582.15</v>
      </c>
      <c r="AA1829" s="51">
        <v>0</v>
      </c>
      <c r="AB1829" s="102">
        <v>0</v>
      </c>
      <c r="AC1829" s="81">
        <f t="shared" si="87"/>
        <v>298.52221739130437</v>
      </c>
      <c r="AD1829" s="82">
        <f t="shared" si="88"/>
        <v>47.642857142857146</v>
      </c>
      <c r="AE1829" s="218">
        <v>0</v>
      </c>
      <c r="AF1829">
        <v>0</v>
      </c>
      <c r="AH1829" t="str">
        <f t="shared" si="89"/>
        <v>Mahua BMC</v>
      </c>
      <c r="AJ1829" s="72">
        <v>0</v>
      </c>
      <c r="AK1829" s="72"/>
      <c r="AL1829" s="72"/>
      <c r="AM1829" s="72"/>
    </row>
    <row r="1830" spans="1:39" x14ac:dyDescent="0.25">
      <c r="A1830" s="37" t="s">
        <v>62</v>
      </c>
      <c r="B1830" s="66" t="s">
        <v>1615</v>
      </c>
      <c r="C1830" s="41">
        <v>1061</v>
      </c>
      <c r="D1830" s="41" t="s">
        <v>1452</v>
      </c>
      <c r="E1830" s="41">
        <v>10610052</v>
      </c>
      <c r="F1830" s="85" t="s">
        <v>1563</v>
      </c>
      <c r="G1830" s="39" t="s">
        <v>635</v>
      </c>
      <c r="H1830" s="52" t="s">
        <v>99</v>
      </c>
      <c r="I1830" s="52">
        <v>297.39999999999998</v>
      </c>
      <c r="J1830" s="49">
        <v>11588.71</v>
      </c>
      <c r="K1830" s="58">
        <v>0</v>
      </c>
      <c r="L1830" s="58">
        <v>0</v>
      </c>
      <c r="M1830" s="58">
        <v>0</v>
      </c>
      <c r="N1830" s="58">
        <v>0</v>
      </c>
      <c r="O1830" s="58">
        <v>0</v>
      </c>
      <c r="P1830" s="53">
        <v>0</v>
      </c>
      <c r="Q1830" s="65">
        <v>11588.71</v>
      </c>
      <c r="R1830" s="65">
        <v>0</v>
      </c>
      <c r="S1830" s="65">
        <v>0</v>
      </c>
      <c r="T1830" s="65">
        <v>0</v>
      </c>
      <c r="U1830" s="58">
        <v>0</v>
      </c>
      <c r="V1830" s="65">
        <v>0</v>
      </c>
      <c r="W1830" s="65">
        <v>0</v>
      </c>
      <c r="X1830" s="65">
        <v>0</v>
      </c>
      <c r="Y1830" s="65">
        <v>0</v>
      </c>
      <c r="Z1830" s="51">
        <v>11588.71</v>
      </c>
      <c r="AA1830" s="51">
        <v>0</v>
      </c>
      <c r="AB1830" s="102">
        <v>0</v>
      </c>
      <c r="AC1830" s="81">
        <f t="shared" si="87"/>
        <v>313.76023174176197</v>
      </c>
      <c r="AD1830" s="82">
        <f t="shared" si="88"/>
        <v>42.48571428571428</v>
      </c>
      <c r="AE1830" s="218">
        <v>0</v>
      </c>
      <c r="AF1830">
        <v>0</v>
      </c>
      <c r="AH1830" t="str">
        <f t="shared" si="89"/>
        <v>Mahua BMC</v>
      </c>
      <c r="AJ1830" s="72">
        <v>0</v>
      </c>
      <c r="AK1830" s="72"/>
      <c r="AL1830" s="72"/>
      <c r="AM1830" s="72"/>
    </row>
    <row r="1831" spans="1:39" x14ac:dyDescent="0.25">
      <c r="A1831" s="37" t="s">
        <v>62</v>
      </c>
      <c r="B1831" s="66" t="s">
        <v>1615</v>
      </c>
      <c r="C1831" s="41">
        <v>1057</v>
      </c>
      <c r="D1831" s="41" t="s">
        <v>1202</v>
      </c>
      <c r="E1831" s="41">
        <v>10630002</v>
      </c>
      <c r="F1831" s="85" t="s">
        <v>1528</v>
      </c>
      <c r="G1831" s="39" t="s">
        <v>93</v>
      </c>
      <c r="H1831" s="52" t="s">
        <v>94</v>
      </c>
      <c r="I1831" s="52">
        <v>154.4</v>
      </c>
      <c r="J1831" s="49">
        <v>6419.5400000000009</v>
      </c>
      <c r="K1831" s="58">
        <v>150.4</v>
      </c>
      <c r="L1831" s="58">
        <v>6429.2795091280495</v>
      </c>
      <c r="M1831" s="58">
        <v>0</v>
      </c>
      <c r="N1831" s="58">
        <v>0</v>
      </c>
      <c r="O1831" s="58">
        <v>150.4</v>
      </c>
      <c r="P1831" s="53">
        <v>6429.2795091280495</v>
      </c>
      <c r="Q1831" s="65">
        <v>6419.5400000000009</v>
      </c>
      <c r="R1831" s="65">
        <v>0</v>
      </c>
      <c r="S1831" s="65">
        <v>0</v>
      </c>
      <c r="T1831" s="65">
        <v>9.7395091280486668</v>
      </c>
      <c r="U1831" s="58">
        <v>0</v>
      </c>
      <c r="V1831" s="65">
        <v>0</v>
      </c>
      <c r="W1831" s="65">
        <v>0</v>
      </c>
      <c r="X1831" s="65">
        <v>6420</v>
      </c>
      <c r="Y1831" s="65">
        <v>0</v>
      </c>
      <c r="Z1831" s="51">
        <v>0</v>
      </c>
      <c r="AA1831" s="51">
        <v>0</v>
      </c>
      <c r="AB1831" s="102">
        <v>0</v>
      </c>
      <c r="AC1831" s="81">
        <f t="shared" si="87"/>
        <v>453.6918424870467</v>
      </c>
      <c r="AD1831" s="82">
        <f t="shared" si="88"/>
        <v>22.057142857142857</v>
      </c>
      <c r="AE1831" s="218">
        <v>-1.5171662031934789E-3</v>
      </c>
      <c r="AF1831">
        <v>1</v>
      </c>
      <c r="AH1831" t="str">
        <f t="shared" si="89"/>
        <v>Warisnagar</v>
      </c>
      <c r="AJ1831" s="72">
        <v>0</v>
      </c>
      <c r="AK1831" s="72"/>
      <c r="AL1831" s="72"/>
      <c r="AM1831" s="72"/>
    </row>
    <row r="1832" spans="1:39" x14ac:dyDescent="0.25">
      <c r="A1832" s="37" t="s">
        <v>62</v>
      </c>
      <c r="B1832" s="66" t="s">
        <v>1615</v>
      </c>
      <c r="C1832" s="41">
        <v>1057</v>
      </c>
      <c r="D1832" s="41" t="s">
        <v>1202</v>
      </c>
      <c r="E1832" s="41">
        <v>10630003</v>
      </c>
      <c r="F1832" s="85" t="s">
        <v>1409</v>
      </c>
      <c r="G1832" s="39" t="s">
        <v>93</v>
      </c>
      <c r="H1832" s="52" t="s">
        <v>94</v>
      </c>
      <c r="I1832" s="52">
        <v>132.5</v>
      </c>
      <c r="J1832" s="49">
        <v>6470.4000000000005</v>
      </c>
      <c r="K1832" s="58">
        <v>132.49999999999997</v>
      </c>
      <c r="L1832" s="58">
        <v>6471.8744012004008</v>
      </c>
      <c r="M1832" s="58">
        <v>0</v>
      </c>
      <c r="N1832" s="58">
        <v>0</v>
      </c>
      <c r="O1832" s="58">
        <v>132.49999999999997</v>
      </c>
      <c r="P1832" s="53">
        <v>6471.8744012004008</v>
      </c>
      <c r="Q1832" s="65">
        <v>6470.4000000000005</v>
      </c>
      <c r="R1832" s="65">
        <v>0</v>
      </c>
      <c r="S1832" s="65">
        <v>0</v>
      </c>
      <c r="T1832" s="65">
        <v>1.4744012004002798</v>
      </c>
      <c r="U1832" s="58">
        <v>0</v>
      </c>
      <c r="V1832" s="65">
        <v>0</v>
      </c>
      <c r="W1832" s="65">
        <v>0</v>
      </c>
      <c r="X1832" s="65">
        <v>6470</v>
      </c>
      <c r="Y1832" s="65">
        <v>0</v>
      </c>
      <c r="Z1832" s="51">
        <v>0</v>
      </c>
      <c r="AA1832" s="51">
        <v>0</v>
      </c>
      <c r="AB1832" s="102">
        <v>0</v>
      </c>
      <c r="AC1832" s="81">
        <f t="shared" si="87"/>
        <v>554.25690566037736</v>
      </c>
      <c r="AD1832" s="82">
        <f t="shared" si="88"/>
        <v>18.928571428571427</v>
      </c>
      <c r="AE1832" s="218">
        <v>-2.2786863260390079E-4</v>
      </c>
      <c r="AF1832">
        <v>1</v>
      </c>
      <c r="AH1832" t="str">
        <f t="shared" si="89"/>
        <v>Warisnagar</v>
      </c>
      <c r="AJ1832" s="72">
        <v>0</v>
      </c>
      <c r="AK1832" s="72"/>
      <c r="AL1832" s="72"/>
      <c r="AM1832" s="72"/>
    </row>
    <row r="1833" spans="1:39" x14ac:dyDescent="0.25">
      <c r="A1833" s="37" t="s">
        <v>62</v>
      </c>
      <c r="B1833" s="66" t="s">
        <v>1615</v>
      </c>
      <c r="C1833" s="41">
        <v>1057</v>
      </c>
      <c r="D1833" s="41" t="s">
        <v>1202</v>
      </c>
      <c r="E1833" s="41">
        <v>10630004</v>
      </c>
      <c r="F1833" s="85" t="s">
        <v>1442</v>
      </c>
      <c r="G1833" s="39" t="s">
        <v>93</v>
      </c>
      <c r="H1833" s="52" t="s">
        <v>94</v>
      </c>
      <c r="I1833" s="52">
        <v>151.49999999999997</v>
      </c>
      <c r="J1833" s="49">
        <v>7771.6100000000006</v>
      </c>
      <c r="K1833" s="58">
        <v>146.89999999999995</v>
      </c>
      <c r="L1833" s="58">
        <v>7745.9961945254008</v>
      </c>
      <c r="M1833" s="58">
        <v>0.60000000000000009</v>
      </c>
      <c r="N1833" s="58">
        <v>28.228516147640008</v>
      </c>
      <c r="O1833" s="58">
        <v>147.49999999999994</v>
      </c>
      <c r="P1833" s="53">
        <v>7774.224710673041</v>
      </c>
      <c r="Q1833" s="65">
        <v>7771.6100000000006</v>
      </c>
      <c r="R1833" s="65">
        <v>0</v>
      </c>
      <c r="S1833" s="65">
        <v>28.228516147640008</v>
      </c>
      <c r="T1833" s="65">
        <v>2.614710673040463</v>
      </c>
      <c r="U1833" s="58">
        <v>0</v>
      </c>
      <c r="V1833" s="65">
        <v>0</v>
      </c>
      <c r="W1833" s="65">
        <v>0</v>
      </c>
      <c r="X1833" s="65">
        <v>7743</v>
      </c>
      <c r="Y1833" s="65">
        <v>0</v>
      </c>
      <c r="Z1833" s="51">
        <v>0</v>
      </c>
      <c r="AA1833" s="51">
        <v>0</v>
      </c>
      <c r="AB1833" s="102">
        <v>0</v>
      </c>
      <c r="AC1833" s="81">
        <f t="shared" si="87"/>
        <v>562.73638085808602</v>
      </c>
      <c r="AD1833" s="82">
        <f t="shared" si="88"/>
        <v>21.642857142857139</v>
      </c>
      <c r="AE1833" s="218">
        <v>-3.3644388653579667E-4</v>
      </c>
      <c r="AF1833">
        <v>2</v>
      </c>
      <c r="AH1833" t="str">
        <f t="shared" si="89"/>
        <v>Warisnagar</v>
      </c>
      <c r="AJ1833" s="72">
        <v>0</v>
      </c>
      <c r="AK1833" s="72"/>
      <c r="AL1833" s="72"/>
      <c r="AM1833" s="72"/>
    </row>
    <row r="1834" spans="1:39" x14ac:dyDescent="0.25">
      <c r="A1834" s="37" t="s">
        <v>62</v>
      </c>
      <c r="B1834" s="66" t="s">
        <v>1615</v>
      </c>
      <c r="C1834" s="41">
        <v>1057</v>
      </c>
      <c r="D1834" s="41" t="s">
        <v>1202</v>
      </c>
      <c r="E1834" s="41">
        <v>10630007</v>
      </c>
      <c r="F1834" s="85" t="s">
        <v>1410</v>
      </c>
      <c r="G1834" s="39" t="s">
        <v>93</v>
      </c>
      <c r="H1834" s="52" t="s">
        <v>94</v>
      </c>
      <c r="I1834" s="52">
        <v>84.100000000000009</v>
      </c>
      <c r="J1834" s="49">
        <v>3587.98</v>
      </c>
      <c r="K1834" s="58">
        <v>84.600000000000009</v>
      </c>
      <c r="L1834" s="58">
        <v>3571.9600884501601</v>
      </c>
      <c r="M1834" s="58">
        <v>0</v>
      </c>
      <c r="N1834" s="58">
        <v>0</v>
      </c>
      <c r="O1834" s="58">
        <v>84.600000000000009</v>
      </c>
      <c r="P1834" s="53">
        <v>3571.9600884501601</v>
      </c>
      <c r="Q1834" s="65">
        <v>3571.9600884501601</v>
      </c>
      <c r="R1834" s="65">
        <v>0</v>
      </c>
      <c r="S1834" s="65">
        <v>0</v>
      </c>
      <c r="T1834" s="65">
        <v>0</v>
      </c>
      <c r="U1834" s="58">
        <v>0</v>
      </c>
      <c r="V1834" s="65">
        <v>0</v>
      </c>
      <c r="W1834" s="65">
        <v>0</v>
      </c>
      <c r="X1834" s="65">
        <v>3572</v>
      </c>
      <c r="Y1834" s="65">
        <v>0</v>
      </c>
      <c r="Z1834" s="51">
        <v>0</v>
      </c>
      <c r="AA1834" s="51">
        <v>16</v>
      </c>
      <c r="AB1834" s="102">
        <v>0</v>
      </c>
      <c r="AC1834" s="81">
        <f t="shared" si="87"/>
        <v>525.5260123662307</v>
      </c>
      <c r="AD1834" s="82">
        <f t="shared" si="88"/>
        <v>12.014285714285716</v>
      </c>
      <c r="AE1834" s="218">
        <v>4.4648831793487947E-3</v>
      </c>
      <c r="AF1834">
        <v>1</v>
      </c>
      <c r="AH1834" t="str">
        <f t="shared" si="89"/>
        <v>Warisnagar</v>
      </c>
      <c r="AJ1834" s="72">
        <v>0</v>
      </c>
      <c r="AK1834" s="72"/>
      <c r="AL1834" s="72"/>
      <c r="AM1834" s="72"/>
    </row>
    <row r="1835" spans="1:39" x14ac:dyDescent="0.25">
      <c r="A1835" s="37" t="s">
        <v>62</v>
      </c>
      <c r="B1835" s="66" t="s">
        <v>1615</v>
      </c>
      <c r="C1835" s="41">
        <v>1057</v>
      </c>
      <c r="D1835" s="41" t="s">
        <v>1202</v>
      </c>
      <c r="E1835" s="41">
        <v>10630008</v>
      </c>
      <c r="F1835" s="85" t="s">
        <v>1411</v>
      </c>
      <c r="G1835" s="39" t="s">
        <v>93</v>
      </c>
      <c r="H1835" s="52" t="s">
        <v>94</v>
      </c>
      <c r="I1835" s="52">
        <v>784.5</v>
      </c>
      <c r="J1835" s="49">
        <v>31108.919999999995</v>
      </c>
      <c r="K1835" s="58">
        <v>784.49999999999989</v>
      </c>
      <c r="L1835" s="58">
        <v>31107.63388392</v>
      </c>
      <c r="M1835" s="58">
        <v>0</v>
      </c>
      <c r="N1835" s="58">
        <v>0</v>
      </c>
      <c r="O1835" s="58">
        <v>784.49999999999989</v>
      </c>
      <c r="P1835" s="53">
        <v>31107.63388392</v>
      </c>
      <c r="Q1835" s="65">
        <v>31107.63388392</v>
      </c>
      <c r="R1835" s="65">
        <v>0</v>
      </c>
      <c r="S1835" s="65">
        <v>0</v>
      </c>
      <c r="T1835" s="65">
        <v>0</v>
      </c>
      <c r="U1835" s="58">
        <v>0</v>
      </c>
      <c r="V1835" s="65">
        <v>0</v>
      </c>
      <c r="W1835" s="65">
        <v>0</v>
      </c>
      <c r="X1835" s="65">
        <v>31108</v>
      </c>
      <c r="Y1835" s="65">
        <v>0</v>
      </c>
      <c r="Z1835" s="51">
        <v>0</v>
      </c>
      <c r="AA1835" s="51">
        <v>1</v>
      </c>
      <c r="AB1835" s="102">
        <v>0</v>
      </c>
      <c r="AC1835" s="81">
        <f t="shared" si="87"/>
        <v>0</v>
      </c>
      <c r="AD1835" s="82">
        <f t="shared" si="88"/>
        <v>0</v>
      </c>
      <c r="AE1835" s="218">
        <v>4.1342357111556002E-5</v>
      </c>
      <c r="AF1835">
        <v>1</v>
      </c>
      <c r="AH1835" t="str">
        <f t="shared" si="89"/>
        <v>Warisnagar</v>
      </c>
      <c r="AJ1835" s="72">
        <v>0</v>
      </c>
      <c r="AK1835" s="72"/>
      <c r="AL1835" s="72"/>
      <c r="AM1835" s="72"/>
    </row>
    <row r="1836" spans="1:39" x14ac:dyDescent="0.25">
      <c r="A1836" s="37" t="s">
        <v>62</v>
      </c>
      <c r="B1836" s="66" t="s">
        <v>1615</v>
      </c>
      <c r="C1836" s="41">
        <v>1057</v>
      </c>
      <c r="D1836" s="41" t="s">
        <v>1202</v>
      </c>
      <c r="E1836" s="41">
        <v>10630009</v>
      </c>
      <c r="F1836" s="85" t="s">
        <v>1412</v>
      </c>
      <c r="G1836" s="39" t="s">
        <v>93</v>
      </c>
      <c r="H1836" s="52" t="s">
        <v>94</v>
      </c>
      <c r="I1836" s="52">
        <v>242.8</v>
      </c>
      <c r="J1836" s="49">
        <v>11455.929999999998</v>
      </c>
      <c r="K1836" s="58">
        <v>250.8</v>
      </c>
      <c r="L1836" s="58">
        <v>11401.851049541201</v>
      </c>
      <c r="M1836" s="58">
        <v>1.1000000000000001</v>
      </c>
      <c r="N1836" s="58">
        <v>50.122045933760013</v>
      </c>
      <c r="O1836" s="58">
        <v>251.9</v>
      </c>
      <c r="P1836" s="53">
        <v>11451.973095474961</v>
      </c>
      <c r="Q1836" s="65">
        <v>11451.973095474961</v>
      </c>
      <c r="R1836" s="65">
        <v>0</v>
      </c>
      <c r="S1836" s="65">
        <v>50.122045933760013</v>
      </c>
      <c r="T1836" s="65">
        <v>0</v>
      </c>
      <c r="U1836" s="58">
        <v>0</v>
      </c>
      <c r="V1836" s="65">
        <v>0</v>
      </c>
      <c r="W1836" s="65">
        <v>0</v>
      </c>
      <c r="X1836" s="65">
        <v>11402</v>
      </c>
      <c r="Y1836" s="65">
        <v>0</v>
      </c>
      <c r="Z1836" s="51">
        <v>0</v>
      </c>
      <c r="AA1836" s="51">
        <v>4</v>
      </c>
      <c r="AB1836" s="102">
        <v>0</v>
      </c>
      <c r="AC1836" s="81">
        <f t="shared" si="87"/>
        <v>431.43749555189453</v>
      </c>
      <c r="AD1836" s="82">
        <f t="shared" si="88"/>
        <v>34.68571428571429</v>
      </c>
      <c r="AE1836" s="218">
        <v>3.4540229601938183E-4</v>
      </c>
      <c r="AF1836">
        <v>2</v>
      </c>
      <c r="AH1836" t="str">
        <f t="shared" si="89"/>
        <v>Warisnagar</v>
      </c>
      <c r="AJ1836" s="72">
        <v>0</v>
      </c>
      <c r="AK1836" s="72"/>
      <c r="AL1836" s="72"/>
      <c r="AM1836" s="72"/>
    </row>
    <row r="1837" spans="1:39" x14ac:dyDescent="0.25">
      <c r="A1837" s="37" t="s">
        <v>62</v>
      </c>
      <c r="B1837" s="66" t="s">
        <v>1615</v>
      </c>
      <c r="C1837" s="41">
        <v>1057</v>
      </c>
      <c r="D1837" s="41" t="s">
        <v>1202</v>
      </c>
      <c r="E1837" s="41">
        <v>10630010</v>
      </c>
      <c r="F1837" s="85" t="s">
        <v>1413</v>
      </c>
      <c r="G1837" s="39" t="s">
        <v>635</v>
      </c>
      <c r="H1837" s="52" t="s">
        <v>99</v>
      </c>
      <c r="I1837" s="52">
        <v>383.50000000000006</v>
      </c>
      <c r="J1837" s="49">
        <v>13563.080000000002</v>
      </c>
      <c r="K1837" s="58">
        <v>0</v>
      </c>
      <c r="L1837" s="58">
        <v>0</v>
      </c>
      <c r="M1837" s="58">
        <v>0</v>
      </c>
      <c r="N1837" s="58">
        <v>0</v>
      </c>
      <c r="O1837" s="58">
        <v>0</v>
      </c>
      <c r="P1837" s="53">
        <v>0</v>
      </c>
      <c r="Q1837" s="65">
        <v>13563.080000000002</v>
      </c>
      <c r="R1837" s="65">
        <v>0</v>
      </c>
      <c r="S1837" s="65">
        <v>0</v>
      </c>
      <c r="T1837" s="65">
        <v>0</v>
      </c>
      <c r="U1837" s="58">
        <v>0</v>
      </c>
      <c r="V1837" s="65">
        <v>0</v>
      </c>
      <c r="W1837" s="65">
        <v>0</v>
      </c>
      <c r="X1837" s="65">
        <v>0</v>
      </c>
      <c r="Y1837" s="65">
        <v>0</v>
      </c>
      <c r="Z1837" s="51">
        <v>13563.080000000002</v>
      </c>
      <c r="AA1837" s="51">
        <v>0</v>
      </c>
      <c r="AB1837" s="102">
        <v>0</v>
      </c>
      <c r="AC1837" s="81">
        <f t="shared" si="87"/>
        <v>223.87039478487611</v>
      </c>
      <c r="AD1837" s="82">
        <f t="shared" si="88"/>
        <v>54.785714285714292</v>
      </c>
      <c r="AE1837" s="218">
        <v>0</v>
      </c>
      <c r="AF1837">
        <v>0</v>
      </c>
      <c r="AH1837" t="str">
        <f t="shared" si="89"/>
        <v>Warisnagar</v>
      </c>
      <c r="AJ1837" s="72">
        <v>0</v>
      </c>
      <c r="AK1837" s="72"/>
      <c r="AL1837" s="72"/>
      <c r="AM1837" s="72"/>
    </row>
    <row r="1838" spans="1:39" x14ac:dyDescent="0.25">
      <c r="A1838" s="37" t="s">
        <v>62</v>
      </c>
      <c r="B1838" s="66" t="s">
        <v>1615</v>
      </c>
      <c r="C1838" s="41">
        <v>1057</v>
      </c>
      <c r="D1838" s="41" t="s">
        <v>1202</v>
      </c>
      <c r="E1838" s="41">
        <v>10630011</v>
      </c>
      <c r="F1838" s="85" t="s">
        <v>1414</v>
      </c>
      <c r="G1838" s="39" t="s">
        <v>635</v>
      </c>
      <c r="H1838" s="52" t="s">
        <v>99</v>
      </c>
      <c r="I1838" s="52">
        <v>124.89999999999999</v>
      </c>
      <c r="J1838" s="49">
        <v>3905.6899999999996</v>
      </c>
      <c r="K1838" s="58">
        <v>0</v>
      </c>
      <c r="L1838" s="58">
        <v>0</v>
      </c>
      <c r="M1838" s="58">
        <v>0</v>
      </c>
      <c r="N1838" s="58">
        <v>0</v>
      </c>
      <c r="O1838" s="58">
        <v>0</v>
      </c>
      <c r="P1838" s="53">
        <v>0</v>
      </c>
      <c r="Q1838" s="65">
        <v>3905.6899999999996</v>
      </c>
      <c r="R1838" s="65">
        <v>0</v>
      </c>
      <c r="S1838" s="65">
        <v>0</v>
      </c>
      <c r="T1838" s="65">
        <v>0</v>
      </c>
      <c r="U1838" s="58">
        <v>0</v>
      </c>
      <c r="V1838" s="65">
        <v>0</v>
      </c>
      <c r="W1838" s="65">
        <v>0</v>
      </c>
      <c r="X1838" s="65">
        <v>0</v>
      </c>
      <c r="Y1838" s="65">
        <v>0</v>
      </c>
      <c r="Z1838" s="51">
        <v>3905.6899999999996</v>
      </c>
      <c r="AA1838" s="51">
        <v>0</v>
      </c>
      <c r="AB1838" s="102">
        <v>0</v>
      </c>
      <c r="AC1838" s="81">
        <f t="shared" si="87"/>
        <v>359.67371000800637</v>
      </c>
      <c r="AD1838" s="82">
        <f t="shared" si="88"/>
        <v>17.842857142857142</v>
      </c>
      <c r="AE1838" s="218">
        <v>0</v>
      </c>
      <c r="AF1838">
        <v>0</v>
      </c>
      <c r="AH1838" t="str">
        <f t="shared" si="89"/>
        <v>Warisnagar</v>
      </c>
      <c r="AJ1838" s="72">
        <v>0</v>
      </c>
      <c r="AK1838" s="72"/>
      <c r="AL1838" s="72"/>
      <c r="AM1838" s="72"/>
    </row>
    <row r="1839" spans="1:39" x14ac:dyDescent="0.25">
      <c r="A1839" s="37" t="s">
        <v>62</v>
      </c>
      <c r="B1839" s="66" t="s">
        <v>1615</v>
      </c>
      <c r="C1839" s="41">
        <v>1057</v>
      </c>
      <c r="D1839" s="41" t="s">
        <v>1202</v>
      </c>
      <c r="E1839" s="41">
        <v>10630012</v>
      </c>
      <c r="F1839" s="85" t="s">
        <v>1415</v>
      </c>
      <c r="G1839" s="39" t="s">
        <v>635</v>
      </c>
      <c r="H1839" s="52" t="s">
        <v>99</v>
      </c>
      <c r="I1839" s="52">
        <v>280.59999999999997</v>
      </c>
      <c r="J1839" s="49">
        <v>10444.450000000001</v>
      </c>
      <c r="K1839" s="58">
        <v>0</v>
      </c>
      <c r="L1839" s="58">
        <v>0</v>
      </c>
      <c r="M1839" s="58">
        <v>0</v>
      </c>
      <c r="N1839" s="58">
        <v>0</v>
      </c>
      <c r="O1839" s="58">
        <v>0</v>
      </c>
      <c r="P1839" s="53">
        <v>0</v>
      </c>
      <c r="Q1839" s="65">
        <v>10444.450000000001</v>
      </c>
      <c r="R1839" s="65">
        <v>0</v>
      </c>
      <c r="S1839" s="65">
        <v>0</v>
      </c>
      <c r="T1839" s="65">
        <v>0</v>
      </c>
      <c r="U1839" s="58">
        <v>0</v>
      </c>
      <c r="V1839" s="65">
        <v>0</v>
      </c>
      <c r="W1839" s="65">
        <v>0</v>
      </c>
      <c r="X1839" s="65">
        <v>0</v>
      </c>
      <c r="Y1839" s="65">
        <v>0</v>
      </c>
      <c r="Z1839" s="51">
        <v>10444.450000000001</v>
      </c>
      <c r="AA1839" s="51">
        <v>0</v>
      </c>
      <c r="AB1839" s="102">
        <v>0</v>
      </c>
      <c r="AC1839" s="81">
        <f t="shared" si="87"/>
        <v>312.21684461867432</v>
      </c>
      <c r="AD1839" s="82">
        <f t="shared" si="88"/>
        <v>40.085714285714282</v>
      </c>
      <c r="AE1839" s="218">
        <v>0</v>
      </c>
      <c r="AF1839">
        <v>0</v>
      </c>
      <c r="AH1839" t="str">
        <f t="shared" si="89"/>
        <v>Warisnagar</v>
      </c>
      <c r="AJ1839" s="72">
        <v>0</v>
      </c>
      <c r="AK1839" s="72"/>
      <c r="AL1839" s="72"/>
      <c r="AM1839" s="72"/>
    </row>
    <row r="1840" spans="1:39" x14ac:dyDescent="0.25">
      <c r="A1840" s="37" t="s">
        <v>62</v>
      </c>
      <c r="B1840" s="66" t="s">
        <v>1615</v>
      </c>
      <c r="C1840" s="41">
        <v>1057</v>
      </c>
      <c r="D1840" s="41" t="s">
        <v>1202</v>
      </c>
      <c r="E1840" s="41">
        <v>10630013</v>
      </c>
      <c r="F1840" s="85" t="s">
        <v>1539</v>
      </c>
      <c r="G1840" s="39" t="s">
        <v>93</v>
      </c>
      <c r="H1840" s="52" t="s">
        <v>94</v>
      </c>
      <c r="I1840" s="52">
        <v>503.70000000000005</v>
      </c>
      <c r="J1840" s="49">
        <v>18357.480000000003</v>
      </c>
      <c r="K1840" s="58">
        <v>503.69999999999993</v>
      </c>
      <c r="L1840" s="58">
        <v>18357.397926120004</v>
      </c>
      <c r="M1840" s="58">
        <v>0</v>
      </c>
      <c r="N1840" s="58">
        <v>0</v>
      </c>
      <c r="O1840" s="58">
        <v>503.69999999999993</v>
      </c>
      <c r="P1840" s="53">
        <v>18357.397926120004</v>
      </c>
      <c r="Q1840" s="65">
        <v>18357.397926120004</v>
      </c>
      <c r="R1840" s="65">
        <v>0</v>
      </c>
      <c r="S1840" s="65">
        <v>0</v>
      </c>
      <c r="T1840" s="65">
        <v>0</v>
      </c>
      <c r="U1840" s="58">
        <v>0</v>
      </c>
      <c r="V1840" s="65">
        <v>0</v>
      </c>
      <c r="W1840" s="65">
        <v>0</v>
      </c>
      <c r="X1840" s="65">
        <v>18357</v>
      </c>
      <c r="Y1840" s="65">
        <v>0</v>
      </c>
      <c r="Z1840" s="51">
        <v>0</v>
      </c>
      <c r="AA1840" s="51">
        <v>0</v>
      </c>
      <c r="AB1840" s="102">
        <v>0</v>
      </c>
      <c r="AC1840" s="81">
        <f t="shared" si="87"/>
        <v>143.08411054198922</v>
      </c>
      <c r="AD1840" s="82">
        <f t="shared" si="88"/>
        <v>71.95714285714287</v>
      </c>
      <c r="AE1840" s="218">
        <v>4.470868550551085E-6</v>
      </c>
      <c r="AF1840">
        <v>1</v>
      </c>
      <c r="AH1840" t="str">
        <f t="shared" si="89"/>
        <v>Warisnagar</v>
      </c>
      <c r="AJ1840" s="72">
        <v>0</v>
      </c>
      <c r="AK1840" s="72"/>
      <c r="AL1840" s="72"/>
      <c r="AM1840" s="72"/>
    </row>
    <row r="1841" spans="1:39" x14ac:dyDescent="0.25">
      <c r="A1841" s="37" t="s">
        <v>62</v>
      </c>
      <c r="B1841" s="66" t="s">
        <v>1615</v>
      </c>
      <c r="C1841" s="41">
        <v>1057</v>
      </c>
      <c r="D1841" s="41" t="s">
        <v>1202</v>
      </c>
      <c r="E1841" s="41">
        <v>10630014</v>
      </c>
      <c r="F1841" s="85" t="s">
        <v>1540</v>
      </c>
      <c r="G1841" s="39" t="s">
        <v>93</v>
      </c>
      <c r="H1841" s="52" t="s">
        <v>94</v>
      </c>
      <c r="I1841" s="52">
        <v>210.3</v>
      </c>
      <c r="J1841" s="49">
        <v>7729.16</v>
      </c>
      <c r="K1841" s="58">
        <v>210.3</v>
      </c>
      <c r="L1841" s="58">
        <v>7721.0535164400007</v>
      </c>
      <c r="M1841" s="58">
        <v>0</v>
      </c>
      <c r="N1841" s="58">
        <v>0</v>
      </c>
      <c r="O1841" s="58">
        <v>210.3</v>
      </c>
      <c r="P1841" s="53">
        <v>7721.0535164400007</v>
      </c>
      <c r="Q1841" s="65">
        <v>7721.0535164400007</v>
      </c>
      <c r="R1841" s="65">
        <v>0</v>
      </c>
      <c r="S1841" s="65">
        <v>0</v>
      </c>
      <c r="T1841" s="65">
        <v>0</v>
      </c>
      <c r="U1841" s="58">
        <v>0</v>
      </c>
      <c r="V1841" s="65">
        <v>0</v>
      </c>
      <c r="W1841" s="65">
        <v>0</v>
      </c>
      <c r="X1841" s="65">
        <v>7721</v>
      </c>
      <c r="Y1841" s="65">
        <v>0</v>
      </c>
      <c r="Z1841" s="51">
        <v>0</v>
      </c>
      <c r="AA1841" s="51">
        <v>8</v>
      </c>
      <c r="AB1841" s="102">
        <v>0</v>
      </c>
      <c r="AC1841" s="81">
        <f t="shared" si="87"/>
        <v>359.95907294341413</v>
      </c>
      <c r="AD1841" s="82">
        <f t="shared" si="88"/>
        <v>30.042857142857144</v>
      </c>
      <c r="AE1841" s="218">
        <v>1.0488181846409061E-3</v>
      </c>
      <c r="AF1841">
        <v>1</v>
      </c>
      <c r="AH1841" t="str">
        <f t="shared" si="89"/>
        <v>Warisnagar</v>
      </c>
      <c r="AJ1841" s="72">
        <v>0</v>
      </c>
      <c r="AK1841" s="72"/>
      <c r="AL1841" s="72"/>
      <c r="AM1841" s="72"/>
    </row>
    <row r="1842" spans="1:39" x14ac:dyDescent="0.25">
      <c r="A1842" s="37" t="s">
        <v>62</v>
      </c>
      <c r="B1842" s="66" t="s">
        <v>1615</v>
      </c>
      <c r="C1842" s="41">
        <v>1057</v>
      </c>
      <c r="D1842" s="41" t="s">
        <v>1202</v>
      </c>
      <c r="E1842" s="41">
        <v>10630015</v>
      </c>
      <c r="F1842" s="85" t="s">
        <v>1484</v>
      </c>
      <c r="G1842" s="39" t="s">
        <v>93</v>
      </c>
      <c r="H1842" s="52" t="s">
        <v>94</v>
      </c>
      <c r="I1842" s="52">
        <v>173.1</v>
      </c>
      <c r="J1842" s="49">
        <v>6614.59</v>
      </c>
      <c r="K1842" s="58">
        <v>173.10000000000002</v>
      </c>
      <c r="L1842" s="58">
        <v>6616.3269506400002</v>
      </c>
      <c r="M1842" s="58">
        <v>0</v>
      </c>
      <c r="N1842" s="58">
        <v>0</v>
      </c>
      <c r="O1842" s="58">
        <v>173.10000000000002</v>
      </c>
      <c r="P1842" s="53">
        <v>6616.3269506400002</v>
      </c>
      <c r="Q1842" s="65">
        <v>6614.59</v>
      </c>
      <c r="R1842" s="65">
        <v>0</v>
      </c>
      <c r="S1842" s="65">
        <v>0</v>
      </c>
      <c r="T1842" s="65">
        <v>1.7369506400000319</v>
      </c>
      <c r="U1842" s="58">
        <v>0</v>
      </c>
      <c r="V1842" s="65">
        <v>0</v>
      </c>
      <c r="W1842" s="65">
        <v>0</v>
      </c>
      <c r="X1842" s="65">
        <v>6615</v>
      </c>
      <c r="Y1842" s="65">
        <v>0</v>
      </c>
      <c r="Z1842" s="51">
        <v>0</v>
      </c>
      <c r="AA1842" s="51">
        <v>0</v>
      </c>
      <c r="AB1842" s="102">
        <v>0</v>
      </c>
      <c r="AC1842" s="81">
        <f t="shared" si="87"/>
        <v>402.68370548815716</v>
      </c>
      <c r="AD1842" s="82">
        <f t="shared" si="88"/>
        <v>24.728571428571428</v>
      </c>
      <c r="AE1842" s="218">
        <v>-2.6259384784242586E-4</v>
      </c>
      <c r="AF1842">
        <v>1</v>
      </c>
      <c r="AH1842" t="str">
        <f t="shared" si="89"/>
        <v>Warisnagar</v>
      </c>
      <c r="AJ1842" s="72">
        <v>0</v>
      </c>
      <c r="AK1842" s="72"/>
      <c r="AL1842" s="72"/>
      <c r="AM1842" s="72"/>
    </row>
    <row r="1843" spans="1:39" x14ac:dyDescent="0.25">
      <c r="A1843" s="37" t="s">
        <v>62</v>
      </c>
      <c r="B1843" s="66" t="s">
        <v>1615</v>
      </c>
      <c r="C1843" s="41">
        <v>1057</v>
      </c>
      <c r="D1843" s="41" t="s">
        <v>1202</v>
      </c>
      <c r="E1843" s="41">
        <v>10630016</v>
      </c>
      <c r="F1843" s="85" t="s">
        <v>1470</v>
      </c>
      <c r="G1843" s="39" t="s">
        <v>635</v>
      </c>
      <c r="H1843" s="52" t="s">
        <v>99</v>
      </c>
      <c r="I1843" s="52">
        <v>263.10000000000002</v>
      </c>
      <c r="J1843" s="49">
        <v>9318.1099999999988</v>
      </c>
      <c r="K1843" s="58">
        <v>0</v>
      </c>
      <c r="L1843" s="58">
        <v>0</v>
      </c>
      <c r="M1843" s="58">
        <v>0</v>
      </c>
      <c r="N1843" s="58">
        <v>0</v>
      </c>
      <c r="O1843" s="58">
        <v>0</v>
      </c>
      <c r="P1843" s="53">
        <v>0</v>
      </c>
      <c r="Q1843" s="65">
        <v>9318.1099999999988</v>
      </c>
      <c r="R1843" s="65">
        <v>0</v>
      </c>
      <c r="S1843" s="65">
        <v>0</v>
      </c>
      <c r="T1843" s="65">
        <v>0</v>
      </c>
      <c r="U1843" s="58">
        <v>0</v>
      </c>
      <c r="V1843" s="65">
        <v>0</v>
      </c>
      <c r="W1843" s="65">
        <v>0</v>
      </c>
      <c r="X1843" s="65">
        <v>0</v>
      </c>
      <c r="Y1843" s="65">
        <v>0</v>
      </c>
      <c r="Z1843" s="51">
        <v>9318.1099999999988</v>
      </c>
      <c r="AA1843" s="51">
        <v>0</v>
      </c>
      <c r="AB1843" s="102">
        <v>0</v>
      </c>
      <c r="AC1843" s="81">
        <f t="shared" si="87"/>
        <v>309.47033515773467</v>
      </c>
      <c r="AD1843" s="82">
        <f t="shared" si="88"/>
        <v>37.585714285714289</v>
      </c>
      <c r="AE1843" s="218">
        <v>0</v>
      </c>
      <c r="AF1843">
        <v>0</v>
      </c>
      <c r="AH1843" t="str">
        <f t="shared" si="89"/>
        <v>Warisnagar</v>
      </c>
      <c r="AJ1843" s="72">
        <v>0</v>
      </c>
      <c r="AK1843" s="72"/>
      <c r="AL1843" s="72"/>
      <c r="AM1843" s="72"/>
    </row>
    <row r="1844" spans="1:39" x14ac:dyDescent="0.25">
      <c r="A1844" s="37" t="s">
        <v>62</v>
      </c>
      <c r="B1844" s="66" t="s">
        <v>1615</v>
      </c>
      <c r="C1844" s="41">
        <v>1057</v>
      </c>
      <c r="D1844" s="41" t="s">
        <v>1202</v>
      </c>
      <c r="E1844" s="41">
        <v>10630018</v>
      </c>
      <c r="F1844" s="85" t="s">
        <v>1553</v>
      </c>
      <c r="G1844" s="39" t="s">
        <v>635</v>
      </c>
      <c r="H1844" s="52" t="s">
        <v>99</v>
      </c>
      <c r="I1844" s="52">
        <v>311.2</v>
      </c>
      <c r="J1844" s="49">
        <v>10732.54</v>
      </c>
      <c r="K1844" s="58">
        <v>0</v>
      </c>
      <c r="L1844" s="58">
        <v>0</v>
      </c>
      <c r="M1844" s="58">
        <v>0</v>
      </c>
      <c r="N1844" s="58">
        <v>0</v>
      </c>
      <c r="O1844" s="58">
        <v>0</v>
      </c>
      <c r="P1844" s="53">
        <v>0</v>
      </c>
      <c r="Q1844" s="65">
        <v>10732.54</v>
      </c>
      <c r="R1844" s="65">
        <v>0</v>
      </c>
      <c r="S1844" s="65">
        <v>0</v>
      </c>
      <c r="T1844" s="65">
        <v>0</v>
      </c>
      <c r="U1844" s="58">
        <v>0</v>
      </c>
      <c r="V1844" s="65">
        <v>0</v>
      </c>
      <c r="W1844" s="65">
        <v>0</v>
      </c>
      <c r="X1844" s="65">
        <v>0</v>
      </c>
      <c r="Y1844" s="65">
        <v>0</v>
      </c>
      <c r="Z1844" s="51">
        <v>10732.54</v>
      </c>
      <c r="AA1844" s="51">
        <v>0</v>
      </c>
      <c r="AB1844" s="102">
        <v>0</v>
      </c>
      <c r="AC1844" s="81">
        <f t="shared" si="87"/>
        <v>268.17554961439595</v>
      </c>
      <c r="AD1844" s="82">
        <f t="shared" si="88"/>
        <v>44.457142857142856</v>
      </c>
      <c r="AE1844" s="218">
        <v>0</v>
      </c>
      <c r="AF1844">
        <v>0</v>
      </c>
      <c r="AH1844" t="str">
        <f t="shared" si="89"/>
        <v>Warisnagar</v>
      </c>
      <c r="AJ1844" s="72">
        <v>0</v>
      </c>
      <c r="AK1844" s="72"/>
      <c r="AL1844" s="72"/>
      <c r="AM1844" s="72"/>
    </row>
    <row r="1845" spans="1:39" x14ac:dyDescent="0.25">
      <c r="A1845" s="37" t="s">
        <v>62</v>
      </c>
      <c r="B1845" s="66" t="s">
        <v>1615</v>
      </c>
      <c r="C1845" s="41">
        <v>1057</v>
      </c>
      <c r="D1845" s="41" t="s">
        <v>1202</v>
      </c>
      <c r="E1845" s="41">
        <v>10630019</v>
      </c>
      <c r="F1845" s="85" t="s">
        <v>1472</v>
      </c>
      <c r="G1845" s="39" t="s">
        <v>635</v>
      </c>
      <c r="H1845" s="52" t="s">
        <v>99</v>
      </c>
      <c r="I1845" s="52">
        <v>195.5</v>
      </c>
      <c r="J1845" s="49">
        <v>7107.45</v>
      </c>
      <c r="K1845" s="58">
        <v>0</v>
      </c>
      <c r="L1845" s="58">
        <v>0</v>
      </c>
      <c r="M1845" s="58">
        <v>0</v>
      </c>
      <c r="N1845" s="58">
        <v>0</v>
      </c>
      <c r="O1845" s="58">
        <v>0</v>
      </c>
      <c r="P1845" s="53">
        <v>0</v>
      </c>
      <c r="Q1845" s="65">
        <v>7107.45</v>
      </c>
      <c r="R1845" s="65">
        <v>0</v>
      </c>
      <c r="S1845" s="65">
        <v>0</v>
      </c>
      <c r="T1845" s="65">
        <v>0</v>
      </c>
      <c r="U1845" s="58">
        <v>0</v>
      </c>
      <c r="V1845" s="65">
        <v>0</v>
      </c>
      <c r="W1845" s="65">
        <v>0</v>
      </c>
      <c r="X1845" s="65">
        <v>0</v>
      </c>
      <c r="Y1845" s="65">
        <v>0</v>
      </c>
      <c r="Z1845" s="51">
        <v>7107.45</v>
      </c>
      <c r="AA1845" s="51">
        <v>0</v>
      </c>
      <c r="AB1845" s="102">
        <v>0</v>
      </c>
      <c r="AC1845" s="81">
        <f t="shared" si="87"/>
        <v>366.82440153452683</v>
      </c>
      <c r="AD1845" s="82">
        <f t="shared" si="88"/>
        <v>27.928571428571427</v>
      </c>
      <c r="AE1845" s="218">
        <v>0</v>
      </c>
      <c r="AF1845">
        <v>0</v>
      </c>
      <c r="AH1845" t="str">
        <f t="shared" si="89"/>
        <v>Warisnagar</v>
      </c>
      <c r="AJ1845" s="72">
        <v>0</v>
      </c>
      <c r="AK1845" s="72"/>
      <c r="AL1845" s="72"/>
      <c r="AM1845" s="72"/>
    </row>
    <row r="1846" spans="1:39" x14ac:dyDescent="0.25">
      <c r="A1846" s="37" t="s">
        <v>62</v>
      </c>
      <c r="B1846" s="66" t="s">
        <v>1615</v>
      </c>
      <c r="C1846" s="41">
        <v>1062</v>
      </c>
      <c r="D1846" s="41" t="s">
        <v>1443</v>
      </c>
      <c r="E1846" s="41">
        <v>10640001</v>
      </c>
      <c r="F1846" s="85" t="s">
        <v>1444</v>
      </c>
      <c r="G1846" s="39" t="s">
        <v>93</v>
      </c>
      <c r="H1846" s="52" t="s">
        <v>94</v>
      </c>
      <c r="I1846" s="52">
        <v>913.89999999999964</v>
      </c>
      <c r="J1846" s="49">
        <v>35427.179999999993</v>
      </c>
      <c r="K1846" s="58">
        <v>888.19999999999993</v>
      </c>
      <c r="L1846" s="58">
        <v>33999.2762863682</v>
      </c>
      <c r="M1846" s="58">
        <v>8.3999999999999986</v>
      </c>
      <c r="N1846" s="58">
        <v>315.66082284000004</v>
      </c>
      <c r="O1846" s="58">
        <v>896.59999999999991</v>
      </c>
      <c r="P1846" s="53">
        <v>34314.9371092082</v>
      </c>
      <c r="Q1846" s="65">
        <v>34314.9371092082</v>
      </c>
      <c r="R1846" s="65">
        <v>0</v>
      </c>
      <c r="S1846" s="65">
        <v>315.66082284000004</v>
      </c>
      <c r="T1846" s="65">
        <v>0</v>
      </c>
      <c r="U1846" s="58">
        <v>0</v>
      </c>
      <c r="V1846" s="65">
        <v>0</v>
      </c>
      <c r="W1846" s="65">
        <v>0</v>
      </c>
      <c r="X1846" s="65">
        <v>33999</v>
      </c>
      <c r="Y1846" s="65">
        <v>0</v>
      </c>
      <c r="Z1846" s="51">
        <v>0</v>
      </c>
      <c r="AA1846" s="51">
        <v>1113</v>
      </c>
      <c r="AB1846" s="102">
        <v>0</v>
      </c>
      <c r="AC1846" s="81">
        <f t="shared" si="87"/>
        <v>0</v>
      </c>
      <c r="AD1846" s="82">
        <f t="shared" si="88"/>
        <v>0</v>
      </c>
      <c r="AE1846" s="218">
        <v>3.1395185583266663E-2</v>
      </c>
      <c r="AF1846">
        <v>6</v>
      </c>
      <c r="AH1846" t="str">
        <f t="shared" si="89"/>
        <v>Singhia BMC</v>
      </c>
      <c r="AJ1846" s="72">
        <v>0</v>
      </c>
      <c r="AK1846" s="72"/>
      <c r="AL1846" s="72"/>
      <c r="AM1846" s="72"/>
    </row>
    <row r="1847" spans="1:39" x14ac:dyDescent="0.25">
      <c r="A1847" s="37" t="s">
        <v>62</v>
      </c>
      <c r="B1847" s="66" t="s">
        <v>1615</v>
      </c>
      <c r="C1847" s="41">
        <v>1062</v>
      </c>
      <c r="D1847" s="41" t="s">
        <v>1443</v>
      </c>
      <c r="E1847" s="41">
        <v>10640003</v>
      </c>
      <c r="F1847" s="85" t="s">
        <v>1445</v>
      </c>
      <c r="G1847" s="39" t="s">
        <v>93</v>
      </c>
      <c r="H1847" s="52" t="s">
        <v>94</v>
      </c>
      <c r="I1847" s="52">
        <v>880.56999999999994</v>
      </c>
      <c r="J1847" s="49">
        <v>37118.89</v>
      </c>
      <c r="K1847" s="58">
        <v>899.40000000000009</v>
      </c>
      <c r="L1847" s="58">
        <v>37997.223244627901</v>
      </c>
      <c r="M1847" s="58">
        <v>11.900000000000002</v>
      </c>
      <c r="N1847" s="58">
        <v>492.47879868000007</v>
      </c>
      <c r="O1847" s="58">
        <v>911.30000000000007</v>
      </c>
      <c r="P1847" s="53">
        <v>38489.702043307901</v>
      </c>
      <c r="Q1847" s="65">
        <v>37118.89</v>
      </c>
      <c r="R1847" s="65">
        <v>0</v>
      </c>
      <c r="S1847" s="65">
        <v>492.47879868000007</v>
      </c>
      <c r="T1847" s="65">
        <v>1370.8120433079021</v>
      </c>
      <c r="U1847" s="58">
        <v>0</v>
      </c>
      <c r="V1847" s="65">
        <v>0</v>
      </c>
      <c r="W1847" s="65">
        <v>0</v>
      </c>
      <c r="X1847" s="65">
        <v>36626</v>
      </c>
      <c r="Y1847" s="65">
        <v>0</v>
      </c>
      <c r="Z1847" s="51">
        <v>0</v>
      </c>
      <c r="AA1847" s="51">
        <v>0</v>
      </c>
      <c r="AB1847" s="102" t="s">
        <v>66</v>
      </c>
      <c r="AC1847" s="81">
        <f t="shared" si="87"/>
        <v>0</v>
      </c>
      <c r="AD1847" s="82">
        <f t="shared" si="88"/>
        <v>0</v>
      </c>
      <c r="AE1847" s="218">
        <v>-3.6930308080546106E-2</v>
      </c>
      <c r="AF1847">
        <v>11</v>
      </c>
      <c r="AH1847" t="str">
        <f t="shared" si="89"/>
        <v>Singhia BMC</v>
      </c>
      <c r="AJ1847" s="72">
        <v>0</v>
      </c>
      <c r="AK1847" s="72"/>
      <c r="AL1847" s="72"/>
      <c r="AM1847" s="72"/>
    </row>
    <row r="1848" spans="1:39" x14ac:dyDescent="0.25">
      <c r="A1848" s="37" t="s">
        <v>62</v>
      </c>
      <c r="B1848" s="66" t="s">
        <v>1615</v>
      </c>
      <c r="C1848" s="41">
        <v>1062</v>
      </c>
      <c r="D1848" s="41" t="s">
        <v>1443</v>
      </c>
      <c r="E1848" s="41">
        <v>10640004</v>
      </c>
      <c r="F1848" s="85" t="s">
        <v>1446</v>
      </c>
      <c r="G1848" s="39" t="s">
        <v>93</v>
      </c>
      <c r="H1848" s="52" t="s">
        <v>94</v>
      </c>
      <c r="I1848" s="52">
        <v>147.86999999999998</v>
      </c>
      <c r="J1848" s="49">
        <v>5681.81</v>
      </c>
      <c r="K1848" s="58">
        <v>146.54999999999998</v>
      </c>
      <c r="L1848" s="58">
        <v>5630.558006700001</v>
      </c>
      <c r="M1848" s="58">
        <v>0.85</v>
      </c>
      <c r="N1848" s="58">
        <v>32.796349740000004</v>
      </c>
      <c r="O1848" s="58">
        <v>147.39999999999998</v>
      </c>
      <c r="P1848" s="53">
        <v>5663.3543564400006</v>
      </c>
      <c r="Q1848" s="65">
        <v>5663.3543564400006</v>
      </c>
      <c r="R1848" s="65">
        <v>0</v>
      </c>
      <c r="S1848" s="65">
        <v>32.796349740000004</v>
      </c>
      <c r="T1848" s="65">
        <v>0</v>
      </c>
      <c r="U1848" s="58">
        <v>0</v>
      </c>
      <c r="V1848" s="65">
        <v>0</v>
      </c>
      <c r="W1848" s="65">
        <v>0</v>
      </c>
      <c r="X1848" s="65">
        <v>5631</v>
      </c>
      <c r="Y1848" s="65">
        <v>0</v>
      </c>
      <c r="Z1848" s="51">
        <v>0</v>
      </c>
      <c r="AA1848" s="51">
        <v>18</v>
      </c>
      <c r="AB1848" s="102">
        <v>0</v>
      </c>
      <c r="AC1848" s="81">
        <f t="shared" si="87"/>
        <v>424.30482928247795</v>
      </c>
      <c r="AD1848" s="82">
        <f t="shared" si="88"/>
        <v>21.124285714285712</v>
      </c>
      <c r="AE1848" s="218">
        <v>3.248197943964999E-3</v>
      </c>
      <c r="AF1848">
        <v>2</v>
      </c>
      <c r="AH1848" t="str">
        <f t="shared" si="89"/>
        <v>Singhia BMC</v>
      </c>
      <c r="AJ1848" s="72">
        <v>0</v>
      </c>
      <c r="AK1848" s="72"/>
      <c r="AL1848" s="72"/>
      <c r="AM1848" s="72"/>
    </row>
    <row r="1849" spans="1:39" x14ac:dyDescent="0.25">
      <c r="A1849" s="37" t="s">
        <v>62</v>
      </c>
      <c r="B1849" s="66" t="s">
        <v>1615</v>
      </c>
      <c r="C1849" s="41">
        <v>1062</v>
      </c>
      <c r="D1849" s="41" t="s">
        <v>1443</v>
      </c>
      <c r="E1849" s="41">
        <v>10640005</v>
      </c>
      <c r="F1849" s="85" t="s">
        <v>1447</v>
      </c>
      <c r="G1849" s="39" t="s">
        <v>93</v>
      </c>
      <c r="H1849" s="52" t="s">
        <v>94</v>
      </c>
      <c r="I1849" s="52">
        <v>169.83</v>
      </c>
      <c r="J1849" s="49">
        <v>7597.8200000000006</v>
      </c>
      <c r="K1849" s="58">
        <v>167.9</v>
      </c>
      <c r="L1849" s="58">
        <v>7507.3254287770014</v>
      </c>
      <c r="M1849" s="58">
        <v>1.2</v>
      </c>
      <c r="N1849" s="58">
        <v>56.281642334000004</v>
      </c>
      <c r="O1849" s="58">
        <v>169.1</v>
      </c>
      <c r="P1849" s="53">
        <v>7563.6070711110015</v>
      </c>
      <c r="Q1849" s="65">
        <v>7563.6070711110015</v>
      </c>
      <c r="R1849" s="65">
        <v>0</v>
      </c>
      <c r="S1849" s="65">
        <v>56.281642334000004</v>
      </c>
      <c r="T1849" s="65">
        <v>0</v>
      </c>
      <c r="U1849" s="58">
        <v>0</v>
      </c>
      <c r="V1849" s="65">
        <v>0</v>
      </c>
      <c r="W1849" s="65">
        <v>0</v>
      </c>
      <c r="X1849" s="65">
        <v>7507</v>
      </c>
      <c r="Y1849" s="65">
        <v>0</v>
      </c>
      <c r="Z1849" s="51">
        <v>0</v>
      </c>
      <c r="AA1849" s="51">
        <v>35</v>
      </c>
      <c r="AB1849" s="102">
        <v>0</v>
      </c>
      <c r="AC1849" s="81">
        <f t="shared" si="87"/>
        <v>474.37275268209379</v>
      </c>
      <c r="AD1849" s="82">
        <f t="shared" si="88"/>
        <v>24.261428571428574</v>
      </c>
      <c r="AE1849" s="218">
        <v>4.5029928175449215E-3</v>
      </c>
      <c r="AF1849">
        <v>2</v>
      </c>
      <c r="AH1849" t="str">
        <f t="shared" si="89"/>
        <v>Singhia BMC</v>
      </c>
      <c r="AJ1849" s="72">
        <v>0</v>
      </c>
      <c r="AK1849" s="72"/>
      <c r="AL1849" s="72"/>
      <c r="AM1849" s="72"/>
    </row>
    <row r="1850" spans="1:39" x14ac:dyDescent="0.25">
      <c r="A1850" s="37" t="s">
        <v>62</v>
      </c>
      <c r="B1850" s="66" t="s">
        <v>1615</v>
      </c>
      <c r="C1850" s="41">
        <v>1062</v>
      </c>
      <c r="D1850" s="41" t="s">
        <v>1443</v>
      </c>
      <c r="E1850" s="41">
        <v>10640006</v>
      </c>
      <c r="F1850" s="85" t="s">
        <v>1448</v>
      </c>
      <c r="G1850" s="39" t="s">
        <v>93</v>
      </c>
      <c r="H1850" s="52" t="s">
        <v>94</v>
      </c>
      <c r="I1850" s="52">
        <v>195.17000000000002</v>
      </c>
      <c r="J1850" s="49">
        <v>10078.390000000001</v>
      </c>
      <c r="K1850" s="58">
        <v>124.6</v>
      </c>
      <c r="L1850" s="58">
        <v>6529.7538842277008</v>
      </c>
      <c r="M1850" s="58">
        <v>45.5</v>
      </c>
      <c r="N1850" s="58">
        <v>2529.9757132075001</v>
      </c>
      <c r="O1850" s="58">
        <v>170.1</v>
      </c>
      <c r="P1850" s="53">
        <v>9059.7295974352019</v>
      </c>
      <c r="Q1850" s="65">
        <v>9059.7295974352019</v>
      </c>
      <c r="R1850" s="65">
        <v>0</v>
      </c>
      <c r="S1850" s="65">
        <v>228.24283905760004</v>
      </c>
      <c r="T1850" s="65">
        <v>0</v>
      </c>
      <c r="U1850" s="58">
        <v>0</v>
      </c>
      <c r="V1850" s="65">
        <v>0</v>
      </c>
      <c r="W1850" s="65">
        <v>0</v>
      </c>
      <c r="X1850" s="65">
        <v>6531</v>
      </c>
      <c r="Y1850" s="65">
        <v>2302</v>
      </c>
      <c r="Z1850" s="51">
        <v>0</v>
      </c>
      <c r="AA1850" s="51">
        <v>1017</v>
      </c>
      <c r="AB1850" s="102">
        <v>0</v>
      </c>
      <c r="AC1850" s="81">
        <f t="shared" si="87"/>
        <v>521.37865693497974</v>
      </c>
      <c r="AD1850" s="82">
        <f t="shared" si="88"/>
        <v>27.881428571428575</v>
      </c>
      <c r="AE1850" s="218">
        <v>0.10107372333922375</v>
      </c>
      <c r="AF1850">
        <v>9</v>
      </c>
      <c r="AH1850" t="str">
        <f t="shared" si="89"/>
        <v>Singhia BMC</v>
      </c>
      <c r="AJ1850" s="72">
        <v>0</v>
      </c>
      <c r="AK1850" s="72"/>
      <c r="AL1850" s="72"/>
      <c r="AM1850" s="72"/>
    </row>
    <row r="1851" spans="1:39" x14ac:dyDescent="0.25">
      <c r="A1851" s="37" t="s">
        <v>62</v>
      </c>
      <c r="B1851" s="66" t="s">
        <v>1615</v>
      </c>
      <c r="C1851" s="41">
        <v>1062</v>
      </c>
      <c r="D1851" s="41" t="s">
        <v>1443</v>
      </c>
      <c r="E1851" s="41">
        <v>10640007</v>
      </c>
      <c r="F1851" s="85" t="s">
        <v>1449</v>
      </c>
      <c r="G1851" s="39" t="s">
        <v>635</v>
      </c>
      <c r="H1851" s="52" t="s">
        <v>99</v>
      </c>
      <c r="I1851" s="52">
        <v>260.49</v>
      </c>
      <c r="J1851" s="49">
        <v>10724.77</v>
      </c>
      <c r="K1851" s="58">
        <v>0</v>
      </c>
      <c r="L1851" s="58">
        <v>0</v>
      </c>
      <c r="M1851" s="58">
        <v>0</v>
      </c>
      <c r="N1851" s="58">
        <v>0</v>
      </c>
      <c r="O1851" s="58">
        <v>0</v>
      </c>
      <c r="P1851" s="53">
        <v>0</v>
      </c>
      <c r="Q1851" s="65">
        <v>10724.77</v>
      </c>
      <c r="R1851" s="65">
        <v>0</v>
      </c>
      <c r="S1851" s="65">
        <v>0</v>
      </c>
      <c r="T1851" s="65">
        <v>0</v>
      </c>
      <c r="U1851" s="58">
        <v>0</v>
      </c>
      <c r="V1851" s="65">
        <v>0</v>
      </c>
      <c r="W1851" s="65">
        <v>0</v>
      </c>
      <c r="X1851" s="65">
        <v>0</v>
      </c>
      <c r="Y1851" s="65">
        <v>0</v>
      </c>
      <c r="Z1851" s="51">
        <v>10724.77</v>
      </c>
      <c r="AA1851" s="51">
        <v>0</v>
      </c>
      <c r="AB1851" s="102">
        <v>0</v>
      </c>
      <c r="AC1851" s="81">
        <f t="shared" si="87"/>
        <v>361.9059205881224</v>
      </c>
      <c r="AD1851" s="82">
        <f t="shared" si="88"/>
        <v>37.212857142857146</v>
      </c>
      <c r="AE1851" s="218">
        <v>0</v>
      </c>
      <c r="AF1851">
        <v>0</v>
      </c>
      <c r="AH1851" t="str">
        <f t="shared" si="89"/>
        <v>Singhia BMC</v>
      </c>
      <c r="AJ1851" s="72">
        <v>0</v>
      </c>
      <c r="AK1851" s="72"/>
      <c r="AL1851" s="72"/>
      <c r="AM1851" s="72"/>
    </row>
    <row r="1852" spans="1:39" x14ac:dyDescent="0.25">
      <c r="A1852" s="37" t="s">
        <v>62</v>
      </c>
      <c r="B1852" s="66" t="s">
        <v>1615</v>
      </c>
      <c r="C1852" s="41">
        <v>1062</v>
      </c>
      <c r="D1852" s="41" t="s">
        <v>1443</v>
      </c>
      <c r="E1852" s="41">
        <v>10640008</v>
      </c>
      <c r="F1852" s="85" t="s">
        <v>1584</v>
      </c>
      <c r="G1852" s="39" t="s">
        <v>93</v>
      </c>
      <c r="H1852" s="52" t="s">
        <v>94</v>
      </c>
      <c r="I1852" s="52">
        <v>119.86999999999999</v>
      </c>
      <c r="J1852" s="49">
        <v>5325.35</v>
      </c>
      <c r="K1852" s="58">
        <v>119.2</v>
      </c>
      <c r="L1852" s="58">
        <v>5296.0428717372015</v>
      </c>
      <c r="M1852" s="58">
        <v>0</v>
      </c>
      <c r="N1852" s="58">
        <v>0</v>
      </c>
      <c r="O1852" s="58">
        <v>119.2</v>
      </c>
      <c r="P1852" s="53">
        <v>5296.0428717372015</v>
      </c>
      <c r="Q1852" s="65">
        <v>5296.0428717372015</v>
      </c>
      <c r="R1852" s="65">
        <v>0</v>
      </c>
      <c r="S1852" s="65">
        <v>0</v>
      </c>
      <c r="T1852" s="65">
        <v>0</v>
      </c>
      <c r="U1852" s="58">
        <v>0</v>
      </c>
      <c r="V1852" s="65">
        <v>0</v>
      </c>
      <c r="W1852" s="65">
        <v>0</v>
      </c>
      <c r="X1852" s="65">
        <v>5296</v>
      </c>
      <c r="Y1852" s="65">
        <v>0</v>
      </c>
      <c r="Z1852" s="51">
        <v>0</v>
      </c>
      <c r="AA1852" s="51">
        <v>29</v>
      </c>
      <c r="AB1852" s="102">
        <v>0</v>
      </c>
      <c r="AC1852" s="81">
        <f t="shared" si="87"/>
        <v>515.45762834737639</v>
      </c>
      <c r="AD1852" s="82">
        <f t="shared" si="88"/>
        <v>17.124285714285712</v>
      </c>
      <c r="AE1852" s="218">
        <v>5.5033243378930716E-3</v>
      </c>
      <c r="AF1852">
        <v>1</v>
      </c>
      <c r="AH1852" t="str">
        <f t="shared" si="89"/>
        <v>Singhia BMC</v>
      </c>
      <c r="AJ1852" s="72">
        <v>0</v>
      </c>
      <c r="AK1852" s="72"/>
      <c r="AL1852" s="72"/>
      <c r="AM1852" s="72"/>
    </row>
    <row r="1853" spans="1:39" x14ac:dyDescent="0.25">
      <c r="A1853" s="37" t="s">
        <v>62</v>
      </c>
      <c r="B1853" s="66" t="s">
        <v>1615</v>
      </c>
      <c r="C1853" s="41">
        <v>1062</v>
      </c>
      <c r="D1853" s="41" t="s">
        <v>1443</v>
      </c>
      <c r="E1853" s="41">
        <v>10640009</v>
      </c>
      <c r="F1853" s="85" t="s">
        <v>1529</v>
      </c>
      <c r="G1853" s="39" t="s">
        <v>93</v>
      </c>
      <c r="H1853" s="52" t="s">
        <v>94</v>
      </c>
      <c r="I1853" s="52">
        <v>256.25</v>
      </c>
      <c r="J1853" s="49">
        <v>12557.65</v>
      </c>
      <c r="K1853" s="58">
        <v>269.2</v>
      </c>
      <c r="L1853" s="58">
        <v>13074.808753440002</v>
      </c>
      <c r="M1853" s="58">
        <v>0</v>
      </c>
      <c r="N1853" s="58">
        <v>0</v>
      </c>
      <c r="O1853" s="58">
        <v>269.2</v>
      </c>
      <c r="P1853" s="53">
        <v>13074.808753440002</v>
      </c>
      <c r="Q1853" s="65">
        <v>12557.65</v>
      </c>
      <c r="R1853" s="65">
        <v>0</v>
      </c>
      <c r="S1853" s="65">
        <v>0</v>
      </c>
      <c r="T1853" s="65">
        <v>517.15875344000233</v>
      </c>
      <c r="U1853" s="58">
        <v>0</v>
      </c>
      <c r="V1853" s="65">
        <v>0</v>
      </c>
      <c r="W1853" s="65">
        <v>0</v>
      </c>
      <c r="X1853" s="65">
        <v>12558</v>
      </c>
      <c r="Y1853" s="65">
        <v>0</v>
      </c>
      <c r="Z1853" s="51">
        <v>0</v>
      </c>
      <c r="AA1853" s="51">
        <v>0</v>
      </c>
      <c r="AB1853" s="102">
        <v>0</v>
      </c>
      <c r="AC1853" s="81">
        <f t="shared" si="87"/>
        <v>434.92348780487805</v>
      </c>
      <c r="AD1853" s="82">
        <f t="shared" si="88"/>
        <v>36.607142857142854</v>
      </c>
      <c r="AE1853" s="218">
        <v>-4.1182765361353624E-2</v>
      </c>
      <c r="AF1853">
        <v>1</v>
      </c>
      <c r="AH1853" t="str">
        <f t="shared" si="89"/>
        <v>Singhia BMC</v>
      </c>
      <c r="AJ1853" s="72">
        <v>0</v>
      </c>
      <c r="AK1853" s="72"/>
      <c r="AL1853" s="72"/>
      <c r="AM1853" s="72"/>
    </row>
    <row r="1854" spans="1:39" x14ac:dyDescent="0.25">
      <c r="A1854" s="37" t="s">
        <v>62</v>
      </c>
      <c r="B1854" s="66" t="s">
        <v>1615</v>
      </c>
      <c r="C1854" s="41">
        <v>1062</v>
      </c>
      <c r="D1854" s="41" t="s">
        <v>1443</v>
      </c>
      <c r="E1854" s="41">
        <v>10640010</v>
      </c>
      <c r="F1854" s="85" t="s">
        <v>1485</v>
      </c>
      <c r="G1854" s="39" t="s">
        <v>635</v>
      </c>
      <c r="H1854" s="52" t="s">
        <v>99</v>
      </c>
      <c r="I1854" s="52">
        <v>199.21</v>
      </c>
      <c r="J1854" s="49">
        <v>7878.84</v>
      </c>
      <c r="K1854" s="58">
        <v>0</v>
      </c>
      <c r="L1854" s="58">
        <v>0</v>
      </c>
      <c r="M1854" s="58">
        <v>0</v>
      </c>
      <c r="N1854" s="58">
        <v>0</v>
      </c>
      <c r="O1854" s="58">
        <v>0</v>
      </c>
      <c r="P1854" s="53">
        <v>0</v>
      </c>
      <c r="Q1854" s="65">
        <v>7878.84</v>
      </c>
      <c r="R1854" s="65">
        <v>0</v>
      </c>
      <c r="S1854" s="65">
        <v>0</v>
      </c>
      <c r="T1854" s="65">
        <v>0</v>
      </c>
      <c r="U1854" s="58">
        <v>0</v>
      </c>
      <c r="V1854" s="65">
        <v>0</v>
      </c>
      <c r="W1854" s="65">
        <v>0</v>
      </c>
      <c r="X1854" s="65">
        <v>0</v>
      </c>
      <c r="Y1854" s="65">
        <v>0</v>
      </c>
      <c r="Z1854" s="51">
        <v>7878.84</v>
      </c>
      <c r="AA1854" s="51">
        <v>0</v>
      </c>
      <c r="AB1854" s="102">
        <v>0</v>
      </c>
      <c r="AC1854" s="81">
        <f t="shared" si="87"/>
        <v>396.1291384569048</v>
      </c>
      <c r="AD1854" s="82">
        <f t="shared" si="88"/>
        <v>28.458571428571428</v>
      </c>
      <c r="AE1854" s="218">
        <v>0</v>
      </c>
      <c r="AF1854">
        <v>0</v>
      </c>
      <c r="AH1854" t="str">
        <f t="shared" si="89"/>
        <v>Singhia BMC</v>
      </c>
      <c r="AJ1854" s="72">
        <v>0</v>
      </c>
      <c r="AK1854" s="72"/>
      <c r="AL1854" s="72"/>
      <c r="AM1854" s="72"/>
    </row>
    <row r="1855" spans="1:39" x14ac:dyDescent="0.25">
      <c r="A1855" s="37" t="s">
        <v>62</v>
      </c>
      <c r="B1855" s="66" t="s">
        <v>1615</v>
      </c>
      <c r="C1855" s="41">
        <v>1062</v>
      </c>
      <c r="D1855" s="41" t="s">
        <v>1443</v>
      </c>
      <c r="E1855" s="41">
        <v>10640011</v>
      </c>
      <c r="F1855" s="85" t="s">
        <v>1486</v>
      </c>
      <c r="G1855" s="39" t="s">
        <v>635</v>
      </c>
      <c r="H1855" s="52" t="s">
        <v>99</v>
      </c>
      <c r="I1855" s="52">
        <v>204.85999999999999</v>
      </c>
      <c r="J1855" s="49">
        <v>9161</v>
      </c>
      <c r="K1855" s="58">
        <v>0</v>
      </c>
      <c r="L1855" s="58">
        <v>0</v>
      </c>
      <c r="M1855" s="58">
        <v>0</v>
      </c>
      <c r="N1855" s="58">
        <v>0</v>
      </c>
      <c r="O1855" s="58">
        <v>0</v>
      </c>
      <c r="P1855" s="53">
        <v>0</v>
      </c>
      <c r="Q1855" s="65">
        <v>9161</v>
      </c>
      <c r="R1855" s="65">
        <v>0</v>
      </c>
      <c r="S1855" s="65">
        <v>0</v>
      </c>
      <c r="T1855" s="65">
        <v>0</v>
      </c>
      <c r="U1855" s="58">
        <v>0</v>
      </c>
      <c r="V1855" s="65">
        <v>0</v>
      </c>
      <c r="W1855" s="65">
        <v>0</v>
      </c>
      <c r="X1855" s="65">
        <v>0</v>
      </c>
      <c r="Y1855" s="65">
        <v>0</v>
      </c>
      <c r="Z1855" s="51">
        <v>9161</v>
      </c>
      <c r="AA1855" s="51">
        <v>0</v>
      </c>
      <c r="AB1855" s="102">
        <v>0</v>
      </c>
      <c r="AC1855" s="81">
        <f t="shared" si="87"/>
        <v>442.83681929122338</v>
      </c>
      <c r="AD1855" s="82">
        <f t="shared" si="88"/>
        <v>29.265714285714285</v>
      </c>
      <c r="AE1855" s="218">
        <v>0</v>
      </c>
      <c r="AF1855">
        <v>0</v>
      </c>
      <c r="AH1855" t="str">
        <f t="shared" si="89"/>
        <v>Singhia BMC</v>
      </c>
      <c r="AJ1855" s="72">
        <v>0</v>
      </c>
      <c r="AK1855" s="72"/>
      <c r="AL1855" s="72"/>
      <c r="AM1855" s="72"/>
    </row>
    <row r="1856" spans="1:39" x14ac:dyDescent="0.25">
      <c r="A1856" s="37" t="s">
        <v>62</v>
      </c>
      <c r="B1856" s="66" t="s">
        <v>1615</v>
      </c>
      <c r="C1856" s="41">
        <v>1065</v>
      </c>
      <c r="D1856" s="41" t="s">
        <v>1473</v>
      </c>
      <c r="E1856" s="41">
        <v>10650001</v>
      </c>
      <c r="F1856" s="85" t="s">
        <v>1474</v>
      </c>
      <c r="G1856" s="39" t="s">
        <v>93</v>
      </c>
      <c r="H1856" s="52" t="s">
        <v>94</v>
      </c>
      <c r="I1856" s="52">
        <v>173.89999999999998</v>
      </c>
      <c r="J1856" s="49">
        <v>6775.26</v>
      </c>
      <c r="K1856" s="58">
        <v>167.9</v>
      </c>
      <c r="L1856" s="58">
        <v>6873.2160323747994</v>
      </c>
      <c r="M1856" s="58">
        <v>0</v>
      </c>
      <c r="N1856" s="58">
        <v>0</v>
      </c>
      <c r="O1856" s="58">
        <v>167.9</v>
      </c>
      <c r="P1856" s="53">
        <v>6873.2160323747994</v>
      </c>
      <c r="Q1856" s="65">
        <v>6775.26</v>
      </c>
      <c r="R1856" s="65">
        <v>0</v>
      </c>
      <c r="S1856" s="65">
        <v>0</v>
      </c>
      <c r="T1856" s="65">
        <v>97.956032374799179</v>
      </c>
      <c r="U1856" s="58">
        <v>0</v>
      </c>
      <c r="V1856" s="65">
        <v>0</v>
      </c>
      <c r="W1856" s="65">
        <v>0</v>
      </c>
      <c r="X1856" s="65">
        <v>6775</v>
      </c>
      <c r="Y1856" s="65">
        <v>0</v>
      </c>
      <c r="Z1856" s="51">
        <v>0</v>
      </c>
      <c r="AA1856" s="51">
        <v>0</v>
      </c>
      <c r="AB1856" s="102">
        <v>0</v>
      </c>
      <c r="AC1856" s="81">
        <f t="shared" si="87"/>
        <v>409.94413870040262</v>
      </c>
      <c r="AD1856" s="82">
        <f t="shared" si="88"/>
        <v>24.842857142857138</v>
      </c>
      <c r="AE1856" s="218">
        <v>-1.4457900121146521E-2</v>
      </c>
      <c r="AF1856">
        <v>3</v>
      </c>
      <c r="AH1856" t="str">
        <f t="shared" si="89"/>
        <v>Bachhwara BMC</v>
      </c>
      <c r="AJ1856" s="72">
        <v>0</v>
      </c>
      <c r="AK1856" s="72"/>
      <c r="AL1856" s="72"/>
      <c r="AM1856" s="72"/>
    </row>
    <row r="1857" spans="1:39" x14ac:dyDescent="0.25">
      <c r="A1857" s="37" t="s">
        <v>62</v>
      </c>
      <c r="B1857" s="66" t="s">
        <v>1615</v>
      </c>
      <c r="C1857" s="41">
        <v>1065</v>
      </c>
      <c r="D1857" s="41" t="s">
        <v>1473</v>
      </c>
      <c r="E1857" s="41">
        <v>10650003</v>
      </c>
      <c r="F1857" s="85" t="s">
        <v>1475</v>
      </c>
      <c r="G1857" s="39" t="s">
        <v>93</v>
      </c>
      <c r="H1857" s="52" t="s">
        <v>94</v>
      </c>
      <c r="I1857" s="52">
        <v>1182.0999999999999</v>
      </c>
      <c r="J1857" s="49">
        <v>46966.960000000006</v>
      </c>
      <c r="K1857" s="58">
        <v>1079.8</v>
      </c>
      <c r="L1857" s="58">
        <v>43345.899408231999</v>
      </c>
      <c r="M1857" s="58">
        <v>0</v>
      </c>
      <c r="N1857" s="58">
        <v>0</v>
      </c>
      <c r="O1857" s="58">
        <v>1079.8</v>
      </c>
      <c r="P1857" s="53">
        <v>43345.899408231999</v>
      </c>
      <c r="Q1857" s="65">
        <v>43345.899408231999</v>
      </c>
      <c r="R1857" s="65">
        <v>0</v>
      </c>
      <c r="S1857" s="65">
        <v>0</v>
      </c>
      <c r="T1857" s="65">
        <v>0</v>
      </c>
      <c r="U1857" s="58">
        <v>0</v>
      </c>
      <c r="V1857" s="65">
        <v>0</v>
      </c>
      <c r="W1857" s="65">
        <v>0</v>
      </c>
      <c r="X1857" s="65">
        <v>43345</v>
      </c>
      <c r="Y1857" s="65">
        <v>0</v>
      </c>
      <c r="Z1857" s="51">
        <v>0</v>
      </c>
      <c r="AA1857" s="51">
        <v>3622</v>
      </c>
      <c r="AB1857" s="102">
        <v>0</v>
      </c>
      <c r="AC1857" s="81">
        <f t="shared" si="87"/>
        <v>0</v>
      </c>
      <c r="AD1857" s="82">
        <f t="shared" si="88"/>
        <v>0</v>
      </c>
      <c r="AE1857" s="218">
        <v>7.709804066024302E-2</v>
      </c>
      <c r="AF1857">
        <v>18</v>
      </c>
      <c r="AH1857" t="str">
        <f t="shared" si="89"/>
        <v>Bachhwara BMC</v>
      </c>
      <c r="AJ1857" s="72">
        <v>0</v>
      </c>
      <c r="AK1857" s="72"/>
      <c r="AL1857" s="72"/>
      <c r="AM1857" s="72"/>
    </row>
    <row r="1858" spans="1:39" x14ac:dyDescent="0.25">
      <c r="A1858" s="37" t="s">
        <v>62</v>
      </c>
      <c r="B1858" s="66" t="s">
        <v>1615</v>
      </c>
      <c r="C1858" s="41">
        <v>1065</v>
      </c>
      <c r="D1858" s="41" t="s">
        <v>1473</v>
      </c>
      <c r="E1858" s="41">
        <v>10650004</v>
      </c>
      <c r="F1858" s="85" t="s">
        <v>1530</v>
      </c>
      <c r="G1858" s="39" t="s">
        <v>93</v>
      </c>
      <c r="H1858" s="52" t="s">
        <v>94</v>
      </c>
      <c r="I1858" s="52">
        <v>394.5</v>
      </c>
      <c r="J1858" s="49">
        <v>15085.789999999999</v>
      </c>
      <c r="K1858" s="58">
        <v>412.19999999999993</v>
      </c>
      <c r="L1858" s="58">
        <v>15967.492314494993</v>
      </c>
      <c r="M1858" s="58">
        <v>0</v>
      </c>
      <c r="N1858" s="58">
        <v>0</v>
      </c>
      <c r="O1858" s="58">
        <v>412.19999999999993</v>
      </c>
      <c r="P1858" s="53">
        <v>15967.492314494993</v>
      </c>
      <c r="Q1858" s="65">
        <v>15085.789999999999</v>
      </c>
      <c r="R1858" s="65">
        <v>0</v>
      </c>
      <c r="S1858" s="65">
        <v>0</v>
      </c>
      <c r="T1858" s="65">
        <v>881.70231449499443</v>
      </c>
      <c r="U1858" s="58">
        <v>0</v>
      </c>
      <c r="V1858" s="65">
        <v>0</v>
      </c>
      <c r="W1858" s="65">
        <v>0</v>
      </c>
      <c r="X1858" s="65">
        <v>15086</v>
      </c>
      <c r="Y1858" s="65">
        <v>0</v>
      </c>
      <c r="Z1858" s="51">
        <v>0</v>
      </c>
      <c r="AA1858" s="51">
        <v>0</v>
      </c>
      <c r="AB1858" s="102">
        <v>0</v>
      </c>
      <c r="AC1858" s="81">
        <f t="shared" si="87"/>
        <v>233.64810367553866</v>
      </c>
      <c r="AD1858" s="82">
        <f t="shared" si="88"/>
        <v>56.357142857142854</v>
      </c>
      <c r="AE1858" s="218">
        <v>-5.8445882813892708E-2</v>
      </c>
      <c r="AF1858">
        <v>1</v>
      </c>
      <c r="AH1858" t="str">
        <f t="shared" si="89"/>
        <v>Bachhwara BMC</v>
      </c>
      <c r="AJ1858" s="72">
        <v>0</v>
      </c>
      <c r="AK1858" s="72"/>
      <c r="AL1858" s="72"/>
      <c r="AM1858" s="72"/>
    </row>
    <row r="1859" spans="1:39" x14ac:dyDescent="0.25">
      <c r="A1859" s="37" t="s">
        <v>62</v>
      </c>
      <c r="B1859" s="66" t="s">
        <v>1615</v>
      </c>
      <c r="C1859" s="41">
        <v>1065</v>
      </c>
      <c r="D1859" s="41" t="s">
        <v>1473</v>
      </c>
      <c r="E1859" s="41">
        <v>10650006</v>
      </c>
      <c r="F1859" s="85" t="s">
        <v>1476</v>
      </c>
      <c r="G1859" s="39" t="s">
        <v>635</v>
      </c>
      <c r="H1859" s="52" t="s">
        <v>99</v>
      </c>
      <c r="I1859" s="52">
        <v>139.80000000000004</v>
      </c>
      <c r="J1859" s="49">
        <v>5393.3899999999985</v>
      </c>
      <c r="K1859" s="58">
        <v>0</v>
      </c>
      <c r="L1859" s="58">
        <v>0</v>
      </c>
      <c r="M1859" s="58">
        <v>0</v>
      </c>
      <c r="N1859" s="58">
        <v>0</v>
      </c>
      <c r="O1859" s="58">
        <v>0</v>
      </c>
      <c r="P1859" s="53">
        <v>0</v>
      </c>
      <c r="Q1859" s="65">
        <v>5393.3899999999985</v>
      </c>
      <c r="R1859" s="65">
        <v>0</v>
      </c>
      <c r="S1859" s="65">
        <v>0</v>
      </c>
      <c r="T1859" s="65">
        <v>0</v>
      </c>
      <c r="U1859" s="58">
        <v>0</v>
      </c>
      <c r="V1859" s="65">
        <v>0</v>
      </c>
      <c r="W1859" s="65">
        <v>0</v>
      </c>
      <c r="X1859" s="65">
        <v>0</v>
      </c>
      <c r="Y1859" s="65">
        <v>0</v>
      </c>
      <c r="Z1859" s="51">
        <v>5393.3899999999985</v>
      </c>
      <c r="AA1859" s="51">
        <v>0</v>
      </c>
      <c r="AB1859" s="102">
        <v>0</v>
      </c>
      <c r="AC1859" s="81">
        <f t="shared" ref="AC1859:AC1921" si="90">((IF(AD1859=0,0,100-AD1859))*7*(J1859/I1859))*2%</f>
        <v>432.24278655221718</v>
      </c>
      <c r="AD1859" s="82">
        <f t="shared" ref="AD1859:AD1921" si="91">IF((I1859/7)&gt;100,0,(I1859/7))</f>
        <v>19.971428571428579</v>
      </c>
      <c r="AE1859" s="218">
        <v>0</v>
      </c>
      <c r="AF1859">
        <v>0</v>
      </c>
      <c r="AH1859" t="str">
        <f t="shared" si="89"/>
        <v>Bachhwara BMC</v>
      </c>
      <c r="AJ1859" s="72">
        <v>0</v>
      </c>
      <c r="AK1859" s="72"/>
      <c r="AL1859" s="72"/>
      <c r="AM1859" s="72"/>
    </row>
    <row r="1860" spans="1:39" x14ac:dyDescent="0.25">
      <c r="A1860" s="37" t="s">
        <v>62</v>
      </c>
      <c r="B1860" s="66" t="s">
        <v>1615</v>
      </c>
      <c r="C1860" s="41">
        <v>1065</v>
      </c>
      <c r="D1860" s="41" t="s">
        <v>1473</v>
      </c>
      <c r="E1860" s="41">
        <v>10650008</v>
      </c>
      <c r="F1860" s="85" t="s">
        <v>1555</v>
      </c>
      <c r="G1860" s="39" t="s">
        <v>635</v>
      </c>
      <c r="H1860" s="52" t="s">
        <v>99</v>
      </c>
      <c r="I1860" s="52">
        <v>107.80000000000001</v>
      </c>
      <c r="J1860" s="49">
        <v>3583.2200000000007</v>
      </c>
      <c r="K1860" s="58">
        <v>0</v>
      </c>
      <c r="L1860" s="58">
        <v>0</v>
      </c>
      <c r="M1860" s="58">
        <v>0</v>
      </c>
      <c r="N1860" s="58">
        <v>0</v>
      </c>
      <c r="O1860" s="58">
        <v>0</v>
      </c>
      <c r="P1860" s="53">
        <v>0</v>
      </c>
      <c r="Q1860" s="65">
        <v>3583.2200000000007</v>
      </c>
      <c r="R1860" s="65">
        <v>0</v>
      </c>
      <c r="S1860" s="65">
        <v>0</v>
      </c>
      <c r="T1860" s="65">
        <v>0</v>
      </c>
      <c r="U1860" s="58">
        <v>0</v>
      </c>
      <c r="V1860" s="65">
        <v>0</v>
      </c>
      <c r="W1860" s="65">
        <v>0</v>
      </c>
      <c r="X1860" s="65">
        <v>0</v>
      </c>
      <c r="Y1860" s="65">
        <v>0</v>
      </c>
      <c r="Z1860" s="51">
        <v>3583.2200000000007</v>
      </c>
      <c r="AA1860" s="51">
        <v>0</v>
      </c>
      <c r="AB1860" s="102">
        <v>0</v>
      </c>
      <c r="AC1860" s="81">
        <f t="shared" si="90"/>
        <v>393.68884675324671</v>
      </c>
      <c r="AD1860" s="82">
        <f t="shared" si="91"/>
        <v>15.400000000000002</v>
      </c>
      <c r="AE1860" s="218">
        <v>0</v>
      </c>
      <c r="AF1860">
        <v>0</v>
      </c>
      <c r="AH1860" t="str">
        <f t="shared" si="89"/>
        <v>Bachhwara BMC</v>
      </c>
      <c r="AJ1860" s="72">
        <v>0</v>
      </c>
      <c r="AK1860" s="72"/>
      <c r="AL1860" s="72"/>
      <c r="AM1860" s="72"/>
    </row>
    <row r="1861" spans="1:39" x14ac:dyDescent="0.25">
      <c r="A1861" s="37" t="s">
        <v>62</v>
      </c>
      <c r="B1861" s="66" t="s">
        <v>1615</v>
      </c>
      <c r="C1861" s="41">
        <v>1065</v>
      </c>
      <c r="D1861" s="41" t="s">
        <v>1473</v>
      </c>
      <c r="E1861" s="41">
        <v>10650011</v>
      </c>
      <c r="F1861" s="85" t="s">
        <v>1560</v>
      </c>
      <c r="G1861" s="39" t="s">
        <v>93</v>
      </c>
      <c r="H1861" s="52" t="s">
        <v>94</v>
      </c>
      <c r="I1861" s="52">
        <v>339.8</v>
      </c>
      <c r="J1861" s="49">
        <v>13125.92</v>
      </c>
      <c r="K1861" s="58">
        <v>334.2</v>
      </c>
      <c r="L1861" s="58">
        <v>13334.364394543201</v>
      </c>
      <c r="M1861" s="58">
        <v>0</v>
      </c>
      <c r="N1861" s="58">
        <v>0</v>
      </c>
      <c r="O1861" s="58">
        <v>334.2</v>
      </c>
      <c r="P1861" s="53">
        <v>13334.364394543201</v>
      </c>
      <c r="Q1861" s="65">
        <v>13125.92</v>
      </c>
      <c r="R1861" s="65">
        <v>0</v>
      </c>
      <c r="S1861" s="65">
        <v>0</v>
      </c>
      <c r="T1861" s="65">
        <v>208.44439454320127</v>
      </c>
      <c r="U1861" s="58">
        <v>0</v>
      </c>
      <c r="V1861" s="65">
        <v>0</v>
      </c>
      <c r="W1861" s="65">
        <v>0</v>
      </c>
      <c r="X1861" s="65">
        <v>13126</v>
      </c>
      <c r="Y1861" s="65">
        <v>0</v>
      </c>
      <c r="Z1861" s="51">
        <v>0</v>
      </c>
      <c r="AA1861" s="51">
        <v>0</v>
      </c>
      <c r="AB1861" s="102">
        <v>0</v>
      </c>
      <c r="AC1861" s="81">
        <f t="shared" si="90"/>
        <v>278.27877480871098</v>
      </c>
      <c r="AD1861" s="82">
        <f t="shared" si="91"/>
        <v>48.542857142857144</v>
      </c>
      <c r="AE1861" s="218">
        <v>-1.5880364541548422E-2</v>
      </c>
      <c r="AF1861">
        <v>8</v>
      </c>
      <c r="AH1861" t="str">
        <f t="shared" si="89"/>
        <v>Bachhwara BMC</v>
      </c>
      <c r="AJ1861" s="72">
        <v>0</v>
      </c>
      <c r="AK1861" s="72"/>
      <c r="AL1861" s="72"/>
      <c r="AM1861" s="72"/>
    </row>
    <row r="1862" spans="1:39" x14ac:dyDescent="0.25">
      <c r="A1862" s="37" t="s">
        <v>62</v>
      </c>
      <c r="B1862" s="66" t="s">
        <v>1615</v>
      </c>
      <c r="C1862" s="41">
        <v>1066</v>
      </c>
      <c r="D1862" s="41" t="s">
        <v>1590</v>
      </c>
      <c r="E1862" s="41">
        <v>10660001</v>
      </c>
      <c r="F1862" s="85" t="s">
        <v>1598</v>
      </c>
      <c r="G1862" s="39" t="s">
        <v>93</v>
      </c>
      <c r="H1862" s="52" t="s">
        <v>94</v>
      </c>
      <c r="I1862" s="52">
        <v>208.70000000000002</v>
      </c>
      <c r="J1862" s="49">
        <v>10532.68</v>
      </c>
      <c r="K1862" s="58">
        <v>194.3</v>
      </c>
      <c r="L1862" s="58">
        <v>9961.476147124622</v>
      </c>
      <c r="M1862" s="58">
        <v>0</v>
      </c>
      <c r="N1862" s="58">
        <v>0</v>
      </c>
      <c r="O1862" s="58">
        <v>194.3</v>
      </c>
      <c r="P1862" s="53">
        <v>9961.476147124622</v>
      </c>
      <c r="Q1862" s="65">
        <v>9961.476147124622</v>
      </c>
      <c r="R1862" s="65">
        <v>0</v>
      </c>
      <c r="S1862" s="65">
        <v>0</v>
      </c>
      <c r="T1862" s="65">
        <v>0</v>
      </c>
      <c r="U1862" s="58">
        <v>0</v>
      </c>
      <c r="V1862" s="65">
        <v>0</v>
      </c>
      <c r="W1862" s="65">
        <v>0</v>
      </c>
      <c r="X1862" s="65">
        <v>9962</v>
      </c>
      <c r="Y1862" s="65">
        <v>0</v>
      </c>
      <c r="Z1862" s="51">
        <v>0</v>
      </c>
      <c r="AA1862" s="51">
        <v>571</v>
      </c>
      <c r="AB1862" s="102">
        <v>0</v>
      </c>
      <c r="AC1862" s="81">
        <f t="shared" si="90"/>
        <v>495.89896348826062</v>
      </c>
      <c r="AD1862" s="82">
        <f t="shared" si="91"/>
        <v>29.814285714285717</v>
      </c>
      <c r="AE1862" s="218">
        <v>5.4231577611337123E-2</v>
      </c>
      <c r="AF1862">
        <v>3</v>
      </c>
      <c r="AH1862" t="str">
        <f t="shared" si="89"/>
        <v>Gaighat</v>
      </c>
      <c r="AJ1862" s="72">
        <v>0</v>
      </c>
      <c r="AK1862" s="72"/>
      <c r="AL1862" s="72"/>
      <c r="AM1862" s="72"/>
    </row>
    <row r="1863" spans="1:39" x14ac:dyDescent="0.25">
      <c r="A1863" s="37" t="s">
        <v>62</v>
      </c>
      <c r="B1863" s="66" t="s">
        <v>1615</v>
      </c>
      <c r="C1863" s="41">
        <v>1066</v>
      </c>
      <c r="D1863" s="41" t="s">
        <v>1590</v>
      </c>
      <c r="E1863" s="41">
        <v>10660002</v>
      </c>
      <c r="F1863" s="85" t="s">
        <v>1599</v>
      </c>
      <c r="G1863" s="39" t="s">
        <v>93</v>
      </c>
      <c r="H1863" s="52" t="s">
        <v>94</v>
      </c>
      <c r="I1863" s="52">
        <v>267.60000000000002</v>
      </c>
      <c r="J1863" s="49">
        <v>10668.94</v>
      </c>
      <c r="K1863" s="58">
        <v>264.39999999999998</v>
      </c>
      <c r="L1863" s="58">
        <v>10515.494836711181</v>
      </c>
      <c r="M1863" s="58">
        <v>0.90000000000000013</v>
      </c>
      <c r="N1863" s="58">
        <v>40.348068871200006</v>
      </c>
      <c r="O1863" s="58">
        <v>265.29999999999995</v>
      </c>
      <c r="P1863" s="53">
        <v>10555.842905582382</v>
      </c>
      <c r="Q1863" s="65">
        <v>10555.842905582382</v>
      </c>
      <c r="R1863" s="65">
        <v>0</v>
      </c>
      <c r="S1863" s="65">
        <v>40.348068871200006</v>
      </c>
      <c r="T1863" s="65">
        <v>0</v>
      </c>
      <c r="U1863" s="58">
        <v>0</v>
      </c>
      <c r="V1863" s="65">
        <v>0</v>
      </c>
      <c r="W1863" s="65">
        <v>0</v>
      </c>
      <c r="X1863" s="65">
        <v>10515</v>
      </c>
      <c r="Y1863" s="65">
        <v>0</v>
      </c>
      <c r="Z1863" s="51">
        <v>0</v>
      </c>
      <c r="AA1863" s="51">
        <v>114</v>
      </c>
      <c r="AB1863" s="102">
        <v>0</v>
      </c>
      <c r="AC1863" s="81">
        <f t="shared" si="90"/>
        <v>344.78696980568014</v>
      </c>
      <c r="AD1863" s="82">
        <f t="shared" si="91"/>
        <v>38.228571428571435</v>
      </c>
      <c r="AE1863" s="218">
        <v>1.0600593350194001E-2</v>
      </c>
      <c r="AF1863">
        <v>10</v>
      </c>
      <c r="AH1863" t="str">
        <f t="shared" si="89"/>
        <v>Gaighat</v>
      </c>
      <c r="AJ1863" s="72">
        <v>0</v>
      </c>
      <c r="AK1863" s="72"/>
      <c r="AL1863" s="72"/>
      <c r="AM1863" s="72"/>
    </row>
    <row r="1864" spans="1:39" x14ac:dyDescent="0.25">
      <c r="A1864" s="37" t="s">
        <v>62</v>
      </c>
      <c r="B1864" s="66" t="s">
        <v>1615</v>
      </c>
      <c r="C1864" s="41">
        <v>1066</v>
      </c>
      <c r="D1864" s="41" t="s">
        <v>1590</v>
      </c>
      <c r="E1864" s="41">
        <v>10660004</v>
      </c>
      <c r="F1864" s="85" t="s">
        <v>1600</v>
      </c>
      <c r="G1864" s="39" t="s">
        <v>93</v>
      </c>
      <c r="H1864" s="52" t="s">
        <v>94</v>
      </c>
      <c r="I1864" s="52">
        <v>349.20000000000005</v>
      </c>
      <c r="J1864" s="49">
        <v>14358.33</v>
      </c>
      <c r="K1864" s="58">
        <v>344.9</v>
      </c>
      <c r="L1864" s="58">
        <v>14207.833482213598</v>
      </c>
      <c r="M1864" s="58">
        <v>0.89999999999999991</v>
      </c>
      <c r="N1864" s="58">
        <v>35.934797040000007</v>
      </c>
      <c r="O1864" s="58">
        <v>345.79999999999995</v>
      </c>
      <c r="P1864" s="53">
        <v>14243.768279253598</v>
      </c>
      <c r="Q1864" s="65">
        <v>14243.768279253598</v>
      </c>
      <c r="R1864" s="65">
        <v>0</v>
      </c>
      <c r="S1864" s="65">
        <v>35.934797040000007</v>
      </c>
      <c r="T1864" s="65">
        <v>0</v>
      </c>
      <c r="U1864" s="58">
        <v>0</v>
      </c>
      <c r="V1864" s="65">
        <v>0</v>
      </c>
      <c r="W1864" s="65">
        <v>0</v>
      </c>
      <c r="X1864" s="65">
        <v>14208</v>
      </c>
      <c r="Y1864" s="65">
        <v>0</v>
      </c>
      <c r="Z1864" s="51">
        <v>0</v>
      </c>
      <c r="AA1864" s="51">
        <v>114</v>
      </c>
      <c r="AB1864" s="102">
        <v>0</v>
      </c>
      <c r="AC1864" s="81">
        <f t="shared" si="90"/>
        <v>288.48236907216489</v>
      </c>
      <c r="AD1864" s="82">
        <f t="shared" si="91"/>
        <v>49.885714285714293</v>
      </c>
      <c r="AE1864" s="218">
        <v>7.9787635989980715E-3</v>
      </c>
      <c r="AF1864">
        <v>11</v>
      </c>
      <c r="AH1864" t="str">
        <f t="shared" si="89"/>
        <v>Gaighat</v>
      </c>
      <c r="AJ1864" s="72">
        <v>0</v>
      </c>
      <c r="AK1864" s="72"/>
      <c r="AL1864" s="72"/>
      <c r="AM1864" s="72"/>
    </row>
    <row r="1865" spans="1:39" x14ac:dyDescent="0.25">
      <c r="A1865" s="37" t="s">
        <v>62</v>
      </c>
      <c r="B1865" s="66" t="s">
        <v>1615</v>
      </c>
      <c r="C1865" s="41">
        <v>1066</v>
      </c>
      <c r="D1865" s="41" t="s">
        <v>1590</v>
      </c>
      <c r="E1865" s="41">
        <v>10660005</v>
      </c>
      <c r="F1865" s="85" t="s">
        <v>1601</v>
      </c>
      <c r="G1865" s="39" t="s">
        <v>93</v>
      </c>
      <c r="H1865" s="52" t="s">
        <v>94</v>
      </c>
      <c r="I1865" s="52">
        <v>136.79999999999998</v>
      </c>
      <c r="J1865" s="49">
        <v>5628.7800000000007</v>
      </c>
      <c r="K1865" s="58">
        <v>135.19999999999999</v>
      </c>
      <c r="L1865" s="58">
        <v>5610.2726352147001</v>
      </c>
      <c r="M1865" s="58">
        <v>0.79999999999999993</v>
      </c>
      <c r="N1865" s="58">
        <v>39.582251946799992</v>
      </c>
      <c r="O1865" s="58">
        <v>136</v>
      </c>
      <c r="P1865" s="53">
        <v>5649.8548871615003</v>
      </c>
      <c r="Q1865" s="65">
        <v>5628.7800000000007</v>
      </c>
      <c r="R1865" s="65">
        <v>0</v>
      </c>
      <c r="S1865" s="65">
        <v>39.582251946799992</v>
      </c>
      <c r="T1865" s="65">
        <v>21.074887161499646</v>
      </c>
      <c r="U1865" s="58">
        <v>0</v>
      </c>
      <c r="V1865" s="65">
        <v>0</v>
      </c>
      <c r="W1865" s="65">
        <v>0</v>
      </c>
      <c r="X1865" s="65">
        <v>5589</v>
      </c>
      <c r="Y1865" s="65">
        <v>0</v>
      </c>
      <c r="Z1865" s="51">
        <v>0</v>
      </c>
      <c r="AA1865" s="51">
        <v>0</v>
      </c>
      <c r="AB1865" s="102">
        <v>0</v>
      </c>
      <c r="AC1865" s="81">
        <f t="shared" si="90"/>
        <v>463.46913684210546</v>
      </c>
      <c r="AD1865" s="82">
        <f t="shared" si="91"/>
        <v>19.542857142857141</v>
      </c>
      <c r="AE1865" s="218">
        <v>-3.7441305507587156E-3</v>
      </c>
      <c r="AF1865">
        <v>6</v>
      </c>
      <c r="AH1865" t="str">
        <f t="shared" si="89"/>
        <v>Gaighat</v>
      </c>
      <c r="AJ1865" s="72">
        <v>0</v>
      </c>
      <c r="AK1865" s="72"/>
      <c r="AL1865" s="72"/>
      <c r="AM1865" s="72"/>
    </row>
    <row r="1866" spans="1:39" x14ac:dyDescent="0.25">
      <c r="A1866" s="37" t="s">
        <v>62</v>
      </c>
      <c r="B1866" s="66" t="s">
        <v>1615</v>
      </c>
      <c r="C1866" s="41">
        <v>1066</v>
      </c>
      <c r="D1866" s="41" t="s">
        <v>1590</v>
      </c>
      <c r="E1866" s="41">
        <v>10660006</v>
      </c>
      <c r="F1866" s="85" t="s">
        <v>1602</v>
      </c>
      <c r="G1866" s="39" t="s">
        <v>93</v>
      </c>
      <c r="H1866" s="52" t="s">
        <v>94</v>
      </c>
      <c r="I1866" s="52">
        <v>175.50000000000009</v>
      </c>
      <c r="J1866" s="49">
        <v>7462.9699999999984</v>
      </c>
      <c r="K1866" s="58">
        <v>175.69999999999996</v>
      </c>
      <c r="L1866" s="58">
        <v>7547.1608065612809</v>
      </c>
      <c r="M1866" s="58">
        <v>0.8</v>
      </c>
      <c r="N1866" s="58">
        <v>31.667696280000001</v>
      </c>
      <c r="O1866" s="58">
        <v>176.49999999999997</v>
      </c>
      <c r="P1866" s="53">
        <v>7578.8285028412811</v>
      </c>
      <c r="Q1866" s="65">
        <v>7462.9699999999984</v>
      </c>
      <c r="R1866" s="65">
        <v>0</v>
      </c>
      <c r="S1866" s="65">
        <v>31.667696280000001</v>
      </c>
      <c r="T1866" s="65">
        <v>115.85850284128264</v>
      </c>
      <c r="U1866" s="58">
        <v>0</v>
      </c>
      <c r="V1866" s="65">
        <v>0</v>
      </c>
      <c r="W1866" s="65">
        <v>0</v>
      </c>
      <c r="X1866" s="65">
        <v>7431</v>
      </c>
      <c r="Y1866" s="65">
        <v>0</v>
      </c>
      <c r="Z1866" s="51">
        <v>0</v>
      </c>
      <c r="AA1866" s="51">
        <v>0</v>
      </c>
      <c r="AB1866" s="102">
        <v>0</v>
      </c>
      <c r="AC1866" s="81">
        <f t="shared" si="90"/>
        <v>446.07723817663776</v>
      </c>
      <c r="AD1866" s="82">
        <f t="shared" si="91"/>
        <v>25.071428571428584</v>
      </c>
      <c r="AE1866" s="218">
        <v>-1.5524449762129912E-2</v>
      </c>
      <c r="AF1866">
        <v>7</v>
      </c>
      <c r="AH1866" t="str">
        <f t="shared" si="89"/>
        <v>Gaighat</v>
      </c>
      <c r="AJ1866" s="72">
        <v>0</v>
      </c>
      <c r="AK1866" s="72"/>
      <c r="AL1866" s="72"/>
      <c r="AM1866" s="72"/>
    </row>
    <row r="1867" spans="1:39" x14ac:dyDescent="0.25">
      <c r="A1867" s="37" t="s">
        <v>62</v>
      </c>
      <c r="B1867" s="66" t="s">
        <v>1615</v>
      </c>
      <c r="C1867" s="41">
        <v>1066</v>
      </c>
      <c r="D1867" s="41" t="s">
        <v>1590</v>
      </c>
      <c r="E1867" s="41">
        <v>10660007</v>
      </c>
      <c r="F1867" s="85" t="s">
        <v>1603</v>
      </c>
      <c r="G1867" s="39" t="s">
        <v>635</v>
      </c>
      <c r="H1867" s="52" t="s">
        <v>99</v>
      </c>
      <c r="I1867" s="52">
        <v>53.2</v>
      </c>
      <c r="J1867" s="49">
        <v>2011.58</v>
      </c>
      <c r="K1867" s="58">
        <v>0</v>
      </c>
      <c r="L1867" s="58">
        <v>0</v>
      </c>
      <c r="M1867" s="58">
        <v>0</v>
      </c>
      <c r="N1867" s="58">
        <v>0</v>
      </c>
      <c r="O1867" s="58">
        <v>0</v>
      </c>
      <c r="P1867" s="53">
        <v>0</v>
      </c>
      <c r="Q1867" s="65">
        <v>2011.58</v>
      </c>
      <c r="R1867" s="65">
        <v>0</v>
      </c>
      <c r="S1867" s="65">
        <v>0</v>
      </c>
      <c r="T1867" s="65">
        <v>0</v>
      </c>
      <c r="U1867" s="58">
        <v>0</v>
      </c>
      <c r="V1867" s="65">
        <v>0</v>
      </c>
      <c r="W1867" s="65">
        <v>0</v>
      </c>
      <c r="X1867" s="65">
        <v>0</v>
      </c>
      <c r="Y1867" s="65">
        <v>0</v>
      </c>
      <c r="Z1867" s="51">
        <v>2011.58</v>
      </c>
      <c r="AA1867" s="51">
        <v>0</v>
      </c>
      <c r="AB1867" s="102">
        <v>0</v>
      </c>
      <c r="AC1867" s="81">
        <f t="shared" si="90"/>
        <v>489.13155789473683</v>
      </c>
      <c r="AD1867" s="82">
        <f t="shared" si="91"/>
        <v>7.6000000000000005</v>
      </c>
      <c r="AE1867" s="218">
        <v>0</v>
      </c>
      <c r="AF1867">
        <v>0</v>
      </c>
      <c r="AH1867" t="str">
        <f t="shared" si="89"/>
        <v>Gaighat</v>
      </c>
      <c r="AJ1867" s="72">
        <v>0</v>
      </c>
      <c r="AK1867" s="72"/>
      <c r="AL1867" s="72"/>
      <c r="AM1867" s="72"/>
    </row>
    <row r="1868" spans="1:39" x14ac:dyDescent="0.25">
      <c r="A1868" s="37" t="s">
        <v>62</v>
      </c>
      <c r="B1868" s="66" t="s">
        <v>1615</v>
      </c>
      <c r="C1868" s="41">
        <v>1066</v>
      </c>
      <c r="D1868" s="41" t="s">
        <v>1590</v>
      </c>
      <c r="E1868" s="41">
        <v>10660009</v>
      </c>
      <c r="F1868" s="85" t="s">
        <v>1604</v>
      </c>
      <c r="G1868" s="39" t="s">
        <v>635</v>
      </c>
      <c r="H1868" s="52" t="s">
        <v>99</v>
      </c>
      <c r="I1868" s="52">
        <v>72.8</v>
      </c>
      <c r="J1868" s="49">
        <v>2411.19</v>
      </c>
      <c r="K1868" s="58">
        <v>0</v>
      </c>
      <c r="L1868" s="58">
        <v>0</v>
      </c>
      <c r="M1868" s="58">
        <v>0</v>
      </c>
      <c r="N1868" s="58">
        <v>0</v>
      </c>
      <c r="O1868" s="58">
        <v>0</v>
      </c>
      <c r="P1868" s="53">
        <v>0</v>
      </c>
      <c r="Q1868" s="65">
        <v>2411.19</v>
      </c>
      <c r="R1868" s="65">
        <v>0</v>
      </c>
      <c r="S1868" s="65">
        <v>0</v>
      </c>
      <c r="T1868" s="65">
        <v>0</v>
      </c>
      <c r="U1868" s="58">
        <v>0</v>
      </c>
      <c r="V1868" s="65">
        <v>0</v>
      </c>
      <c r="W1868" s="65">
        <v>0</v>
      </c>
      <c r="X1868" s="65">
        <v>0</v>
      </c>
      <c r="Y1868" s="65">
        <v>0</v>
      </c>
      <c r="Z1868" s="51">
        <v>2411.19</v>
      </c>
      <c r="AA1868" s="51">
        <v>0</v>
      </c>
      <c r="AB1868" s="102">
        <v>0</v>
      </c>
      <c r="AC1868" s="81">
        <f t="shared" si="90"/>
        <v>415.46658461538465</v>
      </c>
      <c r="AD1868" s="82">
        <f t="shared" si="91"/>
        <v>10.4</v>
      </c>
      <c r="AE1868" s="218">
        <v>0</v>
      </c>
      <c r="AF1868">
        <v>0</v>
      </c>
      <c r="AH1868" t="str">
        <f t="shared" si="89"/>
        <v>Gaighat</v>
      </c>
      <c r="AJ1868" s="72">
        <v>0</v>
      </c>
      <c r="AK1868" s="72"/>
      <c r="AL1868" s="72"/>
      <c r="AM1868" s="72"/>
    </row>
    <row r="1869" spans="1:39" x14ac:dyDescent="0.25">
      <c r="A1869" s="37" t="s">
        <v>62</v>
      </c>
      <c r="B1869" s="66" t="s">
        <v>1615</v>
      </c>
      <c r="C1869" s="41">
        <v>1066</v>
      </c>
      <c r="D1869" s="41" t="s">
        <v>1590</v>
      </c>
      <c r="E1869" s="41">
        <v>10660010</v>
      </c>
      <c r="F1869" s="85" t="s">
        <v>1605</v>
      </c>
      <c r="G1869" s="39" t="s">
        <v>635</v>
      </c>
      <c r="H1869" s="52" t="s">
        <v>99</v>
      </c>
      <c r="I1869" s="52">
        <v>1843.1999999999998</v>
      </c>
      <c r="J1869" s="49">
        <v>70073.440000000002</v>
      </c>
      <c r="K1869" s="58">
        <v>0</v>
      </c>
      <c r="L1869" s="58">
        <v>0</v>
      </c>
      <c r="M1869" s="58">
        <v>0</v>
      </c>
      <c r="N1869" s="58">
        <v>0</v>
      </c>
      <c r="O1869" s="58">
        <v>0</v>
      </c>
      <c r="P1869" s="53">
        <v>0</v>
      </c>
      <c r="Q1869" s="65">
        <v>70073.440000000002</v>
      </c>
      <c r="R1869" s="65">
        <v>0</v>
      </c>
      <c r="S1869" s="65">
        <v>0</v>
      </c>
      <c r="T1869" s="65">
        <v>0</v>
      </c>
      <c r="U1869" s="58">
        <v>0</v>
      </c>
      <c r="V1869" s="65">
        <v>0</v>
      </c>
      <c r="W1869" s="65">
        <v>0</v>
      </c>
      <c r="X1869" s="65">
        <v>0</v>
      </c>
      <c r="Y1869" s="65">
        <v>0</v>
      </c>
      <c r="Z1869" s="51">
        <v>70073.440000000002</v>
      </c>
      <c r="AA1869" s="51">
        <v>0</v>
      </c>
      <c r="AB1869" s="102">
        <v>0</v>
      </c>
      <c r="AC1869" s="81">
        <f t="shared" si="90"/>
        <v>0</v>
      </c>
      <c r="AD1869" s="82">
        <f t="shared" si="91"/>
        <v>0</v>
      </c>
      <c r="AE1869" s="218">
        <v>0</v>
      </c>
      <c r="AF1869">
        <v>0</v>
      </c>
      <c r="AH1869" t="str">
        <f t="shared" si="89"/>
        <v>Gaighat</v>
      </c>
      <c r="AJ1869" s="72">
        <v>0</v>
      </c>
      <c r="AK1869" s="72"/>
      <c r="AL1869" s="72"/>
      <c r="AM1869" s="72"/>
    </row>
    <row r="1870" spans="1:39" x14ac:dyDescent="0.25">
      <c r="A1870" s="37" t="s">
        <v>62</v>
      </c>
      <c r="B1870" s="66" t="s">
        <v>1615</v>
      </c>
      <c r="C1870" s="41">
        <v>1066</v>
      </c>
      <c r="D1870" s="41" t="s">
        <v>1590</v>
      </c>
      <c r="E1870" s="41">
        <v>10660011</v>
      </c>
      <c r="F1870" s="85" t="s">
        <v>1606</v>
      </c>
      <c r="G1870" s="39" t="s">
        <v>635</v>
      </c>
      <c r="H1870" s="52" t="s">
        <v>99</v>
      </c>
      <c r="I1870" s="52">
        <v>631</v>
      </c>
      <c r="J1870" s="49">
        <v>23776.32</v>
      </c>
      <c r="K1870" s="58">
        <v>0</v>
      </c>
      <c r="L1870" s="58">
        <v>0</v>
      </c>
      <c r="M1870" s="58">
        <v>0</v>
      </c>
      <c r="N1870" s="58">
        <v>0</v>
      </c>
      <c r="O1870" s="58">
        <v>0</v>
      </c>
      <c r="P1870" s="53">
        <v>0</v>
      </c>
      <c r="Q1870" s="65">
        <v>23776.32</v>
      </c>
      <c r="R1870" s="65">
        <v>0</v>
      </c>
      <c r="S1870" s="65">
        <v>0</v>
      </c>
      <c r="T1870" s="65">
        <v>0</v>
      </c>
      <c r="U1870" s="58">
        <v>0</v>
      </c>
      <c r="V1870" s="65">
        <v>0</v>
      </c>
      <c r="W1870" s="65">
        <v>0</v>
      </c>
      <c r="X1870" s="65">
        <v>0</v>
      </c>
      <c r="Y1870" s="65">
        <v>0</v>
      </c>
      <c r="Z1870" s="51">
        <v>23776.32</v>
      </c>
      <c r="AA1870" s="51">
        <v>0</v>
      </c>
      <c r="AB1870" s="102">
        <v>0</v>
      </c>
      <c r="AC1870" s="81">
        <f t="shared" si="90"/>
        <v>51.998924881141065</v>
      </c>
      <c r="AD1870" s="82">
        <f t="shared" si="91"/>
        <v>90.142857142857139</v>
      </c>
      <c r="AE1870" s="218">
        <v>0</v>
      </c>
      <c r="AF1870">
        <v>0</v>
      </c>
      <c r="AH1870" t="str">
        <f t="shared" si="89"/>
        <v>Gaighat</v>
      </c>
      <c r="AJ1870" s="72">
        <v>0</v>
      </c>
      <c r="AK1870" s="72"/>
      <c r="AL1870" s="72"/>
      <c r="AM1870" s="72"/>
    </row>
    <row r="1871" spans="1:39" x14ac:dyDescent="0.25">
      <c r="A1871" s="37" t="s">
        <v>62</v>
      </c>
      <c r="B1871" s="66" t="s">
        <v>1615</v>
      </c>
      <c r="C1871" s="41">
        <v>1066</v>
      </c>
      <c r="D1871" s="41" t="s">
        <v>1590</v>
      </c>
      <c r="E1871" s="41">
        <v>10660013</v>
      </c>
      <c r="F1871" s="85" t="s">
        <v>1607</v>
      </c>
      <c r="G1871" s="39" t="s">
        <v>93</v>
      </c>
      <c r="H1871" s="52" t="s">
        <v>94</v>
      </c>
      <c r="I1871" s="52">
        <v>351.2</v>
      </c>
      <c r="J1871" s="49">
        <v>14016.88</v>
      </c>
      <c r="K1871" s="58">
        <v>351.70000000000005</v>
      </c>
      <c r="L1871" s="58">
        <v>13991.710987697597</v>
      </c>
      <c r="M1871" s="58">
        <v>0</v>
      </c>
      <c r="N1871" s="58">
        <v>0</v>
      </c>
      <c r="O1871" s="58">
        <v>351.70000000000005</v>
      </c>
      <c r="P1871" s="53">
        <v>13991.710987697597</v>
      </c>
      <c r="Q1871" s="65">
        <v>13991.710987697597</v>
      </c>
      <c r="R1871" s="65">
        <v>0</v>
      </c>
      <c r="S1871" s="65">
        <v>0</v>
      </c>
      <c r="T1871" s="65">
        <v>0</v>
      </c>
      <c r="U1871" s="58">
        <v>0</v>
      </c>
      <c r="V1871" s="65">
        <v>0</v>
      </c>
      <c r="W1871" s="65">
        <v>0</v>
      </c>
      <c r="X1871" s="65">
        <v>13992</v>
      </c>
      <c r="Y1871" s="65">
        <v>0</v>
      </c>
      <c r="Z1871" s="51">
        <v>0</v>
      </c>
      <c r="AA1871" s="51">
        <v>25</v>
      </c>
      <c r="AB1871" s="102">
        <v>0</v>
      </c>
      <c r="AC1871" s="81">
        <f t="shared" si="90"/>
        <v>278.42185330296127</v>
      </c>
      <c r="AD1871" s="82">
        <f t="shared" si="91"/>
        <v>50.171428571428571</v>
      </c>
      <c r="AE1871" s="218">
        <v>1.7956215864302061E-3</v>
      </c>
      <c r="AF1871">
        <v>3</v>
      </c>
      <c r="AH1871" t="str">
        <f t="shared" si="89"/>
        <v>Gaighat</v>
      </c>
      <c r="AJ1871" s="72">
        <v>0</v>
      </c>
      <c r="AK1871" s="72"/>
      <c r="AL1871" s="72"/>
      <c r="AM1871" s="72"/>
    </row>
    <row r="1872" spans="1:39" x14ac:dyDescent="0.25">
      <c r="A1872" s="37" t="s">
        <v>62</v>
      </c>
      <c r="B1872" s="66" t="s">
        <v>1615</v>
      </c>
      <c r="C1872" s="41">
        <v>1066</v>
      </c>
      <c r="D1872" s="41" t="s">
        <v>1590</v>
      </c>
      <c r="E1872" s="41">
        <v>10660015</v>
      </c>
      <c r="F1872" s="85" t="s">
        <v>1608</v>
      </c>
      <c r="G1872" s="39" t="s">
        <v>635</v>
      </c>
      <c r="H1872" s="52" t="s">
        <v>99</v>
      </c>
      <c r="I1872" s="52">
        <v>413.59999999999991</v>
      </c>
      <c r="J1872" s="49">
        <v>13065.5</v>
      </c>
      <c r="K1872" s="58">
        <v>0</v>
      </c>
      <c r="L1872" s="58">
        <v>0</v>
      </c>
      <c r="M1872" s="58">
        <v>0</v>
      </c>
      <c r="N1872" s="58">
        <v>0</v>
      </c>
      <c r="O1872" s="58">
        <v>0</v>
      </c>
      <c r="P1872" s="53">
        <v>0</v>
      </c>
      <c r="Q1872" s="65">
        <v>13065.5</v>
      </c>
      <c r="R1872" s="65">
        <v>0</v>
      </c>
      <c r="S1872" s="65">
        <v>0</v>
      </c>
      <c r="T1872" s="65">
        <v>0</v>
      </c>
      <c r="U1872" s="58">
        <v>0</v>
      </c>
      <c r="V1872" s="65">
        <v>0</v>
      </c>
      <c r="W1872" s="65">
        <v>0</v>
      </c>
      <c r="X1872" s="65">
        <v>0</v>
      </c>
      <c r="Y1872" s="65">
        <v>0</v>
      </c>
      <c r="Z1872" s="51">
        <v>13065.5</v>
      </c>
      <c r="AA1872" s="51">
        <v>0</v>
      </c>
      <c r="AB1872" s="102">
        <v>0</v>
      </c>
      <c r="AC1872" s="81">
        <f t="shared" si="90"/>
        <v>180.94580270793045</v>
      </c>
      <c r="AD1872" s="82">
        <f t="shared" si="91"/>
        <v>59.085714285714275</v>
      </c>
      <c r="AE1872" s="218">
        <v>0</v>
      </c>
      <c r="AF1872">
        <v>0</v>
      </c>
      <c r="AH1872" t="str">
        <f t="shared" si="89"/>
        <v>Gaighat</v>
      </c>
      <c r="AJ1872" s="72">
        <v>0</v>
      </c>
      <c r="AK1872" s="72"/>
      <c r="AL1872" s="72"/>
      <c r="AM1872" s="72"/>
    </row>
    <row r="1873" spans="1:39" x14ac:dyDescent="0.25">
      <c r="A1873" s="37" t="s">
        <v>62</v>
      </c>
      <c r="B1873" s="66" t="s">
        <v>1615</v>
      </c>
      <c r="C1873" s="41">
        <v>1066</v>
      </c>
      <c r="D1873" s="41" t="s">
        <v>1590</v>
      </c>
      <c r="E1873" s="41">
        <v>10660016</v>
      </c>
      <c r="F1873" s="85" t="s">
        <v>1609</v>
      </c>
      <c r="G1873" s="39" t="s">
        <v>635</v>
      </c>
      <c r="H1873" s="52" t="s">
        <v>99</v>
      </c>
      <c r="I1873" s="52">
        <v>183.8</v>
      </c>
      <c r="J1873" s="49">
        <v>6200.07</v>
      </c>
      <c r="K1873" s="58">
        <v>0</v>
      </c>
      <c r="L1873" s="58">
        <v>0</v>
      </c>
      <c r="M1873" s="58">
        <v>0</v>
      </c>
      <c r="N1873" s="58">
        <v>0</v>
      </c>
      <c r="O1873" s="58">
        <v>0</v>
      </c>
      <c r="P1873" s="53">
        <v>0</v>
      </c>
      <c r="Q1873" s="65">
        <v>6200.07</v>
      </c>
      <c r="R1873" s="65">
        <v>0</v>
      </c>
      <c r="S1873" s="65">
        <v>0</v>
      </c>
      <c r="T1873" s="65">
        <v>0</v>
      </c>
      <c r="U1873" s="58">
        <v>0</v>
      </c>
      <c r="V1873" s="65">
        <v>0</v>
      </c>
      <c r="W1873" s="65">
        <v>0</v>
      </c>
      <c r="X1873" s="65">
        <v>0</v>
      </c>
      <c r="Y1873" s="65">
        <v>0</v>
      </c>
      <c r="Z1873" s="51">
        <v>6200.07</v>
      </c>
      <c r="AA1873" s="51">
        <v>0</v>
      </c>
      <c r="AB1873" s="102">
        <v>0</v>
      </c>
      <c r="AC1873" s="81">
        <f t="shared" si="90"/>
        <v>348.25638019586501</v>
      </c>
      <c r="AD1873" s="82">
        <f t="shared" si="91"/>
        <v>26.25714285714286</v>
      </c>
      <c r="AE1873" s="218">
        <v>0</v>
      </c>
      <c r="AF1873">
        <v>0</v>
      </c>
      <c r="AH1873" t="str">
        <f t="shared" si="89"/>
        <v>Gaighat</v>
      </c>
      <c r="AJ1873" s="72">
        <v>0</v>
      </c>
      <c r="AK1873" s="72"/>
      <c r="AL1873" s="72"/>
      <c r="AM1873" s="72"/>
    </row>
    <row r="1874" spans="1:39" x14ac:dyDescent="0.25">
      <c r="A1874" s="37" t="s">
        <v>62</v>
      </c>
      <c r="B1874" s="66" t="s">
        <v>1615</v>
      </c>
      <c r="C1874" s="41">
        <v>1066</v>
      </c>
      <c r="D1874" s="41" t="s">
        <v>1590</v>
      </c>
      <c r="E1874" s="41">
        <v>10660017</v>
      </c>
      <c r="F1874" s="85" t="s">
        <v>1591</v>
      </c>
      <c r="G1874" s="39" t="s">
        <v>93</v>
      </c>
      <c r="H1874" s="52" t="s">
        <v>94</v>
      </c>
      <c r="I1874" s="52">
        <v>154.80000000000004</v>
      </c>
      <c r="J1874" s="49">
        <v>6667.61</v>
      </c>
      <c r="K1874" s="58">
        <v>152.50000000000003</v>
      </c>
      <c r="L1874" s="58">
        <v>7016.4003729919214</v>
      </c>
      <c r="M1874" s="58">
        <v>0.8</v>
      </c>
      <c r="N1874" s="58">
        <v>33.733451070000001</v>
      </c>
      <c r="O1874" s="58">
        <v>153.30000000000004</v>
      </c>
      <c r="P1874" s="53">
        <v>7050.1338240619216</v>
      </c>
      <c r="Q1874" s="65">
        <v>6667.61</v>
      </c>
      <c r="R1874" s="65">
        <v>0</v>
      </c>
      <c r="S1874" s="65">
        <v>33.733451070000001</v>
      </c>
      <c r="T1874" s="65">
        <v>382.52382406192191</v>
      </c>
      <c r="U1874" s="58">
        <v>0</v>
      </c>
      <c r="V1874" s="65">
        <v>0</v>
      </c>
      <c r="W1874" s="65">
        <v>0</v>
      </c>
      <c r="X1874" s="65">
        <v>6634</v>
      </c>
      <c r="Y1874" s="65">
        <v>0</v>
      </c>
      <c r="Z1874" s="51">
        <v>0</v>
      </c>
      <c r="AA1874" s="51">
        <v>0</v>
      </c>
      <c r="AB1874" s="102">
        <v>0</v>
      </c>
      <c r="AC1874" s="81">
        <f t="shared" si="90"/>
        <v>469.66162428940555</v>
      </c>
      <c r="AD1874" s="82">
        <f t="shared" si="91"/>
        <v>22.114285714285721</v>
      </c>
      <c r="AE1874" s="218">
        <v>-5.7370455689808184E-2</v>
      </c>
      <c r="AF1874">
        <v>5</v>
      </c>
      <c r="AH1874" t="str">
        <f t="shared" si="89"/>
        <v>Gaighat</v>
      </c>
      <c r="AJ1874" s="72">
        <v>0</v>
      </c>
      <c r="AK1874" s="72"/>
      <c r="AL1874" s="72"/>
      <c r="AM1874" s="72"/>
    </row>
    <row r="1875" spans="1:39" x14ac:dyDescent="0.25">
      <c r="A1875" s="37" t="s">
        <v>62</v>
      </c>
      <c r="B1875" s="66" t="s">
        <v>1615</v>
      </c>
      <c r="C1875" s="41">
        <v>1066</v>
      </c>
      <c r="D1875" s="41" t="s">
        <v>1590</v>
      </c>
      <c r="E1875" s="41">
        <v>10660019</v>
      </c>
      <c r="F1875" s="85" t="s">
        <v>1610</v>
      </c>
      <c r="G1875" s="39" t="s">
        <v>635</v>
      </c>
      <c r="H1875" s="52" t="s">
        <v>99</v>
      </c>
      <c r="I1875" s="52">
        <v>142.5</v>
      </c>
      <c r="J1875" s="49">
        <v>5309.68</v>
      </c>
      <c r="K1875" s="58">
        <v>0</v>
      </c>
      <c r="L1875" s="58">
        <v>0</v>
      </c>
      <c r="M1875" s="58">
        <v>0</v>
      </c>
      <c r="N1875" s="58">
        <v>0</v>
      </c>
      <c r="O1875" s="58">
        <v>0</v>
      </c>
      <c r="P1875" s="53">
        <v>0</v>
      </c>
      <c r="Q1875" s="65">
        <v>5309.68</v>
      </c>
      <c r="R1875" s="65">
        <v>0</v>
      </c>
      <c r="S1875" s="65">
        <v>0</v>
      </c>
      <c r="T1875" s="65">
        <v>0</v>
      </c>
      <c r="U1875" s="58">
        <v>0</v>
      </c>
      <c r="V1875" s="65">
        <v>0</v>
      </c>
      <c r="W1875" s="65">
        <v>0</v>
      </c>
      <c r="X1875" s="65">
        <v>0</v>
      </c>
      <c r="Y1875" s="65">
        <v>0</v>
      </c>
      <c r="Z1875" s="51">
        <v>5309.68</v>
      </c>
      <c r="AA1875" s="51">
        <v>0</v>
      </c>
      <c r="AB1875" s="102">
        <v>0</v>
      </c>
      <c r="AC1875" s="81">
        <f t="shared" si="90"/>
        <v>415.45917192982461</v>
      </c>
      <c r="AD1875" s="82">
        <f t="shared" si="91"/>
        <v>20.357142857142858</v>
      </c>
      <c r="AE1875" s="218">
        <v>0</v>
      </c>
      <c r="AF1875">
        <v>0</v>
      </c>
      <c r="AH1875" t="str">
        <f t="shared" si="89"/>
        <v>Gaighat</v>
      </c>
      <c r="AJ1875" s="72">
        <v>0</v>
      </c>
      <c r="AK1875" s="72"/>
      <c r="AL1875" s="72"/>
      <c r="AM1875" s="72"/>
    </row>
    <row r="1876" spans="1:39" x14ac:dyDescent="0.25">
      <c r="A1876" s="37" t="s">
        <v>62</v>
      </c>
      <c r="B1876" s="66" t="s">
        <v>1615</v>
      </c>
      <c r="C1876" s="41">
        <v>1066</v>
      </c>
      <c r="D1876" s="41" t="s">
        <v>1590</v>
      </c>
      <c r="E1876" s="41">
        <v>10660020</v>
      </c>
      <c r="F1876" s="85" t="s">
        <v>1611</v>
      </c>
      <c r="G1876" s="39" t="s">
        <v>635</v>
      </c>
      <c r="H1876" s="52" t="s">
        <v>99</v>
      </c>
      <c r="I1876" s="52">
        <v>62.2</v>
      </c>
      <c r="J1876" s="49">
        <v>2369.06</v>
      </c>
      <c r="K1876" s="58">
        <v>0</v>
      </c>
      <c r="L1876" s="58">
        <v>0</v>
      </c>
      <c r="M1876" s="58">
        <v>0</v>
      </c>
      <c r="N1876" s="58">
        <v>0</v>
      </c>
      <c r="O1876" s="58">
        <v>0</v>
      </c>
      <c r="P1876" s="53">
        <v>0</v>
      </c>
      <c r="Q1876" s="65">
        <v>2369.06</v>
      </c>
      <c r="R1876" s="65">
        <v>0</v>
      </c>
      <c r="S1876" s="65">
        <v>0</v>
      </c>
      <c r="T1876" s="65">
        <v>0</v>
      </c>
      <c r="U1876" s="58">
        <v>0</v>
      </c>
      <c r="V1876" s="65">
        <v>0</v>
      </c>
      <c r="W1876" s="65">
        <v>0</v>
      </c>
      <c r="X1876" s="65">
        <v>0</v>
      </c>
      <c r="Y1876" s="65">
        <v>0</v>
      </c>
      <c r="Z1876" s="51">
        <v>2369.06</v>
      </c>
      <c r="AA1876" s="51">
        <v>0</v>
      </c>
      <c r="AB1876" s="102">
        <v>0</v>
      </c>
      <c r="AC1876" s="81">
        <f t="shared" si="90"/>
        <v>485.84773890675228</v>
      </c>
      <c r="AD1876" s="82">
        <f t="shared" si="91"/>
        <v>8.8857142857142861</v>
      </c>
      <c r="AE1876" s="218">
        <v>0</v>
      </c>
      <c r="AF1876">
        <v>0</v>
      </c>
      <c r="AH1876" t="str">
        <f t="shared" ref="AH1876:AH1937" si="92">TEXT(D1876,"0000")</f>
        <v>Gaighat</v>
      </c>
      <c r="AJ1876" s="72">
        <v>0</v>
      </c>
      <c r="AK1876" s="72"/>
      <c r="AL1876" s="72"/>
      <c r="AM1876" s="72"/>
    </row>
    <row r="1877" spans="1:39" x14ac:dyDescent="0.25">
      <c r="A1877" s="37" t="s">
        <v>62</v>
      </c>
      <c r="B1877" s="66" t="s">
        <v>1615</v>
      </c>
      <c r="C1877" s="41">
        <v>1066</v>
      </c>
      <c r="D1877" s="41" t="s">
        <v>1590</v>
      </c>
      <c r="E1877" s="41">
        <v>10660021</v>
      </c>
      <c r="F1877" s="85" t="s">
        <v>1612</v>
      </c>
      <c r="G1877" s="39" t="s">
        <v>635</v>
      </c>
      <c r="H1877" s="52" t="s">
        <v>99</v>
      </c>
      <c r="I1877" s="52">
        <v>838.6</v>
      </c>
      <c r="J1877" s="49">
        <v>30303.13</v>
      </c>
      <c r="K1877" s="58">
        <v>0</v>
      </c>
      <c r="L1877" s="58">
        <v>0</v>
      </c>
      <c r="M1877" s="58">
        <v>0</v>
      </c>
      <c r="N1877" s="58">
        <v>0</v>
      </c>
      <c r="O1877" s="58">
        <v>0</v>
      </c>
      <c r="P1877" s="53">
        <v>0</v>
      </c>
      <c r="Q1877" s="65">
        <v>30303.13</v>
      </c>
      <c r="R1877" s="65">
        <v>0</v>
      </c>
      <c r="S1877" s="65">
        <v>0</v>
      </c>
      <c r="T1877" s="65">
        <v>0</v>
      </c>
      <c r="U1877" s="58">
        <v>0</v>
      </c>
      <c r="V1877" s="65">
        <v>0</v>
      </c>
      <c r="W1877" s="65">
        <v>0</v>
      </c>
      <c r="X1877" s="65">
        <v>0</v>
      </c>
      <c r="Y1877" s="65">
        <v>0</v>
      </c>
      <c r="Z1877" s="51">
        <v>30303.13</v>
      </c>
      <c r="AA1877" s="51">
        <v>0</v>
      </c>
      <c r="AB1877" s="102">
        <v>0</v>
      </c>
      <c r="AC1877" s="81">
        <f t="shared" si="90"/>
        <v>0</v>
      </c>
      <c r="AD1877" s="82">
        <f t="shared" si="91"/>
        <v>0</v>
      </c>
      <c r="AE1877" s="218">
        <v>0</v>
      </c>
      <c r="AF1877">
        <v>0</v>
      </c>
      <c r="AH1877" t="str">
        <f t="shared" si="92"/>
        <v>Gaighat</v>
      </c>
      <c r="AJ1877" s="72">
        <v>0</v>
      </c>
      <c r="AK1877" s="72"/>
      <c r="AL1877" s="72"/>
      <c r="AM1877" s="72"/>
    </row>
    <row r="1878" spans="1:39" x14ac:dyDescent="0.25">
      <c r="A1878" s="37" t="s">
        <v>62</v>
      </c>
      <c r="B1878" s="66" t="s">
        <v>1615</v>
      </c>
      <c r="C1878" s="41">
        <v>1066</v>
      </c>
      <c r="D1878" s="41" t="s">
        <v>1590</v>
      </c>
      <c r="E1878" s="41">
        <v>10660022</v>
      </c>
      <c r="F1878" s="85" t="s">
        <v>1613</v>
      </c>
      <c r="G1878" s="39" t="s">
        <v>635</v>
      </c>
      <c r="H1878" s="52" t="s">
        <v>99</v>
      </c>
      <c r="I1878" s="52">
        <v>142.5</v>
      </c>
      <c r="J1878" s="49">
        <v>4614.1499999999996</v>
      </c>
      <c r="K1878" s="58">
        <v>0</v>
      </c>
      <c r="L1878" s="58">
        <v>0</v>
      </c>
      <c r="M1878" s="58">
        <v>0</v>
      </c>
      <c r="N1878" s="58">
        <v>0</v>
      </c>
      <c r="O1878" s="58">
        <v>0</v>
      </c>
      <c r="P1878" s="53">
        <v>0</v>
      </c>
      <c r="Q1878" s="65">
        <v>4614.1499999999996</v>
      </c>
      <c r="R1878" s="65">
        <v>0</v>
      </c>
      <c r="S1878" s="65">
        <v>0</v>
      </c>
      <c r="T1878" s="65">
        <v>0</v>
      </c>
      <c r="U1878" s="58">
        <v>0</v>
      </c>
      <c r="V1878" s="65">
        <v>0</v>
      </c>
      <c r="W1878" s="65">
        <v>0</v>
      </c>
      <c r="X1878" s="65">
        <v>0</v>
      </c>
      <c r="Y1878" s="65">
        <v>0</v>
      </c>
      <c r="Z1878" s="51">
        <v>4614.1499999999996</v>
      </c>
      <c r="AA1878" s="51">
        <v>0</v>
      </c>
      <c r="AB1878" s="102">
        <v>0</v>
      </c>
      <c r="AC1878" s="81">
        <f t="shared" si="90"/>
        <v>361.03699999999998</v>
      </c>
      <c r="AD1878" s="82">
        <f t="shared" si="91"/>
        <v>20.357142857142858</v>
      </c>
      <c r="AE1878" s="218">
        <v>0</v>
      </c>
      <c r="AF1878">
        <v>0</v>
      </c>
      <c r="AH1878" t="str">
        <f t="shared" si="92"/>
        <v>Gaighat</v>
      </c>
      <c r="AJ1878" s="72">
        <v>0</v>
      </c>
      <c r="AK1878" s="72"/>
      <c r="AL1878" s="72"/>
      <c r="AM1878" s="72"/>
    </row>
    <row r="1879" spans="1:39" x14ac:dyDescent="0.25">
      <c r="A1879" s="37" t="s">
        <v>62</v>
      </c>
      <c r="B1879" s="66" t="s">
        <v>1615</v>
      </c>
      <c r="C1879" s="41">
        <v>1066</v>
      </c>
      <c r="D1879" s="41" t="s">
        <v>1590</v>
      </c>
      <c r="E1879" s="41">
        <v>10660023</v>
      </c>
      <c r="F1879" s="85" t="s">
        <v>1614</v>
      </c>
      <c r="G1879" s="39" t="s">
        <v>635</v>
      </c>
      <c r="H1879" s="52" t="s">
        <v>99</v>
      </c>
      <c r="I1879" s="52">
        <v>314.7</v>
      </c>
      <c r="J1879" s="49">
        <v>12698.32</v>
      </c>
      <c r="K1879" s="58">
        <v>0</v>
      </c>
      <c r="L1879" s="58">
        <v>0</v>
      </c>
      <c r="M1879" s="58">
        <v>0</v>
      </c>
      <c r="N1879" s="58">
        <v>0</v>
      </c>
      <c r="O1879" s="58">
        <v>0</v>
      </c>
      <c r="P1879" s="53">
        <v>0</v>
      </c>
      <c r="Q1879" s="65">
        <v>12698.32</v>
      </c>
      <c r="R1879" s="65">
        <v>0</v>
      </c>
      <c r="S1879" s="65">
        <v>0</v>
      </c>
      <c r="T1879" s="65">
        <v>0</v>
      </c>
      <c r="U1879" s="58">
        <v>0</v>
      </c>
      <c r="V1879" s="65">
        <v>0</v>
      </c>
      <c r="W1879" s="65">
        <v>0</v>
      </c>
      <c r="X1879" s="65">
        <v>0</v>
      </c>
      <c r="Y1879" s="65">
        <v>0</v>
      </c>
      <c r="Z1879" s="51">
        <v>12698.32</v>
      </c>
      <c r="AA1879" s="51">
        <v>0</v>
      </c>
      <c r="AB1879" s="102">
        <v>0</v>
      </c>
      <c r="AC1879" s="81">
        <f t="shared" si="90"/>
        <v>310.94138519224663</v>
      </c>
      <c r="AD1879" s="82">
        <f t="shared" si="91"/>
        <v>44.957142857142856</v>
      </c>
      <c r="AE1879" s="218">
        <v>0</v>
      </c>
      <c r="AF1879">
        <v>0</v>
      </c>
      <c r="AH1879" t="str">
        <f t="shared" si="92"/>
        <v>Gaighat</v>
      </c>
      <c r="AJ1879" s="72">
        <v>0</v>
      </c>
      <c r="AK1879" s="72"/>
      <c r="AL1879" s="72"/>
      <c r="AM1879" s="72"/>
    </row>
    <row r="1880" spans="1:39" x14ac:dyDescent="0.25">
      <c r="A1880" s="37" t="s">
        <v>62</v>
      </c>
      <c r="B1880" s="66" t="s">
        <v>1615</v>
      </c>
      <c r="C1880" s="41">
        <v>1066</v>
      </c>
      <c r="D1880" s="41" t="s">
        <v>1590</v>
      </c>
      <c r="E1880" s="41">
        <v>10660024</v>
      </c>
      <c r="F1880" s="85" t="s">
        <v>1602</v>
      </c>
      <c r="G1880" s="39" t="s">
        <v>635</v>
      </c>
      <c r="H1880" s="52" t="s">
        <v>99</v>
      </c>
      <c r="I1880" s="52">
        <v>75.7</v>
      </c>
      <c r="J1880" s="49">
        <v>2432.6400000000003</v>
      </c>
      <c r="K1880" s="58">
        <v>0</v>
      </c>
      <c r="L1880" s="58">
        <v>0</v>
      </c>
      <c r="M1880" s="58">
        <v>0</v>
      </c>
      <c r="N1880" s="58">
        <v>0</v>
      </c>
      <c r="O1880" s="58">
        <v>0</v>
      </c>
      <c r="P1880" s="53">
        <v>0</v>
      </c>
      <c r="Q1880" s="65">
        <v>2432.6400000000003</v>
      </c>
      <c r="R1880" s="65">
        <v>0</v>
      </c>
      <c r="S1880" s="65">
        <v>0</v>
      </c>
      <c r="T1880" s="65">
        <v>0</v>
      </c>
      <c r="U1880" s="58">
        <v>0</v>
      </c>
      <c r="V1880" s="65">
        <v>0</v>
      </c>
      <c r="W1880" s="65">
        <v>0</v>
      </c>
      <c r="X1880" s="65">
        <v>0</v>
      </c>
      <c r="Y1880" s="65">
        <v>0</v>
      </c>
      <c r="Z1880" s="51">
        <v>2432.6400000000003</v>
      </c>
      <c r="AA1880" s="51">
        <v>0</v>
      </c>
      <c r="AB1880" s="102">
        <v>0</v>
      </c>
      <c r="AC1880" s="81">
        <f t="shared" si="90"/>
        <v>401.24099128137379</v>
      </c>
      <c r="AD1880" s="82">
        <f t="shared" si="91"/>
        <v>10.814285714285715</v>
      </c>
      <c r="AE1880" s="218">
        <v>0</v>
      </c>
      <c r="AF1880">
        <v>0</v>
      </c>
      <c r="AH1880" t="str">
        <f t="shared" si="92"/>
        <v>Gaighat</v>
      </c>
      <c r="AJ1880" s="72">
        <v>0</v>
      </c>
      <c r="AK1880" s="72"/>
      <c r="AL1880" s="72"/>
      <c r="AM1880" s="72"/>
    </row>
    <row r="1881" spans="1:39" x14ac:dyDescent="0.25">
      <c r="A1881" s="37" t="s">
        <v>62</v>
      </c>
      <c r="B1881" s="66" t="s">
        <v>1629</v>
      </c>
      <c r="C1881" s="41">
        <v>1008</v>
      </c>
      <c r="D1881" s="41" t="s">
        <v>221</v>
      </c>
      <c r="E1881" s="41">
        <v>10010006</v>
      </c>
      <c r="F1881" s="85" t="s">
        <v>1616</v>
      </c>
      <c r="G1881" s="39" t="s">
        <v>93</v>
      </c>
      <c r="H1881" s="52" t="s">
        <v>94</v>
      </c>
      <c r="I1881" s="52">
        <v>1.6</v>
      </c>
      <c r="J1881" s="49">
        <v>54.19</v>
      </c>
      <c r="K1881" s="58">
        <v>0</v>
      </c>
      <c r="L1881" s="58">
        <v>0</v>
      </c>
      <c r="M1881" s="58">
        <v>0</v>
      </c>
      <c r="N1881" s="58">
        <v>0</v>
      </c>
      <c r="O1881" s="58">
        <v>0</v>
      </c>
      <c r="P1881" s="53">
        <v>0</v>
      </c>
      <c r="Q1881" s="65">
        <v>0</v>
      </c>
      <c r="R1881" s="65">
        <v>0</v>
      </c>
      <c r="S1881" s="65">
        <v>0</v>
      </c>
      <c r="T1881" s="65">
        <v>0</v>
      </c>
      <c r="U1881" s="58">
        <v>0</v>
      </c>
      <c r="V1881" s="65">
        <v>0</v>
      </c>
      <c r="W1881" s="65">
        <v>0</v>
      </c>
      <c r="X1881" s="65">
        <v>0</v>
      </c>
      <c r="Y1881" s="65">
        <v>0</v>
      </c>
      <c r="Z1881" s="51">
        <v>0</v>
      </c>
      <c r="AA1881" s="51">
        <v>54</v>
      </c>
      <c r="AB1881" s="102">
        <v>0</v>
      </c>
      <c r="AC1881" s="81">
        <f t="shared" si="90"/>
        <v>473.07869999999997</v>
      </c>
      <c r="AD1881" s="82">
        <f t="shared" si="91"/>
        <v>0.22857142857142859</v>
      </c>
      <c r="AE1881" s="218">
        <v>1</v>
      </c>
      <c r="AF1881">
        <v>0</v>
      </c>
      <c r="AH1881" t="str">
        <f t="shared" si="92"/>
        <v>Teghra</v>
      </c>
      <c r="AJ1881" s="72">
        <v>0</v>
      </c>
      <c r="AK1881" s="72"/>
      <c r="AL1881" s="72"/>
      <c r="AM1881" s="72"/>
    </row>
    <row r="1882" spans="1:39" x14ac:dyDescent="0.25">
      <c r="A1882" s="37" t="s">
        <v>62</v>
      </c>
      <c r="B1882" s="66" t="s">
        <v>1629</v>
      </c>
      <c r="C1882" s="41">
        <v>1001</v>
      </c>
      <c r="D1882" s="41" t="s">
        <v>92</v>
      </c>
      <c r="E1882" s="41">
        <v>10010013</v>
      </c>
      <c r="F1882" s="85" t="s">
        <v>95</v>
      </c>
      <c r="G1882" s="39" t="s">
        <v>93</v>
      </c>
      <c r="H1882" s="52" t="s">
        <v>94</v>
      </c>
      <c r="I1882" s="52">
        <v>679.4</v>
      </c>
      <c r="J1882" s="49">
        <v>25238.690000000002</v>
      </c>
      <c r="K1882" s="58">
        <v>667.49</v>
      </c>
      <c r="L1882" s="58">
        <v>24797.408795546984</v>
      </c>
      <c r="M1882" s="58">
        <v>8.11</v>
      </c>
      <c r="N1882" s="58">
        <v>316.78436334510008</v>
      </c>
      <c r="O1882" s="58">
        <v>675.6</v>
      </c>
      <c r="P1882" s="53">
        <v>25114.193158892085</v>
      </c>
      <c r="Q1882" s="65">
        <v>25114.193158892085</v>
      </c>
      <c r="R1882" s="65">
        <v>0</v>
      </c>
      <c r="S1882" s="65">
        <v>316.78436334510008</v>
      </c>
      <c r="T1882" s="65">
        <v>0</v>
      </c>
      <c r="U1882" s="58">
        <v>0</v>
      </c>
      <c r="V1882" s="65">
        <v>0</v>
      </c>
      <c r="W1882" s="65">
        <v>0</v>
      </c>
      <c r="X1882" s="65">
        <v>24797</v>
      </c>
      <c r="Y1882" s="65">
        <v>0</v>
      </c>
      <c r="Z1882" s="51">
        <v>0</v>
      </c>
      <c r="AA1882" s="51">
        <v>125</v>
      </c>
      <c r="AB1882" s="102">
        <v>0</v>
      </c>
      <c r="AC1882" s="81">
        <f t="shared" si="90"/>
        <v>15.305181454224355</v>
      </c>
      <c r="AD1882" s="82">
        <f t="shared" si="91"/>
        <v>97.05714285714285</v>
      </c>
      <c r="AE1882" s="218">
        <v>4.9327774582562378E-3</v>
      </c>
      <c r="AF1882">
        <v>18</v>
      </c>
      <c r="AH1882" t="str">
        <f t="shared" si="92"/>
        <v>Majhaul</v>
      </c>
      <c r="AJ1882" s="72">
        <v>0</v>
      </c>
      <c r="AK1882" s="72"/>
      <c r="AL1882" s="72"/>
      <c r="AM1882" s="72"/>
    </row>
    <row r="1883" spans="1:39" x14ac:dyDescent="0.25">
      <c r="A1883" s="37" t="s">
        <v>62</v>
      </c>
      <c r="B1883" s="66" t="s">
        <v>1629</v>
      </c>
      <c r="C1883" s="41">
        <v>1008</v>
      </c>
      <c r="D1883" s="41" t="s">
        <v>221</v>
      </c>
      <c r="E1883" s="41">
        <v>10010017</v>
      </c>
      <c r="F1883" s="85" t="s">
        <v>96</v>
      </c>
      <c r="G1883" s="39" t="s">
        <v>93</v>
      </c>
      <c r="H1883" s="52" t="s">
        <v>94</v>
      </c>
      <c r="I1883" s="52">
        <v>29.099999999999998</v>
      </c>
      <c r="J1883" s="49">
        <v>908.66999999999985</v>
      </c>
      <c r="K1883" s="58">
        <v>29</v>
      </c>
      <c r="L1883" s="58">
        <v>861.32296800000006</v>
      </c>
      <c r="M1883" s="58">
        <v>0</v>
      </c>
      <c r="N1883" s="58">
        <v>0</v>
      </c>
      <c r="O1883" s="58">
        <v>29</v>
      </c>
      <c r="P1883" s="53">
        <v>861.32296800000006</v>
      </c>
      <c r="Q1883" s="65">
        <v>861.32296800000006</v>
      </c>
      <c r="R1883" s="65">
        <v>0</v>
      </c>
      <c r="S1883" s="65">
        <v>0</v>
      </c>
      <c r="T1883" s="65">
        <v>0</v>
      </c>
      <c r="U1883" s="58">
        <v>0</v>
      </c>
      <c r="V1883" s="65">
        <v>25.220579999999995</v>
      </c>
      <c r="W1883" s="65">
        <v>0</v>
      </c>
      <c r="X1883" s="65">
        <v>836</v>
      </c>
      <c r="Y1883" s="65">
        <v>0</v>
      </c>
      <c r="Z1883" s="51">
        <v>0</v>
      </c>
      <c r="AA1883" s="51">
        <v>47</v>
      </c>
      <c r="AB1883" s="102">
        <v>0</v>
      </c>
      <c r="AC1883" s="81">
        <f t="shared" si="90"/>
        <v>418.98742474226799</v>
      </c>
      <c r="AD1883" s="82">
        <f t="shared" si="91"/>
        <v>4.1571428571428566</v>
      </c>
      <c r="AE1883" s="218">
        <v>5.2105860213278524E-2</v>
      </c>
      <c r="AF1883">
        <v>1</v>
      </c>
      <c r="AH1883" t="str">
        <f t="shared" si="92"/>
        <v>Teghra</v>
      </c>
      <c r="AJ1883" s="72">
        <v>0</v>
      </c>
      <c r="AK1883" s="72"/>
      <c r="AL1883" s="72"/>
      <c r="AM1883" s="72"/>
    </row>
    <row r="1884" spans="1:39" x14ac:dyDescent="0.25">
      <c r="A1884" s="37" t="s">
        <v>62</v>
      </c>
      <c r="B1884" s="66" t="s">
        <v>1629</v>
      </c>
      <c r="C1884" s="41">
        <v>1001</v>
      </c>
      <c r="D1884" s="41" t="s">
        <v>92</v>
      </c>
      <c r="E1884" s="41">
        <v>10010019</v>
      </c>
      <c r="F1884" s="85" t="s">
        <v>97</v>
      </c>
      <c r="G1884" s="39" t="s">
        <v>93</v>
      </c>
      <c r="H1884" s="52" t="s">
        <v>94</v>
      </c>
      <c r="I1884" s="52">
        <v>728.80000000000018</v>
      </c>
      <c r="J1884" s="49">
        <v>28814.5</v>
      </c>
      <c r="K1884" s="58">
        <v>737.05</v>
      </c>
      <c r="L1884" s="58">
        <v>29605.606748139457</v>
      </c>
      <c r="M1884" s="58">
        <v>9.1199999999999992</v>
      </c>
      <c r="N1884" s="58">
        <v>339.93486450000006</v>
      </c>
      <c r="O1884" s="58">
        <v>746.17</v>
      </c>
      <c r="P1884" s="53">
        <v>29945.541612639456</v>
      </c>
      <c r="Q1884" s="65">
        <v>28814.5</v>
      </c>
      <c r="R1884" s="65">
        <v>0</v>
      </c>
      <c r="S1884" s="65">
        <v>339.93486450000006</v>
      </c>
      <c r="T1884" s="65">
        <v>1131.0416126394557</v>
      </c>
      <c r="U1884" s="58">
        <v>0</v>
      </c>
      <c r="V1884" s="65">
        <v>0</v>
      </c>
      <c r="W1884" s="65">
        <v>0</v>
      </c>
      <c r="X1884" s="65">
        <v>28475</v>
      </c>
      <c r="Y1884" s="65">
        <v>0</v>
      </c>
      <c r="Z1884" s="51">
        <v>0</v>
      </c>
      <c r="AA1884" s="51">
        <v>0</v>
      </c>
      <c r="AB1884" s="102" t="s">
        <v>68</v>
      </c>
      <c r="AC1884" s="81">
        <f t="shared" si="90"/>
        <v>0</v>
      </c>
      <c r="AD1884" s="82">
        <f t="shared" si="91"/>
        <v>0</v>
      </c>
      <c r="AE1884" s="218">
        <v>-3.9252515665357916E-2</v>
      </c>
      <c r="AF1884">
        <v>12</v>
      </c>
      <c r="AH1884" t="str">
        <f t="shared" si="92"/>
        <v>Majhaul</v>
      </c>
      <c r="AJ1884" s="72">
        <v>0</v>
      </c>
      <c r="AK1884" s="72"/>
      <c r="AL1884" s="72"/>
      <c r="AM1884" s="72"/>
    </row>
    <row r="1885" spans="1:39" x14ac:dyDescent="0.25">
      <c r="A1885" s="37" t="s">
        <v>62</v>
      </c>
      <c r="B1885" s="66" t="s">
        <v>1629</v>
      </c>
      <c r="C1885" s="41">
        <v>1058</v>
      </c>
      <c r="D1885" s="41" t="s">
        <v>1344</v>
      </c>
      <c r="E1885" s="41">
        <v>10010038</v>
      </c>
      <c r="F1885" s="85" t="s">
        <v>98</v>
      </c>
      <c r="G1885" s="39" t="s">
        <v>93</v>
      </c>
      <c r="H1885" s="52" t="s">
        <v>94</v>
      </c>
      <c r="I1885" s="52">
        <v>1204.7</v>
      </c>
      <c r="J1885" s="49">
        <v>47598.77</v>
      </c>
      <c r="K1885" s="58">
        <v>840</v>
      </c>
      <c r="L1885" s="58">
        <v>33161.953176000003</v>
      </c>
      <c r="M1885" s="58">
        <v>364.4</v>
      </c>
      <c r="N1885" s="58">
        <v>14381.796563640002</v>
      </c>
      <c r="O1885" s="58">
        <v>1204.4000000000001</v>
      </c>
      <c r="P1885" s="53">
        <v>47543.749739640007</v>
      </c>
      <c r="Q1885" s="65">
        <v>47543.749739640007</v>
      </c>
      <c r="R1885" s="65">
        <v>0</v>
      </c>
      <c r="S1885" s="65">
        <v>204.60547800000001</v>
      </c>
      <c r="T1885" s="65">
        <v>0</v>
      </c>
      <c r="U1885" s="58">
        <v>0</v>
      </c>
      <c r="V1885" s="65">
        <v>0</v>
      </c>
      <c r="W1885" s="65">
        <v>0</v>
      </c>
      <c r="X1885" s="65">
        <v>33162</v>
      </c>
      <c r="Y1885" s="65">
        <v>14178</v>
      </c>
      <c r="Z1885" s="51">
        <v>0</v>
      </c>
      <c r="AA1885" s="51">
        <v>54</v>
      </c>
      <c r="AB1885" s="102">
        <v>0</v>
      </c>
      <c r="AC1885" s="81">
        <f t="shared" si="90"/>
        <v>0</v>
      </c>
      <c r="AD1885" s="82">
        <f t="shared" si="91"/>
        <v>0</v>
      </c>
      <c r="AE1885" s="218">
        <v>1.1559176919905716E-3</v>
      </c>
      <c r="AF1885">
        <v>7</v>
      </c>
      <c r="AH1885" t="str">
        <f t="shared" si="92"/>
        <v>Hasanpur</v>
      </c>
      <c r="AJ1885" s="72">
        <v>0</v>
      </c>
      <c r="AK1885" s="72"/>
      <c r="AL1885" s="72"/>
      <c r="AM1885" s="72"/>
    </row>
    <row r="1886" spans="1:39" x14ac:dyDescent="0.25">
      <c r="A1886" s="37" t="s">
        <v>62</v>
      </c>
      <c r="B1886" s="66" t="s">
        <v>1629</v>
      </c>
      <c r="C1886" s="41">
        <v>1001</v>
      </c>
      <c r="D1886" s="41" t="s">
        <v>92</v>
      </c>
      <c r="E1886" s="41">
        <v>10010047</v>
      </c>
      <c r="F1886" s="85" t="s">
        <v>837</v>
      </c>
      <c r="G1886" s="39" t="s">
        <v>635</v>
      </c>
      <c r="H1886" s="52" t="s">
        <v>99</v>
      </c>
      <c r="I1886" s="52">
        <v>213.2</v>
      </c>
      <c r="J1886" s="49">
        <v>8476.4700000000012</v>
      </c>
      <c r="K1886" s="58">
        <v>0</v>
      </c>
      <c r="L1886" s="58">
        <v>0</v>
      </c>
      <c r="M1886" s="58">
        <v>0</v>
      </c>
      <c r="N1886" s="58">
        <v>0</v>
      </c>
      <c r="O1886" s="58">
        <v>0</v>
      </c>
      <c r="P1886" s="53">
        <v>0</v>
      </c>
      <c r="Q1886" s="65">
        <v>8476.4700000000012</v>
      </c>
      <c r="R1886" s="65">
        <v>0</v>
      </c>
      <c r="S1886" s="65">
        <v>0</v>
      </c>
      <c r="T1886" s="65">
        <v>0</v>
      </c>
      <c r="U1886" s="58">
        <v>0</v>
      </c>
      <c r="V1886" s="65">
        <v>0</v>
      </c>
      <c r="W1886" s="65">
        <v>0</v>
      </c>
      <c r="X1886" s="65">
        <v>0</v>
      </c>
      <c r="Y1886" s="65">
        <v>0</v>
      </c>
      <c r="Z1886" s="51">
        <v>8476.4700000000012</v>
      </c>
      <c r="AA1886" s="51">
        <v>0</v>
      </c>
      <c r="AB1886" s="102">
        <v>0</v>
      </c>
      <c r="AC1886" s="81">
        <f t="shared" si="90"/>
        <v>387.08682889305828</v>
      </c>
      <c r="AD1886" s="82">
        <f t="shared" si="91"/>
        <v>30.457142857142856</v>
      </c>
      <c r="AE1886" s="218">
        <v>0</v>
      </c>
      <c r="AF1886">
        <v>0</v>
      </c>
      <c r="AH1886" t="str">
        <f t="shared" si="92"/>
        <v>Majhaul</v>
      </c>
      <c r="AJ1886" s="72">
        <v>0</v>
      </c>
      <c r="AK1886" s="72"/>
      <c r="AL1886" s="72"/>
      <c r="AM1886" s="72"/>
    </row>
    <row r="1887" spans="1:39" x14ac:dyDescent="0.25">
      <c r="A1887" s="37" t="s">
        <v>62</v>
      </c>
      <c r="B1887" s="66" t="s">
        <v>1629</v>
      </c>
      <c r="C1887" s="41">
        <v>1001</v>
      </c>
      <c r="D1887" s="41" t="s">
        <v>92</v>
      </c>
      <c r="E1887" s="41">
        <v>10010049</v>
      </c>
      <c r="F1887" s="85" t="s">
        <v>1214</v>
      </c>
      <c r="G1887" s="39" t="s">
        <v>635</v>
      </c>
      <c r="H1887" s="52" t="s">
        <v>99</v>
      </c>
      <c r="I1887" s="52">
        <v>58</v>
      </c>
      <c r="J1887" s="49">
        <v>2465.58</v>
      </c>
      <c r="K1887" s="58">
        <v>0</v>
      </c>
      <c r="L1887" s="58">
        <v>0</v>
      </c>
      <c r="M1887" s="58">
        <v>0</v>
      </c>
      <c r="N1887" s="58">
        <v>0</v>
      </c>
      <c r="O1887" s="58">
        <v>0</v>
      </c>
      <c r="P1887" s="53">
        <v>0</v>
      </c>
      <c r="Q1887" s="65">
        <v>2465.58</v>
      </c>
      <c r="R1887" s="65">
        <v>0</v>
      </c>
      <c r="S1887" s="65">
        <v>0</v>
      </c>
      <c r="T1887" s="65">
        <v>0</v>
      </c>
      <c r="U1887" s="58">
        <v>0</v>
      </c>
      <c r="V1887" s="65">
        <v>0</v>
      </c>
      <c r="W1887" s="65">
        <v>0</v>
      </c>
      <c r="X1887" s="65">
        <v>0</v>
      </c>
      <c r="Y1887" s="65">
        <v>0</v>
      </c>
      <c r="Z1887" s="51">
        <v>2465.58</v>
      </c>
      <c r="AA1887" s="51">
        <v>0</v>
      </c>
      <c r="AB1887" s="102">
        <v>0</v>
      </c>
      <c r="AC1887" s="81">
        <f t="shared" si="90"/>
        <v>545.82839999999999</v>
      </c>
      <c r="AD1887" s="82">
        <f t="shared" si="91"/>
        <v>8.2857142857142865</v>
      </c>
      <c r="AE1887" s="218">
        <v>0</v>
      </c>
      <c r="AF1887">
        <v>0</v>
      </c>
      <c r="AH1887" t="str">
        <f t="shared" si="92"/>
        <v>Majhaul</v>
      </c>
      <c r="AJ1887" s="72">
        <v>0</v>
      </c>
      <c r="AK1887" s="72"/>
      <c r="AL1887" s="72"/>
      <c r="AM1887" s="72"/>
    </row>
    <row r="1888" spans="1:39" x14ac:dyDescent="0.25">
      <c r="A1888" s="37" t="s">
        <v>62</v>
      </c>
      <c r="B1888" s="66" t="s">
        <v>1629</v>
      </c>
      <c r="C1888" s="41">
        <v>1058</v>
      </c>
      <c r="D1888" s="41" t="s">
        <v>1344</v>
      </c>
      <c r="E1888" s="41">
        <v>10010050</v>
      </c>
      <c r="F1888" s="85" t="s">
        <v>100</v>
      </c>
      <c r="G1888" s="39" t="s">
        <v>635</v>
      </c>
      <c r="H1888" s="52" t="s">
        <v>99</v>
      </c>
      <c r="I1888" s="52">
        <v>974.20000000000039</v>
      </c>
      <c r="J1888" s="49">
        <v>36497.020000000004</v>
      </c>
      <c r="K1888" s="58">
        <v>0</v>
      </c>
      <c r="L1888" s="58">
        <v>0</v>
      </c>
      <c r="M1888" s="58">
        <v>0</v>
      </c>
      <c r="N1888" s="58">
        <v>0</v>
      </c>
      <c r="O1888" s="58">
        <v>0</v>
      </c>
      <c r="P1888" s="53">
        <v>0</v>
      </c>
      <c r="Q1888" s="65">
        <v>36497.020000000004</v>
      </c>
      <c r="R1888" s="65">
        <v>0</v>
      </c>
      <c r="S1888" s="65">
        <v>0</v>
      </c>
      <c r="T1888" s="65">
        <v>0</v>
      </c>
      <c r="U1888" s="58">
        <v>0</v>
      </c>
      <c r="V1888" s="65">
        <v>0</v>
      </c>
      <c r="W1888" s="65">
        <v>0</v>
      </c>
      <c r="X1888" s="65">
        <v>0</v>
      </c>
      <c r="Y1888" s="65">
        <v>0</v>
      </c>
      <c r="Z1888" s="51">
        <v>36497.020000000004</v>
      </c>
      <c r="AA1888" s="51">
        <v>0</v>
      </c>
      <c r="AB1888" s="102">
        <v>0</v>
      </c>
      <c r="AC1888" s="81">
        <f t="shared" si="90"/>
        <v>0</v>
      </c>
      <c r="AD1888" s="82">
        <f t="shared" si="91"/>
        <v>0</v>
      </c>
      <c r="AE1888" s="218">
        <v>0</v>
      </c>
      <c r="AF1888">
        <v>0</v>
      </c>
      <c r="AH1888" t="str">
        <f t="shared" si="92"/>
        <v>Hasanpur</v>
      </c>
      <c r="AJ1888" s="72">
        <v>0</v>
      </c>
      <c r="AK1888" s="72"/>
      <c r="AL1888" s="72"/>
      <c r="AM1888" s="72"/>
    </row>
    <row r="1889" spans="1:39" x14ac:dyDescent="0.25">
      <c r="A1889" s="37" t="s">
        <v>62</v>
      </c>
      <c r="B1889" s="66" t="s">
        <v>1629</v>
      </c>
      <c r="C1889" s="41">
        <v>1058</v>
      </c>
      <c r="D1889" s="41" t="s">
        <v>1344</v>
      </c>
      <c r="E1889" s="41">
        <v>10010051</v>
      </c>
      <c r="F1889" s="85" t="s">
        <v>101</v>
      </c>
      <c r="G1889" s="39" t="s">
        <v>93</v>
      </c>
      <c r="H1889" s="52" t="s">
        <v>94</v>
      </c>
      <c r="I1889" s="52">
        <v>947.40000000000009</v>
      </c>
      <c r="J1889" s="49">
        <v>34908.569999999992</v>
      </c>
      <c r="K1889" s="58">
        <v>488.7</v>
      </c>
      <c r="L1889" s="58">
        <v>18162.837711018001</v>
      </c>
      <c r="M1889" s="58">
        <v>458.40000000000009</v>
      </c>
      <c r="N1889" s="58">
        <v>17043.970276080003</v>
      </c>
      <c r="O1889" s="58">
        <v>947.10000000000014</v>
      </c>
      <c r="P1889" s="53">
        <v>35206.807987098</v>
      </c>
      <c r="Q1889" s="65">
        <v>34908.569999999992</v>
      </c>
      <c r="R1889" s="65">
        <v>0</v>
      </c>
      <c r="S1889" s="65">
        <v>236.81494980000002</v>
      </c>
      <c r="T1889" s="65">
        <v>298.23798709800758</v>
      </c>
      <c r="U1889" s="58">
        <v>0</v>
      </c>
      <c r="V1889" s="65">
        <v>59.835642857142773</v>
      </c>
      <c r="W1889" s="65">
        <v>0</v>
      </c>
      <c r="X1889" s="65">
        <v>17805</v>
      </c>
      <c r="Y1889" s="65">
        <v>16807</v>
      </c>
      <c r="Z1889" s="51">
        <v>0</v>
      </c>
      <c r="AA1889" s="51">
        <v>0</v>
      </c>
      <c r="AB1889" s="102">
        <v>0</v>
      </c>
      <c r="AC1889" s="81">
        <f t="shared" si="90"/>
        <v>0</v>
      </c>
      <c r="AD1889" s="82">
        <f t="shared" si="91"/>
        <v>0</v>
      </c>
      <c r="AE1889" s="218">
        <v>-8.5434031556723081E-3</v>
      </c>
      <c r="AF1889">
        <v>9</v>
      </c>
      <c r="AH1889" t="str">
        <f t="shared" si="92"/>
        <v>Hasanpur</v>
      </c>
      <c r="AJ1889" s="72">
        <v>0</v>
      </c>
      <c r="AK1889" s="72"/>
      <c r="AL1889" s="72"/>
      <c r="AM1889" s="72"/>
    </row>
    <row r="1890" spans="1:39" x14ac:dyDescent="0.25">
      <c r="A1890" s="37" t="s">
        <v>62</v>
      </c>
      <c r="B1890" s="66" t="s">
        <v>1629</v>
      </c>
      <c r="C1890" s="41">
        <v>1001</v>
      </c>
      <c r="D1890" s="41" t="s">
        <v>92</v>
      </c>
      <c r="E1890" s="41">
        <v>10010055</v>
      </c>
      <c r="F1890" s="85" t="s">
        <v>102</v>
      </c>
      <c r="G1890" s="39" t="s">
        <v>93</v>
      </c>
      <c r="H1890" s="52" t="s">
        <v>94</v>
      </c>
      <c r="I1890" s="52">
        <v>140.30000000000001</v>
      </c>
      <c r="J1890" s="49">
        <v>5741.53</v>
      </c>
      <c r="K1890" s="58">
        <v>145</v>
      </c>
      <c r="L1890" s="58">
        <v>5865.3181620000005</v>
      </c>
      <c r="M1890" s="58">
        <v>0</v>
      </c>
      <c r="N1890" s="58">
        <v>0</v>
      </c>
      <c r="O1890" s="58">
        <v>145</v>
      </c>
      <c r="P1890" s="53">
        <v>5865.3181620000005</v>
      </c>
      <c r="Q1890" s="65">
        <v>5741.53</v>
      </c>
      <c r="R1890" s="65">
        <v>0</v>
      </c>
      <c r="S1890" s="65">
        <v>0</v>
      </c>
      <c r="T1890" s="65">
        <v>123.78816200000074</v>
      </c>
      <c r="U1890" s="58">
        <v>0</v>
      </c>
      <c r="V1890" s="65">
        <v>0</v>
      </c>
      <c r="W1890" s="65">
        <v>0</v>
      </c>
      <c r="X1890" s="65">
        <v>5742</v>
      </c>
      <c r="Y1890" s="65">
        <v>0</v>
      </c>
      <c r="Z1890" s="51">
        <v>0</v>
      </c>
      <c r="AA1890" s="51">
        <v>0</v>
      </c>
      <c r="AB1890" s="102">
        <v>0</v>
      </c>
      <c r="AC1890" s="81">
        <f t="shared" si="90"/>
        <v>458.0947029223093</v>
      </c>
      <c r="AD1890" s="82">
        <f t="shared" si="91"/>
        <v>20.042857142857144</v>
      </c>
      <c r="AE1890" s="218">
        <v>-2.156013501627628E-2</v>
      </c>
      <c r="AF1890">
        <v>2</v>
      </c>
      <c r="AH1890" t="str">
        <f t="shared" si="92"/>
        <v>Majhaul</v>
      </c>
      <c r="AJ1890" s="72">
        <v>0</v>
      </c>
      <c r="AK1890" s="72"/>
      <c r="AL1890" s="72"/>
      <c r="AM1890" s="72"/>
    </row>
    <row r="1891" spans="1:39" x14ac:dyDescent="0.25">
      <c r="A1891" s="37" t="s">
        <v>62</v>
      </c>
      <c r="B1891" s="66" t="s">
        <v>1629</v>
      </c>
      <c r="C1891" s="41">
        <v>1058</v>
      </c>
      <c r="D1891" s="41" t="s">
        <v>1344</v>
      </c>
      <c r="E1891" s="41">
        <v>10010056</v>
      </c>
      <c r="F1891" s="85" t="s">
        <v>103</v>
      </c>
      <c r="G1891" s="39" t="s">
        <v>93</v>
      </c>
      <c r="H1891" s="52" t="s">
        <v>94</v>
      </c>
      <c r="I1891" s="52">
        <v>310.5</v>
      </c>
      <c r="J1891" s="49">
        <v>10255.82</v>
      </c>
      <c r="K1891" s="58">
        <v>20</v>
      </c>
      <c r="L1891" s="58">
        <v>668.46756240000002</v>
      </c>
      <c r="M1891" s="58">
        <v>290.5</v>
      </c>
      <c r="N1891" s="58">
        <v>9524.7562350600001</v>
      </c>
      <c r="O1891" s="58">
        <v>310.5</v>
      </c>
      <c r="P1891" s="53">
        <v>10193.223797459999</v>
      </c>
      <c r="Q1891" s="65">
        <v>10193.223797459999</v>
      </c>
      <c r="R1891" s="65">
        <v>0</v>
      </c>
      <c r="S1891" s="65">
        <v>181.65057966000001</v>
      </c>
      <c r="T1891" s="65">
        <v>0</v>
      </c>
      <c r="U1891" s="58">
        <v>0</v>
      </c>
      <c r="V1891" s="65">
        <v>0</v>
      </c>
      <c r="W1891" s="65">
        <v>0</v>
      </c>
      <c r="X1891" s="65">
        <v>668</v>
      </c>
      <c r="Y1891" s="65">
        <v>9348</v>
      </c>
      <c r="Z1891" s="51">
        <v>0</v>
      </c>
      <c r="AA1891" s="51">
        <v>58</v>
      </c>
      <c r="AB1891" s="102">
        <v>0</v>
      </c>
      <c r="AC1891" s="81">
        <f t="shared" si="90"/>
        <v>257.30382544283412</v>
      </c>
      <c r="AD1891" s="82">
        <f t="shared" si="91"/>
        <v>44.357142857142854</v>
      </c>
      <c r="AE1891" s="218">
        <v>6.1034810029817581E-3</v>
      </c>
      <c r="AF1891">
        <v>17</v>
      </c>
      <c r="AH1891" t="str">
        <f t="shared" si="92"/>
        <v>Hasanpur</v>
      </c>
      <c r="AJ1891" s="72">
        <v>0</v>
      </c>
      <c r="AK1891" s="72"/>
      <c r="AL1891" s="72"/>
      <c r="AM1891" s="72"/>
    </row>
    <row r="1892" spans="1:39" x14ac:dyDescent="0.25">
      <c r="A1892" s="37" t="s">
        <v>62</v>
      </c>
      <c r="B1892" s="66" t="s">
        <v>1629</v>
      </c>
      <c r="C1892" s="41">
        <v>1001</v>
      </c>
      <c r="D1892" s="41" t="s">
        <v>92</v>
      </c>
      <c r="E1892" s="41">
        <v>10010057</v>
      </c>
      <c r="F1892" s="85" t="s">
        <v>425</v>
      </c>
      <c r="G1892" s="39" t="s">
        <v>635</v>
      </c>
      <c r="H1892" s="52" t="s">
        <v>99</v>
      </c>
      <c r="I1892" s="52">
        <v>12715.6</v>
      </c>
      <c r="J1892" s="49">
        <v>452512.17</v>
      </c>
      <c r="K1892" s="58">
        <v>0</v>
      </c>
      <c r="L1892" s="58">
        <v>0</v>
      </c>
      <c r="M1892" s="58">
        <v>0</v>
      </c>
      <c r="N1892" s="58">
        <v>0</v>
      </c>
      <c r="O1892" s="58">
        <v>0</v>
      </c>
      <c r="P1892" s="53">
        <v>0</v>
      </c>
      <c r="Q1892" s="65">
        <v>452512.17</v>
      </c>
      <c r="R1892" s="65">
        <v>0</v>
      </c>
      <c r="S1892" s="65">
        <v>0</v>
      </c>
      <c r="T1892" s="65">
        <v>0</v>
      </c>
      <c r="U1892" s="58">
        <v>0</v>
      </c>
      <c r="V1892" s="65">
        <v>0</v>
      </c>
      <c r="W1892" s="65">
        <v>0</v>
      </c>
      <c r="X1892" s="65">
        <v>0</v>
      </c>
      <c r="Y1892" s="65">
        <v>0</v>
      </c>
      <c r="Z1892" s="51">
        <v>452512.17</v>
      </c>
      <c r="AA1892" s="51">
        <v>0</v>
      </c>
      <c r="AB1892" s="102">
        <v>0</v>
      </c>
      <c r="AC1892" s="81">
        <f t="shared" si="90"/>
        <v>0</v>
      </c>
      <c r="AD1892" s="82">
        <f t="shared" si="91"/>
        <v>0</v>
      </c>
      <c r="AE1892" s="218">
        <v>0</v>
      </c>
      <c r="AF1892">
        <v>0</v>
      </c>
      <c r="AH1892" t="str">
        <f t="shared" si="92"/>
        <v>Majhaul</v>
      </c>
      <c r="AJ1892" s="72">
        <v>0</v>
      </c>
      <c r="AK1892" s="72"/>
      <c r="AL1892" s="72"/>
      <c r="AM1892" s="72"/>
    </row>
    <row r="1893" spans="1:39" x14ac:dyDescent="0.25">
      <c r="A1893" s="37" t="s">
        <v>62</v>
      </c>
      <c r="B1893" s="66" t="s">
        <v>1629</v>
      </c>
      <c r="C1893" s="41">
        <v>1001</v>
      </c>
      <c r="D1893" s="41" t="s">
        <v>92</v>
      </c>
      <c r="E1893" s="41">
        <v>10010076</v>
      </c>
      <c r="F1893" s="85" t="s">
        <v>433</v>
      </c>
      <c r="G1893" s="39" t="s">
        <v>93</v>
      </c>
      <c r="H1893" s="52" t="s">
        <v>94</v>
      </c>
      <c r="I1893" s="52">
        <v>543.5</v>
      </c>
      <c r="J1893" s="49">
        <v>23414.389999999996</v>
      </c>
      <c r="K1893" s="58">
        <v>130.61999999999998</v>
      </c>
      <c r="L1893" s="58">
        <v>6280.2733442340377</v>
      </c>
      <c r="M1893" s="58">
        <v>460.72</v>
      </c>
      <c r="N1893" s="58">
        <v>22240.990058299849</v>
      </c>
      <c r="O1893" s="58">
        <v>591.34</v>
      </c>
      <c r="P1893" s="53">
        <v>28521.263402533885</v>
      </c>
      <c r="Q1893" s="65">
        <v>23414.389999999996</v>
      </c>
      <c r="R1893" s="65">
        <v>0</v>
      </c>
      <c r="S1893" s="65">
        <v>0</v>
      </c>
      <c r="T1893" s="65">
        <v>5106.873402533889</v>
      </c>
      <c r="U1893" s="58">
        <v>0</v>
      </c>
      <c r="V1893" s="65">
        <v>200.99245423728811</v>
      </c>
      <c r="W1893" s="65">
        <v>0</v>
      </c>
      <c r="X1893" s="65">
        <v>973</v>
      </c>
      <c r="Y1893" s="65">
        <v>22240</v>
      </c>
      <c r="Z1893" s="51">
        <v>0</v>
      </c>
      <c r="AA1893" s="51">
        <v>0</v>
      </c>
      <c r="AB1893" s="102">
        <v>0</v>
      </c>
      <c r="AC1893" s="81">
        <f t="shared" si="90"/>
        <v>134.84276117755289</v>
      </c>
      <c r="AD1893" s="82">
        <f t="shared" si="91"/>
        <v>77.642857142857139</v>
      </c>
      <c r="AE1893" s="218">
        <v>-0.21810832580024037</v>
      </c>
      <c r="AF1893">
        <v>7</v>
      </c>
      <c r="AH1893" t="str">
        <f t="shared" si="92"/>
        <v>Majhaul</v>
      </c>
      <c r="AJ1893" s="72">
        <v>0</v>
      </c>
      <c r="AK1893" s="72"/>
      <c r="AL1893" s="72"/>
      <c r="AM1893" s="72"/>
    </row>
    <row r="1894" spans="1:39" x14ac:dyDescent="0.25">
      <c r="A1894" s="37" t="s">
        <v>62</v>
      </c>
      <c r="B1894" s="66" t="s">
        <v>1629</v>
      </c>
      <c r="C1894" s="41">
        <v>1058</v>
      </c>
      <c r="D1894" s="41" t="s">
        <v>1344</v>
      </c>
      <c r="E1894" s="41">
        <v>10010080</v>
      </c>
      <c r="F1894" s="85" t="s">
        <v>1543</v>
      </c>
      <c r="G1894" s="39" t="s">
        <v>93</v>
      </c>
      <c r="H1894" s="52" t="s">
        <v>94</v>
      </c>
      <c r="I1894" s="52">
        <v>109.79999999999998</v>
      </c>
      <c r="J1894" s="49">
        <v>3837.02</v>
      </c>
      <c r="K1894" s="58">
        <v>109.8</v>
      </c>
      <c r="L1894" s="58">
        <v>3810.459690576</v>
      </c>
      <c r="M1894" s="58">
        <v>0</v>
      </c>
      <c r="N1894" s="58">
        <v>0</v>
      </c>
      <c r="O1894" s="58">
        <v>109.8</v>
      </c>
      <c r="P1894" s="53">
        <v>3810.459690576</v>
      </c>
      <c r="Q1894" s="65">
        <v>3810.459690576</v>
      </c>
      <c r="R1894" s="65">
        <v>0</v>
      </c>
      <c r="S1894" s="65">
        <v>0</v>
      </c>
      <c r="T1894" s="65">
        <v>0</v>
      </c>
      <c r="U1894" s="58">
        <v>0</v>
      </c>
      <c r="V1894" s="65">
        <v>0</v>
      </c>
      <c r="W1894" s="65">
        <v>0</v>
      </c>
      <c r="X1894" s="65">
        <v>3810</v>
      </c>
      <c r="Y1894" s="65">
        <v>0</v>
      </c>
      <c r="Z1894" s="51">
        <v>0</v>
      </c>
      <c r="AA1894" s="51">
        <v>27</v>
      </c>
      <c r="AB1894" s="102">
        <v>0</v>
      </c>
      <c r="AC1894" s="81">
        <f t="shared" si="90"/>
        <v>412.49712276867041</v>
      </c>
      <c r="AD1894" s="82">
        <f t="shared" si="91"/>
        <v>15.685714285714283</v>
      </c>
      <c r="AE1894" s="218">
        <v>6.9221190986755408E-3</v>
      </c>
      <c r="AF1894">
        <v>1</v>
      </c>
      <c r="AH1894" t="str">
        <f t="shared" si="92"/>
        <v>Hasanpur</v>
      </c>
      <c r="AJ1894" s="72">
        <v>0</v>
      </c>
      <c r="AK1894" s="72"/>
      <c r="AL1894" s="72"/>
      <c r="AM1894" s="72"/>
    </row>
    <row r="1895" spans="1:39" x14ac:dyDescent="0.25">
      <c r="A1895" s="37" t="s">
        <v>62</v>
      </c>
      <c r="B1895" s="66" t="s">
        <v>1629</v>
      </c>
      <c r="C1895" s="41">
        <v>1001</v>
      </c>
      <c r="D1895" s="41" t="s">
        <v>92</v>
      </c>
      <c r="E1895" s="41">
        <v>10010082</v>
      </c>
      <c r="F1895" s="85" t="s">
        <v>457</v>
      </c>
      <c r="G1895" s="39" t="s">
        <v>93</v>
      </c>
      <c r="H1895" s="52" t="s">
        <v>94</v>
      </c>
      <c r="I1895" s="52">
        <v>1063.5</v>
      </c>
      <c r="J1895" s="49">
        <v>40713.340000000004</v>
      </c>
      <c r="K1895" s="58">
        <v>1041.8400000000001</v>
      </c>
      <c r="L1895" s="58">
        <v>39734.614175640301</v>
      </c>
      <c r="M1895" s="58">
        <v>23.6</v>
      </c>
      <c r="N1895" s="58">
        <v>885.14271133200009</v>
      </c>
      <c r="O1895" s="58">
        <v>1065.44</v>
      </c>
      <c r="P1895" s="53">
        <v>40619.756886972304</v>
      </c>
      <c r="Q1895" s="65">
        <v>40619.756886972304</v>
      </c>
      <c r="R1895" s="65">
        <v>0</v>
      </c>
      <c r="S1895" s="65">
        <v>0</v>
      </c>
      <c r="T1895" s="65">
        <v>0</v>
      </c>
      <c r="U1895" s="58">
        <v>0</v>
      </c>
      <c r="V1895" s="65">
        <v>0</v>
      </c>
      <c r="W1895" s="65">
        <v>0</v>
      </c>
      <c r="X1895" s="65">
        <v>39735</v>
      </c>
      <c r="Y1895" s="65">
        <v>885</v>
      </c>
      <c r="Z1895" s="51">
        <v>0</v>
      </c>
      <c r="AA1895" s="51">
        <v>93</v>
      </c>
      <c r="AB1895" s="102">
        <v>0</v>
      </c>
      <c r="AC1895" s="81">
        <f t="shared" si="90"/>
        <v>0</v>
      </c>
      <c r="AD1895" s="82">
        <f t="shared" si="91"/>
        <v>0</v>
      </c>
      <c r="AE1895" s="218">
        <v>2.2985859923970904E-3</v>
      </c>
      <c r="AF1895">
        <v>9</v>
      </c>
      <c r="AH1895" t="str">
        <f t="shared" si="92"/>
        <v>Majhaul</v>
      </c>
      <c r="AJ1895" s="72">
        <v>0</v>
      </c>
      <c r="AK1895" s="72"/>
      <c r="AL1895" s="72"/>
      <c r="AM1895" s="72"/>
    </row>
    <row r="1896" spans="1:39" x14ac:dyDescent="0.25">
      <c r="A1896" s="37" t="s">
        <v>62</v>
      </c>
      <c r="B1896" s="66" t="s">
        <v>1629</v>
      </c>
      <c r="C1896" s="41">
        <v>1001</v>
      </c>
      <c r="D1896" s="41" t="s">
        <v>92</v>
      </c>
      <c r="E1896" s="41">
        <v>10010084</v>
      </c>
      <c r="F1896" s="85" t="s">
        <v>458</v>
      </c>
      <c r="G1896" s="39" t="s">
        <v>635</v>
      </c>
      <c r="H1896" s="52" t="s">
        <v>99</v>
      </c>
      <c r="I1896" s="52">
        <v>200.5</v>
      </c>
      <c r="J1896" s="49">
        <v>6895.5700000000006</v>
      </c>
      <c r="K1896" s="58">
        <v>0</v>
      </c>
      <c r="L1896" s="58">
        <v>0</v>
      </c>
      <c r="M1896" s="58">
        <v>0</v>
      </c>
      <c r="N1896" s="58">
        <v>0</v>
      </c>
      <c r="O1896" s="58">
        <v>0</v>
      </c>
      <c r="P1896" s="53">
        <v>0</v>
      </c>
      <c r="Q1896" s="65">
        <v>6895.5700000000006</v>
      </c>
      <c r="R1896" s="65">
        <v>0</v>
      </c>
      <c r="S1896" s="65">
        <v>0</v>
      </c>
      <c r="T1896" s="65">
        <v>0</v>
      </c>
      <c r="U1896" s="58">
        <v>0</v>
      </c>
      <c r="V1896" s="65">
        <v>0</v>
      </c>
      <c r="W1896" s="65">
        <v>0</v>
      </c>
      <c r="X1896" s="65">
        <v>0</v>
      </c>
      <c r="Y1896" s="65">
        <v>0</v>
      </c>
      <c r="Z1896" s="51">
        <v>6895.5700000000006</v>
      </c>
      <c r="AA1896" s="51">
        <v>0</v>
      </c>
      <c r="AB1896" s="102">
        <v>0</v>
      </c>
      <c r="AC1896" s="81">
        <f t="shared" si="90"/>
        <v>343.57478453865332</v>
      </c>
      <c r="AD1896" s="82">
        <f t="shared" si="91"/>
        <v>28.642857142857142</v>
      </c>
      <c r="AE1896" s="218">
        <v>0</v>
      </c>
      <c r="AF1896">
        <v>0</v>
      </c>
      <c r="AH1896" t="str">
        <f t="shared" si="92"/>
        <v>Majhaul</v>
      </c>
      <c r="AJ1896" s="72">
        <v>0</v>
      </c>
      <c r="AK1896" s="72"/>
      <c r="AL1896" s="72"/>
      <c r="AM1896" s="72"/>
    </row>
    <row r="1897" spans="1:39" x14ac:dyDescent="0.25">
      <c r="A1897" s="37" t="s">
        <v>62</v>
      </c>
      <c r="B1897" s="66" t="s">
        <v>1629</v>
      </c>
      <c r="C1897" s="41">
        <v>1058</v>
      </c>
      <c r="D1897" s="41" t="s">
        <v>1344</v>
      </c>
      <c r="E1897" s="41">
        <v>10010086</v>
      </c>
      <c r="F1897" s="85" t="s">
        <v>480</v>
      </c>
      <c r="G1897" s="39" t="s">
        <v>93</v>
      </c>
      <c r="H1897" s="52" t="s">
        <v>94</v>
      </c>
      <c r="I1897" s="52">
        <v>187.9</v>
      </c>
      <c r="J1897" s="49">
        <v>7695.9799999999987</v>
      </c>
      <c r="K1897" s="58">
        <v>182.83999999999997</v>
      </c>
      <c r="L1897" s="58">
        <v>7622.5319240029676</v>
      </c>
      <c r="M1897" s="58">
        <v>3.71</v>
      </c>
      <c r="N1897" s="58">
        <v>151.56271733181998</v>
      </c>
      <c r="O1897" s="58">
        <v>186.54999999999998</v>
      </c>
      <c r="P1897" s="53">
        <v>7774.0946413347874</v>
      </c>
      <c r="Q1897" s="65">
        <v>7695.9799999999987</v>
      </c>
      <c r="R1897" s="65">
        <v>0</v>
      </c>
      <c r="S1897" s="65">
        <v>151.56271733181998</v>
      </c>
      <c r="T1897" s="65">
        <v>78.114641334788757</v>
      </c>
      <c r="U1897" s="58">
        <v>0</v>
      </c>
      <c r="V1897" s="65">
        <v>0</v>
      </c>
      <c r="W1897" s="65">
        <v>0</v>
      </c>
      <c r="X1897" s="65">
        <v>7544</v>
      </c>
      <c r="Y1897" s="65">
        <v>0</v>
      </c>
      <c r="Z1897" s="51">
        <v>0</v>
      </c>
      <c r="AA1897" s="51">
        <v>0</v>
      </c>
      <c r="AB1897" s="102">
        <v>0</v>
      </c>
      <c r="AC1897" s="81">
        <f t="shared" si="90"/>
        <v>419.49029888238425</v>
      </c>
      <c r="AD1897" s="82">
        <f t="shared" si="91"/>
        <v>26.842857142857145</v>
      </c>
      <c r="AE1897" s="218">
        <v>-1.0150057735959393E-2</v>
      </c>
      <c r="AF1897">
        <v>9</v>
      </c>
      <c r="AH1897" t="str">
        <f t="shared" si="92"/>
        <v>Hasanpur</v>
      </c>
      <c r="AJ1897" s="72">
        <v>0</v>
      </c>
      <c r="AK1897" s="72"/>
      <c r="AL1897" s="72"/>
      <c r="AM1897" s="72"/>
    </row>
    <row r="1898" spans="1:39" x14ac:dyDescent="0.25">
      <c r="A1898" s="37" t="s">
        <v>62</v>
      </c>
      <c r="B1898" s="66" t="s">
        <v>1629</v>
      </c>
      <c r="C1898" s="41">
        <v>1058</v>
      </c>
      <c r="D1898" s="41" t="s">
        <v>1344</v>
      </c>
      <c r="E1898" s="41">
        <v>10010087</v>
      </c>
      <c r="F1898" s="85" t="s">
        <v>471</v>
      </c>
      <c r="G1898" s="39" t="s">
        <v>635</v>
      </c>
      <c r="H1898" s="52" t="s">
        <v>99</v>
      </c>
      <c r="I1898" s="52">
        <v>147.6</v>
      </c>
      <c r="J1898" s="49">
        <v>4703.16</v>
      </c>
      <c r="K1898" s="58">
        <v>0</v>
      </c>
      <c r="L1898" s="58">
        <v>0</v>
      </c>
      <c r="M1898" s="58">
        <v>0</v>
      </c>
      <c r="N1898" s="58">
        <v>0</v>
      </c>
      <c r="O1898" s="58">
        <v>0</v>
      </c>
      <c r="P1898" s="53">
        <v>0</v>
      </c>
      <c r="Q1898" s="65">
        <v>4703.16</v>
      </c>
      <c r="R1898" s="65">
        <v>0</v>
      </c>
      <c r="S1898" s="65">
        <v>0</v>
      </c>
      <c r="T1898" s="65">
        <v>0</v>
      </c>
      <c r="U1898" s="58">
        <v>0</v>
      </c>
      <c r="V1898" s="65">
        <v>13.52423225806449</v>
      </c>
      <c r="W1898" s="65">
        <v>0</v>
      </c>
      <c r="X1898" s="65">
        <v>0</v>
      </c>
      <c r="Y1898" s="65">
        <v>0</v>
      </c>
      <c r="Z1898" s="51">
        <v>4689.6357677419355</v>
      </c>
      <c r="AA1898" s="51">
        <v>0</v>
      </c>
      <c r="AB1898" s="102">
        <v>0</v>
      </c>
      <c r="AC1898" s="81">
        <f t="shared" si="90"/>
        <v>352.03598699186989</v>
      </c>
      <c r="AD1898" s="82">
        <f t="shared" si="91"/>
        <v>21.085714285714285</v>
      </c>
      <c r="AE1898" s="218">
        <v>0</v>
      </c>
      <c r="AF1898">
        <v>0</v>
      </c>
      <c r="AH1898" t="str">
        <f t="shared" si="92"/>
        <v>Hasanpur</v>
      </c>
      <c r="AJ1898" s="72">
        <v>0</v>
      </c>
      <c r="AK1898" s="72"/>
      <c r="AL1898" s="72"/>
      <c r="AM1898" s="72"/>
    </row>
    <row r="1899" spans="1:39" x14ac:dyDescent="0.25">
      <c r="A1899" s="37" t="s">
        <v>62</v>
      </c>
      <c r="B1899" s="66" t="s">
        <v>1629</v>
      </c>
      <c r="C1899" s="41">
        <v>1058</v>
      </c>
      <c r="D1899" s="41" t="s">
        <v>1344</v>
      </c>
      <c r="E1899" s="41">
        <v>10010089</v>
      </c>
      <c r="F1899" s="85" t="s">
        <v>481</v>
      </c>
      <c r="G1899" s="39" t="s">
        <v>93</v>
      </c>
      <c r="H1899" s="52" t="s">
        <v>94</v>
      </c>
      <c r="I1899" s="52">
        <v>337.9</v>
      </c>
      <c r="J1899" s="49">
        <v>11904.32</v>
      </c>
      <c r="K1899" s="58">
        <v>173.9</v>
      </c>
      <c r="L1899" s="58">
        <v>6483.4100972388005</v>
      </c>
      <c r="M1899" s="58">
        <v>163.69999999999999</v>
      </c>
      <c r="N1899" s="58">
        <v>6568.8324887514946</v>
      </c>
      <c r="O1899" s="58">
        <v>337.6</v>
      </c>
      <c r="P1899" s="53">
        <v>13052.242585990294</v>
      </c>
      <c r="Q1899" s="65">
        <v>11904.32</v>
      </c>
      <c r="R1899" s="65">
        <v>0</v>
      </c>
      <c r="S1899" s="65">
        <v>199.31271560640005</v>
      </c>
      <c r="T1899" s="65">
        <v>1147.9225859902945</v>
      </c>
      <c r="U1899" s="58">
        <v>0</v>
      </c>
      <c r="V1899" s="65">
        <v>0</v>
      </c>
      <c r="W1899" s="65">
        <v>0</v>
      </c>
      <c r="X1899" s="65">
        <v>5334</v>
      </c>
      <c r="Y1899" s="65">
        <v>6371</v>
      </c>
      <c r="Z1899" s="51">
        <v>0</v>
      </c>
      <c r="AA1899" s="51">
        <v>0</v>
      </c>
      <c r="AB1899" s="102">
        <v>0</v>
      </c>
      <c r="AC1899" s="81">
        <f t="shared" si="90"/>
        <v>255.13786753477362</v>
      </c>
      <c r="AD1899" s="82">
        <f t="shared" si="91"/>
        <v>48.271428571428565</v>
      </c>
      <c r="AE1899" s="218">
        <v>-9.6429076670510747E-2</v>
      </c>
      <c r="AF1899">
        <v>17</v>
      </c>
      <c r="AH1899" t="str">
        <f t="shared" si="92"/>
        <v>Hasanpur</v>
      </c>
      <c r="AJ1899" s="72">
        <v>0</v>
      </c>
      <c r="AK1899" s="72"/>
      <c r="AL1899" s="72"/>
      <c r="AM1899" s="72"/>
    </row>
    <row r="1900" spans="1:39" x14ac:dyDescent="0.25">
      <c r="A1900" s="37" t="s">
        <v>62</v>
      </c>
      <c r="B1900" s="66" t="s">
        <v>1629</v>
      </c>
      <c r="C1900" s="41">
        <v>1001</v>
      </c>
      <c r="D1900" s="41" t="s">
        <v>92</v>
      </c>
      <c r="E1900" s="41">
        <v>10010092</v>
      </c>
      <c r="F1900" s="85" t="s">
        <v>528</v>
      </c>
      <c r="G1900" s="39" t="s">
        <v>635</v>
      </c>
      <c r="H1900" s="52" t="s">
        <v>99</v>
      </c>
      <c r="I1900" s="52">
        <v>872.3</v>
      </c>
      <c r="J1900" s="49">
        <v>28434.49</v>
      </c>
      <c r="K1900" s="58">
        <v>0</v>
      </c>
      <c r="L1900" s="58">
        <v>0</v>
      </c>
      <c r="M1900" s="58">
        <v>0</v>
      </c>
      <c r="N1900" s="58">
        <v>0</v>
      </c>
      <c r="O1900" s="58">
        <v>0</v>
      </c>
      <c r="P1900" s="53">
        <v>0</v>
      </c>
      <c r="Q1900" s="65">
        <v>28434.49</v>
      </c>
      <c r="R1900" s="65">
        <v>0</v>
      </c>
      <c r="S1900" s="65">
        <v>0</v>
      </c>
      <c r="T1900" s="65">
        <v>0</v>
      </c>
      <c r="U1900" s="58">
        <v>0</v>
      </c>
      <c r="V1900" s="65">
        <v>0</v>
      </c>
      <c r="W1900" s="65">
        <v>0</v>
      </c>
      <c r="X1900" s="65">
        <v>0</v>
      </c>
      <c r="Y1900" s="65">
        <v>0</v>
      </c>
      <c r="Z1900" s="51">
        <v>28434.49</v>
      </c>
      <c r="AA1900" s="51">
        <v>0</v>
      </c>
      <c r="AB1900" s="102">
        <v>0</v>
      </c>
      <c r="AC1900" s="81">
        <f t="shared" si="90"/>
        <v>0</v>
      </c>
      <c r="AD1900" s="82">
        <f t="shared" si="91"/>
        <v>0</v>
      </c>
      <c r="AE1900" s="218">
        <v>0</v>
      </c>
      <c r="AF1900">
        <v>0</v>
      </c>
      <c r="AH1900" t="str">
        <f t="shared" si="92"/>
        <v>Majhaul</v>
      </c>
      <c r="AJ1900" s="72">
        <v>0</v>
      </c>
      <c r="AK1900" s="72"/>
      <c r="AL1900" s="72"/>
      <c r="AM1900" s="72"/>
    </row>
    <row r="1901" spans="1:39" x14ac:dyDescent="0.25">
      <c r="A1901" s="37" t="s">
        <v>62</v>
      </c>
      <c r="B1901" s="66" t="s">
        <v>1629</v>
      </c>
      <c r="C1901" s="41">
        <v>1058</v>
      </c>
      <c r="D1901" s="41" t="s">
        <v>1344</v>
      </c>
      <c r="E1901" s="41">
        <v>10010095</v>
      </c>
      <c r="F1901" s="85" t="s">
        <v>529</v>
      </c>
      <c r="G1901" s="39" t="s">
        <v>93</v>
      </c>
      <c r="H1901" s="52" t="s">
        <v>94</v>
      </c>
      <c r="I1901" s="52">
        <v>344.10000000000008</v>
      </c>
      <c r="J1901" s="49">
        <v>13782.68</v>
      </c>
      <c r="K1901" s="58">
        <v>338.9</v>
      </c>
      <c r="L1901" s="58">
        <v>13635.99274356</v>
      </c>
      <c r="M1901" s="58">
        <v>5</v>
      </c>
      <c r="N1901" s="58">
        <v>213.18561000000003</v>
      </c>
      <c r="O1901" s="58">
        <v>343.9</v>
      </c>
      <c r="P1901" s="53">
        <v>13849.178353560001</v>
      </c>
      <c r="Q1901" s="65">
        <v>13782.68</v>
      </c>
      <c r="R1901" s="65">
        <v>0</v>
      </c>
      <c r="S1901" s="65">
        <v>213.18561000000003</v>
      </c>
      <c r="T1901" s="65">
        <v>66.498353560000396</v>
      </c>
      <c r="U1901" s="58">
        <v>0</v>
      </c>
      <c r="V1901" s="65">
        <v>0</v>
      </c>
      <c r="W1901" s="65">
        <v>0</v>
      </c>
      <c r="X1901" s="65">
        <v>13569</v>
      </c>
      <c r="Y1901" s="65">
        <v>0</v>
      </c>
      <c r="Z1901" s="51">
        <v>0</v>
      </c>
      <c r="AA1901" s="51">
        <v>0</v>
      </c>
      <c r="AB1901" s="102">
        <v>0</v>
      </c>
      <c r="AC1901" s="81">
        <f t="shared" si="90"/>
        <v>285.10641162452765</v>
      </c>
      <c r="AD1901" s="82">
        <f t="shared" si="91"/>
        <v>49.157142857142865</v>
      </c>
      <c r="AE1901" s="218">
        <v>-4.8247767168649635E-3</v>
      </c>
      <c r="AF1901">
        <v>3</v>
      </c>
      <c r="AH1901" t="str">
        <f t="shared" si="92"/>
        <v>Hasanpur</v>
      </c>
      <c r="AJ1901" s="72">
        <v>0</v>
      </c>
      <c r="AK1901" s="72"/>
      <c r="AL1901" s="72"/>
      <c r="AM1901" s="72"/>
    </row>
    <row r="1902" spans="1:39" x14ac:dyDescent="0.25">
      <c r="A1902" s="37" t="s">
        <v>62</v>
      </c>
      <c r="B1902" s="66" t="s">
        <v>1629</v>
      </c>
      <c r="C1902" s="41">
        <v>1001</v>
      </c>
      <c r="D1902" s="41" t="s">
        <v>92</v>
      </c>
      <c r="E1902" s="41">
        <v>10010097</v>
      </c>
      <c r="F1902" s="85" t="s">
        <v>534</v>
      </c>
      <c r="G1902" s="39" t="s">
        <v>93</v>
      </c>
      <c r="H1902" s="52" t="s">
        <v>94</v>
      </c>
      <c r="I1902" s="52">
        <v>1286.7</v>
      </c>
      <c r="J1902" s="49">
        <v>49057.86</v>
      </c>
      <c r="K1902" s="58">
        <v>1311.75</v>
      </c>
      <c r="L1902" s="58">
        <v>49831.224095579273</v>
      </c>
      <c r="M1902" s="58">
        <v>1.2599999999999998</v>
      </c>
      <c r="N1902" s="58">
        <v>48.0554140176</v>
      </c>
      <c r="O1902" s="58">
        <v>1313.01</v>
      </c>
      <c r="P1902" s="53">
        <v>49879.279509596876</v>
      </c>
      <c r="Q1902" s="65">
        <v>49057.86</v>
      </c>
      <c r="R1902" s="65">
        <v>0</v>
      </c>
      <c r="S1902" s="65">
        <v>48.0554140176</v>
      </c>
      <c r="T1902" s="65">
        <v>821.41950959687529</v>
      </c>
      <c r="U1902" s="58">
        <v>0</v>
      </c>
      <c r="V1902" s="65">
        <v>0</v>
      </c>
      <c r="W1902" s="65">
        <v>0</v>
      </c>
      <c r="X1902" s="65">
        <v>49010</v>
      </c>
      <c r="Y1902" s="65">
        <v>0</v>
      </c>
      <c r="Z1902" s="51">
        <v>0</v>
      </c>
      <c r="AA1902" s="51">
        <v>0</v>
      </c>
      <c r="AB1902" s="102">
        <v>0</v>
      </c>
      <c r="AC1902" s="81">
        <f t="shared" si="90"/>
        <v>0</v>
      </c>
      <c r="AD1902" s="82">
        <f t="shared" si="91"/>
        <v>0</v>
      </c>
      <c r="AE1902" s="218">
        <v>-1.6743892000117316E-2</v>
      </c>
      <c r="AF1902">
        <v>12</v>
      </c>
      <c r="AH1902" t="str">
        <f t="shared" si="92"/>
        <v>Majhaul</v>
      </c>
      <c r="AJ1902" s="72">
        <v>0</v>
      </c>
      <c r="AK1902" s="72"/>
      <c r="AL1902" s="72"/>
      <c r="AM1902" s="72"/>
    </row>
    <row r="1903" spans="1:39" x14ac:dyDescent="0.25">
      <c r="A1903" s="37" t="s">
        <v>62</v>
      </c>
      <c r="B1903" s="66" t="s">
        <v>1629</v>
      </c>
      <c r="C1903" s="41">
        <v>1058</v>
      </c>
      <c r="D1903" s="41" t="s">
        <v>1344</v>
      </c>
      <c r="E1903" s="41">
        <v>10010098</v>
      </c>
      <c r="F1903" s="85" t="s">
        <v>530</v>
      </c>
      <c r="G1903" s="39" t="s">
        <v>93</v>
      </c>
      <c r="H1903" s="52" t="s">
        <v>94</v>
      </c>
      <c r="I1903" s="52">
        <v>451.2999999999999</v>
      </c>
      <c r="J1903" s="49">
        <v>15352.869999999999</v>
      </c>
      <c r="K1903" s="58">
        <v>450.54</v>
      </c>
      <c r="L1903" s="58">
        <v>18512.460211695561</v>
      </c>
      <c r="M1903" s="58">
        <v>25.04</v>
      </c>
      <c r="N1903" s="58">
        <v>991.95578835944013</v>
      </c>
      <c r="O1903" s="58">
        <v>475.58000000000004</v>
      </c>
      <c r="P1903" s="53">
        <v>19504.416000055</v>
      </c>
      <c r="Q1903" s="65">
        <v>15352.869999999999</v>
      </c>
      <c r="R1903" s="65">
        <v>0</v>
      </c>
      <c r="S1903" s="65">
        <v>209.55984805544003</v>
      </c>
      <c r="T1903" s="65">
        <v>4151.5460000550011</v>
      </c>
      <c r="U1903" s="58">
        <v>0</v>
      </c>
      <c r="V1903" s="65">
        <v>0</v>
      </c>
      <c r="W1903" s="65">
        <v>0</v>
      </c>
      <c r="X1903" s="65">
        <v>14361</v>
      </c>
      <c r="Y1903" s="65">
        <v>782</v>
      </c>
      <c r="Z1903" s="51">
        <v>0</v>
      </c>
      <c r="AA1903" s="51">
        <v>0</v>
      </c>
      <c r="AB1903" s="102" t="s">
        <v>68</v>
      </c>
      <c r="AC1903" s="81">
        <f t="shared" si="90"/>
        <v>169.21155634832715</v>
      </c>
      <c r="AD1903" s="82">
        <f t="shared" si="91"/>
        <v>64.471428571428561</v>
      </c>
      <c r="AE1903" s="218">
        <v>-0.27040846434933674</v>
      </c>
      <c r="AF1903">
        <v>7</v>
      </c>
      <c r="AH1903" t="str">
        <f t="shared" si="92"/>
        <v>Hasanpur</v>
      </c>
      <c r="AJ1903" s="72">
        <v>0</v>
      </c>
      <c r="AK1903" s="72"/>
      <c r="AL1903" s="72"/>
      <c r="AM1903" s="72"/>
    </row>
    <row r="1904" spans="1:39" x14ac:dyDescent="0.25">
      <c r="A1904" s="37" t="s">
        <v>62</v>
      </c>
      <c r="B1904" s="66" t="s">
        <v>1629</v>
      </c>
      <c r="C1904" s="41">
        <v>1058</v>
      </c>
      <c r="D1904" s="41" t="s">
        <v>1344</v>
      </c>
      <c r="E1904" s="41">
        <v>10010099</v>
      </c>
      <c r="F1904" s="85" t="s">
        <v>569</v>
      </c>
      <c r="G1904" s="39" t="s">
        <v>93</v>
      </c>
      <c r="H1904" s="52" t="s">
        <v>94</v>
      </c>
      <c r="I1904" s="52">
        <v>118.19999999999999</v>
      </c>
      <c r="J1904" s="49">
        <v>5901.68</v>
      </c>
      <c r="K1904" s="58">
        <v>126</v>
      </c>
      <c r="L1904" s="58">
        <v>5147.7451739999997</v>
      </c>
      <c r="M1904" s="58">
        <v>0</v>
      </c>
      <c r="N1904" s="58">
        <v>0</v>
      </c>
      <c r="O1904" s="58">
        <v>126</v>
      </c>
      <c r="P1904" s="53">
        <v>5147.7451739999997</v>
      </c>
      <c r="Q1904" s="65">
        <v>5147.7451739999997</v>
      </c>
      <c r="R1904" s="65">
        <v>0</v>
      </c>
      <c r="S1904" s="65">
        <v>0</v>
      </c>
      <c r="T1904" s="65">
        <v>0</v>
      </c>
      <c r="U1904" s="58">
        <v>0</v>
      </c>
      <c r="V1904" s="65">
        <v>0</v>
      </c>
      <c r="W1904" s="65">
        <v>0</v>
      </c>
      <c r="X1904" s="65">
        <v>5148</v>
      </c>
      <c r="Y1904" s="65">
        <v>0</v>
      </c>
      <c r="Z1904" s="51">
        <v>0</v>
      </c>
      <c r="AA1904" s="51">
        <v>754</v>
      </c>
      <c r="AB1904" s="102">
        <v>0</v>
      </c>
      <c r="AC1904" s="81">
        <f t="shared" si="90"/>
        <v>580.98095160744515</v>
      </c>
      <c r="AD1904" s="82">
        <f t="shared" si="91"/>
        <v>16.885714285714283</v>
      </c>
      <c r="AE1904" s="218">
        <v>0.12774918768892934</v>
      </c>
      <c r="AF1904">
        <v>1</v>
      </c>
      <c r="AH1904" t="str">
        <f t="shared" si="92"/>
        <v>Hasanpur</v>
      </c>
      <c r="AJ1904" s="72">
        <v>0</v>
      </c>
      <c r="AK1904" s="72"/>
      <c r="AL1904" s="72"/>
      <c r="AM1904" s="72"/>
    </row>
    <row r="1905" spans="1:39" x14ac:dyDescent="0.25">
      <c r="A1905" s="37" t="s">
        <v>62</v>
      </c>
      <c r="B1905" s="66" t="s">
        <v>1629</v>
      </c>
      <c r="C1905" s="41">
        <v>1001</v>
      </c>
      <c r="D1905" s="41" t="s">
        <v>92</v>
      </c>
      <c r="E1905" s="41">
        <v>10010108</v>
      </c>
      <c r="F1905" s="85" t="s">
        <v>647</v>
      </c>
      <c r="G1905" s="39" t="s">
        <v>93</v>
      </c>
      <c r="H1905" s="52" t="s">
        <v>94</v>
      </c>
      <c r="I1905" s="52">
        <v>186.79999999999998</v>
      </c>
      <c r="J1905" s="49">
        <v>7163.26</v>
      </c>
      <c r="K1905" s="58">
        <v>181.58</v>
      </c>
      <c r="L1905" s="58">
        <v>6883.172825740201</v>
      </c>
      <c r="M1905" s="58">
        <v>1.55</v>
      </c>
      <c r="N1905" s="58">
        <v>59.257793628000009</v>
      </c>
      <c r="O1905" s="58">
        <v>183.13000000000002</v>
      </c>
      <c r="P1905" s="53">
        <v>6942.4306193682014</v>
      </c>
      <c r="Q1905" s="65">
        <v>6942.4306193682014</v>
      </c>
      <c r="R1905" s="65">
        <v>0</v>
      </c>
      <c r="S1905" s="65">
        <v>59.257793628000009</v>
      </c>
      <c r="T1905" s="65">
        <v>0</v>
      </c>
      <c r="U1905" s="58">
        <v>0</v>
      </c>
      <c r="V1905" s="65">
        <v>0</v>
      </c>
      <c r="W1905" s="65">
        <v>0</v>
      </c>
      <c r="X1905" s="65">
        <v>6883</v>
      </c>
      <c r="Y1905" s="65">
        <v>0</v>
      </c>
      <c r="Z1905" s="51">
        <v>0</v>
      </c>
      <c r="AA1905" s="51">
        <v>221</v>
      </c>
      <c r="AB1905" s="102">
        <v>0</v>
      </c>
      <c r="AC1905" s="81">
        <f t="shared" si="90"/>
        <v>393.59582783725915</v>
      </c>
      <c r="AD1905" s="82">
        <f t="shared" si="91"/>
        <v>26.685714285714283</v>
      </c>
      <c r="AE1905" s="218">
        <v>3.0828056029209999E-2</v>
      </c>
      <c r="AF1905">
        <v>2</v>
      </c>
      <c r="AH1905" t="str">
        <f t="shared" si="92"/>
        <v>Majhaul</v>
      </c>
      <c r="AJ1905" s="72">
        <v>0</v>
      </c>
      <c r="AK1905" s="72"/>
      <c r="AL1905" s="72"/>
      <c r="AM1905" s="72"/>
    </row>
    <row r="1906" spans="1:39" x14ac:dyDescent="0.25">
      <c r="A1906" s="37" t="s">
        <v>62</v>
      </c>
      <c r="B1906" s="66" t="s">
        <v>1629</v>
      </c>
      <c r="C1906" s="41">
        <v>1001</v>
      </c>
      <c r="D1906" s="41" t="s">
        <v>92</v>
      </c>
      <c r="E1906" s="41">
        <v>10010109</v>
      </c>
      <c r="F1906" s="85" t="s">
        <v>648</v>
      </c>
      <c r="G1906" s="39" t="s">
        <v>635</v>
      </c>
      <c r="H1906" s="52" t="s">
        <v>99</v>
      </c>
      <c r="I1906" s="52">
        <v>286.09999999999997</v>
      </c>
      <c r="J1906" s="49">
        <v>9229.61</v>
      </c>
      <c r="K1906" s="58">
        <v>0</v>
      </c>
      <c r="L1906" s="58">
        <v>0</v>
      </c>
      <c r="M1906" s="58">
        <v>0</v>
      </c>
      <c r="N1906" s="58">
        <v>0</v>
      </c>
      <c r="O1906" s="58">
        <v>0</v>
      </c>
      <c r="P1906" s="53">
        <v>0</v>
      </c>
      <c r="Q1906" s="65">
        <v>9229.61</v>
      </c>
      <c r="R1906" s="65">
        <v>0</v>
      </c>
      <c r="S1906" s="65">
        <v>0</v>
      </c>
      <c r="T1906" s="65">
        <v>0</v>
      </c>
      <c r="U1906" s="58">
        <v>0</v>
      </c>
      <c r="V1906" s="65">
        <v>0</v>
      </c>
      <c r="W1906" s="65">
        <v>0</v>
      </c>
      <c r="X1906" s="65">
        <v>0</v>
      </c>
      <c r="Y1906" s="65">
        <v>0</v>
      </c>
      <c r="Z1906" s="51">
        <v>9229.61</v>
      </c>
      <c r="AA1906" s="51">
        <v>0</v>
      </c>
      <c r="AB1906" s="102">
        <v>0</v>
      </c>
      <c r="AC1906" s="81">
        <f t="shared" si="90"/>
        <v>267.04897441454045</v>
      </c>
      <c r="AD1906" s="82">
        <f t="shared" si="91"/>
        <v>40.871428571428567</v>
      </c>
      <c r="AE1906" s="218">
        <v>0</v>
      </c>
      <c r="AF1906">
        <v>0</v>
      </c>
      <c r="AH1906" t="str">
        <f t="shared" si="92"/>
        <v>Majhaul</v>
      </c>
      <c r="AJ1906" s="72">
        <v>0</v>
      </c>
      <c r="AK1906" s="72"/>
      <c r="AL1906" s="72"/>
      <c r="AM1906" s="72"/>
    </row>
    <row r="1907" spans="1:39" x14ac:dyDescent="0.25">
      <c r="A1907" s="37" t="s">
        <v>62</v>
      </c>
      <c r="B1907" s="66" t="s">
        <v>1629</v>
      </c>
      <c r="C1907" s="41">
        <v>1001</v>
      </c>
      <c r="D1907" s="41" t="s">
        <v>92</v>
      </c>
      <c r="E1907" s="41">
        <v>10010113</v>
      </c>
      <c r="F1907" s="85" t="s">
        <v>824</v>
      </c>
      <c r="G1907" s="39" t="s">
        <v>93</v>
      </c>
      <c r="H1907" s="52" t="s">
        <v>94</v>
      </c>
      <c r="I1907" s="52">
        <v>780.49999999999989</v>
      </c>
      <c r="J1907" s="49">
        <v>30980.369999999995</v>
      </c>
      <c r="K1907" s="58">
        <v>772.46</v>
      </c>
      <c r="L1907" s="58">
        <v>31044.181737993596</v>
      </c>
      <c r="M1907" s="58">
        <v>7.2799999999999994</v>
      </c>
      <c r="N1907" s="58">
        <v>289.19549395440004</v>
      </c>
      <c r="O1907" s="58">
        <v>779.74</v>
      </c>
      <c r="P1907" s="53">
        <v>31333.377231947998</v>
      </c>
      <c r="Q1907" s="65">
        <v>30980.369999999995</v>
      </c>
      <c r="R1907" s="65">
        <v>0</v>
      </c>
      <c r="S1907" s="65">
        <v>289.19549395440004</v>
      </c>
      <c r="T1907" s="65">
        <v>353.0072319480023</v>
      </c>
      <c r="U1907" s="58">
        <v>0</v>
      </c>
      <c r="V1907" s="65">
        <v>0</v>
      </c>
      <c r="W1907" s="65">
        <v>0</v>
      </c>
      <c r="X1907" s="65">
        <v>30691</v>
      </c>
      <c r="Y1907" s="65">
        <v>0</v>
      </c>
      <c r="Z1907" s="51">
        <v>0</v>
      </c>
      <c r="AA1907" s="51">
        <v>0</v>
      </c>
      <c r="AB1907" s="102">
        <v>0</v>
      </c>
      <c r="AC1907" s="81">
        <f t="shared" si="90"/>
        <v>0</v>
      </c>
      <c r="AD1907" s="82">
        <f t="shared" si="91"/>
        <v>0</v>
      </c>
      <c r="AE1907" s="218">
        <v>-1.1394545383028103E-2</v>
      </c>
      <c r="AF1907">
        <v>25</v>
      </c>
      <c r="AH1907" t="str">
        <f t="shared" si="92"/>
        <v>Majhaul</v>
      </c>
      <c r="AJ1907" s="72">
        <v>0</v>
      </c>
      <c r="AK1907" s="72"/>
      <c r="AL1907" s="72"/>
      <c r="AM1907" s="72"/>
    </row>
    <row r="1908" spans="1:39" x14ac:dyDescent="0.25">
      <c r="A1908" s="37" t="s">
        <v>62</v>
      </c>
      <c r="B1908" s="66" t="s">
        <v>1629</v>
      </c>
      <c r="C1908" s="41">
        <v>1001</v>
      </c>
      <c r="D1908" s="41" t="s">
        <v>92</v>
      </c>
      <c r="E1908" s="41">
        <v>10010116</v>
      </c>
      <c r="F1908" s="85" t="s">
        <v>845</v>
      </c>
      <c r="G1908" s="39" t="s">
        <v>635</v>
      </c>
      <c r="H1908" s="52" t="s">
        <v>99</v>
      </c>
      <c r="I1908" s="52">
        <v>1009.1000000000001</v>
      </c>
      <c r="J1908" s="49">
        <v>37529.67</v>
      </c>
      <c r="K1908" s="58">
        <v>0</v>
      </c>
      <c r="L1908" s="58">
        <v>0</v>
      </c>
      <c r="M1908" s="58">
        <v>0</v>
      </c>
      <c r="N1908" s="58">
        <v>0</v>
      </c>
      <c r="O1908" s="58">
        <v>0</v>
      </c>
      <c r="P1908" s="53">
        <v>0</v>
      </c>
      <c r="Q1908" s="65">
        <v>37529.67</v>
      </c>
      <c r="R1908" s="65">
        <v>0</v>
      </c>
      <c r="S1908" s="65">
        <v>0</v>
      </c>
      <c r="T1908" s="65">
        <v>0</v>
      </c>
      <c r="U1908" s="58">
        <v>0</v>
      </c>
      <c r="V1908" s="65">
        <v>0</v>
      </c>
      <c r="W1908" s="65">
        <v>0</v>
      </c>
      <c r="X1908" s="65">
        <v>0</v>
      </c>
      <c r="Y1908" s="65">
        <v>0</v>
      </c>
      <c r="Z1908" s="51">
        <v>37529.67</v>
      </c>
      <c r="AA1908" s="51">
        <v>0</v>
      </c>
      <c r="AB1908" s="102">
        <v>0</v>
      </c>
      <c r="AC1908" s="81">
        <f t="shared" si="90"/>
        <v>0</v>
      </c>
      <c r="AD1908" s="82">
        <f t="shared" si="91"/>
        <v>0</v>
      </c>
      <c r="AE1908" s="218">
        <v>0</v>
      </c>
      <c r="AF1908">
        <v>0</v>
      </c>
      <c r="AH1908" t="str">
        <f t="shared" si="92"/>
        <v>Majhaul</v>
      </c>
      <c r="AJ1908" s="72">
        <v>0</v>
      </c>
      <c r="AK1908" s="72"/>
      <c r="AL1908" s="72"/>
      <c r="AM1908" s="72"/>
    </row>
    <row r="1909" spans="1:39" x14ac:dyDescent="0.25">
      <c r="A1909" s="37" t="s">
        <v>62</v>
      </c>
      <c r="B1909" s="66" t="s">
        <v>1629</v>
      </c>
      <c r="C1909" s="41">
        <v>1001</v>
      </c>
      <c r="D1909" s="41" t="s">
        <v>92</v>
      </c>
      <c r="E1909" s="41">
        <v>10010121</v>
      </c>
      <c r="F1909" s="85" t="s">
        <v>1139</v>
      </c>
      <c r="G1909" s="39" t="s">
        <v>93</v>
      </c>
      <c r="H1909" s="52" t="s">
        <v>94</v>
      </c>
      <c r="I1909" s="52">
        <v>1254.1999999999998</v>
      </c>
      <c r="J1909" s="49">
        <v>46437.560000000005</v>
      </c>
      <c r="K1909" s="58">
        <v>1407.48</v>
      </c>
      <c r="L1909" s="58">
        <v>51479.18975938861</v>
      </c>
      <c r="M1909" s="58">
        <v>5.96</v>
      </c>
      <c r="N1909" s="58">
        <v>212.27089959900005</v>
      </c>
      <c r="O1909" s="58">
        <v>1413.44</v>
      </c>
      <c r="P1909" s="53">
        <v>51691.460658987613</v>
      </c>
      <c r="Q1909" s="65">
        <v>46437.560000000005</v>
      </c>
      <c r="R1909" s="65">
        <v>0</v>
      </c>
      <c r="S1909" s="65">
        <v>212.27089959900005</v>
      </c>
      <c r="T1909" s="65">
        <v>5253.900658987608</v>
      </c>
      <c r="U1909" s="58">
        <v>0</v>
      </c>
      <c r="V1909" s="65">
        <v>126.24017704918022</v>
      </c>
      <c r="W1909" s="65">
        <v>0</v>
      </c>
      <c r="X1909" s="65">
        <v>46099</v>
      </c>
      <c r="Y1909" s="65">
        <v>0</v>
      </c>
      <c r="Z1909" s="51">
        <v>0</v>
      </c>
      <c r="AA1909" s="51">
        <v>0</v>
      </c>
      <c r="AB1909" s="102">
        <v>0</v>
      </c>
      <c r="AC1909" s="81">
        <f t="shared" si="90"/>
        <v>0</v>
      </c>
      <c r="AD1909" s="82">
        <f t="shared" si="91"/>
        <v>0</v>
      </c>
      <c r="AE1909" s="218">
        <v>-0.11313903355360634</v>
      </c>
      <c r="AF1909">
        <v>11</v>
      </c>
      <c r="AH1909" t="str">
        <f t="shared" si="92"/>
        <v>Majhaul</v>
      </c>
      <c r="AJ1909" s="72">
        <v>0</v>
      </c>
      <c r="AK1909" s="72"/>
      <c r="AL1909" s="72"/>
      <c r="AM1909" s="72"/>
    </row>
    <row r="1910" spans="1:39" x14ac:dyDescent="0.25">
      <c r="A1910" s="37" t="s">
        <v>62</v>
      </c>
      <c r="B1910" s="66" t="s">
        <v>1629</v>
      </c>
      <c r="C1910" s="41">
        <v>1001</v>
      </c>
      <c r="D1910" s="41" t="s">
        <v>92</v>
      </c>
      <c r="E1910" s="41">
        <v>10010125</v>
      </c>
      <c r="F1910" s="85" t="s">
        <v>1149</v>
      </c>
      <c r="G1910" s="39" t="s">
        <v>635</v>
      </c>
      <c r="H1910" s="52" t="s">
        <v>99</v>
      </c>
      <c r="I1910" s="52">
        <v>423.9</v>
      </c>
      <c r="J1910" s="49">
        <v>16806.739999999998</v>
      </c>
      <c r="K1910" s="58">
        <v>0</v>
      </c>
      <c r="L1910" s="58">
        <v>0</v>
      </c>
      <c r="M1910" s="58">
        <v>0</v>
      </c>
      <c r="N1910" s="58">
        <v>0</v>
      </c>
      <c r="O1910" s="58">
        <v>0</v>
      </c>
      <c r="P1910" s="53">
        <v>0</v>
      </c>
      <c r="Q1910" s="65">
        <v>16806.739999999998</v>
      </c>
      <c r="R1910" s="65">
        <v>0</v>
      </c>
      <c r="S1910" s="65">
        <v>0</v>
      </c>
      <c r="T1910" s="65">
        <v>0</v>
      </c>
      <c r="U1910" s="58">
        <v>0</v>
      </c>
      <c r="V1910" s="65">
        <v>0</v>
      </c>
      <c r="W1910" s="65">
        <v>0</v>
      </c>
      <c r="X1910" s="65">
        <v>0</v>
      </c>
      <c r="Y1910" s="65">
        <v>0</v>
      </c>
      <c r="Z1910" s="51">
        <v>16806.739999999998</v>
      </c>
      <c r="AA1910" s="51">
        <v>0</v>
      </c>
      <c r="AB1910" s="102">
        <v>0</v>
      </c>
      <c r="AC1910" s="81">
        <f t="shared" si="90"/>
        <v>218.93564114177872</v>
      </c>
      <c r="AD1910" s="82">
        <f t="shared" si="91"/>
        <v>60.557142857142857</v>
      </c>
      <c r="AE1910" s="218">
        <v>0</v>
      </c>
      <c r="AF1910">
        <v>0</v>
      </c>
      <c r="AH1910" t="str">
        <f t="shared" si="92"/>
        <v>Majhaul</v>
      </c>
      <c r="AJ1910" s="72">
        <v>0</v>
      </c>
      <c r="AK1910" s="72"/>
      <c r="AL1910" s="72"/>
      <c r="AM1910" s="72"/>
    </row>
    <row r="1911" spans="1:39" x14ac:dyDescent="0.25">
      <c r="A1911" s="37" t="s">
        <v>62</v>
      </c>
      <c r="B1911" s="66" t="s">
        <v>1629</v>
      </c>
      <c r="C1911" s="41">
        <v>1001</v>
      </c>
      <c r="D1911" s="41" t="s">
        <v>92</v>
      </c>
      <c r="E1911" s="41">
        <v>10010128</v>
      </c>
      <c r="F1911" s="85" t="s">
        <v>1150</v>
      </c>
      <c r="G1911" s="39" t="s">
        <v>93</v>
      </c>
      <c r="H1911" s="52" t="s">
        <v>94</v>
      </c>
      <c r="I1911" s="52">
        <v>1111</v>
      </c>
      <c r="J1911" s="49">
        <v>45445.2</v>
      </c>
      <c r="K1911" s="58">
        <v>1152.8900000000001</v>
      </c>
      <c r="L1911" s="58">
        <v>49208.598668330196</v>
      </c>
      <c r="M1911" s="58">
        <v>0</v>
      </c>
      <c r="N1911" s="58">
        <v>0</v>
      </c>
      <c r="O1911" s="58">
        <v>1152.8900000000001</v>
      </c>
      <c r="P1911" s="53">
        <v>49208.598668330196</v>
      </c>
      <c r="Q1911" s="65">
        <v>45445.2</v>
      </c>
      <c r="R1911" s="65">
        <v>0</v>
      </c>
      <c r="S1911" s="65">
        <v>0</v>
      </c>
      <c r="T1911" s="65">
        <v>3763.3986683301991</v>
      </c>
      <c r="U1911" s="58">
        <v>0</v>
      </c>
      <c r="V1911" s="65">
        <v>98.16068852459</v>
      </c>
      <c r="W1911" s="65">
        <v>0</v>
      </c>
      <c r="X1911" s="65">
        <v>45347</v>
      </c>
      <c r="Y1911" s="65">
        <v>0</v>
      </c>
      <c r="Z1911" s="51">
        <v>0</v>
      </c>
      <c r="AA1911" s="51">
        <v>0</v>
      </c>
      <c r="AB1911" s="102">
        <v>0</v>
      </c>
      <c r="AC1911" s="81">
        <f t="shared" si="90"/>
        <v>0</v>
      </c>
      <c r="AD1911" s="82">
        <f t="shared" si="91"/>
        <v>0</v>
      </c>
      <c r="AE1911" s="218">
        <v>-8.2811796808688248E-2</v>
      </c>
      <c r="AF1911">
        <v>5</v>
      </c>
      <c r="AH1911" t="str">
        <f t="shared" si="92"/>
        <v>Majhaul</v>
      </c>
      <c r="AJ1911" s="72">
        <v>0</v>
      </c>
      <c r="AK1911" s="72"/>
      <c r="AL1911" s="72"/>
      <c r="AM1911" s="72"/>
    </row>
    <row r="1912" spans="1:39" x14ac:dyDescent="0.25">
      <c r="A1912" s="37" t="s">
        <v>62</v>
      </c>
      <c r="B1912" s="66" t="s">
        <v>1629</v>
      </c>
      <c r="C1912" s="41">
        <v>1001</v>
      </c>
      <c r="D1912" s="41" t="s">
        <v>92</v>
      </c>
      <c r="E1912" s="41">
        <v>10010129</v>
      </c>
      <c r="F1912" s="85" t="s">
        <v>1151</v>
      </c>
      <c r="G1912" s="39" t="s">
        <v>635</v>
      </c>
      <c r="H1912" s="52" t="s">
        <v>99</v>
      </c>
      <c r="I1912" s="52">
        <v>893.30000000000007</v>
      </c>
      <c r="J1912" s="49">
        <v>32988.439999999995</v>
      </c>
      <c r="K1912" s="58">
        <v>0</v>
      </c>
      <c r="L1912" s="58">
        <v>0</v>
      </c>
      <c r="M1912" s="58">
        <v>0</v>
      </c>
      <c r="N1912" s="58">
        <v>0</v>
      </c>
      <c r="O1912" s="58">
        <v>0</v>
      </c>
      <c r="P1912" s="53">
        <v>0</v>
      </c>
      <c r="Q1912" s="65">
        <v>32988.439999999995</v>
      </c>
      <c r="R1912" s="65">
        <v>0</v>
      </c>
      <c r="S1912" s="65">
        <v>0</v>
      </c>
      <c r="T1912" s="65">
        <v>0</v>
      </c>
      <c r="U1912" s="58">
        <v>0</v>
      </c>
      <c r="V1912" s="65">
        <v>0</v>
      </c>
      <c r="W1912" s="65">
        <v>0</v>
      </c>
      <c r="X1912" s="65">
        <v>0</v>
      </c>
      <c r="Y1912" s="65">
        <v>0</v>
      </c>
      <c r="Z1912" s="51">
        <v>32988.439999999995</v>
      </c>
      <c r="AA1912" s="51">
        <v>0</v>
      </c>
      <c r="AB1912" s="102">
        <v>0</v>
      </c>
      <c r="AC1912" s="81">
        <f t="shared" si="90"/>
        <v>0</v>
      </c>
      <c r="AD1912" s="82">
        <f t="shared" si="91"/>
        <v>0</v>
      </c>
      <c r="AE1912" s="218">
        <v>0</v>
      </c>
      <c r="AF1912">
        <v>0</v>
      </c>
      <c r="AH1912" t="str">
        <f t="shared" si="92"/>
        <v>Majhaul</v>
      </c>
      <c r="AJ1912" s="72">
        <v>0</v>
      </c>
      <c r="AK1912" s="72"/>
      <c r="AL1912" s="72"/>
      <c r="AM1912" s="72"/>
    </row>
    <row r="1913" spans="1:39" x14ac:dyDescent="0.25">
      <c r="A1913" s="37" t="s">
        <v>62</v>
      </c>
      <c r="B1913" s="66" t="s">
        <v>1629</v>
      </c>
      <c r="C1913" s="41">
        <v>1001</v>
      </c>
      <c r="D1913" s="41" t="s">
        <v>92</v>
      </c>
      <c r="E1913" s="41">
        <v>10010130</v>
      </c>
      <c r="F1913" s="85" t="s">
        <v>1174</v>
      </c>
      <c r="G1913" s="39" t="s">
        <v>635</v>
      </c>
      <c r="H1913" s="52" t="s">
        <v>99</v>
      </c>
      <c r="I1913" s="52">
        <v>404.09999999999997</v>
      </c>
      <c r="J1913" s="49">
        <v>14077.45</v>
      </c>
      <c r="K1913" s="58">
        <v>0</v>
      </c>
      <c r="L1913" s="58">
        <v>0</v>
      </c>
      <c r="M1913" s="58">
        <v>0</v>
      </c>
      <c r="N1913" s="58">
        <v>0</v>
      </c>
      <c r="O1913" s="58">
        <v>0</v>
      </c>
      <c r="P1913" s="53">
        <v>0</v>
      </c>
      <c r="Q1913" s="65">
        <v>14077.45</v>
      </c>
      <c r="R1913" s="65">
        <v>0</v>
      </c>
      <c r="S1913" s="65">
        <v>0</v>
      </c>
      <c r="T1913" s="65">
        <v>0</v>
      </c>
      <c r="U1913" s="58">
        <v>0</v>
      </c>
      <c r="V1913" s="65">
        <v>0</v>
      </c>
      <c r="W1913" s="65">
        <v>0</v>
      </c>
      <c r="X1913" s="65">
        <v>0</v>
      </c>
      <c r="Y1913" s="65">
        <v>0</v>
      </c>
      <c r="Z1913" s="51">
        <v>14077.45</v>
      </c>
      <c r="AA1913" s="51">
        <v>0</v>
      </c>
      <c r="AB1913" s="102">
        <v>0</v>
      </c>
      <c r="AC1913" s="81">
        <f t="shared" si="90"/>
        <v>206.16270502350909</v>
      </c>
      <c r="AD1913" s="82">
        <f t="shared" si="91"/>
        <v>57.728571428571421</v>
      </c>
      <c r="AE1913" s="218">
        <v>0</v>
      </c>
      <c r="AF1913">
        <v>0</v>
      </c>
      <c r="AH1913" t="str">
        <f t="shared" si="92"/>
        <v>Majhaul</v>
      </c>
      <c r="AJ1913" s="72">
        <v>0</v>
      </c>
      <c r="AK1913" s="72"/>
      <c r="AL1913" s="72"/>
      <c r="AM1913" s="72"/>
    </row>
    <row r="1914" spans="1:39" x14ac:dyDescent="0.25">
      <c r="A1914" s="37" t="s">
        <v>62</v>
      </c>
      <c r="B1914" s="66" t="s">
        <v>1629</v>
      </c>
      <c r="C1914" s="41">
        <v>1001</v>
      </c>
      <c r="D1914" s="41" t="s">
        <v>92</v>
      </c>
      <c r="E1914" s="41">
        <v>10010131</v>
      </c>
      <c r="F1914" s="85" t="s">
        <v>1175</v>
      </c>
      <c r="G1914" s="39" t="s">
        <v>635</v>
      </c>
      <c r="H1914" s="52" t="s">
        <v>99</v>
      </c>
      <c r="I1914" s="52">
        <v>731.5</v>
      </c>
      <c r="J1914" s="49">
        <v>26249.16</v>
      </c>
      <c r="K1914" s="58">
        <v>0</v>
      </c>
      <c r="L1914" s="58">
        <v>0</v>
      </c>
      <c r="M1914" s="58">
        <v>0</v>
      </c>
      <c r="N1914" s="58">
        <v>0</v>
      </c>
      <c r="O1914" s="58">
        <v>0</v>
      </c>
      <c r="P1914" s="53">
        <v>0</v>
      </c>
      <c r="Q1914" s="65">
        <v>26249.16</v>
      </c>
      <c r="R1914" s="65">
        <v>0</v>
      </c>
      <c r="S1914" s="65">
        <v>0</v>
      </c>
      <c r="T1914" s="65">
        <v>0</v>
      </c>
      <c r="U1914" s="58">
        <v>0</v>
      </c>
      <c r="V1914" s="65">
        <v>0</v>
      </c>
      <c r="W1914" s="65">
        <v>0</v>
      </c>
      <c r="X1914" s="65">
        <v>0</v>
      </c>
      <c r="Y1914" s="65">
        <v>0</v>
      </c>
      <c r="Z1914" s="51">
        <v>26249.16</v>
      </c>
      <c r="AA1914" s="51">
        <v>0</v>
      </c>
      <c r="AB1914" s="102">
        <v>0</v>
      </c>
      <c r="AC1914" s="81">
        <f t="shared" si="90"/>
        <v>0</v>
      </c>
      <c r="AD1914" s="82">
        <f t="shared" si="91"/>
        <v>0</v>
      </c>
      <c r="AE1914" s="218">
        <v>0</v>
      </c>
      <c r="AF1914">
        <v>0</v>
      </c>
      <c r="AH1914" t="str">
        <f t="shared" si="92"/>
        <v>Majhaul</v>
      </c>
      <c r="AJ1914" s="72">
        <v>0</v>
      </c>
      <c r="AK1914" s="72"/>
      <c r="AL1914" s="72"/>
      <c r="AM1914" s="72"/>
    </row>
    <row r="1915" spans="1:39" x14ac:dyDescent="0.25">
      <c r="A1915" s="37" t="s">
        <v>62</v>
      </c>
      <c r="B1915" s="66" t="s">
        <v>1629</v>
      </c>
      <c r="C1915" s="41">
        <v>1001</v>
      </c>
      <c r="D1915" s="41" t="s">
        <v>92</v>
      </c>
      <c r="E1915" s="41">
        <v>10010140</v>
      </c>
      <c r="F1915" s="85" t="s">
        <v>1283</v>
      </c>
      <c r="G1915" s="39" t="s">
        <v>93</v>
      </c>
      <c r="H1915" s="52" t="s">
        <v>94</v>
      </c>
      <c r="I1915" s="52">
        <v>272.59999999999997</v>
      </c>
      <c r="J1915" s="49">
        <v>10496.229999999998</v>
      </c>
      <c r="K1915" s="58">
        <v>212.07000000000005</v>
      </c>
      <c r="L1915" s="58">
        <v>8437.2041378434697</v>
      </c>
      <c r="M1915" s="58">
        <v>0</v>
      </c>
      <c r="N1915" s="58">
        <v>0</v>
      </c>
      <c r="O1915" s="58">
        <v>212.07000000000005</v>
      </c>
      <c r="P1915" s="53">
        <v>8437.2041378434697</v>
      </c>
      <c r="Q1915" s="65">
        <v>8437.2041378434697</v>
      </c>
      <c r="R1915" s="65">
        <v>0</v>
      </c>
      <c r="S1915" s="65">
        <v>0</v>
      </c>
      <c r="T1915" s="65">
        <v>0</v>
      </c>
      <c r="U1915" s="58">
        <v>0</v>
      </c>
      <c r="V1915" s="65">
        <v>0</v>
      </c>
      <c r="W1915" s="65">
        <v>0</v>
      </c>
      <c r="X1915" s="65">
        <v>8438</v>
      </c>
      <c r="Y1915" s="65">
        <v>0</v>
      </c>
      <c r="Z1915" s="51">
        <v>0</v>
      </c>
      <c r="AA1915" s="51">
        <v>2058</v>
      </c>
      <c r="AB1915" s="102">
        <v>0</v>
      </c>
      <c r="AC1915" s="81">
        <f t="shared" si="90"/>
        <v>329.13343374908294</v>
      </c>
      <c r="AD1915" s="82">
        <f t="shared" si="91"/>
        <v>38.942857142857136</v>
      </c>
      <c r="AE1915" s="218">
        <v>0.19616813485951895</v>
      </c>
      <c r="AF1915">
        <v>7</v>
      </c>
      <c r="AH1915" t="str">
        <f t="shared" si="92"/>
        <v>Majhaul</v>
      </c>
      <c r="AJ1915" s="72">
        <v>0</v>
      </c>
      <c r="AK1915" s="72"/>
      <c r="AL1915" s="72"/>
      <c r="AM1915" s="72"/>
    </row>
    <row r="1916" spans="1:39" x14ac:dyDescent="0.25">
      <c r="A1916" s="37" t="s">
        <v>62</v>
      </c>
      <c r="B1916" s="66" t="s">
        <v>1629</v>
      </c>
      <c r="C1916" s="41">
        <v>1001</v>
      </c>
      <c r="D1916" s="41" t="s">
        <v>92</v>
      </c>
      <c r="E1916" s="41">
        <v>10010141</v>
      </c>
      <c r="F1916" s="85" t="s">
        <v>1346</v>
      </c>
      <c r="G1916" s="39" t="s">
        <v>93</v>
      </c>
      <c r="H1916" s="52" t="s">
        <v>94</v>
      </c>
      <c r="I1916" s="52">
        <v>145.70000000000002</v>
      </c>
      <c r="J1916" s="49">
        <v>5665.880000000001</v>
      </c>
      <c r="K1916" s="58">
        <v>146.26999999999998</v>
      </c>
      <c r="L1916" s="58">
        <v>5582.3396267109219</v>
      </c>
      <c r="M1916" s="58">
        <v>0</v>
      </c>
      <c r="N1916" s="58">
        <v>0</v>
      </c>
      <c r="O1916" s="58">
        <v>146.26999999999998</v>
      </c>
      <c r="P1916" s="53">
        <v>5582.3396267109219</v>
      </c>
      <c r="Q1916" s="65">
        <v>5582.3396267109219</v>
      </c>
      <c r="R1916" s="65">
        <v>0</v>
      </c>
      <c r="S1916" s="65">
        <v>0</v>
      </c>
      <c r="T1916" s="65">
        <v>0</v>
      </c>
      <c r="U1916" s="58">
        <v>0</v>
      </c>
      <c r="V1916" s="65">
        <v>6.3289278688524142</v>
      </c>
      <c r="W1916" s="65">
        <v>0</v>
      </c>
      <c r="X1916" s="65">
        <v>5577</v>
      </c>
      <c r="Y1916" s="65">
        <v>0</v>
      </c>
      <c r="Z1916" s="51">
        <v>0</v>
      </c>
      <c r="AA1916" s="51">
        <v>83</v>
      </c>
      <c r="AB1916" s="102">
        <v>0</v>
      </c>
      <c r="AC1916" s="81">
        <f t="shared" si="90"/>
        <v>431.10463747426223</v>
      </c>
      <c r="AD1916" s="82">
        <f t="shared" si="91"/>
        <v>20.814285714285717</v>
      </c>
      <c r="AE1916" s="218">
        <v>1.4744465694486833E-2</v>
      </c>
      <c r="AF1916">
        <v>8</v>
      </c>
      <c r="AH1916" t="str">
        <f t="shared" si="92"/>
        <v>Majhaul</v>
      </c>
      <c r="AJ1916" s="72">
        <v>0</v>
      </c>
      <c r="AK1916" s="72"/>
      <c r="AL1916" s="72"/>
      <c r="AM1916" s="72"/>
    </row>
    <row r="1917" spans="1:39" x14ac:dyDescent="0.25">
      <c r="A1917" s="37" t="s">
        <v>62</v>
      </c>
      <c r="B1917" s="66" t="s">
        <v>1629</v>
      </c>
      <c r="C1917" s="41">
        <v>1001</v>
      </c>
      <c r="D1917" s="41" t="s">
        <v>92</v>
      </c>
      <c r="E1917" s="41">
        <v>10010143</v>
      </c>
      <c r="F1917" s="85" t="s">
        <v>491</v>
      </c>
      <c r="G1917" s="39" t="s">
        <v>93</v>
      </c>
      <c r="H1917" s="52" t="s">
        <v>94</v>
      </c>
      <c r="I1917" s="52">
        <v>194.9</v>
      </c>
      <c r="J1917" s="49">
        <v>6928.56</v>
      </c>
      <c r="K1917" s="58">
        <v>195.88</v>
      </c>
      <c r="L1917" s="58">
        <v>7255.2769666850809</v>
      </c>
      <c r="M1917" s="58">
        <v>0</v>
      </c>
      <c r="N1917" s="58">
        <v>0</v>
      </c>
      <c r="O1917" s="58">
        <v>195.88</v>
      </c>
      <c r="P1917" s="53">
        <v>7255.2769666850809</v>
      </c>
      <c r="Q1917" s="65">
        <v>6928.56</v>
      </c>
      <c r="R1917" s="65">
        <v>0</v>
      </c>
      <c r="S1917" s="65">
        <v>0</v>
      </c>
      <c r="T1917" s="65">
        <v>326.71696668508048</v>
      </c>
      <c r="U1917" s="58">
        <v>0</v>
      </c>
      <c r="V1917" s="65">
        <v>0</v>
      </c>
      <c r="W1917" s="65">
        <v>0</v>
      </c>
      <c r="X1917" s="65">
        <v>6929</v>
      </c>
      <c r="Y1917" s="65">
        <v>0</v>
      </c>
      <c r="Z1917" s="51">
        <v>0</v>
      </c>
      <c r="AA1917" s="51">
        <v>0</v>
      </c>
      <c r="AB1917" s="102" t="s">
        <v>68</v>
      </c>
      <c r="AC1917" s="81">
        <f t="shared" si="90"/>
        <v>359.11910271934329</v>
      </c>
      <c r="AD1917" s="82">
        <f t="shared" si="91"/>
        <v>27.842857142857145</v>
      </c>
      <c r="AE1917" s="218">
        <v>-4.7155103901110829E-2</v>
      </c>
      <c r="AF1917">
        <v>3</v>
      </c>
      <c r="AH1917" t="str">
        <f t="shared" si="92"/>
        <v>Majhaul</v>
      </c>
      <c r="AJ1917" s="72">
        <v>0</v>
      </c>
      <c r="AK1917" s="72"/>
      <c r="AL1917" s="72"/>
      <c r="AM1917" s="72"/>
    </row>
    <row r="1918" spans="1:39" x14ac:dyDescent="0.25">
      <c r="A1918" s="37" t="s">
        <v>62</v>
      </c>
      <c r="B1918" s="66" t="s">
        <v>1629</v>
      </c>
      <c r="C1918" s="41">
        <v>1001</v>
      </c>
      <c r="D1918" s="41" t="s">
        <v>92</v>
      </c>
      <c r="E1918" s="41">
        <v>10010144</v>
      </c>
      <c r="F1918" s="85" t="s">
        <v>1487</v>
      </c>
      <c r="G1918" s="39" t="s">
        <v>93</v>
      </c>
      <c r="H1918" s="52" t="s">
        <v>94</v>
      </c>
      <c r="I1918" s="52">
        <v>33.099999999999994</v>
      </c>
      <c r="J1918" s="49">
        <v>1030.6099999999999</v>
      </c>
      <c r="K1918" s="58">
        <v>42</v>
      </c>
      <c r="L1918" s="58">
        <v>1394.3603519999999</v>
      </c>
      <c r="M1918" s="58">
        <v>0</v>
      </c>
      <c r="N1918" s="58">
        <v>0</v>
      </c>
      <c r="O1918" s="58">
        <v>42</v>
      </c>
      <c r="P1918" s="53">
        <v>1394.3603519999999</v>
      </c>
      <c r="Q1918" s="65">
        <v>1030.6099999999999</v>
      </c>
      <c r="R1918" s="65">
        <v>0</v>
      </c>
      <c r="S1918" s="65">
        <v>0</v>
      </c>
      <c r="T1918" s="65">
        <v>363.75035200000002</v>
      </c>
      <c r="U1918" s="58">
        <v>0</v>
      </c>
      <c r="V1918" s="65">
        <v>0</v>
      </c>
      <c r="W1918" s="65">
        <v>0</v>
      </c>
      <c r="X1918" s="65">
        <v>1031</v>
      </c>
      <c r="Y1918" s="65">
        <v>0</v>
      </c>
      <c r="Z1918" s="51">
        <v>0</v>
      </c>
      <c r="AA1918" s="51">
        <v>0</v>
      </c>
      <c r="AB1918" s="102" t="s">
        <v>68</v>
      </c>
      <c r="AC1918" s="81">
        <f t="shared" si="90"/>
        <v>415.29535287009065</v>
      </c>
      <c r="AD1918" s="82">
        <f t="shared" si="91"/>
        <v>4.7285714285714278</v>
      </c>
      <c r="AE1918" s="218">
        <v>-0.3529466548937038</v>
      </c>
      <c r="AF1918">
        <v>1</v>
      </c>
      <c r="AH1918" t="str">
        <f t="shared" si="92"/>
        <v>Majhaul</v>
      </c>
      <c r="AJ1918" s="72">
        <v>0</v>
      </c>
      <c r="AK1918" s="72"/>
      <c r="AL1918" s="72"/>
      <c r="AM1918" s="72"/>
    </row>
    <row r="1919" spans="1:39" x14ac:dyDescent="0.25">
      <c r="A1919" s="37" t="s">
        <v>62</v>
      </c>
      <c r="B1919" s="66" t="s">
        <v>1629</v>
      </c>
      <c r="C1919" s="41">
        <v>1001</v>
      </c>
      <c r="D1919" s="41" t="s">
        <v>92</v>
      </c>
      <c r="E1919" s="41">
        <v>10010145</v>
      </c>
      <c r="F1919" s="85" t="s">
        <v>511</v>
      </c>
      <c r="G1919" s="39" t="s">
        <v>93</v>
      </c>
      <c r="H1919" s="52" t="s">
        <v>94</v>
      </c>
      <c r="I1919" s="52">
        <v>245.9</v>
      </c>
      <c r="J1919" s="49">
        <v>9294.130000000001</v>
      </c>
      <c r="K1919" s="58">
        <v>242.01</v>
      </c>
      <c r="L1919" s="58">
        <v>9013.4829288201799</v>
      </c>
      <c r="M1919" s="58">
        <v>5.0299999999999994</v>
      </c>
      <c r="N1919" s="58">
        <v>177.44456174940004</v>
      </c>
      <c r="O1919" s="58">
        <v>247.04</v>
      </c>
      <c r="P1919" s="53">
        <v>9190.9274905695802</v>
      </c>
      <c r="Q1919" s="65">
        <v>9190.9274905695802</v>
      </c>
      <c r="R1919" s="65">
        <v>0</v>
      </c>
      <c r="S1919" s="65">
        <v>177.44456174940004</v>
      </c>
      <c r="T1919" s="65">
        <v>0</v>
      </c>
      <c r="U1919" s="58">
        <v>0</v>
      </c>
      <c r="V1919" s="65">
        <v>0</v>
      </c>
      <c r="W1919" s="65">
        <v>0</v>
      </c>
      <c r="X1919" s="65">
        <v>9013</v>
      </c>
      <c r="Y1919" s="65">
        <v>0</v>
      </c>
      <c r="Z1919" s="51">
        <v>0</v>
      </c>
      <c r="AA1919" s="51">
        <v>104</v>
      </c>
      <c r="AB1919" s="102" t="s">
        <v>66</v>
      </c>
      <c r="AC1919" s="81">
        <f t="shared" si="90"/>
        <v>343.26672899552665</v>
      </c>
      <c r="AD1919" s="82">
        <f t="shared" si="91"/>
        <v>35.128571428571426</v>
      </c>
      <c r="AE1919" s="218">
        <v>1.110405271181066E-2</v>
      </c>
      <c r="AF1919">
        <v>10</v>
      </c>
      <c r="AH1919" t="str">
        <f t="shared" si="92"/>
        <v>Majhaul</v>
      </c>
      <c r="AJ1919" s="72">
        <v>0</v>
      </c>
      <c r="AK1919" s="72"/>
      <c r="AL1919" s="72"/>
      <c r="AM1919" s="72"/>
    </row>
    <row r="1920" spans="1:39" x14ac:dyDescent="0.25">
      <c r="A1920" s="37" t="s">
        <v>62</v>
      </c>
      <c r="B1920" s="66" t="s">
        <v>1629</v>
      </c>
      <c r="C1920" s="41">
        <v>1001</v>
      </c>
      <c r="D1920" s="41" t="s">
        <v>92</v>
      </c>
      <c r="E1920" s="41">
        <v>10010146</v>
      </c>
      <c r="F1920" s="85" t="s">
        <v>1488</v>
      </c>
      <c r="G1920" s="39" t="s">
        <v>93</v>
      </c>
      <c r="H1920" s="52" t="s">
        <v>94</v>
      </c>
      <c r="I1920" s="52">
        <v>223.89999999999998</v>
      </c>
      <c r="J1920" s="49">
        <v>7823.0099999999993</v>
      </c>
      <c r="K1920" s="58">
        <v>221.32000000000002</v>
      </c>
      <c r="L1920" s="58">
        <v>8054.9971981637609</v>
      </c>
      <c r="M1920" s="58">
        <v>0.73</v>
      </c>
      <c r="N1920" s="58">
        <v>26.106288575400004</v>
      </c>
      <c r="O1920" s="58">
        <v>222.05</v>
      </c>
      <c r="P1920" s="53">
        <v>8081.1034867391609</v>
      </c>
      <c r="Q1920" s="65">
        <v>7823.0099999999993</v>
      </c>
      <c r="R1920" s="65">
        <v>0</v>
      </c>
      <c r="S1920" s="65">
        <v>26.106288575400004</v>
      </c>
      <c r="T1920" s="65">
        <v>258.09348673916156</v>
      </c>
      <c r="U1920" s="58">
        <v>0</v>
      </c>
      <c r="V1920" s="65">
        <v>0</v>
      </c>
      <c r="W1920" s="65">
        <v>0</v>
      </c>
      <c r="X1920" s="65">
        <v>7797</v>
      </c>
      <c r="Y1920" s="65">
        <v>0</v>
      </c>
      <c r="Z1920" s="51">
        <v>0</v>
      </c>
      <c r="AA1920" s="51">
        <v>0</v>
      </c>
      <c r="AB1920" s="102">
        <v>0</v>
      </c>
      <c r="AC1920" s="81">
        <f t="shared" si="90"/>
        <v>332.69629843680218</v>
      </c>
      <c r="AD1920" s="82">
        <f t="shared" si="91"/>
        <v>31.985714285714284</v>
      </c>
      <c r="AE1920" s="218">
        <v>-3.2991583385316083E-2</v>
      </c>
      <c r="AF1920">
        <v>5</v>
      </c>
      <c r="AH1920" t="str">
        <f t="shared" si="92"/>
        <v>Majhaul</v>
      </c>
      <c r="AJ1920" s="72">
        <v>0</v>
      </c>
      <c r="AK1920" s="72"/>
      <c r="AL1920" s="72"/>
      <c r="AM1920" s="72"/>
    </row>
    <row r="1921" spans="1:39" x14ac:dyDescent="0.25">
      <c r="A1921" s="37" t="s">
        <v>62</v>
      </c>
      <c r="B1921" s="66" t="s">
        <v>1629</v>
      </c>
      <c r="C1921" s="41">
        <v>1001</v>
      </c>
      <c r="D1921" s="41" t="s">
        <v>92</v>
      </c>
      <c r="E1921" s="41">
        <v>10010147</v>
      </c>
      <c r="F1921" s="85" t="s">
        <v>1489</v>
      </c>
      <c r="G1921" s="39" t="s">
        <v>635</v>
      </c>
      <c r="H1921" s="52" t="s">
        <v>99</v>
      </c>
      <c r="I1921" s="52">
        <v>84.6</v>
      </c>
      <c r="J1921" s="49">
        <v>3164.2400000000002</v>
      </c>
      <c r="K1921" s="58">
        <v>0</v>
      </c>
      <c r="L1921" s="58">
        <v>0</v>
      </c>
      <c r="M1921" s="58">
        <v>0</v>
      </c>
      <c r="N1921" s="58">
        <v>0</v>
      </c>
      <c r="O1921" s="58">
        <v>0</v>
      </c>
      <c r="P1921" s="53">
        <v>0</v>
      </c>
      <c r="Q1921" s="65">
        <v>3164.2400000000002</v>
      </c>
      <c r="R1921" s="65">
        <v>0</v>
      </c>
      <c r="S1921" s="65">
        <v>0</v>
      </c>
      <c r="T1921" s="65">
        <v>0</v>
      </c>
      <c r="U1921" s="58">
        <v>0</v>
      </c>
      <c r="V1921" s="65">
        <v>0</v>
      </c>
      <c r="W1921" s="65">
        <v>0</v>
      </c>
      <c r="X1921" s="65">
        <v>0</v>
      </c>
      <c r="Y1921" s="65">
        <v>0</v>
      </c>
      <c r="Z1921" s="51">
        <v>3164.2400000000002</v>
      </c>
      <c r="AA1921" s="51">
        <v>0</v>
      </c>
      <c r="AB1921" s="102">
        <v>0</v>
      </c>
      <c r="AC1921" s="81">
        <f t="shared" si="90"/>
        <v>460.34829692671406</v>
      </c>
      <c r="AD1921" s="82">
        <f t="shared" si="91"/>
        <v>12.085714285714285</v>
      </c>
      <c r="AE1921" s="218">
        <v>0</v>
      </c>
      <c r="AF1921">
        <v>0</v>
      </c>
      <c r="AH1921" t="str">
        <f t="shared" si="92"/>
        <v>Majhaul</v>
      </c>
      <c r="AJ1921" s="72">
        <v>0</v>
      </c>
      <c r="AK1921" s="72"/>
      <c r="AL1921" s="72"/>
      <c r="AM1921" s="72"/>
    </row>
    <row r="1922" spans="1:39" x14ac:dyDescent="0.25">
      <c r="A1922" s="37" t="s">
        <v>62</v>
      </c>
      <c r="B1922" s="66" t="s">
        <v>1629</v>
      </c>
      <c r="C1922" s="41">
        <v>1001</v>
      </c>
      <c r="D1922" s="41" t="s">
        <v>92</v>
      </c>
      <c r="E1922" s="41">
        <v>10010148</v>
      </c>
      <c r="F1922" s="85" t="s">
        <v>1490</v>
      </c>
      <c r="G1922" s="39" t="s">
        <v>93</v>
      </c>
      <c r="H1922" s="52" t="s">
        <v>94</v>
      </c>
      <c r="I1922" s="52">
        <v>497.1</v>
      </c>
      <c r="J1922" s="49">
        <v>21098.220000000005</v>
      </c>
      <c r="K1922" s="58">
        <v>462.8</v>
      </c>
      <c r="L1922" s="58">
        <v>20317.219950028782</v>
      </c>
      <c r="M1922" s="58">
        <v>6.1400000000000006</v>
      </c>
      <c r="N1922" s="58">
        <v>256.73896512000005</v>
      </c>
      <c r="O1922" s="58">
        <v>468.94</v>
      </c>
      <c r="P1922" s="53">
        <v>20573.958915148782</v>
      </c>
      <c r="Q1922" s="65">
        <v>20573.958915148782</v>
      </c>
      <c r="R1922" s="65">
        <v>0</v>
      </c>
      <c r="S1922" s="65">
        <v>256.73896512000005</v>
      </c>
      <c r="T1922" s="65">
        <v>0</v>
      </c>
      <c r="U1922" s="58">
        <v>0</v>
      </c>
      <c r="V1922" s="65">
        <v>0</v>
      </c>
      <c r="W1922" s="65">
        <v>0</v>
      </c>
      <c r="X1922" s="65">
        <v>20318</v>
      </c>
      <c r="Y1922" s="65">
        <v>0</v>
      </c>
      <c r="Z1922" s="51">
        <v>0</v>
      </c>
      <c r="AA1922" s="51">
        <v>523</v>
      </c>
      <c r="AB1922" s="102">
        <v>0</v>
      </c>
      <c r="AC1922" s="81">
        <f t="shared" ref="AC1922:AC1985" si="93">((IF(AD1922=0,0,100-AD1922))*7*(J1922/I1922))*2%</f>
        <v>172.23209969824984</v>
      </c>
      <c r="AD1922" s="82">
        <f t="shared" ref="AD1922:AD1985" si="94">IF((I1922/7)&gt;100,0,(I1922/7))</f>
        <v>71.01428571428572</v>
      </c>
      <c r="AE1922" s="218">
        <v>2.4848593144408532E-2</v>
      </c>
      <c r="AF1922">
        <v>9</v>
      </c>
      <c r="AH1922" t="str">
        <f t="shared" si="92"/>
        <v>Majhaul</v>
      </c>
      <c r="AJ1922" s="72">
        <v>0</v>
      </c>
      <c r="AK1922" s="72"/>
      <c r="AL1922" s="72"/>
      <c r="AM1922" s="72"/>
    </row>
    <row r="1923" spans="1:39" x14ac:dyDescent="0.25">
      <c r="A1923" s="37" t="s">
        <v>62</v>
      </c>
      <c r="B1923" s="66" t="s">
        <v>1629</v>
      </c>
      <c r="C1923" s="41">
        <v>1001</v>
      </c>
      <c r="D1923" s="41" t="s">
        <v>92</v>
      </c>
      <c r="E1923" s="41">
        <v>10010149</v>
      </c>
      <c r="F1923" s="85" t="s">
        <v>1491</v>
      </c>
      <c r="G1923" s="39" t="s">
        <v>93</v>
      </c>
      <c r="H1923" s="52" t="s">
        <v>94</v>
      </c>
      <c r="I1923" s="52">
        <v>300.89999999999998</v>
      </c>
      <c r="J1923" s="49">
        <v>11288.910000000002</v>
      </c>
      <c r="K1923" s="58">
        <v>348.50000000000011</v>
      </c>
      <c r="L1923" s="58">
        <v>13436.396186399996</v>
      </c>
      <c r="M1923" s="58">
        <v>0</v>
      </c>
      <c r="N1923" s="58">
        <v>0</v>
      </c>
      <c r="O1923" s="58">
        <v>348.50000000000011</v>
      </c>
      <c r="P1923" s="53">
        <v>13436.396186399996</v>
      </c>
      <c r="Q1923" s="65">
        <v>11288.910000000002</v>
      </c>
      <c r="R1923" s="65">
        <v>0</v>
      </c>
      <c r="S1923" s="65">
        <v>0</v>
      </c>
      <c r="T1923" s="65">
        <v>2147.486186399994</v>
      </c>
      <c r="U1923" s="58">
        <v>0</v>
      </c>
      <c r="V1923" s="65">
        <v>0</v>
      </c>
      <c r="W1923" s="65">
        <v>0</v>
      </c>
      <c r="X1923" s="65">
        <v>11289</v>
      </c>
      <c r="Y1923" s="65">
        <v>0</v>
      </c>
      <c r="Z1923" s="51">
        <v>0</v>
      </c>
      <c r="AA1923" s="51">
        <v>0</v>
      </c>
      <c r="AB1923" s="102">
        <v>0</v>
      </c>
      <c r="AC1923" s="81">
        <f t="shared" si="93"/>
        <v>299.46187976071792</v>
      </c>
      <c r="AD1923" s="82">
        <f t="shared" si="94"/>
        <v>42.98571428571428</v>
      </c>
      <c r="AE1923" s="218">
        <v>-0.1902297198223738</v>
      </c>
      <c r="AF1923">
        <v>6</v>
      </c>
      <c r="AH1923" t="str">
        <f t="shared" si="92"/>
        <v>Majhaul</v>
      </c>
      <c r="AJ1923" s="72">
        <v>0</v>
      </c>
      <c r="AK1923" s="72"/>
      <c r="AL1923" s="72"/>
      <c r="AM1923" s="72"/>
    </row>
    <row r="1924" spans="1:39" x14ac:dyDescent="0.25">
      <c r="A1924" s="37" t="s">
        <v>62</v>
      </c>
      <c r="B1924" s="66" t="s">
        <v>1629</v>
      </c>
      <c r="C1924" s="41">
        <v>1002</v>
      </c>
      <c r="D1924" s="41" t="s">
        <v>105</v>
      </c>
      <c r="E1924" s="41">
        <v>10020002</v>
      </c>
      <c r="F1924" s="85" t="s">
        <v>106</v>
      </c>
      <c r="G1924" s="39" t="s">
        <v>93</v>
      </c>
      <c r="H1924" s="52" t="s">
        <v>94</v>
      </c>
      <c r="I1924" s="52">
        <v>2680.4</v>
      </c>
      <c r="J1924" s="49">
        <v>115344.79</v>
      </c>
      <c r="K1924" s="58">
        <v>1507.1999999999998</v>
      </c>
      <c r="L1924" s="58">
        <v>65124.330731843998</v>
      </c>
      <c r="M1924" s="58">
        <v>1177.8</v>
      </c>
      <c r="N1924" s="58">
        <v>52412.300300256014</v>
      </c>
      <c r="O1924" s="58">
        <v>2685</v>
      </c>
      <c r="P1924" s="53">
        <v>117536.63103210001</v>
      </c>
      <c r="Q1924" s="65">
        <v>115344.79</v>
      </c>
      <c r="R1924" s="65">
        <v>0</v>
      </c>
      <c r="S1924" s="65">
        <v>1271.9219052600006</v>
      </c>
      <c r="T1924" s="65">
        <v>2191.8410321000119</v>
      </c>
      <c r="U1924" s="58">
        <v>0</v>
      </c>
      <c r="V1924" s="65">
        <v>0</v>
      </c>
      <c r="W1924" s="65">
        <v>0</v>
      </c>
      <c r="X1924" s="65">
        <v>62932</v>
      </c>
      <c r="Y1924" s="65">
        <v>51141</v>
      </c>
      <c r="Z1924" s="51">
        <v>0</v>
      </c>
      <c r="AA1924" s="51">
        <v>0</v>
      </c>
      <c r="AB1924" s="102">
        <v>0</v>
      </c>
      <c r="AC1924" s="81">
        <f t="shared" si="93"/>
        <v>0</v>
      </c>
      <c r="AD1924" s="82">
        <f t="shared" si="94"/>
        <v>0</v>
      </c>
      <c r="AE1924" s="218">
        <v>-1.9002514392717797E-2</v>
      </c>
      <c r="AF1924">
        <v>13</v>
      </c>
      <c r="AH1924" t="str">
        <f t="shared" si="92"/>
        <v>Laldiyara</v>
      </c>
      <c r="AJ1924" s="72">
        <v>0</v>
      </c>
      <c r="AK1924" s="72"/>
      <c r="AL1924" s="72"/>
      <c r="AM1924" s="72"/>
    </row>
    <row r="1925" spans="1:39" x14ac:dyDescent="0.25">
      <c r="A1925" s="37" t="s">
        <v>62</v>
      </c>
      <c r="B1925" s="66" t="s">
        <v>1629</v>
      </c>
      <c r="C1925" s="41">
        <v>1002</v>
      </c>
      <c r="D1925" s="41" t="s">
        <v>105</v>
      </c>
      <c r="E1925" s="41">
        <v>10020004</v>
      </c>
      <c r="F1925" s="85" t="s">
        <v>107</v>
      </c>
      <c r="G1925" s="39" t="s">
        <v>93</v>
      </c>
      <c r="H1925" s="52" t="s">
        <v>94</v>
      </c>
      <c r="I1925" s="52">
        <v>557</v>
      </c>
      <c r="J1925" s="49">
        <v>21065.159999999996</v>
      </c>
      <c r="K1925" s="58">
        <v>552.79999999999995</v>
      </c>
      <c r="L1925" s="58">
        <v>20952.578809800005</v>
      </c>
      <c r="M1925" s="58">
        <v>0</v>
      </c>
      <c r="N1925" s="58">
        <v>0</v>
      </c>
      <c r="O1925" s="58">
        <v>552.79999999999995</v>
      </c>
      <c r="P1925" s="53">
        <v>20952.578809800005</v>
      </c>
      <c r="Q1925" s="65">
        <v>20952.578809800005</v>
      </c>
      <c r="R1925" s="65">
        <v>0</v>
      </c>
      <c r="S1925" s="65">
        <v>0</v>
      </c>
      <c r="T1925" s="65">
        <v>0</v>
      </c>
      <c r="U1925" s="58">
        <v>0</v>
      </c>
      <c r="V1925" s="65">
        <v>0</v>
      </c>
      <c r="W1925" s="65">
        <v>0</v>
      </c>
      <c r="X1925" s="65">
        <v>20953</v>
      </c>
      <c r="Y1925" s="65">
        <v>0</v>
      </c>
      <c r="Z1925" s="51">
        <v>0</v>
      </c>
      <c r="AA1925" s="51">
        <v>112</v>
      </c>
      <c r="AB1925" s="102" t="s">
        <v>1427</v>
      </c>
      <c r="AC1925" s="81">
        <f t="shared" si="93"/>
        <v>108.16222190305206</v>
      </c>
      <c r="AD1925" s="82">
        <f t="shared" si="94"/>
        <v>79.571428571428569</v>
      </c>
      <c r="AE1925" s="218">
        <v>5.3444260665473902E-3</v>
      </c>
      <c r="AF1925">
        <v>1</v>
      </c>
      <c r="AH1925" t="str">
        <f t="shared" si="92"/>
        <v>Laldiyara</v>
      </c>
      <c r="AJ1925" s="72">
        <v>0</v>
      </c>
      <c r="AK1925" s="72"/>
      <c r="AL1925" s="72"/>
      <c r="AM1925" s="72"/>
    </row>
    <row r="1926" spans="1:39" x14ac:dyDescent="0.25">
      <c r="A1926" s="37" t="s">
        <v>62</v>
      </c>
      <c r="B1926" s="66" t="s">
        <v>1629</v>
      </c>
      <c r="C1926" s="41">
        <v>1002</v>
      </c>
      <c r="D1926" s="41" t="s">
        <v>105</v>
      </c>
      <c r="E1926" s="41">
        <v>10020006</v>
      </c>
      <c r="F1926" s="85" t="s">
        <v>109</v>
      </c>
      <c r="G1926" s="39" t="s">
        <v>635</v>
      </c>
      <c r="H1926" s="52" t="s">
        <v>99</v>
      </c>
      <c r="I1926" s="52">
        <v>182.99999999999997</v>
      </c>
      <c r="J1926" s="49">
        <v>6690.9</v>
      </c>
      <c r="K1926" s="58">
        <v>0</v>
      </c>
      <c r="L1926" s="58">
        <v>0</v>
      </c>
      <c r="M1926" s="58">
        <v>0</v>
      </c>
      <c r="N1926" s="58">
        <v>0</v>
      </c>
      <c r="O1926" s="58">
        <v>0</v>
      </c>
      <c r="P1926" s="53">
        <v>0</v>
      </c>
      <c r="Q1926" s="65">
        <v>6690.9</v>
      </c>
      <c r="R1926" s="65">
        <v>0</v>
      </c>
      <c r="S1926" s="65">
        <v>0</v>
      </c>
      <c r="T1926" s="65">
        <v>0</v>
      </c>
      <c r="U1926" s="58">
        <v>0</v>
      </c>
      <c r="V1926" s="65">
        <v>26.884993548387122</v>
      </c>
      <c r="W1926" s="65">
        <v>0</v>
      </c>
      <c r="X1926" s="65">
        <v>0</v>
      </c>
      <c r="Y1926" s="65">
        <v>0</v>
      </c>
      <c r="Z1926" s="51">
        <v>6664.0150064516129</v>
      </c>
      <c r="AA1926" s="51">
        <v>0</v>
      </c>
      <c r="AB1926" s="102">
        <v>0</v>
      </c>
      <c r="AC1926" s="81">
        <f t="shared" si="93"/>
        <v>378.054131147541</v>
      </c>
      <c r="AD1926" s="82">
        <f t="shared" si="94"/>
        <v>26.142857142857139</v>
      </c>
      <c r="AE1926" s="218">
        <v>0</v>
      </c>
      <c r="AF1926">
        <v>0</v>
      </c>
      <c r="AH1926" t="str">
        <f t="shared" si="92"/>
        <v>Laldiyara</v>
      </c>
      <c r="AJ1926" s="72">
        <v>0</v>
      </c>
      <c r="AK1926" s="72"/>
      <c r="AL1926" s="72"/>
      <c r="AM1926" s="72"/>
    </row>
    <row r="1927" spans="1:39" x14ac:dyDescent="0.25">
      <c r="A1927" s="37" t="s">
        <v>62</v>
      </c>
      <c r="B1927" s="66" t="s">
        <v>1629</v>
      </c>
      <c r="C1927" s="41">
        <v>1002</v>
      </c>
      <c r="D1927" s="41" t="s">
        <v>105</v>
      </c>
      <c r="E1927" s="41">
        <v>10020007</v>
      </c>
      <c r="F1927" s="85" t="s">
        <v>110</v>
      </c>
      <c r="G1927" s="39" t="s">
        <v>635</v>
      </c>
      <c r="H1927" s="52" t="s">
        <v>99</v>
      </c>
      <c r="I1927" s="52">
        <v>312.80000000000007</v>
      </c>
      <c r="J1927" s="49">
        <v>11464.089999999998</v>
      </c>
      <c r="K1927" s="58">
        <v>0</v>
      </c>
      <c r="L1927" s="58">
        <v>0</v>
      </c>
      <c r="M1927" s="58">
        <v>0</v>
      </c>
      <c r="N1927" s="58">
        <v>0</v>
      </c>
      <c r="O1927" s="58">
        <v>0</v>
      </c>
      <c r="P1927" s="53">
        <v>0</v>
      </c>
      <c r="Q1927" s="65">
        <v>11464.089999999998</v>
      </c>
      <c r="R1927" s="65">
        <v>0</v>
      </c>
      <c r="S1927" s="65">
        <v>0</v>
      </c>
      <c r="T1927" s="65">
        <v>0</v>
      </c>
      <c r="U1927" s="58">
        <v>0</v>
      </c>
      <c r="V1927" s="65">
        <v>15.709161290322562</v>
      </c>
      <c r="W1927" s="65">
        <v>0</v>
      </c>
      <c r="X1927" s="65">
        <v>0</v>
      </c>
      <c r="Y1927" s="65">
        <v>0</v>
      </c>
      <c r="Z1927" s="51">
        <v>11448.380838709676</v>
      </c>
      <c r="AA1927" s="51">
        <v>0</v>
      </c>
      <c r="AB1927" s="102">
        <v>0</v>
      </c>
      <c r="AC1927" s="81">
        <f t="shared" si="93"/>
        <v>283.81685728900243</v>
      </c>
      <c r="AD1927" s="82">
        <f t="shared" si="94"/>
        <v>44.685714285714297</v>
      </c>
      <c r="AE1927" s="218">
        <v>0</v>
      </c>
      <c r="AF1927">
        <v>0</v>
      </c>
      <c r="AH1927" t="str">
        <f t="shared" si="92"/>
        <v>Laldiyara</v>
      </c>
      <c r="AJ1927" s="72">
        <v>0</v>
      </c>
      <c r="AK1927" s="72"/>
      <c r="AL1927" s="72"/>
      <c r="AM1927" s="72"/>
    </row>
    <row r="1928" spans="1:39" x14ac:dyDescent="0.25">
      <c r="A1928" s="37" t="s">
        <v>62</v>
      </c>
      <c r="B1928" s="66" t="s">
        <v>1629</v>
      </c>
      <c r="C1928" s="41">
        <v>1002</v>
      </c>
      <c r="D1928" s="41" t="s">
        <v>105</v>
      </c>
      <c r="E1928" s="41">
        <v>10020008</v>
      </c>
      <c r="F1928" s="85" t="s">
        <v>111</v>
      </c>
      <c r="G1928" s="39" t="s">
        <v>635</v>
      </c>
      <c r="H1928" s="52" t="s">
        <v>99</v>
      </c>
      <c r="I1928" s="52">
        <v>1738.4999999999998</v>
      </c>
      <c r="J1928" s="49">
        <v>68368.070000000022</v>
      </c>
      <c r="K1928" s="58">
        <v>0</v>
      </c>
      <c r="L1928" s="58">
        <v>0</v>
      </c>
      <c r="M1928" s="58">
        <v>0</v>
      </c>
      <c r="N1928" s="58">
        <v>0</v>
      </c>
      <c r="O1928" s="58">
        <v>0</v>
      </c>
      <c r="P1928" s="53">
        <v>0</v>
      </c>
      <c r="Q1928" s="65">
        <v>68368.070000000022</v>
      </c>
      <c r="R1928" s="65">
        <v>0</v>
      </c>
      <c r="S1928" s="65">
        <v>0</v>
      </c>
      <c r="T1928" s="65">
        <v>0</v>
      </c>
      <c r="U1928" s="58">
        <v>0</v>
      </c>
      <c r="V1928" s="65">
        <v>0</v>
      </c>
      <c r="W1928" s="65">
        <v>0</v>
      </c>
      <c r="X1928" s="65">
        <v>0</v>
      </c>
      <c r="Y1928" s="65">
        <v>0</v>
      </c>
      <c r="Z1928" s="51">
        <v>68368.070000000022</v>
      </c>
      <c r="AA1928" s="51">
        <v>0</v>
      </c>
      <c r="AB1928" s="102">
        <v>0</v>
      </c>
      <c r="AC1928" s="81">
        <f t="shared" si="93"/>
        <v>0</v>
      </c>
      <c r="AD1928" s="82">
        <f t="shared" si="94"/>
        <v>0</v>
      </c>
      <c r="AE1928" s="218">
        <v>0</v>
      </c>
      <c r="AF1928">
        <v>0</v>
      </c>
      <c r="AH1928" t="str">
        <f t="shared" si="92"/>
        <v>Laldiyara</v>
      </c>
      <c r="AJ1928" s="72">
        <v>0</v>
      </c>
      <c r="AK1928" s="72"/>
      <c r="AL1928" s="72"/>
      <c r="AM1928" s="72"/>
    </row>
    <row r="1929" spans="1:39" x14ac:dyDescent="0.25">
      <c r="A1929" s="37" t="s">
        <v>62</v>
      </c>
      <c r="B1929" s="66" t="s">
        <v>1629</v>
      </c>
      <c r="C1929" s="41">
        <v>1002</v>
      </c>
      <c r="D1929" s="41" t="s">
        <v>105</v>
      </c>
      <c r="E1929" s="41">
        <v>10020010</v>
      </c>
      <c r="F1929" s="85" t="s">
        <v>1236</v>
      </c>
      <c r="G1929" s="39" t="s">
        <v>93</v>
      </c>
      <c r="H1929" s="52" t="s">
        <v>94</v>
      </c>
      <c r="I1929" s="52">
        <v>456.7</v>
      </c>
      <c r="J1929" s="49">
        <v>16222.73</v>
      </c>
      <c r="K1929" s="58">
        <v>517.29999999999995</v>
      </c>
      <c r="L1929" s="58">
        <v>19354.128579720003</v>
      </c>
      <c r="M1929" s="58">
        <v>1.4</v>
      </c>
      <c r="N1929" s="58">
        <v>49.211078400000019</v>
      </c>
      <c r="O1929" s="58">
        <v>518.69999999999993</v>
      </c>
      <c r="P1929" s="53">
        <v>19403.339658120003</v>
      </c>
      <c r="Q1929" s="65">
        <v>16222.73</v>
      </c>
      <c r="R1929" s="65">
        <v>0</v>
      </c>
      <c r="S1929" s="65">
        <v>49.211078400000019</v>
      </c>
      <c r="T1929" s="65">
        <v>3180.6096581200036</v>
      </c>
      <c r="U1929" s="58">
        <v>0</v>
      </c>
      <c r="V1929" s="65">
        <v>0</v>
      </c>
      <c r="W1929" s="65">
        <v>0</v>
      </c>
      <c r="X1929" s="65">
        <v>16174</v>
      </c>
      <c r="Y1929" s="65">
        <v>0</v>
      </c>
      <c r="Z1929" s="51">
        <v>0</v>
      </c>
      <c r="AA1929" s="51">
        <v>0</v>
      </c>
      <c r="AB1929" s="102">
        <v>0</v>
      </c>
      <c r="AC1929" s="81">
        <f t="shared" si="93"/>
        <v>172.84826840376613</v>
      </c>
      <c r="AD1929" s="82">
        <f t="shared" si="94"/>
        <v>65.242857142857147</v>
      </c>
      <c r="AE1929" s="218">
        <v>-0.19605884201487689</v>
      </c>
      <c r="AF1929">
        <v>4</v>
      </c>
      <c r="AH1929" t="str">
        <f t="shared" si="92"/>
        <v>Laldiyara</v>
      </c>
      <c r="AJ1929" s="72">
        <v>0</v>
      </c>
      <c r="AK1929" s="72"/>
      <c r="AL1929" s="72"/>
      <c r="AM1929" s="72"/>
    </row>
    <row r="1930" spans="1:39" x14ac:dyDescent="0.25">
      <c r="A1930" s="37" t="s">
        <v>62</v>
      </c>
      <c r="B1930" s="66" t="s">
        <v>1629</v>
      </c>
      <c r="C1930" s="41">
        <v>1002</v>
      </c>
      <c r="D1930" s="41" t="s">
        <v>105</v>
      </c>
      <c r="E1930" s="41">
        <v>10020012</v>
      </c>
      <c r="F1930" s="85" t="s">
        <v>1232</v>
      </c>
      <c r="G1930" s="39" t="s">
        <v>635</v>
      </c>
      <c r="H1930" s="52" t="s">
        <v>99</v>
      </c>
      <c r="I1930" s="52">
        <v>198.60000000000002</v>
      </c>
      <c r="J1930" s="49">
        <v>7515.16</v>
      </c>
      <c r="K1930" s="58">
        <v>0</v>
      </c>
      <c r="L1930" s="58">
        <v>0</v>
      </c>
      <c r="M1930" s="58">
        <v>0</v>
      </c>
      <c r="N1930" s="58">
        <v>0</v>
      </c>
      <c r="O1930" s="58">
        <v>0</v>
      </c>
      <c r="P1930" s="53">
        <v>0</v>
      </c>
      <c r="Q1930" s="65">
        <v>7515.16</v>
      </c>
      <c r="R1930" s="65">
        <v>0</v>
      </c>
      <c r="S1930" s="65">
        <v>0</v>
      </c>
      <c r="T1930" s="65">
        <v>0</v>
      </c>
      <c r="U1930" s="58">
        <v>0</v>
      </c>
      <c r="V1930" s="65">
        <v>0</v>
      </c>
      <c r="W1930" s="65">
        <v>0</v>
      </c>
      <c r="X1930" s="65">
        <v>0</v>
      </c>
      <c r="Y1930" s="65">
        <v>0</v>
      </c>
      <c r="Z1930" s="51">
        <v>7515.16</v>
      </c>
      <c r="AA1930" s="51">
        <v>0</v>
      </c>
      <c r="AB1930" s="102">
        <v>0</v>
      </c>
      <c r="AC1930" s="81">
        <f t="shared" si="93"/>
        <v>379.46638710976833</v>
      </c>
      <c r="AD1930" s="82">
        <f t="shared" si="94"/>
        <v>28.371428571428574</v>
      </c>
      <c r="AE1930" s="218">
        <v>0</v>
      </c>
      <c r="AF1930">
        <v>0</v>
      </c>
      <c r="AH1930" t="str">
        <f t="shared" si="92"/>
        <v>Laldiyara</v>
      </c>
      <c r="AJ1930" s="72">
        <v>0</v>
      </c>
      <c r="AK1930" s="72"/>
      <c r="AL1930" s="72"/>
      <c r="AM1930" s="72"/>
    </row>
    <row r="1931" spans="1:39" x14ac:dyDescent="0.25">
      <c r="A1931" s="37" t="s">
        <v>62</v>
      </c>
      <c r="B1931" s="66" t="s">
        <v>1629</v>
      </c>
      <c r="C1931" s="41">
        <v>1002</v>
      </c>
      <c r="D1931" s="41" t="s">
        <v>105</v>
      </c>
      <c r="E1931" s="41">
        <v>10020013</v>
      </c>
      <c r="F1931" s="85" t="s">
        <v>615</v>
      </c>
      <c r="G1931" s="39" t="s">
        <v>635</v>
      </c>
      <c r="H1931" s="52" t="s">
        <v>99</v>
      </c>
      <c r="I1931" s="52">
        <v>1197.6000000000001</v>
      </c>
      <c r="J1931" s="49">
        <v>47228.03</v>
      </c>
      <c r="K1931" s="58">
        <v>0</v>
      </c>
      <c r="L1931" s="58">
        <v>0</v>
      </c>
      <c r="M1931" s="58">
        <v>0</v>
      </c>
      <c r="N1931" s="58">
        <v>0</v>
      </c>
      <c r="O1931" s="58">
        <v>0</v>
      </c>
      <c r="P1931" s="53">
        <v>0</v>
      </c>
      <c r="Q1931" s="65">
        <v>47228.03</v>
      </c>
      <c r="R1931" s="65">
        <v>0</v>
      </c>
      <c r="S1931" s="65">
        <v>0</v>
      </c>
      <c r="T1931" s="65">
        <v>0</v>
      </c>
      <c r="U1931" s="58">
        <v>0</v>
      </c>
      <c r="V1931" s="65">
        <v>0</v>
      </c>
      <c r="W1931" s="65">
        <v>0</v>
      </c>
      <c r="X1931" s="65">
        <v>0</v>
      </c>
      <c r="Y1931" s="65">
        <v>0</v>
      </c>
      <c r="Z1931" s="51">
        <v>47228.03</v>
      </c>
      <c r="AA1931" s="51">
        <v>0</v>
      </c>
      <c r="AB1931" s="102">
        <v>0</v>
      </c>
      <c r="AC1931" s="81">
        <f t="shared" si="93"/>
        <v>0</v>
      </c>
      <c r="AD1931" s="82">
        <f t="shared" si="94"/>
        <v>0</v>
      </c>
      <c r="AE1931" s="218">
        <v>0</v>
      </c>
      <c r="AF1931">
        <v>0</v>
      </c>
      <c r="AH1931" t="str">
        <f t="shared" si="92"/>
        <v>Laldiyara</v>
      </c>
      <c r="AJ1931" s="72">
        <v>0</v>
      </c>
      <c r="AK1931" s="72"/>
      <c r="AL1931" s="72"/>
      <c r="AM1931" s="72"/>
    </row>
    <row r="1932" spans="1:39" x14ac:dyDescent="0.25">
      <c r="A1932" s="37" t="s">
        <v>62</v>
      </c>
      <c r="B1932" s="66" t="s">
        <v>1629</v>
      </c>
      <c r="C1932" s="41">
        <v>1002</v>
      </c>
      <c r="D1932" s="41" t="s">
        <v>105</v>
      </c>
      <c r="E1932" s="41">
        <v>10020015</v>
      </c>
      <c r="F1932" s="85" t="s">
        <v>112</v>
      </c>
      <c r="G1932" s="39" t="s">
        <v>635</v>
      </c>
      <c r="H1932" s="52" t="s">
        <v>99</v>
      </c>
      <c r="I1932" s="52">
        <v>26668.2</v>
      </c>
      <c r="J1932" s="49">
        <v>1033505.06</v>
      </c>
      <c r="K1932" s="58">
        <v>0</v>
      </c>
      <c r="L1932" s="58">
        <v>0</v>
      </c>
      <c r="M1932" s="58">
        <v>0</v>
      </c>
      <c r="N1932" s="58">
        <v>0</v>
      </c>
      <c r="O1932" s="58">
        <v>0</v>
      </c>
      <c r="P1932" s="53">
        <v>0</v>
      </c>
      <c r="Q1932" s="65">
        <v>1033505.06</v>
      </c>
      <c r="R1932" s="65">
        <v>0</v>
      </c>
      <c r="S1932" s="65">
        <v>0</v>
      </c>
      <c r="T1932" s="65">
        <v>0</v>
      </c>
      <c r="U1932" s="58">
        <v>0</v>
      </c>
      <c r="V1932" s="65">
        <v>0</v>
      </c>
      <c r="W1932" s="65">
        <v>0</v>
      </c>
      <c r="X1932" s="65">
        <v>0</v>
      </c>
      <c r="Y1932" s="65">
        <v>0</v>
      </c>
      <c r="Z1932" s="51">
        <v>1033505.06</v>
      </c>
      <c r="AA1932" s="51">
        <v>0</v>
      </c>
      <c r="AB1932" s="102">
        <v>0</v>
      </c>
      <c r="AC1932" s="81">
        <f t="shared" si="93"/>
        <v>0</v>
      </c>
      <c r="AD1932" s="82">
        <f t="shared" si="94"/>
        <v>0</v>
      </c>
      <c r="AE1932" s="218">
        <v>0</v>
      </c>
      <c r="AF1932">
        <v>0</v>
      </c>
      <c r="AH1932" t="str">
        <f t="shared" si="92"/>
        <v>Laldiyara</v>
      </c>
      <c r="AJ1932" s="72">
        <v>0</v>
      </c>
      <c r="AK1932" s="72"/>
      <c r="AL1932" s="72"/>
      <c r="AM1932" s="72"/>
    </row>
    <row r="1933" spans="1:39" x14ac:dyDescent="0.25">
      <c r="A1933" s="37" t="s">
        <v>62</v>
      </c>
      <c r="B1933" s="66" t="s">
        <v>1629</v>
      </c>
      <c r="C1933" s="41">
        <v>1002</v>
      </c>
      <c r="D1933" s="41" t="s">
        <v>105</v>
      </c>
      <c r="E1933" s="41">
        <v>10020016</v>
      </c>
      <c r="F1933" s="85" t="s">
        <v>113</v>
      </c>
      <c r="G1933" s="39" t="s">
        <v>635</v>
      </c>
      <c r="H1933" s="52" t="s">
        <v>99</v>
      </c>
      <c r="I1933" s="52">
        <v>26459.800000000003</v>
      </c>
      <c r="J1933" s="49">
        <v>1048379.1600000001</v>
      </c>
      <c r="K1933" s="58">
        <v>0</v>
      </c>
      <c r="L1933" s="58">
        <v>0</v>
      </c>
      <c r="M1933" s="58">
        <v>0</v>
      </c>
      <c r="N1933" s="58">
        <v>0</v>
      </c>
      <c r="O1933" s="58">
        <v>0</v>
      </c>
      <c r="P1933" s="53">
        <v>0</v>
      </c>
      <c r="Q1933" s="65">
        <v>1048379.1600000001</v>
      </c>
      <c r="R1933" s="65">
        <v>0</v>
      </c>
      <c r="S1933" s="65">
        <v>0</v>
      </c>
      <c r="T1933" s="65">
        <v>0</v>
      </c>
      <c r="U1933" s="58">
        <v>0</v>
      </c>
      <c r="V1933" s="65">
        <v>0</v>
      </c>
      <c r="W1933" s="65">
        <v>0</v>
      </c>
      <c r="X1933" s="65">
        <v>0</v>
      </c>
      <c r="Y1933" s="65">
        <v>0</v>
      </c>
      <c r="Z1933" s="51">
        <v>1048379.1600000001</v>
      </c>
      <c r="AA1933" s="51">
        <v>0</v>
      </c>
      <c r="AB1933" s="102">
        <v>0</v>
      </c>
      <c r="AC1933" s="81">
        <f t="shared" si="93"/>
        <v>0</v>
      </c>
      <c r="AD1933" s="82">
        <f t="shared" si="94"/>
        <v>0</v>
      </c>
      <c r="AE1933" s="218">
        <v>0</v>
      </c>
      <c r="AF1933">
        <v>0</v>
      </c>
      <c r="AH1933" t="str">
        <f t="shared" si="92"/>
        <v>Laldiyara</v>
      </c>
      <c r="AJ1933" s="72">
        <v>0</v>
      </c>
      <c r="AK1933" s="72"/>
      <c r="AL1933" s="72"/>
      <c r="AM1933" s="72"/>
    </row>
    <row r="1934" spans="1:39" x14ac:dyDescent="0.25">
      <c r="A1934" s="37" t="s">
        <v>62</v>
      </c>
      <c r="B1934" s="66" t="s">
        <v>1629</v>
      </c>
      <c r="C1934" s="41">
        <v>1002</v>
      </c>
      <c r="D1934" s="41" t="s">
        <v>105</v>
      </c>
      <c r="E1934" s="41">
        <v>10020017</v>
      </c>
      <c r="F1934" s="85" t="s">
        <v>114</v>
      </c>
      <c r="G1934" s="39" t="s">
        <v>93</v>
      </c>
      <c r="H1934" s="52" t="s">
        <v>94</v>
      </c>
      <c r="I1934" s="52">
        <v>4680.3</v>
      </c>
      <c r="J1934" s="49">
        <v>197719.69</v>
      </c>
      <c r="K1934" s="58">
        <v>5785.4</v>
      </c>
      <c r="L1934" s="58">
        <v>197588.95919496246</v>
      </c>
      <c r="M1934" s="58">
        <v>31.999999999999996</v>
      </c>
      <c r="N1934" s="58">
        <v>1357.4827411200004</v>
      </c>
      <c r="O1934" s="58">
        <v>5817.4</v>
      </c>
      <c r="P1934" s="53">
        <v>198946.44193608247</v>
      </c>
      <c r="Q1934" s="65">
        <v>197719.69</v>
      </c>
      <c r="R1934" s="65">
        <v>0</v>
      </c>
      <c r="S1934" s="65">
        <v>1357.4827411200004</v>
      </c>
      <c r="T1934" s="65">
        <v>1226.7519360824663</v>
      </c>
      <c r="U1934" s="58">
        <v>0</v>
      </c>
      <c r="V1934" s="65">
        <v>0</v>
      </c>
      <c r="W1934" s="65">
        <v>0</v>
      </c>
      <c r="X1934" s="65">
        <v>196362</v>
      </c>
      <c r="Y1934" s="65">
        <v>0</v>
      </c>
      <c r="Z1934" s="51">
        <v>0</v>
      </c>
      <c r="AA1934" s="51">
        <v>0</v>
      </c>
      <c r="AB1934" s="102">
        <v>0</v>
      </c>
      <c r="AC1934" s="81">
        <f t="shared" si="93"/>
        <v>0</v>
      </c>
      <c r="AD1934" s="82">
        <f t="shared" si="94"/>
        <v>0</v>
      </c>
      <c r="AE1934" s="218">
        <v>-6.2045006042770259E-3</v>
      </c>
      <c r="AF1934">
        <v>64</v>
      </c>
      <c r="AH1934" t="str">
        <f t="shared" si="92"/>
        <v>Laldiyara</v>
      </c>
      <c r="AJ1934" s="72">
        <v>0</v>
      </c>
      <c r="AK1934" s="72"/>
      <c r="AL1934" s="72"/>
      <c r="AM1934" s="72"/>
    </row>
    <row r="1935" spans="1:39" x14ac:dyDescent="0.25">
      <c r="A1935" s="37" t="s">
        <v>62</v>
      </c>
      <c r="B1935" s="66" t="s">
        <v>1629</v>
      </c>
      <c r="C1935" s="41">
        <v>1002</v>
      </c>
      <c r="D1935" s="41" t="s">
        <v>105</v>
      </c>
      <c r="E1935" s="41">
        <v>10020021</v>
      </c>
      <c r="F1935" s="85" t="s">
        <v>115</v>
      </c>
      <c r="G1935" s="39" t="s">
        <v>93</v>
      </c>
      <c r="H1935" s="52" t="s">
        <v>94</v>
      </c>
      <c r="I1935" s="52">
        <v>5100.9000000000005</v>
      </c>
      <c r="J1935" s="49">
        <v>225328.99</v>
      </c>
      <c r="K1935" s="58">
        <v>4569.3</v>
      </c>
      <c r="L1935" s="58">
        <v>200349.47465243572</v>
      </c>
      <c r="M1935" s="58">
        <v>601.40000000000009</v>
      </c>
      <c r="N1935" s="58">
        <v>25325.3859313342</v>
      </c>
      <c r="O1935" s="58">
        <v>5170.7000000000007</v>
      </c>
      <c r="P1935" s="53">
        <v>225674.86058376991</v>
      </c>
      <c r="Q1935" s="65">
        <v>225328.99</v>
      </c>
      <c r="R1935" s="65">
        <v>0</v>
      </c>
      <c r="S1935" s="65">
        <v>1973.5408213200003</v>
      </c>
      <c r="T1935" s="65">
        <v>345.87058376992354</v>
      </c>
      <c r="U1935" s="58">
        <v>0</v>
      </c>
      <c r="V1935" s="65">
        <v>0</v>
      </c>
      <c r="W1935" s="65">
        <v>0</v>
      </c>
      <c r="X1935" s="65">
        <v>200003</v>
      </c>
      <c r="Y1935" s="65">
        <v>23352</v>
      </c>
      <c r="Z1935" s="51">
        <v>0</v>
      </c>
      <c r="AA1935" s="51">
        <v>0</v>
      </c>
      <c r="AB1935" s="102">
        <v>0</v>
      </c>
      <c r="AC1935" s="81">
        <f t="shared" si="93"/>
        <v>0</v>
      </c>
      <c r="AD1935" s="82">
        <f t="shared" si="94"/>
        <v>0</v>
      </c>
      <c r="AE1935" s="218">
        <v>-1.5349582127445012E-3</v>
      </c>
      <c r="AF1935">
        <v>33</v>
      </c>
      <c r="AH1935" t="str">
        <f t="shared" si="92"/>
        <v>Laldiyara</v>
      </c>
      <c r="AJ1935" s="72">
        <v>0</v>
      </c>
      <c r="AK1935" s="72"/>
      <c r="AL1935" s="72"/>
      <c r="AM1935" s="72"/>
    </row>
    <row r="1936" spans="1:39" x14ac:dyDescent="0.25">
      <c r="A1936" s="37" t="s">
        <v>62</v>
      </c>
      <c r="B1936" s="66" t="s">
        <v>1629</v>
      </c>
      <c r="C1936" s="41">
        <v>1002</v>
      </c>
      <c r="D1936" s="41" t="s">
        <v>105</v>
      </c>
      <c r="E1936" s="41">
        <v>10020023</v>
      </c>
      <c r="F1936" s="85" t="s">
        <v>117</v>
      </c>
      <c r="G1936" s="39" t="s">
        <v>93</v>
      </c>
      <c r="H1936" s="52" t="s">
        <v>94</v>
      </c>
      <c r="I1936" s="52">
        <v>1025.3</v>
      </c>
      <c r="J1936" s="49">
        <v>38506.770000000004</v>
      </c>
      <c r="K1936" s="58">
        <v>1001.4000000000001</v>
      </c>
      <c r="L1936" s="58">
        <v>38039.144471518601</v>
      </c>
      <c r="M1936" s="58">
        <v>10.1</v>
      </c>
      <c r="N1936" s="58">
        <v>372.54127283999998</v>
      </c>
      <c r="O1936" s="58">
        <v>1011.5000000000001</v>
      </c>
      <c r="P1936" s="53">
        <v>38411.685744358598</v>
      </c>
      <c r="Q1936" s="65">
        <v>38411.685744358598</v>
      </c>
      <c r="R1936" s="65">
        <v>0</v>
      </c>
      <c r="S1936" s="65">
        <v>372.54127283999998</v>
      </c>
      <c r="T1936" s="65">
        <v>0</v>
      </c>
      <c r="U1936" s="58">
        <v>0</v>
      </c>
      <c r="V1936" s="65">
        <v>0</v>
      </c>
      <c r="W1936" s="65">
        <v>0</v>
      </c>
      <c r="X1936" s="65">
        <v>38041</v>
      </c>
      <c r="Y1936" s="65">
        <v>0</v>
      </c>
      <c r="Z1936" s="51">
        <v>0</v>
      </c>
      <c r="AA1936" s="51">
        <v>93</v>
      </c>
      <c r="AB1936" s="102">
        <v>0</v>
      </c>
      <c r="AC1936" s="81">
        <f t="shared" si="93"/>
        <v>0</v>
      </c>
      <c r="AD1936" s="82">
        <f t="shared" si="94"/>
        <v>0</v>
      </c>
      <c r="AE1936" s="218">
        <v>2.469286716112682E-3</v>
      </c>
      <c r="AF1936">
        <v>25</v>
      </c>
      <c r="AH1936" t="str">
        <f t="shared" si="92"/>
        <v>Laldiyara</v>
      </c>
      <c r="AJ1936" s="72">
        <v>0</v>
      </c>
      <c r="AK1936" s="72"/>
      <c r="AL1936" s="72"/>
      <c r="AM1936" s="72"/>
    </row>
    <row r="1937" spans="1:39" x14ac:dyDescent="0.25">
      <c r="A1937" s="37" t="s">
        <v>62</v>
      </c>
      <c r="B1937" s="66" t="s">
        <v>1629</v>
      </c>
      <c r="C1937" s="41">
        <v>1002</v>
      </c>
      <c r="D1937" s="41" t="s">
        <v>105</v>
      </c>
      <c r="E1937" s="41">
        <v>10020024</v>
      </c>
      <c r="F1937" s="85" t="s">
        <v>118</v>
      </c>
      <c r="G1937" s="39" t="s">
        <v>93</v>
      </c>
      <c r="H1937" s="52" t="s">
        <v>94</v>
      </c>
      <c r="I1937" s="52">
        <v>3282.2000000000003</v>
      </c>
      <c r="J1937" s="49">
        <v>129424.15</v>
      </c>
      <c r="K1937" s="58">
        <v>3278.599999999999</v>
      </c>
      <c r="L1937" s="58">
        <v>131791.41764085394</v>
      </c>
      <c r="M1937" s="58">
        <v>0</v>
      </c>
      <c r="N1937" s="58">
        <v>0</v>
      </c>
      <c r="O1937" s="58">
        <v>3278.599999999999</v>
      </c>
      <c r="P1937" s="53">
        <v>131791.41764085394</v>
      </c>
      <c r="Q1937" s="65">
        <v>129424.15</v>
      </c>
      <c r="R1937" s="65">
        <v>0</v>
      </c>
      <c r="S1937" s="65">
        <v>0</v>
      </c>
      <c r="T1937" s="65">
        <v>2367.267640853941</v>
      </c>
      <c r="U1937" s="58">
        <v>0</v>
      </c>
      <c r="V1937" s="65">
        <v>0</v>
      </c>
      <c r="W1937" s="65">
        <v>0</v>
      </c>
      <c r="X1937" s="65">
        <v>129424</v>
      </c>
      <c r="Y1937" s="65">
        <v>0</v>
      </c>
      <c r="Z1937" s="51">
        <v>0</v>
      </c>
      <c r="AA1937" s="51">
        <v>0</v>
      </c>
      <c r="AB1937" s="102" t="s">
        <v>1427</v>
      </c>
      <c r="AC1937" s="81">
        <f t="shared" si="93"/>
        <v>0</v>
      </c>
      <c r="AD1937" s="82">
        <f t="shared" si="94"/>
        <v>0</v>
      </c>
      <c r="AE1937" s="218">
        <v>-1.8290772169289433E-2</v>
      </c>
      <c r="AF1937">
        <v>75</v>
      </c>
      <c r="AH1937" t="str">
        <f t="shared" si="92"/>
        <v>Laldiyara</v>
      </c>
      <c r="AJ1937" s="72">
        <v>0</v>
      </c>
      <c r="AK1937" s="72"/>
      <c r="AL1937" s="72"/>
      <c r="AM1937" s="72"/>
    </row>
    <row r="1938" spans="1:39" x14ac:dyDescent="0.25">
      <c r="A1938" s="37" t="s">
        <v>62</v>
      </c>
      <c r="B1938" s="66" t="s">
        <v>1629</v>
      </c>
      <c r="C1938" s="41">
        <v>1002</v>
      </c>
      <c r="D1938" s="41" t="s">
        <v>105</v>
      </c>
      <c r="E1938" s="41">
        <v>10020025</v>
      </c>
      <c r="F1938" s="85" t="s">
        <v>119</v>
      </c>
      <c r="G1938" s="39" t="s">
        <v>93</v>
      </c>
      <c r="H1938" s="52" t="s">
        <v>94</v>
      </c>
      <c r="I1938" s="52">
        <v>869.20000000000016</v>
      </c>
      <c r="J1938" s="49">
        <v>32801.360000000001</v>
      </c>
      <c r="K1938" s="58">
        <v>854.43</v>
      </c>
      <c r="L1938" s="58">
        <v>32823.749569770596</v>
      </c>
      <c r="M1938" s="58">
        <v>9.8600000000000012</v>
      </c>
      <c r="N1938" s="58">
        <v>380.96035797600007</v>
      </c>
      <c r="O1938" s="58">
        <v>864.29</v>
      </c>
      <c r="P1938" s="53">
        <v>33204.709927746597</v>
      </c>
      <c r="Q1938" s="65">
        <v>32801.360000000001</v>
      </c>
      <c r="R1938" s="65">
        <v>0</v>
      </c>
      <c r="S1938" s="65">
        <v>380.96035797600007</v>
      </c>
      <c r="T1938" s="65">
        <v>403.34992774659622</v>
      </c>
      <c r="U1938" s="58">
        <v>0</v>
      </c>
      <c r="V1938" s="65">
        <v>32.673660000000098</v>
      </c>
      <c r="W1938" s="65">
        <v>0</v>
      </c>
      <c r="X1938" s="65">
        <v>32387</v>
      </c>
      <c r="Y1938" s="65">
        <v>0</v>
      </c>
      <c r="Z1938" s="51">
        <v>0</v>
      </c>
      <c r="AA1938" s="51">
        <v>1</v>
      </c>
      <c r="AB1938" s="102">
        <v>0</v>
      </c>
      <c r="AC1938" s="81">
        <f t="shared" si="93"/>
        <v>0</v>
      </c>
      <c r="AD1938" s="82">
        <f t="shared" si="94"/>
        <v>0</v>
      </c>
      <c r="AE1938" s="218">
        <v>-1.2296744029716944E-2</v>
      </c>
      <c r="AF1938">
        <v>17</v>
      </c>
      <c r="AH1938" t="str">
        <f t="shared" ref="AH1938:AH1998" si="95">TEXT(D1938,"0000")</f>
        <v>Laldiyara</v>
      </c>
      <c r="AJ1938" s="72">
        <v>0</v>
      </c>
      <c r="AK1938" s="72"/>
      <c r="AL1938" s="72"/>
      <c r="AM1938" s="72"/>
    </row>
    <row r="1939" spans="1:39" x14ac:dyDescent="0.25">
      <c r="A1939" s="37" t="s">
        <v>62</v>
      </c>
      <c r="B1939" s="66" t="s">
        <v>1629</v>
      </c>
      <c r="C1939" s="41">
        <v>1002</v>
      </c>
      <c r="D1939" s="41" t="s">
        <v>105</v>
      </c>
      <c r="E1939" s="41">
        <v>10020026</v>
      </c>
      <c r="F1939" s="85" t="s">
        <v>120</v>
      </c>
      <c r="G1939" s="39" t="s">
        <v>93</v>
      </c>
      <c r="H1939" s="52" t="s">
        <v>94</v>
      </c>
      <c r="I1939" s="52">
        <v>653.19999999999993</v>
      </c>
      <c r="J1939" s="49">
        <v>26556.68</v>
      </c>
      <c r="K1939" s="58">
        <v>645.52</v>
      </c>
      <c r="L1939" s="58">
        <v>26694.09059565053</v>
      </c>
      <c r="M1939" s="58">
        <v>1.5400000000000003</v>
      </c>
      <c r="N1939" s="58">
        <v>62.644968713700017</v>
      </c>
      <c r="O1939" s="58">
        <v>647.05999999999995</v>
      </c>
      <c r="P1939" s="53">
        <v>26756.73556436423</v>
      </c>
      <c r="Q1939" s="65">
        <v>26556.68</v>
      </c>
      <c r="R1939" s="65">
        <v>0</v>
      </c>
      <c r="S1939" s="65">
        <v>62.644968713700017</v>
      </c>
      <c r="T1939" s="65">
        <v>200.05556436422921</v>
      </c>
      <c r="U1939" s="58">
        <v>0</v>
      </c>
      <c r="V1939" s="65">
        <v>0</v>
      </c>
      <c r="W1939" s="65">
        <v>0</v>
      </c>
      <c r="X1939" s="65">
        <v>26494</v>
      </c>
      <c r="Y1939" s="65">
        <v>0</v>
      </c>
      <c r="Z1939" s="51">
        <v>0</v>
      </c>
      <c r="AA1939" s="51">
        <v>0</v>
      </c>
      <c r="AB1939" s="102">
        <v>0</v>
      </c>
      <c r="AC1939" s="81">
        <f t="shared" si="93"/>
        <v>38.054275076546311</v>
      </c>
      <c r="AD1939" s="82">
        <f t="shared" si="94"/>
        <v>93.314285714285703</v>
      </c>
      <c r="AE1939" s="218">
        <v>-7.5331541579831971E-3</v>
      </c>
      <c r="AF1939">
        <v>5</v>
      </c>
      <c r="AH1939" t="str">
        <f t="shared" si="95"/>
        <v>Laldiyara</v>
      </c>
      <c r="AJ1939" s="72">
        <v>0</v>
      </c>
      <c r="AK1939" s="72"/>
      <c r="AL1939" s="72"/>
      <c r="AM1939" s="72"/>
    </row>
    <row r="1940" spans="1:39" x14ac:dyDescent="0.25">
      <c r="A1940" s="37" t="s">
        <v>62</v>
      </c>
      <c r="B1940" s="66" t="s">
        <v>1629</v>
      </c>
      <c r="C1940" s="41">
        <v>1002</v>
      </c>
      <c r="D1940" s="41" t="s">
        <v>105</v>
      </c>
      <c r="E1940" s="41">
        <v>10020027</v>
      </c>
      <c r="F1940" s="85" t="s">
        <v>121</v>
      </c>
      <c r="G1940" s="39" t="s">
        <v>93</v>
      </c>
      <c r="H1940" s="52" t="s">
        <v>94</v>
      </c>
      <c r="I1940" s="52">
        <v>635.89999999999986</v>
      </c>
      <c r="J1940" s="49">
        <v>22691.66</v>
      </c>
      <c r="K1940" s="58">
        <v>635.90000000000009</v>
      </c>
      <c r="L1940" s="58">
        <v>22729.071372480004</v>
      </c>
      <c r="M1940" s="58">
        <v>0</v>
      </c>
      <c r="N1940" s="58">
        <v>0</v>
      </c>
      <c r="O1940" s="58">
        <v>635.90000000000009</v>
      </c>
      <c r="P1940" s="53">
        <v>22729.071372480004</v>
      </c>
      <c r="Q1940" s="65">
        <v>22691.66</v>
      </c>
      <c r="R1940" s="65">
        <v>0</v>
      </c>
      <c r="S1940" s="65">
        <v>0</v>
      </c>
      <c r="T1940" s="65">
        <v>37.411372480004502</v>
      </c>
      <c r="U1940" s="58">
        <v>0</v>
      </c>
      <c r="V1940" s="65">
        <v>0</v>
      </c>
      <c r="W1940" s="65">
        <v>0</v>
      </c>
      <c r="X1940" s="65">
        <v>22692</v>
      </c>
      <c r="Y1940" s="65">
        <v>0</v>
      </c>
      <c r="Z1940" s="51">
        <v>0</v>
      </c>
      <c r="AA1940" s="51">
        <v>0</v>
      </c>
      <c r="AB1940" s="102">
        <v>0</v>
      </c>
      <c r="AC1940" s="81">
        <f t="shared" si="93"/>
        <v>45.747300078628804</v>
      </c>
      <c r="AD1940" s="82">
        <f t="shared" si="94"/>
        <v>90.842857142857127</v>
      </c>
      <c r="AE1940" s="218">
        <v>-1.6486838107042192E-3</v>
      </c>
      <c r="AF1940">
        <v>1</v>
      </c>
      <c r="AH1940" t="str">
        <f t="shared" si="95"/>
        <v>Laldiyara</v>
      </c>
      <c r="AJ1940" s="72">
        <v>0</v>
      </c>
      <c r="AK1940" s="72"/>
      <c r="AL1940" s="72"/>
      <c r="AM1940" s="72"/>
    </row>
    <row r="1941" spans="1:39" x14ac:dyDescent="0.25">
      <c r="A1941" s="37" t="s">
        <v>62</v>
      </c>
      <c r="B1941" s="66" t="s">
        <v>1629</v>
      </c>
      <c r="C1941" s="41">
        <v>1002</v>
      </c>
      <c r="D1941" s="41" t="s">
        <v>105</v>
      </c>
      <c r="E1941" s="41">
        <v>10020029</v>
      </c>
      <c r="F1941" s="85" t="s">
        <v>122</v>
      </c>
      <c r="G1941" s="39" t="s">
        <v>93</v>
      </c>
      <c r="H1941" s="52" t="s">
        <v>94</v>
      </c>
      <c r="I1941" s="52">
        <v>320.90000000000003</v>
      </c>
      <c r="J1941" s="49">
        <v>12688.95</v>
      </c>
      <c r="K1941" s="58">
        <v>319.17999999999995</v>
      </c>
      <c r="L1941" s="58">
        <v>12581.959179994701</v>
      </c>
      <c r="M1941" s="58">
        <v>2.6900000000000004</v>
      </c>
      <c r="N1941" s="58">
        <v>101.455458588</v>
      </c>
      <c r="O1941" s="58">
        <v>321.86999999999995</v>
      </c>
      <c r="P1941" s="53">
        <v>12683.414638582701</v>
      </c>
      <c r="Q1941" s="65">
        <v>12683.414638582701</v>
      </c>
      <c r="R1941" s="65">
        <v>0</v>
      </c>
      <c r="S1941" s="65">
        <v>101.455458588</v>
      </c>
      <c r="T1941" s="65">
        <v>0</v>
      </c>
      <c r="U1941" s="58">
        <v>0</v>
      </c>
      <c r="V1941" s="65">
        <v>0</v>
      </c>
      <c r="W1941" s="65">
        <v>0</v>
      </c>
      <c r="X1941" s="65">
        <v>12582</v>
      </c>
      <c r="Y1941" s="65">
        <v>0</v>
      </c>
      <c r="Z1941" s="51">
        <v>0</v>
      </c>
      <c r="AA1941" s="51">
        <v>5</v>
      </c>
      <c r="AB1941" s="102">
        <v>0</v>
      </c>
      <c r="AC1941" s="81">
        <f t="shared" si="93"/>
        <v>299.80560579619817</v>
      </c>
      <c r="AD1941" s="82">
        <f t="shared" si="94"/>
        <v>45.842857142857149</v>
      </c>
      <c r="AE1941" s="218">
        <v>4.3623478832369969E-4</v>
      </c>
      <c r="AF1941">
        <v>6</v>
      </c>
      <c r="AH1941" t="str">
        <f t="shared" si="95"/>
        <v>Laldiyara</v>
      </c>
      <c r="AJ1941" s="72">
        <v>0</v>
      </c>
      <c r="AK1941" s="72"/>
      <c r="AL1941" s="72"/>
      <c r="AM1941" s="72"/>
    </row>
    <row r="1942" spans="1:39" x14ac:dyDescent="0.25">
      <c r="A1942" s="37" t="s">
        <v>62</v>
      </c>
      <c r="B1942" s="66" t="s">
        <v>1629</v>
      </c>
      <c r="C1942" s="41">
        <v>1002</v>
      </c>
      <c r="D1942" s="41" t="s">
        <v>105</v>
      </c>
      <c r="E1942" s="41">
        <v>10020032</v>
      </c>
      <c r="F1942" s="85" t="s">
        <v>123</v>
      </c>
      <c r="G1942" s="39" t="s">
        <v>93</v>
      </c>
      <c r="H1942" s="52" t="s">
        <v>94</v>
      </c>
      <c r="I1942" s="52">
        <v>865.00000000000011</v>
      </c>
      <c r="J1942" s="49">
        <v>37538.400000000001</v>
      </c>
      <c r="K1942" s="58">
        <v>856.97000000000014</v>
      </c>
      <c r="L1942" s="58">
        <v>37336.750967788597</v>
      </c>
      <c r="M1942" s="58">
        <v>10.589999999999998</v>
      </c>
      <c r="N1942" s="58">
        <v>482.18514797428008</v>
      </c>
      <c r="O1942" s="58">
        <v>867.56000000000017</v>
      </c>
      <c r="P1942" s="53">
        <v>37818.936115762881</v>
      </c>
      <c r="Q1942" s="65">
        <v>37538.400000000001</v>
      </c>
      <c r="R1942" s="65">
        <v>0</v>
      </c>
      <c r="S1942" s="65">
        <v>482.18514797428008</v>
      </c>
      <c r="T1942" s="65">
        <v>280.53611576287949</v>
      </c>
      <c r="U1942" s="58">
        <v>0</v>
      </c>
      <c r="V1942" s="65">
        <v>0</v>
      </c>
      <c r="W1942" s="65">
        <v>0</v>
      </c>
      <c r="X1942" s="65">
        <v>37056</v>
      </c>
      <c r="Y1942" s="65">
        <v>0</v>
      </c>
      <c r="Z1942" s="51">
        <v>0</v>
      </c>
      <c r="AA1942" s="51">
        <v>0</v>
      </c>
      <c r="AB1942" s="102">
        <v>0</v>
      </c>
      <c r="AC1942" s="81">
        <f t="shared" si="93"/>
        <v>0</v>
      </c>
      <c r="AD1942" s="82">
        <f t="shared" si="94"/>
        <v>0</v>
      </c>
      <c r="AE1942" s="218">
        <v>-7.4733104171429646E-3</v>
      </c>
      <c r="AF1942">
        <v>18</v>
      </c>
      <c r="AH1942" t="str">
        <f t="shared" si="95"/>
        <v>Laldiyara</v>
      </c>
      <c r="AJ1942" s="72">
        <v>0</v>
      </c>
      <c r="AK1942" s="72"/>
      <c r="AL1942" s="72"/>
      <c r="AM1942" s="72"/>
    </row>
    <row r="1943" spans="1:39" x14ac:dyDescent="0.25">
      <c r="A1943" s="37" t="s">
        <v>62</v>
      </c>
      <c r="B1943" s="66" t="s">
        <v>1629</v>
      </c>
      <c r="C1943" s="41">
        <v>1002</v>
      </c>
      <c r="D1943" s="41" t="s">
        <v>105</v>
      </c>
      <c r="E1943" s="41">
        <v>10020034</v>
      </c>
      <c r="F1943" s="85" t="s">
        <v>124</v>
      </c>
      <c r="G1943" s="39" t="s">
        <v>93</v>
      </c>
      <c r="H1943" s="52" t="s">
        <v>94</v>
      </c>
      <c r="I1943" s="52">
        <v>1020.0999999999999</v>
      </c>
      <c r="J1943" s="49">
        <v>41570.259999999995</v>
      </c>
      <c r="K1943" s="58">
        <v>1004.2700000000001</v>
      </c>
      <c r="L1943" s="58">
        <v>40422.259755151419</v>
      </c>
      <c r="M1943" s="58">
        <v>12.170000000000002</v>
      </c>
      <c r="N1943" s="58">
        <v>461.64503563200003</v>
      </c>
      <c r="O1943" s="58">
        <v>1016.44</v>
      </c>
      <c r="P1943" s="53">
        <v>40883.904790783417</v>
      </c>
      <c r="Q1943" s="65">
        <v>40883.904790783417</v>
      </c>
      <c r="R1943" s="65">
        <v>0</v>
      </c>
      <c r="S1943" s="65">
        <v>461.64503563200003</v>
      </c>
      <c r="T1943" s="65">
        <v>0</v>
      </c>
      <c r="U1943" s="58">
        <v>0</v>
      </c>
      <c r="V1943" s="65">
        <v>0</v>
      </c>
      <c r="W1943" s="65">
        <v>0</v>
      </c>
      <c r="X1943" s="65">
        <v>40422</v>
      </c>
      <c r="Y1943" s="65">
        <v>0</v>
      </c>
      <c r="Z1943" s="51">
        <v>0</v>
      </c>
      <c r="AA1943" s="51">
        <v>687</v>
      </c>
      <c r="AB1943" s="102">
        <v>0</v>
      </c>
      <c r="AC1943" s="81">
        <f t="shared" si="93"/>
        <v>0</v>
      </c>
      <c r="AD1943" s="82">
        <f t="shared" si="94"/>
        <v>0</v>
      </c>
      <c r="AE1943" s="218">
        <v>1.6510726880625173E-2</v>
      </c>
      <c r="AF1943">
        <v>30</v>
      </c>
      <c r="AH1943" t="str">
        <f t="shared" si="95"/>
        <v>Laldiyara</v>
      </c>
      <c r="AJ1943" s="72">
        <v>0</v>
      </c>
      <c r="AK1943" s="72"/>
      <c r="AL1943" s="72"/>
      <c r="AM1943" s="72"/>
    </row>
    <row r="1944" spans="1:39" x14ac:dyDescent="0.25">
      <c r="A1944" s="37" t="s">
        <v>62</v>
      </c>
      <c r="B1944" s="66" t="s">
        <v>1629</v>
      </c>
      <c r="C1944" s="41">
        <v>1002</v>
      </c>
      <c r="D1944" s="41" t="s">
        <v>105</v>
      </c>
      <c r="E1944" s="41">
        <v>10020035</v>
      </c>
      <c r="F1944" s="85" t="s">
        <v>125</v>
      </c>
      <c r="G1944" s="39" t="s">
        <v>93</v>
      </c>
      <c r="H1944" s="52" t="s">
        <v>94</v>
      </c>
      <c r="I1944" s="52">
        <v>1356.6</v>
      </c>
      <c r="J1944" s="49">
        <v>56202.8</v>
      </c>
      <c r="K1944" s="58">
        <v>1381.3</v>
      </c>
      <c r="L1944" s="58">
        <v>58826.244611832</v>
      </c>
      <c r="M1944" s="58">
        <v>58</v>
      </c>
      <c r="N1944" s="58">
        <v>2514.0102445040002</v>
      </c>
      <c r="O1944" s="58">
        <v>1439.3</v>
      </c>
      <c r="P1944" s="53">
        <v>61340.254856336003</v>
      </c>
      <c r="Q1944" s="65">
        <v>56202.8</v>
      </c>
      <c r="R1944" s="65">
        <v>0</v>
      </c>
      <c r="S1944" s="65">
        <v>1301.0848495340001</v>
      </c>
      <c r="T1944" s="65">
        <v>5137.4548563360004</v>
      </c>
      <c r="U1944" s="58">
        <v>0</v>
      </c>
      <c r="V1944" s="65">
        <v>0</v>
      </c>
      <c r="W1944" s="65">
        <v>0</v>
      </c>
      <c r="X1944" s="65">
        <v>53690</v>
      </c>
      <c r="Y1944" s="65">
        <v>1212</v>
      </c>
      <c r="Z1944" s="51">
        <v>0</v>
      </c>
      <c r="AA1944" s="51">
        <v>0</v>
      </c>
      <c r="AB1944" s="102">
        <v>0</v>
      </c>
      <c r="AC1944" s="81">
        <f t="shared" si="93"/>
        <v>0</v>
      </c>
      <c r="AD1944" s="82">
        <f t="shared" si="94"/>
        <v>0</v>
      </c>
      <c r="AE1944" s="218">
        <v>-9.1409233282612259E-2</v>
      </c>
      <c r="AF1944">
        <v>6</v>
      </c>
      <c r="AH1944" t="str">
        <f t="shared" si="95"/>
        <v>Laldiyara</v>
      </c>
      <c r="AJ1944" s="72">
        <v>0</v>
      </c>
      <c r="AK1944" s="72"/>
      <c r="AL1944" s="72"/>
      <c r="AM1944" s="72"/>
    </row>
    <row r="1945" spans="1:39" x14ac:dyDescent="0.25">
      <c r="A1945" s="37" t="s">
        <v>62</v>
      </c>
      <c r="B1945" s="66" t="s">
        <v>1629</v>
      </c>
      <c r="C1945" s="41">
        <v>1002</v>
      </c>
      <c r="D1945" s="41" t="s">
        <v>105</v>
      </c>
      <c r="E1945" s="41">
        <v>10020038</v>
      </c>
      <c r="F1945" s="85" t="s">
        <v>126</v>
      </c>
      <c r="G1945" s="39" t="s">
        <v>93</v>
      </c>
      <c r="H1945" s="52" t="s">
        <v>94</v>
      </c>
      <c r="I1945" s="52">
        <v>627.4</v>
      </c>
      <c r="J1945" s="49">
        <v>24768.51</v>
      </c>
      <c r="K1945" s="58">
        <v>621.35</v>
      </c>
      <c r="L1945" s="58">
        <v>23929.435911529592</v>
      </c>
      <c r="M1945" s="58">
        <v>5.24</v>
      </c>
      <c r="N1945" s="58">
        <v>211.20718806000005</v>
      </c>
      <c r="O1945" s="58">
        <v>626.59</v>
      </c>
      <c r="P1945" s="53">
        <v>24140.643099589593</v>
      </c>
      <c r="Q1945" s="65">
        <v>24140.643099589593</v>
      </c>
      <c r="R1945" s="65">
        <v>0</v>
      </c>
      <c r="S1945" s="65">
        <v>211.20718806000005</v>
      </c>
      <c r="T1945" s="65">
        <v>0</v>
      </c>
      <c r="U1945" s="58">
        <v>0</v>
      </c>
      <c r="V1945" s="65">
        <v>0</v>
      </c>
      <c r="W1945" s="65">
        <v>0</v>
      </c>
      <c r="X1945" s="65">
        <v>23930</v>
      </c>
      <c r="Y1945" s="65">
        <v>0</v>
      </c>
      <c r="Z1945" s="51">
        <v>0</v>
      </c>
      <c r="AA1945" s="51">
        <v>627</v>
      </c>
      <c r="AB1945" s="102">
        <v>0</v>
      </c>
      <c r="AC1945" s="81">
        <f t="shared" si="93"/>
        <v>57.322085623206931</v>
      </c>
      <c r="AD1945" s="82">
        <f t="shared" si="94"/>
        <v>89.628571428571419</v>
      </c>
      <c r="AE1945" s="218">
        <v>2.534940133299924E-2</v>
      </c>
      <c r="AF1945">
        <v>10</v>
      </c>
      <c r="AH1945" t="str">
        <f t="shared" si="95"/>
        <v>Laldiyara</v>
      </c>
      <c r="AJ1945" s="72">
        <v>0</v>
      </c>
      <c r="AK1945" s="72"/>
      <c r="AL1945" s="72"/>
      <c r="AM1945" s="72"/>
    </row>
    <row r="1946" spans="1:39" x14ac:dyDescent="0.25">
      <c r="A1946" s="37" t="s">
        <v>62</v>
      </c>
      <c r="B1946" s="66" t="s">
        <v>1629</v>
      </c>
      <c r="C1946" s="41">
        <v>1002</v>
      </c>
      <c r="D1946" s="41" t="s">
        <v>105</v>
      </c>
      <c r="E1946" s="41">
        <v>10020041</v>
      </c>
      <c r="F1946" s="85" t="s">
        <v>127</v>
      </c>
      <c r="G1946" s="39" t="s">
        <v>93</v>
      </c>
      <c r="H1946" s="52" t="s">
        <v>94</v>
      </c>
      <c r="I1946" s="52">
        <v>317.39999999999998</v>
      </c>
      <c r="J1946" s="49">
        <v>13149.910000000002</v>
      </c>
      <c r="K1946" s="58">
        <v>322.39</v>
      </c>
      <c r="L1946" s="58">
        <v>13214.511937686082</v>
      </c>
      <c r="M1946" s="58">
        <v>0</v>
      </c>
      <c r="N1946" s="58">
        <v>0</v>
      </c>
      <c r="O1946" s="58">
        <v>322.39</v>
      </c>
      <c r="P1946" s="53">
        <v>13214.511937686082</v>
      </c>
      <c r="Q1946" s="65">
        <v>13149.910000000002</v>
      </c>
      <c r="R1946" s="65">
        <v>0</v>
      </c>
      <c r="S1946" s="65">
        <v>0</v>
      </c>
      <c r="T1946" s="65">
        <v>64.601937686080419</v>
      </c>
      <c r="U1946" s="58">
        <v>0</v>
      </c>
      <c r="V1946" s="65">
        <v>0</v>
      </c>
      <c r="W1946" s="65">
        <v>0</v>
      </c>
      <c r="X1946" s="65">
        <v>13150</v>
      </c>
      <c r="Y1946" s="65">
        <v>0</v>
      </c>
      <c r="Z1946" s="51">
        <v>0</v>
      </c>
      <c r="AA1946" s="51">
        <v>0</v>
      </c>
      <c r="AB1946" s="102">
        <v>0</v>
      </c>
      <c r="AC1946" s="81">
        <f t="shared" si="93"/>
        <v>317.02303503465663</v>
      </c>
      <c r="AD1946" s="82">
        <f t="shared" si="94"/>
        <v>45.342857142857142</v>
      </c>
      <c r="AE1946" s="218">
        <v>-4.912728504307665E-3</v>
      </c>
      <c r="AF1946">
        <v>7</v>
      </c>
      <c r="AH1946" t="str">
        <f t="shared" si="95"/>
        <v>Laldiyara</v>
      </c>
      <c r="AJ1946" s="72">
        <v>0</v>
      </c>
      <c r="AK1946" s="72"/>
      <c r="AL1946" s="72"/>
      <c r="AM1946" s="72"/>
    </row>
    <row r="1947" spans="1:39" x14ac:dyDescent="0.25">
      <c r="A1947" s="37" t="s">
        <v>62</v>
      </c>
      <c r="B1947" s="66" t="s">
        <v>1629</v>
      </c>
      <c r="C1947" s="41">
        <v>1002</v>
      </c>
      <c r="D1947" s="41" t="s">
        <v>105</v>
      </c>
      <c r="E1947" s="41">
        <v>10020042</v>
      </c>
      <c r="F1947" s="85" t="s">
        <v>128</v>
      </c>
      <c r="G1947" s="39" t="s">
        <v>93</v>
      </c>
      <c r="H1947" s="52" t="s">
        <v>94</v>
      </c>
      <c r="I1947" s="52">
        <v>474.8</v>
      </c>
      <c r="J1947" s="49">
        <v>17618.869999999995</v>
      </c>
      <c r="K1947" s="58">
        <v>474.5</v>
      </c>
      <c r="L1947" s="58">
        <v>17441.741267280002</v>
      </c>
      <c r="M1947" s="58">
        <v>0</v>
      </c>
      <c r="N1947" s="58">
        <v>0</v>
      </c>
      <c r="O1947" s="58">
        <v>474.5</v>
      </c>
      <c r="P1947" s="53">
        <v>17441.741267280002</v>
      </c>
      <c r="Q1947" s="65">
        <v>17441.741267280002</v>
      </c>
      <c r="R1947" s="65">
        <v>0</v>
      </c>
      <c r="S1947" s="65">
        <v>0</v>
      </c>
      <c r="T1947" s="65">
        <v>0</v>
      </c>
      <c r="U1947" s="58">
        <v>0</v>
      </c>
      <c r="V1947" s="65">
        <v>39.104735593220362</v>
      </c>
      <c r="W1947" s="65">
        <v>0</v>
      </c>
      <c r="X1947" s="65">
        <v>17403</v>
      </c>
      <c r="Y1947" s="65">
        <v>0</v>
      </c>
      <c r="Z1947" s="51">
        <v>0</v>
      </c>
      <c r="AA1947" s="51">
        <v>177</v>
      </c>
      <c r="AB1947" s="102">
        <v>0</v>
      </c>
      <c r="AC1947" s="81">
        <f t="shared" si="93"/>
        <v>167.13435231676485</v>
      </c>
      <c r="AD1947" s="82">
        <f t="shared" si="94"/>
        <v>67.828571428571436</v>
      </c>
      <c r="AE1947" s="218">
        <v>1.0053353746295504E-2</v>
      </c>
      <c r="AF1947">
        <v>1</v>
      </c>
      <c r="AH1947" t="str">
        <f t="shared" si="95"/>
        <v>Laldiyara</v>
      </c>
      <c r="AJ1947" s="72">
        <v>0</v>
      </c>
      <c r="AK1947" s="72"/>
      <c r="AL1947" s="72"/>
      <c r="AM1947" s="72"/>
    </row>
    <row r="1948" spans="1:39" x14ac:dyDescent="0.25">
      <c r="A1948" s="37" t="s">
        <v>62</v>
      </c>
      <c r="B1948" s="66" t="s">
        <v>1629</v>
      </c>
      <c r="C1948" s="41">
        <v>1002</v>
      </c>
      <c r="D1948" s="41" t="s">
        <v>105</v>
      </c>
      <c r="E1948" s="41">
        <v>10020043</v>
      </c>
      <c r="F1948" s="85" t="s">
        <v>616</v>
      </c>
      <c r="G1948" s="39" t="s">
        <v>93</v>
      </c>
      <c r="H1948" s="52" t="s">
        <v>94</v>
      </c>
      <c r="I1948" s="52">
        <v>1105.2</v>
      </c>
      <c r="J1948" s="49">
        <v>45297.89</v>
      </c>
      <c r="K1948" s="58">
        <v>1099.1300000000001</v>
      </c>
      <c r="L1948" s="58">
        <v>45371.361294491966</v>
      </c>
      <c r="M1948" s="58">
        <v>8.73</v>
      </c>
      <c r="N1948" s="58">
        <v>358.74887041800002</v>
      </c>
      <c r="O1948" s="58">
        <v>1107.8600000000001</v>
      </c>
      <c r="P1948" s="53">
        <v>45730.110164909966</v>
      </c>
      <c r="Q1948" s="65">
        <v>45297.89</v>
      </c>
      <c r="R1948" s="65">
        <v>0</v>
      </c>
      <c r="S1948" s="65">
        <v>358.74887041800002</v>
      </c>
      <c r="T1948" s="65">
        <v>432.22016490996612</v>
      </c>
      <c r="U1948" s="58">
        <v>0</v>
      </c>
      <c r="V1948" s="65">
        <v>0</v>
      </c>
      <c r="W1948" s="65">
        <v>0</v>
      </c>
      <c r="X1948" s="65">
        <v>44939</v>
      </c>
      <c r="Y1948" s="65">
        <v>0</v>
      </c>
      <c r="Z1948" s="51">
        <v>0</v>
      </c>
      <c r="AA1948" s="51">
        <v>0</v>
      </c>
      <c r="AB1948" s="102">
        <v>0</v>
      </c>
      <c r="AC1948" s="81">
        <f t="shared" si="93"/>
        <v>0</v>
      </c>
      <c r="AD1948" s="82">
        <f t="shared" si="94"/>
        <v>0</v>
      </c>
      <c r="AE1948" s="218">
        <v>-9.5417284317209066E-3</v>
      </c>
      <c r="AF1948">
        <v>7</v>
      </c>
      <c r="AH1948" t="str">
        <f t="shared" si="95"/>
        <v>Laldiyara</v>
      </c>
      <c r="AJ1948" s="72">
        <v>0</v>
      </c>
      <c r="AK1948" s="72"/>
      <c r="AL1948" s="72"/>
      <c r="AM1948" s="72"/>
    </row>
    <row r="1949" spans="1:39" x14ac:dyDescent="0.25">
      <c r="A1949" s="37" t="s">
        <v>62</v>
      </c>
      <c r="B1949" s="66" t="s">
        <v>1629</v>
      </c>
      <c r="C1949" s="41">
        <v>1002</v>
      </c>
      <c r="D1949" s="41" t="s">
        <v>105</v>
      </c>
      <c r="E1949" s="41">
        <v>10020044</v>
      </c>
      <c r="F1949" s="85" t="s">
        <v>129</v>
      </c>
      <c r="G1949" s="39" t="s">
        <v>93</v>
      </c>
      <c r="H1949" s="52" t="s">
        <v>94</v>
      </c>
      <c r="I1949" s="52">
        <v>1144.0999999999999</v>
      </c>
      <c r="J1949" s="49">
        <v>49884.030000000013</v>
      </c>
      <c r="K1949" s="58">
        <v>1139.0900000000001</v>
      </c>
      <c r="L1949" s="58">
        <v>49485.086592257845</v>
      </c>
      <c r="M1949" s="58">
        <v>6.61</v>
      </c>
      <c r="N1949" s="58">
        <v>280.82146672800002</v>
      </c>
      <c r="O1949" s="58">
        <v>1145.7</v>
      </c>
      <c r="P1949" s="53">
        <v>49765.908058985842</v>
      </c>
      <c r="Q1949" s="65">
        <v>49765.908058985842</v>
      </c>
      <c r="R1949" s="65">
        <v>0</v>
      </c>
      <c r="S1949" s="65">
        <v>280.82146672800002</v>
      </c>
      <c r="T1949" s="65">
        <v>0</v>
      </c>
      <c r="U1949" s="58">
        <v>0</v>
      </c>
      <c r="V1949" s="65">
        <v>0</v>
      </c>
      <c r="W1949" s="65">
        <v>0</v>
      </c>
      <c r="X1949" s="65">
        <v>49485</v>
      </c>
      <c r="Y1949" s="65">
        <v>0</v>
      </c>
      <c r="Z1949" s="51">
        <v>0</v>
      </c>
      <c r="AA1949" s="51">
        <v>118</v>
      </c>
      <c r="AB1949" s="102">
        <v>0</v>
      </c>
      <c r="AC1949" s="81">
        <f t="shared" si="93"/>
        <v>0</v>
      </c>
      <c r="AD1949" s="82">
        <f t="shared" si="94"/>
        <v>0</v>
      </c>
      <c r="AE1949" s="218">
        <v>2.3679309994435321E-3</v>
      </c>
      <c r="AF1949">
        <v>20</v>
      </c>
      <c r="AH1949" t="str">
        <f t="shared" si="95"/>
        <v>Laldiyara</v>
      </c>
      <c r="AJ1949" s="72">
        <v>0</v>
      </c>
      <c r="AK1949" s="72"/>
      <c r="AL1949" s="72"/>
      <c r="AM1949" s="72"/>
    </row>
    <row r="1950" spans="1:39" x14ac:dyDescent="0.25">
      <c r="A1950" s="37" t="s">
        <v>62</v>
      </c>
      <c r="B1950" s="66" t="s">
        <v>1629</v>
      </c>
      <c r="C1950" s="41">
        <v>1002</v>
      </c>
      <c r="D1950" s="41" t="s">
        <v>105</v>
      </c>
      <c r="E1950" s="41">
        <v>10020047</v>
      </c>
      <c r="F1950" s="85" t="s">
        <v>437</v>
      </c>
      <c r="G1950" s="39" t="s">
        <v>635</v>
      </c>
      <c r="H1950" s="52" t="s">
        <v>99</v>
      </c>
      <c r="I1950" s="52">
        <v>3757.6</v>
      </c>
      <c r="J1950" s="49">
        <v>151156.83999999997</v>
      </c>
      <c r="K1950" s="58">
        <v>0</v>
      </c>
      <c r="L1950" s="58">
        <v>0</v>
      </c>
      <c r="M1950" s="58">
        <v>0</v>
      </c>
      <c r="N1950" s="58">
        <v>0</v>
      </c>
      <c r="O1950" s="58">
        <v>0</v>
      </c>
      <c r="P1950" s="53">
        <v>0</v>
      </c>
      <c r="Q1950" s="65">
        <v>151156.83999999997</v>
      </c>
      <c r="R1950" s="65">
        <v>0</v>
      </c>
      <c r="S1950" s="65">
        <v>0</v>
      </c>
      <c r="T1950" s="65">
        <v>0</v>
      </c>
      <c r="U1950" s="58">
        <v>0</v>
      </c>
      <c r="V1950" s="65">
        <v>0</v>
      </c>
      <c r="W1950" s="65">
        <v>0</v>
      </c>
      <c r="X1950" s="65">
        <v>0</v>
      </c>
      <c r="Y1950" s="65">
        <v>0</v>
      </c>
      <c r="Z1950" s="51">
        <v>151156.83999999997</v>
      </c>
      <c r="AA1950" s="51">
        <v>0</v>
      </c>
      <c r="AB1950" s="102">
        <v>0</v>
      </c>
      <c r="AC1950" s="81">
        <f t="shared" si="93"/>
        <v>0</v>
      </c>
      <c r="AD1950" s="82">
        <f t="shared" si="94"/>
        <v>0</v>
      </c>
      <c r="AE1950" s="218">
        <v>0</v>
      </c>
      <c r="AF1950">
        <v>0</v>
      </c>
      <c r="AH1950" t="str">
        <f t="shared" si="95"/>
        <v>Laldiyara</v>
      </c>
      <c r="AJ1950" s="72">
        <v>0</v>
      </c>
      <c r="AK1950" s="72"/>
      <c r="AL1950" s="72"/>
      <c r="AM1950" s="72"/>
    </row>
    <row r="1951" spans="1:39" x14ac:dyDescent="0.25">
      <c r="A1951" s="37" t="s">
        <v>62</v>
      </c>
      <c r="B1951" s="66" t="s">
        <v>1629</v>
      </c>
      <c r="C1951" s="41">
        <v>1002</v>
      </c>
      <c r="D1951" s="41" t="s">
        <v>105</v>
      </c>
      <c r="E1951" s="41">
        <v>10020050</v>
      </c>
      <c r="F1951" s="85" t="s">
        <v>130</v>
      </c>
      <c r="G1951" s="39" t="s">
        <v>93</v>
      </c>
      <c r="H1951" s="52" t="s">
        <v>94</v>
      </c>
      <c r="I1951" s="52">
        <v>1034.8999999999999</v>
      </c>
      <c r="J1951" s="49">
        <v>42238.920000000006</v>
      </c>
      <c r="K1951" s="58">
        <v>1022.99</v>
      </c>
      <c r="L1951" s="58">
        <v>41740.763901206745</v>
      </c>
      <c r="M1951" s="58">
        <v>4.43</v>
      </c>
      <c r="N1951" s="58">
        <v>169.71455556000004</v>
      </c>
      <c r="O1951" s="58">
        <v>1027.42</v>
      </c>
      <c r="P1951" s="53">
        <v>41910.478456766745</v>
      </c>
      <c r="Q1951" s="65">
        <v>41910.478456766745</v>
      </c>
      <c r="R1951" s="65">
        <v>0</v>
      </c>
      <c r="S1951" s="65">
        <v>169.71455556000004</v>
      </c>
      <c r="T1951" s="65">
        <v>0</v>
      </c>
      <c r="U1951" s="58">
        <v>0</v>
      </c>
      <c r="V1951" s="65">
        <v>0</v>
      </c>
      <c r="W1951" s="65">
        <v>0</v>
      </c>
      <c r="X1951" s="65">
        <v>41740</v>
      </c>
      <c r="Y1951" s="65">
        <v>0</v>
      </c>
      <c r="Z1951" s="51">
        <v>0</v>
      </c>
      <c r="AA1951" s="51">
        <v>329</v>
      </c>
      <c r="AB1951" s="102">
        <v>0</v>
      </c>
      <c r="AC1951" s="81">
        <f t="shared" si="93"/>
        <v>0</v>
      </c>
      <c r="AD1951" s="82">
        <f t="shared" si="94"/>
        <v>0</v>
      </c>
      <c r="AE1951" s="218">
        <v>7.7758035298549468E-3</v>
      </c>
      <c r="AF1951">
        <v>11</v>
      </c>
      <c r="AH1951" t="str">
        <f t="shared" si="95"/>
        <v>Laldiyara</v>
      </c>
      <c r="AJ1951" s="72">
        <v>0</v>
      </c>
      <c r="AK1951" s="72"/>
      <c r="AL1951" s="72"/>
      <c r="AM1951" s="72"/>
    </row>
    <row r="1952" spans="1:39" x14ac:dyDescent="0.25">
      <c r="A1952" s="37" t="s">
        <v>62</v>
      </c>
      <c r="B1952" s="66" t="s">
        <v>1629</v>
      </c>
      <c r="C1952" s="41">
        <v>1002</v>
      </c>
      <c r="D1952" s="41" t="s">
        <v>105</v>
      </c>
      <c r="E1952" s="41">
        <v>10020052</v>
      </c>
      <c r="F1952" s="85" t="s">
        <v>1585</v>
      </c>
      <c r="G1952" s="39" t="s">
        <v>635</v>
      </c>
      <c r="H1952" s="52" t="s">
        <v>99</v>
      </c>
      <c r="I1952" s="52">
        <v>281.60000000000002</v>
      </c>
      <c r="J1952" s="49">
        <v>16226.380000000001</v>
      </c>
      <c r="K1952" s="58">
        <v>0</v>
      </c>
      <c r="L1952" s="58">
        <v>0</v>
      </c>
      <c r="M1952" s="58">
        <v>0</v>
      </c>
      <c r="N1952" s="58">
        <v>0</v>
      </c>
      <c r="O1952" s="58">
        <v>0</v>
      </c>
      <c r="P1952" s="53">
        <v>0</v>
      </c>
      <c r="Q1952" s="65">
        <v>16226.380000000001</v>
      </c>
      <c r="R1952" s="65">
        <v>0</v>
      </c>
      <c r="S1952" s="65">
        <v>0</v>
      </c>
      <c r="T1952" s="65">
        <v>0</v>
      </c>
      <c r="U1952" s="58">
        <v>0</v>
      </c>
      <c r="V1952" s="65">
        <v>0</v>
      </c>
      <c r="W1952" s="65">
        <v>0</v>
      </c>
      <c r="X1952" s="65">
        <v>0</v>
      </c>
      <c r="Y1952" s="65">
        <v>0</v>
      </c>
      <c r="Z1952" s="51">
        <v>16226.380000000001</v>
      </c>
      <c r="AA1952" s="51">
        <v>0</v>
      </c>
      <c r="AB1952" s="102">
        <v>0</v>
      </c>
      <c r="AC1952" s="81">
        <f t="shared" si="93"/>
        <v>482.18163295454542</v>
      </c>
      <c r="AD1952" s="82">
        <f t="shared" si="94"/>
        <v>40.228571428571435</v>
      </c>
      <c r="AE1952" s="218">
        <v>0</v>
      </c>
      <c r="AF1952">
        <v>0</v>
      </c>
      <c r="AH1952" t="str">
        <f t="shared" si="95"/>
        <v>Laldiyara</v>
      </c>
      <c r="AJ1952" s="72">
        <v>0</v>
      </c>
      <c r="AK1952" s="72"/>
      <c r="AL1952" s="72"/>
      <c r="AM1952" s="72"/>
    </row>
    <row r="1953" spans="1:39" x14ac:dyDescent="0.25">
      <c r="A1953" s="37" t="s">
        <v>62</v>
      </c>
      <c r="B1953" s="66" t="s">
        <v>1629</v>
      </c>
      <c r="C1953" s="41">
        <v>1002</v>
      </c>
      <c r="D1953" s="41" t="s">
        <v>105</v>
      </c>
      <c r="E1953" s="41">
        <v>10020054</v>
      </c>
      <c r="F1953" s="85" t="s">
        <v>131</v>
      </c>
      <c r="G1953" s="39" t="s">
        <v>635</v>
      </c>
      <c r="H1953" s="52" t="s">
        <v>99</v>
      </c>
      <c r="I1953" s="52">
        <v>1451</v>
      </c>
      <c r="J1953" s="49">
        <v>57882.509999999995</v>
      </c>
      <c r="K1953" s="58">
        <v>0</v>
      </c>
      <c r="L1953" s="58">
        <v>0</v>
      </c>
      <c r="M1953" s="58">
        <v>0</v>
      </c>
      <c r="N1953" s="58">
        <v>0</v>
      </c>
      <c r="O1953" s="58">
        <v>0</v>
      </c>
      <c r="P1953" s="53">
        <v>0</v>
      </c>
      <c r="Q1953" s="65">
        <v>57882.509999999995</v>
      </c>
      <c r="R1953" s="65">
        <v>0</v>
      </c>
      <c r="S1953" s="65">
        <v>0</v>
      </c>
      <c r="T1953" s="65">
        <v>0</v>
      </c>
      <c r="U1953" s="58">
        <v>0</v>
      </c>
      <c r="V1953" s="65">
        <v>0</v>
      </c>
      <c r="W1953" s="65">
        <v>0</v>
      </c>
      <c r="X1953" s="65">
        <v>0</v>
      </c>
      <c r="Y1953" s="65">
        <v>0</v>
      </c>
      <c r="Z1953" s="51">
        <v>57882.509999999995</v>
      </c>
      <c r="AA1953" s="51">
        <v>0</v>
      </c>
      <c r="AB1953" s="102">
        <v>0</v>
      </c>
      <c r="AC1953" s="81">
        <f t="shared" si="93"/>
        <v>0</v>
      </c>
      <c r="AD1953" s="82">
        <f t="shared" si="94"/>
        <v>0</v>
      </c>
      <c r="AE1953" s="218">
        <v>0</v>
      </c>
      <c r="AF1953">
        <v>0</v>
      </c>
      <c r="AH1953" t="str">
        <f t="shared" si="95"/>
        <v>Laldiyara</v>
      </c>
      <c r="AJ1953" s="72">
        <v>0</v>
      </c>
      <c r="AK1953" s="72"/>
      <c r="AL1953" s="72"/>
      <c r="AM1953" s="72"/>
    </row>
    <row r="1954" spans="1:39" x14ac:dyDescent="0.25">
      <c r="A1954" s="37" t="s">
        <v>62</v>
      </c>
      <c r="B1954" s="66" t="s">
        <v>1629</v>
      </c>
      <c r="C1954" s="41">
        <v>1002</v>
      </c>
      <c r="D1954" s="41" t="s">
        <v>105</v>
      </c>
      <c r="E1954" s="41">
        <v>10020057</v>
      </c>
      <c r="F1954" s="85" t="s">
        <v>132</v>
      </c>
      <c r="G1954" s="39" t="s">
        <v>93</v>
      </c>
      <c r="H1954" s="52" t="s">
        <v>94</v>
      </c>
      <c r="I1954" s="52">
        <v>2797.8</v>
      </c>
      <c r="J1954" s="49">
        <v>120947.41</v>
      </c>
      <c r="K1954" s="58">
        <v>2412.81</v>
      </c>
      <c r="L1954" s="58">
        <v>107232.76328955627</v>
      </c>
      <c r="M1954" s="58">
        <v>396.88999999999993</v>
      </c>
      <c r="N1954" s="58">
        <v>16112.077779391451</v>
      </c>
      <c r="O1954" s="58">
        <v>2809.7</v>
      </c>
      <c r="P1954" s="53">
        <v>123344.84106894772</v>
      </c>
      <c r="Q1954" s="65">
        <v>120947.41</v>
      </c>
      <c r="R1954" s="65">
        <v>0</v>
      </c>
      <c r="S1954" s="65">
        <v>1633.8558960794501</v>
      </c>
      <c r="T1954" s="65">
        <v>2397.4310689477134</v>
      </c>
      <c r="U1954" s="58">
        <v>0</v>
      </c>
      <c r="V1954" s="65">
        <v>0</v>
      </c>
      <c r="W1954" s="65">
        <v>0</v>
      </c>
      <c r="X1954" s="65">
        <v>104836</v>
      </c>
      <c r="Y1954" s="65">
        <v>14478</v>
      </c>
      <c r="Z1954" s="51">
        <v>0</v>
      </c>
      <c r="AA1954" s="51">
        <v>0</v>
      </c>
      <c r="AB1954" s="102">
        <v>0</v>
      </c>
      <c r="AC1954" s="81">
        <f t="shared" si="93"/>
        <v>0</v>
      </c>
      <c r="AD1954" s="82">
        <f t="shared" si="94"/>
        <v>0</v>
      </c>
      <c r="AE1954" s="218">
        <v>-1.9822095148194684E-2</v>
      </c>
      <c r="AF1954">
        <v>15</v>
      </c>
      <c r="AH1954" t="str">
        <f t="shared" si="95"/>
        <v>Laldiyara</v>
      </c>
      <c r="AJ1954" s="72">
        <v>0</v>
      </c>
      <c r="AK1954" s="72"/>
      <c r="AL1954" s="72"/>
      <c r="AM1954" s="72"/>
    </row>
    <row r="1955" spans="1:39" x14ac:dyDescent="0.25">
      <c r="A1955" s="37" t="s">
        <v>62</v>
      </c>
      <c r="B1955" s="66" t="s">
        <v>1629</v>
      </c>
      <c r="C1955" s="41">
        <v>1002</v>
      </c>
      <c r="D1955" s="41" t="s">
        <v>105</v>
      </c>
      <c r="E1955" s="41">
        <v>10020058</v>
      </c>
      <c r="F1955" s="85" t="s">
        <v>133</v>
      </c>
      <c r="G1955" s="39" t="s">
        <v>93</v>
      </c>
      <c r="H1955" s="52" t="s">
        <v>94</v>
      </c>
      <c r="I1955" s="52">
        <v>934.9</v>
      </c>
      <c r="J1955" s="49">
        <v>36824.299999999996</v>
      </c>
      <c r="K1955" s="58">
        <v>291.58999999999997</v>
      </c>
      <c r="L1955" s="58">
        <v>12359.002803369591</v>
      </c>
      <c r="M1955" s="58">
        <v>647.82000000000005</v>
      </c>
      <c r="N1955" s="58">
        <v>24684.95990261664</v>
      </c>
      <c r="O1955" s="58">
        <v>939.41000000000008</v>
      </c>
      <c r="P1955" s="53">
        <v>37043.962705986232</v>
      </c>
      <c r="Q1955" s="65">
        <v>36824.299999999996</v>
      </c>
      <c r="R1955" s="65">
        <v>0</v>
      </c>
      <c r="S1955" s="65">
        <v>222.99133469975999</v>
      </c>
      <c r="T1955" s="65">
        <v>219.66270598623669</v>
      </c>
      <c r="U1955" s="58">
        <v>0</v>
      </c>
      <c r="V1955" s="65">
        <v>0</v>
      </c>
      <c r="W1955" s="65">
        <v>0</v>
      </c>
      <c r="X1955" s="65">
        <v>12140</v>
      </c>
      <c r="Y1955" s="65">
        <v>24461</v>
      </c>
      <c r="Z1955" s="51">
        <v>0</v>
      </c>
      <c r="AA1955" s="51">
        <v>0</v>
      </c>
      <c r="AB1955" s="102">
        <v>0</v>
      </c>
      <c r="AC1955" s="81">
        <f t="shared" si="93"/>
        <v>0</v>
      </c>
      <c r="AD1955" s="82">
        <f t="shared" si="94"/>
        <v>0</v>
      </c>
      <c r="AE1955" s="218">
        <v>-5.9651563230322564E-3</v>
      </c>
      <c r="AF1955">
        <v>9</v>
      </c>
      <c r="AH1955" t="str">
        <f t="shared" si="95"/>
        <v>Laldiyara</v>
      </c>
      <c r="AJ1955" s="72">
        <v>0</v>
      </c>
      <c r="AK1955" s="72"/>
      <c r="AL1955" s="72"/>
      <c r="AM1955" s="72"/>
    </row>
    <row r="1956" spans="1:39" x14ac:dyDescent="0.25">
      <c r="A1956" s="37" t="s">
        <v>62</v>
      </c>
      <c r="B1956" s="66" t="s">
        <v>1629</v>
      </c>
      <c r="C1956" s="41">
        <v>1002</v>
      </c>
      <c r="D1956" s="41" t="s">
        <v>105</v>
      </c>
      <c r="E1956" s="41">
        <v>10020059</v>
      </c>
      <c r="F1956" s="85" t="s">
        <v>134</v>
      </c>
      <c r="G1956" s="39" t="s">
        <v>93</v>
      </c>
      <c r="H1956" s="52" t="s">
        <v>94</v>
      </c>
      <c r="I1956" s="52">
        <v>1391</v>
      </c>
      <c r="J1956" s="49">
        <v>55393.540000000008</v>
      </c>
      <c r="K1956" s="58">
        <v>1373.3</v>
      </c>
      <c r="L1956" s="58">
        <v>54997.252935943747</v>
      </c>
      <c r="M1956" s="58">
        <v>16.04</v>
      </c>
      <c r="N1956" s="58">
        <v>616.25676023999995</v>
      </c>
      <c r="O1956" s="58">
        <v>1389.34</v>
      </c>
      <c r="P1956" s="53">
        <v>55613.509696183748</v>
      </c>
      <c r="Q1956" s="65">
        <v>55393.540000000008</v>
      </c>
      <c r="R1956" s="65">
        <v>0</v>
      </c>
      <c r="S1956" s="65">
        <v>616.25676023999995</v>
      </c>
      <c r="T1956" s="65">
        <v>219.96969618373987</v>
      </c>
      <c r="U1956" s="58">
        <v>0</v>
      </c>
      <c r="V1956" s="65">
        <v>0</v>
      </c>
      <c r="W1956" s="65">
        <v>0</v>
      </c>
      <c r="X1956" s="65">
        <v>54777</v>
      </c>
      <c r="Y1956" s="65">
        <v>0</v>
      </c>
      <c r="Z1956" s="51">
        <v>0</v>
      </c>
      <c r="AA1956" s="51">
        <v>0</v>
      </c>
      <c r="AB1956" s="102">
        <v>0</v>
      </c>
      <c r="AC1956" s="81">
        <f t="shared" si="93"/>
        <v>0</v>
      </c>
      <c r="AD1956" s="82">
        <f t="shared" si="94"/>
        <v>0</v>
      </c>
      <c r="AE1956" s="218">
        <v>-3.9710351817872592E-3</v>
      </c>
      <c r="AF1956">
        <v>8</v>
      </c>
      <c r="AH1956" t="str">
        <f t="shared" si="95"/>
        <v>Laldiyara</v>
      </c>
      <c r="AJ1956" s="72">
        <v>0</v>
      </c>
      <c r="AK1956" s="72"/>
      <c r="AL1956" s="72"/>
      <c r="AM1956" s="72"/>
    </row>
    <row r="1957" spans="1:39" x14ac:dyDescent="0.25">
      <c r="A1957" s="37" t="s">
        <v>62</v>
      </c>
      <c r="B1957" s="66" t="s">
        <v>1629</v>
      </c>
      <c r="C1957" s="41">
        <v>1002</v>
      </c>
      <c r="D1957" s="41" t="s">
        <v>105</v>
      </c>
      <c r="E1957" s="41">
        <v>10020062</v>
      </c>
      <c r="F1957" s="85" t="s">
        <v>135</v>
      </c>
      <c r="G1957" s="39" t="s">
        <v>93</v>
      </c>
      <c r="H1957" s="52" t="s">
        <v>94</v>
      </c>
      <c r="I1957" s="52">
        <v>359.7</v>
      </c>
      <c r="J1957" s="49">
        <v>13943.630000000001</v>
      </c>
      <c r="K1957" s="58">
        <v>358.82</v>
      </c>
      <c r="L1957" s="58">
        <v>14520.138505452367</v>
      </c>
      <c r="M1957" s="58">
        <v>5.09</v>
      </c>
      <c r="N1957" s="58">
        <v>193.17487376880001</v>
      </c>
      <c r="O1957" s="58">
        <v>363.90999999999997</v>
      </c>
      <c r="P1957" s="53">
        <v>14713.313379221167</v>
      </c>
      <c r="Q1957" s="65">
        <v>13943.630000000001</v>
      </c>
      <c r="R1957" s="65">
        <v>0</v>
      </c>
      <c r="S1957" s="65">
        <v>193.17487376880001</v>
      </c>
      <c r="T1957" s="65">
        <v>769.68337922116552</v>
      </c>
      <c r="U1957" s="58">
        <v>0</v>
      </c>
      <c r="V1957" s="65">
        <v>0</v>
      </c>
      <c r="W1957" s="65">
        <v>0</v>
      </c>
      <c r="X1957" s="65">
        <v>13750</v>
      </c>
      <c r="Y1957" s="65">
        <v>0</v>
      </c>
      <c r="Z1957" s="51">
        <v>0</v>
      </c>
      <c r="AA1957" s="51">
        <v>0</v>
      </c>
      <c r="AB1957" s="102" t="s">
        <v>68</v>
      </c>
      <c r="AC1957" s="81">
        <f t="shared" si="93"/>
        <v>263.83193155407287</v>
      </c>
      <c r="AD1957" s="82">
        <f t="shared" si="94"/>
        <v>51.385714285714286</v>
      </c>
      <c r="AE1957" s="218">
        <v>-5.5199641644332609E-2</v>
      </c>
      <c r="AF1957">
        <v>17</v>
      </c>
      <c r="AH1957" t="str">
        <f t="shared" si="95"/>
        <v>Laldiyara</v>
      </c>
      <c r="AJ1957" s="72">
        <v>0</v>
      </c>
      <c r="AK1957" s="72"/>
      <c r="AL1957" s="72"/>
      <c r="AM1957" s="72"/>
    </row>
    <row r="1958" spans="1:39" x14ac:dyDescent="0.25">
      <c r="A1958" s="37" t="s">
        <v>62</v>
      </c>
      <c r="B1958" s="66" t="s">
        <v>1629</v>
      </c>
      <c r="C1958" s="41">
        <v>1002</v>
      </c>
      <c r="D1958" s="41" t="s">
        <v>105</v>
      </c>
      <c r="E1958" s="41">
        <v>10020063</v>
      </c>
      <c r="F1958" s="85" t="s">
        <v>136</v>
      </c>
      <c r="G1958" s="39" t="s">
        <v>93</v>
      </c>
      <c r="H1958" s="52" t="s">
        <v>94</v>
      </c>
      <c r="I1958" s="52">
        <v>1240.6999999999998</v>
      </c>
      <c r="J1958" s="49">
        <v>50524.409999999996</v>
      </c>
      <c r="K1958" s="58">
        <v>638.40000000000009</v>
      </c>
      <c r="L1958" s="58">
        <v>28565.10808537859</v>
      </c>
      <c r="M1958" s="58">
        <v>602.79</v>
      </c>
      <c r="N1958" s="58">
        <v>23820.099878519999</v>
      </c>
      <c r="O1958" s="58">
        <v>1241.19</v>
      </c>
      <c r="P1958" s="53">
        <v>52385.207963898589</v>
      </c>
      <c r="Q1958" s="65">
        <v>50524.409999999996</v>
      </c>
      <c r="R1958" s="65">
        <v>0</v>
      </c>
      <c r="S1958" s="65">
        <v>263.50472332800007</v>
      </c>
      <c r="T1958" s="65">
        <v>1860.7979638985926</v>
      </c>
      <c r="U1958" s="58">
        <v>0</v>
      </c>
      <c r="V1958" s="65">
        <v>0</v>
      </c>
      <c r="W1958" s="65">
        <v>0</v>
      </c>
      <c r="X1958" s="65">
        <v>26705</v>
      </c>
      <c r="Y1958" s="65">
        <v>23556</v>
      </c>
      <c r="Z1958" s="51">
        <v>0</v>
      </c>
      <c r="AA1958" s="51">
        <v>0</v>
      </c>
      <c r="AB1958" s="102">
        <v>0</v>
      </c>
      <c r="AC1958" s="81">
        <f t="shared" si="93"/>
        <v>0</v>
      </c>
      <c r="AD1958" s="82">
        <f t="shared" si="94"/>
        <v>0</v>
      </c>
      <c r="AE1958" s="218">
        <v>-3.6829682205068652E-2</v>
      </c>
      <c r="AF1958">
        <v>10</v>
      </c>
      <c r="AH1958" t="str">
        <f t="shared" si="95"/>
        <v>Laldiyara</v>
      </c>
      <c r="AJ1958" s="72">
        <v>0</v>
      </c>
      <c r="AK1958" s="72"/>
      <c r="AL1958" s="72"/>
      <c r="AM1958" s="72"/>
    </row>
    <row r="1959" spans="1:39" x14ac:dyDescent="0.25">
      <c r="A1959" s="37" t="s">
        <v>62</v>
      </c>
      <c r="B1959" s="66" t="s">
        <v>1629</v>
      </c>
      <c r="C1959" s="41">
        <v>1002</v>
      </c>
      <c r="D1959" s="41" t="s">
        <v>105</v>
      </c>
      <c r="E1959" s="41">
        <v>10020064</v>
      </c>
      <c r="F1959" s="85" t="s">
        <v>137</v>
      </c>
      <c r="G1959" s="39" t="s">
        <v>635</v>
      </c>
      <c r="H1959" s="52" t="s">
        <v>99</v>
      </c>
      <c r="I1959" s="52">
        <v>1012.9000000000002</v>
      </c>
      <c r="J1959" s="49">
        <v>39928.6</v>
      </c>
      <c r="K1959" s="58">
        <v>0</v>
      </c>
      <c r="L1959" s="58">
        <v>0</v>
      </c>
      <c r="M1959" s="58">
        <v>0</v>
      </c>
      <c r="N1959" s="58">
        <v>0</v>
      </c>
      <c r="O1959" s="58">
        <v>0</v>
      </c>
      <c r="P1959" s="53">
        <v>0</v>
      </c>
      <c r="Q1959" s="65">
        <v>39928.6</v>
      </c>
      <c r="R1959" s="65">
        <v>0</v>
      </c>
      <c r="S1959" s="65">
        <v>0</v>
      </c>
      <c r="T1959" s="65">
        <v>0</v>
      </c>
      <c r="U1959" s="58">
        <v>0</v>
      </c>
      <c r="V1959" s="65">
        <v>163.77797419354846</v>
      </c>
      <c r="W1959" s="65">
        <v>0</v>
      </c>
      <c r="X1959" s="65">
        <v>0</v>
      </c>
      <c r="Y1959" s="65">
        <v>0</v>
      </c>
      <c r="Z1959" s="51">
        <v>39764.822025806447</v>
      </c>
      <c r="AA1959" s="51">
        <v>0</v>
      </c>
      <c r="AB1959" s="102">
        <v>0</v>
      </c>
      <c r="AC1959" s="81">
        <f t="shared" si="93"/>
        <v>0</v>
      </c>
      <c r="AD1959" s="82">
        <f t="shared" si="94"/>
        <v>0</v>
      </c>
      <c r="AE1959" s="218">
        <v>0</v>
      </c>
      <c r="AF1959">
        <v>0</v>
      </c>
      <c r="AH1959" t="str">
        <f t="shared" si="95"/>
        <v>Laldiyara</v>
      </c>
      <c r="AJ1959" s="72">
        <v>0</v>
      </c>
      <c r="AK1959" s="72"/>
      <c r="AL1959" s="72"/>
      <c r="AM1959" s="72"/>
    </row>
    <row r="1960" spans="1:39" x14ac:dyDescent="0.25">
      <c r="A1960" s="37" t="s">
        <v>62</v>
      </c>
      <c r="B1960" s="66" t="s">
        <v>1629</v>
      </c>
      <c r="C1960" s="41">
        <v>1002</v>
      </c>
      <c r="D1960" s="41" t="s">
        <v>105</v>
      </c>
      <c r="E1960" s="41">
        <v>10020067</v>
      </c>
      <c r="F1960" s="85" t="s">
        <v>138</v>
      </c>
      <c r="G1960" s="39" t="s">
        <v>635</v>
      </c>
      <c r="H1960" s="52" t="s">
        <v>99</v>
      </c>
      <c r="I1960" s="52">
        <v>1184.3</v>
      </c>
      <c r="J1960" s="49">
        <v>45918.780000000006</v>
      </c>
      <c r="K1960" s="58">
        <v>0</v>
      </c>
      <c r="L1960" s="58">
        <v>0</v>
      </c>
      <c r="M1960" s="58">
        <v>0</v>
      </c>
      <c r="N1960" s="58">
        <v>0</v>
      </c>
      <c r="O1960" s="58">
        <v>0</v>
      </c>
      <c r="P1960" s="53">
        <v>0</v>
      </c>
      <c r="Q1960" s="65">
        <v>45918.780000000006</v>
      </c>
      <c r="R1960" s="65">
        <v>0</v>
      </c>
      <c r="S1960" s="65">
        <v>0</v>
      </c>
      <c r="T1960" s="65">
        <v>0</v>
      </c>
      <c r="U1960" s="58">
        <v>0</v>
      </c>
      <c r="V1960" s="65">
        <v>0</v>
      </c>
      <c r="W1960" s="65">
        <v>0</v>
      </c>
      <c r="X1960" s="65">
        <v>0</v>
      </c>
      <c r="Y1960" s="65">
        <v>0</v>
      </c>
      <c r="Z1960" s="51">
        <v>45918.780000000006</v>
      </c>
      <c r="AA1960" s="51">
        <v>0</v>
      </c>
      <c r="AB1960" s="102">
        <v>0</v>
      </c>
      <c r="AC1960" s="81">
        <f t="shared" si="93"/>
        <v>0</v>
      </c>
      <c r="AD1960" s="82">
        <f t="shared" si="94"/>
        <v>0</v>
      </c>
      <c r="AE1960" s="218">
        <v>0</v>
      </c>
      <c r="AF1960">
        <v>0</v>
      </c>
      <c r="AH1960" t="str">
        <f t="shared" si="95"/>
        <v>Laldiyara</v>
      </c>
      <c r="AJ1960" s="72">
        <v>0</v>
      </c>
      <c r="AK1960" s="72"/>
      <c r="AL1960" s="72"/>
      <c r="AM1960" s="72"/>
    </row>
    <row r="1961" spans="1:39" x14ac:dyDescent="0.25">
      <c r="A1961" s="37" t="s">
        <v>62</v>
      </c>
      <c r="B1961" s="66" t="s">
        <v>1629</v>
      </c>
      <c r="C1961" s="41">
        <v>1002</v>
      </c>
      <c r="D1961" s="41" t="s">
        <v>105</v>
      </c>
      <c r="E1961" s="41">
        <v>10020068</v>
      </c>
      <c r="F1961" s="85" t="s">
        <v>108</v>
      </c>
      <c r="G1961" s="39" t="s">
        <v>93</v>
      </c>
      <c r="H1961" s="52" t="s">
        <v>94</v>
      </c>
      <c r="I1961" s="52">
        <v>879.90000000000009</v>
      </c>
      <c r="J1961" s="49">
        <v>35511.94</v>
      </c>
      <c r="K1961" s="58">
        <v>915.11</v>
      </c>
      <c r="L1961" s="58">
        <v>39030.188232446882</v>
      </c>
      <c r="M1961" s="58">
        <v>0</v>
      </c>
      <c r="N1961" s="58">
        <v>0</v>
      </c>
      <c r="O1961" s="58">
        <v>915.11</v>
      </c>
      <c r="P1961" s="53">
        <v>39030.188232446882</v>
      </c>
      <c r="Q1961" s="65">
        <v>35511.94</v>
      </c>
      <c r="R1961" s="65">
        <v>0</v>
      </c>
      <c r="S1961" s="65">
        <v>0</v>
      </c>
      <c r="T1961" s="65">
        <v>3518.2482324468801</v>
      </c>
      <c r="U1961" s="58">
        <v>0</v>
      </c>
      <c r="V1961" s="65">
        <v>0</v>
      </c>
      <c r="W1961" s="65">
        <v>0</v>
      </c>
      <c r="X1961" s="65">
        <v>35512</v>
      </c>
      <c r="Y1961" s="65">
        <v>0</v>
      </c>
      <c r="Z1961" s="51">
        <v>0</v>
      </c>
      <c r="AA1961" s="51">
        <v>0</v>
      </c>
      <c r="AB1961" s="102">
        <v>0</v>
      </c>
      <c r="AC1961" s="81">
        <f t="shared" si="93"/>
        <v>0</v>
      </c>
      <c r="AD1961" s="82">
        <f t="shared" si="94"/>
        <v>0</v>
      </c>
      <c r="AE1961" s="218">
        <v>-9.9072262243259018E-2</v>
      </c>
      <c r="AF1961">
        <v>21</v>
      </c>
      <c r="AH1961" t="str">
        <f t="shared" si="95"/>
        <v>Laldiyara</v>
      </c>
      <c r="AJ1961" s="72">
        <v>0</v>
      </c>
      <c r="AK1961" s="72"/>
      <c r="AL1961" s="72"/>
      <c r="AM1961" s="72"/>
    </row>
    <row r="1962" spans="1:39" x14ac:dyDescent="0.25">
      <c r="A1962" s="37" t="s">
        <v>62</v>
      </c>
      <c r="B1962" s="66" t="s">
        <v>1629</v>
      </c>
      <c r="C1962" s="41">
        <v>1002</v>
      </c>
      <c r="D1962" s="41" t="s">
        <v>105</v>
      </c>
      <c r="E1962" s="41">
        <v>10020069</v>
      </c>
      <c r="F1962" s="85" t="s">
        <v>459</v>
      </c>
      <c r="G1962" s="39" t="s">
        <v>93</v>
      </c>
      <c r="H1962" s="52" t="s">
        <v>94</v>
      </c>
      <c r="I1962" s="52">
        <v>213.20000000000002</v>
      </c>
      <c r="J1962" s="49">
        <v>8477.2000000000007</v>
      </c>
      <c r="K1962" s="58">
        <v>205.42000000000002</v>
      </c>
      <c r="L1962" s="58">
        <v>8485.225579454911</v>
      </c>
      <c r="M1962" s="58">
        <v>0.04</v>
      </c>
      <c r="N1962" s="58">
        <v>1.6896432960000001</v>
      </c>
      <c r="O1962" s="58">
        <v>205.46</v>
      </c>
      <c r="P1962" s="53">
        <v>8486.9152227509112</v>
      </c>
      <c r="Q1962" s="65">
        <v>8477.2000000000007</v>
      </c>
      <c r="R1962" s="65">
        <v>0</v>
      </c>
      <c r="S1962" s="65">
        <v>1.6896432960000001</v>
      </c>
      <c r="T1962" s="65">
        <v>9.7152227509104705</v>
      </c>
      <c r="U1962" s="58">
        <v>8476</v>
      </c>
      <c r="V1962" s="65">
        <v>0</v>
      </c>
      <c r="W1962" s="65">
        <v>0</v>
      </c>
      <c r="X1962" s="65">
        <v>0</v>
      </c>
      <c r="Y1962" s="65">
        <v>0</v>
      </c>
      <c r="Z1962" s="51">
        <v>0</v>
      </c>
      <c r="AA1962" s="51">
        <v>0</v>
      </c>
      <c r="AB1962" s="102" t="s">
        <v>68</v>
      </c>
      <c r="AC1962" s="81">
        <f t="shared" si="93"/>
        <v>387.12016510318949</v>
      </c>
      <c r="AD1962" s="82">
        <f t="shared" si="94"/>
        <v>30.457142857142859</v>
      </c>
      <c r="AE1962" s="218">
        <v>-1.1460414701682713E-3</v>
      </c>
      <c r="AF1962">
        <v>2</v>
      </c>
      <c r="AH1962" t="str">
        <f t="shared" si="95"/>
        <v>Laldiyara</v>
      </c>
      <c r="AJ1962" s="72">
        <v>0</v>
      </c>
      <c r="AK1962" s="72"/>
      <c r="AL1962" s="72"/>
      <c r="AM1962" s="72"/>
    </row>
    <row r="1963" spans="1:39" x14ac:dyDescent="0.25">
      <c r="A1963" s="37" t="s">
        <v>62</v>
      </c>
      <c r="B1963" s="66" t="s">
        <v>1629</v>
      </c>
      <c r="C1963" s="41">
        <v>1002</v>
      </c>
      <c r="D1963" s="41" t="s">
        <v>105</v>
      </c>
      <c r="E1963" s="41">
        <v>10020070</v>
      </c>
      <c r="F1963" s="85" t="s">
        <v>478</v>
      </c>
      <c r="G1963" s="39" t="s">
        <v>93</v>
      </c>
      <c r="H1963" s="52" t="s">
        <v>94</v>
      </c>
      <c r="I1963" s="52">
        <v>939.3</v>
      </c>
      <c r="J1963" s="49">
        <v>38264.01</v>
      </c>
      <c r="K1963" s="58">
        <v>906.9</v>
      </c>
      <c r="L1963" s="58">
        <v>40565.896963233798</v>
      </c>
      <c r="M1963" s="58">
        <v>0</v>
      </c>
      <c r="N1963" s="58">
        <v>0</v>
      </c>
      <c r="O1963" s="58">
        <v>906.9</v>
      </c>
      <c r="P1963" s="53">
        <v>40565.896963233798</v>
      </c>
      <c r="Q1963" s="65">
        <v>38264.01</v>
      </c>
      <c r="R1963" s="65">
        <v>0</v>
      </c>
      <c r="S1963" s="65">
        <v>0</v>
      </c>
      <c r="T1963" s="65">
        <v>2301.8869632337955</v>
      </c>
      <c r="U1963" s="58">
        <v>0</v>
      </c>
      <c r="V1963" s="65">
        <v>0</v>
      </c>
      <c r="W1963" s="65">
        <v>0</v>
      </c>
      <c r="X1963" s="65">
        <v>38264</v>
      </c>
      <c r="Y1963" s="65">
        <v>0</v>
      </c>
      <c r="Z1963" s="51">
        <v>0</v>
      </c>
      <c r="AA1963" s="51">
        <v>0</v>
      </c>
      <c r="AB1963" s="102" t="s">
        <v>68</v>
      </c>
      <c r="AC1963" s="81">
        <f t="shared" si="93"/>
        <v>0</v>
      </c>
      <c r="AD1963" s="82">
        <f t="shared" si="94"/>
        <v>0</v>
      </c>
      <c r="AE1963" s="218">
        <v>-6.015801697819427E-2</v>
      </c>
      <c r="AF1963">
        <v>13</v>
      </c>
      <c r="AH1963" t="str">
        <f t="shared" si="95"/>
        <v>Laldiyara</v>
      </c>
      <c r="AJ1963" s="72">
        <v>0</v>
      </c>
      <c r="AK1963" s="72"/>
      <c r="AL1963" s="72"/>
      <c r="AM1963" s="72"/>
    </row>
    <row r="1964" spans="1:39" x14ac:dyDescent="0.25">
      <c r="A1964" s="37" t="s">
        <v>62</v>
      </c>
      <c r="B1964" s="66" t="s">
        <v>1629</v>
      </c>
      <c r="C1964" s="41">
        <v>1002</v>
      </c>
      <c r="D1964" s="41" t="s">
        <v>105</v>
      </c>
      <c r="E1964" s="41">
        <v>10020073</v>
      </c>
      <c r="F1964" s="85" t="s">
        <v>495</v>
      </c>
      <c r="G1964" s="39" t="s">
        <v>635</v>
      </c>
      <c r="H1964" s="52" t="s">
        <v>99</v>
      </c>
      <c r="I1964" s="52">
        <v>1274.1000000000001</v>
      </c>
      <c r="J1964" s="49">
        <v>52840.69000000001</v>
      </c>
      <c r="K1964" s="58">
        <v>0</v>
      </c>
      <c r="L1964" s="58">
        <v>0</v>
      </c>
      <c r="M1964" s="58">
        <v>0</v>
      </c>
      <c r="N1964" s="58">
        <v>0</v>
      </c>
      <c r="O1964" s="58">
        <v>0</v>
      </c>
      <c r="P1964" s="53">
        <v>0</v>
      </c>
      <c r="Q1964" s="65">
        <v>52840.69000000001</v>
      </c>
      <c r="R1964" s="65">
        <v>0</v>
      </c>
      <c r="S1964" s="65">
        <v>0</v>
      </c>
      <c r="T1964" s="65">
        <v>0</v>
      </c>
      <c r="U1964" s="58">
        <v>0</v>
      </c>
      <c r="V1964" s="65">
        <v>0</v>
      </c>
      <c r="W1964" s="65">
        <v>0</v>
      </c>
      <c r="X1964" s="65">
        <v>0</v>
      </c>
      <c r="Y1964" s="65">
        <v>0</v>
      </c>
      <c r="Z1964" s="51">
        <v>52840.69000000001</v>
      </c>
      <c r="AA1964" s="51">
        <v>0</v>
      </c>
      <c r="AB1964" s="102">
        <v>0</v>
      </c>
      <c r="AC1964" s="81">
        <f t="shared" si="93"/>
        <v>0</v>
      </c>
      <c r="AD1964" s="82">
        <f t="shared" si="94"/>
        <v>0</v>
      </c>
      <c r="AE1964" s="218">
        <v>0</v>
      </c>
      <c r="AF1964">
        <v>0</v>
      </c>
      <c r="AH1964" t="str">
        <f t="shared" si="95"/>
        <v>Laldiyara</v>
      </c>
      <c r="AJ1964" s="72">
        <v>0</v>
      </c>
      <c r="AK1964" s="72"/>
      <c r="AL1964" s="72"/>
      <c r="AM1964" s="72"/>
    </row>
    <row r="1965" spans="1:39" x14ac:dyDescent="0.25">
      <c r="A1965" s="37" t="s">
        <v>62</v>
      </c>
      <c r="B1965" s="66" t="s">
        <v>1629</v>
      </c>
      <c r="C1965" s="41">
        <v>1002</v>
      </c>
      <c r="D1965" s="41" t="s">
        <v>105</v>
      </c>
      <c r="E1965" s="41">
        <v>10020075</v>
      </c>
      <c r="F1965" s="85" t="s">
        <v>267</v>
      </c>
      <c r="G1965" s="39" t="s">
        <v>93</v>
      </c>
      <c r="H1965" s="52" t="s">
        <v>94</v>
      </c>
      <c r="I1965" s="52">
        <v>306.09999999999997</v>
      </c>
      <c r="J1965" s="49">
        <v>12518.850000000002</v>
      </c>
      <c r="K1965" s="58">
        <v>304.77999999999997</v>
      </c>
      <c r="L1965" s="58">
        <v>13570.30644802369</v>
      </c>
      <c r="M1965" s="58">
        <v>0</v>
      </c>
      <c r="N1965" s="58">
        <v>0</v>
      </c>
      <c r="O1965" s="58">
        <v>304.77999999999997</v>
      </c>
      <c r="P1965" s="53">
        <v>13570.30644802369</v>
      </c>
      <c r="Q1965" s="65">
        <v>12518.850000000002</v>
      </c>
      <c r="R1965" s="65">
        <v>0</v>
      </c>
      <c r="S1965" s="65">
        <v>0</v>
      </c>
      <c r="T1965" s="65">
        <v>1051.4564480236877</v>
      </c>
      <c r="U1965" s="58">
        <v>0</v>
      </c>
      <c r="V1965" s="65">
        <v>0</v>
      </c>
      <c r="W1965" s="65">
        <v>0</v>
      </c>
      <c r="X1965" s="65">
        <v>12519</v>
      </c>
      <c r="Y1965" s="65">
        <v>0</v>
      </c>
      <c r="Z1965" s="51">
        <v>0</v>
      </c>
      <c r="AA1965" s="51">
        <v>0</v>
      </c>
      <c r="AB1965" s="102" t="s">
        <v>68</v>
      </c>
      <c r="AC1965" s="81">
        <f t="shared" si="93"/>
        <v>322.19372852009155</v>
      </c>
      <c r="AD1965" s="82">
        <f t="shared" si="94"/>
        <v>43.728571428571421</v>
      </c>
      <c r="AE1965" s="218">
        <v>-8.3989859134320444E-2</v>
      </c>
      <c r="AF1965">
        <v>5</v>
      </c>
      <c r="AH1965" t="str">
        <f t="shared" si="95"/>
        <v>Laldiyara</v>
      </c>
      <c r="AJ1965" s="72">
        <v>0</v>
      </c>
      <c r="AK1965" s="72"/>
      <c r="AL1965" s="72"/>
      <c r="AM1965" s="72"/>
    </row>
    <row r="1966" spans="1:39" x14ac:dyDescent="0.25">
      <c r="A1966" s="37" t="s">
        <v>62</v>
      </c>
      <c r="B1966" s="66" t="s">
        <v>1629</v>
      </c>
      <c r="C1966" s="41">
        <v>1002</v>
      </c>
      <c r="D1966" s="41" t="s">
        <v>105</v>
      </c>
      <c r="E1966" s="41">
        <v>10020077</v>
      </c>
      <c r="F1966" s="85" t="s">
        <v>1152</v>
      </c>
      <c r="G1966" s="39" t="s">
        <v>93</v>
      </c>
      <c r="H1966" s="52" t="s">
        <v>94</v>
      </c>
      <c r="I1966" s="52">
        <v>130.9</v>
      </c>
      <c r="J1966" s="49">
        <v>5625.2500000000009</v>
      </c>
      <c r="K1966" s="58">
        <v>130.90000000000003</v>
      </c>
      <c r="L1966" s="58">
        <v>5675.5378878299998</v>
      </c>
      <c r="M1966" s="58">
        <v>0</v>
      </c>
      <c r="N1966" s="58">
        <v>0</v>
      </c>
      <c r="O1966" s="58">
        <v>130.90000000000003</v>
      </c>
      <c r="P1966" s="53">
        <v>5675.5378878299998</v>
      </c>
      <c r="Q1966" s="65">
        <v>5625.2500000000009</v>
      </c>
      <c r="R1966" s="65">
        <v>0</v>
      </c>
      <c r="S1966" s="65">
        <v>0</v>
      </c>
      <c r="T1966" s="65">
        <v>50.287887829998908</v>
      </c>
      <c r="U1966" s="58">
        <v>0</v>
      </c>
      <c r="V1966" s="65">
        <v>0</v>
      </c>
      <c r="W1966" s="65">
        <v>0</v>
      </c>
      <c r="X1966" s="65">
        <v>5625</v>
      </c>
      <c r="Y1966" s="65">
        <v>0</v>
      </c>
      <c r="Z1966" s="51">
        <v>0</v>
      </c>
      <c r="AA1966" s="51">
        <v>0</v>
      </c>
      <c r="AB1966" s="102">
        <v>0</v>
      </c>
      <c r="AC1966" s="81">
        <f t="shared" si="93"/>
        <v>489.12601604278086</v>
      </c>
      <c r="AD1966" s="82">
        <f t="shared" si="94"/>
        <v>18.7</v>
      </c>
      <c r="AE1966" s="218">
        <v>-8.9396716288163008E-3</v>
      </c>
      <c r="AF1966">
        <v>1</v>
      </c>
      <c r="AH1966" t="str">
        <f t="shared" si="95"/>
        <v>Laldiyara</v>
      </c>
      <c r="AJ1966" s="72">
        <v>0</v>
      </c>
      <c r="AK1966" s="72"/>
      <c r="AL1966" s="72"/>
      <c r="AM1966" s="72"/>
    </row>
    <row r="1967" spans="1:39" x14ac:dyDescent="0.25">
      <c r="A1967" s="37" t="s">
        <v>62</v>
      </c>
      <c r="B1967" s="66" t="s">
        <v>1629</v>
      </c>
      <c r="C1967" s="41">
        <v>1002</v>
      </c>
      <c r="D1967" s="41" t="s">
        <v>105</v>
      </c>
      <c r="E1967" s="41">
        <v>10020078</v>
      </c>
      <c r="F1967" s="85" t="s">
        <v>1153</v>
      </c>
      <c r="G1967" s="39" t="s">
        <v>93</v>
      </c>
      <c r="H1967" s="52" t="s">
        <v>94</v>
      </c>
      <c r="I1967" s="52">
        <v>330.50000000000006</v>
      </c>
      <c r="J1967" s="49">
        <v>13557.059999999998</v>
      </c>
      <c r="K1967" s="58">
        <v>373.51</v>
      </c>
      <c r="L1967" s="58">
        <v>16978.153215695864</v>
      </c>
      <c r="M1967" s="58">
        <v>0</v>
      </c>
      <c r="N1967" s="58">
        <v>0</v>
      </c>
      <c r="O1967" s="58">
        <v>373.51</v>
      </c>
      <c r="P1967" s="53">
        <v>16978.153215695864</v>
      </c>
      <c r="Q1967" s="65">
        <v>13557.059999999998</v>
      </c>
      <c r="R1967" s="65">
        <v>0</v>
      </c>
      <c r="S1967" s="65">
        <v>0</v>
      </c>
      <c r="T1967" s="65">
        <v>3421.0932156958661</v>
      </c>
      <c r="U1967" s="58">
        <v>0</v>
      </c>
      <c r="V1967" s="65">
        <v>33.926068965517274</v>
      </c>
      <c r="W1967" s="65">
        <v>0</v>
      </c>
      <c r="X1967" s="65">
        <v>13523</v>
      </c>
      <c r="Y1967" s="65">
        <v>0</v>
      </c>
      <c r="Z1967" s="51">
        <v>0</v>
      </c>
      <c r="AA1967" s="51">
        <v>0</v>
      </c>
      <c r="AB1967" s="102">
        <v>0</v>
      </c>
      <c r="AC1967" s="81">
        <f t="shared" si="93"/>
        <v>303.13668199697412</v>
      </c>
      <c r="AD1967" s="82">
        <f t="shared" si="94"/>
        <v>47.214285714285722</v>
      </c>
      <c r="AE1967" s="218">
        <v>-0.25234772256638732</v>
      </c>
      <c r="AF1967">
        <v>2</v>
      </c>
      <c r="AH1967" t="str">
        <f t="shared" si="95"/>
        <v>Laldiyara</v>
      </c>
      <c r="AJ1967" s="72">
        <v>0</v>
      </c>
      <c r="AK1967" s="72"/>
      <c r="AL1967" s="72"/>
      <c r="AM1967" s="72"/>
    </row>
    <row r="1968" spans="1:39" x14ac:dyDescent="0.25">
      <c r="A1968" s="37" t="s">
        <v>62</v>
      </c>
      <c r="B1968" s="66" t="s">
        <v>1629</v>
      </c>
      <c r="C1968" s="41">
        <v>1002</v>
      </c>
      <c r="D1968" s="41" t="s">
        <v>105</v>
      </c>
      <c r="E1968" s="41">
        <v>10020079</v>
      </c>
      <c r="F1968" s="85" t="s">
        <v>1154</v>
      </c>
      <c r="G1968" s="39" t="s">
        <v>93</v>
      </c>
      <c r="H1968" s="52" t="s">
        <v>94</v>
      </c>
      <c r="I1968" s="52">
        <v>278.10000000000002</v>
      </c>
      <c r="J1968" s="49">
        <v>14000.200000000003</v>
      </c>
      <c r="K1968" s="58">
        <v>277.20999999999998</v>
      </c>
      <c r="L1968" s="58">
        <v>14705.781234423921</v>
      </c>
      <c r="M1968" s="58">
        <v>0</v>
      </c>
      <c r="N1968" s="58">
        <v>0</v>
      </c>
      <c r="O1968" s="58">
        <v>277.20999999999998</v>
      </c>
      <c r="P1968" s="53">
        <v>14705.781234423921</v>
      </c>
      <c r="Q1968" s="65">
        <v>14000.200000000003</v>
      </c>
      <c r="R1968" s="65">
        <v>0</v>
      </c>
      <c r="S1968" s="65">
        <v>0</v>
      </c>
      <c r="T1968" s="65">
        <v>705.58123442391843</v>
      </c>
      <c r="U1968" s="58">
        <v>0</v>
      </c>
      <c r="V1968" s="65">
        <v>0</v>
      </c>
      <c r="W1968" s="65">
        <v>0</v>
      </c>
      <c r="X1968" s="65">
        <v>14000</v>
      </c>
      <c r="Y1968" s="65">
        <v>0</v>
      </c>
      <c r="Z1968" s="51">
        <v>0</v>
      </c>
      <c r="AA1968" s="51">
        <v>0</v>
      </c>
      <c r="AB1968" s="102">
        <v>0</v>
      </c>
      <c r="AC1968" s="81">
        <f t="shared" si="93"/>
        <v>424.78852067601582</v>
      </c>
      <c r="AD1968" s="82">
        <f t="shared" si="94"/>
        <v>39.728571428571435</v>
      </c>
      <c r="AE1968" s="218">
        <v>-5.0397939631142294E-2</v>
      </c>
      <c r="AF1968">
        <v>4</v>
      </c>
      <c r="AH1968" t="str">
        <f t="shared" si="95"/>
        <v>Laldiyara</v>
      </c>
      <c r="AJ1968" s="72">
        <v>0</v>
      </c>
      <c r="AK1968" s="72"/>
      <c r="AL1968" s="72"/>
      <c r="AM1968" s="72"/>
    </row>
    <row r="1969" spans="1:39" x14ac:dyDescent="0.25">
      <c r="A1969" s="37" t="s">
        <v>62</v>
      </c>
      <c r="B1969" s="66" t="s">
        <v>1629</v>
      </c>
      <c r="C1969" s="41">
        <v>1002</v>
      </c>
      <c r="D1969" s="41" t="s">
        <v>105</v>
      </c>
      <c r="E1969" s="41">
        <v>10020081</v>
      </c>
      <c r="F1969" s="85" t="s">
        <v>1197</v>
      </c>
      <c r="G1969" s="39" t="s">
        <v>635</v>
      </c>
      <c r="H1969" s="52" t="s">
        <v>99</v>
      </c>
      <c r="I1969" s="52">
        <v>2462.0000000000009</v>
      </c>
      <c r="J1969" s="49">
        <v>94911.739999999991</v>
      </c>
      <c r="K1969" s="58">
        <v>0</v>
      </c>
      <c r="L1969" s="58">
        <v>0</v>
      </c>
      <c r="M1969" s="58">
        <v>0</v>
      </c>
      <c r="N1969" s="58">
        <v>0</v>
      </c>
      <c r="O1969" s="58">
        <v>0</v>
      </c>
      <c r="P1969" s="53">
        <v>0</v>
      </c>
      <c r="Q1969" s="65">
        <v>94911.739999999991</v>
      </c>
      <c r="R1969" s="65">
        <v>0</v>
      </c>
      <c r="S1969" s="65">
        <v>0</v>
      </c>
      <c r="T1969" s="65">
        <v>0</v>
      </c>
      <c r="U1969" s="58">
        <v>0</v>
      </c>
      <c r="V1969" s="65">
        <v>0</v>
      </c>
      <c r="W1969" s="65">
        <v>0</v>
      </c>
      <c r="X1969" s="65">
        <v>0</v>
      </c>
      <c r="Y1969" s="65">
        <v>0</v>
      </c>
      <c r="Z1969" s="51">
        <v>94911.739999999991</v>
      </c>
      <c r="AA1969" s="51">
        <v>0</v>
      </c>
      <c r="AB1969" s="102">
        <v>0</v>
      </c>
      <c r="AC1969" s="81">
        <f t="shared" si="93"/>
        <v>0</v>
      </c>
      <c r="AD1969" s="82">
        <f t="shared" si="94"/>
        <v>0</v>
      </c>
      <c r="AE1969" s="218">
        <v>0</v>
      </c>
      <c r="AF1969">
        <v>0</v>
      </c>
      <c r="AH1969" t="str">
        <f t="shared" si="95"/>
        <v>Laldiyara</v>
      </c>
      <c r="AJ1969" s="72">
        <v>0</v>
      </c>
      <c r="AK1969" s="72"/>
      <c r="AL1969" s="72"/>
      <c r="AM1969" s="72"/>
    </row>
    <row r="1970" spans="1:39" x14ac:dyDescent="0.25">
      <c r="A1970" s="37" t="s">
        <v>62</v>
      </c>
      <c r="B1970" s="66" t="s">
        <v>1629</v>
      </c>
      <c r="C1970" s="41">
        <v>1002</v>
      </c>
      <c r="D1970" s="41" t="s">
        <v>105</v>
      </c>
      <c r="E1970" s="41">
        <v>10020082</v>
      </c>
      <c r="F1970" s="85" t="s">
        <v>1198</v>
      </c>
      <c r="G1970" s="39" t="s">
        <v>635</v>
      </c>
      <c r="H1970" s="52" t="s">
        <v>99</v>
      </c>
      <c r="I1970" s="52">
        <v>1799.9</v>
      </c>
      <c r="J1970" s="49">
        <v>74390.12</v>
      </c>
      <c r="K1970" s="58">
        <v>0</v>
      </c>
      <c r="L1970" s="58">
        <v>0</v>
      </c>
      <c r="M1970" s="58">
        <v>0</v>
      </c>
      <c r="N1970" s="58">
        <v>0</v>
      </c>
      <c r="O1970" s="58">
        <v>0</v>
      </c>
      <c r="P1970" s="53">
        <v>0</v>
      </c>
      <c r="Q1970" s="65">
        <v>74390.12</v>
      </c>
      <c r="R1970" s="65">
        <v>0</v>
      </c>
      <c r="S1970" s="65">
        <v>0</v>
      </c>
      <c r="T1970" s="65">
        <v>0</v>
      </c>
      <c r="U1970" s="58">
        <v>0</v>
      </c>
      <c r="V1970" s="65">
        <v>0</v>
      </c>
      <c r="W1970" s="65">
        <v>0</v>
      </c>
      <c r="X1970" s="65">
        <v>0</v>
      </c>
      <c r="Y1970" s="65">
        <v>0</v>
      </c>
      <c r="Z1970" s="51">
        <v>74390.12</v>
      </c>
      <c r="AA1970" s="51">
        <v>0</v>
      </c>
      <c r="AB1970" s="102">
        <v>0</v>
      </c>
      <c r="AC1970" s="81">
        <f t="shared" si="93"/>
        <v>0</v>
      </c>
      <c r="AD1970" s="82">
        <f t="shared" si="94"/>
        <v>0</v>
      </c>
      <c r="AE1970" s="218">
        <v>0</v>
      </c>
      <c r="AF1970">
        <v>0</v>
      </c>
      <c r="AH1970" t="str">
        <f t="shared" si="95"/>
        <v>Laldiyara</v>
      </c>
      <c r="AJ1970" s="72">
        <v>0</v>
      </c>
      <c r="AK1970" s="72"/>
      <c r="AL1970" s="72"/>
      <c r="AM1970" s="72"/>
    </row>
    <row r="1971" spans="1:39" x14ac:dyDescent="0.25">
      <c r="A1971" s="37" t="s">
        <v>62</v>
      </c>
      <c r="B1971" s="66" t="s">
        <v>1629</v>
      </c>
      <c r="C1971" s="41">
        <v>1002</v>
      </c>
      <c r="D1971" s="41" t="s">
        <v>105</v>
      </c>
      <c r="E1971" s="41">
        <v>10020083</v>
      </c>
      <c r="F1971" s="85" t="s">
        <v>1256</v>
      </c>
      <c r="G1971" s="39" t="s">
        <v>93</v>
      </c>
      <c r="H1971" s="52" t="s">
        <v>94</v>
      </c>
      <c r="I1971" s="52">
        <v>499.99999999999994</v>
      </c>
      <c r="J1971" s="49">
        <v>18637.03</v>
      </c>
      <c r="K1971" s="58">
        <v>501.10000000000008</v>
      </c>
      <c r="L1971" s="58">
        <v>19477.715392080008</v>
      </c>
      <c r="M1971" s="58">
        <v>0</v>
      </c>
      <c r="N1971" s="58">
        <v>0</v>
      </c>
      <c r="O1971" s="58">
        <v>501.10000000000008</v>
      </c>
      <c r="P1971" s="53">
        <v>19477.715392080008</v>
      </c>
      <c r="Q1971" s="65">
        <v>18637.03</v>
      </c>
      <c r="R1971" s="65">
        <v>0</v>
      </c>
      <c r="S1971" s="65">
        <v>0</v>
      </c>
      <c r="T1971" s="65">
        <v>840.68539208000948</v>
      </c>
      <c r="U1971" s="58">
        <v>0</v>
      </c>
      <c r="V1971" s="65">
        <v>0</v>
      </c>
      <c r="W1971" s="65">
        <v>0</v>
      </c>
      <c r="X1971" s="65">
        <v>18637</v>
      </c>
      <c r="Y1971" s="65">
        <v>0</v>
      </c>
      <c r="Z1971" s="51">
        <v>0</v>
      </c>
      <c r="AA1971" s="51">
        <v>0</v>
      </c>
      <c r="AB1971" s="102">
        <v>0</v>
      </c>
      <c r="AC1971" s="81">
        <f t="shared" si="93"/>
        <v>149.09624000000005</v>
      </c>
      <c r="AD1971" s="82">
        <f t="shared" si="94"/>
        <v>71.428571428571416</v>
      </c>
      <c r="AE1971" s="218">
        <v>-4.5108334969681842E-2</v>
      </c>
      <c r="AF1971">
        <v>2</v>
      </c>
      <c r="AH1971" t="str">
        <f t="shared" si="95"/>
        <v>Laldiyara</v>
      </c>
      <c r="AJ1971" s="72">
        <v>0</v>
      </c>
      <c r="AK1971" s="72"/>
      <c r="AL1971" s="72"/>
      <c r="AM1971" s="72"/>
    </row>
    <row r="1972" spans="1:39" x14ac:dyDescent="0.25">
      <c r="A1972" s="37" t="s">
        <v>62</v>
      </c>
      <c r="B1972" s="66" t="s">
        <v>1629</v>
      </c>
      <c r="C1972" s="41">
        <v>1002</v>
      </c>
      <c r="D1972" s="41" t="s">
        <v>105</v>
      </c>
      <c r="E1972" s="41">
        <v>10020084</v>
      </c>
      <c r="F1972" s="85" t="s">
        <v>1247</v>
      </c>
      <c r="G1972" s="39" t="s">
        <v>93</v>
      </c>
      <c r="H1972" s="52" t="s">
        <v>94</v>
      </c>
      <c r="I1972" s="52">
        <v>1018.5</v>
      </c>
      <c r="J1972" s="49">
        <v>38562.05000000001</v>
      </c>
      <c r="K1972" s="58">
        <v>758.27</v>
      </c>
      <c r="L1972" s="58">
        <v>28643.07164551835</v>
      </c>
      <c r="M1972" s="58">
        <v>265.38</v>
      </c>
      <c r="N1972" s="58">
        <v>10428.046545756832</v>
      </c>
      <c r="O1972" s="58">
        <v>1023.65</v>
      </c>
      <c r="P1972" s="53">
        <v>39071.118191275178</v>
      </c>
      <c r="Q1972" s="65">
        <v>38562.05000000001</v>
      </c>
      <c r="R1972" s="65">
        <v>0</v>
      </c>
      <c r="S1972" s="65">
        <v>0</v>
      </c>
      <c r="T1972" s="65">
        <v>509.06819127516792</v>
      </c>
      <c r="U1972" s="58">
        <v>0</v>
      </c>
      <c r="V1972" s="65">
        <v>0</v>
      </c>
      <c r="W1972" s="65">
        <v>0</v>
      </c>
      <c r="X1972" s="65">
        <v>28135</v>
      </c>
      <c r="Y1972" s="65">
        <v>10427</v>
      </c>
      <c r="Z1972" s="51">
        <v>0</v>
      </c>
      <c r="AA1972" s="51">
        <v>0</v>
      </c>
      <c r="AB1972" s="102">
        <v>0</v>
      </c>
      <c r="AC1972" s="81">
        <f t="shared" si="93"/>
        <v>0</v>
      </c>
      <c r="AD1972" s="82">
        <f t="shared" si="94"/>
        <v>0</v>
      </c>
      <c r="AE1972" s="218">
        <v>-1.3201274083591712E-2</v>
      </c>
      <c r="AF1972">
        <v>24</v>
      </c>
      <c r="AH1972" t="str">
        <f t="shared" si="95"/>
        <v>Laldiyara</v>
      </c>
      <c r="AJ1972" s="72">
        <v>0</v>
      </c>
      <c r="AK1972" s="72"/>
      <c r="AL1972" s="72"/>
      <c r="AM1972" s="72"/>
    </row>
    <row r="1973" spans="1:39" x14ac:dyDescent="0.25">
      <c r="A1973" s="37" t="s">
        <v>62</v>
      </c>
      <c r="B1973" s="66" t="s">
        <v>1629</v>
      </c>
      <c r="C1973" s="41">
        <v>1002</v>
      </c>
      <c r="D1973" s="41" t="s">
        <v>105</v>
      </c>
      <c r="E1973" s="41">
        <v>10020087</v>
      </c>
      <c r="F1973" s="85" t="s">
        <v>1586</v>
      </c>
      <c r="G1973" s="39" t="s">
        <v>93</v>
      </c>
      <c r="H1973" s="52" t="s">
        <v>94</v>
      </c>
      <c r="I1973" s="52">
        <v>303.10000000000002</v>
      </c>
      <c r="J1973" s="49">
        <v>10796.86</v>
      </c>
      <c r="K1973" s="58">
        <v>308.47999999999996</v>
      </c>
      <c r="L1973" s="58">
        <v>10861.177515823802</v>
      </c>
      <c r="M1973" s="58">
        <v>0</v>
      </c>
      <c r="N1973" s="58">
        <v>0</v>
      </c>
      <c r="O1973" s="58">
        <v>308.47999999999996</v>
      </c>
      <c r="P1973" s="53">
        <v>10861.177515823802</v>
      </c>
      <c r="Q1973" s="65">
        <v>10796.86</v>
      </c>
      <c r="R1973" s="65">
        <v>0</v>
      </c>
      <c r="S1973" s="65">
        <v>0</v>
      </c>
      <c r="T1973" s="65">
        <v>64.317515823800932</v>
      </c>
      <c r="U1973" s="58">
        <v>0</v>
      </c>
      <c r="V1973" s="65">
        <v>0</v>
      </c>
      <c r="W1973" s="65">
        <v>0</v>
      </c>
      <c r="X1973" s="65">
        <v>10797</v>
      </c>
      <c r="Y1973" s="65">
        <v>0</v>
      </c>
      <c r="Z1973" s="51">
        <v>0</v>
      </c>
      <c r="AA1973" s="51">
        <v>0</v>
      </c>
      <c r="AB1973" s="102">
        <v>0</v>
      </c>
      <c r="AC1973" s="81">
        <f t="shared" si="93"/>
        <v>282.76303094688217</v>
      </c>
      <c r="AD1973" s="82">
        <f t="shared" si="94"/>
        <v>43.300000000000004</v>
      </c>
      <c r="AE1973" s="218">
        <v>-5.9570574985505905E-3</v>
      </c>
      <c r="AF1973">
        <v>2</v>
      </c>
      <c r="AH1973" t="str">
        <f t="shared" si="95"/>
        <v>Laldiyara</v>
      </c>
      <c r="AJ1973" s="72">
        <v>0</v>
      </c>
      <c r="AK1973" s="72"/>
      <c r="AL1973" s="72"/>
      <c r="AM1973" s="72"/>
    </row>
    <row r="1974" spans="1:39" x14ac:dyDescent="0.25">
      <c r="A1974" s="37" t="s">
        <v>62</v>
      </c>
      <c r="B1974" s="66" t="s">
        <v>1629</v>
      </c>
      <c r="C1974" s="41">
        <v>1003</v>
      </c>
      <c r="D1974" s="41" t="s">
        <v>139</v>
      </c>
      <c r="E1974" s="41">
        <v>10030002</v>
      </c>
      <c r="F1974" s="85" t="s">
        <v>115</v>
      </c>
      <c r="G1974" s="39" t="s">
        <v>635</v>
      </c>
      <c r="H1974" s="52" t="s">
        <v>99</v>
      </c>
      <c r="I1974" s="52">
        <v>555.20000000000005</v>
      </c>
      <c r="J1974" s="49">
        <v>21580.960000000003</v>
      </c>
      <c r="K1974" s="58">
        <v>0</v>
      </c>
      <c r="L1974" s="58">
        <v>0</v>
      </c>
      <c r="M1974" s="58">
        <v>0</v>
      </c>
      <c r="N1974" s="58">
        <v>0</v>
      </c>
      <c r="O1974" s="58">
        <v>0</v>
      </c>
      <c r="P1974" s="53">
        <v>0</v>
      </c>
      <c r="Q1974" s="65">
        <v>21580.960000000003</v>
      </c>
      <c r="R1974" s="65">
        <v>0</v>
      </c>
      <c r="S1974" s="65">
        <v>0</v>
      </c>
      <c r="T1974" s="65">
        <v>0</v>
      </c>
      <c r="U1974" s="58">
        <v>0</v>
      </c>
      <c r="V1974" s="65">
        <v>0</v>
      </c>
      <c r="W1974" s="65">
        <v>0</v>
      </c>
      <c r="X1974" s="65">
        <v>0</v>
      </c>
      <c r="Y1974" s="65">
        <v>0</v>
      </c>
      <c r="Z1974" s="51">
        <v>21580.960000000003</v>
      </c>
      <c r="AA1974" s="51">
        <v>0</v>
      </c>
      <c r="AB1974" s="102">
        <v>0</v>
      </c>
      <c r="AC1974" s="81">
        <f t="shared" si="93"/>
        <v>112.56927262247838</v>
      </c>
      <c r="AD1974" s="82">
        <f t="shared" si="94"/>
        <v>79.314285714285717</v>
      </c>
      <c r="AE1974" s="218">
        <v>0</v>
      </c>
      <c r="AF1974">
        <v>0</v>
      </c>
      <c r="AH1974" t="str">
        <f t="shared" si="95"/>
        <v>Asarganj</v>
      </c>
      <c r="AJ1974" s="72">
        <v>0</v>
      </c>
      <c r="AK1974" s="72"/>
      <c r="AL1974" s="72"/>
      <c r="AM1974" s="72"/>
    </row>
    <row r="1975" spans="1:39" x14ac:dyDescent="0.25">
      <c r="A1975" s="37" t="s">
        <v>62</v>
      </c>
      <c r="B1975" s="66" t="s">
        <v>1629</v>
      </c>
      <c r="C1975" s="41">
        <v>1003</v>
      </c>
      <c r="D1975" s="41" t="s">
        <v>139</v>
      </c>
      <c r="E1975" s="41">
        <v>10030003</v>
      </c>
      <c r="F1975" s="85" t="s">
        <v>140</v>
      </c>
      <c r="G1975" s="39" t="s">
        <v>93</v>
      </c>
      <c r="H1975" s="52" t="s">
        <v>94</v>
      </c>
      <c r="I1975" s="52">
        <v>1749.6500000000003</v>
      </c>
      <c r="J1975" s="49">
        <v>75878.489999999991</v>
      </c>
      <c r="K1975" s="58">
        <v>1736</v>
      </c>
      <c r="L1975" s="58">
        <v>74840.745677915096</v>
      </c>
      <c r="M1975" s="58">
        <v>21.799999999999997</v>
      </c>
      <c r="N1975" s="58">
        <v>1283.6700974610999</v>
      </c>
      <c r="O1975" s="58">
        <v>1757.8</v>
      </c>
      <c r="P1975" s="53">
        <v>76124.415775376197</v>
      </c>
      <c r="Q1975" s="65">
        <v>75878.489999999991</v>
      </c>
      <c r="R1975" s="65">
        <v>0</v>
      </c>
      <c r="S1975" s="65">
        <v>1283.6700974610999</v>
      </c>
      <c r="T1975" s="65">
        <v>245.92577537620673</v>
      </c>
      <c r="U1975" s="58">
        <v>0</v>
      </c>
      <c r="V1975" s="65">
        <v>0</v>
      </c>
      <c r="W1975" s="65">
        <v>0</v>
      </c>
      <c r="X1975" s="65">
        <v>74595</v>
      </c>
      <c r="Y1975" s="65">
        <v>0</v>
      </c>
      <c r="Z1975" s="51">
        <v>0</v>
      </c>
      <c r="AA1975" s="51">
        <v>0</v>
      </c>
      <c r="AB1975" s="102">
        <v>0</v>
      </c>
      <c r="AC1975" s="81">
        <f t="shared" si="93"/>
        <v>0</v>
      </c>
      <c r="AD1975" s="82">
        <f t="shared" si="94"/>
        <v>0</v>
      </c>
      <c r="AE1975" s="218">
        <v>-3.2410473030789985E-3</v>
      </c>
      <c r="AF1975">
        <v>57</v>
      </c>
      <c r="AH1975" t="str">
        <f t="shared" si="95"/>
        <v>Asarganj</v>
      </c>
      <c r="AJ1975" s="72">
        <v>0</v>
      </c>
      <c r="AK1975" s="72"/>
      <c r="AL1975" s="72"/>
      <c r="AM1975" s="72"/>
    </row>
    <row r="1976" spans="1:39" x14ac:dyDescent="0.25">
      <c r="A1976" s="37" t="s">
        <v>62</v>
      </c>
      <c r="B1976" s="66" t="s">
        <v>1629</v>
      </c>
      <c r="C1976" s="41">
        <v>1003</v>
      </c>
      <c r="D1976" s="41" t="s">
        <v>139</v>
      </c>
      <c r="E1976" s="41">
        <v>10030007</v>
      </c>
      <c r="F1976" s="85" t="s">
        <v>141</v>
      </c>
      <c r="G1976" s="39" t="s">
        <v>635</v>
      </c>
      <c r="H1976" s="52" t="s">
        <v>99</v>
      </c>
      <c r="I1976" s="52">
        <v>808.15</v>
      </c>
      <c r="J1976" s="49">
        <v>22437.61</v>
      </c>
      <c r="K1976" s="58">
        <v>0</v>
      </c>
      <c r="L1976" s="58">
        <v>0</v>
      </c>
      <c r="M1976" s="58">
        <v>0</v>
      </c>
      <c r="N1976" s="58">
        <v>0</v>
      </c>
      <c r="O1976" s="58">
        <v>0</v>
      </c>
      <c r="P1976" s="53">
        <v>0</v>
      </c>
      <c r="Q1976" s="65">
        <v>22437.61</v>
      </c>
      <c r="R1976" s="65">
        <v>0</v>
      </c>
      <c r="S1976" s="65">
        <v>0</v>
      </c>
      <c r="T1976" s="65">
        <v>0</v>
      </c>
      <c r="U1976" s="58">
        <v>0</v>
      </c>
      <c r="V1976" s="65">
        <v>0</v>
      </c>
      <c r="W1976" s="65">
        <v>0</v>
      </c>
      <c r="X1976" s="65">
        <v>0</v>
      </c>
      <c r="Y1976" s="65">
        <v>0</v>
      </c>
      <c r="Z1976" s="51">
        <v>22437.61</v>
      </c>
      <c r="AA1976" s="51">
        <v>0</v>
      </c>
      <c r="AB1976" s="102">
        <v>0</v>
      </c>
      <c r="AC1976" s="81">
        <f t="shared" si="93"/>
        <v>0</v>
      </c>
      <c r="AD1976" s="82">
        <f t="shared" si="94"/>
        <v>0</v>
      </c>
      <c r="AE1976" s="218">
        <v>0</v>
      </c>
      <c r="AF1976">
        <v>0</v>
      </c>
      <c r="AH1976" t="str">
        <f t="shared" si="95"/>
        <v>Asarganj</v>
      </c>
      <c r="AJ1976" s="72">
        <v>0</v>
      </c>
      <c r="AK1976" s="72"/>
      <c r="AL1976" s="72"/>
      <c r="AM1976" s="72"/>
    </row>
    <row r="1977" spans="1:39" x14ac:dyDescent="0.25">
      <c r="A1977" s="37" t="s">
        <v>62</v>
      </c>
      <c r="B1977" s="66" t="s">
        <v>1629</v>
      </c>
      <c r="C1977" s="41">
        <v>1003</v>
      </c>
      <c r="D1977" s="41" t="s">
        <v>139</v>
      </c>
      <c r="E1977" s="41">
        <v>10030009</v>
      </c>
      <c r="F1977" s="85" t="s">
        <v>143</v>
      </c>
      <c r="G1977" s="39" t="s">
        <v>635</v>
      </c>
      <c r="H1977" s="52" t="s">
        <v>99</v>
      </c>
      <c r="I1977" s="52">
        <v>13924.2</v>
      </c>
      <c r="J1977" s="49">
        <v>538506.91</v>
      </c>
      <c r="K1977" s="58">
        <v>0</v>
      </c>
      <c r="L1977" s="58">
        <v>0</v>
      </c>
      <c r="M1977" s="58">
        <v>0</v>
      </c>
      <c r="N1977" s="58">
        <v>0</v>
      </c>
      <c r="O1977" s="58">
        <v>0</v>
      </c>
      <c r="P1977" s="53">
        <v>0</v>
      </c>
      <c r="Q1977" s="65">
        <v>538506.91</v>
      </c>
      <c r="R1977" s="65">
        <v>0</v>
      </c>
      <c r="S1977" s="65">
        <v>0</v>
      </c>
      <c r="T1977" s="65">
        <v>0</v>
      </c>
      <c r="U1977" s="58">
        <v>0</v>
      </c>
      <c r="V1977" s="65">
        <v>0</v>
      </c>
      <c r="W1977" s="65">
        <v>0</v>
      </c>
      <c r="X1977" s="65">
        <v>0</v>
      </c>
      <c r="Y1977" s="65">
        <v>0</v>
      </c>
      <c r="Z1977" s="51">
        <v>538506.91</v>
      </c>
      <c r="AA1977" s="51">
        <v>0</v>
      </c>
      <c r="AB1977" s="102">
        <v>0</v>
      </c>
      <c r="AC1977" s="81">
        <f t="shared" si="93"/>
        <v>0</v>
      </c>
      <c r="AD1977" s="82">
        <f t="shared" si="94"/>
        <v>0</v>
      </c>
      <c r="AE1977" s="218">
        <v>0</v>
      </c>
      <c r="AF1977">
        <v>0</v>
      </c>
      <c r="AH1977" t="str">
        <f t="shared" si="95"/>
        <v>Asarganj</v>
      </c>
      <c r="AJ1977" s="72">
        <v>0</v>
      </c>
      <c r="AK1977" s="72"/>
      <c r="AL1977" s="72"/>
      <c r="AM1977" s="72"/>
    </row>
    <row r="1978" spans="1:39" x14ac:dyDescent="0.25">
      <c r="A1978" s="37" t="s">
        <v>62</v>
      </c>
      <c r="B1978" s="66" t="s">
        <v>1629</v>
      </c>
      <c r="C1978" s="41">
        <v>1003</v>
      </c>
      <c r="D1978" s="41" t="s">
        <v>139</v>
      </c>
      <c r="E1978" s="41">
        <v>10030010</v>
      </c>
      <c r="F1978" s="85" t="s">
        <v>144</v>
      </c>
      <c r="G1978" s="39" t="s">
        <v>93</v>
      </c>
      <c r="H1978" s="52" t="s">
        <v>94</v>
      </c>
      <c r="I1978" s="52">
        <v>335.55</v>
      </c>
      <c r="J1978" s="49">
        <v>10922.820000000002</v>
      </c>
      <c r="K1978" s="58">
        <v>431</v>
      </c>
      <c r="L1978" s="58">
        <v>18258.245216640003</v>
      </c>
      <c r="M1978" s="58">
        <v>0</v>
      </c>
      <c r="N1978" s="58">
        <v>0</v>
      </c>
      <c r="O1978" s="58">
        <v>431</v>
      </c>
      <c r="P1978" s="53">
        <v>18258.245216640003</v>
      </c>
      <c r="Q1978" s="65">
        <v>10922.820000000002</v>
      </c>
      <c r="R1978" s="65">
        <v>0</v>
      </c>
      <c r="S1978" s="65">
        <v>0</v>
      </c>
      <c r="T1978" s="65">
        <v>7335.425216640002</v>
      </c>
      <c r="U1978" s="58">
        <v>0</v>
      </c>
      <c r="V1978" s="65">
        <v>0</v>
      </c>
      <c r="W1978" s="65">
        <v>0</v>
      </c>
      <c r="X1978" s="65">
        <v>10923</v>
      </c>
      <c r="Y1978" s="65">
        <v>0</v>
      </c>
      <c r="Z1978" s="51">
        <v>0</v>
      </c>
      <c r="AA1978" s="51">
        <v>0</v>
      </c>
      <c r="AB1978" s="102">
        <v>0</v>
      </c>
      <c r="AC1978" s="81">
        <f t="shared" si="93"/>
        <v>237.27144979883775</v>
      </c>
      <c r="AD1978" s="82">
        <f t="shared" si="94"/>
        <v>47.93571428571429</v>
      </c>
      <c r="AE1978" s="218">
        <v>-0.67156880884606729</v>
      </c>
      <c r="AF1978">
        <v>3</v>
      </c>
      <c r="AH1978" t="str">
        <f t="shared" si="95"/>
        <v>Asarganj</v>
      </c>
      <c r="AJ1978" s="72">
        <v>0</v>
      </c>
      <c r="AK1978" s="72"/>
      <c r="AL1978" s="72"/>
      <c r="AM1978" s="72"/>
    </row>
    <row r="1979" spans="1:39" x14ac:dyDescent="0.25">
      <c r="A1979" s="37" t="s">
        <v>62</v>
      </c>
      <c r="B1979" s="66" t="s">
        <v>1629</v>
      </c>
      <c r="C1979" s="41">
        <v>1003</v>
      </c>
      <c r="D1979" s="41" t="s">
        <v>139</v>
      </c>
      <c r="E1979" s="41">
        <v>10030011</v>
      </c>
      <c r="F1979" s="85" t="s">
        <v>145</v>
      </c>
      <c r="G1979" s="39" t="s">
        <v>93</v>
      </c>
      <c r="H1979" s="52" t="s">
        <v>94</v>
      </c>
      <c r="I1979" s="52">
        <v>1319.65</v>
      </c>
      <c r="J1979" s="49">
        <v>51812.99</v>
      </c>
      <c r="K1979" s="58">
        <v>967.40000000000009</v>
      </c>
      <c r="L1979" s="58">
        <v>37920.374176607998</v>
      </c>
      <c r="M1979" s="58">
        <v>352.1</v>
      </c>
      <c r="N1979" s="58">
        <v>13880.928952440001</v>
      </c>
      <c r="O1979" s="58">
        <v>1319.5</v>
      </c>
      <c r="P1979" s="53">
        <v>51801.303129047999</v>
      </c>
      <c r="Q1979" s="65">
        <v>51801.303129047999</v>
      </c>
      <c r="R1979" s="65">
        <v>0</v>
      </c>
      <c r="S1979" s="65">
        <v>280.91706984000001</v>
      </c>
      <c r="T1979" s="65">
        <v>0</v>
      </c>
      <c r="U1979" s="58">
        <v>0</v>
      </c>
      <c r="V1979" s="65">
        <v>0</v>
      </c>
      <c r="W1979" s="65">
        <v>0</v>
      </c>
      <c r="X1979" s="65">
        <v>37921</v>
      </c>
      <c r="Y1979" s="65">
        <v>13599</v>
      </c>
      <c r="Z1979" s="51">
        <v>0</v>
      </c>
      <c r="AA1979" s="51">
        <v>12</v>
      </c>
      <c r="AB1979" s="102">
        <v>0</v>
      </c>
      <c r="AC1979" s="81">
        <f t="shared" si="93"/>
        <v>0</v>
      </c>
      <c r="AD1979" s="82">
        <f t="shared" si="94"/>
        <v>0</v>
      </c>
      <c r="AE1979" s="218">
        <v>2.2555870549062257E-4</v>
      </c>
      <c r="AF1979">
        <v>13</v>
      </c>
      <c r="AH1979" t="str">
        <f t="shared" si="95"/>
        <v>Asarganj</v>
      </c>
      <c r="AJ1979" s="72">
        <v>0</v>
      </c>
      <c r="AK1979" s="72"/>
      <c r="AL1979" s="72"/>
      <c r="AM1979" s="72"/>
    </row>
    <row r="1980" spans="1:39" x14ac:dyDescent="0.25">
      <c r="A1980" s="37" t="s">
        <v>62</v>
      </c>
      <c r="B1980" s="66" t="s">
        <v>1629</v>
      </c>
      <c r="C1980" s="41">
        <v>1003</v>
      </c>
      <c r="D1980" s="41" t="s">
        <v>139</v>
      </c>
      <c r="E1980" s="41">
        <v>10030012</v>
      </c>
      <c r="F1980" s="85" t="s">
        <v>479</v>
      </c>
      <c r="G1980" s="39" t="s">
        <v>635</v>
      </c>
      <c r="H1980" s="52" t="s">
        <v>99</v>
      </c>
      <c r="I1980" s="52">
        <v>2064</v>
      </c>
      <c r="J1980" s="49">
        <v>67032.3</v>
      </c>
      <c r="K1980" s="58">
        <v>0</v>
      </c>
      <c r="L1980" s="58">
        <v>0</v>
      </c>
      <c r="M1980" s="58">
        <v>0</v>
      </c>
      <c r="N1980" s="58">
        <v>0</v>
      </c>
      <c r="O1980" s="58">
        <v>0</v>
      </c>
      <c r="P1980" s="53">
        <v>0</v>
      </c>
      <c r="Q1980" s="65">
        <v>67032.3</v>
      </c>
      <c r="R1980" s="65">
        <v>0</v>
      </c>
      <c r="S1980" s="65">
        <v>0</v>
      </c>
      <c r="T1980" s="65">
        <v>0</v>
      </c>
      <c r="U1980" s="58">
        <v>0</v>
      </c>
      <c r="V1980" s="65">
        <v>0</v>
      </c>
      <c r="W1980" s="65">
        <v>0</v>
      </c>
      <c r="X1980" s="65">
        <v>0</v>
      </c>
      <c r="Y1980" s="65">
        <v>0</v>
      </c>
      <c r="Z1980" s="51">
        <v>67032.3</v>
      </c>
      <c r="AA1980" s="51">
        <v>0</v>
      </c>
      <c r="AB1980" s="102">
        <v>0</v>
      </c>
      <c r="AC1980" s="81">
        <f t="shared" si="93"/>
        <v>0</v>
      </c>
      <c r="AD1980" s="82">
        <f t="shared" si="94"/>
        <v>0</v>
      </c>
      <c r="AE1980" s="218">
        <v>0</v>
      </c>
      <c r="AF1980">
        <v>0</v>
      </c>
      <c r="AH1980" t="str">
        <f t="shared" si="95"/>
        <v>Asarganj</v>
      </c>
      <c r="AJ1980" s="72">
        <v>0</v>
      </c>
      <c r="AK1980" s="72"/>
      <c r="AL1980" s="72"/>
      <c r="AM1980" s="72"/>
    </row>
    <row r="1981" spans="1:39" x14ac:dyDescent="0.25">
      <c r="A1981" s="37" t="s">
        <v>62</v>
      </c>
      <c r="B1981" s="66" t="s">
        <v>1629</v>
      </c>
      <c r="C1981" s="41">
        <v>1003</v>
      </c>
      <c r="D1981" s="41" t="s">
        <v>139</v>
      </c>
      <c r="E1981" s="41">
        <v>10030013</v>
      </c>
      <c r="F1981" s="85" t="s">
        <v>146</v>
      </c>
      <c r="G1981" s="39" t="s">
        <v>93</v>
      </c>
      <c r="H1981" s="52" t="s">
        <v>94</v>
      </c>
      <c r="I1981" s="52">
        <v>505.70000000000005</v>
      </c>
      <c r="J1981" s="49">
        <v>25541.229999999996</v>
      </c>
      <c r="K1981" s="58">
        <v>488.73999999999995</v>
      </c>
      <c r="L1981" s="58">
        <v>27191.0628602344</v>
      </c>
      <c r="M1981" s="58">
        <v>13.24</v>
      </c>
      <c r="N1981" s="58">
        <v>747.11610893320017</v>
      </c>
      <c r="O1981" s="58">
        <v>501.97999999999996</v>
      </c>
      <c r="P1981" s="53">
        <v>27938.178969167602</v>
      </c>
      <c r="Q1981" s="65">
        <v>25541.229999999996</v>
      </c>
      <c r="R1981" s="65">
        <v>0</v>
      </c>
      <c r="S1981" s="65">
        <v>747.11610893320017</v>
      </c>
      <c r="T1981" s="65">
        <v>2396.9489691676063</v>
      </c>
      <c r="U1981" s="58">
        <v>0</v>
      </c>
      <c r="V1981" s="65">
        <v>0</v>
      </c>
      <c r="W1981" s="65">
        <v>0</v>
      </c>
      <c r="X1981" s="65">
        <v>24794</v>
      </c>
      <c r="Y1981" s="65">
        <v>0</v>
      </c>
      <c r="Z1981" s="51">
        <v>0</v>
      </c>
      <c r="AA1981" s="51">
        <v>0</v>
      </c>
      <c r="AB1981" s="102" t="s">
        <v>68</v>
      </c>
      <c r="AC1981" s="81">
        <f t="shared" si="93"/>
        <v>196.26897326478138</v>
      </c>
      <c r="AD1981" s="82">
        <f t="shared" si="94"/>
        <v>72.242857142857147</v>
      </c>
      <c r="AE1981" s="218">
        <v>-9.3846262265662492E-2</v>
      </c>
      <c r="AF1981">
        <v>11</v>
      </c>
      <c r="AH1981" t="str">
        <f t="shared" si="95"/>
        <v>Asarganj</v>
      </c>
      <c r="AJ1981" s="72">
        <v>0</v>
      </c>
      <c r="AK1981" s="72"/>
      <c r="AL1981" s="72"/>
      <c r="AM1981" s="72"/>
    </row>
    <row r="1982" spans="1:39" x14ac:dyDescent="0.25">
      <c r="A1982" s="37" t="s">
        <v>62</v>
      </c>
      <c r="B1982" s="66" t="s">
        <v>1629</v>
      </c>
      <c r="C1982" s="41">
        <v>1003</v>
      </c>
      <c r="D1982" s="41" t="s">
        <v>139</v>
      </c>
      <c r="E1982" s="41">
        <v>10030015</v>
      </c>
      <c r="F1982" s="85" t="s">
        <v>147</v>
      </c>
      <c r="G1982" s="39" t="s">
        <v>93</v>
      </c>
      <c r="H1982" s="52" t="s">
        <v>94</v>
      </c>
      <c r="I1982" s="52">
        <v>864.55000000000007</v>
      </c>
      <c r="J1982" s="49">
        <v>30512.69</v>
      </c>
      <c r="K1982" s="58">
        <v>905.33000000000015</v>
      </c>
      <c r="L1982" s="58">
        <v>34096.861390319784</v>
      </c>
      <c r="M1982" s="58">
        <v>9.0399999999999974</v>
      </c>
      <c r="N1982" s="58">
        <v>340.08835703880004</v>
      </c>
      <c r="O1982" s="58">
        <v>914.37000000000012</v>
      </c>
      <c r="P1982" s="53">
        <v>34436.949747358587</v>
      </c>
      <c r="Q1982" s="65">
        <v>30512.69</v>
      </c>
      <c r="R1982" s="65">
        <v>0</v>
      </c>
      <c r="S1982" s="65">
        <v>340.08835703880004</v>
      </c>
      <c r="T1982" s="65">
        <v>3924.2597473585884</v>
      </c>
      <c r="U1982" s="58">
        <v>0</v>
      </c>
      <c r="V1982" s="65">
        <v>0</v>
      </c>
      <c r="W1982" s="65">
        <v>0</v>
      </c>
      <c r="X1982" s="65">
        <v>30173</v>
      </c>
      <c r="Y1982" s="65">
        <v>0</v>
      </c>
      <c r="Z1982" s="51">
        <v>0</v>
      </c>
      <c r="AA1982" s="51">
        <v>0</v>
      </c>
      <c r="AB1982" s="102">
        <v>0</v>
      </c>
      <c r="AC1982" s="81">
        <f t="shared" si="93"/>
        <v>0</v>
      </c>
      <c r="AD1982" s="82">
        <f t="shared" si="94"/>
        <v>0</v>
      </c>
      <c r="AE1982" s="218">
        <v>-0.1286107435089659</v>
      </c>
      <c r="AF1982">
        <v>5</v>
      </c>
      <c r="AH1982" t="str">
        <f t="shared" si="95"/>
        <v>Asarganj</v>
      </c>
      <c r="AJ1982" s="72">
        <v>0</v>
      </c>
      <c r="AK1982" s="72"/>
      <c r="AL1982" s="72"/>
      <c r="AM1982" s="72"/>
    </row>
    <row r="1983" spans="1:39" x14ac:dyDescent="0.25">
      <c r="A1983" s="37" t="s">
        <v>62</v>
      </c>
      <c r="B1983" s="66" t="s">
        <v>1629</v>
      </c>
      <c r="C1983" s="41">
        <v>1003</v>
      </c>
      <c r="D1983" s="41" t="s">
        <v>139</v>
      </c>
      <c r="E1983" s="41">
        <v>10030016</v>
      </c>
      <c r="F1983" s="85" t="s">
        <v>148</v>
      </c>
      <c r="G1983" s="39" t="s">
        <v>93</v>
      </c>
      <c r="H1983" s="52" t="s">
        <v>94</v>
      </c>
      <c r="I1983" s="52">
        <v>1232.3</v>
      </c>
      <c r="J1983" s="49">
        <v>48581.070000000014</v>
      </c>
      <c r="K1983" s="58">
        <v>227.46</v>
      </c>
      <c r="L1983" s="58">
        <v>10625.209663542681</v>
      </c>
      <c r="M1983" s="58">
        <v>1001.6800000000001</v>
      </c>
      <c r="N1983" s="58">
        <v>40182.964327973947</v>
      </c>
      <c r="O1983" s="58">
        <v>1229.1400000000001</v>
      </c>
      <c r="P1983" s="53">
        <v>50808.173991516625</v>
      </c>
      <c r="Q1983" s="65">
        <v>48581.070000000014</v>
      </c>
      <c r="R1983" s="65">
        <v>0</v>
      </c>
      <c r="S1983" s="65">
        <v>317.71080752400002</v>
      </c>
      <c r="T1983" s="65">
        <v>2227.1039915166111</v>
      </c>
      <c r="U1983" s="58">
        <v>0</v>
      </c>
      <c r="V1983" s="65">
        <v>0</v>
      </c>
      <c r="W1983" s="65">
        <v>0</v>
      </c>
      <c r="X1983" s="65">
        <v>8397</v>
      </c>
      <c r="Y1983" s="65">
        <v>39866</v>
      </c>
      <c r="Z1983" s="51">
        <v>0</v>
      </c>
      <c r="AA1983" s="51">
        <v>0</v>
      </c>
      <c r="AB1983" s="102">
        <v>0</v>
      </c>
      <c r="AC1983" s="81">
        <f t="shared" si="93"/>
        <v>0</v>
      </c>
      <c r="AD1983" s="82">
        <f t="shared" si="94"/>
        <v>0</v>
      </c>
      <c r="AE1983" s="218">
        <v>-4.5843041158142681E-2</v>
      </c>
      <c r="AF1983">
        <v>13</v>
      </c>
      <c r="AH1983" t="str">
        <f t="shared" si="95"/>
        <v>Asarganj</v>
      </c>
      <c r="AJ1983" s="72">
        <v>0</v>
      </c>
      <c r="AK1983" s="72"/>
      <c r="AL1983" s="72"/>
      <c r="AM1983" s="72"/>
    </row>
    <row r="1984" spans="1:39" x14ac:dyDescent="0.25">
      <c r="A1984" s="37" t="s">
        <v>62</v>
      </c>
      <c r="B1984" s="66" t="s">
        <v>1629</v>
      </c>
      <c r="C1984" s="41">
        <v>1003</v>
      </c>
      <c r="D1984" s="41" t="s">
        <v>139</v>
      </c>
      <c r="E1984" s="41">
        <v>10030017</v>
      </c>
      <c r="F1984" s="85" t="s">
        <v>149</v>
      </c>
      <c r="G1984" s="39" t="s">
        <v>93</v>
      </c>
      <c r="H1984" s="52" t="s">
        <v>94</v>
      </c>
      <c r="I1984" s="52">
        <v>1076</v>
      </c>
      <c r="J1984" s="49">
        <v>53996.87000000001</v>
      </c>
      <c r="K1984" s="58">
        <v>1082.1500000000003</v>
      </c>
      <c r="L1984" s="58">
        <v>53407.125028397044</v>
      </c>
      <c r="M1984" s="58">
        <v>18.3</v>
      </c>
      <c r="N1984" s="58">
        <v>1021.0794991945002</v>
      </c>
      <c r="O1984" s="58">
        <v>1100.4500000000003</v>
      </c>
      <c r="P1984" s="53">
        <v>54428.204527591544</v>
      </c>
      <c r="Q1984" s="65">
        <v>53996.87000000001</v>
      </c>
      <c r="R1984" s="65">
        <v>0</v>
      </c>
      <c r="S1984" s="65">
        <v>1021.0794991945002</v>
      </c>
      <c r="T1984" s="65">
        <v>431.33452759153442</v>
      </c>
      <c r="U1984" s="58">
        <v>0</v>
      </c>
      <c r="V1984" s="65">
        <v>0</v>
      </c>
      <c r="W1984" s="65">
        <v>0</v>
      </c>
      <c r="X1984" s="65">
        <v>52976</v>
      </c>
      <c r="Y1984" s="65">
        <v>0</v>
      </c>
      <c r="Z1984" s="51">
        <v>0</v>
      </c>
      <c r="AA1984" s="51">
        <v>0</v>
      </c>
      <c r="AB1984" s="102">
        <v>0</v>
      </c>
      <c r="AC1984" s="81">
        <f t="shared" si="93"/>
        <v>0</v>
      </c>
      <c r="AD1984" s="82">
        <f t="shared" si="94"/>
        <v>0</v>
      </c>
      <c r="AE1984" s="218">
        <v>-7.9881394531115292E-3</v>
      </c>
      <c r="AF1984">
        <v>34</v>
      </c>
      <c r="AH1984" t="str">
        <f t="shared" si="95"/>
        <v>Asarganj</v>
      </c>
      <c r="AJ1984" s="72">
        <v>0</v>
      </c>
      <c r="AK1984" s="72"/>
      <c r="AL1984" s="72"/>
      <c r="AM1984" s="72"/>
    </row>
    <row r="1985" spans="1:39" x14ac:dyDescent="0.25">
      <c r="A1985" s="37" t="s">
        <v>62</v>
      </c>
      <c r="B1985" s="66" t="s">
        <v>1629</v>
      </c>
      <c r="C1985" s="41">
        <v>1003</v>
      </c>
      <c r="D1985" s="41" t="s">
        <v>139</v>
      </c>
      <c r="E1985" s="41">
        <v>10030018</v>
      </c>
      <c r="F1985" s="85" t="s">
        <v>150</v>
      </c>
      <c r="G1985" s="39" t="s">
        <v>93</v>
      </c>
      <c r="H1985" s="52" t="s">
        <v>94</v>
      </c>
      <c r="I1985" s="52">
        <v>891.40000000000009</v>
      </c>
      <c r="J1985" s="49">
        <v>34937.9</v>
      </c>
      <c r="K1985" s="58">
        <v>888.45999999999981</v>
      </c>
      <c r="L1985" s="58">
        <v>34637.195076257907</v>
      </c>
      <c r="M1985" s="58">
        <v>23.9</v>
      </c>
      <c r="N1985" s="58">
        <v>974.58725887304411</v>
      </c>
      <c r="O1985" s="58">
        <v>912.35999999999979</v>
      </c>
      <c r="P1985" s="53">
        <v>35611.782335130949</v>
      </c>
      <c r="Q1985" s="65">
        <v>34937.9</v>
      </c>
      <c r="R1985" s="65">
        <v>0</v>
      </c>
      <c r="S1985" s="65">
        <v>974.58725887304411</v>
      </c>
      <c r="T1985" s="65">
        <v>673.88233513094747</v>
      </c>
      <c r="U1985" s="58">
        <v>0</v>
      </c>
      <c r="V1985" s="65">
        <v>0</v>
      </c>
      <c r="W1985" s="65">
        <v>0</v>
      </c>
      <c r="X1985" s="65">
        <v>33963</v>
      </c>
      <c r="Y1985" s="65">
        <v>0</v>
      </c>
      <c r="Z1985" s="51">
        <v>0</v>
      </c>
      <c r="AA1985" s="51">
        <v>0</v>
      </c>
      <c r="AB1985" s="102">
        <v>0</v>
      </c>
      <c r="AC1985" s="81">
        <f t="shared" si="93"/>
        <v>0</v>
      </c>
      <c r="AD1985" s="82">
        <f t="shared" si="94"/>
        <v>0</v>
      </c>
      <c r="AE1985" s="218">
        <v>-1.928800343268907E-2</v>
      </c>
      <c r="AF1985">
        <v>20</v>
      </c>
      <c r="AH1985" t="str">
        <f t="shared" si="95"/>
        <v>Asarganj</v>
      </c>
      <c r="AJ1985" s="72">
        <v>0</v>
      </c>
      <c r="AK1985" s="72"/>
      <c r="AL1985" s="72"/>
      <c r="AM1985" s="72"/>
    </row>
    <row r="1986" spans="1:39" x14ac:dyDescent="0.25">
      <c r="A1986" s="37" t="s">
        <v>62</v>
      </c>
      <c r="B1986" s="66" t="s">
        <v>1629</v>
      </c>
      <c r="C1986" s="41">
        <v>1003</v>
      </c>
      <c r="D1986" s="41" t="s">
        <v>139</v>
      </c>
      <c r="E1986" s="41">
        <v>10030019</v>
      </c>
      <c r="F1986" s="85" t="s">
        <v>151</v>
      </c>
      <c r="G1986" s="39" t="s">
        <v>93</v>
      </c>
      <c r="H1986" s="52" t="s">
        <v>94</v>
      </c>
      <c r="I1986" s="52">
        <v>624.45000000000016</v>
      </c>
      <c r="J1986" s="49">
        <v>27228.210000000003</v>
      </c>
      <c r="K1986" s="58">
        <v>652.95000000000005</v>
      </c>
      <c r="L1986" s="58">
        <v>30024.529276813148</v>
      </c>
      <c r="M1986" s="58">
        <v>55.870000000000005</v>
      </c>
      <c r="N1986" s="58">
        <v>2868.4778147646402</v>
      </c>
      <c r="O1986" s="58">
        <v>708.82</v>
      </c>
      <c r="P1986" s="53">
        <v>32893.007091577791</v>
      </c>
      <c r="Q1986" s="65">
        <v>27228.210000000003</v>
      </c>
      <c r="R1986" s="65">
        <v>0</v>
      </c>
      <c r="S1986" s="65">
        <v>1477.6132382646401</v>
      </c>
      <c r="T1986" s="65">
        <v>5664.7970915777878</v>
      </c>
      <c r="U1986" s="58">
        <v>0</v>
      </c>
      <c r="V1986" s="65">
        <v>0</v>
      </c>
      <c r="W1986" s="65">
        <v>0</v>
      </c>
      <c r="X1986" s="65">
        <v>24360</v>
      </c>
      <c r="Y1986" s="65">
        <v>1391</v>
      </c>
      <c r="Z1986" s="51">
        <v>0</v>
      </c>
      <c r="AA1986" s="51">
        <v>0</v>
      </c>
      <c r="AB1986" s="102">
        <v>0</v>
      </c>
      <c r="AC1986" s="81">
        <f t="shared" ref="AC1986:AC2049" si="96">((IF(AD1986=0,0,100-AD1986))*7*(J1986/I1986))*2%</f>
        <v>65.884899207302254</v>
      </c>
      <c r="AD1986" s="82">
        <f t="shared" ref="AD1986:AD2049" si="97">IF((I1986/7)&gt;100,0,(I1986/7))</f>
        <v>89.207142857142884</v>
      </c>
      <c r="AE1986" s="218">
        <v>-0.2080488247878868</v>
      </c>
      <c r="AF1986">
        <v>12</v>
      </c>
      <c r="AH1986" t="str">
        <f t="shared" si="95"/>
        <v>Asarganj</v>
      </c>
      <c r="AJ1986" s="72">
        <v>0</v>
      </c>
      <c r="AK1986" s="72"/>
      <c r="AL1986" s="72"/>
      <c r="AM1986" s="72"/>
    </row>
    <row r="1987" spans="1:39" x14ac:dyDescent="0.25">
      <c r="A1987" s="37" t="s">
        <v>62</v>
      </c>
      <c r="B1987" s="66" t="s">
        <v>1629</v>
      </c>
      <c r="C1987" s="41">
        <v>1003</v>
      </c>
      <c r="D1987" s="41" t="s">
        <v>139</v>
      </c>
      <c r="E1987" s="41">
        <v>10030021</v>
      </c>
      <c r="F1987" s="85" t="s">
        <v>152</v>
      </c>
      <c r="G1987" s="39" t="s">
        <v>93</v>
      </c>
      <c r="H1987" s="52" t="s">
        <v>94</v>
      </c>
      <c r="I1987" s="52">
        <v>770.84999999999991</v>
      </c>
      <c r="J1987" s="49">
        <v>31214.6</v>
      </c>
      <c r="K1987" s="58">
        <v>789.13</v>
      </c>
      <c r="L1987" s="58">
        <v>33321.372236484705</v>
      </c>
      <c r="M1987" s="58">
        <v>27.740000000000002</v>
      </c>
      <c r="N1987" s="58">
        <v>1155.9369152430002</v>
      </c>
      <c r="O1987" s="58">
        <v>816.87</v>
      </c>
      <c r="P1987" s="53">
        <v>34477.309151727706</v>
      </c>
      <c r="Q1987" s="65">
        <v>31214.6</v>
      </c>
      <c r="R1987" s="65">
        <v>0</v>
      </c>
      <c r="S1987" s="65">
        <v>1155.9369152430002</v>
      </c>
      <c r="T1987" s="65">
        <v>3262.7091517277076</v>
      </c>
      <c r="U1987" s="58">
        <v>0</v>
      </c>
      <c r="V1987" s="65">
        <v>0</v>
      </c>
      <c r="W1987" s="65">
        <v>0</v>
      </c>
      <c r="X1987" s="65">
        <v>30059</v>
      </c>
      <c r="Y1987" s="65">
        <v>0</v>
      </c>
      <c r="Z1987" s="51">
        <v>0</v>
      </c>
      <c r="AA1987" s="51">
        <v>0</v>
      </c>
      <c r="AB1987" s="102">
        <v>0</v>
      </c>
      <c r="AC1987" s="81">
        <f t="shared" si="96"/>
        <v>0</v>
      </c>
      <c r="AD1987" s="82">
        <f t="shared" si="97"/>
        <v>0</v>
      </c>
      <c r="AE1987" s="218">
        <v>-0.10452509888730618</v>
      </c>
      <c r="AF1987">
        <v>10</v>
      </c>
      <c r="AH1987" t="str">
        <f t="shared" si="95"/>
        <v>Asarganj</v>
      </c>
      <c r="AJ1987" s="72">
        <v>0</v>
      </c>
      <c r="AK1987" s="72"/>
      <c r="AL1987" s="72"/>
      <c r="AM1987" s="72"/>
    </row>
    <row r="1988" spans="1:39" x14ac:dyDescent="0.25">
      <c r="A1988" s="37" t="s">
        <v>62</v>
      </c>
      <c r="B1988" s="66" t="s">
        <v>1629</v>
      </c>
      <c r="C1988" s="41">
        <v>1003</v>
      </c>
      <c r="D1988" s="41" t="s">
        <v>139</v>
      </c>
      <c r="E1988" s="41">
        <v>10030022</v>
      </c>
      <c r="F1988" s="85" t="s">
        <v>153</v>
      </c>
      <c r="G1988" s="39" t="s">
        <v>93</v>
      </c>
      <c r="H1988" s="52" t="s">
        <v>94</v>
      </c>
      <c r="I1988" s="52">
        <v>1788.1000000000001</v>
      </c>
      <c r="J1988" s="49">
        <v>69399.520000000004</v>
      </c>
      <c r="K1988" s="58">
        <v>1643.5399999999995</v>
      </c>
      <c r="L1988" s="58">
        <v>63816.823121496542</v>
      </c>
      <c r="M1988" s="58">
        <v>171.59</v>
      </c>
      <c r="N1988" s="58">
        <v>6418.047986820955</v>
      </c>
      <c r="O1988" s="58">
        <v>1815.1299999999994</v>
      </c>
      <c r="P1988" s="53">
        <v>70234.8711083175</v>
      </c>
      <c r="Q1988" s="65">
        <v>69399.520000000004</v>
      </c>
      <c r="R1988" s="65">
        <v>0</v>
      </c>
      <c r="S1988" s="65">
        <v>863.06742660600003</v>
      </c>
      <c r="T1988" s="65">
        <v>835.35110831749626</v>
      </c>
      <c r="U1988" s="58">
        <v>0</v>
      </c>
      <c r="V1988" s="65">
        <v>0</v>
      </c>
      <c r="W1988" s="65">
        <v>0</v>
      </c>
      <c r="X1988" s="65">
        <v>62981</v>
      </c>
      <c r="Y1988" s="65">
        <v>5555</v>
      </c>
      <c r="Z1988" s="51">
        <v>0</v>
      </c>
      <c r="AA1988" s="51">
        <v>0</v>
      </c>
      <c r="AB1988" s="102">
        <v>0</v>
      </c>
      <c r="AC1988" s="81">
        <f t="shared" si="96"/>
        <v>0</v>
      </c>
      <c r="AD1988" s="82">
        <f t="shared" si="97"/>
        <v>0</v>
      </c>
      <c r="AE1988" s="218">
        <v>-1.2036842737781129E-2</v>
      </c>
      <c r="AF1988">
        <v>26</v>
      </c>
      <c r="AH1988" t="str">
        <f t="shared" si="95"/>
        <v>Asarganj</v>
      </c>
      <c r="AJ1988" s="72">
        <v>0</v>
      </c>
      <c r="AK1988" s="72"/>
      <c r="AL1988" s="72"/>
      <c r="AM1988" s="72"/>
    </row>
    <row r="1989" spans="1:39" x14ac:dyDescent="0.25">
      <c r="A1989" s="37" t="s">
        <v>62</v>
      </c>
      <c r="B1989" s="66" t="s">
        <v>1629</v>
      </c>
      <c r="C1989" s="41">
        <v>1003</v>
      </c>
      <c r="D1989" s="41" t="s">
        <v>139</v>
      </c>
      <c r="E1989" s="41">
        <v>10030023</v>
      </c>
      <c r="F1989" s="85" t="s">
        <v>154</v>
      </c>
      <c r="G1989" s="39" t="s">
        <v>93</v>
      </c>
      <c r="H1989" s="52" t="s">
        <v>94</v>
      </c>
      <c r="I1989" s="52">
        <v>243.04999999999998</v>
      </c>
      <c r="J1989" s="49">
        <v>10070.810000000001</v>
      </c>
      <c r="K1989" s="58">
        <v>235.94</v>
      </c>
      <c r="L1989" s="58">
        <v>10665.105993720603</v>
      </c>
      <c r="M1989" s="58">
        <v>11.32</v>
      </c>
      <c r="N1989" s="58">
        <v>495.45111689100003</v>
      </c>
      <c r="O1989" s="58">
        <v>247.26</v>
      </c>
      <c r="P1989" s="53">
        <v>11160.557110611602</v>
      </c>
      <c r="Q1989" s="65">
        <v>10070.810000000001</v>
      </c>
      <c r="R1989" s="65">
        <v>0</v>
      </c>
      <c r="S1989" s="65">
        <v>495.45111689100003</v>
      </c>
      <c r="T1989" s="65">
        <v>1089.7471106116009</v>
      </c>
      <c r="U1989" s="58">
        <v>0</v>
      </c>
      <c r="V1989" s="65">
        <v>0</v>
      </c>
      <c r="W1989" s="65">
        <v>0</v>
      </c>
      <c r="X1989" s="65">
        <v>9575</v>
      </c>
      <c r="Y1989" s="65">
        <v>0</v>
      </c>
      <c r="Z1989" s="51">
        <v>0</v>
      </c>
      <c r="AA1989" s="51">
        <v>0</v>
      </c>
      <c r="AB1989" s="102" t="s">
        <v>68</v>
      </c>
      <c r="AC1989" s="81">
        <f t="shared" si="96"/>
        <v>378.67571524377712</v>
      </c>
      <c r="AD1989" s="82">
        <f t="shared" si="97"/>
        <v>34.721428571428568</v>
      </c>
      <c r="AE1989" s="218">
        <v>-0.10820848676636742</v>
      </c>
      <c r="AF1989">
        <v>9</v>
      </c>
      <c r="AH1989" t="str">
        <f t="shared" si="95"/>
        <v>Asarganj</v>
      </c>
      <c r="AJ1989" s="72">
        <v>0</v>
      </c>
      <c r="AK1989" s="72"/>
      <c r="AL1989" s="72"/>
      <c r="AM1989" s="72"/>
    </row>
    <row r="1990" spans="1:39" x14ac:dyDescent="0.25">
      <c r="A1990" s="37" t="s">
        <v>62</v>
      </c>
      <c r="B1990" s="66" t="s">
        <v>1629</v>
      </c>
      <c r="C1990" s="41">
        <v>1003</v>
      </c>
      <c r="D1990" s="41" t="s">
        <v>139</v>
      </c>
      <c r="E1990" s="41">
        <v>10030025</v>
      </c>
      <c r="F1990" s="85" t="s">
        <v>155</v>
      </c>
      <c r="G1990" s="39" t="s">
        <v>93</v>
      </c>
      <c r="H1990" s="52" t="s">
        <v>94</v>
      </c>
      <c r="I1990" s="52">
        <v>798.75000000000011</v>
      </c>
      <c r="J1990" s="49">
        <v>29522.449999999997</v>
      </c>
      <c r="K1990" s="58">
        <v>775.02</v>
      </c>
      <c r="L1990" s="58">
        <v>28642.993021443435</v>
      </c>
      <c r="M1990" s="58">
        <v>8.07</v>
      </c>
      <c r="N1990" s="58">
        <v>283.23052534260006</v>
      </c>
      <c r="O1990" s="58">
        <v>783.09</v>
      </c>
      <c r="P1990" s="53">
        <v>28926.223546786034</v>
      </c>
      <c r="Q1990" s="65">
        <v>28926.223546786034</v>
      </c>
      <c r="R1990" s="65">
        <v>0</v>
      </c>
      <c r="S1990" s="65">
        <v>283.23052534260006</v>
      </c>
      <c r="T1990" s="65">
        <v>0</v>
      </c>
      <c r="U1990" s="58">
        <v>0</v>
      </c>
      <c r="V1990" s="65">
        <v>0</v>
      </c>
      <c r="W1990" s="65">
        <v>0</v>
      </c>
      <c r="X1990" s="65">
        <v>28643</v>
      </c>
      <c r="Y1990" s="65">
        <v>0</v>
      </c>
      <c r="Z1990" s="51">
        <v>0</v>
      </c>
      <c r="AA1990" s="51">
        <v>596</v>
      </c>
      <c r="AB1990" s="102">
        <v>0</v>
      </c>
      <c r="AC1990" s="81">
        <f t="shared" si="96"/>
        <v>0</v>
      </c>
      <c r="AD1990" s="82">
        <f t="shared" si="97"/>
        <v>0</v>
      </c>
      <c r="AE1990" s="218">
        <v>2.0195696942969282E-2</v>
      </c>
      <c r="AF1990">
        <v>8</v>
      </c>
      <c r="AH1990" t="str">
        <f t="shared" si="95"/>
        <v>Asarganj</v>
      </c>
      <c r="AJ1990" s="72">
        <v>0</v>
      </c>
      <c r="AK1990" s="72"/>
      <c r="AL1990" s="72"/>
      <c r="AM1990" s="72"/>
    </row>
    <row r="1991" spans="1:39" x14ac:dyDescent="0.25">
      <c r="A1991" s="37" t="s">
        <v>62</v>
      </c>
      <c r="B1991" s="66" t="s">
        <v>1629</v>
      </c>
      <c r="C1991" s="41">
        <v>1003</v>
      </c>
      <c r="D1991" s="41" t="s">
        <v>139</v>
      </c>
      <c r="E1991" s="41">
        <v>10030026</v>
      </c>
      <c r="F1991" s="85" t="s">
        <v>156</v>
      </c>
      <c r="G1991" s="39" t="s">
        <v>93</v>
      </c>
      <c r="H1991" s="52" t="s">
        <v>94</v>
      </c>
      <c r="I1991" s="52">
        <v>1261.5500000000002</v>
      </c>
      <c r="J1991" s="49">
        <v>46967.65</v>
      </c>
      <c r="K1991" s="58">
        <v>1264.1400000000001</v>
      </c>
      <c r="L1991" s="58">
        <v>48315.055951472663</v>
      </c>
      <c r="M1991" s="58">
        <v>0</v>
      </c>
      <c r="N1991" s="58">
        <v>0</v>
      </c>
      <c r="O1991" s="58">
        <v>1264.1400000000001</v>
      </c>
      <c r="P1991" s="53">
        <v>48315.055951472663</v>
      </c>
      <c r="Q1991" s="65">
        <v>46967.65</v>
      </c>
      <c r="R1991" s="65">
        <v>0</v>
      </c>
      <c r="S1991" s="65">
        <v>0</v>
      </c>
      <c r="T1991" s="65">
        <v>1347.4059514726614</v>
      </c>
      <c r="U1991" s="58">
        <v>0</v>
      </c>
      <c r="V1991" s="65">
        <v>0</v>
      </c>
      <c r="W1991" s="65">
        <v>0</v>
      </c>
      <c r="X1991" s="65">
        <v>46968</v>
      </c>
      <c r="Y1991" s="65">
        <v>0</v>
      </c>
      <c r="Z1991" s="51">
        <v>0</v>
      </c>
      <c r="AA1991" s="51">
        <v>0</v>
      </c>
      <c r="AB1991" s="102">
        <v>0</v>
      </c>
      <c r="AC1991" s="81">
        <f t="shared" si="96"/>
        <v>0</v>
      </c>
      <c r="AD1991" s="82">
        <f t="shared" si="97"/>
        <v>0</v>
      </c>
      <c r="AE1991" s="218">
        <v>-2.8687957593634371E-2</v>
      </c>
      <c r="AF1991">
        <v>39</v>
      </c>
      <c r="AH1991" t="str">
        <f t="shared" si="95"/>
        <v>Asarganj</v>
      </c>
      <c r="AJ1991" s="72">
        <v>0</v>
      </c>
      <c r="AK1991" s="72"/>
      <c r="AL1991" s="72"/>
      <c r="AM1991" s="72"/>
    </row>
    <row r="1992" spans="1:39" x14ac:dyDescent="0.25">
      <c r="A1992" s="37" t="s">
        <v>62</v>
      </c>
      <c r="B1992" s="66" t="s">
        <v>1629</v>
      </c>
      <c r="C1992" s="41">
        <v>1003</v>
      </c>
      <c r="D1992" s="41" t="s">
        <v>139</v>
      </c>
      <c r="E1992" s="41">
        <v>10030027</v>
      </c>
      <c r="F1992" s="85" t="s">
        <v>157</v>
      </c>
      <c r="G1992" s="39" t="s">
        <v>93</v>
      </c>
      <c r="H1992" s="52" t="s">
        <v>94</v>
      </c>
      <c r="I1992" s="52">
        <v>791.99999999999989</v>
      </c>
      <c r="J1992" s="49">
        <v>29698.379999999994</v>
      </c>
      <c r="K1992" s="58">
        <v>747.79999999999984</v>
      </c>
      <c r="L1992" s="58">
        <v>27692.202884823306</v>
      </c>
      <c r="M1992" s="58">
        <v>23.299999999999997</v>
      </c>
      <c r="N1992" s="58">
        <v>941.87248452000006</v>
      </c>
      <c r="O1992" s="58">
        <v>771.0999999999998</v>
      </c>
      <c r="P1992" s="53">
        <v>28634.075369343307</v>
      </c>
      <c r="Q1992" s="65">
        <v>28634.075369343307</v>
      </c>
      <c r="R1992" s="65">
        <v>0</v>
      </c>
      <c r="S1992" s="65">
        <v>941.87248452000006</v>
      </c>
      <c r="T1992" s="65">
        <v>0</v>
      </c>
      <c r="U1992" s="58">
        <v>0</v>
      </c>
      <c r="V1992" s="65">
        <v>0</v>
      </c>
      <c r="W1992" s="65">
        <v>0</v>
      </c>
      <c r="X1992" s="65">
        <v>27691</v>
      </c>
      <c r="Y1992" s="65">
        <v>0</v>
      </c>
      <c r="Z1992" s="51">
        <v>0</v>
      </c>
      <c r="AA1992" s="51">
        <v>1066</v>
      </c>
      <c r="AB1992" s="102">
        <v>0</v>
      </c>
      <c r="AC1992" s="81">
        <f t="shared" si="96"/>
        <v>0</v>
      </c>
      <c r="AD1992" s="82">
        <f t="shared" si="97"/>
        <v>0</v>
      </c>
      <c r="AE1992" s="218">
        <v>3.5837127501792583E-2</v>
      </c>
      <c r="AF1992">
        <v>36</v>
      </c>
      <c r="AH1992" t="str">
        <f t="shared" si="95"/>
        <v>Asarganj</v>
      </c>
      <c r="AJ1992" s="72">
        <v>0</v>
      </c>
      <c r="AK1992" s="72"/>
      <c r="AL1992" s="72"/>
      <c r="AM1992" s="72"/>
    </row>
    <row r="1993" spans="1:39" x14ac:dyDescent="0.25">
      <c r="A1993" s="37" t="s">
        <v>62</v>
      </c>
      <c r="B1993" s="66" t="s">
        <v>1629</v>
      </c>
      <c r="C1993" s="41">
        <v>1003</v>
      </c>
      <c r="D1993" s="41" t="s">
        <v>139</v>
      </c>
      <c r="E1993" s="41">
        <v>10030028</v>
      </c>
      <c r="F1993" s="85" t="s">
        <v>158</v>
      </c>
      <c r="G1993" s="39" t="s">
        <v>93</v>
      </c>
      <c r="H1993" s="52" t="s">
        <v>94</v>
      </c>
      <c r="I1993" s="52">
        <v>987.8</v>
      </c>
      <c r="J1993" s="49">
        <v>39160.540000000008</v>
      </c>
      <c r="K1993" s="58">
        <v>990.60000000000025</v>
      </c>
      <c r="L1993" s="58">
        <v>39750.146353391588</v>
      </c>
      <c r="M1993" s="58">
        <v>23.3</v>
      </c>
      <c r="N1993" s="58">
        <v>972.62746751300017</v>
      </c>
      <c r="O1993" s="58">
        <v>1013.9000000000002</v>
      </c>
      <c r="P1993" s="53">
        <v>40722.773820904586</v>
      </c>
      <c r="Q1993" s="65">
        <v>39160.540000000008</v>
      </c>
      <c r="R1993" s="65">
        <v>0</v>
      </c>
      <c r="S1993" s="65">
        <v>972.62746751300017</v>
      </c>
      <c r="T1993" s="65">
        <v>1562.2338209045774</v>
      </c>
      <c r="U1993" s="58">
        <v>0</v>
      </c>
      <c r="V1993" s="65">
        <v>0</v>
      </c>
      <c r="W1993" s="65">
        <v>0</v>
      </c>
      <c r="X1993" s="65">
        <v>38188</v>
      </c>
      <c r="Y1993" s="65">
        <v>0</v>
      </c>
      <c r="Z1993" s="51">
        <v>0</v>
      </c>
      <c r="AA1993" s="51">
        <v>0</v>
      </c>
      <c r="AB1993" s="102">
        <v>0</v>
      </c>
      <c r="AC1993" s="81">
        <f t="shared" si="96"/>
        <v>0</v>
      </c>
      <c r="AD1993" s="82">
        <f t="shared" si="97"/>
        <v>0</v>
      </c>
      <c r="AE1993" s="218">
        <v>-3.9893061252591948E-2</v>
      </c>
      <c r="AF1993">
        <v>39</v>
      </c>
      <c r="AH1993" t="str">
        <f t="shared" si="95"/>
        <v>Asarganj</v>
      </c>
      <c r="AJ1993" s="72">
        <v>0</v>
      </c>
      <c r="AK1993" s="72"/>
      <c r="AL1993" s="72"/>
      <c r="AM1993" s="72"/>
    </row>
    <row r="1994" spans="1:39" x14ac:dyDescent="0.25">
      <c r="A1994" s="37" t="s">
        <v>62</v>
      </c>
      <c r="B1994" s="66" t="s">
        <v>1629</v>
      </c>
      <c r="C1994" s="41">
        <v>1003</v>
      </c>
      <c r="D1994" s="41" t="s">
        <v>139</v>
      </c>
      <c r="E1994" s="41">
        <v>10030031</v>
      </c>
      <c r="F1994" s="85" t="s">
        <v>159</v>
      </c>
      <c r="G1994" s="39" t="s">
        <v>93</v>
      </c>
      <c r="H1994" s="52" t="s">
        <v>94</v>
      </c>
      <c r="I1994" s="52">
        <v>855.5</v>
      </c>
      <c r="J1994" s="49">
        <v>30623.62</v>
      </c>
      <c r="K1994" s="58">
        <v>823.12999999999988</v>
      </c>
      <c r="L1994" s="58">
        <v>30549.151623144371</v>
      </c>
      <c r="M1994" s="58">
        <v>0</v>
      </c>
      <c r="N1994" s="58">
        <v>0</v>
      </c>
      <c r="O1994" s="58">
        <v>823.12999999999988</v>
      </c>
      <c r="P1994" s="53">
        <v>30549.151623144371</v>
      </c>
      <c r="Q1994" s="65">
        <v>30549.151623144371</v>
      </c>
      <c r="R1994" s="65">
        <v>0</v>
      </c>
      <c r="S1994" s="65">
        <v>0</v>
      </c>
      <c r="T1994" s="65">
        <v>0</v>
      </c>
      <c r="U1994" s="58">
        <v>0</v>
      </c>
      <c r="V1994" s="65">
        <v>0</v>
      </c>
      <c r="W1994" s="65">
        <v>0</v>
      </c>
      <c r="X1994" s="65">
        <v>30551</v>
      </c>
      <c r="Y1994" s="65">
        <v>0</v>
      </c>
      <c r="Z1994" s="51">
        <v>0</v>
      </c>
      <c r="AA1994" s="51">
        <v>73</v>
      </c>
      <c r="AB1994" s="102">
        <v>0</v>
      </c>
      <c r="AC1994" s="81">
        <f t="shared" si="96"/>
        <v>0</v>
      </c>
      <c r="AD1994" s="82">
        <f t="shared" si="97"/>
        <v>0</v>
      </c>
      <c r="AE1994" s="218">
        <v>2.431730045488674E-3</v>
      </c>
      <c r="AF1994">
        <v>22</v>
      </c>
      <c r="AH1994" t="str">
        <f t="shared" si="95"/>
        <v>Asarganj</v>
      </c>
      <c r="AJ1994" s="72">
        <v>0</v>
      </c>
      <c r="AK1994" s="72"/>
      <c r="AL1994" s="72"/>
      <c r="AM1994" s="72"/>
    </row>
    <row r="1995" spans="1:39" x14ac:dyDescent="0.25">
      <c r="A1995" s="37" t="s">
        <v>62</v>
      </c>
      <c r="B1995" s="66" t="s">
        <v>1629</v>
      </c>
      <c r="C1995" s="41">
        <v>1003</v>
      </c>
      <c r="D1995" s="41" t="s">
        <v>139</v>
      </c>
      <c r="E1995" s="41">
        <v>10030032</v>
      </c>
      <c r="F1995" s="85" t="s">
        <v>160</v>
      </c>
      <c r="G1995" s="39" t="s">
        <v>93</v>
      </c>
      <c r="H1995" s="52" t="s">
        <v>94</v>
      </c>
      <c r="I1995" s="52">
        <v>1819.8</v>
      </c>
      <c r="J1995" s="49">
        <v>67747.63</v>
      </c>
      <c r="K1995" s="58">
        <v>1781.0000000000005</v>
      </c>
      <c r="L1995" s="58">
        <v>67300.23435785585</v>
      </c>
      <c r="M1995" s="58">
        <v>13.100000000000001</v>
      </c>
      <c r="N1995" s="58">
        <v>532.79285400000003</v>
      </c>
      <c r="O1995" s="58">
        <v>1794.1000000000004</v>
      </c>
      <c r="P1995" s="53">
        <v>67833.02721185585</v>
      </c>
      <c r="Q1995" s="65">
        <v>67747.63</v>
      </c>
      <c r="R1995" s="65">
        <v>0</v>
      </c>
      <c r="S1995" s="65">
        <v>532.79285400000003</v>
      </c>
      <c r="T1995" s="65">
        <v>85.397211855844944</v>
      </c>
      <c r="U1995" s="58">
        <v>0</v>
      </c>
      <c r="V1995" s="65">
        <v>0</v>
      </c>
      <c r="W1995" s="65">
        <v>0</v>
      </c>
      <c r="X1995" s="65">
        <v>67215</v>
      </c>
      <c r="Y1995" s="65">
        <v>0</v>
      </c>
      <c r="Z1995" s="51">
        <v>0</v>
      </c>
      <c r="AA1995" s="51">
        <v>0</v>
      </c>
      <c r="AB1995" s="102">
        <v>0</v>
      </c>
      <c r="AC1995" s="81">
        <f t="shared" si="96"/>
        <v>0</v>
      </c>
      <c r="AD1995" s="82">
        <f t="shared" si="97"/>
        <v>0</v>
      </c>
      <c r="AE1995" s="218">
        <v>-1.2605195466741041E-3</v>
      </c>
      <c r="AF1995">
        <v>14</v>
      </c>
      <c r="AH1995" t="str">
        <f t="shared" si="95"/>
        <v>Asarganj</v>
      </c>
      <c r="AJ1995" s="72">
        <v>0</v>
      </c>
      <c r="AK1995" s="72"/>
      <c r="AL1995" s="72"/>
      <c r="AM1995" s="72"/>
    </row>
    <row r="1996" spans="1:39" x14ac:dyDescent="0.25">
      <c r="A1996" s="37" t="s">
        <v>62</v>
      </c>
      <c r="B1996" s="66" t="s">
        <v>1629</v>
      </c>
      <c r="C1996" s="41">
        <v>1003</v>
      </c>
      <c r="D1996" s="41" t="s">
        <v>139</v>
      </c>
      <c r="E1996" s="41">
        <v>10030034</v>
      </c>
      <c r="F1996" s="85" t="s">
        <v>161</v>
      </c>
      <c r="G1996" s="39" t="s">
        <v>93</v>
      </c>
      <c r="H1996" s="52" t="s">
        <v>94</v>
      </c>
      <c r="I1996" s="52">
        <v>1280.4499999999998</v>
      </c>
      <c r="J1996" s="49">
        <v>52025.51999999999</v>
      </c>
      <c r="K1996" s="58">
        <v>1321.6500000000003</v>
      </c>
      <c r="L1996" s="58">
        <v>53815.77619554408</v>
      </c>
      <c r="M1996" s="58">
        <v>0</v>
      </c>
      <c r="N1996" s="58">
        <v>0</v>
      </c>
      <c r="O1996" s="58">
        <v>1321.6500000000003</v>
      </c>
      <c r="P1996" s="53">
        <v>53815.77619554408</v>
      </c>
      <c r="Q1996" s="65">
        <v>52025.51999999999</v>
      </c>
      <c r="R1996" s="65">
        <v>0</v>
      </c>
      <c r="S1996" s="65">
        <v>0</v>
      </c>
      <c r="T1996" s="65">
        <v>1790.2561955440906</v>
      </c>
      <c r="U1996" s="58">
        <v>0</v>
      </c>
      <c r="V1996" s="65">
        <v>0</v>
      </c>
      <c r="W1996" s="65">
        <v>0</v>
      </c>
      <c r="X1996" s="65">
        <v>52026</v>
      </c>
      <c r="Y1996" s="65">
        <v>0</v>
      </c>
      <c r="Z1996" s="51">
        <v>0</v>
      </c>
      <c r="AA1996" s="51">
        <v>0</v>
      </c>
      <c r="AB1996" s="102">
        <v>0</v>
      </c>
      <c r="AC1996" s="81">
        <f t="shared" si="96"/>
        <v>0</v>
      </c>
      <c r="AD1996" s="82">
        <f t="shared" si="97"/>
        <v>0</v>
      </c>
      <c r="AE1996" s="218">
        <v>-3.4411115843610805E-2</v>
      </c>
      <c r="AF1996">
        <v>36</v>
      </c>
      <c r="AH1996" t="str">
        <f t="shared" si="95"/>
        <v>Asarganj</v>
      </c>
      <c r="AJ1996" s="72">
        <v>0</v>
      </c>
      <c r="AK1996" s="72"/>
      <c r="AL1996" s="72"/>
      <c r="AM1996" s="72"/>
    </row>
    <row r="1997" spans="1:39" x14ac:dyDescent="0.25">
      <c r="A1997" s="37" t="s">
        <v>62</v>
      </c>
      <c r="B1997" s="66" t="s">
        <v>1629</v>
      </c>
      <c r="C1997" s="41">
        <v>1003</v>
      </c>
      <c r="D1997" s="41" t="s">
        <v>139</v>
      </c>
      <c r="E1997" s="41">
        <v>10030035</v>
      </c>
      <c r="F1997" s="85" t="s">
        <v>162</v>
      </c>
      <c r="G1997" s="39" t="s">
        <v>93</v>
      </c>
      <c r="H1997" s="52" t="s">
        <v>94</v>
      </c>
      <c r="I1997" s="52">
        <v>573.75</v>
      </c>
      <c r="J1997" s="49">
        <v>23846.76</v>
      </c>
      <c r="K1997" s="58">
        <v>570.36</v>
      </c>
      <c r="L1997" s="58">
        <v>23712.611230607621</v>
      </c>
      <c r="M1997" s="58">
        <v>2.29</v>
      </c>
      <c r="N1997" s="58">
        <v>99.652211111010004</v>
      </c>
      <c r="O1997" s="58">
        <v>572.65</v>
      </c>
      <c r="P1997" s="53">
        <v>23812.263441718631</v>
      </c>
      <c r="Q1997" s="65">
        <v>23812.263441718631</v>
      </c>
      <c r="R1997" s="65">
        <v>0</v>
      </c>
      <c r="S1997" s="65">
        <v>99.652211111010004</v>
      </c>
      <c r="T1997" s="65">
        <v>0</v>
      </c>
      <c r="U1997" s="58">
        <v>0</v>
      </c>
      <c r="V1997" s="65">
        <v>0</v>
      </c>
      <c r="W1997" s="65">
        <v>0</v>
      </c>
      <c r="X1997" s="65">
        <v>23713</v>
      </c>
      <c r="Y1997" s="65">
        <v>0</v>
      </c>
      <c r="Z1997" s="51">
        <v>0</v>
      </c>
      <c r="AA1997" s="51">
        <v>34</v>
      </c>
      <c r="AB1997" s="102">
        <v>0</v>
      </c>
      <c r="AC1997" s="81">
        <f t="shared" si="96"/>
        <v>104.94652549019611</v>
      </c>
      <c r="AD1997" s="82">
        <f t="shared" si="97"/>
        <v>81.964285714285708</v>
      </c>
      <c r="AE1997" s="218">
        <v>1.4465930919490728E-3</v>
      </c>
      <c r="AF1997">
        <v>6</v>
      </c>
      <c r="AH1997" t="str">
        <f t="shared" si="95"/>
        <v>Asarganj</v>
      </c>
      <c r="AJ1997" s="72">
        <v>0</v>
      </c>
      <c r="AK1997" s="72"/>
      <c r="AL1997" s="72"/>
      <c r="AM1997" s="72"/>
    </row>
    <row r="1998" spans="1:39" x14ac:dyDescent="0.25">
      <c r="A1998" s="37" t="s">
        <v>62</v>
      </c>
      <c r="B1998" s="66" t="s">
        <v>1629</v>
      </c>
      <c r="C1998" s="41">
        <v>1003</v>
      </c>
      <c r="D1998" s="41" t="s">
        <v>139</v>
      </c>
      <c r="E1998" s="41">
        <v>10030037</v>
      </c>
      <c r="F1998" s="85" t="s">
        <v>163</v>
      </c>
      <c r="G1998" s="39" t="s">
        <v>93</v>
      </c>
      <c r="H1998" s="52" t="s">
        <v>94</v>
      </c>
      <c r="I1998" s="52">
        <v>1524.9</v>
      </c>
      <c r="J1998" s="49">
        <v>55069.030000000006</v>
      </c>
      <c r="K1998" s="58">
        <v>1500.8099999999997</v>
      </c>
      <c r="L1998" s="58">
        <v>56078.481221472604</v>
      </c>
      <c r="M1998" s="58">
        <v>23.02</v>
      </c>
      <c r="N1998" s="58">
        <v>874.96325611200007</v>
      </c>
      <c r="O1998" s="58">
        <v>1523.8299999999997</v>
      </c>
      <c r="P1998" s="53">
        <v>56953.444477584606</v>
      </c>
      <c r="Q1998" s="65">
        <v>55069.030000000006</v>
      </c>
      <c r="R1998" s="65">
        <v>0</v>
      </c>
      <c r="S1998" s="65">
        <v>874.96325611200007</v>
      </c>
      <c r="T1998" s="65">
        <v>1884.4144775845998</v>
      </c>
      <c r="U1998" s="58">
        <v>0</v>
      </c>
      <c r="V1998" s="65">
        <v>0</v>
      </c>
      <c r="W1998" s="65">
        <v>0</v>
      </c>
      <c r="X1998" s="65">
        <v>54194</v>
      </c>
      <c r="Y1998" s="65">
        <v>0</v>
      </c>
      <c r="Z1998" s="51">
        <v>0</v>
      </c>
      <c r="AA1998" s="51">
        <v>0</v>
      </c>
      <c r="AB1998" s="102">
        <v>0</v>
      </c>
      <c r="AC1998" s="81">
        <f t="shared" si="96"/>
        <v>0</v>
      </c>
      <c r="AD1998" s="82">
        <f t="shared" si="97"/>
        <v>0</v>
      </c>
      <c r="AE1998" s="218">
        <v>-3.4219133287522942E-2</v>
      </c>
      <c r="AF1998">
        <v>16</v>
      </c>
      <c r="AH1998" t="str">
        <f t="shared" si="95"/>
        <v>Asarganj</v>
      </c>
      <c r="AJ1998" s="72">
        <v>0</v>
      </c>
      <c r="AK1998" s="72"/>
      <c r="AL1998" s="72"/>
      <c r="AM1998" s="72"/>
    </row>
    <row r="1999" spans="1:39" x14ac:dyDescent="0.25">
      <c r="A1999" s="37" t="s">
        <v>62</v>
      </c>
      <c r="B1999" s="66" t="s">
        <v>1629</v>
      </c>
      <c r="C1999" s="41">
        <v>1003</v>
      </c>
      <c r="D1999" s="41" t="s">
        <v>139</v>
      </c>
      <c r="E1999" s="41">
        <v>10030038</v>
      </c>
      <c r="F1999" s="85" t="s">
        <v>164</v>
      </c>
      <c r="G1999" s="39" t="s">
        <v>93</v>
      </c>
      <c r="H1999" s="52" t="s">
        <v>94</v>
      </c>
      <c r="I1999" s="52">
        <v>530.15000000000009</v>
      </c>
      <c r="J1999" s="49">
        <v>22951.42</v>
      </c>
      <c r="K1999" s="58">
        <v>528.1</v>
      </c>
      <c r="L1999" s="58">
        <v>25471.88581373421</v>
      </c>
      <c r="M1999" s="58">
        <v>0</v>
      </c>
      <c r="N1999" s="58">
        <v>0</v>
      </c>
      <c r="O1999" s="58">
        <v>528.1</v>
      </c>
      <c r="P1999" s="53">
        <v>25471.88581373421</v>
      </c>
      <c r="Q1999" s="65">
        <v>22951.42</v>
      </c>
      <c r="R1999" s="65">
        <v>0</v>
      </c>
      <c r="S1999" s="65">
        <v>0</v>
      </c>
      <c r="T1999" s="65">
        <v>2520.4658137342121</v>
      </c>
      <c r="U1999" s="58">
        <v>0</v>
      </c>
      <c r="V1999" s="65">
        <v>0</v>
      </c>
      <c r="W1999" s="65">
        <v>0</v>
      </c>
      <c r="X1999" s="65">
        <v>22951</v>
      </c>
      <c r="Y1999" s="65">
        <v>0</v>
      </c>
      <c r="Z1999" s="51">
        <v>0</v>
      </c>
      <c r="AA1999" s="51">
        <v>0</v>
      </c>
      <c r="AB1999" s="102" t="s">
        <v>68</v>
      </c>
      <c r="AC1999" s="81">
        <f t="shared" si="96"/>
        <v>147.06398894652449</v>
      </c>
      <c r="AD1999" s="82">
        <f t="shared" si="97"/>
        <v>75.735714285714295</v>
      </c>
      <c r="AE1999" s="218">
        <v>-0.10981742365980895</v>
      </c>
      <c r="AF1999">
        <v>16</v>
      </c>
      <c r="AH1999" t="str">
        <f t="shared" ref="AH1999:AH2062" si="98">TEXT(D1999,"0000")</f>
        <v>Asarganj</v>
      </c>
      <c r="AJ1999" s="72">
        <v>0</v>
      </c>
      <c r="AK1999" s="72"/>
      <c r="AL1999" s="72"/>
      <c r="AM1999" s="72"/>
    </row>
    <row r="2000" spans="1:39" x14ac:dyDescent="0.25">
      <c r="A2000" s="37" t="s">
        <v>62</v>
      </c>
      <c r="B2000" s="66" t="s">
        <v>1629</v>
      </c>
      <c r="C2000" s="41">
        <v>1003</v>
      </c>
      <c r="D2000" s="41" t="s">
        <v>139</v>
      </c>
      <c r="E2000" s="41">
        <v>10030040</v>
      </c>
      <c r="F2000" s="85" t="s">
        <v>165</v>
      </c>
      <c r="G2000" s="39" t="s">
        <v>635</v>
      </c>
      <c r="H2000" s="52" t="s">
        <v>99</v>
      </c>
      <c r="I2000" s="52">
        <v>467.4</v>
      </c>
      <c r="J2000" s="49">
        <v>19433.480000000003</v>
      </c>
      <c r="K2000" s="58">
        <v>0</v>
      </c>
      <c r="L2000" s="58">
        <v>0</v>
      </c>
      <c r="M2000" s="58">
        <v>0</v>
      </c>
      <c r="N2000" s="58">
        <v>0</v>
      </c>
      <c r="O2000" s="58">
        <v>0</v>
      </c>
      <c r="P2000" s="53">
        <v>0</v>
      </c>
      <c r="Q2000" s="65">
        <v>19433.480000000003</v>
      </c>
      <c r="R2000" s="65">
        <v>0</v>
      </c>
      <c r="S2000" s="65">
        <v>0</v>
      </c>
      <c r="T2000" s="65">
        <v>0</v>
      </c>
      <c r="U2000" s="58">
        <v>0</v>
      </c>
      <c r="V2000" s="65">
        <v>0</v>
      </c>
      <c r="W2000" s="65">
        <v>0</v>
      </c>
      <c r="X2000" s="65">
        <v>0</v>
      </c>
      <c r="Y2000" s="65">
        <v>0</v>
      </c>
      <c r="Z2000" s="51">
        <v>19433.480000000003</v>
      </c>
      <c r="AA2000" s="51">
        <v>0</v>
      </c>
      <c r="AB2000" s="102">
        <v>0</v>
      </c>
      <c r="AC2000" s="81">
        <f t="shared" si="96"/>
        <v>193.42008763371848</v>
      </c>
      <c r="AD2000" s="82">
        <f t="shared" si="97"/>
        <v>66.771428571428572</v>
      </c>
      <c r="AE2000" s="218">
        <v>0</v>
      </c>
      <c r="AF2000">
        <v>0</v>
      </c>
      <c r="AH2000" t="str">
        <f t="shared" si="98"/>
        <v>Asarganj</v>
      </c>
      <c r="AJ2000" s="72">
        <v>0</v>
      </c>
      <c r="AK2000" s="72"/>
      <c r="AL2000" s="72"/>
      <c r="AM2000" s="72"/>
    </row>
    <row r="2001" spans="1:39" x14ac:dyDescent="0.25">
      <c r="A2001" s="37" t="s">
        <v>62</v>
      </c>
      <c r="B2001" s="66" t="s">
        <v>1629</v>
      </c>
      <c r="C2001" s="41">
        <v>1003</v>
      </c>
      <c r="D2001" s="41" t="s">
        <v>139</v>
      </c>
      <c r="E2001" s="41">
        <v>10030041</v>
      </c>
      <c r="F2001" s="85" t="s">
        <v>166</v>
      </c>
      <c r="G2001" s="39" t="s">
        <v>635</v>
      </c>
      <c r="H2001" s="52" t="s">
        <v>99</v>
      </c>
      <c r="I2001" s="52">
        <v>1124.45</v>
      </c>
      <c r="J2001" s="49">
        <v>41741.01</v>
      </c>
      <c r="K2001" s="58">
        <v>0</v>
      </c>
      <c r="L2001" s="58">
        <v>0</v>
      </c>
      <c r="M2001" s="58">
        <v>0</v>
      </c>
      <c r="N2001" s="58">
        <v>0</v>
      </c>
      <c r="O2001" s="58">
        <v>0</v>
      </c>
      <c r="P2001" s="53">
        <v>0</v>
      </c>
      <c r="Q2001" s="65">
        <v>41741.01</v>
      </c>
      <c r="R2001" s="65">
        <v>0</v>
      </c>
      <c r="S2001" s="65">
        <v>0</v>
      </c>
      <c r="T2001" s="65">
        <v>0</v>
      </c>
      <c r="U2001" s="58">
        <v>0</v>
      </c>
      <c r="V2001" s="65">
        <v>0</v>
      </c>
      <c r="W2001" s="65">
        <v>0</v>
      </c>
      <c r="X2001" s="65">
        <v>0</v>
      </c>
      <c r="Y2001" s="65">
        <v>0</v>
      </c>
      <c r="Z2001" s="51">
        <v>41741.01</v>
      </c>
      <c r="AA2001" s="51">
        <v>0</v>
      </c>
      <c r="AB2001" s="102">
        <v>0</v>
      </c>
      <c r="AC2001" s="81">
        <f t="shared" si="96"/>
        <v>0</v>
      </c>
      <c r="AD2001" s="82">
        <f t="shared" si="97"/>
        <v>0</v>
      </c>
      <c r="AE2001" s="218">
        <v>0</v>
      </c>
      <c r="AF2001">
        <v>0</v>
      </c>
      <c r="AH2001" t="str">
        <f t="shared" si="98"/>
        <v>Asarganj</v>
      </c>
      <c r="AJ2001" s="72">
        <v>0</v>
      </c>
      <c r="AK2001" s="72"/>
      <c r="AL2001" s="72"/>
      <c r="AM2001" s="72"/>
    </row>
    <row r="2002" spans="1:39" x14ac:dyDescent="0.25">
      <c r="A2002" s="37" t="s">
        <v>62</v>
      </c>
      <c r="B2002" s="66" t="s">
        <v>1629</v>
      </c>
      <c r="C2002" s="41">
        <v>1003</v>
      </c>
      <c r="D2002" s="41" t="s">
        <v>139</v>
      </c>
      <c r="E2002" s="41">
        <v>10030042</v>
      </c>
      <c r="F2002" s="85" t="s">
        <v>167</v>
      </c>
      <c r="G2002" s="39" t="s">
        <v>635</v>
      </c>
      <c r="H2002" s="52" t="s">
        <v>99</v>
      </c>
      <c r="I2002" s="52">
        <v>900</v>
      </c>
      <c r="J2002" s="49">
        <v>34534</v>
      </c>
      <c r="K2002" s="58">
        <v>0</v>
      </c>
      <c r="L2002" s="58">
        <v>0</v>
      </c>
      <c r="M2002" s="58">
        <v>0</v>
      </c>
      <c r="N2002" s="58">
        <v>0</v>
      </c>
      <c r="O2002" s="58">
        <v>0</v>
      </c>
      <c r="P2002" s="53">
        <v>0</v>
      </c>
      <c r="Q2002" s="65">
        <v>34534</v>
      </c>
      <c r="R2002" s="65">
        <v>0</v>
      </c>
      <c r="S2002" s="65">
        <v>0</v>
      </c>
      <c r="T2002" s="65">
        <v>0</v>
      </c>
      <c r="U2002" s="58">
        <v>0</v>
      </c>
      <c r="V2002" s="65">
        <v>0</v>
      </c>
      <c r="W2002" s="65">
        <v>0</v>
      </c>
      <c r="X2002" s="65">
        <v>0</v>
      </c>
      <c r="Y2002" s="65">
        <v>0</v>
      </c>
      <c r="Z2002" s="51">
        <v>34534</v>
      </c>
      <c r="AA2002" s="51">
        <v>0</v>
      </c>
      <c r="AB2002" s="102">
        <v>0</v>
      </c>
      <c r="AC2002" s="81">
        <f t="shared" si="96"/>
        <v>0</v>
      </c>
      <c r="AD2002" s="82">
        <f t="shared" si="97"/>
        <v>0</v>
      </c>
      <c r="AE2002" s="218">
        <v>0</v>
      </c>
      <c r="AF2002">
        <v>0</v>
      </c>
      <c r="AH2002" t="str">
        <f t="shared" si="98"/>
        <v>Asarganj</v>
      </c>
      <c r="AJ2002" s="72">
        <v>0</v>
      </c>
      <c r="AK2002" s="72"/>
      <c r="AL2002" s="72"/>
      <c r="AM2002" s="72"/>
    </row>
    <row r="2003" spans="1:39" x14ac:dyDescent="0.25">
      <c r="A2003" s="37" t="s">
        <v>62</v>
      </c>
      <c r="B2003" s="66" t="s">
        <v>1629</v>
      </c>
      <c r="C2003" s="41">
        <v>1003</v>
      </c>
      <c r="D2003" s="41" t="s">
        <v>139</v>
      </c>
      <c r="E2003" s="41">
        <v>10030043</v>
      </c>
      <c r="F2003" s="85" t="s">
        <v>168</v>
      </c>
      <c r="G2003" s="39" t="s">
        <v>635</v>
      </c>
      <c r="H2003" s="52" t="s">
        <v>99</v>
      </c>
      <c r="I2003" s="52">
        <v>13889.2</v>
      </c>
      <c r="J2003" s="49">
        <v>537224.41</v>
      </c>
      <c r="K2003" s="58">
        <v>0</v>
      </c>
      <c r="L2003" s="58">
        <v>0</v>
      </c>
      <c r="M2003" s="58">
        <v>0</v>
      </c>
      <c r="N2003" s="58">
        <v>0</v>
      </c>
      <c r="O2003" s="58">
        <v>0</v>
      </c>
      <c r="P2003" s="53">
        <v>0</v>
      </c>
      <c r="Q2003" s="65">
        <v>537224.41</v>
      </c>
      <c r="R2003" s="65">
        <v>0</v>
      </c>
      <c r="S2003" s="65">
        <v>0</v>
      </c>
      <c r="T2003" s="65">
        <v>0</v>
      </c>
      <c r="U2003" s="58">
        <v>0</v>
      </c>
      <c r="V2003" s="65">
        <v>0</v>
      </c>
      <c r="W2003" s="65">
        <v>0</v>
      </c>
      <c r="X2003" s="65">
        <v>0</v>
      </c>
      <c r="Y2003" s="65">
        <v>0</v>
      </c>
      <c r="Z2003" s="51">
        <v>537224.41</v>
      </c>
      <c r="AA2003" s="51">
        <v>0</v>
      </c>
      <c r="AB2003" s="102">
        <v>0</v>
      </c>
      <c r="AC2003" s="81">
        <f t="shared" si="96"/>
        <v>0</v>
      </c>
      <c r="AD2003" s="82">
        <f t="shared" si="97"/>
        <v>0</v>
      </c>
      <c r="AE2003" s="218">
        <v>0</v>
      </c>
      <c r="AF2003">
        <v>0</v>
      </c>
      <c r="AH2003" t="str">
        <f t="shared" si="98"/>
        <v>Asarganj</v>
      </c>
      <c r="AJ2003" s="72">
        <v>0</v>
      </c>
      <c r="AK2003" s="72"/>
      <c r="AL2003" s="72"/>
      <c r="AM2003" s="72"/>
    </row>
    <row r="2004" spans="1:39" x14ac:dyDescent="0.25">
      <c r="A2004" s="37" t="s">
        <v>62</v>
      </c>
      <c r="B2004" s="66" t="s">
        <v>1629</v>
      </c>
      <c r="C2004" s="41">
        <v>1003</v>
      </c>
      <c r="D2004" s="41" t="s">
        <v>139</v>
      </c>
      <c r="E2004" s="41">
        <v>10030044</v>
      </c>
      <c r="F2004" s="85" t="s">
        <v>169</v>
      </c>
      <c r="G2004" s="39" t="s">
        <v>635</v>
      </c>
      <c r="H2004" s="52" t="s">
        <v>99</v>
      </c>
      <c r="I2004" s="52">
        <v>13907</v>
      </c>
      <c r="J2004" s="49">
        <v>537881.75</v>
      </c>
      <c r="K2004" s="58">
        <v>0</v>
      </c>
      <c r="L2004" s="58">
        <v>0</v>
      </c>
      <c r="M2004" s="58">
        <v>0</v>
      </c>
      <c r="N2004" s="58">
        <v>0</v>
      </c>
      <c r="O2004" s="58">
        <v>0</v>
      </c>
      <c r="P2004" s="53">
        <v>0</v>
      </c>
      <c r="Q2004" s="65">
        <v>537881.75</v>
      </c>
      <c r="R2004" s="65">
        <v>0</v>
      </c>
      <c r="S2004" s="65">
        <v>0</v>
      </c>
      <c r="T2004" s="65">
        <v>0</v>
      </c>
      <c r="U2004" s="58">
        <v>0</v>
      </c>
      <c r="V2004" s="65">
        <v>0</v>
      </c>
      <c r="W2004" s="65">
        <v>0</v>
      </c>
      <c r="X2004" s="65">
        <v>0</v>
      </c>
      <c r="Y2004" s="65">
        <v>0</v>
      </c>
      <c r="Z2004" s="51">
        <v>537881.75</v>
      </c>
      <c r="AA2004" s="51">
        <v>0</v>
      </c>
      <c r="AB2004" s="102">
        <v>0</v>
      </c>
      <c r="AC2004" s="81">
        <f t="shared" si="96"/>
        <v>0</v>
      </c>
      <c r="AD2004" s="82">
        <f t="shared" si="97"/>
        <v>0</v>
      </c>
      <c r="AE2004" s="218">
        <v>0</v>
      </c>
      <c r="AF2004">
        <v>0</v>
      </c>
      <c r="AH2004" t="str">
        <f t="shared" si="98"/>
        <v>Asarganj</v>
      </c>
      <c r="AJ2004" s="72">
        <v>0</v>
      </c>
      <c r="AK2004" s="72"/>
      <c r="AL2004" s="72"/>
      <c r="AM2004" s="72"/>
    </row>
    <row r="2005" spans="1:39" x14ac:dyDescent="0.25">
      <c r="A2005" s="37" t="s">
        <v>62</v>
      </c>
      <c r="B2005" s="66" t="s">
        <v>1629</v>
      </c>
      <c r="C2005" s="41">
        <v>1003</v>
      </c>
      <c r="D2005" s="41" t="s">
        <v>139</v>
      </c>
      <c r="E2005" s="41">
        <v>10030045</v>
      </c>
      <c r="F2005" s="85" t="s">
        <v>170</v>
      </c>
      <c r="G2005" s="39" t="s">
        <v>635</v>
      </c>
      <c r="H2005" s="52" t="s">
        <v>99</v>
      </c>
      <c r="I2005" s="52">
        <v>900</v>
      </c>
      <c r="J2005" s="49">
        <v>34534</v>
      </c>
      <c r="K2005" s="58">
        <v>0</v>
      </c>
      <c r="L2005" s="58">
        <v>0</v>
      </c>
      <c r="M2005" s="58">
        <v>0</v>
      </c>
      <c r="N2005" s="58">
        <v>0</v>
      </c>
      <c r="O2005" s="58">
        <v>0</v>
      </c>
      <c r="P2005" s="53">
        <v>0</v>
      </c>
      <c r="Q2005" s="65">
        <v>34534</v>
      </c>
      <c r="R2005" s="65">
        <v>0</v>
      </c>
      <c r="S2005" s="65">
        <v>0</v>
      </c>
      <c r="T2005" s="65">
        <v>0</v>
      </c>
      <c r="U2005" s="58">
        <v>0</v>
      </c>
      <c r="V2005" s="65">
        <v>0</v>
      </c>
      <c r="W2005" s="65">
        <v>0</v>
      </c>
      <c r="X2005" s="65">
        <v>0</v>
      </c>
      <c r="Y2005" s="65">
        <v>0</v>
      </c>
      <c r="Z2005" s="51">
        <v>34534</v>
      </c>
      <c r="AA2005" s="51">
        <v>0</v>
      </c>
      <c r="AB2005" s="102">
        <v>0</v>
      </c>
      <c r="AC2005" s="81">
        <f t="shared" si="96"/>
        <v>0</v>
      </c>
      <c r="AD2005" s="82">
        <f t="shared" si="97"/>
        <v>0</v>
      </c>
      <c r="AE2005" s="218">
        <v>0</v>
      </c>
      <c r="AF2005">
        <v>0</v>
      </c>
      <c r="AH2005" t="str">
        <f t="shared" si="98"/>
        <v>Asarganj</v>
      </c>
      <c r="AJ2005" s="72">
        <v>0</v>
      </c>
      <c r="AK2005" s="72"/>
      <c r="AL2005" s="72"/>
      <c r="AM2005" s="72"/>
    </row>
    <row r="2006" spans="1:39" x14ac:dyDescent="0.25">
      <c r="A2006" s="37" t="s">
        <v>62</v>
      </c>
      <c r="B2006" s="66" t="s">
        <v>1629</v>
      </c>
      <c r="C2006" s="41">
        <v>1003</v>
      </c>
      <c r="D2006" s="41" t="s">
        <v>139</v>
      </c>
      <c r="E2006" s="41">
        <v>10030046</v>
      </c>
      <c r="F2006" s="85" t="s">
        <v>171</v>
      </c>
      <c r="G2006" s="39" t="s">
        <v>635</v>
      </c>
      <c r="H2006" s="52" t="s">
        <v>99</v>
      </c>
      <c r="I2006" s="52">
        <v>900</v>
      </c>
      <c r="J2006" s="49">
        <v>34534</v>
      </c>
      <c r="K2006" s="58">
        <v>0</v>
      </c>
      <c r="L2006" s="58">
        <v>0</v>
      </c>
      <c r="M2006" s="58">
        <v>0</v>
      </c>
      <c r="N2006" s="58">
        <v>0</v>
      </c>
      <c r="O2006" s="58">
        <v>0</v>
      </c>
      <c r="P2006" s="53">
        <v>0</v>
      </c>
      <c r="Q2006" s="65">
        <v>34534</v>
      </c>
      <c r="R2006" s="65">
        <v>0</v>
      </c>
      <c r="S2006" s="65">
        <v>0</v>
      </c>
      <c r="T2006" s="65">
        <v>0</v>
      </c>
      <c r="U2006" s="58">
        <v>0</v>
      </c>
      <c r="V2006" s="65">
        <v>0</v>
      </c>
      <c r="W2006" s="65">
        <v>0</v>
      </c>
      <c r="X2006" s="65">
        <v>0</v>
      </c>
      <c r="Y2006" s="65">
        <v>0</v>
      </c>
      <c r="Z2006" s="51">
        <v>34534</v>
      </c>
      <c r="AA2006" s="51">
        <v>0</v>
      </c>
      <c r="AB2006" s="102">
        <v>0</v>
      </c>
      <c r="AC2006" s="81">
        <f t="shared" si="96"/>
        <v>0</v>
      </c>
      <c r="AD2006" s="82">
        <f t="shared" si="97"/>
        <v>0</v>
      </c>
      <c r="AE2006" s="218">
        <v>0</v>
      </c>
      <c r="AF2006">
        <v>0</v>
      </c>
      <c r="AH2006" t="str">
        <f t="shared" si="98"/>
        <v>Asarganj</v>
      </c>
      <c r="AJ2006" s="72">
        <v>0</v>
      </c>
      <c r="AK2006" s="72"/>
      <c r="AL2006" s="72"/>
      <c r="AM2006" s="72"/>
    </row>
    <row r="2007" spans="1:39" x14ac:dyDescent="0.25">
      <c r="A2007" s="37" t="s">
        <v>62</v>
      </c>
      <c r="B2007" s="66" t="s">
        <v>1629</v>
      </c>
      <c r="C2007" s="41">
        <v>1003</v>
      </c>
      <c r="D2007" s="41" t="s">
        <v>139</v>
      </c>
      <c r="E2007" s="41">
        <v>10030047</v>
      </c>
      <c r="F2007" s="85" t="s">
        <v>172</v>
      </c>
      <c r="G2007" s="39" t="s">
        <v>635</v>
      </c>
      <c r="H2007" s="52" t="s">
        <v>99</v>
      </c>
      <c r="I2007" s="52">
        <v>900</v>
      </c>
      <c r="J2007" s="49">
        <v>34534</v>
      </c>
      <c r="K2007" s="58">
        <v>0</v>
      </c>
      <c r="L2007" s="58">
        <v>0</v>
      </c>
      <c r="M2007" s="58">
        <v>0</v>
      </c>
      <c r="N2007" s="58">
        <v>0</v>
      </c>
      <c r="O2007" s="58">
        <v>0</v>
      </c>
      <c r="P2007" s="53">
        <v>0</v>
      </c>
      <c r="Q2007" s="65">
        <v>34534</v>
      </c>
      <c r="R2007" s="65">
        <v>0</v>
      </c>
      <c r="S2007" s="65">
        <v>0</v>
      </c>
      <c r="T2007" s="65">
        <v>0</v>
      </c>
      <c r="U2007" s="58">
        <v>0</v>
      </c>
      <c r="V2007" s="65">
        <v>0</v>
      </c>
      <c r="W2007" s="65">
        <v>0</v>
      </c>
      <c r="X2007" s="65">
        <v>0</v>
      </c>
      <c r="Y2007" s="65">
        <v>0</v>
      </c>
      <c r="Z2007" s="51">
        <v>34534</v>
      </c>
      <c r="AA2007" s="51">
        <v>0</v>
      </c>
      <c r="AB2007" s="102">
        <v>0</v>
      </c>
      <c r="AC2007" s="81">
        <f t="shared" si="96"/>
        <v>0</v>
      </c>
      <c r="AD2007" s="82">
        <f t="shared" si="97"/>
        <v>0</v>
      </c>
      <c r="AE2007" s="218">
        <v>0</v>
      </c>
      <c r="AF2007">
        <v>0</v>
      </c>
      <c r="AH2007" t="str">
        <f t="shared" si="98"/>
        <v>Asarganj</v>
      </c>
      <c r="AJ2007" s="72">
        <v>0</v>
      </c>
      <c r="AK2007" s="72"/>
      <c r="AL2007" s="72"/>
      <c r="AM2007" s="72"/>
    </row>
    <row r="2008" spans="1:39" x14ac:dyDescent="0.25">
      <c r="A2008" s="37" t="s">
        <v>62</v>
      </c>
      <c r="B2008" s="66" t="s">
        <v>1629</v>
      </c>
      <c r="C2008" s="41">
        <v>1003</v>
      </c>
      <c r="D2008" s="41" t="s">
        <v>139</v>
      </c>
      <c r="E2008" s="41">
        <v>10030048</v>
      </c>
      <c r="F2008" s="85" t="s">
        <v>173</v>
      </c>
      <c r="G2008" s="39" t="s">
        <v>635</v>
      </c>
      <c r="H2008" s="52" t="s">
        <v>99</v>
      </c>
      <c r="I2008" s="52">
        <v>900</v>
      </c>
      <c r="J2008" s="49">
        <v>34534</v>
      </c>
      <c r="K2008" s="58">
        <v>0</v>
      </c>
      <c r="L2008" s="58">
        <v>0</v>
      </c>
      <c r="M2008" s="58">
        <v>0</v>
      </c>
      <c r="N2008" s="58">
        <v>0</v>
      </c>
      <c r="O2008" s="58">
        <v>0</v>
      </c>
      <c r="P2008" s="53">
        <v>0</v>
      </c>
      <c r="Q2008" s="65">
        <v>34534</v>
      </c>
      <c r="R2008" s="65">
        <v>0</v>
      </c>
      <c r="S2008" s="65">
        <v>0</v>
      </c>
      <c r="T2008" s="65">
        <v>0</v>
      </c>
      <c r="U2008" s="58">
        <v>0</v>
      </c>
      <c r="V2008" s="65">
        <v>0</v>
      </c>
      <c r="W2008" s="65">
        <v>0</v>
      </c>
      <c r="X2008" s="65">
        <v>0</v>
      </c>
      <c r="Y2008" s="65">
        <v>0</v>
      </c>
      <c r="Z2008" s="51">
        <v>34534</v>
      </c>
      <c r="AA2008" s="51">
        <v>0</v>
      </c>
      <c r="AB2008" s="102">
        <v>0</v>
      </c>
      <c r="AC2008" s="81">
        <f t="shared" si="96"/>
        <v>0</v>
      </c>
      <c r="AD2008" s="82">
        <f t="shared" si="97"/>
        <v>0</v>
      </c>
      <c r="AE2008" s="218">
        <v>0</v>
      </c>
      <c r="AF2008">
        <v>0</v>
      </c>
      <c r="AH2008" t="str">
        <f t="shared" si="98"/>
        <v>Asarganj</v>
      </c>
      <c r="AJ2008" s="72">
        <v>0</v>
      </c>
      <c r="AK2008" s="72"/>
      <c r="AL2008" s="72"/>
      <c r="AM2008" s="72"/>
    </row>
    <row r="2009" spans="1:39" x14ac:dyDescent="0.25">
      <c r="A2009" s="37" t="s">
        <v>62</v>
      </c>
      <c r="B2009" s="66" t="s">
        <v>1629</v>
      </c>
      <c r="C2009" s="41">
        <v>1003</v>
      </c>
      <c r="D2009" s="41" t="s">
        <v>139</v>
      </c>
      <c r="E2009" s="41">
        <v>10030049</v>
      </c>
      <c r="F2009" s="85" t="s">
        <v>174</v>
      </c>
      <c r="G2009" s="39" t="s">
        <v>93</v>
      </c>
      <c r="H2009" s="52" t="s">
        <v>94</v>
      </c>
      <c r="I2009" s="52">
        <v>300.00000000000006</v>
      </c>
      <c r="J2009" s="49">
        <v>8379.7999999999993</v>
      </c>
      <c r="K2009" s="58">
        <v>300.8</v>
      </c>
      <c r="L2009" s="58">
        <v>8801.3699136000014</v>
      </c>
      <c r="M2009" s="58">
        <v>0</v>
      </c>
      <c r="N2009" s="58">
        <v>0</v>
      </c>
      <c r="O2009" s="58">
        <v>300.8</v>
      </c>
      <c r="P2009" s="53">
        <v>8801.3699136000014</v>
      </c>
      <c r="Q2009" s="65">
        <v>8379.7999999999993</v>
      </c>
      <c r="R2009" s="65">
        <v>0</v>
      </c>
      <c r="S2009" s="65">
        <v>0</v>
      </c>
      <c r="T2009" s="65">
        <v>421.56991360000211</v>
      </c>
      <c r="U2009" s="58">
        <v>6769</v>
      </c>
      <c r="V2009" s="65">
        <v>0</v>
      </c>
      <c r="W2009" s="65">
        <v>0</v>
      </c>
      <c r="X2009" s="65">
        <v>1611</v>
      </c>
      <c r="Y2009" s="65">
        <v>0</v>
      </c>
      <c r="Z2009" s="51">
        <v>0</v>
      </c>
      <c r="AA2009" s="51">
        <v>0</v>
      </c>
      <c r="AB2009" s="102" t="s">
        <v>68</v>
      </c>
      <c r="AC2009" s="81">
        <f t="shared" si="96"/>
        <v>223.46133333333324</v>
      </c>
      <c r="AD2009" s="82">
        <f t="shared" si="97"/>
        <v>42.857142857142868</v>
      </c>
      <c r="AE2009" s="218">
        <v>-5.0307872932528482E-2</v>
      </c>
      <c r="AF2009">
        <v>3</v>
      </c>
      <c r="AH2009" t="str">
        <f t="shared" si="98"/>
        <v>Asarganj</v>
      </c>
      <c r="AJ2009" s="72">
        <v>0</v>
      </c>
      <c r="AK2009" s="72"/>
      <c r="AL2009" s="72"/>
      <c r="AM2009" s="72"/>
    </row>
    <row r="2010" spans="1:39" x14ac:dyDescent="0.25">
      <c r="A2010" s="37" t="s">
        <v>62</v>
      </c>
      <c r="B2010" s="66" t="s">
        <v>1629</v>
      </c>
      <c r="C2010" s="41">
        <v>1003</v>
      </c>
      <c r="D2010" s="41" t="s">
        <v>139</v>
      </c>
      <c r="E2010" s="41">
        <v>10030050</v>
      </c>
      <c r="F2010" s="85" t="s">
        <v>175</v>
      </c>
      <c r="G2010" s="39" t="s">
        <v>93</v>
      </c>
      <c r="H2010" s="52" t="s">
        <v>94</v>
      </c>
      <c r="I2010" s="52">
        <v>435.54999999999995</v>
      </c>
      <c r="J2010" s="49">
        <v>15008.870000000003</v>
      </c>
      <c r="K2010" s="58">
        <v>451.21</v>
      </c>
      <c r="L2010" s="58">
        <v>17037.632298962548</v>
      </c>
      <c r="M2010" s="58">
        <v>2.75</v>
      </c>
      <c r="N2010" s="58">
        <v>103.659908616</v>
      </c>
      <c r="O2010" s="58">
        <v>453.96</v>
      </c>
      <c r="P2010" s="53">
        <v>17141.292207578546</v>
      </c>
      <c r="Q2010" s="65">
        <v>15008.870000000003</v>
      </c>
      <c r="R2010" s="65">
        <v>0</v>
      </c>
      <c r="S2010" s="65">
        <v>103.659908616</v>
      </c>
      <c r="T2010" s="65">
        <v>2132.4222075785437</v>
      </c>
      <c r="U2010" s="58">
        <v>0</v>
      </c>
      <c r="V2010" s="65">
        <v>0</v>
      </c>
      <c r="W2010" s="65">
        <v>0</v>
      </c>
      <c r="X2010" s="65">
        <v>14905</v>
      </c>
      <c r="Y2010" s="65">
        <v>0</v>
      </c>
      <c r="Z2010" s="51">
        <v>0</v>
      </c>
      <c r="AA2010" s="51">
        <v>0</v>
      </c>
      <c r="AB2010" s="102">
        <v>0</v>
      </c>
      <c r="AC2010" s="81">
        <f t="shared" si="96"/>
        <v>182.25671778211466</v>
      </c>
      <c r="AD2010" s="82">
        <f t="shared" si="97"/>
        <v>62.221428571428568</v>
      </c>
      <c r="AE2010" s="218">
        <v>-0.14207746536405094</v>
      </c>
      <c r="AF2010">
        <v>10</v>
      </c>
      <c r="AH2010" t="str">
        <f t="shared" si="98"/>
        <v>Asarganj</v>
      </c>
      <c r="AJ2010" s="72">
        <v>0</v>
      </c>
      <c r="AK2010" s="72"/>
      <c r="AL2010" s="72"/>
      <c r="AM2010" s="72"/>
    </row>
    <row r="2011" spans="1:39" x14ac:dyDescent="0.25">
      <c r="A2011" s="37" t="s">
        <v>62</v>
      </c>
      <c r="B2011" s="66" t="s">
        <v>1629</v>
      </c>
      <c r="C2011" s="41">
        <v>1003</v>
      </c>
      <c r="D2011" s="41" t="s">
        <v>139</v>
      </c>
      <c r="E2011" s="41">
        <v>10030051</v>
      </c>
      <c r="F2011" s="85" t="s">
        <v>176</v>
      </c>
      <c r="G2011" s="39" t="s">
        <v>93</v>
      </c>
      <c r="H2011" s="52" t="s">
        <v>94</v>
      </c>
      <c r="I2011" s="52">
        <v>2551.4</v>
      </c>
      <c r="J2011" s="49">
        <v>89325.87000000001</v>
      </c>
      <c r="K2011" s="58">
        <v>2698.1</v>
      </c>
      <c r="L2011" s="58">
        <v>99176.703051888035</v>
      </c>
      <c r="M2011" s="58">
        <v>59.579999999999991</v>
      </c>
      <c r="N2011" s="58">
        <v>2148.8942202551998</v>
      </c>
      <c r="O2011" s="58">
        <v>2757.68</v>
      </c>
      <c r="P2011" s="53">
        <v>101325.59727214323</v>
      </c>
      <c r="Q2011" s="65">
        <v>89325.87000000001</v>
      </c>
      <c r="R2011" s="65">
        <v>0</v>
      </c>
      <c r="S2011" s="65">
        <v>2148.8942202551998</v>
      </c>
      <c r="T2011" s="65">
        <v>11999.727272143224</v>
      </c>
      <c r="U2011" s="58">
        <v>0</v>
      </c>
      <c r="V2011" s="65">
        <v>0</v>
      </c>
      <c r="W2011" s="65">
        <v>0</v>
      </c>
      <c r="X2011" s="65">
        <v>87177</v>
      </c>
      <c r="Y2011" s="65">
        <v>0</v>
      </c>
      <c r="Z2011" s="51">
        <v>0</v>
      </c>
      <c r="AA2011" s="51">
        <v>0</v>
      </c>
      <c r="AB2011" s="102">
        <v>0</v>
      </c>
      <c r="AC2011" s="81">
        <f t="shared" si="96"/>
        <v>0</v>
      </c>
      <c r="AD2011" s="82">
        <f t="shared" si="97"/>
        <v>0</v>
      </c>
      <c r="AE2011" s="218">
        <v>-0.13433652840037519</v>
      </c>
      <c r="AF2011">
        <v>7</v>
      </c>
      <c r="AH2011" t="str">
        <f t="shared" si="98"/>
        <v>Asarganj</v>
      </c>
      <c r="AJ2011" s="72">
        <v>0</v>
      </c>
      <c r="AK2011" s="72"/>
      <c r="AL2011" s="72"/>
      <c r="AM2011" s="72"/>
    </row>
    <row r="2012" spans="1:39" x14ac:dyDescent="0.25">
      <c r="A2012" s="37" t="s">
        <v>62</v>
      </c>
      <c r="B2012" s="66" t="s">
        <v>1629</v>
      </c>
      <c r="C2012" s="41">
        <v>1003</v>
      </c>
      <c r="D2012" s="41" t="s">
        <v>139</v>
      </c>
      <c r="E2012" s="41">
        <v>10030053</v>
      </c>
      <c r="F2012" s="85" t="s">
        <v>177</v>
      </c>
      <c r="G2012" s="39" t="s">
        <v>93</v>
      </c>
      <c r="H2012" s="52" t="s">
        <v>94</v>
      </c>
      <c r="I2012" s="52">
        <v>148.10000000000002</v>
      </c>
      <c r="J2012" s="49">
        <v>5973.97</v>
      </c>
      <c r="K2012" s="58">
        <v>145.54999999999998</v>
      </c>
      <c r="L2012" s="58">
        <v>5493.6210162865</v>
      </c>
      <c r="M2012" s="58">
        <v>0.84999999999999987</v>
      </c>
      <c r="N2012" s="58">
        <v>33.053737859999998</v>
      </c>
      <c r="O2012" s="58">
        <v>146.39999999999998</v>
      </c>
      <c r="P2012" s="53">
        <v>5526.6747541465002</v>
      </c>
      <c r="Q2012" s="65">
        <v>5526.6747541465002</v>
      </c>
      <c r="R2012" s="65">
        <v>0</v>
      </c>
      <c r="S2012" s="65">
        <v>33.053737859999998</v>
      </c>
      <c r="T2012" s="65">
        <v>0</v>
      </c>
      <c r="U2012" s="58">
        <v>0</v>
      </c>
      <c r="V2012" s="65">
        <v>0</v>
      </c>
      <c r="W2012" s="65">
        <v>0</v>
      </c>
      <c r="X2012" s="65">
        <v>5494</v>
      </c>
      <c r="Y2012" s="65">
        <v>0</v>
      </c>
      <c r="Z2012" s="51">
        <v>0</v>
      </c>
      <c r="AA2012" s="51">
        <v>447</v>
      </c>
      <c r="AB2012" s="102">
        <v>0</v>
      </c>
      <c r="AC2012" s="81">
        <f t="shared" si="96"/>
        <v>445.2443002025658</v>
      </c>
      <c r="AD2012" s="82">
        <f t="shared" si="97"/>
        <v>21.157142857142862</v>
      </c>
      <c r="AE2012" s="218">
        <v>7.4874036169163896E-2</v>
      </c>
      <c r="AF2012">
        <v>6</v>
      </c>
      <c r="AH2012" t="str">
        <f t="shared" si="98"/>
        <v>Asarganj</v>
      </c>
      <c r="AJ2012" s="72">
        <v>0</v>
      </c>
      <c r="AK2012" s="72"/>
      <c r="AL2012" s="72"/>
      <c r="AM2012" s="72"/>
    </row>
    <row r="2013" spans="1:39" x14ac:dyDescent="0.25">
      <c r="A2013" s="37" t="s">
        <v>62</v>
      </c>
      <c r="B2013" s="66" t="s">
        <v>1629</v>
      </c>
      <c r="C2013" s="41">
        <v>1003</v>
      </c>
      <c r="D2013" s="41" t="s">
        <v>139</v>
      </c>
      <c r="E2013" s="41">
        <v>10030055</v>
      </c>
      <c r="F2013" s="85" t="s">
        <v>178</v>
      </c>
      <c r="G2013" s="39" t="s">
        <v>93</v>
      </c>
      <c r="H2013" s="52" t="s">
        <v>94</v>
      </c>
      <c r="I2013" s="52">
        <v>283.34999999999997</v>
      </c>
      <c r="J2013" s="49">
        <v>11891.669999999998</v>
      </c>
      <c r="K2013" s="58">
        <v>271.33999999999997</v>
      </c>
      <c r="L2013" s="58">
        <v>11688.262755181282</v>
      </c>
      <c r="M2013" s="58">
        <v>5.1300000000000008</v>
      </c>
      <c r="N2013" s="58">
        <v>223.01780018928</v>
      </c>
      <c r="O2013" s="58">
        <v>276.46999999999997</v>
      </c>
      <c r="P2013" s="53">
        <v>11911.280555370562</v>
      </c>
      <c r="Q2013" s="65">
        <v>11891.669999999998</v>
      </c>
      <c r="R2013" s="65">
        <v>0</v>
      </c>
      <c r="S2013" s="65">
        <v>223.01780018928</v>
      </c>
      <c r="T2013" s="65">
        <v>19.610555370563816</v>
      </c>
      <c r="U2013" s="58">
        <v>0</v>
      </c>
      <c r="V2013" s="65">
        <v>0</v>
      </c>
      <c r="W2013" s="65">
        <v>0</v>
      </c>
      <c r="X2013" s="65">
        <v>11669</v>
      </c>
      <c r="Y2013" s="65">
        <v>0</v>
      </c>
      <c r="Z2013" s="51">
        <v>0</v>
      </c>
      <c r="AA2013" s="51">
        <v>0</v>
      </c>
      <c r="AB2013" s="102">
        <v>0</v>
      </c>
      <c r="AC2013" s="81">
        <f t="shared" si="96"/>
        <v>349.72043800952889</v>
      </c>
      <c r="AD2013" s="82">
        <f t="shared" si="97"/>
        <v>40.478571428571421</v>
      </c>
      <c r="AE2013" s="218">
        <v>-1.6491001995988636E-3</v>
      </c>
      <c r="AF2013">
        <v>5</v>
      </c>
      <c r="AH2013" t="str">
        <f t="shared" si="98"/>
        <v>Asarganj</v>
      </c>
      <c r="AJ2013" s="72">
        <v>0</v>
      </c>
      <c r="AK2013" s="72"/>
      <c r="AL2013" s="72"/>
      <c r="AM2013" s="72"/>
    </row>
    <row r="2014" spans="1:39" x14ac:dyDescent="0.25">
      <c r="A2014" s="37" t="s">
        <v>62</v>
      </c>
      <c r="B2014" s="66" t="s">
        <v>1629</v>
      </c>
      <c r="C2014" s="41">
        <v>1003</v>
      </c>
      <c r="D2014" s="41" t="s">
        <v>139</v>
      </c>
      <c r="E2014" s="41">
        <v>10030056</v>
      </c>
      <c r="F2014" s="85" t="s">
        <v>179</v>
      </c>
      <c r="G2014" s="39" t="s">
        <v>93</v>
      </c>
      <c r="H2014" s="52" t="s">
        <v>94</v>
      </c>
      <c r="I2014" s="52">
        <v>104.89999999999998</v>
      </c>
      <c r="J2014" s="49">
        <v>3424.71</v>
      </c>
      <c r="K2014" s="58">
        <v>256</v>
      </c>
      <c r="L2014" s="58">
        <v>13765.031927904</v>
      </c>
      <c r="M2014" s="58">
        <v>0</v>
      </c>
      <c r="N2014" s="58">
        <v>0</v>
      </c>
      <c r="O2014" s="58">
        <v>256</v>
      </c>
      <c r="P2014" s="53">
        <v>13765.031927904</v>
      </c>
      <c r="Q2014" s="65">
        <v>3424.71</v>
      </c>
      <c r="R2014" s="65">
        <v>0</v>
      </c>
      <c r="S2014" s="65">
        <v>0</v>
      </c>
      <c r="T2014" s="65">
        <v>10340.321927903999</v>
      </c>
      <c r="U2014" s="58">
        <v>0</v>
      </c>
      <c r="V2014" s="65">
        <v>0</v>
      </c>
      <c r="W2014" s="65">
        <v>0</v>
      </c>
      <c r="X2014" s="65">
        <v>3425</v>
      </c>
      <c r="Y2014" s="65">
        <v>0</v>
      </c>
      <c r="Z2014" s="51">
        <v>0</v>
      </c>
      <c r="AA2014" s="51">
        <v>0</v>
      </c>
      <c r="AB2014" s="102" t="s">
        <v>68</v>
      </c>
      <c r="AC2014" s="81">
        <f t="shared" si="96"/>
        <v>388.56909837940907</v>
      </c>
      <c r="AD2014" s="82">
        <f t="shared" si="97"/>
        <v>14.985714285714282</v>
      </c>
      <c r="AE2014" s="218">
        <v>-3.0193277468468858</v>
      </c>
      <c r="AF2014">
        <v>2</v>
      </c>
      <c r="AH2014" t="str">
        <f t="shared" si="98"/>
        <v>Asarganj</v>
      </c>
      <c r="AJ2014" s="72">
        <v>0</v>
      </c>
      <c r="AK2014" s="72"/>
      <c r="AL2014" s="72"/>
      <c r="AM2014" s="72"/>
    </row>
    <row r="2015" spans="1:39" x14ac:dyDescent="0.25">
      <c r="A2015" s="37" t="s">
        <v>62</v>
      </c>
      <c r="B2015" s="66" t="s">
        <v>1629</v>
      </c>
      <c r="C2015" s="41">
        <v>1003</v>
      </c>
      <c r="D2015" s="41" t="s">
        <v>139</v>
      </c>
      <c r="E2015" s="41">
        <v>10030059</v>
      </c>
      <c r="F2015" s="85" t="s">
        <v>180</v>
      </c>
      <c r="G2015" s="39" t="s">
        <v>93</v>
      </c>
      <c r="H2015" s="52" t="s">
        <v>94</v>
      </c>
      <c r="I2015" s="52">
        <v>551.84999999999991</v>
      </c>
      <c r="J2015" s="49">
        <v>23081.079999999998</v>
      </c>
      <c r="K2015" s="58">
        <v>549.71</v>
      </c>
      <c r="L2015" s="58">
        <v>24165.246740961367</v>
      </c>
      <c r="M2015" s="58">
        <v>0</v>
      </c>
      <c r="N2015" s="58">
        <v>0</v>
      </c>
      <c r="O2015" s="58">
        <v>549.71</v>
      </c>
      <c r="P2015" s="53">
        <v>24165.246740961367</v>
      </c>
      <c r="Q2015" s="65">
        <v>23081.079999999998</v>
      </c>
      <c r="R2015" s="65">
        <v>0</v>
      </c>
      <c r="S2015" s="65">
        <v>0</v>
      </c>
      <c r="T2015" s="65">
        <v>1084.1667409613692</v>
      </c>
      <c r="U2015" s="58">
        <v>0</v>
      </c>
      <c r="V2015" s="65">
        <v>0</v>
      </c>
      <c r="W2015" s="65">
        <v>0</v>
      </c>
      <c r="X2015" s="65">
        <v>23081</v>
      </c>
      <c r="Y2015" s="65">
        <v>0</v>
      </c>
      <c r="Z2015" s="51">
        <v>0</v>
      </c>
      <c r="AA2015" s="51">
        <v>0</v>
      </c>
      <c r="AB2015" s="102">
        <v>0</v>
      </c>
      <c r="AC2015" s="81">
        <f t="shared" si="96"/>
        <v>123.9272266739151</v>
      </c>
      <c r="AD2015" s="82">
        <f t="shared" si="97"/>
        <v>78.835714285714275</v>
      </c>
      <c r="AE2015" s="218">
        <v>-4.6972097534490123E-2</v>
      </c>
      <c r="AF2015">
        <v>7</v>
      </c>
      <c r="AH2015" t="str">
        <f t="shared" si="98"/>
        <v>Asarganj</v>
      </c>
      <c r="AJ2015" s="72">
        <v>0</v>
      </c>
      <c r="AK2015" s="72"/>
      <c r="AL2015" s="72"/>
      <c r="AM2015" s="72"/>
    </row>
    <row r="2016" spans="1:39" x14ac:dyDescent="0.25">
      <c r="A2016" s="37" t="s">
        <v>62</v>
      </c>
      <c r="B2016" s="66" t="s">
        <v>1629</v>
      </c>
      <c r="C2016" s="41">
        <v>1003</v>
      </c>
      <c r="D2016" s="41" t="s">
        <v>139</v>
      </c>
      <c r="E2016" s="41">
        <v>10030060</v>
      </c>
      <c r="F2016" s="85" t="s">
        <v>181</v>
      </c>
      <c r="G2016" s="39" t="s">
        <v>93</v>
      </c>
      <c r="H2016" s="52" t="s">
        <v>94</v>
      </c>
      <c r="I2016" s="52">
        <v>762.15</v>
      </c>
      <c r="J2016" s="49">
        <v>31730.929999999997</v>
      </c>
      <c r="K2016" s="58">
        <v>761.99999999999989</v>
      </c>
      <c r="L2016" s="58">
        <v>31747.737189960008</v>
      </c>
      <c r="M2016" s="58">
        <v>7</v>
      </c>
      <c r="N2016" s="58">
        <v>291.52983419999998</v>
      </c>
      <c r="O2016" s="58">
        <v>768.99999999999989</v>
      </c>
      <c r="P2016" s="53">
        <v>32039.267024160006</v>
      </c>
      <c r="Q2016" s="65">
        <v>31730.929999999997</v>
      </c>
      <c r="R2016" s="65">
        <v>0</v>
      </c>
      <c r="S2016" s="65">
        <v>291.52983419999998</v>
      </c>
      <c r="T2016" s="65">
        <v>308.33702416000961</v>
      </c>
      <c r="U2016" s="58">
        <v>0</v>
      </c>
      <c r="V2016" s="65">
        <v>0</v>
      </c>
      <c r="W2016" s="65">
        <v>0</v>
      </c>
      <c r="X2016" s="65">
        <v>31439</v>
      </c>
      <c r="Y2016" s="65">
        <v>0</v>
      </c>
      <c r="Z2016" s="51">
        <v>0</v>
      </c>
      <c r="AA2016" s="51">
        <v>0</v>
      </c>
      <c r="AB2016" s="102">
        <v>0</v>
      </c>
      <c r="AC2016" s="81">
        <f t="shared" si="96"/>
        <v>0</v>
      </c>
      <c r="AD2016" s="82">
        <f t="shared" si="97"/>
        <v>0</v>
      </c>
      <c r="AE2016" s="218">
        <v>-9.7172388001237169E-3</v>
      </c>
      <c r="AF2016">
        <v>2</v>
      </c>
      <c r="AH2016" t="str">
        <f t="shared" si="98"/>
        <v>Asarganj</v>
      </c>
      <c r="AJ2016" s="72">
        <v>0</v>
      </c>
      <c r="AK2016" s="72"/>
      <c r="AL2016" s="72"/>
      <c r="AM2016" s="72"/>
    </row>
    <row r="2017" spans="1:39" x14ac:dyDescent="0.25">
      <c r="A2017" s="37" t="s">
        <v>62</v>
      </c>
      <c r="B2017" s="66" t="s">
        <v>1629</v>
      </c>
      <c r="C2017" s="41">
        <v>1003</v>
      </c>
      <c r="D2017" s="41" t="s">
        <v>139</v>
      </c>
      <c r="E2017" s="41">
        <v>10030061</v>
      </c>
      <c r="F2017" s="85" t="s">
        <v>182</v>
      </c>
      <c r="G2017" s="39" t="s">
        <v>93</v>
      </c>
      <c r="H2017" s="52" t="s">
        <v>94</v>
      </c>
      <c r="I2017" s="52">
        <v>529.99999999999989</v>
      </c>
      <c r="J2017" s="49">
        <v>16261.03</v>
      </c>
      <c r="K2017" s="58">
        <v>514.04999999999995</v>
      </c>
      <c r="L2017" s="58">
        <v>19495.577460662233</v>
      </c>
      <c r="M2017" s="58">
        <v>2.5700000000000003</v>
      </c>
      <c r="N2017" s="58">
        <v>95.702851332000009</v>
      </c>
      <c r="O2017" s="58">
        <v>516.62</v>
      </c>
      <c r="P2017" s="53">
        <v>19591.280311994233</v>
      </c>
      <c r="Q2017" s="65">
        <v>16261.03</v>
      </c>
      <c r="R2017" s="65">
        <v>0</v>
      </c>
      <c r="S2017" s="65">
        <v>95.702851332000009</v>
      </c>
      <c r="T2017" s="65">
        <v>3330.2503119942321</v>
      </c>
      <c r="U2017" s="58">
        <v>0</v>
      </c>
      <c r="V2017" s="65">
        <v>0</v>
      </c>
      <c r="W2017" s="65">
        <v>0</v>
      </c>
      <c r="X2017" s="65">
        <v>16165</v>
      </c>
      <c r="Y2017" s="65">
        <v>0</v>
      </c>
      <c r="Z2017" s="51">
        <v>0</v>
      </c>
      <c r="AA2017" s="51">
        <v>0</v>
      </c>
      <c r="AB2017" s="102">
        <v>0</v>
      </c>
      <c r="AC2017" s="81">
        <f t="shared" si="96"/>
        <v>104.31604150943407</v>
      </c>
      <c r="AD2017" s="82">
        <f t="shared" si="97"/>
        <v>75.714285714285694</v>
      </c>
      <c r="AE2017" s="218">
        <v>-0.20479946915996292</v>
      </c>
      <c r="AF2017">
        <v>8</v>
      </c>
      <c r="AH2017" t="str">
        <f t="shared" si="98"/>
        <v>Asarganj</v>
      </c>
      <c r="AJ2017" s="72">
        <v>0</v>
      </c>
      <c r="AK2017" s="72"/>
      <c r="AL2017" s="72"/>
      <c r="AM2017" s="72"/>
    </row>
    <row r="2018" spans="1:39" x14ac:dyDescent="0.25">
      <c r="A2018" s="37" t="s">
        <v>62</v>
      </c>
      <c r="B2018" s="66" t="s">
        <v>1629</v>
      </c>
      <c r="C2018" s="41">
        <v>1003</v>
      </c>
      <c r="D2018" s="41" t="s">
        <v>139</v>
      </c>
      <c r="E2018" s="41">
        <v>10030063</v>
      </c>
      <c r="F2018" s="85" t="s">
        <v>448</v>
      </c>
      <c r="G2018" s="39" t="s">
        <v>93</v>
      </c>
      <c r="H2018" s="52" t="s">
        <v>94</v>
      </c>
      <c r="I2018" s="52">
        <v>1165.2000000000003</v>
      </c>
      <c r="J2018" s="49">
        <v>44096.729999999996</v>
      </c>
      <c r="K2018" s="58">
        <v>1151.2</v>
      </c>
      <c r="L2018" s="58">
        <v>43799.614113240721</v>
      </c>
      <c r="M2018" s="58">
        <v>3.9599999999999995</v>
      </c>
      <c r="N2018" s="58">
        <v>153.54609042959999</v>
      </c>
      <c r="O2018" s="58">
        <v>1155.1600000000001</v>
      </c>
      <c r="P2018" s="53">
        <v>43953.160203670319</v>
      </c>
      <c r="Q2018" s="65">
        <v>43953.160203670319</v>
      </c>
      <c r="R2018" s="65">
        <v>0</v>
      </c>
      <c r="S2018" s="65">
        <v>153.54609042959999</v>
      </c>
      <c r="T2018" s="65">
        <v>0</v>
      </c>
      <c r="U2018" s="58">
        <v>0</v>
      </c>
      <c r="V2018" s="65">
        <v>0</v>
      </c>
      <c r="W2018" s="65">
        <v>0</v>
      </c>
      <c r="X2018" s="65">
        <v>43800</v>
      </c>
      <c r="Y2018" s="65">
        <v>0</v>
      </c>
      <c r="Z2018" s="51">
        <v>0</v>
      </c>
      <c r="AA2018" s="51">
        <v>143</v>
      </c>
      <c r="AB2018" s="102">
        <v>0</v>
      </c>
      <c r="AC2018" s="81">
        <f t="shared" si="96"/>
        <v>0</v>
      </c>
      <c r="AD2018" s="82">
        <f t="shared" si="97"/>
        <v>0</v>
      </c>
      <c r="AE2018" s="218">
        <v>3.2557923530764539E-3</v>
      </c>
      <c r="AF2018">
        <v>7</v>
      </c>
      <c r="AH2018" t="str">
        <f t="shared" si="98"/>
        <v>Asarganj</v>
      </c>
      <c r="AJ2018" s="72">
        <v>0</v>
      </c>
      <c r="AK2018" s="72"/>
      <c r="AL2018" s="72"/>
      <c r="AM2018" s="72"/>
    </row>
    <row r="2019" spans="1:39" x14ac:dyDescent="0.25">
      <c r="A2019" s="37" t="s">
        <v>62</v>
      </c>
      <c r="B2019" s="66" t="s">
        <v>1629</v>
      </c>
      <c r="C2019" s="41">
        <v>1003</v>
      </c>
      <c r="D2019" s="41" t="s">
        <v>139</v>
      </c>
      <c r="E2019" s="41">
        <v>10030064</v>
      </c>
      <c r="F2019" s="85" t="s">
        <v>438</v>
      </c>
      <c r="G2019" s="39" t="s">
        <v>93</v>
      </c>
      <c r="H2019" s="52" t="s">
        <v>94</v>
      </c>
      <c r="I2019" s="52">
        <v>1047.0999999999999</v>
      </c>
      <c r="J2019" s="49">
        <v>41667.71</v>
      </c>
      <c r="K2019" s="58">
        <v>1039.1400000000001</v>
      </c>
      <c r="L2019" s="58">
        <v>45318.877025692818</v>
      </c>
      <c r="M2019" s="58">
        <v>0</v>
      </c>
      <c r="N2019" s="58">
        <v>0</v>
      </c>
      <c r="O2019" s="58">
        <v>1039.1400000000001</v>
      </c>
      <c r="P2019" s="53">
        <v>45318.877025692818</v>
      </c>
      <c r="Q2019" s="65">
        <v>41667.71</v>
      </c>
      <c r="R2019" s="65">
        <v>0</v>
      </c>
      <c r="S2019" s="65">
        <v>0</v>
      </c>
      <c r="T2019" s="65">
        <v>3651.1670256928192</v>
      </c>
      <c r="U2019" s="58">
        <v>0</v>
      </c>
      <c r="V2019" s="65">
        <v>0</v>
      </c>
      <c r="W2019" s="65">
        <v>0</v>
      </c>
      <c r="X2019" s="65">
        <v>41668</v>
      </c>
      <c r="Y2019" s="65">
        <v>0</v>
      </c>
      <c r="Z2019" s="51">
        <v>0</v>
      </c>
      <c r="AA2019" s="51">
        <v>0</v>
      </c>
      <c r="AB2019" s="102">
        <v>0</v>
      </c>
      <c r="AC2019" s="81">
        <f t="shared" si="96"/>
        <v>0</v>
      </c>
      <c r="AD2019" s="82">
        <f t="shared" si="97"/>
        <v>0</v>
      </c>
      <c r="AE2019" s="218">
        <v>-8.7625814466233423E-2</v>
      </c>
      <c r="AF2019">
        <v>3</v>
      </c>
      <c r="AH2019" t="str">
        <f t="shared" si="98"/>
        <v>Asarganj</v>
      </c>
      <c r="AJ2019" s="72">
        <v>0</v>
      </c>
      <c r="AK2019" s="72"/>
      <c r="AL2019" s="72"/>
      <c r="AM2019" s="72"/>
    </row>
    <row r="2020" spans="1:39" x14ac:dyDescent="0.25">
      <c r="A2020" s="37" t="s">
        <v>62</v>
      </c>
      <c r="B2020" s="66" t="s">
        <v>1629</v>
      </c>
      <c r="C2020" s="41">
        <v>1003</v>
      </c>
      <c r="D2020" s="41" t="s">
        <v>139</v>
      </c>
      <c r="E2020" s="41">
        <v>10030065</v>
      </c>
      <c r="F2020" s="85" t="s">
        <v>482</v>
      </c>
      <c r="G2020" s="39" t="s">
        <v>93</v>
      </c>
      <c r="H2020" s="52" t="s">
        <v>94</v>
      </c>
      <c r="I2020" s="52">
        <v>103.24999999999999</v>
      </c>
      <c r="J2020" s="49">
        <v>3651.19</v>
      </c>
      <c r="K2020" s="58">
        <v>118.00999999999999</v>
      </c>
      <c r="L2020" s="58">
        <v>3819.7703676329998</v>
      </c>
      <c r="M2020" s="58">
        <v>1.8</v>
      </c>
      <c r="N2020" s="58">
        <v>57.382752794400005</v>
      </c>
      <c r="O2020" s="58">
        <v>119.80999999999999</v>
      </c>
      <c r="P2020" s="53">
        <v>3877.1531204273997</v>
      </c>
      <c r="Q2020" s="65">
        <v>3651.19</v>
      </c>
      <c r="R2020" s="65">
        <v>0</v>
      </c>
      <c r="S2020" s="65">
        <v>57.382752794400005</v>
      </c>
      <c r="T2020" s="65">
        <v>225.96312042739964</v>
      </c>
      <c r="U2020" s="58">
        <v>0</v>
      </c>
      <c r="V2020" s="65">
        <v>0</v>
      </c>
      <c r="W2020" s="65">
        <v>0</v>
      </c>
      <c r="X2020" s="65">
        <v>3594</v>
      </c>
      <c r="Y2020" s="65">
        <v>0</v>
      </c>
      <c r="Z2020" s="51">
        <v>0</v>
      </c>
      <c r="AA2020" s="51">
        <v>0</v>
      </c>
      <c r="AB2020" s="102">
        <v>0</v>
      </c>
      <c r="AC2020" s="81">
        <f t="shared" si="96"/>
        <v>422.05281016949164</v>
      </c>
      <c r="AD2020" s="82">
        <f t="shared" si="97"/>
        <v>14.749999999999998</v>
      </c>
      <c r="AE2020" s="218">
        <v>-6.188752719726983E-2</v>
      </c>
      <c r="AF2020">
        <v>4</v>
      </c>
      <c r="AH2020" t="str">
        <f t="shared" si="98"/>
        <v>Asarganj</v>
      </c>
      <c r="AJ2020" s="72">
        <v>0</v>
      </c>
      <c r="AK2020" s="72"/>
      <c r="AL2020" s="72"/>
      <c r="AM2020" s="72"/>
    </row>
    <row r="2021" spans="1:39" x14ac:dyDescent="0.25">
      <c r="A2021" s="37" t="s">
        <v>62</v>
      </c>
      <c r="B2021" s="66" t="s">
        <v>1629</v>
      </c>
      <c r="C2021" s="41">
        <v>1003</v>
      </c>
      <c r="D2021" s="41" t="s">
        <v>139</v>
      </c>
      <c r="E2021" s="41">
        <v>10030066</v>
      </c>
      <c r="F2021" s="85" t="s">
        <v>483</v>
      </c>
      <c r="G2021" s="39" t="s">
        <v>93</v>
      </c>
      <c r="H2021" s="52" t="s">
        <v>94</v>
      </c>
      <c r="I2021" s="52">
        <v>2331.8500000000004</v>
      </c>
      <c r="J2021" s="49">
        <v>92321.420000000013</v>
      </c>
      <c r="K2021" s="58">
        <v>1221.25</v>
      </c>
      <c r="L2021" s="58">
        <v>50642.384595518575</v>
      </c>
      <c r="M2021" s="58">
        <v>1147.01</v>
      </c>
      <c r="N2021" s="58">
        <v>45101.24380396081</v>
      </c>
      <c r="O2021" s="58">
        <v>2368.2600000000002</v>
      </c>
      <c r="P2021" s="53">
        <v>95743.628399479378</v>
      </c>
      <c r="Q2021" s="65">
        <v>92321.420000000013</v>
      </c>
      <c r="R2021" s="65">
        <v>0</v>
      </c>
      <c r="S2021" s="65">
        <v>809.01143937900008</v>
      </c>
      <c r="T2021" s="65">
        <v>3422.2083994793647</v>
      </c>
      <c r="U2021" s="58">
        <v>0</v>
      </c>
      <c r="V2021" s="65">
        <v>0</v>
      </c>
      <c r="W2021" s="65">
        <v>0</v>
      </c>
      <c r="X2021" s="65">
        <v>47219</v>
      </c>
      <c r="Y2021" s="65">
        <v>44293</v>
      </c>
      <c r="Z2021" s="51">
        <v>0</v>
      </c>
      <c r="AA2021" s="51">
        <v>0</v>
      </c>
      <c r="AB2021" s="102">
        <v>0</v>
      </c>
      <c r="AC2021" s="81">
        <f t="shared" si="96"/>
        <v>0</v>
      </c>
      <c r="AD2021" s="82">
        <f t="shared" si="97"/>
        <v>0</v>
      </c>
      <c r="AE2021" s="218">
        <v>-3.7068411637075818E-2</v>
      </c>
      <c r="AF2021">
        <v>18</v>
      </c>
      <c r="AH2021" t="str">
        <f t="shared" si="98"/>
        <v>Asarganj</v>
      </c>
      <c r="AJ2021" s="72">
        <v>0</v>
      </c>
      <c r="AK2021" s="72"/>
      <c r="AL2021" s="72"/>
      <c r="AM2021" s="72"/>
    </row>
    <row r="2022" spans="1:39" x14ac:dyDescent="0.25">
      <c r="A2022" s="37" t="s">
        <v>62</v>
      </c>
      <c r="B2022" s="66" t="s">
        <v>1629</v>
      </c>
      <c r="C2022" s="41">
        <v>1003</v>
      </c>
      <c r="D2022" s="41" t="s">
        <v>139</v>
      </c>
      <c r="E2022" s="41">
        <v>10030068</v>
      </c>
      <c r="F2022" s="85" t="s">
        <v>1263</v>
      </c>
      <c r="G2022" s="39" t="s">
        <v>93</v>
      </c>
      <c r="H2022" s="52" t="s">
        <v>94</v>
      </c>
      <c r="I2022" s="52">
        <v>1137.1000000000001</v>
      </c>
      <c r="J2022" s="49">
        <v>41511.249999999993</v>
      </c>
      <c r="K2022" s="58">
        <v>1156.7000000000003</v>
      </c>
      <c r="L2022" s="58">
        <v>45852.953371236006</v>
      </c>
      <c r="M2022" s="58">
        <v>34.65</v>
      </c>
      <c r="N2022" s="58">
        <v>1353.5234409377999</v>
      </c>
      <c r="O2022" s="58">
        <v>1191.3500000000004</v>
      </c>
      <c r="P2022" s="53">
        <v>47206.476812173809</v>
      </c>
      <c r="Q2022" s="65">
        <v>41511.249999999993</v>
      </c>
      <c r="R2022" s="65">
        <v>0</v>
      </c>
      <c r="S2022" s="65">
        <v>1353.5234409377999</v>
      </c>
      <c r="T2022" s="65">
        <v>5695.2268121738161</v>
      </c>
      <c r="U2022" s="58">
        <v>0</v>
      </c>
      <c r="V2022" s="65">
        <v>0</v>
      </c>
      <c r="W2022" s="65">
        <v>0</v>
      </c>
      <c r="X2022" s="65">
        <v>40158</v>
      </c>
      <c r="Y2022" s="65">
        <v>0</v>
      </c>
      <c r="Z2022" s="51">
        <v>0</v>
      </c>
      <c r="AA2022" s="51">
        <v>0</v>
      </c>
      <c r="AB2022" s="102">
        <v>0</v>
      </c>
      <c r="AC2022" s="81">
        <f t="shared" si="96"/>
        <v>0</v>
      </c>
      <c r="AD2022" s="82">
        <f t="shared" si="97"/>
        <v>0</v>
      </c>
      <c r="AE2022" s="218">
        <v>-0.13719718900716835</v>
      </c>
      <c r="AF2022">
        <v>3</v>
      </c>
      <c r="AH2022" t="str">
        <f t="shared" si="98"/>
        <v>Asarganj</v>
      </c>
      <c r="AJ2022" s="72">
        <v>0</v>
      </c>
      <c r="AK2022" s="72"/>
      <c r="AL2022" s="72"/>
      <c r="AM2022" s="72"/>
    </row>
    <row r="2023" spans="1:39" x14ac:dyDescent="0.25">
      <c r="A2023" s="37" t="s">
        <v>62</v>
      </c>
      <c r="B2023" s="66" t="s">
        <v>1629</v>
      </c>
      <c r="C2023" s="41">
        <v>1003</v>
      </c>
      <c r="D2023" s="41" t="s">
        <v>139</v>
      </c>
      <c r="E2023" s="41">
        <v>10030069</v>
      </c>
      <c r="F2023" s="85" t="s">
        <v>524</v>
      </c>
      <c r="G2023" s="39" t="s">
        <v>635</v>
      </c>
      <c r="H2023" s="52" t="s">
        <v>99</v>
      </c>
      <c r="I2023" s="52">
        <v>485.8</v>
      </c>
      <c r="J2023" s="49">
        <v>17187.11</v>
      </c>
      <c r="K2023" s="58">
        <v>0</v>
      </c>
      <c r="L2023" s="58">
        <v>0</v>
      </c>
      <c r="M2023" s="58">
        <v>0</v>
      </c>
      <c r="N2023" s="58">
        <v>0</v>
      </c>
      <c r="O2023" s="58">
        <v>0</v>
      </c>
      <c r="P2023" s="53">
        <v>0</v>
      </c>
      <c r="Q2023" s="65">
        <v>17187.11</v>
      </c>
      <c r="R2023" s="65">
        <v>0</v>
      </c>
      <c r="S2023" s="65">
        <v>0</v>
      </c>
      <c r="T2023" s="65">
        <v>0</v>
      </c>
      <c r="U2023" s="58">
        <v>0</v>
      </c>
      <c r="V2023" s="65">
        <v>0</v>
      </c>
      <c r="W2023" s="65">
        <v>0</v>
      </c>
      <c r="X2023" s="65">
        <v>0</v>
      </c>
      <c r="Y2023" s="65">
        <v>0</v>
      </c>
      <c r="Z2023" s="51">
        <v>17187.11</v>
      </c>
      <c r="AA2023" s="51">
        <v>0</v>
      </c>
      <c r="AB2023" s="102">
        <v>0</v>
      </c>
      <c r="AC2023" s="81">
        <f t="shared" si="96"/>
        <v>151.56356368876078</v>
      </c>
      <c r="AD2023" s="82">
        <f t="shared" si="97"/>
        <v>69.400000000000006</v>
      </c>
      <c r="AE2023" s="218">
        <v>0</v>
      </c>
      <c r="AF2023">
        <v>0</v>
      </c>
      <c r="AH2023" t="str">
        <f t="shared" si="98"/>
        <v>Asarganj</v>
      </c>
      <c r="AJ2023" s="72">
        <v>0</v>
      </c>
      <c r="AK2023" s="72"/>
      <c r="AL2023" s="72"/>
      <c r="AM2023" s="72"/>
    </row>
    <row r="2024" spans="1:39" x14ac:dyDescent="0.25">
      <c r="A2024" s="37" t="s">
        <v>62</v>
      </c>
      <c r="B2024" s="66" t="s">
        <v>1629</v>
      </c>
      <c r="C2024" s="41">
        <v>1003</v>
      </c>
      <c r="D2024" s="41" t="s">
        <v>139</v>
      </c>
      <c r="E2024" s="41">
        <v>10030070</v>
      </c>
      <c r="F2024" s="85" t="s">
        <v>571</v>
      </c>
      <c r="G2024" s="39" t="s">
        <v>93</v>
      </c>
      <c r="H2024" s="52" t="s">
        <v>94</v>
      </c>
      <c r="I2024" s="52">
        <v>816.45000000000016</v>
      </c>
      <c r="J2024" s="49">
        <v>32010.76</v>
      </c>
      <c r="K2024" s="58">
        <v>848</v>
      </c>
      <c r="L2024" s="58">
        <v>34285.045330800007</v>
      </c>
      <c r="M2024" s="58">
        <v>44</v>
      </c>
      <c r="N2024" s="58">
        <v>1808.0528004000005</v>
      </c>
      <c r="O2024" s="58">
        <v>892</v>
      </c>
      <c r="P2024" s="53">
        <v>36093.098131200008</v>
      </c>
      <c r="Q2024" s="65">
        <v>32010.76</v>
      </c>
      <c r="R2024" s="65">
        <v>0</v>
      </c>
      <c r="S2024" s="65">
        <v>548.73953640000013</v>
      </c>
      <c r="T2024" s="65">
        <v>4082.3381312000092</v>
      </c>
      <c r="U2024" s="58">
        <v>0</v>
      </c>
      <c r="V2024" s="65">
        <v>0</v>
      </c>
      <c r="W2024" s="65">
        <v>0</v>
      </c>
      <c r="X2024" s="65">
        <v>30203</v>
      </c>
      <c r="Y2024" s="65">
        <v>1259</v>
      </c>
      <c r="Z2024" s="51">
        <v>0</v>
      </c>
      <c r="AA2024" s="51">
        <v>0</v>
      </c>
      <c r="AB2024" s="102">
        <v>0</v>
      </c>
      <c r="AC2024" s="81">
        <f t="shared" si="96"/>
        <v>0</v>
      </c>
      <c r="AD2024" s="82">
        <f t="shared" si="97"/>
        <v>0</v>
      </c>
      <c r="AE2024" s="218">
        <v>-0.1275301845754368</v>
      </c>
      <c r="AF2024">
        <v>7</v>
      </c>
      <c r="AH2024" t="str">
        <f t="shared" si="98"/>
        <v>Asarganj</v>
      </c>
      <c r="AJ2024" s="72">
        <v>0</v>
      </c>
      <c r="AK2024" s="72"/>
      <c r="AL2024" s="72"/>
      <c r="AM2024" s="72"/>
    </row>
    <row r="2025" spans="1:39" x14ac:dyDescent="0.25">
      <c r="A2025" s="37" t="s">
        <v>62</v>
      </c>
      <c r="B2025" s="66" t="s">
        <v>1629</v>
      </c>
      <c r="C2025" s="41">
        <v>1003</v>
      </c>
      <c r="D2025" s="41" t="s">
        <v>139</v>
      </c>
      <c r="E2025" s="41">
        <v>10030071</v>
      </c>
      <c r="F2025" s="85" t="s">
        <v>572</v>
      </c>
      <c r="G2025" s="39" t="s">
        <v>93</v>
      </c>
      <c r="H2025" s="52" t="s">
        <v>94</v>
      </c>
      <c r="I2025" s="52">
        <v>184.64999999999998</v>
      </c>
      <c r="J2025" s="49">
        <v>8336.6200000000008</v>
      </c>
      <c r="K2025" s="58">
        <v>182.70000000000005</v>
      </c>
      <c r="L2025" s="58">
        <v>8853.8643331073545</v>
      </c>
      <c r="M2025" s="58">
        <v>0</v>
      </c>
      <c r="N2025" s="58">
        <v>0</v>
      </c>
      <c r="O2025" s="58">
        <v>182.70000000000005</v>
      </c>
      <c r="P2025" s="53">
        <v>8853.8643331073545</v>
      </c>
      <c r="Q2025" s="65">
        <v>8336.6200000000008</v>
      </c>
      <c r="R2025" s="65">
        <v>0</v>
      </c>
      <c r="S2025" s="65">
        <v>0</v>
      </c>
      <c r="T2025" s="65">
        <v>517.24433310735367</v>
      </c>
      <c r="U2025" s="58">
        <v>0</v>
      </c>
      <c r="V2025" s="65">
        <v>0</v>
      </c>
      <c r="W2025" s="65">
        <v>0</v>
      </c>
      <c r="X2025" s="65">
        <v>8337</v>
      </c>
      <c r="Y2025" s="65">
        <v>0</v>
      </c>
      <c r="Z2025" s="51">
        <v>0</v>
      </c>
      <c r="AA2025" s="51">
        <v>0</v>
      </c>
      <c r="AB2025" s="102" t="s">
        <v>68</v>
      </c>
      <c r="AC2025" s="81">
        <f t="shared" si="96"/>
        <v>465.34276923910102</v>
      </c>
      <c r="AD2025" s="82">
        <f t="shared" si="97"/>
        <v>26.378571428571426</v>
      </c>
      <c r="AE2025" s="218">
        <v>-6.2044849484245851E-2</v>
      </c>
      <c r="AF2025">
        <v>9</v>
      </c>
      <c r="AH2025" t="str">
        <f t="shared" si="98"/>
        <v>Asarganj</v>
      </c>
      <c r="AJ2025" s="72">
        <v>0</v>
      </c>
      <c r="AK2025" s="72"/>
      <c r="AL2025" s="72"/>
      <c r="AM2025" s="72"/>
    </row>
    <row r="2026" spans="1:39" x14ac:dyDescent="0.25">
      <c r="A2026" s="37" t="s">
        <v>62</v>
      </c>
      <c r="B2026" s="66" t="s">
        <v>1629</v>
      </c>
      <c r="C2026" s="41">
        <v>1003</v>
      </c>
      <c r="D2026" s="41" t="s">
        <v>139</v>
      </c>
      <c r="E2026" s="41">
        <v>10030072</v>
      </c>
      <c r="F2026" s="85" t="s">
        <v>1125</v>
      </c>
      <c r="G2026" s="39" t="s">
        <v>93</v>
      </c>
      <c r="H2026" s="52" t="s">
        <v>94</v>
      </c>
      <c r="I2026" s="52">
        <v>951.90000000000009</v>
      </c>
      <c r="J2026" s="49">
        <v>36452.29</v>
      </c>
      <c r="K2026" s="58">
        <v>946.0300000000002</v>
      </c>
      <c r="L2026" s="58">
        <v>36384.345735432318</v>
      </c>
      <c r="M2026" s="58">
        <v>0</v>
      </c>
      <c r="N2026" s="58">
        <v>0</v>
      </c>
      <c r="O2026" s="58">
        <v>946.0300000000002</v>
      </c>
      <c r="P2026" s="53">
        <v>36384.345735432318</v>
      </c>
      <c r="Q2026" s="65">
        <v>36384.345735432318</v>
      </c>
      <c r="R2026" s="65">
        <v>0</v>
      </c>
      <c r="S2026" s="65">
        <v>0</v>
      </c>
      <c r="T2026" s="65">
        <v>0</v>
      </c>
      <c r="U2026" s="58">
        <v>0</v>
      </c>
      <c r="V2026" s="65">
        <v>0</v>
      </c>
      <c r="W2026" s="65">
        <v>0</v>
      </c>
      <c r="X2026" s="65">
        <v>36384</v>
      </c>
      <c r="Y2026" s="65">
        <v>0</v>
      </c>
      <c r="Z2026" s="51">
        <v>0</v>
      </c>
      <c r="AA2026" s="51">
        <v>68</v>
      </c>
      <c r="AB2026" s="102">
        <v>0</v>
      </c>
      <c r="AC2026" s="81">
        <f t="shared" si="96"/>
        <v>0</v>
      </c>
      <c r="AD2026" s="82">
        <f t="shared" si="97"/>
        <v>0</v>
      </c>
      <c r="AE2026" s="218">
        <v>1.8639230777458067E-3</v>
      </c>
      <c r="AF2026">
        <v>27</v>
      </c>
      <c r="AH2026" t="str">
        <f t="shared" si="98"/>
        <v>Asarganj</v>
      </c>
      <c r="AJ2026" s="72">
        <v>0</v>
      </c>
      <c r="AK2026" s="72"/>
      <c r="AL2026" s="72"/>
      <c r="AM2026" s="72"/>
    </row>
    <row r="2027" spans="1:39" x14ac:dyDescent="0.25">
      <c r="A2027" s="37" t="s">
        <v>62</v>
      </c>
      <c r="B2027" s="66" t="s">
        <v>1629</v>
      </c>
      <c r="C2027" s="41">
        <v>1003</v>
      </c>
      <c r="D2027" s="41" t="s">
        <v>139</v>
      </c>
      <c r="E2027" s="41">
        <v>10030074</v>
      </c>
      <c r="F2027" s="85" t="s">
        <v>1188</v>
      </c>
      <c r="G2027" s="39" t="s">
        <v>93</v>
      </c>
      <c r="H2027" s="52" t="s">
        <v>94</v>
      </c>
      <c r="I2027" s="52">
        <v>1836.6999999999998</v>
      </c>
      <c r="J2027" s="49">
        <v>71029.87999999999</v>
      </c>
      <c r="K2027" s="58">
        <v>1833.05</v>
      </c>
      <c r="L2027" s="58">
        <v>73473.3356965938</v>
      </c>
      <c r="M2027" s="58">
        <v>26.25</v>
      </c>
      <c r="N2027" s="58">
        <v>1039.7572499160001</v>
      </c>
      <c r="O2027" s="58">
        <v>1859.3</v>
      </c>
      <c r="P2027" s="53">
        <v>74513.092946509802</v>
      </c>
      <c r="Q2027" s="65">
        <v>71029.87999999999</v>
      </c>
      <c r="R2027" s="65">
        <v>0</v>
      </c>
      <c r="S2027" s="65">
        <v>1039.7572499160001</v>
      </c>
      <c r="T2027" s="65">
        <v>3483.2129465098114</v>
      </c>
      <c r="U2027" s="58">
        <v>0</v>
      </c>
      <c r="V2027" s="65">
        <v>0</v>
      </c>
      <c r="W2027" s="65">
        <v>0</v>
      </c>
      <c r="X2027" s="65">
        <v>69990</v>
      </c>
      <c r="Y2027" s="65">
        <v>0</v>
      </c>
      <c r="Z2027" s="51">
        <v>0</v>
      </c>
      <c r="AA2027" s="51">
        <v>0</v>
      </c>
      <c r="AB2027" s="102">
        <v>0</v>
      </c>
      <c r="AC2027" s="81">
        <f t="shared" si="96"/>
        <v>0</v>
      </c>
      <c r="AD2027" s="82">
        <f t="shared" si="97"/>
        <v>0</v>
      </c>
      <c r="AE2027" s="218">
        <v>-4.9038699579807991E-2</v>
      </c>
      <c r="AF2027">
        <v>5</v>
      </c>
      <c r="AH2027" t="str">
        <f t="shared" si="98"/>
        <v>Asarganj</v>
      </c>
      <c r="AJ2027" s="72">
        <v>0</v>
      </c>
      <c r="AK2027" s="72"/>
      <c r="AL2027" s="72"/>
      <c r="AM2027" s="72"/>
    </row>
    <row r="2028" spans="1:39" x14ac:dyDescent="0.25">
      <c r="A2028" s="37" t="s">
        <v>62</v>
      </c>
      <c r="B2028" s="66" t="s">
        <v>1629</v>
      </c>
      <c r="C2028" s="41">
        <v>1003</v>
      </c>
      <c r="D2028" s="41" t="s">
        <v>139</v>
      </c>
      <c r="E2028" s="41">
        <v>10030075</v>
      </c>
      <c r="F2028" s="85" t="s">
        <v>1155</v>
      </c>
      <c r="G2028" s="39" t="s">
        <v>93</v>
      </c>
      <c r="H2028" s="52" t="s">
        <v>94</v>
      </c>
      <c r="I2028" s="52">
        <v>423.0499999999999</v>
      </c>
      <c r="J2028" s="49">
        <v>18349.890000000003</v>
      </c>
      <c r="K2028" s="58">
        <v>459.45999999999992</v>
      </c>
      <c r="L2028" s="58">
        <v>20267.672029371799</v>
      </c>
      <c r="M2028" s="58">
        <v>0</v>
      </c>
      <c r="N2028" s="58">
        <v>0</v>
      </c>
      <c r="O2028" s="58">
        <v>459.45999999999992</v>
      </c>
      <c r="P2028" s="53">
        <v>20267.672029371799</v>
      </c>
      <c r="Q2028" s="65">
        <v>18349.890000000003</v>
      </c>
      <c r="R2028" s="65">
        <v>0</v>
      </c>
      <c r="S2028" s="65">
        <v>0</v>
      </c>
      <c r="T2028" s="65">
        <v>1917.7820293717959</v>
      </c>
      <c r="U2028" s="58">
        <v>0</v>
      </c>
      <c r="V2028" s="65">
        <v>0</v>
      </c>
      <c r="W2028" s="65">
        <v>0</v>
      </c>
      <c r="X2028" s="65">
        <v>18350</v>
      </c>
      <c r="Y2028" s="65">
        <v>0</v>
      </c>
      <c r="Z2028" s="51">
        <v>0</v>
      </c>
      <c r="AA2028" s="51">
        <v>0</v>
      </c>
      <c r="AB2028" s="102">
        <v>0</v>
      </c>
      <c r="AC2028" s="81">
        <f t="shared" si="96"/>
        <v>240.2553852026949</v>
      </c>
      <c r="AD2028" s="82">
        <f t="shared" si="97"/>
        <v>60.435714285714269</v>
      </c>
      <c r="AE2028" s="218">
        <v>-0.10451190875649911</v>
      </c>
      <c r="AF2028">
        <v>3</v>
      </c>
      <c r="AH2028" t="str">
        <f t="shared" si="98"/>
        <v>Asarganj</v>
      </c>
      <c r="AJ2028" s="72">
        <v>0</v>
      </c>
      <c r="AK2028" s="72"/>
      <c r="AL2028" s="72"/>
      <c r="AM2028" s="72"/>
    </row>
    <row r="2029" spans="1:39" x14ac:dyDescent="0.25">
      <c r="A2029" s="37" t="s">
        <v>62</v>
      </c>
      <c r="B2029" s="66" t="s">
        <v>1629</v>
      </c>
      <c r="C2029" s="41">
        <v>1003</v>
      </c>
      <c r="D2029" s="41" t="s">
        <v>139</v>
      </c>
      <c r="E2029" s="41">
        <v>10030077</v>
      </c>
      <c r="F2029" s="85" t="s">
        <v>1199</v>
      </c>
      <c r="G2029" s="39" t="s">
        <v>635</v>
      </c>
      <c r="H2029" s="52" t="s">
        <v>99</v>
      </c>
      <c r="I2029" s="52">
        <v>240.35000000000002</v>
      </c>
      <c r="J2029" s="49">
        <v>8642.85</v>
      </c>
      <c r="K2029" s="58">
        <v>0</v>
      </c>
      <c r="L2029" s="58">
        <v>0</v>
      </c>
      <c r="M2029" s="58">
        <v>0</v>
      </c>
      <c r="N2029" s="58">
        <v>0</v>
      </c>
      <c r="O2029" s="58">
        <v>0</v>
      </c>
      <c r="P2029" s="53">
        <v>0</v>
      </c>
      <c r="Q2029" s="65">
        <v>8642.85</v>
      </c>
      <c r="R2029" s="65">
        <v>0</v>
      </c>
      <c r="S2029" s="65">
        <v>0</v>
      </c>
      <c r="T2029" s="65">
        <v>0</v>
      </c>
      <c r="U2029" s="58">
        <v>0</v>
      </c>
      <c r="V2029" s="65">
        <v>0</v>
      </c>
      <c r="W2029" s="65">
        <v>0</v>
      </c>
      <c r="X2029" s="65">
        <v>0</v>
      </c>
      <c r="Y2029" s="65">
        <v>0</v>
      </c>
      <c r="Z2029" s="51">
        <v>8642.85</v>
      </c>
      <c r="AA2029" s="51">
        <v>0</v>
      </c>
      <c r="AB2029" s="102">
        <v>0</v>
      </c>
      <c r="AC2029" s="81">
        <f t="shared" si="96"/>
        <v>330.5750782192635</v>
      </c>
      <c r="AD2029" s="82">
        <f t="shared" si="97"/>
        <v>34.335714285714289</v>
      </c>
      <c r="AE2029" s="218">
        <v>0</v>
      </c>
      <c r="AF2029">
        <v>0</v>
      </c>
      <c r="AH2029" t="str">
        <f t="shared" si="98"/>
        <v>Asarganj</v>
      </c>
      <c r="AJ2029" s="72">
        <v>0</v>
      </c>
      <c r="AK2029" s="72"/>
      <c r="AL2029" s="72"/>
      <c r="AM2029" s="72"/>
    </row>
    <row r="2030" spans="1:39" x14ac:dyDescent="0.25">
      <c r="A2030" s="37" t="s">
        <v>62</v>
      </c>
      <c r="B2030" s="66" t="s">
        <v>1629</v>
      </c>
      <c r="C2030" s="41">
        <v>1003</v>
      </c>
      <c r="D2030" s="41" t="s">
        <v>139</v>
      </c>
      <c r="E2030" s="41">
        <v>10030078</v>
      </c>
      <c r="F2030" s="85" t="s">
        <v>1248</v>
      </c>
      <c r="G2030" s="39" t="s">
        <v>93</v>
      </c>
      <c r="H2030" s="52" t="s">
        <v>94</v>
      </c>
      <c r="I2030" s="52">
        <v>505.75</v>
      </c>
      <c r="J2030" s="49">
        <v>18036.78</v>
      </c>
      <c r="K2030" s="58">
        <v>485.58</v>
      </c>
      <c r="L2030" s="58">
        <v>18596.437277999055</v>
      </c>
      <c r="M2030" s="58">
        <v>0</v>
      </c>
      <c r="N2030" s="58">
        <v>0</v>
      </c>
      <c r="O2030" s="58">
        <v>485.58</v>
      </c>
      <c r="P2030" s="53">
        <v>18596.437277999055</v>
      </c>
      <c r="Q2030" s="65">
        <v>18036.78</v>
      </c>
      <c r="R2030" s="65">
        <v>0</v>
      </c>
      <c r="S2030" s="65">
        <v>0</v>
      </c>
      <c r="T2030" s="65">
        <v>559.65727799905653</v>
      </c>
      <c r="U2030" s="58">
        <v>0</v>
      </c>
      <c r="V2030" s="65">
        <v>0</v>
      </c>
      <c r="W2030" s="65">
        <v>0</v>
      </c>
      <c r="X2030" s="65">
        <v>18037</v>
      </c>
      <c r="Y2030" s="65">
        <v>0</v>
      </c>
      <c r="Z2030" s="51">
        <v>0</v>
      </c>
      <c r="AA2030" s="51">
        <v>0</v>
      </c>
      <c r="AB2030" s="102">
        <v>0</v>
      </c>
      <c r="AC2030" s="81">
        <f t="shared" si="96"/>
        <v>138.55242768166087</v>
      </c>
      <c r="AD2030" s="82">
        <f t="shared" si="97"/>
        <v>72.25</v>
      </c>
      <c r="AE2030" s="218">
        <v>-3.1028669086114957E-2</v>
      </c>
      <c r="AF2030">
        <v>5</v>
      </c>
      <c r="AH2030" t="str">
        <f t="shared" si="98"/>
        <v>Asarganj</v>
      </c>
      <c r="AJ2030" s="72">
        <v>0</v>
      </c>
      <c r="AK2030" s="72"/>
      <c r="AL2030" s="72"/>
      <c r="AM2030" s="72"/>
    </row>
    <row r="2031" spans="1:39" x14ac:dyDescent="0.25">
      <c r="A2031" s="37" t="s">
        <v>62</v>
      </c>
      <c r="B2031" s="66" t="s">
        <v>1629</v>
      </c>
      <c r="C2031" s="41">
        <v>1003</v>
      </c>
      <c r="D2031" s="41" t="s">
        <v>139</v>
      </c>
      <c r="E2031" s="41">
        <v>10030079</v>
      </c>
      <c r="F2031" s="85" t="s">
        <v>1257</v>
      </c>
      <c r="G2031" s="39" t="s">
        <v>635</v>
      </c>
      <c r="H2031" s="52" t="s">
        <v>99</v>
      </c>
      <c r="I2031" s="52">
        <v>514.55000000000007</v>
      </c>
      <c r="J2031" s="49">
        <v>18374.960000000003</v>
      </c>
      <c r="K2031" s="58">
        <v>0</v>
      </c>
      <c r="L2031" s="58">
        <v>0</v>
      </c>
      <c r="M2031" s="58">
        <v>0</v>
      </c>
      <c r="N2031" s="58">
        <v>0</v>
      </c>
      <c r="O2031" s="58">
        <v>0</v>
      </c>
      <c r="P2031" s="53">
        <v>0</v>
      </c>
      <c r="Q2031" s="65">
        <v>18374.960000000003</v>
      </c>
      <c r="R2031" s="65">
        <v>0</v>
      </c>
      <c r="S2031" s="65">
        <v>0</v>
      </c>
      <c r="T2031" s="65">
        <v>0</v>
      </c>
      <c r="U2031" s="58">
        <v>0</v>
      </c>
      <c r="V2031" s="65">
        <v>0</v>
      </c>
      <c r="W2031" s="65">
        <v>0</v>
      </c>
      <c r="X2031" s="65">
        <v>0</v>
      </c>
      <c r="Y2031" s="65">
        <v>0</v>
      </c>
      <c r="Z2031" s="51">
        <v>18374.960000000003</v>
      </c>
      <c r="AA2031" s="51">
        <v>0</v>
      </c>
      <c r="AB2031" s="102">
        <v>0</v>
      </c>
      <c r="AC2031" s="81">
        <f t="shared" si="96"/>
        <v>132.4511255271596</v>
      </c>
      <c r="AD2031" s="82">
        <f t="shared" si="97"/>
        <v>73.507142857142867</v>
      </c>
      <c r="AE2031" s="218">
        <v>0</v>
      </c>
      <c r="AF2031">
        <v>0</v>
      </c>
      <c r="AH2031" t="str">
        <f t="shared" si="98"/>
        <v>Asarganj</v>
      </c>
      <c r="AJ2031" s="72">
        <v>0</v>
      </c>
      <c r="AK2031" s="72"/>
      <c r="AL2031" s="72"/>
      <c r="AM2031" s="72"/>
    </row>
    <row r="2032" spans="1:39" x14ac:dyDescent="0.25">
      <c r="A2032" s="37" t="s">
        <v>62</v>
      </c>
      <c r="B2032" s="66" t="s">
        <v>1629</v>
      </c>
      <c r="C2032" s="41">
        <v>1003</v>
      </c>
      <c r="D2032" s="41" t="s">
        <v>139</v>
      </c>
      <c r="E2032" s="41">
        <v>10030080</v>
      </c>
      <c r="F2032" s="85" t="s">
        <v>1258</v>
      </c>
      <c r="G2032" s="39" t="s">
        <v>93</v>
      </c>
      <c r="H2032" s="52" t="s">
        <v>94</v>
      </c>
      <c r="I2032" s="52">
        <v>889.3</v>
      </c>
      <c r="J2032" s="49">
        <v>34673.42</v>
      </c>
      <c r="K2032" s="58">
        <v>896.49</v>
      </c>
      <c r="L2032" s="58">
        <v>33551.767104652703</v>
      </c>
      <c r="M2032" s="58">
        <v>0</v>
      </c>
      <c r="N2032" s="58">
        <v>0</v>
      </c>
      <c r="O2032" s="58">
        <v>896.49</v>
      </c>
      <c r="P2032" s="53">
        <v>33551.767104652703</v>
      </c>
      <c r="Q2032" s="65">
        <v>33551.767104652703</v>
      </c>
      <c r="R2032" s="65">
        <v>0</v>
      </c>
      <c r="S2032" s="65">
        <v>0</v>
      </c>
      <c r="T2032" s="65">
        <v>0</v>
      </c>
      <c r="U2032" s="58">
        <v>0</v>
      </c>
      <c r="V2032" s="65">
        <v>0</v>
      </c>
      <c r="W2032" s="65">
        <v>0</v>
      </c>
      <c r="X2032" s="65">
        <v>33552</v>
      </c>
      <c r="Y2032" s="65">
        <v>0</v>
      </c>
      <c r="Z2032" s="51">
        <v>0</v>
      </c>
      <c r="AA2032" s="51">
        <v>1121</v>
      </c>
      <c r="AB2032" s="102">
        <v>0</v>
      </c>
      <c r="AC2032" s="81">
        <f t="shared" si="96"/>
        <v>0</v>
      </c>
      <c r="AD2032" s="82">
        <f t="shared" si="97"/>
        <v>0</v>
      </c>
      <c r="AE2032" s="218">
        <v>3.2349070133470978E-2</v>
      </c>
      <c r="AF2032">
        <v>26</v>
      </c>
      <c r="AH2032" t="str">
        <f t="shared" si="98"/>
        <v>Asarganj</v>
      </c>
      <c r="AJ2032" s="72">
        <v>0</v>
      </c>
      <c r="AK2032" s="72"/>
      <c r="AL2032" s="72"/>
      <c r="AM2032" s="72"/>
    </row>
    <row r="2033" spans="1:39" x14ac:dyDescent="0.25">
      <c r="A2033" s="37" t="s">
        <v>62</v>
      </c>
      <c r="B2033" s="66" t="s">
        <v>1629</v>
      </c>
      <c r="C2033" s="41">
        <v>1003</v>
      </c>
      <c r="D2033" s="41" t="s">
        <v>139</v>
      </c>
      <c r="E2033" s="41">
        <v>10030081</v>
      </c>
      <c r="F2033" s="85" t="s">
        <v>1259</v>
      </c>
      <c r="G2033" s="39" t="s">
        <v>635</v>
      </c>
      <c r="H2033" s="52" t="s">
        <v>99</v>
      </c>
      <c r="I2033" s="52">
        <v>218.74999999999997</v>
      </c>
      <c r="J2033" s="49">
        <v>7362.94</v>
      </c>
      <c r="K2033" s="58">
        <v>0</v>
      </c>
      <c r="L2033" s="58">
        <v>0</v>
      </c>
      <c r="M2033" s="58">
        <v>0</v>
      </c>
      <c r="N2033" s="58">
        <v>0</v>
      </c>
      <c r="O2033" s="58">
        <v>0</v>
      </c>
      <c r="P2033" s="53">
        <v>0</v>
      </c>
      <c r="Q2033" s="65">
        <v>7362.94</v>
      </c>
      <c r="R2033" s="65">
        <v>0</v>
      </c>
      <c r="S2033" s="65">
        <v>0</v>
      </c>
      <c r="T2033" s="65">
        <v>0</v>
      </c>
      <c r="U2033" s="58">
        <v>0</v>
      </c>
      <c r="V2033" s="65">
        <v>0</v>
      </c>
      <c r="W2033" s="65">
        <v>0</v>
      </c>
      <c r="X2033" s="65">
        <v>0</v>
      </c>
      <c r="Y2033" s="65">
        <v>0</v>
      </c>
      <c r="Z2033" s="51">
        <v>7362.94</v>
      </c>
      <c r="AA2033" s="51">
        <v>0</v>
      </c>
      <c r="AB2033" s="102">
        <v>0</v>
      </c>
      <c r="AC2033" s="81">
        <f t="shared" si="96"/>
        <v>323.96935999999999</v>
      </c>
      <c r="AD2033" s="82">
        <f t="shared" si="97"/>
        <v>31.249999999999996</v>
      </c>
      <c r="AE2033" s="218">
        <v>0</v>
      </c>
      <c r="AF2033">
        <v>0</v>
      </c>
      <c r="AH2033" t="str">
        <f t="shared" si="98"/>
        <v>Asarganj</v>
      </c>
      <c r="AJ2033" s="72">
        <v>0</v>
      </c>
      <c r="AK2033" s="72"/>
      <c r="AL2033" s="72"/>
      <c r="AM2033" s="72"/>
    </row>
    <row r="2034" spans="1:39" x14ac:dyDescent="0.25">
      <c r="A2034" s="37" t="s">
        <v>62</v>
      </c>
      <c r="B2034" s="66" t="s">
        <v>1629</v>
      </c>
      <c r="C2034" s="41">
        <v>1003</v>
      </c>
      <c r="D2034" s="41" t="s">
        <v>139</v>
      </c>
      <c r="E2034" s="41">
        <v>10030082</v>
      </c>
      <c r="F2034" s="85" t="s">
        <v>1324</v>
      </c>
      <c r="G2034" s="39" t="s">
        <v>93</v>
      </c>
      <c r="H2034" s="52" t="s">
        <v>94</v>
      </c>
      <c r="I2034" s="52">
        <v>175.75000000000003</v>
      </c>
      <c r="J2034" s="49">
        <v>6415.44</v>
      </c>
      <c r="K2034" s="58">
        <v>191.99999999999997</v>
      </c>
      <c r="L2034" s="58">
        <v>7238.8077640560014</v>
      </c>
      <c r="M2034" s="58">
        <v>0</v>
      </c>
      <c r="N2034" s="58">
        <v>0</v>
      </c>
      <c r="O2034" s="58">
        <v>191.99999999999997</v>
      </c>
      <c r="P2034" s="53">
        <v>7238.8077640560014</v>
      </c>
      <c r="Q2034" s="65">
        <v>6415.44</v>
      </c>
      <c r="R2034" s="65">
        <v>0</v>
      </c>
      <c r="S2034" s="65">
        <v>0</v>
      </c>
      <c r="T2034" s="65">
        <v>823.36776405600176</v>
      </c>
      <c r="U2034" s="58">
        <v>0</v>
      </c>
      <c r="V2034" s="65">
        <v>0</v>
      </c>
      <c r="W2034" s="65">
        <v>0</v>
      </c>
      <c r="X2034" s="65">
        <v>6415</v>
      </c>
      <c r="Y2034" s="65">
        <v>0</v>
      </c>
      <c r="Z2034" s="51">
        <v>0</v>
      </c>
      <c r="AA2034" s="51">
        <v>0</v>
      </c>
      <c r="AB2034" s="102">
        <v>0</v>
      </c>
      <c r="AC2034" s="81">
        <f t="shared" si="96"/>
        <v>382.73620711237544</v>
      </c>
      <c r="AD2034" s="82">
        <f t="shared" si="97"/>
        <v>25.107142857142861</v>
      </c>
      <c r="AE2034" s="218">
        <v>-0.12834158905016677</v>
      </c>
      <c r="AF2034">
        <v>2</v>
      </c>
      <c r="AH2034" t="str">
        <f t="shared" si="98"/>
        <v>Asarganj</v>
      </c>
      <c r="AJ2034" s="72">
        <v>0</v>
      </c>
      <c r="AK2034" s="72"/>
      <c r="AL2034" s="72"/>
      <c r="AM2034" s="72"/>
    </row>
    <row r="2035" spans="1:39" x14ac:dyDescent="0.25">
      <c r="A2035" s="37" t="s">
        <v>62</v>
      </c>
      <c r="B2035" s="66" t="s">
        <v>1629</v>
      </c>
      <c r="C2035" s="41">
        <v>1003</v>
      </c>
      <c r="D2035" s="41" t="s">
        <v>139</v>
      </c>
      <c r="E2035" s="41">
        <v>10030084</v>
      </c>
      <c r="F2035" s="85" t="s">
        <v>1333</v>
      </c>
      <c r="G2035" s="39" t="s">
        <v>93</v>
      </c>
      <c r="H2035" s="52" t="s">
        <v>94</v>
      </c>
      <c r="I2035" s="52">
        <v>171.05</v>
      </c>
      <c r="J2035" s="49">
        <v>5828.42</v>
      </c>
      <c r="K2035" s="58">
        <v>159.20000000000002</v>
      </c>
      <c r="L2035" s="58">
        <v>5394.1132911600007</v>
      </c>
      <c r="M2035" s="58">
        <v>0</v>
      </c>
      <c r="N2035" s="58">
        <v>0</v>
      </c>
      <c r="O2035" s="58">
        <v>159.20000000000002</v>
      </c>
      <c r="P2035" s="53">
        <v>5394.1132911600007</v>
      </c>
      <c r="Q2035" s="65">
        <v>5394.1132911600007</v>
      </c>
      <c r="R2035" s="65">
        <v>0</v>
      </c>
      <c r="S2035" s="65">
        <v>0</v>
      </c>
      <c r="T2035" s="65">
        <v>0</v>
      </c>
      <c r="U2035" s="58">
        <v>0</v>
      </c>
      <c r="V2035" s="65">
        <v>0</v>
      </c>
      <c r="W2035" s="65">
        <v>0</v>
      </c>
      <c r="X2035" s="65">
        <v>5394</v>
      </c>
      <c r="Y2035" s="65">
        <v>0</v>
      </c>
      <c r="Z2035" s="51">
        <v>0</v>
      </c>
      <c r="AA2035" s="51">
        <v>434</v>
      </c>
      <c r="AB2035" s="102">
        <v>0</v>
      </c>
      <c r="AC2035" s="81">
        <f t="shared" si="96"/>
        <v>360.47269909383226</v>
      </c>
      <c r="AD2035" s="82">
        <f t="shared" si="97"/>
        <v>24.435714285714287</v>
      </c>
      <c r="AE2035" s="218">
        <v>7.4515341866234652E-2</v>
      </c>
      <c r="AF2035">
        <v>1</v>
      </c>
      <c r="AH2035" t="str">
        <f t="shared" si="98"/>
        <v>Asarganj</v>
      </c>
      <c r="AJ2035" s="72">
        <v>0</v>
      </c>
      <c r="AK2035" s="72"/>
      <c r="AL2035" s="72"/>
      <c r="AM2035" s="72"/>
    </row>
    <row r="2036" spans="1:39" x14ac:dyDescent="0.25">
      <c r="A2036" s="37" t="s">
        <v>62</v>
      </c>
      <c r="B2036" s="66" t="s">
        <v>1629</v>
      </c>
      <c r="C2036" s="41">
        <v>1003</v>
      </c>
      <c r="D2036" s="41" t="s">
        <v>139</v>
      </c>
      <c r="E2036" s="41">
        <v>10030085</v>
      </c>
      <c r="F2036" s="85" t="s">
        <v>1334</v>
      </c>
      <c r="G2036" s="39" t="s">
        <v>93</v>
      </c>
      <c r="H2036" s="52" t="s">
        <v>94</v>
      </c>
      <c r="I2036" s="52">
        <v>453.8</v>
      </c>
      <c r="J2036" s="49">
        <v>18152.170000000002</v>
      </c>
      <c r="K2036" s="58">
        <v>505.79</v>
      </c>
      <c r="L2036" s="58">
        <v>23000.313793451263</v>
      </c>
      <c r="M2036" s="58">
        <v>0</v>
      </c>
      <c r="N2036" s="58">
        <v>0</v>
      </c>
      <c r="O2036" s="58">
        <v>505.79</v>
      </c>
      <c r="P2036" s="53">
        <v>23000.313793451263</v>
      </c>
      <c r="Q2036" s="65">
        <v>18152.170000000002</v>
      </c>
      <c r="R2036" s="65">
        <v>0</v>
      </c>
      <c r="S2036" s="65">
        <v>0</v>
      </c>
      <c r="T2036" s="65">
        <v>4848.1437934512614</v>
      </c>
      <c r="U2036" s="58">
        <v>0</v>
      </c>
      <c r="V2036" s="65">
        <v>0</v>
      </c>
      <c r="W2036" s="65">
        <v>0</v>
      </c>
      <c r="X2036" s="65">
        <v>18152</v>
      </c>
      <c r="Y2036" s="65">
        <v>0</v>
      </c>
      <c r="Z2036" s="51">
        <v>0</v>
      </c>
      <c r="AA2036" s="51">
        <v>0</v>
      </c>
      <c r="AB2036" s="102">
        <v>0</v>
      </c>
      <c r="AC2036" s="81">
        <f t="shared" si="96"/>
        <v>196.96184460114583</v>
      </c>
      <c r="AD2036" s="82">
        <f t="shared" si="97"/>
        <v>64.828571428571436</v>
      </c>
      <c r="AE2036" s="218">
        <v>-0.26708342823206599</v>
      </c>
      <c r="AF2036">
        <v>1</v>
      </c>
      <c r="AH2036" t="str">
        <f t="shared" si="98"/>
        <v>Asarganj</v>
      </c>
      <c r="AJ2036" s="72">
        <v>0</v>
      </c>
      <c r="AK2036" s="72"/>
      <c r="AL2036" s="72"/>
      <c r="AM2036" s="72"/>
    </row>
    <row r="2037" spans="1:39" x14ac:dyDescent="0.25">
      <c r="A2037" s="37" t="s">
        <v>62</v>
      </c>
      <c r="B2037" s="66" t="s">
        <v>1629</v>
      </c>
      <c r="C2037" s="41">
        <v>1003</v>
      </c>
      <c r="D2037" s="41" t="s">
        <v>139</v>
      </c>
      <c r="E2037" s="41">
        <v>10030086</v>
      </c>
      <c r="F2037" s="85" t="s">
        <v>1575</v>
      </c>
      <c r="G2037" s="39" t="s">
        <v>93</v>
      </c>
      <c r="H2037" s="52" t="s">
        <v>94</v>
      </c>
      <c r="I2037" s="52">
        <v>46.800000000000004</v>
      </c>
      <c r="J2037" s="49">
        <v>1772.41</v>
      </c>
      <c r="K2037" s="58">
        <v>52.31</v>
      </c>
      <c r="L2037" s="58">
        <v>2039.3316810504002</v>
      </c>
      <c r="M2037" s="58">
        <v>0</v>
      </c>
      <c r="N2037" s="58">
        <v>0</v>
      </c>
      <c r="O2037" s="58">
        <v>52.31</v>
      </c>
      <c r="P2037" s="53">
        <v>2039.3316810504002</v>
      </c>
      <c r="Q2037" s="65">
        <v>1772.41</v>
      </c>
      <c r="R2037" s="65">
        <v>0</v>
      </c>
      <c r="S2037" s="65">
        <v>0</v>
      </c>
      <c r="T2037" s="65">
        <v>266.92168105040014</v>
      </c>
      <c r="U2037" s="58">
        <v>0</v>
      </c>
      <c r="V2037" s="65">
        <v>0</v>
      </c>
      <c r="W2037" s="65">
        <v>0</v>
      </c>
      <c r="X2037" s="65">
        <v>1772</v>
      </c>
      <c r="Y2037" s="65">
        <v>0</v>
      </c>
      <c r="Z2037" s="51">
        <v>0</v>
      </c>
      <c r="AA2037" s="51">
        <v>0</v>
      </c>
      <c r="AB2037" s="102">
        <v>0</v>
      </c>
      <c r="AC2037" s="81">
        <f t="shared" si="96"/>
        <v>494.75991965811971</v>
      </c>
      <c r="AD2037" s="82">
        <f t="shared" si="97"/>
        <v>6.6857142857142859</v>
      </c>
      <c r="AE2037" s="218">
        <v>-0.15059815790387107</v>
      </c>
      <c r="AF2037">
        <v>1</v>
      </c>
      <c r="AH2037" t="str">
        <f t="shared" si="98"/>
        <v>Asarganj</v>
      </c>
      <c r="AJ2037" s="72">
        <v>0</v>
      </c>
      <c r="AK2037" s="72"/>
      <c r="AL2037" s="72"/>
      <c r="AM2037" s="72"/>
    </row>
    <row r="2038" spans="1:39" x14ac:dyDescent="0.25">
      <c r="A2038" s="37" t="s">
        <v>62</v>
      </c>
      <c r="B2038" s="66" t="s">
        <v>1629</v>
      </c>
      <c r="C2038" s="41">
        <v>1003</v>
      </c>
      <c r="D2038" s="41" t="s">
        <v>139</v>
      </c>
      <c r="E2038" s="41">
        <v>10030087</v>
      </c>
      <c r="F2038" s="85" t="s">
        <v>1576</v>
      </c>
      <c r="G2038" s="39" t="s">
        <v>93</v>
      </c>
      <c r="H2038" s="52" t="s">
        <v>94</v>
      </c>
      <c r="I2038" s="52">
        <v>269.60000000000002</v>
      </c>
      <c r="J2038" s="49">
        <v>10419.84</v>
      </c>
      <c r="K2038" s="58">
        <v>264.60000000000002</v>
      </c>
      <c r="L2038" s="58">
        <v>10298.823622560003</v>
      </c>
      <c r="M2038" s="58">
        <v>0</v>
      </c>
      <c r="N2038" s="58">
        <v>0</v>
      </c>
      <c r="O2038" s="58">
        <v>264.60000000000002</v>
      </c>
      <c r="P2038" s="53">
        <v>10298.823622560003</v>
      </c>
      <c r="Q2038" s="65">
        <v>10298.823622560003</v>
      </c>
      <c r="R2038" s="65">
        <v>0</v>
      </c>
      <c r="S2038" s="65">
        <v>0</v>
      </c>
      <c r="T2038" s="65">
        <v>0</v>
      </c>
      <c r="U2038" s="58">
        <v>0</v>
      </c>
      <c r="V2038" s="65">
        <v>0</v>
      </c>
      <c r="W2038" s="65">
        <v>0</v>
      </c>
      <c r="X2038" s="65">
        <v>10299</v>
      </c>
      <c r="Y2038" s="65">
        <v>0</v>
      </c>
      <c r="Z2038" s="51">
        <v>0</v>
      </c>
      <c r="AA2038" s="51">
        <v>121</v>
      </c>
      <c r="AB2038" s="102">
        <v>0</v>
      </c>
      <c r="AC2038" s="81">
        <f t="shared" si="96"/>
        <v>332.69281424332343</v>
      </c>
      <c r="AD2038" s="82">
        <f t="shared" si="97"/>
        <v>38.51428571428572</v>
      </c>
      <c r="AE2038" s="218">
        <v>1.1614034134880869E-2</v>
      </c>
      <c r="AF2038">
        <v>1</v>
      </c>
      <c r="AH2038" t="str">
        <f t="shared" si="98"/>
        <v>Asarganj</v>
      </c>
      <c r="AJ2038" s="72">
        <v>0</v>
      </c>
      <c r="AK2038" s="72"/>
      <c r="AL2038" s="72"/>
      <c r="AM2038" s="72"/>
    </row>
    <row r="2039" spans="1:39" x14ac:dyDescent="0.25">
      <c r="A2039" s="37" t="s">
        <v>62</v>
      </c>
      <c r="B2039" s="66" t="s">
        <v>1629</v>
      </c>
      <c r="C2039" s="41">
        <v>1003</v>
      </c>
      <c r="D2039" s="41" t="s">
        <v>139</v>
      </c>
      <c r="E2039" s="41">
        <v>10030088</v>
      </c>
      <c r="F2039" s="85" t="s">
        <v>1577</v>
      </c>
      <c r="G2039" s="39" t="s">
        <v>93</v>
      </c>
      <c r="H2039" s="52" t="s">
        <v>94</v>
      </c>
      <c r="I2039" s="52">
        <v>399.3</v>
      </c>
      <c r="J2039" s="49">
        <v>15408.720000000001</v>
      </c>
      <c r="K2039" s="58">
        <v>365.40000000000003</v>
      </c>
      <c r="L2039" s="58">
        <v>14063.727803640002</v>
      </c>
      <c r="M2039" s="58">
        <v>0</v>
      </c>
      <c r="N2039" s="58">
        <v>0</v>
      </c>
      <c r="O2039" s="58">
        <v>365.40000000000003</v>
      </c>
      <c r="P2039" s="53">
        <v>14063.727803640002</v>
      </c>
      <c r="Q2039" s="65">
        <v>14063.727803640002</v>
      </c>
      <c r="R2039" s="65">
        <v>0</v>
      </c>
      <c r="S2039" s="65">
        <v>0</v>
      </c>
      <c r="T2039" s="65">
        <v>0</v>
      </c>
      <c r="U2039" s="58">
        <v>0</v>
      </c>
      <c r="V2039" s="65">
        <v>0</v>
      </c>
      <c r="W2039" s="65">
        <v>0</v>
      </c>
      <c r="X2039" s="65">
        <v>14064</v>
      </c>
      <c r="Y2039" s="65">
        <v>0</v>
      </c>
      <c r="Z2039" s="51">
        <v>0</v>
      </c>
      <c r="AA2039" s="51">
        <v>1345</v>
      </c>
      <c r="AB2039" s="102">
        <v>0</v>
      </c>
      <c r="AC2039" s="81">
        <f t="shared" si="96"/>
        <v>232.07623861758074</v>
      </c>
      <c r="AD2039" s="82">
        <f t="shared" si="97"/>
        <v>57.042857142857144</v>
      </c>
      <c r="AE2039" s="218">
        <v>8.7287730347491488E-2</v>
      </c>
      <c r="AF2039">
        <v>1</v>
      </c>
      <c r="AH2039" t="str">
        <f t="shared" si="98"/>
        <v>Asarganj</v>
      </c>
      <c r="AJ2039" s="72">
        <v>0</v>
      </c>
      <c r="AK2039" s="72"/>
      <c r="AL2039" s="72"/>
      <c r="AM2039" s="72"/>
    </row>
    <row r="2040" spans="1:39" x14ac:dyDescent="0.25">
      <c r="A2040" s="37" t="s">
        <v>62</v>
      </c>
      <c r="B2040" s="66" t="s">
        <v>1629</v>
      </c>
      <c r="C2040" s="41">
        <v>1003</v>
      </c>
      <c r="D2040" s="41" t="s">
        <v>139</v>
      </c>
      <c r="E2040" s="41">
        <v>10030089</v>
      </c>
      <c r="F2040" s="85" t="s">
        <v>1578</v>
      </c>
      <c r="G2040" s="39" t="s">
        <v>93</v>
      </c>
      <c r="H2040" s="52" t="s">
        <v>94</v>
      </c>
      <c r="I2040" s="52">
        <v>677.6</v>
      </c>
      <c r="J2040" s="49">
        <v>30510.440000000002</v>
      </c>
      <c r="K2040" s="58">
        <v>707.05</v>
      </c>
      <c r="L2040" s="58">
        <v>31104.199556488144</v>
      </c>
      <c r="M2040" s="58">
        <v>0</v>
      </c>
      <c r="N2040" s="58">
        <v>0</v>
      </c>
      <c r="O2040" s="58">
        <v>707.05</v>
      </c>
      <c r="P2040" s="53">
        <v>31104.199556488144</v>
      </c>
      <c r="Q2040" s="65">
        <v>30510.440000000002</v>
      </c>
      <c r="R2040" s="65">
        <v>0</v>
      </c>
      <c r="S2040" s="65">
        <v>0</v>
      </c>
      <c r="T2040" s="65">
        <v>593.75955648814124</v>
      </c>
      <c r="U2040" s="58">
        <v>0</v>
      </c>
      <c r="V2040" s="65">
        <v>0</v>
      </c>
      <c r="W2040" s="65">
        <v>0</v>
      </c>
      <c r="X2040" s="65">
        <v>30510</v>
      </c>
      <c r="Y2040" s="65">
        <v>0</v>
      </c>
      <c r="Z2040" s="51">
        <v>0</v>
      </c>
      <c r="AA2040" s="51">
        <v>0</v>
      </c>
      <c r="AB2040" s="102">
        <v>0</v>
      </c>
      <c r="AC2040" s="81">
        <f t="shared" si="96"/>
        <v>20.172191735537211</v>
      </c>
      <c r="AD2040" s="82">
        <f t="shared" si="97"/>
        <v>96.8</v>
      </c>
      <c r="AE2040" s="218">
        <v>-1.9460865083825118E-2</v>
      </c>
      <c r="AF2040">
        <v>2</v>
      </c>
      <c r="AH2040" t="str">
        <f t="shared" si="98"/>
        <v>Asarganj</v>
      </c>
      <c r="AJ2040" s="72">
        <v>0</v>
      </c>
      <c r="AK2040" s="72"/>
      <c r="AL2040" s="72"/>
      <c r="AM2040" s="72"/>
    </row>
    <row r="2041" spans="1:39" x14ac:dyDescent="0.25">
      <c r="A2041" s="37" t="s">
        <v>62</v>
      </c>
      <c r="B2041" s="66" t="s">
        <v>1629</v>
      </c>
      <c r="C2041" s="41">
        <v>1003</v>
      </c>
      <c r="D2041" s="41" t="s">
        <v>139</v>
      </c>
      <c r="E2041" s="41">
        <v>10030090</v>
      </c>
      <c r="F2041" s="85" t="s">
        <v>1579</v>
      </c>
      <c r="G2041" s="39" t="s">
        <v>93</v>
      </c>
      <c r="H2041" s="52" t="s">
        <v>94</v>
      </c>
      <c r="I2041" s="52">
        <v>135.55000000000001</v>
      </c>
      <c r="J2041" s="49">
        <v>5225.0199999999995</v>
      </c>
      <c r="K2041" s="58">
        <v>142.16999999999999</v>
      </c>
      <c r="L2041" s="58">
        <v>6663.6358401466005</v>
      </c>
      <c r="M2041" s="58">
        <v>0</v>
      </c>
      <c r="N2041" s="58">
        <v>0</v>
      </c>
      <c r="O2041" s="58">
        <v>142.16999999999999</v>
      </c>
      <c r="P2041" s="53">
        <v>6663.6358401466005</v>
      </c>
      <c r="Q2041" s="65">
        <v>5225.0199999999995</v>
      </c>
      <c r="R2041" s="65">
        <v>0</v>
      </c>
      <c r="S2041" s="65">
        <v>0</v>
      </c>
      <c r="T2041" s="65">
        <v>1438.6158401466009</v>
      </c>
      <c r="U2041" s="58">
        <v>0</v>
      </c>
      <c r="V2041" s="65">
        <v>0</v>
      </c>
      <c r="W2041" s="65">
        <v>0</v>
      </c>
      <c r="X2041" s="65">
        <v>5225</v>
      </c>
      <c r="Y2041" s="65">
        <v>0</v>
      </c>
      <c r="Z2041" s="51">
        <v>0</v>
      </c>
      <c r="AA2041" s="51">
        <v>0</v>
      </c>
      <c r="AB2041" s="102">
        <v>0</v>
      </c>
      <c r="AC2041" s="81">
        <f t="shared" si="96"/>
        <v>435.15493013648097</v>
      </c>
      <c r="AD2041" s="82">
        <f t="shared" si="97"/>
        <v>19.364285714285717</v>
      </c>
      <c r="AE2041" s="218">
        <v>-0.27533212124481843</v>
      </c>
      <c r="AF2041">
        <v>1</v>
      </c>
      <c r="AH2041" t="str">
        <f t="shared" si="98"/>
        <v>Asarganj</v>
      </c>
      <c r="AJ2041" s="72">
        <v>0</v>
      </c>
      <c r="AK2041" s="72"/>
      <c r="AL2041" s="72"/>
      <c r="AM2041" s="72"/>
    </row>
    <row r="2042" spans="1:39" x14ac:dyDescent="0.25">
      <c r="A2042" s="37" t="s">
        <v>62</v>
      </c>
      <c r="B2042" s="66" t="s">
        <v>1629</v>
      </c>
      <c r="C2042" s="41">
        <v>1006</v>
      </c>
      <c r="D2042" s="41" t="s">
        <v>183</v>
      </c>
      <c r="E2042" s="41">
        <v>10060002</v>
      </c>
      <c r="F2042" s="85" t="s">
        <v>825</v>
      </c>
      <c r="G2042" s="39" t="s">
        <v>635</v>
      </c>
      <c r="H2042" s="52" t="s">
        <v>99</v>
      </c>
      <c r="I2042" s="52">
        <v>1407.6</v>
      </c>
      <c r="J2042" s="49">
        <v>53103.69</v>
      </c>
      <c r="K2042" s="58">
        <v>0</v>
      </c>
      <c r="L2042" s="58">
        <v>0</v>
      </c>
      <c r="M2042" s="58">
        <v>0</v>
      </c>
      <c r="N2042" s="58">
        <v>0</v>
      </c>
      <c r="O2042" s="58">
        <v>0</v>
      </c>
      <c r="P2042" s="53">
        <v>0</v>
      </c>
      <c r="Q2042" s="65">
        <v>53103.69</v>
      </c>
      <c r="R2042" s="65">
        <v>0</v>
      </c>
      <c r="S2042" s="65">
        <v>0</v>
      </c>
      <c r="T2042" s="65">
        <v>0</v>
      </c>
      <c r="U2042" s="58">
        <v>0</v>
      </c>
      <c r="V2042" s="65">
        <v>0</v>
      </c>
      <c r="W2042" s="65">
        <v>0</v>
      </c>
      <c r="X2042" s="65">
        <v>0</v>
      </c>
      <c r="Y2042" s="65">
        <v>0</v>
      </c>
      <c r="Z2042" s="51">
        <v>53103.69</v>
      </c>
      <c r="AA2042" s="51">
        <v>0</v>
      </c>
      <c r="AB2042" s="102">
        <v>0</v>
      </c>
      <c r="AC2042" s="81">
        <f t="shared" si="96"/>
        <v>0</v>
      </c>
      <c r="AD2042" s="82">
        <f t="shared" si="97"/>
        <v>0</v>
      </c>
      <c r="AE2042" s="218">
        <v>0</v>
      </c>
      <c r="AF2042">
        <v>0</v>
      </c>
      <c r="AH2042" t="str">
        <f t="shared" si="98"/>
        <v>Sonvarsha</v>
      </c>
      <c r="AJ2042" s="72">
        <v>0</v>
      </c>
      <c r="AK2042" s="72"/>
      <c r="AL2042" s="72"/>
      <c r="AM2042" s="72"/>
    </row>
    <row r="2043" spans="1:39" x14ac:dyDescent="0.25">
      <c r="A2043" s="37" t="s">
        <v>62</v>
      </c>
      <c r="B2043" s="66" t="s">
        <v>1629</v>
      </c>
      <c r="C2043" s="41">
        <v>1006</v>
      </c>
      <c r="D2043" s="41" t="s">
        <v>183</v>
      </c>
      <c r="E2043" s="41">
        <v>10060003</v>
      </c>
      <c r="F2043" s="85" t="s">
        <v>184</v>
      </c>
      <c r="G2043" s="39" t="s">
        <v>635</v>
      </c>
      <c r="H2043" s="52" t="s">
        <v>99</v>
      </c>
      <c r="I2043" s="52">
        <v>1813.8</v>
      </c>
      <c r="J2043" s="49">
        <v>64936.740000000013</v>
      </c>
      <c r="K2043" s="58">
        <v>0</v>
      </c>
      <c r="L2043" s="58">
        <v>0</v>
      </c>
      <c r="M2043" s="58">
        <v>0</v>
      </c>
      <c r="N2043" s="58">
        <v>0</v>
      </c>
      <c r="O2043" s="58">
        <v>0</v>
      </c>
      <c r="P2043" s="53">
        <v>0</v>
      </c>
      <c r="Q2043" s="65">
        <v>64936.740000000013</v>
      </c>
      <c r="R2043" s="65">
        <v>0</v>
      </c>
      <c r="S2043" s="65">
        <v>0</v>
      </c>
      <c r="T2043" s="65">
        <v>0</v>
      </c>
      <c r="U2043" s="58">
        <v>0</v>
      </c>
      <c r="V2043" s="65">
        <v>0</v>
      </c>
      <c r="W2043" s="65">
        <v>0</v>
      </c>
      <c r="X2043" s="65">
        <v>0</v>
      </c>
      <c r="Y2043" s="65">
        <v>0</v>
      </c>
      <c r="Z2043" s="51">
        <v>64936.740000000013</v>
      </c>
      <c r="AA2043" s="51">
        <v>0</v>
      </c>
      <c r="AB2043" s="102">
        <v>0</v>
      </c>
      <c r="AC2043" s="81">
        <f t="shared" si="96"/>
        <v>0</v>
      </c>
      <c r="AD2043" s="82">
        <f t="shared" si="97"/>
        <v>0</v>
      </c>
      <c r="AE2043" s="218">
        <v>0</v>
      </c>
      <c r="AF2043">
        <v>0</v>
      </c>
      <c r="AH2043" t="str">
        <f t="shared" si="98"/>
        <v>Sonvarsha</v>
      </c>
      <c r="AJ2043" s="72">
        <v>0</v>
      </c>
      <c r="AK2043" s="72"/>
      <c r="AL2043" s="72"/>
      <c r="AM2043" s="72"/>
    </row>
    <row r="2044" spans="1:39" x14ac:dyDescent="0.25">
      <c r="A2044" s="37" t="s">
        <v>62</v>
      </c>
      <c r="B2044" s="66" t="s">
        <v>1629</v>
      </c>
      <c r="C2044" s="41">
        <v>1006</v>
      </c>
      <c r="D2044" s="41" t="s">
        <v>183</v>
      </c>
      <c r="E2044" s="41">
        <v>10060004</v>
      </c>
      <c r="F2044" s="85" t="s">
        <v>185</v>
      </c>
      <c r="G2044" s="39" t="s">
        <v>635</v>
      </c>
      <c r="H2044" s="52" t="s">
        <v>99</v>
      </c>
      <c r="I2044" s="52">
        <v>2685.1</v>
      </c>
      <c r="J2044" s="49">
        <v>100882.44</v>
      </c>
      <c r="K2044" s="58">
        <v>0</v>
      </c>
      <c r="L2044" s="58">
        <v>0</v>
      </c>
      <c r="M2044" s="58">
        <v>0</v>
      </c>
      <c r="N2044" s="58">
        <v>0</v>
      </c>
      <c r="O2044" s="58">
        <v>0</v>
      </c>
      <c r="P2044" s="53">
        <v>0</v>
      </c>
      <c r="Q2044" s="65">
        <v>100882.44</v>
      </c>
      <c r="R2044" s="65">
        <v>0</v>
      </c>
      <c r="S2044" s="65">
        <v>0</v>
      </c>
      <c r="T2044" s="65">
        <v>0</v>
      </c>
      <c r="U2044" s="58">
        <v>0</v>
      </c>
      <c r="V2044" s="65">
        <v>0</v>
      </c>
      <c r="W2044" s="65">
        <v>0</v>
      </c>
      <c r="X2044" s="65">
        <v>0</v>
      </c>
      <c r="Y2044" s="65">
        <v>0</v>
      </c>
      <c r="Z2044" s="51">
        <v>100882.44</v>
      </c>
      <c r="AA2044" s="51">
        <v>0</v>
      </c>
      <c r="AB2044" s="102">
        <v>0</v>
      </c>
      <c r="AC2044" s="81">
        <f t="shared" si="96"/>
        <v>0</v>
      </c>
      <c r="AD2044" s="82">
        <f t="shared" si="97"/>
        <v>0</v>
      </c>
      <c r="AE2044" s="218">
        <v>0</v>
      </c>
      <c r="AF2044">
        <v>0</v>
      </c>
      <c r="AH2044" t="str">
        <f t="shared" si="98"/>
        <v>Sonvarsha</v>
      </c>
      <c r="AJ2044" s="72">
        <v>0</v>
      </c>
      <c r="AK2044" s="72"/>
      <c r="AL2044" s="72"/>
      <c r="AM2044" s="72"/>
    </row>
    <row r="2045" spans="1:39" x14ac:dyDescent="0.25">
      <c r="A2045" s="37" t="s">
        <v>62</v>
      </c>
      <c r="B2045" s="66" t="s">
        <v>1629</v>
      </c>
      <c r="C2045" s="41">
        <v>1006</v>
      </c>
      <c r="D2045" s="41" t="s">
        <v>183</v>
      </c>
      <c r="E2045" s="41">
        <v>10060005</v>
      </c>
      <c r="F2045" s="85" t="s">
        <v>186</v>
      </c>
      <c r="G2045" s="39" t="s">
        <v>635</v>
      </c>
      <c r="H2045" s="52" t="s">
        <v>99</v>
      </c>
      <c r="I2045" s="52">
        <v>1293.8999999999999</v>
      </c>
      <c r="J2045" s="49">
        <v>48768.039999999986</v>
      </c>
      <c r="K2045" s="58">
        <v>0</v>
      </c>
      <c r="L2045" s="58">
        <v>0</v>
      </c>
      <c r="M2045" s="58">
        <v>0</v>
      </c>
      <c r="N2045" s="58">
        <v>0</v>
      </c>
      <c r="O2045" s="58">
        <v>0</v>
      </c>
      <c r="P2045" s="53">
        <v>0</v>
      </c>
      <c r="Q2045" s="65">
        <v>48768.039999999986</v>
      </c>
      <c r="R2045" s="65">
        <v>0</v>
      </c>
      <c r="S2045" s="65">
        <v>0</v>
      </c>
      <c r="T2045" s="65">
        <v>0</v>
      </c>
      <c r="U2045" s="58">
        <v>0</v>
      </c>
      <c r="V2045" s="65">
        <v>0</v>
      </c>
      <c r="W2045" s="65">
        <v>0</v>
      </c>
      <c r="X2045" s="65">
        <v>0</v>
      </c>
      <c r="Y2045" s="65">
        <v>0</v>
      </c>
      <c r="Z2045" s="51">
        <v>48768.039999999986</v>
      </c>
      <c r="AA2045" s="51">
        <v>0</v>
      </c>
      <c r="AB2045" s="102">
        <v>0</v>
      </c>
      <c r="AC2045" s="81">
        <f t="shared" si="96"/>
        <v>0</v>
      </c>
      <c r="AD2045" s="82">
        <f t="shared" si="97"/>
        <v>0</v>
      </c>
      <c r="AE2045" s="218">
        <v>0</v>
      </c>
      <c r="AF2045">
        <v>0</v>
      </c>
      <c r="AH2045" t="str">
        <f t="shared" si="98"/>
        <v>Sonvarsha</v>
      </c>
      <c r="AJ2045" s="72">
        <v>0</v>
      </c>
      <c r="AK2045" s="72"/>
      <c r="AL2045" s="72"/>
      <c r="AM2045" s="72"/>
    </row>
    <row r="2046" spans="1:39" x14ac:dyDescent="0.25">
      <c r="A2046" s="37" t="s">
        <v>62</v>
      </c>
      <c r="B2046" s="66" t="s">
        <v>1629</v>
      </c>
      <c r="C2046" s="41">
        <v>1006</v>
      </c>
      <c r="D2046" s="41" t="s">
        <v>183</v>
      </c>
      <c r="E2046" s="41">
        <v>10060007</v>
      </c>
      <c r="F2046" s="85" t="s">
        <v>187</v>
      </c>
      <c r="G2046" s="39" t="s">
        <v>635</v>
      </c>
      <c r="H2046" s="52" t="s">
        <v>99</v>
      </c>
      <c r="I2046" s="52">
        <v>957.00000000000011</v>
      </c>
      <c r="J2046" s="49">
        <v>33331.82</v>
      </c>
      <c r="K2046" s="58">
        <v>0</v>
      </c>
      <c r="L2046" s="58">
        <v>0</v>
      </c>
      <c r="M2046" s="58">
        <v>0</v>
      </c>
      <c r="N2046" s="58">
        <v>0</v>
      </c>
      <c r="O2046" s="58">
        <v>0</v>
      </c>
      <c r="P2046" s="53">
        <v>0</v>
      </c>
      <c r="Q2046" s="65">
        <v>33331.82</v>
      </c>
      <c r="R2046" s="65">
        <v>0</v>
      </c>
      <c r="S2046" s="65">
        <v>0</v>
      </c>
      <c r="T2046" s="65">
        <v>0</v>
      </c>
      <c r="U2046" s="58">
        <v>0</v>
      </c>
      <c r="V2046" s="65">
        <v>0</v>
      </c>
      <c r="W2046" s="65">
        <v>0</v>
      </c>
      <c r="X2046" s="65">
        <v>0</v>
      </c>
      <c r="Y2046" s="65">
        <v>0</v>
      </c>
      <c r="Z2046" s="51">
        <v>33331.82</v>
      </c>
      <c r="AA2046" s="51">
        <v>0</v>
      </c>
      <c r="AB2046" s="102">
        <v>0</v>
      </c>
      <c r="AC2046" s="81">
        <f t="shared" si="96"/>
        <v>0</v>
      </c>
      <c r="AD2046" s="82">
        <f t="shared" si="97"/>
        <v>0</v>
      </c>
      <c r="AE2046" s="218">
        <v>0</v>
      </c>
      <c r="AF2046">
        <v>0</v>
      </c>
      <c r="AH2046" t="str">
        <f t="shared" si="98"/>
        <v>Sonvarsha</v>
      </c>
      <c r="AJ2046" s="72">
        <v>0</v>
      </c>
      <c r="AK2046" s="72"/>
      <c r="AL2046" s="72"/>
      <c r="AM2046" s="72"/>
    </row>
    <row r="2047" spans="1:39" x14ac:dyDescent="0.25">
      <c r="A2047" s="37" t="s">
        <v>62</v>
      </c>
      <c r="B2047" s="66" t="s">
        <v>1629</v>
      </c>
      <c r="C2047" s="41">
        <v>1006</v>
      </c>
      <c r="D2047" s="41" t="s">
        <v>183</v>
      </c>
      <c r="E2047" s="41">
        <v>10060008</v>
      </c>
      <c r="F2047" s="85" t="s">
        <v>188</v>
      </c>
      <c r="G2047" s="39" t="s">
        <v>635</v>
      </c>
      <c r="H2047" s="52" t="s">
        <v>99</v>
      </c>
      <c r="I2047" s="52">
        <v>530.6</v>
      </c>
      <c r="J2047" s="49">
        <v>19090.460000000003</v>
      </c>
      <c r="K2047" s="58">
        <v>0</v>
      </c>
      <c r="L2047" s="58">
        <v>0</v>
      </c>
      <c r="M2047" s="58">
        <v>0</v>
      </c>
      <c r="N2047" s="58">
        <v>0</v>
      </c>
      <c r="O2047" s="58">
        <v>0</v>
      </c>
      <c r="P2047" s="53">
        <v>0</v>
      </c>
      <c r="Q2047" s="65">
        <v>19090.460000000003</v>
      </c>
      <c r="R2047" s="65">
        <v>0</v>
      </c>
      <c r="S2047" s="65">
        <v>0</v>
      </c>
      <c r="T2047" s="65">
        <v>0</v>
      </c>
      <c r="U2047" s="58">
        <v>0</v>
      </c>
      <c r="V2047" s="65">
        <v>0</v>
      </c>
      <c r="W2047" s="65">
        <v>0</v>
      </c>
      <c r="X2047" s="65">
        <v>0</v>
      </c>
      <c r="Y2047" s="65">
        <v>0</v>
      </c>
      <c r="Z2047" s="51">
        <v>19090.460000000003</v>
      </c>
      <c r="AA2047" s="51">
        <v>0</v>
      </c>
      <c r="AB2047" s="102">
        <v>0</v>
      </c>
      <c r="AC2047" s="81">
        <f t="shared" si="96"/>
        <v>121.89686860158315</v>
      </c>
      <c r="AD2047" s="82">
        <f t="shared" si="97"/>
        <v>75.8</v>
      </c>
      <c r="AE2047" s="218">
        <v>0</v>
      </c>
      <c r="AF2047">
        <v>0</v>
      </c>
      <c r="AH2047" t="str">
        <f t="shared" si="98"/>
        <v>Sonvarsha</v>
      </c>
      <c r="AJ2047" s="72">
        <v>0</v>
      </c>
      <c r="AK2047" s="72"/>
      <c r="AL2047" s="72"/>
      <c r="AM2047" s="72"/>
    </row>
    <row r="2048" spans="1:39" x14ac:dyDescent="0.25">
      <c r="A2048" s="37" t="s">
        <v>62</v>
      </c>
      <c r="B2048" s="66" t="s">
        <v>1629</v>
      </c>
      <c r="C2048" s="41">
        <v>1006</v>
      </c>
      <c r="D2048" s="41" t="s">
        <v>183</v>
      </c>
      <c r="E2048" s="41">
        <v>10060009</v>
      </c>
      <c r="F2048" s="85" t="s">
        <v>189</v>
      </c>
      <c r="G2048" s="39" t="s">
        <v>635</v>
      </c>
      <c r="H2048" s="52" t="s">
        <v>99</v>
      </c>
      <c r="I2048" s="52">
        <v>1833.2</v>
      </c>
      <c r="J2048" s="49">
        <v>73040.160000000003</v>
      </c>
      <c r="K2048" s="58">
        <v>0</v>
      </c>
      <c r="L2048" s="58">
        <v>0</v>
      </c>
      <c r="M2048" s="58">
        <v>0</v>
      </c>
      <c r="N2048" s="58">
        <v>0</v>
      </c>
      <c r="O2048" s="58">
        <v>0</v>
      </c>
      <c r="P2048" s="53">
        <v>0</v>
      </c>
      <c r="Q2048" s="65">
        <v>73040.160000000003</v>
      </c>
      <c r="R2048" s="65">
        <v>0</v>
      </c>
      <c r="S2048" s="65">
        <v>0</v>
      </c>
      <c r="T2048" s="65">
        <v>0</v>
      </c>
      <c r="U2048" s="58">
        <v>0</v>
      </c>
      <c r="V2048" s="65">
        <v>0</v>
      </c>
      <c r="W2048" s="65">
        <v>0</v>
      </c>
      <c r="X2048" s="65">
        <v>0</v>
      </c>
      <c r="Y2048" s="65">
        <v>0</v>
      </c>
      <c r="Z2048" s="51">
        <v>73040.160000000003</v>
      </c>
      <c r="AA2048" s="51">
        <v>0</v>
      </c>
      <c r="AB2048" s="102">
        <v>0</v>
      </c>
      <c r="AC2048" s="81">
        <f t="shared" si="96"/>
        <v>0</v>
      </c>
      <c r="AD2048" s="82">
        <f t="shared" si="97"/>
        <v>0</v>
      </c>
      <c r="AE2048" s="218">
        <v>0</v>
      </c>
      <c r="AF2048">
        <v>0</v>
      </c>
      <c r="AH2048" t="str">
        <f t="shared" si="98"/>
        <v>Sonvarsha</v>
      </c>
      <c r="AJ2048" s="72">
        <v>0</v>
      </c>
      <c r="AK2048" s="72"/>
      <c r="AL2048" s="72"/>
      <c r="AM2048" s="72"/>
    </row>
    <row r="2049" spans="1:39" x14ac:dyDescent="0.25">
      <c r="A2049" s="37" t="s">
        <v>62</v>
      </c>
      <c r="B2049" s="66" t="s">
        <v>1629</v>
      </c>
      <c r="C2049" s="41">
        <v>1006</v>
      </c>
      <c r="D2049" s="41" t="s">
        <v>183</v>
      </c>
      <c r="E2049" s="41">
        <v>10060010</v>
      </c>
      <c r="F2049" s="85" t="s">
        <v>190</v>
      </c>
      <c r="G2049" s="39" t="s">
        <v>635</v>
      </c>
      <c r="H2049" s="52" t="s">
        <v>99</v>
      </c>
      <c r="I2049" s="52">
        <v>1594.1000000000004</v>
      </c>
      <c r="J2049" s="49">
        <v>60459.450000000004</v>
      </c>
      <c r="K2049" s="58">
        <v>0</v>
      </c>
      <c r="L2049" s="58">
        <v>0</v>
      </c>
      <c r="M2049" s="58">
        <v>0</v>
      </c>
      <c r="N2049" s="58">
        <v>0</v>
      </c>
      <c r="O2049" s="58">
        <v>0</v>
      </c>
      <c r="P2049" s="53">
        <v>0</v>
      </c>
      <c r="Q2049" s="65">
        <v>60459.450000000004</v>
      </c>
      <c r="R2049" s="65">
        <v>0</v>
      </c>
      <c r="S2049" s="65">
        <v>0</v>
      </c>
      <c r="T2049" s="65">
        <v>0</v>
      </c>
      <c r="U2049" s="58">
        <v>0</v>
      </c>
      <c r="V2049" s="65">
        <v>0</v>
      </c>
      <c r="W2049" s="65">
        <v>0</v>
      </c>
      <c r="X2049" s="65">
        <v>0</v>
      </c>
      <c r="Y2049" s="65">
        <v>0</v>
      </c>
      <c r="Z2049" s="51">
        <v>60459.450000000004</v>
      </c>
      <c r="AA2049" s="51">
        <v>0</v>
      </c>
      <c r="AB2049" s="102">
        <v>0</v>
      </c>
      <c r="AC2049" s="81">
        <f t="shared" si="96"/>
        <v>0</v>
      </c>
      <c r="AD2049" s="82">
        <f t="shared" si="97"/>
        <v>0</v>
      </c>
      <c r="AE2049" s="218">
        <v>0</v>
      </c>
      <c r="AF2049">
        <v>0</v>
      </c>
      <c r="AH2049" t="str">
        <f t="shared" si="98"/>
        <v>Sonvarsha</v>
      </c>
      <c r="AJ2049" s="72">
        <v>0</v>
      </c>
      <c r="AK2049" s="72"/>
      <c r="AL2049" s="72"/>
      <c r="AM2049" s="72"/>
    </row>
    <row r="2050" spans="1:39" x14ac:dyDescent="0.25">
      <c r="A2050" s="37" t="s">
        <v>62</v>
      </c>
      <c r="B2050" s="66" t="s">
        <v>1629</v>
      </c>
      <c r="C2050" s="41">
        <v>1059</v>
      </c>
      <c r="D2050" s="41" t="s">
        <v>1347</v>
      </c>
      <c r="E2050" s="41">
        <v>10060011</v>
      </c>
      <c r="F2050" s="85" t="s">
        <v>191</v>
      </c>
      <c r="G2050" s="39" t="s">
        <v>93</v>
      </c>
      <c r="H2050" s="52" t="s">
        <v>94</v>
      </c>
      <c r="I2050" s="52">
        <v>502.3</v>
      </c>
      <c r="J2050" s="49">
        <v>23086.69</v>
      </c>
      <c r="K2050" s="58">
        <v>487.11999999999989</v>
      </c>
      <c r="L2050" s="58">
        <v>22726.882762628604</v>
      </c>
      <c r="M2050" s="58">
        <v>9.9999999999999982</v>
      </c>
      <c r="N2050" s="58">
        <v>446.72684165099997</v>
      </c>
      <c r="O2050" s="58">
        <v>497.11999999999989</v>
      </c>
      <c r="P2050" s="53">
        <v>23173.609604279605</v>
      </c>
      <c r="Q2050" s="65">
        <v>23086.69</v>
      </c>
      <c r="R2050" s="65">
        <v>0</v>
      </c>
      <c r="S2050" s="65">
        <v>446.72684165099997</v>
      </c>
      <c r="T2050" s="65">
        <v>86.919604279606574</v>
      </c>
      <c r="U2050" s="58">
        <v>0</v>
      </c>
      <c r="V2050" s="65">
        <v>0</v>
      </c>
      <c r="W2050" s="65">
        <v>0</v>
      </c>
      <c r="X2050" s="65">
        <v>22640</v>
      </c>
      <c r="Y2050" s="65">
        <v>0</v>
      </c>
      <c r="Z2050" s="51">
        <v>0</v>
      </c>
      <c r="AA2050" s="51">
        <v>0</v>
      </c>
      <c r="AB2050" s="102">
        <v>0</v>
      </c>
      <c r="AC2050" s="81">
        <f t="shared" ref="AC2050:AC2113" si="99">((IF(AD2050=0,0,100-AD2050))*7*(J2050/I2050))*2%</f>
        <v>181.73357009755128</v>
      </c>
      <c r="AD2050" s="82">
        <f t="shared" ref="AD2050:AD2113" si="100">IF((I2050/7)&gt;100,0,(I2050/7))</f>
        <v>71.757142857142853</v>
      </c>
      <c r="AE2050" s="218">
        <v>-3.764922744646659E-3</v>
      </c>
      <c r="AF2050">
        <v>26</v>
      </c>
      <c r="AH2050" t="str">
        <f t="shared" si="98"/>
        <v>Gopalpur Bmc</v>
      </c>
      <c r="AJ2050" s="72">
        <v>0</v>
      </c>
      <c r="AK2050" s="72"/>
      <c r="AL2050" s="72"/>
      <c r="AM2050" s="72"/>
    </row>
    <row r="2051" spans="1:39" x14ac:dyDescent="0.25">
      <c r="A2051" s="37" t="s">
        <v>62</v>
      </c>
      <c r="B2051" s="66" t="s">
        <v>1629</v>
      </c>
      <c r="C2051" s="41">
        <v>1006</v>
      </c>
      <c r="D2051" s="41" t="s">
        <v>183</v>
      </c>
      <c r="E2051" s="41">
        <v>10060014</v>
      </c>
      <c r="F2051" s="85" t="s">
        <v>192</v>
      </c>
      <c r="G2051" s="39" t="s">
        <v>635</v>
      </c>
      <c r="H2051" s="52" t="s">
        <v>99</v>
      </c>
      <c r="I2051" s="52">
        <v>169.2</v>
      </c>
      <c r="J2051" s="49">
        <v>5945.67</v>
      </c>
      <c r="K2051" s="58">
        <v>0</v>
      </c>
      <c r="L2051" s="58">
        <v>0</v>
      </c>
      <c r="M2051" s="58">
        <v>0</v>
      </c>
      <c r="N2051" s="58">
        <v>0</v>
      </c>
      <c r="O2051" s="58">
        <v>0</v>
      </c>
      <c r="P2051" s="53">
        <v>0</v>
      </c>
      <c r="Q2051" s="65">
        <v>5945.67</v>
      </c>
      <c r="R2051" s="65">
        <v>0</v>
      </c>
      <c r="S2051" s="65">
        <v>0</v>
      </c>
      <c r="T2051" s="65">
        <v>0</v>
      </c>
      <c r="U2051" s="58">
        <v>0</v>
      </c>
      <c r="V2051" s="65">
        <v>0</v>
      </c>
      <c r="W2051" s="65">
        <v>0</v>
      </c>
      <c r="X2051" s="65">
        <v>0</v>
      </c>
      <c r="Y2051" s="65">
        <v>0</v>
      </c>
      <c r="Z2051" s="51">
        <v>5945.67</v>
      </c>
      <c r="AA2051" s="51">
        <v>0</v>
      </c>
      <c r="AB2051" s="102">
        <v>0</v>
      </c>
      <c r="AC2051" s="81">
        <f t="shared" si="99"/>
        <v>373.04511063829784</v>
      </c>
      <c r="AD2051" s="82">
        <f t="shared" si="100"/>
        <v>24.171428571428571</v>
      </c>
      <c r="AE2051" s="218">
        <v>0</v>
      </c>
      <c r="AF2051">
        <v>0</v>
      </c>
      <c r="AH2051" t="str">
        <f t="shared" si="98"/>
        <v>Sonvarsha</v>
      </c>
      <c r="AJ2051" s="72">
        <v>0</v>
      </c>
      <c r="AK2051" s="72"/>
      <c r="AL2051" s="72"/>
      <c r="AM2051" s="72"/>
    </row>
    <row r="2052" spans="1:39" x14ac:dyDescent="0.25">
      <c r="A2052" s="37" t="s">
        <v>62</v>
      </c>
      <c r="B2052" s="66" t="s">
        <v>1629</v>
      </c>
      <c r="C2052" s="41">
        <v>1006</v>
      </c>
      <c r="D2052" s="41" t="s">
        <v>183</v>
      </c>
      <c r="E2052" s="41">
        <v>10060020</v>
      </c>
      <c r="F2052" s="85" t="s">
        <v>194</v>
      </c>
      <c r="G2052" s="39" t="s">
        <v>635</v>
      </c>
      <c r="H2052" s="52" t="s">
        <v>99</v>
      </c>
      <c r="I2052" s="52">
        <v>776.2</v>
      </c>
      <c r="J2052" s="49">
        <v>26937.58</v>
      </c>
      <c r="K2052" s="58">
        <v>0</v>
      </c>
      <c r="L2052" s="58">
        <v>0</v>
      </c>
      <c r="M2052" s="58">
        <v>0</v>
      </c>
      <c r="N2052" s="58">
        <v>0</v>
      </c>
      <c r="O2052" s="58">
        <v>0</v>
      </c>
      <c r="P2052" s="53">
        <v>0</v>
      </c>
      <c r="Q2052" s="65">
        <v>26937.58</v>
      </c>
      <c r="R2052" s="65">
        <v>0</v>
      </c>
      <c r="S2052" s="65">
        <v>0</v>
      </c>
      <c r="T2052" s="65">
        <v>0</v>
      </c>
      <c r="U2052" s="58">
        <v>0</v>
      </c>
      <c r="V2052" s="65">
        <v>371.08906451612904</v>
      </c>
      <c r="W2052" s="65">
        <v>0</v>
      </c>
      <c r="X2052" s="65">
        <v>0</v>
      </c>
      <c r="Y2052" s="65">
        <v>0</v>
      </c>
      <c r="Z2052" s="51">
        <v>26566.490935483871</v>
      </c>
      <c r="AA2052" s="51">
        <v>0</v>
      </c>
      <c r="AB2052" s="102">
        <v>0</v>
      </c>
      <c r="AC2052" s="81">
        <f t="shared" si="99"/>
        <v>0</v>
      </c>
      <c r="AD2052" s="82">
        <f t="shared" si="100"/>
        <v>0</v>
      </c>
      <c r="AE2052" s="218">
        <v>0</v>
      </c>
      <c r="AF2052">
        <v>0</v>
      </c>
      <c r="AH2052" t="str">
        <f t="shared" si="98"/>
        <v>Sonvarsha</v>
      </c>
      <c r="AJ2052" s="72">
        <v>0</v>
      </c>
      <c r="AK2052" s="72"/>
      <c r="AL2052" s="72"/>
      <c r="AM2052" s="72"/>
    </row>
    <row r="2053" spans="1:39" x14ac:dyDescent="0.25">
      <c r="A2053" s="37" t="s">
        <v>62</v>
      </c>
      <c r="B2053" s="66" t="s">
        <v>1629</v>
      </c>
      <c r="C2053" s="41">
        <v>1006</v>
      </c>
      <c r="D2053" s="41" t="s">
        <v>183</v>
      </c>
      <c r="E2053" s="41">
        <v>10060021</v>
      </c>
      <c r="F2053" s="85" t="s">
        <v>195</v>
      </c>
      <c r="G2053" s="39" t="s">
        <v>635</v>
      </c>
      <c r="H2053" s="52" t="s">
        <v>99</v>
      </c>
      <c r="I2053" s="52">
        <v>1219.2</v>
      </c>
      <c r="J2053" s="49">
        <v>47894.93</v>
      </c>
      <c r="K2053" s="58">
        <v>0</v>
      </c>
      <c r="L2053" s="58">
        <v>0</v>
      </c>
      <c r="M2053" s="58">
        <v>0</v>
      </c>
      <c r="N2053" s="58">
        <v>0</v>
      </c>
      <c r="O2053" s="58">
        <v>0</v>
      </c>
      <c r="P2053" s="53">
        <v>0</v>
      </c>
      <c r="Q2053" s="65">
        <v>47894.93</v>
      </c>
      <c r="R2053" s="65">
        <v>0</v>
      </c>
      <c r="S2053" s="65">
        <v>0</v>
      </c>
      <c r="T2053" s="65">
        <v>0</v>
      </c>
      <c r="U2053" s="58">
        <v>0</v>
      </c>
      <c r="V2053" s="65">
        <v>323.57084516129021</v>
      </c>
      <c r="W2053" s="65">
        <v>0</v>
      </c>
      <c r="X2053" s="65">
        <v>0</v>
      </c>
      <c r="Y2053" s="65">
        <v>0</v>
      </c>
      <c r="Z2053" s="51">
        <v>47571.359154838712</v>
      </c>
      <c r="AA2053" s="51">
        <v>0</v>
      </c>
      <c r="AB2053" s="102">
        <v>0</v>
      </c>
      <c r="AC2053" s="81">
        <f t="shared" si="99"/>
        <v>0</v>
      </c>
      <c r="AD2053" s="82">
        <f t="shared" si="100"/>
        <v>0</v>
      </c>
      <c r="AE2053" s="218">
        <v>0</v>
      </c>
      <c r="AF2053">
        <v>0</v>
      </c>
      <c r="AH2053" t="str">
        <f t="shared" si="98"/>
        <v>Sonvarsha</v>
      </c>
      <c r="AJ2053" s="72">
        <v>0</v>
      </c>
      <c r="AK2053" s="72"/>
      <c r="AL2053" s="72"/>
      <c r="AM2053" s="72"/>
    </row>
    <row r="2054" spans="1:39" x14ac:dyDescent="0.25">
      <c r="A2054" s="37" t="s">
        <v>62</v>
      </c>
      <c r="B2054" s="66" t="s">
        <v>1629</v>
      </c>
      <c r="C2054" s="41">
        <v>1006</v>
      </c>
      <c r="D2054" s="41" t="s">
        <v>183</v>
      </c>
      <c r="E2054" s="41">
        <v>10060022</v>
      </c>
      <c r="F2054" s="85" t="s">
        <v>617</v>
      </c>
      <c r="G2054" s="39" t="s">
        <v>93</v>
      </c>
      <c r="H2054" s="52" t="s">
        <v>94</v>
      </c>
      <c r="I2054" s="52">
        <v>1336.1</v>
      </c>
      <c r="J2054" s="49">
        <v>47827.270000000011</v>
      </c>
      <c r="K2054" s="58">
        <v>1449.6</v>
      </c>
      <c r="L2054" s="58">
        <v>53018.495224200007</v>
      </c>
      <c r="M2054" s="58">
        <v>12.399999999999999</v>
      </c>
      <c r="N2054" s="58">
        <v>459.55833660000013</v>
      </c>
      <c r="O2054" s="58">
        <v>1462</v>
      </c>
      <c r="P2054" s="53">
        <v>53478.053560800006</v>
      </c>
      <c r="Q2054" s="65">
        <v>47827.270000000011</v>
      </c>
      <c r="R2054" s="65">
        <v>0</v>
      </c>
      <c r="S2054" s="65">
        <v>459.55833660000013</v>
      </c>
      <c r="T2054" s="65">
        <v>5650.783560799995</v>
      </c>
      <c r="U2054" s="58">
        <v>24704</v>
      </c>
      <c r="V2054" s="65">
        <v>191.21538000000001</v>
      </c>
      <c r="W2054" s="65">
        <v>0</v>
      </c>
      <c r="X2054" s="65">
        <v>22472</v>
      </c>
      <c r="Y2054" s="65">
        <v>0</v>
      </c>
      <c r="Z2054" s="51">
        <v>0</v>
      </c>
      <c r="AA2054" s="51">
        <v>0</v>
      </c>
      <c r="AB2054" s="102" t="s">
        <v>1427</v>
      </c>
      <c r="AC2054" s="81">
        <f t="shared" si="99"/>
        <v>0</v>
      </c>
      <c r="AD2054" s="82">
        <f t="shared" si="100"/>
        <v>0</v>
      </c>
      <c r="AE2054" s="218">
        <v>-0.11814982458333904</v>
      </c>
      <c r="AF2054">
        <v>5</v>
      </c>
      <c r="AH2054" t="str">
        <f t="shared" si="98"/>
        <v>Sonvarsha</v>
      </c>
      <c r="AJ2054" s="72">
        <v>0</v>
      </c>
      <c r="AK2054" s="72"/>
      <c r="AL2054" s="72"/>
      <c r="AM2054" s="72"/>
    </row>
    <row r="2055" spans="1:39" x14ac:dyDescent="0.25">
      <c r="A2055" s="37" t="s">
        <v>62</v>
      </c>
      <c r="B2055" s="66" t="s">
        <v>1629</v>
      </c>
      <c r="C2055" s="41">
        <v>1006</v>
      </c>
      <c r="D2055" s="41" t="s">
        <v>183</v>
      </c>
      <c r="E2055" s="41">
        <v>10060023</v>
      </c>
      <c r="F2055" s="85" t="s">
        <v>196</v>
      </c>
      <c r="G2055" s="39" t="s">
        <v>635</v>
      </c>
      <c r="H2055" s="52" t="s">
        <v>99</v>
      </c>
      <c r="I2055" s="52">
        <v>97.100000000000009</v>
      </c>
      <c r="J2055" s="49">
        <v>4215.2900000000009</v>
      </c>
      <c r="K2055" s="58">
        <v>0</v>
      </c>
      <c r="L2055" s="58">
        <v>0</v>
      </c>
      <c r="M2055" s="58">
        <v>0</v>
      </c>
      <c r="N2055" s="58">
        <v>0</v>
      </c>
      <c r="O2055" s="58">
        <v>0</v>
      </c>
      <c r="P2055" s="53">
        <v>0</v>
      </c>
      <c r="Q2055" s="65">
        <v>4215.2900000000009</v>
      </c>
      <c r="R2055" s="65">
        <v>0</v>
      </c>
      <c r="S2055" s="65">
        <v>0</v>
      </c>
      <c r="T2055" s="65">
        <v>0</v>
      </c>
      <c r="U2055" s="58">
        <v>0</v>
      </c>
      <c r="V2055" s="65">
        <v>20.80666451612904</v>
      </c>
      <c r="W2055" s="65">
        <v>0</v>
      </c>
      <c r="X2055" s="65">
        <v>0</v>
      </c>
      <c r="Y2055" s="65">
        <v>0</v>
      </c>
      <c r="Z2055" s="51">
        <v>4194.483335483872</v>
      </c>
      <c r="AA2055" s="51">
        <v>0</v>
      </c>
      <c r="AB2055" s="102">
        <v>0</v>
      </c>
      <c r="AC2055" s="81">
        <f t="shared" si="99"/>
        <v>523.46000844490231</v>
      </c>
      <c r="AD2055" s="82">
        <f t="shared" si="100"/>
        <v>13.871428571428572</v>
      </c>
      <c r="AE2055" s="218">
        <v>0</v>
      </c>
      <c r="AF2055">
        <v>0</v>
      </c>
      <c r="AH2055" t="str">
        <f t="shared" si="98"/>
        <v>Sonvarsha</v>
      </c>
      <c r="AJ2055" s="72">
        <v>0</v>
      </c>
      <c r="AK2055" s="72"/>
      <c r="AL2055" s="72"/>
      <c r="AM2055" s="72"/>
    </row>
    <row r="2056" spans="1:39" x14ac:dyDescent="0.25">
      <c r="A2056" s="37" t="s">
        <v>62</v>
      </c>
      <c r="B2056" s="66" t="s">
        <v>1629</v>
      </c>
      <c r="C2056" s="41">
        <v>1006</v>
      </c>
      <c r="D2056" s="41" t="s">
        <v>183</v>
      </c>
      <c r="E2056" s="41">
        <v>10060026</v>
      </c>
      <c r="F2056" s="85" t="s">
        <v>197</v>
      </c>
      <c r="G2056" s="39" t="s">
        <v>93</v>
      </c>
      <c r="H2056" s="52" t="s">
        <v>94</v>
      </c>
      <c r="I2056" s="52">
        <v>597.1</v>
      </c>
      <c r="J2056" s="49">
        <v>24322.92</v>
      </c>
      <c r="K2056" s="58">
        <v>588.04999999999995</v>
      </c>
      <c r="L2056" s="58">
        <v>24987.292344233101</v>
      </c>
      <c r="M2056" s="58">
        <v>1.95</v>
      </c>
      <c r="N2056" s="58">
        <v>84.084166376100001</v>
      </c>
      <c r="O2056" s="58">
        <v>590</v>
      </c>
      <c r="P2056" s="53">
        <v>25071.3765106092</v>
      </c>
      <c r="Q2056" s="65">
        <v>24322.92</v>
      </c>
      <c r="R2056" s="65">
        <v>0</v>
      </c>
      <c r="S2056" s="65">
        <v>84.084166376100001</v>
      </c>
      <c r="T2056" s="65">
        <v>748.45651060920136</v>
      </c>
      <c r="U2056" s="58">
        <v>0</v>
      </c>
      <c r="V2056" s="65">
        <v>87.989466666666658</v>
      </c>
      <c r="W2056" s="65">
        <v>0</v>
      </c>
      <c r="X2056" s="65">
        <v>24151</v>
      </c>
      <c r="Y2056" s="65">
        <v>0</v>
      </c>
      <c r="Z2056" s="51">
        <v>0</v>
      </c>
      <c r="AA2056" s="51">
        <v>0</v>
      </c>
      <c r="AB2056" s="102">
        <v>0</v>
      </c>
      <c r="AC2056" s="81">
        <f t="shared" si="99"/>
        <v>83.832807502930848</v>
      </c>
      <c r="AD2056" s="82">
        <f t="shared" si="100"/>
        <v>85.3</v>
      </c>
      <c r="AE2056" s="218">
        <v>-3.0771655319723184E-2</v>
      </c>
      <c r="AF2056">
        <v>4</v>
      </c>
      <c r="AH2056" t="str">
        <f t="shared" si="98"/>
        <v>Sonvarsha</v>
      </c>
      <c r="AJ2056" s="72">
        <v>0</v>
      </c>
      <c r="AK2056" s="72"/>
      <c r="AL2056" s="72"/>
      <c r="AM2056" s="72"/>
    </row>
    <row r="2057" spans="1:39" x14ac:dyDescent="0.25">
      <c r="A2057" s="37" t="s">
        <v>62</v>
      </c>
      <c r="B2057" s="66" t="s">
        <v>1629</v>
      </c>
      <c r="C2057" s="41">
        <v>1059</v>
      </c>
      <c r="D2057" s="41" t="s">
        <v>1347</v>
      </c>
      <c r="E2057" s="41">
        <v>10060027</v>
      </c>
      <c r="F2057" s="85" t="s">
        <v>198</v>
      </c>
      <c r="G2057" s="39" t="s">
        <v>93</v>
      </c>
      <c r="H2057" s="52" t="s">
        <v>94</v>
      </c>
      <c r="I2057" s="52">
        <v>1465.6999999999994</v>
      </c>
      <c r="J2057" s="49">
        <v>63397.3</v>
      </c>
      <c r="K2057" s="58">
        <v>1477.78</v>
      </c>
      <c r="L2057" s="58">
        <v>63250.858949727226</v>
      </c>
      <c r="M2057" s="58">
        <v>20.72</v>
      </c>
      <c r="N2057" s="58">
        <v>882.593772984</v>
      </c>
      <c r="O2057" s="58">
        <v>1498.5</v>
      </c>
      <c r="P2057" s="53">
        <v>64133.452722711227</v>
      </c>
      <c r="Q2057" s="65">
        <v>63397.3</v>
      </c>
      <c r="R2057" s="65">
        <v>0</v>
      </c>
      <c r="S2057" s="65">
        <v>882.593772984</v>
      </c>
      <c r="T2057" s="65">
        <v>736.15272271122376</v>
      </c>
      <c r="U2057" s="58">
        <v>0</v>
      </c>
      <c r="V2057" s="65">
        <v>0</v>
      </c>
      <c r="W2057" s="65">
        <v>0</v>
      </c>
      <c r="X2057" s="65">
        <v>62515</v>
      </c>
      <c r="Y2057" s="65">
        <v>0</v>
      </c>
      <c r="Z2057" s="51">
        <v>0</v>
      </c>
      <c r="AA2057" s="51">
        <v>0</v>
      </c>
      <c r="AB2057" s="102">
        <v>0</v>
      </c>
      <c r="AC2057" s="81">
        <f t="shared" si="99"/>
        <v>0</v>
      </c>
      <c r="AD2057" s="82">
        <f t="shared" si="100"/>
        <v>0</v>
      </c>
      <c r="AE2057" s="218">
        <v>-1.1611736189257645E-2</v>
      </c>
      <c r="AF2057">
        <v>68</v>
      </c>
      <c r="AH2057" t="str">
        <f t="shared" si="98"/>
        <v>Gopalpur Bmc</v>
      </c>
      <c r="AJ2057" s="72">
        <v>0</v>
      </c>
      <c r="AK2057" s="72"/>
      <c r="AL2057" s="72"/>
      <c r="AM2057" s="72"/>
    </row>
    <row r="2058" spans="1:39" x14ac:dyDescent="0.25">
      <c r="A2058" s="37" t="s">
        <v>62</v>
      </c>
      <c r="B2058" s="66" t="s">
        <v>1629</v>
      </c>
      <c r="C2058" s="41">
        <v>1006</v>
      </c>
      <c r="D2058" s="41" t="s">
        <v>183</v>
      </c>
      <c r="E2058" s="41">
        <v>10060028</v>
      </c>
      <c r="F2058" s="85" t="s">
        <v>199</v>
      </c>
      <c r="G2058" s="39" t="s">
        <v>635</v>
      </c>
      <c r="H2058" s="52" t="s">
        <v>99</v>
      </c>
      <c r="I2058" s="52">
        <v>698.19999999999993</v>
      </c>
      <c r="J2058" s="49">
        <v>24558.27</v>
      </c>
      <c r="K2058" s="58">
        <v>0</v>
      </c>
      <c r="L2058" s="58">
        <v>0</v>
      </c>
      <c r="M2058" s="58">
        <v>0</v>
      </c>
      <c r="N2058" s="58">
        <v>0</v>
      </c>
      <c r="O2058" s="58">
        <v>0</v>
      </c>
      <c r="P2058" s="53">
        <v>0</v>
      </c>
      <c r="Q2058" s="65">
        <v>24558.27</v>
      </c>
      <c r="R2058" s="65">
        <v>0</v>
      </c>
      <c r="S2058" s="65">
        <v>0</v>
      </c>
      <c r="T2058" s="65">
        <v>0</v>
      </c>
      <c r="U2058" s="58">
        <v>0</v>
      </c>
      <c r="V2058" s="65">
        <v>0</v>
      </c>
      <c r="W2058" s="65">
        <v>0</v>
      </c>
      <c r="X2058" s="65">
        <v>0</v>
      </c>
      <c r="Y2058" s="65">
        <v>0</v>
      </c>
      <c r="Z2058" s="51">
        <v>24558.27</v>
      </c>
      <c r="AA2058" s="51">
        <v>0</v>
      </c>
      <c r="AB2058" s="102">
        <v>0</v>
      </c>
      <c r="AC2058" s="81">
        <f t="shared" si="99"/>
        <v>1.2662528215411539</v>
      </c>
      <c r="AD2058" s="82">
        <f t="shared" si="100"/>
        <v>99.742857142857133</v>
      </c>
      <c r="AE2058" s="218">
        <v>0</v>
      </c>
      <c r="AF2058">
        <v>0</v>
      </c>
      <c r="AH2058" t="str">
        <f t="shared" si="98"/>
        <v>Sonvarsha</v>
      </c>
      <c r="AJ2058" s="72">
        <v>0</v>
      </c>
      <c r="AK2058" s="72"/>
      <c r="AL2058" s="72"/>
      <c r="AM2058" s="72"/>
    </row>
    <row r="2059" spans="1:39" x14ac:dyDescent="0.25">
      <c r="A2059" s="37" t="s">
        <v>62</v>
      </c>
      <c r="B2059" s="66" t="s">
        <v>1629</v>
      </c>
      <c r="C2059" s="41">
        <v>1006</v>
      </c>
      <c r="D2059" s="41" t="s">
        <v>183</v>
      </c>
      <c r="E2059" s="41">
        <v>10060029</v>
      </c>
      <c r="F2059" s="85" t="s">
        <v>200</v>
      </c>
      <c r="G2059" s="39" t="s">
        <v>93</v>
      </c>
      <c r="H2059" s="52" t="s">
        <v>94</v>
      </c>
      <c r="I2059" s="52">
        <v>1887.3000000000006</v>
      </c>
      <c r="J2059" s="49">
        <v>84194.98</v>
      </c>
      <c r="K2059" s="58">
        <v>1786.6399999999999</v>
      </c>
      <c r="L2059" s="58">
        <v>80405.409238092645</v>
      </c>
      <c r="M2059" s="58">
        <v>103.85999999999999</v>
      </c>
      <c r="N2059" s="58">
        <v>4486.1681639190701</v>
      </c>
      <c r="O2059" s="58">
        <v>1890.4999999999998</v>
      </c>
      <c r="P2059" s="53">
        <v>84891.57740201171</v>
      </c>
      <c r="Q2059" s="65">
        <v>84194.98</v>
      </c>
      <c r="R2059" s="65">
        <v>0</v>
      </c>
      <c r="S2059" s="65">
        <v>1076.1376802790701</v>
      </c>
      <c r="T2059" s="65">
        <v>696.59740201171371</v>
      </c>
      <c r="U2059" s="58">
        <v>0</v>
      </c>
      <c r="V2059" s="65">
        <v>0</v>
      </c>
      <c r="W2059" s="65">
        <v>0</v>
      </c>
      <c r="X2059" s="65">
        <v>79709</v>
      </c>
      <c r="Y2059" s="65">
        <v>3410</v>
      </c>
      <c r="Z2059" s="51">
        <v>0</v>
      </c>
      <c r="AA2059" s="51">
        <v>0</v>
      </c>
      <c r="AB2059" s="102">
        <v>0</v>
      </c>
      <c r="AC2059" s="81">
        <f t="shared" si="99"/>
        <v>0</v>
      </c>
      <c r="AD2059" s="82">
        <f t="shared" si="100"/>
        <v>0</v>
      </c>
      <c r="AE2059" s="218">
        <v>-8.2736215628498727E-3</v>
      </c>
      <c r="AF2059">
        <v>37</v>
      </c>
      <c r="AH2059" t="str">
        <f t="shared" si="98"/>
        <v>Sonvarsha</v>
      </c>
      <c r="AJ2059" s="72">
        <v>0</v>
      </c>
      <c r="AK2059" s="72"/>
      <c r="AL2059" s="72"/>
      <c r="AM2059" s="72"/>
    </row>
    <row r="2060" spans="1:39" x14ac:dyDescent="0.25">
      <c r="A2060" s="37" t="s">
        <v>62</v>
      </c>
      <c r="B2060" s="66" t="s">
        <v>1629</v>
      </c>
      <c r="C2060" s="41">
        <v>1006</v>
      </c>
      <c r="D2060" s="41" t="s">
        <v>183</v>
      </c>
      <c r="E2060" s="41">
        <v>10060031</v>
      </c>
      <c r="F2060" s="85" t="s">
        <v>201</v>
      </c>
      <c r="G2060" s="39" t="s">
        <v>93</v>
      </c>
      <c r="H2060" s="52" t="s">
        <v>94</v>
      </c>
      <c r="I2060" s="52">
        <v>369.2</v>
      </c>
      <c r="J2060" s="49">
        <v>15084.23</v>
      </c>
      <c r="K2060" s="58">
        <v>372.52</v>
      </c>
      <c r="L2060" s="58">
        <v>16144.216706714869</v>
      </c>
      <c r="M2060" s="58">
        <v>0</v>
      </c>
      <c r="N2060" s="58">
        <v>0</v>
      </c>
      <c r="O2060" s="58">
        <v>372.52</v>
      </c>
      <c r="P2060" s="53">
        <v>16144.216706714869</v>
      </c>
      <c r="Q2060" s="65">
        <v>15084.23</v>
      </c>
      <c r="R2060" s="65">
        <v>0</v>
      </c>
      <c r="S2060" s="65">
        <v>0</v>
      </c>
      <c r="T2060" s="65">
        <v>1059.9867067148698</v>
      </c>
      <c r="U2060" s="58">
        <v>0</v>
      </c>
      <c r="V2060" s="65">
        <v>14.94</v>
      </c>
      <c r="W2060" s="65">
        <v>0</v>
      </c>
      <c r="X2060" s="65">
        <v>15069</v>
      </c>
      <c r="Y2060" s="65">
        <v>0</v>
      </c>
      <c r="Z2060" s="51">
        <v>0</v>
      </c>
      <c r="AA2060" s="51">
        <v>0</v>
      </c>
      <c r="AB2060" s="102" t="s">
        <v>66</v>
      </c>
      <c r="AC2060" s="81">
        <f t="shared" si="99"/>
        <v>270.30678678223188</v>
      </c>
      <c r="AD2060" s="82">
        <f t="shared" si="100"/>
        <v>52.74285714285714</v>
      </c>
      <c r="AE2060" s="218">
        <v>-7.0271184323950894E-2</v>
      </c>
      <c r="AF2060">
        <v>11</v>
      </c>
      <c r="AH2060" t="str">
        <f t="shared" si="98"/>
        <v>Sonvarsha</v>
      </c>
      <c r="AJ2060" s="72">
        <v>0</v>
      </c>
      <c r="AK2060" s="72"/>
      <c r="AL2060" s="72"/>
      <c r="AM2060" s="72"/>
    </row>
    <row r="2061" spans="1:39" x14ac:dyDescent="0.25">
      <c r="A2061" s="37" t="s">
        <v>62</v>
      </c>
      <c r="B2061" s="66" t="s">
        <v>1629</v>
      </c>
      <c r="C2061" s="41">
        <v>1059</v>
      </c>
      <c r="D2061" s="41" t="s">
        <v>1347</v>
      </c>
      <c r="E2061" s="41">
        <v>10060032</v>
      </c>
      <c r="F2061" s="85" t="s">
        <v>202</v>
      </c>
      <c r="G2061" s="39" t="s">
        <v>93</v>
      </c>
      <c r="H2061" s="52" t="s">
        <v>94</v>
      </c>
      <c r="I2061" s="52">
        <v>3190.4</v>
      </c>
      <c r="J2061" s="49">
        <v>156726.12999999998</v>
      </c>
      <c r="K2061" s="58">
        <v>3338.170000000001</v>
      </c>
      <c r="L2061" s="58">
        <v>164647.55991408796</v>
      </c>
      <c r="M2061" s="58">
        <v>26.639999999999997</v>
      </c>
      <c r="N2061" s="58">
        <v>1647.2099303613502</v>
      </c>
      <c r="O2061" s="58">
        <v>3364.8100000000009</v>
      </c>
      <c r="P2061" s="53">
        <v>166294.7698444493</v>
      </c>
      <c r="Q2061" s="65">
        <v>156726.12999999998</v>
      </c>
      <c r="R2061" s="65">
        <v>0</v>
      </c>
      <c r="S2061" s="65">
        <v>1647.2099303613502</v>
      </c>
      <c r="T2061" s="65">
        <v>9568.6398444493243</v>
      </c>
      <c r="U2061" s="58">
        <v>0</v>
      </c>
      <c r="V2061" s="65">
        <v>0</v>
      </c>
      <c r="W2061" s="65">
        <v>0</v>
      </c>
      <c r="X2061" s="65">
        <v>155079</v>
      </c>
      <c r="Y2061" s="65">
        <v>0</v>
      </c>
      <c r="Z2061" s="51">
        <v>0</v>
      </c>
      <c r="AA2061" s="51">
        <v>0</v>
      </c>
      <c r="AB2061" s="102">
        <v>0</v>
      </c>
      <c r="AC2061" s="81">
        <f t="shared" si="99"/>
        <v>0</v>
      </c>
      <c r="AD2061" s="82">
        <f t="shared" si="100"/>
        <v>0</v>
      </c>
      <c r="AE2061" s="218">
        <v>-6.1053251582549289E-2</v>
      </c>
      <c r="AF2061">
        <v>47</v>
      </c>
      <c r="AH2061" t="str">
        <f t="shared" si="98"/>
        <v>Gopalpur Bmc</v>
      </c>
      <c r="AJ2061" s="72">
        <v>0</v>
      </c>
      <c r="AK2061" s="72"/>
      <c r="AL2061" s="72"/>
      <c r="AM2061" s="72"/>
    </row>
    <row r="2062" spans="1:39" x14ac:dyDescent="0.25">
      <c r="A2062" s="37" t="s">
        <v>62</v>
      </c>
      <c r="B2062" s="66" t="s">
        <v>1629</v>
      </c>
      <c r="C2062" s="41">
        <v>1006</v>
      </c>
      <c r="D2062" s="41" t="s">
        <v>183</v>
      </c>
      <c r="E2062" s="41">
        <v>10060036</v>
      </c>
      <c r="F2062" s="85" t="s">
        <v>1617</v>
      </c>
      <c r="G2062" s="39" t="s">
        <v>93</v>
      </c>
      <c r="H2062" s="52" t="s">
        <v>94</v>
      </c>
      <c r="I2062" s="52">
        <v>36.5</v>
      </c>
      <c r="J2062" s="49">
        <v>1310.72</v>
      </c>
      <c r="K2062" s="58">
        <v>36</v>
      </c>
      <c r="L2062" s="58">
        <v>1292.5843920000002</v>
      </c>
      <c r="M2062" s="58">
        <v>0.5</v>
      </c>
      <c r="N2062" s="58">
        <v>17.820554400000002</v>
      </c>
      <c r="O2062" s="58">
        <v>36.5</v>
      </c>
      <c r="P2062" s="53">
        <v>1310.4049464000002</v>
      </c>
      <c r="Q2062" s="65">
        <v>1310.4049464000002</v>
      </c>
      <c r="R2062" s="65">
        <v>0</v>
      </c>
      <c r="S2062" s="65">
        <v>17.820554400000002</v>
      </c>
      <c r="T2062" s="65">
        <v>0</v>
      </c>
      <c r="U2062" s="58">
        <v>0</v>
      </c>
      <c r="V2062" s="65">
        <v>0</v>
      </c>
      <c r="W2062" s="65">
        <v>0</v>
      </c>
      <c r="X2062" s="65">
        <v>1293</v>
      </c>
      <c r="Y2062" s="65">
        <v>0</v>
      </c>
      <c r="Z2062" s="51">
        <v>0</v>
      </c>
      <c r="AA2062" s="51">
        <v>0</v>
      </c>
      <c r="AB2062" s="102">
        <v>0</v>
      </c>
      <c r="AC2062" s="81">
        <f t="shared" si="99"/>
        <v>476.52751780821916</v>
      </c>
      <c r="AD2062" s="82">
        <f t="shared" si="100"/>
        <v>5.2142857142857144</v>
      </c>
      <c r="AE2062" s="218">
        <v>2.403668212889315E-4</v>
      </c>
      <c r="AF2062">
        <v>2</v>
      </c>
      <c r="AH2062" t="str">
        <f t="shared" si="98"/>
        <v>Sonvarsha</v>
      </c>
      <c r="AJ2062" s="72">
        <v>0</v>
      </c>
      <c r="AK2062" s="72"/>
      <c r="AL2062" s="72"/>
      <c r="AM2062" s="72"/>
    </row>
    <row r="2063" spans="1:39" x14ac:dyDescent="0.25">
      <c r="A2063" s="37" t="s">
        <v>62</v>
      </c>
      <c r="B2063" s="66" t="s">
        <v>1629</v>
      </c>
      <c r="C2063" s="41">
        <v>1006</v>
      </c>
      <c r="D2063" s="41" t="s">
        <v>183</v>
      </c>
      <c r="E2063" s="41">
        <v>10060041</v>
      </c>
      <c r="F2063" s="85" t="s">
        <v>203</v>
      </c>
      <c r="G2063" s="39" t="s">
        <v>635</v>
      </c>
      <c r="H2063" s="52" t="s">
        <v>99</v>
      </c>
      <c r="I2063" s="52">
        <v>453.20000000000005</v>
      </c>
      <c r="J2063" s="49">
        <v>16638.920000000002</v>
      </c>
      <c r="K2063" s="58">
        <v>0</v>
      </c>
      <c r="L2063" s="58">
        <v>0</v>
      </c>
      <c r="M2063" s="58">
        <v>0</v>
      </c>
      <c r="N2063" s="58">
        <v>0</v>
      </c>
      <c r="O2063" s="58">
        <v>0</v>
      </c>
      <c r="P2063" s="53">
        <v>0</v>
      </c>
      <c r="Q2063" s="65">
        <v>16638.920000000002</v>
      </c>
      <c r="R2063" s="65">
        <v>0</v>
      </c>
      <c r="S2063" s="65">
        <v>0</v>
      </c>
      <c r="T2063" s="65">
        <v>0</v>
      </c>
      <c r="U2063" s="58">
        <v>0</v>
      </c>
      <c r="V2063" s="65">
        <v>0</v>
      </c>
      <c r="W2063" s="65">
        <v>0</v>
      </c>
      <c r="X2063" s="65">
        <v>0</v>
      </c>
      <c r="Y2063" s="65">
        <v>0</v>
      </c>
      <c r="Z2063" s="51">
        <v>16638.920000000002</v>
      </c>
      <c r="AA2063" s="51">
        <v>0</v>
      </c>
      <c r="AB2063" s="102">
        <v>0</v>
      </c>
      <c r="AC2063" s="81">
        <f t="shared" si="99"/>
        <v>181.22177652250659</v>
      </c>
      <c r="AD2063" s="82">
        <f t="shared" si="100"/>
        <v>64.742857142857147</v>
      </c>
      <c r="AE2063" s="218">
        <v>0</v>
      </c>
      <c r="AF2063">
        <v>0</v>
      </c>
      <c r="AH2063" t="str">
        <f t="shared" ref="AH2063:AH2126" si="101">TEXT(D2063,"0000")</f>
        <v>Sonvarsha</v>
      </c>
      <c r="AJ2063" s="72">
        <v>0</v>
      </c>
      <c r="AK2063" s="72"/>
      <c r="AL2063" s="72"/>
      <c r="AM2063" s="72"/>
    </row>
    <row r="2064" spans="1:39" x14ac:dyDescent="0.25">
      <c r="A2064" s="37" t="s">
        <v>62</v>
      </c>
      <c r="B2064" s="66" t="s">
        <v>1629</v>
      </c>
      <c r="C2064" s="41">
        <v>1059</v>
      </c>
      <c r="D2064" s="41" t="s">
        <v>1347</v>
      </c>
      <c r="E2064" s="41">
        <v>10060049</v>
      </c>
      <c r="F2064" s="85" t="s">
        <v>204</v>
      </c>
      <c r="G2064" s="39" t="s">
        <v>93</v>
      </c>
      <c r="H2064" s="52" t="s">
        <v>94</v>
      </c>
      <c r="I2064" s="52">
        <v>691.19999999999982</v>
      </c>
      <c r="J2064" s="49">
        <v>30194.370000000006</v>
      </c>
      <c r="K2064" s="58">
        <v>689.34</v>
      </c>
      <c r="L2064" s="58">
        <v>30485.008041938927</v>
      </c>
      <c r="M2064" s="58">
        <v>9.7999999999999989</v>
      </c>
      <c r="N2064" s="58">
        <v>396.17275718300004</v>
      </c>
      <c r="O2064" s="58">
        <v>699.14</v>
      </c>
      <c r="P2064" s="53">
        <v>30881.180799121928</v>
      </c>
      <c r="Q2064" s="65">
        <v>30194.370000000006</v>
      </c>
      <c r="R2064" s="65">
        <v>0</v>
      </c>
      <c r="S2064" s="65">
        <v>396.17275718300004</v>
      </c>
      <c r="T2064" s="65">
        <v>686.81079912192217</v>
      </c>
      <c r="U2064" s="58">
        <v>0</v>
      </c>
      <c r="V2064" s="65">
        <v>0</v>
      </c>
      <c r="W2064" s="65">
        <v>0</v>
      </c>
      <c r="X2064" s="65">
        <v>29798</v>
      </c>
      <c r="Y2064" s="65">
        <v>0</v>
      </c>
      <c r="Z2064" s="51">
        <v>0</v>
      </c>
      <c r="AA2064" s="51">
        <v>0</v>
      </c>
      <c r="AB2064" s="102">
        <v>0</v>
      </c>
      <c r="AC2064" s="81">
        <f t="shared" si="99"/>
        <v>7.68838125000015</v>
      </c>
      <c r="AD2064" s="82">
        <f t="shared" si="100"/>
        <v>98.742857142857119</v>
      </c>
      <c r="AE2064" s="218">
        <v>-2.2746319897448498E-2</v>
      </c>
      <c r="AF2064">
        <v>28</v>
      </c>
      <c r="AH2064" t="str">
        <f t="shared" si="101"/>
        <v>Gopalpur Bmc</v>
      </c>
      <c r="AJ2064" s="72">
        <v>0</v>
      </c>
      <c r="AK2064" s="72"/>
      <c r="AL2064" s="72"/>
      <c r="AM2064" s="72"/>
    </row>
    <row r="2065" spans="1:39" x14ac:dyDescent="0.25">
      <c r="A2065" s="37" t="s">
        <v>62</v>
      </c>
      <c r="B2065" s="66" t="s">
        <v>1629</v>
      </c>
      <c r="C2065" s="41">
        <v>1059</v>
      </c>
      <c r="D2065" s="41" t="s">
        <v>1347</v>
      </c>
      <c r="E2065" s="41">
        <v>10060050</v>
      </c>
      <c r="F2065" s="85" t="s">
        <v>205</v>
      </c>
      <c r="G2065" s="39" t="s">
        <v>93</v>
      </c>
      <c r="H2065" s="52" t="s">
        <v>94</v>
      </c>
      <c r="I2065" s="52">
        <v>638</v>
      </c>
      <c r="J2065" s="49">
        <v>28543.980000000003</v>
      </c>
      <c r="K2065" s="58">
        <v>662.81999999999994</v>
      </c>
      <c r="L2065" s="58">
        <v>28249.227973368867</v>
      </c>
      <c r="M2065" s="58">
        <v>7.1</v>
      </c>
      <c r="N2065" s="58">
        <v>297.51729849258999</v>
      </c>
      <c r="O2065" s="58">
        <v>669.92</v>
      </c>
      <c r="P2065" s="53">
        <v>28546.745271861455</v>
      </c>
      <c r="Q2065" s="65">
        <v>28543.980000000003</v>
      </c>
      <c r="R2065" s="65">
        <v>0</v>
      </c>
      <c r="S2065" s="65">
        <v>297.51729849258999</v>
      </c>
      <c r="T2065" s="65">
        <v>2.7652718614517653</v>
      </c>
      <c r="U2065" s="58">
        <v>0</v>
      </c>
      <c r="V2065" s="65">
        <v>0</v>
      </c>
      <c r="W2065" s="65">
        <v>0</v>
      </c>
      <c r="X2065" s="65">
        <v>28246</v>
      </c>
      <c r="Y2065" s="65">
        <v>0</v>
      </c>
      <c r="Z2065" s="51">
        <v>0</v>
      </c>
      <c r="AA2065" s="51">
        <v>0</v>
      </c>
      <c r="AB2065" s="102">
        <v>0</v>
      </c>
      <c r="AC2065" s="81">
        <f t="shared" si="99"/>
        <v>55.47732789968655</v>
      </c>
      <c r="AD2065" s="82">
        <f t="shared" si="100"/>
        <v>91.142857142857139</v>
      </c>
      <c r="AE2065" s="218">
        <v>-9.6877585447150856E-5</v>
      </c>
      <c r="AF2065">
        <v>17</v>
      </c>
      <c r="AH2065" t="str">
        <f t="shared" si="101"/>
        <v>Gopalpur Bmc</v>
      </c>
      <c r="AJ2065" s="72">
        <v>0</v>
      </c>
      <c r="AK2065" s="72"/>
      <c r="AL2065" s="72"/>
      <c r="AM2065" s="72"/>
    </row>
    <row r="2066" spans="1:39" x14ac:dyDescent="0.25">
      <c r="A2066" s="37" t="s">
        <v>62</v>
      </c>
      <c r="B2066" s="66" t="s">
        <v>1629</v>
      </c>
      <c r="C2066" s="41">
        <v>1006</v>
      </c>
      <c r="D2066" s="41" t="s">
        <v>183</v>
      </c>
      <c r="E2066" s="41">
        <v>10060051</v>
      </c>
      <c r="F2066" s="85" t="s">
        <v>1420</v>
      </c>
      <c r="G2066" s="39" t="s">
        <v>635</v>
      </c>
      <c r="H2066" s="52" t="s">
        <v>99</v>
      </c>
      <c r="I2066" s="52">
        <v>108.1</v>
      </c>
      <c r="J2066" s="49">
        <v>3641.56</v>
      </c>
      <c r="K2066" s="58">
        <v>0</v>
      </c>
      <c r="L2066" s="58">
        <v>0</v>
      </c>
      <c r="M2066" s="58">
        <v>0</v>
      </c>
      <c r="N2066" s="58">
        <v>0</v>
      </c>
      <c r="O2066" s="58">
        <v>0</v>
      </c>
      <c r="P2066" s="53">
        <v>0</v>
      </c>
      <c r="Q2066" s="65">
        <v>3641.56</v>
      </c>
      <c r="R2066" s="65">
        <v>0</v>
      </c>
      <c r="S2066" s="65">
        <v>0</v>
      </c>
      <c r="T2066" s="65">
        <v>0</v>
      </c>
      <c r="U2066" s="58">
        <v>0</v>
      </c>
      <c r="V2066" s="65">
        <v>72.573135483870971</v>
      </c>
      <c r="W2066" s="65">
        <v>0</v>
      </c>
      <c r="X2066" s="65">
        <v>0</v>
      </c>
      <c r="Y2066" s="65">
        <v>0</v>
      </c>
      <c r="Z2066" s="51">
        <v>3568.9868645161291</v>
      </c>
      <c r="AA2066" s="51">
        <v>0</v>
      </c>
      <c r="AB2066" s="102">
        <v>0</v>
      </c>
      <c r="AC2066" s="81">
        <f t="shared" si="99"/>
        <v>398.78619130434799</v>
      </c>
      <c r="AD2066" s="82">
        <f t="shared" si="100"/>
        <v>15.442857142857141</v>
      </c>
      <c r="AE2066" s="218">
        <v>0</v>
      </c>
      <c r="AF2066">
        <v>0</v>
      </c>
      <c r="AH2066" t="str">
        <f t="shared" si="101"/>
        <v>Sonvarsha</v>
      </c>
      <c r="AJ2066" s="72">
        <v>0</v>
      </c>
      <c r="AK2066" s="72"/>
      <c r="AL2066" s="72"/>
      <c r="AM2066" s="72"/>
    </row>
    <row r="2067" spans="1:39" x14ac:dyDescent="0.25">
      <c r="A2067" s="37" t="s">
        <v>62</v>
      </c>
      <c r="B2067" s="66" t="s">
        <v>1629</v>
      </c>
      <c r="C2067" s="41">
        <v>1006</v>
      </c>
      <c r="D2067" s="41" t="s">
        <v>183</v>
      </c>
      <c r="E2067" s="41">
        <v>10060055</v>
      </c>
      <c r="F2067" s="85" t="s">
        <v>1434</v>
      </c>
      <c r="G2067" s="39" t="s">
        <v>635</v>
      </c>
      <c r="H2067" s="52" t="s">
        <v>99</v>
      </c>
      <c r="I2067" s="52">
        <v>229.1</v>
      </c>
      <c r="J2067" s="49">
        <v>7920.43</v>
      </c>
      <c r="K2067" s="58">
        <v>0</v>
      </c>
      <c r="L2067" s="58">
        <v>0</v>
      </c>
      <c r="M2067" s="58">
        <v>0</v>
      </c>
      <c r="N2067" s="58">
        <v>0</v>
      </c>
      <c r="O2067" s="58">
        <v>0</v>
      </c>
      <c r="P2067" s="53">
        <v>0</v>
      </c>
      <c r="Q2067" s="65">
        <v>7920.43</v>
      </c>
      <c r="R2067" s="65">
        <v>0</v>
      </c>
      <c r="S2067" s="65">
        <v>0</v>
      </c>
      <c r="T2067" s="65">
        <v>0</v>
      </c>
      <c r="U2067" s="58">
        <v>0</v>
      </c>
      <c r="V2067" s="65">
        <v>0</v>
      </c>
      <c r="W2067" s="65">
        <v>0</v>
      </c>
      <c r="X2067" s="65">
        <v>0</v>
      </c>
      <c r="Y2067" s="65">
        <v>0</v>
      </c>
      <c r="Z2067" s="51">
        <v>7920.43</v>
      </c>
      <c r="AA2067" s="51">
        <v>0</v>
      </c>
      <c r="AB2067" s="102">
        <v>0</v>
      </c>
      <c r="AC2067" s="81">
        <f t="shared" si="99"/>
        <v>325.59847114797037</v>
      </c>
      <c r="AD2067" s="82">
        <f t="shared" si="100"/>
        <v>32.728571428571428</v>
      </c>
      <c r="AE2067" s="218">
        <v>0</v>
      </c>
      <c r="AF2067">
        <v>0</v>
      </c>
      <c r="AH2067" t="str">
        <f t="shared" si="101"/>
        <v>Sonvarsha</v>
      </c>
      <c r="AJ2067" s="72">
        <v>0</v>
      </c>
      <c r="AK2067" s="72"/>
      <c r="AL2067" s="72"/>
      <c r="AM2067" s="72"/>
    </row>
    <row r="2068" spans="1:39" x14ac:dyDescent="0.25">
      <c r="A2068" s="37" t="s">
        <v>62</v>
      </c>
      <c r="B2068" s="66" t="s">
        <v>1629</v>
      </c>
      <c r="C2068" s="41">
        <v>1006</v>
      </c>
      <c r="D2068" s="41" t="s">
        <v>183</v>
      </c>
      <c r="E2068" s="41">
        <v>10060058</v>
      </c>
      <c r="F2068" s="85" t="s">
        <v>206</v>
      </c>
      <c r="G2068" s="39" t="s">
        <v>93</v>
      </c>
      <c r="H2068" s="52" t="s">
        <v>94</v>
      </c>
      <c r="I2068" s="52">
        <v>617.30000000000007</v>
      </c>
      <c r="J2068" s="49">
        <v>22461.190000000002</v>
      </c>
      <c r="K2068" s="58">
        <v>229.05999999999997</v>
      </c>
      <c r="L2068" s="58">
        <v>8664.2195490377999</v>
      </c>
      <c r="M2068" s="58">
        <v>388.77</v>
      </c>
      <c r="N2068" s="58">
        <v>14974.295522313601</v>
      </c>
      <c r="O2068" s="58">
        <v>617.82999999999993</v>
      </c>
      <c r="P2068" s="53">
        <v>23638.515071351401</v>
      </c>
      <c r="Q2068" s="65">
        <v>22461.190000000002</v>
      </c>
      <c r="R2068" s="65">
        <v>0</v>
      </c>
      <c r="S2068" s="65">
        <v>185.23251909360002</v>
      </c>
      <c r="T2068" s="65">
        <v>1177.3250713513989</v>
      </c>
      <c r="U2068" s="58">
        <v>0</v>
      </c>
      <c r="V2068" s="65">
        <v>0</v>
      </c>
      <c r="W2068" s="65">
        <v>0</v>
      </c>
      <c r="X2068" s="65">
        <v>8244</v>
      </c>
      <c r="Y2068" s="65">
        <v>14032</v>
      </c>
      <c r="Z2068" s="51">
        <v>0</v>
      </c>
      <c r="AA2068" s="51">
        <v>0</v>
      </c>
      <c r="AB2068" s="102" t="s">
        <v>1427</v>
      </c>
      <c r="AC2068" s="81">
        <f t="shared" si="99"/>
        <v>60.182744629839561</v>
      </c>
      <c r="AD2068" s="82">
        <f t="shared" si="100"/>
        <v>88.185714285714297</v>
      </c>
      <c r="AE2068" s="218">
        <v>-5.2415970451761405E-2</v>
      </c>
      <c r="AF2068">
        <v>6</v>
      </c>
      <c r="AH2068" t="str">
        <f t="shared" si="101"/>
        <v>Sonvarsha</v>
      </c>
      <c r="AJ2068" s="72">
        <v>0</v>
      </c>
      <c r="AK2068" s="72"/>
      <c r="AL2068" s="72"/>
      <c r="AM2068" s="72"/>
    </row>
    <row r="2069" spans="1:39" x14ac:dyDescent="0.25">
      <c r="A2069" s="37" t="s">
        <v>62</v>
      </c>
      <c r="B2069" s="66" t="s">
        <v>1629</v>
      </c>
      <c r="C2069" s="41">
        <v>1006</v>
      </c>
      <c r="D2069" s="41" t="s">
        <v>183</v>
      </c>
      <c r="E2069" s="41">
        <v>10060061</v>
      </c>
      <c r="F2069" s="85" t="s">
        <v>1450</v>
      </c>
      <c r="G2069" s="39" t="s">
        <v>635</v>
      </c>
      <c r="H2069" s="52" t="s">
        <v>99</v>
      </c>
      <c r="I2069" s="52">
        <v>172.70000000000002</v>
      </c>
      <c r="J2069" s="49">
        <v>5761.4</v>
      </c>
      <c r="K2069" s="58">
        <v>0</v>
      </c>
      <c r="L2069" s="58">
        <v>0</v>
      </c>
      <c r="M2069" s="58">
        <v>0</v>
      </c>
      <c r="N2069" s="58">
        <v>0</v>
      </c>
      <c r="O2069" s="58">
        <v>0</v>
      </c>
      <c r="P2069" s="53">
        <v>0</v>
      </c>
      <c r="Q2069" s="65">
        <v>5761.4</v>
      </c>
      <c r="R2069" s="65">
        <v>0</v>
      </c>
      <c r="S2069" s="65">
        <v>0</v>
      </c>
      <c r="T2069" s="65">
        <v>0</v>
      </c>
      <c r="U2069" s="58">
        <v>0</v>
      </c>
      <c r="V2069" s="65">
        <v>0</v>
      </c>
      <c r="W2069" s="65">
        <v>0</v>
      </c>
      <c r="X2069" s="65">
        <v>0</v>
      </c>
      <c r="Y2069" s="65">
        <v>0</v>
      </c>
      <c r="Z2069" s="51">
        <v>5761.4</v>
      </c>
      <c r="AA2069" s="51">
        <v>0</v>
      </c>
      <c r="AB2069" s="102">
        <v>0</v>
      </c>
      <c r="AC2069" s="81">
        <f t="shared" si="99"/>
        <v>351.82237637521706</v>
      </c>
      <c r="AD2069" s="82">
        <f t="shared" si="100"/>
        <v>24.671428571428574</v>
      </c>
      <c r="AE2069" s="218">
        <v>0</v>
      </c>
      <c r="AF2069">
        <v>0</v>
      </c>
      <c r="AH2069" t="str">
        <f t="shared" si="101"/>
        <v>Sonvarsha</v>
      </c>
      <c r="AJ2069" s="72">
        <v>0</v>
      </c>
      <c r="AK2069" s="72"/>
      <c r="AL2069" s="72"/>
      <c r="AM2069" s="72"/>
    </row>
    <row r="2070" spans="1:39" x14ac:dyDescent="0.25">
      <c r="A2070" s="37" t="s">
        <v>62</v>
      </c>
      <c r="B2070" s="66" t="s">
        <v>1629</v>
      </c>
      <c r="C2070" s="41">
        <v>1006</v>
      </c>
      <c r="D2070" s="41" t="s">
        <v>183</v>
      </c>
      <c r="E2070" s="41">
        <v>10060062</v>
      </c>
      <c r="F2070" s="85" t="s">
        <v>484</v>
      </c>
      <c r="G2070" s="39" t="s">
        <v>635</v>
      </c>
      <c r="H2070" s="52" t="s">
        <v>99</v>
      </c>
      <c r="I2070" s="52">
        <v>404.50000000000006</v>
      </c>
      <c r="J2070" s="49">
        <v>15515.85</v>
      </c>
      <c r="K2070" s="58">
        <v>0</v>
      </c>
      <c r="L2070" s="58">
        <v>0</v>
      </c>
      <c r="M2070" s="58">
        <v>0</v>
      </c>
      <c r="N2070" s="58">
        <v>0</v>
      </c>
      <c r="O2070" s="58">
        <v>0</v>
      </c>
      <c r="P2070" s="53">
        <v>0</v>
      </c>
      <c r="Q2070" s="65">
        <v>15515.85</v>
      </c>
      <c r="R2070" s="65">
        <v>0</v>
      </c>
      <c r="S2070" s="65">
        <v>0</v>
      </c>
      <c r="T2070" s="65">
        <v>0</v>
      </c>
      <c r="U2070" s="58">
        <v>0</v>
      </c>
      <c r="V2070" s="65">
        <v>0</v>
      </c>
      <c r="W2070" s="65">
        <v>0</v>
      </c>
      <c r="X2070" s="65">
        <v>0</v>
      </c>
      <c r="Y2070" s="65">
        <v>0</v>
      </c>
      <c r="Z2070" s="51">
        <v>15515.85</v>
      </c>
      <c r="AA2070" s="51">
        <v>0</v>
      </c>
      <c r="AB2070" s="102">
        <v>0</v>
      </c>
      <c r="AC2070" s="81">
        <f t="shared" si="99"/>
        <v>226.69634981458586</v>
      </c>
      <c r="AD2070" s="82">
        <f t="shared" si="100"/>
        <v>57.785714285714292</v>
      </c>
      <c r="AE2070" s="218">
        <v>0</v>
      </c>
      <c r="AF2070">
        <v>0</v>
      </c>
      <c r="AH2070" t="str">
        <f t="shared" si="101"/>
        <v>Sonvarsha</v>
      </c>
      <c r="AJ2070" s="72">
        <v>0</v>
      </c>
      <c r="AK2070" s="72"/>
      <c r="AL2070" s="72"/>
      <c r="AM2070" s="72"/>
    </row>
    <row r="2071" spans="1:39" x14ac:dyDescent="0.25">
      <c r="A2071" s="37" t="s">
        <v>62</v>
      </c>
      <c r="B2071" s="66" t="s">
        <v>1629</v>
      </c>
      <c r="C2071" s="41">
        <v>1059</v>
      </c>
      <c r="D2071" s="41" t="s">
        <v>1347</v>
      </c>
      <c r="E2071" s="41">
        <v>10060069</v>
      </c>
      <c r="F2071" s="85" t="s">
        <v>450</v>
      </c>
      <c r="G2071" s="39" t="s">
        <v>93</v>
      </c>
      <c r="H2071" s="52" t="s">
        <v>94</v>
      </c>
      <c r="I2071" s="52">
        <v>282.09999999999997</v>
      </c>
      <c r="J2071" s="49">
        <v>12686.81</v>
      </c>
      <c r="K2071" s="58">
        <v>282.49999999999994</v>
      </c>
      <c r="L2071" s="58">
        <v>12703.986183303601</v>
      </c>
      <c r="M2071" s="58">
        <v>0</v>
      </c>
      <c r="N2071" s="58">
        <v>0</v>
      </c>
      <c r="O2071" s="58">
        <v>282.49999999999994</v>
      </c>
      <c r="P2071" s="53">
        <v>12703.986183303601</v>
      </c>
      <c r="Q2071" s="65">
        <v>12686.81</v>
      </c>
      <c r="R2071" s="65">
        <v>0</v>
      </c>
      <c r="S2071" s="65">
        <v>0</v>
      </c>
      <c r="T2071" s="65">
        <v>17.176183303601647</v>
      </c>
      <c r="U2071" s="58">
        <v>0</v>
      </c>
      <c r="V2071" s="65">
        <v>0</v>
      </c>
      <c r="W2071" s="65">
        <v>0</v>
      </c>
      <c r="X2071" s="65">
        <v>12687</v>
      </c>
      <c r="Y2071" s="65">
        <v>0</v>
      </c>
      <c r="Z2071" s="51">
        <v>0</v>
      </c>
      <c r="AA2071" s="51">
        <v>0</v>
      </c>
      <c r="AB2071" s="102" t="s">
        <v>68</v>
      </c>
      <c r="AC2071" s="81">
        <f t="shared" si="99"/>
        <v>375.88216228287848</v>
      </c>
      <c r="AD2071" s="82">
        <f t="shared" si="100"/>
        <v>40.299999999999997</v>
      </c>
      <c r="AE2071" s="218">
        <v>-1.3538614753118906E-3</v>
      </c>
      <c r="AF2071">
        <v>1</v>
      </c>
      <c r="AH2071" t="str">
        <f t="shared" si="101"/>
        <v>Gopalpur Bmc</v>
      </c>
      <c r="AJ2071" s="72">
        <v>0</v>
      </c>
      <c r="AK2071" s="72"/>
      <c r="AL2071" s="72"/>
      <c r="AM2071" s="72"/>
    </row>
    <row r="2072" spans="1:39" x14ac:dyDescent="0.25">
      <c r="A2072" s="37" t="s">
        <v>62</v>
      </c>
      <c r="B2072" s="66" t="s">
        <v>1629</v>
      </c>
      <c r="C2072" s="41">
        <v>1059</v>
      </c>
      <c r="D2072" s="41" t="s">
        <v>1347</v>
      </c>
      <c r="E2072" s="41">
        <v>10060074</v>
      </c>
      <c r="F2072" s="85" t="s">
        <v>485</v>
      </c>
      <c r="G2072" s="39" t="s">
        <v>93</v>
      </c>
      <c r="H2072" s="52" t="s">
        <v>94</v>
      </c>
      <c r="I2072" s="52">
        <v>342.7</v>
      </c>
      <c r="J2072" s="49">
        <v>14499.54</v>
      </c>
      <c r="K2072" s="58">
        <v>333.63</v>
      </c>
      <c r="L2072" s="58">
        <v>15022.378281876809</v>
      </c>
      <c r="M2072" s="58">
        <v>5.41</v>
      </c>
      <c r="N2072" s="58">
        <v>228.08000341169998</v>
      </c>
      <c r="O2072" s="58">
        <v>339.04</v>
      </c>
      <c r="P2072" s="53">
        <v>15250.458285288509</v>
      </c>
      <c r="Q2072" s="65">
        <v>14499.54</v>
      </c>
      <c r="R2072" s="65">
        <v>0</v>
      </c>
      <c r="S2072" s="65">
        <v>228.08000341169998</v>
      </c>
      <c r="T2072" s="65">
        <v>750.91828528850783</v>
      </c>
      <c r="U2072" s="58">
        <v>0</v>
      </c>
      <c r="V2072" s="65">
        <v>0</v>
      </c>
      <c r="W2072" s="65">
        <v>0</v>
      </c>
      <c r="X2072" s="65">
        <v>14271</v>
      </c>
      <c r="Y2072" s="65">
        <v>0</v>
      </c>
      <c r="Z2072" s="51">
        <v>0</v>
      </c>
      <c r="AA2072" s="51">
        <v>0</v>
      </c>
      <c r="AB2072" s="102">
        <v>0</v>
      </c>
      <c r="AC2072" s="81">
        <f t="shared" si="99"/>
        <v>302.34523735045235</v>
      </c>
      <c r="AD2072" s="82">
        <f t="shared" si="100"/>
        <v>48.957142857142856</v>
      </c>
      <c r="AE2072" s="218">
        <v>-5.1789110915829592E-2</v>
      </c>
      <c r="AF2072">
        <v>10</v>
      </c>
      <c r="AH2072" t="str">
        <f t="shared" si="101"/>
        <v>Gopalpur Bmc</v>
      </c>
      <c r="AJ2072" s="72">
        <v>0</v>
      </c>
      <c r="AK2072" s="72"/>
      <c r="AL2072" s="72"/>
      <c r="AM2072" s="72"/>
    </row>
    <row r="2073" spans="1:39" x14ac:dyDescent="0.25">
      <c r="A2073" s="37" t="s">
        <v>62</v>
      </c>
      <c r="B2073" s="66" t="s">
        <v>1629</v>
      </c>
      <c r="C2073" s="41">
        <v>1006</v>
      </c>
      <c r="D2073" s="41" t="s">
        <v>183</v>
      </c>
      <c r="E2073" s="41">
        <v>10060077</v>
      </c>
      <c r="F2073" s="85" t="s">
        <v>506</v>
      </c>
      <c r="G2073" s="39" t="s">
        <v>93</v>
      </c>
      <c r="H2073" s="52" t="s">
        <v>94</v>
      </c>
      <c r="I2073" s="52">
        <v>1220.1000000000001</v>
      </c>
      <c r="J2073" s="49">
        <v>48258.150000000009</v>
      </c>
      <c r="K2073" s="58">
        <v>1151.0999999999999</v>
      </c>
      <c r="L2073" s="58">
        <v>45022.096652842331</v>
      </c>
      <c r="M2073" s="58">
        <v>99.2</v>
      </c>
      <c r="N2073" s="58">
        <v>4332.368812785201</v>
      </c>
      <c r="O2073" s="58">
        <v>1250.3</v>
      </c>
      <c r="P2073" s="53">
        <v>49354.465465627531</v>
      </c>
      <c r="Q2073" s="65">
        <v>48258.150000000009</v>
      </c>
      <c r="R2073" s="65">
        <v>0</v>
      </c>
      <c r="S2073" s="65">
        <v>705.19109760000015</v>
      </c>
      <c r="T2073" s="65">
        <v>1096.3154656275219</v>
      </c>
      <c r="U2073" s="58">
        <v>2700</v>
      </c>
      <c r="V2073" s="65">
        <v>0</v>
      </c>
      <c r="W2073" s="65">
        <v>0</v>
      </c>
      <c r="X2073" s="65">
        <v>42020</v>
      </c>
      <c r="Y2073" s="65">
        <v>2833</v>
      </c>
      <c r="Z2073" s="51">
        <v>0</v>
      </c>
      <c r="AA2073" s="51">
        <v>0</v>
      </c>
      <c r="AB2073" s="102" t="s">
        <v>68</v>
      </c>
      <c r="AC2073" s="81">
        <f t="shared" si="99"/>
        <v>0</v>
      </c>
      <c r="AD2073" s="82">
        <f t="shared" si="100"/>
        <v>0</v>
      </c>
      <c r="AE2073" s="218">
        <v>-2.2717726759677311E-2</v>
      </c>
      <c r="AF2073">
        <v>34</v>
      </c>
      <c r="AH2073" t="str">
        <f t="shared" si="101"/>
        <v>Sonvarsha</v>
      </c>
      <c r="AJ2073" s="72">
        <v>0</v>
      </c>
      <c r="AK2073" s="72"/>
      <c r="AL2073" s="72"/>
      <c r="AM2073" s="72"/>
    </row>
    <row r="2074" spans="1:39" x14ac:dyDescent="0.25">
      <c r="A2074" s="37" t="s">
        <v>62</v>
      </c>
      <c r="B2074" s="66" t="s">
        <v>1629</v>
      </c>
      <c r="C2074" s="41">
        <v>1006</v>
      </c>
      <c r="D2074" s="41" t="s">
        <v>183</v>
      </c>
      <c r="E2074" s="41">
        <v>10060083</v>
      </c>
      <c r="F2074" s="85" t="s">
        <v>502</v>
      </c>
      <c r="G2074" s="39" t="s">
        <v>635</v>
      </c>
      <c r="H2074" s="52" t="s">
        <v>99</v>
      </c>
      <c r="I2074" s="52">
        <v>1346.2</v>
      </c>
      <c r="J2074" s="49">
        <v>49489.94</v>
      </c>
      <c r="K2074" s="58">
        <v>0</v>
      </c>
      <c r="L2074" s="58">
        <v>0</v>
      </c>
      <c r="M2074" s="58">
        <v>0</v>
      </c>
      <c r="N2074" s="58">
        <v>0</v>
      </c>
      <c r="O2074" s="58">
        <v>0</v>
      </c>
      <c r="P2074" s="53">
        <v>0</v>
      </c>
      <c r="Q2074" s="65">
        <v>49489.94</v>
      </c>
      <c r="R2074" s="65">
        <v>0</v>
      </c>
      <c r="S2074" s="65">
        <v>0</v>
      </c>
      <c r="T2074" s="65">
        <v>0</v>
      </c>
      <c r="U2074" s="58">
        <v>0</v>
      </c>
      <c r="V2074" s="65">
        <v>0</v>
      </c>
      <c r="W2074" s="65">
        <v>0</v>
      </c>
      <c r="X2074" s="65">
        <v>0</v>
      </c>
      <c r="Y2074" s="65">
        <v>0</v>
      </c>
      <c r="Z2074" s="51">
        <v>49489.94</v>
      </c>
      <c r="AA2074" s="51">
        <v>0</v>
      </c>
      <c r="AB2074" s="102">
        <v>0</v>
      </c>
      <c r="AC2074" s="81">
        <f t="shared" si="99"/>
        <v>0</v>
      </c>
      <c r="AD2074" s="82">
        <f t="shared" si="100"/>
        <v>0</v>
      </c>
      <c r="AE2074" s="218">
        <v>0</v>
      </c>
      <c r="AF2074">
        <v>0</v>
      </c>
      <c r="AH2074" t="str">
        <f t="shared" si="101"/>
        <v>Sonvarsha</v>
      </c>
      <c r="AJ2074" s="72">
        <v>0</v>
      </c>
      <c r="AK2074" s="72"/>
      <c r="AL2074" s="72"/>
      <c r="AM2074" s="72"/>
    </row>
    <row r="2075" spans="1:39" x14ac:dyDescent="0.25">
      <c r="A2075" s="37" t="s">
        <v>62</v>
      </c>
      <c r="B2075" s="66" t="s">
        <v>1629</v>
      </c>
      <c r="C2075" s="41">
        <v>1006</v>
      </c>
      <c r="D2075" s="41" t="s">
        <v>183</v>
      </c>
      <c r="E2075" s="41">
        <v>10060089</v>
      </c>
      <c r="F2075" s="85" t="s">
        <v>1618</v>
      </c>
      <c r="G2075" s="39" t="s">
        <v>635</v>
      </c>
      <c r="H2075" s="52" t="s">
        <v>99</v>
      </c>
      <c r="I2075" s="52">
        <v>358.1</v>
      </c>
      <c r="J2075" s="49">
        <v>12250.63</v>
      </c>
      <c r="K2075" s="58">
        <v>0</v>
      </c>
      <c r="L2075" s="58">
        <v>0</v>
      </c>
      <c r="M2075" s="58">
        <v>0</v>
      </c>
      <c r="N2075" s="58">
        <v>0</v>
      </c>
      <c r="O2075" s="58">
        <v>0</v>
      </c>
      <c r="P2075" s="53">
        <v>0</v>
      </c>
      <c r="Q2075" s="65">
        <v>12250.63</v>
      </c>
      <c r="R2075" s="65">
        <v>0</v>
      </c>
      <c r="S2075" s="65">
        <v>0</v>
      </c>
      <c r="T2075" s="65">
        <v>0</v>
      </c>
      <c r="U2075" s="58">
        <v>0</v>
      </c>
      <c r="V2075" s="65">
        <v>0</v>
      </c>
      <c r="W2075" s="65">
        <v>0</v>
      </c>
      <c r="X2075" s="65">
        <v>0</v>
      </c>
      <c r="Y2075" s="65">
        <v>0</v>
      </c>
      <c r="Z2075" s="51">
        <v>12250.63</v>
      </c>
      <c r="AA2075" s="51">
        <v>0</v>
      </c>
      <c r="AB2075" s="102">
        <v>0</v>
      </c>
      <c r="AC2075" s="81">
        <f t="shared" si="99"/>
        <v>233.92853376151911</v>
      </c>
      <c r="AD2075" s="82">
        <f t="shared" si="100"/>
        <v>51.157142857142858</v>
      </c>
      <c r="AE2075" s="218">
        <v>0</v>
      </c>
      <c r="AF2075">
        <v>0</v>
      </c>
      <c r="AH2075" t="str">
        <f t="shared" si="101"/>
        <v>Sonvarsha</v>
      </c>
      <c r="AJ2075" s="72">
        <v>0</v>
      </c>
      <c r="AK2075" s="72"/>
      <c r="AL2075" s="72"/>
      <c r="AM2075" s="72"/>
    </row>
    <row r="2076" spans="1:39" x14ac:dyDescent="0.25">
      <c r="A2076" s="37" t="s">
        <v>62</v>
      </c>
      <c r="B2076" s="66" t="s">
        <v>1629</v>
      </c>
      <c r="C2076" s="41">
        <v>1059</v>
      </c>
      <c r="D2076" s="41" t="s">
        <v>1347</v>
      </c>
      <c r="E2076" s="41">
        <v>10060090</v>
      </c>
      <c r="F2076" s="85" t="s">
        <v>535</v>
      </c>
      <c r="G2076" s="39" t="s">
        <v>93</v>
      </c>
      <c r="H2076" s="52" t="s">
        <v>94</v>
      </c>
      <c r="I2076" s="52">
        <v>691.59999999999991</v>
      </c>
      <c r="J2076" s="49">
        <v>30324.319999999989</v>
      </c>
      <c r="K2076" s="58">
        <v>691.59999999999991</v>
      </c>
      <c r="L2076" s="58">
        <v>30323.816443356402</v>
      </c>
      <c r="M2076" s="58">
        <v>0</v>
      </c>
      <c r="N2076" s="58">
        <v>0</v>
      </c>
      <c r="O2076" s="58">
        <v>691.59999999999991</v>
      </c>
      <c r="P2076" s="53">
        <v>30323.816443356402</v>
      </c>
      <c r="Q2076" s="65">
        <v>30323.816443356402</v>
      </c>
      <c r="R2076" s="65">
        <v>0</v>
      </c>
      <c r="S2076" s="65">
        <v>0</v>
      </c>
      <c r="T2076" s="65">
        <v>0</v>
      </c>
      <c r="U2076" s="58">
        <v>0</v>
      </c>
      <c r="V2076" s="65">
        <v>0</v>
      </c>
      <c r="W2076" s="65">
        <v>0</v>
      </c>
      <c r="X2076" s="65">
        <v>30324</v>
      </c>
      <c r="Y2076" s="65">
        <v>0</v>
      </c>
      <c r="Z2076" s="51">
        <v>0</v>
      </c>
      <c r="AA2076" s="51">
        <v>0</v>
      </c>
      <c r="AB2076" s="102">
        <v>0</v>
      </c>
      <c r="AC2076" s="81">
        <f t="shared" si="99"/>
        <v>7.3662315789474713</v>
      </c>
      <c r="AD2076" s="82">
        <f t="shared" si="100"/>
        <v>98.799999999999983</v>
      </c>
      <c r="AE2076" s="218">
        <v>1.6605702735864059E-5</v>
      </c>
      <c r="AF2076">
        <v>3</v>
      </c>
      <c r="AH2076" t="str">
        <f t="shared" si="101"/>
        <v>Gopalpur Bmc</v>
      </c>
      <c r="AJ2076" s="72">
        <v>0</v>
      </c>
      <c r="AK2076" s="72"/>
      <c r="AL2076" s="72"/>
      <c r="AM2076" s="72"/>
    </row>
    <row r="2077" spans="1:39" x14ac:dyDescent="0.25">
      <c r="A2077" s="37" t="s">
        <v>62</v>
      </c>
      <c r="B2077" s="66" t="s">
        <v>1629</v>
      </c>
      <c r="C2077" s="41">
        <v>1006</v>
      </c>
      <c r="D2077" s="41" t="s">
        <v>183</v>
      </c>
      <c r="E2077" s="41">
        <v>10060096</v>
      </c>
      <c r="F2077" s="85" t="s">
        <v>536</v>
      </c>
      <c r="G2077" s="39" t="s">
        <v>635</v>
      </c>
      <c r="H2077" s="52" t="s">
        <v>99</v>
      </c>
      <c r="I2077" s="52">
        <v>2429.5000000000005</v>
      </c>
      <c r="J2077" s="49">
        <v>86819.049999999988</v>
      </c>
      <c r="K2077" s="58">
        <v>0</v>
      </c>
      <c r="L2077" s="58">
        <v>0</v>
      </c>
      <c r="M2077" s="58">
        <v>0</v>
      </c>
      <c r="N2077" s="58">
        <v>0</v>
      </c>
      <c r="O2077" s="58">
        <v>0</v>
      </c>
      <c r="P2077" s="53">
        <v>0</v>
      </c>
      <c r="Q2077" s="65">
        <v>86819.049999999988</v>
      </c>
      <c r="R2077" s="65">
        <v>0</v>
      </c>
      <c r="S2077" s="65">
        <v>0</v>
      </c>
      <c r="T2077" s="65">
        <v>0</v>
      </c>
      <c r="U2077" s="58">
        <v>0</v>
      </c>
      <c r="V2077" s="65">
        <v>0</v>
      </c>
      <c r="W2077" s="65">
        <v>0</v>
      </c>
      <c r="X2077" s="65">
        <v>0</v>
      </c>
      <c r="Y2077" s="65">
        <v>0</v>
      </c>
      <c r="Z2077" s="51">
        <v>86819.049999999988</v>
      </c>
      <c r="AA2077" s="51">
        <v>0</v>
      </c>
      <c r="AB2077" s="102">
        <v>0</v>
      </c>
      <c r="AC2077" s="81">
        <f t="shared" si="99"/>
        <v>0</v>
      </c>
      <c r="AD2077" s="82">
        <f t="shared" si="100"/>
        <v>0</v>
      </c>
      <c r="AE2077" s="218">
        <v>0</v>
      </c>
      <c r="AF2077">
        <v>0</v>
      </c>
      <c r="AH2077" t="str">
        <f t="shared" si="101"/>
        <v>Sonvarsha</v>
      </c>
      <c r="AJ2077" s="72">
        <v>0</v>
      </c>
      <c r="AK2077" s="72"/>
      <c r="AL2077" s="72"/>
      <c r="AM2077" s="72"/>
    </row>
    <row r="2078" spans="1:39" x14ac:dyDescent="0.25">
      <c r="A2078" s="37" t="s">
        <v>62</v>
      </c>
      <c r="B2078" s="66" t="s">
        <v>1629</v>
      </c>
      <c r="C2078" s="41">
        <v>1006</v>
      </c>
      <c r="D2078" s="41" t="s">
        <v>183</v>
      </c>
      <c r="E2078" s="41">
        <v>10060097</v>
      </c>
      <c r="F2078" s="85" t="s">
        <v>573</v>
      </c>
      <c r="G2078" s="39" t="s">
        <v>635</v>
      </c>
      <c r="H2078" s="52" t="s">
        <v>99</v>
      </c>
      <c r="I2078" s="52">
        <v>527</v>
      </c>
      <c r="J2078" s="49">
        <v>19245.100000000002</v>
      </c>
      <c r="K2078" s="58">
        <v>0</v>
      </c>
      <c r="L2078" s="58">
        <v>0</v>
      </c>
      <c r="M2078" s="58">
        <v>0</v>
      </c>
      <c r="N2078" s="58">
        <v>0</v>
      </c>
      <c r="O2078" s="58">
        <v>0</v>
      </c>
      <c r="P2078" s="53">
        <v>0</v>
      </c>
      <c r="Q2078" s="65">
        <v>19245.100000000002</v>
      </c>
      <c r="R2078" s="65">
        <v>0</v>
      </c>
      <c r="S2078" s="65">
        <v>0</v>
      </c>
      <c r="T2078" s="65">
        <v>0</v>
      </c>
      <c r="U2078" s="58">
        <v>0</v>
      </c>
      <c r="V2078" s="65">
        <v>0</v>
      </c>
      <c r="W2078" s="65">
        <v>0</v>
      </c>
      <c r="X2078" s="65">
        <v>0</v>
      </c>
      <c r="Y2078" s="65">
        <v>0</v>
      </c>
      <c r="Z2078" s="51">
        <v>19245.100000000002</v>
      </c>
      <c r="AA2078" s="51">
        <v>0</v>
      </c>
      <c r="AB2078" s="102">
        <v>0</v>
      </c>
      <c r="AC2078" s="81">
        <f t="shared" si="99"/>
        <v>126.35302846299808</v>
      </c>
      <c r="AD2078" s="82">
        <f t="shared" si="100"/>
        <v>75.285714285714292</v>
      </c>
      <c r="AE2078" s="218">
        <v>0</v>
      </c>
      <c r="AF2078">
        <v>0</v>
      </c>
      <c r="AH2078" t="str">
        <f t="shared" si="101"/>
        <v>Sonvarsha</v>
      </c>
      <c r="AJ2078" s="72">
        <v>0</v>
      </c>
      <c r="AK2078" s="72"/>
      <c r="AL2078" s="72"/>
      <c r="AM2078" s="72"/>
    </row>
    <row r="2079" spans="1:39" x14ac:dyDescent="0.25">
      <c r="A2079" s="37" t="s">
        <v>62</v>
      </c>
      <c r="B2079" s="66" t="s">
        <v>1629</v>
      </c>
      <c r="C2079" s="41">
        <v>1006</v>
      </c>
      <c r="D2079" s="41" t="s">
        <v>183</v>
      </c>
      <c r="E2079" s="41">
        <v>10060098</v>
      </c>
      <c r="F2079" s="85" t="s">
        <v>664</v>
      </c>
      <c r="G2079" s="39" t="s">
        <v>93</v>
      </c>
      <c r="H2079" s="52" t="s">
        <v>94</v>
      </c>
      <c r="I2079" s="52">
        <v>2103.3000000000002</v>
      </c>
      <c r="J2079" s="49">
        <v>87293.41</v>
      </c>
      <c r="K2079" s="58">
        <v>1487.7900000000002</v>
      </c>
      <c r="L2079" s="58">
        <v>64166.334648049189</v>
      </c>
      <c r="M2079" s="58">
        <v>610.28</v>
      </c>
      <c r="N2079" s="58">
        <v>23483.45007558</v>
      </c>
      <c r="O2079" s="58">
        <v>2098.0700000000002</v>
      </c>
      <c r="P2079" s="53">
        <v>87649.784723629185</v>
      </c>
      <c r="Q2079" s="65">
        <v>87293.41</v>
      </c>
      <c r="R2079" s="65">
        <v>0</v>
      </c>
      <c r="S2079" s="65">
        <v>374.20928859600002</v>
      </c>
      <c r="T2079" s="65">
        <v>356.37472362918197</v>
      </c>
      <c r="U2079" s="58">
        <v>0</v>
      </c>
      <c r="V2079" s="65">
        <v>0</v>
      </c>
      <c r="W2079" s="65">
        <v>0</v>
      </c>
      <c r="X2079" s="65">
        <v>63809</v>
      </c>
      <c r="Y2079" s="65">
        <v>23110</v>
      </c>
      <c r="Z2079" s="51">
        <v>0</v>
      </c>
      <c r="AA2079" s="51">
        <v>0</v>
      </c>
      <c r="AB2079" s="102">
        <v>0</v>
      </c>
      <c r="AC2079" s="81">
        <f t="shared" si="99"/>
        <v>0</v>
      </c>
      <c r="AD2079" s="82">
        <f t="shared" si="100"/>
        <v>0</v>
      </c>
      <c r="AE2079" s="218">
        <v>-4.0824928666342852E-3</v>
      </c>
      <c r="AF2079">
        <v>14</v>
      </c>
      <c r="AH2079" t="str">
        <f t="shared" si="101"/>
        <v>Sonvarsha</v>
      </c>
      <c r="AJ2079" s="72">
        <v>0</v>
      </c>
      <c r="AK2079" s="72"/>
      <c r="AL2079" s="72"/>
      <c r="AM2079" s="72"/>
    </row>
    <row r="2080" spans="1:39" x14ac:dyDescent="0.25">
      <c r="A2080" s="37" t="s">
        <v>62</v>
      </c>
      <c r="B2080" s="66" t="s">
        <v>1629</v>
      </c>
      <c r="C2080" s="41">
        <v>1006</v>
      </c>
      <c r="D2080" s="41" t="s">
        <v>183</v>
      </c>
      <c r="E2080" s="41">
        <v>10060104</v>
      </c>
      <c r="F2080" s="85" t="s">
        <v>670</v>
      </c>
      <c r="G2080" s="39" t="s">
        <v>635</v>
      </c>
      <c r="H2080" s="52" t="s">
        <v>99</v>
      </c>
      <c r="I2080" s="52">
        <v>1747.2000000000003</v>
      </c>
      <c r="J2080" s="49">
        <v>57416.87000000001</v>
      </c>
      <c r="K2080" s="58">
        <v>0</v>
      </c>
      <c r="L2080" s="58">
        <v>0</v>
      </c>
      <c r="M2080" s="58">
        <v>0</v>
      </c>
      <c r="N2080" s="58">
        <v>0</v>
      </c>
      <c r="O2080" s="58">
        <v>0</v>
      </c>
      <c r="P2080" s="53">
        <v>0</v>
      </c>
      <c r="Q2080" s="65">
        <v>57416.87000000001</v>
      </c>
      <c r="R2080" s="65">
        <v>0</v>
      </c>
      <c r="S2080" s="65">
        <v>0</v>
      </c>
      <c r="T2080" s="65">
        <v>0</v>
      </c>
      <c r="U2080" s="58">
        <v>0</v>
      </c>
      <c r="V2080" s="65">
        <v>0</v>
      </c>
      <c r="W2080" s="65">
        <v>0</v>
      </c>
      <c r="X2080" s="65">
        <v>0</v>
      </c>
      <c r="Y2080" s="65">
        <v>0</v>
      </c>
      <c r="Z2080" s="51">
        <v>57416.87000000001</v>
      </c>
      <c r="AA2080" s="51">
        <v>0</v>
      </c>
      <c r="AB2080" s="102">
        <v>0</v>
      </c>
      <c r="AC2080" s="81">
        <f t="shared" si="99"/>
        <v>0</v>
      </c>
      <c r="AD2080" s="82">
        <f t="shared" si="100"/>
        <v>0</v>
      </c>
      <c r="AE2080" s="218">
        <v>0</v>
      </c>
      <c r="AF2080">
        <v>0</v>
      </c>
      <c r="AH2080" t="str">
        <f t="shared" si="101"/>
        <v>Sonvarsha</v>
      </c>
      <c r="AJ2080" s="72">
        <v>0</v>
      </c>
      <c r="AK2080" s="72"/>
      <c r="AL2080" s="72"/>
      <c r="AM2080" s="72"/>
    </row>
    <row r="2081" spans="1:39" x14ac:dyDescent="0.25">
      <c r="A2081" s="37" t="s">
        <v>62</v>
      </c>
      <c r="B2081" s="66" t="s">
        <v>1629</v>
      </c>
      <c r="C2081" s="41">
        <v>1006</v>
      </c>
      <c r="D2081" s="41" t="s">
        <v>183</v>
      </c>
      <c r="E2081" s="41">
        <v>10060106</v>
      </c>
      <c r="F2081" s="85" t="s">
        <v>698</v>
      </c>
      <c r="G2081" s="39" t="s">
        <v>93</v>
      </c>
      <c r="H2081" s="52" t="s">
        <v>94</v>
      </c>
      <c r="I2081" s="52">
        <v>752.3</v>
      </c>
      <c r="J2081" s="49">
        <v>36054.32</v>
      </c>
      <c r="K2081" s="58">
        <v>662.31999999999994</v>
      </c>
      <c r="L2081" s="58">
        <v>33778.893774859418</v>
      </c>
      <c r="M2081" s="58">
        <v>7.8800000000000008</v>
      </c>
      <c r="N2081" s="58">
        <v>333.10912456800003</v>
      </c>
      <c r="O2081" s="58">
        <v>670.19999999999993</v>
      </c>
      <c r="P2081" s="53">
        <v>34112.002899427418</v>
      </c>
      <c r="Q2081" s="65">
        <v>34112.002899427418</v>
      </c>
      <c r="R2081" s="65">
        <v>0</v>
      </c>
      <c r="S2081" s="65">
        <v>333.10912456800003</v>
      </c>
      <c r="T2081" s="65">
        <v>0</v>
      </c>
      <c r="U2081" s="58">
        <v>0</v>
      </c>
      <c r="V2081" s="65">
        <v>0</v>
      </c>
      <c r="W2081" s="65">
        <v>0</v>
      </c>
      <c r="X2081" s="65">
        <v>33780</v>
      </c>
      <c r="Y2081" s="65">
        <v>0</v>
      </c>
      <c r="Z2081" s="51">
        <v>0</v>
      </c>
      <c r="AA2081" s="51">
        <v>1941</v>
      </c>
      <c r="AB2081" s="102">
        <v>0</v>
      </c>
      <c r="AC2081" s="81">
        <f t="shared" si="99"/>
        <v>0</v>
      </c>
      <c r="AD2081" s="82">
        <f t="shared" si="100"/>
        <v>0</v>
      </c>
      <c r="AE2081" s="218">
        <v>5.3871965982788796E-2</v>
      </c>
      <c r="AF2081">
        <v>10</v>
      </c>
      <c r="AH2081" t="str">
        <f t="shared" si="101"/>
        <v>Sonvarsha</v>
      </c>
      <c r="AJ2081" s="72">
        <v>0</v>
      </c>
      <c r="AK2081" s="72"/>
      <c r="AL2081" s="72"/>
      <c r="AM2081" s="72"/>
    </row>
    <row r="2082" spans="1:39" x14ac:dyDescent="0.25">
      <c r="A2082" s="37" t="s">
        <v>62</v>
      </c>
      <c r="B2082" s="66" t="s">
        <v>1629</v>
      </c>
      <c r="C2082" s="41">
        <v>1006</v>
      </c>
      <c r="D2082" s="41" t="s">
        <v>183</v>
      </c>
      <c r="E2082" s="41">
        <v>10060107</v>
      </c>
      <c r="F2082" s="85" t="s">
        <v>661</v>
      </c>
      <c r="G2082" s="39" t="s">
        <v>635</v>
      </c>
      <c r="H2082" s="52" t="s">
        <v>99</v>
      </c>
      <c r="I2082" s="52">
        <v>738</v>
      </c>
      <c r="J2082" s="49">
        <v>29199.25</v>
      </c>
      <c r="K2082" s="58">
        <v>0</v>
      </c>
      <c r="L2082" s="58">
        <v>0</v>
      </c>
      <c r="M2082" s="58">
        <v>0</v>
      </c>
      <c r="N2082" s="58">
        <v>0</v>
      </c>
      <c r="O2082" s="58">
        <v>0</v>
      </c>
      <c r="P2082" s="53">
        <v>0</v>
      </c>
      <c r="Q2082" s="65">
        <v>29199.25</v>
      </c>
      <c r="R2082" s="65">
        <v>0</v>
      </c>
      <c r="S2082" s="65">
        <v>0</v>
      </c>
      <c r="T2082" s="65">
        <v>0</v>
      </c>
      <c r="U2082" s="58">
        <v>0</v>
      </c>
      <c r="V2082" s="65">
        <v>0</v>
      </c>
      <c r="W2082" s="65">
        <v>0</v>
      </c>
      <c r="X2082" s="65">
        <v>0</v>
      </c>
      <c r="Y2082" s="65">
        <v>0</v>
      </c>
      <c r="Z2082" s="51">
        <v>29199.25</v>
      </c>
      <c r="AA2082" s="51">
        <v>0</v>
      </c>
      <c r="AB2082" s="102">
        <v>0</v>
      </c>
      <c r="AC2082" s="81">
        <f t="shared" si="99"/>
        <v>0</v>
      </c>
      <c r="AD2082" s="82">
        <f t="shared" si="100"/>
        <v>0</v>
      </c>
      <c r="AE2082" s="218">
        <v>0</v>
      </c>
      <c r="AF2082">
        <v>0</v>
      </c>
      <c r="AH2082" t="str">
        <f t="shared" si="101"/>
        <v>Sonvarsha</v>
      </c>
      <c r="AJ2082" s="72">
        <v>0</v>
      </c>
      <c r="AK2082" s="72"/>
      <c r="AL2082" s="72"/>
      <c r="AM2082" s="72"/>
    </row>
    <row r="2083" spans="1:39" x14ac:dyDescent="0.25">
      <c r="A2083" s="37" t="s">
        <v>62</v>
      </c>
      <c r="B2083" s="66" t="s">
        <v>1629</v>
      </c>
      <c r="C2083" s="41">
        <v>1006</v>
      </c>
      <c r="D2083" s="41" t="s">
        <v>183</v>
      </c>
      <c r="E2083" s="41">
        <v>10060109</v>
      </c>
      <c r="F2083" s="85" t="s">
        <v>1124</v>
      </c>
      <c r="G2083" s="39" t="s">
        <v>93</v>
      </c>
      <c r="H2083" s="52" t="s">
        <v>94</v>
      </c>
      <c r="I2083" s="52">
        <v>9.4</v>
      </c>
      <c r="J2083" s="49">
        <v>329.97</v>
      </c>
      <c r="K2083" s="58">
        <v>9.4</v>
      </c>
      <c r="L2083" s="58">
        <v>346.20073527600005</v>
      </c>
      <c r="M2083" s="58">
        <v>0</v>
      </c>
      <c r="N2083" s="58">
        <v>0</v>
      </c>
      <c r="O2083" s="58">
        <v>9.4</v>
      </c>
      <c r="P2083" s="53">
        <v>346.20073527600005</v>
      </c>
      <c r="Q2083" s="65">
        <v>329.97</v>
      </c>
      <c r="R2083" s="65">
        <v>0</v>
      </c>
      <c r="S2083" s="65">
        <v>0</v>
      </c>
      <c r="T2083" s="65">
        <v>16.230735276000019</v>
      </c>
      <c r="U2083" s="58">
        <v>0</v>
      </c>
      <c r="V2083" s="65">
        <v>0</v>
      </c>
      <c r="W2083" s="65">
        <v>0</v>
      </c>
      <c r="X2083" s="65">
        <v>330</v>
      </c>
      <c r="Y2083" s="65">
        <v>0</v>
      </c>
      <c r="Z2083" s="51">
        <v>0</v>
      </c>
      <c r="AA2083" s="51">
        <v>0</v>
      </c>
      <c r="AB2083" s="102">
        <v>0</v>
      </c>
      <c r="AC2083" s="81">
        <f t="shared" si="99"/>
        <v>484.84528085106388</v>
      </c>
      <c r="AD2083" s="82">
        <f t="shared" si="100"/>
        <v>1.342857142857143</v>
      </c>
      <c r="AE2083" s="218">
        <v>-4.9188517974361357E-2</v>
      </c>
      <c r="AF2083">
        <v>1</v>
      </c>
      <c r="AH2083" t="str">
        <f t="shared" si="101"/>
        <v>Sonvarsha</v>
      </c>
      <c r="AJ2083" s="72">
        <v>0</v>
      </c>
      <c r="AK2083" s="72"/>
      <c r="AL2083" s="72"/>
      <c r="AM2083" s="72"/>
    </row>
    <row r="2084" spans="1:39" x14ac:dyDescent="0.25">
      <c r="A2084" s="37" t="s">
        <v>62</v>
      </c>
      <c r="B2084" s="66" t="s">
        <v>1629</v>
      </c>
      <c r="C2084" s="41">
        <v>1006</v>
      </c>
      <c r="D2084" s="41" t="s">
        <v>183</v>
      </c>
      <c r="E2084" s="41">
        <v>10060110</v>
      </c>
      <c r="F2084" s="85" t="s">
        <v>846</v>
      </c>
      <c r="G2084" s="39" t="s">
        <v>93</v>
      </c>
      <c r="H2084" s="52" t="s">
        <v>94</v>
      </c>
      <c r="I2084" s="52">
        <v>121.70000000000002</v>
      </c>
      <c r="J2084" s="49">
        <v>4661.7099999999991</v>
      </c>
      <c r="K2084" s="58">
        <v>83.2</v>
      </c>
      <c r="L2084" s="58">
        <v>3281.7177476676006</v>
      </c>
      <c r="M2084" s="58">
        <v>43.93</v>
      </c>
      <c r="N2084" s="58">
        <v>1628.3372121719999</v>
      </c>
      <c r="O2084" s="58">
        <v>127.13</v>
      </c>
      <c r="P2084" s="53">
        <v>4910.054959839601</v>
      </c>
      <c r="Q2084" s="65">
        <v>4661.7099999999991</v>
      </c>
      <c r="R2084" s="65">
        <v>0</v>
      </c>
      <c r="S2084" s="65">
        <v>22.308652080000002</v>
      </c>
      <c r="T2084" s="65">
        <v>248.34495983960187</v>
      </c>
      <c r="U2084" s="58">
        <v>0</v>
      </c>
      <c r="V2084" s="65">
        <v>0</v>
      </c>
      <c r="W2084" s="65">
        <v>0</v>
      </c>
      <c r="X2084" s="65">
        <v>3033</v>
      </c>
      <c r="Y2084" s="65">
        <v>1606</v>
      </c>
      <c r="Z2084" s="51">
        <v>0</v>
      </c>
      <c r="AA2084" s="51">
        <v>0</v>
      </c>
      <c r="AB2084" s="102">
        <v>0</v>
      </c>
      <c r="AC2084" s="81">
        <f t="shared" si="99"/>
        <v>443.03482218570235</v>
      </c>
      <c r="AD2084" s="82">
        <f t="shared" si="100"/>
        <v>17.38571428571429</v>
      </c>
      <c r="AE2084" s="218">
        <v>-5.3273361028378409E-2</v>
      </c>
      <c r="AF2084">
        <v>7</v>
      </c>
      <c r="AH2084" t="str">
        <f t="shared" si="101"/>
        <v>Sonvarsha</v>
      </c>
      <c r="AJ2084" s="72">
        <v>0</v>
      </c>
      <c r="AK2084" s="72"/>
      <c r="AL2084" s="72"/>
      <c r="AM2084" s="72"/>
    </row>
    <row r="2085" spans="1:39" x14ac:dyDescent="0.25">
      <c r="A2085" s="37" t="s">
        <v>62</v>
      </c>
      <c r="B2085" s="66" t="s">
        <v>1629</v>
      </c>
      <c r="C2085" s="41">
        <v>1006</v>
      </c>
      <c r="D2085" s="41" t="s">
        <v>183</v>
      </c>
      <c r="E2085" s="41">
        <v>10060111</v>
      </c>
      <c r="F2085" s="85" t="s">
        <v>847</v>
      </c>
      <c r="G2085" s="39" t="s">
        <v>93</v>
      </c>
      <c r="H2085" s="52" t="s">
        <v>94</v>
      </c>
      <c r="I2085" s="52">
        <v>707</v>
      </c>
      <c r="J2085" s="49">
        <v>29459.590000000004</v>
      </c>
      <c r="K2085" s="58">
        <v>775.23</v>
      </c>
      <c r="L2085" s="58">
        <v>44311.421861761439</v>
      </c>
      <c r="M2085" s="58">
        <v>0</v>
      </c>
      <c r="N2085" s="58">
        <v>0</v>
      </c>
      <c r="O2085" s="58">
        <v>775.23</v>
      </c>
      <c r="P2085" s="53">
        <v>44311.421861761439</v>
      </c>
      <c r="Q2085" s="65">
        <v>29459.590000000004</v>
      </c>
      <c r="R2085" s="65">
        <v>0</v>
      </c>
      <c r="S2085" s="65">
        <v>0</v>
      </c>
      <c r="T2085" s="65">
        <v>14851.831861761435</v>
      </c>
      <c r="U2085" s="58">
        <v>13000</v>
      </c>
      <c r="V2085" s="65">
        <v>0</v>
      </c>
      <c r="W2085" s="65">
        <v>0</v>
      </c>
      <c r="X2085" s="65">
        <v>16460</v>
      </c>
      <c r="Y2085" s="65">
        <v>0</v>
      </c>
      <c r="Z2085" s="51">
        <v>0</v>
      </c>
      <c r="AA2085" s="51">
        <v>0</v>
      </c>
      <c r="AB2085" s="102" t="s">
        <v>68</v>
      </c>
      <c r="AC2085" s="81">
        <f t="shared" si="99"/>
        <v>0</v>
      </c>
      <c r="AD2085" s="82">
        <f t="shared" si="100"/>
        <v>0</v>
      </c>
      <c r="AE2085" s="218">
        <v>-0.50414251731817827</v>
      </c>
      <c r="AF2085">
        <v>3</v>
      </c>
      <c r="AH2085" t="str">
        <f t="shared" si="101"/>
        <v>Sonvarsha</v>
      </c>
      <c r="AJ2085" s="72">
        <v>0</v>
      </c>
      <c r="AK2085" s="72"/>
      <c r="AL2085" s="72"/>
      <c r="AM2085" s="72"/>
    </row>
    <row r="2086" spans="1:39" x14ac:dyDescent="0.25">
      <c r="A2086" s="37" t="s">
        <v>62</v>
      </c>
      <c r="B2086" s="66" t="s">
        <v>1629</v>
      </c>
      <c r="C2086" s="41">
        <v>1006</v>
      </c>
      <c r="D2086" s="41" t="s">
        <v>183</v>
      </c>
      <c r="E2086" s="41">
        <v>10060113</v>
      </c>
      <c r="F2086" s="85" t="s">
        <v>848</v>
      </c>
      <c r="G2086" s="39" t="s">
        <v>635</v>
      </c>
      <c r="H2086" s="52" t="s">
        <v>99</v>
      </c>
      <c r="I2086" s="52">
        <v>606.9000000000002</v>
      </c>
      <c r="J2086" s="49">
        <v>23059.52</v>
      </c>
      <c r="K2086" s="58">
        <v>0</v>
      </c>
      <c r="L2086" s="58">
        <v>0</v>
      </c>
      <c r="M2086" s="58">
        <v>0</v>
      </c>
      <c r="N2086" s="58">
        <v>0</v>
      </c>
      <c r="O2086" s="58">
        <v>0</v>
      </c>
      <c r="P2086" s="53">
        <v>0</v>
      </c>
      <c r="Q2086" s="65">
        <v>23059.52</v>
      </c>
      <c r="R2086" s="65">
        <v>0</v>
      </c>
      <c r="S2086" s="65">
        <v>0</v>
      </c>
      <c r="T2086" s="65">
        <v>0</v>
      </c>
      <c r="U2086" s="58">
        <v>0</v>
      </c>
      <c r="V2086" s="65">
        <v>0</v>
      </c>
      <c r="W2086" s="65">
        <v>0</v>
      </c>
      <c r="X2086" s="65">
        <v>0</v>
      </c>
      <c r="Y2086" s="65">
        <v>0</v>
      </c>
      <c r="Z2086" s="51">
        <v>23059.52</v>
      </c>
      <c r="AA2086" s="51">
        <v>0</v>
      </c>
      <c r="AB2086" s="102">
        <v>0</v>
      </c>
      <c r="AC2086" s="81">
        <f t="shared" si="99"/>
        <v>70.747777623990586</v>
      </c>
      <c r="AD2086" s="82">
        <f t="shared" si="100"/>
        <v>86.700000000000031</v>
      </c>
      <c r="AE2086" s="218">
        <v>0</v>
      </c>
      <c r="AF2086">
        <v>0</v>
      </c>
      <c r="AH2086" t="str">
        <f t="shared" si="101"/>
        <v>Sonvarsha</v>
      </c>
      <c r="AJ2086" s="72">
        <v>0</v>
      </c>
      <c r="AK2086" s="72"/>
      <c r="AL2086" s="72"/>
      <c r="AM2086" s="72"/>
    </row>
    <row r="2087" spans="1:39" x14ac:dyDescent="0.25">
      <c r="A2087" s="37" t="s">
        <v>62</v>
      </c>
      <c r="B2087" s="66" t="s">
        <v>1629</v>
      </c>
      <c r="C2087" s="41">
        <v>1006</v>
      </c>
      <c r="D2087" s="41" t="s">
        <v>183</v>
      </c>
      <c r="E2087" s="41">
        <v>10060114</v>
      </c>
      <c r="F2087" s="85" t="s">
        <v>1129</v>
      </c>
      <c r="G2087" s="39" t="s">
        <v>93</v>
      </c>
      <c r="H2087" s="52" t="s">
        <v>94</v>
      </c>
      <c r="I2087" s="52">
        <v>481.7</v>
      </c>
      <c r="J2087" s="49">
        <v>18684.87</v>
      </c>
      <c r="K2087" s="58">
        <v>481.59999999999997</v>
      </c>
      <c r="L2087" s="58">
        <v>18680.408437679998</v>
      </c>
      <c r="M2087" s="58">
        <v>0</v>
      </c>
      <c r="N2087" s="58">
        <v>0</v>
      </c>
      <c r="O2087" s="58">
        <v>481.59999999999997</v>
      </c>
      <c r="P2087" s="53">
        <v>18680.408437679998</v>
      </c>
      <c r="Q2087" s="65">
        <v>18680.408437679998</v>
      </c>
      <c r="R2087" s="65">
        <v>0</v>
      </c>
      <c r="S2087" s="65">
        <v>0</v>
      </c>
      <c r="T2087" s="65">
        <v>0</v>
      </c>
      <c r="U2087" s="58">
        <v>0</v>
      </c>
      <c r="V2087" s="65">
        <v>94.232639999999989</v>
      </c>
      <c r="W2087" s="65">
        <v>0</v>
      </c>
      <c r="X2087" s="65">
        <v>18586</v>
      </c>
      <c r="Y2087" s="65">
        <v>0</v>
      </c>
      <c r="Z2087" s="51">
        <v>0</v>
      </c>
      <c r="AA2087" s="51">
        <v>5</v>
      </c>
      <c r="AB2087" s="102">
        <v>0</v>
      </c>
      <c r="AC2087" s="81">
        <f t="shared" si="99"/>
        <v>169.35466560099644</v>
      </c>
      <c r="AD2087" s="82">
        <f t="shared" si="100"/>
        <v>68.814285714285717</v>
      </c>
      <c r="AE2087" s="218">
        <v>2.3877941457450154E-4</v>
      </c>
      <c r="AF2087">
        <v>1</v>
      </c>
      <c r="AH2087" t="str">
        <f t="shared" si="101"/>
        <v>Sonvarsha</v>
      </c>
      <c r="AJ2087" s="72">
        <v>0</v>
      </c>
      <c r="AK2087" s="72"/>
      <c r="AL2087" s="72"/>
      <c r="AM2087" s="72"/>
    </row>
    <row r="2088" spans="1:39" x14ac:dyDescent="0.25">
      <c r="A2088" s="37" t="s">
        <v>62</v>
      </c>
      <c r="B2088" s="66" t="s">
        <v>1629</v>
      </c>
      <c r="C2088" s="41">
        <v>1006</v>
      </c>
      <c r="D2088" s="41" t="s">
        <v>183</v>
      </c>
      <c r="E2088" s="41">
        <v>10060116</v>
      </c>
      <c r="F2088" s="85" t="s">
        <v>1189</v>
      </c>
      <c r="G2088" s="39" t="s">
        <v>93</v>
      </c>
      <c r="H2088" s="52" t="s">
        <v>94</v>
      </c>
      <c r="I2088" s="52">
        <v>225.99999999999997</v>
      </c>
      <c r="J2088" s="49">
        <v>9354.4</v>
      </c>
      <c r="K2088" s="58">
        <v>229.4</v>
      </c>
      <c r="L2088" s="58">
        <v>9412.98341841</v>
      </c>
      <c r="M2088" s="58">
        <v>2.3000000000000003</v>
      </c>
      <c r="N2088" s="58">
        <v>91.333309320000012</v>
      </c>
      <c r="O2088" s="58">
        <v>231.70000000000002</v>
      </c>
      <c r="P2088" s="53">
        <v>9504.3167277299999</v>
      </c>
      <c r="Q2088" s="65">
        <v>9354.4</v>
      </c>
      <c r="R2088" s="65">
        <v>0</v>
      </c>
      <c r="S2088" s="65">
        <v>91.333309320000012</v>
      </c>
      <c r="T2088" s="65">
        <v>149.91672773000028</v>
      </c>
      <c r="U2088" s="58">
        <v>0</v>
      </c>
      <c r="V2088" s="65">
        <v>26.19083999999998</v>
      </c>
      <c r="W2088" s="65">
        <v>0</v>
      </c>
      <c r="X2088" s="65">
        <v>9237</v>
      </c>
      <c r="Y2088" s="65">
        <v>0</v>
      </c>
      <c r="Z2088" s="51">
        <v>0</v>
      </c>
      <c r="AA2088" s="51">
        <v>0</v>
      </c>
      <c r="AB2088" s="102">
        <v>0</v>
      </c>
      <c r="AC2088" s="81">
        <f t="shared" si="99"/>
        <v>392.38810619469035</v>
      </c>
      <c r="AD2088" s="82">
        <f t="shared" si="100"/>
        <v>32.285714285714285</v>
      </c>
      <c r="AE2088" s="218">
        <v>-1.6026332819849512E-2</v>
      </c>
      <c r="AF2088">
        <v>2</v>
      </c>
      <c r="AH2088" t="str">
        <f t="shared" si="101"/>
        <v>Sonvarsha</v>
      </c>
      <c r="AJ2088" s="72">
        <v>0</v>
      </c>
      <c r="AK2088" s="72"/>
      <c r="AL2088" s="72"/>
      <c r="AM2088" s="72"/>
    </row>
    <row r="2089" spans="1:39" x14ac:dyDescent="0.25">
      <c r="A2089" s="37" t="s">
        <v>62</v>
      </c>
      <c r="B2089" s="66" t="s">
        <v>1629</v>
      </c>
      <c r="C2089" s="41">
        <v>1006</v>
      </c>
      <c r="D2089" s="41" t="s">
        <v>183</v>
      </c>
      <c r="E2089" s="41">
        <v>10060118</v>
      </c>
      <c r="F2089" s="85" t="s">
        <v>1195</v>
      </c>
      <c r="G2089" s="39" t="s">
        <v>93</v>
      </c>
      <c r="H2089" s="52" t="s">
        <v>94</v>
      </c>
      <c r="I2089" s="52">
        <v>260.10000000000002</v>
      </c>
      <c r="J2089" s="49">
        <v>11098.269999999999</v>
      </c>
      <c r="K2089" s="58">
        <v>18.3</v>
      </c>
      <c r="L2089" s="58">
        <v>1032.8055520563</v>
      </c>
      <c r="M2089" s="58">
        <v>320.64</v>
      </c>
      <c r="N2089" s="58">
        <v>13593.113898124608</v>
      </c>
      <c r="O2089" s="58">
        <v>338.94</v>
      </c>
      <c r="P2089" s="53">
        <v>14625.919450180907</v>
      </c>
      <c r="Q2089" s="65">
        <v>11098.269999999999</v>
      </c>
      <c r="R2089" s="65">
        <v>0</v>
      </c>
      <c r="S2089" s="65">
        <v>0</v>
      </c>
      <c r="T2089" s="65">
        <v>3527.6494501809084</v>
      </c>
      <c r="U2089" s="58">
        <v>0</v>
      </c>
      <c r="V2089" s="65">
        <v>288.38</v>
      </c>
      <c r="W2089" s="65">
        <v>0</v>
      </c>
      <c r="X2089" s="65">
        <v>0</v>
      </c>
      <c r="Y2089" s="65">
        <v>10810</v>
      </c>
      <c r="Z2089" s="51">
        <v>0</v>
      </c>
      <c r="AA2089" s="51">
        <v>0</v>
      </c>
      <c r="AB2089" s="102" t="s">
        <v>68</v>
      </c>
      <c r="AC2089" s="81">
        <f t="shared" si="99"/>
        <v>375.4039963860053</v>
      </c>
      <c r="AD2089" s="82">
        <f t="shared" si="100"/>
        <v>37.157142857142858</v>
      </c>
      <c r="AE2089" s="218">
        <v>-0.31785579646025092</v>
      </c>
      <c r="AF2089">
        <v>6</v>
      </c>
      <c r="AH2089" t="str">
        <f t="shared" si="101"/>
        <v>Sonvarsha</v>
      </c>
      <c r="AJ2089" s="72">
        <v>0</v>
      </c>
      <c r="AK2089" s="72"/>
      <c r="AL2089" s="72"/>
      <c r="AM2089" s="72"/>
    </row>
    <row r="2090" spans="1:39" x14ac:dyDescent="0.25">
      <c r="A2090" s="37" t="s">
        <v>62</v>
      </c>
      <c r="B2090" s="66" t="s">
        <v>1629</v>
      </c>
      <c r="C2090" s="41">
        <v>1006</v>
      </c>
      <c r="D2090" s="41" t="s">
        <v>183</v>
      </c>
      <c r="E2090" s="41">
        <v>10060120</v>
      </c>
      <c r="F2090" s="85" t="s">
        <v>1421</v>
      </c>
      <c r="G2090" s="39" t="s">
        <v>635</v>
      </c>
      <c r="H2090" s="52" t="s">
        <v>99</v>
      </c>
      <c r="I2090" s="52">
        <v>150.1</v>
      </c>
      <c r="J2090" s="49">
        <v>6535.32</v>
      </c>
      <c r="K2090" s="58">
        <v>0</v>
      </c>
      <c r="L2090" s="58">
        <v>0</v>
      </c>
      <c r="M2090" s="58">
        <v>0</v>
      </c>
      <c r="N2090" s="58">
        <v>0</v>
      </c>
      <c r="O2090" s="58">
        <v>0</v>
      </c>
      <c r="P2090" s="53">
        <v>0</v>
      </c>
      <c r="Q2090" s="65">
        <v>6535.32</v>
      </c>
      <c r="R2090" s="65">
        <v>0</v>
      </c>
      <c r="S2090" s="65">
        <v>0</v>
      </c>
      <c r="T2090" s="65">
        <v>0</v>
      </c>
      <c r="U2090" s="58">
        <v>0</v>
      </c>
      <c r="V2090" s="65">
        <v>91.079245161290373</v>
      </c>
      <c r="W2090" s="65">
        <v>0</v>
      </c>
      <c r="X2090" s="65">
        <v>0</v>
      </c>
      <c r="Y2090" s="65">
        <v>0</v>
      </c>
      <c r="Z2090" s="51">
        <v>6444.2407548387091</v>
      </c>
      <c r="AA2090" s="51">
        <v>0</v>
      </c>
      <c r="AB2090" s="102">
        <v>0</v>
      </c>
      <c r="AC2090" s="81">
        <f t="shared" si="99"/>
        <v>478.85042878081276</v>
      </c>
      <c r="AD2090" s="82">
        <f t="shared" si="100"/>
        <v>21.442857142857143</v>
      </c>
      <c r="AE2090" s="218">
        <v>0</v>
      </c>
      <c r="AF2090">
        <v>0</v>
      </c>
      <c r="AH2090" t="str">
        <f t="shared" si="101"/>
        <v>Sonvarsha</v>
      </c>
      <c r="AJ2090" s="72">
        <v>0</v>
      </c>
      <c r="AK2090" s="72"/>
      <c r="AL2090" s="72"/>
      <c r="AM2090" s="72"/>
    </row>
    <row r="2091" spans="1:39" x14ac:dyDescent="0.25">
      <c r="A2091" s="37" t="s">
        <v>62</v>
      </c>
      <c r="B2091" s="66" t="s">
        <v>1629</v>
      </c>
      <c r="C2091" s="41">
        <v>1006</v>
      </c>
      <c r="D2091" s="41" t="s">
        <v>183</v>
      </c>
      <c r="E2091" s="41">
        <v>10060122</v>
      </c>
      <c r="F2091" s="85" t="s">
        <v>1216</v>
      </c>
      <c r="G2091" s="39" t="s">
        <v>635</v>
      </c>
      <c r="H2091" s="52" t="s">
        <v>99</v>
      </c>
      <c r="I2091" s="52">
        <v>226.50000000000003</v>
      </c>
      <c r="J2091" s="49">
        <v>8223.85</v>
      </c>
      <c r="K2091" s="58">
        <v>0</v>
      </c>
      <c r="L2091" s="58">
        <v>0</v>
      </c>
      <c r="M2091" s="58">
        <v>0</v>
      </c>
      <c r="N2091" s="58">
        <v>0</v>
      </c>
      <c r="O2091" s="58">
        <v>0</v>
      </c>
      <c r="P2091" s="53">
        <v>0</v>
      </c>
      <c r="Q2091" s="65">
        <v>8223.85</v>
      </c>
      <c r="R2091" s="65">
        <v>0</v>
      </c>
      <c r="S2091" s="65">
        <v>0</v>
      </c>
      <c r="T2091" s="65">
        <v>0</v>
      </c>
      <c r="U2091" s="58">
        <v>0</v>
      </c>
      <c r="V2091" s="65">
        <v>0</v>
      </c>
      <c r="W2091" s="65">
        <v>0</v>
      </c>
      <c r="X2091" s="65">
        <v>0</v>
      </c>
      <c r="Y2091" s="65">
        <v>0</v>
      </c>
      <c r="Z2091" s="51">
        <v>8223.85</v>
      </c>
      <c r="AA2091" s="51">
        <v>0</v>
      </c>
      <c r="AB2091" s="102">
        <v>0</v>
      </c>
      <c r="AC2091" s="81">
        <f t="shared" si="99"/>
        <v>343.84043929359819</v>
      </c>
      <c r="AD2091" s="82">
        <f t="shared" si="100"/>
        <v>32.357142857142861</v>
      </c>
      <c r="AE2091" s="218">
        <v>0</v>
      </c>
      <c r="AF2091">
        <v>0</v>
      </c>
      <c r="AH2091" t="str">
        <f t="shared" si="101"/>
        <v>Sonvarsha</v>
      </c>
      <c r="AJ2091" s="72">
        <v>0</v>
      </c>
      <c r="AK2091" s="72"/>
      <c r="AL2091" s="72"/>
      <c r="AM2091" s="72"/>
    </row>
    <row r="2092" spans="1:39" x14ac:dyDescent="0.25">
      <c r="A2092" s="37" t="s">
        <v>62</v>
      </c>
      <c r="B2092" s="66" t="s">
        <v>1629</v>
      </c>
      <c r="C2092" s="41">
        <v>1059</v>
      </c>
      <c r="D2092" s="41" t="s">
        <v>1347</v>
      </c>
      <c r="E2092" s="41">
        <v>10060124</v>
      </c>
      <c r="F2092" s="85" t="s">
        <v>1264</v>
      </c>
      <c r="G2092" s="39" t="s">
        <v>93</v>
      </c>
      <c r="H2092" s="52" t="s">
        <v>94</v>
      </c>
      <c r="I2092" s="52">
        <v>2.2999999999999998</v>
      </c>
      <c r="J2092" s="49">
        <v>97.15</v>
      </c>
      <c r="K2092" s="58">
        <v>2.33</v>
      </c>
      <c r="L2092" s="58">
        <v>111.02171553816002</v>
      </c>
      <c r="M2092" s="58">
        <v>0</v>
      </c>
      <c r="N2092" s="58">
        <v>0</v>
      </c>
      <c r="O2092" s="58">
        <v>2.33</v>
      </c>
      <c r="P2092" s="53">
        <v>111.02171553816002</v>
      </c>
      <c r="Q2092" s="65">
        <v>97.15</v>
      </c>
      <c r="R2092" s="65">
        <v>0</v>
      </c>
      <c r="S2092" s="65">
        <v>0</v>
      </c>
      <c r="T2092" s="65">
        <v>13.871715538160018</v>
      </c>
      <c r="U2092" s="58">
        <v>0</v>
      </c>
      <c r="V2092" s="65">
        <v>0</v>
      </c>
      <c r="W2092" s="65">
        <v>0</v>
      </c>
      <c r="X2092" s="65">
        <v>97</v>
      </c>
      <c r="Y2092" s="65">
        <v>0</v>
      </c>
      <c r="Z2092" s="51">
        <v>0</v>
      </c>
      <c r="AA2092" s="51">
        <v>0</v>
      </c>
      <c r="AB2092" s="102">
        <v>0</v>
      </c>
      <c r="AC2092" s="81">
        <f t="shared" si="99"/>
        <v>589.40482608695663</v>
      </c>
      <c r="AD2092" s="82">
        <f t="shared" si="100"/>
        <v>0.32857142857142857</v>
      </c>
      <c r="AE2092" s="218">
        <v>-0.14278657270365433</v>
      </c>
      <c r="AF2092">
        <v>1</v>
      </c>
      <c r="AH2092" t="str">
        <f t="shared" si="101"/>
        <v>Gopalpur Bmc</v>
      </c>
      <c r="AJ2092" s="72">
        <v>0</v>
      </c>
      <c r="AK2092" s="72"/>
      <c r="AL2092" s="72"/>
      <c r="AM2092" s="72"/>
    </row>
    <row r="2093" spans="1:39" x14ac:dyDescent="0.25">
      <c r="A2093" s="37" t="s">
        <v>62</v>
      </c>
      <c r="B2093" s="66" t="s">
        <v>1629</v>
      </c>
      <c r="C2093" s="41">
        <v>1006</v>
      </c>
      <c r="D2093" s="41" t="s">
        <v>183</v>
      </c>
      <c r="E2093" s="41">
        <v>10060125</v>
      </c>
      <c r="F2093" s="85" t="s">
        <v>1310</v>
      </c>
      <c r="G2093" s="39" t="s">
        <v>635</v>
      </c>
      <c r="H2093" s="52" t="s">
        <v>99</v>
      </c>
      <c r="I2093" s="52">
        <v>157.6</v>
      </c>
      <c r="J2093" s="49">
        <v>6893.25</v>
      </c>
      <c r="K2093" s="58">
        <v>0</v>
      </c>
      <c r="L2093" s="58">
        <v>0</v>
      </c>
      <c r="M2093" s="58">
        <v>0</v>
      </c>
      <c r="N2093" s="58">
        <v>0</v>
      </c>
      <c r="O2093" s="58">
        <v>0</v>
      </c>
      <c r="P2093" s="53">
        <v>0</v>
      </c>
      <c r="Q2093" s="65">
        <v>6893.25</v>
      </c>
      <c r="R2093" s="65">
        <v>0</v>
      </c>
      <c r="S2093" s="65">
        <v>0</v>
      </c>
      <c r="T2093" s="65">
        <v>0</v>
      </c>
      <c r="U2093" s="58">
        <v>0</v>
      </c>
      <c r="V2093" s="65">
        <v>0</v>
      </c>
      <c r="W2093" s="65">
        <v>0</v>
      </c>
      <c r="X2093" s="65">
        <v>0</v>
      </c>
      <c r="Y2093" s="65">
        <v>0</v>
      </c>
      <c r="Z2093" s="51">
        <v>6893.25</v>
      </c>
      <c r="AA2093" s="51">
        <v>0</v>
      </c>
      <c r="AB2093" s="102">
        <v>0</v>
      </c>
      <c r="AC2093" s="81">
        <f t="shared" si="99"/>
        <v>474.47954314720823</v>
      </c>
      <c r="AD2093" s="82">
        <f t="shared" si="100"/>
        <v>22.514285714285712</v>
      </c>
      <c r="AE2093" s="218">
        <v>0</v>
      </c>
      <c r="AF2093">
        <v>0</v>
      </c>
      <c r="AH2093" t="str">
        <f t="shared" si="101"/>
        <v>Sonvarsha</v>
      </c>
      <c r="AJ2093" s="72">
        <v>0</v>
      </c>
      <c r="AK2093" s="72"/>
      <c r="AL2093" s="72"/>
      <c r="AM2093" s="72"/>
    </row>
    <row r="2094" spans="1:39" x14ac:dyDescent="0.25">
      <c r="A2094" s="37" t="s">
        <v>62</v>
      </c>
      <c r="B2094" s="66" t="s">
        <v>1629</v>
      </c>
      <c r="C2094" s="41">
        <v>1006</v>
      </c>
      <c r="D2094" s="41" t="s">
        <v>183</v>
      </c>
      <c r="E2094" s="41">
        <v>10060126</v>
      </c>
      <c r="F2094" s="85" t="s">
        <v>1311</v>
      </c>
      <c r="G2094" s="39" t="s">
        <v>93</v>
      </c>
      <c r="H2094" s="52" t="s">
        <v>94</v>
      </c>
      <c r="I2094" s="52">
        <v>958.20000000000016</v>
      </c>
      <c r="J2094" s="49">
        <v>31779.310000000005</v>
      </c>
      <c r="K2094" s="58">
        <v>989.59999999999991</v>
      </c>
      <c r="L2094" s="58">
        <v>33463.551850541997</v>
      </c>
      <c r="M2094" s="58">
        <v>0</v>
      </c>
      <c r="N2094" s="58">
        <v>0</v>
      </c>
      <c r="O2094" s="58">
        <v>989.59999999999991</v>
      </c>
      <c r="P2094" s="53">
        <v>33463.551850541997</v>
      </c>
      <c r="Q2094" s="65">
        <v>31779.310000000005</v>
      </c>
      <c r="R2094" s="65">
        <v>0</v>
      </c>
      <c r="S2094" s="65">
        <v>0</v>
      </c>
      <c r="T2094" s="65">
        <v>1684.2418505419919</v>
      </c>
      <c r="U2094" s="58">
        <v>0</v>
      </c>
      <c r="V2094" s="65">
        <v>108.94721999999997</v>
      </c>
      <c r="W2094" s="65">
        <v>0</v>
      </c>
      <c r="X2094" s="65">
        <v>31670</v>
      </c>
      <c r="Y2094" s="65">
        <v>0</v>
      </c>
      <c r="Z2094" s="51">
        <v>0</v>
      </c>
      <c r="AA2094" s="51">
        <v>0</v>
      </c>
      <c r="AB2094" s="102">
        <v>0</v>
      </c>
      <c r="AC2094" s="81">
        <f t="shared" si="99"/>
        <v>0</v>
      </c>
      <c r="AD2094" s="82">
        <f t="shared" si="100"/>
        <v>0</v>
      </c>
      <c r="AE2094" s="218">
        <v>-5.2998062278318554E-2</v>
      </c>
      <c r="AF2094">
        <v>1</v>
      </c>
      <c r="AH2094" t="str">
        <f t="shared" si="101"/>
        <v>Sonvarsha</v>
      </c>
      <c r="AJ2094" s="72">
        <v>0</v>
      </c>
      <c r="AK2094" s="72"/>
      <c r="AL2094" s="72"/>
      <c r="AM2094" s="72"/>
    </row>
    <row r="2095" spans="1:39" x14ac:dyDescent="0.25">
      <c r="A2095" s="37" t="s">
        <v>62</v>
      </c>
      <c r="B2095" s="66" t="s">
        <v>1629</v>
      </c>
      <c r="C2095" s="41">
        <v>1006</v>
      </c>
      <c r="D2095" s="41" t="s">
        <v>183</v>
      </c>
      <c r="E2095" s="41">
        <v>10060129</v>
      </c>
      <c r="F2095" s="85" t="s">
        <v>1400</v>
      </c>
      <c r="G2095" s="39" t="s">
        <v>93</v>
      </c>
      <c r="H2095" s="52" t="s">
        <v>94</v>
      </c>
      <c r="I2095" s="52">
        <v>220.1</v>
      </c>
      <c r="J2095" s="49">
        <v>8688.57</v>
      </c>
      <c r="K2095" s="58">
        <v>216.69999999999996</v>
      </c>
      <c r="L2095" s="58">
        <v>8469.8723656800012</v>
      </c>
      <c r="M2095" s="58">
        <v>3.9000000000000004</v>
      </c>
      <c r="N2095" s="58">
        <v>152.02865700000001</v>
      </c>
      <c r="O2095" s="58">
        <v>220.59999999999997</v>
      </c>
      <c r="P2095" s="53">
        <v>8621.9010226800019</v>
      </c>
      <c r="Q2095" s="65">
        <v>8621.9010226800019</v>
      </c>
      <c r="R2095" s="65">
        <v>0</v>
      </c>
      <c r="S2095" s="65">
        <v>152.02865700000001</v>
      </c>
      <c r="T2095" s="65">
        <v>0</v>
      </c>
      <c r="U2095" s="58">
        <v>0</v>
      </c>
      <c r="V2095" s="65">
        <v>0</v>
      </c>
      <c r="W2095" s="65">
        <v>0</v>
      </c>
      <c r="X2095" s="65">
        <v>8470</v>
      </c>
      <c r="Y2095" s="65">
        <v>0</v>
      </c>
      <c r="Z2095" s="51">
        <v>0</v>
      </c>
      <c r="AA2095" s="51">
        <v>67</v>
      </c>
      <c r="AB2095" s="102">
        <v>0</v>
      </c>
      <c r="AC2095" s="81">
        <f t="shared" si="99"/>
        <v>378.88639191276695</v>
      </c>
      <c r="AD2095" s="82">
        <f t="shared" si="100"/>
        <v>31.442857142857143</v>
      </c>
      <c r="AE2095" s="218">
        <v>7.6731818147287526E-3</v>
      </c>
      <c r="AF2095">
        <v>2</v>
      </c>
      <c r="AH2095" t="str">
        <f t="shared" si="101"/>
        <v>Sonvarsha</v>
      </c>
      <c r="AJ2095" s="72">
        <v>0</v>
      </c>
      <c r="AK2095" s="72"/>
      <c r="AL2095" s="72"/>
      <c r="AM2095" s="72"/>
    </row>
    <row r="2096" spans="1:39" x14ac:dyDescent="0.25">
      <c r="A2096" s="37" t="s">
        <v>62</v>
      </c>
      <c r="B2096" s="66" t="s">
        <v>1629</v>
      </c>
      <c r="C2096" s="41">
        <v>1006</v>
      </c>
      <c r="D2096" s="41" t="s">
        <v>183</v>
      </c>
      <c r="E2096" s="41">
        <v>10060130</v>
      </c>
      <c r="F2096" s="85" t="s">
        <v>1383</v>
      </c>
      <c r="G2096" s="39" t="s">
        <v>93</v>
      </c>
      <c r="H2096" s="52" t="s">
        <v>94</v>
      </c>
      <c r="I2096" s="52">
        <v>767.50000000000011</v>
      </c>
      <c r="J2096" s="49">
        <v>30041.459999999995</v>
      </c>
      <c r="K2096" s="58">
        <v>536.46999999999991</v>
      </c>
      <c r="L2096" s="58">
        <v>20183.643586309896</v>
      </c>
      <c r="M2096" s="58">
        <v>245.32000000000005</v>
      </c>
      <c r="N2096" s="58">
        <v>10395.225058874899</v>
      </c>
      <c r="O2096" s="58">
        <v>781.79</v>
      </c>
      <c r="P2096" s="53">
        <v>30578.868645184797</v>
      </c>
      <c r="Q2096" s="65">
        <v>30041.459999999995</v>
      </c>
      <c r="R2096" s="65">
        <v>0</v>
      </c>
      <c r="S2096" s="65">
        <v>0</v>
      </c>
      <c r="T2096" s="65">
        <v>537.40864518480157</v>
      </c>
      <c r="U2096" s="58">
        <v>0</v>
      </c>
      <c r="V2096" s="65">
        <v>0</v>
      </c>
      <c r="W2096" s="65">
        <v>0</v>
      </c>
      <c r="X2096" s="65">
        <v>19646</v>
      </c>
      <c r="Y2096" s="65">
        <v>10395</v>
      </c>
      <c r="Z2096" s="51">
        <v>0</v>
      </c>
      <c r="AA2096" s="51">
        <v>0</v>
      </c>
      <c r="AB2096" s="102">
        <v>0</v>
      </c>
      <c r="AC2096" s="81">
        <f t="shared" si="99"/>
        <v>0</v>
      </c>
      <c r="AD2096" s="82">
        <f t="shared" si="100"/>
        <v>0</v>
      </c>
      <c r="AE2096" s="218">
        <v>-1.7888899047676165E-2</v>
      </c>
      <c r="AF2096">
        <v>15</v>
      </c>
      <c r="AH2096" t="str">
        <f t="shared" si="101"/>
        <v>Sonvarsha</v>
      </c>
      <c r="AJ2096" s="72">
        <v>0</v>
      </c>
      <c r="AK2096" s="72"/>
      <c r="AL2096" s="72"/>
      <c r="AM2096" s="72"/>
    </row>
    <row r="2097" spans="1:39" x14ac:dyDescent="0.25">
      <c r="A2097" s="37" t="s">
        <v>62</v>
      </c>
      <c r="B2097" s="66" t="s">
        <v>1629</v>
      </c>
      <c r="C2097" s="41">
        <v>1006</v>
      </c>
      <c r="D2097" s="41" t="s">
        <v>183</v>
      </c>
      <c r="E2097" s="41">
        <v>10060132</v>
      </c>
      <c r="F2097" s="85" t="s">
        <v>1533</v>
      </c>
      <c r="G2097" s="39" t="s">
        <v>635</v>
      </c>
      <c r="H2097" s="52" t="s">
        <v>99</v>
      </c>
      <c r="I2097" s="52">
        <v>50.5</v>
      </c>
      <c r="J2097" s="49">
        <v>1991.12</v>
      </c>
      <c r="K2097" s="58">
        <v>0</v>
      </c>
      <c r="L2097" s="58">
        <v>0</v>
      </c>
      <c r="M2097" s="58">
        <v>0</v>
      </c>
      <c r="N2097" s="58">
        <v>0</v>
      </c>
      <c r="O2097" s="58">
        <v>0</v>
      </c>
      <c r="P2097" s="53">
        <v>0</v>
      </c>
      <c r="Q2097" s="65">
        <v>1991.12</v>
      </c>
      <c r="R2097" s="65">
        <v>0</v>
      </c>
      <c r="S2097" s="65">
        <v>0</v>
      </c>
      <c r="T2097" s="65">
        <v>0</v>
      </c>
      <c r="U2097" s="58">
        <v>0</v>
      </c>
      <c r="V2097" s="65">
        <v>0</v>
      </c>
      <c r="W2097" s="65">
        <v>0</v>
      </c>
      <c r="X2097" s="65">
        <v>0</v>
      </c>
      <c r="Y2097" s="65">
        <v>0</v>
      </c>
      <c r="Z2097" s="51">
        <v>1991.12</v>
      </c>
      <c r="AA2097" s="51">
        <v>0</v>
      </c>
      <c r="AB2097" s="102">
        <v>0</v>
      </c>
      <c r="AC2097" s="81">
        <f t="shared" si="99"/>
        <v>512.17126336633658</v>
      </c>
      <c r="AD2097" s="82">
        <f t="shared" si="100"/>
        <v>7.2142857142857144</v>
      </c>
      <c r="AE2097" s="218">
        <v>0</v>
      </c>
      <c r="AF2097">
        <v>0</v>
      </c>
      <c r="AH2097" t="str">
        <f t="shared" si="101"/>
        <v>Sonvarsha</v>
      </c>
      <c r="AJ2097" s="72">
        <v>0</v>
      </c>
      <c r="AK2097" s="72"/>
      <c r="AL2097" s="72"/>
      <c r="AM2097" s="72"/>
    </row>
    <row r="2098" spans="1:39" x14ac:dyDescent="0.25">
      <c r="A2098" s="37" t="s">
        <v>62</v>
      </c>
      <c r="B2098" s="66" t="s">
        <v>1629</v>
      </c>
      <c r="C2098" s="41">
        <v>1006</v>
      </c>
      <c r="D2098" s="41" t="s">
        <v>183</v>
      </c>
      <c r="E2098" s="41">
        <v>10060133</v>
      </c>
      <c r="F2098" s="85" t="s">
        <v>1544</v>
      </c>
      <c r="G2098" s="39" t="s">
        <v>635</v>
      </c>
      <c r="H2098" s="52" t="s">
        <v>99</v>
      </c>
      <c r="I2098" s="52">
        <v>358.1</v>
      </c>
      <c r="J2098" s="49">
        <v>11398.65</v>
      </c>
      <c r="K2098" s="58">
        <v>0</v>
      </c>
      <c r="L2098" s="58">
        <v>0</v>
      </c>
      <c r="M2098" s="58">
        <v>0</v>
      </c>
      <c r="N2098" s="58">
        <v>0</v>
      </c>
      <c r="O2098" s="58">
        <v>0</v>
      </c>
      <c r="P2098" s="53">
        <v>0</v>
      </c>
      <c r="Q2098" s="65">
        <v>11398.65</v>
      </c>
      <c r="R2098" s="65">
        <v>0</v>
      </c>
      <c r="S2098" s="65">
        <v>0</v>
      </c>
      <c r="T2098" s="65">
        <v>0</v>
      </c>
      <c r="U2098" s="58">
        <v>0</v>
      </c>
      <c r="V2098" s="65">
        <v>0</v>
      </c>
      <c r="W2098" s="65">
        <v>0</v>
      </c>
      <c r="X2098" s="65">
        <v>0</v>
      </c>
      <c r="Y2098" s="65">
        <v>0</v>
      </c>
      <c r="Z2098" s="51">
        <v>11398.65</v>
      </c>
      <c r="AA2098" s="51">
        <v>0</v>
      </c>
      <c r="AB2098" s="102">
        <v>0</v>
      </c>
      <c r="AC2098" s="81">
        <f t="shared" si="99"/>
        <v>217.65978413850877</v>
      </c>
      <c r="AD2098" s="82">
        <f t="shared" si="100"/>
        <v>51.157142857142858</v>
      </c>
      <c r="AE2098" s="218">
        <v>0</v>
      </c>
      <c r="AF2098">
        <v>0</v>
      </c>
      <c r="AH2098" t="str">
        <f t="shared" si="101"/>
        <v>Sonvarsha</v>
      </c>
      <c r="AJ2098" s="72">
        <v>0</v>
      </c>
      <c r="AK2098" s="72"/>
      <c r="AL2098" s="72"/>
      <c r="AM2098" s="72"/>
    </row>
    <row r="2099" spans="1:39" x14ac:dyDescent="0.25">
      <c r="A2099" s="37" t="s">
        <v>62</v>
      </c>
      <c r="B2099" s="66" t="s">
        <v>1629</v>
      </c>
      <c r="C2099" s="41">
        <v>1007</v>
      </c>
      <c r="D2099" s="41" t="s">
        <v>207</v>
      </c>
      <c r="E2099" s="41">
        <v>10070002</v>
      </c>
      <c r="F2099" s="85" t="s">
        <v>208</v>
      </c>
      <c r="G2099" s="39" t="s">
        <v>635</v>
      </c>
      <c r="H2099" s="52" t="s">
        <v>99</v>
      </c>
      <c r="I2099" s="52">
        <v>4826.7</v>
      </c>
      <c r="J2099" s="49">
        <v>177084.03</v>
      </c>
      <c r="K2099" s="58">
        <v>0</v>
      </c>
      <c r="L2099" s="58">
        <v>0</v>
      </c>
      <c r="M2099" s="58">
        <v>0</v>
      </c>
      <c r="N2099" s="58">
        <v>0</v>
      </c>
      <c r="O2099" s="58">
        <v>0</v>
      </c>
      <c r="P2099" s="53">
        <v>0</v>
      </c>
      <c r="Q2099" s="65">
        <v>177084.03</v>
      </c>
      <c r="R2099" s="65">
        <v>0</v>
      </c>
      <c r="S2099" s="65">
        <v>0</v>
      </c>
      <c r="T2099" s="65">
        <v>0</v>
      </c>
      <c r="U2099" s="58">
        <v>0</v>
      </c>
      <c r="V2099" s="65">
        <v>0</v>
      </c>
      <c r="W2099" s="65">
        <v>0</v>
      </c>
      <c r="X2099" s="65">
        <v>0</v>
      </c>
      <c r="Y2099" s="65">
        <v>0</v>
      </c>
      <c r="Z2099" s="51">
        <v>177084.03</v>
      </c>
      <c r="AA2099" s="51">
        <v>0</v>
      </c>
      <c r="AB2099" s="102">
        <v>0</v>
      </c>
      <c r="AC2099" s="81">
        <f t="shared" si="99"/>
        <v>0</v>
      </c>
      <c r="AD2099" s="82">
        <f t="shared" si="100"/>
        <v>0</v>
      </c>
      <c r="AE2099" s="218">
        <v>0</v>
      </c>
      <c r="AF2099">
        <v>0</v>
      </c>
      <c r="AH2099" t="str">
        <f t="shared" si="101"/>
        <v>Araria</v>
      </c>
      <c r="AJ2099" s="72">
        <v>0</v>
      </c>
      <c r="AK2099" s="72"/>
      <c r="AL2099" s="72"/>
      <c r="AM2099" s="72"/>
    </row>
    <row r="2100" spans="1:39" x14ac:dyDescent="0.25">
      <c r="A2100" s="37" t="s">
        <v>62</v>
      </c>
      <c r="B2100" s="66" t="s">
        <v>1629</v>
      </c>
      <c r="C2100" s="41">
        <v>1007</v>
      </c>
      <c r="D2100" s="41" t="s">
        <v>207</v>
      </c>
      <c r="E2100" s="41">
        <v>10070003</v>
      </c>
      <c r="F2100" s="85" t="s">
        <v>209</v>
      </c>
      <c r="G2100" s="39" t="s">
        <v>635</v>
      </c>
      <c r="H2100" s="52" t="s">
        <v>99</v>
      </c>
      <c r="I2100" s="52">
        <v>1177.4000000000001</v>
      </c>
      <c r="J2100" s="49">
        <v>39899.08</v>
      </c>
      <c r="K2100" s="58">
        <v>0</v>
      </c>
      <c r="L2100" s="58">
        <v>0</v>
      </c>
      <c r="M2100" s="58">
        <v>0</v>
      </c>
      <c r="N2100" s="58">
        <v>0</v>
      </c>
      <c r="O2100" s="58">
        <v>0</v>
      </c>
      <c r="P2100" s="53">
        <v>0</v>
      </c>
      <c r="Q2100" s="65">
        <v>39899.08</v>
      </c>
      <c r="R2100" s="65">
        <v>0</v>
      </c>
      <c r="S2100" s="65">
        <v>0</v>
      </c>
      <c r="T2100" s="65">
        <v>0</v>
      </c>
      <c r="U2100" s="58">
        <v>0</v>
      </c>
      <c r="V2100" s="65">
        <v>0</v>
      </c>
      <c r="W2100" s="65">
        <v>0</v>
      </c>
      <c r="X2100" s="65">
        <v>0</v>
      </c>
      <c r="Y2100" s="65">
        <v>0</v>
      </c>
      <c r="Z2100" s="51">
        <v>39899.08</v>
      </c>
      <c r="AA2100" s="51">
        <v>0</v>
      </c>
      <c r="AB2100" s="102">
        <v>0</v>
      </c>
      <c r="AC2100" s="81">
        <f t="shared" si="99"/>
        <v>0</v>
      </c>
      <c r="AD2100" s="82">
        <f t="shared" si="100"/>
        <v>0</v>
      </c>
      <c r="AE2100" s="218">
        <v>0</v>
      </c>
      <c r="AF2100">
        <v>0</v>
      </c>
      <c r="AH2100" t="str">
        <f t="shared" si="101"/>
        <v>Araria</v>
      </c>
      <c r="AJ2100" s="72">
        <v>0</v>
      </c>
      <c r="AK2100" s="72"/>
      <c r="AL2100" s="72"/>
      <c r="AM2100" s="72"/>
    </row>
    <row r="2101" spans="1:39" x14ac:dyDescent="0.25">
      <c r="A2101" s="37" t="s">
        <v>62</v>
      </c>
      <c r="B2101" s="66" t="s">
        <v>1629</v>
      </c>
      <c r="C2101" s="41">
        <v>1056</v>
      </c>
      <c r="D2101" s="41" t="s">
        <v>838</v>
      </c>
      <c r="E2101" s="41">
        <v>10070004</v>
      </c>
      <c r="F2101" s="85" t="s">
        <v>210</v>
      </c>
      <c r="G2101" s="39" t="s">
        <v>635</v>
      </c>
      <c r="H2101" s="52" t="s">
        <v>99</v>
      </c>
      <c r="I2101" s="52">
        <v>595.79999999999995</v>
      </c>
      <c r="J2101" s="49">
        <v>19753</v>
      </c>
      <c r="K2101" s="58">
        <v>0</v>
      </c>
      <c r="L2101" s="58">
        <v>0</v>
      </c>
      <c r="M2101" s="58">
        <v>0</v>
      </c>
      <c r="N2101" s="58">
        <v>0</v>
      </c>
      <c r="O2101" s="58">
        <v>0</v>
      </c>
      <c r="P2101" s="53">
        <v>0</v>
      </c>
      <c r="Q2101" s="65">
        <v>19753</v>
      </c>
      <c r="R2101" s="65">
        <v>0</v>
      </c>
      <c r="S2101" s="65">
        <v>0</v>
      </c>
      <c r="T2101" s="65">
        <v>0</v>
      </c>
      <c r="U2101" s="58">
        <v>0</v>
      </c>
      <c r="V2101" s="65">
        <v>86.066268387096713</v>
      </c>
      <c r="W2101" s="65">
        <v>0</v>
      </c>
      <c r="X2101" s="65">
        <v>0</v>
      </c>
      <c r="Y2101" s="65">
        <v>0</v>
      </c>
      <c r="Z2101" s="51">
        <v>19666.933731612902</v>
      </c>
      <c r="AA2101" s="51">
        <v>0</v>
      </c>
      <c r="AB2101" s="102">
        <v>0</v>
      </c>
      <c r="AC2101" s="81">
        <f t="shared" si="99"/>
        <v>69.092400134273262</v>
      </c>
      <c r="AD2101" s="82">
        <f t="shared" si="100"/>
        <v>85.114285714285714</v>
      </c>
      <c r="AE2101" s="218">
        <v>0</v>
      </c>
      <c r="AF2101">
        <v>0</v>
      </c>
      <c r="AH2101" t="str">
        <f t="shared" si="101"/>
        <v>Chautham</v>
      </c>
      <c r="AJ2101" s="72">
        <v>0</v>
      </c>
      <c r="AK2101" s="72"/>
      <c r="AL2101" s="72"/>
      <c r="AM2101" s="72"/>
    </row>
    <row r="2102" spans="1:39" x14ac:dyDescent="0.25">
      <c r="A2102" s="37" t="s">
        <v>62</v>
      </c>
      <c r="B2102" s="66" t="s">
        <v>1629</v>
      </c>
      <c r="C2102" s="41">
        <v>1056</v>
      </c>
      <c r="D2102" s="41" t="s">
        <v>838</v>
      </c>
      <c r="E2102" s="41">
        <v>10070008</v>
      </c>
      <c r="F2102" s="85" t="s">
        <v>211</v>
      </c>
      <c r="G2102" s="39" t="s">
        <v>635</v>
      </c>
      <c r="H2102" s="52" t="s">
        <v>99</v>
      </c>
      <c r="I2102" s="52">
        <v>761.06</v>
      </c>
      <c r="J2102" s="49">
        <v>26299.01</v>
      </c>
      <c r="K2102" s="58">
        <v>0</v>
      </c>
      <c r="L2102" s="58">
        <v>0</v>
      </c>
      <c r="M2102" s="58">
        <v>0</v>
      </c>
      <c r="N2102" s="58">
        <v>0</v>
      </c>
      <c r="O2102" s="58">
        <v>0</v>
      </c>
      <c r="P2102" s="53">
        <v>0</v>
      </c>
      <c r="Q2102" s="65">
        <v>26299.01</v>
      </c>
      <c r="R2102" s="65">
        <v>0</v>
      </c>
      <c r="S2102" s="65">
        <v>0</v>
      </c>
      <c r="T2102" s="65">
        <v>0</v>
      </c>
      <c r="U2102" s="58">
        <v>0</v>
      </c>
      <c r="V2102" s="65">
        <v>513.78247354838709</v>
      </c>
      <c r="W2102" s="65">
        <v>0</v>
      </c>
      <c r="X2102" s="65">
        <v>0</v>
      </c>
      <c r="Y2102" s="65">
        <v>0</v>
      </c>
      <c r="Z2102" s="51">
        <v>25785.22752645161</v>
      </c>
      <c r="AA2102" s="51">
        <v>0</v>
      </c>
      <c r="AB2102" s="102">
        <v>0</v>
      </c>
      <c r="AC2102" s="81">
        <f t="shared" si="99"/>
        <v>0</v>
      </c>
      <c r="AD2102" s="82">
        <f t="shared" si="100"/>
        <v>0</v>
      </c>
      <c r="AE2102" s="218">
        <v>0</v>
      </c>
      <c r="AF2102">
        <v>0</v>
      </c>
      <c r="AH2102" t="str">
        <f t="shared" si="101"/>
        <v>Chautham</v>
      </c>
      <c r="AJ2102" s="72">
        <v>0</v>
      </c>
      <c r="AK2102" s="72"/>
      <c r="AL2102" s="72"/>
      <c r="AM2102" s="72"/>
    </row>
    <row r="2103" spans="1:39" x14ac:dyDescent="0.25">
      <c r="A2103" s="37" t="s">
        <v>62</v>
      </c>
      <c r="B2103" s="66" t="s">
        <v>1629</v>
      </c>
      <c r="C2103" s="41">
        <v>1007</v>
      </c>
      <c r="D2103" s="41" t="s">
        <v>207</v>
      </c>
      <c r="E2103" s="41">
        <v>10070013</v>
      </c>
      <c r="F2103" s="85" t="s">
        <v>212</v>
      </c>
      <c r="G2103" s="39" t="s">
        <v>93</v>
      </c>
      <c r="H2103" s="52" t="s">
        <v>94</v>
      </c>
      <c r="I2103" s="52">
        <v>193.4</v>
      </c>
      <c r="J2103" s="49">
        <v>7192.75</v>
      </c>
      <c r="K2103" s="58">
        <v>336.15</v>
      </c>
      <c r="L2103" s="58">
        <v>12539.315967591599</v>
      </c>
      <c r="M2103" s="58">
        <v>25.81</v>
      </c>
      <c r="N2103" s="58">
        <v>920.56585357440008</v>
      </c>
      <c r="O2103" s="58">
        <v>361.96</v>
      </c>
      <c r="P2103" s="53">
        <v>13459.881821166</v>
      </c>
      <c r="Q2103" s="65">
        <v>7192.75</v>
      </c>
      <c r="R2103" s="65">
        <v>0</v>
      </c>
      <c r="S2103" s="65">
        <v>87.392311736400003</v>
      </c>
      <c r="T2103" s="65">
        <v>6267.131821166</v>
      </c>
      <c r="U2103" s="58">
        <v>0</v>
      </c>
      <c r="V2103" s="65">
        <v>46.031671698113186</v>
      </c>
      <c r="W2103" s="65">
        <v>0</v>
      </c>
      <c r="X2103" s="65">
        <v>6225</v>
      </c>
      <c r="Y2103" s="65">
        <v>834</v>
      </c>
      <c r="Z2103" s="51">
        <v>0</v>
      </c>
      <c r="AA2103" s="51">
        <v>0</v>
      </c>
      <c r="AB2103" s="102">
        <v>0</v>
      </c>
      <c r="AC2103" s="81">
        <f t="shared" si="99"/>
        <v>376.8197673216132</v>
      </c>
      <c r="AD2103" s="82">
        <f t="shared" si="100"/>
        <v>27.62857142857143</v>
      </c>
      <c r="AE2103" s="218">
        <v>-0.87131233828035171</v>
      </c>
      <c r="AF2103">
        <v>9</v>
      </c>
      <c r="AH2103" t="str">
        <f t="shared" si="101"/>
        <v>Araria</v>
      </c>
      <c r="AJ2103" s="72">
        <v>0</v>
      </c>
      <c r="AK2103" s="72"/>
      <c r="AL2103" s="72"/>
      <c r="AM2103" s="72"/>
    </row>
    <row r="2104" spans="1:39" x14ac:dyDescent="0.25">
      <c r="A2104" s="37" t="s">
        <v>62</v>
      </c>
      <c r="B2104" s="66" t="s">
        <v>1629</v>
      </c>
      <c r="C2104" s="41">
        <v>1007</v>
      </c>
      <c r="D2104" s="41" t="s">
        <v>207</v>
      </c>
      <c r="E2104" s="41">
        <v>10070016</v>
      </c>
      <c r="F2104" s="85" t="s">
        <v>213</v>
      </c>
      <c r="G2104" s="39" t="s">
        <v>93</v>
      </c>
      <c r="H2104" s="52" t="s">
        <v>94</v>
      </c>
      <c r="I2104" s="52">
        <v>304.60000000000002</v>
      </c>
      <c r="J2104" s="49">
        <v>11701.410000000002</v>
      </c>
      <c r="K2104" s="58">
        <v>305.42</v>
      </c>
      <c r="L2104" s="58">
        <v>11604.879971784003</v>
      </c>
      <c r="M2104" s="58">
        <v>1.5100000000000005</v>
      </c>
      <c r="N2104" s="58">
        <v>57.449380428000005</v>
      </c>
      <c r="O2104" s="58">
        <v>306.93</v>
      </c>
      <c r="P2104" s="53">
        <v>11662.329352212002</v>
      </c>
      <c r="Q2104" s="65">
        <v>11662.329352212002</v>
      </c>
      <c r="R2104" s="65">
        <v>0</v>
      </c>
      <c r="S2104" s="65">
        <v>57.449380428000005</v>
      </c>
      <c r="T2104" s="65">
        <v>0</v>
      </c>
      <c r="U2104" s="58">
        <v>0</v>
      </c>
      <c r="V2104" s="65">
        <v>0</v>
      </c>
      <c r="W2104" s="65">
        <v>0</v>
      </c>
      <c r="X2104" s="65">
        <v>11604</v>
      </c>
      <c r="Y2104" s="65">
        <v>0</v>
      </c>
      <c r="Z2104" s="51">
        <v>0</v>
      </c>
      <c r="AA2104" s="51">
        <v>40</v>
      </c>
      <c r="AB2104" s="102">
        <v>0</v>
      </c>
      <c r="AC2104" s="81">
        <f t="shared" si="99"/>
        <v>303.79103834537102</v>
      </c>
      <c r="AD2104" s="82">
        <f t="shared" si="100"/>
        <v>43.51428571428572</v>
      </c>
      <c r="AE2104" s="218">
        <v>3.339823815078663E-3</v>
      </c>
      <c r="AF2104">
        <v>4</v>
      </c>
      <c r="AH2104" t="str">
        <f t="shared" si="101"/>
        <v>Araria</v>
      </c>
      <c r="AJ2104" s="72">
        <v>0</v>
      </c>
      <c r="AK2104" s="72"/>
      <c r="AL2104" s="72"/>
      <c r="AM2104" s="72"/>
    </row>
    <row r="2105" spans="1:39" x14ac:dyDescent="0.25">
      <c r="A2105" s="37" t="s">
        <v>62</v>
      </c>
      <c r="B2105" s="66" t="s">
        <v>1629</v>
      </c>
      <c r="C2105" s="41">
        <v>1007</v>
      </c>
      <c r="D2105" s="41" t="s">
        <v>207</v>
      </c>
      <c r="E2105" s="41">
        <v>10070018</v>
      </c>
      <c r="F2105" s="85" t="s">
        <v>214</v>
      </c>
      <c r="G2105" s="39" t="s">
        <v>635</v>
      </c>
      <c r="H2105" s="52" t="s">
        <v>99</v>
      </c>
      <c r="I2105" s="52">
        <v>11796.599999999999</v>
      </c>
      <c r="J2105" s="49">
        <v>442104.32000000012</v>
      </c>
      <c r="K2105" s="58">
        <v>0</v>
      </c>
      <c r="L2105" s="58">
        <v>0</v>
      </c>
      <c r="M2105" s="58">
        <v>0</v>
      </c>
      <c r="N2105" s="58">
        <v>0</v>
      </c>
      <c r="O2105" s="58">
        <v>0</v>
      </c>
      <c r="P2105" s="53">
        <v>0</v>
      </c>
      <c r="Q2105" s="65">
        <v>442104.32000000012</v>
      </c>
      <c r="R2105" s="65">
        <v>0</v>
      </c>
      <c r="S2105" s="65">
        <v>0</v>
      </c>
      <c r="T2105" s="65">
        <v>0</v>
      </c>
      <c r="U2105" s="58">
        <v>0</v>
      </c>
      <c r="V2105" s="65">
        <v>0</v>
      </c>
      <c r="W2105" s="65">
        <v>0</v>
      </c>
      <c r="X2105" s="65">
        <v>0</v>
      </c>
      <c r="Y2105" s="65">
        <v>0</v>
      </c>
      <c r="Z2105" s="51">
        <v>442104.32000000012</v>
      </c>
      <c r="AA2105" s="51">
        <v>0</v>
      </c>
      <c r="AB2105" s="102">
        <v>0</v>
      </c>
      <c r="AC2105" s="81">
        <f t="shared" si="99"/>
        <v>0</v>
      </c>
      <c r="AD2105" s="82">
        <f t="shared" si="100"/>
        <v>0</v>
      </c>
      <c r="AE2105" s="218">
        <v>0</v>
      </c>
      <c r="AF2105">
        <v>0</v>
      </c>
      <c r="AH2105" t="str">
        <f t="shared" si="101"/>
        <v>Araria</v>
      </c>
      <c r="AJ2105" s="72">
        <v>0</v>
      </c>
      <c r="AK2105" s="72"/>
      <c r="AL2105" s="72"/>
      <c r="AM2105" s="72"/>
    </row>
    <row r="2106" spans="1:39" x14ac:dyDescent="0.25">
      <c r="A2106" s="37" t="s">
        <v>62</v>
      </c>
      <c r="B2106" s="66" t="s">
        <v>1629</v>
      </c>
      <c r="C2106" s="41">
        <v>1007</v>
      </c>
      <c r="D2106" s="41" t="s">
        <v>207</v>
      </c>
      <c r="E2106" s="41">
        <v>10070019</v>
      </c>
      <c r="F2106" s="85" t="s">
        <v>215</v>
      </c>
      <c r="G2106" s="39" t="s">
        <v>635</v>
      </c>
      <c r="H2106" s="52" t="s">
        <v>99</v>
      </c>
      <c r="I2106" s="52">
        <v>7773.0999999999985</v>
      </c>
      <c r="J2106" s="49">
        <v>289472.53000000003</v>
      </c>
      <c r="K2106" s="58">
        <v>0</v>
      </c>
      <c r="L2106" s="58">
        <v>0</v>
      </c>
      <c r="M2106" s="58">
        <v>0</v>
      </c>
      <c r="N2106" s="58">
        <v>0</v>
      </c>
      <c r="O2106" s="58">
        <v>0</v>
      </c>
      <c r="P2106" s="53">
        <v>0</v>
      </c>
      <c r="Q2106" s="65">
        <v>289472.53000000003</v>
      </c>
      <c r="R2106" s="65">
        <v>0</v>
      </c>
      <c r="S2106" s="65">
        <v>0</v>
      </c>
      <c r="T2106" s="65">
        <v>0</v>
      </c>
      <c r="U2106" s="58">
        <v>0</v>
      </c>
      <c r="V2106" s="65">
        <v>0</v>
      </c>
      <c r="W2106" s="65">
        <v>0</v>
      </c>
      <c r="X2106" s="65">
        <v>0</v>
      </c>
      <c r="Y2106" s="65">
        <v>0</v>
      </c>
      <c r="Z2106" s="51">
        <v>289472.53000000003</v>
      </c>
      <c r="AA2106" s="51">
        <v>0</v>
      </c>
      <c r="AB2106" s="102">
        <v>0</v>
      </c>
      <c r="AC2106" s="81">
        <f t="shared" si="99"/>
        <v>0</v>
      </c>
      <c r="AD2106" s="82">
        <f t="shared" si="100"/>
        <v>0</v>
      </c>
      <c r="AE2106" s="218">
        <v>0</v>
      </c>
      <c r="AF2106">
        <v>0</v>
      </c>
      <c r="AH2106" t="str">
        <f t="shared" si="101"/>
        <v>Araria</v>
      </c>
      <c r="AJ2106" s="72">
        <v>0</v>
      </c>
      <c r="AK2106" s="72"/>
      <c r="AL2106" s="72"/>
      <c r="AM2106" s="72"/>
    </row>
    <row r="2107" spans="1:39" x14ac:dyDescent="0.25">
      <c r="A2107" s="37" t="s">
        <v>62</v>
      </c>
      <c r="B2107" s="66" t="s">
        <v>1629</v>
      </c>
      <c r="C2107" s="41">
        <v>1007</v>
      </c>
      <c r="D2107" s="41" t="s">
        <v>207</v>
      </c>
      <c r="E2107" s="41">
        <v>10070020</v>
      </c>
      <c r="F2107" s="85" t="s">
        <v>216</v>
      </c>
      <c r="G2107" s="39" t="s">
        <v>635</v>
      </c>
      <c r="H2107" s="52" t="s">
        <v>99</v>
      </c>
      <c r="I2107" s="52">
        <v>5060.6000000000004</v>
      </c>
      <c r="J2107" s="49">
        <v>184967.44</v>
      </c>
      <c r="K2107" s="58">
        <v>0</v>
      </c>
      <c r="L2107" s="58">
        <v>0</v>
      </c>
      <c r="M2107" s="58">
        <v>0</v>
      </c>
      <c r="N2107" s="58">
        <v>0</v>
      </c>
      <c r="O2107" s="58">
        <v>0</v>
      </c>
      <c r="P2107" s="53">
        <v>0</v>
      </c>
      <c r="Q2107" s="65">
        <v>184967.44</v>
      </c>
      <c r="R2107" s="65">
        <v>0</v>
      </c>
      <c r="S2107" s="65">
        <v>0</v>
      </c>
      <c r="T2107" s="65">
        <v>0</v>
      </c>
      <c r="U2107" s="58">
        <v>0</v>
      </c>
      <c r="V2107" s="65">
        <v>0</v>
      </c>
      <c r="W2107" s="65">
        <v>0</v>
      </c>
      <c r="X2107" s="65">
        <v>0</v>
      </c>
      <c r="Y2107" s="65">
        <v>0</v>
      </c>
      <c r="Z2107" s="51">
        <v>184967.44</v>
      </c>
      <c r="AA2107" s="51">
        <v>0</v>
      </c>
      <c r="AB2107" s="102">
        <v>0</v>
      </c>
      <c r="AC2107" s="81">
        <f t="shared" si="99"/>
        <v>0</v>
      </c>
      <c r="AD2107" s="82">
        <f t="shared" si="100"/>
        <v>0</v>
      </c>
      <c r="AE2107" s="218">
        <v>0</v>
      </c>
      <c r="AF2107">
        <v>0</v>
      </c>
      <c r="AH2107" t="str">
        <f t="shared" si="101"/>
        <v>Araria</v>
      </c>
      <c r="AJ2107" s="72">
        <v>0</v>
      </c>
      <c r="AK2107" s="72"/>
      <c r="AL2107" s="72"/>
      <c r="AM2107" s="72"/>
    </row>
    <row r="2108" spans="1:39" x14ac:dyDescent="0.25">
      <c r="A2108" s="37" t="s">
        <v>62</v>
      </c>
      <c r="B2108" s="66" t="s">
        <v>1629</v>
      </c>
      <c r="C2108" s="41">
        <v>1007</v>
      </c>
      <c r="D2108" s="41" t="s">
        <v>207</v>
      </c>
      <c r="E2108" s="41">
        <v>10070024</v>
      </c>
      <c r="F2108" s="85" t="s">
        <v>217</v>
      </c>
      <c r="G2108" s="39" t="s">
        <v>635</v>
      </c>
      <c r="H2108" s="52" t="s">
        <v>99</v>
      </c>
      <c r="I2108" s="52">
        <v>826.7</v>
      </c>
      <c r="J2108" s="49">
        <v>30505.02</v>
      </c>
      <c r="K2108" s="58">
        <v>0</v>
      </c>
      <c r="L2108" s="58">
        <v>0</v>
      </c>
      <c r="M2108" s="58">
        <v>0</v>
      </c>
      <c r="N2108" s="58">
        <v>0</v>
      </c>
      <c r="O2108" s="58">
        <v>0</v>
      </c>
      <c r="P2108" s="53">
        <v>0</v>
      </c>
      <c r="Q2108" s="65">
        <v>30505.02</v>
      </c>
      <c r="R2108" s="65">
        <v>0</v>
      </c>
      <c r="S2108" s="65">
        <v>0</v>
      </c>
      <c r="T2108" s="65">
        <v>0</v>
      </c>
      <c r="U2108" s="58">
        <v>0</v>
      </c>
      <c r="V2108" s="65">
        <v>0</v>
      </c>
      <c r="W2108" s="65">
        <v>0</v>
      </c>
      <c r="X2108" s="65">
        <v>0</v>
      </c>
      <c r="Y2108" s="65">
        <v>0</v>
      </c>
      <c r="Z2108" s="51">
        <v>30505.02</v>
      </c>
      <c r="AA2108" s="51">
        <v>0</v>
      </c>
      <c r="AB2108" s="102">
        <v>0</v>
      </c>
      <c r="AC2108" s="81">
        <f t="shared" si="99"/>
        <v>0</v>
      </c>
      <c r="AD2108" s="82">
        <f t="shared" si="100"/>
        <v>0</v>
      </c>
      <c r="AE2108" s="218">
        <v>0</v>
      </c>
      <c r="AF2108">
        <v>0</v>
      </c>
      <c r="AH2108" t="str">
        <f t="shared" si="101"/>
        <v>Araria</v>
      </c>
      <c r="AJ2108" s="72">
        <v>0</v>
      </c>
      <c r="AK2108" s="72"/>
      <c r="AL2108" s="72"/>
      <c r="AM2108" s="72"/>
    </row>
    <row r="2109" spans="1:39" x14ac:dyDescent="0.25">
      <c r="A2109" s="37" t="s">
        <v>62</v>
      </c>
      <c r="B2109" s="66" t="s">
        <v>1629</v>
      </c>
      <c r="C2109" s="41">
        <v>1010</v>
      </c>
      <c r="D2109" s="41" t="s">
        <v>1359</v>
      </c>
      <c r="E2109" s="41">
        <v>10070033</v>
      </c>
      <c r="F2109" s="85" t="s">
        <v>219</v>
      </c>
      <c r="G2109" s="39" t="s">
        <v>93</v>
      </c>
      <c r="H2109" s="52" t="s">
        <v>94</v>
      </c>
      <c r="I2109" s="52">
        <v>475.90000000000003</v>
      </c>
      <c r="J2109" s="49">
        <v>22715.64</v>
      </c>
      <c r="K2109" s="58">
        <v>501.29999999999995</v>
      </c>
      <c r="L2109" s="58">
        <v>22750.048268151204</v>
      </c>
      <c r="M2109" s="58">
        <v>0</v>
      </c>
      <c r="N2109" s="58">
        <v>0</v>
      </c>
      <c r="O2109" s="58">
        <v>501.29999999999995</v>
      </c>
      <c r="P2109" s="53">
        <v>22750.048268151204</v>
      </c>
      <c r="Q2109" s="65">
        <v>22715.64</v>
      </c>
      <c r="R2109" s="65">
        <v>0</v>
      </c>
      <c r="S2109" s="65">
        <v>0</v>
      </c>
      <c r="T2109" s="65">
        <v>34.408268151204538</v>
      </c>
      <c r="U2109" s="58">
        <v>0</v>
      </c>
      <c r="V2109" s="65">
        <v>0</v>
      </c>
      <c r="W2109" s="65">
        <v>0</v>
      </c>
      <c r="X2109" s="65">
        <v>22716</v>
      </c>
      <c r="Y2109" s="65">
        <v>0</v>
      </c>
      <c r="Z2109" s="51">
        <v>0</v>
      </c>
      <c r="AA2109" s="51">
        <v>0</v>
      </c>
      <c r="AB2109" s="102">
        <v>0</v>
      </c>
      <c r="AC2109" s="81">
        <f t="shared" si="99"/>
        <v>213.93464694263494</v>
      </c>
      <c r="AD2109" s="82">
        <f t="shared" si="100"/>
        <v>67.985714285714295</v>
      </c>
      <c r="AE2109" s="218">
        <v>-1.5147391027153336E-3</v>
      </c>
      <c r="AF2109">
        <v>2</v>
      </c>
      <c r="AH2109" t="str">
        <f t="shared" si="101"/>
        <v>Parbatta</v>
      </c>
      <c r="AJ2109" s="72">
        <v>0</v>
      </c>
      <c r="AK2109" s="72"/>
      <c r="AL2109" s="72"/>
      <c r="AM2109" s="72"/>
    </row>
    <row r="2110" spans="1:39" x14ac:dyDescent="0.25">
      <c r="A2110" s="37" t="s">
        <v>62</v>
      </c>
      <c r="B2110" s="66" t="s">
        <v>1629</v>
      </c>
      <c r="C2110" s="41">
        <v>1056</v>
      </c>
      <c r="D2110" s="41" t="s">
        <v>838</v>
      </c>
      <c r="E2110" s="41">
        <v>10070039</v>
      </c>
      <c r="F2110" s="85" t="s">
        <v>1249</v>
      </c>
      <c r="G2110" s="39" t="s">
        <v>635</v>
      </c>
      <c r="H2110" s="52" t="s">
        <v>99</v>
      </c>
      <c r="I2110" s="52">
        <v>235.92</v>
      </c>
      <c r="J2110" s="49">
        <v>7560.9</v>
      </c>
      <c r="K2110" s="58">
        <v>0</v>
      </c>
      <c r="L2110" s="58">
        <v>0</v>
      </c>
      <c r="M2110" s="58">
        <v>0</v>
      </c>
      <c r="N2110" s="58">
        <v>0</v>
      </c>
      <c r="O2110" s="58">
        <v>0</v>
      </c>
      <c r="P2110" s="53">
        <v>0</v>
      </c>
      <c r="Q2110" s="65">
        <v>7560.9</v>
      </c>
      <c r="R2110" s="65">
        <v>0</v>
      </c>
      <c r="S2110" s="65">
        <v>0</v>
      </c>
      <c r="T2110" s="65">
        <v>0</v>
      </c>
      <c r="U2110" s="58">
        <v>0</v>
      </c>
      <c r="V2110" s="65">
        <v>0</v>
      </c>
      <c r="W2110" s="65">
        <v>0</v>
      </c>
      <c r="X2110" s="65">
        <v>0</v>
      </c>
      <c r="Y2110" s="65">
        <v>0</v>
      </c>
      <c r="Z2110" s="51">
        <v>7560.9</v>
      </c>
      <c r="AA2110" s="51">
        <v>0</v>
      </c>
      <c r="AB2110" s="102">
        <v>0</v>
      </c>
      <c r="AC2110" s="81">
        <f t="shared" si="99"/>
        <v>297.4620610376399</v>
      </c>
      <c r="AD2110" s="82">
        <f t="shared" si="100"/>
        <v>33.702857142857141</v>
      </c>
      <c r="AE2110" s="218">
        <v>0</v>
      </c>
      <c r="AF2110">
        <v>0</v>
      </c>
      <c r="AH2110" t="str">
        <f t="shared" si="101"/>
        <v>Chautham</v>
      </c>
      <c r="AJ2110" s="72">
        <v>0</v>
      </c>
      <c r="AK2110" s="72"/>
      <c r="AL2110" s="72"/>
      <c r="AM2110" s="72"/>
    </row>
    <row r="2111" spans="1:39" x14ac:dyDescent="0.25">
      <c r="A2111" s="37" t="s">
        <v>62</v>
      </c>
      <c r="B2111" s="66" t="s">
        <v>1629</v>
      </c>
      <c r="C2111" s="41">
        <v>1007</v>
      </c>
      <c r="D2111" s="41" t="s">
        <v>207</v>
      </c>
      <c r="E2111" s="41">
        <v>10070042</v>
      </c>
      <c r="F2111" s="85" t="s">
        <v>220</v>
      </c>
      <c r="G2111" s="39" t="s">
        <v>93</v>
      </c>
      <c r="H2111" s="52" t="s">
        <v>94</v>
      </c>
      <c r="I2111" s="52">
        <v>190.7</v>
      </c>
      <c r="J2111" s="49">
        <v>7469.8999999999978</v>
      </c>
      <c r="K2111" s="58">
        <v>190.7</v>
      </c>
      <c r="L2111" s="58">
        <v>9631.5346512839988</v>
      </c>
      <c r="M2111" s="58">
        <v>0</v>
      </c>
      <c r="N2111" s="58">
        <v>0</v>
      </c>
      <c r="O2111" s="58">
        <v>190.7</v>
      </c>
      <c r="P2111" s="53">
        <v>9631.5346512839988</v>
      </c>
      <c r="Q2111" s="65">
        <v>7469.8999999999978</v>
      </c>
      <c r="R2111" s="65">
        <v>0</v>
      </c>
      <c r="S2111" s="65">
        <v>0</v>
      </c>
      <c r="T2111" s="65">
        <v>2161.6346512840009</v>
      </c>
      <c r="U2111" s="58">
        <v>0</v>
      </c>
      <c r="V2111" s="65">
        <v>0</v>
      </c>
      <c r="W2111" s="65">
        <v>0</v>
      </c>
      <c r="X2111" s="65">
        <v>7470</v>
      </c>
      <c r="Y2111" s="65">
        <v>0</v>
      </c>
      <c r="Z2111" s="51">
        <v>0</v>
      </c>
      <c r="AA2111" s="51">
        <v>0</v>
      </c>
      <c r="AB2111" s="102">
        <v>0</v>
      </c>
      <c r="AC2111" s="81">
        <f t="shared" si="99"/>
        <v>398.99528788673297</v>
      </c>
      <c r="AD2111" s="82">
        <f t="shared" si="100"/>
        <v>27.24285714285714</v>
      </c>
      <c r="AE2111" s="218">
        <v>-0.28937932921243947</v>
      </c>
      <c r="AF2111">
        <v>1</v>
      </c>
      <c r="AH2111" t="str">
        <f t="shared" si="101"/>
        <v>Araria</v>
      </c>
      <c r="AJ2111" s="72">
        <v>0</v>
      </c>
      <c r="AK2111" s="72"/>
      <c r="AL2111" s="72"/>
      <c r="AM2111" s="72"/>
    </row>
    <row r="2112" spans="1:39" x14ac:dyDescent="0.25">
      <c r="A2112" s="37" t="s">
        <v>62</v>
      </c>
      <c r="B2112" s="66" t="s">
        <v>1629</v>
      </c>
      <c r="C2112" s="41">
        <v>1007</v>
      </c>
      <c r="D2112" s="43" t="s">
        <v>207</v>
      </c>
      <c r="E2112" s="41">
        <v>10070043</v>
      </c>
      <c r="F2112" s="85" t="s">
        <v>207</v>
      </c>
      <c r="G2112" s="39" t="s">
        <v>635</v>
      </c>
      <c r="H2112" s="52" t="s">
        <v>99</v>
      </c>
      <c r="I2112" s="52">
        <v>14342.199999999995</v>
      </c>
      <c r="J2112" s="49">
        <v>539600.12</v>
      </c>
      <c r="K2112" s="58">
        <v>0</v>
      </c>
      <c r="L2112" s="58">
        <v>0</v>
      </c>
      <c r="M2112" s="58">
        <v>0</v>
      </c>
      <c r="N2112" s="58">
        <v>0</v>
      </c>
      <c r="O2112" s="58">
        <v>0</v>
      </c>
      <c r="P2112" s="53">
        <v>0</v>
      </c>
      <c r="Q2112" s="65">
        <v>539600.12</v>
      </c>
      <c r="R2112" s="65">
        <v>0</v>
      </c>
      <c r="S2112" s="65">
        <v>0</v>
      </c>
      <c r="T2112" s="65">
        <v>0</v>
      </c>
      <c r="U2112" s="58">
        <v>0</v>
      </c>
      <c r="V2112" s="65">
        <v>0</v>
      </c>
      <c r="W2112" s="65">
        <v>0</v>
      </c>
      <c r="X2112" s="65">
        <v>0</v>
      </c>
      <c r="Y2112" s="65">
        <v>0</v>
      </c>
      <c r="Z2112" s="51">
        <v>539600.12</v>
      </c>
      <c r="AA2112" s="51">
        <v>0</v>
      </c>
      <c r="AB2112" s="102">
        <v>0</v>
      </c>
      <c r="AC2112" s="81">
        <f t="shared" si="99"/>
        <v>0</v>
      </c>
      <c r="AD2112" s="82">
        <f t="shared" si="100"/>
        <v>0</v>
      </c>
      <c r="AE2112" s="218">
        <v>0</v>
      </c>
      <c r="AF2112">
        <v>0</v>
      </c>
      <c r="AH2112" t="str">
        <f t="shared" si="101"/>
        <v>Araria</v>
      </c>
      <c r="AJ2112" s="72">
        <v>0</v>
      </c>
      <c r="AK2112" s="72"/>
      <c r="AL2112" s="72"/>
      <c r="AM2112" s="72"/>
    </row>
    <row r="2113" spans="1:39" x14ac:dyDescent="0.25">
      <c r="A2113" s="37" t="s">
        <v>62</v>
      </c>
      <c r="B2113" s="66" t="s">
        <v>1629</v>
      </c>
      <c r="C2113" s="41">
        <v>1007</v>
      </c>
      <c r="D2113" s="43" t="s">
        <v>207</v>
      </c>
      <c r="E2113" s="41">
        <v>10070045</v>
      </c>
      <c r="F2113" s="85" t="s">
        <v>213</v>
      </c>
      <c r="G2113" s="39" t="s">
        <v>93</v>
      </c>
      <c r="H2113" s="52" t="s">
        <v>94</v>
      </c>
      <c r="I2113" s="52">
        <v>142.80000000000001</v>
      </c>
      <c r="J2113" s="49">
        <v>5323.56</v>
      </c>
      <c r="K2113" s="58">
        <v>142.80000000000001</v>
      </c>
      <c r="L2113" s="58">
        <v>5655.038336640001</v>
      </c>
      <c r="M2113" s="58">
        <v>0</v>
      </c>
      <c r="N2113" s="58">
        <v>0</v>
      </c>
      <c r="O2113" s="58">
        <v>142.80000000000001</v>
      </c>
      <c r="P2113" s="53">
        <v>5655.038336640001</v>
      </c>
      <c r="Q2113" s="65">
        <v>5323.56</v>
      </c>
      <c r="R2113" s="65">
        <v>0</v>
      </c>
      <c r="S2113" s="65">
        <v>0</v>
      </c>
      <c r="T2113" s="65">
        <v>331.47833664000063</v>
      </c>
      <c r="U2113" s="58">
        <v>0</v>
      </c>
      <c r="V2113" s="65">
        <v>360.82623673469379</v>
      </c>
      <c r="W2113" s="65">
        <v>0</v>
      </c>
      <c r="X2113" s="65">
        <v>4963</v>
      </c>
      <c r="Y2113" s="65">
        <v>0</v>
      </c>
      <c r="Z2113" s="51">
        <v>0</v>
      </c>
      <c r="AA2113" s="51">
        <v>0</v>
      </c>
      <c r="AB2113" s="102">
        <v>0</v>
      </c>
      <c r="AC2113" s="81">
        <f t="shared" si="99"/>
        <v>415.44644705882348</v>
      </c>
      <c r="AD2113" s="82">
        <f t="shared" si="100"/>
        <v>20.400000000000002</v>
      </c>
      <c r="AE2113" s="218">
        <v>-6.2266291098438002E-2</v>
      </c>
      <c r="AF2113">
        <v>1</v>
      </c>
      <c r="AH2113" t="str">
        <f t="shared" si="101"/>
        <v>Araria</v>
      </c>
      <c r="AJ2113" s="72">
        <v>0</v>
      </c>
      <c r="AK2113" s="72"/>
      <c r="AL2113" s="72"/>
      <c r="AM2113" s="72"/>
    </row>
    <row r="2114" spans="1:39" x14ac:dyDescent="0.25">
      <c r="A2114" s="37" t="s">
        <v>62</v>
      </c>
      <c r="B2114" s="66" t="s">
        <v>1629</v>
      </c>
      <c r="C2114" s="41">
        <v>1056</v>
      </c>
      <c r="D2114" s="43" t="s">
        <v>838</v>
      </c>
      <c r="E2114" s="41">
        <v>10070046</v>
      </c>
      <c r="F2114" s="85" t="s">
        <v>503</v>
      </c>
      <c r="G2114" s="39" t="s">
        <v>93</v>
      </c>
      <c r="H2114" s="52" t="s">
        <v>94</v>
      </c>
      <c r="I2114" s="52">
        <v>2523.7599999999998</v>
      </c>
      <c r="J2114" s="49">
        <v>95376.510000000009</v>
      </c>
      <c r="K2114" s="58">
        <v>2529.1999999999998</v>
      </c>
      <c r="L2114" s="58">
        <v>98399.597687820002</v>
      </c>
      <c r="M2114" s="58">
        <v>6.8</v>
      </c>
      <c r="N2114" s="58">
        <v>234.70318080000001</v>
      </c>
      <c r="O2114" s="58">
        <v>2536</v>
      </c>
      <c r="P2114" s="53">
        <v>98634.300868620005</v>
      </c>
      <c r="Q2114" s="65">
        <v>95376.510000000009</v>
      </c>
      <c r="R2114" s="65">
        <v>0</v>
      </c>
      <c r="S2114" s="65">
        <v>234.70318080000001</v>
      </c>
      <c r="T2114" s="65">
        <v>3257.7908686199953</v>
      </c>
      <c r="U2114" s="58">
        <v>0</v>
      </c>
      <c r="V2114" s="65">
        <v>0</v>
      </c>
      <c r="W2114" s="65">
        <v>0</v>
      </c>
      <c r="X2114" s="65">
        <v>95142</v>
      </c>
      <c r="Y2114" s="65">
        <v>0</v>
      </c>
      <c r="Z2114" s="51">
        <v>0</v>
      </c>
      <c r="AA2114" s="51">
        <v>0</v>
      </c>
      <c r="AB2114" s="102">
        <v>0</v>
      </c>
      <c r="AC2114" s="81">
        <f t="shared" ref="AC2114:AC2177" si="102">((IF(AD2114=0,0,100-AD2114))*7*(J2114/I2114))*2%</f>
        <v>0</v>
      </c>
      <c r="AD2114" s="82">
        <f t="shared" ref="AD2114:AD2177" si="103">IF((I2114/7)&gt;100,0,(I2114/7))</f>
        <v>0</v>
      </c>
      <c r="AE2114" s="218">
        <v>-3.4157161638856307E-2</v>
      </c>
      <c r="AF2114">
        <v>7</v>
      </c>
      <c r="AH2114" t="str">
        <f t="shared" si="101"/>
        <v>Chautham</v>
      </c>
      <c r="AJ2114" s="72">
        <v>0</v>
      </c>
      <c r="AK2114" s="72"/>
      <c r="AL2114" s="72"/>
      <c r="AM2114" s="72"/>
    </row>
    <row r="2115" spans="1:39" x14ac:dyDescent="0.25">
      <c r="A2115" s="37" t="s">
        <v>62</v>
      </c>
      <c r="B2115" s="66" t="s">
        <v>1629</v>
      </c>
      <c r="C2115" s="41">
        <v>1007</v>
      </c>
      <c r="D2115" s="43" t="s">
        <v>207</v>
      </c>
      <c r="E2115" s="41">
        <v>10070048</v>
      </c>
      <c r="F2115" s="85" t="s">
        <v>525</v>
      </c>
      <c r="G2115" s="39" t="s">
        <v>93</v>
      </c>
      <c r="H2115" s="52" t="s">
        <v>94</v>
      </c>
      <c r="I2115" s="52">
        <v>1534.2</v>
      </c>
      <c r="J2115" s="49">
        <v>59509.41</v>
      </c>
      <c r="K2115" s="58">
        <v>2144.98</v>
      </c>
      <c r="L2115" s="58">
        <v>87350.174098249685</v>
      </c>
      <c r="M2115" s="58">
        <v>0</v>
      </c>
      <c r="N2115" s="58">
        <v>0</v>
      </c>
      <c r="O2115" s="58">
        <v>2144.98</v>
      </c>
      <c r="P2115" s="53">
        <v>87350.174098249685</v>
      </c>
      <c r="Q2115" s="65">
        <v>59509.41</v>
      </c>
      <c r="R2115" s="65">
        <v>0</v>
      </c>
      <c r="S2115" s="65">
        <v>0</v>
      </c>
      <c r="T2115" s="65">
        <v>27840.764098249681</v>
      </c>
      <c r="U2115" s="58">
        <v>0</v>
      </c>
      <c r="V2115" s="65">
        <v>0</v>
      </c>
      <c r="W2115" s="65">
        <v>0</v>
      </c>
      <c r="X2115" s="65">
        <v>59509</v>
      </c>
      <c r="Y2115" s="65">
        <v>0</v>
      </c>
      <c r="Z2115" s="51">
        <v>0</v>
      </c>
      <c r="AA2115" s="51">
        <v>0</v>
      </c>
      <c r="AB2115" s="102">
        <v>0</v>
      </c>
      <c r="AC2115" s="81">
        <f t="shared" si="102"/>
        <v>0</v>
      </c>
      <c r="AD2115" s="82">
        <f t="shared" si="103"/>
        <v>0</v>
      </c>
      <c r="AE2115" s="218">
        <v>-0.46783801247986967</v>
      </c>
      <c r="AF2115">
        <v>7</v>
      </c>
      <c r="AH2115" t="str">
        <f t="shared" si="101"/>
        <v>Araria</v>
      </c>
      <c r="AJ2115" s="72">
        <v>0</v>
      </c>
      <c r="AK2115" s="72"/>
      <c r="AL2115" s="72"/>
      <c r="AM2115" s="72"/>
    </row>
    <row r="2116" spans="1:39" x14ac:dyDescent="0.25">
      <c r="A2116" s="37" t="s">
        <v>62</v>
      </c>
      <c r="B2116" s="66" t="s">
        <v>1629</v>
      </c>
      <c r="C2116" s="41">
        <v>1056</v>
      </c>
      <c r="D2116" s="43" t="s">
        <v>838</v>
      </c>
      <c r="E2116" s="41">
        <v>10070053</v>
      </c>
      <c r="F2116" s="85" t="s">
        <v>1305</v>
      </c>
      <c r="G2116" s="39" t="s">
        <v>635</v>
      </c>
      <c r="H2116" s="52" t="s">
        <v>94</v>
      </c>
      <c r="I2116" s="52">
        <v>284.68</v>
      </c>
      <c r="J2116" s="49">
        <v>9722.84</v>
      </c>
      <c r="K2116" s="58">
        <v>490.70000000000005</v>
      </c>
      <c r="L2116" s="58">
        <v>19949.896672992003</v>
      </c>
      <c r="M2116" s="58">
        <v>0</v>
      </c>
      <c r="N2116" s="58">
        <v>0</v>
      </c>
      <c r="O2116" s="58">
        <v>490.70000000000005</v>
      </c>
      <c r="P2116" s="53">
        <v>19949.896672992003</v>
      </c>
      <c r="Q2116" s="65">
        <v>9722.84</v>
      </c>
      <c r="R2116" s="65">
        <v>0</v>
      </c>
      <c r="S2116" s="65">
        <v>0</v>
      </c>
      <c r="T2116" s="65">
        <v>10227.056672992003</v>
      </c>
      <c r="U2116" s="58">
        <v>0</v>
      </c>
      <c r="V2116" s="65">
        <v>0</v>
      </c>
      <c r="W2116" s="65">
        <v>0</v>
      </c>
      <c r="X2116" s="65">
        <v>9723</v>
      </c>
      <c r="Y2116" s="65">
        <v>0</v>
      </c>
      <c r="Z2116" s="51">
        <v>0</v>
      </c>
      <c r="AA2116" s="51">
        <v>0</v>
      </c>
      <c r="AB2116" s="102" t="s">
        <v>68</v>
      </c>
      <c r="AC2116" s="81">
        <f t="shared" si="102"/>
        <v>283.69326322888855</v>
      </c>
      <c r="AD2116" s="82">
        <f t="shared" si="103"/>
        <v>40.668571428571433</v>
      </c>
      <c r="AE2116" s="218">
        <v>-1.0518589910964289</v>
      </c>
      <c r="AF2116">
        <v>2</v>
      </c>
      <c r="AH2116" t="str">
        <f t="shared" si="101"/>
        <v>Chautham</v>
      </c>
      <c r="AJ2116" s="72">
        <v>0</v>
      </c>
      <c r="AK2116" s="72"/>
      <c r="AL2116" s="72"/>
      <c r="AM2116" s="72"/>
    </row>
    <row r="2117" spans="1:39" x14ac:dyDescent="0.25">
      <c r="A2117" s="37" t="s">
        <v>62</v>
      </c>
      <c r="B2117" s="66" t="s">
        <v>1629</v>
      </c>
      <c r="C2117" s="41">
        <v>1056</v>
      </c>
      <c r="D2117" s="43" t="s">
        <v>838</v>
      </c>
      <c r="E2117" s="41">
        <v>10070056</v>
      </c>
      <c r="F2117" s="85" t="s">
        <v>539</v>
      </c>
      <c r="G2117" s="39" t="s">
        <v>635</v>
      </c>
      <c r="H2117" s="52" t="s">
        <v>99</v>
      </c>
      <c r="I2117" s="52">
        <v>259.58</v>
      </c>
      <c r="J2117" s="49">
        <v>10859.96</v>
      </c>
      <c r="K2117" s="58">
        <v>0</v>
      </c>
      <c r="L2117" s="58">
        <v>0</v>
      </c>
      <c r="M2117" s="58">
        <v>0</v>
      </c>
      <c r="N2117" s="58">
        <v>0</v>
      </c>
      <c r="O2117" s="58">
        <v>0</v>
      </c>
      <c r="P2117" s="53">
        <v>0</v>
      </c>
      <c r="Q2117" s="65">
        <v>10859.96</v>
      </c>
      <c r="R2117" s="65">
        <v>0</v>
      </c>
      <c r="S2117" s="65">
        <v>0</v>
      </c>
      <c r="T2117" s="65">
        <v>0</v>
      </c>
      <c r="U2117" s="58">
        <v>0</v>
      </c>
      <c r="V2117" s="65">
        <v>45.60162193548382</v>
      </c>
      <c r="W2117" s="65">
        <v>0</v>
      </c>
      <c r="X2117" s="65">
        <v>0</v>
      </c>
      <c r="Y2117" s="65">
        <v>0</v>
      </c>
      <c r="Z2117" s="51">
        <v>10814.358378064515</v>
      </c>
      <c r="AA2117" s="51">
        <v>0</v>
      </c>
      <c r="AB2117" s="102">
        <v>0</v>
      </c>
      <c r="AC2117" s="81">
        <f t="shared" si="102"/>
        <v>368.51402906233147</v>
      </c>
      <c r="AD2117" s="82">
        <f t="shared" si="103"/>
        <v>37.082857142857144</v>
      </c>
      <c r="AE2117" s="218">
        <v>0</v>
      </c>
      <c r="AF2117">
        <v>0</v>
      </c>
      <c r="AH2117" t="str">
        <f t="shared" si="101"/>
        <v>Chautham</v>
      </c>
      <c r="AJ2117" s="72">
        <v>0</v>
      </c>
      <c r="AK2117" s="72"/>
      <c r="AL2117" s="72"/>
      <c r="AM2117" s="72"/>
    </row>
    <row r="2118" spans="1:39" x14ac:dyDescent="0.25">
      <c r="A2118" s="37" t="s">
        <v>62</v>
      </c>
      <c r="B2118" s="66" t="s">
        <v>1629</v>
      </c>
      <c r="C2118" s="41">
        <v>1056</v>
      </c>
      <c r="D2118" s="43" t="s">
        <v>838</v>
      </c>
      <c r="E2118" s="41">
        <v>10070058</v>
      </c>
      <c r="F2118" s="85" t="s">
        <v>1292</v>
      </c>
      <c r="G2118" s="39" t="s">
        <v>635</v>
      </c>
      <c r="H2118" s="52" t="s">
        <v>99</v>
      </c>
      <c r="I2118" s="52">
        <v>66.959999999999994</v>
      </c>
      <c r="J2118" s="49">
        <v>2210.1699999999996</v>
      </c>
      <c r="K2118" s="58">
        <v>0</v>
      </c>
      <c r="L2118" s="58">
        <v>0</v>
      </c>
      <c r="M2118" s="58">
        <v>0</v>
      </c>
      <c r="N2118" s="58">
        <v>0</v>
      </c>
      <c r="O2118" s="58">
        <v>0</v>
      </c>
      <c r="P2118" s="53">
        <v>0</v>
      </c>
      <c r="Q2118" s="65">
        <v>2210.1699999999996</v>
      </c>
      <c r="R2118" s="65">
        <v>0</v>
      </c>
      <c r="S2118" s="65">
        <v>0</v>
      </c>
      <c r="T2118" s="65">
        <v>0</v>
      </c>
      <c r="U2118" s="58">
        <v>0</v>
      </c>
      <c r="V2118" s="65">
        <v>0</v>
      </c>
      <c r="W2118" s="65">
        <v>0</v>
      </c>
      <c r="X2118" s="65">
        <v>0</v>
      </c>
      <c r="Y2118" s="65">
        <v>0</v>
      </c>
      <c r="Z2118" s="51">
        <v>2210.1699999999996</v>
      </c>
      <c r="AA2118" s="51">
        <v>0</v>
      </c>
      <c r="AB2118" s="102">
        <v>0</v>
      </c>
      <c r="AC2118" s="81">
        <f t="shared" si="102"/>
        <v>417.89904922341697</v>
      </c>
      <c r="AD2118" s="82">
        <f t="shared" si="103"/>
        <v>9.5657142857142841</v>
      </c>
      <c r="AE2118" s="218">
        <v>0</v>
      </c>
      <c r="AF2118">
        <v>0</v>
      </c>
      <c r="AH2118" t="str">
        <f t="shared" si="101"/>
        <v>Chautham</v>
      </c>
      <c r="AJ2118" s="72">
        <v>0</v>
      </c>
      <c r="AK2118" s="72"/>
      <c r="AL2118" s="72"/>
      <c r="AM2118" s="72"/>
    </row>
    <row r="2119" spans="1:39" x14ac:dyDescent="0.25">
      <c r="A2119" s="37" t="s">
        <v>62</v>
      </c>
      <c r="B2119" s="66" t="s">
        <v>1629</v>
      </c>
      <c r="C2119" s="41">
        <v>1056</v>
      </c>
      <c r="D2119" s="43" t="s">
        <v>838</v>
      </c>
      <c r="E2119" s="41">
        <v>10070059</v>
      </c>
      <c r="F2119" s="85" t="s">
        <v>568</v>
      </c>
      <c r="G2119" s="39" t="s">
        <v>635</v>
      </c>
      <c r="H2119" s="52" t="s">
        <v>99</v>
      </c>
      <c r="I2119" s="52">
        <v>1856.3799999999999</v>
      </c>
      <c r="J2119" s="49">
        <v>68950.559999999998</v>
      </c>
      <c r="K2119" s="58">
        <v>0</v>
      </c>
      <c r="L2119" s="58">
        <v>0</v>
      </c>
      <c r="M2119" s="58">
        <v>0</v>
      </c>
      <c r="N2119" s="58">
        <v>0</v>
      </c>
      <c r="O2119" s="58">
        <v>0</v>
      </c>
      <c r="P2119" s="53">
        <v>0</v>
      </c>
      <c r="Q2119" s="65">
        <v>68950.559999999998</v>
      </c>
      <c r="R2119" s="65">
        <v>0</v>
      </c>
      <c r="S2119" s="65">
        <v>0</v>
      </c>
      <c r="T2119" s="65">
        <v>0</v>
      </c>
      <c r="U2119" s="58">
        <v>0</v>
      </c>
      <c r="V2119" s="65">
        <v>0</v>
      </c>
      <c r="W2119" s="65">
        <v>0</v>
      </c>
      <c r="X2119" s="65">
        <v>0</v>
      </c>
      <c r="Y2119" s="65">
        <v>0</v>
      </c>
      <c r="Z2119" s="51">
        <v>68950.559999999998</v>
      </c>
      <c r="AA2119" s="51">
        <v>0</v>
      </c>
      <c r="AB2119" s="102">
        <v>0</v>
      </c>
      <c r="AC2119" s="81">
        <f t="shared" si="102"/>
        <v>0</v>
      </c>
      <c r="AD2119" s="82">
        <f t="shared" si="103"/>
        <v>0</v>
      </c>
      <c r="AE2119" s="218">
        <v>0</v>
      </c>
      <c r="AF2119">
        <v>0</v>
      </c>
      <c r="AH2119" t="str">
        <f t="shared" si="101"/>
        <v>Chautham</v>
      </c>
      <c r="AJ2119" s="72">
        <v>0</v>
      </c>
      <c r="AK2119" s="72"/>
      <c r="AL2119" s="72"/>
      <c r="AM2119" s="72"/>
    </row>
    <row r="2120" spans="1:39" x14ac:dyDescent="0.25">
      <c r="A2120" s="37" t="s">
        <v>62</v>
      </c>
      <c r="B2120" s="66" t="s">
        <v>1629</v>
      </c>
      <c r="C2120" s="41">
        <v>1056</v>
      </c>
      <c r="D2120" s="43" t="s">
        <v>838</v>
      </c>
      <c r="E2120" s="41">
        <v>10070060</v>
      </c>
      <c r="F2120" s="85" t="s">
        <v>1348</v>
      </c>
      <c r="G2120" s="39" t="s">
        <v>635</v>
      </c>
      <c r="H2120" s="52" t="s">
        <v>99</v>
      </c>
      <c r="I2120" s="52">
        <v>136.24</v>
      </c>
      <c r="J2120" s="49">
        <v>4742.37</v>
      </c>
      <c r="K2120" s="58">
        <v>0</v>
      </c>
      <c r="L2120" s="58">
        <v>0</v>
      </c>
      <c r="M2120" s="58">
        <v>0</v>
      </c>
      <c r="N2120" s="58">
        <v>0</v>
      </c>
      <c r="O2120" s="58">
        <v>0</v>
      </c>
      <c r="P2120" s="53">
        <v>0</v>
      </c>
      <c r="Q2120" s="65">
        <v>4742.37</v>
      </c>
      <c r="R2120" s="65">
        <v>0</v>
      </c>
      <c r="S2120" s="65">
        <v>0</v>
      </c>
      <c r="T2120" s="65">
        <v>0</v>
      </c>
      <c r="U2120" s="58">
        <v>0</v>
      </c>
      <c r="V2120" s="65">
        <v>0</v>
      </c>
      <c r="W2120" s="65">
        <v>0</v>
      </c>
      <c r="X2120" s="65">
        <v>0</v>
      </c>
      <c r="Y2120" s="65">
        <v>0</v>
      </c>
      <c r="Z2120" s="51">
        <v>4742.37</v>
      </c>
      <c r="AA2120" s="51">
        <v>0</v>
      </c>
      <c r="AB2120" s="102">
        <v>0</v>
      </c>
      <c r="AC2120" s="81">
        <f t="shared" si="102"/>
        <v>392.47776147974156</v>
      </c>
      <c r="AD2120" s="82">
        <f t="shared" si="103"/>
        <v>19.462857142857143</v>
      </c>
      <c r="AE2120" s="218">
        <v>0</v>
      </c>
      <c r="AF2120">
        <v>0</v>
      </c>
      <c r="AH2120" t="str">
        <f t="shared" si="101"/>
        <v>Chautham</v>
      </c>
      <c r="AJ2120" s="72">
        <v>0</v>
      </c>
      <c r="AK2120" s="72"/>
      <c r="AL2120" s="72"/>
      <c r="AM2120" s="72"/>
    </row>
    <row r="2121" spans="1:39" x14ac:dyDescent="0.25">
      <c r="A2121" s="37" t="s">
        <v>62</v>
      </c>
      <c r="B2121" s="66" t="s">
        <v>1629</v>
      </c>
      <c r="C2121" s="41">
        <v>1007</v>
      </c>
      <c r="D2121" s="41" t="s">
        <v>207</v>
      </c>
      <c r="E2121" s="41">
        <v>10070061</v>
      </c>
      <c r="F2121" s="85" t="s">
        <v>574</v>
      </c>
      <c r="G2121" s="39" t="s">
        <v>635</v>
      </c>
      <c r="H2121" s="52" t="s">
        <v>99</v>
      </c>
      <c r="I2121" s="52">
        <v>196.8</v>
      </c>
      <c r="J2121" s="49">
        <v>6588.43</v>
      </c>
      <c r="K2121" s="58">
        <v>0</v>
      </c>
      <c r="L2121" s="58">
        <v>0</v>
      </c>
      <c r="M2121" s="58">
        <v>0</v>
      </c>
      <c r="N2121" s="58">
        <v>0</v>
      </c>
      <c r="O2121" s="58">
        <v>0</v>
      </c>
      <c r="P2121" s="53">
        <v>0</v>
      </c>
      <c r="Q2121" s="65">
        <v>6588.43</v>
      </c>
      <c r="R2121" s="65">
        <v>0</v>
      </c>
      <c r="S2121" s="65">
        <v>0</v>
      </c>
      <c r="T2121" s="65">
        <v>0</v>
      </c>
      <c r="U2121" s="58">
        <v>6500</v>
      </c>
      <c r="V2121" s="65">
        <v>0</v>
      </c>
      <c r="W2121" s="65">
        <v>0</v>
      </c>
      <c r="X2121" s="65">
        <v>0</v>
      </c>
      <c r="Y2121" s="65">
        <v>0</v>
      </c>
      <c r="Z2121" s="51">
        <v>88.430000000000291</v>
      </c>
      <c r="AA2121" s="51">
        <v>0</v>
      </c>
      <c r="AB2121" s="102">
        <v>0</v>
      </c>
      <c r="AC2121" s="81">
        <f t="shared" si="102"/>
        <v>336.92052601626011</v>
      </c>
      <c r="AD2121" s="82">
        <f t="shared" si="103"/>
        <v>28.114285714285717</v>
      </c>
      <c r="AE2121" s="218">
        <v>0</v>
      </c>
      <c r="AF2121">
        <v>0</v>
      </c>
      <c r="AH2121" t="str">
        <f t="shared" si="101"/>
        <v>Araria</v>
      </c>
      <c r="AJ2121" s="72">
        <v>0</v>
      </c>
      <c r="AK2121" s="72"/>
      <c r="AL2121" s="72"/>
      <c r="AM2121" s="72"/>
    </row>
    <row r="2122" spans="1:39" x14ac:dyDescent="0.25">
      <c r="A2122" s="37" t="s">
        <v>62</v>
      </c>
      <c r="B2122" s="66" t="s">
        <v>1629</v>
      </c>
      <c r="C2122" s="41">
        <v>1007</v>
      </c>
      <c r="D2122" s="41" t="s">
        <v>207</v>
      </c>
      <c r="E2122" s="41">
        <v>10070063</v>
      </c>
      <c r="F2122" s="85" t="s">
        <v>641</v>
      </c>
      <c r="G2122" s="39" t="s">
        <v>93</v>
      </c>
      <c r="H2122" s="52" t="s">
        <v>94</v>
      </c>
      <c r="I2122" s="52">
        <v>257.40000000000003</v>
      </c>
      <c r="J2122" s="49">
        <v>10185.379999999999</v>
      </c>
      <c r="K2122" s="58">
        <v>341.4</v>
      </c>
      <c r="L2122" s="58">
        <v>14066.489254068001</v>
      </c>
      <c r="M2122" s="58">
        <v>0</v>
      </c>
      <c r="N2122" s="58">
        <v>0</v>
      </c>
      <c r="O2122" s="58">
        <v>341.4</v>
      </c>
      <c r="P2122" s="53">
        <v>14066.489254068001</v>
      </c>
      <c r="Q2122" s="65">
        <v>10185.379999999999</v>
      </c>
      <c r="R2122" s="65">
        <v>0</v>
      </c>
      <c r="S2122" s="65">
        <v>0</v>
      </c>
      <c r="T2122" s="65">
        <v>3881.109254068002</v>
      </c>
      <c r="U2122" s="58">
        <v>0</v>
      </c>
      <c r="V2122" s="65">
        <v>142.51890491803272</v>
      </c>
      <c r="W2122" s="65">
        <v>0</v>
      </c>
      <c r="X2122" s="65">
        <v>10043</v>
      </c>
      <c r="Y2122" s="65">
        <v>0</v>
      </c>
      <c r="Z2122" s="51">
        <v>0</v>
      </c>
      <c r="AA2122" s="51">
        <v>0</v>
      </c>
      <c r="AB2122" s="102">
        <v>0</v>
      </c>
      <c r="AC2122" s="81">
        <f t="shared" si="102"/>
        <v>350.27577218337206</v>
      </c>
      <c r="AD2122" s="82">
        <f t="shared" si="103"/>
        <v>36.771428571428579</v>
      </c>
      <c r="AE2122" s="218">
        <v>-0.38104707473535621</v>
      </c>
      <c r="AF2122">
        <v>1</v>
      </c>
      <c r="AH2122" t="str">
        <f t="shared" si="101"/>
        <v>Araria</v>
      </c>
      <c r="AJ2122" s="72">
        <v>0</v>
      </c>
      <c r="AK2122" s="72"/>
      <c r="AL2122" s="72"/>
      <c r="AM2122" s="72"/>
    </row>
    <row r="2123" spans="1:39" x14ac:dyDescent="0.25">
      <c r="A2123" s="37" t="s">
        <v>62</v>
      </c>
      <c r="B2123" s="66" t="s">
        <v>1629</v>
      </c>
      <c r="C2123" s="41">
        <v>1056</v>
      </c>
      <c r="D2123" s="41" t="s">
        <v>838</v>
      </c>
      <c r="E2123" s="41">
        <v>10070064</v>
      </c>
      <c r="F2123" s="85" t="s">
        <v>642</v>
      </c>
      <c r="G2123" s="39" t="s">
        <v>93</v>
      </c>
      <c r="H2123" s="52" t="s">
        <v>94</v>
      </c>
      <c r="I2123" s="52">
        <v>1243.0000000000002</v>
      </c>
      <c r="J2123" s="49">
        <v>46354.03</v>
      </c>
      <c r="K2123" s="58">
        <v>1238.9999999999998</v>
      </c>
      <c r="L2123" s="58">
        <v>46113.060130855207</v>
      </c>
      <c r="M2123" s="58">
        <v>3.9999999999999996</v>
      </c>
      <c r="N2123" s="58">
        <v>155.30632920000002</v>
      </c>
      <c r="O2123" s="58">
        <v>1242.9999999999998</v>
      </c>
      <c r="P2123" s="53">
        <v>46268.366460055207</v>
      </c>
      <c r="Q2123" s="65">
        <v>46268.366460055207</v>
      </c>
      <c r="R2123" s="65">
        <v>0</v>
      </c>
      <c r="S2123" s="65">
        <v>155.30632920000002</v>
      </c>
      <c r="T2123" s="65">
        <v>0</v>
      </c>
      <c r="U2123" s="58">
        <v>0</v>
      </c>
      <c r="V2123" s="65">
        <v>0</v>
      </c>
      <c r="W2123" s="65">
        <v>0</v>
      </c>
      <c r="X2123" s="65">
        <v>46113</v>
      </c>
      <c r="Y2123" s="65">
        <v>0</v>
      </c>
      <c r="Z2123" s="51">
        <v>0</v>
      </c>
      <c r="AA2123" s="51">
        <v>86</v>
      </c>
      <c r="AB2123" s="102">
        <v>0</v>
      </c>
      <c r="AC2123" s="81">
        <f t="shared" si="102"/>
        <v>0</v>
      </c>
      <c r="AD2123" s="82">
        <f t="shared" si="103"/>
        <v>0</v>
      </c>
      <c r="AE2123" s="218">
        <v>1.8480278833316415E-3</v>
      </c>
      <c r="AF2123">
        <v>2</v>
      </c>
      <c r="AH2123" t="str">
        <f t="shared" si="101"/>
        <v>Chautham</v>
      </c>
      <c r="AJ2123" s="72">
        <v>0</v>
      </c>
      <c r="AK2123" s="72"/>
      <c r="AL2123" s="72"/>
      <c r="AM2123" s="72"/>
    </row>
    <row r="2124" spans="1:39" x14ac:dyDescent="0.25">
      <c r="A2124" s="37" t="s">
        <v>62</v>
      </c>
      <c r="B2124" s="66" t="s">
        <v>1629</v>
      </c>
      <c r="C2124" s="41">
        <v>1007</v>
      </c>
      <c r="D2124" s="41" t="s">
        <v>207</v>
      </c>
      <c r="E2124" s="41">
        <v>10070065</v>
      </c>
      <c r="F2124" s="85" t="s">
        <v>643</v>
      </c>
      <c r="G2124" s="39" t="s">
        <v>635</v>
      </c>
      <c r="H2124" s="52" t="s">
        <v>99</v>
      </c>
      <c r="I2124" s="52">
        <v>682.69999999999993</v>
      </c>
      <c r="J2124" s="49">
        <v>24412.239999999998</v>
      </c>
      <c r="K2124" s="58">
        <v>0</v>
      </c>
      <c r="L2124" s="58">
        <v>0</v>
      </c>
      <c r="M2124" s="58">
        <v>0</v>
      </c>
      <c r="N2124" s="58">
        <v>0</v>
      </c>
      <c r="O2124" s="58">
        <v>0</v>
      </c>
      <c r="P2124" s="53">
        <v>0</v>
      </c>
      <c r="Q2124" s="65">
        <v>24412.239999999998</v>
      </c>
      <c r="R2124" s="65">
        <v>0</v>
      </c>
      <c r="S2124" s="65">
        <v>0</v>
      </c>
      <c r="T2124" s="65">
        <v>0</v>
      </c>
      <c r="U2124" s="58">
        <v>0</v>
      </c>
      <c r="V2124" s="65">
        <v>0</v>
      </c>
      <c r="W2124" s="65">
        <v>0</v>
      </c>
      <c r="X2124" s="65">
        <v>0</v>
      </c>
      <c r="Y2124" s="65">
        <v>0</v>
      </c>
      <c r="Z2124" s="51">
        <v>24412.239999999998</v>
      </c>
      <c r="AA2124" s="51">
        <v>0</v>
      </c>
      <c r="AB2124" s="102">
        <v>0</v>
      </c>
      <c r="AC2124" s="81">
        <f t="shared" si="102"/>
        <v>12.372396425955783</v>
      </c>
      <c r="AD2124" s="82">
        <f t="shared" si="103"/>
        <v>97.528571428571425</v>
      </c>
      <c r="AE2124" s="218">
        <v>0</v>
      </c>
      <c r="AF2124">
        <v>0</v>
      </c>
      <c r="AH2124" t="str">
        <f t="shared" si="101"/>
        <v>Araria</v>
      </c>
      <c r="AJ2124" s="72">
        <v>0</v>
      </c>
      <c r="AK2124" s="72"/>
      <c r="AL2124" s="72"/>
      <c r="AM2124" s="72"/>
    </row>
    <row r="2125" spans="1:39" x14ac:dyDescent="0.25">
      <c r="A2125" s="37" t="s">
        <v>62</v>
      </c>
      <c r="B2125" s="66" t="s">
        <v>1629</v>
      </c>
      <c r="C2125" s="41">
        <v>1007</v>
      </c>
      <c r="D2125" s="41" t="s">
        <v>207</v>
      </c>
      <c r="E2125" s="41">
        <v>10070074</v>
      </c>
      <c r="F2125" s="85" t="s">
        <v>1156</v>
      </c>
      <c r="G2125" s="39" t="s">
        <v>635</v>
      </c>
      <c r="H2125" s="52" t="s">
        <v>99</v>
      </c>
      <c r="I2125" s="52">
        <v>525.30000000000007</v>
      </c>
      <c r="J2125" s="49">
        <v>15839.96</v>
      </c>
      <c r="K2125" s="58">
        <v>0</v>
      </c>
      <c r="L2125" s="58">
        <v>0</v>
      </c>
      <c r="M2125" s="58">
        <v>0</v>
      </c>
      <c r="N2125" s="58">
        <v>0</v>
      </c>
      <c r="O2125" s="58">
        <v>0</v>
      </c>
      <c r="P2125" s="53">
        <v>0</v>
      </c>
      <c r="Q2125" s="65">
        <v>15839.96</v>
      </c>
      <c r="R2125" s="65">
        <v>0</v>
      </c>
      <c r="S2125" s="65">
        <v>0</v>
      </c>
      <c r="T2125" s="65">
        <v>0</v>
      </c>
      <c r="U2125" s="58">
        <v>0</v>
      </c>
      <c r="V2125" s="65">
        <v>0</v>
      </c>
      <c r="W2125" s="65">
        <v>0</v>
      </c>
      <c r="X2125" s="65">
        <v>0</v>
      </c>
      <c r="Y2125" s="65">
        <v>0</v>
      </c>
      <c r="Z2125" s="51">
        <v>15839.96</v>
      </c>
      <c r="AA2125" s="51">
        <v>0</v>
      </c>
      <c r="AB2125" s="102">
        <v>0</v>
      </c>
      <c r="AC2125" s="81">
        <f t="shared" si="102"/>
        <v>105.35850036169799</v>
      </c>
      <c r="AD2125" s="82">
        <f t="shared" si="103"/>
        <v>75.042857142857159</v>
      </c>
      <c r="AE2125" s="218">
        <v>0</v>
      </c>
      <c r="AF2125">
        <v>0</v>
      </c>
      <c r="AH2125" t="str">
        <f t="shared" si="101"/>
        <v>Araria</v>
      </c>
      <c r="AJ2125" s="72">
        <v>0</v>
      </c>
      <c r="AK2125" s="72"/>
      <c r="AL2125" s="72"/>
      <c r="AM2125" s="72"/>
    </row>
    <row r="2126" spans="1:39" x14ac:dyDescent="0.25">
      <c r="A2126" s="37" t="s">
        <v>62</v>
      </c>
      <c r="B2126" s="66" t="s">
        <v>1629</v>
      </c>
      <c r="C2126" s="41">
        <v>1007</v>
      </c>
      <c r="D2126" s="41" t="s">
        <v>207</v>
      </c>
      <c r="E2126" s="41">
        <v>10070076</v>
      </c>
      <c r="F2126" s="85" t="s">
        <v>1178</v>
      </c>
      <c r="G2126" s="39" t="s">
        <v>635</v>
      </c>
      <c r="H2126" s="52" t="s">
        <v>99</v>
      </c>
      <c r="I2126" s="52">
        <v>388.79999999999995</v>
      </c>
      <c r="J2126" s="49">
        <v>12929.770000000002</v>
      </c>
      <c r="K2126" s="58">
        <v>0</v>
      </c>
      <c r="L2126" s="58">
        <v>0</v>
      </c>
      <c r="M2126" s="58">
        <v>0</v>
      </c>
      <c r="N2126" s="58">
        <v>0</v>
      </c>
      <c r="O2126" s="58">
        <v>0</v>
      </c>
      <c r="P2126" s="53">
        <v>0</v>
      </c>
      <c r="Q2126" s="65">
        <v>12929.770000000002</v>
      </c>
      <c r="R2126" s="65">
        <v>0</v>
      </c>
      <c r="S2126" s="65">
        <v>0</v>
      </c>
      <c r="T2126" s="65">
        <v>0</v>
      </c>
      <c r="U2126" s="58">
        <v>0</v>
      </c>
      <c r="V2126" s="65">
        <v>0</v>
      </c>
      <c r="W2126" s="65">
        <v>0</v>
      </c>
      <c r="X2126" s="65">
        <v>0</v>
      </c>
      <c r="Y2126" s="65">
        <v>0</v>
      </c>
      <c r="Z2126" s="54">
        <v>12929.770000000002</v>
      </c>
      <c r="AA2126" s="51">
        <v>0</v>
      </c>
      <c r="AB2126" s="102">
        <v>0</v>
      </c>
      <c r="AC2126" s="81">
        <f t="shared" si="102"/>
        <v>206.98273786008241</v>
      </c>
      <c r="AD2126" s="82">
        <f t="shared" si="103"/>
        <v>55.542857142857137</v>
      </c>
      <c r="AE2126" s="218">
        <v>0</v>
      </c>
      <c r="AF2126">
        <v>0</v>
      </c>
      <c r="AH2126" t="str">
        <f t="shared" si="101"/>
        <v>Araria</v>
      </c>
      <c r="AJ2126" s="72">
        <v>0</v>
      </c>
      <c r="AK2126" s="72"/>
      <c r="AL2126" s="72"/>
      <c r="AM2126" s="72"/>
    </row>
    <row r="2127" spans="1:39" x14ac:dyDescent="0.25">
      <c r="A2127" s="37" t="s">
        <v>62</v>
      </c>
      <c r="B2127" s="66" t="s">
        <v>1629</v>
      </c>
      <c r="C2127" s="41">
        <v>1007</v>
      </c>
      <c r="D2127" s="41" t="s">
        <v>207</v>
      </c>
      <c r="E2127" s="41">
        <v>10070077</v>
      </c>
      <c r="F2127" s="85" t="s">
        <v>1349</v>
      </c>
      <c r="G2127" s="39" t="s">
        <v>93</v>
      </c>
      <c r="H2127" s="52" t="s">
        <v>94</v>
      </c>
      <c r="I2127" s="52">
        <v>219.2</v>
      </c>
      <c r="J2127" s="49">
        <v>7888.37</v>
      </c>
      <c r="K2127" s="58">
        <v>215.6</v>
      </c>
      <c r="L2127" s="58">
        <v>8636.5612230480001</v>
      </c>
      <c r="M2127" s="58">
        <v>3.65</v>
      </c>
      <c r="N2127" s="58">
        <v>136.44933013800002</v>
      </c>
      <c r="O2127" s="58">
        <v>219.25</v>
      </c>
      <c r="P2127" s="53">
        <v>8773.0105531860008</v>
      </c>
      <c r="Q2127" s="65">
        <v>7888.37</v>
      </c>
      <c r="R2127" s="65">
        <v>0</v>
      </c>
      <c r="S2127" s="65">
        <v>0</v>
      </c>
      <c r="T2127" s="65">
        <v>884.64055318600094</v>
      </c>
      <c r="U2127" s="58">
        <v>0</v>
      </c>
      <c r="V2127" s="65">
        <v>0</v>
      </c>
      <c r="W2127" s="65">
        <v>0</v>
      </c>
      <c r="X2127" s="65">
        <v>7752</v>
      </c>
      <c r="Y2127" s="65">
        <v>136</v>
      </c>
      <c r="Z2127" s="55">
        <v>0</v>
      </c>
      <c r="AA2127" s="51">
        <v>0</v>
      </c>
      <c r="AB2127" s="102">
        <v>0</v>
      </c>
      <c r="AC2127" s="81">
        <f t="shared" si="102"/>
        <v>346.0518518248175</v>
      </c>
      <c r="AD2127" s="82">
        <f t="shared" si="103"/>
        <v>31.314285714285713</v>
      </c>
      <c r="AE2127" s="218">
        <v>-0.11214491120294826</v>
      </c>
      <c r="AF2127">
        <v>2</v>
      </c>
      <c r="AH2127" t="str">
        <f t="shared" ref="AH2127:AH2190" si="104">TEXT(D2127,"0000")</f>
        <v>Araria</v>
      </c>
      <c r="AJ2127" s="72">
        <v>0</v>
      </c>
      <c r="AK2127" s="72"/>
      <c r="AL2127" s="72"/>
      <c r="AM2127" s="72"/>
    </row>
    <row r="2128" spans="1:39" x14ac:dyDescent="0.25">
      <c r="A2128" s="37" t="s">
        <v>62</v>
      </c>
      <c r="B2128" s="66" t="s">
        <v>1629</v>
      </c>
      <c r="C2128" s="41">
        <v>1007</v>
      </c>
      <c r="D2128" s="41" t="s">
        <v>207</v>
      </c>
      <c r="E2128" s="41">
        <v>10070078</v>
      </c>
      <c r="F2128" s="85" t="s">
        <v>1350</v>
      </c>
      <c r="G2128" s="39" t="s">
        <v>93</v>
      </c>
      <c r="H2128" s="52" t="s">
        <v>94</v>
      </c>
      <c r="I2128" s="52">
        <v>958.40000000000009</v>
      </c>
      <c r="J2128" s="49">
        <v>34951.889999999992</v>
      </c>
      <c r="K2128" s="58">
        <v>958.7</v>
      </c>
      <c r="L2128" s="58">
        <v>37965.583006560009</v>
      </c>
      <c r="M2128" s="58">
        <v>0</v>
      </c>
      <c r="N2128" s="58">
        <v>0</v>
      </c>
      <c r="O2128" s="58">
        <v>958.7</v>
      </c>
      <c r="P2128" s="53">
        <v>37965.583006560009</v>
      </c>
      <c r="Q2128" s="65">
        <v>34951.889999999992</v>
      </c>
      <c r="R2128" s="65">
        <v>0</v>
      </c>
      <c r="S2128" s="65">
        <v>0</v>
      </c>
      <c r="T2128" s="65">
        <v>3013.6930065600172</v>
      </c>
      <c r="U2128" s="58">
        <v>0</v>
      </c>
      <c r="V2128" s="65">
        <v>0</v>
      </c>
      <c r="W2128" s="65">
        <v>0</v>
      </c>
      <c r="X2128" s="65">
        <v>34952</v>
      </c>
      <c r="Y2128" s="65">
        <v>0</v>
      </c>
      <c r="Z2128" s="51">
        <v>0</v>
      </c>
      <c r="AA2128" s="51">
        <v>0</v>
      </c>
      <c r="AB2128" s="102">
        <v>0</v>
      </c>
      <c r="AC2128" s="81">
        <f t="shared" si="102"/>
        <v>0</v>
      </c>
      <c r="AD2128" s="82">
        <f t="shared" si="103"/>
        <v>0</v>
      </c>
      <c r="AE2128" s="218">
        <v>-8.6224035568892493E-2</v>
      </c>
      <c r="AF2128">
        <v>1</v>
      </c>
      <c r="AH2128" t="str">
        <f t="shared" si="104"/>
        <v>Araria</v>
      </c>
      <c r="AJ2128" s="72">
        <v>0</v>
      </c>
      <c r="AK2128" s="72"/>
      <c r="AL2128" s="72"/>
      <c r="AM2128" s="72"/>
    </row>
    <row r="2129" spans="1:39" x14ac:dyDescent="0.25">
      <c r="A2129" s="37" t="s">
        <v>62</v>
      </c>
      <c r="B2129" s="66" t="s">
        <v>1629</v>
      </c>
      <c r="C2129" s="41">
        <v>1055</v>
      </c>
      <c r="D2129" s="41" t="s">
        <v>1148</v>
      </c>
      <c r="E2129" s="41">
        <v>10080001</v>
      </c>
      <c r="F2129" s="85" t="s">
        <v>618</v>
      </c>
      <c r="G2129" s="39" t="s">
        <v>635</v>
      </c>
      <c r="H2129" s="52" t="s">
        <v>99</v>
      </c>
      <c r="I2129" s="52">
        <v>827.19999999999993</v>
      </c>
      <c r="J2129" s="49">
        <v>30616.83</v>
      </c>
      <c r="K2129" s="58">
        <v>0</v>
      </c>
      <c r="L2129" s="58">
        <v>0</v>
      </c>
      <c r="M2129" s="58">
        <v>0</v>
      </c>
      <c r="N2129" s="58">
        <v>0</v>
      </c>
      <c r="O2129" s="58">
        <v>0</v>
      </c>
      <c r="P2129" s="53">
        <v>0</v>
      </c>
      <c r="Q2129" s="65">
        <v>30616.83</v>
      </c>
      <c r="R2129" s="65">
        <v>0</v>
      </c>
      <c r="S2129" s="65">
        <v>0</v>
      </c>
      <c r="T2129" s="65">
        <v>0</v>
      </c>
      <c r="U2129" s="58">
        <v>0</v>
      </c>
      <c r="V2129" s="65">
        <v>0</v>
      </c>
      <c r="W2129" s="65">
        <v>0</v>
      </c>
      <c r="X2129" s="65">
        <v>0</v>
      </c>
      <c r="Y2129" s="65">
        <v>0</v>
      </c>
      <c r="Z2129" s="51">
        <v>30616.83</v>
      </c>
      <c r="AA2129" s="51">
        <v>0</v>
      </c>
      <c r="AB2129" s="102">
        <v>0</v>
      </c>
      <c r="AC2129" s="81">
        <f t="shared" si="102"/>
        <v>0</v>
      </c>
      <c r="AD2129" s="82">
        <f t="shared" si="103"/>
        <v>0</v>
      </c>
      <c r="AE2129" s="218">
        <v>0</v>
      </c>
      <c r="AF2129">
        <v>0</v>
      </c>
      <c r="AH2129" t="str">
        <f t="shared" si="104"/>
        <v>Matihani</v>
      </c>
      <c r="AJ2129" s="72">
        <v>0</v>
      </c>
      <c r="AK2129" s="72"/>
      <c r="AL2129" s="72"/>
      <c r="AM2129" s="72"/>
    </row>
    <row r="2130" spans="1:39" x14ac:dyDescent="0.25">
      <c r="A2130" s="37" t="s">
        <v>62</v>
      </c>
      <c r="B2130" s="66" t="s">
        <v>1629</v>
      </c>
      <c r="C2130" s="41">
        <v>1008</v>
      </c>
      <c r="D2130" s="41" t="s">
        <v>221</v>
      </c>
      <c r="E2130" s="41">
        <v>10080002</v>
      </c>
      <c r="F2130" s="85" t="s">
        <v>222</v>
      </c>
      <c r="G2130" s="39" t="s">
        <v>635</v>
      </c>
      <c r="H2130" s="52" t="s">
        <v>99</v>
      </c>
      <c r="I2130" s="52">
        <v>282.35000000000002</v>
      </c>
      <c r="J2130" s="49">
        <v>9463.8900000000012</v>
      </c>
      <c r="K2130" s="58">
        <v>0</v>
      </c>
      <c r="L2130" s="58">
        <v>0</v>
      </c>
      <c r="M2130" s="58">
        <v>0</v>
      </c>
      <c r="N2130" s="58">
        <v>0</v>
      </c>
      <c r="O2130" s="58">
        <v>0</v>
      </c>
      <c r="P2130" s="53">
        <v>0</v>
      </c>
      <c r="Q2130" s="65">
        <v>9463.8900000000012</v>
      </c>
      <c r="R2130" s="65">
        <v>0</v>
      </c>
      <c r="S2130" s="65">
        <v>0</v>
      </c>
      <c r="T2130" s="65">
        <v>0</v>
      </c>
      <c r="U2130" s="58">
        <v>9464</v>
      </c>
      <c r="V2130" s="65">
        <v>0</v>
      </c>
      <c r="W2130" s="65">
        <v>0</v>
      </c>
      <c r="X2130" s="65">
        <v>0</v>
      </c>
      <c r="Y2130" s="65">
        <v>0</v>
      </c>
      <c r="Z2130" s="51">
        <v>-0.10999999999876309</v>
      </c>
      <c r="AA2130" s="51">
        <v>0</v>
      </c>
      <c r="AB2130" s="102" t="s">
        <v>68</v>
      </c>
      <c r="AC2130" s="81">
        <f t="shared" si="102"/>
        <v>279.97830058438109</v>
      </c>
      <c r="AD2130" s="82">
        <f t="shared" si="103"/>
        <v>40.335714285714289</v>
      </c>
      <c r="AE2130" s="218">
        <v>0</v>
      </c>
      <c r="AF2130">
        <v>0</v>
      </c>
      <c r="AH2130" t="str">
        <f t="shared" si="104"/>
        <v>Teghra</v>
      </c>
      <c r="AJ2130" s="72">
        <v>0</v>
      </c>
      <c r="AK2130" s="72"/>
      <c r="AL2130" s="72"/>
      <c r="AM2130" s="72"/>
    </row>
    <row r="2131" spans="1:39" x14ac:dyDescent="0.25">
      <c r="A2131" s="37" t="s">
        <v>62</v>
      </c>
      <c r="B2131" s="66" t="s">
        <v>1629</v>
      </c>
      <c r="C2131" s="41">
        <v>1008</v>
      </c>
      <c r="D2131" s="41" t="s">
        <v>221</v>
      </c>
      <c r="E2131" s="41">
        <v>10080003</v>
      </c>
      <c r="F2131" s="85" t="s">
        <v>223</v>
      </c>
      <c r="G2131" s="39" t="s">
        <v>635</v>
      </c>
      <c r="H2131" s="52" t="s">
        <v>99</v>
      </c>
      <c r="I2131" s="52">
        <v>169.85</v>
      </c>
      <c r="J2131" s="49">
        <v>5830.09</v>
      </c>
      <c r="K2131" s="58">
        <v>0</v>
      </c>
      <c r="L2131" s="58">
        <v>0</v>
      </c>
      <c r="M2131" s="58">
        <v>0</v>
      </c>
      <c r="N2131" s="58">
        <v>0</v>
      </c>
      <c r="O2131" s="58">
        <v>0</v>
      </c>
      <c r="P2131" s="53">
        <v>0</v>
      </c>
      <c r="Q2131" s="65">
        <v>5830.09</v>
      </c>
      <c r="R2131" s="65">
        <v>0</v>
      </c>
      <c r="S2131" s="65">
        <v>0</v>
      </c>
      <c r="T2131" s="65">
        <v>0</v>
      </c>
      <c r="U2131" s="58">
        <v>0</v>
      </c>
      <c r="V2131" s="65">
        <v>51.430558064516106</v>
      </c>
      <c r="W2131" s="65">
        <v>0</v>
      </c>
      <c r="X2131" s="65">
        <v>0</v>
      </c>
      <c r="Y2131" s="65">
        <v>0</v>
      </c>
      <c r="Z2131" s="51">
        <v>5778.6594419354842</v>
      </c>
      <c r="AA2131" s="51">
        <v>0</v>
      </c>
      <c r="AB2131" s="102">
        <v>0</v>
      </c>
      <c r="AC2131" s="81">
        <f t="shared" si="102"/>
        <v>363.94727271121587</v>
      </c>
      <c r="AD2131" s="82">
        <f t="shared" si="103"/>
        <v>24.264285714285712</v>
      </c>
      <c r="AE2131" s="218">
        <v>0</v>
      </c>
      <c r="AF2131">
        <v>0</v>
      </c>
      <c r="AH2131" t="str">
        <f t="shared" si="104"/>
        <v>Teghra</v>
      </c>
      <c r="AJ2131" s="72">
        <v>0</v>
      </c>
      <c r="AK2131" s="72"/>
      <c r="AL2131" s="72"/>
      <c r="AM2131" s="72"/>
    </row>
    <row r="2132" spans="1:39" x14ac:dyDescent="0.25">
      <c r="A2132" s="37" t="s">
        <v>62</v>
      </c>
      <c r="B2132" s="66" t="s">
        <v>1629</v>
      </c>
      <c r="C2132" s="41">
        <v>1008</v>
      </c>
      <c r="D2132" s="41" t="s">
        <v>221</v>
      </c>
      <c r="E2132" s="41">
        <v>10080004</v>
      </c>
      <c r="F2132" s="85" t="s">
        <v>224</v>
      </c>
      <c r="G2132" s="39" t="s">
        <v>635</v>
      </c>
      <c r="H2132" s="52" t="s">
        <v>99</v>
      </c>
      <c r="I2132" s="52">
        <v>53.800000000000004</v>
      </c>
      <c r="J2132" s="49">
        <v>1926.52</v>
      </c>
      <c r="K2132" s="58">
        <v>0</v>
      </c>
      <c r="L2132" s="58">
        <v>0</v>
      </c>
      <c r="M2132" s="58">
        <v>0</v>
      </c>
      <c r="N2132" s="58">
        <v>0</v>
      </c>
      <c r="O2132" s="58">
        <v>0</v>
      </c>
      <c r="P2132" s="53">
        <v>0</v>
      </c>
      <c r="Q2132" s="65">
        <v>1926.52</v>
      </c>
      <c r="R2132" s="65">
        <v>0</v>
      </c>
      <c r="S2132" s="65">
        <v>0</v>
      </c>
      <c r="T2132" s="65">
        <v>0</v>
      </c>
      <c r="U2132" s="58">
        <v>0</v>
      </c>
      <c r="V2132" s="65">
        <v>25.508448387096784</v>
      </c>
      <c r="W2132" s="65">
        <v>0</v>
      </c>
      <c r="X2132" s="65">
        <v>0</v>
      </c>
      <c r="Y2132" s="65">
        <v>0</v>
      </c>
      <c r="Z2132" s="51">
        <v>1901.0115516129033</v>
      </c>
      <c r="AA2132" s="51">
        <v>0</v>
      </c>
      <c r="AB2132" s="102">
        <v>0</v>
      </c>
      <c r="AC2132" s="81">
        <f t="shared" si="102"/>
        <v>462.79450706319705</v>
      </c>
      <c r="AD2132" s="82">
        <f t="shared" si="103"/>
        <v>7.6857142857142859</v>
      </c>
      <c r="AE2132" s="218">
        <v>0</v>
      </c>
      <c r="AF2132">
        <v>0</v>
      </c>
      <c r="AH2132" t="str">
        <f t="shared" si="104"/>
        <v>Teghra</v>
      </c>
      <c r="AJ2132" s="72">
        <v>0</v>
      </c>
      <c r="AK2132" s="72"/>
      <c r="AL2132" s="72"/>
      <c r="AM2132" s="72"/>
    </row>
    <row r="2133" spans="1:39" x14ac:dyDescent="0.25">
      <c r="A2133" s="37" t="s">
        <v>62</v>
      </c>
      <c r="B2133" s="66" t="s">
        <v>1629</v>
      </c>
      <c r="C2133" s="41">
        <v>1008</v>
      </c>
      <c r="D2133" s="41" t="s">
        <v>221</v>
      </c>
      <c r="E2133" s="41">
        <v>10080006</v>
      </c>
      <c r="F2133" s="85" t="s">
        <v>225</v>
      </c>
      <c r="G2133" s="39" t="s">
        <v>635</v>
      </c>
      <c r="H2133" s="52" t="s">
        <v>99</v>
      </c>
      <c r="I2133" s="52">
        <v>243.65</v>
      </c>
      <c r="J2133" s="49">
        <v>8179.6599999999989</v>
      </c>
      <c r="K2133" s="58">
        <v>0</v>
      </c>
      <c r="L2133" s="58">
        <v>0</v>
      </c>
      <c r="M2133" s="58">
        <v>0</v>
      </c>
      <c r="N2133" s="58">
        <v>0</v>
      </c>
      <c r="O2133" s="58">
        <v>0</v>
      </c>
      <c r="P2133" s="53">
        <v>0</v>
      </c>
      <c r="Q2133" s="65">
        <v>8179.6599999999989</v>
      </c>
      <c r="R2133" s="65">
        <v>0</v>
      </c>
      <c r="S2133" s="65">
        <v>0</v>
      </c>
      <c r="T2133" s="65">
        <v>0</v>
      </c>
      <c r="U2133" s="58">
        <v>0</v>
      </c>
      <c r="V2133" s="65">
        <v>3.7040129032258449</v>
      </c>
      <c r="W2133" s="65">
        <v>0</v>
      </c>
      <c r="X2133" s="65">
        <v>0</v>
      </c>
      <c r="Y2133" s="65">
        <v>0</v>
      </c>
      <c r="Z2133" s="51">
        <v>8175.9559870967732</v>
      </c>
      <c r="AA2133" s="51">
        <v>0</v>
      </c>
      <c r="AB2133" s="102">
        <v>0</v>
      </c>
      <c r="AC2133" s="81">
        <f t="shared" si="102"/>
        <v>306.40573289554686</v>
      </c>
      <c r="AD2133" s="82">
        <f t="shared" si="103"/>
        <v>34.807142857142857</v>
      </c>
      <c r="AE2133" s="218">
        <v>0</v>
      </c>
      <c r="AF2133">
        <v>0</v>
      </c>
      <c r="AH2133" t="str">
        <f t="shared" si="104"/>
        <v>Teghra</v>
      </c>
      <c r="AJ2133" s="72">
        <v>0</v>
      </c>
      <c r="AK2133" s="72"/>
      <c r="AL2133" s="72"/>
      <c r="AM2133" s="72"/>
    </row>
    <row r="2134" spans="1:39" x14ac:dyDescent="0.25">
      <c r="A2134" s="37" t="s">
        <v>62</v>
      </c>
      <c r="B2134" s="66" t="s">
        <v>1629</v>
      </c>
      <c r="C2134" s="41">
        <v>1008</v>
      </c>
      <c r="D2134" s="41" t="s">
        <v>221</v>
      </c>
      <c r="E2134" s="41">
        <v>10080007</v>
      </c>
      <c r="F2134" s="85" t="s">
        <v>226</v>
      </c>
      <c r="G2134" s="39" t="s">
        <v>635</v>
      </c>
      <c r="H2134" s="52" t="s">
        <v>99</v>
      </c>
      <c r="I2134" s="52">
        <v>751.65</v>
      </c>
      <c r="J2134" s="49">
        <v>26233.279999999995</v>
      </c>
      <c r="K2134" s="58">
        <v>0</v>
      </c>
      <c r="L2134" s="58">
        <v>0</v>
      </c>
      <c r="M2134" s="58">
        <v>0</v>
      </c>
      <c r="N2134" s="58">
        <v>0</v>
      </c>
      <c r="O2134" s="58">
        <v>0</v>
      </c>
      <c r="P2134" s="53">
        <v>0</v>
      </c>
      <c r="Q2134" s="65">
        <v>26233.279999999995</v>
      </c>
      <c r="R2134" s="65">
        <v>0</v>
      </c>
      <c r="S2134" s="65">
        <v>0</v>
      </c>
      <c r="T2134" s="65">
        <v>0</v>
      </c>
      <c r="U2134" s="58">
        <v>0</v>
      </c>
      <c r="V2134" s="65">
        <v>0</v>
      </c>
      <c r="W2134" s="65">
        <v>0</v>
      </c>
      <c r="X2134" s="65">
        <v>0</v>
      </c>
      <c r="Y2134" s="65">
        <v>0</v>
      </c>
      <c r="Z2134" s="51">
        <v>26233.279999999995</v>
      </c>
      <c r="AA2134" s="51">
        <v>0</v>
      </c>
      <c r="AB2134" s="102">
        <v>0</v>
      </c>
      <c r="AC2134" s="81">
        <f t="shared" si="102"/>
        <v>0</v>
      </c>
      <c r="AD2134" s="82">
        <f t="shared" si="103"/>
        <v>0</v>
      </c>
      <c r="AE2134" s="218">
        <v>0</v>
      </c>
      <c r="AF2134">
        <v>0</v>
      </c>
      <c r="AH2134" t="str">
        <f t="shared" si="104"/>
        <v>Teghra</v>
      </c>
      <c r="AJ2134" s="72">
        <v>0</v>
      </c>
      <c r="AK2134" s="72"/>
      <c r="AL2134" s="72"/>
      <c r="AM2134" s="72"/>
    </row>
    <row r="2135" spans="1:39" x14ac:dyDescent="0.25">
      <c r="A2135" s="37" t="s">
        <v>62</v>
      </c>
      <c r="B2135" s="66" t="s">
        <v>1629</v>
      </c>
      <c r="C2135" s="41">
        <v>1008</v>
      </c>
      <c r="D2135" s="41" t="s">
        <v>221</v>
      </c>
      <c r="E2135" s="41">
        <v>10080012</v>
      </c>
      <c r="F2135" s="85" t="s">
        <v>1230</v>
      </c>
      <c r="G2135" s="39" t="s">
        <v>635</v>
      </c>
      <c r="H2135" s="52" t="s">
        <v>99</v>
      </c>
      <c r="I2135" s="52">
        <v>2281.15</v>
      </c>
      <c r="J2135" s="49">
        <v>83041.790000000008</v>
      </c>
      <c r="K2135" s="58">
        <v>0</v>
      </c>
      <c r="L2135" s="58">
        <v>0</v>
      </c>
      <c r="M2135" s="58">
        <v>0</v>
      </c>
      <c r="N2135" s="58">
        <v>0</v>
      </c>
      <c r="O2135" s="58">
        <v>0</v>
      </c>
      <c r="P2135" s="53">
        <v>0</v>
      </c>
      <c r="Q2135" s="65">
        <v>83041.790000000008</v>
      </c>
      <c r="R2135" s="65">
        <v>0</v>
      </c>
      <c r="S2135" s="65">
        <v>0</v>
      </c>
      <c r="T2135" s="65">
        <v>0</v>
      </c>
      <c r="U2135" s="58">
        <v>0</v>
      </c>
      <c r="V2135" s="65">
        <v>0</v>
      </c>
      <c r="W2135" s="65">
        <v>0</v>
      </c>
      <c r="X2135" s="65">
        <v>0</v>
      </c>
      <c r="Y2135" s="65">
        <v>0</v>
      </c>
      <c r="Z2135" s="51">
        <v>83041.790000000008</v>
      </c>
      <c r="AA2135" s="51">
        <v>0</v>
      </c>
      <c r="AB2135" s="102">
        <v>0</v>
      </c>
      <c r="AC2135" s="81">
        <f t="shared" si="102"/>
        <v>0</v>
      </c>
      <c r="AD2135" s="82">
        <f t="shared" si="103"/>
        <v>0</v>
      </c>
      <c r="AE2135" s="218">
        <v>0</v>
      </c>
      <c r="AF2135">
        <v>0</v>
      </c>
      <c r="AH2135" t="str">
        <f t="shared" si="104"/>
        <v>Teghra</v>
      </c>
      <c r="AJ2135" s="72">
        <v>0</v>
      </c>
      <c r="AK2135" s="72"/>
      <c r="AL2135" s="72"/>
      <c r="AM2135" s="72"/>
    </row>
    <row r="2136" spans="1:39" x14ac:dyDescent="0.25">
      <c r="A2136" s="37" t="s">
        <v>62</v>
      </c>
      <c r="B2136" s="66" t="s">
        <v>1629</v>
      </c>
      <c r="C2136" s="41">
        <v>1008</v>
      </c>
      <c r="D2136" s="41" t="s">
        <v>221</v>
      </c>
      <c r="E2136" s="41">
        <v>10080013</v>
      </c>
      <c r="F2136" s="85" t="s">
        <v>227</v>
      </c>
      <c r="G2136" s="39" t="s">
        <v>635</v>
      </c>
      <c r="H2136" s="52" t="s">
        <v>99</v>
      </c>
      <c r="I2136" s="52">
        <v>678.40000000000009</v>
      </c>
      <c r="J2136" s="49">
        <v>25214.51</v>
      </c>
      <c r="K2136" s="58">
        <v>0</v>
      </c>
      <c r="L2136" s="58">
        <v>0</v>
      </c>
      <c r="M2136" s="58">
        <v>0</v>
      </c>
      <c r="N2136" s="58">
        <v>0</v>
      </c>
      <c r="O2136" s="58">
        <v>0</v>
      </c>
      <c r="P2136" s="53">
        <v>0</v>
      </c>
      <c r="Q2136" s="65">
        <v>25214.51</v>
      </c>
      <c r="R2136" s="65">
        <v>0</v>
      </c>
      <c r="S2136" s="65">
        <v>0</v>
      </c>
      <c r="T2136" s="65">
        <v>0</v>
      </c>
      <c r="U2136" s="58">
        <v>0</v>
      </c>
      <c r="V2136" s="65">
        <v>0</v>
      </c>
      <c r="W2136" s="65">
        <v>0</v>
      </c>
      <c r="X2136" s="65">
        <v>0</v>
      </c>
      <c r="Y2136" s="65">
        <v>0</v>
      </c>
      <c r="Z2136" s="51">
        <v>25214.51</v>
      </c>
      <c r="AA2136" s="51">
        <v>0</v>
      </c>
      <c r="AB2136" s="102">
        <v>0</v>
      </c>
      <c r="AC2136" s="81">
        <f t="shared" si="102"/>
        <v>16.056409669811259</v>
      </c>
      <c r="AD2136" s="82">
        <f t="shared" si="103"/>
        <v>96.914285714285725</v>
      </c>
      <c r="AE2136" s="218">
        <v>0</v>
      </c>
      <c r="AF2136">
        <v>0</v>
      </c>
      <c r="AH2136" t="str">
        <f t="shared" si="104"/>
        <v>Teghra</v>
      </c>
      <c r="AJ2136" s="72">
        <v>0</v>
      </c>
      <c r="AK2136" s="72"/>
      <c r="AL2136" s="72"/>
      <c r="AM2136" s="72"/>
    </row>
    <row r="2137" spans="1:39" x14ac:dyDescent="0.25">
      <c r="A2137" s="37" t="s">
        <v>62</v>
      </c>
      <c r="B2137" s="66" t="s">
        <v>1629</v>
      </c>
      <c r="C2137" s="41">
        <v>1008</v>
      </c>
      <c r="D2137" s="41" t="s">
        <v>221</v>
      </c>
      <c r="E2137" s="41">
        <v>10080014</v>
      </c>
      <c r="F2137" s="85" t="s">
        <v>228</v>
      </c>
      <c r="G2137" s="39" t="s">
        <v>635</v>
      </c>
      <c r="H2137" s="52" t="s">
        <v>99</v>
      </c>
      <c r="I2137" s="52">
        <v>113.2</v>
      </c>
      <c r="J2137" s="49">
        <v>4372.49</v>
      </c>
      <c r="K2137" s="58">
        <v>0</v>
      </c>
      <c r="L2137" s="58">
        <v>0</v>
      </c>
      <c r="M2137" s="58">
        <v>0</v>
      </c>
      <c r="N2137" s="58">
        <v>0</v>
      </c>
      <c r="O2137" s="58">
        <v>0</v>
      </c>
      <c r="P2137" s="53">
        <v>0</v>
      </c>
      <c r="Q2137" s="65">
        <v>4372.49</v>
      </c>
      <c r="R2137" s="65">
        <v>0</v>
      </c>
      <c r="S2137" s="65">
        <v>0</v>
      </c>
      <c r="T2137" s="65">
        <v>0</v>
      </c>
      <c r="U2137" s="58">
        <v>0</v>
      </c>
      <c r="V2137" s="65">
        <v>31.217970967741969</v>
      </c>
      <c r="W2137" s="65">
        <v>0</v>
      </c>
      <c r="X2137" s="65">
        <v>0</v>
      </c>
      <c r="Y2137" s="65">
        <v>0</v>
      </c>
      <c r="Z2137" s="51">
        <v>4341.2720290322577</v>
      </c>
      <c r="AA2137" s="51">
        <v>0</v>
      </c>
      <c r="AB2137" s="102">
        <v>0</v>
      </c>
      <c r="AC2137" s="81">
        <f t="shared" si="102"/>
        <v>453.31751448763242</v>
      </c>
      <c r="AD2137" s="82">
        <f t="shared" si="103"/>
        <v>16.171428571428571</v>
      </c>
      <c r="AE2137" s="218">
        <v>0</v>
      </c>
      <c r="AF2137">
        <v>0</v>
      </c>
      <c r="AH2137" t="str">
        <f t="shared" si="104"/>
        <v>Teghra</v>
      </c>
      <c r="AJ2137" s="72">
        <v>0</v>
      </c>
      <c r="AK2137" s="72"/>
      <c r="AL2137" s="72"/>
      <c r="AM2137" s="72"/>
    </row>
    <row r="2138" spans="1:39" x14ac:dyDescent="0.25">
      <c r="A2138" s="37" t="s">
        <v>62</v>
      </c>
      <c r="B2138" s="66" t="s">
        <v>1629</v>
      </c>
      <c r="C2138" s="41">
        <v>1008</v>
      </c>
      <c r="D2138" s="41" t="s">
        <v>221</v>
      </c>
      <c r="E2138" s="41">
        <v>10080015</v>
      </c>
      <c r="F2138" s="85" t="s">
        <v>229</v>
      </c>
      <c r="G2138" s="39" t="s">
        <v>93</v>
      </c>
      <c r="H2138" s="52" t="s">
        <v>94</v>
      </c>
      <c r="I2138" s="52">
        <v>3829.85</v>
      </c>
      <c r="J2138" s="49">
        <v>133477.79999999999</v>
      </c>
      <c r="K2138" s="58">
        <v>3867.2000000000007</v>
      </c>
      <c r="L2138" s="58">
        <v>135471.50439310761</v>
      </c>
      <c r="M2138" s="58">
        <v>4.5</v>
      </c>
      <c r="N2138" s="58">
        <v>152.95437174599999</v>
      </c>
      <c r="O2138" s="58">
        <v>3871.7000000000007</v>
      </c>
      <c r="P2138" s="53">
        <v>135624.4587648536</v>
      </c>
      <c r="Q2138" s="65">
        <v>133477.79999999999</v>
      </c>
      <c r="R2138" s="65">
        <v>0</v>
      </c>
      <c r="S2138" s="65">
        <v>152.95437174599999</v>
      </c>
      <c r="T2138" s="65">
        <v>2146.6587648536079</v>
      </c>
      <c r="U2138" s="58">
        <v>0</v>
      </c>
      <c r="V2138" s="65">
        <v>0</v>
      </c>
      <c r="W2138" s="65">
        <v>0</v>
      </c>
      <c r="X2138" s="65">
        <v>133325</v>
      </c>
      <c r="Y2138" s="65">
        <v>0</v>
      </c>
      <c r="Z2138" s="51">
        <v>0</v>
      </c>
      <c r="AA2138" s="51">
        <v>0</v>
      </c>
      <c r="AB2138" s="102">
        <v>0</v>
      </c>
      <c r="AC2138" s="81">
        <f t="shared" si="102"/>
        <v>0</v>
      </c>
      <c r="AD2138" s="82">
        <f t="shared" si="103"/>
        <v>0</v>
      </c>
      <c r="AE2138" s="218">
        <v>-1.6082515331040877E-2</v>
      </c>
      <c r="AF2138">
        <v>11</v>
      </c>
      <c r="AH2138" t="str">
        <f t="shared" si="104"/>
        <v>Teghra</v>
      </c>
      <c r="AJ2138" s="72">
        <v>0</v>
      </c>
      <c r="AK2138" s="72"/>
      <c r="AL2138" s="72"/>
      <c r="AM2138" s="72"/>
    </row>
    <row r="2139" spans="1:39" x14ac:dyDescent="0.25">
      <c r="A2139" s="37" t="s">
        <v>62</v>
      </c>
      <c r="B2139" s="66" t="s">
        <v>1629</v>
      </c>
      <c r="C2139" s="41">
        <v>1008</v>
      </c>
      <c r="D2139" s="41" t="s">
        <v>221</v>
      </c>
      <c r="E2139" s="41">
        <v>10080016</v>
      </c>
      <c r="F2139" s="85" t="s">
        <v>230</v>
      </c>
      <c r="G2139" s="39" t="s">
        <v>93</v>
      </c>
      <c r="H2139" s="52" t="s">
        <v>94</v>
      </c>
      <c r="I2139" s="52">
        <v>78.149999999999991</v>
      </c>
      <c r="J2139" s="49">
        <v>2757.9099999999994</v>
      </c>
      <c r="K2139" s="58">
        <v>77</v>
      </c>
      <c r="L2139" s="58">
        <v>2746.831972896</v>
      </c>
      <c r="M2139" s="58">
        <v>1.3</v>
      </c>
      <c r="N2139" s="58">
        <v>43.350040800000002</v>
      </c>
      <c r="O2139" s="58">
        <v>78.3</v>
      </c>
      <c r="P2139" s="53">
        <v>2790.182013696</v>
      </c>
      <c r="Q2139" s="65">
        <v>2757.9099999999994</v>
      </c>
      <c r="R2139" s="65">
        <v>0</v>
      </c>
      <c r="S2139" s="65">
        <v>43.350040800000002</v>
      </c>
      <c r="T2139" s="65">
        <v>32.272013696000613</v>
      </c>
      <c r="U2139" s="58">
        <v>2208</v>
      </c>
      <c r="V2139" s="65">
        <v>35.931182142857153</v>
      </c>
      <c r="W2139" s="65">
        <v>0</v>
      </c>
      <c r="X2139" s="65">
        <v>471</v>
      </c>
      <c r="Y2139" s="65">
        <v>0</v>
      </c>
      <c r="Z2139" s="51">
        <v>0</v>
      </c>
      <c r="AA2139" s="51">
        <v>0</v>
      </c>
      <c r="AB2139" s="102" t="s">
        <v>66</v>
      </c>
      <c r="AC2139" s="81">
        <f t="shared" si="102"/>
        <v>438.90117300063974</v>
      </c>
      <c r="AD2139" s="82">
        <f t="shared" si="103"/>
        <v>11.164285714285713</v>
      </c>
      <c r="AE2139" s="218">
        <v>-1.170161959454827E-2</v>
      </c>
      <c r="AF2139">
        <v>5</v>
      </c>
      <c r="AH2139" t="str">
        <f t="shared" si="104"/>
        <v>Teghra</v>
      </c>
      <c r="AJ2139" s="72">
        <v>0</v>
      </c>
      <c r="AK2139" s="72"/>
      <c r="AL2139" s="72"/>
      <c r="AM2139" s="72"/>
    </row>
    <row r="2140" spans="1:39" x14ac:dyDescent="0.25">
      <c r="A2140" s="37" t="s">
        <v>62</v>
      </c>
      <c r="B2140" s="66" t="s">
        <v>1629</v>
      </c>
      <c r="C2140" s="41">
        <v>1008</v>
      </c>
      <c r="D2140" s="41" t="s">
        <v>221</v>
      </c>
      <c r="E2140" s="41">
        <v>10080022</v>
      </c>
      <c r="F2140" s="85" t="s">
        <v>232</v>
      </c>
      <c r="G2140" s="39" t="s">
        <v>93</v>
      </c>
      <c r="H2140" s="52" t="s">
        <v>94</v>
      </c>
      <c r="I2140" s="52">
        <v>253</v>
      </c>
      <c r="J2140" s="49">
        <v>10727.220000000003</v>
      </c>
      <c r="K2140" s="58">
        <v>266.76</v>
      </c>
      <c r="L2140" s="58">
        <v>11299.387424138575</v>
      </c>
      <c r="M2140" s="58">
        <v>4.6599999999999993</v>
      </c>
      <c r="N2140" s="58">
        <v>182.94177427020003</v>
      </c>
      <c r="O2140" s="58">
        <v>271.42</v>
      </c>
      <c r="P2140" s="53">
        <v>11482.329198408775</v>
      </c>
      <c r="Q2140" s="65">
        <v>10727.220000000003</v>
      </c>
      <c r="R2140" s="65">
        <v>0</v>
      </c>
      <c r="S2140" s="65">
        <v>182.94177427020003</v>
      </c>
      <c r="T2140" s="65">
        <v>755.1091984087725</v>
      </c>
      <c r="U2140" s="58">
        <v>0</v>
      </c>
      <c r="V2140" s="65">
        <v>0</v>
      </c>
      <c r="W2140" s="65">
        <v>0</v>
      </c>
      <c r="X2140" s="65">
        <v>10544</v>
      </c>
      <c r="Y2140" s="65">
        <v>0</v>
      </c>
      <c r="Z2140" s="51">
        <v>0</v>
      </c>
      <c r="AA2140" s="51">
        <v>0</v>
      </c>
      <c r="AB2140" s="102" t="s">
        <v>68</v>
      </c>
      <c r="AC2140" s="81">
        <f t="shared" si="102"/>
        <v>379.05670671936764</v>
      </c>
      <c r="AD2140" s="82">
        <f t="shared" si="103"/>
        <v>36.142857142857146</v>
      </c>
      <c r="AE2140" s="218">
        <v>-7.0391881438879061E-2</v>
      </c>
      <c r="AF2140">
        <v>7</v>
      </c>
      <c r="AH2140" t="str">
        <f t="shared" si="104"/>
        <v>Teghra</v>
      </c>
      <c r="AJ2140" s="72">
        <v>0</v>
      </c>
      <c r="AK2140" s="72"/>
      <c r="AL2140" s="72"/>
      <c r="AM2140" s="72"/>
    </row>
    <row r="2141" spans="1:39" x14ac:dyDescent="0.25">
      <c r="A2141" s="37" t="s">
        <v>62</v>
      </c>
      <c r="B2141" s="66" t="s">
        <v>1629</v>
      </c>
      <c r="C2141" s="41">
        <v>1008</v>
      </c>
      <c r="D2141" s="41" t="s">
        <v>221</v>
      </c>
      <c r="E2141" s="41">
        <v>10080024</v>
      </c>
      <c r="F2141" s="85" t="s">
        <v>234</v>
      </c>
      <c r="G2141" s="39" t="s">
        <v>635</v>
      </c>
      <c r="H2141" s="52" t="s">
        <v>99</v>
      </c>
      <c r="I2141" s="52">
        <v>6497</v>
      </c>
      <c r="J2141" s="49">
        <v>241724.76</v>
      </c>
      <c r="K2141" s="58">
        <v>0</v>
      </c>
      <c r="L2141" s="58">
        <v>0</v>
      </c>
      <c r="M2141" s="58">
        <v>0</v>
      </c>
      <c r="N2141" s="58">
        <v>0</v>
      </c>
      <c r="O2141" s="58">
        <v>0</v>
      </c>
      <c r="P2141" s="53">
        <v>0</v>
      </c>
      <c r="Q2141" s="65">
        <v>241724.76</v>
      </c>
      <c r="R2141" s="65">
        <v>0</v>
      </c>
      <c r="S2141" s="65">
        <v>0</v>
      </c>
      <c r="T2141" s="65">
        <v>0</v>
      </c>
      <c r="U2141" s="58">
        <v>0</v>
      </c>
      <c r="V2141" s="65">
        <v>0</v>
      </c>
      <c r="W2141" s="65">
        <v>0</v>
      </c>
      <c r="X2141" s="65">
        <v>0</v>
      </c>
      <c r="Y2141" s="65">
        <v>0</v>
      </c>
      <c r="Z2141" s="51">
        <v>241724.76</v>
      </c>
      <c r="AA2141" s="51">
        <v>0</v>
      </c>
      <c r="AB2141" s="102">
        <v>0</v>
      </c>
      <c r="AC2141" s="81">
        <f t="shared" si="102"/>
        <v>0</v>
      </c>
      <c r="AD2141" s="82">
        <f t="shared" si="103"/>
        <v>0</v>
      </c>
      <c r="AE2141" s="218">
        <v>0</v>
      </c>
      <c r="AF2141">
        <v>0</v>
      </c>
      <c r="AH2141" t="str">
        <f t="shared" si="104"/>
        <v>Teghra</v>
      </c>
      <c r="AJ2141" s="72">
        <v>0</v>
      </c>
      <c r="AK2141" s="72"/>
      <c r="AL2141" s="72"/>
      <c r="AM2141" s="72"/>
    </row>
    <row r="2142" spans="1:39" x14ac:dyDescent="0.25">
      <c r="A2142" s="37" t="s">
        <v>62</v>
      </c>
      <c r="B2142" s="66" t="s">
        <v>1629</v>
      </c>
      <c r="C2142" s="41">
        <v>1008</v>
      </c>
      <c r="D2142" s="41" t="s">
        <v>221</v>
      </c>
      <c r="E2142" s="41">
        <v>10080025</v>
      </c>
      <c r="F2142" s="85" t="s">
        <v>235</v>
      </c>
      <c r="G2142" s="39" t="s">
        <v>93</v>
      </c>
      <c r="H2142" s="52" t="s">
        <v>94</v>
      </c>
      <c r="I2142" s="52">
        <v>804.24999999999989</v>
      </c>
      <c r="J2142" s="49">
        <v>28310.46</v>
      </c>
      <c r="K2142" s="58">
        <v>894.28999999999974</v>
      </c>
      <c r="L2142" s="58">
        <v>33255.540187401813</v>
      </c>
      <c r="M2142" s="58">
        <v>14.280000000000001</v>
      </c>
      <c r="N2142" s="58">
        <v>550.44766814399998</v>
      </c>
      <c r="O2142" s="58">
        <v>908.56999999999971</v>
      </c>
      <c r="P2142" s="53">
        <v>33805.987855545813</v>
      </c>
      <c r="Q2142" s="65">
        <v>28310.46</v>
      </c>
      <c r="R2142" s="65">
        <v>0</v>
      </c>
      <c r="S2142" s="65">
        <v>550.44766814399998</v>
      </c>
      <c r="T2142" s="65">
        <v>5495.5278555458135</v>
      </c>
      <c r="U2142" s="58">
        <v>0</v>
      </c>
      <c r="V2142" s="65">
        <v>0</v>
      </c>
      <c r="W2142" s="65">
        <v>0</v>
      </c>
      <c r="X2142" s="65">
        <v>27760</v>
      </c>
      <c r="Y2142" s="65">
        <v>0</v>
      </c>
      <c r="Z2142" s="51">
        <v>0</v>
      </c>
      <c r="AA2142" s="51">
        <v>0</v>
      </c>
      <c r="AB2142" s="102" t="s">
        <v>68</v>
      </c>
      <c r="AC2142" s="81">
        <f t="shared" si="102"/>
        <v>0</v>
      </c>
      <c r="AD2142" s="82">
        <f t="shared" si="103"/>
        <v>0</v>
      </c>
      <c r="AE2142" s="218">
        <v>-0.19411651578765635</v>
      </c>
      <c r="AF2142">
        <v>26</v>
      </c>
      <c r="AH2142" t="str">
        <f t="shared" si="104"/>
        <v>Teghra</v>
      </c>
      <c r="AJ2142" s="72">
        <v>0</v>
      </c>
      <c r="AK2142" s="72"/>
      <c r="AL2142" s="72"/>
      <c r="AM2142" s="72"/>
    </row>
    <row r="2143" spans="1:39" x14ac:dyDescent="0.25">
      <c r="A2143" s="37" t="s">
        <v>62</v>
      </c>
      <c r="B2143" s="66" t="s">
        <v>1629</v>
      </c>
      <c r="C2143" s="41">
        <v>1008</v>
      </c>
      <c r="D2143" s="41" t="s">
        <v>221</v>
      </c>
      <c r="E2143" s="41">
        <v>10080032</v>
      </c>
      <c r="F2143" s="85" t="s">
        <v>237</v>
      </c>
      <c r="G2143" s="39" t="s">
        <v>93</v>
      </c>
      <c r="H2143" s="52" t="s">
        <v>94</v>
      </c>
      <c r="I2143" s="52">
        <v>397.65</v>
      </c>
      <c r="J2143" s="49">
        <v>16273.680000000002</v>
      </c>
      <c r="K2143" s="58">
        <v>196.80999999999995</v>
      </c>
      <c r="L2143" s="58">
        <v>8512.0227462556104</v>
      </c>
      <c r="M2143" s="58">
        <v>202.94000000000003</v>
      </c>
      <c r="N2143" s="58">
        <v>8261.1252827609514</v>
      </c>
      <c r="O2143" s="58">
        <v>399.75</v>
      </c>
      <c r="P2143" s="53">
        <v>16773.148029016564</v>
      </c>
      <c r="Q2143" s="65">
        <v>16273.680000000002</v>
      </c>
      <c r="R2143" s="65">
        <v>0</v>
      </c>
      <c r="S2143" s="65">
        <v>91.453702146250023</v>
      </c>
      <c r="T2143" s="65">
        <v>499.46802901656156</v>
      </c>
      <c r="U2143" s="58">
        <v>0</v>
      </c>
      <c r="V2143" s="65">
        <v>4.5392606557378201</v>
      </c>
      <c r="W2143" s="65">
        <v>0</v>
      </c>
      <c r="X2143" s="65">
        <v>8008</v>
      </c>
      <c r="Y2143" s="65">
        <v>8170</v>
      </c>
      <c r="Z2143" s="51">
        <v>0</v>
      </c>
      <c r="AA2143" s="51">
        <v>0</v>
      </c>
      <c r="AB2143" s="102" t="s">
        <v>68</v>
      </c>
      <c r="AC2143" s="81">
        <f t="shared" si="102"/>
        <v>247.47125099962287</v>
      </c>
      <c r="AD2143" s="82">
        <f t="shared" si="103"/>
        <v>56.807142857142857</v>
      </c>
      <c r="AE2143" s="218">
        <v>-3.0691769103027802E-2</v>
      </c>
      <c r="AF2143">
        <v>6</v>
      </c>
      <c r="AH2143" t="str">
        <f t="shared" si="104"/>
        <v>Teghra</v>
      </c>
      <c r="AJ2143" s="72">
        <v>0</v>
      </c>
      <c r="AK2143" s="72"/>
      <c r="AL2143" s="72"/>
      <c r="AM2143" s="72"/>
    </row>
    <row r="2144" spans="1:39" x14ac:dyDescent="0.25">
      <c r="A2144" s="37" t="s">
        <v>62</v>
      </c>
      <c r="B2144" s="66" t="s">
        <v>1629</v>
      </c>
      <c r="C2144" s="41">
        <v>1008</v>
      </c>
      <c r="D2144" s="41" t="s">
        <v>221</v>
      </c>
      <c r="E2144" s="41">
        <v>10080040</v>
      </c>
      <c r="F2144" s="85" t="s">
        <v>238</v>
      </c>
      <c r="G2144" s="39" t="s">
        <v>635</v>
      </c>
      <c r="H2144" s="52" t="s">
        <v>99</v>
      </c>
      <c r="I2144" s="52">
        <v>1034.45</v>
      </c>
      <c r="J2144" s="49">
        <v>40608.480000000003</v>
      </c>
      <c r="K2144" s="58">
        <v>0</v>
      </c>
      <c r="L2144" s="58">
        <v>0</v>
      </c>
      <c r="M2144" s="58">
        <v>0</v>
      </c>
      <c r="N2144" s="58">
        <v>0</v>
      </c>
      <c r="O2144" s="58">
        <v>0</v>
      </c>
      <c r="P2144" s="53">
        <v>0</v>
      </c>
      <c r="Q2144" s="65">
        <v>40608.480000000003</v>
      </c>
      <c r="R2144" s="65">
        <v>0</v>
      </c>
      <c r="S2144" s="65">
        <v>0</v>
      </c>
      <c r="T2144" s="65">
        <v>0</v>
      </c>
      <c r="U2144" s="58">
        <v>0</v>
      </c>
      <c r="V2144" s="65">
        <v>0</v>
      </c>
      <c r="W2144" s="65">
        <v>0</v>
      </c>
      <c r="X2144" s="65">
        <v>0</v>
      </c>
      <c r="Y2144" s="65">
        <v>0</v>
      </c>
      <c r="Z2144" s="51">
        <v>40608.480000000003</v>
      </c>
      <c r="AA2144" s="51">
        <v>0</v>
      </c>
      <c r="AB2144" s="102">
        <v>0</v>
      </c>
      <c r="AC2144" s="81">
        <f t="shared" si="102"/>
        <v>0</v>
      </c>
      <c r="AD2144" s="82">
        <f t="shared" si="103"/>
        <v>0</v>
      </c>
      <c r="AE2144" s="218">
        <v>0</v>
      </c>
      <c r="AF2144">
        <v>0</v>
      </c>
      <c r="AH2144" t="str">
        <f t="shared" si="104"/>
        <v>Teghra</v>
      </c>
      <c r="AJ2144" s="72">
        <v>0</v>
      </c>
      <c r="AK2144" s="72"/>
      <c r="AL2144" s="72"/>
      <c r="AM2144" s="72"/>
    </row>
    <row r="2145" spans="1:39" x14ac:dyDescent="0.25">
      <c r="A2145" s="37" t="s">
        <v>62</v>
      </c>
      <c r="B2145" s="66" t="s">
        <v>1629</v>
      </c>
      <c r="C2145" s="41">
        <v>1008</v>
      </c>
      <c r="D2145" s="41" t="s">
        <v>221</v>
      </c>
      <c r="E2145" s="41">
        <v>10080043</v>
      </c>
      <c r="F2145" s="85" t="s">
        <v>1312</v>
      </c>
      <c r="G2145" s="39" t="s">
        <v>635</v>
      </c>
      <c r="H2145" s="52" t="s">
        <v>99</v>
      </c>
      <c r="I2145" s="52">
        <v>812.30000000000018</v>
      </c>
      <c r="J2145" s="49">
        <v>29403.27</v>
      </c>
      <c r="K2145" s="58">
        <v>0</v>
      </c>
      <c r="L2145" s="58">
        <v>0</v>
      </c>
      <c r="M2145" s="58">
        <v>0</v>
      </c>
      <c r="N2145" s="58">
        <v>0</v>
      </c>
      <c r="O2145" s="58">
        <v>0</v>
      </c>
      <c r="P2145" s="53">
        <v>0</v>
      </c>
      <c r="Q2145" s="65">
        <v>29403.27</v>
      </c>
      <c r="R2145" s="65">
        <v>0</v>
      </c>
      <c r="S2145" s="65">
        <v>0</v>
      </c>
      <c r="T2145" s="65">
        <v>0</v>
      </c>
      <c r="U2145" s="58">
        <v>0</v>
      </c>
      <c r="V2145" s="65">
        <v>0</v>
      </c>
      <c r="W2145" s="65">
        <v>0</v>
      </c>
      <c r="X2145" s="65">
        <v>0</v>
      </c>
      <c r="Y2145" s="65">
        <v>0</v>
      </c>
      <c r="Z2145" s="51">
        <v>29403.27</v>
      </c>
      <c r="AA2145" s="51">
        <v>0</v>
      </c>
      <c r="AB2145" s="102">
        <v>0</v>
      </c>
      <c r="AC2145" s="81">
        <f t="shared" si="102"/>
        <v>0</v>
      </c>
      <c r="AD2145" s="82">
        <f t="shared" si="103"/>
        <v>0</v>
      </c>
      <c r="AE2145" s="218">
        <v>0</v>
      </c>
      <c r="AF2145">
        <v>0</v>
      </c>
      <c r="AH2145" t="str">
        <f t="shared" si="104"/>
        <v>Teghra</v>
      </c>
      <c r="AJ2145" s="72">
        <v>0</v>
      </c>
      <c r="AK2145" s="72"/>
      <c r="AL2145" s="72"/>
      <c r="AM2145" s="72"/>
    </row>
    <row r="2146" spans="1:39" x14ac:dyDescent="0.25">
      <c r="A2146" s="37" t="s">
        <v>62</v>
      </c>
      <c r="B2146" s="66" t="s">
        <v>1629</v>
      </c>
      <c r="C2146" s="41">
        <v>1008</v>
      </c>
      <c r="D2146" s="41" t="s">
        <v>221</v>
      </c>
      <c r="E2146" s="41">
        <v>10080048</v>
      </c>
      <c r="F2146" s="85" t="s">
        <v>239</v>
      </c>
      <c r="G2146" s="39" t="s">
        <v>93</v>
      </c>
      <c r="H2146" s="52" t="s">
        <v>94</v>
      </c>
      <c r="I2146" s="52">
        <v>345.85</v>
      </c>
      <c r="J2146" s="49">
        <v>15320.3</v>
      </c>
      <c r="K2146" s="58">
        <v>345.28999999999996</v>
      </c>
      <c r="L2146" s="58">
        <v>14617.026701788393</v>
      </c>
      <c r="M2146" s="58">
        <v>2.64</v>
      </c>
      <c r="N2146" s="58">
        <v>119.99913876498002</v>
      </c>
      <c r="O2146" s="58">
        <v>347.92999999999995</v>
      </c>
      <c r="P2146" s="53">
        <v>14737.025840553373</v>
      </c>
      <c r="Q2146" s="65">
        <v>14737.025840553373</v>
      </c>
      <c r="R2146" s="65">
        <v>0</v>
      </c>
      <c r="S2146" s="65">
        <v>119.99913876498002</v>
      </c>
      <c r="T2146" s="65">
        <v>0</v>
      </c>
      <c r="U2146" s="58">
        <v>0</v>
      </c>
      <c r="V2146" s="65">
        <v>0</v>
      </c>
      <c r="W2146" s="65">
        <v>0</v>
      </c>
      <c r="X2146" s="65">
        <v>14616</v>
      </c>
      <c r="Y2146" s="65">
        <v>0</v>
      </c>
      <c r="Z2146" s="51">
        <v>0</v>
      </c>
      <c r="AA2146" s="51">
        <v>584</v>
      </c>
      <c r="AB2146" s="102">
        <v>0</v>
      </c>
      <c r="AC2146" s="81">
        <f t="shared" si="102"/>
        <v>313.75938961977727</v>
      </c>
      <c r="AD2146" s="82">
        <f t="shared" si="103"/>
        <v>49.407142857142858</v>
      </c>
      <c r="AE2146" s="218">
        <v>3.8071980277581123E-2</v>
      </c>
      <c r="AF2146">
        <v>7</v>
      </c>
      <c r="AH2146" t="str">
        <f t="shared" si="104"/>
        <v>Teghra</v>
      </c>
      <c r="AJ2146" s="72">
        <v>0</v>
      </c>
      <c r="AK2146" s="72"/>
      <c r="AL2146" s="72"/>
      <c r="AM2146" s="72"/>
    </row>
    <row r="2147" spans="1:39" x14ac:dyDescent="0.25">
      <c r="A2147" s="37" t="s">
        <v>62</v>
      </c>
      <c r="B2147" s="66" t="s">
        <v>1629</v>
      </c>
      <c r="C2147" s="41">
        <v>1008</v>
      </c>
      <c r="D2147" s="41" t="s">
        <v>221</v>
      </c>
      <c r="E2147" s="41">
        <v>10080052</v>
      </c>
      <c r="F2147" s="85" t="s">
        <v>241</v>
      </c>
      <c r="G2147" s="39" t="s">
        <v>93</v>
      </c>
      <c r="H2147" s="52" t="s">
        <v>94</v>
      </c>
      <c r="I2147" s="52">
        <v>725.35000000000014</v>
      </c>
      <c r="J2147" s="49">
        <v>24880.1</v>
      </c>
      <c r="K2147" s="58">
        <v>725</v>
      </c>
      <c r="L2147" s="58">
        <v>21973.301856000002</v>
      </c>
      <c r="M2147" s="58">
        <v>0.1</v>
      </c>
      <c r="N2147" s="58">
        <v>3.0308002560000009</v>
      </c>
      <c r="O2147" s="58">
        <v>725.1</v>
      </c>
      <c r="P2147" s="53">
        <v>21976.332656256003</v>
      </c>
      <c r="Q2147" s="65">
        <v>21976.332656256003</v>
      </c>
      <c r="R2147" s="65">
        <v>0</v>
      </c>
      <c r="S2147" s="65">
        <v>3.0308002560000009</v>
      </c>
      <c r="T2147" s="65">
        <v>0</v>
      </c>
      <c r="U2147" s="58">
        <v>0</v>
      </c>
      <c r="V2147" s="65">
        <v>0</v>
      </c>
      <c r="W2147" s="65">
        <v>0</v>
      </c>
      <c r="X2147" s="65">
        <v>21973</v>
      </c>
      <c r="Y2147" s="65">
        <v>0</v>
      </c>
      <c r="Z2147" s="51">
        <v>0</v>
      </c>
      <c r="AA2147" s="51">
        <v>2904</v>
      </c>
      <c r="AB2147" s="102">
        <v>0</v>
      </c>
      <c r="AC2147" s="81">
        <f t="shared" si="102"/>
        <v>0</v>
      </c>
      <c r="AD2147" s="82">
        <f t="shared" si="103"/>
        <v>0</v>
      </c>
      <c r="AE2147" s="218">
        <v>0.11671043700563886</v>
      </c>
      <c r="AF2147">
        <v>2</v>
      </c>
      <c r="AH2147" t="str">
        <f t="shared" si="104"/>
        <v>Teghra</v>
      </c>
      <c r="AJ2147" s="72">
        <v>0</v>
      </c>
      <c r="AK2147" s="72"/>
      <c r="AL2147" s="72"/>
      <c r="AM2147" s="72"/>
    </row>
    <row r="2148" spans="1:39" x14ac:dyDescent="0.25">
      <c r="A2148" s="37" t="s">
        <v>62</v>
      </c>
      <c r="B2148" s="66" t="s">
        <v>1629</v>
      </c>
      <c r="C2148" s="41">
        <v>1008</v>
      </c>
      <c r="D2148" s="41" t="s">
        <v>221</v>
      </c>
      <c r="E2148" s="41">
        <v>10080053</v>
      </c>
      <c r="F2148" s="85" t="s">
        <v>242</v>
      </c>
      <c r="G2148" s="39" t="s">
        <v>93</v>
      </c>
      <c r="H2148" s="52" t="s">
        <v>94</v>
      </c>
      <c r="I2148" s="52">
        <v>585.35</v>
      </c>
      <c r="J2148" s="49">
        <v>20502.810000000001</v>
      </c>
      <c r="K2148" s="58">
        <v>575.24</v>
      </c>
      <c r="L2148" s="58">
        <v>20515.364259670514</v>
      </c>
      <c r="M2148" s="58">
        <v>0</v>
      </c>
      <c r="N2148" s="58">
        <v>0</v>
      </c>
      <c r="O2148" s="58">
        <v>575.24</v>
      </c>
      <c r="P2148" s="53">
        <v>20515.364259670514</v>
      </c>
      <c r="Q2148" s="65">
        <v>20502.810000000001</v>
      </c>
      <c r="R2148" s="65">
        <v>0</v>
      </c>
      <c r="S2148" s="65">
        <v>0</v>
      </c>
      <c r="T2148" s="65">
        <v>12.554259670512693</v>
      </c>
      <c r="U2148" s="58">
        <v>0</v>
      </c>
      <c r="V2148" s="65">
        <v>0</v>
      </c>
      <c r="W2148" s="65">
        <v>0</v>
      </c>
      <c r="X2148" s="65">
        <v>20503</v>
      </c>
      <c r="Y2148" s="65">
        <v>0</v>
      </c>
      <c r="Z2148" s="51">
        <v>0</v>
      </c>
      <c r="AA2148" s="51">
        <v>0</v>
      </c>
      <c r="AB2148" s="102">
        <v>0</v>
      </c>
      <c r="AC2148" s="81">
        <f t="shared" si="102"/>
        <v>80.315953412488213</v>
      </c>
      <c r="AD2148" s="82">
        <f t="shared" si="103"/>
        <v>83.621428571428581</v>
      </c>
      <c r="AE2148" s="218">
        <v>-6.123189782528684E-4</v>
      </c>
      <c r="AF2148">
        <v>2</v>
      </c>
      <c r="AH2148" t="str">
        <f t="shared" si="104"/>
        <v>Teghra</v>
      </c>
      <c r="AJ2148" s="72">
        <v>0</v>
      </c>
      <c r="AK2148" s="72"/>
      <c r="AL2148" s="72"/>
      <c r="AM2148" s="72"/>
    </row>
    <row r="2149" spans="1:39" x14ac:dyDescent="0.25">
      <c r="A2149" s="37" t="s">
        <v>62</v>
      </c>
      <c r="B2149" s="66" t="s">
        <v>1629</v>
      </c>
      <c r="C2149" s="41">
        <v>1008</v>
      </c>
      <c r="D2149" s="41" t="s">
        <v>221</v>
      </c>
      <c r="E2149" s="41">
        <v>10080054</v>
      </c>
      <c r="F2149" s="85" t="s">
        <v>243</v>
      </c>
      <c r="G2149" s="39" t="s">
        <v>635</v>
      </c>
      <c r="H2149" s="52" t="s">
        <v>99</v>
      </c>
      <c r="I2149" s="52">
        <v>847.85000000000014</v>
      </c>
      <c r="J2149" s="49">
        <v>30560.28</v>
      </c>
      <c r="K2149" s="58">
        <v>0</v>
      </c>
      <c r="L2149" s="58">
        <v>0</v>
      </c>
      <c r="M2149" s="58">
        <v>0</v>
      </c>
      <c r="N2149" s="58">
        <v>0</v>
      </c>
      <c r="O2149" s="58">
        <v>0</v>
      </c>
      <c r="P2149" s="53">
        <v>0</v>
      </c>
      <c r="Q2149" s="65">
        <v>30560.28</v>
      </c>
      <c r="R2149" s="65">
        <v>0</v>
      </c>
      <c r="S2149" s="65">
        <v>0</v>
      </c>
      <c r="T2149" s="65">
        <v>0</v>
      </c>
      <c r="U2149" s="58">
        <v>0</v>
      </c>
      <c r="V2149" s="65">
        <v>749.3160290322578</v>
      </c>
      <c r="W2149" s="65">
        <v>0</v>
      </c>
      <c r="X2149" s="65">
        <v>0</v>
      </c>
      <c r="Y2149" s="65">
        <v>0</v>
      </c>
      <c r="Z2149" s="51">
        <v>29810.963970967739</v>
      </c>
      <c r="AA2149" s="51">
        <v>0</v>
      </c>
      <c r="AB2149" s="102">
        <v>0</v>
      </c>
      <c r="AC2149" s="81">
        <f t="shared" si="102"/>
        <v>0</v>
      </c>
      <c r="AD2149" s="82">
        <f t="shared" si="103"/>
        <v>0</v>
      </c>
      <c r="AE2149" s="218">
        <v>0</v>
      </c>
      <c r="AF2149">
        <v>0</v>
      </c>
      <c r="AH2149" t="str">
        <f t="shared" si="104"/>
        <v>Teghra</v>
      </c>
      <c r="AJ2149" s="72">
        <v>0</v>
      </c>
      <c r="AK2149" s="72"/>
      <c r="AL2149" s="72"/>
      <c r="AM2149" s="72"/>
    </row>
    <row r="2150" spans="1:39" x14ac:dyDescent="0.25">
      <c r="A2150" s="37" t="s">
        <v>62</v>
      </c>
      <c r="B2150" s="66" t="s">
        <v>1629</v>
      </c>
      <c r="C2150" s="41">
        <v>1008</v>
      </c>
      <c r="D2150" s="41" t="s">
        <v>221</v>
      </c>
      <c r="E2150" s="41">
        <v>10080055</v>
      </c>
      <c r="F2150" s="85" t="s">
        <v>244</v>
      </c>
      <c r="G2150" s="39" t="s">
        <v>93</v>
      </c>
      <c r="H2150" s="52" t="s">
        <v>94</v>
      </c>
      <c r="I2150" s="52">
        <v>513.1</v>
      </c>
      <c r="J2150" s="49">
        <v>19368.259999999995</v>
      </c>
      <c r="K2150" s="58">
        <v>513.62</v>
      </c>
      <c r="L2150" s="58">
        <v>21090.972437172</v>
      </c>
      <c r="M2150" s="58">
        <v>0</v>
      </c>
      <c r="N2150" s="58">
        <v>0</v>
      </c>
      <c r="O2150" s="58">
        <v>513.62</v>
      </c>
      <c r="P2150" s="53">
        <v>21090.972437172</v>
      </c>
      <c r="Q2150" s="65">
        <v>19368.259999999995</v>
      </c>
      <c r="R2150" s="65">
        <v>0</v>
      </c>
      <c r="S2150" s="65">
        <v>0</v>
      </c>
      <c r="T2150" s="65">
        <v>1722.7124371720056</v>
      </c>
      <c r="U2150" s="58">
        <v>0</v>
      </c>
      <c r="V2150" s="65">
        <v>79.912278947368364</v>
      </c>
      <c r="W2150" s="65">
        <v>0</v>
      </c>
      <c r="X2150" s="65">
        <v>19288</v>
      </c>
      <c r="Y2150" s="65">
        <v>0</v>
      </c>
      <c r="Z2150" s="51">
        <v>0</v>
      </c>
      <c r="AA2150" s="51">
        <v>0</v>
      </c>
      <c r="AB2150" s="102">
        <v>0</v>
      </c>
      <c r="AC2150" s="81">
        <f t="shared" si="102"/>
        <v>141.10028431105044</v>
      </c>
      <c r="AD2150" s="82">
        <f t="shared" si="103"/>
        <v>73.3</v>
      </c>
      <c r="AE2150" s="218">
        <v>-8.8945131734704405E-2</v>
      </c>
      <c r="AF2150">
        <v>4</v>
      </c>
      <c r="AH2150" t="str">
        <f t="shared" si="104"/>
        <v>Teghra</v>
      </c>
      <c r="AJ2150" s="72">
        <v>0</v>
      </c>
      <c r="AK2150" s="72"/>
      <c r="AL2150" s="72"/>
      <c r="AM2150" s="72"/>
    </row>
    <row r="2151" spans="1:39" x14ac:dyDescent="0.25">
      <c r="A2151" s="37" t="s">
        <v>62</v>
      </c>
      <c r="B2151" s="66" t="s">
        <v>1629</v>
      </c>
      <c r="C2151" s="41">
        <v>1008</v>
      </c>
      <c r="D2151" s="41" t="s">
        <v>221</v>
      </c>
      <c r="E2151" s="41">
        <v>10080061</v>
      </c>
      <c r="F2151" s="85" t="s">
        <v>245</v>
      </c>
      <c r="G2151" s="39" t="s">
        <v>93</v>
      </c>
      <c r="H2151" s="52" t="s">
        <v>94</v>
      </c>
      <c r="I2151" s="52">
        <v>126.35000000000001</v>
      </c>
      <c r="J2151" s="49">
        <v>4415.92</v>
      </c>
      <c r="K2151" s="58">
        <v>126.30000000000001</v>
      </c>
      <c r="L2151" s="58">
        <v>4413.8030086260005</v>
      </c>
      <c r="M2151" s="58">
        <v>0</v>
      </c>
      <c r="N2151" s="58">
        <v>0</v>
      </c>
      <c r="O2151" s="58">
        <v>126.30000000000001</v>
      </c>
      <c r="P2151" s="53">
        <v>4413.8030086260005</v>
      </c>
      <c r="Q2151" s="65">
        <v>4413.8030086260005</v>
      </c>
      <c r="R2151" s="65">
        <v>0</v>
      </c>
      <c r="S2151" s="65">
        <v>0</v>
      </c>
      <c r="T2151" s="65">
        <v>0</v>
      </c>
      <c r="U2151" s="58">
        <v>0</v>
      </c>
      <c r="V2151" s="65">
        <v>33.138925714285705</v>
      </c>
      <c r="W2151" s="65">
        <v>0</v>
      </c>
      <c r="X2151" s="65">
        <v>4381</v>
      </c>
      <c r="Y2151" s="65">
        <v>0</v>
      </c>
      <c r="Z2151" s="51">
        <v>0</v>
      </c>
      <c r="AA2151" s="51">
        <v>2</v>
      </c>
      <c r="AB2151" s="102">
        <v>0</v>
      </c>
      <c r="AC2151" s="81">
        <f t="shared" si="102"/>
        <v>400.98021495844881</v>
      </c>
      <c r="AD2151" s="82">
        <f t="shared" si="103"/>
        <v>18.05</v>
      </c>
      <c r="AE2151" s="218">
        <v>4.7939984737032228E-4</v>
      </c>
      <c r="AF2151">
        <v>1</v>
      </c>
      <c r="AH2151" t="str">
        <f t="shared" si="104"/>
        <v>Teghra</v>
      </c>
      <c r="AJ2151" s="72">
        <v>0</v>
      </c>
      <c r="AK2151" s="72"/>
      <c r="AL2151" s="72"/>
      <c r="AM2151" s="72"/>
    </row>
    <row r="2152" spans="1:39" x14ac:dyDescent="0.25">
      <c r="A2152" s="37" t="s">
        <v>62</v>
      </c>
      <c r="B2152" s="66" t="s">
        <v>1629</v>
      </c>
      <c r="C2152" s="41">
        <v>1008</v>
      </c>
      <c r="D2152" s="41" t="s">
        <v>221</v>
      </c>
      <c r="E2152" s="41">
        <v>10080062</v>
      </c>
      <c r="F2152" s="85" t="s">
        <v>246</v>
      </c>
      <c r="G2152" s="39" t="s">
        <v>93</v>
      </c>
      <c r="H2152" s="52" t="s">
        <v>94</v>
      </c>
      <c r="I2152" s="52">
        <v>41.850000000000009</v>
      </c>
      <c r="J2152" s="49">
        <v>1555.5100000000002</v>
      </c>
      <c r="K2152" s="58">
        <v>41</v>
      </c>
      <c r="L2152" s="58">
        <v>1548.9545029200001</v>
      </c>
      <c r="M2152" s="58">
        <v>0</v>
      </c>
      <c r="N2152" s="58">
        <v>0</v>
      </c>
      <c r="O2152" s="58">
        <v>41</v>
      </c>
      <c r="P2152" s="53">
        <v>1548.9545029200001</v>
      </c>
      <c r="Q2152" s="65">
        <v>1548.9545029200001</v>
      </c>
      <c r="R2152" s="65">
        <v>0</v>
      </c>
      <c r="S2152" s="65">
        <v>0</v>
      </c>
      <c r="T2152" s="65">
        <v>0</v>
      </c>
      <c r="U2152" s="58">
        <v>0</v>
      </c>
      <c r="V2152" s="65">
        <v>58.556513114754125</v>
      </c>
      <c r="W2152" s="65">
        <v>0</v>
      </c>
      <c r="X2152" s="65">
        <v>1490</v>
      </c>
      <c r="Y2152" s="65">
        <v>0</v>
      </c>
      <c r="Z2152" s="51">
        <v>0</v>
      </c>
      <c r="AA2152" s="51">
        <v>7</v>
      </c>
      <c r="AB2152" s="102">
        <v>0</v>
      </c>
      <c r="AC2152" s="81">
        <f t="shared" si="102"/>
        <v>489.25156821983262</v>
      </c>
      <c r="AD2152" s="82">
        <f t="shared" si="103"/>
        <v>5.9785714285714295</v>
      </c>
      <c r="AE2152" s="218">
        <v>4.2143715437381454E-3</v>
      </c>
      <c r="AF2152">
        <v>1</v>
      </c>
      <c r="AH2152" t="str">
        <f t="shared" si="104"/>
        <v>Teghra</v>
      </c>
      <c r="AJ2152" s="72">
        <v>0</v>
      </c>
      <c r="AK2152" s="72"/>
      <c r="AL2152" s="72"/>
      <c r="AM2152" s="72"/>
    </row>
    <row r="2153" spans="1:39" x14ac:dyDescent="0.25">
      <c r="A2153" s="37" t="s">
        <v>62</v>
      </c>
      <c r="B2153" s="66" t="s">
        <v>1629</v>
      </c>
      <c r="C2153" s="41">
        <v>1008</v>
      </c>
      <c r="D2153" s="41" t="s">
        <v>221</v>
      </c>
      <c r="E2153" s="41">
        <v>10080067</v>
      </c>
      <c r="F2153" s="85" t="s">
        <v>248</v>
      </c>
      <c r="G2153" s="39" t="s">
        <v>93</v>
      </c>
      <c r="H2153" s="52" t="s">
        <v>94</v>
      </c>
      <c r="I2153" s="52">
        <v>64</v>
      </c>
      <c r="J2153" s="49">
        <v>2215.7399999999998</v>
      </c>
      <c r="K2153" s="58">
        <v>68.010000000000005</v>
      </c>
      <c r="L2153" s="58">
        <v>2260.8915678953999</v>
      </c>
      <c r="M2153" s="58">
        <v>0</v>
      </c>
      <c r="N2153" s="58">
        <v>0</v>
      </c>
      <c r="O2153" s="58">
        <v>68.010000000000005</v>
      </c>
      <c r="P2153" s="53">
        <v>2260.8915678953999</v>
      </c>
      <c r="Q2153" s="65">
        <v>2215.7399999999998</v>
      </c>
      <c r="R2153" s="65">
        <v>0</v>
      </c>
      <c r="S2153" s="65">
        <v>0</v>
      </c>
      <c r="T2153" s="65">
        <v>45.151567895400149</v>
      </c>
      <c r="U2153" s="58">
        <v>0</v>
      </c>
      <c r="V2153" s="65">
        <v>10.116659999999996</v>
      </c>
      <c r="W2153" s="65">
        <v>0</v>
      </c>
      <c r="X2153" s="65">
        <v>2206</v>
      </c>
      <c r="Y2153" s="65">
        <v>0</v>
      </c>
      <c r="Z2153" s="51">
        <v>0</v>
      </c>
      <c r="AA2153" s="51">
        <v>0</v>
      </c>
      <c r="AB2153" s="102">
        <v>0</v>
      </c>
      <c r="AC2153" s="81">
        <f t="shared" si="102"/>
        <v>440.37832499999996</v>
      </c>
      <c r="AD2153" s="82">
        <f t="shared" si="103"/>
        <v>9.1428571428571423</v>
      </c>
      <c r="AE2153" s="218">
        <v>-2.0377647149665643E-2</v>
      </c>
      <c r="AF2153">
        <v>3</v>
      </c>
      <c r="AH2153" t="str">
        <f t="shared" si="104"/>
        <v>Teghra</v>
      </c>
      <c r="AJ2153" s="72">
        <v>0</v>
      </c>
      <c r="AK2153" s="72"/>
      <c r="AL2153" s="72"/>
      <c r="AM2153" s="72"/>
    </row>
    <row r="2154" spans="1:39" x14ac:dyDescent="0.25">
      <c r="A2154" s="37" t="s">
        <v>62</v>
      </c>
      <c r="B2154" s="66" t="s">
        <v>1629</v>
      </c>
      <c r="C2154" s="41">
        <v>1008</v>
      </c>
      <c r="D2154" s="41" t="s">
        <v>221</v>
      </c>
      <c r="E2154" s="41">
        <v>10080073</v>
      </c>
      <c r="F2154" s="85" t="s">
        <v>1619</v>
      </c>
      <c r="G2154" s="39" t="s">
        <v>635</v>
      </c>
      <c r="H2154" s="52" t="s">
        <v>99</v>
      </c>
      <c r="I2154" s="52">
        <v>359.45</v>
      </c>
      <c r="J2154" s="49">
        <v>15200.81</v>
      </c>
      <c r="K2154" s="58">
        <v>0</v>
      </c>
      <c r="L2154" s="58">
        <v>0</v>
      </c>
      <c r="M2154" s="58">
        <v>0</v>
      </c>
      <c r="N2154" s="58">
        <v>0</v>
      </c>
      <c r="O2154" s="58">
        <v>0</v>
      </c>
      <c r="P2154" s="53">
        <v>0</v>
      </c>
      <c r="Q2154" s="65">
        <v>15200.81</v>
      </c>
      <c r="R2154" s="65">
        <v>0</v>
      </c>
      <c r="S2154" s="65">
        <v>0</v>
      </c>
      <c r="T2154" s="65">
        <v>0</v>
      </c>
      <c r="U2154" s="58">
        <v>0</v>
      </c>
      <c r="V2154" s="65">
        <v>0</v>
      </c>
      <c r="W2154" s="65">
        <v>0</v>
      </c>
      <c r="X2154" s="65">
        <v>0</v>
      </c>
      <c r="Y2154" s="65">
        <v>0</v>
      </c>
      <c r="Z2154" s="51">
        <v>15200.81</v>
      </c>
      <c r="AA2154" s="51">
        <v>0</v>
      </c>
      <c r="AB2154" s="102">
        <v>0</v>
      </c>
      <c r="AC2154" s="81">
        <f t="shared" si="102"/>
        <v>288.03092755598834</v>
      </c>
      <c r="AD2154" s="82">
        <f t="shared" si="103"/>
        <v>51.35</v>
      </c>
      <c r="AE2154" s="218">
        <v>0</v>
      </c>
      <c r="AF2154">
        <v>0</v>
      </c>
      <c r="AH2154" t="str">
        <f t="shared" si="104"/>
        <v>Teghra</v>
      </c>
      <c r="AJ2154" s="72">
        <v>0</v>
      </c>
      <c r="AK2154" s="72"/>
      <c r="AL2154" s="72"/>
      <c r="AM2154" s="72"/>
    </row>
    <row r="2155" spans="1:39" x14ac:dyDescent="0.25">
      <c r="A2155" s="37" t="s">
        <v>62</v>
      </c>
      <c r="B2155" s="66" t="s">
        <v>1629</v>
      </c>
      <c r="C2155" s="41">
        <v>1008</v>
      </c>
      <c r="D2155" s="41" t="s">
        <v>221</v>
      </c>
      <c r="E2155" s="41">
        <v>10080076</v>
      </c>
      <c r="F2155" s="85" t="s">
        <v>472</v>
      </c>
      <c r="G2155" s="39" t="s">
        <v>635</v>
      </c>
      <c r="H2155" s="52" t="s">
        <v>99</v>
      </c>
      <c r="I2155" s="52">
        <v>57.8</v>
      </c>
      <c r="J2155" s="49">
        <v>2076.52</v>
      </c>
      <c r="K2155" s="58">
        <v>0</v>
      </c>
      <c r="L2155" s="58">
        <v>0</v>
      </c>
      <c r="M2155" s="58">
        <v>0</v>
      </c>
      <c r="N2155" s="58">
        <v>0</v>
      </c>
      <c r="O2155" s="58">
        <v>0</v>
      </c>
      <c r="P2155" s="53">
        <v>0</v>
      </c>
      <c r="Q2155" s="65">
        <v>2076.52</v>
      </c>
      <c r="R2155" s="65">
        <v>0</v>
      </c>
      <c r="S2155" s="65">
        <v>0</v>
      </c>
      <c r="T2155" s="65">
        <v>0</v>
      </c>
      <c r="U2155" s="58">
        <v>0</v>
      </c>
      <c r="V2155" s="65">
        <v>6.470061290322592</v>
      </c>
      <c r="W2155" s="65">
        <v>0</v>
      </c>
      <c r="X2155" s="65">
        <v>0</v>
      </c>
      <c r="Y2155" s="65">
        <v>0</v>
      </c>
      <c r="Z2155" s="51">
        <v>2070.0499387096775</v>
      </c>
      <c r="AA2155" s="51">
        <v>0</v>
      </c>
      <c r="AB2155" s="102">
        <v>0</v>
      </c>
      <c r="AC2155" s="81">
        <f t="shared" si="102"/>
        <v>461.43292179930802</v>
      </c>
      <c r="AD2155" s="82">
        <f t="shared" si="103"/>
        <v>8.2571428571428562</v>
      </c>
      <c r="AE2155" s="218">
        <v>0</v>
      </c>
      <c r="AF2155">
        <v>0</v>
      </c>
      <c r="AH2155" t="str">
        <f t="shared" si="104"/>
        <v>Teghra</v>
      </c>
      <c r="AJ2155" s="72">
        <v>0</v>
      </c>
      <c r="AK2155" s="72"/>
      <c r="AL2155" s="72"/>
      <c r="AM2155" s="72"/>
    </row>
    <row r="2156" spans="1:39" x14ac:dyDescent="0.25">
      <c r="A2156" s="37" t="s">
        <v>62</v>
      </c>
      <c r="B2156" s="66" t="s">
        <v>1629</v>
      </c>
      <c r="C2156" s="41">
        <v>1008</v>
      </c>
      <c r="D2156" s="41" t="s">
        <v>221</v>
      </c>
      <c r="E2156" s="41">
        <v>10080077</v>
      </c>
      <c r="F2156" s="85" t="s">
        <v>475</v>
      </c>
      <c r="G2156" s="39" t="s">
        <v>93</v>
      </c>
      <c r="H2156" s="52" t="s">
        <v>94</v>
      </c>
      <c r="I2156" s="52">
        <v>1195.0999999999999</v>
      </c>
      <c r="J2156" s="49">
        <v>43586.289999999994</v>
      </c>
      <c r="K2156" s="58">
        <v>1193.43</v>
      </c>
      <c r="L2156" s="58">
        <v>43331.380524232329</v>
      </c>
      <c r="M2156" s="58">
        <v>2.38</v>
      </c>
      <c r="N2156" s="58">
        <v>90.44313174824002</v>
      </c>
      <c r="O2156" s="58">
        <v>1195.8100000000002</v>
      </c>
      <c r="P2156" s="53">
        <v>43421.823655980566</v>
      </c>
      <c r="Q2156" s="65">
        <v>43421.823655980566</v>
      </c>
      <c r="R2156" s="65">
        <v>0</v>
      </c>
      <c r="S2156" s="65">
        <v>90.44313174824002</v>
      </c>
      <c r="T2156" s="65">
        <v>0</v>
      </c>
      <c r="U2156" s="58">
        <v>0</v>
      </c>
      <c r="V2156" s="65">
        <v>0</v>
      </c>
      <c r="W2156" s="65">
        <v>0</v>
      </c>
      <c r="X2156" s="65">
        <v>43331</v>
      </c>
      <c r="Y2156" s="65">
        <v>0</v>
      </c>
      <c r="Z2156" s="51">
        <v>0</v>
      </c>
      <c r="AA2156" s="51">
        <v>165</v>
      </c>
      <c r="AB2156" s="102">
        <v>0</v>
      </c>
      <c r="AC2156" s="81">
        <f t="shared" si="102"/>
        <v>0</v>
      </c>
      <c r="AD2156" s="82">
        <f t="shared" si="103"/>
        <v>0</v>
      </c>
      <c r="AE2156" s="218">
        <v>3.7733503819532984E-3</v>
      </c>
      <c r="AF2156">
        <v>7</v>
      </c>
      <c r="AH2156" t="str">
        <f t="shared" si="104"/>
        <v>Teghra</v>
      </c>
      <c r="AJ2156" s="72">
        <v>0</v>
      </c>
      <c r="AK2156" s="72"/>
      <c r="AL2156" s="72"/>
      <c r="AM2156" s="72"/>
    </row>
    <row r="2157" spans="1:39" x14ac:dyDescent="0.25">
      <c r="A2157" s="37" t="s">
        <v>62</v>
      </c>
      <c r="B2157" s="66" t="s">
        <v>1629</v>
      </c>
      <c r="C2157" s="41">
        <v>1008</v>
      </c>
      <c r="D2157" s="41" t="s">
        <v>221</v>
      </c>
      <c r="E2157" s="41">
        <v>10080078</v>
      </c>
      <c r="F2157" s="85" t="s">
        <v>619</v>
      </c>
      <c r="G2157" s="39" t="s">
        <v>635</v>
      </c>
      <c r="H2157" s="52" t="s">
        <v>99</v>
      </c>
      <c r="I2157" s="52">
        <v>162.44999999999999</v>
      </c>
      <c r="J2157" s="49">
        <v>6057.78</v>
      </c>
      <c r="K2157" s="58">
        <v>0</v>
      </c>
      <c r="L2157" s="58">
        <v>0</v>
      </c>
      <c r="M2157" s="58">
        <v>0</v>
      </c>
      <c r="N2157" s="58">
        <v>0</v>
      </c>
      <c r="O2157" s="58">
        <v>0</v>
      </c>
      <c r="P2157" s="53">
        <v>0</v>
      </c>
      <c r="Q2157" s="65">
        <v>6057.78</v>
      </c>
      <c r="R2157" s="65">
        <v>0</v>
      </c>
      <c r="S2157" s="65">
        <v>0</v>
      </c>
      <c r="T2157" s="65">
        <v>0</v>
      </c>
      <c r="U2157" s="58">
        <v>0</v>
      </c>
      <c r="V2157" s="65">
        <v>299.38910322580642</v>
      </c>
      <c r="W2157" s="65">
        <v>0</v>
      </c>
      <c r="X2157" s="65">
        <v>0</v>
      </c>
      <c r="Y2157" s="65">
        <v>0</v>
      </c>
      <c r="Z2157" s="51">
        <v>5758.3908967741936</v>
      </c>
      <c r="AA2157" s="51">
        <v>0</v>
      </c>
      <c r="AB2157" s="102">
        <v>0</v>
      </c>
      <c r="AC2157" s="81">
        <f t="shared" si="102"/>
        <v>400.90608051708216</v>
      </c>
      <c r="AD2157" s="82">
        <f t="shared" si="103"/>
        <v>23.207142857142856</v>
      </c>
      <c r="AE2157" s="218">
        <v>0</v>
      </c>
      <c r="AF2157">
        <v>0</v>
      </c>
      <c r="AH2157" t="str">
        <f t="shared" si="104"/>
        <v>Teghra</v>
      </c>
      <c r="AJ2157" s="72">
        <v>0</v>
      </c>
      <c r="AK2157" s="72"/>
      <c r="AL2157" s="72"/>
      <c r="AM2157" s="72"/>
    </row>
    <row r="2158" spans="1:39" x14ac:dyDescent="0.25">
      <c r="A2158" s="37" t="s">
        <v>62</v>
      </c>
      <c r="B2158" s="66" t="s">
        <v>1629</v>
      </c>
      <c r="C2158" s="41">
        <v>1008</v>
      </c>
      <c r="D2158" s="41" t="s">
        <v>221</v>
      </c>
      <c r="E2158" s="41">
        <v>10080079</v>
      </c>
      <c r="F2158" s="85" t="s">
        <v>486</v>
      </c>
      <c r="G2158" s="39" t="s">
        <v>93</v>
      </c>
      <c r="H2158" s="52" t="s">
        <v>94</v>
      </c>
      <c r="I2158" s="52">
        <v>170.25</v>
      </c>
      <c r="J2158" s="49">
        <v>6395.6</v>
      </c>
      <c r="K2158" s="58">
        <v>170.00000000000003</v>
      </c>
      <c r="L2158" s="58">
        <v>6385.8872386980001</v>
      </c>
      <c r="M2158" s="58">
        <v>0</v>
      </c>
      <c r="N2158" s="58">
        <v>0</v>
      </c>
      <c r="O2158" s="58">
        <v>170.00000000000003</v>
      </c>
      <c r="P2158" s="53">
        <v>6385.8872386980001</v>
      </c>
      <c r="Q2158" s="65">
        <v>6385.8872386980001</v>
      </c>
      <c r="R2158" s="65">
        <v>0</v>
      </c>
      <c r="S2158" s="65">
        <v>0</v>
      </c>
      <c r="T2158" s="65">
        <v>0</v>
      </c>
      <c r="U2158" s="58">
        <v>0</v>
      </c>
      <c r="V2158" s="65">
        <v>7.0003451612903085</v>
      </c>
      <c r="W2158" s="65">
        <v>0</v>
      </c>
      <c r="X2158" s="65">
        <v>6379</v>
      </c>
      <c r="Y2158" s="65">
        <v>0</v>
      </c>
      <c r="Z2158" s="51">
        <v>0</v>
      </c>
      <c r="AA2158" s="51">
        <v>10</v>
      </c>
      <c r="AB2158" s="102">
        <v>0</v>
      </c>
      <c r="AC2158" s="81">
        <f t="shared" si="102"/>
        <v>398.01105433186495</v>
      </c>
      <c r="AD2158" s="82">
        <f t="shared" si="103"/>
        <v>24.321428571428573</v>
      </c>
      <c r="AE2158" s="218">
        <v>1.5186630342735969E-3</v>
      </c>
      <c r="AF2158">
        <v>1</v>
      </c>
      <c r="AH2158" t="str">
        <f t="shared" si="104"/>
        <v>Teghra</v>
      </c>
      <c r="AJ2158" s="72">
        <v>0</v>
      </c>
      <c r="AK2158" s="72"/>
      <c r="AL2158" s="72"/>
      <c r="AM2158" s="72"/>
    </row>
    <row r="2159" spans="1:39" x14ac:dyDescent="0.25">
      <c r="A2159" s="37" t="s">
        <v>62</v>
      </c>
      <c r="B2159" s="66" t="s">
        <v>1629</v>
      </c>
      <c r="C2159" s="41">
        <v>1008</v>
      </c>
      <c r="D2159" s="41" t="s">
        <v>221</v>
      </c>
      <c r="E2159" s="41">
        <v>10080080</v>
      </c>
      <c r="F2159" s="85" t="s">
        <v>497</v>
      </c>
      <c r="G2159" s="39" t="s">
        <v>635</v>
      </c>
      <c r="H2159" s="52" t="s">
        <v>99</v>
      </c>
      <c r="I2159" s="52">
        <v>130</v>
      </c>
      <c r="J2159" s="49">
        <v>4375.7000000000007</v>
      </c>
      <c r="K2159" s="58">
        <v>0</v>
      </c>
      <c r="L2159" s="58">
        <v>0</v>
      </c>
      <c r="M2159" s="58">
        <v>0</v>
      </c>
      <c r="N2159" s="58">
        <v>0</v>
      </c>
      <c r="O2159" s="58">
        <v>0</v>
      </c>
      <c r="P2159" s="53">
        <v>0</v>
      </c>
      <c r="Q2159" s="65">
        <v>4375.7000000000007</v>
      </c>
      <c r="R2159" s="65">
        <v>0</v>
      </c>
      <c r="S2159" s="65">
        <v>0</v>
      </c>
      <c r="T2159" s="65">
        <v>0</v>
      </c>
      <c r="U2159" s="58">
        <v>0</v>
      </c>
      <c r="V2159" s="65">
        <v>73.210074193548394</v>
      </c>
      <c r="W2159" s="65">
        <v>0</v>
      </c>
      <c r="X2159" s="65">
        <v>0</v>
      </c>
      <c r="Y2159" s="65">
        <v>0</v>
      </c>
      <c r="Z2159" s="51">
        <v>4302.4899258064524</v>
      </c>
      <c r="AA2159" s="51">
        <v>0</v>
      </c>
      <c r="AB2159" s="102">
        <v>0</v>
      </c>
      <c r="AC2159" s="81">
        <f t="shared" si="102"/>
        <v>383.71523076923086</v>
      </c>
      <c r="AD2159" s="82">
        <f t="shared" si="103"/>
        <v>18.571428571428573</v>
      </c>
      <c r="AE2159" s="218">
        <v>0</v>
      </c>
      <c r="AF2159">
        <v>0</v>
      </c>
      <c r="AH2159" t="str">
        <f t="shared" si="104"/>
        <v>Teghra</v>
      </c>
      <c r="AJ2159" s="72">
        <v>0</v>
      </c>
      <c r="AK2159" s="72"/>
      <c r="AL2159" s="72"/>
      <c r="AM2159" s="72"/>
    </row>
    <row r="2160" spans="1:39" x14ac:dyDescent="0.25">
      <c r="A2160" s="37" t="s">
        <v>62</v>
      </c>
      <c r="B2160" s="66" t="s">
        <v>1629</v>
      </c>
      <c r="C2160" s="41">
        <v>1008</v>
      </c>
      <c r="D2160" s="41" t="s">
        <v>221</v>
      </c>
      <c r="E2160" s="41">
        <v>10080082</v>
      </c>
      <c r="F2160" s="85" t="s">
        <v>498</v>
      </c>
      <c r="G2160" s="39" t="s">
        <v>635</v>
      </c>
      <c r="H2160" s="52" t="s">
        <v>99</v>
      </c>
      <c r="I2160" s="52">
        <v>458.40000000000003</v>
      </c>
      <c r="J2160" s="49">
        <v>16513.84</v>
      </c>
      <c r="K2160" s="58">
        <v>0</v>
      </c>
      <c r="L2160" s="58">
        <v>0</v>
      </c>
      <c r="M2160" s="58">
        <v>0</v>
      </c>
      <c r="N2160" s="58">
        <v>0</v>
      </c>
      <c r="O2160" s="58">
        <v>0</v>
      </c>
      <c r="P2160" s="53">
        <v>0</v>
      </c>
      <c r="Q2160" s="65">
        <v>16513.84</v>
      </c>
      <c r="R2160" s="65">
        <v>0</v>
      </c>
      <c r="S2160" s="65">
        <v>0</v>
      </c>
      <c r="T2160" s="65">
        <v>0</v>
      </c>
      <c r="U2160" s="58">
        <v>0</v>
      </c>
      <c r="V2160" s="65">
        <v>0</v>
      </c>
      <c r="W2160" s="65">
        <v>0</v>
      </c>
      <c r="X2160" s="65">
        <v>0</v>
      </c>
      <c r="Y2160" s="65">
        <v>0</v>
      </c>
      <c r="Z2160" s="51">
        <v>16513.84</v>
      </c>
      <c r="AA2160" s="51">
        <v>0</v>
      </c>
      <c r="AB2160" s="102">
        <v>0</v>
      </c>
      <c r="AC2160" s="81">
        <f t="shared" si="102"/>
        <v>174.07258917975562</v>
      </c>
      <c r="AD2160" s="82">
        <f t="shared" si="103"/>
        <v>65.485714285714295</v>
      </c>
      <c r="AE2160" s="218">
        <v>0</v>
      </c>
      <c r="AF2160">
        <v>0</v>
      </c>
      <c r="AH2160" t="str">
        <f t="shared" si="104"/>
        <v>Teghra</v>
      </c>
      <c r="AJ2160" s="72">
        <v>0</v>
      </c>
      <c r="AK2160" s="72"/>
      <c r="AL2160" s="72"/>
      <c r="AM2160" s="72"/>
    </row>
    <row r="2161" spans="1:39" x14ac:dyDescent="0.25">
      <c r="A2161" s="37" t="s">
        <v>62</v>
      </c>
      <c r="B2161" s="66" t="s">
        <v>1629</v>
      </c>
      <c r="C2161" s="41">
        <v>1008</v>
      </c>
      <c r="D2161" s="41" t="s">
        <v>221</v>
      </c>
      <c r="E2161" s="41">
        <v>10080083</v>
      </c>
      <c r="F2161" s="85" t="s">
        <v>499</v>
      </c>
      <c r="G2161" s="39" t="s">
        <v>635</v>
      </c>
      <c r="H2161" s="52" t="s">
        <v>99</v>
      </c>
      <c r="I2161" s="52">
        <v>150.79999999999998</v>
      </c>
      <c r="J2161" s="49">
        <v>5539.78</v>
      </c>
      <c r="K2161" s="58">
        <v>0</v>
      </c>
      <c r="L2161" s="58">
        <v>0</v>
      </c>
      <c r="M2161" s="58">
        <v>0</v>
      </c>
      <c r="N2161" s="58">
        <v>0</v>
      </c>
      <c r="O2161" s="58">
        <v>0</v>
      </c>
      <c r="P2161" s="53">
        <v>0</v>
      </c>
      <c r="Q2161" s="65">
        <v>5539.78</v>
      </c>
      <c r="R2161" s="65">
        <v>0</v>
      </c>
      <c r="S2161" s="65">
        <v>0</v>
      </c>
      <c r="T2161" s="65">
        <v>0</v>
      </c>
      <c r="U2161" s="58">
        <v>0</v>
      </c>
      <c r="V2161" s="65">
        <v>0</v>
      </c>
      <c r="W2161" s="65">
        <v>0</v>
      </c>
      <c r="X2161" s="65">
        <v>0</v>
      </c>
      <c r="Y2161" s="65">
        <v>0</v>
      </c>
      <c r="Z2161" s="51">
        <v>5539.78</v>
      </c>
      <c r="AA2161" s="51">
        <v>0</v>
      </c>
      <c r="AB2161" s="102">
        <v>0</v>
      </c>
      <c r="AC2161" s="81">
        <f t="shared" si="102"/>
        <v>403.50758302387271</v>
      </c>
      <c r="AD2161" s="82">
        <f t="shared" si="103"/>
        <v>21.542857142857141</v>
      </c>
      <c r="AE2161" s="218">
        <v>0</v>
      </c>
      <c r="AF2161">
        <v>0</v>
      </c>
      <c r="AH2161" t="str">
        <f t="shared" si="104"/>
        <v>Teghra</v>
      </c>
      <c r="AJ2161" s="72">
        <v>0</v>
      </c>
      <c r="AK2161" s="72"/>
      <c r="AL2161" s="72"/>
      <c r="AM2161" s="72"/>
    </row>
    <row r="2162" spans="1:39" x14ac:dyDescent="0.25">
      <c r="A2162" s="37" t="s">
        <v>62</v>
      </c>
      <c r="B2162" s="66" t="s">
        <v>1629</v>
      </c>
      <c r="C2162" s="41">
        <v>1008</v>
      </c>
      <c r="D2162" s="41" t="s">
        <v>221</v>
      </c>
      <c r="E2162" s="41">
        <v>10080086</v>
      </c>
      <c r="F2162" s="85" t="s">
        <v>563</v>
      </c>
      <c r="G2162" s="39" t="s">
        <v>93</v>
      </c>
      <c r="H2162" s="52" t="s">
        <v>94</v>
      </c>
      <c r="I2162" s="52">
        <v>100.50000000000001</v>
      </c>
      <c r="J2162" s="49">
        <v>3581.9900000000002</v>
      </c>
      <c r="K2162" s="58">
        <v>185.1</v>
      </c>
      <c r="L2162" s="58">
        <v>6851.2477106700007</v>
      </c>
      <c r="M2162" s="58">
        <v>30.5</v>
      </c>
      <c r="N2162" s="58">
        <v>1167.5277909899999</v>
      </c>
      <c r="O2162" s="58">
        <v>215.6</v>
      </c>
      <c r="P2162" s="53">
        <v>8018.7755016600004</v>
      </c>
      <c r="Q2162" s="65">
        <v>3581.9900000000002</v>
      </c>
      <c r="R2162" s="65">
        <v>0</v>
      </c>
      <c r="S2162" s="65">
        <v>1167.5277909899999</v>
      </c>
      <c r="T2162" s="65">
        <v>4436.7855016600006</v>
      </c>
      <c r="U2162" s="58">
        <v>0</v>
      </c>
      <c r="V2162" s="65">
        <v>0</v>
      </c>
      <c r="W2162" s="65">
        <v>0</v>
      </c>
      <c r="X2162" s="65">
        <v>2414</v>
      </c>
      <c r="Y2162" s="65">
        <v>0</v>
      </c>
      <c r="Z2162" s="51">
        <v>0</v>
      </c>
      <c r="AA2162" s="51">
        <v>0</v>
      </c>
      <c r="AB2162" s="102">
        <v>0</v>
      </c>
      <c r="AC2162" s="81">
        <f t="shared" si="102"/>
        <v>427.34388159203979</v>
      </c>
      <c r="AD2162" s="82">
        <f t="shared" si="103"/>
        <v>14.357142857142859</v>
      </c>
      <c r="AE2162" s="218">
        <v>-1.2386370430012368</v>
      </c>
      <c r="AF2162">
        <v>3</v>
      </c>
      <c r="AH2162" t="str">
        <f t="shared" si="104"/>
        <v>Teghra</v>
      </c>
      <c r="AJ2162" s="72">
        <v>0</v>
      </c>
      <c r="AK2162" s="72"/>
      <c r="AL2162" s="72"/>
      <c r="AM2162" s="72"/>
    </row>
    <row r="2163" spans="1:39" x14ac:dyDescent="0.25">
      <c r="A2163" s="37" t="s">
        <v>62</v>
      </c>
      <c r="B2163" s="66" t="s">
        <v>1629</v>
      </c>
      <c r="C2163" s="41">
        <v>1008</v>
      </c>
      <c r="D2163" s="41" t="s">
        <v>221</v>
      </c>
      <c r="E2163" s="41">
        <v>10080087</v>
      </c>
      <c r="F2163" s="85" t="s">
        <v>586</v>
      </c>
      <c r="G2163" s="39" t="s">
        <v>93</v>
      </c>
      <c r="H2163" s="52" t="s">
        <v>94</v>
      </c>
      <c r="I2163" s="52">
        <v>588.75</v>
      </c>
      <c r="J2163" s="49">
        <v>21769.649999999998</v>
      </c>
      <c r="K2163" s="58">
        <v>594.5</v>
      </c>
      <c r="L2163" s="58">
        <v>23282.06090332536</v>
      </c>
      <c r="M2163" s="58">
        <v>0.73000000000000009</v>
      </c>
      <c r="N2163" s="58">
        <v>28.289707380000003</v>
      </c>
      <c r="O2163" s="58">
        <v>595.23</v>
      </c>
      <c r="P2163" s="53">
        <v>23310.350610705362</v>
      </c>
      <c r="Q2163" s="65">
        <v>21769.649999999998</v>
      </c>
      <c r="R2163" s="65">
        <v>0</v>
      </c>
      <c r="S2163" s="65">
        <v>28.289707380000003</v>
      </c>
      <c r="T2163" s="65">
        <v>1540.7006107053639</v>
      </c>
      <c r="U2163" s="58">
        <v>0</v>
      </c>
      <c r="V2163" s="65">
        <v>0</v>
      </c>
      <c r="W2163" s="65">
        <v>0</v>
      </c>
      <c r="X2163" s="65">
        <v>21741</v>
      </c>
      <c r="Y2163" s="65">
        <v>0</v>
      </c>
      <c r="Z2163" s="51">
        <v>0</v>
      </c>
      <c r="AA2163" s="51">
        <v>0</v>
      </c>
      <c r="AB2163" s="102">
        <v>0</v>
      </c>
      <c r="AC2163" s="81">
        <f t="shared" si="102"/>
        <v>82.271713375796153</v>
      </c>
      <c r="AD2163" s="82">
        <f t="shared" si="103"/>
        <v>84.107142857142861</v>
      </c>
      <c r="AE2163" s="218">
        <v>-7.0772870060169274E-2</v>
      </c>
      <c r="AF2163">
        <v>3</v>
      </c>
      <c r="AH2163" t="str">
        <f t="shared" si="104"/>
        <v>Teghra</v>
      </c>
      <c r="AJ2163" s="72">
        <v>0</v>
      </c>
      <c r="AK2163" s="72"/>
      <c r="AL2163" s="72"/>
      <c r="AM2163" s="72"/>
    </row>
    <row r="2164" spans="1:39" x14ac:dyDescent="0.25">
      <c r="A2164" s="37" t="s">
        <v>62</v>
      </c>
      <c r="B2164" s="66" t="s">
        <v>1629</v>
      </c>
      <c r="C2164" s="41">
        <v>1008</v>
      </c>
      <c r="D2164" s="41" t="s">
        <v>221</v>
      </c>
      <c r="E2164" s="41">
        <v>10080088</v>
      </c>
      <c r="F2164" s="85" t="s">
        <v>587</v>
      </c>
      <c r="G2164" s="39" t="s">
        <v>93</v>
      </c>
      <c r="H2164" s="52" t="s">
        <v>94</v>
      </c>
      <c r="I2164" s="52">
        <v>1463.1000000000001</v>
      </c>
      <c r="J2164" s="49">
        <v>51589.350000000006</v>
      </c>
      <c r="K2164" s="58">
        <v>1475.5000000000002</v>
      </c>
      <c r="L2164" s="58">
        <v>53785.267895304009</v>
      </c>
      <c r="M2164" s="58">
        <v>2.25</v>
      </c>
      <c r="N2164" s="58">
        <v>79.296692409000016</v>
      </c>
      <c r="O2164" s="58">
        <v>1477.7500000000002</v>
      </c>
      <c r="P2164" s="53">
        <v>53864.564587713008</v>
      </c>
      <c r="Q2164" s="65">
        <v>51589.350000000006</v>
      </c>
      <c r="R2164" s="65">
        <v>0</v>
      </c>
      <c r="S2164" s="65">
        <v>79.296692409000016</v>
      </c>
      <c r="T2164" s="65">
        <v>2275.2145877130024</v>
      </c>
      <c r="U2164" s="58">
        <v>0</v>
      </c>
      <c r="V2164" s="65">
        <v>9.9700000000000006</v>
      </c>
      <c r="W2164" s="65">
        <v>0</v>
      </c>
      <c r="X2164" s="65">
        <v>51500</v>
      </c>
      <c r="Y2164" s="65">
        <v>0</v>
      </c>
      <c r="Z2164" s="51">
        <v>0</v>
      </c>
      <c r="AA2164" s="51">
        <v>0</v>
      </c>
      <c r="AB2164" s="102" t="s">
        <v>68</v>
      </c>
      <c r="AC2164" s="81">
        <f t="shared" si="102"/>
        <v>0</v>
      </c>
      <c r="AD2164" s="82">
        <f t="shared" si="103"/>
        <v>0</v>
      </c>
      <c r="AE2164" s="218">
        <v>-4.4102408495416245E-2</v>
      </c>
      <c r="AF2164">
        <v>7</v>
      </c>
      <c r="AH2164" t="str">
        <f t="shared" si="104"/>
        <v>Teghra</v>
      </c>
      <c r="AJ2164" s="72">
        <v>0</v>
      </c>
      <c r="AK2164" s="72"/>
      <c r="AL2164" s="72"/>
      <c r="AM2164" s="72"/>
    </row>
    <row r="2165" spans="1:39" x14ac:dyDescent="0.25">
      <c r="A2165" s="37" t="s">
        <v>62</v>
      </c>
      <c r="B2165" s="66" t="s">
        <v>1629</v>
      </c>
      <c r="C2165" s="41">
        <v>1008</v>
      </c>
      <c r="D2165" s="41" t="s">
        <v>221</v>
      </c>
      <c r="E2165" s="41">
        <v>10080089</v>
      </c>
      <c r="F2165" s="85" t="s">
        <v>1284</v>
      </c>
      <c r="G2165" s="39" t="s">
        <v>635</v>
      </c>
      <c r="H2165" s="52" t="s">
        <v>99</v>
      </c>
      <c r="I2165" s="52">
        <v>363.54999999999995</v>
      </c>
      <c r="J2165" s="49">
        <v>12236.240000000002</v>
      </c>
      <c r="K2165" s="58">
        <v>0</v>
      </c>
      <c r="L2165" s="58">
        <v>0</v>
      </c>
      <c r="M2165" s="58">
        <v>0</v>
      </c>
      <c r="N2165" s="58">
        <v>0</v>
      </c>
      <c r="O2165" s="58">
        <v>0</v>
      </c>
      <c r="P2165" s="53">
        <v>0</v>
      </c>
      <c r="Q2165" s="65">
        <v>12236.240000000002</v>
      </c>
      <c r="R2165" s="65">
        <v>0</v>
      </c>
      <c r="S2165" s="65">
        <v>0</v>
      </c>
      <c r="T2165" s="65">
        <v>0</v>
      </c>
      <c r="U2165" s="58">
        <v>0</v>
      </c>
      <c r="V2165" s="65">
        <v>0</v>
      </c>
      <c r="W2165" s="65">
        <v>0</v>
      </c>
      <c r="X2165" s="65">
        <v>0</v>
      </c>
      <c r="Y2165" s="65">
        <v>0</v>
      </c>
      <c r="Z2165" s="51">
        <v>12236.240000000002</v>
      </c>
      <c r="AA2165" s="51">
        <v>0</v>
      </c>
      <c r="AB2165" s="102">
        <v>0</v>
      </c>
      <c r="AC2165" s="81">
        <f t="shared" si="102"/>
        <v>226.48235169852848</v>
      </c>
      <c r="AD2165" s="82">
        <f t="shared" si="103"/>
        <v>51.935714285714276</v>
      </c>
      <c r="AE2165" s="218">
        <v>0</v>
      </c>
      <c r="AF2165">
        <v>0</v>
      </c>
      <c r="AH2165" t="str">
        <f t="shared" si="104"/>
        <v>Teghra</v>
      </c>
      <c r="AJ2165" s="72">
        <v>0</v>
      </c>
      <c r="AK2165" s="72"/>
      <c r="AL2165" s="72"/>
      <c r="AM2165" s="72"/>
    </row>
    <row r="2166" spans="1:39" x14ac:dyDescent="0.25">
      <c r="A2166" s="37" t="s">
        <v>62</v>
      </c>
      <c r="B2166" s="66" t="s">
        <v>1629</v>
      </c>
      <c r="C2166" s="41">
        <v>1008</v>
      </c>
      <c r="D2166" s="41" t="s">
        <v>221</v>
      </c>
      <c r="E2166" s="41">
        <v>10080090</v>
      </c>
      <c r="F2166" s="85" t="s">
        <v>649</v>
      </c>
      <c r="G2166" s="39" t="s">
        <v>635</v>
      </c>
      <c r="H2166" s="52" t="s">
        <v>99</v>
      </c>
      <c r="I2166" s="52">
        <v>150.64999999999998</v>
      </c>
      <c r="J2166" s="49">
        <v>5036.9499999999989</v>
      </c>
      <c r="K2166" s="58">
        <v>0</v>
      </c>
      <c r="L2166" s="58">
        <v>0</v>
      </c>
      <c r="M2166" s="58">
        <v>0</v>
      </c>
      <c r="N2166" s="58">
        <v>0</v>
      </c>
      <c r="O2166" s="58">
        <v>0</v>
      </c>
      <c r="P2166" s="53">
        <v>0</v>
      </c>
      <c r="Q2166" s="65">
        <v>5036.9499999999989</v>
      </c>
      <c r="R2166" s="65">
        <v>0</v>
      </c>
      <c r="S2166" s="65">
        <v>0</v>
      </c>
      <c r="T2166" s="65">
        <v>0</v>
      </c>
      <c r="U2166" s="58">
        <v>0</v>
      </c>
      <c r="V2166" s="65">
        <v>50.141729032258112</v>
      </c>
      <c r="W2166" s="65">
        <v>0</v>
      </c>
      <c r="X2166" s="65">
        <v>0</v>
      </c>
      <c r="Y2166" s="65">
        <v>0</v>
      </c>
      <c r="Z2166" s="51">
        <v>4986.808270967741</v>
      </c>
      <c r="AA2166" s="51">
        <v>0</v>
      </c>
      <c r="AB2166" s="102">
        <v>0</v>
      </c>
      <c r="AC2166" s="81">
        <f t="shared" si="102"/>
        <v>367.34795652173909</v>
      </c>
      <c r="AD2166" s="82">
        <f t="shared" si="103"/>
        <v>21.521428571428569</v>
      </c>
      <c r="AE2166" s="218">
        <v>0</v>
      </c>
      <c r="AF2166">
        <v>0</v>
      </c>
      <c r="AH2166" t="str">
        <f t="shared" si="104"/>
        <v>Teghra</v>
      </c>
      <c r="AJ2166" s="72">
        <v>0</v>
      </c>
      <c r="AK2166" s="72"/>
      <c r="AL2166" s="72"/>
      <c r="AM2166" s="72"/>
    </row>
    <row r="2167" spans="1:39" x14ac:dyDescent="0.25">
      <c r="A2167" s="37" t="s">
        <v>62</v>
      </c>
      <c r="B2167" s="66" t="s">
        <v>1629</v>
      </c>
      <c r="C2167" s="41">
        <v>1008</v>
      </c>
      <c r="D2167" s="41" t="s">
        <v>221</v>
      </c>
      <c r="E2167" s="41">
        <v>10080093</v>
      </c>
      <c r="F2167" s="85" t="s">
        <v>826</v>
      </c>
      <c r="G2167" s="39" t="s">
        <v>93</v>
      </c>
      <c r="H2167" s="52" t="s">
        <v>94</v>
      </c>
      <c r="I2167" s="52">
        <v>565.55000000000007</v>
      </c>
      <c r="J2167" s="49">
        <v>20232.719999999998</v>
      </c>
      <c r="K2167" s="58">
        <v>565.79999999999995</v>
      </c>
      <c r="L2167" s="58">
        <v>20241.065127492006</v>
      </c>
      <c r="M2167" s="58">
        <v>0</v>
      </c>
      <c r="N2167" s="58">
        <v>0</v>
      </c>
      <c r="O2167" s="58">
        <v>565.79999999999995</v>
      </c>
      <c r="P2167" s="53">
        <v>20241.065127492006</v>
      </c>
      <c r="Q2167" s="65">
        <v>20232.719999999998</v>
      </c>
      <c r="R2167" s="65">
        <v>0</v>
      </c>
      <c r="S2167" s="65">
        <v>0</v>
      </c>
      <c r="T2167" s="65">
        <v>8.3451274920080323</v>
      </c>
      <c r="U2167" s="58">
        <v>0</v>
      </c>
      <c r="V2167" s="65">
        <v>0</v>
      </c>
      <c r="W2167" s="65">
        <v>0</v>
      </c>
      <c r="X2167" s="65">
        <v>20233</v>
      </c>
      <c r="Y2167" s="65">
        <v>0</v>
      </c>
      <c r="Z2167" s="51">
        <v>0</v>
      </c>
      <c r="AA2167" s="51">
        <v>0</v>
      </c>
      <c r="AB2167" s="102">
        <v>0</v>
      </c>
      <c r="AC2167" s="81">
        <f t="shared" si="102"/>
        <v>96.199777349482702</v>
      </c>
      <c r="AD2167" s="82">
        <f t="shared" si="103"/>
        <v>80.792857142857159</v>
      </c>
      <c r="AE2167" s="218">
        <v>-4.1245702466144115E-4</v>
      </c>
      <c r="AF2167">
        <v>1</v>
      </c>
      <c r="AH2167" t="str">
        <f t="shared" si="104"/>
        <v>Teghra</v>
      </c>
      <c r="AJ2167" s="72">
        <v>0</v>
      </c>
      <c r="AK2167" s="72"/>
      <c r="AL2167" s="72"/>
      <c r="AM2167" s="72"/>
    </row>
    <row r="2168" spans="1:39" x14ac:dyDescent="0.25">
      <c r="A2168" s="37" t="s">
        <v>62</v>
      </c>
      <c r="B2168" s="66" t="s">
        <v>1629</v>
      </c>
      <c r="C2168" s="41">
        <v>1008</v>
      </c>
      <c r="D2168" s="41" t="s">
        <v>221</v>
      </c>
      <c r="E2168" s="41">
        <v>10080095</v>
      </c>
      <c r="F2168" s="85" t="s">
        <v>701</v>
      </c>
      <c r="G2168" s="39" t="s">
        <v>93</v>
      </c>
      <c r="H2168" s="52" t="s">
        <v>94</v>
      </c>
      <c r="I2168" s="52">
        <v>201.95</v>
      </c>
      <c r="J2168" s="49">
        <v>6822.07</v>
      </c>
      <c r="K2168" s="58">
        <v>201.10000000000002</v>
      </c>
      <c r="L2168" s="58">
        <v>6936.3230428800007</v>
      </c>
      <c r="M2168" s="58">
        <v>0</v>
      </c>
      <c r="N2168" s="58">
        <v>0</v>
      </c>
      <c r="O2168" s="58">
        <v>201.10000000000002</v>
      </c>
      <c r="P2168" s="53">
        <v>6936.3230428800007</v>
      </c>
      <c r="Q2168" s="65">
        <v>6822.07</v>
      </c>
      <c r="R2168" s="65">
        <v>0</v>
      </c>
      <c r="S2168" s="65">
        <v>0</v>
      </c>
      <c r="T2168" s="65">
        <v>114.25304288000098</v>
      </c>
      <c r="U2168" s="58">
        <v>0</v>
      </c>
      <c r="V2168" s="65">
        <v>0</v>
      </c>
      <c r="W2168" s="65">
        <v>0</v>
      </c>
      <c r="X2168" s="65">
        <v>6822</v>
      </c>
      <c r="Y2168" s="65">
        <v>0</v>
      </c>
      <c r="Z2168" s="51">
        <v>0</v>
      </c>
      <c r="AA2168" s="51">
        <v>0</v>
      </c>
      <c r="AB2168" s="102" t="s">
        <v>68</v>
      </c>
      <c r="AC2168" s="81">
        <f t="shared" si="102"/>
        <v>336.49239549393417</v>
      </c>
      <c r="AD2168" s="82">
        <f t="shared" si="103"/>
        <v>28.849999999999998</v>
      </c>
      <c r="AE2168" s="218">
        <v>-1.6747562379160721E-2</v>
      </c>
      <c r="AF2168">
        <v>1</v>
      </c>
      <c r="AH2168" t="str">
        <f t="shared" si="104"/>
        <v>Teghra</v>
      </c>
      <c r="AJ2168" s="72">
        <v>0</v>
      </c>
      <c r="AK2168" s="72"/>
      <c r="AL2168" s="72"/>
      <c r="AM2168" s="72"/>
    </row>
    <row r="2169" spans="1:39" x14ac:dyDescent="0.25">
      <c r="A2169" s="37" t="s">
        <v>62</v>
      </c>
      <c r="B2169" s="66" t="s">
        <v>1629</v>
      </c>
      <c r="C2169" s="41">
        <v>1008</v>
      </c>
      <c r="D2169" s="41" t="s">
        <v>221</v>
      </c>
      <c r="E2169" s="41">
        <v>10080097</v>
      </c>
      <c r="F2169" s="85" t="s">
        <v>662</v>
      </c>
      <c r="G2169" s="39" t="s">
        <v>635</v>
      </c>
      <c r="H2169" s="52" t="s">
        <v>99</v>
      </c>
      <c r="I2169" s="52">
        <v>2471.15</v>
      </c>
      <c r="J2169" s="49">
        <v>87204.2</v>
      </c>
      <c r="K2169" s="58">
        <v>0</v>
      </c>
      <c r="L2169" s="58">
        <v>0</v>
      </c>
      <c r="M2169" s="58">
        <v>0</v>
      </c>
      <c r="N2169" s="58">
        <v>0</v>
      </c>
      <c r="O2169" s="58">
        <v>0</v>
      </c>
      <c r="P2169" s="53">
        <v>0</v>
      </c>
      <c r="Q2169" s="65">
        <v>87204.2</v>
      </c>
      <c r="R2169" s="65">
        <v>0</v>
      </c>
      <c r="S2169" s="65">
        <v>0</v>
      </c>
      <c r="T2169" s="65">
        <v>0</v>
      </c>
      <c r="U2169" s="58">
        <v>0</v>
      </c>
      <c r="V2169" s="65">
        <v>0</v>
      </c>
      <c r="W2169" s="65">
        <v>0</v>
      </c>
      <c r="X2169" s="65">
        <v>0</v>
      </c>
      <c r="Y2169" s="65">
        <v>0</v>
      </c>
      <c r="Z2169" s="51">
        <v>87204.2</v>
      </c>
      <c r="AA2169" s="51">
        <v>0</v>
      </c>
      <c r="AB2169" s="102">
        <v>0</v>
      </c>
      <c r="AC2169" s="81">
        <f t="shared" si="102"/>
        <v>0</v>
      </c>
      <c r="AD2169" s="82">
        <f t="shared" si="103"/>
        <v>0</v>
      </c>
      <c r="AE2169" s="218">
        <v>0</v>
      </c>
      <c r="AF2169">
        <v>0</v>
      </c>
      <c r="AH2169" t="str">
        <f t="shared" si="104"/>
        <v>Teghra</v>
      </c>
      <c r="AJ2169" s="72">
        <v>0</v>
      </c>
      <c r="AK2169" s="72"/>
      <c r="AL2169" s="72"/>
      <c r="AM2169" s="72"/>
    </row>
    <row r="2170" spans="1:39" x14ac:dyDescent="0.25">
      <c r="A2170" s="37" t="s">
        <v>62</v>
      </c>
      <c r="B2170" s="66" t="s">
        <v>1629</v>
      </c>
      <c r="C2170" s="41">
        <v>1008</v>
      </c>
      <c r="D2170" s="41" t="s">
        <v>221</v>
      </c>
      <c r="E2170" s="41">
        <v>10080098</v>
      </c>
      <c r="F2170" s="85" t="s">
        <v>694</v>
      </c>
      <c r="G2170" s="39" t="s">
        <v>93</v>
      </c>
      <c r="H2170" s="52" t="s">
        <v>94</v>
      </c>
      <c r="I2170" s="52">
        <v>21.2</v>
      </c>
      <c r="J2170" s="49">
        <v>878.74</v>
      </c>
      <c r="K2170" s="58">
        <v>21.45</v>
      </c>
      <c r="L2170" s="58">
        <v>915.0691869000002</v>
      </c>
      <c r="M2170" s="58">
        <v>0.1</v>
      </c>
      <c r="N2170" s="58">
        <v>4.3033122000000006</v>
      </c>
      <c r="O2170" s="58">
        <v>21.55</v>
      </c>
      <c r="P2170" s="53">
        <v>919.37249910000025</v>
      </c>
      <c r="Q2170" s="65">
        <v>878.74</v>
      </c>
      <c r="R2170" s="65">
        <v>0</v>
      </c>
      <c r="S2170" s="65">
        <v>4.3033122000000006</v>
      </c>
      <c r="T2170" s="65">
        <v>40.632499100000246</v>
      </c>
      <c r="U2170" s="58">
        <v>0</v>
      </c>
      <c r="V2170" s="65">
        <v>0</v>
      </c>
      <c r="W2170" s="65">
        <v>0</v>
      </c>
      <c r="X2170" s="65">
        <v>874</v>
      </c>
      <c r="Y2170" s="65">
        <v>0</v>
      </c>
      <c r="Z2170" s="51">
        <v>0</v>
      </c>
      <c r="AA2170" s="51">
        <v>0</v>
      </c>
      <c r="AB2170" s="102" t="s">
        <v>68</v>
      </c>
      <c r="AC2170" s="81">
        <f t="shared" si="102"/>
        <v>562.72520000000009</v>
      </c>
      <c r="AD2170" s="82">
        <f t="shared" si="103"/>
        <v>3.0285714285714285</v>
      </c>
      <c r="AE2170" s="218">
        <v>-4.6239500990054222E-2</v>
      </c>
      <c r="AF2170">
        <v>3</v>
      </c>
      <c r="AH2170" t="str">
        <f t="shared" si="104"/>
        <v>Teghra</v>
      </c>
      <c r="AJ2170" s="72">
        <v>0</v>
      </c>
      <c r="AK2170" s="72"/>
      <c r="AL2170" s="72"/>
      <c r="AM2170" s="72"/>
    </row>
    <row r="2171" spans="1:39" x14ac:dyDescent="0.25">
      <c r="A2171" s="37" t="s">
        <v>62</v>
      </c>
      <c r="B2171" s="66" t="s">
        <v>1629</v>
      </c>
      <c r="C2171" s="41">
        <v>1008</v>
      </c>
      <c r="D2171" s="41" t="s">
        <v>221</v>
      </c>
      <c r="E2171" s="41">
        <v>10080099</v>
      </c>
      <c r="F2171" s="85" t="s">
        <v>827</v>
      </c>
      <c r="G2171" s="39" t="s">
        <v>93</v>
      </c>
      <c r="H2171" s="52" t="s">
        <v>94</v>
      </c>
      <c r="I2171" s="52">
        <v>2025.5</v>
      </c>
      <c r="J2171" s="49">
        <v>64048.479999999996</v>
      </c>
      <c r="K2171" s="58">
        <v>2025.3000000000002</v>
      </c>
      <c r="L2171" s="58">
        <v>65417.57066889001</v>
      </c>
      <c r="M2171" s="58">
        <v>0</v>
      </c>
      <c r="N2171" s="58">
        <v>0</v>
      </c>
      <c r="O2171" s="58">
        <v>2025.3000000000002</v>
      </c>
      <c r="P2171" s="53">
        <v>65417.57066889001</v>
      </c>
      <c r="Q2171" s="65">
        <v>64048.479999999996</v>
      </c>
      <c r="R2171" s="65">
        <v>0</v>
      </c>
      <c r="S2171" s="65">
        <v>0</v>
      </c>
      <c r="T2171" s="65">
        <v>1369.0906688900141</v>
      </c>
      <c r="U2171" s="58">
        <v>0</v>
      </c>
      <c r="V2171" s="65">
        <v>186.50577857142844</v>
      </c>
      <c r="W2171" s="65">
        <v>0</v>
      </c>
      <c r="X2171" s="65">
        <v>63862</v>
      </c>
      <c r="Y2171" s="65">
        <v>0</v>
      </c>
      <c r="Z2171" s="51">
        <v>0</v>
      </c>
      <c r="AA2171" s="51">
        <v>0</v>
      </c>
      <c r="AB2171" s="102">
        <v>0</v>
      </c>
      <c r="AC2171" s="81">
        <f t="shared" si="102"/>
        <v>0</v>
      </c>
      <c r="AD2171" s="82">
        <f t="shared" si="103"/>
        <v>0</v>
      </c>
      <c r="AE2171" s="218">
        <v>-2.1375849495413695E-2</v>
      </c>
      <c r="AF2171">
        <v>2</v>
      </c>
      <c r="AH2171" t="str">
        <f t="shared" si="104"/>
        <v>Teghra</v>
      </c>
      <c r="AJ2171" s="72">
        <v>0</v>
      </c>
      <c r="AK2171" s="72"/>
      <c r="AL2171" s="72"/>
      <c r="AM2171" s="72"/>
    </row>
    <row r="2172" spans="1:39" x14ac:dyDescent="0.25">
      <c r="A2172" s="37" t="s">
        <v>62</v>
      </c>
      <c r="B2172" s="66" t="s">
        <v>1629</v>
      </c>
      <c r="C2172" s="41">
        <v>1008</v>
      </c>
      <c r="D2172" s="41" t="s">
        <v>221</v>
      </c>
      <c r="E2172" s="41">
        <v>10080107</v>
      </c>
      <c r="F2172" s="85" t="s">
        <v>325</v>
      </c>
      <c r="G2172" s="39" t="s">
        <v>635</v>
      </c>
      <c r="H2172" s="52" t="s">
        <v>99</v>
      </c>
      <c r="I2172" s="52">
        <v>512.6</v>
      </c>
      <c r="J2172" s="49">
        <v>17447.21</v>
      </c>
      <c r="K2172" s="58">
        <v>0</v>
      </c>
      <c r="L2172" s="58">
        <v>0</v>
      </c>
      <c r="M2172" s="58">
        <v>0</v>
      </c>
      <c r="N2172" s="58">
        <v>0</v>
      </c>
      <c r="O2172" s="58">
        <v>0</v>
      </c>
      <c r="P2172" s="53">
        <v>0</v>
      </c>
      <c r="Q2172" s="65">
        <v>17447.21</v>
      </c>
      <c r="R2172" s="65">
        <v>0</v>
      </c>
      <c r="S2172" s="65">
        <v>0</v>
      </c>
      <c r="T2172" s="65">
        <v>0</v>
      </c>
      <c r="U2172" s="58">
        <v>0</v>
      </c>
      <c r="V2172" s="65">
        <v>0</v>
      </c>
      <c r="W2172" s="65">
        <v>0</v>
      </c>
      <c r="X2172" s="65">
        <v>0</v>
      </c>
      <c r="Y2172" s="65">
        <v>0</v>
      </c>
      <c r="Z2172" s="51">
        <v>17447.21</v>
      </c>
      <c r="AA2172" s="51">
        <v>0</v>
      </c>
      <c r="AB2172" s="102">
        <v>0</v>
      </c>
      <c r="AC2172" s="81">
        <f t="shared" si="102"/>
        <v>127.56953390557938</v>
      </c>
      <c r="AD2172" s="82">
        <f t="shared" si="103"/>
        <v>73.228571428571428</v>
      </c>
      <c r="AE2172" s="218">
        <v>0</v>
      </c>
      <c r="AF2172">
        <v>0</v>
      </c>
      <c r="AH2172" t="str">
        <f t="shared" si="104"/>
        <v>Teghra</v>
      </c>
      <c r="AJ2172" s="72">
        <v>0</v>
      </c>
      <c r="AK2172" s="72"/>
      <c r="AL2172" s="72"/>
      <c r="AM2172" s="72"/>
    </row>
    <row r="2173" spans="1:39" x14ac:dyDescent="0.25">
      <c r="A2173" s="37" t="s">
        <v>62</v>
      </c>
      <c r="B2173" s="66" t="s">
        <v>1629</v>
      </c>
      <c r="C2173" s="41">
        <v>1008</v>
      </c>
      <c r="D2173" s="41" t="s">
        <v>221</v>
      </c>
      <c r="E2173" s="41">
        <v>10080110</v>
      </c>
      <c r="F2173" s="85" t="s">
        <v>1190</v>
      </c>
      <c r="G2173" s="39" t="s">
        <v>635</v>
      </c>
      <c r="H2173" s="52" t="s">
        <v>99</v>
      </c>
      <c r="I2173" s="52">
        <v>60.15</v>
      </c>
      <c r="J2173" s="49">
        <v>2245.5299999999997</v>
      </c>
      <c r="K2173" s="58">
        <v>0</v>
      </c>
      <c r="L2173" s="58">
        <v>0</v>
      </c>
      <c r="M2173" s="58">
        <v>0</v>
      </c>
      <c r="N2173" s="58">
        <v>0</v>
      </c>
      <c r="O2173" s="58">
        <v>0</v>
      </c>
      <c r="P2173" s="53">
        <v>0</v>
      </c>
      <c r="Q2173" s="65">
        <v>2245.5299999999997</v>
      </c>
      <c r="R2173" s="65">
        <v>0</v>
      </c>
      <c r="S2173" s="65">
        <v>0</v>
      </c>
      <c r="T2173" s="65">
        <v>0</v>
      </c>
      <c r="U2173" s="58">
        <v>0</v>
      </c>
      <c r="V2173" s="65">
        <v>0</v>
      </c>
      <c r="W2173" s="65">
        <v>0</v>
      </c>
      <c r="X2173" s="65">
        <v>0</v>
      </c>
      <c r="Y2173" s="65">
        <v>0</v>
      </c>
      <c r="Z2173" s="51">
        <v>2245.5299999999997</v>
      </c>
      <c r="AA2173" s="51">
        <v>0</v>
      </c>
      <c r="AB2173" s="102">
        <v>0</v>
      </c>
      <c r="AC2173" s="81">
        <f t="shared" si="102"/>
        <v>477.73977406483795</v>
      </c>
      <c r="AD2173" s="82">
        <f t="shared" si="103"/>
        <v>8.5928571428571434</v>
      </c>
      <c r="AE2173" s="218">
        <v>0</v>
      </c>
      <c r="AF2173">
        <v>0</v>
      </c>
      <c r="AH2173" t="str">
        <f t="shared" si="104"/>
        <v>Teghra</v>
      </c>
      <c r="AJ2173" s="72">
        <v>0</v>
      </c>
      <c r="AK2173" s="72"/>
      <c r="AL2173" s="72"/>
      <c r="AM2173" s="72"/>
    </row>
    <row r="2174" spans="1:39" x14ac:dyDescent="0.25">
      <c r="A2174" s="37" t="s">
        <v>62</v>
      </c>
      <c r="B2174" s="66" t="s">
        <v>1629</v>
      </c>
      <c r="C2174" s="41">
        <v>1065</v>
      </c>
      <c r="D2174" s="41" t="s">
        <v>1473</v>
      </c>
      <c r="E2174" s="41">
        <v>10080112</v>
      </c>
      <c r="F2174" s="85" t="s">
        <v>1221</v>
      </c>
      <c r="G2174" s="39" t="s">
        <v>635</v>
      </c>
      <c r="H2174" s="52" t="s">
        <v>99</v>
      </c>
      <c r="I2174" s="52">
        <v>1134.1000000000001</v>
      </c>
      <c r="J2174" s="49">
        <v>43707.799999999996</v>
      </c>
      <c r="K2174" s="58">
        <v>0</v>
      </c>
      <c r="L2174" s="58">
        <v>0</v>
      </c>
      <c r="M2174" s="58">
        <v>0</v>
      </c>
      <c r="N2174" s="58">
        <v>0</v>
      </c>
      <c r="O2174" s="58">
        <v>0</v>
      </c>
      <c r="P2174" s="53">
        <v>0</v>
      </c>
      <c r="Q2174" s="65">
        <v>43707.799999999996</v>
      </c>
      <c r="R2174" s="65">
        <v>0</v>
      </c>
      <c r="S2174" s="65">
        <v>0</v>
      </c>
      <c r="T2174" s="65">
        <v>0</v>
      </c>
      <c r="U2174" s="58">
        <v>0</v>
      </c>
      <c r="V2174" s="65">
        <v>0</v>
      </c>
      <c r="W2174" s="65">
        <v>0</v>
      </c>
      <c r="X2174" s="65">
        <v>0</v>
      </c>
      <c r="Y2174" s="65">
        <v>0</v>
      </c>
      <c r="Z2174" s="51">
        <v>43707.799999999996</v>
      </c>
      <c r="AA2174" s="51">
        <v>0</v>
      </c>
      <c r="AB2174" s="102">
        <v>0</v>
      </c>
      <c r="AC2174" s="81">
        <f t="shared" si="102"/>
        <v>0</v>
      </c>
      <c r="AD2174" s="82">
        <f t="shared" si="103"/>
        <v>0</v>
      </c>
      <c r="AE2174" s="218">
        <v>0</v>
      </c>
      <c r="AF2174">
        <v>0</v>
      </c>
      <c r="AH2174" t="str">
        <f t="shared" si="104"/>
        <v>Bachhwara BMC</v>
      </c>
      <c r="AJ2174" s="72">
        <v>0</v>
      </c>
      <c r="AK2174" s="72"/>
      <c r="AL2174" s="72"/>
      <c r="AM2174" s="72"/>
    </row>
    <row r="2175" spans="1:39" x14ac:dyDescent="0.25">
      <c r="A2175" s="37" t="s">
        <v>62</v>
      </c>
      <c r="B2175" s="66" t="s">
        <v>1629</v>
      </c>
      <c r="C2175" s="41">
        <v>1008</v>
      </c>
      <c r="D2175" s="41" t="s">
        <v>221</v>
      </c>
      <c r="E2175" s="41">
        <v>10080113</v>
      </c>
      <c r="F2175" s="85" t="s">
        <v>1222</v>
      </c>
      <c r="G2175" s="39" t="s">
        <v>635</v>
      </c>
      <c r="H2175" s="52" t="s">
        <v>99</v>
      </c>
      <c r="I2175" s="52">
        <v>269.34999999999997</v>
      </c>
      <c r="J2175" s="49">
        <v>10170.890000000001</v>
      </c>
      <c r="K2175" s="58">
        <v>0</v>
      </c>
      <c r="L2175" s="58">
        <v>0</v>
      </c>
      <c r="M2175" s="58">
        <v>0</v>
      </c>
      <c r="N2175" s="58">
        <v>0</v>
      </c>
      <c r="O2175" s="58">
        <v>0</v>
      </c>
      <c r="P2175" s="53">
        <v>0</v>
      </c>
      <c r="Q2175" s="65">
        <v>10170.890000000001</v>
      </c>
      <c r="R2175" s="65">
        <v>0</v>
      </c>
      <c r="S2175" s="65">
        <v>0</v>
      </c>
      <c r="T2175" s="65">
        <v>0</v>
      </c>
      <c r="U2175" s="58">
        <v>0</v>
      </c>
      <c r="V2175" s="65">
        <v>77.795235483870954</v>
      </c>
      <c r="W2175" s="65">
        <v>0</v>
      </c>
      <c r="X2175" s="65">
        <v>0</v>
      </c>
      <c r="Y2175" s="65">
        <v>0</v>
      </c>
      <c r="Z2175" s="51">
        <v>10093.09476451613</v>
      </c>
      <c r="AA2175" s="51">
        <v>0</v>
      </c>
      <c r="AB2175" s="102">
        <v>0</v>
      </c>
      <c r="AC2175" s="81">
        <f t="shared" si="102"/>
        <v>325.23436261369977</v>
      </c>
      <c r="AD2175" s="82">
        <f t="shared" si="103"/>
        <v>38.478571428571421</v>
      </c>
      <c r="AE2175" s="218">
        <v>0</v>
      </c>
      <c r="AF2175">
        <v>0</v>
      </c>
      <c r="AH2175" t="str">
        <f t="shared" si="104"/>
        <v>Teghra</v>
      </c>
      <c r="AJ2175" s="72">
        <v>0</v>
      </c>
      <c r="AK2175" s="72"/>
      <c r="AL2175" s="72"/>
      <c r="AM2175" s="72"/>
    </row>
    <row r="2176" spans="1:39" x14ac:dyDescent="0.25">
      <c r="A2176" s="37" t="s">
        <v>62</v>
      </c>
      <c r="B2176" s="66" t="s">
        <v>1629</v>
      </c>
      <c r="C2176" s="41">
        <v>1008</v>
      </c>
      <c r="D2176" s="41" t="s">
        <v>221</v>
      </c>
      <c r="E2176" s="41">
        <v>10080115</v>
      </c>
      <c r="F2176" s="85" t="s">
        <v>1265</v>
      </c>
      <c r="G2176" s="39" t="s">
        <v>93</v>
      </c>
      <c r="H2176" s="52" t="s">
        <v>94</v>
      </c>
      <c r="I2176" s="52">
        <v>420.85</v>
      </c>
      <c r="J2176" s="49">
        <v>15280.939999999999</v>
      </c>
      <c r="K2176" s="58">
        <v>420.60000000000008</v>
      </c>
      <c r="L2176" s="58">
        <v>15270.814175562004</v>
      </c>
      <c r="M2176" s="58">
        <v>0</v>
      </c>
      <c r="N2176" s="58">
        <v>0</v>
      </c>
      <c r="O2176" s="58">
        <v>420.60000000000008</v>
      </c>
      <c r="P2176" s="53">
        <v>15270.814175562004</v>
      </c>
      <c r="Q2176" s="65">
        <v>15270.814175562004</v>
      </c>
      <c r="R2176" s="65">
        <v>0</v>
      </c>
      <c r="S2176" s="65">
        <v>0</v>
      </c>
      <c r="T2176" s="65">
        <v>0</v>
      </c>
      <c r="U2176" s="58">
        <v>0</v>
      </c>
      <c r="V2176" s="65">
        <v>140.62533818181822</v>
      </c>
      <c r="W2176" s="65">
        <v>0</v>
      </c>
      <c r="X2176" s="65">
        <v>15130</v>
      </c>
      <c r="Y2176" s="65">
        <v>0</v>
      </c>
      <c r="Z2176" s="51">
        <v>0</v>
      </c>
      <c r="AA2176" s="51">
        <v>10</v>
      </c>
      <c r="AB2176" s="102">
        <v>0</v>
      </c>
      <c r="AC2176" s="81">
        <f t="shared" si="102"/>
        <v>202.71709164785548</v>
      </c>
      <c r="AD2176" s="82">
        <f t="shared" si="103"/>
        <v>60.121428571428574</v>
      </c>
      <c r="AE2176" s="218">
        <v>6.6264408066487451E-4</v>
      </c>
      <c r="AF2176">
        <v>1</v>
      </c>
      <c r="AH2176" t="str">
        <f t="shared" si="104"/>
        <v>Teghra</v>
      </c>
      <c r="AJ2176" s="72">
        <v>0</v>
      </c>
      <c r="AK2176" s="72"/>
      <c r="AL2176" s="72"/>
      <c r="AM2176" s="72"/>
    </row>
    <row r="2177" spans="1:39" x14ac:dyDescent="0.25">
      <c r="A2177" s="37" t="s">
        <v>62</v>
      </c>
      <c r="B2177" s="66" t="s">
        <v>1629</v>
      </c>
      <c r="C2177" s="41">
        <v>1008</v>
      </c>
      <c r="D2177" s="41" t="s">
        <v>221</v>
      </c>
      <c r="E2177" s="41">
        <v>10080117</v>
      </c>
      <c r="F2177" s="85" t="s">
        <v>1293</v>
      </c>
      <c r="G2177" s="39" t="s">
        <v>635</v>
      </c>
      <c r="H2177" s="52" t="s">
        <v>99</v>
      </c>
      <c r="I2177" s="52">
        <v>203.89999999999998</v>
      </c>
      <c r="J2177" s="49">
        <v>6880.1</v>
      </c>
      <c r="K2177" s="58">
        <v>0</v>
      </c>
      <c r="L2177" s="58">
        <v>0</v>
      </c>
      <c r="M2177" s="58">
        <v>0</v>
      </c>
      <c r="N2177" s="58">
        <v>0</v>
      </c>
      <c r="O2177" s="58">
        <v>0</v>
      </c>
      <c r="P2177" s="53">
        <v>0</v>
      </c>
      <c r="Q2177" s="65">
        <v>6880.1</v>
      </c>
      <c r="R2177" s="65">
        <v>0</v>
      </c>
      <c r="S2177" s="65">
        <v>0</v>
      </c>
      <c r="T2177" s="65">
        <v>0</v>
      </c>
      <c r="U2177" s="58">
        <v>0</v>
      </c>
      <c r="V2177" s="65">
        <v>0</v>
      </c>
      <c r="W2177" s="65">
        <v>0</v>
      </c>
      <c r="X2177" s="65">
        <v>0</v>
      </c>
      <c r="Y2177" s="65">
        <v>0</v>
      </c>
      <c r="Z2177" s="51">
        <v>6880.1</v>
      </c>
      <c r="AA2177" s="51">
        <v>0</v>
      </c>
      <c r="AB2177" s="102">
        <v>0</v>
      </c>
      <c r="AC2177" s="81">
        <f t="shared" si="102"/>
        <v>334.79329180971064</v>
      </c>
      <c r="AD2177" s="82">
        <f t="shared" si="103"/>
        <v>29.128571428571426</v>
      </c>
      <c r="AE2177" s="218">
        <v>0</v>
      </c>
      <c r="AF2177">
        <v>0</v>
      </c>
      <c r="AH2177" t="str">
        <f t="shared" si="104"/>
        <v>Teghra</v>
      </c>
      <c r="AJ2177" s="72">
        <v>0</v>
      </c>
      <c r="AK2177" s="72"/>
      <c r="AL2177" s="72"/>
      <c r="AM2177" s="72"/>
    </row>
    <row r="2178" spans="1:39" x14ac:dyDescent="0.25">
      <c r="A2178" s="37" t="s">
        <v>62</v>
      </c>
      <c r="B2178" s="66" t="s">
        <v>1629</v>
      </c>
      <c r="C2178" s="41">
        <v>1008</v>
      </c>
      <c r="D2178" s="41" t="s">
        <v>221</v>
      </c>
      <c r="E2178" s="41">
        <v>10080119</v>
      </c>
      <c r="F2178" s="85" t="s">
        <v>1325</v>
      </c>
      <c r="G2178" s="39" t="s">
        <v>93</v>
      </c>
      <c r="H2178" s="52" t="s">
        <v>94</v>
      </c>
      <c r="I2178" s="52">
        <v>373.34999999999997</v>
      </c>
      <c r="J2178" s="49">
        <v>12872.230000000003</v>
      </c>
      <c r="K2178" s="58">
        <v>404.4</v>
      </c>
      <c r="L2178" s="58">
        <v>16177.735069848002</v>
      </c>
      <c r="M2178" s="58">
        <v>0</v>
      </c>
      <c r="N2178" s="58">
        <v>0</v>
      </c>
      <c r="O2178" s="58">
        <v>404.4</v>
      </c>
      <c r="P2178" s="53">
        <v>16177.735069848002</v>
      </c>
      <c r="Q2178" s="65">
        <v>12872.230000000003</v>
      </c>
      <c r="R2178" s="65">
        <v>0</v>
      </c>
      <c r="S2178" s="65">
        <v>0</v>
      </c>
      <c r="T2178" s="65">
        <v>3305.505069847999</v>
      </c>
      <c r="U2178" s="58">
        <v>6500</v>
      </c>
      <c r="V2178" s="65">
        <v>152.66999999999999</v>
      </c>
      <c r="W2178" s="65">
        <v>0</v>
      </c>
      <c r="X2178" s="65">
        <v>6219</v>
      </c>
      <c r="Y2178" s="65">
        <v>0</v>
      </c>
      <c r="Z2178" s="51">
        <v>0</v>
      </c>
      <c r="AA2178" s="51">
        <v>1</v>
      </c>
      <c r="AB2178" s="102" t="s">
        <v>66</v>
      </c>
      <c r="AC2178" s="81">
        <f t="shared" ref="AC2178:AC2241" si="105">((IF(AD2178=0,0,100-AD2178))*7*(J2178/I2178))*2%</f>
        <v>225.24247646980058</v>
      </c>
      <c r="AD2178" s="82">
        <f t="shared" ref="AD2178:AD2241" si="106">IF((I2178/7)&gt;100,0,(I2178/7))</f>
        <v>53.335714285714282</v>
      </c>
      <c r="AE2178" s="218">
        <v>-0.25679350585314265</v>
      </c>
      <c r="AF2178">
        <v>2</v>
      </c>
      <c r="AH2178" t="str">
        <f t="shared" si="104"/>
        <v>Teghra</v>
      </c>
      <c r="AJ2178" s="72">
        <v>0</v>
      </c>
      <c r="AK2178" s="72"/>
      <c r="AL2178" s="72"/>
      <c r="AM2178" s="72"/>
    </row>
    <row r="2179" spans="1:39" x14ac:dyDescent="0.25">
      <c r="A2179" s="37" t="s">
        <v>62</v>
      </c>
      <c r="B2179" s="66" t="s">
        <v>1629</v>
      </c>
      <c r="C2179" s="41">
        <v>1008</v>
      </c>
      <c r="D2179" s="41" t="s">
        <v>221</v>
      </c>
      <c r="E2179" s="41">
        <v>10080120</v>
      </c>
      <c r="F2179" s="85" t="s">
        <v>1389</v>
      </c>
      <c r="G2179" s="39" t="s">
        <v>93</v>
      </c>
      <c r="H2179" s="52" t="s">
        <v>94</v>
      </c>
      <c r="I2179" s="52">
        <v>352.49999999999994</v>
      </c>
      <c r="J2179" s="49">
        <v>13012.829999999998</v>
      </c>
      <c r="K2179" s="58">
        <v>355.78999999999996</v>
      </c>
      <c r="L2179" s="58">
        <v>12071.163377957642</v>
      </c>
      <c r="M2179" s="58">
        <v>20</v>
      </c>
      <c r="N2179" s="58">
        <v>736.58138400000007</v>
      </c>
      <c r="O2179" s="58">
        <v>375.78999999999996</v>
      </c>
      <c r="P2179" s="53">
        <v>12807.744761957641</v>
      </c>
      <c r="Q2179" s="65">
        <v>12807.744761957641</v>
      </c>
      <c r="R2179" s="65">
        <v>0</v>
      </c>
      <c r="S2179" s="65">
        <v>0</v>
      </c>
      <c r="T2179" s="65">
        <v>0</v>
      </c>
      <c r="U2179" s="58">
        <v>0</v>
      </c>
      <c r="V2179" s="65">
        <v>0</v>
      </c>
      <c r="W2179" s="65">
        <v>0</v>
      </c>
      <c r="X2179" s="65">
        <v>12071</v>
      </c>
      <c r="Y2179" s="65">
        <v>737</v>
      </c>
      <c r="Z2179" s="51">
        <v>0</v>
      </c>
      <c r="AA2179" s="51">
        <v>205</v>
      </c>
      <c r="AB2179" s="102">
        <v>0</v>
      </c>
      <c r="AC2179" s="81">
        <f t="shared" si="105"/>
        <v>256.56501702127667</v>
      </c>
      <c r="AD2179" s="82">
        <f t="shared" si="106"/>
        <v>50.357142857142847</v>
      </c>
      <c r="AE2179" s="218">
        <v>1.5760233403675963E-2</v>
      </c>
      <c r="AF2179">
        <v>9</v>
      </c>
      <c r="AH2179" t="str">
        <f t="shared" si="104"/>
        <v>Teghra</v>
      </c>
      <c r="AJ2179" s="72">
        <v>0</v>
      </c>
      <c r="AK2179" s="72"/>
      <c r="AL2179" s="72"/>
      <c r="AM2179" s="72"/>
    </row>
    <row r="2180" spans="1:39" x14ac:dyDescent="0.25">
      <c r="A2180" s="37" t="s">
        <v>62</v>
      </c>
      <c r="B2180" s="66" t="s">
        <v>1629</v>
      </c>
      <c r="C2180" s="41">
        <v>1008</v>
      </c>
      <c r="D2180" s="41" t="s">
        <v>221</v>
      </c>
      <c r="E2180" s="41">
        <v>10080122</v>
      </c>
      <c r="F2180" s="85" t="s">
        <v>1401</v>
      </c>
      <c r="G2180" s="39" t="s">
        <v>93</v>
      </c>
      <c r="H2180" s="52" t="s">
        <v>94</v>
      </c>
      <c r="I2180" s="52">
        <v>621.94999999999993</v>
      </c>
      <c r="J2180" s="49">
        <v>23190.5</v>
      </c>
      <c r="K2180" s="58">
        <v>621.69999999999993</v>
      </c>
      <c r="L2180" s="58">
        <v>23180.108028264003</v>
      </c>
      <c r="M2180" s="58">
        <v>0</v>
      </c>
      <c r="N2180" s="58">
        <v>0</v>
      </c>
      <c r="O2180" s="58">
        <v>621.69999999999993</v>
      </c>
      <c r="P2180" s="53">
        <v>23180.108028264003</v>
      </c>
      <c r="Q2180" s="65">
        <v>23180.108028264003</v>
      </c>
      <c r="R2180" s="65">
        <v>0</v>
      </c>
      <c r="S2180" s="65">
        <v>0</v>
      </c>
      <c r="T2180" s="65">
        <v>0</v>
      </c>
      <c r="U2180" s="58">
        <v>0</v>
      </c>
      <c r="V2180" s="65">
        <v>0</v>
      </c>
      <c r="W2180" s="65">
        <v>0</v>
      </c>
      <c r="X2180" s="65">
        <v>23180</v>
      </c>
      <c r="Y2180" s="65">
        <v>0</v>
      </c>
      <c r="Z2180" s="51">
        <v>0</v>
      </c>
      <c r="AA2180" s="51">
        <v>11</v>
      </c>
      <c r="AB2180" s="102">
        <v>0</v>
      </c>
      <c r="AC2180" s="81">
        <f t="shared" si="105"/>
        <v>58.204631401238089</v>
      </c>
      <c r="AD2180" s="82">
        <f t="shared" si="106"/>
        <v>88.85</v>
      </c>
      <c r="AE2180" s="218">
        <v>4.4811331088147197E-4</v>
      </c>
      <c r="AF2180">
        <v>1</v>
      </c>
      <c r="AH2180" t="str">
        <f t="shared" si="104"/>
        <v>Teghra</v>
      </c>
      <c r="AJ2180" s="72">
        <v>0</v>
      </c>
      <c r="AK2180" s="72"/>
      <c r="AL2180" s="72"/>
      <c r="AM2180" s="72"/>
    </row>
    <row r="2181" spans="1:39" x14ac:dyDescent="0.25">
      <c r="A2181" s="37" t="s">
        <v>62</v>
      </c>
      <c r="B2181" s="66" t="s">
        <v>1629</v>
      </c>
      <c r="C2181" s="41">
        <v>1008</v>
      </c>
      <c r="D2181" s="41" t="s">
        <v>221</v>
      </c>
      <c r="E2181" s="41">
        <v>10080124</v>
      </c>
      <c r="F2181" s="85" t="s">
        <v>1422</v>
      </c>
      <c r="G2181" s="39" t="s">
        <v>93</v>
      </c>
      <c r="H2181" s="52" t="s">
        <v>94</v>
      </c>
      <c r="I2181" s="52">
        <v>200.85</v>
      </c>
      <c r="J2181" s="49">
        <v>8292.760000000002</v>
      </c>
      <c r="K2181" s="58">
        <v>200.50000000000003</v>
      </c>
      <c r="L2181" s="58">
        <v>8277.952171870802</v>
      </c>
      <c r="M2181" s="58">
        <v>0</v>
      </c>
      <c r="N2181" s="58">
        <v>0</v>
      </c>
      <c r="O2181" s="58">
        <v>200.50000000000003</v>
      </c>
      <c r="P2181" s="53">
        <v>8277.952171870802</v>
      </c>
      <c r="Q2181" s="65">
        <v>8277.952171870802</v>
      </c>
      <c r="R2181" s="65">
        <v>0</v>
      </c>
      <c r="S2181" s="65">
        <v>0</v>
      </c>
      <c r="T2181" s="65">
        <v>0</v>
      </c>
      <c r="U2181" s="58">
        <v>0</v>
      </c>
      <c r="V2181" s="65">
        <v>0</v>
      </c>
      <c r="W2181" s="65">
        <v>0</v>
      </c>
      <c r="X2181" s="65">
        <v>8278</v>
      </c>
      <c r="Y2181" s="65">
        <v>0</v>
      </c>
      <c r="Z2181" s="54">
        <v>0</v>
      </c>
      <c r="AA2181" s="51">
        <v>15</v>
      </c>
      <c r="AB2181" s="102">
        <v>0</v>
      </c>
      <c r="AC2181" s="81">
        <f t="shared" si="105"/>
        <v>412.1813446850885</v>
      </c>
      <c r="AD2181" s="82">
        <f t="shared" si="106"/>
        <v>28.692857142857143</v>
      </c>
      <c r="AE2181" s="218">
        <v>1.7856332667531747E-3</v>
      </c>
      <c r="AF2181">
        <v>1</v>
      </c>
      <c r="AH2181" t="str">
        <f t="shared" si="104"/>
        <v>Teghra</v>
      </c>
      <c r="AJ2181" s="72">
        <v>0</v>
      </c>
      <c r="AK2181" s="72"/>
      <c r="AL2181" s="72"/>
      <c r="AM2181" s="72"/>
    </row>
    <row r="2182" spans="1:39" x14ac:dyDescent="0.25">
      <c r="A2182" s="37" t="s">
        <v>62</v>
      </c>
      <c r="B2182" s="66" t="s">
        <v>1629</v>
      </c>
      <c r="C2182" s="41">
        <v>1008</v>
      </c>
      <c r="D2182" s="41" t="s">
        <v>221</v>
      </c>
      <c r="E2182" s="41">
        <v>10080126</v>
      </c>
      <c r="F2182" s="85" t="s">
        <v>1492</v>
      </c>
      <c r="G2182" s="39" t="s">
        <v>93</v>
      </c>
      <c r="H2182" s="52" t="s">
        <v>94</v>
      </c>
      <c r="I2182" s="52">
        <v>222.15</v>
      </c>
      <c r="J2182" s="49">
        <v>7359.59</v>
      </c>
      <c r="K2182" s="58">
        <v>222.09999999999997</v>
      </c>
      <c r="L2182" s="58">
        <v>7357.2388078860004</v>
      </c>
      <c r="M2182" s="58">
        <v>0</v>
      </c>
      <c r="N2182" s="58">
        <v>0</v>
      </c>
      <c r="O2182" s="58">
        <v>222.09999999999997</v>
      </c>
      <c r="P2182" s="53">
        <v>7357.2388078860004</v>
      </c>
      <c r="Q2182" s="65">
        <v>7357.2388078860004</v>
      </c>
      <c r="R2182" s="65">
        <v>0</v>
      </c>
      <c r="S2182" s="65">
        <v>0</v>
      </c>
      <c r="T2182" s="65">
        <v>0</v>
      </c>
      <c r="U2182" s="58">
        <v>0</v>
      </c>
      <c r="V2182" s="65">
        <v>0</v>
      </c>
      <c r="W2182" s="65">
        <v>0</v>
      </c>
      <c r="X2182" s="65">
        <v>7357</v>
      </c>
      <c r="Y2182" s="65">
        <v>0</v>
      </c>
      <c r="Z2182" s="55">
        <v>0</v>
      </c>
      <c r="AA2182" s="51">
        <v>3</v>
      </c>
      <c r="AB2182" s="102">
        <v>0</v>
      </c>
      <c r="AC2182" s="81">
        <f t="shared" si="105"/>
        <v>316.61310659464317</v>
      </c>
      <c r="AD2182" s="82">
        <f t="shared" si="106"/>
        <v>31.735714285714288</v>
      </c>
      <c r="AE2182" s="218">
        <v>3.1947324701509005E-4</v>
      </c>
      <c r="AF2182">
        <v>1</v>
      </c>
      <c r="AH2182" t="str">
        <f t="shared" si="104"/>
        <v>Teghra</v>
      </c>
      <c r="AJ2182" s="72">
        <v>0</v>
      </c>
      <c r="AK2182" s="72"/>
      <c r="AL2182" s="72"/>
      <c r="AM2182" s="72"/>
    </row>
    <row r="2183" spans="1:39" x14ac:dyDescent="0.25">
      <c r="A2183" s="37" t="s">
        <v>62</v>
      </c>
      <c r="B2183" s="66" t="s">
        <v>1629</v>
      </c>
      <c r="C2183" s="41">
        <v>1009</v>
      </c>
      <c r="D2183" s="41" t="s">
        <v>249</v>
      </c>
      <c r="E2183" s="41">
        <v>10090001</v>
      </c>
      <c r="F2183" s="85" t="s">
        <v>250</v>
      </c>
      <c r="G2183" s="39" t="s">
        <v>635</v>
      </c>
      <c r="H2183" s="52" t="s">
        <v>99</v>
      </c>
      <c r="I2183" s="52">
        <v>361.90000000000003</v>
      </c>
      <c r="J2183" s="49">
        <v>15133.859999999999</v>
      </c>
      <c r="K2183" s="58">
        <v>0</v>
      </c>
      <c r="L2183" s="58">
        <v>0</v>
      </c>
      <c r="M2183" s="58">
        <v>0</v>
      </c>
      <c r="N2183" s="58">
        <v>0</v>
      </c>
      <c r="O2183" s="58">
        <v>0</v>
      </c>
      <c r="P2183" s="53">
        <v>0</v>
      </c>
      <c r="Q2183" s="65">
        <v>15133.859999999999</v>
      </c>
      <c r="R2183" s="65">
        <v>0</v>
      </c>
      <c r="S2183" s="65">
        <v>0</v>
      </c>
      <c r="T2183" s="65">
        <v>0</v>
      </c>
      <c r="U2183" s="58">
        <v>0</v>
      </c>
      <c r="V2183" s="65">
        <v>0</v>
      </c>
      <c r="W2183" s="65">
        <v>0</v>
      </c>
      <c r="X2183" s="65">
        <v>0</v>
      </c>
      <c r="Y2183" s="65">
        <v>0</v>
      </c>
      <c r="Z2183" s="51">
        <v>15133.859999999999</v>
      </c>
      <c r="AA2183" s="51">
        <v>0</v>
      </c>
      <c r="AB2183" s="102">
        <v>0</v>
      </c>
      <c r="AC2183" s="81">
        <f t="shared" si="105"/>
        <v>282.7719295938104</v>
      </c>
      <c r="AD2183" s="82">
        <f t="shared" si="106"/>
        <v>51.7</v>
      </c>
      <c r="AE2183" s="218">
        <v>0</v>
      </c>
      <c r="AF2183">
        <v>0</v>
      </c>
      <c r="AH2183" t="str">
        <f t="shared" si="104"/>
        <v>Halsi</v>
      </c>
      <c r="AJ2183" s="72">
        <v>0</v>
      </c>
      <c r="AK2183" s="72"/>
      <c r="AL2183" s="72"/>
      <c r="AM2183" s="72"/>
    </row>
    <row r="2184" spans="1:39" x14ac:dyDescent="0.25">
      <c r="A2184" s="37" t="s">
        <v>62</v>
      </c>
      <c r="B2184" s="66" t="s">
        <v>1629</v>
      </c>
      <c r="C2184" s="41">
        <v>1009</v>
      </c>
      <c r="D2184" s="43" t="s">
        <v>249</v>
      </c>
      <c r="E2184" s="41">
        <v>10090002</v>
      </c>
      <c r="F2184" s="85" t="s">
        <v>251</v>
      </c>
      <c r="G2184" s="39" t="s">
        <v>93</v>
      </c>
      <c r="H2184" s="52" t="s">
        <v>94</v>
      </c>
      <c r="I2184" s="52">
        <v>1850.7000000000003</v>
      </c>
      <c r="J2184" s="49">
        <v>77471.250000000015</v>
      </c>
      <c r="K2184" s="58">
        <v>1304.6199999999999</v>
      </c>
      <c r="L2184" s="58">
        <v>56566.752689009598</v>
      </c>
      <c r="M2184" s="58">
        <v>556.33000000000004</v>
      </c>
      <c r="N2184" s="58">
        <v>23822.654594208325</v>
      </c>
      <c r="O2184" s="58">
        <v>1860.9499999999998</v>
      </c>
      <c r="P2184" s="53">
        <v>80389.407283217923</v>
      </c>
      <c r="Q2184" s="65">
        <v>77471.250000000015</v>
      </c>
      <c r="R2184" s="65">
        <v>0</v>
      </c>
      <c r="S2184" s="65">
        <v>599.79874331520023</v>
      </c>
      <c r="T2184" s="65">
        <v>2918.1572832179081</v>
      </c>
      <c r="U2184" s="58">
        <v>0</v>
      </c>
      <c r="V2184" s="65">
        <v>0</v>
      </c>
      <c r="W2184" s="65">
        <v>0</v>
      </c>
      <c r="X2184" s="65">
        <v>53648</v>
      </c>
      <c r="Y2184" s="65">
        <v>23223</v>
      </c>
      <c r="Z2184" s="51">
        <v>0</v>
      </c>
      <c r="AA2184" s="51">
        <v>0</v>
      </c>
      <c r="AB2184" s="102">
        <v>0</v>
      </c>
      <c r="AC2184" s="81">
        <f t="shared" si="105"/>
        <v>0</v>
      </c>
      <c r="AD2184" s="82">
        <f t="shared" si="106"/>
        <v>0</v>
      </c>
      <c r="AE2184" s="218">
        <v>-3.7667615834492248E-2</v>
      </c>
      <c r="AF2184">
        <v>14</v>
      </c>
      <c r="AH2184" t="str">
        <f t="shared" si="104"/>
        <v>Halsi</v>
      </c>
      <c r="AJ2184" s="72">
        <v>0</v>
      </c>
      <c r="AK2184" s="72"/>
      <c r="AL2184" s="72"/>
      <c r="AM2184" s="72"/>
    </row>
    <row r="2185" spans="1:39" x14ac:dyDescent="0.25">
      <c r="A2185" s="37" t="s">
        <v>62</v>
      </c>
      <c r="B2185" s="66" t="s">
        <v>1629</v>
      </c>
      <c r="C2185" s="41">
        <v>1009</v>
      </c>
      <c r="D2185" s="43" t="s">
        <v>249</v>
      </c>
      <c r="E2185" s="41">
        <v>10090003</v>
      </c>
      <c r="F2185" s="85" t="s">
        <v>252</v>
      </c>
      <c r="G2185" s="39" t="s">
        <v>93</v>
      </c>
      <c r="H2185" s="52" t="s">
        <v>94</v>
      </c>
      <c r="I2185" s="52">
        <v>115.4</v>
      </c>
      <c r="J2185" s="49">
        <v>3850.1800000000003</v>
      </c>
      <c r="K2185" s="58">
        <v>114.6</v>
      </c>
      <c r="L2185" s="58">
        <v>3832.8467829299998</v>
      </c>
      <c r="M2185" s="58">
        <v>0.6</v>
      </c>
      <c r="N2185" s="58">
        <v>20.193963768</v>
      </c>
      <c r="O2185" s="58">
        <v>115.19999999999999</v>
      </c>
      <c r="P2185" s="53">
        <v>3853.0407466979996</v>
      </c>
      <c r="Q2185" s="65">
        <v>3850.1800000000003</v>
      </c>
      <c r="R2185" s="65">
        <v>0</v>
      </c>
      <c r="S2185" s="65">
        <v>20.193963768</v>
      </c>
      <c r="T2185" s="65">
        <v>2.8607466979992751</v>
      </c>
      <c r="U2185" s="58">
        <v>0</v>
      </c>
      <c r="V2185" s="65">
        <v>0</v>
      </c>
      <c r="W2185" s="65">
        <v>0</v>
      </c>
      <c r="X2185" s="65">
        <v>3830</v>
      </c>
      <c r="Y2185" s="65">
        <v>0</v>
      </c>
      <c r="Z2185" s="54">
        <v>0</v>
      </c>
      <c r="AA2185" s="51">
        <v>0</v>
      </c>
      <c r="AB2185" s="102">
        <v>0</v>
      </c>
      <c r="AC2185" s="81">
        <f t="shared" si="105"/>
        <v>390.08929428076254</v>
      </c>
      <c r="AD2185" s="82">
        <f t="shared" si="106"/>
        <v>16.485714285714288</v>
      </c>
      <c r="AE2185" s="218">
        <v>-7.4301635196257702E-4</v>
      </c>
      <c r="AF2185">
        <v>3</v>
      </c>
      <c r="AH2185" t="str">
        <f t="shared" si="104"/>
        <v>Halsi</v>
      </c>
      <c r="AJ2185" s="72">
        <v>0</v>
      </c>
      <c r="AK2185" s="72"/>
      <c r="AL2185" s="72"/>
      <c r="AM2185" s="72"/>
    </row>
    <row r="2186" spans="1:39" x14ac:dyDescent="0.25">
      <c r="A2186" s="37" t="s">
        <v>62</v>
      </c>
      <c r="B2186" s="66" t="s">
        <v>1629</v>
      </c>
      <c r="C2186" s="41">
        <v>1009</v>
      </c>
      <c r="D2186" s="43" t="s">
        <v>249</v>
      </c>
      <c r="E2186" s="41">
        <v>10090005</v>
      </c>
      <c r="F2186" s="85" t="s">
        <v>253</v>
      </c>
      <c r="G2186" s="39" t="s">
        <v>635</v>
      </c>
      <c r="H2186" s="52" t="s">
        <v>99</v>
      </c>
      <c r="I2186" s="52">
        <v>297.00000000000006</v>
      </c>
      <c r="J2186" s="49">
        <v>12754.619999999999</v>
      </c>
      <c r="K2186" s="58">
        <v>0</v>
      </c>
      <c r="L2186" s="58">
        <v>0</v>
      </c>
      <c r="M2186" s="58">
        <v>0</v>
      </c>
      <c r="N2186" s="58">
        <v>0</v>
      </c>
      <c r="O2186" s="58">
        <v>0</v>
      </c>
      <c r="P2186" s="53">
        <v>0</v>
      </c>
      <c r="Q2186" s="65">
        <v>12754.619999999999</v>
      </c>
      <c r="R2186" s="65">
        <v>0</v>
      </c>
      <c r="S2186" s="65">
        <v>0</v>
      </c>
      <c r="T2186" s="65">
        <v>0</v>
      </c>
      <c r="U2186" s="58">
        <v>0</v>
      </c>
      <c r="V2186" s="65">
        <v>78.828890322580662</v>
      </c>
      <c r="W2186" s="65">
        <v>0</v>
      </c>
      <c r="X2186" s="65">
        <v>0</v>
      </c>
      <c r="Y2186" s="65">
        <v>0</v>
      </c>
      <c r="Z2186" s="55">
        <v>12675.791109677419</v>
      </c>
      <c r="AA2186" s="51">
        <v>0</v>
      </c>
      <c r="AB2186" s="102">
        <v>0</v>
      </c>
      <c r="AC2186" s="81">
        <f t="shared" si="105"/>
        <v>346.13547878787858</v>
      </c>
      <c r="AD2186" s="82">
        <f t="shared" si="106"/>
        <v>42.428571428571438</v>
      </c>
      <c r="AE2186" s="218">
        <v>0</v>
      </c>
      <c r="AF2186">
        <v>0</v>
      </c>
      <c r="AH2186" t="str">
        <f t="shared" si="104"/>
        <v>Halsi</v>
      </c>
      <c r="AJ2186" s="72">
        <v>0</v>
      </c>
      <c r="AK2186" s="72"/>
      <c r="AL2186" s="72"/>
      <c r="AM2186" s="72"/>
    </row>
    <row r="2187" spans="1:39" x14ac:dyDescent="0.25">
      <c r="A2187" s="37" t="s">
        <v>62</v>
      </c>
      <c r="B2187" s="66" t="s">
        <v>1629</v>
      </c>
      <c r="C2187" s="41">
        <v>1009</v>
      </c>
      <c r="D2187" s="43" t="s">
        <v>249</v>
      </c>
      <c r="E2187" s="41">
        <v>10090006</v>
      </c>
      <c r="F2187" s="85" t="s">
        <v>254</v>
      </c>
      <c r="G2187" s="39" t="s">
        <v>93</v>
      </c>
      <c r="H2187" s="52" t="s">
        <v>94</v>
      </c>
      <c r="I2187" s="52">
        <v>1412.3000000000002</v>
      </c>
      <c r="J2187" s="49">
        <v>56181.490000000005</v>
      </c>
      <c r="K2187" s="58">
        <v>1416.3</v>
      </c>
      <c r="L2187" s="58">
        <v>60476.762809658103</v>
      </c>
      <c r="M2187" s="58">
        <v>0</v>
      </c>
      <c r="N2187" s="58">
        <v>0</v>
      </c>
      <c r="O2187" s="58">
        <v>1416.3</v>
      </c>
      <c r="P2187" s="53">
        <v>60476.762809658103</v>
      </c>
      <c r="Q2187" s="65">
        <v>56181.490000000005</v>
      </c>
      <c r="R2187" s="65">
        <v>0</v>
      </c>
      <c r="S2187" s="65">
        <v>0</v>
      </c>
      <c r="T2187" s="65">
        <v>4295.2728096580977</v>
      </c>
      <c r="U2187" s="58">
        <v>0</v>
      </c>
      <c r="V2187" s="65">
        <v>0</v>
      </c>
      <c r="W2187" s="65">
        <v>0</v>
      </c>
      <c r="X2187" s="65">
        <v>56181</v>
      </c>
      <c r="Y2187" s="65">
        <v>0</v>
      </c>
      <c r="Z2187" s="51">
        <v>0</v>
      </c>
      <c r="AA2187" s="51">
        <v>0</v>
      </c>
      <c r="AB2187" s="102">
        <v>0</v>
      </c>
      <c r="AC2187" s="81">
        <f t="shared" si="105"/>
        <v>0</v>
      </c>
      <c r="AD2187" s="82">
        <f t="shared" si="106"/>
        <v>0</v>
      </c>
      <c r="AE2187" s="218">
        <v>-7.6453522497500467E-2</v>
      </c>
      <c r="AF2187">
        <v>9</v>
      </c>
      <c r="AH2187" t="str">
        <f t="shared" si="104"/>
        <v>Halsi</v>
      </c>
      <c r="AJ2187" s="72">
        <v>0</v>
      </c>
      <c r="AK2187" s="72"/>
      <c r="AL2187" s="72"/>
      <c r="AM2187" s="72"/>
    </row>
    <row r="2188" spans="1:39" x14ac:dyDescent="0.25">
      <c r="A2188" s="37" t="s">
        <v>62</v>
      </c>
      <c r="B2188" s="66" t="s">
        <v>1629</v>
      </c>
      <c r="C2188" s="41">
        <v>1009</v>
      </c>
      <c r="D2188" s="41" t="s">
        <v>249</v>
      </c>
      <c r="E2188" s="41">
        <v>10090007</v>
      </c>
      <c r="F2188" s="85" t="s">
        <v>255</v>
      </c>
      <c r="G2188" s="39" t="s">
        <v>93</v>
      </c>
      <c r="H2188" s="52" t="s">
        <v>94</v>
      </c>
      <c r="I2188" s="52">
        <v>356.20000000000005</v>
      </c>
      <c r="J2188" s="49">
        <v>11724.57</v>
      </c>
      <c r="K2188" s="58">
        <v>443.3</v>
      </c>
      <c r="L2188" s="58">
        <v>15000.673832496001</v>
      </c>
      <c r="M2188" s="58">
        <v>0</v>
      </c>
      <c r="N2188" s="58">
        <v>0</v>
      </c>
      <c r="O2188" s="58">
        <v>443.3</v>
      </c>
      <c r="P2188" s="53">
        <v>15000.673832496001</v>
      </c>
      <c r="Q2188" s="65">
        <v>11724.57</v>
      </c>
      <c r="R2188" s="65">
        <v>0</v>
      </c>
      <c r="S2188" s="65">
        <v>0</v>
      </c>
      <c r="T2188" s="65">
        <v>3276.1038324960009</v>
      </c>
      <c r="U2188" s="58">
        <v>0</v>
      </c>
      <c r="V2188" s="65">
        <v>4.8844071428571567</v>
      </c>
      <c r="W2188" s="65">
        <v>0</v>
      </c>
      <c r="X2188" s="65">
        <v>11720</v>
      </c>
      <c r="Y2188" s="65">
        <v>0</v>
      </c>
      <c r="Z2188" s="51">
        <v>0</v>
      </c>
      <c r="AA2188" s="51">
        <v>0</v>
      </c>
      <c r="AB2188" s="102">
        <v>0</v>
      </c>
      <c r="AC2188" s="81">
        <f t="shared" si="105"/>
        <v>226.32830802919705</v>
      </c>
      <c r="AD2188" s="82">
        <f t="shared" si="106"/>
        <v>50.885714285714293</v>
      </c>
      <c r="AE2188" s="218">
        <v>-0.27942208818711484</v>
      </c>
      <c r="AF2188">
        <v>1</v>
      </c>
      <c r="AH2188" t="str">
        <f t="shared" si="104"/>
        <v>Halsi</v>
      </c>
      <c r="AJ2188" s="72">
        <v>0</v>
      </c>
      <c r="AK2188" s="72"/>
      <c r="AL2188" s="72"/>
      <c r="AM2188" s="72"/>
    </row>
    <row r="2189" spans="1:39" x14ac:dyDescent="0.25">
      <c r="A2189" s="37" t="s">
        <v>62</v>
      </c>
      <c r="B2189" s="66" t="s">
        <v>1629</v>
      </c>
      <c r="C2189" s="41">
        <v>1009</v>
      </c>
      <c r="D2189" s="41" t="s">
        <v>249</v>
      </c>
      <c r="E2189" s="41">
        <v>10090008</v>
      </c>
      <c r="F2189" s="85" t="s">
        <v>256</v>
      </c>
      <c r="G2189" s="39" t="s">
        <v>93</v>
      </c>
      <c r="H2189" s="52" t="s">
        <v>94</v>
      </c>
      <c r="I2189" s="52">
        <v>1082.5999999999999</v>
      </c>
      <c r="J2189" s="49">
        <v>40892.380000000005</v>
      </c>
      <c r="K2189" s="58">
        <v>1080.7999999999995</v>
      </c>
      <c r="L2189" s="58">
        <v>40422.311113141222</v>
      </c>
      <c r="M2189" s="58">
        <v>14.3</v>
      </c>
      <c r="N2189" s="58">
        <v>521.88319755000009</v>
      </c>
      <c r="O2189" s="58">
        <v>1095.0999999999995</v>
      </c>
      <c r="P2189" s="53">
        <v>40944.194310691222</v>
      </c>
      <c r="Q2189" s="65">
        <v>40892.380000000005</v>
      </c>
      <c r="R2189" s="65">
        <v>0</v>
      </c>
      <c r="S2189" s="65">
        <v>521.88319755000009</v>
      </c>
      <c r="T2189" s="65">
        <v>51.814310691217543</v>
      </c>
      <c r="U2189" s="58">
        <v>0</v>
      </c>
      <c r="V2189" s="65">
        <v>0</v>
      </c>
      <c r="W2189" s="65">
        <v>0</v>
      </c>
      <c r="X2189" s="65">
        <v>40370</v>
      </c>
      <c r="Y2189" s="65">
        <v>0</v>
      </c>
      <c r="Z2189" s="51">
        <v>0</v>
      </c>
      <c r="AA2189" s="51">
        <v>0</v>
      </c>
      <c r="AB2189" s="102">
        <v>0</v>
      </c>
      <c r="AC2189" s="81">
        <f t="shared" si="105"/>
        <v>0</v>
      </c>
      <c r="AD2189" s="82">
        <f t="shared" si="106"/>
        <v>0</v>
      </c>
      <c r="AE2189" s="218">
        <v>-1.2670896311542037E-3</v>
      </c>
      <c r="AF2189">
        <v>28</v>
      </c>
      <c r="AH2189" t="str">
        <f t="shared" si="104"/>
        <v>Halsi</v>
      </c>
      <c r="AJ2189" s="72">
        <v>0</v>
      </c>
      <c r="AK2189" s="72"/>
      <c r="AL2189" s="72"/>
      <c r="AM2189" s="72"/>
    </row>
    <row r="2190" spans="1:39" x14ac:dyDescent="0.25">
      <c r="A2190" s="37" t="s">
        <v>62</v>
      </c>
      <c r="B2190" s="66" t="s">
        <v>1629</v>
      </c>
      <c r="C2190" s="41">
        <v>1009</v>
      </c>
      <c r="D2190" s="41" t="s">
        <v>249</v>
      </c>
      <c r="E2190" s="41">
        <v>10090009</v>
      </c>
      <c r="F2190" s="85" t="s">
        <v>257</v>
      </c>
      <c r="G2190" s="39" t="s">
        <v>93</v>
      </c>
      <c r="H2190" s="52" t="s">
        <v>94</v>
      </c>
      <c r="I2190" s="52">
        <v>642.6</v>
      </c>
      <c r="J2190" s="49">
        <v>25001.26</v>
      </c>
      <c r="K2190" s="58">
        <v>631.69999999999993</v>
      </c>
      <c r="L2190" s="58">
        <v>24780.448199214999</v>
      </c>
      <c r="M2190" s="58">
        <v>5.4</v>
      </c>
      <c r="N2190" s="58">
        <v>209.18864419200003</v>
      </c>
      <c r="O2190" s="58">
        <v>637.09999999999991</v>
      </c>
      <c r="P2190" s="53">
        <v>24989.636843406999</v>
      </c>
      <c r="Q2190" s="65">
        <v>24989.636843406999</v>
      </c>
      <c r="R2190" s="65">
        <v>0</v>
      </c>
      <c r="S2190" s="65">
        <v>209.18864419200003</v>
      </c>
      <c r="T2190" s="65">
        <v>0</v>
      </c>
      <c r="U2190" s="58">
        <v>0</v>
      </c>
      <c r="V2190" s="65">
        <v>0</v>
      </c>
      <c r="W2190" s="65">
        <v>0</v>
      </c>
      <c r="X2190" s="65">
        <v>24781</v>
      </c>
      <c r="Y2190" s="65">
        <v>0</v>
      </c>
      <c r="Z2190" s="51">
        <v>0</v>
      </c>
      <c r="AA2190" s="51">
        <v>11</v>
      </c>
      <c r="AB2190" s="102">
        <v>0</v>
      </c>
      <c r="AC2190" s="81">
        <f t="shared" si="105"/>
        <v>44.664560348583883</v>
      </c>
      <c r="AD2190" s="82">
        <f t="shared" si="106"/>
        <v>91.8</v>
      </c>
      <c r="AE2190" s="218">
        <v>4.6490283261720787E-4</v>
      </c>
      <c r="AF2190">
        <v>11</v>
      </c>
      <c r="AH2190" t="str">
        <f t="shared" si="104"/>
        <v>Halsi</v>
      </c>
      <c r="AJ2190" s="72">
        <v>0</v>
      </c>
      <c r="AK2190" s="72"/>
      <c r="AL2190" s="72"/>
      <c r="AM2190" s="72"/>
    </row>
    <row r="2191" spans="1:39" x14ac:dyDescent="0.25">
      <c r="A2191" s="37" t="s">
        <v>62</v>
      </c>
      <c r="B2191" s="66" t="s">
        <v>1629</v>
      </c>
      <c r="C2191" s="41">
        <v>1009</v>
      </c>
      <c r="D2191" s="41" t="s">
        <v>249</v>
      </c>
      <c r="E2191" s="41">
        <v>10090011</v>
      </c>
      <c r="F2191" s="85" t="s">
        <v>258</v>
      </c>
      <c r="G2191" s="39" t="s">
        <v>635</v>
      </c>
      <c r="H2191" s="52" t="s">
        <v>99</v>
      </c>
      <c r="I2191" s="52">
        <v>800.80000000000007</v>
      </c>
      <c r="J2191" s="49">
        <v>29264.090000000004</v>
      </c>
      <c r="K2191" s="58">
        <v>0</v>
      </c>
      <c r="L2191" s="58">
        <v>0</v>
      </c>
      <c r="M2191" s="58">
        <v>0</v>
      </c>
      <c r="N2191" s="58">
        <v>0</v>
      </c>
      <c r="O2191" s="58">
        <v>0</v>
      </c>
      <c r="P2191" s="53">
        <v>0</v>
      </c>
      <c r="Q2191" s="65">
        <v>29264.090000000004</v>
      </c>
      <c r="R2191" s="65">
        <v>0</v>
      </c>
      <c r="S2191" s="65">
        <v>0</v>
      </c>
      <c r="T2191" s="65">
        <v>0</v>
      </c>
      <c r="U2191" s="58">
        <v>0</v>
      </c>
      <c r="V2191" s="65">
        <v>0</v>
      </c>
      <c r="W2191" s="65">
        <v>0</v>
      </c>
      <c r="X2191" s="65">
        <v>0</v>
      </c>
      <c r="Y2191" s="65">
        <v>0</v>
      </c>
      <c r="Z2191" s="51">
        <v>29264.090000000004</v>
      </c>
      <c r="AA2191" s="51">
        <v>0</v>
      </c>
      <c r="AB2191" s="102">
        <v>0</v>
      </c>
      <c r="AC2191" s="81">
        <f t="shared" si="105"/>
        <v>0</v>
      </c>
      <c r="AD2191" s="82">
        <f t="shared" si="106"/>
        <v>0</v>
      </c>
      <c r="AE2191" s="218">
        <v>0</v>
      </c>
      <c r="AF2191">
        <v>0</v>
      </c>
      <c r="AH2191" t="str">
        <f t="shared" ref="AH2191:AH2253" si="107">TEXT(D2191,"0000")</f>
        <v>Halsi</v>
      </c>
      <c r="AJ2191" s="72">
        <v>0</v>
      </c>
      <c r="AK2191" s="72"/>
      <c r="AL2191" s="72"/>
      <c r="AM2191" s="72"/>
    </row>
    <row r="2192" spans="1:39" x14ac:dyDescent="0.25">
      <c r="A2192" s="37" t="s">
        <v>62</v>
      </c>
      <c r="B2192" s="66" t="s">
        <v>1629</v>
      </c>
      <c r="C2192" s="41">
        <v>1009</v>
      </c>
      <c r="D2192" s="41" t="s">
        <v>249</v>
      </c>
      <c r="E2192" s="41">
        <v>10090012</v>
      </c>
      <c r="F2192" s="85" t="s">
        <v>259</v>
      </c>
      <c r="G2192" s="39" t="s">
        <v>635</v>
      </c>
      <c r="H2192" s="52" t="s">
        <v>99</v>
      </c>
      <c r="I2192" s="52">
        <v>1151.1000000000001</v>
      </c>
      <c r="J2192" s="49">
        <v>42106.04</v>
      </c>
      <c r="K2192" s="58">
        <v>0</v>
      </c>
      <c r="L2192" s="58">
        <v>0</v>
      </c>
      <c r="M2192" s="58">
        <v>0</v>
      </c>
      <c r="N2192" s="58">
        <v>0</v>
      </c>
      <c r="O2192" s="58">
        <v>0</v>
      </c>
      <c r="P2192" s="53">
        <v>0</v>
      </c>
      <c r="Q2192" s="65">
        <v>42106.04</v>
      </c>
      <c r="R2192" s="65">
        <v>0</v>
      </c>
      <c r="S2192" s="65">
        <v>0</v>
      </c>
      <c r="T2192" s="65">
        <v>0</v>
      </c>
      <c r="U2192" s="58">
        <v>0</v>
      </c>
      <c r="V2192" s="65">
        <v>0</v>
      </c>
      <c r="W2192" s="65">
        <v>0</v>
      </c>
      <c r="X2192" s="65">
        <v>0</v>
      </c>
      <c r="Y2192" s="65">
        <v>0</v>
      </c>
      <c r="Z2192" s="51">
        <v>42106.04</v>
      </c>
      <c r="AA2192" s="51">
        <v>0</v>
      </c>
      <c r="AB2192" s="102">
        <v>0</v>
      </c>
      <c r="AC2192" s="81">
        <f t="shared" si="105"/>
        <v>0</v>
      </c>
      <c r="AD2192" s="82">
        <f t="shared" si="106"/>
        <v>0</v>
      </c>
      <c r="AE2192" s="218">
        <v>0</v>
      </c>
      <c r="AF2192">
        <v>0</v>
      </c>
      <c r="AH2192" t="str">
        <f t="shared" si="107"/>
        <v>Halsi</v>
      </c>
      <c r="AJ2192" s="72">
        <v>0</v>
      </c>
      <c r="AK2192" s="72"/>
      <c r="AL2192" s="72"/>
      <c r="AM2192" s="72"/>
    </row>
    <row r="2193" spans="1:39" x14ac:dyDescent="0.25">
      <c r="A2193" s="37" t="s">
        <v>62</v>
      </c>
      <c r="B2193" s="66" t="s">
        <v>1629</v>
      </c>
      <c r="C2193" s="41">
        <v>1009</v>
      </c>
      <c r="D2193" s="41" t="s">
        <v>249</v>
      </c>
      <c r="E2193" s="41">
        <v>10090014</v>
      </c>
      <c r="F2193" s="85" t="s">
        <v>260</v>
      </c>
      <c r="G2193" s="39" t="s">
        <v>635</v>
      </c>
      <c r="H2193" s="52" t="s">
        <v>99</v>
      </c>
      <c r="I2193" s="52">
        <v>985</v>
      </c>
      <c r="J2193" s="49">
        <v>37934.769999999997</v>
      </c>
      <c r="K2193" s="58">
        <v>0</v>
      </c>
      <c r="L2193" s="58">
        <v>0</v>
      </c>
      <c r="M2193" s="58">
        <v>0</v>
      </c>
      <c r="N2193" s="58">
        <v>0</v>
      </c>
      <c r="O2193" s="58">
        <v>0</v>
      </c>
      <c r="P2193" s="53">
        <v>0</v>
      </c>
      <c r="Q2193" s="65">
        <v>37934.769999999997</v>
      </c>
      <c r="R2193" s="65">
        <v>0</v>
      </c>
      <c r="S2193" s="65">
        <v>0</v>
      </c>
      <c r="T2193" s="65">
        <v>0</v>
      </c>
      <c r="U2193" s="58">
        <v>0</v>
      </c>
      <c r="V2193" s="65">
        <v>0</v>
      </c>
      <c r="W2193" s="65">
        <v>0</v>
      </c>
      <c r="X2193" s="65">
        <v>0</v>
      </c>
      <c r="Y2193" s="65">
        <v>0</v>
      </c>
      <c r="Z2193" s="51">
        <v>37934.769999999997</v>
      </c>
      <c r="AA2193" s="51">
        <v>0</v>
      </c>
      <c r="AB2193" s="102">
        <v>0</v>
      </c>
      <c r="AC2193" s="81">
        <f t="shared" si="105"/>
        <v>0</v>
      </c>
      <c r="AD2193" s="82">
        <f t="shared" si="106"/>
        <v>0</v>
      </c>
      <c r="AE2193" s="218">
        <v>0</v>
      </c>
      <c r="AF2193">
        <v>0</v>
      </c>
      <c r="AH2193" t="str">
        <f t="shared" si="107"/>
        <v>Halsi</v>
      </c>
      <c r="AJ2193" s="72">
        <v>0</v>
      </c>
      <c r="AK2193" s="72"/>
      <c r="AL2193" s="72"/>
      <c r="AM2193" s="72"/>
    </row>
    <row r="2194" spans="1:39" x14ac:dyDescent="0.25">
      <c r="A2194" s="37" t="s">
        <v>62</v>
      </c>
      <c r="B2194" s="66" t="s">
        <v>1629</v>
      </c>
      <c r="C2194" s="41">
        <v>1009</v>
      </c>
      <c r="D2194" s="41" t="s">
        <v>249</v>
      </c>
      <c r="E2194" s="41">
        <v>10090015</v>
      </c>
      <c r="F2194" s="85" t="s">
        <v>261</v>
      </c>
      <c r="G2194" s="39" t="s">
        <v>635</v>
      </c>
      <c r="H2194" s="52" t="s">
        <v>99</v>
      </c>
      <c r="I2194" s="52">
        <v>463.4</v>
      </c>
      <c r="J2194" s="49">
        <v>19197.169999999998</v>
      </c>
      <c r="K2194" s="58">
        <v>0</v>
      </c>
      <c r="L2194" s="58">
        <v>0</v>
      </c>
      <c r="M2194" s="58">
        <v>0</v>
      </c>
      <c r="N2194" s="58">
        <v>0</v>
      </c>
      <c r="O2194" s="58">
        <v>0</v>
      </c>
      <c r="P2194" s="53">
        <v>0</v>
      </c>
      <c r="Q2194" s="65">
        <v>19197.169999999998</v>
      </c>
      <c r="R2194" s="65">
        <v>0</v>
      </c>
      <c r="S2194" s="65">
        <v>0</v>
      </c>
      <c r="T2194" s="65">
        <v>0</v>
      </c>
      <c r="U2194" s="58">
        <v>0</v>
      </c>
      <c r="V2194" s="65">
        <v>0</v>
      </c>
      <c r="W2194" s="65">
        <v>0</v>
      </c>
      <c r="X2194" s="65">
        <v>0</v>
      </c>
      <c r="Y2194" s="65">
        <v>0</v>
      </c>
      <c r="Z2194" s="51">
        <v>19197.169999999998</v>
      </c>
      <c r="AA2194" s="51">
        <v>0</v>
      </c>
      <c r="AB2194" s="102">
        <v>0</v>
      </c>
      <c r="AC2194" s="81">
        <f t="shared" si="105"/>
        <v>196.03152447129909</v>
      </c>
      <c r="AD2194" s="82">
        <f t="shared" si="106"/>
        <v>66.2</v>
      </c>
      <c r="AE2194" s="218">
        <v>0</v>
      </c>
      <c r="AF2194">
        <v>0</v>
      </c>
      <c r="AH2194" t="str">
        <f t="shared" si="107"/>
        <v>Halsi</v>
      </c>
      <c r="AJ2194" s="72">
        <v>0</v>
      </c>
      <c r="AK2194" s="72"/>
      <c r="AL2194" s="72"/>
      <c r="AM2194" s="72"/>
    </row>
    <row r="2195" spans="1:39" x14ac:dyDescent="0.25">
      <c r="A2195" s="37" t="s">
        <v>62</v>
      </c>
      <c r="B2195" s="66" t="s">
        <v>1629</v>
      </c>
      <c r="C2195" s="41">
        <v>1009</v>
      </c>
      <c r="D2195" s="41" t="s">
        <v>249</v>
      </c>
      <c r="E2195" s="41">
        <v>10090017</v>
      </c>
      <c r="F2195" s="85" t="s">
        <v>262</v>
      </c>
      <c r="G2195" s="39" t="s">
        <v>635</v>
      </c>
      <c r="H2195" s="52" t="s">
        <v>99</v>
      </c>
      <c r="I2195" s="52">
        <v>4777.9000000000005</v>
      </c>
      <c r="J2195" s="49">
        <v>168639.90000000002</v>
      </c>
      <c r="K2195" s="58">
        <v>0</v>
      </c>
      <c r="L2195" s="58">
        <v>0</v>
      </c>
      <c r="M2195" s="58">
        <v>0</v>
      </c>
      <c r="N2195" s="58">
        <v>0</v>
      </c>
      <c r="O2195" s="58">
        <v>0</v>
      </c>
      <c r="P2195" s="53">
        <v>0</v>
      </c>
      <c r="Q2195" s="65">
        <v>168639.90000000002</v>
      </c>
      <c r="R2195" s="65">
        <v>0</v>
      </c>
      <c r="S2195" s="65">
        <v>0</v>
      </c>
      <c r="T2195" s="65">
        <v>0</v>
      </c>
      <c r="U2195" s="58">
        <v>0</v>
      </c>
      <c r="V2195" s="65">
        <v>0</v>
      </c>
      <c r="W2195" s="65">
        <v>0</v>
      </c>
      <c r="X2195" s="65">
        <v>0</v>
      </c>
      <c r="Y2195" s="65">
        <v>0</v>
      </c>
      <c r="Z2195" s="51">
        <v>168639.90000000002</v>
      </c>
      <c r="AA2195" s="51">
        <v>0</v>
      </c>
      <c r="AB2195" s="102">
        <v>0</v>
      </c>
      <c r="AC2195" s="81">
        <f t="shared" si="105"/>
        <v>0</v>
      </c>
      <c r="AD2195" s="82">
        <f t="shared" si="106"/>
        <v>0</v>
      </c>
      <c r="AE2195" s="218">
        <v>0</v>
      </c>
      <c r="AF2195">
        <v>0</v>
      </c>
      <c r="AH2195" t="str">
        <f t="shared" si="107"/>
        <v>Halsi</v>
      </c>
      <c r="AJ2195" s="72">
        <v>0</v>
      </c>
      <c r="AK2195" s="72"/>
      <c r="AL2195" s="72"/>
      <c r="AM2195" s="72"/>
    </row>
    <row r="2196" spans="1:39" x14ac:dyDescent="0.25">
      <c r="A2196" s="37" t="s">
        <v>62</v>
      </c>
      <c r="B2196" s="66" t="s">
        <v>1629</v>
      </c>
      <c r="C2196" s="41">
        <v>1009</v>
      </c>
      <c r="D2196" s="41" t="s">
        <v>249</v>
      </c>
      <c r="E2196" s="41">
        <v>10090018</v>
      </c>
      <c r="F2196" s="85" t="s">
        <v>1200</v>
      </c>
      <c r="G2196" s="39" t="s">
        <v>635</v>
      </c>
      <c r="H2196" s="52" t="s">
        <v>99</v>
      </c>
      <c r="I2196" s="52">
        <v>311.89999999999998</v>
      </c>
      <c r="J2196" s="49">
        <v>11685.34</v>
      </c>
      <c r="K2196" s="58">
        <v>0</v>
      </c>
      <c r="L2196" s="58">
        <v>0</v>
      </c>
      <c r="M2196" s="58">
        <v>0</v>
      </c>
      <c r="N2196" s="58">
        <v>0</v>
      </c>
      <c r="O2196" s="58">
        <v>0</v>
      </c>
      <c r="P2196" s="53">
        <v>0</v>
      </c>
      <c r="Q2196" s="65">
        <v>11685.34</v>
      </c>
      <c r="R2196" s="65">
        <v>0</v>
      </c>
      <c r="S2196" s="65">
        <v>0</v>
      </c>
      <c r="T2196" s="65">
        <v>0</v>
      </c>
      <c r="U2196" s="58">
        <v>0</v>
      </c>
      <c r="V2196" s="65">
        <v>0</v>
      </c>
      <c r="W2196" s="65">
        <v>0</v>
      </c>
      <c r="X2196" s="65">
        <v>0</v>
      </c>
      <c r="Y2196" s="65">
        <v>0</v>
      </c>
      <c r="Z2196" s="51">
        <v>11685.34</v>
      </c>
      <c r="AA2196" s="51">
        <v>0</v>
      </c>
      <c r="AB2196" s="102">
        <v>0</v>
      </c>
      <c r="AC2196" s="81">
        <f t="shared" si="105"/>
        <v>290.80349176017955</v>
      </c>
      <c r="AD2196" s="82">
        <f t="shared" si="106"/>
        <v>44.557142857142857</v>
      </c>
      <c r="AE2196" s="218">
        <v>0</v>
      </c>
      <c r="AF2196">
        <v>0</v>
      </c>
      <c r="AH2196" t="str">
        <f t="shared" si="107"/>
        <v>Halsi</v>
      </c>
      <c r="AJ2196" s="72">
        <v>0</v>
      </c>
      <c r="AK2196" s="72"/>
      <c r="AL2196" s="72"/>
      <c r="AM2196" s="72"/>
    </row>
    <row r="2197" spans="1:39" x14ac:dyDescent="0.25">
      <c r="A2197" s="37" t="s">
        <v>62</v>
      </c>
      <c r="B2197" s="66" t="s">
        <v>1629</v>
      </c>
      <c r="C2197" s="41">
        <v>1009</v>
      </c>
      <c r="D2197" s="41" t="s">
        <v>249</v>
      </c>
      <c r="E2197" s="41">
        <v>10090021</v>
      </c>
      <c r="F2197" s="85" t="s">
        <v>263</v>
      </c>
      <c r="G2197" s="39" t="s">
        <v>93</v>
      </c>
      <c r="H2197" s="52" t="s">
        <v>94</v>
      </c>
      <c r="I2197" s="52">
        <v>904.50000000000011</v>
      </c>
      <c r="J2197" s="49">
        <v>38643.86</v>
      </c>
      <c r="K2197" s="58">
        <v>1108</v>
      </c>
      <c r="L2197" s="58">
        <v>48343.833895397198</v>
      </c>
      <c r="M2197" s="58">
        <v>2.3000000000000003</v>
      </c>
      <c r="N2197" s="58">
        <v>100.9075512264</v>
      </c>
      <c r="O2197" s="58">
        <v>1110.3</v>
      </c>
      <c r="P2197" s="53">
        <v>48444.7414466236</v>
      </c>
      <c r="Q2197" s="65">
        <v>38643.86</v>
      </c>
      <c r="R2197" s="65">
        <v>0</v>
      </c>
      <c r="S2197" s="65">
        <v>100.9075512264</v>
      </c>
      <c r="T2197" s="65">
        <v>9800.8814466235999</v>
      </c>
      <c r="U2197" s="58">
        <v>0</v>
      </c>
      <c r="V2197" s="65">
        <v>0</v>
      </c>
      <c r="W2197" s="65">
        <v>0</v>
      </c>
      <c r="X2197" s="65">
        <v>38543</v>
      </c>
      <c r="Y2197" s="65">
        <v>0</v>
      </c>
      <c r="Z2197" s="51">
        <v>0</v>
      </c>
      <c r="AA2197" s="51">
        <v>0</v>
      </c>
      <c r="AB2197" s="102">
        <v>0</v>
      </c>
      <c r="AC2197" s="81">
        <f t="shared" si="105"/>
        <v>0</v>
      </c>
      <c r="AD2197" s="82">
        <f t="shared" si="106"/>
        <v>0</v>
      </c>
      <c r="AE2197" s="218">
        <v>-0.25362066435970942</v>
      </c>
      <c r="AF2197">
        <v>4</v>
      </c>
      <c r="AH2197" t="str">
        <f t="shared" si="107"/>
        <v>Halsi</v>
      </c>
      <c r="AJ2197" s="72">
        <v>0</v>
      </c>
      <c r="AK2197" s="72"/>
      <c r="AL2197" s="72"/>
      <c r="AM2197" s="72"/>
    </row>
    <row r="2198" spans="1:39" x14ac:dyDescent="0.25">
      <c r="A2198" s="37" t="s">
        <v>62</v>
      </c>
      <c r="B2198" s="66" t="s">
        <v>1629</v>
      </c>
      <c r="C2198" s="41">
        <v>1009</v>
      </c>
      <c r="D2198" s="41" t="s">
        <v>249</v>
      </c>
      <c r="E2198" s="41">
        <v>10090022</v>
      </c>
      <c r="F2198" s="85" t="s">
        <v>264</v>
      </c>
      <c r="G2198" s="39" t="s">
        <v>635</v>
      </c>
      <c r="H2198" s="52" t="s">
        <v>99</v>
      </c>
      <c r="I2198" s="52">
        <v>542.90000000000009</v>
      </c>
      <c r="J2198" s="49">
        <v>21147.26</v>
      </c>
      <c r="K2198" s="58">
        <v>0</v>
      </c>
      <c r="L2198" s="58">
        <v>0</v>
      </c>
      <c r="M2198" s="58">
        <v>0</v>
      </c>
      <c r="N2198" s="58">
        <v>0</v>
      </c>
      <c r="O2198" s="58">
        <v>0</v>
      </c>
      <c r="P2198" s="53">
        <v>0</v>
      </c>
      <c r="Q2198" s="65">
        <v>21147.26</v>
      </c>
      <c r="R2198" s="65">
        <v>0</v>
      </c>
      <c r="S2198" s="65">
        <v>0</v>
      </c>
      <c r="T2198" s="65">
        <v>0</v>
      </c>
      <c r="U2198" s="58">
        <v>0</v>
      </c>
      <c r="V2198" s="65">
        <v>0</v>
      </c>
      <c r="W2198" s="65">
        <v>0</v>
      </c>
      <c r="X2198" s="65">
        <v>0</v>
      </c>
      <c r="Y2198" s="65">
        <v>0</v>
      </c>
      <c r="Z2198" s="51">
        <v>21147.26</v>
      </c>
      <c r="AA2198" s="51">
        <v>0</v>
      </c>
      <c r="AB2198" s="102">
        <v>0</v>
      </c>
      <c r="AC2198" s="81">
        <f t="shared" si="105"/>
        <v>122.38845260637314</v>
      </c>
      <c r="AD2198" s="82">
        <f t="shared" si="106"/>
        <v>77.557142857142864</v>
      </c>
      <c r="AE2198" s="218">
        <v>0</v>
      </c>
      <c r="AF2198">
        <v>0</v>
      </c>
      <c r="AH2198" t="str">
        <f t="shared" si="107"/>
        <v>Halsi</v>
      </c>
      <c r="AJ2198" s="72">
        <v>0</v>
      </c>
      <c r="AK2198" s="72"/>
      <c r="AL2198" s="72"/>
      <c r="AM2198" s="72"/>
    </row>
    <row r="2199" spans="1:39" x14ac:dyDescent="0.25">
      <c r="A2199" s="37" t="s">
        <v>62</v>
      </c>
      <c r="B2199" s="66" t="s">
        <v>1629</v>
      </c>
      <c r="C2199" s="41">
        <v>1009</v>
      </c>
      <c r="D2199" s="41" t="s">
        <v>249</v>
      </c>
      <c r="E2199" s="41">
        <v>10090024</v>
      </c>
      <c r="F2199" s="85" t="s">
        <v>265</v>
      </c>
      <c r="G2199" s="39" t="s">
        <v>635</v>
      </c>
      <c r="H2199" s="52" t="s">
        <v>99</v>
      </c>
      <c r="I2199" s="52">
        <v>317.60000000000002</v>
      </c>
      <c r="J2199" s="49">
        <v>11855.619999999999</v>
      </c>
      <c r="K2199" s="58">
        <v>0</v>
      </c>
      <c r="L2199" s="58">
        <v>0</v>
      </c>
      <c r="M2199" s="58">
        <v>0</v>
      </c>
      <c r="N2199" s="58">
        <v>0</v>
      </c>
      <c r="O2199" s="58">
        <v>0</v>
      </c>
      <c r="P2199" s="53">
        <v>0</v>
      </c>
      <c r="Q2199" s="65">
        <v>11855.619999999999</v>
      </c>
      <c r="R2199" s="65">
        <v>0</v>
      </c>
      <c r="S2199" s="65">
        <v>0</v>
      </c>
      <c r="T2199" s="65">
        <v>0</v>
      </c>
      <c r="U2199" s="58">
        <v>0</v>
      </c>
      <c r="V2199" s="65">
        <v>0</v>
      </c>
      <c r="W2199" s="65">
        <v>0</v>
      </c>
      <c r="X2199" s="65">
        <v>0</v>
      </c>
      <c r="Y2199" s="65">
        <v>0</v>
      </c>
      <c r="Z2199" s="54">
        <v>11855.619999999999</v>
      </c>
      <c r="AA2199" s="51">
        <v>0</v>
      </c>
      <c r="AB2199" s="102">
        <v>0</v>
      </c>
      <c r="AC2199" s="81">
        <f t="shared" si="105"/>
        <v>285.49049672544078</v>
      </c>
      <c r="AD2199" s="82">
        <f t="shared" si="106"/>
        <v>45.371428571428574</v>
      </c>
      <c r="AE2199" s="218">
        <v>0</v>
      </c>
      <c r="AF2199">
        <v>0</v>
      </c>
      <c r="AH2199" t="str">
        <f t="shared" si="107"/>
        <v>Halsi</v>
      </c>
      <c r="AJ2199" s="72">
        <v>0</v>
      </c>
      <c r="AK2199" s="72"/>
      <c r="AL2199" s="72"/>
      <c r="AM2199" s="72"/>
    </row>
    <row r="2200" spans="1:39" x14ac:dyDescent="0.25">
      <c r="A2200" s="37" t="s">
        <v>62</v>
      </c>
      <c r="B2200" s="66" t="s">
        <v>1629</v>
      </c>
      <c r="C2200" s="41">
        <v>1009</v>
      </c>
      <c r="D2200" s="41" t="s">
        <v>249</v>
      </c>
      <c r="E2200" s="41">
        <v>10090025</v>
      </c>
      <c r="F2200" s="85" t="s">
        <v>496</v>
      </c>
      <c r="G2200" s="39" t="s">
        <v>635</v>
      </c>
      <c r="H2200" s="52" t="s">
        <v>99</v>
      </c>
      <c r="I2200" s="52">
        <v>604.40000000000009</v>
      </c>
      <c r="J2200" s="49">
        <v>23398.94</v>
      </c>
      <c r="K2200" s="58">
        <v>0</v>
      </c>
      <c r="L2200" s="58">
        <v>0</v>
      </c>
      <c r="M2200" s="58">
        <v>0</v>
      </c>
      <c r="N2200" s="58">
        <v>0</v>
      </c>
      <c r="O2200" s="58">
        <v>0</v>
      </c>
      <c r="P2200" s="53">
        <v>0</v>
      </c>
      <c r="Q2200" s="65">
        <v>23398.94</v>
      </c>
      <c r="R2200" s="65">
        <v>0</v>
      </c>
      <c r="S2200" s="65">
        <v>0</v>
      </c>
      <c r="T2200" s="65">
        <v>0</v>
      </c>
      <c r="U2200" s="58">
        <v>0</v>
      </c>
      <c r="V2200" s="65">
        <v>0</v>
      </c>
      <c r="W2200" s="65">
        <v>0</v>
      </c>
      <c r="X2200" s="65">
        <v>0</v>
      </c>
      <c r="Y2200" s="65">
        <v>0</v>
      </c>
      <c r="Z2200" s="55">
        <v>23398.94</v>
      </c>
      <c r="AA2200" s="51">
        <v>0</v>
      </c>
      <c r="AB2200" s="102">
        <v>0</v>
      </c>
      <c r="AC2200" s="81">
        <f t="shared" si="105"/>
        <v>74.021795632031697</v>
      </c>
      <c r="AD2200" s="82">
        <f t="shared" si="106"/>
        <v>86.342857142857156</v>
      </c>
      <c r="AE2200" s="218">
        <v>0</v>
      </c>
      <c r="AF2200">
        <v>0</v>
      </c>
      <c r="AH2200" t="str">
        <f t="shared" si="107"/>
        <v>Halsi</v>
      </c>
      <c r="AJ2200" s="72">
        <v>0</v>
      </c>
      <c r="AK2200" s="72"/>
      <c r="AL2200" s="72"/>
      <c r="AM2200" s="72"/>
    </row>
    <row r="2201" spans="1:39" x14ac:dyDescent="0.25">
      <c r="A2201" s="37" t="s">
        <v>62</v>
      </c>
      <c r="B2201" s="66" t="s">
        <v>1629</v>
      </c>
      <c r="C2201" s="41">
        <v>1009</v>
      </c>
      <c r="D2201" s="41" t="s">
        <v>249</v>
      </c>
      <c r="E2201" s="41">
        <v>10090027</v>
      </c>
      <c r="F2201" s="85" t="s">
        <v>266</v>
      </c>
      <c r="G2201" s="39" t="s">
        <v>635</v>
      </c>
      <c r="H2201" s="52" t="s">
        <v>99</v>
      </c>
      <c r="I2201" s="52">
        <v>1586.1000000000001</v>
      </c>
      <c r="J2201" s="49">
        <v>65605.179999999993</v>
      </c>
      <c r="K2201" s="58">
        <v>0</v>
      </c>
      <c r="L2201" s="58">
        <v>0</v>
      </c>
      <c r="M2201" s="58">
        <v>0</v>
      </c>
      <c r="N2201" s="58">
        <v>0</v>
      </c>
      <c r="O2201" s="58">
        <v>0</v>
      </c>
      <c r="P2201" s="53">
        <v>0</v>
      </c>
      <c r="Q2201" s="65">
        <v>65605.179999999993</v>
      </c>
      <c r="R2201" s="65">
        <v>0</v>
      </c>
      <c r="S2201" s="65">
        <v>0</v>
      </c>
      <c r="T2201" s="65">
        <v>0</v>
      </c>
      <c r="U2201" s="58">
        <v>0</v>
      </c>
      <c r="V2201" s="65">
        <v>0</v>
      </c>
      <c r="W2201" s="65">
        <v>0</v>
      </c>
      <c r="X2201" s="65">
        <v>0</v>
      </c>
      <c r="Y2201" s="65">
        <v>0</v>
      </c>
      <c r="Z2201" s="51">
        <v>65605.179999999993</v>
      </c>
      <c r="AA2201" s="51">
        <v>0</v>
      </c>
      <c r="AB2201" s="102">
        <v>0</v>
      </c>
      <c r="AC2201" s="81">
        <f t="shared" si="105"/>
        <v>0</v>
      </c>
      <c r="AD2201" s="82">
        <f t="shared" si="106"/>
        <v>0</v>
      </c>
      <c r="AE2201" s="218">
        <v>0</v>
      </c>
      <c r="AF2201">
        <v>0</v>
      </c>
      <c r="AH2201" t="str">
        <f t="shared" si="107"/>
        <v>Halsi</v>
      </c>
      <c r="AJ2201" s="72">
        <v>0</v>
      </c>
      <c r="AK2201" s="72"/>
      <c r="AL2201" s="72"/>
      <c r="AM2201" s="72"/>
    </row>
    <row r="2202" spans="1:39" x14ac:dyDescent="0.25">
      <c r="A2202" s="37" t="s">
        <v>62</v>
      </c>
      <c r="B2202" s="66" t="s">
        <v>1629</v>
      </c>
      <c r="C2202" s="41">
        <v>1009</v>
      </c>
      <c r="D2202" s="41" t="s">
        <v>249</v>
      </c>
      <c r="E2202" s="41">
        <v>10090029</v>
      </c>
      <c r="F2202" s="85" t="s">
        <v>267</v>
      </c>
      <c r="G2202" s="39" t="s">
        <v>93</v>
      </c>
      <c r="H2202" s="52" t="s">
        <v>94</v>
      </c>
      <c r="I2202" s="52">
        <v>747.3</v>
      </c>
      <c r="J2202" s="49">
        <v>30962.44</v>
      </c>
      <c r="K2202" s="58">
        <v>743.11999999999989</v>
      </c>
      <c r="L2202" s="58">
        <v>31574.922002486386</v>
      </c>
      <c r="M2202" s="58">
        <v>6.86</v>
      </c>
      <c r="N2202" s="58">
        <v>264.41935581600006</v>
      </c>
      <c r="O2202" s="58">
        <v>749.9799999999999</v>
      </c>
      <c r="P2202" s="53">
        <v>31839.341358302387</v>
      </c>
      <c r="Q2202" s="65">
        <v>30962.44</v>
      </c>
      <c r="R2202" s="65">
        <v>0</v>
      </c>
      <c r="S2202" s="65">
        <v>264.41935581600006</v>
      </c>
      <c r="T2202" s="65">
        <v>876.90135830238796</v>
      </c>
      <c r="U2202" s="58">
        <v>0</v>
      </c>
      <c r="V2202" s="65">
        <v>0</v>
      </c>
      <c r="W2202" s="65">
        <v>0</v>
      </c>
      <c r="X2202" s="65">
        <v>30698</v>
      </c>
      <c r="Y2202" s="65">
        <v>0</v>
      </c>
      <c r="Z2202" s="51">
        <v>0</v>
      </c>
      <c r="AA2202" s="51">
        <v>0</v>
      </c>
      <c r="AB2202" s="102">
        <v>0</v>
      </c>
      <c r="AC2202" s="81">
        <f t="shared" si="105"/>
        <v>0</v>
      </c>
      <c r="AD2202" s="82">
        <f t="shared" si="106"/>
        <v>0</v>
      </c>
      <c r="AE2202" s="218">
        <v>-2.8321455230995621E-2</v>
      </c>
      <c r="AF2202">
        <v>21</v>
      </c>
      <c r="AH2202" t="str">
        <f t="shared" si="107"/>
        <v>Halsi</v>
      </c>
      <c r="AJ2202" s="72">
        <v>0</v>
      </c>
      <c r="AK2202" s="72"/>
      <c r="AL2202" s="72"/>
      <c r="AM2202" s="72"/>
    </row>
    <row r="2203" spans="1:39" x14ac:dyDescent="0.25">
      <c r="A2203" s="37" t="s">
        <v>62</v>
      </c>
      <c r="B2203" s="66" t="s">
        <v>1629</v>
      </c>
      <c r="C2203" s="41">
        <v>1009</v>
      </c>
      <c r="D2203" s="41" t="s">
        <v>249</v>
      </c>
      <c r="E2203" s="41">
        <v>10090033</v>
      </c>
      <c r="F2203" s="85" t="s">
        <v>268</v>
      </c>
      <c r="G2203" s="39" t="s">
        <v>93</v>
      </c>
      <c r="H2203" s="52" t="s">
        <v>94</v>
      </c>
      <c r="I2203" s="52">
        <v>1010.9</v>
      </c>
      <c r="J2203" s="49">
        <v>47865.68</v>
      </c>
      <c r="K2203" s="58">
        <v>1008.8100000000001</v>
      </c>
      <c r="L2203" s="58">
        <v>48920.489979086917</v>
      </c>
      <c r="M2203" s="58">
        <v>6.8600000000000012</v>
      </c>
      <c r="N2203" s="58">
        <v>349.17722395459998</v>
      </c>
      <c r="O2203" s="58">
        <v>1015.6700000000001</v>
      </c>
      <c r="P2203" s="53">
        <v>49269.667203041514</v>
      </c>
      <c r="Q2203" s="65">
        <v>47865.68</v>
      </c>
      <c r="R2203" s="65">
        <v>0</v>
      </c>
      <c r="S2203" s="65">
        <v>349.17722395459998</v>
      </c>
      <c r="T2203" s="65">
        <v>1403.9872030415136</v>
      </c>
      <c r="U2203" s="58">
        <v>0</v>
      </c>
      <c r="V2203" s="65">
        <v>0</v>
      </c>
      <c r="W2203" s="65">
        <v>0</v>
      </c>
      <c r="X2203" s="65">
        <v>47517</v>
      </c>
      <c r="Y2203" s="65">
        <v>0</v>
      </c>
      <c r="Z2203" s="51">
        <v>0</v>
      </c>
      <c r="AA2203" s="51">
        <v>0</v>
      </c>
      <c r="AB2203" s="102">
        <v>0</v>
      </c>
      <c r="AC2203" s="81">
        <f t="shared" si="105"/>
        <v>0</v>
      </c>
      <c r="AD2203" s="82">
        <f t="shared" si="106"/>
        <v>0</v>
      </c>
      <c r="AE2203" s="218">
        <v>-2.933181358838971E-2</v>
      </c>
      <c r="AF2203">
        <v>11</v>
      </c>
      <c r="AH2203" t="str">
        <f t="shared" si="107"/>
        <v>Halsi</v>
      </c>
      <c r="AJ2203" s="72">
        <v>0</v>
      </c>
      <c r="AK2203" s="72"/>
      <c r="AL2203" s="72"/>
      <c r="AM2203" s="72"/>
    </row>
    <row r="2204" spans="1:39" x14ac:dyDescent="0.25">
      <c r="A2204" s="37" t="s">
        <v>62</v>
      </c>
      <c r="B2204" s="66" t="s">
        <v>1629</v>
      </c>
      <c r="C2204" s="41">
        <v>1009</v>
      </c>
      <c r="D2204" s="41" t="s">
        <v>249</v>
      </c>
      <c r="E2204" s="41">
        <v>10090036</v>
      </c>
      <c r="F2204" s="85" t="s">
        <v>270</v>
      </c>
      <c r="G2204" s="39" t="s">
        <v>93</v>
      </c>
      <c r="H2204" s="52" t="s">
        <v>94</v>
      </c>
      <c r="I2204" s="52">
        <v>68.500000000000014</v>
      </c>
      <c r="J2204" s="49">
        <v>2265.23</v>
      </c>
      <c r="K2204" s="58">
        <v>93.399999999999991</v>
      </c>
      <c r="L2204" s="58">
        <v>3507.9748506000001</v>
      </c>
      <c r="M2204" s="58">
        <v>0</v>
      </c>
      <c r="N2204" s="58">
        <v>0</v>
      </c>
      <c r="O2204" s="58">
        <v>93.399999999999991</v>
      </c>
      <c r="P2204" s="53">
        <v>3507.9748506000001</v>
      </c>
      <c r="Q2204" s="65">
        <v>2265.23</v>
      </c>
      <c r="R2204" s="65">
        <v>0</v>
      </c>
      <c r="S2204" s="65">
        <v>0</v>
      </c>
      <c r="T2204" s="65">
        <v>1242.7448506000001</v>
      </c>
      <c r="U2204" s="58">
        <v>0</v>
      </c>
      <c r="V2204" s="65">
        <v>199.86119999999997</v>
      </c>
      <c r="W2204" s="65">
        <v>0</v>
      </c>
      <c r="X2204" s="65">
        <v>2065</v>
      </c>
      <c r="Y2204" s="65">
        <v>0</v>
      </c>
      <c r="Z2204" s="51">
        <v>0</v>
      </c>
      <c r="AA2204" s="51">
        <v>0</v>
      </c>
      <c r="AB2204" s="102">
        <v>0</v>
      </c>
      <c r="AC2204" s="81">
        <f t="shared" si="105"/>
        <v>417.66211532846705</v>
      </c>
      <c r="AD2204" s="82">
        <f t="shared" si="106"/>
        <v>9.7857142857142883</v>
      </c>
      <c r="AE2204" s="218">
        <v>-0.54861751371825385</v>
      </c>
      <c r="AF2204">
        <v>1</v>
      </c>
      <c r="AH2204" t="str">
        <f t="shared" si="107"/>
        <v>Halsi</v>
      </c>
      <c r="AJ2204" s="72">
        <v>0</v>
      </c>
      <c r="AK2204" s="72"/>
      <c r="AL2204" s="72"/>
      <c r="AM2204" s="72"/>
    </row>
    <row r="2205" spans="1:39" x14ac:dyDescent="0.25">
      <c r="A2205" s="37" t="s">
        <v>62</v>
      </c>
      <c r="B2205" s="66" t="s">
        <v>1629</v>
      </c>
      <c r="C2205" s="41">
        <v>1009</v>
      </c>
      <c r="D2205" s="41" t="s">
        <v>249</v>
      </c>
      <c r="E2205" s="41">
        <v>10090037</v>
      </c>
      <c r="F2205" s="85" t="s">
        <v>271</v>
      </c>
      <c r="G2205" s="39" t="s">
        <v>93</v>
      </c>
      <c r="H2205" s="52" t="s">
        <v>94</v>
      </c>
      <c r="I2205" s="52">
        <v>402.90000000000003</v>
      </c>
      <c r="J2205" s="49">
        <v>17585.27</v>
      </c>
      <c r="K2205" s="58">
        <v>403</v>
      </c>
      <c r="L2205" s="58">
        <v>17633.5464096</v>
      </c>
      <c r="M2205" s="58">
        <v>0</v>
      </c>
      <c r="N2205" s="58">
        <v>0</v>
      </c>
      <c r="O2205" s="58">
        <v>403</v>
      </c>
      <c r="P2205" s="53">
        <v>17633.5464096</v>
      </c>
      <c r="Q2205" s="65">
        <v>17585.27</v>
      </c>
      <c r="R2205" s="65">
        <v>0</v>
      </c>
      <c r="S2205" s="65">
        <v>0</v>
      </c>
      <c r="T2205" s="65">
        <v>48.27640959999917</v>
      </c>
      <c r="U2205" s="58">
        <v>0</v>
      </c>
      <c r="V2205" s="65">
        <v>0</v>
      </c>
      <c r="W2205" s="65">
        <v>0</v>
      </c>
      <c r="X2205" s="65">
        <v>17585</v>
      </c>
      <c r="Y2205" s="65">
        <v>0</v>
      </c>
      <c r="Z2205" s="51">
        <v>0</v>
      </c>
      <c r="AA2205" s="51">
        <v>0</v>
      </c>
      <c r="AB2205" s="102">
        <v>0</v>
      </c>
      <c r="AC2205" s="81">
        <f t="shared" si="105"/>
        <v>259.34890627947379</v>
      </c>
      <c r="AD2205" s="82">
        <f t="shared" si="106"/>
        <v>57.557142857142864</v>
      </c>
      <c r="AE2205" s="218">
        <v>-2.7452754265359113E-3</v>
      </c>
      <c r="AF2205">
        <v>1</v>
      </c>
      <c r="AH2205" t="str">
        <f t="shared" si="107"/>
        <v>Halsi</v>
      </c>
      <c r="AJ2205" s="72">
        <v>0</v>
      </c>
      <c r="AK2205" s="72"/>
      <c r="AL2205" s="72"/>
      <c r="AM2205" s="72"/>
    </row>
    <row r="2206" spans="1:39" x14ac:dyDescent="0.25">
      <c r="A2206" s="37" t="s">
        <v>62</v>
      </c>
      <c r="B2206" s="66" t="s">
        <v>1629</v>
      </c>
      <c r="C2206" s="41">
        <v>1009</v>
      </c>
      <c r="D2206" s="41" t="s">
        <v>249</v>
      </c>
      <c r="E2206" s="41">
        <v>10090041</v>
      </c>
      <c r="F2206" s="85" t="s">
        <v>272</v>
      </c>
      <c r="G2206" s="39" t="s">
        <v>635</v>
      </c>
      <c r="H2206" s="52" t="s">
        <v>99</v>
      </c>
      <c r="I2206" s="52">
        <v>258.7</v>
      </c>
      <c r="J2206" s="49">
        <v>6994.0599999999995</v>
      </c>
      <c r="K2206" s="58">
        <v>0</v>
      </c>
      <c r="L2206" s="58">
        <v>0</v>
      </c>
      <c r="M2206" s="58">
        <v>0</v>
      </c>
      <c r="N2206" s="58">
        <v>0</v>
      </c>
      <c r="O2206" s="58">
        <v>0</v>
      </c>
      <c r="P2206" s="53">
        <v>0</v>
      </c>
      <c r="Q2206" s="65">
        <v>6994.0599999999995</v>
      </c>
      <c r="R2206" s="65">
        <v>0</v>
      </c>
      <c r="S2206" s="65">
        <v>0</v>
      </c>
      <c r="T2206" s="65">
        <v>0</v>
      </c>
      <c r="U2206" s="58">
        <v>0</v>
      </c>
      <c r="V2206" s="65">
        <v>0</v>
      </c>
      <c r="W2206" s="65">
        <v>0</v>
      </c>
      <c r="X2206" s="65">
        <v>0</v>
      </c>
      <c r="Y2206" s="65">
        <v>0</v>
      </c>
      <c r="Z2206" s="51">
        <v>6994.0599999999995</v>
      </c>
      <c r="AA2206" s="51">
        <v>0</v>
      </c>
      <c r="AB2206" s="102">
        <v>0</v>
      </c>
      <c r="AC2206" s="81">
        <f t="shared" si="105"/>
        <v>238.61450931580981</v>
      </c>
      <c r="AD2206" s="82">
        <f t="shared" si="106"/>
        <v>36.957142857142856</v>
      </c>
      <c r="AE2206" s="218">
        <v>0</v>
      </c>
      <c r="AF2206">
        <v>0</v>
      </c>
      <c r="AH2206" t="str">
        <f t="shared" si="107"/>
        <v>Halsi</v>
      </c>
      <c r="AJ2206" s="72">
        <v>0</v>
      </c>
      <c r="AK2206" s="72"/>
      <c r="AL2206" s="72"/>
      <c r="AM2206" s="72"/>
    </row>
    <row r="2207" spans="1:39" x14ac:dyDescent="0.25">
      <c r="A2207" s="37" t="s">
        <v>62</v>
      </c>
      <c r="B2207" s="66" t="s">
        <v>1629</v>
      </c>
      <c r="C2207" s="41">
        <v>1009</v>
      </c>
      <c r="D2207" s="41" t="s">
        <v>249</v>
      </c>
      <c r="E2207" s="41">
        <v>10090042</v>
      </c>
      <c r="F2207" s="85" t="s">
        <v>273</v>
      </c>
      <c r="G2207" s="39" t="s">
        <v>93</v>
      </c>
      <c r="H2207" s="52" t="s">
        <v>94</v>
      </c>
      <c r="I2207" s="52">
        <v>675.90000000000009</v>
      </c>
      <c r="J2207" s="49">
        <v>27761.5</v>
      </c>
      <c r="K2207" s="58">
        <v>709.02</v>
      </c>
      <c r="L2207" s="58">
        <v>29406.401937847691</v>
      </c>
      <c r="M2207" s="58">
        <v>2.2199999999999998</v>
      </c>
      <c r="N2207" s="58">
        <v>89.41012064100002</v>
      </c>
      <c r="O2207" s="58">
        <v>711.24</v>
      </c>
      <c r="P2207" s="53">
        <v>29495.812058488693</v>
      </c>
      <c r="Q2207" s="65">
        <v>27761.5</v>
      </c>
      <c r="R2207" s="65">
        <v>0</v>
      </c>
      <c r="S2207" s="65">
        <v>89.41012064100002</v>
      </c>
      <c r="T2207" s="65">
        <v>1734.3120584886929</v>
      </c>
      <c r="U2207" s="58">
        <v>0</v>
      </c>
      <c r="V2207" s="65">
        <v>0</v>
      </c>
      <c r="W2207" s="65">
        <v>0</v>
      </c>
      <c r="X2207" s="65">
        <v>27672</v>
      </c>
      <c r="Y2207" s="65">
        <v>0</v>
      </c>
      <c r="Z2207" s="51">
        <v>0</v>
      </c>
      <c r="AA2207" s="51">
        <v>0</v>
      </c>
      <c r="AB2207" s="102">
        <v>0</v>
      </c>
      <c r="AC2207" s="81">
        <f t="shared" si="105"/>
        <v>19.797370912856891</v>
      </c>
      <c r="AD2207" s="82">
        <f t="shared" si="106"/>
        <v>96.557142857142864</v>
      </c>
      <c r="AE2207" s="218">
        <v>-6.2471842605359686E-2</v>
      </c>
      <c r="AF2207">
        <v>5</v>
      </c>
      <c r="AH2207" t="str">
        <f t="shared" si="107"/>
        <v>Halsi</v>
      </c>
      <c r="AJ2207" s="72">
        <v>0</v>
      </c>
      <c r="AK2207" s="72"/>
      <c r="AL2207" s="72"/>
      <c r="AM2207" s="72"/>
    </row>
    <row r="2208" spans="1:39" x14ac:dyDescent="0.25">
      <c r="A2208" s="37" t="s">
        <v>62</v>
      </c>
      <c r="B2208" s="66" t="s">
        <v>1629</v>
      </c>
      <c r="C2208" s="41">
        <v>1009</v>
      </c>
      <c r="D2208" s="41" t="s">
        <v>249</v>
      </c>
      <c r="E2208" s="41">
        <v>10090045</v>
      </c>
      <c r="F2208" s="85" t="s">
        <v>1313</v>
      </c>
      <c r="G2208" s="39" t="s">
        <v>93</v>
      </c>
      <c r="H2208" s="52" t="s">
        <v>94</v>
      </c>
      <c r="I2208" s="52">
        <v>858.59999999999991</v>
      </c>
      <c r="J2208" s="49">
        <v>34797.659999999996</v>
      </c>
      <c r="K2208" s="58">
        <v>858.7</v>
      </c>
      <c r="L2208" s="58">
        <v>35766.781520976001</v>
      </c>
      <c r="M2208" s="58">
        <v>0</v>
      </c>
      <c r="N2208" s="58">
        <v>0</v>
      </c>
      <c r="O2208" s="58">
        <v>858.7</v>
      </c>
      <c r="P2208" s="53">
        <v>35766.781520976001</v>
      </c>
      <c r="Q2208" s="65">
        <v>34797.659999999996</v>
      </c>
      <c r="R2208" s="65">
        <v>0</v>
      </c>
      <c r="S2208" s="65">
        <v>0</v>
      </c>
      <c r="T2208" s="65">
        <v>969.12152097600483</v>
      </c>
      <c r="U2208" s="58">
        <v>0</v>
      </c>
      <c r="V2208" s="65">
        <v>0</v>
      </c>
      <c r="W2208" s="65">
        <v>0</v>
      </c>
      <c r="X2208" s="65">
        <v>34798</v>
      </c>
      <c r="Y2208" s="65">
        <v>0</v>
      </c>
      <c r="Z2208" s="51">
        <v>0</v>
      </c>
      <c r="AA2208" s="51">
        <v>0</v>
      </c>
      <c r="AB2208" s="102">
        <v>0</v>
      </c>
      <c r="AC2208" s="81">
        <f t="shared" si="105"/>
        <v>0</v>
      </c>
      <c r="AD2208" s="82">
        <f t="shared" si="106"/>
        <v>0</v>
      </c>
      <c r="AE2208" s="218">
        <v>-2.7850192253617196E-2</v>
      </c>
      <c r="AF2208">
        <v>4</v>
      </c>
      <c r="AH2208" t="str">
        <f t="shared" si="107"/>
        <v>Halsi</v>
      </c>
      <c r="AJ2208" s="72">
        <v>0</v>
      </c>
      <c r="AK2208" s="72"/>
      <c r="AL2208" s="72"/>
      <c r="AM2208" s="72"/>
    </row>
    <row r="2209" spans="1:39" x14ac:dyDescent="0.25">
      <c r="A2209" s="37" t="s">
        <v>62</v>
      </c>
      <c r="B2209" s="66" t="s">
        <v>1629</v>
      </c>
      <c r="C2209" s="41">
        <v>1009</v>
      </c>
      <c r="D2209" s="41" t="s">
        <v>249</v>
      </c>
      <c r="E2209" s="41">
        <v>10090046</v>
      </c>
      <c r="F2209" s="85" t="s">
        <v>275</v>
      </c>
      <c r="G2209" s="39" t="s">
        <v>93</v>
      </c>
      <c r="H2209" s="52" t="s">
        <v>94</v>
      </c>
      <c r="I2209" s="52">
        <v>559.5</v>
      </c>
      <c r="J2209" s="49">
        <v>23397.649999999998</v>
      </c>
      <c r="K2209" s="58">
        <v>592.50999999999988</v>
      </c>
      <c r="L2209" s="58">
        <v>24575.209801610061</v>
      </c>
      <c r="M2209" s="58">
        <v>0</v>
      </c>
      <c r="N2209" s="58">
        <v>0</v>
      </c>
      <c r="O2209" s="58">
        <v>592.50999999999988</v>
      </c>
      <c r="P2209" s="53">
        <v>24575.209801610061</v>
      </c>
      <c r="Q2209" s="65">
        <v>23397.649999999998</v>
      </c>
      <c r="R2209" s="65">
        <v>0</v>
      </c>
      <c r="S2209" s="65">
        <v>0</v>
      </c>
      <c r="T2209" s="65">
        <v>1177.559801610063</v>
      </c>
      <c r="U2209" s="58">
        <v>0</v>
      </c>
      <c r="V2209" s="65">
        <v>0</v>
      </c>
      <c r="W2209" s="65">
        <v>0</v>
      </c>
      <c r="X2209" s="65">
        <v>23398</v>
      </c>
      <c r="Y2209" s="65">
        <v>0</v>
      </c>
      <c r="Z2209" s="51">
        <v>0</v>
      </c>
      <c r="AA2209" s="51">
        <v>0</v>
      </c>
      <c r="AB2209" s="102">
        <v>0</v>
      </c>
      <c r="AC2209" s="81">
        <f t="shared" si="105"/>
        <v>117.5109857015192</v>
      </c>
      <c r="AD2209" s="82">
        <f t="shared" si="106"/>
        <v>79.928571428571431</v>
      </c>
      <c r="AE2209" s="218">
        <v>-5.0328122764895754E-2</v>
      </c>
      <c r="AF2209">
        <v>5</v>
      </c>
      <c r="AH2209" t="str">
        <f t="shared" si="107"/>
        <v>Halsi</v>
      </c>
      <c r="AJ2209" s="72">
        <v>0</v>
      </c>
      <c r="AK2209" s="72"/>
      <c r="AL2209" s="72"/>
      <c r="AM2209" s="72"/>
    </row>
    <row r="2210" spans="1:39" x14ac:dyDescent="0.25">
      <c r="A2210" s="37" t="s">
        <v>62</v>
      </c>
      <c r="B2210" s="66" t="s">
        <v>1629</v>
      </c>
      <c r="C2210" s="41">
        <v>1009</v>
      </c>
      <c r="D2210" s="41" t="s">
        <v>249</v>
      </c>
      <c r="E2210" s="41">
        <v>10090047</v>
      </c>
      <c r="F2210" s="85" t="s">
        <v>276</v>
      </c>
      <c r="G2210" s="39" t="s">
        <v>93</v>
      </c>
      <c r="H2210" s="52" t="s">
        <v>94</v>
      </c>
      <c r="I2210" s="52">
        <v>408.79999999999995</v>
      </c>
      <c r="J2210" s="49">
        <v>17455.86</v>
      </c>
      <c r="K2210" s="58">
        <v>414.69999999999993</v>
      </c>
      <c r="L2210" s="58">
        <v>19464.922068288583</v>
      </c>
      <c r="M2210" s="58">
        <v>5.9900000000000011</v>
      </c>
      <c r="N2210" s="58">
        <v>282.60717102630002</v>
      </c>
      <c r="O2210" s="58">
        <v>420.68999999999994</v>
      </c>
      <c r="P2210" s="53">
        <v>19747.529239314881</v>
      </c>
      <c r="Q2210" s="65">
        <v>17455.86</v>
      </c>
      <c r="R2210" s="65">
        <v>0</v>
      </c>
      <c r="S2210" s="65">
        <v>282.60717102630002</v>
      </c>
      <c r="T2210" s="65">
        <v>2291.6692393148805</v>
      </c>
      <c r="U2210" s="58">
        <v>0</v>
      </c>
      <c r="V2210" s="65">
        <v>0</v>
      </c>
      <c r="W2210" s="65">
        <v>0</v>
      </c>
      <c r="X2210" s="65">
        <v>17173</v>
      </c>
      <c r="Y2210" s="65">
        <v>0</v>
      </c>
      <c r="Z2210" s="51">
        <v>0</v>
      </c>
      <c r="AA2210" s="51">
        <v>0</v>
      </c>
      <c r="AB2210" s="102" t="s">
        <v>1427</v>
      </c>
      <c r="AC2210" s="81">
        <f t="shared" si="105"/>
        <v>248.68622465753432</v>
      </c>
      <c r="AD2210" s="82">
        <f t="shared" si="106"/>
        <v>58.399999999999991</v>
      </c>
      <c r="AE2210" s="218">
        <v>-0.13128366286822193</v>
      </c>
      <c r="AF2210">
        <v>14</v>
      </c>
      <c r="AH2210" t="str">
        <f t="shared" si="107"/>
        <v>Halsi</v>
      </c>
      <c r="AJ2210" s="72">
        <v>0</v>
      </c>
      <c r="AK2210" s="72"/>
      <c r="AL2210" s="72"/>
      <c r="AM2210" s="72"/>
    </row>
    <row r="2211" spans="1:39" x14ac:dyDescent="0.25">
      <c r="A2211" s="37" t="s">
        <v>62</v>
      </c>
      <c r="B2211" s="66" t="s">
        <v>1629</v>
      </c>
      <c r="C2211" s="41">
        <v>1009</v>
      </c>
      <c r="D2211" s="41" t="s">
        <v>249</v>
      </c>
      <c r="E2211" s="41">
        <v>10090049</v>
      </c>
      <c r="F2211" s="85" t="s">
        <v>277</v>
      </c>
      <c r="G2211" s="39" t="s">
        <v>93</v>
      </c>
      <c r="H2211" s="52" t="s">
        <v>94</v>
      </c>
      <c r="I2211" s="52">
        <v>700.59999999999991</v>
      </c>
      <c r="J2211" s="49">
        <v>34753.530000000006</v>
      </c>
      <c r="K2211" s="58">
        <v>799.26</v>
      </c>
      <c r="L2211" s="58">
        <v>39724.784025502784</v>
      </c>
      <c r="M2211" s="58">
        <v>5.42</v>
      </c>
      <c r="N2211" s="58">
        <v>285.14275053068008</v>
      </c>
      <c r="O2211" s="58">
        <v>804.68</v>
      </c>
      <c r="P2211" s="53">
        <v>40009.926776033462</v>
      </c>
      <c r="Q2211" s="65">
        <v>34753.530000000006</v>
      </c>
      <c r="R2211" s="65">
        <v>0</v>
      </c>
      <c r="S2211" s="65">
        <v>285.14275053068008</v>
      </c>
      <c r="T2211" s="65">
        <v>5256.3967760334563</v>
      </c>
      <c r="U2211" s="58">
        <v>0</v>
      </c>
      <c r="V2211" s="65">
        <v>0</v>
      </c>
      <c r="W2211" s="65">
        <v>0</v>
      </c>
      <c r="X2211" s="65">
        <v>34468</v>
      </c>
      <c r="Y2211" s="65">
        <v>0</v>
      </c>
      <c r="Z2211" s="51">
        <v>0</v>
      </c>
      <c r="AA2211" s="51">
        <v>0</v>
      </c>
      <c r="AB2211" s="102">
        <v>0</v>
      </c>
      <c r="AC2211" s="81">
        <f t="shared" si="105"/>
        <v>0</v>
      </c>
      <c r="AD2211" s="82">
        <f t="shared" si="106"/>
        <v>0</v>
      </c>
      <c r="AE2211" s="218">
        <v>-0.15124785240617156</v>
      </c>
      <c r="AF2211">
        <v>10</v>
      </c>
      <c r="AH2211" t="str">
        <f t="shared" si="107"/>
        <v>Halsi</v>
      </c>
      <c r="AJ2211" s="72">
        <v>0</v>
      </c>
      <c r="AK2211" s="72"/>
      <c r="AL2211" s="72"/>
      <c r="AM2211" s="72"/>
    </row>
    <row r="2212" spans="1:39" x14ac:dyDescent="0.25">
      <c r="A2212" s="37" t="s">
        <v>62</v>
      </c>
      <c r="B2212" s="66" t="s">
        <v>1629</v>
      </c>
      <c r="C2212" s="41">
        <v>1009</v>
      </c>
      <c r="D2212" s="41" t="s">
        <v>249</v>
      </c>
      <c r="E2212" s="41">
        <v>10090052</v>
      </c>
      <c r="F2212" s="85" t="s">
        <v>278</v>
      </c>
      <c r="G2212" s="39" t="s">
        <v>93</v>
      </c>
      <c r="H2212" s="52" t="s">
        <v>94</v>
      </c>
      <c r="I2212" s="52">
        <v>687.5</v>
      </c>
      <c r="J2212" s="49">
        <v>26996.2</v>
      </c>
      <c r="K2212" s="58">
        <v>721.58999999999992</v>
      </c>
      <c r="L2212" s="58">
        <v>30163.535481205698</v>
      </c>
      <c r="M2212" s="58">
        <v>2.29</v>
      </c>
      <c r="N2212" s="58">
        <v>100.55451990911901</v>
      </c>
      <c r="O2212" s="58">
        <v>723.87999999999988</v>
      </c>
      <c r="P2212" s="53">
        <v>30264.090001114815</v>
      </c>
      <c r="Q2212" s="65">
        <v>26996.2</v>
      </c>
      <c r="R2212" s="65">
        <v>0</v>
      </c>
      <c r="S2212" s="65">
        <v>100.55451990911901</v>
      </c>
      <c r="T2212" s="65">
        <v>3267.8900011148144</v>
      </c>
      <c r="U2212" s="58">
        <v>0</v>
      </c>
      <c r="V2212" s="65">
        <v>0</v>
      </c>
      <c r="W2212" s="65">
        <v>0</v>
      </c>
      <c r="X2212" s="65">
        <v>26896</v>
      </c>
      <c r="Y2212" s="65">
        <v>0</v>
      </c>
      <c r="Z2212" s="51">
        <v>0</v>
      </c>
      <c r="AA2212" s="51">
        <v>0</v>
      </c>
      <c r="AB2212" s="102">
        <v>0</v>
      </c>
      <c r="AC2212" s="81">
        <f t="shared" si="105"/>
        <v>9.8168000000000344</v>
      </c>
      <c r="AD2212" s="82">
        <f t="shared" si="106"/>
        <v>98.214285714285708</v>
      </c>
      <c r="AE2212" s="218">
        <v>-0.12104999967087272</v>
      </c>
      <c r="AF2212">
        <v>5</v>
      </c>
      <c r="AH2212" t="str">
        <f t="shared" si="107"/>
        <v>Halsi</v>
      </c>
      <c r="AJ2212" s="72">
        <v>0</v>
      </c>
      <c r="AK2212" s="72"/>
      <c r="AL2212" s="72"/>
      <c r="AM2212" s="72"/>
    </row>
    <row r="2213" spans="1:39" x14ac:dyDescent="0.25">
      <c r="A2213" s="37" t="s">
        <v>62</v>
      </c>
      <c r="B2213" s="66" t="s">
        <v>1629</v>
      </c>
      <c r="C2213" s="41">
        <v>1009</v>
      </c>
      <c r="D2213" s="41" t="s">
        <v>249</v>
      </c>
      <c r="E2213" s="41">
        <v>10090055</v>
      </c>
      <c r="F2213" s="85" t="s">
        <v>464</v>
      </c>
      <c r="G2213" s="39" t="s">
        <v>635</v>
      </c>
      <c r="H2213" s="52" t="s">
        <v>99</v>
      </c>
      <c r="I2213" s="52">
        <v>277.2</v>
      </c>
      <c r="J2213" s="49">
        <v>10708.02</v>
      </c>
      <c r="K2213" s="58">
        <v>0</v>
      </c>
      <c r="L2213" s="58">
        <v>0</v>
      </c>
      <c r="M2213" s="58">
        <v>0</v>
      </c>
      <c r="N2213" s="58">
        <v>0</v>
      </c>
      <c r="O2213" s="58">
        <v>0</v>
      </c>
      <c r="P2213" s="53">
        <v>0</v>
      </c>
      <c r="Q2213" s="65">
        <v>10708.02</v>
      </c>
      <c r="R2213" s="65">
        <v>0</v>
      </c>
      <c r="S2213" s="65">
        <v>0</v>
      </c>
      <c r="T2213" s="65">
        <v>0</v>
      </c>
      <c r="U2213" s="58">
        <v>0</v>
      </c>
      <c r="V2213" s="65">
        <v>0</v>
      </c>
      <c r="W2213" s="65">
        <v>0</v>
      </c>
      <c r="X2213" s="65">
        <v>0</v>
      </c>
      <c r="Y2213" s="65">
        <v>0</v>
      </c>
      <c r="Z2213" s="51">
        <v>10708.02</v>
      </c>
      <c r="AA2213" s="51">
        <v>0</v>
      </c>
      <c r="AB2213" s="102">
        <v>0</v>
      </c>
      <c r="AC2213" s="81">
        <f t="shared" si="105"/>
        <v>326.64869090909093</v>
      </c>
      <c r="AD2213" s="82">
        <f t="shared" si="106"/>
        <v>39.6</v>
      </c>
      <c r="AE2213" s="218">
        <v>0</v>
      </c>
      <c r="AF2213">
        <v>0</v>
      </c>
      <c r="AH2213" t="str">
        <f t="shared" si="107"/>
        <v>Halsi</v>
      </c>
      <c r="AJ2213" s="72">
        <v>0</v>
      </c>
      <c r="AK2213" s="72"/>
      <c r="AL2213" s="72"/>
      <c r="AM2213" s="72"/>
    </row>
    <row r="2214" spans="1:39" x14ac:dyDescent="0.25">
      <c r="A2214" s="37" t="s">
        <v>62</v>
      </c>
      <c r="B2214" s="66" t="s">
        <v>1629</v>
      </c>
      <c r="C2214" s="41">
        <v>1009</v>
      </c>
      <c r="D2214" s="41" t="s">
        <v>249</v>
      </c>
      <c r="E2214" s="41">
        <v>10090056</v>
      </c>
      <c r="F2214" s="85" t="s">
        <v>476</v>
      </c>
      <c r="G2214" s="39" t="s">
        <v>93</v>
      </c>
      <c r="H2214" s="52" t="s">
        <v>94</v>
      </c>
      <c r="I2214" s="52">
        <v>434.40000000000003</v>
      </c>
      <c r="J2214" s="49">
        <v>16865.839999999997</v>
      </c>
      <c r="K2214" s="58">
        <v>564.58999999999992</v>
      </c>
      <c r="L2214" s="58">
        <v>22046.622681090754</v>
      </c>
      <c r="M2214" s="58">
        <v>1.5100000000000002</v>
      </c>
      <c r="N2214" s="58">
        <v>61.380852746400002</v>
      </c>
      <c r="O2214" s="58">
        <v>566.09999999999991</v>
      </c>
      <c r="P2214" s="53">
        <v>22108.003533837153</v>
      </c>
      <c r="Q2214" s="65">
        <v>16865.839999999997</v>
      </c>
      <c r="R2214" s="65">
        <v>0</v>
      </c>
      <c r="S2214" s="65">
        <v>61.380852746400002</v>
      </c>
      <c r="T2214" s="65">
        <v>5242.1635338371561</v>
      </c>
      <c r="U2214" s="58">
        <v>0</v>
      </c>
      <c r="V2214" s="65">
        <v>0</v>
      </c>
      <c r="W2214" s="65">
        <v>0</v>
      </c>
      <c r="X2214" s="65">
        <v>16804</v>
      </c>
      <c r="Y2214" s="65">
        <v>0</v>
      </c>
      <c r="Z2214" s="51">
        <v>0</v>
      </c>
      <c r="AA2214" s="51">
        <v>0</v>
      </c>
      <c r="AB2214" s="102">
        <v>0</v>
      </c>
      <c r="AC2214" s="81">
        <f t="shared" si="105"/>
        <v>206.24157937384891</v>
      </c>
      <c r="AD2214" s="82">
        <f t="shared" si="106"/>
        <v>62.057142857142864</v>
      </c>
      <c r="AE2214" s="218">
        <v>-0.31081544315831033</v>
      </c>
      <c r="AF2214">
        <v>4</v>
      </c>
      <c r="AH2214" t="str">
        <f t="shared" si="107"/>
        <v>Halsi</v>
      </c>
      <c r="AJ2214" s="72">
        <v>0</v>
      </c>
      <c r="AK2214" s="72"/>
      <c r="AL2214" s="72"/>
      <c r="AM2214" s="72"/>
    </row>
    <row r="2215" spans="1:39" x14ac:dyDescent="0.25">
      <c r="A2215" s="37" t="s">
        <v>62</v>
      </c>
      <c r="B2215" s="66" t="s">
        <v>1629</v>
      </c>
      <c r="C2215" s="41">
        <v>1009</v>
      </c>
      <c r="D2215" s="41" t="s">
        <v>249</v>
      </c>
      <c r="E2215" s="41">
        <v>10090058</v>
      </c>
      <c r="F2215" s="85" t="s">
        <v>526</v>
      </c>
      <c r="G2215" s="39" t="s">
        <v>93</v>
      </c>
      <c r="H2215" s="52" t="s">
        <v>94</v>
      </c>
      <c r="I2215" s="52">
        <v>1154.7000000000003</v>
      </c>
      <c r="J2215" s="49">
        <v>47150.79</v>
      </c>
      <c r="K2215" s="58">
        <v>1169.1200000000001</v>
      </c>
      <c r="L2215" s="58">
        <v>49929.726891610444</v>
      </c>
      <c r="M2215" s="58">
        <v>0</v>
      </c>
      <c r="N2215" s="58">
        <v>0</v>
      </c>
      <c r="O2215" s="58">
        <v>1169.1200000000001</v>
      </c>
      <c r="P2215" s="53">
        <v>49929.726891610444</v>
      </c>
      <c r="Q2215" s="65">
        <v>47150.79</v>
      </c>
      <c r="R2215" s="65">
        <v>0</v>
      </c>
      <c r="S2215" s="65">
        <v>0</v>
      </c>
      <c r="T2215" s="65">
        <v>2778.9368916104431</v>
      </c>
      <c r="U2215" s="58">
        <v>0</v>
      </c>
      <c r="V2215" s="65">
        <v>0</v>
      </c>
      <c r="W2215" s="65">
        <v>0</v>
      </c>
      <c r="X2215" s="65">
        <v>47151</v>
      </c>
      <c r="Y2215" s="65">
        <v>0</v>
      </c>
      <c r="Z2215" s="51">
        <v>0</v>
      </c>
      <c r="AA2215" s="51">
        <v>0</v>
      </c>
      <c r="AB2215" s="102">
        <v>0</v>
      </c>
      <c r="AC2215" s="81">
        <f t="shared" si="105"/>
        <v>0</v>
      </c>
      <c r="AD2215" s="82">
        <f t="shared" si="106"/>
        <v>0</v>
      </c>
      <c r="AE2215" s="218">
        <v>-5.8937228657471974E-2</v>
      </c>
      <c r="AF2215">
        <v>3</v>
      </c>
      <c r="AH2215" t="str">
        <f t="shared" si="107"/>
        <v>Halsi</v>
      </c>
      <c r="AJ2215" s="72">
        <v>0</v>
      </c>
      <c r="AK2215" s="72"/>
      <c r="AL2215" s="72"/>
      <c r="AM2215" s="72"/>
    </row>
    <row r="2216" spans="1:39" x14ac:dyDescent="0.25">
      <c r="A2216" s="37" t="s">
        <v>62</v>
      </c>
      <c r="B2216" s="66" t="s">
        <v>1629</v>
      </c>
      <c r="C2216" s="41">
        <v>1009</v>
      </c>
      <c r="D2216" s="41" t="s">
        <v>249</v>
      </c>
      <c r="E2216" s="41">
        <v>10090059</v>
      </c>
      <c r="F2216" s="85" t="s">
        <v>1228</v>
      </c>
      <c r="G2216" s="39" t="s">
        <v>93</v>
      </c>
      <c r="H2216" s="52" t="s">
        <v>94</v>
      </c>
      <c r="I2216" s="52">
        <v>694.40000000000009</v>
      </c>
      <c r="J2216" s="49">
        <v>27030.73</v>
      </c>
      <c r="K2216" s="58">
        <v>721.19999999999993</v>
      </c>
      <c r="L2216" s="58">
        <v>28540.070892828007</v>
      </c>
      <c r="M2216" s="58">
        <v>0</v>
      </c>
      <c r="N2216" s="58">
        <v>0</v>
      </c>
      <c r="O2216" s="58">
        <v>721.19999999999993</v>
      </c>
      <c r="P2216" s="53">
        <v>28540.070892828007</v>
      </c>
      <c r="Q2216" s="65">
        <v>27030.73</v>
      </c>
      <c r="R2216" s="65">
        <v>0</v>
      </c>
      <c r="S2216" s="65">
        <v>0</v>
      </c>
      <c r="T2216" s="65">
        <v>1509.3408928280078</v>
      </c>
      <c r="U2216" s="58">
        <v>0</v>
      </c>
      <c r="V2216" s="65">
        <v>0</v>
      </c>
      <c r="W2216" s="65">
        <v>0</v>
      </c>
      <c r="X2216" s="65">
        <v>27031</v>
      </c>
      <c r="Y2216" s="65">
        <v>0</v>
      </c>
      <c r="Z2216" s="51">
        <v>0</v>
      </c>
      <c r="AA2216" s="51">
        <v>0</v>
      </c>
      <c r="AB2216" s="102">
        <v>0</v>
      </c>
      <c r="AC2216" s="81">
        <f t="shared" si="105"/>
        <v>4.3597951612902293</v>
      </c>
      <c r="AD2216" s="82">
        <f t="shared" si="106"/>
        <v>99.200000000000017</v>
      </c>
      <c r="AE2216" s="218">
        <v>-5.583796267537014E-2</v>
      </c>
      <c r="AF2216">
        <v>1</v>
      </c>
      <c r="AH2216" t="str">
        <f t="shared" si="107"/>
        <v>Halsi</v>
      </c>
      <c r="AJ2216" s="72">
        <v>0</v>
      </c>
      <c r="AK2216" s="72"/>
      <c r="AL2216" s="72"/>
      <c r="AM2216" s="72"/>
    </row>
    <row r="2217" spans="1:39" x14ac:dyDescent="0.25">
      <c r="A2217" s="37" t="s">
        <v>62</v>
      </c>
      <c r="B2217" s="66" t="s">
        <v>1629</v>
      </c>
      <c r="C2217" s="41">
        <v>1009</v>
      </c>
      <c r="D2217" s="41" t="s">
        <v>249</v>
      </c>
      <c r="E2217" s="41">
        <v>10090060</v>
      </c>
      <c r="F2217" s="85" t="s">
        <v>537</v>
      </c>
      <c r="G2217" s="39" t="s">
        <v>93</v>
      </c>
      <c r="H2217" s="52" t="s">
        <v>94</v>
      </c>
      <c r="I2217" s="52">
        <v>205.99999999999997</v>
      </c>
      <c r="J2217" s="49">
        <v>8387.5</v>
      </c>
      <c r="K2217" s="58">
        <v>237.9</v>
      </c>
      <c r="L2217" s="58">
        <v>9793.2838532975002</v>
      </c>
      <c r="M2217" s="58">
        <v>0</v>
      </c>
      <c r="N2217" s="58">
        <v>0</v>
      </c>
      <c r="O2217" s="58">
        <v>237.9</v>
      </c>
      <c r="P2217" s="53">
        <v>9793.2838532975002</v>
      </c>
      <c r="Q2217" s="65">
        <v>8387.5</v>
      </c>
      <c r="R2217" s="65">
        <v>0</v>
      </c>
      <c r="S2217" s="65">
        <v>0</v>
      </c>
      <c r="T2217" s="65">
        <v>1405.7838532975002</v>
      </c>
      <c r="U2217" s="58">
        <v>0</v>
      </c>
      <c r="V2217" s="65">
        <v>0</v>
      </c>
      <c r="W2217" s="65">
        <v>0</v>
      </c>
      <c r="X2217" s="65">
        <v>8387</v>
      </c>
      <c r="Y2217" s="65">
        <v>0</v>
      </c>
      <c r="Z2217" s="51">
        <v>0</v>
      </c>
      <c r="AA2217" s="51">
        <v>1</v>
      </c>
      <c r="AB2217" s="102">
        <v>0</v>
      </c>
      <c r="AC2217" s="81">
        <f t="shared" si="105"/>
        <v>402.27427184466035</v>
      </c>
      <c r="AD2217" s="82">
        <f t="shared" si="106"/>
        <v>29.428571428571423</v>
      </c>
      <c r="AE2217" s="218">
        <v>-0.16760463228584205</v>
      </c>
      <c r="AF2217">
        <v>1</v>
      </c>
      <c r="AH2217" t="str">
        <f t="shared" si="107"/>
        <v>Halsi</v>
      </c>
      <c r="AJ2217" s="72">
        <v>0</v>
      </c>
      <c r="AK2217" s="72"/>
      <c r="AL2217" s="72"/>
      <c r="AM2217" s="72"/>
    </row>
    <row r="2218" spans="1:39" x14ac:dyDescent="0.25">
      <c r="A2218" s="37" t="s">
        <v>62</v>
      </c>
      <c r="B2218" s="66" t="s">
        <v>1629</v>
      </c>
      <c r="C2218" s="41">
        <v>1009</v>
      </c>
      <c r="D2218" s="41" t="s">
        <v>249</v>
      </c>
      <c r="E2218" s="41">
        <v>10090061</v>
      </c>
      <c r="F2218" s="85" t="s">
        <v>564</v>
      </c>
      <c r="G2218" s="39" t="s">
        <v>93</v>
      </c>
      <c r="H2218" s="52" t="s">
        <v>94</v>
      </c>
      <c r="I2218" s="52">
        <v>168.99999999999997</v>
      </c>
      <c r="J2218" s="49">
        <v>7496.72</v>
      </c>
      <c r="K2218" s="58">
        <v>209.4</v>
      </c>
      <c r="L2218" s="58">
        <v>9368.7269011073986</v>
      </c>
      <c r="M2218" s="58">
        <v>0</v>
      </c>
      <c r="N2218" s="58">
        <v>0</v>
      </c>
      <c r="O2218" s="58">
        <v>209.4</v>
      </c>
      <c r="P2218" s="53">
        <v>9368.7269011073986</v>
      </c>
      <c r="Q2218" s="65">
        <v>7496.72</v>
      </c>
      <c r="R2218" s="65">
        <v>0</v>
      </c>
      <c r="S2218" s="65">
        <v>0</v>
      </c>
      <c r="T2218" s="65">
        <v>1872.0069011073983</v>
      </c>
      <c r="U2218" s="58">
        <v>0</v>
      </c>
      <c r="V2218" s="65">
        <v>0</v>
      </c>
      <c r="W2218" s="65">
        <v>0</v>
      </c>
      <c r="X2218" s="65">
        <v>7497</v>
      </c>
      <c r="Y2218" s="65">
        <v>0</v>
      </c>
      <c r="Z2218" s="51">
        <v>0</v>
      </c>
      <c r="AA2218" s="51">
        <v>0</v>
      </c>
      <c r="AB2218" s="102">
        <v>0</v>
      </c>
      <c r="AC2218" s="81">
        <f t="shared" si="105"/>
        <v>471.09565917159773</v>
      </c>
      <c r="AD2218" s="82">
        <f t="shared" si="106"/>
        <v>24.142857142857139</v>
      </c>
      <c r="AE2218" s="218">
        <v>-0.24971012670973416</v>
      </c>
      <c r="AF2218">
        <v>1</v>
      </c>
      <c r="AH2218" t="str">
        <f t="shared" si="107"/>
        <v>Halsi</v>
      </c>
      <c r="AJ2218" s="72">
        <v>0</v>
      </c>
      <c r="AK2218" s="72"/>
      <c r="AL2218" s="72"/>
      <c r="AM2218" s="72"/>
    </row>
    <row r="2219" spans="1:39" x14ac:dyDescent="0.25">
      <c r="A2219" s="37" t="s">
        <v>62</v>
      </c>
      <c r="B2219" s="66" t="s">
        <v>1629</v>
      </c>
      <c r="C2219" s="41">
        <v>1009</v>
      </c>
      <c r="D2219" s="41" t="s">
        <v>249</v>
      </c>
      <c r="E2219" s="41">
        <v>10090063</v>
      </c>
      <c r="F2219" s="85" t="s">
        <v>588</v>
      </c>
      <c r="G2219" s="39" t="s">
        <v>93</v>
      </c>
      <c r="H2219" s="52" t="s">
        <v>94</v>
      </c>
      <c r="I2219" s="52">
        <v>171.8</v>
      </c>
      <c r="J2219" s="49">
        <v>7417.46</v>
      </c>
      <c r="K2219" s="58">
        <v>174.50000000000003</v>
      </c>
      <c r="L2219" s="58">
        <v>7608.318534080001</v>
      </c>
      <c r="M2219" s="58">
        <v>0</v>
      </c>
      <c r="N2219" s="58">
        <v>0</v>
      </c>
      <c r="O2219" s="58">
        <v>174.50000000000003</v>
      </c>
      <c r="P2219" s="53">
        <v>7608.318534080001</v>
      </c>
      <c r="Q2219" s="65">
        <v>7417.46</v>
      </c>
      <c r="R2219" s="65">
        <v>0</v>
      </c>
      <c r="S2219" s="65">
        <v>0</v>
      </c>
      <c r="T2219" s="65">
        <v>190.85853408000094</v>
      </c>
      <c r="U2219" s="58">
        <v>0</v>
      </c>
      <c r="V2219" s="65">
        <v>0</v>
      </c>
      <c r="W2219" s="65">
        <v>0</v>
      </c>
      <c r="X2219" s="65">
        <v>7417</v>
      </c>
      <c r="Y2219" s="65">
        <v>0</v>
      </c>
      <c r="Z2219" s="51">
        <v>0</v>
      </c>
      <c r="AA2219" s="51">
        <v>0</v>
      </c>
      <c r="AB2219" s="102">
        <v>0</v>
      </c>
      <c r="AC2219" s="81">
        <f t="shared" si="105"/>
        <v>456.10039254947617</v>
      </c>
      <c r="AD2219" s="82">
        <f t="shared" si="106"/>
        <v>24.542857142857144</v>
      </c>
      <c r="AE2219" s="218">
        <v>-2.5730982584334924E-2</v>
      </c>
      <c r="AF2219">
        <v>1</v>
      </c>
      <c r="AH2219" t="str">
        <f t="shared" si="107"/>
        <v>Halsi</v>
      </c>
      <c r="AJ2219" s="72">
        <v>0</v>
      </c>
      <c r="AK2219" s="72"/>
      <c r="AL2219" s="72"/>
      <c r="AM2219" s="72"/>
    </row>
    <row r="2220" spans="1:39" x14ac:dyDescent="0.25">
      <c r="A2220" s="37" t="s">
        <v>62</v>
      </c>
      <c r="B2220" s="66" t="s">
        <v>1629</v>
      </c>
      <c r="C2220" s="41">
        <v>1009</v>
      </c>
      <c r="D2220" s="41" t="s">
        <v>249</v>
      </c>
      <c r="E2220" s="41">
        <v>10090064</v>
      </c>
      <c r="F2220" s="85" t="s">
        <v>589</v>
      </c>
      <c r="G2220" s="39" t="s">
        <v>93</v>
      </c>
      <c r="H2220" s="52" t="s">
        <v>94</v>
      </c>
      <c r="I2220" s="52">
        <v>360.3</v>
      </c>
      <c r="J2220" s="49">
        <v>15033.579999999998</v>
      </c>
      <c r="K2220" s="58">
        <v>415.30000000000007</v>
      </c>
      <c r="L2220" s="58">
        <v>17168.538001023207</v>
      </c>
      <c r="M2220" s="58">
        <v>0</v>
      </c>
      <c r="N2220" s="58">
        <v>0</v>
      </c>
      <c r="O2220" s="58">
        <v>415.30000000000007</v>
      </c>
      <c r="P2220" s="53">
        <v>17168.538001023207</v>
      </c>
      <c r="Q2220" s="65">
        <v>15033.579999999998</v>
      </c>
      <c r="R2220" s="65">
        <v>0</v>
      </c>
      <c r="S2220" s="65">
        <v>0</v>
      </c>
      <c r="T2220" s="65">
        <v>2134.9580010232094</v>
      </c>
      <c r="U2220" s="58">
        <v>0</v>
      </c>
      <c r="V2220" s="65">
        <v>68.048193103448256</v>
      </c>
      <c r="W2220" s="65">
        <v>0</v>
      </c>
      <c r="X2220" s="65">
        <v>14965</v>
      </c>
      <c r="Y2220" s="65">
        <v>0</v>
      </c>
      <c r="Z2220" s="51">
        <v>0</v>
      </c>
      <c r="AA2220" s="51">
        <v>1</v>
      </c>
      <c r="AB2220" s="102">
        <v>0</v>
      </c>
      <c r="AC2220" s="81">
        <f t="shared" si="105"/>
        <v>283.48082853177903</v>
      </c>
      <c r="AD2220" s="82">
        <f t="shared" si="106"/>
        <v>51.471428571428575</v>
      </c>
      <c r="AE2220" s="218">
        <v>-0.14201261449523064</v>
      </c>
      <c r="AF2220">
        <v>1</v>
      </c>
      <c r="AH2220" t="str">
        <f t="shared" si="107"/>
        <v>Halsi</v>
      </c>
      <c r="AJ2220" s="72">
        <v>0</v>
      </c>
      <c r="AK2220" s="72"/>
      <c r="AL2220" s="72"/>
      <c r="AM2220" s="72"/>
    </row>
    <row r="2221" spans="1:39" x14ac:dyDescent="0.25">
      <c r="A2221" s="37" t="s">
        <v>62</v>
      </c>
      <c r="B2221" s="66" t="s">
        <v>1629</v>
      </c>
      <c r="C2221" s="41">
        <v>1009</v>
      </c>
      <c r="D2221" s="41" t="s">
        <v>249</v>
      </c>
      <c r="E2221" s="41">
        <v>10090065</v>
      </c>
      <c r="F2221" s="85" t="s">
        <v>666</v>
      </c>
      <c r="G2221" s="39" t="s">
        <v>93</v>
      </c>
      <c r="H2221" s="52" t="s">
        <v>94</v>
      </c>
      <c r="I2221" s="52">
        <v>448.00000000000006</v>
      </c>
      <c r="J2221" s="49">
        <v>17317.16</v>
      </c>
      <c r="K2221" s="58">
        <v>429.63000000000005</v>
      </c>
      <c r="L2221" s="58">
        <v>17628.885333616163</v>
      </c>
      <c r="M2221" s="58">
        <v>0</v>
      </c>
      <c r="N2221" s="58">
        <v>0</v>
      </c>
      <c r="O2221" s="58">
        <v>429.63000000000005</v>
      </c>
      <c r="P2221" s="53">
        <v>17628.885333616163</v>
      </c>
      <c r="Q2221" s="65">
        <v>17317.16</v>
      </c>
      <c r="R2221" s="65">
        <v>0</v>
      </c>
      <c r="S2221" s="65">
        <v>0</v>
      </c>
      <c r="T2221" s="65">
        <v>311.72533361616297</v>
      </c>
      <c r="U2221" s="58">
        <v>0</v>
      </c>
      <c r="V2221" s="65">
        <v>0</v>
      </c>
      <c r="W2221" s="65">
        <v>0</v>
      </c>
      <c r="X2221" s="65">
        <v>17317</v>
      </c>
      <c r="Y2221" s="65">
        <v>0</v>
      </c>
      <c r="Z2221" s="51">
        <v>0</v>
      </c>
      <c r="AA2221" s="51">
        <v>0</v>
      </c>
      <c r="AB2221" s="102">
        <v>0</v>
      </c>
      <c r="AC2221" s="81">
        <f t="shared" si="105"/>
        <v>194.81804999999989</v>
      </c>
      <c r="AD2221" s="82">
        <f t="shared" si="106"/>
        <v>64.000000000000014</v>
      </c>
      <c r="AE2221" s="218">
        <v>-1.8000950133634092E-2</v>
      </c>
      <c r="AF2221">
        <v>2</v>
      </c>
      <c r="AH2221" t="str">
        <f t="shared" si="107"/>
        <v>Halsi</v>
      </c>
      <c r="AJ2221" s="72">
        <v>0</v>
      </c>
      <c r="AK2221" s="72"/>
      <c r="AL2221" s="72"/>
      <c r="AM2221" s="72"/>
    </row>
    <row r="2222" spans="1:39" x14ac:dyDescent="0.25">
      <c r="A2222" s="37" t="s">
        <v>62</v>
      </c>
      <c r="B2222" s="66" t="s">
        <v>1629</v>
      </c>
      <c r="C2222" s="41">
        <v>1009</v>
      </c>
      <c r="D2222" s="41" t="s">
        <v>249</v>
      </c>
      <c r="E2222" s="41">
        <v>10090072</v>
      </c>
      <c r="F2222" s="85" t="s">
        <v>1294</v>
      </c>
      <c r="G2222" s="39" t="s">
        <v>93</v>
      </c>
      <c r="H2222" s="52" t="s">
        <v>94</v>
      </c>
      <c r="I2222" s="52">
        <v>401.99999999999994</v>
      </c>
      <c r="J2222" s="49">
        <v>15515.09</v>
      </c>
      <c r="K2222" s="58">
        <v>556.17999999999995</v>
      </c>
      <c r="L2222" s="58">
        <v>21694.634673516</v>
      </c>
      <c r="M2222" s="58">
        <v>0</v>
      </c>
      <c r="N2222" s="58">
        <v>0</v>
      </c>
      <c r="O2222" s="58">
        <v>556.17999999999995</v>
      </c>
      <c r="P2222" s="53">
        <v>21694.634673516</v>
      </c>
      <c r="Q2222" s="65">
        <v>15515.09</v>
      </c>
      <c r="R2222" s="65">
        <v>0</v>
      </c>
      <c r="S2222" s="65">
        <v>0</v>
      </c>
      <c r="T2222" s="65">
        <v>6179.5446735160003</v>
      </c>
      <c r="U2222" s="58">
        <v>0</v>
      </c>
      <c r="V2222" s="65">
        <v>0</v>
      </c>
      <c r="W2222" s="65">
        <v>0</v>
      </c>
      <c r="X2222" s="65">
        <v>15515</v>
      </c>
      <c r="Y2222" s="65">
        <v>0</v>
      </c>
      <c r="Z2222" s="51">
        <v>0</v>
      </c>
      <c r="AA2222" s="51">
        <v>0</v>
      </c>
      <c r="AB2222" s="102">
        <v>0</v>
      </c>
      <c r="AC2222" s="81">
        <f t="shared" si="105"/>
        <v>230.02471741293539</v>
      </c>
      <c r="AD2222" s="82">
        <f t="shared" si="106"/>
        <v>57.428571428571423</v>
      </c>
      <c r="AE2222" s="218">
        <v>-0.39829254445291651</v>
      </c>
      <c r="AF2222">
        <v>2</v>
      </c>
      <c r="AH2222" t="str">
        <f t="shared" si="107"/>
        <v>Halsi</v>
      </c>
      <c r="AJ2222" s="72">
        <v>0</v>
      </c>
      <c r="AK2222" s="72"/>
      <c r="AL2222" s="72"/>
      <c r="AM2222" s="72"/>
    </row>
    <row r="2223" spans="1:39" x14ac:dyDescent="0.25">
      <c r="A2223" s="37" t="s">
        <v>62</v>
      </c>
      <c r="B2223" s="66" t="s">
        <v>1629</v>
      </c>
      <c r="C2223" s="41">
        <v>1009</v>
      </c>
      <c r="D2223" s="41" t="s">
        <v>249</v>
      </c>
      <c r="E2223" s="41">
        <v>10090074</v>
      </c>
      <c r="F2223" s="85" t="s">
        <v>1314</v>
      </c>
      <c r="G2223" s="39" t="s">
        <v>93</v>
      </c>
      <c r="H2223" s="52" t="s">
        <v>94</v>
      </c>
      <c r="I2223" s="52">
        <v>443.00000000000006</v>
      </c>
      <c r="J2223" s="49">
        <v>17610.190000000002</v>
      </c>
      <c r="K2223" s="58">
        <v>458.15</v>
      </c>
      <c r="L2223" s="58">
        <v>18434.760639226559</v>
      </c>
      <c r="M2223" s="58">
        <v>0</v>
      </c>
      <c r="N2223" s="58">
        <v>0</v>
      </c>
      <c r="O2223" s="58">
        <v>458.15</v>
      </c>
      <c r="P2223" s="53">
        <v>18434.760639226559</v>
      </c>
      <c r="Q2223" s="65">
        <v>17610.190000000002</v>
      </c>
      <c r="R2223" s="65">
        <v>0</v>
      </c>
      <c r="S2223" s="65">
        <v>0</v>
      </c>
      <c r="T2223" s="65">
        <v>824.57063922655652</v>
      </c>
      <c r="U2223" s="58">
        <v>0</v>
      </c>
      <c r="V2223" s="65">
        <v>0</v>
      </c>
      <c r="W2223" s="65">
        <v>0</v>
      </c>
      <c r="X2223" s="65">
        <v>17610</v>
      </c>
      <c r="Y2223" s="65">
        <v>0</v>
      </c>
      <c r="Z2223" s="51">
        <v>0</v>
      </c>
      <c r="AA2223" s="51">
        <v>0</v>
      </c>
      <c r="AB2223" s="102">
        <v>0</v>
      </c>
      <c r="AC2223" s="81">
        <f t="shared" si="105"/>
        <v>204.32590654627538</v>
      </c>
      <c r="AD2223" s="82">
        <f t="shared" si="106"/>
        <v>63.285714285714292</v>
      </c>
      <c r="AE2223" s="218">
        <v>-4.6823494762211905E-2</v>
      </c>
      <c r="AF2223">
        <v>3</v>
      </c>
      <c r="AH2223" t="str">
        <f t="shared" si="107"/>
        <v>Halsi</v>
      </c>
      <c r="AJ2223" s="72">
        <v>0</v>
      </c>
      <c r="AK2223" s="72"/>
      <c r="AL2223" s="72"/>
      <c r="AM2223" s="72"/>
    </row>
    <row r="2224" spans="1:39" x14ac:dyDescent="0.25">
      <c r="A2224" s="37" t="s">
        <v>62</v>
      </c>
      <c r="B2224" s="66" t="s">
        <v>1629</v>
      </c>
      <c r="C2224" s="41">
        <v>1009</v>
      </c>
      <c r="D2224" s="41" t="s">
        <v>249</v>
      </c>
      <c r="E2224" s="41">
        <v>10090075</v>
      </c>
      <c r="F2224" s="85" t="s">
        <v>1326</v>
      </c>
      <c r="G2224" s="39" t="s">
        <v>93</v>
      </c>
      <c r="H2224" s="52" t="s">
        <v>94</v>
      </c>
      <c r="I2224" s="52">
        <v>639.69999999999993</v>
      </c>
      <c r="J2224" s="49">
        <v>24557.42</v>
      </c>
      <c r="K2224" s="58">
        <v>681.16999999999985</v>
      </c>
      <c r="L2224" s="58">
        <v>28058.086312740001</v>
      </c>
      <c r="M2224" s="58">
        <v>0</v>
      </c>
      <c r="N2224" s="58">
        <v>0</v>
      </c>
      <c r="O2224" s="58">
        <v>681.16999999999985</v>
      </c>
      <c r="P2224" s="53">
        <v>28058.086312740001</v>
      </c>
      <c r="Q2224" s="65">
        <v>24557.42</v>
      </c>
      <c r="R2224" s="65">
        <v>0</v>
      </c>
      <c r="S2224" s="65">
        <v>0</v>
      </c>
      <c r="T2224" s="65">
        <v>3500.6663127400025</v>
      </c>
      <c r="U2224" s="58">
        <v>0</v>
      </c>
      <c r="V2224" s="65">
        <v>0</v>
      </c>
      <c r="W2224" s="65">
        <v>0</v>
      </c>
      <c r="X2224" s="65">
        <v>24557</v>
      </c>
      <c r="Y2224" s="65">
        <v>0</v>
      </c>
      <c r="Z2224" s="51">
        <v>0</v>
      </c>
      <c r="AA2224" s="51">
        <v>0</v>
      </c>
      <c r="AB2224" s="102">
        <v>0</v>
      </c>
      <c r="AC2224" s="81">
        <f t="shared" si="105"/>
        <v>46.297090073472013</v>
      </c>
      <c r="AD2224" s="82">
        <f t="shared" si="106"/>
        <v>91.385714285714272</v>
      </c>
      <c r="AE2224" s="218">
        <v>-0.14255024806107494</v>
      </c>
      <c r="AF2224">
        <v>1</v>
      </c>
      <c r="AH2224" t="str">
        <f t="shared" si="107"/>
        <v>Halsi</v>
      </c>
      <c r="AJ2224" s="72">
        <v>0</v>
      </c>
      <c r="AK2224" s="72"/>
      <c r="AL2224" s="72"/>
      <c r="AM2224" s="72"/>
    </row>
    <row r="2225" spans="1:39" x14ac:dyDescent="0.25">
      <c r="A2225" s="37" t="s">
        <v>62</v>
      </c>
      <c r="B2225" s="66" t="s">
        <v>1629</v>
      </c>
      <c r="C2225" s="41">
        <v>1009</v>
      </c>
      <c r="D2225" s="41" t="s">
        <v>249</v>
      </c>
      <c r="E2225" s="41">
        <v>10090076</v>
      </c>
      <c r="F2225" s="85" t="s">
        <v>1335</v>
      </c>
      <c r="G2225" s="39" t="s">
        <v>635</v>
      </c>
      <c r="H2225" s="52" t="s">
        <v>99</v>
      </c>
      <c r="I2225" s="52">
        <v>12800</v>
      </c>
      <c r="J2225" s="49">
        <v>492452</v>
      </c>
      <c r="K2225" s="58">
        <v>0</v>
      </c>
      <c r="L2225" s="58">
        <v>0</v>
      </c>
      <c r="M2225" s="58">
        <v>0</v>
      </c>
      <c r="N2225" s="58">
        <v>0</v>
      </c>
      <c r="O2225" s="58">
        <v>0</v>
      </c>
      <c r="P2225" s="53">
        <v>0</v>
      </c>
      <c r="Q2225" s="65">
        <v>492452</v>
      </c>
      <c r="R2225" s="65">
        <v>0</v>
      </c>
      <c r="S2225" s="65">
        <v>0</v>
      </c>
      <c r="T2225" s="65">
        <v>0</v>
      </c>
      <c r="U2225" s="58">
        <v>0</v>
      </c>
      <c r="V2225" s="65">
        <v>0</v>
      </c>
      <c r="W2225" s="65">
        <v>0</v>
      </c>
      <c r="X2225" s="65">
        <v>0</v>
      </c>
      <c r="Y2225" s="65">
        <v>0</v>
      </c>
      <c r="Z2225" s="51">
        <v>492452</v>
      </c>
      <c r="AA2225" s="51">
        <v>0</v>
      </c>
      <c r="AB2225" s="102">
        <v>0</v>
      </c>
      <c r="AC2225" s="81">
        <f t="shared" si="105"/>
        <v>0</v>
      </c>
      <c r="AD2225" s="82">
        <f t="shared" si="106"/>
        <v>0</v>
      </c>
      <c r="AE2225" s="218">
        <v>0</v>
      </c>
      <c r="AF2225">
        <v>0</v>
      </c>
      <c r="AH2225" t="str">
        <f t="shared" si="107"/>
        <v>Halsi</v>
      </c>
      <c r="AJ2225" s="72">
        <v>0</v>
      </c>
      <c r="AK2225" s="72"/>
      <c r="AL2225" s="72"/>
      <c r="AM2225" s="72"/>
    </row>
    <row r="2226" spans="1:39" x14ac:dyDescent="0.25">
      <c r="A2226" s="37" t="s">
        <v>62</v>
      </c>
      <c r="B2226" s="66" t="s">
        <v>1629</v>
      </c>
      <c r="C2226" s="41">
        <v>1009</v>
      </c>
      <c r="D2226" s="41" t="s">
        <v>249</v>
      </c>
      <c r="E2226" s="41">
        <v>10090077</v>
      </c>
      <c r="F2226" s="85" t="s">
        <v>1336</v>
      </c>
      <c r="G2226" s="39" t="s">
        <v>635</v>
      </c>
      <c r="H2226" s="52" t="s">
        <v>99</v>
      </c>
      <c r="I2226" s="52">
        <v>12900</v>
      </c>
      <c r="J2226" s="49">
        <v>495673</v>
      </c>
      <c r="K2226" s="58">
        <v>0</v>
      </c>
      <c r="L2226" s="58">
        <v>0</v>
      </c>
      <c r="M2226" s="58">
        <v>0</v>
      </c>
      <c r="N2226" s="58">
        <v>0</v>
      </c>
      <c r="O2226" s="58">
        <v>0</v>
      </c>
      <c r="P2226" s="53">
        <v>0</v>
      </c>
      <c r="Q2226" s="65">
        <v>495673</v>
      </c>
      <c r="R2226" s="65">
        <v>0</v>
      </c>
      <c r="S2226" s="65">
        <v>0</v>
      </c>
      <c r="T2226" s="65">
        <v>0</v>
      </c>
      <c r="U2226" s="58">
        <v>0</v>
      </c>
      <c r="V2226" s="65">
        <v>0</v>
      </c>
      <c r="W2226" s="65">
        <v>0</v>
      </c>
      <c r="X2226" s="65">
        <v>0</v>
      </c>
      <c r="Y2226" s="65">
        <v>0</v>
      </c>
      <c r="Z2226" s="51">
        <v>495673</v>
      </c>
      <c r="AA2226" s="51">
        <v>0</v>
      </c>
      <c r="AB2226" s="102">
        <v>0</v>
      </c>
      <c r="AC2226" s="81">
        <f t="shared" si="105"/>
        <v>0</v>
      </c>
      <c r="AD2226" s="82">
        <f t="shared" si="106"/>
        <v>0</v>
      </c>
      <c r="AE2226" s="218">
        <v>0</v>
      </c>
      <c r="AF2226">
        <v>0</v>
      </c>
      <c r="AH2226" t="str">
        <f t="shared" si="107"/>
        <v>Halsi</v>
      </c>
      <c r="AJ2226" s="72">
        <v>0</v>
      </c>
      <c r="AK2226" s="72"/>
      <c r="AL2226" s="72"/>
      <c r="AM2226" s="72"/>
    </row>
    <row r="2227" spans="1:39" x14ac:dyDescent="0.25">
      <c r="A2227" s="37" t="s">
        <v>62</v>
      </c>
      <c r="B2227" s="66" t="s">
        <v>1629</v>
      </c>
      <c r="C2227" s="41">
        <v>1009</v>
      </c>
      <c r="D2227" s="41" t="s">
        <v>249</v>
      </c>
      <c r="E2227" s="41">
        <v>10090078</v>
      </c>
      <c r="F2227" s="85" t="s">
        <v>1365</v>
      </c>
      <c r="G2227" s="39" t="s">
        <v>93</v>
      </c>
      <c r="H2227" s="52" t="s">
        <v>94</v>
      </c>
      <c r="I2227" s="52">
        <v>277.7</v>
      </c>
      <c r="J2227" s="49">
        <v>10087.69</v>
      </c>
      <c r="K2227" s="58">
        <v>278.5</v>
      </c>
      <c r="L2227" s="58">
        <v>10575.305987796</v>
      </c>
      <c r="M2227" s="58">
        <v>0</v>
      </c>
      <c r="N2227" s="58">
        <v>0</v>
      </c>
      <c r="O2227" s="58">
        <v>278.5</v>
      </c>
      <c r="P2227" s="53">
        <v>10575.305987796</v>
      </c>
      <c r="Q2227" s="65">
        <v>10087.69</v>
      </c>
      <c r="R2227" s="65">
        <v>0</v>
      </c>
      <c r="S2227" s="65">
        <v>0</v>
      </c>
      <c r="T2227" s="65">
        <v>487.6159877959999</v>
      </c>
      <c r="U2227" s="58">
        <v>0</v>
      </c>
      <c r="V2227" s="65">
        <v>0</v>
      </c>
      <c r="W2227" s="65">
        <v>0</v>
      </c>
      <c r="X2227" s="65">
        <v>10088</v>
      </c>
      <c r="Y2227" s="65">
        <v>0</v>
      </c>
      <c r="Z2227" s="51">
        <v>0</v>
      </c>
      <c r="AA2227" s="51">
        <v>0</v>
      </c>
      <c r="AB2227" s="102">
        <v>0</v>
      </c>
      <c r="AC2227" s="81">
        <f t="shared" si="105"/>
        <v>306.80817335253874</v>
      </c>
      <c r="AD2227" s="82">
        <f t="shared" si="106"/>
        <v>39.671428571428571</v>
      </c>
      <c r="AE2227" s="218">
        <v>-4.8337725266735979E-2</v>
      </c>
      <c r="AF2227">
        <v>1</v>
      </c>
      <c r="AH2227" t="str">
        <f t="shared" si="107"/>
        <v>Halsi</v>
      </c>
      <c r="AJ2227" s="72">
        <v>0</v>
      </c>
      <c r="AK2227" s="72"/>
      <c r="AL2227" s="72"/>
      <c r="AM2227" s="72"/>
    </row>
    <row r="2228" spans="1:39" x14ac:dyDescent="0.25">
      <c r="A2228" s="37" t="s">
        <v>62</v>
      </c>
      <c r="B2228" s="66" t="s">
        <v>1629</v>
      </c>
      <c r="C2228" s="41">
        <v>1009</v>
      </c>
      <c r="D2228" s="41" t="s">
        <v>249</v>
      </c>
      <c r="E2228" s="41">
        <v>10090079</v>
      </c>
      <c r="F2228" s="85" t="s">
        <v>1493</v>
      </c>
      <c r="G2228" s="39" t="s">
        <v>93</v>
      </c>
      <c r="H2228" s="52" t="s">
        <v>94</v>
      </c>
      <c r="I2228" s="52">
        <v>240.9</v>
      </c>
      <c r="J2228" s="49">
        <v>9235.34</v>
      </c>
      <c r="K2228" s="58">
        <v>302</v>
      </c>
      <c r="L2228" s="58">
        <v>11730.410524224002</v>
      </c>
      <c r="M2228" s="58">
        <v>0</v>
      </c>
      <c r="N2228" s="58">
        <v>0</v>
      </c>
      <c r="O2228" s="58">
        <v>302</v>
      </c>
      <c r="P2228" s="53">
        <v>11730.410524224002</v>
      </c>
      <c r="Q2228" s="65">
        <v>9235.34</v>
      </c>
      <c r="R2228" s="65">
        <v>0</v>
      </c>
      <c r="S2228" s="65">
        <v>0</v>
      </c>
      <c r="T2228" s="65">
        <v>2495.0705242240019</v>
      </c>
      <c r="U2228" s="58">
        <v>0</v>
      </c>
      <c r="V2228" s="65">
        <v>0</v>
      </c>
      <c r="W2228" s="65">
        <v>0</v>
      </c>
      <c r="X2228" s="65">
        <v>9235</v>
      </c>
      <c r="Y2228" s="65">
        <v>0</v>
      </c>
      <c r="Z2228" s="51">
        <v>0</v>
      </c>
      <c r="AA2228" s="51">
        <v>0</v>
      </c>
      <c r="AB2228" s="102">
        <v>0</v>
      </c>
      <c r="AC2228" s="81">
        <f t="shared" si="105"/>
        <v>352.00868360315485</v>
      </c>
      <c r="AD2228" s="82">
        <f t="shared" si="106"/>
        <v>34.414285714285718</v>
      </c>
      <c r="AE2228" s="218">
        <v>-0.27016552982608133</v>
      </c>
      <c r="AF2228">
        <v>1</v>
      </c>
      <c r="AH2228" t="str">
        <f t="shared" si="107"/>
        <v>Halsi</v>
      </c>
      <c r="AJ2228" s="72">
        <v>0</v>
      </c>
      <c r="AK2228" s="72"/>
      <c r="AL2228" s="72"/>
      <c r="AM2228" s="72"/>
    </row>
    <row r="2229" spans="1:39" x14ac:dyDescent="0.25">
      <c r="A2229" s="37" t="s">
        <v>62</v>
      </c>
      <c r="B2229" s="66" t="s">
        <v>1629</v>
      </c>
      <c r="C2229" s="41">
        <v>1009</v>
      </c>
      <c r="D2229" s="41" t="s">
        <v>249</v>
      </c>
      <c r="E2229" s="41">
        <v>10090080</v>
      </c>
      <c r="F2229" s="85" t="s">
        <v>1580</v>
      </c>
      <c r="G2229" s="39" t="s">
        <v>93</v>
      </c>
      <c r="H2229" s="52" t="s">
        <v>94</v>
      </c>
      <c r="I2229" s="52">
        <v>405.7</v>
      </c>
      <c r="J2229" s="49">
        <v>17893.16</v>
      </c>
      <c r="K2229" s="58">
        <v>405.6</v>
      </c>
      <c r="L2229" s="58">
        <v>17976.145035708003</v>
      </c>
      <c r="M2229" s="58">
        <v>0</v>
      </c>
      <c r="N2229" s="58">
        <v>0</v>
      </c>
      <c r="O2229" s="58">
        <v>405.6</v>
      </c>
      <c r="P2229" s="53">
        <v>17976.145035708003</v>
      </c>
      <c r="Q2229" s="65">
        <v>17893.16</v>
      </c>
      <c r="R2229" s="65">
        <v>0</v>
      </c>
      <c r="S2229" s="65">
        <v>0</v>
      </c>
      <c r="T2229" s="65">
        <v>82.985035708003124</v>
      </c>
      <c r="U2229" s="58">
        <v>0</v>
      </c>
      <c r="V2229" s="65">
        <v>0</v>
      </c>
      <c r="W2229" s="65">
        <v>0</v>
      </c>
      <c r="X2229" s="65">
        <v>17893</v>
      </c>
      <c r="Y2229" s="65">
        <v>0</v>
      </c>
      <c r="Z2229" s="51">
        <v>0</v>
      </c>
      <c r="AA2229" s="51">
        <v>0</v>
      </c>
      <c r="AB2229" s="102">
        <v>0</v>
      </c>
      <c r="AC2229" s="81">
        <f t="shared" si="105"/>
        <v>259.59856978062612</v>
      </c>
      <c r="AD2229" s="82">
        <f t="shared" si="106"/>
        <v>57.957142857142856</v>
      </c>
      <c r="AE2229" s="218">
        <v>-4.6378077269751752E-3</v>
      </c>
      <c r="AF2229">
        <v>1</v>
      </c>
      <c r="AH2229" t="str">
        <f t="shared" si="107"/>
        <v>Halsi</v>
      </c>
      <c r="AJ2229" s="72">
        <v>0</v>
      </c>
      <c r="AK2229" s="72"/>
      <c r="AL2229" s="72"/>
      <c r="AM2229" s="72"/>
    </row>
    <row r="2230" spans="1:39" x14ac:dyDescent="0.25">
      <c r="A2230" s="37" t="s">
        <v>62</v>
      </c>
      <c r="B2230" s="66" t="s">
        <v>1629</v>
      </c>
      <c r="C2230" s="41">
        <v>1010</v>
      </c>
      <c r="D2230" s="41" t="s">
        <v>1359</v>
      </c>
      <c r="E2230" s="41">
        <v>10100001</v>
      </c>
      <c r="F2230" s="85" t="s">
        <v>620</v>
      </c>
      <c r="G2230" s="39" t="s">
        <v>93</v>
      </c>
      <c r="H2230" s="52" t="s">
        <v>94</v>
      </c>
      <c r="I2230" s="52">
        <v>850.49999999999989</v>
      </c>
      <c r="J2230" s="49">
        <v>31016.350000000002</v>
      </c>
      <c r="K2230" s="58">
        <v>844.29000000000008</v>
      </c>
      <c r="L2230" s="58">
        <v>33014.603264458805</v>
      </c>
      <c r="M2230" s="58">
        <v>6.7</v>
      </c>
      <c r="N2230" s="58">
        <v>256.61788574400003</v>
      </c>
      <c r="O2230" s="58">
        <v>850.99000000000012</v>
      </c>
      <c r="P2230" s="53">
        <v>33271.221150202808</v>
      </c>
      <c r="Q2230" s="65">
        <v>31016.350000000002</v>
      </c>
      <c r="R2230" s="65">
        <v>0</v>
      </c>
      <c r="S2230" s="65">
        <v>256.61788574400003</v>
      </c>
      <c r="T2230" s="65">
        <v>2254.8711502028054</v>
      </c>
      <c r="U2230" s="58">
        <v>0</v>
      </c>
      <c r="V2230" s="65">
        <v>0</v>
      </c>
      <c r="W2230" s="65">
        <v>0</v>
      </c>
      <c r="X2230" s="65">
        <v>30760</v>
      </c>
      <c r="Y2230" s="65">
        <v>0</v>
      </c>
      <c r="Z2230" s="51">
        <v>0</v>
      </c>
      <c r="AA2230" s="51">
        <v>0</v>
      </c>
      <c r="AB2230" s="102" t="s">
        <v>68</v>
      </c>
      <c r="AC2230" s="81">
        <f t="shared" si="105"/>
        <v>0</v>
      </c>
      <c r="AD2230" s="82">
        <f t="shared" si="106"/>
        <v>0</v>
      </c>
      <c r="AE2230" s="218">
        <v>-7.2699435949194702E-2</v>
      </c>
      <c r="AF2230">
        <v>9</v>
      </c>
      <c r="AH2230" t="str">
        <f t="shared" si="107"/>
        <v>Parbatta</v>
      </c>
      <c r="AJ2230" s="72">
        <v>0</v>
      </c>
      <c r="AK2230" s="72"/>
      <c r="AL2230" s="72"/>
      <c r="AM2230" s="72"/>
    </row>
    <row r="2231" spans="1:39" x14ac:dyDescent="0.25">
      <c r="A2231" s="37" t="s">
        <v>62</v>
      </c>
      <c r="B2231" s="66" t="s">
        <v>1629</v>
      </c>
      <c r="C2231" s="41">
        <v>1010</v>
      </c>
      <c r="D2231" s="41" t="s">
        <v>1359</v>
      </c>
      <c r="E2231" s="41">
        <v>10100003</v>
      </c>
      <c r="F2231" s="85" t="s">
        <v>279</v>
      </c>
      <c r="G2231" s="39" t="s">
        <v>93</v>
      </c>
      <c r="H2231" s="52" t="s">
        <v>94</v>
      </c>
      <c r="I2231" s="52">
        <v>1659.6</v>
      </c>
      <c r="J2231" s="49">
        <v>63763.489999999991</v>
      </c>
      <c r="K2231" s="58">
        <v>2130</v>
      </c>
      <c r="L2231" s="58">
        <v>90575.35771329602</v>
      </c>
      <c r="M2231" s="58">
        <v>5</v>
      </c>
      <c r="N2231" s="58">
        <v>231.005808</v>
      </c>
      <c r="O2231" s="58">
        <v>2135</v>
      </c>
      <c r="P2231" s="53">
        <v>90806.363521296022</v>
      </c>
      <c r="Q2231" s="65">
        <v>63763.489999999991</v>
      </c>
      <c r="R2231" s="65">
        <v>0</v>
      </c>
      <c r="S2231" s="65">
        <v>231.005808</v>
      </c>
      <c r="T2231" s="65">
        <v>27042.873521296031</v>
      </c>
      <c r="U2231" s="58">
        <v>13000</v>
      </c>
      <c r="V2231" s="65">
        <v>0</v>
      </c>
      <c r="W2231" s="65">
        <v>0</v>
      </c>
      <c r="X2231" s="65">
        <v>50532</v>
      </c>
      <c r="Y2231" s="65">
        <v>0</v>
      </c>
      <c r="Z2231" s="51">
        <v>0</v>
      </c>
      <c r="AA2231" s="51">
        <v>0</v>
      </c>
      <c r="AB2231" s="102" t="s">
        <v>68</v>
      </c>
      <c r="AC2231" s="81">
        <f t="shared" si="105"/>
        <v>0</v>
      </c>
      <c r="AD2231" s="82">
        <f t="shared" si="106"/>
        <v>0</v>
      </c>
      <c r="AE2231" s="218">
        <v>-0.4241121921227341</v>
      </c>
      <c r="AF2231">
        <v>5</v>
      </c>
      <c r="AH2231" t="str">
        <f t="shared" si="107"/>
        <v>Parbatta</v>
      </c>
      <c r="AJ2231" s="72">
        <v>0</v>
      </c>
      <c r="AK2231" s="72"/>
      <c r="AL2231" s="72"/>
      <c r="AM2231" s="72"/>
    </row>
    <row r="2232" spans="1:39" x14ac:dyDescent="0.25">
      <c r="A2232" s="37" t="s">
        <v>62</v>
      </c>
      <c r="B2232" s="66" t="s">
        <v>1629</v>
      </c>
      <c r="C2232" s="41">
        <v>1010</v>
      </c>
      <c r="D2232" s="41" t="s">
        <v>1359</v>
      </c>
      <c r="E2232" s="41">
        <v>10100004</v>
      </c>
      <c r="F2232" s="85" t="s">
        <v>280</v>
      </c>
      <c r="G2232" s="39" t="s">
        <v>635</v>
      </c>
      <c r="H2232" s="52" t="s">
        <v>99</v>
      </c>
      <c r="I2232" s="52">
        <v>132.30000000000001</v>
      </c>
      <c r="J2232" s="49">
        <v>4141.4600000000009</v>
      </c>
      <c r="K2232" s="58">
        <v>0</v>
      </c>
      <c r="L2232" s="58">
        <v>0</v>
      </c>
      <c r="M2232" s="58">
        <v>0</v>
      </c>
      <c r="N2232" s="58">
        <v>0</v>
      </c>
      <c r="O2232" s="58">
        <v>0</v>
      </c>
      <c r="P2232" s="53">
        <v>0</v>
      </c>
      <c r="Q2232" s="65">
        <v>4141.4600000000009</v>
      </c>
      <c r="R2232" s="65">
        <v>0</v>
      </c>
      <c r="S2232" s="65">
        <v>0</v>
      </c>
      <c r="T2232" s="65">
        <v>0</v>
      </c>
      <c r="U2232" s="58">
        <v>0</v>
      </c>
      <c r="V2232" s="65">
        <v>0</v>
      </c>
      <c r="W2232" s="65">
        <v>0</v>
      </c>
      <c r="X2232" s="65">
        <v>0</v>
      </c>
      <c r="Y2232" s="65">
        <v>0</v>
      </c>
      <c r="Z2232" s="51">
        <v>4141.4600000000009</v>
      </c>
      <c r="AA2232" s="51">
        <v>0</v>
      </c>
      <c r="AB2232" s="102">
        <v>0</v>
      </c>
      <c r="AC2232" s="81">
        <f t="shared" si="105"/>
        <v>355.4205354497355</v>
      </c>
      <c r="AD2232" s="82">
        <f t="shared" si="106"/>
        <v>18.900000000000002</v>
      </c>
      <c r="AE2232" s="218">
        <v>0</v>
      </c>
      <c r="AF2232">
        <v>0</v>
      </c>
      <c r="AH2232" t="str">
        <f t="shared" si="107"/>
        <v>Parbatta</v>
      </c>
      <c r="AJ2232" s="72">
        <v>0</v>
      </c>
      <c r="AK2232" s="72"/>
      <c r="AL2232" s="72"/>
      <c r="AM2232" s="72"/>
    </row>
    <row r="2233" spans="1:39" x14ac:dyDescent="0.25">
      <c r="A2233" s="37" t="s">
        <v>62</v>
      </c>
      <c r="B2233" s="66" t="s">
        <v>1629</v>
      </c>
      <c r="C2233" s="41">
        <v>1010</v>
      </c>
      <c r="D2233" s="41" t="s">
        <v>1359</v>
      </c>
      <c r="E2233" s="41">
        <v>10100009</v>
      </c>
      <c r="F2233" s="85" t="s">
        <v>282</v>
      </c>
      <c r="G2233" s="39" t="s">
        <v>93</v>
      </c>
      <c r="H2233" s="52" t="s">
        <v>94</v>
      </c>
      <c r="I2233" s="52">
        <v>1149.8999999999999</v>
      </c>
      <c r="J2233" s="49">
        <v>45331.95</v>
      </c>
      <c r="K2233" s="58">
        <v>1146.82</v>
      </c>
      <c r="L2233" s="58">
        <v>49555.418685612931</v>
      </c>
      <c r="M2233" s="58">
        <v>0</v>
      </c>
      <c r="N2233" s="58">
        <v>0</v>
      </c>
      <c r="O2233" s="58">
        <v>1146.82</v>
      </c>
      <c r="P2233" s="53">
        <v>49555.418685612931</v>
      </c>
      <c r="Q2233" s="65">
        <v>45331.95</v>
      </c>
      <c r="R2233" s="65">
        <v>0</v>
      </c>
      <c r="S2233" s="65">
        <v>0</v>
      </c>
      <c r="T2233" s="65">
        <v>4223.4686856129338</v>
      </c>
      <c r="U2233" s="58">
        <v>0</v>
      </c>
      <c r="V2233" s="65">
        <v>53.074238709677346</v>
      </c>
      <c r="W2233" s="65">
        <v>0</v>
      </c>
      <c r="X2233" s="65">
        <v>45279</v>
      </c>
      <c r="Y2233" s="65">
        <v>0</v>
      </c>
      <c r="Z2233" s="54">
        <v>0</v>
      </c>
      <c r="AA2233" s="51">
        <v>0</v>
      </c>
      <c r="AB2233" s="102">
        <v>0</v>
      </c>
      <c r="AC2233" s="81">
        <f t="shared" si="105"/>
        <v>0</v>
      </c>
      <c r="AD2233" s="82">
        <f t="shared" si="106"/>
        <v>0</v>
      </c>
      <c r="AE2233" s="218">
        <v>-9.3167593399642729E-2</v>
      </c>
      <c r="AF2233">
        <v>4</v>
      </c>
      <c r="AH2233" t="str">
        <f t="shared" si="107"/>
        <v>Parbatta</v>
      </c>
      <c r="AJ2233" s="72">
        <v>0</v>
      </c>
      <c r="AK2233" s="72"/>
      <c r="AL2233" s="72"/>
      <c r="AM2233" s="72"/>
    </row>
    <row r="2234" spans="1:39" x14ac:dyDescent="0.25">
      <c r="A2234" s="37" t="s">
        <v>62</v>
      </c>
      <c r="B2234" s="66" t="s">
        <v>1629</v>
      </c>
      <c r="C2234" s="41">
        <v>1010</v>
      </c>
      <c r="D2234" s="41" t="s">
        <v>1359</v>
      </c>
      <c r="E2234" s="41">
        <v>10100014</v>
      </c>
      <c r="F2234" s="85" t="s">
        <v>1237</v>
      </c>
      <c r="G2234" s="39" t="s">
        <v>93</v>
      </c>
      <c r="H2234" s="52" t="s">
        <v>94</v>
      </c>
      <c r="I2234" s="52">
        <v>272.3</v>
      </c>
      <c r="J2234" s="49">
        <v>10461.000000000002</v>
      </c>
      <c r="K2234" s="58">
        <v>273.30999999999995</v>
      </c>
      <c r="L2234" s="58">
        <v>10431.323192664</v>
      </c>
      <c r="M2234" s="58">
        <v>0</v>
      </c>
      <c r="N2234" s="58">
        <v>0</v>
      </c>
      <c r="O2234" s="58">
        <v>273.30999999999995</v>
      </c>
      <c r="P2234" s="53">
        <v>10431.323192664</v>
      </c>
      <c r="Q2234" s="65">
        <v>10431.323192664</v>
      </c>
      <c r="R2234" s="65">
        <v>0</v>
      </c>
      <c r="S2234" s="65">
        <v>0</v>
      </c>
      <c r="T2234" s="65">
        <v>0</v>
      </c>
      <c r="U2234" s="58">
        <v>0</v>
      </c>
      <c r="V2234" s="65">
        <v>0</v>
      </c>
      <c r="W2234" s="65">
        <v>0</v>
      </c>
      <c r="X2234" s="65">
        <v>10431</v>
      </c>
      <c r="Y2234" s="65">
        <v>0</v>
      </c>
      <c r="Z2234" s="55">
        <v>0</v>
      </c>
      <c r="AA2234" s="51">
        <v>30</v>
      </c>
      <c r="AB2234" s="102">
        <v>0</v>
      </c>
      <c r="AC2234" s="81">
        <f t="shared" si="105"/>
        <v>328.62061696658105</v>
      </c>
      <c r="AD2234" s="82">
        <f t="shared" si="106"/>
        <v>38.9</v>
      </c>
      <c r="AE2234" s="218">
        <v>2.8368996593061586E-3</v>
      </c>
      <c r="AF2234">
        <v>4</v>
      </c>
      <c r="AH2234" t="str">
        <f t="shared" si="107"/>
        <v>Parbatta</v>
      </c>
      <c r="AJ2234" s="72">
        <v>0</v>
      </c>
      <c r="AK2234" s="72"/>
      <c r="AL2234" s="72"/>
      <c r="AM2234" s="72"/>
    </row>
    <row r="2235" spans="1:39" x14ac:dyDescent="0.25">
      <c r="A2235" s="37" t="s">
        <v>62</v>
      </c>
      <c r="B2235" s="66" t="s">
        <v>1629</v>
      </c>
      <c r="C2235" s="41">
        <v>1010</v>
      </c>
      <c r="D2235" s="41" t="s">
        <v>1359</v>
      </c>
      <c r="E2235" s="41">
        <v>10100016</v>
      </c>
      <c r="F2235" s="85" t="s">
        <v>1285</v>
      </c>
      <c r="G2235" s="39" t="s">
        <v>93</v>
      </c>
      <c r="H2235" s="52" t="s">
        <v>94</v>
      </c>
      <c r="I2235" s="52">
        <v>135</v>
      </c>
      <c r="J2235" s="49">
        <v>5597.11</v>
      </c>
      <c r="K2235" s="58">
        <v>128.6</v>
      </c>
      <c r="L2235" s="58">
        <v>5682.752049711361</v>
      </c>
      <c r="M2235" s="58">
        <v>0</v>
      </c>
      <c r="N2235" s="58">
        <v>0</v>
      </c>
      <c r="O2235" s="58">
        <v>128.6</v>
      </c>
      <c r="P2235" s="53">
        <v>5682.752049711361</v>
      </c>
      <c r="Q2235" s="65">
        <v>5597.11</v>
      </c>
      <c r="R2235" s="65">
        <v>0</v>
      </c>
      <c r="S2235" s="65">
        <v>0</v>
      </c>
      <c r="T2235" s="65">
        <v>85.642049711361324</v>
      </c>
      <c r="U2235" s="58">
        <v>0</v>
      </c>
      <c r="V2235" s="65">
        <v>0</v>
      </c>
      <c r="W2235" s="65">
        <v>0</v>
      </c>
      <c r="X2235" s="65">
        <v>5597</v>
      </c>
      <c r="Y2235" s="65">
        <v>0</v>
      </c>
      <c r="Z2235" s="51">
        <v>0</v>
      </c>
      <c r="AA2235" s="51">
        <v>0</v>
      </c>
      <c r="AB2235" s="102" t="s">
        <v>68</v>
      </c>
      <c r="AC2235" s="81">
        <f t="shared" si="105"/>
        <v>468.49883703703699</v>
      </c>
      <c r="AD2235" s="82">
        <f t="shared" si="106"/>
        <v>19.285714285714285</v>
      </c>
      <c r="AE2235" s="218">
        <v>-1.5301119633411051E-2</v>
      </c>
      <c r="AF2235">
        <v>1</v>
      </c>
      <c r="AH2235" t="str">
        <f t="shared" si="107"/>
        <v>Parbatta</v>
      </c>
      <c r="AJ2235" s="72">
        <v>0</v>
      </c>
      <c r="AK2235" s="72"/>
      <c r="AL2235" s="72"/>
      <c r="AM2235" s="72"/>
    </row>
    <row r="2236" spans="1:39" x14ac:dyDescent="0.25">
      <c r="A2236" s="37" t="s">
        <v>62</v>
      </c>
      <c r="B2236" s="66" t="s">
        <v>1629</v>
      </c>
      <c r="C2236" s="41">
        <v>1010</v>
      </c>
      <c r="D2236" s="41" t="s">
        <v>1359</v>
      </c>
      <c r="E2236" s="41">
        <v>10100021</v>
      </c>
      <c r="F2236" s="85" t="s">
        <v>284</v>
      </c>
      <c r="G2236" s="39" t="s">
        <v>93</v>
      </c>
      <c r="H2236" s="52" t="s">
        <v>94</v>
      </c>
      <c r="I2236" s="52">
        <v>455.2</v>
      </c>
      <c r="J2236" s="49">
        <v>16530.03</v>
      </c>
      <c r="K2236" s="58">
        <v>929.6</v>
      </c>
      <c r="L2236" s="58">
        <v>36198.844458480002</v>
      </c>
      <c r="M2236" s="58">
        <v>1.2</v>
      </c>
      <c r="N2236" s="58">
        <v>44.260912080000004</v>
      </c>
      <c r="O2236" s="58">
        <v>930.80000000000007</v>
      </c>
      <c r="P2236" s="53">
        <v>36243.105370559999</v>
      </c>
      <c r="Q2236" s="65">
        <v>16530.03</v>
      </c>
      <c r="R2236" s="65">
        <v>0</v>
      </c>
      <c r="S2236" s="65">
        <v>44.260912080000004</v>
      </c>
      <c r="T2236" s="65">
        <v>19713.07537056</v>
      </c>
      <c r="U2236" s="58">
        <v>0</v>
      </c>
      <c r="V2236" s="65">
        <v>141.5</v>
      </c>
      <c r="W2236" s="65">
        <v>0</v>
      </c>
      <c r="X2236" s="65">
        <v>16344</v>
      </c>
      <c r="Y2236" s="65">
        <v>0</v>
      </c>
      <c r="Z2236" s="51">
        <v>0</v>
      </c>
      <c r="AA2236" s="51">
        <v>0</v>
      </c>
      <c r="AB2236" s="102" t="s">
        <v>68</v>
      </c>
      <c r="AC2236" s="81">
        <f t="shared" si="105"/>
        <v>177.79223831282951</v>
      </c>
      <c r="AD2236" s="82">
        <f t="shared" si="106"/>
        <v>65.028571428571425</v>
      </c>
      <c r="AE2236" s="218">
        <v>-1.1925613789303469</v>
      </c>
      <c r="AF2236">
        <v>4</v>
      </c>
      <c r="AH2236" t="str">
        <f t="shared" si="107"/>
        <v>Parbatta</v>
      </c>
      <c r="AJ2236" s="72">
        <v>0</v>
      </c>
      <c r="AK2236" s="72"/>
      <c r="AL2236" s="72"/>
      <c r="AM2236" s="72"/>
    </row>
    <row r="2237" spans="1:39" x14ac:dyDescent="0.25">
      <c r="A2237" s="37" t="s">
        <v>62</v>
      </c>
      <c r="B2237" s="66" t="s">
        <v>1629</v>
      </c>
      <c r="C2237" s="41">
        <v>1010</v>
      </c>
      <c r="D2237" s="41" t="s">
        <v>1359</v>
      </c>
      <c r="E2237" s="41">
        <v>10100026</v>
      </c>
      <c r="F2237" s="85" t="s">
        <v>1360</v>
      </c>
      <c r="G2237" s="39" t="s">
        <v>635</v>
      </c>
      <c r="H2237" s="52" t="s">
        <v>99</v>
      </c>
      <c r="I2237" s="52">
        <v>614.19999999999993</v>
      </c>
      <c r="J2237" s="49">
        <v>22696.2</v>
      </c>
      <c r="K2237" s="58">
        <v>0</v>
      </c>
      <c r="L2237" s="58">
        <v>0</v>
      </c>
      <c r="M2237" s="58">
        <v>0</v>
      </c>
      <c r="N2237" s="58">
        <v>0</v>
      </c>
      <c r="O2237" s="58">
        <v>0</v>
      </c>
      <c r="P2237" s="53">
        <v>0</v>
      </c>
      <c r="Q2237" s="65">
        <v>22696.2</v>
      </c>
      <c r="R2237" s="65">
        <v>0</v>
      </c>
      <c r="S2237" s="65">
        <v>0</v>
      </c>
      <c r="T2237" s="65">
        <v>0</v>
      </c>
      <c r="U2237" s="58">
        <v>0</v>
      </c>
      <c r="V2237" s="65">
        <v>0</v>
      </c>
      <c r="W2237" s="65">
        <v>0</v>
      </c>
      <c r="X2237" s="65">
        <v>0</v>
      </c>
      <c r="Y2237" s="65">
        <v>0</v>
      </c>
      <c r="Z2237" s="51">
        <v>22696.2</v>
      </c>
      <c r="AA2237" s="51">
        <v>0</v>
      </c>
      <c r="AB2237" s="102">
        <v>0</v>
      </c>
      <c r="AC2237" s="81">
        <f t="shared" si="105"/>
        <v>63.410418756105564</v>
      </c>
      <c r="AD2237" s="82">
        <f t="shared" si="106"/>
        <v>87.742857142857133</v>
      </c>
      <c r="AE2237" s="218">
        <v>0</v>
      </c>
      <c r="AF2237">
        <v>0</v>
      </c>
      <c r="AH2237" t="str">
        <f t="shared" si="107"/>
        <v>Parbatta</v>
      </c>
      <c r="AJ2237" s="72">
        <v>0</v>
      </c>
      <c r="AK2237" s="72"/>
      <c r="AL2237" s="72"/>
      <c r="AM2237" s="72"/>
    </row>
    <row r="2238" spans="1:39" x14ac:dyDescent="0.25">
      <c r="A2238" s="37" t="s">
        <v>62</v>
      </c>
      <c r="B2238" s="66" t="s">
        <v>1629</v>
      </c>
      <c r="C2238" s="41">
        <v>1010</v>
      </c>
      <c r="D2238" s="41" t="s">
        <v>1359</v>
      </c>
      <c r="E2238" s="41">
        <v>10100028</v>
      </c>
      <c r="F2238" s="85" t="s">
        <v>1587</v>
      </c>
      <c r="G2238" s="39" t="s">
        <v>635</v>
      </c>
      <c r="H2238" s="52" t="s">
        <v>99</v>
      </c>
      <c r="I2238" s="52">
        <v>380</v>
      </c>
      <c r="J2238" s="49">
        <v>12534.98</v>
      </c>
      <c r="K2238" s="58">
        <v>0</v>
      </c>
      <c r="L2238" s="58">
        <v>0</v>
      </c>
      <c r="M2238" s="58">
        <v>0</v>
      </c>
      <c r="N2238" s="58">
        <v>0</v>
      </c>
      <c r="O2238" s="58">
        <v>0</v>
      </c>
      <c r="P2238" s="53">
        <v>0</v>
      </c>
      <c r="Q2238" s="65">
        <v>12534.98</v>
      </c>
      <c r="R2238" s="65">
        <v>0</v>
      </c>
      <c r="S2238" s="65">
        <v>0</v>
      </c>
      <c r="T2238" s="65">
        <v>0</v>
      </c>
      <c r="U2238" s="58">
        <v>0</v>
      </c>
      <c r="V2238" s="65">
        <v>28.898999999999987</v>
      </c>
      <c r="W2238" s="65">
        <v>0</v>
      </c>
      <c r="X2238" s="65">
        <v>0</v>
      </c>
      <c r="Y2238" s="65">
        <v>0</v>
      </c>
      <c r="Z2238" s="51">
        <v>12506.081</v>
      </c>
      <c r="AA2238" s="51">
        <v>0</v>
      </c>
      <c r="AB2238" s="102">
        <v>0</v>
      </c>
      <c r="AC2238" s="81">
        <f t="shared" si="105"/>
        <v>211.11545263157896</v>
      </c>
      <c r="AD2238" s="82">
        <f t="shared" si="106"/>
        <v>54.285714285714285</v>
      </c>
      <c r="AE2238" s="218">
        <v>0</v>
      </c>
      <c r="AF2238">
        <v>0</v>
      </c>
      <c r="AH2238" t="str">
        <f t="shared" si="107"/>
        <v>Parbatta</v>
      </c>
      <c r="AJ2238" s="72">
        <v>0</v>
      </c>
      <c r="AK2238" s="72"/>
      <c r="AL2238" s="72"/>
      <c r="AM2238" s="72"/>
    </row>
    <row r="2239" spans="1:39" x14ac:dyDescent="0.25">
      <c r="A2239" s="37" t="s">
        <v>62</v>
      </c>
      <c r="B2239" s="66" t="s">
        <v>1629</v>
      </c>
      <c r="C2239" s="41">
        <v>1007</v>
      </c>
      <c r="D2239" s="41" t="s">
        <v>207</v>
      </c>
      <c r="E2239" s="41">
        <v>10100033</v>
      </c>
      <c r="F2239" s="85" t="s">
        <v>286</v>
      </c>
      <c r="G2239" s="39" t="s">
        <v>635</v>
      </c>
      <c r="H2239" s="52" t="s">
        <v>99</v>
      </c>
      <c r="I2239" s="52">
        <v>10.4</v>
      </c>
      <c r="J2239" s="49">
        <v>472.26</v>
      </c>
      <c r="K2239" s="58">
        <v>0</v>
      </c>
      <c r="L2239" s="58">
        <v>0</v>
      </c>
      <c r="M2239" s="58">
        <v>0</v>
      </c>
      <c r="N2239" s="58">
        <v>0</v>
      </c>
      <c r="O2239" s="58">
        <v>0</v>
      </c>
      <c r="P2239" s="53">
        <v>0</v>
      </c>
      <c r="Q2239" s="65">
        <v>472.26</v>
      </c>
      <c r="R2239" s="65">
        <v>0</v>
      </c>
      <c r="S2239" s="65">
        <v>0</v>
      </c>
      <c r="T2239" s="65">
        <v>0</v>
      </c>
      <c r="U2239" s="58">
        <v>0</v>
      </c>
      <c r="V2239" s="65">
        <v>0</v>
      </c>
      <c r="W2239" s="65">
        <v>0</v>
      </c>
      <c r="X2239" s="65">
        <v>0</v>
      </c>
      <c r="Y2239" s="65">
        <v>0</v>
      </c>
      <c r="Z2239" s="51">
        <v>472.26</v>
      </c>
      <c r="AA2239" s="51">
        <v>0</v>
      </c>
      <c r="AB2239" s="102">
        <v>0</v>
      </c>
      <c r="AC2239" s="81">
        <f t="shared" si="105"/>
        <v>626.28941538461538</v>
      </c>
      <c r="AD2239" s="82">
        <f t="shared" si="106"/>
        <v>1.4857142857142858</v>
      </c>
      <c r="AE2239" s="218">
        <v>0</v>
      </c>
      <c r="AF2239">
        <v>0</v>
      </c>
      <c r="AH2239" t="str">
        <f t="shared" si="107"/>
        <v>Araria</v>
      </c>
      <c r="AJ2239" s="72">
        <v>0</v>
      </c>
      <c r="AK2239" s="72"/>
      <c r="AL2239" s="72"/>
      <c r="AM2239" s="72"/>
    </row>
    <row r="2240" spans="1:39" x14ac:dyDescent="0.25">
      <c r="A2240" s="37" t="s">
        <v>62</v>
      </c>
      <c r="B2240" s="66" t="s">
        <v>1629</v>
      </c>
      <c r="C2240" s="41">
        <v>1007</v>
      </c>
      <c r="D2240" s="41" t="s">
        <v>207</v>
      </c>
      <c r="E2240" s="41">
        <v>10100035</v>
      </c>
      <c r="F2240" s="85" t="s">
        <v>287</v>
      </c>
      <c r="G2240" s="39" t="s">
        <v>93</v>
      </c>
      <c r="H2240" s="52" t="s">
        <v>94</v>
      </c>
      <c r="I2240" s="52">
        <v>72.3</v>
      </c>
      <c r="J2240" s="49">
        <v>3398.53</v>
      </c>
      <c r="K2240" s="58">
        <v>73</v>
      </c>
      <c r="L2240" s="58">
        <v>3686.9534847600003</v>
      </c>
      <c r="M2240" s="58">
        <v>0</v>
      </c>
      <c r="N2240" s="58">
        <v>0</v>
      </c>
      <c r="O2240" s="58">
        <v>73</v>
      </c>
      <c r="P2240" s="53">
        <v>3686.9534847600003</v>
      </c>
      <c r="Q2240" s="65">
        <v>3398.53</v>
      </c>
      <c r="R2240" s="65">
        <v>0</v>
      </c>
      <c r="S2240" s="65">
        <v>0</v>
      </c>
      <c r="T2240" s="65">
        <v>288.42348476000006</v>
      </c>
      <c r="U2240" s="58">
        <v>0</v>
      </c>
      <c r="V2240" s="65">
        <v>0</v>
      </c>
      <c r="W2240" s="65">
        <v>0</v>
      </c>
      <c r="X2240" s="65">
        <v>3399</v>
      </c>
      <c r="Y2240" s="65">
        <v>0</v>
      </c>
      <c r="Z2240" s="51">
        <v>0</v>
      </c>
      <c r="AA2240" s="51">
        <v>0</v>
      </c>
      <c r="AB2240" s="102">
        <v>0</v>
      </c>
      <c r="AC2240" s="81">
        <f t="shared" si="105"/>
        <v>590.11266417704019</v>
      </c>
      <c r="AD2240" s="82">
        <f t="shared" si="106"/>
        <v>10.328571428571427</v>
      </c>
      <c r="AE2240" s="218">
        <v>-8.4867129247056833E-2</v>
      </c>
      <c r="AF2240">
        <v>1</v>
      </c>
      <c r="AH2240" t="str">
        <f t="shared" si="107"/>
        <v>Araria</v>
      </c>
      <c r="AJ2240" s="72">
        <v>0</v>
      </c>
      <c r="AK2240" s="72"/>
      <c r="AL2240" s="72"/>
      <c r="AM2240" s="72"/>
    </row>
    <row r="2241" spans="1:39" x14ac:dyDescent="0.25">
      <c r="A2241" s="37" t="s">
        <v>62</v>
      </c>
      <c r="B2241" s="66" t="s">
        <v>1629</v>
      </c>
      <c r="C2241" s="41">
        <v>1007</v>
      </c>
      <c r="D2241" s="41" t="s">
        <v>207</v>
      </c>
      <c r="E2241" s="41">
        <v>10100037</v>
      </c>
      <c r="F2241" s="85" t="s">
        <v>288</v>
      </c>
      <c r="G2241" s="39" t="s">
        <v>93</v>
      </c>
      <c r="H2241" s="52" t="s">
        <v>94</v>
      </c>
      <c r="I2241" s="52">
        <v>154.20000000000002</v>
      </c>
      <c r="J2241" s="49">
        <v>7584.7899999999981</v>
      </c>
      <c r="K2241" s="58">
        <v>154.49999999999997</v>
      </c>
      <c r="L2241" s="58">
        <v>7696.8076996280006</v>
      </c>
      <c r="M2241" s="58">
        <v>0</v>
      </c>
      <c r="N2241" s="58">
        <v>0</v>
      </c>
      <c r="O2241" s="58">
        <v>154.49999999999997</v>
      </c>
      <c r="P2241" s="53">
        <v>7696.8076996280006</v>
      </c>
      <c r="Q2241" s="65">
        <v>7584.7899999999981</v>
      </c>
      <c r="R2241" s="65">
        <v>0</v>
      </c>
      <c r="S2241" s="65">
        <v>0</v>
      </c>
      <c r="T2241" s="65">
        <v>112.01769962800245</v>
      </c>
      <c r="U2241" s="58">
        <v>0</v>
      </c>
      <c r="V2241" s="65">
        <v>0</v>
      </c>
      <c r="W2241" s="65">
        <v>0</v>
      </c>
      <c r="X2241" s="65">
        <v>7585</v>
      </c>
      <c r="Y2241" s="65">
        <v>0</v>
      </c>
      <c r="Z2241" s="51">
        <v>0</v>
      </c>
      <c r="AA2241" s="51">
        <v>0</v>
      </c>
      <c r="AB2241" s="102">
        <v>0</v>
      </c>
      <c r="AC2241" s="81">
        <f t="shared" si="105"/>
        <v>536.93623631647188</v>
      </c>
      <c r="AD2241" s="82">
        <f t="shared" si="106"/>
        <v>22.028571428571432</v>
      </c>
      <c r="AE2241" s="218">
        <v>-1.4768727892005246E-2</v>
      </c>
      <c r="AF2241">
        <v>1</v>
      </c>
      <c r="AH2241" t="str">
        <f t="shared" si="107"/>
        <v>Araria</v>
      </c>
      <c r="AJ2241" s="72">
        <v>0</v>
      </c>
      <c r="AK2241" s="72"/>
      <c r="AL2241" s="72"/>
      <c r="AM2241" s="72"/>
    </row>
    <row r="2242" spans="1:39" x14ac:dyDescent="0.25">
      <c r="A2242" s="37" t="s">
        <v>62</v>
      </c>
      <c r="B2242" s="66" t="s">
        <v>1629</v>
      </c>
      <c r="C2242" s="41">
        <v>1007</v>
      </c>
      <c r="D2242" s="41" t="s">
        <v>207</v>
      </c>
      <c r="E2242" s="41">
        <v>10100044</v>
      </c>
      <c r="F2242" s="85" t="s">
        <v>1286</v>
      </c>
      <c r="G2242" s="39" t="s">
        <v>635</v>
      </c>
      <c r="H2242" s="52" t="s">
        <v>99</v>
      </c>
      <c r="I2242" s="52">
        <v>1207.4000000000001</v>
      </c>
      <c r="J2242" s="49">
        <v>42952.54</v>
      </c>
      <c r="K2242" s="58">
        <v>0</v>
      </c>
      <c r="L2242" s="58">
        <v>0</v>
      </c>
      <c r="M2242" s="58">
        <v>0</v>
      </c>
      <c r="N2242" s="58">
        <v>0</v>
      </c>
      <c r="O2242" s="58">
        <v>0</v>
      </c>
      <c r="P2242" s="53">
        <v>0</v>
      </c>
      <c r="Q2242" s="65">
        <v>42952.54</v>
      </c>
      <c r="R2242" s="65">
        <v>0</v>
      </c>
      <c r="S2242" s="65">
        <v>0</v>
      </c>
      <c r="T2242" s="65">
        <v>0</v>
      </c>
      <c r="U2242" s="58">
        <v>0</v>
      </c>
      <c r="V2242" s="65">
        <v>0</v>
      </c>
      <c r="W2242" s="65">
        <v>0</v>
      </c>
      <c r="X2242" s="65">
        <v>0</v>
      </c>
      <c r="Y2242" s="65">
        <v>0</v>
      </c>
      <c r="Z2242" s="51">
        <v>42952.54</v>
      </c>
      <c r="AA2242" s="51">
        <v>0</v>
      </c>
      <c r="AB2242" s="102">
        <v>0</v>
      </c>
      <c r="AC2242" s="81">
        <f t="shared" ref="AC2242:AC2305" si="108">((IF(AD2242=0,0,100-AD2242))*7*(J2242/I2242))*2%</f>
        <v>0</v>
      </c>
      <c r="AD2242" s="82">
        <f t="shared" ref="AD2242:AD2305" si="109">IF((I2242/7)&gt;100,0,(I2242/7))</f>
        <v>0</v>
      </c>
      <c r="AE2242" s="218">
        <v>0</v>
      </c>
      <c r="AF2242">
        <v>0</v>
      </c>
      <c r="AH2242" t="str">
        <f t="shared" si="107"/>
        <v>Araria</v>
      </c>
      <c r="AJ2242" s="72">
        <v>0</v>
      </c>
      <c r="AK2242" s="72"/>
      <c r="AL2242" s="72"/>
      <c r="AM2242" s="72"/>
    </row>
    <row r="2243" spans="1:39" x14ac:dyDescent="0.25">
      <c r="A2243" s="37" t="s">
        <v>62</v>
      </c>
      <c r="B2243" s="66" t="s">
        <v>1629</v>
      </c>
      <c r="C2243" s="41">
        <v>1010</v>
      </c>
      <c r="D2243" s="41" t="s">
        <v>1359</v>
      </c>
      <c r="E2243" s="41">
        <v>10100045</v>
      </c>
      <c r="F2243" s="85" t="s">
        <v>434</v>
      </c>
      <c r="G2243" s="39" t="s">
        <v>93</v>
      </c>
      <c r="H2243" s="52" t="s">
        <v>94</v>
      </c>
      <c r="I2243" s="52">
        <v>1470.1999999999998</v>
      </c>
      <c r="J2243" s="49">
        <v>52929.03</v>
      </c>
      <c r="K2243" s="58">
        <v>1505.75</v>
      </c>
      <c r="L2243" s="58">
        <v>58387.139239112526</v>
      </c>
      <c r="M2243" s="58">
        <v>6.6199999999999992</v>
      </c>
      <c r="N2243" s="58">
        <v>247.884808644</v>
      </c>
      <c r="O2243" s="58">
        <v>1512.37</v>
      </c>
      <c r="P2243" s="53">
        <v>58635.024047756524</v>
      </c>
      <c r="Q2243" s="65">
        <v>52929.03</v>
      </c>
      <c r="R2243" s="65">
        <v>0</v>
      </c>
      <c r="S2243" s="65">
        <v>247.884808644</v>
      </c>
      <c r="T2243" s="65">
        <v>5705.9940477565251</v>
      </c>
      <c r="U2243" s="58">
        <v>0</v>
      </c>
      <c r="V2243" s="65">
        <v>154.12008196721305</v>
      </c>
      <c r="W2243" s="65">
        <v>0</v>
      </c>
      <c r="X2243" s="65">
        <v>52526</v>
      </c>
      <c r="Y2243" s="65">
        <v>0</v>
      </c>
      <c r="Z2243" s="51">
        <v>0</v>
      </c>
      <c r="AA2243" s="51">
        <v>1</v>
      </c>
      <c r="AB2243" s="102">
        <v>0</v>
      </c>
      <c r="AC2243" s="81">
        <f t="shared" si="108"/>
        <v>0</v>
      </c>
      <c r="AD2243" s="82">
        <f t="shared" si="109"/>
        <v>0</v>
      </c>
      <c r="AE2243" s="218">
        <v>-0.10780462154240358</v>
      </c>
      <c r="AF2243">
        <v>4</v>
      </c>
      <c r="AH2243" t="str">
        <f t="shared" si="107"/>
        <v>Parbatta</v>
      </c>
      <c r="AJ2243" s="72">
        <v>0</v>
      </c>
      <c r="AK2243" s="72"/>
      <c r="AL2243" s="72"/>
      <c r="AM2243" s="72"/>
    </row>
    <row r="2244" spans="1:39" x14ac:dyDescent="0.25">
      <c r="A2244" s="37" t="s">
        <v>62</v>
      </c>
      <c r="B2244" s="66" t="s">
        <v>1629</v>
      </c>
      <c r="C2244" s="41">
        <v>1007</v>
      </c>
      <c r="D2244" s="41" t="s">
        <v>207</v>
      </c>
      <c r="E2244" s="41">
        <v>10100049</v>
      </c>
      <c r="F2244" s="85" t="s">
        <v>621</v>
      </c>
      <c r="G2244" s="39" t="s">
        <v>93</v>
      </c>
      <c r="H2244" s="52" t="s">
        <v>94</v>
      </c>
      <c r="I2244" s="52">
        <v>490.70000000000005</v>
      </c>
      <c r="J2244" s="49">
        <v>18073.89</v>
      </c>
      <c r="K2244" s="58">
        <v>490.7</v>
      </c>
      <c r="L2244" s="58">
        <v>19820.898488160004</v>
      </c>
      <c r="M2244" s="58">
        <v>0.1</v>
      </c>
      <c r="N2244" s="58">
        <v>3.6829069200000006</v>
      </c>
      <c r="O2244" s="58">
        <v>490.8</v>
      </c>
      <c r="P2244" s="53">
        <v>19824.581395080004</v>
      </c>
      <c r="Q2244" s="65">
        <v>18073.89</v>
      </c>
      <c r="R2244" s="65">
        <v>0</v>
      </c>
      <c r="S2244" s="65">
        <v>3.6829069200000006</v>
      </c>
      <c r="T2244" s="65">
        <v>1750.6913950800044</v>
      </c>
      <c r="U2244" s="58">
        <v>0</v>
      </c>
      <c r="V2244" s="65">
        <v>26.857427586206917</v>
      </c>
      <c r="W2244" s="65">
        <v>0</v>
      </c>
      <c r="X2244" s="65">
        <v>18043</v>
      </c>
      <c r="Y2244" s="65">
        <v>0</v>
      </c>
      <c r="Z2244" s="51">
        <v>0</v>
      </c>
      <c r="AA2244" s="51">
        <v>0</v>
      </c>
      <c r="AB2244" s="102">
        <v>0</v>
      </c>
      <c r="AC2244" s="81">
        <f t="shared" si="108"/>
        <v>154.18239971469325</v>
      </c>
      <c r="AD2244" s="82">
        <f t="shared" si="109"/>
        <v>70.100000000000009</v>
      </c>
      <c r="AE2244" s="218">
        <v>-9.6863010402298819E-2</v>
      </c>
      <c r="AF2244">
        <v>2</v>
      </c>
      <c r="AH2244" t="str">
        <f t="shared" si="107"/>
        <v>Araria</v>
      </c>
      <c r="AJ2244" s="72">
        <v>0</v>
      </c>
      <c r="AK2244" s="72"/>
      <c r="AL2244" s="72"/>
      <c r="AM2244" s="72"/>
    </row>
    <row r="2245" spans="1:39" x14ac:dyDescent="0.25">
      <c r="A2245" s="37" t="s">
        <v>62</v>
      </c>
      <c r="B2245" s="66" t="s">
        <v>1629</v>
      </c>
      <c r="C2245" s="41">
        <v>1007</v>
      </c>
      <c r="D2245" s="41" t="s">
        <v>207</v>
      </c>
      <c r="E2245" s="41">
        <v>10100051</v>
      </c>
      <c r="F2245" s="85" t="s">
        <v>451</v>
      </c>
      <c r="G2245" s="39" t="s">
        <v>93</v>
      </c>
      <c r="H2245" s="52" t="s">
        <v>94</v>
      </c>
      <c r="I2245" s="52">
        <v>1340.6000000000001</v>
      </c>
      <c r="J2245" s="49">
        <v>50416.740000000005</v>
      </c>
      <c r="K2245" s="58">
        <v>1483</v>
      </c>
      <c r="L2245" s="58">
        <v>56460.556342049989</v>
      </c>
      <c r="M2245" s="58">
        <v>0</v>
      </c>
      <c r="N2245" s="58">
        <v>0</v>
      </c>
      <c r="O2245" s="58">
        <v>1483</v>
      </c>
      <c r="P2245" s="53">
        <v>56460.556342049989</v>
      </c>
      <c r="Q2245" s="65">
        <v>50416.740000000005</v>
      </c>
      <c r="R2245" s="65">
        <v>0</v>
      </c>
      <c r="S2245" s="65">
        <v>0</v>
      </c>
      <c r="T2245" s="65">
        <v>6043.8163420499841</v>
      </c>
      <c r="U2245" s="58">
        <v>0</v>
      </c>
      <c r="V2245" s="65">
        <v>0</v>
      </c>
      <c r="W2245" s="65">
        <v>0</v>
      </c>
      <c r="X2245" s="65">
        <v>50417</v>
      </c>
      <c r="Y2245" s="65">
        <v>0</v>
      </c>
      <c r="Z2245" s="51">
        <v>0</v>
      </c>
      <c r="AA2245" s="51">
        <v>0</v>
      </c>
      <c r="AB2245" s="102">
        <v>0</v>
      </c>
      <c r="AC2245" s="81">
        <f t="shared" si="108"/>
        <v>0</v>
      </c>
      <c r="AD2245" s="82">
        <f t="shared" si="109"/>
        <v>0</v>
      </c>
      <c r="AE2245" s="218">
        <v>-0.11987717456642344</v>
      </c>
      <c r="AF2245">
        <v>2</v>
      </c>
      <c r="AH2245" t="str">
        <f t="shared" si="107"/>
        <v>Araria</v>
      </c>
      <c r="AJ2245" s="72">
        <v>0</v>
      </c>
      <c r="AK2245" s="72"/>
      <c r="AL2245" s="72"/>
      <c r="AM2245" s="72"/>
    </row>
    <row r="2246" spans="1:39" x14ac:dyDescent="0.25">
      <c r="A2246" s="37" t="s">
        <v>62</v>
      </c>
      <c r="B2246" s="66" t="s">
        <v>1629</v>
      </c>
      <c r="C2246" s="41">
        <v>1007</v>
      </c>
      <c r="D2246" s="41" t="s">
        <v>207</v>
      </c>
      <c r="E2246" s="41">
        <v>10100054</v>
      </c>
      <c r="F2246" s="85" t="s">
        <v>507</v>
      </c>
      <c r="G2246" s="39" t="s">
        <v>93</v>
      </c>
      <c r="H2246" s="52" t="s">
        <v>94</v>
      </c>
      <c r="I2246" s="52">
        <v>152.10000000000002</v>
      </c>
      <c r="J2246" s="49">
        <v>6648.6799999999994</v>
      </c>
      <c r="K2246" s="58">
        <v>246.29999999999998</v>
      </c>
      <c r="L2246" s="58">
        <v>10198.557396645718</v>
      </c>
      <c r="M2246" s="58">
        <v>2.4300000000000002</v>
      </c>
      <c r="N2246" s="58">
        <v>99.708977550599997</v>
      </c>
      <c r="O2246" s="58">
        <v>248.73</v>
      </c>
      <c r="P2246" s="53">
        <v>10298.266374196317</v>
      </c>
      <c r="Q2246" s="65">
        <v>6648.6799999999994</v>
      </c>
      <c r="R2246" s="65">
        <v>0</v>
      </c>
      <c r="S2246" s="65">
        <v>99.708977550599997</v>
      </c>
      <c r="T2246" s="65">
        <v>3649.5863741963176</v>
      </c>
      <c r="U2246" s="58">
        <v>0</v>
      </c>
      <c r="V2246" s="65">
        <v>28.687357377049175</v>
      </c>
      <c r="W2246" s="65">
        <v>0</v>
      </c>
      <c r="X2246" s="65">
        <v>6520</v>
      </c>
      <c r="Y2246" s="65">
        <v>0</v>
      </c>
      <c r="Z2246" s="51">
        <v>0</v>
      </c>
      <c r="AA2246" s="51">
        <v>0</v>
      </c>
      <c r="AB2246" s="102">
        <v>0</v>
      </c>
      <c r="AC2246" s="81">
        <f t="shared" si="108"/>
        <v>479.00220539118988</v>
      </c>
      <c r="AD2246" s="82">
        <f t="shared" si="109"/>
        <v>21.728571428571431</v>
      </c>
      <c r="AE2246" s="218">
        <v>-0.5489189394280245</v>
      </c>
      <c r="AF2246">
        <v>6</v>
      </c>
      <c r="AH2246" t="str">
        <f t="shared" si="107"/>
        <v>Araria</v>
      </c>
      <c r="AJ2246" s="72">
        <v>0</v>
      </c>
      <c r="AK2246" s="72"/>
      <c r="AL2246" s="72"/>
      <c r="AM2246" s="72"/>
    </row>
    <row r="2247" spans="1:39" x14ac:dyDescent="0.25">
      <c r="A2247" s="37" t="s">
        <v>62</v>
      </c>
      <c r="B2247" s="66" t="s">
        <v>1629</v>
      </c>
      <c r="C2247" s="41">
        <v>1007</v>
      </c>
      <c r="D2247" s="41" t="s">
        <v>207</v>
      </c>
      <c r="E2247" s="41">
        <v>10100060</v>
      </c>
      <c r="F2247" s="85" t="s">
        <v>508</v>
      </c>
      <c r="G2247" s="39" t="s">
        <v>93</v>
      </c>
      <c r="H2247" s="52" t="s">
        <v>94</v>
      </c>
      <c r="I2247" s="52">
        <v>255.40000000000003</v>
      </c>
      <c r="J2247" s="49">
        <v>8847.83</v>
      </c>
      <c r="K2247" s="58">
        <v>255.4</v>
      </c>
      <c r="L2247" s="58">
        <v>12899.286575448001</v>
      </c>
      <c r="M2247" s="58">
        <v>0</v>
      </c>
      <c r="N2247" s="58">
        <v>0</v>
      </c>
      <c r="O2247" s="58">
        <v>255.4</v>
      </c>
      <c r="P2247" s="53">
        <v>12899.286575448001</v>
      </c>
      <c r="Q2247" s="65">
        <v>8847.83</v>
      </c>
      <c r="R2247" s="65">
        <v>0</v>
      </c>
      <c r="S2247" s="65">
        <v>0</v>
      </c>
      <c r="T2247" s="65">
        <v>4051.4565754480009</v>
      </c>
      <c r="U2247" s="58">
        <v>0</v>
      </c>
      <c r="V2247" s="65">
        <v>0</v>
      </c>
      <c r="W2247" s="65">
        <v>0</v>
      </c>
      <c r="X2247" s="65">
        <v>8848</v>
      </c>
      <c r="Y2247" s="65">
        <v>0</v>
      </c>
      <c r="Z2247" s="51">
        <v>0</v>
      </c>
      <c r="AA2247" s="51">
        <v>0</v>
      </c>
      <c r="AB2247" s="102">
        <v>0</v>
      </c>
      <c r="AC2247" s="81">
        <f t="shared" si="108"/>
        <v>308.04582756460451</v>
      </c>
      <c r="AD2247" s="82">
        <f t="shared" si="109"/>
        <v>36.485714285714288</v>
      </c>
      <c r="AE2247" s="218">
        <v>-0.45790398046165004</v>
      </c>
      <c r="AF2247">
        <v>1</v>
      </c>
      <c r="AH2247" t="str">
        <f t="shared" si="107"/>
        <v>Araria</v>
      </c>
      <c r="AJ2247" s="72">
        <v>0</v>
      </c>
      <c r="AK2247" s="72"/>
      <c r="AL2247" s="72"/>
      <c r="AM2247" s="72"/>
    </row>
    <row r="2248" spans="1:39" x14ac:dyDescent="0.25">
      <c r="A2248" s="37" t="s">
        <v>62</v>
      </c>
      <c r="B2248" s="66" t="s">
        <v>1629</v>
      </c>
      <c r="C2248" s="41">
        <v>1010</v>
      </c>
      <c r="D2248" s="41" t="s">
        <v>1359</v>
      </c>
      <c r="E2248" s="41">
        <v>10100061</v>
      </c>
      <c r="F2248" s="85" t="s">
        <v>1451</v>
      </c>
      <c r="G2248" s="39" t="s">
        <v>93</v>
      </c>
      <c r="H2248" s="52" t="s">
        <v>94</v>
      </c>
      <c r="I2248" s="52">
        <v>109</v>
      </c>
      <c r="J2248" s="49">
        <v>3417.34</v>
      </c>
      <c r="K2248" s="58">
        <v>109</v>
      </c>
      <c r="L2248" s="58">
        <v>4431.6262980000001</v>
      </c>
      <c r="M2248" s="58">
        <v>0</v>
      </c>
      <c r="N2248" s="58">
        <v>0</v>
      </c>
      <c r="O2248" s="58">
        <v>109</v>
      </c>
      <c r="P2248" s="53">
        <v>4431.6262980000001</v>
      </c>
      <c r="Q2248" s="65">
        <v>3417.34</v>
      </c>
      <c r="R2248" s="65">
        <v>0</v>
      </c>
      <c r="S2248" s="65">
        <v>0</v>
      </c>
      <c r="T2248" s="65">
        <v>1014.286298</v>
      </c>
      <c r="U2248" s="58">
        <v>0</v>
      </c>
      <c r="V2248" s="65">
        <v>0</v>
      </c>
      <c r="W2248" s="65">
        <v>0</v>
      </c>
      <c r="X2248" s="65">
        <v>3417</v>
      </c>
      <c r="Y2248" s="65">
        <v>0</v>
      </c>
      <c r="Z2248" s="51">
        <v>0</v>
      </c>
      <c r="AA2248" s="51">
        <v>0</v>
      </c>
      <c r="AB2248" s="102">
        <v>0</v>
      </c>
      <c r="AC2248" s="81">
        <f t="shared" si="108"/>
        <v>370.57760366972479</v>
      </c>
      <c r="AD2248" s="82">
        <f t="shared" si="109"/>
        <v>15.571428571428571</v>
      </c>
      <c r="AE2248" s="218">
        <v>-0.29680578988335954</v>
      </c>
      <c r="AF2248">
        <v>1</v>
      </c>
      <c r="AH2248" t="str">
        <f t="shared" si="107"/>
        <v>Parbatta</v>
      </c>
      <c r="AJ2248" s="72">
        <v>0</v>
      </c>
      <c r="AK2248" s="72"/>
      <c r="AL2248" s="72"/>
      <c r="AM2248" s="72"/>
    </row>
    <row r="2249" spans="1:39" x14ac:dyDescent="0.25">
      <c r="A2249" s="37" t="s">
        <v>62</v>
      </c>
      <c r="B2249" s="66" t="s">
        <v>1629</v>
      </c>
      <c r="C2249" s="41">
        <v>1010</v>
      </c>
      <c r="D2249" s="41" t="s">
        <v>1359</v>
      </c>
      <c r="E2249" s="41">
        <v>10100062</v>
      </c>
      <c r="F2249" s="85" t="s">
        <v>1361</v>
      </c>
      <c r="G2249" s="39" t="s">
        <v>635</v>
      </c>
      <c r="H2249" s="52" t="s">
        <v>99</v>
      </c>
      <c r="I2249" s="52">
        <v>8354.3999999999978</v>
      </c>
      <c r="J2249" s="49">
        <v>334077.41000000003</v>
      </c>
      <c r="K2249" s="58">
        <v>0</v>
      </c>
      <c r="L2249" s="58">
        <v>0</v>
      </c>
      <c r="M2249" s="58">
        <v>0</v>
      </c>
      <c r="N2249" s="58">
        <v>0</v>
      </c>
      <c r="O2249" s="58">
        <v>0</v>
      </c>
      <c r="P2249" s="53">
        <v>0</v>
      </c>
      <c r="Q2249" s="65">
        <v>334077.41000000003</v>
      </c>
      <c r="R2249" s="65">
        <v>0</v>
      </c>
      <c r="S2249" s="65">
        <v>0</v>
      </c>
      <c r="T2249" s="65">
        <v>0</v>
      </c>
      <c r="U2249" s="58">
        <v>0</v>
      </c>
      <c r="V2249" s="65">
        <v>0</v>
      </c>
      <c r="W2249" s="65">
        <v>0</v>
      </c>
      <c r="X2249" s="65">
        <v>0</v>
      </c>
      <c r="Y2249" s="65">
        <v>0</v>
      </c>
      <c r="Z2249" s="51">
        <v>334077.41000000003</v>
      </c>
      <c r="AA2249" s="51">
        <v>0</v>
      </c>
      <c r="AB2249" s="102">
        <v>0</v>
      </c>
      <c r="AC2249" s="81">
        <f t="shared" si="108"/>
        <v>0</v>
      </c>
      <c r="AD2249" s="82">
        <f t="shared" si="109"/>
        <v>0</v>
      </c>
      <c r="AE2249" s="218">
        <v>0</v>
      </c>
      <c r="AF2249">
        <v>0</v>
      </c>
      <c r="AH2249" t="str">
        <f t="shared" si="107"/>
        <v>Parbatta</v>
      </c>
      <c r="AJ2249" s="72">
        <v>0</v>
      </c>
      <c r="AK2249" s="72"/>
      <c r="AL2249" s="72"/>
      <c r="AM2249" s="72"/>
    </row>
    <row r="2250" spans="1:39" x14ac:dyDescent="0.25">
      <c r="A2250" s="37" t="s">
        <v>62</v>
      </c>
      <c r="B2250" s="66" t="s">
        <v>1629</v>
      </c>
      <c r="C2250" s="41">
        <v>1010</v>
      </c>
      <c r="D2250" s="41" t="s">
        <v>1359</v>
      </c>
      <c r="E2250" s="41">
        <v>10100063</v>
      </c>
      <c r="F2250" s="85" t="s">
        <v>1620</v>
      </c>
      <c r="G2250" s="39" t="s">
        <v>635</v>
      </c>
      <c r="H2250" s="52" t="s">
        <v>99</v>
      </c>
      <c r="I2250" s="52">
        <v>584.5</v>
      </c>
      <c r="J2250" s="49">
        <v>25928.91</v>
      </c>
      <c r="K2250" s="58">
        <v>0</v>
      </c>
      <c r="L2250" s="58">
        <v>0</v>
      </c>
      <c r="M2250" s="58">
        <v>0</v>
      </c>
      <c r="N2250" s="58">
        <v>0</v>
      </c>
      <c r="O2250" s="58">
        <v>0</v>
      </c>
      <c r="P2250" s="53">
        <v>0</v>
      </c>
      <c r="Q2250" s="65">
        <v>25928.91</v>
      </c>
      <c r="R2250" s="65">
        <v>0</v>
      </c>
      <c r="S2250" s="65">
        <v>0</v>
      </c>
      <c r="T2250" s="65">
        <v>0</v>
      </c>
      <c r="U2250" s="58">
        <v>0</v>
      </c>
      <c r="V2250" s="65">
        <v>0</v>
      </c>
      <c r="W2250" s="65">
        <v>0</v>
      </c>
      <c r="X2250" s="65">
        <v>0</v>
      </c>
      <c r="Y2250" s="65">
        <v>0</v>
      </c>
      <c r="Z2250" s="51">
        <v>25928.91</v>
      </c>
      <c r="AA2250" s="51">
        <v>0</v>
      </c>
      <c r="AB2250" s="102">
        <v>0</v>
      </c>
      <c r="AC2250" s="81">
        <f t="shared" si="108"/>
        <v>102.47353652694611</v>
      </c>
      <c r="AD2250" s="82">
        <f t="shared" si="109"/>
        <v>83.5</v>
      </c>
      <c r="AE2250" s="218">
        <v>0</v>
      </c>
      <c r="AF2250">
        <v>0</v>
      </c>
      <c r="AH2250" t="str">
        <f t="shared" si="107"/>
        <v>Parbatta</v>
      </c>
      <c r="AJ2250" s="72">
        <v>0</v>
      </c>
      <c r="AK2250" s="72"/>
      <c r="AL2250" s="72"/>
      <c r="AM2250" s="72"/>
    </row>
    <row r="2251" spans="1:39" x14ac:dyDescent="0.25">
      <c r="A2251" s="37" t="s">
        <v>62</v>
      </c>
      <c r="B2251" s="66" t="s">
        <v>1629</v>
      </c>
      <c r="C2251" s="41">
        <v>1010</v>
      </c>
      <c r="D2251" s="41" t="s">
        <v>1359</v>
      </c>
      <c r="E2251" s="41">
        <v>10100065</v>
      </c>
      <c r="F2251" s="85" t="s">
        <v>1384</v>
      </c>
      <c r="G2251" s="39" t="s">
        <v>635</v>
      </c>
      <c r="H2251" s="52" t="s">
        <v>99</v>
      </c>
      <c r="I2251" s="52">
        <v>967.1</v>
      </c>
      <c r="J2251" s="49">
        <v>31900.109999999997</v>
      </c>
      <c r="K2251" s="58">
        <v>0</v>
      </c>
      <c r="L2251" s="58">
        <v>0</v>
      </c>
      <c r="M2251" s="58">
        <v>0</v>
      </c>
      <c r="N2251" s="58">
        <v>0</v>
      </c>
      <c r="O2251" s="58">
        <v>0</v>
      </c>
      <c r="P2251" s="53">
        <v>0</v>
      </c>
      <c r="Q2251" s="65">
        <v>31900.109999999997</v>
      </c>
      <c r="R2251" s="65">
        <v>0</v>
      </c>
      <c r="S2251" s="65">
        <v>0</v>
      </c>
      <c r="T2251" s="65">
        <v>0</v>
      </c>
      <c r="U2251" s="58">
        <v>0</v>
      </c>
      <c r="V2251" s="65">
        <v>0</v>
      </c>
      <c r="W2251" s="65">
        <v>0</v>
      </c>
      <c r="X2251" s="65">
        <v>0</v>
      </c>
      <c r="Y2251" s="65">
        <v>0</v>
      </c>
      <c r="Z2251" s="51">
        <v>31900.109999999997</v>
      </c>
      <c r="AA2251" s="51">
        <v>0</v>
      </c>
      <c r="AB2251" s="102">
        <v>0</v>
      </c>
      <c r="AC2251" s="81">
        <f t="shared" si="108"/>
        <v>0</v>
      </c>
      <c r="AD2251" s="82">
        <f t="shared" si="109"/>
        <v>0</v>
      </c>
      <c r="AE2251" s="218">
        <v>0</v>
      </c>
      <c r="AF2251">
        <v>0</v>
      </c>
      <c r="AH2251" t="str">
        <f t="shared" si="107"/>
        <v>Parbatta</v>
      </c>
      <c r="AJ2251" s="72">
        <v>0</v>
      </c>
      <c r="AK2251" s="72"/>
      <c r="AL2251" s="72"/>
      <c r="AM2251" s="72"/>
    </row>
    <row r="2252" spans="1:39" x14ac:dyDescent="0.25">
      <c r="A2252" s="37" t="s">
        <v>62</v>
      </c>
      <c r="B2252" s="66" t="s">
        <v>1629</v>
      </c>
      <c r="C2252" s="41">
        <v>1010</v>
      </c>
      <c r="D2252" s="41" t="s">
        <v>1359</v>
      </c>
      <c r="E2252" s="41">
        <v>10100067</v>
      </c>
      <c r="F2252" s="85" t="s">
        <v>1556</v>
      </c>
      <c r="G2252" s="39" t="s">
        <v>635</v>
      </c>
      <c r="H2252" s="52" t="s">
        <v>99</v>
      </c>
      <c r="I2252" s="52">
        <v>36.5</v>
      </c>
      <c r="J2252" s="49">
        <v>1120.8599999999999</v>
      </c>
      <c r="K2252" s="58">
        <v>0</v>
      </c>
      <c r="L2252" s="58">
        <v>0</v>
      </c>
      <c r="M2252" s="58">
        <v>0</v>
      </c>
      <c r="N2252" s="58">
        <v>0</v>
      </c>
      <c r="O2252" s="58">
        <v>0</v>
      </c>
      <c r="P2252" s="53">
        <v>0</v>
      </c>
      <c r="Q2252" s="65">
        <v>1120.8599999999999</v>
      </c>
      <c r="R2252" s="65">
        <v>0</v>
      </c>
      <c r="S2252" s="65">
        <v>0</v>
      </c>
      <c r="T2252" s="65">
        <v>0</v>
      </c>
      <c r="U2252" s="58">
        <v>0</v>
      </c>
      <c r="V2252" s="65">
        <v>0</v>
      </c>
      <c r="W2252" s="65">
        <v>0</v>
      </c>
      <c r="X2252" s="65">
        <v>0</v>
      </c>
      <c r="Y2252" s="65">
        <v>0</v>
      </c>
      <c r="Z2252" s="51">
        <v>1120.8599999999999</v>
      </c>
      <c r="AA2252" s="51">
        <v>0</v>
      </c>
      <c r="AB2252" s="102">
        <v>0</v>
      </c>
      <c r="AC2252" s="81">
        <f t="shared" si="108"/>
        <v>407.50170410958907</v>
      </c>
      <c r="AD2252" s="82">
        <f t="shared" si="109"/>
        <v>5.2142857142857144</v>
      </c>
      <c r="AE2252" s="218">
        <v>0</v>
      </c>
      <c r="AF2252">
        <v>0</v>
      </c>
      <c r="AH2252" t="str">
        <f t="shared" si="107"/>
        <v>Parbatta</v>
      </c>
      <c r="AJ2252" s="72">
        <v>0</v>
      </c>
      <c r="AK2252" s="72"/>
      <c r="AL2252" s="72"/>
      <c r="AM2252" s="72"/>
    </row>
    <row r="2253" spans="1:39" x14ac:dyDescent="0.25">
      <c r="A2253" s="37" t="s">
        <v>62</v>
      </c>
      <c r="B2253" s="66" t="s">
        <v>1629</v>
      </c>
      <c r="C2253" s="41">
        <v>1010</v>
      </c>
      <c r="D2253" s="41" t="s">
        <v>1359</v>
      </c>
      <c r="E2253" s="41">
        <v>10100069</v>
      </c>
      <c r="F2253" s="85" t="s">
        <v>1494</v>
      </c>
      <c r="G2253" s="39" t="s">
        <v>635</v>
      </c>
      <c r="H2253" s="52" t="s">
        <v>99</v>
      </c>
      <c r="I2253" s="52">
        <v>650.20000000000005</v>
      </c>
      <c r="J2253" s="49">
        <v>28062.35</v>
      </c>
      <c r="K2253" s="58">
        <v>0</v>
      </c>
      <c r="L2253" s="58">
        <v>0</v>
      </c>
      <c r="M2253" s="58">
        <v>0</v>
      </c>
      <c r="N2253" s="58">
        <v>0</v>
      </c>
      <c r="O2253" s="58">
        <v>0</v>
      </c>
      <c r="P2253" s="53">
        <v>0</v>
      </c>
      <c r="Q2253" s="65">
        <v>28062.35</v>
      </c>
      <c r="R2253" s="65">
        <v>0</v>
      </c>
      <c r="S2253" s="65">
        <v>0</v>
      </c>
      <c r="T2253" s="65">
        <v>0</v>
      </c>
      <c r="U2253" s="58">
        <v>0</v>
      </c>
      <c r="V2253" s="65">
        <v>0</v>
      </c>
      <c r="W2253" s="65">
        <v>0</v>
      </c>
      <c r="X2253" s="65">
        <v>0</v>
      </c>
      <c r="Y2253" s="65">
        <v>0</v>
      </c>
      <c r="Z2253" s="51">
        <v>28062.35</v>
      </c>
      <c r="AA2253" s="51">
        <v>0</v>
      </c>
      <c r="AB2253" s="102">
        <v>0</v>
      </c>
      <c r="AC2253" s="81">
        <f t="shared" si="108"/>
        <v>42.986928022147019</v>
      </c>
      <c r="AD2253" s="82">
        <f t="shared" si="109"/>
        <v>92.885714285714286</v>
      </c>
      <c r="AE2253" s="218">
        <v>0</v>
      </c>
      <c r="AF2253">
        <v>0</v>
      </c>
      <c r="AH2253" t="str">
        <f t="shared" si="107"/>
        <v>Parbatta</v>
      </c>
      <c r="AJ2253" s="72">
        <v>0</v>
      </c>
      <c r="AK2253" s="72"/>
      <c r="AL2253" s="72"/>
      <c r="AM2253" s="72"/>
    </row>
    <row r="2254" spans="1:39" x14ac:dyDescent="0.25">
      <c r="A2254" s="37" t="s">
        <v>62</v>
      </c>
      <c r="B2254" s="66" t="s">
        <v>1629</v>
      </c>
      <c r="C2254" s="41">
        <v>1010</v>
      </c>
      <c r="D2254" s="41" t="s">
        <v>1359</v>
      </c>
      <c r="E2254" s="41">
        <v>10100070</v>
      </c>
      <c r="F2254" s="85" t="s">
        <v>1495</v>
      </c>
      <c r="G2254" s="39" t="s">
        <v>635</v>
      </c>
      <c r="H2254" s="52" t="s">
        <v>99</v>
      </c>
      <c r="I2254" s="52">
        <v>2422.4</v>
      </c>
      <c r="J2254" s="49">
        <v>118067.63999999998</v>
      </c>
      <c r="K2254" s="58">
        <v>0</v>
      </c>
      <c r="L2254" s="58">
        <v>0</v>
      </c>
      <c r="M2254" s="58">
        <v>0</v>
      </c>
      <c r="N2254" s="58">
        <v>0</v>
      </c>
      <c r="O2254" s="58">
        <v>0</v>
      </c>
      <c r="P2254" s="53">
        <v>0</v>
      </c>
      <c r="Q2254" s="65">
        <v>118067.63999999998</v>
      </c>
      <c r="R2254" s="65">
        <v>0</v>
      </c>
      <c r="S2254" s="65">
        <v>0</v>
      </c>
      <c r="T2254" s="65">
        <v>0</v>
      </c>
      <c r="U2254" s="58">
        <v>0</v>
      </c>
      <c r="V2254" s="65">
        <v>0</v>
      </c>
      <c r="W2254" s="65">
        <v>0</v>
      </c>
      <c r="X2254" s="65">
        <v>0</v>
      </c>
      <c r="Y2254" s="65">
        <v>0</v>
      </c>
      <c r="Z2254" s="51">
        <v>118067.63999999998</v>
      </c>
      <c r="AA2254" s="51">
        <v>0</v>
      </c>
      <c r="AB2254" s="102">
        <v>0</v>
      </c>
      <c r="AC2254" s="81">
        <f t="shared" si="108"/>
        <v>0</v>
      </c>
      <c r="AD2254" s="82">
        <f t="shared" si="109"/>
        <v>0</v>
      </c>
      <c r="AE2254" s="218">
        <v>0</v>
      </c>
      <c r="AF2254">
        <v>0</v>
      </c>
      <c r="AH2254" t="str">
        <f t="shared" ref="AH2254:AH2317" si="110">TEXT(D2254,"0000")</f>
        <v>Parbatta</v>
      </c>
      <c r="AJ2254" s="72">
        <v>0</v>
      </c>
      <c r="AK2254" s="72"/>
      <c r="AL2254" s="72"/>
      <c r="AM2254" s="72"/>
    </row>
    <row r="2255" spans="1:39" x14ac:dyDescent="0.25">
      <c r="A2255" s="37" t="s">
        <v>62</v>
      </c>
      <c r="B2255" s="66" t="s">
        <v>1629</v>
      </c>
      <c r="C2255" s="41">
        <v>1010</v>
      </c>
      <c r="D2255" s="41" t="s">
        <v>1359</v>
      </c>
      <c r="E2255" s="41">
        <v>10100071</v>
      </c>
      <c r="F2255" s="85" t="s">
        <v>1621</v>
      </c>
      <c r="G2255" s="39" t="s">
        <v>635</v>
      </c>
      <c r="H2255" s="52" t="s">
        <v>99</v>
      </c>
      <c r="I2255" s="52">
        <v>2475.2999999999997</v>
      </c>
      <c r="J2255" s="49">
        <v>112211.38</v>
      </c>
      <c r="K2255" s="58">
        <v>0</v>
      </c>
      <c r="L2255" s="58">
        <v>0</v>
      </c>
      <c r="M2255" s="58">
        <v>0</v>
      </c>
      <c r="N2255" s="58">
        <v>0</v>
      </c>
      <c r="O2255" s="58">
        <v>0</v>
      </c>
      <c r="P2255" s="53">
        <v>0</v>
      </c>
      <c r="Q2255" s="65">
        <v>112211.38</v>
      </c>
      <c r="R2255" s="65">
        <v>0</v>
      </c>
      <c r="S2255" s="65">
        <v>0</v>
      </c>
      <c r="T2255" s="65">
        <v>0</v>
      </c>
      <c r="U2255" s="58">
        <v>0</v>
      </c>
      <c r="V2255" s="65">
        <v>0</v>
      </c>
      <c r="W2255" s="65">
        <v>0</v>
      </c>
      <c r="X2255" s="65">
        <v>0</v>
      </c>
      <c r="Y2255" s="65">
        <v>0</v>
      </c>
      <c r="Z2255" s="51">
        <v>112211.38</v>
      </c>
      <c r="AA2255" s="51">
        <v>0</v>
      </c>
      <c r="AB2255" s="102">
        <v>0</v>
      </c>
      <c r="AC2255" s="81">
        <f t="shared" si="108"/>
        <v>0</v>
      </c>
      <c r="AD2255" s="82">
        <f t="shared" si="109"/>
        <v>0</v>
      </c>
      <c r="AE2255" s="218">
        <v>0</v>
      </c>
      <c r="AF2255">
        <v>0</v>
      </c>
      <c r="AH2255" t="str">
        <f t="shared" si="110"/>
        <v>Parbatta</v>
      </c>
      <c r="AJ2255" s="72">
        <v>0</v>
      </c>
      <c r="AK2255" s="72"/>
      <c r="AL2255" s="72"/>
      <c r="AM2255" s="72"/>
    </row>
    <row r="2256" spans="1:39" x14ac:dyDescent="0.25">
      <c r="A2256" s="37" t="s">
        <v>62</v>
      </c>
      <c r="B2256" s="66" t="s">
        <v>1629</v>
      </c>
      <c r="C2256" s="41">
        <v>1055</v>
      </c>
      <c r="D2256" s="41" t="s">
        <v>1148</v>
      </c>
      <c r="E2256" s="41">
        <v>10110001</v>
      </c>
      <c r="F2256" s="85" t="s">
        <v>290</v>
      </c>
      <c r="G2256" s="39" t="s">
        <v>93</v>
      </c>
      <c r="H2256" s="52" t="s">
        <v>94</v>
      </c>
      <c r="I2256" s="52">
        <v>1668.7</v>
      </c>
      <c r="J2256" s="49">
        <v>66253.16</v>
      </c>
      <c r="K2256" s="58">
        <v>1639.6000000000001</v>
      </c>
      <c r="L2256" s="58">
        <v>67068.495166132794</v>
      </c>
      <c r="M2256" s="58">
        <v>42.6</v>
      </c>
      <c r="N2256" s="58">
        <v>1790.6242500000003</v>
      </c>
      <c r="O2256" s="58">
        <v>1682.2</v>
      </c>
      <c r="P2256" s="53">
        <v>68859.119416132788</v>
      </c>
      <c r="Q2256" s="65">
        <v>66253.16</v>
      </c>
      <c r="R2256" s="65">
        <v>0</v>
      </c>
      <c r="S2256" s="65">
        <v>1790.6242500000003</v>
      </c>
      <c r="T2256" s="65">
        <v>2605.9594161327841</v>
      </c>
      <c r="U2256" s="58">
        <v>2600</v>
      </c>
      <c r="V2256" s="65">
        <v>0</v>
      </c>
      <c r="W2256" s="65">
        <v>0</v>
      </c>
      <c r="X2256" s="65">
        <v>61863</v>
      </c>
      <c r="Y2256" s="65">
        <v>0</v>
      </c>
      <c r="Z2256" s="51">
        <v>0</v>
      </c>
      <c r="AA2256" s="51">
        <v>0</v>
      </c>
      <c r="AB2256" s="102">
        <v>0</v>
      </c>
      <c r="AC2256" s="81">
        <f t="shared" si="108"/>
        <v>0</v>
      </c>
      <c r="AD2256" s="82">
        <f t="shared" si="109"/>
        <v>0</v>
      </c>
      <c r="AE2256" s="218">
        <v>-3.9333360342854347E-2</v>
      </c>
      <c r="AF2256">
        <v>13</v>
      </c>
      <c r="AH2256" t="str">
        <f t="shared" si="110"/>
        <v>Matihani</v>
      </c>
      <c r="AJ2256" s="72">
        <v>0</v>
      </c>
      <c r="AK2256" s="72"/>
      <c r="AL2256" s="72"/>
      <c r="AM2256" s="72"/>
    </row>
    <row r="2257" spans="1:39" x14ac:dyDescent="0.25">
      <c r="A2257" s="37" t="s">
        <v>62</v>
      </c>
      <c r="B2257" s="66" t="s">
        <v>1629</v>
      </c>
      <c r="C2257" s="41">
        <v>1055</v>
      </c>
      <c r="D2257" s="41" t="s">
        <v>1148</v>
      </c>
      <c r="E2257" s="41">
        <v>10110002</v>
      </c>
      <c r="F2257" s="85" t="s">
        <v>291</v>
      </c>
      <c r="G2257" s="39" t="s">
        <v>93</v>
      </c>
      <c r="H2257" s="52" t="s">
        <v>94</v>
      </c>
      <c r="I2257" s="52">
        <v>400.6</v>
      </c>
      <c r="J2257" s="49">
        <v>14329.660000000002</v>
      </c>
      <c r="K2257" s="58">
        <v>404.5</v>
      </c>
      <c r="L2257" s="58">
        <v>14840.648246160001</v>
      </c>
      <c r="M2257" s="58">
        <v>0</v>
      </c>
      <c r="N2257" s="58">
        <v>0</v>
      </c>
      <c r="O2257" s="58">
        <v>404.5</v>
      </c>
      <c r="P2257" s="53">
        <v>14840.648246160001</v>
      </c>
      <c r="Q2257" s="65">
        <v>14329.660000000002</v>
      </c>
      <c r="R2257" s="65">
        <v>0</v>
      </c>
      <c r="S2257" s="65">
        <v>0</v>
      </c>
      <c r="T2257" s="65">
        <v>510.98824615999911</v>
      </c>
      <c r="U2257" s="58">
        <v>0</v>
      </c>
      <c r="V2257" s="65">
        <v>0</v>
      </c>
      <c r="W2257" s="65">
        <v>0</v>
      </c>
      <c r="X2257" s="65">
        <v>14330</v>
      </c>
      <c r="Y2257" s="65">
        <v>0</v>
      </c>
      <c r="Z2257" s="51">
        <v>0</v>
      </c>
      <c r="AA2257" s="51">
        <v>0</v>
      </c>
      <c r="AB2257" s="102">
        <v>0</v>
      </c>
      <c r="AC2257" s="81">
        <f t="shared" si="108"/>
        <v>214.19371962056914</v>
      </c>
      <c r="AD2257" s="82">
        <f t="shared" si="109"/>
        <v>57.228571428571435</v>
      </c>
      <c r="AE2257" s="218">
        <v>-3.5659481534104719E-2</v>
      </c>
      <c r="AF2257">
        <v>2</v>
      </c>
      <c r="AH2257" t="str">
        <f t="shared" si="110"/>
        <v>Matihani</v>
      </c>
      <c r="AJ2257" s="72">
        <v>0</v>
      </c>
      <c r="AK2257" s="72"/>
      <c r="AL2257" s="72"/>
      <c r="AM2257" s="72"/>
    </row>
    <row r="2258" spans="1:39" x14ac:dyDescent="0.25">
      <c r="A2258" s="37" t="s">
        <v>62</v>
      </c>
      <c r="B2258" s="66" t="s">
        <v>1629</v>
      </c>
      <c r="C2258" s="41">
        <v>1011</v>
      </c>
      <c r="D2258" s="41" t="s">
        <v>289</v>
      </c>
      <c r="E2258" s="41">
        <v>10110004</v>
      </c>
      <c r="F2258" s="85" t="s">
        <v>292</v>
      </c>
      <c r="G2258" s="39" t="s">
        <v>93</v>
      </c>
      <c r="H2258" s="52" t="s">
        <v>94</v>
      </c>
      <c r="I2258" s="52">
        <v>478.4</v>
      </c>
      <c r="J2258" s="49">
        <v>18021.829999999998</v>
      </c>
      <c r="K2258" s="58">
        <v>478.2</v>
      </c>
      <c r="L2258" s="58">
        <v>18048.05959176</v>
      </c>
      <c r="M2258" s="58">
        <v>1.4000000000000001</v>
      </c>
      <c r="N2258" s="58">
        <v>52.736826186000023</v>
      </c>
      <c r="O2258" s="58">
        <v>479.59999999999997</v>
      </c>
      <c r="P2258" s="53">
        <v>18100.796417946</v>
      </c>
      <c r="Q2258" s="65">
        <v>18021.829999999998</v>
      </c>
      <c r="R2258" s="65">
        <v>0</v>
      </c>
      <c r="S2258" s="65">
        <v>52.736826186000023</v>
      </c>
      <c r="T2258" s="65">
        <v>78.966417946001457</v>
      </c>
      <c r="U2258" s="58">
        <v>0</v>
      </c>
      <c r="V2258" s="65">
        <v>63.097799999999921</v>
      </c>
      <c r="W2258" s="65">
        <v>0</v>
      </c>
      <c r="X2258" s="65">
        <v>17906</v>
      </c>
      <c r="Y2258" s="65">
        <v>0</v>
      </c>
      <c r="Z2258" s="51">
        <v>0</v>
      </c>
      <c r="AA2258" s="51">
        <v>0</v>
      </c>
      <c r="AB2258" s="102">
        <v>0</v>
      </c>
      <c r="AC2258" s="81">
        <f t="shared" si="108"/>
        <v>166.95809063545153</v>
      </c>
      <c r="AD2258" s="82">
        <f t="shared" si="109"/>
        <v>68.342857142857142</v>
      </c>
      <c r="AE2258" s="218">
        <v>-4.3817091797004777E-3</v>
      </c>
      <c r="AF2258">
        <v>3</v>
      </c>
      <c r="AH2258" t="str">
        <f t="shared" si="110"/>
        <v>Sahibpur Kamal</v>
      </c>
      <c r="AJ2258" s="72">
        <v>0</v>
      </c>
      <c r="AK2258" s="72"/>
      <c r="AL2258" s="72"/>
      <c r="AM2258" s="72"/>
    </row>
    <row r="2259" spans="1:39" x14ac:dyDescent="0.25">
      <c r="A2259" s="37" t="s">
        <v>62</v>
      </c>
      <c r="B2259" s="66" t="s">
        <v>1629</v>
      </c>
      <c r="C2259" s="41">
        <v>1055</v>
      </c>
      <c r="D2259" s="41" t="s">
        <v>1148</v>
      </c>
      <c r="E2259" s="41">
        <v>10110005</v>
      </c>
      <c r="F2259" s="85" t="s">
        <v>293</v>
      </c>
      <c r="G2259" s="39" t="s">
        <v>93</v>
      </c>
      <c r="H2259" s="52" t="s">
        <v>94</v>
      </c>
      <c r="I2259" s="52">
        <v>4265.6000000000004</v>
      </c>
      <c r="J2259" s="49">
        <v>173557.25</v>
      </c>
      <c r="K2259" s="58">
        <v>4259.07</v>
      </c>
      <c r="L2259" s="58">
        <v>173099.40262111055</v>
      </c>
      <c r="M2259" s="58">
        <v>31.71</v>
      </c>
      <c r="N2259" s="58">
        <v>2358.6320044405597</v>
      </c>
      <c r="O2259" s="58">
        <v>4290.78</v>
      </c>
      <c r="P2259" s="53">
        <v>175458.03462555111</v>
      </c>
      <c r="Q2259" s="65">
        <v>173557.25</v>
      </c>
      <c r="R2259" s="65">
        <v>0</v>
      </c>
      <c r="S2259" s="65">
        <v>2358.6320044405597</v>
      </c>
      <c r="T2259" s="65">
        <v>1900.7846255511104</v>
      </c>
      <c r="U2259" s="58">
        <v>0</v>
      </c>
      <c r="V2259" s="65">
        <v>0</v>
      </c>
      <c r="W2259" s="65">
        <v>0</v>
      </c>
      <c r="X2259" s="65">
        <v>171199</v>
      </c>
      <c r="Y2259" s="65">
        <v>0</v>
      </c>
      <c r="Z2259" s="51">
        <v>0</v>
      </c>
      <c r="AA2259" s="51">
        <v>0</v>
      </c>
      <c r="AB2259" s="102">
        <v>0</v>
      </c>
      <c r="AC2259" s="81">
        <f t="shared" si="108"/>
        <v>0</v>
      </c>
      <c r="AD2259" s="82">
        <f t="shared" si="109"/>
        <v>0</v>
      </c>
      <c r="AE2259" s="218">
        <v>-1.0951917165955961E-2</v>
      </c>
      <c r="AF2259">
        <v>35</v>
      </c>
      <c r="AH2259" t="str">
        <f t="shared" si="110"/>
        <v>Matihani</v>
      </c>
      <c r="AJ2259" s="72">
        <v>0</v>
      </c>
      <c r="AK2259" s="72"/>
      <c r="AL2259" s="72"/>
      <c r="AM2259" s="72"/>
    </row>
    <row r="2260" spans="1:39" x14ac:dyDescent="0.25">
      <c r="A2260" s="37" t="s">
        <v>62</v>
      </c>
      <c r="B2260" s="66" t="s">
        <v>1629</v>
      </c>
      <c r="C2260" s="41">
        <v>1011</v>
      </c>
      <c r="D2260" s="41" t="s">
        <v>289</v>
      </c>
      <c r="E2260" s="41">
        <v>10110007</v>
      </c>
      <c r="F2260" s="85" t="s">
        <v>294</v>
      </c>
      <c r="G2260" s="39" t="s">
        <v>93</v>
      </c>
      <c r="H2260" s="52" t="s">
        <v>94</v>
      </c>
      <c r="I2260" s="52">
        <v>1223.4999999999998</v>
      </c>
      <c r="J2260" s="49">
        <v>43535.970000000008</v>
      </c>
      <c r="K2260" s="58">
        <v>1219.3</v>
      </c>
      <c r="L2260" s="58">
        <v>43589.195118017997</v>
      </c>
      <c r="M2260" s="58">
        <v>2.6</v>
      </c>
      <c r="N2260" s="58">
        <v>94.195253988000019</v>
      </c>
      <c r="O2260" s="58">
        <v>1221.8999999999999</v>
      </c>
      <c r="P2260" s="53">
        <v>43683.390372005997</v>
      </c>
      <c r="Q2260" s="65">
        <v>43535.970000000008</v>
      </c>
      <c r="R2260" s="65">
        <v>0</v>
      </c>
      <c r="S2260" s="65">
        <v>94.195253988000019</v>
      </c>
      <c r="T2260" s="65">
        <v>147.42037200598861</v>
      </c>
      <c r="U2260" s="58">
        <v>0</v>
      </c>
      <c r="V2260" s="65">
        <v>67.596413793103451</v>
      </c>
      <c r="W2260" s="65">
        <v>0</v>
      </c>
      <c r="X2260" s="65">
        <v>43374</v>
      </c>
      <c r="Y2260" s="65">
        <v>0</v>
      </c>
      <c r="Z2260" s="51">
        <v>0</v>
      </c>
      <c r="AA2260" s="51">
        <v>0</v>
      </c>
      <c r="AB2260" s="102" t="s">
        <v>68</v>
      </c>
      <c r="AC2260" s="81">
        <f t="shared" si="108"/>
        <v>0</v>
      </c>
      <c r="AD2260" s="82">
        <f t="shared" si="109"/>
        <v>0</v>
      </c>
      <c r="AE2260" s="218">
        <v>-3.3861740534548461E-3</v>
      </c>
      <c r="AF2260">
        <v>6</v>
      </c>
      <c r="AH2260" t="str">
        <f t="shared" si="110"/>
        <v>Sahibpur Kamal</v>
      </c>
      <c r="AJ2260" s="72">
        <v>0</v>
      </c>
      <c r="AK2260" s="72"/>
      <c r="AL2260" s="72"/>
      <c r="AM2260" s="72"/>
    </row>
    <row r="2261" spans="1:39" x14ac:dyDescent="0.25">
      <c r="A2261" s="37" t="s">
        <v>62</v>
      </c>
      <c r="B2261" s="66" t="s">
        <v>1629</v>
      </c>
      <c r="C2261" s="41">
        <v>1011</v>
      </c>
      <c r="D2261" s="41" t="s">
        <v>289</v>
      </c>
      <c r="E2261" s="41">
        <v>10110008</v>
      </c>
      <c r="F2261" s="85" t="s">
        <v>622</v>
      </c>
      <c r="G2261" s="39" t="s">
        <v>635</v>
      </c>
      <c r="H2261" s="52" t="s">
        <v>99</v>
      </c>
      <c r="I2261" s="52">
        <v>6913.3999999999987</v>
      </c>
      <c r="J2261" s="49">
        <v>265220.72000000003</v>
      </c>
      <c r="K2261" s="58">
        <v>0</v>
      </c>
      <c r="L2261" s="58">
        <v>0</v>
      </c>
      <c r="M2261" s="58">
        <v>0</v>
      </c>
      <c r="N2261" s="58">
        <v>0</v>
      </c>
      <c r="O2261" s="58">
        <v>0</v>
      </c>
      <c r="P2261" s="53">
        <v>0</v>
      </c>
      <c r="Q2261" s="65">
        <v>265220.72000000003</v>
      </c>
      <c r="R2261" s="65">
        <v>16473</v>
      </c>
      <c r="S2261" s="65">
        <v>0</v>
      </c>
      <c r="T2261" s="65">
        <v>0</v>
      </c>
      <c r="U2261" s="58">
        <v>0</v>
      </c>
      <c r="V2261" s="65">
        <v>0</v>
      </c>
      <c r="W2261" s="65">
        <v>0</v>
      </c>
      <c r="X2261" s="65">
        <v>0</v>
      </c>
      <c r="Y2261" s="65">
        <v>0</v>
      </c>
      <c r="Z2261" s="51">
        <v>248747.72000000003</v>
      </c>
      <c r="AA2261" s="51">
        <v>0</v>
      </c>
      <c r="AB2261" s="102">
        <v>0</v>
      </c>
      <c r="AC2261" s="81">
        <f t="shared" si="108"/>
        <v>0</v>
      </c>
      <c r="AD2261" s="82">
        <f t="shared" si="109"/>
        <v>0</v>
      </c>
      <c r="AE2261" s="218">
        <v>0</v>
      </c>
      <c r="AF2261">
        <v>0</v>
      </c>
      <c r="AH2261" t="str">
        <f t="shared" si="110"/>
        <v>Sahibpur Kamal</v>
      </c>
      <c r="AJ2261" s="72">
        <v>0</v>
      </c>
      <c r="AK2261" s="72"/>
      <c r="AL2261" s="72"/>
      <c r="AM2261" s="72"/>
    </row>
    <row r="2262" spans="1:39" x14ac:dyDescent="0.25">
      <c r="A2262" s="37" t="s">
        <v>62</v>
      </c>
      <c r="B2262" s="66" t="s">
        <v>1629</v>
      </c>
      <c r="C2262" s="41">
        <v>1011</v>
      </c>
      <c r="D2262" s="41" t="s">
        <v>289</v>
      </c>
      <c r="E2262" s="41">
        <v>10110013</v>
      </c>
      <c r="F2262" s="85" t="s">
        <v>295</v>
      </c>
      <c r="G2262" s="39" t="s">
        <v>93</v>
      </c>
      <c r="H2262" s="52" t="s">
        <v>94</v>
      </c>
      <c r="I2262" s="52">
        <v>1051.1000000000001</v>
      </c>
      <c r="J2262" s="49">
        <v>37454.830000000009</v>
      </c>
      <c r="K2262" s="58">
        <v>1081</v>
      </c>
      <c r="L2262" s="58">
        <v>40396.451238000001</v>
      </c>
      <c r="M2262" s="58">
        <v>2.1</v>
      </c>
      <c r="N2262" s="58">
        <v>77.539025519999996</v>
      </c>
      <c r="O2262" s="58">
        <v>1083.0999999999999</v>
      </c>
      <c r="P2262" s="53">
        <v>40473.990263519998</v>
      </c>
      <c r="Q2262" s="65">
        <v>37454.830000000009</v>
      </c>
      <c r="R2262" s="65">
        <v>0</v>
      </c>
      <c r="S2262" s="65">
        <v>77.539025519999996</v>
      </c>
      <c r="T2262" s="65">
        <v>3019.1602635199888</v>
      </c>
      <c r="U2262" s="58">
        <v>1300</v>
      </c>
      <c r="V2262" s="65">
        <v>0</v>
      </c>
      <c r="W2262" s="65">
        <v>0</v>
      </c>
      <c r="X2262" s="65">
        <v>36077</v>
      </c>
      <c r="Y2262" s="65">
        <v>0</v>
      </c>
      <c r="Z2262" s="51">
        <v>0</v>
      </c>
      <c r="AA2262" s="51">
        <v>0</v>
      </c>
      <c r="AB2262" s="102">
        <v>0</v>
      </c>
      <c r="AC2262" s="81">
        <f t="shared" si="108"/>
        <v>0</v>
      </c>
      <c r="AD2262" s="82">
        <f t="shared" si="109"/>
        <v>0</v>
      </c>
      <c r="AE2262" s="218">
        <v>-8.0608035426138314E-2</v>
      </c>
      <c r="AF2262">
        <v>7</v>
      </c>
      <c r="AH2262" t="str">
        <f t="shared" si="110"/>
        <v>Sahibpur Kamal</v>
      </c>
      <c r="AJ2262" s="72">
        <v>0</v>
      </c>
      <c r="AK2262" s="72"/>
      <c r="AL2262" s="72"/>
      <c r="AM2262" s="72"/>
    </row>
    <row r="2263" spans="1:39" x14ac:dyDescent="0.25">
      <c r="A2263" s="37" t="s">
        <v>62</v>
      </c>
      <c r="B2263" s="66" t="s">
        <v>1629</v>
      </c>
      <c r="C2263" s="41">
        <v>1011</v>
      </c>
      <c r="D2263" s="41" t="s">
        <v>289</v>
      </c>
      <c r="E2263" s="41">
        <v>10110014</v>
      </c>
      <c r="F2263" s="85" t="s">
        <v>296</v>
      </c>
      <c r="G2263" s="39" t="s">
        <v>93</v>
      </c>
      <c r="H2263" s="52" t="s">
        <v>94</v>
      </c>
      <c r="I2263" s="52">
        <v>956.5</v>
      </c>
      <c r="J2263" s="49">
        <v>41989.67</v>
      </c>
      <c r="K2263" s="58">
        <v>963.20000000000016</v>
      </c>
      <c r="L2263" s="58">
        <v>41233.200157196836</v>
      </c>
      <c r="M2263" s="58">
        <v>16.700000000000003</v>
      </c>
      <c r="N2263" s="58">
        <v>707.65353604800009</v>
      </c>
      <c r="O2263" s="58">
        <v>979.9000000000002</v>
      </c>
      <c r="P2263" s="53">
        <v>41940.853693244833</v>
      </c>
      <c r="Q2263" s="65">
        <v>41940.853693244833</v>
      </c>
      <c r="R2263" s="65">
        <v>0</v>
      </c>
      <c r="S2263" s="65">
        <v>707.65353604800009</v>
      </c>
      <c r="T2263" s="65">
        <v>0</v>
      </c>
      <c r="U2263" s="58">
        <v>6750</v>
      </c>
      <c r="V2263" s="65">
        <v>12.162239999999912</v>
      </c>
      <c r="W2263" s="65">
        <v>0</v>
      </c>
      <c r="X2263" s="65">
        <v>34469</v>
      </c>
      <c r="Y2263" s="65">
        <v>0</v>
      </c>
      <c r="Z2263" s="51">
        <v>0</v>
      </c>
      <c r="AA2263" s="51">
        <v>51</v>
      </c>
      <c r="AB2263" s="102" t="s">
        <v>66</v>
      </c>
      <c r="AC2263" s="81">
        <f t="shared" si="108"/>
        <v>0</v>
      </c>
      <c r="AD2263" s="82">
        <f t="shared" si="109"/>
        <v>0</v>
      </c>
      <c r="AE2263" s="218">
        <v>1.1625789570426485E-3</v>
      </c>
      <c r="AF2263">
        <v>30</v>
      </c>
      <c r="AH2263" t="str">
        <f t="shared" si="110"/>
        <v>Sahibpur Kamal</v>
      </c>
      <c r="AJ2263" s="72">
        <v>0</v>
      </c>
      <c r="AK2263" s="72"/>
      <c r="AL2263" s="72"/>
      <c r="AM2263" s="72"/>
    </row>
    <row r="2264" spans="1:39" x14ac:dyDescent="0.25">
      <c r="A2264" s="37" t="s">
        <v>62</v>
      </c>
      <c r="B2264" s="66" t="s">
        <v>1629</v>
      </c>
      <c r="C2264" s="41">
        <v>1055</v>
      </c>
      <c r="D2264" s="41" t="s">
        <v>1148</v>
      </c>
      <c r="E2264" s="41">
        <v>10110015</v>
      </c>
      <c r="F2264" s="85" t="s">
        <v>297</v>
      </c>
      <c r="G2264" s="39" t="s">
        <v>93</v>
      </c>
      <c r="H2264" s="52" t="s">
        <v>94</v>
      </c>
      <c r="I2264" s="52">
        <v>1014.8</v>
      </c>
      <c r="J2264" s="49">
        <v>41283.269999999997</v>
      </c>
      <c r="K2264" s="58">
        <v>1043.76</v>
      </c>
      <c r="L2264" s="58">
        <v>44413.537310590946</v>
      </c>
      <c r="M2264" s="58">
        <v>0</v>
      </c>
      <c r="N2264" s="58">
        <v>0</v>
      </c>
      <c r="O2264" s="58">
        <v>1043.76</v>
      </c>
      <c r="P2264" s="53">
        <v>44413.537310590946</v>
      </c>
      <c r="Q2264" s="65">
        <v>41283.269999999997</v>
      </c>
      <c r="R2264" s="65">
        <v>0</v>
      </c>
      <c r="S2264" s="65">
        <v>0</v>
      </c>
      <c r="T2264" s="65">
        <v>3130.2673105909489</v>
      </c>
      <c r="U2264" s="58">
        <v>0</v>
      </c>
      <c r="V2264" s="65">
        <v>0</v>
      </c>
      <c r="W2264" s="65">
        <v>0</v>
      </c>
      <c r="X2264" s="65">
        <v>41283</v>
      </c>
      <c r="Y2264" s="65">
        <v>0</v>
      </c>
      <c r="Z2264" s="51">
        <v>0</v>
      </c>
      <c r="AA2264" s="51">
        <v>0</v>
      </c>
      <c r="AB2264" s="102">
        <v>0</v>
      </c>
      <c r="AC2264" s="81">
        <f t="shared" si="108"/>
        <v>0</v>
      </c>
      <c r="AD2264" s="82">
        <f t="shared" si="109"/>
        <v>0</v>
      </c>
      <c r="AE2264" s="218">
        <v>-7.5824112542222294E-2</v>
      </c>
      <c r="AF2264">
        <v>8</v>
      </c>
      <c r="AH2264" t="str">
        <f t="shared" si="110"/>
        <v>Matihani</v>
      </c>
      <c r="AJ2264" s="72">
        <v>0</v>
      </c>
      <c r="AK2264" s="72"/>
      <c r="AL2264" s="72"/>
      <c r="AM2264" s="72"/>
    </row>
    <row r="2265" spans="1:39" x14ac:dyDescent="0.25">
      <c r="A2265" s="37" t="s">
        <v>62</v>
      </c>
      <c r="B2265" s="66" t="s">
        <v>1629</v>
      </c>
      <c r="C2265" s="41">
        <v>1055</v>
      </c>
      <c r="D2265" s="41" t="s">
        <v>1148</v>
      </c>
      <c r="E2265" s="41">
        <v>10110016</v>
      </c>
      <c r="F2265" s="85" t="s">
        <v>298</v>
      </c>
      <c r="G2265" s="39" t="s">
        <v>93</v>
      </c>
      <c r="H2265" s="52" t="s">
        <v>94</v>
      </c>
      <c r="I2265" s="52">
        <v>676.19999999999993</v>
      </c>
      <c r="J2265" s="49">
        <v>27182.25</v>
      </c>
      <c r="K2265" s="58">
        <v>672.6</v>
      </c>
      <c r="L2265" s="58">
        <v>27350.415457199997</v>
      </c>
      <c r="M2265" s="58">
        <v>3.5</v>
      </c>
      <c r="N2265" s="58">
        <v>142.69592700000001</v>
      </c>
      <c r="O2265" s="58">
        <v>676.1</v>
      </c>
      <c r="P2265" s="53">
        <v>27493.111384199998</v>
      </c>
      <c r="Q2265" s="65">
        <v>27182.25</v>
      </c>
      <c r="R2265" s="65">
        <v>0</v>
      </c>
      <c r="S2265" s="65">
        <v>142.69592700000001</v>
      </c>
      <c r="T2265" s="65">
        <v>310.8613841999977</v>
      </c>
      <c r="U2265" s="58">
        <v>0</v>
      </c>
      <c r="V2265" s="65">
        <v>0</v>
      </c>
      <c r="W2265" s="65">
        <v>0</v>
      </c>
      <c r="X2265" s="65">
        <v>27040</v>
      </c>
      <c r="Y2265" s="65">
        <v>0</v>
      </c>
      <c r="Z2265" s="51">
        <v>0</v>
      </c>
      <c r="AA2265" s="51">
        <v>0</v>
      </c>
      <c r="AB2265" s="102">
        <v>0</v>
      </c>
      <c r="AC2265" s="81">
        <f t="shared" si="108"/>
        <v>19.134503105590095</v>
      </c>
      <c r="AD2265" s="82">
        <f t="shared" si="109"/>
        <v>96.6</v>
      </c>
      <c r="AE2265" s="218">
        <v>-1.143619031537116E-2</v>
      </c>
      <c r="AF2265">
        <v>6</v>
      </c>
      <c r="AH2265" t="str">
        <f t="shared" si="110"/>
        <v>Matihani</v>
      </c>
      <c r="AJ2265" s="72">
        <v>0</v>
      </c>
      <c r="AK2265" s="72"/>
      <c r="AL2265" s="72"/>
      <c r="AM2265" s="72"/>
    </row>
    <row r="2266" spans="1:39" x14ac:dyDescent="0.25">
      <c r="A2266" s="37" t="s">
        <v>62</v>
      </c>
      <c r="B2266" s="66" t="s">
        <v>1629</v>
      </c>
      <c r="C2266" s="41">
        <v>1011</v>
      </c>
      <c r="D2266" s="41" t="s">
        <v>289</v>
      </c>
      <c r="E2266" s="41">
        <v>10110021</v>
      </c>
      <c r="F2266" s="85" t="s">
        <v>299</v>
      </c>
      <c r="G2266" s="39" t="s">
        <v>93</v>
      </c>
      <c r="H2266" s="52" t="s">
        <v>94</v>
      </c>
      <c r="I2266" s="52">
        <v>72.300000000000011</v>
      </c>
      <c r="J2266" s="49">
        <v>2689.26</v>
      </c>
      <c r="K2266" s="58">
        <v>75.459999999999994</v>
      </c>
      <c r="L2266" s="58">
        <v>2805.9725464650001</v>
      </c>
      <c r="M2266" s="58">
        <v>1.1900000000000002</v>
      </c>
      <c r="N2266" s="58">
        <v>43.634989391400005</v>
      </c>
      <c r="O2266" s="58">
        <v>76.649999999999991</v>
      </c>
      <c r="P2266" s="53">
        <v>2849.6075358563999</v>
      </c>
      <c r="Q2266" s="65">
        <v>2689.26</v>
      </c>
      <c r="R2266" s="65">
        <v>0</v>
      </c>
      <c r="S2266" s="65">
        <v>43.634989391400005</v>
      </c>
      <c r="T2266" s="65">
        <v>160.34753585639965</v>
      </c>
      <c r="U2266" s="58">
        <v>0</v>
      </c>
      <c r="V2266" s="65">
        <v>5.93</v>
      </c>
      <c r="W2266" s="65">
        <v>0</v>
      </c>
      <c r="X2266" s="65">
        <v>2640</v>
      </c>
      <c r="Y2266" s="65">
        <v>0</v>
      </c>
      <c r="Z2266" s="51">
        <v>0</v>
      </c>
      <c r="AA2266" s="51">
        <v>0</v>
      </c>
      <c r="AB2266" s="102" t="s">
        <v>68</v>
      </c>
      <c r="AC2266" s="81">
        <f t="shared" si="108"/>
        <v>466.95670871369288</v>
      </c>
      <c r="AD2266" s="82">
        <f t="shared" si="109"/>
        <v>10.328571428571431</v>
      </c>
      <c r="AE2266" s="218">
        <v>-5.9625151847125094E-2</v>
      </c>
      <c r="AF2266">
        <v>4</v>
      </c>
      <c r="AH2266" t="str">
        <f t="shared" si="110"/>
        <v>Sahibpur Kamal</v>
      </c>
      <c r="AJ2266" s="72">
        <v>0</v>
      </c>
      <c r="AK2266" s="72"/>
      <c r="AL2266" s="72"/>
      <c r="AM2266" s="72"/>
    </row>
    <row r="2267" spans="1:39" x14ac:dyDescent="0.25">
      <c r="A2267" s="37" t="s">
        <v>62</v>
      </c>
      <c r="B2267" s="66" t="s">
        <v>1629</v>
      </c>
      <c r="C2267" s="41">
        <v>1011</v>
      </c>
      <c r="D2267" s="41" t="s">
        <v>289</v>
      </c>
      <c r="E2267" s="41">
        <v>10110032</v>
      </c>
      <c r="F2267" s="85" t="s">
        <v>1266</v>
      </c>
      <c r="G2267" s="39" t="s">
        <v>93</v>
      </c>
      <c r="H2267" s="52" t="s">
        <v>94</v>
      </c>
      <c r="I2267" s="52">
        <v>281.40000000000003</v>
      </c>
      <c r="J2267" s="49">
        <v>9729.1</v>
      </c>
      <c r="K2267" s="58">
        <v>280.60000000000002</v>
      </c>
      <c r="L2267" s="58">
        <v>10501.134153840001</v>
      </c>
      <c r="M2267" s="58">
        <v>1</v>
      </c>
      <c r="N2267" s="58">
        <v>37.396656</v>
      </c>
      <c r="O2267" s="58">
        <v>281.60000000000002</v>
      </c>
      <c r="P2267" s="53">
        <v>10538.530809840002</v>
      </c>
      <c r="Q2267" s="65">
        <v>9729.1</v>
      </c>
      <c r="R2267" s="65">
        <v>0</v>
      </c>
      <c r="S2267" s="65">
        <v>37.396656</v>
      </c>
      <c r="T2267" s="65">
        <v>809.43080984000153</v>
      </c>
      <c r="U2267" s="58">
        <v>0</v>
      </c>
      <c r="V2267" s="65">
        <v>30.660524999999971</v>
      </c>
      <c r="W2267" s="65">
        <v>0</v>
      </c>
      <c r="X2267" s="65">
        <v>9661</v>
      </c>
      <c r="Y2267" s="65">
        <v>0</v>
      </c>
      <c r="Z2267" s="51">
        <v>0</v>
      </c>
      <c r="AA2267" s="51">
        <v>0</v>
      </c>
      <c r="AB2267" s="102" t="s">
        <v>68</v>
      </c>
      <c r="AC2267" s="81">
        <f t="shared" si="108"/>
        <v>289.45282587064673</v>
      </c>
      <c r="AD2267" s="82">
        <f t="shared" si="109"/>
        <v>40.200000000000003</v>
      </c>
      <c r="AE2267" s="218">
        <v>-8.3196884587474845E-2</v>
      </c>
      <c r="AF2267">
        <v>3</v>
      </c>
      <c r="AH2267" t="str">
        <f t="shared" si="110"/>
        <v>Sahibpur Kamal</v>
      </c>
      <c r="AJ2267" s="72">
        <v>0</v>
      </c>
      <c r="AK2267" s="72"/>
      <c r="AL2267" s="72"/>
      <c r="AM2267" s="72"/>
    </row>
    <row r="2268" spans="1:39" x14ac:dyDescent="0.25">
      <c r="A2268" s="37" t="s">
        <v>62</v>
      </c>
      <c r="B2268" s="66" t="s">
        <v>1629</v>
      </c>
      <c r="C2268" s="41">
        <v>1055</v>
      </c>
      <c r="D2268" s="41" t="s">
        <v>1148</v>
      </c>
      <c r="E2268" s="41">
        <v>10110042</v>
      </c>
      <c r="F2268" s="85" t="s">
        <v>301</v>
      </c>
      <c r="G2268" s="39" t="s">
        <v>635</v>
      </c>
      <c r="H2268" s="52" t="s">
        <v>99</v>
      </c>
      <c r="I2268" s="52">
        <v>434.99999999999994</v>
      </c>
      <c r="J2268" s="49">
        <v>16526.64</v>
      </c>
      <c r="K2268" s="58">
        <v>0</v>
      </c>
      <c r="L2268" s="58">
        <v>0</v>
      </c>
      <c r="M2268" s="58">
        <v>0</v>
      </c>
      <c r="N2268" s="58">
        <v>0</v>
      </c>
      <c r="O2268" s="58">
        <v>0</v>
      </c>
      <c r="P2268" s="53">
        <v>0</v>
      </c>
      <c r="Q2268" s="65">
        <v>16526.64</v>
      </c>
      <c r="R2268" s="65">
        <v>0</v>
      </c>
      <c r="S2268" s="65">
        <v>0</v>
      </c>
      <c r="T2268" s="65">
        <v>0</v>
      </c>
      <c r="U2268" s="58">
        <v>0</v>
      </c>
      <c r="V2268" s="65">
        <v>25.712787096774193</v>
      </c>
      <c r="W2268" s="65">
        <v>0</v>
      </c>
      <c r="X2268" s="65">
        <v>0</v>
      </c>
      <c r="Y2268" s="65">
        <v>0</v>
      </c>
      <c r="Z2268" s="51">
        <v>16500.927212903225</v>
      </c>
      <c r="AA2268" s="51">
        <v>0</v>
      </c>
      <c r="AB2268" s="102">
        <v>0</v>
      </c>
      <c r="AC2268" s="81">
        <f t="shared" si="108"/>
        <v>201.35906206896559</v>
      </c>
      <c r="AD2268" s="82">
        <f t="shared" si="109"/>
        <v>62.142857142857132</v>
      </c>
      <c r="AE2268" s="218">
        <v>0</v>
      </c>
      <c r="AF2268">
        <v>0</v>
      </c>
      <c r="AH2268" t="str">
        <f t="shared" si="110"/>
        <v>Matihani</v>
      </c>
      <c r="AJ2268" s="72">
        <v>0</v>
      </c>
      <c r="AK2268" s="72"/>
      <c r="AL2268" s="72"/>
      <c r="AM2268" s="72"/>
    </row>
    <row r="2269" spans="1:39" x14ac:dyDescent="0.25">
      <c r="A2269" s="37" t="s">
        <v>62</v>
      </c>
      <c r="B2269" s="66" t="s">
        <v>1629</v>
      </c>
      <c r="C2269" s="41">
        <v>1011</v>
      </c>
      <c r="D2269" s="41" t="s">
        <v>289</v>
      </c>
      <c r="E2269" s="41">
        <v>10110043</v>
      </c>
      <c r="F2269" s="85" t="s">
        <v>302</v>
      </c>
      <c r="G2269" s="39" t="s">
        <v>93</v>
      </c>
      <c r="H2269" s="52" t="s">
        <v>99</v>
      </c>
      <c r="I2269" s="52">
        <v>486.79999999999995</v>
      </c>
      <c r="J2269" s="49">
        <v>17899.97</v>
      </c>
      <c r="K2269" s="58">
        <v>0</v>
      </c>
      <c r="L2269" s="58">
        <v>0</v>
      </c>
      <c r="M2269" s="58">
        <v>0</v>
      </c>
      <c r="N2269" s="58">
        <v>0</v>
      </c>
      <c r="O2269" s="58">
        <v>0</v>
      </c>
      <c r="P2269" s="53">
        <v>0</v>
      </c>
      <c r="Q2269" s="65">
        <v>17899.97</v>
      </c>
      <c r="R2269" s="65">
        <v>0</v>
      </c>
      <c r="S2269" s="65">
        <v>0</v>
      </c>
      <c r="T2269" s="65">
        <v>0</v>
      </c>
      <c r="U2269" s="58">
        <v>6500</v>
      </c>
      <c r="V2269" s="65">
        <v>123.26707741935468</v>
      </c>
      <c r="W2269" s="65">
        <v>0</v>
      </c>
      <c r="X2269" s="65">
        <v>0</v>
      </c>
      <c r="Y2269" s="65">
        <v>0</v>
      </c>
      <c r="Z2269" s="51">
        <v>11276.702922580647</v>
      </c>
      <c r="AA2269" s="51">
        <v>0</v>
      </c>
      <c r="AB2269" s="102">
        <v>0</v>
      </c>
      <c r="AC2269" s="81">
        <f t="shared" si="108"/>
        <v>156.79020558751037</v>
      </c>
      <c r="AD2269" s="82">
        <f t="shared" si="109"/>
        <v>69.54285714285713</v>
      </c>
      <c r="AE2269" s="218">
        <v>0</v>
      </c>
      <c r="AF2269">
        <v>0</v>
      </c>
      <c r="AH2269" t="str">
        <f t="shared" si="110"/>
        <v>Sahibpur Kamal</v>
      </c>
      <c r="AJ2269" s="72">
        <v>0</v>
      </c>
      <c r="AK2269" s="72"/>
      <c r="AL2269" s="72"/>
      <c r="AM2269" s="72"/>
    </row>
    <row r="2270" spans="1:39" x14ac:dyDescent="0.25">
      <c r="A2270" s="37" t="s">
        <v>62</v>
      </c>
      <c r="B2270" s="66" t="s">
        <v>1629</v>
      </c>
      <c r="C2270" s="41">
        <v>1011</v>
      </c>
      <c r="D2270" s="41" t="s">
        <v>289</v>
      </c>
      <c r="E2270" s="41">
        <v>10110049</v>
      </c>
      <c r="F2270" s="85" t="s">
        <v>1366</v>
      </c>
      <c r="G2270" s="39" t="s">
        <v>93</v>
      </c>
      <c r="H2270" s="52" t="s">
        <v>94</v>
      </c>
      <c r="I2270" s="52">
        <v>615</v>
      </c>
      <c r="J2270" s="49">
        <v>23380.649999999998</v>
      </c>
      <c r="K2270" s="58">
        <v>611.30000000000007</v>
      </c>
      <c r="L2270" s="58">
        <v>23539.211681040004</v>
      </c>
      <c r="M2270" s="58">
        <v>2.8</v>
      </c>
      <c r="N2270" s="58">
        <v>108.34868484000002</v>
      </c>
      <c r="O2270" s="58">
        <v>614.1</v>
      </c>
      <c r="P2270" s="53">
        <v>23647.560365880003</v>
      </c>
      <c r="Q2270" s="65">
        <v>23380.649999999998</v>
      </c>
      <c r="R2270" s="65">
        <v>0</v>
      </c>
      <c r="S2270" s="65">
        <v>108.34868484000002</v>
      </c>
      <c r="T2270" s="65">
        <v>266.91036588000497</v>
      </c>
      <c r="U2270" s="58">
        <v>0</v>
      </c>
      <c r="V2270" s="65">
        <v>0</v>
      </c>
      <c r="W2270" s="65">
        <v>0</v>
      </c>
      <c r="X2270" s="65">
        <v>23272</v>
      </c>
      <c r="Y2270" s="65">
        <v>0</v>
      </c>
      <c r="Z2270" s="51">
        <v>0</v>
      </c>
      <c r="AA2270" s="51">
        <v>0</v>
      </c>
      <c r="AB2270" s="102">
        <v>0</v>
      </c>
      <c r="AC2270" s="81">
        <f t="shared" si="108"/>
        <v>64.629439024390223</v>
      </c>
      <c r="AD2270" s="82">
        <f t="shared" si="109"/>
        <v>87.857142857142861</v>
      </c>
      <c r="AE2270" s="218">
        <v>-1.141586593529286E-2</v>
      </c>
      <c r="AF2270">
        <v>5</v>
      </c>
      <c r="AH2270" t="str">
        <f t="shared" si="110"/>
        <v>Sahibpur Kamal</v>
      </c>
      <c r="AJ2270" s="72">
        <v>0</v>
      </c>
      <c r="AK2270" s="72"/>
      <c r="AL2270" s="72"/>
      <c r="AM2270" s="72"/>
    </row>
    <row r="2271" spans="1:39" x14ac:dyDescent="0.25">
      <c r="A2271" s="37" t="s">
        <v>62</v>
      </c>
      <c r="B2271" s="66" t="s">
        <v>1629</v>
      </c>
      <c r="C2271" s="41">
        <v>1011</v>
      </c>
      <c r="D2271" s="41" t="s">
        <v>289</v>
      </c>
      <c r="E2271" s="41">
        <v>10110050</v>
      </c>
      <c r="F2271" s="85" t="s">
        <v>304</v>
      </c>
      <c r="G2271" s="39" t="s">
        <v>93</v>
      </c>
      <c r="H2271" s="52" t="s">
        <v>94</v>
      </c>
      <c r="I2271" s="52">
        <v>807.30000000000007</v>
      </c>
      <c r="J2271" s="49">
        <v>33600</v>
      </c>
      <c r="K2271" s="58">
        <v>807</v>
      </c>
      <c r="L2271" s="58">
        <v>32810.265496799999</v>
      </c>
      <c r="M2271" s="58">
        <v>0</v>
      </c>
      <c r="N2271" s="58">
        <v>0</v>
      </c>
      <c r="O2271" s="58">
        <v>807</v>
      </c>
      <c r="P2271" s="53">
        <v>32810.265496799999</v>
      </c>
      <c r="Q2271" s="65">
        <v>32810.265496799999</v>
      </c>
      <c r="R2271" s="65">
        <v>0</v>
      </c>
      <c r="S2271" s="65">
        <v>0</v>
      </c>
      <c r="T2271" s="65">
        <v>0</v>
      </c>
      <c r="U2271" s="58">
        <v>0</v>
      </c>
      <c r="V2271" s="65">
        <v>285.77999999999997</v>
      </c>
      <c r="W2271" s="65">
        <v>0</v>
      </c>
      <c r="X2271" s="65">
        <v>32524</v>
      </c>
      <c r="Y2271" s="65">
        <v>0</v>
      </c>
      <c r="Z2271" s="51">
        <v>0</v>
      </c>
      <c r="AA2271" s="51">
        <v>790</v>
      </c>
      <c r="AB2271" s="102" t="s">
        <v>68</v>
      </c>
      <c r="AC2271" s="81">
        <f t="shared" si="108"/>
        <v>0</v>
      </c>
      <c r="AD2271" s="82">
        <f t="shared" si="109"/>
        <v>0</v>
      </c>
      <c r="AE2271" s="218">
        <v>2.3504003071428609E-2</v>
      </c>
      <c r="AF2271">
        <v>1</v>
      </c>
      <c r="AH2271" t="str">
        <f t="shared" si="110"/>
        <v>Sahibpur Kamal</v>
      </c>
      <c r="AJ2271" s="72">
        <v>0</v>
      </c>
      <c r="AK2271" s="72"/>
      <c r="AL2271" s="72"/>
      <c r="AM2271" s="72"/>
    </row>
    <row r="2272" spans="1:39" x14ac:dyDescent="0.25">
      <c r="A2272" s="37" t="s">
        <v>62</v>
      </c>
      <c r="B2272" s="66" t="s">
        <v>1629</v>
      </c>
      <c r="C2272" s="41">
        <v>1011</v>
      </c>
      <c r="D2272" s="41" t="s">
        <v>289</v>
      </c>
      <c r="E2272" s="41">
        <v>10110053</v>
      </c>
      <c r="F2272" s="85" t="s">
        <v>305</v>
      </c>
      <c r="G2272" s="39" t="s">
        <v>93</v>
      </c>
      <c r="H2272" s="52" t="s">
        <v>94</v>
      </c>
      <c r="I2272" s="52">
        <v>108.8</v>
      </c>
      <c r="J2272" s="49">
        <v>5238.28</v>
      </c>
      <c r="K2272" s="58">
        <v>106.6</v>
      </c>
      <c r="L2272" s="58">
        <v>5342.1948693395407</v>
      </c>
      <c r="M2272" s="58">
        <v>2.1999999999999997</v>
      </c>
      <c r="N2272" s="58">
        <v>118.65521015524001</v>
      </c>
      <c r="O2272" s="58">
        <v>108.8</v>
      </c>
      <c r="P2272" s="53">
        <v>5460.8500794947804</v>
      </c>
      <c r="Q2272" s="65">
        <v>5238.28</v>
      </c>
      <c r="R2272" s="65">
        <v>0</v>
      </c>
      <c r="S2272" s="65">
        <v>118.65521015524001</v>
      </c>
      <c r="T2272" s="65">
        <v>222.57007949478066</v>
      </c>
      <c r="U2272" s="58">
        <v>4588</v>
      </c>
      <c r="V2272" s="65">
        <v>0</v>
      </c>
      <c r="W2272" s="65">
        <v>0</v>
      </c>
      <c r="X2272" s="65">
        <v>532</v>
      </c>
      <c r="Y2272" s="65">
        <v>0</v>
      </c>
      <c r="Z2272" s="51">
        <v>0</v>
      </c>
      <c r="AA2272" s="51">
        <v>0</v>
      </c>
      <c r="AB2272" s="102">
        <v>0</v>
      </c>
      <c r="AC2272" s="81">
        <f t="shared" si="108"/>
        <v>569.27778235294124</v>
      </c>
      <c r="AD2272" s="82">
        <f t="shared" si="109"/>
        <v>15.542857142857143</v>
      </c>
      <c r="AE2272" s="218">
        <v>-4.2489152831612795E-2</v>
      </c>
      <c r="AF2272">
        <v>3</v>
      </c>
      <c r="AH2272" t="str">
        <f t="shared" si="110"/>
        <v>Sahibpur Kamal</v>
      </c>
      <c r="AJ2272" s="72">
        <v>0</v>
      </c>
      <c r="AK2272" s="72"/>
      <c r="AL2272" s="72"/>
      <c r="AM2272" s="72"/>
    </row>
    <row r="2273" spans="1:39" x14ac:dyDescent="0.25">
      <c r="A2273" s="37" t="s">
        <v>62</v>
      </c>
      <c r="B2273" s="66" t="s">
        <v>1629</v>
      </c>
      <c r="C2273" s="41">
        <v>1011</v>
      </c>
      <c r="D2273" s="41" t="s">
        <v>289</v>
      </c>
      <c r="E2273" s="41">
        <v>10110055</v>
      </c>
      <c r="F2273" s="85" t="s">
        <v>306</v>
      </c>
      <c r="G2273" s="39" t="s">
        <v>93</v>
      </c>
      <c r="H2273" s="52" t="s">
        <v>94</v>
      </c>
      <c r="I2273" s="52">
        <v>844.1</v>
      </c>
      <c r="J2273" s="49">
        <v>33591.14</v>
      </c>
      <c r="K2273" s="58">
        <v>732.1</v>
      </c>
      <c r="L2273" s="58">
        <v>30073.590500421604</v>
      </c>
      <c r="M2273" s="58">
        <v>216.67999999999998</v>
      </c>
      <c r="N2273" s="58">
        <v>8904.7538323919998</v>
      </c>
      <c r="O2273" s="58">
        <v>948.78</v>
      </c>
      <c r="P2273" s="53">
        <v>38978.344332813605</v>
      </c>
      <c r="Q2273" s="65">
        <v>33591.14</v>
      </c>
      <c r="R2273" s="65">
        <v>0</v>
      </c>
      <c r="S2273" s="65">
        <v>0</v>
      </c>
      <c r="T2273" s="65">
        <v>5387.204332813606</v>
      </c>
      <c r="U2273" s="58">
        <v>8890</v>
      </c>
      <c r="V2273" s="65">
        <v>0</v>
      </c>
      <c r="W2273" s="65">
        <v>0</v>
      </c>
      <c r="X2273" s="65">
        <v>15796</v>
      </c>
      <c r="Y2273" s="65">
        <v>8905</v>
      </c>
      <c r="Z2273" s="51">
        <v>0</v>
      </c>
      <c r="AA2273" s="51">
        <v>0</v>
      </c>
      <c r="AB2273" s="102">
        <v>0</v>
      </c>
      <c r="AC2273" s="81">
        <f t="shared" si="108"/>
        <v>0</v>
      </c>
      <c r="AD2273" s="82">
        <f t="shared" si="109"/>
        <v>0</v>
      </c>
      <c r="AE2273" s="218">
        <v>-0.16037575184449251</v>
      </c>
      <c r="AF2273">
        <v>6</v>
      </c>
      <c r="AH2273" t="str">
        <f t="shared" si="110"/>
        <v>Sahibpur Kamal</v>
      </c>
      <c r="AJ2273" s="72">
        <v>0</v>
      </c>
      <c r="AK2273" s="72"/>
      <c r="AL2273" s="72"/>
      <c r="AM2273" s="72"/>
    </row>
    <row r="2274" spans="1:39" x14ac:dyDescent="0.25">
      <c r="A2274" s="37" t="s">
        <v>62</v>
      </c>
      <c r="B2274" s="66" t="s">
        <v>1629</v>
      </c>
      <c r="C2274" s="41">
        <v>1011</v>
      </c>
      <c r="D2274" s="41" t="s">
        <v>289</v>
      </c>
      <c r="E2274" s="41">
        <v>10110057</v>
      </c>
      <c r="F2274" s="85" t="s">
        <v>307</v>
      </c>
      <c r="G2274" s="39" t="s">
        <v>93</v>
      </c>
      <c r="H2274" s="52" t="s">
        <v>94</v>
      </c>
      <c r="I2274" s="52">
        <v>287.39999999999998</v>
      </c>
      <c r="J2274" s="49">
        <v>11774.44</v>
      </c>
      <c r="K2274" s="58">
        <v>299.20000000000005</v>
      </c>
      <c r="L2274" s="58">
        <v>13460.096252249999</v>
      </c>
      <c r="M2274" s="58">
        <v>0</v>
      </c>
      <c r="N2274" s="58">
        <v>0</v>
      </c>
      <c r="O2274" s="58">
        <v>299.20000000000005</v>
      </c>
      <c r="P2274" s="53">
        <v>13460.096252249999</v>
      </c>
      <c r="Q2274" s="65">
        <v>11774.44</v>
      </c>
      <c r="R2274" s="65">
        <v>0</v>
      </c>
      <c r="S2274" s="65">
        <v>0</v>
      </c>
      <c r="T2274" s="65">
        <v>1685.6562522499989</v>
      </c>
      <c r="U2274" s="58">
        <v>0</v>
      </c>
      <c r="V2274" s="65">
        <v>0</v>
      </c>
      <c r="W2274" s="65">
        <v>0</v>
      </c>
      <c r="X2274" s="65">
        <v>11774</v>
      </c>
      <c r="Y2274" s="65">
        <v>0</v>
      </c>
      <c r="Z2274" s="51">
        <v>0</v>
      </c>
      <c r="AA2274" s="51">
        <v>0</v>
      </c>
      <c r="AB2274" s="102" t="s">
        <v>68</v>
      </c>
      <c r="AC2274" s="81">
        <f t="shared" si="108"/>
        <v>338.07473514265843</v>
      </c>
      <c r="AD2274" s="82">
        <f t="shared" si="109"/>
        <v>41.057142857142857</v>
      </c>
      <c r="AE2274" s="218">
        <v>-0.14316232893029299</v>
      </c>
      <c r="AF2274">
        <v>1</v>
      </c>
      <c r="AH2274" t="str">
        <f t="shared" si="110"/>
        <v>Sahibpur Kamal</v>
      </c>
      <c r="AJ2274" s="72">
        <v>0</v>
      </c>
      <c r="AK2274" s="72"/>
      <c r="AL2274" s="72"/>
      <c r="AM2274" s="72"/>
    </row>
    <row r="2275" spans="1:39" x14ac:dyDescent="0.25">
      <c r="A2275" s="37" t="s">
        <v>62</v>
      </c>
      <c r="B2275" s="66" t="s">
        <v>1629</v>
      </c>
      <c r="C2275" s="41">
        <v>1011</v>
      </c>
      <c r="D2275" s="41" t="s">
        <v>289</v>
      </c>
      <c r="E2275" s="41">
        <v>10110065</v>
      </c>
      <c r="F2275" s="85" t="s">
        <v>308</v>
      </c>
      <c r="G2275" s="39" t="s">
        <v>93</v>
      </c>
      <c r="H2275" s="52" t="s">
        <v>94</v>
      </c>
      <c r="I2275" s="52">
        <v>1169.5000000000002</v>
      </c>
      <c r="J2275" s="49">
        <v>45144</v>
      </c>
      <c r="K2275" s="58">
        <v>1152.3400000000001</v>
      </c>
      <c r="L2275" s="58">
        <v>45310.020062865005</v>
      </c>
      <c r="M2275" s="58">
        <v>6.3400000000000016</v>
      </c>
      <c r="N2275" s="58">
        <v>254.621875464</v>
      </c>
      <c r="O2275" s="58">
        <v>1158.68</v>
      </c>
      <c r="P2275" s="53">
        <v>45564.641938329005</v>
      </c>
      <c r="Q2275" s="65">
        <v>45144</v>
      </c>
      <c r="R2275" s="65">
        <v>0</v>
      </c>
      <c r="S2275" s="65">
        <v>254.621875464</v>
      </c>
      <c r="T2275" s="65">
        <v>420.64193832900492</v>
      </c>
      <c r="U2275" s="58">
        <v>0</v>
      </c>
      <c r="V2275" s="65">
        <v>0</v>
      </c>
      <c r="W2275" s="65">
        <v>0</v>
      </c>
      <c r="X2275" s="65">
        <v>44889</v>
      </c>
      <c r="Y2275" s="65">
        <v>0</v>
      </c>
      <c r="Z2275" s="51">
        <v>0</v>
      </c>
      <c r="AA2275" s="51">
        <v>0</v>
      </c>
      <c r="AB2275" s="102" t="s">
        <v>66</v>
      </c>
      <c r="AC2275" s="81">
        <f t="shared" si="108"/>
        <v>0</v>
      </c>
      <c r="AD2275" s="82">
        <f t="shared" si="109"/>
        <v>0</v>
      </c>
      <c r="AE2275" s="218">
        <v>-9.3177817280038298E-3</v>
      </c>
      <c r="AF2275">
        <v>18</v>
      </c>
      <c r="AH2275" t="str">
        <f t="shared" si="110"/>
        <v>Sahibpur Kamal</v>
      </c>
      <c r="AJ2275" s="72">
        <v>0</v>
      </c>
      <c r="AK2275" s="72"/>
      <c r="AL2275" s="72"/>
      <c r="AM2275" s="72"/>
    </row>
    <row r="2276" spans="1:39" x14ac:dyDescent="0.25">
      <c r="A2276" s="37" t="s">
        <v>62</v>
      </c>
      <c r="B2276" s="66" t="s">
        <v>1629</v>
      </c>
      <c r="C2276" s="41">
        <v>1011</v>
      </c>
      <c r="D2276" s="41" t="s">
        <v>289</v>
      </c>
      <c r="E2276" s="41">
        <v>10110066</v>
      </c>
      <c r="F2276" s="85" t="s">
        <v>309</v>
      </c>
      <c r="G2276" s="39" t="s">
        <v>93</v>
      </c>
      <c r="H2276" s="52" t="s">
        <v>94</v>
      </c>
      <c r="I2276" s="52">
        <v>923.00000000000023</v>
      </c>
      <c r="J2276" s="49">
        <v>36686.670000000006</v>
      </c>
      <c r="K2276" s="58">
        <v>917.38000000000011</v>
      </c>
      <c r="L2276" s="58">
        <v>37001.236740618297</v>
      </c>
      <c r="M2276" s="58">
        <v>6.8000000000000007</v>
      </c>
      <c r="N2276" s="58">
        <v>264.22387833600004</v>
      </c>
      <c r="O2276" s="58">
        <v>924.18000000000006</v>
      </c>
      <c r="P2276" s="53">
        <v>37265.460618954297</v>
      </c>
      <c r="Q2276" s="65">
        <v>36686.670000000006</v>
      </c>
      <c r="R2276" s="65">
        <v>0</v>
      </c>
      <c r="S2276" s="65">
        <v>264.22387833600004</v>
      </c>
      <c r="T2276" s="65">
        <v>578.79061895429186</v>
      </c>
      <c r="U2276" s="58">
        <v>5200</v>
      </c>
      <c r="V2276" s="65">
        <v>0</v>
      </c>
      <c r="W2276" s="65">
        <v>0</v>
      </c>
      <c r="X2276" s="65">
        <v>31222</v>
      </c>
      <c r="Y2276" s="65">
        <v>0</v>
      </c>
      <c r="Z2276" s="51">
        <v>0</v>
      </c>
      <c r="AA2276" s="51">
        <v>0</v>
      </c>
      <c r="AB2276" s="102" t="s">
        <v>66</v>
      </c>
      <c r="AC2276" s="81">
        <f t="shared" si="108"/>
        <v>0</v>
      </c>
      <c r="AD2276" s="82">
        <f t="shared" si="109"/>
        <v>0</v>
      </c>
      <c r="AE2276" s="218">
        <v>-1.5776591850781001E-2</v>
      </c>
      <c r="AF2276">
        <v>17</v>
      </c>
      <c r="AH2276" t="str">
        <f t="shared" si="110"/>
        <v>Sahibpur Kamal</v>
      </c>
      <c r="AJ2276" s="72">
        <v>0</v>
      </c>
      <c r="AK2276" s="72"/>
      <c r="AL2276" s="72"/>
      <c r="AM2276" s="72"/>
    </row>
    <row r="2277" spans="1:39" x14ac:dyDescent="0.25">
      <c r="A2277" s="37" t="s">
        <v>62</v>
      </c>
      <c r="B2277" s="66" t="s">
        <v>1629</v>
      </c>
      <c r="C2277" s="41">
        <v>1011</v>
      </c>
      <c r="D2277" s="41" t="s">
        <v>289</v>
      </c>
      <c r="E2277" s="41">
        <v>10110071</v>
      </c>
      <c r="F2277" s="85" t="s">
        <v>310</v>
      </c>
      <c r="G2277" s="39" t="s">
        <v>93</v>
      </c>
      <c r="H2277" s="52" t="s">
        <v>94</v>
      </c>
      <c r="I2277" s="52">
        <v>109.80000000000001</v>
      </c>
      <c r="J2277" s="49">
        <v>3978.5899999999992</v>
      </c>
      <c r="K2277" s="58">
        <v>110.9</v>
      </c>
      <c r="L2277" s="58">
        <v>4339.2674239200005</v>
      </c>
      <c r="M2277" s="58">
        <v>0</v>
      </c>
      <c r="N2277" s="58">
        <v>0</v>
      </c>
      <c r="O2277" s="58">
        <v>110.9</v>
      </c>
      <c r="P2277" s="53">
        <v>4339.2674239200005</v>
      </c>
      <c r="Q2277" s="65">
        <v>3978.5899999999992</v>
      </c>
      <c r="R2277" s="65">
        <v>0</v>
      </c>
      <c r="S2277" s="65">
        <v>0</v>
      </c>
      <c r="T2277" s="65">
        <v>360.67742392000127</v>
      </c>
      <c r="U2277" s="58">
        <v>0</v>
      </c>
      <c r="V2277" s="65">
        <v>0</v>
      </c>
      <c r="W2277" s="65">
        <v>0</v>
      </c>
      <c r="X2277" s="65">
        <v>3979</v>
      </c>
      <c r="Y2277" s="65">
        <v>0</v>
      </c>
      <c r="Z2277" s="51">
        <v>0</v>
      </c>
      <c r="AA2277" s="51">
        <v>0</v>
      </c>
      <c r="AB2277" s="102">
        <v>0</v>
      </c>
      <c r="AC2277" s="81">
        <f t="shared" si="108"/>
        <v>427.71654244080133</v>
      </c>
      <c r="AD2277" s="82">
        <f t="shared" si="109"/>
        <v>15.685714285714287</v>
      </c>
      <c r="AE2277" s="218">
        <v>-9.0654584644309005E-2</v>
      </c>
      <c r="AF2277">
        <v>1</v>
      </c>
      <c r="AH2277" t="str">
        <f t="shared" si="110"/>
        <v>Sahibpur Kamal</v>
      </c>
      <c r="AJ2277" s="72">
        <v>0</v>
      </c>
      <c r="AK2277" s="72"/>
      <c r="AL2277" s="72"/>
      <c r="AM2277" s="72"/>
    </row>
    <row r="2278" spans="1:39" x14ac:dyDescent="0.25">
      <c r="A2278" s="37" t="s">
        <v>62</v>
      </c>
      <c r="B2278" s="66" t="s">
        <v>1629</v>
      </c>
      <c r="C2278" s="41">
        <v>1011</v>
      </c>
      <c r="D2278" s="41" t="s">
        <v>289</v>
      </c>
      <c r="E2278" s="41">
        <v>10110073</v>
      </c>
      <c r="F2278" s="85" t="s">
        <v>623</v>
      </c>
      <c r="G2278" s="39" t="s">
        <v>93</v>
      </c>
      <c r="H2278" s="52" t="s">
        <v>94</v>
      </c>
      <c r="I2278" s="52">
        <v>110.9</v>
      </c>
      <c r="J2278" s="49">
        <v>3925.79</v>
      </c>
      <c r="K2278" s="58">
        <v>139.95999999999998</v>
      </c>
      <c r="L2278" s="58">
        <v>5031.1527225498003</v>
      </c>
      <c r="M2278" s="58">
        <v>0</v>
      </c>
      <c r="N2278" s="58">
        <v>0</v>
      </c>
      <c r="O2278" s="58">
        <v>139.95999999999998</v>
      </c>
      <c r="P2278" s="53">
        <v>5031.1527225498003</v>
      </c>
      <c r="Q2278" s="65">
        <v>3925.79</v>
      </c>
      <c r="R2278" s="65">
        <v>0</v>
      </c>
      <c r="S2278" s="65">
        <v>0</v>
      </c>
      <c r="T2278" s="65">
        <v>1105.3627225498003</v>
      </c>
      <c r="U2278" s="58">
        <v>0</v>
      </c>
      <c r="V2278" s="65">
        <v>80.239999999999995</v>
      </c>
      <c r="W2278" s="65">
        <v>0</v>
      </c>
      <c r="X2278" s="65">
        <v>3846</v>
      </c>
      <c r="Y2278" s="65">
        <v>0</v>
      </c>
      <c r="Z2278" s="51">
        <v>0</v>
      </c>
      <c r="AA2278" s="51">
        <v>0</v>
      </c>
      <c r="AB2278" s="102" t="s">
        <v>68</v>
      </c>
      <c r="AC2278" s="81">
        <f t="shared" si="108"/>
        <v>417.07536321009917</v>
      </c>
      <c r="AD2278" s="82">
        <f t="shared" si="109"/>
        <v>15.842857142857143</v>
      </c>
      <c r="AE2278" s="218">
        <v>-0.28156440424724716</v>
      </c>
      <c r="AF2278">
        <v>3</v>
      </c>
      <c r="AH2278" t="str">
        <f t="shared" si="110"/>
        <v>Sahibpur Kamal</v>
      </c>
      <c r="AJ2278" s="72">
        <v>0</v>
      </c>
      <c r="AK2278" s="72"/>
      <c r="AL2278" s="72"/>
      <c r="AM2278" s="72"/>
    </row>
    <row r="2279" spans="1:39" x14ac:dyDescent="0.25">
      <c r="A2279" s="37" t="s">
        <v>62</v>
      </c>
      <c r="B2279" s="66" t="s">
        <v>1629</v>
      </c>
      <c r="C2279" s="41">
        <v>1011</v>
      </c>
      <c r="D2279" s="41" t="s">
        <v>289</v>
      </c>
      <c r="E2279" s="41">
        <v>10110076</v>
      </c>
      <c r="F2279" s="85" t="s">
        <v>311</v>
      </c>
      <c r="G2279" s="39" t="s">
        <v>93</v>
      </c>
      <c r="H2279" s="52" t="s">
        <v>94</v>
      </c>
      <c r="I2279" s="52">
        <v>1518.1000000000001</v>
      </c>
      <c r="J2279" s="49">
        <v>60291.310000000005</v>
      </c>
      <c r="K2279" s="58">
        <v>1191.6600000000001</v>
      </c>
      <c r="L2279" s="58">
        <v>50327.013754988817</v>
      </c>
      <c r="M2279" s="58">
        <v>417.84000000000003</v>
      </c>
      <c r="N2279" s="58">
        <v>17702.058932395001</v>
      </c>
      <c r="O2279" s="58">
        <v>1609.5</v>
      </c>
      <c r="P2279" s="53">
        <v>68029.072687383814</v>
      </c>
      <c r="Q2279" s="65">
        <v>60291.310000000005</v>
      </c>
      <c r="R2279" s="65">
        <v>0</v>
      </c>
      <c r="S2279" s="65">
        <v>132.47100583200003</v>
      </c>
      <c r="T2279" s="65">
        <v>7737.762687383809</v>
      </c>
      <c r="U2279" s="58">
        <v>14212</v>
      </c>
      <c r="V2279" s="65">
        <v>0</v>
      </c>
      <c r="W2279" s="65">
        <v>0</v>
      </c>
      <c r="X2279" s="65">
        <v>28377</v>
      </c>
      <c r="Y2279" s="65">
        <v>17570</v>
      </c>
      <c r="Z2279" s="51">
        <v>0</v>
      </c>
      <c r="AA2279" s="51">
        <v>0</v>
      </c>
      <c r="AB2279" s="102">
        <v>0</v>
      </c>
      <c r="AC2279" s="81">
        <f t="shared" si="108"/>
        <v>0</v>
      </c>
      <c r="AD2279" s="82">
        <f t="shared" si="109"/>
        <v>0</v>
      </c>
      <c r="AE2279" s="218">
        <v>-0.12833960130214137</v>
      </c>
      <c r="AF2279">
        <v>11</v>
      </c>
      <c r="AH2279" t="str">
        <f t="shared" si="110"/>
        <v>Sahibpur Kamal</v>
      </c>
      <c r="AJ2279" s="72">
        <v>0</v>
      </c>
      <c r="AK2279" s="72"/>
      <c r="AL2279" s="72"/>
      <c r="AM2279" s="72"/>
    </row>
    <row r="2280" spans="1:39" x14ac:dyDescent="0.25">
      <c r="A2280" s="37" t="s">
        <v>62</v>
      </c>
      <c r="B2280" s="66" t="s">
        <v>1629</v>
      </c>
      <c r="C2280" s="41">
        <v>1011</v>
      </c>
      <c r="D2280" s="41" t="s">
        <v>289</v>
      </c>
      <c r="E2280" s="41">
        <v>10110078</v>
      </c>
      <c r="F2280" s="85" t="s">
        <v>312</v>
      </c>
      <c r="G2280" s="39" t="s">
        <v>93</v>
      </c>
      <c r="H2280" s="52" t="s">
        <v>94</v>
      </c>
      <c r="I2280" s="52">
        <v>389.09999999999991</v>
      </c>
      <c r="J2280" s="49">
        <v>13440.54</v>
      </c>
      <c r="K2280" s="58">
        <v>747.6</v>
      </c>
      <c r="L2280" s="58">
        <v>26050.722393168002</v>
      </c>
      <c r="M2280" s="58">
        <v>0</v>
      </c>
      <c r="N2280" s="58">
        <v>0</v>
      </c>
      <c r="O2280" s="58">
        <v>747.6</v>
      </c>
      <c r="P2280" s="53">
        <v>26050.722393168002</v>
      </c>
      <c r="Q2280" s="65">
        <v>13440.54</v>
      </c>
      <c r="R2280" s="65">
        <v>0</v>
      </c>
      <c r="S2280" s="65">
        <v>0</v>
      </c>
      <c r="T2280" s="65">
        <v>12610.182393168001</v>
      </c>
      <c r="U2280" s="58">
        <v>0</v>
      </c>
      <c r="V2280" s="65">
        <v>0</v>
      </c>
      <c r="W2280" s="65">
        <v>0</v>
      </c>
      <c r="X2280" s="65">
        <v>13441</v>
      </c>
      <c r="Y2280" s="65">
        <v>0</v>
      </c>
      <c r="Z2280" s="51">
        <v>0</v>
      </c>
      <c r="AA2280" s="51">
        <v>0</v>
      </c>
      <c r="AB2280" s="102">
        <v>0</v>
      </c>
      <c r="AC2280" s="81">
        <f t="shared" si="108"/>
        <v>214.78611595990762</v>
      </c>
      <c r="AD2280" s="82">
        <f t="shared" si="109"/>
        <v>55.585714285714275</v>
      </c>
      <c r="AE2280" s="218">
        <v>-0.93821992220312578</v>
      </c>
      <c r="AF2280">
        <v>1</v>
      </c>
      <c r="AH2280" t="str">
        <f t="shared" si="110"/>
        <v>Sahibpur Kamal</v>
      </c>
      <c r="AJ2280" s="72">
        <v>0</v>
      </c>
      <c r="AK2280" s="72"/>
      <c r="AL2280" s="72"/>
      <c r="AM2280" s="72"/>
    </row>
    <row r="2281" spans="1:39" x14ac:dyDescent="0.25">
      <c r="A2281" s="37" t="s">
        <v>62</v>
      </c>
      <c r="B2281" s="66" t="s">
        <v>1629</v>
      </c>
      <c r="C2281" s="41">
        <v>1011</v>
      </c>
      <c r="D2281" s="41" t="s">
        <v>289</v>
      </c>
      <c r="E2281" s="41">
        <v>10110083</v>
      </c>
      <c r="F2281" s="85" t="s">
        <v>435</v>
      </c>
      <c r="G2281" s="39" t="s">
        <v>93</v>
      </c>
      <c r="H2281" s="52" t="s">
        <v>94</v>
      </c>
      <c r="I2281" s="52">
        <v>362.59999999999997</v>
      </c>
      <c r="J2281" s="49">
        <v>13101.750000000002</v>
      </c>
      <c r="K2281" s="58">
        <v>361</v>
      </c>
      <c r="L2281" s="58">
        <v>12866.4259812</v>
      </c>
      <c r="M2281" s="58">
        <v>0</v>
      </c>
      <c r="N2281" s="58">
        <v>0</v>
      </c>
      <c r="O2281" s="58">
        <v>361</v>
      </c>
      <c r="P2281" s="53">
        <v>12866.4259812</v>
      </c>
      <c r="Q2281" s="65">
        <v>12866.4259812</v>
      </c>
      <c r="R2281" s="65">
        <v>0</v>
      </c>
      <c r="S2281" s="65">
        <v>0</v>
      </c>
      <c r="T2281" s="65">
        <v>0</v>
      </c>
      <c r="U2281" s="58">
        <v>1300</v>
      </c>
      <c r="V2281" s="65">
        <v>20.369280000000046</v>
      </c>
      <c r="W2281" s="65">
        <v>0</v>
      </c>
      <c r="X2281" s="65">
        <v>11546</v>
      </c>
      <c r="Y2281" s="65">
        <v>0</v>
      </c>
      <c r="Z2281" s="51">
        <v>0</v>
      </c>
      <c r="AA2281" s="51">
        <v>235</v>
      </c>
      <c r="AB2281" s="102">
        <v>0</v>
      </c>
      <c r="AC2281" s="81">
        <f t="shared" si="108"/>
        <v>243.82407335907345</v>
      </c>
      <c r="AD2281" s="82">
        <f t="shared" si="109"/>
        <v>51.8</v>
      </c>
      <c r="AE2281" s="218">
        <v>1.7961266151468449E-2</v>
      </c>
      <c r="AF2281">
        <v>3</v>
      </c>
      <c r="AH2281" t="str">
        <f t="shared" si="110"/>
        <v>Sahibpur Kamal</v>
      </c>
      <c r="AJ2281" s="72">
        <v>0</v>
      </c>
      <c r="AK2281" s="72"/>
      <c r="AL2281" s="72"/>
      <c r="AM2281" s="72"/>
    </row>
    <row r="2282" spans="1:39" x14ac:dyDescent="0.25">
      <c r="A2282" s="37" t="s">
        <v>62</v>
      </c>
      <c r="B2282" s="66" t="s">
        <v>1629</v>
      </c>
      <c r="C2282" s="41">
        <v>1011</v>
      </c>
      <c r="D2282" s="41" t="s">
        <v>289</v>
      </c>
      <c r="E2282" s="41">
        <v>10110086</v>
      </c>
      <c r="F2282" s="85" t="s">
        <v>439</v>
      </c>
      <c r="G2282" s="39" t="s">
        <v>93</v>
      </c>
      <c r="H2282" s="52" t="s">
        <v>94</v>
      </c>
      <c r="I2282" s="52">
        <v>577.1</v>
      </c>
      <c r="J2282" s="49">
        <v>22944.560000000001</v>
      </c>
      <c r="K2282" s="58">
        <v>594.79999999999995</v>
      </c>
      <c r="L2282" s="58">
        <v>24695.610379704001</v>
      </c>
      <c r="M2282" s="58">
        <v>2.6999999999999997</v>
      </c>
      <c r="N2282" s="58">
        <v>110.92255020000003</v>
      </c>
      <c r="O2282" s="58">
        <v>597.5</v>
      </c>
      <c r="P2282" s="53">
        <v>24806.532929904002</v>
      </c>
      <c r="Q2282" s="65">
        <v>22944.560000000001</v>
      </c>
      <c r="R2282" s="65">
        <v>0</v>
      </c>
      <c r="S2282" s="65">
        <v>110.92255020000003</v>
      </c>
      <c r="T2282" s="65">
        <v>1861.9729299040009</v>
      </c>
      <c r="U2282" s="58">
        <v>3900</v>
      </c>
      <c r="V2282" s="65">
        <v>0</v>
      </c>
      <c r="W2282" s="65">
        <v>0</v>
      </c>
      <c r="X2282" s="65">
        <v>18934</v>
      </c>
      <c r="Y2282" s="65">
        <v>0</v>
      </c>
      <c r="Z2282" s="51">
        <v>0</v>
      </c>
      <c r="AA2282" s="51">
        <v>0</v>
      </c>
      <c r="AB2282" s="102">
        <v>0</v>
      </c>
      <c r="AC2282" s="81">
        <f t="shared" si="108"/>
        <v>97.726093363368534</v>
      </c>
      <c r="AD2282" s="82">
        <f t="shared" si="109"/>
        <v>82.44285714285715</v>
      </c>
      <c r="AE2282" s="218">
        <v>-8.1150953860261471E-2</v>
      </c>
      <c r="AF2282">
        <v>4</v>
      </c>
      <c r="AH2282" t="str">
        <f t="shared" si="110"/>
        <v>Sahibpur Kamal</v>
      </c>
      <c r="AJ2282" s="72">
        <v>0</v>
      </c>
      <c r="AK2282" s="72"/>
      <c r="AL2282" s="72"/>
      <c r="AM2282" s="72"/>
    </row>
    <row r="2283" spans="1:39" x14ac:dyDescent="0.25">
      <c r="A2283" s="37" t="s">
        <v>62</v>
      </c>
      <c r="B2283" s="66" t="s">
        <v>1629</v>
      </c>
      <c r="C2283" s="41">
        <v>1054</v>
      </c>
      <c r="D2283" s="41" t="s">
        <v>828</v>
      </c>
      <c r="E2283" s="41">
        <v>10110093</v>
      </c>
      <c r="F2283" s="85" t="s">
        <v>487</v>
      </c>
      <c r="G2283" s="39" t="s">
        <v>93</v>
      </c>
      <c r="H2283" s="52" t="s">
        <v>94</v>
      </c>
      <c r="I2283" s="52">
        <v>417.8</v>
      </c>
      <c r="J2283" s="49">
        <v>14348.44</v>
      </c>
      <c r="K2283" s="58">
        <v>486</v>
      </c>
      <c r="L2283" s="58">
        <v>18941.22106272</v>
      </c>
      <c r="M2283" s="58">
        <v>10</v>
      </c>
      <c r="N2283" s="58">
        <v>387.29892960000001</v>
      </c>
      <c r="O2283" s="58">
        <v>496</v>
      </c>
      <c r="P2283" s="53">
        <v>19328.519992320002</v>
      </c>
      <c r="Q2283" s="65">
        <v>14348.44</v>
      </c>
      <c r="R2283" s="65">
        <v>0</v>
      </c>
      <c r="S2283" s="65">
        <v>387.29892960000001</v>
      </c>
      <c r="T2283" s="65">
        <v>4980.0799923200011</v>
      </c>
      <c r="U2283" s="58">
        <v>0</v>
      </c>
      <c r="V2283" s="65">
        <v>0</v>
      </c>
      <c r="W2283" s="65">
        <v>0</v>
      </c>
      <c r="X2283" s="65">
        <v>13961</v>
      </c>
      <c r="Y2283" s="65">
        <v>0</v>
      </c>
      <c r="Z2283" s="51">
        <v>0</v>
      </c>
      <c r="AA2283" s="51">
        <v>0</v>
      </c>
      <c r="AB2283" s="102">
        <v>0</v>
      </c>
      <c r="AC2283" s="81">
        <f t="shared" si="108"/>
        <v>193.83100852082339</v>
      </c>
      <c r="AD2283" s="82">
        <f t="shared" si="109"/>
        <v>59.68571428571429</v>
      </c>
      <c r="AE2283" s="218">
        <v>-0.34708163342635162</v>
      </c>
      <c r="AF2283">
        <v>2</v>
      </c>
      <c r="AH2283" t="str">
        <f t="shared" si="110"/>
        <v xml:space="preserve">Alauli </v>
      </c>
      <c r="AJ2283" s="72">
        <v>0</v>
      </c>
      <c r="AK2283" s="72"/>
      <c r="AL2283" s="72"/>
      <c r="AM2283" s="72"/>
    </row>
    <row r="2284" spans="1:39" x14ac:dyDescent="0.25">
      <c r="A2284" s="37" t="s">
        <v>62</v>
      </c>
      <c r="B2284" s="66" t="s">
        <v>1629</v>
      </c>
      <c r="C2284" s="41">
        <v>1011</v>
      </c>
      <c r="D2284" s="41" t="s">
        <v>289</v>
      </c>
      <c r="E2284" s="41">
        <v>10110094</v>
      </c>
      <c r="F2284" s="85" t="s">
        <v>488</v>
      </c>
      <c r="G2284" s="39" t="s">
        <v>93</v>
      </c>
      <c r="H2284" s="52" t="s">
        <v>94</v>
      </c>
      <c r="I2284" s="52">
        <v>372.09999999999997</v>
      </c>
      <c r="J2284" s="49">
        <v>13819.07</v>
      </c>
      <c r="K2284" s="58">
        <v>365.39</v>
      </c>
      <c r="L2284" s="58">
        <v>13572.343380100681</v>
      </c>
      <c r="M2284" s="58">
        <v>5.8200000000000012</v>
      </c>
      <c r="N2284" s="58">
        <v>217.51661913300001</v>
      </c>
      <c r="O2284" s="58">
        <v>371.21</v>
      </c>
      <c r="P2284" s="53">
        <v>13789.859999233682</v>
      </c>
      <c r="Q2284" s="65">
        <v>13789.859999233682</v>
      </c>
      <c r="R2284" s="65">
        <v>0</v>
      </c>
      <c r="S2284" s="65">
        <v>217.51661913300001</v>
      </c>
      <c r="T2284" s="65">
        <v>0</v>
      </c>
      <c r="U2284" s="58">
        <v>0</v>
      </c>
      <c r="V2284" s="65">
        <v>0</v>
      </c>
      <c r="W2284" s="65">
        <v>0</v>
      </c>
      <c r="X2284" s="65">
        <v>13571</v>
      </c>
      <c r="Y2284" s="65">
        <v>0</v>
      </c>
      <c r="Z2284" s="51">
        <v>0</v>
      </c>
      <c r="AA2284" s="51">
        <v>31</v>
      </c>
      <c r="AB2284" s="102">
        <v>0</v>
      </c>
      <c r="AC2284" s="81">
        <f t="shared" si="108"/>
        <v>243.55136001074985</v>
      </c>
      <c r="AD2284" s="82">
        <f t="shared" si="109"/>
        <v>53.157142857142851</v>
      </c>
      <c r="AE2284" s="218">
        <v>2.113745770613908E-3</v>
      </c>
      <c r="AF2284">
        <v>10</v>
      </c>
      <c r="AH2284" t="str">
        <f t="shared" si="110"/>
        <v>Sahibpur Kamal</v>
      </c>
      <c r="AJ2284" s="72">
        <v>0</v>
      </c>
      <c r="AK2284" s="72"/>
      <c r="AL2284" s="72"/>
      <c r="AM2284" s="72"/>
    </row>
    <row r="2285" spans="1:39" x14ac:dyDescent="0.25">
      <c r="A2285" s="37" t="s">
        <v>62</v>
      </c>
      <c r="B2285" s="66" t="s">
        <v>1629</v>
      </c>
      <c r="C2285" s="41">
        <v>1011</v>
      </c>
      <c r="D2285" s="41" t="s">
        <v>289</v>
      </c>
      <c r="E2285" s="41">
        <v>10110095</v>
      </c>
      <c r="F2285" s="85" t="s">
        <v>489</v>
      </c>
      <c r="G2285" s="39" t="s">
        <v>93</v>
      </c>
      <c r="H2285" s="52" t="s">
        <v>94</v>
      </c>
      <c r="I2285" s="52">
        <v>459.2</v>
      </c>
      <c r="J2285" s="49">
        <v>19439.240000000002</v>
      </c>
      <c r="K2285" s="58">
        <v>458.65</v>
      </c>
      <c r="L2285" s="58">
        <v>20315.682885613594</v>
      </c>
      <c r="M2285" s="58">
        <v>8.1</v>
      </c>
      <c r="N2285" s="58">
        <v>351.59242584000003</v>
      </c>
      <c r="O2285" s="58">
        <v>466.75</v>
      </c>
      <c r="P2285" s="53">
        <v>20667.275311453595</v>
      </c>
      <c r="Q2285" s="65">
        <v>19439.240000000002</v>
      </c>
      <c r="R2285" s="65">
        <v>0</v>
      </c>
      <c r="S2285" s="65">
        <v>351.59242584000003</v>
      </c>
      <c r="T2285" s="65">
        <v>1228.0353114535937</v>
      </c>
      <c r="U2285" s="58">
        <v>0</v>
      </c>
      <c r="V2285" s="65">
        <v>0</v>
      </c>
      <c r="W2285" s="65">
        <v>0</v>
      </c>
      <c r="X2285" s="65">
        <v>19088</v>
      </c>
      <c r="Y2285" s="65">
        <v>0</v>
      </c>
      <c r="Z2285" s="51">
        <v>0</v>
      </c>
      <c r="AA2285" s="51">
        <v>0</v>
      </c>
      <c r="AB2285" s="102">
        <v>0</v>
      </c>
      <c r="AC2285" s="81">
        <f t="shared" si="108"/>
        <v>203.87495609756104</v>
      </c>
      <c r="AD2285" s="82">
        <f t="shared" si="109"/>
        <v>65.599999999999994</v>
      </c>
      <c r="AE2285" s="218">
        <v>-6.3173010439378993E-2</v>
      </c>
      <c r="AF2285">
        <v>13</v>
      </c>
      <c r="AH2285" t="str">
        <f t="shared" si="110"/>
        <v>Sahibpur Kamal</v>
      </c>
      <c r="AJ2285" s="72">
        <v>0</v>
      </c>
      <c r="AK2285" s="72"/>
      <c r="AL2285" s="72"/>
      <c r="AM2285" s="72"/>
    </row>
    <row r="2286" spans="1:39" x14ac:dyDescent="0.25">
      <c r="A2286" s="37" t="s">
        <v>62</v>
      </c>
      <c r="B2286" s="66" t="s">
        <v>1629</v>
      </c>
      <c r="C2286" s="41">
        <v>1054</v>
      </c>
      <c r="D2286" s="41" t="s">
        <v>828</v>
      </c>
      <c r="E2286" s="41">
        <v>10110097</v>
      </c>
      <c r="F2286" s="85" t="s">
        <v>504</v>
      </c>
      <c r="G2286" s="39" t="s">
        <v>93</v>
      </c>
      <c r="H2286" s="52" t="s">
        <v>94</v>
      </c>
      <c r="I2286" s="52">
        <v>99.199999999999989</v>
      </c>
      <c r="J2286" s="49">
        <v>4525.8100000000004</v>
      </c>
      <c r="K2286" s="58">
        <v>105.31</v>
      </c>
      <c r="L2286" s="58">
        <v>4507.0980311412004</v>
      </c>
      <c r="M2286" s="58">
        <v>0.67999999999999994</v>
      </c>
      <c r="N2286" s="58">
        <v>28.568190024000003</v>
      </c>
      <c r="O2286" s="58">
        <v>105.99000000000001</v>
      </c>
      <c r="P2286" s="53">
        <v>4535.6662211652001</v>
      </c>
      <c r="Q2286" s="65">
        <v>4525.8100000000004</v>
      </c>
      <c r="R2286" s="65">
        <v>0</v>
      </c>
      <c r="S2286" s="65">
        <v>28.568190024000003</v>
      </c>
      <c r="T2286" s="65">
        <v>9.8562211651997131</v>
      </c>
      <c r="U2286" s="58">
        <v>0</v>
      </c>
      <c r="V2286" s="65">
        <v>43.304142857142871</v>
      </c>
      <c r="W2286" s="65">
        <v>0</v>
      </c>
      <c r="X2286" s="65">
        <v>4454</v>
      </c>
      <c r="Y2286" s="65">
        <v>0</v>
      </c>
      <c r="Z2286" s="51">
        <v>0</v>
      </c>
      <c r="AA2286" s="51">
        <v>0</v>
      </c>
      <c r="AB2286" s="102">
        <v>0</v>
      </c>
      <c r="AC2286" s="81">
        <f t="shared" si="108"/>
        <v>548.20698548387111</v>
      </c>
      <c r="AD2286" s="82">
        <f t="shared" si="109"/>
        <v>14.171428571428569</v>
      </c>
      <c r="AE2286" s="218">
        <v>-2.1777805884912781E-3</v>
      </c>
      <c r="AF2286">
        <v>3</v>
      </c>
      <c r="AH2286" t="str">
        <f t="shared" si="110"/>
        <v xml:space="preserve">Alauli </v>
      </c>
      <c r="AJ2286" s="72">
        <v>0</v>
      </c>
      <c r="AK2286" s="72"/>
      <c r="AL2286" s="72"/>
      <c r="AM2286" s="72"/>
    </row>
    <row r="2287" spans="1:39" x14ac:dyDescent="0.25">
      <c r="A2287" s="37" t="s">
        <v>62</v>
      </c>
      <c r="B2287" s="66" t="s">
        <v>1629</v>
      </c>
      <c r="C2287" s="41">
        <v>1054</v>
      </c>
      <c r="D2287" s="41" t="s">
        <v>828</v>
      </c>
      <c r="E2287" s="41">
        <v>10110098</v>
      </c>
      <c r="F2287" s="85" t="s">
        <v>509</v>
      </c>
      <c r="G2287" s="39" t="s">
        <v>93</v>
      </c>
      <c r="H2287" s="52" t="s">
        <v>94</v>
      </c>
      <c r="I2287" s="52">
        <v>155.60000000000002</v>
      </c>
      <c r="J2287" s="49">
        <v>6520.3</v>
      </c>
      <c r="K2287" s="58">
        <v>156.60000000000002</v>
      </c>
      <c r="L2287" s="58">
        <v>6643.36545363</v>
      </c>
      <c r="M2287" s="58">
        <v>0</v>
      </c>
      <c r="N2287" s="58">
        <v>0</v>
      </c>
      <c r="O2287" s="58">
        <v>156.60000000000002</v>
      </c>
      <c r="P2287" s="53">
        <v>6643.36545363</v>
      </c>
      <c r="Q2287" s="65">
        <v>6520.3</v>
      </c>
      <c r="R2287" s="65">
        <v>0</v>
      </c>
      <c r="S2287" s="65">
        <v>0</v>
      </c>
      <c r="T2287" s="65">
        <v>123.06545362999987</v>
      </c>
      <c r="U2287" s="58">
        <v>0</v>
      </c>
      <c r="V2287" s="65">
        <v>0</v>
      </c>
      <c r="W2287" s="65">
        <v>0</v>
      </c>
      <c r="X2287" s="65">
        <v>6520</v>
      </c>
      <c r="Y2287" s="65">
        <v>0</v>
      </c>
      <c r="Z2287" s="51">
        <v>0</v>
      </c>
      <c r="AA2287" s="51">
        <v>0</v>
      </c>
      <c r="AB2287" s="102">
        <v>0</v>
      </c>
      <c r="AC2287" s="81">
        <f t="shared" si="108"/>
        <v>456.25338303341897</v>
      </c>
      <c r="AD2287" s="82">
        <f t="shared" si="109"/>
        <v>22.228571428571431</v>
      </c>
      <c r="AE2287" s="218">
        <v>-1.8874201130316067E-2</v>
      </c>
      <c r="AF2287">
        <v>1</v>
      </c>
      <c r="AH2287" t="str">
        <f t="shared" si="110"/>
        <v xml:space="preserve">Alauli </v>
      </c>
      <c r="AJ2287" s="72">
        <v>0</v>
      </c>
      <c r="AK2287" s="72"/>
      <c r="AL2287" s="72"/>
      <c r="AM2287" s="72"/>
    </row>
    <row r="2288" spans="1:39" x14ac:dyDescent="0.25">
      <c r="A2288" s="37" t="s">
        <v>62</v>
      </c>
      <c r="B2288" s="66" t="s">
        <v>1629</v>
      </c>
      <c r="C2288" s="41">
        <v>1054</v>
      </c>
      <c r="D2288" s="41" t="s">
        <v>828</v>
      </c>
      <c r="E2288" s="41">
        <v>10110100</v>
      </c>
      <c r="F2288" s="85" t="s">
        <v>510</v>
      </c>
      <c r="G2288" s="39" t="s">
        <v>93</v>
      </c>
      <c r="H2288" s="52" t="s">
        <v>94</v>
      </c>
      <c r="I2288" s="52">
        <v>3609.4999999999995</v>
      </c>
      <c r="J2288" s="49">
        <v>146005.74000000002</v>
      </c>
      <c r="K2288" s="58">
        <v>3731.83</v>
      </c>
      <c r="L2288" s="58">
        <v>149847.32104366372</v>
      </c>
      <c r="M2288" s="58">
        <v>2.56</v>
      </c>
      <c r="N2288" s="58">
        <v>98.928859392000007</v>
      </c>
      <c r="O2288" s="58">
        <v>3734.39</v>
      </c>
      <c r="P2288" s="53">
        <v>149946.24990305572</v>
      </c>
      <c r="Q2288" s="65">
        <v>146005.74000000002</v>
      </c>
      <c r="R2288" s="65">
        <v>0</v>
      </c>
      <c r="S2288" s="65">
        <v>98.928859392000007</v>
      </c>
      <c r="T2288" s="65">
        <v>3940.509903055703</v>
      </c>
      <c r="U2288" s="58">
        <v>0</v>
      </c>
      <c r="V2288" s="65">
        <v>0</v>
      </c>
      <c r="W2288" s="65">
        <v>0</v>
      </c>
      <c r="X2288" s="65">
        <v>145907</v>
      </c>
      <c r="Y2288" s="65">
        <v>0</v>
      </c>
      <c r="Z2288" s="51">
        <v>0</v>
      </c>
      <c r="AA2288" s="51">
        <v>0</v>
      </c>
      <c r="AB2288" s="102">
        <v>0</v>
      </c>
      <c r="AC2288" s="81">
        <f t="shared" si="108"/>
        <v>0</v>
      </c>
      <c r="AD2288" s="82">
        <f t="shared" si="109"/>
        <v>0</v>
      </c>
      <c r="AE2288" s="218">
        <v>-2.698873279266762E-2</v>
      </c>
      <c r="AF2288">
        <v>16</v>
      </c>
      <c r="AH2288" t="str">
        <f t="shared" si="110"/>
        <v xml:space="preserve">Alauli </v>
      </c>
      <c r="AJ2288" s="72">
        <v>0</v>
      </c>
      <c r="AK2288" s="72"/>
      <c r="AL2288" s="72"/>
      <c r="AM2288" s="72"/>
    </row>
    <row r="2289" spans="1:39" x14ac:dyDescent="0.25">
      <c r="A2289" s="37" t="s">
        <v>62</v>
      </c>
      <c r="B2289" s="66" t="s">
        <v>1629</v>
      </c>
      <c r="C2289" s="41">
        <v>1054</v>
      </c>
      <c r="D2289" s="41" t="s">
        <v>828</v>
      </c>
      <c r="E2289" s="41">
        <v>10110101</v>
      </c>
      <c r="F2289" s="85" t="s">
        <v>520</v>
      </c>
      <c r="G2289" s="39" t="s">
        <v>93</v>
      </c>
      <c r="H2289" s="52" t="s">
        <v>94</v>
      </c>
      <c r="I2289" s="52">
        <v>207.4</v>
      </c>
      <c r="J2289" s="49">
        <v>8813.7999999999993</v>
      </c>
      <c r="K2289" s="58">
        <v>199.62</v>
      </c>
      <c r="L2289" s="58">
        <v>9167.6109863073125</v>
      </c>
      <c r="M2289" s="58">
        <v>5.0399999999999991</v>
      </c>
      <c r="N2289" s="58">
        <v>206.26634844564003</v>
      </c>
      <c r="O2289" s="58">
        <v>204.66</v>
      </c>
      <c r="P2289" s="53">
        <v>9373.8773347529532</v>
      </c>
      <c r="Q2289" s="65">
        <v>8813.7999999999993</v>
      </c>
      <c r="R2289" s="65">
        <v>0</v>
      </c>
      <c r="S2289" s="65">
        <v>206.26634844564003</v>
      </c>
      <c r="T2289" s="65">
        <v>560.0773347529539</v>
      </c>
      <c r="U2289" s="58">
        <v>0</v>
      </c>
      <c r="V2289" s="65">
        <v>0</v>
      </c>
      <c r="W2289" s="65">
        <v>0</v>
      </c>
      <c r="X2289" s="65">
        <v>8608</v>
      </c>
      <c r="Y2289" s="65">
        <v>0</v>
      </c>
      <c r="Z2289" s="51">
        <v>0</v>
      </c>
      <c r="AA2289" s="51">
        <v>0</v>
      </c>
      <c r="AB2289" s="102">
        <v>0</v>
      </c>
      <c r="AC2289" s="81">
        <f t="shared" si="108"/>
        <v>418.67674831243966</v>
      </c>
      <c r="AD2289" s="82">
        <f t="shared" si="109"/>
        <v>29.62857142857143</v>
      </c>
      <c r="AE2289" s="218">
        <v>-6.3545500777525465E-2</v>
      </c>
      <c r="AF2289">
        <v>12</v>
      </c>
      <c r="AH2289" t="str">
        <f t="shared" si="110"/>
        <v xml:space="preserve">Alauli </v>
      </c>
      <c r="AJ2289" s="72">
        <v>0</v>
      </c>
      <c r="AK2289" s="72"/>
      <c r="AL2289" s="72"/>
      <c r="AM2289" s="72"/>
    </row>
    <row r="2290" spans="1:39" x14ac:dyDescent="0.25">
      <c r="A2290" s="37" t="s">
        <v>62</v>
      </c>
      <c r="B2290" s="66" t="s">
        <v>1629</v>
      </c>
      <c r="C2290" s="41">
        <v>1011</v>
      </c>
      <c r="D2290" s="41" t="s">
        <v>289</v>
      </c>
      <c r="E2290" s="41">
        <v>10110105</v>
      </c>
      <c r="F2290" s="85" t="s">
        <v>531</v>
      </c>
      <c r="G2290" s="39" t="s">
        <v>93</v>
      </c>
      <c r="H2290" s="52" t="s">
        <v>94</v>
      </c>
      <c r="I2290" s="52">
        <v>377.20000000000005</v>
      </c>
      <c r="J2290" s="49">
        <v>13410.51</v>
      </c>
      <c r="K2290" s="58">
        <v>424.95000000000005</v>
      </c>
      <c r="L2290" s="58">
        <v>16048.849208827562</v>
      </c>
      <c r="M2290" s="58">
        <v>0</v>
      </c>
      <c r="N2290" s="58">
        <v>0</v>
      </c>
      <c r="O2290" s="58">
        <v>424.95000000000005</v>
      </c>
      <c r="P2290" s="53">
        <v>16048.849208827562</v>
      </c>
      <c r="Q2290" s="65">
        <v>13410.51</v>
      </c>
      <c r="R2290" s="65">
        <v>0</v>
      </c>
      <c r="S2290" s="65">
        <v>0</v>
      </c>
      <c r="T2290" s="65">
        <v>2638.3392088275614</v>
      </c>
      <c r="U2290" s="58">
        <v>0</v>
      </c>
      <c r="V2290" s="65">
        <v>10.147560000000041</v>
      </c>
      <c r="W2290" s="65">
        <v>0</v>
      </c>
      <c r="X2290" s="65">
        <v>13400</v>
      </c>
      <c r="Y2290" s="65">
        <v>0</v>
      </c>
      <c r="Z2290" s="51">
        <v>0</v>
      </c>
      <c r="AA2290" s="51">
        <v>0</v>
      </c>
      <c r="AB2290" s="102" t="s">
        <v>68</v>
      </c>
      <c r="AC2290" s="81">
        <f t="shared" si="108"/>
        <v>229.52877136797449</v>
      </c>
      <c r="AD2290" s="82">
        <f t="shared" si="109"/>
        <v>53.885714285714293</v>
      </c>
      <c r="AE2290" s="218">
        <v>-0.19673667957650837</v>
      </c>
      <c r="AF2290">
        <v>13</v>
      </c>
      <c r="AH2290" t="str">
        <f t="shared" si="110"/>
        <v>Sahibpur Kamal</v>
      </c>
      <c r="AJ2290" s="72">
        <v>0</v>
      </c>
      <c r="AK2290" s="72"/>
      <c r="AL2290" s="72"/>
      <c r="AM2290" s="72"/>
    </row>
    <row r="2291" spans="1:39" x14ac:dyDescent="0.25">
      <c r="A2291" s="37" t="s">
        <v>62</v>
      </c>
      <c r="B2291" s="66" t="s">
        <v>1629</v>
      </c>
      <c r="C2291" s="41">
        <v>1011</v>
      </c>
      <c r="D2291" s="41" t="s">
        <v>289</v>
      </c>
      <c r="E2291" s="41">
        <v>10110106</v>
      </c>
      <c r="F2291" s="85" t="s">
        <v>624</v>
      </c>
      <c r="G2291" s="39" t="s">
        <v>93</v>
      </c>
      <c r="H2291" s="52" t="s">
        <v>94</v>
      </c>
      <c r="I2291" s="52">
        <v>7071.2</v>
      </c>
      <c r="J2291" s="49">
        <v>274547.35000000003</v>
      </c>
      <c r="K2291" s="58">
        <v>1484.7400000000002</v>
      </c>
      <c r="L2291" s="58">
        <v>66684.791978503286</v>
      </c>
      <c r="M2291" s="58">
        <v>5554.7</v>
      </c>
      <c r="N2291" s="58">
        <v>213879.21915491999</v>
      </c>
      <c r="O2291" s="58">
        <v>7039.4400000000005</v>
      </c>
      <c r="P2291" s="53">
        <v>280564.01113342331</v>
      </c>
      <c r="Q2291" s="65">
        <v>274547.35000000003</v>
      </c>
      <c r="R2291" s="65">
        <v>0</v>
      </c>
      <c r="S2291" s="65">
        <v>292.50730872000003</v>
      </c>
      <c r="T2291" s="65">
        <v>6016.661133423273</v>
      </c>
      <c r="U2291" s="58">
        <v>0</v>
      </c>
      <c r="V2291" s="65">
        <v>0</v>
      </c>
      <c r="W2291" s="65">
        <v>0</v>
      </c>
      <c r="X2291" s="65">
        <v>60668</v>
      </c>
      <c r="Y2291" s="65">
        <v>213587</v>
      </c>
      <c r="Z2291" s="51">
        <v>0</v>
      </c>
      <c r="AA2291" s="51">
        <v>0</v>
      </c>
      <c r="AB2291" s="102">
        <v>0</v>
      </c>
      <c r="AC2291" s="81">
        <f t="shared" si="108"/>
        <v>0</v>
      </c>
      <c r="AD2291" s="82">
        <f t="shared" si="109"/>
        <v>0</v>
      </c>
      <c r="AE2291" s="218">
        <v>-2.1914839583857839E-2</v>
      </c>
      <c r="AF2291">
        <v>10</v>
      </c>
      <c r="AH2291" t="str">
        <f t="shared" si="110"/>
        <v>Sahibpur Kamal</v>
      </c>
      <c r="AJ2291" s="72">
        <v>0</v>
      </c>
      <c r="AK2291" s="72"/>
      <c r="AL2291" s="72"/>
      <c r="AM2291" s="72"/>
    </row>
    <row r="2292" spans="1:39" x14ac:dyDescent="0.25">
      <c r="A2292" s="37" t="s">
        <v>62</v>
      </c>
      <c r="B2292" s="66" t="s">
        <v>1629</v>
      </c>
      <c r="C2292" s="41">
        <v>1054</v>
      </c>
      <c r="D2292" s="41" t="s">
        <v>828</v>
      </c>
      <c r="E2292" s="41">
        <v>10110109</v>
      </c>
      <c r="F2292" s="85" t="s">
        <v>1345</v>
      </c>
      <c r="G2292" s="39" t="s">
        <v>93</v>
      </c>
      <c r="H2292" s="52" t="s">
        <v>94</v>
      </c>
      <c r="I2292" s="52">
        <v>247.2</v>
      </c>
      <c r="J2292" s="49">
        <v>9958.43</v>
      </c>
      <c r="K2292" s="58">
        <v>261.27</v>
      </c>
      <c r="L2292" s="58">
        <v>10768.760451504</v>
      </c>
      <c r="M2292" s="58">
        <v>1.4400000000000004</v>
      </c>
      <c r="N2292" s="58">
        <v>59.103276011999995</v>
      </c>
      <c r="O2292" s="58">
        <v>262.70999999999998</v>
      </c>
      <c r="P2292" s="53">
        <v>10827.863727516</v>
      </c>
      <c r="Q2292" s="65">
        <v>9958.43</v>
      </c>
      <c r="R2292" s="65">
        <v>0</v>
      </c>
      <c r="S2292" s="65">
        <v>59.103276011999995</v>
      </c>
      <c r="T2292" s="65">
        <v>869.43372751599964</v>
      </c>
      <c r="U2292" s="58">
        <v>0</v>
      </c>
      <c r="V2292" s="65">
        <v>56.12</v>
      </c>
      <c r="W2292" s="65">
        <v>0</v>
      </c>
      <c r="X2292" s="65">
        <v>9843</v>
      </c>
      <c r="Y2292" s="65">
        <v>0</v>
      </c>
      <c r="Z2292" s="51">
        <v>0</v>
      </c>
      <c r="AA2292" s="51">
        <v>0</v>
      </c>
      <c r="AB2292" s="102" t="s">
        <v>68</v>
      </c>
      <c r="AC2292" s="81">
        <f t="shared" si="108"/>
        <v>364.82015404530745</v>
      </c>
      <c r="AD2292" s="82">
        <f t="shared" si="109"/>
        <v>35.31428571428571</v>
      </c>
      <c r="AE2292" s="218">
        <v>-8.7306305061741626E-2</v>
      </c>
      <c r="AF2292">
        <v>2</v>
      </c>
      <c r="AH2292" t="str">
        <f t="shared" si="110"/>
        <v xml:space="preserve">Alauli </v>
      </c>
      <c r="AJ2292" s="72">
        <v>0</v>
      </c>
      <c r="AK2292" s="72"/>
      <c r="AL2292" s="72"/>
      <c r="AM2292" s="72"/>
    </row>
    <row r="2293" spans="1:39" x14ac:dyDescent="0.25">
      <c r="A2293" s="37" t="s">
        <v>62</v>
      </c>
      <c r="B2293" s="66" t="s">
        <v>1629</v>
      </c>
      <c r="C2293" s="41">
        <v>1055</v>
      </c>
      <c r="D2293" s="41" t="s">
        <v>1148</v>
      </c>
      <c r="E2293" s="41">
        <v>10110110</v>
      </c>
      <c r="F2293" s="85" t="s">
        <v>590</v>
      </c>
      <c r="G2293" s="39" t="s">
        <v>93</v>
      </c>
      <c r="H2293" s="52" t="s">
        <v>94</v>
      </c>
      <c r="I2293" s="52">
        <v>169.9</v>
      </c>
      <c r="J2293" s="49">
        <v>7804.27</v>
      </c>
      <c r="K2293" s="58">
        <v>168.12</v>
      </c>
      <c r="L2293" s="58">
        <v>8198.3171117440234</v>
      </c>
      <c r="M2293" s="58">
        <v>1.81</v>
      </c>
      <c r="N2293" s="58">
        <v>118.2618747331</v>
      </c>
      <c r="O2293" s="58">
        <v>169.93</v>
      </c>
      <c r="P2293" s="53">
        <v>8316.5789864771232</v>
      </c>
      <c r="Q2293" s="65">
        <v>7804.27</v>
      </c>
      <c r="R2293" s="65">
        <v>0</v>
      </c>
      <c r="S2293" s="65">
        <v>118.2618747331</v>
      </c>
      <c r="T2293" s="65">
        <v>512.30898647712274</v>
      </c>
      <c r="U2293" s="58">
        <v>2600</v>
      </c>
      <c r="V2293" s="65">
        <v>2.06</v>
      </c>
      <c r="W2293" s="65">
        <v>0</v>
      </c>
      <c r="X2293" s="65">
        <v>5084</v>
      </c>
      <c r="Y2293" s="65">
        <v>0</v>
      </c>
      <c r="Z2293" s="51">
        <v>0</v>
      </c>
      <c r="AA2293" s="51">
        <v>0</v>
      </c>
      <c r="AB2293" s="102" t="s">
        <v>68</v>
      </c>
      <c r="AC2293" s="81">
        <f t="shared" si="108"/>
        <v>486.99747227781052</v>
      </c>
      <c r="AD2293" s="82">
        <f t="shared" si="109"/>
        <v>24.271428571428572</v>
      </c>
      <c r="AE2293" s="218">
        <v>-6.5644703025026396E-2</v>
      </c>
      <c r="AF2293">
        <v>3</v>
      </c>
      <c r="AH2293" t="str">
        <f t="shared" si="110"/>
        <v>Matihani</v>
      </c>
      <c r="AJ2293" s="72">
        <v>0</v>
      </c>
      <c r="AK2293" s="72"/>
      <c r="AL2293" s="72"/>
      <c r="AM2293" s="72"/>
    </row>
    <row r="2294" spans="1:39" x14ac:dyDescent="0.25">
      <c r="A2294" s="37" t="s">
        <v>62</v>
      </c>
      <c r="B2294" s="66" t="s">
        <v>1629</v>
      </c>
      <c r="C2294" s="41">
        <v>1055</v>
      </c>
      <c r="D2294" s="41" t="s">
        <v>1148</v>
      </c>
      <c r="E2294" s="41">
        <v>10110111</v>
      </c>
      <c r="F2294" s="85" t="s">
        <v>565</v>
      </c>
      <c r="G2294" s="39" t="s">
        <v>93</v>
      </c>
      <c r="H2294" s="52" t="s">
        <v>94</v>
      </c>
      <c r="I2294" s="52">
        <v>222.89999999999998</v>
      </c>
      <c r="J2294" s="49">
        <v>12499.24</v>
      </c>
      <c r="K2294" s="58">
        <v>208.26000000000002</v>
      </c>
      <c r="L2294" s="58">
        <v>11688.641099513801</v>
      </c>
      <c r="M2294" s="58">
        <v>2.9200000000000008</v>
      </c>
      <c r="N2294" s="58">
        <v>193.55827884619998</v>
      </c>
      <c r="O2294" s="58">
        <v>211.18</v>
      </c>
      <c r="P2294" s="53">
        <v>11882.199378360001</v>
      </c>
      <c r="Q2294" s="65">
        <v>11882.199378360001</v>
      </c>
      <c r="R2294" s="65">
        <v>0</v>
      </c>
      <c r="S2294" s="65">
        <v>193.55827884619998</v>
      </c>
      <c r="T2294" s="65">
        <v>0</v>
      </c>
      <c r="U2294" s="58">
        <v>0</v>
      </c>
      <c r="V2294" s="65">
        <v>2.118422950819614</v>
      </c>
      <c r="W2294" s="65">
        <v>0</v>
      </c>
      <c r="X2294" s="65">
        <v>11686</v>
      </c>
      <c r="Y2294" s="65">
        <v>0</v>
      </c>
      <c r="Z2294" s="51">
        <v>0</v>
      </c>
      <c r="AA2294" s="51">
        <v>618</v>
      </c>
      <c r="AB2294" s="102">
        <v>0</v>
      </c>
      <c r="AC2294" s="81">
        <f t="shared" si="108"/>
        <v>535.07289403319885</v>
      </c>
      <c r="AD2294" s="82">
        <f t="shared" si="109"/>
        <v>31.842857142857138</v>
      </c>
      <c r="AE2294" s="218">
        <v>4.936625119927282E-2</v>
      </c>
      <c r="AF2294">
        <v>4</v>
      </c>
      <c r="AH2294" t="str">
        <f t="shared" si="110"/>
        <v>Matihani</v>
      </c>
      <c r="AJ2294" s="72">
        <v>0</v>
      </c>
      <c r="AK2294" s="72"/>
      <c r="AL2294" s="72"/>
      <c r="AM2294" s="72"/>
    </row>
    <row r="2295" spans="1:39" x14ac:dyDescent="0.25">
      <c r="A2295" s="37" t="s">
        <v>62</v>
      </c>
      <c r="B2295" s="66" t="s">
        <v>1629</v>
      </c>
      <c r="C2295" s="41">
        <v>1054</v>
      </c>
      <c r="D2295" s="41" t="s">
        <v>828</v>
      </c>
      <c r="E2295" s="41">
        <v>10110114</v>
      </c>
      <c r="F2295" s="85" t="s">
        <v>591</v>
      </c>
      <c r="G2295" s="39" t="s">
        <v>93</v>
      </c>
      <c r="H2295" s="52" t="s">
        <v>94</v>
      </c>
      <c r="I2295" s="52">
        <v>547.6</v>
      </c>
      <c r="J2295" s="49">
        <v>20192</v>
      </c>
      <c r="K2295" s="58">
        <v>557.80999999999995</v>
      </c>
      <c r="L2295" s="58">
        <v>20196.019404217801</v>
      </c>
      <c r="M2295" s="58">
        <v>0</v>
      </c>
      <c r="N2295" s="58">
        <v>0</v>
      </c>
      <c r="O2295" s="58">
        <v>557.80999999999995</v>
      </c>
      <c r="P2295" s="53">
        <v>20196.019404217801</v>
      </c>
      <c r="Q2295" s="65">
        <v>20192</v>
      </c>
      <c r="R2295" s="65">
        <v>0</v>
      </c>
      <c r="S2295" s="65">
        <v>0</v>
      </c>
      <c r="T2295" s="65">
        <v>4.0194042178009113</v>
      </c>
      <c r="U2295" s="58">
        <v>0</v>
      </c>
      <c r="V2295" s="65">
        <v>0</v>
      </c>
      <c r="W2295" s="65">
        <v>0</v>
      </c>
      <c r="X2295" s="65">
        <v>20192</v>
      </c>
      <c r="Y2295" s="65">
        <v>0</v>
      </c>
      <c r="Z2295" s="51">
        <v>0</v>
      </c>
      <c r="AA2295" s="51">
        <v>0</v>
      </c>
      <c r="AB2295" s="102">
        <v>0</v>
      </c>
      <c r="AC2295" s="81">
        <f t="shared" si="108"/>
        <v>112.39082542001461</v>
      </c>
      <c r="AD2295" s="82">
        <f t="shared" si="109"/>
        <v>78.228571428571428</v>
      </c>
      <c r="AE2295" s="218">
        <v>-1.9905924216525908E-4</v>
      </c>
      <c r="AF2295">
        <v>2</v>
      </c>
      <c r="AH2295" t="str">
        <f t="shared" si="110"/>
        <v xml:space="preserve">Alauli </v>
      </c>
      <c r="AJ2295" s="72">
        <v>0</v>
      </c>
      <c r="AK2295" s="72"/>
      <c r="AL2295" s="72"/>
      <c r="AM2295" s="72"/>
    </row>
    <row r="2296" spans="1:39" x14ac:dyDescent="0.25">
      <c r="A2296" s="37" t="s">
        <v>62</v>
      </c>
      <c r="B2296" s="66" t="s">
        <v>1629</v>
      </c>
      <c r="C2296" s="41">
        <v>1054</v>
      </c>
      <c r="D2296" s="41" t="s">
        <v>828</v>
      </c>
      <c r="E2296" s="41">
        <v>10110116</v>
      </c>
      <c r="F2296" s="85" t="s">
        <v>546</v>
      </c>
      <c r="G2296" s="39" t="s">
        <v>93</v>
      </c>
      <c r="H2296" s="52" t="s">
        <v>94</v>
      </c>
      <c r="I2296" s="52">
        <v>770.09999999999991</v>
      </c>
      <c r="J2296" s="49">
        <v>27052.109999999997</v>
      </c>
      <c r="K2296" s="58">
        <v>771.1</v>
      </c>
      <c r="L2296" s="58">
        <v>27084.204852210009</v>
      </c>
      <c r="M2296" s="58">
        <v>0</v>
      </c>
      <c r="N2296" s="58">
        <v>0</v>
      </c>
      <c r="O2296" s="58">
        <v>771.1</v>
      </c>
      <c r="P2296" s="53">
        <v>27084.204852210009</v>
      </c>
      <c r="Q2296" s="65">
        <v>27052.109999999997</v>
      </c>
      <c r="R2296" s="65">
        <v>0</v>
      </c>
      <c r="S2296" s="65">
        <v>0</v>
      </c>
      <c r="T2296" s="65">
        <v>32.094852210011595</v>
      </c>
      <c r="U2296" s="58">
        <v>0</v>
      </c>
      <c r="V2296" s="65">
        <v>0</v>
      </c>
      <c r="W2296" s="65">
        <v>0</v>
      </c>
      <c r="X2296" s="65">
        <v>27052</v>
      </c>
      <c r="Y2296" s="65">
        <v>0</v>
      </c>
      <c r="Z2296" s="51">
        <v>0</v>
      </c>
      <c r="AA2296" s="51">
        <v>0</v>
      </c>
      <c r="AB2296" s="102">
        <v>0</v>
      </c>
      <c r="AC2296" s="81">
        <f t="shared" si="108"/>
        <v>0</v>
      </c>
      <c r="AD2296" s="82">
        <f t="shared" si="109"/>
        <v>0</v>
      </c>
      <c r="AE2296" s="218">
        <v>-1.1864084616694077E-3</v>
      </c>
      <c r="AF2296">
        <v>4</v>
      </c>
      <c r="AH2296" t="str">
        <f t="shared" si="110"/>
        <v xml:space="preserve">Alauli </v>
      </c>
      <c r="AJ2296" s="72">
        <v>0</v>
      </c>
      <c r="AK2296" s="72"/>
      <c r="AL2296" s="72"/>
      <c r="AM2296" s="72"/>
    </row>
    <row r="2297" spans="1:39" x14ac:dyDescent="0.25">
      <c r="A2297" s="37" t="s">
        <v>62</v>
      </c>
      <c r="B2297" s="66" t="s">
        <v>1629</v>
      </c>
      <c r="C2297" s="41">
        <v>1054</v>
      </c>
      <c r="D2297" s="41" t="s">
        <v>828</v>
      </c>
      <c r="E2297" s="41">
        <v>10110118</v>
      </c>
      <c r="F2297" s="85" t="s">
        <v>593</v>
      </c>
      <c r="G2297" s="39" t="s">
        <v>93</v>
      </c>
      <c r="H2297" s="52" t="s">
        <v>94</v>
      </c>
      <c r="I2297" s="52">
        <v>463.99999999999994</v>
      </c>
      <c r="J2297" s="49">
        <v>17601.830000000002</v>
      </c>
      <c r="K2297" s="58">
        <v>257.39</v>
      </c>
      <c r="L2297" s="58">
        <v>10769.789607603891</v>
      </c>
      <c r="M2297" s="58">
        <v>205.14</v>
      </c>
      <c r="N2297" s="58">
        <v>7735.1374909796878</v>
      </c>
      <c r="O2297" s="58">
        <v>462.53</v>
      </c>
      <c r="P2297" s="53">
        <v>18504.927098583579</v>
      </c>
      <c r="Q2297" s="65">
        <v>17601.830000000002</v>
      </c>
      <c r="R2297" s="65">
        <v>0</v>
      </c>
      <c r="S2297" s="65">
        <v>472.20186270779999</v>
      </c>
      <c r="T2297" s="65">
        <v>903.09709858357746</v>
      </c>
      <c r="U2297" s="58">
        <v>0</v>
      </c>
      <c r="V2297" s="65">
        <v>71.224500000000049</v>
      </c>
      <c r="W2297" s="65">
        <v>0</v>
      </c>
      <c r="X2297" s="65">
        <v>9795</v>
      </c>
      <c r="Y2297" s="65">
        <v>7263</v>
      </c>
      <c r="Z2297" s="51">
        <v>0</v>
      </c>
      <c r="AA2297" s="51">
        <v>0</v>
      </c>
      <c r="AB2297" s="102" t="s">
        <v>68</v>
      </c>
      <c r="AC2297" s="81">
        <f t="shared" si="108"/>
        <v>179.05309827586214</v>
      </c>
      <c r="AD2297" s="82">
        <f t="shared" si="109"/>
        <v>66.285714285714278</v>
      </c>
      <c r="AE2297" s="218">
        <v>-5.1307000384822339E-2</v>
      </c>
      <c r="AF2297">
        <v>13</v>
      </c>
      <c r="AH2297" t="str">
        <f t="shared" si="110"/>
        <v xml:space="preserve">Alauli </v>
      </c>
      <c r="AJ2297" s="72">
        <v>0</v>
      </c>
      <c r="AK2297" s="72"/>
      <c r="AL2297" s="72"/>
      <c r="AM2297" s="72"/>
    </row>
    <row r="2298" spans="1:39" x14ac:dyDescent="0.25">
      <c r="A2298" s="37" t="s">
        <v>62</v>
      </c>
      <c r="B2298" s="66" t="s">
        <v>1629</v>
      </c>
      <c r="C2298" s="41">
        <v>1054</v>
      </c>
      <c r="D2298" s="41" t="s">
        <v>828</v>
      </c>
      <c r="E2298" s="41">
        <v>10110119</v>
      </c>
      <c r="F2298" s="85" t="s">
        <v>594</v>
      </c>
      <c r="G2298" s="39" t="s">
        <v>93</v>
      </c>
      <c r="H2298" s="52" t="s">
        <v>94</v>
      </c>
      <c r="I2298" s="52">
        <v>321.19999999999993</v>
      </c>
      <c r="J2298" s="49">
        <v>11998.66</v>
      </c>
      <c r="K2298" s="58">
        <v>327.44</v>
      </c>
      <c r="L2298" s="58">
        <v>12679.92128161152</v>
      </c>
      <c r="M2298" s="58">
        <v>0</v>
      </c>
      <c r="N2298" s="58">
        <v>0</v>
      </c>
      <c r="O2298" s="58">
        <v>327.44</v>
      </c>
      <c r="P2298" s="53">
        <v>12679.92128161152</v>
      </c>
      <c r="Q2298" s="65">
        <v>11998.66</v>
      </c>
      <c r="R2298" s="65">
        <v>0</v>
      </c>
      <c r="S2298" s="65">
        <v>0</v>
      </c>
      <c r="T2298" s="65">
        <v>681.26128161151973</v>
      </c>
      <c r="U2298" s="58">
        <v>0</v>
      </c>
      <c r="V2298" s="65">
        <v>0</v>
      </c>
      <c r="W2298" s="65">
        <v>0</v>
      </c>
      <c r="X2298" s="65">
        <v>11999</v>
      </c>
      <c r="Y2298" s="65">
        <v>0</v>
      </c>
      <c r="Z2298" s="51">
        <v>0</v>
      </c>
      <c r="AA2298" s="51">
        <v>0</v>
      </c>
      <c r="AB2298" s="102">
        <v>0</v>
      </c>
      <c r="AC2298" s="81">
        <f t="shared" si="108"/>
        <v>283.00699925280207</v>
      </c>
      <c r="AD2298" s="82">
        <f t="shared" si="109"/>
        <v>45.885714285714279</v>
      </c>
      <c r="AE2298" s="218">
        <v>-5.6778113690322062E-2</v>
      </c>
      <c r="AF2298">
        <v>14</v>
      </c>
      <c r="AH2298" t="str">
        <f t="shared" si="110"/>
        <v xml:space="preserve">Alauli </v>
      </c>
      <c r="AJ2298" s="72">
        <v>0</v>
      </c>
      <c r="AK2298" s="72"/>
      <c r="AL2298" s="72"/>
      <c r="AM2298" s="72"/>
    </row>
    <row r="2299" spans="1:39" x14ac:dyDescent="0.25">
      <c r="A2299" s="37" t="s">
        <v>62</v>
      </c>
      <c r="B2299" s="66" t="s">
        <v>1629</v>
      </c>
      <c r="C2299" s="41">
        <v>1054</v>
      </c>
      <c r="D2299" s="41" t="s">
        <v>828</v>
      </c>
      <c r="E2299" s="41">
        <v>10110120</v>
      </c>
      <c r="F2299" s="85" t="s">
        <v>831</v>
      </c>
      <c r="G2299" s="39" t="s">
        <v>93</v>
      </c>
      <c r="H2299" s="52" t="s">
        <v>94</v>
      </c>
      <c r="I2299" s="52">
        <v>1200.5999999999999</v>
      </c>
      <c r="J2299" s="49">
        <v>53095.5</v>
      </c>
      <c r="K2299" s="58">
        <v>35.599999999999994</v>
      </c>
      <c r="L2299" s="58">
        <v>1551.8343374026801</v>
      </c>
      <c r="M2299" s="58">
        <v>1165</v>
      </c>
      <c r="N2299" s="58">
        <v>51569.441305878005</v>
      </c>
      <c r="O2299" s="58">
        <v>1200.5999999999999</v>
      </c>
      <c r="P2299" s="53">
        <v>53121.275643280685</v>
      </c>
      <c r="Q2299" s="65">
        <v>53095.5</v>
      </c>
      <c r="R2299" s="65">
        <v>0</v>
      </c>
      <c r="S2299" s="65">
        <v>0</v>
      </c>
      <c r="T2299" s="65">
        <v>25.775643280685472</v>
      </c>
      <c r="U2299" s="58">
        <v>0</v>
      </c>
      <c r="V2299" s="65">
        <v>0</v>
      </c>
      <c r="W2299" s="65">
        <v>0</v>
      </c>
      <c r="X2299" s="65">
        <v>1526</v>
      </c>
      <c r="Y2299" s="65">
        <v>51569</v>
      </c>
      <c r="Z2299" s="51">
        <v>0</v>
      </c>
      <c r="AA2299" s="51">
        <v>1</v>
      </c>
      <c r="AB2299" s="102">
        <v>0</v>
      </c>
      <c r="AC2299" s="81">
        <f t="shared" si="108"/>
        <v>0</v>
      </c>
      <c r="AD2299" s="82">
        <f t="shared" si="109"/>
        <v>0</v>
      </c>
      <c r="AE2299" s="218">
        <v>-4.854581514570062E-4</v>
      </c>
      <c r="AF2299">
        <v>6</v>
      </c>
      <c r="AH2299" t="str">
        <f t="shared" si="110"/>
        <v xml:space="preserve">Alauli </v>
      </c>
      <c r="AJ2299" s="72">
        <v>0</v>
      </c>
      <c r="AK2299" s="72"/>
      <c r="AL2299" s="72"/>
      <c r="AM2299" s="72"/>
    </row>
    <row r="2300" spans="1:39" x14ac:dyDescent="0.25">
      <c r="A2300" s="37" t="s">
        <v>62</v>
      </c>
      <c r="B2300" s="66" t="s">
        <v>1629</v>
      </c>
      <c r="C2300" s="41">
        <v>1054</v>
      </c>
      <c r="D2300" s="41" t="s">
        <v>828</v>
      </c>
      <c r="E2300" s="41">
        <v>10110121</v>
      </c>
      <c r="F2300" s="85" t="s">
        <v>595</v>
      </c>
      <c r="G2300" s="39" t="s">
        <v>93</v>
      </c>
      <c r="H2300" s="52" t="s">
        <v>94</v>
      </c>
      <c r="I2300" s="52">
        <v>499.8</v>
      </c>
      <c r="J2300" s="49">
        <v>18403.919999999998</v>
      </c>
      <c r="K2300" s="58">
        <v>513.31999999999994</v>
      </c>
      <c r="L2300" s="58">
        <v>19092.3213975912</v>
      </c>
      <c r="M2300" s="58">
        <v>0</v>
      </c>
      <c r="N2300" s="58">
        <v>0</v>
      </c>
      <c r="O2300" s="58">
        <v>513.31999999999994</v>
      </c>
      <c r="P2300" s="53">
        <v>19092.3213975912</v>
      </c>
      <c r="Q2300" s="65">
        <v>18403.919999999998</v>
      </c>
      <c r="R2300" s="65">
        <v>0</v>
      </c>
      <c r="S2300" s="65">
        <v>0</v>
      </c>
      <c r="T2300" s="65">
        <v>688.40139759120211</v>
      </c>
      <c r="U2300" s="58">
        <v>0</v>
      </c>
      <c r="V2300" s="65">
        <v>0</v>
      </c>
      <c r="W2300" s="65">
        <v>0</v>
      </c>
      <c r="X2300" s="65">
        <v>18404</v>
      </c>
      <c r="Y2300" s="65">
        <v>0</v>
      </c>
      <c r="Z2300" s="51">
        <v>0</v>
      </c>
      <c r="AA2300" s="51">
        <v>0</v>
      </c>
      <c r="AB2300" s="102">
        <v>0</v>
      </c>
      <c r="AC2300" s="81">
        <f t="shared" si="108"/>
        <v>147.43756638655458</v>
      </c>
      <c r="AD2300" s="82">
        <f t="shared" si="109"/>
        <v>71.400000000000006</v>
      </c>
      <c r="AE2300" s="218">
        <v>-3.7405150510934744E-2</v>
      </c>
      <c r="AF2300">
        <v>1</v>
      </c>
      <c r="AH2300" t="str">
        <f t="shared" si="110"/>
        <v xml:space="preserve">Alauli </v>
      </c>
      <c r="AJ2300" s="72">
        <v>0</v>
      </c>
      <c r="AK2300" s="72"/>
      <c r="AL2300" s="72"/>
      <c r="AM2300" s="72"/>
    </row>
    <row r="2301" spans="1:39" x14ac:dyDescent="0.25">
      <c r="A2301" s="37" t="s">
        <v>62</v>
      </c>
      <c r="B2301" s="66" t="s">
        <v>1629</v>
      </c>
      <c r="C2301" s="41">
        <v>1055</v>
      </c>
      <c r="D2301" s="41" t="s">
        <v>1148</v>
      </c>
      <c r="E2301" s="41">
        <v>10110123</v>
      </c>
      <c r="F2301" s="85" t="s">
        <v>596</v>
      </c>
      <c r="G2301" s="39" t="s">
        <v>93</v>
      </c>
      <c r="H2301" s="52" t="s">
        <v>94</v>
      </c>
      <c r="I2301" s="52">
        <v>879.69999999999993</v>
      </c>
      <c r="J2301" s="49">
        <v>35572.480000000003</v>
      </c>
      <c r="K2301" s="58">
        <v>889.52999999999986</v>
      </c>
      <c r="L2301" s="58">
        <v>34940.809142242804</v>
      </c>
      <c r="M2301" s="58">
        <v>8.8900000000000023</v>
      </c>
      <c r="N2301" s="58">
        <v>329.02740406800007</v>
      </c>
      <c r="O2301" s="58">
        <v>898.41999999999985</v>
      </c>
      <c r="P2301" s="53">
        <v>35269.836546310806</v>
      </c>
      <c r="Q2301" s="65">
        <v>35269.836546310806</v>
      </c>
      <c r="R2301" s="65">
        <v>0</v>
      </c>
      <c r="S2301" s="65">
        <v>329.02740406800007</v>
      </c>
      <c r="T2301" s="65">
        <v>0</v>
      </c>
      <c r="U2301" s="58">
        <v>737</v>
      </c>
      <c r="V2301" s="65">
        <v>0</v>
      </c>
      <c r="W2301" s="65">
        <v>0</v>
      </c>
      <c r="X2301" s="65">
        <v>34204</v>
      </c>
      <c r="Y2301" s="65">
        <v>0</v>
      </c>
      <c r="Z2301" s="51">
        <v>0</v>
      </c>
      <c r="AA2301" s="51">
        <v>302</v>
      </c>
      <c r="AB2301" s="102">
        <v>0</v>
      </c>
      <c r="AC2301" s="81">
        <f t="shared" si="108"/>
        <v>0</v>
      </c>
      <c r="AD2301" s="82">
        <f t="shared" si="109"/>
        <v>0</v>
      </c>
      <c r="AE2301" s="218">
        <v>8.507797423435123E-3</v>
      </c>
      <c r="AF2301">
        <v>11</v>
      </c>
      <c r="AH2301" t="str">
        <f t="shared" si="110"/>
        <v>Matihani</v>
      </c>
      <c r="AJ2301" s="72">
        <v>0</v>
      </c>
      <c r="AK2301" s="72"/>
      <c r="AL2301" s="72"/>
      <c r="AM2301" s="72"/>
    </row>
    <row r="2302" spans="1:39" x14ac:dyDescent="0.25">
      <c r="A2302" s="37" t="s">
        <v>62</v>
      </c>
      <c r="B2302" s="66" t="s">
        <v>1629</v>
      </c>
      <c r="C2302" s="41">
        <v>1055</v>
      </c>
      <c r="D2302" s="41" t="s">
        <v>1148</v>
      </c>
      <c r="E2302" s="41">
        <v>10110124</v>
      </c>
      <c r="F2302" s="85" t="s">
        <v>597</v>
      </c>
      <c r="G2302" s="39" t="s">
        <v>93</v>
      </c>
      <c r="H2302" s="52" t="s">
        <v>94</v>
      </c>
      <c r="I2302" s="52">
        <v>584.9</v>
      </c>
      <c r="J2302" s="49">
        <v>23337.729999999996</v>
      </c>
      <c r="K2302" s="58">
        <v>572.11</v>
      </c>
      <c r="L2302" s="58">
        <v>22564.792908617699</v>
      </c>
      <c r="M2302" s="58">
        <v>8.67</v>
      </c>
      <c r="N2302" s="58">
        <v>343.11714346800011</v>
      </c>
      <c r="O2302" s="58">
        <v>580.78</v>
      </c>
      <c r="P2302" s="53">
        <v>22907.910052085699</v>
      </c>
      <c r="Q2302" s="65">
        <v>22907.910052085699</v>
      </c>
      <c r="R2302" s="65">
        <v>0</v>
      </c>
      <c r="S2302" s="65">
        <v>343.11714346800011</v>
      </c>
      <c r="T2302" s="65">
        <v>0</v>
      </c>
      <c r="U2302" s="58">
        <v>0</v>
      </c>
      <c r="V2302" s="65">
        <v>0</v>
      </c>
      <c r="W2302" s="65">
        <v>0</v>
      </c>
      <c r="X2302" s="65">
        <v>22564</v>
      </c>
      <c r="Y2302" s="65">
        <v>0</v>
      </c>
      <c r="Z2302" s="51">
        <v>0</v>
      </c>
      <c r="AA2302" s="51">
        <v>431</v>
      </c>
      <c r="AB2302" s="102">
        <v>0</v>
      </c>
      <c r="AC2302" s="81">
        <f t="shared" si="108"/>
        <v>91.85066585741157</v>
      </c>
      <c r="AD2302" s="82">
        <f t="shared" si="109"/>
        <v>83.55714285714285</v>
      </c>
      <c r="AE2302" s="218">
        <v>1.8417384549152677E-2</v>
      </c>
      <c r="AF2302">
        <v>12</v>
      </c>
      <c r="AH2302" t="str">
        <f t="shared" si="110"/>
        <v>Matihani</v>
      </c>
      <c r="AJ2302" s="72">
        <v>0</v>
      </c>
      <c r="AK2302" s="72"/>
      <c r="AL2302" s="72"/>
      <c r="AM2302" s="72"/>
    </row>
    <row r="2303" spans="1:39" x14ac:dyDescent="0.25">
      <c r="A2303" s="37" t="s">
        <v>62</v>
      </c>
      <c r="B2303" s="66" t="s">
        <v>1629</v>
      </c>
      <c r="C2303" s="41">
        <v>1055</v>
      </c>
      <c r="D2303" s="41" t="s">
        <v>1148</v>
      </c>
      <c r="E2303" s="41">
        <v>10110128</v>
      </c>
      <c r="F2303" s="85" t="s">
        <v>598</v>
      </c>
      <c r="G2303" s="39" t="s">
        <v>93</v>
      </c>
      <c r="H2303" s="52" t="s">
        <v>94</v>
      </c>
      <c r="I2303" s="52">
        <v>978.50000000000011</v>
      </c>
      <c r="J2303" s="49">
        <v>38630.83</v>
      </c>
      <c r="K2303" s="58">
        <v>974.23</v>
      </c>
      <c r="L2303" s="58">
        <v>38225.708625673804</v>
      </c>
      <c r="M2303" s="58">
        <v>7.3899999999999988</v>
      </c>
      <c r="N2303" s="58">
        <v>290.47872437099994</v>
      </c>
      <c r="O2303" s="58">
        <v>981.62</v>
      </c>
      <c r="P2303" s="53">
        <v>38516.187350044805</v>
      </c>
      <c r="Q2303" s="65">
        <v>38516.187350044805</v>
      </c>
      <c r="R2303" s="65">
        <v>0</v>
      </c>
      <c r="S2303" s="65">
        <v>290.47872437099994</v>
      </c>
      <c r="T2303" s="65">
        <v>0</v>
      </c>
      <c r="U2303" s="58">
        <v>0</v>
      </c>
      <c r="V2303" s="65">
        <v>79.005538983050855</v>
      </c>
      <c r="W2303" s="65">
        <v>0</v>
      </c>
      <c r="X2303" s="65">
        <v>38147</v>
      </c>
      <c r="Y2303" s="65">
        <v>0</v>
      </c>
      <c r="Z2303" s="51">
        <v>0</v>
      </c>
      <c r="AA2303" s="51">
        <v>114</v>
      </c>
      <c r="AB2303" s="102">
        <v>0</v>
      </c>
      <c r="AC2303" s="81">
        <f t="shared" si="108"/>
        <v>0</v>
      </c>
      <c r="AD2303" s="82">
        <f t="shared" si="109"/>
        <v>0</v>
      </c>
      <c r="AE2303" s="218">
        <v>2.9676465650672339E-3</v>
      </c>
      <c r="AF2303">
        <v>9</v>
      </c>
      <c r="AH2303" t="str">
        <f t="shared" si="110"/>
        <v>Matihani</v>
      </c>
      <c r="AJ2303" s="72">
        <v>0</v>
      </c>
      <c r="AK2303" s="72"/>
      <c r="AL2303" s="72"/>
      <c r="AM2303" s="72"/>
    </row>
    <row r="2304" spans="1:39" x14ac:dyDescent="0.25">
      <c r="A2304" s="37" t="s">
        <v>62</v>
      </c>
      <c r="B2304" s="66" t="s">
        <v>1629</v>
      </c>
      <c r="C2304" s="41">
        <v>1054</v>
      </c>
      <c r="D2304" s="41" t="s">
        <v>828</v>
      </c>
      <c r="E2304" s="41">
        <v>10110129</v>
      </c>
      <c r="F2304" s="85" t="s">
        <v>710</v>
      </c>
      <c r="G2304" s="39" t="s">
        <v>93</v>
      </c>
      <c r="H2304" s="52" t="s">
        <v>94</v>
      </c>
      <c r="I2304" s="52">
        <v>759.60000000000014</v>
      </c>
      <c r="J2304" s="49">
        <v>27668.470000000005</v>
      </c>
      <c r="K2304" s="58">
        <v>935</v>
      </c>
      <c r="L2304" s="58">
        <v>37226.360556</v>
      </c>
      <c r="M2304" s="58">
        <v>0</v>
      </c>
      <c r="N2304" s="58">
        <v>0</v>
      </c>
      <c r="O2304" s="58">
        <v>935</v>
      </c>
      <c r="P2304" s="53">
        <v>37226.360556</v>
      </c>
      <c r="Q2304" s="65">
        <v>27668.470000000005</v>
      </c>
      <c r="R2304" s="65">
        <v>0</v>
      </c>
      <c r="S2304" s="65">
        <v>0</v>
      </c>
      <c r="T2304" s="65">
        <v>9557.8905559999948</v>
      </c>
      <c r="U2304" s="58">
        <v>0</v>
      </c>
      <c r="V2304" s="65">
        <v>0</v>
      </c>
      <c r="W2304" s="65">
        <v>0</v>
      </c>
      <c r="X2304" s="65">
        <v>27668</v>
      </c>
      <c r="Y2304" s="65">
        <v>0</v>
      </c>
      <c r="Z2304" s="51">
        <v>0</v>
      </c>
      <c r="AA2304" s="51">
        <v>0</v>
      </c>
      <c r="AB2304" s="102">
        <v>0</v>
      </c>
      <c r="AC2304" s="81">
        <f t="shared" si="108"/>
        <v>0</v>
      </c>
      <c r="AD2304" s="82">
        <f t="shared" si="109"/>
        <v>0</v>
      </c>
      <c r="AE2304" s="218">
        <v>-0.34544340745982677</v>
      </c>
      <c r="AF2304">
        <v>3</v>
      </c>
      <c r="AH2304" t="str">
        <f t="shared" si="110"/>
        <v xml:space="preserve">Alauli </v>
      </c>
      <c r="AJ2304" s="72">
        <v>0</v>
      </c>
      <c r="AK2304" s="72"/>
      <c r="AL2304" s="72"/>
      <c r="AM2304" s="72"/>
    </row>
    <row r="2305" spans="1:39" x14ac:dyDescent="0.25">
      <c r="A2305" s="37" t="s">
        <v>62</v>
      </c>
      <c r="B2305" s="66" t="s">
        <v>1629</v>
      </c>
      <c r="C2305" s="41">
        <v>1054</v>
      </c>
      <c r="D2305" s="41" t="s">
        <v>828</v>
      </c>
      <c r="E2305" s="41">
        <v>10110132</v>
      </c>
      <c r="F2305" s="85" t="s">
        <v>650</v>
      </c>
      <c r="G2305" s="39" t="s">
        <v>93</v>
      </c>
      <c r="H2305" s="52" t="s">
        <v>94</v>
      </c>
      <c r="I2305" s="52">
        <v>264.3</v>
      </c>
      <c r="J2305" s="49">
        <v>10501.939999999999</v>
      </c>
      <c r="K2305" s="58">
        <v>337.15000000000003</v>
      </c>
      <c r="L2305" s="58">
        <v>13574.156454540002</v>
      </c>
      <c r="M2305" s="58">
        <v>0</v>
      </c>
      <c r="N2305" s="58">
        <v>0</v>
      </c>
      <c r="O2305" s="58">
        <v>337.15000000000003</v>
      </c>
      <c r="P2305" s="53">
        <v>13574.156454540002</v>
      </c>
      <c r="Q2305" s="65">
        <v>10501.939999999999</v>
      </c>
      <c r="R2305" s="65">
        <v>0</v>
      </c>
      <c r="S2305" s="65">
        <v>0</v>
      </c>
      <c r="T2305" s="65">
        <v>3072.2164545400028</v>
      </c>
      <c r="U2305" s="58">
        <v>0</v>
      </c>
      <c r="V2305" s="65">
        <v>0</v>
      </c>
      <c r="W2305" s="65">
        <v>0</v>
      </c>
      <c r="X2305" s="65">
        <v>10502</v>
      </c>
      <c r="Y2305" s="65">
        <v>0</v>
      </c>
      <c r="Z2305" s="51">
        <v>0</v>
      </c>
      <c r="AA2305" s="51">
        <v>0</v>
      </c>
      <c r="AB2305" s="102">
        <v>0</v>
      </c>
      <c r="AC2305" s="81">
        <f t="shared" si="108"/>
        <v>346.25011411275062</v>
      </c>
      <c r="AD2305" s="82">
        <f t="shared" si="109"/>
        <v>37.75714285714286</v>
      </c>
      <c r="AE2305" s="218">
        <v>-0.29253799341264597</v>
      </c>
      <c r="AF2305">
        <v>1</v>
      </c>
      <c r="AH2305" t="str">
        <f t="shared" si="110"/>
        <v xml:space="preserve">Alauli </v>
      </c>
      <c r="AJ2305" s="72">
        <v>0</v>
      </c>
      <c r="AK2305" s="72"/>
      <c r="AL2305" s="72"/>
      <c r="AM2305" s="72"/>
    </row>
    <row r="2306" spans="1:39" x14ac:dyDescent="0.25">
      <c r="A2306" s="37" t="s">
        <v>62</v>
      </c>
      <c r="B2306" s="66" t="s">
        <v>1629</v>
      </c>
      <c r="C2306" s="41">
        <v>1054</v>
      </c>
      <c r="D2306" s="41" t="s">
        <v>828</v>
      </c>
      <c r="E2306" s="41">
        <v>10110133</v>
      </c>
      <c r="F2306" s="85" t="s">
        <v>676</v>
      </c>
      <c r="G2306" s="39" t="s">
        <v>93</v>
      </c>
      <c r="H2306" s="52" t="s">
        <v>94</v>
      </c>
      <c r="I2306" s="52">
        <v>2450.6</v>
      </c>
      <c r="J2306" s="49">
        <v>92436.669999999984</v>
      </c>
      <c r="K2306" s="58">
        <v>2450.6000000000004</v>
      </c>
      <c r="L2306" s="58">
        <v>92436.579081396005</v>
      </c>
      <c r="M2306" s="58">
        <v>0</v>
      </c>
      <c r="N2306" s="58">
        <v>0</v>
      </c>
      <c r="O2306" s="58">
        <v>2450.6000000000004</v>
      </c>
      <c r="P2306" s="53">
        <v>92436.579081396005</v>
      </c>
      <c r="Q2306" s="65">
        <v>92436.579081396005</v>
      </c>
      <c r="R2306" s="65">
        <v>0</v>
      </c>
      <c r="S2306" s="65">
        <v>0</v>
      </c>
      <c r="T2306" s="65">
        <v>0</v>
      </c>
      <c r="U2306" s="58">
        <v>0</v>
      </c>
      <c r="V2306" s="65">
        <v>0</v>
      </c>
      <c r="W2306" s="65">
        <v>0</v>
      </c>
      <c r="X2306" s="65">
        <v>92436</v>
      </c>
      <c r="Y2306" s="65">
        <v>0</v>
      </c>
      <c r="Z2306" s="51">
        <v>0</v>
      </c>
      <c r="AA2306" s="51">
        <v>1</v>
      </c>
      <c r="AB2306" s="102">
        <v>0</v>
      </c>
      <c r="AC2306" s="81">
        <f t="shared" ref="AC2306:AC2369" si="111">((IF(AD2306=0,0,100-AD2306))*7*(J2306/I2306))*2%</f>
        <v>0</v>
      </c>
      <c r="AD2306" s="82">
        <f t="shared" ref="AD2306:AD2369" si="112">IF((I2306/7)&gt;100,0,(I2306/7))</f>
        <v>0</v>
      </c>
      <c r="AE2306" s="218">
        <v>9.8357723162176568E-7</v>
      </c>
      <c r="AF2306">
        <v>2</v>
      </c>
      <c r="AH2306" t="str">
        <f t="shared" si="110"/>
        <v xml:space="preserve">Alauli </v>
      </c>
      <c r="AJ2306" s="72">
        <v>0</v>
      </c>
      <c r="AK2306" s="72"/>
      <c r="AL2306" s="72"/>
      <c r="AM2306" s="72"/>
    </row>
    <row r="2307" spans="1:39" x14ac:dyDescent="0.25">
      <c r="A2307" s="37" t="s">
        <v>62</v>
      </c>
      <c r="B2307" s="66" t="s">
        <v>1629</v>
      </c>
      <c r="C2307" s="41">
        <v>1054</v>
      </c>
      <c r="D2307" s="41" t="s">
        <v>828</v>
      </c>
      <c r="E2307" s="41">
        <v>10110134</v>
      </c>
      <c r="F2307" s="85" t="s">
        <v>235</v>
      </c>
      <c r="G2307" s="39" t="s">
        <v>93</v>
      </c>
      <c r="H2307" s="52" t="s">
        <v>94</v>
      </c>
      <c r="I2307" s="52">
        <v>333.8</v>
      </c>
      <c r="J2307" s="49">
        <v>13069.38</v>
      </c>
      <c r="K2307" s="58">
        <v>338.6</v>
      </c>
      <c r="L2307" s="58">
        <v>13170.82873273625</v>
      </c>
      <c r="M2307" s="58">
        <v>0</v>
      </c>
      <c r="N2307" s="58">
        <v>0</v>
      </c>
      <c r="O2307" s="58">
        <v>338.6</v>
      </c>
      <c r="P2307" s="53">
        <v>13170.82873273625</v>
      </c>
      <c r="Q2307" s="65">
        <v>13069.38</v>
      </c>
      <c r="R2307" s="65">
        <v>0</v>
      </c>
      <c r="S2307" s="65">
        <v>0</v>
      </c>
      <c r="T2307" s="65">
        <v>101.44873273625126</v>
      </c>
      <c r="U2307" s="58">
        <v>0</v>
      </c>
      <c r="V2307" s="65">
        <v>0</v>
      </c>
      <c r="W2307" s="65">
        <v>0</v>
      </c>
      <c r="X2307" s="65">
        <v>13069</v>
      </c>
      <c r="Y2307" s="65">
        <v>0</v>
      </c>
      <c r="Z2307" s="51">
        <v>0</v>
      </c>
      <c r="AA2307" s="51">
        <v>0</v>
      </c>
      <c r="AB2307" s="102">
        <v>0</v>
      </c>
      <c r="AC2307" s="81">
        <f t="shared" si="111"/>
        <v>286.75895482324739</v>
      </c>
      <c r="AD2307" s="82">
        <f t="shared" si="112"/>
        <v>47.68571428571429</v>
      </c>
      <c r="AE2307" s="218">
        <v>-7.7623217578990942E-3</v>
      </c>
      <c r="AF2307">
        <v>6</v>
      </c>
      <c r="AH2307" t="str">
        <f t="shared" si="110"/>
        <v xml:space="preserve">Alauli </v>
      </c>
      <c r="AJ2307" s="72">
        <v>0</v>
      </c>
      <c r="AK2307" s="72"/>
      <c r="AL2307" s="72"/>
      <c r="AM2307" s="72"/>
    </row>
    <row r="2308" spans="1:39" x14ac:dyDescent="0.25">
      <c r="A2308" s="37" t="s">
        <v>62</v>
      </c>
      <c r="B2308" s="66" t="s">
        <v>1629</v>
      </c>
      <c r="C2308" s="41">
        <v>1054</v>
      </c>
      <c r="D2308" s="41" t="s">
        <v>828</v>
      </c>
      <c r="E2308" s="41">
        <v>10110135</v>
      </c>
      <c r="F2308" s="85" t="s">
        <v>644</v>
      </c>
      <c r="G2308" s="39" t="s">
        <v>93</v>
      </c>
      <c r="H2308" s="52" t="s">
        <v>94</v>
      </c>
      <c r="I2308" s="52">
        <v>759.10000000000014</v>
      </c>
      <c r="J2308" s="49">
        <v>28962.059999999994</v>
      </c>
      <c r="K2308" s="58">
        <v>770.82999999999993</v>
      </c>
      <c r="L2308" s="58">
        <v>28926.749229205481</v>
      </c>
      <c r="M2308" s="58">
        <v>0.84</v>
      </c>
      <c r="N2308" s="58">
        <v>32.15614248</v>
      </c>
      <c r="O2308" s="58">
        <v>771.67</v>
      </c>
      <c r="P2308" s="53">
        <v>28958.90537168548</v>
      </c>
      <c r="Q2308" s="65">
        <v>28958.90537168548</v>
      </c>
      <c r="R2308" s="65">
        <v>0</v>
      </c>
      <c r="S2308" s="65">
        <v>32.15614248</v>
      </c>
      <c r="T2308" s="65">
        <v>0</v>
      </c>
      <c r="U2308" s="58">
        <v>0</v>
      </c>
      <c r="V2308" s="65">
        <v>0</v>
      </c>
      <c r="W2308" s="65">
        <v>0</v>
      </c>
      <c r="X2308" s="65">
        <v>28926</v>
      </c>
      <c r="Y2308" s="65">
        <v>0</v>
      </c>
      <c r="Z2308" s="51">
        <v>0</v>
      </c>
      <c r="AA2308" s="51">
        <v>4</v>
      </c>
      <c r="AB2308" s="102">
        <v>0</v>
      </c>
      <c r="AC2308" s="81">
        <f t="shared" si="111"/>
        <v>0</v>
      </c>
      <c r="AD2308" s="82">
        <f t="shared" si="112"/>
        <v>0</v>
      </c>
      <c r="AE2308" s="218">
        <v>1.0892278776145109E-4</v>
      </c>
      <c r="AF2308">
        <v>13</v>
      </c>
      <c r="AH2308" t="str">
        <f t="shared" si="110"/>
        <v xml:space="preserve">Alauli </v>
      </c>
      <c r="AJ2308" s="72">
        <v>0</v>
      </c>
      <c r="AK2308" s="72"/>
      <c r="AL2308" s="72"/>
      <c r="AM2308" s="72"/>
    </row>
    <row r="2309" spans="1:39" x14ac:dyDescent="0.25">
      <c r="A2309" s="37" t="s">
        <v>62</v>
      </c>
      <c r="B2309" s="66" t="s">
        <v>1629</v>
      </c>
      <c r="C2309" s="41">
        <v>1054</v>
      </c>
      <c r="D2309" s="41" t="s">
        <v>828</v>
      </c>
      <c r="E2309" s="41">
        <v>10110140</v>
      </c>
      <c r="F2309" s="85" t="s">
        <v>677</v>
      </c>
      <c r="G2309" s="39" t="s">
        <v>93</v>
      </c>
      <c r="H2309" s="52" t="s">
        <v>94</v>
      </c>
      <c r="I2309" s="52">
        <v>156.30000000000001</v>
      </c>
      <c r="J2309" s="49">
        <v>7148.56</v>
      </c>
      <c r="K2309" s="58">
        <v>156.61999999999998</v>
      </c>
      <c r="L2309" s="58">
        <v>7336.2796463353516</v>
      </c>
      <c r="M2309" s="58">
        <v>3.0400000000000009</v>
      </c>
      <c r="N2309" s="58">
        <v>147.04870789950002</v>
      </c>
      <c r="O2309" s="58">
        <v>159.65999999999997</v>
      </c>
      <c r="P2309" s="53">
        <v>7483.3283542348518</v>
      </c>
      <c r="Q2309" s="65">
        <v>7148.56</v>
      </c>
      <c r="R2309" s="65">
        <v>0</v>
      </c>
      <c r="S2309" s="65">
        <v>147.04870789950002</v>
      </c>
      <c r="T2309" s="65">
        <v>334.76835423485136</v>
      </c>
      <c r="U2309" s="58">
        <v>1729</v>
      </c>
      <c r="V2309" s="65">
        <v>12.98417999999997</v>
      </c>
      <c r="W2309" s="65">
        <v>0</v>
      </c>
      <c r="X2309" s="65">
        <v>5260</v>
      </c>
      <c r="Y2309" s="65">
        <v>0</v>
      </c>
      <c r="Z2309" s="51">
        <v>0</v>
      </c>
      <c r="AA2309" s="51">
        <v>0</v>
      </c>
      <c r="AB2309" s="102" t="s">
        <v>68</v>
      </c>
      <c r="AC2309" s="81">
        <f t="shared" si="111"/>
        <v>497.33487805502244</v>
      </c>
      <c r="AD2309" s="82">
        <f t="shared" si="112"/>
        <v>22.328571428571429</v>
      </c>
      <c r="AE2309" s="218">
        <v>-4.6830180376866294E-2</v>
      </c>
      <c r="AF2309">
        <v>6</v>
      </c>
      <c r="AH2309" t="str">
        <f t="shared" si="110"/>
        <v xml:space="preserve">Alauli </v>
      </c>
      <c r="AJ2309" s="72">
        <v>0</v>
      </c>
      <c r="AK2309" s="72"/>
      <c r="AL2309" s="72"/>
      <c r="AM2309" s="72"/>
    </row>
    <row r="2310" spans="1:39" x14ac:dyDescent="0.25">
      <c r="A2310" s="37" t="s">
        <v>62</v>
      </c>
      <c r="B2310" s="66" t="s">
        <v>1629</v>
      </c>
      <c r="C2310" s="41">
        <v>1054</v>
      </c>
      <c r="D2310" s="41" t="s">
        <v>828</v>
      </c>
      <c r="E2310" s="41">
        <v>10110141</v>
      </c>
      <c r="F2310" s="85" t="s">
        <v>678</v>
      </c>
      <c r="G2310" s="39" t="s">
        <v>93</v>
      </c>
      <c r="H2310" s="52" t="s">
        <v>94</v>
      </c>
      <c r="I2310" s="52">
        <v>806.69999999999993</v>
      </c>
      <c r="J2310" s="49">
        <v>32336.440000000002</v>
      </c>
      <c r="K2310" s="58">
        <v>794.7700000000001</v>
      </c>
      <c r="L2310" s="58">
        <v>32778.180904309527</v>
      </c>
      <c r="M2310" s="58">
        <v>11.9</v>
      </c>
      <c r="N2310" s="58">
        <v>531.62131366050005</v>
      </c>
      <c r="O2310" s="58">
        <v>806.67000000000007</v>
      </c>
      <c r="P2310" s="53">
        <v>33309.802217970027</v>
      </c>
      <c r="Q2310" s="65">
        <v>32336.440000000002</v>
      </c>
      <c r="R2310" s="65">
        <v>0</v>
      </c>
      <c r="S2310" s="65">
        <v>531.62131366050005</v>
      </c>
      <c r="T2310" s="65">
        <v>973.36221797002509</v>
      </c>
      <c r="U2310" s="58">
        <v>0</v>
      </c>
      <c r="V2310" s="65">
        <v>0</v>
      </c>
      <c r="W2310" s="65">
        <v>0</v>
      </c>
      <c r="X2310" s="65">
        <v>31805</v>
      </c>
      <c r="Y2310" s="65">
        <v>0</v>
      </c>
      <c r="Z2310" s="51">
        <v>0</v>
      </c>
      <c r="AA2310" s="51">
        <v>0</v>
      </c>
      <c r="AB2310" s="102">
        <v>0</v>
      </c>
      <c r="AC2310" s="81">
        <f t="shared" si="111"/>
        <v>0</v>
      </c>
      <c r="AD2310" s="82">
        <f t="shared" si="112"/>
        <v>0</v>
      </c>
      <c r="AE2310" s="218">
        <v>-3.010109393520205E-2</v>
      </c>
      <c r="AF2310">
        <v>19</v>
      </c>
      <c r="AH2310" t="str">
        <f t="shared" si="110"/>
        <v xml:space="preserve">Alauli </v>
      </c>
      <c r="AJ2310" s="72">
        <v>0</v>
      </c>
      <c r="AK2310" s="72"/>
      <c r="AL2310" s="72"/>
      <c r="AM2310" s="72"/>
    </row>
    <row r="2311" spans="1:39" x14ac:dyDescent="0.25">
      <c r="A2311" s="37" t="s">
        <v>62</v>
      </c>
      <c r="B2311" s="66" t="s">
        <v>1629</v>
      </c>
      <c r="C2311" s="41">
        <v>1054</v>
      </c>
      <c r="D2311" s="41" t="s">
        <v>828</v>
      </c>
      <c r="E2311" s="41">
        <v>10110143</v>
      </c>
      <c r="F2311" s="85" t="s">
        <v>679</v>
      </c>
      <c r="G2311" s="39" t="s">
        <v>93</v>
      </c>
      <c r="H2311" s="52" t="s">
        <v>94</v>
      </c>
      <c r="I2311" s="52">
        <v>809.4</v>
      </c>
      <c r="J2311" s="49">
        <v>29039.98</v>
      </c>
      <c r="K2311" s="58">
        <v>1300</v>
      </c>
      <c r="L2311" s="58">
        <v>53883.858600000007</v>
      </c>
      <c r="M2311" s="58">
        <v>0</v>
      </c>
      <c r="N2311" s="58">
        <v>0</v>
      </c>
      <c r="O2311" s="58">
        <v>1300</v>
      </c>
      <c r="P2311" s="53">
        <v>53883.858600000007</v>
      </c>
      <c r="Q2311" s="65">
        <v>29039.98</v>
      </c>
      <c r="R2311" s="65">
        <v>0</v>
      </c>
      <c r="S2311" s="65">
        <v>0</v>
      </c>
      <c r="T2311" s="65">
        <v>24843.878600000007</v>
      </c>
      <c r="U2311" s="58">
        <v>0</v>
      </c>
      <c r="V2311" s="65">
        <v>0</v>
      </c>
      <c r="W2311" s="65">
        <v>0</v>
      </c>
      <c r="X2311" s="65">
        <v>29040</v>
      </c>
      <c r="Y2311" s="65">
        <v>0</v>
      </c>
      <c r="Z2311" s="51">
        <v>0</v>
      </c>
      <c r="AA2311" s="51">
        <v>0</v>
      </c>
      <c r="AB2311" s="102">
        <v>0</v>
      </c>
      <c r="AC2311" s="81">
        <f t="shared" si="111"/>
        <v>0</v>
      </c>
      <c r="AD2311" s="82">
        <f t="shared" si="112"/>
        <v>0</v>
      </c>
      <c r="AE2311" s="218">
        <v>-0.85550605062400209</v>
      </c>
      <c r="AF2311">
        <v>1</v>
      </c>
      <c r="AH2311" t="str">
        <f t="shared" si="110"/>
        <v xml:space="preserve">Alauli </v>
      </c>
      <c r="AJ2311" s="72">
        <v>0</v>
      </c>
      <c r="AK2311" s="72"/>
      <c r="AL2311" s="72"/>
      <c r="AM2311" s="72"/>
    </row>
    <row r="2312" spans="1:39" x14ac:dyDescent="0.25">
      <c r="A2312" s="37" t="s">
        <v>62</v>
      </c>
      <c r="B2312" s="66" t="s">
        <v>1629</v>
      </c>
      <c r="C2312" s="41">
        <v>1054</v>
      </c>
      <c r="D2312" s="41" t="s">
        <v>828</v>
      </c>
      <c r="E2312" s="41">
        <v>10110144</v>
      </c>
      <c r="F2312" s="85" t="s">
        <v>680</v>
      </c>
      <c r="G2312" s="39" t="s">
        <v>93</v>
      </c>
      <c r="H2312" s="52" t="s">
        <v>94</v>
      </c>
      <c r="I2312" s="52">
        <v>670.80000000000007</v>
      </c>
      <c r="J2312" s="49">
        <v>24957.089999999997</v>
      </c>
      <c r="K2312" s="58">
        <v>1072.54</v>
      </c>
      <c r="L2312" s="58">
        <v>43693.6633334586</v>
      </c>
      <c r="M2312" s="58">
        <v>0</v>
      </c>
      <c r="N2312" s="58">
        <v>0</v>
      </c>
      <c r="O2312" s="58">
        <v>1072.54</v>
      </c>
      <c r="P2312" s="53">
        <v>43693.6633334586</v>
      </c>
      <c r="Q2312" s="65">
        <v>24957.089999999997</v>
      </c>
      <c r="R2312" s="65">
        <v>0</v>
      </c>
      <c r="S2312" s="65">
        <v>0</v>
      </c>
      <c r="T2312" s="65">
        <v>18736.573333458604</v>
      </c>
      <c r="U2312" s="58">
        <v>13500</v>
      </c>
      <c r="V2312" s="65">
        <v>0</v>
      </c>
      <c r="W2312" s="65">
        <v>0</v>
      </c>
      <c r="X2312" s="65">
        <v>11457</v>
      </c>
      <c r="Y2312" s="65">
        <v>0</v>
      </c>
      <c r="Z2312" s="51">
        <v>0</v>
      </c>
      <c r="AA2312" s="51">
        <v>0</v>
      </c>
      <c r="AB2312" s="102" t="s">
        <v>68</v>
      </c>
      <c r="AC2312" s="81">
        <f t="shared" si="111"/>
        <v>21.727699105545572</v>
      </c>
      <c r="AD2312" s="82">
        <f t="shared" si="112"/>
        <v>95.828571428571436</v>
      </c>
      <c r="AE2312" s="218">
        <v>-0.75075152325285543</v>
      </c>
      <c r="AF2312">
        <v>6</v>
      </c>
      <c r="AH2312" t="str">
        <f t="shared" si="110"/>
        <v xml:space="preserve">Alauli </v>
      </c>
      <c r="AJ2312" s="72">
        <v>0</v>
      </c>
      <c r="AK2312" s="72"/>
      <c r="AL2312" s="72"/>
      <c r="AM2312" s="72"/>
    </row>
    <row r="2313" spans="1:39" x14ac:dyDescent="0.25">
      <c r="A2313" s="37" t="s">
        <v>62</v>
      </c>
      <c r="B2313" s="66" t="s">
        <v>1629</v>
      </c>
      <c r="C2313" s="41">
        <v>1011</v>
      </c>
      <c r="D2313" s="41" t="s">
        <v>289</v>
      </c>
      <c r="E2313" s="41">
        <v>10110146</v>
      </c>
      <c r="F2313" s="85" t="s">
        <v>645</v>
      </c>
      <c r="G2313" s="39" t="s">
        <v>93</v>
      </c>
      <c r="H2313" s="52" t="s">
        <v>94</v>
      </c>
      <c r="I2313" s="52">
        <v>682</v>
      </c>
      <c r="J2313" s="49">
        <v>26209.139999999996</v>
      </c>
      <c r="K2313" s="58">
        <v>682</v>
      </c>
      <c r="L2313" s="58">
        <v>26107.698196800004</v>
      </c>
      <c r="M2313" s="58">
        <v>0</v>
      </c>
      <c r="N2313" s="58">
        <v>0</v>
      </c>
      <c r="O2313" s="58">
        <v>682</v>
      </c>
      <c r="P2313" s="53">
        <v>26107.698196800004</v>
      </c>
      <c r="Q2313" s="65">
        <v>26107.698196800004</v>
      </c>
      <c r="R2313" s="65">
        <v>0</v>
      </c>
      <c r="S2313" s="65">
        <v>0</v>
      </c>
      <c r="T2313" s="65">
        <v>0</v>
      </c>
      <c r="U2313" s="58">
        <v>0</v>
      </c>
      <c r="V2313" s="65">
        <v>1077.0484064516129</v>
      </c>
      <c r="W2313" s="65">
        <v>0</v>
      </c>
      <c r="X2313" s="65">
        <v>25031</v>
      </c>
      <c r="Y2313" s="65">
        <v>0</v>
      </c>
      <c r="Z2313" s="51">
        <v>0</v>
      </c>
      <c r="AA2313" s="51">
        <v>101</v>
      </c>
      <c r="AB2313" s="102">
        <v>0</v>
      </c>
      <c r="AC2313" s="81">
        <f t="shared" si="111"/>
        <v>13.834736656891483</v>
      </c>
      <c r="AD2313" s="82">
        <f t="shared" si="112"/>
        <v>97.428571428571431</v>
      </c>
      <c r="AE2313" s="218">
        <v>3.8704743154484335E-3</v>
      </c>
      <c r="AF2313">
        <v>2</v>
      </c>
      <c r="AH2313" t="str">
        <f t="shared" si="110"/>
        <v>Sahibpur Kamal</v>
      </c>
      <c r="AJ2313" s="72">
        <v>0</v>
      </c>
      <c r="AK2313" s="72"/>
      <c r="AL2313" s="72"/>
      <c r="AM2313" s="72"/>
    </row>
    <row r="2314" spans="1:39" x14ac:dyDescent="0.25">
      <c r="A2314" s="37" t="s">
        <v>62</v>
      </c>
      <c r="B2314" s="66" t="s">
        <v>1629</v>
      </c>
      <c r="C2314" s="41">
        <v>1054</v>
      </c>
      <c r="D2314" s="41" t="s">
        <v>828</v>
      </c>
      <c r="E2314" s="41">
        <v>10110149</v>
      </c>
      <c r="F2314" s="85" t="s">
        <v>684</v>
      </c>
      <c r="G2314" s="39" t="s">
        <v>93</v>
      </c>
      <c r="H2314" s="52" t="s">
        <v>94</v>
      </c>
      <c r="I2314" s="52">
        <v>383.3</v>
      </c>
      <c r="J2314" s="49">
        <v>13200.17</v>
      </c>
      <c r="K2314" s="58">
        <v>96.74</v>
      </c>
      <c r="L2314" s="58">
        <v>4692.9864526596994</v>
      </c>
      <c r="M2314" s="58">
        <v>297.34000000000003</v>
      </c>
      <c r="N2314" s="58">
        <v>11867.544859964002</v>
      </c>
      <c r="O2314" s="58">
        <v>394.08000000000004</v>
      </c>
      <c r="P2314" s="53">
        <v>16560.531312623702</v>
      </c>
      <c r="Q2314" s="65">
        <v>13200.17</v>
      </c>
      <c r="R2314" s="65">
        <v>0</v>
      </c>
      <c r="S2314" s="65">
        <v>0</v>
      </c>
      <c r="T2314" s="65">
        <v>3360.3613126237015</v>
      </c>
      <c r="U2314" s="58">
        <v>0</v>
      </c>
      <c r="V2314" s="65">
        <v>0</v>
      </c>
      <c r="W2314" s="65">
        <v>0</v>
      </c>
      <c r="X2314" s="65">
        <v>1333</v>
      </c>
      <c r="Y2314" s="65">
        <v>11867</v>
      </c>
      <c r="Z2314" s="51">
        <v>0</v>
      </c>
      <c r="AA2314" s="51">
        <v>0</v>
      </c>
      <c r="AB2314" s="102">
        <v>0</v>
      </c>
      <c r="AC2314" s="81">
        <f t="shared" si="111"/>
        <v>218.13169000782676</v>
      </c>
      <c r="AD2314" s="82">
        <f t="shared" si="112"/>
        <v>54.75714285714286</v>
      </c>
      <c r="AE2314" s="218">
        <v>-0.25456954816670552</v>
      </c>
      <c r="AF2314">
        <v>4</v>
      </c>
      <c r="AH2314" t="str">
        <f t="shared" si="110"/>
        <v xml:space="preserve">Alauli </v>
      </c>
      <c r="AJ2314" s="72">
        <v>0</v>
      </c>
      <c r="AK2314" s="72"/>
      <c r="AL2314" s="72"/>
      <c r="AM2314" s="72"/>
    </row>
    <row r="2315" spans="1:39" x14ac:dyDescent="0.25">
      <c r="A2315" s="37" t="s">
        <v>62</v>
      </c>
      <c r="B2315" s="66" t="s">
        <v>1629</v>
      </c>
      <c r="C2315" s="41">
        <v>1011</v>
      </c>
      <c r="D2315" s="41" t="s">
        <v>289</v>
      </c>
      <c r="E2315" s="41">
        <v>10110153</v>
      </c>
      <c r="F2315" s="85" t="s">
        <v>834</v>
      </c>
      <c r="G2315" s="39" t="s">
        <v>635</v>
      </c>
      <c r="H2315" s="52" t="s">
        <v>99</v>
      </c>
      <c r="I2315" s="52">
        <v>699.8</v>
      </c>
      <c r="J2315" s="49">
        <v>26076.32</v>
      </c>
      <c r="K2315" s="58">
        <v>0</v>
      </c>
      <c r="L2315" s="58">
        <v>0</v>
      </c>
      <c r="M2315" s="58">
        <v>0</v>
      </c>
      <c r="N2315" s="58">
        <v>0</v>
      </c>
      <c r="O2315" s="58">
        <v>0</v>
      </c>
      <c r="P2315" s="53">
        <v>0</v>
      </c>
      <c r="Q2315" s="65">
        <v>26076.32</v>
      </c>
      <c r="R2315" s="65">
        <v>0</v>
      </c>
      <c r="S2315" s="65">
        <v>0</v>
      </c>
      <c r="T2315" s="65">
        <v>0</v>
      </c>
      <c r="U2315" s="58">
        <v>1300</v>
      </c>
      <c r="V2315" s="65">
        <v>253.95613548387095</v>
      </c>
      <c r="W2315" s="65">
        <v>0</v>
      </c>
      <c r="X2315" s="65">
        <v>0</v>
      </c>
      <c r="Y2315" s="65">
        <v>0</v>
      </c>
      <c r="Z2315" s="51">
        <v>24522.36386451613</v>
      </c>
      <c r="AA2315" s="51">
        <v>0</v>
      </c>
      <c r="AB2315" s="102">
        <v>0</v>
      </c>
      <c r="AC2315" s="81">
        <f t="shared" si="111"/>
        <v>0.14905012860822883</v>
      </c>
      <c r="AD2315" s="82">
        <f t="shared" si="112"/>
        <v>99.971428571428561</v>
      </c>
      <c r="AE2315" s="218">
        <v>0</v>
      </c>
      <c r="AF2315">
        <v>0</v>
      </c>
      <c r="AH2315" t="str">
        <f t="shared" si="110"/>
        <v>Sahibpur Kamal</v>
      </c>
      <c r="AJ2315" s="72">
        <v>0</v>
      </c>
      <c r="AK2315" s="72"/>
      <c r="AL2315" s="72"/>
      <c r="AM2315" s="72"/>
    </row>
    <row r="2316" spans="1:39" x14ac:dyDescent="0.25">
      <c r="A2316" s="37" t="s">
        <v>62</v>
      </c>
      <c r="B2316" s="66" t="s">
        <v>1629</v>
      </c>
      <c r="C2316" s="41">
        <v>1055</v>
      </c>
      <c r="D2316" s="41" t="s">
        <v>1148</v>
      </c>
      <c r="E2316" s="41">
        <v>10110155</v>
      </c>
      <c r="F2316" s="85" t="s">
        <v>839</v>
      </c>
      <c r="G2316" s="39" t="s">
        <v>635</v>
      </c>
      <c r="H2316" s="52" t="s">
        <v>99</v>
      </c>
      <c r="I2316" s="52">
        <v>260.29999999999995</v>
      </c>
      <c r="J2316" s="49">
        <v>9705.33</v>
      </c>
      <c r="K2316" s="58">
        <v>0</v>
      </c>
      <c r="L2316" s="58">
        <v>0</v>
      </c>
      <c r="M2316" s="58">
        <v>0</v>
      </c>
      <c r="N2316" s="58">
        <v>0</v>
      </c>
      <c r="O2316" s="58">
        <v>0</v>
      </c>
      <c r="P2316" s="53">
        <v>0</v>
      </c>
      <c r="Q2316" s="65">
        <v>9705.33</v>
      </c>
      <c r="R2316" s="65">
        <v>0</v>
      </c>
      <c r="S2316" s="65">
        <v>0</v>
      </c>
      <c r="T2316" s="65">
        <v>0</v>
      </c>
      <c r="U2316" s="58">
        <v>0</v>
      </c>
      <c r="V2316" s="65">
        <v>0</v>
      </c>
      <c r="W2316" s="65">
        <v>0</v>
      </c>
      <c r="X2316" s="65">
        <v>0</v>
      </c>
      <c r="Y2316" s="65">
        <v>0</v>
      </c>
      <c r="Z2316" s="51">
        <v>9705.33</v>
      </c>
      <c r="AA2316" s="51">
        <v>0</v>
      </c>
      <c r="AB2316" s="102">
        <v>0</v>
      </c>
      <c r="AC2316" s="81">
        <f t="shared" si="111"/>
        <v>327.8857933922398</v>
      </c>
      <c r="AD2316" s="82">
        <f t="shared" si="112"/>
        <v>37.185714285714276</v>
      </c>
      <c r="AE2316" s="218">
        <v>0</v>
      </c>
      <c r="AF2316">
        <v>0</v>
      </c>
      <c r="AH2316" t="str">
        <f t="shared" si="110"/>
        <v>Matihani</v>
      </c>
      <c r="AJ2316" s="72">
        <v>0</v>
      </c>
      <c r="AK2316" s="72"/>
      <c r="AL2316" s="72"/>
      <c r="AM2316" s="72"/>
    </row>
    <row r="2317" spans="1:39" x14ac:dyDescent="0.25">
      <c r="A2317" s="37" t="s">
        <v>62</v>
      </c>
      <c r="B2317" s="66" t="s">
        <v>1629</v>
      </c>
      <c r="C2317" s="41">
        <v>1011</v>
      </c>
      <c r="D2317" s="41" t="s">
        <v>289</v>
      </c>
      <c r="E2317" s="41">
        <v>10110158</v>
      </c>
      <c r="F2317" s="85" t="s">
        <v>1141</v>
      </c>
      <c r="G2317" s="39" t="s">
        <v>93</v>
      </c>
      <c r="H2317" s="52" t="s">
        <v>94</v>
      </c>
      <c r="I2317" s="52">
        <v>5650.5999999999995</v>
      </c>
      <c r="J2317" s="49">
        <v>210244.23000000004</v>
      </c>
      <c r="K2317" s="58">
        <v>4959.420000000001</v>
      </c>
      <c r="L2317" s="58">
        <v>190359.63830599139</v>
      </c>
      <c r="M2317" s="58">
        <v>673.84</v>
      </c>
      <c r="N2317" s="58">
        <v>25779.705322168404</v>
      </c>
      <c r="O2317" s="58">
        <v>5633.2600000000011</v>
      </c>
      <c r="P2317" s="53">
        <v>216139.34362815978</v>
      </c>
      <c r="Q2317" s="65">
        <v>210244.23000000004</v>
      </c>
      <c r="R2317" s="65">
        <v>0</v>
      </c>
      <c r="S2317" s="65">
        <v>0</v>
      </c>
      <c r="T2317" s="65">
        <v>5895.1136281597428</v>
      </c>
      <c r="U2317" s="58">
        <v>0</v>
      </c>
      <c r="V2317" s="65">
        <v>0</v>
      </c>
      <c r="W2317" s="65">
        <v>0</v>
      </c>
      <c r="X2317" s="65">
        <v>184465</v>
      </c>
      <c r="Y2317" s="65">
        <v>25779</v>
      </c>
      <c r="Z2317" s="51">
        <v>0</v>
      </c>
      <c r="AA2317" s="51">
        <v>0</v>
      </c>
      <c r="AB2317" s="102">
        <v>0</v>
      </c>
      <c r="AC2317" s="81">
        <f t="shared" si="111"/>
        <v>0</v>
      </c>
      <c r="AD2317" s="82">
        <f t="shared" si="112"/>
        <v>0</v>
      </c>
      <c r="AE2317" s="218">
        <v>-2.8039359882360348E-2</v>
      </c>
      <c r="AF2317">
        <v>28</v>
      </c>
      <c r="AH2317" t="str">
        <f t="shared" si="110"/>
        <v>Sahibpur Kamal</v>
      </c>
      <c r="AJ2317" s="72">
        <v>0</v>
      </c>
      <c r="AK2317" s="72"/>
      <c r="AL2317" s="72"/>
      <c r="AM2317" s="72"/>
    </row>
    <row r="2318" spans="1:39" x14ac:dyDescent="0.25">
      <c r="A2318" s="37" t="s">
        <v>62</v>
      </c>
      <c r="B2318" s="66" t="s">
        <v>1629</v>
      </c>
      <c r="C2318" s="41">
        <v>1011</v>
      </c>
      <c r="D2318" s="41" t="s">
        <v>289</v>
      </c>
      <c r="E2318" s="41">
        <v>10110159</v>
      </c>
      <c r="F2318" s="85" t="s">
        <v>849</v>
      </c>
      <c r="G2318" s="39" t="s">
        <v>93</v>
      </c>
      <c r="H2318" s="52" t="s">
        <v>94</v>
      </c>
      <c r="I2318" s="52">
        <v>1455.8000000000002</v>
      </c>
      <c r="J2318" s="49">
        <v>54487.310000000005</v>
      </c>
      <c r="K2318" s="58">
        <v>1023</v>
      </c>
      <c r="L2318" s="58">
        <v>38291.667681960011</v>
      </c>
      <c r="M2318" s="58">
        <v>432.8</v>
      </c>
      <c r="N2318" s="58">
        <v>16186.889727360003</v>
      </c>
      <c r="O2318" s="58">
        <v>1455.8</v>
      </c>
      <c r="P2318" s="53">
        <v>54478.557409320012</v>
      </c>
      <c r="Q2318" s="65">
        <v>54478.557409320012</v>
      </c>
      <c r="R2318" s="65">
        <v>0</v>
      </c>
      <c r="S2318" s="65">
        <v>104.86383336000002</v>
      </c>
      <c r="T2318" s="65">
        <v>0</v>
      </c>
      <c r="U2318" s="58">
        <v>0</v>
      </c>
      <c r="V2318" s="65">
        <v>0</v>
      </c>
      <c r="W2318" s="65">
        <v>0</v>
      </c>
      <c r="X2318" s="65">
        <v>38291</v>
      </c>
      <c r="Y2318" s="65">
        <v>16082</v>
      </c>
      <c r="Z2318" s="51">
        <v>0</v>
      </c>
      <c r="AA2318" s="51">
        <v>9</v>
      </c>
      <c r="AB2318" s="102">
        <v>0</v>
      </c>
      <c r="AC2318" s="81">
        <f t="shared" si="111"/>
        <v>0</v>
      </c>
      <c r="AD2318" s="82">
        <f t="shared" si="112"/>
        <v>0</v>
      </c>
      <c r="AE2318" s="218">
        <v>1.606353971226119E-4</v>
      </c>
      <c r="AF2318">
        <v>9</v>
      </c>
      <c r="AH2318" t="str">
        <f t="shared" ref="AH2318:AH2376" si="113">TEXT(D2318,"0000")</f>
        <v>Sahibpur Kamal</v>
      </c>
      <c r="AJ2318" s="72">
        <v>0</v>
      </c>
      <c r="AK2318" s="72"/>
      <c r="AL2318" s="72"/>
      <c r="AM2318" s="72"/>
    </row>
    <row r="2319" spans="1:39" x14ac:dyDescent="0.25">
      <c r="A2319" s="37" t="s">
        <v>62</v>
      </c>
      <c r="B2319" s="66" t="s">
        <v>1629</v>
      </c>
      <c r="C2319" s="41">
        <v>1011</v>
      </c>
      <c r="D2319" s="41" t="s">
        <v>289</v>
      </c>
      <c r="E2319" s="41">
        <v>10110160</v>
      </c>
      <c r="F2319" s="85" t="s">
        <v>1144</v>
      </c>
      <c r="G2319" s="39" t="s">
        <v>635</v>
      </c>
      <c r="H2319" s="52" t="s">
        <v>99</v>
      </c>
      <c r="I2319" s="52">
        <v>732.80000000000007</v>
      </c>
      <c r="J2319" s="49">
        <v>24746.089999999997</v>
      </c>
      <c r="K2319" s="58">
        <v>0</v>
      </c>
      <c r="L2319" s="58">
        <v>0</v>
      </c>
      <c r="M2319" s="58">
        <v>0</v>
      </c>
      <c r="N2319" s="58">
        <v>0</v>
      </c>
      <c r="O2319" s="58">
        <v>0</v>
      </c>
      <c r="P2319" s="53">
        <v>0</v>
      </c>
      <c r="Q2319" s="65">
        <v>24746.089999999997</v>
      </c>
      <c r="R2319" s="65">
        <v>0</v>
      </c>
      <c r="S2319" s="65">
        <v>0</v>
      </c>
      <c r="T2319" s="65">
        <v>0</v>
      </c>
      <c r="U2319" s="58">
        <v>0</v>
      </c>
      <c r="V2319" s="65">
        <v>0</v>
      </c>
      <c r="W2319" s="65">
        <v>0</v>
      </c>
      <c r="X2319" s="65">
        <v>0</v>
      </c>
      <c r="Y2319" s="65">
        <v>0</v>
      </c>
      <c r="Z2319" s="51">
        <v>24746.089999999997</v>
      </c>
      <c r="AA2319" s="51">
        <v>0</v>
      </c>
      <c r="AB2319" s="102">
        <v>0</v>
      </c>
      <c r="AC2319" s="81">
        <f t="shared" si="111"/>
        <v>0</v>
      </c>
      <c r="AD2319" s="82">
        <f t="shared" si="112"/>
        <v>0</v>
      </c>
      <c r="AE2319" s="218">
        <v>0</v>
      </c>
      <c r="AF2319">
        <v>0</v>
      </c>
      <c r="AH2319" t="str">
        <f t="shared" si="113"/>
        <v>Sahibpur Kamal</v>
      </c>
      <c r="AJ2319" s="72">
        <v>0</v>
      </c>
      <c r="AK2319" s="72"/>
      <c r="AL2319" s="72"/>
      <c r="AM2319" s="72"/>
    </row>
    <row r="2320" spans="1:39" x14ac:dyDescent="0.25">
      <c r="A2320" s="37" t="s">
        <v>62</v>
      </c>
      <c r="B2320" s="66" t="s">
        <v>1629</v>
      </c>
      <c r="C2320" s="41">
        <v>1011</v>
      </c>
      <c r="D2320" s="41" t="s">
        <v>289</v>
      </c>
      <c r="E2320" s="41">
        <v>10110161</v>
      </c>
      <c r="F2320" s="85" t="s">
        <v>1145</v>
      </c>
      <c r="G2320" s="39" t="s">
        <v>635</v>
      </c>
      <c r="H2320" s="52" t="s">
        <v>99</v>
      </c>
      <c r="I2320" s="52">
        <v>1120.8</v>
      </c>
      <c r="J2320" s="49">
        <v>41046.19</v>
      </c>
      <c r="K2320" s="58">
        <v>0</v>
      </c>
      <c r="L2320" s="58">
        <v>0</v>
      </c>
      <c r="M2320" s="58">
        <v>0</v>
      </c>
      <c r="N2320" s="58">
        <v>0</v>
      </c>
      <c r="O2320" s="58">
        <v>0</v>
      </c>
      <c r="P2320" s="53">
        <v>0</v>
      </c>
      <c r="Q2320" s="65">
        <v>41046.19</v>
      </c>
      <c r="R2320" s="65">
        <v>0</v>
      </c>
      <c r="S2320" s="65">
        <v>0</v>
      </c>
      <c r="T2320" s="65">
        <v>0</v>
      </c>
      <c r="U2320" s="58">
        <v>0</v>
      </c>
      <c r="V2320" s="65">
        <v>0</v>
      </c>
      <c r="W2320" s="65">
        <v>0</v>
      </c>
      <c r="X2320" s="65">
        <v>0</v>
      </c>
      <c r="Y2320" s="65">
        <v>0</v>
      </c>
      <c r="Z2320" s="51">
        <v>41046.19</v>
      </c>
      <c r="AA2320" s="51">
        <v>0</v>
      </c>
      <c r="AB2320" s="102">
        <v>0</v>
      </c>
      <c r="AC2320" s="81">
        <f t="shared" si="111"/>
        <v>0</v>
      </c>
      <c r="AD2320" s="82">
        <f t="shared" si="112"/>
        <v>0</v>
      </c>
      <c r="AE2320" s="218">
        <v>0</v>
      </c>
      <c r="AF2320">
        <v>0</v>
      </c>
      <c r="AH2320" t="str">
        <f t="shared" si="113"/>
        <v>Sahibpur Kamal</v>
      </c>
      <c r="AJ2320" s="72">
        <v>0</v>
      </c>
      <c r="AK2320" s="72"/>
      <c r="AL2320" s="72"/>
      <c r="AM2320" s="72"/>
    </row>
    <row r="2321" spans="1:39" x14ac:dyDescent="0.25">
      <c r="A2321" s="37" t="s">
        <v>62</v>
      </c>
      <c r="B2321" s="66" t="s">
        <v>1629</v>
      </c>
      <c r="C2321" s="41">
        <v>1011</v>
      </c>
      <c r="D2321" s="41" t="s">
        <v>289</v>
      </c>
      <c r="E2321" s="41">
        <v>10110164</v>
      </c>
      <c r="F2321" s="85" t="s">
        <v>1250</v>
      </c>
      <c r="G2321" s="39" t="s">
        <v>93</v>
      </c>
      <c r="H2321" s="52" t="s">
        <v>94</v>
      </c>
      <c r="I2321" s="52">
        <v>325.10000000000002</v>
      </c>
      <c r="J2321" s="49">
        <v>12917.900000000001</v>
      </c>
      <c r="K2321" s="58">
        <v>325</v>
      </c>
      <c r="L2321" s="58">
        <v>12827.451780000001</v>
      </c>
      <c r="M2321" s="58">
        <v>0</v>
      </c>
      <c r="N2321" s="58">
        <v>0</v>
      </c>
      <c r="O2321" s="58">
        <v>325</v>
      </c>
      <c r="P2321" s="53">
        <v>12827.451780000001</v>
      </c>
      <c r="Q2321" s="65">
        <v>12827.451780000001</v>
      </c>
      <c r="R2321" s="65">
        <v>0</v>
      </c>
      <c r="S2321" s="65">
        <v>0</v>
      </c>
      <c r="T2321" s="65">
        <v>0</v>
      </c>
      <c r="U2321" s="58">
        <v>0</v>
      </c>
      <c r="V2321" s="65">
        <v>0</v>
      </c>
      <c r="W2321" s="65">
        <v>0</v>
      </c>
      <c r="X2321" s="65">
        <v>12828</v>
      </c>
      <c r="Y2321" s="65">
        <v>0</v>
      </c>
      <c r="Z2321" s="51">
        <v>0</v>
      </c>
      <c r="AA2321" s="51">
        <v>90</v>
      </c>
      <c r="AB2321" s="102">
        <v>0</v>
      </c>
      <c r="AC2321" s="81">
        <f t="shared" si="111"/>
        <v>297.93421777914489</v>
      </c>
      <c r="AD2321" s="82">
        <f t="shared" si="112"/>
        <v>46.442857142857143</v>
      </c>
      <c r="AE2321" s="218">
        <v>7.001774282197587E-3</v>
      </c>
      <c r="AF2321">
        <v>5</v>
      </c>
      <c r="AH2321" t="str">
        <f t="shared" si="113"/>
        <v>Sahibpur Kamal</v>
      </c>
      <c r="AJ2321" s="72">
        <v>0</v>
      </c>
      <c r="AK2321" s="72"/>
      <c r="AL2321" s="72"/>
      <c r="AM2321" s="72"/>
    </row>
    <row r="2322" spans="1:39" x14ac:dyDescent="0.25">
      <c r="A2322" s="37" t="s">
        <v>62</v>
      </c>
      <c r="B2322" s="66" t="s">
        <v>1629</v>
      </c>
      <c r="C2322" s="41">
        <v>1011</v>
      </c>
      <c r="D2322" s="41" t="s">
        <v>289</v>
      </c>
      <c r="E2322" s="41">
        <v>10110167</v>
      </c>
      <c r="F2322" s="85" t="s">
        <v>1208</v>
      </c>
      <c r="G2322" s="39" t="s">
        <v>93</v>
      </c>
      <c r="H2322" s="52" t="s">
        <v>94</v>
      </c>
      <c r="I2322" s="52">
        <v>29</v>
      </c>
      <c r="J2322" s="49">
        <v>1008.08</v>
      </c>
      <c r="K2322" s="58">
        <v>29.000000000000004</v>
      </c>
      <c r="L2322" s="58">
        <v>1014.526500768</v>
      </c>
      <c r="M2322" s="58">
        <v>0</v>
      </c>
      <c r="N2322" s="58">
        <v>0</v>
      </c>
      <c r="O2322" s="58">
        <v>29.000000000000004</v>
      </c>
      <c r="P2322" s="53">
        <v>1014.526500768</v>
      </c>
      <c r="Q2322" s="65">
        <v>1008.08</v>
      </c>
      <c r="R2322" s="65">
        <v>0</v>
      </c>
      <c r="S2322" s="65">
        <v>0</v>
      </c>
      <c r="T2322" s="65">
        <v>6.4465007679999644</v>
      </c>
      <c r="U2322" s="58">
        <v>0</v>
      </c>
      <c r="V2322" s="65">
        <v>23.094020689655171</v>
      </c>
      <c r="W2322" s="65">
        <v>0</v>
      </c>
      <c r="X2322" s="65">
        <v>984</v>
      </c>
      <c r="Y2322" s="65">
        <v>0</v>
      </c>
      <c r="Z2322" s="51">
        <v>0</v>
      </c>
      <c r="AA2322" s="51">
        <v>1</v>
      </c>
      <c r="AB2322" s="102">
        <v>0</v>
      </c>
      <c r="AC2322" s="81">
        <f t="shared" si="111"/>
        <v>466.49771034482757</v>
      </c>
      <c r="AD2322" s="82">
        <f t="shared" si="112"/>
        <v>4.1428571428571432</v>
      </c>
      <c r="AE2322" s="218">
        <v>-6.3948305372589125E-3</v>
      </c>
      <c r="AF2322">
        <v>1</v>
      </c>
      <c r="AH2322" t="str">
        <f t="shared" si="113"/>
        <v>Sahibpur Kamal</v>
      </c>
      <c r="AJ2322" s="72">
        <v>0</v>
      </c>
      <c r="AK2322" s="72"/>
      <c r="AL2322" s="72"/>
      <c r="AM2322" s="72"/>
    </row>
    <row r="2323" spans="1:39" x14ac:dyDescent="0.25">
      <c r="A2323" s="37" t="s">
        <v>62</v>
      </c>
      <c r="B2323" s="66" t="s">
        <v>1629</v>
      </c>
      <c r="C2323" s="41">
        <v>1011</v>
      </c>
      <c r="D2323" s="41" t="s">
        <v>289</v>
      </c>
      <c r="E2323" s="41">
        <v>10110168</v>
      </c>
      <c r="F2323" s="85" t="s">
        <v>1251</v>
      </c>
      <c r="G2323" s="39" t="s">
        <v>93</v>
      </c>
      <c r="H2323" s="52" t="s">
        <v>94</v>
      </c>
      <c r="I2323" s="52">
        <v>1362.4</v>
      </c>
      <c r="J2323" s="49">
        <v>49434.289999999994</v>
      </c>
      <c r="K2323" s="58">
        <v>1327.6000000000001</v>
      </c>
      <c r="L2323" s="58">
        <v>49924.951104599997</v>
      </c>
      <c r="M2323" s="58">
        <v>5.5999999999999988</v>
      </c>
      <c r="N2323" s="58">
        <v>212.97499344000005</v>
      </c>
      <c r="O2323" s="58">
        <v>1333.2</v>
      </c>
      <c r="P2323" s="53">
        <v>50137.926098039999</v>
      </c>
      <c r="Q2323" s="65">
        <v>49434.289999999994</v>
      </c>
      <c r="R2323" s="65">
        <v>0</v>
      </c>
      <c r="S2323" s="65">
        <v>212.97499344000005</v>
      </c>
      <c r="T2323" s="65">
        <v>703.63609804000589</v>
      </c>
      <c r="U2323" s="58">
        <v>20250</v>
      </c>
      <c r="V2323" s="65">
        <v>0</v>
      </c>
      <c r="W2323" s="65">
        <v>0</v>
      </c>
      <c r="X2323" s="65">
        <v>28971</v>
      </c>
      <c r="Y2323" s="65">
        <v>0</v>
      </c>
      <c r="Z2323" s="51">
        <v>0</v>
      </c>
      <c r="AA2323" s="51">
        <v>0</v>
      </c>
      <c r="AB2323" s="102" t="s">
        <v>66</v>
      </c>
      <c r="AC2323" s="81">
        <f t="shared" si="111"/>
        <v>0</v>
      </c>
      <c r="AD2323" s="82">
        <f t="shared" si="112"/>
        <v>0</v>
      </c>
      <c r="AE2323" s="218">
        <v>-1.4233765631912707E-2</v>
      </c>
      <c r="AF2323">
        <v>3</v>
      </c>
      <c r="AH2323" t="str">
        <f t="shared" si="113"/>
        <v>Sahibpur Kamal</v>
      </c>
      <c r="AJ2323" s="72">
        <v>0</v>
      </c>
      <c r="AK2323" s="72"/>
      <c r="AL2323" s="72"/>
      <c r="AM2323" s="72"/>
    </row>
    <row r="2324" spans="1:39" x14ac:dyDescent="0.25">
      <c r="A2324" s="37" t="s">
        <v>62</v>
      </c>
      <c r="B2324" s="66" t="s">
        <v>1629</v>
      </c>
      <c r="C2324" s="41">
        <v>1011</v>
      </c>
      <c r="D2324" s="41" t="s">
        <v>289</v>
      </c>
      <c r="E2324" s="41">
        <v>10110172</v>
      </c>
      <c r="F2324" s="85" t="s">
        <v>1267</v>
      </c>
      <c r="G2324" s="39" t="s">
        <v>93</v>
      </c>
      <c r="H2324" s="52" t="s">
        <v>94</v>
      </c>
      <c r="I2324" s="52">
        <v>329.69999999999993</v>
      </c>
      <c r="J2324" s="49">
        <v>11691.639999999998</v>
      </c>
      <c r="K2324" s="58">
        <v>329.5</v>
      </c>
      <c r="L2324" s="58">
        <v>11706.565993254002</v>
      </c>
      <c r="M2324" s="58">
        <v>0</v>
      </c>
      <c r="N2324" s="58">
        <v>0</v>
      </c>
      <c r="O2324" s="58">
        <v>329.5</v>
      </c>
      <c r="P2324" s="53">
        <v>11706.565993254002</v>
      </c>
      <c r="Q2324" s="65">
        <v>11691.639999999998</v>
      </c>
      <c r="R2324" s="65">
        <v>0</v>
      </c>
      <c r="S2324" s="65">
        <v>0</v>
      </c>
      <c r="T2324" s="65">
        <v>14.925993254004425</v>
      </c>
      <c r="U2324" s="58">
        <v>0</v>
      </c>
      <c r="V2324" s="65">
        <v>0</v>
      </c>
      <c r="W2324" s="65">
        <v>0</v>
      </c>
      <c r="X2324" s="65">
        <v>11692</v>
      </c>
      <c r="Y2324" s="65">
        <v>0</v>
      </c>
      <c r="Z2324" s="51">
        <v>0</v>
      </c>
      <c r="AA2324" s="51">
        <v>0</v>
      </c>
      <c r="AB2324" s="102">
        <v>0</v>
      </c>
      <c r="AC2324" s="81">
        <f t="shared" si="111"/>
        <v>262.62749723991516</v>
      </c>
      <c r="AD2324" s="82">
        <f t="shared" si="112"/>
        <v>47.099999999999987</v>
      </c>
      <c r="AE2324" s="218">
        <v>-1.2766381152690665E-3</v>
      </c>
      <c r="AF2324">
        <v>2</v>
      </c>
      <c r="AH2324" t="str">
        <f t="shared" si="113"/>
        <v>Sahibpur Kamal</v>
      </c>
      <c r="AJ2324" s="72">
        <v>0</v>
      </c>
      <c r="AK2324" s="72"/>
      <c r="AL2324" s="72"/>
      <c r="AM2324" s="72"/>
    </row>
    <row r="2325" spans="1:39" x14ac:dyDescent="0.25">
      <c r="A2325" s="37" t="s">
        <v>62</v>
      </c>
      <c r="B2325" s="66" t="s">
        <v>1629</v>
      </c>
      <c r="C2325" s="41">
        <v>1011</v>
      </c>
      <c r="D2325" s="41" t="s">
        <v>289</v>
      </c>
      <c r="E2325" s="41">
        <v>10110173</v>
      </c>
      <c r="F2325" s="85" t="s">
        <v>1252</v>
      </c>
      <c r="G2325" s="39" t="s">
        <v>635</v>
      </c>
      <c r="H2325" s="52" t="s">
        <v>99</v>
      </c>
      <c r="I2325" s="52">
        <v>545</v>
      </c>
      <c r="J2325" s="49">
        <v>22159.64</v>
      </c>
      <c r="K2325" s="58">
        <v>0</v>
      </c>
      <c r="L2325" s="58">
        <v>0</v>
      </c>
      <c r="M2325" s="58">
        <v>0</v>
      </c>
      <c r="N2325" s="58">
        <v>0</v>
      </c>
      <c r="O2325" s="58">
        <v>0</v>
      </c>
      <c r="P2325" s="53">
        <v>0</v>
      </c>
      <c r="Q2325" s="65">
        <v>22159.64</v>
      </c>
      <c r="R2325" s="65">
        <v>0</v>
      </c>
      <c r="S2325" s="65">
        <v>0</v>
      </c>
      <c r="T2325" s="65">
        <v>0</v>
      </c>
      <c r="U2325" s="58">
        <v>0</v>
      </c>
      <c r="V2325" s="65">
        <v>107.30074838709685</v>
      </c>
      <c r="W2325" s="65">
        <v>0</v>
      </c>
      <c r="X2325" s="65">
        <v>0</v>
      </c>
      <c r="Y2325" s="65">
        <v>0</v>
      </c>
      <c r="Z2325" s="51">
        <v>22052.339251612902</v>
      </c>
      <c r="AA2325" s="51">
        <v>0</v>
      </c>
      <c r="AB2325" s="102">
        <v>0</v>
      </c>
      <c r="AC2325" s="81">
        <f t="shared" si="111"/>
        <v>126.04565871559632</v>
      </c>
      <c r="AD2325" s="82">
        <f t="shared" si="112"/>
        <v>77.857142857142861</v>
      </c>
      <c r="AE2325" s="218">
        <v>0</v>
      </c>
      <c r="AF2325">
        <v>0</v>
      </c>
      <c r="AH2325" t="str">
        <f t="shared" si="113"/>
        <v>Sahibpur Kamal</v>
      </c>
      <c r="AJ2325" s="72">
        <v>0</v>
      </c>
      <c r="AK2325" s="72"/>
      <c r="AL2325" s="72"/>
      <c r="AM2325" s="72"/>
    </row>
    <row r="2326" spans="1:39" x14ac:dyDescent="0.25">
      <c r="A2326" s="37" t="s">
        <v>62</v>
      </c>
      <c r="B2326" s="66" t="s">
        <v>1629</v>
      </c>
      <c r="C2326" s="41">
        <v>1011</v>
      </c>
      <c r="D2326" s="41" t="s">
        <v>289</v>
      </c>
      <c r="E2326" s="41">
        <v>10110176</v>
      </c>
      <c r="F2326" s="85" t="s">
        <v>1287</v>
      </c>
      <c r="G2326" s="39" t="s">
        <v>635</v>
      </c>
      <c r="H2326" s="52" t="s">
        <v>99</v>
      </c>
      <c r="I2326" s="52">
        <v>92.799999999999983</v>
      </c>
      <c r="J2326" s="49">
        <v>3242.15</v>
      </c>
      <c r="K2326" s="58">
        <v>0</v>
      </c>
      <c r="L2326" s="58">
        <v>0</v>
      </c>
      <c r="M2326" s="58">
        <v>0</v>
      </c>
      <c r="N2326" s="58">
        <v>0</v>
      </c>
      <c r="O2326" s="58">
        <v>0</v>
      </c>
      <c r="P2326" s="53">
        <v>0</v>
      </c>
      <c r="Q2326" s="65">
        <v>3242.15</v>
      </c>
      <c r="R2326" s="65">
        <v>0</v>
      </c>
      <c r="S2326" s="65">
        <v>0</v>
      </c>
      <c r="T2326" s="65">
        <v>0</v>
      </c>
      <c r="U2326" s="58">
        <v>0</v>
      </c>
      <c r="V2326" s="65">
        <v>140.26606451612909</v>
      </c>
      <c r="W2326" s="65">
        <v>0</v>
      </c>
      <c r="X2326" s="65">
        <v>0</v>
      </c>
      <c r="Y2326" s="65">
        <v>0</v>
      </c>
      <c r="Z2326" s="51">
        <v>3101.883935483871</v>
      </c>
      <c r="AA2326" s="51">
        <v>0</v>
      </c>
      <c r="AB2326" s="102">
        <v>0</v>
      </c>
      <c r="AC2326" s="81">
        <f t="shared" si="111"/>
        <v>424.27445689655184</v>
      </c>
      <c r="AD2326" s="82">
        <f t="shared" si="112"/>
        <v>13.257142857142854</v>
      </c>
      <c r="AE2326" s="218">
        <v>0</v>
      </c>
      <c r="AF2326">
        <v>0</v>
      </c>
      <c r="AH2326" t="str">
        <f t="shared" si="113"/>
        <v>Sahibpur Kamal</v>
      </c>
      <c r="AJ2326" s="72">
        <v>0</v>
      </c>
      <c r="AK2326" s="72"/>
      <c r="AL2326" s="72"/>
      <c r="AM2326" s="72"/>
    </row>
    <row r="2327" spans="1:39" x14ac:dyDescent="0.25">
      <c r="A2327" s="37" t="s">
        <v>62</v>
      </c>
      <c r="B2327" s="66" t="s">
        <v>1629</v>
      </c>
      <c r="C2327" s="41">
        <v>1011</v>
      </c>
      <c r="D2327" s="41" t="s">
        <v>289</v>
      </c>
      <c r="E2327" s="41">
        <v>10110177</v>
      </c>
      <c r="F2327" s="85" t="s">
        <v>1390</v>
      </c>
      <c r="G2327" s="39" t="s">
        <v>93</v>
      </c>
      <c r="H2327" s="52" t="s">
        <v>94</v>
      </c>
      <c r="I2327" s="52">
        <v>564.89999999999986</v>
      </c>
      <c r="J2327" s="49">
        <v>23111.3</v>
      </c>
      <c r="K2327" s="58">
        <v>548.00000000000011</v>
      </c>
      <c r="L2327" s="58">
        <v>22722.285137300998</v>
      </c>
      <c r="M2327" s="58">
        <v>4.6999999999999993</v>
      </c>
      <c r="N2327" s="58">
        <v>237.13852589660002</v>
      </c>
      <c r="O2327" s="58">
        <v>552.70000000000016</v>
      </c>
      <c r="P2327" s="53">
        <v>22959.423663197598</v>
      </c>
      <c r="Q2327" s="65">
        <v>22959.423663197598</v>
      </c>
      <c r="R2327" s="65">
        <v>0</v>
      </c>
      <c r="S2327" s="65">
        <v>237.13852589660002</v>
      </c>
      <c r="T2327" s="65">
        <v>0</v>
      </c>
      <c r="U2327" s="58">
        <v>0</v>
      </c>
      <c r="V2327" s="65">
        <v>0</v>
      </c>
      <c r="W2327" s="65">
        <v>0</v>
      </c>
      <c r="X2327" s="65">
        <v>22722</v>
      </c>
      <c r="Y2327" s="65">
        <v>0</v>
      </c>
      <c r="Z2327" s="51">
        <v>0</v>
      </c>
      <c r="AA2327" s="51">
        <v>152</v>
      </c>
      <c r="AB2327" s="102">
        <v>0</v>
      </c>
      <c r="AC2327" s="81">
        <f t="shared" si="111"/>
        <v>110.54475588599772</v>
      </c>
      <c r="AD2327" s="82">
        <f t="shared" si="112"/>
        <v>80.699999999999974</v>
      </c>
      <c r="AE2327" s="218">
        <v>6.5715185559618479E-3</v>
      </c>
      <c r="AF2327">
        <v>2</v>
      </c>
      <c r="AH2327" t="str">
        <f t="shared" si="113"/>
        <v>Sahibpur Kamal</v>
      </c>
      <c r="AJ2327" s="72">
        <v>0</v>
      </c>
      <c r="AK2327" s="72"/>
      <c r="AL2327" s="72"/>
      <c r="AM2327" s="72"/>
    </row>
    <row r="2328" spans="1:39" x14ac:dyDescent="0.25">
      <c r="A2328" s="37" t="s">
        <v>62</v>
      </c>
      <c r="B2328" s="66" t="s">
        <v>1629</v>
      </c>
      <c r="C2328" s="41">
        <v>1011</v>
      </c>
      <c r="D2328" s="41" t="s">
        <v>289</v>
      </c>
      <c r="E2328" s="41">
        <v>10110178</v>
      </c>
      <c r="F2328" s="85" t="s">
        <v>1306</v>
      </c>
      <c r="G2328" s="39" t="s">
        <v>635</v>
      </c>
      <c r="H2328" s="52" t="s">
        <v>99</v>
      </c>
      <c r="I2328" s="52">
        <v>11857.3</v>
      </c>
      <c r="J2328" s="49">
        <v>443645.53000000009</v>
      </c>
      <c r="K2328" s="58">
        <v>0</v>
      </c>
      <c r="L2328" s="58">
        <v>0</v>
      </c>
      <c r="M2328" s="58">
        <v>0</v>
      </c>
      <c r="N2328" s="58">
        <v>0</v>
      </c>
      <c r="O2328" s="58">
        <v>0</v>
      </c>
      <c r="P2328" s="53">
        <v>0</v>
      </c>
      <c r="Q2328" s="65">
        <v>443645.53000000009</v>
      </c>
      <c r="R2328" s="65">
        <v>0</v>
      </c>
      <c r="S2328" s="65">
        <v>0</v>
      </c>
      <c r="T2328" s="65">
        <v>0</v>
      </c>
      <c r="U2328" s="58">
        <v>0</v>
      </c>
      <c r="V2328" s="65">
        <v>0</v>
      </c>
      <c r="W2328" s="65">
        <v>0</v>
      </c>
      <c r="X2328" s="65">
        <v>0</v>
      </c>
      <c r="Y2328" s="65">
        <v>0</v>
      </c>
      <c r="Z2328" s="51">
        <v>443645.53000000009</v>
      </c>
      <c r="AA2328" s="51">
        <v>0</v>
      </c>
      <c r="AB2328" s="102">
        <v>0</v>
      </c>
      <c r="AC2328" s="81">
        <f t="shared" si="111"/>
        <v>0</v>
      </c>
      <c r="AD2328" s="82">
        <f t="shared" si="112"/>
        <v>0</v>
      </c>
      <c r="AE2328" s="218">
        <v>0</v>
      </c>
      <c r="AF2328">
        <v>0</v>
      </c>
      <c r="AH2328" t="str">
        <f t="shared" si="113"/>
        <v>Sahibpur Kamal</v>
      </c>
      <c r="AJ2328" s="72">
        <v>0</v>
      </c>
      <c r="AK2328" s="72"/>
      <c r="AL2328" s="72"/>
      <c r="AM2328" s="72"/>
    </row>
    <row r="2329" spans="1:39" x14ac:dyDescent="0.25">
      <c r="A2329" s="37" t="s">
        <v>62</v>
      </c>
      <c r="B2329" s="66" t="s">
        <v>1629</v>
      </c>
      <c r="C2329" s="41">
        <v>1011</v>
      </c>
      <c r="D2329" s="41" t="s">
        <v>289</v>
      </c>
      <c r="E2329" s="41">
        <v>10110183</v>
      </c>
      <c r="F2329" s="85" t="s">
        <v>1403</v>
      </c>
      <c r="G2329" s="39" t="s">
        <v>635</v>
      </c>
      <c r="H2329" s="52" t="s">
        <v>99</v>
      </c>
      <c r="I2329" s="52">
        <v>2770.7000000000003</v>
      </c>
      <c r="J2329" s="49">
        <v>112543.15999999999</v>
      </c>
      <c r="K2329" s="58">
        <v>0</v>
      </c>
      <c r="L2329" s="58">
        <v>0</v>
      </c>
      <c r="M2329" s="58">
        <v>0</v>
      </c>
      <c r="N2329" s="58">
        <v>0</v>
      </c>
      <c r="O2329" s="58">
        <v>0</v>
      </c>
      <c r="P2329" s="53">
        <v>0</v>
      </c>
      <c r="Q2329" s="65">
        <v>112543.15999999999</v>
      </c>
      <c r="R2329" s="65">
        <v>0</v>
      </c>
      <c r="S2329" s="65">
        <v>0</v>
      </c>
      <c r="T2329" s="65">
        <v>0</v>
      </c>
      <c r="U2329" s="58">
        <v>0</v>
      </c>
      <c r="V2329" s="65">
        <v>0</v>
      </c>
      <c r="W2329" s="65">
        <v>0</v>
      </c>
      <c r="X2329" s="65">
        <v>0</v>
      </c>
      <c r="Y2329" s="65">
        <v>0</v>
      </c>
      <c r="Z2329" s="51">
        <v>112543.15999999999</v>
      </c>
      <c r="AA2329" s="51">
        <v>0</v>
      </c>
      <c r="AB2329" s="102">
        <v>0</v>
      </c>
      <c r="AC2329" s="81">
        <f t="shared" si="111"/>
        <v>0</v>
      </c>
      <c r="AD2329" s="82">
        <f t="shared" si="112"/>
        <v>0</v>
      </c>
      <c r="AE2329" s="218">
        <v>0</v>
      </c>
      <c r="AF2329">
        <v>0</v>
      </c>
      <c r="AH2329" t="str">
        <f t="shared" si="113"/>
        <v>Sahibpur Kamal</v>
      </c>
      <c r="AJ2329" s="72">
        <v>0</v>
      </c>
      <c r="AK2329" s="72"/>
      <c r="AL2329" s="72"/>
      <c r="AM2329" s="72"/>
    </row>
    <row r="2330" spans="1:39" x14ac:dyDescent="0.25">
      <c r="A2330" s="37" t="s">
        <v>62</v>
      </c>
      <c r="B2330" s="66" t="s">
        <v>1629</v>
      </c>
      <c r="C2330" s="41">
        <v>1011</v>
      </c>
      <c r="D2330" s="41" t="s">
        <v>289</v>
      </c>
      <c r="E2330" s="41">
        <v>10110184</v>
      </c>
      <c r="F2330" s="85" t="s">
        <v>1404</v>
      </c>
      <c r="G2330" s="39" t="s">
        <v>635</v>
      </c>
      <c r="H2330" s="52" t="s">
        <v>99</v>
      </c>
      <c r="I2330" s="52">
        <v>405.2</v>
      </c>
      <c r="J2330" s="49">
        <v>15192.05</v>
      </c>
      <c r="K2330" s="58">
        <v>0</v>
      </c>
      <c r="L2330" s="58">
        <v>0</v>
      </c>
      <c r="M2330" s="58">
        <v>0</v>
      </c>
      <c r="N2330" s="58">
        <v>0</v>
      </c>
      <c r="O2330" s="58">
        <v>0</v>
      </c>
      <c r="P2330" s="53">
        <v>0</v>
      </c>
      <c r="Q2330" s="65">
        <v>15192.05</v>
      </c>
      <c r="R2330" s="65">
        <v>0</v>
      </c>
      <c r="S2330" s="65">
        <v>0</v>
      </c>
      <c r="T2330" s="65">
        <v>0</v>
      </c>
      <c r="U2330" s="58">
        <v>0</v>
      </c>
      <c r="V2330" s="65">
        <v>0</v>
      </c>
      <c r="W2330" s="65">
        <v>0</v>
      </c>
      <c r="X2330" s="65">
        <v>0</v>
      </c>
      <c r="Y2330" s="65">
        <v>0</v>
      </c>
      <c r="Z2330" s="51">
        <v>15192.05</v>
      </c>
      <c r="AA2330" s="51">
        <v>0</v>
      </c>
      <c r="AB2330" s="102">
        <v>0</v>
      </c>
      <c r="AC2330" s="81">
        <f t="shared" si="111"/>
        <v>221.05707502467919</v>
      </c>
      <c r="AD2330" s="82">
        <f t="shared" si="112"/>
        <v>57.885714285714286</v>
      </c>
      <c r="AE2330" s="218">
        <v>0</v>
      </c>
      <c r="AF2330">
        <v>0</v>
      </c>
      <c r="AH2330" t="str">
        <f t="shared" si="113"/>
        <v>Sahibpur Kamal</v>
      </c>
      <c r="AJ2330" s="72">
        <v>0</v>
      </c>
      <c r="AK2330" s="72"/>
      <c r="AL2330" s="72"/>
      <c r="AM2330" s="72"/>
    </row>
    <row r="2331" spans="1:39" x14ac:dyDescent="0.25">
      <c r="A2331" s="37" t="s">
        <v>62</v>
      </c>
      <c r="B2331" s="66" t="s">
        <v>1629</v>
      </c>
      <c r="C2331" s="41">
        <v>1011</v>
      </c>
      <c r="D2331" s="41" t="s">
        <v>289</v>
      </c>
      <c r="E2331" s="41">
        <v>10110185</v>
      </c>
      <c r="F2331" s="85" t="s">
        <v>1423</v>
      </c>
      <c r="G2331" s="39" t="s">
        <v>635</v>
      </c>
      <c r="H2331" s="52" t="s">
        <v>99</v>
      </c>
      <c r="I2331" s="52">
        <v>356.49999999999994</v>
      </c>
      <c r="J2331" s="49">
        <v>12898.09</v>
      </c>
      <c r="K2331" s="58">
        <v>0</v>
      </c>
      <c r="L2331" s="58">
        <v>0</v>
      </c>
      <c r="M2331" s="58">
        <v>0</v>
      </c>
      <c r="N2331" s="58">
        <v>0</v>
      </c>
      <c r="O2331" s="58">
        <v>0</v>
      </c>
      <c r="P2331" s="53">
        <v>0</v>
      </c>
      <c r="Q2331" s="65">
        <v>12898.09</v>
      </c>
      <c r="R2331" s="65">
        <v>0</v>
      </c>
      <c r="S2331" s="65">
        <v>0</v>
      </c>
      <c r="T2331" s="65">
        <v>0</v>
      </c>
      <c r="U2331" s="58">
        <v>2600</v>
      </c>
      <c r="V2331" s="65">
        <v>0</v>
      </c>
      <c r="W2331" s="65">
        <v>0</v>
      </c>
      <c r="X2331" s="65">
        <v>0</v>
      </c>
      <c r="Y2331" s="65">
        <v>0</v>
      </c>
      <c r="Z2331" s="51">
        <v>10298.09</v>
      </c>
      <c r="AA2331" s="51">
        <v>0</v>
      </c>
      <c r="AB2331" s="102">
        <v>0</v>
      </c>
      <c r="AC2331" s="81">
        <f t="shared" si="111"/>
        <v>248.55505834502111</v>
      </c>
      <c r="AD2331" s="82">
        <f t="shared" si="112"/>
        <v>50.928571428571423</v>
      </c>
      <c r="AE2331" s="218">
        <v>0</v>
      </c>
      <c r="AF2331">
        <v>0</v>
      </c>
      <c r="AH2331" t="str">
        <f t="shared" si="113"/>
        <v>Sahibpur Kamal</v>
      </c>
      <c r="AJ2331" s="72">
        <v>0</v>
      </c>
      <c r="AK2331" s="72"/>
      <c r="AL2331" s="72"/>
      <c r="AM2331" s="72"/>
    </row>
    <row r="2332" spans="1:39" x14ac:dyDescent="0.25">
      <c r="A2332" s="37" t="s">
        <v>62</v>
      </c>
      <c r="B2332" s="66" t="s">
        <v>1629</v>
      </c>
      <c r="C2332" s="41">
        <v>1011</v>
      </c>
      <c r="D2332" s="41" t="s">
        <v>289</v>
      </c>
      <c r="E2332" s="41">
        <v>10110186</v>
      </c>
      <c r="F2332" s="85" t="s">
        <v>1496</v>
      </c>
      <c r="G2332" s="39" t="s">
        <v>93</v>
      </c>
      <c r="H2332" s="52" t="s">
        <v>94</v>
      </c>
      <c r="I2332" s="52">
        <v>286.3</v>
      </c>
      <c r="J2332" s="49">
        <v>10450.690000000002</v>
      </c>
      <c r="K2332" s="58">
        <v>286</v>
      </c>
      <c r="L2332" s="58">
        <v>10684.118016</v>
      </c>
      <c r="M2332" s="58">
        <v>0</v>
      </c>
      <c r="N2332" s="58">
        <v>0</v>
      </c>
      <c r="O2332" s="58">
        <v>286</v>
      </c>
      <c r="P2332" s="53">
        <v>10684.118016</v>
      </c>
      <c r="Q2332" s="65">
        <v>10450.690000000002</v>
      </c>
      <c r="R2332" s="65">
        <v>0</v>
      </c>
      <c r="S2332" s="65">
        <v>0</v>
      </c>
      <c r="T2332" s="65">
        <v>233.42801599999802</v>
      </c>
      <c r="U2332" s="58">
        <v>0</v>
      </c>
      <c r="V2332" s="65">
        <v>0</v>
      </c>
      <c r="W2332" s="65">
        <v>0</v>
      </c>
      <c r="X2332" s="65">
        <v>10451</v>
      </c>
      <c r="Y2332" s="65">
        <v>0</v>
      </c>
      <c r="Z2332" s="51">
        <v>0</v>
      </c>
      <c r="AA2332" s="51">
        <v>0</v>
      </c>
      <c r="AB2332" s="102">
        <v>0</v>
      </c>
      <c r="AC2332" s="81">
        <f t="shared" si="111"/>
        <v>302.02238581907102</v>
      </c>
      <c r="AD2332" s="82">
        <f t="shared" si="112"/>
        <v>40.9</v>
      </c>
      <c r="AE2332" s="218">
        <v>-2.2336134360506146E-2</v>
      </c>
      <c r="AF2332">
        <v>1</v>
      </c>
      <c r="AH2332" t="str">
        <f t="shared" si="113"/>
        <v>Sahibpur Kamal</v>
      </c>
      <c r="AJ2332" s="72">
        <v>0</v>
      </c>
      <c r="AK2332" s="72"/>
      <c r="AL2332" s="72"/>
      <c r="AM2332" s="72"/>
    </row>
    <row r="2333" spans="1:39" x14ac:dyDescent="0.25">
      <c r="A2333" s="37" t="s">
        <v>62</v>
      </c>
      <c r="B2333" s="66" t="s">
        <v>1629</v>
      </c>
      <c r="C2333" s="41">
        <v>1011</v>
      </c>
      <c r="D2333" s="41" t="s">
        <v>289</v>
      </c>
      <c r="E2333" s="41">
        <v>10110187</v>
      </c>
      <c r="F2333" s="85" t="s">
        <v>1497</v>
      </c>
      <c r="G2333" s="39" t="s">
        <v>93</v>
      </c>
      <c r="H2333" s="52" t="s">
        <v>94</v>
      </c>
      <c r="I2333" s="52">
        <v>286.7</v>
      </c>
      <c r="J2333" s="49">
        <v>10292.650000000001</v>
      </c>
      <c r="K2333" s="58">
        <v>286</v>
      </c>
      <c r="L2333" s="58">
        <v>10083.84252876</v>
      </c>
      <c r="M2333" s="58">
        <v>0</v>
      </c>
      <c r="N2333" s="58">
        <v>0</v>
      </c>
      <c r="O2333" s="58">
        <v>286</v>
      </c>
      <c r="P2333" s="53">
        <v>10083.84252876</v>
      </c>
      <c r="Q2333" s="65">
        <v>10083.84252876</v>
      </c>
      <c r="R2333" s="65">
        <v>0</v>
      </c>
      <c r="S2333" s="65">
        <v>0</v>
      </c>
      <c r="T2333" s="65">
        <v>0</v>
      </c>
      <c r="U2333" s="58">
        <v>0</v>
      </c>
      <c r="V2333" s="65">
        <v>0</v>
      </c>
      <c r="W2333" s="65">
        <v>0</v>
      </c>
      <c r="X2333" s="65">
        <v>10084</v>
      </c>
      <c r="Y2333" s="65">
        <v>0</v>
      </c>
      <c r="Z2333" s="51">
        <v>0</v>
      </c>
      <c r="AA2333" s="51">
        <v>209</v>
      </c>
      <c r="AB2333" s="102">
        <v>0</v>
      </c>
      <c r="AC2333" s="81">
        <f t="shared" si="111"/>
        <v>296.7528597837462</v>
      </c>
      <c r="AD2333" s="82">
        <f t="shared" si="112"/>
        <v>40.957142857142856</v>
      </c>
      <c r="AE2333" s="218">
        <v>2.0287046702258518E-2</v>
      </c>
      <c r="AF2333">
        <v>1</v>
      </c>
      <c r="AH2333" t="str">
        <f t="shared" si="113"/>
        <v>Sahibpur Kamal</v>
      </c>
      <c r="AJ2333" s="72">
        <v>0</v>
      </c>
      <c r="AK2333" s="72"/>
      <c r="AL2333" s="72"/>
      <c r="AM2333" s="72"/>
    </row>
    <row r="2334" spans="1:39" x14ac:dyDescent="0.25">
      <c r="A2334" s="37" t="s">
        <v>62</v>
      </c>
      <c r="B2334" s="66" t="s">
        <v>1629</v>
      </c>
      <c r="C2334" s="41">
        <v>1011</v>
      </c>
      <c r="D2334" s="41" t="s">
        <v>289</v>
      </c>
      <c r="E2334" s="41">
        <v>10110188</v>
      </c>
      <c r="F2334" s="85" t="s">
        <v>1477</v>
      </c>
      <c r="G2334" s="39" t="s">
        <v>635</v>
      </c>
      <c r="H2334" s="52" t="s">
        <v>99</v>
      </c>
      <c r="I2334" s="52">
        <v>851.59999999999991</v>
      </c>
      <c r="J2334" s="49">
        <v>31973.760000000002</v>
      </c>
      <c r="K2334" s="58">
        <v>0</v>
      </c>
      <c r="L2334" s="58">
        <v>0</v>
      </c>
      <c r="M2334" s="58">
        <v>0</v>
      </c>
      <c r="N2334" s="58">
        <v>0</v>
      </c>
      <c r="O2334" s="58">
        <v>0</v>
      </c>
      <c r="P2334" s="53">
        <v>0</v>
      </c>
      <c r="Q2334" s="65">
        <v>31973.760000000002</v>
      </c>
      <c r="R2334" s="65">
        <v>0</v>
      </c>
      <c r="S2334" s="65">
        <v>0</v>
      </c>
      <c r="T2334" s="65">
        <v>0</v>
      </c>
      <c r="U2334" s="58">
        <v>0</v>
      </c>
      <c r="V2334" s="65">
        <v>0</v>
      </c>
      <c r="W2334" s="65">
        <v>0</v>
      </c>
      <c r="X2334" s="65">
        <v>0</v>
      </c>
      <c r="Y2334" s="65">
        <v>0</v>
      </c>
      <c r="Z2334" s="51">
        <v>31973.760000000002</v>
      </c>
      <c r="AA2334" s="51">
        <v>0</v>
      </c>
      <c r="AB2334" s="102">
        <v>0</v>
      </c>
      <c r="AC2334" s="81">
        <f t="shared" si="111"/>
        <v>0</v>
      </c>
      <c r="AD2334" s="82">
        <f t="shared" si="112"/>
        <v>0</v>
      </c>
      <c r="AE2334" s="218">
        <v>0</v>
      </c>
      <c r="AF2334">
        <v>0</v>
      </c>
      <c r="AH2334" t="str">
        <f t="shared" si="113"/>
        <v>Sahibpur Kamal</v>
      </c>
      <c r="AJ2334" s="72">
        <v>0</v>
      </c>
      <c r="AK2334" s="72"/>
      <c r="AL2334" s="72"/>
      <c r="AM2334" s="72"/>
    </row>
    <row r="2335" spans="1:39" x14ac:dyDescent="0.25">
      <c r="A2335" s="37" t="s">
        <v>62</v>
      </c>
      <c r="B2335" s="66" t="s">
        <v>1629</v>
      </c>
      <c r="C2335" s="41">
        <v>1012</v>
      </c>
      <c r="D2335" s="41" t="s">
        <v>314</v>
      </c>
      <c r="E2335" s="41">
        <v>10120001</v>
      </c>
      <c r="F2335" s="85" t="s">
        <v>315</v>
      </c>
      <c r="G2335" s="39" t="s">
        <v>635</v>
      </c>
      <c r="H2335" s="52" t="s">
        <v>99</v>
      </c>
      <c r="I2335" s="52">
        <v>203.72000000000003</v>
      </c>
      <c r="J2335" s="49">
        <v>9323.83</v>
      </c>
      <c r="K2335" s="58">
        <v>0</v>
      </c>
      <c r="L2335" s="58">
        <v>0</v>
      </c>
      <c r="M2335" s="58">
        <v>0</v>
      </c>
      <c r="N2335" s="58">
        <v>0</v>
      </c>
      <c r="O2335" s="58">
        <v>0</v>
      </c>
      <c r="P2335" s="53">
        <v>0</v>
      </c>
      <c r="Q2335" s="65">
        <v>9323.83</v>
      </c>
      <c r="R2335" s="65">
        <v>0</v>
      </c>
      <c r="S2335" s="65">
        <v>0</v>
      </c>
      <c r="T2335" s="65">
        <v>0</v>
      </c>
      <c r="U2335" s="58">
        <v>2328</v>
      </c>
      <c r="V2335" s="65">
        <v>0</v>
      </c>
      <c r="W2335" s="65">
        <v>0</v>
      </c>
      <c r="X2335" s="65">
        <v>0</v>
      </c>
      <c r="Y2335" s="65">
        <v>0</v>
      </c>
      <c r="Z2335" s="51">
        <v>6995.83</v>
      </c>
      <c r="AA2335" s="51">
        <v>0</v>
      </c>
      <c r="AB2335" s="102">
        <v>0</v>
      </c>
      <c r="AC2335" s="81">
        <f t="shared" si="111"/>
        <v>454.27354726094632</v>
      </c>
      <c r="AD2335" s="82">
        <f t="shared" si="112"/>
        <v>29.102857142857147</v>
      </c>
      <c r="AE2335" s="218">
        <v>0</v>
      </c>
      <c r="AF2335">
        <v>0</v>
      </c>
      <c r="AH2335" t="str">
        <f t="shared" si="113"/>
        <v>DalsinghSarai</v>
      </c>
      <c r="AJ2335" s="72">
        <v>0</v>
      </c>
      <c r="AK2335" s="72"/>
      <c r="AL2335" s="72"/>
      <c r="AM2335" s="72"/>
    </row>
    <row r="2336" spans="1:39" x14ac:dyDescent="0.25">
      <c r="A2336" s="37" t="s">
        <v>62</v>
      </c>
      <c r="B2336" s="66" t="s">
        <v>1629</v>
      </c>
      <c r="C2336" s="41">
        <v>1012</v>
      </c>
      <c r="D2336" s="41" t="s">
        <v>314</v>
      </c>
      <c r="E2336" s="41">
        <v>10120002</v>
      </c>
      <c r="F2336" s="85" t="s">
        <v>316</v>
      </c>
      <c r="G2336" s="39" t="s">
        <v>635</v>
      </c>
      <c r="H2336" s="52" t="s">
        <v>99</v>
      </c>
      <c r="I2336" s="52">
        <v>404.01999999999992</v>
      </c>
      <c r="J2336" s="49">
        <v>15407.620000000003</v>
      </c>
      <c r="K2336" s="58">
        <v>0</v>
      </c>
      <c r="L2336" s="58">
        <v>0</v>
      </c>
      <c r="M2336" s="58">
        <v>0</v>
      </c>
      <c r="N2336" s="58">
        <v>0</v>
      </c>
      <c r="O2336" s="58">
        <v>0</v>
      </c>
      <c r="P2336" s="53">
        <v>0</v>
      </c>
      <c r="Q2336" s="65">
        <v>15407.620000000003</v>
      </c>
      <c r="R2336" s="65">
        <v>0</v>
      </c>
      <c r="S2336" s="65">
        <v>0</v>
      </c>
      <c r="T2336" s="65">
        <v>0</v>
      </c>
      <c r="U2336" s="58">
        <v>3000</v>
      </c>
      <c r="V2336" s="65">
        <v>40.219240645161214</v>
      </c>
      <c r="W2336" s="65">
        <v>0</v>
      </c>
      <c r="X2336" s="65">
        <v>0</v>
      </c>
      <c r="Y2336" s="65">
        <v>0</v>
      </c>
      <c r="Z2336" s="51">
        <v>12367.400759354841</v>
      </c>
      <c r="AA2336" s="51">
        <v>0</v>
      </c>
      <c r="AB2336" s="102">
        <v>0</v>
      </c>
      <c r="AC2336" s="81">
        <f t="shared" si="111"/>
        <v>225.74859500024766</v>
      </c>
      <c r="AD2336" s="82">
        <f t="shared" si="112"/>
        <v>57.717142857142846</v>
      </c>
      <c r="AE2336" s="218">
        <v>0</v>
      </c>
      <c r="AF2336">
        <v>0</v>
      </c>
      <c r="AH2336" t="str">
        <f t="shared" si="113"/>
        <v>DalsinghSarai</v>
      </c>
      <c r="AJ2336" s="72">
        <v>0</v>
      </c>
      <c r="AK2336" s="72"/>
      <c r="AL2336" s="72"/>
      <c r="AM2336" s="72"/>
    </row>
    <row r="2337" spans="1:39" x14ac:dyDescent="0.25">
      <c r="A2337" s="37" t="s">
        <v>62</v>
      </c>
      <c r="B2337" s="66" t="s">
        <v>1629</v>
      </c>
      <c r="C2337" s="41">
        <v>1012</v>
      </c>
      <c r="D2337" s="41" t="s">
        <v>314</v>
      </c>
      <c r="E2337" s="41">
        <v>10120005</v>
      </c>
      <c r="F2337" s="85" t="s">
        <v>317</v>
      </c>
      <c r="G2337" s="39" t="s">
        <v>93</v>
      </c>
      <c r="H2337" s="52" t="s">
        <v>94</v>
      </c>
      <c r="I2337" s="52">
        <v>364.74000000000007</v>
      </c>
      <c r="J2337" s="49">
        <v>13590.68</v>
      </c>
      <c r="K2337" s="58">
        <v>349.81</v>
      </c>
      <c r="L2337" s="58">
        <v>13849.548816230003</v>
      </c>
      <c r="M2337" s="58">
        <v>0</v>
      </c>
      <c r="N2337" s="58">
        <v>0</v>
      </c>
      <c r="O2337" s="58">
        <v>349.81</v>
      </c>
      <c r="P2337" s="53">
        <v>13849.548816230003</v>
      </c>
      <c r="Q2337" s="65">
        <v>13590.68</v>
      </c>
      <c r="R2337" s="65">
        <v>0</v>
      </c>
      <c r="S2337" s="65">
        <v>0</v>
      </c>
      <c r="T2337" s="65">
        <v>258.86881623000227</v>
      </c>
      <c r="U2337" s="58">
        <v>0</v>
      </c>
      <c r="V2337" s="65">
        <v>0</v>
      </c>
      <c r="W2337" s="65">
        <v>0</v>
      </c>
      <c r="X2337" s="65">
        <v>13591</v>
      </c>
      <c r="Y2337" s="65">
        <v>0</v>
      </c>
      <c r="Z2337" s="51">
        <v>0</v>
      </c>
      <c r="AA2337" s="51">
        <v>0</v>
      </c>
      <c r="AB2337" s="102">
        <v>0</v>
      </c>
      <c r="AC2337" s="81">
        <f t="shared" si="111"/>
        <v>249.84434812743316</v>
      </c>
      <c r="AD2337" s="82">
        <f t="shared" si="112"/>
        <v>52.105714285714292</v>
      </c>
      <c r="AE2337" s="218">
        <v>-1.9047524938413843E-2</v>
      </c>
      <c r="AF2337">
        <v>4</v>
      </c>
      <c r="AH2337" t="str">
        <f t="shared" si="113"/>
        <v>DalsinghSarai</v>
      </c>
      <c r="AJ2337" s="72">
        <v>0</v>
      </c>
      <c r="AK2337" s="72"/>
      <c r="AL2337" s="72"/>
      <c r="AM2337" s="72"/>
    </row>
    <row r="2338" spans="1:39" x14ac:dyDescent="0.25">
      <c r="A2338" s="37" t="s">
        <v>62</v>
      </c>
      <c r="B2338" s="66" t="s">
        <v>1629</v>
      </c>
      <c r="C2338" s="41">
        <v>1012</v>
      </c>
      <c r="D2338" s="41" t="s">
        <v>314</v>
      </c>
      <c r="E2338" s="41">
        <v>10120006</v>
      </c>
      <c r="F2338" s="85" t="s">
        <v>318</v>
      </c>
      <c r="G2338" s="39" t="s">
        <v>93</v>
      </c>
      <c r="H2338" s="52" t="s">
        <v>94</v>
      </c>
      <c r="I2338" s="52">
        <v>412.26</v>
      </c>
      <c r="J2338" s="49">
        <v>14840.01</v>
      </c>
      <c r="K2338" s="58">
        <v>361.38</v>
      </c>
      <c r="L2338" s="58">
        <v>14138.968861290603</v>
      </c>
      <c r="M2338" s="58">
        <v>16.8</v>
      </c>
      <c r="N2338" s="58">
        <v>700.27998696449993</v>
      </c>
      <c r="O2338" s="58">
        <v>378.18</v>
      </c>
      <c r="P2338" s="53">
        <v>14839.248848255103</v>
      </c>
      <c r="Q2338" s="65">
        <v>14839.248848255103</v>
      </c>
      <c r="R2338" s="65">
        <v>0</v>
      </c>
      <c r="S2338" s="65">
        <v>17.530048800000003</v>
      </c>
      <c r="T2338" s="65">
        <v>0</v>
      </c>
      <c r="U2338" s="58">
        <v>0</v>
      </c>
      <c r="V2338" s="65">
        <v>0</v>
      </c>
      <c r="W2338" s="65">
        <v>0</v>
      </c>
      <c r="X2338" s="65">
        <v>14139</v>
      </c>
      <c r="Y2338" s="65">
        <v>683</v>
      </c>
      <c r="Z2338" s="51">
        <v>0</v>
      </c>
      <c r="AA2338" s="51">
        <v>0</v>
      </c>
      <c r="AB2338" s="102">
        <v>0</v>
      </c>
      <c r="AC2338" s="81">
        <f t="shared" si="111"/>
        <v>207.15395514481156</v>
      </c>
      <c r="AD2338" s="82">
        <f t="shared" si="112"/>
        <v>58.894285714285715</v>
      </c>
      <c r="AE2338" s="218">
        <v>5.1290514285150672E-5</v>
      </c>
      <c r="AF2338">
        <v>7</v>
      </c>
      <c r="AH2338" t="str">
        <f t="shared" si="113"/>
        <v>DalsinghSarai</v>
      </c>
      <c r="AJ2338" s="72">
        <v>0</v>
      </c>
      <c r="AK2338" s="72"/>
      <c r="AL2338" s="72"/>
      <c r="AM2338" s="72"/>
    </row>
    <row r="2339" spans="1:39" x14ac:dyDescent="0.25">
      <c r="A2339" s="37" t="s">
        <v>62</v>
      </c>
      <c r="B2339" s="66" t="s">
        <v>1629</v>
      </c>
      <c r="C2339" s="41">
        <v>1012</v>
      </c>
      <c r="D2339" s="41" t="s">
        <v>314</v>
      </c>
      <c r="E2339" s="41">
        <v>10120007</v>
      </c>
      <c r="F2339" s="85" t="s">
        <v>319</v>
      </c>
      <c r="G2339" s="39" t="s">
        <v>93</v>
      </c>
      <c r="H2339" s="52" t="s">
        <v>94</v>
      </c>
      <c r="I2339" s="52">
        <v>1240.1599999999996</v>
      </c>
      <c r="J2339" s="49">
        <v>48432.95</v>
      </c>
      <c r="K2339" s="58">
        <v>1234.7400000000002</v>
      </c>
      <c r="L2339" s="58">
        <v>48461.276195559942</v>
      </c>
      <c r="M2339" s="58">
        <v>15.399999999999999</v>
      </c>
      <c r="N2339" s="58">
        <v>602.90056530000015</v>
      </c>
      <c r="O2339" s="58">
        <v>1250.1400000000003</v>
      </c>
      <c r="P2339" s="53">
        <v>49064.17676085994</v>
      </c>
      <c r="Q2339" s="65">
        <v>48432.95</v>
      </c>
      <c r="R2339" s="65">
        <v>0</v>
      </c>
      <c r="S2339" s="65">
        <v>602.90056530000015</v>
      </c>
      <c r="T2339" s="65">
        <v>631.22676085994317</v>
      </c>
      <c r="U2339" s="58">
        <v>4907</v>
      </c>
      <c r="V2339" s="65">
        <v>0</v>
      </c>
      <c r="W2339" s="65">
        <v>0</v>
      </c>
      <c r="X2339" s="65">
        <v>42923</v>
      </c>
      <c r="Y2339" s="65">
        <v>0</v>
      </c>
      <c r="Z2339" s="51">
        <v>0</v>
      </c>
      <c r="AA2339" s="51">
        <v>0</v>
      </c>
      <c r="AB2339" s="102">
        <v>0</v>
      </c>
      <c r="AC2339" s="81">
        <f t="shared" si="111"/>
        <v>0</v>
      </c>
      <c r="AD2339" s="82">
        <f t="shared" si="112"/>
        <v>0</v>
      </c>
      <c r="AE2339" s="218">
        <v>-1.3033002550122245E-2</v>
      </c>
      <c r="AF2339">
        <v>35</v>
      </c>
      <c r="AH2339" t="str">
        <f t="shared" si="113"/>
        <v>DalsinghSarai</v>
      </c>
      <c r="AJ2339" s="72">
        <v>0</v>
      </c>
      <c r="AK2339" s="72"/>
      <c r="AL2339" s="72"/>
      <c r="AM2339" s="72"/>
    </row>
    <row r="2340" spans="1:39" x14ac:dyDescent="0.25">
      <c r="A2340" s="37" t="s">
        <v>62</v>
      </c>
      <c r="B2340" s="66" t="s">
        <v>1629</v>
      </c>
      <c r="C2340" s="41">
        <v>1012</v>
      </c>
      <c r="D2340" s="41" t="s">
        <v>314</v>
      </c>
      <c r="E2340" s="41">
        <v>10120008</v>
      </c>
      <c r="F2340" s="85" t="s">
        <v>320</v>
      </c>
      <c r="G2340" s="39" t="s">
        <v>635</v>
      </c>
      <c r="H2340" s="52" t="s">
        <v>99</v>
      </c>
      <c r="I2340" s="52">
        <v>62.690000000000005</v>
      </c>
      <c r="J2340" s="49">
        <v>2028.96</v>
      </c>
      <c r="K2340" s="58">
        <v>0</v>
      </c>
      <c r="L2340" s="58">
        <v>0</v>
      </c>
      <c r="M2340" s="58">
        <v>0</v>
      </c>
      <c r="N2340" s="58">
        <v>0</v>
      </c>
      <c r="O2340" s="58">
        <v>0</v>
      </c>
      <c r="P2340" s="53">
        <v>0</v>
      </c>
      <c r="Q2340" s="65">
        <v>2028.96</v>
      </c>
      <c r="R2340" s="65">
        <v>0</v>
      </c>
      <c r="S2340" s="65">
        <v>0</v>
      </c>
      <c r="T2340" s="65">
        <v>0</v>
      </c>
      <c r="U2340" s="58">
        <v>0</v>
      </c>
      <c r="V2340" s="65">
        <v>0</v>
      </c>
      <c r="W2340" s="65">
        <v>0</v>
      </c>
      <c r="X2340" s="65">
        <v>0</v>
      </c>
      <c r="Y2340" s="65">
        <v>0</v>
      </c>
      <c r="Z2340" s="51">
        <v>2028.96</v>
      </c>
      <c r="AA2340" s="51">
        <v>0</v>
      </c>
      <c r="AB2340" s="102">
        <v>0</v>
      </c>
      <c r="AC2340" s="81">
        <f t="shared" si="111"/>
        <v>412.53038685595783</v>
      </c>
      <c r="AD2340" s="82">
        <f t="shared" si="112"/>
        <v>8.9557142857142864</v>
      </c>
      <c r="AE2340" s="218">
        <v>0</v>
      </c>
      <c r="AF2340">
        <v>0</v>
      </c>
      <c r="AH2340" t="str">
        <f t="shared" si="113"/>
        <v>DalsinghSarai</v>
      </c>
      <c r="AJ2340" s="72">
        <v>0</v>
      </c>
      <c r="AK2340" s="72"/>
      <c r="AL2340" s="72"/>
      <c r="AM2340" s="72"/>
    </row>
    <row r="2341" spans="1:39" x14ac:dyDescent="0.25">
      <c r="A2341" s="37" t="s">
        <v>62</v>
      </c>
      <c r="B2341" s="66" t="s">
        <v>1629</v>
      </c>
      <c r="C2341" s="41">
        <v>1012</v>
      </c>
      <c r="D2341" s="41" t="s">
        <v>314</v>
      </c>
      <c r="E2341" s="41">
        <v>10120010</v>
      </c>
      <c r="F2341" s="85" t="s">
        <v>321</v>
      </c>
      <c r="G2341" s="39" t="s">
        <v>635</v>
      </c>
      <c r="H2341" s="52" t="s">
        <v>99</v>
      </c>
      <c r="I2341" s="52">
        <v>1830.9099999999999</v>
      </c>
      <c r="J2341" s="49">
        <v>73732.87</v>
      </c>
      <c r="K2341" s="58">
        <v>0</v>
      </c>
      <c r="L2341" s="58">
        <v>0</v>
      </c>
      <c r="M2341" s="58">
        <v>0</v>
      </c>
      <c r="N2341" s="58">
        <v>0</v>
      </c>
      <c r="O2341" s="58">
        <v>0</v>
      </c>
      <c r="P2341" s="53">
        <v>0</v>
      </c>
      <c r="Q2341" s="65">
        <v>73732.87</v>
      </c>
      <c r="R2341" s="65">
        <v>0</v>
      </c>
      <c r="S2341" s="65">
        <v>0</v>
      </c>
      <c r="T2341" s="65">
        <v>0</v>
      </c>
      <c r="U2341" s="58">
        <v>4050</v>
      </c>
      <c r="V2341" s="65">
        <v>0</v>
      </c>
      <c r="W2341" s="65">
        <v>0</v>
      </c>
      <c r="X2341" s="65">
        <v>0</v>
      </c>
      <c r="Y2341" s="65">
        <v>0</v>
      </c>
      <c r="Z2341" s="51">
        <v>69682.87</v>
      </c>
      <c r="AA2341" s="51">
        <v>0</v>
      </c>
      <c r="AB2341" s="102">
        <v>0</v>
      </c>
      <c r="AC2341" s="81">
        <f t="shared" si="111"/>
        <v>0</v>
      </c>
      <c r="AD2341" s="82">
        <f t="shared" si="112"/>
        <v>0</v>
      </c>
      <c r="AE2341" s="218">
        <v>0</v>
      </c>
      <c r="AF2341">
        <v>0</v>
      </c>
      <c r="AH2341" t="str">
        <f t="shared" si="113"/>
        <v>DalsinghSarai</v>
      </c>
      <c r="AJ2341" s="72">
        <v>0</v>
      </c>
      <c r="AK2341" s="72"/>
      <c r="AL2341" s="72"/>
      <c r="AM2341" s="72"/>
    </row>
    <row r="2342" spans="1:39" x14ac:dyDescent="0.25">
      <c r="A2342" s="37" t="s">
        <v>62</v>
      </c>
      <c r="B2342" s="66" t="s">
        <v>1629</v>
      </c>
      <c r="C2342" s="41">
        <v>1012</v>
      </c>
      <c r="D2342" s="41" t="s">
        <v>314</v>
      </c>
      <c r="E2342" s="41">
        <v>10120011</v>
      </c>
      <c r="F2342" s="85" t="s">
        <v>625</v>
      </c>
      <c r="G2342" s="39" t="s">
        <v>635</v>
      </c>
      <c r="H2342" s="52" t="s">
        <v>99</v>
      </c>
      <c r="I2342" s="52">
        <v>431.67</v>
      </c>
      <c r="J2342" s="49">
        <v>16466.689999999999</v>
      </c>
      <c r="K2342" s="58">
        <v>0</v>
      </c>
      <c r="L2342" s="58">
        <v>0</v>
      </c>
      <c r="M2342" s="58">
        <v>0</v>
      </c>
      <c r="N2342" s="58">
        <v>0</v>
      </c>
      <c r="O2342" s="58">
        <v>0</v>
      </c>
      <c r="P2342" s="53">
        <v>0</v>
      </c>
      <c r="Q2342" s="65">
        <v>16466.689999999999</v>
      </c>
      <c r="R2342" s="65">
        <v>0</v>
      </c>
      <c r="S2342" s="65">
        <v>0</v>
      </c>
      <c r="T2342" s="65">
        <v>0</v>
      </c>
      <c r="U2342" s="58">
        <v>0</v>
      </c>
      <c r="V2342" s="65">
        <v>0</v>
      </c>
      <c r="W2342" s="65">
        <v>0</v>
      </c>
      <c r="X2342" s="65">
        <v>0</v>
      </c>
      <c r="Y2342" s="65">
        <v>0</v>
      </c>
      <c r="Z2342" s="51">
        <v>16466.689999999999</v>
      </c>
      <c r="AA2342" s="51">
        <v>0</v>
      </c>
      <c r="AB2342" s="102">
        <v>0</v>
      </c>
      <c r="AC2342" s="81">
        <f t="shared" si="111"/>
        <v>204.71688686728285</v>
      </c>
      <c r="AD2342" s="82">
        <f t="shared" si="112"/>
        <v>61.667142857142856</v>
      </c>
      <c r="AE2342" s="218">
        <v>0</v>
      </c>
      <c r="AF2342">
        <v>0</v>
      </c>
      <c r="AH2342" t="str">
        <f t="shared" si="113"/>
        <v>DalsinghSarai</v>
      </c>
      <c r="AJ2342" s="72">
        <v>0</v>
      </c>
      <c r="AK2342" s="72"/>
      <c r="AL2342" s="72"/>
      <c r="AM2342" s="72"/>
    </row>
    <row r="2343" spans="1:39" x14ac:dyDescent="0.25">
      <c r="A2343" s="37" t="s">
        <v>62</v>
      </c>
      <c r="B2343" s="66" t="s">
        <v>1629</v>
      </c>
      <c r="C2343" s="41">
        <v>1012</v>
      </c>
      <c r="D2343" s="41" t="s">
        <v>314</v>
      </c>
      <c r="E2343" s="41">
        <v>10120012</v>
      </c>
      <c r="F2343" s="85" t="s">
        <v>322</v>
      </c>
      <c r="G2343" s="39" t="s">
        <v>93</v>
      </c>
      <c r="H2343" s="52" t="s">
        <v>94</v>
      </c>
      <c r="I2343" s="52">
        <v>865.15</v>
      </c>
      <c r="J2343" s="49">
        <v>36547.029999999992</v>
      </c>
      <c r="K2343" s="58">
        <v>851.69999999999982</v>
      </c>
      <c r="L2343" s="58">
        <v>37097.625376276614</v>
      </c>
      <c r="M2343" s="58">
        <v>14.7</v>
      </c>
      <c r="N2343" s="58">
        <v>628.97004324</v>
      </c>
      <c r="O2343" s="58">
        <v>866.39999999999986</v>
      </c>
      <c r="P2343" s="53">
        <v>37726.595419516612</v>
      </c>
      <c r="Q2343" s="65">
        <v>36547.029999999992</v>
      </c>
      <c r="R2343" s="65">
        <v>0</v>
      </c>
      <c r="S2343" s="65">
        <v>628.97004324</v>
      </c>
      <c r="T2343" s="65">
        <v>1179.5654195166208</v>
      </c>
      <c r="U2343" s="58">
        <v>0</v>
      </c>
      <c r="V2343" s="65">
        <v>0</v>
      </c>
      <c r="W2343" s="65">
        <v>0</v>
      </c>
      <c r="X2343" s="65">
        <v>35918</v>
      </c>
      <c r="Y2343" s="65">
        <v>0</v>
      </c>
      <c r="Z2343" s="51">
        <v>0</v>
      </c>
      <c r="AA2343" s="51">
        <v>0</v>
      </c>
      <c r="AB2343" s="102">
        <v>0</v>
      </c>
      <c r="AC2343" s="81">
        <f t="shared" si="111"/>
        <v>0</v>
      </c>
      <c r="AD2343" s="82">
        <f t="shared" si="112"/>
        <v>0</v>
      </c>
      <c r="AE2343" s="218">
        <v>-3.2275274338752588E-2</v>
      </c>
      <c r="AF2343">
        <v>20</v>
      </c>
      <c r="AH2343" t="str">
        <f t="shared" si="113"/>
        <v>DalsinghSarai</v>
      </c>
      <c r="AJ2343" s="72">
        <v>0</v>
      </c>
      <c r="AK2343" s="72"/>
      <c r="AL2343" s="72"/>
      <c r="AM2343" s="72"/>
    </row>
    <row r="2344" spans="1:39" x14ac:dyDescent="0.25">
      <c r="A2344" s="37" t="s">
        <v>62</v>
      </c>
      <c r="B2344" s="66" t="s">
        <v>1629</v>
      </c>
      <c r="C2344" s="41">
        <v>1012</v>
      </c>
      <c r="D2344" s="41" t="s">
        <v>314</v>
      </c>
      <c r="E2344" s="41">
        <v>10120013</v>
      </c>
      <c r="F2344" s="85" t="s">
        <v>323</v>
      </c>
      <c r="G2344" s="39" t="s">
        <v>635</v>
      </c>
      <c r="H2344" s="52" t="s">
        <v>99</v>
      </c>
      <c r="I2344" s="52">
        <v>318.68</v>
      </c>
      <c r="J2344" s="49">
        <v>10547.53</v>
      </c>
      <c r="K2344" s="58">
        <v>0</v>
      </c>
      <c r="L2344" s="58">
        <v>0</v>
      </c>
      <c r="M2344" s="58">
        <v>0</v>
      </c>
      <c r="N2344" s="58">
        <v>0</v>
      </c>
      <c r="O2344" s="58">
        <v>0</v>
      </c>
      <c r="P2344" s="53">
        <v>0</v>
      </c>
      <c r="Q2344" s="65">
        <v>10547.53</v>
      </c>
      <c r="R2344" s="65">
        <v>0</v>
      </c>
      <c r="S2344" s="65">
        <v>0</v>
      </c>
      <c r="T2344" s="65">
        <v>0</v>
      </c>
      <c r="U2344" s="58">
        <v>2700</v>
      </c>
      <c r="V2344" s="65">
        <v>0</v>
      </c>
      <c r="W2344" s="65">
        <v>0</v>
      </c>
      <c r="X2344" s="65">
        <v>0</v>
      </c>
      <c r="Y2344" s="65">
        <v>0</v>
      </c>
      <c r="Z2344" s="51">
        <v>7847.5300000000007</v>
      </c>
      <c r="AA2344" s="51">
        <v>0</v>
      </c>
      <c r="AB2344" s="102">
        <v>0</v>
      </c>
      <c r="AC2344" s="81">
        <f t="shared" si="111"/>
        <v>252.41522151374423</v>
      </c>
      <c r="AD2344" s="82">
        <f t="shared" si="112"/>
        <v>45.525714285714287</v>
      </c>
      <c r="AE2344" s="218">
        <v>0</v>
      </c>
      <c r="AF2344">
        <v>0</v>
      </c>
      <c r="AH2344" t="str">
        <f t="shared" si="113"/>
        <v>DalsinghSarai</v>
      </c>
      <c r="AJ2344" s="72">
        <v>0</v>
      </c>
      <c r="AK2344" s="72"/>
      <c r="AL2344" s="72"/>
      <c r="AM2344" s="72"/>
    </row>
    <row r="2345" spans="1:39" x14ac:dyDescent="0.25">
      <c r="A2345" s="37" t="s">
        <v>62</v>
      </c>
      <c r="B2345" s="66" t="s">
        <v>1629</v>
      </c>
      <c r="C2345" s="41">
        <v>1012</v>
      </c>
      <c r="D2345" s="41" t="s">
        <v>314</v>
      </c>
      <c r="E2345" s="41">
        <v>10120014</v>
      </c>
      <c r="F2345" s="85" t="s">
        <v>324</v>
      </c>
      <c r="G2345" s="39" t="s">
        <v>93</v>
      </c>
      <c r="H2345" s="52" t="s">
        <v>94</v>
      </c>
      <c r="I2345" s="52">
        <v>1019</v>
      </c>
      <c r="J2345" s="49">
        <v>40128.700000000004</v>
      </c>
      <c r="K2345" s="58">
        <v>690.69</v>
      </c>
      <c r="L2345" s="58">
        <v>29219.157393964906</v>
      </c>
      <c r="M2345" s="58">
        <v>462.6</v>
      </c>
      <c r="N2345" s="58">
        <v>18567.496720080002</v>
      </c>
      <c r="O2345" s="58">
        <v>1153.29</v>
      </c>
      <c r="P2345" s="53">
        <v>47786.654114044912</v>
      </c>
      <c r="Q2345" s="65">
        <v>40128.700000000004</v>
      </c>
      <c r="R2345" s="65">
        <v>0</v>
      </c>
      <c r="S2345" s="65">
        <v>0</v>
      </c>
      <c r="T2345" s="65">
        <v>7657.9541140449073</v>
      </c>
      <c r="U2345" s="58">
        <v>0</v>
      </c>
      <c r="V2345" s="65">
        <v>0</v>
      </c>
      <c r="W2345" s="65">
        <v>0</v>
      </c>
      <c r="X2345" s="65">
        <v>21561</v>
      </c>
      <c r="Y2345" s="65">
        <v>18568</v>
      </c>
      <c r="Z2345" s="51">
        <v>0</v>
      </c>
      <c r="AA2345" s="51">
        <v>0</v>
      </c>
      <c r="AB2345" s="102">
        <v>0</v>
      </c>
      <c r="AC2345" s="81">
        <f t="shared" si="111"/>
        <v>0</v>
      </c>
      <c r="AD2345" s="82">
        <f t="shared" si="112"/>
        <v>0</v>
      </c>
      <c r="AE2345" s="218">
        <v>-0.19083484174779911</v>
      </c>
      <c r="AF2345">
        <v>14</v>
      </c>
      <c r="AH2345" t="str">
        <f t="shared" si="113"/>
        <v>DalsinghSarai</v>
      </c>
      <c r="AJ2345" s="72">
        <v>0</v>
      </c>
      <c r="AK2345" s="72"/>
      <c r="AL2345" s="72"/>
      <c r="AM2345" s="72"/>
    </row>
    <row r="2346" spans="1:39" x14ac:dyDescent="0.25">
      <c r="A2346" s="37" t="s">
        <v>62</v>
      </c>
      <c r="B2346" s="66" t="s">
        <v>1629</v>
      </c>
      <c r="C2346" s="41">
        <v>1012</v>
      </c>
      <c r="D2346" s="41" t="s">
        <v>314</v>
      </c>
      <c r="E2346" s="41">
        <v>10120015</v>
      </c>
      <c r="F2346" s="85" t="s">
        <v>325</v>
      </c>
      <c r="G2346" s="39" t="s">
        <v>93</v>
      </c>
      <c r="H2346" s="52" t="s">
        <v>94</v>
      </c>
      <c r="I2346" s="52">
        <v>1364.07</v>
      </c>
      <c r="J2346" s="49">
        <v>51106.029999999984</v>
      </c>
      <c r="K2346" s="58">
        <v>1383.3700000000001</v>
      </c>
      <c r="L2346" s="58">
        <v>52051.476412686156</v>
      </c>
      <c r="M2346" s="58">
        <v>161.37</v>
      </c>
      <c r="N2346" s="58">
        <v>5967.6519309280802</v>
      </c>
      <c r="O2346" s="58">
        <v>1544.7400000000002</v>
      </c>
      <c r="P2346" s="53">
        <v>58019.128343614233</v>
      </c>
      <c r="Q2346" s="65">
        <v>51106.029999999984</v>
      </c>
      <c r="R2346" s="65">
        <v>0</v>
      </c>
      <c r="S2346" s="65">
        <v>0</v>
      </c>
      <c r="T2346" s="65">
        <v>6913.0983436142487</v>
      </c>
      <c r="U2346" s="58">
        <v>1350</v>
      </c>
      <c r="V2346" s="65">
        <v>0</v>
      </c>
      <c r="W2346" s="65">
        <v>0</v>
      </c>
      <c r="X2346" s="65">
        <v>43788</v>
      </c>
      <c r="Y2346" s="65">
        <v>5968</v>
      </c>
      <c r="Z2346" s="51">
        <v>0</v>
      </c>
      <c r="AA2346" s="51">
        <v>0</v>
      </c>
      <c r="AB2346" s="102">
        <v>0</v>
      </c>
      <c r="AC2346" s="81">
        <f t="shared" si="111"/>
        <v>0</v>
      </c>
      <c r="AD2346" s="82">
        <f t="shared" si="112"/>
        <v>0</v>
      </c>
      <c r="AE2346" s="218">
        <v>-0.13526971951478622</v>
      </c>
      <c r="AF2346">
        <v>17</v>
      </c>
      <c r="AH2346" t="str">
        <f t="shared" si="113"/>
        <v>DalsinghSarai</v>
      </c>
      <c r="AJ2346" s="72">
        <v>0</v>
      </c>
      <c r="AK2346" s="72"/>
      <c r="AL2346" s="72"/>
      <c r="AM2346" s="72"/>
    </row>
    <row r="2347" spans="1:39" x14ac:dyDescent="0.25">
      <c r="A2347" s="37" t="s">
        <v>62</v>
      </c>
      <c r="B2347" s="66" t="s">
        <v>1629</v>
      </c>
      <c r="C2347" s="41">
        <v>1012</v>
      </c>
      <c r="D2347" s="41" t="s">
        <v>314</v>
      </c>
      <c r="E2347" s="41">
        <v>10120016</v>
      </c>
      <c r="F2347" s="85" t="s">
        <v>326</v>
      </c>
      <c r="G2347" s="39" t="s">
        <v>93</v>
      </c>
      <c r="H2347" s="52" t="s">
        <v>94</v>
      </c>
      <c r="I2347" s="52">
        <v>268.84999999999997</v>
      </c>
      <c r="J2347" s="49">
        <v>9531.81</v>
      </c>
      <c r="K2347" s="58">
        <v>283.06</v>
      </c>
      <c r="L2347" s="58">
        <v>9953.2046450628004</v>
      </c>
      <c r="M2347" s="58">
        <v>4.7500000000000009</v>
      </c>
      <c r="N2347" s="58">
        <v>167.26294258740003</v>
      </c>
      <c r="O2347" s="58">
        <v>287.81</v>
      </c>
      <c r="P2347" s="53">
        <v>10120.467587650201</v>
      </c>
      <c r="Q2347" s="65">
        <v>9531.81</v>
      </c>
      <c r="R2347" s="65">
        <v>0</v>
      </c>
      <c r="S2347" s="65">
        <v>167.26294258740003</v>
      </c>
      <c r="T2347" s="65">
        <v>588.65758765020109</v>
      </c>
      <c r="U2347" s="58">
        <v>4217</v>
      </c>
      <c r="V2347" s="65">
        <v>0</v>
      </c>
      <c r="W2347" s="65">
        <v>0</v>
      </c>
      <c r="X2347" s="65">
        <v>5148</v>
      </c>
      <c r="Y2347" s="65">
        <v>0</v>
      </c>
      <c r="Z2347" s="51">
        <v>0</v>
      </c>
      <c r="AA2347" s="51">
        <v>0</v>
      </c>
      <c r="AB2347" s="102" t="s">
        <v>68</v>
      </c>
      <c r="AC2347" s="81">
        <f t="shared" si="111"/>
        <v>305.7199093546588</v>
      </c>
      <c r="AD2347" s="82">
        <f t="shared" si="112"/>
        <v>38.407142857142851</v>
      </c>
      <c r="AE2347" s="218">
        <v>-6.1757167594633247E-2</v>
      </c>
      <c r="AF2347">
        <v>5</v>
      </c>
      <c r="AH2347" t="str">
        <f t="shared" si="113"/>
        <v>DalsinghSarai</v>
      </c>
      <c r="AJ2347" s="72">
        <v>0</v>
      </c>
      <c r="AK2347" s="72"/>
      <c r="AL2347" s="72"/>
      <c r="AM2347" s="72"/>
    </row>
    <row r="2348" spans="1:39" x14ac:dyDescent="0.25">
      <c r="A2348" s="37" t="s">
        <v>62</v>
      </c>
      <c r="B2348" s="66" t="s">
        <v>1629</v>
      </c>
      <c r="C2348" s="41">
        <v>1012</v>
      </c>
      <c r="D2348" s="41" t="s">
        <v>314</v>
      </c>
      <c r="E2348" s="41">
        <v>10120017</v>
      </c>
      <c r="F2348" s="85" t="s">
        <v>327</v>
      </c>
      <c r="G2348" s="39" t="s">
        <v>93</v>
      </c>
      <c r="H2348" s="52" t="s">
        <v>94</v>
      </c>
      <c r="I2348" s="52">
        <v>441.85000000000008</v>
      </c>
      <c r="J2348" s="49">
        <v>16736.54</v>
      </c>
      <c r="K2348" s="58">
        <v>457.94000000000005</v>
      </c>
      <c r="L2348" s="58">
        <v>17492.219314920003</v>
      </c>
      <c r="M2348" s="58">
        <v>0</v>
      </c>
      <c r="N2348" s="58">
        <v>0</v>
      </c>
      <c r="O2348" s="58">
        <v>457.94000000000005</v>
      </c>
      <c r="P2348" s="53">
        <v>17492.219314920003</v>
      </c>
      <c r="Q2348" s="65">
        <v>16736.54</v>
      </c>
      <c r="R2348" s="65">
        <v>0</v>
      </c>
      <c r="S2348" s="65">
        <v>0</v>
      </c>
      <c r="T2348" s="65">
        <v>755.67931492000207</v>
      </c>
      <c r="U2348" s="58">
        <v>0</v>
      </c>
      <c r="V2348" s="65">
        <v>0</v>
      </c>
      <c r="W2348" s="65">
        <v>0</v>
      </c>
      <c r="X2348" s="65">
        <v>16737</v>
      </c>
      <c r="Y2348" s="65">
        <v>0</v>
      </c>
      <c r="Z2348" s="51">
        <v>0</v>
      </c>
      <c r="AA2348" s="51">
        <v>0</v>
      </c>
      <c r="AB2348" s="102">
        <v>0</v>
      </c>
      <c r="AC2348" s="81">
        <f t="shared" si="111"/>
        <v>195.56581649881173</v>
      </c>
      <c r="AD2348" s="82">
        <f t="shared" si="112"/>
        <v>63.121428571428581</v>
      </c>
      <c r="AE2348" s="218">
        <v>-4.5151465889604545E-2</v>
      </c>
      <c r="AF2348">
        <v>3</v>
      </c>
      <c r="AH2348" t="str">
        <f t="shared" si="113"/>
        <v>DalsinghSarai</v>
      </c>
      <c r="AJ2348" s="72">
        <v>0</v>
      </c>
      <c r="AK2348" s="72"/>
      <c r="AL2348" s="72"/>
      <c r="AM2348" s="72"/>
    </row>
    <row r="2349" spans="1:39" x14ac:dyDescent="0.25">
      <c r="A2349" s="37" t="s">
        <v>62</v>
      </c>
      <c r="B2349" s="66" t="s">
        <v>1629</v>
      </c>
      <c r="C2349" s="41">
        <v>1012</v>
      </c>
      <c r="D2349" s="41" t="s">
        <v>314</v>
      </c>
      <c r="E2349" s="41">
        <v>10120018</v>
      </c>
      <c r="F2349" s="85" t="s">
        <v>328</v>
      </c>
      <c r="G2349" s="39" t="s">
        <v>93</v>
      </c>
      <c r="H2349" s="52" t="s">
        <v>94</v>
      </c>
      <c r="I2349" s="52">
        <v>208.88000000000002</v>
      </c>
      <c r="J2349" s="49">
        <v>7832.96</v>
      </c>
      <c r="K2349" s="58">
        <v>298</v>
      </c>
      <c r="L2349" s="58">
        <v>12351.838356</v>
      </c>
      <c r="M2349" s="58">
        <v>0</v>
      </c>
      <c r="N2349" s="58">
        <v>0</v>
      </c>
      <c r="O2349" s="58">
        <v>298</v>
      </c>
      <c r="P2349" s="53">
        <v>12351.838356</v>
      </c>
      <c r="Q2349" s="65">
        <v>7832.96</v>
      </c>
      <c r="R2349" s="65">
        <v>0</v>
      </c>
      <c r="S2349" s="65">
        <v>0</v>
      </c>
      <c r="T2349" s="65">
        <v>4518.8783560000002</v>
      </c>
      <c r="U2349" s="58">
        <v>0</v>
      </c>
      <c r="V2349" s="65">
        <v>50.011949032258066</v>
      </c>
      <c r="W2349" s="65">
        <v>0</v>
      </c>
      <c r="X2349" s="65">
        <v>7783</v>
      </c>
      <c r="Y2349" s="65">
        <v>0</v>
      </c>
      <c r="Z2349" s="51">
        <v>0</v>
      </c>
      <c r="AA2349" s="51">
        <v>0</v>
      </c>
      <c r="AB2349" s="102">
        <v>0</v>
      </c>
      <c r="AC2349" s="81">
        <f t="shared" si="111"/>
        <v>368.33811903485253</v>
      </c>
      <c r="AD2349" s="82">
        <f t="shared" si="112"/>
        <v>29.840000000000003</v>
      </c>
      <c r="AE2349" s="218">
        <v>-0.57690558307459761</v>
      </c>
      <c r="AF2349">
        <v>2</v>
      </c>
      <c r="AH2349" t="str">
        <f t="shared" si="113"/>
        <v>DalsinghSarai</v>
      </c>
      <c r="AJ2349" s="72">
        <v>0</v>
      </c>
      <c r="AK2349" s="72"/>
      <c r="AL2349" s="72"/>
      <c r="AM2349" s="72"/>
    </row>
    <row r="2350" spans="1:39" x14ac:dyDescent="0.25">
      <c r="A2350" s="37" t="s">
        <v>62</v>
      </c>
      <c r="B2350" s="66" t="s">
        <v>1629</v>
      </c>
      <c r="C2350" s="41">
        <v>1012</v>
      </c>
      <c r="D2350" s="41" t="s">
        <v>314</v>
      </c>
      <c r="E2350" s="41">
        <v>10120019</v>
      </c>
      <c r="F2350" s="85" t="s">
        <v>329</v>
      </c>
      <c r="G2350" s="39" t="s">
        <v>93</v>
      </c>
      <c r="H2350" s="52" t="s">
        <v>94</v>
      </c>
      <c r="I2350" s="52">
        <v>234.58</v>
      </c>
      <c r="J2350" s="49">
        <v>8771.0300000000007</v>
      </c>
      <c r="K2350" s="58">
        <v>138.83000000000001</v>
      </c>
      <c r="L2350" s="58">
        <v>5092.2740296494012</v>
      </c>
      <c r="M2350" s="58">
        <v>103.88000000000001</v>
      </c>
      <c r="N2350" s="58">
        <v>3793.0193835930004</v>
      </c>
      <c r="O2350" s="58">
        <v>242.71000000000004</v>
      </c>
      <c r="P2350" s="53">
        <v>8885.2934132424016</v>
      </c>
      <c r="Q2350" s="65">
        <v>8771.0300000000007</v>
      </c>
      <c r="R2350" s="65">
        <v>0</v>
      </c>
      <c r="S2350" s="65">
        <v>119.43377176500002</v>
      </c>
      <c r="T2350" s="65">
        <v>114.26341324240093</v>
      </c>
      <c r="U2350" s="58">
        <v>0</v>
      </c>
      <c r="V2350" s="65">
        <v>0</v>
      </c>
      <c r="W2350" s="65">
        <v>0</v>
      </c>
      <c r="X2350" s="65">
        <v>4978</v>
      </c>
      <c r="Y2350" s="65">
        <v>3674</v>
      </c>
      <c r="Z2350" s="51">
        <v>0</v>
      </c>
      <c r="AA2350" s="51">
        <v>0</v>
      </c>
      <c r="AB2350" s="102">
        <v>0</v>
      </c>
      <c r="AC2350" s="81">
        <f t="shared" si="111"/>
        <v>348.04440127888142</v>
      </c>
      <c r="AD2350" s="82">
        <f t="shared" si="112"/>
        <v>33.511428571428574</v>
      </c>
      <c r="AE2350" s="218">
        <v>-1.3027365456782262E-2</v>
      </c>
      <c r="AF2350">
        <v>6</v>
      </c>
      <c r="AH2350" t="str">
        <f t="shared" si="113"/>
        <v>DalsinghSarai</v>
      </c>
      <c r="AJ2350" s="72">
        <v>0</v>
      </c>
      <c r="AK2350" s="72"/>
      <c r="AL2350" s="72"/>
      <c r="AM2350" s="72"/>
    </row>
    <row r="2351" spans="1:39" x14ac:dyDescent="0.25">
      <c r="A2351" s="37" t="s">
        <v>62</v>
      </c>
      <c r="B2351" s="66" t="s">
        <v>1629</v>
      </c>
      <c r="C2351" s="41">
        <v>1012</v>
      </c>
      <c r="D2351" s="41" t="s">
        <v>314</v>
      </c>
      <c r="E2351" s="41">
        <v>10120022</v>
      </c>
      <c r="F2351" s="85" t="s">
        <v>330</v>
      </c>
      <c r="G2351" s="39" t="s">
        <v>635</v>
      </c>
      <c r="H2351" s="52" t="s">
        <v>99</v>
      </c>
      <c r="I2351" s="52">
        <v>175.07</v>
      </c>
      <c r="J2351" s="49">
        <v>7735.6399999999994</v>
      </c>
      <c r="K2351" s="58">
        <v>0</v>
      </c>
      <c r="L2351" s="58">
        <v>0</v>
      </c>
      <c r="M2351" s="58">
        <v>0</v>
      </c>
      <c r="N2351" s="58">
        <v>0</v>
      </c>
      <c r="O2351" s="58">
        <v>0</v>
      </c>
      <c r="P2351" s="53">
        <v>0</v>
      </c>
      <c r="Q2351" s="65">
        <v>7735.6399999999994</v>
      </c>
      <c r="R2351" s="65">
        <v>0</v>
      </c>
      <c r="S2351" s="65">
        <v>0</v>
      </c>
      <c r="T2351" s="65">
        <v>0</v>
      </c>
      <c r="U2351" s="58">
        <v>0</v>
      </c>
      <c r="V2351" s="65">
        <v>9.4137348387096615</v>
      </c>
      <c r="W2351" s="65">
        <v>0</v>
      </c>
      <c r="X2351" s="65">
        <v>0</v>
      </c>
      <c r="Y2351" s="65">
        <v>0</v>
      </c>
      <c r="Z2351" s="51">
        <v>7726.22626516129</v>
      </c>
      <c r="AA2351" s="51">
        <v>0</v>
      </c>
      <c r="AB2351" s="102">
        <v>0</v>
      </c>
      <c r="AC2351" s="81">
        <f t="shared" si="111"/>
        <v>463.8909584966014</v>
      </c>
      <c r="AD2351" s="82">
        <f t="shared" si="112"/>
        <v>25.009999999999998</v>
      </c>
      <c r="AE2351" s="218">
        <v>0</v>
      </c>
      <c r="AF2351">
        <v>0</v>
      </c>
      <c r="AH2351" t="str">
        <f t="shared" si="113"/>
        <v>DalsinghSarai</v>
      </c>
      <c r="AJ2351" s="72">
        <v>0</v>
      </c>
      <c r="AK2351" s="72"/>
      <c r="AL2351" s="72"/>
      <c r="AM2351" s="72"/>
    </row>
    <row r="2352" spans="1:39" x14ac:dyDescent="0.25">
      <c r="A2352" s="37" t="s">
        <v>62</v>
      </c>
      <c r="B2352" s="66" t="s">
        <v>1629</v>
      </c>
      <c r="C2352" s="41">
        <v>1012</v>
      </c>
      <c r="D2352" s="41" t="s">
        <v>314</v>
      </c>
      <c r="E2352" s="41">
        <v>10120023</v>
      </c>
      <c r="F2352" s="85" t="s">
        <v>331</v>
      </c>
      <c r="G2352" s="39" t="s">
        <v>635</v>
      </c>
      <c r="H2352" s="52" t="s">
        <v>99</v>
      </c>
      <c r="I2352" s="52">
        <v>296.08</v>
      </c>
      <c r="J2352" s="49">
        <v>10276.16</v>
      </c>
      <c r="K2352" s="58">
        <v>0</v>
      </c>
      <c r="L2352" s="58">
        <v>0</v>
      </c>
      <c r="M2352" s="58">
        <v>0</v>
      </c>
      <c r="N2352" s="58">
        <v>0</v>
      </c>
      <c r="O2352" s="58">
        <v>0</v>
      </c>
      <c r="P2352" s="53">
        <v>0</v>
      </c>
      <c r="Q2352" s="65">
        <v>10276.16</v>
      </c>
      <c r="R2352" s="65">
        <v>0</v>
      </c>
      <c r="S2352" s="65">
        <v>0</v>
      </c>
      <c r="T2352" s="65">
        <v>0</v>
      </c>
      <c r="U2352" s="58">
        <v>2700</v>
      </c>
      <c r="V2352" s="65">
        <v>0</v>
      </c>
      <c r="W2352" s="65">
        <v>0</v>
      </c>
      <c r="X2352" s="65">
        <v>0</v>
      </c>
      <c r="Y2352" s="65">
        <v>0</v>
      </c>
      <c r="Z2352" s="51">
        <v>7576.16</v>
      </c>
      <c r="AA2352" s="51">
        <v>0</v>
      </c>
      <c r="AB2352" s="102">
        <v>0</v>
      </c>
      <c r="AC2352" s="81">
        <f t="shared" si="111"/>
        <v>280.38006938665228</v>
      </c>
      <c r="AD2352" s="82">
        <f t="shared" si="112"/>
        <v>42.297142857142852</v>
      </c>
      <c r="AE2352" s="218">
        <v>0</v>
      </c>
      <c r="AF2352">
        <v>0</v>
      </c>
      <c r="AH2352" t="str">
        <f t="shared" si="113"/>
        <v>DalsinghSarai</v>
      </c>
      <c r="AJ2352" s="72">
        <v>0</v>
      </c>
      <c r="AK2352" s="72"/>
      <c r="AL2352" s="72"/>
      <c r="AM2352" s="72"/>
    </row>
    <row r="2353" spans="1:39" x14ac:dyDescent="0.25">
      <c r="A2353" s="37" t="s">
        <v>62</v>
      </c>
      <c r="B2353" s="66" t="s">
        <v>1629</v>
      </c>
      <c r="C2353" s="41">
        <v>1012</v>
      </c>
      <c r="D2353" s="41" t="s">
        <v>314</v>
      </c>
      <c r="E2353" s="41">
        <v>10120024</v>
      </c>
      <c r="F2353" s="85" t="s">
        <v>332</v>
      </c>
      <c r="G2353" s="39" t="s">
        <v>635</v>
      </c>
      <c r="H2353" s="52" t="s">
        <v>99</v>
      </c>
      <c r="I2353" s="52">
        <v>246.3</v>
      </c>
      <c r="J2353" s="49">
        <v>8358.73</v>
      </c>
      <c r="K2353" s="58">
        <v>0</v>
      </c>
      <c r="L2353" s="58">
        <v>0</v>
      </c>
      <c r="M2353" s="58">
        <v>0</v>
      </c>
      <c r="N2353" s="58">
        <v>0</v>
      </c>
      <c r="O2353" s="58">
        <v>0</v>
      </c>
      <c r="P2353" s="53">
        <v>0</v>
      </c>
      <c r="Q2353" s="65">
        <v>8358.73</v>
      </c>
      <c r="R2353" s="65">
        <v>0</v>
      </c>
      <c r="S2353" s="65">
        <v>0</v>
      </c>
      <c r="T2353" s="65">
        <v>0</v>
      </c>
      <c r="U2353" s="58">
        <v>0</v>
      </c>
      <c r="V2353" s="65">
        <v>0</v>
      </c>
      <c r="W2353" s="65">
        <v>0</v>
      </c>
      <c r="X2353" s="65">
        <v>0</v>
      </c>
      <c r="Y2353" s="65">
        <v>0</v>
      </c>
      <c r="Z2353" s="51">
        <v>8358.73</v>
      </c>
      <c r="AA2353" s="51">
        <v>0</v>
      </c>
      <c r="AB2353" s="102">
        <v>0</v>
      </c>
      <c r="AC2353" s="81">
        <f t="shared" si="111"/>
        <v>307.94606585464879</v>
      </c>
      <c r="AD2353" s="82">
        <f t="shared" si="112"/>
        <v>35.18571428571429</v>
      </c>
      <c r="AE2353" s="218">
        <v>0</v>
      </c>
      <c r="AF2353">
        <v>0</v>
      </c>
      <c r="AH2353" t="str">
        <f t="shared" si="113"/>
        <v>DalsinghSarai</v>
      </c>
      <c r="AJ2353" s="72">
        <v>0</v>
      </c>
      <c r="AK2353" s="72"/>
      <c r="AL2353" s="72"/>
      <c r="AM2353" s="72"/>
    </row>
    <row r="2354" spans="1:39" x14ac:dyDescent="0.25">
      <c r="A2354" s="37" t="s">
        <v>62</v>
      </c>
      <c r="B2354" s="66" t="s">
        <v>1629</v>
      </c>
      <c r="C2354" s="41">
        <v>1012</v>
      </c>
      <c r="D2354" s="41" t="s">
        <v>314</v>
      </c>
      <c r="E2354" s="41">
        <v>10120025</v>
      </c>
      <c r="F2354" s="85" t="s">
        <v>333</v>
      </c>
      <c r="G2354" s="39" t="s">
        <v>93</v>
      </c>
      <c r="H2354" s="52" t="s">
        <v>94</v>
      </c>
      <c r="I2354" s="52">
        <v>2733.9100000000003</v>
      </c>
      <c r="J2354" s="49">
        <v>108705.90999999999</v>
      </c>
      <c r="K2354" s="58">
        <v>1757.97</v>
      </c>
      <c r="L2354" s="58">
        <v>79649.098109782019</v>
      </c>
      <c r="M2354" s="58">
        <v>1049.48</v>
      </c>
      <c r="N2354" s="58">
        <v>41306.878149387652</v>
      </c>
      <c r="O2354" s="58">
        <v>2807.45</v>
      </c>
      <c r="P2354" s="53">
        <v>120955.97625916966</v>
      </c>
      <c r="Q2354" s="65">
        <v>108705.90999999999</v>
      </c>
      <c r="R2354" s="65">
        <v>0</v>
      </c>
      <c r="S2354" s="65">
        <v>642.38641394399986</v>
      </c>
      <c r="T2354" s="65">
        <v>12250.066259169675</v>
      </c>
      <c r="U2354" s="58">
        <v>2700</v>
      </c>
      <c r="V2354" s="65">
        <v>0</v>
      </c>
      <c r="W2354" s="65">
        <v>0</v>
      </c>
      <c r="X2354" s="65">
        <v>64699</v>
      </c>
      <c r="Y2354" s="65">
        <v>40665</v>
      </c>
      <c r="Z2354" s="51">
        <v>0</v>
      </c>
      <c r="AA2354" s="51">
        <v>0</v>
      </c>
      <c r="AB2354" s="102" t="s">
        <v>68</v>
      </c>
      <c r="AC2354" s="81">
        <f t="shared" si="111"/>
        <v>0</v>
      </c>
      <c r="AD2354" s="82">
        <f t="shared" si="112"/>
        <v>0</v>
      </c>
      <c r="AE2354" s="218">
        <v>-0.11268997480605862</v>
      </c>
      <c r="AF2354">
        <v>28</v>
      </c>
      <c r="AH2354" t="str">
        <f t="shared" si="113"/>
        <v>DalsinghSarai</v>
      </c>
      <c r="AJ2354" s="72">
        <v>0</v>
      </c>
      <c r="AK2354" s="72"/>
      <c r="AL2354" s="72"/>
      <c r="AM2354" s="72"/>
    </row>
    <row r="2355" spans="1:39" x14ac:dyDescent="0.25">
      <c r="A2355" s="37" t="s">
        <v>62</v>
      </c>
      <c r="B2355" s="66" t="s">
        <v>1629</v>
      </c>
      <c r="C2355" s="41">
        <v>1012</v>
      </c>
      <c r="D2355" s="41" t="s">
        <v>314</v>
      </c>
      <c r="E2355" s="41">
        <v>10120026</v>
      </c>
      <c r="F2355" s="85" t="s">
        <v>659</v>
      </c>
      <c r="G2355" s="39" t="s">
        <v>635</v>
      </c>
      <c r="H2355" s="52" t="s">
        <v>99</v>
      </c>
      <c r="I2355" s="52">
        <v>41.83</v>
      </c>
      <c r="J2355" s="49">
        <v>1228.6199999999999</v>
      </c>
      <c r="K2355" s="58">
        <v>0</v>
      </c>
      <c r="L2355" s="58">
        <v>0</v>
      </c>
      <c r="M2355" s="58">
        <v>0</v>
      </c>
      <c r="N2355" s="58">
        <v>0</v>
      </c>
      <c r="O2355" s="58">
        <v>0</v>
      </c>
      <c r="P2355" s="53">
        <v>0</v>
      </c>
      <c r="Q2355" s="65">
        <v>1228.6199999999999</v>
      </c>
      <c r="R2355" s="65">
        <v>0</v>
      </c>
      <c r="S2355" s="65">
        <v>0</v>
      </c>
      <c r="T2355" s="65">
        <v>0</v>
      </c>
      <c r="U2355" s="58">
        <v>0</v>
      </c>
      <c r="V2355" s="65">
        <v>0</v>
      </c>
      <c r="W2355" s="65">
        <v>0</v>
      </c>
      <c r="X2355" s="65">
        <v>0</v>
      </c>
      <c r="Y2355" s="65">
        <v>0</v>
      </c>
      <c r="Z2355" s="51">
        <v>1228.6199999999999</v>
      </c>
      <c r="AA2355" s="51">
        <v>0</v>
      </c>
      <c r="AB2355" s="102">
        <v>0</v>
      </c>
      <c r="AC2355" s="81">
        <f t="shared" si="111"/>
        <v>386.63199875687303</v>
      </c>
      <c r="AD2355" s="82">
        <f t="shared" si="112"/>
        <v>5.9757142857142851</v>
      </c>
      <c r="AE2355" s="218">
        <v>0</v>
      </c>
      <c r="AF2355">
        <v>0</v>
      </c>
      <c r="AH2355" t="str">
        <f t="shared" si="113"/>
        <v>DalsinghSarai</v>
      </c>
      <c r="AJ2355" s="72">
        <v>0</v>
      </c>
      <c r="AK2355" s="72"/>
      <c r="AL2355" s="72"/>
      <c r="AM2355" s="72"/>
    </row>
    <row r="2356" spans="1:39" x14ac:dyDescent="0.25">
      <c r="A2356" s="37" t="s">
        <v>62</v>
      </c>
      <c r="B2356" s="66" t="s">
        <v>1629</v>
      </c>
      <c r="C2356" s="41">
        <v>1012</v>
      </c>
      <c r="D2356" s="41" t="s">
        <v>314</v>
      </c>
      <c r="E2356" s="41">
        <v>10120029</v>
      </c>
      <c r="F2356" s="85" t="s">
        <v>334</v>
      </c>
      <c r="G2356" s="39" t="s">
        <v>93</v>
      </c>
      <c r="H2356" s="52" t="s">
        <v>94</v>
      </c>
      <c r="I2356" s="52">
        <v>838.26999999999987</v>
      </c>
      <c r="J2356" s="49">
        <v>32337.420000000002</v>
      </c>
      <c r="K2356" s="58">
        <v>556.52</v>
      </c>
      <c r="L2356" s="58">
        <v>21034.601552058321</v>
      </c>
      <c r="M2356" s="58">
        <v>333.37</v>
      </c>
      <c r="N2356" s="58">
        <v>12001.742083187999</v>
      </c>
      <c r="O2356" s="58">
        <v>889.89</v>
      </c>
      <c r="P2356" s="53">
        <v>33036.343635246318</v>
      </c>
      <c r="Q2356" s="65">
        <v>32337.420000000002</v>
      </c>
      <c r="R2356" s="65">
        <v>0</v>
      </c>
      <c r="S2356" s="65">
        <v>269.40256081200005</v>
      </c>
      <c r="T2356" s="65">
        <v>698.92363524631583</v>
      </c>
      <c r="U2356" s="58">
        <v>1350</v>
      </c>
      <c r="V2356" s="65">
        <v>0</v>
      </c>
      <c r="W2356" s="65">
        <v>0</v>
      </c>
      <c r="X2356" s="65">
        <v>18986</v>
      </c>
      <c r="Y2356" s="65">
        <v>11732</v>
      </c>
      <c r="Z2356" s="51">
        <v>0</v>
      </c>
      <c r="AA2356" s="51">
        <v>0</v>
      </c>
      <c r="AB2356" s="102">
        <v>0</v>
      </c>
      <c r="AC2356" s="81">
        <f t="shared" si="111"/>
        <v>0</v>
      </c>
      <c r="AD2356" s="82">
        <f t="shared" si="112"/>
        <v>0</v>
      </c>
      <c r="AE2356" s="218">
        <v>-2.1613463141039568E-2</v>
      </c>
      <c r="AF2356">
        <v>18</v>
      </c>
      <c r="AH2356" t="str">
        <f t="shared" si="113"/>
        <v>DalsinghSarai</v>
      </c>
      <c r="AJ2356" s="72">
        <v>0</v>
      </c>
      <c r="AK2356" s="72"/>
      <c r="AL2356" s="72"/>
      <c r="AM2356" s="72"/>
    </row>
    <row r="2357" spans="1:39" x14ac:dyDescent="0.25">
      <c r="A2357" s="37" t="s">
        <v>62</v>
      </c>
      <c r="B2357" s="66" t="s">
        <v>1629</v>
      </c>
      <c r="C2357" s="41">
        <v>1012</v>
      </c>
      <c r="D2357" s="41" t="s">
        <v>314</v>
      </c>
      <c r="E2357" s="41">
        <v>10120031</v>
      </c>
      <c r="F2357" s="85" t="s">
        <v>336</v>
      </c>
      <c r="G2357" s="39" t="s">
        <v>93</v>
      </c>
      <c r="H2357" s="52" t="s">
        <v>94</v>
      </c>
      <c r="I2357" s="52">
        <v>400.21</v>
      </c>
      <c r="J2357" s="49">
        <v>14989.380000000001</v>
      </c>
      <c r="K2357" s="58">
        <v>356.3</v>
      </c>
      <c r="L2357" s="58">
        <v>13497.383528521859</v>
      </c>
      <c r="M2357" s="58">
        <v>53.3</v>
      </c>
      <c r="N2357" s="58">
        <v>1936.5225660000006</v>
      </c>
      <c r="O2357" s="58">
        <v>409.6</v>
      </c>
      <c r="P2357" s="53">
        <v>15433.906094521859</v>
      </c>
      <c r="Q2357" s="65">
        <v>14989.380000000001</v>
      </c>
      <c r="R2357" s="65">
        <v>0</v>
      </c>
      <c r="S2357" s="65">
        <v>10.850716800000001</v>
      </c>
      <c r="T2357" s="65">
        <v>444.52609452185789</v>
      </c>
      <c r="U2357" s="58">
        <v>2700</v>
      </c>
      <c r="V2357" s="65">
        <v>0</v>
      </c>
      <c r="W2357" s="65">
        <v>0</v>
      </c>
      <c r="X2357" s="65">
        <v>10353</v>
      </c>
      <c r="Y2357" s="65">
        <v>1926</v>
      </c>
      <c r="Z2357" s="51">
        <v>0</v>
      </c>
      <c r="AA2357" s="51">
        <v>0</v>
      </c>
      <c r="AB2357" s="102">
        <v>0</v>
      </c>
      <c r="AC2357" s="81">
        <f t="shared" si="111"/>
        <v>224.56541466729971</v>
      </c>
      <c r="AD2357" s="82">
        <f t="shared" si="112"/>
        <v>57.17285714285714</v>
      </c>
      <c r="AE2357" s="218">
        <v>-2.9656069465305294E-2</v>
      </c>
      <c r="AF2357">
        <v>5</v>
      </c>
      <c r="AH2357" t="str">
        <f t="shared" si="113"/>
        <v>DalsinghSarai</v>
      </c>
      <c r="AJ2357" s="72">
        <v>0</v>
      </c>
      <c r="AK2357" s="72"/>
      <c r="AL2357" s="72"/>
      <c r="AM2357" s="72"/>
    </row>
    <row r="2358" spans="1:39" x14ac:dyDescent="0.25">
      <c r="A2358" s="37" t="s">
        <v>62</v>
      </c>
      <c r="B2358" s="66" t="s">
        <v>1629</v>
      </c>
      <c r="C2358" s="41">
        <v>1012</v>
      </c>
      <c r="D2358" s="41" t="s">
        <v>314</v>
      </c>
      <c r="E2358" s="41">
        <v>10120034</v>
      </c>
      <c r="F2358" s="85" t="s">
        <v>337</v>
      </c>
      <c r="G2358" s="39" t="s">
        <v>93</v>
      </c>
      <c r="H2358" s="52" t="s">
        <v>94</v>
      </c>
      <c r="I2358" s="52">
        <v>107.00999999999999</v>
      </c>
      <c r="J2358" s="49">
        <v>4110.74</v>
      </c>
      <c r="K2358" s="58">
        <v>107.00999999999999</v>
      </c>
      <c r="L2358" s="58">
        <v>4114.9743574676004</v>
      </c>
      <c r="M2358" s="58">
        <v>0</v>
      </c>
      <c r="N2358" s="58">
        <v>0</v>
      </c>
      <c r="O2358" s="58">
        <v>107.00999999999999</v>
      </c>
      <c r="P2358" s="53">
        <v>4114.9743574676004</v>
      </c>
      <c r="Q2358" s="65">
        <v>4110.74</v>
      </c>
      <c r="R2358" s="65">
        <v>0</v>
      </c>
      <c r="S2358" s="65">
        <v>0</v>
      </c>
      <c r="T2358" s="65">
        <v>4.2343574676006028</v>
      </c>
      <c r="U2358" s="58">
        <v>3000</v>
      </c>
      <c r="V2358" s="65">
        <v>0</v>
      </c>
      <c r="W2358" s="65">
        <v>0</v>
      </c>
      <c r="X2358" s="65">
        <v>1111</v>
      </c>
      <c r="Y2358" s="65">
        <v>0</v>
      </c>
      <c r="Z2358" s="51">
        <v>0</v>
      </c>
      <c r="AA2358" s="51">
        <v>0</v>
      </c>
      <c r="AB2358" s="102">
        <v>0</v>
      </c>
      <c r="AC2358" s="81">
        <f t="shared" si="111"/>
        <v>455.58876975983554</v>
      </c>
      <c r="AD2358" s="82">
        <f t="shared" si="112"/>
        <v>15.287142857142856</v>
      </c>
      <c r="AE2358" s="218">
        <v>-1.0300718283327583E-3</v>
      </c>
      <c r="AF2358">
        <v>1</v>
      </c>
      <c r="AH2358" t="str">
        <f t="shared" si="113"/>
        <v>DalsinghSarai</v>
      </c>
      <c r="AJ2358" s="72">
        <v>0</v>
      </c>
      <c r="AK2358" s="72"/>
      <c r="AL2358" s="72"/>
      <c r="AM2358" s="72"/>
    </row>
    <row r="2359" spans="1:39" x14ac:dyDescent="0.25">
      <c r="A2359" s="37" t="s">
        <v>62</v>
      </c>
      <c r="B2359" s="66" t="s">
        <v>1629</v>
      </c>
      <c r="C2359" s="41">
        <v>1012</v>
      </c>
      <c r="D2359" s="41" t="s">
        <v>314</v>
      </c>
      <c r="E2359" s="41">
        <v>10120035</v>
      </c>
      <c r="F2359" s="85" t="s">
        <v>338</v>
      </c>
      <c r="G2359" s="39" t="s">
        <v>635</v>
      </c>
      <c r="H2359" s="52" t="s">
        <v>99</v>
      </c>
      <c r="I2359" s="52">
        <v>427.35999999999996</v>
      </c>
      <c r="J2359" s="49">
        <v>16874.810000000001</v>
      </c>
      <c r="K2359" s="58">
        <v>0</v>
      </c>
      <c r="L2359" s="58">
        <v>0</v>
      </c>
      <c r="M2359" s="58">
        <v>0</v>
      </c>
      <c r="N2359" s="58">
        <v>0</v>
      </c>
      <c r="O2359" s="58">
        <v>0</v>
      </c>
      <c r="P2359" s="53">
        <v>0</v>
      </c>
      <c r="Q2359" s="65">
        <v>16874.810000000001</v>
      </c>
      <c r="R2359" s="65">
        <v>0</v>
      </c>
      <c r="S2359" s="65">
        <v>0</v>
      </c>
      <c r="T2359" s="65">
        <v>0</v>
      </c>
      <c r="U2359" s="58">
        <v>0</v>
      </c>
      <c r="V2359" s="65">
        <v>0</v>
      </c>
      <c r="W2359" s="65">
        <v>0</v>
      </c>
      <c r="X2359" s="65">
        <v>0</v>
      </c>
      <c r="Y2359" s="65">
        <v>0</v>
      </c>
      <c r="Z2359" s="51">
        <v>16874.810000000001</v>
      </c>
      <c r="AA2359" s="51">
        <v>0</v>
      </c>
      <c r="AB2359" s="102">
        <v>0</v>
      </c>
      <c r="AC2359" s="81">
        <f t="shared" si="111"/>
        <v>215.31019273680278</v>
      </c>
      <c r="AD2359" s="82">
        <f t="shared" si="112"/>
        <v>61.051428571428566</v>
      </c>
      <c r="AE2359" s="218">
        <v>0</v>
      </c>
      <c r="AF2359">
        <v>0</v>
      </c>
      <c r="AH2359" t="str">
        <f t="shared" si="113"/>
        <v>DalsinghSarai</v>
      </c>
      <c r="AJ2359" s="72">
        <v>0</v>
      </c>
      <c r="AK2359" s="72"/>
      <c r="AL2359" s="72"/>
      <c r="AM2359" s="72"/>
    </row>
    <row r="2360" spans="1:39" x14ac:dyDescent="0.25">
      <c r="A2360" s="37" t="s">
        <v>62</v>
      </c>
      <c r="B2360" s="66" t="s">
        <v>1629</v>
      </c>
      <c r="C2360" s="41">
        <v>1012</v>
      </c>
      <c r="D2360" s="41" t="s">
        <v>314</v>
      </c>
      <c r="E2360" s="41">
        <v>10120043</v>
      </c>
      <c r="F2360" s="85" t="s">
        <v>339</v>
      </c>
      <c r="G2360" s="39" t="s">
        <v>93</v>
      </c>
      <c r="H2360" s="52" t="s">
        <v>94</v>
      </c>
      <c r="I2360" s="52">
        <v>168.87</v>
      </c>
      <c r="J2360" s="49">
        <v>7592.1100000000006</v>
      </c>
      <c r="K2360" s="58">
        <v>168.79999999999995</v>
      </c>
      <c r="L2360" s="58">
        <v>7626.5650494696711</v>
      </c>
      <c r="M2360" s="58">
        <v>0</v>
      </c>
      <c r="N2360" s="58">
        <v>0</v>
      </c>
      <c r="O2360" s="58">
        <v>168.79999999999995</v>
      </c>
      <c r="P2360" s="53">
        <v>7626.5650494696711</v>
      </c>
      <c r="Q2360" s="65">
        <v>7592.1100000000006</v>
      </c>
      <c r="R2360" s="65">
        <v>0</v>
      </c>
      <c r="S2360" s="65">
        <v>0</v>
      </c>
      <c r="T2360" s="65">
        <v>34.455049469670485</v>
      </c>
      <c r="U2360" s="58">
        <v>0</v>
      </c>
      <c r="V2360" s="65">
        <v>0</v>
      </c>
      <c r="W2360" s="65">
        <v>0</v>
      </c>
      <c r="X2360" s="65">
        <v>7592</v>
      </c>
      <c r="Y2360" s="65">
        <v>0</v>
      </c>
      <c r="Z2360" s="51">
        <v>0</v>
      </c>
      <c r="AA2360" s="51">
        <v>0</v>
      </c>
      <c r="AB2360" s="102">
        <v>0</v>
      </c>
      <c r="AC2360" s="81">
        <f t="shared" si="111"/>
        <v>477.57415577663289</v>
      </c>
      <c r="AD2360" s="82">
        <f t="shared" si="112"/>
        <v>24.124285714285715</v>
      </c>
      <c r="AE2360" s="218">
        <v>-4.5382705821794579E-3</v>
      </c>
      <c r="AF2360">
        <v>1</v>
      </c>
      <c r="AH2360" t="str">
        <f t="shared" si="113"/>
        <v>DalsinghSarai</v>
      </c>
      <c r="AJ2360" s="72">
        <v>0</v>
      </c>
      <c r="AK2360" s="72"/>
      <c r="AL2360" s="72"/>
      <c r="AM2360" s="72"/>
    </row>
    <row r="2361" spans="1:39" x14ac:dyDescent="0.25">
      <c r="A2361" s="37" t="s">
        <v>62</v>
      </c>
      <c r="B2361" s="66" t="s">
        <v>1629</v>
      </c>
      <c r="C2361" s="41">
        <v>1012</v>
      </c>
      <c r="D2361" s="41" t="s">
        <v>314</v>
      </c>
      <c r="E2361" s="41">
        <v>10120046</v>
      </c>
      <c r="F2361" s="85" t="s">
        <v>340</v>
      </c>
      <c r="G2361" s="39" t="s">
        <v>93</v>
      </c>
      <c r="H2361" s="52" t="s">
        <v>94</v>
      </c>
      <c r="I2361" s="52">
        <v>2017.76</v>
      </c>
      <c r="J2361" s="49">
        <v>73514.559999999998</v>
      </c>
      <c r="K2361" s="58">
        <v>1498.2</v>
      </c>
      <c r="L2361" s="58">
        <v>55893.636838904087</v>
      </c>
      <c r="M2361" s="58">
        <v>454.7</v>
      </c>
      <c r="N2361" s="58">
        <v>17612.75899553455</v>
      </c>
      <c r="O2361" s="58">
        <v>1952.9</v>
      </c>
      <c r="P2361" s="53">
        <v>73506.395834438634</v>
      </c>
      <c r="Q2361" s="65">
        <v>73506.395834438634</v>
      </c>
      <c r="R2361" s="65">
        <v>0</v>
      </c>
      <c r="S2361" s="65">
        <v>557.24076144000014</v>
      </c>
      <c r="T2361" s="65">
        <v>0</v>
      </c>
      <c r="U2361" s="58">
        <v>0</v>
      </c>
      <c r="V2361" s="65">
        <v>0</v>
      </c>
      <c r="W2361" s="65">
        <v>0</v>
      </c>
      <c r="X2361" s="65">
        <v>55895</v>
      </c>
      <c r="Y2361" s="65">
        <v>17053</v>
      </c>
      <c r="Z2361" s="51">
        <v>0</v>
      </c>
      <c r="AA2361" s="51">
        <v>9</v>
      </c>
      <c r="AB2361" s="102">
        <v>0</v>
      </c>
      <c r="AC2361" s="81">
        <f t="shared" si="111"/>
        <v>0</v>
      </c>
      <c r="AD2361" s="82">
        <f t="shared" si="112"/>
        <v>0</v>
      </c>
      <c r="AE2361" s="218">
        <v>1.1105508298443078E-4</v>
      </c>
      <c r="AF2361">
        <v>31</v>
      </c>
      <c r="AH2361" t="str">
        <f t="shared" si="113"/>
        <v>DalsinghSarai</v>
      </c>
      <c r="AJ2361" s="72">
        <v>0</v>
      </c>
      <c r="AK2361" s="72"/>
      <c r="AL2361" s="72"/>
      <c r="AM2361" s="72"/>
    </row>
    <row r="2362" spans="1:39" x14ac:dyDescent="0.25">
      <c r="A2362" s="37" t="s">
        <v>62</v>
      </c>
      <c r="B2362" s="66" t="s">
        <v>1629</v>
      </c>
      <c r="C2362" s="41">
        <v>1012</v>
      </c>
      <c r="D2362" s="41" t="s">
        <v>314</v>
      </c>
      <c r="E2362" s="41">
        <v>10120049</v>
      </c>
      <c r="F2362" s="85" t="s">
        <v>341</v>
      </c>
      <c r="G2362" s="39" t="s">
        <v>635</v>
      </c>
      <c r="H2362" s="52" t="s">
        <v>99</v>
      </c>
      <c r="I2362" s="52">
        <v>404.49000000000007</v>
      </c>
      <c r="J2362" s="49">
        <v>18563.429999999997</v>
      </c>
      <c r="K2362" s="58">
        <v>0</v>
      </c>
      <c r="L2362" s="58">
        <v>0</v>
      </c>
      <c r="M2362" s="58">
        <v>0</v>
      </c>
      <c r="N2362" s="58">
        <v>0</v>
      </c>
      <c r="O2362" s="58">
        <v>0</v>
      </c>
      <c r="P2362" s="53">
        <v>0</v>
      </c>
      <c r="Q2362" s="65">
        <v>18563.429999999997</v>
      </c>
      <c r="R2362" s="65">
        <v>0</v>
      </c>
      <c r="S2362" s="65">
        <v>0</v>
      </c>
      <c r="T2362" s="65">
        <v>0</v>
      </c>
      <c r="U2362" s="58">
        <v>3000</v>
      </c>
      <c r="V2362" s="65">
        <v>92.03834129032262</v>
      </c>
      <c r="W2362" s="65">
        <v>0</v>
      </c>
      <c r="X2362" s="65">
        <v>0</v>
      </c>
      <c r="Y2362" s="65">
        <v>0</v>
      </c>
      <c r="Z2362" s="51">
        <v>15471.391658709674</v>
      </c>
      <c r="AA2362" s="51">
        <v>0</v>
      </c>
      <c r="AB2362" s="102">
        <v>0</v>
      </c>
      <c r="AC2362" s="81">
        <f t="shared" si="111"/>
        <v>271.23929883557054</v>
      </c>
      <c r="AD2362" s="82">
        <f t="shared" si="112"/>
        <v>57.784285714285723</v>
      </c>
      <c r="AE2362" s="218">
        <v>0</v>
      </c>
      <c r="AF2362">
        <v>0</v>
      </c>
      <c r="AH2362" t="str">
        <f t="shared" si="113"/>
        <v>DalsinghSarai</v>
      </c>
      <c r="AJ2362" s="72">
        <v>0</v>
      </c>
      <c r="AK2362" s="72"/>
      <c r="AL2362" s="72"/>
      <c r="AM2362" s="72"/>
    </row>
    <row r="2363" spans="1:39" x14ac:dyDescent="0.25">
      <c r="A2363" s="37" t="s">
        <v>62</v>
      </c>
      <c r="B2363" s="66" t="s">
        <v>1629</v>
      </c>
      <c r="C2363" s="41">
        <v>1012</v>
      </c>
      <c r="D2363" s="41" t="s">
        <v>314</v>
      </c>
      <c r="E2363" s="41">
        <v>10120050</v>
      </c>
      <c r="F2363" s="85" t="s">
        <v>342</v>
      </c>
      <c r="G2363" s="39" t="s">
        <v>635</v>
      </c>
      <c r="H2363" s="52" t="s">
        <v>99</v>
      </c>
      <c r="I2363" s="52">
        <v>991.5999999999998</v>
      </c>
      <c r="J2363" s="49">
        <v>48414.460000000006</v>
      </c>
      <c r="K2363" s="58">
        <v>0</v>
      </c>
      <c r="L2363" s="58">
        <v>0</v>
      </c>
      <c r="M2363" s="58">
        <v>0</v>
      </c>
      <c r="N2363" s="58">
        <v>0</v>
      </c>
      <c r="O2363" s="58">
        <v>0</v>
      </c>
      <c r="P2363" s="53">
        <v>0</v>
      </c>
      <c r="Q2363" s="65">
        <v>48414.460000000006</v>
      </c>
      <c r="R2363" s="65">
        <v>0</v>
      </c>
      <c r="S2363" s="65">
        <v>0</v>
      </c>
      <c r="T2363" s="65">
        <v>0</v>
      </c>
      <c r="U2363" s="58">
        <v>0</v>
      </c>
      <c r="V2363" s="65">
        <v>0</v>
      </c>
      <c r="W2363" s="65">
        <v>0</v>
      </c>
      <c r="X2363" s="65">
        <v>0</v>
      </c>
      <c r="Y2363" s="65">
        <v>0</v>
      </c>
      <c r="Z2363" s="51">
        <v>48414.460000000006</v>
      </c>
      <c r="AA2363" s="51">
        <v>0</v>
      </c>
      <c r="AB2363" s="102">
        <v>0</v>
      </c>
      <c r="AC2363" s="81">
        <f t="shared" si="111"/>
        <v>0</v>
      </c>
      <c r="AD2363" s="82">
        <f t="shared" si="112"/>
        <v>0</v>
      </c>
      <c r="AE2363" s="218">
        <v>0</v>
      </c>
      <c r="AF2363">
        <v>0</v>
      </c>
      <c r="AH2363" t="str">
        <f t="shared" si="113"/>
        <v>DalsinghSarai</v>
      </c>
      <c r="AJ2363" s="72">
        <v>0</v>
      </c>
      <c r="AK2363" s="72"/>
      <c r="AL2363" s="72"/>
      <c r="AM2363" s="72"/>
    </row>
    <row r="2364" spans="1:39" x14ac:dyDescent="0.25">
      <c r="A2364" s="37" t="s">
        <v>62</v>
      </c>
      <c r="B2364" s="66" t="s">
        <v>1629</v>
      </c>
      <c r="C2364" s="41">
        <v>1012</v>
      </c>
      <c r="D2364" s="41" t="s">
        <v>314</v>
      </c>
      <c r="E2364" s="41">
        <v>10120051</v>
      </c>
      <c r="F2364" s="85" t="s">
        <v>343</v>
      </c>
      <c r="G2364" s="39" t="s">
        <v>93</v>
      </c>
      <c r="H2364" s="52" t="s">
        <v>94</v>
      </c>
      <c r="I2364" s="52">
        <v>315.63000000000005</v>
      </c>
      <c r="J2364" s="49">
        <v>12660.2</v>
      </c>
      <c r="K2364" s="58">
        <v>83.62</v>
      </c>
      <c r="L2364" s="58">
        <v>3566.2825538401003</v>
      </c>
      <c r="M2364" s="58">
        <v>222.71</v>
      </c>
      <c r="N2364" s="58">
        <v>9090.7891385818602</v>
      </c>
      <c r="O2364" s="58">
        <v>306.33000000000004</v>
      </c>
      <c r="P2364" s="53">
        <v>12657.07169242196</v>
      </c>
      <c r="Q2364" s="65">
        <v>12657.07169242196</v>
      </c>
      <c r="R2364" s="65">
        <v>0</v>
      </c>
      <c r="S2364" s="65">
        <v>0</v>
      </c>
      <c r="T2364" s="65">
        <v>0</v>
      </c>
      <c r="U2364" s="58">
        <v>0</v>
      </c>
      <c r="V2364" s="65">
        <v>37.209070819672128</v>
      </c>
      <c r="W2364" s="65">
        <v>0</v>
      </c>
      <c r="X2364" s="65">
        <v>3529</v>
      </c>
      <c r="Y2364" s="65">
        <v>9091</v>
      </c>
      <c r="Z2364" s="51">
        <v>0</v>
      </c>
      <c r="AA2364" s="51">
        <v>3</v>
      </c>
      <c r="AB2364" s="102">
        <v>0</v>
      </c>
      <c r="AC2364" s="81">
        <f t="shared" si="111"/>
        <v>308.34845065424702</v>
      </c>
      <c r="AD2364" s="82">
        <f t="shared" si="112"/>
        <v>45.090000000000011</v>
      </c>
      <c r="AE2364" s="218">
        <v>2.4709780082788035E-4</v>
      </c>
      <c r="AF2364">
        <v>10</v>
      </c>
      <c r="AH2364" t="str">
        <f t="shared" si="113"/>
        <v>DalsinghSarai</v>
      </c>
      <c r="AJ2364" s="72">
        <v>0</v>
      </c>
      <c r="AK2364" s="72"/>
      <c r="AL2364" s="72"/>
      <c r="AM2364" s="72"/>
    </row>
    <row r="2365" spans="1:39" x14ac:dyDescent="0.25">
      <c r="A2365" s="37" t="s">
        <v>62</v>
      </c>
      <c r="B2365" s="66" t="s">
        <v>1629</v>
      </c>
      <c r="C2365" s="41">
        <v>1012</v>
      </c>
      <c r="D2365" s="41" t="s">
        <v>314</v>
      </c>
      <c r="E2365" s="41">
        <v>10120052</v>
      </c>
      <c r="F2365" s="85" t="s">
        <v>344</v>
      </c>
      <c r="G2365" s="39" t="s">
        <v>93</v>
      </c>
      <c r="H2365" s="52" t="s">
        <v>94</v>
      </c>
      <c r="I2365" s="52">
        <v>1579.48</v>
      </c>
      <c r="J2365" s="49">
        <v>61831.130000000012</v>
      </c>
      <c r="K2365" s="58">
        <v>1026.5399999999997</v>
      </c>
      <c r="L2365" s="58">
        <v>40263.249241264697</v>
      </c>
      <c r="M2365" s="58">
        <v>552.83999999999992</v>
      </c>
      <c r="N2365" s="58">
        <v>20998.227712119231</v>
      </c>
      <c r="O2365" s="58">
        <v>1579.3799999999997</v>
      </c>
      <c r="P2365" s="53">
        <v>61261.476953383928</v>
      </c>
      <c r="Q2365" s="65">
        <v>61261.476953383928</v>
      </c>
      <c r="R2365" s="65">
        <v>0</v>
      </c>
      <c r="S2365" s="65">
        <v>0</v>
      </c>
      <c r="T2365" s="65">
        <v>0</v>
      </c>
      <c r="U2365" s="58">
        <v>5400</v>
      </c>
      <c r="V2365" s="65">
        <v>0</v>
      </c>
      <c r="W2365" s="65">
        <v>0</v>
      </c>
      <c r="X2365" s="65">
        <v>34864</v>
      </c>
      <c r="Y2365" s="65">
        <v>20999</v>
      </c>
      <c r="Z2365" s="51">
        <v>0</v>
      </c>
      <c r="AA2365" s="51">
        <v>568</v>
      </c>
      <c r="AB2365" s="102">
        <v>0</v>
      </c>
      <c r="AC2365" s="81">
        <f t="shared" si="111"/>
        <v>0</v>
      </c>
      <c r="AD2365" s="82">
        <f t="shared" si="112"/>
        <v>0</v>
      </c>
      <c r="AE2365" s="218">
        <v>9.2130460273988808E-3</v>
      </c>
      <c r="AF2365">
        <v>8</v>
      </c>
      <c r="AH2365" t="str">
        <f t="shared" si="113"/>
        <v>DalsinghSarai</v>
      </c>
      <c r="AJ2365" s="72">
        <v>0</v>
      </c>
      <c r="AK2365" s="72"/>
      <c r="AL2365" s="72"/>
      <c r="AM2365" s="72"/>
    </row>
    <row r="2366" spans="1:39" x14ac:dyDescent="0.25">
      <c r="A2366" s="37" t="s">
        <v>62</v>
      </c>
      <c r="B2366" s="66" t="s">
        <v>1629</v>
      </c>
      <c r="C2366" s="41">
        <v>1012</v>
      </c>
      <c r="D2366" s="41" t="s">
        <v>314</v>
      </c>
      <c r="E2366" s="41">
        <v>10120053</v>
      </c>
      <c r="F2366" s="85" t="s">
        <v>345</v>
      </c>
      <c r="G2366" s="39" t="s">
        <v>93</v>
      </c>
      <c r="H2366" s="52" t="s">
        <v>94</v>
      </c>
      <c r="I2366" s="52">
        <v>260.31</v>
      </c>
      <c r="J2366" s="49">
        <v>9547.4999999999982</v>
      </c>
      <c r="K2366" s="58">
        <v>265.43</v>
      </c>
      <c r="L2366" s="58">
        <v>9196.7644351762265</v>
      </c>
      <c r="M2366" s="58">
        <v>0</v>
      </c>
      <c r="N2366" s="58">
        <v>0</v>
      </c>
      <c r="O2366" s="58">
        <v>265.43</v>
      </c>
      <c r="P2366" s="53">
        <v>9196.7644351762265</v>
      </c>
      <c r="Q2366" s="65">
        <v>9196.7644351762265</v>
      </c>
      <c r="R2366" s="65">
        <v>0</v>
      </c>
      <c r="S2366" s="65">
        <v>0</v>
      </c>
      <c r="T2366" s="65">
        <v>0</v>
      </c>
      <c r="U2366" s="58">
        <v>1350</v>
      </c>
      <c r="V2366" s="65">
        <v>0</v>
      </c>
      <c r="W2366" s="65">
        <v>0</v>
      </c>
      <c r="X2366" s="65">
        <v>7847</v>
      </c>
      <c r="Y2366" s="65">
        <v>0</v>
      </c>
      <c r="Z2366" s="51">
        <v>0</v>
      </c>
      <c r="AA2366" s="51">
        <v>350</v>
      </c>
      <c r="AB2366" s="102" t="s">
        <v>66</v>
      </c>
      <c r="AC2366" s="81">
        <f t="shared" si="111"/>
        <v>322.53392301486684</v>
      </c>
      <c r="AD2366" s="82">
        <f t="shared" si="112"/>
        <v>37.187142857142859</v>
      </c>
      <c r="AE2366" s="218">
        <v>3.6735853869994423E-2</v>
      </c>
      <c r="AF2366">
        <v>10</v>
      </c>
      <c r="AH2366" t="str">
        <f t="shared" si="113"/>
        <v>DalsinghSarai</v>
      </c>
      <c r="AJ2366" s="72">
        <v>0</v>
      </c>
      <c r="AK2366" s="72"/>
      <c r="AL2366" s="72"/>
      <c r="AM2366" s="72"/>
    </row>
    <row r="2367" spans="1:39" x14ac:dyDescent="0.25">
      <c r="A2367" s="37" t="s">
        <v>62</v>
      </c>
      <c r="B2367" s="66" t="s">
        <v>1629</v>
      </c>
      <c r="C2367" s="41">
        <v>1012</v>
      </c>
      <c r="D2367" s="41" t="s">
        <v>314</v>
      </c>
      <c r="E2367" s="41">
        <v>10120060</v>
      </c>
      <c r="F2367" s="85" t="s">
        <v>347</v>
      </c>
      <c r="G2367" s="39" t="s">
        <v>635</v>
      </c>
      <c r="H2367" s="52" t="s">
        <v>99</v>
      </c>
      <c r="I2367" s="52">
        <v>1695</v>
      </c>
      <c r="J2367" s="49">
        <v>62406.05</v>
      </c>
      <c r="K2367" s="58">
        <v>0</v>
      </c>
      <c r="L2367" s="58">
        <v>0</v>
      </c>
      <c r="M2367" s="58">
        <v>0</v>
      </c>
      <c r="N2367" s="58">
        <v>0</v>
      </c>
      <c r="O2367" s="58">
        <v>0</v>
      </c>
      <c r="P2367" s="53">
        <v>0</v>
      </c>
      <c r="Q2367" s="65">
        <v>62406.05</v>
      </c>
      <c r="R2367" s="65">
        <v>0</v>
      </c>
      <c r="S2367" s="65">
        <v>0</v>
      </c>
      <c r="T2367" s="65">
        <v>0</v>
      </c>
      <c r="U2367" s="58">
        <v>0</v>
      </c>
      <c r="V2367" s="65">
        <v>0</v>
      </c>
      <c r="W2367" s="65">
        <v>0</v>
      </c>
      <c r="X2367" s="65">
        <v>0</v>
      </c>
      <c r="Y2367" s="65">
        <v>0</v>
      </c>
      <c r="Z2367" s="51">
        <v>62406.05</v>
      </c>
      <c r="AA2367" s="51">
        <v>0</v>
      </c>
      <c r="AB2367" s="102">
        <v>0</v>
      </c>
      <c r="AC2367" s="81">
        <f t="shared" si="111"/>
        <v>0</v>
      </c>
      <c r="AD2367" s="82">
        <f t="shared" si="112"/>
        <v>0</v>
      </c>
      <c r="AE2367" s="218">
        <v>0</v>
      </c>
      <c r="AF2367">
        <v>0</v>
      </c>
      <c r="AH2367" t="str">
        <f t="shared" si="113"/>
        <v>DalsinghSarai</v>
      </c>
      <c r="AJ2367" s="72">
        <v>0</v>
      </c>
      <c r="AK2367" s="72"/>
      <c r="AL2367" s="72"/>
      <c r="AM2367" s="72"/>
    </row>
    <row r="2368" spans="1:39" x14ac:dyDescent="0.25">
      <c r="A2368" s="37" t="s">
        <v>62</v>
      </c>
      <c r="B2368" s="66" t="s">
        <v>1629</v>
      </c>
      <c r="C2368" s="41">
        <v>1012</v>
      </c>
      <c r="D2368" s="41" t="s">
        <v>314</v>
      </c>
      <c r="E2368" s="41">
        <v>10120066</v>
      </c>
      <c r="F2368" s="85" t="s">
        <v>348</v>
      </c>
      <c r="G2368" s="39" t="s">
        <v>635</v>
      </c>
      <c r="H2368" s="52" t="s">
        <v>99</v>
      </c>
      <c r="I2368" s="52">
        <v>164.4</v>
      </c>
      <c r="J2368" s="49">
        <v>6025.5300000000007</v>
      </c>
      <c r="K2368" s="58">
        <v>0</v>
      </c>
      <c r="L2368" s="58">
        <v>0</v>
      </c>
      <c r="M2368" s="58">
        <v>0</v>
      </c>
      <c r="N2368" s="58">
        <v>0</v>
      </c>
      <c r="O2368" s="58">
        <v>0</v>
      </c>
      <c r="P2368" s="53">
        <v>0</v>
      </c>
      <c r="Q2368" s="65">
        <v>6025.5300000000007</v>
      </c>
      <c r="R2368" s="65">
        <v>0</v>
      </c>
      <c r="S2368" s="65">
        <v>0</v>
      </c>
      <c r="T2368" s="65">
        <v>0</v>
      </c>
      <c r="U2368" s="58">
        <v>0</v>
      </c>
      <c r="V2368" s="65">
        <v>0</v>
      </c>
      <c r="W2368" s="65">
        <v>0</v>
      </c>
      <c r="X2368" s="65">
        <v>0</v>
      </c>
      <c r="Y2368" s="65">
        <v>0</v>
      </c>
      <c r="Z2368" s="51">
        <v>6025.5300000000007</v>
      </c>
      <c r="AA2368" s="51">
        <v>0</v>
      </c>
      <c r="AB2368" s="102">
        <v>0</v>
      </c>
      <c r="AC2368" s="81">
        <f t="shared" si="111"/>
        <v>392.61239270072991</v>
      </c>
      <c r="AD2368" s="82">
        <f t="shared" si="112"/>
        <v>23.485714285714288</v>
      </c>
      <c r="AE2368" s="218">
        <v>0</v>
      </c>
      <c r="AF2368">
        <v>0</v>
      </c>
      <c r="AH2368" t="str">
        <f t="shared" si="113"/>
        <v>DalsinghSarai</v>
      </c>
      <c r="AJ2368" s="72">
        <v>0</v>
      </c>
      <c r="AK2368" s="72"/>
      <c r="AL2368" s="72"/>
      <c r="AM2368" s="72"/>
    </row>
    <row r="2369" spans="1:39" x14ac:dyDescent="0.25">
      <c r="A2369" s="37" t="s">
        <v>62</v>
      </c>
      <c r="B2369" s="66" t="s">
        <v>1629</v>
      </c>
      <c r="C2369" s="41">
        <v>1012</v>
      </c>
      <c r="D2369" s="41" t="s">
        <v>314</v>
      </c>
      <c r="E2369" s="41">
        <v>10120071</v>
      </c>
      <c r="F2369" s="85" t="s">
        <v>349</v>
      </c>
      <c r="G2369" s="39" t="s">
        <v>93</v>
      </c>
      <c r="H2369" s="52" t="s">
        <v>94</v>
      </c>
      <c r="I2369" s="52">
        <v>373.28000000000003</v>
      </c>
      <c r="J2369" s="49">
        <v>14157.369999999999</v>
      </c>
      <c r="K2369" s="58">
        <v>85.639999999999986</v>
      </c>
      <c r="L2369" s="58">
        <v>3266.8801364430005</v>
      </c>
      <c r="M2369" s="58">
        <v>300.03999999999996</v>
      </c>
      <c r="N2369" s="58">
        <v>11453.729090274159</v>
      </c>
      <c r="O2369" s="58">
        <v>385.67999999999995</v>
      </c>
      <c r="P2369" s="53">
        <v>14720.609226717159</v>
      </c>
      <c r="Q2369" s="65">
        <v>14157.369999999999</v>
      </c>
      <c r="R2369" s="65">
        <v>0</v>
      </c>
      <c r="S2369" s="65">
        <v>0</v>
      </c>
      <c r="T2369" s="65">
        <v>563.23922671715991</v>
      </c>
      <c r="U2369" s="58">
        <v>0</v>
      </c>
      <c r="V2369" s="65">
        <v>34.846029677419324</v>
      </c>
      <c r="W2369" s="65">
        <v>0</v>
      </c>
      <c r="X2369" s="65">
        <v>2668</v>
      </c>
      <c r="Y2369" s="65">
        <v>11454</v>
      </c>
      <c r="Z2369" s="51">
        <v>0</v>
      </c>
      <c r="AA2369" s="51">
        <v>1</v>
      </c>
      <c r="AB2369" s="102">
        <v>0</v>
      </c>
      <c r="AC2369" s="81">
        <f t="shared" si="111"/>
        <v>247.82982888984134</v>
      </c>
      <c r="AD2369" s="82">
        <f t="shared" si="112"/>
        <v>53.325714285714291</v>
      </c>
      <c r="AE2369" s="218">
        <v>-3.978417083943981E-2</v>
      </c>
      <c r="AF2369">
        <v>10</v>
      </c>
      <c r="AH2369" t="str">
        <f t="shared" si="113"/>
        <v>DalsinghSarai</v>
      </c>
      <c r="AJ2369" s="72">
        <v>0</v>
      </c>
      <c r="AK2369" s="72"/>
      <c r="AL2369" s="72"/>
      <c r="AM2369" s="72"/>
    </row>
    <row r="2370" spans="1:39" x14ac:dyDescent="0.25">
      <c r="A2370" s="37" t="s">
        <v>62</v>
      </c>
      <c r="B2370" s="66" t="s">
        <v>1629</v>
      </c>
      <c r="C2370" s="41">
        <v>1012</v>
      </c>
      <c r="D2370" s="41" t="s">
        <v>314</v>
      </c>
      <c r="E2370" s="41">
        <v>10120081</v>
      </c>
      <c r="F2370" s="85" t="s">
        <v>1622</v>
      </c>
      <c r="G2370" s="39" t="s">
        <v>635</v>
      </c>
      <c r="H2370" s="52" t="s">
        <v>99</v>
      </c>
      <c r="I2370" s="52">
        <v>75.069999999999993</v>
      </c>
      <c r="J2370" s="49">
        <v>2334.6799999999998</v>
      </c>
      <c r="K2370" s="58">
        <v>0</v>
      </c>
      <c r="L2370" s="58">
        <v>0</v>
      </c>
      <c r="M2370" s="58">
        <v>0</v>
      </c>
      <c r="N2370" s="58">
        <v>0</v>
      </c>
      <c r="O2370" s="58">
        <v>0</v>
      </c>
      <c r="P2370" s="53">
        <v>0</v>
      </c>
      <c r="Q2370" s="65">
        <v>2334.6799999999998</v>
      </c>
      <c r="R2370" s="65">
        <v>0</v>
      </c>
      <c r="S2370" s="65">
        <v>0</v>
      </c>
      <c r="T2370" s="65">
        <v>0</v>
      </c>
      <c r="U2370" s="58">
        <v>0</v>
      </c>
      <c r="V2370" s="65">
        <v>0</v>
      </c>
      <c r="W2370" s="65">
        <v>0</v>
      </c>
      <c r="X2370" s="65">
        <v>0</v>
      </c>
      <c r="Y2370" s="65">
        <v>0</v>
      </c>
      <c r="Z2370" s="51">
        <v>2334.6799999999998</v>
      </c>
      <c r="AA2370" s="51">
        <v>0</v>
      </c>
      <c r="AB2370" s="102">
        <v>0</v>
      </c>
      <c r="AC2370" s="81">
        <f t="shared" ref="AC2370:AC2433" si="114">((IF(AD2370=0,0,100-AD2370))*7*(J2370/I2370))*2%</f>
        <v>388.70695947782082</v>
      </c>
      <c r="AD2370" s="82">
        <f t="shared" ref="AD2370:AD2433" si="115">IF((I2370/7)&gt;100,0,(I2370/7))</f>
        <v>10.724285714285713</v>
      </c>
      <c r="AE2370" s="218">
        <v>0</v>
      </c>
      <c r="AF2370">
        <v>0</v>
      </c>
      <c r="AH2370" t="str">
        <f t="shared" si="113"/>
        <v>DalsinghSarai</v>
      </c>
      <c r="AJ2370" s="72">
        <v>0</v>
      </c>
      <c r="AK2370" s="72"/>
      <c r="AL2370" s="72"/>
      <c r="AM2370" s="72"/>
    </row>
    <row r="2371" spans="1:39" x14ac:dyDescent="0.25">
      <c r="A2371" s="37" t="s">
        <v>62</v>
      </c>
      <c r="B2371" s="66" t="s">
        <v>1629</v>
      </c>
      <c r="C2371" s="41">
        <v>1012</v>
      </c>
      <c r="D2371" s="41" t="s">
        <v>314</v>
      </c>
      <c r="E2371" s="41">
        <v>10120083</v>
      </c>
      <c r="F2371" s="85" t="s">
        <v>441</v>
      </c>
      <c r="G2371" s="39" t="s">
        <v>93</v>
      </c>
      <c r="H2371" s="52" t="s">
        <v>94</v>
      </c>
      <c r="I2371" s="52">
        <v>510.51</v>
      </c>
      <c r="J2371" s="49">
        <v>19120.889999999996</v>
      </c>
      <c r="K2371" s="58">
        <v>510.51</v>
      </c>
      <c r="L2371" s="58">
        <v>19120.414955194999</v>
      </c>
      <c r="M2371" s="58">
        <v>0</v>
      </c>
      <c r="N2371" s="58">
        <v>0</v>
      </c>
      <c r="O2371" s="58">
        <v>510.51</v>
      </c>
      <c r="P2371" s="53">
        <v>19120.414955194999</v>
      </c>
      <c r="Q2371" s="65">
        <v>19120.414955194999</v>
      </c>
      <c r="R2371" s="65">
        <v>0</v>
      </c>
      <c r="S2371" s="65">
        <v>0</v>
      </c>
      <c r="T2371" s="65">
        <v>0</v>
      </c>
      <c r="U2371" s="58">
        <v>19120</v>
      </c>
      <c r="V2371" s="65">
        <v>0</v>
      </c>
      <c r="W2371" s="65">
        <v>0</v>
      </c>
      <c r="X2371" s="65">
        <v>0</v>
      </c>
      <c r="Y2371" s="65">
        <v>0</v>
      </c>
      <c r="Z2371" s="51">
        <v>0</v>
      </c>
      <c r="AA2371" s="51">
        <v>1</v>
      </c>
      <c r="AB2371" s="102">
        <v>0</v>
      </c>
      <c r="AC2371" s="81">
        <f t="shared" si="114"/>
        <v>141.94501365693134</v>
      </c>
      <c r="AD2371" s="82">
        <f t="shared" si="115"/>
        <v>72.929999999999993</v>
      </c>
      <c r="AE2371" s="218">
        <v>2.4844283137253919E-5</v>
      </c>
      <c r="AF2371">
        <v>1</v>
      </c>
      <c r="AH2371" t="str">
        <f t="shared" si="113"/>
        <v>DalsinghSarai</v>
      </c>
      <c r="AJ2371" s="72">
        <v>0</v>
      </c>
      <c r="AK2371" s="72"/>
      <c r="AL2371" s="72"/>
      <c r="AM2371" s="72"/>
    </row>
    <row r="2372" spans="1:39" x14ac:dyDescent="0.25">
      <c r="A2372" s="37" t="s">
        <v>62</v>
      </c>
      <c r="B2372" s="66" t="s">
        <v>1629</v>
      </c>
      <c r="C2372" s="41">
        <v>1012</v>
      </c>
      <c r="D2372" s="41" t="s">
        <v>314</v>
      </c>
      <c r="E2372" s="41">
        <v>10120084</v>
      </c>
      <c r="F2372" s="85" t="s">
        <v>446</v>
      </c>
      <c r="G2372" s="39" t="s">
        <v>93</v>
      </c>
      <c r="H2372" s="52" t="s">
        <v>94</v>
      </c>
      <c r="I2372" s="52">
        <v>1729.7800000000002</v>
      </c>
      <c r="J2372" s="49">
        <v>83143.910000000018</v>
      </c>
      <c r="K2372" s="58">
        <v>503.27</v>
      </c>
      <c r="L2372" s="58">
        <v>24327.684446368901</v>
      </c>
      <c r="M2372" s="58">
        <v>1323.34</v>
      </c>
      <c r="N2372" s="58">
        <v>68604.28791990965</v>
      </c>
      <c r="O2372" s="58">
        <v>1826.61</v>
      </c>
      <c r="P2372" s="53">
        <v>92931.972366278555</v>
      </c>
      <c r="Q2372" s="65">
        <v>83143.910000000018</v>
      </c>
      <c r="R2372" s="65">
        <v>0</v>
      </c>
      <c r="S2372" s="65">
        <v>0</v>
      </c>
      <c r="T2372" s="65">
        <v>9788.0623662785365</v>
      </c>
      <c r="U2372" s="58">
        <v>0</v>
      </c>
      <c r="V2372" s="65">
        <v>0</v>
      </c>
      <c r="W2372" s="65">
        <v>0</v>
      </c>
      <c r="X2372" s="65">
        <v>21072</v>
      </c>
      <c r="Y2372" s="65">
        <v>62072</v>
      </c>
      <c r="Z2372" s="51">
        <v>0</v>
      </c>
      <c r="AA2372" s="51">
        <v>0</v>
      </c>
      <c r="AB2372" s="102" t="s">
        <v>68</v>
      </c>
      <c r="AC2372" s="81">
        <f t="shared" si="114"/>
        <v>0</v>
      </c>
      <c r="AD2372" s="82">
        <f t="shared" si="115"/>
        <v>0</v>
      </c>
      <c r="AE2372" s="218">
        <v>-0.11772434525004338</v>
      </c>
      <c r="AF2372">
        <v>26</v>
      </c>
      <c r="AH2372" t="str">
        <f t="shared" si="113"/>
        <v>DalsinghSarai</v>
      </c>
      <c r="AJ2372" s="72">
        <v>0</v>
      </c>
      <c r="AK2372" s="72"/>
      <c r="AL2372" s="72"/>
      <c r="AM2372" s="72"/>
    </row>
    <row r="2373" spans="1:39" x14ac:dyDescent="0.25">
      <c r="A2373" s="37" t="s">
        <v>62</v>
      </c>
      <c r="B2373" s="66" t="s">
        <v>1629</v>
      </c>
      <c r="C2373" s="41">
        <v>1012</v>
      </c>
      <c r="D2373" s="41" t="s">
        <v>314</v>
      </c>
      <c r="E2373" s="41">
        <v>10120086</v>
      </c>
      <c r="F2373" s="85" t="s">
        <v>442</v>
      </c>
      <c r="G2373" s="39" t="s">
        <v>635</v>
      </c>
      <c r="H2373" s="52" t="s">
        <v>99</v>
      </c>
      <c r="I2373" s="52">
        <v>1132.54</v>
      </c>
      <c r="J2373" s="49">
        <v>42708.109999999993</v>
      </c>
      <c r="K2373" s="58">
        <v>0</v>
      </c>
      <c r="L2373" s="58">
        <v>0</v>
      </c>
      <c r="M2373" s="58">
        <v>0</v>
      </c>
      <c r="N2373" s="58">
        <v>0</v>
      </c>
      <c r="O2373" s="58">
        <v>0</v>
      </c>
      <c r="P2373" s="53">
        <v>0</v>
      </c>
      <c r="Q2373" s="65">
        <v>42708.109999999993</v>
      </c>
      <c r="R2373" s="65">
        <v>0</v>
      </c>
      <c r="S2373" s="65">
        <v>0</v>
      </c>
      <c r="T2373" s="65">
        <v>0</v>
      </c>
      <c r="U2373" s="58">
        <v>0</v>
      </c>
      <c r="V2373" s="65">
        <v>0</v>
      </c>
      <c r="W2373" s="65">
        <v>0</v>
      </c>
      <c r="X2373" s="65">
        <v>0</v>
      </c>
      <c r="Y2373" s="65">
        <v>0</v>
      </c>
      <c r="Z2373" s="51">
        <v>42708.109999999993</v>
      </c>
      <c r="AA2373" s="51">
        <v>0</v>
      </c>
      <c r="AB2373" s="102">
        <v>0</v>
      </c>
      <c r="AC2373" s="81">
        <f t="shared" si="114"/>
        <v>0</v>
      </c>
      <c r="AD2373" s="82">
        <f t="shared" si="115"/>
        <v>0</v>
      </c>
      <c r="AE2373" s="218">
        <v>0</v>
      </c>
      <c r="AF2373">
        <v>0</v>
      </c>
      <c r="AH2373" t="str">
        <f t="shared" si="113"/>
        <v>DalsinghSarai</v>
      </c>
      <c r="AJ2373" s="72">
        <v>0</v>
      </c>
      <c r="AK2373" s="72"/>
      <c r="AL2373" s="72"/>
      <c r="AM2373" s="72"/>
    </row>
    <row r="2374" spans="1:39" x14ac:dyDescent="0.25">
      <c r="A2374" s="37" t="s">
        <v>62</v>
      </c>
      <c r="B2374" s="66" t="s">
        <v>1629</v>
      </c>
      <c r="C2374" s="41">
        <v>1062</v>
      </c>
      <c r="D2374" s="41" t="s">
        <v>1443</v>
      </c>
      <c r="E2374" s="41">
        <v>10120088</v>
      </c>
      <c r="F2374" s="85" t="s">
        <v>1391</v>
      </c>
      <c r="G2374" s="39" t="s">
        <v>635</v>
      </c>
      <c r="H2374" s="52" t="s">
        <v>99</v>
      </c>
      <c r="I2374" s="52">
        <v>4892.7999999999993</v>
      </c>
      <c r="J2374" s="49">
        <v>187117.62</v>
      </c>
      <c r="K2374" s="58">
        <v>0</v>
      </c>
      <c r="L2374" s="58">
        <v>0</v>
      </c>
      <c r="M2374" s="58">
        <v>0</v>
      </c>
      <c r="N2374" s="58">
        <v>0</v>
      </c>
      <c r="O2374" s="58">
        <v>0</v>
      </c>
      <c r="P2374" s="53">
        <v>0</v>
      </c>
      <c r="Q2374" s="65">
        <v>187117.62</v>
      </c>
      <c r="R2374" s="65">
        <v>0</v>
      </c>
      <c r="S2374" s="65">
        <v>0</v>
      </c>
      <c r="T2374" s="65">
        <v>0</v>
      </c>
      <c r="U2374" s="58">
        <v>0</v>
      </c>
      <c r="V2374" s="65">
        <v>0</v>
      </c>
      <c r="W2374" s="65">
        <v>0</v>
      </c>
      <c r="X2374" s="65">
        <v>0</v>
      </c>
      <c r="Y2374" s="65">
        <v>0</v>
      </c>
      <c r="Z2374" s="51">
        <v>187117.62</v>
      </c>
      <c r="AA2374" s="51">
        <v>0</v>
      </c>
      <c r="AB2374" s="102">
        <v>0</v>
      </c>
      <c r="AC2374" s="81">
        <f t="shared" si="114"/>
        <v>0</v>
      </c>
      <c r="AD2374" s="82">
        <f t="shared" si="115"/>
        <v>0</v>
      </c>
      <c r="AE2374" s="218">
        <v>0</v>
      </c>
      <c r="AF2374">
        <v>0</v>
      </c>
      <c r="AH2374" t="str">
        <f t="shared" si="113"/>
        <v>Singhia BMC</v>
      </c>
      <c r="AJ2374" s="72">
        <v>0</v>
      </c>
      <c r="AK2374" s="72"/>
      <c r="AL2374" s="72"/>
      <c r="AM2374" s="72"/>
    </row>
    <row r="2375" spans="1:39" x14ac:dyDescent="0.25">
      <c r="A2375" s="37" t="s">
        <v>62</v>
      </c>
      <c r="B2375" s="66" t="s">
        <v>1629</v>
      </c>
      <c r="C2375" s="41">
        <v>1012</v>
      </c>
      <c r="D2375" s="41" t="s">
        <v>314</v>
      </c>
      <c r="E2375" s="41">
        <v>10120089</v>
      </c>
      <c r="F2375" s="85" t="s">
        <v>505</v>
      </c>
      <c r="G2375" s="39" t="s">
        <v>93</v>
      </c>
      <c r="H2375" s="52" t="s">
        <v>94</v>
      </c>
      <c r="I2375" s="52">
        <v>778.68000000000006</v>
      </c>
      <c r="J2375" s="49">
        <v>27087.61</v>
      </c>
      <c r="K2375" s="58">
        <v>759.9</v>
      </c>
      <c r="L2375" s="58">
        <v>29021.794940160005</v>
      </c>
      <c r="M2375" s="58">
        <v>26.5</v>
      </c>
      <c r="N2375" s="58">
        <v>980.76201695999998</v>
      </c>
      <c r="O2375" s="58">
        <v>786.4</v>
      </c>
      <c r="P2375" s="53">
        <v>30002.556957120007</v>
      </c>
      <c r="Q2375" s="65">
        <v>27087.61</v>
      </c>
      <c r="R2375" s="65">
        <v>0</v>
      </c>
      <c r="S2375" s="65">
        <v>45.580887000000011</v>
      </c>
      <c r="T2375" s="65">
        <v>2914.9469571200061</v>
      </c>
      <c r="U2375" s="58">
        <v>2700</v>
      </c>
      <c r="V2375" s="65">
        <v>0</v>
      </c>
      <c r="W2375" s="65">
        <v>0</v>
      </c>
      <c r="X2375" s="65">
        <v>23406</v>
      </c>
      <c r="Y2375" s="65">
        <v>936</v>
      </c>
      <c r="Z2375" s="51">
        <v>0</v>
      </c>
      <c r="AA2375" s="51">
        <v>0</v>
      </c>
      <c r="AB2375" s="102">
        <v>0</v>
      </c>
      <c r="AC2375" s="81">
        <f t="shared" si="114"/>
        <v>0</v>
      </c>
      <c r="AD2375" s="82">
        <f t="shared" si="115"/>
        <v>0</v>
      </c>
      <c r="AE2375" s="218">
        <v>-0.10761181799058707</v>
      </c>
      <c r="AF2375">
        <v>6</v>
      </c>
      <c r="AH2375" t="str">
        <f t="shared" si="113"/>
        <v>DalsinghSarai</v>
      </c>
      <c r="AJ2375" s="72">
        <v>0</v>
      </c>
      <c r="AK2375" s="72"/>
      <c r="AL2375" s="72"/>
      <c r="AM2375" s="72"/>
    </row>
    <row r="2376" spans="1:39" x14ac:dyDescent="0.25">
      <c r="A2376" s="37" t="s">
        <v>62</v>
      </c>
      <c r="B2376" s="66" t="s">
        <v>1629</v>
      </c>
      <c r="C2376" s="41">
        <v>1012</v>
      </c>
      <c r="D2376" s="41" t="s">
        <v>314</v>
      </c>
      <c r="E2376" s="41">
        <v>10120091</v>
      </c>
      <c r="F2376" s="85" t="s">
        <v>511</v>
      </c>
      <c r="G2376" s="39" t="s">
        <v>93</v>
      </c>
      <c r="H2376" s="52" t="s">
        <v>94</v>
      </c>
      <c r="I2376" s="52">
        <v>569.96</v>
      </c>
      <c r="J2376" s="49">
        <v>21646.62</v>
      </c>
      <c r="K2376" s="58">
        <v>191.56</v>
      </c>
      <c r="L2376" s="58">
        <v>7431.4102610286009</v>
      </c>
      <c r="M2376" s="58">
        <v>379.49000000000007</v>
      </c>
      <c r="N2376" s="58">
        <v>13383.989434710888</v>
      </c>
      <c r="O2376" s="58">
        <v>571.05000000000007</v>
      </c>
      <c r="P2376" s="53">
        <v>20815.399695739488</v>
      </c>
      <c r="Q2376" s="65">
        <v>20815.399695739488</v>
      </c>
      <c r="R2376" s="65">
        <v>0</v>
      </c>
      <c r="S2376" s="65">
        <v>443.11599377100009</v>
      </c>
      <c r="T2376" s="65">
        <v>0</v>
      </c>
      <c r="U2376" s="58">
        <v>0</v>
      </c>
      <c r="V2376" s="65">
        <v>0</v>
      </c>
      <c r="W2376" s="65">
        <v>0</v>
      </c>
      <c r="X2376" s="65">
        <v>7431</v>
      </c>
      <c r="Y2376" s="65">
        <v>12941</v>
      </c>
      <c r="Z2376" s="51">
        <v>0</v>
      </c>
      <c r="AA2376" s="51">
        <v>832</v>
      </c>
      <c r="AB2376" s="102">
        <v>0</v>
      </c>
      <c r="AC2376" s="81">
        <f t="shared" si="114"/>
        <v>98.776281310969125</v>
      </c>
      <c r="AD2376" s="82">
        <f t="shared" si="115"/>
        <v>81.422857142857154</v>
      </c>
      <c r="AE2376" s="218">
        <v>3.8399542481020621E-2</v>
      </c>
      <c r="AF2376">
        <v>15</v>
      </c>
      <c r="AH2376" t="str">
        <f t="shared" si="113"/>
        <v>DalsinghSarai</v>
      </c>
      <c r="AJ2376" s="72">
        <v>0</v>
      </c>
      <c r="AK2376" s="72"/>
      <c r="AL2376" s="72"/>
      <c r="AM2376" s="72"/>
    </row>
    <row r="2377" spans="1:39" x14ac:dyDescent="0.25">
      <c r="A2377" s="37" t="s">
        <v>62</v>
      </c>
      <c r="B2377" s="66" t="s">
        <v>1629</v>
      </c>
      <c r="C2377" s="41">
        <v>1012</v>
      </c>
      <c r="D2377" s="41" t="s">
        <v>314</v>
      </c>
      <c r="E2377" s="41">
        <v>10120094</v>
      </c>
      <c r="F2377" s="85" t="s">
        <v>518</v>
      </c>
      <c r="G2377" s="39" t="s">
        <v>93</v>
      </c>
      <c r="H2377" s="52" t="s">
        <v>94</v>
      </c>
      <c r="I2377" s="52">
        <v>792.02</v>
      </c>
      <c r="J2377" s="49">
        <v>35370.310000000005</v>
      </c>
      <c r="K2377" s="58">
        <v>129.1</v>
      </c>
      <c r="L2377" s="58">
        <v>5768.3117649285505</v>
      </c>
      <c r="M2377" s="58">
        <v>678.09000000000015</v>
      </c>
      <c r="N2377" s="58">
        <v>29380.325427554169</v>
      </c>
      <c r="O2377" s="58">
        <v>807.19000000000017</v>
      </c>
      <c r="P2377" s="53">
        <v>35148.637192482718</v>
      </c>
      <c r="Q2377" s="65">
        <v>35148.637192482718</v>
      </c>
      <c r="R2377" s="65">
        <v>0</v>
      </c>
      <c r="S2377" s="65">
        <v>0</v>
      </c>
      <c r="T2377" s="65">
        <v>0</v>
      </c>
      <c r="U2377" s="58">
        <v>2514</v>
      </c>
      <c r="V2377" s="65">
        <v>0</v>
      </c>
      <c r="W2377" s="65">
        <v>0</v>
      </c>
      <c r="X2377" s="65">
        <v>3254</v>
      </c>
      <c r="Y2377" s="65">
        <v>29381</v>
      </c>
      <c r="Z2377" s="51">
        <v>0</v>
      </c>
      <c r="AA2377" s="51">
        <v>221</v>
      </c>
      <c r="AB2377" s="102" t="s">
        <v>68</v>
      </c>
      <c r="AC2377" s="81">
        <f t="shared" si="114"/>
        <v>0</v>
      </c>
      <c r="AD2377" s="82">
        <f t="shared" si="115"/>
        <v>0</v>
      </c>
      <c r="AE2377" s="218">
        <v>6.2672000193746344E-3</v>
      </c>
      <c r="AF2377">
        <v>24</v>
      </c>
      <c r="AH2377" t="str">
        <f t="shared" ref="AH2377:AH2440" si="116">TEXT(D2377,"0000")</f>
        <v>DalsinghSarai</v>
      </c>
      <c r="AJ2377" s="72">
        <v>0</v>
      </c>
      <c r="AK2377" s="72"/>
      <c r="AL2377" s="72"/>
      <c r="AM2377" s="72"/>
    </row>
    <row r="2378" spans="1:39" x14ac:dyDescent="0.25">
      <c r="A2378" s="37" t="s">
        <v>62</v>
      </c>
      <c r="B2378" s="66" t="s">
        <v>1629</v>
      </c>
      <c r="C2378" s="41">
        <v>1012</v>
      </c>
      <c r="D2378" s="41" t="s">
        <v>314</v>
      </c>
      <c r="E2378" s="41">
        <v>10120095</v>
      </c>
      <c r="F2378" s="85" t="s">
        <v>538</v>
      </c>
      <c r="G2378" s="39" t="s">
        <v>93</v>
      </c>
      <c r="H2378" s="52" t="s">
        <v>94</v>
      </c>
      <c r="I2378" s="52">
        <v>199.37</v>
      </c>
      <c r="J2378" s="49">
        <v>8446.57</v>
      </c>
      <c r="K2378" s="58">
        <v>76</v>
      </c>
      <c r="L2378" s="58">
        <v>3150.1332719999996</v>
      </c>
      <c r="M2378" s="58">
        <v>152</v>
      </c>
      <c r="N2378" s="58">
        <v>6292.3465439999991</v>
      </c>
      <c r="O2378" s="58">
        <v>228</v>
      </c>
      <c r="P2378" s="53">
        <v>9442.4798159999991</v>
      </c>
      <c r="Q2378" s="65">
        <v>8446.57</v>
      </c>
      <c r="R2378" s="65">
        <v>0</v>
      </c>
      <c r="S2378" s="65">
        <v>0</v>
      </c>
      <c r="T2378" s="65">
        <v>995.90981599999941</v>
      </c>
      <c r="U2378" s="58">
        <v>0</v>
      </c>
      <c r="V2378" s="65">
        <v>0</v>
      </c>
      <c r="W2378" s="65">
        <v>0</v>
      </c>
      <c r="X2378" s="65">
        <v>2154</v>
      </c>
      <c r="Y2378" s="65">
        <v>6293</v>
      </c>
      <c r="Z2378" s="51">
        <v>0</v>
      </c>
      <c r="AA2378" s="51">
        <v>0</v>
      </c>
      <c r="AB2378" s="102">
        <v>0</v>
      </c>
      <c r="AC2378" s="81">
        <f t="shared" si="114"/>
        <v>424.1968540001003</v>
      </c>
      <c r="AD2378" s="82">
        <f t="shared" si="115"/>
        <v>28.481428571428573</v>
      </c>
      <c r="AE2378" s="218">
        <v>-0.1179070103012228</v>
      </c>
      <c r="AF2378">
        <v>3</v>
      </c>
      <c r="AH2378" t="str">
        <f t="shared" si="116"/>
        <v>DalsinghSarai</v>
      </c>
      <c r="AJ2378" s="72">
        <v>0</v>
      </c>
      <c r="AK2378" s="72"/>
      <c r="AL2378" s="72"/>
      <c r="AM2378" s="72"/>
    </row>
    <row r="2379" spans="1:39" x14ac:dyDescent="0.25">
      <c r="A2379" s="37" t="s">
        <v>62</v>
      </c>
      <c r="B2379" s="66" t="s">
        <v>1629</v>
      </c>
      <c r="C2379" s="41">
        <v>1012</v>
      </c>
      <c r="D2379" s="41" t="s">
        <v>314</v>
      </c>
      <c r="E2379" s="41">
        <v>10120096</v>
      </c>
      <c r="F2379" s="85" t="s">
        <v>519</v>
      </c>
      <c r="G2379" s="39" t="s">
        <v>635</v>
      </c>
      <c r="H2379" s="52" t="s">
        <v>99</v>
      </c>
      <c r="I2379" s="52">
        <v>1489.0700000000002</v>
      </c>
      <c r="J2379" s="49">
        <v>54799.679999999993</v>
      </c>
      <c r="K2379" s="58">
        <v>0</v>
      </c>
      <c r="L2379" s="58">
        <v>0</v>
      </c>
      <c r="M2379" s="58">
        <v>0</v>
      </c>
      <c r="N2379" s="58">
        <v>0</v>
      </c>
      <c r="O2379" s="58">
        <v>0</v>
      </c>
      <c r="P2379" s="53">
        <v>0</v>
      </c>
      <c r="Q2379" s="65">
        <v>54799.679999999993</v>
      </c>
      <c r="R2379" s="65">
        <v>0</v>
      </c>
      <c r="S2379" s="65">
        <v>0</v>
      </c>
      <c r="T2379" s="65">
        <v>0</v>
      </c>
      <c r="U2379" s="58">
        <v>54800</v>
      </c>
      <c r="V2379" s="65">
        <v>0</v>
      </c>
      <c r="W2379" s="65">
        <v>0</v>
      </c>
      <c r="X2379" s="65">
        <v>0</v>
      </c>
      <c r="Y2379" s="65">
        <v>0</v>
      </c>
      <c r="Z2379" s="51">
        <v>-0.32000000000698492</v>
      </c>
      <c r="AA2379" s="51">
        <v>0</v>
      </c>
      <c r="AB2379" s="102">
        <v>0</v>
      </c>
      <c r="AC2379" s="81">
        <f t="shared" si="114"/>
        <v>0</v>
      </c>
      <c r="AD2379" s="82">
        <f t="shared" si="115"/>
        <v>0</v>
      </c>
      <c r="AE2379" s="218">
        <v>0</v>
      </c>
      <c r="AF2379">
        <v>0</v>
      </c>
      <c r="AH2379" t="str">
        <f t="shared" si="116"/>
        <v>DalsinghSarai</v>
      </c>
      <c r="AJ2379" s="72">
        <v>0</v>
      </c>
      <c r="AK2379" s="72"/>
      <c r="AL2379" s="72"/>
      <c r="AM2379" s="72"/>
    </row>
    <row r="2380" spans="1:39" x14ac:dyDescent="0.25">
      <c r="A2380" s="37" t="s">
        <v>62</v>
      </c>
      <c r="B2380" s="66" t="s">
        <v>1629</v>
      </c>
      <c r="C2380" s="41">
        <v>1012</v>
      </c>
      <c r="D2380" s="41" t="s">
        <v>314</v>
      </c>
      <c r="E2380" s="41">
        <v>10120099</v>
      </c>
      <c r="F2380" s="85" t="s">
        <v>540</v>
      </c>
      <c r="G2380" s="39" t="s">
        <v>635</v>
      </c>
      <c r="H2380" s="52" t="s">
        <v>99</v>
      </c>
      <c r="I2380" s="52">
        <v>10171</v>
      </c>
      <c r="J2380" s="49">
        <v>385932.68</v>
      </c>
      <c r="K2380" s="58">
        <v>0</v>
      </c>
      <c r="L2380" s="58">
        <v>0</v>
      </c>
      <c r="M2380" s="58">
        <v>0</v>
      </c>
      <c r="N2380" s="58">
        <v>0</v>
      </c>
      <c r="O2380" s="58">
        <v>0</v>
      </c>
      <c r="P2380" s="53">
        <v>0</v>
      </c>
      <c r="Q2380" s="65">
        <v>385932.68</v>
      </c>
      <c r="R2380" s="65">
        <v>0</v>
      </c>
      <c r="S2380" s="65">
        <v>0</v>
      </c>
      <c r="T2380" s="65">
        <v>0</v>
      </c>
      <c r="U2380" s="58">
        <v>0</v>
      </c>
      <c r="V2380" s="65">
        <v>0</v>
      </c>
      <c r="W2380" s="65">
        <v>0</v>
      </c>
      <c r="X2380" s="65">
        <v>0</v>
      </c>
      <c r="Y2380" s="65">
        <v>0</v>
      </c>
      <c r="Z2380" s="51">
        <v>385932.68</v>
      </c>
      <c r="AA2380" s="51">
        <v>0</v>
      </c>
      <c r="AB2380" s="102">
        <v>0</v>
      </c>
      <c r="AC2380" s="81">
        <f t="shared" si="114"/>
        <v>0</v>
      </c>
      <c r="AD2380" s="82">
        <f t="shared" si="115"/>
        <v>0</v>
      </c>
      <c r="AE2380" s="218">
        <v>0</v>
      </c>
      <c r="AF2380">
        <v>0</v>
      </c>
      <c r="AH2380" t="str">
        <f t="shared" si="116"/>
        <v>DalsinghSarai</v>
      </c>
      <c r="AJ2380" s="72">
        <v>0</v>
      </c>
      <c r="AK2380" s="72"/>
      <c r="AL2380" s="72"/>
      <c r="AM2380" s="72"/>
    </row>
    <row r="2381" spans="1:39" x14ac:dyDescent="0.25">
      <c r="A2381" s="37" t="s">
        <v>62</v>
      </c>
      <c r="B2381" s="66" t="s">
        <v>1629</v>
      </c>
      <c r="C2381" s="41">
        <v>1012</v>
      </c>
      <c r="D2381" s="41" t="s">
        <v>314</v>
      </c>
      <c r="E2381" s="41">
        <v>10120103</v>
      </c>
      <c r="F2381" s="85" t="s">
        <v>577</v>
      </c>
      <c r="G2381" s="39" t="s">
        <v>635</v>
      </c>
      <c r="H2381" s="52" t="s">
        <v>99</v>
      </c>
      <c r="I2381" s="52">
        <v>1182</v>
      </c>
      <c r="J2381" s="49">
        <v>44337.56</v>
      </c>
      <c r="K2381" s="58">
        <v>0</v>
      </c>
      <c r="L2381" s="58">
        <v>0</v>
      </c>
      <c r="M2381" s="58">
        <v>0</v>
      </c>
      <c r="N2381" s="58">
        <v>0</v>
      </c>
      <c r="O2381" s="58">
        <v>0</v>
      </c>
      <c r="P2381" s="53">
        <v>0</v>
      </c>
      <c r="Q2381" s="65">
        <v>44337.56</v>
      </c>
      <c r="R2381" s="65">
        <v>0</v>
      </c>
      <c r="S2381" s="65">
        <v>0</v>
      </c>
      <c r="T2381" s="65">
        <v>0</v>
      </c>
      <c r="U2381" s="58">
        <v>0</v>
      </c>
      <c r="V2381" s="65">
        <v>0</v>
      </c>
      <c r="W2381" s="65">
        <v>0</v>
      </c>
      <c r="X2381" s="65">
        <v>0</v>
      </c>
      <c r="Y2381" s="65">
        <v>0</v>
      </c>
      <c r="Z2381" s="51">
        <v>44337.56</v>
      </c>
      <c r="AA2381" s="51">
        <v>0</v>
      </c>
      <c r="AB2381" s="102">
        <v>0</v>
      </c>
      <c r="AC2381" s="81">
        <f t="shared" si="114"/>
        <v>0</v>
      </c>
      <c r="AD2381" s="82">
        <f t="shared" si="115"/>
        <v>0</v>
      </c>
      <c r="AE2381" s="218">
        <v>0</v>
      </c>
      <c r="AF2381">
        <v>0</v>
      </c>
      <c r="AH2381" t="str">
        <f t="shared" si="116"/>
        <v>DalsinghSarai</v>
      </c>
      <c r="AJ2381" s="72">
        <v>0</v>
      </c>
      <c r="AK2381" s="72"/>
      <c r="AL2381" s="72"/>
      <c r="AM2381" s="72"/>
    </row>
    <row r="2382" spans="1:39" x14ac:dyDescent="0.25">
      <c r="A2382" s="37" t="s">
        <v>62</v>
      </c>
      <c r="B2382" s="66" t="s">
        <v>1629</v>
      </c>
      <c r="C2382" s="41">
        <v>1012</v>
      </c>
      <c r="D2382" s="41" t="s">
        <v>314</v>
      </c>
      <c r="E2382" s="41">
        <v>10120104</v>
      </c>
      <c r="F2382" s="85" t="s">
        <v>667</v>
      </c>
      <c r="G2382" s="39" t="s">
        <v>93</v>
      </c>
      <c r="H2382" s="52" t="s">
        <v>94</v>
      </c>
      <c r="I2382" s="52">
        <v>801.82999999999993</v>
      </c>
      <c r="J2382" s="49">
        <v>31094.17</v>
      </c>
      <c r="K2382" s="58">
        <v>282</v>
      </c>
      <c r="L2382" s="58">
        <v>11114.709487200002</v>
      </c>
      <c r="M2382" s="58">
        <v>544.5</v>
      </c>
      <c r="N2382" s="58">
        <v>21482.144897400001</v>
      </c>
      <c r="O2382" s="58">
        <v>826.5</v>
      </c>
      <c r="P2382" s="53">
        <v>32596.854384600003</v>
      </c>
      <c r="Q2382" s="65">
        <v>31094.17</v>
      </c>
      <c r="R2382" s="65">
        <v>0</v>
      </c>
      <c r="S2382" s="65">
        <v>0</v>
      </c>
      <c r="T2382" s="65">
        <v>1502.6843846000047</v>
      </c>
      <c r="U2382" s="58">
        <v>2700</v>
      </c>
      <c r="V2382" s="65">
        <v>0</v>
      </c>
      <c r="W2382" s="65">
        <v>0</v>
      </c>
      <c r="X2382" s="65">
        <v>6912</v>
      </c>
      <c r="Y2382" s="65">
        <v>21482</v>
      </c>
      <c r="Z2382" s="51">
        <v>0</v>
      </c>
      <c r="AA2382" s="51">
        <v>0</v>
      </c>
      <c r="AB2382" s="102">
        <v>0</v>
      </c>
      <c r="AC2382" s="81">
        <f t="shared" si="114"/>
        <v>0</v>
      </c>
      <c r="AD2382" s="82">
        <f t="shared" si="115"/>
        <v>0</v>
      </c>
      <c r="AE2382" s="218">
        <v>-4.8326885219962611E-2</v>
      </c>
      <c r="AF2382">
        <v>5</v>
      </c>
      <c r="AH2382" t="str">
        <f t="shared" si="116"/>
        <v>DalsinghSarai</v>
      </c>
      <c r="AJ2382" s="72">
        <v>0</v>
      </c>
      <c r="AK2382" s="72"/>
      <c r="AL2382" s="72"/>
      <c r="AM2382" s="72"/>
    </row>
    <row r="2383" spans="1:39" x14ac:dyDescent="0.25">
      <c r="A2383" s="37" t="s">
        <v>62</v>
      </c>
      <c r="B2383" s="66" t="s">
        <v>1629</v>
      </c>
      <c r="C2383" s="41">
        <v>1012</v>
      </c>
      <c r="D2383" s="41" t="s">
        <v>314</v>
      </c>
      <c r="E2383" s="41">
        <v>10120106</v>
      </c>
      <c r="F2383" s="85" t="s">
        <v>660</v>
      </c>
      <c r="G2383" s="39" t="s">
        <v>635</v>
      </c>
      <c r="H2383" s="52" t="s">
        <v>99</v>
      </c>
      <c r="I2383" s="52">
        <v>1132</v>
      </c>
      <c r="J2383" s="49">
        <v>41320.28</v>
      </c>
      <c r="K2383" s="58">
        <v>0</v>
      </c>
      <c r="L2383" s="58">
        <v>0</v>
      </c>
      <c r="M2383" s="58">
        <v>0</v>
      </c>
      <c r="N2383" s="58">
        <v>0</v>
      </c>
      <c r="O2383" s="58">
        <v>0</v>
      </c>
      <c r="P2383" s="53">
        <v>0</v>
      </c>
      <c r="Q2383" s="65">
        <v>41320.28</v>
      </c>
      <c r="R2383" s="65">
        <v>0</v>
      </c>
      <c r="S2383" s="65">
        <v>0</v>
      </c>
      <c r="T2383" s="65">
        <v>0</v>
      </c>
      <c r="U2383" s="58">
        <v>0</v>
      </c>
      <c r="V2383" s="65">
        <v>0</v>
      </c>
      <c r="W2383" s="65">
        <v>0</v>
      </c>
      <c r="X2383" s="65">
        <v>0</v>
      </c>
      <c r="Y2383" s="65">
        <v>0</v>
      </c>
      <c r="Z2383" s="51">
        <v>41320.28</v>
      </c>
      <c r="AA2383" s="51">
        <v>0</v>
      </c>
      <c r="AB2383" s="102">
        <v>0</v>
      </c>
      <c r="AC2383" s="81">
        <f t="shared" si="114"/>
        <v>0</v>
      </c>
      <c r="AD2383" s="82">
        <f t="shared" si="115"/>
        <v>0</v>
      </c>
      <c r="AE2383" s="218">
        <v>0</v>
      </c>
      <c r="AF2383">
        <v>0</v>
      </c>
      <c r="AH2383" t="str">
        <f t="shared" si="116"/>
        <v>DalsinghSarai</v>
      </c>
      <c r="AJ2383" s="72">
        <v>0</v>
      </c>
      <c r="AK2383" s="72"/>
      <c r="AL2383" s="72"/>
      <c r="AM2383" s="72"/>
    </row>
    <row r="2384" spans="1:39" x14ac:dyDescent="0.25">
      <c r="A2384" s="37" t="s">
        <v>62</v>
      </c>
      <c r="B2384" s="66" t="s">
        <v>1629</v>
      </c>
      <c r="C2384" s="41">
        <v>1012</v>
      </c>
      <c r="D2384" s="41" t="s">
        <v>314</v>
      </c>
      <c r="E2384" s="41">
        <v>10120107</v>
      </c>
      <c r="F2384" s="85" t="s">
        <v>668</v>
      </c>
      <c r="G2384" s="39" t="s">
        <v>93</v>
      </c>
      <c r="H2384" s="52" t="s">
        <v>94</v>
      </c>
      <c r="I2384" s="52">
        <v>898.18000000000006</v>
      </c>
      <c r="J2384" s="49">
        <v>32864.480000000003</v>
      </c>
      <c r="K2384" s="58">
        <v>898.87</v>
      </c>
      <c r="L2384" s="58">
        <v>33163.052191572606</v>
      </c>
      <c r="M2384" s="58">
        <v>0</v>
      </c>
      <c r="N2384" s="58">
        <v>0</v>
      </c>
      <c r="O2384" s="58">
        <v>898.87</v>
      </c>
      <c r="P2384" s="53">
        <v>33163.052191572606</v>
      </c>
      <c r="Q2384" s="65">
        <v>32864.480000000003</v>
      </c>
      <c r="R2384" s="65">
        <v>0</v>
      </c>
      <c r="S2384" s="65">
        <v>0</v>
      </c>
      <c r="T2384" s="65">
        <v>298.57219157260261</v>
      </c>
      <c r="U2384" s="58">
        <v>0</v>
      </c>
      <c r="V2384" s="65">
        <v>0</v>
      </c>
      <c r="W2384" s="65">
        <v>0</v>
      </c>
      <c r="X2384" s="65">
        <v>32864</v>
      </c>
      <c r="Y2384" s="65">
        <v>0</v>
      </c>
      <c r="Z2384" s="51">
        <v>0</v>
      </c>
      <c r="AA2384" s="51">
        <v>0</v>
      </c>
      <c r="AB2384" s="102">
        <v>0</v>
      </c>
      <c r="AC2384" s="81">
        <f t="shared" si="114"/>
        <v>0</v>
      </c>
      <c r="AD2384" s="82">
        <f t="shared" si="115"/>
        <v>0</v>
      </c>
      <c r="AE2384" s="218">
        <v>-9.0849510344482125E-3</v>
      </c>
      <c r="AF2384">
        <v>1</v>
      </c>
      <c r="AH2384" t="str">
        <f t="shared" si="116"/>
        <v>DalsinghSarai</v>
      </c>
      <c r="AJ2384" s="72">
        <v>0</v>
      </c>
      <c r="AK2384" s="72"/>
      <c r="AL2384" s="72"/>
      <c r="AM2384" s="72"/>
    </row>
    <row r="2385" spans="1:39" x14ac:dyDescent="0.25">
      <c r="A2385" s="37" t="s">
        <v>62</v>
      </c>
      <c r="B2385" s="66" t="s">
        <v>1629</v>
      </c>
      <c r="C2385" s="41">
        <v>1012</v>
      </c>
      <c r="D2385" s="41" t="s">
        <v>314</v>
      </c>
      <c r="E2385" s="41">
        <v>10120108</v>
      </c>
      <c r="F2385" s="85" t="s">
        <v>1122</v>
      </c>
      <c r="G2385" s="39" t="s">
        <v>93</v>
      </c>
      <c r="H2385" s="52" t="s">
        <v>94</v>
      </c>
      <c r="I2385" s="52">
        <v>1001.6299999999999</v>
      </c>
      <c r="J2385" s="49">
        <v>38032.159999999996</v>
      </c>
      <c r="K2385" s="58">
        <v>706.7</v>
      </c>
      <c r="L2385" s="58">
        <v>29032.905454024483</v>
      </c>
      <c r="M2385" s="58">
        <v>349</v>
      </c>
      <c r="N2385" s="58">
        <v>13711.263783147802</v>
      </c>
      <c r="O2385" s="58">
        <v>1055.7</v>
      </c>
      <c r="P2385" s="53">
        <v>42744.169237172289</v>
      </c>
      <c r="Q2385" s="65">
        <v>38032.159999999996</v>
      </c>
      <c r="R2385" s="65">
        <v>0</v>
      </c>
      <c r="S2385" s="65">
        <v>0</v>
      </c>
      <c r="T2385" s="65">
        <v>4712.0092371722931</v>
      </c>
      <c r="U2385" s="58">
        <v>0</v>
      </c>
      <c r="V2385" s="65">
        <v>0</v>
      </c>
      <c r="W2385" s="65">
        <v>0</v>
      </c>
      <c r="X2385" s="65">
        <v>24322</v>
      </c>
      <c r="Y2385" s="65">
        <v>13710</v>
      </c>
      <c r="Z2385" s="51">
        <v>0</v>
      </c>
      <c r="AA2385" s="51">
        <v>0</v>
      </c>
      <c r="AB2385" s="102">
        <v>0</v>
      </c>
      <c r="AC2385" s="81">
        <f t="shared" si="114"/>
        <v>0</v>
      </c>
      <c r="AD2385" s="82">
        <f t="shared" si="115"/>
        <v>0</v>
      </c>
      <c r="AE2385" s="218">
        <v>-0.12389538845998475</v>
      </c>
      <c r="AF2385">
        <v>11</v>
      </c>
      <c r="AH2385" t="str">
        <f t="shared" si="116"/>
        <v>DalsinghSarai</v>
      </c>
      <c r="AJ2385" s="72">
        <v>0</v>
      </c>
      <c r="AK2385" s="72"/>
      <c r="AL2385" s="72"/>
      <c r="AM2385" s="72"/>
    </row>
    <row r="2386" spans="1:39" x14ac:dyDescent="0.25">
      <c r="A2386" s="37" t="s">
        <v>62</v>
      </c>
      <c r="B2386" s="66" t="s">
        <v>1629</v>
      </c>
      <c r="C2386" s="41">
        <v>1012</v>
      </c>
      <c r="D2386" s="41" t="s">
        <v>314</v>
      </c>
      <c r="E2386" s="41">
        <v>10120109</v>
      </c>
      <c r="F2386" s="85" t="s">
        <v>1498</v>
      </c>
      <c r="G2386" s="39" t="s">
        <v>635</v>
      </c>
      <c r="H2386" s="52" t="s">
        <v>99</v>
      </c>
      <c r="I2386" s="52">
        <v>1330.8200000000002</v>
      </c>
      <c r="J2386" s="49">
        <v>47014.020000000004</v>
      </c>
      <c r="K2386" s="58">
        <v>0</v>
      </c>
      <c r="L2386" s="58">
        <v>0</v>
      </c>
      <c r="M2386" s="58">
        <v>0</v>
      </c>
      <c r="N2386" s="58">
        <v>0</v>
      </c>
      <c r="O2386" s="58">
        <v>0</v>
      </c>
      <c r="P2386" s="53">
        <v>0</v>
      </c>
      <c r="Q2386" s="65">
        <v>47014.020000000004</v>
      </c>
      <c r="R2386" s="65">
        <v>0</v>
      </c>
      <c r="S2386" s="65">
        <v>0</v>
      </c>
      <c r="T2386" s="65">
        <v>0</v>
      </c>
      <c r="U2386" s="58">
        <v>4050</v>
      </c>
      <c r="V2386" s="65">
        <v>0</v>
      </c>
      <c r="W2386" s="65">
        <v>0</v>
      </c>
      <c r="X2386" s="65">
        <v>0</v>
      </c>
      <c r="Y2386" s="65">
        <v>0</v>
      </c>
      <c r="Z2386" s="51">
        <v>42964.020000000004</v>
      </c>
      <c r="AA2386" s="51">
        <v>0</v>
      </c>
      <c r="AB2386" s="102">
        <v>0</v>
      </c>
      <c r="AC2386" s="81">
        <f t="shared" si="114"/>
        <v>0</v>
      </c>
      <c r="AD2386" s="82">
        <f t="shared" si="115"/>
        <v>0</v>
      </c>
      <c r="AE2386" s="218">
        <v>0</v>
      </c>
      <c r="AF2386">
        <v>0</v>
      </c>
      <c r="AH2386" t="str">
        <f t="shared" si="116"/>
        <v>DalsinghSarai</v>
      </c>
      <c r="AJ2386" s="72">
        <v>0</v>
      </c>
      <c r="AK2386" s="72"/>
      <c r="AL2386" s="72"/>
      <c r="AM2386" s="72"/>
    </row>
    <row r="2387" spans="1:39" x14ac:dyDescent="0.25">
      <c r="A2387" s="37" t="s">
        <v>62</v>
      </c>
      <c r="B2387" s="66" t="s">
        <v>1629</v>
      </c>
      <c r="C2387" s="41">
        <v>1012</v>
      </c>
      <c r="D2387" s="41" t="s">
        <v>314</v>
      </c>
      <c r="E2387" s="41">
        <v>10120110</v>
      </c>
      <c r="F2387" s="85" t="s">
        <v>1268</v>
      </c>
      <c r="G2387" s="39" t="s">
        <v>635</v>
      </c>
      <c r="H2387" s="52" t="s">
        <v>99</v>
      </c>
      <c r="I2387" s="52">
        <v>691.91000000000008</v>
      </c>
      <c r="J2387" s="49">
        <v>26981.79</v>
      </c>
      <c r="K2387" s="58">
        <v>0</v>
      </c>
      <c r="L2387" s="58">
        <v>0</v>
      </c>
      <c r="M2387" s="58">
        <v>0</v>
      </c>
      <c r="N2387" s="58">
        <v>0</v>
      </c>
      <c r="O2387" s="58">
        <v>0</v>
      </c>
      <c r="P2387" s="53">
        <v>0</v>
      </c>
      <c r="Q2387" s="65">
        <v>26981.79</v>
      </c>
      <c r="R2387" s="65">
        <v>0</v>
      </c>
      <c r="S2387" s="65">
        <v>0</v>
      </c>
      <c r="T2387" s="65">
        <v>0</v>
      </c>
      <c r="U2387" s="58">
        <v>0</v>
      </c>
      <c r="V2387" s="65">
        <v>0</v>
      </c>
      <c r="W2387" s="65">
        <v>0</v>
      </c>
      <c r="X2387" s="65">
        <v>0</v>
      </c>
      <c r="Y2387" s="65">
        <v>0</v>
      </c>
      <c r="Z2387" s="51">
        <v>26981.79</v>
      </c>
      <c r="AA2387" s="51">
        <v>0</v>
      </c>
      <c r="AB2387" s="102">
        <v>0</v>
      </c>
      <c r="AC2387" s="81">
        <f t="shared" si="114"/>
        <v>6.3095686173056222</v>
      </c>
      <c r="AD2387" s="82">
        <f t="shared" si="115"/>
        <v>98.844285714285732</v>
      </c>
      <c r="AE2387" s="218">
        <v>0</v>
      </c>
      <c r="AF2387">
        <v>0</v>
      </c>
      <c r="AH2387" t="str">
        <f t="shared" si="116"/>
        <v>DalsinghSarai</v>
      </c>
      <c r="AJ2387" s="72">
        <v>0</v>
      </c>
      <c r="AK2387" s="72"/>
      <c r="AL2387" s="72"/>
      <c r="AM2387" s="72"/>
    </row>
    <row r="2388" spans="1:39" x14ac:dyDescent="0.25">
      <c r="A2388" s="37" t="s">
        <v>62</v>
      </c>
      <c r="B2388" s="66" t="s">
        <v>1629</v>
      </c>
      <c r="C2388" s="41">
        <v>1012</v>
      </c>
      <c r="D2388" s="41" t="s">
        <v>314</v>
      </c>
      <c r="E2388" s="41">
        <v>10120111</v>
      </c>
      <c r="F2388" s="85" t="s">
        <v>1176</v>
      </c>
      <c r="G2388" s="39" t="s">
        <v>93</v>
      </c>
      <c r="H2388" s="52" t="s">
        <v>94</v>
      </c>
      <c r="I2388" s="52">
        <v>1263.1200000000001</v>
      </c>
      <c r="J2388" s="49">
        <v>48026.79</v>
      </c>
      <c r="K2388" s="58">
        <v>246.56</v>
      </c>
      <c r="L2388" s="58">
        <v>9401.835214032566</v>
      </c>
      <c r="M2388" s="58">
        <v>1016.5600000000001</v>
      </c>
      <c r="N2388" s="58">
        <v>38618.573626458005</v>
      </c>
      <c r="O2388" s="58">
        <v>1263.1200000000001</v>
      </c>
      <c r="P2388" s="53">
        <v>48020.408840490571</v>
      </c>
      <c r="Q2388" s="65">
        <v>48020.408840490571</v>
      </c>
      <c r="R2388" s="65">
        <v>0</v>
      </c>
      <c r="S2388" s="65">
        <v>0</v>
      </c>
      <c r="T2388" s="65">
        <v>0</v>
      </c>
      <c r="U2388" s="58">
        <v>0</v>
      </c>
      <c r="V2388" s="65">
        <v>0</v>
      </c>
      <c r="W2388" s="65">
        <v>0</v>
      </c>
      <c r="X2388" s="65">
        <v>9402</v>
      </c>
      <c r="Y2388" s="65">
        <v>38618</v>
      </c>
      <c r="Z2388" s="51">
        <v>0</v>
      </c>
      <c r="AA2388" s="51">
        <v>7</v>
      </c>
      <c r="AB2388" s="102">
        <v>0</v>
      </c>
      <c r="AC2388" s="81">
        <f t="shared" si="114"/>
        <v>0</v>
      </c>
      <c r="AD2388" s="82">
        <f t="shared" si="115"/>
        <v>0</v>
      </c>
      <c r="AE2388" s="218">
        <v>1.3286666690466489E-4</v>
      </c>
      <c r="AF2388">
        <v>10</v>
      </c>
      <c r="AH2388" t="str">
        <f t="shared" si="116"/>
        <v>DalsinghSarai</v>
      </c>
      <c r="AJ2388" s="72">
        <v>0</v>
      </c>
      <c r="AK2388" s="72"/>
      <c r="AL2388" s="72"/>
      <c r="AM2388" s="72"/>
    </row>
    <row r="2389" spans="1:39" x14ac:dyDescent="0.25">
      <c r="A2389" s="37" t="s">
        <v>62</v>
      </c>
      <c r="B2389" s="66" t="s">
        <v>1629</v>
      </c>
      <c r="C2389" s="41">
        <v>1012</v>
      </c>
      <c r="D2389" s="41" t="s">
        <v>314</v>
      </c>
      <c r="E2389" s="41">
        <v>10120113</v>
      </c>
      <c r="F2389" s="85" t="s">
        <v>1260</v>
      </c>
      <c r="G2389" s="39" t="s">
        <v>93</v>
      </c>
      <c r="H2389" s="52" t="s">
        <v>94</v>
      </c>
      <c r="I2389" s="52">
        <v>49.480000000000004</v>
      </c>
      <c r="J2389" s="49">
        <v>1864.7400000000002</v>
      </c>
      <c r="K2389" s="58">
        <v>49.97</v>
      </c>
      <c r="L2389" s="58">
        <v>2036.1943463400003</v>
      </c>
      <c r="M2389" s="58">
        <v>0.17</v>
      </c>
      <c r="N2389" s="58">
        <v>6.7770707400000019</v>
      </c>
      <c r="O2389" s="58">
        <v>50.14</v>
      </c>
      <c r="P2389" s="53">
        <v>2042.9714170800003</v>
      </c>
      <c r="Q2389" s="65">
        <v>1864.7400000000002</v>
      </c>
      <c r="R2389" s="65">
        <v>0</v>
      </c>
      <c r="S2389" s="65">
        <v>6.7770707400000019</v>
      </c>
      <c r="T2389" s="65">
        <v>178.23141708000003</v>
      </c>
      <c r="U2389" s="58">
        <v>0</v>
      </c>
      <c r="V2389" s="65">
        <v>0</v>
      </c>
      <c r="W2389" s="65">
        <v>0</v>
      </c>
      <c r="X2389" s="65">
        <v>1858</v>
      </c>
      <c r="Y2389" s="65">
        <v>0</v>
      </c>
      <c r="Z2389" s="51">
        <v>0</v>
      </c>
      <c r="AA2389" s="51">
        <v>0</v>
      </c>
      <c r="AB2389" s="102">
        <v>0</v>
      </c>
      <c r="AC2389" s="81">
        <f t="shared" si="114"/>
        <v>490.31958965238482</v>
      </c>
      <c r="AD2389" s="82">
        <f t="shared" si="115"/>
        <v>7.0685714285714294</v>
      </c>
      <c r="AE2389" s="218">
        <v>-9.5579768267962287E-2</v>
      </c>
      <c r="AF2389">
        <v>3</v>
      </c>
      <c r="AH2389" t="str">
        <f t="shared" si="116"/>
        <v>DalsinghSarai</v>
      </c>
      <c r="AJ2389" s="72">
        <v>0</v>
      </c>
      <c r="AK2389" s="72"/>
      <c r="AL2389" s="72"/>
      <c r="AM2389" s="72"/>
    </row>
    <row r="2390" spans="1:39" x14ac:dyDescent="0.25">
      <c r="A2390" s="37" t="s">
        <v>62</v>
      </c>
      <c r="B2390" s="66" t="s">
        <v>1629</v>
      </c>
      <c r="C2390" s="41">
        <v>1012</v>
      </c>
      <c r="D2390" s="41" t="s">
        <v>314</v>
      </c>
      <c r="E2390" s="41">
        <v>10120114</v>
      </c>
      <c r="F2390" s="85" t="s">
        <v>1217</v>
      </c>
      <c r="G2390" s="39" t="s">
        <v>93</v>
      </c>
      <c r="H2390" s="52" t="s">
        <v>94</v>
      </c>
      <c r="I2390" s="52">
        <v>125.03999999999999</v>
      </c>
      <c r="J2390" s="49">
        <v>5093.4999999999991</v>
      </c>
      <c r="K2390" s="58">
        <v>93.199999999999989</v>
      </c>
      <c r="L2390" s="58">
        <v>3926.4820563600006</v>
      </c>
      <c r="M2390" s="58">
        <v>32.900000000000006</v>
      </c>
      <c r="N2390" s="58">
        <v>1319.1121696553998</v>
      </c>
      <c r="O2390" s="58">
        <v>126.1</v>
      </c>
      <c r="P2390" s="53">
        <v>5245.5942260154006</v>
      </c>
      <c r="Q2390" s="65">
        <v>5093.4999999999991</v>
      </c>
      <c r="R2390" s="65">
        <v>0</v>
      </c>
      <c r="S2390" s="65">
        <v>0</v>
      </c>
      <c r="T2390" s="65">
        <v>152.09422601540155</v>
      </c>
      <c r="U2390" s="58">
        <v>0</v>
      </c>
      <c r="V2390" s="65">
        <v>0</v>
      </c>
      <c r="W2390" s="65">
        <v>0</v>
      </c>
      <c r="X2390" s="65">
        <v>3774</v>
      </c>
      <c r="Y2390" s="65">
        <v>1319</v>
      </c>
      <c r="Z2390" s="51">
        <v>0</v>
      </c>
      <c r="AA2390" s="51">
        <v>0</v>
      </c>
      <c r="AB2390" s="102">
        <v>0</v>
      </c>
      <c r="AC2390" s="81">
        <f t="shared" si="114"/>
        <v>468.4195073576455</v>
      </c>
      <c r="AD2390" s="82">
        <f t="shared" si="115"/>
        <v>17.862857142857141</v>
      </c>
      <c r="AE2390" s="218">
        <v>-2.986045470018682E-2</v>
      </c>
      <c r="AF2390">
        <v>4</v>
      </c>
      <c r="AH2390" t="str">
        <f t="shared" si="116"/>
        <v>DalsinghSarai</v>
      </c>
      <c r="AJ2390" s="72">
        <v>0</v>
      </c>
      <c r="AK2390" s="72"/>
      <c r="AL2390" s="72"/>
      <c r="AM2390" s="72"/>
    </row>
    <row r="2391" spans="1:39" x14ac:dyDescent="0.25">
      <c r="A2391" s="37" t="s">
        <v>62</v>
      </c>
      <c r="B2391" s="66" t="s">
        <v>1629</v>
      </c>
      <c r="C2391" s="41">
        <v>1012</v>
      </c>
      <c r="D2391" s="41" t="s">
        <v>314</v>
      </c>
      <c r="E2391" s="41">
        <v>10120115</v>
      </c>
      <c r="F2391" s="85" t="s">
        <v>1223</v>
      </c>
      <c r="G2391" s="39" t="s">
        <v>635</v>
      </c>
      <c r="H2391" s="52" t="s">
        <v>99</v>
      </c>
      <c r="I2391" s="52">
        <v>1136.7900000000002</v>
      </c>
      <c r="J2391" s="49">
        <v>40396.339999999997</v>
      </c>
      <c r="K2391" s="58">
        <v>0</v>
      </c>
      <c r="L2391" s="58">
        <v>0</v>
      </c>
      <c r="M2391" s="58">
        <v>0</v>
      </c>
      <c r="N2391" s="58">
        <v>0</v>
      </c>
      <c r="O2391" s="58">
        <v>0</v>
      </c>
      <c r="P2391" s="53">
        <v>0</v>
      </c>
      <c r="Q2391" s="65">
        <v>40396.339999999997</v>
      </c>
      <c r="R2391" s="65">
        <v>0</v>
      </c>
      <c r="S2391" s="65">
        <v>0</v>
      </c>
      <c r="T2391" s="65">
        <v>0</v>
      </c>
      <c r="U2391" s="58">
        <v>0</v>
      </c>
      <c r="V2391" s="65">
        <v>0</v>
      </c>
      <c r="W2391" s="65">
        <v>0</v>
      </c>
      <c r="X2391" s="65">
        <v>0</v>
      </c>
      <c r="Y2391" s="65">
        <v>0</v>
      </c>
      <c r="Z2391" s="51">
        <v>40396.339999999997</v>
      </c>
      <c r="AA2391" s="51">
        <v>0</v>
      </c>
      <c r="AB2391" s="102">
        <v>0</v>
      </c>
      <c r="AC2391" s="81">
        <f t="shared" si="114"/>
        <v>0</v>
      </c>
      <c r="AD2391" s="82">
        <f t="shared" si="115"/>
        <v>0</v>
      </c>
      <c r="AE2391" s="218">
        <v>0</v>
      </c>
      <c r="AF2391">
        <v>0</v>
      </c>
      <c r="AH2391" t="str">
        <f t="shared" si="116"/>
        <v>DalsinghSarai</v>
      </c>
      <c r="AJ2391" s="72">
        <v>0</v>
      </c>
      <c r="AK2391" s="72"/>
      <c r="AL2391" s="72"/>
      <c r="AM2391" s="72"/>
    </row>
    <row r="2392" spans="1:39" x14ac:dyDescent="0.25">
      <c r="A2392" s="37" t="s">
        <v>62</v>
      </c>
      <c r="B2392" s="66" t="s">
        <v>1629</v>
      </c>
      <c r="C2392" s="41">
        <v>1012</v>
      </c>
      <c r="D2392" s="41" t="s">
        <v>314</v>
      </c>
      <c r="E2392" s="41">
        <v>10120116</v>
      </c>
      <c r="F2392" s="85" t="s">
        <v>1269</v>
      </c>
      <c r="G2392" s="39" t="s">
        <v>93</v>
      </c>
      <c r="H2392" s="52" t="s">
        <v>94</v>
      </c>
      <c r="I2392" s="52">
        <v>1654.37</v>
      </c>
      <c r="J2392" s="49">
        <v>66593.559999999983</v>
      </c>
      <c r="K2392" s="58">
        <v>508.79999999999995</v>
      </c>
      <c r="L2392" s="58">
        <v>18442.269039313207</v>
      </c>
      <c r="M2392" s="58">
        <v>1152.1000000000001</v>
      </c>
      <c r="N2392" s="58">
        <v>48328.348789483796</v>
      </c>
      <c r="O2392" s="58">
        <v>1660.9</v>
      </c>
      <c r="P2392" s="53">
        <v>66770.617828796996</v>
      </c>
      <c r="Q2392" s="65">
        <v>66593.559999999983</v>
      </c>
      <c r="R2392" s="65">
        <v>0</v>
      </c>
      <c r="S2392" s="65">
        <v>937.50044039239992</v>
      </c>
      <c r="T2392" s="65">
        <v>177.05782879701292</v>
      </c>
      <c r="U2392" s="58">
        <v>0</v>
      </c>
      <c r="V2392" s="65">
        <v>0</v>
      </c>
      <c r="W2392" s="65">
        <v>0</v>
      </c>
      <c r="X2392" s="65">
        <v>18263</v>
      </c>
      <c r="Y2392" s="65">
        <v>47393</v>
      </c>
      <c r="Z2392" s="51">
        <v>0</v>
      </c>
      <c r="AA2392" s="51">
        <v>0</v>
      </c>
      <c r="AB2392" s="102" t="s">
        <v>68</v>
      </c>
      <c r="AC2392" s="81">
        <f t="shared" si="114"/>
        <v>0</v>
      </c>
      <c r="AD2392" s="82">
        <f t="shared" si="115"/>
        <v>0</v>
      </c>
      <c r="AE2392" s="218">
        <v>-2.6587830534516095E-3</v>
      </c>
      <c r="AF2392">
        <v>28</v>
      </c>
      <c r="AH2392" t="str">
        <f t="shared" si="116"/>
        <v>DalsinghSarai</v>
      </c>
      <c r="AJ2392" s="72">
        <v>0</v>
      </c>
      <c r="AK2392" s="72"/>
      <c r="AL2392" s="72"/>
      <c r="AM2392" s="72"/>
    </row>
    <row r="2393" spans="1:39" x14ac:dyDescent="0.25">
      <c r="A2393" s="37" t="s">
        <v>62</v>
      </c>
      <c r="B2393" s="66" t="s">
        <v>1629</v>
      </c>
      <c r="C2393" s="41">
        <v>1012</v>
      </c>
      <c r="D2393" s="41" t="s">
        <v>314</v>
      </c>
      <c r="E2393" s="41">
        <v>10120119</v>
      </c>
      <c r="F2393" s="85" t="s">
        <v>1315</v>
      </c>
      <c r="G2393" s="39" t="s">
        <v>635</v>
      </c>
      <c r="H2393" s="52" t="s">
        <v>99</v>
      </c>
      <c r="I2393" s="52">
        <v>2095</v>
      </c>
      <c r="J2393" s="49">
        <v>80629.25</v>
      </c>
      <c r="K2393" s="58">
        <v>0</v>
      </c>
      <c r="L2393" s="58">
        <v>0</v>
      </c>
      <c r="M2393" s="58">
        <v>0</v>
      </c>
      <c r="N2393" s="58">
        <v>0</v>
      </c>
      <c r="O2393" s="58">
        <v>0</v>
      </c>
      <c r="P2393" s="53">
        <v>0</v>
      </c>
      <c r="Q2393" s="65">
        <v>80629.25</v>
      </c>
      <c r="R2393" s="65">
        <v>0</v>
      </c>
      <c r="S2393" s="65">
        <v>0</v>
      </c>
      <c r="T2393" s="65">
        <v>0</v>
      </c>
      <c r="U2393" s="58">
        <v>0</v>
      </c>
      <c r="V2393" s="65">
        <v>0</v>
      </c>
      <c r="W2393" s="65">
        <v>0</v>
      </c>
      <c r="X2393" s="65">
        <v>0</v>
      </c>
      <c r="Y2393" s="65">
        <v>0</v>
      </c>
      <c r="Z2393" s="51">
        <v>80629.25</v>
      </c>
      <c r="AA2393" s="51">
        <v>0</v>
      </c>
      <c r="AB2393" s="102">
        <v>0</v>
      </c>
      <c r="AC2393" s="81">
        <f t="shared" si="114"/>
        <v>0</v>
      </c>
      <c r="AD2393" s="82">
        <f t="shared" si="115"/>
        <v>0</v>
      </c>
      <c r="AE2393" s="218">
        <v>0</v>
      </c>
      <c r="AF2393">
        <v>0</v>
      </c>
      <c r="AH2393" t="str">
        <f t="shared" si="116"/>
        <v>DalsinghSarai</v>
      </c>
      <c r="AJ2393" s="72">
        <v>0</v>
      </c>
      <c r="AK2393" s="72"/>
      <c r="AL2393" s="72"/>
      <c r="AM2393" s="72"/>
    </row>
    <row r="2394" spans="1:39" x14ac:dyDescent="0.25">
      <c r="A2394" s="37" t="s">
        <v>62</v>
      </c>
      <c r="B2394" s="66" t="s">
        <v>1629</v>
      </c>
      <c r="C2394" s="41">
        <v>1012</v>
      </c>
      <c r="D2394" s="41" t="s">
        <v>314</v>
      </c>
      <c r="E2394" s="41">
        <v>10120120</v>
      </c>
      <c r="F2394" s="85" t="s">
        <v>1424</v>
      </c>
      <c r="G2394" s="39" t="s">
        <v>93</v>
      </c>
      <c r="H2394" s="52" t="s">
        <v>94</v>
      </c>
      <c r="I2394" s="52">
        <v>286.14</v>
      </c>
      <c r="J2394" s="49">
        <v>10387.02</v>
      </c>
      <c r="K2394" s="58">
        <v>283.02999999999997</v>
      </c>
      <c r="L2394" s="58">
        <v>10274.1515784072</v>
      </c>
      <c r="M2394" s="58">
        <v>3.2</v>
      </c>
      <c r="N2394" s="58">
        <v>91.436260608000026</v>
      </c>
      <c r="O2394" s="58">
        <v>286.22999999999996</v>
      </c>
      <c r="P2394" s="53">
        <v>10365.587839015199</v>
      </c>
      <c r="Q2394" s="65">
        <v>10365.587839015199</v>
      </c>
      <c r="R2394" s="65">
        <v>0</v>
      </c>
      <c r="S2394" s="65">
        <v>0</v>
      </c>
      <c r="T2394" s="65">
        <v>0</v>
      </c>
      <c r="U2394" s="58">
        <v>0</v>
      </c>
      <c r="V2394" s="65">
        <v>0</v>
      </c>
      <c r="W2394" s="65">
        <v>0</v>
      </c>
      <c r="X2394" s="65">
        <v>10274</v>
      </c>
      <c r="Y2394" s="65">
        <v>92</v>
      </c>
      <c r="Z2394" s="51">
        <v>0</v>
      </c>
      <c r="AA2394" s="51">
        <v>21</v>
      </c>
      <c r="AB2394" s="102" t="s">
        <v>68</v>
      </c>
      <c r="AC2394" s="81">
        <f t="shared" si="114"/>
        <v>300.46635193961004</v>
      </c>
      <c r="AD2394" s="82">
        <f t="shared" si="115"/>
        <v>40.877142857142857</v>
      </c>
      <c r="AE2394" s="218">
        <v>2.0633599420046517E-3</v>
      </c>
      <c r="AF2394">
        <v>4</v>
      </c>
      <c r="AH2394" t="str">
        <f t="shared" si="116"/>
        <v>DalsinghSarai</v>
      </c>
      <c r="AJ2394" s="72">
        <v>0</v>
      </c>
      <c r="AK2394" s="72"/>
      <c r="AL2394" s="72"/>
      <c r="AM2394" s="72"/>
    </row>
    <row r="2395" spans="1:39" x14ac:dyDescent="0.25">
      <c r="A2395" s="37" t="s">
        <v>62</v>
      </c>
      <c r="B2395" s="66" t="s">
        <v>1629</v>
      </c>
      <c r="C2395" s="41">
        <v>1012</v>
      </c>
      <c r="D2395" s="41" t="s">
        <v>314</v>
      </c>
      <c r="E2395" s="41">
        <v>10120122</v>
      </c>
      <c r="F2395" s="85" t="s">
        <v>1362</v>
      </c>
      <c r="G2395" s="39" t="s">
        <v>93</v>
      </c>
      <c r="H2395" s="52" t="s">
        <v>94</v>
      </c>
      <c r="I2395" s="52">
        <v>1154.3899999999996</v>
      </c>
      <c r="J2395" s="49">
        <v>49164.100000000006</v>
      </c>
      <c r="K2395" s="58">
        <v>620.71</v>
      </c>
      <c r="L2395" s="58">
        <v>30480.565154301079</v>
      </c>
      <c r="M2395" s="58">
        <v>553.68000000000006</v>
      </c>
      <c r="N2395" s="58">
        <v>22745.722643659399</v>
      </c>
      <c r="O2395" s="58">
        <v>1174.3900000000001</v>
      </c>
      <c r="P2395" s="53">
        <v>53226.287797960482</v>
      </c>
      <c r="Q2395" s="65">
        <v>49164.100000000006</v>
      </c>
      <c r="R2395" s="65">
        <v>0</v>
      </c>
      <c r="S2395" s="65">
        <v>0</v>
      </c>
      <c r="T2395" s="65">
        <v>4062.187797960476</v>
      </c>
      <c r="U2395" s="58">
        <v>0</v>
      </c>
      <c r="V2395" s="65">
        <v>0</v>
      </c>
      <c r="W2395" s="65">
        <v>0</v>
      </c>
      <c r="X2395" s="65">
        <v>28946</v>
      </c>
      <c r="Y2395" s="65">
        <v>20218</v>
      </c>
      <c r="Z2395" s="51">
        <v>0</v>
      </c>
      <c r="AA2395" s="51">
        <v>0</v>
      </c>
      <c r="AB2395" s="102" t="s">
        <v>68</v>
      </c>
      <c r="AC2395" s="81">
        <f t="shared" si="114"/>
        <v>0</v>
      </c>
      <c r="AD2395" s="82">
        <f t="shared" si="115"/>
        <v>0</v>
      </c>
      <c r="AE2395" s="218">
        <v>-8.2625082081447143E-2</v>
      </c>
      <c r="AF2395">
        <v>23</v>
      </c>
      <c r="AH2395" t="str">
        <f t="shared" si="116"/>
        <v>DalsinghSarai</v>
      </c>
      <c r="AJ2395" s="72">
        <v>0</v>
      </c>
      <c r="AK2395" s="72"/>
      <c r="AL2395" s="72"/>
      <c r="AM2395" s="72"/>
    </row>
    <row r="2396" spans="1:39" x14ac:dyDescent="0.25">
      <c r="A2396" s="37" t="s">
        <v>62</v>
      </c>
      <c r="B2396" s="66" t="s">
        <v>1629</v>
      </c>
      <c r="C2396" s="41">
        <v>1012</v>
      </c>
      <c r="D2396" s="41" t="s">
        <v>314</v>
      </c>
      <c r="E2396" s="41">
        <v>10120123</v>
      </c>
      <c r="F2396" s="85" t="s">
        <v>1425</v>
      </c>
      <c r="G2396" s="39" t="s">
        <v>93</v>
      </c>
      <c r="H2396" s="52" t="s">
        <v>94</v>
      </c>
      <c r="I2396" s="52">
        <v>746.28</v>
      </c>
      <c r="J2396" s="49">
        <v>26959.15</v>
      </c>
      <c r="K2396" s="58">
        <v>471.18</v>
      </c>
      <c r="L2396" s="58">
        <v>17971.13151063256</v>
      </c>
      <c r="M2396" s="58">
        <v>285.95999999999998</v>
      </c>
      <c r="N2396" s="58">
        <v>9865.465297023602</v>
      </c>
      <c r="O2396" s="58">
        <v>757.14</v>
      </c>
      <c r="P2396" s="53">
        <v>27836.596807656162</v>
      </c>
      <c r="Q2396" s="65">
        <v>26959.15</v>
      </c>
      <c r="R2396" s="65">
        <v>0</v>
      </c>
      <c r="S2396" s="65">
        <v>111.29912964720002</v>
      </c>
      <c r="T2396" s="65">
        <v>877.44680765616067</v>
      </c>
      <c r="U2396" s="58">
        <v>1350</v>
      </c>
      <c r="V2396" s="65">
        <v>0</v>
      </c>
      <c r="W2396" s="65">
        <v>0</v>
      </c>
      <c r="X2396" s="65">
        <v>15744</v>
      </c>
      <c r="Y2396" s="65">
        <v>9754</v>
      </c>
      <c r="Z2396" s="51">
        <v>0</v>
      </c>
      <c r="AA2396" s="51">
        <v>0</v>
      </c>
      <c r="AB2396" s="102">
        <v>0</v>
      </c>
      <c r="AC2396" s="81">
        <f t="shared" si="114"/>
        <v>0</v>
      </c>
      <c r="AD2396" s="82">
        <f t="shared" si="115"/>
        <v>0</v>
      </c>
      <c r="AE2396" s="218">
        <v>-3.2547272731379168E-2</v>
      </c>
      <c r="AF2396">
        <v>18</v>
      </c>
      <c r="AH2396" t="str">
        <f t="shared" si="116"/>
        <v>DalsinghSarai</v>
      </c>
      <c r="AJ2396" s="72">
        <v>0</v>
      </c>
      <c r="AK2396" s="72"/>
      <c r="AL2396" s="72"/>
      <c r="AM2396" s="72"/>
    </row>
    <row r="2397" spans="1:39" x14ac:dyDescent="0.25">
      <c r="A2397" s="37" t="s">
        <v>62</v>
      </c>
      <c r="B2397" s="66" t="s">
        <v>1629</v>
      </c>
      <c r="C2397" s="41">
        <v>1013</v>
      </c>
      <c r="D2397" s="41" t="s">
        <v>351</v>
      </c>
      <c r="E2397" s="41">
        <v>10130001</v>
      </c>
      <c r="F2397" s="85" t="s">
        <v>352</v>
      </c>
      <c r="G2397" s="39" t="s">
        <v>93</v>
      </c>
      <c r="H2397" s="52" t="s">
        <v>94</v>
      </c>
      <c r="I2397" s="52">
        <v>761.3</v>
      </c>
      <c r="J2397" s="49">
        <v>27729.18</v>
      </c>
      <c r="K2397" s="58">
        <v>110.49999999999999</v>
      </c>
      <c r="L2397" s="58">
        <v>3921.0686368919996</v>
      </c>
      <c r="M2397" s="58">
        <v>648.79999999999995</v>
      </c>
      <c r="N2397" s="58">
        <v>23565.084184422001</v>
      </c>
      <c r="O2397" s="58">
        <v>759.3</v>
      </c>
      <c r="P2397" s="53">
        <v>27486.152821314001</v>
      </c>
      <c r="Q2397" s="65">
        <v>27486.152821314001</v>
      </c>
      <c r="R2397" s="65">
        <v>0</v>
      </c>
      <c r="S2397" s="65">
        <v>254.743296192</v>
      </c>
      <c r="T2397" s="65">
        <v>0</v>
      </c>
      <c r="U2397" s="58">
        <v>0</v>
      </c>
      <c r="V2397" s="65">
        <v>0</v>
      </c>
      <c r="W2397" s="65">
        <v>0</v>
      </c>
      <c r="X2397" s="65">
        <v>3921</v>
      </c>
      <c r="Y2397" s="65">
        <v>23309</v>
      </c>
      <c r="Z2397" s="51">
        <v>0</v>
      </c>
      <c r="AA2397" s="51">
        <v>244</v>
      </c>
      <c r="AB2397" s="102">
        <v>0</v>
      </c>
      <c r="AC2397" s="81">
        <f t="shared" si="114"/>
        <v>0</v>
      </c>
      <c r="AD2397" s="82">
        <f t="shared" si="115"/>
        <v>0</v>
      </c>
      <c r="AE2397" s="218">
        <v>8.7643117714263242E-3</v>
      </c>
      <c r="AF2397">
        <v>13</v>
      </c>
      <c r="AH2397" t="str">
        <f t="shared" si="116"/>
        <v>Musrigharari</v>
      </c>
      <c r="AJ2397" s="72">
        <v>0</v>
      </c>
      <c r="AK2397" s="72"/>
      <c r="AL2397" s="72"/>
      <c r="AM2397" s="72"/>
    </row>
    <row r="2398" spans="1:39" x14ac:dyDescent="0.25">
      <c r="A2398" s="37" t="s">
        <v>62</v>
      </c>
      <c r="B2398" s="66" t="s">
        <v>1629</v>
      </c>
      <c r="C2398" s="41">
        <v>1013</v>
      </c>
      <c r="D2398" s="41" t="s">
        <v>351</v>
      </c>
      <c r="E2398" s="41">
        <v>10130002</v>
      </c>
      <c r="F2398" s="85" t="s">
        <v>353</v>
      </c>
      <c r="G2398" s="39" t="s">
        <v>635</v>
      </c>
      <c r="H2398" s="52" t="s">
        <v>99</v>
      </c>
      <c r="I2398" s="52">
        <v>116.69999999999999</v>
      </c>
      <c r="J2398" s="49">
        <v>3643.45</v>
      </c>
      <c r="K2398" s="58">
        <v>0</v>
      </c>
      <c r="L2398" s="58">
        <v>0</v>
      </c>
      <c r="M2398" s="58">
        <v>0</v>
      </c>
      <c r="N2398" s="58">
        <v>0</v>
      </c>
      <c r="O2398" s="58">
        <v>0</v>
      </c>
      <c r="P2398" s="53">
        <v>0</v>
      </c>
      <c r="Q2398" s="65">
        <v>3643.45</v>
      </c>
      <c r="R2398" s="65">
        <v>0</v>
      </c>
      <c r="S2398" s="65">
        <v>0</v>
      </c>
      <c r="T2398" s="65">
        <v>0</v>
      </c>
      <c r="U2398" s="58">
        <v>0</v>
      </c>
      <c r="V2398" s="65">
        <v>0</v>
      </c>
      <c r="W2398" s="65">
        <v>0</v>
      </c>
      <c r="X2398" s="65">
        <v>0</v>
      </c>
      <c r="Y2398" s="65">
        <v>0</v>
      </c>
      <c r="Z2398" s="51">
        <v>3643.45</v>
      </c>
      <c r="AA2398" s="51">
        <v>0</v>
      </c>
      <c r="AB2398" s="102">
        <v>0</v>
      </c>
      <c r="AC2398" s="81">
        <f t="shared" si="114"/>
        <v>364.22011739502994</v>
      </c>
      <c r="AD2398" s="82">
        <f t="shared" si="115"/>
        <v>16.671428571428571</v>
      </c>
      <c r="AE2398" s="218">
        <v>0</v>
      </c>
      <c r="AF2398">
        <v>0</v>
      </c>
      <c r="AH2398" t="str">
        <f t="shared" si="116"/>
        <v>Musrigharari</v>
      </c>
      <c r="AJ2398" s="72">
        <v>0</v>
      </c>
      <c r="AK2398" s="72"/>
      <c r="AL2398" s="72"/>
      <c r="AM2398" s="72"/>
    </row>
    <row r="2399" spans="1:39" x14ac:dyDescent="0.25">
      <c r="A2399" s="37" t="s">
        <v>62</v>
      </c>
      <c r="B2399" s="66" t="s">
        <v>1629</v>
      </c>
      <c r="C2399" s="41">
        <v>1013</v>
      </c>
      <c r="D2399" s="41" t="s">
        <v>351</v>
      </c>
      <c r="E2399" s="41">
        <v>10130003</v>
      </c>
      <c r="F2399" s="85" t="s">
        <v>354</v>
      </c>
      <c r="G2399" s="39" t="s">
        <v>93</v>
      </c>
      <c r="H2399" s="52" t="s">
        <v>94</v>
      </c>
      <c r="I2399" s="52">
        <v>135.79999999999998</v>
      </c>
      <c r="J2399" s="49">
        <v>4530.4100000000008</v>
      </c>
      <c r="K2399" s="58">
        <v>135.4</v>
      </c>
      <c r="L2399" s="58">
        <v>4535.5034128140005</v>
      </c>
      <c r="M2399" s="58">
        <v>0.8</v>
      </c>
      <c r="N2399" s="58">
        <v>27.673309224</v>
      </c>
      <c r="O2399" s="58">
        <v>136.20000000000002</v>
      </c>
      <c r="P2399" s="53">
        <v>4563.1767220380007</v>
      </c>
      <c r="Q2399" s="65">
        <v>4530.4100000000008</v>
      </c>
      <c r="R2399" s="65">
        <v>0</v>
      </c>
      <c r="S2399" s="65">
        <v>27.673309224</v>
      </c>
      <c r="T2399" s="65">
        <v>32.766722037999898</v>
      </c>
      <c r="U2399" s="58">
        <v>0</v>
      </c>
      <c r="V2399" s="65">
        <v>0</v>
      </c>
      <c r="W2399" s="65">
        <v>0</v>
      </c>
      <c r="X2399" s="65">
        <v>4503</v>
      </c>
      <c r="Y2399" s="65">
        <v>0</v>
      </c>
      <c r="Z2399" s="51">
        <v>0</v>
      </c>
      <c r="AA2399" s="51">
        <v>0</v>
      </c>
      <c r="AB2399" s="102">
        <v>0</v>
      </c>
      <c r="AC2399" s="81">
        <f t="shared" si="114"/>
        <v>376.44437731958772</v>
      </c>
      <c r="AD2399" s="82">
        <f t="shared" si="115"/>
        <v>19.399999999999999</v>
      </c>
      <c r="AE2399" s="218">
        <v>-7.232617365315698E-3</v>
      </c>
      <c r="AF2399">
        <v>3</v>
      </c>
      <c r="AH2399" t="str">
        <f t="shared" si="116"/>
        <v>Musrigharari</v>
      </c>
      <c r="AJ2399" s="72">
        <v>0</v>
      </c>
      <c r="AK2399" s="72"/>
      <c r="AL2399" s="72"/>
      <c r="AM2399" s="72"/>
    </row>
    <row r="2400" spans="1:39" x14ac:dyDescent="0.25">
      <c r="A2400" s="37" t="s">
        <v>62</v>
      </c>
      <c r="B2400" s="66" t="s">
        <v>1629</v>
      </c>
      <c r="C2400" s="41">
        <v>1013</v>
      </c>
      <c r="D2400" s="41" t="s">
        <v>351</v>
      </c>
      <c r="E2400" s="41">
        <v>10130005</v>
      </c>
      <c r="F2400" s="85" t="s">
        <v>355</v>
      </c>
      <c r="G2400" s="39" t="s">
        <v>635</v>
      </c>
      <c r="H2400" s="52" t="s">
        <v>99</v>
      </c>
      <c r="I2400" s="52">
        <v>45.3</v>
      </c>
      <c r="J2400" s="49">
        <v>1431.35</v>
      </c>
      <c r="K2400" s="58">
        <v>0</v>
      </c>
      <c r="L2400" s="58">
        <v>0</v>
      </c>
      <c r="M2400" s="58">
        <v>0</v>
      </c>
      <c r="N2400" s="58">
        <v>0</v>
      </c>
      <c r="O2400" s="58">
        <v>0</v>
      </c>
      <c r="P2400" s="53">
        <v>0</v>
      </c>
      <c r="Q2400" s="65">
        <v>1431.35</v>
      </c>
      <c r="R2400" s="65">
        <v>0</v>
      </c>
      <c r="S2400" s="65">
        <v>0</v>
      </c>
      <c r="T2400" s="65">
        <v>0</v>
      </c>
      <c r="U2400" s="58">
        <v>0</v>
      </c>
      <c r="V2400" s="65">
        <v>0</v>
      </c>
      <c r="W2400" s="65">
        <v>0</v>
      </c>
      <c r="X2400" s="65">
        <v>0</v>
      </c>
      <c r="Y2400" s="65">
        <v>0</v>
      </c>
      <c r="Z2400" s="51">
        <v>1431.35</v>
      </c>
      <c r="AA2400" s="51">
        <v>0</v>
      </c>
      <c r="AB2400" s="102">
        <v>0</v>
      </c>
      <c r="AC2400" s="81">
        <f t="shared" si="114"/>
        <v>413.73282339955847</v>
      </c>
      <c r="AD2400" s="82">
        <f t="shared" si="115"/>
        <v>6.4714285714285706</v>
      </c>
      <c r="AE2400" s="218">
        <v>0</v>
      </c>
      <c r="AF2400">
        <v>0</v>
      </c>
      <c r="AH2400" t="str">
        <f t="shared" si="116"/>
        <v>Musrigharari</v>
      </c>
      <c r="AJ2400" s="72">
        <v>0</v>
      </c>
      <c r="AK2400" s="72"/>
      <c r="AL2400" s="72"/>
      <c r="AM2400" s="72"/>
    </row>
    <row r="2401" spans="1:39" x14ac:dyDescent="0.25">
      <c r="A2401" s="37" t="s">
        <v>62</v>
      </c>
      <c r="B2401" s="66" t="s">
        <v>1629</v>
      </c>
      <c r="C2401" s="41">
        <v>1013</v>
      </c>
      <c r="D2401" s="41" t="s">
        <v>351</v>
      </c>
      <c r="E2401" s="41">
        <v>10130006</v>
      </c>
      <c r="F2401" s="85" t="s">
        <v>356</v>
      </c>
      <c r="G2401" s="39" t="s">
        <v>93</v>
      </c>
      <c r="H2401" s="52" t="s">
        <v>94</v>
      </c>
      <c r="I2401" s="52">
        <v>510.29999999999995</v>
      </c>
      <c r="J2401" s="49">
        <v>17654.91</v>
      </c>
      <c r="K2401" s="58">
        <v>494.20000000000005</v>
      </c>
      <c r="L2401" s="58">
        <v>17685.416557512002</v>
      </c>
      <c r="M2401" s="58">
        <v>0</v>
      </c>
      <c r="N2401" s="58">
        <v>0</v>
      </c>
      <c r="O2401" s="58">
        <v>494.20000000000005</v>
      </c>
      <c r="P2401" s="53">
        <v>17685.416557512002</v>
      </c>
      <c r="Q2401" s="65">
        <v>17654.91</v>
      </c>
      <c r="R2401" s="65">
        <v>0</v>
      </c>
      <c r="S2401" s="65">
        <v>0</v>
      </c>
      <c r="T2401" s="65">
        <v>30.506557512002473</v>
      </c>
      <c r="U2401" s="58">
        <v>0</v>
      </c>
      <c r="V2401" s="65">
        <v>0</v>
      </c>
      <c r="W2401" s="65">
        <v>0</v>
      </c>
      <c r="X2401" s="65">
        <v>17655</v>
      </c>
      <c r="Y2401" s="65">
        <v>0</v>
      </c>
      <c r="Z2401" s="51">
        <v>0</v>
      </c>
      <c r="AA2401" s="51">
        <v>0</v>
      </c>
      <c r="AB2401" s="102" t="s">
        <v>68</v>
      </c>
      <c r="AC2401" s="81">
        <f t="shared" si="114"/>
        <v>131.26147078189305</v>
      </c>
      <c r="AD2401" s="82">
        <f t="shared" si="115"/>
        <v>72.899999999999991</v>
      </c>
      <c r="AE2401" s="218">
        <v>-1.7279361668794955E-3</v>
      </c>
      <c r="AF2401">
        <v>8</v>
      </c>
      <c r="AH2401" t="str">
        <f t="shared" si="116"/>
        <v>Musrigharari</v>
      </c>
      <c r="AJ2401" s="72">
        <v>0</v>
      </c>
      <c r="AK2401" s="72"/>
      <c r="AL2401" s="72"/>
      <c r="AM2401" s="72"/>
    </row>
    <row r="2402" spans="1:39" x14ac:dyDescent="0.25">
      <c r="A2402" s="37" t="s">
        <v>62</v>
      </c>
      <c r="B2402" s="66" t="s">
        <v>1629</v>
      </c>
      <c r="C2402" s="41">
        <v>1013</v>
      </c>
      <c r="D2402" s="41" t="s">
        <v>351</v>
      </c>
      <c r="E2402" s="41">
        <v>10130008</v>
      </c>
      <c r="F2402" s="85" t="s">
        <v>357</v>
      </c>
      <c r="G2402" s="39" t="s">
        <v>93</v>
      </c>
      <c r="H2402" s="52" t="s">
        <v>94</v>
      </c>
      <c r="I2402" s="52">
        <v>875.20000000000016</v>
      </c>
      <c r="J2402" s="49">
        <v>33069.71</v>
      </c>
      <c r="K2402" s="58">
        <v>845.99</v>
      </c>
      <c r="L2402" s="58">
        <v>34436.131801742064</v>
      </c>
      <c r="M2402" s="58">
        <v>53.730000000000004</v>
      </c>
      <c r="N2402" s="58">
        <v>2068.34344591838</v>
      </c>
      <c r="O2402" s="58">
        <v>899.72</v>
      </c>
      <c r="P2402" s="53">
        <v>36504.475247660441</v>
      </c>
      <c r="Q2402" s="65">
        <v>33069.71</v>
      </c>
      <c r="R2402" s="65">
        <v>0</v>
      </c>
      <c r="S2402" s="65">
        <v>388.40242870238006</v>
      </c>
      <c r="T2402" s="65">
        <v>3434.7652476604417</v>
      </c>
      <c r="U2402" s="58">
        <v>1958</v>
      </c>
      <c r="V2402" s="65">
        <v>0</v>
      </c>
      <c r="W2402" s="65">
        <v>0</v>
      </c>
      <c r="X2402" s="65">
        <v>29043</v>
      </c>
      <c r="Y2402" s="65">
        <v>1680</v>
      </c>
      <c r="Z2402" s="51">
        <v>0</v>
      </c>
      <c r="AA2402" s="51">
        <v>0</v>
      </c>
      <c r="AB2402" s="102">
        <v>0</v>
      </c>
      <c r="AC2402" s="81">
        <f t="shared" si="114"/>
        <v>0</v>
      </c>
      <c r="AD2402" s="82">
        <f t="shared" si="115"/>
        <v>0</v>
      </c>
      <c r="AE2402" s="218">
        <v>-0.1038643897288619</v>
      </c>
      <c r="AF2402">
        <v>11</v>
      </c>
      <c r="AH2402" t="str">
        <f t="shared" si="116"/>
        <v>Musrigharari</v>
      </c>
      <c r="AJ2402" s="72">
        <v>0</v>
      </c>
      <c r="AK2402" s="72"/>
      <c r="AL2402" s="72"/>
      <c r="AM2402" s="72"/>
    </row>
    <row r="2403" spans="1:39" x14ac:dyDescent="0.25">
      <c r="A2403" s="37" t="s">
        <v>62</v>
      </c>
      <c r="B2403" s="66" t="s">
        <v>1629</v>
      </c>
      <c r="C2403" s="41">
        <v>1013</v>
      </c>
      <c r="D2403" s="41" t="s">
        <v>351</v>
      </c>
      <c r="E2403" s="41">
        <v>10130012</v>
      </c>
      <c r="F2403" s="85" t="s">
        <v>358</v>
      </c>
      <c r="G2403" s="39" t="s">
        <v>93</v>
      </c>
      <c r="H2403" s="52" t="s">
        <v>94</v>
      </c>
      <c r="I2403" s="52">
        <v>3602.3999999999996</v>
      </c>
      <c r="J2403" s="49">
        <v>131660.85999999996</v>
      </c>
      <c r="K2403" s="58">
        <v>2057.5</v>
      </c>
      <c r="L2403" s="58">
        <v>75666.641309820014</v>
      </c>
      <c r="M2403" s="58">
        <v>1573.5000000000002</v>
      </c>
      <c r="N2403" s="58">
        <v>57478.499465918263</v>
      </c>
      <c r="O2403" s="58">
        <v>3631</v>
      </c>
      <c r="P2403" s="53">
        <v>133145.14077573828</v>
      </c>
      <c r="Q2403" s="65">
        <v>131660.85999999996</v>
      </c>
      <c r="R2403" s="65">
        <v>0</v>
      </c>
      <c r="S2403" s="65">
        <v>1265.2833877200001</v>
      </c>
      <c r="T2403" s="65">
        <v>1484.2807757383271</v>
      </c>
      <c r="U2403" s="58">
        <v>0</v>
      </c>
      <c r="V2403" s="65">
        <v>0</v>
      </c>
      <c r="W2403" s="65">
        <v>0</v>
      </c>
      <c r="X2403" s="65">
        <v>74180</v>
      </c>
      <c r="Y2403" s="65">
        <v>56216</v>
      </c>
      <c r="Z2403" s="51">
        <v>0</v>
      </c>
      <c r="AA2403" s="51">
        <v>0</v>
      </c>
      <c r="AB2403" s="102" t="s">
        <v>66</v>
      </c>
      <c r="AC2403" s="81">
        <f t="shared" si="114"/>
        <v>0</v>
      </c>
      <c r="AD2403" s="82">
        <f t="shared" si="115"/>
        <v>0</v>
      </c>
      <c r="AE2403" s="218">
        <v>-1.1273515726225147E-2</v>
      </c>
      <c r="AF2403">
        <v>56</v>
      </c>
      <c r="AH2403" t="str">
        <f t="shared" si="116"/>
        <v>Musrigharari</v>
      </c>
      <c r="AJ2403" s="72">
        <v>0</v>
      </c>
      <c r="AK2403" s="72"/>
      <c r="AL2403" s="72"/>
      <c r="AM2403" s="72"/>
    </row>
    <row r="2404" spans="1:39" x14ac:dyDescent="0.25">
      <c r="A2404" s="37" t="s">
        <v>62</v>
      </c>
      <c r="B2404" s="66" t="s">
        <v>1629</v>
      </c>
      <c r="C2404" s="41">
        <v>1013</v>
      </c>
      <c r="D2404" s="41" t="s">
        <v>351</v>
      </c>
      <c r="E2404" s="41">
        <v>10130015</v>
      </c>
      <c r="F2404" s="85" t="s">
        <v>359</v>
      </c>
      <c r="G2404" s="39" t="s">
        <v>635</v>
      </c>
      <c r="H2404" s="52" t="s">
        <v>99</v>
      </c>
      <c r="I2404" s="52">
        <v>604.79999999999995</v>
      </c>
      <c r="J2404" s="49">
        <v>21865.23</v>
      </c>
      <c r="K2404" s="58">
        <v>0</v>
      </c>
      <c r="L2404" s="58">
        <v>0</v>
      </c>
      <c r="M2404" s="58">
        <v>0</v>
      </c>
      <c r="N2404" s="58">
        <v>0</v>
      </c>
      <c r="O2404" s="58">
        <v>0</v>
      </c>
      <c r="P2404" s="53">
        <v>0</v>
      </c>
      <c r="Q2404" s="65">
        <v>21865.23</v>
      </c>
      <c r="R2404" s="65">
        <v>0</v>
      </c>
      <c r="S2404" s="65">
        <v>0</v>
      </c>
      <c r="T2404" s="65">
        <v>0</v>
      </c>
      <c r="U2404" s="58">
        <v>2700</v>
      </c>
      <c r="V2404" s="65">
        <v>0</v>
      </c>
      <c r="W2404" s="65">
        <v>0</v>
      </c>
      <c r="X2404" s="65">
        <v>0</v>
      </c>
      <c r="Y2404" s="65">
        <v>0</v>
      </c>
      <c r="Z2404" s="51">
        <v>19165.23</v>
      </c>
      <c r="AA2404" s="51">
        <v>0</v>
      </c>
      <c r="AB2404" s="102">
        <v>0</v>
      </c>
      <c r="AC2404" s="81">
        <f t="shared" si="114"/>
        <v>68.834983333333383</v>
      </c>
      <c r="AD2404" s="82">
        <f t="shared" si="115"/>
        <v>86.399999999999991</v>
      </c>
      <c r="AE2404" s="218">
        <v>0</v>
      </c>
      <c r="AF2404">
        <v>0</v>
      </c>
      <c r="AH2404" t="str">
        <f t="shared" si="116"/>
        <v>Musrigharari</v>
      </c>
      <c r="AJ2404" s="72">
        <v>0</v>
      </c>
      <c r="AK2404" s="72"/>
      <c r="AL2404" s="72"/>
      <c r="AM2404" s="72"/>
    </row>
    <row r="2405" spans="1:39" x14ac:dyDescent="0.25">
      <c r="A2405" s="37" t="s">
        <v>62</v>
      </c>
      <c r="B2405" s="66" t="s">
        <v>1629</v>
      </c>
      <c r="C2405" s="41">
        <v>1013</v>
      </c>
      <c r="D2405" s="41" t="s">
        <v>351</v>
      </c>
      <c r="E2405" s="41">
        <v>10130016</v>
      </c>
      <c r="F2405" s="85" t="s">
        <v>360</v>
      </c>
      <c r="G2405" s="39" t="s">
        <v>635</v>
      </c>
      <c r="H2405" s="52" t="s">
        <v>99</v>
      </c>
      <c r="I2405" s="52">
        <v>266.60000000000002</v>
      </c>
      <c r="J2405" s="49">
        <v>12148.67</v>
      </c>
      <c r="K2405" s="58">
        <v>0</v>
      </c>
      <c r="L2405" s="58">
        <v>0</v>
      </c>
      <c r="M2405" s="58">
        <v>0</v>
      </c>
      <c r="N2405" s="58">
        <v>0</v>
      </c>
      <c r="O2405" s="58">
        <v>0</v>
      </c>
      <c r="P2405" s="53">
        <v>0</v>
      </c>
      <c r="Q2405" s="65">
        <v>12148.67</v>
      </c>
      <c r="R2405" s="65">
        <v>0</v>
      </c>
      <c r="S2405" s="65">
        <v>0</v>
      </c>
      <c r="T2405" s="65">
        <v>0</v>
      </c>
      <c r="U2405" s="58">
        <v>0</v>
      </c>
      <c r="V2405" s="65">
        <v>0</v>
      </c>
      <c r="W2405" s="65">
        <v>0</v>
      </c>
      <c r="X2405" s="65">
        <v>0</v>
      </c>
      <c r="Y2405" s="65">
        <v>0</v>
      </c>
      <c r="Z2405" s="51">
        <v>12148.67</v>
      </c>
      <c r="AA2405" s="51">
        <v>0</v>
      </c>
      <c r="AB2405" s="102">
        <v>0</v>
      </c>
      <c r="AC2405" s="81">
        <f t="shared" si="114"/>
        <v>394.99126616654161</v>
      </c>
      <c r="AD2405" s="82">
        <f t="shared" si="115"/>
        <v>38.085714285714289</v>
      </c>
      <c r="AE2405" s="218">
        <v>0</v>
      </c>
      <c r="AF2405">
        <v>0</v>
      </c>
      <c r="AH2405" t="str">
        <f t="shared" si="116"/>
        <v>Musrigharari</v>
      </c>
      <c r="AJ2405" s="72">
        <v>0</v>
      </c>
      <c r="AK2405" s="72"/>
      <c r="AL2405" s="72"/>
      <c r="AM2405" s="72"/>
    </row>
    <row r="2406" spans="1:39" x14ac:dyDescent="0.25">
      <c r="A2406" s="37" t="s">
        <v>62</v>
      </c>
      <c r="B2406" s="66" t="s">
        <v>1629</v>
      </c>
      <c r="C2406" s="41">
        <v>1013</v>
      </c>
      <c r="D2406" s="41" t="s">
        <v>351</v>
      </c>
      <c r="E2406" s="41">
        <v>10130018</v>
      </c>
      <c r="F2406" s="85" t="s">
        <v>361</v>
      </c>
      <c r="G2406" s="39" t="s">
        <v>635</v>
      </c>
      <c r="H2406" s="52" t="s">
        <v>99</v>
      </c>
      <c r="I2406" s="52">
        <v>313.8</v>
      </c>
      <c r="J2406" s="49">
        <v>10389.16</v>
      </c>
      <c r="K2406" s="58">
        <v>0</v>
      </c>
      <c r="L2406" s="58">
        <v>0</v>
      </c>
      <c r="M2406" s="58">
        <v>0</v>
      </c>
      <c r="N2406" s="58">
        <v>0</v>
      </c>
      <c r="O2406" s="58">
        <v>0</v>
      </c>
      <c r="P2406" s="53">
        <v>0</v>
      </c>
      <c r="Q2406" s="65">
        <v>10389.16</v>
      </c>
      <c r="R2406" s="65">
        <v>0</v>
      </c>
      <c r="S2406" s="65">
        <v>0</v>
      </c>
      <c r="T2406" s="65">
        <v>0</v>
      </c>
      <c r="U2406" s="58">
        <v>1350</v>
      </c>
      <c r="V2406" s="65">
        <v>0</v>
      </c>
      <c r="W2406" s="65">
        <v>0</v>
      </c>
      <c r="X2406" s="65">
        <v>0</v>
      </c>
      <c r="Y2406" s="65">
        <v>0</v>
      </c>
      <c r="Z2406" s="51">
        <v>9039.16</v>
      </c>
      <c r="AA2406" s="51">
        <v>0</v>
      </c>
      <c r="AB2406" s="102">
        <v>0</v>
      </c>
      <c r="AC2406" s="81">
        <f t="shared" si="114"/>
        <v>255.72298228170811</v>
      </c>
      <c r="AD2406" s="82">
        <f t="shared" si="115"/>
        <v>44.828571428571429</v>
      </c>
      <c r="AE2406" s="218">
        <v>0</v>
      </c>
      <c r="AF2406">
        <v>0</v>
      </c>
      <c r="AH2406" t="str">
        <f t="shared" si="116"/>
        <v>Musrigharari</v>
      </c>
      <c r="AJ2406" s="72">
        <v>0</v>
      </c>
      <c r="AK2406" s="72"/>
      <c r="AL2406" s="72"/>
      <c r="AM2406" s="72"/>
    </row>
    <row r="2407" spans="1:39" x14ac:dyDescent="0.25">
      <c r="A2407" s="37" t="s">
        <v>62</v>
      </c>
      <c r="B2407" s="66" t="s">
        <v>1629</v>
      </c>
      <c r="C2407" s="41">
        <v>1013</v>
      </c>
      <c r="D2407" s="41" t="s">
        <v>351</v>
      </c>
      <c r="E2407" s="41">
        <v>10130020</v>
      </c>
      <c r="F2407" s="85" t="s">
        <v>362</v>
      </c>
      <c r="G2407" s="39" t="s">
        <v>635</v>
      </c>
      <c r="H2407" s="52" t="s">
        <v>99</v>
      </c>
      <c r="I2407" s="52">
        <v>626.5</v>
      </c>
      <c r="J2407" s="49">
        <v>22548.2</v>
      </c>
      <c r="K2407" s="58">
        <v>0</v>
      </c>
      <c r="L2407" s="58">
        <v>0</v>
      </c>
      <c r="M2407" s="58">
        <v>0</v>
      </c>
      <c r="N2407" s="58">
        <v>0</v>
      </c>
      <c r="O2407" s="58">
        <v>0</v>
      </c>
      <c r="P2407" s="53">
        <v>0</v>
      </c>
      <c r="Q2407" s="65">
        <v>22548.2</v>
      </c>
      <c r="R2407" s="65">
        <v>0</v>
      </c>
      <c r="S2407" s="65">
        <v>0</v>
      </c>
      <c r="T2407" s="65">
        <v>0</v>
      </c>
      <c r="U2407" s="58">
        <v>0</v>
      </c>
      <c r="V2407" s="65">
        <v>0</v>
      </c>
      <c r="W2407" s="65">
        <v>0</v>
      </c>
      <c r="X2407" s="65">
        <v>0</v>
      </c>
      <c r="Y2407" s="65">
        <v>0</v>
      </c>
      <c r="Z2407" s="51">
        <v>22548.2</v>
      </c>
      <c r="AA2407" s="51">
        <v>0</v>
      </c>
      <c r="AB2407" s="102">
        <v>0</v>
      </c>
      <c r="AC2407" s="81">
        <f t="shared" si="114"/>
        <v>52.906391061452517</v>
      </c>
      <c r="AD2407" s="82">
        <f t="shared" si="115"/>
        <v>89.5</v>
      </c>
      <c r="AE2407" s="218">
        <v>0</v>
      </c>
      <c r="AF2407">
        <v>0</v>
      </c>
      <c r="AH2407" t="str">
        <f t="shared" si="116"/>
        <v>Musrigharari</v>
      </c>
      <c r="AJ2407" s="72">
        <v>0</v>
      </c>
      <c r="AK2407" s="72"/>
      <c r="AL2407" s="72"/>
      <c r="AM2407" s="72"/>
    </row>
    <row r="2408" spans="1:39" x14ac:dyDescent="0.25">
      <c r="A2408" s="37" t="s">
        <v>62</v>
      </c>
      <c r="B2408" s="66" t="s">
        <v>1629</v>
      </c>
      <c r="C2408" s="41">
        <v>1013</v>
      </c>
      <c r="D2408" s="41" t="s">
        <v>351</v>
      </c>
      <c r="E2408" s="41">
        <v>10130025</v>
      </c>
      <c r="F2408" s="85" t="s">
        <v>363</v>
      </c>
      <c r="G2408" s="39" t="s">
        <v>635</v>
      </c>
      <c r="H2408" s="52" t="s">
        <v>99</v>
      </c>
      <c r="I2408" s="52">
        <v>501.30000000000007</v>
      </c>
      <c r="J2408" s="49">
        <v>19860.870000000003</v>
      </c>
      <c r="K2408" s="58">
        <v>0</v>
      </c>
      <c r="L2408" s="58">
        <v>0</v>
      </c>
      <c r="M2408" s="58">
        <v>0</v>
      </c>
      <c r="N2408" s="58">
        <v>0</v>
      </c>
      <c r="O2408" s="58">
        <v>0</v>
      </c>
      <c r="P2408" s="53">
        <v>0</v>
      </c>
      <c r="Q2408" s="65">
        <v>19860.870000000003</v>
      </c>
      <c r="R2408" s="65">
        <v>0</v>
      </c>
      <c r="S2408" s="65">
        <v>0</v>
      </c>
      <c r="T2408" s="65">
        <v>0</v>
      </c>
      <c r="U2408" s="58">
        <v>3000</v>
      </c>
      <c r="V2408" s="65">
        <v>0</v>
      </c>
      <c r="W2408" s="65">
        <v>0</v>
      </c>
      <c r="X2408" s="65">
        <v>0</v>
      </c>
      <c r="Y2408" s="65">
        <v>0</v>
      </c>
      <c r="Z2408" s="51">
        <v>16860.870000000003</v>
      </c>
      <c r="AA2408" s="51">
        <v>0</v>
      </c>
      <c r="AB2408" s="102">
        <v>0</v>
      </c>
      <c r="AC2408" s="81">
        <f t="shared" si="114"/>
        <v>157.44483818073002</v>
      </c>
      <c r="AD2408" s="82">
        <f t="shared" si="115"/>
        <v>71.614285714285728</v>
      </c>
      <c r="AE2408" s="218">
        <v>0</v>
      </c>
      <c r="AF2408">
        <v>0</v>
      </c>
      <c r="AH2408" t="str">
        <f t="shared" si="116"/>
        <v>Musrigharari</v>
      </c>
      <c r="AJ2408" s="72">
        <v>0</v>
      </c>
      <c r="AK2408" s="72"/>
      <c r="AL2408" s="72"/>
      <c r="AM2408" s="72"/>
    </row>
    <row r="2409" spans="1:39" x14ac:dyDescent="0.25">
      <c r="A2409" s="37" t="s">
        <v>62</v>
      </c>
      <c r="B2409" s="66" t="s">
        <v>1629</v>
      </c>
      <c r="C2409" s="41">
        <v>1013</v>
      </c>
      <c r="D2409" s="41" t="s">
        <v>351</v>
      </c>
      <c r="E2409" s="41">
        <v>10130026</v>
      </c>
      <c r="F2409" s="85" t="s">
        <v>325</v>
      </c>
      <c r="G2409" s="39" t="s">
        <v>93</v>
      </c>
      <c r="H2409" s="52" t="s">
        <v>94</v>
      </c>
      <c r="I2409" s="52">
        <v>301.79999999999995</v>
      </c>
      <c r="J2409" s="49">
        <v>13154.96</v>
      </c>
      <c r="K2409" s="58">
        <v>69.290000000000006</v>
      </c>
      <c r="L2409" s="58">
        <v>3568.3693958236004</v>
      </c>
      <c r="M2409" s="58">
        <v>243.39999999999998</v>
      </c>
      <c r="N2409" s="58">
        <v>10960.237388854901</v>
      </c>
      <c r="O2409" s="58">
        <v>312.69</v>
      </c>
      <c r="P2409" s="53">
        <v>14528.606784678501</v>
      </c>
      <c r="Q2409" s="65">
        <v>13154.96</v>
      </c>
      <c r="R2409" s="65">
        <v>0</v>
      </c>
      <c r="S2409" s="65">
        <v>124.6196787584</v>
      </c>
      <c r="T2409" s="65">
        <v>1373.6467846785017</v>
      </c>
      <c r="U2409" s="58">
        <v>0</v>
      </c>
      <c r="V2409" s="65">
        <v>0</v>
      </c>
      <c r="W2409" s="65">
        <v>0</v>
      </c>
      <c r="X2409" s="65">
        <v>2195</v>
      </c>
      <c r="Y2409" s="65">
        <v>10835</v>
      </c>
      <c r="Z2409" s="51">
        <v>0</v>
      </c>
      <c r="AA2409" s="51">
        <v>0</v>
      </c>
      <c r="AB2409" s="102">
        <v>0</v>
      </c>
      <c r="AC2409" s="81">
        <f t="shared" si="114"/>
        <v>347.13751305500335</v>
      </c>
      <c r="AD2409" s="82">
        <f t="shared" si="115"/>
        <v>43.114285714285707</v>
      </c>
      <c r="AE2409" s="218">
        <v>-0.10442044557174646</v>
      </c>
      <c r="AF2409">
        <v>8</v>
      </c>
      <c r="AH2409" t="str">
        <f t="shared" si="116"/>
        <v>Musrigharari</v>
      </c>
      <c r="AJ2409" s="72">
        <v>0</v>
      </c>
      <c r="AK2409" s="72"/>
      <c r="AL2409" s="72"/>
      <c r="AM2409" s="72"/>
    </row>
    <row r="2410" spans="1:39" x14ac:dyDescent="0.25">
      <c r="A2410" s="37" t="s">
        <v>62</v>
      </c>
      <c r="B2410" s="66" t="s">
        <v>1629</v>
      </c>
      <c r="C2410" s="41">
        <v>1013</v>
      </c>
      <c r="D2410" s="41" t="s">
        <v>351</v>
      </c>
      <c r="E2410" s="41">
        <v>10130027</v>
      </c>
      <c r="F2410" s="85" t="s">
        <v>1561</v>
      </c>
      <c r="G2410" s="39" t="s">
        <v>635</v>
      </c>
      <c r="H2410" s="52" t="s">
        <v>99</v>
      </c>
      <c r="I2410" s="52">
        <v>29.2</v>
      </c>
      <c r="J2410" s="49">
        <v>828.56999999999994</v>
      </c>
      <c r="K2410" s="58">
        <v>0</v>
      </c>
      <c r="L2410" s="58">
        <v>0</v>
      </c>
      <c r="M2410" s="58">
        <v>0</v>
      </c>
      <c r="N2410" s="58">
        <v>0</v>
      </c>
      <c r="O2410" s="58">
        <v>0</v>
      </c>
      <c r="P2410" s="53">
        <v>0</v>
      </c>
      <c r="Q2410" s="65">
        <v>828.56999999999994</v>
      </c>
      <c r="R2410" s="65">
        <v>0</v>
      </c>
      <c r="S2410" s="65">
        <v>0</v>
      </c>
      <c r="T2410" s="65">
        <v>0</v>
      </c>
      <c r="U2410" s="58">
        <v>0</v>
      </c>
      <c r="V2410" s="65">
        <v>167.94899999999998</v>
      </c>
      <c r="W2410" s="65">
        <v>0</v>
      </c>
      <c r="X2410" s="65">
        <v>0</v>
      </c>
      <c r="Y2410" s="65">
        <v>0</v>
      </c>
      <c r="Z2410" s="51">
        <v>660.62099999999998</v>
      </c>
      <c r="AA2410" s="51">
        <v>0</v>
      </c>
      <c r="AB2410" s="102">
        <v>0</v>
      </c>
      <c r="AC2410" s="81">
        <f t="shared" si="114"/>
        <v>380.68818904109582</v>
      </c>
      <c r="AD2410" s="82">
        <f t="shared" si="115"/>
        <v>4.1714285714285717</v>
      </c>
      <c r="AE2410" s="218">
        <v>0</v>
      </c>
      <c r="AF2410">
        <v>0</v>
      </c>
      <c r="AH2410" t="str">
        <f t="shared" si="116"/>
        <v>Musrigharari</v>
      </c>
      <c r="AJ2410" s="72">
        <v>0</v>
      </c>
      <c r="AK2410" s="72"/>
      <c r="AL2410" s="72"/>
      <c r="AM2410" s="72"/>
    </row>
    <row r="2411" spans="1:39" x14ac:dyDescent="0.25">
      <c r="A2411" s="37" t="s">
        <v>62</v>
      </c>
      <c r="B2411" s="66" t="s">
        <v>1629</v>
      </c>
      <c r="C2411" s="41">
        <v>1013</v>
      </c>
      <c r="D2411" s="41" t="s">
        <v>351</v>
      </c>
      <c r="E2411" s="41">
        <v>10130030</v>
      </c>
      <c r="F2411" s="85" t="s">
        <v>364</v>
      </c>
      <c r="G2411" s="39" t="s">
        <v>93</v>
      </c>
      <c r="H2411" s="52" t="s">
        <v>94</v>
      </c>
      <c r="I2411" s="52">
        <v>148.5</v>
      </c>
      <c r="J2411" s="49">
        <v>4654.59</v>
      </c>
      <c r="K2411" s="58">
        <v>148</v>
      </c>
      <c r="L2411" s="58">
        <v>5587.7176080000008</v>
      </c>
      <c r="M2411" s="58">
        <v>0</v>
      </c>
      <c r="N2411" s="58">
        <v>0</v>
      </c>
      <c r="O2411" s="58">
        <v>148</v>
      </c>
      <c r="P2411" s="53">
        <v>5587.7176080000008</v>
      </c>
      <c r="Q2411" s="65">
        <v>4654.59</v>
      </c>
      <c r="R2411" s="65">
        <v>0</v>
      </c>
      <c r="S2411" s="65">
        <v>0</v>
      </c>
      <c r="T2411" s="65">
        <v>933.12760800000069</v>
      </c>
      <c r="U2411" s="58">
        <v>1350</v>
      </c>
      <c r="V2411" s="65">
        <v>19.4962736842105</v>
      </c>
      <c r="W2411" s="65">
        <v>0</v>
      </c>
      <c r="X2411" s="65">
        <v>3285</v>
      </c>
      <c r="Y2411" s="65">
        <v>0</v>
      </c>
      <c r="Z2411" s="51">
        <v>0</v>
      </c>
      <c r="AA2411" s="51">
        <v>0</v>
      </c>
      <c r="AB2411" s="102" t="s">
        <v>68</v>
      </c>
      <c r="AC2411" s="81">
        <f t="shared" si="114"/>
        <v>345.72476565656564</v>
      </c>
      <c r="AD2411" s="82">
        <f t="shared" si="115"/>
        <v>21.214285714285715</v>
      </c>
      <c r="AE2411" s="218">
        <v>-0.2004747159255704</v>
      </c>
      <c r="AF2411">
        <v>1</v>
      </c>
      <c r="AH2411" t="str">
        <f t="shared" si="116"/>
        <v>Musrigharari</v>
      </c>
      <c r="AJ2411" s="72">
        <v>0</v>
      </c>
      <c r="AK2411" s="72"/>
      <c r="AL2411" s="72"/>
      <c r="AM2411" s="72"/>
    </row>
    <row r="2412" spans="1:39" x14ac:dyDescent="0.25">
      <c r="A2412" s="37" t="s">
        <v>62</v>
      </c>
      <c r="B2412" s="66" t="s">
        <v>1629</v>
      </c>
      <c r="C2412" s="41">
        <v>1013</v>
      </c>
      <c r="D2412" s="41" t="s">
        <v>351</v>
      </c>
      <c r="E2412" s="41">
        <v>10130031</v>
      </c>
      <c r="F2412" s="85" t="s">
        <v>365</v>
      </c>
      <c r="G2412" s="39" t="s">
        <v>635</v>
      </c>
      <c r="H2412" s="52" t="s">
        <v>99</v>
      </c>
      <c r="I2412" s="52">
        <v>204.60000000000002</v>
      </c>
      <c r="J2412" s="49">
        <v>8037.27</v>
      </c>
      <c r="K2412" s="58">
        <v>0</v>
      </c>
      <c r="L2412" s="58">
        <v>0</v>
      </c>
      <c r="M2412" s="58">
        <v>0</v>
      </c>
      <c r="N2412" s="58">
        <v>0</v>
      </c>
      <c r="O2412" s="58">
        <v>0</v>
      </c>
      <c r="P2412" s="53">
        <v>0</v>
      </c>
      <c r="Q2412" s="65">
        <v>8037.27</v>
      </c>
      <c r="R2412" s="65">
        <v>0</v>
      </c>
      <c r="S2412" s="65">
        <v>0</v>
      </c>
      <c r="T2412" s="65">
        <v>0</v>
      </c>
      <c r="U2412" s="58">
        <v>2700</v>
      </c>
      <c r="V2412" s="65">
        <v>0</v>
      </c>
      <c r="W2412" s="65">
        <v>0</v>
      </c>
      <c r="X2412" s="65">
        <v>0</v>
      </c>
      <c r="Y2412" s="65">
        <v>0</v>
      </c>
      <c r="Z2412" s="51">
        <v>5337.27</v>
      </c>
      <c r="AA2412" s="51">
        <v>0</v>
      </c>
      <c r="AB2412" s="102">
        <v>0</v>
      </c>
      <c r="AC2412" s="81">
        <f t="shared" si="114"/>
        <v>389.21442404692078</v>
      </c>
      <c r="AD2412" s="82">
        <f t="shared" si="115"/>
        <v>29.228571428571431</v>
      </c>
      <c r="AE2412" s="218">
        <v>0</v>
      </c>
      <c r="AF2412">
        <v>0</v>
      </c>
      <c r="AH2412" t="str">
        <f t="shared" si="116"/>
        <v>Musrigharari</v>
      </c>
      <c r="AJ2412" s="72">
        <v>0</v>
      </c>
      <c r="AK2412" s="72"/>
      <c r="AL2412" s="72"/>
      <c r="AM2412" s="72"/>
    </row>
    <row r="2413" spans="1:39" x14ac:dyDescent="0.25">
      <c r="A2413" s="37" t="s">
        <v>62</v>
      </c>
      <c r="B2413" s="66" t="s">
        <v>1629</v>
      </c>
      <c r="C2413" s="41">
        <v>1013</v>
      </c>
      <c r="D2413" s="41" t="s">
        <v>351</v>
      </c>
      <c r="E2413" s="41">
        <v>10130032</v>
      </c>
      <c r="F2413" s="85" t="s">
        <v>626</v>
      </c>
      <c r="G2413" s="39" t="s">
        <v>93</v>
      </c>
      <c r="H2413" s="52" t="s">
        <v>94</v>
      </c>
      <c r="I2413" s="52">
        <v>80.8</v>
      </c>
      <c r="J2413" s="49">
        <v>3440.47</v>
      </c>
      <c r="K2413" s="58">
        <v>128.4</v>
      </c>
      <c r="L2413" s="58">
        <v>5982.1621457694009</v>
      </c>
      <c r="M2413" s="58">
        <v>0</v>
      </c>
      <c r="N2413" s="58">
        <v>0</v>
      </c>
      <c r="O2413" s="58">
        <v>128.4</v>
      </c>
      <c r="P2413" s="53">
        <v>5982.1621457694009</v>
      </c>
      <c r="Q2413" s="65">
        <v>3440.47</v>
      </c>
      <c r="R2413" s="65">
        <v>0</v>
      </c>
      <c r="S2413" s="65">
        <v>0</v>
      </c>
      <c r="T2413" s="65">
        <v>2541.6921457694011</v>
      </c>
      <c r="U2413" s="58">
        <v>0</v>
      </c>
      <c r="V2413" s="65">
        <v>0</v>
      </c>
      <c r="W2413" s="65">
        <v>0</v>
      </c>
      <c r="X2413" s="65">
        <v>3440</v>
      </c>
      <c r="Y2413" s="65">
        <v>0</v>
      </c>
      <c r="Z2413" s="51">
        <v>0</v>
      </c>
      <c r="AA2413" s="51">
        <v>0</v>
      </c>
      <c r="AB2413" s="102">
        <v>0</v>
      </c>
      <c r="AC2413" s="81">
        <f t="shared" si="114"/>
        <v>527.31163960396043</v>
      </c>
      <c r="AD2413" s="82">
        <f t="shared" si="115"/>
        <v>11.542857142857143</v>
      </c>
      <c r="AE2413" s="218">
        <v>-0.73876306021252947</v>
      </c>
      <c r="AF2413">
        <v>1</v>
      </c>
      <c r="AH2413" t="str">
        <f t="shared" si="116"/>
        <v>Musrigharari</v>
      </c>
      <c r="AJ2413" s="72">
        <v>0</v>
      </c>
      <c r="AK2413" s="72"/>
      <c r="AL2413" s="72"/>
      <c r="AM2413" s="72"/>
    </row>
    <row r="2414" spans="1:39" x14ac:dyDescent="0.25">
      <c r="A2414" s="37" t="s">
        <v>62</v>
      </c>
      <c r="B2414" s="66" t="s">
        <v>1629</v>
      </c>
      <c r="C2414" s="41">
        <v>1013</v>
      </c>
      <c r="D2414" s="41" t="s">
        <v>351</v>
      </c>
      <c r="E2414" s="41">
        <v>10130040</v>
      </c>
      <c r="F2414" s="85" t="s">
        <v>366</v>
      </c>
      <c r="G2414" s="39" t="s">
        <v>635</v>
      </c>
      <c r="H2414" s="52" t="s">
        <v>99</v>
      </c>
      <c r="I2414" s="52">
        <v>1047.8000000000002</v>
      </c>
      <c r="J2414" s="49">
        <v>26824.47</v>
      </c>
      <c r="K2414" s="58">
        <v>0</v>
      </c>
      <c r="L2414" s="58">
        <v>0</v>
      </c>
      <c r="M2414" s="58">
        <v>0</v>
      </c>
      <c r="N2414" s="58">
        <v>0</v>
      </c>
      <c r="O2414" s="58">
        <v>0</v>
      </c>
      <c r="P2414" s="53">
        <v>0</v>
      </c>
      <c r="Q2414" s="65">
        <v>26824.47</v>
      </c>
      <c r="R2414" s="65">
        <v>0</v>
      </c>
      <c r="S2414" s="65">
        <v>0</v>
      </c>
      <c r="T2414" s="65">
        <v>0</v>
      </c>
      <c r="U2414" s="58">
        <v>0</v>
      </c>
      <c r="V2414" s="65">
        <v>0</v>
      </c>
      <c r="W2414" s="65">
        <v>0</v>
      </c>
      <c r="X2414" s="65">
        <v>0</v>
      </c>
      <c r="Y2414" s="65">
        <v>0</v>
      </c>
      <c r="Z2414" s="51">
        <v>26824.47</v>
      </c>
      <c r="AA2414" s="51">
        <v>0</v>
      </c>
      <c r="AB2414" s="102">
        <v>0</v>
      </c>
      <c r="AC2414" s="81">
        <f t="shared" si="114"/>
        <v>0</v>
      </c>
      <c r="AD2414" s="82">
        <f t="shared" si="115"/>
        <v>0</v>
      </c>
      <c r="AE2414" s="218">
        <v>0</v>
      </c>
      <c r="AF2414">
        <v>0</v>
      </c>
      <c r="AH2414" t="str">
        <f t="shared" si="116"/>
        <v>Musrigharari</v>
      </c>
      <c r="AJ2414" s="72">
        <v>0</v>
      </c>
      <c r="AK2414" s="72"/>
      <c r="AL2414" s="72"/>
      <c r="AM2414" s="72"/>
    </row>
    <row r="2415" spans="1:39" x14ac:dyDescent="0.25">
      <c r="A2415" s="37" t="s">
        <v>62</v>
      </c>
      <c r="B2415" s="66" t="s">
        <v>1629</v>
      </c>
      <c r="C2415" s="41">
        <v>1013</v>
      </c>
      <c r="D2415" s="41" t="s">
        <v>351</v>
      </c>
      <c r="E2415" s="41">
        <v>10130041</v>
      </c>
      <c r="F2415" s="85" t="s">
        <v>367</v>
      </c>
      <c r="G2415" s="39" t="s">
        <v>635</v>
      </c>
      <c r="H2415" s="52" t="s">
        <v>99</v>
      </c>
      <c r="I2415" s="52">
        <v>73.8</v>
      </c>
      <c r="J2415" s="49">
        <v>2668.1600000000003</v>
      </c>
      <c r="K2415" s="58">
        <v>0</v>
      </c>
      <c r="L2415" s="58">
        <v>0</v>
      </c>
      <c r="M2415" s="58">
        <v>0</v>
      </c>
      <c r="N2415" s="58">
        <v>0</v>
      </c>
      <c r="O2415" s="58">
        <v>0</v>
      </c>
      <c r="P2415" s="53">
        <v>0</v>
      </c>
      <c r="Q2415" s="65">
        <v>2668.1600000000003</v>
      </c>
      <c r="R2415" s="65">
        <v>0</v>
      </c>
      <c r="S2415" s="65">
        <v>0</v>
      </c>
      <c r="T2415" s="65">
        <v>0</v>
      </c>
      <c r="U2415" s="58">
        <v>1350</v>
      </c>
      <c r="V2415" s="65">
        <v>0</v>
      </c>
      <c r="W2415" s="65">
        <v>0</v>
      </c>
      <c r="X2415" s="65">
        <v>0</v>
      </c>
      <c r="Y2415" s="65">
        <v>0</v>
      </c>
      <c r="Z2415" s="51">
        <v>1318.1600000000003</v>
      </c>
      <c r="AA2415" s="51">
        <v>0</v>
      </c>
      <c r="AB2415" s="102">
        <v>0</v>
      </c>
      <c r="AC2415" s="81">
        <f t="shared" si="114"/>
        <v>452.79181355013554</v>
      </c>
      <c r="AD2415" s="82">
        <f t="shared" si="115"/>
        <v>10.542857142857143</v>
      </c>
      <c r="AE2415" s="218">
        <v>0</v>
      </c>
      <c r="AF2415">
        <v>0</v>
      </c>
      <c r="AH2415" t="str">
        <f t="shared" si="116"/>
        <v>Musrigharari</v>
      </c>
      <c r="AJ2415" s="72">
        <v>0</v>
      </c>
      <c r="AK2415" s="72"/>
      <c r="AL2415" s="72"/>
      <c r="AM2415" s="72"/>
    </row>
    <row r="2416" spans="1:39" x14ac:dyDescent="0.25">
      <c r="A2416" s="37" t="s">
        <v>62</v>
      </c>
      <c r="B2416" s="66" t="s">
        <v>1629</v>
      </c>
      <c r="C2416" s="41">
        <v>1013</v>
      </c>
      <c r="D2416" s="41" t="s">
        <v>351</v>
      </c>
      <c r="E2416" s="41">
        <v>10130042</v>
      </c>
      <c r="F2416" s="85" t="s">
        <v>368</v>
      </c>
      <c r="G2416" s="39" t="s">
        <v>635</v>
      </c>
      <c r="H2416" s="52" t="s">
        <v>99</v>
      </c>
      <c r="I2416" s="52">
        <v>25.5</v>
      </c>
      <c r="J2416" s="49">
        <v>808.35</v>
      </c>
      <c r="K2416" s="58">
        <v>0</v>
      </c>
      <c r="L2416" s="58">
        <v>0</v>
      </c>
      <c r="M2416" s="58">
        <v>0</v>
      </c>
      <c r="N2416" s="58">
        <v>0</v>
      </c>
      <c r="O2416" s="58">
        <v>0</v>
      </c>
      <c r="P2416" s="53">
        <v>0</v>
      </c>
      <c r="Q2416" s="65">
        <v>808.35</v>
      </c>
      <c r="R2416" s="65">
        <v>0</v>
      </c>
      <c r="S2416" s="65">
        <v>0</v>
      </c>
      <c r="T2416" s="65">
        <v>0</v>
      </c>
      <c r="U2416" s="58">
        <v>0</v>
      </c>
      <c r="V2416" s="65">
        <v>0</v>
      </c>
      <c r="W2416" s="65">
        <v>0</v>
      </c>
      <c r="X2416" s="65">
        <v>0</v>
      </c>
      <c r="Y2416" s="65">
        <v>0</v>
      </c>
      <c r="Z2416" s="51">
        <v>808.35</v>
      </c>
      <c r="AA2416" s="51">
        <v>0</v>
      </c>
      <c r="AB2416" s="102">
        <v>0</v>
      </c>
      <c r="AC2416" s="81">
        <f t="shared" si="114"/>
        <v>427.63299999999998</v>
      </c>
      <c r="AD2416" s="82">
        <f t="shared" si="115"/>
        <v>3.6428571428571428</v>
      </c>
      <c r="AE2416" s="218">
        <v>0</v>
      </c>
      <c r="AF2416">
        <v>0</v>
      </c>
      <c r="AH2416" t="str">
        <f t="shared" si="116"/>
        <v>Musrigharari</v>
      </c>
      <c r="AJ2416" s="72">
        <v>0</v>
      </c>
      <c r="AK2416" s="72"/>
      <c r="AL2416" s="72"/>
      <c r="AM2416" s="72"/>
    </row>
    <row r="2417" spans="1:39" x14ac:dyDescent="0.25">
      <c r="A2417" s="37" t="s">
        <v>62</v>
      </c>
      <c r="B2417" s="66" t="s">
        <v>1629</v>
      </c>
      <c r="C2417" s="41">
        <v>1013</v>
      </c>
      <c r="D2417" s="41" t="s">
        <v>351</v>
      </c>
      <c r="E2417" s="41">
        <v>10130044</v>
      </c>
      <c r="F2417" s="85" t="s">
        <v>369</v>
      </c>
      <c r="G2417" s="39" t="s">
        <v>93</v>
      </c>
      <c r="H2417" s="52" t="s">
        <v>99</v>
      </c>
      <c r="I2417" s="52">
        <v>3295.7000000000003</v>
      </c>
      <c r="J2417" s="49">
        <v>135325.12</v>
      </c>
      <c r="K2417" s="58">
        <v>0</v>
      </c>
      <c r="L2417" s="58">
        <v>0</v>
      </c>
      <c r="M2417" s="58">
        <v>0</v>
      </c>
      <c r="N2417" s="58">
        <v>0</v>
      </c>
      <c r="O2417" s="58">
        <v>0</v>
      </c>
      <c r="P2417" s="53">
        <v>0</v>
      </c>
      <c r="Q2417" s="65">
        <v>135325.12</v>
      </c>
      <c r="R2417" s="65">
        <v>0</v>
      </c>
      <c r="S2417" s="65">
        <v>0</v>
      </c>
      <c r="T2417" s="65">
        <v>0</v>
      </c>
      <c r="U2417" s="58">
        <v>6000</v>
      </c>
      <c r="V2417" s="65">
        <v>0</v>
      </c>
      <c r="W2417" s="65">
        <v>0</v>
      </c>
      <c r="X2417" s="65">
        <v>0</v>
      </c>
      <c r="Y2417" s="65">
        <v>0</v>
      </c>
      <c r="Z2417" s="51">
        <v>129325.12</v>
      </c>
      <c r="AA2417" s="51">
        <v>0</v>
      </c>
      <c r="AB2417" s="102">
        <v>0</v>
      </c>
      <c r="AC2417" s="81">
        <f t="shared" si="114"/>
        <v>0</v>
      </c>
      <c r="AD2417" s="82">
        <f t="shared" si="115"/>
        <v>0</v>
      </c>
      <c r="AE2417" s="218">
        <v>0</v>
      </c>
      <c r="AF2417">
        <v>0</v>
      </c>
      <c r="AH2417" t="str">
        <f t="shared" si="116"/>
        <v>Musrigharari</v>
      </c>
      <c r="AJ2417" s="72">
        <v>0</v>
      </c>
      <c r="AK2417" s="72"/>
      <c r="AL2417" s="72"/>
      <c r="AM2417" s="72"/>
    </row>
    <row r="2418" spans="1:39" x14ac:dyDescent="0.25">
      <c r="A2418" s="37" t="s">
        <v>62</v>
      </c>
      <c r="B2418" s="66" t="s">
        <v>1629</v>
      </c>
      <c r="C2418" s="41">
        <v>1013</v>
      </c>
      <c r="D2418" s="41" t="s">
        <v>351</v>
      </c>
      <c r="E2418" s="41">
        <v>10130046</v>
      </c>
      <c r="F2418" s="85" t="s">
        <v>370</v>
      </c>
      <c r="G2418" s="39" t="s">
        <v>93</v>
      </c>
      <c r="H2418" s="52" t="s">
        <v>94</v>
      </c>
      <c r="I2418" s="52">
        <v>305.99999999999994</v>
      </c>
      <c r="J2418" s="49">
        <v>13148.369999999997</v>
      </c>
      <c r="K2418" s="58">
        <v>177.35</v>
      </c>
      <c r="L2418" s="58">
        <v>7610.1785062520712</v>
      </c>
      <c r="M2418" s="58">
        <v>73.509999999999991</v>
      </c>
      <c r="N2418" s="58">
        <v>3574.3417449321655</v>
      </c>
      <c r="O2418" s="58">
        <v>250.85999999999999</v>
      </c>
      <c r="P2418" s="53">
        <v>11184.520251184236</v>
      </c>
      <c r="Q2418" s="65">
        <v>11184.520251184236</v>
      </c>
      <c r="R2418" s="65">
        <v>0</v>
      </c>
      <c r="S2418" s="65">
        <v>0</v>
      </c>
      <c r="T2418" s="65">
        <v>0</v>
      </c>
      <c r="U2418" s="58">
        <v>177</v>
      </c>
      <c r="V2418" s="65">
        <v>0</v>
      </c>
      <c r="W2418" s="65">
        <v>0</v>
      </c>
      <c r="X2418" s="65">
        <v>7434</v>
      </c>
      <c r="Y2418" s="65">
        <v>3576</v>
      </c>
      <c r="Z2418" s="51">
        <v>0</v>
      </c>
      <c r="AA2418" s="51">
        <v>1961</v>
      </c>
      <c r="AB2418" s="102">
        <v>0</v>
      </c>
      <c r="AC2418" s="81">
        <f t="shared" si="114"/>
        <v>338.592011764706</v>
      </c>
      <c r="AD2418" s="82">
        <f t="shared" si="115"/>
        <v>43.714285714285708</v>
      </c>
      <c r="AE2418" s="218">
        <v>0.14936070013361058</v>
      </c>
      <c r="AF2418">
        <v>16</v>
      </c>
      <c r="AH2418" t="str">
        <f t="shared" si="116"/>
        <v>Musrigharari</v>
      </c>
      <c r="AJ2418" s="72">
        <v>0</v>
      </c>
      <c r="AK2418" s="72"/>
      <c r="AL2418" s="72"/>
      <c r="AM2418" s="72"/>
    </row>
    <row r="2419" spans="1:39" x14ac:dyDescent="0.25">
      <c r="A2419" s="37" t="s">
        <v>62</v>
      </c>
      <c r="B2419" s="66" t="s">
        <v>1629</v>
      </c>
      <c r="C2419" s="41">
        <v>1013</v>
      </c>
      <c r="D2419" s="41" t="s">
        <v>351</v>
      </c>
      <c r="E2419" s="41">
        <v>10130047</v>
      </c>
      <c r="F2419" s="85" t="s">
        <v>371</v>
      </c>
      <c r="G2419" s="39" t="s">
        <v>93</v>
      </c>
      <c r="H2419" s="52" t="s">
        <v>94</v>
      </c>
      <c r="I2419" s="52">
        <v>241.10000000000005</v>
      </c>
      <c r="J2419" s="49">
        <v>8205.8900000000012</v>
      </c>
      <c r="K2419" s="58">
        <v>245.37999999999994</v>
      </c>
      <c r="L2419" s="58">
        <v>8985.4035173892007</v>
      </c>
      <c r="M2419" s="58">
        <v>2.7600000000000002</v>
      </c>
      <c r="N2419" s="58">
        <v>94.035427061399986</v>
      </c>
      <c r="O2419" s="58">
        <v>248.13999999999993</v>
      </c>
      <c r="P2419" s="53">
        <v>9079.4389444506014</v>
      </c>
      <c r="Q2419" s="65">
        <v>8205.8900000000012</v>
      </c>
      <c r="R2419" s="65">
        <v>0</v>
      </c>
      <c r="S2419" s="65">
        <v>94.035427061399986</v>
      </c>
      <c r="T2419" s="65">
        <v>873.54894445060017</v>
      </c>
      <c r="U2419" s="58">
        <v>0</v>
      </c>
      <c r="V2419" s="65">
        <v>0</v>
      </c>
      <c r="W2419" s="65">
        <v>0</v>
      </c>
      <c r="X2419" s="65">
        <v>8112</v>
      </c>
      <c r="Y2419" s="65">
        <v>0</v>
      </c>
      <c r="Z2419" s="51">
        <v>0</v>
      </c>
      <c r="AA2419" s="51">
        <v>0</v>
      </c>
      <c r="AB2419" s="102" t="s">
        <v>68</v>
      </c>
      <c r="AC2419" s="81">
        <f t="shared" si="114"/>
        <v>312.37519046038989</v>
      </c>
      <c r="AD2419" s="82">
        <f t="shared" si="115"/>
        <v>34.44285714285715</v>
      </c>
      <c r="AE2419" s="218">
        <v>-0.10645389402619339</v>
      </c>
      <c r="AF2419">
        <v>6</v>
      </c>
      <c r="AH2419" t="str">
        <f t="shared" si="116"/>
        <v>Musrigharari</v>
      </c>
      <c r="AJ2419" s="72">
        <v>0</v>
      </c>
      <c r="AK2419" s="72"/>
      <c r="AL2419" s="72"/>
      <c r="AM2419" s="72"/>
    </row>
    <row r="2420" spans="1:39" x14ac:dyDescent="0.25">
      <c r="A2420" s="37" t="s">
        <v>62</v>
      </c>
      <c r="B2420" s="66" t="s">
        <v>1629</v>
      </c>
      <c r="C2420" s="41">
        <v>1013</v>
      </c>
      <c r="D2420" s="41" t="s">
        <v>351</v>
      </c>
      <c r="E2420" s="41">
        <v>10130052</v>
      </c>
      <c r="F2420" s="85" t="s">
        <v>373</v>
      </c>
      <c r="G2420" s="39" t="s">
        <v>93</v>
      </c>
      <c r="H2420" s="52" t="s">
        <v>94</v>
      </c>
      <c r="I2420" s="52">
        <v>1383.7</v>
      </c>
      <c r="J2420" s="49">
        <v>47866.54</v>
      </c>
      <c r="K2420" s="58">
        <v>825.69999999999993</v>
      </c>
      <c r="L2420" s="58">
        <v>29999.120566154896</v>
      </c>
      <c r="M2420" s="58">
        <v>554.79</v>
      </c>
      <c r="N2420" s="58">
        <v>18557.136797423398</v>
      </c>
      <c r="O2420" s="58">
        <v>1380.4899999999998</v>
      </c>
      <c r="P2420" s="53">
        <v>48556.25736357829</v>
      </c>
      <c r="Q2420" s="65">
        <v>47866.54</v>
      </c>
      <c r="R2420" s="65">
        <v>0</v>
      </c>
      <c r="S2420" s="65">
        <v>585.30549015180009</v>
      </c>
      <c r="T2420" s="65">
        <v>689.71736357828922</v>
      </c>
      <c r="U2420" s="58">
        <v>2700</v>
      </c>
      <c r="V2420" s="65">
        <v>0</v>
      </c>
      <c r="W2420" s="65">
        <v>0</v>
      </c>
      <c r="X2420" s="65">
        <v>26610</v>
      </c>
      <c r="Y2420" s="65">
        <v>17971</v>
      </c>
      <c r="Z2420" s="51">
        <v>0</v>
      </c>
      <c r="AA2420" s="51">
        <v>0</v>
      </c>
      <c r="AB2420" s="102">
        <v>0</v>
      </c>
      <c r="AC2420" s="81">
        <f t="shared" si="114"/>
        <v>0</v>
      </c>
      <c r="AD2420" s="82">
        <f t="shared" si="115"/>
        <v>0</v>
      </c>
      <c r="AE2420" s="218">
        <v>-1.4409175252238603E-2</v>
      </c>
      <c r="AF2420">
        <v>27</v>
      </c>
      <c r="AH2420" t="str">
        <f t="shared" si="116"/>
        <v>Musrigharari</v>
      </c>
      <c r="AJ2420" s="72">
        <v>0</v>
      </c>
      <c r="AK2420" s="72"/>
      <c r="AL2420" s="72"/>
      <c r="AM2420" s="72"/>
    </row>
    <row r="2421" spans="1:39" x14ac:dyDescent="0.25">
      <c r="A2421" s="37" t="s">
        <v>62</v>
      </c>
      <c r="B2421" s="66" t="s">
        <v>1629</v>
      </c>
      <c r="C2421" s="41">
        <v>1013</v>
      </c>
      <c r="D2421" s="41" t="s">
        <v>351</v>
      </c>
      <c r="E2421" s="41">
        <v>10130054</v>
      </c>
      <c r="F2421" s="85" t="s">
        <v>374</v>
      </c>
      <c r="G2421" s="39" t="s">
        <v>93</v>
      </c>
      <c r="H2421" s="52" t="s">
        <v>94</v>
      </c>
      <c r="I2421" s="52">
        <v>468.90000000000003</v>
      </c>
      <c r="J2421" s="49">
        <v>19166.490000000002</v>
      </c>
      <c r="K2421" s="58">
        <v>286.26</v>
      </c>
      <c r="L2421" s="58">
        <v>12667.839305736501</v>
      </c>
      <c r="M2421" s="58">
        <v>199.63</v>
      </c>
      <c r="N2421" s="58">
        <v>7614.0923817618004</v>
      </c>
      <c r="O2421" s="58">
        <v>485.89</v>
      </c>
      <c r="P2421" s="53">
        <v>20281.931687498301</v>
      </c>
      <c r="Q2421" s="65">
        <v>19166.490000000002</v>
      </c>
      <c r="R2421" s="65">
        <v>0</v>
      </c>
      <c r="S2421" s="65">
        <v>0</v>
      </c>
      <c r="T2421" s="65">
        <v>1115.4416874982999</v>
      </c>
      <c r="U2421" s="58">
        <v>0</v>
      </c>
      <c r="V2421" s="65">
        <v>2.9349934426228685</v>
      </c>
      <c r="W2421" s="65">
        <v>0</v>
      </c>
      <c r="X2421" s="65">
        <v>11549</v>
      </c>
      <c r="Y2421" s="65">
        <v>7614</v>
      </c>
      <c r="Z2421" s="51">
        <v>0</v>
      </c>
      <c r="AA2421" s="51">
        <v>1</v>
      </c>
      <c r="AB2421" s="102">
        <v>0</v>
      </c>
      <c r="AC2421" s="81">
        <f t="shared" si="114"/>
        <v>188.92624606525908</v>
      </c>
      <c r="AD2421" s="82">
        <f t="shared" si="115"/>
        <v>66.985714285714295</v>
      </c>
      <c r="AE2421" s="218">
        <v>-5.8197494037682422E-2</v>
      </c>
      <c r="AF2421">
        <v>11</v>
      </c>
      <c r="AH2421" t="str">
        <f t="shared" si="116"/>
        <v>Musrigharari</v>
      </c>
      <c r="AJ2421" s="72">
        <v>0</v>
      </c>
      <c r="AK2421" s="72"/>
      <c r="AL2421" s="72"/>
      <c r="AM2421" s="72"/>
    </row>
    <row r="2422" spans="1:39" x14ac:dyDescent="0.25">
      <c r="A2422" s="37" t="s">
        <v>62</v>
      </c>
      <c r="B2422" s="66" t="s">
        <v>1629</v>
      </c>
      <c r="C2422" s="41">
        <v>1013</v>
      </c>
      <c r="D2422" s="41" t="s">
        <v>351</v>
      </c>
      <c r="E2422" s="41">
        <v>10130058</v>
      </c>
      <c r="F2422" s="85" t="s">
        <v>375</v>
      </c>
      <c r="G2422" s="39" t="s">
        <v>635</v>
      </c>
      <c r="H2422" s="52" t="s">
        <v>99</v>
      </c>
      <c r="I2422" s="52">
        <v>370.09999999999997</v>
      </c>
      <c r="J2422" s="49">
        <v>12321.349999999999</v>
      </c>
      <c r="K2422" s="58">
        <v>0</v>
      </c>
      <c r="L2422" s="58">
        <v>0</v>
      </c>
      <c r="M2422" s="58">
        <v>0</v>
      </c>
      <c r="N2422" s="58">
        <v>0</v>
      </c>
      <c r="O2422" s="58">
        <v>0</v>
      </c>
      <c r="P2422" s="53">
        <v>0</v>
      </c>
      <c r="Q2422" s="65">
        <v>12321.349999999999</v>
      </c>
      <c r="R2422" s="65">
        <v>0</v>
      </c>
      <c r="S2422" s="65">
        <v>0</v>
      </c>
      <c r="T2422" s="65">
        <v>0</v>
      </c>
      <c r="U2422" s="58">
        <v>0</v>
      </c>
      <c r="V2422" s="65">
        <v>0</v>
      </c>
      <c r="W2422" s="65">
        <v>0</v>
      </c>
      <c r="X2422" s="65">
        <v>0</v>
      </c>
      <c r="Y2422" s="65">
        <v>0</v>
      </c>
      <c r="Z2422" s="51">
        <v>12321.349999999999</v>
      </c>
      <c r="AA2422" s="51">
        <v>0</v>
      </c>
      <c r="AB2422" s="102">
        <v>0</v>
      </c>
      <c r="AC2422" s="81">
        <f t="shared" si="114"/>
        <v>219.66027370980822</v>
      </c>
      <c r="AD2422" s="82">
        <f t="shared" si="115"/>
        <v>52.871428571428567</v>
      </c>
      <c r="AE2422" s="218">
        <v>0</v>
      </c>
      <c r="AF2422">
        <v>0</v>
      </c>
      <c r="AH2422" t="str">
        <f t="shared" si="116"/>
        <v>Musrigharari</v>
      </c>
      <c r="AJ2422" s="72">
        <v>0</v>
      </c>
      <c r="AK2422" s="72"/>
      <c r="AL2422" s="72"/>
      <c r="AM2422" s="72"/>
    </row>
    <row r="2423" spans="1:39" x14ac:dyDescent="0.25">
      <c r="A2423" s="37" t="s">
        <v>62</v>
      </c>
      <c r="B2423" s="66" t="s">
        <v>1629</v>
      </c>
      <c r="C2423" s="41">
        <v>1013</v>
      </c>
      <c r="D2423" s="41" t="s">
        <v>351</v>
      </c>
      <c r="E2423" s="41">
        <v>10130065</v>
      </c>
      <c r="F2423" s="85" t="s">
        <v>426</v>
      </c>
      <c r="G2423" s="39" t="s">
        <v>635</v>
      </c>
      <c r="H2423" s="52" t="s">
        <v>99</v>
      </c>
      <c r="I2423" s="52">
        <v>565.70000000000005</v>
      </c>
      <c r="J2423" s="49">
        <v>20338.469999999998</v>
      </c>
      <c r="K2423" s="58">
        <v>0</v>
      </c>
      <c r="L2423" s="58">
        <v>0</v>
      </c>
      <c r="M2423" s="58">
        <v>0</v>
      </c>
      <c r="N2423" s="58">
        <v>0</v>
      </c>
      <c r="O2423" s="58">
        <v>0</v>
      </c>
      <c r="P2423" s="53">
        <v>0</v>
      </c>
      <c r="Q2423" s="65">
        <v>20338.469999999998</v>
      </c>
      <c r="R2423" s="65">
        <v>0</v>
      </c>
      <c r="S2423" s="65">
        <v>0</v>
      </c>
      <c r="T2423" s="65">
        <v>0</v>
      </c>
      <c r="U2423" s="58">
        <v>0</v>
      </c>
      <c r="V2423" s="65">
        <v>0</v>
      </c>
      <c r="W2423" s="65">
        <v>0</v>
      </c>
      <c r="X2423" s="65">
        <v>0</v>
      </c>
      <c r="Y2423" s="65">
        <v>0</v>
      </c>
      <c r="Z2423" s="51">
        <v>20338.469999999998</v>
      </c>
      <c r="AA2423" s="51">
        <v>0</v>
      </c>
      <c r="AB2423" s="102">
        <v>0</v>
      </c>
      <c r="AC2423" s="81">
        <f t="shared" si="114"/>
        <v>96.569083295032669</v>
      </c>
      <c r="AD2423" s="82">
        <f t="shared" si="115"/>
        <v>80.814285714285717</v>
      </c>
      <c r="AE2423" s="218">
        <v>0</v>
      </c>
      <c r="AF2423">
        <v>0</v>
      </c>
      <c r="AH2423" t="str">
        <f t="shared" si="116"/>
        <v>Musrigharari</v>
      </c>
      <c r="AJ2423" s="72">
        <v>0</v>
      </c>
      <c r="AK2423" s="72"/>
      <c r="AL2423" s="72"/>
      <c r="AM2423" s="72"/>
    </row>
    <row r="2424" spans="1:39" x14ac:dyDescent="0.25">
      <c r="A2424" s="37" t="s">
        <v>62</v>
      </c>
      <c r="B2424" s="66" t="s">
        <v>1629</v>
      </c>
      <c r="C2424" s="41">
        <v>1013</v>
      </c>
      <c r="D2424" s="41" t="s">
        <v>351</v>
      </c>
      <c r="E2424" s="41">
        <v>10130074</v>
      </c>
      <c r="F2424" s="85" t="s">
        <v>463</v>
      </c>
      <c r="G2424" s="39" t="s">
        <v>93</v>
      </c>
      <c r="H2424" s="52" t="s">
        <v>94</v>
      </c>
      <c r="I2424" s="52">
        <v>256.8</v>
      </c>
      <c r="J2424" s="49">
        <v>9602.2999999999993</v>
      </c>
      <c r="K2424" s="58">
        <v>102.92</v>
      </c>
      <c r="L2424" s="58">
        <v>3652.9488147042002</v>
      </c>
      <c r="M2424" s="58">
        <v>185.91</v>
      </c>
      <c r="N2424" s="58">
        <v>6518.366382507792</v>
      </c>
      <c r="O2424" s="58">
        <v>288.83</v>
      </c>
      <c r="P2424" s="53">
        <v>10171.315197211992</v>
      </c>
      <c r="Q2424" s="65">
        <v>9602.2999999999993</v>
      </c>
      <c r="R2424" s="65">
        <v>0</v>
      </c>
      <c r="S2424" s="65">
        <v>175.86843892200002</v>
      </c>
      <c r="T2424" s="65">
        <v>569.01519721199293</v>
      </c>
      <c r="U2424" s="58">
        <v>0</v>
      </c>
      <c r="V2424" s="65">
        <v>0</v>
      </c>
      <c r="W2424" s="65">
        <v>0</v>
      </c>
      <c r="X2424" s="65">
        <v>3085</v>
      </c>
      <c r="Y2424" s="65">
        <v>6341</v>
      </c>
      <c r="Z2424" s="51">
        <v>0</v>
      </c>
      <c r="AA2424" s="51">
        <v>0</v>
      </c>
      <c r="AB2424" s="102">
        <v>0</v>
      </c>
      <c r="AC2424" s="81">
        <f t="shared" si="114"/>
        <v>331.44387538940805</v>
      </c>
      <c r="AD2424" s="82">
        <f t="shared" si="115"/>
        <v>36.68571428571429</v>
      </c>
      <c r="AE2424" s="218">
        <v>-5.925821909459119E-2</v>
      </c>
      <c r="AF2424">
        <v>11</v>
      </c>
      <c r="AH2424" t="str">
        <f t="shared" si="116"/>
        <v>Musrigharari</v>
      </c>
      <c r="AJ2424" s="72">
        <v>0</v>
      </c>
      <c r="AK2424" s="72"/>
      <c r="AL2424" s="72"/>
      <c r="AM2424" s="72"/>
    </row>
    <row r="2425" spans="1:39" x14ac:dyDescent="0.25">
      <c r="A2425" s="37" t="s">
        <v>62</v>
      </c>
      <c r="B2425" s="66" t="s">
        <v>1629</v>
      </c>
      <c r="C2425" s="41">
        <v>1013</v>
      </c>
      <c r="D2425" s="41" t="s">
        <v>351</v>
      </c>
      <c r="E2425" s="41">
        <v>10130077</v>
      </c>
      <c r="F2425" s="85" t="s">
        <v>491</v>
      </c>
      <c r="G2425" s="39" t="s">
        <v>93</v>
      </c>
      <c r="H2425" s="52" t="s">
        <v>94</v>
      </c>
      <c r="I2425" s="52">
        <v>216.6</v>
      </c>
      <c r="J2425" s="49">
        <v>7434.9600000000009</v>
      </c>
      <c r="K2425" s="58">
        <v>149.76999999999998</v>
      </c>
      <c r="L2425" s="58">
        <v>5261.9671893492005</v>
      </c>
      <c r="M2425" s="58">
        <v>70.8</v>
      </c>
      <c r="N2425" s="58">
        <v>2677.3116082614001</v>
      </c>
      <c r="O2425" s="58">
        <v>220.57</v>
      </c>
      <c r="P2425" s="53">
        <v>7939.278797610601</v>
      </c>
      <c r="Q2425" s="65">
        <v>7434.9600000000009</v>
      </c>
      <c r="R2425" s="65">
        <v>0</v>
      </c>
      <c r="S2425" s="65">
        <v>39.090144713400001</v>
      </c>
      <c r="T2425" s="65">
        <v>504.31879761060009</v>
      </c>
      <c r="U2425" s="58">
        <v>0</v>
      </c>
      <c r="V2425" s="65">
        <v>0</v>
      </c>
      <c r="W2425" s="65">
        <v>0</v>
      </c>
      <c r="X2425" s="65">
        <v>4758</v>
      </c>
      <c r="Y2425" s="65">
        <v>2638</v>
      </c>
      <c r="Z2425" s="51">
        <v>0</v>
      </c>
      <c r="AA2425" s="51">
        <v>0</v>
      </c>
      <c r="AB2425" s="102">
        <v>0</v>
      </c>
      <c r="AC2425" s="81">
        <f t="shared" si="114"/>
        <v>331.86146481994467</v>
      </c>
      <c r="AD2425" s="82">
        <f t="shared" si="115"/>
        <v>30.942857142857143</v>
      </c>
      <c r="AE2425" s="218">
        <v>-6.783073447746861E-2</v>
      </c>
      <c r="AF2425">
        <v>7</v>
      </c>
      <c r="AH2425" t="str">
        <f t="shared" si="116"/>
        <v>Musrigharari</v>
      </c>
      <c r="AJ2425" s="72">
        <v>0</v>
      </c>
      <c r="AK2425" s="72"/>
      <c r="AL2425" s="72"/>
      <c r="AM2425" s="72"/>
    </row>
    <row r="2426" spans="1:39" x14ac:dyDescent="0.25">
      <c r="A2426" s="37" t="s">
        <v>62</v>
      </c>
      <c r="B2426" s="66" t="s">
        <v>1629</v>
      </c>
      <c r="C2426" s="41">
        <v>1013</v>
      </c>
      <c r="D2426" s="41" t="s">
        <v>351</v>
      </c>
      <c r="E2426" s="41">
        <v>10130080</v>
      </c>
      <c r="F2426" s="85" t="s">
        <v>493</v>
      </c>
      <c r="G2426" s="39" t="s">
        <v>635</v>
      </c>
      <c r="H2426" s="52" t="s">
        <v>99</v>
      </c>
      <c r="I2426" s="52">
        <v>138.5</v>
      </c>
      <c r="J2426" s="49">
        <v>4338.7199999999993</v>
      </c>
      <c r="K2426" s="58">
        <v>0</v>
      </c>
      <c r="L2426" s="58">
        <v>0</v>
      </c>
      <c r="M2426" s="58">
        <v>0</v>
      </c>
      <c r="N2426" s="58">
        <v>0</v>
      </c>
      <c r="O2426" s="58">
        <v>0</v>
      </c>
      <c r="P2426" s="53">
        <v>0</v>
      </c>
      <c r="Q2426" s="65">
        <v>4338.7199999999993</v>
      </c>
      <c r="R2426" s="65">
        <v>0</v>
      </c>
      <c r="S2426" s="65">
        <v>0</v>
      </c>
      <c r="T2426" s="65">
        <v>0</v>
      </c>
      <c r="U2426" s="58">
        <v>1500</v>
      </c>
      <c r="V2426" s="65">
        <v>0</v>
      </c>
      <c r="W2426" s="65">
        <v>0</v>
      </c>
      <c r="X2426" s="65">
        <v>0</v>
      </c>
      <c r="Y2426" s="65">
        <v>0</v>
      </c>
      <c r="Z2426" s="51">
        <v>2838.7199999999993</v>
      </c>
      <c r="AA2426" s="51">
        <v>0</v>
      </c>
      <c r="AB2426" s="102">
        <v>0</v>
      </c>
      <c r="AC2426" s="81">
        <f t="shared" si="114"/>
        <v>351.79657472924185</v>
      </c>
      <c r="AD2426" s="82">
        <f t="shared" si="115"/>
        <v>19.785714285714285</v>
      </c>
      <c r="AE2426" s="218">
        <v>0</v>
      </c>
      <c r="AF2426">
        <v>0</v>
      </c>
      <c r="AH2426" t="str">
        <f t="shared" si="116"/>
        <v>Musrigharari</v>
      </c>
      <c r="AJ2426" s="72">
        <v>0</v>
      </c>
      <c r="AK2426" s="72"/>
      <c r="AL2426" s="72"/>
      <c r="AM2426" s="72"/>
    </row>
    <row r="2427" spans="1:39" x14ac:dyDescent="0.25">
      <c r="A2427" s="37" t="s">
        <v>62</v>
      </c>
      <c r="B2427" s="66" t="s">
        <v>1629</v>
      </c>
      <c r="C2427" s="41">
        <v>1013</v>
      </c>
      <c r="D2427" s="41" t="s">
        <v>351</v>
      </c>
      <c r="E2427" s="41">
        <v>10130081</v>
      </c>
      <c r="F2427" s="85" t="s">
        <v>1270</v>
      </c>
      <c r="G2427" s="39" t="s">
        <v>635</v>
      </c>
      <c r="H2427" s="52" t="s">
        <v>99</v>
      </c>
      <c r="I2427" s="52">
        <v>81.100000000000009</v>
      </c>
      <c r="J2427" s="49">
        <v>3000.58</v>
      </c>
      <c r="K2427" s="58">
        <v>0</v>
      </c>
      <c r="L2427" s="58">
        <v>0</v>
      </c>
      <c r="M2427" s="58">
        <v>0</v>
      </c>
      <c r="N2427" s="58">
        <v>0</v>
      </c>
      <c r="O2427" s="58">
        <v>0</v>
      </c>
      <c r="P2427" s="53">
        <v>0</v>
      </c>
      <c r="Q2427" s="65">
        <v>3000.58</v>
      </c>
      <c r="R2427" s="65">
        <v>0</v>
      </c>
      <c r="S2427" s="65">
        <v>0</v>
      </c>
      <c r="T2427" s="65">
        <v>0</v>
      </c>
      <c r="U2427" s="58">
        <v>0</v>
      </c>
      <c r="V2427" s="65">
        <v>0</v>
      </c>
      <c r="W2427" s="65">
        <v>0</v>
      </c>
      <c r="X2427" s="65">
        <v>0</v>
      </c>
      <c r="Y2427" s="65">
        <v>0</v>
      </c>
      <c r="Z2427" s="51">
        <v>3000.58</v>
      </c>
      <c r="AA2427" s="51">
        <v>0</v>
      </c>
      <c r="AB2427" s="102">
        <v>0</v>
      </c>
      <c r="AC2427" s="81">
        <f t="shared" si="114"/>
        <v>457.96768483353884</v>
      </c>
      <c r="AD2427" s="82">
        <f t="shared" si="115"/>
        <v>11.585714285714287</v>
      </c>
      <c r="AE2427" s="218">
        <v>0</v>
      </c>
      <c r="AF2427">
        <v>0</v>
      </c>
      <c r="AH2427" t="str">
        <f t="shared" si="116"/>
        <v>Musrigharari</v>
      </c>
      <c r="AJ2427" s="72">
        <v>0</v>
      </c>
      <c r="AK2427" s="72"/>
      <c r="AL2427" s="72"/>
      <c r="AM2427" s="72"/>
    </row>
    <row r="2428" spans="1:39" x14ac:dyDescent="0.25">
      <c r="A2428" s="37" t="s">
        <v>62</v>
      </c>
      <c r="B2428" s="66" t="s">
        <v>1629</v>
      </c>
      <c r="C2428" s="41">
        <v>1013</v>
      </c>
      <c r="D2428" s="41" t="s">
        <v>351</v>
      </c>
      <c r="E2428" s="41">
        <v>10130083</v>
      </c>
      <c r="F2428" s="85" t="s">
        <v>500</v>
      </c>
      <c r="G2428" s="39" t="s">
        <v>635</v>
      </c>
      <c r="H2428" s="52" t="s">
        <v>99</v>
      </c>
      <c r="I2428" s="52">
        <v>1362.4000000000003</v>
      </c>
      <c r="J2428" s="49">
        <v>44821.549999999996</v>
      </c>
      <c r="K2428" s="58">
        <v>0</v>
      </c>
      <c r="L2428" s="58">
        <v>0</v>
      </c>
      <c r="M2428" s="58">
        <v>0</v>
      </c>
      <c r="N2428" s="58">
        <v>0</v>
      </c>
      <c r="O2428" s="58">
        <v>0</v>
      </c>
      <c r="P2428" s="53">
        <v>0</v>
      </c>
      <c r="Q2428" s="65">
        <v>44821.549999999996</v>
      </c>
      <c r="R2428" s="65">
        <v>0</v>
      </c>
      <c r="S2428" s="65">
        <v>0</v>
      </c>
      <c r="T2428" s="65">
        <v>0</v>
      </c>
      <c r="U2428" s="58">
        <v>0</v>
      </c>
      <c r="V2428" s="65">
        <v>0</v>
      </c>
      <c r="W2428" s="65">
        <v>0</v>
      </c>
      <c r="X2428" s="65">
        <v>0</v>
      </c>
      <c r="Y2428" s="65">
        <v>0</v>
      </c>
      <c r="Z2428" s="51">
        <v>44821.549999999996</v>
      </c>
      <c r="AA2428" s="51">
        <v>0</v>
      </c>
      <c r="AB2428" s="102">
        <v>0</v>
      </c>
      <c r="AC2428" s="81">
        <f t="shared" si="114"/>
        <v>0</v>
      </c>
      <c r="AD2428" s="82">
        <f t="shared" si="115"/>
        <v>0</v>
      </c>
      <c r="AE2428" s="218">
        <v>0</v>
      </c>
      <c r="AF2428">
        <v>0</v>
      </c>
      <c r="AH2428" t="str">
        <f t="shared" si="116"/>
        <v>Musrigharari</v>
      </c>
      <c r="AJ2428" s="72">
        <v>0</v>
      </c>
      <c r="AK2428" s="72"/>
      <c r="AL2428" s="72"/>
      <c r="AM2428" s="72"/>
    </row>
    <row r="2429" spans="1:39" x14ac:dyDescent="0.25">
      <c r="A2429" s="37" t="s">
        <v>62</v>
      </c>
      <c r="B2429" s="66" t="s">
        <v>1629</v>
      </c>
      <c r="C2429" s="41">
        <v>1013</v>
      </c>
      <c r="D2429" s="41" t="s">
        <v>351</v>
      </c>
      <c r="E2429" s="41">
        <v>10130093</v>
      </c>
      <c r="F2429" s="85" t="s">
        <v>578</v>
      </c>
      <c r="G2429" s="39" t="s">
        <v>93</v>
      </c>
      <c r="H2429" s="52" t="s">
        <v>94</v>
      </c>
      <c r="I2429" s="52">
        <v>227.10000000000002</v>
      </c>
      <c r="J2429" s="49">
        <v>8358.7800000000007</v>
      </c>
      <c r="K2429" s="58">
        <v>204.57999999999998</v>
      </c>
      <c r="L2429" s="58">
        <v>7565.7503852598802</v>
      </c>
      <c r="M2429" s="58">
        <v>24.400000000000002</v>
      </c>
      <c r="N2429" s="58">
        <v>952.8980825916002</v>
      </c>
      <c r="O2429" s="58">
        <v>228.98</v>
      </c>
      <c r="P2429" s="53">
        <v>8518.6484678514807</v>
      </c>
      <c r="Q2429" s="65">
        <v>8358.7800000000007</v>
      </c>
      <c r="R2429" s="65">
        <v>0</v>
      </c>
      <c r="S2429" s="65">
        <v>0</v>
      </c>
      <c r="T2429" s="65">
        <v>159.86846785148009</v>
      </c>
      <c r="U2429" s="58">
        <v>0</v>
      </c>
      <c r="V2429" s="65">
        <v>48.180077419354838</v>
      </c>
      <c r="W2429" s="65">
        <v>0</v>
      </c>
      <c r="X2429" s="65">
        <v>7358</v>
      </c>
      <c r="Y2429" s="65">
        <v>953</v>
      </c>
      <c r="Z2429" s="51">
        <v>0</v>
      </c>
      <c r="AA2429" s="51">
        <v>0</v>
      </c>
      <c r="AB2429" s="102">
        <v>0</v>
      </c>
      <c r="AC2429" s="81">
        <f t="shared" si="114"/>
        <v>348.11687027741078</v>
      </c>
      <c r="AD2429" s="82">
        <f t="shared" si="115"/>
        <v>32.442857142857143</v>
      </c>
      <c r="AE2429" s="218">
        <v>-1.9125813557897213E-2</v>
      </c>
      <c r="AF2429">
        <v>3</v>
      </c>
      <c r="AH2429" t="str">
        <f t="shared" si="116"/>
        <v>Musrigharari</v>
      </c>
      <c r="AJ2429" s="72">
        <v>0</v>
      </c>
      <c r="AK2429" s="72"/>
      <c r="AL2429" s="72"/>
      <c r="AM2429" s="72"/>
    </row>
    <row r="2430" spans="1:39" x14ac:dyDescent="0.25">
      <c r="A2430" s="37" t="s">
        <v>62</v>
      </c>
      <c r="B2430" s="66" t="s">
        <v>1629</v>
      </c>
      <c r="C2430" s="41">
        <v>1013</v>
      </c>
      <c r="D2430" s="41" t="s">
        <v>351</v>
      </c>
      <c r="E2430" s="41">
        <v>10130095</v>
      </c>
      <c r="F2430" s="85" t="s">
        <v>579</v>
      </c>
      <c r="G2430" s="39" t="s">
        <v>93</v>
      </c>
      <c r="H2430" s="52" t="s">
        <v>94</v>
      </c>
      <c r="I2430" s="52">
        <v>0.1</v>
      </c>
      <c r="J2430" s="49">
        <v>4.09</v>
      </c>
      <c r="K2430" s="58">
        <v>0</v>
      </c>
      <c r="L2430" s="58">
        <v>0</v>
      </c>
      <c r="M2430" s="58">
        <v>0</v>
      </c>
      <c r="N2430" s="58">
        <v>0</v>
      </c>
      <c r="O2430" s="58">
        <v>0</v>
      </c>
      <c r="P2430" s="53">
        <v>0</v>
      </c>
      <c r="Q2430" s="65">
        <v>0</v>
      </c>
      <c r="R2430" s="65">
        <v>0</v>
      </c>
      <c r="S2430" s="65">
        <v>0</v>
      </c>
      <c r="T2430" s="65">
        <v>0</v>
      </c>
      <c r="U2430" s="58">
        <v>0</v>
      </c>
      <c r="V2430" s="65">
        <v>0</v>
      </c>
      <c r="W2430" s="65">
        <v>0</v>
      </c>
      <c r="X2430" s="65">
        <v>0</v>
      </c>
      <c r="Y2430" s="65">
        <v>0</v>
      </c>
      <c r="Z2430" s="51">
        <v>0</v>
      </c>
      <c r="AA2430" s="51">
        <v>4</v>
      </c>
      <c r="AB2430" s="102" t="s">
        <v>68</v>
      </c>
      <c r="AC2430" s="81">
        <f t="shared" si="114"/>
        <v>572.51819999999998</v>
      </c>
      <c r="AD2430" s="82">
        <f t="shared" si="115"/>
        <v>1.4285714285714287E-2</v>
      </c>
      <c r="AE2430" s="218">
        <v>1</v>
      </c>
      <c r="AF2430">
        <v>0</v>
      </c>
      <c r="AH2430" t="str">
        <f t="shared" si="116"/>
        <v>Musrigharari</v>
      </c>
      <c r="AJ2430" s="72">
        <v>0</v>
      </c>
      <c r="AK2430" s="72"/>
      <c r="AL2430" s="72"/>
      <c r="AM2430" s="72"/>
    </row>
    <row r="2431" spans="1:39" x14ac:dyDescent="0.25">
      <c r="A2431" s="37" t="s">
        <v>62</v>
      </c>
      <c r="B2431" s="66" t="s">
        <v>1629</v>
      </c>
      <c r="C2431" s="41">
        <v>1013</v>
      </c>
      <c r="D2431" s="41" t="s">
        <v>351</v>
      </c>
      <c r="E2431" s="41">
        <v>10130097</v>
      </c>
      <c r="F2431" s="85" t="s">
        <v>835</v>
      </c>
      <c r="G2431" s="39" t="s">
        <v>93</v>
      </c>
      <c r="H2431" s="52" t="s">
        <v>94</v>
      </c>
      <c r="I2431" s="52">
        <v>58.899999999999991</v>
      </c>
      <c r="J2431" s="49">
        <v>2131.33</v>
      </c>
      <c r="K2431" s="58">
        <v>115.2</v>
      </c>
      <c r="L2431" s="58">
        <v>4317.5512511999996</v>
      </c>
      <c r="M2431" s="58">
        <v>0</v>
      </c>
      <c r="N2431" s="58">
        <v>0</v>
      </c>
      <c r="O2431" s="58">
        <v>115.2</v>
      </c>
      <c r="P2431" s="53">
        <v>4317.5512511999996</v>
      </c>
      <c r="Q2431" s="65">
        <v>2131.33</v>
      </c>
      <c r="R2431" s="65">
        <v>0</v>
      </c>
      <c r="S2431" s="65">
        <v>0</v>
      </c>
      <c r="T2431" s="65">
        <v>2186.2212511999996</v>
      </c>
      <c r="U2431" s="58">
        <v>0</v>
      </c>
      <c r="V2431" s="65">
        <v>59.778406779661026</v>
      </c>
      <c r="W2431" s="65">
        <v>0</v>
      </c>
      <c r="X2431" s="65">
        <v>2071</v>
      </c>
      <c r="Y2431" s="65">
        <v>0</v>
      </c>
      <c r="Z2431" s="51">
        <v>0</v>
      </c>
      <c r="AA2431" s="51">
        <v>1</v>
      </c>
      <c r="AB2431" s="102">
        <v>0</v>
      </c>
      <c r="AC2431" s="81">
        <f t="shared" si="114"/>
        <v>463.97136264855698</v>
      </c>
      <c r="AD2431" s="82">
        <f t="shared" si="115"/>
        <v>8.4142857142857128</v>
      </c>
      <c r="AE2431" s="218">
        <v>-1.0257544590466985</v>
      </c>
      <c r="AF2431">
        <v>1</v>
      </c>
      <c r="AH2431" t="str">
        <f t="shared" si="116"/>
        <v>Musrigharari</v>
      </c>
      <c r="AJ2431" s="72">
        <v>0</v>
      </c>
      <c r="AK2431" s="72"/>
      <c r="AL2431" s="72"/>
      <c r="AM2431" s="72"/>
    </row>
    <row r="2432" spans="1:39" x14ac:dyDescent="0.25">
      <c r="A2432" s="37" t="s">
        <v>62</v>
      </c>
      <c r="B2432" s="66" t="s">
        <v>1629</v>
      </c>
      <c r="C2432" s="41">
        <v>1013</v>
      </c>
      <c r="D2432" s="41" t="s">
        <v>351</v>
      </c>
      <c r="E2432" s="41">
        <v>10130098</v>
      </c>
      <c r="F2432" s="85" t="s">
        <v>646</v>
      </c>
      <c r="G2432" s="39" t="s">
        <v>93</v>
      </c>
      <c r="H2432" s="52" t="s">
        <v>94</v>
      </c>
      <c r="I2432" s="52">
        <v>1199.8</v>
      </c>
      <c r="J2432" s="49">
        <v>44174.939999999995</v>
      </c>
      <c r="K2432" s="58">
        <v>1213.7700000000002</v>
      </c>
      <c r="L2432" s="58">
        <v>45291.29964096925</v>
      </c>
      <c r="M2432" s="58">
        <v>0</v>
      </c>
      <c r="N2432" s="58">
        <v>0</v>
      </c>
      <c r="O2432" s="58">
        <v>1213.7700000000002</v>
      </c>
      <c r="P2432" s="53">
        <v>45291.29964096925</v>
      </c>
      <c r="Q2432" s="65">
        <v>44174.939999999995</v>
      </c>
      <c r="R2432" s="65">
        <v>0</v>
      </c>
      <c r="S2432" s="65">
        <v>0</v>
      </c>
      <c r="T2432" s="65">
        <v>1116.3596409692545</v>
      </c>
      <c r="U2432" s="58">
        <v>0</v>
      </c>
      <c r="V2432" s="65">
        <v>0</v>
      </c>
      <c r="W2432" s="65">
        <v>0</v>
      </c>
      <c r="X2432" s="65">
        <v>44175</v>
      </c>
      <c r="Y2432" s="65">
        <v>0</v>
      </c>
      <c r="Z2432" s="51">
        <v>0</v>
      </c>
      <c r="AA2432" s="51">
        <v>0</v>
      </c>
      <c r="AB2432" s="102">
        <v>0</v>
      </c>
      <c r="AC2432" s="81">
        <f t="shared" si="114"/>
        <v>0</v>
      </c>
      <c r="AD2432" s="82">
        <f t="shared" si="115"/>
        <v>0</v>
      </c>
      <c r="AE2432" s="218">
        <v>-2.5271333497436661E-2</v>
      </c>
      <c r="AF2432">
        <v>4</v>
      </c>
      <c r="AH2432" t="str">
        <f t="shared" si="116"/>
        <v>Musrigharari</v>
      </c>
      <c r="AJ2432" s="72">
        <v>0</v>
      </c>
      <c r="AK2432" s="72"/>
      <c r="AL2432" s="72"/>
      <c r="AM2432" s="72"/>
    </row>
    <row r="2433" spans="1:39" x14ac:dyDescent="0.25">
      <c r="A2433" s="37" t="s">
        <v>62</v>
      </c>
      <c r="B2433" s="66" t="s">
        <v>1629</v>
      </c>
      <c r="C2433" s="41">
        <v>1013</v>
      </c>
      <c r="D2433" s="41" t="s">
        <v>351</v>
      </c>
      <c r="E2433" s="41">
        <v>10130100</v>
      </c>
      <c r="F2433" s="85" t="s">
        <v>696</v>
      </c>
      <c r="G2433" s="39" t="s">
        <v>93</v>
      </c>
      <c r="H2433" s="52" t="s">
        <v>94</v>
      </c>
      <c r="I2433" s="52">
        <v>121.89999999999999</v>
      </c>
      <c r="J2433" s="49">
        <v>4819.2899999999991</v>
      </c>
      <c r="K2433" s="58">
        <v>121.6</v>
      </c>
      <c r="L2433" s="58">
        <v>4804.245617292001</v>
      </c>
      <c r="M2433" s="58">
        <v>0.81</v>
      </c>
      <c r="N2433" s="58">
        <v>30.180015359999999</v>
      </c>
      <c r="O2433" s="58">
        <v>122.41</v>
      </c>
      <c r="P2433" s="53">
        <v>4834.4256326520008</v>
      </c>
      <c r="Q2433" s="65">
        <v>4819.2899999999991</v>
      </c>
      <c r="R2433" s="65">
        <v>0</v>
      </c>
      <c r="S2433" s="65">
        <v>30.180015359999999</v>
      </c>
      <c r="T2433" s="65">
        <v>15.135632652001732</v>
      </c>
      <c r="U2433" s="58">
        <v>0</v>
      </c>
      <c r="V2433" s="65">
        <v>0</v>
      </c>
      <c r="W2433" s="65">
        <v>0</v>
      </c>
      <c r="X2433" s="65">
        <v>4789</v>
      </c>
      <c r="Y2433" s="65">
        <v>0</v>
      </c>
      <c r="Z2433" s="51">
        <v>0</v>
      </c>
      <c r="AA2433" s="51">
        <v>0</v>
      </c>
      <c r="AB2433" s="102">
        <v>0</v>
      </c>
      <c r="AC2433" s="81">
        <f t="shared" si="114"/>
        <v>457.10115652173909</v>
      </c>
      <c r="AD2433" s="82">
        <f t="shared" si="115"/>
        <v>17.414285714285715</v>
      </c>
      <c r="AE2433" s="218">
        <v>-3.1406353740907342E-3</v>
      </c>
      <c r="AF2433">
        <v>3</v>
      </c>
      <c r="AH2433" t="str">
        <f t="shared" si="116"/>
        <v>Musrigharari</v>
      </c>
      <c r="AJ2433" s="72">
        <v>0</v>
      </c>
      <c r="AK2433" s="72"/>
      <c r="AL2433" s="72"/>
      <c r="AM2433" s="72"/>
    </row>
    <row r="2434" spans="1:39" x14ac:dyDescent="0.25">
      <c r="A2434" s="37" t="s">
        <v>62</v>
      </c>
      <c r="B2434" s="66" t="s">
        <v>1629</v>
      </c>
      <c r="C2434" s="41">
        <v>1061</v>
      </c>
      <c r="D2434" s="41" t="s">
        <v>1452</v>
      </c>
      <c r="E2434" s="41">
        <v>10130101</v>
      </c>
      <c r="F2434" s="85" t="s">
        <v>1562</v>
      </c>
      <c r="G2434" s="39" t="s">
        <v>635</v>
      </c>
      <c r="H2434" s="52" t="s">
        <v>99</v>
      </c>
      <c r="I2434" s="52">
        <v>110.60000000000001</v>
      </c>
      <c r="J2434" s="49">
        <v>4447.04</v>
      </c>
      <c r="K2434" s="58">
        <v>0</v>
      </c>
      <c r="L2434" s="58">
        <v>0</v>
      </c>
      <c r="M2434" s="58">
        <v>0</v>
      </c>
      <c r="N2434" s="58">
        <v>0</v>
      </c>
      <c r="O2434" s="58">
        <v>0</v>
      </c>
      <c r="P2434" s="53">
        <v>0</v>
      </c>
      <c r="Q2434" s="65">
        <v>4447.04</v>
      </c>
      <c r="R2434" s="65">
        <v>0</v>
      </c>
      <c r="S2434" s="65">
        <v>0</v>
      </c>
      <c r="T2434" s="65">
        <v>0</v>
      </c>
      <c r="U2434" s="58">
        <v>0</v>
      </c>
      <c r="V2434" s="65">
        <v>0</v>
      </c>
      <c r="W2434" s="65">
        <v>0</v>
      </c>
      <c r="X2434" s="65">
        <v>0</v>
      </c>
      <c r="Y2434" s="65">
        <v>0</v>
      </c>
      <c r="Z2434" s="51">
        <v>4447.04</v>
      </c>
      <c r="AA2434" s="51">
        <v>0</v>
      </c>
      <c r="AB2434" s="102">
        <v>0</v>
      </c>
      <c r="AC2434" s="81">
        <f t="shared" ref="AC2434:AC2497" si="117">((IF(AD2434=0,0,100-AD2434))*7*(J2434/I2434))*2%</f>
        <v>473.97565569620252</v>
      </c>
      <c r="AD2434" s="82">
        <f t="shared" ref="AD2434:AD2497" si="118">IF((I2434/7)&gt;100,0,(I2434/7))</f>
        <v>15.8</v>
      </c>
      <c r="AE2434" s="218">
        <v>0</v>
      </c>
      <c r="AF2434">
        <v>0</v>
      </c>
      <c r="AH2434" t="str">
        <f t="shared" si="116"/>
        <v>Mahua BMC</v>
      </c>
      <c r="AJ2434" s="72">
        <v>0</v>
      </c>
      <c r="AK2434" s="72"/>
      <c r="AL2434" s="72"/>
      <c r="AM2434" s="72"/>
    </row>
    <row r="2435" spans="1:39" x14ac:dyDescent="0.25">
      <c r="A2435" s="37" t="s">
        <v>62</v>
      </c>
      <c r="B2435" s="66" t="s">
        <v>1629</v>
      </c>
      <c r="C2435" s="41">
        <v>1013</v>
      </c>
      <c r="D2435" s="41" t="s">
        <v>351</v>
      </c>
      <c r="E2435" s="41">
        <v>10130102</v>
      </c>
      <c r="F2435" s="85" t="s">
        <v>697</v>
      </c>
      <c r="G2435" s="39" t="s">
        <v>635</v>
      </c>
      <c r="H2435" s="52" t="s">
        <v>94</v>
      </c>
      <c r="I2435" s="52">
        <v>23.6</v>
      </c>
      <c r="J2435" s="49">
        <v>687.23</v>
      </c>
      <c r="K2435" s="58">
        <v>23.6</v>
      </c>
      <c r="L2435" s="58">
        <v>687.23206041600008</v>
      </c>
      <c r="M2435" s="58">
        <v>0</v>
      </c>
      <c r="N2435" s="58">
        <v>0</v>
      </c>
      <c r="O2435" s="58">
        <v>23.6</v>
      </c>
      <c r="P2435" s="53">
        <v>687.23206041600008</v>
      </c>
      <c r="Q2435" s="65">
        <v>687.23</v>
      </c>
      <c r="R2435" s="65">
        <v>0</v>
      </c>
      <c r="S2435" s="65">
        <v>0</v>
      </c>
      <c r="T2435" s="65">
        <v>2.0604160000630145E-3</v>
      </c>
      <c r="U2435" s="58">
        <v>0</v>
      </c>
      <c r="V2435" s="65">
        <v>0</v>
      </c>
      <c r="W2435" s="65">
        <v>0</v>
      </c>
      <c r="X2435" s="65">
        <v>687</v>
      </c>
      <c r="Y2435" s="65">
        <v>0</v>
      </c>
      <c r="Z2435" s="51">
        <v>0</v>
      </c>
      <c r="AA2435" s="51">
        <v>0</v>
      </c>
      <c r="AB2435" s="102">
        <v>0</v>
      </c>
      <c r="AC2435" s="81">
        <f t="shared" si="117"/>
        <v>393.93421355932207</v>
      </c>
      <c r="AD2435" s="82">
        <f t="shared" si="118"/>
        <v>3.3714285714285714</v>
      </c>
      <c r="AE2435" s="218">
        <v>-2.9981461811373403E-6</v>
      </c>
      <c r="AF2435">
        <v>1</v>
      </c>
      <c r="AH2435" t="str">
        <f t="shared" si="116"/>
        <v>Musrigharari</v>
      </c>
      <c r="AJ2435" s="72">
        <v>0</v>
      </c>
      <c r="AK2435" s="72"/>
      <c r="AL2435" s="72"/>
      <c r="AM2435" s="72"/>
    </row>
    <row r="2436" spans="1:39" x14ac:dyDescent="0.25">
      <c r="A2436" s="37" t="s">
        <v>62</v>
      </c>
      <c r="B2436" s="66" t="s">
        <v>1629</v>
      </c>
      <c r="C2436" s="41">
        <v>1013</v>
      </c>
      <c r="D2436" s="41" t="s">
        <v>351</v>
      </c>
      <c r="E2436" s="41">
        <v>10130107</v>
      </c>
      <c r="F2436" s="85" t="s">
        <v>522</v>
      </c>
      <c r="G2436" s="39" t="s">
        <v>635</v>
      </c>
      <c r="H2436" s="52" t="s">
        <v>99</v>
      </c>
      <c r="I2436" s="52">
        <v>218.9</v>
      </c>
      <c r="J2436" s="49">
        <v>8987.3299999999981</v>
      </c>
      <c r="K2436" s="58">
        <v>0</v>
      </c>
      <c r="L2436" s="58">
        <v>0</v>
      </c>
      <c r="M2436" s="58">
        <v>0</v>
      </c>
      <c r="N2436" s="58">
        <v>0</v>
      </c>
      <c r="O2436" s="58">
        <v>0</v>
      </c>
      <c r="P2436" s="53">
        <v>0</v>
      </c>
      <c r="Q2436" s="65">
        <v>8987.3299999999981</v>
      </c>
      <c r="R2436" s="65">
        <v>0</v>
      </c>
      <c r="S2436" s="65">
        <v>0</v>
      </c>
      <c r="T2436" s="65">
        <v>0</v>
      </c>
      <c r="U2436" s="58">
        <v>7500</v>
      </c>
      <c r="V2436" s="65">
        <v>133.32652258064513</v>
      </c>
      <c r="W2436" s="65">
        <v>0</v>
      </c>
      <c r="X2436" s="65">
        <v>0</v>
      </c>
      <c r="Y2436" s="65">
        <v>0</v>
      </c>
      <c r="Z2436" s="51">
        <v>1354.003477419353</v>
      </c>
      <c r="AA2436" s="51">
        <v>0</v>
      </c>
      <c r="AB2436" s="102">
        <v>0</v>
      </c>
      <c r="AC2436" s="81">
        <f t="shared" si="117"/>
        <v>395.0483748743718</v>
      </c>
      <c r="AD2436" s="82">
        <f t="shared" si="118"/>
        <v>31.271428571428572</v>
      </c>
      <c r="AE2436" s="218">
        <v>0</v>
      </c>
      <c r="AF2436">
        <v>0</v>
      </c>
      <c r="AH2436" t="str">
        <f t="shared" si="116"/>
        <v>Musrigharari</v>
      </c>
      <c r="AJ2436" s="72">
        <v>0</v>
      </c>
      <c r="AK2436" s="72"/>
      <c r="AL2436" s="72"/>
      <c r="AM2436" s="72"/>
    </row>
    <row r="2437" spans="1:39" x14ac:dyDescent="0.25">
      <c r="A2437" s="37" t="s">
        <v>62</v>
      </c>
      <c r="B2437" s="66" t="s">
        <v>1629</v>
      </c>
      <c r="C2437" s="41">
        <v>1013</v>
      </c>
      <c r="D2437" s="41" t="s">
        <v>351</v>
      </c>
      <c r="E2437" s="41">
        <v>10130111</v>
      </c>
      <c r="F2437" s="85" t="s">
        <v>1271</v>
      </c>
      <c r="G2437" s="39" t="s">
        <v>635</v>
      </c>
      <c r="H2437" s="52" t="s">
        <v>99</v>
      </c>
      <c r="I2437" s="52">
        <v>1890</v>
      </c>
      <c r="J2437" s="49">
        <v>55179.5</v>
      </c>
      <c r="K2437" s="58">
        <v>0</v>
      </c>
      <c r="L2437" s="58">
        <v>0</v>
      </c>
      <c r="M2437" s="58">
        <v>0</v>
      </c>
      <c r="N2437" s="58">
        <v>0</v>
      </c>
      <c r="O2437" s="58">
        <v>0</v>
      </c>
      <c r="P2437" s="53">
        <v>0</v>
      </c>
      <c r="Q2437" s="65">
        <v>55179.5</v>
      </c>
      <c r="R2437" s="65">
        <v>0</v>
      </c>
      <c r="S2437" s="65">
        <v>0</v>
      </c>
      <c r="T2437" s="65">
        <v>0</v>
      </c>
      <c r="U2437" s="58">
        <v>0</v>
      </c>
      <c r="V2437" s="65">
        <v>0</v>
      </c>
      <c r="W2437" s="65">
        <v>0</v>
      </c>
      <c r="X2437" s="65">
        <v>0</v>
      </c>
      <c r="Y2437" s="65">
        <v>0</v>
      </c>
      <c r="Z2437" s="51">
        <v>55179.5</v>
      </c>
      <c r="AA2437" s="51">
        <v>0</v>
      </c>
      <c r="AB2437" s="102">
        <v>0</v>
      </c>
      <c r="AC2437" s="81">
        <f t="shared" si="117"/>
        <v>0</v>
      </c>
      <c r="AD2437" s="82">
        <f t="shared" si="118"/>
        <v>0</v>
      </c>
      <c r="AE2437" s="218">
        <v>0</v>
      </c>
      <c r="AF2437">
        <v>0</v>
      </c>
      <c r="AH2437" t="str">
        <f t="shared" si="116"/>
        <v>Musrigharari</v>
      </c>
      <c r="AJ2437" s="72">
        <v>0</v>
      </c>
      <c r="AK2437" s="72"/>
      <c r="AL2437" s="72"/>
      <c r="AM2437" s="72"/>
    </row>
    <row r="2438" spans="1:39" x14ac:dyDescent="0.25">
      <c r="A2438" s="37" t="s">
        <v>62</v>
      </c>
      <c r="B2438" s="66" t="s">
        <v>1629</v>
      </c>
      <c r="C2438" s="41">
        <v>1013</v>
      </c>
      <c r="D2438" s="41" t="s">
        <v>351</v>
      </c>
      <c r="E2438" s="41">
        <v>10130113</v>
      </c>
      <c r="F2438" s="85" t="s">
        <v>1307</v>
      </c>
      <c r="G2438" s="39" t="s">
        <v>635</v>
      </c>
      <c r="H2438" s="52" t="s">
        <v>99</v>
      </c>
      <c r="I2438" s="52">
        <v>619</v>
      </c>
      <c r="J2438" s="49">
        <v>22286.17</v>
      </c>
      <c r="K2438" s="58">
        <v>0</v>
      </c>
      <c r="L2438" s="58">
        <v>0</v>
      </c>
      <c r="M2438" s="58">
        <v>0</v>
      </c>
      <c r="N2438" s="58">
        <v>0</v>
      </c>
      <c r="O2438" s="58">
        <v>0</v>
      </c>
      <c r="P2438" s="53">
        <v>0</v>
      </c>
      <c r="Q2438" s="65">
        <v>22286.17</v>
      </c>
      <c r="R2438" s="65">
        <v>0</v>
      </c>
      <c r="S2438" s="65">
        <v>0</v>
      </c>
      <c r="T2438" s="65">
        <v>0</v>
      </c>
      <c r="U2438" s="58">
        <v>0</v>
      </c>
      <c r="V2438" s="65">
        <v>0</v>
      </c>
      <c r="W2438" s="65">
        <v>0</v>
      </c>
      <c r="X2438" s="65">
        <v>0</v>
      </c>
      <c r="Y2438" s="65">
        <v>0</v>
      </c>
      <c r="Z2438" s="51">
        <v>22286.17</v>
      </c>
      <c r="AA2438" s="51">
        <v>0</v>
      </c>
      <c r="AB2438" s="102">
        <v>0</v>
      </c>
      <c r="AC2438" s="81">
        <f t="shared" si="117"/>
        <v>58.325679159935369</v>
      </c>
      <c r="AD2438" s="82">
        <f t="shared" si="118"/>
        <v>88.428571428571431</v>
      </c>
      <c r="AE2438" s="218">
        <v>0</v>
      </c>
      <c r="AF2438">
        <v>0</v>
      </c>
      <c r="AH2438" t="str">
        <f t="shared" si="116"/>
        <v>Musrigharari</v>
      </c>
      <c r="AJ2438" s="72">
        <v>0</v>
      </c>
      <c r="AK2438" s="72"/>
      <c r="AL2438" s="72"/>
      <c r="AM2438" s="72"/>
    </row>
    <row r="2439" spans="1:39" x14ac:dyDescent="0.25">
      <c r="A2439" s="37" t="s">
        <v>62</v>
      </c>
      <c r="B2439" s="66" t="s">
        <v>1629</v>
      </c>
      <c r="C2439" s="41">
        <v>1013</v>
      </c>
      <c r="D2439" s="41" t="s">
        <v>351</v>
      </c>
      <c r="E2439" s="41">
        <v>10130114</v>
      </c>
      <c r="F2439" s="85" t="s">
        <v>1327</v>
      </c>
      <c r="G2439" s="39" t="s">
        <v>635</v>
      </c>
      <c r="H2439" s="52" t="s">
        <v>99</v>
      </c>
      <c r="I2439" s="52">
        <v>296.60000000000002</v>
      </c>
      <c r="J2439" s="49">
        <v>10311.859999999999</v>
      </c>
      <c r="K2439" s="58">
        <v>0</v>
      </c>
      <c r="L2439" s="58">
        <v>0</v>
      </c>
      <c r="M2439" s="58">
        <v>0</v>
      </c>
      <c r="N2439" s="58">
        <v>0</v>
      </c>
      <c r="O2439" s="58">
        <v>0</v>
      </c>
      <c r="P2439" s="53">
        <v>0</v>
      </c>
      <c r="Q2439" s="65">
        <v>10311.859999999999</v>
      </c>
      <c r="R2439" s="65">
        <v>0</v>
      </c>
      <c r="S2439" s="65">
        <v>0</v>
      </c>
      <c r="T2439" s="65">
        <v>0</v>
      </c>
      <c r="U2439" s="58">
        <v>2700</v>
      </c>
      <c r="V2439" s="65">
        <v>0</v>
      </c>
      <c r="W2439" s="65">
        <v>0</v>
      </c>
      <c r="X2439" s="65">
        <v>0</v>
      </c>
      <c r="Y2439" s="65">
        <v>0</v>
      </c>
      <c r="Z2439" s="51">
        <v>7611.8599999999988</v>
      </c>
      <c r="AA2439" s="51">
        <v>0</v>
      </c>
      <c r="AB2439" s="102">
        <v>0</v>
      </c>
      <c r="AC2439" s="81">
        <f t="shared" si="117"/>
        <v>280.49928010788938</v>
      </c>
      <c r="AD2439" s="82">
        <f t="shared" si="118"/>
        <v>42.371428571428574</v>
      </c>
      <c r="AE2439" s="218">
        <v>0</v>
      </c>
      <c r="AF2439">
        <v>0</v>
      </c>
      <c r="AH2439" t="str">
        <f t="shared" si="116"/>
        <v>Musrigharari</v>
      </c>
      <c r="AJ2439" s="72">
        <v>0</v>
      </c>
      <c r="AK2439" s="72"/>
      <c r="AL2439" s="72"/>
      <c r="AM2439" s="72"/>
    </row>
    <row r="2440" spans="1:39" x14ac:dyDescent="0.25">
      <c r="A2440" s="37" t="s">
        <v>62</v>
      </c>
      <c r="B2440" s="66" t="s">
        <v>1629</v>
      </c>
      <c r="C2440" s="41">
        <v>1013</v>
      </c>
      <c r="D2440" s="41" t="s">
        <v>351</v>
      </c>
      <c r="E2440" s="41">
        <v>10130115</v>
      </c>
      <c r="F2440" s="85" t="s">
        <v>1367</v>
      </c>
      <c r="G2440" s="39" t="s">
        <v>93</v>
      </c>
      <c r="H2440" s="52" t="s">
        <v>94</v>
      </c>
      <c r="I2440" s="52">
        <v>534.5</v>
      </c>
      <c r="J2440" s="49">
        <v>25096.740000000005</v>
      </c>
      <c r="K2440" s="58">
        <v>553</v>
      </c>
      <c r="L2440" s="58">
        <v>24466.4117963922</v>
      </c>
      <c r="M2440" s="58">
        <v>0</v>
      </c>
      <c r="N2440" s="58">
        <v>0</v>
      </c>
      <c r="O2440" s="58">
        <v>553</v>
      </c>
      <c r="P2440" s="53">
        <v>24466.4117963922</v>
      </c>
      <c r="Q2440" s="65">
        <v>24466.4117963922</v>
      </c>
      <c r="R2440" s="65">
        <v>0</v>
      </c>
      <c r="S2440" s="65">
        <v>0</v>
      </c>
      <c r="T2440" s="65">
        <v>0</v>
      </c>
      <c r="U2440" s="58">
        <v>0</v>
      </c>
      <c r="V2440" s="65">
        <v>0</v>
      </c>
      <c r="W2440" s="65">
        <v>0</v>
      </c>
      <c r="X2440" s="65">
        <v>24467</v>
      </c>
      <c r="Y2440" s="65">
        <v>0</v>
      </c>
      <c r="Z2440" s="51">
        <v>0</v>
      </c>
      <c r="AA2440" s="51">
        <v>630</v>
      </c>
      <c r="AB2440" s="102">
        <v>0</v>
      </c>
      <c r="AC2440" s="81">
        <f t="shared" si="117"/>
        <v>155.41666866230122</v>
      </c>
      <c r="AD2440" s="82">
        <f t="shared" si="118"/>
        <v>76.357142857142861</v>
      </c>
      <c r="AE2440" s="218">
        <v>2.5115939504804417E-2</v>
      </c>
      <c r="AF2440">
        <v>2</v>
      </c>
      <c r="AH2440" t="str">
        <f t="shared" si="116"/>
        <v>Musrigharari</v>
      </c>
      <c r="AJ2440" s="72">
        <v>0</v>
      </c>
      <c r="AK2440" s="72"/>
      <c r="AL2440" s="72"/>
      <c r="AM2440" s="72"/>
    </row>
    <row r="2441" spans="1:39" x14ac:dyDescent="0.25">
      <c r="A2441" s="37" t="s">
        <v>62</v>
      </c>
      <c r="B2441" s="66" t="s">
        <v>1629</v>
      </c>
      <c r="C2441" s="41">
        <v>1013</v>
      </c>
      <c r="D2441" s="41" t="s">
        <v>351</v>
      </c>
      <c r="E2441" s="41">
        <v>10130116</v>
      </c>
      <c r="F2441" s="85" t="s">
        <v>1368</v>
      </c>
      <c r="G2441" s="39" t="s">
        <v>93</v>
      </c>
      <c r="H2441" s="52" t="s">
        <v>94</v>
      </c>
      <c r="I2441" s="52">
        <v>73.400000000000006</v>
      </c>
      <c r="J2441" s="49">
        <v>2518.65</v>
      </c>
      <c r="K2441" s="58">
        <v>60.3</v>
      </c>
      <c r="L2441" s="58">
        <v>2046.4604233920002</v>
      </c>
      <c r="M2441" s="58">
        <v>0</v>
      </c>
      <c r="N2441" s="58">
        <v>0</v>
      </c>
      <c r="O2441" s="58">
        <v>60.3</v>
      </c>
      <c r="P2441" s="53">
        <v>2046.4604233920002</v>
      </c>
      <c r="Q2441" s="65">
        <v>2046.4604233920002</v>
      </c>
      <c r="R2441" s="65">
        <v>0</v>
      </c>
      <c r="S2441" s="65">
        <v>0</v>
      </c>
      <c r="T2441" s="65">
        <v>0</v>
      </c>
      <c r="U2441" s="58">
        <v>2</v>
      </c>
      <c r="V2441" s="65">
        <v>35.680529032258072</v>
      </c>
      <c r="W2441" s="65">
        <v>0</v>
      </c>
      <c r="X2441" s="65">
        <v>2009</v>
      </c>
      <c r="Y2441" s="65">
        <v>0</v>
      </c>
      <c r="Z2441" s="51">
        <v>0</v>
      </c>
      <c r="AA2441" s="51">
        <v>472</v>
      </c>
      <c r="AB2441" s="102" t="s">
        <v>68</v>
      </c>
      <c r="AC2441" s="81">
        <f t="shared" si="117"/>
        <v>430.02345776566756</v>
      </c>
      <c r="AD2441" s="82">
        <f t="shared" si="118"/>
        <v>10.485714285714286</v>
      </c>
      <c r="AE2441" s="218">
        <v>0.18747725035554758</v>
      </c>
      <c r="AF2441">
        <v>2</v>
      </c>
      <c r="AH2441" t="str">
        <f t="shared" ref="AH2441:AH2503" si="119">TEXT(D2441,"0000")</f>
        <v>Musrigharari</v>
      </c>
      <c r="AJ2441" s="72">
        <v>0</v>
      </c>
      <c r="AK2441" s="72"/>
      <c r="AL2441" s="72"/>
      <c r="AM2441" s="72"/>
    </row>
    <row r="2442" spans="1:39" x14ac:dyDescent="0.25">
      <c r="A2442" s="37" t="s">
        <v>62</v>
      </c>
      <c r="B2442" s="66" t="s">
        <v>1629</v>
      </c>
      <c r="C2442" s="41">
        <v>1013</v>
      </c>
      <c r="D2442" s="41" t="s">
        <v>351</v>
      </c>
      <c r="E2442" s="41">
        <v>10130117</v>
      </c>
      <c r="F2442" s="85" t="s">
        <v>1392</v>
      </c>
      <c r="G2442" s="39" t="s">
        <v>93</v>
      </c>
      <c r="H2442" s="52" t="s">
        <v>94</v>
      </c>
      <c r="I2442" s="52">
        <v>299.8</v>
      </c>
      <c r="J2442" s="49">
        <v>8545.1299999999992</v>
      </c>
      <c r="K2442" s="58">
        <v>303.99999999999994</v>
      </c>
      <c r="L2442" s="58">
        <v>9077.3051099940003</v>
      </c>
      <c r="M2442" s="58">
        <v>0</v>
      </c>
      <c r="N2442" s="58">
        <v>0</v>
      </c>
      <c r="O2442" s="58">
        <v>303.99999999999994</v>
      </c>
      <c r="P2442" s="53">
        <v>9077.3051099940003</v>
      </c>
      <c r="Q2442" s="65">
        <v>8545.1299999999992</v>
      </c>
      <c r="R2442" s="65">
        <v>0</v>
      </c>
      <c r="S2442" s="65">
        <v>0</v>
      </c>
      <c r="T2442" s="65">
        <v>532.1751099940011</v>
      </c>
      <c r="U2442" s="58">
        <v>2700</v>
      </c>
      <c r="V2442" s="65">
        <v>0</v>
      </c>
      <c r="W2442" s="65">
        <v>0</v>
      </c>
      <c r="X2442" s="65">
        <v>5845</v>
      </c>
      <c r="Y2442" s="65">
        <v>0</v>
      </c>
      <c r="Z2442" s="51">
        <v>0</v>
      </c>
      <c r="AA2442" s="51">
        <v>0</v>
      </c>
      <c r="AB2442" s="102">
        <v>0</v>
      </c>
      <c r="AC2442" s="81">
        <f t="shared" si="117"/>
        <v>228.13615917278182</v>
      </c>
      <c r="AD2442" s="82">
        <f t="shared" si="118"/>
        <v>42.828571428571429</v>
      </c>
      <c r="AE2442" s="218">
        <v>-6.2278175989598887E-2</v>
      </c>
      <c r="AF2442">
        <v>1</v>
      </c>
      <c r="AH2442" t="str">
        <f t="shared" si="119"/>
        <v>Musrigharari</v>
      </c>
      <c r="AJ2442" s="72">
        <v>0</v>
      </c>
      <c r="AK2442" s="72"/>
      <c r="AL2442" s="72"/>
      <c r="AM2442" s="72"/>
    </row>
    <row r="2443" spans="1:39" x14ac:dyDescent="0.25">
      <c r="A2443" s="37" t="s">
        <v>62</v>
      </c>
      <c r="B2443" s="66" t="s">
        <v>1629</v>
      </c>
      <c r="C2443" s="41">
        <v>1013</v>
      </c>
      <c r="D2443" s="41" t="s">
        <v>351</v>
      </c>
      <c r="E2443" s="41">
        <v>10130118</v>
      </c>
      <c r="F2443" s="85" t="s">
        <v>1405</v>
      </c>
      <c r="G2443" s="39" t="s">
        <v>635</v>
      </c>
      <c r="H2443" s="52" t="s">
        <v>99</v>
      </c>
      <c r="I2443" s="52">
        <v>5637.7</v>
      </c>
      <c r="J2443" s="49">
        <v>187890.07</v>
      </c>
      <c r="K2443" s="58">
        <v>0</v>
      </c>
      <c r="L2443" s="58">
        <v>0</v>
      </c>
      <c r="M2443" s="58">
        <v>0</v>
      </c>
      <c r="N2443" s="58">
        <v>0</v>
      </c>
      <c r="O2443" s="58">
        <v>0</v>
      </c>
      <c r="P2443" s="53">
        <v>0</v>
      </c>
      <c r="Q2443" s="65">
        <v>187890.07</v>
      </c>
      <c r="R2443" s="65">
        <v>0</v>
      </c>
      <c r="S2443" s="65">
        <v>0</v>
      </c>
      <c r="T2443" s="65">
        <v>0</v>
      </c>
      <c r="U2443" s="58">
        <v>0</v>
      </c>
      <c r="V2443" s="65">
        <v>0</v>
      </c>
      <c r="W2443" s="65">
        <v>0</v>
      </c>
      <c r="X2443" s="65">
        <v>0</v>
      </c>
      <c r="Y2443" s="65">
        <v>0</v>
      </c>
      <c r="Z2443" s="51">
        <v>187890.07</v>
      </c>
      <c r="AA2443" s="51">
        <v>0</v>
      </c>
      <c r="AB2443" s="102">
        <v>0</v>
      </c>
      <c r="AC2443" s="81">
        <f t="shared" si="117"/>
        <v>0</v>
      </c>
      <c r="AD2443" s="82">
        <f t="shared" si="118"/>
        <v>0</v>
      </c>
      <c r="AE2443" s="218">
        <v>0</v>
      </c>
      <c r="AF2443">
        <v>0</v>
      </c>
      <c r="AH2443" t="str">
        <f t="shared" si="119"/>
        <v>Musrigharari</v>
      </c>
      <c r="AJ2443" s="72">
        <v>0</v>
      </c>
      <c r="AK2443" s="72"/>
      <c r="AL2443" s="72"/>
      <c r="AM2443" s="72"/>
    </row>
    <row r="2444" spans="1:39" x14ac:dyDescent="0.25">
      <c r="A2444" s="37" t="s">
        <v>62</v>
      </c>
      <c r="B2444" s="66" t="s">
        <v>1629</v>
      </c>
      <c r="C2444" s="41">
        <v>1013</v>
      </c>
      <c r="D2444" s="41" t="s">
        <v>351</v>
      </c>
      <c r="E2444" s="41">
        <v>10130120</v>
      </c>
      <c r="F2444" s="85" t="s">
        <v>1588</v>
      </c>
      <c r="G2444" s="39" t="s">
        <v>93</v>
      </c>
      <c r="H2444" s="52" t="s">
        <v>94</v>
      </c>
      <c r="I2444" s="52">
        <v>109.69999999999997</v>
      </c>
      <c r="J2444" s="49">
        <v>4496.9299999999994</v>
      </c>
      <c r="K2444" s="58">
        <v>108.08</v>
      </c>
      <c r="L2444" s="58">
        <v>4527.8729548527599</v>
      </c>
      <c r="M2444" s="58">
        <v>0</v>
      </c>
      <c r="N2444" s="58">
        <v>0</v>
      </c>
      <c r="O2444" s="58">
        <v>108.08</v>
      </c>
      <c r="P2444" s="53">
        <v>4527.8729548527599</v>
      </c>
      <c r="Q2444" s="65">
        <v>4496.9299999999994</v>
      </c>
      <c r="R2444" s="65">
        <v>0</v>
      </c>
      <c r="S2444" s="65">
        <v>0</v>
      </c>
      <c r="T2444" s="65">
        <v>30.942954852760522</v>
      </c>
      <c r="U2444" s="58">
        <v>0</v>
      </c>
      <c r="V2444" s="65">
        <v>0</v>
      </c>
      <c r="W2444" s="65">
        <v>0</v>
      </c>
      <c r="X2444" s="65">
        <v>4497</v>
      </c>
      <c r="Y2444" s="65">
        <v>0</v>
      </c>
      <c r="Z2444" s="51">
        <v>0</v>
      </c>
      <c r="AA2444" s="51">
        <v>0</v>
      </c>
      <c r="AB2444" s="102">
        <v>0</v>
      </c>
      <c r="AC2444" s="81">
        <f t="shared" si="117"/>
        <v>483.96313199635387</v>
      </c>
      <c r="AD2444" s="82">
        <f t="shared" si="118"/>
        <v>15.671428571428567</v>
      </c>
      <c r="AE2444" s="218">
        <v>-6.8809064968235051E-3</v>
      </c>
      <c r="AF2444">
        <v>2</v>
      </c>
      <c r="AH2444" t="str">
        <f t="shared" si="119"/>
        <v>Musrigharari</v>
      </c>
      <c r="AJ2444" s="72">
        <v>0</v>
      </c>
      <c r="AK2444" s="72"/>
      <c r="AL2444" s="72"/>
      <c r="AM2444" s="72"/>
    </row>
    <row r="2445" spans="1:39" x14ac:dyDescent="0.25">
      <c r="A2445" s="37" t="s">
        <v>62</v>
      </c>
      <c r="B2445" s="66" t="s">
        <v>1629</v>
      </c>
      <c r="C2445" s="41">
        <v>1014</v>
      </c>
      <c r="D2445" s="41" t="s">
        <v>376</v>
      </c>
      <c r="E2445" s="41">
        <v>10140001</v>
      </c>
      <c r="F2445" s="85" t="s">
        <v>449</v>
      </c>
      <c r="G2445" s="39" t="s">
        <v>93</v>
      </c>
      <c r="H2445" s="52" t="s">
        <v>94</v>
      </c>
      <c r="I2445" s="52">
        <v>612.60000000000014</v>
      </c>
      <c r="J2445" s="49">
        <v>21246.189999999995</v>
      </c>
      <c r="K2445" s="58">
        <v>433.9</v>
      </c>
      <c r="L2445" s="58">
        <v>21024.9108257679</v>
      </c>
      <c r="M2445" s="58">
        <v>0</v>
      </c>
      <c r="N2445" s="58">
        <v>0</v>
      </c>
      <c r="O2445" s="58">
        <v>433.9</v>
      </c>
      <c r="P2445" s="53">
        <v>21024.9108257679</v>
      </c>
      <c r="Q2445" s="65">
        <v>21024.9108257679</v>
      </c>
      <c r="R2445" s="65">
        <v>0</v>
      </c>
      <c r="S2445" s="65">
        <v>0</v>
      </c>
      <c r="T2445" s="65">
        <v>0</v>
      </c>
      <c r="U2445" s="58">
        <v>4460</v>
      </c>
      <c r="V2445" s="65">
        <v>0</v>
      </c>
      <c r="W2445" s="65">
        <v>0</v>
      </c>
      <c r="X2445" s="65">
        <v>16565</v>
      </c>
      <c r="Y2445" s="65">
        <v>0</v>
      </c>
      <c r="Z2445" s="51">
        <v>0</v>
      </c>
      <c r="AA2445" s="51">
        <v>221</v>
      </c>
      <c r="AB2445" s="102" t="s">
        <v>68</v>
      </c>
      <c r="AC2445" s="81">
        <f t="shared" si="117"/>
        <v>60.624126869082474</v>
      </c>
      <c r="AD2445" s="82">
        <f t="shared" si="118"/>
        <v>87.514285714285734</v>
      </c>
      <c r="AE2445" s="218">
        <v>1.0415004960046726E-2</v>
      </c>
      <c r="AF2445">
        <v>3</v>
      </c>
      <c r="AH2445" t="str">
        <f t="shared" si="119"/>
        <v>Dumraon</v>
      </c>
      <c r="AJ2445" s="72">
        <v>0</v>
      </c>
      <c r="AK2445" s="72"/>
      <c r="AL2445" s="72"/>
      <c r="AM2445" s="72"/>
    </row>
    <row r="2446" spans="1:39" x14ac:dyDescent="0.25">
      <c r="A2446" s="37" t="s">
        <v>62</v>
      </c>
      <c r="B2446" s="66" t="s">
        <v>1629</v>
      </c>
      <c r="C2446" s="41">
        <v>1014</v>
      </c>
      <c r="D2446" s="41" t="s">
        <v>376</v>
      </c>
      <c r="E2446" s="41">
        <v>10140002</v>
      </c>
      <c r="F2446" s="85" t="s">
        <v>377</v>
      </c>
      <c r="G2446" s="39" t="s">
        <v>93</v>
      </c>
      <c r="H2446" s="52" t="s">
        <v>94</v>
      </c>
      <c r="I2446" s="52">
        <v>799.1</v>
      </c>
      <c r="J2446" s="49">
        <v>29239.66</v>
      </c>
      <c r="K2446" s="58">
        <v>1003.5399999999998</v>
      </c>
      <c r="L2446" s="58">
        <v>36795.071607624013</v>
      </c>
      <c r="M2446" s="58">
        <v>0</v>
      </c>
      <c r="N2446" s="58">
        <v>0</v>
      </c>
      <c r="O2446" s="58">
        <v>1003.5399999999998</v>
      </c>
      <c r="P2446" s="53">
        <v>36795.071607624013</v>
      </c>
      <c r="Q2446" s="65">
        <v>29239.66</v>
      </c>
      <c r="R2446" s="65">
        <v>0</v>
      </c>
      <c r="S2446" s="65">
        <v>0</v>
      </c>
      <c r="T2446" s="65">
        <v>7555.4116076240134</v>
      </c>
      <c r="U2446" s="58">
        <v>0</v>
      </c>
      <c r="V2446" s="65">
        <v>0</v>
      </c>
      <c r="W2446" s="65">
        <v>0</v>
      </c>
      <c r="X2446" s="65">
        <v>29240</v>
      </c>
      <c r="Y2446" s="65">
        <v>0</v>
      </c>
      <c r="Z2446" s="51">
        <v>0</v>
      </c>
      <c r="AA2446" s="51">
        <v>0</v>
      </c>
      <c r="AB2446" s="102">
        <v>0</v>
      </c>
      <c r="AC2446" s="81">
        <f t="shared" si="117"/>
        <v>0</v>
      </c>
      <c r="AD2446" s="82">
        <f t="shared" si="118"/>
        <v>0</v>
      </c>
      <c r="AE2446" s="218">
        <v>-0.25839601444148164</v>
      </c>
      <c r="AF2446">
        <v>13</v>
      </c>
      <c r="AH2446" t="str">
        <f t="shared" si="119"/>
        <v>Dumraon</v>
      </c>
      <c r="AJ2446" s="72">
        <v>0</v>
      </c>
      <c r="AK2446" s="72"/>
      <c r="AL2446" s="72"/>
      <c r="AM2446" s="72"/>
    </row>
    <row r="2447" spans="1:39" x14ac:dyDescent="0.25">
      <c r="A2447" s="37" t="s">
        <v>62</v>
      </c>
      <c r="B2447" s="66" t="s">
        <v>1629</v>
      </c>
      <c r="C2447" s="41">
        <v>1014</v>
      </c>
      <c r="D2447" s="41" t="s">
        <v>376</v>
      </c>
      <c r="E2447" s="41">
        <v>10140003</v>
      </c>
      <c r="F2447" s="85" t="s">
        <v>378</v>
      </c>
      <c r="G2447" s="39" t="s">
        <v>93</v>
      </c>
      <c r="H2447" s="52" t="s">
        <v>94</v>
      </c>
      <c r="I2447" s="52">
        <v>1133.6000000000001</v>
      </c>
      <c r="J2447" s="49">
        <v>44156.959999999999</v>
      </c>
      <c r="K2447" s="58">
        <v>1016.5</v>
      </c>
      <c r="L2447" s="58">
        <v>43139.599950880598</v>
      </c>
      <c r="M2447" s="58">
        <v>32.5</v>
      </c>
      <c r="N2447" s="58">
        <v>1270.2181021199999</v>
      </c>
      <c r="O2447" s="58">
        <v>1049</v>
      </c>
      <c r="P2447" s="53">
        <v>44409.818053000599</v>
      </c>
      <c r="Q2447" s="65">
        <v>44156.959999999999</v>
      </c>
      <c r="R2447" s="65">
        <v>0</v>
      </c>
      <c r="S2447" s="65">
        <v>1270.2181021199999</v>
      </c>
      <c r="T2447" s="65">
        <v>252.85805300060019</v>
      </c>
      <c r="U2447" s="58">
        <v>0</v>
      </c>
      <c r="V2447" s="65">
        <v>0</v>
      </c>
      <c r="W2447" s="65">
        <v>0</v>
      </c>
      <c r="X2447" s="65">
        <v>42887</v>
      </c>
      <c r="Y2447" s="65">
        <v>0</v>
      </c>
      <c r="Z2447" s="51">
        <v>0</v>
      </c>
      <c r="AA2447" s="51">
        <v>0</v>
      </c>
      <c r="AB2447" s="102">
        <v>0</v>
      </c>
      <c r="AC2447" s="81">
        <f t="shared" si="117"/>
        <v>0</v>
      </c>
      <c r="AD2447" s="82">
        <f t="shared" si="118"/>
        <v>0</v>
      </c>
      <c r="AE2447" s="218">
        <v>-5.7263464921634144E-3</v>
      </c>
      <c r="AF2447">
        <v>26</v>
      </c>
      <c r="AH2447" t="str">
        <f t="shared" si="119"/>
        <v>Dumraon</v>
      </c>
      <c r="AJ2447" s="72">
        <v>0</v>
      </c>
      <c r="AK2447" s="72"/>
      <c r="AL2447" s="72"/>
      <c r="AM2447" s="72"/>
    </row>
    <row r="2448" spans="1:39" x14ac:dyDescent="0.25">
      <c r="A2448" s="37" t="s">
        <v>62</v>
      </c>
      <c r="B2448" s="66" t="s">
        <v>1629</v>
      </c>
      <c r="C2448" s="41">
        <v>1014</v>
      </c>
      <c r="D2448" s="41" t="s">
        <v>376</v>
      </c>
      <c r="E2448" s="41">
        <v>10140007</v>
      </c>
      <c r="F2448" s="85" t="s">
        <v>379</v>
      </c>
      <c r="G2448" s="39" t="s">
        <v>93</v>
      </c>
      <c r="H2448" s="52" t="s">
        <v>94</v>
      </c>
      <c r="I2448" s="52">
        <v>765.19999999999993</v>
      </c>
      <c r="J2448" s="49">
        <v>27191.810000000005</v>
      </c>
      <c r="K2448" s="58">
        <v>803.15000000000009</v>
      </c>
      <c r="L2448" s="58">
        <v>31754.034958060827</v>
      </c>
      <c r="M2448" s="58">
        <v>23.809999999999995</v>
      </c>
      <c r="N2448" s="58">
        <v>1437.3554162969001</v>
      </c>
      <c r="O2448" s="58">
        <v>826.96</v>
      </c>
      <c r="P2448" s="53">
        <v>33191.390374357725</v>
      </c>
      <c r="Q2448" s="65">
        <v>27191.810000000005</v>
      </c>
      <c r="R2448" s="65">
        <v>0</v>
      </c>
      <c r="S2448" s="65">
        <v>1437.3554162969001</v>
      </c>
      <c r="T2448" s="65">
        <v>5999.5803743577198</v>
      </c>
      <c r="U2448" s="58">
        <v>0</v>
      </c>
      <c r="V2448" s="65">
        <v>0</v>
      </c>
      <c r="W2448" s="65">
        <v>0</v>
      </c>
      <c r="X2448" s="65">
        <v>25754</v>
      </c>
      <c r="Y2448" s="65">
        <v>0</v>
      </c>
      <c r="Z2448" s="51">
        <v>0</v>
      </c>
      <c r="AA2448" s="51">
        <v>0</v>
      </c>
      <c r="AB2448" s="102" t="s">
        <v>68</v>
      </c>
      <c r="AC2448" s="81">
        <f t="shared" si="117"/>
        <v>0</v>
      </c>
      <c r="AD2448" s="82">
        <f t="shared" si="118"/>
        <v>0</v>
      </c>
      <c r="AE2448" s="218">
        <v>-0.22063924300580648</v>
      </c>
      <c r="AF2448">
        <v>14</v>
      </c>
      <c r="AH2448" t="str">
        <f t="shared" si="119"/>
        <v>Dumraon</v>
      </c>
      <c r="AJ2448" s="72">
        <v>0</v>
      </c>
      <c r="AK2448" s="72"/>
      <c r="AL2448" s="72"/>
      <c r="AM2448" s="72"/>
    </row>
    <row r="2449" spans="1:39" x14ac:dyDescent="0.25">
      <c r="A2449" s="37" t="s">
        <v>62</v>
      </c>
      <c r="B2449" s="66" t="s">
        <v>1629</v>
      </c>
      <c r="C2449" s="41">
        <v>1014</v>
      </c>
      <c r="D2449" s="41" t="s">
        <v>376</v>
      </c>
      <c r="E2449" s="41">
        <v>10140008</v>
      </c>
      <c r="F2449" s="85" t="s">
        <v>380</v>
      </c>
      <c r="G2449" s="39" t="s">
        <v>93</v>
      </c>
      <c r="H2449" s="52" t="s">
        <v>94</v>
      </c>
      <c r="I2449" s="52">
        <v>825.4</v>
      </c>
      <c r="J2449" s="49">
        <v>30147.18</v>
      </c>
      <c r="K2449" s="58">
        <v>918.81</v>
      </c>
      <c r="L2449" s="58">
        <v>33086.009737836001</v>
      </c>
      <c r="M2449" s="58">
        <v>9.51</v>
      </c>
      <c r="N2449" s="58">
        <v>416.448215172</v>
      </c>
      <c r="O2449" s="58">
        <v>928.31999999999994</v>
      </c>
      <c r="P2449" s="53">
        <v>33502.457953008001</v>
      </c>
      <c r="Q2449" s="65">
        <v>30147.18</v>
      </c>
      <c r="R2449" s="65">
        <v>0</v>
      </c>
      <c r="S2449" s="65">
        <v>416.448215172</v>
      </c>
      <c r="T2449" s="65">
        <v>3355.2779530080006</v>
      </c>
      <c r="U2449" s="58">
        <v>0</v>
      </c>
      <c r="V2449" s="65">
        <v>0</v>
      </c>
      <c r="W2449" s="65">
        <v>0</v>
      </c>
      <c r="X2449" s="65">
        <v>29731</v>
      </c>
      <c r="Y2449" s="65">
        <v>0</v>
      </c>
      <c r="Z2449" s="51">
        <v>0</v>
      </c>
      <c r="AA2449" s="51">
        <v>0</v>
      </c>
      <c r="AB2449" s="102" t="s">
        <v>68</v>
      </c>
      <c r="AC2449" s="81">
        <f t="shared" si="117"/>
        <v>0</v>
      </c>
      <c r="AD2449" s="82">
        <f t="shared" si="118"/>
        <v>0</v>
      </c>
      <c r="AE2449" s="218">
        <v>-0.11129657742475417</v>
      </c>
      <c r="AF2449">
        <v>18</v>
      </c>
      <c r="AH2449" t="str">
        <f t="shared" si="119"/>
        <v>Dumraon</v>
      </c>
      <c r="AJ2449" s="72">
        <v>0</v>
      </c>
      <c r="AK2449" s="72"/>
      <c r="AL2449" s="72"/>
      <c r="AM2449" s="72"/>
    </row>
    <row r="2450" spans="1:39" x14ac:dyDescent="0.25">
      <c r="A2450" s="37" t="s">
        <v>62</v>
      </c>
      <c r="B2450" s="66" t="s">
        <v>1629</v>
      </c>
      <c r="C2450" s="41">
        <v>1014</v>
      </c>
      <c r="D2450" s="41" t="s">
        <v>376</v>
      </c>
      <c r="E2450" s="41">
        <v>10140009</v>
      </c>
      <c r="F2450" s="85" t="s">
        <v>381</v>
      </c>
      <c r="G2450" s="39" t="s">
        <v>93</v>
      </c>
      <c r="H2450" s="52" t="s">
        <v>94</v>
      </c>
      <c r="I2450" s="52">
        <v>1100.2</v>
      </c>
      <c r="J2450" s="49">
        <v>43848.810000000005</v>
      </c>
      <c r="K2450" s="58">
        <v>1113.19</v>
      </c>
      <c r="L2450" s="58">
        <v>46950.108296503138</v>
      </c>
      <c r="M2450" s="58">
        <v>0</v>
      </c>
      <c r="N2450" s="58">
        <v>0</v>
      </c>
      <c r="O2450" s="58">
        <v>1113.19</v>
      </c>
      <c r="P2450" s="53">
        <v>46950.108296503138</v>
      </c>
      <c r="Q2450" s="65">
        <v>43848.810000000005</v>
      </c>
      <c r="R2450" s="65">
        <v>0</v>
      </c>
      <c r="S2450" s="65">
        <v>0</v>
      </c>
      <c r="T2450" s="65">
        <v>3101.2982965031333</v>
      </c>
      <c r="U2450" s="58">
        <v>0</v>
      </c>
      <c r="V2450" s="65">
        <v>0</v>
      </c>
      <c r="W2450" s="65">
        <v>0</v>
      </c>
      <c r="X2450" s="65">
        <v>43849</v>
      </c>
      <c r="Y2450" s="65">
        <v>0</v>
      </c>
      <c r="Z2450" s="51">
        <v>0</v>
      </c>
      <c r="AA2450" s="51">
        <v>0</v>
      </c>
      <c r="AB2450" s="102">
        <v>0</v>
      </c>
      <c r="AC2450" s="81">
        <f t="shared" si="117"/>
        <v>0</v>
      </c>
      <c r="AD2450" s="82">
        <f t="shared" si="118"/>
        <v>0</v>
      </c>
      <c r="AE2450" s="218">
        <v>-7.0727080085027011E-2</v>
      </c>
      <c r="AF2450">
        <v>6</v>
      </c>
      <c r="AH2450" t="str">
        <f t="shared" si="119"/>
        <v>Dumraon</v>
      </c>
      <c r="AJ2450" s="72">
        <v>0</v>
      </c>
      <c r="AK2450" s="72"/>
      <c r="AL2450" s="72"/>
      <c r="AM2450" s="72"/>
    </row>
    <row r="2451" spans="1:39" x14ac:dyDescent="0.25">
      <c r="A2451" s="37" t="s">
        <v>62</v>
      </c>
      <c r="B2451" s="66" t="s">
        <v>1629</v>
      </c>
      <c r="C2451" s="41">
        <v>1014</v>
      </c>
      <c r="D2451" s="41" t="s">
        <v>376</v>
      </c>
      <c r="E2451" s="41">
        <v>10140012</v>
      </c>
      <c r="F2451" s="85" t="s">
        <v>383</v>
      </c>
      <c r="G2451" s="39" t="s">
        <v>93</v>
      </c>
      <c r="H2451" s="52" t="s">
        <v>94</v>
      </c>
      <c r="I2451" s="52">
        <v>1048.6000000000001</v>
      </c>
      <c r="J2451" s="49">
        <v>42590.52</v>
      </c>
      <c r="K2451" s="58">
        <v>1075.5999999999999</v>
      </c>
      <c r="L2451" s="58">
        <v>43728.601783505481</v>
      </c>
      <c r="M2451" s="58">
        <v>2.5</v>
      </c>
      <c r="N2451" s="58">
        <v>92.059498080000012</v>
      </c>
      <c r="O2451" s="58">
        <v>1078.0999999999999</v>
      </c>
      <c r="P2451" s="53">
        <v>43820.661281585482</v>
      </c>
      <c r="Q2451" s="65">
        <v>42590.52</v>
      </c>
      <c r="R2451" s="65">
        <v>0</v>
      </c>
      <c r="S2451" s="65">
        <v>92.059498080000012</v>
      </c>
      <c r="T2451" s="65">
        <v>1230.1412815854856</v>
      </c>
      <c r="U2451" s="58">
        <v>0</v>
      </c>
      <c r="V2451" s="65">
        <v>0</v>
      </c>
      <c r="W2451" s="65">
        <v>0</v>
      </c>
      <c r="X2451" s="65">
        <v>42498</v>
      </c>
      <c r="Y2451" s="65">
        <v>0</v>
      </c>
      <c r="Z2451" s="51">
        <v>0</v>
      </c>
      <c r="AA2451" s="51">
        <v>0</v>
      </c>
      <c r="AB2451" s="102">
        <v>0</v>
      </c>
      <c r="AC2451" s="81">
        <f t="shared" si="117"/>
        <v>0</v>
      </c>
      <c r="AD2451" s="82">
        <f t="shared" si="118"/>
        <v>0</v>
      </c>
      <c r="AE2451" s="218">
        <v>-2.8882983386572542E-2</v>
      </c>
      <c r="AF2451">
        <v>18</v>
      </c>
      <c r="AH2451" t="str">
        <f t="shared" si="119"/>
        <v>Dumraon</v>
      </c>
      <c r="AJ2451" s="72">
        <v>0</v>
      </c>
      <c r="AK2451" s="72"/>
      <c r="AL2451" s="72"/>
      <c r="AM2451" s="72"/>
    </row>
    <row r="2452" spans="1:39" x14ac:dyDescent="0.25">
      <c r="A2452" s="37" t="s">
        <v>62</v>
      </c>
      <c r="B2452" s="66" t="s">
        <v>1629</v>
      </c>
      <c r="C2452" s="41">
        <v>1014</v>
      </c>
      <c r="D2452" s="41" t="s">
        <v>376</v>
      </c>
      <c r="E2452" s="41">
        <v>10140013</v>
      </c>
      <c r="F2452" s="85" t="s">
        <v>384</v>
      </c>
      <c r="G2452" s="39" t="s">
        <v>93</v>
      </c>
      <c r="H2452" s="52" t="s">
        <v>94</v>
      </c>
      <c r="I2452" s="52">
        <v>999.8</v>
      </c>
      <c r="J2452" s="49">
        <v>35995.21</v>
      </c>
      <c r="K2452" s="58">
        <v>1099.5999999999999</v>
      </c>
      <c r="L2452" s="58">
        <v>41153.270365924014</v>
      </c>
      <c r="M2452" s="58">
        <v>1.5</v>
      </c>
      <c r="N2452" s="58">
        <v>52.669683000000006</v>
      </c>
      <c r="O2452" s="58">
        <v>1101.0999999999999</v>
      </c>
      <c r="P2452" s="53">
        <v>41205.940048924014</v>
      </c>
      <c r="Q2452" s="65">
        <v>35995.21</v>
      </c>
      <c r="R2452" s="65">
        <v>0</v>
      </c>
      <c r="S2452" s="65">
        <v>52.669683000000006</v>
      </c>
      <c r="T2452" s="65">
        <v>5210.7300489240151</v>
      </c>
      <c r="U2452" s="58">
        <v>0</v>
      </c>
      <c r="V2452" s="65">
        <v>0</v>
      </c>
      <c r="W2452" s="65">
        <v>0</v>
      </c>
      <c r="X2452" s="65">
        <v>35943</v>
      </c>
      <c r="Y2452" s="65">
        <v>0</v>
      </c>
      <c r="Z2452" s="51">
        <v>0</v>
      </c>
      <c r="AA2452" s="51">
        <v>0</v>
      </c>
      <c r="AB2452" s="102" t="s">
        <v>68</v>
      </c>
      <c r="AC2452" s="81">
        <f t="shared" si="117"/>
        <v>0</v>
      </c>
      <c r="AD2452" s="82">
        <f t="shared" si="118"/>
        <v>0</v>
      </c>
      <c r="AE2452" s="218">
        <v>-0.14476176271576177</v>
      </c>
      <c r="AF2452">
        <v>4</v>
      </c>
      <c r="AH2452" t="str">
        <f t="shared" si="119"/>
        <v>Dumraon</v>
      </c>
      <c r="AJ2452" s="72">
        <v>0</v>
      </c>
      <c r="AK2452" s="72"/>
      <c r="AL2452" s="72"/>
      <c r="AM2452" s="72"/>
    </row>
    <row r="2453" spans="1:39" x14ac:dyDescent="0.25">
      <c r="A2453" s="37" t="s">
        <v>62</v>
      </c>
      <c r="B2453" s="66" t="s">
        <v>1629</v>
      </c>
      <c r="C2453" s="41">
        <v>1014</v>
      </c>
      <c r="D2453" s="41" t="s">
        <v>376</v>
      </c>
      <c r="E2453" s="41">
        <v>10140018</v>
      </c>
      <c r="F2453" s="85" t="s">
        <v>1142</v>
      </c>
      <c r="G2453" s="39" t="s">
        <v>93</v>
      </c>
      <c r="H2453" s="52" t="s">
        <v>94</v>
      </c>
      <c r="I2453" s="52">
        <v>503.19999999999993</v>
      </c>
      <c r="J2453" s="49">
        <v>20829.989999999991</v>
      </c>
      <c r="K2453" s="58">
        <v>504</v>
      </c>
      <c r="L2453" s="58">
        <v>20823.796224000002</v>
      </c>
      <c r="M2453" s="58">
        <v>0</v>
      </c>
      <c r="N2453" s="58">
        <v>0</v>
      </c>
      <c r="O2453" s="58">
        <v>504</v>
      </c>
      <c r="P2453" s="53">
        <v>20823.796224000002</v>
      </c>
      <c r="Q2453" s="65">
        <v>20823.796224000002</v>
      </c>
      <c r="R2453" s="65">
        <v>0</v>
      </c>
      <c r="S2453" s="65">
        <v>0</v>
      </c>
      <c r="T2453" s="65">
        <v>0</v>
      </c>
      <c r="U2453" s="58">
        <v>0</v>
      </c>
      <c r="V2453" s="65">
        <v>0</v>
      </c>
      <c r="W2453" s="65">
        <v>0</v>
      </c>
      <c r="X2453" s="65">
        <v>20824</v>
      </c>
      <c r="Y2453" s="65">
        <v>0</v>
      </c>
      <c r="Z2453" s="51">
        <v>0</v>
      </c>
      <c r="AA2453" s="51">
        <v>6</v>
      </c>
      <c r="AB2453" s="102">
        <v>0</v>
      </c>
      <c r="AC2453" s="81">
        <f t="shared" si="117"/>
        <v>162.93092337042927</v>
      </c>
      <c r="AD2453" s="82">
        <f t="shared" si="118"/>
        <v>71.885714285714272</v>
      </c>
      <c r="AE2453" s="218">
        <v>2.9734896656163348E-4</v>
      </c>
      <c r="AF2453">
        <v>1</v>
      </c>
      <c r="AH2453" t="str">
        <f t="shared" si="119"/>
        <v>Dumraon</v>
      </c>
      <c r="AJ2453" s="72">
        <v>0</v>
      </c>
      <c r="AK2453" s="72"/>
      <c r="AL2453" s="72"/>
      <c r="AM2453" s="72"/>
    </row>
    <row r="2454" spans="1:39" x14ac:dyDescent="0.25">
      <c r="A2454" s="37" t="s">
        <v>62</v>
      </c>
      <c r="B2454" s="66" t="s">
        <v>1629</v>
      </c>
      <c r="C2454" s="41">
        <v>1014</v>
      </c>
      <c r="D2454" s="41" t="s">
        <v>376</v>
      </c>
      <c r="E2454" s="41">
        <v>10140020</v>
      </c>
      <c r="F2454" s="85" t="s">
        <v>1272</v>
      </c>
      <c r="G2454" s="39" t="s">
        <v>93</v>
      </c>
      <c r="H2454" s="52" t="s">
        <v>94</v>
      </c>
      <c r="I2454" s="52">
        <v>61.900000000000006</v>
      </c>
      <c r="J2454" s="49">
        <v>2221.7599999999998</v>
      </c>
      <c r="K2454" s="58">
        <v>60.099999999999994</v>
      </c>
      <c r="L2454" s="58">
        <v>2211.6539491200001</v>
      </c>
      <c r="M2454" s="58">
        <v>0</v>
      </c>
      <c r="N2454" s="58">
        <v>0</v>
      </c>
      <c r="O2454" s="58">
        <v>60.099999999999994</v>
      </c>
      <c r="P2454" s="53">
        <v>2211.6539491200001</v>
      </c>
      <c r="Q2454" s="65">
        <v>2211.6539491200001</v>
      </c>
      <c r="R2454" s="65">
        <v>0</v>
      </c>
      <c r="S2454" s="65">
        <v>0</v>
      </c>
      <c r="T2454" s="65">
        <v>0</v>
      </c>
      <c r="U2454" s="58">
        <v>0</v>
      </c>
      <c r="V2454" s="65">
        <v>0</v>
      </c>
      <c r="W2454" s="65">
        <v>0</v>
      </c>
      <c r="X2454" s="65">
        <v>2212</v>
      </c>
      <c r="Y2454" s="65">
        <v>0</v>
      </c>
      <c r="Z2454" s="51">
        <v>0</v>
      </c>
      <c r="AA2454" s="51">
        <v>10</v>
      </c>
      <c r="AB2454" s="102">
        <v>0</v>
      </c>
      <c r="AC2454" s="81">
        <f t="shared" si="117"/>
        <v>458.06302294022606</v>
      </c>
      <c r="AD2454" s="82">
        <f t="shared" si="118"/>
        <v>8.8428571428571434</v>
      </c>
      <c r="AE2454" s="218">
        <v>4.5486690191558305E-3</v>
      </c>
      <c r="AF2454">
        <v>1</v>
      </c>
      <c r="AH2454" t="str">
        <f t="shared" si="119"/>
        <v>Dumraon</v>
      </c>
      <c r="AJ2454" s="72">
        <v>0</v>
      </c>
      <c r="AK2454" s="72"/>
      <c r="AL2454" s="72"/>
      <c r="AM2454" s="72"/>
    </row>
    <row r="2455" spans="1:39" x14ac:dyDescent="0.25">
      <c r="A2455" s="37" t="s">
        <v>62</v>
      </c>
      <c r="B2455" s="66" t="s">
        <v>1629</v>
      </c>
      <c r="C2455" s="41">
        <v>1014</v>
      </c>
      <c r="D2455" s="41" t="s">
        <v>376</v>
      </c>
      <c r="E2455" s="41">
        <v>10140022</v>
      </c>
      <c r="F2455" s="85" t="s">
        <v>385</v>
      </c>
      <c r="G2455" s="39" t="s">
        <v>93</v>
      </c>
      <c r="H2455" s="52" t="s">
        <v>94</v>
      </c>
      <c r="I2455" s="52">
        <v>677.7</v>
      </c>
      <c r="J2455" s="49">
        <v>24400.55</v>
      </c>
      <c r="K2455" s="58">
        <v>679.3</v>
      </c>
      <c r="L2455" s="58">
        <v>25460.726116320002</v>
      </c>
      <c r="M2455" s="58">
        <v>0</v>
      </c>
      <c r="N2455" s="58">
        <v>0</v>
      </c>
      <c r="O2455" s="58">
        <v>679.3</v>
      </c>
      <c r="P2455" s="53">
        <v>25460.726116320002</v>
      </c>
      <c r="Q2455" s="65">
        <v>24400.55</v>
      </c>
      <c r="R2455" s="65">
        <v>0</v>
      </c>
      <c r="S2455" s="65">
        <v>0</v>
      </c>
      <c r="T2455" s="65">
        <v>1060.1761163200026</v>
      </c>
      <c r="U2455" s="58">
        <v>0</v>
      </c>
      <c r="V2455" s="65">
        <v>0</v>
      </c>
      <c r="W2455" s="65">
        <v>0</v>
      </c>
      <c r="X2455" s="65">
        <v>24401</v>
      </c>
      <c r="Y2455" s="65">
        <v>0</v>
      </c>
      <c r="Z2455" s="51">
        <v>0</v>
      </c>
      <c r="AA2455" s="51">
        <v>0</v>
      </c>
      <c r="AB2455" s="102">
        <v>0</v>
      </c>
      <c r="AC2455" s="81">
        <f t="shared" si="117"/>
        <v>16.058204662830146</v>
      </c>
      <c r="AD2455" s="82">
        <f t="shared" si="118"/>
        <v>96.814285714285717</v>
      </c>
      <c r="AE2455" s="218">
        <v>-4.3448861452713268E-2</v>
      </c>
      <c r="AF2455">
        <v>3</v>
      </c>
      <c r="AH2455" t="str">
        <f t="shared" si="119"/>
        <v>Dumraon</v>
      </c>
      <c r="AJ2455" s="72">
        <v>0</v>
      </c>
      <c r="AK2455" s="72"/>
      <c r="AL2455" s="72"/>
      <c r="AM2455" s="72"/>
    </row>
    <row r="2456" spans="1:39" x14ac:dyDescent="0.25">
      <c r="A2456" s="37" t="s">
        <v>62</v>
      </c>
      <c r="B2456" s="66" t="s">
        <v>1629</v>
      </c>
      <c r="C2456" s="41">
        <v>1014</v>
      </c>
      <c r="D2456" s="41" t="s">
        <v>376</v>
      </c>
      <c r="E2456" s="41">
        <v>10140032</v>
      </c>
      <c r="F2456" s="85" t="s">
        <v>386</v>
      </c>
      <c r="G2456" s="39" t="s">
        <v>93</v>
      </c>
      <c r="H2456" s="52" t="s">
        <v>94</v>
      </c>
      <c r="I2456" s="52">
        <v>120.2</v>
      </c>
      <c r="J2456" s="49">
        <v>4234.87</v>
      </c>
      <c r="K2456" s="58">
        <v>119</v>
      </c>
      <c r="L2456" s="58">
        <v>4209.8696640000007</v>
      </c>
      <c r="M2456" s="58">
        <v>0</v>
      </c>
      <c r="N2456" s="58">
        <v>0</v>
      </c>
      <c r="O2456" s="58">
        <v>119</v>
      </c>
      <c r="P2456" s="53">
        <v>4209.8696640000007</v>
      </c>
      <c r="Q2456" s="65">
        <v>4209.8696640000007</v>
      </c>
      <c r="R2456" s="65">
        <v>0</v>
      </c>
      <c r="S2456" s="65">
        <v>0</v>
      </c>
      <c r="T2456" s="65">
        <v>0</v>
      </c>
      <c r="U2456" s="58">
        <v>0</v>
      </c>
      <c r="V2456" s="65">
        <v>0</v>
      </c>
      <c r="W2456" s="65">
        <v>0</v>
      </c>
      <c r="X2456" s="65">
        <v>4210</v>
      </c>
      <c r="Y2456" s="65">
        <v>0</v>
      </c>
      <c r="Z2456" s="51">
        <v>0</v>
      </c>
      <c r="AA2456" s="51">
        <v>25</v>
      </c>
      <c r="AB2456" s="102">
        <v>0</v>
      </c>
      <c r="AC2456" s="81">
        <f t="shared" si="117"/>
        <v>408.5486898502495</v>
      </c>
      <c r="AD2456" s="82">
        <f t="shared" si="118"/>
        <v>17.171428571428571</v>
      </c>
      <c r="AE2456" s="218">
        <v>5.9034482758618684E-3</v>
      </c>
      <c r="AF2456">
        <v>1</v>
      </c>
      <c r="AH2456" t="str">
        <f t="shared" si="119"/>
        <v>Dumraon</v>
      </c>
      <c r="AJ2456" s="72">
        <v>0</v>
      </c>
      <c r="AK2456" s="72"/>
      <c r="AL2456" s="72"/>
      <c r="AM2456" s="72"/>
    </row>
    <row r="2457" spans="1:39" x14ac:dyDescent="0.25">
      <c r="A2457" s="37" t="s">
        <v>62</v>
      </c>
      <c r="B2457" s="66" t="s">
        <v>1629</v>
      </c>
      <c r="C2457" s="41">
        <v>1014</v>
      </c>
      <c r="D2457" s="41" t="s">
        <v>376</v>
      </c>
      <c r="E2457" s="41">
        <v>10140033</v>
      </c>
      <c r="F2457" s="85" t="s">
        <v>387</v>
      </c>
      <c r="G2457" s="39" t="s">
        <v>93</v>
      </c>
      <c r="H2457" s="52" t="s">
        <v>94</v>
      </c>
      <c r="I2457" s="52">
        <v>164.9</v>
      </c>
      <c r="J2457" s="49">
        <v>5826.23</v>
      </c>
      <c r="K2457" s="58">
        <v>164</v>
      </c>
      <c r="L2457" s="58">
        <v>5801.8371840000009</v>
      </c>
      <c r="M2457" s="58">
        <v>0</v>
      </c>
      <c r="N2457" s="58">
        <v>0</v>
      </c>
      <c r="O2457" s="58">
        <v>164</v>
      </c>
      <c r="P2457" s="53">
        <v>5801.8371840000009</v>
      </c>
      <c r="Q2457" s="65">
        <v>5801.8371840000009</v>
      </c>
      <c r="R2457" s="65">
        <v>0</v>
      </c>
      <c r="S2457" s="65">
        <v>0</v>
      </c>
      <c r="T2457" s="65">
        <v>0</v>
      </c>
      <c r="U2457" s="58">
        <v>0</v>
      </c>
      <c r="V2457" s="65">
        <v>0</v>
      </c>
      <c r="W2457" s="65">
        <v>0</v>
      </c>
      <c r="X2457" s="65">
        <v>5802</v>
      </c>
      <c r="Y2457" s="65">
        <v>0</v>
      </c>
      <c r="Z2457" s="51">
        <v>0</v>
      </c>
      <c r="AA2457" s="51">
        <v>24</v>
      </c>
      <c r="AB2457" s="102">
        <v>0</v>
      </c>
      <c r="AC2457" s="81">
        <f t="shared" si="117"/>
        <v>378.12197368101874</v>
      </c>
      <c r="AD2457" s="82">
        <f t="shared" si="118"/>
        <v>23.557142857142857</v>
      </c>
      <c r="AE2457" s="218">
        <v>4.1867238334220716E-3</v>
      </c>
      <c r="AF2457">
        <v>1</v>
      </c>
      <c r="AH2457" t="str">
        <f t="shared" si="119"/>
        <v>Dumraon</v>
      </c>
      <c r="AJ2457" s="72">
        <v>0</v>
      </c>
      <c r="AK2457" s="72"/>
      <c r="AL2457" s="72"/>
      <c r="AM2457" s="72"/>
    </row>
    <row r="2458" spans="1:39" x14ac:dyDescent="0.25">
      <c r="A2458" s="37" t="s">
        <v>62</v>
      </c>
      <c r="B2458" s="66" t="s">
        <v>1629</v>
      </c>
      <c r="C2458" s="41">
        <v>1014</v>
      </c>
      <c r="D2458" s="41" t="s">
        <v>376</v>
      </c>
      <c r="E2458" s="41">
        <v>10140034</v>
      </c>
      <c r="F2458" s="85" t="s">
        <v>388</v>
      </c>
      <c r="G2458" s="39" t="s">
        <v>93</v>
      </c>
      <c r="H2458" s="52" t="s">
        <v>94</v>
      </c>
      <c r="I2458" s="52">
        <v>522.80000000000007</v>
      </c>
      <c r="J2458" s="49">
        <v>16925.75</v>
      </c>
      <c r="K2458" s="58">
        <v>565.09999999999991</v>
      </c>
      <c r="L2458" s="58">
        <v>21094.852531896002</v>
      </c>
      <c r="M2458" s="58">
        <v>23.1</v>
      </c>
      <c r="N2458" s="58">
        <v>835.74498902400001</v>
      </c>
      <c r="O2458" s="58">
        <v>588.19999999999993</v>
      </c>
      <c r="P2458" s="53">
        <v>21930.597520920001</v>
      </c>
      <c r="Q2458" s="65">
        <v>16925.75</v>
      </c>
      <c r="R2458" s="65">
        <v>0</v>
      </c>
      <c r="S2458" s="65">
        <v>310.70456445599996</v>
      </c>
      <c r="T2458" s="65">
        <v>5004.8475209200005</v>
      </c>
      <c r="U2458" s="58">
        <v>0</v>
      </c>
      <c r="V2458" s="65">
        <v>0</v>
      </c>
      <c r="W2458" s="65">
        <v>0</v>
      </c>
      <c r="X2458" s="65">
        <v>16090</v>
      </c>
      <c r="Y2458" s="65">
        <v>525</v>
      </c>
      <c r="Z2458" s="51">
        <v>0</v>
      </c>
      <c r="AA2458" s="51">
        <v>0</v>
      </c>
      <c r="AB2458" s="102">
        <v>0</v>
      </c>
      <c r="AC2458" s="81">
        <f t="shared" si="117"/>
        <v>114.73767788829375</v>
      </c>
      <c r="AD2458" s="82">
        <f t="shared" si="118"/>
        <v>74.685714285714297</v>
      </c>
      <c r="AE2458" s="218">
        <v>-0.29569428361638334</v>
      </c>
      <c r="AF2458">
        <v>6</v>
      </c>
      <c r="AH2458" t="str">
        <f t="shared" si="119"/>
        <v>Dumraon</v>
      </c>
      <c r="AJ2458" s="72">
        <v>0</v>
      </c>
      <c r="AK2458" s="72"/>
      <c r="AL2458" s="72"/>
      <c r="AM2458" s="72"/>
    </row>
    <row r="2459" spans="1:39" x14ac:dyDescent="0.25">
      <c r="A2459" s="37" t="s">
        <v>62</v>
      </c>
      <c r="B2459" s="66" t="s">
        <v>1629</v>
      </c>
      <c r="C2459" s="41">
        <v>1014</v>
      </c>
      <c r="D2459" s="41" t="s">
        <v>376</v>
      </c>
      <c r="E2459" s="41">
        <v>10140039</v>
      </c>
      <c r="F2459" s="85" t="s">
        <v>389</v>
      </c>
      <c r="G2459" s="39" t="s">
        <v>93</v>
      </c>
      <c r="H2459" s="52" t="s">
        <v>94</v>
      </c>
      <c r="I2459" s="52">
        <v>370.99999999999994</v>
      </c>
      <c r="J2459" s="49">
        <v>14148.639999999998</v>
      </c>
      <c r="K2459" s="58">
        <v>366.80000000000007</v>
      </c>
      <c r="L2459" s="58">
        <v>13915.052226575501</v>
      </c>
      <c r="M2459" s="58">
        <v>5.4000000000000012</v>
      </c>
      <c r="N2459" s="58">
        <v>202.20332220000003</v>
      </c>
      <c r="O2459" s="58">
        <v>372.20000000000005</v>
      </c>
      <c r="P2459" s="53">
        <v>14117.255548775502</v>
      </c>
      <c r="Q2459" s="65">
        <v>14117.255548775502</v>
      </c>
      <c r="R2459" s="65">
        <v>0</v>
      </c>
      <c r="S2459" s="65">
        <v>202.20332220000003</v>
      </c>
      <c r="T2459" s="65">
        <v>0</v>
      </c>
      <c r="U2459" s="58">
        <v>0</v>
      </c>
      <c r="V2459" s="65">
        <v>0</v>
      </c>
      <c r="W2459" s="65">
        <v>0</v>
      </c>
      <c r="X2459" s="65">
        <v>13916</v>
      </c>
      <c r="Y2459" s="65">
        <v>0</v>
      </c>
      <c r="Z2459" s="51">
        <v>0</v>
      </c>
      <c r="AA2459" s="51">
        <v>30</v>
      </c>
      <c r="AB2459" s="102">
        <v>0</v>
      </c>
      <c r="AC2459" s="81">
        <f t="shared" si="117"/>
        <v>250.93814339622645</v>
      </c>
      <c r="AD2459" s="82">
        <f t="shared" si="118"/>
        <v>52.999999999999993</v>
      </c>
      <c r="AE2459" s="218">
        <v>2.2181956162921623E-3</v>
      </c>
      <c r="AF2459">
        <v>12</v>
      </c>
      <c r="AH2459" t="str">
        <f t="shared" si="119"/>
        <v>Dumraon</v>
      </c>
      <c r="AJ2459" s="72">
        <v>0</v>
      </c>
      <c r="AK2459" s="72"/>
      <c r="AL2459" s="72"/>
      <c r="AM2459" s="72"/>
    </row>
    <row r="2460" spans="1:39" x14ac:dyDescent="0.25">
      <c r="A2460" s="37" t="s">
        <v>62</v>
      </c>
      <c r="B2460" s="66" t="s">
        <v>1629</v>
      </c>
      <c r="C2460" s="41">
        <v>1014</v>
      </c>
      <c r="D2460" s="41" t="s">
        <v>376</v>
      </c>
      <c r="E2460" s="41">
        <v>10140043</v>
      </c>
      <c r="F2460" s="85" t="s">
        <v>390</v>
      </c>
      <c r="G2460" s="39" t="s">
        <v>93</v>
      </c>
      <c r="H2460" s="52" t="s">
        <v>94</v>
      </c>
      <c r="I2460" s="52">
        <v>283.40000000000003</v>
      </c>
      <c r="J2460" s="49">
        <v>8916.1</v>
      </c>
      <c r="K2460" s="58">
        <v>239</v>
      </c>
      <c r="L2460" s="58">
        <v>8893.0923839999996</v>
      </c>
      <c r="M2460" s="58">
        <v>0</v>
      </c>
      <c r="N2460" s="58">
        <v>0</v>
      </c>
      <c r="O2460" s="58">
        <v>239</v>
      </c>
      <c r="P2460" s="53">
        <v>8893.0923839999996</v>
      </c>
      <c r="Q2460" s="65">
        <v>8893.0923839999996</v>
      </c>
      <c r="R2460" s="65">
        <v>0</v>
      </c>
      <c r="S2460" s="65">
        <v>0</v>
      </c>
      <c r="T2460" s="65">
        <v>0</v>
      </c>
      <c r="U2460" s="58">
        <v>0</v>
      </c>
      <c r="V2460" s="65">
        <v>0</v>
      </c>
      <c r="W2460" s="65">
        <v>0</v>
      </c>
      <c r="X2460" s="65">
        <v>8893</v>
      </c>
      <c r="Y2460" s="65">
        <v>0</v>
      </c>
      <c r="Z2460" s="51">
        <v>0</v>
      </c>
      <c r="AA2460" s="51">
        <v>23</v>
      </c>
      <c r="AB2460" s="102">
        <v>0</v>
      </c>
      <c r="AC2460" s="81">
        <f t="shared" si="117"/>
        <v>262.13459844742408</v>
      </c>
      <c r="AD2460" s="82">
        <f t="shared" si="118"/>
        <v>40.485714285714288</v>
      </c>
      <c r="AE2460" s="218">
        <v>2.5804573748612935E-3</v>
      </c>
      <c r="AF2460">
        <v>2</v>
      </c>
      <c r="AH2460" t="str">
        <f t="shared" si="119"/>
        <v>Dumraon</v>
      </c>
      <c r="AJ2460" s="72">
        <v>0</v>
      </c>
      <c r="AK2460" s="72"/>
      <c r="AL2460" s="72"/>
      <c r="AM2460" s="72"/>
    </row>
    <row r="2461" spans="1:39" x14ac:dyDescent="0.25">
      <c r="A2461" s="37" t="s">
        <v>62</v>
      </c>
      <c r="B2461" s="66" t="s">
        <v>1629</v>
      </c>
      <c r="C2461" s="41">
        <v>1014</v>
      </c>
      <c r="D2461" s="41" t="s">
        <v>376</v>
      </c>
      <c r="E2461" s="41">
        <v>10140045</v>
      </c>
      <c r="F2461" s="85" t="s">
        <v>391</v>
      </c>
      <c r="G2461" s="39" t="s">
        <v>93</v>
      </c>
      <c r="H2461" s="52" t="s">
        <v>94</v>
      </c>
      <c r="I2461" s="52">
        <v>236.3</v>
      </c>
      <c r="J2461" s="49">
        <v>8610.2800000000007</v>
      </c>
      <c r="K2461" s="58">
        <v>235</v>
      </c>
      <c r="L2461" s="58">
        <v>8592.7881600000019</v>
      </c>
      <c r="M2461" s="58">
        <v>0</v>
      </c>
      <c r="N2461" s="58">
        <v>0</v>
      </c>
      <c r="O2461" s="58">
        <v>235</v>
      </c>
      <c r="P2461" s="53">
        <v>8592.7881600000019</v>
      </c>
      <c r="Q2461" s="65">
        <v>8592.7881600000019</v>
      </c>
      <c r="R2461" s="65">
        <v>0</v>
      </c>
      <c r="S2461" s="65">
        <v>0</v>
      </c>
      <c r="T2461" s="65">
        <v>0</v>
      </c>
      <c r="U2461" s="58">
        <v>0</v>
      </c>
      <c r="V2461" s="65">
        <v>0</v>
      </c>
      <c r="W2461" s="65">
        <v>0</v>
      </c>
      <c r="X2461" s="65">
        <v>8593</v>
      </c>
      <c r="Y2461" s="65">
        <v>0</v>
      </c>
      <c r="Z2461" s="51">
        <v>0</v>
      </c>
      <c r="AA2461" s="51">
        <v>17</v>
      </c>
      <c r="AB2461" s="102">
        <v>0</v>
      </c>
      <c r="AC2461" s="81">
        <f t="shared" si="117"/>
        <v>337.9252506136267</v>
      </c>
      <c r="AD2461" s="82">
        <f t="shared" si="118"/>
        <v>33.75714285714286</v>
      </c>
      <c r="AE2461" s="218">
        <v>2.0315065247586343E-3</v>
      </c>
      <c r="AF2461">
        <v>1</v>
      </c>
      <c r="AH2461" t="str">
        <f t="shared" si="119"/>
        <v>Dumraon</v>
      </c>
      <c r="AJ2461" s="72">
        <v>0</v>
      </c>
      <c r="AK2461" s="72"/>
      <c r="AL2461" s="72"/>
      <c r="AM2461" s="72"/>
    </row>
    <row r="2462" spans="1:39" x14ac:dyDescent="0.25">
      <c r="A2462" s="37" t="s">
        <v>62</v>
      </c>
      <c r="B2462" s="66" t="s">
        <v>1629</v>
      </c>
      <c r="C2462" s="41">
        <v>1014</v>
      </c>
      <c r="D2462" s="41" t="s">
        <v>376</v>
      </c>
      <c r="E2462" s="41">
        <v>10140047</v>
      </c>
      <c r="F2462" s="85" t="s">
        <v>392</v>
      </c>
      <c r="G2462" s="39" t="s">
        <v>93</v>
      </c>
      <c r="H2462" s="52" t="s">
        <v>94</v>
      </c>
      <c r="I2462" s="52">
        <v>378.70000000000005</v>
      </c>
      <c r="J2462" s="49">
        <v>16610.43</v>
      </c>
      <c r="K2462" s="58">
        <v>377.79999999999995</v>
      </c>
      <c r="L2462" s="58">
        <v>17850.576059536957</v>
      </c>
      <c r="M2462" s="58">
        <v>1.27</v>
      </c>
      <c r="N2462" s="58">
        <v>48.991888440000011</v>
      </c>
      <c r="O2462" s="58">
        <v>379.06999999999994</v>
      </c>
      <c r="P2462" s="53">
        <v>17899.567947976957</v>
      </c>
      <c r="Q2462" s="65">
        <v>16610.43</v>
      </c>
      <c r="R2462" s="65">
        <v>0</v>
      </c>
      <c r="S2462" s="65">
        <v>48.991888440000011</v>
      </c>
      <c r="T2462" s="65">
        <v>1289.1379479769566</v>
      </c>
      <c r="U2462" s="58">
        <v>0</v>
      </c>
      <c r="V2462" s="65">
        <v>0</v>
      </c>
      <c r="W2462" s="65">
        <v>0</v>
      </c>
      <c r="X2462" s="65">
        <v>16561</v>
      </c>
      <c r="Y2462" s="65">
        <v>0</v>
      </c>
      <c r="Z2462" s="51">
        <v>0</v>
      </c>
      <c r="AA2462" s="51">
        <v>0</v>
      </c>
      <c r="AB2462" s="102">
        <v>0</v>
      </c>
      <c r="AC2462" s="81">
        <f t="shared" si="117"/>
        <v>281.85535563770793</v>
      </c>
      <c r="AD2462" s="82">
        <f t="shared" si="118"/>
        <v>54.100000000000009</v>
      </c>
      <c r="AE2462" s="218">
        <v>-7.7610149043520038E-2</v>
      </c>
      <c r="AF2462">
        <v>4</v>
      </c>
      <c r="AH2462" t="str">
        <f t="shared" si="119"/>
        <v>Dumraon</v>
      </c>
      <c r="AJ2462" s="72">
        <v>0</v>
      </c>
      <c r="AK2462" s="72"/>
      <c r="AL2462" s="72"/>
      <c r="AM2462" s="72"/>
    </row>
    <row r="2463" spans="1:39" x14ac:dyDescent="0.25">
      <c r="A2463" s="37" t="s">
        <v>62</v>
      </c>
      <c r="B2463" s="66" t="s">
        <v>1629</v>
      </c>
      <c r="C2463" s="41">
        <v>1014</v>
      </c>
      <c r="D2463" s="41" t="s">
        <v>376</v>
      </c>
      <c r="E2463" s="41">
        <v>10140048</v>
      </c>
      <c r="F2463" s="85" t="s">
        <v>393</v>
      </c>
      <c r="G2463" s="39" t="s">
        <v>93</v>
      </c>
      <c r="H2463" s="52" t="s">
        <v>94</v>
      </c>
      <c r="I2463" s="52">
        <v>65.400000000000006</v>
      </c>
      <c r="J2463" s="49">
        <v>2338.3900000000003</v>
      </c>
      <c r="K2463" s="58">
        <v>130.07</v>
      </c>
      <c r="L2463" s="58">
        <v>4800.0077921276552</v>
      </c>
      <c r="M2463" s="58">
        <v>0.41000000000000003</v>
      </c>
      <c r="N2463" s="58">
        <v>18.668129323919999</v>
      </c>
      <c r="O2463" s="58">
        <v>130.47999999999999</v>
      </c>
      <c r="P2463" s="53">
        <v>4818.6759214515751</v>
      </c>
      <c r="Q2463" s="65">
        <v>2338.3900000000003</v>
      </c>
      <c r="R2463" s="65">
        <v>0</v>
      </c>
      <c r="S2463" s="65">
        <v>18.668129323919999</v>
      </c>
      <c r="T2463" s="65">
        <v>2480.2859214515747</v>
      </c>
      <c r="U2463" s="58">
        <v>0</v>
      </c>
      <c r="V2463" s="65">
        <v>0</v>
      </c>
      <c r="W2463" s="65">
        <v>0</v>
      </c>
      <c r="X2463" s="65">
        <v>2320</v>
      </c>
      <c r="Y2463" s="65">
        <v>0</v>
      </c>
      <c r="Z2463" s="51">
        <v>0</v>
      </c>
      <c r="AA2463" s="51">
        <v>0</v>
      </c>
      <c r="AB2463" s="102">
        <v>0</v>
      </c>
      <c r="AC2463" s="81">
        <f t="shared" si="117"/>
        <v>453.80498287461779</v>
      </c>
      <c r="AD2463" s="82">
        <f t="shared" si="118"/>
        <v>9.3428571428571434</v>
      </c>
      <c r="AE2463" s="218">
        <v>-1.0606810332970866</v>
      </c>
      <c r="AF2463">
        <v>3</v>
      </c>
      <c r="AH2463" t="str">
        <f t="shared" si="119"/>
        <v>Dumraon</v>
      </c>
      <c r="AJ2463" s="72">
        <v>0</v>
      </c>
      <c r="AK2463" s="72"/>
      <c r="AL2463" s="72"/>
      <c r="AM2463" s="72"/>
    </row>
    <row r="2464" spans="1:39" x14ac:dyDescent="0.25">
      <c r="A2464" s="37" t="s">
        <v>62</v>
      </c>
      <c r="B2464" s="66" t="s">
        <v>1629</v>
      </c>
      <c r="C2464" s="41">
        <v>1014</v>
      </c>
      <c r="D2464" s="41" t="s">
        <v>376</v>
      </c>
      <c r="E2464" s="41">
        <v>10140054</v>
      </c>
      <c r="F2464" s="85" t="s">
        <v>394</v>
      </c>
      <c r="G2464" s="39" t="s">
        <v>93</v>
      </c>
      <c r="H2464" s="52" t="s">
        <v>94</v>
      </c>
      <c r="I2464" s="52">
        <v>518.5</v>
      </c>
      <c r="J2464" s="49">
        <v>20980.590000000004</v>
      </c>
      <c r="K2464" s="58">
        <v>549.62999999999988</v>
      </c>
      <c r="L2464" s="58">
        <v>22963.555211002815</v>
      </c>
      <c r="M2464" s="58">
        <v>6.25</v>
      </c>
      <c r="N2464" s="58">
        <v>268.74228254705804</v>
      </c>
      <c r="O2464" s="58">
        <v>555.87999999999988</v>
      </c>
      <c r="P2464" s="53">
        <v>23232.297493549871</v>
      </c>
      <c r="Q2464" s="65">
        <v>20980.590000000004</v>
      </c>
      <c r="R2464" s="65">
        <v>0</v>
      </c>
      <c r="S2464" s="65">
        <v>268.74228254705804</v>
      </c>
      <c r="T2464" s="65">
        <v>2251.7074935498676</v>
      </c>
      <c r="U2464" s="58">
        <v>0</v>
      </c>
      <c r="V2464" s="65">
        <v>0</v>
      </c>
      <c r="W2464" s="65">
        <v>0</v>
      </c>
      <c r="X2464" s="65">
        <v>20712</v>
      </c>
      <c r="Y2464" s="65">
        <v>0</v>
      </c>
      <c r="Z2464" s="51">
        <v>0</v>
      </c>
      <c r="AA2464" s="51">
        <v>0</v>
      </c>
      <c r="AB2464" s="102">
        <v>0</v>
      </c>
      <c r="AC2464" s="81">
        <f t="shared" si="117"/>
        <v>146.88436200578596</v>
      </c>
      <c r="AD2464" s="82">
        <f t="shared" si="118"/>
        <v>74.071428571428569</v>
      </c>
      <c r="AE2464" s="218">
        <v>-0.10732336381149754</v>
      </c>
      <c r="AF2464">
        <v>9</v>
      </c>
      <c r="AH2464" t="str">
        <f t="shared" si="119"/>
        <v>Dumraon</v>
      </c>
      <c r="AJ2464" s="72">
        <v>0</v>
      </c>
      <c r="AK2464" s="72"/>
      <c r="AL2464" s="72"/>
      <c r="AM2464" s="72"/>
    </row>
    <row r="2465" spans="1:39" x14ac:dyDescent="0.25">
      <c r="A2465" s="37" t="s">
        <v>62</v>
      </c>
      <c r="B2465" s="66" t="s">
        <v>1629</v>
      </c>
      <c r="C2465" s="41">
        <v>1014</v>
      </c>
      <c r="D2465" s="41" t="s">
        <v>376</v>
      </c>
      <c r="E2465" s="41">
        <v>10140055</v>
      </c>
      <c r="F2465" s="85" t="s">
        <v>395</v>
      </c>
      <c r="G2465" s="39" t="s">
        <v>93</v>
      </c>
      <c r="H2465" s="52" t="s">
        <v>94</v>
      </c>
      <c r="I2465" s="52">
        <v>407.50000000000011</v>
      </c>
      <c r="J2465" s="49">
        <v>15308.490000000003</v>
      </c>
      <c r="K2465" s="58">
        <v>905.5</v>
      </c>
      <c r="L2465" s="58">
        <v>36165.412007999999</v>
      </c>
      <c r="M2465" s="58">
        <v>0</v>
      </c>
      <c r="N2465" s="58">
        <v>0</v>
      </c>
      <c r="O2465" s="58">
        <v>905.5</v>
      </c>
      <c r="P2465" s="53">
        <v>36165.412007999999</v>
      </c>
      <c r="Q2465" s="65">
        <v>15308.490000000003</v>
      </c>
      <c r="R2465" s="65">
        <v>0</v>
      </c>
      <c r="S2465" s="65">
        <v>0</v>
      </c>
      <c r="T2465" s="65">
        <v>20856.922007999994</v>
      </c>
      <c r="U2465" s="58">
        <v>2540</v>
      </c>
      <c r="V2465" s="65">
        <v>0</v>
      </c>
      <c r="W2465" s="65">
        <v>0</v>
      </c>
      <c r="X2465" s="65">
        <v>12768</v>
      </c>
      <c r="Y2465" s="65">
        <v>0</v>
      </c>
      <c r="Z2465" s="51">
        <v>0</v>
      </c>
      <c r="AA2465" s="51">
        <v>0</v>
      </c>
      <c r="AB2465" s="102" t="s">
        <v>68</v>
      </c>
      <c r="AC2465" s="81">
        <f t="shared" si="117"/>
        <v>219.7660527607361</v>
      </c>
      <c r="AD2465" s="82">
        <f t="shared" si="118"/>
        <v>58.21428571428573</v>
      </c>
      <c r="AE2465" s="218">
        <v>-1.36244149540549</v>
      </c>
      <c r="AF2465">
        <v>1</v>
      </c>
      <c r="AH2465" t="str">
        <f t="shared" si="119"/>
        <v>Dumraon</v>
      </c>
      <c r="AJ2465" s="72">
        <v>0</v>
      </c>
      <c r="AK2465" s="72"/>
      <c r="AL2465" s="72"/>
      <c r="AM2465" s="72"/>
    </row>
    <row r="2466" spans="1:39" x14ac:dyDescent="0.25">
      <c r="A2466" s="37" t="s">
        <v>62</v>
      </c>
      <c r="B2466" s="66" t="s">
        <v>1629</v>
      </c>
      <c r="C2466" s="41">
        <v>1014</v>
      </c>
      <c r="D2466" s="41" t="s">
        <v>376</v>
      </c>
      <c r="E2466" s="41">
        <v>10140066</v>
      </c>
      <c r="F2466" s="85" t="s">
        <v>396</v>
      </c>
      <c r="G2466" s="39" t="s">
        <v>93</v>
      </c>
      <c r="H2466" s="52" t="s">
        <v>94</v>
      </c>
      <c r="I2466" s="52">
        <v>290.5</v>
      </c>
      <c r="J2466" s="49">
        <v>13606.18</v>
      </c>
      <c r="K2466" s="58">
        <v>294.40000000000003</v>
      </c>
      <c r="L2466" s="58">
        <v>15988.575208989423</v>
      </c>
      <c r="M2466" s="58">
        <v>2.0000000000000004</v>
      </c>
      <c r="N2466" s="58">
        <v>105.55038600118003</v>
      </c>
      <c r="O2466" s="58">
        <v>296.40000000000003</v>
      </c>
      <c r="P2466" s="53">
        <v>16094.125594990603</v>
      </c>
      <c r="Q2466" s="65">
        <v>13606.18</v>
      </c>
      <c r="R2466" s="65">
        <v>0</v>
      </c>
      <c r="S2466" s="65">
        <v>105.55038600118003</v>
      </c>
      <c r="T2466" s="65">
        <v>2487.9455949906023</v>
      </c>
      <c r="U2466" s="58">
        <v>0</v>
      </c>
      <c r="V2466" s="65">
        <v>0</v>
      </c>
      <c r="W2466" s="65">
        <v>0</v>
      </c>
      <c r="X2466" s="65">
        <v>13501</v>
      </c>
      <c r="Y2466" s="65">
        <v>0</v>
      </c>
      <c r="Z2466" s="51">
        <v>0</v>
      </c>
      <c r="AA2466" s="51">
        <v>0</v>
      </c>
      <c r="AB2466" s="102">
        <v>0</v>
      </c>
      <c r="AC2466" s="81">
        <f t="shared" si="117"/>
        <v>383.59591807228912</v>
      </c>
      <c r="AD2466" s="82">
        <f t="shared" si="118"/>
        <v>41.5</v>
      </c>
      <c r="AE2466" s="218">
        <v>-0.18285408505477674</v>
      </c>
      <c r="AF2466">
        <v>5</v>
      </c>
      <c r="AH2466" t="str">
        <f t="shared" si="119"/>
        <v>Dumraon</v>
      </c>
      <c r="AJ2466" s="72">
        <v>0</v>
      </c>
      <c r="AK2466" s="72"/>
      <c r="AL2466" s="72"/>
      <c r="AM2466" s="72"/>
    </row>
    <row r="2467" spans="1:39" x14ac:dyDescent="0.25">
      <c r="A2467" s="37" t="s">
        <v>62</v>
      </c>
      <c r="B2467" s="66" t="s">
        <v>1629</v>
      </c>
      <c r="C2467" s="41">
        <v>1014</v>
      </c>
      <c r="D2467" s="41" t="s">
        <v>376</v>
      </c>
      <c r="E2467" s="41">
        <v>10140068</v>
      </c>
      <c r="F2467" s="85" t="s">
        <v>397</v>
      </c>
      <c r="G2467" s="39" t="s">
        <v>93</v>
      </c>
      <c r="H2467" s="52" t="s">
        <v>94</v>
      </c>
      <c r="I2467" s="52">
        <v>268.2</v>
      </c>
      <c r="J2467" s="49">
        <v>10423.530000000001</v>
      </c>
      <c r="K2467" s="58">
        <v>288.22000000000003</v>
      </c>
      <c r="L2467" s="58">
        <v>11327.874172164</v>
      </c>
      <c r="M2467" s="58">
        <v>0</v>
      </c>
      <c r="N2467" s="58">
        <v>0</v>
      </c>
      <c r="O2467" s="58">
        <v>288.22000000000003</v>
      </c>
      <c r="P2467" s="53">
        <v>11327.874172164</v>
      </c>
      <c r="Q2467" s="65">
        <v>10423.530000000001</v>
      </c>
      <c r="R2467" s="65">
        <v>0</v>
      </c>
      <c r="S2467" s="65">
        <v>0</v>
      </c>
      <c r="T2467" s="65">
        <v>904.34417216399925</v>
      </c>
      <c r="U2467" s="58">
        <v>0</v>
      </c>
      <c r="V2467" s="65">
        <v>0</v>
      </c>
      <c r="W2467" s="65">
        <v>0</v>
      </c>
      <c r="X2467" s="65">
        <v>10424</v>
      </c>
      <c r="Y2467" s="65">
        <v>0</v>
      </c>
      <c r="Z2467" s="51">
        <v>0</v>
      </c>
      <c r="AA2467" s="51">
        <v>0</v>
      </c>
      <c r="AB2467" s="102">
        <v>0</v>
      </c>
      <c r="AC2467" s="81">
        <f t="shared" si="117"/>
        <v>335.63611140939599</v>
      </c>
      <c r="AD2467" s="82">
        <f t="shared" si="118"/>
        <v>38.31428571428571</v>
      </c>
      <c r="AE2467" s="218">
        <v>-8.6759876180526094E-2</v>
      </c>
      <c r="AF2467">
        <v>2</v>
      </c>
      <c r="AH2467" t="str">
        <f t="shared" si="119"/>
        <v>Dumraon</v>
      </c>
      <c r="AJ2467" s="72">
        <v>0</v>
      </c>
      <c r="AK2467" s="72"/>
      <c r="AL2467" s="72"/>
      <c r="AM2467" s="72"/>
    </row>
    <row r="2468" spans="1:39" x14ac:dyDescent="0.25">
      <c r="A2468" s="37" t="s">
        <v>62</v>
      </c>
      <c r="B2468" s="66" t="s">
        <v>1629</v>
      </c>
      <c r="C2468" s="41">
        <v>1014</v>
      </c>
      <c r="D2468" s="41" t="s">
        <v>376</v>
      </c>
      <c r="E2468" s="41">
        <v>10140069</v>
      </c>
      <c r="F2468" s="85" t="s">
        <v>296</v>
      </c>
      <c r="G2468" s="39" t="s">
        <v>93</v>
      </c>
      <c r="H2468" s="52" t="s">
        <v>94</v>
      </c>
      <c r="I2468" s="52">
        <v>419.50000000000006</v>
      </c>
      <c r="J2468" s="49">
        <v>15311.900000000001</v>
      </c>
      <c r="K2468" s="58">
        <v>414.9</v>
      </c>
      <c r="L2468" s="58">
        <v>14998.063297202001</v>
      </c>
      <c r="M2468" s="58">
        <v>7</v>
      </c>
      <c r="N2468" s="58">
        <v>250.213491</v>
      </c>
      <c r="O2468" s="58">
        <v>421.9</v>
      </c>
      <c r="P2468" s="53">
        <v>15248.276788202002</v>
      </c>
      <c r="Q2468" s="65">
        <v>15248.276788202002</v>
      </c>
      <c r="R2468" s="65">
        <v>0</v>
      </c>
      <c r="S2468" s="65">
        <v>250.213491</v>
      </c>
      <c r="T2468" s="65">
        <v>0</v>
      </c>
      <c r="U2468" s="58">
        <v>0</v>
      </c>
      <c r="V2468" s="65">
        <v>0</v>
      </c>
      <c r="W2468" s="65">
        <v>0</v>
      </c>
      <c r="X2468" s="65">
        <v>14998</v>
      </c>
      <c r="Y2468" s="65">
        <v>0</v>
      </c>
      <c r="Z2468" s="51">
        <v>0</v>
      </c>
      <c r="AA2468" s="51">
        <v>64</v>
      </c>
      <c r="AB2468" s="102">
        <v>0</v>
      </c>
      <c r="AC2468" s="81">
        <f t="shared" si="117"/>
        <v>204.76700595947551</v>
      </c>
      <c r="AD2468" s="82">
        <f t="shared" si="118"/>
        <v>59.928571428571438</v>
      </c>
      <c r="AE2468" s="218">
        <v>4.1551480742428974E-3</v>
      </c>
      <c r="AF2468">
        <v>5</v>
      </c>
      <c r="AH2468" t="str">
        <f t="shared" si="119"/>
        <v>Dumraon</v>
      </c>
      <c r="AJ2468" s="72">
        <v>0</v>
      </c>
      <c r="AK2468" s="72"/>
      <c r="AL2468" s="72"/>
      <c r="AM2468" s="72"/>
    </row>
    <row r="2469" spans="1:39" x14ac:dyDescent="0.25">
      <c r="A2469" s="37" t="s">
        <v>62</v>
      </c>
      <c r="B2469" s="66" t="s">
        <v>1629</v>
      </c>
      <c r="C2469" s="41">
        <v>1014</v>
      </c>
      <c r="D2469" s="41" t="s">
        <v>376</v>
      </c>
      <c r="E2469" s="41">
        <v>10140071</v>
      </c>
      <c r="F2469" s="85" t="s">
        <v>398</v>
      </c>
      <c r="G2469" s="39" t="s">
        <v>635</v>
      </c>
      <c r="H2469" s="52" t="s">
        <v>99</v>
      </c>
      <c r="I2469" s="52">
        <v>1768.9</v>
      </c>
      <c r="J2469" s="49">
        <v>60777.740000000005</v>
      </c>
      <c r="K2469" s="58">
        <v>0</v>
      </c>
      <c r="L2469" s="58">
        <v>0</v>
      </c>
      <c r="M2469" s="58">
        <v>0</v>
      </c>
      <c r="N2469" s="58">
        <v>0</v>
      </c>
      <c r="O2469" s="58">
        <v>0</v>
      </c>
      <c r="P2469" s="53">
        <v>0</v>
      </c>
      <c r="Q2469" s="65">
        <v>60777.740000000005</v>
      </c>
      <c r="R2469" s="65">
        <v>0</v>
      </c>
      <c r="S2469" s="65">
        <v>0</v>
      </c>
      <c r="T2469" s="65">
        <v>0</v>
      </c>
      <c r="U2469" s="58">
        <v>0</v>
      </c>
      <c r="V2469" s="65">
        <v>0</v>
      </c>
      <c r="W2469" s="65">
        <v>0</v>
      </c>
      <c r="X2469" s="65">
        <v>0</v>
      </c>
      <c r="Y2469" s="65">
        <v>0</v>
      </c>
      <c r="Z2469" s="51">
        <v>60777.740000000005</v>
      </c>
      <c r="AA2469" s="51">
        <v>0</v>
      </c>
      <c r="AB2469" s="102">
        <v>0</v>
      </c>
      <c r="AC2469" s="81">
        <f t="shared" si="117"/>
        <v>0</v>
      </c>
      <c r="AD2469" s="82">
        <f t="shared" si="118"/>
        <v>0</v>
      </c>
      <c r="AE2469" s="218">
        <v>0</v>
      </c>
      <c r="AF2469">
        <v>0</v>
      </c>
      <c r="AH2469" t="str">
        <f t="shared" si="119"/>
        <v>Dumraon</v>
      </c>
      <c r="AJ2469" s="72">
        <v>0</v>
      </c>
      <c r="AK2469" s="72"/>
      <c r="AL2469" s="72"/>
      <c r="AM2469" s="72"/>
    </row>
    <row r="2470" spans="1:39" x14ac:dyDescent="0.25">
      <c r="A2470" s="37" t="s">
        <v>62</v>
      </c>
      <c r="B2470" s="66" t="s">
        <v>1629</v>
      </c>
      <c r="C2470" s="41">
        <v>1014</v>
      </c>
      <c r="D2470" s="41" t="s">
        <v>376</v>
      </c>
      <c r="E2470" s="41">
        <v>10140083</v>
      </c>
      <c r="F2470" s="85" t="s">
        <v>399</v>
      </c>
      <c r="G2470" s="39" t="s">
        <v>93</v>
      </c>
      <c r="H2470" s="52" t="s">
        <v>94</v>
      </c>
      <c r="I2470" s="52">
        <v>881.20000000000027</v>
      </c>
      <c r="J2470" s="49">
        <v>34049.339999999997</v>
      </c>
      <c r="K2470" s="58">
        <v>533.59999999999991</v>
      </c>
      <c r="L2470" s="58">
        <v>20811.143506626002</v>
      </c>
      <c r="M2470" s="58">
        <v>421.1</v>
      </c>
      <c r="N2470" s="58">
        <v>18341.308156656632</v>
      </c>
      <c r="O2470" s="58">
        <v>954.69999999999993</v>
      </c>
      <c r="P2470" s="53">
        <v>39152.451663282634</v>
      </c>
      <c r="Q2470" s="65">
        <v>34049.339999999997</v>
      </c>
      <c r="R2470" s="65">
        <v>0</v>
      </c>
      <c r="S2470" s="65">
        <v>248.14256227199999</v>
      </c>
      <c r="T2470" s="65">
        <v>5103.1116632826379</v>
      </c>
      <c r="U2470" s="58">
        <v>0</v>
      </c>
      <c r="V2470" s="65">
        <v>0</v>
      </c>
      <c r="W2470" s="65">
        <v>0</v>
      </c>
      <c r="X2470" s="65">
        <v>15708</v>
      </c>
      <c r="Y2470" s="65">
        <v>18093</v>
      </c>
      <c r="Z2470" s="51">
        <v>0</v>
      </c>
      <c r="AA2470" s="51">
        <v>0</v>
      </c>
      <c r="AB2470" s="102">
        <v>0</v>
      </c>
      <c r="AC2470" s="81">
        <f t="shared" si="117"/>
        <v>0</v>
      </c>
      <c r="AD2470" s="82">
        <f t="shared" si="118"/>
        <v>0</v>
      </c>
      <c r="AE2470" s="218">
        <v>-0.1498740258484493</v>
      </c>
      <c r="AF2470">
        <v>16</v>
      </c>
      <c r="AH2470" t="str">
        <f t="shared" si="119"/>
        <v>Dumraon</v>
      </c>
      <c r="AJ2470" s="72">
        <v>0</v>
      </c>
      <c r="AK2470" s="72"/>
      <c r="AL2470" s="72"/>
      <c r="AM2470" s="72"/>
    </row>
    <row r="2471" spans="1:39" x14ac:dyDescent="0.25">
      <c r="A2471" s="37" t="s">
        <v>62</v>
      </c>
      <c r="B2471" s="66" t="s">
        <v>1629</v>
      </c>
      <c r="C2471" s="41">
        <v>1014</v>
      </c>
      <c r="D2471" s="41" t="s">
        <v>376</v>
      </c>
      <c r="E2471" s="41">
        <v>10140087</v>
      </c>
      <c r="F2471" s="85" t="s">
        <v>400</v>
      </c>
      <c r="G2471" s="39" t="s">
        <v>93</v>
      </c>
      <c r="H2471" s="52" t="s">
        <v>94</v>
      </c>
      <c r="I2471" s="52">
        <v>275.3</v>
      </c>
      <c r="J2471" s="49">
        <v>10431.32</v>
      </c>
      <c r="K2471" s="58">
        <v>291.70999999999998</v>
      </c>
      <c r="L2471" s="58">
        <v>11385.675895662902</v>
      </c>
      <c r="M2471" s="58">
        <v>0</v>
      </c>
      <c r="N2471" s="58">
        <v>0</v>
      </c>
      <c r="O2471" s="58">
        <v>291.70999999999998</v>
      </c>
      <c r="P2471" s="53">
        <v>11385.675895662902</v>
      </c>
      <c r="Q2471" s="65">
        <v>10431.32</v>
      </c>
      <c r="R2471" s="65">
        <v>0</v>
      </c>
      <c r="S2471" s="65">
        <v>0</v>
      </c>
      <c r="T2471" s="65">
        <v>954.35589566290218</v>
      </c>
      <c r="U2471" s="58">
        <v>0</v>
      </c>
      <c r="V2471" s="65">
        <v>0</v>
      </c>
      <c r="W2471" s="65">
        <v>0</v>
      </c>
      <c r="X2471" s="65">
        <v>10431</v>
      </c>
      <c r="Y2471" s="65">
        <v>0</v>
      </c>
      <c r="Z2471" s="51">
        <v>0</v>
      </c>
      <c r="AA2471" s="51">
        <v>0</v>
      </c>
      <c r="AB2471" s="102" t="s">
        <v>68</v>
      </c>
      <c r="AC2471" s="81">
        <f t="shared" si="117"/>
        <v>321.84392328369046</v>
      </c>
      <c r="AD2471" s="82">
        <f t="shared" si="118"/>
        <v>39.328571428571429</v>
      </c>
      <c r="AE2471" s="218">
        <v>-9.1489465922136623E-2</v>
      </c>
      <c r="AF2471">
        <v>6</v>
      </c>
      <c r="AH2471" t="str">
        <f t="shared" si="119"/>
        <v>Dumraon</v>
      </c>
      <c r="AJ2471" s="72">
        <v>0</v>
      </c>
      <c r="AK2471" s="72"/>
      <c r="AL2471" s="72"/>
      <c r="AM2471" s="72"/>
    </row>
    <row r="2472" spans="1:39" x14ac:dyDescent="0.25">
      <c r="A2472" s="37" t="s">
        <v>62</v>
      </c>
      <c r="B2472" s="66" t="s">
        <v>1629</v>
      </c>
      <c r="C2472" s="41">
        <v>1014</v>
      </c>
      <c r="D2472" s="41" t="s">
        <v>376</v>
      </c>
      <c r="E2472" s="41">
        <v>10140095</v>
      </c>
      <c r="F2472" s="85" t="s">
        <v>627</v>
      </c>
      <c r="G2472" s="39" t="s">
        <v>93</v>
      </c>
      <c r="H2472" s="52" t="s">
        <v>94</v>
      </c>
      <c r="I2472" s="52">
        <v>322.59999999999997</v>
      </c>
      <c r="J2472" s="49">
        <v>13734.07</v>
      </c>
      <c r="K2472" s="58">
        <v>74.100000000000009</v>
      </c>
      <c r="L2472" s="58">
        <v>3727.6302756062005</v>
      </c>
      <c r="M2472" s="58">
        <v>346.70000000000005</v>
      </c>
      <c r="N2472" s="58">
        <v>16463.998365261901</v>
      </c>
      <c r="O2472" s="58">
        <v>420.80000000000007</v>
      </c>
      <c r="P2472" s="53">
        <v>20191.628640868101</v>
      </c>
      <c r="Q2472" s="65">
        <v>13734.07</v>
      </c>
      <c r="R2472" s="65">
        <v>0</v>
      </c>
      <c r="S2472" s="65">
        <v>0</v>
      </c>
      <c r="T2472" s="65">
        <v>6457.5586408681011</v>
      </c>
      <c r="U2472" s="58">
        <v>0</v>
      </c>
      <c r="V2472" s="65">
        <v>0</v>
      </c>
      <c r="W2472" s="65">
        <v>0</v>
      </c>
      <c r="X2472" s="65">
        <v>0</v>
      </c>
      <c r="Y2472" s="65">
        <v>13734</v>
      </c>
      <c r="Z2472" s="51">
        <v>0</v>
      </c>
      <c r="AA2472" s="51">
        <v>0</v>
      </c>
      <c r="AB2472" s="102" t="s">
        <v>68</v>
      </c>
      <c r="AC2472" s="81">
        <f t="shared" si="117"/>
        <v>321.34147662740241</v>
      </c>
      <c r="AD2472" s="82">
        <f t="shared" si="118"/>
        <v>46.085714285714282</v>
      </c>
      <c r="AE2472" s="218">
        <v>-0.47018535953785739</v>
      </c>
      <c r="AF2472">
        <v>8</v>
      </c>
      <c r="AH2472" t="str">
        <f t="shared" si="119"/>
        <v>Dumraon</v>
      </c>
      <c r="AJ2472" s="72">
        <v>0</v>
      </c>
      <c r="AK2472" s="72"/>
      <c r="AL2472" s="72"/>
      <c r="AM2472" s="72"/>
    </row>
    <row r="2473" spans="1:39" x14ac:dyDescent="0.25">
      <c r="A2473" s="37" t="s">
        <v>62</v>
      </c>
      <c r="B2473" s="66" t="s">
        <v>1629</v>
      </c>
      <c r="C2473" s="41">
        <v>1014</v>
      </c>
      <c r="D2473" s="41" t="s">
        <v>376</v>
      </c>
      <c r="E2473" s="41">
        <v>10140098</v>
      </c>
      <c r="F2473" s="85" t="s">
        <v>428</v>
      </c>
      <c r="G2473" s="39" t="s">
        <v>93</v>
      </c>
      <c r="H2473" s="52" t="s">
        <v>94</v>
      </c>
      <c r="I2473" s="52">
        <v>1746.4</v>
      </c>
      <c r="J2473" s="49">
        <v>66573.049999999988</v>
      </c>
      <c r="K2473" s="58">
        <v>1698.0700000000002</v>
      </c>
      <c r="L2473" s="58">
        <v>66001.829450095305</v>
      </c>
      <c r="M2473" s="58">
        <v>14.74</v>
      </c>
      <c r="N2473" s="58">
        <v>558.84161757600009</v>
      </c>
      <c r="O2473" s="58">
        <v>1712.8100000000002</v>
      </c>
      <c r="P2473" s="53">
        <v>66560.671067671312</v>
      </c>
      <c r="Q2473" s="65">
        <v>66560.671067671312</v>
      </c>
      <c r="R2473" s="65">
        <v>0</v>
      </c>
      <c r="S2473" s="65">
        <v>558.84161757600009</v>
      </c>
      <c r="T2473" s="65">
        <v>0</v>
      </c>
      <c r="U2473" s="58">
        <v>0</v>
      </c>
      <c r="V2473" s="65">
        <v>0</v>
      </c>
      <c r="W2473" s="65">
        <v>0</v>
      </c>
      <c r="X2473" s="65">
        <v>66003</v>
      </c>
      <c r="Y2473" s="65">
        <v>0</v>
      </c>
      <c r="Z2473" s="51">
        <v>0</v>
      </c>
      <c r="AA2473" s="51">
        <v>11</v>
      </c>
      <c r="AB2473" s="102">
        <v>0</v>
      </c>
      <c r="AC2473" s="81">
        <f t="shared" si="117"/>
        <v>0</v>
      </c>
      <c r="AD2473" s="82">
        <f t="shared" si="118"/>
        <v>0</v>
      </c>
      <c r="AE2473" s="218">
        <v>1.8594509833448308E-4</v>
      </c>
      <c r="AF2473">
        <v>6</v>
      </c>
      <c r="AH2473" t="str">
        <f t="shared" si="119"/>
        <v>Dumraon</v>
      </c>
      <c r="AJ2473" s="72">
        <v>0</v>
      </c>
      <c r="AK2473" s="72"/>
      <c r="AL2473" s="72"/>
      <c r="AM2473" s="72"/>
    </row>
    <row r="2474" spans="1:39" x14ac:dyDescent="0.25">
      <c r="A2474" s="37" t="s">
        <v>62</v>
      </c>
      <c r="B2474" s="66" t="s">
        <v>1629</v>
      </c>
      <c r="C2474" s="41">
        <v>1014</v>
      </c>
      <c r="D2474" s="41" t="s">
        <v>376</v>
      </c>
      <c r="E2474" s="41">
        <v>10140099</v>
      </c>
      <c r="F2474" s="85" t="s">
        <v>401</v>
      </c>
      <c r="G2474" s="39" t="s">
        <v>93</v>
      </c>
      <c r="H2474" s="52" t="s">
        <v>94</v>
      </c>
      <c r="I2474" s="52">
        <v>259.7</v>
      </c>
      <c r="J2474" s="49">
        <v>8850.91</v>
      </c>
      <c r="K2474" s="58">
        <v>281.85000000000002</v>
      </c>
      <c r="L2474" s="58">
        <v>9958.3156167264024</v>
      </c>
      <c r="M2474" s="58">
        <v>0</v>
      </c>
      <c r="N2474" s="58">
        <v>0</v>
      </c>
      <c r="O2474" s="58">
        <v>281.85000000000002</v>
      </c>
      <c r="P2474" s="53">
        <v>9958.3156167264024</v>
      </c>
      <c r="Q2474" s="65">
        <v>8850.91</v>
      </c>
      <c r="R2474" s="65">
        <v>0</v>
      </c>
      <c r="S2474" s="65">
        <v>0</v>
      </c>
      <c r="T2474" s="65">
        <v>1107.4056167264025</v>
      </c>
      <c r="U2474" s="58">
        <v>1300</v>
      </c>
      <c r="V2474" s="65">
        <v>0</v>
      </c>
      <c r="W2474" s="65">
        <v>0</v>
      </c>
      <c r="X2474" s="65">
        <v>7551</v>
      </c>
      <c r="Y2474" s="65">
        <v>0</v>
      </c>
      <c r="Z2474" s="51">
        <v>0</v>
      </c>
      <c r="AA2474" s="51">
        <v>0</v>
      </c>
      <c r="AB2474" s="102" t="s">
        <v>68</v>
      </c>
      <c r="AC2474" s="81">
        <f t="shared" si="117"/>
        <v>300.11980539083555</v>
      </c>
      <c r="AD2474" s="82">
        <f t="shared" si="118"/>
        <v>37.1</v>
      </c>
      <c r="AE2474" s="218">
        <v>-0.12511771295001334</v>
      </c>
      <c r="AF2474">
        <v>7</v>
      </c>
      <c r="AH2474" t="str">
        <f t="shared" si="119"/>
        <v>Dumraon</v>
      </c>
      <c r="AJ2474" s="72">
        <v>0</v>
      </c>
      <c r="AK2474" s="72"/>
      <c r="AL2474" s="72"/>
      <c r="AM2474" s="72"/>
    </row>
    <row r="2475" spans="1:39" x14ac:dyDescent="0.25">
      <c r="A2475" s="37" t="s">
        <v>62</v>
      </c>
      <c r="B2475" s="66" t="s">
        <v>1629</v>
      </c>
      <c r="C2475" s="41">
        <v>1014</v>
      </c>
      <c r="D2475" s="41" t="s">
        <v>376</v>
      </c>
      <c r="E2475" s="41">
        <v>10140109</v>
      </c>
      <c r="F2475" s="85" t="s">
        <v>424</v>
      </c>
      <c r="G2475" s="39" t="s">
        <v>635</v>
      </c>
      <c r="H2475" s="52" t="s">
        <v>99</v>
      </c>
      <c r="I2475" s="52">
        <v>508.70000000000005</v>
      </c>
      <c r="J2475" s="49">
        <v>19068.330000000002</v>
      </c>
      <c r="K2475" s="58">
        <v>0</v>
      </c>
      <c r="L2475" s="58">
        <v>0</v>
      </c>
      <c r="M2475" s="58">
        <v>0</v>
      </c>
      <c r="N2475" s="58">
        <v>0</v>
      </c>
      <c r="O2475" s="58">
        <v>0</v>
      </c>
      <c r="P2475" s="53">
        <v>0</v>
      </c>
      <c r="Q2475" s="65">
        <v>19068.330000000002</v>
      </c>
      <c r="R2475" s="65">
        <v>0</v>
      </c>
      <c r="S2475" s="65">
        <v>0</v>
      </c>
      <c r="T2475" s="65">
        <v>0</v>
      </c>
      <c r="U2475" s="58">
        <v>0</v>
      </c>
      <c r="V2475" s="65">
        <v>0</v>
      </c>
      <c r="W2475" s="65">
        <v>0</v>
      </c>
      <c r="X2475" s="65">
        <v>0</v>
      </c>
      <c r="Y2475" s="65">
        <v>0</v>
      </c>
      <c r="Z2475" s="51">
        <v>19068.330000000002</v>
      </c>
      <c r="AA2475" s="51">
        <v>0</v>
      </c>
      <c r="AB2475" s="102">
        <v>0</v>
      </c>
      <c r="AC2475" s="81">
        <f t="shared" si="117"/>
        <v>143.4154326321997</v>
      </c>
      <c r="AD2475" s="82">
        <f t="shared" si="118"/>
        <v>72.671428571428578</v>
      </c>
      <c r="AE2475" s="218">
        <v>0</v>
      </c>
      <c r="AF2475">
        <v>0</v>
      </c>
      <c r="AH2475" t="str">
        <f t="shared" si="119"/>
        <v>Dumraon</v>
      </c>
      <c r="AJ2475" s="72">
        <v>0</v>
      </c>
      <c r="AK2475" s="72"/>
      <c r="AL2475" s="72"/>
      <c r="AM2475" s="72"/>
    </row>
    <row r="2476" spans="1:39" x14ac:dyDescent="0.25">
      <c r="A2476" s="37" t="s">
        <v>62</v>
      </c>
      <c r="B2476" s="66" t="s">
        <v>1629</v>
      </c>
      <c r="C2476" s="41">
        <v>1014</v>
      </c>
      <c r="D2476" s="41" t="s">
        <v>376</v>
      </c>
      <c r="E2476" s="41">
        <v>10140120</v>
      </c>
      <c r="F2476" s="85" t="s">
        <v>628</v>
      </c>
      <c r="G2476" s="39" t="s">
        <v>93</v>
      </c>
      <c r="H2476" s="52" t="s">
        <v>94</v>
      </c>
      <c r="I2476" s="52">
        <v>423.7</v>
      </c>
      <c r="J2476" s="49">
        <v>16320.599999999999</v>
      </c>
      <c r="K2476" s="58">
        <v>419.25</v>
      </c>
      <c r="L2476" s="58">
        <v>16138.396659528</v>
      </c>
      <c r="M2476" s="58">
        <v>4.160000000000001</v>
      </c>
      <c r="N2476" s="58">
        <v>160.49778188400001</v>
      </c>
      <c r="O2476" s="58">
        <v>423.41</v>
      </c>
      <c r="P2476" s="53">
        <v>16298.894441412</v>
      </c>
      <c r="Q2476" s="65">
        <v>16298.894441412</v>
      </c>
      <c r="R2476" s="65">
        <v>0</v>
      </c>
      <c r="S2476" s="65">
        <v>160.49778188400001</v>
      </c>
      <c r="T2476" s="65">
        <v>0</v>
      </c>
      <c r="U2476" s="58">
        <v>0</v>
      </c>
      <c r="V2476" s="65">
        <v>0</v>
      </c>
      <c r="W2476" s="65">
        <v>0</v>
      </c>
      <c r="X2476" s="65">
        <v>16139</v>
      </c>
      <c r="Y2476" s="65">
        <v>0</v>
      </c>
      <c r="Z2476" s="51">
        <v>0</v>
      </c>
      <c r="AA2476" s="51">
        <v>21</v>
      </c>
      <c r="AB2476" s="102">
        <v>0</v>
      </c>
      <c r="AC2476" s="81">
        <f t="shared" si="117"/>
        <v>212.85729431201321</v>
      </c>
      <c r="AD2476" s="82">
        <f t="shared" si="118"/>
        <v>60.528571428571425</v>
      </c>
      <c r="AE2476" s="218">
        <v>1.3299485673320156E-3</v>
      </c>
      <c r="AF2476">
        <v>3</v>
      </c>
      <c r="AH2476" t="str">
        <f t="shared" si="119"/>
        <v>Dumraon</v>
      </c>
      <c r="AJ2476" s="72">
        <v>0</v>
      </c>
      <c r="AK2476" s="72"/>
      <c r="AL2476" s="72"/>
      <c r="AM2476" s="72"/>
    </row>
    <row r="2477" spans="1:39" x14ac:dyDescent="0.25">
      <c r="A2477" s="37" t="s">
        <v>62</v>
      </c>
      <c r="B2477" s="66" t="s">
        <v>1629</v>
      </c>
      <c r="C2477" s="41">
        <v>1014</v>
      </c>
      <c r="D2477" s="41" t="s">
        <v>376</v>
      </c>
      <c r="E2477" s="41">
        <v>10140126</v>
      </c>
      <c r="F2477" s="85" t="s">
        <v>468</v>
      </c>
      <c r="G2477" s="39" t="s">
        <v>93</v>
      </c>
      <c r="H2477" s="52" t="s">
        <v>94</v>
      </c>
      <c r="I2477" s="52">
        <v>141.4</v>
      </c>
      <c r="J2477" s="49">
        <v>4994.38</v>
      </c>
      <c r="K2477" s="58">
        <v>154.32999999999998</v>
      </c>
      <c r="L2477" s="58">
        <v>5586.36518046321</v>
      </c>
      <c r="M2477" s="58">
        <v>2.6</v>
      </c>
      <c r="N2477" s="58">
        <v>102.61961423999999</v>
      </c>
      <c r="O2477" s="58">
        <v>156.92999999999998</v>
      </c>
      <c r="P2477" s="53">
        <v>5688.9847947032104</v>
      </c>
      <c r="Q2477" s="65">
        <v>4994.38</v>
      </c>
      <c r="R2477" s="65">
        <v>0</v>
      </c>
      <c r="S2477" s="65">
        <v>102.61961423999999</v>
      </c>
      <c r="T2477" s="65">
        <v>694.60479470321025</v>
      </c>
      <c r="U2477" s="58">
        <v>0</v>
      </c>
      <c r="V2477" s="65">
        <v>0</v>
      </c>
      <c r="W2477" s="65">
        <v>0</v>
      </c>
      <c r="X2477" s="65">
        <v>4892</v>
      </c>
      <c r="Y2477" s="65">
        <v>0</v>
      </c>
      <c r="Z2477" s="51">
        <v>0</v>
      </c>
      <c r="AA2477" s="51">
        <v>0</v>
      </c>
      <c r="AB2477" s="102" t="s">
        <v>68</v>
      </c>
      <c r="AC2477" s="81">
        <f t="shared" si="117"/>
        <v>394.60546930693067</v>
      </c>
      <c r="AD2477" s="82">
        <f t="shared" si="118"/>
        <v>20.2</v>
      </c>
      <c r="AE2477" s="218">
        <v>-0.13907728180539131</v>
      </c>
      <c r="AF2477">
        <v>7</v>
      </c>
      <c r="AH2477" t="str">
        <f t="shared" si="119"/>
        <v>Dumraon</v>
      </c>
      <c r="AJ2477" s="72">
        <v>0</v>
      </c>
      <c r="AK2477" s="72"/>
      <c r="AL2477" s="72"/>
      <c r="AM2477" s="72"/>
    </row>
    <row r="2478" spans="1:39" x14ac:dyDescent="0.25">
      <c r="A2478" s="37" t="s">
        <v>62</v>
      </c>
      <c r="B2478" s="66" t="s">
        <v>1629</v>
      </c>
      <c r="C2478" s="41">
        <v>1014</v>
      </c>
      <c r="D2478" s="41" t="s">
        <v>376</v>
      </c>
      <c r="E2478" s="41">
        <v>10140129</v>
      </c>
      <c r="F2478" s="85" t="s">
        <v>467</v>
      </c>
      <c r="G2478" s="39" t="s">
        <v>93</v>
      </c>
      <c r="H2478" s="52" t="s">
        <v>94</v>
      </c>
      <c r="I2478" s="52">
        <v>217.29999999999998</v>
      </c>
      <c r="J2478" s="49">
        <v>7495.4999999999991</v>
      </c>
      <c r="K2478" s="58">
        <v>216</v>
      </c>
      <c r="L2478" s="58">
        <v>7470.3720960000001</v>
      </c>
      <c r="M2478" s="58">
        <v>0</v>
      </c>
      <c r="N2478" s="58">
        <v>0</v>
      </c>
      <c r="O2478" s="58">
        <v>216</v>
      </c>
      <c r="P2478" s="53">
        <v>7470.3720960000001</v>
      </c>
      <c r="Q2478" s="65">
        <v>7470.3720960000001</v>
      </c>
      <c r="R2478" s="65">
        <v>0</v>
      </c>
      <c r="S2478" s="65">
        <v>0</v>
      </c>
      <c r="T2478" s="65">
        <v>0</v>
      </c>
      <c r="U2478" s="58">
        <v>0</v>
      </c>
      <c r="V2478" s="65">
        <v>0</v>
      </c>
      <c r="W2478" s="65">
        <v>0</v>
      </c>
      <c r="X2478" s="65">
        <v>7470</v>
      </c>
      <c r="Y2478" s="65">
        <v>0</v>
      </c>
      <c r="Z2478" s="51">
        <v>0</v>
      </c>
      <c r="AA2478" s="51">
        <v>25</v>
      </c>
      <c r="AB2478" s="102">
        <v>0</v>
      </c>
      <c r="AC2478" s="81">
        <f t="shared" si="117"/>
        <v>333.00302346985728</v>
      </c>
      <c r="AD2478" s="82">
        <f t="shared" si="118"/>
        <v>31.042857142857141</v>
      </c>
      <c r="AE2478" s="218">
        <v>3.3523986391833819E-3</v>
      </c>
      <c r="AF2478">
        <v>1</v>
      </c>
      <c r="AH2478" t="str">
        <f t="shared" si="119"/>
        <v>Dumraon</v>
      </c>
      <c r="AJ2478" s="72">
        <v>0</v>
      </c>
      <c r="AK2478" s="72"/>
      <c r="AL2478" s="72"/>
      <c r="AM2478" s="72"/>
    </row>
    <row r="2479" spans="1:39" x14ac:dyDescent="0.25">
      <c r="A2479" s="37" t="s">
        <v>62</v>
      </c>
      <c r="B2479" s="66" t="s">
        <v>1629</v>
      </c>
      <c r="C2479" s="41">
        <v>1014</v>
      </c>
      <c r="D2479" s="41" t="s">
        <v>376</v>
      </c>
      <c r="E2479" s="41">
        <v>10140131</v>
      </c>
      <c r="F2479" s="85" t="s">
        <v>466</v>
      </c>
      <c r="G2479" s="39" t="s">
        <v>93</v>
      </c>
      <c r="H2479" s="52" t="s">
        <v>94</v>
      </c>
      <c r="I2479" s="52">
        <v>160.5</v>
      </c>
      <c r="J2479" s="49">
        <v>5673.4000000000005</v>
      </c>
      <c r="K2479" s="58">
        <v>158.30000000000001</v>
      </c>
      <c r="L2479" s="58">
        <v>5670.2066058</v>
      </c>
      <c r="M2479" s="58">
        <v>0</v>
      </c>
      <c r="N2479" s="58">
        <v>0</v>
      </c>
      <c r="O2479" s="58">
        <v>158.30000000000001</v>
      </c>
      <c r="P2479" s="53">
        <v>5670.2066058</v>
      </c>
      <c r="Q2479" s="65">
        <v>5670.2066058</v>
      </c>
      <c r="R2479" s="65">
        <v>0</v>
      </c>
      <c r="S2479" s="65">
        <v>0</v>
      </c>
      <c r="T2479" s="65">
        <v>0</v>
      </c>
      <c r="U2479" s="58">
        <v>0</v>
      </c>
      <c r="V2479" s="65">
        <v>0</v>
      </c>
      <c r="W2479" s="65">
        <v>0</v>
      </c>
      <c r="X2479" s="65">
        <v>5670</v>
      </c>
      <c r="Y2479" s="65">
        <v>0</v>
      </c>
      <c r="Z2479" s="51">
        <v>0</v>
      </c>
      <c r="AA2479" s="51">
        <v>3</v>
      </c>
      <c r="AB2479" s="102">
        <v>0</v>
      </c>
      <c r="AC2479" s="81">
        <f t="shared" si="117"/>
        <v>381.40801246105929</v>
      </c>
      <c r="AD2479" s="82">
        <f t="shared" si="118"/>
        <v>22.928571428571427</v>
      </c>
      <c r="AE2479" s="218">
        <v>5.6287132936167232E-4</v>
      </c>
      <c r="AF2479">
        <v>1</v>
      </c>
      <c r="AH2479" t="str">
        <f t="shared" si="119"/>
        <v>Dumraon</v>
      </c>
      <c r="AJ2479" s="72">
        <v>0</v>
      </c>
      <c r="AK2479" s="72"/>
      <c r="AL2479" s="72"/>
      <c r="AM2479" s="72"/>
    </row>
    <row r="2480" spans="1:39" x14ac:dyDescent="0.25">
      <c r="A2480" s="37" t="s">
        <v>62</v>
      </c>
      <c r="B2480" s="66" t="s">
        <v>1629</v>
      </c>
      <c r="C2480" s="41">
        <v>1014</v>
      </c>
      <c r="D2480" s="41" t="s">
        <v>376</v>
      </c>
      <c r="E2480" s="41">
        <v>10140132</v>
      </c>
      <c r="F2480" s="85" t="s">
        <v>465</v>
      </c>
      <c r="G2480" s="39" t="s">
        <v>93</v>
      </c>
      <c r="H2480" s="52" t="s">
        <v>94</v>
      </c>
      <c r="I2480" s="52">
        <v>290.10000000000002</v>
      </c>
      <c r="J2480" s="49">
        <v>9682.5099999999984</v>
      </c>
      <c r="K2480" s="58">
        <v>289.2</v>
      </c>
      <c r="L2480" s="58">
        <v>9888.6990460943725</v>
      </c>
      <c r="M2480" s="58">
        <v>4.5</v>
      </c>
      <c r="N2480" s="58">
        <v>149.62686948000001</v>
      </c>
      <c r="O2480" s="58">
        <v>293.7</v>
      </c>
      <c r="P2480" s="53">
        <v>10038.325915574373</v>
      </c>
      <c r="Q2480" s="65">
        <v>9682.5099999999984</v>
      </c>
      <c r="R2480" s="65">
        <v>0</v>
      </c>
      <c r="S2480" s="65">
        <v>149.62686948000001</v>
      </c>
      <c r="T2480" s="65">
        <v>355.81591557437423</v>
      </c>
      <c r="U2480" s="58">
        <v>0</v>
      </c>
      <c r="V2480" s="65">
        <v>0</v>
      </c>
      <c r="W2480" s="65">
        <v>0</v>
      </c>
      <c r="X2480" s="65">
        <v>9533</v>
      </c>
      <c r="Y2480" s="65">
        <v>0</v>
      </c>
      <c r="Z2480" s="51">
        <v>0</v>
      </c>
      <c r="AA2480" s="51">
        <v>0</v>
      </c>
      <c r="AB2480" s="102">
        <v>0</v>
      </c>
      <c r="AC2480" s="81">
        <f t="shared" si="117"/>
        <v>273.62018952085481</v>
      </c>
      <c r="AD2480" s="82">
        <f t="shared" si="118"/>
        <v>41.442857142857143</v>
      </c>
      <c r="AE2480" s="218">
        <v>-3.6748313771364477E-2</v>
      </c>
      <c r="AF2480">
        <v>8</v>
      </c>
      <c r="AH2480" t="str">
        <f t="shared" si="119"/>
        <v>Dumraon</v>
      </c>
      <c r="AJ2480" s="72">
        <v>0</v>
      </c>
      <c r="AK2480" s="72"/>
      <c r="AL2480" s="72"/>
      <c r="AM2480" s="72"/>
    </row>
    <row r="2481" spans="1:39" x14ac:dyDescent="0.25">
      <c r="A2481" s="37" t="s">
        <v>62</v>
      </c>
      <c r="B2481" s="66" t="s">
        <v>1629</v>
      </c>
      <c r="C2481" s="41">
        <v>1014</v>
      </c>
      <c r="D2481" s="41" t="s">
        <v>376</v>
      </c>
      <c r="E2481" s="41">
        <v>10140135</v>
      </c>
      <c r="F2481" s="85" t="s">
        <v>474</v>
      </c>
      <c r="G2481" s="39" t="s">
        <v>93</v>
      </c>
      <c r="H2481" s="52" t="s">
        <v>94</v>
      </c>
      <c r="I2481" s="52">
        <v>164.8</v>
      </c>
      <c r="J2481" s="49">
        <v>6291.2</v>
      </c>
      <c r="K2481" s="58">
        <v>158.93000000000004</v>
      </c>
      <c r="L2481" s="58">
        <v>6864.1279963833003</v>
      </c>
      <c r="M2481" s="58">
        <v>0</v>
      </c>
      <c r="N2481" s="58">
        <v>0</v>
      </c>
      <c r="O2481" s="58">
        <v>158.93000000000004</v>
      </c>
      <c r="P2481" s="53">
        <v>6864.1279963833003</v>
      </c>
      <c r="Q2481" s="65">
        <v>6291.2</v>
      </c>
      <c r="R2481" s="65">
        <v>0</v>
      </c>
      <c r="S2481" s="65">
        <v>0</v>
      </c>
      <c r="T2481" s="65">
        <v>572.92799638330052</v>
      </c>
      <c r="U2481" s="58">
        <v>0</v>
      </c>
      <c r="V2481" s="65">
        <v>0</v>
      </c>
      <c r="W2481" s="65">
        <v>0</v>
      </c>
      <c r="X2481" s="65">
        <v>6291</v>
      </c>
      <c r="Y2481" s="65">
        <v>0</v>
      </c>
      <c r="Z2481" s="51">
        <v>0</v>
      </c>
      <c r="AA2481" s="51">
        <v>0</v>
      </c>
      <c r="AB2481" s="102">
        <v>0</v>
      </c>
      <c r="AC2481" s="81">
        <f t="shared" si="117"/>
        <v>408.62260194174758</v>
      </c>
      <c r="AD2481" s="82">
        <f t="shared" si="118"/>
        <v>23.542857142857144</v>
      </c>
      <c r="AE2481" s="218">
        <v>-9.1068158122981399E-2</v>
      </c>
      <c r="AF2481">
        <v>3</v>
      </c>
      <c r="AH2481" t="str">
        <f t="shared" si="119"/>
        <v>Dumraon</v>
      </c>
      <c r="AJ2481" s="72">
        <v>0</v>
      </c>
      <c r="AK2481" s="72"/>
      <c r="AL2481" s="72"/>
      <c r="AM2481" s="72"/>
    </row>
    <row r="2482" spans="1:39" x14ac:dyDescent="0.25">
      <c r="A2482" s="37" t="s">
        <v>62</v>
      </c>
      <c r="B2482" s="66" t="s">
        <v>1629</v>
      </c>
      <c r="C2482" s="41">
        <v>1014</v>
      </c>
      <c r="D2482" s="41" t="s">
        <v>376</v>
      </c>
      <c r="E2482" s="41">
        <v>10140137</v>
      </c>
      <c r="F2482" s="85" t="s">
        <v>477</v>
      </c>
      <c r="G2482" s="39" t="s">
        <v>93</v>
      </c>
      <c r="H2482" s="52" t="s">
        <v>94</v>
      </c>
      <c r="I2482" s="52">
        <v>483.10000000000008</v>
      </c>
      <c r="J2482" s="49">
        <v>18652.940000000002</v>
      </c>
      <c r="K2482" s="58">
        <v>607.70000000000005</v>
      </c>
      <c r="L2482" s="58">
        <v>24293.658097559604</v>
      </c>
      <c r="M2482" s="58">
        <v>0</v>
      </c>
      <c r="N2482" s="58">
        <v>0</v>
      </c>
      <c r="O2482" s="58">
        <v>607.70000000000005</v>
      </c>
      <c r="P2482" s="53">
        <v>24293.658097559604</v>
      </c>
      <c r="Q2482" s="65">
        <v>18652.940000000002</v>
      </c>
      <c r="R2482" s="65">
        <v>0</v>
      </c>
      <c r="S2482" s="65">
        <v>0</v>
      </c>
      <c r="T2482" s="65">
        <v>5640.718097559602</v>
      </c>
      <c r="U2482" s="58">
        <v>0</v>
      </c>
      <c r="V2482" s="65">
        <v>0</v>
      </c>
      <c r="W2482" s="65">
        <v>0</v>
      </c>
      <c r="X2482" s="65">
        <v>18653</v>
      </c>
      <c r="Y2482" s="65">
        <v>0</v>
      </c>
      <c r="Z2482" s="51">
        <v>0</v>
      </c>
      <c r="AA2482" s="51">
        <v>0</v>
      </c>
      <c r="AB2482" s="102">
        <v>0</v>
      </c>
      <c r="AC2482" s="81">
        <f t="shared" si="117"/>
        <v>167.4942117987994</v>
      </c>
      <c r="AD2482" s="82">
        <f t="shared" si="118"/>
        <v>69.01428571428572</v>
      </c>
      <c r="AE2482" s="218">
        <v>-0.30240370137681249</v>
      </c>
      <c r="AF2482">
        <v>4</v>
      </c>
      <c r="AH2482" t="str">
        <f t="shared" si="119"/>
        <v>Dumraon</v>
      </c>
      <c r="AJ2482" s="72">
        <v>0</v>
      </c>
      <c r="AK2482" s="72"/>
      <c r="AL2482" s="72"/>
      <c r="AM2482" s="72"/>
    </row>
    <row r="2483" spans="1:39" x14ac:dyDescent="0.25">
      <c r="A2483" s="37" t="s">
        <v>62</v>
      </c>
      <c r="B2483" s="66" t="s">
        <v>1629</v>
      </c>
      <c r="C2483" s="41">
        <v>1014</v>
      </c>
      <c r="D2483" s="41" t="s">
        <v>376</v>
      </c>
      <c r="E2483" s="41">
        <v>10140139</v>
      </c>
      <c r="F2483" s="85" t="s">
        <v>494</v>
      </c>
      <c r="G2483" s="39" t="s">
        <v>93</v>
      </c>
      <c r="H2483" s="52" t="s">
        <v>94</v>
      </c>
      <c r="I2483" s="52">
        <v>202.1</v>
      </c>
      <c r="J2483" s="49">
        <v>6881.2000000000007</v>
      </c>
      <c r="K2483" s="58">
        <v>230</v>
      </c>
      <c r="L2483" s="58">
        <v>9533.298060000001</v>
      </c>
      <c r="M2483" s="58">
        <v>2</v>
      </c>
      <c r="N2483" s="58">
        <v>82.898244000000005</v>
      </c>
      <c r="O2483" s="58">
        <v>232</v>
      </c>
      <c r="P2483" s="53">
        <v>9616.196304000001</v>
      </c>
      <c r="Q2483" s="65">
        <v>6881.2000000000007</v>
      </c>
      <c r="R2483" s="65">
        <v>0</v>
      </c>
      <c r="S2483" s="65">
        <v>82.898244000000005</v>
      </c>
      <c r="T2483" s="65">
        <v>2734.9963040000002</v>
      </c>
      <c r="U2483" s="58">
        <v>0</v>
      </c>
      <c r="V2483" s="65">
        <v>0</v>
      </c>
      <c r="W2483" s="65">
        <v>0</v>
      </c>
      <c r="X2483" s="65">
        <v>6798</v>
      </c>
      <c r="Y2483" s="65">
        <v>0</v>
      </c>
      <c r="Z2483" s="51">
        <v>0</v>
      </c>
      <c r="AA2483" s="51">
        <v>0</v>
      </c>
      <c r="AB2483" s="102">
        <v>0</v>
      </c>
      <c r="AC2483" s="81">
        <f t="shared" si="117"/>
        <v>339.05487184562111</v>
      </c>
      <c r="AD2483" s="82">
        <f t="shared" si="118"/>
        <v>28.87142857142857</v>
      </c>
      <c r="AE2483" s="218">
        <v>-0.39745920827762599</v>
      </c>
      <c r="AF2483">
        <v>2</v>
      </c>
      <c r="AH2483" t="str">
        <f t="shared" si="119"/>
        <v>Dumraon</v>
      </c>
      <c r="AJ2483" s="72">
        <v>0</v>
      </c>
      <c r="AK2483" s="72"/>
      <c r="AL2483" s="72"/>
      <c r="AM2483" s="72"/>
    </row>
    <row r="2484" spans="1:39" x14ac:dyDescent="0.25">
      <c r="A2484" s="37" t="s">
        <v>62</v>
      </c>
      <c r="B2484" s="66" t="s">
        <v>1629</v>
      </c>
      <c r="C2484" s="41">
        <v>1014</v>
      </c>
      <c r="D2484" s="41" t="s">
        <v>376</v>
      </c>
      <c r="E2484" s="41">
        <v>10140141</v>
      </c>
      <c r="F2484" s="85" t="s">
        <v>669</v>
      </c>
      <c r="G2484" s="39" t="s">
        <v>635</v>
      </c>
      <c r="H2484" s="52" t="s">
        <v>99</v>
      </c>
      <c r="I2484" s="52">
        <v>390.1</v>
      </c>
      <c r="J2484" s="49">
        <v>16725.910000000003</v>
      </c>
      <c r="K2484" s="58">
        <v>0</v>
      </c>
      <c r="L2484" s="58">
        <v>0</v>
      </c>
      <c r="M2484" s="58">
        <v>0</v>
      </c>
      <c r="N2484" s="58">
        <v>0</v>
      </c>
      <c r="O2484" s="58">
        <v>0</v>
      </c>
      <c r="P2484" s="53">
        <v>0</v>
      </c>
      <c r="Q2484" s="65">
        <v>16725.910000000003</v>
      </c>
      <c r="R2484" s="65">
        <v>0</v>
      </c>
      <c r="S2484" s="65">
        <v>0</v>
      </c>
      <c r="T2484" s="65">
        <v>0</v>
      </c>
      <c r="U2484" s="58">
        <v>0</v>
      </c>
      <c r="V2484" s="65">
        <v>0</v>
      </c>
      <c r="W2484" s="65">
        <v>0</v>
      </c>
      <c r="X2484" s="65">
        <v>0</v>
      </c>
      <c r="Y2484" s="65">
        <v>0</v>
      </c>
      <c r="Z2484" s="51">
        <v>16725.910000000003</v>
      </c>
      <c r="AA2484" s="51">
        <v>0</v>
      </c>
      <c r="AB2484" s="102">
        <v>0</v>
      </c>
      <c r="AC2484" s="81">
        <f t="shared" si="117"/>
        <v>265.7451683670854</v>
      </c>
      <c r="AD2484" s="82">
        <f t="shared" si="118"/>
        <v>55.728571428571435</v>
      </c>
      <c r="AE2484" s="218">
        <v>0</v>
      </c>
      <c r="AF2484">
        <v>0</v>
      </c>
      <c r="AH2484" t="str">
        <f t="shared" si="119"/>
        <v>Dumraon</v>
      </c>
      <c r="AJ2484" s="72">
        <v>0</v>
      </c>
      <c r="AK2484" s="72"/>
      <c r="AL2484" s="72"/>
      <c r="AM2484" s="72"/>
    </row>
    <row r="2485" spans="1:39" x14ac:dyDescent="0.25">
      <c r="A2485" s="37" t="s">
        <v>62</v>
      </c>
      <c r="B2485" s="66" t="s">
        <v>1629</v>
      </c>
      <c r="C2485" s="41">
        <v>1014</v>
      </c>
      <c r="D2485" s="41" t="s">
        <v>376</v>
      </c>
      <c r="E2485" s="41">
        <v>10140147</v>
      </c>
      <c r="F2485" s="85" t="s">
        <v>1328</v>
      </c>
      <c r="G2485" s="39" t="s">
        <v>635</v>
      </c>
      <c r="H2485" s="52" t="s">
        <v>99</v>
      </c>
      <c r="I2485" s="52">
        <v>422.59999999999997</v>
      </c>
      <c r="J2485" s="49">
        <v>14785.53</v>
      </c>
      <c r="K2485" s="58">
        <v>0</v>
      </c>
      <c r="L2485" s="58">
        <v>0</v>
      </c>
      <c r="M2485" s="58">
        <v>0</v>
      </c>
      <c r="N2485" s="58">
        <v>0</v>
      </c>
      <c r="O2485" s="58">
        <v>0</v>
      </c>
      <c r="P2485" s="53">
        <v>0</v>
      </c>
      <c r="Q2485" s="65">
        <v>14785.53</v>
      </c>
      <c r="R2485" s="65">
        <v>0</v>
      </c>
      <c r="S2485" s="65">
        <v>0</v>
      </c>
      <c r="T2485" s="65">
        <v>0</v>
      </c>
      <c r="U2485" s="58">
        <v>0</v>
      </c>
      <c r="V2485" s="65">
        <v>0</v>
      </c>
      <c r="W2485" s="65">
        <v>0</v>
      </c>
      <c r="X2485" s="65">
        <v>0</v>
      </c>
      <c r="Y2485" s="65">
        <v>0</v>
      </c>
      <c r="Z2485" s="51">
        <v>14785.53</v>
      </c>
      <c r="AA2485" s="51">
        <v>0</v>
      </c>
      <c r="AB2485" s="102">
        <v>0</v>
      </c>
      <c r="AC2485" s="81">
        <f t="shared" si="117"/>
        <v>194.10818845243736</v>
      </c>
      <c r="AD2485" s="82">
        <f t="shared" si="118"/>
        <v>60.371428571428567</v>
      </c>
      <c r="AE2485" s="218">
        <v>0</v>
      </c>
      <c r="AF2485">
        <v>0</v>
      </c>
      <c r="AH2485" t="str">
        <f t="shared" si="119"/>
        <v>Dumraon</v>
      </c>
      <c r="AJ2485" s="72">
        <v>0</v>
      </c>
      <c r="AK2485" s="72"/>
      <c r="AL2485" s="72"/>
      <c r="AM2485" s="72"/>
    </row>
    <row r="2486" spans="1:39" x14ac:dyDescent="0.25">
      <c r="A2486" s="37" t="s">
        <v>62</v>
      </c>
      <c r="B2486" s="66" t="s">
        <v>1629</v>
      </c>
      <c r="C2486" s="41">
        <v>1014</v>
      </c>
      <c r="D2486" s="41" t="s">
        <v>376</v>
      </c>
      <c r="E2486" s="41">
        <v>10140148</v>
      </c>
      <c r="F2486" s="85" t="s">
        <v>512</v>
      </c>
      <c r="G2486" s="39" t="s">
        <v>93</v>
      </c>
      <c r="H2486" s="52" t="s">
        <v>94</v>
      </c>
      <c r="I2486" s="52">
        <v>30</v>
      </c>
      <c r="J2486" s="49">
        <v>1061.4000000000001</v>
      </c>
      <c r="K2486" s="58">
        <v>30</v>
      </c>
      <c r="L2486" s="58">
        <v>1061.31168</v>
      </c>
      <c r="M2486" s="58">
        <v>0</v>
      </c>
      <c r="N2486" s="58">
        <v>0</v>
      </c>
      <c r="O2486" s="58">
        <v>30</v>
      </c>
      <c r="P2486" s="53">
        <v>1061.31168</v>
      </c>
      <c r="Q2486" s="65">
        <v>1061.31168</v>
      </c>
      <c r="R2486" s="65">
        <v>0</v>
      </c>
      <c r="S2486" s="65">
        <v>0</v>
      </c>
      <c r="T2486" s="65">
        <v>0</v>
      </c>
      <c r="U2486" s="58">
        <v>0</v>
      </c>
      <c r="V2486" s="65">
        <v>0</v>
      </c>
      <c r="W2486" s="65">
        <v>0</v>
      </c>
      <c r="X2486" s="65">
        <v>1061</v>
      </c>
      <c r="Y2486" s="65">
        <v>0</v>
      </c>
      <c r="Z2486" s="51">
        <v>0</v>
      </c>
      <c r="AA2486" s="51">
        <v>0</v>
      </c>
      <c r="AB2486" s="102">
        <v>0</v>
      </c>
      <c r="AC2486" s="81">
        <f t="shared" si="117"/>
        <v>474.09200000000004</v>
      </c>
      <c r="AD2486" s="82">
        <f t="shared" si="118"/>
        <v>4.2857142857142856</v>
      </c>
      <c r="AE2486" s="218">
        <v>8.3210853589661774E-5</v>
      </c>
      <c r="AF2486">
        <v>1</v>
      </c>
      <c r="AH2486" t="str">
        <f t="shared" si="119"/>
        <v>Dumraon</v>
      </c>
      <c r="AJ2486" s="72">
        <v>0</v>
      </c>
      <c r="AK2486" s="72"/>
      <c r="AL2486" s="72"/>
      <c r="AM2486" s="72"/>
    </row>
    <row r="2487" spans="1:39" x14ac:dyDescent="0.25">
      <c r="A2487" s="37" t="s">
        <v>62</v>
      </c>
      <c r="B2487" s="66" t="s">
        <v>1629</v>
      </c>
      <c r="C2487" s="41">
        <v>1014</v>
      </c>
      <c r="D2487" s="41" t="s">
        <v>376</v>
      </c>
      <c r="E2487" s="41">
        <v>10140152</v>
      </c>
      <c r="F2487" s="85" t="s">
        <v>513</v>
      </c>
      <c r="G2487" s="39" t="s">
        <v>93</v>
      </c>
      <c r="H2487" s="52" t="s">
        <v>94</v>
      </c>
      <c r="I2487" s="52">
        <v>26.5</v>
      </c>
      <c r="J2487" s="49">
        <v>972.38999999999987</v>
      </c>
      <c r="K2487" s="58">
        <v>26.8</v>
      </c>
      <c r="L2487" s="58">
        <v>969.3317620800002</v>
      </c>
      <c r="M2487" s="58">
        <v>0</v>
      </c>
      <c r="N2487" s="58">
        <v>0</v>
      </c>
      <c r="O2487" s="58">
        <v>26.8</v>
      </c>
      <c r="P2487" s="53">
        <v>969.3317620800002</v>
      </c>
      <c r="Q2487" s="65">
        <v>969.3317620800002</v>
      </c>
      <c r="R2487" s="65">
        <v>0</v>
      </c>
      <c r="S2487" s="65">
        <v>0</v>
      </c>
      <c r="T2487" s="65">
        <v>0</v>
      </c>
      <c r="U2487" s="58">
        <v>0</v>
      </c>
      <c r="V2487" s="65">
        <v>0</v>
      </c>
      <c r="W2487" s="65">
        <v>0</v>
      </c>
      <c r="X2487" s="65">
        <v>969</v>
      </c>
      <c r="Y2487" s="65">
        <v>0</v>
      </c>
      <c r="Z2487" s="51">
        <v>0</v>
      </c>
      <c r="AA2487" s="51">
        <v>3</v>
      </c>
      <c r="AB2487" s="102">
        <v>0</v>
      </c>
      <c r="AC2487" s="81">
        <f t="shared" si="117"/>
        <v>494.26767169811319</v>
      </c>
      <c r="AD2487" s="82">
        <f t="shared" si="118"/>
        <v>3.7857142857142856</v>
      </c>
      <c r="AE2487" s="218">
        <v>3.1450733964763829E-3</v>
      </c>
      <c r="AF2487">
        <v>1</v>
      </c>
      <c r="AH2487" t="str">
        <f t="shared" si="119"/>
        <v>Dumraon</v>
      </c>
      <c r="AJ2487" s="72">
        <v>0</v>
      </c>
      <c r="AK2487" s="72"/>
      <c r="AL2487" s="72"/>
      <c r="AM2487" s="72"/>
    </row>
    <row r="2488" spans="1:39" x14ac:dyDescent="0.25">
      <c r="A2488" s="37" t="s">
        <v>62</v>
      </c>
      <c r="B2488" s="66" t="s">
        <v>1629</v>
      </c>
      <c r="C2488" s="41">
        <v>1014</v>
      </c>
      <c r="D2488" s="41" t="s">
        <v>376</v>
      </c>
      <c r="E2488" s="41">
        <v>10140153</v>
      </c>
      <c r="F2488" s="85" t="s">
        <v>523</v>
      </c>
      <c r="G2488" s="39" t="s">
        <v>93</v>
      </c>
      <c r="H2488" s="52" t="s">
        <v>94</v>
      </c>
      <c r="I2488" s="52">
        <v>208.70000000000002</v>
      </c>
      <c r="J2488" s="49">
        <v>7111.38</v>
      </c>
      <c r="K2488" s="58">
        <v>210.7</v>
      </c>
      <c r="L2488" s="58">
        <v>8887.8390021082814</v>
      </c>
      <c r="M2488" s="58">
        <v>0</v>
      </c>
      <c r="N2488" s="58">
        <v>0</v>
      </c>
      <c r="O2488" s="58">
        <v>210.7</v>
      </c>
      <c r="P2488" s="53">
        <v>8887.8390021082814</v>
      </c>
      <c r="Q2488" s="65">
        <v>7111.38</v>
      </c>
      <c r="R2488" s="65">
        <v>0</v>
      </c>
      <c r="S2488" s="65">
        <v>0</v>
      </c>
      <c r="T2488" s="65">
        <v>1776.4590021082813</v>
      </c>
      <c r="U2488" s="58">
        <v>0</v>
      </c>
      <c r="V2488" s="65">
        <v>0</v>
      </c>
      <c r="W2488" s="65">
        <v>0</v>
      </c>
      <c r="X2488" s="65">
        <v>7111</v>
      </c>
      <c r="Y2488" s="65">
        <v>0</v>
      </c>
      <c r="Z2488" s="51">
        <v>0</v>
      </c>
      <c r="AA2488" s="51">
        <v>0</v>
      </c>
      <c r="AB2488" s="102">
        <v>0</v>
      </c>
      <c r="AC2488" s="81">
        <f t="shared" si="117"/>
        <v>334.81753655965497</v>
      </c>
      <c r="AD2488" s="82">
        <f t="shared" si="118"/>
        <v>29.814285714285717</v>
      </c>
      <c r="AE2488" s="218">
        <v>-0.24980510141607976</v>
      </c>
      <c r="AF2488">
        <v>2</v>
      </c>
      <c r="AH2488" t="str">
        <f t="shared" si="119"/>
        <v>Dumraon</v>
      </c>
      <c r="AJ2488" s="72">
        <v>0</v>
      </c>
      <c r="AK2488" s="72"/>
      <c r="AL2488" s="72"/>
      <c r="AM2488" s="72"/>
    </row>
    <row r="2489" spans="1:39" x14ac:dyDescent="0.25">
      <c r="A2489" s="37" t="s">
        <v>62</v>
      </c>
      <c r="B2489" s="66" t="s">
        <v>1629</v>
      </c>
      <c r="C2489" s="41">
        <v>1014</v>
      </c>
      <c r="D2489" s="41" t="s">
        <v>376</v>
      </c>
      <c r="E2489" s="41">
        <v>10140156</v>
      </c>
      <c r="F2489" s="85" t="s">
        <v>527</v>
      </c>
      <c r="G2489" s="39" t="s">
        <v>93</v>
      </c>
      <c r="H2489" s="52" t="s">
        <v>94</v>
      </c>
      <c r="I2489" s="52">
        <v>719.9</v>
      </c>
      <c r="J2489" s="49">
        <v>26647.57</v>
      </c>
      <c r="K2489" s="58">
        <v>502.74</v>
      </c>
      <c r="L2489" s="58">
        <v>21671.038635152167</v>
      </c>
      <c r="M2489" s="58">
        <v>286</v>
      </c>
      <c r="N2489" s="58">
        <v>10974.345909024698</v>
      </c>
      <c r="O2489" s="58">
        <v>788.74</v>
      </c>
      <c r="P2489" s="53">
        <v>32645.384544176864</v>
      </c>
      <c r="Q2489" s="65">
        <v>26647.57</v>
      </c>
      <c r="R2489" s="65">
        <v>0</v>
      </c>
      <c r="S2489" s="65">
        <v>1372.042640891</v>
      </c>
      <c r="T2489" s="65">
        <v>5997.8145441768647</v>
      </c>
      <c r="U2489" s="58">
        <v>0</v>
      </c>
      <c r="V2489" s="65">
        <v>0</v>
      </c>
      <c r="W2489" s="65">
        <v>0</v>
      </c>
      <c r="X2489" s="65">
        <v>15673</v>
      </c>
      <c r="Y2489" s="65">
        <v>9603</v>
      </c>
      <c r="Z2489" s="51">
        <v>0</v>
      </c>
      <c r="AA2489" s="51">
        <v>0</v>
      </c>
      <c r="AB2489" s="102">
        <v>0</v>
      </c>
      <c r="AC2489" s="81">
        <f t="shared" si="117"/>
        <v>0</v>
      </c>
      <c r="AD2489" s="82">
        <f t="shared" si="118"/>
        <v>0</v>
      </c>
      <c r="AE2489" s="218">
        <v>-0.22507923027040982</v>
      </c>
      <c r="AF2489">
        <v>6</v>
      </c>
      <c r="AH2489" t="str">
        <f t="shared" si="119"/>
        <v>Dumraon</v>
      </c>
      <c r="AJ2489" s="72">
        <v>0</v>
      </c>
      <c r="AK2489" s="72"/>
      <c r="AL2489" s="72"/>
      <c r="AM2489" s="72"/>
    </row>
    <row r="2490" spans="1:39" x14ac:dyDescent="0.25">
      <c r="A2490" s="37" t="s">
        <v>62</v>
      </c>
      <c r="B2490" s="66" t="s">
        <v>1629</v>
      </c>
      <c r="C2490" s="41">
        <v>1014</v>
      </c>
      <c r="D2490" s="41" t="s">
        <v>376</v>
      </c>
      <c r="E2490" s="41">
        <v>10140157</v>
      </c>
      <c r="F2490" s="85" t="s">
        <v>1289</v>
      </c>
      <c r="G2490" s="39" t="s">
        <v>635</v>
      </c>
      <c r="H2490" s="52" t="s">
        <v>99</v>
      </c>
      <c r="I2490" s="52">
        <v>58.8</v>
      </c>
      <c r="J2490" s="49">
        <v>2014.4</v>
      </c>
      <c r="K2490" s="58">
        <v>0</v>
      </c>
      <c r="L2490" s="58">
        <v>0</v>
      </c>
      <c r="M2490" s="58">
        <v>0</v>
      </c>
      <c r="N2490" s="58">
        <v>0</v>
      </c>
      <c r="O2490" s="58">
        <v>0</v>
      </c>
      <c r="P2490" s="53">
        <v>0</v>
      </c>
      <c r="Q2490" s="65">
        <v>2014.4</v>
      </c>
      <c r="R2490" s="65">
        <v>0</v>
      </c>
      <c r="S2490" s="65">
        <v>0</v>
      </c>
      <c r="T2490" s="65">
        <v>0</v>
      </c>
      <c r="U2490" s="58">
        <v>0</v>
      </c>
      <c r="V2490" s="65">
        <v>0</v>
      </c>
      <c r="W2490" s="65">
        <v>0</v>
      </c>
      <c r="X2490" s="65">
        <v>0</v>
      </c>
      <c r="Y2490" s="65">
        <v>0</v>
      </c>
      <c r="Z2490" s="51">
        <v>2014.4</v>
      </c>
      <c r="AA2490" s="51">
        <v>0</v>
      </c>
      <c r="AB2490" s="102">
        <v>0</v>
      </c>
      <c r="AC2490" s="81">
        <f t="shared" si="117"/>
        <v>439.33104761904764</v>
      </c>
      <c r="AD2490" s="82">
        <f t="shared" si="118"/>
        <v>8.4</v>
      </c>
      <c r="AE2490" s="218">
        <v>0</v>
      </c>
      <c r="AF2490">
        <v>0</v>
      </c>
      <c r="AH2490" t="str">
        <f t="shared" si="119"/>
        <v>Dumraon</v>
      </c>
      <c r="AJ2490" s="72">
        <v>0</v>
      </c>
      <c r="AK2490" s="72"/>
      <c r="AL2490" s="72"/>
      <c r="AM2490" s="72"/>
    </row>
    <row r="2491" spans="1:39" x14ac:dyDescent="0.25">
      <c r="A2491" s="37" t="s">
        <v>62</v>
      </c>
      <c r="B2491" s="66" t="s">
        <v>1629</v>
      </c>
      <c r="C2491" s="41">
        <v>1014</v>
      </c>
      <c r="D2491" s="41" t="s">
        <v>376</v>
      </c>
      <c r="E2491" s="41">
        <v>10140166</v>
      </c>
      <c r="F2491" s="85" t="s">
        <v>600</v>
      </c>
      <c r="G2491" s="39" t="s">
        <v>93</v>
      </c>
      <c r="H2491" s="52" t="s">
        <v>94</v>
      </c>
      <c r="I2491" s="52">
        <v>296.89999999999998</v>
      </c>
      <c r="J2491" s="49">
        <v>11995.779999999999</v>
      </c>
      <c r="K2491" s="58">
        <v>297</v>
      </c>
      <c r="L2491" s="58">
        <v>11957.553234000001</v>
      </c>
      <c r="M2491" s="58">
        <v>0</v>
      </c>
      <c r="N2491" s="58">
        <v>0</v>
      </c>
      <c r="O2491" s="58">
        <v>297</v>
      </c>
      <c r="P2491" s="53">
        <v>11957.553234000001</v>
      </c>
      <c r="Q2491" s="65">
        <v>11957.553234000001</v>
      </c>
      <c r="R2491" s="65">
        <v>0</v>
      </c>
      <c r="S2491" s="65">
        <v>0</v>
      </c>
      <c r="T2491" s="65">
        <v>0</v>
      </c>
      <c r="U2491" s="58">
        <v>0</v>
      </c>
      <c r="V2491" s="65">
        <v>0</v>
      </c>
      <c r="W2491" s="65">
        <v>0</v>
      </c>
      <c r="X2491" s="65">
        <v>11958</v>
      </c>
      <c r="Y2491" s="65">
        <v>0</v>
      </c>
      <c r="Z2491" s="51">
        <v>0</v>
      </c>
      <c r="AA2491" s="51">
        <v>38</v>
      </c>
      <c r="AB2491" s="102">
        <v>0</v>
      </c>
      <c r="AC2491" s="81">
        <f t="shared" si="117"/>
        <v>325.73249700235772</v>
      </c>
      <c r="AD2491" s="82">
        <f t="shared" si="118"/>
        <v>42.414285714285711</v>
      </c>
      <c r="AE2491" s="218">
        <v>3.1866844840433848E-3</v>
      </c>
      <c r="AF2491">
        <v>1</v>
      </c>
      <c r="AH2491" t="str">
        <f t="shared" si="119"/>
        <v>Dumraon</v>
      </c>
      <c r="AJ2491" s="72">
        <v>0</v>
      </c>
      <c r="AK2491" s="72"/>
      <c r="AL2491" s="72"/>
      <c r="AM2491" s="72"/>
    </row>
    <row r="2492" spans="1:39" x14ac:dyDescent="0.25">
      <c r="A2492" s="37" t="s">
        <v>62</v>
      </c>
      <c r="B2492" s="66" t="s">
        <v>1629</v>
      </c>
      <c r="C2492" s="41">
        <v>1014</v>
      </c>
      <c r="D2492" s="41" t="s">
        <v>376</v>
      </c>
      <c r="E2492" s="41">
        <v>10140167</v>
      </c>
      <c r="F2492" s="85" t="s">
        <v>1177</v>
      </c>
      <c r="G2492" s="39" t="s">
        <v>635</v>
      </c>
      <c r="H2492" s="52" t="s">
        <v>99</v>
      </c>
      <c r="I2492" s="52">
        <v>1466.8</v>
      </c>
      <c r="J2492" s="49">
        <v>55366.689999999995</v>
      </c>
      <c r="K2492" s="58">
        <v>0</v>
      </c>
      <c r="L2492" s="58">
        <v>0</v>
      </c>
      <c r="M2492" s="58">
        <v>0</v>
      </c>
      <c r="N2492" s="58">
        <v>0</v>
      </c>
      <c r="O2492" s="58">
        <v>0</v>
      </c>
      <c r="P2492" s="53">
        <v>0</v>
      </c>
      <c r="Q2492" s="65">
        <v>55366.689999999995</v>
      </c>
      <c r="R2492" s="65">
        <v>0</v>
      </c>
      <c r="S2492" s="65">
        <v>0</v>
      </c>
      <c r="T2492" s="65">
        <v>0</v>
      </c>
      <c r="U2492" s="58">
        <v>0</v>
      </c>
      <c r="V2492" s="65">
        <v>0</v>
      </c>
      <c r="W2492" s="65">
        <v>0</v>
      </c>
      <c r="X2492" s="65">
        <v>0</v>
      </c>
      <c r="Y2492" s="65">
        <v>0</v>
      </c>
      <c r="Z2492" s="51">
        <v>55366.689999999995</v>
      </c>
      <c r="AA2492" s="51">
        <v>0</v>
      </c>
      <c r="AB2492" s="102">
        <v>0</v>
      </c>
      <c r="AC2492" s="81">
        <f t="shared" si="117"/>
        <v>0</v>
      </c>
      <c r="AD2492" s="82">
        <f t="shared" si="118"/>
        <v>0</v>
      </c>
      <c r="AE2492" s="218">
        <v>0</v>
      </c>
      <c r="AF2492">
        <v>0</v>
      </c>
      <c r="AH2492" t="str">
        <f t="shared" si="119"/>
        <v>Dumraon</v>
      </c>
      <c r="AJ2492" s="72">
        <v>0</v>
      </c>
      <c r="AK2492" s="72"/>
      <c r="AL2492" s="72"/>
      <c r="AM2492" s="72"/>
    </row>
    <row r="2493" spans="1:39" x14ac:dyDescent="0.25">
      <c r="A2493" s="37" t="s">
        <v>62</v>
      </c>
      <c r="B2493" s="66" t="s">
        <v>1629</v>
      </c>
      <c r="C2493" s="41">
        <v>1014</v>
      </c>
      <c r="D2493" s="41" t="s">
        <v>376</v>
      </c>
      <c r="E2493" s="41">
        <v>10140170</v>
      </c>
      <c r="F2493" s="85" t="s">
        <v>638</v>
      </c>
      <c r="G2493" s="39" t="s">
        <v>93</v>
      </c>
      <c r="H2493" s="52" t="s">
        <v>94</v>
      </c>
      <c r="I2493" s="52">
        <v>545.70000000000005</v>
      </c>
      <c r="J2493" s="49">
        <v>22957.040000000001</v>
      </c>
      <c r="K2493" s="58">
        <v>721.88000000000011</v>
      </c>
      <c r="L2493" s="58">
        <v>32781.096019542943</v>
      </c>
      <c r="M2493" s="58">
        <v>0</v>
      </c>
      <c r="N2493" s="58">
        <v>0</v>
      </c>
      <c r="O2493" s="58">
        <v>721.88000000000011</v>
      </c>
      <c r="P2493" s="53">
        <v>32781.096019542943</v>
      </c>
      <c r="Q2493" s="65">
        <v>22957.040000000001</v>
      </c>
      <c r="R2493" s="65">
        <v>0</v>
      </c>
      <c r="S2493" s="65">
        <v>0</v>
      </c>
      <c r="T2493" s="65">
        <v>9824.0560195429425</v>
      </c>
      <c r="U2493" s="58">
        <v>0</v>
      </c>
      <c r="V2493" s="65">
        <v>0</v>
      </c>
      <c r="W2493" s="65">
        <v>0</v>
      </c>
      <c r="X2493" s="65">
        <v>22957</v>
      </c>
      <c r="Y2493" s="65">
        <v>0</v>
      </c>
      <c r="Z2493" s="51">
        <v>0</v>
      </c>
      <c r="AA2493" s="51">
        <v>0</v>
      </c>
      <c r="AB2493" s="102" t="s">
        <v>68</v>
      </c>
      <c r="AC2493" s="81">
        <f t="shared" si="117"/>
        <v>129.82485878687916</v>
      </c>
      <c r="AD2493" s="82">
        <f t="shared" si="118"/>
        <v>77.95714285714287</v>
      </c>
      <c r="AE2493" s="218">
        <v>-0.42793217329163263</v>
      </c>
      <c r="AF2493">
        <v>2</v>
      </c>
      <c r="AH2493" t="str">
        <f t="shared" si="119"/>
        <v>Dumraon</v>
      </c>
      <c r="AJ2493" s="72">
        <v>0</v>
      </c>
      <c r="AK2493" s="72"/>
      <c r="AL2493" s="72"/>
      <c r="AM2493" s="72"/>
    </row>
    <row r="2494" spans="1:39" x14ac:dyDescent="0.25">
      <c r="A2494" s="37" t="s">
        <v>62</v>
      </c>
      <c r="B2494" s="66" t="s">
        <v>1629</v>
      </c>
      <c r="C2494" s="41">
        <v>1014</v>
      </c>
      <c r="D2494" s="41" t="s">
        <v>376</v>
      </c>
      <c r="E2494" s="41">
        <v>10140173</v>
      </c>
      <c r="F2494" s="85" t="s">
        <v>652</v>
      </c>
      <c r="G2494" s="39" t="s">
        <v>93</v>
      </c>
      <c r="H2494" s="52" t="s">
        <v>94</v>
      </c>
      <c r="I2494" s="52">
        <v>787.9</v>
      </c>
      <c r="J2494" s="49">
        <v>29013.350000000006</v>
      </c>
      <c r="K2494" s="58">
        <v>793.01</v>
      </c>
      <c r="L2494" s="58">
        <v>32323.418538366965</v>
      </c>
      <c r="M2494" s="58">
        <v>0</v>
      </c>
      <c r="N2494" s="58">
        <v>0</v>
      </c>
      <c r="O2494" s="58">
        <v>793.01</v>
      </c>
      <c r="P2494" s="53">
        <v>32323.418538366965</v>
      </c>
      <c r="Q2494" s="65">
        <v>29013.350000000006</v>
      </c>
      <c r="R2494" s="65">
        <v>0</v>
      </c>
      <c r="S2494" s="65">
        <v>0</v>
      </c>
      <c r="T2494" s="65">
        <v>3310.0685383669588</v>
      </c>
      <c r="U2494" s="58">
        <v>0</v>
      </c>
      <c r="V2494" s="65">
        <v>0</v>
      </c>
      <c r="W2494" s="65">
        <v>0</v>
      </c>
      <c r="X2494" s="65">
        <v>29013</v>
      </c>
      <c r="Y2494" s="65">
        <v>0</v>
      </c>
      <c r="Z2494" s="51">
        <v>0</v>
      </c>
      <c r="AA2494" s="51">
        <v>0</v>
      </c>
      <c r="AB2494" s="102">
        <v>0</v>
      </c>
      <c r="AC2494" s="81">
        <f t="shared" si="117"/>
        <v>0</v>
      </c>
      <c r="AD2494" s="82">
        <f t="shared" si="118"/>
        <v>0</v>
      </c>
      <c r="AE2494" s="218">
        <v>-0.11408777470946851</v>
      </c>
      <c r="AF2494">
        <v>2</v>
      </c>
      <c r="AH2494" t="str">
        <f t="shared" si="119"/>
        <v>Dumraon</v>
      </c>
      <c r="AJ2494" s="72">
        <v>0</v>
      </c>
      <c r="AK2494" s="72"/>
      <c r="AL2494" s="72"/>
      <c r="AM2494" s="72"/>
    </row>
    <row r="2495" spans="1:39" x14ac:dyDescent="0.25">
      <c r="A2495" s="37" t="s">
        <v>62</v>
      </c>
      <c r="B2495" s="66" t="s">
        <v>1629</v>
      </c>
      <c r="C2495" s="41">
        <v>1014</v>
      </c>
      <c r="D2495" s="41" t="s">
        <v>376</v>
      </c>
      <c r="E2495" s="41">
        <v>10140176</v>
      </c>
      <c r="F2495" s="85" t="s">
        <v>663</v>
      </c>
      <c r="G2495" s="39" t="s">
        <v>635</v>
      </c>
      <c r="H2495" s="52" t="s">
        <v>99</v>
      </c>
      <c r="I2495" s="52">
        <v>279.39999999999998</v>
      </c>
      <c r="J2495" s="49">
        <v>9577.43</v>
      </c>
      <c r="K2495" s="58">
        <v>0</v>
      </c>
      <c r="L2495" s="58">
        <v>0</v>
      </c>
      <c r="M2495" s="58">
        <v>0</v>
      </c>
      <c r="N2495" s="58">
        <v>0</v>
      </c>
      <c r="O2495" s="58">
        <v>0</v>
      </c>
      <c r="P2495" s="53">
        <v>0</v>
      </c>
      <c r="Q2495" s="65">
        <v>9577.43</v>
      </c>
      <c r="R2495" s="65">
        <v>0</v>
      </c>
      <c r="S2495" s="65">
        <v>0</v>
      </c>
      <c r="T2495" s="65">
        <v>0</v>
      </c>
      <c r="U2495" s="58">
        <v>0</v>
      </c>
      <c r="V2495" s="65">
        <v>0</v>
      </c>
      <c r="W2495" s="65">
        <v>0</v>
      </c>
      <c r="X2495" s="65">
        <v>0</v>
      </c>
      <c r="Y2495" s="65">
        <v>0</v>
      </c>
      <c r="Z2495" s="51">
        <v>9577.43</v>
      </c>
      <c r="AA2495" s="51">
        <v>0</v>
      </c>
      <c r="AB2495" s="102">
        <v>0</v>
      </c>
      <c r="AC2495" s="81">
        <f t="shared" si="117"/>
        <v>288.35125683607737</v>
      </c>
      <c r="AD2495" s="82">
        <f t="shared" si="118"/>
        <v>39.914285714285711</v>
      </c>
      <c r="AE2495" s="218">
        <v>0</v>
      </c>
      <c r="AF2495">
        <v>0</v>
      </c>
      <c r="AH2495" t="str">
        <f t="shared" si="119"/>
        <v>Dumraon</v>
      </c>
      <c r="AJ2495" s="72">
        <v>0</v>
      </c>
      <c r="AK2495" s="72"/>
      <c r="AL2495" s="72"/>
      <c r="AM2495" s="72"/>
    </row>
    <row r="2496" spans="1:39" x14ac:dyDescent="0.25">
      <c r="A2496" s="37" t="s">
        <v>62</v>
      </c>
      <c r="B2496" s="66" t="s">
        <v>1629</v>
      </c>
      <c r="C2496" s="41">
        <v>1014</v>
      </c>
      <c r="D2496" s="41" t="s">
        <v>376</v>
      </c>
      <c r="E2496" s="41">
        <v>10140179</v>
      </c>
      <c r="F2496" s="85" t="s">
        <v>673</v>
      </c>
      <c r="G2496" s="39" t="s">
        <v>93</v>
      </c>
      <c r="H2496" s="52" t="s">
        <v>94</v>
      </c>
      <c r="I2496" s="52">
        <v>1260.2</v>
      </c>
      <c r="J2496" s="49">
        <v>47900.01</v>
      </c>
      <c r="K2496" s="58">
        <v>1248.9599999999998</v>
      </c>
      <c r="L2496" s="58">
        <v>48094.141852142697</v>
      </c>
      <c r="M2496" s="58">
        <v>15.790000000000001</v>
      </c>
      <c r="N2496" s="58">
        <v>614.47955429520005</v>
      </c>
      <c r="O2496" s="58">
        <v>1264.7499999999998</v>
      </c>
      <c r="P2496" s="53">
        <v>48708.621406437895</v>
      </c>
      <c r="Q2496" s="65">
        <v>47900.01</v>
      </c>
      <c r="R2496" s="65">
        <v>0</v>
      </c>
      <c r="S2496" s="65">
        <v>614.47955429520005</v>
      </c>
      <c r="T2496" s="65">
        <v>808.61140643789258</v>
      </c>
      <c r="U2496" s="58">
        <v>0</v>
      </c>
      <c r="V2496" s="65">
        <v>0</v>
      </c>
      <c r="W2496" s="65">
        <v>0</v>
      </c>
      <c r="X2496" s="65">
        <v>47286</v>
      </c>
      <c r="Y2496" s="65">
        <v>0</v>
      </c>
      <c r="Z2496" s="51">
        <v>0</v>
      </c>
      <c r="AA2496" s="51">
        <v>0</v>
      </c>
      <c r="AB2496" s="102" t="s">
        <v>68</v>
      </c>
      <c r="AC2496" s="81">
        <f t="shared" si="117"/>
        <v>0</v>
      </c>
      <c r="AD2496" s="82">
        <f t="shared" si="118"/>
        <v>0</v>
      </c>
      <c r="AE2496" s="218">
        <v>-1.6881236693643539E-2</v>
      </c>
      <c r="AF2496">
        <v>36</v>
      </c>
      <c r="AH2496" t="str">
        <f t="shared" si="119"/>
        <v>Dumraon</v>
      </c>
      <c r="AJ2496" s="72">
        <v>0</v>
      </c>
      <c r="AK2496" s="72"/>
      <c r="AL2496" s="72"/>
      <c r="AM2496" s="72"/>
    </row>
    <row r="2497" spans="1:39" x14ac:dyDescent="0.25">
      <c r="A2497" s="37" t="s">
        <v>62</v>
      </c>
      <c r="B2497" s="66" t="s">
        <v>1629</v>
      </c>
      <c r="C2497" s="41">
        <v>1014</v>
      </c>
      <c r="D2497" s="41" t="s">
        <v>376</v>
      </c>
      <c r="E2497" s="41">
        <v>10140180</v>
      </c>
      <c r="F2497" s="85" t="s">
        <v>693</v>
      </c>
      <c r="G2497" s="39" t="s">
        <v>93</v>
      </c>
      <c r="H2497" s="52" t="s">
        <v>94</v>
      </c>
      <c r="I2497" s="52">
        <v>125.6</v>
      </c>
      <c r="J2497" s="49">
        <v>4651.22</v>
      </c>
      <c r="K2497" s="58">
        <v>124.89999999999998</v>
      </c>
      <c r="L2497" s="58">
        <v>4717.06616304</v>
      </c>
      <c r="M2497" s="58">
        <v>2</v>
      </c>
      <c r="N2497" s="58">
        <v>74.687813640000016</v>
      </c>
      <c r="O2497" s="58">
        <v>126.89999999999998</v>
      </c>
      <c r="P2497" s="53">
        <v>4791.7539766800001</v>
      </c>
      <c r="Q2497" s="65">
        <v>4651.22</v>
      </c>
      <c r="R2497" s="65">
        <v>0</v>
      </c>
      <c r="S2497" s="65">
        <v>74.687813640000016</v>
      </c>
      <c r="T2497" s="65">
        <v>140.5339766799998</v>
      </c>
      <c r="U2497" s="58">
        <v>3840</v>
      </c>
      <c r="V2497" s="65">
        <v>0</v>
      </c>
      <c r="W2497" s="65">
        <v>0</v>
      </c>
      <c r="X2497" s="65">
        <v>737</v>
      </c>
      <c r="Y2497" s="65">
        <v>0</v>
      </c>
      <c r="Z2497" s="51">
        <v>0</v>
      </c>
      <c r="AA2497" s="51">
        <v>0</v>
      </c>
      <c r="AB2497" s="102" t="s">
        <v>68</v>
      </c>
      <c r="AC2497" s="81">
        <f t="shared" si="117"/>
        <v>425.42368917197456</v>
      </c>
      <c r="AD2497" s="82">
        <f t="shared" si="118"/>
        <v>17.942857142857143</v>
      </c>
      <c r="AE2497" s="218">
        <v>-3.0214433348669766E-2</v>
      </c>
      <c r="AF2497">
        <v>5</v>
      </c>
      <c r="AH2497" t="str">
        <f t="shared" si="119"/>
        <v>Dumraon</v>
      </c>
      <c r="AJ2497" s="72">
        <v>0</v>
      </c>
      <c r="AK2497" s="72"/>
      <c r="AL2497" s="72"/>
      <c r="AM2497" s="72"/>
    </row>
    <row r="2498" spans="1:39" x14ac:dyDescent="0.25">
      <c r="A2498" s="37" t="s">
        <v>62</v>
      </c>
      <c r="B2498" s="66" t="s">
        <v>1629</v>
      </c>
      <c r="C2498" s="41">
        <v>1014</v>
      </c>
      <c r="D2498" s="41" t="s">
        <v>376</v>
      </c>
      <c r="E2498" s="41">
        <v>10140185</v>
      </c>
      <c r="F2498" s="85" t="s">
        <v>1158</v>
      </c>
      <c r="G2498" s="39" t="s">
        <v>93</v>
      </c>
      <c r="H2498" s="52" t="s">
        <v>94</v>
      </c>
      <c r="I2498" s="52">
        <v>1385.3999999999999</v>
      </c>
      <c r="J2498" s="49">
        <v>46804.499999999993</v>
      </c>
      <c r="K2498" s="58">
        <v>1385</v>
      </c>
      <c r="L2498" s="58">
        <v>46803.382560000013</v>
      </c>
      <c r="M2498" s="58">
        <v>0</v>
      </c>
      <c r="N2498" s="58">
        <v>0</v>
      </c>
      <c r="O2498" s="58">
        <v>1385</v>
      </c>
      <c r="P2498" s="53">
        <v>46803.382560000013</v>
      </c>
      <c r="Q2498" s="65">
        <v>46803.382560000013</v>
      </c>
      <c r="R2498" s="65">
        <v>0</v>
      </c>
      <c r="S2498" s="65">
        <v>0</v>
      </c>
      <c r="T2498" s="65">
        <v>0</v>
      </c>
      <c r="U2498" s="58">
        <v>0</v>
      </c>
      <c r="V2498" s="65">
        <v>0</v>
      </c>
      <c r="W2498" s="65">
        <v>0</v>
      </c>
      <c r="X2498" s="65">
        <v>46803</v>
      </c>
      <c r="Y2498" s="65">
        <v>0</v>
      </c>
      <c r="Z2498" s="51">
        <v>0</v>
      </c>
      <c r="AA2498" s="51">
        <v>1</v>
      </c>
      <c r="AB2498" s="102">
        <v>0</v>
      </c>
      <c r="AC2498" s="81">
        <f t="shared" ref="AC2498:AC2561" si="120">((IF(AD2498=0,0,100-AD2498))*7*(J2498/I2498))*2%</f>
        <v>0</v>
      </c>
      <c r="AD2498" s="82">
        <f t="shared" ref="AD2498:AD2561" si="121">IF((I2498/7)&gt;100,0,(I2498/7))</f>
        <v>0</v>
      </c>
      <c r="AE2498" s="218">
        <v>2.3874627439241505E-5</v>
      </c>
      <c r="AF2498">
        <v>1</v>
      </c>
      <c r="AH2498" t="str">
        <f t="shared" si="119"/>
        <v>Dumraon</v>
      </c>
      <c r="AJ2498" s="72">
        <v>0</v>
      </c>
      <c r="AK2498" s="72"/>
      <c r="AL2498" s="72"/>
      <c r="AM2498" s="72"/>
    </row>
    <row r="2499" spans="1:39" x14ac:dyDescent="0.25">
      <c r="A2499" s="37" t="s">
        <v>62</v>
      </c>
      <c r="B2499" s="66" t="s">
        <v>1629</v>
      </c>
      <c r="C2499" s="41">
        <v>1014</v>
      </c>
      <c r="D2499" s="41" t="s">
        <v>376</v>
      </c>
      <c r="E2499" s="41">
        <v>10140190</v>
      </c>
      <c r="F2499" s="85" t="s">
        <v>1623</v>
      </c>
      <c r="G2499" s="39" t="s">
        <v>635</v>
      </c>
      <c r="H2499" s="52" t="s">
        <v>99</v>
      </c>
      <c r="I2499" s="52">
        <v>161.1</v>
      </c>
      <c r="J2499" s="49">
        <v>6402.37</v>
      </c>
      <c r="K2499" s="58">
        <v>0</v>
      </c>
      <c r="L2499" s="58">
        <v>0</v>
      </c>
      <c r="M2499" s="58">
        <v>0</v>
      </c>
      <c r="N2499" s="58">
        <v>0</v>
      </c>
      <c r="O2499" s="58">
        <v>0</v>
      </c>
      <c r="P2499" s="53">
        <v>0</v>
      </c>
      <c r="Q2499" s="65">
        <v>6402.37</v>
      </c>
      <c r="R2499" s="65">
        <v>0</v>
      </c>
      <c r="S2499" s="65">
        <v>0</v>
      </c>
      <c r="T2499" s="65">
        <v>0</v>
      </c>
      <c r="U2499" s="58">
        <v>0</v>
      </c>
      <c r="V2499" s="65">
        <v>0</v>
      </c>
      <c r="W2499" s="65">
        <v>0</v>
      </c>
      <c r="X2499" s="65">
        <v>0</v>
      </c>
      <c r="Y2499" s="65">
        <v>0</v>
      </c>
      <c r="Z2499" s="51">
        <v>6402.37</v>
      </c>
      <c r="AA2499" s="51">
        <v>0</v>
      </c>
      <c r="AB2499" s="102">
        <v>0</v>
      </c>
      <c r="AC2499" s="81">
        <f t="shared" si="120"/>
        <v>428.33484705152085</v>
      </c>
      <c r="AD2499" s="82">
        <f t="shared" si="121"/>
        <v>23.014285714285712</v>
      </c>
      <c r="AE2499" s="218">
        <v>0</v>
      </c>
      <c r="AF2499">
        <v>0</v>
      </c>
      <c r="AH2499" t="str">
        <f t="shared" si="119"/>
        <v>Dumraon</v>
      </c>
      <c r="AJ2499" s="72">
        <v>0</v>
      </c>
      <c r="AK2499" s="72"/>
      <c r="AL2499" s="72"/>
      <c r="AM2499" s="72"/>
    </row>
    <row r="2500" spans="1:39" x14ac:dyDescent="0.25">
      <c r="A2500" s="37" t="s">
        <v>62</v>
      </c>
      <c r="B2500" s="66" t="s">
        <v>1629</v>
      </c>
      <c r="C2500" s="41">
        <v>1014</v>
      </c>
      <c r="D2500" s="41" t="s">
        <v>376</v>
      </c>
      <c r="E2500" s="41">
        <v>10140193</v>
      </c>
      <c r="F2500" s="85" t="s">
        <v>1290</v>
      </c>
      <c r="G2500" s="39" t="s">
        <v>635</v>
      </c>
      <c r="H2500" s="52" t="s">
        <v>99</v>
      </c>
      <c r="I2500" s="52">
        <v>81.099999999999994</v>
      </c>
      <c r="J2500" s="49">
        <v>2772.81</v>
      </c>
      <c r="K2500" s="58">
        <v>0</v>
      </c>
      <c r="L2500" s="58">
        <v>0</v>
      </c>
      <c r="M2500" s="58">
        <v>0</v>
      </c>
      <c r="N2500" s="58">
        <v>0</v>
      </c>
      <c r="O2500" s="58">
        <v>0</v>
      </c>
      <c r="P2500" s="53">
        <v>0</v>
      </c>
      <c r="Q2500" s="65">
        <v>2772.81</v>
      </c>
      <c r="R2500" s="65">
        <v>0</v>
      </c>
      <c r="S2500" s="65">
        <v>0</v>
      </c>
      <c r="T2500" s="65">
        <v>0</v>
      </c>
      <c r="U2500" s="58">
        <v>0</v>
      </c>
      <c r="V2500" s="65">
        <v>0</v>
      </c>
      <c r="W2500" s="65">
        <v>0</v>
      </c>
      <c r="X2500" s="65">
        <v>0</v>
      </c>
      <c r="Y2500" s="65">
        <v>0</v>
      </c>
      <c r="Z2500" s="51">
        <v>2772.81</v>
      </c>
      <c r="AA2500" s="51">
        <v>0</v>
      </c>
      <c r="AB2500" s="102">
        <v>0</v>
      </c>
      <c r="AC2500" s="81">
        <f t="shared" si="120"/>
        <v>423.20397262638721</v>
      </c>
      <c r="AD2500" s="82">
        <f t="shared" si="121"/>
        <v>11.585714285714285</v>
      </c>
      <c r="AE2500" s="218">
        <v>0</v>
      </c>
      <c r="AF2500">
        <v>0</v>
      </c>
      <c r="AH2500" t="str">
        <f t="shared" si="119"/>
        <v>Dumraon</v>
      </c>
      <c r="AJ2500" s="72">
        <v>0</v>
      </c>
      <c r="AK2500" s="72"/>
      <c r="AL2500" s="72"/>
      <c r="AM2500" s="72"/>
    </row>
    <row r="2501" spans="1:39" x14ac:dyDescent="0.25">
      <c r="A2501" s="37" t="s">
        <v>62</v>
      </c>
      <c r="B2501" s="66" t="s">
        <v>1629</v>
      </c>
      <c r="C2501" s="41">
        <v>1014</v>
      </c>
      <c r="D2501" s="41" t="s">
        <v>376</v>
      </c>
      <c r="E2501" s="41">
        <v>10140194</v>
      </c>
      <c r="F2501" s="85" t="s">
        <v>1316</v>
      </c>
      <c r="G2501" s="39" t="s">
        <v>93</v>
      </c>
      <c r="H2501" s="52" t="s">
        <v>94</v>
      </c>
      <c r="I2501" s="52">
        <v>519.70000000000005</v>
      </c>
      <c r="J2501" s="49">
        <v>18391.739999999994</v>
      </c>
      <c r="K2501" s="58">
        <v>1076.44</v>
      </c>
      <c r="L2501" s="58">
        <v>39156.178463820004</v>
      </c>
      <c r="M2501" s="58">
        <v>0</v>
      </c>
      <c r="N2501" s="58">
        <v>0</v>
      </c>
      <c r="O2501" s="58">
        <v>1076.44</v>
      </c>
      <c r="P2501" s="53">
        <v>39156.178463820004</v>
      </c>
      <c r="Q2501" s="65">
        <v>18391.739999999994</v>
      </c>
      <c r="R2501" s="65">
        <v>0</v>
      </c>
      <c r="S2501" s="65">
        <v>0</v>
      </c>
      <c r="T2501" s="65">
        <v>20764.43846382001</v>
      </c>
      <c r="U2501" s="58">
        <v>541</v>
      </c>
      <c r="V2501" s="65">
        <v>0</v>
      </c>
      <c r="W2501" s="65">
        <v>0</v>
      </c>
      <c r="X2501" s="65">
        <v>17851</v>
      </c>
      <c r="Y2501" s="65">
        <v>0</v>
      </c>
      <c r="Z2501" s="51">
        <v>0</v>
      </c>
      <c r="AA2501" s="51">
        <v>0</v>
      </c>
      <c r="AB2501" s="102" t="s">
        <v>68</v>
      </c>
      <c r="AC2501" s="81">
        <f t="shared" si="120"/>
        <v>127.61326619203378</v>
      </c>
      <c r="AD2501" s="82">
        <f t="shared" si="121"/>
        <v>74.242857142857147</v>
      </c>
      <c r="AE2501" s="218">
        <v>-1.1290089172541595</v>
      </c>
      <c r="AF2501">
        <v>1</v>
      </c>
      <c r="AH2501" t="str">
        <f t="shared" si="119"/>
        <v>Dumraon</v>
      </c>
      <c r="AJ2501" s="72">
        <v>0</v>
      </c>
      <c r="AK2501" s="72"/>
      <c r="AL2501" s="72"/>
      <c r="AM2501" s="72"/>
    </row>
    <row r="2502" spans="1:39" x14ac:dyDescent="0.25">
      <c r="A2502" s="37" t="s">
        <v>62</v>
      </c>
      <c r="B2502" s="66" t="s">
        <v>1629</v>
      </c>
      <c r="C2502" s="41">
        <v>1014</v>
      </c>
      <c r="D2502" s="41" t="s">
        <v>376</v>
      </c>
      <c r="E2502" s="41">
        <v>10140196</v>
      </c>
      <c r="F2502" s="85" t="s">
        <v>1308</v>
      </c>
      <c r="G2502" s="39" t="s">
        <v>635</v>
      </c>
      <c r="H2502" s="52" t="s">
        <v>99</v>
      </c>
      <c r="I2502" s="52">
        <v>384.8</v>
      </c>
      <c r="J2502" s="49">
        <v>14395.029999999999</v>
      </c>
      <c r="K2502" s="58">
        <v>0</v>
      </c>
      <c r="L2502" s="58">
        <v>0</v>
      </c>
      <c r="M2502" s="58">
        <v>0</v>
      </c>
      <c r="N2502" s="58">
        <v>0</v>
      </c>
      <c r="O2502" s="58">
        <v>0</v>
      </c>
      <c r="P2502" s="53">
        <v>0</v>
      </c>
      <c r="Q2502" s="65">
        <v>14395.029999999999</v>
      </c>
      <c r="R2502" s="65">
        <v>0</v>
      </c>
      <c r="S2502" s="65">
        <v>0</v>
      </c>
      <c r="T2502" s="65">
        <v>0</v>
      </c>
      <c r="U2502" s="58">
        <v>0</v>
      </c>
      <c r="V2502" s="65">
        <v>0</v>
      </c>
      <c r="W2502" s="65">
        <v>0</v>
      </c>
      <c r="X2502" s="65">
        <v>0</v>
      </c>
      <c r="Y2502" s="65">
        <v>0</v>
      </c>
      <c r="Z2502" s="51">
        <v>14395.029999999999</v>
      </c>
      <c r="AA2502" s="51">
        <v>0</v>
      </c>
      <c r="AB2502" s="102">
        <v>0</v>
      </c>
      <c r="AC2502" s="81">
        <f t="shared" si="120"/>
        <v>235.82710270270266</v>
      </c>
      <c r="AD2502" s="82">
        <f t="shared" si="121"/>
        <v>54.971428571428575</v>
      </c>
      <c r="AE2502" s="218">
        <v>0</v>
      </c>
      <c r="AF2502">
        <v>0</v>
      </c>
      <c r="AH2502" t="str">
        <f t="shared" si="119"/>
        <v>Dumraon</v>
      </c>
      <c r="AJ2502" s="72">
        <v>0</v>
      </c>
      <c r="AK2502" s="72"/>
      <c r="AL2502" s="72"/>
      <c r="AM2502" s="72"/>
    </row>
    <row r="2503" spans="1:39" x14ac:dyDescent="0.25">
      <c r="A2503" s="37" t="s">
        <v>62</v>
      </c>
      <c r="B2503" s="66" t="s">
        <v>1629</v>
      </c>
      <c r="C2503" s="41">
        <v>1014</v>
      </c>
      <c r="D2503" s="41" t="s">
        <v>376</v>
      </c>
      <c r="E2503" s="41">
        <v>10140197</v>
      </c>
      <c r="F2503" s="85" t="s">
        <v>1317</v>
      </c>
      <c r="G2503" s="39" t="s">
        <v>93</v>
      </c>
      <c r="H2503" s="52" t="s">
        <v>94</v>
      </c>
      <c r="I2503" s="52">
        <v>246.6</v>
      </c>
      <c r="J2503" s="49">
        <v>9245.27</v>
      </c>
      <c r="K2503" s="58">
        <v>245.88</v>
      </c>
      <c r="L2503" s="58">
        <v>9243.1172845439996</v>
      </c>
      <c r="M2503" s="58">
        <v>0</v>
      </c>
      <c r="N2503" s="58">
        <v>0</v>
      </c>
      <c r="O2503" s="58">
        <v>245.88</v>
      </c>
      <c r="P2503" s="53">
        <v>9243.1172845439996</v>
      </c>
      <c r="Q2503" s="65">
        <v>9243.1172845439996</v>
      </c>
      <c r="R2503" s="65">
        <v>0</v>
      </c>
      <c r="S2503" s="65">
        <v>0</v>
      </c>
      <c r="T2503" s="65">
        <v>0</v>
      </c>
      <c r="U2503" s="58">
        <v>0</v>
      </c>
      <c r="V2503" s="65">
        <v>0</v>
      </c>
      <c r="W2503" s="65">
        <v>0</v>
      </c>
      <c r="X2503" s="65">
        <v>9243</v>
      </c>
      <c r="Y2503" s="65">
        <v>0</v>
      </c>
      <c r="Z2503" s="51">
        <v>0</v>
      </c>
      <c r="AA2503" s="51">
        <v>2</v>
      </c>
      <c r="AB2503" s="102">
        <v>0</v>
      </c>
      <c r="AC2503" s="81">
        <f t="shared" si="120"/>
        <v>339.96799821573399</v>
      </c>
      <c r="AD2503" s="82">
        <f t="shared" si="121"/>
        <v>35.228571428571428</v>
      </c>
      <c r="AE2503" s="218">
        <v>2.3284506087986674E-4</v>
      </c>
      <c r="AF2503">
        <v>1</v>
      </c>
      <c r="AH2503" t="str">
        <f t="shared" si="119"/>
        <v>Dumraon</v>
      </c>
      <c r="AJ2503" s="72">
        <v>0</v>
      </c>
      <c r="AK2503" s="72"/>
      <c r="AL2503" s="72"/>
      <c r="AM2503" s="72"/>
    </row>
    <row r="2504" spans="1:39" x14ac:dyDescent="0.25">
      <c r="A2504" s="37" t="s">
        <v>62</v>
      </c>
      <c r="B2504" s="66" t="s">
        <v>1629</v>
      </c>
      <c r="C2504" s="41">
        <v>1014</v>
      </c>
      <c r="D2504" s="41" t="s">
        <v>376</v>
      </c>
      <c r="E2504" s="41">
        <v>10140198</v>
      </c>
      <c r="F2504" s="85" t="s">
        <v>1318</v>
      </c>
      <c r="G2504" s="39" t="s">
        <v>635</v>
      </c>
      <c r="H2504" s="52" t="s">
        <v>99</v>
      </c>
      <c r="I2504" s="52">
        <v>963.4</v>
      </c>
      <c r="J2504" s="49">
        <v>37335.019999999997</v>
      </c>
      <c r="K2504" s="58">
        <v>0</v>
      </c>
      <c r="L2504" s="58">
        <v>0</v>
      </c>
      <c r="M2504" s="58">
        <v>0</v>
      </c>
      <c r="N2504" s="58">
        <v>0</v>
      </c>
      <c r="O2504" s="58">
        <v>0</v>
      </c>
      <c r="P2504" s="53">
        <v>0</v>
      </c>
      <c r="Q2504" s="65">
        <v>37335.019999999997</v>
      </c>
      <c r="R2504" s="65">
        <v>0</v>
      </c>
      <c r="S2504" s="65">
        <v>0</v>
      </c>
      <c r="T2504" s="65">
        <v>0</v>
      </c>
      <c r="U2504" s="58">
        <v>0</v>
      </c>
      <c r="V2504" s="65">
        <v>0</v>
      </c>
      <c r="W2504" s="65">
        <v>0</v>
      </c>
      <c r="X2504" s="65">
        <v>0</v>
      </c>
      <c r="Y2504" s="65">
        <v>0</v>
      </c>
      <c r="Z2504" s="51">
        <v>37335.019999999997</v>
      </c>
      <c r="AA2504" s="51">
        <v>0</v>
      </c>
      <c r="AB2504" s="102">
        <v>0</v>
      </c>
      <c r="AC2504" s="81">
        <f t="shared" si="120"/>
        <v>0</v>
      </c>
      <c r="AD2504" s="82">
        <f t="shared" si="121"/>
        <v>0</v>
      </c>
      <c r="AE2504" s="218">
        <v>0</v>
      </c>
      <c r="AF2504">
        <v>0</v>
      </c>
      <c r="AH2504" t="str">
        <f t="shared" ref="AH2504:AH2565" si="122">TEXT(D2504,"0000")</f>
        <v>Dumraon</v>
      </c>
      <c r="AJ2504" s="72">
        <v>0</v>
      </c>
      <c r="AK2504" s="72"/>
      <c r="AL2504" s="72"/>
      <c r="AM2504" s="72"/>
    </row>
    <row r="2505" spans="1:39" x14ac:dyDescent="0.25">
      <c r="A2505" s="37" t="s">
        <v>62</v>
      </c>
      <c r="B2505" s="66" t="s">
        <v>1629</v>
      </c>
      <c r="C2505" s="41">
        <v>1014</v>
      </c>
      <c r="D2505" s="41" t="s">
        <v>376</v>
      </c>
      <c r="E2505" s="41">
        <v>10140201</v>
      </c>
      <c r="F2505" s="85" t="s">
        <v>1351</v>
      </c>
      <c r="G2505" s="39" t="s">
        <v>635</v>
      </c>
      <c r="H2505" s="52" t="s">
        <v>99</v>
      </c>
      <c r="I2505" s="52">
        <v>261.8</v>
      </c>
      <c r="J2505" s="49">
        <v>9062.9399999999987</v>
      </c>
      <c r="K2505" s="58">
        <v>0</v>
      </c>
      <c r="L2505" s="58">
        <v>0</v>
      </c>
      <c r="M2505" s="58">
        <v>0</v>
      </c>
      <c r="N2505" s="58">
        <v>0</v>
      </c>
      <c r="O2505" s="58">
        <v>0</v>
      </c>
      <c r="P2505" s="53">
        <v>0</v>
      </c>
      <c r="Q2505" s="65">
        <v>9062.9399999999987</v>
      </c>
      <c r="R2505" s="65">
        <v>0</v>
      </c>
      <c r="S2505" s="65">
        <v>0</v>
      </c>
      <c r="T2505" s="65">
        <v>0</v>
      </c>
      <c r="U2505" s="58">
        <v>0</v>
      </c>
      <c r="V2505" s="65">
        <v>0</v>
      </c>
      <c r="W2505" s="65">
        <v>0</v>
      </c>
      <c r="X2505" s="65">
        <v>0</v>
      </c>
      <c r="Y2505" s="65">
        <v>0</v>
      </c>
      <c r="Z2505" s="51">
        <v>9062.9399999999987</v>
      </c>
      <c r="AA2505" s="51">
        <v>0</v>
      </c>
      <c r="AB2505" s="102">
        <v>0</v>
      </c>
      <c r="AC2505" s="81">
        <f t="shared" si="120"/>
        <v>303.39039786096254</v>
      </c>
      <c r="AD2505" s="82">
        <f t="shared" si="121"/>
        <v>37.4</v>
      </c>
      <c r="AE2505" s="218">
        <v>0</v>
      </c>
      <c r="AF2505">
        <v>0</v>
      </c>
      <c r="AH2505" t="str">
        <f t="shared" si="122"/>
        <v>Dumraon</v>
      </c>
      <c r="AJ2505" s="72">
        <v>0</v>
      </c>
      <c r="AK2505" s="72"/>
      <c r="AL2505" s="72"/>
      <c r="AM2505" s="72"/>
    </row>
    <row r="2506" spans="1:39" x14ac:dyDescent="0.25">
      <c r="A2506" s="37" t="s">
        <v>62</v>
      </c>
      <c r="B2506" s="66" t="s">
        <v>1629</v>
      </c>
      <c r="C2506" s="41">
        <v>1014</v>
      </c>
      <c r="D2506" s="41" t="s">
        <v>376</v>
      </c>
      <c r="E2506" s="41">
        <v>10140203</v>
      </c>
      <c r="F2506" s="85" t="s">
        <v>1385</v>
      </c>
      <c r="G2506" s="39" t="s">
        <v>635</v>
      </c>
      <c r="H2506" s="52" t="s">
        <v>99</v>
      </c>
      <c r="I2506" s="52">
        <v>3496.6</v>
      </c>
      <c r="J2506" s="49">
        <v>127159.17</v>
      </c>
      <c r="K2506" s="58">
        <v>0</v>
      </c>
      <c r="L2506" s="58">
        <v>0</v>
      </c>
      <c r="M2506" s="58">
        <v>0</v>
      </c>
      <c r="N2506" s="58">
        <v>0</v>
      </c>
      <c r="O2506" s="58">
        <v>0</v>
      </c>
      <c r="P2506" s="53">
        <v>0</v>
      </c>
      <c r="Q2506" s="65">
        <v>127159.17</v>
      </c>
      <c r="R2506" s="65">
        <v>0</v>
      </c>
      <c r="S2506" s="65">
        <v>0</v>
      </c>
      <c r="T2506" s="65">
        <v>0</v>
      </c>
      <c r="U2506" s="58">
        <v>0</v>
      </c>
      <c r="V2506" s="65">
        <v>0</v>
      </c>
      <c r="W2506" s="65">
        <v>0</v>
      </c>
      <c r="X2506" s="65">
        <v>0</v>
      </c>
      <c r="Y2506" s="65">
        <v>0</v>
      </c>
      <c r="Z2506" s="51">
        <v>127159.17</v>
      </c>
      <c r="AA2506" s="51">
        <v>0</v>
      </c>
      <c r="AB2506" s="102">
        <v>0</v>
      </c>
      <c r="AC2506" s="81">
        <f t="shared" si="120"/>
        <v>0</v>
      </c>
      <c r="AD2506" s="82">
        <f t="shared" si="121"/>
        <v>0</v>
      </c>
      <c r="AE2506" s="218">
        <v>0</v>
      </c>
      <c r="AF2506">
        <v>0</v>
      </c>
      <c r="AH2506" t="str">
        <f t="shared" si="122"/>
        <v>Dumraon</v>
      </c>
      <c r="AJ2506" s="72">
        <v>0</v>
      </c>
      <c r="AK2506" s="72"/>
      <c r="AL2506" s="72"/>
      <c r="AM2506" s="72"/>
    </row>
    <row r="2507" spans="1:39" x14ac:dyDescent="0.25">
      <c r="A2507" s="37" t="s">
        <v>62</v>
      </c>
      <c r="B2507" s="66" t="s">
        <v>1629</v>
      </c>
      <c r="C2507" s="41">
        <v>1014</v>
      </c>
      <c r="D2507" s="41" t="s">
        <v>376</v>
      </c>
      <c r="E2507" s="41">
        <v>10140204</v>
      </c>
      <c r="F2507" s="85" t="s">
        <v>1545</v>
      </c>
      <c r="G2507" s="39" t="s">
        <v>635</v>
      </c>
      <c r="H2507" s="52" t="s">
        <v>99</v>
      </c>
      <c r="I2507" s="52">
        <v>120.19999999999999</v>
      </c>
      <c r="J2507" s="49">
        <v>4688.3499999999995</v>
      </c>
      <c r="K2507" s="58">
        <v>0</v>
      </c>
      <c r="L2507" s="58">
        <v>0</v>
      </c>
      <c r="M2507" s="58">
        <v>0</v>
      </c>
      <c r="N2507" s="58">
        <v>0</v>
      </c>
      <c r="O2507" s="58">
        <v>0</v>
      </c>
      <c r="P2507" s="53">
        <v>0</v>
      </c>
      <c r="Q2507" s="65">
        <v>4688.3499999999995</v>
      </c>
      <c r="R2507" s="65">
        <v>0</v>
      </c>
      <c r="S2507" s="65">
        <v>0</v>
      </c>
      <c r="T2507" s="65">
        <v>0</v>
      </c>
      <c r="U2507" s="58">
        <v>0</v>
      </c>
      <c r="V2507" s="65">
        <v>0</v>
      </c>
      <c r="W2507" s="65">
        <v>0</v>
      </c>
      <c r="X2507" s="65">
        <v>0</v>
      </c>
      <c r="Y2507" s="65">
        <v>0</v>
      </c>
      <c r="Z2507" s="51">
        <v>4688.3499999999995</v>
      </c>
      <c r="AA2507" s="51">
        <v>0</v>
      </c>
      <c r="AB2507" s="102">
        <v>0</v>
      </c>
      <c r="AC2507" s="81">
        <f t="shared" si="120"/>
        <v>452.29705990016635</v>
      </c>
      <c r="AD2507" s="82">
        <f t="shared" si="121"/>
        <v>17.171428571428571</v>
      </c>
      <c r="AE2507" s="218">
        <v>0</v>
      </c>
      <c r="AF2507">
        <v>0</v>
      </c>
      <c r="AH2507" t="str">
        <f t="shared" si="122"/>
        <v>Dumraon</v>
      </c>
      <c r="AJ2507" s="72">
        <v>0</v>
      </c>
      <c r="AK2507" s="72"/>
      <c r="AL2507" s="72"/>
      <c r="AM2507" s="72"/>
    </row>
    <row r="2508" spans="1:39" x14ac:dyDescent="0.25">
      <c r="A2508" s="37" t="s">
        <v>62</v>
      </c>
      <c r="B2508" s="66" t="s">
        <v>1629</v>
      </c>
      <c r="C2508" s="41">
        <v>1014</v>
      </c>
      <c r="D2508" s="41" t="s">
        <v>376</v>
      </c>
      <c r="E2508" s="41">
        <v>10140205</v>
      </c>
      <c r="F2508" s="85" t="s">
        <v>1426</v>
      </c>
      <c r="G2508" s="39" t="s">
        <v>93</v>
      </c>
      <c r="H2508" s="52" t="s">
        <v>94</v>
      </c>
      <c r="I2508" s="52">
        <v>347.40000000000003</v>
      </c>
      <c r="J2508" s="49">
        <v>15796.560000000001</v>
      </c>
      <c r="K2508" s="58">
        <v>351.8</v>
      </c>
      <c r="L2508" s="58">
        <v>17084.407027825102</v>
      </c>
      <c r="M2508" s="58">
        <v>0</v>
      </c>
      <c r="N2508" s="58">
        <v>0</v>
      </c>
      <c r="O2508" s="58">
        <v>351.8</v>
      </c>
      <c r="P2508" s="53">
        <v>17084.407027825102</v>
      </c>
      <c r="Q2508" s="65">
        <v>15796.560000000001</v>
      </c>
      <c r="R2508" s="65">
        <v>0</v>
      </c>
      <c r="S2508" s="65">
        <v>0</v>
      </c>
      <c r="T2508" s="65">
        <v>1287.8470278251007</v>
      </c>
      <c r="U2508" s="58">
        <v>0</v>
      </c>
      <c r="V2508" s="65">
        <v>0</v>
      </c>
      <c r="W2508" s="65">
        <v>0</v>
      </c>
      <c r="X2508" s="65">
        <v>15797</v>
      </c>
      <c r="Y2508" s="65">
        <v>0</v>
      </c>
      <c r="Z2508" s="51">
        <v>0</v>
      </c>
      <c r="AA2508" s="51">
        <v>0</v>
      </c>
      <c r="AB2508" s="102">
        <v>0</v>
      </c>
      <c r="AC2508" s="81">
        <f t="shared" si="120"/>
        <v>320.6601644214162</v>
      </c>
      <c r="AD2508" s="82">
        <f t="shared" si="121"/>
        <v>49.628571428571433</v>
      </c>
      <c r="AE2508" s="218">
        <v>-8.1527055752967773E-2</v>
      </c>
      <c r="AF2508">
        <v>1</v>
      </c>
      <c r="AH2508" t="str">
        <f t="shared" si="122"/>
        <v>Dumraon</v>
      </c>
      <c r="AJ2508" s="72">
        <v>0</v>
      </c>
      <c r="AK2508" s="72"/>
      <c r="AL2508" s="72"/>
      <c r="AM2508" s="72"/>
    </row>
    <row r="2509" spans="1:39" x14ac:dyDescent="0.25">
      <c r="A2509" s="37" t="s">
        <v>62</v>
      </c>
      <c r="B2509" s="66" t="s">
        <v>1629</v>
      </c>
      <c r="C2509" s="41">
        <v>1014</v>
      </c>
      <c r="D2509" s="41" t="s">
        <v>376</v>
      </c>
      <c r="E2509" s="41">
        <v>10140206</v>
      </c>
      <c r="F2509" s="85" t="s">
        <v>1435</v>
      </c>
      <c r="G2509" s="39" t="s">
        <v>93</v>
      </c>
      <c r="H2509" s="52" t="s">
        <v>94</v>
      </c>
      <c r="I2509" s="52">
        <v>547.4</v>
      </c>
      <c r="J2509" s="49">
        <v>22265.82</v>
      </c>
      <c r="K2509" s="58">
        <v>547</v>
      </c>
      <c r="L2509" s="58">
        <v>22239.445734000001</v>
      </c>
      <c r="M2509" s="58">
        <v>0</v>
      </c>
      <c r="N2509" s="58">
        <v>0</v>
      </c>
      <c r="O2509" s="58">
        <v>547</v>
      </c>
      <c r="P2509" s="53">
        <v>22239.445734000001</v>
      </c>
      <c r="Q2509" s="65">
        <v>22239.445734000001</v>
      </c>
      <c r="R2509" s="65">
        <v>0</v>
      </c>
      <c r="S2509" s="65">
        <v>0</v>
      </c>
      <c r="T2509" s="65">
        <v>0</v>
      </c>
      <c r="U2509" s="58">
        <v>0</v>
      </c>
      <c r="V2509" s="65">
        <v>0</v>
      </c>
      <c r="W2509" s="65">
        <v>0</v>
      </c>
      <c r="X2509" s="65">
        <v>22239</v>
      </c>
      <c r="Y2509" s="65">
        <v>0</v>
      </c>
      <c r="Z2509" s="51">
        <v>0</v>
      </c>
      <c r="AA2509" s="51">
        <v>27</v>
      </c>
      <c r="AB2509" s="102">
        <v>0</v>
      </c>
      <c r="AC2509" s="81">
        <f t="shared" si="120"/>
        <v>124.14191202046034</v>
      </c>
      <c r="AD2509" s="82">
        <f t="shared" si="121"/>
        <v>78.2</v>
      </c>
      <c r="AE2509" s="218">
        <v>1.1845180640101688E-3</v>
      </c>
      <c r="AF2509">
        <v>1</v>
      </c>
      <c r="AH2509" t="str">
        <f t="shared" si="122"/>
        <v>Dumraon</v>
      </c>
      <c r="AJ2509" s="72">
        <v>0</v>
      </c>
      <c r="AK2509" s="72"/>
      <c r="AL2509" s="72"/>
      <c r="AM2509" s="72"/>
    </row>
    <row r="2510" spans="1:39" x14ac:dyDescent="0.25">
      <c r="A2510" s="37" t="s">
        <v>62</v>
      </c>
      <c r="B2510" s="66" t="s">
        <v>1629</v>
      </c>
      <c r="C2510" s="41">
        <v>1002</v>
      </c>
      <c r="D2510" s="41" t="s">
        <v>105</v>
      </c>
      <c r="E2510" s="41">
        <v>10180001</v>
      </c>
      <c r="F2510" s="85" t="s">
        <v>629</v>
      </c>
      <c r="G2510" s="39" t="s">
        <v>635</v>
      </c>
      <c r="H2510" s="52" t="s">
        <v>99</v>
      </c>
      <c r="I2510" s="52">
        <v>1179.2</v>
      </c>
      <c r="J2510" s="49">
        <v>48904.85</v>
      </c>
      <c r="K2510" s="58">
        <v>0</v>
      </c>
      <c r="L2510" s="58">
        <v>0</v>
      </c>
      <c r="M2510" s="58">
        <v>0</v>
      </c>
      <c r="N2510" s="58">
        <v>0</v>
      </c>
      <c r="O2510" s="58">
        <v>0</v>
      </c>
      <c r="P2510" s="53">
        <v>0</v>
      </c>
      <c r="Q2510" s="65">
        <v>48904.85</v>
      </c>
      <c r="R2510" s="65">
        <v>0</v>
      </c>
      <c r="S2510" s="65">
        <v>0</v>
      </c>
      <c r="T2510" s="65">
        <v>0</v>
      </c>
      <c r="U2510" s="58">
        <v>0</v>
      </c>
      <c r="V2510" s="65">
        <v>0</v>
      </c>
      <c r="W2510" s="65">
        <v>0</v>
      </c>
      <c r="X2510" s="65">
        <v>0</v>
      </c>
      <c r="Y2510" s="65">
        <v>0</v>
      </c>
      <c r="Z2510" s="51">
        <v>48904.85</v>
      </c>
      <c r="AA2510" s="51">
        <v>0</v>
      </c>
      <c r="AB2510" s="102">
        <v>0</v>
      </c>
      <c r="AC2510" s="81">
        <f t="shared" si="120"/>
        <v>0</v>
      </c>
      <c r="AD2510" s="82">
        <f t="shared" si="121"/>
        <v>0</v>
      </c>
      <c r="AE2510" s="218">
        <v>0</v>
      </c>
      <c r="AF2510">
        <v>0</v>
      </c>
      <c r="AH2510" t="str">
        <f t="shared" si="122"/>
        <v>Laldiyara</v>
      </c>
      <c r="AJ2510" s="72">
        <v>0</v>
      </c>
      <c r="AK2510" s="72"/>
      <c r="AL2510" s="72"/>
      <c r="AM2510" s="72"/>
    </row>
    <row r="2511" spans="1:39" x14ac:dyDescent="0.25">
      <c r="A2511" s="37" t="s">
        <v>62</v>
      </c>
      <c r="B2511" s="66" t="s">
        <v>1629</v>
      </c>
      <c r="C2511" s="41">
        <v>1002</v>
      </c>
      <c r="D2511" s="41" t="s">
        <v>105</v>
      </c>
      <c r="E2511" s="41">
        <v>10200001</v>
      </c>
      <c r="F2511" s="85" t="s">
        <v>1624</v>
      </c>
      <c r="G2511" s="39" t="s">
        <v>285</v>
      </c>
      <c r="H2511" s="52" t="s">
        <v>94</v>
      </c>
      <c r="I2511" s="52">
        <v>636</v>
      </c>
      <c r="J2511" s="49">
        <v>23004.12</v>
      </c>
      <c r="K2511" s="58">
        <v>636</v>
      </c>
      <c r="L2511" s="58">
        <v>23003.519616000001</v>
      </c>
      <c r="M2511" s="58">
        <v>0</v>
      </c>
      <c r="N2511" s="58">
        <v>0</v>
      </c>
      <c r="O2511" s="58">
        <v>636</v>
      </c>
      <c r="P2511" s="53">
        <v>23003.519616000001</v>
      </c>
      <c r="Q2511" s="65">
        <v>23003.519616000001</v>
      </c>
      <c r="R2511" s="65">
        <v>0</v>
      </c>
      <c r="S2511" s="65">
        <v>0</v>
      </c>
      <c r="T2511" s="65">
        <v>0</v>
      </c>
      <c r="U2511" s="58">
        <v>0</v>
      </c>
      <c r="V2511" s="65">
        <v>0</v>
      </c>
      <c r="W2511" s="65">
        <v>0</v>
      </c>
      <c r="X2511" s="65">
        <v>23004</v>
      </c>
      <c r="Y2511" s="65">
        <v>0</v>
      </c>
      <c r="Z2511" s="51">
        <v>0</v>
      </c>
      <c r="AA2511" s="51">
        <v>0</v>
      </c>
      <c r="AB2511" s="102">
        <v>0</v>
      </c>
      <c r="AC2511" s="81">
        <f t="shared" si="120"/>
        <v>46.297599999999981</v>
      </c>
      <c r="AD2511" s="82">
        <f t="shared" si="121"/>
        <v>90.857142857142861</v>
      </c>
      <c r="AE2511" s="218">
        <v>2.609897705270079E-5</v>
      </c>
      <c r="AF2511">
        <v>1</v>
      </c>
      <c r="AH2511" t="str">
        <f t="shared" si="122"/>
        <v>Laldiyara</v>
      </c>
      <c r="AJ2511" s="72">
        <v>0</v>
      </c>
      <c r="AK2511" s="72"/>
      <c r="AL2511" s="72"/>
      <c r="AM2511" s="72"/>
    </row>
    <row r="2512" spans="1:39" x14ac:dyDescent="0.25">
      <c r="A2512" s="37" t="s">
        <v>62</v>
      </c>
      <c r="B2512" s="66" t="s">
        <v>1629</v>
      </c>
      <c r="C2512" s="41">
        <v>1003</v>
      </c>
      <c r="D2512" s="41" t="s">
        <v>139</v>
      </c>
      <c r="E2512" s="41">
        <v>10220001</v>
      </c>
      <c r="F2512" s="85" t="s">
        <v>402</v>
      </c>
      <c r="G2512" s="39" t="s">
        <v>285</v>
      </c>
      <c r="H2512" s="52" t="s">
        <v>94</v>
      </c>
      <c r="I2512" s="52">
        <v>580</v>
      </c>
      <c r="J2512" s="49">
        <v>18681.8</v>
      </c>
      <c r="K2512" s="58">
        <v>567.1</v>
      </c>
      <c r="L2512" s="58">
        <v>19467.621864504003</v>
      </c>
      <c r="M2512" s="58">
        <v>4.8999999999999995</v>
      </c>
      <c r="N2512" s="58">
        <v>168.74342377200003</v>
      </c>
      <c r="O2512" s="58">
        <v>572</v>
      </c>
      <c r="P2512" s="53">
        <v>19636.365288276003</v>
      </c>
      <c r="Q2512" s="65">
        <v>18681.8</v>
      </c>
      <c r="R2512" s="65">
        <v>0</v>
      </c>
      <c r="S2512" s="65">
        <v>168.74342377200003</v>
      </c>
      <c r="T2512" s="65">
        <v>954.56528827600414</v>
      </c>
      <c r="U2512" s="58">
        <v>0</v>
      </c>
      <c r="V2512" s="65">
        <v>0</v>
      </c>
      <c r="W2512" s="65">
        <v>0</v>
      </c>
      <c r="X2512" s="65">
        <v>18513</v>
      </c>
      <c r="Y2512" s="65">
        <v>0</v>
      </c>
      <c r="Z2512" s="51">
        <v>0</v>
      </c>
      <c r="AA2512" s="51">
        <v>0</v>
      </c>
      <c r="AB2512" s="102">
        <v>0</v>
      </c>
      <c r="AC2512" s="81">
        <f t="shared" si="120"/>
        <v>77.303999999999988</v>
      </c>
      <c r="AD2512" s="82">
        <f t="shared" si="121"/>
        <v>82.857142857142861</v>
      </c>
      <c r="AE2512" s="218">
        <v>-5.1096001898960706E-2</v>
      </c>
      <c r="AF2512">
        <v>15</v>
      </c>
      <c r="AH2512" t="str">
        <f t="shared" si="122"/>
        <v>Asarganj</v>
      </c>
      <c r="AJ2512" s="72">
        <v>0</v>
      </c>
      <c r="AK2512" s="72"/>
      <c r="AL2512" s="72"/>
      <c r="AM2512" s="72"/>
    </row>
    <row r="2513" spans="1:39" x14ac:dyDescent="0.25">
      <c r="A2513" s="37" t="s">
        <v>62</v>
      </c>
      <c r="B2513" s="66" t="s">
        <v>1629</v>
      </c>
      <c r="C2513" s="41">
        <v>1003</v>
      </c>
      <c r="D2513" s="41" t="s">
        <v>139</v>
      </c>
      <c r="E2513" s="41">
        <v>10240001</v>
      </c>
      <c r="F2513" s="85" t="s">
        <v>403</v>
      </c>
      <c r="G2513" s="39" t="s">
        <v>285</v>
      </c>
      <c r="H2513" s="52" t="s">
        <v>94</v>
      </c>
      <c r="I2513" s="52">
        <v>1773</v>
      </c>
      <c r="J2513" s="49">
        <v>62019.54</v>
      </c>
      <c r="K2513" s="58">
        <v>1760.2000000000003</v>
      </c>
      <c r="L2513" s="58">
        <v>60532.847680643928</v>
      </c>
      <c r="M2513" s="58">
        <v>21.7</v>
      </c>
      <c r="N2513" s="58">
        <v>1023.9750410548701</v>
      </c>
      <c r="O2513" s="58">
        <v>1781.9000000000003</v>
      </c>
      <c r="P2513" s="53">
        <v>61556.822721698802</v>
      </c>
      <c r="Q2513" s="65">
        <v>61556.822721698802</v>
      </c>
      <c r="R2513" s="65">
        <v>0</v>
      </c>
      <c r="S2513" s="65">
        <v>1023.9750410548701</v>
      </c>
      <c r="T2513" s="65">
        <v>0</v>
      </c>
      <c r="U2513" s="58">
        <v>0</v>
      </c>
      <c r="V2513" s="65">
        <v>0</v>
      </c>
      <c r="W2513" s="65">
        <v>0</v>
      </c>
      <c r="X2513" s="65">
        <v>60536</v>
      </c>
      <c r="Y2513" s="65">
        <v>0</v>
      </c>
      <c r="Z2513" s="51">
        <v>0</v>
      </c>
      <c r="AA2513" s="51">
        <v>460</v>
      </c>
      <c r="AB2513" s="102">
        <v>0</v>
      </c>
      <c r="AC2513" s="81">
        <f t="shared" si="120"/>
        <v>0</v>
      </c>
      <c r="AD2513" s="82">
        <f t="shared" si="121"/>
        <v>0</v>
      </c>
      <c r="AE2513" s="218">
        <v>7.4608305431030164E-3</v>
      </c>
      <c r="AF2513">
        <v>56</v>
      </c>
      <c r="AH2513" t="str">
        <f t="shared" si="122"/>
        <v>Asarganj</v>
      </c>
      <c r="AJ2513" s="72">
        <v>0</v>
      </c>
      <c r="AK2513" s="72"/>
      <c r="AL2513" s="72"/>
      <c r="AM2513" s="72"/>
    </row>
    <row r="2514" spans="1:39" x14ac:dyDescent="0.25">
      <c r="A2514" s="37" t="s">
        <v>62</v>
      </c>
      <c r="B2514" s="66" t="s">
        <v>1629</v>
      </c>
      <c r="C2514" s="41">
        <v>1003</v>
      </c>
      <c r="D2514" s="41" t="s">
        <v>139</v>
      </c>
      <c r="E2514" s="41">
        <v>10250001</v>
      </c>
      <c r="F2514" s="85" t="s">
        <v>404</v>
      </c>
      <c r="G2514" s="39" t="s">
        <v>285</v>
      </c>
      <c r="H2514" s="52" t="s">
        <v>94</v>
      </c>
      <c r="I2514" s="52">
        <v>1609.0499999999997</v>
      </c>
      <c r="J2514" s="49">
        <v>72054.37</v>
      </c>
      <c r="K2514" s="58">
        <v>1604.1</v>
      </c>
      <c r="L2514" s="58">
        <v>71974.860330305019</v>
      </c>
      <c r="M2514" s="58">
        <v>6</v>
      </c>
      <c r="N2514" s="58">
        <v>259.78257360000003</v>
      </c>
      <c r="O2514" s="58">
        <v>1610.1</v>
      </c>
      <c r="P2514" s="53">
        <v>72234.642903905013</v>
      </c>
      <c r="Q2514" s="65">
        <v>72054.37</v>
      </c>
      <c r="R2514" s="65">
        <v>0</v>
      </c>
      <c r="S2514" s="65">
        <v>259.78257360000003</v>
      </c>
      <c r="T2514" s="65">
        <v>180.2729039050173</v>
      </c>
      <c r="U2514" s="58">
        <v>0</v>
      </c>
      <c r="V2514" s="65">
        <v>0</v>
      </c>
      <c r="W2514" s="65">
        <v>0</v>
      </c>
      <c r="X2514" s="65">
        <v>71795</v>
      </c>
      <c r="Y2514" s="65">
        <v>0</v>
      </c>
      <c r="Z2514" s="51">
        <v>0</v>
      </c>
      <c r="AA2514" s="51">
        <v>0</v>
      </c>
      <c r="AB2514" s="102">
        <v>0</v>
      </c>
      <c r="AC2514" s="81">
        <f t="shared" si="120"/>
        <v>0</v>
      </c>
      <c r="AD2514" s="82">
        <f t="shared" si="121"/>
        <v>0</v>
      </c>
      <c r="AE2514" s="218">
        <v>-2.5019010492356997E-3</v>
      </c>
      <c r="AF2514">
        <v>17</v>
      </c>
      <c r="AH2514" t="str">
        <f t="shared" si="122"/>
        <v>Asarganj</v>
      </c>
      <c r="AJ2514" s="72">
        <v>0</v>
      </c>
      <c r="AK2514" s="72"/>
      <c r="AL2514" s="72"/>
      <c r="AM2514" s="72"/>
    </row>
    <row r="2515" spans="1:39" x14ac:dyDescent="0.25">
      <c r="A2515" s="37" t="s">
        <v>62</v>
      </c>
      <c r="B2515" s="66" t="s">
        <v>1629</v>
      </c>
      <c r="C2515" s="41">
        <v>1003</v>
      </c>
      <c r="D2515" s="41" t="s">
        <v>139</v>
      </c>
      <c r="E2515" s="41">
        <v>10260001</v>
      </c>
      <c r="F2515" s="85" t="s">
        <v>405</v>
      </c>
      <c r="G2515" s="39" t="s">
        <v>285</v>
      </c>
      <c r="H2515" s="52" t="s">
        <v>94</v>
      </c>
      <c r="I2515" s="52">
        <v>1136.75</v>
      </c>
      <c r="J2515" s="49">
        <v>42675.660000000011</v>
      </c>
      <c r="K2515" s="58">
        <v>1185.8</v>
      </c>
      <c r="L2515" s="58">
        <v>50805.043569328402</v>
      </c>
      <c r="M2515" s="58">
        <v>11.299999999999999</v>
      </c>
      <c r="N2515" s="58">
        <v>487.58549232000001</v>
      </c>
      <c r="O2515" s="58">
        <v>1197.0999999999999</v>
      </c>
      <c r="P2515" s="53">
        <v>51292.629061648404</v>
      </c>
      <c r="Q2515" s="65">
        <v>42675.660000000011</v>
      </c>
      <c r="R2515" s="65">
        <v>0</v>
      </c>
      <c r="S2515" s="65">
        <v>487.58549232000001</v>
      </c>
      <c r="T2515" s="65">
        <v>8616.9690616483931</v>
      </c>
      <c r="U2515" s="58">
        <v>0</v>
      </c>
      <c r="V2515" s="65">
        <v>0</v>
      </c>
      <c r="W2515" s="65">
        <v>0</v>
      </c>
      <c r="X2515" s="65">
        <v>0</v>
      </c>
      <c r="Y2515" s="65">
        <v>0</v>
      </c>
      <c r="Z2515" s="51">
        <v>0</v>
      </c>
      <c r="AA2515" s="51">
        <v>42188</v>
      </c>
      <c r="AB2515" s="102" t="s">
        <v>65</v>
      </c>
      <c r="AC2515" s="81">
        <f t="shared" si="120"/>
        <v>0</v>
      </c>
      <c r="AD2515" s="82">
        <f t="shared" si="121"/>
        <v>0</v>
      </c>
      <c r="AE2515" s="218">
        <v>-0.20191765192731387</v>
      </c>
      <c r="AF2515">
        <v>14</v>
      </c>
      <c r="AH2515" t="str">
        <f t="shared" si="122"/>
        <v>Asarganj</v>
      </c>
      <c r="AJ2515" s="72">
        <v>0</v>
      </c>
      <c r="AK2515" s="72"/>
      <c r="AL2515" s="72"/>
      <c r="AM2515" s="72"/>
    </row>
    <row r="2516" spans="1:39" x14ac:dyDescent="0.25">
      <c r="A2516" s="37" t="s">
        <v>62</v>
      </c>
      <c r="B2516" s="66" t="s">
        <v>1629</v>
      </c>
      <c r="C2516" s="41">
        <v>1006</v>
      </c>
      <c r="D2516" s="41" t="s">
        <v>183</v>
      </c>
      <c r="E2516" s="41">
        <v>10290001</v>
      </c>
      <c r="F2516" s="85" t="s">
        <v>406</v>
      </c>
      <c r="G2516" s="39" t="s">
        <v>285</v>
      </c>
      <c r="H2516" s="52" t="s">
        <v>94</v>
      </c>
      <c r="I2516" s="52">
        <v>1666.3</v>
      </c>
      <c r="J2516" s="49">
        <v>56588.540000000008</v>
      </c>
      <c r="K2516" s="58">
        <v>864.6</v>
      </c>
      <c r="L2516" s="58">
        <v>30003.936351840002</v>
      </c>
      <c r="M2516" s="58">
        <v>810.79999999999984</v>
      </c>
      <c r="N2516" s="58">
        <v>27571.67656254</v>
      </c>
      <c r="O2516" s="58">
        <v>1675.3999999999999</v>
      </c>
      <c r="P2516" s="53">
        <v>57575.612914380006</v>
      </c>
      <c r="Q2516" s="65">
        <v>56588.540000000008</v>
      </c>
      <c r="R2516" s="65">
        <v>0</v>
      </c>
      <c r="S2516" s="65">
        <v>253.74593415599998</v>
      </c>
      <c r="T2516" s="65">
        <v>987.07291437999811</v>
      </c>
      <c r="U2516" s="58">
        <v>0</v>
      </c>
      <c r="V2516" s="65">
        <v>672.16152000000011</v>
      </c>
      <c r="W2516" s="65">
        <v>0</v>
      </c>
      <c r="X2516" s="65">
        <v>28346</v>
      </c>
      <c r="Y2516" s="65">
        <v>27317</v>
      </c>
      <c r="Z2516" s="51">
        <v>0</v>
      </c>
      <c r="AA2516" s="51">
        <v>0</v>
      </c>
      <c r="AB2516" s="102">
        <v>0</v>
      </c>
      <c r="AC2516" s="81">
        <f t="shared" si="120"/>
        <v>0</v>
      </c>
      <c r="AD2516" s="82">
        <f t="shared" si="121"/>
        <v>0</v>
      </c>
      <c r="AE2516" s="218">
        <v>-1.7442982525790521E-2</v>
      </c>
      <c r="AF2516">
        <v>13</v>
      </c>
      <c r="AH2516" t="str">
        <f t="shared" si="122"/>
        <v>Sonvarsha</v>
      </c>
      <c r="AJ2516" s="72">
        <v>0</v>
      </c>
      <c r="AK2516" s="72"/>
      <c r="AL2516" s="72"/>
      <c r="AM2516" s="72"/>
    </row>
    <row r="2517" spans="1:39" x14ac:dyDescent="0.25">
      <c r="A2517" s="37" t="s">
        <v>62</v>
      </c>
      <c r="B2517" s="66" t="s">
        <v>1629</v>
      </c>
      <c r="C2517" s="41">
        <v>1006</v>
      </c>
      <c r="D2517" s="41" t="s">
        <v>183</v>
      </c>
      <c r="E2517" s="41">
        <v>10300001</v>
      </c>
      <c r="F2517" s="85" t="s">
        <v>1143</v>
      </c>
      <c r="G2517" s="39" t="s">
        <v>635</v>
      </c>
      <c r="H2517" s="52" t="s">
        <v>99</v>
      </c>
      <c r="I2517" s="52">
        <v>764.8</v>
      </c>
      <c r="J2517" s="49">
        <v>33878.689999999995</v>
      </c>
      <c r="K2517" s="58">
        <v>0</v>
      </c>
      <c r="L2517" s="58">
        <v>0</v>
      </c>
      <c r="M2517" s="58">
        <v>0</v>
      </c>
      <c r="N2517" s="58">
        <v>0</v>
      </c>
      <c r="O2517" s="58">
        <v>0</v>
      </c>
      <c r="P2517" s="53">
        <v>0</v>
      </c>
      <c r="Q2517" s="65">
        <v>33878.689999999995</v>
      </c>
      <c r="R2517" s="65">
        <v>0</v>
      </c>
      <c r="S2517" s="65">
        <v>0</v>
      </c>
      <c r="T2517" s="65">
        <v>0</v>
      </c>
      <c r="U2517" s="58">
        <v>0</v>
      </c>
      <c r="V2517" s="65">
        <v>0</v>
      </c>
      <c r="W2517" s="65">
        <v>0</v>
      </c>
      <c r="X2517" s="65">
        <v>0</v>
      </c>
      <c r="Y2517" s="65">
        <v>0</v>
      </c>
      <c r="Z2517" s="51">
        <v>33878.689999999995</v>
      </c>
      <c r="AA2517" s="51">
        <v>0</v>
      </c>
      <c r="AB2517" s="102">
        <v>0</v>
      </c>
      <c r="AC2517" s="81">
        <f t="shared" si="120"/>
        <v>0</v>
      </c>
      <c r="AD2517" s="82">
        <f t="shared" si="121"/>
        <v>0</v>
      </c>
      <c r="AE2517" s="218">
        <v>0</v>
      </c>
      <c r="AF2517">
        <v>0</v>
      </c>
      <c r="AH2517" t="str">
        <f t="shared" si="122"/>
        <v>Sonvarsha</v>
      </c>
      <c r="AJ2517" s="72">
        <v>0</v>
      </c>
      <c r="AK2517" s="72"/>
      <c r="AL2517" s="72"/>
      <c r="AM2517" s="72"/>
    </row>
    <row r="2518" spans="1:39" x14ac:dyDescent="0.25">
      <c r="A2518" s="37" t="s">
        <v>62</v>
      </c>
      <c r="B2518" s="66" t="s">
        <v>1629</v>
      </c>
      <c r="C2518" s="41">
        <v>1006</v>
      </c>
      <c r="D2518" s="41" t="s">
        <v>183</v>
      </c>
      <c r="E2518" s="41">
        <v>10310001</v>
      </c>
      <c r="F2518" s="85" t="s">
        <v>407</v>
      </c>
      <c r="G2518" s="39" t="s">
        <v>285</v>
      </c>
      <c r="H2518" s="52" t="s">
        <v>94</v>
      </c>
      <c r="I2518" s="52">
        <v>922.30000000000007</v>
      </c>
      <c r="J2518" s="49">
        <v>35441.199999999997</v>
      </c>
      <c r="K2518" s="58">
        <v>0</v>
      </c>
      <c r="L2518" s="58">
        <v>0</v>
      </c>
      <c r="M2518" s="58">
        <v>950.2</v>
      </c>
      <c r="N2518" s="58">
        <v>36492.094746360002</v>
      </c>
      <c r="O2518" s="58">
        <v>950.2</v>
      </c>
      <c r="P2518" s="53">
        <v>36492.094746360002</v>
      </c>
      <c r="Q2518" s="65">
        <v>35441.199999999997</v>
      </c>
      <c r="R2518" s="65">
        <v>0</v>
      </c>
      <c r="S2518" s="65">
        <v>199.37847996000005</v>
      </c>
      <c r="T2518" s="65">
        <v>1050.8947463600052</v>
      </c>
      <c r="U2518" s="58">
        <v>0</v>
      </c>
      <c r="V2518" s="65">
        <v>112.81</v>
      </c>
      <c r="W2518" s="65">
        <v>0</v>
      </c>
      <c r="X2518" s="65">
        <v>0</v>
      </c>
      <c r="Y2518" s="65">
        <v>35129</v>
      </c>
      <c r="Z2518" s="51">
        <v>0</v>
      </c>
      <c r="AA2518" s="51">
        <v>0</v>
      </c>
      <c r="AB2518" s="102" t="s">
        <v>68</v>
      </c>
      <c r="AC2518" s="81">
        <f t="shared" si="120"/>
        <v>0</v>
      </c>
      <c r="AD2518" s="82">
        <f t="shared" si="121"/>
        <v>0</v>
      </c>
      <c r="AE2518" s="218">
        <v>-2.9651782286152988E-2</v>
      </c>
      <c r="AF2518">
        <v>12</v>
      </c>
      <c r="AH2518" t="str">
        <f t="shared" si="122"/>
        <v>Sonvarsha</v>
      </c>
      <c r="AJ2518" s="72">
        <v>0</v>
      </c>
      <c r="AK2518" s="72"/>
      <c r="AL2518" s="72"/>
      <c r="AM2518" s="72"/>
    </row>
    <row r="2519" spans="1:39" x14ac:dyDescent="0.25">
      <c r="A2519" s="37" t="s">
        <v>62</v>
      </c>
      <c r="B2519" s="66" t="s">
        <v>1629</v>
      </c>
      <c r="C2519" s="41">
        <v>1006</v>
      </c>
      <c r="D2519" s="41" t="s">
        <v>183</v>
      </c>
      <c r="E2519" s="41">
        <v>10320001</v>
      </c>
      <c r="F2519" s="85" t="s">
        <v>408</v>
      </c>
      <c r="G2519" s="39" t="s">
        <v>635</v>
      </c>
      <c r="H2519" s="52" t="s">
        <v>99</v>
      </c>
      <c r="I2519" s="52">
        <v>2296.3000000000002</v>
      </c>
      <c r="J2519" s="49">
        <v>85360.89</v>
      </c>
      <c r="K2519" s="58">
        <v>0</v>
      </c>
      <c r="L2519" s="58">
        <v>0</v>
      </c>
      <c r="M2519" s="58">
        <v>0</v>
      </c>
      <c r="N2519" s="58">
        <v>0</v>
      </c>
      <c r="O2519" s="58">
        <v>0</v>
      </c>
      <c r="P2519" s="53">
        <v>0</v>
      </c>
      <c r="Q2519" s="65">
        <v>85360.89</v>
      </c>
      <c r="R2519" s="65">
        <v>0</v>
      </c>
      <c r="S2519" s="65">
        <v>0</v>
      </c>
      <c r="T2519" s="65">
        <v>0</v>
      </c>
      <c r="U2519" s="58">
        <v>0</v>
      </c>
      <c r="V2519" s="65">
        <v>0</v>
      </c>
      <c r="W2519" s="65">
        <v>0</v>
      </c>
      <c r="X2519" s="65">
        <v>0</v>
      </c>
      <c r="Y2519" s="65">
        <v>0</v>
      </c>
      <c r="Z2519" s="51">
        <v>85360.89</v>
      </c>
      <c r="AA2519" s="51">
        <v>0</v>
      </c>
      <c r="AB2519" s="102">
        <v>0</v>
      </c>
      <c r="AC2519" s="81">
        <f t="shared" si="120"/>
        <v>0</v>
      </c>
      <c r="AD2519" s="82">
        <f t="shared" si="121"/>
        <v>0</v>
      </c>
      <c r="AE2519" s="218">
        <v>0</v>
      </c>
      <c r="AF2519">
        <v>0</v>
      </c>
      <c r="AH2519" t="str">
        <f t="shared" si="122"/>
        <v>Sonvarsha</v>
      </c>
      <c r="AJ2519" s="72">
        <v>0</v>
      </c>
      <c r="AK2519" s="72"/>
      <c r="AL2519" s="72"/>
      <c r="AM2519" s="72"/>
    </row>
    <row r="2520" spans="1:39" x14ac:dyDescent="0.25">
      <c r="A2520" s="37" t="s">
        <v>62</v>
      </c>
      <c r="B2520" s="66" t="s">
        <v>1629</v>
      </c>
      <c r="C2520" s="41">
        <v>1006</v>
      </c>
      <c r="D2520" s="41" t="s">
        <v>183</v>
      </c>
      <c r="E2520" s="41">
        <v>10330001</v>
      </c>
      <c r="F2520" s="85" t="s">
        <v>1209</v>
      </c>
      <c r="G2520" s="39" t="s">
        <v>635</v>
      </c>
      <c r="H2520" s="52" t="s">
        <v>99</v>
      </c>
      <c r="I2520" s="52">
        <v>4096.5</v>
      </c>
      <c r="J2520" s="49">
        <v>142135.06000000003</v>
      </c>
      <c r="K2520" s="58">
        <v>0</v>
      </c>
      <c r="L2520" s="58">
        <v>0</v>
      </c>
      <c r="M2520" s="58">
        <v>0</v>
      </c>
      <c r="N2520" s="58">
        <v>0</v>
      </c>
      <c r="O2520" s="58">
        <v>0</v>
      </c>
      <c r="P2520" s="53">
        <v>0</v>
      </c>
      <c r="Q2520" s="65">
        <v>142135.06000000003</v>
      </c>
      <c r="R2520" s="65">
        <v>0</v>
      </c>
      <c r="S2520" s="65">
        <v>0</v>
      </c>
      <c r="T2520" s="65">
        <v>0</v>
      </c>
      <c r="U2520" s="58">
        <v>27694</v>
      </c>
      <c r="V2520" s="65">
        <v>0</v>
      </c>
      <c r="W2520" s="65">
        <v>0</v>
      </c>
      <c r="X2520" s="65">
        <v>0</v>
      </c>
      <c r="Y2520" s="65">
        <v>0</v>
      </c>
      <c r="Z2520" s="51">
        <v>114441.06000000003</v>
      </c>
      <c r="AA2520" s="51">
        <v>0</v>
      </c>
      <c r="AB2520" s="102">
        <v>0</v>
      </c>
      <c r="AC2520" s="81">
        <f t="shared" si="120"/>
        <v>0</v>
      </c>
      <c r="AD2520" s="82">
        <f t="shared" si="121"/>
        <v>0</v>
      </c>
      <c r="AE2520" s="218">
        <v>0</v>
      </c>
      <c r="AF2520">
        <v>0</v>
      </c>
      <c r="AH2520" t="str">
        <f t="shared" si="122"/>
        <v>Sonvarsha</v>
      </c>
      <c r="AJ2520" s="72">
        <v>0</v>
      </c>
      <c r="AK2520" s="72"/>
      <c r="AL2520" s="72"/>
      <c r="AM2520" s="72"/>
    </row>
    <row r="2521" spans="1:39" x14ac:dyDescent="0.25">
      <c r="A2521" s="37" t="s">
        <v>62</v>
      </c>
      <c r="B2521" s="66" t="s">
        <v>1629</v>
      </c>
      <c r="C2521" s="41">
        <v>1006</v>
      </c>
      <c r="D2521" s="41" t="s">
        <v>183</v>
      </c>
      <c r="E2521" s="41">
        <v>10340001</v>
      </c>
      <c r="F2521" s="85" t="s">
        <v>409</v>
      </c>
      <c r="G2521" s="39" t="s">
        <v>635</v>
      </c>
      <c r="H2521" s="52" t="s">
        <v>99</v>
      </c>
      <c r="I2521" s="52">
        <v>1635.9</v>
      </c>
      <c r="J2521" s="49">
        <v>60068.329999999994</v>
      </c>
      <c r="K2521" s="58">
        <v>0</v>
      </c>
      <c r="L2521" s="58">
        <v>0</v>
      </c>
      <c r="M2521" s="58">
        <v>0</v>
      </c>
      <c r="N2521" s="58">
        <v>0</v>
      </c>
      <c r="O2521" s="58">
        <v>0</v>
      </c>
      <c r="P2521" s="53">
        <v>0</v>
      </c>
      <c r="Q2521" s="65">
        <v>60068.329999999994</v>
      </c>
      <c r="R2521" s="65">
        <v>0</v>
      </c>
      <c r="S2521" s="65">
        <v>0</v>
      </c>
      <c r="T2521" s="65">
        <v>0</v>
      </c>
      <c r="U2521" s="58">
        <v>0</v>
      </c>
      <c r="V2521" s="65">
        <v>0</v>
      </c>
      <c r="W2521" s="65">
        <v>0</v>
      </c>
      <c r="X2521" s="65">
        <v>0</v>
      </c>
      <c r="Y2521" s="65">
        <v>0</v>
      </c>
      <c r="Z2521" s="51">
        <v>60068.329999999994</v>
      </c>
      <c r="AA2521" s="51">
        <v>0</v>
      </c>
      <c r="AB2521" s="102">
        <v>0</v>
      </c>
      <c r="AC2521" s="81">
        <f t="shared" si="120"/>
        <v>0</v>
      </c>
      <c r="AD2521" s="82">
        <f t="shared" si="121"/>
        <v>0</v>
      </c>
      <c r="AE2521" s="218">
        <v>0</v>
      </c>
      <c r="AF2521">
        <v>0</v>
      </c>
      <c r="AH2521" t="str">
        <f t="shared" si="122"/>
        <v>Sonvarsha</v>
      </c>
      <c r="AJ2521" s="72">
        <v>0</v>
      </c>
      <c r="AK2521" s="72"/>
      <c r="AL2521" s="72"/>
      <c r="AM2521" s="72"/>
    </row>
    <row r="2522" spans="1:39" x14ac:dyDescent="0.25">
      <c r="A2522" s="37" t="s">
        <v>62</v>
      </c>
      <c r="B2522" s="66" t="s">
        <v>1629</v>
      </c>
      <c r="C2522" s="41">
        <v>1006</v>
      </c>
      <c r="D2522" s="41" t="s">
        <v>183</v>
      </c>
      <c r="E2522" s="41">
        <v>10350001</v>
      </c>
      <c r="F2522" s="85" t="s">
        <v>410</v>
      </c>
      <c r="G2522" s="39" t="s">
        <v>285</v>
      </c>
      <c r="H2522" s="52" t="s">
        <v>94</v>
      </c>
      <c r="I2522" s="52">
        <v>1953.7</v>
      </c>
      <c r="J2522" s="49">
        <v>72612.23</v>
      </c>
      <c r="K2522" s="58">
        <v>2026.7000000000003</v>
      </c>
      <c r="L2522" s="58">
        <v>74701.462568818417</v>
      </c>
      <c r="M2522" s="58">
        <v>15</v>
      </c>
      <c r="N2522" s="58">
        <v>558.57285990000003</v>
      </c>
      <c r="O2522" s="58">
        <v>2041.7000000000003</v>
      </c>
      <c r="P2522" s="53">
        <v>75260.035428718416</v>
      </c>
      <c r="Q2522" s="65">
        <v>72612.23</v>
      </c>
      <c r="R2522" s="65">
        <v>0</v>
      </c>
      <c r="S2522" s="65">
        <v>558.57285990000003</v>
      </c>
      <c r="T2522" s="65">
        <v>2647.8054287184204</v>
      </c>
      <c r="U2522" s="58">
        <v>0</v>
      </c>
      <c r="V2522" s="65">
        <v>0</v>
      </c>
      <c r="W2522" s="65">
        <v>0</v>
      </c>
      <c r="X2522" s="65">
        <v>72054</v>
      </c>
      <c r="Y2522" s="65">
        <v>0</v>
      </c>
      <c r="Z2522" s="51">
        <v>0</v>
      </c>
      <c r="AA2522" s="51">
        <v>0</v>
      </c>
      <c r="AB2522" s="102">
        <v>0</v>
      </c>
      <c r="AC2522" s="81">
        <f t="shared" si="120"/>
        <v>0</v>
      </c>
      <c r="AD2522" s="82">
        <f t="shared" si="121"/>
        <v>0</v>
      </c>
      <c r="AE2522" s="218">
        <v>-3.6465006359375281E-2</v>
      </c>
      <c r="AF2522">
        <v>19</v>
      </c>
      <c r="AH2522" t="str">
        <f t="shared" si="122"/>
        <v>Sonvarsha</v>
      </c>
      <c r="AJ2522" s="72">
        <v>0</v>
      </c>
      <c r="AK2522" s="72"/>
      <c r="AL2522" s="72"/>
      <c r="AM2522" s="72"/>
    </row>
    <row r="2523" spans="1:39" x14ac:dyDescent="0.25">
      <c r="A2523" s="37" t="s">
        <v>62</v>
      </c>
      <c r="B2523" s="66" t="s">
        <v>1629</v>
      </c>
      <c r="C2523" s="41">
        <v>1036</v>
      </c>
      <c r="D2523" s="41" t="s">
        <v>411</v>
      </c>
      <c r="E2523" s="41">
        <v>10360001</v>
      </c>
      <c r="F2523" s="85" t="s">
        <v>411</v>
      </c>
      <c r="G2523" s="39" t="s">
        <v>285</v>
      </c>
      <c r="H2523" s="52" t="s">
        <v>94</v>
      </c>
      <c r="I2523" s="52">
        <v>2575</v>
      </c>
      <c r="J2523" s="49">
        <v>93989.260000000009</v>
      </c>
      <c r="K2523" s="58">
        <v>2520.5</v>
      </c>
      <c r="L2523" s="58">
        <v>91984.880404494004</v>
      </c>
      <c r="M2523" s="58">
        <v>54.5</v>
      </c>
      <c r="N2523" s="58">
        <v>2002.1944456800002</v>
      </c>
      <c r="O2523" s="58">
        <v>2575</v>
      </c>
      <c r="P2523" s="53">
        <v>93987.074850174002</v>
      </c>
      <c r="Q2523" s="65">
        <v>93987.074850174002</v>
      </c>
      <c r="R2523" s="65">
        <v>0</v>
      </c>
      <c r="S2523" s="65">
        <v>2002.1944456800002</v>
      </c>
      <c r="T2523" s="65">
        <v>0</v>
      </c>
      <c r="U2523" s="58">
        <v>0</v>
      </c>
      <c r="V2523" s="65">
        <v>0</v>
      </c>
      <c r="W2523" s="65">
        <v>0</v>
      </c>
      <c r="X2523" s="65">
        <v>91985</v>
      </c>
      <c r="Y2523" s="65">
        <v>0</v>
      </c>
      <c r="Z2523" s="51">
        <v>0</v>
      </c>
      <c r="AA2523" s="51">
        <v>2</v>
      </c>
      <c r="AB2523" s="102">
        <v>0</v>
      </c>
      <c r="AC2523" s="81">
        <f t="shared" si="120"/>
        <v>0</v>
      </c>
      <c r="AD2523" s="82">
        <f t="shared" si="121"/>
        <v>0</v>
      </c>
      <c r="AE2523" s="218">
        <v>2.3248931058799118E-5</v>
      </c>
      <c r="AF2523">
        <v>11</v>
      </c>
      <c r="AH2523" t="str">
        <f t="shared" si="122"/>
        <v>MAHADAT PUR 2</v>
      </c>
      <c r="AJ2523" s="72">
        <v>0</v>
      </c>
      <c r="AK2523" s="72"/>
      <c r="AL2523" s="72"/>
      <c r="AM2523" s="72"/>
    </row>
    <row r="2524" spans="1:39" x14ac:dyDescent="0.25">
      <c r="A2524" s="37" t="s">
        <v>62</v>
      </c>
      <c r="B2524" s="66" t="s">
        <v>1629</v>
      </c>
      <c r="C2524" s="41">
        <v>1007</v>
      </c>
      <c r="D2524" s="41" t="s">
        <v>207</v>
      </c>
      <c r="E2524" s="41">
        <v>10380001</v>
      </c>
      <c r="F2524" s="85" t="s">
        <v>412</v>
      </c>
      <c r="G2524" s="39" t="s">
        <v>285</v>
      </c>
      <c r="H2524" s="52" t="s">
        <v>94</v>
      </c>
      <c r="I2524" s="52">
        <v>498</v>
      </c>
      <c r="J2524" s="49">
        <v>17225.82</v>
      </c>
      <c r="K2524" s="58">
        <v>495</v>
      </c>
      <c r="L2524" s="58">
        <v>17119.602720000003</v>
      </c>
      <c r="M2524" s="58">
        <v>5</v>
      </c>
      <c r="N2524" s="58">
        <v>172.92527999999999</v>
      </c>
      <c r="O2524" s="58">
        <v>500</v>
      </c>
      <c r="P2524" s="53">
        <v>17292.528000000002</v>
      </c>
      <c r="Q2524" s="65">
        <v>17225.82</v>
      </c>
      <c r="R2524" s="65">
        <v>0</v>
      </c>
      <c r="S2524" s="65">
        <v>172.92527999999999</v>
      </c>
      <c r="T2524" s="65">
        <v>66.708000000002357</v>
      </c>
      <c r="U2524" s="58">
        <v>0</v>
      </c>
      <c r="V2524" s="65">
        <v>0</v>
      </c>
      <c r="W2524" s="65">
        <v>0</v>
      </c>
      <c r="X2524" s="65">
        <v>17053</v>
      </c>
      <c r="Y2524" s="65">
        <v>0</v>
      </c>
      <c r="Z2524" s="51">
        <v>0</v>
      </c>
      <c r="AA2524" s="51">
        <v>0</v>
      </c>
      <c r="AB2524" s="102">
        <v>0</v>
      </c>
      <c r="AC2524" s="81">
        <f t="shared" si="120"/>
        <v>139.74360000000001</v>
      </c>
      <c r="AD2524" s="82">
        <f t="shared" si="121"/>
        <v>71.142857142857139</v>
      </c>
      <c r="AE2524" s="218">
        <v>-3.8725587519202196E-3</v>
      </c>
      <c r="AF2524">
        <v>8</v>
      </c>
      <c r="AH2524" t="str">
        <f t="shared" si="122"/>
        <v>Araria</v>
      </c>
      <c r="AJ2524" s="72">
        <v>0</v>
      </c>
      <c r="AK2524" s="72"/>
      <c r="AL2524" s="72"/>
      <c r="AM2524" s="72"/>
    </row>
    <row r="2525" spans="1:39" x14ac:dyDescent="0.25">
      <c r="A2525" s="37" t="s">
        <v>62</v>
      </c>
      <c r="B2525" s="66" t="s">
        <v>1629</v>
      </c>
      <c r="C2525" s="41">
        <v>1007</v>
      </c>
      <c r="D2525" s="41" t="s">
        <v>207</v>
      </c>
      <c r="E2525" s="41">
        <v>10390001</v>
      </c>
      <c r="F2525" s="85" t="s">
        <v>501</v>
      </c>
      <c r="G2525" s="39" t="s">
        <v>285</v>
      </c>
      <c r="H2525" s="52" t="s">
        <v>99</v>
      </c>
      <c r="I2525" s="52">
        <v>499</v>
      </c>
      <c r="J2525" s="49">
        <v>17051.739999999998</v>
      </c>
      <c r="K2525" s="58">
        <v>378</v>
      </c>
      <c r="L2525" s="58">
        <v>12920.015592</v>
      </c>
      <c r="M2525" s="58">
        <v>0</v>
      </c>
      <c r="N2525" s="58">
        <v>0</v>
      </c>
      <c r="O2525" s="58">
        <v>378</v>
      </c>
      <c r="P2525" s="53">
        <v>12920.015592</v>
      </c>
      <c r="Q2525" s="65">
        <v>17051.739999999998</v>
      </c>
      <c r="R2525" s="65">
        <v>0</v>
      </c>
      <c r="S2525" s="65">
        <v>27.361773648000003</v>
      </c>
      <c r="T2525" s="65">
        <v>0</v>
      </c>
      <c r="U2525" s="58">
        <v>0</v>
      </c>
      <c r="V2525" s="65">
        <v>0</v>
      </c>
      <c r="W2525" s="65">
        <v>0</v>
      </c>
      <c r="X2525" s="65">
        <v>0</v>
      </c>
      <c r="Y2525" s="65">
        <v>0</v>
      </c>
      <c r="Z2525" s="51">
        <v>17024.378226351997</v>
      </c>
      <c r="AA2525" s="51">
        <v>0</v>
      </c>
      <c r="AB2525" s="102">
        <v>0</v>
      </c>
      <c r="AC2525" s="81">
        <f t="shared" si="120"/>
        <v>137.37073106212421</v>
      </c>
      <c r="AD2525" s="82">
        <f t="shared" si="121"/>
        <v>71.285714285714292</v>
      </c>
      <c r="AE2525" s="218">
        <v>0</v>
      </c>
      <c r="AF2525">
        <v>5</v>
      </c>
      <c r="AH2525" t="str">
        <f t="shared" si="122"/>
        <v>Araria</v>
      </c>
      <c r="AJ2525" s="72">
        <v>0</v>
      </c>
      <c r="AK2525" s="72"/>
      <c r="AL2525" s="72"/>
      <c r="AM2525" s="72"/>
    </row>
    <row r="2526" spans="1:39" x14ac:dyDescent="0.25">
      <c r="A2526" s="37" t="s">
        <v>62</v>
      </c>
      <c r="B2526" s="66" t="s">
        <v>1629</v>
      </c>
      <c r="C2526" s="41">
        <v>1007</v>
      </c>
      <c r="D2526" s="41" t="s">
        <v>207</v>
      </c>
      <c r="E2526" s="41">
        <v>10400001</v>
      </c>
      <c r="F2526" s="85" t="s">
        <v>413</v>
      </c>
      <c r="G2526" s="39" t="s">
        <v>285</v>
      </c>
      <c r="H2526" s="52" t="s">
        <v>94</v>
      </c>
      <c r="I2526" s="52">
        <v>1867</v>
      </c>
      <c r="J2526" s="49">
        <v>65077.78</v>
      </c>
      <c r="K2526" s="58">
        <v>1862</v>
      </c>
      <c r="L2526" s="58">
        <v>64900.039129200006</v>
      </c>
      <c r="M2526" s="58">
        <v>5</v>
      </c>
      <c r="N2526" s="58">
        <v>174.64130640000002</v>
      </c>
      <c r="O2526" s="58">
        <v>1867</v>
      </c>
      <c r="P2526" s="53">
        <v>65074.680435600007</v>
      </c>
      <c r="Q2526" s="65">
        <v>65074.680435600007</v>
      </c>
      <c r="R2526" s="65">
        <v>0</v>
      </c>
      <c r="S2526" s="65">
        <v>174.64130640000002</v>
      </c>
      <c r="T2526" s="65">
        <v>0</v>
      </c>
      <c r="U2526" s="58">
        <v>0</v>
      </c>
      <c r="V2526" s="65">
        <v>0</v>
      </c>
      <c r="W2526" s="65">
        <v>0</v>
      </c>
      <c r="X2526" s="65">
        <v>64901</v>
      </c>
      <c r="Y2526" s="65">
        <v>0</v>
      </c>
      <c r="Z2526" s="51">
        <v>0</v>
      </c>
      <c r="AA2526" s="51">
        <v>2</v>
      </c>
      <c r="AB2526" s="102">
        <v>0</v>
      </c>
      <c r="AC2526" s="81">
        <f t="shared" si="120"/>
        <v>0</v>
      </c>
      <c r="AD2526" s="82">
        <f t="shared" si="121"/>
        <v>0</v>
      </c>
      <c r="AE2526" s="218">
        <v>4.7628613022635874E-5</v>
      </c>
      <c r="AF2526">
        <v>8</v>
      </c>
      <c r="AH2526" t="str">
        <f t="shared" si="122"/>
        <v>Araria</v>
      </c>
      <c r="AJ2526" s="72">
        <v>0</v>
      </c>
      <c r="AK2526" s="72"/>
      <c r="AL2526" s="72"/>
      <c r="AM2526" s="72"/>
    </row>
    <row r="2527" spans="1:39" x14ac:dyDescent="0.25">
      <c r="A2527" s="37" t="s">
        <v>62</v>
      </c>
      <c r="B2527" s="66" t="s">
        <v>1629</v>
      </c>
      <c r="C2527" s="41">
        <v>1007</v>
      </c>
      <c r="D2527" s="41" t="s">
        <v>207</v>
      </c>
      <c r="E2527" s="41">
        <v>10410001</v>
      </c>
      <c r="F2527" s="85" t="s">
        <v>414</v>
      </c>
      <c r="G2527" s="39" t="s">
        <v>285</v>
      </c>
      <c r="H2527" s="52" t="s">
        <v>94</v>
      </c>
      <c r="I2527" s="52">
        <v>2085</v>
      </c>
      <c r="J2527" s="49">
        <v>69923.600000000006</v>
      </c>
      <c r="K2527" s="58">
        <v>1000</v>
      </c>
      <c r="L2527" s="58">
        <v>33476.256000000008</v>
      </c>
      <c r="M2527" s="58">
        <v>1089</v>
      </c>
      <c r="N2527" s="58">
        <v>36582.045984000011</v>
      </c>
      <c r="O2527" s="58">
        <v>2089</v>
      </c>
      <c r="P2527" s="53">
        <v>70058.30198400002</v>
      </c>
      <c r="Q2527" s="65">
        <v>69923.600000000006</v>
      </c>
      <c r="R2527" s="65">
        <v>0</v>
      </c>
      <c r="S2527" s="65">
        <v>134.38022400000003</v>
      </c>
      <c r="T2527" s="65">
        <v>134.70198400001391</v>
      </c>
      <c r="U2527" s="58">
        <v>0</v>
      </c>
      <c r="V2527" s="65">
        <v>0</v>
      </c>
      <c r="W2527" s="65">
        <v>0</v>
      </c>
      <c r="X2527" s="65">
        <v>33341</v>
      </c>
      <c r="Y2527" s="65">
        <v>36448</v>
      </c>
      <c r="Z2527" s="51">
        <v>0</v>
      </c>
      <c r="AA2527" s="51">
        <v>0</v>
      </c>
      <c r="AB2527" s="102">
        <v>0</v>
      </c>
      <c r="AC2527" s="81">
        <f t="shared" si="120"/>
        <v>0</v>
      </c>
      <c r="AD2527" s="82">
        <f t="shared" si="121"/>
        <v>0</v>
      </c>
      <c r="AE2527" s="218">
        <v>-1.9264166032643328E-3</v>
      </c>
      <c r="AF2527">
        <v>6</v>
      </c>
      <c r="AH2527" t="str">
        <f t="shared" si="122"/>
        <v>Araria</v>
      </c>
      <c r="AJ2527" s="72">
        <v>0</v>
      </c>
      <c r="AK2527" s="72"/>
      <c r="AL2527" s="72"/>
      <c r="AM2527" s="72"/>
    </row>
    <row r="2528" spans="1:39" x14ac:dyDescent="0.25">
      <c r="A2528" s="37" t="s">
        <v>62</v>
      </c>
      <c r="B2528" s="66" t="s">
        <v>1629</v>
      </c>
      <c r="C2528" s="41">
        <v>1011</v>
      </c>
      <c r="D2528" s="41" t="s">
        <v>289</v>
      </c>
      <c r="E2528" s="41">
        <v>10430001</v>
      </c>
      <c r="F2528" s="85" t="s">
        <v>1273</v>
      </c>
      <c r="G2528" s="39" t="s">
        <v>93</v>
      </c>
      <c r="H2528" s="52" t="s">
        <v>94</v>
      </c>
      <c r="I2528" s="52">
        <v>1316.8000000000002</v>
      </c>
      <c r="J2528" s="49">
        <v>46084</v>
      </c>
      <c r="K2528" s="58">
        <v>1278</v>
      </c>
      <c r="L2528" s="58">
        <v>49907.654755200012</v>
      </c>
      <c r="M2528" s="58">
        <v>0</v>
      </c>
      <c r="N2528" s="58">
        <v>0</v>
      </c>
      <c r="O2528" s="58">
        <v>1278</v>
      </c>
      <c r="P2528" s="53">
        <v>49907.654755200012</v>
      </c>
      <c r="Q2528" s="65">
        <v>46084</v>
      </c>
      <c r="R2528" s="65">
        <v>0</v>
      </c>
      <c r="S2528" s="65">
        <v>0</v>
      </c>
      <c r="T2528" s="65">
        <v>3823.654755200012</v>
      </c>
      <c r="U2528" s="58">
        <v>1300</v>
      </c>
      <c r="V2528" s="65">
        <v>0</v>
      </c>
      <c r="W2528" s="65">
        <v>0</v>
      </c>
      <c r="X2528" s="65">
        <v>44784</v>
      </c>
      <c r="Y2528" s="65">
        <v>0</v>
      </c>
      <c r="Z2528" s="51">
        <v>0</v>
      </c>
      <c r="AA2528" s="51">
        <v>0</v>
      </c>
      <c r="AB2528" s="102">
        <v>0</v>
      </c>
      <c r="AC2528" s="81">
        <f t="shared" si="120"/>
        <v>0</v>
      </c>
      <c r="AD2528" s="82">
        <f t="shared" si="121"/>
        <v>0</v>
      </c>
      <c r="AE2528" s="218">
        <v>-8.2971416439545434E-2</v>
      </c>
      <c r="AF2528">
        <v>1</v>
      </c>
      <c r="AH2528" t="str">
        <f t="shared" si="122"/>
        <v>Sahibpur Kamal</v>
      </c>
      <c r="AJ2528" s="72">
        <v>0</v>
      </c>
      <c r="AK2528" s="72"/>
      <c r="AL2528" s="72"/>
      <c r="AM2528" s="72"/>
    </row>
    <row r="2529" spans="1:39" x14ac:dyDescent="0.25">
      <c r="A2529" s="37" t="s">
        <v>62</v>
      </c>
      <c r="B2529" s="66" t="s">
        <v>1629</v>
      </c>
      <c r="C2529" s="41">
        <v>1011</v>
      </c>
      <c r="D2529" s="41" t="s">
        <v>289</v>
      </c>
      <c r="E2529" s="41">
        <v>10440001</v>
      </c>
      <c r="F2529" s="85" t="s">
        <v>415</v>
      </c>
      <c r="G2529" s="39" t="s">
        <v>93</v>
      </c>
      <c r="H2529" s="52" t="s">
        <v>94</v>
      </c>
      <c r="I2529" s="52">
        <v>166.2</v>
      </c>
      <c r="J2529" s="49">
        <v>5820.25</v>
      </c>
      <c r="K2529" s="58">
        <v>165.79999999999998</v>
      </c>
      <c r="L2529" s="58">
        <v>5878.7051954400013</v>
      </c>
      <c r="M2529" s="58">
        <v>0</v>
      </c>
      <c r="N2529" s="58">
        <v>0</v>
      </c>
      <c r="O2529" s="58">
        <v>165.79999999999998</v>
      </c>
      <c r="P2529" s="53">
        <v>5878.7051954400013</v>
      </c>
      <c r="Q2529" s="65">
        <v>5820.25</v>
      </c>
      <c r="R2529" s="65">
        <v>0</v>
      </c>
      <c r="S2529" s="65">
        <v>0</v>
      </c>
      <c r="T2529" s="65">
        <v>58.455195440001262</v>
      </c>
      <c r="U2529" s="58">
        <v>0</v>
      </c>
      <c r="V2529" s="65">
        <v>25.91</v>
      </c>
      <c r="W2529" s="65">
        <v>0</v>
      </c>
      <c r="X2529" s="65">
        <v>5794</v>
      </c>
      <c r="Y2529" s="65">
        <v>0</v>
      </c>
      <c r="Z2529" s="51">
        <v>0</v>
      </c>
      <c r="AA2529" s="51">
        <v>0</v>
      </c>
      <c r="AB2529" s="102" t="s">
        <v>68</v>
      </c>
      <c r="AC2529" s="81">
        <f t="shared" si="120"/>
        <v>373.86876654632982</v>
      </c>
      <c r="AD2529" s="82">
        <f t="shared" si="121"/>
        <v>23.74285714285714</v>
      </c>
      <c r="AE2529" s="218">
        <v>-1.0043416595507282E-2</v>
      </c>
      <c r="AF2529">
        <v>1</v>
      </c>
      <c r="AH2529" t="str">
        <f t="shared" si="122"/>
        <v>Sahibpur Kamal</v>
      </c>
      <c r="AJ2529" s="72">
        <v>0</v>
      </c>
      <c r="AK2529" s="72"/>
      <c r="AL2529" s="72"/>
      <c r="AM2529" s="72"/>
    </row>
    <row r="2530" spans="1:39" x14ac:dyDescent="0.25">
      <c r="A2530" s="37" t="s">
        <v>62</v>
      </c>
      <c r="B2530" s="66" t="s">
        <v>1629</v>
      </c>
      <c r="C2530" s="41">
        <v>1003</v>
      </c>
      <c r="D2530" s="41" t="s">
        <v>139</v>
      </c>
      <c r="E2530" s="41">
        <v>10460001</v>
      </c>
      <c r="F2530" s="85" t="s">
        <v>416</v>
      </c>
      <c r="G2530" s="39" t="s">
        <v>93</v>
      </c>
      <c r="H2530" s="52" t="s">
        <v>94</v>
      </c>
      <c r="I2530" s="52">
        <v>387.3</v>
      </c>
      <c r="J2530" s="49">
        <v>13536.289999999999</v>
      </c>
      <c r="K2530" s="58">
        <v>372.6</v>
      </c>
      <c r="L2530" s="58">
        <v>13517.071160081501</v>
      </c>
      <c r="M2530" s="58">
        <v>0.89999999999999991</v>
      </c>
      <c r="N2530" s="58">
        <v>30.780645588000006</v>
      </c>
      <c r="O2530" s="58">
        <v>373.5</v>
      </c>
      <c r="P2530" s="53">
        <v>13547.851805669501</v>
      </c>
      <c r="Q2530" s="65">
        <v>13536.289999999999</v>
      </c>
      <c r="R2530" s="65">
        <v>0</v>
      </c>
      <c r="S2530" s="65">
        <v>30.780645588000006</v>
      </c>
      <c r="T2530" s="65">
        <v>11.561805669502064</v>
      </c>
      <c r="U2530" s="58">
        <v>0</v>
      </c>
      <c r="V2530" s="65">
        <v>0</v>
      </c>
      <c r="W2530" s="65">
        <v>0</v>
      </c>
      <c r="X2530" s="65">
        <v>13506</v>
      </c>
      <c r="Y2530" s="65">
        <v>0</v>
      </c>
      <c r="Z2530" s="51">
        <v>0</v>
      </c>
      <c r="AA2530" s="51">
        <v>0</v>
      </c>
      <c r="AB2530" s="102">
        <v>0</v>
      </c>
      <c r="AC2530" s="81">
        <f t="shared" si="120"/>
        <v>218.57980289181512</v>
      </c>
      <c r="AD2530" s="82">
        <f t="shared" si="121"/>
        <v>55.328571428571429</v>
      </c>
      <c r="AE2530" s="218">
        <v>-8.5413401083325377E-4</v>
      </c>
      <c r="AF2530">
        <v>8</v>
      </c>
      <c r="AH2530" t="str">
        <f t="shared" si="122"/>
        <v>Asarganj</v>
      </c>
      <c r="AJ2530" s="72">
        <v>0</v>
      </c>
      <c r="AK2530" s="72"/>
      <c r="AL2530" s="72"/>
      <c r="AM2530" s="72"/>
    </row>
    <row r="2531" spans="1:39" x14ac:dyDescent="0.25">
      <c r="A2531" s="37" t="s">
        <v>62</v>
      </c>
      <c r="B2531" s="66" t="s">
        <v>1629</v>
      </c>
      <c r="C2531" s="41">
        <v>1003</v>
      </c>
      <c r="D2531" s="41" t="s">
        <v>139</v>
      </c>
      <c r="E2531" s="41">
        <v>10460002</v>
      </c>
      <c r="F2531" s="85" t="s">
        <v>417</v>
      </c>
      <c r="G2531" s="39" t="s">
        <v>93</v>
      </c>
      <c r="H2531" s="52" t="s">
        <v>94</v>
      </c>
      <c r="I2531" s="52">
        <v>612.34999999999991</v>
      </c>
      <c r="J2531" s="49">
        <v>18008.55</v>
      </c>
      <c r="K2531" s="58">
        <v>594.39999999999986</v>
      </c>
      <c r="L2531" s="58">
        <v>18301.235015250004</v>
      </c>
      <c r="M2531" s="58">
        <v>17.800000000000008</v>
      </c>
      <c r="N2531" s="58">
        <v>554.04088838999985</v>
      </c>
      <c r="O2531" s="58">
        <v>612.19999999999982</v>
      </c>
      <c r="P2531" s="53">
        <v>18855.275903640002</v>
      </c>
      <c r="Q2531" s="65">
        <v>18008.55</v>
      </c>
      <c r="R2531" s="65">
        <v>0</v>
      </c>
      <c r="S2531" s="65">
        <v>554.04088838999985</v>
      </c>
      <c r="T2531" s="65">
        <v>846.7259036400028</v>
      </c>
      <c r="U2531" s="58">
        <v>0</v>
      </c>
      <c r="V2531" s="65">
        <v>0</v>
      </c>
      <c r="W2531" s="65">
        <v>0</v>
      </c>
      <c r="X2531" s="65">
        <v>17455</v>
      </c>
      <c r="Y2531" s="65">
        <v>0</v>
      </c>
      <c r="Z2531" s="51">
        <v>0</v>
      </c>
      <c r="AA2531" s="51">
        <v>0</v>
      </c>
      <c r="AB2531" s="102">
        <v>0</v>
      </c>
      <c r="AC2531" s="81">
        <f t="shared" si="120"/>
        <v>51.553830570752091</v>
      </c>
      <c r="AD2531" s="82">
        <f t="shared" si="121"/>
        <v>87.478571428571414</v>
      </c>
      <c r="AE2531" s="218">
        <v>-4.701799443264465E-2</v>
      </c>
      <c r="AF2531">
        <v>4</v>
      </c>
      <c r="AH2531" t="str">
        <f t="shared" si="122"/>
        <v>Asarganj</v>
      </c>
      <c r="AJ2531" s="72">
        <v>0</v>
      </c>
      <c r="AK2531" s="72"/>
      <c r="AL2531" s="72"/>
      <c r="AM2531" s="72"/>
    </row>
    <row r="2532" spans="1:39" x14ac:dyDescent="0.25">
      <c r="A2532" s="37" t="s">
        <v>62</v>
      </c>
      <c r="B2532" s="66" t="s">
        <v>1629</v>
      </c>
      <c r="C2532" s="41">
        <v>1036</v>
      </c>
      <c r="D2532" s="41" t="s">
        <v>411</v>
      </c>
      <c r="E2532" s="41">
        <v>10480001</v>
      </c>
      <c r="F2532" s="85" t="s">
        <v>418</v>
      </c>
      <c r="G2532" s="39" t="s">
        <v>93</v>
      </c>
      <c r="H2532" s="52" t="s">
        <v>94</v>
      </c>
      <c r="I2532" s="52">
        <v>335.3</v>
      </c>
      <c r="J2532" s="49">
        <v>10602.55</v>
      </c>
      <c r="K2532" s="58">
        <v>332.79999999999995</v>
      </c>
      <c r="L2532" s="58">
        <v>10642.773675402001</v>
      </c>
      <c r="M2532" s="58">
        <v>3</v>
      </c>
      <c r="N2532" s="58">
        <v>95.797752732000021</v>
      </c>
      <c r="O2532" s="58">
        <v>335.79999999999995</v>
      </c>
      <c r="P2532" s="53">
        <v>10738.571428134001</v>
      </c>
      <c r="Q2532" s="65">
        <v>10602.55</v>
      </c>
      <c r="R2532" s="65">
        <v>0</v>
      </c>
      <c r="S2532" s="65">
        <v>95.797752732000021</v>
      </c>
      <c r="T2532" s="65">
        <v>136.02142813400133</v>
      </c>
      <c r="U2532" s="58">
        <v>0</v>
      </c>
      <c r="V2532" s="65">
        <v>0</v>
      </c>
      <c r="W2532" s="65">
        <v>0</v>
      </c>
      <c r="X2532" s="65">
        <v>10507</v>
      </c>
      <c r="Y2532" s="65">
        <v>0</v>
      </c>
      <c r="Z2532" s="51">
        <v>0</v>
      </c>
      <c r="AA2532" s="51">
        <v>0</v>
      </c>
      <c r="AB2532" s="102">
        <v>0</v>
      </c>
      <c r="AC2532" s="81">
        <f t="shared" si="120"/>
        <v>230.64419832985382</v>
      </c>
      <c r="AD2532" s="82">
        <f t="shared" si="121"/>
        <v>47.9</v>
      </c>
      <c r="AE2532" s="218">
        <v>-1.2829123949804655E-2</v>
      </c>
      <c r="AF2532">
        <v>3</v>
      </c>
      <c r="AH2532" t="str">
        <f t="shared" si="122"/>
        <v>MAHADAT PUR 2</v>
      </c>
      <c r="AJ2532" s="72">
        <v>0</v>
      </c>
      <c r="AK2532" s="72"/>
      <c r="AL2532" s="72"/>
      <c r="AM2532" s="72"/>
    </row>
    <row r="2533" spans="1:39" x14ac:dyDescent="0.25">
      <c r="A2533" s="37" t="s">
        <v>62</v>
      </c>
      <c r="B2533" s="66" t="s">
        <v>1629</v>
      </c>
      <c r="C2533" s="41">
        <v>1036</v>
      </c>
      <c r="D2533" s="41" t="s">
        <v>411</v>
      </c>
      <c r="E2533" s="41">
        <v>10480002</v>
      </c>
      <c r="F2533" s="85" t="s">
        <v>419</v>
      </c>
      <c r="G2533" s="39" t="s">
        <v>635</v>
      </c>
      <c r="H2533" s="52" t="s">
        <v>99</v>
      </c>
      <c r="I2533" s="52">
        <v>197.89999999999998</v>
      </c>
      <c r="J2533" s="49">
        <v>6473.8799999999992</v>
      </c>
      <c r="K2533" s="58">
        <v>197.89999999999998</v>
      </c>
      <c r="L2533" s="58">
        <v>6497.4990466980007</v>
      </c>
      <c r="M2533" s="58">
        <v>0</v>
      </c>
      <c r="N2533" s="58">
        <v>0</v>
      </c>
      <c r="O2533" s="58">
        <v>197.89999999999998</v>
      </c>
      <c r="P2533" s="53">
        <v>6497.4990466980007</v>
      </c>
      <c r="Q2533" s="65">
        <v>6473.8799999999992</v>
      </c>
      <c r="R2533" s="65">
        <v>0</v>
      </c>
      <c r="S2533" s="65">
        <v>0</v>
      </c>
      <c r="T2533" s="65">
        <v>23.619046698001512</v>
      </c>
      <c r="U2533" s="58">
        <v>0</v>
      </c>
      <c r="V2533" s="65">
        <v>0</v>
      </c>
      <c r="W2533" s="65">
        <v>0</v>
      </c>
      <c r="X2533" s="65">
        <v>0</v>
      </c>
      <c r="Y2533" s="65">
        <v>0</v>
      </c>
      <c r="Z2533" s="51">
        <v>6473.8799999999992</v>
      </c>
      <c r="AA2533" s="51">
        <v>0</v>
      </c>
      <c r="AB2533" s="102">
        <v>0</v>
      </c>
      <c r="AC2533" s="81">
        <f t="shared" si="120"/>
        <v>328.50279413845374</v>
      </c>
      <c r="AD2533" s="82">
        <f t="shared" si="121"/>
        <v>28.271428571428569</v>
      </c>
      <c r="AE2533" s="218">
        <v>0</v>
      </c>
      <c r="AF2533">
        <v>1</v>
      </c>
      <c r="AH2533" t="str">
        <f t="shared" si="122"/>
        <v>MAHADAT PUR 2</v>
      </c>
      <c r="AJ2533" s="72">
        <v>0</v>
      </c>
      <c r="AK2533" s="72"/>
      <c r="AL2533" s="72"/>
      <c r="AM2533" s="72"/>
    </row>
    <row r="2534" spans="1:39" x14ac:dyDescent="0.25">
      <c r="A2534" s="37" t="s">
        <v>62</v>
      </c>
      <c r="B2534" s="66" t="s">
        <v>1629</v>
      </c>
      <c r="C2534" s="41">
        <v>1007</v>
      </c>
      <c r="D2534" s="41" t="s">
        <v>207</v>
      </c>
      <c r="E2534" s="41">
        <v>10480003</v>
      </c>
      <c r="F2534" s="85" t="s">
        <v>630</v>
      </c>
      <c r="G2534" s="39" t="s">
        <v>635</v>
      </c>
      <c r="H2534" s="52" t="s">
        <v>99</v>
      </c>
      <c r="I2534" s="52">
        <v>624</v>
      </c>
      <c r="J2534" s="49">
        <v>20348.64</v>
      </c>
      <c r="K2534" s="58">
        <v>0</v>
      </c>
      <c r="L2534" s="58">
        <v>0</v>
      </c>
      <c r="M2534" s="58">
        <v>0</v>
      </c>
      <c r="N2534" s="58">
        <v>0</v>
      </c>
      <c r="O2534" s="58">
        <v>0</v>
      </c>
      <c r="P2534" s="53">
        <v>0</v>
      </c>
      <c r="Q2534" s="65">
        <v>20348.64</v>
      </c>
      <c r="R2534" s="65">
        <v>0</v>
      </c>
      <c r="S2534" s="65">
        <v>0</v>
      </c>
      <c r="T2534" s="65">
        <v>0</v>
      </c>
      <c r="U2534" s="58">
        <v>0</v>
      </c>
      <c r="V2534" s="65">
        <v>0</v>
      </c>
      <c r="W2534" s="65">
        <v>0</v>
      </c>
      <c r="X2534" s="65">
        <v>0</v>
      </c>
      <c r="Y2534" s="65">
        <v>0</v>
      </c>
      <c r="Z2534" s="51">
        <v>20348.64</v>
      </c>
      <c r="AA2534" s="51">
        <v>0</v>
      </c>
      <c r="AB2534" s="102">
        <v>0</v>
      </c>
      <c r="AC2534" s="81">
        <f t="shared" si="120"/>
        <v>49.567200000000021</v>
      </c>
      <c r="AD2534" s="82">
        <f t="shared" si="121"/>
        <v>89.142857142857139</v>
      </c>
      <c r="AE2534" s="218">
        <v>0</v>
      </c>
      <c r="AF2534">
        <v>0</v>
      </c>
      <c r="AH2534" t="str">
        <f t="shared" si="122"/>
        <v>Araria</v>
      </c>
      <c r="AJ2534" s="72">
        <v>0</v>
      </c>
      <c r="AK2534" s="72"/>
      <c r="AL2534" s="72"/>
      <c r="AM2534" s="72"/>
    </row>
    <row r="2535" spans="1:39" x14ac:dyDescent="0.25">
      <c r="A2535" s="37" t="s">
        <v>62</v>
      </c>
      <c r="B2535" s="66" t="s">
        <v>1629</v>
      </c>
      <c r="C2535" s="41">
        <v>1036</v>
      </c>
      <c r="D2535" s="41" t="s">
        <v>411</v>
      </c>
      <c r="E2535" s="41">
        <v>10480005</v>
      </c>
      <c r="F2535" s="85" t="s">
        <v>631</v>
      </c>
      <c r="G2535" s="39" t="s">
        <v>93</v>
      </c>
      <c r="H2535" s="52" t="s">
        <v>94</v>
      </c>
      <c r="I2535" s="52">
        <v>328.9</v>
      </c>
      <c r="J2535" s="49">
        <v>12039.84</v>
      </c>
      <c r="K2535" s="58">
        <v>377.20000000000005</v>
      </c>
      <c r="L2535" s="58">
        <v>14243.8627478587</v>
      </c>
      <c r="M2535" s="58">
        <v>1.4000000000000001</v>
      </c>
      <c r="N2535" s="58">
        <v>53.926878023040018</v>
      </c>
      <c r="O2535" s="58">
        <v>378.6</v>
      </c>
      <c r="P2535" s="53">
        <v>14297.78962588174</v>
      </c>
      <c r="Q2535" s="65">
        <v>12039.84</v>
      </c>
      <c r="R2535" s="65">
        <v>0</v>
      </c>
      <c r="S2535" s="65">
        <v>53.926878023040018</v>
      </c>
      <c r="T2535" s="65">
        <v>2257.9496258817398</v>
      </c>
      <c r="U2535" s="58">
        <v>0</v>
      </c>
      <c r="V2535" s="65">
        <v>0</v>
      </c>
      <c r="W2535" s="65">
        <v>0</v>
      </c>
      <c r="X2535" s="65">
        <v>11986</v>
      </c>
      <c r="Y2535" s="65">
        <v>0</v>
      </c>
      <c r="Z2535" s="51">
        <v>0</v>
      </c>
      <c r="AA2535" s="51">
        <v>0</v>
      </c>
      <c r="AB2535" s="102" t="s">
        <v>1427</v>
      </c>
      <c r="AC2535" s="81">
        <f t="shared" si="120"/>
        <v>271.6925888719976</v>
      </c>
      <c r="AD2535" s="82">
        <f t="shared" si="121"/>
        <v>46.98571428571428</v>
      </c>
      <c r="AE2535" s="218">
        <v>-0.18753983656607895</v>
      </c>
      <c r="AF2535">
        <v>4</v>
      </c>
      <c r="AH2535" t="str">
        <f t="shared" si="122"/>
        <v>MAHADAT PUR 2</v>
      </c>
      <c r="AJ2535" s="72">
        <v>0</v>
      </c>
      <c r="AK2535" s="72"/>
      <c r="AL2535" s="72"/>
      <c r="AM2535" s="72"/>
    </row>
    <row r="2536" spans="1:39" x14ac:dyDescent="0.25">
      <c r="A2536" s="37" t="s">
        <v>62</v>
      </c>
      <c r="B2536" s="66" t="s">
        <v>1629</v>
      </c>
      <c r="C2536" s="41">
        <v>1036</v>
      </c>
      <c r="D2536" s="41" t="s">
        <v>411</v>
      </c>
      <c r="E2536" s="41">
        <v>10480008</v>
      </c>
      <c r="F2536" s="85" t="s">
        <v>632</v>
      </c>
      <c r="G2536" s="39" t="s">
        <v>93</v>
      </c>
      <c r="H2536" s="52" t="s">
        <v>94</v>
      </c>
      <c r="I2536" s="52">
        <v>341.80000000000007</v>
      </c>
      <c r="J2536" s="49">
        <v>12459.04</v>
      </c>
      <c r="K2536" s="58">
        <v>217.45000000000002</v>
      </c>
      <c r="L2536" s="58">
        <v>8426.6901601488007</v>
      </c>
      <c r="M2536" s="58">
        <v>129.24</v>
      </c>
      <c r="N2536" s="58">
        <v>4965.7132242431999</v>
      </c>
      <c r="O2536" s="58">
        <v>346.69000000000005</v>
      </c>
      <c r="P2536" s="53">
        <v>13392.403384392001</v>
      </c>
      <c r="Q2536" s="65">
        <v>12459.04</v>
      </c>
      <c r="R2536" s="65">
        <v>0</v>
      </c>
      <c r="S2536" s="65">
        <v>113.19707242800003</v>
      </c>
      <c r="T2536" s="65">
        <v>933.36338439199972</v>
      </c>
      <c r="U2536" s="58">
        <v>0</v>
      </c>
      <c r="V2536" s="65">
        <v>0</v>
      </c>
      <c r="W2536" s="65">
        <v>0</v>
      </c>
      <c r="X2536" s="65">
        <v>7493</v>
      </c>
      <c r="Y2536" s="65">
        <v>4853</v>
      </c>
      <c r="Z2536" s="51">
        <v>0</v>
      </c>
      <c r="AA2536" s="51">
        <v>0</v>
      </c>
      <c r="AB2536" s="102">
        <v>0</v>
      </c>
      <c r="AC2536" s="81">
        <f t="shared" si="120"/>
        <v>261.13681263897007</v>
      </c>
      <c r="AD2536" s="82">
        <f t="shared" si="121"/>
        <v>48.828571428571436</v>
      </c>
      <c r="AE2536" s="218">
        <v>-7.4914550751261702E-2</v>
      </c>
      <c r="AF2536">
        <v>10</v>
      </c>
      <c r="AH2536" t="str">
        <f t="shared" si="122"/>
        <v>MAHADAT PUR 2</v>
      </c>
      <c r="AJ2536" s="72">
        <v>0</v>
      </c>
      <c r="AK2536" s="72"/>
      <c r="AL2536" s="72"/>
      <c r="AM2536" s="72"/>
    </row>
    <row r="2537" spans="1:39" x14ac:dyDescent="0.25">
      <c r="A2537" s="37" t="s">
        <v>62</v>
      </c>
      <c r="B2537" s="66" t="s">
        <v>1629</v>
      </c>
      <c r="C2537" s="41">
        <v>1036</v>
      </c>
      <c r="D2537" s="41" t="s">
        <v>411</v>
      </c>
      <c r="E2537" s="41">
        <v>10480012</v>
      </c>
      <c r="F2537" s="85" t="s">
        <v>73</v>
      </c>
      <c r="G2537" s="39" t="s">
        <v>93</v>
      </c>
      <c r="H2537" s="52" t="s">
        <v>94</v>
      </c>
      <c r="I2537" s="52">
        <v>482.7999999999999</v>
      </c>
      <c r="J2537" s="49">
        <v>16994.29</v>
      </c>
      <c r="K2537" s="58">
        <v>477.59999999999991</v>
      </c>
      <c r="L2537" s="58">
        <v>18344.282184846998</v>
      </c>
      <c r="M2537" s="58">
        <v>0</v>
      </c>
      <c r="N2537" s="58">
        <v>0</v>
      </c>
      <c r="O2537" s="58">
        <v>477.59999999999991</v>
      </c>
      <c r="P2537" s="53">
        <v>18344.282184846998</v>
      </c>
      <c r="Q2537" s="65">
        <v>16994.29</v>
      </c>
      <c r="R2537" s="65">
        <v>0</v>
      </c>
      <c r="S2537" s="65">
        <v>0</v>
      </c>
      <c r="T2537" s="65">
        <v>1349.9921848469967</v>
      </c>
      <c r="U2537" s="58">
        <v>0</v>
      </c>
      <c r="V2537" s="65">
        <v>0</v>
      </c>
      <c r="W2537" s="65">
        <v>0</v>
      </c>
      <c r="X2537" s="65">
        <v>16994</v>
      </c>
      <c r="Y2537" s="65">
        <v>0</v>
      </c>
      <c r="Z2537" s="51">
        <v>0</v>
      </c>
      <c r="AA2537" s="51">
        <v>0</v>
      </c>
      <c r="AB2537" s="102">
        <v>0</v>
      </c>
      <c r="AC2537" s="81">
        <f t="shared" si="120"/>
        <v>152.90637067108543</v>
      </c>
      <c r="AD2537" s="82">
        <f t="shared" si="121"/>
        <v>68.971428571428561</v>
      </c>
      <c r="AE2537" s="218">
        <v>-7.9437986808922098E-2</v>
      </c>
      <c r="AF2537">
        <v>7</v>
      </c>
      <c r="AH2537" t="str">
        <f t="shared" si="122"/>
        <v>MAHADAT PUR 2</v>
      </c>
      <c r="AJ2537" s="72">
        <v>0</v>
      </c>
      <c r="AK2537" s="72"/>
      <c r="AL2537" s="72"/>
      <c r="AM2537" s="72"/>
    </row>
    <row r="2538" spans="1:39" x14ac:dyDescent="0.25">
      <c r="A2538" s="37" t="s">
        <v>62</v>
      </c>
      <c r="B2538" s="66" t="s">
        <v>1629</v>
      </c>
      <c r="C2538" s="41">
        <v>1036</v>
      </c>
      <c r="D2538" s="41" t="s">
        <v>411</v>
      </c>
      <c r="E2538" s="41">
        <v>10480016</v>
      </c>
      <c r="F2538" s="85" t="s">
        <v>429</v>
      </c>
      <c r="G2538" s="39" t="s">
        <v>93</v>
      </c>
      <c r="H2538" s="52" t="s">
        <v>94</v>
      </c>
      <c r="I2538" s="52">
        <v>82.500000000000014</v>
      </c>
      <c r="J2538" s="49">
        <v>2611.86</v>
      </c>
      <c r="K2538" s="58">
        <v>134</v>
      </c>
      <c r="L2538" s="58">
        <v>4541.8868827200004</v>
      </c>
      <c r="M2538" s="58">
        <v>0</v>
      </c>
      <c r="N2538" s="58">
        <v>0</v>
      </c>
      <c r="O2538" s="58">
        <v>134</v>
      </c>
      <c r="P2538" s="53">
        <v>4541.8868827200004</v>
      </c>
      <c r="Q2538" s="65">
        <v>2611.86</v>
      </c>
      <c r="R2538" s="65">
        <v>0</v>
      </c>
      <c r="S2538" s="65">
        <v>0</v>
      </c>
      <c r="T2538" s="65">
        <v>1930.0268827200002</v>
      </c>
      <c r="U2538" s="58">
        <v>0</v>
      </c>
      <c r="V2538" s="65">
        <v>0</v>
      </c>
      <c r="W2538" s="65">
        <v>0</v>
      </c>
      <c r="X2538" s="65">
        <v>2612</v>
      </c>
      <c r="Y2538" s="65">
        <v>0</v>
      </c>
      <c r="Z2538" s="51">
        <v>0</v>
      </c>
      <c r="AA2538" s="51">
        <v>0</v>
      </c>
      <c r="AB2538" s="102">
        <v>0</v>
      </c>
      <c r="AC2538" s="81">
        <f t="shared" si="120"/>
        <v>390.98752727272722</v>
      </c>
      <c r="AD2538" s="82">
        <f t="shared" si="121"/>
        <v>11.785714285714288</v>
      </c>
      <c r="AE2538" s="218">
        <v>-0.73894729530679293</v>
      </c>
      <c r="AF2538">
        <v>1</v>
      </c>
      <c r="AH2538" t="str">
        <f t="shared" si="122"/>
        <v>MAHADAT PUR 2</v>
      </c>
      <c r="AJ2538" s="72">
        <v>0</v>
      </c>
      <c r="AK2538" s="72"/>
      <c r="AL2538" s="72"/>
      <c r="AM2538" s="72"/>
    </row>
    <row r="2539" spans="1:39" x14ac:dyDescent="0.25">
      <c r="A2539" s="37" t="s">
        <v>62</v>
      </c>
      <c r="B2539" s="66" t="s">
        <v>1629</v>
      </c>
      <c r="C2539" s="41">
        <v>1036</v>
      </c>
      <c r="D2539" s="41" t="s">
        <v>411</v>
      </c>
      <c r="E2539" s="41">
        <v>10480022</v>
      </c>
      <c r="F2539" s="85" t="s">
        <v>633</v>
      </c>
      <c r="G2539" s="39" t="s">
        <v>93</v>
      </c>
      <c r="H2539" s="52" t="s">
        <v>94</v>
      </c>
      <c r="I2539" s="52">
        <v>641.70000000000005</v>
      </c>
      <c r="J2539" s="49">
        <v>22662.469999999998</v>
      </c>
      <c r="K2539" s="58">
        <v>356.5</v>
      </c>
      <c r="L2539" s="58">
        <v>14323.982686200003</v>
      </c>
      <c r="M2539" s="58">
        <v>405.3</v>
      </c>
      <c r="N2539" s="58">
        <v>16073.813194560003</v>
      </c>
      <c r="O2539" s="58">
        <v>761.8</v>
      </c>
      <c r="P2539" s="53">
        <v>30397.795880760008</v>
      </c>
      <c r="Q2539" s="65">
        <v>22662.469999999998</v>
      </c>
      <c r="R2539" s="65">
        <v>0</v>
      </c>
      <c r="S2539" s="65">
        <v>934.97283396000012</v>
      </c>
      <c r="T2539" s="65">
        <v>7735.3258807600105</v>
      </c>
      <c r="U2539" s="58">
        <v>0</v>
      </c>
      <c r="V2539" s="65">
        <v>0</v>
      </c>
      <c r="W2539" s="65">
        <v>0</v>
      </c>
      <c r="X2539" s="65">
        <v>6588</v>
      </c>
      <c r="Y2539" s="65">
        <v>15139</v>
      </c>
      <c r="Z2539" s="51">
        <v>0</v>
      </c>
      <c r="AA2539" s="51">
        <v>0</v>
      </c>
      <c r="AB2539" s="102">
        <v>0</v>
      </c>
      <c r="AC2539" s="81">
        <f t="shared" si="120"/>
        <v>41.178806326944013</v>
      </c>
      <c r="AD2539" s="82">
        <f t="shared" si="121"/>
        <v>91.671428571428578</v>
      </c>
      <c r="AE2539" s="218">
        <v>-0.34132757288856913</v>
      </c>
      <c r="AF2539">
        <v>3</v>
      </c>
      <c r="AH2539" t="str">
        <f t="shared" si="122"/>
        <v>MAHADAT PUR 2</v>
      </c>
      <c r="AJ2539" s="72">
        <v>0</v>
      </c>
      <c r="AK2539" s="72"/>
      <c r="AL2539" s="72"/>
      <c r="AM2539" s="72"/>
    </row>
    <row r="2540" spans="1:39" x14ac:dyDescent="0.25">
      <c r="A2540" s="37" t="s">
        <v>62</v>
      </c>
      <c r="B2540" s="66" t="s">
        <v>1629</v>
      </c>
      <c r="C2540" s="41">
        <v>1036</v>
      </c>
      <c r="D2540" s="41" t="s">
        <v>411</v>
      </c>
      <c r="E2540" s="41">
        <v>10480023</v>
      </c>
      <c r="F2540" s="85" t="s">
        <v>634</v>
      </c>
      <c r="G2540" s="39" t="s">
        <v>93</v>
      </c>
      <c r="H2540" s="52" t="s">
        <v>94</v>
      </c>
      <c r="I2540" s="52">
        <v>1266.4999999999998</v>
      </c>
      <c r="J2540" s="49">
        <v>47606.03</v>
      </c>
      <c r="K2540" s="58">
        <v>1224</v>
      </c>
      <c r="L2540" s="58">
        <v>46850.883987600013</v>
      </c>
      <c r="M2540" s="58">
        <v>34.699999999999996</v>
      </c>
      <c r="N2540" s="58">
        <v>1331.0328517199998</v>
      </c>
      <c r="O2540" s="58">
        <v>1258.7</v>
      </c>
      <c r="P2540" s="53">
        <v>48181.916839320016</v>
      </c>
      <c r="Q2540" s="65">
        <v>47606.03</v>
      </c>
      <c r="R2540" s="65">
        <v>0</v>
      </c>
      <c r="S2540" s="65">
        <v>1331.0328517199998</v>
      </c>
      <c r="T2540" s="65">
        <v>575.88683932001732</v>
      </c>
      <c r="U2540" s="58">
        <v>0</v>
      </c>
      <c r="V2540" s="65">
        <v>0</v>
      </c>
      <c r="W2540" s="65">
        <v>0</v>
      </c>
      <c r="X2540" s="65">
        <v>46275</v>
      </c>
      <c r="Y2540" s="65">
        <v>0</v>
      </c>
      <c r="Z2540" s="51">
        <v>0</v>
      </c>
      <c r="AA2540" s="51">
        <v>0</v>
      </c>
      <c r="AB2540" s="102">
        <v>0</v>
      </c>
      <c r="AC2540" s="81">
        <f t="shared" si="120"/>
        <v>0</v>
      </c>
      <c r="AD2540" s="82">
        <f t="shared" si="121"/>
        <v>0</v>
      </c>
      <c r="AE2540" s="218">
        <v>-1.2096930563628544E-2</v>
      </c>
      <c r="AF2540">
        <v>5</v>
      </c>
      <c r="AH2540" t="str">
        <f t="shared" si="122"/>
        <v>MAHADAT PUR 2</v>
      </c>
      <c r="AJ2540" s="72">
        <v>0</v>
      </c>
      <c r="AK2540" s="72"/>
      <c r="AL2540" s="72"/>
      <c r="AM2540" s="72"/>
    </row>
    <row r="2541" spans="1:39" x14ac:dyDescent="0.25">
      <c r="A2541" s="37" t="s">
        <v>62</v>
      </c>
      <c r="B2541" s="66" t="s">
        <v>1629</v>
      </c>
      <c r="C2541" s="41">
        <v>1036</v>
      </c>
      <c r="D2541" s="41" t="s">
        <v>411</v>
      </c>
      <c r="E2541" s="41">
        <v>10480028</v>
      </c>
      <c r="F2541" s="85" t="s">
        <v>541</v>
      </c>
      <c r="G2541" s="39" t="s">
        <v>635</v>
      </c>
      <c r="H2541" s="52" t="s">
        <v>99</v>
      </c>
      <c r="I2541" s="52">
        <v>862.9</v>
      </c>
      <c r="J2541" s="49">
        <v>29723.11</v>
      </c>
      <c r="K2541" s="58">
        <v>0</v>
      </c>
      <c r="L2541" s="58">
        <v>0</v>
      </c>
      <c r="M2541" s="58">
        <v>0</v>
      </c>
      <c r="N2541" s="58">
        <v>0</v>
      </c>
      <c r="O2541" s="58">
        <v>0</v>
      </c>
      <c r="P2541" s="53">
        <v>0</v>
      </c>
      <c r="Q2541" s="65">
        <v>29723.11</v>
      </c>
      <c r="R2541" s="65">
        <v>0</v>
      </c>
      <c r="S2541" s="65">
        <v>0</v>
      </c>
      <c r="T2541" s="65">
        <v>0</v>
      </c>
      <c r="U2541" s="58">
        <v>0</v>
      </c>
      <c r="V2541" s="65">
        <v>0</v>
      </c>
      <c r="W2541" s="65">
        <v>0</v>
      </c>
      <c r="X2541" s="65">
        <v>0</v>
      </c>
      <c r="Y2541" s="65">
        <v>0</v>
      </c>
      <c r="Z2541" s="51">
        <v>29723.11</v>
      </c>
      <c r="AA2541" s="51">
        <v>0</v>
      </c>
      <c r="AB2541" s="102">
        <v>0</v>
      </c>
      <c r="AC2541" s="81">
        <f t="shared" si="120"/>
        <v>0</v>
      </c>
      <c r="AD2541" s="82">
        <f t="shared" si="121"/>
        <v>0</v>
      </c>
      <c r="AE2541" s="218">
        <v>0</v>
      </c>
      <c r="AF2541">
        <v>0</v>
      </c>
      <c r="AH2541" t="str">
        <f t="shared" si="122"/>
        <v>MAHADAT PUR 2</v>
      </c>
      <c r="AJ2541" s="72">
        <v>0</v>
      </c>
      <c r="AK2541" s="72"/>
      <c r="AL2541" s="72"/>
      <c r="AM2541" s="72"/>
    </row>
    <row r="2542" spans="1:39" x14ac:dyDescent="0.25">
      <c r="A2542" s="37" t="s">
        <v>62</v>
      </c>
      <c r="B2542" s="66" t="s">
        <v>1629</v>
      </c>
      <c r="C2542" s="41">
        <v>1036</v>
      </c>
      <c r="D2542" s="41" t="s">
        <v>411</v>
      </c>
      <c r="E2542" s="41">
        <v>10480033</v>
      </c>
      <c r="F2542" s="85" t="s">
        <v>1253</v>
      </c>
      <c r="G2542" s="39" t="s">
        <v>635</v>
      </c>
      <c r="H2542" s="52" t="s">
        <v>99</v>
      </c>
      <c r="I2542" s="52">
        <v>282.10000000000002</v>
      </c>
      <c r="J2542" s="49">
        <v>9184.4100000000017</v>
      </c>
      <c r="K2542" s="58">
        <v>0</v>
      </c>
      <c r="L2542" s="58">
        <v>0</v>
      </c>
      <c r="M2542" s="58">
        <v>0</v>
      </c>
      <c r="N2542" s="58">
        <v>0</v>
      </c>
      <c r="O2542" s="58">
        <v>0</v>
      </c>
      <c r="P2542" s="53">
        <v>0</v>
      </c>
      <c r="Q2542" s="65">
        <v>9184.4100000000017</v>
      </c>
      <c r="R2542" s="65">
        <v>0</v>
      </c>
      <c r="S2542" s="65">
        <v>0</v>
      </c>
      <c r="T2542" s="65">
        <v>0</v>
      </c>
      <c r="U2542" s="58">
        <v>0</v>
      </c>
      <c r="V2542" s="65">
        <v>0</v>
      </c>
      <c r="W2542" s="65">
        <v>0</v>
      </c>
      <c r="X2542" s="65">
        <v>0</v>
      </c>
      <c r="Y2542" s="65">
        <v>0</v>
      </c>
      <c r="Z2542" s="51">
        <v>9184.4100000000017</v>
      </c>
      <c r="AA2542" s="51">
        <v>0</v>
      </c>
      <c r="AB2542" s="102">
        <v>0</v>
      </c>
      <c r="AC2542" s="81">
        <f t="shared" si="120"/>
        <v>272.11378511166254</v>
      </c>
      <c r="AD2542" s="82">
        <f t="shared" si="121"/>
        <v>40.300000000000004</v>
      </c>
      <c r="AE2542" s="218">
        <v>0</v>
      </c>
      <c r="AF2542">
        <v>0</v>
      </c>
      <c r="AH2542" t="str">
        <f t="shared" si="122"/>
        <v>MAHADAT PUR 2</v>
      </c>
      <c r="AJ2542" s="72">
        <v>0</v>
      </c>
      <c r="AK2542" s="72"/>
      <c r="AL2542" s="72"/>
      <c r="AM2542" s="72"/>
    </row>
    <row r="2543" spans="1:39" x14ac:dyDescent="0.25">
      <c r="A2543" s="37" t="s">
        <v>62</v>
      </c>
      <c r="B2543" s="66" t="s">
        <v>1629</v>
      </c>
      <c r="C2543" s="41">
        <v>1036</v>
      </c>
      <c r="D2543" s="41" t="s">
        <v>411</v>
      </c>
      <c r="E2543" s="41">
        <v>10480034</v>
      </c>
      <c r="F2543" s="85" t="s">
        <v>1159</v>
      </c>
      <c r="G2543" s="39" t="s">
        <v>635</v>
      </c>
      <c r="H2543" s="52" t="s">
        <v>99</v>
      </c>
      <c r="I2543" s="52">
        <v>306.10000000000002</v>
      </c>
      <c r="J2543" s="49">
        <v>10664.48</v>
      </c>
      <c r="K2543" s="58">
        <v>0</v>
      </c>
      <c r="L2543" s="58">
        <v>0</v>
      </c>
      <c r="M2543" s="58">
        <v>0</v>
      </c>
      <c r="N2543" s="58">
        <v>0</v>
      </c>
      <c r="O2543" s="58">
        <v>0</v>
      </c>
      <c r="P2543" s="53">
        <v>0</v>
      </c>
      <c r="Q2543" s="65">
        <v>10664.48</v>
      </c>
      <c r="R2543" s="65">
        <v>0</v>
      </c>
      <c r="S2543" s="65">
        <v>0</v>
      </c>
      <c r="T2543" s="65">
        <v>0</v>
      </c>
      <c r="U2543" s="58">
        <v>0</v>
      </c>
      <c r="V2543" s="65">
        <v>0</v>
      </c>
      <c r="W2543" s="65">
        <v>0</v>
      </c>
      <c r="X2543" s="65">
        <v>0</v>
      </c>
      <c r="Y2543" s="65">
        <v>0</v>
      </c>
      <c r="Z2543" s="51">
        <v>10664.48</v>
      </c>
      <c r="AA2543" s="51">
        <v>0</v>
      </c>
      <c r="AB2543" s="102">
        <v>0</v>
      </c>
      <c r="AC2543" s="81">
        <f t="shared" si="120"/>
        <v>274.46838758575626</v>
      </c>
      <c r="AD2543" s="82">
        <f t="shared" si="121"/>
        <v>43.728571428571435</v>
      </c>
      <c r="AE2543" s="218">
        <v>0</v>
      </c>
      <c r="AF2543">
        <v>0</v>
      </c>
      <c r="AH2543" t="str">
        <f t="shared" si="122"/>
        <v>MAHADAT PUR 2</v>
      </c>
      <c r="AJ2543" s="72">
        <v>0</v>
      </c>
      <c r="AK2543" s="72"/>
      <c r="AL2543" s="72"/>
      <c r="AM2543" s="72"/>
    </row>
    <row r="2544" spans="1:39" x14ac:dyDescent="0.25">
      <c r="A2544" s="37" t="s">
        <v>62</v>
      </c>
      <c r="B2544" s="66" t="s">
        <v>1629</v>
      </c>
      <c r="C2544" s="41">
        <v>1036</v>
      </c>
      <c r="D2544" s="41" t="s">
        <v>411</v>
      </c>
      <c r="E2544" s="41">
        <v>10480036</v>
      </c>
      <c r="F2544" s="85" t="s">
        <v>1329</v>
      </c>
      <c r="G2544" s="39" t="s">
        <v>635</v>
      </c>
      <c r="H2544" s="52" t="s">
        <v>99</v>
      </c>
      <c r="I2544" s="52">
        <v>176.30000000000004</v>
      </c>
      <c r="J2544" s="49">
        <v>5994.5999999999995</v>
      </c>
      <c r="K2544" s="58">
        <v>0</v>
      </c>
      <c r="L2544" s="58">
        <v>0</v>
      </c>
      <c r="M2544" s="58">
        <v>0</v>
      </c>
      <c r="N2544" s="58">
        <v>0</v>
      </c>
      <c r="O2544" s="58">
        <v>0</v>
      </c>
      <c r="P2544" s="53">
        <v>0</v>
      </c>
      <c r="Q2544" s="65">
        <v>5994.5999999999995</v>
      </c>
      <c r="R2544" s="65">
        <v>0</v>
      </c>
      <c r="S2544" s="65">
        <v>0</v>
      </c>
      <c r="T2544" s="65">
        <v>0</v>
      </c>
      <c r="U2544" s="58">
        <v>0</v>
      </c>
      <c r="V2544" s="65">
        <v>0</v>
      </c>
      <c r="W2544" s="65">
        <v>0</v>
      </c>
      <c r="X2544" s="65">
        <v>0</v>
      </c>
      <c r="Y2544" s="65">
        <v>0</v>
      </c>
      <c r="Z2544" s="51">
        <v>5994.5999999999995</v>
      </c>
      <c r="AA2544" s="51">
        <v>0</v>
      </c>
      <c r="AB2544" s="102">
        <v>0</v>
      </c>
      <c r="AC2544" s="81">
        <f t="shared" si="120"/>
        <v>356.13976403857049</v>
      </c>
      <c r="AD2544" s="82">
        <f t="shared" si="121"/>
        <v>25.18571428571429</v>
      </c>
      <c r="AE2544" s="218">
        <v>0</v>
      </c>
      <c r="AF2544">
        <v>0</v>
      </c>
      <c r="AH2544" t="str">
        <f t="shared" si="122"/>
        <v>MAHADAT PUR 2</v>
      </c>
      <c r="AJ2544" s="72">
        <v>0</v>
      </c>
      <c r="AK2544" s="72"/>
      <c r="AL2544" s="72"/>
      <c r="AM2544" s="72"/>
    </row>
    <row r="2545" spans="1:39" x14ac:dyDescent="0.25">
      <c r="A2545" s="37" t="s">
        <v>62</v>
      </c>
      <c r="B2545" s="66" t="s">
        <v>1629</v>
      </c>
      <c r="C2545" s="41">
        <v>1003</v>
      </c>
      <c r="D2545" s="41" t="s">
        <v>139</v>
      </c>
      <c r="E2545" s="41">
        <v>10500001</v>
      </c>
      <c r="F2545" s="85" t="s">
        <v>420</v>
      </c>
      <c r="G2545" s="39" t="s">
        <v>285</v>
      </c>
      <c r="H2545" s="52" t="s">
        <v>94</v>
      </c>
      <c r="I2545" s="52">
        <v>902</v>
      </c>
      <c r="J2545" s="49">
        <v>29414.22</v>
      </c>
      <c r="K2545" s="58">
        <v>889.80000000000007</v>
      </c>
      <c r="L2545" s="58">
        <v>29328.699767400001</v>
      </c>
      <c r="M2545" s="58">
        <v>11.4</v>
      </c>
      <c r="N2545" s="58">
        <v>374.46963840000006</v>
      </c>
      <c r="O2545" s="58">
        <v>901.2</v>
      </c>
      <c r="P2545" s="53">
        <v>29703.169405800003</v>
      </c>
      <c r="Q2545" s="65">
        <v>29414.22</v>
      </c>
      <c r="R2545" s="65">
        <v>0</v>
      </c>
      <c r="S2545" s="65">
        <v>374.46963840000006</v>
      </c>
      <c r="T2545" s="65">
        <v>288.94940580000184</v>
      </c>
      <c r="U2545" s="58">
        <v>0</v>
      </c>
      <c r="V2545" s="65">
        <v>0</v>
      </c>
      <c r="W2545" s="65">
        <v>0</v>
      </c>
      <c r="X2545" s="65">
        <v>29040</v>
      </c>
      <c r="Y2545" s="65">
        <v>0</v>
      </c>
      <c r="Z2545" s="51">
        <v>0</v>
      </c>
      <c r="AA2545" s="51">
        <v>0</v>
      </c>
      <c r="AB2545" s="102">
        <v>0</v>
      </c>
      <c r="AC2545" s="81">
        <f t="shared" si="120"/>
        <v>0</v>
      </c>
      <c r="AD2545" s="82">
        <f t="shared" si="121"/>
        <v>0</v>
      </c>
      <c r="AE2545" s="218">
        <v>-9.8234597347814021E-3</v>
      </c>
      <c r="AF2545">
        <v>10</v>
      </c>
      <c r="AH2545" t="str">
        <f t="shared" si="122"/>
        <v>Asarganj</v>
      </c>
      <c r="AJ2545" s="72">
        <v>0</v>
      </c>
      <c r="AK2545" s="72"/>
      <c r="AL2545" s="72"/>
      <c r="AM2545" s="72"/>
    </row>
    <row r="2546" spans="1:39" x14ac:dyDescent="0.25">
      <c r="A2546" s="37" t="s">
        <v>62</v>
      </c>
      <c r="B2546" s="66" t="s">
        <v>1629</v>
      </c>
      <c r="C2546" s="41">
        <v>1014</v>
      </c>
      <c r="D2546" s="41" t="s">
        <v>376</v>
      </c>
      <c r="E2546" s="41">
        <v>10510001</v>
      </c>
      <c r="F2546" s="85" t="s">
        <v>421</v>
      </c>
      <c r="G2546" s="39" t="s">
        <v>93</v>
      </c>
      <c r="H2546" s="52" t="s">
        <v>94</v>
      </c>
      <c r="I2546" s="52">
        <v>2007.2999999999995</v>
      </c>
      <c r="J2546" s="49">
        <v>73836.069999999992</v>
      </c>
      <c r="K2546" s="58">
        <v>1986.4</v>
      </c>
      <c r="L2546" s="58">
        <v>74563.633475224822</v>
      </c>
      <c r="M2546" s="58">
        <v>13.399999999999999</v>
      </c>
      <c r="N2546" s="58">
        <v>654.47809882190018</v>
      </c>
      <c r="O2546" s="58">
        <v>1999.8000000000002</v>
      </c>
      <c r="P2546" s="53">
        <v>75218.111574046721</v>
      </c>
      <c r="Q2546" s="65">
        <v>73836.069999999992</v>
      </c>
      <c r="R2546" s="65">
        <v>0</v>
      </c>
      <c r="S2546" s="65">
        <v>654.47809882190018</v>
      </c>
      <c r="T2546" s="65">
        <v>1382.0415740467288</v>
      </c>
      <c r="U2546" s="58">
        <v>0</v>
      </c>
      <c r="V2546" s="65">
        <v>0</v>
      </c>
      <c r="W2546" s="65">
        <v>0</v>
      </c>
      <c r="X2546" s="65">
        <v>73182</v>
      </c>
      <c r="Y2546" s="65">
        <v>0</v>
      </c>
      <c r="Z2546" s="51">
        <v>0</v>
      </c>
      <c r="AA2546" s="51">
        <v>0</v>
      </c>
      <c r="AB2546" s="102">
        <v>0</v>
      </c>
      <c r="AC2546" s="81">
        <f t="shared" si="120"/>
        <v>0</v>
      </c>
      <c r="AD2546" s="82">
        <f t="shared" si="121"/>
        <v>0</v>
      </c>
      <c r="AE2546" s="218">
        <v>-1.8717702256454454E-2</v>
      </c>
      <c r="AF2546">
        <v>41</v>
      </c>
      <c r="AH2546" t="str">
        <f t="shared" si="122"/>
        <v>Dumraon</v>
      </c>
      <c r="AJ2546" s="72">
        <v>0</v>
      </c>
      <c r="AK2546" s="72"/>
      <c r="AL2546" s="72"/>
      <c r="AM2546" s="72"/>
    </row>
    <row r="2547" spans="1:39" x14ac:dyDescent="0.25">
      <c r="A2547" s="37" t="s">
        <v>62</v>
      </c>
      <c r="B2547" s="66" t="s">
        <v>1629</v>
      </c>
      <c r="C2547" s="41">
        <v>1014</v>
      </c>
      <c r="D2547" s="41" t="s">
        <v>376</v>
      </c>
      <c r="E2547" s="41">
        <v>10510002</v>
      </c>
      <c r="F2547" s="85" t="s">
        <v>422</v>
      </c>
      <c r="G2547" s="39" t="s">
        <v>93</v>
      </c>
      <c r="H2547" s="52" t="s">
        <v>94</v>
      </c>
      <c r="I2547" s="52">
        <v>1500</v>
      </c>
      <c r="J2547" s="49">
        <v>60097.2</v>
      </c>
      <c r="K2547" s="58">
        <v>1491.1</v>
      </c>
      <c r="L2547" s="58">
        <v>60279.388285875793</v>
      </c>
      <c r="M2547" s="58">
        <v>6.1400000000000006</v>
      </c>
      <c r="N2547" s="58">
        <v>246.29895694800001</v>
      </c>
      <c r="O2547" s="58">
        <v>1497.24</v>
      </c>
      <c r="P2547" s="53">
        <v>60525.687242823791</v>
      </c>
      <c r="Q2547" s="65">
        <v>60097.2</v>
      </c>
      <c r="R2547" s="65">
        <v>0</v>
      </c>
      <c r="S2547" s="65">
        <v>246.29895694800001</v>
      </c>
      <c r="T2547" s="65">
        <v>428.48724282379408</v>
      </c>
      <c r="U2547" s="58">
        <v>0</v>
      </c>
      <c r="V2547" s="65">
        <v>0</v>
      </c>
      <c r="W2547" s="65">
        <v>0</v>
      </c>
      <c r="X2547" s="65">
        <v>59851</v>
      </c>
      <c r="Y2547" s="65">
        <v>0</v>
      </c>
      <c r="Z2547" s="51">
        <v>0</v>
      </c>
      <c r="AA2547" s="51">
        <v>0</v>
      </c>
      <c r="AB2547" s="102">
        <v>0</v>
      </c>
      <c r="AC2547" s="81">
        <f t="shared" si="120"/>
        <v>0</v>
      </c>
      <c r="AD2547" s="82">
        <f t="shared" si="121"/>
        <v>0</v>
      </c>
      <c r="AE2547" s="218">
        <v>-7.129903603226009E-3</v>
      </c>
      <c r="AF2547">
        <v>9</v>
      </c>
      <c r="AH2547" t="str">
        <f t="shared" si="122"/>
        <v>Dumraon</v>
      </c>
      <c r="AJ2547" s="72">
        <v>0</v>
      </c>
      <c r="AK2547" s="72"/>
      <c r="AL2547" s="72"/>
      <c r="AM2547" s="72"/>
    </row>
    <row r="2548" spans="1:39" x14ac:dyDescent="0.25">
      <c r="A2548" s="37" t="s">
        <v>62</v>
      </c>
      <c r="B2548" s="66" t="s">
        <v>1629</v>
      </c>
      <c r="C2548" s="41">
        <v>1014</v>
      </c>
      <c r="D2548" s="41" t="s">
        <v>376</v>
      </c>
      <c r="E2548" s="41">
        <v>10510004</v>
      </c>
      <c r="F2548" s="85" t="s">
        <v>423</v>
      </c>
      <c r="G2548" s="39" t="s">
        <v>93</v>
      </c>
      <c r="H2548" s="52" t="s">
        <v>94</v>
      </c>
      <c r="I2548" s="52">
        <v>2404.8999999999996</v>
      </c>
      <c r="J2548" s="49">
        <v>89353.41</v>
      </c>
      <c r="K2548" s="58">
        <v>2578.8000000000002</v>
      </c>
      <c r="L2548" s="58">
        <v>107395.44000541247</v>
      </c>
      <c r="M2548" s="58">
        <v>25.300000000000004</v>
      </c>
      <c r="N2548" s="58">
        <v>1375.3047782264803</v>
      </c>
      <c r="O2548" s="58">
        <v>2604.1000000000004</v>
      </c>
      <c r="P2548" s="53">
        <v>108770.74478363895</v>
      </c>
      <c r="Q2548" s="65">
        <v>89353.41</v>
      </c>
      <c r="R2548" s="65">
        <v>0</v>
      </c>
      <c r="S2548" s="65">
        <v>1375.3047782264803</v>
      </c>
      <c r="T2548" s="65">
        <v>19417.334783638944</v>
      </c>
      <c r="U2548" s="58">
        <v>0</v>
      </c>
      <c r="V2548" s="65">
        <v>0</v>
      </c>
      <c r="W2548" s="65">
        <v>0</v>
      </c>
      <c r="X2548" s="65">
        <v>87978</v>
      </c>
      <c r="Y2548" s="65">
        <v>0</v>
      </c>
      <c r="Z2548" s="51">
        <v>0</v>
      </c>
      <c r="AA2548" s="51">
        <v>0</v>
      </c>
      <c r="AB2548" s="102">
        <v>0</v>
      </c>
      <c r="AC2548" s="81">
        <f t="shared" si="120"/>
        <v>0</v>
      </c>
      <c r="AD2548" s="82">
        <f t="shared" si="121"/>
        <v>0</v>
      </c>
      <c r="AE2548" s="218">
        <v>-0.21730938733775179</v>
      </c>
      <c r="AF2548">
        <v>5</v>
      </c>
      <c r="AH2548" t="str">
        <f t="shared" si="122"/>
        <v>Dumraon</v>
      </c>
      <c r="AJ2548" s="72">
        <v>0</v>
      </c>
      <c r="AK2548" s="72"/>
      <c r="AL2548" s="72"/>
      <c r="AM2548" s="72"/>
    </row>
    <row r="2549" spans="1:39" x14ac:dyDescent="0.25">
      <c r="A2549" s="37" t="s">
        <v>62</v>
      </c>
      <c r="B2549" s="66" t="s">
        <v>1629</v>
      </c>
      <c r="C2549" s="41">
        <v>1012</v>
      </c>
      <c r="D2549" s="41" t="s">
        <v>314</v>
      </c>
      <c r="E2549" s="41">
        <v>10520006</v>
      </c>
      <c r="F2549" s="85" t="s">
        <v>1179</v>
      </c>
      <c r="G2549" s="39" t="s">
        <v>635</v>
      </c>
      <c r="H2549" s="52" t="s">
        <v>99</v>
      </c>
      <c r="I2549" s="52">
        <v>25170</v>
      </c>
      <c r="J2549" s="49">
        <v>905184</v>
      </c>
      <c r="K2549" s="58">
        <v>0</v>
      </c>
      <c r="L2549" s="58">
        <v>0</v>
      </c>
      <c r="M2549" s="58">
        <v>0</v>
      </c>
      <c r="N2549" s="58">
        <v>0</v>
      </c>
      <c r="O2549" s="58">
        <v>0</v>
      </c>
      <c r="P2549" s="53">
        <v>0</v>
      </c>
      <c r="Q2549" s="65">
        <v>905184</v>
      </c>
      <c r="R2549" s="65">
        <v>0</v>
      </c>
      <c r="S2549" s="65">
        <v>0</v>
      </c>
      <c r="T2549" s="65">
        <v>0</v>
      </c>
      <c r="U2549" s="58">
        <v>0</v>
      </c>
      <c r="V2549" s="65">
        <v>0</v>
      </c>
      <c r="W2549" s="65">
        <v>0</v>
      </c>
      <c r="X2549" s="65">
        <v>0</v>
      </c>
      <c r="Y2549" s="65">
        <v>0</v>
      </c>
      <c r="Z2549" s="51">
        <v>905184</v>
      </c>
      <c r="AA2549" s="51">
        <v>0</v>
      </c>
      <c r="AB2549" s="102">
        <v>0</v>
      </c>
      <c r="AC2549" s="81">
        <f t="shared" si="120"/>
        <v>0</v>
      </c>
      <c r="AD2549" s="82">
        <f t="shared" si="121"/>
        <v>0</v>
      </c>
      <c r="AE2549" s="218">
        <v>0</v>
      </c>
      <c r="AF2549">
        <v>0</v>
      </c>
      <c r="AH2549" t="str">
        <f t="shared" si="122"/>
        <v>DalsinghSarai</v>
      </c>
      <c r="AJ2549" s="72">
        <v>0</v>
      </c>
      <c r="AK2549" s="72"/>
      <c r="AL2549" s="72"/>
      <c r="AM2549" s="72"/>
    </row>
    <row r="2550" spans="1:39" x14ac:dyDescent="0.25">
      <c r="A2550" s="37" t="s">
        <v>62</v>
      </c>
      <c r="B2550" s="66" t="s">
        <v>1629</v>
      </c>
      <c r="C2550" s="41">
        <v>1012</v>
      </c>
      <c r="D2550" s="41" t="s">
        <v>314</v>
      </c>
      <c r="E2550" s="41">
        <v>10520007</v>
      </c>
      <c r="F2550" s="85" t="s">
        <v>1589</v>
      </c>
      <c r="G2550" s="39" t="s">
        <v>635</v>
      </c>
      <c r="H2550" s="52" t="s">
        <v>99</v>
      </c>
      <c r="I2550" s="52">
        <v>1310</v>
      </c>
      <c r="J2550" s="49">
        <v>47596.92</v>
      </c>
      <c r="K2550" s="58">
        <v>0</v>
      </c>
      <c r="L2550" s="58">
        <v>0</v>
      </c>
      <c r="M2550" s="58">
        <v>0</v>
      </c>
      <c r="N2550" s="58">
        <v>0</v>
      </c>
      <c r="O2550" s="58">
        <v>0</v>
      </c>
      <c r="P2550" s="53">
        <v>0</v>
      </c>
      <c r="Q2550" s="65">
        <v>47596.92</v>
      </c>
      <c r="R2550" s="65">
        <v>0</v>
      </c>
      <c r="S2550" s="65">
        <v>0</v>
      </c>
      <c r="T2550" s="65">
        <v>0</v>
      </c>
      <c r="U2550" s="58">
        <v>0</v>
      </c>
      <c r="V2550" s="65">
        <v>0</v>
      </c>
      <c r="W2550" s="65">
        <v>0</v>
      </c>
      <c r="X2550" s="65">
        <v>0</v>
      </c>
      <c r="Y2550" s="65">
        <v>0</v>
      </c>
      <c r="Z2550" s="51">
        <v>47596.92</v>
      </c>
      <c r="AA2550" s="51">
        <v>0</v>
      </c>
      <c r="AB2550" s="102">
        <v>0</v>
      </c>
      <c r="AC2550" s="81">
        <f t="shared" si="120"/>
        <v>0</v>
      </c>
      <c r="AD2550" s="82">
        <f t="shared" si="121"/>
        <v>0</v>
      </c>
      <c r="AE2550" s="218">
        <v>0</v>
      </c>
      <c r="AF2550">
        <v>0</v>
      </c>
      <c r="AH2550" t="str">
        <f t="shared" si="122"/>
        <v>DalsinghSarai</v>
      </c>
      <c r="AJ2550" s="72">
        <v>0</v>
      </c>
      <c r="AK2550" s="72"/>
      <c r="AL2550" s="72"/>
      <c r="AM2550" s="72"/>
    </row>
    <row r="2551" spans="1:39" x14ac:dyDescent="0.25">
      <c r="A2551" s="37" t="s">
        <v>62</v>
      </c>
      <c r="B2551" s="66" t="s">
        <v>1629</v>
      </c>
      <c r="C2551" s="41">
        <v>1053</v>
      </c>
      <c r="D2551" s="41" t="s">
        <v>542</v>
      </c>
      <c r="E2551" s="41">
        <v>10520010</v>
      </c>
      <c r="F2551" s="85" t="s">
        <v>1330</v>
      </c>
      <c r="G2551" s="39" t="s">
        <v>635</v>
      </c>
      <c r="H2551" s="52" t="s">
        <v>99</v>
      </c>
      <c r="I2551" s="52">
        <v>5224</v>
      </c>
      <c r="J2551" s="49">
        <v>209026.84000000003</v>
      </c>
      <c r="K2551" s="58">
        <v>0</v>
      </c>
      <c r="L2551" s="58">
        <v>0</v>
      </c>
      <c r="M2551" s="58">
        <v>0</v>
      </c>
      <c r="N2551" s="58">
        <v>0</v>
      </c>
      <c r="O2551" s="58">
        <v>0</v>
      </c>
      <c r="P2551" s="53">
        <v>0</v>
      </c>
      <c r="Q2551" s="65">
        <v>209026.84000000003</v>
      </c>
      <c r="R2551" s="65">
        <v>0</v>
      </c>
      <c r="S2551" s="65">
        <v>0</v>
      </c>
      <c r="T2551" s="65">
        <v>0</v>
      </c>
      <c r="U2551" s="58">
        <v>0</v>
      </c>
      <c r="V2551" s="65">
        <v>0</v>
      </c>
      <c r="W2551" s="65">
        <v>0</v>
      </c>
      <c r="X2551" s="65">
        <v>0</v>
      </c>
      <c r="Y2551" s="65">
        <v>0</v>
      </c>
      <c r="Z2551" s="51">
        <v>209026.84000000003</v>
      </c>
      <c r="AA2551" s="51">
        <v>0</v>
      </c>
      <c r="AB2551" s="102">
        <v>0</v>
      </c>
      <c r="AC2551" s="81">
        <f t="shared" si="120"/>
        <v>0</v>
      </c>
      <c r="AD2551" s="82">
        <f t="shared" si="121"/>
        <v>0</v>
      </c>
      <c r="AE2551" s="218">
        <v>0</v>
      </c>
      <c r="AF2551">
        <v>0</v>
      </c>
      <c r="AH2551" t="str">
        <f t="shared" si="122"/>
        <v>Kalyanpur</v>
      </c>
      <c r="AJ2551" s="72">
        <v>0</v>
      </c>
      <c r="AK2551" s="72"/>
      <c r="AL2551" s="72"/>
      <c r="AM2551" s="72"/>
    </row>
    <row r="2552" spans="1:39" x14ac:dyDescent="0.25">
      <c r="A2552" s="37" t="s">
        <v>62</v>
      </c>
      <c r="B2552" s="66" t="s">
        <v>1629</v>
      </c>
      <c r="C2552" s="41">
        <v>1010</v>
      </c>
      <c r="D2552" s="41" t="s">
        <v>1359</v>
      </c>
      <c r="E2552" s="41">
        <v>10520011</v>
      </c>
      <c r="F2552" s="85" t="s">
        <v>1546</v>
      </c>
      <c r="G2552" s="39" t="s">
        <v>635</v>
      </c>
      <c r="H2552" s="52" t="s">
        <v>99</v>
      </c>
      <c r="I2552" s="52">
        <v>15567</v>
      </c>
      <c r="J2552" s="49">
        <v>526260.87</v>
      </c>
      <c r="K2552" s="58">
        <v>0</v>
      </c>
      <c r="L2552" s="58">
        <v>0</v>
      </c>
      <c r="M2552" s="58">
        <v>0</v>
      </c>
      <c r="N2552" s="58">
        <v>0</v>
      </c>
      <c r="O2552" s="58">
        <v>0</v>
      </c>
      <c r="P2552" s="53">
        <v>0</v>
      </c>
      <c r="Q2552" s="65">
        <v>526260.87</v>
      </c>
      <c r="R2552" s="65">
        <v>0</v>
      </c>
      <c r="S2552" s="65">
        <v>0</v>
      </c>
      <c r="T2552" s="65">
        <v>0</v>
      </c>
      <c r="U2552" s="58">
        <v>0</v>
      </c>
      <c r="V2552" s="65">
        <v>0</v>
      </c>
      <c r="W2552" s="65">
        <v>0</v>
      </c>
      <c r="X2552" s="65">
        <v>0</v>
      </c>
      <c r="Y2552" s="65">
        <v>0</v>
      </c>
      <c r="Z2552" s="51">
        <v>526260.87</v>
      </c>
      <c r="AA2552" s="51">
        <v>0</v>
      </c>
      <c r="AB2552" s="102">
        <v>0</v>
      </c>
      <c r="AC2552" s="81">
        <f t="shared" si="120"/>
        <v>0</v>
      </c>
      <c r="AD2552" s="82">
        <f t="shared" si="121"/>
        <v>0</v>
      </c>
      <c r="AE2552" s="218">
        <v>0</v>
      </c>
      <c r="AF2552">
        <v>0</v>
      </c>
      <c r="AH2552" t="str">
        <f t="shared" si="122"/>
        <v>Parbatta</v>
      </c>
      <c r="AJ2552" s="72">
        <v>0</v>
      </c>
      <c r="AK2552" s="72"/>
      <c r="AL2552" s="72"/>
      <c r="AM2552" s="72"/>
    </row>
    <row r="2553" spans="1:39" x14ac:dyDescent="0.25">
      <c r="A2553" s="37" t="s">
        <v>62</v>
      </c>
      <c r="B2553" s="66" t="s">
        <v>1629</v>
      </c>
      <c r="C2553" s="41">
        <v>1053</v>
      </c>
      <c r="D2553" s="41" t="s">
        <v>542</v>
      </c>
      <c r="E2553" s="41">
        <v>10530001</v>
      </c>
      <c r="F2553" s="85" t="s">
        <v>543</v>
      </c>
      <c r="G2553" s="39" t="s">
        <v>93</v>
      </c>
      <c r="H2553" s="52" t="s">
        <v>94</v>
      </c>
      <c r="I2553" s="52">
        <v>1292.7</v>
      </c>
      <c r="J2553" s="49">
        <v>53442.740000000005</v>
      </c>
      <c r="K2553" s="58">
        <v>1277.6500000000001</v>
      </c>
      <c r="L2553" s="58">
        <v>53089.633799014227</v>
      </c>
      <c r="M2553" s="58">
        <v>12.36</v>
      </c>
      <c r="N2553" s="58">
        <v>514.32258121200016</v>
      </c>
      <c r="O2553" s="58">
        <v>1290.01</v>
      </c>
      <c r="P2553" s="53">
        <v>53603.956380226227</v>
      </c>
      <c r="Q2553" s="65">
        <v>53442.740000000005</v>
      </c>
      <c r="R2553" s="65">
        <v>0</v>
      </c>
      <c r="S2553" s="65">
        <v>514.32258121200016</v>
      </c>
      <c r="T2553" s="65">
        <v>161.2163802262221</v>
      </c>
      <c r="U2553" s="58">
        <v>0</v>
      </c>
      <c r="V2553" s="65">
        <v>0</v>
      </c>
      <c r="W2553" s="65">
        <v>0</v>
      </c>
      <c r="X2553" s="65">
        <v>52928</v>
      </c>
      <c r="Y2553" s="65">
        <v>0</v>
      </c>
      <c r="Z2553" s="51">
        <v>0</v>
      </c>
      <c r="AA2553" s="51">
        <v>0</v>
      </c>
      <c r="AB2553" s="102">
        <v>0</v>
      </c>
      <c r="AC2553" s="81">
        <f t="shared" si="120"/>
        <v>0</v>
      </c>
      <c r="AD2553" s="82">
        <f t="shared" si="121"/>
        <v>0</v>
      </c>
      <c r="AE2553" s="218">
        <v>-3.0166189126197888E-3</v>
      </c>
      <c r="AF2553">
        <v>27</v>
      </c>
      <c r="AH2553" t="str">
        <f t="shared" si="122"/>
        <v>Kalyanpur</v>
      </c>
      <c r="AJ2553" s="72">
        <v>0</v>
      </c>
      <c r="AK2553" s="72"/>
      <c r="AL2553" s="72"/>
      <c r="AM2553" s="72"/>
    </row>
    <row r="2554" spans="1:39" x14ac:dyDescent="0.25">
      <c r="A2554" s="37" t="s">
        <v>62</v>
      </c>
      <c r="B2554" s="66" t="s">
        <v>1629</v>
      </c>
      <c r="C2554" s="41">
        <v>1053</v>
      </c>
      <c r="D2554" s="41" t="s">
        <v>542</v>
      </c>
      <c r="E2554" s="41">
        <v>10530002</v>
      </c>
      <c r="F2554" s="85" t="s">
        <v>544</v>
      </c>
      <c r="G2554" s="39" t="s">
        <v>93</v>
      </c>
      <c r="H2554" s="52" t="s">
        <v>94</v>
      </c>
      <c r="I2554" s="52">
        <v>1469.9000000000003</v>
      </c>
      <c r="J2554" s="49">
        <v>59738.689999999995</v>
      </c>
      <c r="K2554" s="58">
        <v>1461.4800000000002</v>
      </c>
      <c r="L2554" s="58">
        <v>59451.967929398728</v>
      </c>
      <c r="M2554" s="58">
        <v>17.03</v>
      </c>
      <c r="N2554" s="58">
        <v>707.69086027200001</v>
      </c>
      <c r="O2554" s="58">
        <v>1478.5100000000002</v>
      </c>
      <c r="P2554" s="53">
        <v>60159.658789670728</v>
      </c>
      <c r="Q2554" s="65">
        <v>59738.689999999995</v>
      </c>
      <c r="R2554" s="65">
        <v>0</v>
      </c>
      <c r="S2554" s="65">
        <v>707.69086027200001</v>
      </c>
      <c r="T2554" s="65">
        <v>420.9687896707328</v>
      </c>
      <c r="U2554" s="58">
        <v>13500</v>
      </c>
      <c r="V2554" s="65">
        <v>0</v>
      </c>
      <c r="W2554" s="65">
        <v>0</v>
      </c>
      <c r="X2554" s="65">
        <v>45531</v>
      </c>
      <c r="Y2554" s="65">
        <v>0</v>
      </c>
      <c r="Z2554" s="51">
        <v>0</v>
      </c>
      <c r="AA2554" s="51">
        <v>0</v>
      </c>
      <c r="AB2554" s="102">
        <v>0</v>
      </c>
      <c r="AC2554" s="81">
        <f t="shared" si="120"/>
        <v>0</v>
      </c>
      <c r="AD2554" s="82">
        <f t="shared" si="121"/>
        <v>0</v>
      </c>
      <c r="AE2554" s="218">
        <v>-7.0468366425633514E-3</v>
      </c>
      <c r="AF2554">
        <v>30</v>
      </c>
      <c r="AH2554" t="str">
        <f t="shared" si="122"/>
        <v>Kalyanpur</v>
      </c>
      <c r="AJ2554" s="72">
        <v>0</v>
      </c>
      <c r="AK2554" s="72"/>
      <c r="AL2554" s="72"/>
      <c r="AM2554" s="72"/>
    </row>
    <row r="2555" spans="1:39" x14ac:dyDescent="0.25">
      <c r="A2555" s="37" t="s">
        <v>62</v>
      </c>
      <c r="B2555" s="66" t="s">
        <v>1629</v>
      </c>
      <c r="C2555" s="41">
        <v>1053</v>
      </c>
      <c r="D2555" s="41" t="s">
        <v>542</v>
      </c>
      <c r="E2555" s="41">
        <v>10530003</v>
      </c>
      <c r="F2555" s="85" t="s">
        <v>545</v>
      </c>
      <c r="G2555" s="39" t="s">
        <v>93</v>
      </c>
      <c r="H2555" s="52" t="s">
        <v>94</v>
      </c>
      <c r="I2555" s="52">
        <v>679.4</v>
      </c>
      <c r="J2555" s="49">
        <v>27277.11</v>
      </c>
      <c r="K2555" s="58">
        <v>688.66000000000008</v>
      </c>
      <c r="L2555" s="58">
        <v>27474.037497031386</v>
      </c>
      <c r="M2555" s="58">
        <v>1.1900000000000002</v>
      </c>
      <c r="N2555" s="58">
        <v>48.716029685999999</v>
      </c>
      <c r="O2555" s="58">
        <v>689.85000000000014</v>
      </c>
      <c r="P2555" s="53">
        <v>27522.753526717384</v>
      </c>
      <c r="Q2555" s="65">
        <v>27277.11</v>
      </c>
      <c r="R2555" s="65">
        <v>0</v>
      </c>
      <c r="S2555" s="65">
        <v>48.716029685999999</v>
      </c>
      <c r="T2555" s="65">
        <v>245.64352671738379</v>
      </c>
      <c r="U2555" s="58">
        <v>3506</v>
      </c>
      <c r="V2555" s="65">
        <v>0</v>
      </c>
      <c r="W2555" s="65">
        <v>0</v>
      </c>
      <c r="X2555" s="65">
        <v>23722</v>
      </c>
      <c r="Y2555" s="65">
        <v>0</v>
      </c>
      <c r="Z2555" s="51">
        <v>0</v>
      </c>
      <c r="AA2555" s="51">
        <v>0</v>
      </c>
      <c r="AB2555" s="102">
        <v>0</v>
      </c>
      <c r="AC2555" s="81">
        <f t="shared" si="120"/>
        <v>16.541314866058329</v>
      </c>
      <c r="AD2555" s="82">
        <f t="shared" si="121"/>
        <v>97.05714285714285</v>
      </c>
      <c r="AE2555" s="218">
        <v>-9.0054821319921277E-3</v>
      </c>
      <c r="AF2555">
        <v>26</v>
      </c>
      <c r="AH2555" t="str">
        <f t="shared" si="122"/>
        <v>Kalyanpur</v>
      </c>
      <c r="AJ2555" s="72">
        <v>0</v>
      </c>
      <c r="AK2555" s="72"/>
      <c r="AL2555" s="72"/>
      <c r="AM2555" s="72"/>
    </row>
    <row r="2556" spans="1:39" x14ac:dyDescent="0.25">
      <c r="A2556" s="37" t="s">
        <v>62</v>
      </c>
      <c r="B2556" s="66" t="s">
        <v>1629</v>
      </c>
      <c r="C2556" s="41">
        <v>1053</v>
      </c>
      <c r="D2556" s="41" t="s">
        <v>542</v>
      </c>
      <c r="E2556" s="41">
        <v>10530005</v>
      </c>
      <c r="F2556" s="85" t="s">
        <v>546</v>
      </c>
      <c r="G2556" s="39" t="s">
        <v>93</v>
      </c>
      <c r="H2556" s="52" t="s">
        <v>94</v>
      </c>
      <c r="I2556" s="52">
        <v>475.9</v>
      </c>
      <c r="J2556" s="49">
        <v>20406.589999999993</v>
      </c>
      <c r="K2556" s="58">
        <v>466.61999999999995</v>
      </c>
      <c r="L2556" s="58">
        <v>19978.307492004282</v>
      </c>
      <c r="M2556" s="58">
        <v>11.37</v>
      </c>
      <c r="N2556" s="58">
        <v>487.73203984098001</v>
      </c>
      <c r="O2556" s="58">
        <v>477.98999999999995</v>
      </c>
      <c r="P2556" s="53">
        <v>20466.039531845261</v>
      </c>
      <c r="Q2556" s="65">
        <v>20406.589999999993</v>
      </c>
      <c r="R2556" s="65">
        <v>0</v>
      </c>
      <c r="S2556" s="65">
        <v>487.73203984098001</v>
      </c>
      <c r="T2556" s="65">
        <v>59.449531845268211</v>
      </c>
      <c r="U2556" s="58">
        <v>0</v>
      </c>
      <c r="V2556" s="65">
        <v>29.79557419354834</v>
      </c>
      <c r="W2556" s="65">
        <v>0</v>
      </c>
      <c r="X2556" s="65">
        <v>19889</v>
      </c>
      <c r="Y2556" s="65">
        <v>0</v>
      </c>
      <c r="Z2556" s="51">
        <v>0</v>
      </c>
      <c r="AA2556" s="51">
        <v>0</v>
      </c>
      <c r="AB2556" s="102" t="s">
        <v>68</v>
      </c>
      <c r="AC2556" s="81">
        <f t="shared" si="120"/>
        <v>192.18814116411005</v>
      </c>
      <c r="AD2556" s="82">
        <f t="shared" si="121"/>
        <v>67.98571428571428</v>
      </c>
      <c r="AE2556" s="218">
        <v>-2.9132516429873014E-3</v>
      </c>
      <c r="AF2556">
        <v>20</v>
      </c>
      <c r="AH2556" t="str">
        <f t="shared" si="122"/>
        <v>Kalyanpur</v>
      </c>
      <c r="AJ2556" s="72">
        <v>0</v>
      </c>
      <c r="AK2556" s="72"/>
      <c r="AL2556" s="72"/>
      <c r="AM2556" s="72"/>
    </row>
    <row r="2557" spans="1:39" x14ac:dyDescent="0.25">
      <c r="A2557" s="37" t="s">
        <v>62</v>
      </c>
      <c r="B2557" s="66" t="s">
        <v>1629</v>
      </c>
      <c r="C2557" s="41">
        <v>1053</v>
      </c>
      <c r="D2557" s="41" t="s">
        <v>542</v>
      </c>
      <c r="E2557" s="41">
        <v>10530006</v>
      </c>
      <c r="F2557" s="85" t="s">
        <v>547</v>
      </c>
      <c r="G2557" s="39" t="s">
        <v>93</v>
      </c>
      <c r="H2557" s="52" t="s">
        <v>94</v>
      </c>
      <c r="I2557" s="52">
        <v>1243.95</v>
      </c>
      <c r="J2557" s="49">
        <v>48499.17</v>
      </c>
      <c r="K2557" s="58">
        <v>1216.29</v>
      </c>
      <c r="L2557" s="58">
        <v>46767.002388191948</v>
      </c>
      <c r="M2557" s="58">
        <v>40.67</v>
      </c>
      <c r="N2557" s="58">
        <v>2117.0614560087606</v>
      </c>
      <c r="O2557" s="58">
        <v>1256.96</v>
      </c>
      <c r="P2557" s="53">
        <v>48884.063844200711</v>
      </c>
      <c r="Q2557" s="65">
        <v>48499.17</v>
      </c>
      <c r="R2557" s="65">
        <v>0</v>
      </c>
      <c r="S2557" s="65">
        <v>2117.0614560087606</v>
      </c>
      <c r="T2557" s="65">
        <v>384.89384420071292</v>
      </c>
      <c r="U2557" s="58">
        <v>1264</v>
      </c>
      <c r="V2557" s="65">
        <v>0</v>
      </c>
      <c r="W2557" s="65">
        <v>0</v>
      </c>
      <c r="X2557" s="65">
        <v>45118</v>
      </c>
      <c r="Y2557" s="65">
        <v>0</v>
      </c>
      <c r="Z2557" s="51">
        <v>0</v>
      </c>
      <c r="AA2557" s="51">
        <v>0</v>
      </c>
      <c r="AB2557" s="102">
        <v>0</v>
      </c>
      <c r="AC2557" s="81">
        <f t="shared" si="120"/>
        <v>0</v>
      </c>
      <c r="AD2557" s="82">
        <f t="shared" si="121"/>
        <v>0</v>
      </c>
      <c r="AE2557" s="218">
        <v>-7.9360913640524767E-3</v>
      </c>
      <c r="AF2557">
        <v>57</v>
      </c>
      <c r="AH2557" t="str">
        <f t="shared" si="122"/>
        <v>Kalyanpur</v>
      </c>
      <c r="AJ2557" s="72">
        <v>0</v>
      </c>
      <c r="AK2557" s="72"/>
      <c r="AL2557" s="72"/>
      <c r="AM2557" s="72"/>
    </row>
    <row r="2558" spans="1:39" x14ac:dyDescent="0.25">
      <c r="A2558" s="37" t="s">
        <v>62</v>
      </c>
      <c r="B2558" s="66" t="s">
        <v>1629</v>
      </c>
      <c r="C2558" s="41">
        <v>1053</v>
      </c>
      <c r="D2558" s="41" t="s">
        <v>542</v>
      </c>
      <c r="E2558" s="41">
        <v>10530007</v>
      </c>
      <c r="F2558" s="85" t="s">
        <v>548</v>
      </c>
      <c r="G2558" s="39" t="s">
        <v>93</v>
      </c>
      <c r="H2558" s="52" t="s">
        <v>94</v>
      </c>
      <c r="I2558" s="52">
        <v>425.20000000000005</v>
      </c>
      <c r="J2558" s="49">
        <v>18710.669999999998</v>
      </c>
      <c r="K2558" s="58">
        <v>413.76</v>
      </c>
      <c r="L2558" s="58">
        <v>18786.338890263272</v>
      </c>
      <c r="M2558" s="58">
        <v>0.49</v>
      </c>
      <c r="N2558" s="58">
        <v>29.9337619392</v>
      </c>
      <c r="O2558" s="58">
        <v>414.25</v>
      </c>
      <c r="P2558" s="53">
        <v>18816.272652202471</v>
      </c>
      <c r="Q2558" s="65">
        <v>18710.669999999998</v>
      </c>
      <c r="R2558" s="65">
        <v>0</v>
      </c>
      <c r="S2558" s="65">
        <v>29.9337619392</v>
      </c>
      <c r="T2558" s="65">
        <v>105.60265220247311</v>
      </c>
      <c r="U2558" s="58">
        <v>1500</v>
      </c>
      <c r="V2558" s="65">
        <v>0</v>
      </c>
      <c r="W2558" s="65">
        <v>0</v>
      </c>
      <c r="X2558" s="65">
        <v>17181</v>
      </c>
      <c r="Y2558" s="65">
        <v>0</v>
      </c>
      <c r="Z2558" s="51">
        <v>0</v>
      </c>
      <c r="AA2558" s="51">
        <v>0</v>
      </c>
      <c r="AB2558" s="102">
        <v>0</v>
      </c>
      <c r="AC2558" s="81">
        <f t="shared" si="120"/>
        <v>241.84817102539972</v>
      </c>
      <c r="AD2558" s="82">
        <f t="shared" si="121"/>
        <v>60.742857142857147</v>
      </c>
      <c r="AE2558" s="218">
        <v>-5.6439802637999132E-3</v>
      </c>
      <c r="AF2558">
        <v>13</v>
      </c>
      <c r="AH2558" t="str">
        <f t="shared" si="122"/>
        <v>Kalyanpur</v>
      </c>
      <c r="AJ2558" s="72">
        <v>0</v>
      </c>
      <c r="AK2558" s="72"/>
      <c r="AL2558" s="72"/>
      <c r="AM2558" s="72"/>
    </row>
    <row r="2559" spans="1:39" x14ac:dyDescent="0.25">
      <c r="A2559" s="37" t="s">
        <v>62</v>
      </c>
      <c r="B2559" s="66" t="s">
        <v>1629</v>
      </c>
      <c r="C2559" s="41">
        <v>1053</v>
      </c>
      <c r="D2559" s="41" t="s">
        <v>542</v>
      </c>
      <c r="E2559" s="41">
        <v>10530008</v>
      </c>
      <c r="F2559" s="85" t="s">
        <v>549</v>
      </c>
      <c r="G2559" s="39" t="s">
        <v>93</v>
      </c>
      <c r="H2559" s="52" t="s">
        <v>94</v>
      </c>
      <c r="I2559" s="52">
        <v>334.25</v>
      </c>
      <c r="J2559" s="49">
        <v>16066.909999999998</v>
      </c>
      <c r="K2559" s="58">
        <v>332.55</v>
      </c>
      <c r="L2559" s="58">
        <v>16278.370421735981</v>
      </c>
      <c r="M2559" s="58">
        <v>3.6599999999999997</v>
      </c>
      <c r="N2559" s="58">
        <v>162.3610132158</v>
      </c>
      <c r="O2559" s="58">
        <v>336.21000000000004</v>
      </c>
      <c r="P2559" s="53">
        <v>16440.73143495178</v>
      </c>
      <c r="Q2559" s="65">
        <v>16066.909999999998</v>
      </c>
      <c r="R2559" s="65">
        <v>0</v>
      </c>
      <c r="S2559" s="65">
        <v>162.3610132158</v>
      </c>
      <c r="T2559" s="65">
        <v>373.82143495178207</v>
      </c>
      <c r="U2559" s="58">
        <v>0</v>
      </c>
      <c r="V2559" s="65">
        <v>0</v>
      </c>
      <c r="W2559" s="65">
        <v>0</v>
      </c>
      <c r="X2559" s="65">
        <v>15905</v>
      </c>
      <c r="Y2559" s="65">
        <v>0</v>
      </c>
      <c r="Z2559" s="51">
        <v>0</v>
      </c>
      <c r="AA2559" s="51">
        <v>0</v>
      </c>
      <c r="AB2559" s="102">
        <v>0</v>
      </c>
      <c r="AC2559" s="81">
        <f t="shared" si="120"/>
        <v>351.62138115183245</v>
      </c>
      <c r="AD2559" s="82">
        <f t="shared" si="121"/>
        <v>47.75</v>
      </c>
      <c r="AE2559" s="218">
        <v>-2.3266541914517609E-2</v>
      </c>
      <c r="AF2559">
        <v>8</v>
      </c>
      <c r="AH2559" t="str">
        <f t="shared" si="122"/>
        <v>Kalyanpur</v>
      </c>
      <c r="AJ2559" s="72">
        <v>0</v>
      </c>
      <c r="AK2559" s="72"/>
      <c r="AL2559" s="72"/>
      <c r="AM2559" s="72"/>
    </row>
    <row r="2560" spans="1:39" x14ac:dyDescent="0.25">
      <c r="A2560" s="37" t="s">
        <v>62</v>
      </c>
      <c r="B2560" s="66" t="s">
        <v>1629</v>
      </c>
      <c r="C2560" s="4">
        <v>1053</v>
      </c>
      <c r="D2560" s="41" t="s">
        <v>542</v>
      </c>
      <c r="E2560" s="41">
        <v>10530009</v>
      </c>
      <c r="F2560" s="85" t="s">
        <v>550</v>
      </c>
      <c r="G2560" s="39" t="s">
        <v>635</v>
      </c>
      <c r="H2560" s="52" t="s">
        <v>99</v>
      </c>
      <c r="I2560" s="52">
        <v>9513</v>
      </c>
      <c r="J2560" s="49">
        <v>373680.81</v>
      </c>
      <c r="K2560" s="58">
        <v>0</v>
      </c>
      <c r="L2560" s="58">
        <v>0</v>
      </c>
      <c r="M2560" s="58">
        <v>0</v>
      </c>
      <c r="N2560" s="58">
        <v>0</v>
      </c>
      <c r="O2560" s="58">
        <v>0</v>
      </c>
      <c r="P2560" s="53">
        <v>0</v>
      </c>
      <c r="Q2560" s="65">
        <v>373680.81</v>
      </c>
      <c r="R2560" s="65">
        <v>0</v>
      </c>
      <c r="S2560" s="65">
        <v>0</v>
      </c>
      <c r="T2560" s="65">
        <v>0</v>
      </c>
      <c r="U2560" s="58">
        <v>0</v>
      </c>
      <c r="V2560" s="65">
        <v>0</v>
      </c>
      <c r="W2560" s="65">
        <v>0</v>
      </c>
      <c r="X2560" s="65">
        <v>0</v>
      </c>
      <c r="Y2560" s="65">
        <v>0</v>
      </c>
      <c r="Z2560" s="51">
        <v>373680.81</v>
      </c>
      <c r="AA2560" s="51">
        <v>0</v>
      </c>
      <c r="AB2560" s="102">
        <v>0</v>
      </c>
      <c r="AC2560" s="81">
        <f t="shared" si="120"/>
        <v>0</v>
      </c>
      <c r="AD2560" s="82">
        <f t="shared" si="121"/>
        <v>0</v>
      </c>
      <c r="AE2560" s="218">
        <v>0</v>
      </c>
      <c r="AF2560">
        <v>0</v>
      </c>
      <c r="AH2560" t="str">
        <f t="shared" si="122"/>
        <v>Kalyanpur</v>
      </c>
      <c r="AJ2560" s="72">
        <v>0</v>
      </c>
      <c r="AK2560" s="72"/>
      <c r="AL2560" s="72"/>
      <c r="AM2560" s="72"/>
    </row>
    <row r="2561" spans="1:39" x14ac:dyDescent="0.25">
      <c r="A2561" s="37" t="s">
        <v>62</v>
      </c>
      <c r="B2561" s="66" t="s">
        <v>1629</v>
      </c>
      <c r="C2561" s="4">
        <v>1053</v>
      </c>
      <c r="D2561" s="41" t="s">
        <v>542</v>
      </c>
      <c r="E2561" s="41">
        <v>10530010</v>
      </c>
      <c r="F2561" s="85" t="s">
        <v>551</v>
      </c>
      <c r="G2561" s="39" t="s">
        <v>635</v>
      </c>
      <c r="H2561" s="52" t="s">
        <v>99</v>
      </c>
      <c r="I2561" s="52">
        <v>3384.5</v>
      </c>
      <c r="J2561" s="49">
        <v>138317.57999999996</v>
      </c>
      <c r="K2561" s="58">
        <v>0</v>
      </c>
      <c r="L2561" s="58">
        <v>0</v>
      </c>
      <c r="M2561" s="58">
        <v>0</v>
      </c>
      <c r="N2561" s="58">
        <v>0</v>
      </c>
      <c r="O2561" s="58">
        <v>0</v>
      </c>
      <c r="P2561" s="53">
        <v>0</v>
      </c>
      <c r="Q2561" s="65">
        <v>138317.57999999996</v>
      </c>
      <c r="R2561" s="65">
        <v>0</v>
      </c>
      <c r="S2561" s="65">
        <v>0</v>
      </c>
      <c r="T2561" s="65">
        <v>0</v>
      </c>
      <c r="U2561" s="58">
        <v>0</v>
      </c>
      <c r="V2561" s="65">
        <v>0</v>
      </c>
      <c r="W2561" s="65">
        <v>0</v>
      </c>
      <c r="X2561" s="65">
        <v>0</v>
      </c>
      <c r="Y2561" s="65">
        <v>0</v>
      </c>
      <c r="Z2561" s="51">
        <v>138317.57999999996</v>
      </c>
      <c r="AA2561" s="51">
        <v>0</v>
      </c>
      <c r="AB2561" s="102">
        <v>0</v>
      </c>
      <c r="AC2561" s="81">
        <f t="shared" si="120"/>
        <v>0</v>
      </c>
      <c r="AD2561" s="82">
        <f t="shared" si="121"/>
        <v>0</v>
      </c>
      <c r="AE2561" s="218">
        <v>0</v>
      </c>
      <c r="AF2561">
        <v>0</v>
      </c>
      <c r="AH2561" t="str">
        <f t="shared" si="122"/>
        <v>Kalyanpur</v>
      </c>
      <c r="AJ2561" s="72">
        <v>0</v>
      </c>
      <c r="AK2561" s="72"/>
      <c r="AL2561" s="72"/>
      <c r="AM2561" s="72"/>
    </row>
    <row r="2562" spans="1:39" x14ac:dyDescent="0.25">
      <c r="A2562" s="37" t="s">
        <v>62</v>
      </c>
      <c r="B2562" s="66" t="s">
        <v>1629</v>
      </c>
      <c r="C2562" s="4">
        <v>1053</v>
      </c>
      <c r="D2562" s="41" t="s">
        <v>542</v>
      </c>
      <c r="E2562" s="41">
        <v>10530013</v>
      </c>
      <c r="F2562" s="85" t="s">
        <v>552</v>
      </c>
      <c r="G2562" s="39" t="s">
        <v>635</v>
      </c>
      <c r="H2562" s="52" t="s">
        <v>99</v>
      </c>
      <c r="I2562" s="52">
        <v>795</v>
      </c>
      <c r="J2562" s="49">
        <v>38960.320000000007</v>
      </c>
      <c r="K2562" s="58">
        <v>0</v>
      </c>
      <c r="L2562" s="58">
        <v>0</v>
      </c>
      <c r="M2562" s="58">
        <v>0</v>
      </c>
      <c r="N2562" s="58">
        <v>0</v>
      </c>
      <c r="O2562" s="58">
        <v>0</v>
      </c>
      <c r="P2562" s="53">
        <v>0</v>
      </c>
      <c r="Q2562" s="65">
        <v>38960.320000000007</v>
      </c>
      <c r="R2562" s="65">
        <v>0</v>
      </c>
      <c r="S2562" s="65">
        <v>0</v>
      </c>
      <c r="T2562" s="65">
        <v>0</v>
      </c>
      <c r="U2562" s="58">
        <v>0</v>
      </c>
      <c r="V2562" s="65">
        <v>0</v>
      </c>
      <c r="W2562" s="65">
        <v>0</v>
      </c>
      <c r="X2562" s="65">
        <v>0</v>
      </c>
      <c r="Y2562" s="65">
        <v>0</v>
      </c>
      <c r="Z2562" s="51">
        <v>38960.320000000007</v>
      </c>
      <c r="AA2562" s="51">
        <v>0</v>
      </c>
      <c r="AB2562" s="102">
        <v>0</v>
      </c>
      <c r="AC2562" s="81">
        <f t="shared" ref="AC2562:AC2625" si="123">((IF(AD2562=0,0,100-AD2562))*7*(J2562/I2562))*2%</f>
        <v>0</v>
      </c>
      <c r="AD2562" s="82">
        <f t="shared" ref="AD2562:AD2625" si="124">IF((I2562/7)&gt;100,0,(I2562/7))</f>
        <v>0</v>
      </c>
      <c r="AE2562" s="218">
        <v>0</v>
      </c>
      <c r="AF2562">
        <v>0</v>
      </c>
      <c r="AH2562" t="str">
        <f t="shared" si="122"/>
        <v>Kalyanpur</v>
      </c>
      <c r="AJ2562" s="72">
        <v>0</v>
      </c>
      <c r="AK2562" s="72"/>
      <c r="AL2562" s="72"/>
      <c r="AM2562" s="72"/>
    </row>
    <row r="2563" spans="1:39" x14ac:dyDescent="0.25">
      <c r="A2563" s="37" t="s">
        <v>62</v>
      </c>
      <c r="B2563" s="66" t="s">
        <v>1629</v>
      </c>
      <c r="C2563" s="4">
        <v>1053</v>
      </c>
      <c r="D2563" s="41" t="s">
        <v>542</v>
      </c>
      <c r="E2563" s="41">
        <v>10530014</v>
      </c>
      <c r="F2563" s="85" t="s">
        <v>553</v>
      </c>
      <c r="G2563" s="39" t="s">
        <v>635</v>
      </c>
      <c r="H2563" s="52" t="s">
        <v>99</v>
      </c>
      <c r="I2563" s="52">
        <v>1996.05</v>
      </c>
      <c r="J2563" s="49">
        <v>73678.86</v>
      </c>
      <c r="K2563" s="58">
        <v>0</v>
      </c>
      <c r="L2563" s="58">
        <v>0</v>
      </c>
      <c r="M2563" s="58">
        <v>0</v>
      </c>
      <c r="N2563" s="58">
        <v>0</v>
      </c>
      <c r="O2563" s="58">
        <v>0</v>
      </c>
      <c r="P2563" s="53">
        <v>0</v>
      </c>
      <c r="Q2563" s="65">
        <v>73678.86</v>
      </c>
      <c r="R2563" s="65">
        <v>0</v>
      </c>
      <c r="S2563" s="65">
        <v>0</v>
      </c>
      <c r="T2563" s="65">
        <v>0</v>
      </c>
      <c r="U2563" s="58">
        <v>0</v>
      </c>
      <c r="V2563" s="65">
        <v>0</v>
      </c>
      <c r="W2563" s="65">
        <v>0</v>
      </c>
      <c r="X2563" s="65">
        <v>0</v>
      </c>
      <c r="Y2563" s="65">
        <v>0</v>
      </c>
      <c r="Z2563" s="51">
        <v>73678.86</v>
      </c>
      <c r="AA2563" s="51">
        <v>0</v>
      </c>
      <c r="AB2563" s="102">
        <v>0</v>
      </c>
      <c r="AC2563" s="81">
        <f t="shared" si="123"/>
        <v>0</v>
      </c>
      <c r="AD2563" s="82">
        <f t="shared" si="124"/>
        <v>0</v>
      </c>
      <c r="AE2563" s="218">
        <v>0</v>
      </c>
      <c r="AF2563">
        <v>0</v>
      </c>
      <c r="AH2563" t="str">
        <f t="shared" si="122"/>
        <v>Kalyanpur</v>
      </c>
      <c r="AJ2563" s="72">
        <v>0</v>
      </c>
      <c r="AK2563" s="72"/>
      <c r="AL2563" s="72"/>
      <c r="AM2563" s="72"/>
    </row>
    <row r="2564" spans="1:39" x14ac:dyDescent="0.25">
      <c r="A2564" s="37" t="s">
        <v>62</v>
      </c>
      <c r="B2564" s="66" t="s">
        <v>1629</v>
      </c>
      <c r="C2564" s="4">
        <v>1053</v>
      </c>
      <c r="D2564" s="41" t="s">
        <v>542</v>
      </c>
      <c r="E2564" s="41">
        <v>10530015</v>
      </c>
      <c r="F2564" s="85" t="s">
        <v>554</v>
      </c>
      <c r="G2564" s="39" t="s">
        <v>635</v>
      </c>
      <c r="H2564" s="52" t="s">
        <v>99</v>
      </c>
      <c r="I2564" s="52">
        <v>258.40000000000003</v>
      </c>
      <c r="J2564" s="49">
        <v>12136.759999999998</v>
      </c>
      <c r="K2564" s="58">
        <v>0</v>
      </c>
      <c r="L2564" s="58">
        <v>0</v>
      </c>
      <c r="M2564" s="58">
        <v>0</v>
      </c>
      <c r="N2564" s="58">
        <v>0</v>
      </c>
      <c r="O2564" s="58">
        <v>0</v>
      </c>
      <c r="P2564" s="53">
        <v>0</v>
      </c>
      <c r="Q2564" s="65">
        <v>12136.759999999998</v>
      </c>
      <c r="R2564" s="65">
        <v>0</v>
      </c>
      <c r="S2564" s="65">
        <v>0</v>
      </c>
      <c r="T2564" s="65">
        <v>0</v>
      </c>
      <c r="U2564" s="58">
        <v>0</v>
      </c>
      <c r="V2564" s="65">
        <v>0</v>
      </c>
      <c r="W2564" s="65">
        <v>0</v>
      </c>
      <c r="X2564" s="65">
        <v>0</v>
      </c>
      <c r="Y2564" s="65">
        <v>0</v>
      </c>
      <c r="Z2564" s="51">
        <v>12136.759999999998</v>
      </c>
      <c r="AA2564" s="51">
        <v>0</v>
      </c>
      <c r="AB2564" s="102">
        <v>0</v>
      </c>
      <c r="AC2564" s="81">
        <f t="shared" si="123"/>
        <v>414.82919628482961</v>
      </c>
      <c r="AD2564" s="82">
        <f t="shared" si="124"/>
        <v>36.914285714285718</v>
      </c>
      <c r="AE2564" s="218">
        <v>0</v>
      </c>
      <c r="AF2564">
        <v>0</v>
      </c>
      <c r="AH2564" t="str">
        <f t="shared" si="122"/>
        <v>Kalyanpur</v>
      </c>
      <c r="AJ2564" s="72">
        <v>0</v>
      </c>
      <c r="AK2564" s="72"/>
      <c r="AL2564" s="72"/>
      <c r="AM2564" s="72"/>
    </row>
    <row r="2565" spans="1:39" x14ac:dyDescent="0.25">
      <c r="A2565" s="37" t="s">
        <v>62</v>
      </c>
      <c r="B2565" s="66" t="s">
        <v>1629</v>
      </c>
      <c r="C2565" s="4">
        <v>1053</v>
      </c>
      <c r="D2565" s="41" t="s">
        <v>542</v>
      </c>
      <c r="E2565" s="41">
        <v>10530016</v>
      </c>
      <c r="F2565" s="85" t="s">
        <v>555</v>
      </c>
      <c r="G2565" s="39" t="s">
        <v>635</v>
      </c>
      <c r="H2565" s="52" t="s">
        <v>99</v>
      </c>
      <c r="I2565" s="52">
        <v>777.54999999999984</v>
      </c>
      <c r="J2565" s="49">
        <v>29392.960000000003</v>
      </c>
      <c r="K2565" s="58">
        <v>0</v>
      </c>
      <c r="L2565" s="58">
        <v>0</v>
      </c>
      <c r="M2565" s="58">
        <v>0</v>
      </c>
      <c r="N2565" s="58">
        <v>0</v>
      </c>
      <c r="O2565" s="58">
        <v>0</v>
      </c>
      <c r="P2565" s="53">
        <v>0</v>
      </c>
      <c r="Q2565" s="65">
        <v>29392.960000000003</v>
      </c>
      <c r="R2565" s="65">
        <v>0</v>
      </c>
      <c r="S2565" s="65">
        <v>0</v>
      </c>
      <c r="T2565" s="65">
        <v>0</v>
      </c>
      <c r="U2565" s="58">
        <v>0</v>
      </c>
      <c r="V2565" s="65">
        <v>0</v>
      </c>
      <c r="W2565" s="65">
        <v>0</v>
      </c>
      <c r="X2565" s="65">
        <v>0</v>
      </c>
      <c r="Y2565" s="65">
        <v>0</v>
      </c>
      <c r="Z2565" s="51">
        <v>29392.960000000003</v>
      </c>
      <c r="AA2565" s="51">
        <v>0</v>
      </c>
      <c r="AB2565" s="102">
        <v>0</v>
      </c>
      <c r="AC2565" s="81">
        <f t="shared" si="123"/>
        <v>0</v>
      </c>
      <c r="AD2565" s="82">
        <f t="shared" si="124"/>
        <v>0</v>
      </c>
      <c r="AE2565" s="218">
        <v>0</v>
      </c>
      <c r="AF2565">
        <v>0</v>
      </c>
      <c r="AH2565" t="str">
        <f t="shared" si="122"/>
        <v>Kalyanpur</v>
      </c>
      <c r="AJ2565" s="72">
        <v>0</v>
      </c>
      <c r="AK2565" s="72"/>
      <c r="AL2565" s="72"/>
      <c r="AM2565" s="72"/>
    </row>
    <row r="2566" spans="1:39" x14ac:dyDescent="0.25">
      <c r="A2566" s="37" t="s">
        <v>62</v>
      </c>
      <c r="B2566" s="66" t="s">
        <v>1629</v>
      </c>
      <c r="C2566" s="4">
        <v>1053</v>
      </c>
      <c r="D2566" s="41" t="s">
        <v>542</v>
      </c>
      <c r="E2566" s="41">
        <v>10530017</v>
      </c>
      <c r="F2566" s="85" t="s">
        <v>556</v>
      </c>
      <c r="G2566" s="39" t="s">
        <v>635</v>
      </c>
      <c r="H2566" s="52" t="s">
        <v>99</v>
      </c>
      <c r="I2566" s="52">
        <v>1876.8500000000004</v>
      </c>
      <c r="J2566" s="49">
        <v>79480.06</v>
      </c>
      <c r="K2566" s="58">
        <v>0</v>
      </c>
      <c r="L2566" s="58">
        <v>0</v>
      </c>
      <c r="M2566" s="58">
        <v>0</v>
      </c>
      <c r="N2566" s="58">
        <v>0</v>
      </c>
      <c r="O2566" s="58">
        <v>0</v>
      </c>
      <c r="P2566" s="53">
        <v>0</v>
      </c>
      <c r="Q2566" s="65">
        <v>79480.06</v>
      </c>
      <c r="R2566" s="65">
        <v>0</v>
      </c>
      <c r="S2566" s="65">
        <v>0</v>
      </c>
      <c r="T2566" s="65">
        <v>0</v>
      </c>
      <c r="U2566" s="58">
        <v>9000</v>
      </c>
      <c r="V2566" s="65">
        <v>0</v>
      </c>
      <c r="W2566" s="65">
        <v>0</v>
      </c>
      <c r="X2566" s="65">
        <v>0</v>
      </c>
      <c r="Y2566" s="65">
        <v>0</v>
      </c>
      <c r="Z2566" s="51">
        <v>70480.06</v>
      </c>
      <c r="AA2566" s="51">
        <v>0</v>
      </c>
      <c r="AB2566" s="102">
        <v>0</v>
      </c>
      <c r="AC2566" s="81">
        <f t="shared" si="123"/>
        <v>0</v>
      </c>
      <c r="AD2566" s="82">
        <f t="shared" si="124"/>
        <v>0</v>
      </c>
      <c r="AE2566" s="218">
        <v>0</v>
      </c>
      <c r="AF2566">
        <v>0</v>
      </c>
      <c r="AH2566" t="str">
        <f t="shared" ref="AH2566:AH2628" si="125">TEXT(D2566,"0000")</f>
        <v>Kalyanpur</v>
      </c>
      <c r="AJ2566" s="72">
        <v>0</v>
      </c>
      <c r="AK2566" s="72"/>
      <c r="AL2566" s="72"/>
      <c r="AM2566" s="72"/>
    </row>
    <row r="2567" spans="1:39" x14ac:dyDescent="0.25">
      <c r="A2567" s="37" t="s">
        <v>62</v>
      </c>
      <c r="B2567" s="66" t="s">
        <v>1629</v>
      </c>
      <c r="C2567" s="4">
        <v>1053</v>
      </c>
      <c r="D2567" s="41" t="s">
        <v>542</v>
      </c>
      <c r="E2567" s="41">
        <v>10530018</v>
      </c>
      <c r="F2567" s="85" t="s">
        <v>557</v>
      </c>
      <c r="G2567" s="39" t="s">
        <v>635</v>
      </c>
      <c r="H2567" s="52" t="s">
        <v>99</v>
      </c>
      <c r="I2567" s="52">
        <v>985.84999999999991</v>
      </c>
      <c r="J2567" s="49">
        <v>40569.750000000007</v>
      </c>
      <c r="K2567" s="58">
        <v>0</v>
      </c>
      <c r="L2567" s="58">
        <v>0</v>
      </c>
      <c r="M2567" s="58">
        <v>0</v>
      </c>
      <c r="N2567" s="58">
        <v>0</v>
      </c>
      <c r="O2567" s="58">
        <v>0</v>
      </c>
      <c r="P2567" s="53">
        <v>0</v>
      </c>
      <c r="Q2567" s="65">
        <v>40569.750000000007</v>
      </c>
      <c r="R2567" s="65">
        <v>0</v>
      </c>
      <c r="S2567" s="65">
        <v>0</v>
      </c>
      <c r="T2567" s="65">
        <v>0</v>
      </c>
      <c r="U2567" s="58">
        <v>1350</v>
      </c>
      <c r="V2567" s="65">
        <v>0</v>
      </c>
      <c r="W2567" s="65">
        <v>0</v>
      </c>
      <c r="X2567" s="65">
        <v>0</v>
      </c>
      <c r="Y2567" s="65">
        <v>0</v>
      </c>
      <c r="Z2567" s="51">
        <v>39219.750000000007</v>
      </c>
      <c r="AA2567" s="51">
        <v>0</v>
      </c>
      <c r="AB2567" s="102">
        <v>0</v>
      </c>
      <c r="AC2567" s="81">
        <f t="shared" si="123"/>
        <v>0</v>
      </c>
      <c r="AD2567" s="82">
        <f t="shared" si="124"/>
        <v>0</v>
      </c>
      <c r="AE2567" s="218">
        <v>0</v>
      </c>
      <c r="AF2567">
        <v>0</v>
      </c>
      <c r="AH2567" t="str">
        <f t="shared" si="125"/>
        <v>Kalyanpur</v>
      </c>
      <c r="AJ2567" s="72">
        <v>0</v>
      </c>
      <c r="AK2567" s="72"/>
      <c r="AL2567" s="72"/>
      <c r="AM2567" s="72"/>
    </row>
    <row r="2568" spans="1:39" x14ac:dyDescent="0.25">
      <c r="A2568" s="37" t="s">
        <v>62</v>
      </c>
      <c r="B2568" s="66" t="s">
        <v>1629</v>
      </c>
      <c r="C2568" s="4">
        <v>1053</v>
      </c>
      <c r="D2568" s="41" t="s">
        <v>542</v>
      </c>
      <c r="E2568" s="41">
        <v>10530019</v>
      </c>
      <c r="F2568" s="85" t="s">
        <v>558</v>
      </c>
      <c r="G2568" s="39" t="s">
        <v>635</v>
      </c>
      <c r="H2568" s="52" t="s">
        <v>99</v>
      </c>
      <c r="I2568" s="52">
        <v>1474.7</v>
      </c>
      <c r="J2568" s="49">
        <v>60457.579999999994</v>
      </c>
      <c r="K2568" s="58">
        <v>0</v>
      </c>
      <c r="L2568" s="58">
        <v>0</v>
      </c>
      <c r="M2568" s="58">
        <v>0</v>
      </c>
      <c r="N2568" s="58">
        <v>0</v>
      </c>
      <c r="O2568" s="58">
        <v>0</v>
      </c>
      <c r="P2568" s="53">
        <v>0</v>
      </c>
      <c r="Q2568" s="65">
        <v>60457.579999999994</v>
      </c>
      <c r="R2568" s="65">
        <v>0</v>
      </c>
      <c r="S2568" s="65">
        <v>0</v>
      </c>
      <c r="T2568" s="65">
        <v>0</v>
      </c>
      <c r="U2568" s="58">
        <v>0</v>
      </c>
      <c r="V2568" s="65">
        <v>0</v>
      </c>
      <c r="W2568" s="65">
        <v>0</v>
      </c>
      <c r="X2568" s="65">
        <v>0</v>
      </c>
      <c r="Y2568" s="65">
        <v>0</v>
      </c>
      <c r="Z2568" s="51">
        <v>60457.579999999994</v>
      </c>
      <c r="AA2568" s="51">
        <v>0</v>
      </c>
      <c r="AB2568" s="102">
        <v>0</v>
      </c>
      <c r="AC2568" s="81">
        <f t="shared" si="123"/>
        <v>0</v>
      </c>
      <c r="AD2568" s="82">
        <f t="shared" si="124"/>
        <v>0</v>
      </c>
      <c r="AE2568" s="218">
        <v>0</v>
      </c>
      <c r="AF2568">
        <v>0</v>
      </c>
      <c r="AH2568" t="str">
        <f t="shared" si="125"/>
        <v>Kalyanpur</v>
      </c>
      <c r="AJ2568" s="72">
        <v>0</v>
      </c>
      <c r="AK2568" s="72"/>
      <c r="AL2568" s="72"/>
      <c r="AM2568" s="72"/>
    </row>
    <row r="2569" spans="1:39" x14ac:dyDescent="0.25">
      <c r="A2569" s="37" t="s">
        <v>62</v>
      </c>
      <c r="B2569" s="66" t="s">
        <v>1629</v>
      </c>
      <c r="C2569" s="4">
        <v>1053</v>
      </c>
      <c r="D2569" s="41" t="s">
        <v>542</v>
      </c>
      <c r="E2569" s="41">
        <v>10530025</v>
      </c>
      <c r="F2569" s="85" t="s">
        <v>560</v>
      </c>
      <c r="G2569" s="39" t="s">
        <v>635</v>
      </c>
      <c r="H2569" s="52" t="s">
        <v>99</v>
      </c>
      <c r="I2569" s="52">
        <v>2308.6</v>
      </c>
      <c r="J2569" s="49">
        <v>88454.65</v>
      </c>
      <c r="K2569" s="58">
        <v>0</v>
      </c>
      <c r="L2569" s="58">
        <v>0</v>
      </c>
      <c r="M2569" s="58">
        <v>0</v>
      </c>
      <c r="N2569" s="58">
        <v>0</v>
      </c>
      <c r="O2569" s="58">
        <v>0</v>
      </c>
      <c r="P2569" s="53">
        <v>0</v>
      </c>
      <c r="Q2569" s="65">
        <v>88454.65</v>
      </c>
      <c r="R2569" s="65">
        <v>0</v>
      </c>
      <c r="S2569" s="65">
        <v>0</v>
      </c>
      <c r="T2569" s="65">
        <v>0</v>
      </c>
      <c r="U2569" s="58">
        <v>0</v>
      </c>
      <c r="V2569" s="65">
        <v>0</v>
      </c>
      <c r="W2569" s="65">
        <v>0</v>
      </c>
      <c r="X2569" s="65">
        <v>0</v>
      </c>
      <c r="Y2569" s="65">
        <v>0</v>
      </c>
      <c r="Z2569" s="51">
        <v>88454.65</v>
      </c>
      <c r="AA2569" s="51">
        <v>0</v>
      </c>
      <c r="AB2569" s="102">
        <v>0</v>
      </c>
      <c r="AC2569" s="81">
        <f t="shared" si="123"/>
        <v>0</v>
      </c>
      <c r="AD2569" s="82">
        <f t="shared" si="124"/>
        <v>0</v>
      </c>
      <c r="AE2569" s="218">
        <v>0</v>
      </c>
      <c r="AF2569">
        <v>0</v>
      </c>
      <c r="AH2569" t="str">
        <f t="shared" si="125"/>
        <v>Kalyanpur</v>
      </c>
      <c r="AJ2569" s="72">
        <v>0</v>
      </c>
      <c r="AK2569" s="72"/>
      <c r="AL2569" s="72"/>
      <c r="AM2569" s="72"/>
    </row>
    <row r="2570" spans="1:39" x14ac:dyDescent="0.25">
      <c r="A2570" s="37" t="s">
        <v>62</v>
      </c>
      <c r="B2570" s="66" t="s">
        <v>1629</v>
      </c>
      <c r="C2570" s="4">
        <v>1053</v>
      </c>
      <c r="D2570" s="41" t="s">
        <v>542</v>
      </c>
      <c r="E2570" s="41">
        <v>10530029</v>
      </c>
      <c r="F2570" s="85" t="s">
        <v>566</v>
      </c>
      <c r="G2570" s="39" t="s">
        <v>635</v>
      </c>
      <c r="H2570" s="52" t="s">
        <v>99</v>
      </c>
      <c r="I2570" s="52">
        <v>1843.2500000000002</v>
      </c>
      <c r="J2570" s="49">
        <v>75050.669999999984</v>
      </c>
      <c r="K2570" s="58">
        <v>0</v>
      </c>
      <c r="L2570" s="58">
        <v>0</v>
      </c>
      <c r="M2570" s="58">
        <v>0</v>
      </c>
      <c r="N2570" s="58">
        <v>0</v>
      </c>
      <c r="O2570" s="58">
        <v>0</v>
      </c>
      <c r="P2570" s="53">
        <v>0</v>
      </c>
      <c r="Q2570" s="65">
        <v>75050.669999999984</v>
      </c>
      <c r="R2570" s="65">
        <v>0</v>
      </c>
      <c r="S2570" s="65">
        <v>0</v>
      </c>
      <c r="T2570" s="65">
        <v>0</v>
      </c>
      <c r="U2570" s="58">
        <v>0</v>
      </c>
      <c r="V2570" s="65">
        <v>0</v>
      </c>
      <c r="W2570" s="65">
        <v>0</v>
      </c>
      <c r="X2570" s="65">
        <v>0</v>
      </c>
      <c r="Y2570" s="65">
        <v>0</v>
      </c>
      <c r="Z2570" s="51">
        <v>75050.669999999984</v>
      </c>
      <c r="AA2570" s="51">
        <v>0</v>
      </c>
      <c r="AB2570" s="102">
        <v>0</v>
      </c>
      <c r="AC2570" s="81">
        <f t="shared" si="123"/>
        <v>0</v>
      </c>
      <c r="AD2570" s="82">
        <f t="shared" si="124"/>
        <v>0</v>
      </c>
      <c r="AE2570" s="218">
        <v>0</v>
      </c>
      <c r="AF2570">
        <v>0</v>
      </c>
      <c r="AH2570" t="str">
        <f t="shared" si="125"/>
        <v>Kalyanpur</v>
      </c>
      <c r="AJ2570" s="72">
        <v>0</v>
      </c>
      <c r="AK2570" s="72"/>
      <c r="AL2570" s="72"/>
      <c r="AM2570" s="72"/>
    </row>
    <row r="2571" spans="1:39" x14ac:dyDescent="0.25">
      <c r="A2571" s="37" t="s">
        <v>62</v>
      </c>
      <c r="B2571" s="66" t="s">
        <v>1629</v>
      </c>
      <c r="C2571" s="4">
        <v>1053</v>
      </c>
      <c r="D2571" s="41" t="s">
        <v>542</v>
      </c>
      <c r="E2571" s="41">
        <v>10530030</v>
      </c>
      <c r="F2571" s="85" t="s">
        <v>567</v>
      </c>
      <c r="G2571" s="39" t="s">
        <v>635</v>
      </c>
      <c r="H2571" s="52" t="s">
        <v>99</v>
      </c>
      <c r="I2571" s="52">
        <v>334</v>
      </c>
      <c r="J2571" s="49">
        <v>13012.710000000001</v>
      </c>
      <c r="K2571" s="58">
        <v>0</v>
      </c>
      <c r="L2571" s="58">
        <v>0</v>
      </c>
      <c r="M2571" s="58">
        <v>0</v>
      </c>
      <c r="N2571" s="58">
        <v>0</v>
      </c>
      <c r="O2571" s="58">
        <v>0</v>
      </c>
      <c r="P2571" s="53">
        <v>0</v>
      </c>
      <c r="Q2571" s="65">
        <v>13012.710000000001</v>
      </c>
      <c r="R2571" s="65">
        <v>0</v>
      </c>
      <c r="S2571" s="65">
        <v>0</v>
      </c>
      <c r="T2571" s="65">
        <v>0</v>
      </c>
      <c r="U2571" s="58">
        <v>0</v>
      </c>
      <c r="V2571" s="65">
        <v>0</v>
      </c>
      <c r="W2571" s="65">
        <v>0</v>
      </c>
      <c r="X2571" s="65">
        <v>0</v>
      </c>
      <c r="Y2571" s="65">
        <v>0</v>
      </c>
      <c r="Z2571" s="51">
        <v>13012.710000000001</v>
      </c>
      <c r="AA2571" s="51">
        <v>0</v>
      </c>
      <c r="AB2571" s="102">
        <v>0</v>
      </c>
      <c r="AC2571" s="81">
        <f t="shared" si="123"/>
        <v>285.18873413173651</v>
      </c>
      <c r="AD2571" s="82">
        <f t="shared" si="124"/>
        <v>47.714285714285715</v>
      </c>
      <c r="AE2571" s="218">
        <v>0</v>
      </c>
      <c r="AF2571">
        <v>0</v>
      </c>
      <c r="AH2571" t="str">
        <f t="shared" si="125"/>
        <v>Kalyanpur</v>
      </c>
      <c r="AJ2571" s="72">
        <v>0</v>
      </c>
      <c r="AK2571" s="72"/>
      <c r="AL2571" s="72"/>
      <c r="AM2571" s="72"/>
    </row>
    <row r="2572" spans="1:39" x14ac:dyDescent="0.25">
      <c r="A2572" s="37" t="s">
        <v>62</v>
      </c>
      <c r="B2572" s="66" t="s">
        <v>1629</v>
      </c>
      <c r="C2572" s="4">
        <v>1053</v>
      </c>
      <c r="D2572" s="41" t="s">
        <v>542</v>
      </c>
      <c r="E2572" s="41">
        <v>10530031</v>
      </c>
      <c r="F2572" s="85" t="s">
        <v>436</v>
      </c>
      <c r="G2572" s="39" t="s">
        <v>635</v>
      </c>
      <c r="H2572" s="52" t="s">
        <v>99</v>
      </c>
      <c r="I2572" s="52">
        <v>1707.3999999999999</v>
      </c>
      <c r="J2572" s="49">
        <v>70367.56</v>
      </c>
      <c r="K2572" s="58">
        <v>0</v>
      </c>
      <c r="L2572" s="58">
        <v>0</v>
      </c>
      <c r="M2572" s="58">
        <v>0</v>
      </c>
      <c r="N2572" s="58">
        <v>0</v>
      </c>
      <c r="O2572" s="58">
        <v>0</v>
      </c>
      <c r="P2572" s="53">
        <v>0</v>
      </c>
      <c r="Q2572" s="65">
        <v>70367.56</v>
      </c>
      <c r="R2572" s="65">
        <v>0</v>
      </c>
      <c r="S2572" s="65">
        <v>0</v>
      </c>
      <c r="T2572" s="65">
        <v>0</v>
      </c>
      <c r="U2572" s="58">
        <v>0</v>
      </c>
      <c r="V2572" s="65">
        <v>0</v>
      </c>
      <c r="W2572" s="65">
        <v>0</v>
      </c>
      <c r="X2572" s="65">
        <v>0</v>
      </c>
      <c r="Y2572" s="65">
        <v>0</v>
      </c>
      <c r="Z2572" s="51">
        <v>70367.56</v>
      </c>
      <c r="AA2572" s="51">
        <v>0</v>
      </c>
      <c r="AB2572" s="102">
        <v>0</v>
      </c>
      <c r="AC2572" s="81">
        <f t="shared" si="123"/>
        <v>0</v>
      </c>
      <c r="AD2572" s="82">
        <f t="shared" si="124"/>
        <v>0</v>
      </c>
      <c r="AE2572" s="218">
        <v>0</v>
      </c>
      <c r="AF2572">
        <v>0</v>
      </c>
      <c r="AH2572" t="str">
        <f t="shared" si="125"/>
        <v>Kalyanpur</v>
      </c>
      <c r="AJ2572" s="72">
        <v>0</v>
      </c>
      <c r="AK2572" s="72"/>
      <c r="AL2572" s="72"/>
      <c r="AM2572" s="72"/>
    </row>
    <row r="2573" spans="1:39" x14ac:dyDescent="0.25">
      <c r="A2573" s="37" t="s">
        <v>62</v>
      </c>
      <c r="B2573" s="66" t="s">
        <v>1629</v>
      </c>
      <c r="C2573" s="4">
        <v>1053</v>
      </c>
      <c r="D2573" s="41" t="s">
        <v>542</v>
      </c>
      <c r="E2573" s="41">
        <v>10530032</v>
      </c>
      <c r="F2573" s="85" t="s">
        <v>582</v>
      </c>
      <c r="G2573" s="39" t="s">
        <v>93</v>
      </c>
      <c r="H2573" s="52" t="s">
        <v>94</v>
      </c>
      <c r="I2573" s="52">
        <v>415.24999999999989</v>
      </c>
      <c r="J2573" s="49">
        <v>20658.490000000002</v>
      </c>
      <c r="K2573" s="58">
        <v>418.80999999999995</v>
      </c>
      <c r="L2573" s="58">
        <v>20948.414254167183</v>
      </c>
      <c r="M2573" s="58">
        <v>5.33</v>
      </c>
      <c r="N2573" s="58">
        <v>226.65459125800004</v>
      </c>
      <c r="O2573" s="58">
        <v>424.13999999999993</v>
      </c>
      <c r="P2573" s="53">
        <v>21175.068845425183</v>
      </c>
      <c r="Q2573" s="65">
        <v>20658.490000000002</v>
      </c>
      <c r="R2573" s="65">
        <v>0</v>
      </c>
      <c r="S2573" s="65">
        <v>226.65459125800004</v>
      </c>
      <c r="T2573" s="65">
        <v>516.5788454251815</v>
      </c>
      <c r="U2573" s="58">
        <v>1500</v>
      </c>
      <c r="V2573" s="65">
        <v>0</v>
      </c>
      <c r="W2573" s="65">
        <v>0</v>
      </c>
      <c r="X2573" s="65">
        <v>18932</v>
      </c>
      <c r="Y2573" s="65">
        <v>0</v>
      </c>
      <c r="Z2573" s="51">
        <v>0</v>
      </c>
      <c r="AA2573" s="51">
        <v>0</v>
      </c>
      <c r="AB2573" s="102">
        <v>0</v>
      </c>
      <c r="AC2573" s="81">
        <f t="shared" si="123"/>
        <v>283.32354136062634</v>
      </c>
      <c r="AD2573" s="82">
        <f t="shared" si="124"/>
        <v>59.321428571428555</v>
      </c>
      <c r="AE2573" s="218">
        <v>-2.5005643947122052E-2</v>
      </c>
      <c r="AF2573">
        <v>19</v>
      </c>
      <c r="AH2573" t="str">
        <f t="shared" si="125"/>
        <v>Kalyanpur</v>
      </c>
      <c r="AJ2573" s="72">
        <v>0</v>
      </c>
      <c r="AK2573" s="72"/>
      <c r="AL2573" s="72"/>
      <c r="AM2573" s="72"/>
    </row>
    <row r="2574" spans="1:39" x14ac:dyDescent="0.25">
      <c r="A2574" s="37" t="s">
        <v>62</v>
      </c>
      <c r="B2574" s="66" t="s">
        <v>1629</v>
      </c>
      <c r="C2574" s="4">
        <v>1053</v>
      </c>
      <c r="D2574" s="41" t="s">
        <v>542</v>
      </c>
      <c r="E2574" s="41">
        <v>10530033</v>
      </c>
      <c r="F2574" s="85" t="s">
        <v>603</v>
      </c>
      <c r="G2574" s="39" t="s">
        <v>93</v>
      </c>
      <c r="H2574" s="52" t="s">
        <v>94</v>
      </c>
      <c r="I2574" s="52">
        <v>1019.05</v>
      </c>
      <c r="J2574" s="49">
        <v>41694.369999999988</v>
      </c>
      <c r="K2574" s="58">
        <v>1009.8100000000002</v>
      </c>
      <c r="L2574" s="58">
        <v>41535.981448262741</v>
      </c>
      <c r="M2574" s="58">
        <v>14.259999999999998</v>
      </c>
      <c r="N2574" s="58">
        <v>568.90807172100006</v>
      </c>
      <c r="O2574" s="58">
        <v>1024.0700000000002</v>
      </c>
      <c r="P2574" s="53">
        <v>42104.889519983743</v>
      </c>
      <c r="Q2574" s="65">
        <v>41694.369999999988</v>
      </c>
      <c r="R2574" s="65">
        <v>0</v>
      </c>
      <c r="S2574" s="65">
        <v>568.90807172100006</v>
      </c>
      <c r="T2574" s="65">
        <v>410.51951998375444</v>
      </c>
      <c r="U2574" s="58">
        <v>0</v>
      </c>
      <c r="V2574" s="65">
        <v>0</v>
      </c>
      <c r="W2574" s="65">
        <v>0</v>
      </c>
      <c r="X2574" s="65">
        <v>41125</v>
      </c>
      <c r="Y2574" s="65">
        <v>0</v>
      </c>
      <c r="Z2574" s="51">
        <v>0</v>
      </c>
      <c r="AA2574" s="51">
        <v>0</v>
      </c>
      <c r="AB2574" s="102">
        <v>0</v>
      </c>
      <c r="AC2574" s="81">
        <f t="shared" si="123"/>
        <v>0</v>
      </c>
      <c r="AD2574" s="82">
        <f t="shared" si="124"/>
        <v>0</v>
      </c>
      <c r="AE2574" s="218">
        <v>-9.8459221229090302E-3</v>
      </c>
      <c r="AF2574">
        <v>26</v>
      </c>
      <c r="AH2574" t="str">
        <f t="shared" si="125"/>
        <v>Kalyanpur</v>
      </c>
      <c r="AJ2574" s="72">
        <v>0</v>
      </c>
      <c r="AK2574" s="72"/>
      <c r="AL2574" s="72"/>
      <c r="AM2574" s="72"/>
    </row>
    <row r="2575" spans="1:39" x14ac:dyDescent="0.25">
      <c r="A2575" s="37" t="s">
        <v>62</v>
      </c>
      <c r="B2575" s="66" t="s">
        <v>1629</v>
      </c>
      <c r="C2575" s="4">
        <v>1053</v>
      </c>
      <c r="D2575" s="41" t="s">
        <v>542</v>
      </c>
      <c r="E2575" s="41">
        <v>10530034</v>
      </c>
      <c r="F2575" s="85" t="s">
        <v>604</v>
      </c>
      <c r="G2575" s="39" t="s">
        <v>93</v>
      </c>
      <c r="H2575" s="52" t="s">
        <v>94</v>
      </c>
      <c r="I2575" s="52">
        <v>925.49999999999989</v>
      </c>
      <c r="J2575" s="49">
        <v>47336.259999999995</v>
      </c>
      <c r="K2575" s="58">
        <v>933.78000000000031</v>
      </c>
      <c r="L2575" s="58">
        <v>48398.237388413334</v>
      </c>
      <c r="M2575" s="58">
        <v>0.01</v>
      </c>
      <c r="N2575" s="58">
        <v>0.48422067408000002</v>
      </c>
      <c r="O2575" s="58">
        <v>933.7900000000003</v>
      </c>
      <c r="P2575" s="53">
        <v>48398.721609087414</v>
      </c>
      <c r="Q2575" s="65">
        <v>47336.259999999995</v>
      </c>
      <c r="R2575" s="65">
        <v>0</v>
      </c>
      <c r="S2575" s="65">
        <v>0.48422067408000002</v>
      </c>
      <c r="T2575" s="65">
        <v>1062.4616090874188</v>
      </c>
      <c r="U2575" s="58">
        <v>0</v>
      </c>
      <c r="V2575" s="65">
        <v>0</v>
      </c>
      <c r="W2575" s="65">
        <v>0</v>
      </c>
      <c r="X2575" s="65">
        <v>47336</v>
      </c>
      <c r="Y2575" s="65">
        <v>0</v>
      </c>
      <c r="Z2575" s="51">
        <v>0</v>
      </c>
      <c r="AA2575" s="51">
        <v>0</v>
      </c>
      <c r="AB2575" s="102">
        <v>0</v>
      </c>
      <c r="AC2575" s="81">
        <f t="shared" si="123"/>
        <v>0</v>
      </c>
      <c r="AD2575" s="82">
        <f t="shared" si="124"/>
        <v>0</v>
      </c>
      <c r="AE2575" s="218">
        <v>-2.2444984227469995E-2</v>
      </c>
      <c r="AF2575">
        <v>36</v>
      </c>
      <c r="AH2575" t="str">
        <f t="shared" si="125"/>
        <v>Kalyanpur</v>
      </c>
      <c r="AJ2575" s="72">
        <v>0</v>
      </c>
      <c r="AK2575" s="72"/>
      <c r="AL2575" s="72"/>
      <c r="AM2575" s="72"/>
    </row>
    <row r="2576" spans="1:39" x14ac:dyDescent="0.25">
      <c r="A2576" s="37" t="s">
        <v>62</v>
      </c>
      <c r="B2576" s="66" t="s">
        <v>1629</v>
      </c>
      <c r="C2576" s="4">
        <v>1053</v>
      </c>
      <c r="D2576" s="41" t="s">
        <v>542</v>
      </c>
      <c r="E2576" s="41">
        <v>10530035</v>
      </c>
      <c r="F2576" s="85" t="s">
        <v>605</v>
      </c>
      <c r="G2576" s="39" t="s">
        <v>93</v>
      </c>
      <c r="H2576" s="52" t="s">
        <v>94</v>
      </c>
      <c r="I2576" s="52">
        <v>649.39999999999986</v>
      </c>
      <c r="J2576" s="49">
        <v>26654.23</v>
      </c>
      <c r="K2576" s="58">
        <v>642.02999999999986</v>
      </c>
      <c r="L2576" s="58">
        <v>26251.315654275342</v>
      </c>
      <c r="M2576" s="58">
        <v>15.39</v>
      </c>
      <c r="N2576" s="58">
        <v>641.43005410257604</v>
      </c>
      <c r="O2576" s="58">
        <v>657.41999999999985</v>
      </c>
      <c r="P2576" s="53">
        <v>26892.745708377919</v>
      </c>
      <c r="Q2576" s="65">
        <v>26654.23</v>
      </c>
      <c r="R2576" s="65">
        <v>0</v>
      </c>
      <c r="S2576" s="65">
        <v>641.43005410257604</v>
      </c>
      <c r="T2576" s="65">
        <v>238.51570837791951</v>
      </c>
      <c r="U2576" s="58">
        <v>0</v>
      </c>
      <c r="V2576" s="65">
        <v>0</v>
      </c>
      <c r="W2576" s="65">
        <v>0</v>
      </c>
      <c r="X2576" s="65">
        <v>26013</v>
      </c>
      <c r="Y2576" s="65">
        <v>0</v>
      </c>
      <c r="Z2576" s="51">
        <v>0</v>
      </c>
      <c r="AA2576" s="51">
        <v>0</v>
      </c>
      <c r="AB2576" s="102" t="s">
        <v>68</v>
      </c>
      <c r="AC2576" s="81">
        <f t="shared" si="123"/>
        <v>41.53692756390523</v>
      </c>
      <c r="AD2576" s="82">
        <f t="shared" si="124"/>
        <v>92.771428571428558</v>
      </c>
      <c r="AE2576" s="218">
        <v>-8.9485124266549636E-3</v>
      </c>
      <c r="AF2576">
        <v>22</v>
      </c>
      <c r="AH2576" t="str">
        <f t="shared" si="125"/>
        <v>Kalyanpur</v>
      </c>
      <c r="AJ2576" s="72">
        <v>0</v>
      </c>
      <c r="AK2576" s="72"/>
      <c r="AL2576" s="72"/>
      <c r="AM2576" s="72"/>
    </row>
    <row r="2577" spans="1:39" x14ac:dyDescent="0.25">
      <c r="A2577" s="37" t="s">
        <v>62</v>
      </c>
      <c r="B2577" s="66" t="s">
        <v>1629</v>
      </c>
      <c r="C2577" s="4">
        <v>1053</v>
      </c>
      <c r="D2577" s="41" t="s">
        <v>542</v>
      </c>
      <c r="E2577" s="41">
        <v>10530038</v>
      </c>
      <c r="F2577" s="85" t="s">
        <v>606</v>
      </c>
      <c r="G2577" s="39" t="s">
        <v>635</v>
      </c>
      <c r="H2577" s="52" t="s">
        <v>99</v>
      </c>
      <c r="I2577" s="52">
        <v>651.5</v>
      </c>
      <c r="J2577" s="49">
        <v>25708.35</v>
      </c>
      <c r="K2577" s="58">
        <v>0</v>
      </c>
      <c r="L2577" s="58">
        <v>0</v>
      </c>
      <c r="M2577" s="58">
        <v>0</v>
      </c>
      <c r="N2577" s="58">
        <v>0</v>
      </c>
      <c r="O2577" s="58">
        <v>0</v>
      </c>
      <c r="P2577" s="53">
        <v>0</v>
      </c>
      <c r="Q2577" s="65">
        <v>25708.35</v>
      </c>
      <c r="R2577" s="65">
        <v>0</v>
      </c>
      <c r="S2577" s="65">
        <v>0</v>
      </c>
      <c r="T2577" s="65">
        <v>0</v>
      </c>
      <c r="U2577" s="58">
        <v>1500</v>
      </c>
      <c r="V2577" s="65">
        <v>0</v>
      </c>
      <c r="W2577" s="65">
        <v>0</v>
      </c>
      <c r="X2577" s="65">
        <v>0</v>
      </c>
      <c r="Y2577" s="65">
        <v>0</v>
      </c>
      <c r="Z2577" s="51">
        <v>24208.35</v>
      </c>
      <c r="AA2577" s="51">
        <v>0</v>
      </c>
      <c r="AB2577" s="102">
        <v>0</v>
      </c>
      <c r="AC2577" s="81">
        <f t="shared" si="123"/>
        <v>38.276438219493492</v>
      </c>
      <c r="AD2577" s="82">
        <f t="shared" si="124"/>
        <v>93.071428571428569</v>
      </c>
      <c r="AE2577" s="218">
        <v>0</v>
      </c>
      <c r="AF2577">
        <v>0</v>
      </c>
      <c r="AH2577" t="str">
        <f t="shared" si="125"/>
        <v>Kalyanpur</v>
      </c>
      <c r="AJ2577" s="72">
        <v>0</v>
      </c>
      <c r="AK2577" s="72"/>
      <c r="AL2577" s="72"/>
      <c r="AM2577" s="72"/>
    </row>
    <row r="2578" spans="1:39" x14ac:dyDescent="0.25">
      <c r="A2578" s="37" t="s">
        <v>62</v>
      </c>
      <c r="B2578" s="66" t="s">
        <v>1629</v>
      </c>
      <c r="C2578" s="4">
        <v>1053</v>
      </c>
      <c r="D2578" s="41" t="s">
        <v>542</v>
      </c>
      <c r="E2578" s="41">
        <v>10530040</v>
      </c>
      <c r="F2578" s="85" t="s">
        <v>607</v>
      </c>
      <c r="G2578" s="39" t="s">
        <v>93</v>
      </c>
      <c r="H2578" s="52" t="s">
        <v>94</v>
      </c>
      <c r="I2578" s="52">
        <v>607.34999999999991</v>
      </c>
      <c r="J2578" s="49">
        <v>25711.310000000005</v>
      </c>
      <c r="K2578" s="58">
        <v>595.66999999999996</v>
      </c>
      <c r="L2578" s="58">
        <v>25667.994634422561</v>
      </c>
      <c r="M2578" s="58">
        <v>8.09</v>
      </c>
      <c r="N2578" s="58">
        <v>345.90995077499997</v>
      </c>
      <c r="O2578" s="58">
        <v>603.76</v>
      </c>
      <c r="P2578" s="53">
        <v>26013.904585197561</v>
      </c>
      <c r="Q2578" s="65">
        <v>25711.310000000005</v>
      </c>
      <c r="R2578" s="65">
        <v>0</v>
      </c>
      <c r="S2578" s="65">
        <v>345.90995077499997</v>
      </c>
      <c r="T2578" s="65">
        <v>302.59458519755572</v>
      </c>
      <c r="U2578" s="58">
        <v>0</v>
      </c>
      <c r="V2578" s="65">
        <v>0</v>
      </c>
      <c r="W2578" s="65">
        <v>0</v>
      </c>
      <c r="X2578" s="65">
        <v>25365</v>
      </c>
      <c r="Y2578" s="65">
        <v>0</v>
      </c>
      <c r="Z2578" s="51">
        <v>0</v>
      </c>
      <c r="AA2578" s="51">
        <v>0</v>
      </c>
      <c r="AB2578" s="102">
        <v>0</v>
      </c>
      <c r="AC2578" s="81">
        <f t="shared" si="123"/>
        <v>78.444154820120261</v>
      </c>
      <c r="AD2578" s="82">
        <f t="shared" si="124"/>
        <v>86.764285714285705</v>
      </c>
      <c r="AE2578" s="218">
        <v>-1.1768929128759121E-2</v>
      </c>
      <c r="AF2578">
        <v>24</v>
      </c>
      <c r="AH2578" t="str">
        <f t="shared" si="125"/>
        <v>Kalyanpur</v>
      </c>
      <c r="AJ2578" s="72">
        <v>0</v>
      </c>
      <c r="AK2578" s="72"/>
      <c r="AL2578" s="72"/>
      <c r="AM2578" s="72"/>
    </row>
    <row r="2579" spans="1:39" x14ac:dyDescent="0.25">
      <c r="A2579" s="37" t="s">
        <v>62</v>
      </c>
      <c r="B2579" s="66" t="s">
        <v>1629</v>
      </c>
      <c r="C2579" s="4">
        <v>1053</v>
      </c>
      <c r="D2579" s="41" t="s">
        <v>542</v>
      </c>
      <c r="E2579" s="41">
        <v>10530041</v>
      </c>
      <c r="F2579" s="85" t="s">
        <v>583</v>
      </c>
      <c r="G2579" s="39" t="s">
        <v>635</v>
      </c>
      <c r="H2579" s="52" t="s">
        <v>99</v>
      </c>
      <c r="I2579" s="52">
        <v>1092.5500000000002</v>
      </c>
      <c r="J2579" s="49">
        <v>43229.19000000001</v>
      </c>
      <c r="K2579" s="58">
        <v>0</v>
      </c>
      <c r="L2579" s="58">
        <v>0</v>
      </c>
      <c r="M2579" s="58">
        <v>0</v>
      </c>
      <c r="N2579" s="58">
        <v>0</v>
      </c>
      <c r="O2579" s="58">
        <v>0</v>
      </c>
      <c r="P2579" s="53">
        <v>0</v>
      </c>
      <c r="Q2579" s="65">
        <v>43229.19000000001</v>
      </c>
      <c r="R2579" s="65">
        <v>0</v>
      </c>
      <c r="S2579" s="65">
        <v>0</v>
      </c>
      <c r="T2579" s="65">
        <v>0</v>
      </c>
      <c r="U2579" s="58">
        <v>0</v>
      </c>
      <c r="V2579" s="65">
        <v>0</v>
      </c>
      <c r="W2579" s="65">
        <v>0</v>
      </c>
      <c r="X2579" s="65">
        <v>0</v>
      </c>
      <c r="Y2579" s="65">
        <v>0</v>
      </c>
      <c r="Z2579" s="51">
        <v>43229.19000000001</v>
      </c>
      <c r="AA2579" s="51">
        <v>0</v>
      </c>
      <c r="AB2579" s="102">
        <v>0</v>
      </c>
      <c r="AC2579" s="81">
        <f t="shared" si="123"/>
        <v>0</v>
      </c>
      <c r="AD2579" s="82">
        <f t="shared" si="124"/>
        <v>0</v>
      </c>
      <c r="AE2579" s="218">
        <v>0</v>
      </c>
      <c r="AF2579">
        <v>0</v>
      </c>
      <c r="AH2579" t="str">
        <f t="shared" si="125"/>
        <v>Kalyanpur</v>
      </c>
      <c r="AJ2579" s="72">
        <v>0</v>
      </c>
      <c r="AK2579" s="72"/>
      <c r="AL2579" s="72"/>
      <c r="AM2579" s="72"/>
    </row>
    <row r="2580" spans="1:39" x14ac:dyDescent="0.25">
      <c r="A2580" s="37" t="s">
        <v>62</v>
      </c>
      <c r="B2580" s="66" t="s">
        <v>1629</v>
      </c>
      <c r="C2580" s="4">
        <v>1053</v>
      </c>
      <c r="D2580" s="41" t="s">
        <v>542</v>
      </c>
      <c r="E2580" s="41">
        <v>10530044</v>
      </c>
      <c r="F2580" s="85" t="s">
        <v>608</v>
      </c>
      <c r="G2580" s="39" t="s">
        <v>93</v>
      </c>
      <c r="H2580" s="52" t="s">
        <v>94</v>
      </c>
      <c r="I2580" s="52">
        <v>1103.25</v>
      </c>
      <c r="J2580" s="49">
        <v>49020.15</v>
      </c>
      <c r="K2580" s="58">
        <v>1088.7400000000002</v>
      </c>
      <c r="L2580" s="58">
        <v>48488.676988226798</v>
      </c>
      <c r="M2580" s="58">
        <v>12.499999999999998</v>
      </c>
      <c r="N2580" s="58">
        <v>534.28402763999998</v>
      </c>
      <c r="O2580" s="58">
        <v>1101.2400000000002</v>
      </c>
      <c r="P2580" s="53">
        <v>49022.9610158668</v>
      </c>
      <c r="Q2580" s="65">
        <v>49020.15</v>
      </c>
      <c r="R2580" s="65">
        <v>0</v>
      </c>
      <c r="S2580" s="65">
        <v>534.28402763999998</v>
      </c>
      <c r="T2580" s="65">
        <v>2.811015866798698</v>
      </c>
      <c r="U2580" s="58">
        <v>0</v>
      </c>
      <c r="V2580" s="65">
        <v>42.260235483870972</v>
      </c>
      <c r="W2580" s="65">
        <v>0</v>
      </c>
      <c r="X2580" s="65">
        <v>48444</v>
      </c>
      <c r="Y2580" s="65">
        <v>0</v>
      </c>
      <c r="Z2580" s="51">
        <v>0</v>
      </c>
      <c r="AA2580" s="51">
        <v>0</v>
      </c>
      <c r="AB2580" s="102">
        <v>0</v>
      </c>
      <c r="AC2580" s="81">
        <f t="shared" si="123"/>
        <v>0</v>
      </c>
      <c r="AD2580" s="82">
        <f t="shared" si="124"/>
        <v>0</v>
      </c>
      <c r="AE2580" s="218">
        <v>-5.7344089457064042E-5</v>
      </c>
      <c r="AF2580">
        <v>21</v>
      </c>
      <c r="AH2580" t="str">
        <f t="shared" si="125"/>
        <v>Kalyanpur</v>
      </c>
      <c r="AJ2580" s="72">
        <v>0</v>
      </c>
      <c r="AK2580" s="72"/>
      <c r="AL2580" s="72"/>
      <c r="AM2580" s="72"/>
    </row>
    <row r="2581" spans="1:39" x14ac:dyDescent="0.25">
      <c r="A2581" s="37" t="s">
        <v>62</v>
      </c>
      <c r="B2581" s="66" t="s">
        <v>1629</v>
      </c>
      <c r="C2581" s="4">
        <v>1053</v>
      </c>
      <c r="D2581" s="41" t="s">
        <v>542</v>
      </c>
      <c r="E2581" s="41">
        <v>10530046</v>
      </c>
      <c r="F2581" s="85" t="s">
        <v>639</v>
      </c>
      <c r="G2581" s="39" t="s">
        <v>93</v>
      </c>
      <c r="H2581" s="52" t="s">
        <v>94</v>
      </c>
      <c r="I2581" s="52">
        <v>390.50000000000006</v>
      </c>
      <c r="J2581" s="49">
        <v>18771.239999999998</v>
      </c>
      <c r="K2581" s="58">
        <v>371.89</v>
      </c>
      <c r="L2581" s="58">
        <v>17848.628883256006</v>
      </c>
      <c r="M2581" s="58">
        <v>14.68</v>
      </c>
      <c r="N2581" s="58">
        <v>730.10105291340005</v>
      </c>
      <c r="O2581" s="58">
        <v>386.57</v>
      </c>
      <c r="P2581" s="53">
        <v>18578.729936169406</v>
      </c>
      <c r="Q2581" s="65">
        <v>18578.729936169406</v>
      </c>
      <c r="R2581" s="65">
        <v>0</v>
      </c>
      <c r="S2581" s="65">
        <v>730.10105291340005</v>
      </c>
      <c r="T2581" s="65">
        <v>0</v>
      </c>
      <c r="U2581" s="58">
        <v>0</v>
      </c>
      <c r="V2581" s="65">
        <v>66.368216129032191</v>
      </c>
      <c r="W2581" s="65">
        <v>0</v>
      </c>
      <c r="X2581" s="65">
        <v>17782</v>
      </c>
      <c r="Y2581" s="65">
        <v>0</v>
      </c>
      <c r="Z2581" s="51">
        <v>0</v>
      </c>
      <c r="AA2581" s="51">
        <v>193</v>
      </c>
      <c r="AB2581" s="102">
        <v>0</v>
      </c>
      <c r="AC2581" s="81">
        <f t="shared" si="123"/>
        <v>297.55179411011511</v>
      </c>
      <c r="AD2581" s="82">
        <f t="shared" si="124"/>
        <v>55.785714285714292</v>
      </c>
      <c r="AE2581" s="218">
        <v>1.0255585876617216E-2</v>
      </c>
      <c r="AF2581">
        <v>23</v>
      </c>
      <c r="AH2581" t="str">
        <f t="shared" si="125"/>
        <v>Kalyanpur</v>
      </c>
      <c r="AJ2581" s="72">
        <v>0</v>
      </c>
      <c r="AK2581" s="72"/>
      <c r="AL2581" s="72"/>
      <c r="AM2581" s="72"/>
    </row>
    <row r="2582" spans="1:39" x14ac:dyDescent="0.25">
      <c r="A2582" s="37" t="s">
        <v>62</v>
      </c>
      <c r="B2582" s="66" t="s">
        <v>1629</v>
      </c>
      <c r="C2582" s="4">
        <v>1053</v>
      </c>
      <c r="D2582" s="41" t="s">
        <v>542</v>
      </c>
      <c r="E2582" s="41">
        <v>10530047</v>
      </c>
      <c r="F2582" s="85" t="s">
        <v>609</v>
      </c>
      <c r="G2582" s="39" t="s">
        <v>93</v>
      </c>
      <c r="H2582" s="52" t="s">
        <v>94</v>
      </c>
      <c r="I2582" s="52">
        <v>278.5</v>
      </c>
      <c r="J2582" s="49">
        <v>9557.44</v>
      </c>
      <c r="K2582" s="58">
        <v>279.62</v>
      </c>
      <c r="L2582" s="58">
        <v>10156.510509076803</v>
      </c>
      <c r="M2582" s="58">
        <v>0</v>
      </c>
      <c r="N2582" s="58">
        <v>0</v>
      </c>
      <c r="O2582" s="58">
        <v>279.62</v>
      </c>
      <c r="P2582" s="53">
        <v>10156.510509076803</v>
      </c>
      <c r="Q2582" s="65">
        <v>9557.44</v>
      </c>
      <c r="R2582" s="65">
        <v>0</v>
      </c>
      <c r="S2582" s="65">
        <v>0</v>
      </c>
      <c r="T2582" s="65">
        <v>599.07050907680241</v>
      </c>
      <c r="U2582" s="58">
        <v>1500</v>
      </c>
      <c r="V2582" s="65">
        <v>24.127916129032258</v>
      </c>
      <c r="W2582" s="65">
        <v>0</v>
      </c>
      <c r="X2582" s="65">
        <v>8032</v>
      </c>
      <c r="Y2582" s="65">
        <v>0</v>
      </c>
      <c r="Z2582" s="51">
        <v>0</v>
      </c>
      <c r="AA2582" s="51">
        <v>1</v>
      </c>
      <c r="AB2582" s="102">
        <v>0</v>
      </c>
      <c r="AC2582" s="81">
        <f t="shared" si="123"/>
        <v>289.29701687612209</v>
      </c>
      <c r="AD2582" s="82">
        <f t="shared" si="124"/>
        <v>39.785714285714285</v>
      </c>
      <c r="AE2582" s="218">
        <v>-6.2681064079586415E-2</v>
      </c>
      <c r="AF2582">
        <v>5</v>
      </c>
      <c r="AH2582" t="str">
        <f t="shared" si="125"/>
        <v>Kalyanpur</v>
      </c>
      <c r="AJ2582" s="72">
        <v>0</v>
      </c>
      <c r="AK2582" s="72"/>
      <c r="AL2582" s="72"/>
      <c r="AM2582" s="72"/>
    </row>
    <row r="2583" spans="1:39" x14ac:dyDescent="0.25">
      <c r="A2583" s="37" t="s">
        <v>62</v>
      </c>
      <c r="B2583" s="66" t="s">
        <v>1629</v>
      </c>
      <c r="C2583" s="4">
        <v>1053</v>
      </c>
      <c r="D2583" s="41" t="s">
        <v>542</v>
      </c>
      <c r="E2583" s="41">
        <v>10530048</v>
      </c>
      <c r="F2583" s="85" t="s">
        <v>640</v>
      </c>
      <c r="G2583" s="39" t="s">
        <v>93</v>
      </c>
      <c r="H2583" s="52" t="s">
        <v>94</v>
      </c>
      <c r="I2583" s="52">
        <v>374.75</v>
      </c>
      <c r="J2583" s="49">
        <v>13955.669999999998</v>
      </c>
      <c r="K2583" s="58">
        <v>369.33</v>
      </c>
      <c r="L2583" s="58">
        <v>13716.074151282281</v>
      </c>
      <c r="M2583" s="58">
        <v>5.4700000000000006</v>
      </c>
      <c r="N2583" s="58">
        <v>228.92598414769202</v>
      </c>
      <c r="O2583" s="58">
        <v>374.8</v>
      </c>
      <c r="P2583" s="53">
        <v>13945.000135429973</v>
      </c>
      <c r="Q2583" s="65">
        <v>13945.000135429973</v>
      </c>
      <c r="R2583" s="65">
        <v>0</v>
      </c>
      <c r="S2583" s="65">
        <v>228.92598414769202</v>
      </c>
      <c r="T2583" s="65">
        <v>0</v>
      </c>
      <c r="U2583" s="58">
        <v>0</v>
      </c>
      <c r="V2583" s="65">
        <v>0</v>
      </c>
      <c r="W2583" s="65">
        <v>0</v>
      </c>
      <c r="X2583" s="65">
        <v>13717</v>
      </c>
      <c r="Y2583" s="65">
        <v>0</v>
      </c>
      <c r="Z2583" s="51">
        <v>0</v>
      </c>
      <c r="AA2583" s="51">
        <v>10</v>
      </c>
      <c r="AB2583" s="102">
        <v>0</v>
      </c>
      <c r="AC2583" s="81">
        <f t="shared" si="123"/>
        <v>242.24585283522345</v>
      </c>
      <c r="AD2583" s="82">
        <f t="shared" si="124"/>
        <v>53.535714285714285</v>
      </c>
      <c r="AE2583" s="218">
        <v>7.6455408948658944E-4</v>
      </c>
      <c r="AF2583">
        <v>11</v>
      </c>
      <c r="AH2583" t="str">
        <f t="shared" si="125"/>
        <v>Kalyanpur</v>
      </c>
      <c r="AJ2583" s="72">
        <v>0</v>
      </c>
      <c r="AK2583" s="72"/>
      <c r="AL2583" s="72"/>
      <c r="AM2583" s="72"/>
    </row>
    <row r="2584" spans="1:39" x14ac:dyDescent="0.25">
      <c r="A2584" s="37" t="s">
        <v>62</v>
      </c>
      <c r="B2584" s="66" t="s">
        <v>1629</v>
      </c>
      <c r="C2584" s="4">
        <v>1053</v>
      </c>
      <c r="D2584" s="41" t="s">
        <v>542</v>
      </c>
      <c r="E2584" s="41">
        <v>10530049</v>
      </c>
      <c r="F2584" s="85" t="s">
        <v>610</v>
      </c>
      <c r="G2584" s="39" t="s">
        <v>635</v>
      </c>
      <c r="H2584" s="52" t="s">
        <v>99</v>
      </c>
      <c r="I2584" s="52">
        <v>1926.2</v>
      </c>
      <c r="J2584" s="49">
        <v>70977.31</v>
      </c>
      <c r="K2584" s="58">
        <v>0</v>
      </c>
      <c r="L2584" s="58">
        <v>0</v>
      </c>
      <c r="M2584" s="58">
        <v>0</v>
      </c>
      <c r="N2584" s="58">
        <v>0</v>
      </c>
      <c r="O2584" s="58">
        <v>0</v>
      </c>
      <c r="P2584" s="53">
        <v>0</v>
      </c>
      <c r="Q2584" s="65">
        <v>70977.31</v>
      </c>
      <c r="R2584" s="65">
        <v>0</v>
      </c>
      <c r="S2584" s="65">
        <v>0</v>
      </c>
      <c r="T2584" s="65">
        <v>0</v>
      </c>
      <c r="U2584" s="58">
        <v>0</v>
      </c>
      <c r="V2584" s="65">
        <v>180.15397741935485</v>
      </c>
      <c r="W2584" s="65">
        <v>0</v>
      </c>
      <c r="X2584" s="65">
        <v>0</v>
      </c>
      <c r="Y2584" s="65">
        <v>0</v>
      </c>
      <c r="Z2584" s="51">
        <v>70797.156022580646</v>
      </c>
      <c r="AA2584" s="51">
        <v>0</v>
      </c>
      <c r="AB2584" s="102">
        <v>0</v>
      </c>
      <c r="AC2584" s="81">
        <f t="shared" si="123"/>
        <v>0</v>
      </c>
      <c r="AD2584" s="82">
        <f t="shared" si="124"/>
        <v>0</v>
      </c>
      <c r="AE2584" s="218">
        <v>0</v>
      </c>
      <c r="AF2584">
        <v>0</v>
      </c>
      <c r="AH2584" t="str">
        <f t="shared" si="125"/>
        <v>Kalyanpur</v>
      </c>
      <c r="AJ2584" s="72">
        <v>0</v>
      </c>
      <c r="AK2584" s="72"/>
      <c r="AL2584" s="72"/>
      <c r="AM2584" s="72"/>
    </row>
    <row r="2585" spans="1:39" x14ac:dyDescent="0.25">
      <c r="A2585" s="37" t="s">
        <v>62</v>
      </c>
      <c r="B2585" s="66" t="s">
        <v>1629</v>
      </c>
      <c r="C2585" s="4">
        <v>1053</v>
      </c>
      <c r="D2585" s="41" t="s">
        <v>542</v>
      </c>
      <c r="E2585" s="41">
        <v>10530050</v>
      </c>
      <c r="F2585" s="85" t="s">
        <v>559</v>
      </c>
      <c r="G2585" s="39" t="s">
        <v>635</v>
      </c>
      <c r="H2585" s="52" t="s">
        <v>99</v>
      </c>
      <c r="I2585" s="52">
        <v>193.3</v>
      </c>
      <c r="J2585" s="49">
        <v>8949.6</v>
      </c>
      <c r="K2585" s="58">
        <v>0</v>
      </c>
      <c r="L2585" s="58">
        <v>0</v>
      </c>
      <c r="M2585" s="58">
        <v>0</v>
      </c>
      <c r="N2585" s="58">
        <v>0</v>
      </c>
      <c r="O2585" s="58">
        <v>0</v>
      </c>
      <c r="P2585" s="53">
        <v>0</v>
      </c>
      <c r="Q2585" s="65">
        <v>8949.6</v>
      </c>
      <c r="R2585" s="65">
        <v>0</v>
      </c>
      <c r="S2585" s="65">
        <v>0</v>
      </c>
      <c r="T2585" s="65">
        <v>0</v>
      </c>
      <c r="U2585" s="58">
        <v>0</v>
      </c>
      <c r="V2585" s="65">
        <v>0</v>
      </c>
      <c r="W2585" s="65">
        <v>0</v>
      </c>
      <c r="X2585" s="65">
        <v>0</v>
      </c>
      <c r="Y2585" s="65">
        <v>0</v>
      </c>
      <c r="Z2585" s="51">
        <v>8949.6</v>
      </c>
      <c r="AA2585" s="51">
        <v>0</v>
      </c>
      <c r="AB2585" s="102">
        <v>0</v>
      </c>
      <c r="AC2585" s="81">
        <f t="shared" si="123"/>
        <v>469.19423900672524</v>
      </c>
      <c r="AD2585" s="82">
        <f t="shared" si="124"/>
        <v>27.614285714285717</v>
      </c>
      <c r="AE2585" s="218">
        <v>0</v>
      </c>
      <c r="AF2585">
        <v>0</v>
      </c>
      <c r="AH2585" t="str">
        <f t="shared" si="125"/>
        <v>Kalyanpur</v>
      </c>
      <c r="AJ2585" s="72">
        <v>0</v>
      </c>
      <c r="AK2585" s="72"/>
      <c r="AL2585" s="72"/>
      <c r="AM2585" s="72"/>
    </row>
    <row r="2586" spans="1:39" x14ac:dyDescent="0.25">
      <c r="A2586" s="37" t="s">
        <v>62</v>
      </c>
      <c r="B2586" s="66" t="s">
        <v>1629</v>
      </c>
      <c r="C2586" s="4">
        <v>1053</v>
      </c>
      <c r="D2586" s="41" t="s">
        <v>542</v>
      </c>
      <c r="E2586" s="41">
        <v>10530055</v>
      </c>
      <c r="F2586" s="85" t="s">
        <v>654</v>
      </c>
      <c r="G2586" s="39" t="s">
        <v>93</v>
      </c>
      <c r="H2586" s="52" t="s">
        <v>94</v>
      </c>
      <c r="I2586" s="52">
        <v>1721.1500000000003</v>
      </c>
      <c r="J2586" s="49">
        <v>66653.2</v>
      </c>
      <c r="K2586" s="58">
        <v>1746.9400000000003</v>
      </c>
      <c r="L2586" s="58">
        <v>66789.421691790412</v>
      </c>
      <c r="M2586" s="58">
        <v>28.99</v>
      </c>
      <c r="N2586" s="58">
        <v>1125.6548367240002</v>
      </c>
      <c r="O2586" s="58">
        <v>1775.9300000000003</v>
      </c>
      <c r="P2586" s="53">
        <v>67915.076528514415</v>
      </c>
      <c r="Q2586" s="65">
        <v>66653.2</v>
      </c>
      <c r="R2586" s="65">
        <v>0</v>
      </c>
      <c r="S2586" s="65">
        <v>1125.6548367240002</v>
      </c>
      <c r="T2586" s="65">
        <v>1261.8765285144182</v>
      </c>
      <c r="U2586" s="58">
        <v>2721</v>
      </c>
      <c r="V2586" s="65">
        <v>0</v>
      </c>
      <c r="W2586" s="65">
        <v>0</v>
      </c>
      <c r="X2586" s="65">
        <v>62807</v>
      </c>
      <c r="Y2586" s="65">
        <v>0</v>
      </c>
      <c r="Z2586" s="51">
        <v>0</v>
      </c>
      <c r="AA2586" s="51">
        <v>0</v>
      </c>
      <c r="AB2586" s="102" t="s">
        <v>66</v>
      </c>
      <c r="AC2586" s="81">
        <f t="shared" si="123"/>
        <v>0</v>
      </c>
      <c r="AD2586" s="82">
        <f t="shared" si="124"/>
        <v>0</v>
      </c>
      <c r="AE2586" s="218">
        <v>-1.8931972186097865E-2</v>
      </c>
      <c r="AF2586">
        <v>49</v>
      </c>
      <c r="AH2586" t="str">
        <f t="shared" si="125"/>
        <v>Kalyanpur</v>
      </c>
      <c r="AJ2586" s="72">
        <v>0</v>
      </c>
      <c r="AK2586" s="72"/>
      <c r="AL2586" s="72"/>
      <c r="AM2586" s="72"/>
    </row>
    <row r="2587" spans="1:39" x14ac:dyDescent="0.25">
      <c r="A2587" s="37" t="s">
        <v>62</v>
      </c>
      <c r="B2587" s="66" t="s">
        <v>1629</v>
      </c>
      <c r="C2587" s="4">
        <v>1053</v>
      </c>
      <c r="D2587" s="41" t="s">
        <v>542</v>
      </c>
      <c r="E2587" s="41">
        <v>10530057</v>
      </c>
      <c r="F2587" s="85" t="s">
        <v>655</v>
      </c>
      <c r="G2587" s="39" t="s">
        <v>635</v>
      </c>
      <c r="H2587" s="52" t="s">
        <v>99</v>
      </c>
      <c r="I2587" s="52">
        <v>72.2</v>
      </c>
      <c r="J2587" s="49">
        <v>3437.6799999999994</v>
      </c>
      <c r="K2587" s="58">
        <v>0</v>
      </c>
      <c r="L2587" s="58">
        <v>0</v>
      </c>
      <c r="M2587" s="58">
        <v>0</v>
      </c>
      <c r="N2587" s="58">
        <v>0</v>
      </c>
      <c r="O2587" s="58">
        <v>0</v>
      </c>
      <c r="P2587" s="53">
        <v>0</v>
      </c>
      <c r="Q2587" s="65">
        <v>3437.6799999999994</v>
      </c>
      <c r="R2587" s="65">
        <v>0</v>
      </c>
      <c r="S2587" s="65">
        <v>0</v>
      </c>
      <c r="T2587" s="65">
        <v>0</v>
      </c>
      <c r="U2587" s="58">
        <v>0</v>
      </c>
      <c r="V2587" s="65">
        <v>0</v>
      </c>
      <c r="W2587" s="65">
        <v>0</v>
      </c>
      <c r="X2587" s="65">
        <v>0</v>
      </c>
      <c r="Y2587" s="65">
        <v>0</v>
      </c>
      <c r="Z2587" s="51">
        <v>3437.6799999999994</v>
      </c>
      <c r="AA2587" s="51">
        <v>0</v>
      </c>
      <c r="AB2587" s="102">
        <v>0</v>
      </c>
      <c r="AC2587" s="81">
        <f t="shared" si="123"/>
        <v>597.83254958448731</v>
      </c>
      <c r="AD2587" s="82">
        <f t="shared" si="124"/>
        <v>10.314285714285715</v>
      </c>
      <c r="AE2587" s="218">
        <v>0</v>
      </c>
      <c r="AF2587">
        <v>0</v>
      </c>
      <c r="AH2587" t="str">
        <f t="shared" si="125"/>
        <v>Kalyanpur</v>
      </c>
      <c r="AJ2587" s="72">
        <v>0</v>
      </c>
      <c r="AK2587" s="72"/>
      <c r="AL2587" s="72"/>
      <c r="AM2587" s="72"/>
    </row>
    <row r="2588" spans="1:39" x14ac:dyDescent="0.25">
      <c r="A2588" s="37" t="s">
        <v>62</v>
      </c>
      <c r="B2588" s="66" t="s">
        <v>1629</v>
      </c>
      <c r="C2588" s="4">
        <v>1053</v>
      </c>
      <c r="D2588" s="41" t="s">
        <v>542</v>
      </c>
      <c r="E2588" s="41">
        <v>10530058</v>
      </c>
      <c r="F2588" s="85" t="s">
        <v>674</v>
      </c>
      <c r="G2588" s="39" t="s">
        <v>93</v>
      </c>
      <c r="H2588" s="52" t="s">
        <v>94</v>
      </c>
      <c r="I2588" s="52">
        <v>142.25</v>
      </c>
      <c r="J2588" s="49">
        <v>5475.8</v>
      </c>
      <c r="K2588" s="58">
        <v>149.23000000000002</v>
      </c>
      <c r="L2588" s="58">
        <v>5531.6614012794007</v>
      </c>
      <c r="M2588" s="58">
        <v>0</v>
      </c>
      <c r="N2588" s="58">
        <v>0</v>
      </c>
      <c r="O2588" s="58">
        <v>149.23000000000002</v>
      </c>
      <c r="P2588" s="53">
        <v>5531.6614012794007</v>
      </c>
      <c r="Q2588" s="65">
        <v>5475.8</v>
      </c>
      <c r="R2588" s="65">
        <v>0</v>
      </c>
      <c r="S2588" s="65">
        <v>0</v>
      </c>
      <c r="T2588" s="65">
        <v>55.861401279400525</v>
      </c>
      <c r="U2588" s="58">
        <v>0</v>
      </c>
      <c r="V2588" s="65">
        <v>1.023687096774168</v>
      </c>
      <c r="W2588" s="65">
        <v>0</v>
      </c>
      <c r="X2588" s="65">
        <v>5475</v>
      </c>
      <c r="Y2588" s="65">
        <v>0</v>
      </c>
      <c r="Z2588" s="51">
        <v>0</v>
      </c>
      <c r="AA2588" s="51">
        <v>0</v>
      </c>
      <c r="AB2588" s="102">
        <v>0</v>
      </c>
      <c r="AC2588" s="81">
        <f t="shared" si="123"/>
        <v>429.40280492091392</v>
      </c>
      <c r="AD2588" s="82">
        <f t="shared" si="124"/>
        <v>20.321428571428573</v>
      </c>
      <c r="AE2588" s="218">
        <v>-1.0201505036597489E-2</v>
      </c>
      <c r="AF2588">
        <v>10</v>
      </c>
      <c r="AH2588" t="str">
        <f t="shared" si="125"/>
        <v>Kalyanpur</v>
      </c>
      <c r="AJ2588" s="72">
        <v>0</v>
      </c>
      <c r="AK2588" s="72"/>
      <c r="AL2588" s="72"/>
      <c r="AM2588" s="72"/>
    </row>
    <row r="2589" spans="1:39" x14ac:dyDescent="0.25">
      <c r="A2589" s="37" t="s">
        <v>62</v>
      </c>
      <c r="B2589" s="66" t="s">
        <v>1629</v>
      </c>
      <c r="C2589" s="4">
        <v>1053</v>
      </c>
      <c r="D2589" s="41" t="s">
        <v>542</v>
      </c>
      <c r="E2589" s="41">
        <v>10530059</v>
      </c>
      <c r="F2589" s="85" t="s">
        <v>656</v>
      </c>
      <c r="G2589" s="39" t="s">
        <v>635</v>
      </c>
      <c r="H2589" s="52" t="s">
        <v>99</v>
      </c>
      <c r="I2589" s="52">
        <v>2164.75</v>
      </c>
      <c r="J2589" s="49">
        <v>99761.450000000012</v>
      </c>
      <c r="K2589" s="58">
        <v>0</v>
      </c>
      <c r="L2589" s="58">
        <v>0</v>
      </c>
      <c r="M2589" s="58">
        <v>0</v>
      </c>
      <c r="N2589" s="58">
        <v>0</v>
      </c>
      <c r="O2589" s="58">
        <v>0</v>
      </c>
      <c r="P2589" s="53">
        <v>0</v>
      </c>
      <c r="Q2589" s="65">
        <v>99761.450000000012</v>
      </c>
      <c r="R2589" s="65">
        <v>0</v>
      </c>
      <c r="S2589" s="65">
        <v>0</v>
      </c>
      <c r="T2589" s="65">
        <v>0</v>
      </c>
      <c r="U2589" s="58">
        <v>5550</v>
      </c>
      <c r="V2589" s="65">
        <v>0</v>
      </c>
      <c r="W2589" s="65">
        <v>0</v>
      </c>
      <c r="X2589" s="65">
        <v>0</v>
      </c>
      <c r="Y2589" s="65">
        <v>0</v>
      </c>
      <c r="Z2589" s="51">
        <v>94211.450000000012</v>
      </c>
      <c r="AA2589" s="51">
        <v>0</v>
      </c>
      <c r="AB2589" s="102">
        <v>0</v>
      </c>
      <c r="AC2589" s="81">
        <f t="shared" si="123"/>
        <v>0</v>
      </c>
      <c r="AD2589" s="82">
        <f t="shared" si="124"/>
        <v>0</v>
      </c>
      <c r="AE2589" s="218">
        <v>0</v>
      </c>
      <c r="AF2589">
        <v>0</v>
      </c>
      <c r="AH2589" t="str">
        <f t="shared" si="125"/>
        <v>Kalyanpur</v>
      </c>
      <c r="AJ2589" s="72">
        <v>0</v>
      </c>
      <c r="AK2589" s="72"/>
      <c r="AL2589" s="72"/>
      <c r="AM2589" s="72"/>
    </row>
    <row r="2590" spans="1:39" x14ac:dyDescent="0.25">
      <c r="A2590" s="37" t="s">
        <v>62</v>
      </c>
      <c r="B2590" s="66" t="s">
        <v>1629</v>
      </c>
      <c r="C2590" s="4">
        <v>1053</v>
      </c>
      <c r="D2590" s="41" t="s">
        <v>542</v>
      </c>
      <c r="E2590" s="41">
        <v>10530060</v>
      </c>
      <c r="F2590" s="85" t="s">
        <v>675</v>
      </c>
      <c r="G2590" s="39" t="s">
        <v>635</v>
      </c>
      <c r="H2590" s="52" t="s">
        <v>99</v>
      </c>
      <c r="I2590" s="52">
        <v>482.34999999999997</v>
      </c>
      <c r="J2590" s="49">
        <v>21534.45</v>
      </c>
      <c r="K2590" s="58">
        <v>0</v>
      </c>
      <c r="L2590" s="58">
        <v>0</v>
      </c>
      <c r="M2590" s="58">
        <v>0</v>
      </c>
      <c r="N2590" s="58">
        <v>0</v>
      </c>
      <c r="O2590" s="58">
        <v>0</v>
      </c>
      <c r="P2590" s="53">
        <v>0</v>
      </c>
      <c r="Q2590" s="65">
        <v>21534.45</v>
      </c>
      <c r="R2590" s="65">
        <v>0</v>
      </c>
      <c r="S2590" s="65">
        <v>0</v>
      </c>
      <c r="T2590" s="65">
        <v>0</v>
      </c>
      <c r="U2590" s="58">
        <v>0</v>
      </c>
      <c r="V2590" s="65">
        <v>0</v>
      </c>
      <c r="W2590" s="65">
        <v>0</v>
      </c>
      <c r="X2590" s="65">
        <v>0</v>
      </c>
      <c r="Y2590" s="65">
        <v>0</v>
      </c>
      <c r="Z2590" s="51">
        <v>21534.45</v>
      </c>
      <c r="AA2590" s="51">
        <v>0</v>
      </c>
      <c r="AB2590" s="102">
        <v>0</v>
      </c>
      <c r="AC2590" s="81">
        <f t="shared" si="123"/>
        <v>194.33909163470511</v>
      </c>
      <c r="AD2590" s="82">
        <f t="shared" si="124"/>
        <v>68.907142857142858</v>
      </c>
      <c r="AE2590" s="218">
        <v>0</v>
      </c>
      <c r="AF2590">
        <v>0</v>
      </c>
      <c r="AH2590" t="str">
        <f t="shared" si="125"/>
        <v>Kalyanpur</v>
      </c>
      <c r="AJ2590" s="72">
        <v>0</v>
      </c>
      <c r="AK2590" s="72"/>
      <c r="AL2590" s="72"/>
      <c r="AM2590" s="72"/>
    </row>
    <row r="2591" spans="1:39" x14ac:dyDescent="0.25">
      <c r="A2591" s="37" t="s">
        <v>62</v>
      </c>
      <c r="B2591" s="66" t="s">
        <v>1629</v>
      </c>
      <c r="C2591" s="4">
        <v>1053</v>
      </c>
      <c r="D2591" s="41" t="s">
        <v>542</v>
      </c>
      <c r="E2591" s="41">
        <v>10530062</v>
      </c>
      <c r="F2591" s="85" t="s">
        <v>681</v>
      </c>
      <c r="G2591" s="39" t="s">
        <v>93</v>
      </c>
      <c r="H2591" s="52" t="s">
        <v>94</v>
      </c>
      <c r="I2591" s="52">
        <v>893.7</v>
      </c>
      <c r="J2591" s="49">
        <v>36715.130000000005</v>
      </c>
      <c r="K2591" s="58">
        <v>890.83999999999992</v>
      </c>
      <c r="L2591" s="58">
        <v>36514.845398776197</v>
      </c>
      <c r="M2591" s="58">
        <v>5.4700000000000015</v>
      </c>
      <c r="N2591" s="58">
        <v>237.94308119233</v>
      </c>
      <c r="O2591" s="58">
        <v>896.31</v>
      </c>
      <c r="P2591" s="53">
        <v>36752.788479968527</v>
      </c>
      <c r="Q2591" s="65">
        <v>36715.130000000005</v>
      </c>
      <c r="R2591" s="65">
        <v>0</v>
      </c>
      <c r="S2591" s="65">
        <v>237.94308119233</v>
      </c>
      <c r="T2591" s="65">
        <v>37.658479968522443</v>
      </c>
      <c r="U2591" s="58">
        <v>0</v>
      </c>
      <c r="V2591" s="65">
        <v>0</v>
      </c>
      <c r="W2591" s="65">
        <v>0</v>
      </c>
      <c r="X2591" s="65">
        <v>36477</v>
      </c>
      <c r="Y2591" s="65">
        <v>0</v>
      </c>
      <c r="Z2591" s="51">
        <v>0</v>
      </c>
      <c r="AA2591" s="51">
        <v>0</v>
      </c>
      <c r="AB2591" s="102">
        <v>0</v>
      </c>
      <c r="AC2591" s="81">
        <f t="shared" si="123"/>
        <v>0</v>
      </c>
      <c r="AD2591" s="82">
        <f t="shared" si="124"/>
        <v>0</v>
      </c>
      <c r="AE2591" s="218">
        <v>-1.02569376626264E-3</v>
      </c>
      <c r="AF2591">
        <v>9</v>
      </c>
      <c r="AH2591" t="str">
        <f t="shared" si="125"/>
        <v>Kalyanpur</v>
      </c>
      <c r="AJ2591" s="72">
        <v>0</v>
      </c>
      <c r="AK2591" s="72"/>
      <c r="AL2591" s="72"/>
      <c r="AM2591" s="72"/>
    </row>
    <row r="2592" spans="1:39" x14ac:dyDescent="0.25">
      <c r="A2592" s="37" t="s">
        <v>62</v>
      </c>
      <c r="B2592" s="66" t="s">
        <v>1629</v>
      </c>
      <c r="C2592" s="4">
        <v>1053</v>
      </c>
      <c r="D2592" s="41" t="s">
        <v>542</v>
      </c>
      <c r="E2592" s="41">
        <v>10530063</v>
      </c>
      <c r="F2592" s="85" t="s">
        <v>682</v>
      </c>
      <c r="G2592" s="39" t="s">
        <v>635</v>
      </c>
      <c r="H2592" s="52" t="s">
        <v>99</v>
      </c>
      <c r="I2592" s="52">
        <v>430.4</v>
      </c>
      <c r="J2592" s="49">
        <v>22379.230000000003</v>
      </c>
      <c r="K2592" s="58">
        <v>0</v>
      </c>
      <c r="L2592" s="58">
        <v>0</v>
      </c>
      <c r="M2592" s="58">
        <v>0</v>
      </c>
      <c r="N2592" s="58">
        <v>0</v>
      </c>
      <c r="O2592" s="58">
        <v>0</v>
      </c>
      <c r="P2592" s="53">
        <v>0</v>
      </c>
      <c r="Q2592" s="65">
        <v>22379.230000000003</v>
      </c>
      <c r="R2592" s="65">
        <v>0</v>
      </c>
      <c r="S2592" s="65">
        <v>0</v>
      </c>
      <c r="T2592" s="65">
        <v>0</v>
      </c>
      <c r="U2592" s="58">
        <v>0</v>
      </c>
      <c r="V2592" s="65">
        <v>16.0580322580645</v>
      </c>
      <c r="W2592" s="65">
        <v>0</v>
      </c>
      <c r="X2592" s="65">
        <v>0</v>
      </c>
      <c r="Y2592" s="65">
        <v>0</v>
      </c>
      <c r="Z2592" s="51">
        <v>22363.171967741939</v>
      </c>
      <c r="AA2592" s="51">
        <v>0</v>
      </c>
      <c r="AB2592" s="102">
        <v>0</v>
      </c>
      <c r="AC2592" s="81">
        <f t="shared" si="123"/>
        <v>280.3643312267659</v>
      </c>
      <c r="AD2592" s="82">
        <f t="shared" si="124"/>
        <v>61.48571428571428</v>
      </c>
      <c r="AE2592" s="218">
        <v>0</v>
      </c>
      <c r="AF2592">
        <v>0</v>
      </c>
      <c r="AH2592" t="str">
        <f t="shared" si="125"/>
        <v>Kalyanpur</v>
      </c>
      <c r="AJ2592" s="72">
        <v>0</v>
      </c>
      <c r="AK2592" s="72"/>
      <c r="AL2592" s="72"/>
      <c r="AM2592" s="72"/>
    </row>
    <row r="2593" spans="1:39" x14ac:dyDescent="0.25">
      <c r="A2593" s="37" t="s">
        <v>62</v>
      </c>
      <c r="B2593" s="66" t="s">
        <v>1629</v>
      </c>
      <c r="C2593" s="4">
        <v>1053</v>
      </c>
      <c r="D2593" s="41" t="s">
        <v>542</v>
      </c>
      <c r="E2593" s="41">
        <v>10530064</v>
      </c>
      <c r="F2593" s="85" t="s">
        <v>830</v>
      </c>
      <c r="G2593" s="39" t="s">
        <v>93</v>
      </c>
      <c r="H2593" s="52" t="s">
        <v>94</v>
      </c>
      <c r="I2593" s="52">
        <v>810</v>
      </c>
      <c r="J2593" s="49">
        <v>34393.210000000006</v>
      </c>
      <c r="K2593" s="58">
        <v>814.73999999999978</v>
      </c>
      <c r="L2593" s="58">
        <v>33623.742914051851</v>
      </c>
      <c r="M2593" s="58">
        <v>53.560000000000009</v>
      </c>
      <c r="N2593" s="58">
        <v>2260.6947930600004</v>
      </c>
      <c r="O2593" s="58">
        <v>868.29999999999984</v>
      </c>
      <c r="P2593" s="53">
        <v>35884.437707111851</v>
      </c>
      <c r="Q2593" s="65">
        <v>34393.210000000006</v>
      </c>
      <c r="R2593" s="65">
        <v>0</v>
      </c>
      <c r="S2593" s="65">
        <v>2260.6947930600004</v>
      </c>
      <c r="T2593" s="65">
        <v>1491.2277071118442</v>
      </c>
      <c r="U2593" s="58">
        <v>1500</v>
      </c>
      <c r="V2593" s="65">
        <v>10.15</v>
      </c>
      <c r="W2593" s="65">
        <v>0</v>
      </c>
      <c r="X2593" s="65">
        <v>30622</v>
      </c>
      <c r="Y2593" s="65">
        <v>0</v>
      </c>
      <c r="Z2593" s="51">
        <v>0</v>
      </c>
      <c r="AA2593" s="51">
        <v>0</v>
      </c>
      <c r="AB2593" s="102" t="s">
        <v>66</v>
      </c>
      <c r="AC2593" s="81">
        <f t="shared" si="123"/>
        <v>0</v>
      </c>
      <c r="AD2593" s="82">
        <f t="shared" si="124"/>
        <v>0</v>
      </c>
      <c r="AE2593" s="218">
        <v>-4.3358200851617047E-2</v>
      </c>
      <c r="AF2593">
        <v>31</v>
      </c>
      <c r="AH2593" t="str">
        <f t="shared" si="125"/>
        <v>Kalyanpur</v>
      </c>
      <c r="AJ2593" s="72">
        <v>0</v>
      </c>
      <c r="AK2593" s="72"/>
      <c r="AL2593" s="72"/>
      <c r="AM2593" s="72"/>
    </row>
    <row r="2594" spans="1:39" x14ac:dyDescent="0.25">
      <c r="A2594" s="37" t="s">
        <v>62</v>
      </c>
      <c r="B2594" s="66" t="s">
        <v>1629</v>
      </c>
      <c r="C2594" s="4">
        <v>1053</v>
      </c>
      <c r="D2594" s="41" t="s">
        <v>542</v>
      </c>
      <c r="E2594" s="41">
        <v>10530065</v>
      </c>
      <c r="F2594" s="85" t="s">
        <v>832</v>
      </c>
      <c r="G2594" s="39" t="s">
        <v>93</v>
      </c>
      <c r="H2594" s="52" t="s">
        <v>94</v>
      </c>
      <c r="I2594" s="52">
        <v>1239.7000000000003</v>
      </c>
      <c r="J2594" s="49">
        <v>45418.75</v>
      </c>
      <c r="K2594" s="58">
        <v>1233.8799999999999</v>
      </c>
      <c r="L2594" s="58">
        <v>47797.857425829752</v>
      </c>
      <c r="M2594" s="58">
        <v>8.129999999999999</v>
      </c>
      <c r="N2594" s="58">
        <v>334.75203284586007</v>
      </c>
      <c r="O2594" s="58">
        <v>1242.01</v>
      </c>
      <c r="P2594" s="53">
        <v>48132.609458675615</v>
      </c>
      <c r="Q2594" s="65">
        <v>45418.75</v>
      </c>
      <c r="R2594" s="65">
        <v>0</v>
      </c>
      <c r="S2594" s="65">
        <v>334.75203284586007</v>
      </c>
      <c r="T2594" s="65">
        <v>2713.8594586756153</v>
      </c>
      <c r="U2594" s="58">
        <v>15550</v>
      </c>
      <c r="V2594" s="65">
        <v>0</v>
      </c>
      <c r="W2594" s="65">
        <v>0</v>
      </c>
      <c r="X2594" s="65">
        <v>29534</v>
      </c>
      <c r="Y2594" s="65">
        <v>0</v>
      </c>
      <c r="Z2594" s="51">
        <v>0</v>
      </c>
      <c r="AA2594" s="51">
        <v>0</v>
      </c>
      <c r="AB2594" s="102" t="s">
        <v>68</v>
      </c>
      <c r="AC2594" s="81">
        <f t="shared" si="123"/>
        <v>0</v>
      </c>
      <c r="AD2594" s="82">
        <f t="shared" si="124"/>
        <v>0</v>
      </c>
      <c r="AE2594" s="218">
        <v>-5.9751962761538248E-2</v>
      </c>
      <c r="AF2594">
        <v>10</v>
      </c>
      <c r="AH2594" t="str">
        <f t="shared" si="125"/>
        <v>Kalyanpur</v>
      </c>
      <c r="AJ2594" s="72">
        <v>0</v>
      </c>
      <c r="AK2594" s="72"/>
      <c r="AL2594" s="72"/>
      <c r="AM2594" s="72"/>
    </row>
    <row r="2595" spans="1:39" x14ac:dyDescent="0.25">
      <c r="A2595" s="37" t="s">
        <v>62</v>
      </c>
      <c r="B2595" s="66" t="s">
        <v>1629</v>
      </c>
      <c r="C2595" s="4">
        <v>1053</v>
      </c>
      <c r="D2595" s="41" t="s">
        <v>542</v>
      </c>
      <c r="E2595" s="41">
        <v>10530067</v>
      </c>
      <c r="F2595" s="85" t="s">
        <v>840</v>
      </c>
      <c r="G2595" s="39" t="s">
        <v>93</v>
      </c>
      <c r="H2595" s="52" t="s">
        <v>94</v>
      </c>
      <c r="I2595" s="52">
        <v>541.80000000000007</v>
      </c>
      <c r="J2595" s="49">
        <v>21843.209999999995</v>
      </c>
      <c r="K2595" s="58">
        <v>548.78</v>
      </c>
      <c r="L2595" s="58">
        <v>22267.525885653962</v>
      </c>
      <c r="M2595" s="58">
        <v>7.6400000000000006</v>
      </c>
      <c r="N2595" s="58">
        <v>312.79445208000004</v>
      </c>
      <c r="O2595" s="58">
        <v>556.41999999999996</v>
      </c>
      <c r="P2595" s="53">
        <v>22580.320337733963</v>
      </c>
      <c r="Q2595" s="65">
        <v>21843.209999999995</v>
      </c>
      <c r="R2595" s="65">
        <v>0</v>
      </c>
      <c r="S2595" s="65">
        <v>312.79445208000004</v>
      </c>
      <c r="T2595" s="65">
        <v>737.11033773396775</v>
      </c>
      <c r="U2595" s="58">
        <v>1500</v>
      </c>
      <c r="V2595" s="65">
        <v>0</v>
      </c>
      <c r="W2595" s="65">
        <v>0</v>
      </c>
      <c r="X2595" s="65">
        <v>20030</v>
      </c>
      <c r="Y2595" s="65">
        <v>0</v>
      </c>
      <c r="Z2595" s="51">
        <v>0</v>
      </c>
      <c r="AA2595" s="51">
        <v>0</v>
      </c>
      <c r="AB2595" s="102">
        <v>0</v>
      </c>
      <c r="AC2595" s="81">
        <f t="shared" si="123"/>
        <v>127.55983100775185</v>
      </c>
      <c r="AD2595" s="82">
        <f t="shared" si="124"/>
        <v>77.400000000000006</v>
      </c>
      <c r="AE2595" s="218">
        <v>-3.3745513490643905E-2</v>
      </c>
      <c r="AF2595">
        <v>20</v>
      </c>
      <c r="AH2595" t="str">
        <f t="shared" si="125"/>
        <v>Kalyanpur</v>
      </c>
      <c r="AJ2595" s="72">
        <v>0</v>
      </c>
      <c r="AK2595" s="72"/>
      <c r="AL2595" s="72"/>
      <c r="AM2595" s="72"/>
    </row>
    <row r="2596" spans="1:39" x14ac:dyDescent="0.25">
      <c r="A2596" s="37" t="s">
        <v>62</v>
      </c>
      <c r="B2596" s="66" t="s">
        <v>1629</v>
      </c>
      <c r="C2596" s="4">
        <v>1053</v>
      </c>
      <c r="D2596" s="41" t="s">
        <v>542</v>
      </c>
      <c r="E2596" s="41">
        <v>10530068</v>
      </c>
      <c r="F2596" s="85" t="s">
        <v>833</v>
      </c>
      <c r="G2596" s="39" t="s">
        <v>635</v>
      </c>
      <c r="H2596" s="52" t="s">
        <v>99</v>
      </c>
      <c r="I2596" s="52">
        <v>460.54999999999995</v>
      </c>
      <c r="J2596" s="49">
        <v>17463.329999999998</v>
      </c>
      <c r="K2596" s="58">
        <v>0</v>
      </c>
      <c r="L2596" s="58">
        <v>0</v>
      </c>
      <c r="M2596" s="58">
        <v>0</v>
      </c>
      <c r="N2596" s="58">
        <v>0</v>
      </c>
      <c r="O2596" s="58">
        <v>0</v>
      </c>
      <c r="P2596" s="53">
        <v>0</v>
      </c>
      <c r="Q2596" s="65">
        <v>17463.329999999998</v>
      </c>
      <c r="R2596" s="65">
        <v>0</v>
      </c>
      <c r="S2596" s="65">
        <v>0</v>
      </c>
      <c r="T2596" s="65">
        <v>0</v>
      </c>
      <c r="U2596" s="58">
        <v>0</v>
      </c>
      <c r="V2596" s="65">
        <v>0</v>
      </c>
      <c r="W2596" s="65">
        <v>0</v>
      </c>
      <c r="X2596" s="65">
        <v>0</v>
      </c>
      <c r="Y2596" s="65">
        <v>0</v>
      </c>
      <c r="Z2596" s="51">
        <v>17463.329999999998</v>
      </c>
      <c r="AA2596" s="51">
        <v>0</v>
      </c>
      <c r="AB2596" s="102">
        <v>0</v>
      </c>
      <c r="AC2596" s="81">
        <f t="shared" si="123"/>
        <v>181.59133073499083</v>
      </c>
      <c r="AD2596" s="82">
        <f t="shared" si="124"/>
        <v>65.79285714285713</v>
      </c>
      <c r="AE2596" s="218">
        <v>0</v>
      </c>
      <c r="AF2596">
        <v>0</v>
      </c>
      <c r="AH2596" t="str">
        <f t="shared" si="125"/>
        <v>Kalyanpur</v>
      </c>
      <c r="AJ2596" s="72">
        <v>0</v>
      </c>
      <c r="AK2596" s="72"/>
      <c r="AL2596" s="72"/>
      <c r="AM2596" s="72"/>
    </row>
    <row r="2597" spans="1:39" x14ac:dyDescent="0.25">
      <c r="A2597" s="37" t="s">
        <v>62</v>
      </c>
      <c r="B2597" s="66" t="s">
        <v>1629</v>
      </c>
      <c r="C2597" s="4">
        <v>1053</v>
      </c>
      <c r="D2597" s="41" t="s">
        <v>542</v>
      </c>
      <c r="E2597" s="41">
        <v>10530070</v>
      </c>
      <c r="F2597" s="85" t="s">
        <v>851</v>
      </c>
      <c r="G2597" s="39" t="s">
        <v>93</v>
      </c>
      <c r="H2597" s="52" t="s">
        <v>94</v>
      </c>
      <c r="I2597" s="52">
        <v>174.3</v>
      </c>
      <c r="J2597" s="49">
        <v>9444.16</v>
      </c>
      <c r="K2597" s="58">
        <v>173.4</v>
      </c>
      <c r="L2597" s="58">
        <v>9178.9900297314998</v>
      </c>
      <c r="M2597" s="58">
        <v>4.46</v>
      </c>
      <c r="N2597" s="58">
        <v>241.69728643605296</v>
      </c>
      <c r="O2597" s="58">
        <v>177.86</v>
      </c>
      <c r="P2597" s="53">
        <v>9420.6873161675521</v>
      </c>
      <c r="Q2597" s="65">
        <v>9420.6873161675521</v>
      </c>
      <c r="R2597" s="65">
        <v>0</v>
      </c>
      <c r="S2597" s="65">
        <v>241.69728643605296</v>
      </c>
      <c r="T2597" s="65">
        <v>0</v>
      </c>
      <c r="U2597" s="58">
        <v>0</v>
      </c>
      <c r="V2597" s="65">
        <v>0</v>
      </c>
      <c r="W2597" s="65">
        <v>0</v>
      </c>
      <c r="X2597" s="65">
        <v>9180</v>
      </c>
      <c r="Y2597" s="65">
        <v>0</v>
      </c>
      <c r="Z2597" s="51">
        <v>0</v>
      </c>
      <c r="AA2597" s="51">
        <v>22</v>
      </c>
      <c r="AB2597" s="102">
        <v>0</v>
      </c>
      <c r="AC2597" s="81">
        <f t="shared" si="123"/>
        <v>569.68386827309234</v>
      </c>
      <c r="AD2597" s="82">
        <f t="shared" si="124"/>
        <v>24.900000000000002</v>
      </c>
      <c r="AE2597" s="218">
        <v>2.485417848961446E-3</v>
      </c>
      <c r="AF2597">
        <v>14</v>
      </c>
      <c r="AH2597" t="str">
        <f t="shared" si="125"/>
        <v>Kalyanpur</v>
      </c>
      <c r="AJ2597" s="72">
        <v>0</v>
      </c>
      <c r="AK2597" s="72"/>
      <c r="AL2597" s="72"/>
      <c r="AM2597" s="72"/>
    </row>
    <row r="2598" spans="1:39" x14ac:dyDescent="0.25">
      <c r="A2598" s="37" t="s">
        <v>62</v>
      </c>
      <c r="B2598" s="66" t="s">
        <v>1629</v>
      </c>
      <c r="C2598" s="4">
        <v>1053</v>
      </c>
      <c r="D2598" s="41" t="s">
        <v>542</v>
      </c>
      <c r="E2598" s="41">
        <v>10530071</v>
      </c>
      <c r="F2598" s="85" t="s">
        <v>852</v>
      </c>
      <c r="G2598" s="39" t="s">
        <v>93</v>
      </c>
      <c r="H2598" s="52" t="s">
        <v>94</v>
      </c>
      <c r="I2598" s="52">
        <v>330.09999999999997</v>
      </c>
      <c r="J2598" s="49">
        <v>16143.99</v>
      </c>
      <c r="K2598" s="58">
        <v>330.28</v>
      </c>
      <c r="L2598" s="58">
        <v>16966.715442876717</v>
      </c>
      <c r="M2598" s="58">
        <v>0</v>
      </c>
      <c r="N2598" s="58">
        <v>0</v>
      </c>
      <c r="O2598" s="58">
        <v>330.28</v>
      </c>
      <c r="P2598" s="53">
        <v>16966.715442876717</v>
      </c>
      <c r="Q2598" s="65">
        <v>16143.99</v>
      </c>
      <c r="R2598" s="65">
        <v>0</v>
      </c>
      <c r="S2598" s="65">
        <v>0</v>
      </c>
      <c r="T2598" s="65">
        <v>822.72544287671735</v>
      </c>
      <c r="U2598" s="58">
        <v>0</v>
      </c>
      <c r="V2598" s="65">
        <v>0</v>
      </c>
      <c r="W2598" s="65">
        <v>0</v>
      </c>
      <c r="X2598" s="65">
        <v>16144</v>
      </c>
      <c r="Y2598" s="65">
        <v>0</v>
      </c>
      <c r="Z2598" s="51">
        <v>0</v>
      </c>
      <c r="AA2598" s="51">
        <v>0</v>
      </c>
      <c r="AB2598" s="102">
        <v>0</v>
      </c>
      <c r="AC2598" s="81">
        <f t="shared" si="123"/>
        <v>361.80926392002431</v>
      </c>
      <c r="AD2598" s="82">
        <f t="shared" si="124"/>
        <v>47.157142857142851</v>
      </c>
      <c r="AE2598" s="218">
        <v>-5.0961716581633003E-2</v>
      </c>
      <c r="AF2598">
        <v>8</v>
      </c>
      <c r="AH2598" t="str">
        <f t="shared" si="125"/>
        <v>Kalyanpur</v>
      </c>
      <c r="AJ2598" s="72">
        <v>0</v>
      </c>
      <c r="AK2598" s="72"/>
      <c r="AL2598" s="72"/>
      <c r="AM2598" s="72"/>
    </row>
    <row r="2599" spans="1:39" x14ac:dyDescent="0.25">
      <c r="A2599" s="37" t="s">
        <v>62</v>
      </c>
      <c r="B2599" s="66" t="s">
        <v>1629</v>
      </c>
      <c r="C2599" s="4">
        <v>1053</v>
      </c>
      <c r="D2599" s="41" t="s">
        <v>542</v>
      </c>
      <c r="E2599" s="41">
        <v>10530072</v>
      </c>
      <c r="F2599" s="85" t="s">
        <v>841</v>
      </c>
      <c r="G2599" s="39" t="s">
        <v>635</v>
      </c>
      <c r="H2599" s="52" t="s">
        <v>99</v>
      </c>
      <c r="I2599" s="52">
        <v>482.85</v>
      </c>
      <c r="J2599" s="49">
        <v>27045.89</v>
      </c>
      <c r="K2599" s="58">
        <v>0</v>
      </c>
      <c r="L2599" s="58">
        <v>0</v>
      </c>
      <c r="M2599" s="58">
        <v>0</v>
      </c>
      <c r="N2599" s="58">
        <v>0</v>
      </c>
      <c r="O2599" s="58">
        <v>0</v>
      </c>
      <c r="P2599" s="53">
        <v>0</v>
      </c>
      <c r="Q2599" s="65">
        <v>27045.89</v>
      </c>
      <c r="R2599" s="65">
        <v>0</v>
      </c>
      <c r="S2599" s="65">
        <v>0</v>
      </c>
      <c r="T2599" s="65">
        <v>0</v>
      </c>
      <c r="U2599" s="58">
        <v>0</v>
      </c>
      <c r="V2599" s="65">
        <v>0</v>
      </c>
      <c r="W2599" s="65">
        <v>0</v>
      </c>
      <c r="X2599" s="65">
        <v>0</v>
      </c>
      <c r="Y2599" s="65">
        <v>0</v>
      </c>
      <c r="Z2599" s="51">
        <v>27045.89</v>
      </c>
      <c r="AA2599" s="51">
        <v>0</v>
      </c>
      <c r="AB2599" s="102">
        <v>0</v>
      </c>
      <c r="AC2599" s="81">
        <f t="shared" si="123"/>
        <v>243.26457547892718</v>
      </c>
      <c r="AD2599" s="82">
        <f t="shared" si="124"/>
        <v>68.978571428571428</v>
      </c>
      <c r="AE2599" s="218">
        <v>0</v>
      </c>
      <c r="AF2599">
        <v>0</v>
      </c>
      <c r="AH2599" t="str">
        <f t="shared" si="125"/>
        <v>Kalyanpur</v>
      </c>
      <c r="AJ2599" s="72">
        <v>0</v>
      </c>
      <c r="AK2599" s="72"/>
      <c r="AL2599" s="72"/>
      <c r="AM2599" s="72"/>
    </row>
    <row r="2600" spans="1:39" x14ac:dyDescent="0.25">
      <c r="A2600" s="37" t="s">
        <v>62</v>
      </c>
      <c r="B2600" s="66" t="s">
        <v>1629</v>
      </c>
      <c r="C2600" s="4">
        <v>1053</v>
      </c>
      <c r="D2600" s="41" t="s">
        <v>542</v>
      </c>
      <c r="E2600" s="41">
        <v>10530073</v>
      </c>
      <c r="F2600" s="85" t="s">
        <v>1369</v>
      </c>
      <c r="G2600" s="39" t="s">
        <v>635</v>
      </c>
      <c r="H2600" s="52" t="s">
        <v>99</v>
      </c>
      <c r="I2600" s="52">
        <v>39.200000000000003</v>
      </c>
      <c r="J2600" s="49">
        <v>1310.06</v>
      </c>
      <c r="K2600" s="58">
        <v>0</v>
      </c>
      <c r="L2600" s="58">
        <v>0</v>
      </c>
      <c r="M2600" s="58">
        <v>0</v>
      </c>
      <c r="N2600" s="58">
        <v>0</v>
      </c>
      <c r="O2600" s="58">
        <v>0</v>
      </c>
      <c r="P2600" s="53">
        <v>0</v>
      </c>
      <c r="Q2600" s="65">
        <v>1310.06</v>
      </c>
      <c r="R2600" s="65">
        <v>0</v>
      </c>
      <c r="S2600" s="65">
        <v>0</v>
      </c>
      <c r="T2600" s="65">
        <v>0</v>
      </c>
      <c r="U2600" s="58">
        <v>0</v>
      </c>
      <c r="V2600" s="65">
        <v>0</v>
      </c>
      <c r="W2600" s="65">
        <v>0</v>
      </c>
      <c r="X2600" s="65">
        <v>0</v>
      </c>
      <c r="Y2600" s="65">
        <v>0</v>
      </c>
      <c r="Z2600" s="51">
        <v>1310.06</v>
      </c>
      <c r="AA2600" s="51">
        <v>0</v>
      </c>
      <c r="AB2600" s="102">
        <v>0</v>
      </c>
      <c r="AC2600" s="81">
        <f t="shared" si="123"/>
        <v>441.6773714285714</v>
      </c>
      <c r="AD2600" s="82">
        <f t="shared" si="124"/>
        <v>5.6000000000000005</v>
      </c>
      <c r="AE2600" s="218">
        <v>0</v>
      </c>
      <c r="AF2600">
        <v>0</v>
      </c>
      <c r="AH2600" t="str">
        <f t="shared" si="125"/>
        <v>Kalyanpur</v>
      </c>
      <c r="AJ2600" s="72">
        <v>0</v>
      </c>
      <c r="AK2600" s="72"/>
      <c r="AL2600" s="72"/>
      <c r="AM2600" s="72"/>
    </row>
    <row r="2601" spans="1:39" x14ac:dyDescent="0.25">
      <c r="A2601" s="37" t="s">
        <v>62</v>
      </c>
      <c r="B2601" s="66" t="s">
        <v>1629</v>
      </c>
      <c r="C2601" s="4">
        <v>1053</v>
      </c>
      <c r="D2601" s="41" t="s">
        <v>542</v>
      </c>
      <c r="E2601" s="41">
        <v>10530074</v>
      </c>
      <c r="F2601" s="85" t="s">
        <v>1123</v>
      </c>
      <c r="G2601" s="39" t="s">
        <v>93</v>
      </c>
      <c r="H2601" s="52" t="s">
        <v>94</v>
      </c>
      <c r="I2601" s="52">
        <v>986.99999999999989</v>
      </c>
      <c r="J2601" s="49">
        <v>37358.48000000001</v>
      </c>
      <c r="K2601" s="58">
        <v>976.7900000000003</v>
      </c>
      <c r="L2601" s="58">
        <v>37469.71353925376</v>
      </c>
      <c r="M2601" s="58">
        <v>13.78</v>
      </c>
      <c r="N2601" s="58">
        <v>525.54947979600001</v>
      </c>
      <c r="O2601" s="58">
        <v>990.57000000000028</v>
      </c>
      <c r="P2601" s="53">
        <v>37995.263019049758</v>
      </c>
      <c r="Q2601" s="65">
        <v>37358.48000000001</v>
      </c>
      <c r="R2601" s="65">
        <v>0</v>
      </c>
      <c r="S2601" s="65">
        <v>525.54947979600001</v>
      </c>
      <c r="T2601" s="65">
        <v>636.78301904974796</v>
      </c>
      <c r="U2601" s="58">
        <v>1350</v>
      </c>
      <c r="V2601" s="65">
        <v>0</v>
      </c>
      <c r="W2601" s="65">
        <v>0</v>
      </c>
      <c r="X2601" s="65">
        <v>35483</v>
      </c>
      <c r="Y2601" s="65">
        <v>0</v>
      </c>
      <c r="Z2601" s="51">
        <v>0</v>
      </c>
      <c r="AA2601" s="51">
        <v>0</v>
      </c>
      <c r="AB2601" s="102" t="s">
        <v>68</v>
      </c>
      <c r="AC2601" s="81">
        <f t="shared" si="123"/>
        <v>0</v>
      </c>
      <c r="AD2601" s="82">
        <f t="shared" si="124"/>
        <v>0</v>
      </c>
      <c r="AE2601" s="218">
        <v>-1.7045206845935589E-2</v>
      </c>
      <c r="AF2601">
        <v>23</v>
      </c>
      <c r="AH2601" t="str">
        <f t="shared" si="125"/>
        <v>Kalyanpur</v>
      </c>
      <c r="AJ2601" s="72">
        <v>0</v>
      </c>
      <c r="AK2601" s="72"/>
      <c r="AL2601" s="72"/>
      <c r="AM2601" s="72"/>
    </row>
    <row r="2602" spans="1:39" x14ac:dyDescent="0.25">
      <c r="A2602" s="37" t="s">
        <v>62</v>
      </c>
      <c r="B2602" s="66" t="s">
        <v>1629</v>
      </c>
      <c r="C2602" s="4">
        <v>1053</v>
      </c>
      <c r="D2602" s="41" t="s">
        <v>542</v>
      </c>
      <c r="E2602" s="41">
        <v>10530075</v>
      </c>
      <c r="F2602" s="85" t="s">
        <v>1406</v>
      </c>
      <c r="G2602" s="39" t="s">
        <v>635</v>
      </c>
      <c r="H2602" s="52" t="s">
        <v>99</v>
      </c>
      <c r="I2602" s="52">
        <v>823.30000000000007</v>
      </c>
      <c r="J2602" s="49">
        <v>30700.940000000002</v>
      </c>
      <c r="K2602" s="58">
        <v>0</v>
      </c>
      <c r="L2602" s="58">
        <v>0</v>
      </c>
      <c r="M2602" s="58">
        <v>0</v>
      </c>
      <c r="N2602" s="58">
        <v>0</v>
      </c>
      <c r="O2602" s="58">
        <v>0</v>
      </c>
      <c r="P2602" s="53">
        <v>0</v>
      </c>
      <c r="Q2602" s="65">
        <v>30700.940000000002</v>
      </c>
      <c r="R2602" s="65">
        <v>0</v>
      </c>
      <c r="S2602" s="65">
        <v>0</v>
      </c>
      <c r="T2602" s="65">
        <v>0</v>
      </c>
      <c r="U2602" s="58">
        <v>0</v>
      </c>
      <c r="V2602" s="65">
        <v>0</v>
      </c>
      <c r="W2602" s="65">
        <v>0</v>
      </c>
      <c r="X2602" s="65">
        <v>0</v>
      </c>
      <c r="Y2602" s="65">
        <v>0</v>
      </c>
      <c r="Z2602" s="51">
        <v>30700.940000000002</v>
      </c>
      <c r="AA2602" s="51">
        <v>0</v>
      </c>
      <c r="AB2602" s="102">
        <v>0</v>
      </c>
      <c r="AC2602" s="81">
        <f t="shared" si="123"/>
        <v>0</v>
      </c>
      <c r="AD2602" s="82">
        <f t="shared" si="124"/>
        <v>0</v>
      </c>
      <c r="AE2602" s="218">
        <v>0</v>
      </c>
      <c r="AF2602">
        <v>0</v>
      </c>
      <c r="AH2602" t="str">
        <f t="shared" si="125"/>
        <v>Kalyanpur</v>
      </c>
      <c r="AJ2602" s="72">
        <v>0</v>
      </c>
      <c r="AK2602" s="72"/>
      <c r="AL2602" s="72"/>
      <c r="AM2602" s="72"/>
    </row>
    <row r="2603" spans="1:39" x14ac:dyDescent="0.25">
      <c r="A2603" s="37" t="s">
        <v>62</v>
      </c>
      <c r="B2603" s="66" t="s">
        <v>1629</v>
      </c>
      <c r="C2603" s="4">
        <v>1053</v>
      </c>
      <c r="D2603" s="41" t="s">
        <v>542</v>
      </c>
      <c r="E2603" s="41">
        <v>10530076</v>
      </c>
      <c r="F2603" s="85" t="s">
        <v>1160</v>
      </c>
      <c r="G2603" s="39" t="s">
        <v>93</v>
      </c>
      <c r="H2603" s="52" t="s">
        <v>94</v>
      </c>
      <c r="I2603" s="52">
        <v>1866.3999999999999</v>
      </c>
      <c r="J2603" s="49">
        <v>88148.42</v>
      </c>
      <c r="K2603" s="58">
        <v>1819.5700000000002</v>
      </c>
      <c r="L2603" s="58">
        <v>86892.598859423713</v>
      </c>
      <c r="M2603" s="58">
        <v>27.430000000000003</v>
      </c>
      <c r="N2603" s="58">
        <v>1255.8641594257201</v>
      </c>
      <c r="O2603" s="58">
        <v>1847.0000000000002</v>
      </c>
      <c r="P2603" s="53">
        <v>88148.463018849434</v>
      </c>
      <c r="Q2603" s="65">
        <v>88148.42</v>
      </c>
      <c r="R2603" s="65">
        <v>0</v>
      </c>
      <c r="S2603" s="65">
        <v>1255.8641594257201</v>
      </c>
      <c r="T2603" s="65">
        <v>4.3018849435611628E-2</v>
      </c>
      <c r="U2603" s="58">
        <v>0</v>
      </c>
      <c r="V2603" s="65">
        <v>0</v>
      </c>
      <c r="W2603" s="65">
        <v>0</v>
      </c>
      <c r="X2603" s="65">
        <v>86893</v>
      </c>
      <c r="Y2603" s="65">
        <v>0</v>
      </c>
      <c r="Z2603" s="51">
        <v>0</v>
      </c>
      <c r="AA2603" s="51">
        <v>0</v>
      </c>
      <c r="AB2603" s="102">
        <v>0</v>
      </c>
      <c r="AC2603" s="81">
        <f t="shared" si="123"/>
        <v>0</v>
      </c>
      <c r="AD2603" s="82">
        <f t="shared" si="124"/>
        <v>0</v>
      </c>
      <c r="AE2603" s="218">
        <v>-4.8802745909242199E-7</v>
      </c>
      <c r="AF2603">
        <v>53</v>
      </c>
      <c r="AH2603" t="str">
        <f t="shared" si="125"/>
        <v>Kalyanpur</v>
      </c>
      <c r="AJ2603" s="72">
        <v>0</v>
      </c>
      <c r="AK2603" s="72"/>
      <c r="AL2603" s="72"/>
      <c r="AM2603" s="72"/>
    </row>
    <row r="2604" spans="1:39" x14ac:dyDescent="0.25">
      <c r="A2604" s="37" t="s">
        <v>62</v>
      </c>
      <c r="B2604" s="66" t="s">
        <v>1629</v>
      </c>
      <c r="C2604" s="4">
        <v>1053</v>
      </c>
      <c r="D2604" s="41" t="s">
        <v>542</v>
      </c>
      <c r="E2604" s="41">
        <v>10530077</v>
      </c>
      <c r="F2604" s="85" t="s">
        <v>1309</v>
      </c>
      <c r="G2604" s="39" t="s">
        <v>635</v>
      </c>
      <c r="H2604" s="52" t="s">
        <v>99</v>
      </c>
      <c r="I2604" s="52">
        <v>569</v>
      </c>
      <c r="J2604" s="49">
        <v>20416.690000000002</v>
      </c>
      <c r="K2604" s="58">
        <v>0</v>
      </c>
      <c r="L2604" s="58">
        <v>0</v>
      </c>
      <c r="M2604" s="58">
        <v>0</v>
      </c>
      <c r="N2604" s="58">
        <v>0</v>
      </c>
      <c r="O2604" s="58">
        <v>0</v>
      </c>
      <c r="P2604" s="53">
        <v>0</v>
      </c>
      <c r="Q2604" s="65">
        <v>20416.690000000002</v>
      </c>
      <c r="R2604" s="65">
        <v>0</v>
      </c>
      <c r="S2604" s="65">
        <v>0</v>
      </c>
      <c r="T2604" s="65">
        <v>0</v>
      </c>
      <c r="U2604" s="58">
        <v>0</v>
      </c>
      <c r="V2604" s="65">
        <v>0</v>
      </c>
      <c r="W2604" s="65">
        <v>0</v>
      </c>
      <c r="X2604" s="65">
        <v>0</v>
      </c>
      <c r="Y2604" s="65">
        <v>0</v>
      </c>
      <c r="Z2604" s="51">
        <v>20416.690000000002</v>
      </c>
      <c r="AA2604" s="51">
        <v>0</v>
      </c>
      <c r="AB2604" s="102">
        <v>0</v>
      </c>
      <c r="AC2604" s="81">
        <f t="shared" si="123"/>
        <v>94.01006643233741</v>
      </c>
      <c r="AD2604" s="82">
        <f t="shared" si="124"/>
        <v>81.285714285714292</v>
      </c>
      <c r="AE2604" s="218">
        <v>0</v>
      </c>
      <c r="AF2604">
        <v>0</v>
      </c>
      <c r="AH2604" t="str">
        <f t="shared" si="125"/>
        <v>Kalyanpur</v>
      </c>
      <c r="AJ2604" s="72">
        <v>0</v>
      </c>
      <c r="AK2604" s="72"/>
      <c r="AL2604" s="72"/>
      <c r="AM2604" s="72"/>
    </row>
    <row r="2605" spans="1:39" x14ac:dyDescent="0.25">
      <c r="A2605" s="37" t="s">
        <v>62</v>
      </c>
      <c r="B2605" s="66" t="s">
        <v>1629</v>
      </c>
      <c r="C2605" s="4">
        <v>1053</v>
      </c>
      <c r="D2605" s="41" t="s">
        <v>542</v>
      </c>
      <c r="E2605" s="41">
        <v>10530078</v>
      </c>
      <c r="F2605" s="85" t="s">
        <v>1191</v>
      </c>
      <c r="G2605" s="39" t="s">
        <v>93</v>
      </c>
      <c r="H2605" s="52" t="s">
        <v>94</v>
      </c>
      <c r="I2605" s="52">
        <v>629.34999999999991</v>
      </c>
      <c r="J2605" s="49">
        <v>28072.53</v>
      </c>
      <c r="K2605" s="58">
        <v>625.45000000000005</v>
      </c>
      <c r="L2605" s="58">
        <v>26449.485117085456</v>
      </c>
      <c r="M2605" s="58">
        <v>37.03</v>
      </c>
      <c r="N2605" s="58">
        <v>1585.3364581289404</v>
      </c>
      <c r="O2605" s="58">
        <v>662.48</v>
      </c>
      <c r="P2605" s="53">
        <v>28034.821575214395</v>
      </c>
      <c r="Q2605" s="65">
        <v>28034.821575214395</v>
      </c>
      <c r="R2605" s="65">
        <v>0</v>
      </c>
      <c r="S2605" s="65">
        <v>1585.3364581289404</v>
      </c>
      <c r="T2605" s="65">
        <v>0</v>
      </c>
      <c r="U2605" s="58">
        <v>5314</v>
      </c>
      <c r="V2605" s="65">
        <v>0</v>
      </c>
      <c r="W2605" s="65">
        <v>0</v>
      </c>
      <c r="X2605" s="65">
        <v>21135</v>
      </c>
      <c r="Y2605" s="65">
        <v>0</v>
      </c>
      <c r="Z2605" s="51">
        <v>0</v>
      </c>
      <c r="AA2605" s="51">
        <v>38</v>
      </c>
      <c r="AB2605" s="102" t="s">
        <v>68</v>
      </c>
      <c r="AC2605" s="81">
        <f t="shared" si="123"/>
        <v>63.027703011043236</v>
      </c>
      <c r="AD2605" s="82">
        <f t="shared" si="124"/>
        <v>89.907142857142844</v>
      </c>
      <c r="AE2605" s="218">
        <v>1.3432499595014669E-3</v>
      </c>
      <c r="AF2605">
        <v>11</v>
      </c>
      <c r="AH2605" t="str">
        <f t="shared" si="125"/>
        <v>Kalyanpur</v>
      </c>
      <c r="AJ2605" s="72">
        <v>0</v>
      </c>
      <c r="AK2605" s="72"/>
      <c r="AL2605" s="72"/>
      <c r="AM2605" s="72"/>
    </row>
    <row r="2606" spans="1:39" x14ac:dyDescent="0.25">
      <c r="A2606" s="37" t="s">
        <v>62</v>
      </c>
      <c r="B2606" s="66" t="s">
        <v>1629</v>
      </c>
      <c r="C2606" s="4">
        <v>1053</v>
      </c>
      <c r="D2606" s="41" t="s">
        <v>542</v>
      </c>
      <c r="E2606" s="41">
        <v>10530079</v>
      </c>
      <c r="F2606" s="85" t="s">
        <v>1180</v>
      </c>
      <c r="G2606" s="39" t="s">
        <v>635</v>
      </c>
      <c r="H2606" s="52" t="s">
        <v>99</v>
      </c>
      <c r="I2606" s="52">
        <v>131.69999999999999</v>
      </c>
      <c r="J2606" s="49">
        <v>4820.53</v>
      </c>
      <c r="K2606" s="58">
        <v>0</v>
      </c>
      <c r="L2606" s="58">
        <v>0</v>
      </c>
      <c r="M2606" s="58">
        <v>0</v>
      </c>
      <c r="N2606" s="58">
        <v>0</v>
      </c>
      <c r="O2606" s="58">
        <v>0</v>
      </c>
      <c r="P2606" s="53">
        <v>0</v>
      </c>
      <c r="Q2606" s="65">
        <v>4820.53</v>
      </c>
      <c r="R2606" s="65">
        <v>0</v>
      </c>
      <c r="S2606" s="65">
        <v>0</v>
      </c>
      <c r="T2606" s="65">
        <v>0</v>
      </c>
      <c r="U2606" s="58">
        <v>0</v>
      </c>
      <c r="V2606" s="65">
        <v>0</v>
      </c>
      <c r="W2606" s="65">
        <v>0</v>
      </c>
      <c r="X2606" s="65">
        <v>0</v>
      </c>
      <c r="Y2606" s="65">
        <v>0</v>
      </c>
      <c r="Z2606" s="51">
        <v>4820.53</v>
      </c>
      <c r="AA2606" s="51">
        <v>0</v>
      </c>
      <c r="AB2606" s="102">
        <v>0</v>
      </c>
      <c r="AC2606" s="81">
        <f t="shared" si="123"/>
        <v>416.02235368261199</v>
      </c>
      <c r="AD2606" s="82">
        <f t="shared" si="124"/>
        <v>18.814285714285713</v>
      </c>
      <c r="AE2606" s="218">
        <v>0</v>
      </c>
      <c r="AF2606">
        <v>0</v>
      </c>
      <c r="AH2606" t="str">
        <f t="shared" si="125"/>
        <v>Kalyanpur</v>
      </c>
      <c r="AJ2606" s="72">
        <v>0</v>
      </c>
      <c r="AK2606" s="72"/>
      <c r="AL2606" s="72"/>
      <c r="AM2606" s="72"/>
    </row>
    <row r="2607" spans="1:39" x14ac:dyDescent="0.25">
      <c r="A2607" s="37" t="s">
        <v>62</v>
      </c>
      <c r="B2607" s="66" t="s">
        <v>1629</v>
      </c>
      <c r="C2607" s="4">
        <v>1053</v>
      </c>
      <c r="D2607" s="41" t="s">
        <v>542</v>
      </c>
      <c r="E2607" s="41">
        <v>10530080</v>
      </c>
      <c r="F2607" s="85" t="s">
        <v>1192</v>
      </c>
      <c r="G2607" s="39" t="s">
        <v>635</v>
      </c>
      <c r="H2607" s="52" t="s">
        <v>99</v>
      </c>
      <c r="I2607" s="52">
        <v>157.35000000000002</v>
      </c>
      <c r="J2607" s="49">
        <v>4815.2199999999993</v>
      </c>
      <c r="K2607" s="58">
        <v>0</v>
      </c>
      <c r="L2607" s="58">
        <v>0</v>
      </c>
      <c r="M2607" s="58">
        <v>0</v>
      </c>
      <c r="N2607" s="58">
        <v>0</v>
      </c>
      <c r="O2607" s="58">
        <v>0</v>
      </c>
      <c r="P2607" s="53">
        <v>0</v>
      </c>
      <c r="Q2607" s="65">
        <v>4815.2199999999993</v>
      </c>
      <c r="R2607" s="65">
        <v>0</v>
      </c>
      <c r="S2607" s="65">
        <v>0</v>
      </c>
      <c r="T2607" s="65">
        <v>0</v>
      </c>
      <c r="U2607" s="58">
        <v>0</v>
      </c>
      <c r="V2607" s="65">
        <v>37.439835483871008</v>
      </c>
      <c r="W2607" s="65">
        <v>0</v>
      </c>
      <c r="X2607" s="65">
        <v>0</v>
      </c>
      <c r="Y2607" s="65">
        <v>0</v>
      </c>
      <c r="Z2607" s="51">
        <v>4777.780164516128</v>
      </c>
      <c r="AA2607" s="51">
        <v>0</v>
      </c>
      <c r="AB2607" s="102">
        <v>0</v>
      </c>
      <c r="AC2607" s="81">
        <f t="shared" si="123"/>
        <v>332.12318182395927</v>
      </c>
      <c r="AD2607" s="82">
        <f t="shared" si="124"/>
        <v>22.478571428571431</v>
      </c>
      <c r="AE2607" s="218">
        <v>0</v>
      </c>
      <c r="AF2607">
        <v>0</v>
      </c>
      <c r="AH2607" t="str">
        <f t="shared" si="125"/>
        <v>Kalyanpur</v>
      </c>
      <c r="AJ2607" s="72">
        <v>0</v>
      </c>
      <c r="AK2607" s="72"/>
      <c r="AL2607" s="72"/>
      <c r="AM2607" s="72"/>
    </row>
    <row r="2608" spans="1:39" x14ac:dyDescent="0.25">
      <c r="A2608" s="37" t="s">
        <v>62</v>
      </c>
      <c r="B2608" s="66" t="s">
        <v>1629</v>
      </c>
      <c r="C2608" s="4">
        <v>1053</v>
      </c>
      <c r="D2608" s="41" t="s">
        <v>542</v>
      </c>
      <c r="E2608" s="41">
        <v>10530081</v>
      </c>
      <c r="F2608" s="85" t="s">
        <v>1181</v>
      </c>
      <c r="G2608" s="39" t="s">
        <v>93</v>
      </c>
      <c r="H2608" s="52" t="s">
        <v>94</v>
      </c>
      <c r="I2608" s="52">
        <v>1849.5000000000002</v>
      </c>
      <c r="J2608" s="49">
        <v>79125.800000000017</v>
      </c>
      <c r="K2608" s="58">
        <v>1834.6000000000004</v>
      </c>
      <c r="L2608" s="58">
        <v>78716.391281183416</v>
      </c>
      <c r="M2608" s="58">
        <v>20.6</v>
      </c>
      <c r="N2608" s="58">
        <v>962.6144020032001</v>
      </c>
      <c r="O2608" s="58">
        <v>1855.2000000000003</v>
      </c>
      <c r="P2608" s="53">
        <v>79679.00568318661</v>
      </c>
      <c r="Q2608" s="65">
        <v>79125.800000000017</v>
      </c>
      <c r="R2608" s="65">
        <v>0</v>
      </c>
      <c r="S2608" s="65">
        <v>962.6144020032001</v>
      </c>
      <c r="T2608" s="65">
        <v>553.20568318659207</v>
      </c>
      <c r="U2608" s="58">
        <v>0</v>
      </c>
      <c r="V2608" s="65">
        <v>0</v>
      </c>
      <c r="W2608" s="65">
        <v>0</v>
      </c>
      <c r="X2608" s="65">
        <v>78163</v>
      </c>
      <c r="Y2608" s="65">
        <v>0</v>
      </c>
      <c r="Z2608" s="51">
        <v>0</v>
      </c>
      <c r="AA2608" s="51">
        <v>0</v>
      </c>
      <c r="AB2608" s="102">
        <v>0</v>
      </c>
      <c r="AC2608" s="81">
        <f t="shared" si="123"/>
        <v>0</v>
      </c>
      <c r="AD2608" s="82">
        <f t="shared" si="124"/>
        <v>0</v>
      </c>
      <c r="AE2608" s="218">
        <v>-6.9914703318840624E-3</v>
      </c>
      <c r="AF2608">
        <v>41</v>
      </c>
      <c r="AH2608" t="str">
        <f t="shared" si="125"/>
        <v>Kalyanpur</v>
      </c>
      <c r="AJ2608" s="72">
        <v>0</v>
      </c>
      <c r="AK2608" s="72"/>
      <c r="AL2608" s="72"/>
      <c r="AM2608" s="72"/>
    </row>
    <row r="2609" spans="1:39" x14ac:dyDescent="0.25">
      <c r="A2609" s="37" t="s">
        <v>62</v>
      </c>
      <c r="B2609" s="66" t="s">
        <v>1629</v>
      </c>
      <c r="C2609" s="4">
        <v>1053</v>
      </c>
      <c r="D2609" s="41" t="s">
        <v>542</v>
      </c>
      <c r="E2609" s="41">
        <v>10530082</v>
      </c>
      <c r="F2609" s="85" t="s">
        <v>1182</v>
      </c>
      <c r="G2609" s="39" t="s">
        <v>93</v>
      </c>
      <c r="H2609" s="52" t="s">
        <v>94</v>
      </c>
      <c r="I2609" s="52">
        <v>1031.75</v>
      </c>
      <c r="J2609" s="49">
        <v>42207.58</v>
      </c>
      <c r="K2609" s="58">
        <v>1028.03</v>
      </c>
      <c r="L2609" s="58">
        <v>41882.47612606566</v>
      </c>
      <c r="M2609" s="58">
        <v>8.1000000000000014</v>
      </c>
      <c r="N2609" s="58">
        <v>322.85710551600005</v>
      </c>
      <c r="O2609" s="58">
        <v>1036.1299999999999</v>
      </c>
      <c r="P2609" s="53">
        <v>42205.333231581659</v>
      </c>
      <c r="Q2609" s="65">
        <v>42205.333231581659</v>
      </c>
      <c r="R2609" s="65">
        <v>0</v>
      </c>
      <c r="S2609" s="65">
        <v>322.85710551600005</v>
      </c>
      <c r="T2609" s="65">
        <v>0</v>
      </c>
      <c r="U2609" s="58">
        <v>389</v>
      </c>
      <c r="V2609" s="65">
        <v>0</v>
      </c>
      <c r="W2609" s="65">
        <v>0</v>
      </c>
      <c r="X2609" s="65">
        <v>41492</v>
      </c>
      <c r="Y2609" s="65">
        <v>0</v>
      </c>
      <c r="Z2609" s="51">
        <v>0</v>
      </c>
      <c r="AA2609" s="51">
        <v>4</v>
      </c>
      <c r="AB2609" s="102">
        <v>0</v>
      </c>
      <c r="AC2609" s="81">
        <f t="shared" si="123"/>
        <v>0</v>
      </c>
      <c r="AD2609" s="82">
        <f t="shared" si="124"/>
        <v>0</v>
      </c>
      <c r="AE2609" s="218">
        <v>5.3231396311823161E-5</v>
      </c>
      <c r="AF2609">
        <v>27</v>
      </c>
      <c r="AH2609" t="str">
        <f t="shared" si="125"/>
        <v>Kalyanpur</v>
      </c>
      <c r="AJ2609" s="72">
        <v>0</v>
      </c>
      <c r="AK2609" s="72"/>
      <c r="AL2609" s="72"/>
      <c r="AM2609" s="72"/>
    </row>
    <row r="2610" spans="1:39" x14ac:dyDescent="0.25">
      <c r="A2610" s="37" t="s">
        <v>62</v>
      </c>
      <c r="B2610" s="66" t="s">
        <v>1629</v>
      </c>
      <c r="C2610" s="4">
        <v>1053</v>
      </c>
      <c r="D2610" s="41" t="s">
        <v>542</v>
      </c>
      <c r="E2610" s="41">
        <v>10530084</v>
      </c>
      <c r="F2610" s="85" t="s">
        <v>1261</v>
      </c>
      <c r="G2610" s="39" t="s">
        <v>93</v>
      </c>
      <c r="H2610" s="52" t="s">
        <v>94</v>
      </c>
      <c r="I2610" s="52">
        <v>2114.4499999999998</v>
      </c>
      <c r="J2610" s="49">
        <v>84934.65</v>
      </c>
      <c r="K2610" s="58">
        <v>2104.2699999999995</v>
      </c>
      <c r="L2610" s="58">
        <v>84733.437249463575</v>
      </c>
      <c r="M2610" s="58">
        <v>17.55</v>
      </c>
      <c r="N2610" s="58">
        <v>715.71299817600016</v>
      </c>
      <c r="O2610" s="58">
        <v>2121.8199999999997</v>
      </c>
      <c r="P2610" s="53">
        <v>85449.150247639569</v>
      </c>
      <c r="Q2610" s="65">
        <v>84934.65</v>
      </c>
      <c r="R2610" s="65">
        <v>0</v>
      </c>
      <c r="S2610" s="65">
        <v>715.71299817600016</v>
      </c>
      <c r="T2610" s="65">
        <v>514.50024763957481</v>
      </c>
      <c r="U2610" s="58">
        <v>3000</v>
      </c>
      <c r="V2610" s="65">
        <v>0</v>
      </c>
      <c r="W2610" s="65">
        <v>0</v>
      </c>
      <c r="X2610" s="65">
        <v>81219</v>
      </c>
      <c r="Y2610" s="65">
        <v>0</v>
      </c>
      <c r="Z2610" s="51">
        <v>0</v>
      </c>
      <c r="AA2610" s="51">
        <v>0</v>
      </c>
      <c r="AB2610" s="102">
        <v>0</v>
      </c>
      <c r="AC2610" s="81">
        <f t="shared" si="123"/>
        <v>0</v>
      </c>
      <c r="AD2610" s="82">
        <f t="shared" si="124"/>
        <v>0</v>
      </c>
      <c r="AE2610" s="218">
        <v>-6.0576013163011191E-3</v>
      </c>
      <c r="AF2610">
        <v>37</v>
      </c>
      <c r="AH2610" t="str">
        <f t="shared" si="125"/>
        <v>Kalyanpur</v>
      </c>
      <c r="AJ2610" s="72">
        <v>0</v>
      </c>
      <c r="AK2610" s="72"/>
      <c r="AL2610" s="72"/>
      <c r="AM2610" s="72"/>
    </row>
    <row r="2611" spans="1:39" x14ac:dyDescent="0.25">
      <c r="A2611" s="37" t="s">
        <v>62</v>
      </c>
      <c r="B2611" s="66" t="s">
        <v>1629</v>
      </c>
      <c r="C2611" s="4">
        <v>1053</v>
      </c>
      <c r="D2611" s="41" t="s">
        <v>542</v>
      </c>
      <c r="E2611" s="41">
        <v>10530085</v>
      </c>
      <c r="F2611" s="85" t="s">
        <v>1210</v>
      </c>
      <c r="G2611" s="39" t="s">
        <v>93</v>
      </c>
      <c r="H2611" s="52" t="s">
        <v>94</v>
      </c>
      <c r="I2611" s="52">
        <v>813.49999999999977</v>
      </c>
      <c r="J2611" s="49">
        <v>36713.589999999997</v>
      </c>
      <c r="K2611" s="58">
        <v>818.33999999999992</v>
      </c>
      <c r="L2611" s="58">
        <v>36511.704507322676</v>
      </c>
      <c r="M2611" s="58">
        <v>3.9</v>
      </c>
      <c r="N2611" s="58">
        <v>196.97422726799999</v>
      </c>
      <c r="O2611" s="58">
        <v>822.2399999999999</v>
      </c>
      <c r="P2611" s="53">
        <v>36708.678734590678</v>
      </c>
      <c r="Q2611" s="65">
        <v>36708.678734590678</v>
      </c>
      <c r="R2611" s="65">
        <v>0</v>
      </c>
      <c r="S2611" s="65">
        <v>196.97422726799999</v>
      </c>
      <c r="T2611" s="65">
        <v>0</v>
      </c>
      <c r="U2611" s="58">
        <v>1350</v>
      </c>
      <c r="V2611" s="65">
        <v>0</v>
      </c>
      <c r="W2611" s="65">
        <v>0</v>
      </c>
      <c r="X2611" s="65">
        <v>35160</v>
      </c>
      <c r="Y2611" s="65">
        <v>0</v>
      </c>
      <c r="Z2611" s="51">
        <v>0</v>
      </c>
      <c r="AA2611" s="51">
        <v>7</v>
      </c>
      <c r="AB2611" s="102">
        <v>0</v>
      </c>
      <c r="AC2611" s="81">
        <f t="shared" si="123"/>
        <v>0</v>
      </c>
      <c r="AD2611" s="82">
        <f t="shared" si="124"/>
        <v>0</v>
      </c>
      <c r="AE2611" s="218">
        <v>1.3377240987107856E-4</v>
      </c>
      <c r="AF2611">
        <v>22</v>
      </c>
      <c r="AH2611" t="str">
        <f t="shared" si="125"/>
        <v>Kalyanpur</v>
      </c>
      <c r="AJ2611" s="72">
        <v>0</v>
      </c>
      <c r="AK2611" s="72"/>
      <c r="AL2611" s="72"/>
      <c r="AM2611" s="72"/>
    </row>
    <row r="2612" spans="1:39" x14ac:dyDescent="0.25">
      <c r="A2612" s="37" t="s">
        <v>62</v>
      </c>
      <c r="B2612" s="66" t="s">
        <v>1629</v>
      </c>
      <c r="C2612" s="4">
        <v>1066</v>
      </c>
      <c r="D2612" s="41" t="s">
        <v>1590</v>
      </c>
      <c r="E2612" s="41">
        <v>10530088</v>
      </c>
      <c r="F2612" s="85" t="s">
        <v>1592</v>
      </c>
      <c r="G2612" s="39" t="s">
        <v>635</v>
      </c>
      <c r="H2612" s="52" t="s">
        <v>99</v>
      </c>
      <c r="I2612" s="52">
        <v>2514.3000000000006</v>
      </c>
      <c r="J2612" s="49">
        <v>121538.86</v>
      </c>
      <c r="K2612" s="58">
        <v>0</v>
      </c>
      <c r="L2612" s="58">
        <v>0</v>
      </c>
      <c r="M2612" s="58">
        <v>0</v>
      </c>
      <c r="N2612" s="58">
        <v>0</v>
      </c>
      <c r="O2612" s="58">
        <v>0</v>
      </c>
      <c r="P2612" s="53">
        <v>0</v>
      </c>
      <c r="Q2612" s="65">
        <v>121538.86</v>
      </c>
      <c r="R2612" s="65">
        <v>0</v>
      </c>
      <c r="S2612" s="65">
        <v>0</v>
      </c>
      <c r="T2612" s="65">
        <v>0</v>
      </c>
      <c r="U2612" s="58">
        <v>0</v>
      </c>
      <c r="V2612" s="65">
        <v>0</v>
      </c>
      <c r="W2612" s="65">
        <v>0</v>
      </c>
      <c r="X2612" s="65">
        <v>0</v>
      </c>
      <c r="Y2612" s="65">
        <v>0</v>
      </c>
      <c r="Z2612" s="51">
        <v>121538.86</v>
      </c>
      <c r="AA2612" s="51">
        <v>0</v>
      </c>
      <c r="AB2612" s="102">
        <v>0</v>
      </c>
      <c r="AC2612" s="81">
        <f t="shared" si="123"/>
        <v>0</v>
      </c>
      <c r="AD2612" s="82">
        <f t="shared" si="124"/>
        <v>0</v>
      </c>
      <c r="AE2612" s="218">
        <v>0</v>
      </c>
      <c r="AF2612">
        <v>0</v>
      </c>
      <c r="AH2612" t="str">
        <f t="shared" si="125"/>
        <v>Gaighat</v>
      </c>
      <c r="AJ2612" s="72">
        <v>0</v>
      </c>
      <c r="AK2612" s="72"/>
      <c r="AL2612" s="72"/>
      <c r="AM2612" s="72"/>
    </row>
    <row r="2613" spans="1:39" x14ac:dyDescent="0.25">
      <c r="A2613" s="37" t="s">
        <v>62</v>
      </c>
      <c r="B2613" s="66" t="s">
        <v>1629</v>
      </c>
      <c r="C2613" s="4">
        <v>1012</v>
      </c>
      <c r="D2613" s="41" t="s">
        <v>314</v>
      </c>
      <c r="E2613" s="41">
        <v>10530090</v>
      </c>
      <c r="F2613" s="85" t="s">
        <v>1201</v>
      </c>
      <c r="G2613" s="39" t="s">
        <v>635</v>
      </c>
      <c r="H2613" s="52" t="s">
        <v>99</v>
      </c>
      <c r="I2613" s="52">
        <v>191.65000000000003</v>
      </c>
      <c r="J2613" s="49">
        <v>6508.8600000000006</v>
      </c>
      <c r="K2613" s="58">
        <v>0</v>
      </c>
      <c r="L2613" s="58">
        <v>0</v>
      </c>
      <c r="M2613" s="58">
        <v>0</v>
      </c>
      <c r="N2613" s="58">
        <v>0</v>
      </c>
      <c r="O2613" s="58">
        <v>0</v>
      </c>
      <c r="P2613" s="53">
        <v>0</v>
      </c>
      <c r="Q2613" s="65">
        <v>6508.8600000000006</v>
      </c>
      <c r="R2613" s="65">
        <v>0</v>
      </c>
      <c r="S2613" s="65">
        <v>0</v>
      </c>
      <c r="T2613" s="65">
        <v>0</v>
      </c>
      <c r="U2613" s="58">
        <v>0</v>
      </c>
      <c r="V2613" s="65">
        <v>18.316323870967754</v>
      </c>
      <c r="W2613" s="65">
        <v>0</v>
      </c>
      <c r="X2613" s="65">
        <v>0</v>
      </c>
      <c r="Y2613" s="65">
        <v>0</v>
      </c>
      <c r="Z2613" s="51">
        <v>6490.543676129033</v>
      </c>
      <c r="AA2613" s="51">
        <v>0</v>
      </c>
      <c r="AB2613" s="102">
        <v>0</v>
      </c>
      <c r="AC2613" s="81">
        <f t="shared" si="123"/>
        <v>345.29391922775892</v>
      </c>
      <c r="AD2613" s="82">
        <f t="shared" si="124"/>
        <v>27.378571428571433</v>
      </c>
      <c r="AE2613" s="218">
        <v>0</v>
      </c>
      <c r="AF2613">
        <v>0</v>
      </c>
      <c r="AH2613" t="str">
        <f t="shared" si="125"/>
        <v>DalsinghSarai</v>
      </c>
      <c r="AJ2613" s="72">
        <v>0</v>
      </c>
      <c r="AK2613" s="72"/>
      <c r="AL2613" s="72"/>
      <c r="AM2613" s="72"/>
    </row>
    <row r="2614" spans="1:39" x14ac:dyDescent="0.25">
      <c r="A2614" s="37" t="s">
        <v>62</v>
      </c>
      <c r="B2614" s="66" t="s">
        <v>1629</v>
      </c>
      <c r="C2614" s="4">
        <v>1053</v>
      </c>
      <c r="D2614" s="41" t="s">
        <v>542</v>
      </c>
      <c r="E2614" s="41">
        <v>10530091</v>
      </c>
      <c r="F2614" s="85" t="s">
        <v>1229</v>
      </c>
      <c r="G2614" s="39" t="s">
        <v>93</v>
      </c>
      <c r="H2614" s="52" t="s">
        <v>94</v>
      </c>
      <c r="I2614" s="52">
        <v>248.45000000000002</v>
      </c>
      <c r="J2614" s="49">
        <v>10585.59</v>
      </c>
      <c r="K2614" s="58">
        <v>243.59999999999994</v>
      </c>
      <c r="L2614" s="58">
        <v>11175.491107656895</v>
      </c>
      <c r="M2614" s="58">
        <v>5.9</v>
      </c>
      <c r="N2614" s="58">
        <v>266.73483786765007</v>
      </c>
      <c r="O2614" s="58">
        <v>249.49999999999994</v>
      </c>
      <c r="P2614" s="53">
        <v>11442.225945524546</v>
      </c>
      <c r="Q2614" s="65">
        <v>10585.59</v>
      </c>
      <c r="R2614" s="65">
        <v>0</v>
      </c>
      <c r="S2614" s="65">
        <v>266.73483786765007</v>
      </c>
      <c r="T2614" s="65">
        <v>856.6359455245456</v>
      </c>
      <c r="U2614" s="58">
        <v>0</v>
      </c>
      <c r="V2614" s="65">
        <v>42.038951612903219</v>
      </c>
      <c r="W2614" s="65">
        <v>0</v>
      </c>
      <c r="X2614" s="65">
        <v>10277</v>
      </c>
      <c r="Y2614" s="65">
        <v>0</v>
      </c>
      <c r="Z2614" s="51">
        <v>0</v>
      </c>
      <c r="AA2614" s="51">
        <v>0</v>
      </c>
      <c r="AB2614" s="102">
        <v>0</v>
      </c>
      <c r="AC2614" s="81">
        <f t="shared" si="123"/>
        <v>384.77948597303271</v>
      </c>
      <c r="AD2614" s="82">
        <f t="shared" si="124"/>
        <v>35.492857142857147</v>
      </c>
      <c r="AE2614" s="218">
        <v>-8.092472365966806E-2</v>
      </c>
      <c r="AF2614">
        <v>13</v>
      </c>
      <c r="AH2614" t="str">
        <f t="shared" si="125"/>
        <v>Kalyanpur</v>
      </c>
      <c r="AJ2614" s="72">
        <v>0</v>
      </c>
      <c r="AK2614" s="72"/>
      <c r="AL2614" s="72"/>
      <c r="AM2614" s="72"/>
    </row>
    <row r="2615" spans="1:39" x14ac:dyDescent="0.25">
      <c r="A2615" s="37" t="s">
        <v>62</v>
      </c>
      <c r="B2615" s="66" t="s">
        <v>1629</v>
      </c>
      <c r="C2615" s="4">
        <v>1053</v>
      </c>
      <c r="D2615" s="41" t="s">
        <v>542</v>
      </c>
      <c r="E2615" s="41">
        <v>10530092</v>
      </c>
      <c r="F2615" s="85" t="s">
        <v>1224</v>
      </c>
      <c r="G2615" s="39" t="s">
        <v>93</v>
      </c>
      <c r="H2615" s="52" t="s">
        <v>94</v>
      </c>
      <c r="I2615" s="52">
        <v>1097.3499999999999</v>
      </c>
      <c r="J2615" s="49">
        <v>44199.869999999995</v>
      </c>
      <c r="K2615" s="58">
        <v>870.7</v>
      </c>
      <c r="L2615" s="58">
        <v>33873.698858784468</v>
      </c>
      <c r="M2615" s="58">
        <v>233.29999999999998</v>
      </c>
      <c r="N2615" s="58">
        <v>10313.308064955299</v>
      </c>
      <c r="O2615" s="58">
        <v>1104</v>
      </c>
      <c r="P2615" s="53">
        <v>44187.006923739769</v>
      </c>
      <c r="Q2615" s="65">
        <v>44187.006923739769</v>
      </c>
      <c r="R2615" s="65">
        <v>0</v>
      </c>
      <c r="S2615" s="65">
        <v>913.07713959</v>
      </c>
      <c r="T2615" s="65">
        <v>0</v>
      </c>
      <c r="U2615" s="58">
        <v>3000</v>
      </c>
      <c r="V2615" s="65">
        <v>0</v>
      </c>
      <c r="W2615" s="65">
        <v>0</v>
      </c>
      <c r="X2615" s="65">
        <v>30874</v>
      </c>
      <c r="Y2615" s="65">
        <v>9400</v>
      </c>
      <c r="Z2615" s="51">
        <v>0</v>
      </c>
      <c r="AA2615" s="51">
        <v>13</v>
      </c>
      <c r="AB2615" s="102" t="s">
        <v>68</v>
      </c>
      <c r="AC2615" s="81">
        <f t="shared" si="123"/>
        <v>0</v>
      </c>
      <c r="AD2615" s="82">
        <f t="shared" si="124"/>
        <v>0</v>
      </c>
      <c r="AE2615" s="218">
        <v>2.9102068083517173E-4</v>
      </c>
      <c r="AF2615">
        <v>19</v>
      </c>
      <c r="AH2615" t="str">
        <f t="shared" si="125"/>
        <v>Kalyanpur</v>
      </c>
      <c r="AJ2615" s="72">
        <v>0</v>
      </c>
      <c r="AK2615" s="72"/>
      <c r="AL2615" s="72"/>
      <c r="AM2615" s="72"/>
    </row>
    <row r="2616" spans="1:39" x14ac:dyDescent="0.25">
      <c r="A2616" s="37" t="s">
        <v>62</v>
      </c>
      <c r="B2616" s="66" t="s">
        <v>1629</v>
      </c>
      <c r="C2616" s="4">
        <v>1053</v>
      </c>
      <c r="D2616" s="41" t="s">
        <v>542</v>
      </c>
      <c r="E2616" s="41">
        <v>10530093</v>
      </c>
      <c r="F2616" s="85" t="s">
        <v>1225</v>
      </c>
      <c r="G2616" s="39" t="s">
        <v>93</v>
      </c>
      <c r="H2616" s="52" t="s">
        <v>94</v>
      </c>
      <c r="I2616" s="52">
        <v>1210.1999999999996</v>
      </c>
      <c r="J2616" s="49">
        <v>53479.310000000012</v>
      </c>
      <c r="K2616" s="58">
        <v>1193.7</v>
      </c>
      <c r="L2616" s="58">
        <v>52929.168468461146</v>
      </c>
      <c r="M2616" s="58">
        <v>17.8</v>
      </c>
      <c r="N2616" s="58">
        <v>778.07549771159995</v>
      </c>
      <c r="O2616" s="58">
        <v>1211.5</v>
      </c>
      <c r="P2616" s="53">
        <v>53707.243966172748</v>
      </c>
      <c r="Q2616" s="65">
        <v>53479.310000000012</v>
      </c>
      <c r="R2616" s="65">
        <v>0</v>
      </c>
      <c r="S2616" s="65">
        <v>778.07549771159995</v>
      </c>
      <c r="T2616" s="65">
        <v>227.93396617273538</v>
      </c>
      <c r="U2616" s="58">
        <v>3000</v>
      </c>
      <c r="V2616" s="65">
        <v>0</v>
      </c>
      <c r="W2616" s="65">
        <v>0</v>
      </c>
      <c r="X2616" s="65">
        <v>49701</v>
      </c>
      <c r="Y2616" s="65">
        <v>0</v>
      </c>
      <c r="Z2616" s="51">
        <v>0</v>
      </c>
      <c r="AA2616" s="51">
        <v>0</v>
      </c>
      <c r="AB2616" s="102">
        <v>0</v>
      </c>
      <c r="AC2616" s="81">
        <f t="shared" si="123"/>
        <v>0</v>
      </c>
      <c r="AD2616" s="82">
        <f t="shared" si="124"/>
        <v>0</v>
      </c>
      <c r="AE2616" s="218">
        <v>-4.2620962419435728E-3</v>
      </c>
      <c r="AF2616">
        <v>31</v>
      </c>
      <c r="AH2616" t="str">
        <f t="shared" si="125"/>
        <v>Kalyanpur</v>
      </c>
      <c r="AJ2616" s="72">
        <v>0</v>
      </c>
      <c r="AK2616" s="72"/>
      <c r="AL2616" s="72"/>
      <c r="AM2616" s="72"/>
    </row>
    <row r="2617" spans="1:39" x14ac:dyDescent="0.25">
      <c r="A2617" s="37" t="s">
        <v>62</v>
      </c>
      <c r="B2617" s="66" t="s">
        <v>1629</v>
      </c>
      <c r="C2617" s="4">
        <v>1053</v>
      </c>
      <c r="D2617" s="41" t="s">
        <v>542</v>
      </c>
      <c r="E2617" s="41">
        <v>10530096</v>
      </c>
      <c r="F2617" s="85" t="s">
        <v>1274</v>
      </c>
      <c r="G2617" s="39" t="s">
        <v>93</v>
      </c>
      <c r="H2617" s="52" t="s">
        <v>94</v>
      </c>
      <c r="I2617" s="52">
        <v>642.8499999999998</v>
      </c>
      <c r="J2617" s="49">
        <v>34935.429999999993</v>
      </c>
      <c r="K2617" s="58">
        <v>643.1</v>
      </c>
      <c r="L2617" s="58">
        <v>34372.61207510189</v>
      </c>
      <c r="M2617" s="58">
        <v>8.5</v>
      </c>
      <c r="N2617" s="58">
        <v>541.580271595</v>
      </c>
      <c r="O2617" s="58">
        <v>651.6</v>
      </c>
      <c r="P2617" s="53">
        <v>34914.192346696887</v>
      </c>
      <c r="Q2617" s="65">
        <v>34914.192346696887</v>
      </c>
      <c r="R2617" s="65">
        <v>0</v>
      </c>
      <c r="S2617" s="65">
        <v>541.580271595</v>
      </c>
      <c r="T2617" s="65">
        <v>0</v>
      </c>
      <c r="U2617" s="58">
        <v>33</v>
      </c>
      <c r="V2617" s="65">
        <v>53.283561290322623</v>
      </c>
      <c r="W2617" s="65">
        <v>0</v>
      </c>
      <c r="X2617" s="65">
        <v>34286</v>
      </c>
      <c r="Y2617" s="65">
        <v>0</v>
      </c>
      <c r="Z2617" s="51">
        <v>0</v>
      </c>
      <c r="AA2617" s="51">
        <v>22</v>
      </c>
      <c r="AB2617" s="102" t="s">
        <v>68</v>
      </c>
      <c r="AC2617" s="81">
        <f t="shared" si="123"/>
        <v>62.11588471649705</v>
      </c>
      <c r="AD2617" s="82">
        <f t="shared" si="124"/>
        <v>91.835714285714261</v>
      </c>
      <c r="AE2617" s="218">
        <v>6.0791160444012343E-4</v>
      </c>
      <c r="AF2617">
        <v>2</v>
      </c>
      <c r="AH2617" t="str">
        <f t="shared" si="125"/>
        <v>Kalyanpur</v>
      </c>
      <c r="AJ2617" s="72">
        <v>0</v>
      </c>
      <c r="AK2617" s="72"/>
      <c r="AL2617" s="72"/>
      <c r="AM2617" s="72"/>
    </row>
    <row r="2618" spans="1:39" x14ac:dyDescent="0.25">
      <c r="A2618" s="37" t="s">
        <v>62</v>
      </c>
      <c r="B2618" s="66" t="s">
        <v>1629</v>
      </c>
      <c r="C2618" s="4">
        <v>1053</v>
      </c>
      <c r="D2618" s="41" t="s">
        <v>542</v>
      </c>
      <c r="E2618" s="41">
        <v>10530097</v>
      </c>
      <c r="F2618" s="85" t="s">
        <v>1275</v>
      </c>
      <c r="G2618" s="39" t="s">
        <v>93</v>
      </c>
      <c r="H2618" s="52" t="s">
        <v>94</v>
      </c>
      <c r="I2618" s="52">
        <v>678.2</v>
      </c>
      <c r="J2618" s="49">
        <v>28097.120000000003</v>
      </c>
      <c r="K2618" s="58">
        <v>666.50000000000011</v>
      </c>
      <c r="L2618" s="58">
        <v>27131.865160880585</v>
      </c>
      <c r="M2618" s="58">
        <v>22.299999999999997</v>
      </c>
      <c r="N2618" s="58">
        <v>911.86438919400007</v>
      </c>
      <c r="O2618" s="58">
        <v>688.80000000000007</v>
      </c>
      <c r="P2618" s="53">
        <v>28043.729550074586</v>
      </c>
      <c r="Q2618" s="65">
        <v>28043.729550074586</v>
      </c>
      <c r="R2618" s="65">
        <v>0</v>
      </c>
      <c r="S2618" s="65">
        <v>911.86438919400007</v>
      </c>
      <c r="T2618" s="65">
        <v>0</v>
      </c>
      <c r="U2618" s="58">
        <v>0</v>
      </c>
      <c r="V2618" s="65">
        <v>0</v>
      </c>
      <c r="W2618" s="65">
        <v>0</v>
      </c>
      <c r="X2618" s="65">
        <v>27133</v>
      </c>
      <c r="Y2618" s="65">
        <v>0</v>
      </c>
      <c r="Z2618" s="51">
        <v>0</v>
      </c>
      <c r="AA2618" s="51">
        <v>52</v>
      </c>
      <c r="AB2618" s="102">
        <v>0</v>
      </c>
      <c r="AC2618" s="81">
        <f t="shared" si="123"/>
        <v>18.063026127985843</v>
      </c>
      <c r="AD2618" s="82">
        <f t="shared" si="124"/>
        <v>96.885714285714286</v>
      </c>
      <c r="AE2618" s="218">
        <v>1.9002107662784212E-3</v>
      </c>
      <c r="AF2618">
        <v>22</v>
      </c>
      <c r="AH2618" t="str">
        <f t="shared" si="125"/>
        <v>Kalyanpur</v>
      </c>
      <c r="AJ2618" s="72">
        <v>0</v>
      </c>
      <c r="AK2618" s="72"/>
      <c r="AL2618" s="72"/>
      <c r="AM2618" s="72"/>
    </row>
    <row r="2619" spans="1:39" x14ac:dyDescent="0.25">
      <c r="A2619" s="37" t="s">
        <v>62</v>
      </c>
      <c r="B2619" s="66" t="s">
        <v>1629</v>
      </c>
      <c r="C2619" s="4">
        <v>1053</v>
      </c>
      <c r="D2619" s="41" t="s">
        <v>542</v>
      </c>
      <c r="E2619" s="41">
        <v>10530100</v>
      </c>
      <c r="F2619" s="85" t="s">
        <v>1352</v>
      </c>
      <c r="G2619" s="39" t="s">
        <v>93</v>
      </c>
      <c r="H2619" s="52" t="s">
        <v>94</v>
      </c>
      <c r="I2619" s="52">
        <v>256.29999999999995</v>
      </c>
      <c r="J2619" s="49">
        <v>10573.360000000002</v>
      </c>
      <c r="K2619" s="58">
        <v>251.20000000000005</v>
      </c>
      <c r="L2619" s="58">
        <v>10457.884522747099</v>
      </c>
      <c r="M2619" s="58">
        <v>2</v>
      </c>
      <c r="N2619" s="58">
        <v>82.75817583396001</v>
      </c>
      <c r="O2619" s="58">
        <v>253.20000000000005</v>
      </c>
      <c r="P2619" s="53">
        <v>10540.642698581059</v>
      </c>
      <c r="Q2619" s="65">
        <v>10540.642698581059</v>
      </c>
      <c r="R2619" s="65">
        <v>0</v>
      </c>
      <c r="S2619" s="65">
        <v>82.75817583396001</v>
      </c>
      <c r="T2619" s="65">
        <v>0</v>
      </c>
      <c r="U2619" s="58">
        <v>0</v>
      </c>
      <c r="V2619" s="65">
        <v>5.6995548387096591</v>
      </c>
      <c r="W2619" s="65">
        <v>0</v>
      </c>
      <c r="X2619" s="65">
        <v>10454</v>
      </c>
      <c r="Y2619" s="65">
        <v>0</v>
      </c>
      <c r="Z2619" s="51">
        <v>0</v>
      </c>
      <c r="AA2619" s="51">
        <v>31</v>
      </c>
      <c r="AB2619" s="102">
        <v>0</v>
      </c>
      <c r="AC2619" s="81">
        <f t="shared" si="123"/>
        <v>366.0866041357786</v>
      </c>
      <c r="AD2619" s="82">
        <f t="shared" si="124"/>
        <v>36.614285714285707</v>
      </c>
      <c r="AE2619" s="218">
        <v>3.0943145243274555E-3</v>
      </c>
      <c r="AF2619">
        <v>10</v>
      </c>
      <c r="AH2619" t="str">
        <f t="shared" si="125"/>
        <v>Kalyanpur</v>
      </c>
      <c r="AJ2619" s="72">
        <v>0</v>
      </c>
      <c r="AK2619" s="72"/>
      <c r="AL2619" s="72"/>
      <c r="AM2619" s="72"/>
    </row>
    <row r="2620" spans="1:39" x14ac:dyDescent="0.25">
      <c r="A2620" s="37" t="s">
        <v>62</v>
      </c>
      <c r="B2620" s="66" t="s">
        <v>1629</v>
      </c>
      <c r="C2620" s="4">
        <v>1053</v>
      </c>
      <c r="D2620" s="41" t="s">
        <v>542</v>
      </c>
      <c r="E2620" s="41">
        <v>10530101</v>
      </c>
      <c r="F2620" s="85" t="s">
        <v>1337</v>
      </c>
      <c r="G2620" s="39" t="s">
        <v>93</v>
      </c>
      <c r="H2620" s="52" t="s">
        <v>94</v>
      </c>
      <c r="I2620" s="52">
        <v>347.15</v>
      </c>
      <c r="J2620" s="49">
        <v>15247.52</v>
      </c>
      <c r="K2620" s="58">
        <v>357.40000000000003</v>
      </c>
      <c r="L2620" s="58">
        <v>15684.2405545932</v>
      </c>
      <c r="M2620" s="58">
        <v>3.4000000000000004</v>
      </c>
      <c r="N2620" s="58">
        <v>151.79213999249998</v>
      </c>
      <c r="O2620" s="58">
        <v>360.8</v>
      </c>
      <c r="P2620" s="53">
        <v>15836.0326945857</v>
      </c>
      <c r="Q2620" s="65">
        <v>15247.52</v>
      </c>
      <c r="R2620" s="65">
        <v>0</v>
      </c>
      <c r="S2620" s="65">
        <v>151.79213999249998</v>
      </c>
      <c r="T2620" s="65">
        <v>588.51269458569914</v>
      </c>
      <c r="U2620" s="58">
        <v>1454</v>
      </c>
      <c r="V2620" s="65">
        <v>13.362940677966041</v>
      </c>
      <c r="W2620" s="65">
        <v>0</v>
      </c>
      <c r="X2620" s="65">
        <v>13628</v>
      </c>
      <c r="Y2620" s="65">
        <v>0</v>
      </c>
      <c r="Z2620" s="51">
        <v>0</v>
      </c>
      <c r="AA2620" s="51">
        <v>0</v>
      </c>
      <c r="AB2620" s="102" t="s">
        <v>68</v>
      </c>
      <c r="AC2620" s="81">
        <f t="shared" si="123"/>
        <v>309.95750724470696</v>
      </c>
      <c r="AD2620" s="82">
        <f t="shared" si="124"/>
        <v>49.592857142857142</v>
      </c>
      <c r="AE2620" s="218">
        <v>-3.8597273168731641E-2</v>
      </c>
      <c r="AF2620">
        <v>15</v>
      </c>
      <c r="AH2620" t="str">
        <f t="shared" si="125"/>
        <v>Kalyanpur</v>
      </c>
      <c r="AJ2620" s="72">
        <v>0</v>
      </c>
      <c r="AK2620" s="72"/>
      <c r="AL2620" s="72"/>
      <c r="AM2620" s="72"/>
    </row>
    <row r="2621" spans="1:39" x14ac:dyDescent="0.25">
      <c r="A2621" s="37" t="s">
        <v>62</v>
      </c>
      <c r="B2621" s="66" t="s">
        <v>1629</v>
      </c>
      <c r="C2621" s="4">
        <v>1053</v>
      </c>
      <c r="D2621" s="41" t="s">
        <v>542</v>
      </c>
      <c r="E2621" s="41">
        <v>10530102</v>
      </c>
      <c r="F2621" s="85" t="s">
        <v>1353</v>
      </c>
      <c r="G2621" s="39" t="s">
        <v>93</v>
      </c>
      <c r="H2621" s="52" t="s">
        <v>94</v>
      </c>
      <c r="I2621" s="52">
        <v>97.750000000000014</v>
      </c>
      <c r="J2621" s="49">
        <v>3950.1000000000004</v>
      </c>
      <c r="K2621" s="58">
        <v>97.300000000000011</v>
      </c>
      <c r="L2621" s="58">
        <v>3625.4839009667107</v>
      </c>
      <c r="M2621" s="58">
        <v>0</v>
      </c>
      <c r="N2621" s="58">
        <v>0</v>
      </c>
      <c r="O2621" s="58">
        <v>97.300000000000011</v>
      </c>
      <c r="P2621" s="53">
        <v>3625.4839009667107</v>
      </c>
      <c r="Q2621" s="65">
        <v>3625.4839009667107</v>
      </c>
      <c r="R2621" s="65">
        <v>0</v>
      </c>
      <c r="S2621" s="65">
        <v>0</v>
      </c>
      <c r="T2621" s="65">
        <v>0</v>
      </c>
      <c r="U2621" s="58">
        <v>1500</v>
      </c>
      <c r="V2621" s="65">
        <v>0</v>
      </c>
      <c r="W2621" s="65">
        <v>0</v>
      </c>
      <c r="X2621" s="65">
        <v>2126</v>
      </c>
      <c r="Y2621" s="65">
        <v>0</v>
      </c>
      <c r="Z2621" s="51">
        <v>0</v>
      </c>
      <c r="AA2621" s="51">
        <v>324</v>
      </c>
      <c r="AB2621" s="102">
        <v>0</v>
      </c>
      <c r="AC2621" s="81">
        <f t="shared" si="123"/>
        <v>486.74122250639391</v>
      </c>
      <c r="AD2621" s="82">
        <f t="shared" si="124"/>
        <v>13.964285714285717</v>
      </c>
      <c r="AE2621" s="218">
        <v>8.2179210408164255E-2</v>
      </c>
      <c r="AF2621">
        <v>4</v>
      </c>
      <c r="AH2621" t="str">
        <f t="shared" si="125"/>
        <v>Kalyanpur</v>
      </c>
      <c r="AJ2621" s="72">
        <v>0</v>
      </c>
      <c r="AK2621" s="72"/>
      <c r="AL2621" s="72"/>
      <c r="AM2621" s="72"/>
    </row>
    <row r="2622" spans="1:39" x14ac:dyDescent="0.25">
      <c r="A2622" s="37" t="s">
        <v>62</v>
      </c>
      <c r="B2622" s="66" t="s">
        <v>1629</v>
      </c>
      <c r="C2622" s="4">
        <v>1053</v>
      </c>
      <c r="D2622" s="41" t="s">
        <v>542</v>
      </c>
      <c r="E2622" s="41">
        <v>10530103</v>
      </c>
      <c r="F2622" s="85" t="s">
        <v>1338</v>
      </c>
      <c r="G2622" s="39" t="s">
        <v>93</v>
      </c>
      <c r="H2622" s="52" t="s">
        <v>94</v>
      </c>
      <c r="I2622" s="52">
        <v>2539.0500000000006</v>
      </c>
      <c r="J2622" s="49">
        <v>109265.73999999999</v>
      </c>
      <c r="K2622" s="58">
        <v>2486.7000000000007</v>
      </c>
      <c r="L2622" s="58">
        <v>108374.79469630736</v>
      </c>
      <c r="M2622" s="58">
        <v>29.400000000000002</v>
      </c>
      <c r="N2622" s="58">
        <v>1251.4715017200003</v>
      </c>
      <c r="O2622" s="58">
        <v>2516.1000000000008</v>
      </c>
      <c r="P2622" s="53">
        <v>109626.26619802737</v>
      </c>
      <c r="Q2622" s="65">
        <v>109265.73999999999</v>
      </c>
      <c r="R2622" s="65">
        <v>0</v>
      </c>
      <c r="S2622" s="65">
        <v>1251.4715017200003</v>
      </c>
      <c r="T2622" s="65">
        <v>360.526198027379</v>
      </c>
      <c r="U2622" s="58">
        <v>26997</v>
      </c>
      <c r="V2622" s="65">
        <v>0</v>
      </c>
      <c r="W2622" s="65">
        <v>0</v>
      </c>
      <c r="X2622" s="65">
        <v>81017</v>
      </c>
      <c r="Y2622" s="65">
        <v>0</v>
      </c>
      <c r="Z2622" s="51">
        <v>0</v>
      </c>
      <c r="AA2622" s="51">
        <v>0</v>
      </c>
      <c r="AB2622" s="102">
        <v>0</v>
      </c>
      <c r="AC2622" s="81">
        <f t="shared" si="123"/>
        <v>0</v>
      </c>
      <c r="AD2622" s="82">
        <f t="shared" si="124"/>
        <v>0</v>
      </c>
      <c r="AE2622" s="218">
        <v>-3.299535591186945E-3</v>
      </c>
      <c r="AF2622">
        <v>29</v>
      </c>
      <c r="AH2622" t="str">
        <f t="shared" si="125"/>
        <v>Kalyanpur</v>
      </c>
      <c r="AJ2622" s="72">
        <v>0</v>
      </c>
      <c r="AK2622" s="72"/>
      <c r="AL2622" s="72"/>
      <c r="AM2622" s="72"/>
    </row>
    <row r="2623" spans="1:39" x14ac:dyDescent="0.25">
      <c r="A2623" s="37" t="s">
        <v>62</v>
      </c>
      <c r="B2623" s="66" t="s">
        <v>1629</v>
      </c>
      <c r="C2623" s="4">
        <v>1053</v>
      </c>
      <c r="D2623" s="41" t="s">
        <v>542</v>
      </c>
      <c r="E2623" s="41">
        <v>10530105</v>
      </c>
      <c r="F2623" s="85" t="s">
        <v>1386</v>
      </c>
      <c r="G2623" s="39" t="s">
        <v>93</v>
      </c>
      <c r="H2623" s="52" t="s">
        <v>94</v>
      </c>
      <c r="I2623" s="52">
        <v>152.44999999999999</v>
      </c>
      <c r="J2623" s="49">
        <v>5699.9700000000012</v>
      </c>
      <c r="K2623" s="58">
        <v>153.16999999999999</v>
      </c>
      <c r="L2623" s="58">
        <v>5227.6700710673995</v>
      </c>
      <c r="M2623" s="58">
        <v>1.26</v>
      </c>
      <c r="N2623" s="58">
        <v>44.732957385600002</v>
      </c>
      <c r="O2623" s="58">
        <v>154.42999999999998</v>
      </c>
      <c r="P2623" s="53">
        <v>5272.4030284529999</v>
      </c>
      <c r="Q2623" s="65">
        <v>5272.4030284529999</v>
      </c>
      <c r="R2623" s="65">
        <v>0</v>
      </c>
      <c r="S2623" s="65">
        <v>44.732957385600002</v>
      </c>
      <c r="T2623" s="65">
        <v>0</v>
      </c>
      <c r="U2623" s="58">
        <v>0</v>
      </c>
      <c r="V2623" s="65">
        <v>0</v>
      </c>
      <c r="W2623" s="65">
        <v>0</v>
      </c>
      <c r="X2623" s="65">
        <v>5228</v>
      </c>
      <c r="Y2623" s="65">
        <v>0</v>
      </c>
      <c r="Z2623" s="51">
        <v>0</v>
      </c>
      <c r="AA2623" s="51">
        <v>427</v>
      </c>
      <c r="AB2623" s="102">
        <v>0</v>
      </c>
      <c r="AC2623" s="81">
        <f t="shared" si="123"/>
        <v>409.4481565759267</v>
      </c>
      <c r="AD2623" s="82">
        <f t="shared" si="124"/>
        <v>21.778571428571428</v>
      </c>
      <c r="AE2623" s="218">
        <v>7.5012144194969654E-2</v>
      </c>
      <c r="AF2623">
        <v>3</v>
      </c>
      <c r="AH2623" t="str">
        <f t="shared" si="125"/>
        <v>Kalyanpur</v>
      </c>
      <c r="AJ2623" s="72">
        <v>0</v>
      </c>
      <c r="AK2623" s="72"/>
      <c r="AL2623" s="72"/>
      <c r="AM2623" s="72"/>
    </row>
    <row r="2624" spans="1:39" x14ac:dyDescent="0.25">
      <c r="A2624" s="37" t="s">
        <v>62</v>
      </c>
      <c r="B2624" s="66" t="s">
        <v>1629</v>
      </c>
      <c r="C2624" s="4">
        <v>1053</v>
      </c>
      <c r="D2624" s="41" t="s">
        <v>542</v>
      </c>
      <c r="E2624" s="41">
        <v>10530106</v>
      </c>
      <c r="F2624" s="85" t="s">
        <v>1436</v>
      </c>
      <c r="G2624" s="39" t="s">
        <v>93</v>
      </c>
      <c r="H2624" s="52" t="s">
        <v>94</v>
      </c>
      <c r="I2624" s="52">
        <v>416.05</v>
      </c>
      <c r="J2624" s="49">
        <v>15425.29</v>
      </c>
      <c r="K2624" s="58">
        <v>408.65</v>
      </c>
      <c r="L2624" s="58">
        <v>15066.127421136405</v>
      </c>
      <c r="M2624" s="58">
        <v>4.95</v>
      </c>
      <c r="N2624" s="58">
        <v>180.06105334931999</v>
      </c>
      <c r="O2624" s="58">
        <v>413.59999999999997</v>
      </c>
      <c r="P2624" s="53">
        <v>15246.188474485725</v>
      </c>
      <c r="Q2624" s="65">
        <v>15246.188474485725</v>
      </c>
      <c r="R2624" s="65">
        <v>0</v>
      </c>
      <c r="S2624" s="65">
        <v>180.06105334931999</v>
      </c>
      <c r="T2624" s="65">
        <v>0</v>
      </c>
      <c r="U2624" s="58">
        <v>0</v>
      </c>
      <c r="V2624" s="65">
        <v>0</v>
      </c>
      <c r="W2624" s="65">
        <v>0</v>
      </c>
      <c r="X2624" s="65">
        <v>15066</v>
      </c>
      <c r="Y2624" s="65">
        <v>0</v>
      </c>
      <c r="Z2624" s="51">
        <v>0</v>
      </c>
      <c r="AA2624" s="51">
        <v>179</v>
      </c>
      <c r="AB2624" s="102">
        <v>0</v>
      </c>
      <c r="AC2624" s="81">
        <f t="shared" si="123"/>
        <v>210.55214976565316</v>
      </c>
      <c r="AD2624" s="82">
        <f t="shared" si="124"/>
        <v>59.43571428571429</v>
      </c>
      <c r="AE2624" s="218">
        <v>1.1610901676031739E-2</v>
      </c>
      <c r="AF2624">
        <v>7</v>
      </c>
      <c r="AH2624" t="str">
        <f t="shared" si="125"/>
        <v>Kalyanpur</v>
      </c>
      <c r="AJ2624" s="72">
        <v>0</v>
      </c>
      <c r="AK2624" s="72"/>
      <c r="AL2624" s="72"/>
      <c r="AM2624" s="72"/>
    </row>
    <row r="2625" spans="1:39" x14ac:dyDescent="0.25">
      <c r="A2625" s="37" t="s">
        <v>62</v>
      </c>
      <c r="B2625" s="66" t="s">
        <v>1629</v>
      </c>
      <c r="C2625" s="4">
        <v>1053</v>
      </c>
      <c r="D2625" s="41" t="s">
        <v>542</v>
      </c>
      <c r="E2625" s="41">
        <v>10530107</v>
      </c>
      <c r="F2625" s="85" t="s">
        <v>1406</v>
      </c>
      <c r="G2625" s="39" t="s">
        <v>635</v>
      </c>
      <c r="H2625" s="52" t="s">
        <v>99</v>
      </c>
      <c r="I2625" s="52">
        <v>238.60000000000002</v>
      </c>
      <c r="J2625" s="49">
        <v>12620.09</v>
      </c>
      <c r="K2625" s="58">
        <v>0</v>
      </c>
      <c r="L2625" s="58">
        <v>0</v>
      </c>
      <c r="M2625" s="58">
        <v>0</v>
      </c>
      <c r="N2625" s="58">
        <v>0</v>
      </c>
      <c r="O2625" s="58">
        <v>0</v>
      </c>
      <c r="P2625" s="53">
        <v>0</v>
      </c>
      <c r="Q2625" s="65">
        <v>12620.09</v>
      </c>
      <c r="R2625" s="65">
        <v>0</v>
      </c>
      <c r="S2625" s="65">
        <v>0</v>
      </c>
      <c r="T2625" s="65">
        <v>0</v>
      </c>
      <c r="U2625" s="58">
        <v>0</v>
      </c>
      <c r="V2625" s="65">
        <v>0</v>
      </c>
      <c r="W2625" s="65">
        <v>0</v>
      </c>
      <c r="X2625" s="65">
        <v>0</v>
      </c>
      <c r="Y2625" s="65">
        <v>0</v>
      </c>
      <c r="Z2625" s="51">
        <v>12620.09</v>
      </c>
      <c r="AA2625" s="51">
        <v>0</v>
      </c>
      <c r="AB2625" s="102">
        <v>0</v>
      </c>
      <c r="AC2625" s="81">
        <f t="shared" si="123"/>
        <v>488.08965012573339</v>
      </c>
      <c r="AD2625" s="82">
        <f t="shared" si="124"/>
        <v>34.085714285714289</v>
      </c>
      <c r="AE2625" s="218">
        <v>0</v>
      </c>
      <c r="AF2625">
        <v>0</v>
      </c>
      <c r="AH2625" t="str">
        <f t="shared" si="125"/>
        <v>Kalyanpur</v>
      </c>
      <c r="AJ2625" s="72">
        <v>0</v>
      </c>
      <c r="AK2625" s="72"/>
      <c r="AL2625" s="72"/>
      <c r="AM2625" s="72"/>
    </row>
    <row r="2626" spans="1:39" x14ac:dyDescent="0.25">
      <c r="A2626" s="37" t="s">
        <v>62</v>
      </c>
      <c r="B2626" s="66" t="s">
        <v>1629</v>
      </c>
      <c r="C2626" s="4">
        <v>1053</v>
      </c>
      <c r="D2626" s="41" t="s">
        <v>542</v>
      </c>
      <c r="E2626" s="41">
        <v>10530108</v>
      </c>
      <c r="F2626" s="85" t="s">
        <v>1437</v>
      </c>
      <c r="G2626" s="39" t="s">
        <v>93</v>
      </c>
      <c r="H2626" s="52" t="s">
        <v>94</v>
      </c>
      <c r="I2626" s="52">
        <v>182.95</v>
      </c>
      <c r="J2626" s="49">
        <v>7084.41</v>
      </c>
      <c r="K2626" s="58">
        <v>179.42999999999998</v>
      </c>
      <c r="L2626" s="58">
        <v>6821.625325739401</v>
      </c>
      <c r="M2626" s="58">
        <v>4.8600000000000003</v>
      </c>
      <c r="N2626" s="58">
        <v>179.44598192400005</v>
      </c>
      <c r="O2626" s="58">
        <v>184.29</v>
      </c>
      <c r="P2626" s="53">
        <v>7001.0713076634011</v>
      </c>
      <c r="Q2626" s="65">
        <v>7001.0713076634011</v>
      </c>
      <c r="R2626" s="65">
        <v>0</v>
      </c>
      <c r="S2626" s="65">
        <v>179.44598192400005</v>
      </c>
      <c r="T2626" s="65">
        <v>0</v>
      </c>
      <c r="U2626" s="58">
        <v>0</v>
      </c>
      <c r="V2626" s="65">
        <v>0</v>
      </c>
      <c r="W2626" s="65">
        <v>0</v>
      </c>
      <c r="X2626" s="65">
        <v>6821</v>
      </c>
      <c r="Y2626" s="65">
        <v>0</v>
      </c>
      <c r="Z2626" s="51">
        <v>0</v>
      </c>
      <c r="AA2626" s="51">
        <v>84</v>
      </c>
      <c r="AB2626" s="102">
        <v>0</v>
      </c>
      <c r="AC2626" s="81">
        <f t="shared" ref="AC2626:AC2689" si="126">((IF(AD2626=0,0,100-AD2626))*7*(J2626/I2626))*2%</f>
        <v>400.4366428532386</v>
      </c>
      <c r="AD2626" s="82">
        <f t="shared" ref="AD2626:AD2689" si="127">IF((I2626/7)&gt;100,0,(I2626/7))</f>
        <v>26.135714285714283</v>
      </c>
      <c r="AE2626" s="218">
        <v>1.176367436901574E-2</v>
      </c>
      <c r="AF2626">
        <v>4</v>
      </c>
      <c r="AH2626" t="str">
        <f t="shared" si="125"/>
        <v>Kalyanpur</v>
      </c>
      <c r="AJ2626" s="72">
        <v>0</v>
      </c>
      <c r="AK2626" s="72"/>
      <c r="AL2626" s="72"/>
      <c r="AM2626" s="72"/>
    </row>
    <row r="2627" spans="1:39" x14ac:dyDescent="0.25">
      <c r="A2627" s="37" t="s">
        <v>62</v>
      </c>
      <c r="B2627" s="66" t="s">
        <v>1629</v>
      </c>
      <c r="C2627" s="4">
        <v>1053</v>
      </c>
      <c r="D2627" s="41" t="s">
        <v>542</v>
      </c>
      <c r="E2627" s="41">
        <v>10530109</v>
      </c>
      <c r="F2627" s="85" t="s">
        <v>1407</v>
      </c>
      <c r="G2627" s="39" t="s">
        <v>93</v>
      </c>
      <c r="H2627" s="52" t="s">
        <v>94</v>
      </c>
      <c r="I2627" s="52">
        <v>1543.4500000000003</v>
      </c>
      <c r="J2627" s="49">
        <v>63751.86</v>
      </c>
      <c r="K2627" s="58">
        <v>1528.5299999999997</v>
      </c>
      <c r="L2627" s="58">
        <v>63467.211686923853</v>
      </c>
      <c r="M2627" s="58">
        <v>9.7700000000000014</v>
      </c>
      <c r="N2627" s="58">
        <v>408.15578905800004</v>
      </c>
      <c r="O2627" s="58">
        <v>1538.2999999999997</v>
      </c>
      <c r="P2627" s="53">
        <v>63875.367475981853</v>
      </c>
      <c r="Q2627" s="65">
        <v>63751.86</v>
      </c>
      <c r="R2627" s="65">
        <v>0</v>
      </c>
      <c r="S2627" s="65">
        <v>408.15578905800004</v>
      </c>
      <c r="T2627" s="65">
        <v>123.50747598185262</v>
      </c>
      <c r="U2627" s="58">
        <v>16350</v>
      </c>
      <c r="V2627" s="65">
        <v>0</v>
      </c>
      <c r="W2627" s="65">
        <v>0</v>
      </c>
      <c r="X2627" s="65">
        <v>46994</v>
      </c>
      <c r="Y2627" s="65">
        <v>0</v>
      </c>
      <c r="Z2627" s="51">
        <v>0</v>
      </c>
      <c r="AA2627" s="51">
        <v>0</v>
      </c>
      <c r="AB2627" s="102">
        <v>0</v>
      </c>
      <c r="AC2627" s="81">
        <f t="shared" si="126"/>
        <v>0</v>
      </c>
      <c r="AD2627" s="82">
        <f t="shared" si="127"/>
        <v>0</v>
      </c>
      <c r="AE2627" s="218">
        <v>-1.9373156482313241E-3</v>
      </c>
      <c r="AF2627">
        <v>17</v>
      </c>
      <c r="AH2627" t="str">
        <f t="shared" si="125"/>
        <v>Kalyanpur</v>
      </c>
      <c r="AJ2627" s="72">
        <v>0</v>
      </c>
      <c r="AK2627" s="72"/>
      <c r="AL2627" s="72"/>
      <c r="AM2627" s="72"/>
    </row>
    <row r="2628" spans="1:39" x14ac:dyDescent="0.25">
      <c r="A2628" s="37" t="s">
        <v>62</v>
      </c>
      <c r="B2628" s="66" t="s">
        <v>1629</v>
      </c>
      <c r="C2628" s="4">
        <v>1053</v>
      </c>
      <c r="D2628" s="41" t="s">
        <v>542</v>
      </c>
      <c r="E2628" s="41">
        <v>10530110</v>
      </c>
      <c r="F2628" s="85" t="s">
        <v>1438</v>
      </c>
      <c r="G2628" s="39" t="s">
        <v>93</v>
      </c>
      <c r="H2628" s="52" t="s">
        <v>94</v>
      </c>
      <c r="I2628" s="52">
        <v>780.24999999999989</v>
      </c>
      <c r="J2628" s="49">
        <v>30248.940000000006</v>
      </c>
      <c r="K2628" s="58">
        <v>803.05</v>
      </c>
      <c r="L2628" s="58">
        <v>30415.476636522821</v>
      </c>
      <c r="M2628" s="58">
        <v>18.150000000000002</v>
      </c>
      <c r="N2628" s="58">
        <v>686.90133309600014</v>
      </c>
      <c r="O2628" s="58">
        <v>821.19999999999993</v>
      </c>
      <c r="P2628" s="53">
        <v>31102.377969618821</v>
      </c>
      <c r="Q2628" s="65">
        <v>30248.940000000006</v>
      </c>
      <c r="R2628" s="65">
        <v>0</v>
      </c>
      <c r="S2628" s="65">
        <v>686.90133309600014</v>
      </c>
      <c r="T2628" s="65">
        <v>853.43796961881526</v>
      </c>
      <c r="U2628" s="58">
        <v>0</v>
      </c>
      <c r="V2628" s="65">
        <v>0</v>
      </c>
      <c r="W2628" s="65">
        <v>0</v>
      </c>
      <c r="X2628" s="65">
        <v>29562</v>
      </c>
      <c r="Y2628" s="65">
        <v>0</v>
      </c>
      <c r="Z2628" s="51">
        <v>0</v>
      </c>
      <c r="AA2628" s="51">
        <v>0</v>
      </c>
      <c r="AB2628" s="102">
        <v>0</v>
      </c>
      <c r="AC2628" s="81">
        <f t="shared" si="126"/>
        <v>0</v>
      </c>
      <c r="AD2628" s="82">
        <f t="shared" si="127"/>
        <v>0</v>
      </c>
      <c r="AE2628" s="218">
        <v>-2.8213814091297581E-2</v>
      </c>
      <c r="AF2628">
        <v>19</v>
      </c>
      <c r="AH2628" t="str">
        <f t="shared" si="125"/>
        <v>Kalyanpur</v>
      </c>
      <c r="AJ2628" s="72">
        <v>0</v>
      </c>
      <c r="AK2628" s="72"/>
      <c r="AL2628" s="72"/>
      <c r="AM2628" s="72"/>
    </row>
    <row r="2629" spans="1:39" x14ac:dyDescent="0.25">
      <c r="A2629" s="37" t="s">
        <v>62</v>
      </c>
      <c r="B2629" s="66" t="s">
        <v>1629</v>
      </c>
      <c r="C2629" s="4">
        <v>1053</v>
      </c>
      <c r="D2629" s="41" t="s">
        <v>542</v>
      </c>
      <c r="E2629" s="41">
        <v>10530111</v>
      </c>
      <c r="F2629" s="85" t="s">
        <v>1500</v>
      </c>
      <c r="G2629" s="39" t="s">
        <v>93</v>
      </c>
      <c r="H2629" s="52" t="s">
        <v>94</v>
      </c>
      <c r="I2629" s="52">
        <v>700.35</v>
      </c>
      <c r="J2629" s="49">
        <v>27810.02</v>
      </c>
      <c r="K2629" s="58">
        <v>699.0999999999998</v>
      </c>
      <c r="L2629" s="58">
        <v>27624.750144310834</v>
      </c>
      <c r="M2629" s="58">
        <v>13.71</v>
      </c>
      <c r="N2629" s="58">
        <v>540.65153498400014</v>
      </c>
      <c r="O2629" s="58">
        <v>712.80999999999983</v>
      </c>
      <c r="P2629" s="53">
        <v>28165.401679294835</v>
      </c>
      <c r="Q2629" s="65">
        <v>27810.02</v>
      </c>
      <c r="R2629" s="65">
        <v>0</v>
      </c>
      <c r="S2629" s="65">
        <v>540.65153498400014</v>
      </c>
      <c r="T2629" s="65">
        <v>355.38167929483461</v>
      </c>
      <c r="U2629" s="58">
        <v>2726</v>
      </c>
      <c r="V2629" s="65">
        <v>0</v>
      </c>
      <c r="W2629" s="65">
        <v>0</v>
      </c>
      <c r="X2629" s="65">
        <v>24543</v>
      </c>
      <c r="Y2629" s="65">
        <v>0</v>
      </c>
      <c r="Z2629" s="51">
        <v>0</v>
      </c>
      <c r="AA2629" s="51">
        <v>0</v>
      </c>
      <c r="AB2629" s="102">
        <v>0</v>
      </c>
      <c r="AC2629" s="81">
        <f t="shared" si="126"/>
        <v>0</v>
      </c>
      <c r="AD2629" s="82">
        <f t="shared" si="127"/>
        <v>0</v>
      </c>
      <c r="AE2629" s="218">
        <v>-1.2778907720844307E-2</v>
      </c>
      <c r="AF2629">
        <v>16</v>
      </c>
      <c r="AH2629" t="str">
        <f t="shared" ref="AH2629:AH2687" si="128">TEXT(D2629,"0000")</f>
        <v>Kalyanpur</v>
      </c>
      <c r="AJ2629" s="72">
        <v>0</v>
      </c>
      <c r="AK2629" s="72"/>
      <c r="AL2629" s="72"/>
      <c r="AM2629" s="72"/>
    </row>
    <row r="2630" spans="1:39" x14ac:dyDescent="0.25">
      <c r="A2630" s="37" t="s">
        <v>62</v>
      </c>
      <c r="B2630" s="66" t="s">
        <v>1629</v>
      </c>
      <c r="C2630" s="4">
        <v>1053</v>
      </c>
      <c r="D2630" s="41" t="s">
        <v>542</v>
      </c>
      <c r="E2630" s="41">
        <v>10530112</v>
      </c>
      <c r="F2630" s="85" t="s">
        <v>1501</v>
      </c>
      <c r="G2630" s="39" t="s">
        <v>93</v>
      </c>
      <c r="H2630" s="52" t="s">
        <v>94</v>
      </c>
      <c r="I2630" s="52">
        <v>319.60000000000002</v>
      </c>
      <c r="J2630" s="49">
        <v>12561.550000000003</v>
      </c>
      <c r="K2630" s="58">
        <v>319.24</v>
      </c>
      <c r="L2630" s="58">
        <v>12582.636730488</v>
      </c>
      <c r="M2630" s="58">
        <v>0.54999999999999993</v>
      </c>
      <c r="N2630" s="58">
        <v>21.272403240000003</v>
      </c>
      <c r="O2630" s="58">
        <v>319.79000000000002</v>
      </c>
      <c r="P2630" s="53">
        <v>12603.909133728001</v>
      </c>
      <c r="Q2630" s="65">
        <v>12561.550000000003</v>
      </c>
      <c r="R2630" s="65">
        <v>0</v>
      </c>
      <c r="S2630" s="65">
        <v>21.272403240000003</v>
      </c>
      <c r="T2630" s="65">
        <v>42.359133727997687</v>
      </c>
      <c r="U2630" s="58">
        <v>3000</v>
      </c>
      <c r="V2630" s="65">
        <v>0</v>
      </c>
      <c r="W2630" s="65">
        <v>0</v>
      </c>
      <c r="X2630" s="65">
        <v>9540</v>
      </c>
      <c r="Y2630" s="65">
        <v>0</v>
      </c>
      <c r="Z2630" s="51">
        <v>0</v>
      </c>
      <c r="AA2630" s="51">
        <v>0</v>
      </c>
      <c r="AB2630" s="102">
        <v>0</v>
      </c>
      <c r="AC2630" s="81">
        <f t="shared" si="126"/>
        <v>299.02463204005011</v>
      </c>
      <c r="AD2630" s="82">
        <f t="shared" si="127"/>
        <v>45.657142857142858</v>
      </c>
      <c r="AE2630" s="218">
        <v>-3.372126348101761E-3</v>
      </c>
      <c r="AF2630">
        <v>2</v>
      </c>
      <c r="AH2630" t="str">
        <f t="shared" si="128"/>
        <v>Kalyanpur</v>
      </c>
      <c r="AJ2630" s="72">
        <v>0</v>
      </c>
      <c r="AK2630" s="72"/>
      <c r="AL2630" s="72"/>
      <c r="AM2630" s="72"/>
    </row>
    <row r="2631" spans="1:39" x14ac:dyDescent="0.25">
      <c r="A2631" s="37" t="s">
        <v>62</v>
      </c>
      <c r="B2631" s="66" t="s">
        <v>1629</v>
      </c>
      <c r="C2631" s="4">
        <v>1053</v>
      </c>
      <c r="D2631" s="41" t="s">
        <v>542</v>
      </c>
      <c r="E2631" s="41">
        <v>10530113</v>
      </c>
      <c r="F2631" s="85" t="s">
        <v>1557</v>
      </c>
      <c r="G2631" s="39" t="s">
        <v>93</v>
      </c>
      <c r="H2631" s="52" t="s">
        <v>94</v>
      </c>
      <c r="I2631" s="52">
        <v>590.1</v>
      </c>
      <c r="J2631" s="49">
        <v>22639.250000000004</v>
      </c>
      <c r="K2631" s="58">
        <v>585.67999999999995</v>
      </c>
      <c r="L2631" s="58">
        <v>22334.226058346398</v>
      </c>
      <c r="M2631" s="58">
        <v>4.1399999999999988</v>
      </c>
      <c r="N2631" s="58">
        <v>160.39241143200002</v>
      </c>
      <c r="O2631" s="58">
        <v>589.81999999999994</v>
      </c>
      <c r="P2631" s="53">
        <v>22494.618469778397</v>
      </c>
      <c r="Q2631" s="65">
        <v>22494.618469778397</v>
      </c>
      <c r="R2631" s="65">
        <v>0</v>
      </c>
      <c r="S2631" s="65">
        <v>160.39241143200002</v>
      </c>
      <c r="T2631" s="65">
        <v>0</v>
      </c>
      <c r="U2631" s="58">
        <v>9000</v>
      </c>
      <c r="V2631" s="65">
        <v>0</v>
      </c>
      <c r="W2631" s="65">
        <v>0</v>
      </c>
      <c r="X2631" s="65">
        <v>13336</v>
      </c>
      <c r="Y2631" s="65">
        <v>0</v>
      </c>
      <c r="Z2631" s="51">
        <v>0</v>
      </c>
      <c r="AA2631" s="51">
        <v>143</v>
      </c>
      <c r="AB2631" s="102">
        <v>0</v>
      </c>
      <c r="AC2631" s="81">
        <f t="shared" si="126"/>
        <v>84.326506524317935</v>
      </c>
      <c r="AD2631" s="82">
        <f t="shared" si="127"/>
        <v>84.3</v>
      </c>
      <c r="AE2631" s="218">
        <v>6.3885301068545208E-3</v>
      </c>
      <c r="AF2631">
        <v>9</v>
      </c>
      <c r="AH2631" t="str">
        <f t="shared" si="128"/>
        <v>Kalyanpur</v>
      </c>
      <c r="AJ2631" s="72">
        <v>0</v>
      </c>
      <c r="AK2631" s="72"/>
      <c r="AL2631" s="72"/>
      <c r="AM2631" s="72"/>
    </row>
    <row r="2632" spans="1:39" x14ac:dyDescent="0.25">
      <c r="A2632" s="37" t="s">
        <v>62</v>
      </c>
      <c r="B2632" s="66" t="s">
        <v>1629</v>
      </c>
      <c r="C2632" s="4">
        <v>1053</v>
      </c>
      <c r="D2632" s="41" t="s">
        <v>542</v>
      </c>
      <c r="E2632" s="41">
        <v>10530114</v>
      </c>
      <c r="F2632" s="85" t="s">
        <v>1593</v>
      </c>
      <c r="G2632" s="39" t="s">
        <v>93</v>
      </c>
      <c r="H2632" s="52" t="s">
        <v>94</v>
      </c>
      <c r="I2632" s="52">
        <v>111.49999999999999</v>
      </c>
      <c r="J2632" s="49">
        <v>5557.93</v>
      </c>
      <c r="K2632" s="58">
        <v>100.47000000000003</v>
      </c>
      <c r="L2632" s="58">
        <v>5522.683346121371</v>
      </c>
      <c r="M2632" s="58">
        <v>2.62</v>
      </c>
      <c r="N2632" s="58">
        <v>143.54079379133003</v>
      </c>
      <c r="O2632" s="58">
        <v>103.09000000000003</v>
      </c>
      <c r="P2632" s="53">
        <v>5666.2241399127006</v>
      </c>
      <c r="Q2632" s="65">
        <v>5557.93</v>
      </c>
      <c r="R2632" s="65">
        <v>0</v>
      </c>
      <c r="S2632" s="65">
        <v>143.54079379133003</v>
      </c>
      <c r="T2632" s="65">
        <v>108.2941399127003</v>
      </c>
      <c r="U2632" s="58">
        <v>0</v>
      </c>
      <c r="V2632" s="65">
        <v>0</v>
      </c>
      <c r="W2632" s="65">
        <v>0</v>
      </c>
      <c r="X2632" s="65">
        <v>5414</v>
      </c>
      <c r="Y2632" s="65">
        <v>0</v>
      </c>
      <c r="Z2632" s="51">
        <v>0</v>
      </c>
      <c r="AA2632" s="51">
        <v>0</v>
      </c>
      <c r="AB2632" s="102">
        <v>0</v>
      </c>
      <c r="AC2632" s="81">
        <f t="shared" si="126"/>
        <v>586.69808161434992</v>
      </c>
      <c r="AD2632" s="82">
        <f t="shared" si="127"/>
        <v>15.928571428571427</v>
      </c>
      <c r="AE2632" s="218">
        <v>-1.948461745878417E-2</v>
      </c>
      <c r="AF2632">
        <v>7</v>
      </c>
      <c r="AH2632" t="str">
        <f t="shared" si="128"/>
        <v>Kalyanpur</v>
      </c>
      <c r="AJ2632" s="72">
        <v>0</v>
      </c>
      <c r="AK2632" s="72"/>
      <c r="AL2632" s="72"/>
      <c r="AM2632" s="72"/>
    </row>
    <row r="2633" spans="1:39" x14ac:dyDescent="0.25">
      <c r="A2633" s="37" t="s">
        <v>62</v>
      </c>
      <c r="B2633" s="66" t="s">
        <v>1629</v>
      </c>
      <c r="C2633" s="4">
        <v>1053</v>
      </c>
      <c r="D2633" s="41" t="s">
        <v>542</v>
      </c>
      <c r="E2633" s="41">
        <v>10530115</v>
      </c>
      <c r="F2633" s="85" t="s">
        <v>1547</v>
      </c>
      <c r="G2633" s="39" t="s">
        <v>635</v>
      </c>
      <c r="H2633" s="52" t="s">
        <v>99</v>
      </c>
      <c r="I2633" s="52">
        <v>297.39999999999998</v>
      </c>
      <c r="J2633" s="49">
        <v>11417.12</v>
      </c>
      <c r="K2633" s="58">
        <v>0</v>
      </c>
      <c r="L2633" s="58">
        <v>0</v>
      </c>
      <c r="M2633" s="58">
        <v>0</v>
      </c>
      <c r="N2633" s="58">
        <v>0</v>
      </c>
      <c r="O2633" s="58">
        <v>0</v>
      </c>
      <c r="P2633" s="53">
        <v>0</v>
      </c>
      <c r="Q2633" s="65">
        <v>11417.12</v>
      </c>
      <c r="R2633" s="65">
        <v>0</v>
      </c>
      <c r="S2633" s="65">
        <v>0</v>
      </c>
      <c r="T2633" s="65">
        <v>0</v>
      </c>
      <c r="U2633" s="58">
        <v>0</v>
      </c>
      <c r="V2633" s="65">
        <v>0</v>
      </c>
      <c r="W2633" s="65">
        <v>0</v>
      </c>
      <c r="X2633" s="65">
        <v>0</v>
      </c>
      <c r="Y2633" s="65">
        <v>0</v>
      </c>
      <c r="Z2633" s="51">
        <v>11417.12</v>
      </c>
      <c r="AA2633" s="51">
        <v>0</v>
      </c>
      <c r="AB2633" s="102">
        <v>0</v>
      </c>
      <c r="AC2633" s="81">
        <f t="shared" si="126"/>
        <v>309.11449307330201</v>
      </c>
      <c r="AD2633" s="82">
        <f t="shared" si="127"/>
        <v>42.48571428571428</v>
      </c>
      <c r="AE2633" s="218">
        <v>0</v>
      </c>
      <c r="AF2633">
        <v>0</v>
      </c>
      <c r="AH2633" t="str">
        <f t="shared" si="128"/>
        <v>Kalyanpur</v>
      </c>
      <c r="AJ2633" s="72">
        <v>0</v>
      </c>
      <c r="AK2633" s="72"/>
      <c r="AL2633" s="72"/>
      <c r="AM2633" s="72"/>
    </row>
    <row r="2634" spans="1:39" x14ac:dyDescent="0.25">
      <c r="A2634" s="37" t="s">
        <v>62</v>
      </c>
      <c r="B2634" s="66" t="s">
        <v>1629</v>
      </c>
      <c r="C2634" s="4">
        <v>1054</v>
      </c>
      <c r="D2634" s="41" t="s">
        <v>828</v>
      </c>
      <c r="E2634" s="41">
        <v>10540003</v>
      </c>
      <c r="F2634" s="85" t="s">
        <v>683</v>
      </c>
      <c r="G2634" s="39" t="s">
        <v>93</v>
      </c>
      <c r="H2634" s="52" t="s">
        <v>94</v>
      </c>
      <c r="I2634" s="52">
        <v>3044.5</v>
      </c>
      <c r="J2634" s="49">
        <v>121146.70000000001</v>
      </c>
      <c r="K2634" s="58">
        <v>3044.5</v>
      </c>
      <c r="L2634" s="58">
        <v>121141.17507888003</v>
      </c>
      <c r="M2634" s="58">
        <v>0</v>
      </c>
      <c r="N2634" s="58">
        <v>0</v>
      </c>
      <c r="O2634" s="58">
        <v>3044.5</v>
      </c>
      <c r="P2634" s="53">
        <v>121141.17507888003</v>
      </c>
      <c r="Q2634" s="65">
        <v>121141.17507888003</v>
      </c>
      <c r="R2634" s="65">
        <v>0</v>
      </c>
      <c r="S2634" s="65">
        <v>0</v>
      </c>
      <c r="T2634" s="65">
        <v>0</v>
      </c>
      <c r="U2634" s="58">
        <v>0</v>
      </c>
      <c r="V2634" s="65">
        <v>0</v>
      </c>
      <c r="W2634" s="65">
        <v>0</v>
      </c>
      <c r="X2634" s="65">
        <v>121141</v>
      </c>
      <c r="Y2634" s="65">
        <v>0</v>
      </c>
      <c r="Z2634" s="51">
        <v>0</v>
      </c>
      <c r="AA2634" s="51">
        <v>6</v>
      </c>
      <c r="AB2634" s="102">
        <v>0</v>
      </c>
      <c r="AC2634" s="81">
        <f t="shared" si="126"/>
        <v>0</v>
      </c>
      <c r="AD2634" s="82">
        <f t="shared" si="127"/>
        <v>0</v>
      </c>
      <c r="AE2634" s="218">
        <v>4.5605213513734628E-5</v>
      </c>
      <c r="AF2634">
        <v>1</v>
      </c>
      <c r="AH2634" t="str">
        <f t="shared" si="128"/>
        <v xml:space="preserve">Alauli </v>
      </c>
      <c r="AJ2634" s="72">
        <v>0</v>
      </c>
      <c r="AK2634" s="72"/>
      <c r="AL2634" s="72"/>
      <c r="AM2634" s="72"/>
    </row>
    <row r="2635" spans="1:39" x14ac:dyDescent="0.25">
      <c r="A2635" s="37" t="s">
        <v>62</v>
      </c>
      <c r="B2635" s="66" t="s">
        <v>1629</v>
      </c>
      <c r="C2635" s="4">
        <v>1054</v>
      </c>
      <c r="D2635" s="41" t="s">
        <v>828</v>
      </c>
      <c r="E2635" s="41">
        <v>10540005</v>
      </c>
      <c r="F2635" s="85" t="s">
        <v>685</v>
      </c>
      <c r="G2635" s="39" t="s">
        <v>93</v>
      </c>
      <c r="H2635" s="52" t="s">
        <v>94</v>
      </c>
      <c r="I2635" s="52">
        <v>234.79999999999998</v>
      </c>
      <c r="J2635" s="49">
        <v>9354.7500000000018</v>
      </c>
      <c r="K2635" s="58">
        <v>257.40999999999997</v>
      </c>
      <c r="L2635" s="58">
        <v>9948.6527827681857</v>
      </c>
      <c r="M2635" s="58">
        <v>0</v>
      </c>
      <c r="N2635" s="58">
        <v>0</v>
      </c>
      <c r="O2635" s="58">
        <v>257.40999999999997</v>
      </c>
      <c r="P2635" s="53">
        <v>9948.6527827681857</v>
      </c>
      <c r="Q2635" s="65">
        <v>9354.7500000000018</v>
      </c>
      <c r="R2635" s="65">
        <v>0</v>
      </c>
      <c r="S2635" s="65">
        <v>0</v>
      </c>
      <c r="T2635" s="65">
        <v>593.9027827681839</v>
      </c>
      <c r="U2635" s="58">
        <v>0</v>
      </c>
      <c r="V2635" s="65">
        <v>40.770000000000003</v>
      </c>
      <c r="W2635" s="65">
        <v>0</v>
      </c>
      <c r="X2635" s="65">
        <v>9314</v>
      </c>
      <c r="Y2635" s="65">
        <v>0</v>
      </c>
      <c r="Z2635" s="51">
        <v>0</v>
      </c>
      <c r="AA2635" s="51">
        <v>0</v>
      </c>
      <c r="AB2635" s="102" t="s">
        <v>68</v>
      </c>
      <c r="AC2635" s="81">
        <f t="shared" si="126"/>
        <v>370.68396081771732</v>
      </c>
      <c r="AD2635" s="82">
        <f t="shared" si="127"/>
        <v>33.542857142857137</v>
      </c>
      <c r="AE2635" s="218">
        <v>-6.3486761566924163E-2</v>
      </c>
      <c r="AF2635">
        <v>9</v>
      </c>
      <c r="AH2635" t="str">
        <f t="shared" si="128"/>
        <v xml:space="preserve">Alauli </v>
      </c>
      <c r="AJ2635" s="72">
        <v>0</v>
      </c>
      <c r="AK2635" s="72"/>
      <c r="AL2635" s="72"/>
      <c r="AM2635" s="72"/>
    </row>
    <row r="2636" spans="1:39" x14ac:dyDescent="0.25">
      <c r="A2636" s="37" t="s">
        <v>62</v>
      </c>
      <c r="B2636" s="66" t="s">
        <v>1629</v>
      </c>
      <c r="C2636" s="4">
        <v>1054</v>
      </c>
      <c r="D2636" s="41" t="s">
        <v>828</v>
      </c>
      <c r="E2636" s="41">
        <v>10540008</v>
      </c>
      <c r="F2636" s="85" t="s">
        <v>1146</v>
      </c>
      <c r="G2636" s="39" t="s">
        <v>93</v>
      </c>
      <c r="H2636" s="52" t="s">
        <v>94</v>
      </c>
      <c r="I2636" s="52">
        <v>152.30000000000001</v>
      </c>
      <c r="J2636" s="49">
        <v>7090.75</v>
      </c>
      <c r="K2636" s="58">
        <v>205.53</v>
      </c>
      <c r="L2636" s="58">
        <v>11061.588762487851</v>
      </c>
      <c r="M2636" s="58">
        <v>0</v>
      </c>
      <c r="N2636" s="58">
        <v>0</v>
      </c>
      <c r="O2636" s="58">
        <v>205.53</v>
      </c>
      <c r="P2636" s="53">
        <v>11061.588762487851</v>
      </c>
      <c r="Q2636" s="65">
        <v>7090.75</v>
      </c>
      <c r="R2636" s="65">
        <v>0</v>
      </c>
      <c r="S2636" s="65">
        <v>0</v>
      </c>
      <c r="T2636" s="65">
        <v>3970.8387624878505</v>
      </c>
      <c r="U2636" s="58">
        <v>342</v>
      </c>
      <c r="V2636" s="65">
        <v>29.52</v>
      </c>
      <c r="W2636" s="65">
        <v>0</v>
      </c>
      <c r="X2636" s="65">
        <v>6719</v>
      </c>
      <c r="Y2636" s="65">
        <v>0</v>
      </c>
      <c r="Z2636" s="51">
        <v>0</v>
      </c>
      <c r="AA2636" s="51">
        <v>0</v>
      </c>
      <c r="AB2636" s="102" t="s">
        <v>68</v>
      </c>
      <c r="AC2636" s="81">
        <f t="shared" si="126"/>
        <v>509.99392974392634</v>
      </c>
      <c r="AD2636" s="82">
        <f t="shared" si="127"/>
        <v>21.75714285714286</v>
      </c>
      <c r="AE2636" s="218">
        <v>-0.56000264605124295</v>
      </c>
      <c r="AF2636">
        <v>10</v>
      </c>
      <c r="AH2636" t="str">
        <f t="shared" si="128"/>
        <v xml:space="preserve">Alauli </v>
      </c>
      <c r="AJ2636" s="72">
        <v>0</v>
      </c>
      <c r="AK2636" s="72"/>
      <c r="AL2636" s="72"/>
      <c r="AM2636" s="72"/>
    </row>
    <row r="2637" spans="1:39" x14ac:dyDescent="0.25">
      <c r="A2637" s="37" t="s">
        <v>62</v>
      </c>
      <c r="B2637" s="66" t="s">
        <v>1629</v>
      </c>
      <c r="C2637" s="4">
        <v>1054</v>
      </c>
      <c r="D2637" s="41" t="s">
        <v>828</v>
      </c>
      <c r="E2637" s="41">
        <v>10540009</v>
      </c>
      <c r="F2637" s="85" t="s">
        <v>853</v>
      </c>
      <c r="G2637" s="39" t="s">
        <v>93</v>
      </c>
      <c r="H2637" s="52" t="s">
        <v>94</v>
      </c>
      <c r="I2637" s="52">
        <v>1050.3</v>
      </c>
      <c r="J2637" s="49">
        <v>42840.290000000008</v>
      </c>
      <c r="K2637" s="58">
        <v>1069.07</v>
      </c>
      <c r="L2637" s="58">
        <v>43542.446061704119</v>
      </c>
      <c r="M2637" s="58">
        <v>10.44</v>
      </c>
      <c r="N2637" s="58">
        <v>511.06654233360001</v>
      </c>
      <c r="O2637" s="58">
        <v>1079.51</v>
      </c>
      <c r="P2637" s="53">
        <v>44053.512604037722</v>
      </c>
      <c r="Q2637" s="65">
        <v>42840.290000000008</v>
      </c>
      <c r="R2637" s="65">
        <v>0</v>
      </c>
      <c r="S2637" s="65">
        <v>511.06654233360001</v>
      </c>
      <c r="T2637" s="65">
        <v>1213.2226040377136</v>
      </c>
      <c r="U2637" s="58">
        <v>0</v>
      </c>
      <c r="V2637" s="65">
        <v>127.93</v>
      </c>
      <c r="W2637" s="65">
        <v>0</v>
      </c>
      <c r="X2637" s="65">
        <v>42201</v>
      </c>
      <c r="Y2637" s="65">
        <v>0</v>
      </c>
      <c r="Z2637" s="51">
        <v>0</v>
      </c>
      <c r="AA2637" s="51">
        <v>0</v>
      </c>
      <c r="AB2637" s="102" t="s">
        <v>68</v>
      </c>
      <c r="AC2637" s="81">
        <f t="shared" si="126"/>
        <v>0</v>
      </c>
      <c r="AD2637" s="82">
        <f t="shared" si="127"/>
        <v>0</v>
      </c>
      <c r="AE2637" s="218">
        <v>-2.831966366328784E-2</v>
      </c>
      <c r="AF2637">
        <v>27</v>
      </c>
      <c r="AH2637" t="str">
        <f t="shared" si="128"/>
        <v xml:space="preserve">Alauli </v>
      </c>
      <c r="AJ2637" s="72">
        <v>0</v>
      </c>
      <c r="AK2637" s="72"/>
      <c r="AL2637" s="72"/>
      <c r="AM2637" s="72"/>
    </row>
    <row r="2638" spans="1:39" x14ac:dyDescent="0.25">
      <c r="A2638" s="37" t="s">
        <v>62</v>
      </c>
      <c r="B2638" s="66" t="s">
        <v>1629</v>
      </c>
      <c r="C2638" s="4">
        <v>1054</v>
      </c>
      <c r="D2638" s="41" t="s">
        <v>828</v>
      </c>
      <c r="E2638" s="41">
        <v>10540010</v>
      </c>
      <c r="F2638" s="85" t="s">
        <v>615</v>
      </c>
      <c r="G2638" s="39" t="s">
        <v>635</v>
      </c>
      <c r="H2638" s="52" t="s">
        <v>99</v>
      </c>
      <c r="I2638" s="52">
        <v>1860.1999999999998</v>
      </c>
      <c r="J2638" s="49">
        <v>75748.539999999994</v>
      </c>
      <c r="K2638" s="58">
        <v>0</v>
      </c>
      <c r="L2638" s="58">
        <v>0</v>
      </c>
      <c r="M2638" s="58">
        <v>0</v>
      </c>
      <c r="N2638" s="58">
        <v>0</v>
      </c>
      <c r="O2638" s="58">
        <v>0</v>
      </c>
      <c r="P2638" s="53">
        <v>0</v>
      </c>
      <c r="Q2638" s="65">
        <v>75748.539999999994</v>
      </c>
      <c r="R2638" s="65">
        <v>0</v>
      </c>
      <c r="S2638" s="65">
        <v>0</v>
      </c>
      <c r="T2638" s="65">
        <v>0</v>
      </c>
      <c r="U2638" s="58">
        <v>0</v>
      </c>
      <c r="V2638" s="65">
        <v>0</v>
      </c>
      <c r="W2638" s="65">
        <v>0</v>
      </c>
      <c r="X2638" s="65">
        <v>0</v>
      </c>
      <c r="Y2638" s="65">
        <v>0</v>
      </c>
      <c r="Z2638" s="51">
        <v>75748.539999999994</v>
      </c>
      <c r="AA2638" s="51">
        <v>0</v>
      </c>
      <c r="AB2638" s="102">
        <v>0</v>
      </c>
      <c r="AC2638" s="81">
        <f t="shared" si="126"/>
        <v>0</v>
      </c>
      <c r="AD2638" s="82">
        <f t="shared" si="127"/>
        <v>0</v>
      </c>
      <c r="AE2638" s="218">
        <v>0</v>
      </c>
      <c r="AF2638">
        <v>0</v>
      </c>
      <c r="AH2638" t="str">
        <f t="shared" si="128"/>
        <v xml:space="preserve">Alauli </v>
      </c>
      <c r="AJ2638" s="72">
        <v>0</v>
      </c>
      <c r="AK2638" s="72"/>
      <c r="AL2638" s="72"/>
      <c r="AM2638" s="72"/>
    </row>
    <row r="2639" spans="1:39" x14ac:dyDescent="0.25">
      <c r="A2639" s="37" t="s">
        <v>62</v>
      </c>
      <c r="B2639" s="66" t="s">
        <v>1629</v>
      </c>
      <c r="C2639" s="4">
        <v>1054</v>
      </c>
      <c r="D2639" s="41" t="s">
        <v>828</v>
      </c>
      <c r="E2639" s="41">
        <v>10540012</v>
      </c>
      <c r="F2639" s="85" t="s">
        <v>843</v>
      </c>
      <c r="G2639" s="39" t="s">
        <v>635</v>
      </c>
      <c r="H2639" s="52" t="s">
        <v>99</v>
      </c>
      <c r="I2639" s="52">
        <v>368.69999999999993</v>
      </c>
      <c r="J2639" s="49">
        <v>12365.669999999996</v>
      </c>
      <c r="K2639" s="58">
        <v>0</v>
      </c>
      <c r="L2639" s="58">
        <v>0</v>
      </c>
      <c r="M2639" s="58">
        <v>0</v>
      </c>
      <c r="N2639" s="58">
        <v>0</v>
      </c>
      <c r="O2639" s="58">
        <v>0</v>
      </c>
      <c r="P2639" s="53">
        <v>0</v>
      </c>
      <c r="Q2639" s="65">
        <v>12365.669999999996</v>
      </c>
      <c r="R2639" s="65">
        <v>0</v>
      </c>
      <c r="S2639" s="65">
        <v>0</v>
      </c>
      <c r="T2639" s="65">
        <v>0</v>
      </c>
      <c r="U2639" s="58">
        <v>0</v>
      </c>
      <c r="V2639" s="65">
        <v>0</v>
      </c>
      <c r="W2639" s="65">
        <v>0</v>
      </c>
      <c r="X2639" s="65">
        <v>0</v>
      </c>
      <c r="Y2639" s="65">
        <v>0</v>
      </c>
      <c r="Z2639" s="51">
        <v>12365.669999999996</v>
      </c>
      <c r="AA2639" s="51">
        <v>0</v>
      </c>
      <c r="AB2639" s="102">
        <v>0</v>
      </c>
      <c r="AC2639" s="81">
        <f t="shared" si="126"/>
        <v>222.22655117982103</v>
      </c>
      <c r="AD2639" s="82">
        <f t="shared" si="127"/>
        <v>52.671428571428564</v>
      </c>
      <c r="AE2639" s="218">
        <v>0</v>
      </c>
      <c r="AF2639">
        <v>0</v>
      </c>
      <c r="AH2639" t="str">
        <f t="shared" si="128"/>
        <v xml:space="preserve">Alauli </v>
      </c>
      <c r="AJ2639" s="72">
        <v>0</v>
      </c>
      <c r="AK2639" s="72"/>
      <c r="AL2639" s="72"/>
      <c r="AM2639" s="72"/>
    </row>
    <row r="2640" spans="1:39" x14ac:dyDescent="0.25">
      <c r="A2640" s="37" t="s">
        <v>62</v>
      </c>
      <c r="B2640" s="66" t="s">
        <v>1629</v>
      </c>
      <c r="C2640" s="4">
        <v>1054</v>
      </c>
      <c r="D2640" s="41" t="s">
        <v>828</v>
      </c>
      <c r="E2640" s="41">
        <v>10540014</v>
      </c>
      <c r="F2640" s="85" t="s">
        <v>1147</v>
      </c>
      <c r="G2640" s="39" t="s">
        <v>635</v>
      </c>
      <c r="H2640" s="52" t="s">
        <v>99</v>
      </c>
      <c r="I2640" s="52">
        <v>60.000000000000007</v>
      </c>
      <c r="J2640" s="49">
        <v>2372.94</v>
      </c>
      <c r="K2640" s="58">
        <v>0</v>
      </c>
      <c r="L2640" s="58">
        <v>0</v>
      </c>
      <c r="M2640" s="58">
        <v>0</v>
      </c>
      <c r="N2640" s="58">
        <v>0</v>
      </c>
      <c r="O2640" s="58">
        <v>0</v>
      </c>
      <c r="P2640" s="53">
        <v>0</v>
      </c>
      <c r="Q2640" s="65">
        <v>2372.94</v>
      </c>
      <c r="R2640" s="65">
        <v>0</v>
      </c>
      <c r="S2640" s="65">
        <v>0</v>
      </c>
      <c r="T2640" s="65">
        <v>0</v>
      </c>
      <c r="U2640" s="58">
        <v>0</v>
      </c>
      <c r="V2640" s="65">
        <v>0</v>
      </c>
      <c r="W2640" s="65">
        <v>0</v>
      </c>
      <c r="X2640" s="65">
        <v>0</v>
      </c>
      <c r="Y2640" s="65">
        <v>0</v>
      </c>
      <c r="Z2640" s="51">
        <v>2372.94</v>
      </c>
      <c r="AA2640" s="51">
        <v>0</v>
      </c>
      <c r="AB2640" s="102">
        <v>0</v>
      </c>
      <c r="AC2640" s="81">
        <f t="shared" si="126"/>
        <v>506.22720000000004</v>
      </c>
      <c r="AD2640" s="82">
        <f t="shared" si="127"/>
        <v>8.571428571428573</v>
      </c>
      <c r="AE2640" s="218">
        <v>0</v>
      </c>
      <c r="AF2640">
        <v>0</v>
      </c>
      <c r="AH2640" t="str">
        <f t="shared" si="128"/>
        <v xml:space="preserve">Alauli </v>
      </c>
      <c r="AJ2640" s="72">
        <v>0</v>
      </c>
      <c r="AK2640" s="72"/>
      <c r="AL2640" s="72"/>
      <c r="AM2640" s="72"/>
    </row>
    <row r="2641" spans="1:39" x14ac:dyDescent="0.25">
      <c r="A2641" s="37" t="s">
        <v>62</v>
      </c>
      <c r="B2641" s="66" t="s">
        <v>1629</v>
      </c>
      <c r="C2641" s="4">
        <v>1054</v>
      </c>
      <c r="D2641" s="41" t="s">
        <v>828</v>
      </c>
      <c r="E2641" s="41">
        <v>10540015</v>
      </c>
      <c r="F2641" s="85" t="s">
        <v>1331</v>
      </c>
      <c r="G2641" s="39" t="s">
        <v>635</v>
      </c>
      <c r="H2641" s="52" t="s">
        <v>99</v>
      </c>
      <c r="I2641" s="52">
        <v>387.6</v>
      </c>
      <c r="J2641" s="49">
        <v>14241.079999999998</v>
      </c>
      <c r="K2641" s="58">
        <v>0</v>
      </c>
      <c r="L2641" s="58">
        <v>0</v>
      </c>
      <c r="M2641" s="58">
        <v>0</v>
      </c>
      <c r="N2641" s="58">
        <v>0</v>
      </c>
      <c r="O2641" s="58">
        <v>0</v>
      </c>
      <c r="P2641" s="53">
        <v>0</v>
      </c>
      <c r="Q2641" s="65">
        <v>14241.079999999998</v>
      </c>
      <c r="R2641" s="65">
        <v>0</v>
      </c>
      <c r="S2641" s="65">
        <v>0</v>
      </c>
      <c r="T2641" s="65">
        <v>0</v>
      </c>
      <c r="U2641" s="58">
        <v>0</v>
      </c>
      <c r="V2641" s="65">
        <v>0</v>
      </c>
      <c r="W2641" s="65">
        <v>0</v>
      </c>
      <c r="X2641" s="65">
        <v>0</v>
      </c>
      <c r="Y2641" s="65">
        <v>0</v>
      </c>
      <c r="Z2641" s="51">
        <v>14241.079999999998</v>
      </c>
      <c r="AA2641" s="51">
        <v>0</v>
      </c>
      <c r="AB2641" s="102">
        <v>0</v>
      </c>
      <c r="AC2641" s="81">
        <f t="shared" si="126"/>
        <v>229.56209453044372</v>
      </c>
      <c r="AD2641" s="82">
        <f t="shared" si="127"/>
        <v>55.371428571428574</v>
      </c>
      <c r="AE2641" s="218">
        <v>0</v>
      </c>
      <c r="AF2641">
        <v>0</v>
      </c>
      <c r="AH2641" t="str">
        <f t="shared" si="128"/>
        <v xml:space="preserve">Alauli </v>
      </c>
      <c r="AJ2641" s="72">
        <v>0</v>
      </c>
      <c r="AK2641" s="72"/>
      <c r="AL2641" s="72"/>
      <c r="AM2641" s="72"/>
    </row>
    <row r="2642" spans="1:39" x14ac:dyDescent="0.25">
      <c r="A2642" s="37" t="s">
        <v>62</v>
      </c>
      <c r="B2642" s="66" t="s">
        <v>1629</v>
      </c>
      <c r="C2642" s="4">
        <v>1054</v>
      </c>
      <c r="D2642" s="41" t="s">
        <v>828</v>
      </c>
      <c r="E2642" s="41">
        <v>10540016</v>
      </c>
      <c r="F2642" s="85" t="s">
        <v>1161</v>
      </c>
      <c r="G2642" s="39" t="s">
        <v>93</v>
      </c>
      <c r="H2642" s="52" t="s">
        <v>94</v>
      </c>
      <c r="I2642" s="52">
        <v>305.70000000000005</v>
      </c>
      <c r="J2642" s="49">
        <v>16230.609999999999</v>
      </c>
      <c r="K2642" s="58">
        <v>310.23999999999995</v>
      </c>
      <c r="L2642" s="58">
        <v>16382.807906739421</v>
      </c>
      <c r="M2642" s="58">
        <v>1.04</v>
      </c>
      <c r="N2642" s="58">
        <v>55.082295632780003</v>
      </c>
      <c r="O2642" s="58">
        <v>311.27999999999997</v>
      </c>
      <c r="P2642" s="53">
        <v>16437.8902023722</v>
      </c>
      <c r="Q2642" s="65">
        <v>16230.609999999999</v>
      </c>
      <c r="R2642" s="65">
        <v>0</v>
      </c>
      <c r="S2642" s="65">
        <v>55.082295632780003</v>
      </c>
      <c r="T2642" s="65">
        <v>207.28020237220153</v>
      </c>
      <c r="U2642" s="58">
        <v>0</v>
      </c>
      <c r="V2642" s="65">
        <v>0</v>
      </c>
      <c r="W2642" s="65">
        <v>0</v>
      </c>
      <c r="X2642" s="65">
        <v>16176</v>
      </c>
      <c r="Y2642" s="65">
        <v>0</v>
      </c>
      <c r="Z2642" s="51">
        <v>0</v>
      </c>
      <c r="AA2642" s="51">
        <v>0</v>
      </c>
      <c r="AB2642" s="102">
        <v>0</v>
      </c>
      <c r="AC2642" s="81">
        <f t="shared" si="126"/>
        <v>418.69345914295047</v>
      </c>
      <c r="AD2642" s="82">
        <f t="shared" si="127"/>
        <v>43.671428571428578</v>
      </c>
      <c r="AE2642" s="218">
        <v>-1.2770943444035779E-2</v>
      </c>
      <c r="AF2642">
        <v>9</v>
      </c>
      <c r="AH2642" t="str">
        <f t="shared" si="128"/>
        <v xml:space="preserve">Alauli </v>
      </c>
      <c r="AJ2642" s="72">
        <v>0</v>
      </c>
      <c r="AK2642" s="72"/>
      <c r="AL2642" s="72"/>
      <c r="AM2642" s="72"/>
    </row>
    <row r="2643" spans="1:39" x14ac:dyDescent="0.25">
      <c r="A2643" s="37" t="s">
        <v>62</v>
      </c>
      <c r="B2643" s="66" t="s">
        <v>1629</v>
      </c>
      <c r="C2643" s="4">
        <v>1054</v>
      </c>
      <c r="D2643" s="41" t="s">
        <v>828</v>
      </c>
      <c r="E2643" s="41">
        <v>10540017</v>
      </c>
      <c r="F2643" s="85" t="s">
        <v>1162</v>
      </c>
      <c r="G2643" s="39" t="s">
        <v>93</v>
      </c>
      <c r="H2643" s="52" t="s">
        <v>94</v>
      </c>
      <c r="I2643" s="52">
        <v>834.6</v>
      </c>
      <c r="J2643" s="49">
        <v>30887.349999999995</v>
      </c>
      <c r="K2643" s="58">
        <v>1129.01</v>
      </c>
      <c r="L2643" s="58">
        <v>48839.605548385174</v>
      </c>
      <c r="M2643" s="58">
        <v>0</v>
      </c>
      <c r="N2643" s="58">
        <v>0</v>
      </c>
      <c r="O2643" s="58">
        <v>1129.01</v>
      </c>
      <c r="P2643" s="53">
        <v>48839.605548385174</v>
      </c>
      <c r="Q2643" s="65">
        <v>30887.349999999995</v>
      </c>
      <c r="R2643" s="65">
        <v>0</v>
      </c>
      <c r="S2643" s="65">
        <v>0</v>
      </c>
      <c r="T2643" s="65">
        <v>17952.255548385179</v>
      </c>
      <c r="U2643" s="58">
        <v>2600</v>
      </c>
      <c r="V2643" s="65">
        <v>0</v>
      </c>
      <c r="W2643" s="65">
        <v>0</v>
      </c>
      <c r="X2643" s="65">
        <v>28287</v>
      </c>
      <c r="Y2643" s="65">
        <v>0</v>
      </c>
      <c r="Z2643" s="51">
        <v>0</v>
      </c>
      <c r="AA2643" s="51">
        <v>0</v>
      </c>
      <c r="AB2643" s="102" t="s">
        <v>68</v>
      </c>
      <c r="AC2643" s="81">
        <f t="shared" si="126"/>
        <v>0</v>
      </c>
      <c r="AD2643" s="82">
        <f t="shared" si="127"/>
        <v>0</v>
      </c>
      <c r="AE2643" s="218">
        <v>-0.58121708558310059</v>
      </c>
      <c r="AF2643">
        <v>2</v>
      </c>
      <c r="AH2643" t="str">
        <f t="shared" si="128"/>
        <v xml:space="preserve">Alauli </v>
      </c>
      <c r="AJ2643" s="72">
        <v>0</v>
      </c>
      <c r="AK2643" s="72"/>
      <c r="AL2643" s="72"/>
      <c r="AM2643" s="72"/>
    </row>
    <row r="2644" spans="1:39" x14ac:dyDescent="0.25">
      <c r="A2644" s="37" t="s">
        <v>62</v>
      </c>
      <c r="B2644" s="66" t="s">
        <v>1629</v>
      </c>
      <c r="C2644" s="4">
        <v>1054</v>
      </c>
      <c r="D2644" s="41" t="s">
        <v>828</v>
      </c>
      <c r="E2644" s="41">
        <v>10540018</v>
      </c>
      <c r="F2644" s="85" t="s">
        <v>1163</v>
      </c>
      <c r="G2644" s="39" t="s">
        <v>93</v>
      </c>
      <c r="H2644" s="52" t="s">
        <v>94</v>
      </c>
      <c r="I2644" s="52">
        <v>171.7</v>
      </c>
      <c r="J2644" s="49">
        <v>7568.36</v>
      </c>
      <c r="K2644" s="58">
        <v>196.54</v>
      </c>
      <c r="L2644" s="58">
        <v>8462.5800841610726</v>
      </c>
      <c r="M2644" s="58">
        <v>0</v>
      </c>
      <c r="N2644" s="58">
        <v>0</v>
      </c>
      <c r="O2644" s="58">
        <v>196.54</v>
      </c>
      <c r="P2644" s="53">
        <v>8462.5800841610726</v>
      </c>
      <c r="Q2644" s="65">
        <v>7568.36</v>
      </c>
      <c r="R2644" s="65">
        <v>0</v>
      </c>
      <c r="S2644" s="65">
        <v>0</v>
      </c>
      <c r="T2644" s="65">
        <v>894.22008416107292</v>
      </c>
      <c r="U2644" s="58">
        <v>0</v>
      </c>
      <c r="V2644" s="65">
        <v>0</v>
      </c>
      <c r="W2644" s="65">
        <v>0</v>
      </c>
      <c r="X2644" s="65">
        <v>7568</v>
      </c>
      <c r="Y2644" s="65">
        <v>0</v>
      </c>
      <c r="Z2644" s="51">
        <v>0</v>
      </c>
      <c r="AA2644" s="51">
        <v>0</v>
      </c>
      <c r="AB2644" s="102">
        <v>0</v>
      </c>
      <c r="AC2644" s="81">
        <f t="shared" si="126"/>
        <v>465.73844938846838</v>
      </c>
      <c r="AD2644" s="82">
        <f t="shared" si="127"/>
        <v>24.528571428571428</v>
      </c>
      <c r="AE2644" s="218">
        <v>-0.11815242458882412</v>
      </c>
      <c r="AF2644">
        <v>6</v>
      </c>
      <c r="AH2644" t="str">
        <f t="shared" si="128"/>
        <v xml:space="preserve">Alauli </v>
      </c>
      <c r="AJ2644" s="72">
        <v>0</v>
      </c>
      <c r="AK2644" s="72"/>
      <c r="AL2644" s="72"/>
      <c r="AM2644" s="72"/>
    </row>
    <row r="2645" spans="1:39" x14ac:dyDescent="0.25">
      <c r="A2645" s="37" t="s">
        <v>62</v>
      </c>
      <c r="B2645" s="66" t="s">
        <v>1629</v>
      </c>
      <c r="C2645" s="4">
        <v>1054</v>
      </c>
      <c r="D2645" s="41" t="s">
        <v>828</v>
      </c>
      <c r="E2645" s="41">
        <v>10540019</v>
      </c>
      <c r="F2645" s="85" t="s">
        <v>1193</v>
      </c>
      <c r="G2645" s="39" t="s">
        <v>93</v>
      </c>
      <c r="H2645" s="52" t="s">
        <v>94</v>
      </c>
      <c r="I2645" s="52">
        <v>168.50000000000003</v>
      </c>
      <c r="J2645" s="49">
        <v>6449.32</v>
      </c>
      <c r="K2645" s="58">
        <v>178.97</v>
      </c>
      <c r="L2645" s="58">
        <v>6572.6430824142008</v>
      </c>
      <c r="M2645" s="58">
        <v>0</v>
      </c>
      <c r="N2645" s="58">
        <v>0</v>
      </c>
      <c r="O2645" s="58">
        <v>178.97</v>
      </c>
      <c r="P2645" s="53">
        <v>6572.6430824142008</v>
      </c>
      <c r="Q2645" s="65">
        <v>6449.32</v>
      </c>
      <c r="R2645" s="65">
        <v>0</v>
      </c>
      <c r="S2645" s="65">
        <v>0</v>
      </c>
      <c r="T2645" s="65">
        <v>123.32308241420105</v>
      </c>
      <c r="U2645" s="58">
        <v>0</v>
      </c>
      <c r="V2645" s="65">
        <v>0</v>
      </c>
      <c r="W2645" s="65">
        <v>0</v>
      </c>
      <c r="X2645" s="65">
        <v>6449</v>
      </c>
      <c r="Y2645" s="65">
        <v>0</v>
      </c>
      <c r="Z2645" s="51">
        <v>0</v>
      </c>
      <c r="AA2645" s="51">
        <v>0</v>
      </c>
      <c r="AB2645" s="102" t="s">
        <v>68</v>
      </c>
      <c r="AC2645" s="81">
        <f t="shared" si="126"/>
        <v>406.86214599406514</v>
      </c>
      <c r="AD2645" s="82">
        <f t="shared" si="127"/>
        <v>24.071428571428577</v>
      </c>
      <c r="AE2645" s="218">
        <v>-1.9121873688109917E-2</v>
      </c>
      <c r="AF2645">
        <v>1</v>
      </c>
      <c r="AH2645" t="str">
        <f t="shared" si="128"/>
        <v xml:space="preserve">Alauli </v>
      </c>
      <c r="AJ2645" s="72">
        <v>0</v>
      </c>
      <c r="AK2645" s="72"/>
      <c r="AL2645" s="72"/>
      <c r="AM2645" s="72"/>
    </row>
    <row r="2646" spans="1:39" x14ac:dyDescent="0.25">
      <c r="A2646" s="37" t="s">
        <v>62</v>
      </c>
      <c r="B2646" s="66" t="s">
        <v>1629</v>
      </c>
      <c r="C2646" s="4">
        <v>1054</v>
      </c>
      <c r="D2646" s="41" t="s">
        <v>828</v>
      </c>
      <c r="E2646" s="41">
        <v>10540020</v>
      </c>
      <c r="F2646" s="85" t="s">
        <v>1164</v>
      </c>
      <c r="G2646" s="39" t="s">
        <v>93</v>
      </c>
      <c r="H2646" s="52" t="s">
        <v>94</v>
      </c>
      <c r="I2646" s="52">
        <v>104.8</v>
      </c>
      <c r="J2646" s="49">
        <v>3896.3600000000006</v>
      </c>
      <c r="K2646" s="58">
        <v>111.58</v>
      </c>
      <c r="L2646" s="58">
        <v>4037.6356539646144</v>
      </c>
      <c r="M2646" s="58">
        <v>0</v>
      </c>
      <c r="N2646" s="58">
        <v>0</v>
      </c>
      <c r="O2646" s="58">
        <v>111.58</v>
      </c>
      <c r="P2646" s="53">
        <v>4037.6356539646144</v>
      </c>
      <c r="Q2646" s="65">
        <v>3896.3600000000006</v>
      </c>
      <c r="R2646" s="65">
        <v>0</v>
      </c>
      <c r="S2646" s="65">
        <v>0</v>
      </c>
      <c r="T2646" s="65">
        <v>141.27565396461387</v>
      </c>
      <c r="U2646" s="58">
        <v>0</v>
      </c>
      <c r="V2646" s="65">
        <v>0</v>
      </c>
      <c r="W2646" s="65">
        <v>0</v>
      </c>
      <c r="X2646" s="65">
        <v>3896</v>
      </c>
      <c r="Y2646" s="65">
        <v>0</v>
      </c>
      <c r="Z2646" s="51">
        <v>0</v>
      </c>
      <c r="AA2646" s="51">
        <v>0</v>
      </c>
      <c r="AB2646" s="102" t="s">
        <v>68</v>
      </c>
      <c r="AC2646" s="81">
        <f t="shared" si="126"/>
        <v>442.57890687022905</v>
      </c>
      <c r="AD2646" s="82">
        <f t="shared" si="127"/>
        <v>14.971428571428572</v>
      </c>
      <c r="AE2646" s="218">
        <v>-3.625836780087411E-2</v>
      </c>
      <c r="AF2646">
        <v>6</v>
      </c>
      <c r="AH2646" t="str">
        <f t="shared" si="128"/>
        <v xml:space="preserve">Alauli </v>
      </c>
      <c r="AJ2646" s="72">
        <v>0</v>
      </c>
      <c r="AK2646" s="72"/>
      <c r="AL2646" s="72"/>
      <c r="AM2646" s="72"/>
    </row>
    <row r="2647" spans="1:39" x14ac:dyDescent="0.25">
      <c r="A2647" s="37" t="s">
        <v>62</v>
      </c>
      <c r="B2647" s="66" t="s">
        <v>1629</v>
      </c>
      <c r="C2647" s="4">
        <v>1054</v>
      </c>
      <c r="D2647" s="41" t="s">
        <v>828</v>
      </c>
      <c r="E2647" s="41">
        <v>10540021</v>
      </c>
      <c r="F2647" s="85" t="s">
        <v>1165</v>
      </c>
      <c r="G2647" s="39" t="s">
        <v>93</v>
      </c>
      <c r="H2647" s="52" t="s">
        <v>99</v>
      </c>
      <c r="I2647" s="52">
        <v>468.7</v>
      </c>
      <c r="J2647" s="49">
        <v>17082.769999999997</v>
      </c>
      <c r="K2647" s="58">
        <v>0</v>
      </c>
      <c r="L2647" s="58">
        <v>0</v>
      </c>
      <c r="M2647" s="58">
        <v>0</v>
      </c>
      <c r="N2647" s="58">
        <v>0</v>
      </c>
      <c r="O2647" s="58">
        <v>0</v>
      </c>
      <c r="P2647" s="53">
        <v>0</v>
      </c>
      <c r="Q2647" s="65">
        <v>17082.769999999997</v>
      </c>
      <c r="R2647" s="65">
        <v>0</v>
      </c>
      <c r="S2647" s="65">
        <v>0</v>
      </c>
      <c r="T2647" s="65">
        <v>0</v>
      </c>
      <c r="U2647" s="58">
        <v>0</v>
      </c>
      <c r="V2647" s="65">
        <v>90.93870000000004</v>
      </c>
      <c r="W2647" s="65">
        <v>0</v>
      </c>
      <c r="X2647" s="65">
        <v>0</v>
      </c>
      <c r="Y2647" s="65">
        <v>0</v>
      </c>
      <c r="Z2647" s="51">
        <v>16991.831299999998</v>
      </c>
      <c r="AA2647" s="51">
        <v>0</v>
      </c>
      <c r="AB2647" s="102">
        <v>0</v>
      </c>
      <c r="AC2647" s="81">
        <f t="shared" si="126"/>
        <v>168.60442504800511</v>
      </c>
      <c r="AD2647" s="82">
        <f t="shared" si="127"/>
        <v>66.957142857142856</v>
      </c>
      <c r="AE2647" s="218">
        <v>0</v>
      </c>
      <c r="AF2647">
        <v>0</v>
      </c>
      <c r="AH2647" t="str">
        <f t="shared" si="128"/>
        <v xml:space="preserve">Alauli </v>
      </c>
      <c r="AJ2647" s="72">
        <v>0</v>
      </c>
      <c r="AK2647" s="72"/>
      <c r="AL2647" s="72"/>
      <c r="AM2647" s="72"/>
    </row>
    <row r="2648" spans="1:39" x14ac:dyDescent="0.25">
      <c r="A2648" s="37" t="s">
        <v>62</v>
      </c>
      <c r="B2648" s="66" t="s">
        <v>1629</v>
      </c>
      <c r="C2648" s="4">
        <v>1054</v>
      </c>
      <c r="D2648" s="41" t="s">
        <v>828</v>
      </c>
      <c r="E2648" s="41">
        <v>10540026</v>
      </c>
      <c r="F2648" s="85" t="s">
        <v>1276</v>
      </c>
      <c r="G2648" s="39" t="s">
        <v>93</v>
      </c>
      <c r="H2648" s="52" t="s">
        <v>94</v>
      </c>
      <c r="I2648" s="52">
        <v>561.30000000000007</v>
      </c>
      <c r="J2648" s="49">
        <v>22371.94</v>
      </c>
      <c r="K2648" s="58">
        <v>77.06</v>
      </c>
      <c r="L2648" s="58">
        <v>3162.4869366288003</v>
      </c>
      <c r="M2648" s="58">
        <v>500.11999999999995</v>
      </c>
      <c r="N2648" s="58">
        <v>21246.896867325002</v>
      </c>
      <c r="O2648" s="58">
        <v>577.17999999999995</v>
      </c>
      <c r="P2648" s="53">
        <v>24409.383803953802</v>
      </c>
      <c r="Q2648" s="65">
        <v>22371.94</v>
      </c>
      <c r="R2648" s="65">
        <v>0</v>
      </c>
      <c r="S2648" s="65">
        <v>0</v>
      </c>
      <c r="T2648" s="65">
        <v>2037.4438039538036</v>
      </c>
      <c r="U2648" s="58">
        <v>0</v>
      </c>
      <c r="V2648" s="65">
        <v>0</v>
      </c>
      <c r="W2648" s="65">
        <v>0</v>
      </c>
      <c r="X2648" s="65">
        <v>1125</v>
      </c>
      <c r="Y2648" s="65">
        <v>21247</v>
      </c>
      <c r="Z2648" s="51">
        <v>0</v>
      </c>
      <c r="AA2648" s="51">
        <v>0</v>
      </c>
      <c r="AB2648" s="102">
        <v>0</v>
      </c>
      <c r="AC2648" s="81">
        <f t="shared" si="126"/>
        <v>110.56433557812215</v>
      </c>
      <c r="AD2648" s="82">
        <f t="shared" si="127"/>
        <v>80.185714285714297</v>
      </c>
      <c r="AE2648" s="218">
        <v>-9.1071395862576232E-2</v>
      </c>
      <c r="AF2648">
        <v>7</v>
      </c>
      <c r="AH2648" t="str">
        <f t="shared" si="128"/>
        <v xml:space="preserve">Alauli </v>
      </c>
      <c r="AJ2648" s="72">
        <v>0</v>
      </c>
      <c r="AK2648" s="72"/>
      <c r="AL2648" s="72"/>
      <c r="AM2648" s="72"/>
    </row>
    <row r="2649" spans="1:39" x14ac:dyDescent="0.25">
      <c r="A2649" s="37" t="s">
        <v>62</v>
      </c>
      <c r="B2649" s="66" t="s">
        <v>1629</v>
      </c>
      <c r="C2649" s="4">
        <v>1054</v>
      </c>
      <c r="D2649" s="41" t="s">
        <v>828</v>
      </c>
      <c r="E2649" s="41">
        <v>10540027</v>
      </c>
      <c r="F2649" s="85" t="s">
        <v>1291</v>
      </c>
      <c r="G2649" s="39" t="s">
        <v>635</v>
      </c>
      <c r="H2649" s="52" t="s">
        <v>99</v>
      </c>
      <c r="I2649" s="52">
        <v>532.1</v>
      </c>
      <c r="J2649" s="49">
        <v>19638.850000000002</v>
      </c>
      <c r="K2649" s="58">
        <v>0</v>
      </c>
      <c r="L2649" s="58">
        <v>0</v>
      </c>
      <c r="M2649" s="58">
        <v>0</v>
      </c>
      <c r="N2649" s="58">
        <v>0</v>
      </c>
      <c r="O2649" s="58">
        <v>0</v>
      </c>
      <c r="P2649" s="53">
        <v>0</v>
      </c>
      <c r="Q2649" s="65">
        <v>19638.850000000002</v>
      </c>
      <c r="R2649" s="65">
        <v>0</v>
      </c>
      <c r="S2649" s="65">
        <v>0</v>
      </c>
      <c r="T2649" s="65">
        <v>0</v>
      </c>
      <c r="U2649" s="58">
        <v>0</v>
      </c>
      <c r="V2649" s="65">
        <v>0</v>
      </c>
      <c r="W2649" s="65">
        <v>0</v>
      </c>
      <c r="X2649" s="65">
        <v>0</v>
      </c>
      <c r="Y2649" s="65">
        <v>0</v>
      </c>
      <c r="Z2649" s="51">
        <v>19638.850000000002</v>
      </c>
      <c r="AA2649" s="51">
        <v>0</v>
      </c>
      <c r="AB2649" s="102">
        <v>0</v>
      </c>
      <c r="AC2649" s="81">
        <f t="shared" si="126"/>
        <v>123.93771527908288</v>
      </c>
      <c r="AD2649" s="82">
        <f t="shared" si="127"/>
        <v>76.01428571428572</v>
      </c>
      <c r="AE2649" s="218">
        <v>0</v>
      </c>
      <c r="AF2649">
        <v>0</v>
      </c>
      <c r="AH2649" t="str">
        <f t="shared" si="128"/>
        <v xml:space="preserve">Alauli </v>
      </c>
      <c r="AJ2649" s="72">
        <v>0</v>
      </c>
      <c r="AK2649" s="72"/>
      <c r="AL2649" s="72"/>
      <c r="AM2649" s="72"/>
    </row>
    <row r="2650" spans="1:39" x14ac:dyDescent="0.25">
      <c r="A2650" s="37" t="s">
        <v>62</v>
      </c>
      <c r="B2650" s="66" t="s">
        <v>1629</v>
      </c>
      <c r="C2650" s="4">
        <v>1054</v>
      </c>
      <c r="D2650" s="41" t="s">
        <v>828</v>
      </c>
      <c r="E2650" s="41">
        <v>10540032</v>
      </c>
      <c r="F2650" s="85" t="s">
        <v>1226</v>
      </c>
      <c r="G2650" s="39" t="s">
        <v>93</v>
      </c>
      <c r="H2650" s="52" t="s">
        <v>94</v>
      </c>
      <c r="I2650" s="52">
        <v>246.9</v>
      </c>
      <c r="J2650" s="49">
        <v>9249.07</v>
      </c>
      <c r="K2650" s="58">
        <v>383</v>
      </c>
      <c r="L2650" s="58">
        <v>15875.013726000001</v>
      </c>
      <c r="M2650" s="58">
        <v>0</v>
      </c>
      <c r="N2650" s="58">
        <v>0</v>
      </c>
      <c r="O2650" s="58">
        <v>383</v>
      </c>
      <c r="P2650" s="53">
        <v>15875.013726000001</v>
      </c>
      <c r="Q2650" s="65">
        <v>9249.07</v>
      </c>
      <c r="R2650" s="65">
        <v>0</v>
      </c>
      <c r="S2650" s="65">
        <v>0</v>
      </c>
      <c r="T2650" s="65">
        <v>6625.9437260000013</v>
      </c>
      <c r="U2650" s="58">
        <v>0</v>
      </c>
      <c r="V2650" s="65">
        <v>0</v>
      </c>
      <c r="W2650" s="65">
        <v>0</v>
      </c>
      <c r="X2650" s="65">
        <v>9249</v>
      </c>
      <c r="Y2650" s="65">
        <v>0</v>
      </c>
      <c r="Z2650" s="51">
        <v>0</v>
      </c>
      <c r="AA2650" s="51">
        <v>0</v>
      </c>
      <c r="AB2650" s="102">
        <v>0</v>
      </c>
      <c r="AC2650" s="81">
        <f t="shared" si="126"/>
        <v>339.46971381125962</v>
      </c>
      <c r="AD2650" s="82">
        <f t="shared" si="127"/>
        <v>35.271428571428572</v>
      </c>
      <c r="AE2650" s="218">
        <v>-0.7163902669133223</v>
      </c>
      <c r="AF2650">
        <v>1</v>
      </c>
      <c r="AH2650" t="str">
        <f t="shared" si="128"/>
        <v xml:space="preserve">Alauli </v>
      </c>
      <c r="AJ2650" s="72">
        <v>0</v>
      </c>
      <c r="AK2650" s="72"/>
      <c r="AL2650" s="72"/>
      <c r="AM2650" s="72"/>
    </row>
    <row r="2651" spans="1:39" x14ac:dyDescent="0.25">
      <c r="A2651" s="37" t="s">
        <v>62</v>
      </c>
      <c r="B2651" s="66" t="s">
        <v>1629</v>
      </c>
      <c r="C2651" s="4">
        <v>1054</v>
      </c>
      <c r="D2651" s="41" t="s">
        <v>828</v>
      </c>
      <c r="E2651" s="41">
        <v>10540034</v>
      </c>
      <c r="F2651" s="85" t="s">
        <v>1277</v>
      </c>
      <c r="G2651" s="39" t="s">
        <v>93</v>
      </c>
      <c r="H2651" s="52" t="s">
        <v>94</v>
      </c>
      <c r="I2651" s="52">
        <v>253.90000000000003</v>
      </c>
      <c r="J2651" s="49">
        <v>9738.18</v>
      </c>
      <c r="K2651" s="58">
        <v>255</v>
      </c>
      <c r="L2651" s="58">
        <v>11444.689476000001</v>
      </c>
      <c r="M2651" s="58">
        <v>0</v>
      </c>
      <c r="N2651" s="58">
        <v>0</v>
      </c>
      <c r="O2651" s="58">
        <v>255</v>
      </c>
      <c r="P2651" s="53">
        <v>11444.689476000001</v>
      </c>
      <c r="Q2651" s="65">
        <v>9738.18</v>
      </c>
      <c r="R2651" s="65">
        <v>0</v>
      </c>
      <c r="S2651" s="65">
        <v>0</v>
      </c>
      <c r="T2651" s="65">
        <v>1706.5094760000011</v>
      </c>
      <c r="U2651" s="58">
        <v>0</v>
      </c>
      <c r="V2651" s="65">
        <v>0</v>
      </c>
      <c r="W2651" s="65">
        <v>0</v>
      </c>
      <c r="X2651" s="65">
        <v>9738</v>
      </c>
      <c r="Y2651" s="65">
        <v>0</v>
      </c>
      <c r="Z2651" s="51">
        <v>0</v>
      </c>
      <c r="AA2651" s="51">
        <v>0</v>
      </c>
      <c r="AB2651" s="102">
        <v>0</v>
      </c>
      <c r="AC2651" s="81">
        <f t="shared" si="126"/>
        <v>342.1978808979913</v>
      </c>
      <c r="AD2651" s="82">
        <f t="shared" si="127"/>
        <v>36.271428571428579</v>
      </c>
      <c r="AE2651" s="218">
        <v>-0.17523905657936092</v>
      </c>
      <c r="AF2651">
        <v>1</v>
      </c>
      <c r="AH2651" t="str">
        <f t="shared" si="128"/>
        <v xml:space="preserve">Alauli </v>
      </c>
      <c r="AJ2651" s="72">
        <v>0</v>
      </c>
      <c r="AK2651" s="72"/>
      <c r="AL2651" s="72"/>
      <c r="AM2651" s="72"/>
    </row>
    <row r="2652" spans="1:39" x14ac:dyDescent="0.25">
      <c r="A2652" s="37" t="s">
        <v>62</v>
      </c>
      <c r="B2652" s="66" t="s">
        <v>1629</v>
      </c>
      <c r="C2652" s="4">
        <v>1054</v>
      </c>
      <c r="D2652" s="41" t="s">
        <v>828</v>
      </c>
      <c r="E2652" s="41">
        <v>10540039</v>
      </c>
      <c r="F2652" s="85" t="s">
        <v>1295</v>
      </c>
      <c r="G2652" s="39" t="s">
        <v>635</v>
      </c>
      <c r="H2652" s="52" t="s">
        <v>99</v>
      </c>
      <c r="I2652" s="52">
        <v>768.80000000000007</v>
      </c>
      <c r="J2652" s="49">
        <v>25928.44</v>
      </c>
      <c r="K2652" s="58">
        <v>0</v>
      </c>
      <c r="L2652" s="58">
        <v>0</v>
      </c>
      <c r="M2652" s="58">
        <v>0</v>
      </c>
      <c r="N2652" s="58">
        <v>0</v>
      </c>
      <c r="O2652" s="58">
        <v>0</v>
      </c>
      <c r="P2652" s="53">
        <v>0</v>
      </c>
      <c r="Q2652" s="65">
        <v>25928.44</v>
      </c>
      <c r="R2652" s="65">
        <v>0</v>
      </c>
      <c r="S2652" s="65">
        <v>0</v>
      </c>
      <c r="T2652" s="65">
        <v>0</v>
      </c>
      <c r="U2652" s="58">
        <v>0</v>
      </c>
      <c r="V2652" s="65">
        <v>0</v>
      </c>
      <c r="W2652" s="65">
        <v>0</v>
      </c>
      <c r="X2652" s="65">
        <v>0</v>
      </c>
      <c r="Y2652" s="65">
        <v>0</v>
      </c>
      <c r="Z2652" s="51">
        <v>25928.44</v>
      </c>
      <c r="AA2652" s="51">
        <v>0</v>
      </c>
      <c r="AB2652" s="102">
        <v>0</v>
      </c>
      <c r="AC2652" s="81">
        <f t="shared" si="126"/>
        <v>0</v>
      </c>
      <c r="AD2652" s="82">
        <f t="shared" si="127"/>
        <v>0</v>
      </c>
      <c r="AE2652" s="218">
        <v>0</v>
      </c>
      <c r="AF2652">
        <v>0</v>
      </c>
      <c r="AH2652" t="str">
        <f t="shared" si="128"/>
        <v xml:space="preserve">Alauli </v>
      </c>
      <c r="AJ2652" s="72">
        <v>0</v>
      </c>
      <c r="AK2652" s="72"/>
      <c r="AL2652" s="72"/>
      <c r="AM2652" s="72"/>
    </row>
    <row r="2653" spans="1:39" x14ac:dyDescent="0.25">
      <c r="A2653" s="37" t="s">
        <v>62</v>
      </c>
      <c r="B2653" s="66" t="s">
        <v>1629</v>
      </c>
      <c r="C2653" s="4">
        <v>1054</v>
      </c>
      <c r="D2653" s="41" t="s">
        <v>828</v>
      </c>
      <c r="E2653" s="41">
        <v>10540040</v>
      </c>
      <c r="F2653" s="85" t="s">
        <v>1296</v>
      </c>
      <c r="G2653" s="39" t="s">
        <v>635</v>
      </c>
      <c r="H2653" s="52" t="s">
        <v>99</v>
      </c>
      <c r="I2653" s="52">
        <v>677.89999999999986</v>
      </c>
      <c r="J2653" s="49">
        <v>23966.700000000004</v>
      </c>
      <c r="K2653" s="58">
        <v>0</v>
      </c>
      <c r="L2653" s="58">
        <v>0</v>
      </c>
      <c r="M2653" s="58">
        <v>0</v>
      </c>
      <c r="N2653" s="58">
        <v>0</v>
      </c>
      <c r="O2653" s="58">
        <v>0</v>
      </c>
      <c r="P2653" s="53">
        <v>0</v>
      </c>
      <c r="Q2653" s="65">
        <v>23966.700000000004</v>
      </c>
      <c r="R2653" s="65">
        <v>0</v>
      </c>
      <c r="S2653" s="65">
        <v>0</v>
      </c>
      <c r="T2653" s="65">
        <v>0</v>
      </c>
      <c r="U2653" s="58">
        <v>0</v>
      </c>
      <c r="V2653" s="65">
        <v>0</v>
      </c>
      <c r="W2653" s="65">
        <v>0</v>
      </c>
      <c r="X2653" s="65">
        <v>0</v>
      </c>
      <c r="Y2653" s="65">
        <v>0</v>
      </c>
      <c r="Z2653" s="51">
        <v>23966.700000000004</v>
      </c>
      <c r="AA2653" s="51">
        <v>0</v>
      </c>
      <c r="AB2653" s="102">
        <v>0</v>
      </c>
      <c r="AC2653" s="81">
        <f t="shared" si="126"/>
        <v>15.626613659831918</v>
      </c>
      <c r="AD2653" s="82">
        <f t="shared" si="127"/>
        <v>96.842857142857127</v>
      </c>
      <c r="AE2653" s="218">
        <v>0</v>
      </c>
      <c r="AF2653">
        <v>0</v>
      </c>
      <c r="AH2653" t="str">
        <f t="shared" si="128"/>
        <v xml:space="preserve">Alauli </v>
      </c>
      <c r="AJ2653" s="72">
        <v>0</v>
      </c>
      <c r="AK2653" s="72"/>
      <c r="AL2653" s="72"/>
      <c r="AM2653" s="72"/>
    </row>
    <row r="2654" spans="1:39" x14ac:dyDescent="0.25">
      <c r="A2654" s="37" t="s">
        <v>62</v>
      </c>
      <c r="B2654" s="66" t="s">
        <v>1629</v>
      </c>
      <c r="C2654" s="4">
        <v>1054</v>
      </c>
      <c r="D2654" s="41" t="s">
        <v>828</v>
      </c>
      <c r="E2654" s="41">
        <v>10540041</v>
      </c>
      <c r="F2654" s="85" t="s">
        <v>1332</v>
      </c>
      <c r="G2654" s="39" t="s">
        <v>93</v>
      </c>
      <c r="H2654" s="52" t="s">
        <v>99</v>
      </c>
      <c r="I2654" s="52">
        <v>141</v>
      </c>
      <c r="J2654" s="49">
        <v>4957.6699999999992</v>
      </c>
      <c r="K2654" s="58">
        <v>0</v>
      </c>
      <c r="L2654" s="58">
        <v>0</v>
      </c>
      <c r="M2654" s="58">
        <v>0</v>
      </c>
      <c r="N2654" s="58">
        <v>0</v>
      </c>
      <c r="O2654" s="58">
        <v>0</v>
      </c>
      <c r="P2654" s="53">
        <v>0</v>
      </c>
      <c r="Q2654" s="65">
        <v>4957.6699999999992</v>
      </c>
      <c r="R2654" s="65">
        <v>0</v>
      </c>
      <c r="S2654" s="65">
        <v>0</v>
      </c>
      <c r="T2654" s="65">
        <v>0</v>
      </c>
      <c r="U2654" s="58">
        <v>0</v>
      </c>
      <c r="V2654" s="65">
        <v>0</v>
      </c>
      <c r="W2654" s="65">
        <v>0</v>
      </c>
      <c r="X2654" s="65">
        <v>0</v>
      </c>
      <c r="Y2654" s="65">
        <v>0</v>
      </c>
      <c r="Z2654" s="51">
        <v>4957.6699999999992</v>
      </c>
      <c r="AA2654" s="51">
        <v>0</v>
      </c>
      <c r="AB2654" s="102">
        <v>0</v>
      </c>
      <c r="AC2654" s="81">
        <f t="shared" si="126"/>
        <v>393.09752198581555</v>
      </c>
      <c r="AD2654" s="82">
        <f t="shared" si="127"/>
        <v>20.142857142857142</v>
      </c>
      <c r="AE2654" s="218">
        <v>0</v>
      </c>
      <c r="AF2654">
        <v>0</v>
      </c>
      <c r="AH2654" t="str">
        <f t="shared" si="128"/>
        <v xml:space="preserve">Alauli </v>
      </c>
      <c r="AJ2654" s="72">
        <v>0</v>
      </c>
      <c r="AK2654" s="72"/>
      <c r="AL2654" s="72"/>
      <c r="AM2654" s="72"/>
    </row>
    <row r="2655" spans="1:39" x14ac:dyDescent="0.25">
      <c r="A2655" s="37" t="s">
        <v>62</v>
      </c>
      <c r="B2655" s="66" t="s">
        <v>1629</v>
      </c>
      <c r="C2655" s="4">
        <v>1054</v>
      </c>
      <c r="D2655" s="41" t="s">
        <v>828</v>
      </c>
      <c r="E2655" s="41">
        <v>10540042</v>
      </c>
      <c r="F2655" s="85" t="s">
        <v>1363</v>
      </c>
      <c r="G2655" s="39" t="s">
        <v>93</v>
      </c>
      <c r="H2655" s="52" t="s">
        <v>94</v>
      </c>
      <c r="I2655" s="52">
        <v>1380</v>
      </c>
      <c r="J2655" s="49">
        <v>71475.649999999994</v>
      </c>
      <c r="K2655" s="58">
        <v>2250</v>
      </c>
      <c r="L2655" s="58">
        <v>136425.66807424999</v>
      </c>
      <c r="M2655" s="58">
        <v>0</v>
      </c>
      <c r="N2655" s="58">
        <v>0</v>
      </c>
      <c r="O2655" s="58">
        <v>2250</v>
      </c>
      <c r="P2655" s="53">
        <v>136425.66807424999</v>
      </c>
      <c r="Q2655" s="65">
        <v>71475.649999999994</v>
      </c>
      <c r="R2655" s="65">
        <v>0</v>
      </c>
      <c r="S2655" s="65">
        <v>0</v>
      </c>
      <c r="T2655" s="65">
        <v>64950.018074249994</v>
      </c>
      <c r="U2655" s="58">
        <v>13500</v>
      </c>
      <c r="V2655" s="65">
        <v>0</v>
      </c>
      <c r="W2655" s="65">
        <v>0</v>
      </c>
      <c r="X2655" s="65">
        <v>57976</v>
      </c>
      <c r="Y2655" s="65">
        <v>0</v>
      </c>
      <c r="Z2655" s="51">
        <v>0</v>
      </c>
      <c r="AA2655" s="51">
        <v>0</v>
      </c>
      <c r="AB2655" s="102" t="s">
        <v>68</v>
      </c>
      <c r="AC2655" s="81">
        <f t="shared" si="126"/>
        <v>0</v>
      </c>
      <c r="AD2655" s="82">
        <f t="shared" si="127"/>
        <v>0</v>
      </c>
      <c r="AE2655" s="218">
        <v>-0.90870132799421899</v>
      </c>
      <c r="AF2655">
        <v>1</v>
      </c>
      <c r="AH2655" t="str">
        <f t="shared" si="128"/>
        <v xml:space="preserve">Alauli </v>
      </c>
      <c r="AJ2655" s="72">
        <v>0</v>
      </c>
      <c r="AK2655" s="72"/>
      <c r="AL2655" s="72"/>
      <c r="AM2655" s="72"/>
    </row>
    <row r="2656" spans="1:39" x14ac:dyDescent="0.25">
      <c r="A2656" s="37" t="s">
        <v>62</v>
      </c>
      <c r="B2656" s="66" t="s">
        <v>1629</v>
      </c>
      <c r="C2656" s="4">
        <v>1054</v>
      </c>
      <c r="D2656" s="41" t="s">
        <v>828</v>
      </c>
      <c r="E2656" s="41">
        <v>10540044</v>
      </c>
      <c r="F2656" s="85" t="s">
        <v>1370</v>
      </c>
      <c r="G2656" s="39" t="s">
        <v>93</v>
      </c>
      <c r="H2656" s="52" t="s">
        <v>94</v>
      </c>
      <c r="I2656" s="52">
        <v>360.89999999999992</v>
      </c>
      <c r="J2656" s="49">
        <v>12982.56</v>
      </c>
      <c r="K2656" s="58">
        <v>394</v>
      </c>
      <c r="L2656" s="58">
        <v>16094.542068000001</v>
      </c>
      <c r="M2656" s="58">
        <v>0</v>
      </c>
      <c r="N2656" s="58">
        <v>0</v>
      </c>
      <c r="O2656" s="58">
        <v>394</v>
      </c>
      <c r="P2656" s="53">
        <v>16094.542068000001</v>
      </c>
      <c r="Q2656" s="65">
        <v>12982.56</v>
      </c>
      <c r="R2656" s="65">
        <v>0</v>
      </c>
      <c r="S2656" s="65">
        <v>0</v>
      </c>
      <c r="T2656" s="65">
        <v>3111.9820680000012</v>
      </c>
      <c r="U2656" s="58">
        <v>0</v>
      </c>
      <c r="V2656" s="65">
        <v>0</v>
      </c>
      <c r="W2656" s="65">
        <v>0</v>
      </c>
      <c r="X2656" s="65">
        <v>12983</v>
      </c>
      <c r="Y2656" s="65">
        <v>0</v>
      </c>
      <c r="Z2656" s="51">
        <v>0</v>
      </c>
      <c r="AA2656" s="51">
        <v>0</v>
      </c>
      <c r="AB2656" s="102">
        <v>0</v>
      </c>
      <c r="AC2656" s="81">
        <f t="shared" si="126"/>
        <v>243.96708761429767</v>
      </c>
      <c r="AD2656" s="82">
        <f t="shared" si="127"/>
        <v>51.557142857142843</v>
      </c>
      <c r="AE2656" s="218">
        <v>-0.2397048092209858</v>
      </c>
      <c r="AF2656">
        <v>1</v>
      </c>
      <c r="AH2656" t="str">
        <f t="shared" si="128"/>
        <v xml:space="preserve">Alauli </v>
      </c>
      <c r="AJ2656" s="72">
        <v>0</v>
      </c>
      <c r="AK2656" s="72"/>
      <c r="AL2656" s="72"/>
      <c r="AM2656" s="72"/>
    </row>
    <row r="2657" spans="1:39" x14ac:dyDescent="0.25">
      <c r="A2657" s="37" t="s">
        <v>62</v>
      </c>
      <c r="B2657" s="66" t="s">
        <v>1629</v>
      </c>
      <c r="C2657" s="4">
        <v>1054</v>
      </c>
      <c r="D2657" s="41" t="s">
        <v>828</v>
      </c>
      <c r="E2657" s="41">
        <v>10540045</v>
      </c>
      <c r="F2657" s="85" t="s">
        <v>1393</v>
      </c>
      <c r="G2657" s="39" t="s">
        <v>635</v>
      </c>
      <c r="H2657" s="52" t="s">
        <v>99</v>
      </c>
      <c r="I2657" s="52">
        <v>682.89999999999986</v>
      </c>
      <c r="J2657" s="49">
        <v>29604.649999999998</v>
      </c>
      <c r="K2657" s="58">
        <v>0</v>
      </c>
      <c r="L2657" s="58">
        <v>0</v>
      </c>
      <c r="M2657" s="58">
        <v>0</v>
      </c>
      <c r="N2657" s="58">
        <v>0</v>
      </c>
      <c r="O2657" s="58">
        <v>0</v>
      </c>
      <c r="P2657" s="53">
        <v>0</v>
      </c>
      <c r="Q2657" s="65">
        <v>29604.649999999998</v>
      </c>
      <c r="R2657" s="65">
        <v>0</v>
      </c>
      <c r="S2657" s="65">
        <v>0</v>
      </c>
      <c r="T2657" s="65">
        <v>0</v>
      </c>
      <c r="U2657" s="58">
        <v>0</v>
      </c>
      <c r="V2657" s="65">
        <v>0</v>
      </c>
      <c r="W2657" s="65">
        <v>0</v>
      </c>
      <c r="X2657" s="65">
        <v>0</v>
      </c>
      <c r="Y2657" s="65">
        <v>0</v>
      </c>
      <c r="Z2657" s="51">
        <v>29604.649999999998</v>
      </c>
      <c r="AA2657" s="51">
        <v>0</v>
      </c>
      <c r="AB2657" s="102">
        <v>0</v>
      </c>
      <c r="AC2657" s="81">
        <f t="shared" si="126"/>
        <v>14.826168253038645</v>
      </c>
      <c r="AD2657" s="82">
        <f t="shared" si="127"/>
        <v>97.557142857142836</v>
      </c>
      <c r="AE2657" s="218">
        <v>0</v>
      </c>
      <c r="AF2657">
        <v>0</v>
      </c>
      <c r="AH2657" t="str">
        <f t="shared" si="128"/>
        <v xml:space="preserve">Alauli </v>
      </c>
      <c r="AJ2657" s="72">
        <v>0</v>
      </c>
      <c r="AK2657" s="72"/>
      <c r="AL2657" s="72"/>
      <c r="AM2657" s="72"/>
    </row>
    <row r="2658" spans="1:39" x14ac:dyDescent="0.25">
      <c r="A2658" s="37" t="s">
        <v>62</v>
      </c>
      <c r="B2658" s="66" t="s">
        <v>1629</v>
      </c>
      <c r="C2658" s="4">
        <v>1054</v>
      </c>
      <c r="D2658" s="41" t="s">
        <v>828</v>
      </c>
      <c r="E2658" s="41">
        <v>10540046</v>
      </c>
      <c r="F2658" s="85" t="s">
        <v>1478</v>
      </c>
      <c r="G2658" s="39" t="s">
        <v>93</v>
      </c>
      <c r="H2658" s="52" t="s">
        <v>94</v>
      </c>
      <c r="I2658" s="52">
        <v>616.59999999999991</v>
      </c>
      <c r="J2658" s="49">
        <v>26059.940000000002</v>
      </c>
      <c r="K2658" s="58">
        <v>732.09999999999991</v>
      </c>
      <c r="L2658" s="58">
        <v>45185.262693502365</v>
      </c>
      <c r="M2658" s="58">
        <v>0</v>
      </c>
      <c r="N2658" s="58">
        <v>0</v>
      </c>
      <c r="O2658" s="58">
        <v>732.09999999999991</v>
      </c>
      <c r="P2658" s="53">
        <v>45185.262693502365</v>
      </c>
      <c r="Q2658" s="65">
        <v>26059.940000000002</v>
      </c>
      <c r="R2658" s="65">
        <v>0</v>
      </c>
      <c r="S2658" s="65">
        <v>0</v>
      </c>
      <c r="T2658" s="65">
        <v>19125.322693502363</v>
      </c>
      <c r="U2658" s="58">
        <v>0</v>
      </c>
      <c r="V2658" s="65">
        <v>0</v>
      </c>
      <c r="W2658" s="65">
        <v>0</v>
      </c>
      <c r="X2658" s="65">
        <v>26060</v>
      </c>
      <c r="Y2658" s="65">
        <v>0</v>
      </c>
      <c r="Z2658" s="51">
        <v>0</v>
      </c>
      <c r="AA2658" s="51">
        <v>0</v>
      </c>
      <c r="AB2658" s="102">
        <v>0</v>
      </c>
      <c r="AC2658" s="81">
        <f t="shared" si="126"/>
        <v>70.496237301329955</v>
      </c>
      <c r="AD2658" s="82">
        <f t="shared" si="127"/>
        <v>88.085714285714275</v>
      </c>
      <c r="AE2658" s="218">
        <v>-0.73389741854748558</v>
      </c>
      <c r="AF2658">
        <v>1</v>
      </c>
      <c r="AH2658" t="str">
        <f t="shared" si="128"/>
        <v xml:space="preserve">Alauli </v>
      </c>
      <c r="AJ2658" s="72">
        <v>0</v>
      </c>
      <c r="AK2658" s="72"/>
      <c r="AL2658" s="72"/>
      <c r="AM2658" s="72"/>
    </row>
    <row r="2659" spans="1:39" x14ac:dyDescent="0.25">
      <c r="A2659" s="37" t="s">
        <v>62</v>
      </c>
      <c r="B2659" s="66" t="s">
        <v>1629</v>
      </c>
      <c r="C2659" s="4">
        <v>1054</v>
      </c>
      <c r="D2659" s="41" t="s">
        <v>828</v>
      </c>
      <c r="E2659" s="41">
        <v>10540048</v>
      </c>
      <c r="F2659" s="85" t="s">
        <v>1502</v>
      </c>
      <c r="G2659" s="39" t="s">
        <v>635</v>
      </c>
      <c r="H2659" s="52" t="s">
        <v>99</v>
      </c>
      <c r="I2659" s="52">
        <v>1744.6000000000001</v>
      </c>
      <c r="J2659" s="49">
        <v>72315.87</v>
      </c>
      <c r="K2659" s="58">
        <v>0</v>
      </c>
      <c r="L2659" s="58">
        <v>0</v>
      </c>
      <c r="M2659" s="58">
        <v>0</v>
      </c>
      <c r="N2659" s="58">
        <v>0</v>
      </c>
      <c r="O2659" s="58">
        <v>0</v>
      </c>
      <c r="P2659" s="53">
        <v>0</v>
      </c>
      <c r="Q2659" s="65">
        <v>72315.87</v>
      </c>
      <c r="R2659" s="65">
        <v>0</v>
      </c>
      <c r="S2659" s="65">
        <v>0</v>
      </c>
      <c r="T2659" s="65">
        <v>0</v>
      </c>
      <c r="U2659" s="58">
        <v>0</v>
      </c>
      <c r="V2659" s="65">
        <v>0</v>
      </c>
      <c r="W2659" s="65">
        <v>0</v>
      </c>
      <c r="X2659" s="65">
        <v>0</v>
      </c>
      <c r="Y2659" s="65">
        <v>0</v>
      </c>
      <c r="Z2659" s="51">
        <v>72315.87</v>
      </c>
      <c r="AA2659" s="51">
        <v>0</v>
      </c>
      <c r="AB2659" s="102">
        <v>0</v>
      </c>
      <c r="AC2659" s="81">
        <f t="shared" si="126"/>
        <v>0</v>
      </c>
      <c r="AD2659" s="82">
        <f t="shared" si="127"/>
        <v>0</v>
      </c>
      <c r="AE2659" s="218">
        <v>0</v>
      </c>
      <c r="AF2659">
        <v>0</v>
      </c>
      <c r="AH2659" t="str">
        <f t="shared" si="128"/>
        <v xml:space="preserve">Alauli </v>
      </c>
      <c r="AJ2659" s="72">
        <v>0</v>
      </c>
      <c r="AK2659" s="72"/>
      <c r="AL2659" s="72"/>
      <c r="AM2659" s="72"/>
    </row>
    <row r="2660" spans="1:39" x14ac:dyDescent="0.25">
      <c r="A2660" s="37" t="s">
        <v>62</v>
      </c>
      <c r="B2660" s="66" t="s">
        <v>1629</v>
      </c>
      <c r="C2660" s="4">
        <v>1054</v>
      </c>
      <c r="D2660" s="41" t="s">
        <v>828</v>
      </c>
      <c r="E2660" s="41">
        <v>10540049</v>
      </c>
      <c r="F2660" s="85" t="s">
        <v>1503</v>
      </c>
      <c r="G2660" s="39" t="s">
        <v>635</v>
      </c>
      <c r="H2660" s="52" t="s">
        <v>99</v>
      </c>
      <c r="I2660" s="52">
        <v>861.10000000000014</v>
      </c>
      <c r="J2660" s="49">
        <v>29978.949999999997</v>
      </c>
      <c r="K2660" s="58">
        <v>0</v>
      </c>
      <c r="L2660" s="58">
        <v>0</v>
      </c>
      <c r="M2660" s="58">
        <v>0</v>
      </c>
      <c r="N2660" s="58">
        <v>0</v>
      </c>
      <c r="O2660" s="58">
        <v>0</v>
      </c>
      <c r="P2660" s="53">
        <v>0</v>
      </c>
      <c r="Q2660" s="65">
        <v>29978.949999999997</v>
      </c>
      <c r="R2660" s="65">
        <v>0</v>
      </c>
      <c r="S2660" s="65">
        <v>0</v>
      </c>
      <c r="T2660" s="65">
        <v>0</v>
      </c>
      <c r="U2660" s="58">
        <v>0</v>
      </c>
      <c r="V2660" s="65">
        <v>0</v>
      </c>
      <c r="W2660" s="65">
        <v>0</v>
      </c>
      <c r="X2660" s="65">
        <v>0</v>
      </c>
      <c r="Y2660" s="65">
        <v>0</v>
      </c>
      <c r="Z2660" s="51">
        <v>29978.949999999997</v>
      </c>
      <c r="AA2660" s="51">
        <v>0</v>
      </c>
      <c r="AB2660" s="102">
        <v>0</v>
      </c>
      <c r="AC2660" s="81">
        <f t="shared" si="126"/>
        <v>0</v>
      </c>
      <c r="AD2660" s="82">
        <f t="shared" si="127"/>
        <v>0</v>
      </c>
      <c r="AE2660" s="218">
        <v>0</v>
      </c>
      <c r="AF2660">
        <v>0</v>
      </c>
      <c r="AH2660" t="str">
        <f t="shared" si="128"/>
        <v xml:space="preserve">Alauli </v>
      </c>
      <c r="AJ2660" s="72">
        <v>0</v>
      </c>
      <c r="AK2660" s="72"/>
      <c r="AL2660" s="72"/>
      <c r="AM2660" s="72"/>
    </row>
    <row r="2661" spans="1:39" x14ac:dyDescent="0.25">
      <c r="A2661" s="37" t="s">
        <v>62</v>
      </c>
      <c r="B2661" s="66" t="s">
        <v>1629</v>
      </c>
      <c r="C2661" s="4">
        <v>1055</v>
      </c>
      <c r="D2661" s="41" t="s">
        <v>1148</v>
      </c>
      <c r="E2661" s="41">
        <v>10550001</v>
      </c>
      <c r="F2661" s="85" t="s">
        <v>1196</v>
      </c>
      <c r="G2661" s="39" t="s">
        <v>635</v>
      </c>
      <c r="H2661" s="52" t="s">
        <v>99</v>
      </c>
      <c r="I2661" s="52">
        <v>32509.7</v>
      </c>
      <c r="J2661" s="49">
        <v>1176649.9400000004</v>
      </c>
      <c r="K2661" s="58">
        <v>0</v>
      </c>
      <c r="L2661" s="58">
        <v>0</v>
      </c>
      <c r="M2661" s="58">
        <v>0</v>
      </c>
      <c r="N2661" s="58">
        <v>0</v>
      </c>
      <c r="O2661" s="58">
        <v>0</v>
      </c>
      <c r="P2661" s="53">
        <v>0</v>
      </c>
      <c r="Q2661" s="65">
        <v>1176649.9400000004</v>
      </c>
      <c r="R2661" s="65">
        <v>0</v>
      </c>
      <c r="S2661" s="65">
        <v>0</v>
      </c>
      <c r="T2661" s="65">
        <v>0</v>
      </c>
      <c r="U2661" s="58">
        <v>0</v>
      </c>
      <c r="V2661" s="65">
        <v>0</v>
      </c>
      <c r="W2661" s="65">
        <v>0</v>
      </c>
      <c r="X2661" s="65">
        <v>0</v>
      </c>
      <c r="Y2661" s="65">
        <v>0</v>
      </c>
      <c r="Z2661" s="51">
        <v>1176649.9400000004</v>
      </c>
      <c r="AA2661" s="51">
        <v>0</v>
      </c>
      <c r="AB2661" s="102">
        <v>0</v>
      </c>
      <c r="AC2661" s="81">
        <f t="shared" si="126"/>
        <v>0</v>
      </c>
      <c r="AD2661" s="82">
        <f t="shared" si="127"/>
        <v>0</v>
      </c>
      <c r="AE2661" s="218">
        <v>0</v>
      </c>
      <c r="AF2661">
        <v>0</v>
      </c>
      <c r="AH2661" t="str">
        <f t="shared" si="128"/>
        <v>Matihani</v>
      </c>
      <c r="AJ2661" s="72">
        <v>0</v>
      </c>
      <c r="AK2661" s="72"/>
      <c r="AL2661" s="72"/>
      <c r="AM2661" s="72"/>
    </row>
    <row r="2662" spans="1:39" x14ac:dyDescent="0.25">
      <c r="A2662" s="37" t="s">
        <v>62</v>
      </c>
      <c r="B2662" s="66" t="s">
        <v>1629</v>
      </c>
      <c r="C2662" s="4">
        <v>1055</v>
      </c>
      <c r="D2662" s="41" t="s">
        <v>1148</v>
      </c>
      <c r="E2662" s="41">
        <v>10550002</v>
      </c>
      <c r="F2662" s="85" t="s">
        <v>1218</v>
      </c>
      <c r="G2662" s="39" t="s">
        <v>635</v>
      </c>
      <c r="H2662" s="52" t="s">
        <v>99</v>
      </c>
      <c r="I2662" s="52">
        <v>245.79999999999998</v>
      </c>
      <c r="J2662" s="49">
        <v>8327.7900000000009</v>
      </c>
      <c r="K2662" s="58">
        <v>0</v>
      </c>
      <c r="L2662" s="58">
        <v>0</v>
      </c>
      <c r="M2662" s="58">
        <v>0</v>
      </c>
      <c r="N2662" s="58">
        <v>0</v>
      </c>
      <c r="O2662" s="58">
        <v>0</v>
      </c>
      <c r="P2662" s="53">
        <v>0</v>
      </c>
      <c r="Q2662" s="65">
        <v>8327.7900000000009</v>
      </c>
      <c r="R2662" s="65">
        <v>0</v>
      </c>
      <c r="S2662" s="65">
        <v>0</v>
      </c>
      <c r="T2662" s="65">
        <v>0</v>
      </c>
      <c r="U2662" s="58">
        <v>0</v>
      </c>
      <c r="V2662" s="65">
        <v>0</v>
      </c>
      <c r="W2662" s="65">
        <v>0</v>
      </c>
      <c r="X2662" s="65">
        <v>0</v>
      </c>
      <c r="Y2662" s="65">
        <v>0</v>
      </c>
      <c r="Z2662" s="51">
        <v>8327.7900000000009</v>
      </c>
      <c r="AA2662" s="51">
        <v>0</v>
      </c>
      <c r="AB2662" s="102">
        <v>0</v>
      </c>
      <c r="AC2662" s="81">
        <f t="shared" si="126"/>
        <v>307.76909829129374</v>
      </c>
      <c r="AD2662" s="82">
        <f t="shared" si="127"/>
        <v>35.114285714285714</v>
      </c>
      <c r="AE2662" s="218">
        <v>0</v>
      </c>
      <c r="AF2662">
        <v>0</v>
      </c>
      <c r="AH2662" t="str">
        <f t="shared" si="128"/>
        <v>Matihani</v>
      </c>
      <c r="AJ2662" s="72">
        <v>0</v>
      </c>
      <c r="AK2662" s="72"/>
      <c r="AL2662" s="72"/>
      <c r="AM2662" s="72"/>
    </row>
    <row r="2663" spans="1:39" x14ac:dyDescent="0.25">
      <c r="A2663" s="37" t="s">
        <v>62</v>
      </c>
      <c r="B2663" s="66" t="s">
        <v>1629</v>
      </c>
      <c r="C2663" s="4">
        <v>1055</v>
      </c>
      <c r="D2663" s="41" t="s">
        <v>1148</v>
      </c>
      <c r="E2663" s="41">
        <v>10550004</v>
      </c>
      <c r="F2663" s="85" t="s">
        <v>1594</v>
      </c>
      <c r="G2663" s="39" t="s">
        <v>93</v>
      </c>
      <c r="H2663" s="52" t="s">
        <v>94</v>
      </c>
      <c r="I2663" s="52">
        <v>55.400000000000006</v>
      </c>
      <c r="J2663" s="49">
        <v>1873.6599999999999</v>
      </c>
      <c r="K2663" s="58">
        <v>55.5</v>
      </c>
      <c r="L2663" s="58">
        <v>1888.4364475680002</v>
      </c>
      <c r="M2663" s="58">
        <v>0</v>
      </c>
      <c r="N2663" s="58">
        <v>0</v>
      </c>
      <c r="O2663" s="58">
        <v>55.5</v>
      </c>
      <c r="P2663" s="53">
        <v>1888.4364475680002</v>
      </c>
      <c r="Q2663" s="65">
        <v>1873.6599999999999</v>
      </c>
      <c r="R2663" s="65">
        <v>0</v>
      </c>
      <c r="S2663" s="65">
        <v>0</v>
      </c>
      <c r="T2663" s="65">
        <v>14.776447568000322</v>
      </c>
      <c r="U2663" s="58">
        <v>0</v>
      </c>
      <c r="V2663" s="65">
        <v>0</v>
      </c>
      <c r="W2663" s="65">
        <v>0</v>
      </c>
      <c r="X2663" s="65">
        <v>1874</v>
      </c>
      <c r="Y2663" s="65">
        <v>0</v>
      </c>
      <c r="Z2663" s="51">
        <v>0</v>
      </c>
      <c r="AA2663" s="51">
        <v>0</v>
      </c>
      <c r="AB2663" s="102">
        <v>0</v>
      </c>
      <c r="AC2663" s="81">
        <f t="shared" si="126"/>
        <v>436.01488664259927</v>
      </c>
      <c r="AD2663" s="82">
        <f t="shared" si="127"/>
        <v>7.9142857142857155</v>
      </c>
      <c r="AE2663" s="218">
        <v>-7.8864081893194726E-3</v>
      </c>
      <c r="AF2663">
        <v>2</v>
      </c>
      <c r="AH2663" t="str">
        <f t="shared" si="128"/>
        <v>Matihani</v>
      </c>
      <c r="AJ2663" s="72">
        <v>0</v>
      </c>
      <c r="AK2663" s="72"/>
      <c r="AL2663" s="72"/>
      <c r="AM2663" s="72"/>
    </row>
    <row r="2664" spans="1:39" x14ac:dyDescent="0.25">
      <c r="A2664" s="37" t="s">
        <v>62</v>
      </c>
      <c r="B2664" s="66" t="s">
        <v>1629</v>
      </c>
      <c r="C2664" s="4">
        <v>1055</v>
      </c>
      <c r="D2664" s="41" t="s">
        <v>1148</v>
      </c>
      <c r="E2664" s="41">
        <v>10550005</v>
      </c>
      <c r="F2664" s="85" t="s">
        <v>1428</v>
      </c>
      <c r="G2664" s="39" t="s">
        <v>93</v>
      </c>
      <c r="H2664" s="52" t="s">
        <v>94</v>
      </c>
      <c r="I2664" s="52">
        <v>283.09999999999997</v>
      </c>
      <c r="J2664" s="49">
        <v>10729.36</v>
      </c>
      <c r="K2664" s="58">
        <v>198.88</v>
      </c>
      <c r="L2664" s="58">
        <v>7957.4726874852022</v>
      </c>
      <c r="M2664" s="58">
        <v>79.34</v>
      </c>
      <c r="N2664" s="58">
        <v>3155.5039803012</v>
      </c>
      <c r="O2664" s="58">
        <v>278.22000000000003</v>
      </c>
      <c r="P2664" s="53">
        <v>11112.976667786403</v>
      </c>
      <c r="Q2664" s="65">
        <v>10729.36</v>
      </c>
      <c r="R2664" s="65">
        <v>0</v>
      </c>
      <c r="S2664" s="65">
        <v>3155.5039803012</v>
      </c>
      <c r="T2664" s="65">
        <v>383.6166677864021</v>
      </c>
      <c r="U2664" s="58">
        <v>0</v>
      </c>
      <c r="V2664" s="65">
        <v>0</v>
      </c>
      <c r="W2664" s="65">
        <v>0</v>
      </c>
      <c r="X2664" s="65">
        <v>7574</v>
      </c>
      <c r="Y2664" s="65">
        <v>0</v>
      </c>
      <c r="Z2664" s="51">
        <v>0</v>
      </c>
      <c r="AA2664" s="51">
        <v>0</v>
      </c>
      <c r="AB2664" s="102">
        <v>0</v>
      </c>
      <c r="AC2664" s="81">
        <f t="shared" si="126"/>
        <v>316.00637117626286</v>
      </c>
      <c r="AD2664" s="82">
        <f t="shared" si="127"/>
        <v>40.442857142857136</v>
      </c>
      <c r="AE2664" s="218">
        <v>-3.5753918946367917E-2</v>
      </c>
      <c r="AF2664">
        <v>3</v>
      </c>
      <c r="AH2664" t="str">
        <f t="shared" si="128"/>
        <v>Matihani</v>
      </c>
      <c r="AJ2664" s="72">
        <v>0</v>
      </c>
      <c r="AK2664" s="72"/>
      <c r="AL2664" s="72"/>
      <c r="AM2664" s="72"/>
    </row>
    <row r="2665" spans="1:39" x14ac:dyDescent="0.25">
      <c r="A2665" s="37" t="s">
        <v>62</v>
      </c>
      <c r="B2665" s="66" t="s">
        <v>1629</v>
      </c>
      <c r="C2665" s="4">
        <v>1055</v>
      </c>
      <c r="D2665" s="41" t="s">
        <v>1148</v>
      </c>
      <c r="E2665" s="41">
        <v>10550007</v>
      </c>
      <c r="F2665" s="85" t="s">
        <v>1429</v>
      </c>
      <c r="G2665" s="39" t="s">
        <v>635</v>
      </c>
      <c r="H2665" s="52" t="s">
        <v>99</v>
      </c>
      <c r="I2665" s="52">
        <v>2092.9</v>
      </c>
      <c r="J2665" s="49">
        <v>68507.040000000008</v>
      </c>
      <c r="K2665" s="58">
        <v>0</v>
      </c>
      <c r="L2665" s="58">
        <v>0</v>
      </c>
      <c r="M2665" s="58">
        <v>0</v>
      </c>
      <c r="N2665" s="58">
        <v>0</v>
      </c>
      <c r="O2665" s="58">
        <v>0</v>
      </c>
      <c r="P2665" s="53">
        <v>0</v>
      </c>
      <c r="Q2665" s="65">
        <v>68507.040000000008</v>
      </c>
      <c r="R2665" s="65">
        <v>0</v>
      </c>
      <c r="S2665" s="65">
        <v>0</v>
      </c>
      <c r="T2665" s="65">
        <v>0</v>
      </c>
      <c r="U2665" s="58">
        <v>0</v>
      </c>
      <c r="V2665" s="65">
        <v>0</v>
      </c>
      <c r="W2665" s="65">
        <v>0</v>
      </c>
      <c r="X2665" s="65">
        <v>0</v>
      </c>
      <c r="Y2665" s="65">
        <v>0</v>
      </c>
      <c r="Z2665" s="51">
        <v>68507.040000000008</v>
      </c>
      <c r="AA2665" s="51">
        <v>0</v>
      </c>
      <c r="AB2665" s="102">
        <v>0</v>
      </c>
      <c r="AC2665" s="81">
        <f t="shared" si="126"/>
        <v>0</v>
      </c>
      <c r="AD2665" s="82">
        <f t="shared" si="127"/>
        <v>0</v>
      </c>
      <c r="AE2665" s="218">
        <v>0</v>
      </c>
      <c r="AF2665">
        <v>0</v>
      </c>
      <c r="AH2665" t="str">
        <f t="shared" si="128"/>
        <v>Matihani</v>
      </c>
      <c r="AJ2665" s="72">
        <v>0</v>
      </c>
      <c r="AK2665" s="72"/>
      <c r="AL2665" s="72"/>
      <c r="AM2665" s="72"/>
    </row>
    <row r="2666" spans="1:39" x14ac:dyDescent="0.25">
      <c r="A2666" s="37" t="s">
        <v>62</v>
      </c>
      <c r="B2666" s="66" t="s">
        <v>1629</v>
      </c>
      <c r="C2666" s="4">
        <v>1055</v>
      </c>
      <c r="D2666" s="41" t="s">
        <v>1148</v>
      </c>
      <c r="E2666" s="41">
        <v>10550008</v>
      </c>
      <c r="F2666" s="85" t="s">
        <v>1479</v>
      </c>
      <c r="G2666" s="39" t="s">
        <v>635</v>
      </c>
      <c r="H2666" s="52" t="s">
        <v>99</v>
      </c>
      <c r="I2666" s="52">
        <v>286.20000000000005</v>
      </c>
      <c r="J2666" s="49">
        <v>9478.2800000000007</v>
      </c>
      <c r="K2666" s="58">
        <v>0</v>
      </c>
      <c r="L2666" s="58">
        <v>0</v>
      </c>
      <c r="M2666" s="58">
        <v>0</v>
      </c>
      <c r="N2666" s="58">
        <v>0</v>
      </c>
      <c r="O2666" s="58">
        <v>0</v>
      </c>
      <c r="P2666" s="53">
        <v>0</v>
      </c>
      <c r="Q2666" s="65">
        <v>9478.2800000000007</v>
      </c>
      <c r="R2666" s="65">
        <v>0</v>
      </c>
      <c r="S2666" s="65">
        <v>0</v>
      </c>
      <c r="T2666" s="65">
        <v>0</v>
      </c>
      <c r="U2666" s="58">
        <v>0</v>
      </c>
      <c r="V2666" s="65">
        <v>0</v>
      </c>
      <c r="W2666" s="65">
        <v>0</v>
      </c>
      <c r="X2666" s="65">
        <v>0</v>
      </c>
      <c r="Y2666" s="65">
        <v>0</v>
      </c>
      <c r="Z2666" s="51">
        <v>9478.2800000000007</v>
      </c>
      <c r="AA2666" s="51">
        <v>0</v>
      </c>
      <c r="AB2666" s="102">
        <v>0</v>
      </c>
      <c r="AC2666" s="81">
        <f t="shared" si="126"/>
        <v>274.08191921733049</v>
      </c>
      <c r="AD2666" s="82">
        <f t="shared" si="127"/>
        <v>40.885714285714293</v>
      </c>
      <c r="AE2666" s="218">
        <v>0</v>
      </c>
      <c r="AF2666">
        <v>0</v>
      </c>
      <c r="AH2666" t="str">
        <f t="shared" si="128"/>
        <v>Matihani</v>
      </c>
      <c r="AJ2666" s="72">
        <v>0</v>
      </c>
      <c r="AK2666" s="72"/>
      <c r="AL2666" s="72"/>
      <c r="AM2666" s="72"/>
    </row>
    <row r="2667" spans="1:39" x14ac:dyDescent="0.25">
      <c r="A2667" s="37" t="s">
        <v>62</v>
      </c>
      <c r="B2667" s="66" t="s">
        <v>1629</v>
      </c>
      <c r="C2667" s="4">
        <v>1055</v>
      </c>
      <c r="D2667" s="41" t="s">
        <v>1148</v>
      </c>
      <c r="E2667" s="41">
        <v>10550009</v>
      </c>
      <c r="F2667" s="85" t="s">
        <v>1548</v>
      </c>
      <c r="G2667" s="39" t="s">
        <v>635</v>
      </c>
      <c r="H2667" s="52" t="s">
        <v>99</v>
      </c>
      <c r="I2667" s="52">
        <v>1193.3999999999999</v>
      </c>
      <c r="J2667" s="49">
        <v>44099.549999999996</v>
      </c>
      <c r="K2667" s="58">
        <v>0</v>
      </c>
      <c r="L2667" s="58">
        <v>0</v>
      </c>
      <c r="M2667" s="58">
        <v>0</v>
      </c>
      <c r="N2667" s="58">
        <v>0</v>
      </c>
      <c r="O2667" s="58">
        <v>0</v>
      </c>
      <c r="P2667" s="53">
        <v>0</v>
      </c>
      <c r="Q2667" s="65">
        <v>44099.549999999996</v>
      </c>
      <c r="R2667" s="65">
        <v>0</v>
      </c>
      <c r="S2667" s="65">
        <v>0</v>
      </c>
      <c r="T2667" s="65">
        <v>0</v>
      </c>
      <c r="U2667" s="58">
        <v>0</v>
      </c>
      <c r="V2667" s="65">
        <v>0</v>
      </c>
      <c r="W2667" s="65">
        <v>0</v>
      </c>
      <c r="X2667" s="65">
        <v>0</v>
      </c>
      <c r="Y2667" s="65">
        <v>0</v>
      </c>
      <c r="Z2667" s="51">
        <v>44099.549999999996</v>
      </c>
      <c r="AA2667" s="51">
        <v>0</v>
      </c>
      <c r="AB2667" s="102">
        <v>0</v>
      </c>
      <c r="AC2667" s="81">
        <f t="shared" si="126"/>
        <v>0</v>
      </c>
      <c r="AD2667" s="82">
        <f t="shared" si="127"/>
        <v>0</v>
      </c>
      <c r="AE2667" s="218">
        <v>0</v>
      </c>
      <c r="AF2667">
        <v>0</v>
      </c>
      <c r="AH2667" t="str">
        <f t="shared" si="128"/>
        <v>Matihani</v>
      </c>
      <c r="AJ2667" s="72">
        <v>0</v>
      </c>
      <c r="AK2667" s="72"/>
      <c r="AL2667" s="72"/>
      <c r="AM2667" s="72"/>
    </row>
    <row r="2668" spans="1:39" x14ac:dyDescent="0.25">
      <c r="A2668" s="37" t="s">
        <v>62</v>
      </c>
      <c r="B2668" s="66" t="s">
        <v>1629</v>
      </c>
      <c r="C2668" s="4">
        <v>1056</v>
      </c>
      <c r="D2668" s="41" t="s">
        <v>838</v>
      </c>
      <c r="E2668" s="41">
        <v>10560001</v>
      </c>
      <c r="F2668" s="85" t="s">
        <v>844</v>
      </c>
      <c r="G2668" s="39" t="s">
        <v>635</v>
      </c>
      <c r="H2668" s="52" t="s">
        <v>99</v>
      </c>
      <c r="I2668" s="52">
        <v>2123.14</v>
      </c>
      <c r="J2668" s="49">
        <v>81372.91</v>
      </c>
      <c r="K2668" s="58">
        <v>0</v>
      </c>
      <c r="L2668" s="58">
        <v>0</v>
      </c>
      <c r="M2668" s="58">
        <v>0</v>
      </c>
      <c r="N2668" s="58">
        <v>0</v>
      </c>
      <c r="O2668" s="58">
        <v>0</v>
      </c>
      <c r="P2668" s="53">
        <v>0</v>
      </c>
      <c r="Q2668" s="65">
        <v>81372.91</v>
      </c>
      <c r="R2668" s="65">
        <v>0</v>
      </c>
      <c r="S2668" s="65">
        <v>0</v>
      </c>
      <c r="T2668" s="65">
        <v>0</v>
      </c>
      <c r="U2668" s="58">
        <v>0</v>
      </c>
      <c r="V2668" s="65">
        <v>0</v>
      </c>
      <c r="W2668" s="65">
        <v>0</v>
      </c>
      <c r="X2668" s="65">
        <v>0</v>
      </c>
      <c r="Y2668" s="65">
        <v>0</v>
      </c>
      <c r="Z2668" s="51">
        <v>81372.91</v>
      </c>
      <c r="AA2668" s="51">
        <v>0</v>
      </c>
      <c r="AB2668" s="102">
        <v>0</v>
      </c>
      <c r="AC2668" s="81">
        <f t="shared" si="126"/>
        <v>0</v>
      </c>
      <c r="AD2668" s="82">
        <f t="shared" si="127"/>
        <v>0</v>
      </c>
      <c r="AE2668" s="218">
        <v>0</v>
      </c>
      <c r="AF2668">
        <v>0</v>
      </c>
      <c r="AH2668" t="str">
        <f t="shared" si="128"/>
        <v>Chautham</v>
      </c>
      <c r="AJ2668" s="72">
        <v>0</v>
      </c>
      <c r="AK2668" s="72"/>
      <c r="AL2668" s="72"/>
      <c r="AM2668" s="72"/>
    </row>
    <row r="2669" spans="1:39" x14ac:dyDescent="0.25">
      <c r="A2669" s="37" t="s">
        <v>62</v>
      </c>
      <c r="B2669" s="66" t="s">
        <v>1629</v>
      </c>
      <c r="C2669" s="4">
        <v>1056</v>
      </c>
      <c r="D2669" s="41" t="s">
        <v>838</v>
      </c>
      <c r="E2669" s="41">
        <v>10560002</v>
      </c>
      <c r="F2669" s="85" t="s">
        <v>1166</v>
      </c>
      <c r="G2669" s="39" t="s">
        <v>635</v>
      </c>
      <c r="H2669" s="52" t="s">
        <v>99</v>
      </c>
      <c r="I2669" s="52">
        <v>766.56</v>
      </c>
      <c r="J2669" s="49">
        <v>27466.48</v>
      </c>
      <c r="K2669" s="58">
        <v>0</v>
      </c>
      <c r="L2669" s="58">
        <v>0</v>
      </c>
      <c r="M2669" s="58">
        <v>0</v>
      </c>
      <c r="N2669" s="58">
        <v>0</v>
      </c>
      <c r="O2669" s="58">
        <v>0</v>
      </c>
      <c r="P2669" s="53">
        <v>0</v>
      </c>
      <c r="Q2669" s="65">
        <v>27466.48</v>
      </c>
      <c r="R2669" s="65">
        <v>0</v>
      </c>
      <c r="S2669" s="65">
        <v>0</v>
      </c>
      <c r="T2669" s="65">
        <v>0</v>
      </c>
      <c r="U2669" s="58">
        <v>0</v>
      </c>
      <c r="V2669" s="65">
        <v>0</v>
      </c>
      <c r="W2669" s="65">
        <v>0</v>
      </c>
      <c r="X2669" s="65">
        <v>0</v>
      </c>
      <c r="Y2669" s="65">
        <v>0</v>
      </c>
      <c r="Z2669" s="51">
        <v>27466.48</v>
      </c>
      <c r="AA2669" s="51">
        <v>0</v>
      </c>
      <c r="AB2669" s="102">
        <v>0</v>
      </c>
      <c r="AC2669" s="81">
        <f t="shared" si="126"/>
        <v>0</v>
      </c>
      <c r="AD2669" s="82">
        <f t="shared" si="127"/>
        <v>0</v>
      </c>
      <c r="AE2669" s="218">
        <v>0</v>
      </c>
      <c r="AF2669">
        <v>0</v>
      </c>
      <c r="AH2669" t="str">
        <f t="shared" si="128"/>
        <v>Chautham</v>
      </c>
      <c r="AJ2669" s="72">
        <v>0</v>
      </c>
      <c r="AK2669" s="72"/>
      <c r="AL2669" s="72"/>
      <c r="AM2669" s="72"/>
    </row>
    <row r="2670" spans="1:39" x14ac:dyDescent="0.25">
      <c r="A2670" s="37" t="s">
        <v>62</v>
      </c>
      <c r="B2670" s="66" t="s">
        <v>1629</v>
      </c>
      <c r="C2670" s="4">
        <v>1056</v>
      </c>
      <c r="D2670" s="41" t="s">
        <v>838</v>
      </c>
      <c r="E2670" s="41">
        <v>10560004</v>
      </c>
      <c r="F2670" s="85" t="s">
        <v>1183</v>
      </c>
      <c r="G2670" s="39" t="s">
        <v>93</v>
      </c>
      <c r="H2670" s="52" t="s">
        <v>94</v>
      </c>
      <c r="I2670" s="52">
        <v>868.56</v>
      </c>
      <c r="J2670" s="49">
        <v>29188.280000000006</v>
      </c>
      <c r="K2670" s="58">
        <v>927.06000000000006</v>
      </c>
      <c r="L2670" s="58">
        <v>31982.546304878393</v>
      </c>
      <c r="M2670" s="58">
        <v>0</v>
      </c>
      <c r="N2670" s="58">
        <v>0</v>
      </c>
      <c r="O2670" s="58">
        <v>927.06000000000006</v>
      </c>
      <c r="P2670" s="53">
        <v>31982.546304878393</v>
      </c>
      <c r="Q2670" s="65">
        <v>29188.280000000006</v>
      </c>
      <c r="R2670" s="65">
        <v>0</v>
      </c>
      <c r="S2670" s="65">
        <v>0</v>
      </c>
      <c r="T2670" s="65">
        <v>2794.266304878387</v>
      </c>
      <c r="U2670" s="58">
        <v>0</v>
      </c>
      <c r="V2670" s="65">
        <v>0</v>
      </c>
      <c r="W2670" s="65">
        <v>0</v>
      </c>
      <c r="X2670" s="65">
        <v>29188</v>
      </c>
      <c r="Y2670" s="65">
        <v>0</v>
      </c>
      <c r="Z2670" s="51">
        <v>0</v>
      </c>
      <c r="AA2670" s="51">
        <v>0</v>
      </c>
      <c r="AB2670" s="102">
        <v>0</v>
      </c>
      <c r="AC2670" s="81">
        <f t="shared" si="126"/>
        <v>0</v>
      </c>
      <c r="AD2670" s="82">
        <f t="shared" si="127"/>
        <v>0</v>
      </c>
      <c r="AE2670" s="218">
        <v>-9.57324756675757E-2</v>
      </c>
      <c r="AF2670">
        <v>1</v>
      </c>
      <c r="AH2670" t="str">
        <f t="shared" si="128"/>
        <v>Chautham</v>
      </c>
      <c r="AJ2670" s="72">
        <v>0</v>
      </c>
      <c r="AK2670" s="72"/>
      <c r="AL2670" s="72"/>
      <c r="AM2670" s="72"/>
    </row>
    <row r="2671" spans="1:39" x14ac:dyDescent="0.25">
      <c r="A2671" s="37" t="s">
        <v>62</v>
      </c>
      <c r="B2671" s="66" t="s">
        <v>1629</v>
      </c>
      <c r="C2671" s="4">
        <v>1056</v>
      </c>
      <c r="D2671" s="41" t="s">
        <v>838</v>
      </c>
      <c r="E2671" s="41">
        <v>10560005</v>
      </c>
      <c r="F2671" s="85" t="s">
        <v>1184</v>
      </c>
      <c r="G2671" s="39" t="s">
        <v>93</v>
      </c>
      <c r="H2671" s="52" t="s">
        <v>94</v>
      </c>
      <c r="I2671" s="52">
        <v>2030.0399999999997</v>
      </c>
      <c r="J2671" s="49">
        <v>82245.31</v>
      </c>
      <c r="K2671" s="58">
        <v>38.039999999999992</v>
      </c>
      <c r="L2671" s="58">
        <v>1614.3383744963999</v>
      </c>
      <c r="M2671" s="58">
        <v>1992</v>
      </c>
      <c r="N2671" s="58">
        <v>80652.010546800011</v>
      </c>
      <c r="O2671" s="58">
        <v>2030.04</v>
      </c>
      <c r="P2671" s="53">
        <v>82266.348921296405</v>
      </c>
      <c r="Q2671" s="65">
        <v>82245.31</v>
      </c>
      <c r="R2671" s="65">
        <v>0</v>
      </c>
      <c r="S2671" s="65">
        <v>0</v>
      </c>
      <c r="T2671" s="65">
        <v>21.038921296407352</v>
      </c>
      <c r="U2671" s="58">
        <v>0</v>
      </c>
      <c r="V2671" s="65">
        <v>0</v>
      </c>
      <c r="W2671" s="65">
        <v>0</v>
      </c>
      <c r="X2671" s="65">
        <v>1593</v>
      </c>
      <c r="Y2671" s="65">
        <v>80652</v>
      </c>
      <c r="Z2671" s="51">
        <v>0</v>
      </c>
      <c r="AA2671" s="51">
        <v>0</v>
      </c>
      <c r="AB2671" s="102">
        <v>0</v>
      </c>
      <c r="AC2671" s="81">
        <f t="shared" si="126"/>
        <v>0</v>
      </c>
      <c r="AD2671" s="82">
        <f t="shared" si="127"/>
        <v>0</v>
      </c>
      <c r="AE2671" s="218">
        <v>-2.5580694262575401E-4</v>
      </c>
      <c r="AF2671">
        <v>3</v>
      </c>
      <c r="AH2671" t="str">
        <f t="shared" si="128"/>
        <v>Chautham</v>
      </c>
      <c r="AJ2671" s="72">
        <v>0</v>
      </c>
      <c r="AK2671" s="72"/>
      <c r="AL2671" s="72"/>
      <c r="AM2671" s="72"/>
    </row>
    <row r="2672" spans="1:39" x14ac:dyDescent="0.25">
      <c r="A2672" s="37" t="s">
        <v>62</v>
      </c>
      <c r="B2672" s="66" t="s">
        <v>1629</v>
      </c>
      <c r="C2672" s="4">
        <v>1056</v>
      </c>
      <c r="D2672" s="41" t="s">
        <v>838</v>
      </c>
      <c r="E2672" s="41">
        <v>10560007</v>
      </c>
      <c r="F2672" s="85" t="s">
        <v>1185</v>
      </c>
      <c r="G2672" s="39" t="s">
        <v>93</v>
      </c>
      <c r="H2672" s="52" t="s">
        <v>94</v>
      </c>
      <c r="I2672" s="52">
        <v>242.89999999999995</v>
      </c>
      <c r="J2672" s="49">
        <v>9345.24</v>
      </c>
      <c r="K2672" s="58">
        <v>244.82000000000005</v>
      </c>
      <c r="L2672" s="58">
        <v>10468.807914811559</v>
      </c>
      <c r="M2672" s="58">
        <v>0</v>
      </c>
      <c r="N2672" s="58">
        <v>0</v>
      </c>
      <c r="O2672" s="58">
        <v>244.82000000000005</v>
      </c>
      <c r="P2672" s="53">
        <v>10468.807914811559</v>
      </c>
      <c r="Q2672" s="65">
        <v>9345.24</v>
      </c>
      <c r="R2672" s="65">
        <v>0</v>
      </c>
      <c r="S2672" s="65">
        <v>0</v>
      </c>
      <c r="T2672" s="65">
        <v>1123.5679148115596</v>
      </c>
      <c r="U2672" s="58">
        <v>0</v>
      </c>
      <c r="V2672" s="65">
        <v>0</v>
      </c>
      <c r="W2672" s="65">
        <v>0</v>
      </c>
      <c r="X2672" s="65">
        <v>9345</v>
      </c>
      <c r="Y2672" s="65">
        <v>0</v>
      </c>
      <c r="Z2672" s="51">
        <v>0</v>
      </c>
      <c r="AA2672" s="51">
        <v>0</v>
      </c>
      <c r="AB2672" s="102">
        <v>0</v>
      </c>
      <c r="AC2672" s="81">
        <f t="shared" si="126"/>
        <v>351.72574755043235</v>
      </c>
      <c r="AD2672" s="82">
        <f t="shared" si="127"/>
        <v>34.699999999999996</v>
      </c>
      <c r="AE2672" s="218">
        <v>-0.12022889886311744</v>
      </c>
      <c r="AF2672">
        <v>1</v>
      </c>
      <c r="AH2672" t="str">
        <f t="shared" si="128"/>
        <v>Chautham</v>
      </c>
      <c r="AJ2672" s="72">
        <v>0</v>
      </c>
      <c r="AK2672" s="72"/>
      <c r="AL2672" s="72"/>
      <c r="AM2672" s="72"/>
    </row>
    <row r="2673" spans="1:39" x14ac:dyDescent="0.25">
      <c r="A2673" s="37" t="s">
        <v>62</v>
      </c>
      <c r="B2673" s="66" t="s">
        <v>1629</v>
      </c>
      <c r="C2673" s="4">
        <v>1056</v>
      </c>
      <c r="D2673" s="41" t="s">
        <v>838</v>
      </c>
      <c r="E2673" s="41">
        <v>10560011</v>
      </c>
      <c r="F2673" s="85" t="s">
        <v>1278</v>
      </c>
      <c r="G2673" s="39" t="s">
        <v>93</v>
      </c>
      <c r="H2673" s="52" t="s">
        <v>94</v>
      </c>
      <c r="I2673" s="52">
        <v>1777.1000000000004</v>
      </c>
      <c r="J2673" s="49">
        <v>67852.66</v>
      </c>
      <c r="K2673" s="58">
        <v>1778.54</v>
      </c>
      <c r="L2673" s="58">
        <v>70028.53863515766</v>
      </c>
      <c r="M2673" s="58">
        <v>0</v>
      </c>
      <c r="N2673" s="58">
        <v>0</v>
      </c>
      <c r="O2673" s="58">
        <v>1778.54</v>
      </c>
      <c r="P2673" s="53">
        <v>70028.53863515766</v>
      </c>
      <c r="Q2673" s="65">
        <v>67852.66</v>
      </c>
      <c r="R2673" s="65">
        <v>0</v>
      </c>
      <c r="S2673" s="65">
        <v>0</v>
      </c>
      <c r="T2673" s="65">
        <v>2175.8786351576564</v>
      </c>
      <c r="U2673" s="58">
        <v>10012</v>
      </c>
      <c r="V2673" s="65">
        <v>0</v>
      </c>
      <c r="W2673" s="65">
        <v>0</v>
      </c>
      <c r="X2673" s="65">
        <v>57841</v>
      </c>
      <c r="Y2673" s="65">
        <v>0</v>
      </c>
      <c r="Z2673" s="51">
        <v>0</v>
      </c>
      <c r="AA2673" s="51">
        <v>0</v>
      </c>
      <c r="AB2673" s="102" t="s">
        <v>1427</v>
      </c>
      <c r="AC2673" s="81">
        <f t="shared" si="126"/>
        <v>0</v>
      </c>
      <c r="AD2673" s="82">
        <f t="shared" si="127"/>
        <v>0</v>
      </c>
      <c r="AE2673" s="218">
        <v>-3.2067698379955281E-2</v>
      </c>
      <c r="AF2673">
        <v>12</v>
      </c>
      <c r="AH2673" t="str">
        <f t="shared" si="128"/>
        <v>Chautham</v>
      </c>
      <c r="AJ2673" s="72">
        <v>0</v>
      </c>
      <c r="AK2673" s="72"/>
      <c r="AL2673" s="72"/>
      <c r="AM2673" s="72"/>
    </row>
    <row r="2674" spans="1:39" x14ac:dyDescent="0.25">
      <c r="A2674" s="37" t="s">
        <v>62</v>
      </c>
      <c r="B2674" s="66" t="s">
        <v>1629</v>
      </c>
      <c r="C2674" s="4">
        <v>1056</v>
      </c>
      <c r="D2674" s="41" t="s">
        <v>838</v>
      </c>
      <c r="E2674" s="41">
        <v>10560012</v>
      </c>
      <c r="F2674" s="85" t="s">
        <v>1279</v>
      </c>
      <c r="G2674" s="39" t="s">
        <v>93</v>
      </c>
      <c r="H2674" s="52" t="s">
        <v>94</v>
      </c>
      <c r="I2674" s="52">
        <v>1232.22</v>
      </c>
      <c r="J2674" s="49">
        <v>47129.039999999994</v>
      </c>
      <c r="K2674" s="58">
        <v>1232.2199999999993</v>
      </c>
      <c r="L2674" s="58">
        <v>47056.921575652894</v>
      </c>
      <c r="M2674" s="58">
        <v>0</v>
      </c>
      <c r="N2674" s="58">
        <v>0</v>
      </c>
      <c r="O2674" s="58">
        <v>1232.2199999999993</v>
      </c>
      <c r="P2674" s="53">
        <v>47056.921575652894</v>
      </c>
      <c r="Q2674" s="65">
        <v>47056.921575652894</v>
      </c>
      <c r="R2674" s="65">
        <v>0</v>
      </c>
      <c r="S2674" s="65">
        <v>0</v>
      </c>
      <c r="T2674" s="65">
        <v>0</v>
      </c>
      <c r="U2674" s="58">
        <v>0</v>
      </c>
      <c r="V2674" s="65">
        <v>0</v>
      </c>
      <c r="W2674" s="65">
        <v>0</v>
      </c>
      <c r="X2674" s="65">
        <v>47057</v>
      </c>
      <c r="Y2674" s="65">
        <v>0</v>
      </c>
      <c r="Z2674" s="51">
        <v>0</v>
      </c>
      <c r="AA2674" s="51">
        <v>72</v>
      </c>
      <c r="AB2674" s="102">
        <v>0</v>
      </c>
      <c r="AC2674" s="81">
        <f t="shared" si="126"/>
        <v>0</v>
      </c>
      <c r="AD2674" s="82">
        <f t="shared" si="127"/>
        <v>0</v>
      </c>
      <c r="AE2674" s="218">
        <v>1.5302332563340946E-3</v>
      </c>
      <c r="AF2674">
        <v>3</v>
      </c>
      <c r="AH2674" t="str">
        <f t="shared" si="128"/>
        <v>Chautham</v>
      </c>
      <c r="AJ2674" s="72">
        <v>0</v>
      </c>
      <c r="AK2674" s="72"/>
      <c r="AL2674" s="72"/>
      <c r="AM2674" s="72"/>
    </row>
    <row r="2675" spans="1:39" x14ac:dyDescent="0.25">
      <c r="A2675" s="37" t="s">
        <v>62</v>
      </c>
      <c r="B2675" s="66" t="s">
        <v>1629</v>
      </c>
      <c r="C2675" s="4">
        <v>1056</v>
      </c>
      <c r="D2675" s="41" t="s">
        <v>838</v>
      </c>
      <c r="E2675" s="41">
        <v>10560015</v>
      </c>
      <c r="F2675" s="85" t="s">
        <v>1234</v>
      </c>
      <c r="G2675" s="39" t="s">
        <v>635</v>
      </c>
      <c r="H2675" s="52" t="s">
        <v>99</v>
      </c>
      <c r="I2675" s="52">
        <v>741.06</v>
      </c>
      <c r="J2675" s="49">
        <v>24843.68</v>
      </c>
      <c r="K2675" s="58">
        <v>0</v>
      </c>
      <c r="L2675" s="58">
        <v>0</v>
      </c>
      <c r="M2675" s="58">
        <v>0</v>
      </c>
      <c r="N2675" s="58">
        <v>0</v>
      </c>
      <c r="O2675" s="58">
        <v>0</v>
      </c>
      <c r="P2675" s="53">
        <v>0</v>
      </c>
      <c r="Q2675" s="65">
        <v>24843.68</v>
      </c>
      <c r="R2675" s="65">
        <v>0</v>
      </c>
      <c r="S2675" s="65">
        <v>0</v>
      </c>
      <c r="T2675" s="65">
        <v>0</v>
      </c>
      <c r="U2675" s="58">
        <v>1300</v>
      </c>
      <c r="V2675" s="65">
        <v>0</v>
      </c>
      <c r="W2675" s="65">
        <v>0</v>
      </c>
      <c r="X2675" s="65">
        <v>0</v>
      </c>
      <c r="Y2675" s="65">
        <v>0</v>
      </c>
      <c r="Z2675" s="51">
        <v>23543.68</v>
      </c>
      <c r="AA2675" s="51">
        <v>0</v>
      </c>
      <c r="AB2675" s="102">
        <v>0</v>
      </c>
      <c r="AC2675" s="81">
        <f t="shared" si="126"/>
        <v>0</v>
      </c>
      <c r="AD2675" s="82">
        <f t="shared" si="127"/>
        <v>0</v>
      </c>
      <c r="AE2675" s="218">
        <v>0</v>
      </c>
      <c r="AF2675">
        <v>0</v>
      </c>
      <c r="AH2675" t="str">
        <f t="shared" si="128"/>
        <v>Chautham</v>
      </c>
      <c r="AJ2675" s="72">
        <v>0</v>
      </c>
      <c r="AK2675" s="72"/>
      <c r="AL2675" s="72"/>
      <c r="AM2675" s="72"/>
    </row>
    <row r="2676" spans="1:39" x14ac:dyDescent="0.25">
      <c r="A2676" s="37" t="s">
        <v>62</v>
      </c>
      <c r="B2676" s="66" t="s">
        <v>1629</v>
      </c>
      <c r="C2676" s="4">
        <v>1056</v>
      </c>
      <c r="D2676" s="41" t="s">
        <v>838</v>
      </c>
      <c r="E2676" s="41">
        <v>10560016</v>
      </c>
      <c r="F2676" s="85" t="s">
        <v>1439</v>
      </c>
      <c r="G2676" s="39" t="s">
        <v>93</v>
      </c>
      <c r="H2676" s="52" t="s">
        <v>94</v>
      </c>
      <c r="I2676" s="52">
        <v>972.83999999999992</v>
      </c>
      <c r="J2676" s="49">
        <v>36395.29</v>
      </c>
      <c r="K2676" s="58">
        <v>972.85</v>
      </c>
      <c r="L2676" s="58">
        <v>36818.142015511796</v>
      </c>
      <c r="M2676" s="58">
        <v>0</v>
      </c>
      <c r="N2676" s="58">
        <v>0</v>
      </c>
      <c r="O2676" s="58">
        <v>972.85</v>
      </c>
      <c r="P2676" s="53">
        <v>36818.142015511796</v>
      </c>
      <c r="Q2676" s="65">
        <v>36395.29</v>
      </c>
      <c r="R2676" s="65">
        <v>0</v>
      </c>
      <c r="S2676" s="65">
        <v>0</v>
      </c>
      <c r="T2676" s="65">
        <v>422.85201551179489</v>
      </c>
      <c r="U2676" s="58">
        <v>0</v>
      </c>
      <c r="V2676" s="65">
        <v>0</v>
      </c>
      <c r="W2676" s="65">
        <v>0</v>
      </c>
      <c r="X2676" s="65">
        <v>36395</v>
      </c>
      <c r="Y2676" s="65">
        <v>0</v>
      </c>
      <c r="Z2676" s="51">
        <v>0</v>
      </c>
      <c r="AA2676" s="51">
        <v>0</v>
      </c>
      <c r="AB2676" s="102">
        <v>0</v>
      </c>
      <c r="AC2676" s="81">
        <f t="shared" si="126"/>
        <v>0</v>
      </c>
      <c r="AD2676" s="82">
        <f t="shared" si="127"/>
        <v>0</v>
      </c>
      <c r="AE2676" s="218">
        <v>-1.1618316972108064E-2</v>
      </c>
      <c r="AF2676">
        <v>1</v>
      </c>
      <c r="AH2676" t="str">
        <f t="shared" si="128"/>
        <v>Chautham</v>
      </c>
      <c r="AJ2676" s="72">
        <v>0</v>
      </c>
      <c r="AK2676" s="72"/>
      <c r="AL2676" s="72"/>
      <c r="AM2676" s="72"/>
    </row>
    <row r="2677" spans="1:39" x14ac:dyDescent="0.25">
      <c r="A2677" s="37" t="s">
        <v>62</v>
      </c>
      <c r="B2677" s="66" t="s">
        <v>1629</v>
      </c>
      <c r="C2677" s="4">
        <v>1056</v>
      </c>
      <c r="D2677" s="41" t="s">
        <v>838</v>
      </c>
      <c r="E2677" s="41">
        <v>10560017</v>
      </c>
      <c r="F2677" s="85" t="s">
        <v>1238</v>
      </c>
      <c r="G2677" s="39" t="s">
        <v>93</v>
      </c>
      <c r="H2677" s="52" t="s">
        <v>94</v>
      </c>
      <c r="I2677" s="52">
        <v>967.86</v>
      </c>
      <c r="J2677" s="49">
        <v>36758.449999999997</v>
      </c>
      <c r="K2677" s="58">
        <v>967.88</v>
      </c>
      <c r="L2677" s="58">
        <v>38167.107900333402</v>
      </c>
      <c r="M2677" s="58">
        <v>0</v>
      </c>
      <c r="N2677" s="58">
        <v>0</v>
      </c>
      <c r="O2677" s="58">
        <v>967.88</v>
      </c>
      <c r="P2677" s="53">
        <v>38167.107900333402</v>
      </c>
      <c r="Q2677" s="65">
        <v>36758.449999999997</v>
      </c>
      <c r="R2677" s="65">
        <v>0</v>
      </c>
      <c r="S2677" s="65">
        <v>0</v>
      </c>
      <c r="T2677" s="65">
        <v>1408.6579003334045</v>
      </c>
      <c r="U2677" s="58">
        <v>0</v>
      </c>
      <c r="V2677" s="65">
        <v>0</v>
      </c>
      <c r="W2677" s="65">
        <v>0</v>
      </c>
      <c r="X2677" s="65">
        <v>36758</v>
      </c>
      <c r="Y2677" s="65">
        <v>0</v>
      </c>
      <c r="Z2677" s="51">
        <v>0</v>
      </c>
      <c r="AA2677" s="51">
        <v>0</v>
      </c>
      <c r="AB2677" s="102" t="s">
        <v>68</v>
      </c>
      <c r="AC2677" s="81">
        <f t="shared" si="126"/>
        <v>0</v>
      </c>
      <c r="AD2677" s="82">
        <f t="shared" si="127"/>
        <v>0</v>
      </c>
      <c r="AE2677" s="218">
        <v>-3.8322015763270885E-2</v>
      </c>
      <c r="AF2677">
        <v>21</v>
      </c>
      <c r="AH2677" t="str">
        <f t="shared" si="128"/>
        <v>Chautham</v>
      </c>
      <c r="AJ2677" s="72">
        <v>0</v>
      </c>
      <c r="AK2677" s="72"/>
      <c r="AL2677" s="72"/>
      <c r="AM2677" s="72"/>
    </row>
    <row r="2678" spans="1:39" x14ac:dyDescent="0.25">
      <c r="A2678" s="37" t="s">
        <v>62</v>
      </c>
      <c r="B2678" s="66" t="s">
        <v>1629</v>
      </c>
      <c r="C2678" s="4">
        <v>1056</v>
      </c>
      <c r="D2678" s="41" t="s">
        <v>838</v>
      </c>
      <c r="E2678" s="41">
        <v>10560019</v>
      </c>
      <c r="F2678" s="85" t="s">
        <v>1239</v>
      </c>
      <c r="G2678" s="39" t="s">
        <v>93</v>
      </c>
      <c r="H2678" s="52" t="s">
        <v>99</v>
      </c>
      <c r="I2678" s="52">
        <v>1952.2600000000002</v>
      </c>
      <c r="J2678" s="49">
        <v>69947.98</v>
      </c>
      <c r="K2678" s="58">
        <v>0</v>
      </c>
      <c r="L2678" s="58">
        <v>0</v>
      </c>
      <c r="M2678" s="58">
        <v>0</v>
      </c>
      <c r="N2678" s="58">
        <v>0</v>
      </c>
      <c r="O2678" s="58">
        <v>0</v>
      </c>
      <c r="P2678" s="53">
        <v>0</v>
      </c>
      <c r="Q2678" s="65">
        <v>69947.98</v>
      </c>
      <c r="R2678" s="65">
        <v>0</v>
      </c>
      <c r="S2678" s="65">
        <v>0</v>
      </c>
      <c r="T2678" s="65">
        <v>0</v>
      </c>
      <c r="U2678" s="58">
        <v>0</v>
      </c>
      <c r="V2678" s="65">
        <v>0</v>
      </c>
      <c r="W2678" s="65">
        <v>0</v>
      </c>
      <c r="X2678" s="65">
        <v>0</v>
      </c>
      <c r="Y2678" s="65">
        <v>0</v>
      </c>
      <c r="Z2678" s="51">
        <v>69947.98</v>
      </c>
      <c r="AA2678" s="51">
        <v>0</v>
      </c>
      <c r="AB2678" s="102">
        <v>0</v>
      </c>
      <c r="AC2678" s="81">
        <f t="shared" si="126"/>
        <v>0</v>
      </c>
      <c r="AD2678" s="82">
        <f t="shared" si="127"/>
        <v>0</v>
      </c>
      <c r="AE2678" s="218">
        <v>0</v>
      </c>
      <c r="AF2678">
        <v>0</v>
      </c>
      <c r="AH2678" t="str">
        <f t="shared" si="128"/>
        <v>Chautham</v>
      </c>
      <c r="AJ2678" s="72">
        <v>0</v>
      </c>
      <c r="AK2678" s="72"/>
      <c r="AL2678" s="72"/>
      <c r="AM2678" s="72"/>
    </row>
    <row r="2679" spans="1:39" x14ac:dyDescent="0.25">
      <c r="A2679" s="37" t="s">
        <v>62</v>
      </c>
      <c r="B2679" s="66" t="s">
        <v>1629</v>
      </c>
      <c r="C2679" s="4">
        <v>1056</v>
      </c>
      <c r="D2679" s="41" t="s">
        <v>838</v>
      </c>
      <c r="E2679" s="41">
        <v>10560022</v>
      </c>
      <c r="F2679" s="85" t="s">
        <v>1339</v>
      </c>
      <c r="G2679" s="39" t="s">
        <v>93</v>
      </c>
      <c r="H2679" s="52" t="s">
        <v>94</v>
      </c>
      <c r="I2679" s="52">
        <v>2040.3200000000002</v>
      </c>
      <c r="J2679" s="49">
        <v>85252.17</v>
      </c>
      <c r="K2679" s="58">
        <v>2049.5700000000002</v>
      </c>
      <c r="L2679" s="58">
        <v>85611.164041656026</v>
      </c>
      <c r="M2679" s="58">
        <v>0</v>
      </c>
      <c r="N2679" s="58">
        <v>0</v>
      </c>
      <c r="O2679" s="58">
        <v>2049.5700000000002</v>
      </c>
      <c r="P2679" s="53">
        <v>85611.164041656026</v>
      </c>
      <c r="Q2679" s="65">
        <v>85252.17</v>
      </c>
      <c r="R2679" s="65">
        <v>0</v>
      </c>
      <c r="S2679" s="65">
        <v>0</v>
      </c>
      <c r="T2679" s="65">
        <v>358.99404165602755</v>
      </c>
      <c r="U2679" s="58">
        <v>0</v>
      </c>
      <c r="V2679" s="65">
        <v>0</v>
      </c>
      <c r="W2679" s="65">
        <v>0</v>
      </c>
      <c r="X2679" s="65">
        <v>85252</v>
      </c>
      <c r="Y2679" s="65">
        <v>0</v>
      </c>
      <c r="Z2679" s="51">
        <v>0</v>
      </c>
      <c r="AA2679" s="51">
        <v>0</v>
      </c>
      <c r="AB2679" s="102">
        <v>0</v>
      </c>
      <c r="AC2679" s="81">
        <f t="shared" si="126"/>
        <v>0</v>
      </c>
      <c r="AD2679" s="82">
        <f t="shared" si="127"/>
        <v>0</v>
      </c>
      <c r="AE2679" s="218">
        <v>-4.2109666141756574E-3</v>
      </c>
      <c r="AF2679">
        <v>1</v>
      </c>
      <c r="AH2679" t="str">
        <f t="shared" si="128"/>
        <v>Chautham</v>
      </c>
      <c r="AJ2679" s="72">
        <v>0</v>
      </c>
      <c r="AK2679" s="72"/>
      <c r="AL2679" s="72"/>
      <c r="AM2679" s="72"/>
    </row>
    <row r="2680" spans="1:39" x14ac:dyDescent="0.25">
      <c r="A2680" s="37" t="s">
        <v>62</v>
      </c>
      <c r="B2680" s="66" t="s">
        <v>1629</v>
      </c>
      <c r="C2680" s="4">
        <v>1056</v>
      </c>
      <c r="D2680" s="41" t="s">
        <v>838</v>
      </c>
      <c r="E2680" s="41">
        <v>10560025</v>
      </c>
      <c r="F2680" s="85" t="s">
        <v>1319</v>
      </c>
      <c r="G2680" s="39" t="s">
        <v>635</v>
      </c>
      <c r="H2680" s="52" t="s">
        <v>99</v>
      </c>
      <c r="I2680" s="52">
        <v>106.38</v>
      </c>
      <c r="J2680" s="49">
        <v>4316.2599999999993</v>
      </c>
      <c r="K2680" s="58">
        <v>0</v>
      </c>
      <c r="L2680" s="58">
        <v>0</v>
      </c>
      <c r="M2680" s="58">
        <v>0</v>
      </c>
      <c r="N2680" s="58">
        <v>0</v>
      </c>
      <c r="O2680" s="58">
        <v>0</v>
      </c>
      <c r="P2680" s="53">
        <v>0</v>
      </c>
      <c r="Q2680" s="65">
        <v>4316.2599999999993</v>
      </c>
      <c r="R2680" s="65">
        <v>0</v>
      </c>
      <c r="S2680" s="65">
        <v>0</v>
      </c>
      <c r="T2680" s="65">
        <v>0</v>
      </c>
      <c r="U2680" s="58">
        <v>0</v>
      </c>
      <c r="V2680" s="65">
        <v>0</v>
      </c>
      <c r="W2680" s="65">
        <v>0</v>
      </c>
      <c r="X2680" s="65">
        <v>0</v>
      </c>
      <c r="Y2680" s="65">
        <v>0</v>
      </c>
      <c r="Z2680" s="51">
        <v>4316.2599999999993</v>
      </c>
      <c r="AA2680" s="51">
        <v>0</v>
      </c>
      <c r="AB2680" s="102">
        <v>0</v>
      </c>
      <c r="AC2680" s="81">
        <f t="shared" si="126"/>
        <v>481.71052100018795</v>
      </c>
      <c r="AD2680" s="82">
        <f t="shared" si="127"/>
        <v>15.197142857142856</v>
      </c>
      <c r="AE2680" s="218">
        <v>0</v>
      </c>
      <c r="AF2680">
        <v>0</v>
      </c>
      <c r="AH2680" t="str">
        <f t="shared" si="128"/>
        <v>Chautham</v>
      </c>
      <c r="AJ2680" s="72">
        <v>0</v>
      </c>
      <c r="AK2680" s="72"/>
      <c r="AL2680" s="72"/>
      <c r="AM2680" s="72"/>
    </row>
    <row r="2681" spans="1:39" x14ac:dyDescent="0.25">
      <c r="A2681" s="37" t="s">
        <v>62</v>
      </c>
      <c r="B2681" s="66" t="s">
        <v>1629</v>
      </c>
      <c r="C2681" s="4">
        <v>1056</v>
      </c>
      <c r="D2681" s="41" t="s">
        <v>838</v>
      </c>
      <c r="E2681" s="41">
        <v>10560026</v>
      </c>
      <c r="F2681" s="85" t="s">
        <v>1340</v>
      </c>
      <c r="G2681" s="39" t="s">
        <v>93</v>
      </c>
      <c r="H2681" s="52" t="s">
        <v>94</v>
      </c>
      <c r="I2681" s="52">
        <v>1221.96</v>
      </c>
      <c r="J2681" s="49">
        <v>46509.73</v>
      </c>
      <c r="K2681" s="58">
        <v>1267.3</v>
      </c>
      <c r="L2681" s="58">
        <v>50448.886278951722</v>
      </c>
      <c r="M2681" s="58">
        <v>0</v>
      </c>
      <c r="N2681" s="58">
        <v>0</v>
      </c>
      <c r="O2681" s="58">
        <v>1267.3</v>
      </c>
      <c r="P2681" s="53">
        <v>50448.886278951722</v>
      </c>
      <c r="Q2681" s="65">
        <v>46509.73</v>
      </c>
      <c r="R2681" s="65">
        <v>0</v>
      </c>
      <c r="S2681" s="65">
        <v>0</v>
      </c>
      <c r="T2681" s="65">
        <v>3939.1562789517193</v>
      </c>
      <c r="U2681" s="58">
        <v>0</v>
      </c>
      <c r="V2681" s="65">
        <v>0</v>
      </c>
      <c r="W2681" s="65">
        <v>0</v>
      </c>
      <c r="X2681" s="65">
        <v>46510</v>
      </c>
      <c r="Y2681" s="65">
        <v>0</v>
      </c>
      <c r="Z2681" s="51">
        <v>0</v>
      </c>
      <c r="AA2681" s="51">
        <v>0</v>
      </c>
      <c r="AB2681" s="102" t="s">
        <v>68</v>
      </c>
      <c r="AC2681" s="81">
        <f t="shared" si="126"/>
        <v>0</v>
      </c>
      <c r="AD2681" s="82">
        <f t="shared" si="127"/>
        <v>0</v>
      </c>
      <c r="AE2681" s="218">
        <v>-8.4695315989830919E-2</v>
      </c>
      <c r="AF2681">
        <v>20</v>
      </c>
      <c r="AH2681" t="str">
        <f t="shared" si="128"/>
        <v>Chautham</v>
      </c>
      <c r="AJ2681" s="72">
        <v>0</v>
      </c>
      <c r="AK2681" s="72"/>
      <c r="AL2681" s="72"/>
      <c r="AM2681" s="72"/>
    </row>
    <row r="2682" spans="1:39" x14ac:dyDescent="0.25">
      <c r="A2682" s="37" t="s">
        <v>62</v>
      </c>
      <c r="B2682" s="66" t="s">
        <v>1629</v>
      </c>
      <c r="C2682" s="4">
        <v>1056</v>
      </c>
      <c r="D2682" s="41" t="s">
        <v>838</v>
      </c>
      <c r="E2682" s="41">
        <v>10560027</v>
      </c>
      <c r="F2682" s="85" t="s">
        <v>1387</v>
      </c>
      <c r="G2682" s="39" t="s">
        <v>93</v>
      </c>
      <c r="H2682" s="52" t="s">
        <v>94</v>
      </c>
      <c r="I2682" s="52">
        <v>102.04</v>
      </c>
      <c r="J2682" s="49">
        <v>3923.73</v>
      </c>
      <c r="K2682" s="58">
        <v>105</v>
      </c>
      <c r="L2682" s="58">
        <v>4211.577018</v>
      </c>
      <c r="M2682" s="58">
        <v>0</v>
      </c>
      <c r="N2682" s="58">
        <v>0</v>
      </c>
      <c r="O2682" s="58">
        <v>105</v>
      </c>
      <c r="P2682" s="53">
        <v>4211.577018</v>
      </c>
      <c r="Q2682" s="65">
        <v>3923.73</v>
      </c>
      <c r="R2682" s="65">
        <v>0</v>
      </c>
      <c r="S2682" s="65">
        <v>0</v>
      </c>
      <c r="T2682" s="65">
        <v>287.84701799999993</v>
      </c>
      <c r="U2682" s="58">
        <v>0</v>
      </c>
      <c r="V2682" s="65">
        <v>0</v>
      </c>
      <c r="W2682" s="65">
        <v>0</v>
      </c>
      <c r="X2682" s="65">
        <v>3924</v>
      </c>
      <c r="Y2682" s="65">
        <v>0</v>
      </c>
      <c r="Z2682" s="51">
        <v>0</v>
      </c>
      <c r="AA2682" s="51">
        <v>0</v>
      </c>
      <c r="AB2682" s="102">
        <v>0</v>
      </c>
      <c r="AC2682" s="81">
        <f t="shared" si="126"/>
        <v>459.86546272050174</v>
      </c>
      <c r="AD2682" s="82">
        <f t="shared" si="127"/>
        <v>14.577142857142858</v>
      </c>
      <c r="AE2682" s="218">
        <v>-7.3360556919054049E-2</v>
      </c>
      <c r="AF2682">
        <v>1</v>
      </c>
      <c r="AH2682" t="str">
        <f t="shared" si="128"/>
        <v>Chautham</v>
      </c>
      <c r="AJ2682" s="72">
        <v>0</v>
      </c>
      <c r="AK2682" s="72"/>
      <c r="AL2682" s="72"/>
      <c r="AM2682" s="72"/>
    </row>
    <row r="2683" spans="1:39" x14ac:dyDescent="0.25">
      <c r="A2683" s="37" t="s">
        <v>62</v>
      </c>
      <c r="B2683" s="66" t="s">
        <v>1629</v>
      </c>
      <c r="C2683" s="4">
        <v>1056</v>
      </c>
      <c r="D2683" s="41" t="s">
        <v>838</v>
      </c>
      <c r="E2683" s="41">
        <v>10560028</v>
      </c>
      <c r="F2683" s="85" t="s">
        <v>1454</v>
      </c>
      <c r="G2683" s="39" t="s">
        <v>93</v>
      </c>
      <c r="H2683" s="52" t="s">
        <v>94</v>
      </c>
      <c r="I2683" s="52">
        <v>384.06</v>
      </c>
      <c r="J2683" s="49">
        <v>15875.21</v>
      </c>
      <c r="K2683" s="58">
        <v>383.86</v>
      </c>
      <c r="L2683" s="58">
        <v>15993.112171643641</v>
      </c>
      <c r="M2683" s="58">
        <v>0</v>
      </c>
      <c r="N2683" s="58">
        <v>0</v>
      </c>
      <c r="O2683" s="58">
        <v>383.86</v>
      </c>
      <c r="P2683" s="53">
        <v>15993.112171643641</v>
      </c>
      <c r="Q2683" s="65">
        <v>15875.21</v>
      </c>
      <c r="R2683" s="65">
        <v>0</v>
      </c>
      <c r="S2683" s="65">
        <v>0</v>
      </c>
      <c r="T2683" s="65">
        <v>117.90217164364185</v>
      </c>
      <c r="U2683" s="58">
        <v>0</v>
      </c>
      <c r="V2683" s="65">
        <v>0</v>
      </c>
      <c r="W2683" s="65">
        <v>0</v>
      </c>
      <c r="X2683" s="65">
        <v>15875</v>
      </c>
      <c r="Y2683" s="65">
        <v>0</v>
      </c>
      <c r="Z2683" s="51">
        <v>0</v>
      </c>
      <c r="AA2683" s="51">
        <v>0</v>
      </c>
      <c r="AB2683" s="102">
        <v>0</v>
      </c>
      <c r="AC2683" s="81">
        <f t="shared" si="126"/>
        <v>261.18907709212101</v>
      </c>
      <c r="AD2683" s="82">
        <f t="shared" si="127"/>
        <v>54.865714285714283</v>
      </c>
      <c r="AE2683" s="218">
        <v>-7.4268102055747203E-3</v>
      </c>
      <c r="AF2683">
        <v>1</v>
      </c>
      <c r="AH2683" t="str">
        <f t="shared" si="128"/>
        <v>Chautham</v>
      </c>
      <c r="AJ2683" s="72">
        <v>0</v>
      </c>
      <c r="AK2683" s="72"/>
      <c r="AL2683" s="72"/>
      <c r="AM2683" s="72"/>
    </row>
    <row r="2684" spans="1:39" x14ac:dyDescent="0.25">
      <c r="A2684" s="37" t="s">
        <v>62</v>
      </c>
      <c r="B2684" s="66" t="s">
        <v>1629</v>
      </c>
      <c r="C2684" s="4">
        <v>1056</v>
      </c>
      <c r="D2684" s="41" t="s">
        <v>838</v>
      </c>
      <c r="E2684" s="41">
        <v>10560029</v>
      </c>
      <c r="F2684" s="85" t="s">
        <v>1440</v>
      </c>
      <c r="G2684" s="39" t="s">
        <v>93</v>
      </c>
      <c r="H2684" s="52" t="s">
        <v>94</v>
      </c>
      <c r="I2684" s="52">
        <v>101.74</v>
      </c>
      <c r="J2684" s="49">
        <v>4304.7299999999996</v>
      </c>
      <c r="K2684" s="58">
        <v>129.24</v>
      </c>
      <c r="L2684" s="58">
        <v>5554.1158080516689</v>
      </c>
      <c r="M2684" s="58">
        <v>0</v>
      </c>
      <c r="N2684" s="58">
        <v>0</v>
      </c>
      <c r="O2684" s="58">
        <v>129.24</v>
      </c>
      <c r="P2684" s="53">
        <v>5554.1158080516689</v>
      </c>
      <c r="Q2684" s="65">
        <v>4304.7299999999996</v>
      </c>
      <c r="R2684" s="65">
        <v>0</v>
      </c>
      <c r="S2684" s="65">
        <v>0</v>
      </c>
      <c r="T2684" s="65">
        <v>1249.3858080516693</v>
      </c>
      <c r="U2684" s="58">
        <v>0</v>
      </c>
      <c r="V2684" s="65">
        <v>0</v>
      </c>
      <c r="W2684" s="65">
        <v>0</v>
      </c>
      <c r="X2684" s="65">
        <v>4305</v>
      </c>
      <c r="Y2684" s="65">
        <v>0</v>
      </c>
      <c r="Z2684" s="51">
        <v>0</v>
      </c>
      <c r="AA2684" s="51">
        <v>0</v>
      </c>
      <c r="AB2684" s="102">
        <v>0</v>
      </c>
      <c r="AC2684" s="81">
        <f t="shared" si="126"/>
        <v>506.2606191861608</v>
      </c>
      <c r="AD2684" s="82">
        <f t="shared" si="127"/>
        <v>14.534285714285714</v>
      </c>
      <c r="AE2684" s="218">
        <v>-0.29023557994384536</v>
      </c>
      <c r="AF2684">
        <v>1</v>
      </c>
      <c r="AH2684" t="str">
        <f t="shared" si="128"/>
        <v>Chautham</v>
      </c>
      <c r="AJ2684" s="72">
        <v>0</v>
      </c>
      <c r="AK2684" s="72"/>
      <c r="AL2684" s="72"/>
      <c r="AM2684" s="72"/>
    </row>
    <row r="2685" spans="1:39" x14ac:dyDescent="0.25">
      <c r="A2685" s="37" t="s">
        <v>62</v>
      </c>
      <c r="B2685" s="66" t="s">
        <v>1629</v>
      </c>
      <c r="C2685" s="4">
        <v>1056</v>
      </c>
      <c r="D2685" s="41" t="s">
        <v>838</v>
      </c>
      <c r="E2685" s="41">
        <v>10560031</v>
      </c>
      <c r="F2685" s="85" t="s">
        <v>1455</v>
      </c>
      <c r="G2685" s="39" t="s">
        <v>93</v>
      </c>
      <c r="H2685" s="52" t="s">
        <v>94</v>
      </c>
      <c r="I2685" s="52">
        <v>707.93999999999994</v>
      </c>
      <c r="J2685" s="49">
        <v>25404.080000000002</v>
      </c>
      <c r="K2685" s="58">
        <v>856.06000000000006</v>
      </c>
      <c r="L2685" s="58">
        <v>31080.833492860802</v>
      </c>
      <c r="M2685" s="58">
        <v>0</v>
      </c>
      <c r="N2685" s="58">
        <v>0</v>
      </c>
      <c r="O2685" s="58">
        <v>856.06000000000006</v>
      </c>
      <c r="P2685" s="53">
        <v>31080.833492860802</v>
      </c>
      <c r="Q2685" s="65">
        <v>25404.080000000002</v>
      </c>
      <c r="R2685" s="65">
        <v>0</v>
      </c>
      <c r="S2685" s="65">
        <v>0</v>
      </c>
      <c r="T2685" s="65">
        <v>5676.7534928608002</v>
      </c>
      <c r="U2685" s="58">
        <v>0</v>
      </c>
      <c r="V2685" s="65">
        <v>0</v>
      </c>
      <c r="W2685" s="65">
        <v>0</v>
      </c>
      <c r="X2685" s="65">
        <v>25404</v>
      </c>
      <c r="Y2685" s="65">
        <v>0</v>
      </c>
      <c r="Z2685" s="51">
        <v>0</v>
      </c>
      <c r="AA2685" s="51">
        <v>0</v>
      </c>
      <c r="AB2685" s="102">
        <v>0</v>
      </c>
      <c r="AC2685" s="81">
        <f t="shared" si="126"/>
        <v>0</v>
      </c>
      <c r="AD2685" s="82">
        <f t="shared" si="127"/>
        <v>0</v>
      </c>
      <c r="AE2685" s="218">
        <v>-0.22345833790717082</v>
      </c>
      <c r="AF2685">
        <v>1</v>
      </c>
      <c r="AH2685" t="str">
        <f t="shared" si="128"/>
        <v>Chautham</v>
      </c>
      <c r="AJ2685" s="72">
        <v>0</v>
      </c>
      <c r="AK2685" s="72"/>
      <c r="AL2685" s="72"/>
      <c r="AM2685" s="72"/>
    </row>
    <row r="2686" spans="1:39" x14ac:dyDescent="0.25">
      <c r="A2686" s="37" t="s">
        <v>62</v>
      </c>
      <c r="B2686" s="66" t="s">
        <v>1629</v>
      </c>
      <c r="C2686" s="4">
        <v>1056</v>
      </c>
      <c r="D2686" s="41" t="s">
        <v>838</v>
      </c>
      <c r="E2686" s="41">
        <v>10560033</v>
      </c>
      <c r="F2686" s="85" t="s">
        <v>1504</v>
      </c>
      <c r="G2686" s="39" t="s">
        <v>635</v>
      </c>
      <c r="H2686" s="52" t="s">
        <v>99</v>
      </c>
      <c r="I2686" s="52">
        <v>193.22</v>
      </c>
      <c r="J2686" s="49">
        <v>7853.57</v>
      </c>
      <c r="K2686" s="58">
        <v>0</v>
      </c>
      <c r="L2686" s="58">
        <v>0</v>
      </c>
      <c r="M2686" s="58">
        <v>0</v>
      </c>
      <c r="N2686" s="58">
        <v>0</v>
      </c>
      <c r="O2686" s="58">
        <v>0</v>
      </c>
      <c r="P2686" s="53">
        <v>0</v>
      </c>
      <c r="Q2686" s="65">
        <v>7853.57</v>
      </c>
      <c r="R2686" s="65">
        <v>0</v>
      </c>
      <c r="S2686" s="65">
        <v>0</v>
      </c>
      <c r="T2686" s="65">
        <v>0</v>
      </c>
      <c r="U2686" s="58">
        <v>6500</v>
      </c>
      <c r="V2686" s="65">
        <v>0</v>
      </c>
      <c r="W2686" s="65">
        <v>0</v>
      </c>
      <c r="X2686" s="65">
        <v>0</v>
      </c>
      <c r="Y2686" s="65">
        <v>0</v>
      </c>
      <c r="Z2686" s="51">
        <v>1353.5699999999997</v>
      </c>
      <c r="AA2686" s="51">
        <v>0</v>
      </c>
      <c r="AB2686" s="102" t="s">
        <v>1427</v>
      </c>
      <c r="AC2686" s="81">
        <f t="shared" si="126"/>
        <v>411.96896849187453</v>
      </c>
      <c r="AD2686" s="82">
        <f t="shared" si="127"/>
        <v>27.602857142857143</v>
      </c>
      <c r="AE2686" s="218">
        <v>0</v>
      </c>
      <c r="AF2686">
        <v>0</v>
      </c>
      <c r="AH2686" t="str">
        <f t="shared" si="128"/>
        <v>Chautham</v>
      </c>
      <c r="AJ2686" s="72">
        <v>0</v>
      </c>
      <c r="AK2686" s="72"/>
      <c r="AL2686" s="72"/>
      <c r="AM2686" s="72"/>
    </row>
    <row r="2687" spans="1:39" x14ac:dyDescent="0.25">
      <c r="A2687" s="37" t="s">
        <v>62</v>
      </c>
      <c r="B2687" s="66" t="s">
        <v>1629</v>
      </c>
      <c r="C2687" s="4">
        <v>1056</v>
      </c>
      <c r="D2687" s="41" t="s">
        <v>838</v>
      </c>
      <c r="E2687" s="41">
        <v>10560034</v>
      </c>
      <c r="F2687" s="85" t="s">
        <v>1394</v>
      </c>
      <c r="G2687" s="39" t="s">
        <v>635</v>
      </c>
      <c r="H2687" s="52" t="s">
        <v>99</v>
      </c>
      <c r="I2687" s="52">
        <v>175.2</v>
      </c>
      <c r="J2687" s="49">
        <v>5627.81</v>
      </c>
      <c r="K2687" s="58">
        <v>0</v>
      </c>
      <c r="L2687" s="58">
        <v>0</v>
      </c>
      <c r="M2687" s="58">
        <v>0</v>
      </c>
      <c r="N2687" s="58">
        <v>0</v>
      </c>
      <c r="O2687" s="58">
        <v>0</v>
      </c>
      <c r="P2687" s="53">
        <v>0</v>
      </c>
      <c r="Q2687" s="65">
        <v>5627.81</v>
      </c>
      <c r="R2687" s="65">
        <v>0</v>
      </c>
      <c r="S2687" s="65">
        <v>0</v>
      </c>
      <c r="T2687" s="65">
        <v>0</v>
      </c>
      <c r="U2687" s="58">
        <v>0</v>
      </c>
      <c r="V2687" s="65">
        <v>0</v>
      </c>
      <c r="W2687" s="65">
        <v>0</v>
      </c>
      <c r="X2687" s="65">
        <v>0</v>
      </c>
      <c r="Y2687" s="65">
        <v>0</v>
      </c>
      <c r="Z2687" s="51">
        <v>5627.81</v>
      </c>
      <c r="AA2687" s="51">
        <v>0</v>
      </c>
      <c r="AB2687" s="102">
        <v>0</v>
      </c>
      <c r="AC2687" s="81">
        <f t="shared" si="126"/>
        <v>337.15464474885857</v>
      </c>
      <c r="AD2687" s="82">
        <f t="shared" si="127"/>
        <v>25.028571428571428</v>
      </c>
      <c r="AE2687" s="218">
        <v>0</v>
      </c>
      <c r="AF2687">
        <v>0</v>
      </c>
      <c r="AH2687" t="str">
        <f t="shared" si="128"/>
        <v>Chautham</v>
      </c>
      <c r="AJ2687" s="72">
        <v>0</v>
      </c>
      <c r="AK2687" s="72"/>
      <c r="AL2687" s="72"/>
      <c r="AM2687" s="72"/>
    </row>
    <row r="2688" spans="1:39" x14ac:dyDescent="0.25">
      <c r="A2688" s="37" t="s">
        <v>62</v>
      </c>
      <c r="B2688" s="66" t="s">
        <v>1629</v>
      </c>
      <c r="C2688" s="4">
        <v>1056</v>
      </c>
      <c r="D2688" s="41" t="s">
        <v>838</v>
      </c>
      <c r="E2688" s="41">
        <v>10560035</v>
      </c>
      <c r="F2688" s="85" t="s">
        <v>1534</v>
      </c>
      <c r="G2688" s="39" t="s">
        <v>93</v>
      </c>
      <c r="H2688" s="52" t="s">
        <v>94</v>
      </c>
      <c r="I2688" s="52">
        <v>427.72</v>
      </c>
      <c r="J2688" s="49">
        <v>15530.439999999997</v>
      </c>
      <c r="K2688" s="58">
        <v>428.76</v>
      </c>
      <c r="L2688" s="58">
        <v>15626.689349020202</v>
      </c>
      <c r="M2688" s="58">
        <v>0</v>
      </c>
      <c r="N2688" s="58">
        <v>0</v>
      </c>
      <c r="O2688" s="58">
        <v>428.76</v>
      </c>
      <c r="P2688" s="53">
        <v>15626.689349020202</v>
      </c>
      <c r="Q2688" s="65">
        <v>15530.439999999997</v>
      </c>
      <c r="R2688" s="65">
        <v>0</v>
      </c>
      <c r="S2688" s="65">
        <v>0</v>
      </c>
      <c r="T2688" s="65">
        <v>96.249349020205045</v>
      </c>
      <c r="U2688" s="58">
        <v>0</v>
      </c>
      <c r="V2688" s="65">
        <v>0</v>
      </c>
      <c r="W2688" s="65">
        <v>0</v>
      </c>
      <c r="X2688" s="65">
        <v>15530</v>
      </c>
      <c r="Y2688" s="65">
        <v>0</v>
      </c>
      <c r="Z2688" s="51">
        <v>0</v>
      </c>
      <c r="AA2688" s="51">
        <v>0</v>
      </c>
      <c r="AB2688" s="102">
        <v>0</v>
      </c>
      <c r="AC2688" s="81">
        <f t="shared" si="126"/>
        <v>197.72880404002609</v>
      </c>
      <c r="AD2688" s="82">
        <f t="shared" si="127"/>
        <v>61.102857142857147</v>
      </c>
      <c r="AE2688" s="218">
        <v>-6.1974644002491279E-3</v>
      </c>
      <c r="AF2688">
        <v>1</v>
      </c>
      <c r="AH2688" t="str">
        <f t="shared" ref="AH2688:AH2751" si="129">TEXT(D2688,"0000")</f>
        <v>Chautham</v>
      </c>
      <c r="AJ2688" s="72">
        <v>0</v>
      </c>
      <c r="AK2688" s="72"/>
      <c r="AL2688" s="72"/>
      <c r="AM2688" s="72"/>
    </row>
    <row r="2689" spans="1:39" x14ac:dyDescent="0.25">
      <c r="A2689" s="37" t="s">
        <v>62</v>
      </c>
      <c r="B2689" s="66" t="s">
        <v>1629</v>
      </c>
      <c r="C2689" s="4">
        <v>1056</v>
      </c>
      <c r="D2689" s="41" t="s">
        <v>838</v>
      </c>
      <c r="E2689" s="41">
        <v>10560036</v>
      </c>
      <c r="F2689" s="85" t="s">
        <v>1505</v>
      </c>
      <c r="G2689" s="39" t="s">
        <v>93</v>
      </c>
      <c r="H2689" s="52" t="s">
        <v>94</v>
      </c>
      <c r="I2689" s="52">
        <v>266.56</v>
      </c>
      <c r="J2689" s="49">
        <v>11952.210000000001</v>
      </c>
      <c r="K2689" s="58">
        <v>266.59000000000003</v>
      </c>
      <c r="L2689" s="58">
        <v>12582.9820681356</v>
      </c>
      <c r="M2689" s="58">
        <v>0</v>
      </c>
      <c r="N2689" s="58">
        <v>0</v>
      </c>
      <c r="O2689" s="58">
        <v>266.59000000000003</v>
      </c>
      <c r="P2689" s="53">
        <v>12582.9820681356</v>
      </c>
      <c r="Q2689" s="65">
        <v>11952.210000000001</v>
      </c>
      <c r="R2689" s="65">
        <v>0</v>
      </c>
      <c r="S2689" s="65">
        <v>0</v>
      </c>
      <c r="T2689" s="65">
        <v>630.7720681355986</v>
      </c>
      <c r="U2689" s="58">
        <v>4849</v>
      </c>
      <c r="V2689" s="65">
        <v>0</v>
      </c>
      <c r="W2689" s="65">
        <v>0</v>
      </c>
      <c r="X2689" s="65">
        <v>7103</v>
      </c>
      <c r="Y2689" s="65">
        <v>0</v>
      </c>
      <c r="Z2689" s="51">
        <v>0</v>
      </c>
      <c r="AA2689" s="51">
        <v>0</v>
      </c>
      <c r="AB2689" s="102" t="s">
        <v>1427</v>
      </c>
      <c r="AC2689" s="81">
        <f t="shared" si="126"/>
        <v>388.6979218487395</v>
      </c>
      <c r="AD2689" s="82">
        <f t="shared" si="127"/>
        <v>38.08</v>
      </c>
      <c r="AE2689" s="218">
        <v>-5.2774513511358867E-2</v>
      </c>
      <c r="AF2689">
        <v>1</v>
      </c>
      <c r="AH2689" t="str">
        <f t="shared" si="129"/>
        <v>Chautham</v>
      </c>
      <c r="AJ2689" s="72">
        <v>0</v>
      </c>
      <c r="AK2689" s="72"/>
      <c r="AL2689" s="72"/>
      <c r="AM2689" s="72"/>
    </row>
    <row r="2690" spans="1:39" x14ac:dyDescent="0.25">
      <c r="A2690" s="37" t="s">
        <v>62</v>
      </c>
      <c r="B2690" s="66" t="s">
        <v>1629</v>
      </c>
      <c r="C2690" s="4">
        <v>1056</v>
      </c>
      <c r="D2690" s="41" t="s">
        <v>838</v>
      </c>
      <c r="E2690" s="41">
        <v>10560037</v>
      </c>
      <c r="F2690" s="85" t="s">
        <v>1506</v>
      </c>
      <c r="G2690" s="39" t="s">
        <v>93</v>
      </c>
      <c r="H2690" s="52" t="s">
        <v>94</v>
      </c>
      <c r="I2690" s="52">
        <v>291.80000000000007</v>
      </c>
      <c r="J2690" s="49">
        <v>11703.919999999998</v>
      </c>
      <c r="K2690" s="58">
        <v>292.06000000000012</v>
      </c>
      <c r="L2690" s="58">
        <v>11549.564225350503</v>
      </c>
      <c r="M2690" s="58">
        <v>0</v>
      </c>
      <c r="N2690" s="58">
        <v>0</v>
      </c>
      <c r="O2690" s="58">
        <v>292.06000000000012</v>
      </c>
      <c r="P2690" s="53">
        <v>11549.564225350503</v>
      </c>
      <c r="Q2690" s="65">
        <v>11549.564225350503</v>
      </c>
      <c r="R2690" s="65">
        <v>0</v>
      </c>
      <c r="S2690" s="65">
        <v>0</v>
      </c>
      <c r="T2690" s="65">
        <v>0</v>
      </c>
      <c r="U2690" s="58">
        <v>0</v>
      </c>
      <c r="V2690" s="65">
        <v>0</v>
      </c>
      <c r="W2690" s="65">
        <v>0</v>
      </c>
      <c r="X2690" s="65">
        <v>11550</v>
      </c>
      <c r="Y2690" s="65">
        <v>0</v>
      </c>
      <c r="Z2690" s="51">
        <v>0</v>
      </c>
      <c r="AA2690" s="51">
        <v>154</v>
      </c>
      <c r="AB2690" s="102">
        <v>0</v>
      </c>
      <c r="AC2690" s="81">
        <f t="shared" ref="AC2690:AC2753" si="130">((IF(AD2690=0,0,100-AD2690))*7*(J2690/I2690))*2%</f>
        <v>327.4530599040437</v>
      </c>
      <c r="AD2690" s="82">
        <f t="shared" ref="AD2690:AD2753" si="131">IF((I2690/7)&gt;100,0,(I2690/7))</f>
        <v>41.685714285714297</v>
      </c>
      <c r="AE2690" s="218">
        <v>1.3188382580323114E-2</v>
      </c>
      <c r="AF2690">
        <v>1</v>
      </c>
      <c r="AH2690" t="str">
        <f t="shared" si="129"/>
        <v>Chautham</v>
      </c>
      <c r="AJ2690" s="72">
        <v>0</v>
      </c>
      <c r="AK2690" s="72"/>
      <c r="AL2690" s="72"/>
      <c r="AM2690" s="72"/>
    </row>
    <row r="2691" spans="1:39" x14ac:dyDescent="0.25">
      <c r="A2691" s="37" t="s">
        <v>62</v>
      </c>
      <c r="B2691" s="66" t="s">
        <v>1629</v>
      </c>
      <c r="C2691" s="4">
        <v>1057</v>
      </c>
      <c r="D2691" s="41" t="s">
        <v>1202</v>
      </c>
      <c r="E2691" s="41">
        <v>10570001</v>
      </c>
      <c r="F2691" s="85" t="s">
        <v>1203</v>
      </c>
      <c r="G2691" s="39" t="s">
        <v>93</v>
      </c>
      <c r="H2691" s="52" t="s">
        <v>94</v>
      </c>
      <c r="I2691" s="52">
        <v>80.999999999999986</v>
      </c>
      <c r="J2691" s="49">
        <v>2861.9199999999996</v>
      </c>
      <c r="K2691" s="58">
        <v>80.999999999999986</v>
      </c>
      <c r="L2691" s="58">
        <v>2806.4124790020001</v>
      </c>
      <c r="M2691" s="58">
        <v>0</v>
      </c>
      <c r="N2691" s="58">
        <v>0</v>
      </c>
      <c r="O2691" s="58">
        <v>80.999999999999986</v>
      </c>
      <c r="P2691" s="53">
        <v>2806.4124790020001</v>
      </c>
      <c r="Q2691" s="65">
        <v>2806.4124790020001</v>
      </c>
      <c r="R2691" s="65">
        <v>0</v>
      </c>
      <c r="S2691" s="65">
        <v>0</v>
      </c>
      <c r="T2691" s="65">
        <v>0</v>
      </c>
      <c r="U2691" s="58">
        <v>0</v>
      </c>
      <c r="V2691" s="65">
        <v>9.0008033898305015</v>
      </c>
      <c r="W2691" s="65">
        <v>0</v>
      </c>
      <c r="X2691" s="65">
        <v>2797</v>
      </c>
      <c r="Y2691" s="65">
        <v>0</v>
      </c>
      <c r="Z2691" s="51">
        <v>0</v>
      </c>
      <c r="AA2691" s="51">
        <v>56</v>
      </c>
      <c r="AB2691" s="102">
        <v>0</v>
      </c>
      <c r="AC2691" s="81">
        <f t="shared" si="130"/>
        <v>437.41443950617287</v>
      </c>
      <c r="AD2691" s="82">
        <f t="shared" si="131"/>
        <v>11.571428571428569</v>
      </c>
      <c r="AE2691" s="218">
        <v>1.9395203568932595E-2</v>
      </c>
      <c r="AF2691">
        <v>1</v>
      </c>
      <c r="AH2691" t="str">
        <f t="shared" si="129"/>
        <v>Warisnagar</v>
      </c>
      <c r="AJ2691" s="72">
        <v>0</v>
      </c>
      <c r="AK2691" s="72"/>
      <c r="AL2691" s="72"/>
      <c r="AM2691" s="72"/>
    </row>
    <row r="2692" spans="1:39" x14ac:dyDescent="0.25">
      <c r="A2692" s="37" t="s">
        <v>62</v>
      </c>
      <c r="B2692" s="66" t="s">
        <v>1629</v>
      </c>
      <c r="C2692" s="4">
        <v>1057</v>
      </c>
      <c r="D2692" s="41" t="s">
        <v>1202</v>
      </c>
      <c r="E2692" s="41">
        <v>10570003</v>
      </c>
      <c r="F2692" s="85" t="s">
        <v>1204</v>
      </c>
      <c r="G2692" s="39" t="s">
        <v>93</v>
      </c>
      <c r="H2692" s="52" t="s">
        <v>94</v>
      </c>
      <c r="I2692" s="52">
        <v>218.5</v>
      </c>
      <c r="J2692" s="49">
        <v>8290.0099999999984</v>
      </c>
      <c r="K2692" s="58">
        <v>216.10000000000002</v>
      </c>
      <c r="L2692" s="58">
        <v>8223.5935809169005</v>
      </c>
      <c r="M2692" s="58">
        <v>2.4</v>
      </c>
      <c r="N2692" s="58">
        <v>90.924292800000003</v>
      </c>
      <c r="O2692" s="58">
        <v>218.50000000000003</v>
      </c>
      <c r="P2692" s="53">
        <v>8314.5178737169008</v>
      </c>
      <c r="Q2692" s="65">
        <v>8290.0099999999984</v>
      </c>
      <c r="R2692" s="65">
        <v>0</v>
      </c>
      <c r="S2692" s="65">
        <v>0</v>
      </c>
      <c r="T2692" s="65">
        <v>24.507873716902395</v>
      </c>
      <c r="U2692" s="58">
        <v>6750</v>
      </c>
      <c r="V2692" s="65">
        <v>0</v>
      </c>
      <c r="W2692" s="65">
        <v>0</v>
      </c>
      <c r="X2692" s="65">
        <v>1449</v>
      </c>
      <c r="Y2692" s="65">
        <v>91</v>
      </c>
      <c r="Z2692" s="51">
        <v>0</v>
      </c>
      <c r="AA2692" s="51">
        <v>0</v>
      </c>
      <c r="AB2692" s="102" t="s">
        <v>68</v>
      </c>
      <c r="AC2692" s="81">
        <f t="shared" si="130"/>
        <v>365.36748878718527</v>
      </c>
      <c r="AD2692" s="82">
        <f t="shared" si="131"/>
        <v>31.214285714285715</v>
      </c>
      <c r="AE2692" s="218">
        <v>-2.956314131937404E-3</v>
      </c>
      <c r="AF2692">
        <v>2</v>
      </c>
      <c r="AH2692" t="str">
        <f t="shared" si="129"/>
        <v>Warisnagar</v>
      </c>
      <c r="AJ2692" s="72">
        <v>0</v>
      </c>
      <c r="AK2692" s="72"/>
      <c r="AL2692" s="72"/>
      <c r="AM2692" s="72"/>
    </row>
    <row r="2693" spans="1:39" x14ac:dyDescent="0.25">
      <c r="A2693" s="37" t="s">
        <v>62</v>
      </c>
      <c r="B2693" s="66" t="s">
        <v>1629</v>
      </c>
      <c r="C2693" s="4">
        <v>1057</v>
      </c>
      <c r="D2693" s="41" t="s">
        <v>1202</v>
      </c>
      <c r="E2693" s="41">
        <v>10570007</v>
      </c>
      <c r="F2693" s="85" t="s">
        <v>1211</v>
      </c>
      <c r="G2693" s="39" t="s">
        <v>93</v>
      </c>
      <c r="H2693" s="52" t="s">
        <v>94</v>
      </c>
      <c r="I2693" s="52">
        <v>766.6</v>
      </c>
      <c r="J2693" s="49">
        <v>35820.640000000007</v>
      </c>
      <c r="K2693" s="58">
        <v>766.60000000000014</v>
      </c>
      <c r="L2693" s="58">
        <v>35820.168205971328</v>
      </c>
      <c r="M2693" s="58">
        <v>0</v>
      </c>
      <c r="N2693" s="58">
        <v>0</v>
      </c>
      <c r="O2693" s="58">
        <v>766.60000000000014</v>
      </c>
      <c r="P2693" s="53">
        <v>35820.168205971328</v>
      </c>
      <c r="Q2693" s="65">
        <v>35820.168205971328</v>
      </c>
      <c r="R2693" s="65">
        <v>0</v>
      </c>
      <c r="S2693" s="65">
        <v>0</v>
      </c>
      <c r="T2693" s="65">
        <v>0</v>
      </c>
      <c r="U2693" s="58">
        <v>0</v>
      </c>
      <c r="V2693" s="65">
        <v>146.93770622950825</v>
      </c>
      <c r="W2693" s="65">
        <v>0</v>
      </c>
      <c r="X2693" s="65">
        <v>35673</v>
      </c>
      <c r="Y2693" s="65">
        <v>0</v>
      </c>
      <c r="Z2693" s="51">
        <v>0</v>
      </c>
      <c r="AA2693" s="51">
        <v>1</v>
      </c>
      <c r="AB2693" s="102">
        <v>0</v>
      </c>
      <c r="AC2693" s="81">
        <f t="shared" si="130"/>
        <v>0</v>
      </c>
      <c r="AD2693" s="82">
        <f t="shared" si="131"/>
        <v>0</v>
      </c>
      <c r="AE2693" s="218">
        <v>1.3171010587168227E-5</v>
      </c>
      <c r="AF2693">
        <v>1</v>
      </c>
      <c r="AH2693" t="str">
        <f t="shared" si="129"/>
        <v>Warisnagar</v>
      </c>
      <c r="AJ2693" s="72">
        <v>0</v>
      </c>
      <c r="AK2693" s="72"/>
      <c r="AL2693" s="72"/>
      <c r="AM2693" s="72"/>
    </row>
    <row r="2694" spans="1:39" x14ac:dyDescent="0.25">
      <c r="A2694" s="37" t="s">
        <v>62</v>
      </c>
      <c r="B2694" s="66" t="s">
        <v>1629</v>
      </c>
      <c r="C2694" s="4">
        <v>1057</v>
      </c>
      <c r="D2694" s="41" t="s">
        <v>1202</v>
      </c>
      <c r="E2694" s="41">
        <v>10570008</v>
      </c>
      <c r="F2694" s="85" t="s">
        <v>1205</v>
      </c>
      <c r="G2694" s="39" t="s">
        <v>93</v>
      </c>
      <c r="H2694" s="52" t="s">
        <v>94</v>
      </c>
      <c r="I2694" s="52">
        <v>1368.2</v>
      </c>
      <c r="J2694" s="49">
        <v>50517.850000000006</v>
      </c>
      <c r="K2694" s="58">
        <v>47.9</v>
      </c>
      <c r="L2694" s="58">
        <v>1724.8411017090002</v>
      </c>
      <c r="M2694" s="58">
        <v>1319.6000000000001</v>
      </c>
      <c r="N2694" s="58">
        <v>48804.607362967472</v>
      </c>
      <c r="O2694" s="58">
        <v>1367.5000000000002</v>
      </c>
      <c r="P2694" s="53">
        <v>50529.448464676476</v>
      </c>
      <c r="Q2694" s="65">
        <v>50517.850000000006</v>
      </c>
      <c r="R2694" s="65">
        <v>0</v>
      </c>
      <c r="S2694" s="65">
        <v>786.07989665700006</v>
      </c>
      <c r="T2694" s="65">
        <v>11.59846467647003</v>
      </c>
      <c r="U2694" s="58">
        <v>0</v>
      </c>
      <c r="V2694" s="65">
        <v>0</v>
      </c>
      <c r="W2694" s="65">
        <v>0</v>
      </c>
      <c r="X2694" s="65">
        <v>1713</v>
      </c>
      <c r="Y2694" s="65">
        <v>48019</v>
      </c>
      <c r="Z2694" s="51">
        <v>0</v>
      </c>
      <c r="AA2694" s="51">
        <v>0</v>
      </c>
      <c r="AB2694" s="102">
        <v>0</v>
      </c>
      <c r="AC2694" s="81">
        <f t="shared" si="130"/>
        <v>0</v>
      </c>
      <c r="AD2694" s="82">
        <f t="shared" si="131"/>
        <v>0</v>
      </c>
      <c r="AE2694" s="218">
        <v>-2.2959141524174186E-4</v>
      </c>
      <c r="AF2694">
        <v>16</v>
      </c>
      <c r="AH2694" t="str">
        <f t="shared" si="129"/>
        <v>Warisnagar</v>
      </c>
      <c r="AJ2694" s="72">
        <v>0</v>
      </c>
      <c r="AK2694" s="72"/>
      <c r="AL2694" s="72"/>
      <c r="AM2694" s="72"/>
    </row>
    <row r="2695" spans="1:39" x14ac:dyDescent="0.25">
      <c r="A2695" s="37" t="s">
        <v>62</v>
      </c>
      <c r="B2695" s="66" t="s">
        <v>1629</v>
      </c>
      <c r="C2695" s="4">
        <v>1057</v>
      </c>
      <c r="D2695" s="41" t="s">
        <v>1202</v>
      </c>
      <c r="E2695" s="41">
        <v>10570009</v>
      </c>
      <c r="F2695" s="85" t="s">
        <v>1206</v>
      </c>
      <c r="G2695" s="39" t="s">
        <v>93</v>
      </c>
      <c r="H2695" s="52" t="s">
        <v>94</v>
      </c>
      <c r="I2695" s="52">
        <v>1585.6999999999998</v>
      </c>
      <c r="J2695" s="49">
        <v>61337.58</v>
      </c>
      <c r="K2695" s="58">
        <v>1585.6000000000001</v>
      </c>
      <c r="L2695" s="58">
        <v>61331.029618320004</v>
      </c>
      <c r="M2695" s="58">
        <v>0</v>
      </c>
      <c r="N2695" s="58">
        <v>0</v>
      </c>
      <c r="O2695" s="58">
        <v>1585.6000000000001</v>
      </c>
      <c r="P2695" s="53">
        <v>61331.029618320004</v>
      </c>
      <c r="Q2695" s="65">
        <v>61331.029618320004</v>
      </c>
      <c r="R2695" s="65">
        <v>0</v>
      </c>
      <c r="S2695" s="65">
        <v>0</v>
      </c>
      <c r="T2695" s="65">
        <v>0</v>
      </c>
      <c r="U2695" s="58">
        <v>3000</v>
      </c>
      <c r="V2695" s="65">
        <v>0</v>
      </c>
      <c r="W2695" s="65">
        <v>0</v>
      </c>
      <c r="X2695" s="65">
        <v>58331</v>
      </c>
      <c r="Y2695" s="65">
        <v>0</v>
      </c>
      <c r="Z2695" s="51">
        <v>0</v>
      </c>
      <c r="AA2695" s="51">
        <v>7</v>
      </c>
      <c r="AB2695" s="102" t="s">
        <v>68</v>
      </c>
      <c r="AC2695" s="81">
        <f t="shared" si="130"/>
        <v>0</v>
      </c>
      <c r="AD2695" s="82">
        <f t="shared" si="131"/>
        <v>0</v>
      </c>
      <c r="AE2695" s="218">
        <v>1.067923070978244E-4</v>
      </c>
      <c r="AF2695">
        <v>1</v>
      </c>
      <c r="AH2695" t="str">
        <f t="shared" si="129"/>
        <v>Warisnagar</v>
      </c>
      <c r="AJ2695" s="72">
        <v>0</v>
      </c>
      <c r="AK2695" s="72"/>
      <c r="AL2695" s="72"/>
      <c r="AM2695" s="72"/>
    </row>
    <row r="2696" spans="1:39" x14ac:dyDescent="0.25">
      <c r="A2696" s="37" t="s">
        <v>62</v>
      </c>
      <c r="B2696" s="66" t="s">
        <v>1629</v>
      </c>
      <c r="C2696" s="4">
        <v>1057</v>
      </c>
      <c r="D2696" s="41" t="s">
        <v>1202</v>
      </c>
      <c r="E2696" s="41">
        <v>10570010</v>
      </c>
      <c r="F2696" s="85" t="s">
        <v>1207</v>
      </c>
      <c r="G2696" s="39" t="s">
        <v>635</v>
      </c>
      <c r="H2696" s="52" t="s">
        <v>99</v>
      </c>
      <c r="I2696" s="52">
        <v>538.70000000000005</v>
      </c>
      <c r="J2696" s="49">
        <v>18030.299999999996</v>
      </c>
      <c r="K2696" s="58">
        <v>0</v>
      </c>
      <c r="L2696" s="58">
        <v>0</v>
      </c>
      <c r="M2696" s="58">
        <v>0</v>
      </c>
      <c r="N2696" s="58">
        <v>0</v>
      </c>
      <c r="O2696" s="58">
        <v>0</v>
      </c>
      <c r="P2696" s="53">
        <v>0</v>
      </c>
      <c r="Q2696" s="65">
        <v>18030.299999999996</v>
      </c>
      <c r="R2696" s="65">
        <v>0</v>
      </c>
      <c r="S2696" s="65">
        <v>0</v>
      </c>
      <c r="T2696" s="65">
        <v>0</v>
      </c>
      <c r="U2696" s="58">
        <v>0</v>
      </c>
      <c r="V2696" s="65">
        <v>0</v>
      </c>
      <c r="W2696" s="65">
        <v>0</v>
      </c>
      <c r="X2696" s="65">
        <v>0</v>
      </c>
      <c r="Y2696" s="65">
        <v>0</v>
      </c>
      <c r="Z2696" s="51">
        <v>18030.299999999996</v>
      </c>
      <c r="AA2696" s="51">
        <v>0</v>
      </c>
      <c r="AB2696" s="102">
        <v>0</v>
      </c>
      <c r="AC2696" s="81">
        <f t="shared" si="130"/>
        <v>107.9742858733988</v>
      </c>
      <c r="AD2696" s="82">
        <f t="shared" si="131"/>
        <v>76.95714285714287</v>
      </c>
      <c r="AE2696" s="218">
        <v>0</v>
      </c>
      <c r="AF2696">
        <v>0</v>
      </c>
      <c r="AH2696" t="str">
        <f t="shared" si="129"/>
        <v>Warisnagar</v>
      </c>
      <c r="AJ2696" s="72">
        <v>0</v>
      </c>
      <c r="AK2696" s="72"/>
      <c r="AL2696" s="72"/>
      <c r="AM2696" s="72"/>
    </row>
    <row r="2697" spans="1:39" x14ac:dyDescent="0.25">
      <c r="A2697" s="37" t="s">
        <v>62</v>
      </c>
      <c r="B2697" s="66" t="s">
        <v>1629</v>
      </c>
      <c r="C2697" s="4">
        <v>1057</v>
      </c>
      <c r="D2697" s="41" t="s">
        <v>1202</v>
      </c>
      <c r="E2697" s="41">
        <v>10570013</v>
      </c>
      <c r="F2697" s="85" t="s">
        <v>1219</v>
      </c>
      <c r="G2697" s="39" t="s">
        <v>635</v>
      </c>
      <c r="H2697" s="52" t="s">
        <v>99</v>
      </c>
      <c r="I2697" s="52">
        <v>650.6</v>
      </c>
      <c r="J2697" s="49">
        <v>23654</v>
      </c>
      <c r="K2697" s="58">
        <v>0</v>
      </c>
      <c r="L2697" s="58">
        <v>0</v>
      </c>
      <c r="M2697" s="58">
        <v>0</v>
      </c>
      <c r="N2697" s="58">
        <v>0</v>
      </c>
      <c r="O2697" s="58">
        <v>0</v>
      </c>
      <c r="P2697" s="53">
        <v>0</v>
      </c>
      <c r="Q2697" s="65">
        <v>23654</v>
      </c>
      <c r="R2697" s="65">
        <v>0</v>
      </c>
      <c r="S2697" s="65">
        <v>0</v>
      </c>
      <c r="T2697" s="65">
        <v>0</v>
      </c>
      <c r="U2697" s="58">
        <v>0</v>
      </c>
      <c r="V2697" s="65">
        <v>0</v>
      </c>
      <c r="W2697" s="65">
        <v>0</v>
      </c>
      <c r="X2697" s="65">
        <v>0</v>
      </c>
      <c r="Y2697" s="65">
        <v>0</v>
      </c>
      <c r="Z2697" s="51">
        <v>23654</v>
      </c>
      <c r="AA2697" s="51">
        <v>0</v>
      </c>
      <c r="AB2697" s="102">
        <v>0</v>
      </c>
      <c r="AC2697" s="81">
        <f t="shared" si="130"/>
        <v>35.920922225637831</v>
      </c>
      <c r="AD2697" s="82">
        <f t="shared" si="131"/>
        <v>92.94285714285715</v>
      </c>
      <c r="AE2697" s="218">
        <v>0</v>
      </c>
      <c r="AF2697">
        <v>0</v>
      </c>
      <c r="AH2697" t="str">
        <f t="shared" si="129"/>
        <v>Warisnagar</v>
      </c>
      <c r="AJ2697" s="72">
        <v>0</v>
      </c>
      <c r="AK2697" s="72"/>
      <c r="AL2697" s="72"/>
      <c r="AM2697" s="72"/>
    </row>
    <row r="2698" spans="1:39" x14ac:dyDescent="0.25">
      <c r="A2698" s="37" t="s">
        <v>62</v>
      </c>
      <c r="B2698" s="66" t="s">
        <v>1629</v>
      </c>
      <c r="C2698" s="4">
        <v>1057</v>
      </c>
      <c r="D2698" s="41" t="s">
        <v>1202</v>
      </c>
      <c r="E2698" s="41">
        <v>10570016</v>
      </c>
      <c r="F2698" s="85" t="s">
        <v>354</v>
      </c>
      <c r="G2698" s="39" t="s">
        <v>635</v>
      </c>
      <c r="H2698" s="52" t="s">
        <v>99</v>
      </c>
      <c r="I2698" s="52">
        <v>762.4</v>
      </c>
      <c r="J2698" s="49">
        <v>24371.48</v>
      </c>
      <c r="K2698" s="58">
        <v>0</v>
      </c>
      <c r="L2698" s="58">
        <v>0</v>
      </c>
      <c r="M2698" s="58">
        <v>0</v>
      </c>
      <c r="N2698" s="58">
        <v>0</v>
      </c>
      <c r="O2698" s="58">
        <v>0</v>
      </c>
      <c r="P2698" s="53">
        <v>0</v>
      </c>
      <c r="Q2698" s="65">
        <v>24371.48</v>
      </c>
      <c r="R2698" s="65">
        <v>0</v>
      </c>
      <c r="S2698" s="65">
        <v>0</v>
      </c>
      <c r="T2698" s="65">
        <v>0</v>
      </c>
      <c r="U2698" s="58">
        <v>0</v>
      </c>
      <c r="V2698" s="65">
        <v>0</v>
      </c>
      <c r="W2698" s="65">
        <v>0</v>
      </c>
      <c r="X2698" s="65">
        <v>0</v>
      </c>
      <c r="Y2698" s="65">
        <v>0</v>
      </c>
      <c r="Z2698" s="51">
        <v>24371.48</v>
      </c>
      <c r="AA2698" s="51">
        <v>0</v>
      </c>
      <c r="AB2698" s="102">
        <v>0</v>
      </c>
      <c r="AC2698" s="81">
        <f t="shared" si="130"/>
        <v>0</v>
      </c>
      <c r="AD2698" s="82">
        <f t="shared" si="131"/>
        <v>0</v>
      </c>
      <c r="AE2698" s="218">
        <v>0</v>
      </c>
      <c r="AF2698">
        <v>0</v>
      </c>
      <c r="AH2698" t="str">
        <f t="shared" si="129"/>
        <v>Warisnagar</v>
      </c>
      <c r="AJ2698" s="72">
        <v>0</v>
      </c>
      <c r="AK2698" s="72"/>
      <c r="AL2698" s="72"/>
      <c r="AM2698" s="72"/>
    </row>
    <row r="2699" spans="1:39" x14ac:dyDescent="0.25">
      <c r="A2699" s="37" t="s">
        <v>62</v>
      </c>
      <c r="B2699" s="66" t="s">
        <v>1629</v>
      </c>
      <c r="C2699" s="4">
        <v>1057</v>
      </c>
      <c r="D2699" s="41" t="s">
        <v>1202</v>
      </c>
      <c r="E2699" s="41">
        <v>10570017</v>
      </c>
      <c r="F2699" s="85" t="s">
        <v>1280</v>
      </c>
      <c r="G2699" s="39" t="s">
        <v>93</v>
      </c>
      <c r="H2699" s="52" t="s">
        <v>94</v>
      </c>
      <c r="I2699" s="52">
        <v>90.499999999999986</v>
      </c>
      <c r="J2699" s="49">
        <v>3703.2200000000003</v>
      </c>
      <c r="K2699" s="58">
        <v>7</v>
      </c>
      <c r="L2699" s="58">
        <v>253.18339200000003</v>
      </c>
      <c r="M2699" s="58">
        <v>80.7</v>
      </c>
      <c r="N2699" s="58">
        <v>3449.3359397898002</v>
      </c>
      <c r="O2699" s="58">
        <v>87.7</v>
      </c>
      <c r="P2699" s="53">
        <v>3702.5193317898002</v>
      </c>
      <c r="Q2699" s="65">
        <v>3702.5193317898002</v>
      </c>
      <c r="R2699" s="65">
        <v>0</v>
      </c>
      <c r="S2699" s="65">
        <v>0</v>
      </c>
      <c r="T2699" s="65">
        <v>0</v>
      </c>
      <c r="U2699" s="58">
        <v>0</v>
      </c>
      <c r="V2699" s="65">
        <v>20.605335737704912</v>
      </c>
      <c r="W2699" s="65">
        <v>0</v>
      </c>
      <c r="X2699" s="65">
        <v>233</v>
      </c>
      <c r="Y2699" s="65">
        <v>3450</v>
      </c>
      <c r="Z2699" s="51">
        <v>0</v>
      </c>
      <c r="AA2699" s="51">
        <v>0</v>
      </c>
      <c r="AB2699" s="102">
        <v>0</v>
      </c>
      <c r="AC2699" s="81">
        <f t="shared" si="130"/>
        <v>498.80941215469619</v>
      </c>
      <c r="AD2699" s="82">
        <f t="shared" si="131"/>
        <v>12.928571428571427</v>
      </c>
      <c r="AE2699" s="218">
        <v>1.8920512694360373E-4</v>
      </c>
      <c r="AF2699">
        <v>8</v>
      </c>
      <c r="AH2699" t="str">
        <f t="shared" si="129"/>
        <v>Warisnagar</v>
      </c>
      <c r="AJ2699" s="72">
        <v>0</v>
      </c>
      <c r="AK2699" s="72"/>
      <c r="AL2699" s="72"/>
      <c r="AM2699" s="72"/>
    </row>
    <row r="2700" spans="1:39" x14ac:dyDescent="0.25">
      <c r="A2700" s="37" t="s">
        <v>62</v>
      </c>
      <c r="B2700" s="66" t="s">
        <v>1629</v>
      </c>
      <c r="C2700" s="4">
        <v>1057</v>
      </c>
      <c r="D2700" s="41" t="s">
        <v>1202</v>
      </c>
      <c r="E2700" s="41">
        <v>10570018</v>
      </c>
      <c r="F2700" s="85" t="s">
        <v>1240</v>
      </c>
      <c r="G2700" s="39" t="s">
        <v>93</v>
      </c>
      <c r="H2700" s="52" t="s">
        <v>94</v>
      </c>
      <c r="I2700" s="52">
        <v>359.7</v>
      </c>
      <c r="J2700" s="49">
        <v>13947.46</v>
      </c>
      <c r="K2700" s="58">
        <v>112.2</v>
      </c>
      <c r="L2700" s="58">
        <v>4220.97656508</v>
      </c>
      <c r="M2700" s="58">
        <v>247.49999999999997</v>
      </c>
      <c r="N2700" s="58">
        <v>9822.1547515856018</v>
      </c>
      <c r="O2700" s="58">
        <v>359.7</v>
      </c>
      <c r="P2700" s="53">
        <v>14043.131316665602</v>
      </c>
      <c r="Q2700" s="65">
        <v>13947.46</v>
      </c>
      <c r="R2700" s="65">
        <v>0</v>
      </c>
      <c r="S2700" s="65">
        <v>263.47508025000002</v>
      </c>
      <c r="T2700" s="65">
        <v>95.671316665602717</v>
      </c>
      <c r="U2700" s="58">
        <v>0</v>
      </c>
      <c r="V2700" s="65">
        <v>9.2017160655737271</v>
      </c>
      <c r="W2700" s="65">
        <v>0</v>
      </c>
      <c r="X2700" s="65">
        <v>4114</v>
      </c>
      <c r="Y2700" s="65">
        <v>9561</v>
      </c>
      <c r="Z2700" s="51">
        <v>0</v>
      </c>
      <c r="AA2700" s="51">
        <v>0</v>
      </c>
      <c r="AB2700" s="102">
        <v>0</v>
      </c>
      <c r="AC2700" s="81">
        <f t="shared" si="130"/>
        <v>263.90440022240756</v>
      </c>
      <c r="AD2700" s="82">
        <f t="shared" si="131"/>
        <v>51.385714285714286</v>
      </c>
      <c r="AE2700" s="218">
        <v>-6.8594078538746642E-3</v>
      </c>
      <c r="AF2700">
        <v>13</v>
      </c>
      <c r="AH2700" t="str">
        <f t="shared" si="129"/>
        <v>Warisnagar</v>
      </c>
      <c r="AJ2700" s="72">
        <v>0</v>
      </c>
      <c r="AK2700" s="72"/>
      <c r="AL2700" s="72"/>
      <c r="AM2700" s="72"/>
    </row>
    <row r="2701" spans="1:39" x14ac:dyDescent="0.25">
      <c r="A2701" s="37" t="s">
        <v>62</v>
      </c>
      <c r="B2701" s="66" t="s">
        <v>1629</v>
      </c>
      <c r="C2701" s="4">
        <v>1057</v>
      </c>
      <c r="D2701" s="41" t="s">
        <v>1202</v>
      </c>
      <c r="E2701" s="41">
        <v>10570019</v>
      </c>
      <c r="F2701" s="85" t="s">
        <v>1241</v>
      </c>
      <c r="G2701" s="39" t="s">
        <v>93</v>
      </c>
      <c r="H2701" s="52" t="s">
        <v>94</v>
      </c>
      <c r="I2701" s="52">
        <v>757.6</v>
      </c>
      <c r="J2701" s="49">
        <v>31711.33</v>
      </c>
      <c r="K2701" s="58">
        <v>262.8</v>
      </c>
      <c r="L2701" s="58">
        <v>11553.582706082458</v>
      </c>
      <c r="M2701" s="58">
        <v>494.59999999999997</v>
      </c>
      <c r="N2701" s="58">
        <v>20147.005679197722</v>
      </c>
      <c r="O2701" s="58">
        <v>757.4</v>
      </c>
      <c r="P2701" s="53">
        <v>31700.588385280178</v>
      </c>
      <c r="Q2701" s="65">
        <v>31700.588385280178</v>
      </c>
      <c r="R2701" s="65">
        <v>0</v>
      </c>
      <c r="S2701" s="65">
        <v>106.89409186672002</v>
      </c>
      <c r="T2701" s="65">
        <v>0</v>
      </c>
      <c r="U2701" s="58">
        <v>2700</v>
      </c>
      <c r="V2701" s="65">
        <v>0</v>
      </c>
      <c r="W2701" s="65">
        <v>0</v>
      </c>
      <c r="X2701" s="65">
        <v>8854</v>
      </c>
      <c r="Y2701" s="65">
        <v>20040</v>
      </c>
      <c r="Z2701" s="51">
        <v>0</v>
      </c>
      <c r="AA2701" s="51">
        <v>10</v>
      </c>
      <c r="AB2701" s="102" t="s">
        <v>68</v>
      </c>
      <c r="AC2701" s="81">
        <f t="shared" si="130"/>
        <v>0</v>
      </c>
      <c r="AD2701" s="82">
        <f t="shared" si="131"/>
        <v>0</v>
      </c>
      <c r="AE2701" s="218">
        <v>3.3873113236889465E-4</v>
      </c>
      <c r="AF2701">
        <v>7</v>
      </c>
      <c r="AH2701" t="str">
        <f t="shared" si="129"/>
        <v>Warisnagar</v>
      </c>
      <c r="AJ2701" s="72">
        <v>0</v>
      </c>
      <c r="AK2701" s="72"/>
      <c r="AL2701" s="72"/>
      <c r="AM2701" s="72"/>
    </row>
    <row r="2702" spans="1:39" x14ac:dyDescent="0.25">
      <c r="A2702" s="37" t="s">
        <v>62</v>
      </c>
      <c r="B2702" s="66" t="s">
        <v>1629</v>
      </c>
      <c r="C2702" s="4">
        <v>1057</v>
      </c>
      <c r="D2702" s="41" t="s">
        <v>1202</v>
      </c>
      <c r="E2702" s="41">
        <v>10570020</v>
      </c>
      <c r="F2702" s="85" t="s">
        <v>1242</v>
      </c>
      <c r="G2702" s="39" t="s">
        <v>93</v>
      </c>
      <c r="H2702" s="52" t="s">
        <v>94</v>
      </c>
      <c r="I2702" s="52">
        <v>787.6</v>
      </c>
      <c r="J2702" s="49">
        <v>32939.340000000004</v>
      </c>
      <c r="K2702" s="58">
        <v>787.6</v>
      </c>
      <c r="L2702" s="58">
        <v>32940.251170199997</v>
      </c>
      <c r="M2702" s="58">
        <v>0</v>
      </c>
      <c r="N2702" s="58">
        <v>0</v>
      </c>
      <c r="O2702" s="58">
        <v>787.6</v>
      </c>
      <c r="P2702" s="53">
        <v>32940.251170199997</v>
      </c>
      <c r="Q2702" s="65">
        <v>32939.340000000004</v>
      </c>
      <c r="R2702" s="65">
        <v>0</v>
      </c>
      <c r="S2702" s="65">
        <v>0</v>
      </c>
      <c r="T2702" s="65">
        <v>0.91117019999364857</v>
      </c>
      <c r="U2702" s="58">
        <v>0</v>
      </c>
      <c r="V2702" s="65">
        <v>0</v>
      </c>
      <c r="W2702" s="65">
        <v>0</v>
      </c>
      <c r="X2702" s="65">
        <v>32939</v>
      </c>
      <c r="Y2702" s="65">
        <v>0</v>
      </c>
      <c r="Z2702" s="51">
        <v>0</v>
      </c>
      <c r="AA2702" s="51">
        <v>0</v>
      </c>
      <c r="AB2702" s="102">
        <v>0</v>
      </c>
      <c r="AC2702" s="81">
        <f t="shared" si="130"/>
        <v>0</v>
      </c>
      <c r="AD2702" s="82">
        <f t="shared" si="131"/>
        <v>0</v>
      </c>
      <c r="AE2702" s="218">
        <v>-2.7662066088563052E-5</v>
      </c>
      <c r="AF2702">
        <v>1</v>
      </c>
      <c r="AH2702" t="str">
        <f t="shared" si="129"/>
        <v>Warisnagar</v>
      </c>
      <c r="AJ2702" s="72">
        <v>0</v>
      </c>
      <c r="AK2702" s="72"/>
      <c r="AL2702" s="72"/>
      <c r="AM2702" s="72"/>
    </row>
    <row r="2703" spans="1:39" x14ac:dyDescent="0.25">
      <c r="A2703" s="37" t="s">
        <v>62</v>
      </c>
      <c r="B2703" s="66" t="s">
        <v>1629</v>
      </c>
      <c r="C2703" s="4">
        <v>1057</v>
      </c>
      <c r="D2703" s="41" t="s">
        <v>1202</v>
      </c>
      <c r="E2703" s="41">
        <v>10570021</v>
      </c>
      <c r="F2703" s="85" t="s">
        <v>1243</v>
      </c>
      <c r="G2703" s="39" t="s">
        <v>93</v>
      </c>
      <c r="H2703" s="52" t="s">
        <v>94</v>
      </c>
      <c r="I2703" s="52">
        <v>680.1</v>
      </c>
      <c r="J2703" s="49">
        <v>22989.02</v>
      </c>
      <c r="K2703" s="58">
        <v>560.09999999999991</v>
      </c>
      <c r="L2703" s="58">
        <v>20708.832467174674</v>
      </c>
      <c r="M2703" s="58">
        <v>120.70000000000002</v>
      </c>
      <c r="N2703" s="58">
        <v>4081.5014613120002</v>
      </c>
      <c r="O2703" s="58">
        <v>680.8</v>
      </c>
      <c r="P2703" s="53">
        <v>24790.333928486674</v>
      </c>
      <c r="Q2703" s="65">
        <v>22989.02</v>
      </c>
      <c r="R2703" s="65">
        <v>0</v>
      </c>
      <c r="S2703" s="65">
        <v>22.680928512000001</v>
      </c>
      <c r="T2703" s="65">
        <v>1801.3139284866738</v>
      </c>
      <c r="U2703" s="58">
        <v>0</v>
      </c>
      <c r="V2703" s="65">
        <v>0</v>
      </c>
      <c r="W2703" s="65">
        <v>0</v>
      </c>
      <c r="X2703" s="65">
        <v>18907</v>
      </c>
      <c r="Y2703" s="65">
        <v>4059</v>
      </c>
      <c r="Z2703" s="51">
        <v>0</v>
      </c>
      <c r="AA2703" s="51">
        <v>0</v>
      </c>
      <c r="AB2703" s="102">
        <v>0</v>
      </c>
      <c r="AC2703" s="81">
        <f t="shared" si="130"/>
        <v>13.453359741214522</v>
      </c>
      <c r="AD2703" s="82">
        <f t="shared" si="131"/>
        <v>97.157142857142858</v>
      </c>
      <c r="AE2703" s="218">
        <v>-7.835540307880344E-2</v>
      </c>
      <c r="AF2703">
        <v>6</v>
      </c>
      <c r="AH2703" t="str">
        <f t="shared" si="129"/>
        <v>Warisnagar</v>
      </c>
      <c r="AJ2703" s="72">
        <v>0</v>
      </c>
      <c r="AK2703" s="72"/>
      <c r="AL2703" s="72"/>
      <c r="AM2703" s="72"/>
    </row>
    <row r="2704" spans="1:39" x14ac:dyDescent="0.25">
      <c r="A2704" s="37" t="s">
        <v>62</v>
      </c>
      <c r="B2704" s="66" t="s">
        <v>1629</v>
      </c>
      <c r="C2704" s="4">
        <v>1057</v>
      </c>
      <c r="D2704" s="41" t="s">
        <v>1202</v>
      </c>
      <c r="E2704" s="41">
        <v>10570022</v>
      </c>
      <c r="F2704" s="85" t="s">
        <v>1244</v>
      </c>
      <c r="G2704" s="39" t="s">
        <v>635</v>
      </c>
      <c r="H2704" s="52" t="s">
        <v>99</v>
      </c>
      <c r="I2704" s="52">
        <v>420.5</v>
      </c>
      <c r="J2704" s="49">
        <v>18635.89</v>
      </c>
      <c r="K2704" s="58">
        <v>0</v>
      </c>
      <c r="L2704" s="58">
        <v>0</v>
      </c>
      <c r="M2704" s="58">
        <v>0</v>
      </c>
      <c r="N2704" s="58">
        <v>0</v>
      </c>
      <c r="O2704" s="58">
        <v>0</v>
      </c>
      <c r="P2704" s="53">
        <v>0</v>
      </c>
      <c r="Q2704" s="65">
        <v>18635.89</v>
      </c>
      <c r="R2704" s="65">
        <v>0</v>
      </c>
      <c r="S2704" s="65">
        <v>0</v>
      </c>
      <c r="T2704" s="65">
        <v>0</v>
      </c>
      <c r="U2704" s="58">
        <v>0</v>
      </c>
      <c r="V2704" s="65">
        <v>0</v>
      </c>
      <c r="W2704" s="65">
        <v>0</v>
      </c>
      <c r="X2704" s="65">
        <v>0</v>
      </c>
      <c r="Y2704" s="65">
        <v>0</v>
      </c>
      <c r="Z2704" s="51">
        <v>18635.89</v>
      </c>
      <c r="AA2704" s="51">
        <v>0</v>
      </c>
      <c r="AB2704" s="102">
        <v>0</v>
      </c>
      <c r="AC2704" s="81">
        <f t="shared" si="130"/>
        <v>247.73989322235437</v>
      </c>
      <c r="AD2704" s="82">
        <f t="shared" si="131"/>
        <v>60.071428571428569</v>
      </c>
      <c r="AE2704" s="218">
        <v>0</v>
      </c>
      <c r="AF2704">
        <v>0</v>
      </c>
      <c r="AH2704" t="str">
        <f t="shared" si="129"/>
        <v>Warisnagar</v>
      </c>
      <c r="AJ2704" s="72">
        <v>0</v>
      </c>
      <c r="AK2704" s="72"/>
      <c r="AL2704" s="72"/>
      <c r="AM2704" s="72"/>
    </row>
    <row r="2705" spans="1:39" x14ac:dyDescent="0.25">
      <c r="A2705" s="37" t="s">
        <v>62</v>
      </c>
      <c r="B2705" s="66" t="s">
        <v>1629</v>
      </c>
      <c r="C2705" s="4">
        <v>1057</v>
      </c>
      <c r="D2705" s="41" t="s">
        <v>1202</v>
      </c>
      <c r="E2705" s="41">
        <v>10570024</v>
      </c>
      <c r="F2705" s="85" t="s">
        <v>1245</v>
      </c>
      <c r="G2705" s="39" t="s">
        <v>635</v>
      </c>
      <c r="H2705" s="52" t="s">
        <v>99</v>
      </c>
      <c r="I2705" s="52">
        <v>826.4</v>
      </c>
      <c r="J2705" s="49">
        <v>30278.799999999996</v>
      </c>
      <c r="K2705" s="58">
        <v>0</v>
      </c>
      <c r="L2705" s="58">
        <v>0</v>
      </c>
      <c r="M2705" s="58">
        <v>0</v>
      </c>
      <c r="N2705" s="58">
        <v>0</v>
      </c>
      <c r="O2705" s="58">
        <v>0</v>
      </c>
      <c r="P2705" s="53">
        <v>0</v>
      </c>
      <c r="Q2705" s="65">
        <v>30278.799999999996</v>
      </c>
      <c r="R2705" s="65">
        <v>0</v>
      </c>
      <c r="S2705" s="65">
        <v>0</v>
      </c>
      <c r="T2705" s="65">
        <v>0</v>
      </c>
      <c r="U2705" s="58">
        <v>0</v>
      </c>
      <c r="V2705" s="65">
        <v>0</v>
      </c>
      <c r="W2705" s="65">
        <v>0</v>
      </c>
      <c r="X2705" s="65">
        <v>0</v>
      </c>
      <c r="Y2705" s="65">
        <v>0</v>
      </c>
      <c r="Z2705" s="51">
        <v>30278.799999999996</v>
      </c>
      <c r="AA2705" s="51">
        <v>0</v>
      </c>
      <c r="AB2705" s="102">
        <v>0</v>
      </c>
      <c r="AC2705" s="81">
        <f t="shared" si="130"/>
        <v>0</v>
      </c>
      <c r="AD2705" s="82">
        <f t="shared" si="131"/>
        <v>0</v>
      </c>
      <c r="AE2705" s="218">
        <v>0</v>
      </c>
      <c r="AF2705">
        <v>0</v>
      </c>
      <c r="AH2705" t="str">
        <f t="shared" si="129"/>
        <v>Warisnagar</v>
      </c>
      <c r="AJ2705" s="72">
        <v>0</v>
      </c>
      <c r="AK2705" s="72"/>
      <c r="AL2705" s="72"/>
      <c r="AM2705" s="72"/>
    </row>
    <row r="2706" spans="1:39" x14ac:dyDescent="0.25">
      <c r="A2706" s="37" t="s">
        <v>62</v>
      </c>
      <c r="B2706" s="66" t="s">
        <v>1629</v>
      </c>
      <c r="C2706" s="4">
        <v>1057</v>
      </c>
      <c r="D2706" s="41" t="s">
        <v>1202</v>
      </c>
      <c r="E2706" s="41">
        <v>10570025</v>
      </c>
      <c r="F2706" s="85" t="s">
        <v>1254</v>
      </c>
      <c r="G2706" s="39" t="s">
        <v>635</v>
      </c>
      <c r="H2706" s="52" t="s">
        <v>99</v>
      </c>
      <c r="I2706" s="52">
        <v>450.99999999999994</v>
      </c>
      <c r="J2706" s="49">
        <v>15517.72</v>
      </c>
      <c r="K2706" s="58">
        <v>0</v>
      </c>
      <c r="L2706" s="58">
        <v>0</v>
      </c>
      <c r="M2706" s="58">
        <v>0</v>
      </c>
      <c r="N2706" s="58">
        <v>0</v>
      </c>
      <c r="O2706" s="58">
        <v>0</v>
      </c>
      <c r="P2706" s="53">
        <v>0</v>
      </c>
      <c r="Q2706" s="65">
        <v>15517.72</v>
      </c>
      <c r="R2706" s="65">
        <v>0</v>
      </c>
      <c r="S2706" s="65">
        <v>0</v>
      </c>
      <c r="T2706" s="65">
        <v>0</v>
      </c>
      <c r="U2706" s="58">
        <v>0</v>
      </c>
      <c r="V2706" s="65">
        <v>280.55206451612901</v>
      </c>
      <c r="W2706" s="65">
        <v>0</v>
      </c>
      <c r="X2706" s="65">
        <v>0</v>
      </c>
      <c r="Y2706" s="65">
        <v>0</v>
      </c>
      <c r="Z2706" s="51">
        <v>15237.167935483871</v>
      </c>
      <c r="AA2706" s="51">
        <v>0</v>
      </c>
      <c r="AB2706" s="102">
        <v>0</v>
      </c>
      <c r="AC2706" s="81">
        <f t="shared" si="130"/>
        <v>171.34865986696241</v>
      </c>
      <c r="AD2706" s="82">
        <f t="shared" si="131"/>
        <v>64.428571428571416</v>
      </c>
      <c r="AE2706" s="218">
        <v>0</v>
      </c>
      <c r="AF2706">
        <v>0</v>
      </c>
      <c r="AH2706" t="str">
        <f t="shared" si="129"/>
        <v>Warisnagar</v>
      </c>
      <c r="AJ2706" s="72">
        <v>0</v>
      </c>
      <c r="AK2706" s="72"/>
      <c r="AL2706" s="72"/>
      <c r="AM2706" s="72"/>
    </row>
    <row r="2707" spans="1:39" x14ac:dyDescent="0.25">
      <c r="A2707" s="37" t="s">
        <v>62</v>
      </c>
      <c r="B2707" s="66" t="s">
        <v>1629</v>
      </c>
      <c r="C2707" s="4">
        <v>1057</v>
      </c>
      <c r="D2707" s="41" t="s">
        <v>1202</v>
      </c>
      <c r="E2707" s="41">
        <v>10570026</v>
      </c>
      <c r="F2707" s="85" t="s">
        <v>1255</v>
      </c>
      <c r="G2707" s="39" t="s">
        <v>635</v>
      </c>
      <c r="H2707" s="52" t="s">
        <v>99</v>
      </c>
      <c r="I2707" s="52">
        <v>349.40000000000003</v>
      </c>
      <c r="J2707" s="49">
        <v>12024.279999999999</v>
      </c>
      <c r="K2707" s="58">
        <v>0</v>
      </c>
      <c r="L2707" s="58">
        <v>0</v>
      </c>
      <c r="M2707" s="58">
        <v>0</v>
      </c>
      <c r="N2707" s="58">
        <v>0</v>
      </c>
      <c r="O2707" s="58">
        <v>0</v>
      </c>
      <c r="P2707" s="53">
        <v>0</v>
      </c>
      <c r="Q2707" s="65">
        <v>12024.279999999999</v>
      </c>
      <c r="R2707" s="65">
        <v>0</v>
      </c>
      <c r="S2707" s="65">
        <v>0</v>
      </c>
      <c r="T2707" s="65">
        <v>0</v>
      </c>
      <c r="U2707" s="58">
        <v>0</v>
      </c>
      <c r="V2707" s="65">
        <v>0</v>
      </c>
      <c r="W2707" s="65">
        <v>0</v>
      </c>
      <c r="X2707" s="65">
        <v>0</v>
      </c>
      <c r="Y2707" s="65">
        <v>0</v>
      </c>
      <c r="Z2707" s="51">
        <v>12024.279999999999</v>
      </c>
      <c r="AA2707" s="51">
        <v>0</v>
      </c>
      <c r="AB2707" s="102">
        <v>0</v>
      </c>
      <c r="AC2707" s="81">
        <f t="shared" si="130"/>
        <v>241.3115379507727</v>
      </c>
      <c r="AD2707" s="82">
        <f t="shared" si="131"/>
        <v>49.914285714285718</v>
      </c>
      <c r="AE2707" s="218">
        <v>0</v>
      </c>
      <c r="AF2707">
        <v>0</v>
      </c>
      <c r="AH2707" t="str">
        <f t="shared" si="129"/>
        <v>Warisnagar</v>
      </c>
      <c r="AJ2707" s="72">
        <v>0</v>
      </c>
      <c r="AK2707" s="72"/>
      <c r="AL2707" s="72"/>
      <c r="AM2707" s="72"/>
    </row>
    <row r="2708" spans="1:39" x14ac:dyDescent="0.25">
      <c r="A2708" s="37" t="s">
        <v>62</v>
      </c>
      <c r="B2708" s="66" t="s">
        <v>1629</v>
      </c>
      <c r="C2708" s="4">
        <v>1057</v>
      </c>
      <c r="D2708" s="41" t="s">
        <v>1202</v>
      </c>
      <c r="E2708" s="41">
        <v>10570028</v>
      </c>
      <c r="F2708" s="85" t="s">
        <v>1297</v>
      </c>
      <c r="G2708" s="39" t="s">
        <v>93</v>
      </c>
      <c r="H2708" s="52" t="s">
        <v>94</v>
      </c>
      <c r="I2708" s="52">
        <v>296.70000000000005</v>
      </c>
      <c r="J2708" s="49">
        <v>10583.300000000001</v>
      </c>
      <c r="K2708" s="58">
        <v>296.7</v>
      </c>
      <c r="L2708" s="58">
        <v>10583.215925040002</v>
      </c>
      <c r="M2708" s="58">
        <v>0</v>
      </c>
      <c r="N2708" s="58">
        <v>0</v>
      </c>
      <c r="O2708" s="58">
        <v>296.7</v>
      </c>
      <c r="P2708" s="53">
        <v>10583.215925040002</v>
      </c>
      <c r="Q2708" s="65">
        <v>10583.215925040002</v>
      </c>
      <c r="R2708" s="65">
        <v>0</v>
      </c>
      <c r="S2708" s="65">
        <v>0</v>
      </c>
      <c r="T2708" s="65">
        <v>0</v>
      </c>
      <c r="U2708" s="58">
        <v>0</v>
      </c>
      <c r="V2708" s="65">
        <v>0</v>
      </c>
      <c r="W2708" s="65">
        <v>0</v>
      </c>
      <c r="X2708" s="65">
        <v>10583</v>
      </c>
      <c r="Y2708" s="65">
        <v>0</v>
      </c>
      <c r="Z2708" s="51">
        <v>0</v>
      </c>
      <c r="AA2708" s="51">
        <v>0</v>
      </c>
      <c r="AB2708" s="102">
        <v>0</v>
      </c>
      <c r="AC2708" s="81">
        <f t="shared" si="130"/>
        <v>287.71451904280411</v>
      </c>
      <c r="AD2708" s="82">
        <f t="shared" si="131"/>
        <v>42.385714285714293</v>
      </c>
      <c r="AE2708" s="218">
        <v>7.944115729429431E-6</v>
      </c>
      <c r="AF2708">
        <v>1</v>
      </c>
      <c r="AH2708" t="str">
        <f t="shared" si="129"/>
        <v>Warisnagar</v>
      </c>
      <c r="AJ2708" s="72">
        <v>0</v>
      </c>
      <c r="AK2708" s="72"/>
      <c r="AL2708" s="72"/>
      <c r="AM2708" s="72"/>
    </row>
    <row r="2709" spans="1:39" x14ac:dyDescent="0.25">
      <c r="A2709" s="37" t="s">
        <v>62</v>
      </c>
      <c r="B2709" s="66" t="s">
        <v>1629</v>
      </c>
      <c r="C2709" s="4">
        <v>1057</v>
      </c>
      <c r="D2709" s="41" t="s">
        <v>1202</v>
      </c>
      <c r="E2709" s="41">
        <v>10570029</v>
      </c>
      <c r="F2709" s="85" t="s">
        <v>1298</v>
      </c>
      <c r="G2709" s="39" t="s">
        <v>93</v>
      </c>
      <c r="H2709" s="52" t="s">
        <v>94</v>
      </c>
      <c r="I2709" s="52">
        <v>203.3</v>
      </c>
      <c r="J2709" s="49">
        <v>8275.74</v>
      </c>
      <c r="K2709" s="58">
        <v>203.3</v>
      </c>
      <c r="L2709" s="58">
        <v>8268.6407809422799</v>
      </c>
      <c r="M2709" s="58">
        <v>0</v>
      </c>
      <c r="N2709" s="58">
        <v>0</v>
      </c>
      <c r="O2709" s="58">
        <v>203.3</v>
      </c>
      <c r="P2709" s="53">
        <v>8268.6407809422799</v>
      </c>
      <c r="Q2709" s="65">
        <v>8268.6407809422799</v>
      </c>
      <c r="R2709" s="65">
        <v>0</v>
      </c>
      <c r="S2709" s="65">
        <v>0</v>
      </c>
      <c r="T2709" s="65">
        <v>0</v>
      </c>
      <c r="U2709" s="58">
        <v>0</v>
      </c>
      <c r="V2709" s="65">
        <v>0</v>
      </c>
      <c r="W2709" s="65">
        <v>0</v>
      </c>
      <c r="X2709" s="65">
        <v>8269</v>
      </c>
      <c r="Y2709" s="65">
        <v>0</v>
      </c>
      <c r="Z2709" s="51">
        <v>0</v>
      </c>
      <c r="AA2709" s="51">
        <v>7</v>
      </c>
      <c r="AB2709" s="102">
        <v>0</v>
      </c>
      <c r="AC2709" s="81">
        <f t="shared" si="130"/>
        <v>404.38367515986226</v>
      </c>
      <c r="AD2709" s="82">
        <f t="shared" si="131"/>
        <v>29.042857142857144</v>
      </c>
      <c r="AE2709" s="218">
        <v>8.5783495587341951E-4</v>
      </c>
      <c r="AF2709">
        <v>1</v>
      </c>
      <c r="AH2709" t="str">
        <f t="shared" si="129"/>
        <v>Warisnagar</v>
      </c>
      <c r="AJ2709" s="72">
        <v>0</v>
      </c>
      <c r="AK2709" s="72"/>
      <c r="AL2709" s="72"/>
      <c r="AM2709" s="72"/>
    </row>
    <row r="2710" spans="1:39" x14ac:dyDescent="0.25">
      <c r="A2710" s="37" t="s">
        <v>62</v>
      </c>
      <c r="B2710" s="66" t="s">
        <v>1629</v>
      </c>
      <c r="C2710" s="4">
        <v>1057</v>
      </c>
      <c r="D2710" s="41" t="s">
        <v>1202</v>
      </c>
      <c r="E2710" s="41">
        <v>10570030</v>
      </c>
      <c r="F2710" s="85" t="s">
        <v>1299</v>
      </c>
      <c r="G2710" s="39" t="s">
        <v>93</v>
      </c>
      <c r="H2710" s="52" t="s">
        <v>94</v>
      </c>
      <c r="I2710" s="52">
        <v>326.8</v>
      </c>
      <c r="J2710" s="49">
        <v>10939.25</v>
      </c>
      <c r="K2710" s="58">
        <v>326.8</v>
      </c>
      <c r="L2710" s="58">
        <v>10938.789100800001</v>
      </c>
      <c r="M2710" s="58">
        <v>0</v>
      </c>
      <c r="N2710" s="58">
        <v>0</v>
      </c>
      <c r="O2710" s="58">
        <v>326.8</v>
      </c>
      <c r="P2710" s="53">
        <v>10938.789100800001</v>
      </c>
      <c r="Q2710" s="65">
        <v>10938.789100800001</v>
      </c>
      <c r="R2710" s="65">
        <v>0</v>
      </c>
      <c r="S2710" s="65">
        <v>0</v>
      </c>
      <c r="T2710" s="65">
        <v>0</v>
      </c>
      <c r="U2710" s="58">
        <v>0</v>
      </c>
      <c r="V2710" s="65">
        <v>3.4263540983606475</v>
      </c>
      <c r="W2710" s="65">
        <v>0</v>
      </c>
      <c r="X2710" s="65">
        <v>10935</v>
      </c>
      <c r="Y2710" s="65">
        <v>0</v>
      </c>
      <c r="Z2710" s="51">
        <v>0</v>
      </c>
      <c r="AA2710" s="51">
        <v>1</v>
      </c>
      <c r="AB2710" s="102">
        <v>0</v>
      </c>
      <c r="AC2710" s="81">
        <f t="shared" si="130"/>
        <v>249.84872093023256</v>
      </c>
      <c r="AD2710" s="82">
        <f t="shared" si="131"/>
        <v>46.68571428571429</v>
      </c>
      <c r="AE2710" s="218">
        <v>4.2132614210243229E-5</v>
      </c>
      <c r="AF2710">
        <v>1</v>
      </c>
      <c r="AH2710" t="str">
        <f t="shared" si="129"/>
        <v>Warisnagar</v>
      </c>
      <c r="AJ2710" s="72">
        <v>0</v>
      </c>
      <c r="AK2710" s="72"/>
      <c r="AL2710" s="72"/>
      <c r="AM2710" s="72"/>
    </row>
    <row r="2711" spans="1:39" x14ac:dyDescent="0.25">
      <c r="A2711" s="37" t="s">
        <v>62</v>
      </c>
      <c r="B2711" s="66" t="s">
        <v>1629</v>
      </c>
      <c r="C2711" s="4">
        <v>1057</v>
      </c>
      <c r="D2711" s="41" t="s">
        <v>1202</v>
      </c>
      <c r="E2711" s="41">
        <v>10570031</v>
      </c>
      <c r="F2711" s="85" t="s">
        <v>1300</v>
      </c>
      <c r="G2711" s="39" t="s">
        <v>93</v>
      </c>
      <c r="H2711" s="52" t="s">
        <v>94</v>
      </c>
      <c r="I2711" s="52">
        <v>154.69999999999999</v>
      </c>
      <c r="J2711" s="49">
        <v>5895.48</v>
      </c>
      <c r="K2711" s="58">
        <v>153.30000000000001</v>
      </c>
      <c r="L2711" s="58">
        <v>5905.1600393536</v>
      </c>
      <c r="M2711" s="58">
        <v>0.5</v>
      </c>
      <c r="N2711" s="58">
        <v>19.483746480000001</v>
      </c>
      <c r="O2711" s="58">
        <v>153.80000000000001</v>
      </c>
      <c r="P2711" s="53">
        <v>5924.6437858336003</v>
      </c>
      <c r="Q2711" s="65">
        <v>5895.48</v>
      </c>
      <c r="R2711" s="65">
        <v>0</v>
      </c>
      <c r="S2711" s="65">
        <v>19.483746480000001</v>
      </c>
      <c r="T2711" s="65">
        <v>29.163785833600741</v>
      </c>
      <c r="U2711" s="58">
        <v>0</v>
      </c>
      <c r="V2711" s="65">
        <v>0</v>
      </c>
      <c r="W2711" s="65">
        <v>0</v>
      </c>
      <c r="X2711" s="65">
        <v>5876</v>
      </c>
      <c r="Y2711" s="65">
        <v>0</v>
      </c>
      <c r="Z2711" s="51">
        <v>0</v>
      </c>
      <c r="AA2711" s="51">
        <v>0</v>
      </c>
      <c r="AB2711" s="102">
        <v>0</v>
      </c>
      <c r="AC2711" s="81">
        <f t="shared" si="130"/>
        <v>415.61800180995482</v>
      </c>
      <c r="AD2711" s="82">
        <f t="shared" si="131"/>
        <v>22.099999999999998</v>
      </c>
      <c r="AE2711" s="218">
        <v>-4.9468043032290408E-3</v>
      </c>
      <c r="AF2711">
        <v>2</v>
      </c>
      <c r="AH2711" t="str">
        <f t="shared" si="129"/>
        <v>Warisnagar</v>
      </c>
      <c r="AJ2711" s="72">
        <v>0</v>
      </c>
      <c r="AK2711" s="72"/>
      <c r="AL2711" s="72"/>
      <c r="AM2711" s="72"/>
    </row>
    <row r="2712" spans="1:39" x14ac:dyDescent="0.25">
      <c r="A2712" s="37" t="s">
        <v>62</v>
      </c>
      <c r="B2712" s="66" t="s">
        <v>1629</v>
      </c>
      <c r="C2712" s="4">
        <v>1057</v>
      </c>
      <c r="D2712" s="41" t="s">
        <v>1202</v>
      </c>
      <c r="E2712" s="41">
        <v>10570032</v>
      </c>
      <c r="F2712" s="85" t="s">
        <v>1625</v>
      </c>
      <c r="G2712" s="39" t="s">
        <v>635</v>
      </c>
      <c r="H2712" s="52" t="s">
        <v>99</v>
      </c>
      <c r="I2712" s="52">
        <v>91.199999999999989</v>
      </c>
      <c r="J2712" s="49">
        <v>3731.46</v>
      </c>
      <c r="K2712" s="58">
        <v>0</v>
      </c>
      <c r="L2712" s="58">
        <v>0</v>
      </c>
      <c r="M2712" s="58">
        <v>0</v>
      </c>
      <c r="N2712" s="58">
        <v>0</v>
      </c>
      <c r="O2712" s="58">
        <v>0</v>
      </c>
      <c r="P2712" s="53">
        <v>0</v>
      </c>
      <c r="Q2712" s="65">
        <v>3731.46</v>
      </c>
      <c r="R2712" s="65">
        <v>0</v>
      </c>
      <c r="S2712" s="65">
        <v>0</v>
      </c>
      <c r="T2712" s="65">
        <v>0</v>
      </c>
      <c r="U2712" s="58">
        <v>0</v>
      </c>
      <c r="V2712" s="65">
        <v>0</v>
      </c>
      <c r="W2712" s="65">
        <v>0</v>
      </c>
      <c r="X2712" s="65">
        <v>0</v>
      </c>
      <c r="Y2712" s="65">
        <v>0</v>
      </c>
      <c r="Z2712" s="51">
        <v>3731.46</v>
      </c>
      <c r="AA2712" s="51">
        <v>0</v>
      </c>
      <c r="AB2712" s="102">
        <v>0</v>
      </c>
      <c r="AC2712" s="81">
        <f t="shared" si="130"/>
        <v>498.18264210526331</v>
      </c>
      <c r="AD2712" s="82">
        <f t="shared" si="131"/>
        <v>13.028571428571427</v>
      </c>
      <c r="AE2712" s="218">
        <v>0</v>
      </c>
      <c r="AF2712">
        <v>0</v>
      </c>
      <c r="AH2712" t="str">
        <f t="shared" si="129"/>
        <v>Warisnagar</v>
      </c>
      <c r="AJ2712" s="72">
        <v>0</v>
      </c>
      <c r="AK2712" s="72"/>
      <c r="AL2712" s="72"/>
      <c r="AM2712" s="72"/>
    </row>
    <row r="2713" spans="1:39" x14ac:dyDescent="0.25">
      <c r="A2713" s="37" t="s">
        <v>62</v>
      </c>
      <c r="B2713" s="66" t="s">
        <v>1629</v>
      </c>
      <c r="C2713" s="4">
        <v>1057</v>
      </c>
      <c r="D2713" s="41" t="s">
        <v>1202</v>
      </c>
      <c r="E2713" s="41">
        <v>10570033</v>
      </c>
      <c r="F2713" s="85" t="s">
        <v>1301</v>
      </c>
      <c r="G2713" s="39" t="s">
        <v>635</v>
      </c>
      <c r="H2713" s="52" t="s">
        <v>99</v>
      </c>
      <c r="I2713" s="52">
        <v>239.29999999999995</v>
      </c>
      <c r="J2713" s="49">
        <v>8879.7199999999993</v>
      </c>
      <c r="K2713" s="58">
        <v>0</v>
      </c>
      <c r="L2713" s="58">
        <v>0</v>
      </c>
      <c r="M2713" s="58">
        <v>0</v>
      </c>
      <c r="N2713" s="58">
        <v>0</v>
      </c>
      <c r="O2713" s="58">
        <v>0</v>
      </c>
      <c r="P2713" s="53">
        <v>0</v>
      </c>
      <c r="Q2713" s="65">
        <v>8879.7199999999993</v>
      </c>
      <c r="R2713" s="65">
        <v>0</v>
      </c>
      <c r="S2713" s="65">
        <v>0</v>
      </c>
      <c r="T2713" s="65">
        <v>0</v>
      </c>
      <c r="U2713" s="58">
        <v>0</v>
      </c>
      <c r="V2713" s="65">
        <v>40.431154838709681</v>
      </c>
      <c r="W2713" s="65">
        <v>0</v>
      </c>
      <c r="X2713" s="65">
        <v>0</v>
      </c>
      <c r="Y2713" s="65">
        <v>0</v>
      </c>
      <c r="Z2713" s="51">
        <v>8839.2888451612889</v>
      </c>
      <c r="AA2713" s="51">
        <v>0</v>
      </c>
      <c r="AB2713" s="102">
        <v>0</v>
      </c>
      <c r="AC2713" s="81">
        <f t="shared" si="130"/>
        <v>341.90447170915178</v>
      </c>
      <c r="AD2713" s="82">
        <f t="shared" si="131"/>
        <v>34.185714285714276</v>
      </c>
      <c r="AE2713" s="218">
        <v>0</v>
      </c>
      <c r="AF2713">
        <v>0</v>
      </c>
      <c r="AH2713" t="str">
        <f t="shared" si="129"/>
        <v>Warisnagar</v>
      </c>
      <c r="AJ2713" s="72">
        <v>0</v>
      </c>
      <c r="AK2713" s="72"/>
      <c r="AL2713" s="72"/>
      <c r="AM2713" s="72"/>
    </row>
    <row r="2714" spans="1:39" x14ac:dyDescent="0.25">
      <c r="A2714" s="37" t="s">
        <v>62</v>
      </c>
      <c r="B2714" s="66" t="s">
        <v>1629</v>
      </c>
      <c r="C2714" s="4">
        <v>1057</v>
      </c>
      <c r="D2714" s="41" t="s">
        <v>1202</v>
      </c>
      <c r="E2714" s="41">
        <v>10570036</v>
      </c>
      <c r="F2714" s="85" t="s">
        <v>1371</v>
      </c>
      <c r="G2714" s="39" t="s">
        <v>93</v>
      </c>
      <c r="H2714" s="52" t="s">
        <v>94</v>
      </c>
      <c r="I2714" s="52">
        <v>269.20000000000005</v>
      </c>
      <c r="J2714" s="49">
        <v>10465.81</v>
      </c>
      <c r="K2714" s="58">
        <v>269.59999999999997</v>
      </c>
      <c r="L2714" s="58">
        <v>10559.006470366096</v>
      </c>
      <c r="M2714" s="58">
        <v>0</v>
      </c>
      <c r="N2714" s="58">
        <v>0</v>
      </c>
      <c r="O2714" s="58">
        <v>269.59999999999997</v>
      </c>
      <c r="P2714" s="53">
        <v>10559.006470366096</v>
      </c>
      <c r="Q2714" s="65">
        <v>10465.81</v>
      </c>
      <c r="R2714" s="65">
        <v>0</v>
      </c>
      <c r="S2714" s="65">
        <v>0</v>
      </c>
      <c r="T2714" s="65">
        <v>93.196470366096037</v>
      </c>
      <c r="U2714" s="58">
        <v>0</v>
      </c>
      <c r="V2714" s="65">
        <v>0</v>
      </c>
      <c r="W2714" s="65">
        <v>0</v>
      </c>
      <c r="X2714" s="65">
        <v>10466</v>
      </c>
      <c r="Y2714" s="65">
        <v>0</v>
      </c>
      <c r="Z2714" s="51">
        <v>0</v>
      </c>
      <c r="AA2714" s="51">
        <v>0</v>
      </c>
      <c r="AB2714" s="102">
        <v>0</v>
      </c>
      <c r="AC2714" s="81">
        <f t="shared" si="130"/>
        <v>334.96812392273392</v>
      </c>
      <c r="AD2714" s="82">
        <f t="shared" si="131"/>
        <v>38.457142857142863</v>
      </c>
      <c r="AE2714" s="218">
        <v>-8.9048502090230998E-3</v>
      </c>
      <c r="AF2714">
        <v>1</v>
      </c>
      <c r="AH2714" t="str">
        <f t="shared" si="129"/>
        <v>Warisnagar</v>
      </c>
      <c r="AJ2714" s="72">
        <v>0</v>
      </c>
      <c r="AK2714" s="72"/>
      <c r="AL2714" s="72"/>
      <c r="AM2714" s="72"/>
    </row>
    <row r="2715" spans="1:39" x14ac:dyDescent="0.25">
      <c r="A2715" s="37" t="s">
        <v>62</v>
      </c>
      <c r="B2715" s="66" t="s">
        <v>1629</v>
      </c>
      <c r="C2715" s="4">
        <v>1057</v>
      </c>
      <c r="D2715" s="41" t="s">
        <v>1202</v>
      </c>
      <c r="E2715" s="41">
        <v>10570037</v>
      </c>
      <c r="F2715" s="85" t="s">
        <v>1320</v>
      </c>
      <c r="G2715" s="39" t="s">
        <v>635</v>
      </c>
      <c r="H2715" s="52" t="s">
        <v>99</v>
      </c>
      <c r="I2715" s="52">
        <v>339</v>
      </c>
      <c r="J2715" s="49">
        <v>11440.869999999999</v>
      </c>
      <c r="K2715" s="58">
        <v>0</v>
      </c>
      <c r="L2715" s="58">
        <v>0</v>
      </c>
      <c r="M2715" s="58">
        <v>0</v>
      </c>
      <c r="N2715" s="58">
        <v>0</v>
      </c>
      <c r="O2715" s="58">
        <v>0</v>
      </c>
      <c r="P2715" s="53">
        <v>0</v>
      </c>
      <c r="Q2715" s="65">
        <v>11440.869999999999</v>
      </c>
      <c r="R2715" s="65">
        <v>0</v>
      </c>
      <c r="S2715" s="65">
        <v>0</v>
      </c>
      <c r="T2715" s="65">
        <v>0</v>
      </c>
      <c r="U2715" s="58">
        <v>0</v>
      </c>
      <c r="V2715" s="65">
        <v>47.512238709677391</v>
      </c>
      <c r="W2715" s="65">
        <v>0</v>
      </c>
      <c r="X2715" s="65">
        <v>0</v>
      </c>
      <c r="Y2715" s="65">
        <v>0</v>
      </c>
      <c r="Z2715" s="51">
        <v>11393.357761290321</v>
      </c>
      <c r="AA2715" s="51">
        <v>0</v>
      </c>
      <c r="AB2715" s="102">
        <v>0</v>
      </c>
      <c r="AC2715" s="81">
        <f t="shared" si="130"/>
        <v>243.66690678466077</v>
      </c>
      <c r="AD2715" s="82">
        <f t="shared" si="131"/>
        <v>48.428571428571431</v>
      </c>
      <c r="AE2715" s="218">
        <v>0</v>
      </c>
      <c r="AF2715">
        <v>0</v>
      </c>
      <c r="AH2715" t="str">
        <f t="shared" si="129"/>
        <v>Warisnagar</v>
      </c>
      <c r="AJ2715" s="72">
        <v>0</v>
      </c>
      <c r="AK2715" s="72"/>
      <c r="AL2715" s="72"/>
      <c r="AM2715" s="72"/>
    </row>
    <row r="2716" spans="1:39" x14ac:dyDescent="0.25">
      <c r="A2716" s="37" t="s">
        <v>62</v>
      </c>
      <c r="B2716" s="66" t="s">
        <v>1629</v>
      </c>
      <c r="C2716" s="4">
        <v>1057</v>
      </c>
      <c r="D2716" s="41" t="s">
        <v>1202</v>
      </c>
      <c r="E2716" s="41">
        <v>10570038</v>
      </c>
      <c r="F2716" s="85" t="s">
        <v>1321</v>
      </c>
      <c r="G2716" s="39" t="s">
        <v>635</v>
      </c>
      <c r="H2716" s="52" t="s">
        <v>99</v>
      </c>
      <c r="I2716" s="52">
        <v>176.8</v>
      </c>
      <c r="J2716" s="49">
        <v>6120.32</v>
      </c>
      <c r="K2716" s="58">
        <v>0</v>
      </c>
      <c r="L2716" s="58">
        <v>0</v>
      </c>
      <c r="M2716" s="58">
        <v>0</v>
      </c>
      <c r="N2716" s="58">
        <v>0</v>
      </c>
      <c r="O2716" s="58">
        <v>0</v>
      </c>
      <c r="P2716" s="53">
        <v>0</v>
      </c>
      <c r="Q2716" s="65">
        <v>6120.32</v>
      </c>
      <c r="R2716" s="65">
        <v>0</v>
      </c>
      <c r="S2716" s="65">
        <v>0</v>
      </c>
      <c r="T2716" s="65">
        <v>0</v>
      </c>
      <c r="U2716" s="58">
        <v>0</v>
      </c>
      <c r="V2716" s="65">
        <v>0</v>
      </c>
      <c r="W2716" s="65">
        <v>0</v>
      </c>
      <c r="X2716" s="65">
        <v>0</v>
      </c>
      <c r="Y2716" s="65">
        <v>0</v>
      </c>
      <c r="Z2716" s="51">
        <v>6120.32</v>
      </c>
      <c r="AA2716" s="51">
        <v>0</v>
      </c>
      <c r="AB2716" s="102">
        <v>0</v>
      </c>
      <c r="AC2716" s="81">
        <f t="shared" si="130"/>
        <v>362.23432398190039</v>
      </c>
      <c r="AD2716" s="82">
        <f t="shared" si="131"/>
        <v>25.25714285714286</v>
      </c>
      <c r="AE2716" s="218">
        <v>0</v>
      </c>
      <c r="AF2716">
        <v>0</v>
      </c>
      <c r="AH2716" t="str">
        <f t="shared" si="129"/>
        <v>Warisnagar</v>
      </c>
      <c r="AJ2716" s="72">
        <v>0</v>
      </c>
      <c r="AK2716" s="72"/>
      <c r="AL2716" s="72"/>
      <c r="AM2716" s="72"/>
    </row>
    <row r="2717" spans="1:39" x14ac:dyDescent="0.25">
      <c r="A2717" s="37" t="s">
        <v>62</v>
      </c>
      <c r="B2717" s="66" t="s">
        <v>1629</v>
      </c>
      <c r="C2717" s="4">
        <v>1057</v>
      </c>
      <c r="D2717" s="41" t="s">
        <v>1202</v>
      </c>
      <c r="E2717" s="41">
        <v>10570042</v>
      </c>
      <c r="F2717" s="85" t="s">
        <v>1535</v>
      </c>
      <c r="G2717" s="39" t="s">
        <v>93</v>
      </c>
      <c r="H2717" s="52" t="s">
        <v>94</v>
      </c>
      <c r="I2717" s="52">
        <v>226.3</v>
      </c>
      <c r="J2717" s="49">
        <v>8724.4300000000021</v>
      </c>
      <c r="K2717" s="58">
        <v>226.29999999999998</v>
      </c>
      <c r="L2717" s="58">
        <v>8716.0947298722003</v>
      </c>
      <c r="M2717" s="58">
        <v>0</v>
      </c>
      <c r="N2717" s="58">
        <v>0</v>
      </c>
      <c r="O2717" s="58">
        <v>226.29999999999998</v>
      </c>
      <c r="P2717" s="53">
        <v>8716.0947298722003</v>
      </c>
      <c r="Q2717" s="65">
        <v>8716.0947298722003</v>
      </c>
      <c r="R2717" s="65">
        <v>0</v>
      </c>
      <c r="S2717" s="65">
        <v>0</v>
      </c>
      <c r="T2717" s="65">
        <v>0</v>
      </c>
      <c r="U2717" s="58">
        <v>0</v>
      </c>
      <c r="V2717" s="65">
        <v>0</v>
      </c>
      <c r="W2717" s="65">
        <v>0</v>
      </c>
      <c r="X2717" s="65">
        <v>8716</v>
      </c>
      <c r="Y2717" s="65">
        <v>0</v>
      </c>
      <c r="Z2717" s="51">
        <v>0</v>
      </c>
      <c r="AA2717" s="51">
        <v>8</v>
      </c>
      <c r="AB2717" s="102">
        <v>0</v>
      </c>
      <c r="AC2717" s="81">
        <f t="shared" si="130"/>
        <v>365.24635360141417</v>
      </c>
      <c r="AD2717" s="82">
        <f t="shared" si="131"/>
        <v>32.328571428571429</v>
      </c>
      <c r="AE2717" s="218">
        <v>9.5539423524537139E-4</v>
      </c>
      <c r="AF2717">
        <v>1</v>
      </c>
      <c r="AH2717" t="str">
        <f t="shared" si="129"/>
        <v>Warisnagar</v>
      </c>
      <c r="AJ2717" s="72">
        <v>0</v>
      </c>
      <c r="AK2717" s="72"/>
      <c r="AL2717" s="72"/>
      <c r="AM2717" s="72"/>
    </row>
    <row r="2718" spans="1:39" x14ac:dyDescent="0.25">
      <c r="A2718" s="37" t="s">
        <v>62</v>
      </c>
      <c r="B2718" s="66" t="s">
        <v>1629</v>
      </c>
      <c r="C2718" s="4">
        <v>1057</v>
      </c>
      <c r="D2718" s="41" t="s">
        <v>1202</v>
      </c>
      <c r="E2718" s="41">
        <v>10570044</v>
      </c>
      <c r="F2718" s="85" t="s">
        <v>1456</v>
      </c>
      <c r="G2718" s="39" t="s">
        <v>93</v>
      </c>
      <c r="H2718" s="52" t="s">
        <v>94</v>
      </c>
      <c r="I2718" s="52">
        <v>101.49999999999999</v>
      </c>
      <c r="J2718" s="49">
        <v>4574.58</v>
      </c>
      <c r="K2718" s="58">
        <v>101.49999999999999</v>
      </c>
      <c r="L2718" s="58">
        <v>4599.9657546253202</v>
      </c>
      <c r="M2718" s="58">
        <v>0</v>
      </c>
      <c r="N2718" s="58">
        <v>0</v>
      </c>
      <c r="O2718" s="58">
        <v>101.49999999999999</v>
      </c>
      <c r="P2718" s="53">
        <v>4599.9657546253202</v>
      </c>
      <c r="Q2718" s="65">
        <v>4574.58</v>
      </c>
      <c r="R2718" s="65">
        <v>0</v>
      </c>
      <c r="S2718" s="65">
        <v>0</v>
      </c>
      <c r="T2718" s="65">
        <v>25.38575462532026</v>
      </c>
      <c r="U2718" s="58">
        <v>0</v>
      </c>
      <c r="V2718" s="65">
        <v>0</v>
      </c>
      <c r="W2718" s="65">
        <v>0</v>
      </c>
      <c r="X2718" s="65">
        <v>4575</v>
      </c>
      <c r="Y2718" s="65">
        <v>0</v>
      </c>
      <c r="Z2718" s="51">
        <v>0</v>
      </c>
      <c r="AA2718" s="51">
        <v>0</v>
      </c>
      <c r="AB2718" s="102">
        <v>0</v>
      </c>
      <c r="AC2718" s="81">
        <f t="shared" si="130"/>
        <v>539.484951724138</v>
      </c>
      <c r="AD2718" s="82">
        <f t="shared" si="131"/>
        <v>14.499999999999998</v>
      </c>
      <c r="AE2718" s="218">
        <v>-5.5493082699002447E-3</v>
      </c>
      <c r="AF2718">
        <v>1</v>
      </c>
      <c r="AH2718" t="str">
        <f t="shared" si="129"/>
        <v>Warisnagar</v>
      </c>
      <c r="AJ2718" s="72">
        <v>0</v>
      </c>
      <c r="AK2718" s="72"/>
      <c r="AL2718" s="72"/>
      <c r="AM2718" s="72"/>
    </row>
    <row r="2719" spans="1:39" x14ac:dyDescent="0.25">
      <c r="A2719" s="37" t="s">
        <v>62</v>
      </c>
      <c r="B2719" s="66" t="s">
        <v>1629</v>
      </c>
      <c r="C2719" s="4">
        <v>1057</v>
      </c>
      <c r="D2719" s="41" t="s">
        <v>1202</v>
      </c>
      <c r="E2719" s="41">
        <v>10570045</v>
      </c>
      <c r="F2719" s="85" t="s">
        <v>1395</v>
      </c>
      <c r="G2719" s="39" t="s">
        <v>93</v>
      </c>
      <c r="H2719" s="52" t="s">
        <v>94</v>
      </c>
      <c r="I2719" s="52">
        <v>1152</v>
      </c>
      <c r="J2719" s="49">
        <v>41754.539999999994</v>
      </c>
      <c r="K2719" s="58">
        <v>1152.7000000000003</v>
      </c>
      <c r="L2719" s="58">
        <v>41615.787996729108</v>
      </c>
      <c r="M2719" s="58">
        <v>0</v>
      </c>
      <c r="N2719" s="58">
        <v>0</v>
      </c>
      <c r="O2719" s="58">
        <v>1152.7000000000003</v>
      </c>
      <c r="P2719" s="53">
        <v>41615.787996729108</v>
      </c>
      <c r="Q2719" s="65">
        <v>41615.787996729108</v>
      </c>
      <c r="R2719" s="65">
        <v>0</v>
      </c>
      <c r="S2719" s="65">
        <v>0</v>
      </c>
      <c r="T2719" s="65">
        <v>0</v>
      </c>
      <c r="U2719" s="58">
        <v>6750</v>
      </c>
      <c r="V2719" s="65">
        <v>0</v>
      </c>
      <c r="W2719" s="65">
        <v>0</v>
      </c>
      <c r="X2719" s="65">
        <v>34866</v>
      </c>
      <c r="Y2719" s="65">
        <v>0</v>
      </c>
      <c r="Z2719" s="51">
        <v>0</v>
      </c>
      <c r="AA2719" s="51">
        <v>139</v>
      </c>
      <c r="AB2719" s="102" t="s">
        <v>68</v>
      </c>
      <c r="AC2719" s="81">
        <f t="shared" si="130"/>
        <v>0</v>
      </c>
      <c r="AD2719" s="82">
        <f t="shared" si="131"/>
        <v>0</v>
      </c>
      <c r="AE2719" s="218">
        <v>3.3230399202310778E-3</v>
      </c>
      <c r="AF2719">
        <v>13</v>
      </c>
      <c r="AH2719" t="str">
        <f t="shared" si="129"/>
        <v>Warisnagar</v>
      </c>
      <c r="AJ2719" s="72">
        <v>0</v>
      </c>
      <c r="AK2719" s="72"/>
      <c r="AL2719" s="72"/>
      <c r="AM2719" s="72"/>
    </row>
    <row r="2720" spans="1:39" x14ac:dyDescent="0.25">
      <c r="A2720" s="37" t="s">
        <v>62</v>
      </c>
      <c r="B2720" s="66" t="s">
        <v>1629</v>
      </c>
      <c r="C2720" s="4">
        <v>1057</v>
      </c>
      <c r="D2720" s="41" t="s">
        <v>1202</v>
      </c>
      <c r="E2720" s="41">
        <v>10570046</v>
      </c>
      <c r="F2720" s="85" t="s">
        <v>1396</v>
      </c>
      <c r="G2720" s="39" t="s">
        <v>635</v>
      </c>
      <c r="H2720" s="52" t="s">
        <v>99</v>
      </c>
      <c r="I2720" s="52">
        <v>580.20000000000005</v>
      </c>
      <c r="J2720" s="49">
        <v>19189.089999999997</v>
      </c>
      <c r="K2720" s="58">
        <v>0</v>
      </c>
      <c r="L2720" s="58">
        <v>0</v>
      </c>
      <c r="M2720" s="58">
        <v>0</v>
      </c>
      <c r="N2720" s="58">
        <v>0</v>
      </c>
      <c r="O2720" s="58">
        <v>0</v>
      </c>
      <c r="P2720" s="53">
        <v>0</v>
      </c>
      <c r="Q2720" s="65">
        <v>19189.089999999997</v>
      </c>
      <c r="R2720" s="65">
        <v>0</v>
      </c>
      <c r="S2720" s="65">
        <v>0</v>
      </c>
      <c r="T2720" s="65">
        <v>0</v>
      </c>
      <c r="U2720" s="58">
        <v>0</v>
      </c>
      <c r="V2720" s="65">
        <v>0</v>
      </c>
      <c r="W2720" s="65">
        <v>0</v>
      </c>
      <c r="X2720" s="65">
        <v>0</v>
      </c>
      <c r="Y2720" s="65">
        <v>0</v>
      </c>
      <c r="Z2720" s="51">
        <v>19189.089999999997</v>
      </c>
      <c r="AA2720" s="51">
        <v>0</v>
      </c>
      <c r="AB2720" s="102">
        <v>0</v>
      </c>
      <c r="AC2720" s="81">
        <f t="shared" si="130"/>
        <v>79.243467149258862</v>
      </c>
      <c r="AD2720" s="82">
        <f t="shared" si="131"/>
        <v>82.885714285714286</v>
      </c>
      <c r="AE2720" s="218">
        <v>0</v>
      </c>
      <c r="AF2720">
        <v>0</v>
      </c>
      <c r="AH2720" t="str">
        <f t="shared" si="129"/>
        <v>Warisnagar</v>
      </c>
      <c r="AJ2720" s="72">
        <v>0</v>
      </c>
      <c r="AK2720" s="72"/>
      <c r="AL2720" s="72"/>
      <c r="AM2720" s="72"/>
    </row>
    <row r="2721" spans="1:39" x14ac:dyDescent="0.25">
      <c r="A2721" s="37" t="s">
        <v>62</v>
      </c>
      <c r="B2721" s="66" t="s">
        <v>1629</v>
      </c>
      <c r="C2721" s="4">
        <v>1057</v>
      </c>
      <c r="D2721" s="41" t="s">
        <v>1202</v>
      </c>
      <c r="E2721" s="41">
        <v>10570047</v>
      </c>
      <c r="F2721" s="85" t="s">
        <v>1441</v>
      </c>
      <c r="G2721" s="39" t="s">
        <v>93</v>
      </c>
      <c r="H2721" s="52" t="s">
        <v>94</v>
      </c>
      <c r="I2721" s="52">
        <v>357</v>
      </c>
      <c r="J2721" s="49">
        <v>13614.93</v>
      </c>
      <c r="K2721" s="58">
        <v>268.50000000000006</v>
      </c>
      <c r="L2721" s="58">
        <v>9452.8512137535727</v>
      </c>
      <c r="M2721" s="58">
        <v>88.2</v>
      </c>
      <c r="N2721" s="58">
        <v>4149.5649844958307</v>
      </c>
      <c r="O2721" s="58">
        <v>356.70000000000005</v>
      </c>
      <c r="P2721" s="53">
        <v>13602.416198249404</v>
      </c>
      <c r="Q2721" s="65">
        <v>13602.416198249404</v>
      </c>
      <c r="R2721" s="65">
        <v>0</v>
      </c>
      <c r="S2721" s="65">
        <v>0</v>
      </c>
      <c r="T2721" s="65">
        <v>0</v>
      </c>
      <c r="U2721" s="58">
        <v>0</v>
      </c>
      <c r="V2721" s="65">
        <v>0</v>
      </c>
      <c r="W2721" s="65">
        <v>0</v>
      </c>
      <c r="X2721" s="65">
        <v>9452</v>
      </c>
      <c r="Y2721" s="65">
        <v>4149</v>
      </c>
      <c r="Z2721" s="51">
        <v>0</v>
      </c>
      <c r="AA2721" s="51">
        <v>14</v>
      </c>
      <c r="AB2721" s="102">
        <v>0</v>
      </c>
      <c r="AC2721" s="81">
        <f t="shared" si="130"/>
        <v>261.62022352941176</v>
      </c>
      <c r="AD2721" s="82">
        <f t="shared" si="131"/>
        <v>51</v>
      </c>
      <c r="AE2721" s="218">
        <v>9.1912347331907186E-4</v>
      </c>
      <c r="AF2721">
        <v>9</v>
      </c>
      <c r="AH2721" t="str">
        <f t="shared" si="129"/>
        <v>Warisnagar</v>
      </c>
      <c r="AJ2721" s="72">
        <v>0</v>
      </c>
      <c r="AK2721" s="72"/>
      <c r="AL2721" s="72"/>
      <c r="AM2721" s="72"/>
    </row>
    <row r="2722" spans="1:39" x14ac:dyDescent="0.25">
      <c r="A2722" s="37" t="s">
        <v>62</v>
      </c>
      <c r="B2722" s="66" t="s">
        <v>1629</v>
      </c>
      <c r="C2722" s="4">
        <v>1057</v>
      </c>
      <c r="D2722" s="41" t="s">
        <v>1202</v>
      </c>
      <c r="E2722" s="41">
        <v>10570049</v>
      </c>
      <c r="F2722" s="85" t="s">
        <v>1457</v>
      </c>
      <c r="G2722" s="39" t="s">
        <v>93</v>
      </c>
      <c r="H2722" s="52" t="s">
        <v>94</v>
      </c>
      <c r="I2722" s="52">
        <v>286.3</v>
      </c>
      <c r="J2722" s="49">
        <v>13738.71</v>
      </c>
      <c r="K2722" s="58">
        <v>283.50000000000006</v>
      </c>
      <c r="L2722" s="58">
        <v>13763.394456710404</v>
      </c>
      <c r="M2722" s="58">
        <v>0</v>
      </c>
      <c r="N2722" s="58">
        <v>0</v>
      </c>
      <c r="O2722" s="58">
        <v>283.50000000000006</v>
      </c>
      <c r="P2722" s="53">
        <v>13763.394456710404</v>
      </c>
      <c r="Q2722" s="65">
        <v>13738.71</v>
      </c>
      <c r="R2722" s="65">
        <v>0</v>
      </c>
      <c r="S2722" s="65">
        <v>0</v>
      </c>
      <c r="T2722" s="65">
        <v>24.684456710405357</v>
      </c>
      <c r="U2722" s="58">
        <v>0</v>
      </c>
      <c r="V2722" s="65">
        <v>0</v>
      </c>
      <c r="W2722" s="65">
        <v>0</v>
      </c>
      <c r="X2722" s="65">
        <v>13739</v>
      </c>
      <c r="Y2722" s="65">
        <v>0</v>
      </c>
      <c r="Z2722" s="51">
        <v>0</v>
      </c>
      <c r="AA2722" s="51">
        <v>0</v>
      </c>
      <c r="AB2722" s="102">
        <v>0</v>
      </c>
      <c r="AC2722" s="81">
        <f t="shared" si="130"/>
        <v>397.04535990220046</v>
      </c>
      <c r="AD2722" s="82">
        <f t="shared" si="131"/>
        <v>40.9</v>
      </c>
      <c r="AE2722" s="218">
        <v>-1.7967084762983831E-3</v>
      </c>
      <c r="AF2722">
        <v>1</v>
      </c>
      <c r="AH2722" t="str">
        <f t="shared" si="129"/>
        <v>Warisnagar</v>
      </c>
      <c r="AJ2722" s="72">
        <v>0</v>
      </c>
      <c r="AK2722" s="72"/>
      <c r="AL2722" s="72"/>
      <c r="AM2722" s="72"/>
    </row>
    <row r="2723" spans="1:39" x14ac:dyDescent="0.25">
      <c r="A2723" s="37" t="s">
        <v>62</v>
      </c>
      <c r="B2723" s="66" t="s">
        <v>1629</v>
      </c>
      <c r="C2723" s="4">
        <v>1057</v>
      </c>
      <c r="D2723" s="41" t="s">
        <v>1202</v>
      </c>
      <c r="E2723" s="41">
        <v>10570053</v>
      </c>
      <c r="F2723" s="85" t="s">
        <v>1480</v>
      </c>
      <c r="G2723" s="39" t="s">
        <v>635</v>
      </c>
      <c r="H2723" s="52" t="s">
        <v>99</v>
      </c>
      <c r="I2723" s="52">
        <v>229.20000000000002</v>
      </c>
      <c r="J2723" s="49">
        <v>8244.0199999999986</v>
      </c>
      <c r="K2723" s="58">
        <v>0</v>
      </c>
      <c r="L2723" s="58">
        <v>0</v>
      </c>
      <c r="M2723" s="58">
        <v>0</v>
      </c>
      <c r="N2723" s="58">
        <v>0</v>
      </c>
      <c r="O2723" s="58">
        <v>0</v>
      </c>
      <c r="P2723" s="53">
        <v>0</v>
      </c>
      <c r="Q2723" s="65">
        <v>8244.0199999999986</v>
      </c>
      <c r="R2723" s="65">
        <v>0</v>
      </c>
      <c r="S2723" s="65">
        <v>0</v>
      </c>
      <c r="T2723" s="65">
        <v>0</v>
      </c>
      <c r="U2723" s="58">
        <v>0</v>
      </c>
      <c r="V2723" s="65">
        <v>0</v>
      </c>
      <c r="W2723" s="65">
        <v>0</v>
      </c>
      <c r="X2723" s="65">
        <v>0</v>
      </c>
      <c r="Y2723" s="65">
        <v>0</v>
      </c>
      <c r="Z2723" s="51">
        <v>8244.0199999999986</v>
      </c>
      <c r="AA2723" s="51">
        <v>0</v>
      </c>
      <c r="AB2723" s="102">
        <v>0</v>
      </c>
      <c r="AC2723" s="81">
        <f t="shared" si="130"/>
        <v>338.68103106457232</v>
      </c>
      <c r="AD2723" s="82">
        <f t="shared" si="131"/>
        <v>32.742857142857147</v>
      </c>
      <c r="AE2723" s="218">
        <v>0</v>
      </c>
      <c r="AF2723">
        <v>0</v>
      </c>
      <c r="AH2723" t="str">
        <f t="shared" si="129"/>
        <v>Warisnagar</v>
      </c>
      <c r="AJ2723" s="72">
        <v>0</v>
      </c>
      <c r="AK2723" s="72"/>
      <c r="AL2723" s="72"/>
      <c r="AM2723" s="72"/>
    </row>
    <row r="2724" spans="1:39" x14ac:dyDescent="0.25">
      <c r="A2724" s="37" t="s">
        <v>62</v>
      </c>
      <c r="B2724" s="66" t="s">
        <v>1629</v>
      </c>
      <c r="C2724" s="4">
        <v>1057</v>
      </c>
      <c r="D2724" s="41" t="s">
        <v>1202</v>
      </c>
      <c r="E2724" s="41">
        <v>10570055</v>
      </c>
      <c r="F2724" s="85" t="s">
        <v>1507</v>
      </c>
      <c r="G2724" s="39" t="s">
        <v>93</v>
      </c>
      <c r="H2724" s="52" t="s">
        <v>94</v>
      </c>
      <c r="I2724" s="52">
        <v>139.90000000000003</v>
      </c>
      <c r="J2724" s="49">
        <v>5775.16</v>
      </c>
      <c r="K2724" s="58">
        <v>137.30000000000001</v>
      </c>
      <c r="L2724" s="58">
        <v>5808.199248725582</v>
      </c>
      <c r="M2724" s="58">
        <v>0</v>
      </c>
      <c r="N2724" s="58">
        <v>0</v>
      </c>
      <c r="O2724" s="58">
        <v>137.30000000000001</v>
      </c>
      <c r="P2724" s="53">
        <v>5808.199248725582</v>
      </c>
      <c r="Q2724" s="65">
        <v>5775.16</v>
      </c>
      <c r="R2724" s="65">
        <v>0</v>
      </c>
      <c r="S2724" s="65">
        <v>0</v>
      </c>
      <c r="T2724" s="65">
        <v>33.039248725582183</v>
      </c>
      <c r="U2724" s="58">
        <v>0</v>
      </c>
      <c r="V2724" s="65">
        <v>0</v>
      </c>
      <c r="W2724" s="65">
        <v>0</v>
      </c>
      <c r="X2724" s="65">
        <v>5775</v>
      </c>
      <c r="Y2724" s="65">
        <v>0</v>
      </c>
      <c r="Z2724" s="51">
        <v>0</v>
      </c>
      <c r="AA2724" s="51">
        <v>0</v>
      </c>
      <c r="AB2724" s="102">
        <v>0</v>
      </c>
      <c r="AC2724" s="81">
        <f t="shared" si="130"/>
        <v>462.4256062902071</v>
      </c>
      <c r="AD2724" s="82">
        <f t="shared" si="131"/>
        <v>19.985714285714291</v>
      </c>
      <c r="AE2724" s="218">
        <v>-5.7209235286264249E-3</v>
      </c>
      <c r="AF2724">
        <v>1</v>
      </c>
      <c r="AH2724" t="str">
        <f t="shared" si="129"/>
        <v>Warisnagar</v>
      </c>
      <c r="AJ2724" s="72">
        <v>0</v>
      </c>
      <c r="AK2724" s="72"/>
      <c r="AL2724" s="72"/>
      <c r="AM2724" s="72"/>
    </row>
    <row r="2725" spans="1:39" x14ac:dyDescent="0.25">
      <c r="A2725" s="37" t="s">
        <v>62</v>
      </c>
      <c r="B2725" s="66" t="s">
        <v>1629</v>
      </c>
      <c r="C2725" s="4">
        <v>1057</v>
      </c>
      <c r="D2725" s="41" t="s">
        <v>1202</v>
      </c>
      <c r="E2725" s="41">
        <v>10570056</v>
      </c>
      <c r="F2725" s="85" t="s">
        <v>1508</v>
      </c>
      <c r="G2725" s="39" t="s">
        <v>635</v>
      </c>
      <c r="H2725" s="52" t="s">
        <v>99</v>
      </c>
      <c r="I2725" s="52">
        <v>23.8</v>
      </c>
      <c r="J2725" s="49">
        <v>915.16000000000008</v>
      </c>
      <c r="K2725" s="58">
        <v>0</v>
      </c>
      <c r="L2725" s="58">
        <v>0</v>
      </c>
      <c r="M2725" s="58">
        <v>0</v>
      </c>
      <c r="N2725" s="58">
        <v>0</v>
      </c>
      <c r="O2725" s="58">
        <v>0</v>
      </c>
      <c r="P2725" s="53">
        <v>0</v>
      </c>
      <c r="Q2725" s="65">
        <v>915.16000000000008</v>
      </c>
      <c r="R2725" s="65">
        <v>0</v>
      </c>
      <c r="S2725" s="65">
        <v>0</v>
      </c>
      <c r="T2725" s="65">
        <v>0</v>
      </c>
      <c r="U2725" s="58">
        <v>0</v>
      </c>
      <c r="V2725" s="65">
        <v>0</v>
      </c>
      <c r="W2725" s="65">
        <v>0</v>
      </c>
      <c r="X2725" s="65">
        <v>0</v>
      </c>
      <c r="Y2725" s="65">
        <v>0</v>
      </c>
      <c r="Z2725" s="51">
        <v>915.16000000000008</v>
      </c>
      <c r="AA2725" s="51">
        <v>0</v>
      </c>
      <c r="AB2725" s="102">
        <v>0</v>
      </c>
      <c r="AC2725" s="81">
        <f t="shared" si="130"/>
        <v>520.02621176470586</v>
      </c>
      <c r="AD2725" s="82">
        <f t="shared" si="131"/>
        <v>3.4</v>
      </c>
      <c r="AE2725" s="218">
        <v>0</v>
      </c>
      <c r="AF2725">
        <v>0</v>
      </c>
      <c r="AH2725" t="str">
        <f t="shared" si="129"/>
        <v>Warisnagar</v>
      </c>
      <c r="AJ2725" s="72">
        <v>0</v>
      </c>
      <c r="AK2725" s="72"/>
      <c r="AL2725" s="72"/>
      <c r="AM2725" s="72"/>
    </row>
    <row r="2726" spans="1:39" x14ac:dyDescent="0.25">
      <c r="A2726" s="37" t="s">
        <v>62</v>
      </c>
      <c r="B2726" s="66" t="s">
        <v>1629</v>
      </c>
      <c r="C2726" s="4">
        <v>1057</v>
      </c>
      <c r="D2726" s="41" t="s">
        <v>1202</v>
      </c>
      <c r="E2726" s="41">
        <v>10570057</v>
      </c>
      <c r="F2726" s="85" t="s">
        <v>1509</v>
      </c>
      <c r="G2726" s="39" t="s">
        <v>635</v>
      </c>
      <c r="H2726" s="52" t="s">
        <v>99</v>
      </c>
      <c r="I2726" s="52">
        <v>263.5</v>
      </c>
      <c r="J2726" s="49">
        <v>9356.41</v>
      </c>
      <c r="K2726" s="58">
        <v>0</v>
      </c>
      <c r="L2726" s="58">
        <v>0</v>
      </c>
      <c r="M2726" s="58">
        <v>0</v>
      </c>
      <c r="N2726" s="58">
        <v>0</v>
      </c>
      <c r="O2726" s="58">
        <v>0</v>
      </c>
      <c r="P2726" s="53">
        <v>0</v>
      </c>
      <c r="Q2726" s="65">
        <v>9356.41</v>
      </c>
      <c r="R2726" s="65">
        <v>0</v>
      </c>
      <c r="S2726" s="65">
        <v>0</v>
      </c>
      <c r="T2726" s="65">
        <v>0</v>
      </c>
      <c r="U2726" s="58">
        <v>0</v>
      </c>
      <c r="V2726" s="65">
        <v>0</v>
      </c>
      <c r="W2726" s="65">
        <v>0</v>
      </c>
      <c r="X2726" s="65">
        <v>0</v>
      </c>
      <c r="Y2726" s="65">
        <v>0</v>
      </c>
      <c r="Z2726" s="51">
        <v>9356.41</v>
      </c>
      <c r="AA2726" s="51">
        <v>0</v>
      </c>
      <c r="AB2726" s="102">
        <v>0</v>
      </c>
      <c r="AC2726" s="81">
        <f t="shared" si="130"/>
        <v>309.98656280834916</v>
      </c>
      <c r="AD2726" s="82">
        <f t="shared" si="131"/>
        <v>37.642857142857146</v>
      </c>
      <c r="AE2726" s="218">
        <v>0</v>
      </c>
      <c r="AF2726">
        <v>0</v>
      </c>
      <c r="AH2726" t="str">
        <f t="shared" si="129"/>
        <v>Warisnagar</v>
      </c>
      <c r="AJ2726" s="72">
        <v>0</v>
      </c>
      <c r="AK2726" s="72"/>
      <c r="AL2726" s="72"/>
      <c r="AM2726" s="72"/>
    </row>
    <row r="2727" spans="1:39" x14ac:dyDescent="0.25">
      <c r="A2727" s="37" t="s">
        <v>62</v>
      </c>
      <c r="B2727" s="66" t="s">
        <v>1629</v>
      </c>
      <c r="C2727" s="4">
        <v>1057</v>
      </c>
      <c r="D2727" s="41" t="s">
        <v>1202</v>
      </c>
      <c r="E2727" s="41">
        <v>10570058</v>
      </c>
      <c r="F2727" s="85" t="s">
        <v>1549</v>
      </c>
      <c r="G2727" s="39" t="s">
        <v>635</v>
      </c>
      <c r="H2727" s="52" t="s">
        <v>99</v>
      </c>
      <c r="I2727" s="52">
        <v>546</v>
      </c>
      <c r="J2727" s="49">
        <v>18734.240000000002</v>
      </c>
      <c r="K2727" s="58">
        <v>0</v>
      </c>
      <c r="L2727" s="58">
        <v>0</v>
      </c>
      <c r="M2727" s="58">
        <v>0</v>
      </c>
      <c r="N2727" s="58">
        <v>0</v>
      </c>
      <c r="O2727" s="58">
        <v>0</v>
      </c>
      <c r="P2727" s="53">
        <v>0</v>
      </c>
      <c r="Q2727" s="65">
        <v>18734.240000000002</v>
      </c>
      <c r="R2727" s="65">
        <v>0</v>
      </c>
      <c r="S2727" s="65">
        <v>0</v>
      </c>
      <c r="T2727" s="65">
        <v>0</v>
      </c>
      <c r="U2727" s="58">
        <v>0</v>
      </c>
      <c r="V2727" s="65">
        <v>0</v>
      </c>
      <c r="W2727" s="65">
        <v>0</v>
      </c>
      <c r="X2727" s="65">
        <v>0</v>
      </c>
      <c r="Y2727" s="65">
        <v>0</v>
      </c>
      <c r="Z2727" s="51">
        <v>18734.240000000002</v>
      </c>
      <c r="AA2727" s="51">
        <v>0</v>
      </c>
      <c r="AB2727" s="102">
        <v>0</v>
      </c>
      <c r="AC2727" s="81">
        <f t="shared" si="130"/>
        <v>105.68032820512821</v>
      </c>
      <c r="AD2727" s="82">
        <f t="shared" si="131"/>
        <v>78</v>
      </c>
      <c r="AE2727" s="218">
        <v>0</v>
      </c>
      <c r="AF2727">
        <v>0</v>
      </c>
      <c r="AH2727" t="str">
        <f t="shared" si="129"/>
        <v>Warisnagar</v>
      </c>
      <c r="AJ2727" s="72">
        <v>0</v>
      </c>
      <c r="AK2727" s="72"/>
      <c r="AL2727" s="72"/>
      <c r="AM2727" s="72"/>
    </row>
    <row r="2728" spans="1:39" x14ac:dyDescent="0.25">
      <c r="A2728" s="37" t="s">
        <v>62</v>
      </c>
      <c r="B2728" s="66" t="s">
        <v>1629</v>
      </c>
      <c r="C2728" s="4">
        <v>1057</v>
      </c>
      <c r="D2728" s="41" t="s">
        <v>1202</v>
      </c>
      <c r="E2728" s="41">
        <v>10570059</v>
      </c>
      <c r="F2728" s="85" t="s">
        <v>1550</v>
      </c>
      <c r="G2728" s="39" t="s">
        <v>635</v>
      </c>
      <c r="H2728" s="52" t="s">
        <v>99</v>
      </c>
      <c r="I2728" s="52">
        <v>1438.5</v>
      </c>
      <c r="J2728" s="49">
        <v>59874.559999999998</v>
      </c>
      <c r="K2728" s="58">
        <v>0</v>
      </c>
      <c r="L2728" s="58">
        <v>0</v>
      </c>
      <c r="M2728" s="58">
        <v>0</v>
      </c>
      <c r="N2728" s="58">
        <v>0</v>
      </c>
      <c r="O2728" s="58">
        <v>0</v>
      </c>
      <c r="P2728" s="53">
        <v>0</v>
      </c>
      <c r="Q2728" s="65">
        <v>59874.559999999998</v>
      </c>
      <c r="R2728" s="65">
        <v>0</v>
      </c>
      <c r="S2728" s="65">
        <v>0</v>
      </c>
      <c r="T2728" s="65">
        <v>0</v>
      </c>
      <c r="U2728" s="58">
        <v>0</v>
      </c>
      <c r="V2728" s="65">
        <v>0</v>
      </c>
      <c r="W2728" s="65">
        <v>0</v>
      </c>
      <c r="X2728" s="65">
        <v>0</v>
      </c>
      <c r="Y2728" s="65">
        <v>0</v>
      </c>
      <c r="Z2728" s="51">
        <v>59874.559999999998</v>
      </c>
      <c r="AA2728" s="51">
        <v>0</v>
      </c>
      <c r="AB2728" s="102">
        <v>0</v>
      </c>
      <c r="AC2728" s="81">
        <f t="shared" si="130"/>
        <v>0</v>
      </c>
      <c r="AD2728" s="82">
        <f t="shared" si="131"/>
        <v>0</v>
      </c>
      <c r="AE2728" s="218">
        <v>0</v>
      </c>
      <c r="AF2728">
        <v>0</v>
      </c>
      <c r="AH2728" t="str">
        <f t="shared" si="129"/>
        <v>Warisnagar</v>
      </c>
      <c r="AJ2728" s="72">
        <v>0</v>
      </c>
      <c r="AK2728" s="72"/>
      <c r="AL2728" s="72"/>
      <c r="AM2728" s="72"/>
    </row>
    <row r="2729" spans="1:39" x14ac:dyDescent="0.25">
      <c r="A2729" s="37" t="s">
        <v>62</v>
      </c>
      <c r="B2729" s="66" t="s">
        <v>1629</v>
      </c>
      <c r="C2729" s="4">
        <v>1057</v>
      </c>
      <c r="D2729" s="41" t="s">
        <v>1202</v>
      </c>
      <c r="E2729" s="41">
        <v>10570060</v>
      </c>
      <c r="F2729" s="85" t="s">
        <v>1551</v>
      </c>
      <c r="G2729" s="39" t="s">
        <v>635</v>
      </c>
      <c r="H2729" s="52" t="s">
        <v>99</v>
      </c>
      <c r="I2729" s="52">
        <v>845.6</v>
      </c>
      <c r="J2729" s="49">
        <v>33813.240000000005</v>
      </c>
      <c r="K2729" s="58">
        <v>0</v>
      </c>
      <c r="L2729" s="58">
        <v>0</v>
      </c>
      <c r="M2729" s="58">
        <v>0</v>
      </c>
      <c r="N2729" s="58">
        <v>0</v>
      </c>
      <c r="O2729" s="58">
        <v>0</v>
      </c>
      <c r="P2729" s="53">
        <v>0</v>
      </c>
      <c r="Q2729" s="65">
        <v>33813.240000000005</v>
      </c>
      <c r="R2729" s="65">
        <v>0</v>
      </c>
      <c r="S2729" s="65">
        <v>0</v>
      </c>
      <c r="T2729" s="65">
        <v>0</v>
      </c>
      <c r="U2729" s="58">
        <v>0</v>
      </c>
      <c r="V2729" s="65">
        <v>0</v>
      </c>
      <c r="W2729" s="65">
        <v>0</v>
      </c>
      <c r="X2729" s="65">
        <v>0</v>
      </c>
      <c r="Y2729" s="65">
        <v>0</v>
      </c>
      <c r="Z2729" s="51">
        <v>33813.240000000005</v>
      </c>
      <c r="AA2729" s="51">
        <v>0</v>
      </c>
      <c r="AB2729" s="102">
        <v>0</v>
      </c>
      <c r="AC2729" s="81">
        <f t="shared" si="130"/>
        <v>0</v>
      </c>
      <c r="AD2729" s="82">
        <f t="shared" si="131"/>
        <v>0</v>
      </c>
      <c r="AE2729" s="218">
        <v>0</v>
      </c>
      <c r="AF2729">
        <v>0</v>
      </c>
      <c r="AH2729" t="str">
        <f t="shared" si="129"/>
        <v>Warisnagar</v>
      </c>
      <c r="AJ2729" s="72">
        <v>0</v>
      </c>
      <c r="AK2729" s="72"/>
      <c r="AL2729" s="72"/>
      <c r="AM2729" s="72"/>
    </row>
    <row r="2730" spans="1:39" x14ac:dyDescent="0.25">
      <c r="A2730" s="37" t="s">
        <v>62</v>
      </c>
      <c r="B2730" s="66" t="s">
        <v>1629</v>
      </c>
      <c r="C2730" s="4">
        <v>1057</v>
      </c>
      <c r="D2730" s="41" t="s">
        <v>1202</v>
      </c>
      <c r="E2730" s="41">
        <v>10570062</v>
      </c>
      <c r="F2730" s="85" t="s">
        <v>1582</v>
      </c>
      <c r="G2730" s="39" t="s">
        <v>635</v>
      </c>
      <c r="H2730" s="52" t="s">
        <v>99</v>
      </c>
      <c r="I2730" s="52">
        <v>4792.8999999999996</v>
      </c>
      <c r="J2730" s="49">
        <v>178269.06000000003</v>
      </c>
      <c r="K2730" s="58">
        <v>0</v>
      </c>
      <c r="L2730" s="58">
        <v>0</v>
      </c>
      <c r="M2730" s="58">
        <v>0</v>
      </c>
      <c r="N2730" s="58">
        <v>0</v>
      </c>
      <c r="O2730" s="58">
        <v>0</v>
      </c>
      <c r="P2730" s="53">
        <v>0</v>
      </c>
      <c r="Q2730" s="65">
        <v>178269.06000000003</v>
      </c>
      <c r="R2730" s="65">
        <v>0</v>
      </c>
      <c r="S2730" s="65">
        <v>0</v>
      </c>
      <c r="T2730" s="65">
        <v>0</v>
      </c>
      <c r="U2730" s="58">
        <v>0</v>
      </c>
      <c r="V2730" s="65">
        <v>0</v>
      </c>
      <c r="W2730" s="65">
        <v>0</v>
      </c>
      <c r="X2730" s="65">
        <v>0</v>
      </c>
      <c r="Y2730" s="65">
        <v>0</v>
      </c>
      <c r="Z2730" s="51">
        <v>178269.06000000003</v>
      </c>
      <c r="AA2730" s="51">
        <v>0</v>
      </c>
      <c r="AB2730" s="102">
        <v>0</v>
      </c>
      <c r="AC2730" s="81">
        <f t="shared" si="130"/>
        <v>0</v>
      </c>
      <c r="AD2730" s="82">
        <f t="shared" si="131"/>
        <v>0</v>
      </c>
      <c r="AE2730" s="218">
        <v>0</v>
      </c>
      <c r="AF2730">
        <v>0</v>
      </c>
      <c r="AH2730" t="str">
        <f t="shared" si="129"/>
        <v>Warisnagar</v>
      </c>
      <c r="AJ2730" s="72">
        <v>0</v>
      </c>
      <c r="AK2730" s="72"/>
      <c r="AL2730" s="72"/>
      <c r="AM2730" s="72"/>
    </row>
    <row r="2731" spans="1:39" x14ac:dyDescent="0.25">
      <c r="A2731" s="37" t="s">
        <v>62</v>
      </c>
      <c r="B2731" s="66" t="s">
        <v>1629</v>
      </c>
      <c r="C2731" s="4">
        <v>1058</v>
      </c>
      <c r="D2731" s="41" t="s">
        <v>1344</v>
      </c>
      <c r="E2731" s="41">
        <v>10580001</v>
      </c>
      <c r="F2731" s="85" t="s">
        <v>1227</v>
      </c>
      <c r="G2731" s="39" t="s">
        <v>93</v>
      </c>
      <c r="H2731" s="52" t="s">
        <v>94</v>
      </c>
      <c r="I2731" s="52">
        <v>345.4</v>
      </c>
      <c r="J2731" s="49">
        <v>14190.070000000003</v>
      </c>
      <c r="K2731" s="58">
        <v>340.19999999999993</v>
      </c>
      <c r="L2731" s="58">
        <v>14129.507185061102</v>
      </c>
      <c r="M2731" s="58">
        <v>8.9999999999999982</v>
      </c>
      <c r="N2731" s="58">
        <v>373.16681279999995</v>
      </c>
      <c r="O2731" s="58">
        <v>349.19999999999993</v>
      </c>
      <c r="P2731" s="53">
        <v>14502.673997861102</v>
      </c>
      <c r="Q2731" s="65">
        <v>14190.070000000003</v>
      </c>
      <c r="R2731" s="65">
        <v>0</v>
      </c>
      <c r="S2731" s="65">
        <v>373.16681279999995</v>
      </c>
      <c r="T2731" s="65">
        <v>312.60399786109883</v>
      </c>
      <c r="U2731" s="58">
        <v>0</v>
      </c>
      <c r="V2731" s="65">
        <v>0</v>
      </c>
      <c r="W2731" s="65">
        <v>0</v>
      </c>
      <c r="X2731" s="65">
        <v>13817</v>
      </c>
      <c r="Y2731" s="65">
        <v>0</v>
      </c>
      <c r="Z2731" s="51">
        <v>0</v>
      </c>
      <c r="AA2731" s="51">
        <v>0</v>
      </c>
      <c r="AB2731" s="102">
        <v>0</v>
      </c>
      <c r="AC2731" s="81">
        <f t="shared" si="130"/>
        <v>291.36067295888836</v>
      </c>
      <c r="AD2731" s="82">
        <f t="shared" si="131"/>
        <v>49.342857142857142</v>
      </c>
      <c r="AE2731" s="218">
        <v>-2.2029771372593564E-2</v>
      </c>
      <c r="AF2731">
        <v>12</v>
      </c>
      <c r="AH2731" t="str">
        <f t="shared" si="129"/>
        <v>Hasanpur</v>
      </c>
      <c r="AJ2731" s="72">
        <v>0</v>
      </c>
      <c r="AK2731" s="72"/>
      <c r="AL2731" s="72"/>
      <c r="AM2731" s="72"/>
    </row>
    <row r="2732" spans="1:39" x14ac:dyDescent="0.25">
      <c r="A2732" s="37" t="s">
        <v>62</v>
      </c>
      <c r="B2732" s="66" t="s">
        <v>1629</v>
      </c>
      <c r="C2732" s="4">
        <v>1058</v>
      </c>
      <c r="D2732" s="41" t="s">
        <v>1344</v>
      </c>
      <c r="E2732" s="41">
        <v>10580002</v>
      </c>
      <c r="F2732" s="85" t="s">
        <v>1246</v>
      </c>
      <c r="G2732" s="39" t="s">
        <v>93</v>
      </c>
      <c r="H2732" s="52" t="s">
        <v>94</v>
      </c>
      <c r="I2732" s="52">
        <v>407.39999999999992</v>
      </c>
      <c r="J2732" s="49">
        <v>16100.55</v>
      </c>
      <c r="K2732" s="58">
        <v>396.59999999999997</v>
      </c>
      <c r="L2732" s="58">
        <v>16315.992559460472</v>
      </c>
      <c r="M2732" s="58">
        <v>3.5999999999999996</v>
      </c>
      <c r="N2732" s="58">
        <v>150.84035208000003</v>
      </c>
      <c r="O2732" s="58">
        <v>400.2</v>
      </c>
      <c r="P2732" s="53">
        <v>16466.83291154047</v>
      </c>
      <c r="Q2732" s="65">
        <v>16100.55</v>
      </c>
      <c r="R2732" s="65">
        <v>0</v>
      </c>
      <c r="S2732" s="65">
        <v>150.84035208000003</v>
      </c>
      <c r="T2732" s="65">
        <v>366.2829115404711</v>
      </c>
      <c r="U2732" s="58">
        <v>0</v>
      </c>
      <c r="V2732" s="65">
        <v>0</v>
      </c>
      <c r="W2732" s="65">
        <v>0</v>
      </c>
      <c r="X2732" s="65">
        <v>15950</v>
      </c>
      <c r="Y2732" s="65">
        <v>0</v>
      </c>
      <c r="Z2732" s="51">
        <v>0</v>
      </c>
      <c r="AA2732" s="51">
        <v>0</v>
      </c>
      <c r="AB2732" s="102">
        <v>0</v>
      </c>
      <c r="AC2732" s="81">
        <f t="shared" si="130"/>
        <v>231.2725051546393</v>
      </c>
      <c r="AD2732" s="82">
        <f t="shared" si="131"/>
        <v>58.199999999999989</v>
      </c>
      <c r="AE2732" s="218">
        <v>-2.2749714235878345E-2</v>
      </c>
      <c r="AF2732">
        <v>7</v>
      </c>
      <c r="AH2732" t="str">
        <f t="shared" si="129"/>
        <v>Hasanpur</v>
      </c>
      <c r="AJ2732" s="72">
        <v>0</v>
      </c>
      <c r="AK2732" s="72"/>
      <c r="AL2732" s="72"/>
      <c r="AM2732" s="72"/>
    </row>
    <row r="2733" spans="1:39" x14ac:dyDescent="0.25">
      <c r="A2733" s="37" t="s">
        <v>62</v>
      </c>
      <c r="B2733" s="66" t="s">
        <v>1629</v>
      </c>
      <c r="C2733" s="4">
        <v>1058</v>
      </c>
      <c r="D2733" s="41" t="s">
        <v>1344</v>
      </c>
      <c r="E2733" s="41">
        <v>10580004</v>
      </c>
      <c r="F2733" s="85" t="s">
        <v>1235</v>
      </c>
      <c r="G2733" s="39" t="s">
        <v>93</v>
      </c>
      <c r="H2733" s="52" t="s">
        <v>94</v>
      </c>
      <c r="I2733" s="52">
        <v>333.40000000000009</v>
      </c>
      <c r="J2733" s="49">
        <v>11820.349999999999</v>
      </c>
      <c r="K2733" s="58">
        <v>334.09999999999997</v>
      </c>
      <c r="L2733" s="58">
        <v>13882.009992708137</v>
      </c>
      <c r="M2733" s="58">
        <v>4.6999999999999993</v>
      </c>
      <c r="N2733" s="58">
        <v>193.16815775296001</v>
      </c>
      <c r="O2733" s="58">
        <v>338.79999999999995</v>
      </c>
      <c r="P2733" s="53">
        <v>14075.178150461097</v>
      </c>
      <c r="Q2733" s="65">
        <v>11820.349999999999</v>
      </c>
      <c r="R2733" s="65">
        <v>0</v>
      </c>
      <c r="S2733" s="65">
        <v>193.16815775296001</v>
      </c>
      <c r="T2733" s="65">
        <v>2254.8281504610986</v>
      </c>
      <c r="U2733" s="58">
        <v>0</v>
      </c>
      <c r="V2733" s="65">
        <v>0</v>
      </c>
      <c r="W2733" s="65">
        <v>0</v>
      </c>
      <c r="X2733" s="65">
        <v>11627</v>
      </c>
      <c r="Y2733" s="65">
        <v>0</v>
      </c>
      <c r="Z2733" s="51">
        <v>0</v>
      </c>
      <c r="AA2733" s="51">
        <v>0</v>
      </c>
      <c r="AB2733" s="102">
        <v>0</v>
      </c>
      <c r="AC2733" s="81">
        <f t="shared" si="130"/>
        <v>259.94842891421695</v>
      </c>
      <c r="AD2733" s="82">
        <f t="shared" si="131"/>
        <v>47.628571428571441</v>
      </c>
      <c r="AE2733" s="218">
        <v>-0.19075815440838037</v>
      </c>
      <c r="AF2733">
        <v>3</v>
      </c>
      <c r="AH2733" t="str">
        <f t="shared" si="129"/>
        <v>Hasanpur</v>
      </c>
      <c r="AJ2733" s="72">
        <v>0</v>
      </c>
      <c r="AK2733" s="72"/>
      <c r="AL2733" s="72"/>
      <c r="AM2733" s="72"/>
    </row>
    <row r="2734" spans="1:39" x14ac:dyDescent="0.25">
      <c r="A2734" s="37" t="s">
        <v>62</v>
      </c>
      <c r="B2734" s="66" t="s">
        <v>1629</v>
      </c>
      <c r="C2734" s="4">
        <v>1058</v>
      </c>
      <c r="D2734" s="41" t="s">
        <v>1344</v>
      </c>
      <c r="E2734" s="41">
        <v>10580005</v>
      </c>
      <c r="F2734" s="85" t="s">
        <v>1281</v>
      </c>
      <c r="G2734" s="39" t="s">
        <v>93</v>
      </c>
      <c r="H2734" s="52" t="s">
        <v>94</v>
      </c>
      <c r="I2734" s="52">
        <v>616.4</v>
      </c>
      <c r="J2734" s="49">
        <v>22779.949999999997</v>
      </c>
      <c r="K2734" s="58">
        <v>587.4</v>
      </c>
      <c r="L2734" s="58">
        <v>23871.922469734003</v>
      </c>
      <c r="M2734" s="58">
        <v>9.8000000000000007</v>
      </c>
      <c r="N2734" s="58">
        <v>391.86593424000006</v>
      </c>
      <c r="O2734" s="58">
        <v>597.19999999999993</v>
      </c>
      <c r="P2734" s="53">
        <v>24263.788403974002</v>
      </c>
      <c r="Q2734" s="65">
        <v>22779.949999999997</v>
      </c>
      <c r="R2734" s="65">
        <v>0</v>
      </c>
      <c r="S2734" s="65">
        <v>391.86593424000006</v>
      </c>
      <c r="T2734" s="65">
        <v>1483.8384039740049</v>
      </c>
      <c r="U2734" s="58">
        <v>0</v>
      </c>
      <c r="V2734" s="65">
        <v>0</v>
      </c>
      <c r="W2734" s="65">
        <v>0</v>
      </c>
      <c r="X2734" s="65">
        <v>22388</v>
      </c>
      <c r="Y2734" s="65">
        <v>0</v>
      </c>
      <c r="Z2734" s="51">
        <v>0</v>
      </c>
      <c r="AA2734" s="51">
        <v>0</v>
      </c>
      <c r="AB2734" s="102" t="s">
        <v>68</v>
      </c>
      <c r="AC2734" s="81">
        <f t="shared" si="130"/>
        <v>61.791168721609388</v>
      </c>
      <c r="AD2734" s="82">
        <f t="shared" si="131"/>
        <v>88.05714285714285</v>
      </c>
      <c r="AE2734" s="218">
        <v>-6.5137913119827084E-2</v>
      </c>
      <c r="AF2734">
        <v>10</v>
      </c>
      <c r="AH2734" t="str">
        <f t="shared" si="129"/>
        <v>Hasanpur</v>
      </c>
      <c r="AJ2734" s="72">
        <v>0</v>
      </c>
      <c r="AK2734" s="72"/>
      <c r="AL2734" s="72"/>
      <c r="AM2734" s="72"/>
    </row>
    <row r="2735" spans="1:39" x14ac:dyDescent="0.25">
      <c r="A2735" s="37" t="s">
        <v>62</v>
      </c>
      <c r="B2735" s="66" t="s">
        <v>1629</v>
      </c>
      <c r="C2735" s="4">
        <v>1058</v>
      </c>
      <c r="D2735" s="41" t="s">
        <v>1344</v>
      </c>
      <c r="E2735" s="41">
        <v>10580007</v>
      </c>
      <c r="F2735" s="85" t="s">
        <v>1282</v>
      </c>
      <c r="G2735" s="39" t="s">
        <v>93</v>
      </c>
      <c r="H2735" s="52" t="s">
        <v>94</v>
      </c>
      <c r="I2735" s="52">
        <v>127.39999999999999</v>
      </c>
      <c r="J2735" s="49">
        <v>4721.6500000000005</v>
      </c>
      <c r="K2735" s="58">
        <v>127.3</v>
      </c>
      <c r="L2735" s="58">
        <v>4850.1482060425005</v>
      </c>
      <c r="M2735" s="58">
        <v>0.6</v>
      </c>
      <c r="N2735" s="58">
        <v>25.582273200000003</v>
      </c>
      <c r="O2735" s="58">
        <v>127.89999999999999</v>
      </c>
      <c r="P2735" s="53">
        <v>4875.7304792425002</v>
      </c>
      <c r="Q2735" s="65">
        <v>4721.6500000000005</v>
      </c>
      <c r="R2735" s="65">
        <v>0</v>
      </c>
      <c r="S2735" s="65">
        <v>25.582273200000003</v>
      </c>
      <c r="T2735" s="65">
        <v>154.08047924249968</v>
      </c>
      <c r="U2735" s="58">
        <v>0</v>
      </c>
      <c r="V2735" s="65">
        <v>0</v>
      </c>
      <c r="W2735" s="65">
        <v>0</v>
      </c>
      <c r="X2735" s="65">
        <v>4696</v>
      </c>
      <c r="Y2735" s="65">
        <v>0</v>
      </c>
      <c r="Z2735" s="51">
        <v>0</v>
      </c>
      <c r="AA2735" s="51">
        <v>0</v>
      </c>
      <c r="AB2735" s="102">
        <v>0</v>
      </c>
      <c r="AC2735" s="81">
        <f t="shared" si="130"/>
        <v>424.42963736263744</v>
      </c>
      <c r="AD2735" s="82">
        <f t="shared" si="131"/>
        <v>18.2</v>
      </c>
      <c r="AE2735" s="218">
        <v>-3.2632761691887301E-2</v>
      </c>
      <c r="AF2735">
        <v>4</v>
      </c>
      <c r="AH2735" t="str">
        <f t="shared" si="129"/>
        <v>Hasanpur</v>
      </c>
      <c r="AJ2735" s="72">
        <v>0</v>
      </c>
      <c r="AK2735" s="72"/>
      <c r="AL2735" s="72"/>
      <c r="AM2735" s="72"/>
    </row>
    <row r="2736" spans="1:39" x14ac:dyDescent="0.25">
      <c r="A2736" s="37" t="s">
        <v>62</v>
      </c>
      <c r="B2736" s="66" t="s">
        <v>1629</v>
      </c>
      <c r="C2736" s="4">
        <v>1058</v>
      </c>
      <c r="D2736" s="41" t="s">
        <v>1344</v>
      </c>
      <c r="E2736" s="41">
        <v>10580009</v>
      </c>
      <c r="F2736" s="85" t="s">
        <v>1302</v>
      </c>
      <c r="G2736" s="39" t="s">
        <v>93</v>
      </c>
      <c r="H2736" s="52" t="s">
        <v>94</v>
      </c>
      <c r="I2736" s="52">
        <v>193.10000000000002</v>
      </c>
      <c r="J2736" s="49">
        <v>7822.4400000000005</v>
      </c>
      <c r="K2736" s="58">
        <v>72.400000000000006</v>
      </c>
      <c r="L2736" s="58">
        <v>3423.6385711608004</v>
      </c>
      <c r="M2736" s="58">
        <v>0.8</v>
      </c>
      <c r="N2736" s="58">
        <v>35.060097600000006</v>
      </c>
      <c r="O2736" s="58">
        <v>73.2</v>
      </c>
      <c r="P2736" s="53">
        <v>3458.6986687608005</v>
      </c>
      <c r="Q2736" s="65">
        <v>3458.6986687608005</v>
      </c>
      <c r="R2736" s="65">
        <v>0</v>
      </c>
      <c r="S2736" s="65">
        <v>35.060097600000006</v>
      </c>
      <c r="T2736" s="65">
        <v>0</v>
      </c>
      <c r="U2736" s="58">
        <v>0</v>
      </c>
      <c r="V2736" s="65">
        <v>0</v>
      </c>
      <c r="W2736" s="65">
        <v>0</v>
      </c>
      <c r="X2736" s="65">
        <v>3423</v>
      </c>
      <c r="Y2736" s="65">
        <v>0</v>
      </c>
      <c r="Z2736" s="51">
        <v>0</v>
      </c>
      <c r="AA2736" s="51">
        <v>4364</v>
      </c>
      <c r="AB2736" s="102">
        <v>0</v>
      </c>
      <c r="AC2736" s="81">
        <f t="shared" si="130"/>
        <v>410.68822744691869</v>
      </c>
      <c r="AD2736" s="82">
        <f t="shared" si="131"/>
        <v>27.585714285714289</v>
      </c>
      <c r="AE2736" s="218">
        <v>0.55784912779633977</v>
      </c>
      <c r="AF2736">
        <v>12</v>
      </c>
      <c r="AH2736" t="str">
        <f t="shared" si="129"/>
        <v>Hasanpur</v>
      </c>
      <c r="AJ2736" s="72">
        <v>0</v>
      </c>
      <c r="AK2736" s="72"/>
      <c r="AL2736" s="72"/>
      <c r="AM2736" s="72"/>
    </row>
    <row r="2737" spans="1:39" x14ac:dyDescent="0.25">
      <c r="A2737" s="37" t="s">
        <v>62</v>
      </c>
      <c r="B2737" s="66" t="s">
        <v>1629</v>
      </c>
      <c r="C2737" s="4">
        <v>1058</v>
      </c>
      <c r="D2737" s="41" t="s">
        <v>1344</v>
      </c>
      <c r="E2737" s="41">
        <v>10580010</v>
      </c>
      <c r="F2737" s="85" t="s">
        <v>1354</v>
      </c>
      <c r="G2737" s="39" t="s">
        <v>93</v>
      </c>
      <c r="H2737" s="52" t="s">
        <v>94</v>
      </c>
      <c r="I2737" s="52">
        <v>287.89999999999998</v>
      </c>
      <c r="J2737" s="49">
        <v>10176.719999999999</v>
      </c>
      <c r="K2737" s="58">
        <v>266.60000000000002</v>
      </c>
      <c r="L2737" s="58">
        <v>9804.6968294880007</v>
      </c>
      <c r="M2737" s="58">
        <v>0</v>
      </c>
      <c r="N2737" s="58">
        <v>0</v>
      </c>
      <c r="O2737" s="58">
        <v>266.60000000000002</v>
      </c>
      <c r="P2737" s="53">
        <v>9804.6968294880007</v>
      </c>
      <c r="Q2737" s="65">
        <v>9804.6968294880007</v>
      </c>
      <c r="R2737" s="65">
        <v>0</v>
      </c>
      <c r="S2737" s="65">
        <v>0</v>
      </c>
      <c r="T2737" s="65">
        <v>0</v>
      </c>
      <c r="U2737" s="58">
        <v>0</v>
      </c>
      <c r="V2737" s="65">
        <v>19.335020338983021</v>
      </c>
      <c r="W2737" s="65">
        <v>0</v>
      </c>
      <c r="X2737" s="65">
        <v>9785</v>
      </c>
      <c r="Y2737" s="65">
        <v>0</v>
      </c>
      <c r="Z2737" s="51">
        <v>0</v>
      </c>
      <c r="AA2737" s="51">
        <v>372</v>
      </c>
      <c r="AB2737" s="102">
        <v>0</v>
      </c>
      <c r="AC2737" s="81">
        <f t="shared" si="130"/>
        <v>291.33909774227169</v>
      </c>
      <c r="AD2737" s="82">
        <f t="shared" si="131"/>
        <v>41.128571428571426</v>
      </c>
      <c r="AE2737" s="218">
        <v>3.6556294219748466E-2</v>
      </c>
      <c r="AF2737">
        <v>2</v>
      </c>
      <c r="AH2737" t="str">
        <f t="shared" si="129"/>
        <v>Hasanpur</v>
      </c>
      <c r="AJ2737" s="72">
        <v>0</v>
      </c>
      <c r="AK2737" s="72"/>
      <c r="AL2737" s="72"/>
      <c r="AM2737" s="72"/>
    </row>
    <row r="2738" spans="1:39" x14ac:dyDescent="0.25">
      <c r="A2738" s="37" t="s">
        <v>62</v>
      </c>
      <c r="B2738" s="66" t="s">
        <v>1629</v>
      </c>
      <c r="C2738" s="4">
        <v>1058</v>
      </c>
      <c r="D2738" s="41" t="s">
        <v>1344</v>
      </c>
      <c r="E2738" s="41">
        <v>10580012</v>
      </c>
      <c r="F2738" s="85" t="s">
        <v>1355</v>
      </c>
      <c r="G2738" s="39" t="s">
        <v>93</v>
      </c>
      <c r="H2738" s="52" t="s">
        <v>94</v>
      </c>
      <c r="I2738" s="52">
        <v>136.70000000000002</v>
      </c>
      <c r="J2738" s="49">
        <v>5265.54</v>
      </c>
      <c r="K2738" s="58">
        <v>138.59</v>
      </c>
      <c r="L2738" s="58">
        <v>5663.9029503302108</v>
      </c>
      <c r="M2738" s="58">
        <v>0</v>
      </c>
      <c r="N2738" s="58">
        <v>0</v>
      </c>
      <c r="O2738" s="58">
        <v>138.59</v>
      </c>
      <c r="P2738" s="53">
        <v>5663.9029503302108</v>
      </c>
      <c r="Q2738" s="65">
        <v>5265.54</v>
      </c>
      <c r="R2738" s="65">
        <v>0</v>
      </c>
      <c r="S2738" s="65">
        <v>0</v>
      </c>
      <c r="T2738" s="65">
        <v>398.36295033021088</v>
      </c>
      <c r="U2738" s="58">
        <v>0</v>
      </c>
      <c r="V2738" s="65">
        <v>0</v>
      </c>
      <c r="W2738" s="65">
        <v>0</v>
      </c>
      <c r="X2738" s="65">
        <v>5266</v>
      </c>
      <c r="Y2738" s="65">
        <v>0</v>
      </c>
      <c r="Z2738" s="51">
        <v>0</v>
      </c>
      <c r="AA2738" s="51">
        <v>0</v>
      </c>
      <c r="AB2738" s="102">
        <v>0</v>
      </c>
      <c r="AC2738" s="81">
        <f t="shared" si="130"/>
        <v>433.95445237746884</v>
      </c>
      <c r="AD2738" s="82">
        <f t="shared" si="131"/>
        <v>19.528571428571432</v>
      </c>
      <c r="AE2738" s="218">
        <v>-7.5654719236813481E-2</v>
      </c>
      <c r="AF2738">
        <v>4</v>
      </c>
      <c r="AH2738" t="str">
        <f t="shared" si="129"/>
        <v>Hasanpur</v>
      </c>
      <c r="AJ2738" s="72">
        <v>0</v>
      </c>
      <c r="AK2738" s="72"/>
      <c r="AL2738" s="72"/>
      <c r="AM2738" s="72"/>
    </row>
    <row r="2739" spans="1:39" x14ac:dyDescent="0.25">
      <c r="A2739" s="37" t="s">
        <v>62</v>
      </c>
      <c r="B2739" s="66" t="s">
        <v>1629</v>
      </c>
      <c r="C2739" s="4">
        <v>1058</v>
      </c>
      <c r="D2739" s="41" t="s">
        <v>1344</v>
      </c>
      <c r="E2739" s="41">
        <v>10580013</v>
      </c>
      <c r="F2739" s="85" t="s">
        <v>1583</v>
      </c>
      <c r="G2739" s="39" t="s">
        <v>635</v>
      </c>
      <c r="H2739" s="52" t="s">
        <v>99</v>
      </c>
      <c r="I2739" s="52">
        <v>179.89999999999998</v>
      </c>
      <c r="J2739" s="49">
        <v>6326.3</v>
      </c>
      <c r="K2739" s="58">
        <v>0</v>
      </c>
      <c r="L2739" s="58">
        <v>0</v>
      </c>
      <c r="M2739" s="58">
        <v>0</v>
      </c>
      <c r="N2739" s="58">
        <v>0</v>
      </c>
      <c r="O2739" s="58">
        <v>0</v>
      </c>
      <c r="P2739" s="53">
        <v>0</v>
      </c>
      <c r="Q2739" s="65">
        <v>6326.3</v>
      </c>
      <c r="R2739" s="65">
        <v>0</v>
      </c>
      <c r="S2739" s="65">
        <v>0</v>
      </c>
      <c r="T2739" s="65">
        <v>0</v>
      </c>
      <c r="U2739" s="58">
        <v>0</v>
      </c>
      <c r="V2739" s="65">
        <v>0</v>
      </c>
      <c r="W2739" s="65">
        <v>0</v>
      </c>
      <c r="X2739" s="65">
        <v>0</v>
      </c>
      <c r="Y2739" s="65">
        <v>0</v>
      </c>
      <c r="Z2739" s="51">
        <v>6326.3</v>
      </c>
      <c r="AA2739" s="51">
        <v>0</v>
      </c>
      <c r="AB2739" s="102">
        <v>0</v>
      </c>
      <c r="AC2739" s="81">
        <f t="shared" si="130"/>
        <v>365.79306614786009</v>
      </c>
      <c r="AD2739" s="82">
        <f t="shared" si="131"/>
        <v>25.699999999999996</v>
      </c>
      <c r="AE2739" s="218">
        <v>0</v>
      </c>
      <c r="AF2739">
        <v>0</v>
      </c>
      <c r="AH2739" t="str">
        <f t="shared" si="129"/>
        <v>Hasanpur</v>
      </c>
      <c r="AJ2739" s="72">
        <v>0</v>
      </c>
      <c r="AK2739" s="72"/>
      <c r="AL2739" s="72"/>
      <c r="AM2739" s="72"/>
    </row>
    <row r="2740" spans="1:39" x14ac:dyDescent="0.25">
      <c r="A2740" s="37" t="s">
        <v>62</v>
      </c>
      <c r="B2740" s="66" t="s">
        <v>1629</v>
      </c>
      <c r="C2740" s="4">
        <v>1058</v>
      </c>
      <c r="D2740" s="41" t="s">
        <v>1344</v>
      </c>
      <c r="E2740" s="41">
        <v>10580015</v>
      </c>
      <c r="F2740" s="85" t="s">
        <v>1356</v>
      </c>
      <c r="G2740" s="39" t="s">
        <v>93</v>
      </c>
      <c r="H2740" s="52" t="s">
        <v>94</v>
      </c>
      <c r="I2740" s="52">
        <v>567</v>
      </c>
      <c r="J2740" s="49">
        <v>18923.529999999995</v>
      </c>
      <c r="K2740" s="58">
        <v>530.82999999999993</v>
      </c>
      <c r="L2740" s="58">
        <v>17756.469217080004</v>
      </c>
      <c r="M2740" s="58">
        <v>0</v>
      </c>
      <c r="N2740" s="58">
        <v>0</v>
      </c>
      <c r="O2740" s="58">
        <v>530.82999999999993</v>
      </c>
      <c r="P2740" s="53">
        <v>17756.469217080004</v>
      </c>
      <c r="Q2740" s="65">
        <v>17756.469217080004</v>
      </c>
      <c r="R2740" s="65">
        <v>0</v>
      </c>
      <c r="S2740" s="65">
        <v>0</v>
      </c>
      <c r="T2740" s="65">
        <v>0</v>
      </c>
      <c r="U2740" s="58">
        <v>0</v>
      </c>
      <c r="V2740" s="65">
        <v>0</v>
      </c>
      <c r="W2740" s="65">
        <v>0</v>
      </c>
      <c r="X2740" s="65">
        <v>17757</v>
      </c>
      <c r="Y2740" s="65">
        <v>0</v>
      </c>
      <c r="Z2740" s="51">
        <v>0</v>
      </c>
      <c r="AA2740" s="51">
        <v>1167</v>
      </c>
      <c r="AB2740" s="102">
        <v>0</v>
      </c>
      <c r="AC2740" s="81">
        <f t="shared" si="130"/>
        <v>88.777054320987631</v>
      </c>
      <c r="AD2740" s="82">
        <f t="shared" si="131"/>
        <v>81</v>
      </c>
      <c r="AE2740" s="218">
        <v>6.1672467183447856E-2</v>
      </c>
      <c r="AF2740">
        <v>7</v>
      </c>
      <c r="AH2740" t="str">
        <f t="shared" si="129"/>
        <v>Hasanpur</v>
      </c>
      <c r="AJ2740" s="72">
        <v>0</v>
      </c>
      <c r="AK2740" s="72"/>
      <c r="AL2740" s="72"/>
      <c r="AM2740" s="72"/>
    </row>
    <row r="2741" spans="1:39" x14ac:dyDescent="0.25">
      <c r="A2741" s="37" t="s">
        <v>62</v>
      </c>
      <c r="B2741" s="66" t="s">
        <v>1629</v>
      </c>
      <c r="C2741" s="4">
        <v>1058</v>
      </c>
      <c r="D2741" s="41" t="s">
        <v>1344</v>
      </c>
      <c r="E2741" s="41">
        <v>10580017</v>
      </c>
      <c r="F2741" s="85" t="s">
        <v>1357</v>
      </c>
      <c r="G2741" s="39" t="s">
        <v>93</v>
      </c>
      <c r="H2741" s="52" t="s">
        <v>94</v>
      </c>
      <c r="I2741" s="52">
        <v>1196.7</v>
      </c>
      <c r="J2741" s="49">
        <v>48976.460000000014</v>
      </c>
      <c r="K2741" s="58">
        <v>1212.1299999999999</v>
      </c>
      <c r="L2741" s="58">
        <v>49794.790616629281</v>
      </c>
      <c r="M2741" s="58">
        <v>5</v>
      </c>
      <c r="N2741" s="58">
        <v>186.19095329999999</v>
      </c>
      <c r="O2741" s="58">
        <v>1217.1299999999999</v>
      </c>
      <c r="P2741" s="53">
        <v>49980.981569929281</v>
      </c>
      <c r="Q2741" s="65">
        <v>48976.460000000014</v>
      </c>
      <c r="R2741" s="65">
        <v>0</v>
      </c>
      <c r="S2741" s="65">
        <v>186.19095329999999</v>
      </c>
      <c r="T2741" s="65">
        <v>1004.5215699292676</v>
      </c>
      <c r="U2741" s="58">
        <v>0</v>
      </c>
      <c r="V2741" s="65">
        <v>0</v>
      </c>
      <c r="W2741" s="65">
        <v>0</v>
      </c>
      <c r="X2741" s="65">
        <v>48790</v>
      </c>
      <c r="Y2741" s="65">
        <v>0</v>
      </c>
      <c r="Z2741" s="51">
        <v>0</v>
      </c>
      <c r="AA2741" s="51">
        <v>0</v>
      </c>
      <c r="AB2741" s="102">
        <v>0</v>
      </c>
      <c r="AC2741" s="81">
        <f t="shared" si="130"/>
        <v>0</v>
      </c>
      <c r="AD2741" s="82">
        <f t="shared" si="131"/>
        <v>0</v>
      </c>
      <c r="AE2741" s="218">
        <v>-2.0510293515073715E-2</v>
      </c>
      <c r="AF2741">
        <v>3</v>
      </c>
      <c r="AH2741" t="str">
        <f t="shared" si="129"/>
        <v>Hasanpur</v>
      </c>
      <c r="AJ2741" s="72">
        <v>0</v>
      </c>
      <c r="AK2741" s="72"/>
      <c r="AL2741" s="72"/>
      <c r="AM2741" s="72"/>
    </row>
    <row r="2742" spans="1:39" x14ac:dyDescent="0.25">
      <c r="A2742" s="37" t="s">
        <v>62</v>
      </c>
      <c r="B2742" s="66" t="s">
        <v>1629</v>
      </c>
      <c r="C2742" s="4">
        <v>1058</v>
      </c>
      <c r="D2742" s="41" t="s">
        <v>1344</v>
      </c>
      <c r="E2742" s="41">
        <v>10580018</v>
      </c>
      <c r="F2742" s="85" t="s">
        <v>1364</v>
      </c>
      <c r="G2742" s="39" t="s">
        <v>93</v>
      </c>
      <c r="H2742" s="52" t="s">
        <v>94</v>
      </c>
      <c r="I2742" s="52">
        <v>169.90000000000003</v>
      </c>
      <c r="J2742" s="49">
        <v>6951.97</v>
      </c>
      <c r="K2742" s="58">
        <v>173.68000000000004</v>
      </c>
      <c r="L2742" s="58">
        <v>7314.0605154469795</v>
      </c>
      <c r="M2742" s="58">
        <v>0</v>
      </c>
      <c r="N2742" s="58">
        <v>0</v>
      </c>
      <c r="O2742" s="58">
        <v>173.68000000000004</v>
      </c>
      <c r="P2742" s="53">
        <v>7314.0605154469795</v>
      </c>
      <c r="Q2742" s="65">
        <v>6951.97</v>
      </c>
      <c r="R2742" s="65">
        <v>0</v>
      </c>
      <c r="S2742" s="65">
        <v>0</v>
      </c>
      <c r="T2742" s="65">
        <v>362.09051544697923</v>
      </c>
      <c r="U2742" s="58">
        <v>0</v>
      </c>
      <c r="V2742" s="65">
        <v>38</v>
      </c>
      <c r="W2742" s="65">
        <v>0</v>
      </c>
      <c r="X2742" s="65">
        <v>6914</v>
      </c>
      <c r="Y2742" s="65">
        <v>0</v>
      </c>
      <c r="Z2742" s="51">
        <v>0</v>
      </c>
      <c r="AA2742" s="51">
        <v>0</v>
      </c>
      <c r="AB2742" s="102" t="s">
        <v>68</v>
      </c>
      <c r="AC2742" s="81">
        <f t="shared" si="130"/>
        <v>433.81274832254263</v>
      </c>
      <c r="AD2742" s="82">
        <f t="shared" si="131"/>
        <v>24.271428571428576</v>
      </c>
      <c r="AE2742" s="218">
        <v>-5.2084591194579262E-2</v>
      </c>
      <c r="AF2742">
        <v>10</v>
      </c>
      <c r="AH2742" t="str">
        <f t="shared" si="129"/>
        <v>Hasanpur</v>
      </c>
      <c r="AJ2742" s="72">
        <v>0</v>
      </c>
      <c r="AK2742" s="72"/>
      <c r="AL2742" s="72"/>
      <c r="AM2742" s="72"/>
    </row>
    <row r="2743" spans="1:39" x14ac:dyDescent="0.25">
      <c r="A2743" s="37" t="s">
        <v>62</v>
      </c>
      <c r="B2743" s="66" t="s">
        <v>1629</v>
      </c>
      <c r="C2743" s="4">
        <v>1058</v>
      </c>
      <c r="D2743" s="41" t="s">
        <v>1344</v>
      </c>
      <c r="E2743" s="41">
        <v>10580019</v>
      </c>
      <c r="F2743" s="85" t="s">
        <v>1510</v>
      </c>
      <c r="G2743" s="39" t="s">
        <v>93</v>
      </c>
      <c r="H2743" s="52" t="s">
        <v>94</v>
      </c>
      <c r="I2743" s="52">
        <v>287.79999999999995</v>
      </c>
      <c r="J2743" s="49">
        <v>10258.56</v>
      </c>
      <c r="K2743" s="58">
        <v>307.10000000000002</v>
      </c>
      <c r="L2743" s="58">
        <v>10883.591823852001</v>
      </c>
      <c r="M2743" s="58">
        <v>0</v>
      </c>
      <c r="N2743" s="58">
        <v>0</v>
      </c>
      <c r="O2743" s="58">
        <v>307.10000000000002</v>
      </c>
      <c r="P2743" s="53">
        <v>10883.591823852001</v>
      </c>
      <c r="Q2743" s="65">
        <v>10258.56</v>
      </c>
      <c r="R2743" s="65">
        <v>0</v>
      </c>
      <c r="S2743" s="65">
        <v>0</v>
      </c>
      <c r="T2743" s="65">
        <v>625.03182385200125</v>
      </c>
      <c r="U2743" s="58">
        <v>0</v>
      </c>
      <c r="V2743" s="65">
        <v>0</v>
      </c>
      <c r="W2743" s="65">
        <v>0</v>
      </c>
      <c r="X2743" s="65">
        <v>10259</v>
      </c>
      <c r="Y2743" s="65">
        <v>0</v>
      </c>
      <c r="Z2743" s="51">
        <v>0</v>
      </c>
      <c r="AA2743" s="51">
        <v>0</v>
      </c>
      <c r="AB2743" s="102" t="s">
        <v>68</v>
      </c>
      <c r="AC2743" s="81">
        <f t="shared" si="130"/>
        <v>293.85534621264776</v>
      </c>
      <c r="AD2743" s="82">
        <f t="shared" si="131"/>
        <v>41.114285714285707</v>
      </c>
      <c r="AE2743" s="218">
        <v>-6.0927832351909163E-2</v>
      </c>
      <c r="AF2743">
        <v>1</v>
      </c>
      <c r="AH2743" t="str">
        <f t="shared" si="129"/>
        <v>Hasanpur</v>
      </c>
      <c r="AJ2743" s="72">
        <v>0</v>
      </c>
      <c r="AK2743" s="72"/>
      <c r="AL2743" s="72"/>
      <c r="AM2743" s="72"/>
    </row>
    <row r="2744" spans="1:39" x14ac:dyDescent="0.25">
      <c r="A2744" s="37" t="s">
        <v>62</v>
      </c>
      <c r="B2744" s="66" t="s">
        <v>1629</v>
      </c>
      <c r="C2744" s="4">
        <v>1058</v>
      </c>
      <c r="D2744" s="41" t="s">
        <v>1344</v>
      </c>
      <c r="E2744" s="41">
        <v>10580022</v>
      </c>
      <c r="F2744" s="85" t="s">
        <v>1397</v>
      </c>
      <c r="G2744" s="39" t="s">
        <v>93</v>
      </c>
      <c r="H2744" s="52" t="s">
        <v>94</v>
      </c>
      <c r="I2744" s="52">
        <v>238.3</v>
      </c>
      <c r="J2744" s="49">
        <v>11127.129999999997</v>
      </c>
      <c r="K2744" s="58">
        <v>223.1</v>
      </c>
      <c r="L2744" s="58">
        <v>10478.020812130591</v>
      </c>
      <c r="M2744" s="58">
        <v>0</v>
      </c>
      <c r="N2744" s="58">
        <v>0</v>
      </c>
      <c r="O2744" s="58">
        <v>223.1</v>
      </c>
      <c r="P2744" s="53">
        <v>10478.020812130591</v>
      </c>
      <c r="Q2744" s="65">
        <v>10478.020812130591</v>
      </c>
      <c r="R2744" s="65">
        <v>0</v>
      </c>
      <c r="S2744" s="65">
        <v>0</v>
      </c>
      <c r="T2744" s="65">
        <v>0</v>
      </c>
      <c r="U2744" s="58">
        <v>0</v>
      </c>
      <c r="V2744" s="65">
        <v>0</v>
      </c>
      <c r="W2744" s="65">
        <v>0</v>
      </c>
      <c r="X2744" s="65">
        <v>10478</v>
      </c>
      <c r="Y2744" s="65">
        <v>0</v>
      </c>
      <c r="Z2744" s="51">
        <v>0</v>
      </c>
      <c r="AA2744" s="51">
        <v>649</v>
      </c>
      <c r="AB2744" s="102">
        <v>0</v>
      </c>
      <c r="AC2744" s="81">
        <f t="shared" si="130"/>
        <v>431.17045077633225</v>
      </c>
      <c r="AD2744" s="82">
        <f t="shared" si="131"/>
        <v>34.042857142857144</v>
      </c>
      <c r="AE2744" s="218">
        <v>5.8335724294531127E-2</v>
      </c>
      <c r="AF2744">
        <v>2</v>
      </c>
      <c r="AH2744" t="str">
        <f t="shared" si="129"/>
        <v>Hasanpur</v>
      </c>
      <c r="AJ2744" s="72">
        <v>0</v>
      </c>
      <c r="AK2744" s="72"/>
      <c r="AL2744" s="72"/>
      <c r="AM2744" s="72"/>
    </row>
    <row r="2745" spans="1:39" x14ac:dyDescent="0.25">
      <c r="A2745" s="37" t="s">
        <v>62</v>
      </c>
      <c r="B2745" s="66" t="s">
        <v>1629</v>
      </c>
      <c r="C2745" s="4">
        <v>1058</v>
      </c>
      <c r="D2745" s="41" t="s">
        <v>1344</v>
      </c>
      <c r="E2745" s="41">
        <v>10580023</v>
      </c>
      <c r="F2745" s="85" t="s">
        <v>1398</v>
      </c>
      <c r="G2745" s="39" t="s">
        <v>635</v>
      </c>
      <c r="H2745" s="52" t="s">
        <v>99</v>
      </c>
      <c r="I2745" s="52">
        <v>787.4000000000002</v>
      </c>
      <c r="J2745" s="49">
        <v>30897.79</v>
      </c>
      <c r="K2745" s="58">
        <v>0</v>
      </c>
      <c r="L2745" s="58">
        <v>0</v>
      </c>
      <c r="M2745" s="58">
        <v>0</v>
      </c>
      <c r="N2745" s="58">
        <v>0</v>
      </c>
      <c r="O2745" s="58">
        <v>0</v>
      </c>
      <c r="P2745" s="53">
        <v>0</v>
      </c>
      <c r="Q2745" s="65">
        <v>30897.79</v>
      </c>
      <c r="R2745" s="65">
        <v>0</v>
      </c>
      <c r="S2745" s="65">
        <v>0</v>
      </c>
      <c r="T2745" s="65">
        <v>0</v>
      </c>
      <c r="U2745" s="58">
        <v>0</v>
      </c>
      <c r="V2745" s="65">
        <v>0</v>
      </c>
      <c r="W2745" s="65">
        <v>0</v>
      </c>
      <c r="X2745" s="65">
        <v>0</v>
      </c>
      <c r="Y2745" s="65">
        <v>0</v>
      </c>
      <c r="Z2745" s="51">
        <v>30897.79</v>
      </c>
      <c r="AA2745" s="51">
        <v>0</v>
      </c>
      <c r="AB2745" s="102">
        <v>0</v>
      </c>
      <c r="AC2745" s="81">
        <f t="shared" si="130"/>
        <v>0</v>
      </c>
      <c r="AD2745" s="82">
        <f t="shared" si="131"/>
        <v>0</v>
      </c>
      <c r="AE2745" s="218">
        <v>0</v>
      </c>
      <c r="AF2745">
        <v>0</v>
      </c>
      <c r="AH2745" t="str">
        <f t="shared" si="129"/>
        <v>Hasanpur</v>
      </c>
      <c r="AJ2745" s="72">
        <v>0</v>
      </c>
      <c r="AK2745" s="72"/>
      <c r="AL2745" s="72"/>
      <c r="AM2745" s="72"/>
    </row>
    <row r="2746" spans="1:39" x14ac:dyDescent="0.25">
      <c r="A2746" s="37" t="s">
        <v>62</v>
      </c>
      <c r="B2746" s="66" t="s">
        <v>1629</v>
      </c>
      <c r="C2746" s="4">
        <v>1058</v>
      </c>
      <c r="D2746" s="41" t="s">
        <v>1344</v>
      </c>
      <c r="E2746" s="41">
        <v>10580024</v>
      </c>
      <c r="F2746" s="85" t="s">
        <v>1511</v>
      </c>
      <c r="G2746" s="39" t="s">
        <v>93</v>
      </c>
      <c r="H2746" s="52" t="s">
        <v>94</v>
      </c>
      <c r="I2746" s="52">
        <v>192.5</v>
      </c>
      <c r="J2746" s="49">
        <v>7320.7599999999984</v>
      </c>
      <c r="K2746" s="58">
        <v>198</v>
      </c>
      <c r="L2746" s="58">
        <v>7745.4199585521301</v>
      </c>
      <c r="M2746" s="58">
        <v>0</v>
      </c>
      <c r="N2746" s="58">
        <v>0</v>
      </c>
      <c r="O2746" s="58">
        <v>198</v>
      </c>
      <c r="P2746" s="53">
        <v>7745.4199585521301</v>
      </c>
      <c r="Q2746" s="65">
        <v>7320.7599999999984</v>
      </c>
      <c r="R2746" s="65">
        <v>0</v>
      </c>
      <c r="S2746" s="65">
        <v>0</v>
      </c>
      <c r="T2746" s="65">
        <v>424.65995855213168</v>
      </c>
      <c r="U2746" s="58">
        <v>0</v>
      </c>
      <c r="V2746" s="65">
        <v>0</v>
      </c>
      <c r="W2746" s="65">
        <v>0</v>
      </c>
      <c r="X2746" s="65">
        <v>7321</v>
      </c>
      <c r="Y2746" s="65">
        <v>0</v>
      </c>
      <c r="Z2746" s="51">
        <v>0</v>
      </c>
      <c r="AA2746" s="51">
        <v>0</v>
      </c>
      <c r="AB2746" s="102">
        <v>0</v>
      </c>
      <c r="AC2746" s="81">
        <f t="shared" si="130"/>
        <v>386.00370909090896</v>
      </c>
      <c r="AD2746" s="82">
        <f t="shared" si="131"/>
        <v>27.5</v>
      </c>
      <c r="AE2746" s="218">
        <v>-5.8007632889499422E-2</v>
      </c>
      <c r="AF2746">
        <v>2</v>
      </c>
      <c r="AH2746" t="str">
        <f t="shared" si="129"/>
        <v>Hasanpur</v>
      </c>
      <c r="AJ2746" s="72">
        <v>0</v>
      </c>
      <c r="AK2746" s="72"/>
      <c r="AL2746" s="72"/>
      <c r="AM2746" s="72"/>
    </row>
    <row r="2747" spans="1:39" x14ac:dyDescent="0.25">
      <c r="A2747" s="37" t="s">
        <v>62</v>
      </c>
      <c r="B2747" s="66" t="s">
        <v>1629</v>
      </c>
      <c r="C2747" s="4">
        <v>1058</v>
      </c>
      <c r="D2747" s="41" t="s">
        <v>1344</v>
      </c>
      <c r="E2747" s="41">
        <v>10580025</v>
      </c>
      <c r="F2747" s="85" t="s">
        <v>1512</v>
      </c>
      <c r="G2747" s="39" t="s">
        <v>93</v>
      </c>
      <c r="H2747" s="52" t="s">
        <v>94</v>
      </c>
      <c r="I2747" s="52">
        <v>548</v>
      </c>
      <c r="J2747" s="49">
        <v>21541.55</v>
      </c>
      <c r="K2747" s="58">
        <v>433.7699999999997</v>
      </c>
      <c r="L2747" s="58">
        <v>17215.629245975102</v>
      </c>
      <c r="M2747" s="58">
        <v>0</v>
      </c>
      <c r="N2747" s="58">
        <v>0</v>
      </c>
      <c r="O2747" s="58">
        <v>433.7699999999997</v>
      </c>
      <c r="P2747" s="53">
        <v>17215.629245975102</v>
      </c>
      <c r="Q2747" s="65">
        <v>17215.629245975102</v>
      </c>
      <c r="R2747" s="65">
        <v>0</v>
      </c>
      <c r="S2747" s="65">
        <v>0</v>
      </c>
      <c r="T2747" s="65">
        <v>0</v>
      </c>
      <c r="U2747" s="58">
        <v>0</v>
      </c>
      <c r="V2747" s="65">
        <v>0</v>
      </c>
      <c r="W2747" s="65">
        <v>0</v>
      </c>
      <c r="X2747" s="65">
        <v>17216</v>
      </c>
      <c r="Y2747" s="65">
        <v>0</v>
      </c>
      <c r="Z2747" s="51">
        <v>0</v>
      </c>
      <c r="AA2747" s="51">
        <v>4326</v>
      </c>
      <c r="AB2747" s="102">
        <v>0</v>
      </c>
      <c r="AC2747" s="81">
        <f t="shared" si="130"/>
        <v>119.50056934306564</v>
      </c>
      <c r="AD2747" s="82">
        <f t="shared" si="131"/>
        <v>78.285714285714292</v>
      </c>
      <c r="AE2747" s="218">
        <v>0.20081752492392133</v>
      </c>
      <c r="AF2747">
        <v>6</v>
      </c>
      <c r="AH2747" t="str">
        <f t="shared" si="129"/>
        <v>Hasanpur</v>
      </c>
      <c r="AJ2747" s="72">
        <v>0</v>
      </c>
      <c r="AK2747" s="72"/>
      <c r="AL2747" s="72"/>
      <c r="AM2747" s="72"/>
    </row>
    <row r="2748" spans="1:39" x14ac:dyDescent="0.25">
      <c r="A2748" s="37" t="s">
        <v>62</v>
      </c>
      <c r="B2748" s="66" t="s">
        <v>1629</v>
      </c>
      <c r="C2748" s="4">
        <v>1058</v>
      </c>
      <c r="D2748" s="41" t="s">
        <v>1344</v>
      </c>
      <c r="E2748" s="41">
        <v>10580026</v>
      </c>
      <c r="F2748" s="85" t="s">
        <v>1513</v>
      </c>
      <c r="G2748" s="39" t="s">
        <v>93</v>
      </c>
      <c r="H2748" s="52" t="s">
        <v>94</v>
      </c>
      <c r="I2748" s="52">
        <v>200.49999999999997</v>
      </c>
      <c r="J2748" s="49">
        <v>6663.0000000000009</v>
      </c>
      <c r="K2748" s="58">
        <v>220.9</v>
      </c>
      <c r="L2748" s="58">
        <v>7417.6236969120018</v>
      </c>
      <c r="M2748" s="58">
        <v>0</v>
      </c>
      <c r="N2748" s="58">
        <v>0</v>
      </c>
      <c r="O2748" s="58">
        <v>220.9</v>
      </c>
      <c r="P2748" s="53">
        <v>7417.6236969120018</v>
      </c>
      <c r="Q2748" s="65">
        <v>6663.0000000000009</v>
      </c>
      <c r="R2748" s="65">
        <v>0</v>
      </c>
      <c r="S2748" s="65">
        <v>0</v>
      </c>
      <c r="T2748" s="65">
        <v>754.62369691200092</v>
      </c>
      <c r="U2748" s="58">
        <v>0</v>
      </c>
      <c r="V2748" s="65">
        <v>0</v>
      </c>
      <c r="W2748" s="65">
        <v>0</v>
      </c>
      <c r="X2748" s="65">
        <v>6663</v>
      </c>
      <c r="Y2748" s="65">
        <v>0</v>
      </c>
      <c r="Z2748" s="51">
        <v>0</v>
      </c>
      <c r="AA2748" s="51">
        <v>0</v>
      </c>
      <c r="AB2748" s="102">
        <v>0</v>
      </c>
      <c r="AC2748" s="81">
        <f t="shared" si="130"/>
        <v>331.98688279301751</v>
      </c>
      <c r="AD2748" s="82">
        <f t="shared" si="131"/>
        <v>28.642857142857139</v>
      </c>
      <c r="AE2748" s="218">
        <v>-0.11325584525168855</v>
      </c>
      <c r="AF2748">
        <v>1</v>
      </c>
      <c r="AH2748" t="str">
        <f t="shared" si="129"/>
        <v>Hasanpur</v>
      </c>
      <c r="AJ2748" s="72">
        <v>0</v>
      </c>
      <c r="AK2748" s="72"/>
      <c r="AL2748" s="72"/>
      <c r="AM2748" s="72"/>
    </row>
    <row r="2749" spans="1:39" x14ac:dyDescent="0.25">
      <c r="A2749" s="37" t="s">
        <v>62</v>
      </c>
      <c r="B2749" s="66" t="s">
        <v>1629</v>
      </c>
      <c r="C2749" s="4">
        <v>1058</v>
      </c>
      <c r="D2749" s="41" t="s">
        <v>1344</v>
      </c>
      <c r="E2749" s="41">
        <v>10580027</v>
      </c>
      <c r="F2749" s="85" t="s">
        <v>1514</v>
      </c>
      <c r="G2749" s="39" t="s">
        <v>93</v>
      </c>
      <c r="H2749" s="52" t="s">
        <v>94</v>
      </c>
      <c r="I2749" s="52">
        <v>119.4</v>
      </c>
      <c r="J2749" s="49">
        <v>4892.8</v>
      </c>
      <c r="K2749" s="58">
        <v>1.97</v>
      </c>
      <c r="L2749" s="58">
        <v>68.992873091999996</v>
      </c>
      <c r="M2749" s="58">
        <v>0</v>
      </c>
      <c r="N2749" s="58">
        <v>0</v>
      </c>
      <c r="O2749" s="58">
        <v>1.97</v>
      </c>
      <c r="P2749" s="53">
        <v>68.992873091999996</v>
      </c>
      <c r="Q2749" s="65">
        <v>68.992873091999996</v>
      </c>
      <c r="R2749" s="65">
        <v>0</v>
      </c>
      <c r="S2749" s="65">
        <v>0</v>
      </c>
      <c r="T2749" s="65">
        <v>0</v>
      </c>
      <c r="U2749" s="58">
        <v>0</v>
      </c>
      <c r="V2749" s="65">
        <v>0</v>
      </c>
      <c r="W2749" s="65">
        <v>0</v>
      </c>
      <c r="X2749" s="65">
        <v>69</v>
      </c>
      <c r="Y2749" s="65">
        <v>0</v>
      </c>
      <c r="Z2749" s="51">
        <v>0</v>
      </c>
      <c r="AA2749" s="51">
        <v>4824</v>
      </c>
      <c r="AB2749" s="102">
        <v>0</v>
      </c>
      <c r="AC2749" s="81">
        <f t="shared" si="130"/>
        <v>475.83914237855947</v>
      </c>
      <c r="AD2749" s="82">
        <f t="shared" si="131"/>
        <v>17.057142857142857</v>
      </c>
      <c r="AE2749" s="218">
        <v>0.98589910213129495</v>
      </c>
      <c r="AF2749">
        <v>1</v>
      </c>
      <c r="AH2749" t="str">
        <f t="shared" si="129"/>
        <v>Hasanpur</v>
      </c>
      <c r="AJ2749" s="72">
        <v>0</v>
      </c>
      <c r="AK2749" s="72"/>
      <c r="AL2749" s="72"/>
      <c r="AM2749" s="72"/>
    </row>
    <row r="2750" spans="1:39" x14ac:dyDescent="0.25">
      <c r="A2750" s="37" t="s">
        <v>62</v>
      </c>
      <c r="B2750" s="66" t="s">
        <v>1629</v>
      </c>
      <c r="C2750" s="4">
        <v>1058</v>
      </c>
      <c r="D2750" s="41" t="s">
        <v>1344</v>
      </c>
      <c r="E2750" s="41">
        <v>10580028</v>
      </c>
      <c r="F2750" s="85" t="s">
        <v>1515</v>
      </c>
      <c r="G2750" s="39" t="s">
        <v>93</v>
      </c>
      <c r="H2750" s="52" t="s">
        <v>94</v>
      </c>
      <c r="I2750" s="52">
        <v>410.4</v>
      </c>
      <c r="J2750" s="49">
        <v>16245.990000000002</v>
      </c>
      <c r="K2750" s="58">
        <v>447.3</v>
      </c>
      <c r="L2750" s="58">
        <v>18902.197986253999</v>
      </c>
      <c r="M2750" s="58">
        <v>0</v>
      </c>
      <c r="N2750" s="58">
        <v>0</v>
      </c>
      <c r="O2750" s="58">
        <v>447.3</v>
      </c>
      <c r="P2750" s="53">
        <v>18902.197986253999</v>
      </c>
      <c r="Q2750" s="65">
        <v>16245.990000000002</v>
      </c>
      <c r="R2750" s="65">
        <v>0</v>
      </c>
      <c r="S2750" s="65">
        <v>0</v>
      </c>
      <c r="T2750" s="65">
        <v>2656.2079862539977</v>
      </c>
      <c r="U2750" s="58">
        <v>0</v>
      </c>
      <c r="V2750" s="65">
        <v>0</v>
      </c>
      <c r="W2750" s="65">
        <v>0</v>
      </c>
      <c r="X2750" s="65">
        <v>16246</v>
      </c>
      <c r="Y2750" s="65">
        <v>0</v>
      </c>
      <c r="Z2750" s="51">
        <v>0</v>
      </c>
      <c r="AA2750" s="51">
        <v>0</v>
      </c>
      <c r="AB2750" s="102">
        <v>0</v>
      </c>
      <c r="AC2750" s="81">
        <f t="shared" si="130"/>
        <v>229.28063859649126</v>
      </c>
      <c r="AD2750" s="82">
        <f t="shared" si="131"/>
        <v>58.628571428571426</v>
      </c>
      <c r="AE2750" s="218">
        <v>-0.16349929959663875</v>
      </c>
      <c r="AF2750">
        <v>4</v>
      </c>
      <c r="AH2750" t="str">
        <f t="shared" si="129"/>
        <v>Hasanpur</v>
      </c>
      <c r="AJ2750" s="72">
        <v>0</v>
      </c>
      <c r="AK2750" s="72"/>
      <c r="AL2750" s="72"/>
      <c r="AM2750" s="72"/>
    </row>
    <row r="2751" spans="1:39" x14ac:dyDescent="0.25">
      <c r="A2751" s="37" t="s">
        <v>62</v>
      </c>
      <c r="B2751" s="66" t="s">
        <v>1629</v>
      </c>
      <c r="C2751" s="4">
        <v>1058</v>
      </c>
      <c r="D2751" s="41" t="s">
        <v>1344</v>
      </c>
      <c r="E2751" s="41">
        <v>10580029</v>
      </c>
      <c r="F2751" s="85" t="s">
        <v>1244</v>
      </c>
      <c r="G2751" s="39" t="s">
        <v>93</v>
      </c>
      <c r="H2751" s="52" t="s">
        <v>94</v>
      </c>
      <c r="I2751" s="52">
        <v>195.69999999999996</v>
      </c>
      <c r="J2751" s="49">
        <v>8281.33</v>
      </c>
      <c r="K2751" s="58">
        <v>197.3</v>
      </c>
      <c r="L2751" s="58">
        <v>8816.0119112795001</v>
      </c>
      <c r="M2751" s="58">
        <v>0</v>
      </c>
      <c r="N2751" s="58">
        <v>0</v>
      </c>
      <c r="O2751" s="58">
        <v>197.3</v>
      </c>
      <c r="P2751" s="53">
        <v>8816.0119112795001</v>
      </c>
      <c r="Q2751" s="65">
        <v>8281.33</v>
      </c>
      <c r="R2751" s="65">
        <v>0</v>
      </c>
      <c r="S2751" s="65">
        <v>0</v>
      </c>
      <c r="T2751" s="65">
        <v>534.68191127950013</v>
      </c>
      <c r="U2751" s="58">
        <v>0</v>
      </c>
      <c r="V2751" s="65">
        <v>0</v>
      </c>
      <c r="W2751" s="65">
        <v>0</v>
      </c>
      <c r="X2751" s="65">
        <v>8281</v>
      </c>
      <c r="Y2751" s="65">
        <v>0</v>
      </c>
      <c r="Z2751" s="51">
        <v>0</v>
      </c>
      <c r="AA2751" s="51">
        <v>0</v>
      </c>
      <c r="AB2751" s="102" t="s">
        <v>68</v>
      </c>
      <c r="AC2751" s="81">
        <f t="shared" si="130"/>
        <v>426.80375258048042</v>
      </c>
      <c r="AD2751" s="82">
        <f t="shared" si="131"/>
        <v>27.957142857142852</v>
      </c>
      <c r="AE2751" s="218">
        <v>-6.4564739151742545E-2</v>
      </c>
      <c r="AF2751">
        <v>5</v>
      </c>
      <c r="AH2751" t="str">
        <f t="shared" si="129"/>
        <v>Hasanpur</v>
      </c>
      <c r="AJ2751" s="72">
        <v>0</v>
      </c>
      <c r="AK2751" s="72"/>
      <c r="AL2751" s="72"/>
      <c r="AM2751" s="72"/>
    </row>
    <row r="2752" spans="1:39" x14ac:dyDescent="0.25">
      <c r="A2752" s="37" t="s">
        <v>62</v>
      </c>
      <c r="B2752" s="66" t="s">
        <v>1629</v>
      </c>
      <c r="C2752" s="4">
        <v>1058</v>
      </c>
      <c r="D2752" s="41" t="s">
        <v>1344</v>
      </c>
      <c r="E2752" s="41">
        <v>10580030</v>
      </c>
      <c r="F2752" s="85" t="s">
        <v>1516</v>
      </c>
      <c r="G2752" s="39" t="s">
        <v>93</v>
      </c>
      <c r="H2752" s="52" t="s">
        <v>94</v>
      </c>
      <c r="I2752" s="52">
        <v>621.5</v>
      </c>
      <c r="J2752" s="49">
        <v>20852.829999999998</v>
      </c>
      <c r="K2752" s="58">
        <v>622.19999999999993</v>
      </c>
      <c r="L2752" s="58">
        <v>20944.194455448</v>
      </c>
      <c r="M2752" s="58">
        <v>0</v>
      </c>
      <c r="N2752" s="58">
        <v>0</v>
      </c>
      <c r="O2752" s="58">
        <v>622.19999999999993</v>
      </c>
      <c r="P2752" s="53">
        <v>20944.194455448</v>
      </c>
      <c r="Q2752" s="65">
        <v>20852.829999999998</v>
      </c>
      <c r="R2752" s="65">
        <v>0</v>
      </c>
      <c r="S2752" s="65">
        <v>0</v>
      </c>
      <c r="T2752" s="65">
        <v>91.364455448001536</v>
      </c>
      <c r="U2752" s="58">
        <v>0</v>
      </c>
      <c r="V2752" s="65">
        <v>0</v>
      </c>
      <c r="W2752" s="65">
        <v>0</v>
      </c>
      <c r="X2752" s="65">
        <v>20853</v>
      </c>
      <c r="Y2752" s="65">
        <v>0</v>
      </c>
      <c r="Z2752" s="51">
        <v>0</v>
      </c>
      <c r="AA2752" s="51">
        <v>0</v>
      </c>
      <c r="AB2752" s="102">
        <v>0</v>
      </c>
      <c r="AC2752" s="81">
        <f t="shared" si="130"/>
        <v>52.677301850361992</v>
      </c>
      <c r="AD2752" s="82">
        <f t="shared" si="131"/>
        <v>88.785714285714292</v>
      </c>
      <c r="AE2752" s="218">
        <v>-4.3813935781379099E-3</v>
      </c>
      <c r="AF2752">
        <v>1</v>
      </c>
      <c r="AH2752" t="str">
        <f t="shared" ref="AH2752:AH2812" si="132">TEXT(D2752,"0000")</f>
        <v>Hasanpur</v>
      </c>
      <c r="AJ2752" s="72">
        <v>0</v>
      </c>
      <c r="AK2752" s="72"/>
      <c r="AL2752" s="72"/>
      <c r="AM2752" s="72"/>
    </row>
    <row r="2753" spans="1:39" x14ac:dyDescent="0.25">
      <c r="A2753" s="37" t="s">
        <v>62</v>
      </c>
      <c r="B2753" s="66" t="s">
        <v>1629</v>
      </c>
      <c r="C2753" s="4">
        <v>1059</v>
      </c>
      <c r="D2753" s="41" t="s">
        <v>1347</v>
      </c>
      <c r="E2753" s="41">
        <v>10590001</v>
      </c>
      <c r="F2753" s="85" t="s">
        <v>1341</v>
      </c>
      <c r="G2753" s="39" t="s">
        <v>93</v>
      </c>
      <c r="H2753" s="52" t="s">
        <v>94</v>
      </c>
      <c r="I2753" s="52">
        <v>804.99999999999977</v>
      </c>
      <c r="J2753" s="49">
        <v>42858.630000000005</v>
      </c>
      <c r="K2753" s="58">
        <v>885.98</v>
      </c>
      <c r="L2753" s="58">
        <v>46408.471794294492</v>
      </c>
      <c r="M2753" s="58">
        <v>0</v>
      </c>
      <c r="N2753" s="58">
        <v>0</v>
      </c>
      <c r="O2753" s="58">
        <v>885.98</v>
      </c>
      <c r="P2753" s="53">
        <v>46408.471794294492</v>
      </c>
      <c r="Q2753" s="65">
        <v>42858.630000000005</v>
      </c>
      <c r="R2753" s="65">
        <v>0</v>
      </c>
      <c r="S2753" s="65">
        <v>0</v>
      </c>
      <c r="T2753" s="65">
        <v>3549.841794294487</v>
      </c>
      <c r="U2753" s="58">
        <v>0</v>
      </c>
      <c r="V2753" s="65">
        <v>0</v>
      </c>
      <c r="W2753" s="65">
        <v>0</v>
      </c>
      <c r="X2753" s="65">
        <v>42859</v>
      </c>
      <c r="Y2753" s="65">
        <v>0</v>
      </c>
      <c r="Z2753" s="51">
        <v>0</v>
      </c>
      <c r="AA2753" s="51">
        <v>0</v>
      </c>
      <c r="AB2753" s="102">
        <v>0</v>
      </c>
      <c r="AC2753" s="81">
        <f t="shared" si="130"/>
        <v>0</v>
      </c>
      <c r="AD2753" s="82">
        <f t="shared" si="131"/>
        <v>0</v>
      </c>
      <c r="AE2753" s="218">
        <v>-8.2826767778029456E-2</v>
      </c>
      <c r="AF2753">
        <v>3</v>
      </c>
      <c r="AH2753" t="str">
        <f t="shared" si="132"/>
        <v>Gopalpur Bmc</v>
      </c>
      <c r="AJ2753" s="72">
        <v>0</v>
      </c>
      <c r="AK2753" s="72"/>
      <c r="AL2753" s="72"/>
      <c r="AM2753" s="72"/>
    </row>
    <row r="2754" spans="1:39" x14ac:dyDescent="0.25">
      <c r="A2754" s="37" t="s">
        <v>62</v>
      </c>
      <c r="B2754" s="66" t="s">
        <v>1629</v>
      </c>
      <c r="C2754" s="4">
        <v>1059</v>
      </c>
      <c r="D2754" s="41" t="s">
        <v>1347</v>
      </c>
      <c r="E2754" s="41">
        <v>10590002</v>
      </c>
      <c r="F2754" s="85" t="s">
        <v>1342</v>
      </c>
      <c r="G2754" s="39" t="s">
        <v>93</v>
      </c>
      <c r="H2754" s="52" t="s">
        <v>94</v>
      </c>
      <c r="I2754" s="52">
        <v>153.89999999999998</v>
      </c>
      <c r="J2754" s="49">
        <v>9559.2099999999991</v>
      </c>
      <c r="K2754" s="58">
        <v>159.73999999999998</v>
      </c>
      <c r="L2754" s="58">
        <v>10085.778701540901</v>
      </c>
      <c r="M2754" s="58">
        <v>0</v>
      </c>
      <c r="N2754" s="58">
        <v>0</v>
      </c>
      <c r="O2754" s="58">
        <v>159.73999999999998</v>
      </c>
      <c r="P2754" s="53">
        <v>10085.778701540901</v>
      </c>
      <c r="Q2754" s="65">
        <v>9559.2099999999991</v>
      </c>
      <c r="R2754" s="65">
        <v>0</v>
      </c>
      <c r="S2754" s="65">
        <v>0</v>
      </c>
      <c r="T2754" s="65">
        <v>526.56870154090211</v>
      </c>
      <c r="U2754" s="58">
        <v>0</v>
      </c>
      <c r="V2754" s="65">
        <v>14.188083870967716</v>
      </c>
      <c r="W2754" s="65">
        <v>0</v>
      </c>
      <c r="X2754" s="65">
        <v>9545</v>
      </c>
      <c r="Y2754" s="65">
        <v>0</v>
      </c>
      <c r="Z2754" s="51">
        <v>0</v>
      </c>
      <c r="AA2754" s="51">
        <v>0</v>
      </c>
      <c r="AB2754" s="102">
        <v>0</v>
      </c>
      <c r="AC2754" s="81">
        <f t="shared" ref="AC2754:AC2817" si="133">((IF(AD2754=0,0,100-AD2754))*7*(J2754/I2754))*2%</f>
        <v>678.39955568551011</v>
      </c>
      <c r="AD2754" s="82">
        <f t="shared" ref="AD2754:AD2817" si="134">IF((I2754/7)&gt;100,0,(I2754/7))</f>
        <v>21.985714285714284</v>
      </c>
      <c r="AE2754" s="218">
        <v>-5.5084960110814825E-2</v>
      </c>
      <c r="AF2754">
        <v>1</v>
      </c>
      <c r="AH2754" t="str">
        <f t="shared" si="132"/>
        <v>Gopalpur Bmc</v>
      </c>
      <c r="AJ2754" s="72">
        <v>0</v>
      </c>
      <c r="AK2754" s="72"/>
      <c r="AL2754" s="72"/>
      <c r="AM2754" s="72"/>
    </row>
    <row r="2755" spans="1:39" x14ac:dyDescent="0.25">
      <c r="A2755" s="37" t="s">
        <v>62</v>
      </c>
      <c r="B2755" s="66" t="s">
        <v>1629</v>
      </c>
      <c r="C2755" s="4">
        <v>1059</v>
      </c>
      <c r="D2755" s="41" t="s">
        <v>1347</v>
      </c>
      <c r="E2755" s="41">
        <v>10590004</v>
      </c>
      <c r="F2755" s="85" t="s">
        <v>1343</v>
      </c>
      <c r="G2755" s="39" t="s">
        <v>93</v>
      </c>
      <c r="H2755" s="52" t="s">
        <v>94</v>
      </c>
      <c r="I2755" s="52">
        <v>1028.6999999999998</v>
      </c>
      <c r="J2755" s="49">
        <v>39108.69</v>
      </c>
      <c r="K2755" s="58">
        <v>1029.3</v>
      </c>
      <c r="L2755" s="58">
        <v>39237.966547560012</v>
      </c>
      <c r="M2755" s="58">
        <v>0</v>
      </c>
      <c r="N2755" s="58">
        <v>0</v>
      </c>
      <c r="O2755" s="58">
        <v>1029.3</v>
      </c>
      <c r="P2755" s="53">
        <v>39237.966547560012</v>
      </c>
      <c r="Q2755" s="65">
        <v>39108.69</v>
      </c>
      <c r="R2755" s="65">
        <v>0</v>
      </c>
      <c r="S2755" s="65">
        <v>0</v>
      </c>
      <c r="T2755" s="65">
        <v>129.27654756000993</v>
      </c>
      <c r="U2755" s="58">
        <v>0</v>
      </c>
      <c r="V2755" s="65">
        <v>0</v>
      </c>
      <c r="W2755" s="65">
        <v>0</v>
      </c>
      <c r="X2755" s="65">
        <v>39109</v>
      </c>
      <c r="Y2755" s="65">
        <v>0</v>
      </c>
      <c r="Z2755" s="51">
        <v>0</v>
      </c>
      <c r="AA2755" s="51">
        <v>0</v>
      </c>
      <c r="AB2755" s="102">
        <v>0</v>
      </c>
      <c r="AC2755" s="81">
        <f t="shared" si="133"/>
        <v>0</v>
      </c>
      <c r="AD2755" s="82">
        <f t="shared" si="134"/>
        <v>0</v>
      </c>
      <c r="AE2755" s="218">
        <v>-3.3055708989487994E-3</v>
      </c>
      <c r="AF2755">
        <v>1</v>
      </c>
      <c r="AH2755" t="str">
        <f t="shared" si="132"/>
        <v>Gopalpur Bmc</v>
      </c>
      <c r="AJ2755" s="72">
        <v>0</v>
      </c>
      <c r="AK2755" s="72"/>
      <c r="AL2755" s="72"/>
      <c r="AM2755" s="72"/>
    </row>
    <row r="2756" spans="1:39" x14ac:dyDescent="0.25">
      <c r="A2756" s="37" t="s">
        <v>62</v>
      </c>
      <c r="B2756" s="66" t="s">
        <v>1629</v>
      </c>
      <c r="C2756" s="4">
        <v>1059</v>
      </c>
      <c r="D2756" s="41" t="s">
        <v>1347</v>
      </c>
      <c r="E2756" s="41">
        <v>10590006</v>
      </c>
      <c r="F2756" s="85" t="s">
        <v>1358</v>
      </c>
      <c r="G2756" s="39" t="s">
        <v>93</v>
      </c>
      <c r="H2756" s="52" t="s">
        <v>94</v>
      </c>
      <c r="I2756" s="52">
        <v>561.19999999999993</v>
      </c>
      <c r="J2756" s="49">
        <v>24908.79</v>
      </c>
      <c r="K2756" s="58">
        <v>584.1</v>
      </c>
      <c r="L2756" s="58">
        <v>24691.883747136206</v>
      </c>
      <c r="M2756" s="58">
        <v>0</v>
      </c>
      <c r="N2756" s="58">
        <v>0</v>
      </c>
      <c r="O2756" s="58">
        <v>584.1</v>
      </c>
      <c r="P2756" s="53">
        <v>24691.883747136206</v>
      </c>
      <c r="Q2756" s="65">
        <v>24691.883747136206</v>
      </c>
      <c r="R2756" s="65">
        <v>0</v>
      </c>
      <c r="S2756" s="65">
        <v>0</v>
      </c>
      <c r="T2756" s="65">
        <v>0</v>
      </c>
      <c r="U2756" s="58">
        <v>0</v>
      </c>
      <c r="V2756" s="65">
        <v>0</v>
      </c>
      <c r="W2756" s="65">
        <v>0</v>
      </c>
      <c r="X2756" s="65">
        <v>24692</v>
      </c>
      <c r="Y2756" s="65">
        <v>0</v>
      </c>
      <c r="Z2756" s="51">
        <v>0</v>
      </c>
      <c r="AA2756" s="51">
        <v>217</v>
      </c>
      <c r="AB2756" s="102">
        <v>0</v>
      </c>
      <c r="AC2756" s="81">
        <f t="shared" si="133"/>
        <v>123.21240384889531</v>
      </c>
      <c r="AD2756" s="82">
        <f t="shared" si="134"/>
        <v>80.171428571428564</v>
      </c>
      <c r="AE2756" s="218">
        <v>8.7080204563848781E-3</v>
      </c>
      <c r="AF2756">
        <v>8</v>
      </c>
      <c r="AH2756" t="str">
        <f t="shared" si="132"/>
        <v>Gopalpur Bmc</v>
      </c>
      <c r="AJ2756" s="72">
        <v>0</v>
      </c>
      <c r="AK2756" s="72"/>
      <c r="AL2756" s="72"/>
      <c r="AM2756" s="72"/>
    </row>
    <row r="2757" spans="1:39" x14ac:dyDescent="0.25">
      <c r="A2757" s="37" t="s">
        <v>62</v>
      </c>
      <c r="B2757" s="66" t="s">
        <v>1629</v>
      </c>
      <c r="C2757" s="4">
        <v>1059</v>
      </c>
      <c r="D2757" s="41" t="s">
        <v>1347</v>
      </c>
      <c r="E2757" s="41">
        <v>10590008</v>
      </c>
      <c r="F2757" s="85" t="s">
        <v>1430</v>
      </c>
      <c r="G2757" s="39" t="s">
        <v>93</v>
      </c>
      <c r="H2757" s="52" t="s">
        <v>94</v>
      </c>
      <c r="I2757" s="52">
        <v>332.09999999999997</v>
      </c>
      <c r="J2757" s="49">
        <v>15049.500000000002</v>
      </c>
      <c r="K2757" s="58">
        <v>332.80000000000013</v>
      </c>
      <c r="L2757" s="58">
        <v>15118.439292223</v>
      </c>
      <c r="M2757" s="58">
        <v>0</v>
      </c>
      <c r="N2757" s="58">
        <v>0</v>
      </c>
      <c r="O2757" s="58">
        <v>332.80000000000013</v>
      </c>
      <c r="P2757" s="53">
        <v>15118.439292223</v>
      </c>
      <c r="Q2757" s="65">
        <v>15049.500000000002</v>
      </c>
      <c r="R2757" s="65">
        <v>0</v>
      </c>
      <c r="S2757" s="65">
        <v>0</v>
      </c>
      <c r="T2757" s="65">
        <v>68.93929222299812</v>
      </c>
      <c r="U2757" s="58">
        <v>0</v>
      </c>
      <c r="V2757" s="65">
        <v>0</v>
      </c>
      <c r="W2757" s="65">
        <v>0</v>
      </c>
      <c r="X2757" s="65">
        <v>15050</v>
      </c>
      <c r="Y2757" s="65">
        <v>0</v>
      </c>
      <c r="Z2757" s="51">
        <v>0</v>
      </c>
      <c r="AA2757" s="51">
        <v>0</v>
      </c>
      <c r="AB2757" s="102">
        <v>0</v>
      </c>
      <c r="AC2757" s="81">
        <f t="shared" si="133"/>
        <v>333.43637759710947</v>
      </c>
      <c r="AD2757" s="82">
        <f t="shared" si="134"/>
        <v>47.442857142857136</v>
      </c>
      <c r="AE2757" s="218">
        <v>-4.5808360558821301E-3</v>
      </c>
      <c r="AF2757">
        <v>1</v>
      </c>
      <c r="AH2757" t="str">
        <f t="shared" si="132"/>
        <v>Gopalpur Bmc</v>
      </c>
      <c r="AJ2757" s="72">
        <v>0</v>
      </c>
      <c r="AK2757" s="72"/>
      <c r="AL2757" s="72"/>
      <c r="AM2757" s="72"/>
    </row>
    <row r="2758" spans="1:39" x14ac:dyDescent="0.25">
      <c r="A2758" s="37" t="s">
        <v>62</v>
      </c>
      <c r="B2758" s="66" t="s">
        <v>1629</v>
      </c>
      <c r="C2758" s="4">
        <v>1059</v>
      </c>
      <c r="D2758" s="41" t="s">
        <v>1347</v>
      </c>
      <c r="E2758" s="41">
        <v>10590010</v>
      </c>
      <c r="F2758" s="85" t="s">
        <v>1431</v>
      </c>
      <c r="G2758" s="39" t="s">
        <v>93</v>
      </c>
      <c r="H2758" s="52" t="s">
        <v>94</v>
      </c>
      <c r="I2758" s="52">
        <v>1396.8</v>
      </c>
      <c r="J2758" s="49">
        <v>66826.75999999998</v>
      </c>
      <c r="K2758" s="58">
        <v>1421</v>
      </c>
      <c r="L2758" s="58">
        <v>67426.695371478912</v>
      </c>
      <c r="M2758" s="58">
        <v>0</v>
      </c>
      <c r="N2758" s="58">
        <v>0</v>
      </c>
      <c r="O2758" s="58">
        <v>1421</v>
      </c>
      <c r="P2758" s="53">
        <v>67426.695371478912</v>
      </c>
      <c r="Q2758" s="65">
        <v>66826.75999999998</v>
      </c>
      <c r="R2758" s="65">
        <v>0</v>
      </c>
      <c r="S2758" s="65">
        <v>0</v>
      </c>
      <c r="T2758" s="65">
        <v>599.93537147893221</v>
      </c>
      <c r="U2758" s="58">
        <v>0</v>
      </c>
      <c r="V2758" s="65">
        <v>0</v>
      </c>
      <c r="W2758" s="65">
        <v>0</v>
      </c>
      <c r="X2758" s="65">
        <v>66827</v>
      </c>
      <c r="Y2758" s="65">
        <v>0</v>
      </c>
      <c r="Z2758" s="51">
        <v>0</v>
      </c>
      <c r="AA2758" s="51">
        <v>0</v>
      </c>
      <c r="AB2758" s="102">
        <v>0</v>
      </c>
      <c r="AC2758" s="81">
        <f t="shared" si="133"/>
        <v>0</v>
      </c>
      <c r="AD2758" s="82">
        <f t="shared" si="134"/>
        <v>0</v>
      </c>
      <c r="AE2758" s="218">
        <v>-8.9774720707532785E-3</v>
      </c>
      <c r="AF2758">
        <v>2</v>
      </c>
      <c r="AH2758" t="str">
        <f t="shared" si="132"/>
        <v>Gopalpur Bmc</v>
      </c>
      <c r="AJ2758" s="72">
        <v>0</v>
      </c>
      <c r="AK2758" s="72"/>
      <c r="AL2758" s="72"/>
      <c r="AM2758" s="72"/>
    </row>
    <row r="2759" spans="1:39" x14ac:dyDescent="0.25">
      <c r="A2759" s="37" t="s">
        <v>62</v>
      </c>
      <c r="B2759" s="66" t="s">
        <v>1629</v>
      </c>
      <c r="C2759" s="4">
        <v>1059</v>
      </c>
      <c r="D2759" s="41" t="s">
        <v>1347</v>
      </c>
      <c r="E2759" s="41">
        <v>10590011</v>
      </c>
      <c r="F2759" s="85" t="s">
        <v>1432</v>
      </c>
      <c r="G2759" s="39" t="s">
        <v>93</v>
      </c>
      <c r="H2759" s="52" t="s">
        <v>94</v>
      </c>
      <c r="I2759" s="52">
        <v>626.70000000000005</v>
      </c>
      <c r="J2759" s="49">
        <v>23989.600000000002</v>
      </c>
      <c r="K2759" s="58">
        <v>609.12</v>
      </c>
      <c r="L2759" s="58">
        <v>23608.882026710504</v>
      </c>
      <c r="M2759" s="58">
        <v>0</v>
      </c>
      <c r="N2759" s="58">
        <v>0</v>
      </c>
      <c r="O2759" s="58">
        <v>609.12</v>
      </c>
      <c r="P2759" s="53">
        <v>23608.882026710504</v>
      </c>
      <c r="Q2759" s="65">
        <v>23608.882026710504</v>
      </c>
      <c r="R2759" s="65">
        <v>0</v>
      </c>
      <c r="S2759" s="65">
        <v>0</v>
      </c>
      <c r="T2759" s="65">
        <v>0</v>
      </c>
      <c r="U2759" s="58">
        <v>0</v>
      </c>
      <c r="V2759" s="65">
        <v>0</v>
      </c>
      <c r="W2759" s="65">
        <v>0</v>
      </c>
      <c r="X2759" s="65">
        <v>23610</v>
      </c>
      <c r="Y2759" s="65">
        <v>0</v>
      </c>
      <c r="Z2759" s="51">
        <v>0</v>
      </c>
      <c r="AA2759" s="51">
        <v>380</v>
      </c>
      <c r="AB2759" s="102">
        <v>0</v>
      </c>
      <c r="AC2759" s="81">
        <f t="shared" si="133"/>
        <v>56.117366523057235</v>
      </c>
      <c r="AD2759" s="82">
        <f t="shared" si="134"/>
        <v>89.528571428571439</v>
      </c>
      <c r="AE2759" s="218">
        <v>1.5870125941637139E-2</v>
      </c>
      <c r="AF2759">
        <v>6</v>
      </c>
      <c r="AH2759" t="str">
        <f t="shared" si="132"/>
        <v>Gopalpur Bmc</v>
      </c>
      <c r="AJ2759" s="72">
        <v>0</v>
      </c>
      <c r="AK2759" s="72"/>
      <c r="AL2759" s="72"/>
      <c r="AM2759" s="72"/>
    </row>
    <row r="2760" spans="1:39" x14ac:dyDescent="0.25">
      <c r="A2760" s="37" t="s">
        <v>62</v>
      </c>
      <c r="B2760" s="66" t="s">
        <v>1629</v>
      </c>
      <c r="C2760" s="4">
        <v>1059</v>
      </c>
      <c r="D2760" s="41" t="s">
        <v>1347</v>
      </c>
      <c r="E2760" s="41">
        <v>10590012</v>
      </c>
      <c r="F2760" s="85" t="s">
        <v>1433</v>
      </c>
      <c r="G2760" s="39" t="s">
        <v>93</v>
      </c>
      <c r="H2760" s="52" t="s">
        <v>94</v>
      </c>
      <c r="I2760" s="52">
        <v>710.4</v>
      </c>
      <c r="J2760" s="49">
        <v>29167.63</v>
      </c>
      <c r="K2760" s="58">
        <v>710.40000000000009</v>
      </c>
      <c r="L2760" s="58">
        <v>29032.649363885103</v>
      </c>
      <c r="M2760" s="58">
        <v>0</v>
      </c>
      <c r="N2760" s="58">
        <v>0</v>
      </c>
      <c r="O2760" s="58">
        <v>710.40000000000009</v>
      </c>
      <c r="P2760" s="53">
        <v>29032.649363885103</v>
      </c>
      <c r="Q2760" s="65">
        <v>29032.649363885103</v>
      </c>
      <c r="R2760" s="65">
        <v>0</v>
      </c>
      <c r="S2760" s="65">
        <v>0</v>
      </c>
      <c r="T2760" s="65">
        <v>0</v>
      </c>
      <c r="U2760" s="58">
        <v>0</v>
      </c>
      <c r="V2760" s="65">
        <v>0</v>
      </c>
      <c r="W2760" s="65">
        <v>0</v>
      </c>
      <c r="X2760" s="65">
        <v>29033</v>
      </c>
      <c r="Y2760" s="65">
        <v>0</v>
      </c>
      <c r="Z2760" s="51">
        <v>0</v>
      </c>
      <c r="AA2760" s="51">
        <v>135</v>
      </c>
      <c r="AB2760" s="102">
        <v>0</v>
      </c>
      <c r="AC2760" s="81">
        <f t="shared" si="133"/>
        <v>0</v>
      </c>
      <c r="AD2760" s="82">
        <f t="shared" si="134"/>
        <v>0</v>
      </c>
      <c r="AE2760" s="218">
        <v>4.6277546758135132E-3</v>
      </c>
      <c r="AF2760">
        <v>1</v>
      </c>
      <c r="AH2760" t="str">
        <f t="shared" si="132"/>
        <v>Gopalpur Bmc</v>
      </c>
      <c r="AJ2760" s="72">
        <v>0</v>
      </c>
      <c r="AK2760" s="72"/>
      <c r="AL2760" s="72"/>
      <c r="AM2760" s="72"/>
    </row>
    <row r="2761" spans="1:39" x14ac:dyDescent="0.25">
      <c r="A2761" s="37" t="s">
        <v>62</v>
      </c>
      <c r="B2761" s="66" t="s">
        <v>1629</v>
      </c>
      <c r="C2761" s="4">
        <v>1059</v>
      </c>
      <c r="D2761" s="41" t="s">
        <v>1347</v>
      </c>
      <c r="E2761" s="41">
        <v>10590013</v>
      </c>
      <c r="F2761" s="85" t="s">
        <v>1400</v>
      </c>
      <c r="G2761" s="39" t="s">
        <v>93</v>
      </c>
      <c r="H2761" s="52" t="s">
        <v>94</v>
      </c>
      <c r="I2761" s="52">
        <v>523.79999999999995</v>
      </c>
      <c r="J2761" s="49">
        <v>21819.949999999997</v>
      </c>
      <c r="K2761" s="58">
        <v>523.80000000000007</v>
      </c>
      <c r="L2761" s="58">
        <v>21480.013549709998</v>
      </c>
      <c r="M2761" s="58">
        <v>0</v>
      </c>
      <c r="N2761" s="58">
        <v>0</v>
      </c>
      <c r="O2761" s="58">
        <v>523.80000000000007</v>
      </c>
      <c r="P2761" s="53">
        <v>21480.013549709998</v>
      </c>
      <c r="Q2761" s="65">
        <v>21480.013549709998</v>
      </c>
      <c r="R2761" s="65">
        <v>0</v>
      </c>
      <c r="S2761" s="65">
        <v>0</v>
      </c>
      <c r="T2761" s="65">
        <v>0</v>
      </c>
      <c r="U2761" s="58">
        <v>0</v>
      </c>
      <c r="V2761" s="65">
        <v>0</v>
      </c>
      <c r="W2761" s="65">
        <v>0</v>
      </c>
      <c r="X2761" s="65">
        <v>21480</v>
      </c>
      <c r="Y2761" s="65">
        <v>0</v>
      </c>
      <c r="Z2761" s="51">
        <v>0</v>
      </c>
      <c r="AA2761" s="51">
        <v>340</v>
      </c>
      <c r="AB2761" s="102">
        <v>0</v>
      </c>
      <c r="AC2761" s="81">
        <f t="shared" si="133"/>
        <v>146.79935815196643</v>
      </c>
      <c r="AD2761" s="82">
        <f t="shared" si="134"/>
        <v>74.828571428571422</v>
      </c>
      <c r="AE2761" s="218">
        <v>1.5579158077355767E-2</v>
      </c>
      <c r="AF2761">
        <v>1</v>
      </c>
      <c r="AH2761" t="str">
        <f t="shared" si="132"/>
        <v>Gopalpur Bmc</v>
      </c>
      <c r="AJ2761" s="72">
        <v>0</v>
      </c>
      <c r="AK2761" s="72"/>
      <c r="AL2761" s="72"/>
      <c r="AM2761" s="72"/>
    </row>
    <row r="2762" spans="1:39" x14ac:dyDescent="0.25">
      <c r="A2762" s="37" t="s">
        <v>62</v>
      </c>
      <c r="B2762" s="66" t="s">
        <v>1629</v>
      </c>
      <c r="C2762" s="4">
        <v>1059</v>
      </c>
      <c r="D2762" s="41" t="s">
        <v>1347</v>
      </c>
      <c r="E2762" s="41">
        <v>10590014</v>
      </c>
      <c r="F2762" s="85" t="s">
        <v>1517</v>
      </c>
      <c r="G2762" s="39" t="s">
        <v>93</v>
      </c>
      <c r="H2762" s="52" t="s">
        <v>94</v>
      </c>
      <c r="I2762" s="52">
        <v>478.00000000000006</v>
      </c>
      <c r="J2762" s="49">
        <v>20361.18</v>
      </c>
      <c r="K2762" s="58">
        <v>477.99999999999989</v>
      </c>
      <c r="L2762" s="58">
        <v>20477.3741322186</v>
      </c>
      <c r="M2762" s="58">
        <v>0</v>
      </c>
      <c r="N2762" s="58">
        <v>0</v>
      </c>
      <c r="O2762" s="58">
        <v>477.99999999999989</v>
      </c>
      <c r="P2762" s="53">
        <v>20477.3741322186</v>
      </c>
      <c r="Q2762" s="65">
        <v>20361.18</v>
      </c>
      <c r="R2762" s="65">
        <v>0</v>
      </c>
      <c r="S2762" s="65">
        <v>0</v>
      </c>
      <c r="T2762" s="65">
        <v>116.19413221859941</v>
      </c>
      <c r="U2762" s="58">
        <v>0</v>
      </c>
      <c r="V2762" s="65">
        <v>0</v>
      </c>
      <c r="W2762" s="65">
        <v>0</v>
      </c>
      <c r="X2762" s="65">
        <v>20361</v>
      </c>
      <c r="Y2762" s="65">
        <v>0</v>
      </c>
      <c r="Z2762" s="51">
        <v>0</v>
      </c>
      <c r="AA2762" s="51">
        <v>0</v>
      </c>
      <c r="AB2762" s="102">
        <v>0</v>
      </c>
      <c r="AC2762" s="81">
        <f t="shared" si="133"/>
        <v>189.12895230125517</v>
      </c>
      <c r="AD2762" s="82">
        <f t="shared" si="134"/>
        <v>68.285714285714292</v>
      </c>
      <c r="AE2762" s="218">
        <v>-5.7066502147026547E-3</v>
      </c>
      <c r="AF2762">
        <v>1</v>
      </c>
      <c r="AH2762" t="str">
        <f t="shared" si="132"/>
        <v>Gopalpur Bmc</v>
      </c>
      <c r="AJ2762" s="72">
        <v>0</v>
      </c>
      <c r="AK2762" s="72"/>
      <c r="AL2762" s="72"/>
      <c r="AM2762" s="72"/>
    </row>
    <row r="2763" spans="1:39" x14ac:dyDescent="0.25">
      <c r="A2763" s="37" t="s">
        <v>62</v>
      </c>
      <c r="B2763" s="66" t="s">
        <v>1629</v>
      </c>
      <c r="C2763" s="4">
        <v>1059</v>
      </c>
      <c r="D2763" s="41" t="s">
        <v>1347</v>
      </c>
      <c r="E2763" s="41">
        <v>10590015</v>
      </c>
      <c r="F2763" s="85" t="s">
        <v>1518</v>
      </c>
      <c r="G2763" s="39" t="s">
        <v>93</v>
      </c>
      <c r="H2763" s="52" t="s">
        <v>94</v>
      </c>
      <c r="I2763" s="52">
        <v>31.2</v>
      </c>
      <c r="J2763" s="49">
        <v>1675.2799999999997</v>
      </c>
      <c r="K2763" s="58">
        <v>31.3</v>
      </c>
      <c r="L2763" s="58">
        <v>1683.8104918456602</v>
      </c>
      <c r="M2763" s="58">
        <v>0</v>
      </c>
      <c r="N2763" s="58">
        <v>0</v>
      </c>
      <c r="O2763" s="58">
        <v>31.3</v>
      </c>
      <c r="P2763" s="53">
        <v>1683.8104918456602</v>
      </c>
      <c r="Q2763" s="65">
        <v>1675.2799999999997</v>
      </c>
      <c r="R2763" s="65">
        <v>0</v>
      </c>
      <c r="S2763" s="65">
        <v>0</v>
      </c>
      <c r="T2763" s="65">
        <v>8.5304918456604355</v>
      </c>
      <c r="U2763" s="58">
        <v>0</v>
      </c>
      <c r="V2763" s="65">
        <v>0</v>
      </c>
      <c r="W2763" s="65">
        <v>0</v>
      </c>
      <c r="X2763" s="65">
        <v>1675</v>
      </c>
      <c r="Y2763" s="65">
        <v>0</v>
      </c>
      <c r="Z2763" s="51">
        <v>0</v>
      </c>
      <c r="AA2763" s="51">
        <v>0</v>
      </c>
      <c r="AB2763" s="102">
        <v>0</v>
      </c>
      <c r="AC2763" s="81">
        <f t="shared" si="133"/>
        <v>718.22260512820503</v>
      </c>
      <c r="AD2763" s="82">
        <f t="shared" si="134"/>
        <v>4.4571428571428573</v>
      </c>
      <c r="AE2763" s="218">
        <v>-5.0919797560171655E-3</v>
      </c>
      <c r="AF2763">
        <v>1</v>
      </c>
      <c r="AH2763" t="str">
        <f t="shared" si="132"/>
        <v>Gopalpur Bmc</v>
      </c>
      <c r="AJ2763" s="72">
        <v>0</v>
      </c>
      <c r="AK2763" s="72"/>
      <c r="AL2763" s="72"/>
      <c r="AM2763" s="72"/>
    </row>
    <row r="2764" spans="1:39" x14ac:dyDescent="0.25">
      <c r="A2764" s="37" t="s">
        <v>62</v>
      </c>
      <c r="B2764" s="66" t="s">
        <v>1629</v>
      </c>
      <c r="C2764" s="4">
        <v>1059</v>
      </c>
      <c r="D2764" s="41" t="s">
        <v>1347</v>
      </c>
      <c r="E2764" s="41">
        <v>10590016</v>
      </c>
      <c r="F2764" s="85" t="s">
        <v>1552</v>
      </c>
      <c r="G2764" s="39" t="s">
        <v>635</v>
      </c>
      <c r="H2764" s="52" t="s">
        <v>99</v>
      </c>
      <c r="I2764" s="52">
        <v>319.79999999999995</v>
      </c>
      <c r="J2764" s="49">
        <v>13601.78</v>
      </c>
      <c r="K2764" s="58">
        <v>0</v>
      </c>
      <c r="L2764" s="58">
        <v>0</v>
      </c>
      <c r="M2764" s="58">
        <v>0</v>
      </c>
      <c r="N2764" s="58">
        <v>0</v>
      </c>
      <c r="O2764" s="58">
        <v>0</v>
      </c>
      <c r="P2764" s="53">
        <v>0</v>
      </c>
      <c r="Q2764" s="65">
        <v>13601.78</v>
      </c>
      <c r="R2764" s="65">
        <v>0</v>
      </c>
      <c r="S2764" s="65">
        <v>0</v>
      </c>
      <c r="T2764" s="65">
        <v>0</v>
      </c>
      <c r="U2764" s="58">
        <v>0</v>
      </c>
      <c r="V2764" s="65">
        <v>0</v>
      </c>
      <c r="W2764" s="65">
        <v>0</v>
      </c>
      <c r="X2764" s="65">
        <v>0</v>
      </c>
      <c r="Y2764" s="65">
        <v>0</v>
      </c>
      <c r="Z2764" s="51">
        <v>13601.78</v>
      </c>
      <c r="AA2764" s="51">
        <v>0</v>
      </c>
      <c r="AB2764" s="102">
        <v>0</v>
      </c>
      <c r="AC2764" s="81">
        <f t="shared" si="133"/>
        <v>323.41443126954351</v>
      </c>
      <c r="AD2764" s="82">
        <f t="shared" si="134"/>
        <v>45.685714285714276</v>
      </c>
      <c r="AE2764" s="218">
        <v>0</v>
      </c>
      <c r="AF2764">
        <v>0</v>
      </c>
      <c r="AH2764" t="str">
        <f t="shared" si="132"/>
        <v>Gopalpur Bmc</v>
      </c>
      <c r="AJ2764" s="72">
        <v>0</v>
      </c>
      <c r="AK2764" s="72"/>
      <c r="AL2764" s="72"/>
      <c r="AM2764" s="72"/>
    </row>
    <row r="2765" spans="1:39" x14ac:dyDescent="0.25">
      <c r="A2765" s="37" t="s">
        <v>62</v>
      </c>
      <c r="B2765" s="66" t="s">
        <v>1629</v>
      </c>
      <c r="C2765" s="4">
        <v>1014</v>
      </c>
      <c r="D2765" s="41" t="s">
        <v>376</v>
      </c>
      <c r="E2765" s="41">
        <v>10600001</v>
      </c>
      <c r="F2765" s="85" t="s">
        <v>1372</v>
      </c>
      <c r="G2765" s="39" t="s">
        <v>93</v>
      </c>
      <c r="H2765" s="52" t="s">
        <v>94</v>
      </c>
      <c r="I2765" s="52">
        <v>238.20000000000005</v>
      </c>
      <c r="J2765" s="49">
        <v>7980.73</v>
      </c>
      <c r="K2765" s="58">
        <v>236.46</v>
      </c>
      <c r="L2765" s="58">
        <v>8027.9591497776019</v>
      </c>
      <c r="M2765" s="58">
        <v>0</v>
      </c>
      <c r="N2765" s="58">
        <v>0</v>
      </c>
      <c r="O2765" s="58">
        <v>236.46</v>
      </c>
      <c r="P2765" s="53">
        <v>8027.9591497776019</v>
      </c>
      <c r="Q2765" s="65">
        <v>7980.73</v>
      </c>
      <c r="R2765" s="65">
        <v>0</v>
      </c>
      <c r="S2765" s="65">
        <v>0</v>
      </c>
      <c r="T2765" s="65">
        <v>47.229149777602288</v>
      </c>
      <c r="U2765" s="58">
        <v>3200</v>
      </c>
      <c r="V2765" s="65">
        <v>0</v>
      </c>
      <c r="W2765" s="65">
        <v>0</v>
      </c>
      <c r="X2765" s="65">
        <v>4781</v>
      </c>
      <c r="Y2765" s="65">
        <v>0</v>
      </c>
      <c r="Z2765" s="51">
        <v>0</v>
      </c>
      <c r="AA2765" s="51">
        <v>0</v>
      </c>
      <c r="AB2765" s="102" t="s">
        <v>68</v>
      </c>
      <c r="AC2765" s="81">
        <f t="shared" si="133"/>
        <v>309.44593736355995</v>
      </c>
      <c r="AD2765" s="82">
        <f t="shared" si="134"/>
        <v>34.028571428571432</v>
      </c>
      <c r="AE2765" s="218">
        <v>-5.9178984601160906E-3</v>
      </c>
      <c r="AF2765">
        <v>2</v>
      </c>
      <c r="AH2765" t="str">
        <f t="shared" si="132"/>
        <v>Dumraon</v>
      </c>
      <c r="AJ2765" s="72">
        <v>0</v>
      </c>
      <c r="AK2765" s="72"/>
      <c r="AL2765" s="72"/>
      <c r="AM2765" s="72"/>
    </row>
    <row r="2766" spans="1:39" x14ac:dyDescent="0.25">
      <c r="A2766" s="37" t="s">
        <v>62</v>
      </c>
      <c r="B2766" s="66" t="s">
        <v>1629</v>
      </c>
      <c r="C2766" s="4">
        <v>1014</v>
      </c>
      <c r="D2766" s="41" t="s">
        <v>376</v>
      </c>
      <c r="E2766" s="41">
        <v>10600002</v>
      </c>
      <c r="F2766" s="85" t="s">
        <v>1373</v>
      </c>
      <c r="G2766" s="39" t="s">
        <v>93</v>
      </c>
      <c r="H2766" s="52" t="s">
        <v>94</v>
      </c>
      <c r="I2766" s="52">
        <v>583.9</v>
      </c>
      <c r="J2766" s="49">
        <v>20169.189999999999</v>
      </c>
      <c r="K2766" s="58">
        <v>583</v>
      </c>
      <c r="L2766" s="58">
        <v>20163.087648000001</v>
      </c>
      <c r="M2766" s="58">
        <v>0</v>
      </c>
      <c r="N2766" s="58">
        <v>0</v>
      </c>
      <c r="O2766" s="58">
        <v>583</v>
      </c>
      <c r="P2766" s="53">
        <v>20163.087648000001</v>
      </c>
      <c r="Q2766" s="65">
        <v>20163.087648000001</v>
      </c>
      <c r="R2766" s="65">
        <v>0</v>
      </c>
      <c r="S2766" s="65">
        <v>0</v>
      </c>
      <c r="T2766" s="65">
        <v>0</v>
      </c>
      <c r="U2766" s="58">
        <v>0</v>
      </c>
      <c r="V2766" s="65">
        <v>0</v>
      </c>
      <c r="W2766" s="65">
        <v>0</v>
      </c>
      <c r="X2766" s="65">
        <v>20163</v>
      </c>
      <c r="Y2766" s="65">
        <v>0</v>
      </c>
      <c r="Z2766" s="51">
        <v>0</v>
      </c>
      <c r="AA2766" s="51">
        <v>6</v>
      </c>
      <c r="AB2766" s="102">
        <v>0</v>
      </c>
      <c r="AC2766" s="81">
        <f t="shared" si="133"/>
        <v>80.206986093509173</v>
      </c>
      <c r="AD2766" s="82">
        <f t="shared" si="134"/>
        <v>83.414285714285711</v>
      </c>
      <c r="AE2766" s="218">
        <v>3.025581096711402E-4</v>
      </c>
      <c r="AF2766">
        <v>1</v>
      </c>
      <c r="AH2766" t="str">
        <f t="shared" si="132"/>
        <v>Dumraon</v>
      </c>
      <c r="AJ2766" s="72">
        <v>0</v>
      </c>
      <c r="AK2766" s="72"/>
      <c r="AL2766" s="72"/>
      <c r="AM2766" s="72"/>
    </row>
    <row r="2767" spans="1:39" x14ac:dyDescent="0.25">
      <c r="A2767" s="37" t="s">
        <v>62</v>
      </c>
      <c r="B2767" s="66" t="s">
        <v>1629</v>
      </c>
      <c r="C2767" s="4">
        <v>1014</v>
      </c>
      <c r="D2767" s="41" t="s">
        <v>376</v>
      </c>
      <c r="E2767" s="41">
        <v>10600004</v>
      </c>
      <c r="F2767" s="85" t="s">
        <v>1374</v>
      </c>
      <c r="G2767" s="39" t="s">
        <v>93</v>
      </c>
      <c r="H2767" s="52" t="s">
        <v>94</v>
      </c>
      <c r="I2767" s="52">
        <v>951.60000000000014</v>
      </c>
      <c r="J2767" s="49">
        <v>31395.480000000003</v>
      </c>
      <c r="K2767" s="58">
        <v>974.56000000000006</v>
      </c>
      <c r="L2767" s="58">
        <v>40183.895689952958</v>
      </c>
      <c r="M2767" s="58">
        <v>0</v>
      </c>
      <c r="N2767" s="58">
        <v>0</v>
      </c>
      <c r="O2767" s="58">
        <v>974.56000000000006</v>
      </c>
      <c r="P2767" s="53">
        <v>40183.895689952958</v>
      </c>
      <c r="Q2767" s="65">
        <v>31395.480000000003</v>
      </c>
      <c r="R2767" s="65">
        <v>0</v>
      </c>
      <c r="S2767" s="65">
        <v>0</v>
      </c>
      <c r="T2767" s="65">
        <v>8788.4156899529553</v>
      </c>
      <c r="U2767" s="58">
        <v>0</v>
      </c>
      <c r="V2767" s="65">
        <v>0</v>
      </c>
      <c r="W2767" s="65">
        <v>0</v>
      </c>
      <c r="X2767" s="65">
        <v>31395</v>
      </c>
      <c r="Y2767" s="65">
        <v>0</v>
      </c>
      <c r="Z2767" s="51">
        <v>0</v>
      </c>
      <c r="AA2767" s="51">
        <v>0</v>
      </c>
      <c r="AB2767" s="102">
        <v>0</v>
      </c>
      <c r="AC2767" s="81">
        <f t="shared" si="133"/>
        <v>0</v>
      </c>
      <c r="AD2767" s="82">
        <f t="shared" si="134"/>
        <v>0</v>
      </c>
      <c r="AE2767" s="218">
        <v>-0.27992614509964348</v>
      </c>
      <c r="AF2767">
        <v>2</v>
      </c>
      <c r="AH2767" t="str">
        <f t="shared" si="132"/>
        <v>Dumraon</v>
      </c>
      <c r="AJ2767" s="72">
        <v>0</v>
      </c>
      <c r="AK2767" s="72"/>
      <c r="AL2767" s="72"/>
      <c r="AM2767" s="72"/>
    </row>
    <row r="2768" spans="1:39" x14ac:dyDescent="0.25">
      <c r="A2768" s="37" t="s">
        <v>62</v>
      </c>
      <c r="B2768" s="66" t="s">
        <v>1629</v>
      </c>
      <c r="C2768" s="4">
        <v>1014</v>
      </c>
      <c r="D2768" s="41" t="s">
        <v>376</v>
      </c>
      <c r="E2768" s="41">
        <v>10600005</v>
      </c>
      <c r="F2768" s="85" t="s">
        <v>1388</v>
      </c>
      <c r="G2768" s="39" t="s">
        <v>93</v>
      </c>
      <c r="H2768" s="52" t="s">
        <v>94</v>
      </c>
      <c r="I2768" s="52">
        <v>340.20000000000005</v>
      </c>
      <c r="J2768" s="49">
        <v>12337.7</v>
      </c>
      <c r="K2768" s="58">
        <v>318.65000000000003</v>
      </c>
      <c r="L2768" s="58">
        <v>11791.678041000003</v>
      </c>
      <c r="M2768" s="58">
        <v>30.419999999999998</v>
      </c>
      <c r="N2768" s="58">
        <v>1102.7209073760002</v>
      </c>
      <c r="O2768" s="58">
        <v>349.07000000000005</v>
      </c>
      <c r="P2768" s="53">
        <v>12894.398948376003</v>
      </c>
      <c r="Q2768" s="65">
        <v>12337.7</v>
      </c>
      <c r="R2768" s="65">
        <v>0</v>
      </c>
      <c r="S2768" s="65">
        <v>1102.7209073760002</v>
      </c>
      <c r="T2768" s="65">
        <v>556.69894837600259</v>
      </c>
      <c r="U2768" s="58">
        <v>0</v>
      </c>
      <c r="V2768" s="65">
        <v>0</v>
      </c>
      <c r="W2768" s="65">
        <v>0</v>
      </c>
      <c r="X2768" s="65">
        <v>11235</v>
      </c>
      <c r="Y2768" s="65">
        <v>0</v>
      </c>
      <c r="Z2768" s="51">
        <v>0</v>
      </c>
      <c r="AA2768" s="51">
        <v>0</v>
      </c>
      <c r="AB2768" s="102" t="s">
        <v>68</v>
      </c>
      <c r="AC2768" s="81">
        <f t="shared" si="133"/>
        <v>260.9702798353909</v>
      </c>
      <c r="AD2768" s="82">
        <f t="shared" si="134"/>
        <v>48.600000000000009</v>
      </c>
      <c r="AE2768" s="218">
        <v>-4.512177702294614E-2</v>
      </c>
      <c r="AF2768">
        <v>2</v>
      </c>
      <c r="AH2768" t="str">
        <f t="shared" si="132"/>
        <v>Dumraon</v>
      </c>
      <c r="AJ2768" s="72">
        <v>0</v>
      </c>
      <c r="AK2768" s="72"/>
      <c r="AL2768" s="72"/>
      <c r="AM2768" s="72"/>
    </row>
    <row r="2769" spans="1:39" x14ac:dyDescent="0.25">
      <c r="A2769" s="37" t="s">
        <v>62</v>
      </c>
      <c r="B2769" s="66" t="s">
        <v>1629</v>
      </c>
      <c r="C2769" s="4">
        <v>1014</v>
      </c>
      <c r="D2769" s="41" t="s">
        <v>376</v>
      </c>
      <c r="E2769" s="41">
        <v>10600006</v>
      </c>
      <c r="F2769" s="85" t="s">
        <v>1375</v>
      </c>
      <c r="G2769" s="39" t="s">
        <v>93</v>
      </c>
      <c r="H2769" s="52" t="s">
        <v>94</v>
      </c>
      <c r="I2769" s="52">
        <v>668.1</v>
      </c>
      <c r="J2769" s="49">
        <v>26371.43</v>
      </c>
      <c r="K2769" s="58">
        <v>677.2700000000001</v>
      </c>
      <c r="L2769" s="58">
        <v>27100.820621523613</v>
      </c>
      <c r="M2769" s="58">
        <v>0</v>
      </c>
      <c r="N2769" s="58">
        <v>0</v>
      </c>
      <c r="O2769" s="58">
        <v>677.2700000000001</v>
      </c>
      <c r="P2769" s="53">
        <v>27100.820621523613</v>
      </c>
      <c r="Q2769" s="65">
        <v>26371.43</v>
      </c>
      <c r="R2769" s="65">
        <v>0</v>
      </c>
      <c r="S2769" s="65">
        <v>0</v>
      </c>
      <c r="T2769" s="65">
        <v>729.39062152361294</v>
      </c>
      <c r="U2769" s="58">
        <v>0</v>
      </c>
      <c r="V2769" s="65">
        <v>0</v>
      </c>
      <c r="W2769" s="65">
        <v>0</v>
      </c>
      <c r="X2769" s="65">
        <v>26371</v>
      </c>
      <c r="Y2769" s="65">
        <v>0</v>
      </c>
      <c r="Z2769" s="51">
        <v>0</v>
      </c>
      <c r="AA2769" s="51">
        <v>0</v>
      </c>
      <c r="AB2769" s="102">
        <v>0</v>
      </c>
      <c r="AC2769" s="81">
        <f t="shared" si="133"/>
        <v>25.183314384074198</v>
      </c>
      <c r="AD2769" s="82">
        <f t="shared" si="134"/>
        <v>95.44285714285715</v>
      </c>
      <c r="AE2769" s="218">
        <v>-2.7658364431644888E-2</v>
      </c>
      <c r="AF2769">
        <v>1</v>
      </c>
      <c r="AH2769" t="str">
        <f t="shared" si="132"/>
        <v>Dumraon</v>
      </c>
      <c r="AJ2769" s="72">
        <v>0</v>
      </c>
      <c r="AK2769" s="72"/>
      <c r="AL2769" s="72"/>
      <c r="AM2769" s="72"/>
    </row>
    <row r="2770" spans="1:39" x14ac:dyDescent="0.25">
      <c r="A2770" s="37" t="s">
        <v>62</v>
      </c>
      <c r="B2770" s="66" t="s">
        <v>1629</v>
      </c>
      <c r="C2770" s="4">
        <v>1014</v>
      </c>
      <c r="D2770" s="41" t="s">
        <v>376</v>
      </c>
      <c r="E2770" s="41">
        <v>10600008</v>
      </c>
      <c r="F2770" s="85" t="s">
        <v>1376</v>
      </c>
      <c r="G2770" s="39" t="s">
        <v>93</v>
      </c>
      <c r="H2770" s="52" t="s">
        <v>94</v>
      </c>
      <c r="I2770" s="52">
        <v>103.5</v>
      </c>
      <c r="J2770" s="49">
        <v>3356.42</v>
      </c>
      <c r="K2770" s="58">
        <v>104</v>
      </c>
      <c r="L2770" s="58">
        <v>3349.7418240000006</v>
      </c>
      <c r="M2770" s="58">
        <v>0</v>
      </c>
      <c r="N2770" s="58">
        <v>0</v>
      </c>
      <c r="O2770" s="58">
        <v>104</v>
      </c>
      <c r="P2770" s="53">
        <v>3349.7418240000006</v>
      </c>
      <c r="Q2770" s="65">
        <v>3349.7418240000006</v>
      </c>
      <c r="R2770" s="65">
        <v>0</v>
      </c>
      <c r="S2770" s="65">
        <v>0</v>
      </c>
      <c r="T2770" s="65">
        <v>0</v>
      </c>
      <c r="U2770" s="58">
        <v>3350</v>
      </c>
      <c r="V2770" s="65">
        <v>0</v>
      </c>
      <c r="W2770" s="65">
        <v>0</v>
      </c>
      <c r="X2770" s="65">
        <v>0</v>
      </c>
      <c r="Y2770" s="65">
        <v>0</v>
      </c>
      <c r="Z2770" s="51">
        <v>0</v>
      </c>
      <c r="AA2770" s="51">
        <v>6</v>
      </c>
      <c r="AB2770" s="102" t="s">
        <v>68</v>
      </c>
      <c r="AC2770" s="81">
        <f t="shared" si="133"/>
        <v>386.88010241545891</v>
      </c>
      <c r="AD2770" s="82">
        <f t="shared" si="134"/>
        <v>14.785714285714286</v>
      </c>
      <c r="AE2770" s="218">
        <v>1.9896723294460881E-3</v>
      </c>
      <c r="AF2770">
        <v>1</v>
      </c>
      <c r="AH2770" t="str">
        <f t="shared" si="132"/>
        <v>Dumraon</v>
      </c>
      <c r="AJ2770" s="72">
        <v>0</v>
      </c>
      <c r="AK2770" s="72"/>
      <c r="AL2770" s="72"/>
      <c r="AM2770" s="72"/>
    </row>
    <row r="2771" spans="1:39" x14ac:dyDescent="0.25">
      <c r="A2771" s="37" t="s">
        <v>62</v>
      </c>
      <c r="B2771" s="66" t="s">
        <v>1629</v>
      </c>
      <c r="C2771" s="4">
        <v>1014</v>
      </c>
      <c r="D2771" s="41" t="s">
        <v>376</v>
      </c>
      <c r="E2771" s="41">
        <v>10600009</v>
      </c>
      <c r="F2771" s="85" t="s">
        <v>1377</v>
      </c>
      <c r="G2771" s="39" t="s">
        <v>93</v>
      </c>
      <c r="H2771" s="52" t="s">
        <v>94</v>
      </c>
      <c r="I2771" s="52">
        <v>354.2</v>
      </c>
      <c r="J2771" s="49">
        <v>12831.72</v>
      </c>
      <c r="K2771" s="58">
        <v>429.28000000000003</v>
      </c>
      <c r="L2771" s="58">
        <v>17258.016306009602</v>
      </c>
      <c r="M2771" s="58">
        <v>0</v>
      </c>
      <c r="N2771" s="58">
        <v>0</v>
      </c>
      <c r="O2771" s="58">
        <v>429.28000000000003</v>
      </c>
      <c r="P2771" s="53">
        <v>17258.016306009602</v>
      </c>
      <c r="Q2771" s="65">
        <v>12831.72</v>
      </c>
      <c r="R2771" s="65">
        <v>0</v>
      </c>
      <c r="S2771" s="65">
        <v>0</v>
      </c>
      <c r="T2771" s="65">
        <v>4426.2963060096026</v>
      </c>
      <c r="U2771" s="58">
        <v>0</v>
      </c>
      <c r="V2771" s="65">
        <v>0</v>
      </c>
      <c r="W2771" s="65">
        <v>0</v>
      </c>
      <c r="X2771" s="65">
        <v>12832</v>
      </c>
      <c r="Y2771" s="65">
        <v>0</v>
      </c>
      <c r="Z2771" s="51">
        <v>0</v>
      </c>
      <c r="AA2771" s="51">
        <v>0</v>
      </c>
      <c r="AB2771" s="102" t="s">
        <v>68</v>
      </c>
      <c r="AC2771" s="81">
        <f t="shared" si="133"/>
        <v>250.54820869565219</v>
      </c>
      <c r="AD2771" s="82">
        <f t="shared" si="134"/>
        <v>50.6</v>
      </c>
      <c r="AE2771" s="218">
        <v>-0.34494957075198046</v>
      </c>
      <c r="AF2771">
        <v>1</v>
      </c>
      <c r="AH2771" t="str">
        <f t="shared" si="132"/>
        <v>Dumraon</v>
      </c>
      <c r="AJ2771" s="72">
        <v>0</v>
      </c>
      <c r="AK2771" s="72"/>
      <c r="AL2771" s="72"/>
      <c r="AM2771" s="72"/>
    </row>
    <row r="2772" spans="1:39" x14ac:dyDescent="0.25">
      <c r="A2772" s="37" t="s">
        <v>62</v>
      </c>
      <c r="B2772" s="66" t="s">
        <v>1629</v>
      </c>
      <c r="C2772" s="4">
        <v>1014</v>
      </c>
      <c r="D2772" s="41" t="s">
        <v>376</v>
      </c>
      <c r="E2772" s="41">
        <v>10600012</v>
      </c>
      <c r="F2772" s="85" t="s">
        <v>1458</v>
      </c>
      <c r="G2772" s="39" t="s">
        <v>93</v>
      </c>
      <c r="H2772" s="52" t="s">
        <v>94</v>
      </c>
      <c r="I2772" s="52">
        <v>485.8</v>
      </c>
      <c r="J2772" s="49">
        <v>17030.3</v>
      </c>
      <c r="K2772" s="58">
        <v>482.16999999999996</v>
      </c>
      <c r="L2772" s="58">
        <v>16936.302836772004</v>
      </c>
      <c r="M2772" s="58">
        <v>2.37</v>
      </c>
      <c r="N2772" s="58">
        <v>89.371836972000011</v>
      </c>
      <c r="O2772" s="58">
        <v>484.53999999999996</v>
      </c>
      <c r="P2772" s="53">
        <v>17025.674673744004</v>
      </c>
      <c r="Q2772" s="65">
        <v>17025.674673744004</v>
      </c>
      <c r="R2772" s="65">
        <v>0</v>
      </c>
      <c r="S2772" s="65">
        <v>89.371836972000011</v>
      </c>
      <c r="T2772" s="65">
        <v>0</v>
      </c>
      <c r="U2772" s="58">
        <v>0</v>
      </c>
      <c r="V2772" s="65">
        <v>0</v>
      </c>
      <c r="W2772" s="65">
        <v>0</v>
      </c>
      <c r="X2772" s="65">
        <v>16936</v>
      </c>
      <c r="Y2772" s="65">
        <v>0</v>
      </c>
      <c r="Z2772" s="51">
        <v>0</v>
      </c>
      <c r="AA2772" s="51">
        <v>5</v>
      </c>
      <c r="AB2772" s="102">
        <v>0</v>
      </c>
      <c r="AC2772" s="81">
        <f t="shared" si="133"/>
        <v>150.18074351585011</v>
      </c>
      <c r="AD2772" s="82">
        <f t="shared" si="134"/>
        <v>69.400000000000006</v>
      </c>
      <c r="AE2772" s="218">
        <v>2.7159393880289121E-4</v>
      </c>
      <c r="AF2772">
        <v>3</v>
      </c>
      <c r="AH2772" t="str">
        <f t="shared" si="132"/>
        <v>Dumraon</v>
      </c>
      <c r="AJ2772" s="72">
        <v>0</v>
      </c>
      <c r="AK2772" s="72"/>
      <c r="AL2772" s="72"/>
      <c r="AM2772" s="72"/>
    </row>
    <row r="2773" spans="1:39" x14ac:dyDescent="0.25">
      <c r="A2773" s="37" t="s">
        <v>62</v>
      </c>
      <c r="B2773" s="66" t="s">
        <v>1629</v>
      </c>
      <c r="C2773" s="4">
        <v>1061</v>
      </c>
      <c r="D2773" s="41" t="s">
        <v>1452</v>
      </c>
      <c r="E2773" s="41">
        <v>10610001</v>
      </c>
      <c r="F2773" s="85" t="s">
        <v>1460</v>
      </c>
      <c r="G2773" s="39" t="s">
        <v>93</v>
      </c>
      <c r="H2773" s="52" t="s">
        <v>94</v>
      </c>
      <c r="I2773" s="52">
        <v>855.8000000000003</v>
      </c>
      <c r="J2773" s="49">
        <v>36781.279999999992</v>
      </c>
      <c r="K2773" s="58">
        <v>859.8</v>
      </c>
      <c r="L2773" s="58">
        <v>37251.009159133901</v>
      </c>
      <c r="M2773" s="58">
        <v>5.2</v>
      </c>
      <c r="N2773" s="58">
        <v>234.61181191650002</v>
      </c>
      <c r="O2773" s="58">
        <v>865</v>
      </c>
      <c r="P2773" s="53">
        <v>37485.620971050397</v>
      </c>
      <c r="Q2773" s="65">
        <v>36781.279999999992</v>
      </c>
      <c r="R2773" s="65">
        <v>712</v>
      </c>
      <c r="S2773" s="65">
        <v>234.61181191650002</v>
      </c>
      <c r="T2773" s="65">
        <v>704.34097105040564</v>
      </c>
      <c r="U2773" s="58">
        <v>0</v>
      </c>
      <c r="V2773" s="65">
        <v>0</v>
      </c>
      <c r="W2773" s="65">
        <v>0</v>
      </c>
      <c r="X2773" s="65">
        <v>35835</v>
      </c>
      <c r="Y2773" s="65">
        <v>0</v>
      </c>
      <c r="Z2773" s="51">
        <v>0</v>
      </c>
      <c r="AA2773" s="51">
        <v>0</v>
      </c>
      <c r="AB2773" s="102">
        <v>0</v>
      </c>
      <c r="AC2773" s="81">
        <f t="shared" si="133"/>
        <v>0</v>
      </c>
      <c r="AD2773" s="82">
        <f t="shared" si="134"/>
        <v>0</v>
      </c>
      <c r="AE2773" s="218">
        <v>-1.9149441537934672E-2</v>
      </c>
      <c r="AF2773">
        <v>6</v>
      </c>
      <c r="AH2773" t="str">
        <f t="shared" si="132"/>
        <v>Mahua BMC</v>
      </c>
      <c r="AJ2773" s="72">
        <v>0</v>
      </c>
      <c r="AK2773" s="72"/>
      <c r="AL2773" s="72"/>
      <c r="AM2773" s="72"/>
    </row>
    <row r="2774" spans="1:39" x14ac:dyDescent="0.25">
      <c r="A2774" s="37" t="s">
        <v>62</v>
      </c>
      <c r="B2774" s="66" t="s">
        <v>1629</v>
      </c>
      <c r="C2774" s="4">
        <v>1061</v>
      </c>
      <c r="D2774" s="41" t="s">
        <v>1452</v>
      </c>
      <c r="E2774" s="41">
        <v>10610002</v>
      </c>
      <c r="F2774" s="85" t="s">
        <v>1378</v>
      </c>
      <c r="G2774" s="39" t="s">
        <v>93</v>
      </c>
      <c r="H2774" s="52" t="s">
        <v>94</v>
      </c>
      <c r="I2774" s="52">
        <v>349.1</v>
      </c>
      <c r="J2774" s="49">
        <v>16509.829999999998</v>
      </c>
      <c r="K2774" s="58">
        <v>349.4</v>
      </c>
      <c r="L2774" s="58">
        <v>17011.521964892403</v>
      </c>
      <c r="M2774" s="58">
        <v>0</v>
      </c>
      <c r="N2774" s="58">
        <v>0</v>
      </c>
      <c r="O2774" s="58">
        <v>349.4</v>
      </c>
      <c r="P2774" s="53">
        <v>17011.521964892403</v>
      </c>
      <c r="Q2774" s="65">
        <v>16509.829999999998</v>
      </c>
      <c r="R2774" s="65">
        <v>0</v>
      </c>
      <c r="S2774" s="65">
        <v>0</v>
      </c>
      <c r="T2774" s="65">
        <v>501.69196489240494</v>
      </c>
      <c r="U2774" s="58">
        <v>0</v>
      </c>
      <c r="V2774" s="65">
        <v>0</v>
      </c>
      <c r="W2774" s="65">
        <v>0</v>
      </c>
      <c r="X2774" s="65">
        <v>16510</v>
      </c>
      <c r="Y2774" s="65">
        <v>0</v>
      </c>
      <c r="Z2774" s="51">
        <v>0</v>
      </c>
      <c r="AA2774" s="51">
        <v>0</v>
      </c>
      <c r="AB2774" s="102">
        <v>0</v>
      </c>
      <c r="AC2774" s="81">
        <f t="shared" si="133"/>
        <v>331.89913188198216</v>
      </c>
      <c r="AD2774" s="82">
        <f t="shared" si="134"/>
        <v>49.871428571428574</v>
      </c>
      <c r="AE2774" s="218">
        <v>-3.0387470064343787E-2</v>
      </c>
      <c r="AF2774">
        <v>10</v>
      </c>
      <c r="AH2774" t="str">
        <f t="shared" si="132"/>
        <v>Mahua BMC</v>
      </c>
      <c r="AJ2774" s="72">
        <v>0</v>
      </c>
      <c r="AK2774" s="72"/>
      <c r="AL2774" s="72"/>
      <c r="AM2774" s="72"/>
    </row>
    <row r="2775" spans="1:39" x14ac:dyDescent="0.25">
      <c r="A2775" s="37" t="s">
        <v>62</v>
      </c>
      <c r="B2775" s="66" t="s">
        <v>1629</v>
      </c>
      <c r="C2775" s="4">
        <v>1061</v>
      </c>
      <c r="D2775" s="41" t="s">
        <v>1452</v>
      </c>
      <c r="E2775" s="41">
        <v>10610003</v>
      </c>
      <c r="F2775" s="85" t="s">
        <v>1461</v>
      </c>
      <c r="G2775" s="39" t="s">
        <v>93</v>
      </c>
      <c r="H2775" s="52" t="s">
        <v>94</v>
      </c>
      <c r="I2775" s="52">
        <v>424.9</v>
      </c>
      <c r="J2775" s="49">
        <v>16327.77</v>
      </c>
      <c r="K2775" s="58">
        <v>424.5</v>
      </c>
      <c r="L2775" s="58">
        <v>17061.655378130006</v>
      </c>
      <c r="M2775" s="58">
        <v>0</v>
      </c>
      <c r="N2775" s="58">
        <v>0</v>
      </c>
      <c r="O2775" s="58">
        <v>424.5</v>
      </c>
      <c r="P2775" s="53">
        <v>17061.655378130006</v>
      </c>
      <c r="Q2775" s="65">
        <v>16327.77</v>
      </c>
      <c r="R2775" s="65">
        <v>0</v>
      </c>
      <c r="S2775" s="65">
        <v>0</v>
      </c>
      <c r="T2775" s="65">
        <v>733.88537813000585</v>
      </c>
      <c r="U2775" s="58">
        <v>0</v>
      </c>
      <c r="V2775" s="65">
        <v>0</v>
      </c>
      <c r="W2775" s="65">
        <v>0</v>
      </c>
      <c r="X2775" s="65">
        <v>16328</v>
      </c>
      <c r="Y2775" s="65">
        <v>0</v>
      </c>
      <c r="Z2775" s="51">
        <v>0</v>
      </c>
      <c r="AA2775" s="51">
        <v>0</v>
      </c>
      <c r="AB2775" s="102">
        <v>0</v>
      </c>
      <c r="AC2775" s="81">
        <f t="shared" si="133"/>
        <v>211.42713706754537</v>
      </c>
      <c r="AD2775" s="82">
        <f t="shared" si="134"/>
        <v>60.699999999999996</v>
      </c>
      <c r="AE2775" s="218">
        <v>-4.4947067366211423E-2</v>
      </c>
      <c r="AF2775">
        <v>3</v>
      </c>
      <c r="AH2775" t="str">
        <f t="shared" si="132"/>
        <v>Mahua BMC</v>
      </c>
      <c r="AJ2775" s="72">
        <v>0</v>
      </c>
      <c r="AK2775" s="72"/>
      <c r="AL2775" s="72"/>
      <c r="AM2775" s="72"/>
    </row>
    <row r="2776" spans="1:39" x14ac:dyDescent="0.25">
      <c r="A2776" s="37" t="s">
        <v>62</v>
      </c>
      <c r="B2776" s="66" t="s">
        <v>1629</v>
      </c>
      <c r="C2776" s="4">
        <v>1061</v>
      </c>
      <c r="D2776" s="41" t="s">
        <v>1452</v>
      </c>
      <c r="E2776" s="41">
        <v>10610004</v>
      </c>
      <c r="F2776" s="85" t="s">
        <v>1462</v>
      </c>
      <c r="G2776" s="39" t="s">
        <v>93</v>
      </c>
      <c r="H2776" s="52" t="s">
        <v>94</v>
      </c>
      <c r="I2776" s="52">
        <v>166.1</v>
      </c>
      <c r="J2776" s="49">
        <v>7305.16</v>
      </c>
      <c r="K2776" s="58">
        <v>163</v>
      </c>
      <c r="L2776" s="58">
        <v>6774.4252990243003</v>
      </c>
      <c r="M2776" s="58">
        <v>2.8000000000000003</v>
      </c>
      <c r="N2776" s="58">
        <v>112.88655294213</v>
      </c>
      <c r="O2776" s="58">
        <v>165.8</v>
      </c>
      <c r="P2776" s="53">
        <v>6887.3118519664304</v>
      </c>
      <c r="Q2776" s="65">
        <v>6887.3118519664304</v>
      </c>
      <c r="R2776" s="65">
        <v>0</v>
      </c>
      <c r="S2776" s="65">
        <v>112.88655294213</v>
      </c>
      <c r="T2776" s="65">
        <v>0</v>
      </c>
      <c r="U2776" s="58">
        <v>0</v>
      </c>
      <c r="V2776" s="65">
        <v>0</v>
      </c>
      <c r="W2776" s="65">
        <v>0</v>
      </c>
      <c r="X2776" s="65">
        <v>6774</v>
      </c>
      <c r="Y2776" s="65">
        <v>0</v>
      </c>
      <c r="Z2776" s="51">
        <v>0</v>
      </c>
      <c r="AA2776" s="51">
        <v>418</v>
      </c>
      <c r="AB2776" s="102" t="s">
        <v>66</v>
      </c>
      <c r="AC2776" s="81">
        <f t="shared" si="133"/>
        <v>469.62371149909688</v>
      </c>
      <c r="AD2776" s="82">
        <f t="shared" si="134"/>
        <v>23.728571428571428</v>
      </c>
      <c r="AE2776" s="218">
        <v>5.7199041230249506E-2</v>
      </c>
      <c r="AF2776">
        <v>4</v>
      </c>
      <c r="AH2776" t="str">
        <f t="shared" si="132"/>
        <v>Mahua BMC</v>
      </c>
      <c r="AJ2776" s="72">
        <v>0</v>
      </c>
      <c r="AK2776" s="72"/>
      <c r="AL2776" s="72"/>
      <c r="AM2776" s="72"/>
    </row>
    <row r="2777" spans="1:39" x14ac:dyDescent="0.25">
      <c r="A2777" s="37" t="s">
        <v>62</v>
      </c>
      <c r="B2777" s="66" t="s">
        <v>1629</v>
      </c>
      <c r="C2777" s="4">
        <v>1061</v>
      </c>
      <c r="D2777" s="41" t="s">
        <v>1452</v>
      </c>
      <c r="E2777" s="41">
        <v>10610005</v>
      </c>
      <c r="F2777" s="85" t="s">
        <v>467</v>
      </c>
      <c r="G2777" s="39" t="s">
        <v>93</v>
      </c>
      <c r="H2777" s="52" t="s">
        <v>94</v>
      </c>
      <c r="I2777" s="52">
        <v>485.10000000000008</v>
      </c>
      <c r="J2777" s="49">
        <v>20329.97</v>
      </c>
      <c r="K2777" s="58">
        <v>486.4</v>
      </c>
      <c r="L2777" s="58">
        <v>21573.233625806268</v>
      </c>
      <c r="M2777" s="58">
        <v>0</v>
      </c>
      <c r="N2777" s="58">
        <v>0</v>
      </c>
      <c r="O2777" s="58">
        <v>486.4</v>
      </c>
      <c r="P2777" s="53">
        <v>21573.233625806268</v>
      </c>
      <c r="Q2777" s="65">
        <v>20329.97</v>
      </c>
      <c r="R2777" s="65">
        <v>174</v>
      </c>
      <c r="S2777" s="65">
        <v>0</v>
      </c>
      <c r="T2777" s="65">
        <v>1243.2636258062666</v>
      </c>
      <c r="U2777" s="58">
        <v>0</v>
      </c>
      <c r="V2777" s="65">
        <v>0</v>
      </c>
      <c r="W2777" s="65">
        <v>0</v>
      </c>
      <c r="X2777" s="65">
        <v>20156</v>
      </c>
      <c r="Y2777" s="65">
        <v>0</v>
      </c>
      <c r="Z2777" s="51">
        <v>0</v>
      </c>
      <c r="AA2777" s="51">
        <v>0</v>
      </c>
      <c r="AB2777" s="102">
        <v>0</v>
      </c>
      <c r="AC2777" s="81">
        <f t="shared" si="133"/>
        <v>180.12412092352082</v>
      </c>
      <c r="AD2777" s="82">
        <f t="shared" si="134"/>
        <v>69.300000000000011</v>
      </c>
      <c r="AE2777" s="218">
        <v>-6.1154228255440937E-2</v>
      </c>
      <c r="AF2777">
        <v>3</v>
      </c>
      <c r="AH2777" t="str">
        <f t="shared" si="132"/>
        <v>Mahua BMC</v>
      </c>
      <c r="AJ2777" s="72">
        <v>0</v>
      </c>
      <c r="AK2777" s="72"/>
      <c r="AL2777" s="72"/>
      <c r="AM2777" s="72"/>
    </row>
    <row r="2778" spans="1:39" x14ac:dyDescent="0.25">
      <c r="A2778" s="37" t="s">
        <v>62</v>
      </c>
      <c r="B2778" s="66" t="s">
        <v>1629</v>
      </c>
      <c r="C2778" s="4">
        <v>1061</v>
      </c>
      <c r="D2778" s="41" t="s">
        <v>1452</v>
      </c>
      <c r="E2778" s="41">
        <v>10610006</v>
      </c>
      <c r="F2778" s="85" t="s">
        <v>1379</v>
      </c>
      <c r="G2778" s="39" t="s">
        <v>93</v>
      </c>
      <c r="H2778" s="52" t="s">
        <v>94</v>
      </c>
      <c r="I2778" s="52">
        <v>386.29999999999995</v>
      </c>
      <c r="J2778" s="49">
        <v>18179.75</v>
      </c>
      <c r="K2778" s="58">
        <v>378.3</v>
      </c>
      <c r="L2778" s="58">
        <v>18345.149675495108</v>
      </c>
      <c r="M2778" s="58">
        <v>7.4</v>
      </c>
      <c r="N2778" s="58">
        <v>270.68726916000003</v>
      </c>
      <c r="O2778" s="58">
        <v>385.7</v>
      </c>
      <c r="P2778" s="53">
        <v>18615.836944655108</v>
      </c>
      <c r="Q2778" s="65">
        <v>18179.75</v>
      </c>
      <c r="R2778" s="65">
        <v>0</v>
      </c>
      <c r="S2778" s="65">
        <v>270.68726916000003</v>
      </c>
      <c r="T2778" s="65">
        <v>436.0869446551078</v>
      </c>
      <c r="U2778" s="58">
        <v>0</v>
      </c>
      <c r="V2778" s="65">
        <v>0</v>
      </c>
      <c r="W2778" s="65">
        <v>0</v>
      </c>
      <c r="X2778" s="65">
        <v>17909</v>
      </c>
      <c r="Y2778" s="65">
        <v>0</v>
      </c>
      <c r="Z2778" s="51">
        <v>0</v>
      </c>
      <c r="AA2778" s="51">
        <v>0</v>
      </c>
      <c r="AB2778" s="102">
        <v>0</v>
      </c>
      <c r="AC2778" s="81">
        <f t="shared" si="133"/>
        <v>295.26210587626207</v>
      </c>
      <c r="AD2778" s="82">
        <f t="shared" si="134"/>
        <v>55.185714285714276</v>
      </c>
      <c r="AE2778" s="218">
        <v>-2.3987510535354327E-2</v>
      </c>
      <c r="AF2778">
        <v>12</v>
      </c>
      <c r="AH2778" t="str">
        <f t="shared" si="132"/>
        <v>Mahua BMC</v>
      </c>
      <c r="AJ2778" s="72">
        <v>0</v>
      </c>
      <c r="AK2778" s="72"/>
      <c r="AL2778" s="72"/>
      <c r="AM2778" s="72"/>
    </row>
    <row r="2779" spans="1:39" x14ac:dyDescent="0.25">
      <c r="A2779" s="37" t="s">
        <v>62</v>
      </c>
      <c r="B2779" s="66" t="s">
        <v>1629</v>
      </c>
      <c r="C2779" s="4">
        <v>1061</v>
      </c>
      <c r="D2779" s="41" t="s">
        <v>1452</v>
      </c>
      <c r="E2779" s="41">
        <v>10610007</v>
      </c>
      <c r="F2779" s="85" t="s">
        <v>1380</v>
      </c>
      <c r="G2779" s="39" t="s">
        <v>93</v>
      </c>
      <c r="H2779" s="52" t="s">
        <v>94</v>
      </c>
      <c r="I2779" s="52">
        <v>292</v>
      </c>
      <c r="J2779" s="49">
        <v>15498.72</v>
      </c>
      <c r="K2779" s="58">
        <v>288</v>
      </c>
      <c r="L2779" s="58">
        <v>15302.69202527412</v>
      </c>
      <c r="M2779" s="58">
        <v>5.8999999999999986</v>
      </c>
      <c r="N2779" s="58">
        <v>377.191858991</v>
      </c>
      <c r="O2779" s="58">
        <v>293.89999999999998</v>
      </c>
      <c r="P2779" s="53">
        <v>15679.88388426512</v>
      </c>
      <c r="Q2779" s="65">
        <v>15498.72</v>
      </c>
      <c r="R2779" s="65">
        <v>0</v>
      </c>
      <c r="S2779" s="65">
        <v>377.191858991</v>
      </c>
      <c r="T2779" s="65">
        <v>181.16388426512094</v>
      </c>
      <c r="U2779" s="58">
        <v>0</v>
      </c>
      <c r="V2779" s="65">
        <v>0</v>
      </c>
      <c r="W2779" s="65">
        <v>0</v>
      </c>
      <c r="X2779" s="65">
        <v>15122</v>
      </c>
      <c r="Y2779" s="65">
        <v>0</v>
      </c>
      <c r="Z2779" s="51">
        <v>0</v>
      </c>
      <c r="AA2779" s="51">
        <v>0</v>
      </c>
      <c r="AB2779" s="102">
        <v>0</v>
      </c>
      <c r="AC2779" s="81">
        <f t="shared" si="133"/>
        <v>433.11491506849313</v>
      </c>
      <c r="AD2779" s="82">
        <f t="shared" si="134"/>
        <v>41.714285714285715</v>
      </c>
      <c r="AE2779" s="218">
        <v>-1.1688957814911229E-2</v>
      </c>
      <c r="AF2779">
        <v>13</v>
      </c>
      <c r="AH2779" t="str">
        <f t="shared" si="132"/>
        <v>Mahua BMC</v>
      </c>
      <c r="AJ2779" s="72">
        <v>0</v>
      </c>
      <c r="AK2779" s="72"/>
      <c r="AL2779" s="72"/>
      <c r="AM2779" s="72"/>
    </row>
    <row r="2780" spans="1:39" x14ac:dyDescent="0.25">
      <c r="A2780" s="37" t="s">
        <v>62</v>
      </c>
      <c r="B2780" s="66" t="s">
        <v>1629</v>
      </c>
      <c r="C2780" s="4">
        <v>1061</v>
      </c>
      <c r="D2780" s="41" t="s">
        <v>1452</v>
      </c>
      <c r="E2780" s="41">
        <v>10610008</v>
      </c>
      <c r="F2780" s="85" t="s">
        <v>1381</v>
      </c>
      <c r="G2780" s="39" t="s">
        <v>93</v>
      </c>
      <c r="H2780" s="52" t="s">
        <v>94</v>
      </c>
      <c r="I2780" s="52">
        <v>568.5</v>
      </c>
      <c r="J2780" s="49">
        <v>25283.66</v>
      </c>
      <c r="K2780" s="58">
        <v>601.1</v>
      </c>
      <c r="L2780" s="58">
        <v>26626.297063838145</v>
      </c>
      <c r="M2780" s="58">
        <v>0</v>
      </c>
      <c r="N2780" s="58">
        <v>0</v>
      </c>
      <c r="O2780" s="58">
        <v>601.1</v>
      </c>
      <c r="P2780" s="53">
        <v>26626.297063838145</v>
      </c>
      <c r="Q2780" s="65">
        <v>25283.66</v>
      </c>
      <c r="R2780" s="65">
        <v>0</v>
      </c>
      <c r="S2780" s="65">
        <v>0</v>
      </c>
      <c r="T2780" s="65">
        <v>1342.637063838145</v>
      </c>
      <c r="U2780" s="58">
        <v>0</v>
      </c>
      <c r="V2780" s="65">
        <v>0</v>
      </c>
      <c r="W2780" s="65">
        <v>0</v>
      </c>
      <c r="X2780" s="65">
        <v>25284</v>
      </c>
      <c r="Y2780" s="65">
        <v>0</v>
      </c>
      <c r="Z2780" s="51">
        <v>0</v>
      </c>
      <c r="AA2780" s="51">
        <v>0</v>
      </c>
      <c r="AB2780" s="102">
        <v>0</v>
      </c>
      <c r="AC2780" s="81">
        <f t="shared" si="133"/>
        <v>116.9675036059807</v>
      </c>
      <c r="AD2780" s="82">
        <f t="shared" si="134"/>
        <v>81.214285714285708</v>
      </c>
      <c r="AE2780" s="218">
        <v>-5.310295518283923E-2</v>
      </c>
      <c r="AF2780">
        <v>3</v>
      </c>
      <c r="AH2780" t="str">
        <f t="shared" si="132"/>
        <v>Mahua BMC</v>
      </c>
      <c r="AJ2780" s="72">
        <v>0</v>
      </c>
      <c r="AK2780" s="72"/>
      <c r="AL2780" s="72"/>
      <c r="AM2780" s="72"/>
    </row>
    <row r="2781" spans="1:39" x14ac:dyDescent="0.25">
      <c r="A2781" s="37" t="s">
        <v>62</v>
      </c>
      <c r="B2781" s="66" t="s">
        <v>1629</v>
      </c>
      <c r="C2781" s="4">
        <v>1061</v>
      </c>
      <c r="D2781" s="41" t="s">
        <v>1452</v>
      </c>
      <c r="E2781" s="41">
        <v>10610009</v>
      </c>
      <c r="F2781" s="85" t="s">
        <v>1399</v>
      </c>
      <c r="G2781" s="39" t="s">
        <v>93</v>
      </c>
      <c r="H2781" s="52" t="s">
        <v>94</v>
      </c>
      <c r="I2781" s="52">
        <v>964.06000000000006</v>
      </c>
      <c r="J2781" s="49">
        <v>43219.460000000006</v>
      </c>
      <c r="K2781" s="58">
        <v>976.2</v>
      </c>
      <c r="L2781" s="58">
        <v>43525.592308619198</v>
      </c>
      <c r="M2781" s="58">
        <v>9.2000000000000011</v>
      </c>
      <c r="N2781" s="58">
        <v>362.905257726</v>
      </c>
      <c r="O2781" s="58">
        <v>985.40000000000009</v>
      </c>
      <c r="P2781" s="53">
        <v>43888.497566345199</v>
      </c>
      <c r="Q2781" s="65">
        <v>43219.460000000006</v>
      </c>
      <c r="R2781" s="65">
        <v>0</v>
      </c>
      <c r="S2781" s="65">
        <v>362.905257726</v>
      </c>
      <c r="T2781" s="65">
        <v>669.03756634519232</v>
      </c>
      <c r="U2781" s="58">
        <v>0</v>
      </c>
      <c r="V2781" s="65">
        <v>0</v>
      </c>
      <c r="W2781" s="65">
        <v>0</v>
      </c>
      <c r="X2781" s="65">
        <v>42857</v>
      </c>
      <c r="Y2781" s="65">
        <v>0</v>
      </c>
      <c r="Z2781" s="51">
        <v>0</v>
      </c>
      <c r="AA2781" s="51">
        <v>0</v>
      </c>
      <c r="AB2781" s="102" t="s">
        <v>66</v>
      </c>
      <c r="AC2781" s="81">
        <f t="shared" si="133"/>
        <v>0</v>
      </c>
      <c r="AD2781" s="82">
        <f t="shared" si="134"/>
        <v>0</v>
      </c>
      <c r="AE2781" s="218">
        <v>-1.5480007532375282E-2</v>
      </c>
      <c r="AF2781">
        <v>32</v>
      </c>
      <c r="AH2781" t="str">
        <f t="shared" si="132"/>
        <v>Mahua BMC</v>
      </c>
      <c r="AJ2781" s="72">
        <v>0</v>
      </c>
      <c r="AK2781" s="72"/>
      <c r="AL2781" s="72"/>
      <c r="AM2781" s="72"/>
    </row>
    <row r="2782" spans="1:39" x14ac:dyDescent="0.25">
      <c r="A2782" s="37" t="s">
        <v>62</v>
      </c>
      <c r="B2782" s="66" t="s">
        <v>1629</v>
      </c>
      <c r="C2782" s="4">
        <v>1061</v>
      </c>
      <c r="D2782" s="41" t="s">
        <v>1452</v>
      </c>
      <c r="E2782" s="41">
        <v>10610010</v>
      </c>
      <c r="F2782" s="85" t="s">
        <v>1382</v>
      </c>
      <c r="G2782" s="39" t="s">
        <v>93</v>
      </c>
      <c r="H2782" s="52" t="s">
        <v>94</v>
      </c>
      <c r="I2782" s="52">
        <v>495.70000000000005</v>
      </c>
      <c r="J2782" s="49">
        <v>20845.649999999998</v>
      </c>
      <c r="K2782" s="58">
        <v>495.2</v>
      </c>
      <c r="L2782" s="58">
        <v>20641.178334538305</v>
      </c>
      <c r="M2782" s="58">
        <v>0</v>
      </c>
      <c r="N2782" s="58">
        <v>0</v>
      </c>
      <c r="O2782" s="58">
        <v>495.2</v>
      </c>
      <c r="P2782" s="53">
        <v>20641.178334538305</v>
      </c>
      <c r="Q2782" s="65">
        <v>20641.178334538305</v>
      </c>
      <c r="R2782" s="65">
        <v>0</v>
      </c>
      <c r="S2782" s="65">
        <v>0</v>
      </c>
      <c r="T2782" s="65">
        <v>0</v>
      </c>
      <c r="U2782" s="58">
        <v>0</v>
      </c>
      <c r="V2782" s="65">
        <v>0</v>
      </c>
      <c r="W2782" s="65">
        <v>0</v>
      </c>
      <c r="X2782" s="65">
        <v>20640</v>
      </c>
      <c r="Y2782" s="65">
        <v>0</v>
      </c>
      <c r="Z2782" s="51">
        <v>0</v>
      </c>
      <c r="AA2782" s="51">
        <v>206</v>
      </c>
      <c r="AB2782" s="102">
        <v>0</v>
      </c>
      <c r="AC2782" s="81">
        <f t="shared" si="133"/>
        <v>171.82837583215652</v>
      </c>
      <c r="AD2782" s="82">
        <f t="shared" si="134"/>
        <v>70.814285714285717</v>
      </c>
      <c r="AE2782" s="218">
        <v>9.8088409553884481E-3</v>
      </c>
      <c r="AF2782">
        <v>9</v>
      </c>
      <c r="AH2782" t="str">
        <f t="shared" si="132"/>
        <v>Mahua BMC</v>
      </c>
      <c r="AJ2782" s="72">
        <v>0</v>
      </c>
      <c r="AK2782" s="72"/>
      <c r="AL2782" s="72"/>
      <c r="AM2782" s="72"/>
    </row>
    <row r="2783" spans="1:39" x14ac:dyDescent="0.25">
      <c r="A2783" s="37" t="s">
        <v>62</v>
      </c>
      <c r="B2783" s="66" t="s">
        <v>1629</v>
      </c>
      <c r="C2783" s="4">
        <v>1061</v>
      </c>
      <c r="D2783" s="41" t="s">
        <v>1452</v>
      </c>
      <c r="E2783" s="41">
        <v>10610011</v>
      </c>
      <c r="F2783" s="85" t="s">
        <v>1463</v>
      </c>
      <c r="G2783" s="39" t="s">
        <v>635</v>
      </c>
      <c r="H2783" s="52" t="s">
        <v>99</v>
      </c>
      <c r="I2783" s="52">
        <v>320.10000000000002</v>
      </c>
      <c r="J2783" s="49">
        <v>12335.619999999999</v>
      </c>
      <c r="K2783" s="58">
        <v>0</v>
      </c>
      <c r="L2783" s="58">
        <v>0</v>
      </c>
      <c r="M2783" s="58">
        <v>0</v>
      </c>
      <c r="N2783" s="58">
        <v>0</v>
      </c>
      <c r="O2783" s="58">
        <v>0</v>
      </c>
      <c r="P2783" s="53">
        <v>0</v>
      </c>
      <c r="Q2783" s="65">
        <v>12335.619999999999</v>
      </c>
      <c r="R2783" s="65">
        <v>0</v>
      </c>
      <c r="S2783" s="65">
        <v>0</v>
      </c>
      <c r="T2783" s="65">
        <v>0</v>
      </c>
      <c r="U2783" s="58">
        <v>0</v>
      </c>
      <c r="V2783" s="65">
        <v>0</v>
      </c>
      <c r="W2783" s="65">
        <v>0</v>
      </c>
      <c r="X2783" s="65">
        <v>0</v>
      </c>
      <c r="Y2783" s="65">
        <v>0</v>
      </c>
      <c r="Z2783" s="51">
        <v>12335.619999999999</v>
      </c>
      <c r="AA2783" s="51">
        <v>0</v>
      </c>
      <c r="AB2783" s="102">
        <v>0</v>
      </c>
      <c r="AC2783" s="81">
        <f t="shared" si="133"/>
        <v>292.80237663230236</v>
      </c>
      <c r="AD2783" s="82">
        <f t="shared" si="134"/>
        <v>45.728571428571435</v>
      </c>
      <c r="AE2783" s="218">
        <v>0</v>
      </c>
      <c r="AF2783">
        <v>0</v>
      </c>
      <c r="AH2783" t="str">
        <f t="shared" si="132"/>
        <v>Mahua BMC</v>
      </c>
      <c r="AJ2783" s="72">
        <v>0</v>
      </c>
      <c r="AK2783" s="72"/>
      <c r="AL2783" s="72"/>
      <c r="AM2783" s="72"/>
    </row>
    <row r="2784" spans="1:39" x14ac:dyDescent="0.25">
      <c r="A2784" s="37" t="s">
        <v>62</v>
      </c>
      <c r="B2784" s="66" t="s">
        <v>1629</v>
      </c>
      <c r="C2784" s="4">
        <v>1061</v>
      </c>
      <c r="D2784" s="41" t="s">
        <v>1452</v>
      </c>
      <c r="E2784" s="41">
        <v>10610013</v>
      </c>
      <c r="F2784" s="85" t="s">
        <v>1464</v>
      </c>
      <c r="G2784" s="39" t="s">
        <v>635</v>
      </c>
      <c r="H2784" s="52" t="s">
        <v>99</v>
      </c>
      <c r="I2784" s="52">
        <v>268</v>
      </c>
      <c r="J2784" s="49">
        <v>9761.08</v>
      </c>
      <c r="K2784" s="58">
        <v>0</v>
      </c>
      <c r="L2784" s="58">
        <v>0</v>
      </c>
      <c r="M2784" s="58">
        <v>0</v>
      </c>
      <c r="N2784" s="58">
        <v>0</v>
      </c>
      <c r="O2784" s="58">
        <v>0</v>
      </c>
      <c r="P2784" s="53">
        <v>0</v>
      </c>
      <c r="Q2784" s="65">
        <v>9761.08</v>
      </c>
      <c r="R2784" s="65">
        <v>0</v>
      </c>
      <c r="S2784" s="65">
        <v>0</v>
      </c>
      <c r="T2784" s="65">
        <v>0</v>
      </c>
      <c r="U2784" s="58">
        <v>0</v>
      </c>
      <c r="V2784" s="65">
        <v>0</v>
      </c>
      <c r="W2784" s="65">
        <v>0</v>
      </c>
      <c r="X2784" s="65">
        <v>0</v>
      </c>
      <c r="Y2784" s="65">
        <v>0</v>
      </c>
      <c r="Z2784" s="51">
        <v>9761.08</v>
      </c>
      <c r="AA2784" s="51">
        <v>0</v>
      </c>
      <c r="AB2784" s="102">
        <v>0</v>
      </c>
      <c r="AC2784" s="81">
        <f t="shared" si="133"/>
        <v>314.68556417910452</v>
      </c>
      <c r="AD2784" s="82">
        <f t="shared" si="134"/>
        <v>38.285714285714285</v>
      </c>
      <c r="AE2784" s="218">
        <v>0</v>
      </c>
      <c r="AF2784">
        <v>0</v>
      </c>
      <c r="AH2784" t="str">
        <f t="shared" si="132"/>
        <v>Mahua BMC</v>
      </c>
      <c r="AJ2784" s="72">
        <v>0</v>
      </c>
      <c r="AK2784" s="72"/>
      <c r="AL2784" s="72"/>
      <c r="AM2784" s="72"/>
    </row>
    <row r="2785" spans="1:39" x14ac:dyDescent="0.25">
      <c r="A2785" s="37" t="s">
        <v>62</v>
      </c>
      <c r="B2785" s="66" t="s">
        <v>1629</v>
      </c>
      <c r="C2785" s="4">
        <v>1061</v>
      </c>
      <c r="D2785" s="41" t="s">
        <v>1452</v>
      </c>
      <c r="E2785" s="41">
        <v>10610015</v>
      </c>
      <c r="F2785" s="85" t="s">
        <v>1562</v>
      </c>
      <c r="G2785" s="39" t="s">
        <v>635</v>
      </c>
      <c r="H2785" s="52" t="s">
        <v>99</v>
      </c>
      <c r="I2785" s="52">
        <v>261.39999999999998</v>
      </c>
      <c r="J2785" s="49">
        <v>9562.7099999999991</v>
      </c>
      <c r="K2785" s="58">
        <v>0</v>
      </c>
      <c r="L2785" s="58">
        <v>0</v>
      </c>
      <c r="M2785" s="58">
        <v>0</v>
      </c>
      <c r="N2785" s="58">
        <v>0</v>
      </c>
      <c r="O2785" s="58">
        <v>0</v>
      </c>
      <c r="P2785" s="53">
        <v>0</v>
      </c>
      <c r="Q2785" s="65">
        <v>9562.7099999999991</v>
      </c>
      <c r="R2785" s="65">
        <v>0</v>
      </c>
      <c r="S2785" s="65">
        <v>0</v>
      </c>
      <c r="T2785" s="65">
        <v>0</v>
      </c>
      <c r="U2785" s="58">
        <v>0</v>
      </c>
      <c r="V2785" s="65">
        <v>0</v>
      </c>
      <c r="W2785" s="65">
        <v>0</v>
      </c>
      <c r="X2785" s="65">
        <v>0</v>
      </c>
      <c r="Y2785" s="65">
        <v>0</v>
      </c>
      <c r="Z2785" s="51">
        <v>9562.7099999999991</v>
      </c>
      <c r="AA2785" s="51">
        <v>0</v>
      </c>
      <c r="AB2785" s="102">
        <v>0</v>
      </c>
      <c r="AC2785" s="81">
        <f t="shared" si="133"/>
        <v>320.90318332058155</v>
      </c>
      <c r="AD2785" s="82">
        <f t="shared" si="134"/>
        <v>37.342857142857142</v>
      </c>
      <c r="AE2785" s="218">
        <v>0</v>
      </c>
      <c r="AF2785">
        <v>0</v>
      </c>
      <c r="AH2785" t="str">
        <f t="shared" si="132"/>
        <v>Mahua BMC</v>
      </c>
      <c r="AJ2785" s="72">
        <v>0</v>
      </c>
      <c r="AK2785" s="72"/>
      <c r="AL2785" s="72"/>
      <c r="AM2785" s="72"/>
    </row>
    <row r="2786" spans="1:39" x14ac:dyDescent="0.25">
      <c r="A2786" s="37" t="s">
        <v>62</v>
      </c>
      <c r="B2786" s="66" t="s">
        <v>1629</v>
      </c>
      <c r="C2786" s="4">
        <v>1061</v>
      </c>
      <c r="D2786" s="41" t="s">
        <v>1452</v>
      </c>
      <c r="E2786" s="41">
        <v>10610017</v>
      </c>
      <c r="F2786" s="85" t="s">
        <v>1465</v>
      </c>
      <c r="G2786" s="39" t="s">
        <v>93</v>
      </c>
      <c r="H2786" s="52" t="s">
        <v>94</v>
      </c>
      <c r="I2786" s="52">
        <v>334.99999999999994</v>
      </c>
      <c r="J2786" s="49">
        <v>14059.609999999999</v>
      </c>
      <c r="K2786" s="58">
        <v>335.8</v>
      </c>
      <c r="L2786" s="58">
        <v>14183.36816879563</v>
      </c>
      <c r="M2786" s="58">
        <v>0</v>
      </c>
      <c r="N2786" s="58">
        <v>0</v>
      </c>
      <c r="O2786" s="58">
        <v>335.8</v>
      </c>
      <c r="P2786" s="53">
        <v>14183.36816879563</v>
      </c>
      <c r="Q2786" s="65">
        <v>14059.609999999999</v>
      </c>
      <c r="R2786" s="65">
        <v>1553</v>
      </c>
      <c r="S2786" s="65">
        <v>0</v>
      </c>
      <c r="T2786" s="65">
        <v>123.75816879563172</v>
      </c>
      <c r="U2786" s="58">
        <v>0</v>
      </c>
      <c r="V2786" s="65">
        <v>0</v>
      </c>
      <c r="W2786" s="65">
        <v>0</v>
      </c>
      <c r="X2786" s="65">
        <v>12507</v>
      </c>
      <c r="Y2786" s="65">
        <v>0</v>
      </c>
      <c r="Z2786" s="51">
        <v>0</v>
      </c>
      <c r="AA2786" s="51">
        <v>0</v>
      </c>
      <c r="AB2786" s="102">
        <v>0</v>
      </c>
      <c r="AC2786" s="81">
        <f t="shared" si="133"/>
        <v>306.37359104477622</v>
      </c>
      <c r="AD2786" s="82">
        <f t="shared" si="134"/>
        <v>47.857142857142847</v>
      </c>
      <c r="AE2786" s="218">
        <v>-8.8023898810587007E-3</v>
      </c>
      <c r="AF2786">
        <v>6</v>
      </c>
      <c r="AH2786" t="str">
        <f t="shared" si="132"/>
        <v>Mahua BMC</v>
      </c>
      <c r="AJ2786" s="72">
        <v>0</v>
      </c>
      <c r="AK2786" s="72"/>
      <c r="AL2786" s="72"/>
      <c r="AM2786" s="72"/>
    </row>
    <row r="2787" spans="1:39" x14ac:dyDescent="0.25">
      <c r="A2787" s="37" t="s">
        <v>62</v>
      </c>
      <c r="B2787" s="66" t="s">
        <v>1629</v>
      </c>
      <c r="C2787" s="4">
        <v>1061</v>
      </c>
      <c r="D2787" s="41" t="s">
        <v>1452</v>
      </c>
      <c r="E2787" s="41">
        <v>10610018</v>
      </c>
      <c r="F2787" s="85" t="s">
        <v>1466</v>
      </c>
      <c r="G2787" s="39" t="s">
        <v>93</v>
      </c>
      <c r="H2787" s="52" t="s">
        <v>94</v>
      </c>
      <c r="I2787" s="52">
        <v>469.9</v>
      </c>
      <c r="J2787" s="49">
        <v>19987.169999999998</v>
      </c>
      <c r="K2787" s="58">
        <v>477.60000000000008</v>
      </c>
      <c r="L2787" s="58">
        <v>19619.4147601351</v>
      </c>
      <c r="M2787" s="58">
        <v>0</v>
      </c>
      <c r="N2787" s="58">
        <v>0</v>
      </c>
      <c r="O2787" s="58">
        <v>477.60000000000008</v>
      </c>
      <c r="P2787" s="53">
        <v>19619.4147601351</v>
      </c>
      <c r="Q2787" s="65">
        <v>19619.4147601351</v>
      </c>
      <c r="R2787" s="65">
        <v>0</v>
      </c>
      <c r="S2787" s="65">
        <v>0</v>
      </c>
      <c r="T2787" s="65">
        <v>0</v>
      </c>
      <c r="U2787" s="58">
        <v>0</v>
      </c>
      <c r="V2787" s="65">
        <v>0</v>
      </c>
      <c r="W2787" s="65">
        <v>0</v>
      </c>
      <c r="X2787" s="65">
        <v>19619</v>
      </c>
      <c r="Y2787" s="65">
        <v>0</v>
      </c>
      <c r="Z2787" s="51">
        <v>0</v>
      </c>
      <c r="AA2787" s="51">
        <v>368</v>
      </c>
      <c r="AB2787" s="102">
        <v>0</v>
      </c>
      <c r="AC2787" s="81">
        <f t="shared" si="133"/>
        <v>195.7458104703129</v>
      </c>
      <c r="AD2787" s="82">
        <f t="shared" si="134"/>
        <v>67.128571428571419</v>
      </c>
      <c r="AE2787" s="218">
        <v>1.8399565314394115E-2</v>
      </c>
      <c r="AF2787">
        <v>6</v>
      </c>
      <c r="AH2787" t="str">
        <f t="shared" si="132"/>
        <v>Mahua BMC</v>
      </c>
      <c r="AJ2787" s="72">
        <v>0</v>
      </c>
      <c r="AK2787" s="72"/>
      <c r="AL2787" s="72"/>
      <c r="AM2787" s="72"/>
    </row>
    <row r="2788" spans="1:39" x14ac:dyDescent="0.25">
      <c r="A2788" s="37" t="s">
        <v>62</v>
      </c>
      <c r="B2788" s="66" t="s">
        <v>1629</v>
      </c>
      <c r="C2788" s="4">
        <v>1061</v>
      </c>
      <c r="D2788" s="41" t="s">
        <v>1452</v>
      </c>
      <c r="E2788" s="41">
        <v>10610019</v>
      </c>
      <c r="F2788" s="85" t="s">
        <v>1481</v>
      </c>
      <c r="G2788" s="39" t="s">
        <v>93</v>
      </c>
      <c r="H2788" s="52" t="s">
        <v>94</v>
      </c>
      <c r="I2788" s="52">
        <v>150.79999999999998</v>
      </c>
      <c r="J2788" s="49">
        <v>6815.1400000000012</v>
      </c>
      <c r="K2788" s="58">
        <v>192.50000000000003</v>
      </c>
      <c r="L2788" s="58">
        <v>9566.766907993102</v>
      </c>
      <c r="M2788" s="58">
        <v>0</v>
      </c>
      <c r="N2788" s="58">
        <v>0</v>
      </c>
      <c r="O2788" s="58">
        <v>192.50000000000003</v>
      </c>
      <c r="P2788" s="53">
        <v>9566.766907993102</v>
      </c>
      <c r="Q2788" s="65">
        <v>6815.1400000000012</v>
      </c>
      <c r="R2788" s="65">
        <v>0</v>
      </c>
      <c r="S2788" s="65">
        <v>0</v>
      </c>
      <c r="T2788" s="65">
        <v>2751.6269079931008</v>
      </c>
      <c r="U2788" s="58">
        <v>0</v>
      </c>
      <c r="V2788" s="65">
        <v>0</v>
      </c>
      <c r="W2788" s="65">
        <v>0</v>
      </c>
      <c r="X2788" s="65">
        <v>6815</v>
      </c>
      <c r="Y2788" s="65">
        <v>0</v>
      </c>
      <c r="Z2788" s="51">
        <v>0</v>
      </c>
      <c r="AA2788" s="51">
        <v>0</v>
      </c>
      <c r="AB2788" s="102">
        <v>0</v>
      </c>
      <c r="AC2788" s="81">
        <f t="shared" si="133"/>
        <v>496.40250503978802</v>
      </c>
      <c r="AD2788" s="82">
        <f t="shared" si="134"/>
        <v>21.542857142857141</v>
      </c>
      <c r="AE2788" s="218">
        <v>-0.40375207376416333</v>
      </c>
      <c r="AF2788">
        <v>6</v>
      </c>
      <c r="AH2788" t="str">
        <f t="shared" si="132"/>
        <v>Mahua BMC</v>
      </c>
      <c r="AJ2788" s="72">
        <v>0</v>
      </c>
      <c r="AK2788" s="72"/>
      <c r="AL2788" s="72"/>
      <c r="AM2788" s="72"/>
    </row>
    <row r="2789" spans="1:39" x14ac:dyDescent="0.25">
      <c r="A2789" s="37" t="s">
        <v>62</v>
      </c>
      <c r="B2789" s="66" t="s">
        <v>1629</v>
      </c>
      <c r="C2789" s="4">
        <v>1061</v>
      </c>
      <c r="D2789" s="41" t="s">
        <v>1452</v>
      </c>
      <c r="E2789" s="41">
        <v>10610020</v>
      </c>
      <c r="F2789" s="85" t="s">
        <v>1467</v>
      </c>
      <c r="G2789" s="39" t="s">
        <v>93</v>
      </c>
      <c r="H2789" s="52" t="s">
        <v>94</v>
      </c>
      <c r="I2789" s="52">
        <v>390.8</v>
      </c>
      <c r="J2789" s="49">
        <v>16006.509999999997</v>
      </c>
      <c r="K2789" s="58">
        <v>389.79999999999995</v>
      </c>
      <c r="L2789" s="58">
        <v>16022.72349229383</v>
      </c>
      <c r="M2789" s="58">
        <v>0</v>
      </c>
      <c r="N2789" s="58">
        <v>0</v>
      </c>
      <c r="O2789" s="58">
        <v>389.79999999999995</v>
      </c>
      <c r="P2789" s="53">
        <v>16022.72349229383</v>
      </c>
      <c r="Q2789" s="65">
        <v>16006.509999999997</v>
      </c>
      <c r="R2789" s="65">
        <v>379</v>
      </c>
      <c r="S2789" s="65">
        <v>0</v>
      </c>
      <c r="T2789" s="65">
        <v>16.213492293833042</v>
      </c>
      <c r="U2789" s="58">
        <v>0</v>
      </c>
      <c r="V2789" s="65">
        <v>0</v>
      </c>
      <c r="W2789" s="65">
        <v>0</v>
      </c>
      <c r="X2789" s="65">
        <v>15628</v>
      </c>
      <c r="Y2789" s="65">
        <v>0</v>
      </c>
      <c r="Z2789" s="51">
        <v>0</v>
      </c>
      <c r="AA2789" s="51">
        <v>0</v>
      </c>
      <c r="AB2789" s="102">
        <v>0</v>
      </c>
      <c r="AC2789" s="81">
        <f t="shared" si="133"/>
        <v>253.28622784032746</v>
      </c>
      <c r="AD2789" s="82">
        <f t="shared" si="134"/>
        <v>55.828571428571429</v>
      </c>
      <c r="AE2789" s="218">
        <v>-1.0129311320102286E-3</v>
      </c>
      <c r="AF2789">
        <v>10</v>
      </c>
      <c r="AH2789" t="str">
        <f t="shared" si="132"/>
        <v>Mahua BMC</v>
      </c>
      <c r="AJ2789" s="72">
        <v>0</v>
      </c>
      <c r="AK2789" s="72"/>
      <c r="AL2789" s="72"/>
      <c r="AM2789" s="72"/>
    </row>
    <row r="2790" spans="1:39" x14ac:dyDescent="0.25">
      <c r="A2790" s="37" t="s">
        <v>62</v>
      </c>
      <c r="B2790" s="66" t="s">
        <v>1629</v>
      </c>
      <c r="C2790" s="4">
        <v>1061</v>
      </c>
      <c r="D2790" s="41" t="s">
        <v>1452</v>
      </c>
      <c r="E2790" s="41">
        <v>10610021</v>
      </c>
      <c r="F2790" s="85" t="s">
        <v>1482</v>
      </c>
      <c r="G2790" s="39" t="s">
        <v>635</v>
      </c>
      <c r="H2790" s="52" t="s">
        <v>99</v>
      </c>
      <c r="I2790" s="52">
        <v>25.1</v>
      </c>
      <c r="J2790" s="49">
        <v>1198.83</v>
      </c>
      <c r="K2790" s="58">
        <v>0</v>
      </c>
      <c r="L2790" s="58">
        <v>0</v>
      </c>
      <c r="M2790" s="58">
        <v>0</v>
      </c>
      <c r="N2790" s="58">
        <v>0</v>
      </c>
      <c r="O2790" s="58">
        <v>0</v>
      </c>
      <c r="P2790" s="53">
        <v>0</v>
      </c>
      <c r="Q2790" s="65">
        <v>1198.83</v>
      </c>
      <c r="R2790" s="65">
        <v>0</v>
      </c>
      <c r="S2790" s="65">
        <v>0</v>
      </c>
      <c r="T2790" s="65">
        <v>0</v>
      </c>
      <c r="U2790" s="58">
        <v>0</v>
      </c>
      <c r="V2790" s="65">
        <v>0</v>
      </c>
      <c r="W2790" s="65">
        <v>0</v>
      </c>
      <c r="X2790" s="65">
        <v>0</v>
      </c>
      <c r="Y2790" s="65">
        <v>0</v>
      </c>
      <c r="Z2790" s="51">
        <v>1198.83</v>
      </c>
      <c r="AA2790" s="51">
        <v>0</v>
      </c>
      <c r="AB2790" s="102">
        <v>0</v>
      </c>
      <c r="AC2790" s="81">
        <f t="shared" si="133"/>
        <v>644.69351952191221</v>
      </c>
      <c r="AD2790" s="82">
        <f t="shared" si="134"/>
        <v>3.5857142857142859</v>
      </c>
      <c r="AE2790" s="218">
        <v>0</v>
      </c>
      <c r="AF2790">
        <v>0</v>
      </c>
      <c r="AH2790" t="str">
        <f t="shared" si="132"/>
        <v>Mahua BMC</v>
      </c>
      <c r="AJ2790" s="72">
        <v>0</v>
      </c>
      <c r="AK2790" s="72"/>
      <c r="AL2790" s="72"/>
      <c r="AM2790" s="72"/>
    </row>
    <row r="2791" spans="1:39" x14ac:dyDescent="0.25">
      <c r="A2791" s="37" t="s">
        <v>62</v>
      </c>
      <c r="B2791" s="66" t="s">
        <v>1629</v>
      </c>
      <c r="C2791" s="4">
        <v>1061</v>
      </c>
      <c r="D2791" s="41" t="s">
        <v>1452</v>
      </c>
      <c r="E2791" s="41">
        <v>10610022</v>
      </c>
      <c r="F2791" s="85" t="s">
        <v>1468</v>
      </c>
      <c r="G2791" s="39" t="s">
        <v>93</v>
      </c>
      <c r="H2791" s="52" t="s">
        <v>94</v>
      </c>
      <c r="I2791" s="52">
        <v>239.80000000000004</v>
      </c>
      <c r="J2791" s="49">
        <v>10181.84</v>
      </c>
      <c r="K2791" s="58">
        <v>239.40000000000009</v>
      </c>
      <c r="L2791" s="58">
        <v>10304.67481499218</v>
      </c>
      <c r="M2791" s="58">
        <v>0</v>
      </c>
      <c r="N2791" s="58">
        <v>0</v>
      </c>
      <c r="O2791" s="58">
        <v>239.40000000000009</v>
      </c>
      <c r="P2791" s="53">
        <v>10304.67481499218</v>
      </c>
      <c r="Q2791" s="65">
        <v>10181.84</v>
      </c>
      <c r="R2791" s="65">
        <v>26</v>
      </c>
      <c r="S2791" s="65">
        <v>0</v>
      </c>
      <c r="T2791" s="65">
        <v>122.83481499218033</v>
      </c>
      <c r="U2791" s="58">
        <v>0</v>
      </c>
      <c r="V2791" s="65">
        <v>0</v>
      </c>
      <c r="W2791" s="65">
        <v>0</v>
      </c>
      <c r="X2791" s="65">
        <v>10156</v>
      </c>
      <c r="Y2791" s="65">
        <v>0</v>
      </c>
      <c r="Z2791" s="51">
        <v>0</v>
      </c>
      <c r="AA2791" s="51">
        <v>0</v>
      </c>
      <c r="AB2791" s="102">
        <v>0</v>
      </c>
      <c r="AC2791" s="81">
        <f t="shared" si="133"/>
        <v>390.79923002502073</v>
      </c>
      <c r="AD2791" s="82">
        <f t="shared" si="134"/>
        <v>34.25714285714286</v>
      </c>
      <c r="AE2791" s="218">
        <v>-1.2064107763643932E-2</v>
      </c>
      <c r="AF2791">
        <v>4</v>
      </c>
      <c r="AH2791" t="str">
        <f t="shared" si="132"/>
        <v>Mahua BMC</v>
      </c>
      <c r="AJ2791" s="72">
        <v>0</v>
      </c>
      <c r="AK2791" s="72"/>
      <c r="AL2791" s="72"/>
      <c r="AM2791" s="72"/>
    </row>
    <row r="2792" spans="1:39" x14ac:dyDescent="0.25">
      <c r="A2792" s="37" t="s">
        <v>62</v>
      </c>
      <c r="B2792" s="66" t="s">
        <v>1629</v>
      </c>
      <c r="C2792" s="4">
        <v>1061</v>
      </c>
      <c r="D2792" s="41" t="s">
        <v>1452</v>
      </c>
      <c r="E2792" s="41">
        <v>10610024</v>
      </c>
      <c r="F2792" s="85" t="s">
        <v>1483</v>
      </c>
      <c r="G2792" s="39" t="s">
        <v>93</v>
      </c>
      <c r="H2792" s="52" t="s">
        <v>94</v>
      </c>
      <c r="I2792" s="52">
        <v>263.79999999999995</v>
      </c>
      <c r="J2792" s="49">
        <v>10136.120000000001</v>
      </c>
      <c r="K2792" s="58">
        <v>265.8</v>
      </c>
      <c r="L2792" s="58">
        <v>9965.6243306019605</v>
      </c>
      <c r="M2792" s="58">
        <v>3.1</v>
      </c>
      <c r="N2792" s="58">
        <v>120.74899873327503</v>
      </c>
      <c r="O2792" s="58">
        <v>268.90000000000003</v>
      </c>
      <c r="P2792" s="53">
        <v>10086.373329335236</v>
      </c>
      <c r="Q2792" s="65">
        <v>10086.373329335236</v>
      </c>
      <c r="R2792" s="65">
        <v>0</v>
      </c>
      <c r="S2792" s="65">
        <v>120.74899873327503</v>
      </c>
      <c r="T2792" s="65">
        <v>0</v>
      </c>
      <c r="U2792" s="58">
        <v>0</v>
      </c>
      <c r="V2792" s="65">
        <v>0</v>
      </c>
      <c r="W2792" s="65">
        <v>0</v>
      </c>
      <c r="X2792" s="65">
        <v>9967</v>
      </c>
      <c r="Y2792" s="65">
        <v>0</v>
      </c>
      <c r="Z2792" s="51">
        <v>0</v>
      </c>
      <c r="AA2792" s="51">
        <v>48</v>
      </c>
      <c r="AB2792" s="102">
        <v>0</v>
      </c>
      <c r="AC2792" s="81">
        <f t="shared" si="133"/>
        <v>335.20663714935574</v>
      </c>
      <c r="AD2792" s="82">
        <f t="shared" si="134"/>
        <v>37.685714285714276</v>
      </c>
      <c r="AE2792" s="218">
        <v>4.9078612590187053E-3</v>
      </c>
      <c r="AF2792">
        <v>8</v>
      </c>
      <c r="AH2792" t="str">
        <f t="shared" si="132"/>
        <v>Mahua BMC</v>
      </c>
      <c r="AJ2792" s="72">
        <v>0</v>
      </c>
      <c r="AK2792" s="72"/>
      <c r="AL2792" s="72"/>
      <c r="AM2792" s="72"/>
    </row>
    <row r="2793" spans="1:39" x14ac:dyDescent="0.25">
      <c r="A2793" s="37" t="s">
        <v>62</v>
      </c>
      <c r="B2793" s="66" t="s">
        <v>1629</v>
      </c>
      <c r="C2793" s="4">
        <v>1061</v>
      </c>
      <c r="D2793" s="41" t="s">
        <v>1452</v>
      </c>
      <c r="E2793" s="41">
        <v>10610026</v>
      </c>
      <c r="F2793" s="85" t="s">
        <v>1519</v>
      </c>
      <c r="G2793" s="39" t="s">
        <v>93</v>
      </c>
      <c r="H2793" s="52" t="s">
        <v>94</v>
      </c>
      <c r="I2793" s="52">
        <v>75.100000000000009</v>
      </c>
      <c r="J2793" s="49">
        <v>4991.7799999999988</v>
      </c>
      <c r="K2793" s="58">
        <v>67.3</v>
      </c>
      <c r="L2793" s="58">
        <v>4362.7972304346004</v>
      </c>
      <c r="M2793" s="58">
        <v>0</v>
      </c>
      <c r="N2793" s="58">
        <v>0</v>
      </c>
      <c r="O2793" s="58">
        <v>67.3</v>
      </c>
      <c r="P2793" s="53">
        <v>4362.7972304346004</v>
      </c>
      <c r="Q2793" s="65">
        <v>4362.7972304346004</v>
      </c>
      <c r="R2793" s="65">
        <v>0</v>
      </c>
      <c r="S2793" s="65">
        <v>0</v>
      </c>
      <c r="T2793" s="65">
        <v>0</v>
      </c>
      <c r="U2793" s="58">
        <v>0</v>
      </c>
      <c r="V2793" s="65">
        <v>0</v>
      </c>
      <c r="W2793" s="65">
        <v>0</v>
      </c>
      <c r="X2793" s="65">
        <v>4364</v>
      </c>
      <c r="Y2793" s="65">
        <v>0</v>
      </c>
      <c r="Z2793" s="51">
        <v>0</v>
      </c>
      <c r="AA2793" s="51">
        <v>628</v>
      </c>
      <c r="AB2793" s="102">
        <v>0</v>
      </c>
      <c r="AC2793" s="81">
        <f t="shared" si="133"/>
        <v>830.72258908122478</v>
      </c>
      <c r="AD2793" s="82">
        <f t="shared" si="134"/>
        <v>10.72857142857143</v>
      </c>
      <c r="AE2793" s="218">
        <v>0.12600370400245978</v>
      </c>
      <c r="AF2793">
        <v>5</v>
      </c>
      <c r="AH2793" t="str">
        <f t="shared" si="132"/>
        <v>Mahua BMC</v>
      </c>
      <c r="AJ2793" s="72">
        <v>0</v>
      </c>
      <c r="AK2793" s="72"/>
      <c r="AL2793" s="72"/>
      <c r="AM2793" s="72"/>
    </row>
    <row r="2794" spans="1:39" x14ac:dyDescent="0.25">
      <c r="A2794" s="37" t="s">
        <v>62</v>
      </c>
      <c r="B2794" s="66" t="s">
        <v>1629</v>
      </c>
      <c r="C2794" s="4">
        <v>1061</v>
      </c>
      <c r="D2794" s="41" t="s">
        <v>1452</v>
      </c>
      <c r="E2794" s="41">
        <v>10610027</v>
      </c>
      <c r="F2794" s="85" t="s">
        <v>1520</v>
      </c>
      <c r="G2794" s="39" t="s">
        <v>635</v>
      </c>
      <c r="H2794" s="52" t="s">
        <v>99</v>
      </c>
      <c r="I2794" s="52">
        <v>1619.5000000000002</v>
      </c>
      <c r="J2794" s="49">
        <v>49531.64</v>
      </c>
      <c r="K2794" s="58">
        <v>0</v>
      </c>
      <c r="L2794" s="58">
        <v>0</v>
      </c>
      <c r="M2794" s="58">
        <v>0</v>
      </c>
      <c r="N2794" s="58">
        <v>0</v>
      </c>
      <c r="O2794" s="58">
        <v>0</v>
      </c>
      <c r="P2794" s="53">
        <v>0</v>
      </c>
      <c r="Q2794" s="65">
        <v>49531.64</v>
      </c>
      <c r="R2794" s="65">
        <v>0</v>
      </c>
      <c r="S2794" s="65">
        <v>0</v>
      </c>
      <c r="T2794" s="65">
        <v>0</v>
      </c>
      <c r="U2794" s="58">
        <v>0</v>
      </c>
      <c r="V2794" s="65">
        <v>0</v>
      </c>
      <c r="W2794" s="65">
        <v>0</v>
      </c>
      <c r="X2794" s="65">
        <v>0</v>
      </c>
      <c r="Y2794" s="65">
        <v>0</v>
      </c>
      <c r="Z2794" s="51">
        <v>49531.64</v>
      </c>
      <c r="AA2794" s="51">
        <v>0</v>
      </c>
      <c r="AB2794" s="102">
        <v>0</v>
      </c>
      <c r="AC2794" s="81">
        <f t="shared" si="133"/>
        <v>0</v>
      </c>
      <c r="AD2794" s="82">
        <f t="shared" si="134"/>
        <v>0</v>
      </c>
      <c r="AE2794" s="218">
        <v>0</v>
      </c>
      <c r="AF2794">
        <v>0</v>
      </c>
      <c r="AH2794" t="str">
        <f t="shared" si="132"/>
        <v>Mahua BMC</v>
      </c>
      <c r="AJ2794" s="72">
        <v>0</v>
      </c>
      <c r="AK2794" s="72"/>
      <c r="AL2794" s="72"/>
      <c r="AM2794" s="72"/>
    </row>
    <row r="2795" spans="1:39" x14ac:dyDescent="0.25">
      <c r="A2795" s="37" t="s">
        <v>62</v>
      </c>
      <c r="B2795" s="66" t="s">
        <v>1629</v>
      </c>
      <c r="C2795" s="4">
        <v>1061</v>
      </c>
      <c r="D2795" s="41" t="s">
        <v>1452</v>
      </c>
      <c r="E2795" s="41">
        <v>10610031</v>
      </c>
      <c r="F2795" s="85" t="s">
        <v>1522</v>
      </c>
      <c r="G2795" s="39" t="s">
        <v>635</v>
      </c>
      <c r="H2795" s="52" t="s">
        <v>99</v>
      </c>
      <c r="I2795" s="52">
        <v>102.3</v>
      </c>
      <c r="J2795" s="49">
        <v>3186.8100000000004</v>
      </c>
      <c r="K2795" s="58">
        <v>0</v>
      </c>
      <c r="L2795" s="58">
        <v>0</v>
      </c>
      <c r="M2795" s="58">
        <v>0</v>
      </c>
      <c r="N2795" s="58">
        <v>0</v>
      </c>
      <c r="O2795" s="58">
        <v>0</v>
      </c>
      <c r="P2795" s="53">
        <v>0</v>
      </c>
      <c r="Q2795" s="65">
        <v>3186.8100000000004</v>
      </c>
      <c r="R2795" s="65">
        <v>0</v>
      </c>
      <c r="S2795" s="65">
        <v>0</v>
      </c>
      <c r="T2795" s="65">
        <v>0</v>
      </c>
      <c r="U2795" s="58">
        <v>0</v>
      </c>
      <c r="V2795" s="65">
        <v>0</v>
      </c>
      <c r="W2795" s="65">
        <v>0</v>
      </c>
      <c r="X2795" s="65">
        <v>0</v>
      </c>
      <c r="Y2795" s="65">
        <v>0</v>
      </c>
      <c r="Z2795" s="51">
        <v>3186.8100000000004</v>
      </c>
      <c r="AA2795" s="51">
        <v>0</v>
      </c>
      <c r="AB2795" s="102">
        <v>0</v>
      </c>
      <c r="AC2795" s="81">
        <f t="shared" si="133"/>
        <v>372.38638064516135</v>
      </c>
      <c r="AD2795" s="82">
        <f t="shared" si="134"/>
        <v>14.614285714285714</v>
      </c>
      <c r="AE2795" s="218">
        <v>0</v>
      </c>
      <c r="AF2795">
        <v>0</v>
      </c>
      <c r="AH2795" t="str">
        <f t="shared" si="132"/>
        <v>Mahua BMC</v>
      </c>
      <c r="AJ2795" s="72">
        <v>0</v>
      </c>
      <c r="AK2795" s="72"/>
      <c r="AL2795" s="72"/>
      <c r="AM2795" s="72"/>
    </row>
    <row r="2796" spans="1:39" x14ac:dyDescent="0.25">
      <c r="A2796" s="37" t="s">
        <v>62</v>
      </c>
      <c r="B2796" s="66" t="s">
        <v>1629</v>
      </c>
      <c r="C2796" s="4">
        <v>1061</v>
      </c>
      <c r="D2796" s="41" t="s">
        <v>1452</v>
      </c>
      <c r="E2796" s="41">
        <v>10610034</v>
      </c>
      <c r="F2796" s="85" t="s">
        <v>1523</v>
      </c>
      <c r="G2796" s="39" t="s">
        <v>635</v>
      </c>
      <c r="H2796" s="52" t="s">
        <v>99</v>
      </c>
      <c r="I2796" s="52">
        <v>398.69999999999993</v>
      </c>
      <c r="J2796" s="49">
        <v>14359.230000000001</v>
      </c>
      <c r="K2796" s="58">
        <v>0</v>
      </c>
      <c r="L2796" s="58">
        <v>0</v>
      </c>
      <c r="M2796" s="58">
        <v>0</v>
      </c>
      <c r="N2796" s="58">
        <v>0</v>
      </c>
      <c r="O2796" s="58">
        <v>0</v>
      </c>
      <c r="P2796" s="53">
        <v>0</v>
      </c>
      <c r="Q2796" s="65">
        <v>14359.230000000001</v>
      </c>
      <c r="R2796" s="65">
        <v>0</v>
      </c>
      <c r="S2796" s="65">
        <v>0</v>
      </c>
      <c r="T2796" s="65">
        <v>0</v>
      </c>
      <c r="U2796" s="58">
        <v>0</v>
      </c>
      <c r="V2796" s="65">
        <v>0</v>
      </c>
      <c r="W2796" s="65">
        <v>0</v>
      </c>
      <c r="X2796" s="65">
        <v>0</v>
      </c>
      <c r="Y2796" s="65">
        <v>0</v>
      </c>
      <c r="Z2796" s="51">
        <v>14359.230000000001</v>
      </c>
      <c r="AA2796" s="51">
        <v>0</v>
      </c>
      <c r="AB2796" s="102">
        <v>0</v>
      </c>
      <c r="AC2796" s="81">
        <f t="shared" si="133"/>
        <v>217.02713814898431</v>
      </c>
      <c r="AD2796" s="82">
        <f t="shared" si="134"/>
        <v>56.957142857142848</v>
      </c>
      <c r="AE2796" s="218">
        <v>0</v>
      </c>
      <c r="AF2796">
        <v>0</v>
      </c>
      <c r="AH2796" t="str">
        <f t="shared" si="132"/>
        <v>Mahua BMC</v>
      </c>
      <c r="AJ2796" s="72">
        <v>0</v>
      </c>
      <c r="AK2796" s="72"/>
      <c r="AL2796" s="72"/>
      <c r="AM2796" s="72"/>
    </row>
    <row r="2797" spans="1:39" x14ac:dyDescent="0.25">
      <c r="A2797" s="37" t="s">
        <v>62</v>
      </c>
      <c r="B2797" s="66" t="s">
        <v>1629</v>
      </c>
      <c r="C2797" s="4">
        <v>1061</v>
      </c>
      <c r="D2797" s="41" t="s">
        <v>1452</v>
      </c>
      <c r="E2797" s="41">
        <v>10610035</v>
      </c>
      <c r="F2797" s="85" t="s">
        <v>1524</v>
      </c>
      <c r="G2797" s="39" t="s">
        <v>635</v>
      </c>
      <c r="H2797" s="52" t="s">
        <v>99</v>
      </c>
      <c r="I2797" s="52">
        <v>646</v>
      </c>
      <c r="J2797" s="49">
        <v>19123.21</v>
      </c>
      <c r="K2797" s="58">
        <v>0</v>
      </c>
      <c r="L2797" s="58">
        <v>0</v>
      </c>
      <c r="M2797" s="58">
        <v>0</v>
      </c>
      <c r="N2797" s="58">
        <v>0</v>
      </c>
      <c r="O2797" s="58">
        <v>0</v>
      </c>
      <c r="P2797" s="53">
        <v>0</v>
      </c>
      <c r="Q2797" s="65">
        <v>19123.21</v>
      </c>
      <c r="R2797" s="65">
        <v>0</v>
      </c>
      <c r="S2797" s="65">
        <v>0</v>
      </c>
      <c r="T2797" s="65">
        <v>0</v>
      </c>
      <c r="U2797" s="58">
        <v>0</v>
      </c>
      <c r="V2797" s="65">
        <v>0</v>
      </c>
      <c r="W2797" s="65">
        <v>0</v>
      </c>
      <c r="X2797" s="65">
        <v>0</v>
      </c>
      <c r="Y2797" s="65">
        <v>0</v>
      </c>
      <c r="Z2797" s="51">
        <v>19123.21</v>
      </c>
      <c r="AA2797" s="51">
        <v>0</v>
      </c>
      <c r="AB2797" s="102">
        <v>0</v>
      </c>
      <c r="AC2797" s="81">
        <f t="shared" si="133"/>
        <v>31.97069164086685</v>
      </c>
      <c r="AD2797" s="82">
        <f t="shared" si="134"/>
        <v>92.285714285714292</v>
      </c>
      <c r="AE2797" s="218">
        <v>0</v>
      </c>
      <c r="AF2797">
        <v>0</v>
      </c>
      <c r="AH2797" t="str">
        <f t="shared" si="132"/>
        <v>Mahua BMC</v>
      </c>
      <c r="AJ2797" s="72">
        <v>0</v>
      </c>
      <c r="AK2797" s="72"/>
      <c r="AL2797" s="72"/>
      <c r="AM2797" s="72"/>
    </row>
    <row r="2798" spans="1:39" x14ac:dyDescent="0.25">
      <c r="A2798" s="37" t="s">
        <v>62</v>
      </c>
      <c r="B2798" s="66" t="s">
        <v>1629</v>
      </c>
      <c r="C2798" s="4">
        <v>1061</v>
      </c>
      <c r="D2798" s="41" t="s">
        <v>1452</v>
      </c>
      <c r="E2798" s="41">
        <v>10610036</v>
      </c>
      <c r="F2798" s="85" t="s">
        <v>1525</v>
      </c>
      <c r="G2798" s="39" t="s">
        <v>635</v>
      </c>
      <c r="H2798" s="52" t="s">
        <v>99</v>
      </c>
      <c r="I2798" s="52">
        <v>194</v>
      </c>
      <c r="J2798" s="49">
        <v>6694.79</v>
      </c>
      <c r="K2798" s="58">
        <v>0</v>
      </c>
      <c r="L2798" s="58">
        <v>0</v>
      </c>
      <c r="M2798" s="58">
        <v>0</v>
      </c>
      <c r="N2798" s="58">
        <v>0</v>
      </c>
      <c r="O2798" s="58">
        <v>0</v>
      </c>
      <c r="P2798" s="53">
        <v>0</v>
      </c>
      <c r="Q2798" s="65">
        <v>6694.79</v>
      </c>
      <c r="R2798" s="65">
        <v>0</v>
      </c>
      <c r="S2798" s="65">
        <v>0</v>
      </c>
      <c r="T2798" s="65">
        <v>0</v>
      </c>
      <c r="U2798" s="58">
        <v>0</v>
      </c>
      <c r="V2798" s="65">
        <v>0</v>
      </c>
      <c r="W2798" s="65">
        <v>0</v>
      </c>
      <c r="X2798" s="65">
        <v>0</v>
      </c>
      <c r="Y2798" s="65">
        <v>0</v>
      </c>
      <c r="Z2798" s="51">
        <v>6694.79</v>
      </c>
      <c r="AA2798" s="51">
        <v>0</v>
      </c>
      <c r="AB2798" s="102">
        <v>0</v>
      </c>
      <c r="AC2798" s="81">
        <f t="shared" si="133"/>
        <v>349.23337525773195</v>
      </c>
      <c r="AD2798" s="82">
        <f t="shared" si="134"/>
        <v>27.714285714285715</v>
      </c>
      <c r="AE2798" s="218">
        <v>0</v>
      </c>
      <c r="AF2798">
        <v>0</v>
      </c>
      <c r="AH2798" t="str">
        <f t="shared" si="132"/>
        <v>Mahua BMC</v>
      </c>
      <c r="AJ2798" s="72">
        <v>0</v>
      </c>
      <c r="AK2798" s="72"/>
      <c r="AL2798" s="72"/>
      <c r="AM2798" s="72"/>
    </row>
    <row r="2799" spans="1:39" x14ac:dyDescent="0.25">
      <c r="A2799" s="37" t="s">
        <v>62</v>
      </c>
      <c r="B2799" s="66" t="s">
        <v>1629</v>
      </c>
      <c r="C2799" s="4">
        <v>1061</v>
      </c>
      <c r="D2799" s="41" t="s">
        <v>1452</v>
      </c>
      <c r="E2799" s="41">
        <v>10610038</v>
      </c>
      <c r="F2799" s="85" t="s">
        <v>1526</v>
      </c>
      <c r="G2799" s="39" t="s">
        <v>635</v>
      </c>
      <c r="H2799" s="52" t="s">
        <v>99</v>
      </c>
      <c r="I2799" s="52">
        <v>546.29999999999995</v>
      </c>
      <c r="J2799" s="49">
        <v>18736.41</v>
      </c>
      <c r="K2799" s="58">
        <v>0</v>
      </c>
      <c r="L2799" s="58">
        <v>0</v>
      </c>
      <c r="M2799" s="58">
        <v>0</v>
      </c>
      <c r="N2799" s="58">
        <v>0</v>
      </c>
      <c r="O2799" s="58">
        <v>0</v>
      </c>
      <c r="P2799" s="53">
        <v>0</v>
      </c>
      <c r="Q2799" s="65">
        <v>18736.41</v>
      </c>
      <c r="R2799" s="65">
        <v>0</v>
      </c>
      <c r="S2799" s="65">
        <v>0</v>
      </c>
      <c r="T2799" s="65">
        <v>0</v>
      </c>
      <c r="U2799" s="58">
        <v>0</v>
      </c>
      <c r="V2799" s="65">
        <v>0</v>
      </c>
      <c r="W2799" s="65">
        <v>0</v>
      </c>
      <c r="X2799" s="65">
        <v>0</v>
      </c>
      <c r="Y2799" s="65">
        <v>0</v>
      </c>
      <c r="Z2799" s="51">
        <v>18736.41</v>
      </c>
      <c r="AA2799" s="51">
        <v>0</v>
      </c>
      <c r="AB2799" s="102">
        <v>0</v>
      </c>
      <c r="AC2799" s="81">
        <f t="shared" si="133"/>
        <v>105.4287467325646</v>
      </c>
      <c r="AD2799" s="82">
        <f t="shared" si="134"/>
        <v>78.04285714285713</v>
      </c>
      <c r="AE2799" s="218">
        <v>0</v>
      </c>
      <c r="AF2799">
        <v>0</v>
      </c>
      <c r="AH2799" t="str">
        <f t="shared" si="132"/>
        <v>Mahua BMC</v>
      </c>
      <c r="AJ2799" s="72">
        <v>0</v>
      </c>
      <c r="AK2799" s="72"/>
      <c r="AL2799" s="72"/>
      <c r="AM2799" s="72"/>
    </row>
    <row r="2800" spans="1:39" x14ac:dyDescent="0.25">
      <c r="A2800" s="37" t="s">
        <v>62</v>
      </c>
      <c r="B2800" s="66" t="s">
        <v>1629</v>
      </c>
      <c r="C2800" s="4">
        <v>1061</v>
      </c>
      <c r="D2800" s="41" t="s">
        <v>1452</v>
      </c>
      <c r="E2800" s="41">
        <v>10610045</v>
      </c>
      <c r="F2800" s="85" t="s">
        <v>1537</v>
      </c>
      <c r="G2800" s="39" t="s">
        <v>635</v>
      </c>
      <c r="H2800" s="52" t="s">
        <v>99</v>
      </c>
      <c r="I2800" s="52">
        <v>351.59999999999997</v>
      </c>
      <c r="J2800" s="49">
        <v>12866.269999999999</v>
      </c>
      <c r="K2800" s="58">
        <v>0</v>
      </c>
      <c r="L2800" s="58">
        <v>0</v>
      </c>
      <c r="M2800" s="58">
        <v>0</v>
      </c>
      <c r="N2800" s="58">
        <v>0</v>
      </c>
      <c r="O2800" s="58">
        <v>0</v>
      </c>
      <c r="P2800" s="53">
        <v>0</v>
      </c>
      <c r="Q2800" s="65">
        <v>12866.269999999999</v>
      </c>
      <c r="R2800" s="65">
        <v>0</v>
      </c>
      <c r="S2800" s="65">
        <v>0</v>
      </c>
      <c r="T2800" s="65">
        <v>0</v>
      </c>
      <c r="U2800" s="58">
        <v>0</v>
      </c>
      <c r="V2800" s="65">
        <v>0</v>
      </c>
      <c r="W2800" s="65">
        <v>0</v>
      </c>
      <c r="X2800" s="65">
        <v>0</v>
      </c>
      <c r="Y2800" s="65">
        <v>0</v>
      </c>
      <c r="Z2800" s="51">
        <v>12866.269999999999</v>
      </c>
      <c r="AA2800" s="51">
        <v>0</v>
      </c>
      <c r="AB2800" s="102">
        <v>0</v>
      </c>
      <c r="AC2800" s="81">
        <f t="shared" si="133"/>
        <v>254.98341683731513</v>
      </c>
      <c r="AD2800" s="82">
        <f t="shared" si="134"/>
        <v>50.228571428571421</v>
      </c>
      <c r="AE2800" s="218">
        <v>0</v>
      </c>
      <c r="AF2800">
        <v>0</v>
      </c>
      <c r="AH2800" t="str">
        <f t="shared" si="132"/>
        <v>Mahua BMC</v>
      </c>
      <c r="AJ2800" s="72">
        <v>0</v>
      </c>
      <c r="AK2800" s="72"/>
      <c r="AL2800" s="72"/>
      <c r="AM2800" s="72"/>
    </row>
    <row r="2801" spans="1:39" x14ac:dyDescent="0.25">
      <c r="A2801" s="37" t="s">
        <v>62</v>
      </c>
      <c r="B2801" s="66" t="s">
        <v>1629</v>
      </c>
      <c r="C2801" s="4">
        <v>1061</v>
      </c>
      <c r="D2801" s="41" t="s">
        <v>1452</v>
      </c>
      <c r="E2801" s="41">
        <v>10610050</v>
      </c>
      <c r="F2801" s="85" t="s">
        <v>1558</v>
      </c>
      <c r="G2801" s="39" t="s">
        <v>635</v>
      </c>
      <c r="H2801" s="52" t="s">
        <v>99</v>
      </c>
      <c r="I2801" s="52">
        <v>206</v>
      </c>
      <c r="J2801" s="49">
        <v>8497.73</v>
      </c>
      <c r="K2801" s="58">
        <v>0</v>
      </c>
      <c r="L2801" s="58">
        <v>0</v>
      </c>
      <c r="M2801" s="58">
        <v>0</v>
      </c>
      <c r="N2801" s="58">
        <v>0</v>
      </c>
      <c r="O2801" s="58">
        <v>0</v>
      </c>
      <c r="P2801" s="53">
        <v>0</v>
      </c>
      <c r="Q2801" s="65">
        <v>8497.73</v>
      </c>
      <c r="R2801" s="65">
        <v>0</v>
      </c>
      <c r="S2801" s="65">
        <v>0</v>
      </c>
      <c r="T2801" s="65">
        <v>0</v>
      </c>
      <c r="U2801" s="58">
        <v>0</v>
      </c>
      <c r="V2801" s="65">
        <v>0</v>
      </c>
      <c r="W2801" s="65">
        <v>0</v>
      </c>
      <c r="X2801" s="65">
        <v>0</v>
      </c>
      <c r="Y2801" s="65">
        <v>0</v>
      </c>
      <c r="Z2801" s="51">
        <v>8497.73</v>
      </c>
      <c r="AA2801" s="51">
        <v>0</v>
      </c>
      <c r="AB2801" s="102">
        <v>0</v>
      </c>
      <c r="AC2801" s="81">
        <f t="shared" si="133"/>
        <v>407.56103106796115</v>
      </c>
      <c r="AD2801" s="82">
        <f t="shared" si="134"/>
        <v>29.428571428571427</v>
      </c>
      <c r="AE2801" s="218">
        <v>0</v>
      </c>
      <c r="AF2801">
        <v>0</v>
      </c>
      <c r="AH2801" t="str">
        <f t="shared" si="132"/>
        <v>Mahua BMC</v>
      </c>
      <c r="AJ2801" s="72">
        <v>0</v>
      </c>
      <c r="AK2801" s="72"/>
      <c r="AL2801" s="72"/>
      <c r="AM2801" s="72"/>
    </row>
    <row r="2802" spans="1:39" x14ac:dyDescent="0.25">
      <c r="A2802" s="37" t="s">
        <v>62</v>
      </c>
      <c r="B2802" s="66" t="s">
        <v>1629</v>
      </c>
      <c r="C2802" s="4">
        <v>1061</v>
      </c>
      <c r="D2802" s="41" t="s">
        <v>1452</v>
      </c>
      <c r="E2802" s="41">
        <v>10610051</v>
      </c>
      <c r="F2802" s="85" t="s">
        <v>1559</v>
      </c>
      <c r="G2802" s="39" t="s">
        <v>635</v>
      </c>
      <c r="H2802" s="52" t="s">
        <v>99</v>
      </c>
      <c r="I2802" s="52">
        <v>75.3</v>
      </c>
      <c r="J2802" s="49">
        <v>2612.54</v>
      </c>
      <c r="K2802" s="58">
        <v>0</v>
      </c>
      <c r="L2802" s="58">
        <v>0</v>
      </c>
      <c r="M2802" s="58">
        <v>0</v>
      </c>
      <c r="N2802" s="58">
        <v>0</v>
      </c>
      <c r="O2802" s="58">
        <v>0</v>
      </c>
      <c r="P2802" s="53">
        <v>0</v>
      </c>
      <c r="Q2802" s="65">
        <v>2612.54</v>
      </c>
      <c r="R2802" s="65">
        <v>0</v>
      </c>
      <c r="S2802" s="65">
        <v>0</v>
      </c>
      <c r="T2802" s="65">
        <v>0</v>
      </c>
      <c r="U2802" s="58">
        <v>0</v>
      </c>
      <c r="V2802" s="65">
        <v>0</v>
      </c>
      <c r="W2802" s="65">
        <v>0</v>
      </c>
      <c r="X2802" s="65">
        <v>0</v>
      </c>
      <c r="Y2802" s="65">
        <v>0</v>
      </c>
      <c r="Z2802" s="51">
        <v>2612.54</v>
      </c>
      <c r="AA2802" s="51">
        <v>0</v>
      </c>
      <c r="AB2802" s="102">
        <v>0</v>
      </c>
      <c r="AC2802" s="81">
        <f t="shared" si="133"/>
        <v>433.48040849933597</v>
      </c>
      <c r="AD2802" s="82">
        <f t="shared" si="134"/>
        <v>10.757142857142856</v>
      </c>
      <c r="AE2802" s="218">
        <v>0</v>
      </c>
      <c r="AF2802">
        <v>0</v>
      </c>
      <c r="AH2802" t="str">
        <f t="shared" si="132"/>
        <v>Mahua BMC</v>
      </c>
      <c r="AJ2802" s="72">
        <v>0</v>
      </c>
      <c r="AK2802" s="72"/>
      <c r="AL2802" s="72"/>
      <c r="AM2802" s="72"/>
    </row>
    <row r="2803" spans="1:39" x14ac:dyDescent="0.25">
      <c r="A2803" s="37" t="s">
        <v>62</v>
      </c>
      <c r="B2803" s="66" t="s">
        <v>1629</v>
      </c>
      <c r="C2803" s="4">
        <v>1061</v>
      </c>
      <c r="D2803" s="41" t="s">
        <v>1452</v>
      </c>
      <c r="E2803" s="41">
        <v>10610052</v>
      </c>
      <c r="F2803" s="85" t="s">
        <v>1563</v>
      </c>
      <c r="G2803" s="39" t="s">
        <v>635</v>
      </c>
      <c r="H2803" s="52" t="s">
        <v>99</v>
      </c>
      <c r="I2803" s="52">
        <v>763.49999999999989</v>
      </c>
      <c r="J2803" s="49">
        <v>31266.1</v>
      </c>
      <c r="K2803" s="58">
        <v>0</v>
      </c>
      <c r="L2803" s="58">
        <v>0</v>
      </c>
      <c r="M2803" s="58">
        <v>0</v>
      </c>
      <c r="N2803" s="58">
        <v>0</v>
      </c>
      <c r="O2803" s="58">
        <v>0</v>
      </c>
      <c r="P2803" s="53">
        <v>0</v>
      </c>
      <c r="Q2803" s="65">
        <v>31266.1</v>
      </c>
      <c r="R2803" s="65">
        <v>0</v>
      </c>
      <c r="S2803" s="65">
        <v>0</v>
      </c>
      <c r="T2803" s="65">
        <v>0</v>
      </c>
      <c r="U2803" s="58">
        <v>0</v>
      </c>
      <c r="V2803" s="65">
        <v>0</v>
      </c>
      <c r="W2803" s="65">
        <v>0</v>
      </c>
      <c r="X2803" s="65">
        <v>0</v>
      </c>
      <c r="Y2803" s="65">
        <v>0</v>
      </c>
      <c r="Z2803" s="51">
        <v>31266.1</v>
      </c>
      <c r="AA2803" s="51">
        <v>0</v>
      </c>
      <c r="AB2803" s="102">
        <v>0</v>
      </c>
      <c r="AC2803" s="81">
        <f t="shared" si="133"/>
        <v>0</v>
      </c>
      <c r="AD2803" s="82">
        <f t="shared" si="134"/>
        <v>0</v>
      </c>
      <c r="AE2803" s="218">
        <v>0</v>
      </c>
      <c r="AF2803">
        <v>0</v>
      </c>
      <c r="AH2803" t="str">
        <f t="shared" si="132"/>
        <v>Mahua BMC</v>
      </c>
      <c r="AJ2803" s="72">
        <v>0</v>
      </c>
      <c r="AK2803" s="72"/>
      <c r="AL2803" s="72"/>
      <c r="AM2803" s="72"/>
    </row>
    <row r="2804" spans="1:39" x14ac:dyDescent="0.25">
      <c r="A2804" s="37" t="s">
        <v>62</v>
      </c>
      <c r="B2804" s="66" t="s">
        <v>1629</v>
      </c>
      <c r="C2804" s="4">
        <v>1061</v>
      </c>
      <c r="D2804" s="41" t="s">
        <v>1452</v>
      </c>
      <c r="E2804" s="41">
        <v>10610055</v>
      </c>
      <c r="F2804" s="85" t="s">
        <v>1626</v>
      </c>
      <c r="G2804" s="39" t="s">
        <v>635</v>
      </c>
      <c r="H2804" s="52" t="s">
        <v>94</v>
      </c>
      <c r="I2804" s="52">
        <v>81.800000000000011</v>
      </c>
      <c r="J2804" s="49">
        <v>3623.8900000000003</v>
      </c>
      <c r="K2804" s="58">
        <v>64</v>
      </c>
      <c r="L2804" s="58">
        <v>2899.391114384</v>
      </c>
      <c r="M2804" s="58">
        <v>0</v>
      </c>
      <c r="N2804" s="58">
        <v>0</v>
      </c>
      <c r="O2804" s="58">
        <v>64</v>
      </c>
      <c r="P2804" s="53">
        <v>2899.391114384</v>
      </c>
      <c r="Q2804" s="65">
        <v>2899.391114384</v>
      </c>
      <c r="R2804" s="65">
        <v>0</v>
      </c>
      <c r="S2804" s="65">
        <v>0</v>
      </c>
      <c r="T2804" s="65">
        <v>0</v>
      </c>
      <c r="U2804" s="58">
        <v>0</v>
      </c>
      <c r="V2804" s="65">
        <v>0</v>
      </c>
      <c r="W2804" s="65">
        <v>0</v>
      </c>
      <c r="X2804" s="65">
        <v>2899</v>
      </c>
      <c r="Y2804" s="65">
        <v>0</v>
      </c>
      <c r="Z2804" s="51">
        <v>0</v>
      </c>
      <c r="AA2804" s="51">
        <v>725</v>
      </c>
      <c r="AB2804" s="102">
        <v>0</v>
      </c>
      <c r="AC2804" s="81">
        <f t="shared" si="133"/>
        <v>547.74787237163821</v>
      </c>
      <c r="AD2804" s="82">
        <f t="shared" si="134"/>
        <v>11.685714285714287</v>
      </c>
      <c r="AE2804" s="218">
        <v>0.19992297934429584</v>
      </c>
      <c r="AF2804">
        <v>1</v>
      </c>
      <c r="AH2804" t="str">
        <f t="shared" si="132"/>
        <v>Mahua BMC</v>
      </c>
      <c r="AJ2804" s="72">
        <v>0</v>
      </c>
      <c r="AK2804" s="72"/>
      <c r="AL2804" s="72"/>
      <c r="AM2804" s="72"/>
    </row>
    <row r="2805" spans="1:39" x14ac:dyDescent="0.25">
      <c r="A2805" s="37" t="s">
        <v>62</v>
      </c>
      <c r="B2805" s="66" t="s">
        <v>1629</v>
      </c>
      <c r="C2805" s="4">
        <v>1061</v>
      </c>
      <c r="D2805" s="41" t="s">
        <v>1452</v>
      </c>
      <c r="E2805" s="41">
        <v>10610056</v>
      </c>
      <c r="F2805" s="85" t="s">
        <v>1627</v>
      </c>
      <c r="G2805" s="39" t="s">
        <v>635</v>
      </c>
      <c r="H2805" s="52" t="s">
        <v>99</v>
      </c>
      <c r="I2805" s="52">
        <v>169.49999999999997</v>
      </c>
      <c r="J2805" s="49">
        <v>8559.7699999999986</v>
      </c>
      <c r="K2805" s="58">
        <v>0</v>
      </c>
      <c r="L2805" s="58">
        <v>0</v>
      </c>
      <c r="M2805" s="58">
        <v>0</v>
      </c>
      <c r="N2805" s="58">
        <v>0</v>
      </c>
      <c r="O2805" s="58">
        <v>0</v>
      </c>
      <c r="P2805" s="53">
        <v>0</v>
      </c>
      <c r="Q2805" s="65">
        <v>8559.7699999999986</v>
      </c>
      <c r="R2805" s="65">
        <v>0</v>
      </c>
      <c r="S2805" s="65">
        <v>0</v>
      </c>
      <c r="T2805" s="65">
        <v>0</v>
      </c>
      <c r="U2805" s="58">
        <v>0</v>
      </c>
      <c r="V2805" s="65">
        <v>0</v>
      </c>
      <c r="W2805" s="65">
        <v>0</v>
      </c>
      <c r="X2805" s="65">
        <v>0</v>
      </c>
      <c r="Y2805" s="65">
        <v>0</v>
      </c>
      <c r="Z2805" s="51">
        <v>8559.7699999999986</v>
      </c>
      <c r="AA2805" s="51">
        <v>0</v>
      </c>
      <c r="AB2805" s="102">
        <v>0</v>
      </c>
      <c r="AC2805" s="81">
        <f t="shared" si="133"/>
        <v>535.8062519174041</v>
      </c>
      <c r="AD2805" s="82">
        <f t="shared" si="134"/>
        <v>24.214285714285712</v>
      </c>
      <c r="AE2805" s="218">
        <v>0</v>
      </c>
      <c r="AF2805">
        <v>0</v>
      </c>
      <c r="AH2805" t="str">
        <f t="shared" si="132"/>
        <v>Mahua BMC</v>
      </c>
      <c r="AJ2805" s="72">
        <v>0</v>
      </c>
      <c r="AK2805" s="72"/>
      <c r="AL2805" s="72"/>
      <c r="AM2805" s="72"/>
    </row>
    <row r="2806" spans="1:39" x14ac:dyDescent="0.25">
      <c r="A2806" s="37" t="s">
        <v>62</v>
      </c>
      <c r="B2806" s="66" t="s">
        <v>1629</v>
      </c>
      <c r="C2806" s="4">
        <v>1057</v>
      </c>
      <c r="D2806" s="41" t="s">
        <v>1202</v>
      </c>
      <c r="E2806" s="41">
        <v>10630002</v>
      </c>
      <c r="F2806" s="85" t="s">
        <v>1528</v>
      </c>
      <c r="G2806" s="39" t="s">
        <v>93</v>
      </c>
      <c r="H2806" s="52" t="s">
        <v>94</v>
      </c>
      <c r="I2806" s="52">
        <v>164.2</v>
      </c>
      <c r="J2806" s="49">
        <v>6851.2300000000014</v>
      </c>
      <c r="K2806" s="58">
        <v>164.2</v>
      </c>
      <c r="L2806" s="58">
        <v>6854.5888376327994</v>
      </c>
      <c r="M2806" s="58">
        <v>0</v>
      </c>
      <c r="N2806" s="58">
        <v>0</v>
      </c>
      <c r="O2806" s="58">
        <v>164.2</v>
      </c>
      <c r="P2806" s="53">
        <v>6854.5888376327994</v>
      </c>
      <c r="Q2806" s="65">
        <v>6851.2300000000014</v>
      </c>
      <c r="R2806" s="65">
        <v>0</v>
      </c>
      <c r="S2806" s="65">
        <v>0</v>
      </c>
      <c r="T2806" s="65">
        <v>3.3588376327979859</v>
      </c>
      <c r="U2806" s="58">
        <v>0</v>
      </c>
      <c r="V2806" s="65">
        <v>0</v>
      </c>
      <c r="W2806" s="65">
        <v>0</v>
      </c>
      <c r="X2806" s="65">
        <v>6851</v>
      </c>
      <c r="Y2806" s="65">
        <v>0</v>
      </c>
      <c r="Z2806" s="51">
        <v>0</v>
      </c>
      <c r="AA2806" s="51">
        <v>0</v>
      </c>
      <c r="AB2806" s="102">
        <v>0</v>
      </c>
      <c r="AC2806" s="81">
        <f t="shared" si="133"/>
        <v>447.12412107186373</v>
      </c>
      <c r="AD2806" s="82">
        <f t="shared" si="134"/>
        <v>23.457142857142856</v>
      </c>
      <c r="AE2806" s="218">
        <v>-4.9025322939063286E-4</v>
      </c>
      <c r="AF2806">
        <v>1</v>
      </c>
      <c r="AH2806" t="str">
        <f t="shared" si="132"/>
        <v>Warisnagar</v>
      </c>
      <c r="AJ2806" s="72">
        <v>0</v>
      </c>
      <c r="AK2806" s="72"/>
      <c r="AL2806" s="72"/>
      <c r="AM2806" s="72"/>
    </row>
    <row r="2807" spans="1:39" x14ac:dyDescent="0.25">
      <c r="A2807" s="37" t="s">
        <v>62</v>
      </c>
      <c r="B2807" s="66" t="s">
        <v>1629</v>
      </c>
      <c r="C2807" s="4">
        <v>1057</v>
      </c>
      <c r="D2807" s="41" t="s">
        <v>1202</v>
      </c>
      <c r="E2807" s="41">
        <v>10630003</v>
      </c>
      <c r="F2807" s="85" t="s">
        <v>1409</v>
      </c>
      <c r="G2807" s="39" t="s">
        <v>93</v>
      </c>
      <c r="H2807" s="52" t="s">
        <v>94</v>
      </c>
      <c r="I2807" s="52">
        <v>120.29999999999997</v>
      </c>
      <c r="J2807" s="49">
        <v>5472.7800000000007</v>
      </c>
      <c r="K2807" s="58">
        <v>120.30000000000001</v>
      </c>
      <c r="L2807" s="58">
        <v>5464.5615680575211</v>
      </c>
      <c r="M2807" s="58">
        <v>0</v>
      </c>
      <c r="N2807" s="58">
        <v>0</v>
      </c>
      <c r="O2807" s="58">
        <v>120.30000000000001</v>
      </c>
      <c r="P2807" s="53">
        <v>5464.5615680575211</v>
      </c>
      <c r="Q2807" s="65">
        <v>5464.5615680575211</v>
      </c>
      <c r="R2807" s="65">
        <v>0</v>
      </c>
      <c r="S2807" s="65">
        <v>0</v>
      </c>
      <c r="T2807" s="65">
        <v>0</v>
      </c>
      <c r="U2807" s="58">
        <v>0</v>
      </c>
      <c r="V2807" s="65">
        <v>0</v>
      </c>
      <c r="W2807" s="65">
        <v>0</v>
      </c>
      <c r="X2807" s="65">
        <v>5465</v>
      </c>
      <c r="Y2807" s="65">
        <v>0</v>
      </c>
      <c r="Z2807" s="51">
        <v>0</v>
      </c>
      <c r="AA2807" s="51">
        <v>8</v>
      </c>
      <c r="AB2807" s="102">
        <v>0</v>
      </c>
      <c r="AC2807" s="81">
        <f t="shared" si="133"/>
        <v>527.4431531172072</v>
      </c>
      <c r="AD2807" s="82">
        <f t="shared" si="134"/>
        <v>17.18571428571428</v>
      </c>
      <c r="AE2807" s="218">
        <v>1.5016923652110229E-3</v>
      </c>
      <c r="AF2807">
        <v>1</v>
      </c>
      <c r="AH2807" t="str">
        <f t="shared" si="132"/>
        <v>Warisnagar</v>
      </c>
      <c r="AJ2807" s="72">
        <v>0</v>
      </c>
      <c r="AK2807" s="72"/>
      <c r="AL2807" s="72"/>
      <c r="AM2807" s="72"/>
    </row>
    <row r="2808" spans="1:39" x14ac:dyDescent="0.25">
      <c r="A2808" s="37" t="s">
        <v>62</v>
      </c>
      <c r="B2808" s="66" t="s">
        <v>1629</v>
      </c>
      <c r="C2808" s="4">
        <v>1057</v>
      </c>
      <c r="D2808" s="41" t="s">
        <v>1202</v>
      </c>
      <c r="E2808" s="41">
        <v>10630004</v>
      </c>
      <c r="F2808" s="85" t="s">
        <v>1442</v>
      </c>
      <c r="G2808" s="39" t="s">
        <v>93</v>
      </c>
      <c r="H2808" s="52" t="s">
        <v>94</v>
      </c>
      <c r="I2808" s="52">
        <v>148.4</v>
      </c>
      <c r="J2808" s="49">
        <v>7220.4599999999991</v>
      </c>
      <c r="K2808" s="58">
        <v>140.80000000000001</v>
      </c>
      <c r="L2808" s="58">
        <v>7186.0572027718808</v>
      </c>
      <c r="M2808" s="58">
        <v>1</v>
      </c>
      <c r="N2808" s="58">
        <v>52.721142443410002</v>
      </c>
      <c r="O2808" s="58">
        <v>141.80000000000001</v>
      </c>
      <c r="P2808" s="53">
        <v>7238.7783452152908</v>
      </c>
      <c r="Q2808" s="65">
        <v>7220.4599999999991</v>
      </c>
      <c r="R2808" s="65">
        <v>0</v>
      </c>
      <c r="S2808" s="65">
        <v>52.721142443410002</v>
      </c>
      <c r="T2808" s="65">
        <v>18.318345215291629</v>
      </c>
      <c r="U2808" s="58">
        <v>0</v>
      </c>
      <c r="V2808" s="65">
        <v>0</v>
      </c>
      <c r="W2808" s="65">
        <v>0</v>
      </c>
      <c r="X2808" s="65">
        <v>7168</v>
      </c>
      <c r="Y2808" s="65">
        <v>0</v>
      </c>
      <c r="Z2808" s="51">
        <v>0</v>
      </c>
      <c r="AA2808" s="51">
        <v>0</v>
      </c>
      <c r="AB2808" s="102">
        <v>0</v>
      </c>
      <c r="AC2808" s="81">
        <f t="shared" si="133"/>
        <v>536.7662716981132</v>
      </c>
      <c r="AD2808" s="82">
        <f t="shared" si="134"/>
        <v>21.2</v>
      </c>
      <c r="AE2808" s="218">
        <v>-2.5370052898695695E-3</v>
      </c>
      <c r="AF2808">
        <v>2</v>
      </c>
      <c r="AH2808" t="str">
        <f t="shared" si="132"/>
        <v>Warisnagar</v>
      </c>
      <c r="AJ2808" s="72">
        <v>0</v>
      </c>
      <c r="AK2808" s="72"/>
      <c r="AL2808" s="72"/>
      <c r="AM2808" s="72"/>
    </row>
    <row r="2809" spans="1:39" x14ac:dyDescent="0.25">
      <c r="A2809" s="37" t="s">
        <v>62</v>
      </c>
      <c r="B2809" s="66" t="s">
        <v>1629</v>
      </c>
      <c r="C2809" s="4">
        <v>1057</v>
      </c>
      <c r="D2809" s="41" t="s">
        <v>1202</v>
      </c>
      <c r="E2809" s="41">
        <v>10630007</v>
      </c>
      <c r="F2809" s="85" t="s">
        <v>1410</v>
      </c>
      <c r="G2809" s="39" t="s">
        <v>93</v>
      </c>
      <c r="H2809" s="52" t="s">
        <v>94</v>
      </c>
      <c r="I2809" s="52">
        <v>52.400000000000006</v>
      </c>
      <c r="J2809" s="49">
        <v>2227.3000000000002</v>
      </c>
      <c r="K2809" s="58">
        <v>52.4</v>
      </c>
      <c r="L2809" s="58">
        <v>2220.1242091230001</v>
      </c>
      <c r="M2809" s="58">
        <v>0</v>
      </c>
      <c r="N2809" s="58">
        <v>0</v>
      </c>
      <c r="O2809" s="58">
        <v>52.4</v>
      </c>
      <c r="P2809" s="53">
        <v>2220.1242091230001</v>
      </c>
      <c r="Q2809" s="65">
        <v>2220.1242091230001</v>
      </c>
      <c r="R2809" s="65">
        <v>0</v>
      </c>
      <c r="S2809" s="65">
        <v>0</v>
      </c>
      <c r="T2809" s="65">
        <v>0</v>
      </c>
      <c r="U2809" s="58">
        <v>0</v>
      </c>
      <c r="V2809" s="65">
        <v>0</v>
      </c>
      <c r="W2809" s="65">
        <v>0</v>
      </c>
      <c r="X2809" s="65">
        <v>2220</v>
      </c>
      <c r="Y2809" s="65">
        <v>0</v>
      </c>
      <c r="Z2809" s="51">
        <v>0</v>
      </c>
      <c r="AA2809" s="51">
        <v>7</v>
      </c>
      <c r="AB2809" s="102">
        <v>0</v>
      </c>
      <c r="AC2809" s="81">
        <f t="shared" si="133"/>
        <v>550.53415267175569</v>
      </c>
      <c r="AD2809" s="82">
        <f t="shared" si="134"/>
        <v>7.4857142857142867</v>
      </c>
      <c r="AE2809" s="218">
        <v>3.2217442091321572E-3</v>
      </c>
      <c r="AF2809">
        <v>1</v>
      </c>
      <c r="AH2809" t="str">
        <f t="shared" si="132"/>
        <v>Warisnagar</v>
      </c>
      <c r="AJ2809" s="72">
        <v>0</v>
      </c>
      <c r="AK2809" s="72"/>
      <c r="AL2809" s="72"/>
      <c r="AM2809" s="72"/>
    </row>
    <row r="2810" spans="1:39" x14ac:dyDescent="0.25">
      <c r="A2810" s="37" t="s">
        <v>62</v>
      </c>
      <c r="B2810" s="66" t="s">
        <v>1629</v>
      </c>
      <c r="C2810" s="4">
        <v>1057</v>
      </c>
      <c r="D2810" s="41" t="s">
        <v>1202</v>
      </c>
      <c r="E2810" s="41">
        <v>10630008</v>
      </c>
      <c r="F2810" s="85" t="s">
        <v>1411</v>
      </c>
      <c r="G2810" s="39" t="s">
        <v>93</v>
      </c>
      <c r="H2810" s="52" t="s">
        <v>94</v>
      </c>
      <c r="I2810" s="52">
        <v>901.5999999999998</v>
      </c>
      <c r="J2810" s="49">
        <v>35346.450000000004</v>
      </c>
      <c r="K2810" s="58">
        <v>901.6</v>
      </c>
      <c r="L2810" s="58">
        <v>35345.955845772005</v>
      </c>
      <c r="M2810" s="58">
        <v>0</v>
      </c>
      <c r="N2810" s="58">
        <v>0</v>
      </c>
      <c r="O2810" s="58">
        <v>901.6</v>
      </c>
      <c r="P2810" s="53">
        <v>35345.955845772005</v>
      </c>
      <c r="Q2810" s="65">
        <v>35345.955845772005</v>
      </c>
      <c r="R2810" s="65">
        <v>0</v>
      </c>
      <c r="S2810" s="65">
        <v>0</v>
      </c>
      <c r="T2810" s="65">
        <v>0</v>
      </c>
      <c r="U2810" s="58">
        <v>0</v>
      </c>
      <c r="V2810" s="65">
        <v>0</v>
      </c>
      <c r="W2810" s="65">
        <v>0</v>
      </c>
      <c r="X2810" s="65">
        <v>35346</v>
      </c>
      <c r="Y2810" s="65">
        <v>0</v>
      </c>
      <c r="Z2810" s="51">
        <v>0</v>
      </c>
      <c r="AA2810" s="51">
        <v>0</v>
      </c>
      <c r="AB2810" s="102">
        <v>0</v>
      </c>
      <c r="AC2810" s="81">
        <f t="shared" si="133"/>
        <v>0</v>
      </c>
      <c r="AD2810" s="82">
        <f t="shared" si="134"/>
        <v>0</v>
      </c>
      <c r="AE2810" s="218">
        <v>1.3980307159541854E-5</v>
      </c>
      <c r="AF2810">
        <v>1</v>
      </c>
      <c r="AH2810" t="str">
        <f t="shared" si="132"/>
        <v>Warisnagar</v>
      </c>
      <c r="AJ2810" s="72">
        <v>0</v>
      </c>
      <c r="AK2810" s="72"/>
      <c r="AL2810" s="72"/>
      <c r="AM2810" s="72"/>
    </row>
    <row r="2811" spans="1:39" x14ac:dyDescent="0.25">
      <c r="A2811" s="37" t="s">
        <v>62</v>
      </c>
      <c r="B2811" s="66" t="s">
        <v>1629</v>
      </c>
      <c r="C2811" s="4">
        <v>1057</v>
      </c>
      <c r="D2811" s="41" t="s">
        <v>1202</v>
      </c>
      <c r="E2811" s="41">
        <v>10630009</v>
      </c>
      <c r="F2811" s="85" t="s">
        <v>1412</v>
      </c>
      <c r="G2811" s="39" t="s">
        <v>93</v>
      </c>
      <c r="H2811" s="52" t="s">
        <v>94</v>
      </c>
      <c r="I2811" s="52">
        <v>249.9</v>
      </c>
      <c r="J2811" s="49">
        <v>12015.46</v>
      </c>
      <c r="K2811" s="58">
        <v>252.29999999999995</v>
      </c>
      <c r="L2811" s="58">
        <v>12006.694195494003</v>
      </c>
      <c r="M2811" s="58">
        <v>1.0999999999999999</v>
      </c>
      <c r="N2811" s="58">
        <v>53.413483327400002</v>
      </c>
      <c r="O2811" s="58">
        <v>253.39999999999995</v>
      </c>
      <c r="P2811" s="53">
        <v>12060.107678821403</v>
      </c>
      <c r="Q2811" s="65">
        <v>12015.46</v>
      </c>
      <c r="R2811" s="65">
        <v>0</v>
      </c>
      <c r="S2811" s="65">
        <v>53.413483327400002</v>
      </c>
      <c r="T2811" s="65">
        <v>44.647678821404043</v>
      </c>
      <c r="U2811" s="58">
        <v>0</v>
      </c>
      <c r="V2811" s="65">
        <v>0</v>
      </c>
      <c r="W2811" s="65">
        <v>0</v>
      </c>
      <c r="X2811" s="65">
        <v>11962</v>
      </c>
      <c r="Y2811" s="65">
        <v>0</v>
      </c>
      <c r="Z2811" s="51">
        <v>0</v>
      </c>
      <c r="AA2811" s="51">
        <v>0</v>
      </c>
      <c r="AB2811" s="102">
        <v>0</v>
      </c>
      <c r="AC2811" s="81">
        <f t="shared" si="133"/>
        <v>432.82581400560218</v>
      </c>
      <c r="AD2811" s="82">
        <f t="shared" si="134"/>
        <v>35.700000000000003</v>
      </c>
      <c r="AE2811" s="218">
        <v>-3.7158526449594144E-3</v>
      </c>
      <c r="AF2811">
        <v>2</v>
      </c>
      <c r="AH2811" t="str">
        <f t="shared" si="132"/>
        <v>Warisnagar</v>
      </c>
      <c r="AJ2811" s="72">
        <v>0</v>
      </c>
      <c r="AK2811" s="72"/>
      <c r="AL2811" s="72"/>
      <c r="AM2811" s="72"/>
    </row>
    <row r="2812" spans="1:39" x14ac:dyDescent="0.25">
      <c r="A2812" s="37" t="s">
        <v>62</v>
      </c>
      <c r="B2812" s="66" t="s">
        <v>1629</v>
      </c>
      <c r="C2812" s="4">
        <v>1057</v>
      </c>
      <c r="D2812" s="41" t="s">
        <v>1202</v>
      </c>
      <c r="E2812" s="41">
        <v>10630010</v>
      </c>
      <c r="F2812" s="85" t="s">
        <v>1413</v>
      </c>
      <c r="G2812" s="39" t="s">
        <v>635</v>
      </c>
      <c r="H2812" s="52" t="s">
        <v>99</v>
      </c>
      <c r="I2812" s="52">
        <v>332.00000000000006</v>
      </c>
      <c r="J2812" s="49">
        <v>12051.04</v>
      </c>
      <c r="K2812" s="58">
        <v>0</v>
      </c>
      <c r="L2812" s="58">
        <v>0</v>
      </c>
      <c r="M2812" s="58">
        <v>0</v>
      </c>
      <c r="N2812" s="58">
        <v>0</v>
      </c>
      <c r="O2812" s="58">
        <v>0</v>
      </c>
      <c r="P2812" s="53">
        <v>0</v>
      </c>
      <c r="Q2812" s="65">
        <v>12051.04</v>
      </c>
      <c r="R2812" s="65">
        <v>0</v>
      </c>
      <c r="S2812" s="65">
        <v>0</v>
      </c>
      <c r="T2812" s="65">
        <v>0</v>
      </c>
      <c r="U2812" s="58">
        <v>0</v>
      </c>
      <c r="V2812" s="65">
        <v>0</v>
      </c>
      <c r="W2812" s="65">
        <v>0</v>
      </c>
      <c r="X2812" s="65">
        <v>0</v>
      </c>
      <c r="Y2812" s="65">
        <v>0</v>
      </c>
      <c r="Z2812" s="51">
        <v>12051.04</v>
      </c>
      <c r="AA2812" s="51">
        <v>0</v>
      </c>
      <c r="AB2812" s="102">
        <v>0</v>
      </c>
      <c r="AC2812" s="81">
        <f t="shared" si="133"/>
        <v>267.15558554216864</v>
      </c>
      <c r="AD2812" s="82">
        <f t="shared" si="134"/>
        <v>47.428571428571438</v>
      </c>
      <c r="AE2812" s="218">
        <v>0</v>
      </c>
      <c r="AF2812">
        <v>0</v>
      </c>
      <c r="AH2812" t="str">
        <f t="shared" si="132"/>
        <v>Warisnagar</v>
      </c>
      <c r="AJ2812" s="72">
        <v>0</v>
      </c>
      <c r="AK2812" s="72"/>
      <c r="AL2812" s="72"/>
      <c r="AM2812" s="72"/>
    </row>
    <row r="2813" spans="1:39" x14ac:dyDescent="0.25">
      <c r="A2813" s="37" t="s">
        <v>62</v>
      </c>
      <c r="B2813" s="66" t="s">
        <v>1629</v>
      </c>
      <c r="C2813" s="4">
        <v>1057</v>
      </c>
      <c r="D2813" s="41" t="s">
        <v>1202</v>
      </c>
      <c r="E2813" s="41">
        <v>10630011</v>
      </c>
      <c r="F2813" s="85" t="s">
        <v>1414</v>
      </c>
      <c r="G2813" s="39" t="s">
        <v>635</v>
      </c>
      <c r="H2813" s="52" t="s">
        <v>99</v>
      </c>
      <c r="I2813" s="52">
        <v>99.500000000000014</v>
      </c>
      <c r="J2813" s="49">
        <v>3142.23</v>
      </c>
      <c r="K2813" s="58">
        <v>0</v>
      </c>
      <c r="L2813" s="58">
        <v>0</v>
      </c>
      <c r="M2813" s="58">
        <v>0</v>
      </c>
      <c r="N2813" s="58">
        <v>0</v>
      </c>
      <c r="O2813" s="58">
        <v>0</v>
      </c>
      <c r="P2813" s="53">
        <v>0</v>
      </c>
      <c r="Q2813" s="65">
        <v>3142.23</v>
      </c>
      <c r="R2813" s="65">
        <v>0</v>
      </c>
      <c r="S2813" s="65">
        <v>0</v>
      </c>
      <c r="T2813" s="65">
        <v>0</v>
      </c>
      <c r="U2813" s="58">
        <v>0</v>
      </c>
      <c r="V2813" s="65">
        <v>0</v>
      </c>
      <c r="W2813" s="65">
        <v>0</v>
      </c>
      <c r="X2813" s="65">
        <v>0</v>
      </c>
      <c r="Y2813" s="65">
        <v>0</v>
      </c>
      <c r="Z2813" s="51">
        <v>3142.23</v>
      </c>
      <c r="AA2813" s="51">
        <v>0</v>
      </c>
      <c r="AB2813" s="102">
        <v>0</v>
      </c>
      <c r="AC2813" s="81">
        <f t="shared" si="133"/>
        <v>379.27821407035168</v>
      </c>
      <c r="AD2813" s="82">
        <f t="shared" si="134"/>
        <v>14.214285714285717</v>
      </c>
      <c r="AE2813" s="218">
        <v>0</v>
      </c>
      <c r="AF2813">
        <v>0</v>
      </c>
      <c r="AH2813" t="str">
        <f t="shared" ref="AH2813:AH2875" si="135">TEXT(D2813,"0000")</f>
        <v>Warisnagar</v>
      </c>
      <c r="AJ2813" s="72">
        <v>0</v>
      </c>
      <c r="AK2813" s="72"/>
      <c r="AL2813" s="72"/>
      <c r="AM2813" s="72"/>
    </row>
    <row r="2814" spans="1:39" x14ac:dyDescent="0.25">
      <c r="A2814" s="37" t="s">
        <v>62</v>
      </c>
      <c r="B2814" s="66" t="s">
        <v>1629</v>
      </c>
      <c r="C2814" s="4">
        <v>1057</v>
      </c>
      <c r="D2814" s="41" t="s">
        <v>1202</v>
      </c>
      <c r="E2814" s="41">
        <v>10630012</v>
      </c>
      <c r="F2814" s="85" t="s">
        <v>1415</v>
      </c>
      <c r="G2814" s="39" t="s">
        <v>635</v>
      </c>
      <c r="H2814" s="52" t="s">
        <v>99</v>
      </c>
      <c r="I2814" s="52">
        <v>240.89999999999995</v>
      </c>
      <c r="J2814" s="49">
        <v>8673.4500000000007</v>
      </c>
      <c r="K2814" s="58">
        <v>0</v>
      </c>
      <c r="L2814" s="58">
        <v>0</v>
      </c>
      <c r="M2814" s="58">
        <v>0</v>
      </c>
      <c r="N2814" s="58">
        <v>0</v>
      </c>
      <c r="O2814" s="58">
        <v>0</v>
      </c>
      <c r="P2814" s="53">
        <v>0</v>
      </c>
      <c r="Q2814" s="65">
        <v>8673.4500000000007</v>
      </c>
      <c r="R2814" s="65">
        <v>0</v>
      </c>
      <c r="S2814" s="65">
        <v>0</v>
      </c>
      <c r="T2814" s="65">
        <v>0</v>
      </c>
      <c r="U2814" s="58">
        <v>0</v>
      </c>
      <c r="V2814" s="65">
        <v>0</v>
      </c>
      <c r="W2814" s="65">
        <v>0</v>
      </c>
      <c r="X2814" s="65">
        <v>0</v>
      </c>
      <c r="Y2814" s="65">
        <v>0</v>
      </c>
      <c r="Z2814" s="51">
        <v>8673.4500000000007</v>
      </c>
      <c r="AA2814" s="51">
        <v>0</v>
      </c>
      <c r="AB2814" s="102">
        <v>0</v>
      </c>
      <c r="AC2814" s="81">
        <f t="shared" si="133"/>
        <v>330.59202117061034</v>
      </c>
      <c r="AD2814" s="82">
        <f t="shared" si="134"/>
        <v>34.414285714285704</v>
      </c>
      <c r="AE2814" s="218">
        <v>0</v>
      </c>
      <c r="AF2814">
        <v>0</v>
      </c>
      <c r="AH2814" t="str">
        <f t="shared" si="135"/>
        <v>Warisnagar</v>
      </c>
      <c r="AJ2814" s="72">
        <v>0</v>
      </c>
      <c r="AK2814" s="72"/>
      <c r="AL2814" s="72"/>
      <c r="AM2814" s="72"/>
    </row>
    <row r="2815" spans="1:39" x14ac:dyDescent="0.25">
      <c r="A2815" s="37" t="s">
        <v>62</v>
      </c>
      <c r="B2815" s="66" t="s">
        <v>1629</v>
      </c>
      <c r="C2815" s="4">
        <v>1057</v>
      </c>
      <c r="D2815" s="41" t="s">
        <v>1202</v>
      </c>
      <c r="E2815" s="41">
        <v>10630013</v>
      </c>
      <c r="F2815" s="85" t="s">
        <v>1539</v>
      </c>
      <c r="G2815" s="39" t="s">
        <v>93</v>
      </c>
      <c r="H2815" s="52" t="s">
        <v>94</v>
      </c>
      <c r="I2815" s="52">
        <v>613.6</v>
      </c>
      <c r="J2815" s="49">
        <v>23298.049999999996</v>
      </c>
      <c r="K2815" s="58">
        <v>613.59999999999991</v>
      </c>
      <c r="L2815" s="58">
        <v>23297.84050572</v>
      </c>
      <c r="M2815" s="58">
        <v>0</v>
      </c>
      <c r="N2815" s="58">
        <v>0</v>
      </c>
      <c r="O2815" s="58">
        <v>613.59999999999991</v>
      </c>
      <c r="P2815" s="53">
        <v>23297.84050572</v>
      </c>
      <c r="Q2815" s="65">
        <v>23297.84050572</v>
      </c>
      <c r="R2815" s="65">
        <v>0</v>
      </c>
      <c r="S2815" s="65">
        <v>0</v>
      </c>
      <c r="T2815" s="65">
        <v>0</v>
      </c>
      <c r="U2815" s="58">
        <v>0</v>
      </c>
      <c r="V2815" s="65">
        <v>0</v>
      </c>
      <c r="W2815" s="65">
        <v>0</v>
      </c>
      <c r="X2815" s="65">
        <v>23298</v>
      </c>
      <c r="Y2815" s="65">
        <v>0</v>
      </c>
      <c r="Z2815" s="51">
        <v>0</v>
      </c>
      <c r="AA2815" s="51">
        <v>0</v>
      </c>
      <c r="AB2815" s="102">
        <v>0</v>
      </c>
      <c r="AC2815" s="81">
        <f t="shared" si="133"/>
        <v>65.611196870925667</v>
      </c>
      <c r="AD2815" s="82">
        <f t="shared" si="134"/>
        <v>87.657142857142858</v>
      </c>
      <c r="AE2815" s="218">
        <v>8.9919233582146031E-6</v>
      </c>
      <c r="AF2815">
        <v>1</v>
      </c>
      <c r="AH2815" t="str">
        <f t="shared" si="135"/>
        <v>Warisnagar</v>
      </c>
      <c r="AJ2815" s="72">
        <v>0</v>
      </c>
      <c r="AK2815" s="72"/>
      <c r="AL2815" s="72"/>
      <c r="AM2815" s="72"/>
    </row>
    <row r="2816" spans="1:39" x14ac:dyDescent="0.25">
      <c r="A2816" s="37" t="s">
        <v>62</v>
      </c>
      <c r="B2816" s="66" t="s">
        <v>1629</v>
      </c>
      <c r="C2816" s="4">
        <v>1057</v>
      </c>
      <c r="D2816" s="41" t="s">
        <v>1202</v>
      </c>
      <c r="E2816" s="41">
        <v>10630014</v>
      </c>
      <c r="F2816" s="85" t="s">
        <v>1540</v>
      </c>
      <c r="G2816" s="39" t="s">
        <v>93</v>
      </c>
      <c r="H2816" s="52" t="s">
        <v>94</v>
      </c>
      <c r="I2816" s="52">
        <v>30.099999999999998</v>
      </c>
      <c r="J2816" s="49">
        <v>1080.32</v>
      </c>
      <c r="K2816" s="58">
        <v>30.099999999999998</v>
      </c>
      <c r="L2816" s="58">
        <v>1080.2539202400001</v>
      </c>
      <c r="M2816" s="58">
        <v>0</v>
      </c>
      <c r="N2816" s="58">
        <v>0</v>
      </c>
      <c r="O2816" s="58">
        <v>30.099999999999998</v>
      </c>
      <c r="P2816" s="53">
        <v>1080.2539202400001</v>
      </c>
      <c r="Q2816" s="65">
        <v>1080.2539202400001</v>
      </c>
      <c r="R2816" s="65">
        <v>0</v>
      </c>
      <c r="S2816" s="65">
        <v>0</v>
      </c>
      <c r="T2816" s="65">
        <v>0</v>
      </c>
      <c r="U2816" s="58">
        <v>0</v>
      </c>
      <c r="V2816" s="65">
        <v>0</v>
      </c>
      <c r="W2816" s="65">
        <v>0</v>
      </c>
      <c r="X2816" s="65">
        <v>1080</v>
      </c>
      <c r="Y2816" s="65">
        <v>0</v>
      </c>
      <c r="Z2816" s="51">
        <v>0</v>
      </c>
      <c r="AA2816" s="51">
        <v>0</v>
      </c>
      <c r="AB2816" s="102">
        <v>0</v>
      </c>
      <c r="AC2816" s="81">
        <f t="shared" si="133"/>
        <v>480.86801860465118</v>
      </c>
      <c r="AD2816" s="82">
        <f t="shared" si="134"/>
        <v>4.3</v>
      </c>
      <c r="AE2816" s="218">
        <v>6.1166839454852205E-5</v>
      </c>
      <c r="AF2816">
        <v>1</v>
      </c>
      <c r="AH2816" t="str">
        <f t="shared" si="135"/>
        <v>Warisnagar</v>
      </c>
      <c r="AJ2816" s="72">
        <v>0</v>
      </c>
      <c r="AK2816" s="72"/>
      <c r="AL2816" s="72"/>
      <c r="AM2816" s="72"/>
    </row>
    <row r="2817" spans="1:39" x14ac:dyDescent="0.25">
      <c r="A2817" s="37" t="s">
        <v>62</v>
      </c>
      <c r="B2817" s="66" t="s">
        <v>1629</v>
      </c>
      <c r="C2817" s="4">
        <v>1057</v>
      </c>
      <c r="D2817" s="41" t="s">
        <v>1202</v>
      </c>
      <c r="E2817" s="41">
        <v>10630015</v>
      </c>
      <c r="F2817" s="85" t="s">
        <v>1484</v>
      </c>
      <c r="G2817" s="39" t="s">
        <v>93</v>
      </c>
      <c r="H2817" s="52" t="s">
        <v>94</v>
      </c>
      <c r="I2817" s="52">
        <v>216.7</v>
      </c>
      <c r="J2817" s="49">
        <v>7645.32</v>
      </c>
      <c r="K2817" s="58">
        <v>216.5</v>
      </c>
      <c r="L2817" s="58">
        <v>7631.7071937629999</v>
      </c>
      <c r="M2817" s="58">
        <v>0</v>
      </c>
      <c r="N2817" s="58">
        <v>0</v>
      </c>
      <c r="O2817" s="58">
        <v>216.5</v>
      </c>
      <c r="P2817" s="53">
        <v>7631.7071937629999</v>
      </c>
      <c r="Q2817" s="65">
        <v>7631.7071937629999</v>
      </c>
      <c r="R2817" s="65">
        <v>0</v>
      </c>
      <c r="S2817" s="65">
        <v>0</v>
      </c>
      <c r="T2817" s="65">
        <v>0</v>
      </c>
      <c r="U2817" s="58">
        <v>0</v>
      </c>
      <c r="V2817" s="65">
        <v>0</v>
      </c>
      <c r="W2817" s="65">
        <v>0</v>
      </c>
      <c r="X2817" s="65">
        <v>7632</v>
      </c>
      <c r="Y2817" s="65">
        <v>0</v>
      </c>
      <c r="Z2817" s="51">
        <v>0</v>
      </c>
      <c r="AA2817" s="51">
        <v>13</v>
      </c>
      <c r="AB2817" s="102">
        <v>0</v>
      </c>
      <c r="AC2817" s="81">
        <f t="shared" si="133"/>
        <v>341.02290318412554</v>
      </c>
      <c r="AD2817" s="82">
        <f t="shared" si="134"/>
        <v>30.957142857142856</v>
      </c>
      <c r="AE2817" s="218">
        <v>1.7805410678689525E-3</v>
      </c>
      <c r="AF2817">
        <v>1</v>
      </c>
      <c r="AH2817" t="str">
        <f t="shared" si="135"/>
        <v>Warisnagar</v>
      </c>
      <c r="AJ2817" s="72">
        <v>0</v>
      </c>
      <c r="AK2817" s="72"/>
      <c r="AL2817" s="72"/>
      <c r="AM2817" s="72"/>
    </row>
    <row r="2818" spans="1:39" x14ac:dyDescent="0.25">
      <c r="A2818" s="37" t="s">
        <v>62</v>
      </c>
      <c r="B2818" s="66" t="s">
        <v>1629</v>
      </c>
      <c r="C2818" s="4">
        <v>1057</v>
      </c>
      <c r="D2818" s="41" t="s">
        <v>1202</v>
      </c>
      <c r="E2818" s="41">
        <v>10630016</v>
      </c>
      <c r="F2818" s="85" t="s">
        <v>1470</v>
      </c>
      <c r="G2818" s="39" t="s">
        <v>635</v>
      </c>
      <c r="H2818" s="52" t="s">
        <v>99</v>
      </c>
      <c r="I2818" s="52">
        <v>514.70000000000005</v>
      </c>
      <c r="J2818" s="49">
        <v>17511.660000000003</v>
      </c>
      <c r="K2818" s="58">
        <v>0</v>
      </c>
      <c r="L2818" s="58">
        <v>0</v>
      </c>
      <c r="M2818" s="58">
        <v>0</v>
      </c>
      <c r="N2818" s="58">
        <v>0</v>
      </c>
      <c r="O2818" s="58">
        <v>0</v>
      </c>
      <c r="P2818" s="53">
        <v>0</v>
      </c>
      <c r="Q2818" s="65">
        <v>17511.660000000003</v>
      </c>
      <c r="R2818" s="65">
        <v>0</v>
      </c>
      <c r="S2818" s="65">
        <v>0</v>
      </c>
      <c r="T2818" s="65">
        <v>0</v>
      </c>
      <c r="U2818" s="58">
        <v>0</v>
      </c>
      <c r="V2818" s="65">
        <v>0</v>
      </c>
      <c r="W2818" s="65">
        <v>0</v>
      </c>
      <c r="X2818" s="65">
        <v>0</v>
      </c>
      <c r="Y2818" s="65">
        <v>0</v>
      </c>
      <c r="Z2818" s="51">
        <v>17511.660000000003</v>
      </c>
      <c r="AA2818" s="51">
        <v>0</v>
      </c>
      <c r="AB2818" s="102">
        <v>0</v>
      </c>
      <c r="AC2818" s="81">
        <f t="shared" ref="AC2818:AC2880" si="136">((IF(AD2818=0,0,100-AD2818))*7*(J2818/I2818))*2%</f>
        <v>126.0893956868078</v>
      </c>
      <c r="AD2818" s="82">
        <f t="shared" ref="AD2818:AD2880" si="137">IF((I2818/7)&gt;100,0,(I2818/7))</f>
        <v>73.528571428571439</v>
      </c>
      <c r="AE2818" s="218">
        <v>0</v>
      </c>
      <c r="AF2818">
        <v>0</v>
      </c>
      <c r="AH2818" t="str">
        <f t="shared" si="135"/>
        <v>Warisnagar</v>
      </c>
      <c r="AJ2818" s="72">
        <v>0</v>
      </c>
      <c r="AK2818" s="72"/>
      <c r="AL2818" s="72"/>
      <c r="AM2818" s="72"/>
    </row>
    <row r="2819" spans="1:39" x14ac:dyDescent="0.25">
      <c r="A2819" s="37" t="s">
        <v>62</v>
      </c>
      <c r="B2819" s="66" t="s">
        <v>1629</v>
      </c>
      <c r="C2819" s="4">
        <v>1057</v>
      </c>
      <c r="D2819" s="41" t="s">
        <v>1202</v>
      </c>
      <c r="E2819" s="41">
        <v>10630018</v>
      </c>
      <c r="F2819" s="85" t="s">
        <v>1553</v>
      </c>
      <c r="G2819" s="39" t="s">
        <v>635</v>
      </c>
      <c r="H2819" s="52" t="s">
        <v>99</v>
      </c>
      <c r="I2819" s="52">
        <v>576.09999999999991</v>
      </c>
      <c r="J2819" s="49">
        <v>20741.22</v>
      </c>
      <c r="K2819" s="58">
        <v>0</v>
      </c>
      <c r="L2819" s="58">
        <v>0</v>
      </c>
      <c r="M2819" s="58">
        <v>0</v>
      </c>
      <c r="N2819" s="58">
        <v>0</v>
      </c>
      <c r="O2819" s="58">
        <v>0</v>
      </c>
      <c r="P2819" s="53">
        <v>0</v>
      </c>
      <c r="Q2819" s="65">
        <v>20741.22</v>
      </c>
      <c r="R2819" s="65">
        <v>0</v>
      </c>
      <c r="S2819" s="65">
        <v>0</v>
      </c>
      <c r="T2819" s="65">
        <v>0</v>
      </c>
      <c r="U2819" s="58">
        <v>0</v>
      </c>
      <c r="V2819" s="65">
        <v>0</v>
      </c>
      <c r="W2819" s="65">
        <v>0</v>
      </c>
      <c r="X2819" s="65">
        <v>0</v>
      </c>
      <c r="Y2819" s="65">
        <v>0</v>
      </c>
      <c r="Z2819" s="51">
        <v>20741.22</v>
      </c>
      <c r="AA2819" s="51">
        <v>0</v>
      </c>
      <c r="AB2819" s="102">
        <v>0</v>
      </c>
      <c r="AC2819" s="81">
        <f t="shared" si="136"/>
        <v>89.214968165249189</v>
      </c>
      <c r="AD2819" s="82">
        <f t="shared" si="137"/>
        <v>82.299999999999983</v>
      </c>
      <c r="AE2819" s="218">
        <v>0</v>
      </c>
      <c r="AF2819">
        <v>0</v>
      </c>
      <c r="AH2819" t="str">
        <f t="shared" si="135"/>
        <v>Warisnagar</v>
      </c>
      <c r="AJ2819" s="72">
        <v>0</v>
      </c>
      <c r="AK2819" s="72"/>
      <c r="AL2819" s="72"/>
      <c r="AM2819" s="72"/>
    </row>
    <row r="2820" spans="1:39" x14ac:dyDescent="0.25">
      <c r="A2820" s="37" t="s">
        <v>62</v>
      </c>
      <c r="B2820" s="66" t="s">
        <v>1629</v>
      </c>
      <c r="C2820" s="4">
        <v>1057</v>
      </c>
      <c r="D2820" s="41" t="s">
        <v>1202</v>
      </c>
      <c r="E2820" s="41">
        <v>10630019</v>
      </c>
      <c r="F2820" s="85" t="s">
        <v>1472</v>
      </c>
      <c r="G2820" s="39" t="s">
        <v>635</v>
      </c>
      <c r="H2820" s="52" t="s">
        <v>99</v>
      </c>
      <c r="I2820" s="52">
        <v>702.9</v>
      </c>
      <c r="J2820" s="49">
        <v>22376.700000000004</v>
      </c>
      <c r="K2820" s="58">
        <v>0</v>
      </c>
      <c r="L2820" s="58">
        <v>0</v>
      </c>
      <c r="M2820" s="58">
        <v>0</v>
      </c>
      <c r="N2820" s="58">
        <v>0</v>
      </c>
      <c r="O2820" s="58">
        <v>0</v>
      </c>
      <c r="P2820" s="53">
        <v>0</v>
      </c>
      <c r="Q2820" s="65">
        <v>22376.700000000004</v>
      </c>
      <c r="R2820" s="65">
        <v>0</v>
      </c>
      <c r="S2820" s="65">
        <v>0</v>
      </c>
      <c r="T2820" s="65">
        <v>0</v>
      </c>
      <c r="U2820" s="58">
        <v>0</v>
      </c>
      <c r="V2820" s="65">
        <v>0</v>
      </c>
      <c r="W2820" s="65">
        <v>0</v>
      </c>
      <c r="X2820" s="65">
        <v>0</v>
      </c>
      <c r="Y2820" s="65">
        <v>0</v>
      </c>
      <c r="Z2820" s="51">
        <v>22376.700000000004</v>
      </c>
      <c r="AA2820" s="51">
        <v>0</v>
      </c>
      <c r="AB2820" s="102">
        <v>0</v>
      </c>
      <c r="AC2820" s="81">
        <f t="shared" si="136"/>
        <v>0</v>
      </c>
      <c r="AD2820" s="82">
        <f t="shared" si="137"/>
        <v>0</v>
      </c>
      <c r="AE2820" s="218">
        <v>0</v>
      </c>
      <c r="AF2820">
        <v>0</v>
      </c>
      <c r="AH2820" t="str">
        <f t="shared" si="135"/>
        <v>Warisnagar</v>
      </c>
      <c r="AJ2820" s="72">
        <v>0</v>
      </c>
      <c r="AK2820" s="72"/>
      <c r="AL2820" s="72"/>
      <c r="AM2820" s="72"/>
    </row>
    <row r="2821" spans="1:39" x14ac:dyDescent="0.25">
      <c r="A2821" s="37" t="s">
        <v>62</v>
      </c>
      <c r="B2821" s="66" t="s">
        <v>1629</v>
      </c>
      <c r="C2821" s="4">
        <v>1062</v>
      </c>
      <c r="D2821" s="41" t="s">
        <v>1443</v>
      </c>
      <c r="E2821" s="41">
        <v>10640001</v>
      </c>
      <c r="F2821" s="85" t="s">
        <v>1444</v>
      </c>
      <c r="G2821" s="39" t="s">
        <v>93</v>
      </c>
      <c r="H2821" s="52" t="s">
        <v>94</v>
      </c>
      <c r="I2821" s="52">
        <v>886.4899999999999</v>
      </c>
      <c r="J2821" s="49">
        <v>34000.480000000003</v>
      </c>
      <c r="K2821" s="58">
        <v>880.30000000000007</v>
      </c>
      <c r="L2821" s="58">
        <v>33900.429292018205</v>
      </c>
      <c r="M2821" s="58">
        <v>7.5</v>
      </c>
      <c r="N2821" s="58">
        <v>286.97624208000002</v>
      </c>
      <c r="O2821" s="58">
        <v>887.80000000000007</v>
      </c>
      <c r="P2821" s="53">
        <v>34187.405534098209</v>
      </c>
      <c r="Q2821" s="65">
        <v>34000.480000000003</v>
      </c>
      <c r="R2821" s="65">
        <v>0</v>
      </c>
      <c r="S2821" s="65">
        <v>286.97624208000002</v>
      </c>
      <c r="T2821" s="65">
        <v>186.92553409820539</v>
      </c>
      <c r="U2821" s="58">
        <v>0</v>
      </c>
      <c r="V2821" s="65">
        <v>0</v>
      </c>
      <c r="W2821" s="65">
        <v>0</v>
      </c>
      <c r="X2821" s="65">
        <v>33714</v>
      </c>
      <c r="Y2821" s="65">
        <v>0</v>
      </c>
      <c r="Z2821" s="51">
        <v>0</v>
      </c>
      <c r="AA2821" s="51">
        <v>0</v>
      </c>
      <c r="AB2821" s="102">
        <v>0</v>
      </c>
      <c r="AC2821" s="81">
        <f t="shared" si="136"/>
        <v>0</v>
      </c>
      <c r="AD2821" s="82">
        <f t="shared" si="137"/>
        <v>0</v>
      </c>
      <c r="AE2821" s="218">
        <v>-5.4977322113748213E-3</v>
      </c>
      <c r="AF2821">
        <v>6</v>
      </c>
      <c r="AH2821" t="str">
        <f t="shared" si="135"/>
        <v>Singhia BMC</v>
      </c>
      <c r="AJ2821" s="72">
        <v>0</v>
      </c>
      <c r="AK2821" s="72"/>
      <c r="AL2821" s="72"/>
      <c r="AM2821" s="72"/>
    </row>
    <row r="2822" spans="1:39" x14ac:dyDescent="0.25">
      <c r="A2822" s="37" t="s">
        <v>62</v>
      </c>
      <c r="B2822" s="66" t="s">
        <v>1629</v>
      </c>
      <c r="C2822" s="4">
        <v>1062</v>
      </c>
      <c r="D2822" s="41" t="s">
        <v>1443</v>
      </c>
      <c r="E2822" s="41">
        <v>10640003</v>
      </c>
      <c r="F2822" s="85" t="s">
        <v>1445</v>
      </c>
      <c r="G2822" s="39" t="s">
        <v>93</v>
      </c>
      <c r="H2822" s="52" t="s">
        <v>94</v>
      </c>
      <c r="I2822" s="52">
        <v>1008.3699999999999</v>
      </c>
      <c r="J2822" s="49">
        <v>42036.29</v>
      </c>
      <c r="K2822" s="58">
        <v>998.09999999999968</v>
      </c>
      <c r="L2822" s="58">
        <v>41977.001543767408</v>
      </c>
      <c r="M2822" s="58">
        <v>12.9</v>
      </c>
      <c r="N2822" s="58">
        <v>541.54430748000004</v>
      </c>
      <c r="O2822" s="58">
        <v>1010.9999999999997</v>
      </c>
      <c r="P2822" s="53">
        <v>42518.545851247407</v>
      </c>
      <c r="Q2822" s="65">
        <v>42036.29</v>
      </c>
      <c r="R2822" s="65">
        <v>0</v>
      </c>
      <c r="S2822" s="65">
        <v>541.54430748000004</v>
      </c>
      <c r="T2822" s="65">
        <v>482.2558512474061</v>
      </c>
      <c r="U2822" s="58">
        <v>0</v>
      </c>
      <c r="V2822" s="65">
        <v>0</v>
      </c>
      <c r="W2822" s="65">
        <v>0</v>
      </c>
      <c r="X2822" s="65">
        <v>41495</v>
      </c>
      <c r="Y2822" s="65">
        <v>0</v>
      </c>
      <c r="Z2822" s="51">
        <v>0</v>
      </c>
      <c r="AA2822" s="51">
        <v>0</v>
      </c>
      <c r="AB2822" s="102" t="s">
        <v>68</v>
      </c>
      <c r="AC2822" s="81">
        <f t="shared" si="136"/>
        <v>0</v>
      </c>
      <c r="AD2822" s="82">
        <f t="shared" si="137"/>
        <v>0</v>
      </c>
      <c r="AE2822" s="218">
        <v>-1.1472369499006837E-2</v>
      </c>
      <c r="AF2822">
        <v>11</v>
      </c>
      <c r="AH2822" t="str">
        <f t="shared" si="135"/>
        <v>Singhia BMC</v>
      </c>
      <c r="AJ2822" s="72">
        <v>0</v>
      </c>
      <c r="AK2822" s="72"/>
      <c r="AL2822" s="72"/>
      <c r="AM2822" s="72"/>
    </row>
    <row r="2823" spans="1:39" x14ac:dyDescent="0.25">
      <c r="A2823" s="37" t="s">
        <v>62</v>
      </c>
      <c r="B2823" s="66" t="s">
        <v>1629</v>
      </c>
      <c r="C2823" s="4">
        <v>1062</v>
      </c>
      <c r="D2823" s="41" t="s">
        <v>1443</v>
      </c>
      <c r="E2823" s="41">
        <v>10640004</v>
      </c>
      <c r="F2823" s="85" t="s">
        <v>1446</v>
      </c>
      <c r="G2823" s="39" t="s">
        <v>93</v>
      </c>
      <c r="H2823" s="52" t="s">
        <v>94</v>
      </c>
      <c r="I2823" s="52">
        <v>172.13</v>
      </c>
      <c r="J2823" s="49">
        <v>6463.3499999999995</v>
      </c>
      <c r="K2823" s="58">
        <v>170.8</v>
      </c>
      <c r="L2823" s="58">
        <v>6475.6302690145003</v>
      </c>
      <c r="M2823" s="58">
        <v>0.7</v>
      </c>
      <c r="N2823" s="58">
        <v>25.925573520000007</v>
      </c>
      <c r="O2823" s="58">
        <v>171.5</v>
      </c>
      <c r="P2823" s="53">
        <v>6501.5558425345007</v>
      </c>
      <c r="Q2823" s="65">
        <v>6463.3499999999995</v>
      </c>
      <c r="R2823" s="65">
        <v>0</v>
      </c>
      <c r="S2823" s="65">
        <v>25.925573520000007</v>
      </c>
      <c r="T2823" s="65">
        <v>38.205842534501244</v>
      </c>
      <c r="U2823" s="58">
        <v>0</v>
      </c>
      <c r="V2823" s="65">
        <v>0</v>
      </c>
      <c r="W2823" s="65">
        <v>0</v>
      </c>
      <c r="X2823" s="65">
        <v>6437</v>
      </c>
      <c r="Y2823" s="65">
        <v>0</v>
      </c>
      <c r="Z2823" s="51">
        <v>0</v>
      </c>
      <c r="AA2823" s="51">
        <v>0</v>
      </c>
      <c r="AB2823" s="102">
        <v>0</v>
      </c>
      <c r="AC2823" s="81">
        <f t="shared" si="136"/>
        <v>396.42230459536398</v>
      </c>
      <c r="AD2823" s="82">
        <f t="shared" si="137"/>
        <v>24.59</v>
      </c>
      <c r="AE2823" s="218">
        <v>-5.9111517300627766E-3</v>
      </c>
      <c r="AF2823">
        <v>2</v>
      </c>
      <c r="AH2823" t="str">
        <f t="shared" si="135"/>
        <v>Singhia BMC</v>
      </c>
      <c r="AJ2823" s="72">
        <v>0</v>
      </c>
      <c r="AK2823" s="72"/>
      <c r="AL2823" s="72"/>
      <c r="AM2823" s="72"/>
    </row>
    <row r="2824" spans="1:39" x14ac:dyDescent="0.25">
      <c r="A2824" s="37" t="s">
        <v>62</v>
      </c>
      <c r="B2824" s="66" t="s">
        <v>1629</v>
      </c>
      <c r="C2824" s="4">
        <v>1062</v>
      </c>
      <c r="D2824" s="41" t="s">
        <v>1443</v>
      </c>
      <c r="E2824" s="41">
        <v>10640005</v>
      </c>
      <c r="F2824" s="85" t="s">
        <v>1447</v>
      </c>
      <c r="G2824" s="39" t="s">
        <v>93</v>
      </c>
      <c r="H2824" s="52" t="s">
        <v>94</v>
      </c>
      <c r="I2824" s="52">
        <v>176.45</v>
      </c>
      <c r="J2824" s="49">
        <v>7732.0800000000017</v>
      </c>
      <c r="K2824" s="58">
        <v>175.00000000000003</v>
      </c>
      <c r="L2824" s="58">
        <v>7665.5798743612013</v>
      </c>
      <c r="M2824" s="58">
        <v>2</v>
      </c>
      <c r="N2824" s="58">
        <v>88.887811662500013</v>
      </c>
      <c r="O2824" s="58">
        <v>177.00000000000003</v>
      </c>
      <c r="P2824" s="53">
        <v>7754.4676860237014</v>
      </c>
      <c r="Q2824" s="65">
        <v>7732.0800000000017</v>
      </c>
      <c r="R2824" s="65">
        <v>0</v>
      </c>
      <c r="S2824" s="65">
        <v>88.887811662500013</v>
      </c>
      <c r="T2824" s="65">
        <v>22.387686023699644</v>
      </c>
      <c r="U2824" s="58">
        <v>0</v>
      </c>
      <c r="V2824" s="65">
        <v>0</v>
      </c>
      <c r="W2824" s="65">
        <v>0</v>
      </c>
      <c r="X2824" s="65">
        <v>7643</v>
      </c>
      <c r="Y2824" s="65">
        <v>0</v>
      </c>
      <c r="Z2824" s="51">
        <v>0</v>
      </c>
      <c r="AA2824" s="51">
        <v>0</v>
      </c>
      <c r="AB2824" s="102">
        <v>0</v>
      </c>
      <c r="AC2824" s="81">
        <f t="shared" si="136"/>
        <v>458.84165304618881</v>
      </c>
      <c r="AD2824" s="82">
        <f t="shared" si="137"/>
        <v>25.207142857142856</v>
      </c>
      <c r="AE2824" s="218">
        <v>-2.8954286587437842E-3</v>
      </c>
      <c r="AF2824">
        <v>2</v>
      </c>
      <c r="AH2824" t="str">
        <f t="shared" si="135"/>
        <v>Singhia BMC</v>
      </c>
      <c r="AJ2824" s="72">
        <v>0</v>
      </c>
      <c r="AK2824" s="72"/>
      <c r="AL2824" s="72"/>
      <c r="AM2824" s="72"/>
    </row>
    <row r="2825" spans="1:39" x14ac:dyDescent="0.25">
      <c r="A2825" s="37" t="s">
        <v>62</v>
      </c>
      <c r="B2825" s="66" t="s">
        <v>1629</v>
      </c>
      <c r="C2825" s="4">
        <v>1062</v>
      </c>
      <c r="D2825" s="41" t="s">
        <v>1443</v>
      </c>
      <c r="E2825" s="41">
        <v>10640006</v>
      </c>
      <c r="F2825" s="85" t="s">
        <v>1448</v>
      </c>
      <c r="G2825" s="39" t="s">
        <v>93</v>
      </c>
      <c r="H2825" s="52" t="s">
        <v>94</v>
      </c>
      <c r="I2825" s="52">
        <v>217.20999999999998</v>
      </c>
      <c r="J2825" s="49">
        <v>11393.89</v>
      </c>
      <c r="K2825" s="58">
        <v>132.10000000000002</v>
      </c>
      <c r="L2825" s="58">
        <v>6818.5705373883911</v>
      </c>
      <c r="M2825" s="58">
        <v>47.900000000000006</v>
      </c>
      <c r="N2825" s="58">
        <v>2801.47295272058</v>
      </c>
      <c r="O2825" s="58">
        <v>180.00000000000003</v>
      </c>
      <c r="P2825" s="53">
        <v>9620.043490108972</v>
      </c>
      <c r="Q2825" s="65">
        <v>9620.043490108972</v>
      </c>
      <c r="R2825" s="65">
        <v>0</v>
      </c>
      <c r="S2825" s="65">
        <v>278.71378119378005</v>
      </c>
      <c r="T2825" s="65">
        <v>0</v>
      </c>
      <c r="U2825" s="58">
        <v>0</v>
      </c>
      <c r="V2825" s="65">
        <v>0</v>
      </c>
      <c r="W2825" s="65">
        <v>0</v>
      </c>
      <c r="X2825" s="65">
        <v>6819</v>
      </c>
      <c r="Y2825" s="65">
        <v>2523</v>
      </c>
      <c r="Z2825" s="51">
        <v>0</v>
      </c>
      <c r="AA2825" s="51">
        <v>1773</v>
      </c>
      <c r="AB2825" s="102">
        <v>0</v>
      </c>
      <c r="AC2825" s="81">
        <f t="shared" si="136"/>
        <v>506.50118807605543</v>
      </c>
      <c r="AD2825" s="82">
        <f t="shared" si="137"/>
        <v>31.029999999999998</v>
      </c>
      <c r="AE2825" s="218">
        <v>0.15568401221102077</v>
      </c>
      <c r="AF2825">
        <v>9</v>
      </c>
      <c r="AH2825" t="str">
        <f t="shared" si="135"/>
        <v>Singhia BMC</v>
      </c>
      <c r="AJ2825" s="72">
        <v>0</v>
      </c>
      <c r="AK2825" s="72"/>
      <c r="AL2825" s="72"/>
      <c r="AM2825" s="72"/>
    </row>
    <row r="2826" spans="1:39" x14ac:dyDescent="0.25">
      <c r="A2826" s="37" t="s">
        <v>62</v>
      </c>
      <c r="B2826" s="66" t="s">
        <v>1629</v>
      </c>
      <c r="C2826" s="4">
        <v>1062</v>
      </c>
      <c r="D2826" s="41" t="s">
        <v>1443</v>
      </c>
      <c r="E2826" s="41">
        <v>10640007</v>
      </c>
      <c r="F2826" s="85" t="s">
        <v>1449</v>
      </c>
      <c r="G2826" s="39" t="s">
        <v>635</v>
      </c>
      <c r="H2826" s="52" t="s">
        <v>99</v>
      </c>
      <c r="I2826" s="52">
        <v>224.13</v>
      </c>
      <c r="J2826" s="49">
        <v>10009.400000000001</v>
      </c>
      <c r="K2826" s="58">
        <v>0</v>
      </c>
      <c r="L2826" s="58">
        <v>0</v>
      </c>
      <c r="M2826" s="58">
        <v>0</v>
      </c>
      <c r="N2826" s="58">
        <v>0</v>
      </c>
      <c r="O2826" s="58">
        <v>0</v>
      </c>
      <c r="P2826" s="53">
        <v>0</v>
      </c>
      <c r="Q2826" s="65">
        <v>10009.400000000001</v>
      </c>
      <c r="R2826" s="65">
        <v>0</v>
      </c>
      <c r="S2826" s="65">
        <v>0</v>
      </c>
      <c r="T2826" s="65">
        <v>0</v>
      </c>
      <c r="U2826" s="58">
        <v>0</v>
      </c>
      <c r="V2826" s="65">
        <v>0</v>
      </c>
      <c r="W2826" s="65">
        <v>0</v>
      </c>
      <c r="X2826" s="65">
        <v>0</v>
      </c>
      <c r="Y2826" s="65">
        <v>0</v>
      </c>
      <c r="Z2826" s="51">
        <v>10009.400000000001</v>
      </c>
      <c r="AA2826" s="51">
        <v>0</v>
      </c>
      <c r="AB2826" s="102">
        <v>0</v>
      </c>
      <c r="AC2826" s="81">
        <f t="shared" si="136"/>
        <v>425.03664641056537</v>
      </c>
      <c r="AD2826" s="82">
        <f t="shared" si="137"/>
        <v>32.018571428571427</v>
      </c>
      <c r="AE2826" s="218">
        <v>0</v>
      </c>
      <c r="AF2826">
        <v>0</v>
      </c>
      <c r="AH2826" t="str">
        <f t="shared" si="135"/>
        <v>Singhia BMC</v>
      </c>
      <c r="AJ2826" s="72">
        <v>0</v>
      </c>
      <c r="AK2826" s="72"/>
      <c r="AL2826" s="72"/>
      <c r="AM2826" s="72"/>
    </row>
    <row r="2827" spans="1:39" x14ac:dyDescent="0.25">
      <c r="A2827" s="37" t="s">
        <v>62</v>
      </c>
      <c r="B2827" s="66" t="s">
        <v>1629</v>
      </c>
      <c r="C2827" s="4">
        <v>1062</v>
      </c>
      <c r="D2827" s="41" t="s">
        <v>1443</v>
      </c>
      <c r="E2827" s="41">
        <v>10640008</v>
      </c>
      <c r="F2827" s="85" t="s">
        <v>1584</v>
      </c>
      <c r="G2827" s="39" t="s">
        <v>93</v>
      </c>
      <c r="H2827" s="52" t="s">
        <v>94</v>
      </c>
      <c r="I2827" s="52">
        <v>162</v>
      </c>
      <c r="J2827" s="49">
        <v>7306.6400000000021</v>
      </c>
      <c r="K2827" s="58">
        <v>161.5</v>
      </c>
      <c r="L2827" s="58">
        <v>7283.6882392098014</v>
      </c>
      <c r="M2827" s="58">
        <v>0</v>
      </c>
      <c r="N2827" s="58">
        <v>0</v>
      </c>
      <c r="O2827" s="58">
        <v>161.5</v>
      </c>
      <c r="P2827" s="53">
        <v>7283.6882392098014</v>
      </c>
      <c r="Q2827" s="65">
        <v>7283.6882392098014</v>
      </c>
      <c r="R2827" s="65">
        <v>0</v>
      </c>
      <c r="S2827" s="65">
        <v>0</v>
      </c>
      <c r="T2827" s="65">
        <v>0</v>
      </c>
      <c r="U2827" s="58">
        <v>0</v>
      </c>
      <c r="V2827" s="65">
        <v>0</v>
      </c>
      <c r="W2827" s="65">
        <v>0</v>
      </c>
      <c r="X2827" s="65">
        <v>7284</v>
      </c>
      <c r="Y2827" s="65">
        <v>0</v>
      </c>
      <c r="Z2827" s="51">
        <v>0</v>
      </c>
      <c r="AA2827" s="51">
        <v>23</v>
      </c>
      <c r="AB2827" s="102">
        <v>0</v>
      </c>
      <c r="AC2827" s="81">
        <f t="shared" si="136"/>
        <v>485.30522469135815</v>
      </c>
      <c r="AD2827" s="82">
        <f t="shared" si="137"/>
        <v>23.142857142857142</v>
      </c>
      <c r="AE2827" s="218">
        <v>3.141219601650108E-3</v>
      </c>
      <c r="AF2827">
        <v>1</v>
      </c>
      <c r="AH2827" t="str">
        <f t="shared" si="135"/>
        <v>Singhia BMC</v>
      </c>
      <c r="AJ2827" s="72">
        <v>0</v>
      </c>
      <c r="AK2827" s="72"/>
      <c r="AL2827" s="72"/>
      <c r="AM2827" s="72"/>
    </row>
    <row r="2828" spans="1:39" x14ac:dyDescent="0.25">
      <c r="A2828" s="37" t="s">
        <v>62</v>
      </c>
      <c r="B2828" s="66" t="s">
        <v>1629</v>
      </c>
      <c r="C2828" s="4">
        <v>1062</v>
      </c>
      <c r="D2828" s="41" t="s">
        <v>1443</v>
      </c>
      <c r="E2828" s="41">
        <v>10640009</v>
      </c>
      <c r="F2828" s="85" t="s">
        <v>1529</v>
      </c>
      <c r="G2828" s="39" t="s">
        <v>93</v>
      </c>
      <c r="H2828" s="52" t="s">
        <v>94</v>
      </c>
      <c r="I2828" s="52">
        <v>501.98999999999995</v>
      </c>
      <c r="J2828" s="49">
        <v>24604.620000000003</v>
      </c>
      <c r="K2828" s="58">
        <v>501.40000000000003</v>
      </c>
      <c r="L2828" s="58">
        <v>24306.823146271603</v>
      </c>
      <c r="M2828" s="58">
        <v>0</v>
      </c>
      <c r="N2828" s="58">
        <v>0</v>
      </c>
      <c r="O2828" s="58">
        <v>501.40000000000003</v>
      </c>
      <c r="P2828" s="53">
        <v>24306.823146271603</v>
      </c>
      <c r="Q2828" s="65">
        <v>24306.823146271603</v>
      </c>
      <c r="R2828" s="65">
        <v>0</v>
      </c>
      <c r="S2828" s="65">
        <v>0</v>
      </c>
      <c r="T2828" s="65">
        <v>0</v>
      </c>
      <c r="U2828" s="58">
        <v>0</v>
      </c>
      <c r="V2828" s="65">
        <v>0</v>
      </c>
      <c r="W2828" s="65">
        <v>0</v>
      </c>
      <c r="X2828" s="65">
        <v>24307</v>
      </c>
      <c r="Y2828" s="65">
        <v>0</v>
      </c>
      <c r="Z2828" s="51">
        <v>0</v>
      </c>
      <c r="AA2828" s="51">
        <v>298</v>
      </c>
      <c r="AB2828" s="102">
        <v>0</v>
      </c>
      <c r="AC2828" s="81">
        <f t="shared" si="136"/>
        <v>194.10589080260576</v>
      </c>
      <c r="AD2828" s="82">
        <f t="shared" si="137"/>
        <v>71.712857142857132</v>
      </c>
      <c r="AE2828" s="218">
        <v>1.2103290102769299E-2</v>
      </c>
      <c r="AF2828">
        <v>1</v>
      </c>
      <c r="AH2828" t="str">
        <f t="shared" si="135"/>
        <v>Singhia BMC</v>
      </c>
      <c r="AJ2828" s="72">
        <v>0</v>
      </c>
      <c r="AK2828" s="72"/>
      <c r="AL2828" s="72"/>
      <c r="AM2828" s="72"/>
    </row>
    <row r="2829" spans="1:39" x14ac:dyDescent="0.25">
      <c r="A2829" s="37" t="s">
        <v>62</v>
      </c>
      <c r="B2829" s="66" t="s">
        <v>1629</v>
      </c>
      <c r="C2829" s="4">
        <v>1062</v>
      </c>
      <c r="D2829" s="41" t="s">
        <v>1443</v>
      </c>
      <c r="E2829" s="41">
        <v>10640010</v>
      </c>
      <c r="F2829" s="85" t="s">
        <v>1485</v>
      </c>
      <c r="G2829" s="39" t="s">
        <v>635</v>
      </c>
      <c r="H2829" s="52" t="s">
        <v>99</v>
      </c>
      <c r="I2829" s="52">
        <v>413.40999999999997</v>
      </c>
      <c r="J2829" s="49">
        <v>15986.170000000002</v>
      </c>
      <c r="K2829" s="58">
        <v>0</v>
      </c>
      <c r="L2829" s="58">
        <v>0</v>
      </c>
      <c r="M2829" s="58">
        <v>0</v>
      </c>
      <c r="N2829" s="58">
        <v>0</v>
      </c>
      <c r="O2829" s="58">
        <v>0</v>
      </c>
      <c r="P2829" s="53">
        <v>0</v>
      </c>
      <c r="Q2829" s="65">
        <v>15986.170000000002</v>
      </c>
      <c r="R2829" s="65">
        <v>0</v>
      </c>
      <c r="S2829" s="65">
        <v>0</v>
      </c>
      <c r="T2829" s="65">
        <v>0</v>
      </c>
      <c r="U2829" s="58">
        <v>0</v>
      </c>
      <c r="V2829" s="65">
        <v>0</v>
      </c>
      <c r="W2829" s="65">
        <v>0</v>
      </c>
      <c r="X2829" s="65">
        <v>0</v>
      </c>
      <c r="Y2829" s="65">
        <v>0</v>
      </c>
      <c r="Z2829" s="51">
        <v>15986.170000000002</v>
      </c>
      <c r="AA2829" s="51">
        <v>0</v>
      </c>
      <c r="AB2829" s="102">
        <v>0</v>
      </c>
      <c r="AC2829" s="81">
        <f t="shared" si="136"/>
        <v>221.6432336082824</v>
      </c>
      <c r="AD2829" s="82">
        <f t="shared" si="137"/>
        <v>59.058571428571426</v>
      </c>
      <c r="AE2829" s="218">
        <v>0</v>
      </c>
      <c r="AF2829">
        <v>0</v>
      </c>
      <c r="AH2829" t="str">
        <f t="shared" si="135"/>
        <v>Singhia BMC</v>
      </c>
      <c r="AJ2829" s="72">
        <v>0</v>
      </c>
      <c r="AK2829" s="72"/>
      <c r="AL2829" s="72"/>
      <c r="AM2829" s="72"/>
    </row>
    <row r="2830" spans="1:39" x14ac:dyDescent="0.25">
      <c r="A2830" s="37" t="s">
        <v>62</v>
      </c>
      <c r="B2830" s="66" t="s">
        <v>1629</v>
      </c>
      <c r="C2830" s="4">
        <v>1062</v>
      </c>
      <c r="D2830" s="41" t="s">
        <v>1443</v>
      </c>
      <c r="E2830" s="41">
        <v>10640011</v>
      </c>
      <c r="F2830" s="85" t="s">
        <v>1486</v>
      </c>
      <c r="G2830" s="39" t="s">
        <v>635</v>
      </c>
      <c r="H2830" s="52" t="s">
        <v>99</v>
      </c>
      <c r="I2830" s="52">
        <v>216.77999999999997</v>
      </c>
      <c r="J2830" s="49">
        <v>9887.4599999999991</v>
      </c>
      <c r="K2830" s="58">
        <v>0</v>
      </c>
      <c r="L2830" s="58">
        <v>0</v>
      </c>
      <c r="M2830" s="58">
        <v>0</v>
      </c>
      <c r="N2830" s="58">
        <v>0</v>
      </c>
      <c r="O2830" s="58">
        <v>0</v>
      </c>
      <c r="P2830" s="53">
        <v>0</v>
      </c>
      <c r="Q2830" s="65">
        <v>9887.4599999999991</v>
      </c>
      <c r="R2830" s="65">
        <v>0</v>
      </c>
      <c r="S2830" s="65">
        <v>0</v>
      </c>
      <c r="T2830" s="65">
        <v>0</v>
      </c>
      <c r="U2830" s="58">
        <v>0</v>
      </c>
      <c r="V2830" s="65">
        <v>0</v>
      </c>
      <c r="W2830" s="65">
        <v>0</v>
      </c>
      <c r="X2830" s="65">
        <v>0</v>
      </c>
      <c r="Y2830" s="65">
        <v>0</v>
      </c>
      <c r="Z2830" s="51">
        <v>9887.4599999999991</v>
      </c>
      <c r="AA2830" s="51">
        <v>0</v>
      </c>
      <c r="AB2830" s="102">
        <v>0</v>
      </c>
      <c r="AC2830" s="81">
        <f t="shared" si="136"/>
        <v>440.79882103515087</v>
      </c>
      <c r="AD2830" s="82">
        <f t="shared" si="137"/>
        <v>30.968571428571426</v>
      </c>
      <c r="AE2830" s="218">
        <v>0</v>
      </c>
      <c r="AF2830">
        <v>0</v>
      </c>
      <c r="AH2830" t="str">
        <f t="shared" si="135"/>
        <v>Singhia BMC</v>
      </c>
      <c r="AJ2830" s="72">
        <v>0</v>
      </c>
      <c r="AK2830" s="72"/>
      <c r="AL2830" s="72"/>
      <c r="AM2830" s="72"/>
    </row>
    <row r="2831" spans="1:39" x14ac:dyDescent="0.25">
      <c r="A2831" s="37" t="s">
        <v>62</v>
      </c>
      <c r="B2831" s="66" t="s">
        <v>1629</v>
      </c>
      <c r="C2831" s="4">
        <v>1065</v>
      </c>
      <c r="D2831" s="41" t="s">
        <v>1473</v>
      </c>
      <c r="E2831" s="41">
        <v>10650001</v>
      </c>
      <c r="F2831" s="85" t="s">
        <v>1474</v>
      </c>
      <c r="G2831" s="39" t="s">
        <v>93</v>
      </c>
      <c r="H2831" s="52" t="s">
        <v>94</v>
      </c>
      <c r="I2831" s="52">
        <v>169.89999999999998</v>
      </c>
      <c r="J2831" s="49">
        <v>6415.1799999999994</v>
      </c>
      <c r="K2831" s="58">
        <v>168.8</v>
      </c>
      <c r="L2831" s="58">
        <v>6831.0559931759999</v>
      </c>
      <c r="M2831" s="58">
        <v>0</v>
      </c>
      <c r="N2831" s="58">
        <v>0</v>
      </c>
      <c r="O2831" s="58">
        <v>168.8</v>
      </c>
      <c r="P2831" s="53">
        <v>6831.0559931759999</v>
      </c>
      <c r="Q2831" s="65">
        <v>6415.1799999999994</v>
      </c>
      <c r="R2831" s="65">
        <v>0</v>
      </c>
      <c r="S2831" s="65">
        <v>0</v>
      </c>
      <c r="T2831" s="65">
        <v>415.87599317600052</v>
      </c>
      <c r="U2831" s="58">
        <v>0</v>
      </c>
      <c r="V2831" s="65">
        <v>0</v>
      </c>
      <c r="W2831" s="65">
        <v>0</v>
      </c>
      <c r="X2831" s="65">
        <v>6415</v>
      </c>
      <c r="Y2831" s="65">
        <v>0</v>
      </c>
      <c r="Z2831" s="51">
        <v>0</v>
      </c>
      <c r="AA2831" s="51">
        <v>0</v>
      </c>
      <c r="AB2831" s="102">
        <v>0</v>
      </c>
      <c r="AC2831" s="81">
        <f t="shared" si="136"/>
        <v>400.31629405532675</v>
      </c>
      <c r="AD2831" s="82">
        <f t="shared" si="137"/>
        <v>24.271428571428569</v>
      </c>
      <c r="AE2831" s="218">
        <v>-6.4826862718739081E-2</v>
      </c>
      <c r="AF2831">
        <v>3</v>
      </c>
      <c r="AH2831" t="str">
        <f t="shared" si="135"/>
        <v>Bachhwara BMC</v>
      </c>
      <c r="AJ2831" s="72">
        <v>0</v>
      </c>
      <c r="AK2831" s="72"/>
      <c r="AL2831" s="72"/>
      <c r="AM2831" s="72"/>
    </row>
    <row r="2832" spans="1:39" x14ac:dyDescent="0.25">
      <c r="A2832" s="37" t="s">
        <v>62</v>
      </c>
      <c r="B2832" s="66" t="s">
        <v>1629</v>
      </c>
      <c r="C2832" s="4">
        <v>1065</v>
      </c>
      <c r="D2832" s="41" t="s">
        <v>1473</v>
      </c>
      <c r="E2832" s="41">
        <v>10650003</v>
      </c>
      <c r="F2832" s="85" t="s">
        <v>1475</v>
      </c>
      <c r="G2832" s="39" t="s">
        <v>93</v>
      </c>
      <c r="H2832" s="52" t="s">
        <v>94</v>
      </c>
      <c r="I2832" s="52">
        <v>1090.9000000000001</v>
      </c>
      <c r="J2832" s="49">
        <v>44054.49</v>
      </c>
      <c r="K2832" s="58">
        <v>1091.2</v>
      </c>
      <c r="L2832" s="58">
        <v>43651.496792280093</v>
      </c>
      <c r="M2832" s="58">
        <v>0</v>
      </c>
      <c r="N2832" s="58">
        <v>0</v>
      </c>
      <c r="O2832" s="58">
        <v>1091.2</v>
      </c>
      <c r="P2832" s="53">
        <v>43651.496792280093</v>
      </c>
      <c r="Q2832" s="65">
        <v>43651.496792280093</v>
      </c>
      <c r="R2832" s="65">
        <v>0</v>
      </c>
      <c r="S2832" s="65">
        <v>0</v>
      </c>
      <c r="T2832" s="65">
        <v>0</v>
      </c>
      <c r="U2832" s="58">
        <v>0</v>
      </c>
      <c r="V2832" s="65">
        <v>0</v>
      </c>
      <c r="W2832" s="65">
        <v>0</v>
      </c>
      <c r="X2832" s="65">
        <v>43654</v>
      </c>
      <c r="Y2832" s="65">
        <v>0</v>
      </c>
      <c r="Z2832" s="51">
        <v>0</v>
      </c>
      <c r="AA2832" s="51">
        <v>400</v>
      </c>
      <c r="AB2832" s="102">
        <v>0</v>
      </c>
      <c r="AC2832" s="81">
        <f t="shared" si="136"/>
        <v>0</v>
      </c>
      <c r="AD2832" s="82">
        <f t="shared" si="137"/>
        <v>0</v>
      </c>
      <c r="AE2832" s="218">
        <v>9.1476080581095048E-3</v>
      </c>
      <c r="AF2832">
        <v>17</v>
      </c>
      <c r="AH2832" t="str">
        <f t="shared" si="135"/>
        <v>Bachhwara BMC</v>
      </c>
      <c r="AJ2832" s="72">
        <v>0</v>
      </c>
      <c r="AK2832" s="72"/>
      <c r="AL2832" s="72"/>
      <c r="AM2832" s="72"/>
    </row>
    <row r="2833" spans="1:39" x14ac:dyDescent="0.25">
      <c r="A2833" s="37" t="s">
        <v>62</v>
      </c>
      <c r="B2833" s="66" t="s">
        <v>1629</v>
      </c>
      <c r="C2833" s="4">
        <v>1065</v>
      </c>
      <c r="D2833" s="41" t="s">
        <v>1473</v>
      </c>
      <c r="E2833" s="41">
        <v>10650004</v>
      </c>
      <c r="F2833" s="85" t="s">
        <v>1530</v>
      </c>
      <c r="G2833" s="39" t="s">
        <v>93</v>
      </c>
      <c r="H2833" s="52" t="s">
        <v>94</v>
      </c>
      <c r="I2833" s="52">
        <v>391.09999999999997</v>
      </c>
      <c r="J2833" s="49">
        <v>15106.429999999998</v>
      </c>
      <c r="K2833" s="58">
        <v>404.30000000000013</v>
      </c>
      <c r="L2833" s="58">
        <v>15472.906818813675</v>
      </c>
      <c r="M2833" s="58">
        <v>0</v>
      </c>
      <c r="N2833" s="58">
        <v>0</v>
      </c>
      <c r="O2833" s="58">
        <v>404.30000000000013</v>
      </c>
      <c r="P2833" s="53">
        <v>15472.906818813675</v>
      </c>
      <c r="Q2833" s="65">
        <v>15106.429999999998</v>
      </c>
      <c r="R2833" s="65">
        <v>0</v>
      </c>
      <c r="S2833" s="65">
        <v>0</v>
      </c>
      <c r="T2833" s="65">
        <v>366.4768188136768</v>
      </c>
      <c r="U2833" s="58">
        <v>0</v>
      </c>
      <c r="V2833" s="65">
        <v>0</v>
      </c>
      <c r="W2833" s="65">
        <v>0</v>
      </c>
      <c r="X2833" s="65">
        <v>15106</v>
      </c>
      <c r="Y2833" s="65">
        <v>0</v>
      </c>
      <c r="Z2833" s="51">
        <v>0</v>
      </c>
      <c r="AA2833" s="51">
        <v>0</v>
      </c>
      <c r="AB2833" s="102">
        <v>0</v>
      </c>
      <c r="AC2833" s="81">
        <f t="shared" si="136"/>
        <v>238.62829082076198</v>
      </c>
      <c r="AD2833" s="82">
        <f t="shared" si="137"/>
        <v>55.871428571428567</v>
      </c>
      <c r="AE2833" s="218">
        <v>-2.4259657563943091E-2</v>
      </c>
      <c r="AF2833">
        <v>1</v>
      </c>
      <c r="AH2833" t="str">
        <f t="shared" si="135"/>
        <v>Bachhwara BMC</v>
      </c>
      <c r="AJ2833" s="72">
        <v>0</v>
      </c>
      <c r="AK2833" s="72"/>
      <c r="AL2833" s="72"/>
      <c r="AM2833" s="72"/>
    </row>
    <row r="2834" spans="1:39" x14ac:dyDescent="0.25">
      <c r="A2834" s="37" t="s">
        <v>62</v>
      </c>
      <c r="B2834" s="66" t="s">
        <v>1629</v>
      </c>
      <c r="C2834" s="4">
        <v>1065</v>
      </c>
      <c r="D2834" s="41" t="s">
        <v>1473</v>
      </c>
      <c r="E2834" s="41">
        <v>10650006</v>
      </c>
      <c r="F2834" s="85" t="s">
        <v>1476</v>
      </c>
      <c r="G2834" s="39" t="s">
        <v>635</v>
      </c>
      <c r="H2834" s="52" t="s">
        <v>99</v>
      </c>
      <c r="I2834" s="52">
        <v>58.3</v>
      </c>
      <c r="J2834" s="49">
        <v>2292.0799999999995</v>
      </c>
      <c r="K2834" s="58">
        <v>0</v>
      </c>
      <c r="L2834" s="58">
        <v>0</v>
      </c>
      <c r="M2834" s="58">
        <v>0</v>
      </c>
      <c r="N2834" s="58">
        <v>0</v>
      </c>
      <c r="O2834" s="58">
        <v>0</v>
      </c>
      <c r="P2834" s="53">
        <v>0</v>
      </c>
      <c r="Q2834" s="65">
        <v>2292.0799999999995</v>
      </c>
      <c r="R2834" s="65">
        <v>0</v>
      </c>
      <c r="S2834" s="65">
        <v>0</v>
      </c>
      <c r="T2834" s="65">
        <v>0</v>
      </c>
      <c r="U2834" s="58">
        <v>0</v>
      </c>
      <c r="V2834" s="65">
        <v>0</v>
      </c>
      <c r="W2834" s="65">
        <v>0</v>
      </c>
      <c r="X2834" s="65">
        <v>0</v>
      </c>
      <c r="Y2834" s="65">
        <v>0</v>
      </c>
      <c r="Z2834" s="51">
        <v>2292.0799999999995</v>
      </c>
      <c r="AA2834" s="51">
        <v>0</v>
      </c>
      <c r="AB2834" s="102">
        <v>0</v>
      </c>
      <c r="AC2834" s="81">
        <f t="shared" si="136"/>
        <v>504.57212212692963</v>
      </c>
      <c r="AD2834" s="82">
        <f t="shared" si="137"/>
        <v>8.3285714285714274</v>
      </c>
      <c r="AE2834" s="218">
        <v>0</v>
      </c>
      <c r="AF2834">
        <v>0</v>
      </c>
      <c r="AH2834" t="str">
        <f t="shared" si="135"/>
        <v>Bachhwara BMC</v>
      </c>
      <c r="AJ2834" s="72">
        <v>0</v>
      </c>
      <c r="AK2834" s="72"/>
      <c r="AL2834" s="72"/>
      <c r="AM2834" s="72"/>
    </row>
    <row r="2835" spans="1:39" x14ac:dyDescent="0.25">
      <c r="A2835" s="37" t="s">
        <v>62</v>
      </c>
      <c r="B2835" s="66" t="s">
        <v>1629</v>
      </c>
      <c r="C2835" s="4">
        <v>1065</v>
      </c>
      <c r="D2835" s="41" t="s">
        <v>1473</v>
      </c>
      <c r="E2835" s="41">
        <v>10650008</v>
      </c>
      <c r="F2835" s="85" t="s">
        <v>1555</v>
      </c>
      <c r="G2835" s="39" t="s">
        <v>635</v>
      </c>
      <c r="H2835" s="52" t="s">
        <v>99</v>
      </c>
      <c r="I2835" s="52">
        <v>93.6</v>
      </c>
      <c r="J2835" s="49">
        <v>3356.5400000000004</v>
      </c>
      <c r="K2835" s="58">
        <v>0</v>
      </c>
      <c r="L2835" s="58">
        <v>0</v>
      </c>
      <c r="M2835" s="58">
        <v>0</v>
      </c>
      <c r="N2835" s="58">
        <v>0</v>
      </c>
      <c r="O2835" s="58">
        <v>0</v>
      </c>
      <c r="P2835" s="53">
        <v>0</v>
      </c>
      <c r="Q2835" s="65">
        <v>3356.5400000000004</v>
      </c>
      <c r="R2835" s="65">
        <v>0</v>
      </c>
      <c r="S2835" s="65">
        <v>0</v>
      </c>
      <c r="T2835" s="65">
        <v>0</v>
      </c>
      <c r="U2835" s="58">
        <v>0</v>
      </c>
      <c r="V2835" s="65">
        <v>0</v>
      </c>
      <c r="W2835" s="65">
        <v>0</v>
      </c>
      <c r="X2835" s="65">
        <v>0</v>
      </c>
      <c r="Y2835" s="65">
        <v>0</v>
      </c>
      <c r="Z2835" s="51">
        <v>3356.5400000000004</v>
      </c>
      <c r="AA2835" s="51">
        <v>0</v>
      </c>
      <c r="AB2835" s="102">
        <v>0</v>
      </c>
      <c r="AC2835" s="81">
        <f t="shared" si="136"/>
        <v>434.91578119658129</v>
      </c>
      <c r="AD2835" s="82">
        <f t="shared" si="137"/>
        <v>13.37142857142857</v>
      </c>
      <c r="AE2835" s="218">
        <v>0</v>
      </c>
      <c r="AF2835">
        <v>0</v>
      </c>
      <c r="AH2835" t="str">
        <f t="shared" si="135"/>
        <v>Bachhwara BMC</v>
      </c>
      <c r="AJ2835" s="72">
        <v>0</v>
      </c>
      <c r="AK2835" s="72"/>
      <c r="AL2835" s="72"/>
      <c r="AM2835" s="72"/>
    </row>
    <row r="2836" spans="1:39" x14ac:dyDescent="0.25">
      <c r="A2836" s="37" t="s">
        <v>62</v>
      </c>
      <c r="B2836" s="66" t="s">
        <v>1629</v>
      </c>
      <c r="C2836" s="4">
        <v>1065</v>
      </c>
      <c r="D2836" s="41" t="s">
        <v>1473</v>
      </c>
      <c r="E2836" s="41">
        <v>10650011</v>
      </c>
      <c r="F2836" s="85" t="s">
        <v>1560</v>
      </c>
      <c r="G2836" s="39" t="s">
        <v>93</v>
      </c>
      <c r="H2836" s="52" t="s">
        <v>94</v>
      </c>
      <c r="I2836" s="52">
        <v>417.5</v>
      </c>
      <c r="J2836" s="49">
        <v>16619.68</v>
      </c>
      <c r="K2836" s="58">
        <v>410.29999999999995</v>
      </c>
      <c r="L2836" s="58">
        <v>16433.219357280002</v>
      </c>
      <c r="M2836" s="58">
        <v>0</v>
      </c>
      <c r="N2836" s="58">
        <v>0</v>
      </c>
      <c r="O2836" s="58">
        <v>410.29999999999995</v>
      </c>
      <c r="P2836" s="53">
        <v>16433.219357280002</v>
      </c>
      <c r="Q2836" s="65">
        <v>16433.219357280002</v>
      </c>
      <c r="R2836" s="65">
        <v>0</v>
      </c>
      <c r="S2836" s="65">
        <v>0</v>
      </c>
      <c r="T2836" s="65">
        <v>0</v>
      </c>
      <c r="U2836" s="58">
        <v>0</v>
      </c>
      <c r="V2836" s="65">
        <v>0</v>
      </c>
      <c r="W2836" s="65">
        <v>0</v>
      </c>
      <c r="X2836" s="65">
        <v>16433</v>
      </c>
      <c r="Y2836" s="65">
        <v>0</v>
      </c>
      <c r="Z2836" s="51">
        <v>0</v>
      </c>
      <c r="AA2836" s="51">
        <v>187</v>
      </c>
      <c r="AB2836" s="102">
        <v>0</v>
      </c>
      <c r="AC2836" s="81">
        <f t="shared" si="136"/>
        <v>224.9130347305389</v>
      </c>
      <c r="AD2836" s="82">
        <f t="shared" si="137"/>
        <v>59.642857142857146</v>
      </c>
      <c r="AE2836" s="218">
        <v>1.1219267923329321E-2</v>
      </c>
      <c r="AF2836">
        <v>8</v>
      </c>
      <c r="AH2836" t="str">
        <f t="shared" si="135"/>
        <v>Bachhwara BMC</v>
      </c>
      <c r="AJ2836" s="72">
        <v>0</v>
      </c>
      <c r="AK2836" s="72"/>
      <c r="AL2836" s="72"/>
      <c r="AM2836" s="72"/>
    </row>
    <row r="2837" spans="1:39" x14ac:dyDescent="0.25">
      <c r="A2837" s="37" t="s">
        <v>62</v>
      </c>
      <c r="B2837" s="66" t="s">
        <v>1629</v>
      </c>
      <c r="C2837" s="4">
        <v>1065</v>
      </c>
      <c r="D2837" s="41" t="s">
        <v>1473</v>
      </c>
      <c r="E2837" s="41">
        <v>10650012</v>
      </c>
      <c r="F2837" s="85" t="s">
        <v>1541</v>
      </c>
      <c r="G2837" s="39" t="s">
        <v>635</v>
      </c>
      <c r="H2837" s="52" t="s">
        <v>99</v>
      </c>
      <c r="I2837" s="52">
        <v>572.79999999999995</v>
      </c>
      <c r="J2837" s="49">
        <v>20974.809999999998</v>
      </c>
      <c r="K2837" s="58">
        <v>0</v>
      </c>
      <c r="L2837" s="58">
        <v>0</v>
      </c>
      <c r="M2837" s="58">
        <v>0</v>
      </c>
      <c r="N2837" s="58">
        <v>0</v>
      </c>
      <c r="O2837" s="58">
        <v>0</v>
      </c>
      <c r="P2837" s="53">
        <v>0</v>
      </c>
      <c r="Q2837" s="65">
        <v>20974.809999999998</v>
      </c>
      <c r="R2837" s="65">
        <v>0</v>
      </c>
      <c r="S2837" s="65">
        <v>0</v>
      </c>
      <c r="T2837" s="65">
        <v>0</v>
      </c>
      <c r="U2837" s="58">
        <v>0</v>
      </c>
      <c r="V2837" s="65">
        <v>0</v>
      </c>
      <c r="W2837" s="65">
        <v>0</v>
      </c>
      <c r="X2837" s="65">
        <v>0</v>
      </c>
      <c r="Y2837" s="65">
        <v>0</v>
      </c>
      <c r="Z2837" s="51">
        <v>20974.809999999998</v>
      </c>
      <c r="AA2837" s="51">
        <v>0</v>
      </c>
      <c r="AB2837" s="102">
        <v>0</v>
      </c>
      <c r="AC2837" s="81">
        <f t="shared" si="136"/>
        <v>93.15627905027938</v>
      </c>
      <c r="AD2837" s="82">
        <f t="shared" si="137"/>
        <v>81.828571428571422</v>
      </c>
      <c r="AE2837" s="218">
        <v>0</v>
      </c>
      <c r="AF2837">
        <v>0</v>
      </c>
      <c r="AH2837" t="str">
        <f t="shared" si="135"/>
        <v>Bachhwara BMC</v>
      </c>
      <c r="AJ2837" s="72">
        <v>0</v>
      </c>
      <c r="AK2837" s="72"/>
      <c r="AL2837" s="72"/>
      <c r="AM2837" s="72"/>
    </row>
    <row r="2838" spans="1:39" x14ac:dyDescent="0.25">
      <c r="A2838" s="37" t="s">
        <v>62</v>
      </c>
      <c r="B2838" s="66" t="s">
        <v>1629</v>
      </c>
      <c r="C2838" s="4">
        <v>1066</v>
      </c>
      <c r="D2838" s="41" t="s">
        <v>1590</v>
      </c>
      <c r="E2838" s="41">
        <v>10660001</v>
      </c>
      <c r="F2838" s="85" t="s">
        <v>1598</v>
      </c>
      <c r="G2838" s="39" t="s">
        <v>93</v>
      </c>
      <c r="H2838" s="52" t="s">
        <v>94</v>
      </c>
      <c r="I2838" s="52">
        <v>249.00000000000003</v>
      </c>
      <c r="J2838" s="49">
        <v>13667.319999999998</v>
      </c>
      <c r="K2838" s="58">
        <v>247.99999999999997</v>
      </c>
      <c r="L2838" s="58">
        <v>13880.637748025401</v>
      </c>
      <c r="M2838" s="58">
        <v>0</v>
      </c>
      <c r="N2838" s="58">
        <v>0</v>
      </c>
      <c r="O2838" s="58">
        <v>247.99999999999997</v>
      </c>
      <c r="P2838" s="53">
        <v>13880.637748025401</v>
      </c>
      <c r="Q2838" s="65">
        <v>13667.319999999998</v>
      </c>
      <c r="R2838" s="65">
        <v>0</v>
      </c>
      <c r="S2838" s="65">
        <v>0</v>
      </c>
      <c r="T2838" s="65">
        <v>213.31774802540349</v>
      </c>
      <c r="U2838" s="58">
        <v>0</v>
      </c>
      <c r="V2838" s="65">
        <v>0</v>
      </c>
      <c r="W2838" s="65">
        <v>0</v>
      </c>
      <c r="X2838" s="65">
        <v>13667</v>
      </c>
      <c r="Y2838" s="65">
        <v>0</v>
      </c>
      <c r="Z2838" s="51">
        <v>0</v>
      </c>
      <c r="AA2838" s="51">
        <v>0</v>
      </c>
      <c r="AB2838" s="102">
        <v>0</v>
      </c>
      <c r="AC2838" s="81">
        <f t="shared" si="136"/>
        <v>495.09729477911623</v>
      </c>
      <c r="AD2838" s="82">
        <f t="shared" si="137"/>
        <v>35.571428571428577</v>
      </c>
      <c r="AE2838" s="218">
        <v>-1.5607869576874144E-2</v>
      </c>
      <c r="AF2838">
        <v>2</v>
      </c>
      <c r="AH2838" t="str">
        <f t="shared" si="135"/>
        <v>Gaighat</v>
      </c>
      <c r="AJ2838" s="72">
        <v>0</v>
      </c>
      <c r="AK2838" s="72"/>
      <c r="AL2838" s="72"/>
      <c r="AM2838" s="72"/>
    </row>
    <row r="2839" spans="1:39" x14ac:dyDescent="0.25">
      <c r="A2839" s="37" t="s">
        <v>62</v>
      </c>
      <c r="B2839" s="66" t="s">
        <v>1629</v>
      </c>
      <c r="C2839" s="4">
        <v>1066</v>
      </c>
      <c r="D2839" s="41" t="s">
        <v>1590</v>
      </c>
      <c r="E2839" s="41">
        <v>10660002</v>
      </c>
      <c r="F2839" s="85" t="s">
        <v>1599</v>
      </c>
      <c r="G2839" s="39" t="s">
        <v>93</v>
      </c>
      <c r="H2839" s="52" t="s">
        <v>94</v>
      </c>
      <c r="I2839" s="52">
        <v>220.60000000000008</v>
      </c>
      <c r="J2839" s="49">
        <v>9145.4499999999989</v>
      </c>
      <c r="K2839" s="58">
        <v>215.3</v>
      </c>
      <c r="L2839" s="58">
        <v>9034.2677000994809</v>
      </c>
      <c r="M2839" s="58">
        <v>5</v>
      </c>
      <c r="N2839" s="58">
        <v>204.55532341200001</v>
      </c>
      <c r="O2839" s="58">
        <v>220.3</v>
      </c>
      <c r="P2839" s="53">
        <v>9238.8230235114806</v>
      </c>
      <c r="Q2839" s="65">
        <v>9145.4499999999989</v>
      </c>
      <c r="R2839" s="65">
        <v>0</v>
      </c>
      <c r="S2839" s="65">
        <v>204.55532341200001</v>
      </c>
      <c r="T2839" s="65">
        <v>93.373023511481733</v>
      </c>
      <c r="U2839" s="58">
        <v>0</v>
      </c>
      <c r="V2839" s="65">
        <v>0</v>
      </c>
      <c r="W2839" s="65">
        <v>0</v>
      </c>
      <c r="X2839" s="65">
        <v>8941</v>
      </c>
      <c r="Y2839" s="65">
        <v>0</v>
      </c>
      <c r="Z2839" s="51">
        <v>0</v>
      </c>
      <c r="AA2839" s="51">
        <v>0</v>
      </c>
      <c r="AB2839" s="102">
        <v>0</v>
      </c>
      <c r="AC2839" s="81">
        <f t="shared" si="136"/>
        <v>397.49127198549382</v>
      </c>
      <c r="AD2839" s="82">
        <f t="shared" si="137"/>
        <v>31.514285714285727</v>
      </c>
      <c r="AE2839" s="218">
        <v>-1.0209779017050198E-2</v>
      </c>
      <c r="AF2839">
        <v>6</v>
      </c>
      <c r="AH2839" t="str">
        <f t="shared" si="135"/>
        <v>Gaighat</v>
      </c>
      <c r="AJ2839" s="72">
        <v>0</v>
      </c>
      <c r="AK2839" s="72"/>
      <c r="AL2839" s="72"/>
      <c r="AM2839" s="72"/>
    </row>
    <row r="2840" spans="1:39" x14ac:dyDescent="0.25">
      <c r="A2840" s="37" t="s">
        <v>62</v>
      </c>
      <c r="B2840" s="66" t="s">
        <v>1629</v>
      </c>
      <c r="C2840" s="4">
        <v>1066</v>
      </c>
      <c r="D2840" s="41" t="s">
        <v>1590</v>
      </c>
      <c r="E2840" s="41">
        <v>10660004</v>
      </c>
      <c r="F2840" s="85" t="s">
        <v>1600</v>
      </c>
      <c r="G2840" s="39" t="s">
        <v>93</v>
      </c>
      <c r="H2840" s="52" t="s">
        <v>94</v>
      </c>
      <c r="I2840" s="52">
        <v>287.30000000000013</v>
      </c>
      <c r="J2840" s="49">
        <v>12099.079999999998</v>
      </c>
      <c r="K2840" s="58">
        <v>286.40000000000003</v>
      </c>
      <c r="L2840" s="58">
        <v>12095.384491115601</v>
      </c>
      <c r="M2840" s="58">
        <v>2.6000000000000005</v>
      </c>
      <c r="N2840" s="58">
        <v>106.09826717519999</v>
      </c>
      <c r="O2840" s="58">
        <v>289.00000000000006</v>
      </c>
      <c r="P2840" s="53">
        <v>12201.482758290802</v>
      </c>
      <c r="Q2840" s="65">
        <v>12099.079999999998</v>
      </c>
      <c r="R2840" s="65">
        <v>0</v>
      </c>
      <c r="S2840" s="65">
        <v>106.09826717519999</v>
      </c>
      <c r="T2840" s="65">
        <v>102.40275829080383</v>
      </c>
      <c r="U2840" s="58">
        <v>0</v>
      </c>
      <c r="V2840" s="65">
        <v>0</v>
      </c>
      <c r="W2840" s="65">
        <v>0</v>
      </c>
      <c r="X2840" s="65">
        <v>11993</v>
      </c>
      <c r="Y2840" s="65">
        <v>0</v>
      </c>
      <c r="Z2840" s="51">
        <v>0</v>
      </c>
      <c r="AA2840" s="51">
        <v>0</v>
      </c>
      <c r="AB2840" s="102">
        <v>0</v>
      </c>
      <c r="AC2840" s="81">
        <f t="shared" si="136"/>
        <v>347.60113581621971</v>
      </c>
      <c r="AD2840" s="82">
        <f t="shared" si="137"/>
        <v>41.042857142857159</v>
      </c>
      <c r="AE2840" s="218">
        <v>-8.4636813948501741E-3</v>
      </c>
      <c r="AF2840">
        <v>9</v>
      </c>
      <c r="AH2840" t="str">
        <f t="shared" si="135"/>
        <v>Gaighat</v>
      </c>
      <c r="AJ2840" s="72">
        <v>0</v>
      </c>
      <c r="AK2840" s="72"/>
      <c r="AL2840" s="72"/>
      <c r="AM2840" s="72"/>
    </row>
    <row r="2841" spans="1:39" x14ac:dyDescent="0.25">
      <c r="A2841" s="37" t="s">
        <v>62</v>
      </c>
      <c r="B2841" s="66" t="s">
        <v>1629</v>
      </c>
      <c r="C2841" s="4">
        <v>1066</v>
      </c>
      <c r="D2841" s="41" t="s">
        <v>1590</v>
      </c>
      <c r="E2841" s="41">
        <v>10660005</v>
      </c>
      <c r="F2841" s="85" t="s">
        <v>1601</v>
      </c>
      <c r="G2841" s="39" t="s">
        <v>93</v>
      </c>
      <c r="H2841" s="52" t="s">
        <v>94</v>
      </c>
      <c r="I2841" s="52">
        <v>167</v>
      </c>
      <c r="J2841" s="49">
        <v>7664.4699999999993</v>
      </c>
      <c r="K2841" s="58">
        <v>165.59999999999997</v>
      </c>
      <c r="L2841" s="58">
        <v>7777.7642952581</v>
      </c>
      <c r="M2841" s="58">
        <v>0.7</v>
      </c>
      <c r="N2841" s="58">
        <v>42.218150461199997</v>
      </c>
      <c r="O2841" s="58">
        <v>166.29999999999995</v>
      </c>
      <c r="P2841" s="53">
        <v>7819.9824457192999</v>
      </c>
      <c r="Q2841" s="65">
        <v>7664.4699999999993</v>
      </c>
      <c r="R2841" s="65">
        <v>0</v>
      </c>
      <c r="S2841" s="65">
        <v>42.218150461199997</v>
      </c>
      <c r="T2841" s="65">
        <v>155.51244571930056</v>
      </c>
      <c r="U2841" s="58">
        <v>0</v>
      </c>
      <c r="V2841" s="65">
        <v>0</v>
      </c>
      <c r="W2841" s="65">
        <v>0</v>
      </c>
      <c r="X2841" s="65">
        <v>7622</v>
      </c>
      <c r="Y2841" s="65">
        <v>0</v>
      </c>
      <c r="Z2841" s="51">
        <v>0</v>
      </c>
      <c r="AA2841" s="51">
        <v>0</v>
      </c>
      <c r="AB2841" s="102">
        <v>0</v>
      </c>
      <c r="AC2841" s="81">
        <f t="shared" si="136"/>
        <v>489.2410191616766</v>
      </c>
      <c r="AD2841" s="82">
        <f t="shared" si="137"/>
        <v>23.857142857142858</v>
      </c>
      <c r="AE2841" s="218">
        <v>-2.0290045589492892E-2</v>
      </c>
      <c r="AF2841">
        <v>7</v>
      </c>
      <c r="AH2841" t="str">
        <f t="shared" si="135"/>
        <v>Gaighat</v>
      </c>
      <c r="AJ2841" s="72">
        <v>0</v>
      </c>
      <c r="AK2841" s="72"/>
      <c r="AL2841" s="72"/>
      <c r="AM2841" s="72"/>
    </row>
    <row r="2842" spans="1:39" x14ac:dyDescent="0.25">
      <c r="A2842" s="37" t="s">
        <v>62</v>
      </c>
      <c r="B2842" s="66" t="s">
        <v>1629</v>
      </c>
      <c r="C2842" s="4">
        <v>1066</v>
      </c>
      <c r="D2842" s="41" t="s">
        <v>1590</v>
      </c>
      <c r="E2842" s="41">
        <v>10660006</v>
      </c>
      <c r="F2842" s="85" t="s">
        <v>1602</v>
      </c>
      <c r="G2842" s="39" t="s">
        <v>93</v>
      </c>
      <c r="H2842" s="52" t="s">
        <v>94</v>
      </c>
      <c r="I2842" s="52">
        <v>175.99999999999994</v>
      </c>
      <c r="J2842" s="49">
        <v>7473.0699999999988</v>
      </c>
      <c r="K2842" s="58">
        <v>169.79999999999995</v>
      </c>
      <c r="L2842" s="58">
        <v>7143.4069517306907</v>
      </c>
      <c r="M2842" s="58">
        <v>2.4</v>
      </c>
      <c r="N2842" s="58">
        <v>96.270261120000015</v>
      </c>
      <c r="O2842" s="58">
        <v>172.19999999999996</v>
      </c>
      <c r="P2842" s="53">
        <v>7239.6772128506909</v>
      </c>
      <c r="Q2842" s="65">
        <v>7239.6772128506909</v>
      </c>
      <c r="R2842" s="65">
        <v>0</v>
      </c>
      <c r="S2842" s="65">
        <v>96.270261120000015</v>
      </c>
      <c r="T2842" s="65">
        <v>0</v>
      </c>
      <c r="U2842" s="58">
        <v>0</v>
      </c>
      <c r="V2842" s="65">
        <v>0</v>
      </c>
      <c r="W2842" s="65">
        <v>0</v>
      </c>
      <c r="X2842" s="65">
        <v>7143</v>
      </c>
      <c r="Y2842" s="65">
        <v>0</v>
      </c>
      <c r="Z2842" s="51">
        <v>0</v>
      </c>
      <c r="AA2842" s="51">
        <v>234</v>
      </c>
      <c r="AB2842" s="102">
        <v>0</v>
      </c>
      <c r="AC2842" s="81">
        <f t="shared" si="136"/>
        <v>444.98735000000011</v>
      </c>
      <c r="AD2842" s="82">
        <f t="shared" si="137"/>
        <v>25.142857142857135</v>
      </c>
      <c r="AE2842" s="218">
        <v>3.1231179040114427E-2</v>
      </c>
      <c r="AF2842">
        <v>7</v>
      </c>
      <c r="AH2842" t="str">
        <f t="shared" si="135"/>
        <v>Gaighat</v>
      </c>
      <c r="AJ2842" s="72">
        <v>0</v>
      </c>
      <c r="AK2842" s="72"/>
      <c r="AL2842" s="72"/>
      <c r="AM2842" s="72"/>
    </row>
    <row r="2843" spans="1:39" x14ac:dyDescent="0.25">
      <c r="A2843" s="37" t="s">
        <v>62</v>
      </c>
      <c r="B2843" s="66" t="s">
        <v>1629</v>
      </c>
      <c r="C2843" s="4">
        <v>1066</v>
      </c>
      <c r="D2843" s="41" t="s">
        <v>1590</v>
      </c>
      <c r="E2843" s="41">
        <v>10660007</v>
      </c>
      <c r="F2843" s="85" t="s">
        <v>1603</v>
      </c>
      <c r="G2843" s="39" t="s">
        <v>635</v>
      </c>
      <c r="H2843" s="52" t="s">
        <v>99</v>
      </c>
      <c r="I2843" s="52">
        <v>75.800000000000011</v>
      </c>
      <c r="J2843" s="49">
        <v>3017.9700000000003</v>
      </c>
      <c r="K2843" s="58">
        <v>0</v>
      </c>
      <c r="L2843" s="58">
        <v>0</v>
      </c>
      <c r="M2843" s="58">
        <v>0</v>
      </c>
      <c r="N2843" s="58">
        <v>0</v>
      </c>
      <c r="O2843" s="58">
        <v>0</v>
      </c>
      <c r="P2843" s="53">
        <v>0</v>
      </c>
      <c r="Q2843" s="65">
        <v>3017.9700000000003</v>
      </c>
      <c r="R2843" s="65">
        <v>0</v>
      </c>
      <c r="S2843" s="65">
        <v>0</v>
      </c>
      <c r="T2843" s="65">
        <v>0</v>
      </c>
      <c r="U2843" s="58">
        <v>0</v>
      </c>
      <c r="V2843" s="65">
        <v>0</v>
      </c>
      <c r="W2843" s="65">
        <v>0</v>
      </c>
      <c r="X2843" s="65">
        <v>0</v>
      </c>
      <c r="Y2843" s="65">
        <v>0</v>
      </c>
      <c r="Z2843" s="51">
        <v>3017.9700000000003</v>
      </c>
      <c r="AA2843" s="51">
        <v>0</v>
      </c>
      <c r="AB2843" s="102">
        <v>0</v>
      </c>
      <c r="AC2843" s="81">
        <f t="shared" si="136"/>
        <v>497.04930712401051</v>
      </c>
      <c r="AD2843" s="82">
        <f t="shared" si="137"/>
        <v>10.828571428571431</v>
      </c>
      <c r="AE2843" s="218">
        <v>0</v>
      </c>
      <c r="AF2843">
        <v>0</v>
      </c>
      <c r="AH2843" t="str">
        <f t="shared" si="135"/>
        <v>Gaighat</v>
      </c>
      <c r="AJ2843" s="72">
        <v>0</v>
      </c>
      <c r="AK2843" s="72"/>
      <c r="AL2843" s="72"/>
      <c r="AM2843" s="72"/>
    </row>
    <row r="2844" spans="1:39" x14ac:dyDescent="0.25">
      <c r="A2844" s="37" t="s">
        <v>62</v>
      </c>
      <c r="B2844" s="66" t="s">
        <v>1629</v>
      </c>
      <c r="C2844" s="4">
        <v>1066</v>
      </c>
      <c r="D2844" s="41" t="s">
        <v>1590</v>
      </c>
      <c r="E2844" s="41">
        <v>10660010</v>
      </c>
      <c r="F2844" s="85" t="s">
        <v>1605</v>
      </c>
      <c r="G2844" s="39" t="s">
        <v>635</v>
      </c>
      <c r="H2844" s="52" t="s">
        <v>99</v>
      </c>
      <c r="I2844" s="52">
        <v>5527.0000000000018</v>
      </c>
      <c r="J2844" s="49">
        <v>221747.33999999994</v>
      </c>
      <c r="K2844" s="58">
        <v>0</v>
      </c>
      <c r="L2844" s="58">
        <v>0</v>
      </c>
      <c r="M2844" s="58">
        <v>0</v>
      </c>
      <c r="N2844" s="58">
        <v>0</v>
      </c>
      <c r="O2844" s="58">
        <v>0</v>
      </c>
      <c r="P2844" s="53">
        <v>0</v>
      </c>
      <c r="Q2844" s="65">
        <v>221747.33999999994</v>
      </c>
      <c r="R2844" s="65">
        <v>0</v>
      </c>
      <c r="S2844" s="65">
        <v>0</v>
      </c>
      <c r="T2844" s="65">
        <v>0</v>
      </c>
      <c r="U2844" s="58">
        <v>0</v>
      </c>
      <c r="V2844" s="65">
        <v>0</v>
      </c>
      <c r="W2844" s="65">
        <v>0</v>
      </c>
      <c r="X2844" s="65">
        <v>0</v>
      </c>
      <c r="Y2844" s="65">
        <v>0</v>
      </c>
      <c r="Z2844" s="51">
        <v>221747.33999999994</v>
      </c>
      <c r="AA2844" s="51">
        <v>0</v>
      </c>
      <c r="AB2844" s="102">
        <v>0</v>
      </c>
      <c r="AC2844" s="81">
        <f t="shared" si="136"/>
        <v>0</v>
      </c>
      <c r="AD2844" s="82">
        <f t="shared" si="137"/>
        <v>0</v>
      </c>
      <c r="AE2844" s="218">
        <v>0</v>
      </c>
      <c r="AF2844">
        <v>0</v>
      </c>
      <c r="AH2844" t="str">
        <f t="shared" si="135"/>
        <v>Gaighat</v>
      </c>
      <c r="AJ2844" s="72">
        <v>0</v>
      </c>
      <c r="AK2844" s="72"/>
      <c r="AL2844" s="72"/>
      <c r="AM2844" s="72"/>
    </row>
    <row r="2845" spans="1:39" x14ac:dyDescent="0.25">
      <c r="A2845" s="37" t="s">
        <v>62</v>
      </c>
      <c r="B2845" s="66" t="s">
        <v>1629</v>
      </c>
      <c r="C2845" s="4">
        <v>1066</v>
      </c>
      <c r="D2845" s="41" t="s">
        <v>1590</v>
      </c>
      <c r="E2845" s="41">
        <v>10660011</v>
      </c>
      <c r="F2845" s="85" t="s">
        <v>1606</v>
      </c>
      <c r="G2845" s="39" t="s">
        <v>635</v>
      </c>
      <c r="H2845" s="52" t="s">
        <v>99</v>
      </c>
      <c r="I2845" s="52">
        <v>964.89999999999986</v>
      </c>
      <c r="J2845" s="49">
        <v>38596</v>
      </c>
      <c r="K2845" s="58">
        <v>0</v>
      </c>
      <c r="L2845" s="58">
        <v>0</v>
      </c>
      <c r="M2845" s="58">
        <v>0</v>
      </c>
      <c r="N2845" s="58">
        <v>0</v>
      </c>
      <c r="O2845" s="58">
        <v>0</v>
      </c>
      <c r="P2845" s="53">
        <v>0</v>
      </c>
      <c r="Q2845" s="65">
        <v>38596</v>
      </c>
      <c r="R2845" s="65">
        <v>0</v>
      </c>
      <c r="S2845" s="65">
        <v>0</v>
      </c>
      <c r="T2845" s="65">
        <v>0</v>
      </c>
      <c r="U2845" s="58">
        <v>0</v>
      </c>
      <c r="V2845" s="65">
        <v>0</v>
      </c>
      <c r="W2845" s="65">
        <v>0</v>
      </c>
      <c r="X2845" s="65">
        <v>0</v>
      </c>
      <c r="Y2845" s="65">
        <v>0</v>
      </c>
      <c r="Z2845" s="51">
        <v>38596</v>
      </c>
      <c r="AA2845" s="51">
        <v>0</v>
      </c>
      <c r="AB2845" s="102">
        <v>0</v>
      </c>
      <c r="AC2845" s="81">
        <f t="shared" si="136"/>
        <v>0</v>
      </c>
      <c r="AD2845" s="82">
        <f t="shared" si="137"/>
        <v>0</v>
      </c>
      <c r="AE2845" s="218">
        <v>0</v>
      </c>
      <c r="AF2845">
        <v>0</v>
      </c>
      <c r="AH2845" t="str">
        <f t="shared" si="135"/>
        <v>Gaighat</v>
      </c>
      <c r="AJ2845" s="72">
        <v>0</v>
      </c>
      <c r="AK2845" s="72"/>
      <c r="AL2845" s="72"/>
      <c r="AM2845" s="72"/>
    </row>
    <row r="2846" spans="1:39" x14ac:dyDescent="0.25">
      <c r="A2846" s="37" t="s">
        <v>62</v>
      </c>
      <c r="B2846" s="66" t="s">
        <v>1629</v>
      </c>
      <c r="C2846" s="4">
        <v>1066</v>
      </c>
      <c r="D2846" s="41" t="s">
        <v>1590</v>
      </c>
      <c r="E2846" s="41">
        <v>10660012</v>
      </c>
      <c r="F2846" s="85" t="s">
        <v>1628</v>
      </c>
      <c r="G2846" s="39" t="s">
        <v>635</v>
      </c>
      <c r="H2846" s="52" t="s">
        <v>99</v>
      </c>
      <c r="I2846" s="52">
        <v>93.9</v>
      </c>
      <c r="J2846" s="49">
        <v>4860.04</v>
      </c>
      <c r="K2846" s="58">
        <v>0</v>
      </c>
      <c r="L2846" s="58">
        <v>0</v>
      </c>
      <c r="M2846" s="58">
        <v>0</v>
      </c>
      <c r="N2846" s="58">
        <v>0</v>
      </c>
      <c r="O2846" s="58">
        <v>0</v>
      </c>
      <c r="P2846" s="53">
        <v>0</v>
      </c>
      <c r="Q2846" s="65">
        <v>4860.04</v>
      </c>
      <c r="R2846" s="65">
        <v>0</v>
      </c>
      <c r="S2846" s="65">
        <v>0</v>
      </c>
      <c r="T2846" s="65">
        <v>0</v>
      </c>
      <c r="U2846" s="58">
        <v>0</v>
      </c>
      <c r="V2846" s="65">
        <v>0</v>
      </c>
      <c r="W2846" s="65">
        <v>0</v>
      </c>
      <c r="X2846" s="65">
        <v>0</v>
      </c>
      <c r="Y2846" s="65">
        <v>0</v>
      </c>
      <c r="Z2846" s="51">
        <v>4860.04</v>
      </c>
      <c r="AA2846" s="51">
        <v>0</v>
      </c>
      <c r="AB2846" s="102">
        <v>0</v>
      </c>
      <c r="AC2846" s="81">
        <f t="shared" si="136"/>
        <v>627.40580276890307</v>
      </c>
      <c r="AD2846" s="82">
        <f t="shared" si="137"/>
        <v>13.414285714285715</v>
      </c>
      <c r="AE2846" s="218">
        <v>0</v>
      </c>
      <c r="AF2846">
        <v>0</v>
      </c>
      <c r="AH2846" t="str">
        <f t="shared" si="135"/>
        <v>Gaighat</v>
      </c>
      <c r="AJ2846" s="72">
        <v>0</v>
      </c>
      <c r="AK2846" s="72"/>
      <c r="AL2846" s="72"/>
      <c r="AM2846" s="72"/>
    </row>
    <row r="2847" spans="1:39" x14ac:dyDescent="0.25">
      <c r="A2847" s="37" t="s">
        <v>62</v>
      </c>
      <c r="B2847" s="66" t="s">
        <v>1629</v>
      </c>
      <c r="C2847" s="4">
        <v>1066</v>
      </c>
      <c r="D2847" s="41" t="s">
        <v>1590</v>
      </c>
      <c r="E2847" s="41">
        <v>10660013</v>
      </c>
      <c r="F2847" s="85" t="s">
        <v>1607</v>
      </c>
      <c r="G2847" s="39" t="s">
        <v>93</v>
      </c>
      <c r="H2847" s="52" t="s">
        <v>94</v>
      </c>
      <c r="I2847" s="52">
        <v>316.2</v>
      </c>
      <c r="J2847" s="49">
        <v>12932.26</v>
      </c>
      <c r="K2847" s="58">
        <v>311.99999999999994</v>
      </c>
      <c r="L2847" s="58">
        <v>12627.808141830808</v>
      </c>
      <c r="M2847" s="58">
        <v>0</v>
      </c>
      <c r="N2847" s="58">
        <v>0</v>
      </c>
      <c r="O2847" s="58">
        <v>311.99999999999994</v>
      </c>
      <c r="P2847" s="53">
        <v>12627.808141830808</v>
      </c>
      <c r="Q2847" s="65">
        <v>12627.808141830808</v>
      </c>
      <c r="R2847" s="65">
        <v>0</v>
      </c>
      <c r="S2847" s="65">
        <v>0</v>
      </c>
      <c r="T2847" s="65">
        <v>0</v>
      </c>
      <c r="U2847" s="58">
        <v>0</v>
      </c>
      <c r="V2847" s="65">
        <v>0</v>
      </c>
      <c r="W2847" s="65">
        <v>0</v>
      </c>
      <c r="X2847" s="65">
        <v>12628</v>
      </c>
      <c r="Y2847" s="65">
        <v>0</v>
      </c>
      <c r="Z2847" s="51">
        <v>0</v>
      </c>
      <c r="AA2847" s="51">
        <v>304</v>
      </c>
      <c r="AB2847" s="102">
        <v>0</v>
      </c>
      <c r="AC2847" s="81">
        <f t="shared" si="136"/>
        <v>313.94063175205565</v>
      </c>
      <c r="AD2847" s="82">
        <f t="shared" si="137"/>
        <v>45.171428571428571</v>
      </c>
      <c r="AE2847" s="218">
        <v>2.354204587358991E-2</v>
      </c>
      <c r="AF2847">
        <v>2</v>
      </c>
      <c r="AH2847" t="str">
        <f t="shared" si="135"/>
        <v>Gaighat</v>
      </c>
      <c r="AJ2847" s="72">
        <v>0</v>
      </c>
      <c r="AK2847" s="72"/>
      <c r="AL2847" s="72"/>
      <c r="AM2847" s="72"/>
    </row>
    <row r="2848" spans="1:39" x14ac:dyDescent="0.25">
      <c r="A2848" s="37" t="s">
        <v>62</v>
      </c>
      <c r="B2848" s="66" t="s">
        <v>1629</v>
      </c>
      <c r="C2848" s="4">
        <v>1066</v>
      </c>
      <c r="D2848" s="41" t="s">
        <v>1590</v>
      </c>
      <c r="E2848" s="41">
        <v>10660015</v>
      </c>
      <c r="F2848" s="85" t="s">
        <v>1608</v>
      </c>
      <c r="G2848" s="39" t="s">
        <v>635</v>
      </c>
      <c r="H2848" s="52" t="s">
        <v>99</v>
      </c>
      <c r="I2848" s="52">
        <v>316.20000000000005</v>
      </c>
      <c r="J2848" s="49">
        <v>11351.210000000001</v>
      </c>
      <c r="K2848" s="58">
        <v>0</v>
      </c>
      <c r="L2848" s="58">
        <v>0</v>
      </c>
      <c r="M2848" s="58">
        <v>0</v>
      </c>
      <c r="N2848" s="58">
        <v>0</v>
      </c>
      <c r="O2848" s="58">
        <v>0</v>
      </c>
      <c r="P2848" s="53">
        <v>0</v>
      </c>
      <c r="Q2848" s="65">
        <v>11351.210000000001</v>
      </c>
      <c r="R2848" s="65">
        <v>0</v>
      </c>
      <c r="S2848" s="65">
        <v>0</v>
      </c>
      <c r="T2848" s="65">
        <v>0</v>
      </c>
      <c r="U2848" s="58">
        <v>0</v>
      </c>
      <c r="V2848" s="65">
        <v>0</v>
      </c>
      <c r="W2848" s="65">
        <v>0</v>
      </c>
      <c r="X2848" s="65">
        <v>0</v>
      </c>
      <c r="Y2848" s="65">
        <v>0</v>
      </c>
      <c r="Z2848" s="51">
        <v>11351.210000000001</v>
      </c>
      <c r="AA2848" s="51">
        <v>0</v>
      </c>
      <c r="AB2848" s="102">
        <v>0</v>
      </c>
      <c r="AC2848" s="81">
        <f t="shared" si="136"/>
        <v>275.55941796331433</v>
      </c>
      <c r="AD2848" s="82">
        <f t="shared" si="137"/>
        <v>45.171428571428578</v>
      </c>
      <c r="AE2848" s="218">
        <v>0</v>
      </c>
      <c r="AF2848">
        <v>0</v>
      </c>
      <c r="AH2848" t="str">
        <f t="shared" si="135"/>
        <v>Gaighat</v>
      </c>
      <c r="AJ2848" s="72">
        <v>0</v>
      </c>
      <c r="AK2848" s="72"/>
      <c r="AL2848" s="72"/>
      <c r="AM2848" s="72"/>
    </row>
    <row r="2849" spans="1:39" x14ac:dyDescent="0.25">
      <c r="A2849" s="37" t="s">
        <v>62</v>
      </c>
      <c r="B2849" s="66" t="s">
        <v>1629</v>
      </c>
      <c r="C2849" s="4">
        <v>1066</v>
      </c>
      <c r="D2849" s="41" t="s">
        <v>1590</v>
      </c>
      <c r="E2849" s="41">
        <v>10660016</v>
      </c>
      <c r="F2849" s="85" t="s">
        <v>1609</v>
      </c>
      <c r="G2849" s="39" t="s">
        <v>635</v>
      </c>
      <c r="H2849" s="52" t="s">
        <v>99</v>
      </c>
      <c r="I2849" s="52">
        <v>820.09999999999991</v>
      </c>
      <c r="J2849" s="49">
        <v>29350.909999999996</v>
      </c>
      <c r="K2849" s="58">
        <v>0</v>
      </c>
      <c r="L2849" s="58">
        <v>0</v>
      </c>
      <c r="M2849" s="58">
        <v>0</v>
      </c>
      <c r="N2849" s="58">
        <v>0</v>
      </c>
      <c r="O2849" s="58">
        <v>0</v>
      </c>
      <c r="P2849" s="53">
        <v>0</v>
      </c>
      <c r="Q2849" s="65">
        <v>29350.909999999996</v>
      </c>
      <c r="R2849" s="65">
        <v>0</v>
      </c>
      <c r="S2849" s="65">
        <v>0</v>
      </c>
      <c r="T2849" s="65">
        <v>0</v>
      </c>
      <c r="U2849" s="58">
        <v>0</v>
      </c>
      <c r="V2849" s="65">
        <v>0</v>
      </c>
      <c r="W2849" s="65">
        <v>0</v>
      </c>
      <c r="X2849" s="65">
        <v>0</v>
      </c>
      <c r="Y2849" s="65">
        <v>0</v>
      </c>
      <c r="Z2849" s="51">
        <v>29350.909999999996</v>
      </c>
      <c r="AA2849" s="51">
        <v>0</v>
      </c>
      <c r="AB2849" s="102">
        <v>0</v>
      </c>
      <c r="AC2849" s="81">
        <f t="shared" si="136"/>
        <v>0</v>
      </c>
      <c r="AD2849" s="82">
        <f t="shared" si="137"/>
        <v>0</v>
      </c>
      <c r="AE2849" s="218">
        <v>0</v>
      </c>
      <c r="AF2849">
        <v>0</v>
      </c>
      <c r="AH2849" t="str">
        <f t="shared" si="135"/>
        <v>Gaighat</v>
      </c>
      <c r="AJ2849" s="72">
        <v>0</v>
      </c>
      <c r="AK2849" s="72"/>
      <c r="AL2849" s="72"/>
      <c r="AM2849" s="72"/>
    </row>
    <row r="2850" spans="1:39" x14ac:dyDescent="0.25">
      <c r="A2850" s="37" t="s">
        <v>62</v>
      </c>
      <c r="B2850" s="66" t="s">
        <v>1629</v>
      </c>
      <c r="C2850" s="4">
        <v>1066</v>
      </c>
      <c r="D2850" s="41" t="s">
        <v>1590</v>
      </c>
      <c r="E2850" s="41">
        <v>10660017</v>
      </c>
      <c r="F2850" s="85" t="s">
        <v>1591</v>
      </c>
      <c r="G2850" s="39" t="s">
        <v>93</v>
      </c>
      <c r="H2850" s="52" t="s">
        <v>94</v>
      </c>
      <c r="I2850" s="52">
        <v>143.9</v>
      </c>
      <c r="J2850" s="49">
        <v>6150.1599999999989</v>
      </c>
      <c r="K2850" s="58">
        <v>143.10000000000002</v>
      </c>
      <c r="L2850" s="58">
        <v>6438.8706294575986</v>
      </c>
      <c r="M2850" s="58">
        <v>3</v>
      </c>
      <c r="N2850" s="58">
        <v>126.83357643539001</v>
      </c>
      <c r="O2850" s="58">
        <v>146.10000000000002</v>
      </c>
      <c r="P2850" s="53">
        <v>6565.7042058929883</v>
      </c>
      <c r="Q2850" s="65">
        <v>6150.1599999999989</v>
      </c>
      <c r="R2850" s="65">
        <v>0</v>
      </c>
      <c r="S2850" s="65">
        <v>126.83357643539001</v>
      </c>
      <c r="T2850" s="65">
        <v>415.54420589298934</v>
      </c>
      <c r="U2850" s="58">
        <v>0</v>
      </c>
      <c r="V2850" s="65">
        <v>0</v>
      </c>
      <c r="W2850" s="65">
        <v>0</v>
      </c>
      <c r="X2850" s="65">
        <v>6023</v>
      </c>
      <c r="Y2850" s="65">
        <v>0</v>
      </c>
      <c r="Z2850" s="51">
        <v>0</v>
      </c>
      <c r="AA2850" s="51">
        <v>0</v>
      </c>
      <c r="AB2850" s="102">
        <v>0</v>
      </c>
      <c r="AC2850" s="81">
        <f t="shared" si="136"/>
        <v>475.34454148714383</v>
      </c>
      <c r="AD2850" s="82">
        <f t="shared" si="137"/>
        <v>20.557142857142857</v>
      </c>
      <c r="AE2850" s="218">
        <v>-6.7566405734645826E-2</v>
      </c>
      <c r="AF2850">
        <v>4</v>
      </c>
      <c r="AH2850" t="str">
        <f t="shared" si="135"/>
        <v>Gaighat</v>
      </c>
      <c r="AJ2850" s="72">
        <v>0</v>
      </c>
      <c r="AK2850" s="72"/>
      <c r="AL2850" s="72"/>
      <c r="AM2850" s="72"/>
    </row>
    <row r="2851" spans="1:39" x14ac:dyDescent="0.25">
      <c r="A2851" s="37" t="s">
        <v>62</v>
      </c>
      <c r="B2851" s="66" t="s">
        <v>1629</v>
      </c>
      <c r="C2851" s="4">
        <v>1066</v>
      </c>
      <c r="D2851" s="41" t="s">
        <v>1590</v>
      </c>
      <c r="E2851" s="41">
        <v>10660019</v>
      </c>
      <c r="F2851" s="85" t="s">
        <v>1610</v>
      </c>
      <c r="G2851" s="39" t="s">
        <v>635</v>
      </c>
      <c r="H2851" s="52" t="s">
        <v>99</v>
      </c>
      <c r="I2851" s="52">
        <v>189.59999999999997</v>
      </c>
      <c r="J2851" s="49">
        <v>6873.9400000000005</v>
      </c>
      <c r="K2851" s="58">
        <v>0</v>
      </c>
      <c r="L2851" s="58">
        <v>0</v>
      </c>
      <c r="M2851" s="58">
        <v>0</v>
      </c>
      <c r="N2851" s="58">
        <v>0</v>
      </c>
      <c r="O2851" s="58">
        <v>0</v>
      </c>
      <c r="P2851" s="53">
        <v>0</v>
      </c>
      <c r="Q2851" s="65">
        <v>6873.9400000000005</v>
      </c>
      <c r="R2851" s="65">
        <v>0</v>
      </c>
      <c r="S2851" s="65">
        <v>0</v>
      </c>
      <c r="T2851" s="65">
        <v>0</v>
      </c>
      <c r="U2851" s="58">
        <v>0</v>
      </c>
      <c r="V2851" s="65">
        <v>0</v>
      </c>
      <c r="W2851" s="65">
        <v>0</v>
      </c>
      <c r="X2851" s="65">
        <v>0</v>
      </c>
      <c r="Y2851" s="65">
        <v>0</v>
      </c>
      <c r="Z2851" s="51">
        <v>6873.9400000000005</v>
      </c>
      <c r="AA2851" s="51">
        <v>0</v>
      </c>
      <c r="AB2851" s="102">
        <v>0</v>
      </c>
      <c r="AC2851" s="81">
        <f t="shared" si="136"/>
        <v>370.09060928270048</v>
      </c>
      <c r="AD2851" s="82">
        <f t="shared" si="137"/>
        <v>27.085714285714282</v>
      </c>
      <c r="AE2851" s="218">
        <v>0</v>
      </c>
      <c r="AF2851">
        <v>0</v>
      </c>
      <c r="AH2851" t="str">
        <f t="shared" si="135"/>
        <v>Gaighat</v>
      </c>
      <c r="AJ2851" s="72">
        <v>0</v>
      </c>
      <c r="AK2851" s="72"/>
      <c r="AL2851" s="72"/>
      <c r="AM2851" s="72"/>
    </row>
    <row r="2852" spans="1:39" x14ac:dyDescent="0.25">
      <c r="A2852" s="37" t="s">
        <v>62</v>
      </c>
      <c r="B2852" s="66" t="s">
        <v>1629</v>
      </c>
      <c r="C2852" s="4">
        <v>1066</v>
      </c>
      <c r="D2852" s="41" t="s">
        <v>1590</v>
      </c>
      <c r="E2852" s="41">
        <v>10660020</v>
      </c>
      <c r="F2852" s="85" t="s">
        <v>1611</v>
      </c>
      <c r="G2852" s="39" t="s">
        <v>635</v>
      </c>
      <c r="H2852" s="52" t="s">
        <v>99</v>
      </c>
      <c r="I2852" s="52">
        <v>97.7</v>
      </c>
      <c r="J2852" s="49">
        <v>3216.61</v>
      </c>
      <c r="K2852" s="58">
        <v>0</v>
      </c>
      <c r="L2852" s="58">
        <v>0</v>
      </c>
      <c r="M2852" s="58">
        <v>0</v>
      </c>
      <c r="N2852" s="58">
        <v>0</v>
      </c>
      <c r="O2852" s="58">
        <v>0</v>
      </c>
      <c r="P2852" s="53">
        <v>0</v>
      </c>
      <c r="Q2852" s="65">
        <v>3216.61</v>
      </c>
      <c r="R2852" s="65">
        <v>0</v>
      </c>
      <c r="S2852" s="65">
        <v>0</v>
      </c>
      <c r="T2852" s="65">
        <v>0</v>
      </c>
      <c r="U2852" s="58">
        <v>0</v>
      </c>
      <c r="V2852" s="65">
        <v>0</v>
      </c>
      <c r="W2852" s="65">
        <v>0</v>
      </c>
      <c r="X2852" s="65">
        <v>0</v>
      </c>
      <c r="Y2852" s="65">
        <v>0</v>
      </c>
      <c r="Z2852" s="51">
        <v>3216.61</v>
      </c>
      <c r="AA2852" s="51">
        <v>0</v>
      </c>
      <c r="AB2852" s="102">
        <v>0</v>
      </c>
      <c r="AC2852" s="81">
        <f t="shared" si="136"/>
        <v>396.5945144319345</v>
      </c>
      <c r="AD2852" s="82">
        <f t="shared" si="137"/>
        <v>13.957142857142857</v>
      </c>
      <c r="AE2852" s="218">
        <v>0</v>
      </c>
      <c r="AF2852">
        <v>0</v>
      </c>
      <c r="AH2852" t="str">
        <f t="shared" si="135"/>
        <v>Gaighat</v>
      </c>
      <c r="AJ2852" s="72">
        <v>0</v>
      </c>
      <c r="AK2852" s="72"/>
      <c r="AL2852" s="72"/>
      <c r="AM2852" s="72"/>
    </row>
    <row r="2853" spans="1:39" x14ac:dyDescent="0.25">
      <c r="A2853" s="37" t="s">
        <v>62</v>
      </c>
      <c r="B2853" s="66" t="s">
        <v>1629</v>
      </c>
      <c r="C2853" s="4">
        <v>1066</v>
      </c>
      <c r="D2853" s="41" t="s">
        <v>1590</v>
      </c>
      <c r="E2853" s="41">
        <v>10660021</v>
      </c>
      <c r="F2853" s="85" t="s">
        <v>1612</v>
      </c>
      <c r="G2853" s="39" t="s">
        <v>635</v>
      </c>
      <c r="H2853" s="52" t="s">
        <v>99</v>
      </c>
      <c r="I2853" s="52">
        <v>1162.9999999999998</v>
      </c>
      <c r="J2853" s="49">
        <v>44752.889999999992</v>
      </c>
      <c r="K2853" s="58">
        <v>0</v>
      </c>
      <c r="L2853" s="58">
        <v>0</v>
      </c>
      <c r="M2853" s="58">
        <v>0</v>
      </c>
      <c r="N2853" s="58">
        <v>0</v>
      </c>
      <c r="O2853" s="58">
        <v>0</v>
      </c>
      <c r="P2853" s="53">
        <v>0</v>
      </c>
      <c r="Q2853" s="65">
        <v>44752.889999999992</v>
      </c>
      <c r="R2853" s="65">
        <v>0</v>
      </c>
      <c r="S2853" s="65">
        <v>0</v>
      </c>
      <c r="T2853" s="65">
        <v>0</v>
      </c>
      <c r="U2853" s="58">
        <v>0</v>
      </c>
      <c r="V2853" s="65">
        <v>0</v>
      </c>
      <c r="W2853" s="65">
        <v>0</v>
      </c>
      <c r="X2853" s="65">
        <v>0</v>
      </c>
      <c r="Y2853" s="65">
        <v>0</v>
      </c>
      <c r="Z2853" s="51">
        <v>44752.889999999992</v>
      </c>
      <c r="AA2853" s="51">
        <v>0</v>
      </c>
      <c r="AB2853" s="102">
        <v>0</v>
      </c>
      <c r="AC2853" s="81">
        <f t="shared" si="136"/>
        <v>0</v>
      </c>
      <c r="AD2853" s="82">
        <f t="shared" si="137"/>
        <v>0</v>
      </c>
      <c r="AE2853" s="218">
        <v>0</v>
      </c>
      <c r="AF2853">
        <v>0</v>
      </c>
      <c r="AH2853" t="str">
        <f t="shared" si="135"/>
        <v>Gaighat</v>
      </c>
      <c r="AJ2853" s="72">
        <v>0</v>
      </c>
      <c r="AK2853" s="72"/>
      <c r="AL2853" s="72"/>
      <c r="AM2853" s="72"/>
    </row>
    <row r="2854" spans="1:39" x14ac:dyDescent="0.25">
      <c r="A2854" s="37" t="s">
        <v>62</v>
      </c>
      <c r="B2854" s="66" t="s">
        <v>1629</v>
      </c>
      <c r="C2854" s="4">
        <v>1066</v>
      </c>
      <c r="D2854" s="41" t="s">
        <v>1590</v>
      </c>
      <c r="E2854" s="41">
        <v>10660022</v>
      </c>
      <c r="F2854" s="85" t="s">
        <v>1613</v>
      </c>
      <c r="G2854" s="39" t="s">
        <v>635</v>
      </c>
      <c r="H2854" s="52" t="s">
        <v>99</v>
      </c>
      <c r="I2854" s="52">
        <v>149.19999999999999</v>
      </c>
      <c r="J2854" s="49">
        <v>6485.78</v>
      </c>
      <c r="K2854" s="58">
        <v>0</v>
      </c>
      <c r="L2854" s="58">
        <v>0</v>
      </c>
      <c r="M2854" s="58">
        <v>0</v>
      </c>
      <c r="N2854" s="58">
        <v>0</v>
      </c>
      <c r="O2854" s="58">
        <v>0</v>
      </c>
      <c r="P2854" s="53">
        <v>0</v>
      </c>
      <c r="Q2854" s="65">
        <v>6485.78</v>
      </c>
      <c r="R2854" s="65">
        <v>0</v>
      </c>
      <c r="S2854" s="65">
        <v>0</v>
      </c>
      <c r="T2854" s="65">
        <v>0</v>
      </c>
      <c r="U2854" s="58">
        <v>0</v>
      </c>
      <c r="V2854" s="65">
        <v>0</v>
      </c>
      <c r="W2854" s="65">
        <v>0</v>
      </c>
      <c r="X2854" s="65">
        <v>0</v>
      </c>
      <c r="Y2854" s="65">
        <v>0</v>
      </c>
      <c r="Z2854" s="51">
        <v>6485.78</v>
      </c>
      <c r="AA2854" s="51">
        <v>0</v>
      </c>
      <c r="AB2854" s="102">
        <v>0</v>
      </c>
      <c r="AC2854" s="81">
        <f t="shared" si="136"/>
        <v>478.86965469168899</v>
      </c>
      <c r="AD2854" s="82">
        <f t="shared" si="137"/>
        <v>21.314285714285713</v>
      </c>
      <c r="AE2854" s="218">
        <v>0</v>
      </c>
      <c r="AF2854">
        <v>0</v>
      </c>
      <c r="AH2854" t="str">
        <f t="shared" si="135"/>
        <v>Gaighat</v>
      </c>
      <c r="AJ2854" s="72">
        <v>0</v>
      </c>
      <c r="AK2854" s="72"/>
      <c r="AL2854" s="72"/>
      <c r="AM2854" s="72"/>
    </row>
    <row r="2855" spans="1:39" x14ac:dyDescent="0.25">
      <c r="A2855" s="37" t="s">
        <v>62</v>
      </c>
      <c r="B2855" s="66" t="s">
        <v>1629</v>
      </c>
      <c r="C2855" s="4">
        <v>1066</v>
      </c>
      <c r="D2855" s="41" t="s">
        <v>1590</v>
      </c>
      <c r="E2855" s="41">
        <v>10660023</v>
      </c>
      <c r="F2855" s="85" t="s">
        <v>1614</v>
      </c>
      <c r="G2855" s="39" t="s">
        <v>635</v>
      </c>
      <c r="H2855" s="52" t="s">
        <v>99</v>
      </c>
      <c r="I2855" s="52">
        <v>952.89999999999986</v>
      </c>
      <c r="J2855" s="49">
        <v>38837.42</v>
      </c>
      <c r="K2855" s="58">
        <v>0</v>
      </c>
      <c r="L2855" s="58">
        <v>0</v>
      </c>
      <c r="M2855" s="58">
        <v>0</v>
      </c>
      <c r="N2855" s="58">
        <v>0</v>
      </c>
      <c r="O2855" s="58">
        <v>0</v>
      </c>
      <c r="P2855" s="53">
        <v>0</v>
      </c>
      <c r="Q2855" s="65">
        <v>38837.42</v>
      </c>
      <c r="R2855" s="65">
        <v>0</v>
      </c>
      <c r="S2855" s="65">
        <v>0</v>
      </c>
      <c r="T2855" s="65">
        <v>0</v>
      </c>
      <c r="U2855" s="58">
        <v>0</v>
      </c>
      <c r="V2855" s="65">
        <v>0</v>
      </c>
      <c r="W2855" s="65">
        <v>0</v>
      </c>
      <c r="X2855" s="65">
        <v>0</v>
      </c>
      <c r="Y2855" s="65">
        <v>0</v>
      </c>
      <c r="Z2855" s="51">
        <v>38837.42</v>
      </c>
      <c r="AA2855" s="51">
        <v>0</v>
      </c>
      <c r="AB2855" s="102">
        <v>0</v>
      </c>
      <c r="AC2855" s="81">
        <f t="shared" si="136"/>
        <v>0</v>
      </c>
      <c r="AD2855" s="82">
        <f t="shared" si="137"/>
        <v>0</v>
      </c>
      <c r="AE2855" s="218">
        <v>0</v>
      </c>
      <c r="AF2855">
        <v>0</v>
      </c>
      <c r="AH2855" t="str">
        <f t="shared" si="135"/>
        <v>Gaighat</v>
      </c>
      <c r="AJ2855" s="72">
        <v>0</v>
      </c>
      <c r="AK2855" s="72"/>
      <c r="AL2855" s="72"/>
      <c r="AM2855" s="72"/>
    </row>
    <row r="2856" spans="1:39" x14ac:dyDescent="0.25">
      <c r="A2856" s="37" t="s">
        <v>62</v>
      </c>
      <c r="B2856" s="66" t="s">
        <v>1629</v>
      </c>
      <c r="C2856" s="4">
        <v>1066</v>
      </c>
      <c r="D2856" s="41" t="s">
        <v>1590</v>
      </c>
      <c r="E2856" s="41">
        <v>10660024</v>
      </c>
      <c r="F2856" s="85" t="s">
        <v>1602</v>
      </c>
      <c r="G2856" s="39" t="s">
        <v>635</v>
      </c>
      <c r="H2856" s="52" t="s">
        <v>99</v>
      </c>
      <c r="I2856" s="52">
        <v>189.79999999999998</v>
      </c>
      <c r="J2856" s="49">
        <v>6199.34</v>
      </c>
      <c r="K2856" s="58">
        <v>0</v>
      </c>
      <c r="L2856" s="58">
        <v>0</v>
      </c>
      <c r="M2856" s="58">
        <v>0</v>
      </c>
      <c r="N2856" s="58">
        <v>0</v>
      </c>
      <c r="O2856" s="58">
        <v>0</v>
      </c>
      <c r="P2856" s="53">
        <v>0</v>
      </c>
      <c r="Q2856" s="65">
        <v>6199.34</v>
      </c>
      <c r="R2856" s="65">
        <v>0</v>
      </c>
      <c r="S2856" s="65">
        <v>0</v>
      </c>
      <c r="T2856" s="65">
        <v>0</v>
      </c>
      <c r="U2856" s="58">
        <v>0</v>
      </c>
      <c r="V2856" s="65">
        <v>0</v>
      </c>
      <c r="W2856" s="65">
        <v>0</v>
      </c>
      <c r="X2856" s="65">
        <v>0</v>
      </c>
      <c r="Y2856" s="65">
        <v>0</v>
      </c>
      <c r="Z2856" s="51">
        <v>6199.34</v>
      </c>
      <c r="AA2856" s="51">
        <v>0</v>
      </c>
      <c r="AB2856" s="102">
        <v>0</v>
      </c>
      <c r="AC2856" s="81">
        <f t="shared" si="136"/>
        <v>333.28801559536356</v>
      </c>
      <c r="AD2856" s="82">
        <f t="shared" si="137"/>
        <v>27.11428571428571</v>
      </c>
      <c r="AE2856" s="218">
        <v>0</v>
      </c>
      <c r="AF2856">
        <v>0</v>
      </c>
      <c r="AH2856" t="str">
        <f t="shared" si="135"/>
        <v>Gaighat</v>
      </c>
      <c r="AJ2856" s="72">
        <v>0</v>
      </c>
      <c r="AK2856" s="72"/>
      <c r="AL2856" s="72"/>
      <c r="AM2856" s="72"/>
    </row>
    <row r="2857" spans="1:39" x14ac:dyDescent="0.25">
      <c r="A2857" s="37" t="s">
        <v>62</v>
      </c>
      <c r="B2857" s="66" t="s">
        <v>1644</v>
      </c>
      <c r="C2857" s="4">
        <v>1001</v>
      </c>
      <c r="D2857" s="41" t="s">
        <v>92</v>
      </c>
      <c r="E2857" s="41">
        <v>10010013</v>
      </c>
      <c r="F2857" s="85" t="s">
        <v>95</v>
      </c>
      <c r="G2857" s="39" t="s">
        <v>93</v>
      </c>
      <c r="H2857" s="52" t="s">
        <v>94</v>
      </c>
      <c r="I2857" s="52">
        <v>721.10000000000014</v>
      </c>
      <c r="J2857" s="49">
        <v>27875.420066730003</v>
      </c>
      <c r="K2857" s="58">
        <v>719.53999999999985</v>
      </c>
      <c r="L2857" s="58">
        <v>27877.28281201225</v>
      </c>
      <c r="M2857" s="58">
        <v>2.2699999999999996</v>
      </c>
      <c r="N2857" s="58">
        <v>84.469845837000008</v>
      </c>
      <c r="O2857" s="58">
        <v>721.80999999999983</v>
      </c>
      <c r="P2857" s="53">
        <v>27961.752657849251</v>
      </c>
      <c r="Q2857" s="65">
        <v>27875.420066730003</v>
      </c>
      <c r="R2857" s="65">
        <v>0</v>
      </c>
      <c r="S2857" s="65">
        <v>84.469845837000008</v>
      </c>
      <c r="T2857" s="65">
        <v>86.332591119247809</v>
      </c>
      <c r="U2857" s="58">
        <v>0</v>
      </c>
      <c r="V2857" s="65">
        <v>0</v>
      </c>
      <c r="W2857" s="65">
        <v>0</v>
      </c>
      <c r="X2857" s="65">
        <v>27791</v>
      </c>
      <c r="Y2857" s="65">
        <v>0</v>
      </c>
      <c r="Z2857" s="51">
        <v>0</v>
      </c>
      <c r="AA2857" s="51">
        <v>0</v>
      </c>
      <c r="AB2857" s="102">
        <v>0</v>
      </c>
      <c r="AC2857" s="81">
        <f t="shared" si="136"/>
        <v>0</v>
      </c>
      <c r="AD2857" s="82">
        <f t="shared" si="137"/>
        <v>0</v>
      </c>
      <c r="AE2857" s="218">
        <v>-3.0970866416570302E-3</v>
      </c>
      <c r="AF2857">
        <v>18</v>
      </c>
      <c r="AH2857" t="str">
        <f t="shared" si="135"/>
        <v>Majhaul</v>
      </c>
      <c r="AJ2857" s="72">
        <v>0</v>
      </c>
      <c r="AK2857" s="72"/>
      <c r="AL2857" s="72"/>
      <c r="AM2857" s="72"/>
    </row>
    <row r="2858" spans="1:39" x14ac:dyDescent="0.25">
      <c r="A2858" s="37" t="s">
        <v>62</v>
      </c>
      <c r="B2858" s="66" t="s">
        <v>1644</v>
      </c>
      <c r="C2858" s="4">
        <v>1008</v>
      </c>
      <c r="D2858" s="41" t="s">
        <v>221</v>
      </c>
      <c r="E2858" s="41">
        <v>10010017</v>
      </c>
      <c r="F2858" s="85" t="s">
        <v>96</v>
      </c>
      <c r="G2858" s="39" t="s">
        <v>93</v>
      </c>
      <c r="H2858" s="52" t="s">
        <v>94</v>
      </c>
      <c r="I2858" s="52">
        <v>30.2</v>
      </c>
      <c r="J2858" s="49">
        <v>947.54215127625025</v>
      </c>
      <c r="K2858" s="58">
        <v>30.000000000000004</v>
      </c>
      <c r="L2858" s="58">
        <v>940.73025225900017</v>
      </c>
      <c r="M2858" s="58">
        <v>0</v>
      </c>
      <c r="N2858" s="58">
        <v>0</v>
      </c>
      <c r="O2858" s="58">
        <v>30.000000000000004</v>
      </c>
      <c r="P2858" s="53">
        <v>940.73025225900017</v>
      </c>
      <c r="Q2858" s="65">
        <v>940.73025225900017</v>
      </c>
      <c r="R2858" s="65">
        <v>0</v>
      </c>
      <c r="S2858" s="65">
        <v>0</v>
      </c>
      <c r="T2858" s="65">
        <v>0</v>
      </c>
      <c r="U2858" s="58">
        <v>0</v>
      </c>
      <c r="V2858" s="65">
        <v>500</v>
      </c>
      <c r="W2858" s="65">
        <v>0</v>
      </c>
      <c r="X2858" s="65">
        <v>441</v>
      </c>
      <c r="Y2858" s="65">
        <v>0</v>
      </c>
      <c r="Z2858" s="51">
        <v>0</v>
      </c>
      <c r="AA2858" s="51">
        <v>7</v>
      </c>
      <c r="AB2858" s="102">
        <v>0</v>
      </c>
      <c r="AC2858" s="81">
        <f t="shared" si="136"/>
        <v>420.30710789723997</v>
      </c>
      <c r="AD2858" s="82">
        <f t="shared" si="137"/>
        <v>4.3142857142857141</v>
      </c>
      <c r="AE2858" s="218">
        <v>7.1890195154644008E-3</v>
      </c>
      <c r="AF2858">
        <v>1</v>
      </c>
      <c r="AH2858" t="str">
        <f t="shared" si="135"/>
        <v>Teghra</v>
      </c>
      <c r="AJ2858" s="72">
        <v>500</v>
      </c>
      <c r="AK2858" s="72"/>
      <c r="AL2858" s="72"/>
      <c r="AM2858" s="72"/>
    </row>
    <row r="2859" spans="1:39" x14ac:dyDescent="0.25">
      <c r="A2859" s="37" t="s">
        <v>62</v>
      </c>
      <c r="B2859" s="66" t="s">
        <v>1644</v>
      </c>
      <c r="C2859" s="4">
        <v>1001</v>
      </c>
      <c r="D2859" s="41" t="s">
        <v>92</v>
      </c>
      <c r="E2859" s="41">
        <v>10010019</v>
      </c>
      <c r="F2859" s="85" t="s">
        <v>97</v>
      </c>
      <c r="G2859" s="39" t="s">
        <v>93</v>
      </c>
      <c r="H2859" s="52" t="s">
        <v>94</v>
      </c>
      <c r="I2859" s="52">
        <v>852.60000000000014</v>
      </c>
      <c r="J2859" s="49">
        <v>32957.983657092002</v>
      </c>
      <c r="K2859" s="58">
        <v>898.64999999999986</v>
      </c>
      <c r="L2859" s="58">
        <v>35214.811860860151</v>
      </c>
      <c r="M2859" s="58">
        <v>11.38</v>
      </c>
      <c r="N2859" s="58">
        <v>425.432357325</v>
      </c>
      <c r="O2859" s="58">
        <v>910.02999999999986</v>
      </c>
      <c r="P2859" s="53">
        <v>35640.244218185151</v>
      </c>
      <c r="Q2859" s="65">
        <v>32957.983657092002</v>
      </c>
      <c r="R2859" s="65">
        <v>0</v>
      </c>
      <c r="S2859" s="65">
        <v>425.432357325</v>
      </c>
      <c r="T2859" s="65">
        <v>2682.2605610931496</v>
      </c>
      <c r="U2859" s="58">
        <v>0</v>
      </c>
      <c r="V2859" s="65">
        <v>0</v>
      </c>
      <c r="W2859" s="65">
        <v>0</v>
      </c>
      <c r="X2859" s="65">
        <v>32533</v>
      </c>
      <c r="Y2859" s="65">
        <v>0</v>
      </c>
      <c r="Z2859" s="51">
        <v>0</v>
      </c>
      <c r="AA2859" s="51">
        <v>0</v>
      </c>
      <c r="AB2859" s="102" t="s">
        <v>68</v>
      </c>
      <c r="AC2859" s="81">
        <f t="shared" si="136"/>
        <v>0</v>
      </c>
      <c r="AD2859" s="82">
        <f t="shared" si="137"/>
        <v>0</v>
      </c>
      <c r="AE2859" s="218">
        <v>-8.1384243314168048E-2</v>
      </c>
      <c r="AF2859">
        <v>13</v>
      </c>
      <c r="AH2859" t="str">
        <f t="shared" si="135"/>
        <v>Majhaul</v>
      </c>
      <c r="AJ2859" s="72">
        <v>0</v>
      </c>
      <c r="AK2859" s="72"/>
      <c r="AL2859" s="72"/>
      <c r="AM2859" s="72"/>
    </row>
    <row r="2860" spans="1:39" x14ac:dyDescent="0.25">
      <c r="A2860" s="37" t="s">
        <v>62</v>
      </c>
      <c r="B2860" s="66" t="s">
        <v>1644</v>
      </c>
      <c r="C2860" s="4">
        <v>1058</v>
      </c>
      <c r="D2860" s="41" t="s">
        <v>1344</v>
      </c>
      <c r="E2860" s="41">
        <v>10010038</v>
      </c>
      <c r="F2860" s="85" t="s">
        <v>98</v>
      </c>
      <c r="G2860" s="39" t="s">
        <v>93</v>
      </c>
      <c r="H2860" s="52" t="s">
        <v>94</v>
      </c>
      <c r="I2860" s="52">
        <v>1284.1000000000001</v>
      </c>
      <c r="J2860" s="49">
        <v>49635.276488418029</v>
      </c>
      <c r="K2860" s="58">
        <v>840</v>
      </c>
      <c r="L2860" s="58">
        <v>32155.951229999999</v>
      </c>
      <c r="M2860" s="58">
        <v>439.4</v>
      </c>
      <c r="N2860" s="58">
        <v>17832.826154789997</v>
      </c>
      <c r="O2860" s="58">
        <v>1279.4000000000001</v>
      </c>
      <c r="P2860" s="53">
        <v>49988.777384789995</v>
      </c>
      <c r="Q2860" s="65">
        <v>49635.276488418029</v>
      </c>
      <c r="R2860" s="65">
        <v>0</v>
      </c>
      <c r="S2860" s="65">
        <v>252.70900560000004</v>
      </c>
      <c r="T2860" s="65">
        <v>353.50089637196652</v>
      </c>
      <c r="U2860" s="58">
        <v>0</v>
      </c>
      <c r="V2860" s="65">
        <v>0</v>
      </c>
      <c r="W2860" s="65">
        <v>0</v>
      </c>
      <c r="X2860" s="65">
        <v>31802</v>
      </c>
      <c r="Y2860" s="65">
        <v>17580</v>
      </c>
      <c r="Z2860" s="51">
        <v>0</v>
      </c>
      <c r="AA2860" s="51">
        <v>1</v>
      </c>
      <c r="AB2860" s="102">
        <v>0</v>
      </c>
      <c r="AC2860" s="81">
        <f t="shared" si="136"/>
        <v>0</v>
      </c>
      <c r="AD2860" s="82">
        <f t="shared" si="137"/>
        <v>0</v>
      </c>
      <c r="AE2860" s="218">
        <v>-7.1219689177001557E-3</v>
      </c>
      <c r="AF2860">
        <v>11</v>
      </c>
      <c r="AH2860" t="str">
        <f t="shared" si="135"/>
        <v>Hasanpur</v>
      </c>
      <c r="AJ2860" s="72">
        <v>0</v>
      </c>
      <c r="AK2860" s="72"/>
      <c r="AL2860" s="72"/>
      <c r="AM2860" s="72"/>
    </row>
    <row r="2861" spans="1:39" x14ac:dyDescent="0.25">
      <c r="A2861" s="37" t="s">
        <v>62</v>
      </c>
      <c r="B2861" s="66" t="s">
        <v>1644</v>
      </c>
      <c r="C2861" s="4">
        <v>1001</v>
      </c>
      <c r="D2861" s="41" t="s">
        <v>92</v>
      </c>
      <c r="E2861" s="41">
        <v>10010047</v>
      </c>
      <c r="F2861" s="85" t="s">
        <v>837</v>
      </c>
      <c r="G2861" s="39" t="s">
        <v>635</v>
      </c>
      <c r="H2861" s="52" t="s">
        <v>99</v>
      </c>
      <c r="I2861" s="52">
        <v>66.099999999999994</v>
      </c>
      <c r="J2861" s="49">
        <v>2945.624047497</v>
      </c>
      <c r="K2861" s="58">
        <v>0</v>
      </c>
      <c r="L2861" s="58">
        <v>0</v>
      </c>
      <c r="M2861" s="58">
        <v>0</v>
      </c>
      <c r="N2861" s="58">
        <v>0</v>
      </c>
      <c r="O2861" s="58">
        <v>0</v>
      </c>
      <c r="P2861" s="53">
        <v>0</v>
      </c>
      <c r="Q2861" s="65">
        <v>2945.624047497</v>
      </c>
      <c r="R2861" s="65">
        <v>0</v>
      </c>
      <c r="S2861" s="65">
        <v>0</v>
      </c>
      <c r="T2861" s="65">
        <v>0</v>
      </c>
      <c r="U2861" s="58">
        <v>0</v>
      </c>
      <c r="V2861" s="65">
        <v>0</v>
      </c>
      <c r="W2861" s="65">
        <v>0</v>
      </c>
      <c r="X2861" s="65">
        <v>0</v>
      </c>
      <c r="Y2861" s="65">
        <v>0</v>
      </c>
      <c r="Z2861" s="51">
        <v>2945.624047497</v>
      </c>
      <c r="AA2861" s="51">
        <v>0</v>
      </c>
      <c r="AB2861" s="102">
        <v>0</v>
      </c>
      <c r="AC2861" s="81">
        <f t="shared" si="136"/>
        <v>564.97158357287412</v>
      </c>
      <c r="AD2861" s="82">
        <f t="shared" si="137"/>
        <v>9.4428571428571413</v>
      </c>
      <c r="AE2861" s="218">
        <v>0</v>
      </c>
      <c r="AF2861">
        <v>0</v>
      </c>
      <c r="AH2861" t="str">
        <f t="shared" si="135"/>
        <v>Majhaul</v>
      </c>
      <c r="AJ2861" s="72">
        <v>0</v>
      </c>
      <c r="AK2861" s="72"/>
      <c r="AL2861" s="72"/>
      <c r="AM2861" s="72"/>
    </row>
    <row r="2862" spans="1:39" x14ac:dyDescent="0.25">
      <c r="A2862" s="37" t="s">
        <v>62</v>
      </c>
      <c r="B2862" s="66" t="s">
        <v>1644</v>
      </c>
      <c r="C2862" s="4">
        <v>1001</v>
      </c>
      <c r="D2862" s="41" t="s">
        <v>92</v>
      </c>
      <c r="E2862" s="41">
        <v>10010049</v>
      </c>
      <c r="F2862" s="85" t="s">
        <v>1214</v>
      </c>
      <c r="G2862" s="39" t="s">
        <v>635</v>
      </c>
      <c r="H2862" s="52" t="s">
        <v>99</v>
      </c>
      <c r="I2862" s="52">
        <v>294.10000000000002</v>
      </c>
      <c r="J2862" s="49">
        <v>10271.459749351499</v>
      </c>
      <c r="K2862" s="58">
        <v>0</v>
      </c>
      <c r="L2862" s="58">
        <v>0</v>
      </c>
      <c r="M2862" s="58">
        <v>0</v>
      </c>
      <c r="N2862" s="58">
        <v>0</v>
      </c>
      <c r="O2862" s="58">
        <v>0</v>
      </c>
      <c r="P2862" s="53">
        <v>0</v>
      </c>
      <c r="Q2862" s="65">
        <v>10271.459749351499</v>
      </c>
      <c r="R2862" s="65">
        <v>0</v>
      </c>
      <c r="S2862" s="65">
        <v>0</v>
      </c>
      <c r="T2862" s="65">
        <v>0</v>
      </c>
      <c r="U2862" s="58">
        <v>0</v>
      </c>
      <c r="V2862" s="65">
        <v>0</v>
      </c>
      <c r="W2862" s="65">
        <v>0</v>
      </c>
      <c r="X2862" s="65">
        <v>0</v>
      </c>
      <c r="Y2862" s="65">
        <v>0</v>
      </c>
      <c r="Z2862" s="51">
        <v>10271.459749351499</v>
      </c>
      <c r="AA2862" s="51">
        <v>0</v>
      </c>
      <c r="AB2862" s="102">
        <v>0</v>
      </c>
      <c r="AC2862" s="81">
        <f t="shared" si="136"/>
        <v>283.52162613136846</v>
      </c>
      <c r="AD2862" s="82">
        <f t="shared" si="137"/>
        <v>42.01428571428572</v>
      </c>
      <c r="AE2862" s="218">
        <v>0</v>
      </c>
      <c r="AF2862">
        <v>0</v>
      </c>
      <c r="AH2862" t="str">
        <f t="shared" si="135"/>
        <v>Majhaul</v>
      </c>
      <c r="AJ2862" s="72">
        <v>0</v>
      </c>
      <c r="AK2862" s="72"/>
      <c r="AL2862" s="72"/>
      <c r="AM2862" s="72"/>
    </row>
    <row r="2863" spans="1:39" x14ac:dyDescent="0.25">
      <c r="A2863" s="37" t="s">
        <v>62</v>
      </c>
      <c r="B2863" s="66" t="s">
        <v>1644</v>
      </c>
      <c r="C2863" s="4">
        <v>1058</v>
      </c>
      <c r="D2863" s="41" t="s">
        <v>1344</v>
      </c>
      <c r="E2863" s="41">
        <v>10010050</v>
      </c>
      <c r="F2863" s="85" t="s">
        <v>100</v>
      </c>
      <c r="G2863" s="39" t="s">
        <v>635</v>
      </c>
      <c r="H2863" s="52" t="s">
        <v>99</v>
      </c>
      <c r="I2863" s="52">
        <v>826.59999999999991</v>
      </c>
      <c r="J2863" s="49">
        <v>30985.636585648041</v>
      </c>
      <c r="K2863" s="58">
        <v>0</v>
      </c>
      <c r="L2863" s="58">
        <v>0</v>
      </c>
      <c r="M2863" s="58">
        <v>0</v>
      </c>
      <c r="N2863" s="58">
        <v>0</v>
      </c>
      <c r="O2863" s="58">
        <v>0</v>
      </c>
      <c r="P2863" s="53">
        <v>0</v>
      </c>
      <c r="Q2863" s="65">
        <v>30985.636585648041</v>
      </c>
      <c r="R2863" s="65">
        <v>0</v>
      </c>
      <c r="S2863" s="65">
        <v>0</v>
      </c>
      <c r="T2863" s="65">
        <v>0</v>
      </c>
      <c r="U2863" s="58">
        <v>0</v>
      </c>
      <c r="V2863" s="65">
        <v>0</v>
      </c>
      <c r="W2863" s="65">
        <v>0</v>
      </c>
      <c r="X2863" s="65">
        <v>0</v>
      </c>
      <c r="Y2863" s="65">
        <v>0</v>
      </c>
      <c r="Z2863" s="51">
        <v>30985.636585648041</v>
      </c>
      <c r="AA2863" s="51">
        <v>0</v>
      </c>
      <c r="AB2863" s="102">
        <v>0</v>
      </c>
      <c r="AC2863" s="81">
        <f t="shared" si="136"/>
        <v>0</v>
      </c>
      <c r="AD2863" s="82">
        <f t="shared" si="137"/>
        <v>0</v>
      </c>
      <c r="AE2863" s="218">
        <v>0</v>
      </c>
      <c r="AF2863">
        <v>0</v>
      </c>
      <c r="AH2863" t="str">
        <f t="shared" si="135"/>
        <v>Hasanpur</v>
      </c>
      <c r="AJ2863" s="72">
        <v>0</v>
      </c>
      <c r="AK2863" s="72"/>
      <c r="AL2863" s="72"/>
      <c r="AM2863" s="72"/>
    </row>
    <row r="2864" spans="1:39" x14ac:dyDescent="0.25">
      <c r="A2864" s="37" t="s">
        <v>62</v>
      </c>
      <c r="B2864" s="66" t="s">
        <v>1644</v>
      </c>
      <c r="C2864" s="4">
        <v>1058</v>
      </c>
      <c r="D2864" s="41" t="s">
        <v>1344</v>
      </c>
      <c r="E2864" s="41">
        <v>10010051</v>
      </c>
      <c r="F2864" s="85" t="s">
        <v>101</v>
      </c>
      <c r="G2864" s="39" t="s">
        <v>93</v>
      </c>
      <c r="H2864" s="52" t="s">
        <v>94</v>
      </c>
      <c r="I2864" s="52">
        <v>873.3</v>
      </c>
      <c r="J2864" s="49">
        <v>32745.387152784002</v>
      </c>
      <c r="K2864" s="58">
        <v>960.30000000000007</v>
      </c>
      <c r="L2864" s="58">
        <v>36167.935553466006</v>
      </c>
      <c r="M2864" s="58">
        <v>5.6</v>
      </c>
      <c r="N2864" s="58">
        <v>189.38851747200002</v>
      </c>
      <c r="O2864" s="58">
        <v>965.90000000000009</v>
      </c>
      <c r="P2864" s="53">
        <v>36357.324070938004</v>
      </c>
      <c r="Q2864" s="65">
        <v>32745.387152784002</v>
      </c>
      <c r="R2864" s="65">
        <v>0</v>
      </c>
      <c r="S2864" s="65">
        <v>189.38851747200002</v>
      </c>
      <c r="T2864" s="65">
        <v>3611.9369181540023</v>
      </c>
      <c r="U2864" s="58">
        <v>0</v>
      </c>
      <c r="V2864" s="65">
        <v>0</v>
      </c>
      <c r="W2864" s="65">
        <v>0</v>
      </c>
      <c r="X2864" s="65">
        <v>32556</v>
      </c>
      <c r="Y2864" s="65">
        <v>0</v>
      </c>
      <c r="Z2864" s="51">
        <v>0</v>
      </c>
      <c r="AA2864" s="51">
        <v>0</v>
      </c>
      <c r="AB2864" s="102">
        <v>0</v>
      </c>
      <c r="AC2864" s="81">
        <f t="shared" si="136"/>
        <v>0</v>
      </c>
      <c r="AD2864" s="82">
        <f t="shared" si="137"/>
        <v>0</v>
      </c>
      <c r="AE2864" s="218">
        <v>-0.11030368647960592</v>
      </c>
      <c r="AF2864">
        <v>7</v>
      </c>
      <c r="AH2864" t="str">
        <f t="shared" si="135"/>
        <v>Hasanpur</v>
      </c>
      <c r="AJ2864" s="72">
        <v>0</v>
      </c>
      <c r="AK2864" s="72"/>
      <c r="AL2864" s="72"/>
      <c r="AM2864" s="72"/>
    </row>
    <row r="2865" spans="1:39" x14ac:dyDescent="0.25">
      <c r="A2865" s="37" t="s">
        <v>62</v>
      </c>
      <c r="B2865" s="66" t="s">
        <v>1644</v>
      </c>
      <c r="C2865" s="4">
        <v>1001</v>
      </c>
      <c r="D2865" s="41" t="s">
        <v>92</v>
      </c>
      <c r="E2865" s="41">
        <v>10010055</v>
      </c>
      <c r="F2865" s="85" t="s">
        <v>102</v>
      </c>
      <c r="G2865" s="39" t="s">
        <v>93</v>
      </c>
      <c r="H2865" s="52" t="s">
        <v>94</v>
      </c>
      <c r="I2865" s="52">
        <v>118.89999999999998</v>
      </c>
      <c r="J2865" s="49">
        <v>4919.7166752000012</v>
      </c>
      <c r="K2865" s="58">
        <v>139</v>
      </c>
      <c r="L2865" s="58">
        <v>5671.0498773000008</v>
      </c>
      <c r="M2865" s="58">
        <v>0</v>
      </c>
      <c r="N2865" s="58">
        <v>0</v>
      </c>
      <c r="O2865" s="58">
        <v>139</v>
      </c>
      <c r="P2865" s="53">
        <v>5671.0498773000008</v>
      </c>
      <c r="Q2865" s="65">
        <v>4919.7166752000012</v>
      </c>
      <c r="R2865" s="65">
        <v>0</v>
      </c>
      <c r="S2865" s="65">
        <v>0</v>
      </c>
      <c r="T2865" s="65">
        <v>751.33320209999965</v>
      </c>
      <c r="U2865" s="58">
        <v>0</v>
      </c>
      <c r="V2865" s="65">
        <v>500</v>
      </c>
      <c r="W2865" s="65">
        <v>0</v>
      </c>
      <c r="X2865" s="65">
        <v>4420</v>
      </c>
      <c r="Y2865" s="65">
        <v>0</v>
      </c>
      <c r="Z2865" s="51">
        <v>0</v>
      </c>
      <c r="AA2865" s="51">
        <v>0</v>
      </c>
      <c r="AB2865" s="102">
        <v>0</v>
      </c>
      <c r="AC2865" s="81">
        <f t="shared" si="136"/>
        <v>480.88265096025589</v>
      </c>
      <c r="AD2865" s="82">
        <f t="shared" si="137"/>
        <v>16.985714285714284</v>
      </c>
      <c r="AE2865" s="218">
        <v>-0.15271879494350266</v>
      </c>
      <c r="AF2865">
        <v>2</v>
      </c>
      <c r="AH2865" t="str">
        <f t="shared" si="135"/>
        <v>Majhaul</v>
      </c>
      <c r="AJ2865" s="72">
        <v>500</v>
      </c>
      <c r="AK2865" s="72"/>
      <c r="AL2865" s="72"/>
      <c r="AM2865" s="72"/>
    </row>
    <row r="2866" spans="1:39" x14ac:dyDescent="0.25">
      <c r="A2866" s="37" t="s">
        <v>62</v>
      </c>
      <c r="B2866" s="66" t="s">
        <v>1644</v>
      </c>
      <c r="C2866" s="4">
        <v>1001</v>
      </c>
      <c r="D2866" s="41" t="s">
        <v>92</v>
      </c>
      <c r="E2866" s="41">
        <v>10010057</v>
      </c>
      <c r="F2866" s="85" t="s">
        <v>425</v>
      </c>
      <c r="G2866" s="39" t="s">
        <v>635</v>
      </c>
      <c r="H2866" s="52" t="s">
        <v>99</v>
      </c>
      <c r="I2866" s="52">
        <v>9349.5</v>
      </c>
      <c r="J2866" s="49">
        <v>340668.10344630003</v>
      </c>
      <c r="K2866" s="58">
        <v>0</v>
      </c>
      <c r="L2866" s="58">
        <v>0</v>
      </c>
      <c r="M2866" s="58">
        <v>0</v>
      </c>
      <c r="N2866" s="58">
        <v>0</v>
      </c>
      <c r="O2866" s="58">
        <v>0</v>
      </c>
      <c r="P2866" s="53">
        <v>0</v>
      </c>
      <c r="Q2866" s="65">
        <v>340668.10344630003</v>
      </c>
      <c r="R2866" s="65">
        <v>0</v>
      </c>
      <c r="S2866" s="65">
        <v>0</v>
      </c>
      <c r="T2866" s="65">
        <v>0</v>
      </c>
      <c r="U2866" s="58">
        <v>0</v>
      </c>
      <c r="V2866" s="65">
        <v>0</v>
      </c>
      <c r="W2866" s="65">
        <v>0</v>
      </c>
      <c r="X2866" s="65">
        <v>0</v>
      </c>
      <c r="Y2866" s="65">
        <v>0</v>
      </c>
      <c r="Z2866" s="51">
        <v>340668.10344630003</v>
      </c>
      <c r="AA2866" s="51">
        <v>0</v>
      </c>
      <c r="AB2866" s="102">
        <v>0</v>
      </c>
      <c r="AC2866" s="81">
        <f t="shared" si="136"/>
        <v>0</v>
      </c>
      <c r="AD2866" s="82">
        <f t="shared" si="137"/>
        <v>0</v>
      </c>
      <c r="AE2866" s="218">
        <v>0</v>
      </c>
      <c r="AF2866">
        <v>0</v>
      </c>
      <c r="AH2866" t="str">
        <f t="shared" si="135"/>
        <v>Majhaul</v>
      </c>
      <c r="AJ2866" s="72">
        <v>0</v>
      </c>
      <c r="AK2866" s="72"/>
      <c r="AL2866" s="72"/>
      <c r="AM2866" s="72"/>
    </row>
    <row r="2867" spans="1:39" x14ac:dyDescent="0.25">
      <c r="A2867" s="37" t="s">
        <v>62</v>
      </c>
      <c r="B2867" s="66" t="s">
        <v>1644</v>
      </c>
      <c r="C2867" s="4">
        <v>1001</v>
      </c>
      <c r="D2867" s="41" t="s">
        <v>92</v>
      </c>
      <c r="E2867" s="41">
        <v>10010066</v>
      </c>
      <c r="F2867" s="85" t="s">
        <v>1630</v>
      </c>
      <c r="G2867" s="39" t="s">
        <v>93</v>
      </c>
      <c r="H2867" s="52" t="s">
        <v>94</v>
      </c>
      <c r="I2867" s="52">
        <v>182.2</v>
      </c>
      <c r="J2867" s="49">
        <v>5991.5445682980007</v>
      </c>
      <c r="K2867" s="58">
        <v>182.4</v>
      </c>
      <c r="L2867" s="58">
        <v>6292.314327600001</v>
      </c>
      <c r="M2867" s="58">
        <v>0</v>
      </c>
      <c r="N2867" s="58">
        <v>0</v>
      </c>
      <c r="O2867" s="58">
        <v>182.4</v>
      </c>
      <c r="P2867" s="53">
        <v>6292.314327600001</v>
      </c>
      <c r="Q2867" s="65">
        <v>5991.5445682980007</v>
      </c>
      <c r="R2867" s="65">
        <v>0</v>
      </c>
      <c r="S2867" s="65">
        <v>0</v>
      </c>
      <c r="T2867" s="65">
        <v>300.76975930200024</v>
      </c>
      <c r="U2867" s="58">
        <v>0</v>
      </c>
      <c r="V2867" s="65">
        <v>0</v>
      </c>
      <c r="W2867" s="65">
        <v>0</v>
      </c>
      <c r="X2867" s="65">
        <v>5992</v>
      </c>
      <c r="Y2867" s="65">
        <v>0</v>
      </c>
      <c r="Z2867" s="51">
        <v>0</v>
      </c>
      <c r="AA2867" s="51">
        <v>0</v>
      </c>
      <c r="AB2867" s="102">
        <v>0</v>
      </c>
      <c r="AC2867" s="81">
        <f t="shared" si="136"/>
        <v>340.55123792148248</v>
      </c>
      <c r="AD2867" s="82">
        <f t="shared" si="137"/>
        <v>26.028571428571428</v>
      </c>
      <c r="AE2867" s="218">
        <v>-5.0199035636555228E-2</v>
      </c>
      <c r="AF2867">
        <v>1</v>
      </c>
      <c r="AH2867" t="str">
        <f t="shared" si="135"/>
        <v>Majhaul</v>
      </c>
      <c r="AJ2867" s="72">
        <v>0</v>
      </c>
      <c r="AK2867" s="72"/>
      <c r="AL2867" s="72"/>
      <c r="AM2867" s="72"/>
    </row>
    <row r="2868" spans="1:39" x14ac:dyDescent="0.25">
      <c r="A2868" s="37" t="s">
        <v>62</v>
      </c>
      <c r="B2868" s="66" t="s">
        <v>1644</v>
      </c>
      <c r="C2868" s="4">
        <v>1001</v>
      </c>
      <c r="D2868" s="41" t="s">
        <v>92</v>
      </c>
      <c r="E2868" s="41">
        <v>10010076</v>
      </c>
      <c r="F2868" s="85" t="s">
        <v>433</v>
      </c>
      <c r="G2868" s="39" t="s">
        <v>93</v>
      </c>
      <c r="H2868" s="52" t="s">
        <v>94</v>
      </c>
      <c r="I2868" s="52">
        <v>500.90000000000003</v>
      </c>
      <c r="J2868" s="49">
        <v>20422.3860382251</v>
      </c>
      <c r="K2868" s="58">
        <v>120.64</v>
      </c>
      <c r="L2868" s="58">
        <v>4985.9397297328796</v>
      </c>
      <c r="M2868" s="58">
        <v>422.24</v>
      </c>
      <c r="N2868" s="58">
        <v>18267.295254110883</v>
      </c>
      <c r="O2868" s="58">
        <v>542.88</v>
      </c>
      <c r="P2868" s="53">
        <v>23253.234983843762</v>
      </c>
      <c r="Q2868" s="65">
        <v>20422.3860382251</v>
      </c>
      <c r="R2868" s="65">
        <v>0</v>
      </c>
      <c r="S2868" s="65">
        <v>0</v>
      </c>
      <c r="T2868" s="65">
        <v>2830.8489456186617</v>
      </c>
      <c r="U2868" s="58">
        <v>0</v>
      </c>
      <c r="V2868" s="65">
        <v>0</v>
      </c>
      <c r="W2868" s="65">
        <v>0</v>
      </c>
      <c r="X2868" s="65">
        <v>2154</v>
      </c>
      <c r="Y2868" s="65">
        <v>18268</v>
      </c>
      <c r="Z2868" s="51">
        <v>0</v>
      </c>
      <c r="AA2868" s="51">
        <v>0</v>
      </c>
      <c r="AB2868" s="102">
        <v>0</v>
      </c>
      <c r="AC2868" s="81">
        <f t="shared" si="136"/>
        <v>162.35164943943369</v>
      </c>
      <c r="AD2868" s="82">
        <f t="shared" si="137"/>
        <v>71.557142857142864</v>
      </c>
      <c r="AE2868" s="218">
        <v>-0.13861499534481864</v>
      </c>
      <c r="AF2868">
        <v>8</v>
      </c>
      <c r="AH2868" t="str">
        <f t="shared" si="135"/>
        <v>Majhaul</v>
      </c>
      <c r="AJ2868" s="72">
        <v>0</v>
      </c>
      <c r="AK2868" s="72"/>
      <c r="AL2868" s="72"/>
      <c r="AM2868" s="72"/>
    </row>
    <row r="2869" spans="1:39" x14ac:dyDescent="0.25">
      <c r="A2869" s="37" t="s">
        <v>62</v>
      </c>
      <c r="B2869" s="66" t="s">
        <v>1644</v>
      </c>
      <c r="C2869" s="4">
        <v>1001</v>
      </c>
      <c r="D2869" s="41" t="s">
        <v>92</v>
      </c>
      <c r="E2869" s="41">
        <v>10010082</v>
      </c>
      <c r="F2869" s="85" t="s">
        <v>457</v>
      </c>
      <c r="G2869" s="39" t="s">
        <v>93</v>
      </c>
      <c r="H2869" s="52" t="s">
        <v>94</v>
      </c>
      <c r="I2869" s="52">
        <v>1032</v>
      </c>
      <c r="J2869" s="49">
        <v>40402.855368779994</v>
      </c>
      <c r="K2869" s="58">
        <v>1045.7800000000002</v>
      </c>
      <c r="L2869" s="58">
        <v>40991.10838043323</v>
      </c>
      <c r="M2869" s="58">
        <v>20.32</v>
      </c>
      <c r="N2869" s="58">
        <v>1004.1015227024402</v>
      </c>
      <c r="O2869" s="58">
        <v>1066.1000000000001</v>
      </c>
      <c r="P2869" s="53">
        <v>41995.20990313567</v>
      </c>
      <c r="Q2869" s="65">
        <v>40402.855368779994</v>
      </c>
      <c r="R2869" s="65">
        <v>0</v>
      </c>
      <c r="S2869" s="65">
        <v>0</v>
      </c>
      <c r="T2869" s="65">
        <v>1592.3545343556762</v>
      </c>
      <c r="U2869" s="58">
        <v>0</v>
      </c>
      <c r="V2869" s="65">
        <v>0</v>
      </c>
      <c r="W2869" s="65">
        <v>0</v>
      </c>
      <c r="X2869" s="65">
        <v>39399</v>
      </c>
      <c r="Y2869" s="65">
        <v>1004</v>
      </c>
      <c r="Z2869" s="51">
        <v>0</v>
      </c>
      <c r="AA2869" s="51">
        <v>0</v>
      </c>
      <c r="AB2869" s="102" t="s">
        <v>68</v>
      </c>
      <c r="AC2869" s="81">
        <f t="shared" si="136"/>
        <v>0</v>
      </c>
      <c r="AD2869" s="82">
        <f t="shared" si="137"/>
        <v>0</v>
      </c>
      <c r="AE2869" s="218">
        <v>-3.9411930662358999E-2</v>
      </c>
      <c r="AF2869">
        <v>10</v>
      </c>
      <c r="AH2869" t="str">
        <f t="shared" si="135"/>
        <v>Majhaul</v>
      </c>
      <c r="AJ2869" s="72">
        <v>0</v>
      </c>
      <c r="AK2869" s="72"/>
      <c r="AL2869" s="72"/>
      <c r="AM2869" s="72"/>
    </row>
    <row r="2870" spans="1:39" x14ac:dyDescent="0.25">
      <c r="A2870" s="37" t="s">
        <v>62</v>
      </c>
      <c r="B2870" s="66" t="s">
        <v>1644</v>
      </c>
      <c r="C2870" s="4">
        <v>1001</v>
      </c>
      <c r="D2870" s="41" t="s">
        <v>92</v>
      </c>
      <c r="E2870" s="41">
        <v>10010084</v>
      </c>
      <c r="F2870" s="85" t="s">
        <v>458</v>
      </c>
      <c r="G2870" s="39" t="s">
        <v>635</v>
      </c>
      <c r="H2870" s="52" t="s">
        <v>99</v>
      </c>
      <c r="I2870" s="52">
        <v>150.5</v>
      </c>
      <c r="J2870" s="49">
        <v>5265.9447066254997</v>
      </c>
      <c r="K2870" s="58">
        <v>0</v>
      </c>
      <c r="L2870" s="58">
        <v>0</v>
      </c>
      <c r="M2870" s="58">
        <v>0</v>
      </c>
      <c r="N2870" s="58">
        <v>0</v>
      </c>
      <c r="O2870" s="58">
        <v>0</v>
      </c>
      <c r="P2870" s="53">
        <v>0</v>
      </c>
      <c r="Q2870" s="65">
        <v>5265.9447066254997</v>
      </c>
      <c r="R2870" s="65">
        <v>0</v>
      </c>
      <c r="S2870" s="65">
        <v>0</v>
      </c>
      <c r="T2870" s="65">
        <v>0</v>
      </c>
      <c r="U2870" s="58">
        <v>0</v>
      </c>
      <c r="V2870" s="65">
        <v>0</v>
      </c>
      <c r="W2870" s="65">
        <v>0</v>
      </c>
      <c r="X2870" s="65">
        <v>0</v>
      </c>
      <c r="Y2870" s="65">
        <v>0</v>
      </c>
      <c r="Z2870" s="51">
        <v>5265.9447066254997</v>
      </c>
      <c r="AA2870" s="51">
        <v>0</v>
      </c>
      <c r="AB2870" s="102">
        <v>0</v>
      </c>
      <c r="AC2870" s="81">
        <f t="shared" si="136"/>
        <v>384.53642741404809</v>
      </c>
      <c r="AD2870" s="82">
        <f t="shared" si="137"/>
        <v>21.5</v>
      </c>
      <c r="AE2870" s="218">
        <v>0</v>
      </c>
      <c r="AF2870">
        <v>0</v>
      </c>
      <c r="AH2870" t="str">
        <f t="shared" si="135"/>
        <v>Majhaul</v>
      </c>
      <c r="AJ2870" s="72">
        <v>0</v>
      </c>
      <c r="AK2870" s="72"/>
      <c r="AL2870" s="72"/>
      <c r="AM2870" s="72"/>
    </row>
    <row r="2871" spans="1:39" x14ac:dyDescent="0.25">
      <c r="A2871" s="37" t="s">
        <v>62</v>
      </c>
      <c r="B2871" s="66" t="s">
        <v>1644</v>
      </c>
      <c r="C2871" s="4">
        <v>1058</v>
      </c>
      <c r="D2871" s="41" t="s">
        <v>1344</v>
      </c>
      <c r="E2871" s="41">
        <v>10010086</v>
      </c>
      <c r="F2871" s="85" t="s">
        <v>480</v>
      </c>
      <c r="G2871" s="39" t="s">
        <v>93</v>
      </c>
      <c r="H2871" s="52" t="s">
        <v>94</v>
      </c>
      <c r="I2871" s="52">
        <v>134.19999999999999</v>
      </c>
      <c r="J2871" s="49">
        <v>5396.5287246072994</v>
      </c>
      <c r="K2871" s="58">
        <v>154.39999999999998</v>
      </c>
      <c r="L2871" s="58">
        <v>6517.3479252909565</v>
      </c>
      <c r="M2871" s="58">
        <v>3.1099999999999994</v>
      </c>
      <c r="N2871" s="58">
        <v>129.30323247099403</v>
      </c>
      <c r="O2871" s="58">
        <v>157.51</v>
      </c>
      <c r="P2871" s="53">
        <v>6646.6511577619503</v>
      </c>
      <c r="Q2871" s="65">
        <v>5396.5287246072994</v>
      </c>
      <c r="R2871" s="65">
        <v>0</v>
      </c>
      <c r="S2871" s="65">
        <v>129.30323247099403</v>
      </c>
      <c r="T2871" s="65">
        <v>1250.1224331546509</v>
      </c>
      <c r="U2871" s="58">
        <v>0</v>
      </c>
      <c r="V2871" s="65">
        <v>500</v>
      </c>
      <c r="W2871" s="65">
        <v>0</v>
      </c>
      <c r="X2871" s="65">
        <v>4767</v>
      </c>
      <c r="Y2871" s="65">
        <v>0</v>
      </c>
      <c r="Z2871" s="51">
        <v>0</v>
      </c>
      <c r="AA2871" s="51">
        <v>0</v>
      </c>
      <c r="AB2871" s="102" t="s">
        <v>68</v>
      </c>
      <c r="AC2871" s="81">
        <f t="shared" si="136"/>
        <v>455.04559648029959</v>
      </c>
      <c r="AD2871" s="82">
        <f t="shared" si="137"/>
        <v>19.171428571428571</v>
      </c>
      <c r="AE2871" s="218">
        <v>-0.23165306754586418</v>
      </c>
      <c r="AF2871">
        <v>9</v>
      </c>
      <c r="AH2871" t="str">
        <f t="shared" si="135"/>
        <v>Hasanpur</v>
      </c>
      <c r="AJ2871" s="72">
        <v>500</v>
      </c>
      <c r="AK2871" s="72"/>
      <c r="AL2871" s="72"/>
      <c r="AM2871" s="72"/>
    </row>
    <row r="2872" spans="1:39" x14ac:dyDescent="0.25">
      <c r="A2872" s="37" t="s">
        <v>62</v>
      </c>
      <c r="B2872" s="66" t="s">
        <v>1644</v>
      </c>
      <c r="C2872" s="4">
        <v>1058</v>
      </c>
      <c r="D2872" s="41" t="s">
        <v>1344</v>
      </c>
      <c r="E2872" s="41">
        <v>10010089</v>
      </c>
      <c r="F2872" s="85" t="s">
        <v>481</v>
      </c>
      <c r="G2872" s="39" t="s">
        <v>93</v>
      </c>
      <c r="H2872" s="52" t="s">
        <v>94</v>
      </c>
      <c r="I2872" s="52">
        <v>335.1</v>
      </c>
      <c r="J2872" s="49">
        <v>12394.318006329002</v>
      </c>
      <c r="K2872" s="58">
        <v>185.54</v>
      </c>
      <c r="L2872" s="58">
        <v>6667.6561778214009</v>
      </c>
      <c r="M2872" s="58">
        <v>185.34000000000003</v>
      </c>
      <c r="N2872" s="58">
        <v>7721.0086314567088</v>
      </c>
      <c r="O2872" s="58">
        <v>370.88</v>
      </c>
      <c r="P2872" s="53">
        <v>14388.664809278111</v>
      </c>
      <c r="Q2872" s="65">
        <v>12394.318006329002</v>
      </c>
      <c r="R2872" s="65">
        <v>0</v>
      </c>
      <c r="S2872" s="65">
        <v>289.72290355920001</v>
      </c>
      <c r="T2872" s="65">
        <v>1994.3468029491087</v>
      </c>
      <c r="U2872" s="58">
        <v>0</v>
      </c>
      <c r="V2872" s="65">
        <v>0</v>
      </c>
      <c r="W2872" s="65">
        <v>0</v>
      </c>
      <c r="X2872" s="65">
        <v>4672</v>
      </c>
      <c r="Y2872" s="65">
        <v>7432</v>
      </c>
      <c r="Z2872" s="51">
        <v>0</v>
      </c>
      <c r="AA2872" s="51">
        <v>1</v>
      </c>
      <c r="AB2872" s="102">
        <v>0</v>
      </c>
      <c r="AC2872" s="81">
        <f t="shared" si="136"/>
        <v>269.93056642849609</v>
      </c>
      <c r="AD2872" s="82">
        <f t="shared" si="137"/>
        <v>47.871428571428574</v>
      </c>
      <c r="AE2872" s="218">
        <v>-0.16090815177815518</v>
      </c>
      <c r="AF2872">
        <v>17</v>
      </c>
      <c r="AH2872" t="str">
        <f t="shared" si="135"/>
        <v>Hasanpur</v>
      </c>
      <c r="AJ2872" s="72">
        <v>0</v>
      </c>
      <c r="AK2872" s="72"/>
      <c r="AL2872" s="72"/>
      <c r="AM2872" s="72"/>
    </row>
    <row r="2873" spans="1:39" x14ac:dyDescent="0.25">
      <c r="A2873" s="37" t="s">
        <v>62</v>
      </c>
      <c r="B2873" s="66" t="s">
        <v>1644</v>
      </c>
      <c r="C2873" s="4">
        <v>1001</v>
      </c>
      <c r="D2873" s="41" t="s">
        <v>92</v>
      </c>
      <c r="E2873" s="41">
        <v>10010092</v>
      </c>
      <c r="F2873" s="85" t="s">
        <v>528</v>
      </c>
      <c r="G2873" s="39" t="s">
        <v>635</v>
      </c>
      <c r="H2873" s="52" t="s">
        <v>99</v>
      </c>
      <c r="I2873" s="52">
        <v>856.39999999999986</v>
      </c>
      <c r="J2873" s="49">
        <v>27448.955198368501</v>
      </c>
      <c r="K2873" s="58">
        <v>0</v>
      </c>
      <c r="L2873" s="58">
        <v>0</v>
      </c>
      <c r="M2873" s="58">
        <v>0</v>
      </c>
      <c r="N2873" s="58">
        <v>0</v>
      </c>
      <c r="O2873" s="58">
        <v>0</v>
      </c>
      <c r="P2873" s="53">
        <v>0</v>
      </c>
      <c r="Q2873" s="65">
        <v>27448.955198368501</v>
      </c>
      <c r="R2873" s="65">
        <v>0</v>
      </c>
      <c r="S2873" s="65">
        <v>0</v>
      </c>
      <c r="T2873" s="65">
        <v>0</v>
      </c>
      <c r="U2873" s="58">
        <v>0</v>
      </c>
      <c r="V2873" s="65">
        <v>0</v>
      </c>
      <c r="W2873" s="65">
        <v>0</v>
      </c>
      <c r="X2873" s="65">
        <v>0</v>
      </c>
      <c r="Y2873" s="65">
        <v>0</v>
      </c>
      <c r="Z2873" s="51">
        <v>27448.955198368501</v>
      </c>
      <c r="AA2873" s="51">
        <v>0</v>
      </c>
      <c r="AB2873" s="102">
        <v>0</v>
      </c>
      <c r="AC2873" s="81">
        <f t="shared" si="136"/>
        <v>0</v>
      </c>
      <c r="AD2873" s="82">
        <f t="shared" si="137"/>
        <v>0</v>
      </c>
      <c r="AE2873" s="218">
        <v>0</v>
      </c>
      <c r="AF2873">
        <v>0</v>
      </c>
      <c r="AH2873" t="str">
        <f t="shared" si="135"/>
        <v>Majhaul</v>
      </c>
      <c r="AJ2873" s="72">
        <v>0</v>
      </c>
      <c r="AK2873" s="72"/>
      <c r="AL2873" s="72"/>
      <c r="AM2873" s="72"/>
    </row>
    <row r="2874" spans="1:39" x14ac:dyDescent="0.25">
      <c r="A2874" s="37" t="s">
        <v>62</v>
      </c>
      <c r="B2874" s="66" t="s">
        <v>1644</v>
      </c>
      <c r="C2874" s="4">
        <v>1058</v>
      </c>
      <c r="D2874" s="41" t="s">
        <v>1344</v>
      </c>
      <c r="E2874" s="41">
        <v>10010095</v>
      </c>
      <c r="F2874" s="85" t="s">
        <v>529</v>
      </c>
      <c r="G2874" s="39" t="s">
        <v>93</v>
      </c>
      <c r="H2874" s="52" t="s">
        <v>94</v>
      </c>
      <c r="I2874" s="52">
        <v>283.79999999999995</v>
      </c>
      <c r="J2874" s="49">
        <v>11512.760355046801</v>
      </c>
      <c r="K2874" s="58">
        <v>357.2</v>
      </c>
      <c r="L2874" s="58">
        <v>14501.47115763</v>
      </c>
      <c r="M2874" s="58">
        <v>0</v>
      </c>
      <c r="N2874" s="58">
        <v>0</v>
      </c>
      <c r="O2874" s="58">
        <v>357.2</v>
      </c>
      <c r="P2874" s="53">
        <v>14501.47115763</v>
      </c>
      <c r="Q2874" s="65">
        <v>11512.760355046801</v>
      </c>
      <c r="R2874" s="65">
        <v>0</v>
      </c>
      <c r="S2874" s="65">
        <v>0</v>
      </c>
      <c r="T2874" s="65">
        <v>2988.7108025831985</v>
      </c>
      <c r="U2874" s="58">
        <v>0</v>
      </c>
      <c r="V2874" s="65">
        <v>0</v>
      </c>
      <c r="W2874" s="65">
        <v>0</v>
      </c>
      <c r="X2874" s="65">
        <v>11513</v>
      </c>
      <c r="Y2874" s="65">
        <v>0</v>
      </c>
      <c r="Z2874" s="51">
        <v>0</v>
      </c>
      <c r="AA2874" s="51">
        <v>0</v>
      </c>
      <c r="AB2874" s="102">
        <v>0</v>
      </c>
      <c r="AC2874" s="81">
        <f t="shared" si="136"/>
        <v>337.67518391617199</v>
      </c>
      <c r="AD2874" s="82">
        <f t="shared" si="137"/>
        <v>40.542857142857137</v>
      </c>
      <c r="AE2874" s="218">
        <v>-0.25959984490366378</v>
      </c>
      <c r="AF2874">
        <v>2</v>
      </c>
      <c r="AH2874" t="str">
        <f t="shared" si="135"/>
        <v>Hasanpur</v>
      </c>
      <c r="AJ2874" s="72">
        <v>0</v>
      </c>
      <c r="AK2874" s="72"/>
      <c r="AL2874" s="72"/>
      <c r="AM2874" s="72"/>
    </row>
    <row r="2875" spans="1:39" x14ac:dyDescent="0.25">
      <c r="A2875" s="37" t="s">
        <v>62</v>
      </c>
      <c r="B2875" s="66" t="s">
        <v>1644</v>
      </c>
      <c r="C2875" s="4">
        <v>1001</v>
      </c>
      <c r="D2875" s="41" t="s">
        <v>92</v>
      </c>
      <c r="E2875" s="41">
        <v>10010097</v>
      </c>
      <c r="F2875" s="85" t="s">
        <v>534</v>
      </c>
      <c r="G2875" s="39" t="s">
        <v>93</v>
      </c>
      <c r="H2875" s="52" t="s">
        <v>94</v>
      </c>
      <c r="I2875" s="52">
        <v>1447.3</v>
      </c>
      <c r="J2875" s="49">
        <v>55857.121558080005</v>
      </c>
      <c r="K2875" s="58">
        <v>1426.2700000000002</v>
      </c>
      <c r="L2875" s="58">
        <v>55919.112132388007</v>
      </c>
      <c r="M2875" s="58">
        <v>1.65</v>
      </c>
      <c r="N2875" s="58">
        <v>64.18206681960001</v>
      </c>
      <c r="O2875" s="58">
        <v>1427.9200000000003</v>
      </c>
      <c r="P2875" s="53">
        <v>55983.294199207608</v>
      </c>
      <c r="Q2875" s="65">
        <v>55857.121558080005</v>
      </c>
      <c r="R2875" s="65">
        <v>0</v>
      </c>
      <c r="S2875" s="65">
        <v>64.18206681960001</v>
      </c>
      <c r="T2875" s="65">
        <v>126.17264112760313</v>
      </c>
      <c r="U2875" s="58">
        <v>0</v>
      </c>
      <c r="V2875" s="65">
        <v>0</v>
      </c>
      <c r="W2875" s="65">
        <v>0</v>
      </c>
      <c r="X2875" s="65">
        <v>55793</v>
      </c>
      <c r="Y2875" s="65">
        <v>0</v>
      </c>
      <c r="Z2875" s="51">
        <v>0</v>
      </c>
      <c r="AA2875" s="51">
        <v>0</v>
      </c>
      <c r="AB2875" s="102">
        <v>0</v>
      </c>
      <c r="AC2875" s="81">
        <f t="shared" si="136"/>
        <v>0</v>
      </c>
      <c r="AD2875" s="82">
        <f t="shared" si="137"/>
        <v>0</v>
      </c>
      <c r="AE2875" s="218">
        <v>-2.2588460989062843E-3</v>
      </c>
      <c r="AF2875">
        <v>13</v>
      </c>
      <c r="AH2875" t="str">
        <f t="shared" si="135"/>
        <v>Majhaul</v>
      </c>
      <c r="AJ2875" s="72">
        <v>0</v>
      </c>
      <c r="AK2875" s="72"/>
      <c r="AL2875" s="72"/>
      <c r="AM2875" s="72"/>
    </row>
    <row r="2876" spans="1:39" x14ac:dyDescent="0.25">
      <c r="A2876" s="37" t="s">
        <v>62</v>
      </c>
      <c r="B2876" s="66" t="s">
        <v>1644</v>
      </c>
      <c r="C2876" s="4">
        <v>1058</v>
      </c>
      <c r="D2876" s="41" t="s">
        <v>1344</v>
      </c>
      <c r="E2876" s="41">
        <v>10010098</v>
      </c>
      <c r="F2876" s="85" t="s">
        <v>530</v>
      </c>
      <c r="G2876" s="39" t="s">
        <v>93</v>
      </c>
      <c r="H2876" s="52" t="s">
        <v>94</v>
      </c>
      <c r="I2876" s="52">
        <v>217.5</v>
      </c>
      <c r="J2876" s="49">
        <v>7552.5412534370007</v>
      </c>
      <c r="K2876" s="58">
        <v>295.58</v>
      </c>
      <c r="L2876" s="58">
        <v>12440.923624884203</v>
      </c>
      <c r="M2876" s="58">
        <v>4.0199999999999996</v>
      </c>
      <c r="N2876" s="58">
        <v>186.23076024380001</v>
      </c>
      <c r="O2876" s="58">
        <v>299.59999999999997</v>
      </c>
      <c r="P2876" s="53">
        <v>12627.154385128002</v>
      </c>
      <c r="Q2876" s="65">
        <v>7552.5412534370007</v>
      </c>
      <c r="R2876" s="65">
        <v>0</v>
      </c>
      <c r="S2876" s="65">
        <v>186.23076024380001</v>
      </c>
      <c r="T2876" s="65">
        <v>5074.6131316910014</v>
      </c>
      <c r="U2876" s="58">
        <v>0</v>
      </c>
      <c r="V2876" s="65">
        <v>0</v>
      </c>
      <c r="W2876" s="65">
        <v>0</v>
      </c>
      <c r="X2876" s="65">
        <v>7366</v>
      </c>
      <c r="Y2876" s="65">
        <v>0</v>
      </c>
      <c r="Z2876" s="51">
        <v>0</v>
      </c>
      <c r="AA2876" s="51">
        <v>0</v>
      </c>
      <c r="AB2876" s="102" t="s">
        <v>68</v>
      </c>
      <c r="AC2876" s="81">
        <f t="shared" si="136"/>
        <v>335.08976135938872</v>
      </c>
      <c r="AD2876" s="82">
        <f t="shared" si="137"/>
        <v>31.071428571428573</v>
      </c>
      <c r="AE2876" s="218">
        <v>-0.67190803219799067</v>
      </c>
      <c r="AF2876">
        <v>6</v>
      </c>
      <c r="AH2876" t="str">
        <f t="shared" ref="AH2876:AH2939" si="138">TEXT(D2876,"0000")</f>
        <v>Hasanpur</v>
      </c>
      <c r="AJ2876" s="72">
        <v>0</v>
      </c>
      <c r="AK2876" s="72"/>
      <c r="AL2876" s="72"/>
      <c r="AM2876" s="72"/>
    </row>
    <row r="2877" spans="1:39" x14ac:dyDescent="0.25">
      <c r="A2877" s="37" t="s">
        <v>62</v>
      </c>
      <c r="B2877" s="66" t="s">
        <v>1644</v>
      </c>
      <c r="C2877" s="4">
        <v>1058</v>
      </c>
      <c r="D2877" s="41" t="s">
        <v>1344</v>
      </c>
      <c r="E2877" s="41">
        <v>10010099</v>
      </c>
      <c r="F2877" s="85" t="s">
        <v>569</v>
      </c>
      <c r="G2877" s="39" t="s">
        <v>93</v>
      </c>
      <c r="H2877" s="52" t="s">
        <v>94</v>
      </c>
      <c r="I2877" s="52">
        <v>114.39999999999999</v>
      </c>
      <c r="J2877" s="49">
        <v>5110.2054372840012</v>
      </c>
      <c r="K2877" s="58">
        <v>112.1</v>
      </c>
      <c r="L2877" s="58">
        <v>4393.1033632110002</v>
      </c>
      <c r="M2877" s="58">
        <v>0</v>
      </c>
      <c r="N2877" s="58">
        <v>0</v>
      </c>
      <c r="O2877" s="58">
        <v>112.1</v>
      </c>
      <c r="P2877" s="53">
        <v>4393.1033632110002</v>
      </c>
      <c r="Q2877" s="65">
        <v>4393.1033632110002</v>
      </c>
      <c r="R2877" s="65">
        <v>0</v>
      </c>
      <c r="S2877" s="65">
        <v>0</v>
      </c>
      <c r="T2877" s="65">
        <v>0</v>
      </c>
      <c r="U2877" s="58">
        <v>0</v>
      </c>
      <c r="V2877" s="65">
        <v>500</v>
      </c>
      <c r="W2877" s="65">
        <v>0</v>
      </c>
      <c r="X2877" s="65">
        <v>3893</v>
      </c>
      <c r="Y2877" s="65">
        <v>0</v>
      </c>
      <c r="Z2877" s="51">
        <v>0</v>
      </c>
      <c r="AA2877" s="51">
        <v>717</v>
      </c>
      <c r="AB2877" s="102">
        <v>0</v>
      </c>
      <c r="AC2877" s="81">
        <f t="shared" si="136"/>
        <v>523.17068253033415</v>
      </c>
      <c r="AD2877" s="82">
        <f t="shared" si="137"/>
        <v>16.342857142857142</v>
      </c>
      <c r="AE2877" s="218">
        <v>0.14032744531971891</v>
      </c>
      <c r="AF2877">
        <v>1</v>
      </c>
      <c r="AH2877" t="str">
        <f t="shared" si="138"/>
        <v>Hasanpur</v>
      </c>
      <c r="AJ2877" s="72">
        <v>500</v>
      </c>
      <c r="AK2877" s="72"/>
      <c r="AL2877" s="72"/>
      <c r="AM2877" s="72"/>
    </row>
    <row r="2878" spans="1:39" x14ac:dyDescent="0.25">
      <c r="A2878" s="37" t="s">
        <v>62</v>
      </c>
      <c r="B2878" s="66" t="s">
        <v>1644</v>
      </c>
      <c r="C2878" s="4">
        <v>1001</v>
      </c>
      <c r="D2878" s="41" t="s">
        <v>92</v>
      </c>
      <c r="E2878" s="41">
        <v>10010108</v>
      </c>
      <c r="F2878" s="85" t="s">
        <v>647</v>
      </c>
      <c r="G2878" s="39" t="s">
        <v>93</v>
      </c>
      <c r="H2878" s="52" t="s">
        <v>94</v>
      </c>
      <c r="I2878" s="52">
        <v>194.60000000000002</v>
      </c>
      <c r="J2878" s="49">
        <v>7240.0268635740013</v>
      </c>
      <c r="K2878" s="58">
        <v>207.7</v>
      </c>
      <c r="L2878" s="58">
        <v>7857.7177857411825</v>
      </c>
      <c r="M2878" s="58">
        <v>1.48</v>
      </c>
      <c r="N2878" s="58">
        <v>53.9992320108</v>
      </c>
      <c r="O2878" s="58">
        <v>209.17999999999998</v>
      </c>
      <c r="P2878" s="53">
        <v>7911.7170177519829</v>
      </c>
      <c r="Q2878" s="65">
        <v>7240.0268635740013</v>
      </c>
      <c r="R2878" s="65">
        <v>0</v>
      </c>
      <c r="S2878" s="65">
        <v>53.9992320108</v>
      </c>
      <c r="T2878" s="65">
        <v>671.69015417798164</v>
      </c>
      <c r="U2878" s="58">
        <v>0</v>
      </c>
      <c r="V2878" s="65">
        <v>500</v>
      </c>
      <c r="W2878" s="65">
        <v>0</v>
      </c>
      <c r="X2878" s="65">
        <v>6686</v>
      </c>
      <c r="Y2878" s="65">
        <v>0</v>
      </c>
      <c r="Z2878" s="51">
        <v>0</v>
      </c>
      <c r="AA2878" s="51">
        <v>0</v>
      </c>
      <c r="AB2878" s="102" t="s">
        <v>68</v>
      </c>
      <c r="AC2878" s="81">
        <f t="shared" si="136"/>
        <v>376.064704712261</v>
      </c>
      <c r="AD2878" s="82">
        <f t="shared" si="137"/>
        <v>27.800000000000004</v>
      </c>
      <c r="AE2878" s="218">
        <v>-9.2774538939542739E-2</v>
      </c>
      <c r="AF2878">
        <v>2</v>
      </c>
      <c r="AH2878" t="str">
        <f t="shared" si="138"/>
        <v>Majhaul</v>
      </c>
      <c r="AJ2878" s="72">
        <v>500</v>
      </c>
      <c r="AK2878" s="72"/>
      <c r="AL2878" s="72"/>
      <c r="AM2878" s="72"/>
    </row>
    <row r="2879" spans="1:39" x14ac:dyDescent="0.25">
      <c r="A2879" s="37" t="s">
        <v>62</v>
      </c>
      <c r="B2879" s="66" t="s">
        <v>1644</v>
      </c>
      <c r="C2879" s="4">
        <v>1001</v>
      </c>
      <c r="D2879" s="41" t="s">
        <v>92</v>
      </c>
      <c r="E2879" s="41">
        <v>10010109</v>
      </c>
      <c r="F2879" s="85" t="s">
        <v>648</v>
      </c>
      <c r="G2879" s="39" t="s">
        <v>635</v>
      </c>
      <c r="H2879" s="52" t="s">
        <v>99</v>
      </c>
      <c r="I2879" s="52">
        <v>324.69999999999993</v>
      </c>
      <c r="J2879" s="49">
        <v>11215.605973408503</v>
      </c>
      <c r="K2879" s="58">
        <v>0</v>
      </c>
      <c r="L2879" s="58">
        <v>0</v>
      </c>
      <c r="M2879" s="58">
        <v>0</v>
      </c>
      <c r="N2879" s="58">
        <v>0</v>
      </c>
      <c r="O2879" s="58">
        <v>0</v>
      </c>
      <c r="P2879" s="53">
        <v>0</v>
      </c>
      <c r="Q2879" s="65">
        <v>11215.605973408503</v>
      </c>
      <c r="R2879" s="65">
        <v>0</v>
      </c>
      <c r="S2879" s="65">
        <v>0</v>
      </c>
      <c r="T2879" s="65">
        <v>0</v>
      </c>
      <c r="U2879" s="58">
        <v>0</v>
      </c>
      <c r="V2879" s="65">
        <v>0</v>
      </c>
      <c r="W2879" s="65">
        <v>0</v>
      </c>
      <c r="X2879" s="65">
        <v>0</v>
      </c>
      <c r="Y2879" s="65">
        <v>0</v>
      </c>
      <c r="Z2879" s="51">
        <v>11215.605973408503</v>
      </c>
      <c r="AA2879" s="51">
        <v>0</v>
      </c>
      <c r="AB2879" s="102">
        <v>0</v>
      </c>
      <c r="AC2879" s="81">
        <f t="shared" si="136"/>
        <v>259.26805801171622</v>
      </c>
      <c r="AD2879" s="82">
        <f t="shared" si="137"/>
        <v>46.385714285714279</v>
      </c>
      <c r="AE2879" s="218">
        <v>0</v>
      </c>
      <c r="AF2879">
        <v>0</v>
      </c>
      <c r="AH2879" t="str">
        <f t="shared" si="138"/>
        <v>Majhaul</v>
      </c>
      <c r="AJ2879" s="72">
        <v>0</v>
      </c>
      <c r="AK2879" s="72"/>
      <c r="AL2879" s="72"/>
      <c r="AM2879" s="72"/>
    </row>
    <row r="2880" spans="1:39" x14ac:dyDescent="0.25">
      <c r="A2880" s="37" t="s">
        <v>62</v>
      </c>
      <c r="B2880" s="66" t="s">
        <v>1644</v>
      </c>
      <c r="C2880" s="4">
        <v>1001</v>
      </c>
      <c r="D2880" s="41" t="s">
        <v>92</v>
      </c>
      <c r="E2880" s="41">
        <v>10010113</v>
      </c>
      <c r="F2880" s="85" t="s">
        <v>824</v>
      </c>
      <c r="G2880" s="39" t="s">
        <v>93</v>
      </c>
      <c r="H2880" s="52" t="s">
        <v>94</v>
      </c>
      <c r="I2880" s="52">
        <v>815.49999999999989</v>
      </c>
      <c r="J2880" s="49">
        <v>32832.788775000001</v>
      </c>
      <c r="K2880" s="58">
        <v>814.93999999999994</v>
      </c>
      <c r="L2880" s="58">
        <v>32373.140360127953</v>
      </c>
      <c r="M2880" s="58">
        <v>6.6100000000000012</v>
      </c>
      <c r="N2880" s="58">
        <v>264.086364291</v>
      </c>
      <c r="O2880" s="58">
        <v>821.55</v>
      </c>
      <c r="P2880" s="53">
        <v>32637.226724418953</v>
      </c>
      <c r="Q2880" s="65">
        <v>32637.226724418953</v>
      </c>
      <c r="R2880" s="65">
        <v>0</v>
      </c>
      <c r="S2880" s="65">
        <v>264.086364291</v>
      </c>
      <c r="T2880" s="65">
        <v>0</v>
      </c>
      <c r="U2880" s="58">
        <v>0</v>
      </c>
      <c r="V2880" s="65">
        <v>0</v>
      </c>
      <c r="W2880" s="65">
        <v>0</v>
      </c>
      <c r="X2880" s="65">
        <v>32372</v>
      </c>
      <c r="Y2880" s="65">
        <v>0</v>
      </c>
      <c r="Z2880" s="51">
        <v>0</v>
      </c>
      <c r="AA2880" s="51">
        <v>197</v>
      </c>
      <c r="AB2880" s="102">
        <v>0</v>
      </c>
      <c r="AC2880" s="81">
        <f t="shared" si="136"/>
        <v>0</v>
      </c>
      <c r="AD2880" s="82">
        <f t="shared" si="137"/>
        <v>0</v>
      </c>
      <c r="AE2880" s="218">
        <v>5.9563033746909463E-3</v>
      </c>
      <c r="AF2880">
        <v>25</v>
      </c>
      <c r="AH2880" t="str">
        <f t="shared" si="138"/>
        <v>Majhaul</v>
      </c>
      <c r="AJ2880" s="72">
        <v>0</v>
      </c>
      <c r="AK2880" s="72"/>
      <c r="AL2880" s="72"/>
      <c r="AM2880" s="72"/>
    </row>
    <row r="2881" spans="1:39" x14ac:dyDescent="0.25">
      <c r="A2881" s="37" t="s">
        <v>62</v>
      </c>
      <c r="B2881" s="66" t="s">
        <v>1644</v>
      </c>
      <c r="C2881" s="4">
        <v>1001</v>
      </c>
      <c r="D2881" s="41" t="s">
        <v>92</v>
      </c>
      <c r="E2881" s="41">
        <v>10010116</v>
      </c>
      <c r="F2881" s="85" t="s">
        <v>845</v>
      </c>
      <c r="G2881" s="39" t="s">
        <v>635</v>
      </c>
      <c r="H2881" s="52" t="s">
        <v>99</v>
      </c>
      <c r="I2881" s="52">
        <v>622.69999999999993</v>
      </c>
      <c r="J2881" s="49">
        <v>23021.566963365003</v>
      </c>
      <c r="K2881" s="58">
        <v>0</v>
      </c>
      <c r="L2881" s="58">
        <v>0</v>
      </c>
      <c r="M2881" s="58">
        <v>0</v>
      </c>
      <c r="N2881" s="58">
        <v>0</v>
      </c>
      <c r="O2881" s="58">
        <v>0</v>
      </c>
      <c r="P2881" s="53">
        <v>0</v>
      </c>
      <c r="Q2881" s="65">
        <v>23021.566963365003</v>
      </c>
      <c r="R2881" s="65">
        <v>0</v>
      </c>
      <c r="S2881" s="65">
        <v>0</v>
      </c>
      <c r="T2881" s="65">
        <v>0</v>
      </c>
      <c r="U2881" s="58">
        <v>0</v>
      </c>
      <c r="V2881" s="65">
        <v>0</v>
      </c>
      <c r="W2881" s="65">
        <v>0</v>
      </c>
      <c r="X2881" s="65">
        <v>0</v>
      </c>
      <c r="Y2881" s="65">
        <v>0</v>
      </c>
      <c r="Z2881" s="51">
        <v>23021.566963365003</v>
      </c>
      <c r="AA2881" s="51">
        <v>0</v>
      </c>
      <c r="AB2881" s="102">
        <v>0</v>
      </c>
      <c r="AC2881" s="81">
        <f t="shared" ref="AC2881:AC2944" si="139">((IF(AD2881=0,0,100-AD2881))*7*(J2881/I2881))*2%</f>
        <v>57.156483901336678</v>
      </c>
      <c r="AD2881" s="82">
        <f t="shared" ref="AD2881:AD2944" si="140">IF((I2881/7)&gt;100,0,(I2881/7))</f>
        <v>88.957142857142841</v>
      </c>
      <c r="AE2881" s="218">
        <v>0</v>
      </c>
      <c r="AF2881">
        <v>0</v>
      </c>
      <c r="AH2881" t="str">
        <f t="shared" si="138"/>
        <v>Majhaul</v>
      </c>
      <c r="AJ2881" s="72">
        <v>0</v>
      </c>
      <c r="AK2881" s="72"/>
      <c r="AL2881" s="72"/>
      <c r="AM2881" s="72"/>
    </row>
    <row r="2882" spans="1:39" x14ac:dyDescent="0.25">
      <c r="A2882" s="37" t="s">
        <v>62</v>
      </c>
      <c r="B2882" s="66" t="s">
        <v>1644</v>
      </c>
      <c r="C2882" s="4">
        <v>1001</v>
      </c>
      <c r="D2882" s="41" t="s">
        <v>92</v>
      </c>
      <c r="E2882" s="41">
        <v>10010121</v>
      </c>
      <c r="F2882" s="85" t="s">
        <v>1139</v>
      </c>
      <c r="G2882" s="39" t="s">
        <v>93</v>
      </c>
      <c r="H2882" s="52" t="s">
        <v>94</v>
      </c>
      <c r="I2882" s="52">
        <v>1562.9999999999998</v>
      </c>
      <c r="J2882" s="49">
        <v>58435.16179920001</v>
      </c>
      <c r="K2882" s="58">
        <v>1213.9400000000003</v>
      </c>
      <c r="L2882" s="58">
        <v>45230.618821106102</v>
      </c>
      <c r="M2882" s="58">
        <v>4.34</v>
      </c>
      <c r="N2882" s="58">
        <v>156.10938315300001</v>
      </c>
      <c r="O2882" s="58">
        <v>1218.2800000000002</v>
      </c>
      <c r="P2882" s="53">
        <v>45386.728204259103</v>
      </c>
      <c r="Q2882" s="65">
        <v>45386.728204259103</v>
      </c>
      <c r="R2882" s="65">
        <v>0</v>
      </c>
      <c r="S2882" s="65">
        <v>156.10938315300001</v>
      </c>
      <c r="T2882" s="65">
        <v>0</v>
      </c>
      <c r="U2882" s="58">
        <v>0</v>
      </c>
      <c r="V2882" s="65">
        <v>0</v>
      </c>
      <c r="W2882" s="65">
        <v>0</v>
      </c>
      <c r="X2882" s="65">
        <v>45230</v>
      </c>
      <c r="Y2882" s="65">
        <v>0</v>
      </c>
      <c r="Z2882" s="51">
        <v>0</v>
      </c>
      <c r="AA2882" s="51">
        <v>13049</v>
      </c>
      <c r="AB2882" s="102">
        <v>0</v>
      </c>
      <c r="AC2882" s="81">
        <f t="shared" si="139"/>
        <v>0</v>
      </c>
      <c r="AD2882" s="82">
        <f t="shared" si="140"/>
        <v>0</v>
      </c>
      <c r="AE2882" s="218">
        <v>0.22329763781229992</v>
      </c>
      <c r="AF2882">
        <v>11</v>
      </c>
      <c r="AH2882" t="str">
        <f t="shared" si="138"/>
        <v>Majhaul</v>
      </c>
      <c r="AJ2882" s="72">
        <v>0</v>
      </c>
      <c r="AK2882" s="72"/>
      <c r="AL2882" s="72"/>
      <c r="AM2882" s="72"/>
    </row>
    <row r="2883" spans="1:39" x14ac:dyDescent="0.25">
      <c r="A2883" s="37" t="s">
        <v>62</v>
      </c>
      <c r="B2883" s="66" t="s">
        <v>1644</v>
      </c>
      <c r="C2883" s="4">
        <v>1001</v>
      </c>
      <c r="D2883" s="41" t="s">
        <v>92</v>
      </c>
      <c r="E2883" s="41">
        <v>10010125</v>
      </c>
      <c r="F2883" s="85" t="s">
        <v>1149</v>
      </c>
      <c r="G2883" s="39" t="s">
        <v>635</v>
      </c>
      <c r="H2883" s="52" t="s">
        <v>99</v>
      </c>
      <c r="I2883" s="52">
        <v>485.90000000000003</v>
      </c>
      <c r="J2883" s="49">
        <v>19893.516682912101</v>
      </c>
      <c r="K2883" s="58">
        <v>0</v>
      </c>
      <c r="L2883" s="58">
        <v>0</v>
      </c>
      <c r="M2883" s="58">
        <v>0</v>
      </c>
      <c r="N2883" s="58">
        <v>0</v>
      </c>
      <c r="O2883" s="58">
        <v>0</v>
      </c>
      <c r="P2883" s="53">
        <v>0</v>
      </c>
      <c r="Q2883" s="65">
        <v>19893.516682912101</v>
      </c>
      <c r="R2883" s="65">
        <v>0</v>
      </c>
      <c r="S2883" s="65">
        <v>0</v>
      </c>
      <c r="T2883" s="65">
        <v>0</v>
      </c>
      <c r="U2883" s="58">
        <v>0</v>
      </c>
      <c r="V2883" s="65">
        <v>0</v>
      </c>
      <c r="W2883" s="65">
        <v>0</v>
      </c>
      <c r="X2883" s="65">
        <v>0</v>
      </c>
      <c r="Y2883" s="65">
        <v>0</v>
      </c>
      <c r="Z2883" s="51">
        <v>19893.516682912101</v>
      </c>
      <c r="AA2883" s="51">
        <v>0</v>
      </c>
      <c r="AB2883" s="102">
        <v>0</v>
      </c>
      <c r="AC2883" s="81">
        <f t="shared" si="139"/>
        <v>175.31187165307591</v>
      </c>
      <c r="AD2883" s="82">
        <f t="shared" si="140"/>
        <v>69.414285714285725</v>
      </c>
      <c r="AE2883" s="218">
        <v>0</v>
      </c>
      <c r="AF2883">
        <v>0</v>
      </c>
      <c r="AH2883" t="str">
        <f t="shared" si="138"/>
        <v>Majhaul</v>
      </c>
      <c r="AJ2883" s="72">
        <v>0</v>
      </c>
      <c r="AK2883" s="72"/>
      <c r="AL2883" s="72"/>
      <c r="AM2883" s="72"/>
    </row>
    <row r="2884" spans="1:39" x14ac:dyDescent="0.25">
      <c r="A2884" s="37" t="s">
        <v>62</v>
      </c>
      <c r="B2884" s="66" t="s">
        <v>1644</v>
      </c>
      <c r="C2884" s="4">
        <v>1001</v>
      </c>
      <c r="D2884" s="41" t="s">
        <v>92</v>
      </c>
      <c r="E2884" s="41">
        <v>10010128</v>
      </c>
      <c r="F2884" s="85" t="s">
        <v>1150</v>
      </c>
      <c r="G2884" s="39" t="s">
        <v>93</v>
      </c>
      <c r="H2884" s="52" t="s">
        <v>94</v>
      </c>
      <c r="I2884" s="52">
        <v>1139</v>
      </c>
      <c r="J2884" s="49">
        <v>46837.053425130005</v>
      </c>
      <c r="K2884" s="58">
        <v>1149.0999999999997</v>
      </c>
      <c r="L2884" s="58">
        <v>49017.122420794149</v>
      </c>
      <c r="M2884" s="58">
        <v>0</v>
      </c>
      <c r="N2884" s="58">
        <v>0</v>
      </c>
      <c r="O2884" s="58">
        <v>1149.0999999999997</v>
      </c>
      <c r="P2884" s="53">
        <v>49017.122420794149</v>
      </c>
      <c r="Q2884" s="65">
        <v>46837.053425130005</v>
      </c>
      <c r="R2884" s="65">
        <v>0</v>
      </c>
      <c r="S2884" s="65">
        <v>0</v>
      </c>
      <c r="T2884" s="65">
        <v>2180.0689956641436</v>
      </c>
      <c r="U2884" s="58">
        <v>0</v>
      </c>
      <c r="V2884" s="65">
        <v>0</v>
      </c>
      <c r="W2884" s="65">
        <v>0</v>
      </c>
      <c r="X2884" s="65">
        <v>46837</v>
      </c>
      <c r="Y2884" s="65">
        <v>0</v>
      </c>
      <c r="Z2884" s="51">
        <v>0</v>
      </c>
      <c r="AA2884" s="51">
        <v>0</v>
      </c>
      <c r="AB2884" s="102">
        <v>0</v>
      </c>
      <c r="AC2884" s="81">
        <f t="shared" si="139"/>
        <v>0</v>
      </c>
      <c r="AD2884" s="82">
        <f t="shared" si="140"/>
        <v>0</v>
      </c>
      <c r="AE2884" s="218">
        <v>-4.6545818667885007E-2</v>
      </c>
      <c r="AF2884">
        <v>4</v>
      </c>
      <c r="AH2884" t="str">
        <f t="shared" si="138"/>
        <v>Majhaul</v>
      </c>
      <c r="AJ2884" s="72">
        <v>0</v>
      </c>
      <c r="AK2884" s="72"/>
      <c r="AL2884" s="72"/>
      <c r="AM2884" s="72"/>
    </row>
    <row r="2885" spans="1:39" x14ac:dyDescent="0.25">
      <c r="A2885" s="37" t="s">
        <v>62</v>
      </c>
      <c r="B2885" s="66" t="s">
        <v>1644</v>
      </c>
      <c r="C2885" s="4">
        <v>1001</v>
      </c>
      <c r="D2885" s="41" t="s">
        <v>92</v>
      </c>
      <c r="E2885" s="41">
        <v>10010129</v>
      </c>
      <c r="F2885" s="85" t="s">
        <v>1151</v>
      </c>
      <c r="G2885" s="39" t="s">
        <v>635</v>
      </c>
      <c r="H2885" s="52" t="s">
        <v>99</v>
      </c>
      <c r="I2885" s="52">
        <v>1157.0999999999999</v>
      </c>
      <c r="J2885" s="49">
        <v>43690.369201686</v>
      </c>
      <c r="K2885" s="58">
        <v>0</v>
      </c>
      <c r="L2885" s="58">
        <v>0</v>
      </c>
      <c r="M2885" s="58">
        <v>0</v>
      </c>
      <c r="N2885" s="58">
        <v>0</v>
      </c>
      <c r="O2885" s="58">
        <v>0</v>
      </c>
      <c r="P2885" s="53">
        <v>0</v>
      </c>
      <c r="Q2885" s="65">
        <v>43690.369201686</v>
      </c>
      <c r="R2885" s="65">
        <v>0</v>
      </c>
      <c r="S2885" s="65">
        <v>0</v>
      </c>
      <c r="T2885" s="65">
        <v>0</v>
      </c>
      <c r="U2885" s="58">
        <v>0</v>
      </c>
      <c r="V2885" s="65">
        <v>0</v>
      </c>
      <c r="W2885" s="65">
        <v>0</v>
      </c>
      <c r="X2885" s="65">
        <v>0</v>
      </c>
      <c r="Y2885" s="65">
        <v>0</v>
      </c>
      <c r="Z2885" s="51">
        <v>43690.369201686</v>
      </c>
      <c r="AA2885" s="51">
        <v>0</v>
      </c>
      <c r="AB2885" s="102">
        <v>0</v>
      </c>
      <c r="AC2885" s="81">
        <f t="shared" si="139"/>
        <v>0</v>
      </c>
      <c r="AD2885" s="82">
        <f t="shared" si="140"/>
        <v>0</v>
      </c>
      <c r="AE2885" s="218">
        <v>0</v>
      </c>
      <c r="AF2885">
        <v>0</v>
      </c>
      <c r="AH2885" t="str">
        <f t="shared" si="138"/>
        <v>Majhaul</v>
      </c>
      <c r="AJ2885" s="72">
        <v>0</v>
      </c>
      <c r="AK2885" s="72"/>
      <c r="AL2885" s="72"/>
      <c r="AM2885" s="72"/>
    </row>
    <row r="2886" spans="1:39" x14ac:dyDescent="0.25">
      <c r="A2886" s="37" t="s">
        <v>62</v>
      </c>
      <c r="B2886" s="66" t="s">
        <v>1644</v>
      </c>
      <c r="C2886" s="4">
        <v>1001</v>
      </c>
      <c r="D2886" s="41" t="s">
        <v>92</v>
      </c>
      <c r="E2886" s="41">
        <v>10010130</v>
      </c>
      <c r="F2886" s="85" t="s">
        <v>1174</v>
      </c>
      <c r="G2886" s="39" t="s">
        <v>635</v>
      </c>
      <c r="H2886" s="52" t="s">
        <v>99</v>
      </c>
      <c r="I2886" s="52">
        <v>361.7</v>
      </c>
      <c r="J2886" s="49">
        <v>12664.276073298432</v>
      </c>
      <c r="K2886" s="58">
        <v>0</v>
      </c>
      <c r="L2886" s="58">
        <v>0</v>
      </c>
      <c r="M2886" s="58">
        <v>0</v>
      </c>
      <c r="N2886" s="58">
        <v>0</v>
      </c>
      <c r="O2886" s="58">
        <v>0</v>
      </c>
      <c r="P2886" s="53">
        <v>0</v>
      </c>
      <c r="Q2886" s="65">
        <v>12664.276073298432</v>
      </c>
      <c r="R2886" s="65">
        <v>0</v>
      </c>
      <c r="S2886" s="65">
        <v>0</v>
      </c>
      <c r="T2886" s="65">
        <v>0</v>
      </c>
      <c r="U2886" s="58">
        <v>0</v>
      </c>
      <c r="V2886" s="65">
        <v>0</v>
      </c>
      <c r="W2886" s="65">
        <v>0</v>
      </c>
      <c r="X2886" s="65">
        <v>0</v>
      </c>
      <c r="Y2886" s="65">
        <v>0</v>
      </c>
      <c r="Z2886" s="51">
        <v>12664.276073298432</v>
      </c>
      <c r="AA2886" s="51">
        <v>0</v>
      </c>
      <c r="AB2886" s="102">
        <v>0</v>
      </c>
      <c r="AC2886" s="81">
        <f t="shared" si="139"/>
        <v>236.89934175266018</v>
      </c>
      <c r="AD2886" s="82">
        <f t="shared" si="140"/>
        <v>51.671428571428571</v>
      </c>
      <c r="AE2886" s="218">
        <v>0</v>
      </c>
      <c r="AF2886">
        <v>0</v>
      </c>
      <c r="AH2886" t="str">
        <f t="shared" si="138"/>
        <v>Majhaul</v>
      </c>
      <c r="AJ2886" s="72">
        <v>0</v>
      </c>
      <c r="AK2886" s="72"/>
      <c r="AL2886" s="72"/>
      <c r="AM2886" s="72"/>
    </row>
    <row r="2887" spans="1:39" x14ac:dyDescent="0.25">
      <c r="A2887" s="37" t="s">
        <v>62</v>
      </c>
      <c r="B2887" s="66" t="s">
        <v>1644</v>
      </c>
      <c r="C2887" s="4">
        <v>1001</v>
      </c>
      <c r="D2887" s="41" t="s">
        <v>92</v>
      </c>
      <c r="E2887" s="41">
        <v>10010131</v>
      </c>
      <c r="F2887" s="85" t="s">
        <v>1175</v>
      </c>
      <c r="G2887" s="39" t="s">
        <v>635</v>
      </c>
      <c r="H2887" s="52" t="s">
        <v>99</v>
      </c>
      <c r="I2887" s="52">
        <v>561.20000000000005</v>
      </c>
      <c r="J2887" s="49">
        <v>20625.072957382003</v>
      </c>
      <c r="K2887" s="58">
        <v>0</v>
      </c>
      <c r="L2887" s="58">
        <v>0</v>
      </c>
      <c r="M2887" s="58">
        <v>0</v>
      </c>
      <c r="N2887" s="58">
        <v>0</v>
      </c>
      <c r="O2887" s="58">
        <v>0</v>
      </c>
      <c r="P2887" s="53">
        <v>0</v>
      </c>
      <c r="Q2887" s="65">
        <v>20625.072957382003</v>
      </c>
      <c r="R2887" s="65">
        <v>0</v>
      </c>
      <c r="S2887" s="65">
        <v>0</v>
      </c>
      <c r="T2887" s="65">
        <v>0</v>
      </c>
      <c r="U2887" s="58">
        <v>0</v>
      </c>
      <c r="V2887" s="65">
        <v>0</v>
      </c>
      <c r="W2887" s="65">
        <v>0</v>
      </c>
      <c r="X2887" s="65">
        <v>0</v>
      </c>
      <c r="Y2887" s="65">
        <v>0</v>
      </c>
      <c r="Z2887" s="51">
        <v>20625.072957382003</v>
      </c>
      <c r="AA2887" s="51">
        <v>0</v>
      </c>
      <c r="AB2887" s="102">
        <v>0</v>
      </c>
      <c r="AC2887" s="81">
        <f t="shared" si="139"/>
        <v>102.02281277564578</v>
      </c>
      <c r="AD2887" s="82">
        <f t="shared" si="140"/>
        <v>80.171428571428578</v>
      </c>
      <c r="AE2887" s="218">
        <v>0</v>
      </c>
      <c r="AF2887">
        <v>0</v>
      </c>
      <c r="AH2887" t="str">
        <f t="shared" si="138"/>
        <v>Majhaul</v>
      </c>
      <c r="AJ2887" s="72">
        <v>0</v>
      </c>
      <c r="AK2887" s="72"/>
      <c r="AL2887" s="72"/>
      <c r="AM2887" s="72"/>
    </row>
    <row r="2888" spans="1:39" x14ac:dyDescent="0.25">
      <c r="A2888" s="37" t="s">
        <v>62</v>
      </c>
      <c r="B2888" s="66" t="s">
        <v>1644</v>
      </c>
      <c r="C2888" s="4">
        <v>1001</v>
      </c>
      <c r="D2888" s="41" t="s">
        <v>92</v>
      </c>
      <c r="E2888" s="41">
        <v>10010140</v>
      </c>
      <c r="F2888" s="85" t="s">
        <v>1283</v>
      </c>
      <c r="G2888" s="39" t="s">
        <v>93</v>
      </c>
      <c r="H2888" s="52" t="s">
        <v>94</v>
      </c>
      <c r="I2888" s="52">
        <v>204.40000000000003</v>
      </c>
      <c r="J2888" s="49">
        <v>8672.9652766569325</v>
      </c>
      <c r="K2888" s="58">
        <v>171.70999999999998</v>
      </c>
      <c r="L2888" s="58">
        <v>7325.8064534582318</v>
      </c>
      <c r="M2888" s="58">
        <v>0</v>
      </c>
      <c r="N2888" s="58">
        <v>0</v>
      </c>
      <c r="O2888" s="58">
        <v>171.70999999999998</v>
      </c>
      <c r="P2888" s="53">
        <v>7325.8064534582318</v>
      </c>
      <c r="Q2888" s="65">
        <v>7325.8064534582318</v>
      </c>
      <c r="R2888" s="65">
        <v>0</v>
      </c>
      <c r="S2888" s="65">
        <v>0</v>
      </c>
      <c r="T2888" s="65">
        <v>0</v>
      </c>
      <c r="U2888" s="58">
        <v>0</v>
      </c>
      <c r="V2888" s="65">
        <v>0</v>
      </c>
      <c r="W2888" s="65">
        <v>0</v>
      </c>
      <c r="X2888" s="65">
        <v>7326</v>
      </c>
      <c r="Y2888" s="65">
        <v>0</v>
      </c>
      <c r="Z2888" s="51">
        <v>0</v>
      </c>
      <c r="AA2888" s="51">
        <v>1347</v>
      </c>
      <c r="AB2888" s="102">
        <v>0</v>
      </c>
      <c r="AC2888" s="81">
        <f t="shared" si="139"/>
        <v>420.57941204610319</v>
      </c>
      <c r="AD2888" s="82">
        <f t="shared" si="140"/>
        <v>29.200000000000006</v>
      </c>
      <c r="AE2888" s="218">
        <v>0.15532851570668046</v>
      </c>
      <c r="AF2888">
        <v>5</v>
      </c>
      <c r="AH2888" t="str">
        <f t="shared" si="138"/>
        <v>Majhaul</v>
      </c>
      <c r="AJ2888" s="72">
        <v>0</v>
      </c>
      <c r="AK2888" s="72"/>
      <c r="AL2888" s="72"/>
      <c r="AM2888" s="72"/>
    </row>
    <row r="2889" spans="1:39" x14ac:dyDescent="0.25">
      <c r="A2889" s="37" t="s">
        <v>62</v>
      </c>
      <c r="B2889" s="66" t="s">
        <v>1644</v>
      </c>
      <c r="C2889" s="4">
        <v>1001</v>
      </c>
      <c r="D2889" s="41" t="s">
        <v>92</v>
      </c>
      <c r="E2889" s="41">
        <v>10010141</v>
      </c>
      <c r="F2889" s="85" t="s">
        <v>1346</v>
      </c>
      <c r="G2889" s="39" t="s">
        <v>93</v>
      </c>
      <c r="H2889" s="52" t="s">
        <v>94</v>
      </c>
      <c r="I2889" s="52">
        <v>127.10000000000001</v>
      </c>
      <c r="J2889" s="49">
        <v>5158.3426762500003</v>
      </c>
      <c r="K2889" s="58">
        <v>127.69999999999999</v>
      </c>
      <c r="L2889" s="58">
        <v>4979.0984911556106</v>
      </c>
      <c r="M2889" s="58">
        <v>0</v>
      </c>
      <c r="N2889" s="58">
        <v>0</v>
      </c>
      <c r="O2889" s="58">
        <v>127.69999999999999</v>
      </c>
      <c r="P2889" s="53">
        <v>4979.0984911556106</v>
      </c>
      <c r="Q2889" s="65">
        <v>4979.0984911556106</v>
      </c>
      <c r="R2889" s="65">
        <v>0</v>
      </c>
      <c r="S2889" s="65">
        <v>0</v>
      </c>
      <c r="T2889" s="65">
        <v>0</v>
      </c>
      <c r="U2889" s="58">
        <v>0</v>
      </c>
      <c r="V2889" s="65">
        <v>500</v>
      </c>
      <c r="W2889" s="65">
        <v>0</v>
      </c>
      <c r="X2889" s="65">
        <v>4479</v>
      </c>
      <c r="Y2889" s="65">
        <v>0</v>
      </c>
      <c r="Z2889" s="51">
        <v>0</v>
      </c>
      <c r="AA2889" s="51">
        <v>179</v>
      </c>
      <c r="AB2889" s="102" t="s">
        <v>68</v>
      </c>
      <c r="AC2889" s="81">
        <f t="shared" si="139"/>
        <v>465.02195424447279</v>
      </c>
      <c r="AD2889" s="82">
        <f t="shared" si="140"/>
        <v>18.157142857142858</v>
      </c>
      <c r="AE2889" s="218">
        <v>3.4748405901698677E-2</v>
      </c>
      <c r="AF2889">
        <v>7</v>
      </c>
      <c r="AH2889" t="str">
        <f t="shared" si="138"/>
        <v>Majhaul</v>
      </c>
      <c r="AJ2889" s="72">
        <v>500</v>
      </c>
      <c r="AK2889" s="72"/>
      <c r="AL2889" s="72"/>
      <c r="AM2889" s="72"/>
    </row>
    <row r="2890" spans="1:39" x14ac:dyDescent="0.25">
      <c r="A2890" s="37" t="s">
        <v>62</v>
      </c>
      <c r="B2890" s="66" t="s">
        <v>1644</v>
      </c>
      <c r="C2890" s="4">
        <v>1001</v>
      </c>
      <c r="D2890" s="41" t="s">
        <v>92</v>
      </c>
      <c r="E2890" s="41">
        <v>10010143</v>
      </c>
      <c r="F2890" s="85" t="s">
        <v>491</v>
      </c>
      <c r="G2890" s="39" t="s">
        <v>93</v>
      </c>
      <c r="H2890" s="52" t="s">
        <v>94</v>
      </c>
      <c r="I2890" s="52">
        <v>211.9</v>
      </c>
      <c r="J2890" s="49">
        <v>7552.8389348520013</v>
      </c>
      <c r="K2890" s="58">
        <v>213.75</v>
      </c>
      <c r="L2890" s="58">
        <v>8001.5697939841511</v>
      </c>
      <c r="M2890" s="58">
        <v>0</v>
      </c>
      <c r="N2890" s="58">
        <v>0</v>
      </c>
      <c r="O2890" s="58">
        <v>213.75</v>
      </c>
      <c r="P2890" s="53">
        <v>8001.5697939841511</v>
      </c>
      <c r="Q2890" s="65">
        <v>7552.8389348520013</v>
      </c>
      <c r="R2890" s="65">
        <v>0</v>
      </c>
      <c r="S2890" s="65">
        <v>0</v>
      </c>
      <c r="T2890" s="65">
        <v>448.73085913214982</v>
      </c>
      <c r="U2890" s="58">
        <v>0</v>
      </c>
      <c r="V2890" s="65">
        <v>0</v>
      </c>
      <c r="W2890" s="65">
        <v>0</v>
      </c>
      <c r="X2890" s="65">
        <v>7553</v>
      </c>
      <c r="Y2890" s="65">
        <v>0</v>
      </c>
      <c r="Z2890" s="51">
        <v>0</v>
      </c>
      <c r="AA2890" s="51">
        <v>0</v>
      </c>
      <c r="AB2890" s="102" t="s">
        <v>68</v>
      </c>
      <c r="AC2890" s="81">
        <f t="shared" si="139"/>
        <v>347.95098481371036</v>
      </c>
      <c r="AD2890" s="82">
        <f t="shared" si="140"/>
        <v>30.271428571428572</v>
      </c>
      <c r="AE2890" s="218">
        <v>-5.9412210825986952E-2</v>
      </c>
      <c r="AF2890">
        <v>2</v>
      </c>
      <c r="AH2890" t="str">
        <f t="shared" si="138"/>
        <v>Majhaul</v>
      </c>
      <c r="AJ2890" s="72">
        <v>0</v>
      </c>
      <c r="AK2890" s="72"/>
      <c r="AL2890" s="72"/>
      <c r="AM2890" s="72"/>
    </row>
    <row r="2891" spans="1:39" x14ac:dyDescent="0.25">
      <c r="A2891" s="37" t="s">
        <v>62</v>
      </c>
      <c r="B2891" s="66" t="s">
        <v>1644</v>
      </c>
      <c r="C2891" s="4">
        <v>1001</v>
      </c>
      <c r="D2891" s="41" t="s">
        <v>92</v>
      </c>
      <c r="E2891" s="41">
        <v>10010144</v>
      </c>
      <c r="F2891" s="85" t="s">
        <v>1487</v>
      </c>
      <c r="G2891" s="39" t="s">
        <v>93</v>
      </c>
      <c r="H2891" s="52" t="s">
        <v>94</v>
      </c>
      <c r="I2891" s="52">
        <v>38.6</v>
      </c>
      <c r="J2891" s="49">
        <v>1335.0034667880002</v>
      </c>
      <c r="K2891" s="58">
        <v>39</v>
      </c>
      <c r="L2891" s="58">
        <v>1261.1911091999998</v>
      </c>
      <c r="M2891" s="58">
        <v>0</v>
      </c>
      <c r="N2891" s="58">
        <v>0</v>
      </c>
      <c r="O2891" s="58">
        <v>39</v>
      </c>
      <c r="P2891" s="53">
        <v>1261.1911091999998</v>
      </c>
      <c r="Q2891" s="65">
        <v>1261.1911091999998</v>
      </c>
      <c r="R2891" s="65">
        <v>0</v>
      </c>
      <c r="S2891" s="65">
        <v>0</v>
      </c>
      <c r="T2891" s="65">
        <v>0</v>
      </c>
      <c r="U2891" s="58">
        <v>0</v>
      </c>
      <c r="V2891" s="65">
        <v>0</v>
      </c>
      <c r="W2891" s="65">
        <v>0</v>
      </c>
      <c r="X2891" s="65">
        <v>1262</v>
      </c>
      <c r="Y2891" s="65">
        <v>0</v>
      </c>
      <c r="Z2891" s="51">
        <v>0</v>
      </c>
      <c r="AA2891" s="51">
        <v>73</v>
      </c>
      <c r="AB2891" s="102">
        <v>0</v>
      </c>
      <c r="AC2891" s="81">
        <f t="shared" si="139"/>
        <v>457.49807924019859</v>
      </c>
      <c r="AD2891" s="82">
        <f t="shared" si="140"/>
        <v>5.5142857142857142</v>
      </c>
      <c r="AE2891" s="218">
        <v>5.5290011917041609E-2</v>
      </c>
      <c r="AF2891">
        <v>3</v>
      </c>
      <c r="AH2891" t="str">
        <f t="shared" si="138"/>
        <v>Majhaul</v>
      </c>
      <c r="AJ2891" s="72">
        <v>0</v>
      </c>
      <c r="AK2891" s="72"/>
      <c r="AL2891" s="72"/>
      <c r="AM2891" s="72"/>
    </row>
    <row r="2892" spans="1:39" x14ac:dyDescent="0.25">
      <c r="A2892" s="37" t="s">
        <v>62</v>
      </c>
      <c r="B2892" s="66" t="s">
        <v>1644</v>
      </c>
      <c r="C2892" s="4">
        <v>1001</v>
      </c>
      <c r="D2892" s="41" t="s">
        <v>92</v>
      </c>
      <c r="E2892" s="41">
        <v>10010145</v>
      </c>
      <c r="F2892" s="85" t="s">
        <v>511</v>
      </c>
      <c r="G2892" s="39" t="s">
        <v>93</v>
      </c>
      <c r="H2892" s="52" t="s">
        <v>94</v>
      </c>
      <c r="I2892" s="52">
        <v>212.40000000000003</v>
      </c>
      <c r="J2892" s="49">
        <v>8369.2446298499999</v>
      </c>
      <c r="K2892" s="58">
        <v>209.46000000000004</v>
      </c>
      <c r="L2892" s="58">
        <v>8196.5068396502829</v>
      </c>
      <c r="M2892" s="58">
        <v>3.1799999999999997</v>
      </c>
      <c r="N2892" s="58">
        <v>107.47696971525001</v>
      </c>
      <c r="O2892" s="58">
        <v>212.64000000000004</v>
      </c>
      <c r="P2892" s="53">
        <v>8303.9838093655326</v>
      </c>
      <c r="Q2892" s="65">
        <v>8303.9838093655326</v>
      </c>
      <c r="R2892" s="65">
        <v>0</v>
      </c>
      <c r="S2892" s="65">
        <v>107.47696971525001</v>
      </c>
      <c r="T2892" s="65">
        <v>0</v>
      </c>
      <c r="U2892" s="58">
        <v>1223</v>
      </c>
      <c r="V2892" s="65">
        <v>0</v>
      </c>
      <c r="W2892" s="65">
        <v>0</v>
      </c>
      <c r="X2892" s="65">
        <v>6974</v>
      </c>
      <c r="Y2892" s="65">
        <v>0</v>
      </c>
      <c r="Z2892" s="51">
        <v>0</v>
      </c>
      <c r="AA2892" s="51">
        <v>65</v>
      </c>
      <c r="AB2892" s="102">
        <v>0</v>
      </c>
      <c r="AC2892" s="81">
        <f t="shared" si="139"/>
        <v>384.26023366429922</v>
      </c>
      <c r="AD2892" s="82">
        <f t="shared" si="140"/>
        <v>30.342857142857149</v>
      </c>
      <c r="AE2892" s="218">
        <v>7.7976954158689689E-3</v>
      </c>
      <c r="AF2892">
        <v>9</v>
      </c>
      <c r="AH2892" t="str">
        <f t="shared" si="138"/>
        <v>Majhaul</v>
      </c>
      <c r="AJ2892" s="72">
        <v>0</v>
      </c>
      <c r="AK2892" s="72"/>
      <c r="AL2892" s="72"/>
      <c r="AM2892" s="72"/>
    </row>
    <row r="2893" spans="1:39" x14ac:dyDescent="0.25">
      <c r="A2893" s="37" t="s">
        <v>62</v>
      </c>
      <c r="B2893" s="66" t="s">
        <v>1644</v>
      </c>
      <c r="C2893" s="4">
        <v>1001</v>
      </c>
      <c r="D2893" s="41" t="s">
        <v>92</v>
      </c>
      <c r="E2893" s="41">
        <v>10010146</v>
      </c>
      <c r="F2893" s="85" t="s">
        <v>1488</v>
      </c>
      <c r="G2893" s="39" t="s">
        <v>93</v>
      </c>
      <c r="H2893" s="52" t="s">
        <v>94</v>
      </c>
      <c r="I2893" s="52">
        <v>229.8</v>
      </c>
      <c r="J2893" s="49">
        <v>8361.5046825900026</v>
      </c>
      <c r="K2893" s="58">
        <v>227.71999999999997</v>
      </c>
      <c r="L2893" s="58">
        <v>8438.3159550725195</v>
      </c>
      <c r="M2893" s="58">
        <v>1.3700000000000003</v>
      </c>
      <c r="N2893" s="58">
        <v>51.90794651400001</v>
      </c>
      <c r="O2893" s="58">
        <v>229.08999999999997</v>
      </c>
      <c r="P2893" s="53">
        <v>8490.2239015865198</v>
      </c>
      <c r="Q2893" s="65">
        <v>8361.5046825900026</v>
      </c>
      <c r="R2893" s="65">
        <v>0</v>
      </c>
      <c r="S2893" s="65">
        <v>51.90794651400001</v>
      </c>
      <c r="T2893" s="65">
        <v>128.71921899651716</v>
      </c>
      <c r="U2893" s="58">
        <v>0</v>
      </c>
      <c r="V2893" s="65">
        <v>0</v>
      </c>
      <c r="W2893" s="65">
        <v>0</v>
      </c>
      <c r="X2893" s="65">
        <v>8310</v>
      </c>
      <c r="Y2893" s="65">
        <v>0</v>
      </c>
      <c r="Z2893" s="51">
        <v>0</v>
      </c>
      <c r="AA2893" s="51">
        <v>0</v>
      </c>
      <c r="AB2893" s="102">
        <v>0</v>
      </c>
      <c r="AC2893" s="81">
        <f t="shared" si="139"/>
        <v>342.17402104036722</v>
      </c>
      <c r="AD2893" s="82">
        <f t="shared" si="140"/>
        <v>32.828571428571429</v>
      </c>
      <c r="AE2893" s="218">
        <v>-1.5394265013632207E-2</v>
      </c>
      <c r="AF2893">
        <v>6</v>
      </c>
      <c r="AH2893" t="str">
        <f t="shared" si="138"/>
        <v>Majhaul</v>
      </c>
      <c r="AJ2893" s="72">
        <v>0</v>
      </c>
      <c r="AK2893" s="72"/>
      <c r="AL2893" s="72"/>
      <c r="AM2893" s="72"/>
    </row>
    <row r="2894" spans="1:39" x14ac:dyDescent="0.25">
      <c r="A2894" s="37" t="s">
        <v>62</v>
      </c>
      <c r="B2894" s="66" t="s">
        <v>1644</v>
      </c>
      <c r="C2894" s="4">
        <v>1001</v>
      </c>
      <c r="D2894" s="41" t="s">
        <v>92</v>
      </c>
      <c r="E2894" s="41">
        <v>10010147</v>
      </c>
      <c r="F2894" s="85" t="s">
        <v>1489</v>
      </c>
      <c r="G2894" s="39" t="s">
        <v>635</v>
      </c>
      <c r="H2894" s="52" t="s">
        <v>99</v>
      </c>
      <c r="I2894" s="52">
        <v>170.8</v>
      </c>
      <c r="J2894" s="49">
        <v>6690.7222785780014</v>
      </c>
      <c r="K2894" s="58">
        <v>0</v>
      </c>
      <c r="L2894" s="58">
        <v>0</v>
      </c>
      <c r="M2894" s="58">
        <v>0</v>
      </c>
      <c r="N2894" s="58">
        <v>0</v>
      </c>
      <c r="O2894" s="58">
        <v>0</v>
      </c>
      <c r="P2894" s="53">
        <v>0</v>
      </c>
      <c r="Q2894" s="65">
        <v>6690.7222785780014</v>
      </c>
      <c r="R2894" s="65">
        <v>0</v>
      </c>
      <c r="S2894" s="65">
        <v>0</v>
      </c>
      <c r="T2894" s="65">
        <v>0</v>
      </c>
      <c r="U2894" s="58">
        <v>0</v>
      </c>
      <c r="V2894" s="65">
        <v>0</v>
      </c>
      <c r="W2894" s="65">
        <v>0</v>
      </c>
      <c r="X2894" s="65">
        <v>0</v>
      </c>
      <c r="Y2894" s="65">
        <v>0</v>
      </c>
      <c r="Z2894" s="51">
        <v>6690.7222785780014</v>
      </c>
      <c r="AA2894" s="51">
        <v>0</v>
      </c>
      <c r="AB2894" s="102">
        <v>0</v>
      </c>
      <c r="AC2894" s="81">
        <f t="shared" si="139"/>
        <v>414.60541332827603</v>
      </c>
      <c r="AD2894" s="82">
        <f t="shared" si="140"/>
        <v>24.400000000000002</v>
      </c>
      <c r="AE2894" s="218">
        <v>0</v>
      </c>
      <c r="AF2894">
        <v>0</v>
      </c>
      <c r="AH2894" t="str">
        <f t="shared" si="138"/>
        <v>Majhaul</v>
      </c>
      <c r="AJ2894" s="72">
        <v>0</v>
      </c>
      <c r="AK2894" s="72"/>
      <c r="AL2894" s="72"/>
      <c r="AM2894" s="72"/>
    </row>
    <row r="2895" spans="1:39" x14ac:dyDescent="0.25">
      <c r="A2895" s="37" t="s">
        <v>62</v>
      </c>
      <c r="B2895" s="66" t="s">
        <v>1644</v>
      </c>
      <c r="C2895" s="4">
        <v>1001</v>
      </c>
      <c r="D2895" s="41" t="s">
        <v>92</v>
      </c>
      <c r="E2895" s="41">
        <v>10010148</v>
      </c>
      <c r="F2895" s="85" t="s">
        <v>1490</v>
      </c>
      <c r="G2895" s="39" t="s">
        <v>93</v>
      </c>
      <c r="H2895" s="52" t="s">
        <v>94</v>
      </c>
      <c r="I2895" s="52">
        <v>426.29999999999995</v>
      </c>
      <c r="J2895" s="49">
        <v>18712.100161920003</v>
      </c>
      <c r="K2895" s="58">
        <v>424.05</v>
      </c>
      <c r="L2895" s="58">
        <v>19281.729220173445</v>
      </c>
      <c r="M2895" s="58">
        <v>4.8800000000000008</v>
      </c>
      <c r="N2895" s="58">
        <v>201.02156130000006</v>
      </c>
      <c r="O2895" s="58">
        <v>428.93</v>
      </c>
      <c r="P2895" s="53">
        <v>19482.750781473445</v>
      </c>
      <c r="Q2895" s="65">
        <v>18712.100161920003</v>
      </c>
      <c r="R2895" s="65">
        <v>0</v>
      </c>
      <c r="S2895" s="65">
        <v>201.02156130000006</v>
      </c>
      <c r="T2895" s="65">
        <v>770.65061955344208</v>
      </c>
      <c r="U2895" s="58">
        <v>0</v>
      </c>
      <c r="V2895" s="65">
        <v>0</v>
      </c>
      <c r="W2895" s="65">
        <v>0</v>
      </c>
      <c r="X2895" s="65">
        <v>18511</v>
      </c>
      <c r="Y2895" s="65">
        <v>0</v>
      </c>
      <c r="Z2895" s="51">
        <v>0</v>
      </c>
      <c r="AA2895" s="51">
        <v>0</v>
      </c>
      <c r="AB2895" s="102">
        <v>0</v>
      </c>
      <c r="AC2895" s="81">
        <f t="shared" si="139"/>
        <v>240.27688549460501</v>
      </c>
      <c r="AD2895" s="82">
        <f t="shared" si="140"/>
        <v>60.899999999999991</v>
      </c>
      <c r="AE2895" s="218">
        <v>-4.1184613853326418E-2</v>
      </c>
      <c r="AF2895">
        <v>9</v>
      </c>
      <c r="AH2895" t="str">
        <f t="shared" si="138"/>
        <v>Majhaul</v>
      </c>
      <c r="AJ2895" s="72">
        <v>0</v>
      </c>
      <c r="AK2895" s="72"/>
      <c r="AL2895" s="72"/>
      <c r="AM2895" s="72"/>
    </row>
    <row r="2896" spans="1:39" x14ac:dyDescent="0.25">
      <c r="A2896" s="37" t="s">
        <v>62</v>
      </c>
      <c r="B2896" s="66" t="s">
        <v>1644</v>
      </c>
      <c r="C2896" s="4">
        <v>1001</v>
      </c>
      <c r="D2896" s="41" t="s">
        <v>92</v>
      </c>
      <c r="E2896" s="41">
        <v>10010149</v>
      </c>
      <c r="F2896" s="85" t="s">
        <v>1491</v>
      </c>
      <c r="G2896" s="39" t="s">
        <v>93</v>
      </c>
      <c r="H2896" s="52" t="s">
        <v>94</v>
      </c>
      <c r="I2896" s="52">
        <v>243.3</v>
      </c>
      <c r="J2896" s="49">
        <v>9256.1417784480018</v>
      </c>
      <c r="K2896" s="58">
        <v>243.09999999999997</v>
      </c>
      <c r="L2896" s="58">
        <v>9402.2066178599962</v>
      </c>
      <c r="M2896" s="58">
        <v>0</v>
      </c>
      <c r="N2896" s="58">
        <v>0</v>
      </c>
      <c r="O2896" s="58">
        <v>243.09999999999997</v>
      </c>
      <c r="P2896" s="53">
        <v>9402.2066178599962</v>
      </c>
      <c r="Q2896" s="65">
        <v>9256.1417784480018</v>
      </c>
      <c r="R2896" s="65">
        <v>0</v>
      </c>
      <c r="S2896" s="65">
        <v>0</v>
      </c>
      <c r="T2896" s="65">
        <v>146.0648394119944</v>
      </c>
      <c r="U2896" s="58">
        <v>0</v>
      </c>
      <c r="V2896" s="65">
        <v>0</v>
      </c>
      <c r="W2896" s="65">
        <v>0</v>
      </c>
      <c r="X2896" s="65">
        <v>9256</v>
      </c>
      <c r="Y2896" s="65">
        <v>0</v>
      </c>
      <c r="Z2896" s="51">
        <v>0</v>
      </c>
      <c r="AA2896" s="51">
        <v>0</v>
      </c>
      <c r="AB2896" s="102">
        <v>0</v>
      </c>
      <c r="AC2896" s="81">
        <f t="shared" si="139"/>
        <v>347.49526923281559</v>
      </c>
      <c r="AD2896" s="82">
        <f t="shared" si="140"/>
        <v>34.75714285714286</v>
      </c>
      <c r="AE2896" s="218">
        <v>-1.5780315698284975E-2</v>
      </c>
      <c r="AF2896">
        <v>6</v>
      </c>
      <c r="AH2896" t="str">
        <f t="shared" si="138"/>
        <v>Majhaul</v>
      </c>
      <c r="AJ2896" s="72">
        <v>0</v>
      </c>
      <c r="AK2896" s="72"/>
      <c r="AL2896" s="72"/>
      <c r="AM2896" s="72"/>
    </row>
    <row r="2897" spans="1:39" x14ac:dyDescent="0.25">
      <c r="A2897" s="37" t="s">
        <v>62</v>
      </c>
      <c r="B2897" s="66" t="s">
        <v>1644</v>
      </c>
      <c r="C2897" s="4">
        <v>1002</v>
      </c>
      <c r="D2897" s="41" t="s">
        <v>105</v>
      </c>
      <c r="E2897" s="41">
        <v>10020002</v>
      </c>
      <c r="F2897" s="85" t="s">
        <v>106</v>
      </c>
      <c r="G2897" s="39" t="s">
        <v>93</v>
      </c>
      <c r="H2897" s="52" t="s">
        <v>94</v>
      </c>
      <c r="I2897" s="52">
        <v>2549.7000000000003</v>
      </c>
      <c r="J2897" s="49">
        <v>111168.308131521</v>
      </c>
      <c r="K2897" s="58">
        <v>1453.3999999999999</v>
      </c>
      <c r="L2897" s="58">
        <v>63547.574672538001</v>
      </c>
      <c r="M2897" s="58">
        <v>1100.2</v>
      </c>
      <c r="N2897" s="58">
        <v>48597.630714838007</v>
      </c>
      <c r="O2897" s="58">
        <v>2553.6</v>
      </c>
      <c r="P2897" s="53">
        <v>112145.20538737602</v>
      </c>
      <c r="Q2897" s="65">
        <v>111168.308131521</v>
      </c>
      <c r="R2897" s="65">
        <v>0</v>
      </c>
      <c r="S2897" s="65">
        <v>1258.2584969999998</v>
      </c>
      <c r="T2897" s="65">
        <v>976.89725585501583</v>
      </c>
      <c r="U2897" s="58">
        <v>0</v>
      </c>
      <c r="V2897" s="65">
        <v>0</v>
      </c>
      <c r="W2897" s="65">
        <v>0</v>
      </c>
      <c r="X2897" s="65">
        <v>62571</v>
      </c>
      <c r="Y2897" s="65">
        <v>47339</v>
      </c>
      <c r="Z2897" s="51">
        <v>0</v>
      </c>
      <c r="AA2897" s="51">
        <v>0</v>
      </c>
      <c r="AB2897" s="102">
        <v>0</v>
      </c>
      <c r="AC2897" s="81">
        <f t="shared" si="139"/>
        <v>0</v>
      </c>
      <c r="AD2897" s="82">
        <f t="shared" si="140"/>
        <v>0</v>
      </c>
      <c r="AE2897" s="218">
        <v>-8.7875517067262394E-3</v>
      </c>
      <c r="AF2897">
        <v>13</v>
      </c>
      <c r="AH2897" t="str">
        <f t="shared" si="138"/>
        <v>Laldiyara</v>
      </c>
      <c r="AJ2897" s="72">
        <v>0</v>
      </c>
      <c r="AK2897" s="72"/>
      <c r="AL2897" s="72"/>
      <c r="AM2897" s="72"/>
    </row>
    <row r="2898" spans="1:39" x14ac:dyDescent="0.25">
      <c r="A2898" s="37" t="s">
        <v>62</v>
      </c>
      <c r="B2898" s="66" t="s">
        <v>1644</v>
      </c>
      <c r="C2898" s="4">
        <v>1002</v>
      </c>
      <c r="D2898" s="41" t="s">
        <v>105</v>
      </c>
      <c r="E2898" s="41">
        <v>10020004</v>
      </c>
      <c r="F2898" s="85" t="s">
        <v>107</v>
      </c>
      <c r="G2898" s="39" t="s">
        <v>93</v>
      </c>
      <c r="H2898" s="52" t="s">
        <v>94</v>
      </c>
      <c r="I2898" s="52">
        <v>446.49999999999989</v>
      </c>
      <c r="J2898" s="49">
        <v>17230.099827510003</v>
      </c>
      <c r="K2898" s="58">
        <v>444.40000000000003</v>
      </c>
      <c r="L2898" s="58">
        <v>17196.173534670004</v>
      </c>
      <c r="M2898" s="58">
        <v>0</v>
      </c>
      <c r="N2898" s="58">
        <v>0</v>
      </c>
      <c r="O2898" s="58">
        <v>444.40000000000003</v>
      </c>
      <c r="P2898" s="53">
        <v>17196.173534670004</v>
      </c>
      <c r="Q2898" s="65">
        <v>17196.173534670004</v>
      </c>
      <c r="R2898" s="65">
        <v>0</v>
      </c>
      <c r="S2898" s="65">
        <v>0</v>
      </c>
      <c r="T2898" s="65">
        <v>0</v>
      </c>
      <c r="U2898" s="58">
        <v>0</v>
      </c>
      <c r="V2898" s="65">
        <v>0</v>
      </c>
      <c r="W2898" s="65">
        <v>0</v>
      </c>
      <c r="X2898" s="65">
        <v>17196</v>
      </c>
      <c r="Y2898" s="65">
        <v>0</v>
      </c>
      <c r="Z2898" s="51">
        <v>0</v>
      </c>
      <c r="AA2898" s="51">
        <v>34</v>
      </c>
      <c r="AB2898" s="102">
        <v>0</v>
      </c>
      <c r="AC2898" s="81">
        <f t="shared" si="139"/>
        <v>195.64749412200626</v>
      </c>
      <c r="AD2898" s="82">
        <f t="shared" si="140"/>
        <v>63.78571428571427</v>
      </c>
      <c r="AE2898" s="218">
        <v>1.9690131328102311E-3</v>
      </c>
      <c r="AF2898">
        <v>1</v>
      </c>
      <c r="AH2898" t="str">
        <f t="shared" si="138"/>
        <v>Laldiyara</v>
      </c>
      <c r="AJ2898" s="72">
        <v>0</v>
      </c>
      <c r="AK2898" s="72"/>
      <c r="AL2898" s="72"/>
      <c r="AM2898" s="72"/>
    </row>
    <row r="2899" spans="1:39" x14ac:dyDescent="0.25">
      <c r="A2899" s="37" t="s">
        <v>62</v>
      </c>
      <c r="B2899" s="66" t="s">
        <v>1644</v>
      </c>
      <c r="C2899" s="4">
        <v>1002</v>
      </c>
      <c r="D2899" s="41" t="s">
        <v>105</v>
      </c>
      <c r="E2899" s="41">
        <v>10020006</v>
      </c>
      <c r="F2899" s="85" t="s">
        <v>109</v>
      </c>
      <c r="G2899" s="39" t="s">
        <v>635</v>
      </c>
      <c r="H2899" s="52" t="s">
        <v>99</v>
      </c>
      <c r="I2899" s="52">
        <v>226.3</v>
      </c>
      <c r="J2899" s="49">
        <v>8471.3477834100013</v>
      </c>
      <c r="K2899" s="58">
        <v>0</v>
      </c>
      <c r="L2899" s="58">
        <v>0</v>
      </c>
      <c r="M2899" s="58">
        <v>0</v>
      </c>
      <c r="N2899" s="58">
        <v>0</v>
      </c>
      <c r="O2899" s="58">
        <v>0</v>
      </c>
      <c r="P2899" s="53">
        <v>0</v>
      </c>
      <c r="Q2899" s="65">
        <v>8471.3477834100013</v>
      </c>
      <c r="R2899" s="65">
        <v>0</v>
      </c>
      <c r="S2899" s="65">
        <v>0</v>
      </c>
      <c r="T2899" s="65">
        <v>0</v>
      </c>
      <c r="U2899" s="58">
        <v>0</v>
      </c>
      <c r="V2899" s="65">
        <v>0</v>
      </c>
      <c r="W2899" s="65">
        <v>0</v>
      </c>
      <c r="X2899" s="65">
        <v>0</v>
      </c>
      <c r="Y2899" s="65">
        <v>0</v>
      </c>
      <c r="Z2899" s="51">
        <v>8471.3477834100013</v>
      </c>
      <c r="AA2899" s="51">
        <v>0</v>
      </c>
      <c r="AB2899" s="102">
        <v>0</v>
      </c>
      <c r="AC2899" s="81">
        <f t="shared" si="139"/>
        <v>354.65112196211385</v>
      </c>
      <c r="AD2899" s="82">
        <f t="shared" si="140"/>
        <v>32.328571428571429</v>
      </c>
      <c r="AE2899" s="218">
        <v>0</v>
      </c>
      <c r="AF2899">
        <v>0</v>
      </c>
      <c r="AH2899" t="str">
        <f t="shared" si="138"/>
        <v>Laldiyara</v>
      </c>
      <c r="AJ2899" s="72">
        <v>0</v>
      </c>
      <c r="AK2899" s="72"/>
      <c r="AL2899" s="72"/>
      <c r="AM2899" s="72"/>
    </row>
    <row r="2900" spans="1:39" x14ac:dyDescent="0.25">
      <c r="A2900" s="37" t="s">
        <v>62</v>
      </c>
      <c r="B2900" s="66" t="s">
        <v>1644</v>
      </c>
      <c r="C2900" s="4">
        <v>1002</v>
      </c>
      <c r="D2900" s="41" t="s">
        <v>105</v>
      </c>
      <c r="E2900" s="41">
        <v>10020007</v>
      </c>
      <c r="F2900" s="85" t="s">
        <v>110</v>
      </c>
      <c r="G2900" s="39" t="s">
        <v>635</v>
      </c>
      <c r="H2900" s="52" t="s">
        <v>99</v>
      </c>
      <c r="I2900" s="52">
        <v>122</v>
      </c>
      <c r="J2900" s="49">
        <v>4191.2212319999999</v>
      </c>
      <c r="K2900" s="58">
        <v>0</v>
      </c>
      <c r="L2900" s="58">
        <v>0</v>
      </c>
      <c r="M2900" s="58">
        <v>0</v>
      </c>
      <c r="N2900" s="58">
        <v>0</v>
      </c>
      <c r="O2900" s="58">
        <v>0</v>
      </c>
      <c r="P2900" s="53">
        <v>0</v>
      </c>
      <c r="Q2900" s="65">
        <v>4191.2212319999999</v>
      </c>
      <c r="R2900" s="65">
        <v>0</v>
      </c>
      <c r="S2900" s="65">
        <v>0</v>
      </c>
      <c r="T2900" s="65">
        <v>0</v>
      </c>
      <c r="U2900" s="58">
        <v>0</v>
      </c>
      <c r="V2900" s="65">
        <v>0</v>
      </c>
      <c r="W2900" s="65">
        <v>0</v>
      </c>
      <c r="X2900" s="65">
        <v>0</v>
      </c>
      <c r="Y2900" s="65">
        <v>0</v>
      </c>
      <c r="Z2900" s="51">
        <v>4191.2212319999999</v>
      </c>
      <c r="AA2900" s="51">
        <v>0</v>
      </c>
      <c r="AB2900" s="102">
        <v>0</v>
      </c>
      <c r="AC2900" s="81">
        <f t="shared" si="139"/>
        <v>397.13538886819669</v>
      </c>
      <c r="AD2900" s="82">
        <f t="shared" si="140"/>
        <v>17.428571428571427</v>
      </c>
      <c r="AE2900" s="218">
        <v>0</v>
      </c>
      <c r="AF2900">
        <v>0</v>
      </c>
      <c r="AH2900" t="str">
        <f t="shared" si="138"/>
        <v>Laldiyara</v>
      </c>
      <c r="AJ2900" s="72">
        <v>0</v>
      </c>
      <c r="AK2900" s="72"/>
      <c r="AL2900" s="72"/>
      <c r="AM2900" s="72"/>
    </row>
    <row r="2901" spans="1:39" x14ac:dyDescent="0.25">
      <c r="A2901" s="37" t="s">
        <v>62</v>
      </c>
      <c r="B2901" s="66" t="s">
        <v>1644</v>
      </c>
      <c r="C2901" s="4">
        <v>1002</v>
      </c>
      <c r="D2901" s="41" t="s">
        <v>105</v>
      </c>
      <c r="E2901" s="41">
        <v>10020008</v>
      </c>
      <c r="F2901" s="85" t="s">
        <v>111</v>
      </c>
      <c r="G2901" s="39" t="s">
        <v>635</v>
      </c>
      <c r="H2901" s="52" t="s">
        <v>99</v>
      </c>
      <c r="I2901" s="52">
        <v>1385.4</v>
      </c>
      <c r="J2901" s="49">
        <v>55737.183087907797</v>
      </c>
      <c r="K2901" s="58">
        <v>0</v>
      </c>
      <c r="L2901" s="58">
        <v>0</v>
      </c>
      <c r="M2901" s="58">
        <v>0</v>
      </c>
      <c r="N2901" s="58">
        <v>0</v>
      </c>
      <c r="O2901" s="58">
        <v>0</v>
      </c>
      <c r="P2901" s="53">
        <v>0</v>
      </c>
      <c r="Q2901" s="65">
        <v>55737.183087907797</v>
      </c>
      <c r="R2901" s="65">
        <v>0</v>
      </c>
      <c r="S2901" s="65">
        <v>0</v>
      </c>
      <c r="T2901" s="65">
        <v>0</v>
      </c>
      <c r="U2901" s="58">
        <v>0</v>
      </c>
      <c r="V2901" s="65">
        <v>0</v>
      </c>
      <c r="W2901" s="65">
        <v>0</v>
      </c>
      <c r="X2901" s="65">
        <v>0</v>
      </c>
      <c r="Y2901" s="65">
        <v>0</v>
      </c>
      <c r="Z2901" s="51">
        <v>55737.183087907797</v>
      </c>
      <c r="AA2901" s="51">
        <v>0</v>
      </c>
      <c r="AB2901" s="102">
        <v>0</v>
      </c>
      <c r="AC2901" s="81">
        <f t="shared" si="139"/>
        <v>0</v>
      </c>
      <c r="AD2901" s="82">
        <f t="shared" si="140"/>
        <v>0</v>
      </c>
      <c r="AE2901" s="218">
        <v>0</v>
      </c>
      <c r="AF2901">
        <v>0</v>
      </c>
      <c r="AH2901" t="str">
        <f t="shared" si="138"/>
        <v>Laldiyara</v>
      </c>
      <c r="AJ2901" s="72">
        <v>0</v>
      </c>
      <c r="AK2901" s="72"/>
      <c r="AL2901" s="72"/>
      <c r="AM2901" s="72"/>
    </row>
    <row r="2902" spans="1:39" x14ac:dyDescent="0.25">
      <c r="A2902" s="37" t="s">
        <v>62</v>
      </c>
      <c r="B2902" s="66" t="s">
        <v>1644</v>
      </c>
      <c r="C2902" s="4">
        <v>1002</v>
      </c>
      <c r="D2902" s="41" t="s">
        <v>105</v>
      </c>
      <c r="E2902" s="41">
        <v>10020010</v>
      </c>
      <c r="F2902" s="85" t="s">
        <v>1236</v>
      </c>
      <c r="G2902" s="39" t="s">
        <v>93</v>
      </c>
      <c r="H2902" s="52" t="s">
        <v>94</v>
      </c>
      <c r="I2902" s="52">
        <v>418.49999999999994</v>
      </c>
      <c r="J2902" s="49">
        <v>15130.390201050002</v>
      </c>
      <c r="K2902" s="58">
        <v>477.4</v>
      </c>
      <c r="L2902" s="58">
        <v>18111.051527640004</v>
      </c>
      <c r="M2902" s="58">
        <v>1.4</v>
      </c>
      <c r="N2902" s="58">
        <v>49.598712000000006</v>
      </c>
      <c r="O2902" s="58">
        <v>478.79999999999995</v>
      </c>
      <c r="P2902" s="53">
        <v>18160.650239640003</v>
      </c>
      <c r="Q2902" s="65">
        <v>15130.390201050002</v>
      </c>
      <c r="R2902" s="65">
        <v>0</v>
      </c>
      <c r="S2902" s="65">
        <v>49.598712000000006</v>
      </c>
      <c r="T2902" s="65">
        <v>3030.2600385900005</v>
      </c>
      <c r="U2902" s="58">
        <v>0</v>
      </c>
      <c r="V2902" s="65">
        <v>0</v>
      </c>
      <c r="W2902" s="65">
        <v>0</v>
      </c>
      <c r="X2902" s="65">
        <v>15080</v>
      </c>
      <c r="Y2902" s="65">
        <v>0</v>
      </c>
      <c r="Z2902" s="51">
        <v>0</v>
      </c>
      <c r="AA2902" s="51">
        <v>1</v>
      </c>
      <c r="AB2902" s="102">
        <v>0</v>
      </c>
      <c r="AC2902" s="81">
        <f t="shared" si="139"/>
        <v>203.54622898903597</v>
      </c>
      <c r="AD2902" s="82">
        <f t="shared" si="140"/>
        <v>59.785714285714278</v>
      </c>
      <c r="AE2902" s="218">
        <v>-0.2002763972590548</v>
      </c>
      <c r="AF2902">
        <v>4</v>
      </c>
      <c r="AH2902" t="str">
        <f t="shared" si="138"/>
        <v>Laldiyara</v>
      </c>
      <c r="AJ2902" s="72">
        <v>0</v>
      </c>
      <c r="AK2902" s="72"/>
      <c r="AL2902" s="72"/>
      <c r="AM2902" s="72"/>
    </row>
    <row r="2903" spans="1:39" x14ac:dyDescent="0.25">
      <c r="A2903" s="37" t="s">
        <v>62</v>
      </c>
      <c r="B2903" s="66" t="s">
        <v>1644</v>
      </c>
      <c r="C2903" s="4">
        <v>1002</v>
      </c>
      <c r="D2903" s="41" t="s">
        <v>105</v>
      </c>
      <c r="E2903" s="41">
        <v>10020012</v>
      </c>
      <c r="F2903" s="85" t="s">
        <v>1232</v>
      </c>
      <c r="G2903" s="39" t="s">
        <v>635</v>
      </c>
      <c r="H2903" s="52" t="s">
        <v>99</v>
      </c>
      <c r="I2903" s="52">
        <v>238.8</v>
      </c>
      <c r="J2903" s="49">
        <v>9452.0544745200004</v>
      </c>
      <c r="K2903" s="58">
        <v>0</v>
      </c>
      <c r="L2903" s="58">
        <v>0</v>
      </c>
      <c r="M2903" s="58">
        <v>0</v>
      </c>
      <c r="N2903" s="58">
        <v>0</v>
      </c>
      <c r="O2903" s="58">
        <v>0</v>
      </c>
      <c r="P2903" s="53">
        <v>0</v>
      </c>
      <c r="Q2903" s="65">
        <v>9452.0544745200004</v>
      </c>
      <c r="R2903" s="65">
        <v>0</v>
      </c>
      <c r="S2903" s="65">
        <v>0</v>
      </c>
      <c r="T2903" s="65">
        <v>0</v>
      </c>
      <c r="U2903" s="58">
        <v>0</v>
      </c>
      <c r="V2903" s="65">
        <v>0</v>
      </c>
      <c r="W2903" s="65">
        <v>0</v>
      </c>
      <c r="X2903" s="65">
        <v>0</v>
      </c>
      <c r="Y2903" s="65">
        <v>0</v>
      </c>
      <c r="Z2903" s="51">
        <v>9452.0544745200004</v>
      </c>
      <c r="AA2903" s="51">
        <v>0</v>
      </c>
      <c r="AB2903" s="102">
        <v>0</v>
      </c>
      <c r="AC2903" s="81">
        <f t="shared" si="139"/>
        <v>365.09945759201207</v>
      </c>
      <c r="AD2903" s="82">
        <f t="shared" si="140"/>
        <v>34.114285714285714</v>
      </c>
      <c r="AE2903" s="218">
        <v>0</v>
      </c>
      <c r="AF2903">
        <v>0</v>
      </c>
      <c r="AH2903" t="str">
        <f t="shared" si="138"/>
        <v>Laldiyara</v>
      </c>
      <c r="AJ2903" s="72">
        <v>0</v>
      </c>
      <c r="AK2903" s="72"/>
      <c r="AL2903" s="72"/>
      <c r="AM2903" s="72"/>
    </row>
    <row r="2904" spans="1:39" x14ac:dyDescent="0.25">
      <c r="A2904" s="37" t="s">
        <v>62</v>
      </c>
      <c r="B2904" s="66" t="s">
        <v>1644</v>
      </c>
      <c r="C2904" s="4">
        <v>1002</v>
      </c>
      <c r="D2904" s="41" t="s">
        <v>105</v>
      </c>
      <c r="E2904" s="41">
        <v>10020013</v>
      </c>
      <c r="F2904" s="85" t="s">
        <v>615</v>
      </c>
      <c r="G2904" s="39" t="s">
        <v>635</v>
      </c>
      <c r="H2904" s="52" t="s">
        <v>99</v>
      </c>
      <c r="I2904" s="52">
        <v>346.4</v>
      </c>
      <c r="J2904" s="49">
        <v>14077.772265757201</v>
      </c>
      <c r="K2904" s="58">
        <v>0</v>
      </c>
      <c r="L2904" s="58">
        <v>0</v>
      </c>
      <c r="M2904" s="58">
        <v>0</v>
      </c>
      <c r="N2904" s="58">
        <v>0</v>
      </c>
      <c r="O2904" s="58">
        <v>0</v>
      </c>
      <c r="P2904" s="53">
        <v>0</v>
      </c>
      <c r="Q2904" s="65">
        <v>14077.772265757201</v>
      </c>
      <c r="R2904" s="65">
        <v>0</v>
      </c>
      <c r="S2904" s="65">
        <v>0</v>
      </c>
      <c r="T2904" s="65">
        <v>0</v>
      </c>
      <c r="U2904" s="58">
        <v>0</v>
      </c>
      <c r="V2904" s="65">
        <v>0</v>
      </c>
      <c r="W2904" s="65">
        <v>0</v>
      </c>
      <c r="X2904" s="65">
        <v>0</v>
      </c>
      <c r="Y2904" s="65">
        <v>0</v>
      </c>
      <c r="Z2904" s="51">
        <v>14077.772265757201</v>
      </c>
      <c r="AA2904" s="51">
        <v>0</v>
      </c>
      <c r="AB2904" s="102">
        <v>0</v>
      </c>
      <c r="AC2904" s="81">
        <f t="shared" si="139"/>
        <v>287.40763701915398</v>
      </c>
      <c r="AD2904" s="82">
        <f t="shared" si="140"/>
        <v>49.48571428571428</v>
      </c>
      <c r="AE2904" s="218">
        <v>0</v>
      </c>
      <c r="AF2904">
        <v>0</v>
      </c>
      <c r="AH2904" t="str">
        <f t="shared" si="138"/>
        <v>Laldiyara</v>
      </c>
      <c r="AJ2904" s="72">
        <v>0</v>
      </c>
      <c r="AK2904" s="72"/>
      <c r="AL2904" s="72"/>
      <c r="AM2904" s="72"/>
    </row>
    <row r="2905" spans="1:39" x14ac:dyDescent="0.25">
      <c r="A2905" s="37" t="s">
        <v>62</v>
      </c>
      <c r="B2905" s="66" t="s">
        <v>1644</v>
      </c>
      <c r="C2905" s="4">
        <v>1002</v>
      </c>
      <c r="D2905" s="41" t="s">
        <v>105</v>
      </c>
      <c r="E2905" s="41">
        <v>10020015</v>
      </c>
      <c r="F2905" s="85" t="s">
        <v>112</v>
      </c>
      <c r="G2905" s="39" t="s">
        <v>635</v>
      </c>
      <c r="H2905" s="52" t="s">
        <v>99</v>
      </c>
      <c r="I2905" s="52">
        <v>25114.6</v>
      </c>
      <c r="J2905" s="49">
        <v>991056.47571798018</v>
      </c>
      <c r="K2905" s="58">
        <v>0</v>
      </c>
      <c r="L2905" s="58">
        <v>0</v>
      </c>
      <c r="M2905" s="58">
        <v>0</v>
      </c>
      <c r="N2905" s="58">
        <v>0</v>
      </c>
      <c r="O2905" s="58">
        <v>0</v>
      </c>
      <c r="P2905" s="53">
        <v>0</v>
      </c>
      <c r="Q2905" s="65">
        <v>991056.47571798018</v>
      </c>
      <c r="R2905" s="65">
        <v>0</v>
      </c>
      <c r="S2905" s="65">
        <v>0</v>
      </c>
      <c r="T2905" s="65">
        <v>0</v>
      </c>
      <c r="U2905" s="58">
        <v>0</v>
      </c>
      <c r="V2905" s="65">
        <v>0</v>
      </c>
      <c r="W2905" s="65">
        <v>0</v>
      </c>
      <c r="X2905" s="65">
        <v>0</v>
      </c>
      <c r="Y2905" s="65">
        <v>0</v>
      </c>
      <c r="Z2905" s="51">
        <v>991056.47571798018</v>
      </c>
      <c r="AA2905" s="51">
        <v>0</v>
      </c>
      <c r="AB2905" s="102" t="s">
        <v>68</v>
      </c>
      <c r="AC2905" s="81">
        <f t="shared" si="139"/>
        <v>0</v>
      </c>
      <c r="AD2905" s="82">
        <f t="shared" si="140"/>
        <v>0</v>
      </c>
      <c r="AE2905" s="218">
        <v>0</v>
      </c>
      <c r="AF2905">
        <v>0</v>
      </c>
      <c r="AH2905" t="str">
        <f t="shared" si="138"/>
        <v>Laldiyara</v>
      </c>
      <c r="AJ2905" s="72">
        <v>0</v>
      </c>
      <c r="AK2905" s="72"/>
      <c r="AL2905" s="72"/>
      <c r="AM2905" s="72"/>
    </row>
    <row r="2906" spans="1:39" x14ac:dyDescent="0.25">
      <c r="A2906" s="37" t="s">
        <v>62</v>
      </c>
      <c r="B2906" s="66" t="s">
        <v>1644</v>
      </c>
      <c r="C2906" s="4">
        <v>1002</v>
      </c>
      <c r="D2906" s="41" t="s">
        <v>105</v>
      </c>
      <c r="E2906" s="41">
        <v>10020016</v>
      </c>
      <c r="F2906" s="85" t="s">
        <v>113</v>
      </c>
      <c r="G2906" s="39" t="s">
        <v>635</v>
      </c>
      <c r="H2906" s="52" t="s">
        <v>99</v>
      </c>
      <c r="I2906" s="52">
        <v>25340.699999999997</v>
      </c>
      <c r="J2906" s="49">
        <v>1023992.7303672903</v>
      </c>
      <c r="K2906" s="58">
        <v>0</v>
      </c>
      <c r="L2906" s="58">
        <v>0</v>
      </c>
      <c r="M2906" s="58">
        <v>0</v>
      </c>
      <c r="N2906" s="58">
        <v>0</v>
      </c>
      <c r="O2906" s="58">
        <v>0</v>
      </c>
      <c r="P2906" s="53">
        <v>0</v>
      </c>
      <c r="Q2906" s="65">
        <v>1023992.7303672903</v>
      </c>
      <c r="R2906" s="65">
        <v>0</v>
      </c>
      <c r="S2906" s="65">
        <v>0</v>
      </c>
      <c r="T2906" s="65">
        <v>0</v>
      </c>
      <c r="U2906" s="58">
        <v>0</v>
      </c>
      <c r="V2906" s="65">
        <v>0</v>
      </c>
      <c r="W2906" s="65">
        <v>0</v>
      </c>
      <c r="X2906" s="65">
        <v>0</v>
      </c>
      <c r="Y2906" s="65">
        <v>0</v>
      </c>
      <c r="Z2906" s="51">
        <v>1023992.7303672903</v>
      </c>
      <c r="AA2906" s="51">
        <v>0</v>
      </c>
      <c r="AB2906" s="102" t="s">
        <v>68</v>
      </c>
      <c r="AC2906" s="81">
        <f t="shared" si="139"/>
        <v>0</v>
      </c>
      <c r="AD2906" s="82">
        <f t="shared" si="140"/>
        <v>0</v>
      </c>
      <c r="AE2906" s="218">
        <v>0</v>
      </c>
      <c r="AF2906">
        <v>0</v>
      </c>
      <c r="AH2906" t="str">
        <f t="shared" si="138"/>
        <v>Laldiyara</v>
      </c>
      <c r="AJ2906" s="72">
        <v>0</v>
      </c>
      <c r="AK2906" s="72"/>
      <c r="AL2906" s="72"/>
      <c r="AM2906" s="72"/>
    </row>
    <row r="2907" spans="1:39" x14ac:dyDescent="0.25">
      <c r="A2907" s="37" t="s">
        <v>62</v>
      </c>
      <c r="B2907" s="66" t="s">
        <v>1644</v>
      </c>
      <c r="C2907" s="4">
        <v>1002</v>
      </c>
      <c r="D2907" s="41" t="s">
        <v>105</v>
      </c>
      <c r="E2907" s="41">
        <v>10020017</v>
      </c>
      <c r="F2907" s="85" t="s">
        <v>114</v>
      </c>
      <c r="G2907" s="39" t="s">
        <v>93</v>
      </c>
      <c r="H2907" s="52" t="s">
        <v>94</v>
      </c>
      <c r="I2907" s="52">
        <v>4138.1000000000004</v>
      </c>
      <c r="J2907" s="49">
        <v>173906.59585368098</v>
      </c>
      <c r="K2907" s="58">
        <v>3146.0999999999985</v>
      </c>
      <c r="L2907" s="58">
        <v>134201.27966127143</v>
      </c>
      <c r="M2907" s="58">
        <v>34</v>
      </c>
      <c r="N2907" s="58">
        <v>1527.0537825000001</v>
      </c>
      <c r="O2907" s="58">
        <v>3180.0999999999985</v>
      </c>
      <c r="P2907" s="53">
        <v>135728.33344377144</v>
      </c>
      <c r="Q2907" s="65">
        <v>135728.33344377144</v>
      </c>
      <c r="R2907" s="65">
        <v>0</v>
      </c>
      <c r="S2907" s="65">
        <v>1527.0537825000001</v>
      </c>
      <c r="T2907" s="65">
        <v>0</v>
      </c>
      <c r="U2907" s="58">
        <v>0</v>
      </c>
      <c r="V2907" s="65">
        <v>0</v>
      </c>
      <c r="W2907" s="65">
        <v>0</v>
      </c>
      <c r="X2907" s="65">
        <v>134199</v>
      </c>
      <c r="Y2907" s="65">
        <v>0</v>
      </c>
      <c r="Z2907" s="51">
        <v>0</v>
      </c>
      <c r="AA2907" s="51">
        <v>38181</v>
      </c>
      <c r="AB2907" s="102">
        <v>0</v>
      </c>
      <c r="AC2907" s="81">
        <f t="shared" si="139"/>
        <v>0</v>
      </c>
      <c r="AD2907" s="82">
        <f t="shared" si="140"/>
        <v>0</v>
      </c>
      <c r="AE2907" s="218">
        <v>0.21953314779406882</v>
      </c>
      <c r="AF2907">
        <v>63</v>
      </c>
      <c r="AH2907" t="str">
        <f t="shared" si="138"/>
        <v>Laldiyara</v>
      </c>
      <c r="AJ2907" s="72">
        <v>0</v>
      </c>
      <c r="AK2907" s="72"/>
      <c r="AL2907" s="72"/>
      <c r="AM2907" s="72"/>
    </row>
    <row r="2908" spans="1:39" x14ac:dyDescent="0.25">
      <c r="A2908" s="37" t="s">
        <v>62</v>
      </c>
      <c r="B2908" s="66" t="s">
        <v>1644</v>
      </c>
      <c r="C2908" s="4">
        <v>1002</v>
      </c>
      <c r="D2908" s="41" t="s">
        <v>105</v>
      </c>
      <c r="E2908" s="41">
        <v>10020018</v>
      </c>
      <c r="F2908" s="85" t="s">
        <v>1215</v>
      </c>
      <c r="G2908" s="39" t="s">
        <v>635</v>
      </c>
      <c r="H2908" s="52" t="s">
        <v>99</v>
      </c>
      <c r="I2908" s="52">
        <v>293.5</v>
      </c>
      <c r="J2908" s="49">
        <v>14404.380359826</v>
      </c>
      <c r="K2908" s="58">
        <v>0</v>
      </c>
      <c r="L2908" s="58">
        <v>0</v>
      </c>
      <c r="M2908" s="58">
        <v>0</v>
      </c>
      <c r="N2908" s="58">
        <v>0</v>
      </c>
      <c r="O2908" s="58">
        <v>0</v>
      </c>
      <c r="P2908" s="53">
        <v>0</v>
      </c>
      <c r="Q2908" s="65">
        <v>14404.380359826</v>
      </c>
      <c r="R2908" s="65">
        <v>0</v>
      </c>
      <c r="S2908" s="65">
        <v>0</v>
      </c>
      <c r="T2908" s="65">
        <v>0</v>
      </c>
      <c r="U2908" s="58">
        <v>0</v>
      </c>
      <c r="V2908" s="65">
        <v>0</v>
      </c>
      <c r="W2908" s="65">
        <v>0</v>
      </c>
      <c r="X2908" s="65">
        <v>0</v>
      </c>
      <c r="Y2908" s="65">
        <v>0</v>
      </c>
      <c r="Z2908" s="51">
        <v>14404.380359826</v>
      </c>
      <c r="AA2908" s="51">
        <v>0</v>
      </c>
      <c r="AB2908" s="102">
        <v>0</v>
      </c>
      <c r="AC2908" s="81">
        <f t="shared" si="139"/>
        <v>399.00378986502687</v>
      </c>
      <c r="AD2908" s="82">
        <f t="shared" si="140"/>
        <v>41.928571428571431</v>
      </c>
      <c r="AE2908" s="218">
        <v>0</v>
      </c>
      <c r="AF2908">
        <v>0</v>
      </c>
      <c r="AH2908" t="str">
        <f t="shared" si="138"/>
        <v>Laldiyara</v>
      </c>
      <c r="AJ2908" s="72">
        <v>0</v>
      </c>
      <c r="AK2908" s="72"/>
      <c r="AL2908" s="72"/>
      <c r="AM2908" s="72"/>
    </row>
    <row r="2909" spans="1:39" x14ac:dyDescent="0.25">
      <c r="A2909" s="37" t="s">
        <v>62</v>
      </c>
      <c r="B2909" s="66" t="s">
        <v>1644</v>
      </c>
      <c r="C2909" s="4">
        <v>1002</v>
      </c>
      <c r="D2909" s="41" t="s">
        <v>105</v>
      </c>
      <c r="E2909" s="41">
        <v>10020021</v>
      </c>
      <c r="F2909" s="85" t="s">
        <v>115</v>
      </c>
      <c r="G2909" s="39" t="s">
        <v>93</v>
      </c>
      <c r="H2909" s="52" t="s">
        <v>94</v>
      </c>
      <c r="I2909" s="52">
        <v>3927.0000000000005</v>
      </c>
      <c r="J2909" s="49">
        <v>176591.60052482205</v>
      </c>
      <c r="K2909" s="58">
        <v>3524.5</v>
      </c>
      <c r="L2909" s="58">
        <v>157638.63387062191</v>
      </c>
      <c r="M2909" s="58">
        <v>460.3</v>
      </c>
      <c r="N2909" s="58">
        <v>19945.7928372846</v>
      </c>
      <c r="O2909" s="58">
        <v>3984.8</v>
      </c>
      <c r="P2909" s="53">
        <v>177584.4267079065</v>
      </c>
      <c r="Q2909" s="65">
        <v>176591.60052482205</v>
      </c>
      <c r="R2909" s="65">
        <v>0</v>
      </c>
      <c r="S2909" s="65">
        <v>1563.3401847214</v>
      </c>
      <c r="T2909" s="65">
        <v>992.82618308445672</v>
      </c>
      <c r="U2909" s="58">
        <v>0</v>
      </c>
      <c r="V2909" s="65">
        <v>0</v>
      </c>
      <c r="W2909" s="65">
        <v>0</v>
      </c>
      <c r="X2909" s="65">
        <v>156646</v>
      </c>
      <c r="Y2909" s="65">
        <v>18382</v>
      </c>
      <c r="Z2909" s="51">
        <v>0</v>
      </c>
      <c r="AA2909" s="51">
        <v>0</v>
      </c>
      <c r="AB2909" s="102">
        <v>0</v>
      </c>
      <c r="AC2909" s="81">
        <f t="shared" si="139"/>
        <v>0</v>
      </c>
      <c r="AD2909" s="82">
        <f t="shared" si="140"/>
        <v>0</v>
      </c>
      <c r="AE2909" s="218">
        <v>-5.6221597184340777E-3</v>
      </c>
      <c r="AF2909">
        <v>32</v>
      </c>
      <c r="AH2909" t="str">
        <f t="shared" si="138"/>
        <v>Laldiyara</v>
      </c>
      <c r="AJ2909" s="72">
        <v>0</v>
      </c>
      <c r="AK2909" s="72"/>
      <c r="AL2909" s="72"/>
      <c r="AM2909" s="72"/>
    </row>
    <row r="2910" spans="1:39" x14ac:dyDescent="0.25">
      <c r="A2910" s="37" t="s">
        <v>62</v>
      </c>
      <c r="B2910" s="66" t="s">
        <v>1644</v>
      </c>
      <c r="C2910" s="4">
        <v>1002</v>
      </c>
      <c r="D2910" s="41" t="s">
        <v>105</v>
      </c>
      <c r="E2910" s="41">
        <v>10020023</v>
      </c>
      <c r="F2910" s="85" t="s">
        <v>117</v>
      </c>
      <c r="G2910" s="39" t="s">
        <v>93</v>
      </c>
      <c r="H2910" s="52" t="s">
        <v>94</v>
      </c>
      <c r="I2910" s="52">
        <v>939.80000000000007</v>
      </c>
      <c r="J2910" s="49">
        <v>35892.255932610002</v>
      </c>
      <c r="K2910" s="58">
        <v>924.30000000000007</v>
      </c>
      <c r="L2910" s="58">
        <v>34802.997614927306</v>
      </c>
      <c r="M2910" s="58">
        <v>9.6000000000000014</v>
      </c>
      <c r="N2910" s="58">
        <v>354.61244889299996</v>
      </c>
      <c r="O2910" s="58">
        <v>933.90000000000009</v>
      </c>
      <c r="P2910" s="53">
        <v>35157.610063820306</v>
      </c>
      <c r="Q2910" s="65">
        <v>35157.610063820306</v>
      </c>
      <c r="R2910" s="65">
        <v>0</v>
      </c>
      <c r="S2910" s="65">
        <v>354.61244889299996</v>
      </c>
      <c r="T2910" s="65">
        <v>0</v>
      </c>
      <c r="U2910" s="58">
        <v>0</v>
      </c>
      <c r="V2910" s="65">
        <v>0</v>
      </c>
      <c r="W2910" s="65">
        <v>0</v>
      </c>
      <c r="X2910" s="65">
        <v>34802</v>
      </c>
      <c r="Y2910" s="65">
        <v>0</v>
      </c>
      <c r="Z2910" s="51">
        <v>0</v>
      </c>
      <c r="AA2910" s="51">
        <v>736</v>
      </c>
      <c r="AB2910" s="102">
        <v>0</v>
      </c>
      <c r="AC2910" s="81">
        <f t="shared" si="139"/>
        <v>0</v>
      </c>
      <c r="AD2910" s="82">
        <f t="shared" si="140"/>
        <v>0</v>
      </c>
      <c r="AE2910" s="218">
        <v>2.0468088441390815E-2</v>
      </c>
      <c r="AF2910">
        <v>29</v>
      </c>
      <c r="AH2910" t="str">
        <f t="shared" si="138"/>
        <v>Laldiyara</v>
      </c>
      <c r="AJ2910" s="72">
        <v>0</v>
      </c>
      <c r="AK2910" s="72"/>
      <c r="AL2910" s="72"/>
      <c r="AM2910" s="72"/>
    </row>
    <row r="2911" spans="1:39" x14ac:dyDescent="0.25">
      <c r="A2911" s="37" t="s">
        <v>62</v>
      </c>
      <c r="B2911" s="66" t="s">
        <v>1644</v>
      </c>
      <c r="C2911" s="4">
        <v>1002</v>
      </c>
      <c r="D2911" s="41" t="s">
        <v>105</v>
      </c>
      <c r="E2911" s="41">
        <v>10020024</v>
      </c>
      <c r="F2911" s="85" t="s">
        <v>118</v>
      </c>
      <c r="G2911" s="39" t="s">
        <v>93</v>
      </c>
      <c r="H2911" s="52" t="s">
        <v>94</v>
      </c>
      <c r="I2911" s="52">
        <v>3343.2999999999997</v>
      </c>
      <c r="J2911" s="49">
        <v>134658.43282638231</v>
      </c>
      <c r="K2911" s="58">
        <v>3306.3100000000004</v>
      </c>
      <c r="L2911" s="58">
        <v>135365.01971257702</v>
      </c>
      <c r="M2911" s="58">
        <v>0</v>
      </c>
      <c r="N2911" s="58">
        <v>0</v>
      </c>
      <c r="O2911" s="58">
        <v>3306.3100000000004</v>
      </c>
      <c r="P2911" s="53">
        <v>135365.01971257702</v>
      </c>
      <c r="Q2911" s="65">
        <v>134658.43282638231</v>
      </c>
      <c r="R2911" s="65">
        <v>0</v>
      </c>
      <c r="S2911" s="65">
        <v>0</v>
      </c>
      <c r="T2911" s="65">
        <v>706.58688619470922</v>
      </c>
      <c r="U2911" s="58">
        <v>0</v>
      </c>
      <c r="V2911" s="65">
        <v>0</v>
      </c>
      <c r="W2911" s="65">
        <v>0</v>
      </c>
      <c r="X2911" s="65">
        <v>134658</v>
      </c>
      <c r="Y2911" s="65">
        <v>0</v>
      </c>
      <c r="Z2911" s="51">
        <v>0</v>
      </c>
      <c r="AA2911" s="51">
        <v>0</v>
      </c>
      <c r="AB2911" s="102">
        <v>0</v>
      </c>
      <c r="AC2911" s="81">
        <f t="shared" si="139"/>
        <v>0</v>
      </c>
      <c r="AD2911" s="82">
        <f t="shared" si="140"/>
        <v>0</v>
      </c>
      <c r="AE2911" s="218">
        <v>-5.2472531527655991E-3</v>
      </c>
      <c r="AF2911">
        <v>78</v>
      </c>
      <c r="AH2911" t="str">
        <f t="shared" si="138"/>
        <v>Laldiyara</v>
      </c>
      <c r="AJ2911" s="72">
        <v>0</v>
      </c>
      <c r="AK2911" s="72"/>
      <c r="AL2911" s="72"/>
      <c r="AM2911" s="72"/>
    </row>
    <row r="2912" spans="1:39" x14ac:dyDescent="0.25">
      <c r="A2912" s="37" t="s">
        <v>62</v>
      </c>
      <c r="B2912" s="66" t="s">
        <v>1644</v>
      </c>
      <c r="C2912" s="4">
        <v>1002</v>
      </c>
      <c r="D2912" s="41" t="s">
        <v>105</v>
      </c>
      <c r="E2912" s="41">
        <v>10020025</v>
      </c>
      <c r="F2912" s="85" t="s">
        <v>119</v>
      </c>
      <c r="G2912" s="39" t="s">
        <v>93</v>
      </c>
      <c r="H2912" s="52" t="s">
        <v>94</v>
      </c>
      <c r="I2912" s="52">
        <v>822.39999999999986</v>
      </c>
      <c r="J2912" s="49">
        <v>31726.551618270005</v>
      </c>
      <c r="K2912" s="58">
        <v>819.42000000000007</v>
      </c>
      <c r="L2912" s="58">
        <v>30532.039032169356</v>
      </c>
      <c r="M2912" s="58">
        <v>9.0299999999999976</v>
      </c>
      <c r="N2912" s="58">
        <v>335.89362009299998</v>
      </c>
      <c r="O2912" s="58">
        <v>828.45</v>
      </c>
      <c r="P2912" s="53">
        <v>30867.932652262356</v>
      </c>
      <c r="Q2912" s="65">
        <v>30867.932652262356</v>
      </c>
      <c r="R2912" s="65">
        <v>0</v>
      </c>
      <c r="S2912" s="65">
        <v>335.89362009299998</v>
      </c>
      <c r="T2912" s="65">
        <v>0</v>
      </c>
      <c r="U2912" s="58">
        <v>0</v>
      </c>
      <c r="V2912" s="65">
        <v>0</v>
      </c>
      <c r="W2912" s="65">
        <v>0</v>
      </c>
      <c r="X2912" s="65">
        <v>30532</v>
      </c>
      <c r="Y2912" s="65">
        <v>0</v>
      </c>
      <c r="Z2912" s="51">
        <v>0</v>
      </c>
      <c r="AA2912" s="51">
        <v>859</v>
      </c>
      <c r="AB2912" s="102">
        <v>0</v>
      </c>
      <c r="AC2912" s="81">
        <f t="shared" si="139"/>
        <v>0</v>
      </c>
      <c r="AD2912" s="82">
        <f t="shared" si="140"/>
        <v>0</v>
      </c>
      <c r="AE2912" s="218">
        <v>2.7063104000032763E-2</v>
      </c>
      <c r="AF2912">
        <v>16</v>
      </c>
      <c r="AH2912" t="str">
        <f t="shared" si="138"/>
        <v>Laldiyara</v>
      </c>
      <c r="AJ2912" s="72">
        <v>0</v>
      </c>
      <c r="AK2912" s="72"/>
      <c r="AL2912" s="72"/>
      <c r="AM2912" s="72"/>
    </row>
    <row r="2913" spans="1:39" x14ac:dyDescent="0.25">
      <c r="A2913" s="37" t="s">
        <v>62</v>
      </c>
      <c r="B2913" s="66" t="s">
        <v>1644</v>
      </c>
      <c r="C2913" s="4">
        <v>1002</v>
      </c>
      <c r="D2913" s="41" t="s">
        <v>105</v>
      </c>
      <c r="E2913" s="41">
        <v>10020026</v>
      </c>
      <c r="F2913" s="85" t="s">
        <v>120</v>
      </c>
      <c r="G2913" s="39" t="s">
        <v>93</v>
      </c>
      <c r="H2913" s="52" t="s">
        <v>94</v>
      </c>
      <c r="I2913" s="52">
        <v>607.6</v>
      </c>
      <c r="J2913" s="49">
        <v>25669.721995170003</v>
      </c>
      <c r="K2913" s="58">
        <v>607.26</v>
      </c>
      <c r="L2913" s="58">
        <v>25069.97795080064</v>
      </c>
      <c r="M2913" s="58">
        <v>1.5699999999999998</v>
      </c>
      <c r="N2913" s="58">
        <v>63.819368652000009</v>
      </c>
      <c r="O2913" s="58">
        <v>608.83000000000004</v>
      </c>
      <c r="P2913" s="53">
        <v>25133.797319452638</v>
      </c>
      <c r="Q2913" s="65">
        <v>25133.797319452638</v>
      </c>
      <c r="R2913" s="65">
        <v>0</v>
      </c>
      <c r="S2913" s="65">
        <v>63.819368652000009</v>
      </c>
      <c r="T2913" s="65">
        <v>0</v>
      </c>
      <c r="U2913" s="58">
        <v>0</v>
      </c>
      <c r="V2913" s="65">
        <v>0</v>
      </c>
      <c r="W2913" s="65">
        <v>0</v>
      </c>
      <c r="X2913" s="65">
        <v>25070</v>
      </c>
      <c r="Y2913" s="65">
        <v>0</v>
      </c>
      <c r="Z2913" s="51">
        <v>0</v>
      </c>
      <c r="AA2913" s="51">
        <v>536</v>
      </c>
      <c r="AB2913" s="102">
        <v>0</v>
      </c>
      <c r="AC2913" s="81">
        <f t="shared" si="139"/>
        <v>78.073808833235958</v>
      </c>
      <c r="AD2913" s="82">
        <f t="shared" si="140"/>
        <v>86.8</v>
      </c>
      <c r="AE2913" s="218">
        <v>2.0877696915385501E-2</v>
      </c>
      <c r="AF2913">
        <v>5</v>
      </c>
      <c r="AH2913" t="str">
        <f t="shared" si="138"/>
        <v>Laldiyara</v>
      </c>
      <c r="AJ2913" s="72">
        <v>0</v>
      </c>
      <c r="AK2913" s="72"/>
      <c r="AL2913" s="72"/>
      <c r="AM2913" s="72"/>
    </row>
    <row r="2914" spans="1:39" x14ac:dyDescent="0.25">
      <c r="A2914" s="37" t="s">
        <v>62</v>
      </c>
      <c r="B2914" s="66" t="s">
        <v>1644</v>
      </c>
      <c r="C2914" s="4">
        <v>1002</v>
      </c>
      <c r="D2914" s="41" t="s">
        <v>105</v>
      </c>
      <c r="E2914" s="41">
        <v>10020027</v>
      </c>
      <c r="F2914" s="85" t="s">
        <v>121</v>
      </c>
      <c r="G2914" s="39" t="s">
        <v>93</v>
      </c>
      <c r="H2914" s="52" t="s">
        <v>94</v>
      </c>
      <c r="I2914" s="52">
        <v>736.2</v>
      </c>
      <c r="J2914" s="49">
        <v>27783.613023000005</v>
      </c>
      <c r="K2914" s="58">
        <v>736.19999999999993</v>
      </c>
      <c r="L2914" s="58">
        <v>27885.246707040005</v>
      </c>
      <c r="M2914" s="58">
        <v>0</v>
      </c>
      <c r="N2914" s="58">
        <v>0</v>
      </c>
      <c r="O2914" s="58">
        <v>736.19999999999993</v>
      </c>
      <c r="P2914" s="53">
        <v>27885.246707040005</v>
      </c>
      <c r="Q2914" s="65">
        <v>27783.613023000005</v>
      </c>
      <c r="R2914" s="65">
        <v>0</v>
      </c>
      <c r="S2914" s="65">
        <v>0</v>
      </c>
      <c r="T2914" s="65">
        <v>101.63368403999993</v>
      </c>
      <c r="U2914" s="58">
        <v>0</v>
      </c>
      <c r="V2914" s="65">
        <v>0</v>
      </c>
      <c r="W2914" s="65">
        <v>0</v>
      </c>
      <c r="X2914" s="65">
        <v>27784</v>
      </c>
      <c r="Y2914" s="65">
        <v>0</v>
      </c>
      <c r="Z2914" s="51">
        <v>0</v>
      </c>
      <c r="AA2914" s="51">
        <v>0</v>
      </c>
      <c r="AB2914" s="102">
        <v>0</v>
      </c>
      <c r="AC2914" s="81">
        <f t="shared" si="139"/>
        <v>0</v>
      </c>
      <c r="AD2914" s="82">
        <f t="shared" si="140"/>
        <v>0</v>
      </c>
      <c r="AE2914" s="218">
        <v>-3.6580441843854111E-3</v>
      </c>
      <c r="AF2914">
        <v>2</v>
      </c>
      <c r="AH2914" t="str">
        <f t="shared" si="138"/>
        <v>Laldiyara</v>
      </c>
      <c r="AJ2914" s="72">
        <v>0</v>
      </c>
      <c r="AK2914" s="72"/>
      <c r="AL2914" s="72"/>
      <c r="AM2914" s="72"/>
    </row>
    <row r="2915" spans="1:39" x14ac:dyDescent="0.25">
      <c r="A2915" s="37" t="s">
        <v>62</v>
      </c>
      <c r="B2915" s="66" t="s">
        <v>1644</v>
      </c>
      <c r="C2915" s="4">
        <v>1002</v>
      </c>
      <c r="D2915" s="41" t="s">
        <v>105</v>
      </c>
      <c r="E2915" s="41">
        <v>10020029</v>
      </c>
      <c r="F2915" s="85" t="s">
        <v>122</v>
      </c>
      <c r="G2915" s="39" t="s">
        <v>93</v>
      </c>
      <c r="H2915" s="52" t="s">
        <v>94</v>
      </c>
      <c r="I2915" s="52">
        <v>373.3</v>
      </c>
      <c r="J2915" s="49">
        <v>14720.914157250001</v>
      </c>
      <c r="K2915" s="58">
        <v>371.64</v>
      </c>
      <c r="L2915" s="58">
        <v>14867.444555124404</v>
      </c>
      <c r="M2915" s="58">
        <v>1.72</v>
      </c>
      <c r="N2915" s="58">
        <v>64.815133206000013</v>
      </c>
      <c r="O2915" s="58">
        <v>373.36</v>
      </c>
      <c r="P2915" s="53">
        <v>14932.259688330405</v>
      </c>
      <c r="Q2915" s="65">
        <v>14720.914157250001</v>
      </c>
      <c r="R2915" s="65">
        <v>0</v>
      </c>
      <c r="S2915" s="65">
        <v>64.815133206000013</v>
      </c>
      <c r="T2915" s="65">
        <v>211.34553108040382</v>
      </c>
      <c r="U2915" s="58">
        <v>0</v>
      </c>
      <c r="V2915" s="65">
        <v>0</v>
      </c>
      <c r="W2915" s="65">
        <v>0</v>
      </c>
      <c r="X2915" s="65">
        <v>14656</v>
      </c>
      <c r="Y2915" s="65">
        <v>0</v>
      </c>
      <c r="Z2915" s="51">
        <v>0</v>
      </c>
      <c r="AA2915" s="51">
        <v>0</v>
      </c>
      <c r="AB2915" s="102" t="s">
        <v>68</v>
      </c>
      <c r="AC2915" s="81">
        <f t="shared" si="139"/>
        <v>257.66529092813153</v>
      </c>
      <c r="AD2915" s="82">
        <f t="shared" si="140"/>
        <v>53.328571428571429</v>
      </c>
      <c r="AE2915" s="218">
        <v>-1.4356821106542276E-2</v>
      </c>
      <c r="AF2915">
        <v>7</v>
      </c>
      <c r="AH2915" t="str">
        <f t="shared" si="138"/>
        <v>Laldiyara</v>
      </c>
      <c r="AJ2915" s="72">
        <v>0</v>
      </c>
      <c r="AK2915" s="72"/>
      <c r="AL2915" s="72"/>
      <c r="AM2915" s="72"/>
    </row>
    <row r="2916" spans="1:39" x14ac:dyDescent="0.25">
      <c r="A2916" s="37" t="s">
        <v>62</v>
      </c>
      <c r="B2916" s="66" t="s">
        <v>1644</v>
      </c>
      <c r="C2916" s="4">
        <v>1002</v>
      </c>
      <c r="D2916" s="41" t="s">
        <v>105</v>
      </c>
      <c r="E2916" s="41">
        <v>10020032</v>
      </c>
      <c r="F2916" s="85" t="s">
        <v>123</v>
      </c>
      <c r="G2916" s="39" t="s">
        <v>93</v>
      </c>
      <c r="H2916" s="52" t="s">
        <v>94</v>
      </c>
      <c r="I2916" s="52">
        <v>902.80000000000007</v>
      </c>
      <c r="J2916" s="49">
        <v>40049.705997254401</v>
      </c>
      <c r="K2916" s="58">
        <v>901.87000000000012</v>
      </c>
      <c r="L2916" s="58">
        <v>39930.953016703061</v>
      </c>
      <c r="M2916" s="58">
        <v>10.43</v>
      </c>
      <c r="N2916" s="58">
        <v>469.03949997797599</v>
      </c>
      <c r="O2916" s="58">
        <v>912.30000000000007</v>
      </c>
      <c r="P2916" s="53">
        <v>40399.992516681035</v>
      </c>
      <c r="Q2916" s="65">
        <v>40049.705997254401</v>
      </c>
      <c r="R2916" s="65">
        <v>0</v>
      </c>
      <c r="S2916" s="65">
        <v>469.03949997797599</v>
      </c>
      <c r="T2916" s="65">
        <v>350.28651942663419</v>
      </c>
      <c r="U2916" s="58">
        <v>0</v>
      </c>
      <c r="V2916" s="65">
        <v>0</v>
      </c>
      <c r="W2916" s="65">
        <v>0</v>
      </c>
      <c r="X2916" s="65">
        <v>39581</v>
      </c>
      <c r="Y2916" s="65">
        <v>0</v>
      </c>
      <c r="Z2916" s="51">
        <v>0</v>
      </c>
      <c r="AA2916" s="51">
        <v>0</v>
      </c>
      <c r="AB2916" s="102">
        <v>0</v>
      </c>
      <c r="AC2916" s="81">
        <f t="shared" si="139"/>
        <v>0</v>
      </c>
      <c r="AD2916" s="82">
        <f t="shared" si="140"/>
        <v>0</v>
      </c>
      <c r="AE2916" s="218">
        <v>-8.746294403525659E-3</v>
      </c>
      <c r="AF2916">
        <v>16</v>
      </c>
      <c r="AH2916" t="str">
        <f t="shared" si="138"/>
        <v>Laldiyara</v>
      </c>
      <c r="AJ2916" s="72">
        <v>0</v>
      </c>
      <c r="AK2916" s="72"/>
      <c r="AL2916" s="72"/>
      <c r="AM2916" s="72"/>
    </row>
    <row r="2917" spans="1:39" x14ac:dyDescent="0.25">
      <c r="A2917" s="37" t="s">
        <v>62</v>
      </c>
      <c r="B2917" s="66" t="s">
        <v>1644</v>
      </c>
      <c r="C2917" s="4">
        <v>1002</v>
      </c>
      <c r="D2917" s="41" t="s">
        <v>105</v>
      </c>
      <c r="E2917" s="41">
        <v>10020034</v>
      </c>
      <c r="F2917" s="85" t="s">
        <v>124</v>
      </c>
      <c r="G2917" s="39" t="s">
        <v>93</v>
      </c>
      <c r="H2917" s="52" t="s">
        <v>94</v>
      </c>
      <c r="I2917" s="52">
        <v>966.1</v>
      </c>
      <c r="J2917" s="49">
        <v>40964.703861777205</v>
      </c>
      <c r="K2917" s="58">
        <v>945.85</v>
      </c>
      <c r="L2917" s="58">
        <v>39167.005168259537</v>
      </c>
      <c r="M2917" s="58">
        <v>12.270000000000001</v>
      </c>
      <c r="N2917" s="58">
        <v>477.93535574400005</v>
      </c>
      <c r="O2917" s="58">
        <v>958.12</v>
      </c>
      <c r="P2917" s="53">
        <v>39644.940524003534</v>
      </c>
      <c r="Q2917" s="65">
        <v>39644.940524003534</v>
      </c>
      <c r="R2917" s="65">
        <v>0</v>
      </c>
      <c r="S2917" s="65">
        <v>477.93535574400005</v>
      </c>
      <c r="T2917" s="65">
        <v>0</v>
      </c>
      <c r="U2917" s="58">
        <v>0</v>
      </c>
      <c r="V2917" s="65">
        <v>0</v>
      </c>
      <c r="W2917" s="65">
        <v>0</v>
      </c>
      <c r="X2917" s="65">
        <v>39169</v>
      </c>
      <c r="Y2917" s="65">
        <v>0</v>
      </c>
      <c r="Z2917" s="51">
        <v>0</v>
      </c>
      <c r="AA2917" s="51">
        <v>1318</v>
      </c>
      <c r="AB2917" s="102">
        <v>0</v>
      </c>
      <c r="AC2917" s="81">
        <f t="shared" si="139"/>
        <v>0</v>
      </c>
      <c r="AD2917" s="82">
        <f t="shared" si="140"/>
        <v>0</v>
      </c>
      <c r="AE2917" s="218">
        <v>3.221708479150262E-2</v>
      </c>
      <c r="AF2917">
        <v>30</v>
      </c>
      <c r="AH2917" t="str">
        <f t="shared" si="138"/>
        <v>Laldiyara</v>
      </c>
      <c r="AJ2917" s="72">
        <v>0</v>
      </c>
      <c r="AK2917" s="72"/>
      <c r="AL2917" s="72"/>
      <c r="AM2917" s="72"/>
    </row>
    <row r="2918" spans="1:39" x14ac:dyDescent="0.25">
      <c r="A2918" s="37" t="s">
        <v>62</v>
      </c>
      <c r="B2918" s="66" t="s">
        <v>1644</v>
      </c>
      <c r="C2918" s="4">
        <v>1002</v>
      </c>
      <c r="D2918" s="41" t="s">
        <v>105</v>
      </c>
      <c r="E2918" s="41">
        <v>10020035</v>
      </c>
      <c r="F2918" s="85" t="s">
        <v>125</v>
      </c>
      <c r="G2918" s="39" t="s">
        <v>93</v>
      </c>
      <c r="H2918" s="52" t="s">
        <v>94</v>
      </c>
      <c r="I2918" s="52">
        <v>1503.8000000000004</v>
      </c>
      <c r="J2918" s="49">
        <v>65420.534220268608</v>
      </c>
      <c r="K2918" s="58">
        <v>1555</v>
      </c>
      <c r="L2918" s="58">
        <v>68999.17847115999</v>
      </c>
      <c r="M2918" s="58">
        <v>29.5</v>
      </c>
      <c r="N2918" s="58">
        <v>1542.9734124650001</v>
      </c>
      <c r="O2918" s="58">
        <v>1584.5</v>
      </c>
      <c r="P2918" s="53">
        <v>70542.151883624989</v>
      </c>
      <c r="Q2918" s="65">
        <v>65420.534220268608</v>
      </c>
      <c r="R2918" s="65">
        <v>0</v>
      </c>
      <c r="S2918" s="65">
        <v>1506.012356465</v>
      </c>
      <c r="T2918" s="65">
        <v>5121.6176633563809</v>
      </c>
      <c r="U2918" s="58">
        <v>0</v>
      </c>
      <c r="V2918" s="65">
        <v>0</v>
      </c>
      <c r="W2918" s="65">
        <v>0</v>
      </c>
      <c r="X2918" s="65">
        <v>63878</v>
      </c>
      <c r="Y2918" s="65">
        <v>37</v>
      </c>
      <c r="Z2918" s="51">
        <v>0</v>
      </c>
      <c r="AA2918" s="51">
        <v>0</v>
      </c>
      <c r="AB2918" s="102">
        <v>0</v>
      </c>
      <c r="AC2918" s="81">
        <f t="shared" si="139"/>
        <v>0</v>
      </c>
      <c r="AD2918" s="82">
        <f t="shared" si="140"/>
        <v>0</v>
      </c>
      <c r="AE2918" s="218">
        <v>-7.8287616027592752E-2</v>
      </c>
      <c r="AF2918">
        <v>6</v>
      </c>
      <c r="AH2918" t="str">
        <f t="shared" si="138"/>
        <v>Laldiyara</v>
      </c>
      <c r="AJ2918" s="72">
        <v>0</v>
      </c>
      <c r="AK2918" s="72"/>
      <c r="AL2918" s="72"/>
      <c r="AM2918" s="72"/>
    </row>
    <row r="2919" spans="1:39" x14ac:dyDescent="0.25">
      <c r="A2919" s="37" t="s">
        <v>62</v>
      </c>
      <c r="B2919" s="66" t="s">
        <v>1644</v>
      </c>
      <c r="C2919" s="4">
        <v>1002</v>
      </c>
      <c r="D2919" s="41" t="s">
        <v>105</v>
      </c>
      <c r="E2919" s="41">
        <v>10020038</v>
      </c>
      <c r="F2919" s="85" t="s">
        <v>126</v>
      </c>
      <c r="G2919" s="39" t="s">
        <v>93</v>
      </c>
      <c r="H2919" s="52" t="s">
        <v>94</v>
      </c>
      <c r="I2919" s="52">
        <v>641.1</v>
      </c>
      <c r="J2919" s="49">
        <v>25966.17890676</v>
      </c>
      <c r="K2919" s="58">
        <v>640.81999999999994</v>
      </c>
      <c r="L2919" s="58">
        <v>25110.268576808525</v>
      </c>
      <c r="M2919" s="58">
        <v>5.56</v>
      </c>
      <c r="N2919" s="58">
        <v>226.27550046600001</v>
      </c>
      <c r="O2919" s="58">
        <v>646.37999999999988</v>
      </c>
      <c r="P2919" s="53">
        <v>25336.544077274524</v>
      </c>
      <c r="Q2919" s="65">
        <v>25336.544077274524</v>
      </c>
      <c r="R2919" s="65">
        <v>0</v>
      </c>
      <c r="S2919" s="65">
        <v>226.27550046600001</v>
      </c>
      <c r="T2919" s="65">
        <v>0</v>
      </c>
      <c r="U2919" s="58">
        <v>0</v>
      </c>
      <c r="V2919" s="65">
        <v>0</v>
      </c>
      <c r="W2919" s="65">
        <v>0</v>
      </c>
      <c r="X2919" s="65">
        <v>25111</v>
      </c>
      <c r="Y2919" s="65">
        <v>0</v>
      </c>
      <c r="Z2919" s="51">
        <v>0</v>
      </c>
      <c r="AA2919" s="51">
        <v>629</v>
      </c>
      <c r="AB2919" s="102">
        <v>0</v>
      </c>
      <c r="AC2919" s="81">
        <f t="shared" si="139"/>
        <v>47.711993062179481</v>
      </c>
      <c r="AD2919" s="82">
        <f t="shared" si="140"/>
        <v>91.585714285714289</v>
      </c>
      <c r="AE2919" s="218">
        <v>2.4248266629694898E-2</v>
      </c>
      <c r="AF2919">
        <v>9</v>
      </c>
      <c r="AH2919" t="str">
        <f t="shared" si="138"/>
        <v>Laldiyara</v>
      </c>
      <c r="AJ2919" s="72">
        <v>0</v>
      </c>
      <c r="AK2919" s="72"/>
      <c r="AL2919" s="72"/>
      <c r="AM2919" s="72"/>
    </row>
    <row r="2920" spans="1:39" x14ac:dyDescent="0.25">
      <c r="A2920" s="37" t="s">
        <v>62</v>
      </c>
      <c r="B2920" s="66" t="s">
        <v>1644</v>
      </c>
      <c r="C2920" s="4">
        <v>1002</v>
      </c>
      <c r="D2920" s="41" t="s">
        <v>105</v>
      </c>
      <c r="E2920" s="41">
        <v>10020041</v>
      </c>
      <c r="F2920" s="85" t="s">
        <v>127</v>
      </c>
      <c r="G2920" s="39" t="s">
        <v>93</v>
      </c>
      <c r="H2920" s="52" t="s">
        <v>94</v>
      </c>
      <c r="I2920" s="52">
        <v>205.89999999999998</v>
      </c>
      <c r="J2920" s="49">
        <v>8551.5651103079999</v>
      </c>
      <c r="K2920" s="58">
        <v>229.66</v>
      </c>
      <c r="L2920" s="58">
        <v>9610.022058332841</v>
      </c>
      <c r="M2920" s="58">
        <v>1.99</v>
      </c>
      <c r="N2920" s="58">
        <v>80.385183512249995</v>
      </c>
      <c r="O2920" s="58">
        <v>231.65</v>
      </c>
      <c r="P2920" s="53">
        <v>9690.4072418450905</v>
      </c>
      <c r="Q2920" s="65">
        <v>8551.5651103079999</v>
      </c>
      <c r="R2920" s="65">
        <v>0</v>
      </c>
      <c r="S2920" s="65">
        <v>80.385183512249995</v>
      </c>
      <c r="T2920" s="65">
        <v>1138.8421315370906</v>
      </c>
      <c r="U2920" s="58">
        <v>0</v>
      </c>
      <c r="V2920" s="65">
        <v>500</v>
      </c>
      <c r="W2920" s="65">
        <v>0</v>
      </c>
      <c r="X2920" s="65">
        <v>7971</v>
      </c>
      <c r="Y2920" s="65">
        <v>0</v>
      </c>
      <c r="Z2920" s="51">
        <v>0</v>
      </c>
      <c r="AA2920" s="51">
        <v>0</v>
      </c>
      <c r="AB2920" s="102" t="s">
        <v>68</v>
      </c>
      <c r="AC2920" s="81">
        <f t="shared" si="139"/>
        <v>410.42528615863858</v>
      </c>
      <c r="AD2920" s="82">
        <f t="shared" si="140"/>
        <v>29.414285714285711</v>
      </c>
      <c r="AE2920" s="218">
        <v>-0.13317353219521627</v>
      </c>
      <c r="AF2920">
        <v>9</v>
      </c>
      <c r="AH2920" t="str">
        <f t="shared" si="138"/>
        <v>Laldiyara</v>
      </c>
      <c r="AJ2920" s="72">
        <v>500</v>
      </c>
      <c r="AK2920" s="72"/>
      <c r="AL2920" s="72"/>
      <c r="AM2920" s="72"/>
    </row>
    <row r="2921" spans="1:39" x14ac:dyDescent="0.25">
      <c r="A2921" s="37" t="s">
        <v>62</v>
      </c>
      <c r="B2921" s="66" t="s">
        <v>1644</v>
      </c>
      <c r="C2921" s="4">
        <v>1002</v>
      </c>
      <c r="D2921" s="41" t="s">
        <v>105</v>
      </c>
      <c r="E2921" s="41">
        <v>10020042</v>
      </c>
      <c r="F2921" s="85" t="s">
        <v>128</v>
      </c>
      <c r="G2921" s="39" t="s">
        <v>93</v>
      </c>
      <c r="H2921" s="52" t="s">
        <v>94</v>
      </c>
      <c r="I2921" s="52">
        <v>461.5</v>
      </c>
      <c r="J2921" s="49">
        <v>17308.763677800001</v>
      </c>
      <c r="K2921" s="58">
        <v>460.90000000000003</v>
      </c>
      <c r="L2921" s="58">
        <v>17287.162410600002</v>
      </c>
      <c r="M2921" s="58">
        <v>0</v>
      </c>
      <c r="N2921" s="58">
        <v>0</v>
      </c>
      <c r="O2921" s="58">
        <v>460.90000000000003</v>
      </c>
      <c r="P2921" s="53">
        <v>17287.162410600002</v>
      </c>
      <c r="Q2921" s="65">
        <v>17287.162410600002</v>
      </c>
      <c r="R2921" s="65">
        <v>0</v>
      </c>
      <c r="S2921" s="65">
        <v>0</v>
      </c>
      <c r="T2921" s="65">
        <v>0</v>
      </c>
      <c r="U2921" s="58">
        <v>0</v>
      </c>
      <c r="V2921" s="65">
        <v>0</v>
      </c>
      <c r="W2921" s="65">
        <v>0</v>
      </c>
      <c r="X2921" s="65">
        <v>17287</v>
      </c>
      <c r="Y2921" s="65">
        <v>0</v>
      </c>
      <c r="Z2921" s="51">
        <v>0</v>
      </c>
      <c r="AA2921" s="51">
        <v>22</v>
      </c>
      <c r="AB2921" s="102">
        <v>0</v>
      </c>
      <c r="AC2921" s="81">
        <f t="shared" si="139"/>
        <v>178.90098102514847</v>
      </c>
      <c r="AD2921" s="82">
        <f t="shared" si="140"/>
        <v>65.928571428571431</v>
      </c>
      <c r="AE2921" s="218">
        <v>1.2479959633226272E-3</v>
      </c>
      <c r="AF2921">
        <v>1</v>
      </c>
      <c r="AH2921" t="str">
        <f t="shared" si="138"/>
        <v>Laldiyara</v>
      </c>
      <c r="AJ2921" s="72">
        <v>0</v>
      </c>
      <c r="AK2921" s="72"/>
      <c r="AL2921" s="72"/>
      <c r="AM2921" s="72"/>
    </row>
    <row r="2922" spans="1:39" x14ac:dyDescent="0.25">
      <c r="A2922" s="37" t="s">
        <v>62</v>
      </c>
      <c r="B2922" s="66" t="s">
        <v>1644</v>
      </c>
      <c r="C2922" s="4">
        <v>1002</v>
      </c>
      <c r="D2922" s="41" t="s">
        <v>105</v>
      </c>
      <c r="E2922" s="41">
        <v>10020043</v>
      </c>
      <c r="F2922" s="85" t="s">
        <v>616</v>
      </c>
      <c r="G2922" s="39" t="s">
        <v>93</v>
      </c>
      <c r="H2922" s="52" t="s">
        <v>94</v>
      </c>
      <c r="I2922" s="52">
        <v>956.59999999999991</v>
      </c>
      <c r="J2922" s="49">
        <v>41211.238780293002</v>
      </c>
      <c r="K2922" s="58">
        <v>954.1400000000001</v>
      </c>
      <c r="L2922" s="58">
        <v>41067.40128007227</v>
      </c>
      <c r="M2922" s="58">
        <v>10.86</v>
      </c>
      <c r="N2922" s="58">
        <v>452.23907675100014</v>
      </c>
      <c r="O2922" s="58">
        <v>965.00000000000011</v>
      </c>
      <c r="P2922" s="53">
        <v>41519.640356823271</v>
      </c>
      <c r="Q2922" s="65">
        <v>41211.238780293002</v>
      </c>
      <c r="R2922" s="65">
        <v>0</v>
      </c>
      <c r="S2922" s="65">
        <v>452.23907675100014</v>
      </c>
      <c r="T2922" s="65">
        <v>308.40157653026836</v>
      </c>
      <c r="U2922" s="58">
        <v>0</v>
      </c>
      <c r="V2922" s="65">
        <v>0</v>
      </c>
      <c r="W2922" s="65">
        <v>0</v>
      </c>
      <c r="X2922" s="65">
        <v>40759</v>
      </c>
      <c r="Y2922" s="65">
        <v>0</v>
      </c>
      <c r="Z2922" s="51">
        <v>0</v>
      </c>
      <c r="AA2922" s="51">
        <v>0</v>
      </c>
      <c r="AB2922" s="102">
        <v>0</v>
      </c>
      <c r="AC2922" s="81">
        <f t="shared" si="139"/>
        <v>0</v>
      </c>
      <c r="AD2922" s="82">
        <f t="shared" si="140"/>
        <v>0</v>
      </c>
      <c r="AE2922" s="218">
        <v>-7.4834337830617303E-3</v>
      </c>
      <c r="AF2922">
        <v>8</v>
      </c>
      <c r="AH2922" t="str">
        <f t="shared" si="138"/>
        <v>Laldiyara</v>
      </c>
      <c r="AJ2922" s="72">
        <v>0</v>
      </c>
      <c r="AK2922" s="72"/>
      <c r="AL2922" s="72"/>
      <c r="AM2922" s="72"/>
    </row>
    <row r="2923" spans="1:39" x14ac:dyDescent="0.25">
      <c r="A2923" s="37" t="s">
        <v>62</v>
      </c>
      <c r="B2923" s="66" t="s">
        <v>1644</v>
      </c>
      <c r="C2923" s="4">
        <v>1002</v>
      </c>
      <c r="D2923" s="41" t="s">
        <v>105</v>
      </c>
      <c r="E2923" s="41">
        <v>10020044</v>
      </c>
      <c r="F2923" s="85" t="s">
        <v>129</v>
      </c>
      <c r="G2923" s="39" t="s">
        <v>93</v>
      </c>
      <c r="H2923" s="52" t="s">
        <v>94</v>
      </c>
      <c r="I2923" s="52">
        <v>1175.2</v>
      </c>
      <c r="J2923" s="49">
        <v>52028.771909999006</v>
      </c>
      <c r="K2923" s="58">
        <v>1171.9299999999998</v>
      </c>
      <c r="L2923" s="58">
        <v>51021.162480186722</v>
      </c>
      <c r="M2923" s="58">
        <v>7.83</v>
      </c>
      <c r="N2923" s="58">
        <v>335.93201828100001</v>
      </c>
      <c r="O2923" s="58">
        <v>1179.7599999999998</v>
      </c>
      <c r="P2923" s="53">
        <v>51357.094498467719</v>
      </c>
      <c r="Q2923" s="65">
        <v>51357.094498467719</v>
      </c>
      <c r="R2923" s="65">
        <v>0</v>
      </c>
      <c r="S2923" s="65">
        <v>335.93201828100001</v>
      </c>
      <c r="T2923" s="65">
        <v>0</v>
      </c>
      <c r="U2923" s="58">
        <v>0</v>
      </c>
      <c r="V2923" s="65">
        <v>0</v>
      </c>
      <c r="W2923" s="65">
        <v>0</v>
      </c>
      <c r="X2923" s="65">
        <v>51023</v>
      </c>
      <c r="Y2923" s="65">
        <v>0</v>
      </c>
      <c r="Z2923" s="51">
        <v>0</v>
      </c>
      <c r="AA2923" s="51">
        <v>670</v>
      </c>
      <c r="AB2923" s="102">
        <v>0</v>
      </c>
      <c r="AC2923" s="81">
        <f t="shared" si="139"/>
        <v>0</v>
      </c>
      <c r="AD2923" s="82">
        <f t="shared" si="140"/>
        <v>0</v>
      </c>
      <c r="AE2923" s="218">
        <v>1.2909730267959734E-2</v>
      </c>
      <c r="AF2923">
        <v>20</v>
      </c>
      <c r="AH2923" t="str">
        <f t="shared" si="138"/>
        <v>Laldiyara</v>
      </c>
      <c r="AJ2923" s="72">
        <v>0</v>
      </c>
      <c r="AK2923" s="72"/>
      <c r="AL2923" s="72"/>
      <c r="AM2923" s="72"/>
    </row>
    <row r="2924" spans="1:39" x14ac:dyDescent="0.25">
      <c r="A2924" s="37" t="s">
        <v>62</v>
      </c>
      <c r="B2924" s="66" t="s">
        <v>1644</v>
      </c>
      <c r="C2924" s="4">
        <v>1002</v>
      </c>
      <c r="D2924" s="41" t="s">
        <v>105</v>
      </c>
      <c r="E2924" s="41">
        <v>10020047</v>
      </c>
      <c r="F2924" s="85" t="s">
        <v>437</v>
      </c>
      <c r="G2924" s="39" t="s">
        <v>635</v>
      </c>
      <c r="H2924" s="52" t="s">
        <v>99</v>
      </c>
      <c r="I2924" s="52">
        <v>3283.5000000000005</v>
      </c>
      <c r="J2924" s="49">
        <v>137240.10872719798</v>
      </c>
      <c r="K2924" s="58">
        <v>0</v>
      </c>
      <c r="L2924" s="58">
        <v>0</v>
      </c>
      <c r="M2924" s="58">
        <v>0</v>
      </c>
      <c r="N2924" s="58">
        <v>0</v>
      </c>
      <c r="O2924" s="58">
        <v>0</v>
      </c>
      <c r="P2924" s="53">
        <v>0</v>
      </c>
      <c r="Q2924" s="65">
        <v>137240.10872719798</v>
      </c>
      <c r="R2924" s="65">
        <v>0</v>
      </c>
      <c r="S2924" s="65">
        <v>0</v>
      </c>
      <c r="T2924" s="65">
        <v>0</v>
      </c>
      <c r="U2924" s="58">
        <v>0</v>
      </c>
      <c r="V2924" s="65">
        <v>0</v>
      </c>
      <c r="W2924" s="65">
        <v>0</v>
      </c>
      <c r="X2924" s="65">
        <v>0</v>
      </c>
      <c r="Y2924" s="65">
        <v>0</v>
      </c>
      <c r="Z2924" s="51">
        <v>137240.10872719798</v>
      </c>
      <c r="AA2924" s="51">
        <v>0</v>
      </c>
      <c r="AB2924" s="102">
        <v>0</v>
      </c>
      <c r="AC2924" s="81">
        <f t="shared" si="139"/>
        <v>0</v>
      </c>
      <c r="AD2924" s="82">
        <f t="shared" si="140"/>
        <v>0</v>
      </c>
      <c r="AE2924" s="218">
        <v>0</v>
      </c>
      <c r="AF2924">
        <v>0</v>
      </c>
      <c r="AH2924" t="str">
        <f t="shared" si="138"/>
        <v>Laldiyara</v>
      </c>
      <c r="AJ2924" s="72">
        <v>0</v>
      </c>
      <c r="AK2924" s="72"/>
      <c r="AL2924" s="72"/>
      <c r="AM2924" s="72"/>
    </row>
    <row r="2925" spans="1:39" x14ac:dyDescent="0.25">
      <c r="A2925" s="37" t="s">
        <v>62</v>
      </c>
      <c r="B2925" s="66" t="s">
        <v>1644</v>
      </c>
      <c r="C2925" s="4">
        <v>1002</v>
      </c>
      <c r="D2925" s="41" t="s">
        <v>105</v>
      </c>
      <c r="E2925" s="41">
        <v>10020050</v>
      </c>
      <c r="F2925" s="85" t="s">
        <v>130</v>
      </c>
      <c r="G2925" s="39" t="s">
        <v>93</v>
      </c>
      <c r="H2925" s="52" t="s">
        <v>94</v>
      </c>
      <c r="I2925" s="52">
        <v>1520.8</v>
      </c>
      <c r="J2925" s="49">
        <v>62439.497939659595</v>
      </c>
      <c r="K2925" s="58">
        <v>1547.81</v>
      </c>
      <c r="L2925" s="58">
        <v>63040.95375325394</v>
      </c>
      <c r="M2925" s="58">
        <v>5.6499999999999995</v>
      </c>
      <c r="N2925" s="58">
        <v>224.24668943400005</v>
      </c>
      <c r="O2925" s="58">
        <v>1553.46</v>
      </c>
      <c r="P2925" s="53">
        <v>63265.200442687943</v>
      </c>
      <c r="Q2925" s="65">
        <v>62439.497939659595</v>
      </c>
      <c r="R2925" s="65">
        <v>0</v>
      </c>
      <c r="S2925" s="65">
        <v>224.24668943400005</v>
      </c>
      <c r="T2925" s="65">
        <v>825.70250302834756</v>
      </c>
      <c r="U2925" s="58">
        <v>0</v>
      </c>
      <c r="V2925" s="65">
        <v>0</v>
      </c>
      <c r="W2925" s="65">
        <v>0</v>
      </c>
      <c r="X2925" s="65">
        <v>62215</v>
      </c>
      <c r="Y2925" s="65">
        <v>0</v>
      </c>
      <c r="Z2925" s="51">
        <v>0</v>
      </c>
      <c r="AA2925" s="51">
        <v>0</v>
      </c>
      <c r="AB2925" s="102">
        <v>0</v>
      </c>
      <c r="AC2925" s="81">
        <f t="shared" si="139"/>
        <v>0</v>
      </c>
      <c r="AD2925" s="82">
        <f t="shared" si="140"/>
        <v>0</v>
      </c>
      <c r="AE2925" s="218">
        <v>-1.3224041356423006E-2</v>
      </c>
      <c r="AF2925">
        <v>12</v>
      </c>
      <c r="AH2925" t="str">
        <f t="shared" si="138"/>
        <v>Laldiyara</v>
      </c>
      <c r="AJ2925" s="72">
        <v>0</v>
      </c>
      <c r="AK2925" s="72"/>
      <c r="AL2925" s="72"/>
      <c r="AM2925" s="72"/>
    </row>
    <row r="2926" spans="1:39" x14ac:dyDescent="0.25">
      <c r="A2926" s="37" t="s">
        <v>62</v>
      </c>
      <c r="B2926" s="66" t="s">
        <v>1644</v>
      </c>
      <c r="C2926" s="4">
        <v>1002</v>
      </c>
      <c r="D2926" s="41" t="s">
        <v>105</v>
      </c>
      <c r="E2926" s="41">
        <v>10020052</v>
      </c>
      <c r="F2926" s="85" t="s">
        <v>1585</v>
      </c>
      <c r="G2926" s="39" t="s">
        <v>635</v>
      </c>
      <c r="H2926" s="52" t="s">
        <v>99</v>
      </c>
      <c r="I2926" s="52">
        <v>566.90000000000009</v>
      </c>
      <c r="J2926" s="49">
        <v>31442.990120934999</v>
      </c>
      <c r="K2926" s="58">
        <v>0</v>
      </c>
      <c r="L2926" s="58">
        <v>0</v>
      </c>
      <c r="M2926" s="58">
        <v>0</v>
      </c>
      <c r="N2926" s="58">
        <v>0</v>
      </c>
      <c r="O2926" s="58">
        <v>0</v>
      </c>
      <c r="P2926" s="53">
        <v>0</v>
      </c>
      <c r="Q2926" s="65">
        <v>31442.990120934999</v>
      </c>
      <c r="R2926" s="65">
        <v>0</v>
      </c>
      <c r="S2926" s="65">
        <v>0</v>
      </c>
      <c r="T2926" s="65">
        <v>0</v>
      </c>
      <c r="U2926" s="58">
        <v>0</v>
      </c>
      <c r="V2926" s="65">
        <v>0</v>
      </c>
      <c r="W2926" s="65">
        <v>0</v>
      </c>
      <c r="X2926" s="65">
        <v>0</v>
      </c>
      <c r="Y2926" s="65">
        <v>0</v>
      </c>
      <c r="Z2926" s="51">
        <v>31442.990120934999</v>
      </c>
      <c r="AA2926" s="51">
        <v>0</v>
      </c>
      <c r="AB2926" s="102">
        <v>0</v>
      </c>
      <c r="AC2926" s="81">
        <f t="shared" si="139"/>
        <v>147.64727412582275</v>
      </c>
      <c r="AD2926" s="82">
        <f t="shared" si="140"/>
        <v>80.985714285714295</v>
      </c>
      <c r="AE2926" s="218">
        <v>0</v>
      </c>
      <c r="AF2926">
        <v>0</v>
      </c>
      <c r="AH2926" t="str">
        <f t="shared" si="138"/>
        <v>Laldiyara</v>
      </c>
      <c r="AJ2926" s="72">
        <v>0</v>
      </c>
      <c r="AK2926" s="72"/>
      <c r="AL2926" s="72"/>
      <c r="AM2926" s="72"/>
    </row>
    <row r="2927" spans="1:39" x14ac:dyDescent="0.25">
      <c r="A2927" s="37" t="s">
        <v>62</v>
      </c>
      <c r="B2927" s="66" t="s">
        <v>1644</v>
      </c>
      <c r="C2927" s="4">
        <v>1002</v>
      </c>
      <c r="D2927" s="41" t="s">
        <v>105</v>
      </c>
      <c r="E2927" s="41">
        <v>10020054</v>
      </c>
      <c r="F2927" s="85" t="s">
        <v>131</v>
      </c>
      <c r="G2927" s="39" t="s">
        <v>635</v>
      </c>
      <c r="H2927" s="52" t="s">
        <v>99</v>
      </c>
      <c r="I2927" s="52">
        <v>1552.6000000000001</v>
      </c>
      <c r="J2927" s="49">
        <v>64398.881751398505</v>
      </c>
      <c r="K2927" s="58">
        <v>0</v>
      </c>
      <c r="L2927" s="58">
        <v>0</v>
      </c>
      <c r="M2927" s="58">
        <v>0</v>
      </c>
      <c r="N2927" s="58">
        <v>0</v>
      </c>
      <c r="O2927" s="58">
        <v>0</v>
      </c>
      <c r="P2927" s="53">
        <v>0</v>
      </c>
      <c r="Q2927" s="65">
        <v>64398.881751398505</v>
      </c>
      <c r="R2927" s="65">
        <v>0</v>
      </c>
      <c r="S2927" s="65">
        <v>0</v>
      </c>
      <c r="T2927" s="65">
        <v>0</v>
      </c>
      <c r="U2927" s="58">
        <v>0</v>
      </c>
      <c r="V2927" s="65">
        <v>0</v>
      </c>
      <c r="W2927" s="65">
        <v>0</v>
      </c>
      <c r="X2927" s="65">
        <v>0</v>
      </c>
      <c r="Y2927" s="65">
        <v>0</v>
      </c>
      <c r="Z2927" s="51">
        <v>64398.881751398505</v>
      </c>
      <c r="AA2927" s="51">
        <v>0</v>
      </c>
      <c r="AB2927" s="102">
        <v>0</v>
      </c>
      <c r="AC2927" s="81">
        <f t="shared" si="139"/>
        <v>0</v>
      </c>
      <c r="AD2927" s="82">
        <f t="shared" si="140"/>
        <v>0</v>
      </c>
      <c r="AE2927" s="218">
        <v>0</v>
      </c>
      <c r="AF2927">
        <v>0</v>
      </c>
      <c r="AH2927" t="str">
        <f t="shared" si="138"/>
        <v>Laldiyara</v>
      </c>
      <c r="AJ2927" s="72">
        <v>0</v>
      </c>
      <c r="AK2927" s="72"/>
      <c r="AL2927" s="72"/>
      <c r="AM2927" s="72"/>
    </row>
    <row r="2928" spans="1:39" x14ac:dyDescent="0.25">
      <c r="A2928" s="37" t="s">
        <v>62</v>
      </c>
      <c r="B2928" s="66" t="s">
        <v>1644</v>
      </c>
      <c r="C2928" s="4">
        <v>1002</v>
      </c>
      <c r="D2928" s="41" t="s">
        <v>105</v>
      </c>
      <c r="E2928" s="41">
        <v>10020057</v>
      </c>
      <c r="F2928" s="85" t="s">
        <v>132</v>
      </c>
      <c r="G2928" s="39" t="s">
        <v>93</v>
      </c>
      <c r="H2928" s="52" t="s">
        <v>94</v>
      </c>
      <c r="I2928" s="52">
        <v>2685</v>
      </c>
      <c r="J2928" s="49">
        <v>119038.50241686501</v>
      </c>
      <c r="K2928" s="58">
        <v>2364.1499999999996</v>
      </c>
      <c r="L2928" s="58">
        <v>106462.4214951406</v>
      </c>
      <c r="M2928" s="58">
        <v>341.11</v>
      </c>
      <c r="N2928" s="58">
        <v>14178.782493215951</v>
      </c>
      <c r="O2928" s="58">
        <v>2705.2599999999998</v>
      </c>
      <c r="P2928" s="53">
        <v>120641.20398835656</v>
      </c>
      <c r="Q2928" s="65">
        <v>119038.50241686501</v>
      </c>
      <c r="R2928" s="65">
        <v>0</v>
      </c>
      <c r="S2928" s="65">
        <v>1637.6884569299502</v>
      </c>
      <c r="T2928" s="65">
        <v>1602.7015714915469</v>
      </c>
      <c r="U2928" s="58">
        <v>0</v>
      </c>
      <c r="V2928" s="65">
        <v>0</v>
      </c>
      <c r="W2928" s="65">
        <v>0</v>
      </c>
      <c r="X2928" s="65">
        <v>104859</v>
      </c>
      <c r="Y2928" s="65">
        <v>12542</v>
      </c>
      <c r="Z2928" s="51">
        <v>0</v>
      </c>
      <c r="AA2928" s="51">
        <v>0</v>
      </c>
      <c r="AB2928" s="102">
        <v>0</v>
      </c>
      <c r="AC2928" s="81">
        <f t="shared" si="139"/>
        <v>0</v>
      </c>
      <c r="AD2928" s="82">
        <f t="shared" si="140"/>
        <v>0</v>
      </c>
      <c r="AE2928" s="218">
        <v>-1.3463724248470393E-2</v>
      </c>
      <c r="AF2928">
        <v>14</v>
      </c>
      <c r="AH2928" t="str">
        <f t="shared" si="138"/>
        <v>Laldiyara</v>
      </c>
      <c r="AJ2928" s="72">
        <v>0</v>
      </c>
      <c r="AK2928" s="72"/>
      <c r="AL2928" s="72"/>
      <c r="AM2928" s="72"/>
    </row>
    <row r="2929" spans="1:39" x14ac:dyDescent="0.25">
      <c r="A2929" s="37" t="s">
        <v>62</v>
      </c>
      <c r="B2929" s="66" t="s">
        <v>1644</v>
      </c>
      <c r="C2929" s="4">
        <v>1002</v>
      </c>
      <c r="D2929" s="41" t="s">
        <v>105</v>
      </c>
      <c r="E2929" s="41">
        <v>10020058</v>
      </c>
      <c r="F2929" s="85" t="s">
        <v>133</v>
      </c>
      <c r="G2929" s="39" t="s">
        <v>93</v>
      </c>
      <c r="H2929" s="52" t="s">
        <v>94</v>
      </c>
      <c r="I2929" s="52">
        <v>918.50000000000011</v>
      </c>
      <c r="J2929" s="49">
        <v>37129.165756860006</v>
      </c>
      <c r="K2929" s="58">
        <v>328.7</v>
      </c>
      <c r="L2929" s="58">
        <v>13840.659457023778</v>
      </c>
      <c r="M2929" s="58">
        <v>594.6</v>
      </c>
      <c r="N2929" s="58">
        <v>23125.320514300656</v>
      </c>
      <c r="O2929" s="58">
        <v>923.3</v>
      </c>
      <c r="P2929" s="53">
        <v>36965.979971324436</v>
      </c>
      <c r="Q2929" s="65">
        <v>36965.979971324436</v>
      </c>
      <c r="R2929" s="65">
        <v>0</v>
      </c>
      <c r="S2929" s="65">
        <v>238.272797664</v>
      </c>
      <c r="T2929" s="65">
        <v>0</v>
      </c>
      <c r="U2929" s="58">
        <v>0</v>
      </c>
      <c r="V2929" s="65">
        <v>0</v>
      </c>
      <c r="W2929" s="65">
        <v>0</v>
      </c>
      <c r="X2929" s="65">
        <v>13841</v>
      </c>
      <c r="Y2929" s="65">
        <v>22887</v>
      </c>
      <c r="Z2929" s="51">
        <v>0</v>
      </c>
      <c r="AA2929" s="51">
        <v>163</v>
      </c>
      <c r="AB2929" s="102">
        <v>0</v>
      </c>
      <c r="AC2929" s="81">
        <f t="shared" si="139"/>
        <v>0</v>
      </c>
      <c r="AD2929" s="82">
        <f t="shared" si="140"/>
        <v>0</v>
      </c>
      <c r="AE2929" s="218">
        <v>4.3950835471012403E-3</v>
      </c>
      <c r="AF2929">
        <v>10</v>
      </c>
      <c r="AH2929" t="str">
        <f t="shared" si="138"/>
        <v>Laldiyara</v>
      </c>
      <c r="AJ2929" s="72">
        <v>0</v>
      </c>
      <c r="AK2929" s="72"/>
      <c r="AL2929" s="72"/>
      <c r="AM2929" s="72"/>
    </row>
    <row r="2930" spans="1:39" x14ac:dyDescent="0.25">
      <c r="A2930" s="37" t="s">
        <v>62</v>
      </c>
      <c r="B2930" s="66" t="s">
        <v>1644</v>
      </c>
      <c r="C2930" s="4">
        <v>1002</v>
      </c>
      <c r="D2930" s="41" t="s">
        <v>105</v>
      </c>
      <c r="E2930" s="41">
        <v>10020059</v>
      </c>
      <c r="F2930" s="85" t="s">
        <v>134</v>
      </c>
      <c r="G2930" s="39" t="s">
        <v>93</v>
      </c>
      <c r="H2930" s="52" t="s">
        <v>94</v>
      </c>
      <c r="I2930" s="52">
        <v>1480.8</v>
      </c>
      <c r="J2930" s="49">
        <v>59607.254919840008</v>
      </c>
      <c r="K2930" s="58">
        <v>1449.38</v>
      </c>
      <c r="L2930" s="58">
        <v>59136.701921475782</v>
      </c>
      <c r="M2930" s="58">
        <v>12.52</v>
      </c>
      <c r="N2930" s="58">
        <v>463.61646271560005</v>
      </c>
      <c r="O2930" s="58">
        <v>1461.9</v>
      </c>
      <c r="P2930" s="53">
        <v>59600.318384191385</v>
      </c>
      <c r="Q2930" s="65">
        <v>59600.318384191385</v>
      </c>
      <c r="R2930" s="65">
        <v>0</v>
      </c>
      <c r="S2930" s="65">
        <v>463.61646271560005</v>
      </c>
      <c r="T2930" s="65">
        <v>0</v>
      </c>
      <c r="U2930" s="58">
        <v>0</v>
      </c>
      <c r="V2930" s="65">
        <v>0</v>
      </c>
      <c r="W2930" s="65">
        <v>0</v>
      </c>
      <c r="X2930" s="65">
        <v>59136</v>
      </c>
      <c r="Y2930" s="65">
        <v>0</v>
      </c>
      <c r="Z2930" s="51">
        <v>0</v>
      </c>
      <c r="AA2930" s="51">
        <v>8</v>
      </c>
      <c r="AB2930" s="102">
        <v>0</v>
      </c>
      <c r="AC2930" s="81">
        <f t="shared" si="139"/>
        <v>0</v>
      </c>
      <c r="AD2930" s="82">
        <f t="shared" si="140"/>
        <v>0</v>
      </c>
      <c r="AE2930" s="218">
        <v>1.1637066088601999E-4</v>
      </c>
      <c r="AF2930">
        <v>8</v>
      </c>
      <c r="AH2930" t="str">
        <f t="shared" si="138"/>
        <v>Laldiyara</v>
      </c>
      <c r="AJ2930" s="72">
        <v>0</v>
      </c>
      <c r="AK2930" s="72"/>
      <c r="AL2930" s="72"/>
      <c r="AM2930" s="72"/>
    </row>
    <row r="2931" spans="1:39" x14ac:dyDescent="0.25">
      <c r="A2931" s="37" t="s">
        <v>62</v>
      </c>
      <c r="B2931" s="66" t="s">
        <v>1644</v>
      </c>
      <c r="C2931" s="4">
        <v>1002</v>
      </c>
      <c r="D2931" s="41" t="s">
        <v>105</v>
      </c>
      <c r="E2931" s="41">
        <v>10020062</v>
      </c>
      <c r="F2931" s="85" t="s">
        <v>135</v>
      </c>
      <c r="G2931" s="39" t="s">
        <v>93</v>
      </c>
      <c r="H2931" s="52" t="s">
        <v>94</v>
      </c>
      <c r="I2931" s="52">
        <v>376</v>
      </c>
      <c r="J2931" s="49">
        <v>15124.628652390002</v>
      </c>
      <c r="K2931" s="58">
        <v>377.79</v>
      </c>
      <c r="L2931" s="58">
        <v>14824.804356568182</v>
      </c>
      <c r="M2931" s="58">
        <v>5.7899999999999991</v>
      </c>
      <c r="N2931" s="58">
        <v>233.3753718822</v>
      </c>
      <c r="O2931" s="58">
        <v>383.58000000000004</v>
      </c>
      <c r="P2931" s="53">
        <v>15058.179728450383</v>
      </c>
      <c r="Q2931" s="65">
        <v>15058.179728450383</v>
      </c>
      <c r="R2931" s="65">
        <v>0</v>
      </c>
      <c r="S2931" s="65">
        <v>233.3753718822</v>
      </c>
      <c r="T2931" s="65">
        <v>0</v>
      </c>
      <c r="U2931" s="58">
        <v>0</v>
      </c>
      <c r="V2931" s="65">
        <v>0</v>
      </c>
      <c r="W2931" s="65">
        <v>0</v>
      </c>
      <c r="X2931" s="65">
        <v>14827</v>
      </c>
      <c r="Y2931" s="65">
        <v>0</v>
      </c>
      <c r="Z2931" s="51">
        <v>0</v>
      </c>
      <c r="AA2931" s="51">
        <v>64</v>
      </c>
      <c r="AB2931" s="102">
        <v>0</v>
      </c>
      <c r="AC2931" s="81">
        <f t="shared" si="139"/>
        <v>260.65849379650854</v>
      </c>
      <c r="AD2931" s="82">
        <f t="shared" si="140"/>
        <v>53.714285714285715</v>
      </c>
      <c r="AE2931" s="218">
        <v>4.3934251522346375E-3</v>
      </c>
      <c r="AF2931">
        <v>17</v>
      </c>
      <c r="AH2931" t="str">
        <f t="shared" si="138"/>
        <v>Laldiyara</v>
      </c>
      <c r="AJ2931" s="72">
        <v>0</v>
      </c>
      <c r="AK2931" s="72"/>
      <c r="AL2931" s="72"/>
      <c r="AM2931" s="72"/>
    </row>
    <row r="2932" spans="1:39" x14ac:dyDescent="0.25">
      <c r="A2932" s="37" t="s">
        <v>62</v>
      </c>
      <c r="B2932" s="66" t="s">
        <v>1644</v>
      </c>
      <c r="C2932" s="4">
        <v>1002</v>
      </c>
      <c r="D2932" s="41" t="s">
        <v>105</v>
      </c>
      <c r="E2932" s="41">
        <v>10020063</v>
      </c>
      <c r="F2932" s="85" t="s">
        <v>136</v>
      </c>
      <c r="G2932" s="39" t="s">
        <v>93</v>
      </c>
      <c r="H2932" s="52" t="s">
        <v>94</v>
      </c>
      <c r="I2932" s="52">
        <v>1145.2</v>
      </c>
      <c r="J2932" s="49">
        <v>48407.837245033617</v>
      </c>
      <c r="K2932" s="58">
        <v>517.03</v>
      </c>
      <c r="L2932" s="58">
        <v>23784.283211028924</v>
      </c>
      <c r="M2932" s="58">
        <v>647.91</v>
      </c>
      <c r="N2932" s="58">
        <v>26353.194745041004</v>
      </c>
      <c r="O2932" s="58">
        <v>1164.94</v>
      </c>
      <c r="P2932" s="53">
        <v>50137.477956069924</v>
      </c>
      <c r="Q2932" s="65">
        <v>48407.837245033617</v>
      </c>
      <c r="R2932" s="65">
        <v>0</v>
      </c>
      <c r="S2932" s="65">
        <v>316.92213180000005</v>
      </c>
      <c r="T2932" s="65">
        <v>1729.640711036307</v>
      </c>
      <c r="U2932" s="58">
        <v>0</v>
      </c>
      <c r="V2932" s="65">
        <v>0</v>
      </c>
      <c r="W2932" s="65">
        <v>0</v>
      </c>
      <c r="X2932" s="65">
        <v>22055</v>
      </c>
      <c r="Y2932" s="65">
        <v>26036</v>
      </c>
      <c r="Z2932" s="51">
        <v>0</v>
      </c>
      <c r="AA2932" s="51">
        <v>0</v>
      </c>
      <c r="AB2932" s="102">
        <v>0</v>
      </c>
      <c r="AC2932" s="81">
        <f t="shared" si="139"/>
        <v>0</v>
      </c>
      <c r="AD2932" s="82">
        <f t="shared" si="140"/>
        <v>0</v>
      </c>
      <c r="AE2932" s="218">
        <v>-3.573059259559791E-2</v>
      </c>
      <c r="AF2932">
        <v>9</v>
      </c>
      <c r="AH2932" t="str">
        <f t="shared" si="138"/>
        <v>Laldiyara</v>
      </c>
      <c r="AJ2932" s="72">
        <v>0</v>
      </c>
      <c r="AK2932" s="72"/>
      <c r="AL2932" s="72"/>
      <c r="AM2932" s="72"/>
    </row>
    <row r="2933" spans="1:39" x14ac:dyDescent="0.25">
      <c r="A2933" s="37" t="s">
        <v>62</v>
      </c>
      <c r="B2933" s="66" t="s">
        <v>1644</v>
      </c>
      <c r="C2933" s="4">
        <v>1002</v>
      </c>
      <c r="D2933" s="41" t="s">
        <v>105</v>
      </c>
      <c r="E2933" s="41">
        <v>10020064</v>
      </c>
      <c r="F2933" s="85" t="s">
        <v>137</v>
      </c>
      <c r="G2933" s="39" t="s">
        <v>635</v>
      </c>
      <c r="H2933" s="52" t="s">
        <v>99</v>
      </c>
      <c r="I2933" s="52">
        <v>1142.1000000000001</v>
      </c>
      <c r="J2933" s="49">
        <v>45740.925687944014</v>
      </c>
      <c r="K2933" s="58">
        <v>0</v>
      </c>
      <c r="L2933" s="58">
        <v>0</v>
      </c>
      <c r="M2933" s="58">
        <v>0</v>
      </c>
      <c r="N2933" s="58">
        <v>0</v>
      </c>
      <c r="O2933" s="58">
        <v>0</v>
      </c>
      <c r="P2933" s="53">
        <v>0</v>
      </c>
      <c r="Q2933" s="65">
        <v>45740.925687944014</v>
      </c>
      <c r="R2933" s="65">
        <v>0</v>
      </c>
      <c r="S2933" s="65">
        <v>0</v>
      </c>
      <c r="T2933" s="65">
        <v>0</v>
      </c>
      <c r="U2933" s="58">
        <v>0</v>
      </c>
      <c r="V2933" s="65">
        <v>0</v>
      </c>
      <c r="W2933" s="65">
        <v>0</v>
      </c>
      <c r="X2933" s="65">
        <v>0</v>
      </c>
      <c r="Y2933" s="65">
        <v>0</v>
      </c>
      <c r="Z2933" s="51">
        <v>45740.925687944014</v>
      </c>
      <c r="AA2933" s="51">
        <v>0</v>
      </c>
      <c r="AB2933" s="102">
        <v>0</v>
      </c>
      <c r="AC2933" s="81">
        <f t="shared" si="139"/>
        <v>0</v>
      </c>
      <c r="AD2933" s="82">
        <f t="shared" si="140"/>
        <v>0</v>
      </c>
      <c r="AE2933" s="218">
        <v>0</v>
      </c>
      <c r="AF2933">
        <v>0</v>
      </c>
      <c r="AH2933" t="str">
        <f t="shared" si="138"/>
        <v>Laldiyara</v>
      </c>
      <c r="AJ2933" s="72">
        <v>0</v>
      </c>
      <c r="AK2933" s="72"/>
      <c r="AL2933" s="72"/>
      <c r="AM2933" s="72"/>
    </row>
    <row r="2934" spans="1:39" x14ac:dyDescent="0.25">
      <c r="A2934" s="37" t="s">
        <v>62</v>
      </c>
      <c r="B2934" s="66" t="s">
        <v>1644</v>
      </c>
      <c r="C2934" s="4">
        <v>1002</v>
      </c>
      <c r="D2934" s="41" t="s">
        <v>105</v>
      </c>
      <c r="E2934" s="41">
        <v>10020067</v>
      </c>
      <c r="F2934" s="85" t="s">
        <v>138</v>
      </c>
      <c r="G2934" s="39" t="s">
        <v>635</v>
      </c>
      <c r="H2934" s="52" t="s">
        <v>99</v>
      </c>
      <c r="I2934" s="52">
        <v>1284.8999999999999</v>
      </c>
      <c r="J2934" s="49">
        <v>50598.000653520015</v>
      </c>
      <c r="K2934" s="58">
        <v>0</v>
      </c>
      <c r="L2934" s="58">
        <v>0</v>
      </c>
      <c r="M2934" s="58">
        <v>0</v>
      </c>
      <c r="N2934" s="58">
        <v>0</v>
      </c>
      <c r="O2934" s="58">
        <v>0</v>
      </c>
      <c r="P2934" s="53">
        <v>0</v>
      </c>
      <c r="Q2934" s="65">
        <v>50598.000653520015</v>
      </c>
      <c r="R2934" s="65">
        <v>0</v>
      </c>
      <c r="S2934" s="65">
        <v>0</v>
      </c>
      <c r="T2934" s="65">
        <v>0</v>
      </c>
      <c r="U2934" s="58">
        <v>0</v>
      </c>
      <c r="V2934" s="65">
        <v>0</v>
      </c>
      <c r="W2934" s="65">
        <v>0</v>
      </c>
      <c r="X2934" s="65">
        <v>0</v>
      </c>
      <c r="Y2934" s="65">
        <v>0</v>
      </c>
      <c r="Z2934" s="51">
        <v>50598.000653520015</v>
      </c>
      <c r="AA2934" s="51">
        <v>0</v>
      </c>
      <c r="AB2934" s="102">
        <v>0</v>
      </c>
      <c r="AC2934" s="81">
        <f t="shared" si="139"/>
        <v>0</v>
      </c>
      <c r="AD2934" s="82">
        <f t="shared" si="140"/>
        <v>0</v>
      </c>
      <c r="AE2934" s="218">
        <v>0</v>
      </c>
      <c r="AF2934">
        <v>0</v>
      </c>
      <c r="AH2934" t="str">
        <f t="shared" si="138"/>
        <v>Laldiyara</v>
      </c>
      <c r="AJ2934" s="72">
        <v>0</v>
      </c>
      <c r="AK2934" s="72"/>
      <c r="AL2934" s="72"/>
      <c r="AM2934" s="72"/>
    </row>
    <row r="2935" spans="1:39" x14ac:dyDescent="0.25">
      <c r="A2935" s="37" t="s">
        <v>62</v>
      </c>
      <c r="B2935" s="66" t="s">
        <v>1644</v>
      </c>
      <c r="C2935" s="4">
        <v>1002</v>
      </c>
      <c r="D2935" s="41" t="s">
        <v>105</v>
      </c>
      <c r="E2935" s="41">
        <v>10020068</v>
      </c>
      <c r="F2935" s="85" t="s">
        <v>108</v>
      </c>
      <c r="G2935" s="39" t="s">
        <v>93</v>
      </c>
      <c r="H2935" s="52" t="s">
        <v>94</v>
      </c>
      <c r="I2935" s="52">
        <v>787.5</v>
      </c>
      <c r="J2935" s="49">
        <v>31746.590302979999</v>
      </c>
      <c r="K2935" s="58">
        <v>841.9699999999998</v>
      </c>
      <c r="L2935" s="58">
        <v>35987.727858830411</v>
      </c>
      <c r="M2935" s="58">
        <v>0</v>
      </c>
      <c r="N2935" s="58">
        <v>0</v>
      </c>
      <c r="O2935" s="58">
        <v>841.9699999999998</v>
      </c>
      <c r="P2935" s="53">
        <v>35987.727858830411</v>
      </c>
      <c r="Q2935" s="65">
        <v>31746.590302979999</v>
      </c>
      <c r="R2935" s="65">
        <v>0</v>
      </c>
      <c r="S2935" s="65">
        <v>0</v>
      </c>
      <c r="T2935" s="65">
        <v>4241.1375558504114</v>
      </c>
      <c r="U2935" s="58">
        <v>0</v>
      </c>
      <c r="V2935" s="65">
        <v>0</v>
      </c>
      <c r="W2935" s="65">
        <v>0</v>
      </c>
      <c r="X2935" s="65">
        <v>31747</v>
      </c>
      <c r="Y2935" s="65">
        <v>0</v>
      </c>
      <c r="Z2935" s="51">
        <v>0</v>
      </c>
      <c r="AA2935" s="51">
        <v>0</v>
      </c>
      <c r="AB2935" s="102">
        <v>0</v>
      </c>
      <c r="AC2935" s="81">
        <f t="shared" si="139"/>
        <v>0</v>
      </c>
      <c r="AD2935" s="82">
        <f t="shared" si="140"/>
        <v>0</v>
      </c>
      <c r="AE2935" s="218">
        <v>-0.13359348249289948</v>
      </c>
      <c r="AF2935">
        <v>21</v>
      </c>
      <c r="AH2935" t="str">
        <f t="shared" si="138"/>
        <v>Laldiyara</v>
      </c>
      <c r="AJ2935" s="72">
        <v>0</v>
      </c>
      <c r="AK2935" s="72"/>
      <c r="AL2935" s="72"/>
      <c r="AM2935" s="72"/>
    </row>
    <row r="2936" spans="1:39" x14ac:dyDescent="0.25">
      <c r="A2936" s="37" t="s">
        <v>62</v>
      </c>
      <c r="B2936" s="66" t="s">
        <v>1644</v>
      </c>
      <c r="C2936" s="4">
        <v>1002</v>
      </c>
      <c r="D2936" s="41" t="s">
        <v>105</v>
      </c>
      <c r="E2936" s="41">
        <v>10020069</v>
      </c>
      <c r="F2936" s="85" t="s">
        <v>459</v>
      </c>
      <c r="G2936" s="39" t="s">
        <v>93</v>
      </c>
      <c r="H2936" s="52" t="s">
        <v>94</v>
      </c>
      <c r="I2936" s="52">
        <v>217.4</v>
      </c>
      <c r="J2936" s="49">
        <v>8478.7615809300005</v>
      </c>
      <c r="K2936" s="58">
        <v>404.03000000000003</v>
      </c>
      <c r="L2936" s="58">
        <v>16880.77750149554</v>
      </c>
      <c r="M2936" s="58">
        <v>20.59</v>
      </c>
      <c r="N2936" s="58">
        <v>986.0802941246402</v>
      </c>
      <c r="O2936" s="58">
        <v>424.62</v>
      </c>
      <c r="P2936" s="53">
        <v>17866.857795620181</v>
      </c>
      <c r="Q2936" s="65">
        <v>8478.7615809300005</v>
      </c>
      <c r="R2936" s="65">
        <v>0</v>
      </c>
      <c r="S2936" s="65">
        <v>986.0802941246402</v>
      </c>
      <c r="T2936" s="65">
        <v>9388.0962146901802</v>
      </c>
      <c r="U2936" s="58">
        <v>0</v>
      </c>
      <c r="V2936" s="65">
        <v>500</v>
      </c>
      <c r="W2936" s="65">
        <v>0</v>
      </c>
      <c r="X2936" s="65">
        <v>0</v>
      </c>
      <c r="Y2936" s="65">
        <v>0</v>
      </c>
      <c r="Z2936" s="51">
        <v>0</v>
      </c>
      <c r="AA2936" s="51">
        <v>6993</v>
      </c>
      <c r="AB2936" s="102" t="s">
        <v>65</v>
      </c>
      <c r="AC2936" s="81">
        <f t="shared" si="139"/>
        <v>376.43517377707622</v>
      </c>
      <c r="AD2936" s="82">
        <f t="shared" si="140"/>
        <v>31.057142857142857</v>
      </c>
      <c r="AE2936" s="218">
        <v>-1.1072485203270026</v>
      </c>
      <c r="AF2936">
        <v>3</v>
      </c>
      <c r="AH2936" t="str">
        <f t="shared" si="138"/>
        <v>Laldiyara</v>
      </c>
      <c r="AJ2936" s="72">
        <v>500</v>
      </c>
      <c r="AK2936" s="72"/>
      <c r="AL2936" s="72"/>
      <c r="AM2936" s="72"/>
    </row>
    <row r="2937" spans="1:39" x14ac:dyDescent="0.25">
      <c r="A2937" s="37" t="s">
        <v>62</v>
      </c>
      <c r="B2937" s="66" t="s">
        <v>1644</v>
      </c>
      <c r="C2937" s="4">
        <v>1002</v>
      </c>
      <c r="D2937" s="41" t="s">
        <v>105</v>
      </c>
      <c r="E2937" s="41">
        <v>10020070</v>
      </c>
      <c r="F2937" s="85" t="s">
        <v>478</v>
      </c>
      <c r="G2937" s="39" t="s">
        <v>93</v>
      </c>
      <c r="H2937" s="52" t="s">
        <v>94</v>
      </c>
      <c r="I2937" s="52">
        <v>630.5</v>
      </c>
      <c r="J2937" s="49">
        <v>25041.162016194001</v>
      </c>
      <c r="K2937" s="58">
        <v>614.5</v>
      </c>
      <c r="L2937" s="58">
        <v>27983.272804465007</v>
      </c>
      <c r="M2937" s="58">
        <v>0</v>
      </c>
      <c r="N2937" s="58">
        <v>0</v>
      </c>
      <c r="O2937" s="58">
        <v>614.5</v>
      </c>
      <c r="P2937" s="53">
        <v>27983.272804465007</v>
      </c>
      <c r="Q2937" s="65">
        <v>25041.162016194001</v>
      </c>
      <c r="R2937" s="65">
        <v>0</v>
      </c>
      <c r="S2937" s="65">
        <v>0</v>
      </c>
      <c r="T2937" s="65">
        <v>2942.1107882710057</v>
      </c>
      <c r="U2937" s="58">
        <v>0</v>
      </c>
      <c r="V2937" s="65">
        <v>0</v>
      </c>
      <c r="W2937" s="65">
        <v>0</v>
      </c>
      <c r="X2937" s="65">
        <v>25041</v>
      </c>
      <c r="Y2937" s="65">
        <v>0</v>
      </c>
      <c r="Z2937" s="51">
        <v>0</v>
      </c>
      <c r="AA2937" s="51">
        <v>0</v>
      </c>
      <c r="AB2937" s="102" t="s">
        <v>68</v>
      </c>
      <c r="AC2937" s="81">
        <f t="shared" si="139"/>
        <v>55.205733865994716</v>
      </c>
      <c r="AD2937" s="82">
        <f t="shared" si="140"/>
        <v>90.071428571428569</v>
      </c>
      <c r="AE2937" s="218">
        <v>-0.11749098489791954</v>
      </c>
      <c r="AF2937">
        <v>11</v>
      </c>
      <c r="AH2937" t="str">
        <f t="shared" si="138"/>
        <v>Laldiyara</v>
      </c>
      <c r="AJ2937" s="72">
        <v>0</v>
      </c>
      <c r="AK2937" s="72"/>
      <c r="AL2937" s="72"/>
      <c r="AM2937" s="72"/>
    </row>
    <row r="2938" spans="1:39" x14ac:dyDescent="0.25">
      <c r="A2938" s="37" t="s">
        <v>62</v>
      </c>
      <c r="B2938" s="66" t="s">
        <v>1644</v>
      </c>
      <c r="C2938" s="4">
        <v>1002</v>
      </c>
      <c r="D2938" s="41" t="s">
        <v>105</v>
      </c>
      <c r="E2938" s="41">
        <v>10020073</v>
      </c>
      <c r="F2938" s="85" t="s">
        <v>495</v>
      </c>
      <c r="G2938" s="39" t="s">
        <v>635</v>
      </c>
      <c r="H2938" s="52" t="s">
        <v>99</v>
      </c>
      <c r="I2938" s="52">
        <v>1065.1999999999998</v>
      </c>
      <c r="J2938" s="49">
        <v>44766.932968036999</v>
      </c>
      <c r="K2938" s="58">
        <v>0</v>
      </c>
      <c r="L2938" s="58">
        <v>0</v>
      </c>
      <c r="M2938" s="58">
        <v>0</v>
      </c>
      <c r="N2938" s="58">
        <v>0</v>
      </c>
      <c r="O2938" s="58">
        <v>0</v>
      </c>
      <c r="P2938" s="53">
        <v>0</v>
      </c>
      <c r="Q2938" s="65">
        <v>44766.932968036999</v>
      </c>
      <c r="R2938" s="65">
        <v>0</v>
      </c>
      <c r="S2938" s="65">
        <v>0</v>
      </c>
      <c r="T2938" s="65">
        <v>0</v>
      </c>
      <c r="U2938" s="58">
        <v>0</v>
      </c>
      <c r="V2938" s="65">
        <v>0</v>
      </c>
      <c r="W2938" s="65">
        <v>0</v>
      </c>
      <c r="X2938" s="65">
        <v>0</v>
      </c>
      <c r="Y2938" s="65">
        <v>0</v>
      </c>
      <c r="Z2938" s="51">
        <v>44766.932968036999</v>
      </c>
      <c r="AA2938" s="51">
        <v>0</v>
      </c>
      <c r="AB2938" s="102">
        <v>0</v>
      </c>
      <c r="AC2938" s="81">
        <f t="shared" si="139"/>
        <v>0</v>
      </c>
      <c r="AD2938" s="82">
        <f t="shared" si="140"/>
        <v>0</v>
      </c>
      <c r="AE2938" s="218">
        <v>0</v>
      </c>
      <c r="AF2938">
        <v>0</v>
      </c>
      <c r="AH2938" t="str">
        <f t="shared" si="138"/>
        <v>Laldiyara</v>
      </c>
      <c r="AJ2938" s="72">
        <v>0</v>
      </c>
      <c r="AK2938" s="72"/>
      <c r="AL2938" s="72"/>
      <c r="AM2938" s="72"/>
    </row>
    <row r="2939" spans="1:39" x14ac:dyDescent="0.25">
      <c r="A2939" s="37" t="s">
        <v>62</v>
      </c>
      <c r="B2939" s="66" t="s">
        <v>1644</v>
      </c>
      <c r="C2939" s="4">
        <v>1002</v>
      </c>
      <c r="D2939" s="41" t="s">
        <v>105</v>
      </c>
      <c r="E2939" s="41">
        <v>10020075</v>
      </c>
      <c r="F2939" s="85" t="s">
        <v>267</v>
      </c>
      <c r="G2939" s="39" t="s">
        <v>93</v>
      </c>
      <c r="H2939" s="52" t="s">
        <v>94</v>
      </c>
      <c r="I2939" s="52">
        <v>213.10000000000002</v>
      </c>
      <c r="J2939" s="49">
        <v>9280.2842490912008</v>
      </c>
      <c r="K2939" s="58">
        <v>231.41000000000003</v>
      </c>
      <c r="L2939" s="58">
        <v>11200.596444372322</v>
      </c>
      <c r="M2939" s="58">
        <v>0</v>
      </c>
      <c r="N2939" s="58">
        <v>0</v>
      </c>
      <c r="O2939" s="58">
        <v>231.41000000000003</v>
      </c>
      <c r="P2939" s="53">
        <v>11200.596444372322</v>
      </c>
      <c r="Q2939" s="65">
        <v>9280.2842490912008</v>
      </c>
      <c r="R2939" s="65">
        <v>0</v>
      </c>
      <c r="S2939" s="65">
        <v>0</v>
      </c>
      <c r="T2939" s="65">
        <v>1920.3121952811216</v>
      </c>
      <c r="U2939" s="58">
        <v>0</v>
      </c>
      <c r="V2939" s="65">
        <v>0</v>
      </c>
      <c r="W2939" s="65">
        <v>0</v>
      </c>
      <c r="X2939" s="65">
        <v>9280</v>
      </c>
      <c r="Y2939" s="65">
        <v>0</v>
      </c>
      <c r="Z2939" s="51">
        <v>0</v>
      </c>
      <c r="AA2939" s="51">
        <v>0</v>
      </c>
      <c r="AB2939" s="102" t="s">
        <v>68</v>
      </c>
      <c r="AC2939" s="81">
        <f t="shared" si="139"/>
        <v>424.07981237752279</v>
      </c>
      <c r="AD2939" s="82">
        <f t="shared" si="140"/>
        <v>30.442857142857147</v>
      </c>
      <c r="AE2939" s="218">
        <v>-0.20692385531932106</v>
      </c>
      <c r="AF2939">
        <v>6</v>
      </c>
      <c r="AH2939" t="str">
        <f t="shared" si="138"/>
        <v>Laldiyara</v>
      </c>
      <c r="AJ2939" s="72">
        <v>0</v>
      </c>
      <c r="AK2939" s="72"/>
      <c r="AL2939" s="72"/>
      <c r="AM2939" s="72"/>
    </row>
    <row r="2940" spans="1:39" x14ac:dyDescent="0.25">
      <c r="A2940" s="37" t="s">
        <v>62</v>
      </c>
      <c r="B2940" s="66" t="s">
        <v>1644</v>
      </c>
      <c r="C2940" s="4">
        <v>1002</v>
      </c>
      <c r="D2940" s="41" t="s">
        <v>105</v>
      </c>
      <c r="E2940" s="41">
        <v>10020077</v>
      </c>
      <c r="F2940" s="85" t="s">
        <v>1152</v>
      </c>
      <c r="G2940" s="39" t="s">
        <v>93</v>
      </c>
      <c r="H2940" s="52" t="s">
        <v>94</v>
      </c>
      <c r="I2940" s="52">
        <v>230.39999999999998</v>
      </c>
      <c r="J2940" s="49">
        <v>11531.593993211098</v>
      </c>
      <c r="K2940" s="58">
        <v>230.39999999999998</v>
      </c>
      <c r="L2940" s="58">
        <v>11637.967541591101</v>
      </c>
      <c r="M2940" s="58">
        <v>0</v>
      </c>
      <c r="N2940" s="58">
        <v>0</v>
      </c>
      <c r="O2940" s="58">
        <v>230.39999999999998</v>
      </c>
      <c r="P2940" s="53">
        <v>11637.967541591101</v>
      </c>
      <c r="Q2940" s="65">
        <v>11531.593993211098</v>
      </c>
      <c r="R2940" s="65">
        <v>0</v>
      </c>
      <c r="S2940" s="65">
        <v>0</v>
      </c>
      <c r="T2940" s="65">
        <v>106.37354838000283</v>
      </c>
      <c r="U2940" s="58">
        <v>0</v>
      </c>
      <c r="V2940" s="65">
        <v>500</v>
      </c>
      <c r="W2940" s="65">
        <v>0</v>
      </c>
      <c r="X2940" s="65">
        <v>11032</v>
      </c>
      <c r="Y2940" s="65">
        <v>0</v>
      </c>
      <c r="Z2940" s="51">
        <v>0</v>
      </c>
      <c r="AA2940" s="51">
        <v>0</v>
      </c>
      <c r="AB2940" s="102">
        <v>0</v>
      </c>
      <c r="AC2940" s="81">
        <f t="shared" si="139"/>
        <v>470.07261625103581</v>
      </c>
      <c r="AD2940" s="82">
        <f t="shared" si="140"/>
        <v>32.914285714285711</v>
      </c>
      <c r="AE2940" s="218">
        <v>-9.2245311829940654E-3</v>
      </c>
      <c r="AF2940">
        <v>1</v>
      </c>
      <c r="AH2940" t="str">
        <f t="shared" ref="AH2940:AH3002" si="141">TEXT(D2940,"0000")</f>
        <v>Laldiyara</v>
      </c>
      <c r="AJ2940" s="72">
        <v>500</v>
      </c>
      <c r="AK2940" s="72"/>
      <c r="AL2940" s="72"/>
      <c r="AM2940" s="72"/>
    </row>
    <row r="2941" spans="1:39" x14ac:dyDescent="0.25">
      <c r="A2941" s="37" t="s">
        <v>62</v>
      </c>
      <c r="B2941" s="66" t="s">
        <v>1644</v>
      </c>
      <c r="C2941" s="4">
        <v>1002</v>
      </c>
      <c r="D2941" s="41" t="s">
        <v>105</v>
      </c>
      <c r="E2941" s="41">
        <v>10020078</v>
      </c>
      <c r="F2941" s="85" t="s">
        <v>1153</v>
      </c>
      <c r="G2941" s="39" t="s">
        <v>93</v>
      </c>
      <c r="H2941" s="52" t="s">
        <v>94</v>
      </c>
      <c r="I2941" s="52">
        <v>334.2</v>
      </c>
      <c r="J2941" s="49">
        <v>14239.82686929</v>
      </c>
      <c r="K2941" s="58">
        <v>327.03000000000003</v>
      </c>
      <c r="L2941" s="58">
        <v>15044.325759041018</v>
      </c>
      <c r="M2941" s="58">
        <v>0</v>
      </c>
      <c r="N2941" s="58">
        <v>0</v>
      </c>
      <c r="O2941" s="58">
        <v>327.03000000000003</v>
      </c>
      <c r="P2941" s="53">
        <v>15044.325759041018</v>
      </c>
      <c r="Q2941" s="65">
        <v>14239.82686929</v>
      </c>
      <c r="R2941" s="65">
        <v>0</v>
      </c>
      <c r="S2941" s="65">
        <v>0</v>
      </c>
      <c r="T2941" s="65">
        <v>804.49888975101749</v>
      </c>
      <c r="U2941" s="58">
        <v>0</v>
      </c>
      <c r="V2941" s="65">
        <v>0</v>
      </c>
      <c r="W2941" s="65">
        <v>0</v>
      </c>
      <c r="X2941" s="65">
        <v>14240</v>
      </c>
      <c r="Y2941" s="65">
        <v>0</v>
      </c>
      <c r="Z2941" s="51">
        <v>0</v>
      </c>
      <c r="AA2941" s="51">
        <v>0</v>
      </c>
      <c r="AB2941" s="102">
        <v>0</v>
      </c>
      <c r="AC2941" s="81">
        <f t="shared" si="139"/>
        <v>311.7252345174316</v>
      </c>
      <c r="AD2941" s="82">
        <f t="shared" si="140"/>
        <v>47.74285714285714</v>
      </c>
      <c r="AE2941" s="218">
        <v>-5.6496395436241E-2</v>
      </c>
      <c r="AF2941">
        <v>2</v>
      </c>
      <c r="AH2941" t="str">
        <f t="shared" si="141"/>
        <v>Laldiyara</v>
      </c>
      <c r="AJ2941" s="72">
        <v>0</v>
      </c>
      <c r="AK2941" s="72"/>
      <c r="AL2941" s="72"/>
      <c r="AM2941" s="72"/>
    </row>
    <row r="2942" spans="1:39" x14ac:dyDescent="0.25">
      <c r="A2942" s="37" t="s">
        <v>62</v>
      </c>
      <c r="B2942" s="66" t="s">
        <v>1644</v>
      </c>
      <c r="C2942" s="4">
        <v>1002</v>
      </c>
      <c r="D2942" s="41" t="s">
        <v>105</v>
      </c>
      <c r="E2942" s="41">
        <v>10020079</v>
      </c>
      <c r="F2942" s="85" t="s">
        <v>1154</v>
      </c>
      <c r="G2942" s="39" t="s">
        <v>93</v>
      </c>
      <c r="H2942" s="52" t="s">
        <v>94</v>
      </c>
      <c r="I2942" s="52">
        <v>223.20000000000002</v>
      </c>
      <c r="J2942" s="49">
        <v>11428.332917765003</v>
      </c>
      <c r="K2942" s="58">
        <v>222.46999999999997</v>
      </c>
      <c r="L2942" s="58">
        <v>11597.88812240778</v>
      </c>
      <c r="M2942" s="58">
        <v>0</v>
      </c>
      <c r="N2942" s="58">
        <v>0</v>
      </c>
      <c r="O2942" s="58">
        <v>222.46999999999997</v>
      </c>
      <c r="P2942" s="53">
        <v>11597.88812240778</v>
      </c>
      <c r="Q2942" s="65">
        <v>11428.332917765003</v>
      </c>
      <c r="R2942" s="65">
        <v>0</v>
      </c>
      <c r="S2942" s="65">
        <v>0</v>
      </c>
      <c r="T2942" s="65">
        <v>169.55520464277652</v>
      </c>
      <c r="U2942" s="58">
        <v>0</v>
      </c>
      <c r="V2942" s="65">
        <v>500</v>
      </c>
      <c r="W2942" s="65">
        <v>0</v>
      </c>
      <c r="X2942" s="65">
        <v>10928</v>
      </c>
      <c r="Y2942" s="65">
        <v>0</v>
      </c>
      <c r="Z2942" s="51">
        <v>0</v>
      </c>
      <c r="AA2942" s="51">
        <v>0</v>
      </c>
      <c r="AB2942" s="102">
        <v>0</v>
      </c>
      <c r="AC2942" s="81">
        <f t="shared" si="139"/>
        <v>488.26425942565891</v>
      </c>
      <c r="AD2942" s="82">
        <f t="shared" si="140"/>
        <v>31.88571428571429</v>
      </c>
      <c r="AE2942" s="218">
        <v>-1.4836390037186264E-2</v>
      </c>
      <c r="AF2942">
        <v>3</v>
      </c>
      <c r="AH2942" t="str">
        <f t="shared" si="141"/>
        <v>Laldiyara</v>
      </c>
      <c r="AJ2942" s="72">
        <v>500</v>
      </c>
      <c r="AK2942" s="72"/>
      <c r="AL2942" s="72"/>
      <c r="AM2942" s="72"/>
    </row>
    <row r="2943" spans="1:39" x14ac:dyDescent="0.25">
      <c r="A2943" s="37" t="s">
        <v>62</v>
      </c>
      <c r="B2943" s="66" t="s">
        <v>1644</v>
      </c>
      <c r="C2943" s="4">
        <v>1002</v>
      </c>
      <c r="D2943" s="41" t="s">
        <v>105</v>
      </c>
      <c r="E2943" s="41">
        <v>10020081</v>
      </c>
      <c r="F2943" s="85" t="s">
        <v>1197</v>
      </c>
      <c r="G2943" s="39" t="s">
        <v>635</v>
      </c>
      <c r="H2943" s="52" t="s">
        <v>99</v>
      </c>
      <c r="I2943" s="52">
        <v>2172.8999999999996</v>
      </c>
      <c r="J2943" s="49">
        <v>86962.11662639401</v>
      </c>
      <c r="K2943" s="58">
        <v>0</v>
      </c>
      <c r="L2943" s="58">
        <v>0</v>
      </c>
      <c r="M2943" s="58">
        <v>0</v>
      </c>
      <c r="N2943" s="58">
        <v>0</v>
      </c>
      <c r="O2943" s="58">
        <v>0</v>
      </c>
      <c r="P2943" s="53">
        <v>0</v>
      </c>
      <c r="Q2943" s="65">
        <v>86962.11662639401</v>
      </c>
      <c r="R2943" s="65">
        <v>0</v>
      </c>
      <c r="S2943" s="65">
        <v>0</v>
      </c>
      <c r="T2943" s="65">
        <v>0</v>
      </c>
      <c r="U2943" s="58">
        <v>0</v>
      </c>
      <c r="V2943" s="65">
        <v>0</v>
      </c>
      <c r="W2943" s="65">
        <v>0</v>
      </c>
      <c r="X2943" s="65">
        <v>0</v>
      </c>
      <c r="Y2943" s="65">
        <v>0</v>
      </c>
      <c r="Z2943" s="51">
        <v>86962.11662639401</v>
      </c>
      <c r="AA2943" s="51">
        <v>0</v>
      </c>
      <c r="AB2943" s="102">
        <v>0</v>
      </c>
      <c r="AC2943" s="81">
        <f t="shared" si="139"/>
        <v>0</v>
      </c>
      <c r="AD2943" s="82">
        <f t="shared" si="140"/>
        <v>0</v>
      </c>
      <c r="AE2943" s="218">
        <v>0</v>
      </c>
      <c r="AF2943">
        <v>0</v>
      </c>
      <c r="AH2943" t="str">
        <f t="shared" si="141"/>
        <v>Laldiyara</v>
      </c>
      <c r="AJ2943" s="72">
        <v>0</v>
      </c>
      <c r="AK2943" s="72"/>
      <c r="AL2943" s="72"/>
      <c r="AM2943" s="72"/>
    </row>
    <row r="2944" spans="1:39" x14ac:dyDescent="0.25">
      <c r="A2944" s="37" t="s">
        <v>62</v>
      </c>
      <c r="B2944" s="66" t="s">
        <v>1644</v>
      </c>
      <c r="C2944" s="4">
        <v>1002</v>
      </c>
      <c r="D2944" s="41" t="s">
        <v>105</v>
      </c>
      <c r="E2944" s="41">
        <v>10020082</v>
      </c>
      <c r="F2944" s="85" t="s">
        <v>1198</v>
      </c>
      <c r="G2944" s="39" t="s">
        <v>635</v>
      </c>
      <c r="H2944" s="52" t="s">
        <v>99</v>
      </c>
      <c r="I2944" s="52">
        <v>1119.6000000000001</v>
      </c>
      <c r="J2944" s="49">
        <v>46897.636370467975</v>
      </c>
      <c r="K2944" s="58">
        <v>0</v>
      </c>
      <c r="L2944" s="58">
        <v>0</v>
      </c>
      <c r="M2944" s="58">
        <v>0</v>
      </c>
      <c r="N2944" s="58">
        <v>0</v>
      </c>
      <c r="O2944" s="58">
        <v>0</v>
      </c>
      <c r="P2944" s="53">
        <v>0</v>
      </c>
      <c r="Q2944" s="65">
        <v>46897.636370467975</v>
      </c>
      <c r="R2944" s="65">
        <v>0</v>
      </c>
      <c r="S2944" s="65">
        <v>0</v>
      </c>
      <c r="T2944" s="65">
        <v>0</v>
      </c>
      <c r="U2944" s="58">
        <v>0</v>
      </c>
      <c r="V2944" s="65">
        <v>0</v>
      </c>
      <c r="W2944" s="65">
        <v>0</v>
      </c>
      <c r="X2944" s="65">
        <v>0</v>
      </c>
      <c r="Y2944" s="65">
        <v>0</v>
      </c>
      <c r="Z2944" s="51">
        <v>46897.636370467975</v>
      </c>
      <c r="AA2944" s="51">
        <v>0</v>
      </c>
      <c r="AB2944" s="102">
        <v>0</v>
      </c>
      <c r="AC2944" s="81">
        <f t="shared" si="139"/>
        <v>0</v>
      </c>
      <c r="AD2944" s="82">
        <f t="shared" si="140"/>
        <v>0</v>
      </c>
      <c r="AE2944" s="218">
        <v>0</v>
      </c>
      <c r="AF2944">
        <v>0</v>
      </c>
      <c r="AH2944" t="str">
        <f t="shared" si="141"/>
        <v>Laldiyara</v>
      </c>
      <c r="AJ2944" s="72">
        <v>0</v>
      </c>
      <c r="AK2944" s="72"/>
      <c r="AL2944" s="72"/>
      <c r="AM2944" s="72"/>
    </row>
    <row r="2945" spans="1:39" x14ac:dyDescent="0.25">
      <c r="A2945" s="37" t="s">
        <v>62</v>
      </c>
      <c r="B2945" s="66" t="s">
        <v>1644</v>
      </c>
      <c r="C2945" s="4">
        <v>1002</v>
      </c>
      <c r="D2945" s="41" t="s">
        <v>105</v>
      </c>
      <c r="E2945" s="41">
        <v>10020083</v>
      </c>
      <c r="F2945" s="85" t="s">
        <v>1256</v>
      </c>
      <c r="G2945" s="39" t="s">
        <v>93</v>
      </c>
      <c r="H2945" s="52" t="s">
        <v>94</v>
      </c>
      <c r="I2945" s="52">
        <v>459.6</v>
      </c>
      <c r="J2945" s="49">
        <v>17561.510897519998</v>
      </c>
      <c r="K2945" s="58">
        <v>463.1</v>
      </c>
      <c r="L2945" s="58">
        <v>18059.09447226</v>
      </c>
      <c r="M2945" s="58">
        <v>0</v>
      </c>
      <c r="N2945" s="58">
        <v>0</v>
      </c>
      <c r="O2945" s="58">
        <v>463.1</v>
      </c>
      <c r="P2945" s="53">
        <v>18059.09447226</v>
      </c>
      <c r="Q2945" s="65">
        <v>17561.510897519998</v>
      </c>
      <c r="R2945" s="65">
        <v>0</v>
      </c>
      <c r="S2945" s="65">
        <v>0</v>
      </c>
      <c r="T2945" s="65">
        <v>497.5835747400015</v>
      </c>
      <c r="U2945" s="58">
        <v>0</v>
      </c>
      <c r="V2945" s="65">
        <v>0</v>
      </c>
      <c r="W2945" s="65">
        <v>0</v>
      </c>
      <c r="X2945" s="65">
        <v>17562</v>
      </c>
      <c r="Y2945" s="65">
        <v>0</v>
      </c>
      <c r="Z2945" s="51">
        <v>0</v>
      </c>
      <c r="AA2945" s="51">
        <v>0</v>
      </c>
      <c r="AB2945" s="102">
        <v>0</v>
      </c>
      <c r="AC2945" s="81">
        <f t="shared" ref="AC2945:AC3008" si="142">((IF(AD2945=0,0,100-AD2945))*7*(J2945/I2945))*2%</f>
        <v>183.7157188757096</v>
      </c>
      <c r="AD2945" s="82">
        <f t="shared" ref="AD2945:AD3008" si="143">IF((I2945/7)&gt;100,0,(I2945/7))</f>
        <v>65.657142857142858</v>
      </c>
      <c r="AE2945" s="218">
        <v>-2.8333756568193074E-2</v>
      </c>
      <c r="AF2945">
        <v>1</v>
      </c>
      <c r="AH2945" t="str">
        <f t="shared" si="141"/>
        <v>Laldiyara</v>
      </c>
      <c r="AJ2945" s="72">
        <v>0</v>
      </c>
      <c r="AK2945" s="72"/>
      <c r="AL2945" s="72"/>
      <c r="AM2945" s="72"/>
    </row>
    <row r="2946" spans="1:39" x14ac:dyDescent="0.25">
      <c r="A2946" s="37" t="s">
        <v>62</v>
      </c>
      <c r="B2946" s="66" t="s">
        <v>1644</v>
      </c>
      <c r="C2946" s="4">
        <v>1002</v>
      </c>
      <c r="D2946" s="41" t="s">
        <v>105</v>
      </c>
      <c r="E2946" s="41">
        <v>10020084</v>
      </c>
      <c r="F2946" s="85" t="s">
        <v>1247</v>
      </c>
      <c r="G2946" s="39" t="s">
        <v>93</v>
      </c>
      <c r="H2946" s="52" t="s">
        <v>94</v>
      </c>
      <c r="I2946" s="52">
        <v>916.69999999999993</v>
      </c>
      <c r="J2946" s="49">
        <v>35833.186726410007</v>
      </c>
      <c r="K2946" s="58">
        <v>482.15000000000009</v>
      </c>
      <c r="L2946" s="58">
        <v>18674.530588580401</v>
      </c>
      <c r="M2946" s="58">
        <v>513.1</v>
      </c>
      <c r="N2946" s="58">
        <v>20594.220743468788</v>
      </c>
      <c r="O2946" s="58">
        <v>995.25000000000011</v>
      </c>
      <c r="P2946" s="53">
        <v>39268.751332049185</v>
      </c>
      <c r="Q2946" s="65">
        <v>35833.186726410007</v>
      </c>
      <c r="R2946" s="65">
        <v>0</v>
      </c>
      <c r="S2946" s="65">
        <v>0</v>
      </c>
      <c r="T2946" s="65">
        <v>3435.5646056391779</v>
      </c>
      <c r="U2946" s="58">
        <v>0</v>
      </c>
      <c r="V2946" s="65">
        <v>0</v>
      </c>
      <c r="W2946" s="65">
        <v>0</v>
      </c>
      <c r="X2946" s="65">
        <v>15238</v>
      </c>
      <c r="Y2946" s="65">
        <v>20595</v>
      </c>
      <c r="Z2946" s="51">
        <v>0</v>
      </c>
      <c r="AA2946" s="51">
        <v>0</v>
      </c>
      <c r="AB2946" s="102">
        <v>0</v>
      </c>
      <c r="AC2946" s="81">
        <f t="shared" si="142"/>
        <v>0</v>
      </c>
      <c r="AD2946" s="82">
        <f t="shared" si="143"/>
        <v>0</v>
      </c>
      <c r="AE2946" s="218">
        <v>-9.5876613818080422E-2</v>
      </c>
      <c r="AF2946">
        <v>25</v>
      </c>
      <c r="AH2946" t="str">
        <f t="shared" si="141"/>
        <v>Laldiyara</v>
      </c>
      <c r="AJ2946" s="72">
        <v>0</v>
      </c>
      <c r="AK2946" s="72"/>
      <c r="AL2946" s="72"/>
      <c r="AM2946" s="72"/>
    </row>
    <row r="2947" spans="1:39" x14ac:dyDescent="0.25">
      <c r="A2947" s="37" t="s">
        <v>62</v>
      </c>
      <c r="B2947" s="66" t="s">
        <v>1644</v>
      </c>
      <c r="C2947" s="4">
        <v>1002</v>
      </c>
      <c r="D2947" s="41" t="s">
        <v>105</v>
      </c>
      <c r="E2947" s="41">
        <v>10020087</v>
      </c>
      <c r="F2947" s="85" t="s">
        <v>1586</v>
      </c>
      <c r="G2947" s="39" t="s">
        <v>93</v>
      </c>
      <c r="H2947" s="52" t="s">
        <v>94</v>
      </c>
      <c r="I2947" s="52">
        <v>317.2</v>
      </c>
      <c r="J2947" s="49">
        <v>11939.192092200001</v>
      </c>
      <c r="K2947" s="58">
        <v>321.78999999999996</v>
      </c>
      <c r="L2947" s="58">
        <v>11895.068983101601</v>
      </c>
      <c r="M2947" s="58">
        <v>0</v>
      </c>
      <c r="N2947" s="58">
        <v>0</v>
      </c>
      <c r="O2947" s="58">
        <v>321.78999999999996</v>
      </c>
      <c r="P2947" s="53">
        <v>11895.068983101601</v>
      </c>
      <c r="Q2947" s="65">
        <v>11895.068983101601</v>
      </c>
      <c r="R2947" s="65">
        <v>0</v>
      </c>
      <c r="S2947" s="65">
        <v>0</v>
      </c>
      <c r="T2947" s="65">
        <v>0</v>
      </c>
      <c r="U2947" s="58">
        <v>0</v>
      </c>
      <c r="V2947" s="65">
        <v>0</v>
      </c>
      <c r="W2947" s="65">
        <v>0</v>
      </c>
      <c r="X2947" s="65">
        <v>11895</v>
      </c>
      <c r="Y2947" s="65">
        <v>0</v>
      </c>
      <c r="Z2947" s="51">
        <v>0</v>
      </c>
      <c r="AA2947" s="51">
        <v>44</v>
      </c>
      <c r="AB2947" s="102">
        <v>0</v>
      </c>
      <c r="AC2947" s="81">
        <f t="shared" si="142"/>
        <v>288.16662880795468</v>
      </c>
      <c r="AD2947" s="82">
        <f t="shared" si="143"/>
        <v>45.31428571428571</v>
      </c>
      <c r="AE2947" s="218">
        <v>3.695652834602289E-3</v>
      </c>
      <c r="AF2947">
        <v>2</v>
      </c>
      <c r="AH2947" t="str">
        <f t="shared" si="141"/>
        <v>Laldiyara</v>
      </c>
      <c r="AJ2947" s="72">
        <v>0</v>
      </c>
      <c r="AK2947" s="72"/>
      <c r="AL2947" s="72"/>
      <c r="AM2947" s="72"/>
    </row>
    <row r="2948" spans="1:39" x14ac:dyDescent="0.25">
      <c r="A2948" s="37" t="s">
        <v>62</v>
      </c>
      <c r="B2948" s="66" t="s">
        <v>1644</v>
      </c>
      <c r="C2948" s="4">
        <v>1003</v>
      </c>
      <c r="D2948" s="41" t="s">
        <v>139</v>
      </c>
      <c r="E2948" s="41">
        <v>10030002</v>
      </c>
      <c r="F2948" s="85" t="s">
        <v>115</v>
      </c>
      <c r="G2948" s="39" t="s">
        <v>635</v>
      </c>
      <c r="H2948" s="52" t="s">
        <v>99</v>
      </c>
      <c r="I2948" s="52">
        <v>498.65</v>
      </c>
      <c r="J2948" s="49">
        <v>19711.751035784997</v>
      </c>
      <c r="K2948" s="58">
        <v>0</v>
      </c>
      <c r="L2948" s="58">
        <v>0</v>
      </c>
      <c r="M2948" s="58">
        <v>0</v>
      </c>
      <c r="N2948" s="58">
        <v>0</v>
      </c>
      <c r="O2948" s="58">
        <v>0</v>
      </c>
      <c r="P2948" s="53">
        <v>0</v>
      </c>
      <c r="Q2948" s="65">
        <v>19711.751035784997</v>
      </c>
      <c r="R2948" s="65">
        <v>0</v>
      </c>
      <c r="S2948" s="65">
        <v>0</v>
      </c>
      <c r="T2948" s="65">
        <v>0</v>
      </c>
      <c r="U2948" s="58">
        <v>0</v>
      </c>
      <c r="V2948" s="65">
        <v>0</v>
      </c>
      <c r="W2948" s="65">
        <v>0</v>
      </c>
      <c r="X2948" s="65">
        <v>0</v>
      </c>
      <c r="Y2948" s="65">
        <v>0</v>
      </c>
      <c r="Z2948" s="51">
        <v>19711.751035784997</v>
      </c>
      <c r="AA2948" s="51">
        <v>0</v>
      </c>
      <c r="AB2948" s="102">
        <v>0</v>
      </c>
      <c r="AC2948" s="81">
        <f t="shared" si="142"/>
        <v>159.18825112023703</v>
      </c>
      <c r="AD2948" s="82">
        <f t="shared" si="143"/>
        <v>71.23571428571428</v>
      </c>
      <c r="AE2948" s="218">
        <v>0</v>
      </c>
      <c r="AF2948">
        <v>0</v>
      </c>
      <c r="AH2948" t="str">
        <f t="shared" si="141"/>
        <v>Asarganj</v>
      </c>
      <c r="AJ2948" s="72">
        <v>0</v>
      </c>
      <c r="AK2948" s="72"/>
      <c r="AL2948" s="72"/>
      <c r="AM2948" s="72"/>
    </row>
    <row r="2949" spans="1:39" x14ac:dyDescent="0.25">
      <c r="A2949" s="37" t="s">
        <v>62</v>
      </c>
      <c r="B2949" s="66" t="s">
        <v>1644</v>
      </c>
      <c r="C2949" s="4">
        <v>1003</v>
      </c>
      <c r="D2949" s="41" t="s">
        <v>139</v>
      </c>
      <c r="E2949" s="41">
        <v>10030003</v>
      </c>
      <c r="F2949" s="85" t="s">
        <v>140</v>
      </c>
      <c r="G2949" s="39" t="s">
        <v>93</v>
      </c>
      <c r="H2949" s="52" t="s">
        <v>94</v>
      </c>
      <c r="I2949" s="52">
        <v>1805.8500000000001</v>
      </c>
      <c r="J2949" s="49">
        <v>81089.122160517218</v>
      </c>
      <c r="K2949" s="58">
        <v>1789.7000000000003</v>
      </c>
      <c r="L2949" s="58">
        <v>79486.010986998546</v>
      </c>
      <c r="M2949" s="58">
        <v>25.9</v>
      </c>
      <c r="N2949" s="58">
        <v>1645.5448037861001</v>
      </c>
      <c r="O2949" s="58">
        <v>1815.6000000000004</v>
      </c>
      <c r="P2949" s="53">
        <v>81131.555790784652</v>
      </c>
      <c r="Q2949" s="65">
        <v>81089.122160517218</v>
      </c>
      <c r="R2949" s="65">
        <v>0</v>
      </c>
      <c r="S2949" s="65">
        <v>1645.5448037861001</v>
      </c>
      <c r="T2949" s="65">
        <v>42.433630267434637</v>
      </c>
      <c r="U2949" s="58">
        <v>0</v>
      </c>
      <c r="V2949" s="65">
        <v>0</v>
      </c>
      <c r="W2949" s="65">
        <v>0</v>
      </c>
      <c r="X2949" s="65">
        <v>79443</v>
      </c>
      <c r="Y2949" s="65">
        <v>0</v>
      </c>
      <c r="Z2949" s="51">
        <v>0</v>
      </c>
      <c r="AA2949" s="51">
        <v>1</v>
      </c>
      <c r="AB2949" s="102">
        <v>0</v>
      </c>
      <c r="AC2949" s="81">
        <f t="shared" si="142"/>
        <v>0</v>
      </c>
      <c r="AD2949" s="82">
        <f t="shared" si="143"/>
        <v>0</v>
      </c>
      <c r="AE2949" s="218">
        <v>-5.2329620961288231E-4</v>
      </c>
      <c r="AF2949">
        <v>60</v>
      </c>
      <c r="AH2949" t="str">
        <f t="shared" si="141"/>
        <v>Asarganj</v>
      </c>
      <c r="AJ2949" s="72">
        <v>0</v>
      </c>
      <c r="AK2949" s="72"/>
      <c r="AL2949" s="72"/>
      <c r="AM2949" s="72"/>
    </row>
    <row r="2950" spans="1:39" x14ac:dyDescent="0.25">
      <c r="A2950" s="37" t="s">
        <v>62</v>
      </c>
      <c r="B2950" s="66" t="s">
        <v>1644</v>
      </c>
      <c r="C2950" s="4">
        <v>1003</v>
      </c>
      <c r="D2950" s="41" t="s">
        <v>139</v>
      </c>
      <c r="E2950" s="41">
        <v>10030007</v>
      </c>
      <c r="F2950" s="85" t="s">
        <v>141</v>
      </c>
      <c r="G2950" s="39" t="s">
        <v>635</v>
      </c>
      <c r="H2950" s="52" t="s">
        <v>99</v>
      </c>
      <c r="I2950" s="52">
        <v>826</v>
      </c>
      <c r="J2950" s="49">
        <v>25383.864777412502</v>
      </c>
      <c r="K2950" s="58">
        <v>0</v>
      </c>
      <c r="L2950" s="58">
        <v>0</v>
      </c>
      <c r="M2950" s="58">
        <v>0</v>
      </c>
      <c r="N2950" s="58">
        <v>0</v>
      </c>
      <c r="O2950" s="58">
        <v>0</v>
      </c>
      <c r="P2950" s="53">
        <v>0</v>
      </c>
      <c r="Q2950" s="65">
        <v>25383.864777412502</v>
      </c>
      <c r="R2950" s="65">
        <v>0</v>
      </c>
      <c r="S2950" s="65">
        <v>0</v>
      </c>
      <c r="T2950" s="65">
        <v>0</v>
      </c>
      <c r="U2950" s="58">
        <v>0</v>
      </c>
      <c r="V2950" s="65">
        <v>0</v>
      </c>
      <c r="W2950" s="65">
        <v>0</v>
      </c>
      <c r="X2950" s="65">
        <v>0</v>
      </c>
      <c r="Y2950" s="65">
        <v>0</v>
      </c>
      <c r="Z2950" s="51">
        <v>25383.864777412502</v>
      </c>
      <c r="AA2950" s="51">
        <v>0</v>
      </c>
      <c r="AB2950" s="102">
        <v>0</v>
      </c>
      <c r="AC2950" s="81">
        <f t="shared" si="142"/>
        <v>0</v>
      </c>
      <c r="AD2950" s="82">
        <f t="shared" si="143"/>
        <v>0</v>
      </c>
      <c r="AE2950" s="218">
        <v>0</v>
      </c>
      <c r="AF2950">
        <v>0</v>
      </c>
      <c r="AH2950" t="str">
        <f t="shared" si="141"/>
        <v>Asarganj</v>
      </c>
      <c r="AJ2950" s="72">
        <v>0</v>
      </c>
      <c r="AK2950" s="72"/>
      <c r="AL2950" s="72"/>
      <c r="AM2950" s="72"/>
    </row>
    <row r="2951" spans="1:39" x14ac:dyDescent="0.25">
      <c r="A2951" s="37" t="s">
        <v>62</v>
      </c>
      <c r="B2951" s="66" t="s">
        <v>1644</v>
      </c>
      <c r="C2951" s="4">
        <v>1003</v>
      </c>
      <c r="D2951" s="41" t="s">
        <v>139</v>
      </c>
      <c r="E2951" s="41">
        <v>10030008</v>
      </c>
      <c r="F2951" s="85" t="s">
        <v>142</v>
      </c>
      <c r="G2951" s="39" t="s">
        <v>285</v>
      </c>
      <c r="H2951" s="52" t="s">
        <v>94</v>
      </c>
      <c r="I2951" s="52">
        <v>947.55</v>
      </c>
      <c r="J2951" s="49">
        <v>30650.216030700005</v>
      </c>
      <c r="K2951" s="58">
        <v>936</v>
      </c>
      <c r="L2951" s="58">
        <v>33307.664832000002</v>
      </c>
      <c r="M2951" s="58">
        <v>0.4</v>
      </c>
      <c r="N2951" s="58">
        <v>14.234044800000001</v>
      </c>
      <c r="O2951" s="58">
        <v>936.4</v>
      </c>
      <c r="P2951" s="53">
        <v>33321.898876800005</v>
      </c>
      <c r="Q2951" s="65">
        <v>30650.216030700005</v>
      </c>
      <c r="R2951" s="65">
        <v>0</v>
      </c>
      <c r="S2951" s="65">
        <v>14.234044800000001</v>
      </c>
      <c r="T2951" s="65">
        <v>2671.6828461000005</v>
      </c>
      <c r="U2951" s="58">
        <v>0</v>
      </c>
      <c r="V2951" s="65">
        <v>0</v>
      </c>
      <c r="W2951" s="65">
        <v>0</v>
      </c>
      <c r="X2951" s="65">
        <v>30636</v>
      </c>
      <c r="Y2951" s="65">
        <v>0</v>
      </c>
      <c r="Z2951" s="51">
        <v>0</v>
      </c>
      <c r="AA2951" s="51">
        <v>0</v>
      </c>
      <c r="AB2951" s="102" t="s">
        <v>68</v>
      </c>
      <c r="AC2951" s="81">
        <f t="shared" si="142"/>
        <v>0</v>
      </c>
      <c r="AD2951" s="82">
        <f t="shared" si="143"/>
        <v>0</v>
      </c>
      <c r="AE2951" s="218">
        <v>-8.7166852051678123E-2</v>
      </c>
      <c r="AF2951">
        <v>5</v>
      </c>
      <c r="AH2951" t="str">
        <f t="shared" si="141"/>
        <v>Asarganj</v>
      </c>
      <c r="AJ2951" s="72">
        <v>0</v>
      </c>
      <c r="AK2951" s="72"/>
      <c r="AL2951" s="72"/>
      <c r="AM2951" s="72"/>
    </row>
    <row r="2952" spans="1:39" x14ac:dyDescent="0.25">
      <c r="A2952" s="37" t="s">
        <v>62</v>
      </c>
      <c r="B2952" s="66" t="s">
        <v>1644</v>
      </c>
      <c r="C2952" s="4">
        <v>1003</v>
      </c>
      <c r="D2952" s="41" t="s">
        <v>139</v>
      </c>
      <c r="E2952" s="41">
        <v>10030009</v>
      </c>
      <c r="F2952" s="85" t="s">
        <v>143</v>
      </c>
      <c r="G2952" s="39" t="s">
        <v>635</v>
      </c>
      <c r="H2952" s="52" t="s">
        <v>99</v>
      </c>
      <c r="I2952" s="52">
        <v>11938.75</v>
      </c>
      <c r="J2952" s="49">
        <v>465229.95739342505</v>
      </c>
      <c r="K2952" s="58">
        <v>0</v>
      </c>
      <c r="L2952" s="58">
        <v>0</v>
      </c>
      <c r="M2952" s="58">
        <v>0</v>
      </c>
      <c r="N2952" s="58">
        <v>0</v>
      </c>
      <c r="O2952" s="58">
        <v>0</v>
      </c>
      <c r="P2952" s="53">
        <v>0</v>
      </c>
      <c r="Q2952" s="65">
        <v>465229.95739342505</v>
      </c>
      <c r="R2952" s="65">
        <v>0</v>
      </c>
      <c r="S2952" s="65">
        <v>0</v>
      </c>
      <c r="T2952" s="65">
        <v>0</v>
      </c>
      <c r="U2952" s="58">
        <v>0</v>
      </c>
      <c r="V2952" s="65">
        <v>0</v>
      </c>
      <c r="W2952" s="65">
        <v>0</v>
      </c>
      <c r="X2952" s="65">
        <v>0</v>
      </c>
      <c r="Y2952" s="65">
        <v>0</v>
      </c>
      <c r="Z2952" s="51">
        <v>465229.95739342505</v>
      </c>
      <c r="AA2952" s="51">
        <v>0</v>
      </c>
      <c r="AB2952" s="102">
        <v>0</v>
      </c>
      <c r="AC2952" s="81">
        <f t="shared" si="142"/>
        <v>0</v>
      </c>
      <c r="AD2952" s="82">
        <f t="shared" si="143"/>
        <v>0</v>
      </c>
      <c r="AE2952" s="218">
        <v>0</v>
      </c>
      <c r="AF2952">
        <v>0</v>
      </c>
      <c r="AH2952" t="str">
        <f t="shared" si="141"/>
        <v>Asarganj</v>
      </c>
      <c r="AJ2952" s="72">
        <v>0</v>
      </c>
      <c r="AK2952" s="72"/>
      <c r="AL2952" s="72"/>
      <c r="AM2952" s="72"/>
    </row>
    <row r="2953" spans="1:39" x14ac:dyDescent="0.25">
      <c r="A2953" s="37" t="s">
        <v>62</v>
      </c>
      <c r="B2953" s="66" t="s">
        <v>1644</v>
      </c>
      <c r="C2953" s="4">
        <v>1003</v>
      </c>
      <c r="D2953" s="41" t="s">
        <v>139</v>
      </c>
      <c r="E2953" s="41">
        <v>10030010</v>
      </c>
      <c r="F2953" s="85" t="s">
        <v>144</v>
      </c>
      <c r="G2953" s="39" t="s">
        <v>93</v>
      </c>
      <c r="H2953" s="52" t="s">
        <v>94</v>
      </c>
      <c r="I2953" s="52">
        <v>298.54999999999995</v>
      </c>
      <c r="J2953" s="49">
        <v>10029.960411366001</v>
      </c>
      <c r="K2953" s="58">
        <v>408.8</v>
      </c>
      <c r="L2953" s="58">
        <v>17774.307987600005</v>
      </c>
      <c r="M2953" s="58">
        <v>0</v>
      </c>
      <c r="N2953" s="58">
        <v>0</v>
      </c>
      <c r="O2953" s="58">
        <v>408.8</v>
      </c>
      <c r="P2953" s="53">
        <v>17774.307987600005</v>
      </c>
      <c r="Q2953" s="65">
        <v>10029.960411366001</v>
      </c>
      <c r="R2953" s="65">
        <v>0</v>
      </c>
      <c r="S2953" s="65">
        <v>0</v>
      </c>
      <c r="T2953" s="65">
        <v>7744.347576234004</v>
      </c>
      <c r="U2953" s="58">
        <v>0</v>
      </c>
      <c r="V2953" s="65">
        <v>0</v>
      </c>
      <c r="W2953" s="65">
        <v>0</v>
      </c>
      <c r="X2953" s="65">
        <v>10030</v>
      </c>
      <c r="Y2953" s="65">
        <v>0</v>
      </c>
      <c r="Z2953" s="51">
        <v>0</v>
      </c>
      <c r="AA2953" s="51">
        <v>0</v>
      </c>
      <c r="AB2953" s="102">
        <v>0</v>
      </c>
      <c r="AC2953" s="81">
        <f t="shared" si="142"/>
        <v>269.73891188362973</v>
      </c>
      <c r="AD2953" s="82">
        <f t="shared" si="143"/>
        <v>42.649999999999991</v>
      </c>
      <c r="AE2953" s="218">
        <v>-0.7721214499967588</v>
      </c>
      <c r="AF2953">
        <v>2</v>
      </c>
      <c r="AH2953" t="str">
        <f t="shared" si="141"/>
        <v>Asarganj</v>
      </c>
      <c r="AJ2953" s="72">
        <v>0</v>
      </c>
      <c r="AK2953" s="72"/>
      <c r="AL2953" s="72"/>
      <c r="AM2953" s="72"/>
    </row>
    <row r="2954" spans="1:39" x14ac:dyDescent="0.25">
      <c r="A2954" s="37" t="s">
        <v>62</v>
      </c>
      <c r="B2954" s="66" t="s">
        <v>1644</v>
      </c>
      <c r="C2954" s="4">
        <v>1003</v>
      </c>
      <c r="D2954" s="41" t="s">
        <v>139</v>
      </c>
      <c r="E2954" s="41">
        <v>10030011</v>
      </c>
      <c r="F2954" s="85" t="s">
        <v>145</v>
      </c>
      <c r="G2954" s="39" t="s">
        <v>93</v>
      </c>
      <c r="H2954" s="52" t="s">
        <v>94</v>
      </c>
      <c r="I2954" s="52">
        <v>1366</v>
      </c>
      <c r="J2954" s="49">
        <v>54563.082139290018</v>
      </c>
      <c r="K2954" s="58">
        <v>1007</v>
      </c>
      <c r="L2954" s="58">
        <v>40189.913597160004</v>
      </c>
      <c r="M2954" s="58">
        <v>358.7</v>
      </c>
      <c r="N2954" s="58">
        <v>14360.77634463</v>
      </c>
      <c r="O2954" s="58">
        <v>1365.7</v>
      </c>
      <c r="P2954" s="53">
        <v>54550.689941790006</v>
      </c>
      <c r="Q2954" s="65">
        <v>54550.689941790006</v>
      </c>
      <c r="R2954" s="65">
        <v>0</v>
      </c>
      <c r="S2954" s="65">
        <v>309.01737033000006</v>
      </c>
      <c r="T2954" s="65">
        <v>0</v>
      </c>
      <c r="U2954" s="58">
        <v>0</v>
      </c>
      <c r="V2954" s="65">
        <v>0</v>
      </c>
      <c r="W2954" s="65">
        <v>0</v>
      </c>
      <c r="X2954" s="65">
        <v>40189</v>
      </c>
      <c r="Y2954" s="65">
        <v>14051</v>
      </c>
      <c r="Z2954" s="51">
        <v>0</v>
      </c>
      <c r="AA2954" s="51">
        <v>14</v>
      </c>
      <c r="AB2954" s="102">
        <v>0</v>
      </c>
      <c r="AC2954" s="81">
        <f t="shared" si="142"/>
        <v>0</v>
      </c>
      <c r="AD2954" s="82">
        <f t="shared" si="143"/>
        <v>0</v>
      </c>
      <c r="AE2954" s="218">
        <v>2.2711688955504751E-4</v>
      </c>
      <c r="AF2954">
        <v>13</v>
      </c>
      <c r="AH2954" t="str">
        <f t="shared" si="141"/>
        <v>Asarganj</v>
      </c>
      <c r="AJ2954" s="72">
        <v>0</v>
      </c>
      <c r="AK2954" s="72"/>
      <c r="AL2954" s="72"/>
      <c r="AM2954" s="72"/>
    </row>
    <row r="2955" spans="1:39" x14ac:dyDescent="0.25">
      <c r="A2955" s="37" t="s">
        <v>62</v>
      </c>
      <c r="B2955" s="66" t="s">
        <v>1644</v>
      </c>
      <c r="C2955" s="4">
        <v>1003</v>
      </c>
      <c r="D2955" s="41" t="s">
        <v>139</v>
      </c>
      <c r="E2955" s="41">
        <v>10030012</v>
      </c>
      <c r="F2955" s="85" t="s">
        <v>479</v>
      </c>
      <c r="G2955" s="39" t="s">
        <v>635</v>
      </c>
      <c r="H2955" s="52" t="s">
        <v>99</v>
      </c>
      <c r="I2955" s="52">
        <v>1708.55</v>
      </c>
      <c r="J2955" s="49">
        <v>56877.730834038754</v>
      </c>
      <c r="K2955" s="58">
        <v>0</v>
      </c>
      <c r="L2955" s="58">
        <v>0</v>
      </c>
      <c r="M2955" s="58">
        <v>0</v>
      </c>
      <c r="N2955" s="58">
        <v>0</v>
      </c>
      <c r="O2955" s="58">
        <v>0</v>
      </c>
      <c r="P2955" s="53">
        <v>0</v>
      </c>
      <c r="Q2955" s="65">
        <v>56877.730834038754</v>
      </c>
      <c r="R2955" s="65">
        <v>0</v>
      </c>
      <c r="S2955" s="65">
        <v>0</v>
      </c>
      <c r="T2955" s="65">
        <v>0</v>
      </c>
      <c r="U2955" s="58">
        <v>0</v>
      </c>
      <c r="V2955" s="65">
        <v>0</v>
      </c>
      <c r="W2955" s="65">
        <v>0</v>
      </c>
      <c r="X2955" s="65">
        <v>0</v>
      </c>
      <c r="Y2955" s="65">
        <v>0</v>
      </c>
      <c r="Z2955" s="51">
        <v>56877.730834038754</v>
      </c>
      <c r="AA2955" s="51">
        <v>0</v>
      </c>
      <c r="AB2955" s="102">
        <v>0</v>
      </c>
      <c r="AC2955" s="81">
        <f t="shared" si="142"/>
        <v>0</v>
      </c>
      <c r="AD2955" s="82">
        <f t="shared" si="143"/>
        <v>0</v>
      </c>
      <c r="AE2955" s="218">
        <v>0</v>
      </c>
      <c r="AF2955">
        <v>0</v>
      </c>
      <c r="AH2955" t="str">
        <f t="shared" si="141"/>
        <v>Asarganj</v>
      </c>
      <c r="AJ2955" s="72">
        <v>0</v>
      </c>
      <c r="AK2955" s="72"/>
      <c r="AL2955" s="72"/>
      <c r="AM2955" s="72"/>
    </row>
    <row r="2956" spans="1:39" x14ac:dyDescent="0.25">
      <c r="A2956" s="37" t="s">
        <v>62</v>
      </c>
      <c r="B2956" s="66" t="s">
        <v>1644</v>
      </c>
      <c r="C2956" s="4">
        <v>1003</v>
      </c>
      <c r="D2956" s="41" t="s">
        <v>139</v>
      </c>
      <c r="E2956" s="41">
        <v>10030013</v>
      </c>
      <c r="F2956" s="85" t="s">
        <v>146</v>
      </c>
      <c r="G2956" s="39" t="s">
        <v>93</v>
      </c>
      <c r="H2956" s="52" t="s">
        <v>94</v>
      </c>
      <c r="I2956" s="52">
        <v>656.95000000000016</v>
      </c>
      <c r="J2956" s="49">
        <v>34628.962405209</v>
      </c>
      <c r="K2956" s="58">
        <v>660.96</v>
      </c>
      <c r="L2956" s="58">
        <v>38047.374570357599</v>
      </c>
      <c r="M2956" s="58">
        <v>18.599999999999998</v>
      </c>
      <c r="N2956" s="58">
        <v>949.28180804620001</v>
      </c>
      <c r="O2956" s="58">
        <v>679.56000000000006</v>
      </c>
      <c r="P2956" s="53">
        <v>38996.656378403801</v>
      </c>
      <c r="Q2956" s="65">
        <v>34628.962405209</v>
      </c>
      <c r="R2956" s="65">
        <v>0</v>
      </c>
      <c r="S2956" s="65">
        <v>949.28180804620001</v>
      </c>
      <c r="T2956" s="65">
        <v>4367.6939731948005</v>
      </c>
      <c r="U2956" s="58">
        <v>0</v>
      </c>
      <c r="V2956" s="65">
        <v>0</v>
      </c>
      <c r="W2956" s="65">
        <v>0</v>
      </c>
      <c r="X2956" s="65">
        <v>33680</v>
      </c>
      <c r="Y2956" s="65">
        <v>0</v>
      </c>
      <c r="Z2956" s="51">
        <v>0</v>
      </c>
      <c r="AA2956" s="51">
        <v>0</v>
      </c>
      <c r="AB2956" s="102" t="s">
        <v>68</v>
      </c>
      <c r="AC2956" s="81">
        <f t="shared" si="142"/>
        <v>45.384788234850191</v>
      </c>
      <c r="AD2956" s="82">
        <f t="shared" si="143"/>
        <v>93.850000000000023</v>
      </c>
      <c r="AE2956" s="218">
        <v>-0.12612835239145942</v>
      </c>
      <c r="AF2956">
        <v>11</v>
      </c>
      <c r="AH2956" t="str">
        <f t="shared" si="141"/>
        <v>Asarganj</v>
      </c>
      <c r="AJ2956" s="72">
        <v>0</v>
      </c>
      <c r="AK2956" s="72"/>
      <c r="AL2956" s="72"/>
      <c r="AM2956" s="72"/>
    </row>
    <row r="2957" spans="1:39" x14ac:dyDescent="0.25">
      <c r="A2957" s="37" t="s">
        <v>62</v>
      </c>
      <c r="B2957" s="66" t="s">
        <v>1644</v>
      </c>
      <c r="C2957" s="4">
        <v>1003</v>
      </c>
      <c r="D2957" s="41" t="s">
        <v>139</v>
      </c>
      <c r="E2957" s="41">
        <v>10030015</v>
      </c>
      <c r="F2957" s="85" t="s">
        <v>147</v>
      </c>
      <c r="G2957" s="39" t="s">
        <v>93</v>
      </c>
      <c r="H2957" s="52" t="s">
        <v>94</v>
      </c>
      <c r="I2957" s="52">
        <v>861.50000000000011</v>
      </c>
      <c r="J2957" s="49">
        <v>31383.210937230007</v>
      </c>
      <c r="K2957" s="58">
        <v>929.1400000000001</v>
      </c>
      <c r="L2957" s="58">
        <v>35813.184790055646</v>
      </c>
      <c r="M2957" s="58">
        <v>8.8999999999999986</v>
      </c>
      <c r="N2957" s="58">
        <v>331.27843559999997</v>
      </c>
      <c r="O2957" s="58">
        <v>938.04000000000008</v>
      </c>
      <c r="P2957" s="53">
        <v>36144.463225655643</v>
      </c>
      <c r="Q2957" s="65">
        <v>31383.210937230007</v>
      </c>
      <c r="R2957" s="65">
        <v>0</v>
      </c>
      <c r="S2957" s="65">
        <v>331.27843559999997</v>
      </c>
      <c r="T2957" s="65">
        <v>4761.2522884256359</v>
      </c>
      <c r="U2957" s="58">
        <v>0</v>
      </c>
      <c r="V2957" s="65">
        <v>0</v>
      </c>
      <c r="W2957" s="65">
        <v>0</v>
      </c>
      <c r="X2957" s="65">
        <v>31052</v>
      </c>
      <c r="Y2957" s="65">
        <v>0</v>
      </c>
      <c r="Z2957" s="51">
        <v>0</v>
      </c>
      <c r="AA2957" s="51">
        <v>0</v>
      </c>
      <c r="AB2957" s="102">
        <v>0</v>
      </c>
      <c r="AC2957" s="81">
        <f t="shared" si="142"/>
        <v>0</v>
      </c>
      <c r="AD2957" s="82">
        <f t="shared" si="143"/>
        <v>0</v>
      </c>
      <c r="AE2957" s="218">
        <v>-0.1517133571178769</v>
      </c>
      <c r="AF2957">
        <v>5</v>
      </c>
      <c r="AH2957" t="str">
        <f t="shared" si="141"/>
        <v>Asarganj</v>
      </c>
      <c r="AJ2957" s="72">
        <v>0</v>
      </c>
      <c r="AK2957" s="72"/>
      <c r="AL2957" s="72"/>
      <c r="AM2957" s="72"/>
    </row>
    <row r="2958" spans="1:39" x14ac:dyDescent="0.25">
      <c r="A2958" s="37" t="s">
        <v>62</v>
      </c>
      <c r="B2958" s="66" t="s">
        <v>1644</v>
      </c>
      <c r="C2958" s="4">
        <v>1003</v>
      </c>
      <c r="D2958" s="41" t="s">
        <v>139</v>
      </c>
      <c r="E2958" s="41">
        <v>10030016</v>
      </c>
      <c r="F2958" s="85" t="s">
        <v>148</v>
      </c>
      <c r="G2958" s="39" t="s">
        <v>93</v>
      </c>
      <c r="H2958" s="52" t="s">
        <v>94</v>
      </c>
      <c r="I2958" s="52">
        <v>1197.9500000000003</v>
      </c>
      <c r="J2958" s="49">
        <v>47529.483049118404</v>
      </c>
      <c r="K2958" s="58">
        <v>168.46999999999997</v>
      </c>
      <c r="L2958" s="58">
        <v>8332.4560177686617</v>
      </c>
      <c r="M2958" s="58">
        <v>1030.08</v>
      </c>
      <c r="N2958" s="58">
        <v>42288.739226562902</v>
      </c>
      <c r="O2958" s="58">
        <v>1198.55</v>
      </c>
      <c r="P2958" s="53">
        <v>50621.195244331568</v>
      </c>
      <c r="Q2958" s="65">
        <v>47529.483049118404</v>
      </c>
      <c r="R2958" s="65">
        <v>0</v>
      </c>
      <c r="S2958" s="65">
        <v>317.18700934200012</v>
      </c>
      <c r="T2958" s="65">
        <v>3091.7121952131638</v>
      </c>
      <c r="U2958" s="58">
        <v>0</v>
      </c>
      <c r="V2958" s="65">
        <v>0</v>
      </c>
      <c r="W2958" s="65">
        <v>0</v>
      </c>
      <c r="X2958" s="65">
        <v>5239</v>
      </c>
      <c r="Y2958" s="65">
        <v>41973</v>
      </c>
      <c r="Z2958" s="51">
        <v>0</v>
      </c>
      <c r="AA2958" s="51">
        <v>0</v>
      </c>
      <c r="AB2958" s="102">
        <v>0</v>
      </c>
      <c r="AC2958" s="81">
        <f t="shared" si="142"/>
        <v>0</v>
      </c>
      <c r="AD2958" s="82">
        <f t="shared" si="143"/>
        <v>0</v>
      </c>
      <c r="AE2958" s="218">
        <v>-6.5048302587640078E-2</v>
      </c>
      <c r="AF2958">
        <v>13</v>
      </c>
      <c r="AH2958" t="str">
        <f t="shared" si="141"/>
        <v>Asarganj</v>
      </c>
      <c r="AJ2958" s="72">
        <v>0</v>
      </c>
      <c r="AK2958" s="72"/>
      <c r="AL2958" s="72"/>
      <c r="AM2958" s="72"/>
    </row>
    <row r="2959" spans="1:39" x14ac:dyDescent="0.25">
      <c r="A2959" s="37" t="s">
        <v>62</v>
      </c>
      <c r="B2959" s="66" t="s">
        <v>1644</v>
      </c>
      <c r="C2959" s="4">
        <v>1003</v>
      </c>
      <c r="D2959" s="41" t="s">
        <v>139</v>
      </c>
      <c r="E2959" s="41">
        <v>10030017</v>
      </c>
      <c r="F2959" s="85" t="s">
        <v>149</v>
      </c>
      <c r="G2959" s="39" t="s">
        <v>93</v>
      </c>
      <c r="H2959" s="52" t="s">
        <v>94</v>
      </c>
      <c r="I2959" s="52">
        <v>1135.75</v>
      </c>
      <c r="J2959" s="49">
        <v>60001.795195342995</v>
      </c>
      <c r="K2959" s="58">
        <v>1145.1799999999998</v>
      </c>
      <c r="L2959" s="58">
        <v>58759.372582742377</v>
      </c>
      <c r="M2959" s="58">
        <v>19.57</v>
      </c>
      <c r="N2959" s="58">
        <v>1128.1203900373</v>
      </c>
      <c r="O2959" s="58">
        <v>1164.7499999999998</v>
      </c>
      <c r="P2959" s="53">
        <v>59887.492972779677</v>
      </c>
      <c r="Q2959" s="65">
        <v>59887.492972779677</v>
      </c>
      <c r="R2959" s="65">
        <v>0</v>
      </c>
      <c r="S2959" s="65">
        <v>1128.1203900373</v>
      </c>
      <c r="T2959" s="65">
        <v>0</v>
      </c>
      <c r="U2959" s="58">
        <v>0</v>
      </c>
      <c r="V2959" s="65">
        <v>0</v>
      </c>
      <c r="W2959" s="65">
        <v>0</v>
      </c>
      <c r="X2959" s="65">
        <v>58757</v>
      </c>
      <c r="Y2959" s="65">
        <v>0</v>
      </c>
      <c r="Z2959" s="51">
        <v>0</v>
      </c>
      <c r="AA2959" s="51">
        <v>117</v>
      </c>
      <c r="AB2959" s="102">
        <v>0</v>
      </c>
      <c r="AC2959" s="81">
        <f t="shared" si="142"/>
        <v>0</v>
      </c>
      <c r="AD2959" s="82">
        <f t="shared" si="143"/>
        <v>0</v>
      </c>
      <c r="AE2959" s="218">
        <v>1.9049800458668465E-3</v>
      </c>
      <c r="AF2959">
        <v>36</v>
      </c>
      <c r="AH2959" t="str">
        <f t="shared" si="141"/>
        <v>Asarganj</v>
      </c>
      <c r="AJ2959" s="72">
        <v>0</v>
      </c>
      <c r="AK2959" s="72"/>
      <c r="AL2959" s="72"/>
      <c r="AM2959" s="72"/>
    </row>
    <row r="2960" spans="1:39" x14ac:dyDescent="0.25">
      <c r="A2960" s="37" t="s">
        <v>62</v>
      </c>
      <c r="B2960" s="66" t="s">
        <v>1644</v>
      </c>
      <c r="C2960" s="4">
        <v>1003</v>
      </c>
      <c r="D2960" s="41" t="s">
        <v>139</v>
      </c>
      <c r="E2960" s="41">
        <v>10030018</v>
      </c>
      <c r="F2960" s="85" t="s">
        <v>150</v>
      </c>
      <c r="G2960" s="39" t="s">
        <v>93</v>
      </c>
      <c r="H2960" s="52" t="s">
        <v>94</v>
      </c>
      <c r="I2960" s="52">
        <v>942.75</v>
      </c>
      <c r="J2960" s="49">
        <v>36715.011535238256</v>
      </c>
      <c r="K2960" s="58">
        <v>939.69999999999993</v>
      </c>
      <c r="L2960" s="58">
        <v>36334.115201037705</v>
      </c>
      <c r="M2960" s="58">
        <v>27.669999999999995</v>
      </c>
      <c r="N2960" s="58">
        <v>1187.0196489692701</v>
      </c>
      <c r="O2960" s="58">
        <v>967.36999999999989</v>
      </c>
      <c r="P2960" s="53">
        <v>37521.134850006973</v>
      </c>
      <c r="Q2960" s="65">
        <v>36715.011535238256</v>
      </c>
      <c r="R2960" s="65">
        <v>0</v>
      </c>
      <c r="S2960" s="65">
        <v>1187.0196489692701</v>
      </c>
      <c r="T2960" s="65">
        <v>806.12331476871623</v>
      </c>
      <c r="U2960" s="58">
        <v>0</v>
      </c>
      <c r="V2960" s="65">
        <v>0</v>
      </c>
      <c r="W2960" s="65">
        <v>0</v>
      </c>
      <c r="X2960" s="65">
        <v>35528</v>
      </c>
      <c r="Y2960" s="65">
        <v>0</v>
      </c>
      <c r="Z2960" s="51">
        <v>0</v>
      </c>
      <c r="AA2960" s="51">
        <v>0</v>
      </c>
      <c r="AB2960" s="102">
        <v>0</v>
      </c>
      <c r="AC2960" s="81">
        <f t="shared" si="142"/>
        <v>0</v>
      </c>
      <c r="AD2960" s="82">
        <f t="shared" si="143"/>
        <v>0</v>
      </c>
      <c r="AE2960" s="218">
        <v>-2.1956232098552301E-2</v>
      </c>
      <c r="AF2960">
        <v>23</v>
      </c>
      <c r="AH2960" t="str">
        <f t="shared" si="141"/>
        <v>Asarganj</v>
      </c>
      <c r="AJ2960" s="72">
        <v>0</v>
      </c>
      <c r="AK2960" s="72"/>
      <c r="AL2960" s="72"/>
      <c r="AM2960" s="72"/>
    </row>
    <row r="2961" spans="1:39" x14ac:dyDescent="0.25">
      <c r="A2961" s="37" t="s">
        <v>62</v>
      </c>
      <c r="B2961" s="66" t="s">
        <v>1644</v>
      </c>
      <c r="C2961" s="4">
        <v>1003</v>
      </c>
      <c r="D2961" s="41" t="s">
        <v>139</v>
      </c>
      <c r="E2961" s="41">
        <v>10030019</v>
      </c>
      <c r="F2961" s="85" t="s">
        <v>151</v>
      </c>
      <c r="G2961" s="39" t="s">
        <v>93</v>
      </c>
      <c r="H2961" s="52" t="s">
        <v>94</v>
      </c>
      <c r="I2961" s="52">
        <v>541.4</v>
      </c>
      <c r="J2961" s="49">
        <v>24645.571612986005</v>
      </c>
      <c r="K2961" s="58">
        <v>536.79</v>
      </c>
      <c r="L2961" s="58">
        <v>26200.699858857199</v>
      </c>
      <c r="M2961" s="58">
        <v>28.960000000000004</v>
      </c>
      <c r="N2961" s="58">
        <v>1555.2083111168402</v>
      </c>
      <c r="O2961" s="58">
        <v>565.75</v>
      </c>
      <c r="P2961" s="53">
        <v>27755.908169974038</v>
      </c>
      <c r="Q2961" s="65">
        <v>24645.571612986005</v>
      </c>
      <c r="R2961" s="65">
        <v>0</v>
      </c>
      <c r="S2961" s="65">
        <v>1555.2083111168402</v>
      </c>
      <c r="T2961" s="65">
        <v>3110.3365569880334</v>
      </c>
      <c r="U2961" s="58">
        <v>0</v>
      </c>
      <c r="V2961" s="65">
        <v>0</v>
      </c>
      <c r="W2961" s="65">
        <v>0</v>
      </c>
      <c r="X2961" s="65">
        <v>23090</v>
      </c>
      <c r="Y2961" s="65">
        <v>0</v>
      </c>
      <c r="Z2961" s="51">
        <v>0</v>
      </c>
      <c r="AA2961" s="51">
        <v>0</v>
      </c>
      <c r="AB2961" s="102">
        <v>0</v>
      </c>
      <c r="AC2961" s="81">
        <f t="shared" si="142"/>
        <v>144.39555440781606</v>
      </c>
      <c r="AD2961" s="82">
        <f t="shared" si="143"/>
        <v>77.342857142857142</v>
      </c>
      <c r="AE2961" s="218">
        <v>-0.12620265440908521</v>
      </c>
      <c r="AF2961">
        <v>11</v>
      </c>
      <c r="AH2961" t="str">
        <f t="shared" si="141"/>
        <v>Asarganj</v>
      </c>
      <c r="AJ2961" s="72">
        <v>0</v>
      </c>
      <c r="AK2961" s="72"/>
      <c r="AL2961" s="72"/>
      <c r="AM2961" s="72"/>
    </row>
    <row r="2962" spans="1:39" x14ac:dyDescent="0.25">
      <c r="A2962" s="37" t="s">
        <v>62</v>
      </c>
      <c r="B2962" s="66" t="s">
        <v>1644</v>
      </c>
      <c r="C2962" s="4">
        <v>1003</v>
      </c>
      <c r="D2962" s="41" t="s">
        <v>139</v>
      </c>
      <c r="E2962" s="41">
        <v>10030021</v>
      </c>
      <c r="F2962" s="85" t="s">
        <v>152</v>
      </c>
      <c r="G2962" s="39" t="s">
        <v>93</v>
      </c>
      <c r="H2962" s="52" t="s">
        <v>94</v>
      </c>
      <c r="I2962" s="52">
        <v>739.39999999999986</v>
      </c>
      <c r="J2962" s="49">
        <v>30040.334009040005</v>
      </c>
      <c r="K2962" s="58">
        <v>764.48</v>
      </c>
      <c r="L2962" s="58">
        <v>33066.308356936199</v>
      </c>
      <c r="M2962" s="58">
        <v>26.639999999999993</v>
      </c>
      <c r="N2962" s="58">
        <v>1116.2028177299999</v>
      </c>
      <c r="O2962" s="58">
        <v>791.12</v>
      </c>
      <c r="P2962" s="53">
        <v>34182.511174666201</v>
      </c>
      <c r="Q2962" s="65">
        <v>30040.334009040005</v>
      </c>
      <c r="R2962" s="65">
        <v>0</v>
      </c>
      <c r="S2962" s="65">
        <v>1116.2028177299999</v>
      </c>
      <c r="T2962" s="65">
        <v>4142.1771656261953</v>
      </c>
      <c r="U2962" s="58">
        <v>0</v>
      </c>
      <c r="V2962" s="65">
        <v>0</v>
      </c>
      <c r="W2962" s="65">
        <v>0</v>
      </c>
      <c r="X2962" s="65">
        <v>28924</v>
      </c>
      <c r="Y2962" s="65">
        <v>0</v>
      </c>
      <c r="Z2962" s="51">
        <v>0</v>
      </c>
      <c r="AA2962" s="51">
        <v>0</v>
      </c>
      <c r="AB2962" s="102">
        <v>0</v>
      </c>
      <c r="AC2962" s="81">
        <f t="shared" si="142"/>
        <v>0</v>
      </c>
      <c r="AD2962" s="82">
        <f t="shared" si="143"/>
        <v>0</v>
      </c>
      <c r="AE2962" s="218">
        <v>-0.13788718741874489</v>
      </c>
      <c r="AF2962">
        <v>10</v>
      </c>
      <c r="AH2962" t="str">
        <f t="shared" si="141"/>
        <v>Asarganj</v>
      </c>
      <c r="AJ2962" s="72">
        <v>0</v>
      </c>
      <c r="AK2962" s="72"/>
      <c r="AL2962" s="72"/>
      <c r="AM2962" s="72"/>
    </row>
    <row r="2963" spans="1:39" x14ac:dyDescent="0.25">
      <c r="A2963" s="37" t="s">
        <v>62</v>
      </c>
      <c r="B2963" s="66" t="s">
        <v>1644</v>
      </c>
      <c r="C2963" s="4">
        <v>1003</v>
      </c>
      <c r="D2963" s="41" t="s">
        <v>139</v>
      </c>
      <c r="E2963" s="41">
        <v>10030022</v>
      </c>
      <c r="F2963" s="85" t="s">
        <v>153</v>
      </c>
      <c r="G2963" s="39" t="s">
        <v>93</v>
      </c>
      <c r="H2963" s="52" t="s">
        <v>94</v>
      </c>
      <c r="I2963" s="52">
        <v>1819.3499999999997</v>
      </c>
      <c r="J2963" s="49">
        <v>72813.12297777702</v>
      </c>
      <c r="K2963" s="58">
        <v>1655.5600000000002</v>
      </c>
      <c r="L2963" s="58">
        <v>67895.688323257447</v>
      </c>
      <c r="M2963" s="58">
        <v>138.39000000000001</v>
      </c>
      <c r="N2963" s="58">
        <v>5496.1609198616998</v>
      </c>
      <c r="O2963" s="58">
        <v>1793.9500000000003</v>
      </c>
      <c r="P2963" s="53">
        <v>73391.849243119141</v>
      </c>
      <c r="Q2963" s="65">
        <v>72813.12297777702</v>
      </c>
      <c r="R2963" s="65">
        <v>0</v>
      </c>
      <c r="S2963" s="65">
        <v>861.79357107600003</v>
      </c>
      <c r="T2963" s="65">
        <v>578.72626534212031</v>
      </c>
      <c r="U2963" s="58">
        <v>0</v>
      </c>
      <c r="V2963" s="65">
        <v>0</v>
      </c>
      <c r="W2963" s="65">
        <v>0</v>
      </c>
      <c r="X2963" s="65">
        <v>67316</v>
      </c>
      <c r="Y2963" s="65">
        <v>4635</v>
      </c>
      <c r="Z2963" s="51">
        <v>0</v>
      </c>
      <c r="AA2963" s="51">
        <v>0</v>
      </c>
      <c r="AB2963" s="102">
        <v>0</v>
      </c>
      <c r="AC2963" s="81">
        <f t="shared" si="142"/>
        <v>0</v>
      </c>
      <c r="AD2963" s="82">
        <f t="shared" si="143"/>
        <v>0</v>
      </c>
      <c r="AE2963" s="218">
        <v>-7.9481038812021683E-3</v>
      </c>
      <c r="AF2963">
        <v>28</v>
      </c>
      <c r="AH2963" t="str">
        <f t="shared" si="141"/>
        <v>Asarganj</v>
      </c>
      <c r="AJ2963" s="72">
        <v>0</v>
      </c>
      <c r="AK2963" s="72"/>
      <c r="AL2963" s="72"/>
      <c r="AM2963" s="72"/>
    </row>
    <row r="2964" spans="1:39" x14ac:dyDescent="0.25">
      <c r="A2964" s="37" t="s">
        <v>62</v>
      </c>
      <c r="B2964" s="66" t="s">
        <v>1644</v>
      </c>
      <c r="C2964" s="4">
        <v>1003</v>
      </c>
      <c r="D2964" s="41" t="s">
        <v>139</v>
      </c>
      <c r="E2964" s="41">
        <v>10030023</v>
      </c>
      <c r="F2964" s="85" t="s">
        <v>154</v>
      </c>
      <c r="G2964" s="39" t="s">
        <v>93</v>
      </c>
      <c r="H2964" s="52" t="s">
        <v>94</v>
      </c>
      <c r="I2964" s="52">
        <v>230.94999999999996</v>
      </c>
      <c r="J2964" s="49">
        <v>10177.976473962</v>
      </c>
      <c r="K2964" s="58">
        <v>220.23999999999995</v>
      </c>
      <c r="L2964" s="58">
        <v>10802.026816883699</v>
      </c>
      <c r="M2964" s="58">
        <v>11.990000000000002</v>
      </c>
      <c r="N2964" s="58">
        <v>553.55184585730012</v>
      </c>
      <c r="O2964" s="58">
        <v>232.22999999999996</v>
      </c>
      <c r="P2964" s="53">
        <v>11355.578662741</v>
      </c>
      <c r="Q2964" s="65">
        <v>10177.976473962</v>
      </c>
      <c r="R2964" s="65">
        <v>0</v>
      </c>
      <c r="S2964" s="65">
        <v>553.55184585730012</v>
      </c>
      <c r="T2964" s="65">
        <v>1177.6021887789993</v>
      </c>
      <c r="U2964" s="58">
        <v>0</v>
      </c>
      <c r="V2964" s="65">
        <v>0</v>
      </c>
      <c r="W2964" s="65">
        <v>0</v>
      </c>
      <c r="X2964" s="65">
        <v>9624</v>
      </c>
      <c r="Y2964" s="65">
        <v>0</v>
      </c>
      <c r="Z2964" s="51">
        <v>0</v>
      </c>
      <c r="AA2964" s="51">
        <v>0</v>
      </c>
      <c r="AB2964" s="102" t="s">
        <v>68</v>
      </c>
      <c r="AC2964" s="81">
        <f t="shared" si="142"/>
        <v>413.42107513417432</v>
      </c>
      <c r="AD2964" s="82">
        <f t="shared" si="143"/>
        <v>32.99285714285714</v>
      </c>
      <c r="AE2964" s="218">
        <v>-0.11570101304435339</v>
      </c>
      <c r="AF2964">
        <v>9</v>
      </c>
      <c r="AH2964" t="str">
        <f t="shared" si="141"/>
        <v>Asarganj</v>
      </c>
      <c r="AJ2964" s="72">
        <v>0</v>
      </c>
      <c r="AK2964" s="72"/>
      <c r="AL2964" s="72"/>
      <c r="AM2964" s="72"/>
    </row>
    <row r="2965" spans="1:39" x14ac:dyDescent="0.25">
      <c r="A2965" s="37" t="s">
        <v>62</v>
      </c>
      <c r="B2965" s="66" t="s">
        <v>1644</v>
      </c>
      <c r="C2965" s="4">
        <v>1003</v>
      </c>
      <c r="D2965" s="41" t="s">
        <v>139</v>
      </c>
      <c r="E2965" s="41">
        <v>10030025</v>
      </c>
      <c r="F2965" s="85" t="s">
        <v>155</v>
      </c>
      <c r="G2965" s="39" t="s">
        <v>93</v>
      </c>
      <c r="H2965" s="52" t="s">
        <v>94</v>
      </c>
      <c r="I2965" s="52">
        <v>827.74999999999989</v>
      </c>
      <c r="J2965" s="49">
        <v>31510.872327690005</v>
      </c>
      <c r="K2965" s="58">
        <v>829.01</v>
      </c>
      <c r="L2965" s="58">
        <v>31172.791904964004</v>
      </c>
      <c r="M2965" s="58">
        <v>10.340000000000002</v>
      </c>
      <c r="N2965" s="58">
        <v>366.99958000079999</v>
      </c>
      <c r="O2965" s="58">
        <v>839.35</v>
      </c>
      <c r="P2965" s="53">
        <v>31539.791484964804</v>
      </c>
      <c r="Q2965" s="65">
        <v>31510.872327690005</v>
      </c>
      <c r="R2965" s="65">
        <v>0</v>
      </c>
      <c r="S2965" s="65">
        <v>366.99958000079999</v>
      </c>
      <c r="T2965" s="65">
        <v>28.919157274798636</v>
      </c>
      <c r="U2965" s="58">
        <v>0</v>
      </c>
      <c r="V2965" s="65">
        <v>0</v>
      </c>
      <c r="W2965" s="65">
        <v>0</v>
      </c>
      <c r="X2965" s="65">
        <v>31144</v>
      </c>
      <c r="Y2965" s="65">
        <v>0</v>
      </c>
      <c r="Z2965" s="51">
        <v>0</v>
      </c>
      <c r="AA2965" s="51">
        <v>0</v>
      </c>
      <c r="AB2965" s="102">
        <v>0</v>
      </c>
      <c r="AC2965" s="81">
        <f t="shared" si="142"/>
        <v>0</v>
      </c>
      <c r="AD2965" s="82">
        <f t="shared" si="143"/>
        <v>0</v>
      </c>
      <c r="AE2965" s="218">
        <v>-9.1775171991624258E-4</v>
      </c>
      <c r="AF2965">
        <v>8</v>
      </c>
      <c r="AH2965" t="str">
        <f t="shared" si="141"/>
        <v>Asarganj</v>
      </c>
      <c r="AJ2965" s="72">
        <v>0</v>
      </c>
      <c r="AK2965" s="72"/>
      <c r="AL2965" s="72"/>
      <c r="AM2965" s="72"/>
    </row>
    <row r="2966" spans="1:39" x14ac:dyDescent="0.25">
      <c r="A2966" s="37" t="s">
        <v>62</v>
      </c>
      <c r="B2966" s="66" t="s">
        <v>1644</v>
      </c>
      <c r="C2966" s="4">
        <v>1003</v>
      </c>
      <c r="D2966" s="41" t="s">
        <v>139</v>
      </c>
      <c r="E2966" s="41">
        <v>10030026</v>
      </c>
      <c r="F2966" s="85" t="s">
        <v>156</v>
      </c>
      <c r="G2966" s="39" t="s">
        <v>93</v>
      </c>
      <c r="H2966" s="52" t="s">
        <v>94</v>
      </c>
      <c r="I2966" s="52">
        <v>1394.8000000000002</v>
      </c>
      <c r="J2966" s="49">
        <v>53541.558494310004</v>
      </c>
      <c r="K2966" s="58">
        <v>1421.0299999999997</v>
      </c>
      <c r="L2966" s="58">
        <v>55920.444132459583</v>
      </c>
      <c r="M2966" s="58">
        <v>0</v>
      </c>
      <c r="N2966" s="58">
        <v>0</v>
      </c>
      <c r="O2966" s="58">
        <v>1421.0299999999997</v>
      </c>
      <c r="P2966" s="53">
        <v>55920.444132459583</v>
      </c>
      <c r="Q2966" s="65">
        <v>53541.558494310004</v>
      </c>
      <c r="R2966" s="65">
        <v>0</v>
      </c>
      <c r="S2966" s="65">
        <v>0</v>
      </c>
      <c r="T2966" s="65">
        <v>2378.8856381495789</v>
      </c>
      <c r="U2966" s="58">
        <v>0</v>
      </c>
      <c r="V2966" s="65">
        <v>0</v>
      </c>
      <c r="W2966" s="65">
        <v>0</v>
      </c>
      <c r="X2966" s="65">
        <v>53542</v>
      </c>
      <c r="Y2966" s="65">
        <v>0</v>
      </c>
      <c r="Z2966" s="51">
        <v>0</v>
      </c>
      <c r="AA2966" s="51">
        <v>0</v>
      </c>
      <c r="AB2966" s="102">
        <v>0</v>
      </c>
      <c r="AC2966" s="81">
        <f t="shared" si="142"/>
        <v>0</v>
      </c>
      <c r="AD2966" s="82">
        <f t="shared" si="143"/>
        <v>0</v>
      </c>
      <c r="AE2966" s="218">
        <v>-4.4430638648712273E-2</v>
      </c>
      <c r="AF2966">
        <v>38</v>
      </c>
      <c r="AH2966" t="str">
        <f t="shared" si="141"/>
        <v>Asarganj</v>
      </c>
      <c r="AJ2966" s="72">
        <v>0</v>
      </c>
      <c r="AK2966" s="72"/>
      <c r="AL2966" s="72"/>
      <c r="AM2966" s="72"/>
    </row>
    <row r="2967" spans="1:39" x14ac:dyDescent="0.25">
      <c r="A2967" s="37" t="s">
        <v>62</v>
      </c>
      <c r="B2967" s="66" t="s">
        <v>1644</v>
      </c>
      <c r="C2967" s="4">
        <v>1003</v>
      </c>
      <c r="D2967" s="41" t="s">
        <v>139</v>
      </c>
      <c r="E2967" s="41">
        <v>10030027</v>
      </c>
      <c r="F2967" s="85" t="s">
        <v>157</v>
      </c>
      <c r="G2967" s="39" t="s">
        <v>93</v>
      </c>
      <c r="H2967" s="52" t="s">
        <v>94</v>
      </c>
      <c r="I2967" s="52">
        <v>745.85</v>
      </c>
      <c r="J2967" s="49">
        <v>28389.151738035012</v>
      </c>
      <c r="K2967" s="58">
        <v>704.00000000000011</v>
      </c>
      <c r="L2967" s="58">
        <v>26373.300128467305</v>
      </c>
      <c r="M2967" s="58">
        <v>22.499999999999996</v>
      </c>
      <c r="N2967" s="58">
        <v>923.96861160000003</v>
      </c>
      <c r="O2967" s="58">
        <v>726.50000000000011</v>
      </c>
      <c r="P2967" s="53">
        <v>27297.268740067306</v>
      </c>
      <c r="Q2967" s="65">
        <v>27297.268740067306</v>
      </c>
      <c r="R2967" s="65">
        <v>0</v>
      </c>
      <c r="S2967" s="65">
        <v>923.96861160000003</v>
      </c>
      <c r="T2967" s="65">
        <v>0</v>
      </c>
      <c r="U2967" s="58">
        <v>0</v>
      </c>
      <c r="V2967" s="65">
        <v>0</v>
      </c>
      <c r="W2967" s="65">
        <v>0</v>
      </c>
      <c r="X2967" s="65">
        <v>26375</v>
      </c>
      <c r="Y2967" s="65">
        <v>0</v>
      </c>
      <c r="Z2967" s="51">
        <v>0</v>
      </c>
      <c r="AA2967" s="51">
        <v>1090</v>
      </c>
      <c r="AB2967" s="102">
        <v>0</v>
      </c>
      <c r="AC2967" s="81">
        <f t="shared" si="142"/>
        <v>0</v>
      </c>
      <c r="AD2967" s="82">
        <f t="shared" si="143"/>
        <v>0</v>
      </c>
      <c r="AE2967" s="218">
        <v>3.8461275914237036E-2</v>
      </c>
      <c r="AF2967">
        <v>36</v>
      </c>
      <c r="AH2967" t="str">
        <f t="shared" si="141"/>
        <v>Asarganj</v>
      </c>
      <c r="AJ2967" s="72">
        <v>0</v>
      </c>
      <c r="AK2967" s="72"/>
      <c r="AL2967" s="72"/>
      <c r="AM2967" s="72"/>
    </row>
    <row r="2968" spans="1:39" x14ac:dyDescent="0.25">
      <c r="A2968" s="37" t="s">
        <v>62</v>
      </c>
      <c r="B2968" s="66" t="s">
        <v>1644</v>
      </c>
      <c r="C2968" s="4">
        <v>1003</v>
      </c>
      <c r="D2968" s="41" t="s">
        <v>139</v>
      </c>
      <c r="E2968" s="41">
        <v>10030028</v>
      </c>
      <c r="F2968" s="85" t="s">
        <v>158</v>
      </c>
      <c r="G2968" s="39" t="s">
        <v>93</v>
      </c>
      <c r="H2968" s="52" t="s">
        <v>94</v>
      </c>
      <c r="I2968" s="52">
        <v>996.6</v>
      </c>
      <c r="J2968" s="49">
        <v>40053.895645784993</v>
      </c>
      <c r="K2968" s="58">
        <v>998.6</v>
      </c>
      <c r="L2968" s="58">
        <v>40109.617392587563</v>
      </c>
      <c r="M2968" s="58">
        <v>20.100000000000001</v>
      </c>
      <c r="N2968" s="58">
        <v>830.85599628750003</v>
      </c>
      <c r="O2968" s="58">
        <v>1018.7</v>
      </c>
      <c r="P2968" s="53">
        <v>40940.473388875063</v>
      </c>
      <c r="Q2968" s="65">
        <v>40053.895645784993</v>
      </c>
      <c r="R2968" s="65">
        <v>0</v>
      </c>
      <c r="S2968" s="65">
        <v>830.85599628750003</v>
      </c>
      <c r="T2968" s="65">
        <v>886.57774309007073</v>
      </c>
      <c r="U2968" s="58">
        <v>0</v>
      </c>
      <c r="V2968" s="65">
        <v>0</v>
      </c>
      <c r="W2968" s="65">
        <v>0</v>
      </c>
      <c r="X2968" s="65">
        <v>39223</v>
      </c>
      <c r="Y2968" s="65">
        <v>0</v>
      </c>
      <c r="Z2968" s="51">
        <v>0</v>
      </c>
      <c r="AA2968" s="51">
        <v>0</v>
      </c>
      <c r="AB2968" s="102">
        <v>0</v>
      </c>
      <c r="AC2968" s="81">
        <f t="shared" si="142"/>
        <v>0</v>
      </c>
      <c r="AD2968" s="82">
        <f t="shared" si="143"/>
        <v>0</v>
      </c>
      <c r="AE2968" s="218">
        <v>-2.2134619586830832E-2</v>
      </c>
      <c r="AF2968">
        <v>40</v>
      </c>
      <c r="AH2968" t="str">
        <f t="shared" si="141"/>
        <v>Asarganj</v>
      </c>
      <c r="AJ2968" s="72">
        <v>0</v>
      </c>
      <c r="AK2968" s="72"/>
      <c r="AL2968" s="72"/>
      <c r="AM2968" s="72"/>
    </row>
    <row r="2969" spans="1:39" x14ac:dyDescent="0.25">
      <c r="A2969" s="37" t="s">
        <v>62</v>
      </c>
      <c r="B2969" s="66" t="s">
        <v>1644</v>
      </c>
      <c r="C2969" s="4">
        <v>1003</v>
      </c>
      <c r="D2969" s="41" t="s">
        <v>139</v>
      </c>
      <c r="E2969" s="41">
        <v>10030031</v>
      </c>
      <c r="F2969" s="85" t="s">
        <v>159</v>
      </c>
      <c r="G2969" s="39" t="s">
        <v>93</v>
      </c>
      <c r="H2969" s="52" t="s">
        <v>94</v>
      </c>
      <c r="I2969" s="52">
        <v>924.54999999999984</v>
      </c>
      <c r="J2969" s="49">
        <v>34521.891145500005</v>
      </c>
      <c r="K2969" s="58">
        <v>913.69</v>
      </c>
      <c r="L2969" s="58">
        <v>34529.104627245506</v>
      </c>
      <c r="M2969" s="58">
        <v>0</v>
      </c>
      <c r="N2969" s="58">
        <v>0</v>
      </c>
      <c r="O2969" s="58">
        <v>913.69</v>
      </c>
      <c r="P2969" s="53">
        <v>34529.104627245506</v>
      </c>
      <c r="Q2969" s="65">
        <v>34521.891145500005</v>
      </c>
      <c r="R2969" s="65">
        <v>0</v>
      </c>
      <c r="S2969" s="65">
        <v>0</v>
      </c>
      <c r="T2969" s="65">
        <v>7.2134817455007578</v>
      </c>
      <c r="U2969" s="58">
        <v>0</v>
      </c>
      <c r="V2969" s="65">
        <v>0</v>
      </c>
      <c r="W2969" s="65">
        <v>0</v>
      </c>
      <c r="X2969" s="65">
        <v>34522</v>
      </c>
      <c r="Y2969" s="65">
        <v>0</v>
      </c>
      <c r="Z2969" s="51">
        <v>0</v>
      </c>
      <c r="AA2969" s="51">
        <v>0</v>
      </c>
      <c r="AB2969" s="102">
        <v>0</v>
      </c>
      <c r="AC2969" s="81">
        <f t="shared" si="142"/>
        <v>0</v>
      </c>
      <c r="AD2969" s="82">
        <f t="shared" si="143"/>
        <v>0</v>
      </c>
      <c r="AE2969" s="218">
        <v>-2.0895384077013548E-4</v>
      </c>
      <c r="AF2969">
        <v>23</v>
      </c>
      <c r="AH2969" t="str">
        <f t="shared" si="141"/>
        <v>Asarganj</v>
      </c>
      <c r="AJ2969" s="72">
        <v>0</v>
      </c>
      <c r="AK2969" s="72"/>
      <c r="AL2969" s="72"/>
      <c r="AM2969" s="72"/>
    </row>
    <row r="2970" spans="1:39" x14ac:dyDescent="0.25">
      <c r="A2970" s="37" t="s">
        <v>62</v>
      </c>
      <c r="B2970" s="66" t="s">
        <v>1644</v>
      </c>
      <c r="C2970" s="4">
        <v>1003</v>
      </c>
      <c r="D2970" s="41" t="s">
        <v>139</v>
      </c>
      <c r="E2970" s="41">
        <v>10030032</v>
      </c>
      <c r="F2970" s="85" t="s">
        <v>160</v>
      </c>
      <c r="G2970" s="39" t="s">
        <v>93</v>
      </c>
      <c r="H2970" s="52" t="s">
        <v>94</v>
      </c>
      <c r="I2970" s="52">
        <v>2135.3999999999996</v>
      </c>
      <c r="J2970" s="49">
        <v>80969.083579275</v>
      </c>
      <c r="K2970" s="58">
        <v>2080</v>
      </c>
      <c r="L2970" s="58">
        <v>80010.33092811238</v>
      </c>
      <c r="M2970" s="58">
        <v>52.8</v>
      </c>
      <c r="N2970" s="58">
        <v>1831.0112647860003</v>
      </c>
      <c r="O2970" s="58">
        <v>2132.8000000000002</v>
      </c>
      <c r="P2970" s="53">
        <v>81841.342192898373</v>
      </c>
      <c r="Q2970" s="65">
        <v>80969.083579275</v>
      </c>
      <c r="R2970" s="65">
        <v>0</v>
      </c>
      <c r="S2970" s="65">
        <v>1831.0112647860003</v>
      </c>
      <c r="T2970" s="65">
        <v>872.25861362337309</v>
      </c>
      <c r="U2970" s="58">
        <v>0</v>
      </c>
      <c r="V2970" s="65">
        <v>0</v>
      </c>
      <c r="W2970" s="65">
        <v>0</v>
      </c>
      <c r="X2970" s="65">
        <v>79138</v>
      </c>
      <c r="Y2970" s="65">
        <v>0</v>
      </c>
      <c r="Z2970" s="51">
        <v>0</v>
      </c>
      <c r="AA2970" s="51">
        <v>0</v>
      </c>
      <c r="AB2970" s="102">
        <v>0</v>
      </c>
      <c r="AC2970" s="81">
        <f t="shared" si="142"/>
        <v>0</v>
      </c>
      <c r="AD2970" s="82">
        <f t="shared" si="143"/>
        <v>0</v>
      </c>
      <c r="AE2970" s="218">
        <v>-1.0772736642985028E-2</v>
      </c>
      <c r="AF2970">
        <v>14</v>
      </c>
      <c r="AH2970" t="str">
        <f t="shared" si="141"/>
        <v>Asarganj</v>
      </c>
      <c r="AJ2970" s="72">
        <v>0</v>
      </c>
      <c r="AK2970" s="72"/>
      <c r="AL2970" s="72"/>
      <c r="AM2970" s="72"/>
    </row>
    <row r="2971" spans="1:39" x14ac:dyDescent="0.25">
      <c r="A2971" s="37" t="s">
        <v>62</v>
      </c>
      <c r="B2971" s="66" t="s">
        <v>1644</v>
      </c>
      <c r="C2971" s="4">
        <v>1003</v>
      </c>
      <c r="D2971" s="41" t="s">
        <v>139</v>
      </c>
      <c r="E2971" s="41">
        <v>10030034</v>
      </c>
      <c r="F2971" s="85" t="s">
        <v>161</v>
      </c>
      <c r="G2971" s="39" t="s">
        <v>93</v>
      </c>
      <c r="H2971" s="52" t="s">
        <v>94</v>
      </c>
      <c r="I2971" s="52">
        <v>1208.45</v>
      </c>
      <c r="J2971" s="49">
        <v>49242.777391848002</v>
      </c>
      <c r="K2971" s="58">
        <v>1238.7200000000003</v>
      </c>
      <c r="L2971" s="58">
        <v>50676.209388757554</v>
      </c>
      <c r="M2971" s="58">
        <v>0</v>
      </c>
      <c r="N2971" s="58">
        <v>0</v>
      </c>
      <c r="O2971" s="58">
        <v>1238.7200000000003</v>
      </c>
      <c r="P2971" s="53">
        <v>50676.209388757554</v>
      </c>
      <c r="Q2971" s="65">
        <v>49242.777391848002</v>
      </c>
      <c r="R2971" s="65">
        <v>0</v>
      </c>
      <c r="S2971" s="65">
        <v>0</v>
      </c>
      <c r="T2971" s="65">
        <v>1433.4319969095523</v>
      </c>
      <c r="U2971" s="58">
        <v>0</v>
      </c>
      <c r="V2971" s="65">
        <v>0</v>
      </c>
      <c r="W2971" s="65">
        <v>0</v>
      </c>
      <c r="X2971" s="65">
        <v>49243</v>
      </c>
      <c r="Y2971" s="65">
        <v>0</v>
      </c>
      <c r="Z2971" s="51">
        <v>0</v>
      </c>
      <c r="AA2971" s="51">
        <v>0</v>
      </c>
      <c r="AB2971" s="102" t="s">
        <v>68</v>
      </c>
      <c r="AC2971" s="81">
        <f t="shared" si="142"/>
        <v>0</v>
      </c>
      <c r="AD2971" s="82">
        <f t="shared" si="143"/>
        <v>0</v>
      </c>
      <c r="AE2971" s="218">
        <v>-2.910948717419121E-2</v>
      </c>
      <c r="AF2971">
        <v>34</v>
      </c>
      <c r="AH2971" t="str">
        <f t="shared" si="141"/>
        <v>Asarganj</v>
      </c>
      <c r="AJ2971" s="72">
        <v>0</v>
      </c>
      <c r="AK2971" s="72"/>
      <c r="AL2971" s="72"/>
      <c r="AM2971" s="72"/>
    </row>
    <row r="2972" spans="1:39" x14ac:dyDescent="0.25">
      <c r="A2972" s="37" t="s">
        <v>62</v>
      </c>
      <c r="B2972" s="66" t="s">
        <v>1644</v>
      </c>
      <c r="C2972" s="4">
        <v>1003</v>
      </c>
      <c r="D2972" s="41" t="s">
        <v>139</v>
      </c>
      <c r="E2972" s="41">
        <v>10030035</v>
      </c>
      <c r="F2972" s="85" t="s">
        <v>162</v>
      </c>
      <c r="G2972" s="39" t="s">
        <v>93</v>
      </c>
      <c r="H2972" s="52" t="s">
        <v>94</v>
      </c>
      <c r="I2972" s="52">
        <v>702.1</v>
      </c>
      <c r="J2972" s="49">
        <v>28336.229599599006</v>
      </c>
      <c r="K2972" s="58">
        <v>699.06</v>
      </c>
      <c r="L2972" s="58">
        <v>28205.563589139743</v>
      </c>
      <c r="M2972" s="58">
        <v>2.29</v>
      </c>
      <c r="N2972" s="58">
        <v>94.451946483000015</v>
      </c>
      <c r="O2972" s="58">
        <v>701.34999999999991</v>
      </c>
      <c r="P2972" s="53">
        <v>28300.015535622744</v>
      </c>
      <c r="Q2972" s="65">
        <v>28300.015535622744</v>
      </c>
      <c r="R2972" s="65">
        <v>0</v>
      </c>
      <c r="S2972" s="65">
        <v>94.451946483000015</v>
      </c>
      <c r="T2972" s="65">
        <v>0</v>
      </c>
      <c r="U2972" s="58">
        <v>0</v>
      </c>
      <c r="V2972" s="65">
        <v>0</v>
      </c>
      <c r="W2972" s="65">
        <v>0</v>
      </c>
      <c r="X2972" s="65">
        <v>28205</v>
      </c>
      <c r="Y2972" s="65">
        <v>0</v>
      </c>
      <c r="Z2972" s="51">
        <v>0</v>
      </c>
      <c r="AA2972" s="51">
        <v>37</v>
      </c>
      <c r="AB2972" s="102">
        <v>0</v>
      </c>
      <c r="AC2972" s="81">
        <f t="shared" si="142"/>
        <v>0</v>
      </c>
      <c r="AD2972" s="82">
        <f t="shared" si="143"/>
        <v>0</v>
      </c>
      <c r="AE2972" s="218">
        <v>1.2780127945029936E-3</v>
      </c>
      <c r="AF2972">
        <v>5</v>
      </c>
      <c r="AH2972" t="str">
        <f t="shared" si="141"/>
        <v>Asarganj</v>
      </c>
      <c r="AJ2972" s="72">
        <v>0</v>
      </c>
      <c r="AK2972" s="72"/>
      <c r="AL2972" s="72"/>
      <c r="AM2972" s="72"/>
    </row>
    <row r="2973" spans="1:39" x14ac:dyDescent="0.25">
      <c r="A2973" s="37" t="s">
        <v>62</v>
      </c>
      <c r="B2973" s="66" t="s">
        <v>1644</v>
      </c>
      <c r="C2973" s="4">
        <v>1003</v>
      </c>
      <c r="D2973" s="41" t="s">
        <v>139</v>
      </c>
      <c r="E2973" s="41">
        <v>10030037</v>
      </c>
      <c r="F2973" s="85" t="s">
        <v>163</v>
      </c>
      <c r="G2973" s="39" t="s">
        <v>93</v>
      </c>
      <c r="H2973" s="52" t="s">
        <v>94</v>
      </c>
      <c r="I2973" s="52">
        <v>1555.3</v>
      </c>
      <c r="J2973" s="49">
        <v>57355.944563535013</v>
      </c>
      <c r="K2973" s="58">
        <v>1562.6100000000006</v>
      </c>
      <c r="L2973" s="58">
        <v>59961.907361619029</v>
      </c>
      <c r="M2973" s="58">
        <v>23.009999999999998</v>
      </c>
      <c r="N2973" s="58">
        <v>872.65025654040005</v>
      </c>
      <c r="O2973" s="58">
        <v>1585.6200000000006</v>
      </c>
      <c r="P2973" s="53">
        <v>60834.55761815943</v>
      </c>
      <c r="Q2973" s="65">
        <v>57355.944563535013</v>
      </c>
      <c r="R2973" s="65">
        <v>0</v>
      </c>
      <c r="S2973" s="65">
        <v>872.65025654040005</v>
      </c>
      <c r="T2973" s="65">
        <v>3478.6130546244167</v>
      </c>
      <c r="U2973" s="58">
        <v>0</v>
      </c>
      <c r="V2973" s="65">
        <v>0</v>
      </c>
      <c r="W2973" s="65">
        <v>0</v>
      </c>
      <c r="X2973" s="65">
        <v>56483</v>
      </c>
      <c r="Y2973" s="65">
        <v>0</v>
      </c>
      <c r="Z2973" s="51">
        <v>0</v>
      </c>
      <c r="AA2973" s="51">
        <v>0</v>
      </c>
      <c r="AB2973" s="102">
        <v>0</v>
      </c>
      <c r="AC2973" s="81">
        <f t="shared" si="142"/>
        <v>0</v>
      </c>
      <c r="AD2973" s="82">
        <f t="shared" si="143"/>
        <v>0</v>
      </c>
      <c r="AE2973" s="218">
        <v>-6.0649564419099501E-2</v>
      </c>
      <c r="AF2973">
        <v>16</v>
      </c>
      <c r="AH2973" t="str">
        <f t="shared" si="141"/>
        <v>Asarganj</v>
      </c>
      <c r="AJ2973" s="72">
        <v>0</v>
      </c>
      <c r="AK2973" s="72"/>
      <c r="AL2973" s="72"/>
      <c r="AM2973" s="72"/>
    </row>
    <row r="2974" spans="1:39" x14ac:dyDescent="0.25">
      <c r="A2974" s="37" t="s">
        <v>62</v>
      </c>
      <c r="B2974" s="66" t="s">
        <v>1644</v>
      </c>
      <c r="C2974" s="4">
        <v>1003</v>
      </c>
      <c r="D2974" s="41" t="s">
        <v>139</v>
      </c>
      <c r="E2974" s="41">
        <v>10030038</v>
      </c>
      <c r="F2974" s="85" t="s">
        <v>164</v>
      </c>
      <c r="G2974" s="39" t="s">
        <v>93</v>
      </c>
      <c r="H2974" s="52" t="s">
        <v>94</v>
      </c>
      <c r="I2974" s="52">
        <v>579.75</v>
      </c>
      <c r="J2974" s="49">
        <v>25422.336005775003</v>
      </c>
      <c r="K2974" s="58">
        <v>622.31999999999982</v>
      </c>
      <c r="L2974" s="58">
        <v>31694.021114240837</v>
      </c>
      <c r="M2974" s="58">
        <v>0</v>
      </c>
      <c r="N2974" s="58">
        <v>0</v>
      </c>
      <c r="O2974" s="58">
        <v>622.31999999999982</v>
      </c>
      <c r="P2974" s="53">
        <v>31694.021114240837</v>
      </c>
      <c r="Q2974" s="65">
        <v>25422.336005775003</v>
      </c>
      <c r="R2974" s="65">
        <v>0</v>
      </c>
      <c r="S2974" s="65">
        <v>0</v>
      </c>
      <c r="T2974" s="65">
        <v>6271.6851084658338</v>
      </c>
      <c r="U2974" s="58">
        <v>0</v>
      </c>
      <c r="V2974" s="65">
        <v>0</v>
      </c>
      <c r="W2974" s="65">
        <v>0</v>
      </c>
      <c r="X2974" s="65">
        <v>25422</v>
      </c>
      <c r="Y2974" s="65">
        <v>0</v>
      </c>
      <c r="Z2974" s="51">
        <v>0</v>
      </c>
      <c r="AA2974" s="51">
        <v>0</v>
      </c>
      <c r="AB2974" s="102">
        <v>0</v>
      </c>
      <c r="AC2974" s="81">
        <f t="shared" si="142"/>
        <v>105.46048830338748</v>
      </c>
      <c r="AD2974" s="82">
        <f t="shared" si="143"/>
        <v>82.821428571428569</v>
      </c>
      <c r="AE2974" s="218">
        <v>-0.24669979607857995</v>
      </c>
      <c r="AF2974">
        <v>18</v>
      </c>
      <c r="AH2974" t="str">
        <f t="shared" si="141"/>
        <v>Asarganj</v>
      </c>
      <c r="AJ2974" s="72">
        <v>0</v>
      </c>
      <c r="AK2974" s="72"/>
      <c r="AL2974" s="72"/>
      <c r="AM2974" s="72"/>
    </row>
    <row r="2975" spans="1:39" x14ac:dyDescent="0.25">
      <c r="A2975" s="37" t="s">
        <v>62</v>
      </c>
      <c r="B2975" s="66" t="s">
        <v>1644</v>
      </c>
      <c r="C2975" s="4">
        <v>1003</v>
      </c>
      <c r="D2975" s="41" t="s">
        <v>139</v>
      </c>
      <c r="E2975" s="41">
        <v>10030040</v>
      </c>
      <c r="F2975" s="85" t="s">
        <v>165</v>
      </c>
      <c r="G2975" s="39" t="s">
        <v>635</v>
      </c>
      <c r="H2975" s="52" t="s">
        <v>99</v>
      </c>
      <c r="I2975" s="52">
        <v>355.05</v>
      </c>
      <c r="J2975" s="49">
        <v>15561.052409475002</v>
      </c>
      <c r="K2975" s="58">
        <v>0</v>
      </c>
      <c r="L2975" s="58">
        <v>0</v>
      </c>
      <c r="M2975" s="58">
        <v>0</v>
      </c>
      <c r="N2975" s="58">
        <v>0</v>
      </c>
      <c r="O2975" s="58">
        <v>0</v>
      </c>
      <c r="P2975" s="53">
        <v>0</v>
      </c>
      <c r="Q2975" s="65">
        <v>15561.052409475002</v>
      </c>
      <c r="R2975" s="65">
        <v>0</v>
      </c>
      <c r="S2975" s="65">
        <v>0</v>
      </c>
      <c r="T2975" s="65">
        <v>0</v>
      </c>
      <c r="U2975" s="58">
        <v>0</v>
      </c>
      <c r="V2975" s="65">
        <v>0</v>
      </c>
      <c r="W2975" s="65">
        <v>0</v>
      </c>
      <c r="X2975" s="65">
        <v>0</v>
      </c>
      <c r="Y2975" s="65">
        <v>0</v>
      </c>
      <c r="Z2975" s="51">
        <v>15561.052409475002</v>
      </c>
      <c r="AA2975" s="51">
        <v>0</v>
      </c>
      <c r="AB2975" s="102" t="s">
        <v>68</v>
      </c>
      <c r="AC2975" s="81">
        <f t="shared" si="142"/>
        <v>302.36783712989165</v>
      </c>
      <c r="AD2975" s="82">
        <f t="shared" si="143"/>
        <v>50.721428571428575</v>
      </c>
      <c r="AE2975" s="218">
        <v>0</v>
      </c>
      <c r="AF2975">
        <v>0</v>
      </c>
      <c r="AH2975" t="str">
        <f t="shared" si="141"/>
        <v>Asarganj</v>
      </c>
      <c r="AJ2975" s="72">
        <v>0</v>
      </c>
      <c r="AK2975" s="72"/>
      <c r="AL2975" s="72"/>
      <c r="AM2975" s="72"/>
    </row>
    <row r="2976" spans="1:39" x14ac:dyDescent="0.25">
      <c r="A2976" s="37" t="s">
        <v>62</v>
      </c>
      <c r="B2976" s="66" t="s">
        <v>1644</v>
      </c>
      <c r="C2976" s="4">
        <v>1003</v>
      </c>
      <c r="D2976" s="41" t="s">
        <v>139</v>
      </c>
      <c r="E2976" s="41">
        <v>10030041</v>
      </c>
      <c r="F2976" s="85" t="s">
        <v>166</v>
      </c>
      <c r="G2976" s="39" t="s">
        <v>635</v>
      </c>
      <c r="H2976" s="52" t="s">
        <v>99</v>
      </c>
      <c r="I2976" s="52">
        <v>1207.25</v>
      </c>
      <c r="J2976" s="49">
        <v>46366.062079230011</v>
      </c>
      <c r="K2976" s="58">
        <v>0</v>
      </c>
      <c r="L2976" s="58">
        <v>0</v>
      </c>
      <c r="M2976" s="58">
        <v>0</v>
      </c>
      <c r="N2976" s="58">
        <v>0</v>
      </c>
      <c r="O2976" s="58">
        <v>0</v>
      </c>
      <c r="P2976" s="53">
        <v>0</v>
      </c>
      <c r="Q2976" s="65">
        <v>46366.062079230011</v>
      </c>
      <c r="R2976" s="65">
        <v>0</v>
      </c>
      <c r="S2976" s="65">
        <v>0</v>
      </c>
      <c r="T2976" s="65">
        <v>0</v>
      </c>
      <c r="U2976" s="58">
        <v>0</v>
      </c>
      <c r="V2976" s="65">
        <v>0</v>
      </c>
      <c r="W2976" s="65">
        <v>0</v>
      </c>
      <c r="X2976" s="65">
        <v>0</v>
      </c>
      <c r="Y2976" s="65">
        <v>0</v>
      </c>
      <c r="Z2976" s="51">
        <v>46366.062079230011</v>
      </c>
      <c r="AA2976" s="51">
        <v>0</v>
      </c>
      <c r="AB2976" s="102" t="s">
        <v>68</v>
      </c>
      <c r="AC2976" s="81">
        <f t="shared" si="142"/>
        <v>0</v>
      </c>
      <c r="AD2976" s="82">
        <f t="shared" si="143"/>
        <v>0</v>
      </c>
      <c r="AE2976" s="218">
        <v>0</v>
      </c>
      <c r="AF2976">
        <v>0</v>
      </c>
      <c r="AH2976" t="str">
        <f t="shared" si="141"/>
        <v>Asarganj</v>
      </c>
      <c r="AJ2976" s="72">
        <v>0</v>
      </c>
      <c r="AK2976" s="72"/>
      <c r="AL2976" s="72"/>
      <c r="AM2976" s="72"/>
    </row>
    <row r="2977" spans="1:39" x14ac:dyDescent="0.25">
      <c r="A2977" s="37" t="s">
        <v>62</v>
      </c>
      <c r="B2977" s="66" t="s">
        <v>1644</v>
      </c>
      <c r="C2977" s="4">
        <v>1003</v>
      </c>
      <c r="D2977" s="41" t="s">
        <v>139</v>
      </c>
      <c r="E2977" s="41">
        <v>10030042</v>
      </c>
      <c r="F2977" s="85" t="s">
        <v>167</v>
      </c>
      <c r="G2977" s="39" t="s">
        <v>635</v>
      </c>
      <c r="H2977" s="52" t="s">
        <v>99</v>
      </c>
      <c r="I2977" s="52">
        <v>700</v>
      </c>
      <c r="J2977" s="49">
        <v>26824.669020000005</v>
      </c>
      <c r="K2977" s="58">
        <v>0</v>
      </c>
      <c r="L2977" s="58">
        <v>0</v>
      </c>
      <c r="M2977" s="58">
        <v>0</v>
      </c>
      <c r="N2977" s="58">
        <v>0</v>
      </c>
      <c r="O2977" s="58">
        <v>0</v>
      </c>
      <c r="P2977" s="53">
        <v>0</v>
      </c>
      <c r="Q2977" s="65">
        <v>26824.669020000005</v>
      </c>
      <c r="R2977" s="65">
        <v>0</v>
      </c>
      <c r="S2977" s="65">
        <v>0</v>
      </c>
      <c r="T2977" s="65">
        <v>0</v>
      </c>
      <c r="U2977" s="58">
        <v>0</v>
      </c>
      <c r="V2977" s="65">
        <v>0</v>
      </c>
      <c r="W2977" s="65">
        <v>0</v>
      </c>
      <c r="X2977" s="65">
        <v>0</v>
      </c>
      <c r="Y2977" s="65">
        <v>0</v>
      </c>
      <c r="Z2977" s="51">
        <v>26824.669020000005</v>
      </c>
      <c r="AA2977" s="51">
        <v>0</v>
      </c>
      <c r="AB2977" s="102" t="s">
        <v>68</v>
      </c>
      <c r="AC2977" s="81">
        <f t="shared" si="142"/>
        <v>0</v>
      </c>
      <c r="AD2977" s="82">
        <f t="shared" si="143"/>
        <v>100</v>
      </c>
      <c r="AE2977" s="218">
        <v>0</v>
      </c>
      <c r="AF2977">
        <v>0</v>
      </c>
      <c r="AH2977" t="str">
        <f t="shared" si="141"/>
        <v>Asarganj</v>
      </c>
      <c r="AJ2977" s="72">
        <v>0</v>
      </c>
      <c r="AK2977" s="72"/>
      <c r="AL2977" s="72"/>
      <c r="AM2977" s="72"/>
    </row>
    <row r="2978" spans="1:39" x14ac:dyDescent="0.25">
      <c r="A2978" s="37" t="s">
        <v>62</v>
      </c>
      <c r="B2978" s="66" t="s">
        <v>1644</v>
      </c>
      <c r="C2978" s="4">
        <v>1003</v>
      </c>
      <c r="D2978" s="41" t="s">
        <v>139</v>
      </c>
      <c r="E2978" s="41">
        <v>10030043</v>
      </c>
      <c r="F2978" s="85" t="s">
        <v>168</v>
      </c>
      <c r="G2978" s="39" t="s">
        <v>635</v>
      </c>
      <c r="H2978" s="52" t="s">
        <v>99</v>
      </c>
      <c r="I2978" s="52">
        <v>11898</v>
      </c>
      <c r="J2978" s="49">
        <v>463405.60649280006</v>
      </c>
      <c r="K2978" s="58">
        <v>0</v>
      </c>
      <c r="L2978" s="58">
        <v>0</v>
      </c>
      <c r="M2978" s="58">
        <v>0</v>
      </c>
      <c r="N2978" s="58">
        <v>0</v>
      </c>
      <c r="O2978" s="58">
        <v>0</v>
      </c>
      <c r="P2978" s="53">
        <v>0</v>
      </c>
      <c r="Q2978" s="65">
        <v>463405.60649280006</v>
      </c>
      <c r="R2978" s="65">
        <v>0</v>
      </c>
      <c r="S2978" s="65">
        <v>0</v>
      </c>
      <c r="T2978" s="65">
        <v>0</v>
      </c>
      <c r="U2978" s="58">
        <v>0</v>
      </c>
      <c r="V2978" s="65">
        <v>0</v>
      </c>
      <c r="W2978" s="65">
        <v>0</v>
      </c>
      <c r="X2978" s="65">
        <v>0</v>
      </c>
      <c r="Y2978" s="65">
        <v>0</v>
      </c>
      <c r="Z2978" s="51">
        <v>463405.60649280006</v>
      </c>
      <c r="AA2978" s="51">
        <v>0</v>
      </c>
      <c r="AB2978" s="102" t="s">
        <v>68</v>
      </c>
      <c r="AC2978" s="81">
        <f t="shared" si="142"/>
        <v>0</v>
      </c>
      <c r="AD2978" s="82">
        <f t="shared" si="143"/>
        <v>0</v>
      </c>
      <c r="AE2978" s="218">
        <v>0</v>
      </c>
      <c r="AF2978">
        <v>0</v>
      </c>
      <c r="AH2978" t="str">
        <f t="shared" si="141"/>
        <v>Asarganj</v>
      </c>
      <c r="AJ2978" s="72">
        <v>0</v>
      </c>
      <c r="AK2978" s="72"/>
      <c r="AL2978" s="72"/>
      <c r="AM2978" s="72"/>
    </row>
    <row r="2979" spans="1:39" x14ac:dyDescent="0.25">
      <c r="A2979" s="37" t="s">
        <v>62</v>
      </c>
      <c r="B2979" s="66" t="s">
        <v>1644</v>
      </c>
      <c r="C2979" s="4">
        <v>1003</v>
      </c>
      <c r="D2979" s="41" t="s">
        <v>139</v>
      </c>
      <c r="E2979" s="41">
        <v>10030044</v>
      </c>
      <c r="F2979" s="85" t="s">
        <v>169</v>
      </c>
      <c r="G2979" s="39" t="s">
        <v>635</v>
      </c>
      <c r="H2979" s="52" t="s">
        <v>99</v>
      </c>
      <c r="I2979" s="52">
        <v>11898</v>
      </c>
      <c r="J2979" s="49">
        <v>463405.60649280006</v>
      </c>
      <c r="K2979" s="58">
        <v>0</v>
      </c>
      <c r="L2979" s="58">
        <v>0</v>
      </c>
      <c r="M2979" s="58">
        <v>0</v>
      </c>
      <c r="N2979" s="58">
        <v>0</v>
      </c>
      <c r="O2979" s="58">
        <v>0</v>
      </c>
      <c r="P2979" s="53">
        <v>0</v>
      </c>
      <c r="Q2979" s="65">
        <v>463405.60649280006</v>
      </c>
      <c r="R2979" s="65">
        <v>0</v>
      </c>
      <c r="S2979" s="65">
        <v>0</v>
      </c>
      <c r="T2979" s="65">
        <v>0</v>
      </c>
      <c r="U2979" s="58">
        <v>0</v>
      </c>
      <c r="V2979" s="65">
        <v>0</v>
      </c>
      <c r="W2979" s="65">
        <v>0</v>
      </c>
      <c r="X2979" s="65">
        <v>0</v>
      </c>
      <c r="Y2979" s="65">
        <v>0</v>
      </c>
      <c r="Z2979" s="51">
        <v>463405.60649280006</v>
      </c>
      <c r="AA2979" s="51">
        <v>0</v>
      </c>
      <c r="AB2979" s="102" t="s">
        <v>68</v>
      </c>
      <c r="AC2979" s="81">
        <f t="shared" si="142"/>
        <v>0</v>
      </c>
      <c r="AD2979" s="82">
        <f t="shared" si="143"/>
        <v>0</v>
      </c>
      <c r="AE2979" s="218">
        <v>0</v>
      </c>
      <c r="AF2979">
        <v>0</v>
      </c>
      <c r="AH2979" t="str">
        <f t="shared" si="141"/>
        <v>Asarganj</v>
      </c>
      <c r="AJ2979" s="72">
        <v>0</v>
      </c>
      <c r="AK2979" s="72"/>
      <c r="AL2979" s="72"/>
      <c r="AM2979" s="72"/>
    </row>
    <row r="2980" spans="1:39" x14ac:dyDescent="0.25">
      <c r="A2980" s="37" t="s">
        <v>62</v>
      </c>
      <c r="B2980" s="66" t="s">
        <v>1644</v>
      </c>
      <c r="C2980" s="4">
        <v>1003</v>
      </c>
      <c r="D2980" s="41" t="s">
        <v>139</v>
      </c>
      <c r="E2980" s="41">
        <v>10030045</v>
      </c>
      <c r="F2980" s="85" t="s">
        <v>170</v>
      </c>
      <c r="G2980" s="39" t="s">
        <v>635</v>
      </c>
      <c r="H2980" s="52" t="s">
        <v>99</v>
      </c>
      <c r="I2980" s="52">
        <v>700</v>
      </c>
      <c r="J2980" s="49">
        <v>26824.669020000005</v>
      </c>
      <c r="K2980" s="58">
        <v>0</v>
      </c>
      <c r="L2980" s="58">
        <v>0</v>
      </c>
      <c r="M2980" s="58">
        <v>0</v>
      </c>
      <c r="N2980" s="58">
        <v>0</v>
      </c>
      <c r="O2980" s="58">
        <v>0</v>
      </c>
      <c r="P2980" s="53">
        <v>0</v>
      </c>
      <c r="Q2980" s="65">
        <v>26824.669020000005</v>
      </c>
      <c r="R2980" s="65">
        <v>0</v>
      </c>
      <c r="S2980" s="65">
        <v>0</v>
      </c>
      <c r="T2980" s="65">
        <v>0</v>
      </c>
      <c r="U2980" s="58">
        <v>0</v>
      </c>
      <c r="V2980" s="65">
        <v>0</v>
      </c>
      <c r="W2980" s="65">
        <v>0</v>
      </c>
      <c r="X2980" s="65">
        <v>0</v>
      </c>
      <c r="Y2980" s="65">
        <v>0</v>
      </c>
      <c r="Z2980" s="51">
        <v>26824.669020000005</v>
      </c>
      <c r="AA2980" s="51">
        <v>0</v>
      </c>
      <c r="AB2980" s="102" t="s">
        <v>68</v>
      </c>
      <c r="AC2980" s="81">
        <f t="shared" si="142"/>
        <v>0</v>
      </c>
      <c r="AD2980" s="82">
        <f t="shared" si="143"/>
        <v>100</v>
      </c>
      <c r="AE2980" s="218">
        <v>0</v>
      </c>
      <c r="AF2980">
        <v>0</v>
      </c>
      <c r="AH2980" t="str">
        <f t="shared" si="141"/>
        <v>Asarganj</v>
      </c>
      <c r="AJ2980" s="72">
        <v>0</v>
      </c>
      <c r="AK2980" s="72"/>
      <c r="AL2980" s="72"/>
      <c r="AM2980" s="72"/>
    </row>
    <row r="2981" spans="1:39" x14ac:dyDescent="0.25">
      <c r="A2981" s="37" t="s">
        <v>62</v>
      </c>
      <c r="B2981" s="66" t="s">
        <v>1644</v>
      </c>
      <c r="C2981" s="4">
        <v>1003</v>
      </c>
      <c r="D2981" s="41" t="s">
        <v>139</v>
      </c>
      <c r="E2981" s="41">
        <v>10030046</v>
      </c>
      <c r="F2981" s="85" t="s">
        <v>171</v>
      </c>
      <c r="G2981" s="39" t="s">
        <v>635</v>
      </c>
      <c r="H2981" s="52" t="s">
        <v>99</v>
      </c>
      <c r="I2981" s="52">
        <v>700</v>
      </c>
      <c r="J2981" s="49">
        <v>26824.669020000005</v>
      </c>
      <c r="K2981" s="58">
        <v>0</v>
      </c>
      <c r="L2981" s="58">
        <v>0</v>
      </c>
      <c r="M2981" s="58">
        <v>0</v>
      </c>
      <c r="N2981" s="58">
        <v>0</v>
      </c>
      <c r="O2981" s="58">
        <v>0</v>
      </c>
      <c r="P2981" s="53">
        <v>0</v>
      </c>
      <c r="Q2981" s="65">
        <v>26824.669020000005</v>
      </c>
      <c r="R2981" s="65">
        <v>0</v>
      </c>
      <c r="S2981" s="65">
        <v>0</v>
      </c>
      <c r="T2981" s="65">
        <v>0</v>
      </c>
      <c r="U2981" s="58">
        <v>0</v>
      </c>
      <c r="V2981" s="65">
        <v>0</v>
      </c>
      <c r="W2981" s="65">
        <v>0</v>
      </c>
      <c r="X2981" s="65">
        <v>0</v>
      </c>
      <c r="Y2981" s="65">
        <v>0</v>
      </c>
      <c r="Z2981" s="51">
        <v>26824.669020000005</v>
      </c>
      <c r="AA2981" s="51">
        <v>0</v>
      </c>
      <c r="AB2981" s="102" t="s">
        <v>68</v>
      </c>
      <c r="AC2981" s="81">
        <f t="shared" si="142"/>
        <v>0</v>
      </c>
      <c r="AD2981" s="82">
        <f t="shared" si="143"/>
        <v>100</v>
      </c>
      <c r="AE2981" s="218">
        <v>0</v>
      </c>
      <c r="AF2981">
        <v>0</v>
      </c>
      <c r="AH2981" t="str">
        <f t="shared" si="141"/>
        <v>Asarganj</v>
      </c>
      <c r="AJ2981" s="72">
        <v>0</v>
      </c>
      <c r="AK2981" s="72"/>
      <c r="AL2981" s="72"/>
      <c r="AM2981" s="72"/>
    </row>
    <row r="2982" spans="1:39" x14ac:dyDescent="0.25">
      <c r="A2982" s="37" t="s">
        <v>62</v>
      </c>
      <c r="B2982" s="66" t="s">
        <v>1644</v>
      </c>
      <c r="C2982" s="4">
        <v>1003</v>
      </c>
      <c r="D2982" s="41" t="s">
        <v>139</v>
      </c>
      <c r="E2982" s="41">
        <v>10030047</v>
      </c>
      <c r="F2982" s="85" t="s">
        <v>172</v>
      </c>
      <c r="G2982" s="39" t="s">
        <v>635</v>
      </c>
      <c r="H2982" s="52" t="s">
        <v>99</v>
      </c>
      <c r="I2982" s="52">
        <v>700</v>
      </c>
      <c r="J2982" s="49">
        <v>26824.669020000005</v>
      </c>
      <c r="K2982" s="58">
        <v>0</v>
      </c>
      <c r="L2982" s="58">
        <v>0</v>
      </c>
      <c r="M2982" s="58">
        <v>0</v>
      </c>
      <c r="N2982" s="58">
        <v>0</v>
      </c>
      <c r="O2982" s="58">
        <v>0</v>
      </c>
      <c r="P2982" s="53">
        <v>0</v>
      </c>
      <c r="Q2982" s="65">
        <v>26824.669020000005</v>
      </c>
      <c r="R2982" s="65">
        <v>0</v>
      </c>
      <c r="S2982" s="65">
        <v>0</v>
      </c>
      <c r="T2982" s="65">
        <v>0</v>
      </c>
      <c r="U2982" s="58">
        <v>0</v>
      </c>
      <c r="V2982" s="65">
        <v>0</v>
      </c>
      <c r="W2982" s="65">
        <v>0</v>
      </c>
      <c r="X2982" s="65">
        <v>0</v>
      </c>
      <c r="Y2982" s="65">
        <v>0</v>
      </c>
      <c r="Z2982" s="51">
        <v>26824.669020000005</v>
      </c>
      <c r="AA2982" s="51">
        <v>0</v>
      </c>
      <c r="AB2982" s="102" t="s">
        <v>68</v>
      </c>
      <c r="AC2982" s="81">
        <f t="shared" si="142"/>
        <v>0</v>
      </c>
      <c r="AD2982" s="82">
        <f t="shared" si="143"/>
        <v>100</v>
      </c>
      <c r="AE2982" s="218">
        <v>0</v>
      </c>
      <c r="AF2982">
        <v>0</v>
      </c>
      <c r="AH2982" t="str">
        <f t="shared" si="141"/>
        <v>Asarganj</v>
      </c>
      <c r="AJ2982" s="72">
        <v>0</v>
      </c>
      <c r="AK2982" s="72"/>
      <c r="AL2982" s="72"/>
      <c r="AM2982" s="72"/>
    </row>
    <row r="2983" spans="1:39" x14ac:dyDescent="0.25">
      <c r="A2983" s="37" t="s">
        <v>62</v>
      </c>
      <c r="B2983" s="66" t="s">
        <v>1644</v>
      </c>
      <c r="C2983" s="4">
        <v>1003</v>
      </c>
      <c r="D2983" s="41" t="s">
        <v>139</v>
      </c>
      <c r="E2983" s="41">
        <v>10030048</v>
      </c>
      <c r="F2983" s="85" t="s">
        <v>173</v>
      </c>
      <c r="G2983" s="39" t="s">
        <v>635</v>
      </c>
      <c r="H2983" s="52" t="s">
        <v>99</v>
      </c>
      <c r="I2983" s="52">
        <v>700</v>
      </c>
      <c r="J2983" s="49">
        <v>26824.669020000005</v>
      </c>
      <c r="K2983" s="58">
        <v>0</v>
      </c>
      <c r="L2983" s="58">
        <v>0</v>
      </c>
      <c r="M2983" s="58">
        <v>0</v>
      </c>
      <c r="N2983" s="58">
        <v>0</v>
      </c>
      <c r="O2983" s="58">
        <v>0</v>
      </c>
      <c r="P2983" s="53">
        <v>0</v>
      </c>
      <c r="Q2983" s="65">
        <v>26824.669020000005</v>
      </c>
      <c r="R2983" s="65">
        <v>0</v>
      </c>
      <c r="S2983" s="65">
        <v>0</v>
      </c>
      <c r="T2983" s="65">
        <v>0</v>
      </c>
      <c r="U2983" s="58">
        <v>0</v>
      </c>
      <c r="V2983" s="65">
        <v>0</v>
      </c>
      <c r="W2983" s="65">
        <v>0</v>
      </c>
      <c r="X2983" s="65">
        <v>0</v>
      </c>
      <c r="Y2983" s="65">
        <v>0</v>
      </c>
      <c r="Z2983" s="51">
        <v>26824.669020000005</v>
      </c>
      <c r="AA2983" s="51">
        <v>0</v>
      </c>
      <c r="AB2983" s="102" t="s">
        <v>68</v>
      </c>
      <c r="AC2983" s="81">
        <f t="shared" si="142"/>
        <v>0</v>
      </c>
      <c r="AD2983" s="82">
        <f t="shared" si="143"/>
        <v>100</v>
      </c>
      <c r="AE2983" s="218">
        <v>0</v>
      </c>
      <c r="AF2983">
        <v>0</v>
      </c>
      <c r="AH2983" t="str">
        <f t="shared" si="141"/>
        <v>Asarganj</v>
      </c>
      <c r="AJ2983" s="72">
        <v>0</v>
      </c>
      <c r="AK2983" s="72"/>
      <c r="AL2983" s="72"/>
      <c r="AM2983" s="72"/>
    </row>
    <row r="2984" spans="1:39" x14ac:dyDescent="0.25">
      <c r="A2984" s="37" t="s">
        <v>62</v>
      </c>
      <c r="B2984" s="66" t="s">
        <v>1644</v>
      </c>
      <c r="C2984" s="4">
        <v>1003</v>
      </c>
      <c r="D2984" s="41" t="s">
        <v>139</v>
      </c>
      <c r="E2984" s="41">
        <v>10030049</v>
      </c>
      <c r="F2984" s="85" t="s">
        <v>174</v>
      </c>
      <c r="G2984" s="39" t="s">
        <v>93</v>
      </c>
      <c r="H2984" s="52" t="s">
        <v>94</v>
      </c>
      <c r="I2984" s="52">
        <v>244.24999999999997</v>
      </c>
      <c r="J2984" s="49">
        <v>7575.3929560222514</v>
      </c>
      <c r="K2984" s="58">
        <v>240</v>
      </c>
      <c r="L2984" s="58">
        <v>7108.6273051200005</v>
      </c>
      <c r="M2984" s="58">
        <v>0</v>
      </c>
      <c r="N2984" s="58">
        <v>0</v>
      </c>
      <c r="O2984" s="58">
        <v>240</v>
      </c>
      <c r="P2984" s="53">
        <v>7108.6273051200005</v>
      </c>
      <c r="Q2984" s="65">
        <v>7108.6273051200005</v>
      </c>
      <c r="R2984" s="65">
        <v>0</v>
      </c>
      <c r="S2984" s="65">
        <v>0</v>
      </c>
      <c r="T2984" s="65">
        <v>0</v>
      </c>
      <c r="U2984" s="58">
        <v>0</v>
      </c>
      <c r="V2984" s="65">
        <v>0</v>
      </c>
      <c r="W2984" s="65">
        <v>0</v>
      </c>
      <c r="X2984" s="65">
        <v>7109</v>
      </c>
      <c r="Y2984" s="65">
        <v>0</v>
      </c>
      <c r="Z2984" s="51">
        <v>0</v>
      </c>
      <c r="AA2984" s="51">
        <v>466</v>
      </c>
      <c r="AB2984" s="102">
        <v>0</v>
      </c>
      <c r="AC2984" s="81">
        <f t="shared" si="142"/>
        <v>282.70094900365541</v>
      </c>
      <c r="AD2984" s="82">
        <f t="shared" si="143"/>
        <v>34.892857142857139</v>
      </c>
      <c r="AE2984" s="218">
        <v>6.1616031486681308E-2</v>
      </c>
      <c r="AF2984">
        <v>2</v>
      </c>
      <c r="AH2984" t="str">
        <f t="shared" si="141"/>
        <v>Asarganj</v>
      </c>
      <c r="AJ2984" s="72">
        <v>0</v>
      </c>
      <c r="AK2984" s="72"/>
      <c r="AL2984" s="72"/>
      <c r="AM2984" s="72"/>
    </row>
    <row r="2985" spans="1:39" x14ac:dyDescent="0.25">
      <c r="A2985" s="37" t="s">
        <v>62</v>
      </c>
      <c r="B2985" s="66" t="s">
        <v>1644</v>
      </c>
      <c r="C2985" s="4">
        <v>1003</v>
      </c>
      <c r="D2985" s="41" t="s">
        <v>139</v>
      </c>
      <c r="E2985" s="41">
        <v>10030050</v>
      </c>
      <c r="F2985" s="85" t="s">
        <v>175</v>
      </c>
      <c r="G2985" s="39" t="s">
        <v>93</v>
      </c>
      <c r="H2985" s="52" t="s">
        <v>94</v>
      </c>
      <c r="I2985" s="52">
        <v>473.2999999999999</v>
      </c>
      <c r="J2985" s="49">
        <v>17007.425697923998</v>
      </c>
      <c r="K2985" s="58">
        <v>483.28999999999991</v>
      </c>
      <c r="L2985" s="58">
        <v>18740.454192064502</v>
      </c>
      <c r="M2985" s="58">
        <v>2.96</v>
      </c>
      <c r="N2985" s="58">
        <v>111.12751005599999</v>
      </c>
      <c r="O2985" s="58">
        <v>486.24999999999989</v>
      </c>
      <c r="P2985" s="53">
        <v>18851.581702120504</v>
      </c>
      <c r="Q2985" s="65">
        <v>17007.425697923998</v>
      </c>
      <c r="R2985" s="65">
        <v>0</v>
      </c>
      <c r="S2985" s="65">
        <v>111.12751005599999</v>
      </c>
      <c r="T2985" s="65">
        <v>1844.1560041965058</v>
      </c>
      <c r="U2985" s="58">
        <v>0</v>
      </c>
      <c r="V2985" s="65">
        <v>0</v>
      </c>
      <c r="W2985" s="65">
        <v>0</v>
      </c>
      <c r="X2985" s="65">
        <v>16896</v>
      </c>
      <c r="Y2985" s="65">
        <v>0</v>
      </c>
      <c r="Z2985" s="51">
        <v>0</v>
      </c>
      <c r="AA2985" s="51">
        <v>0</v>
      </c>
      <c r="AB2985" s="102">
        <v>0</v>
      </c>
      <c r="AC2985" s="81">
        <f t="shared" si="142"/>
        <v>162.92344837183069</v>
      </c>
      <c r="AD2985" s="82">
        <f t="shared" si="143"/>
        <v>67.6142857142857</v>
      </c>
      <c r="AE2985" s="218">
        <v>-0.10843240105535852</v>
      </c>
      <c r="AF2985">
        <v>10</v>
      </c>
      <c r="AH2985" t="str">
        <f t="shared" si="141"/>
        <v>Asarganj</v>
      </c>
      <c r="AJ2985" s="72">
        <v>0</v>
      </c>
      <c r="AK2985" s="72"/>
      <c r="AL2985" s="72"/>
      <c r="AM2985" s="72"/>
    </row>
    <row r="2986" spans="1:39" x14ac:dyDescent="0.25">
      <c r="A2986" s="37" t="s">
        <v>62</v>
      </c>
      <c r="B2986" s="66" t="s">
        <v>1644</v>
      </c>
      <c r="C2986" s="4">
        <v>1003</v>
      </c>
      <c r="D2986" s="41" t="s">
        <v>139</v>
      </c>
      <c r="E2986" s="41">
        <v>10030051</v>
      </c>
      <c r="F2986" s="85" t="s">
        <v>176</v>
      </c>
      <c r="G2986" s="39" t="s">
        <v>93</v>
      </c>
      <c r="H2986" s="52" t="s">
        <v>94</v>
      </c>
      <c r="I2986" s="52">
        <v>2981.7</v>
      </c>
      <c r="J2986" s="49">
        <v>110448.88812030002</v>
      </c>
      <c r="K2986" s="58">
        <v>3132.23</v>
      </c>
      <c r="L2986" s="58">
        <v>119929.36909051274</v>
      </c>
      <c r="M2986" s="58">
        <v>59.940000000000012</v>
      </c>
      <c r="N2986" s="58">
        <v>2283.2271930839997</v>
      </c>
      <c r="O2986" s="58">
        <v>3192.17</v>
      </c>
      <c r="P2986" s="53">
        <v>122212.59628359674</v>
      </c>
      <c r="Q2986" s="65">
        <v>110448.88812030002</v>
      </c>
      <c r="R2986" s="65">
        <v>0</v>
      </c>
      <c r="S2986" s="65">
        <v>2283.2271930839997</v>
      </c>
      <c r="T2986" s="65">
        <v>11763.708163296717</v>
      </c>
      <c r="U2986" s="58">
        <v>0</v>
      </c>
      <c r="V2986" s="65">
        <v>0</v>
      </c>
      <c r="W2986" s="65">
        <v>0</v>
      </c>
      <c r="X2986" s="65">
        <v>108166</v>
      </c>
      <c r="Y2986" s="65">
        <v>0</v>
      </c>
      <c r="Z2986" s="51">
        <v>0</v>
      </c>
      <c r="AA2986" s="51">
        <v>0</v>
      </c>
      <c r="AB2986" s="102">
        <v>0</v>
      </c>
      <c r="AC2986" s="81">
        <f t="shared" si="142"/>
        <v>0</v>
      </c>
      <c r="AD2986" s="82">
        <f t="shared" si="143"/>
        <v>0</v>
      </c>
      <c r="AE2986" s="218">
        <v>-0.10650816285704735</v>
      </c>
      <c r="AF2986">
        <v>7</v>
      </c>
      <c r="AH2986" t="str">
        <f t="shared" si="141"/>
        <v>Asarganj</v>
      </c>
      <c r="AJ2986" s="72">
        <v>0</v>
      </c>
      <c r="AK2986" s="72"/>
      <c r="AL2986" s="72"/>
      <c r="AM2986" s="72"/>
    </row>
    <row r="2987" spans="1:39" x14ac:dyDescent="0.25">
      <c r="A2987" s="37" t="s">
        <v>62</v>
      </c>
      <c r="B2987" s="66" t="s">
        <v>1644</v>
      </c>
      <c r="C2987" s="4">
        <v>1003</v>
      </c>
      <c r="D2987" s="41" t="s">
        <v>139</v>
      </c>
      <c r="E2987" s="41">
        <v>10030053</v>
      </c>
      <c r="F2987" s="85" t="s">
        <v>177</v>
      </c>
      <c r="G2987" s="39" t="s">
        <v>93</v>
      </c>
      <c r="H2987" s="52" t="s">
        <v>94</v>
      </c>
      <c r="I2987" s="52">
        <v>125.85000000000002</v>
      </c>
      <c r="J2987" s="49">
        <v>5010.8449921620004</v>
      </c>
      <c r="K2987" s="58">
        <v>124.15</v>
      </c>
      <c r="L2987" s="58">
        <v>4800.1607802059998</v>
      </c>
      <c r="M2987" s="58">
        <v>0.35</v>
      </c>
      <c r="N2987" s="58">
        <v>12.797783460000002</v>
      </c>
      <c r="O2987" s="58">
        <v>124.5</v>
      </c>
      <c r="P2987" s="53">
        <v>4812.9585636659995</v>
      </c>
      <c r="Q2987" s="65">
        <v>4812.9585636659995</v>
      </c>
      <c r="R2987" s="65">
        <v>0</v>
      </c>
      <c r="S2987" s="65">
        <v>12.797783460000002</v>
      </c>
      <c r="T2987" s="65">
        <v>0</v>
      </c>
      <c r="U2987" s="58">
        <v>0</v>
      </c>
      <c r="V2987" s="65">
        <v>0</v>
      </c>
      <c r="W2987" s="65">
        <v>0</v>
      </c>
      <c r="X2987" s="65">
        <v>4800</v>
      </c>
      <c r="Y2987" s="65">
        <v>0</v>
      </c>
      <c r="Z2987" s="51">
        <v>0</v>
      </c>
      <c r="AA2987" s="51">
        <v>198</v>
      </c>
      <c r="AB2987" s="102">
        <v>0</v>
      </c>
      <c r="AC2987" s="81">
        <f t="shared" si="142"/>
        <v>457.20725502579444</v>
      </c>
      <c r="AD2987" s="82">
        <f t="shared" si="143"/>
        <v>17.978571428571431</v>
      </c>
      <c r="AE2987" s="218">
        <v>3.9491628419066303E-2</v>
      </c>
      <c r="AF2987">
        <v>6</v>
      </c>
      <c r="AH2987" t="str">
        <f t="shared" si="141"/>
        <v>Asarganj</v>
      </c>
      <c r="AJ2987" s="72">
        <v>0</v>
      </c>
      <c r="AK2987" s="72"/>
      <c r="AL2987" s="72"/>
      <c r="AM2987" s="72"/>
    </row>
    <row r="2988" spans="1:39" x14ac:dyDescent="0.25">
      <c r="A2988" s="37" t="s">
        <v>62</v>
      </c>
      <c r="B2988" s="66" t="s">
        <v>1644</v>
      </c>
      <c r="C2988" s="4">
        <v>1003</v>
      </c>
      <c r="D2988" s="41" t="s">
        <v>139</v>
      </c>
      <c r="E2988" s="41">
        <v>10030055</v>
      </c>
      <c r="F2988" s="85" t="s">
        <v>178</v>
      </c>
      <c r="G2988" s="39" t="s">
        <v>93</v>
      </c>
      <c r="H2988" s="52" t="s">
        <v>94</v>
      </c>
      <c r="I2988" s="52">
        <v>275.15000000000003</v>
      </c>
      <c r="J2988" s="49">
        <v>11830.035422772604</v>
      </c>
      <c r="K2988" s="58">
        <v>273.57</v>
      </c>
      <c r="L2988" s="58">
        <v>12224.656566754351</v>
      </c>
      <c r="M2988" s="58">
        <v>3.09</v>
      </c>
      <c r="N2988" s="58">
        <v>141.53342250763004</v>
      </c>
      <c r="O2988" s="58">
        <v>276.65999999999997</v>
      </c>
      <c r="P2988" s="53">
        <v>12366.18998926198</v>
      </c>
      <c r="Q2988" s="65">
        <v>11830.035422772604</v>
      </c>
      <c r="R2988" s="65">
        <v>0</v>
      </c>
      <c r="S2988" s="65">
        <v>141.53342250763004</v>
      </c>
      <c r="T2988" s="65">
        <v>536.15456648937652</v>
      </c>
      <c r="U2988" s="58">
        <v>0</v>
      </c>
      <c r="V2988" s="65">
        <v>0</v>
      </c>
      <c r="W2988" s="65">
        <v>0</v>
      </c>
      <c r="X2988" s="65">
        <v>11688</v>
      </c>
      <c r="Y2988" s="65">
        <v>0</v>
      </c>
      <c r="Z2988" s="51">
        <v>0</v>
      </c>
      <c r="AA2988" s="51">
        <v>1</v>
      </c>
      <c r="AB2988" s="102">
        <v>0</v>
      </c>
      <c r="AC2988" s="81">
        <f t="shared" si="142"/>
        <v>365.32731596328841</v>
      </c>
      <c r="AD2988" s="82">
        <f t="shared" si="143"/>
        <v>39.307142857142864</v>
      </c>
      <c r="AE2988" s="218">
        <v>-4.5321467546689566E-2</v>
      </c>
      <c r="AF2988">
        <v>5</v>
      </c>
      <c r="AH2988" t="str">
        <f t="shared" si="141"/>
        <v>Asarganj</v>
      </c>
      <c r="AJ2988" s="72">
        <v>0</v>
      </c>
      <c r="AK2988" s="72"/>
      <c r="AL2988" s="72"/>
      <c r="AM2988" s="72"/>
    </row>
    <row r="2989" spans="1:39" x14ac:dyDescent="0.25">
      <c r="A2989" s="37" t="s">
        <v>62</v>
      </c>
      <c r="B2989" s="66" t="s">
        <v>1644</v>
      </c>
      <c r="C2989" s="4">
        <v>1003</v>
      </c>
      <c r="D2989" s="41" t="s">
        <v>139</v>
      </c>
      <c r="E2989" s="41">
        <v>10030056</v>
      </c>
      <c r="F2989" s="85" t="s">
        <v>179</v>
      </c>
      <c r="G2989" s="39" t="s">
        <v>93</v>
      </c>
      <c r="H2989" s="52" t="s">
        <v>94</v>
      </c>
      <c r="I2989" s="52">
        <v>224.54999999999998</v>
      </c>
      <c r="J2989" s="49">
        <v>8724.8868903472503</v>
      </c>
      <c r="K2989" s="58">
        <v>463</v>
      </c>
      <c r="L2989" s="58">
        <v>25209.418068632003</v>
      </c>
      <c r="M2989" s="58">
        <v>0</v>
      </c>
      <c r="N2989" s="58">
        <v>0</v>
      </c>
      <c r="O2989" s="58">
        <v>463</v>
      </c>
      <c r="P2989" s="53">
        <v>25209.418068632003</v>
      </c>
      <c r="Q2989" s="65">
        <v>8724.8868903472503</v>
      </c>
      <c r="R2989" s="65">
        <v>0</v>
      </c>
      <c r="S2989" s="65">
        <v>0</v>
      </c>
      <c r="T2989" s="65">
        <v>16484.531178284753</v>
      </c>
      <c r="U2989" s="58">
        <v>0</v>
      </c>
      <c r="V2989" s="65">
        <v>500</v>
      </c>
      <c r="W2989" s="65">
        <v>0</v>
      </c>
      <c r="X2989" s="65">
        <v>8225</v>
      </c>
      <c r="Y2989" s="65">
        <v>0</v>
      </c>
      <c r="Z2989" s="51">
        <v>0</v>
      </c>
      <c r="AA2989" s="51">
        <v>0</v>
      </c>
      <c r="AB2989" s="102" t="s">
        <v>68</v>
      </c>
      <c r="AC2989" s="81">
        <f t="shared" si="142"/>
        <v>369.47205272906717</v>
      </c>
      <c r="AD2989" s="82">
        <f t="shared" si="143"/>
        <v>32.078571428571429</v>
      </c>
      <c r="AE2989" s="218">
        <v>-1.8893690411645747</v>
      </c>
      <c r="AF2989">
        <v>1</v>
      </c>
      <c r="AH2989" t="str">
        <f t="shared" si="141"/>
        <v>Asarganj</v>
      </c>
      <c r="AJ2989" s="72">
        <v>500</v>
      </c>
      <c r="AK2989" s="72"/>
      <c r="AL2989" s="72"/>
      <c r="AM2989" s="72"/>
    </row>
    <row r="2990" spans="1:39" x14ac:dyDescent="0.25">
      <c r="A2990" s="37" t="s">
        <v>62</v>
      </c>
      <c r="B2990" s="66" t="s">
        <v>1644</v>
      </c>
      <c r="C2990" s="4">
        <v>1003</v>
      </c>
      <c r="D2990" s="41" t="s">
        <v>139</v>
      </c>
      <c r="E2990" s="41">
        <v>10030059</v>
      </c>
      <c r="F2990" s="85" t="s">
        <v>180</v>
      </c>
      <c r="G2990" s="39" t="s">
        <v>93</v>
      </c>
      <c r="H2990" s="52" t="s">
        <v>94</v>
      </c>
      <c r="I2990" s="52">
        <v>641.35</v>
      </c>
      <c r="J2990" s="49">
        <v>26619.837801255002</v>
      </c>
      <c r="K2990" s="58">
        <v>639.55999999999995</v>
      </c>
      <c r="L2990" s="58">
        <v>28012.139477144985</v>
      </c>
      <c r="M2990" s="58">
        <v>2.0499999999999998</v>
      </c>
      <c r="N2990" s="58">
        <v>91.863502111619994</v>
      </c>
      <c r="O2990" s="58">
        <v>641.6099999999999</v>
      </c>
      <c r="P2990" s="53">
        <v>28104.002979256606</v>
      </c>
      <c r="Q2990" s="65">
        <v>26619.837801255002</v>
      </c>
      <c r="R2990" s="65">
        <v>0</v>
      </c>
      <c r="S2990" s="65">
        <v>91.863502111619994</v>
      </c>
      <c r="T2990" s="65">
        <v>1484.1651780016036</v>
      </c>
      <c r="U2990" s="58">
        <v>0</v>
      </c>
      <c r="V2990" s="65">
        <v>0</v>
      </c>
      <c r="W2990" s="65">
        <v>0</v>
      </c>
      <c r="X2990" s="65">
        <v>26528</v>
      </c>
      <c r="Y2990" s="65">
        <v>0</v>
      </c>
      <c r="Z2990" s="51">
        <v>0</v>
      </c>
      <c r="AA2990" s="51">
        <v>0</v>
      </c>
      <c r="AB2990" s="102">
        <v>0</v>
      </c>
      <c r="AC2990" s="81">
        <f t="shared" si="142"/>
        <v>48.686473440199705</v>
      </c>
      <c r="AD2990" s="82">
        <f t="shared" si="143"/>
        <v>91.621428571428581</v>
      </c>
      <c r="AE2990" s="218">
        <v>-5.575410297697727E-2</v>
      </c>
      <c r="AF2990">
        <v>8</v>
      </c>
      <c r="AH2990" t="str">
        <f t="shared" si="141"/>
        <v>Asarganj</v>
      </c>
      <c r="AJ2990" s="72">
        <v>0</v>
      </c>
      <c r="AK2990" s="72"/>
      <c r="AL2990" s="72"/>
      <c r="AM2990" s="72"/>
    </row>
    <row r="2991" spans="1:39" x14ac:dyDescent="0.25">
      <c r="A2991" s="37" t="s">
        <v>62</v>
      </c>
      <c r="B2991" s="66" t="s">
        <v>1644</v>
      </c>
      <c r="C2991" s="4">
        <v>1003</v>
      </c>
      <c r="D2991" s="41" t="s">
        <v>139</v>
      </c>
      <c r="E2991" s="41">
        <v>10030060</v>
      </c>
      <c r="F2991" s="85" t="s">
        <v>181</v>
      </c>
      <c r="G2991" s="39" t="s">
        <v>93</v>
      </c>
      <c r="H2991" s="52" t="s">
        <v>94</v>
      </c>
      <c r="I2991" s="52">
        <v>826.94999999999993</v>
      </c>
      <c r="J2991" s="49">
        <v>33680.590748265</v>
      </c>
      <c r="K2991" s="58">
        <v>827.2</v>
      </c>
      <c r="L2991" s="58">
        <v>34120.828237830006</v>
      </c>
      <c r="M2991" s="58">
        <v>6</v>
      </c>
      <c r="N2991" s="58">
        <v>246.56782260000003</v>
      </c>
      <c r="O2991" s="58">
        <v>833.2</v>
      </c>
      <c r="P2991" s="53">
        <v>34367.396060430008</v>
      </c>
      <c r="Q2991" s="65">
        <v>33680.590748265</v>
      </c>
      <c r="R2991" s="65">
        <v>0</v>
      </c>
      <c r="S2991" s="65">
        <v>246.56782260000003</v>
      </c>
      <c r="T2991" s="65">
        <v>686.80531216500822</v>
      </c>
      <c r="U2991" s="58">
        <v>0</v>
      </c>
      <c r="V2991" s="65">
        <v>0</v>
      </c>
      <c r="W2991" s="65">
        <v>0</v>
      </c>
      <c r="X2991" s="65">
        <v>33434</v>
      </c>
      <c r="Y2991" s="65">
        <v>0</v>
      </c>
      <c r="Z2991" s="51">
        <v>0</v>
      </c>
      <c r="AA2991" s="51">
        <v>0</v>
      </c>
      <c r="AB2991" s="102">
        <v>0</v>
      </c>
      <c r="AC2991" s="81">
        <f t="shared" si="142"/>
        <v>0</v>
      </c>
      <c r="AD2991" s="82">
        <f t="shared" si="143"/>
        <v>0</v>
      </c>
      <c r="AE2991" s="218">
        <v>-2.0391724043628535E-2</v>
      </c>
      <c r="AF2991">
        <v>2</v>
      </c>
      <c r="AH2991" t="str">
        <f t="shared" si="141"/>
        <v>Asarganj</v>
      </c>
      <c r="AJ2991" s="72">
        <v>0</v>
      </c>
      <c r="AK2991" s="72"/>
      <c r="AL2991" s="72"/>
      <c r="AM2991" s="72"/>
    </row>
    <row r="2992" spans="1:39" x14ac:dyDescent="0.25">
      <c r="A2992" s="37" t="s">
        <v>62</v>
      </c>
      <c r="B2992" s="66" t="s">
        <v>1644</v>
      </c>
      <c r="C2992" s="4">
        <v>1003</v>
      </c>
      <c r="D2992" s="41" t="s">
        <v>139</v>
      </c>
      <c r="E2992" s="41">
        <v>10030061</v>
      </c>
      <c r="F2992" s="85" t="s">
        <v>182</v>
      </c>
      <c r="G2992" s="39" t="s">
        <v>93</v>
      </c>
      <c r="H2992" s="52" t="s">
        <v>94</v>
      </c>
      <c r="I2992" s="52">
        <v>427.40000000000003</v>
      </c>
      <c r="J2992" s="49">
        <v>15489.777049039503</v>
      </c>
      <c r="K2992" s="58">
        <v>414.29999999999995</v>
      </c>
      <c r="L2992" s="58">
        <v>15594.5192730321</v>
      </c>
      <c r="M2992" s="58">
        <v>4.4700000000000006</v>
      </c>
      <c r="N2992" s="58">
        <v>169.44653042400003</v>
      </c>
      <c r="O2992" s="58">
        <v>418.77</v>
      </c>
      <c r="P2992" s="53">
        <v>15763.9658034561</v>
      </c>
      <c r="Q2992" s="65">
        <v>15489.777049039503</v>
      </c>
      <c r="R2992" s="65">
        <v>0</v>
      </c>
      <c r="S2992" s="65">
        <v>169.44653042400003</v>
      </c>
      <c r="T2992" s="65">
        <v>274.18875441659657</v>
      </c>
      <c r="U2992" s="58">
        <v>0</v>
      </c>
      <c r="V2992" s="65">
        <v>0</v>
      </c>
      <c r="W2992" s="65">
        <v>0</v>
      </c>
      <c r="X2992" s="65">
        <v>15320</v>
      </c>
      <c r="Y2992" s="65">
        <v>0</v>
      </c>
      <c r="Z2992" s="51">
        <v>0</v>
      </c>
      <c r="AA2992" s="51">
        <v>0</v>
      </c>
      <c r="AB2992" s="102">
        <v>0</v>
      </c>
      <c r="AC2992" s="81">
        <f t="shared" si="142"/>
        <v>197.59069834198257</v>
      </c>
      <c r="AD2992" s="82">
        <f t="shared" si="143"/>
        <v>61.057142857142864</v>
      </c>
      <c r="AE2992" s="218">
        <v>-1.7701271848428481E-2</v>
      </c>
      <c r="AF2992">
        <v>9</v>
      </c>
      <c r="AH2992" t="str">
        <f t="shared" si="141"/>
        <v>Asarganj</v>
      </c>
      <c r="AJ2992" s="72">
        <v>0</v>
      </c>
      <c r="AK2992" s="72"/>
      <c r="AL2992" s="72"/>
      <c r="AM2992" s="72"/>
    </row>
    <row r="2993" spans="1:39" x14ac:dyDescent="0.25">
      <c r="A2993" s="37" t="s">
        <v>62</v>
      </c>
      <c r="B2993" s="66" t="s">
        <v>1644</v>
      </c>
      <c r="C2993" s="4">
        <v>1003</v>
      </c>
      <c r="D2993" s="41" t="s">
        <v>139</v>
      </c>
      <c r="E2993" s="41">
        <v>10030063</v>
      </c>
      <c r="F2993" s="85" t="s">
        <v>448</v>
      </c>
      <c r="G2993" s="39" t="s">
        <v>93</v>
      </c>
      <c r="H2993" s="52" t="s">
        <v>94</v>
      </c>
      <c r="I2993" s="52">
        <v>1412.7</v>
      </c>
      <c r="J2993" s="49">
        <v>54623.134664264995</v>
      </c>
      <c r="K2993" s="58">
        <v>1485.64</v>
      </c>
      <c r="L2993" s="58">
        <v>57364.087315568708</v>
      </c>
      <c r="M2993" s="58">
        <v>4.26</v>
      </c>
      <c r="N2993" s="58">
        <v>164.41606147200002</v>
      </c>
      <c r="O2993" s="58">
        <v>1489.9</v>
      </c>
      <c r="P2993" s="53">
        <v>57528.50337704071</v>
      </c>
      <c r="Q2993" s="65">
        <v>54623.134664264995</v>
      </c>
      <c r="R2993" s="65">
        <v>0</v>
      </c>
      <c r="S2993" s="65">
        <v>164.41606147200002</v>
      </c>
      <c r="T2993" s="65">
        <v>2905.3687127757148</v>
      </c>
      <c r="U2993" s="58">
        <v>0</v>
      </c>
      <c r="V2993" s="65">
        <v>0</v>
      </c>
      <c r="W2993" s="65">
        <v>0</v>
      </c>
      <c r="X2993" s="65">
        <v>54459</v>
      </c>
      <c r="Y2993" s="65">
        <v>0</v>
      </c>
      <c r="Z2993" s="51">
        <v>0</v>
      </c>
      <c r="AA2993" s="51">
        <v>0</v>
      </c>
      <c r="AB2993" s="102">
        <v>0</v>
      </c>
      <c r="AC2993" s="81">
        <f t="shared" si="142"/>
        <v>0</v>
      </c>
      <c r="AD2993" s="82">
        <f t="shared" si="143"/>
        <v>0</v>
      </c>
      <c r="AE2993" s="218">
        <v>-5.3189344233596982E-2</v>
      </c>
      <c r="AF2993">
        <v>7</v>
      </c>
      <c r="AH2993" t="str">
        <f t="shared" si="141"/>
        <v>Asarganj</v>
      </c>
      <c r="AJ2993" s="72">
        <v>0</v>
      </c>
      <c r="AK2993" s="72"/>
      <c r="AL2993" s="72"/>
      <c r="AM2993" s="72"/>
    </row>
    <row r="2994" spans="1:39" x14ac:dyDescent="0.25">
      <c r="A2994" s="37" t="s">
        <v>62</v>
      </c>
      <c r="B2994" s="66" t="s">
        <v>1644</v>
      </c>
      <c r="C2994" s="4">
        <v>1003</v>
      </c>
      <c r="D2994" s="41" t="s">
        <v>139</v>
      </c>
      <c r="E2994" s="41">
        <v>10030064</v>
      </c>
      <c r="F2994" s="85" t="s">
        <v>438</v>
      </c>
      <c r="G2994" s="39" t="s">
        <v>93</v>
      </c>
      <c r="H2994" s="52" t="s">
        <v>94</v>
      </c>
      <c r="I2994" s="52">
        <v>1177.7</v>
      </c>
      <c r="J2994" s="49">
        <v>48023.601108989998</v>
      </c>
      <c r="K2994" s="58">
        <v>1191.3699999999999</v>
      </c>
      <c r="L2994" s="58">
        <v>54480.642919039463</v>
      </c>
      <c r="M2994" s="58">
        <v>0</v>
      </c>
      <c r="N2994" s="58">
        <v>0</v>
      </c>
      <c r="O2994" s="58">
        <v>1191.3699999999999</v>
      </c>
      <c r="P2994" s="53">
        <v>54480.642919039463</v>
      </c>
      <c r="Q2994" s="65">
        <v>48023.601108989998</v>
      </c>
      <c r="R2994" s="65">
        <v>0</v>
      </c>
      <c r="S2994" s="65">
        <v>0</v>
      </c>
      <c r="T2994" s="65">
        <v>6457.0418100494644</v>
      </c>
      <c r="U2994" s="58">
        <v>0</v>
      </c>
      <c r="V2994" s="65">
        <v>0</v>
      </c>
      <c r="W2994" s="65">
        <v>0</v>
      </c>
      <c r="X2994" s="65">
        <v>48024</v>
      </c>
      <c r="Y2994" s="65">
        <v>0</v>
      </c>
      <c r="Z2994" s="51">
        <v>0</v>
      </c>
      <c r="AA2994" s="51">
        <v>0</v>
      </c>
      <c r="AB2994" s="102">
        <v>0</v>
      </c>
      <c r="AC2994" s="81">
        <f t="shared" si="142"/>
        <v>0</v>
      </c>
      <c r="AD2994" s="82">
        <f t="shared" si="143"/>
        <v>0</v>
      </c>
      <c r="AE2994" s="218">
        <v>-0.13445559393588893</v>
      </c>
      <c r="AF2994">
        <v>3</v>
      </c>
      <c r="AH2994" t="str">
        <f t="shared" si="141"/>
        <v>Asarganj</v>
      </c>
      <c r="AJ2994" s="72">
        <v>0</v>
      </c>
      <c r="AK2994" s="72"/>
      <c r="AL2994" s="72"/>
      <c r="AM2994" s="72"/>
    </row>
    <row r="2995" spans="1:39" x14ac:dyDescent="0.25">
      <c r="A2995" s="37" t="s">
        <v>62</v>
      </c>
      <c r="B2995" s="66" t="s">
        <v>1644</v>
      </c>
      <c r="C2995" s="4">
        <v>1003</v>
      </c>
      <c r="D2995" s="41" t="s">
        <v>139</v>
      </c>
      <c r="E2995" s="41">
        <v>10030065</v>
      </c>
      <c r="F2995" s="85" t="s">
        <v>482</v>
      </c>
      <c r="G2995" s="39" t="s">
        <v>93</v>
      </c>
      <c r="H2995" s="52" t="s">
        <v>94</v>
      </c>
      <c r="I2995" s="52">
        <v>135</v>
      </c>
      <c r="J2995" s="49">
        <v>5051.8824981900007</v>
      </c>
      <c r="K2995" s="58">
        <v>151.66</v>
      </c>
      <c r="L2995" s="58">
        <v>5426.224067079901</v>
      </c>
      <c r="M2995" s="58">
        <v>1.74</v>
      </c>
      <c r="N2995" s="58">
        <v>62.034096408000003</v>
      </c>
      <c r="O2995" s="58">
        <v>153.4</v>
      </c>
      <c r="P2995" s="53">
        <v>5488.2581634879007</v>
      </c>
      <c r="Q2995" s="65">
        <v>5051.8824981900007</v>
      </c>
      <c r="R2995" s="65">
        <v>0</v>
      </c>
      <c r="S2995" s="65">
        <v>62.034096408000003</v>
      </c>
      <c r="T2995" s="65">
        <v>436.37566529790001</v>
      </c>
      <c r="U2995" s="58">
        <v>0</v>
      </c>
      <c r="V2995" s="65">
        <v>500</v>
      </c>
      <c r="W2995" s="65">
        <v>0</v>
      </c>
      <c r="X2995" s="65">
        <v>4490</v>
      </c>
      <c r="Y2995" s="65">
        <v>0</v>
      </c>
      <c r="Z2995" s="51">
        <v>0</v>
      </c>
      <c r="AA2995" s="51">
        <v>0</v>
      </c>
      <c r="AB2995" s="102">
        <v>0</v>
      </c>
      <c r="AC2995" s="81">
        <f t="shared" si="142"/>
        <v>422.86127577442232</v>
      </c>
      <c r="AD2995" s="82">
        <f t="shared" si="143"/>
        <v>19.285714285714285</v>
      </c>
      <c r="AE2995" s="218">
        <v>-8.6378823231586563E-2</v>
      </c>
      <c r="AF2995">
        <v>4</v>
      </c>
      <c r="AH2995" t="str">
        <f t="shared" si="141"/>
        <v>Asarganj</v>
      </c>
      <c r="AJ2995" s="72">
        <v>500</v>
      </c>
      <c r="AK2995" s="72"/>
      <c r="AL2995" s="72"/>
      <c r="AM2995" s="72"/>
    </row>
    <row r="2996" spans="1:39" x14ac:dyDescent="0.25">
      <c r="A2996" s="37" t="s">
        <v>62</v>
      </c>
      <c r="B2996" s="66" t="s">
        <v>1644</v>
      </c>
      <c r="C2996" s="4">
        <v>1003</v>
      </c>
      <c r="D2996" s="41" t="s">
        <v>139</v>
      </c>
      <c r="E2996" s="41">
        <v>10030066</v>
      </c>
      <c r="F2996" s="85" t="s">
        <v>483</v>
      </c>
      <c r="G2996" s="39" t="s">
        <v>93</v>
      </c>
      <c r="H2996" s="52" t="s">
        <v>94</v>
      </c>
      <c r="I2996" s="52">
        <v>2428.6</v>
      </c>
      <c r="J2996" s="49">
        <v>97440.956522444016</v>
      </c>
      <c r="K2996" s="58">
        <v>1273.1299999999999</v>
      </c>
      <c r="L2996" s="58">
        <v>53277.896304538684</v>
      </c>
      <c r="M2996" s="58">
        <v>1193.6599999999996</v>
      </c>
      <c r="N2996" s="58">
        <v>47424.415233868356</v>
      </c>
      <c r="O2996" s="58">
        <v>2466.7899999999995</v>
      </c>
      <c r="P2996" s="53">
        <v>100702.31153840704</v>
      </c>
      <c r="Q2996" s="65">
        <v>97440.956522444016</v>
      </c>
      <c r="R2996" s="65">
        <v>0</v>
      </c>
      <c r="S2996" s="65">
        <v>856.430949639</v>
      </c>
      <c r="T2996" s="65">
        <v>3261.3550159630249</v>
      </c>
      <c r="U2996" s="58">
        <v>0</v>
      </c>
      <c r="V2996" s="65">
        <v>0</v>
      </c>
      <c r="W2996" s="65">
        <v>0</v>
      </c>
      <c r="X2996" s="65">
        <v>50017</v>
      </c>
      <c r="Y2996" s="65">
        <v>46568</v>
      </c>
      <c r="Z2996" s="51">
        <v>0</v>
      </c>
      <c r="AA2996" s="51">
        <v>0</v>
      </c>
      <c r="AB2996" s="102">
        <v>0</v>
      </c>
      <c r="AC2996" s="81">
        <f t="shared" si="142"/>
        <v>0</v>
      </c>
      <c r="AD2996" s="82">
        <f t="shared" si="143"/>
        <v>0</v>
      </c>
      <c r="AE2996" s="218">
        <v>-3.3470063640147277E-2</v>
      </c>
      <c r="AF2996">
        <v>20</v>
      </c>
      <c r="AH2996" t="str">
        <f t="shared" si="141"/>
        <v>Asarganj</v>
      </c>
      <c r="AJ2996" s="72">
        <v>0</v>
      </c>
      <c r="AK2996" s="72"/>
      <c r="AL2996" s="72"/>
      <c r="AM2996" s="72"/>
    </row>
    <row r="2997" spans="1:39" x14ac:dyDescent="0.25">
      <c r="A2997" s="37" t="s">
        <v>62</v>
      </c>
      <c r="B2997" s="66" t="s">
        <v>1644</v>
      </c>
      <c r="C2997" s="4">
        <v>1003</v>
      </c>
      <c r="D2997" s="41" t="s">
        <v>139</v>
      </c>
      <c r="E2997" s="41">
        <v>10030068</v>
      </c>
      <c r="F2997" s="85" t="s">
        <v>1263</v>
      </c>
      <c r="G2997" s="39" t="s">
        <v>93</v>
      </c>
      <c r="H2997" s="52" t="s">
        <v>94</v>
      </c>
      <c r="I2997" s="52">
        <v>1165.5</v>
      </c>
      <c r="J2997" s="49">
        <v>43608.6163074</v>
      </c>
      <c r="K2997" s="58">
        <v>1219.82</v>
      </c>
      <c r="L2997" s="58">
        <v>48051.061550805003</v>
      </c>
      <c r="M2997" s="58">
        <v>38.070000000000007</v>
      </c>
      <c r="N2997" s="58">
        <v>1679.5516519643002</v>
      </c>
      <c r="O2997" s="58">
        <v>1257.8899999999999</v>
      </c>
      <c r="P2997" s="53">
        <v>49730.613202769302</v>
      </c>
      <c r="Q2997" s="65">
        <v>43608.6163074</v>
      </c>
      <c r="R2997" s="65">
        <v>0</v>
      </c>
      <c r="S2997" s="65">
        <v>1679.5516519643002</v>
      </c>
      <c r="T2997" s="65">
        <v>6121.9968953693024</v>
      </c>
      <c r="U2997" s="58">
        <v>0</v>
      </c>
      <c r="V2997" s="65">
        <v>0</v>
      </c>
      <c r="W2997" s="65">
        <v>0</v>
      </c>
      <c r="X2997" s="65">
        <v>41929</v>
      </c>
      <c r="Y2997" s="65">
        <v>0</v>
      </c>
      <c r="Z2997" s="51">
        <v>0</v>
      </c>
      <c r="AA2997" s="51">
        <v>0</v>
      </c>
      <c r="AB2997" s="102">
        <v>0</v>
      </c>
      <c r="AC2997" s="81">
        <f t="shared" si="142"/>
        <v>0</v>
      </c>
      <c r="AD2997" s="82">
        <f t="shared" si="143"/>
        <v>0</v>
      </c>
      <c r="AE2997" s="218">
        <v>-0.14038502969722644</v>
      </c>
      <c r="AF2997">
        <v>3</v>
      </c>
      <c r="AH2997" t="str">
        <f t="shared" si="141"/>
        <v>Asarganj</v>
      </c>
      <c r="AJ2997" s="72">
        <v>0</v>
      </c>
      <c r="AK2997" s="72"/>
      <c r="AL2997" s="72"/>
      <c r="AM2997" s="72"/>
    </row>
    <row r="2998" spans="1:39" x14ac:dyDescent="0.25">
      <c r="A2998" s="37" t="s">
        <v>62</v>
      </c>
      <c r="B2998" s="66" t="s">
        <v>1644</v>
      </c>
      <c r="C2998" s="4">
        <v>1003</v>
      </c>
      <c r="D2998" s="41" t="s">
        <v>139</v>
      </c>
      <c r="E2998" s="41">
        <v>10030069</v>
      </c>
      <c r="F2998" s="85" t="s">
        <v>524</v>
      </c>
      <c r="G2998" s="39" t="s">
        <v>635</v>
      </c>
      <c r="H2998" s="52" t="s">
        <v>99</v>
      </c>
      <c r="I2998" s="52">
        <v>649.65</v>
      </c>
      <c r="J2998" s="49">
        <v>23160.135099960004</v>
      </c>
      <c r="K2998" s="58">
        <v>0</v>
      </c>
      <c r="L2998" s="58">
        <v>0</v>
      </c>
      <c r="M2998" s="58">
        <v>0</v>
      </c>
      <c r="N2998" s="58">
        <v>0</v>
      </c>
      <c r="O2998" s="58">
        <v>0</v>
      </c>
      <c r="P2998" s="53">
        <v>0</v>
      </c>
      <c r="Q2998" s="65">
        <v>23160.135099960004</v>
      </c>
      <c r="R2998" s="65">
        <v>0</v>
      </c>
      <c r="S2998" s="65">
        <v>0</v>
      </c>
      <c r="T2998" s="65">
        <v>0</v>
      </c>
      <c r="U2998" s="58">
        <v>0</v>
      </c>
      <c r="V2998" s="65">
        <v>0</v>
      </c>
      <c r="W2998" s="65">
        <v>0</v>
      </c>
      <c r="X2998" s="65">
        <v>0</v>
      </c>
      <c r="Y2998" s="65">
        <v>0</v>
      </c>
      <c r="Z2998" s="51">
        <v>23160.135099960004</v>
      </c>
      <c r="AA2998" s="51">
        <v>0</v>
      </c>
      <c r="AB2998" s="102">
        <v>0</v>
      </c>
      <c r="AC2998" s="81">
        <f t="shared" si="142"/>
        <v>35.899724537304316</v>
      </c>
      <c r="AD2998" s="82">
        <f t="shared" si="143"/>
        <v>92.80714285714285</v>
      </c>
      <c r="AE2998" s="218">
        <v>0</v>
      </c>
      <c r="AF2998">
        <v>0</v>
      </c>
      <c r="AH2998" t="str">
        <f t="shared" si="141"/>
        <v>Asarganj</v>
      </c>
      <c r="AJ2998" s="72">
        <v>0</v>
      </c>
      <c r="AK2998" s="72"/>
      <c r="AL2998" s="72"/>
      <c r="AM2998" s="72"/>
    </row>
    <row r="2999" spans="1:39" x14ac:dyDescent="0.25">
      <c r="A2999" s="37" t="s">
        <v>62</v>
      </c>
      <c r="B2999" s="66" t="s">
        <v>1644</v>
      </c>
      <c r="C2999" s="4">
        <v>1003</v>
      </c>
      <c r="D2999" s="41" t="s">
        <v>139</v>
      </c>
      <c r="E2999" s="41">
        <v>10030070</v>
      </c>
      <c r="F2999" s="85" t="s">
        <v>571</v>
      </c>
      <c r="G2999" s="39" t="s">
        <v>93</v>
      </c>
      <c r="H2999" s="52" t="s">
        <v>94</v>
      </c>
      <c r="I2999" s="52">
        <v>819.25</v>
      </c>
      <c r="J2999" s="49">
        <v>32712.777002563504</v>
      </c>
      <c r="K2999" s="58">
        <v>844</v>
      </c>
      <c r="L2999" s="58">
        <v>34802.00369640001</v>
      </c>
      <c r="M2999" s="58">
        <v>37</v>
      </c>
      <c r="N2999" s="58">
        <v>1458.1184332950002</v>
      </c>
      <c r="O2999" s="58">
        <v>881</v>
      </c>
      <c r="P2999" s="53">
        <v>36260.12212969501</v>
      </c>
      <c r="Q2999" s="65">
        <v>32712.777002563504</v>
      </c>
      <c r="R2999" s="65">
        <v>0</v>
      </c>
      <c r="S2999" s="65">
        <v>559.43662729500011</v>
      </c>
      <c r="T2999" s="65">
        <v>3547.3451271315062</v>
      </c>
      <c r="U2999" s="58">
        <v>0</v>
      </c>
      <c r="V2999" s="65">
        <v>0</v>
      </c>
      <c r="W2999" s="65">
        <v>0</v>
      </c>
      <c r="X2999" s="65">
        <v>31254</v>
      </c>
      <c r="Y2999" s="65">
        <v>899</v>
      </c>
      <c r="Z2999" s="51">
        <v>0</v>
      </c>
      <c r="AA2999" s="51">
        <v>0</v>
      </c>
      <c r="AB2999" s="102">
        <v>0</v>
      </c>
      <c r="AC2999" s="81">
        <f t="shared" si="142"/>
        <v>0</v>
      </c>
      <c r="AD2999" s="82">
        <f t="shared" si="143"/>
        <v>0</v>
      </c>
      <c r="AE2999" s="218">
        <v>-0.10843913150062198</v>
      </c>
      <c r="AF2999">
        <v>7</v>
      </c>
      <c r="AH2999" t="str">
        <f t="shared" si="141"/>
        <v>Asarganj</v>
      </c>
      <c r="AJ2999" s="72">
        <v>0</v>
      </c>
      <c r="AK2999" s="72"/>
      <c r="AL2999" s="72"/>
      <c r="AM2999" s="72"/>
    </row>
    <row r="3000" spans="1:39" x14ac:dyDescent="0.25">
      <c r="A3000" s="37" t="s">
        <v>62</v>
      </c>
      <c r="B3000" s="66" t="s">
        <v>1644</v>
      </c>
      <c r="C3000" s="4">
        <v>1003</v>
      </c>
      <c r="D3000" s="41" t="s">
        <v>139</v>
      </c>
      <c r="E3000" s="41">
        <v>10030071</v>
      </c>
      <c r="F3000" s="85" t="s">
        <v>572</v>
      </c>
      <c r="G3000" s="39" t="s">
        <v>93</v>
      </c>
      <c r="H3000" s="52" t="s">
        <v>94</v>
      </c>
      <c r="I3000" s="52">
        <v>195.25</v>
      </c>
      <c r="J3000" s="49">
        <v>9335.3595290892008</v>
      </c>
      <c r="K3000" s="58">
        <v>195.64000000000004</v>
      </c>
      <c r="L3000" s="58">
        <v>10120.86862721342</v>
      </c>
      <c r="M3000" s="58">
        <v>0</v>
      </c>
      <c r="N3000" s="58">
        <v>0</v>
      </c>
      <c r="O3000" s="58">
        <v>195.64000000000004</v>
      </c>
      <c r="P3000" s="53">
        <v>10120.86862721342</v>
      </c>
      <c r="Q3000" s="65">
        <v>9335.3595290892008</v>
      </c>
      <c r="R3000" s="65">
        <v>0</v>
      </c>
      <c r="S3000" s="65">
        <v>0</v>
      </c>
      <c r="T3000" s="65">
        <v>785.50909812421924</v>
      </c>
      <c r="U3000" s="58">
        <v>0</v>
      </c>
      <c r="V3000" s="65">
        <v>500</v>
      </c>
      <c r="W3000" s="65">
        <v>0</v>
      </c>
      <c r="X3000" s="65">
        <v>8835</v>
      </c>
      <c r="Y3000" s="65">
        <v>0</v>
      </c>
      <c r="Z3000" s="51">
        <v>0</v>
      </c>
      <c r="AA3000" s="51">
        <v>0</v>
      </c>
      <c r="AB3000" s="102" t="s">
        <v>68</v>
      </c>
      <c r="AC3000" s="81">
        <f t="shared" si="142"/>
        <v>482.66557974983607</v>
      </c>
      <c r="AD3000" s="82">
        <f t="shared" si="143"/>
        <v>27.892857142857142</v>
      </c>
      <c r="AE3000" s="218">
        <v>-8.4143422187067815E-2</v>
      </c>
      <c r="AF3000">
        <v>8</v>
      </c>
      <c r="AH3000" t="str">
        <f t="shared" si="141"/>
        <v>Asarganj</v>
      </c>
      <c r="AJ3000" s="72">
        <v>500</v>
      </c>
      <c r="AK3000" s="72"/>
      <c r="AL3000" s="72"/>
      <c r="AM3000" s="72"/>
    </row>
    <row r="3001" spans="1:39" x14ac:dyDescent="0.25">
      <c r="A3001" s="37" t="s">
        <v>62</v>
      </c>
      <c r="B3001" s="66" t="s">
        <v>1644</v>
      </c>
      <c r="C3001" s="4">
        <v>1003</v>
      </c>
      <c r="D3001" s="41" t="s">
        <v>139</v>
      </c>
      <c r="E3001" s="41">
        <v>10030072</v>
      </c>
      <c r="F3001" s="85" t="s">
        <v>1125</v>
      </c>
      <c r="G3001" s="39" t="s">
        <v>93</v>
      </c>
      <c r="H3001" s="52" t="s">
        <v>94</v>
      </c>
      <c r="I3001" s="52">
        <v>979.69999999999982</v>
      </c>
      <c r="J3001" s="49">
        <v>38251.938619605011</v>
      </c>
      <c r="K3001" s="58">
        <v>975.84</v>
      </c>
      <c r="L3001" s="58">
        <v>38198.002413223097</v>
      </c>
      <c r="M3001" s="58">
        <v>0</v>
      </c>
      <c r="N3001" s="58">
        <v>0</v>
      </c>
      <c r="O3001" s="58">
        <v>975.84</v>
      </c>
      <c r="P3001" s="53">
        <v>38198.002413223097</v>
      </c>
      <c r="Q3001" s="65">
        <v>38198.002413223097</v>
      </c>
      <c r="R3001" s="65">
        <v>0</v>
      </c>
      <c r="S3001" s="65">
        <v>0</v>
      </c>
      <c r="T3001" s="65">
        <v>0</v>
      </c>
      <c r="U3001" s="58">
        <v>0</v>
      </c>
      <c r="V3001" s="65">
        <v>0</v>
      </c>
      <c r="W3001" s="65">
        <v>0</v>
      </c>
      <c r="X3001" s="65">
        <v>38197</v>
      </c>
      <c r="Y3001" s="65">
        <v>0</v>
      </c>
      <c r="Z3001" s="51">
        <v>0</v>
      </c>
      <c r="AA3001" s="51">
        <v>55</v>
      </c>
      <c r="AB3001" s="102">
        <v>0</v>
      </c>
      <c r="AC3001" s="81">
        <f t="shared" si="142"/>
        <v>0</v>
      </c>
      <c r="AD3001" s="82">
        <f t="shared" si="143"/>
        <v>0</v>
      </c>
      <c r="AE3001" s="218">
        <v>1.4100254347441084E-3</v>
      </c>
      <c r="AF3001">
        <v>24</v>
      </c>
      <c r="AH3001" t="str">
        <f t="shared" si="141"/>
        <v>Asarganj</v>
      </c>
      <c r="AJ3001" s="72">
        <v>0</v>
      </c>
      <c r="AK3001" s="72"/>
      <c r="AL3001" s="72"/>
      <c r="AM3001" s="72"/>
    </row>
    <row r="3002" spans="1:39" x14ac:dyDescent="0.25">
      <c r="A3002" s="37" t="s">
        <v>62</v>
      </c>
      <c r="B3002" s="66" t="s">
        <v>1644</v>
      </c>
      <c r="C3002" s="4">
        <v>1003</v>
      </c>
      <c r="D3002" s="41" t="s">
        <v>139</v>
      </c>
      <c r="E3002" s="41">
        <v>10030074</v>
      </c>
      <c r="F3002" s="85" t="s">
        <v>1188</v>
      </c>
      <c r="G3002" s="39" t="s">
        <v>93</v>
      </c>
      <c r="H3002" s="52" t="s">
        <v>94</v>
      </c>
      <c r="I3002" s="52">
        <v>2064.4499999999998</v>
      </c>
      <c r="J3002" s="49">
        <v>82508.947416840005</v>
      </c>
      <c r="K3002" s="58">
        <v>2141.29</v>
      </c>
      <c r="L3002" s="58">
        <v>89519.989211915701</v>
      </c>
      <c r="M3002" s="58">
        <v>29.389999999999997</v>
      </c>
      <c r="N3002" s="58">
        <v>1248.6129602202002</v>
      </c>
      <c r="O3002" s="58">
        <v>2170.6799999999998</v>
      </c>
      <c r="P3002" s="53">
        <v>90768.602172135899</v>
      </c>
      <c r="Q3002" s="65">
        <v>82508.947416840005</v>
      </c>
      <c r="R3002" s="65">
        <v>0</v>
      </c>
      <c r="S3002" s="65">
        <v>1248.6129602202002</v>
      </c>
      <c r="T3002" s="65">
        <v>8259.6547552958946</v>
      </c>
      <c r="U3002" s="58">
        <v>0</v>
      </c>
      <c r="V3002" s="65">
        <v>0</v>
      </c>
      <c r="W3002" s="65">
        <v>0</v>
      </c>
      <c r="X3002" s="65">
        <v>81260</v>
      </c>
      <c r="Y3002" s="65">
        <v>0</v>
      </c>
      <c r="Z3002" s="51">
        <v>0</v>
      </c>
      <c r="AA3002" s="51">
        <v>0</v>
      </c>
      <c r="AB3002" s="102" t="s">
        <v>68</v>
      </c>
      <c r="AC3002" s="81">
        <f t="shared" si="142"/>
        <v>0</v>
      </c>
      <c r="AD3002" s="82">
        <f t="shared" si="143"/>
        <v>0</v>
      </c>
      <c r="AE3002" s="218">
        <v>-0.10010617046861157</v>
      </c>
      <c r="AF3002">
        <v>5</v>
      </c>
      <c r="AH3002" t="str">
        <f t="shared" si="141"/>
        <v>Asarganj</v>
      </c>
      <c r="AJ3002" s="72">
        <v>0</v>
      </c>
      <c r="AK3002" s="72"/>
      <c r="AL3002" s="72"/>
      <c r="AM3002" s="72"/>
    </row>
    <row r="3003" spans="1:39" x14ac:dyDescent="0.25">
      <c r="A3003" s="37" t="s">
        <v>62</v>
      </c>
      <c r="B3003" s="66" t="s">
        <v>1644</v>
      </c>
      <c r="C3003" s="4">
        <v>1003</v>
      </c>
      <c r="D3003" s="41" t="s">
        <v>139</v>
      </c>
      <c r="E3003" s="41">
        <v>10030075</v>
      </c>
      <c r="F3003" s="85" t="s">
        <v>1155</v>
      </c>
      <c r="G3003" s="39" t="s">
        <v>93</v>
      </c>
      <c r="H3003" s="52" t="s">
        <v>94</v>
      </c>
      <c r="I3003" s="52">
        <v>527.35</v>
      </c>
      <c r="J3003" s="49">
        <v>21484.687178460004</v>
      </c>
      <c r="K3003" s="58">
        <v>533.26</v>
      </c>
      <c r="L3003" s="58">
        <v>23561.394130289798</v>
      </c>
      <c r="M3003" s="58">
        <v>0</v>
      </c>
      <c r="N3003" s="58">
        <v>0</v>
      </c>
      <c r="O3003" s="58">
        <v>533.26</v>
      </c>
      <c r="P3003" s="53">
        <v>23561.394130289798</v>
      </c>
      <c r="Q3003" s="65">
        <v>21484.687178460004</v>
      </c>
      <c r="R3003" s="65">
        <v>0</v>
      </c>
      <c r="S3003" s="65">
        <v>0</v>
      </c>
      <c r="T3003" s="65">
        <v>2076.706951829794</v>
      </c>
      <c r="U3003" s="58">
        <v>0</v>
      </c>
      <c r="V3003" s="65">
        <v>0</v>
      </c>
      <c r="W3003" s="65">
        <v>0</v>
      </c>
      <c r="X3003" s="65">
        <v>21485</v>
      </c>
      <c r="Y3003" s="65">
        <v>0</v>
      </c>
      <c r="Z3003" s="51">
        <v>0</v>
      </c>
      <c r="AA3003" s="51">
        <v>0</v>
      </c>
      <c r="AB3003" s="102">
        <v>0</v>
      </c>
      <c r="AC3003" s="81">
        <f t="shared" si="142"/>
        <v>140.67815459793758</v>
      </c>
      <c r="AD3003" s="82">
        <f t="shared" si="143"/>
        <v>75.335714285714289</v>
      </c>
      <c r="AE3003" s="218">
        <v>-9.6659864515590763E-2</v>
      </c>
      <c r="AF3003">
        <v>4</v>
      </c>
      <c r="AH3003" t="str">
        <f t="shared" ref="AH3003:AH3066" si="144">TEXT(D3003,"0000")</f>
        <v>Asarganj</v>
      </c>
      <c r="AJ3003" s="72">
        <v>0</v>
      </c>
      <c r="AK3003" s="72"/>
      <c r="AL3003" s="72"/>
      <c r="AM3003" s="72"/>
    </row>
    <row r="3004" spans="1:39" x14ac:dyDescent="0.25">
      <c r="A3004" s="37" t="s">
        <v>62</v>
      </c>
      <c r="B3004" s="66" t="s">
        <v>1644</v>
      </c>
      <c r="C3004" s="4">
        <v>1003</v>
      </c>
      <c r="D3004" s="41" t="s">
        <v>139</v>
      </c>
      <c r="E3004" s="41">
        <v>10030077</v>
      </c>
      <c r="F3004" s="85" t="s">
        <v>1199</v>
      </c>
      <c r="G3004" s="39" t="s">
        <v>635</v>
      </c>
      <c r="H3004" s="52" t="s">
        <v>99</v>
      </c>
      <c r="I3004" s="52">
        <v>213.15</v>
      </c>
      <c r="J3004" s="49">
        <v>7801.3066620900017</v>
      </c>
      <c r="K3004" s="58">
        <v>0</v>
      </c>
      <c r="L3004" s="58">
        <v>0</v>
      </c>
      <c r="M3004" s="58">
        <v>0</v>
      </c>
      <c r="N3004" s="58">
        <v>0</v>
      </c>
      <c r="O3004" s="58">
        <v>0</v>
      </c>
      <c r="P3004" s="53">
        <v>0</v>
      </c>
      <c r="Q3004" s="65">
        <v>7801.3066620900017</v>
      </c>
      <c r="R3004" s="65">
        <v>0</v>
      </c>
      <c r="S3004" s="65">
        <v>0</v>
      </c>
      <c r="T3004" s="65">
        <v>0</v>
      </c>
      <c r="U3004" s="58">
        <v>7801</v>
      </c>
      <c r="V3004" s="65">
        <v>0</v>
      </c>
      <c r="W3004" s="65">
        <v>0</v>
      </c>
      <c r="X3004" s="65">
        <v>0</v>
      </c>
      <c r="Y3004" s="65">
        <v>0</v>
      </c>
      <c r="Z3004" s="51">
        <v>0.30666209000173694</v>
      </c>
      <c r="AA3004" s="51">
        <v>0</v>
      </c>
      <c r="AB3004" s="102">
        <v>0</v>
      </c>
      <c r="AC3004" s="81">
        <f t="shared" si="142"/>
        <v>356.37496114834789</v>
      </c>
      <c r="AD3004" s="82">
        <f t="shared" si="143"/>
        <v>30.45</v>
      </c>
      <c r="AE3004" s="218">
        <v>0</v>
      </c>
      <c r="AF3004">
        <v>0</v>
      </c>
      <c r="AH3004" t="str">
        <f t="shared" si="144"/>
        <v>Asarganj</v>
      </c>
      <c r="AJ3004" s="72">
        <v>0</v>
      </c>
      <c r="AK3004" s="72"/>
      <c r="AL3004" s="72"/>
      <c r="AM3004" s="72"/>
    </row>
    <row r="3005" spans="1:39" x14ac:dyDescent="0.25">
      <c r="A3005" s="37" t="s">
        <v>62</v>
      </c>
      <c r="B3005" s="66" t="s">
        <v>1644</v>
      </c>
      <c r="C3005" s="4">
        <v>1003</v>
      </c>
      <c r="D3005" s="41" t="s">
        <v>139</v>
      </c>
      <c r="E3005" s="41">
        <v>10030078</v>
      </c>
      <c r="F3005" s="85" t="s">
        <v>1248</v>
      </c>
      <c r="G3005" s="39" t="s">
        <v>93</v>
      </c>
      <c r="H3005" s="52" t="s">
        <v>94</v>
      </c>
      <c r="I3005" s="52">
        <v>546.1</v>
      </c>
      <c r="J3005" s="49">
        <v>21004.279233720001</v>
      </c>
      <c r="K3005" s="58">
        <v>567.15000000000009</v>
      </c>
      <c r="L3005" s="58">
        <v>25094.142010766682</v>
      </c>
      <c r="M3005" s="58">
        <v>0</v>
      </c>
      <c r="N3005" s="58">
        <v>0</v>
      </c>
      <c r="O3005" s="58">
        <v>567.15000000000009</v>
      </c>
      <c r="P3005" s="53">
        <v>25094.142010766682</v>
      </c>
      <c r="Q3005" s="65">
        <v>21004.279233720001</v>
      </c>
      <c r="R3005" s="65">
        <v>0</v>
      </c>
      <c r="S3005" s="65">
        <v>0</v>
      </c>
      <c r="T3005" s="65">
        <v>4089.862777046681</v>
      </c>
      <c r="U3005" s="58">
        <v>0</v>
      </c>
      <c r="V3005" s="65">
        <v>0</v>
      </c>
      <c r="W3005" s="65">
        <v>0</v>
      </c>
      <c r="X3005" s="65">
        <v>21004</v>
      </c>
      <c r="Y3005" s="65">
        <v>0</v>
      </c>
      <c r="Z3005" s="51">
        <v>0</v>
      </c>
      <c r="AA3005" s="51">
        <v>0</v>
      </c>
      <c r="AB3005" s="102">
        <v>0</v>
      </c>
      <c r="AC3005" s="81">
        <f t="shared" si="142"/>
        <v>118.38705636584902</v>
      </c>
      <c r="AD3005" s="82">
        <f t="shared" si="143"/>
        <v>78.01428571428572</v>
      </c>
      <c r="AE3005" s="218">
        <v>-0.19471569252806675</v>
      </c>
      <c r="AF3005">
        <v>5</v>
      </c>
      <c r="AH3005" t="str">
        <f t="shared" si="144"/>
        <v>Asarganj</v>
      </c>
      <c r="AJ3005" s="72">
        <v>0</v>
      </c>
      <c r="AK3005" s="72"/>
      <c r="AL3005" s="72"/>
      <c r="AM3005" s="72"/>
    </row>
    <row r="3006" spans="1:39" x14ac:dyDescent="0.25">
      <c r="A3006" s="37" t="s">
        <v>62</v>
      </c>
      <c r="B3006" s="66" t="s">
        <v>1644</v>
      </c>
      <c r="C3006" s="4">
        <v>1003</v>
      </c>
      <c r="D3006" s="41" t="s">
        <v>139</v>
      </c>
      <c r="E3006" s="41">
        <v>10030079</v>
      </c>
      <c r="F3006" s="85" t="s">
        <v>1257</v>
      </c>
      <c r="G3006" s="39" t="s">
        <v>635</v>
      </c>
      <c r="H3006" s="52" t="s">
        <v>99</v>
      </c>
      <c r="I3006" s="52">
        <v>473.05</v>
      </c>
      <c r="J3006" s="49">
        <v>17387.661555765004</v>
      </c>
      <c r="K3006" s="58">
        <v>0</v>
      </c>
      <c r="L3006" s="58">
        <v>0</v>
      </c>
      <c r="M3006" s="58">
        <v>0</v>
      </c>
      <c r="N3006" s="58">
        <v>0</v>
      </c>
      <c r="O3006" s="58">
        <v>0</v>
      </c>
      <c r="P3006" s="53">
        <v>0</v>
      </c>
      <c r="Q3006" s="65">
        <v>17387.661555765004</v>
      </c>
      <c r="R3006" s="65">
        <v>0</v>
      </c>
      <c r="S3006" s="65">
        <v>0</v>
      </c>
      <c r="T3006" s="65">
        <v>0</v>
      </c>
      <c r="U3006" s="58">
        <v>0</v>
      </c>
      <c r="V3006" s="65">
        <v>0</v>
      </c>
      <c r="W3006" s="65">
        <v>0</v>
      </c>
      <c r="X3006" s="65">
        <v>0</v>
      </c>
      <c r="Y3006" s="65">
        <v>0</v>
      </c>
      <c r="Z3006" s="51">
        <v>17387.661555765004</v>
      </c>
      <c r="AA3006" s="51">
        <v>0</v>
      </c>
      <c r="AB3006" s="102">
        <v>0</v>
      </c>
      <c r="AC3006" s="81">
        <f t="shared" si="142"/>
        <v>166.83774611905153</v>
      </c>
      <c r="AD3006" s="82">
        <f t="shared" si="143"/>
        <v>67.578571428571436</v>
      </c>
      <c r="AE3006" s="218">
        <v>0</v>
      </c>
      <c r="AF3006">
        <v>0</v>
      </c>
      <c r="AH3006" t="str">
        <f t="shared" si="144"/>
        <v>Asarganj</v>
      </c>
      <c r="AJ3006" s="72">
        <v>0</v>
      </c>
      <c r="AK3006" s="72"/>
      <c r="AL3006" s="72"/>
      <c r="AM3006" s="72"/>
    </row>
    <row r="3007" spans="1:39" x14ac:dyDescent="0.25">
      <c r="A3007" s="37" t="s">
        <v>62</v>
      </c>
      <c r="B3007" s="66" t="s">
        <v>1644</v>
      </c>
      <c r="C3007" s="4">
        <v>1003</v>
      </c>
      <c r="D3007" s="41" t="s">
        <v>139</v>
      </c>
      <c r="E3007" s="41">
        <v>10030080</v>
      </c>
      <c r="F3007" s="85" t="s">
        <v>1258</v>
      </c>
      <c r="G3007" s="39" t="s">
        <v>93</v>
      </c>
      <c r="H3007" s="52" t="s">
        <v>94</v>
      </c>
      <c r="I3007" s="52">
        <v>919.15</v>
      </c>
      <c r="J3007" s="49">
        <v>36384.151373130007</v>
      </c>
      <c r="K3007" s="58">
        <v>917.74999999999977</v>
      </c>
      <c r="L3007" s="58">
        <v>35083.705166592663</v>
      </c>
      <c r="M3007" s="58">
        <v>0</v>
      </c>
      <c r="N3007" s="58">
        <v>0</v>
      </c>
      <c r="O3007" s="58">
        <v>917.74999999999977</v>
      </c>
      <c r="P3007" s="53">
        <v>35083.705166592663</v>
      </c>
      <c r="Q3007" s="65">
        <v>35083.705166592663</v>
      </c>
      <c r="R3007" s="65">
        <v>0</v>
      </c>
      <c r="S3007" s="65">
        <v>0</v>
      </c>
      <c r="T3007" s="65">
        <v>0</v>
      </c>
      <c r="U3007" s="58">
        <v>0</v>
      </c>
      <c r="V3007" s="65">
        <v>0</v>
      </c>
      <c r="W3007" s="65">
        <v>0</v>
      </c>
      <c r="X3007" s="65">
        <v>35083</v>
      </c>
      <c r="Y3007" s="65">
        <v>0</v>
      </c>
      <c r="Z3007" s="51">
        <v>0</v>
      </c>
      <c r="AA3007" s="51">
        <v>1301</v>
      </c>
      <c r="AB3007" s="102">
        <v>0</v>
      </c>
      <c r="AC3007" s="81">
        <f t="shared" si="142"/>
        <v>0</v>
      </c>
      <c r="AD3007" s="82">
        <f t="shared" si="143"/>
        <v>0</v>
      </c>
      <c r="AE3007" s="218">
        <v>3.5742106314392001E-2</v>
      </c>
      <c r="AF3007">
        <v>28</v>
      </c>
      <c r="AH3007" t="str">
        <f t="shared" si="144"/>
        <v>Asarganj</v>
      </c>
      <c r="AJ3007" s="72">
        <v>0</v>
      </c>
      <c r="AK3007" s="72"/>
      <c r="AL3007" s="72"/>
      <c r="AM3007" s="72"/>
    </row>
    <row r="3008" spans="1:39" x14ac:dyDescent="0.25">
      <c r="A3008" s="37" t="s">
        <v>62</v>
      </c>
      <c r="B3008" s="66" t="s">
        <v>1644</v>
      </c>
      <c r="C3008" s="4">
        <v>1003</v>
      </c>
      <c r="D3008" s="41" t="s">
        <v>139</v>
      </c>
      <c r="E3008" s="41">
        <v>10030081</v>
      </c>
      <c r="F3008" s="85" t="s">
        <v>1259</v>
      </c>
      <c r="G3008" s="39" t="s">
        <v>635</v>
      </c>
      <c r="H3008" s="52" t="s">
        <v>99</v>
      </c>
      <c r="I3008" s="52">
        <v>202.7</v>
      </c>
      <c r="J3008" s="49">
        <v>7031.9811184139999</v>
      </c>
      <c r="K3008" s="58">
        <v>0</v>
      </c>
      <c r="L3008" s="58">
        <v>0</v>
      </c>
      <c r="M3008" s="58">
        <v>0</v>
      </c>
      <c r="N3008" s="58">
        <v>0</v>
      </c>
      <c r="O3008" s="58">
        <v>0</v>
      </c>
      <c r="P3008" s="53">
        <v>0</v>
      </c>
      <c r="Q3008" s="65">
        <v>7031.9811184139999</v>
      </c>
      <c r="R3008" s="65">
        <v>0</v>
      </c>
      <c r="S3008" s="65">
        <v>0</v>
      </c>
      <c r="T3008" s="65">
        <v>0</v>
      </c>
      <c r="U3008" s="58">
        <v>0</v>
      </c>
      <c r="V3008" s="65">
        <v>0</v>
      </c>
      <c r="W3008" s="65">
        <v>0</v>
      </c>
      <c r="X3008" s="65">
        <v>0</v>
      </c>
      <c r="Y3008" s="65">
        <v>0</v>
      </c>
      <c r="Z3008" s="51">
        <v>7031.9811184139999</v>
      </c>
      <c r="AA3008" s="51">
        <v>0</v>
      </c>
      <c r="AB3008" s="102">
        <v>0</v>
      </c>
      <c r="AC3008" s="81">
        <f t="shared" si="142"/>
        <v>345.04234930313595</v>
      </c>
      <c r="AD3008" s="82">
        <f t="shared" si="143"/>
        <v>28.957142857142856</v>
      </c>
      <c r="AE3008" s="218">
        <v>0</v>
      </c>
      <c r="AF3008">
        <v>0</v>
      </c>
      <c r="AH3008" t="str">
        <f t="shared" si="144"/>
        <v>Asarganj</v>
      </c>
      <c r="AJ3008" s="72">
        <v>0</v>
      </c>
      <c r="AK3008" s="72"/>
      <c r="AL3008" s="72"/>
      <c r="AM3008" s="72"/>
    </row>
    <row r="3009" spans="1:39" x14ac:dyDescent="0.25">
      <c r="A3009" s="37" t="s">
        <v>62</v>
      </c>
      <c r="B3009" s="66" t="s">
        <v>1644</v>
      </c>
      <c r="C3009" s="4">
        <v>1003</v>
      </c>
      <c r="D3009" s="41" t="s">
        <v>139</v>
      </c>
      <c r="E3009" s="41">
        <v>10030082</v>
      </c>
      <c r="F3009" s="85" t="s">
        <v>1324</v>
      </c>
      <c r="G3009" s="39" t="s">
        <v>93</v>
      </c>
      <c r="H3009" s="52" t="s">
        <v>94</v>
      </c>
      <c r="I3009" s="52">
        <v>397.64999999999992</v>
      </c>
      <c r="J3009" s="49">
        <v>15589.072106295002</v>
      </c>
      <c r="K3009" s="58">
        <v>405.11</v>
      </c>
      <c r="L3009" s="58">
        <v>15981.295694388002</v>
      </c>
      <c r="M3009" s="58">
        <v>0</v>
      </c>
      <c r="N3009" s="58">
        <v>0</v>
      </c>
      <c r="O3009" s="58">
        <v>405.11</v>
      </c>
      <c r="P3009" s="53">
        <v>15981.295694388002</v>
      </c>
      <c r="Q3009" s="65">
        <v>15589.072106295002</v>
      </c>
      <c r="R3009" s="65">
        <v>0</v>
      </c>
      <c r="S3009" s="65">
        <v>0</v>
      </c>
      <c r="T3009" s="65">
        <v>392.22358809300022</v>
      </c>
      <c r="U3009" s="58">
        <v>0</v>
      </c>
      <c r="V3009" s="65">
        <v>500</v>
      </c>
      <c r="W3009" s="65">
        <v>0</v>
      </c>
      <c r="X3009" s="65">
        <v>15089</v>
      </c>
      <c r="Y3009" s="65">
        <v>0</v>
      </c>
      <c r="Z3009" s="51">
        <v>0</v>
      </c>
      <c r="AA3009" s="51">
        <v>0</v>
      </c>
      <c r="AB3009" s="102">
        <v>0</v>
      </c>
      <c r="AC3009" s="81">
        <f t="shared" ref="AC3009:AC3072" si="145">((IF(AD3009=0,0,100-AD3009))*7*(J3009/I3009))*2%</f>
        <v>237.06052816991306</v>
      </c>
      <c r="AD3009" s="82">
        <f t="shared" ref="AD3009:AD3072" si="146">IF((I3009/7)&gt;100,0,(I3009/7))</f>
        <v>56.807142857142843</v>
      </c>
      <c r="AE3009" s="218">
        <v>-2.516016254326112E-2</v>
      </c>
      <c r="AF3009">
        <v>1</v>
      </c>
      <c r="AH3009" t="str">
        <f t="shared" si="144"/>
        <v>Asarganj</v>
      </c>
      <c r="AJ3009" s="72">
        <v>500</v>
      </c>
      <c r="AK3009" s="72"/>
      <c r="AL3009" s="72"/>
      <c r="AM3009" s="72"/>
    </row>
    <row r="3010" spans="1:39" x14ac:dyDescent="0.25">
      <c r="A3010" s="37" t="s">
        <v>62</v>
      </c>
      <c r="B3010" s="66" t="s">
        <v>1644</v>
      </c>
      <c r="C3010" s="4">
        <v>1003</v>
      </c>
      <c r="D3010" s="41" t="s">
        <v>139</v>
      </c>
      <c r="E3010" s="41">
        <v>10030083</v>
      </c>
      <c r="F3010" s="85" t="s">
        <v>1631</v>
      </c>
      <c r="G3010" s="39" t="s">
        <v>635</v>
      </c>
      <c r="H3010" s="52" t="s">
        <v>99</v>
      </c>
      <c r="I3010" s="52">
        <v>76.2</v>
      </c>
      <c r="J3010" s="49">
        <v>1945.3541057280004</v>
      </c>
      <c r="K3010" s="58">
        <v>0</v>
      </c>
      <c r="L3010" s="58">
        <v>0</v>
      </c>
      <c r="M3010" s="58">
        <v>0</v>
      </c>
      <c r="N3010" s="58">
        <v>0</v>
      </c>
      <c r="O3010" s="58">
        <v>0</v>
      </c>
      <c r="P3010" s="53">
        <v>0</v>
      </c>
      <c r="Q3010" s="65">
        <v>1945.3541057280004</v>
      </c>
      <c r="R3010" s="65">
        <v>0</v>
      </c>
      <c r="S3010" s="65">
        <v>0</v>
      </c>
      <c r="T3010" s="65">
        <v>0</v>
      </c>
      <c r="U3010" s="58">
        <v>0</v>
      </c>
      <c r="V3010" s="65">
        <v>0</v>
      </c>
      <c r="W3010" s="65">
        <v>0</v>
      </c>
      <c r="X3010" s="65">
        <v>0</v>
      </c>
      <c r="Y3010" s="65">
        <v>0</v>
      </c>
      <c r="Z3010" s="51">
        <v>1945.3541057280004</v>
      </c>
      <c r="AA3010" s="51">
        <v>0</v>
      </c>
      <c r="AB3010" s="102">
        <v>0</v>
      </c>
      <c r="AC3010" s="81">
        <f t="shared" si="145"/>
        <v>318.50705804544003</v>
      </c>
      <c r="AD3010" s="82">
        <f t="shared" si="146"/>
        <v>10.885714285714286</v>
      </c>
      <c r="AE3010" s="218">
        <v>0</v>
      </c>
      <c r="AF3010">
        <v>0</v>
      </c>
      <c r="AH3010" t="str">
        <f t="shared" si="144"/>
        <v>Asarganj</v>
      </c>
      <c r="AJ3010" s="72">
        <v>0</v>
      </c>
      <c r="AK3010" s="72"/>
      <c r="AL3010" s="72"/>
      <c r="AM3010" s="72"/>
    </row>
    <row r="3011" spans="1:39" x14ac:dyDescent="0.25">
      <c r="A3011" s="37" t="s">
        <v>62</v>
      </c>
      <c r="B3011" s="66" t="s">
        <v>1644</v>
      </c>
      <c r="C3011" s="4">
        <v>1003</v>
      </c>
      <c r="D3011" s="41" t="s">
        <v>139</v>
      </c>
      <c r="E3011" s="41">
        <v>10030084</v>
      </c>
      <c r="F3011" s="85" t="s">
        <v>1333</v>
      </c>
      <c r="G3011" s="39" t="s">
        <v>93</v>
      </c>
      <c r="H3011" s="52" t="s">
        <v>94</v>
      </c>
      <c r="I3011" s="52">
        <v>234.84999999999997</v>
      </c>
      <c r="J3011" s="49">
        <v>8434.8799988250012</v>
      </c>
      <c r="K3011" s="58">
        <v>231.46</v>
      </c>
      <c r="L3011" s="58">
        <v>8262.5264529900014</v>
      </c>
      <c r="M3011" s="58">
        <v>0</v>
      </c>
      <c r="N3011" s="58">
        <v>0</v>
      </c>
      <c r="O3011" s="58">
        <v>231.46</v>
      </c>
      <c r="P3011" s="53">
        <v>8262.5264529900014</v>
      </c>
      <c r="Q3011" s="65">
        <v>8262.5264529900014</v>
      </c>
      <c r="R3011" s="65">
        <v>0</v>
      </c>
      <c r="S3011" s="65">
        <v>0</v>
      </c>
      <c r="T3011" s="65">
        <v>0</v>
      </c>
      <c r="U3011" s="58">
        <v>0</v>
      </c>
      <c r="V3011" s="65">
        <v>0</v>
      </c>
      <c r="W3011" s="65">
        <v>0</v>
      </c>
      <c r="X3011" s="65">
        <v>8263</v>
      </c>
      <c r="Y3011" s="65">
        <v>0</v>
      </c>
      <c r="Z3011" s="51">
        <v>0</v>
      </c>
      <c r="AA3011" s="51">
        <v>172</v>
      </c>
      <c r="AB3011" s="102">
        <v>0</v>
      </c>
      <c r="AC3011" s="81">
        <f t="shared" si="145"/>
        <v>334.12684108609329</v>
      </c>
      <c r="AD3011" s="82">
        <f t="shared" si="146"/>
        <v>33.549999999999997</v>
      </c>
      <c r="AE3011" s="218">
        <v>2.0433431875617556E-2</v>
      </c>
      <c r="AF3011">
        <v>1</v>
      </c>
      <c r="AH3011" t="str">
        <f t="shared" si="144"/>
        <v>Asarganj</v>
      </c>
      <c r="AJ3011" s="72">
        <v>0</v>
      </c>
      <c r="AK3011" s="72"/>
      <c r="AL3011" s="72"/>
      <c r="AM3011" s="72"/>
    </row>
    <row r="3012" spans="1:39" x14ac:dyDescent="0.25">
      <c r="A3012" s="37" t="s">
        <v>62</v>
      </c>
      <c r="B3012" s="66" t="s">
        <v>1644</v>
      </c>
      <c r="C3012" s="4">
        <v>1003</v>
      </c>
      <c r="D3012" s="41" t="s">
        <v>139</v>
      </c>
      <c r="E3012" s="41">
        <v>10030085</v>
      </c>
      <c r="F3012" s="85" t="s">
        <v>1334</v>
      </c>
      <c r="G3012" s="39" t="s">
        <v>93</v>
      </c>
      <c r="H3012" s="52" t="s">
        <v>94</v>
      </c>
      <c r="I3012" s="52">
        <v>517.9</v>
      </c>
      <c r="J3012" s="49">
        <v>21997.736409690002</v>
      </c>
      <c r="K3012" s="58">
        <v>545.86000000000013</v>
      </c>
      <c r="L3012" s="58">
        <v>27575.921808273695</v>
      </c>
      <c r="M3012" s="58">
        <v>0</v>
      </c>
      <c r="N3012" s="58">
        <v>0</v>
      </c>
      <c r="O3012" s="58">
        <v>545.86000000000013</v>
      </c>
      <c r="P3012" s="53">
        <v>27575.921808273695</v>
      </c>
      <c r="Q3012" s="65">
        <v>21997.736409690002</v>
      </c>
      <c r="R3012" s="65">
        <v>0</v>
      </c>
      <c r="S3012" s="65">
        <v>0</v>
      </c>
      <c r="T3012" s="65">
        <v>5578.1853985836933</v>
      </c>
      <c r="U3012" s="58">
        <v>0</v>
      </c>
      <c r="V3012" s="65">
        <v>0</v>
      </c>
      <c r="W3012" s="65">
        <v>0</v>
      </c>
      <c r="X3012" s="65">
        <v>21998</v>
      </c>
      <c r="Y3012" s="65">
        <v>0</v>
      </c>
      <c r="Z3012" s="51">
        <v>0</v>
      </c>
      <c r="AA3012" s="51">
        <v>0</v>
      </c>
      <c r="AB3012" s="102">
        <v>0</v>
      </c>
      <c r="AC3012" s="81">
        <f t="shared" si="145"/>
        <v>154.69348523670786</v>
      </c>
      <c r="AD3012" s="82">
        <f t="shared" si="146"/>
        <v>73.98571428571428</v>
      </c>
      <c r="AE3012" s="218">
        <v>-0.25357997271603377</v>
      </c>
      <c r="AF3012">
        <v>1</v>
      </c>
      <c r="AH3012" t="str">
        <f t="shared" si="144"/>
        <v>Asarganj</v>
      </c>
      <c r="AJ3012" s="72">
        <v>0</v>
      </c>
      <c r="AK3012" s="72"/>
      <c r="AL3012" s="72"/>
      <c r="AM3012" s="72"/>
    </row>
    <row r="3013" spans="1:39" x14ac:dyDescent="0.25">
      <c r="A3013" s="37" t="s">
        <v>62</v>
      </c>
      <c r="B3013" s="66" t="s">
        <v>1644</v>
      </c>
      <c r="C3013" s="4">
        <v>1003</v>
      </c>
      <c r="D3013" s="41" t="s">
        <v>139</v>
      </c>
      <c r="E3013" s="41">
        <v>10030086</v>
      </c>
      <c r="F3013" s="85" t="s">
        <v>1575</v>
      </c>
      <c r="G3013" s="39" t="s">
        <v>93</v>
      </c>
      <c r="H3013" s="52" t="s">
        <v>94</v>
      </c>
      <c r="I3013" s="52">
        <v>42.35</v>
      </c>
      <c r="J3013" s="49">
        <v>1890.5448845250005</v>
      </c>
      <c r="K3013" s="58">
        <v>43.84</v>
      </c>
      <c r="L3013" s="58">
        <v>2192.8272413094005</v>
      </c>
      <c r="M3013" s="58">
        <v>0</v>
      </c>
      <c r="N3013" s="58">
        <v>0</v>
      </c>
      <c r="O3013" s="58">
        <v>43.84</v>
      </c>
      <c r="P3013" s="53">
        <v>2192.8272413094005</v>
      </c>
      <c r="Q3013" s="65">
        <v>1890.5448845250005</v>
      </c>
      <c r="R3013" s="65">
        <v>0</v>
      </c>
      <c r="S3013" s="65">
        <v>0</v>
      </c>
      <c r="T3013" s="65">
        <v>302.28235678440001</v>
      </c>
      <c r="U3013" s="58">
        <v>0</v>
      </c>
      <c r="V3013" s="65">
        <v>0</v>
      </c>
      <c r="W3013" s="65">
        <v>0</v>
      </c>
      <c r="X3013" s="65">
        <v>1891</v>
      </c>
      <c r="Y3013" s="65">
        <v>0</v>
      </c>
      <c r="Z3013" s="51">
        <v>0</v>
      </c>
      <c r="AA3013" s="51">
        <v>0</v>
      </c>
      <c r="AB3013" s="102">
        <v>0</v>
      </c>
      <c r="AC3013" s="81">
        <f t="shared" si="145"/>
        <v>587.16261785495465</v>
      </c>
      <c r="AD3013" s="82">
        <f t="shared" si="146"/>
        <v>6.05</v>
      </c>
      <c r="AE3013" s="218">
        <v>-0.15989165835665861</v>
      </c>
      <c r="AF3013">
        <v>1</v>
      </c>
      <c r="AH3013" t="str">
        <f t="shared" si="144"/>
        <v>Asarganj</v>
      </c>
      <c r="AJ3013" s="72">
        <v>0</v>
      </c>
      <c r="AK3013" s="72"/>
      <c r="AL3013" s="72"/>
      <c r="AM3013" s="72"/>
    </row>
    <row r="3014" spans="1:39" x14ac:dyDescent="0.25">
      <c r="A3014" s="37" t="s">
        <v>62</v>
      </c>
      <c r="B3014" s="66" t="s">
        <v>1644</v>
      </c>
      <c r="C3014" s="4">
        <v>1003</v>
      </c>
      <c r="D3014" s="41" t="s">
        <v>139</v>
      </c>
      <c r="E3014" s="41">
        <v>10030087</v>
      </c>
      <c r="F3014" s="85" t="s">
        <v>1576</v>
      </c>
      <c r="G3014" s="39" t="s">
        <v>93</v>
      </c>
      <c r="H3014" s="52" t="s">
        <v>94</v>
      </c>
      <c r="I3014" s="52">
        <v>321.20000000000005</v>
      </c>
      <c r="J3014" s="49">
        <v>13285.650922590003</v>
      </c>
      <c r="K3014" s="58">
        <v>347.44</v>
      </c>
      <c r="L3014" s="58">
        <v>14707.67437900394</v>
      </c>
      <c r="M3014" s="58">
        <v>0</v>
      </c>
      <c r="N3014" s="58">
        <v>0</v>
      </c>
      <c r="O3014" s="58">
        <v>347.44</v>
      </c>
      <c r="P3014" s="53">
        <v>14707.67437900394</v>
      </c>
      <c r="Q3014" s="65">
        <v>13285.650922590003</v>
      </c>
      <c r="R3014" s="65">
        <v>0</v>
      </c>
      <c r="S3014" s="65">
        <v>0</v>
      </c>
      <c r="T3014" s="65">
        <v>1422.0234564139373</v>
      </c>
      <c r="U3014" s="58">
        <v>0</v>
      </c>
      <c r="V3014" s="65">
        <v>0</v>
      </c>
      <c r="W3014" s="65">
        <v>0</v>
      </c>
      <c r="X3014" s="65">
        <v>13286</v>
      </c>
      <c r="Y3014" s="65">
        <v>0</v>
      </c>
      <c r="Z3014" s="51">
        <v>0</v>
      </c>
      <c r="AA3014" s="51">
        <v>0</v>
      </c>
      <c r="AB3014" s="102">
        <v>0</v>
      </c>
      <c r="AC3014" s="81">
        <f t="shared" si="145"/>
        <v>313.36267555897211</v>
      </c>
      <c r="AD3014" s="82">
        <f t="shared" si="146"/>
        <v>45.885714285714293</v>
      </c>
      <c r="AE3014" s="218">
        <v>-0.10703453407736514</v>
      </c>
      <c r="AF3014">
        <v>1</v>
      </c>
      <c r="AH3014" t="str">
        <f t="shared" si="144"/>
        <v>Asarganj</v>
      </c>
      <c r="AJ3014" s="72">
        <v>0</v>
      </c>
      <c r="AK3014" s="72"/>
      <c r="AL3014" s="72"/>
      <c r="AM3014" s="72"/>
    </row>
    <row r="3015" spans="1:39" x14ac:dyDescent="0.25">
      <c r="A3015" s="37" t="s">
        <v>62</v>
      </c>
      <c r="B3015" s="66" t="s">
        <v>1644</v>
      </c>
      <c r="C3015" s="4">
        <v>1003</v>
      </c>
      <c r="D3015" s="41" t="s">
        <v>139</v>
      </c>
      <c r="E3015" s="41">
        <v>10030088</v>
      </c>
      <c r="F3015" s="85" t="s">
        <v>1577</v>
      </c>
      <c r="G3015" s="39" t="s">
        <v>93</v>
      </c>
      <c r="H3015" s="52" t="s">
        <v>94</v>
      </c>
      <c r="I3015" s="52">
        <v>472.45</v>
      </c>
      <c r="J3015" s="49">
        <v>18396.939422562002</v>
      </c>
      <c r="K3015" s="58">
        <v>472.3</v>
      </c>
      <c r="L3015" s="58">
        <v>18355.355613356998</v>
      </c>
      <c r="M3015" s="58">
        <v>0</v>
      </c>
      <c r="N3015" s="58">
        <v>0</v>
      </c>
      <c r="O3015" s="58">
        <v>472.3</v>
      </c>
      <c r="P3015" s="53">
        <v>18355.355613356998</v>
      </c>
      <c r="Q3015" s="65">
        <v>18355.355613356998</v>
      </c>
      <c r="R3015" s="65">
        <v>0</v>
      </c>
      <c r="S3015" s="65">
        <v>0</v>
      </c>
      <c r="T3015" s="65">
        <v>0</v>
      </c>
      <c r="U3015" s="58">
        <v>0</v>
      </c>
      <c r="V3015" s="65">
        <v>0</v>
      </c>
      <c r="W3015" s="65">
        <v>0</v>
      </c>
      <c r="X3015" s="65">
        <v>18355</v>
      </c>
      <c r="Y3015" s="65">
        <v>0</v>
      </c>
      <c r="Z3015" s="51">
        <v>0</v>
      </c>
      <c r="AA3015" s="51">
        <v>42</v>
      </c>
      <c r="AB3015" s="102">
        <v>0</v>
      </c>
      <c r="AC3015" s="81">
        <f t="shared" si="145"/>
        <v>177.21340102038238</v>
      </c>
      <c r="AD3015" s="82">
        <f t="shared" si="146"/>
        <v>67.492857142857147</v>
      </c>
      <c r="AE3015" s="218">
        <v>2.2603656102712995E-3</v>
      </c>
      <c r="AF3015">
        <v>1</v>
      </c>
      <c r="AH3015" t="str">
        <f t="shared" si="144"/>
        <v>Asarganj</v>
      </c>
      <c r="AJ3015" s="72">
        <v>0</v>
      </c>
      <c r="AK3015" s="72"/>
      <c r="AL3015" s="72"/>
      <c r="AM3015" s="72"/>
    </row>
    <row r="3016" spans="1:39" x14ac:dyDescent="0.25">
      <c r="A3016" s="37" t="s">
        <v>62</v>
      </c>
      <c r="B3016" s="66" t="s">
        <v>1644</v>
      </c>
      <c r="C3016" s="4">
        <v>1003</v>
      </c>
      <c r="D3016" s="41" t="s">
        <v>139</v>
      </c>
      <c r="E3016" s="41">
        <v>10030089</v>
      </c>
      <c r="F3016" s="85" t="s">
        <v>1578</v>
      </c>
      <c r="G3016" s="39" t="s">
        <v>93</v>
      </c>
      <c r="H3016" s="52" t="s">
        <v>94</v>
      </c>
      <c r="I3016" s="52">
        <v>846.4</v>
      </c>
      <c r="J3016" s="49">
        <v>38404.417277470609</v>
      </c>
      <c r="K3016" s="58">
        <v>864.35</v>
      </c>
      <c r="L3016" s="58">
        <v>38246.692399201755</v>
      </c>
      <c r="M3016" s="58">
        <v>0</v>
      </c>
      <c r="N3016" s="58">
        <v>0</v>
      </c>
      <c r="O3016" s="58">
        <v>864.35</v>
      </c>
      <c r="P3016" s="53">
        <v>38246.692399201755</v>
      </c>
      <c r="Q3016" s="65">
        <v>38246.692399201755</v>
      </c>
      <c r="R3016" s="65">
        <v>0</v>
      </c>
      <c r="S3016" s="65">
        <v>0</v>
      </c>
      <c r="T3016" s="65">
        <v>0</v>
      </c>
      <c r="U3016" s="58">
        <v>0</v>
      </c>
      <c r="V3016" s="65">
        <v>0</v>
      </c>
      <c r="W3016" s="65">
        <v>0</v>
      </c>
      <c r="X3016" s="65">
        <v>38247</v>
      </c>
      <c r="Y3016" s="65">
        <v>0</v>
      </c>
      <c r="Z3016" s="51">
        <v>0</v>
      </c>
      <c r="AA3016" s="51">
        <v>157</v>
      </c>
      <c r="AB3016" s="102">
        <v>0</v>
      </c>
      <c r="AC3016" s="81">
        <f t="shared" si="145"/>
        <v>0</v>
      </c>
      <c r="AD3016" s="82">
        <f t="shared" si="146"/>
        <v>0</v>
      </c>
      <c r="AE3016" s="218">
        <v>4.1069462694694183E-3</v>
      </c>
      <c r="AF3016">
        <v>2</v>
      </c>
      <c r="AH3016" t="str">
        <f t="shared" si="144"/>
        <v>Asarganj</v>
      </c>
      <c r="AJ3016" s="72">
        <v>0</v>
      </c>
      <c r="AK3016" s="72"/>
      <c r="AL3016" s="72"/>
      <c r="AM3016" s="72"/>
    </row>
    <row r="3017" spans="1:39" x14ac:dyDescent="0.25">
      <c r="A3017" s="37" t="s">
        <v>62</v>
      </c>
      <c r="B3017" s="66" t="s">
        <v>1644</v>
      </c>
      <c r="C3017" s="4">
        <v>1003</v>
      </c>
      <c r="D3017" s="41" t="s">
        <v>139</v>
      </c>
      <c r="E3017" s="41">
        <v>10030090</v>
      </c>
      <c r="F3017" s="85" t="s">
        <v>1579</v>
      </c>
      <c r="G3017" s="39" t="s">
        <v>93</v>
      </c>
      <c r="H3017" s="52" t="s">
        <v>94</v>
      </c>
      <c r="I3017" s="52">
        <v>208.45000000000002</v>
      </c>
      <c r="J3017" s="49">
        <v>8935.4801853033023</v>
      </c>
      <c r="K3017" s="58">
        <v>220.10000000000002</v>
      </c>
      <c r="L3017" s="58">
        <v>10914.048439444372</v>
      </c>
      <c r="M3017" s="58">
        <v>0</v>
      </c>
      <c r="N3017" s="58">
        <v>0</v>
      </c>
      <c r="O3017" s="58">
        <v>220.10000000000002</v>
      </c>
      <c r="P3017" s="53">
        <v>10914.048439444372</v>
      </c>
      <c r="Q3017" s="65">
        <v>8935.4801853033023</v>
      </c>
      <c r="R3017" s="65">
        <v>0</v>
      </c>
      <c r="S3017" s="65">
        <v>0</v>
      </c>
      <c r="T3017" s="65">
        <v>1978.5682541410697</v>
      </c>
      <c r="U3017" s="58">
        <v>0</v>
      </c>
      <c r="V3017" s="65">
        <v>0</v>
      </c>
      <c r="W3017" s="65">
        <v>0</v>
      </c>
      <c r="X3017" s="65">
        <v>8935</v>
      </c>
      <c r="Y3017" s="65">
        <v>0</v>
      </c>
      <c r="Z3017" s="51">
        <v>0</v>
      </c>
      <c r="AA3017" s="51">
        <v>0</v>
      </c>
      <c r="AB3017" s="102">
        <v>0</v>
      </c>
      <c r="AC3017" s="81">
        <f t="shared" si="145"/>
        <v>421.41859295618497</v>
      </c>
      <c r="AD3017" s="82">
        <f t="shared" si="146"/>
        <v>29.778571428571432</v>
      </c>
      <c r="AE3017" s="218">
        <v>-0.22142830750107137</v>
      </c>
      <c r="AF3017">
        <v>1</v>
      </c>
      <c r="AH3017" t="str">
        <f t="shared" si="144"/>
        <v>Asarganj</v>
      </c>
      <c r="AJ3017" s="72">
        <v>0</v>
      </c>
      <c r="AK3017" s="72"/>
      <c r="AL3017" s="72"/>
      <c r="AM3017" s="72"/>
    </row>
    <row r="3018" spans="1:39" x14ac:dyDescent="0.25">
      <c r="A3018" s="37" t="s">
        <v>62</v>
      </c>
      <c r="B3018" s="66" t="s">
        <v>1644</v>
      </c>
      <c r="C3018" s="4">
        <v>1006</v>
      </c>
      <c r="D3018" s="41" t="s">
        <v>183</v>
      </c>
      <c r="E3018" s="41">
        <v>10060002</v>
      </c>
      <c r="F3018" s="85" t="s">
        <v>825</v>
      </c>
      <c r="G3018" s="39" t="s">
        <v>635</v>
      </c>
      <c r="H3018" s="52" t="s">
        <v>99</v>
      </c>
      <c r="I3018" s="52">
        <v>1250.4000000000001</v>
      </c>
      <c r="J3018" s="49">
        <v>49757.121704626807</v>
      </c>
      <c r="K3018" s="58">
        <v>0</v>
      </c>
      <c r="L3018" s="58">
        <v>0</v>
      </c>
      <c r="M3018" s="58">
        <v>0</v>
      </c>
      <c r="N3018" s="58">
        <v>0</v>
      </c>
      <c r="O3018" s="58">
        <v>0</v>
      </c>
      <c r="P3018" s="53">
        <v>0</v>
      </c>
      <c r="Q3018" s="65">
        <v>49757.121704626807</v>
      </c>
      <c r="R3018" s="65">
        <v>0</v>
      </c>
      <c r="S3018" s="65">
        <v>0</v>
      </c>
      <c r="T3018" s="65">
        <v>0</v>
      </c>
      <c r="U3018" s="58">
        <v>0</v>
      </c>
      <c r="V3018" s="65">
        <v>0</v>
      </c>
      <c r="W3018" s="65">
        <v>0</v>
      </c>
      <c r="X3018" s="65">
        <v>0</v>
      </c>
      <c r="Y3018" s="65">
        <v>0</v>
      </c>
      <c r="Z3018" s="51">
        <v>49757.121704626807</v>
      </c>
      <c r="AA3018" s="51">
        <v>0</v>
      </c>
      <c r="AB3018" s="102">
        <v>0</v>
      </c>
      <c r="AC3018" s="81">
        <f t="shared" si="145"/>
        <v>0</v>
      </c>
      <c r="AD3018" s="82">
        <f t="shared" si="146"/>
        <v>0</v>
      </c>
      <c r="AE3018" s="218">
        <v>0</v>
      </c>
      <c r="AF3018">
        <v>0</v>
      </c>
      <c r="AH3018" t="str">
        <f t="shared" si="144"/>
        <v>Sonvarsha</v>
      </c>
      <c r="AJ3018" s="72">
        <v>0</v>
      </c>
      <c r="AK3018" s="72"/>
      <c r="AL3018" s="72"/>
      <c r="AM3018" s="72"/>
    </row>
    <row r="3019" spans="1:39" x14ac:dyDescent="0.25">
      <c r="A3019" s="37" t="s">
        <v>62</v>
      </c>
      <c r="B3019" s="66" t="s">
        <v>1644</v>
      </c>
      <c r="C3019" s="4">
        <v>1006</v>
      </c>
      <c r="D3019" s="41" t="s">
        <v>183</v>
      </c>
      <c r="E3019" s="41">
        <v>10060003</v>
      </c>
      <c r="F3019" s="85" t="s">
        <v>184</v>
      </c>
      <c r="G3019" s="39" t="s">
        <v>635</v>
      </c>
      <c r="H3019" s="52" t="s">
        <v>99</v>
      </c>
      <c r="I3019" s="52">
        <v>1836.1</v>
      </c>
      <c r="J3019" s="49">
        <v>66374.803009302006</v>
      </c>
      <c r="K3019" s="58">
        <v>0</v>
      </c>
      <c r="L3019" s="58">
        <v>0</v>
      </c>
      <c r="M3019" s="58">
        <v>0</v>
      </c>
      <c r="N3019" s="58">
        <v>0</v>
      </c>
      <c r="O3019" s="58">
        <v>0</v>
      </c>
      <c r="P3019" s="53">
        <v>0</v>
      </c>
      <c r="Q3019" s="65">
        <v>66374.803009302006</v>
      </c>
      <c r="R3019" s="65">
        <v>0</v>
      </c>
      <c r="S3019" s="65">
        <v>0</v>
      </c>
      <c r="T3019" s="65">
        <v>0</v>
      </c>
      <c r="U3019" s="58">
        <v>0</v>
      </c>
      <c r="V3019" s="65">
        <v>0</v>
      </c>
      <c r="W3019" s="65">
        <v>0</v>
      </c>
      <c r="X3019" s="65">
        <v>0</v>
      </c>
      <c r="Y3019" s="65">
        <v>0</v>
      </c>
      <c r="Z3019" s="51">
        <v>66374.803009302006</v>
      </c>
      <c r="AA3019" s="51">
        <v>0</v>
      </c>
      <c r="AB3019" s="102">
        <v>0</v>
      </c>
      <c r="AC3019" s="81">
        <f t="shared" si="145"/>
        <v>0</v>
      </c>
      <c r="AD3019" s="82">
        <f t="shared" si="146"/>
        <v>0</v>
      </c>
      <c r="AE3019" s="218">
        <v>0</v>
      </c>
      <c r="AF3019">
        <v>0</v>
      </c>
      <c r="AH3019" t="str">
        <f t="shared" si="144"/>
        <v>Sonvarsha</v>
      </c>
      <c r="AJ3019" s="72">
        <v>0</v>
      </c>
      <c r="AK3019" s="72"/>
      <c r="AL3019" s="72"/>
      <c r="AM3019" s="72"/>
    </row>
    <row r="3020" spans="1:39" x14ac:dyDescent="0.25">
      <c r="A3020" s="37" t="s">
        <v>62</v>
      </c>
      <c r="B3020" s="66" t="s">
        <v>1644</v>
      </c>
      <c r="C3020" s="4">
        <v>1006</v>
      </c>
      <c r="D3020" s="41" t="s">
        <v>183</v>
      </c>
      <c r="E3020" s="41">
        <v>10060004</v>
      </c>
      <c r="F3020" s="85" t="s">
        <v>185</v>
      </c>
      <c r="G3020" s="39" t="s">
        <v>635</v>
      </c>
      <c r="H3020" s="52" t="s">
        <v>99</v>
      </c>
      <c r="I3020" s="52">
        <v>2254.2000000000003</v>
      </c>
      <c r="J3020" s="49">
        <v>86768.233760700008</v>
      </c>
      <c r="K3020" s="58">
        <v>0</v>
      </c>
      <c r="L3020" s="58">
        <v>0</v>
      </c>
      <c r="M3020" s="58">
        <v>0</v>
      </c>
      <c r="N3020" s="58">
        <v>0</v>
      </c>
      <c r="O3020" s="58">
        <v>0</v>
      </c>
      <c r="P3020" s="53">
        <v>0</v>
      </c>
      <c r="Q3020" s="65">
        <v>86768.233760700008</v>
      </c>
      <c r="R3020" s="65">
        <v>0</v>
      </c>
      <c r="S3020" s="65">
        <v>0</v>
      </c>
      <c r="T3020" s="65">
        <v>0</v>
      </c>
      <c r="U3020" s="58">
        <v>10400</v>
      </c>
      <c r="V3020" s="65">
        <v>0</v>
      </c>
      <c r="W3020" s="65">
        <v>0</v>
      </c>
      <c r="X3020" s="65">
        <v>0</v>
      </c>
      <c r="Y3020" s="65">
        <v>0</v>
      </c>
      <c r="Z3020" s="51">
        <v>76368.233760700008</v>
      </c>
      <c r="AA3020" s="51">
        <v>0</v>
      </c>
      <c r="AB3020" s="102">
        <v>0</v>
      </c>
      <c r="AC3020" s="81">
        <f t="shared" si="145"/>
        <v>0</v>
      </c>
      <c r="AD3020" s="82">
        <f t="shared" si="146"/>
        <v>0</v>
      </c>
      <c r="AE3020" s="218">
        <v>0</v>
      </c>
      <c r="AF3020">
        <v>0</v>
      </c>
      <c r="AH3020" t="str">
        <f t="shared" si="144"/>
        <v>Sonvarsha</v>
      </c>
      <c r="AJ3020" s="72">
        <v>0</v>
      </c>
      <c r="AK3020" s="72"/>
      <c r="AL3020" s="72"/>
      <c r="AM3020" s="72"/>
    </row>
    <row r="3021" spans="1:39" x14ac:dyDescent="0.25">
      <c r="A3021" s="37" t="s">
        <v>62</v>
      </c>
      <c r="B3021" s="66" t="s">
        <v>1644</v>
      </c>
      <c r="C3021" s="4">
        <v>1006</v>
      </c>
      <c r="D3021" s="41" t="s">
        <v>183</v>
      </c>
      <c r="E3021" s="41">
        <v>10060005</v>
      </c>
      <c r="F3021" s="85" t="s">
        <v>186</v>
      </c>
      <c r="G3021" s="39" t="s">
        <v>635</v>
      </c>
      <c r="H3021" s="52" t="s">
        <v>99</v>
      </c>
      <c r="I3021" s="52">
        <v>1222.7</v>
      </c>
      <c r="J3021" s="49">
        <v>47413.325992230006</v>
      </c>
      <c r="K3021" s="58">
        <v>0</v>
      </c>
      <c r="L3021" s="58">
        <v>0</v>
      </c>
      <c r="M3021" s="58">
        <v>0</v>
      </c>
      <c r="N3021" s="58">
        <v>0</v>
      </c>
      <c r="O3021" s="58">
        <v>0</v>
      </c>
      <c r="P3021" s="53">
        <v>0</v>
      </c>
      <c r="Q3021" s="65">
        <v>47413.325992230006</v>
      </c>
      <c r="R3021" s="65">
        <v>0</v>
      </c>
      <c r="S3021" s="65">
        <v>0</v>
      </c>
      <c r="T3021" s="65">
        <v>0</v>
      </c>
      <c r="U3021" s="58">
        <v>0</v>
      </c>
      <c r="V3021" s="65">
        <v>0</v>
      </c>
      <c r="W3021" s="65">
        <v>0</v>
      </c>
      <c r="X3021" s="65">
        <v>0</v>
      </c>
      <c r="Y3021" s="65">
        <v>0</v>
      </c>
      <c r="Z3021" s="51">
        <v>47413.325992230006</v>
      </c>
      <c r="AA3021" s="51">
        <v>0</v>
      </c>
      <c r="AB3021" s="102">
        <v>0</v>
      </c>
      <c r="AC3021" s="81">
        <f t="shared" si="145"/>
        <v>0</v>
      </c>
      <c r="AD3021" s="82">
        <f t="shared" si="146"/>
        <v>0</v>
      </c>
      <c r="AE3021" s="218">
        <v>0</v>
      </c>
      <c r="AF3021">
        <v>0</v>
      </c>
      <c r="AH3021" t="str">
        <f t="shared" si="144"/>
        <v>Sonvarsha</v>
      </c>
      <c r="AJ3021" s="72">
        <v>0</v>
      </c>
      <c r="AK3021" s="72"/>
      <c r="AL3021" s="72"/>
      <c r="AM3021" s="72"/>
    </row>
    <row r="3022" spans="1:39" x14ac:dyDescent="0.25">
      <c r="A3022" s="37" t="s">
        <v>62</v>
      </c>
      <c r="B3022" s="66" t="s">
        <v>1644</v>
      </c>
      <c r="C3022" s="4">
        <v>1006</v>
      </c>
      <c r="D3022" s="41" t="s">
        <v>183</v>
      </c>
      <c r="E3022" s="41">
        <v>10060007</v>
      </c>
      <c r="F3022" s="85" t="s">
        <v>187</v>
      </c>
      <c r="G3022" s="39" t="s">
        <v>635</v>
      </c>
      <c r="H3022" s="52" t="s">
        <v>99</v>
      </c>
      <c r="I3022" s="52">
        <v>1005.6999999999999</v>
      </c>
      <c r="J3022" s="49">
        <v>35998.656709116003</v>
      </c>
      <c r="K3022" s="58">
        <v>0</v>
      </c>
      <c r="L3022" s="58">
        <v>0</v>
      </c>
      <c r="M3022" s="58">
        <v>0</v>
      </c>
      <c r="N3022" s="58">
        <v>0</v>
      </c>
      <c r="O3022" s="58">
        <v>0</v>
      </c>
      <c r="P3022" s="53">
        <v>0</v>
      </c>
      <c r="Q3022" s="65">
        <v>35998.656709116003</v>
      </c>
      <c r="R3022" s="65">
        <v>0</v>
      </c>
      <c r="S3022" s="65">
        <v>0</v>
      </c>
      <c r="T3022" s="65">
        <v>0</v>
      </c>
      <c r="U3022" s="58">
        <v>0</v>
      </c>
      <c r="V3022" s="65">
        <v>0</v>
      </c>
      <c r="W3022" s="65">
        <v>0</v>
      </c>
      <c r="X3022" s="65">
        <v>0</v>
      </c>
      <c r="Y3022" s="65">
        <v>0</v>
      </c>
      <c r="Z3022" s="51">
        <v>35998.656709116003</v>
      </c>
      <c r="AA3022" s="51">
        <v>0</v>
      </c>
      <c r="AB3022" s="102">
        <v>0</v>
      </c>
      <c r="AC3022" s="81">
        <f t="shared" si="145"/>
        <v>0</v>
      </c>
      <c r="AD3022" s="82">
        <f t="shared" si="146"/>
        <v>0</v>
      </c>
      <c r="AE3022" s="218">
        <v>0</v>
      </c>
      <c r="AF3022">
        <v>0</v>
      </c>
      <c r="AH3022" t="str">
        <f t="shared" si="144"/>
        <v>Sonvarsha</v>
      </c>
      <c r="AJ3022" s="72">
        <v>0</v>
      </c>
      <c r="AK3022" s="72"/>
      <c r="AL3022" s="72"/>
      <c r="AM3022" s="72"/>
    </row>
    <row r="3023" spans="1:39" x14ac:dyDescent="0.25">
      <c r="A3023" s="37" t="s">
        <v>62</v>
      </c>
      <c r="B3023" s="66" t="s">
        <v>1644</v>
      </c>
      <c r="C3023" s="4">
        <v>1006</v>
      </c>
      <c r="D3023" s="41" t="s">
        <v>183</v>
      </c>
      <c r="E3023" s="41">
        <v>10060008</v>
      </c>
      <c r="F3023" s="85" t="s">
        <v>188</v>
      </c>
      <c r="G3023" s="39" t="s">
        <v>635</v>
      </c>
      <c r="H3023" s="52" t="s">
        <v>99</v>
      </c>
      <c r="I3023" s="52">
        <v>560.6</v>
      </c>
      <c r="J3023" s="49">
        <v>20975.013878261998</v>
      </c>
      <c r="K3023" s="58">
        <v>0</v>
      </c>
      <c r="L3023" s="58">
        <v>0</v>
      </c>
      <c r="M3023" s="58">
        <v>0</v>
      </c>
      <c r="N3023" s="58">
        <v>0</v>
      </c>
      <c r="O3023" s="58">
        <v>0</v>
      </c>
      <c r="P3023" s="53">
        <v>0</v>
      </c>
      <c r="Q3023" s="65">
        <v>20975.013878261998</v>
      </c>
      <c r="R3023" s="65">
        <v>0</v>
      </c>
      <c r="S3023" s="65">
        <v>0</v>
      </c>
      <c r="T3023" s="65">
        <v>0</v>
      </c>
      <c r="U3023" s="58">
        <v>0</v>
      </c>
      <c r="V3023" s="65">
        <v>0</v>
      </c>
      <c r="W3023" s="65">
        <v>0</v>
      </c>
      <c r="X3023" s="65">
        <v>0</v>
      </c>
      <c r="Y3023" s="65">
        <v>0</v>
      </c>
      <c r="Z3023" s="51">
        <v>20975.013878261998</v>
      </c>
      <c r="AA3023" s="51">
        <v>0</v>
      </c>
      <c r="AB3023" s="102">
        <v>0</v>
      </c>
      <c r="AC3023" s="81">
        <f t="shared" si="145"/>
        <v>104.31383997965473</v>
      </c>
      <c r="AD3023" s="82">
        <f t="shared" si="146"/>
        <v>80.085714285714289</v>
      </c>
      <c r="AE3023" s="218">
        <v>0</v>
      </c>
      <c r="AF3023">
        <v>0</v>
      </c>
      <c r="AH3023" t="str">
        <f t="shared" si="144"/>
        <v>Sonvarsha</v>
      </c>
      <c r="AJ3023" s="72">
        <v>0</v>
      </c>
      <c r="AK3023" s="72"/>
      <c r="AL3023" s="72"/>
      <c r="AM3023" s="72"/>
    </row>
    <row r="3024" spans="1:39" x14ac:dyDescent="0.25">
      <c r="A3024" s="37" t="s">
        <v>62</v>
      </c>
      <c r="B3024" s="66" t="s">
        <v>1644</v>
      </c>
      <c r="C3024" s="4">
        <v>1006</v>
      </c>
      <c r="D3024" s="41" t="s">
        <v>183</v>
      </c>
      <c r="E3024" s="41">
        <v>10060009</v>
      </c>
      <c r="F3024" s="85" t="s">
        <v>189</v>
      </c>
      <c r="G3024" s="39" t="s">
        <v>635</v>
      </c>
      <c r="H3024" s="52" t="s">
        <v>99</v>
      </c>
      <c r="I3024" s="52">
        <v>1833.5</v>
      </c>
      <c r="J3024" s="49">
        <v>74817.386604584506</v>
      </c>
      <c r="K3024" s="58">
        <v>0</v>
      </c>
      <c r="L3024" s="58">
        <v>0</v>
      </c>
      <c r="M3024" s="58">
        <v>0</v>
      </c>
      <c r="N3024" s="58">
        <v>0</v>
      </c>
      <c r="O3024" s="58">
        <v>0</v>
      </c>
      <c r="P3024" s="53">
        <v>0</v>
      </c>
      <c r="Q3024" s="65">
        <v>74817.386604584506</v>
      </c>
      <c r="R3024" s="65">
        <v>0</v>
      </c>
      <c r="S3024" s="65">
        <v>0</v>
      </c>
      <c r="T3024" s="65">
        <v>0</v>
      </c>
      <c r="U3024" s="58">
        <v>0</v>
      </c>
      <c r="V3024" s="65">
        <v>0</v>
      </c>
      <c r="W3024" s="65">
        <v>0</v>
      </c>
      <c r="X3024" s="65">
        <v>0</v>
      </c>
      <c r="Y3024" s="65">
        <v>0</v>
      </c>
      <c r="Z3024" s="51">
        <v>74817.386604584506</v>
      </c>
      <c r="AA3024" s="51">
        <v>0</v>
      </c>
      <c r="AB3024" s="102">
        <v>0</v>
      </c>
      <c r="AC3024" s="81">
        <f t="shared" si="145"/>
        <v>0</v>
      </c>
      <c r="AD3024" s="82">
        <f t="shared" si="146"/>
        <v>0</v>
      </c>
      <c r="AE3024" s="218">
        <v>0</v>
      </c>
      <c r="AF3024">
        <v>0</v>
      </c>
      <c r="AH3024" t="str">
        <f t="shared" si="144"/>
        <v>Sonvarsha</v>
      </c>
      <c r="AJ3024" s="72">
        <v>0</v>
      </c>
      <c r="AK3024" s="72"/>
      <c r="AL3024" s="72"/>
      <c r="AM3024" s="72"/>
    </row>
    <row r="3025" spans="1:39" x14ac:dyDescent="0.25">
      <c r="A3025" s="37" t="s">
        <v>62</v>
      </c>
      <c r="B3025" s="66" t="s">
        <v>1644</v>
      </c>
      <c r="C3025" s="4">
        <v>1006</v>
      </c>
      <c r="D3025" s="41" t="s">
        <v>183</v>
      </c>
      <c r="E3025" s="41">
        <v>10060010</v>
      </c>
      <c r="F3025" s="85" t="s">
        <v>190</v>
      </c>
      <c r="G3025" s="39" t="s">
        <v>635</v>
      </c>
      <c r="H3025" s="52" t="s">
        <v>99</v>
      </c>
      <c r="I3025" s="52">
        <v>1845.7000000000005</v>
      </c>
      <c r="J3025" s="49">
        <v>72557.938405358989</v>
      </c>
      <c r="K3025" s="58">
        <v>0</v>
      </c>
      <c r="L3025" s="58">
        <v>0</v>
      </c>
      <c r="M3025" s="58">
        <v>0</v>
      </c>
      <c r="N3025" s="58">
        <v>0</v>
      </c>
      <c r="O3025" s="58">
        <v>0</v>
      </c>
      <c r="P3025" s="53">
        <v>0</v>
      </c>
      <c r="Q3025" s="65">
        <v>72557.938405358989</v>
      </c>
      <c r="R3025" s="65">
        <v>0</v>
      </c>
      <c r="S3025" s="65">
        <v>0</v>
      </c>
      <c r="T3025" s="65">
        <v>0</v>
      </c>
      <c r="U3025" s="58">
        <v>0</v>
      </c>
      <c r="V3025" s="65">
        <v>0</v>
      </c>
      <c r="W3025" s="65">
        <v>0</v>
      </c>
      <c r="X3025" s="65">
        <v>0</v>
      </c>
      <c r="Y3025" s="65">
        <v>0</v>
      </c>
      <c r="Z3025" s="51">
        <v>72557.938405358989</v>
      </c>
      <c r="AA3025" s="51">
        <v>0</v>
      </c>
      <c r="AB3025" s="102">
        <v>0</v>
      </c>
      <c r="AC3025" s="81">
        <f t="shared" si="145"/>
        <v>0</v>
      </c>
      <c r="AD3025" s="82">
        <f t="shared" si="146"/>
        <v>0</v>
      </c>
      <c r="AE3025" s="218">
        <v>0</v>
      </c>
      <c r="AF3025">
        <v>0</v>
      </c>
      <c r="AH3025" t="str">
        <f t="shared" si="144"/>
        <v>Sonvarsha</v>
      </c>
      <c r="AJ3025" s="72">
        <v>0</v>
      </c>
      <c r="AK3025" s="72"/>
      <c r="AL3025" s="72"/>
      <c r="AM3025" s="72"/>
    </row>
    <row r="3026" spans="1:39" x14ac:dyDescent="0.25">
      <c r="A3026" s="37" t="s">
        <v>62</v>
      </c>
      <c r="B3026" s="66" t="s">
        <v>1644</v>
      </c>
      <c r="C3026" s="4">
        <v>1059</v>
      </c>
      <c r="D3026" s="41" t="s">
        <v>1347</v>
      </c>
      <c r="E3026" s="41">
        <v>10060011</v>
      </c>
      <c r="F3026" s="85" t="s">
        <v>191</v>
      </c>
      <c r="G3026" s="39" t="s">
        <v>93</v>
      </c>
      <c r="H3026" s="52" t="s">
        <v>94</v>
      </c>
      <c r="I3026" s="52">
        <v>474.2</v>
      </c>
      <c r="J3026" s="49">
        <v>23004.405040428308</v>
      </c>
      <c r="K3026" s="58">
        <v>481.88</v>
      </c>
      <c r="L3026" s="58">
        <v>22970.286428198844</v>
      </c>
      <c r="M3026" s="58">
        <v>9.740000000000002</v>
      </c>
      <c r="N3026" s="58">
        <v>450.28837207163008</v>
      </c>
      <c r="O3026" s="58">
        <v>491.62</v>
      </c>
      <c r="P3026" s="53">
        <v>23420.574800270475</v>
      </c>
      <c r="Q3026" s="65">
        <v>23004.405040428308</v>
      </c>
      <c r="R3026" s="65">
        <v>0</v>
      </c>
      <c r="S3026" s="65">
        <v>450.28837207163008</v>
      </c>
      <c r="T3026" s="65">
        <v>416.16975984216697</v>
      </c>
      <c r="U3026" s="58">
        <v>0</v>
      </c>
      <c r="V3026" s="65">
        <v>0</v>
      </c>
      <c r="W3026" s="65">
        <v>0</v>
      </c>
      <c r="X3026" s="65">
        <v>22554</v>
      </c>
      <c r="Y3026" s="65">
        <v>0</v>
      </c>
      <c r="Z3026" s="51">
        <v>0</v>
      </c>
      <c r="AA3026" s="51">
        <v>0</v>
      </c>
      <c r="AB3026" s="102">
        <v>0</v>
      </c>
      <c r="AC3026" s="81">
        <f t="shared" si="145"/>
        <v>219.08033142676979</v>
      </c>
      <c r="AD3026" s="82">
        <f t="shared" si="146"/>
        <v>67.742857142857147</v>
      </c>
      <c r="AE3026" s="218">
        <v>-1.8090872557268212E-2</v>
      </c>
      <c r="AF3026">
        <v>26</v>
      </c>
      <c r="AH3026" t="str">
        <f t="shared" si="144"/>
        <v>Gopalpur Bmc</v>
      </c>
      <c r="AJ3026" s="72">
        <v>0</v>
      </c>
      <c r="AK3026" s="72"/>
      <c r="AL3026" s="72"/>
      <c r="AM3026" s="72"/>
    </row>
    <row r="3027" spans="1:39" x14ac:dyDescent="0.25">
      <c r="A3027" s="37" t="s">
        <v>62</v>
      </c>
      <c r="B3027" s="66" t="s">
        <v>1644</v>
      </c>
      <c r="C3027" s="4">
        <v>1006</v>
      </c>
      <c r="D3027" s="41" t="s">
        <v>183</v>
      </c>
      <c r="E3027" s="41">
        <v>10060014</v>
      </c>
      <c r="F3027" s="85" t="s">
        <v>192</v>
      </c>
      <c r="G3027" s="39" t="s">
        <v>635</v>
      </c>
      <c r="H3027" s="52" t="s">
        <v>99</v>
      </c>
      <c r="I3027" s="52">
        <v>353.4</v>
      </c>
      <c r="J3027" s="49">
        <v>12801.419626410003</v>
      </c>
      <c r="K3027" s="58">
        <v>0</v>
      </c>
      <c r="L3027" s="58">
        <v>0</v>
      </c>
      <c r="M3027" s="58">
        <v>0</v>
      </c>
      <c r="N3027" s="58">
        <v>0</v>
      </c>
      <c r="O3027" s="58">
        <v>0</v>
      </c>
      <c r="P3027" s="53">
        <v>0</v>
      </c>
      <c r="Q3027" s="65">
        <v>12801.419626410003</v>
      </c>
      <c r="R3027" s="65">
        <v>0</v>
      </c>
      <c r="S3027" s="65">
        <v>0</v>
      </c>
      <c r="T3027" s="65">
        <v>0</v>
      </c>
      <c r="U3027" s="58">
        <v>0</v>
      </c>
      <c r="V3027" s="65">
        <v>0</v>
      </c>
      <c r="W3027" s="65">
        <v>0</v>
      </c>
      <c r="X3027" s="65">
        <v>0</v>
      </c>
      <c r="Y3027" s="65">
        <v>0</v>
      </c>
      <c r="Z3027" s="51">
        <v>12801.419626410003</v>
      </c>
      <c r="AA3027" s="51">
        <v>0</v>
      </c>
      <c r="AB3027" s="102">
        <v>0</v>
      </c>
      <c r="AC3027" s="81">
        <f t="shared" si="145"/>
        <v>251.10198316432979</v>
      </c>
      <c r="AD3027" s="82">
        <f t="shared" si="146"/>
        <v>50.48571428571428</v>
      </c>
      <c r="AE3027" s="218">
        <v>0</v>
      </c>
      <c r="AF3027">
        <v>0</v>
      </c>
      <c r="AH3027" t="str">
        <f t="shared" si="144"/>
        <v>Sonvarsha</v>
      </c>
      <c r="AJ3027" s="72">
        <v>0</v>
      </c>
      <c r="AK3027" s="72"/>
      <c r="AL3027" s="72"/>
      <c r="AM3027" s="72"/>
    </row>
    <row r="3028" spans="1:39" x14ac:dyDescent="0.25">
      <c r="A3028" s="37" t="s">
        <v>62</v>
      </c>
      <c r="B3028" s="66" t="s">
        <v>1644</v>
      </c>
      <c r="C3028" s="4">
        <v>1006</v>
      </c>
      <c r="D3028" s="41" t="s">
        <v>183</v>
      </c>
      <c r="E3028" s="41">
        <v>10060020</v>
      </c>
      <c r="F3028" s="85" t="s">
        <v>194</v>
      </c>
      <c r="G3028" s="39" t="s">
        <v>635</v>
      </c>
      <c r="H3028" s="52" t="s">
        <v>99</v>
      </c>
      <c r="I3028" s="52">
        <v>669.3</v>
      </c>
      <c r="J3028" s="49">
        <v>23029.2857661015</v>
      </c>
      <c r="K3028" s="58">
        <v>0</v>
      </c>
      <c r="L3028" s="58">
        <v>0</v>
      </c>
      <c r="M3028" s="58">
        <v>0</v>
      </c>
      <c r="N3028" s="58">
        <v>0</v>
      </c>
      <c r="O3028" s="58">
        <v>0</v>
      </c>
      <c r="P3028" s="53">
        <v>0</v>
      </c>
      <c r="Q3028" s="65">
        <v>23029.2857661015</v>
      </c>
      <c r="R3028" s="65">
        <v>0</v>
      </c>
      <c r="S3028" s="65">
        <v>0</v>
      </c>
      <c r="T3028" s="65">
        <v>0</v>
      </c>
      <c r="U3028" s="58">
        <v>0</v>
      </c>
      <c r="V3028" s="65">
        <v>0</v>
      </c>
      <c r="W3028" s="65">
        <v>0</v>
      </c>
      <c r="X3028" s="65">
        <v>0</v>
      </c>
      <c r="Y3028" s="65">
        <v>0</v>
      </c>
      <c r="Z3028" s="51">
        <v>23029.2857661015</v>
      </c>
      <c r="AA3028" s="51">
        <v>0</v>
      </c>
      <c r="AB3028" s="102">
        <v>0</v>
      </c>
      <c r="AC3028" s="81">
        <f t="shared" si="145"/>
        <v>21.126522426992864</v>
      </c>
      <c r="AD3028" s="82">
        <f t="shared" si="146"/>
        <v>95.614285714285714</v>
      </c>
      <c r="AE3028" s="218">
        <v>0</v>
      </c>
      <c r="AF3028">
        <v>0</v>
      </c>
      <c r="AH3028" t="str">
        <f t="shared" si="144"/>
        <v>Sonvarsha</v>
      </c>
      <c r="AJ3028" s="72">
        <v>0</v>
      </c>
      <c r="AK3028" s="72"/>
      <c r="AL3028" s="72"/>
      <c r="AM3028" s="72"/>
    </row>
    <row r="3029" spans="1:39" x14ac:dyDescent="0.25">
      <c r="A3029" s="37" t="s">
        <v>62</v>
      </c>
      <c r="B3029" s="66" t="s">
        <v>1644</v>
      </c>
      <c r="C3029" s="4">
        <v>1006</v>
      </c>
      <c r="D3029" s="41" t="s">
        <v>183</v>
      </c>
      <c r="E3029" s="41">
        <v>10060021</v>
      </c>
      <c r="F3029" s="85" t="s">
        <v>195</v>
      </c>
      <c r="G3029" s="39" t="s">
        <v>635</v>
      </c>
      <c r="H3029" s="52" t="s">
        <v>99</v>
      </c>
      <c r="I3029" s="52">
        <v>1735.1000000000004</v>
      </c>
      <c r="J3029" s="49">
        <v>71589.442632865015</v>
      </c>
      <c r="K3029" s="58">
        <v>0</v>
      </c>
      <c r="L3029" s="58">
        <v>0</v>
      </c>
      <c r="M3029" s="58">
        <v>0</v>
      </c>
      <c r="N3029" s="58">
        <v>0</v>
      </c>
      <c r="O3029" s="58">
        <v>0</v>
      </c>
      <c r="P3029" s="53">
        <v>0</v>
      </c>
      <c r="Q3029" s="65">
        <v>71589.442632865015</v>
      </c>
      <c r="R3029" s="65">
        <v>0</v>
      </c>
      <c r="S3029" s="65">
        <v>0</v>
      </c>
      <c r="T3029" s="65">
        <v>0</v>
      </c>
      <c r="U3029" s="58">
        <v>19500</v>
      </c>
      <c r="V3029" s="65">
        <v>0</v>
      </c>
      <c r="W3029" s="65">
        <v>0</v>
      </c>
      <c r="X3029" s="65">
        <v>0</v>
      </c>
      <c r="Y3029" s="65">
        <v>0</v>
      </c>
      <c r="Z3029" s="51">
        <v>52089.442632865015</v>
      </c>
      <c r="AA3029" s="51">
        <v>0</v>
      </c>
      <c r="AB3029" s="102">
        <v>0</v>
      </c>
      <c r="AC3029" s="81">
        <f t="shared" si="145"/>
        <v>0</v>
      </c>
      <c r="AD3029" s="82">
        <f t="shared" si="146"/>
        <v>0</v>
      </c>
      <c r="AE3029" s="218">
        <v>0</v>
      </c>
      <c r="AF3029">
        <v>0</v>
      </c>
      <c r="AH3029" t="str">
        <f t="shared" si="144"/>
        <v>Sonvarsha</v>
      </c>
      <c r="AJ3029" s="72">
        <v>0</v>
      </c>
      <c r="AK3029" s="72"/>
      <c r="AL3029" s="72"/>
      <c r="AM3029" s="72"/>
    </row>
    <row r="3030" spans="1:39" x14ac:dyDescent="0.25">
      <c r="A3030" s="37" t="s">
        <v>62</v>
      </c>
      <c r="B3030" s="66" t="s">
        <v>1644</v>
      </c>
      <c r="C3030" s="4">
        <v>1006</v>
      </c>
      <c r="D3030" s="41" t="s">
        <v>183</v>
      </c>
      <c r="E3030" s="41">
        <v>10060022</v>
      </c>
      <c r="F3030" s="85" t="s">
        <v>617</v>
      </c>
      <c r="G3030" s="39" t="s">
        <v>93</v>
      </c>
      <c r="H3030" s="52" t="s">
        <v>94</v>
      </c>
      <c r="I3030" s="52">
        <v>1002.9999999999998</v>
      </c>
      <c r="J3030" s="49">
        <v>35960.137238539501</v>
      </c>
      <c r="K3030" s="58">
        <v>1103.3000000000002</v>
      </c>
      <c r="L3030" s="58">
        <v>40842.355095239996</v>
      </c>
      <c r="M3030" s="58">
        <v>11.7</v>
      </c>
      <c r="N3030" s="58">
        <v>440.07789186000008</v>
      </c>
      <c r="O3030" s="58">
        <v>1115.0000000000002</v>
      </c>
      <c r="P3030" s="53">
        <v>41282.432987099994</v>
      </c>
      <c r="Q3030" s="65">
        <v>35960.137238539501</v>
      </c>
      <c r="R3030" s="65">
        <v>0</v>
      </c>
      <c r="S3030" s="65">
        <v>440.07789186000008</v>
      </c>
      <c r="T3030" s="65">
        <v>5322.2957485604929</v>
      </c>
      <c r="U3030" s="58">
        <v>0</v>
      </c>
      <c r="V3030" s="65">
        <v>0</v>
      </c>
      <c r="W3030" s="65">
        <v>0</v>
      </c>
      <c r="X3030" s="65">
        <v>35520</v>
      </c>
      <c r="Y3030" s="65">
        <v>0</v>
      </c>
      <c r="Z3030" s="51">
        <v>0</v>
      </c>
      <c r="AA3030" s="51">
        <v>0</v>
      </c>
      <c r="AB3030" s="102">
        <v>0</v>
      </c>
      <c r="AC3030" s="81">
        <f t="shared" si="145"/>
        <v>0</v>
      </c>
      <c r="AD3030" s="82">
        <f t="shared" si="146"/>
        <v>0</v>
      </c>
      <c r="AE3030" s="218">
        <v>-0.1480054348306668</v>
      </c>
      <c r="AF3030">
        <v>5</v>
      </c>
      <c r="AH3030" t="str">
        <f t="shared" si="144"/>
        <v>Sonvarsha</v>
      </c>
      <c r="AJ3030" s="72">
        <v>0</v>
      </c>
      <c r="AK3030" s="72"/>
      <c r="AL3030" s="72"/>
      <c r="AM3030" s="72"/>
    </row>
    <row r="3031" spans="1:39" x14ac:dyDescent="0.25">
      <c r="A3031" s="37" t="s">
        <v>62</v>
      </c>
      <c r="B3031" s="66" t="s">
        <v>1644</v>
      </c>
      <c r="C3031" s="4">
        <v>1006</v>
      </c>
      <c r="D3031" s="41" t="s">
        <v>183</v>
      </c>
      <c r="E3031" s="41">
        <v>10060023</v>
      </c>
      <c r="F3031" s="85" t="s">
        <v>196</v>
      </c>
      <c r="G3031" s="39" t="s">
        <v>635</v>
      </c>
      <c r="H3031" s="52" t="s">
        <v>99</v>
      </c>
      <c r="I3031" s="52">
        <v>133.69999999999999</v>
      </c>
      <c r="J3031" s="49">
        <v>5964.5909444400004</v>
      </c>
      <c r="K3031" s="58">
        <v>0</v>
      </c>
      <c r="L3031" s="58">
        <v>0</v>
      </c>
      <c r="M3031" s="58">
        <v>0</v>
      </c>
      <c r="N3031" s="58">
        <v>0</v>
      </c>
      <c r="O3031" s="58">
        <v>0</v>
      </c>
      <c r="P3031" s="53">
        <v>0</v>
      </c>
      <c r="Q3031" s="65">
        <v>5964.5909444400004</v>
      </c>
      <c r="R3031" s="65">
        <v>0</v>
      </c>
      <c r="S3031" s="65">
        <v>0</v>
      </c>
      <c r="T3031" s="65">
        <v>0</v>
      </c>
      <c r="U3031" s="58">
        <v>0</v>
      </c>
      <c r="V3031" s="65">
        <v>0</v>
      </c>
      <c r="W3031" s="65">
        <v>0</v>
      </c>
      <c r="X3031" s="65">
        <v>0</v>
      </c>
      <c r="Y3031" s="65">
        <v>0</v>
      </c>
      <c r="Z3031" s="51">
        <v>5964.5909444400004</v>
      </c>
      <c r="AA3031" s="51">
        <v>0</v>
      </c>
      <c r="AB3031" s="102">
        <v>0</v>
      </c>
      <c r="AC3031" s="81">
        <f t="shared" si="145"/>
        <v>505.27267791120016</v>
      </c>
      <c r="AD3031" s="82">
        <f t="shared" si="146"/>
        <v>19.099999999999998</v>
      </c>
      <c r="AE3031" s="218">
        <v>0</v>
      </c>
      <c r="AF3031">
        <v>0</v>
      </c>
      <c r="AH3031" t="str">
        <f t="shared" si="144"/>
        <v>Sonvarsha</v>
      </c>
      <c r="AJ3031" s="72">
        <v>0</v>
      </c>
      <c r="AK3031" s="72"/>
      <c r="AL3031" s="72"/>
      <c r="AM3031" s="72"/>
    </row>
    <row r="3032" spans="1:39" x14ac:dyDescent="0.25">
      <c r="A3032" s="37" t="s">
        <v>62</v>
      </c>
      <c r="B3032" s="66" t="s">
        <v>1644</v>
      </c>
      <c r="C3032" s="4">
        <v>1006</v>
      </c>
      <c r="D3032" s="41" t="s">
        <v>183</v>
      </c>
      <c r="E3032" s="41">
        <v>10060026</v>
      </c>
      <c r="F3032" s="85" t="s">
        <v>197</v>
      </c>
      <c r="G3032" s="39" t="s">
        <v>93</v>
      </c>
      <c r="H3032" s="52" t="s">
        <v>94</v>
      </c>
      <c r="I3032" s="52">
        <v>661.8</v>
      </c>
      <c r="J3032" s="49">
        <v>28564.594020912005</v>
      </c>
      <c r="K3032" s="58">
        <v>663.75</v>
      </c>
      <c r="L3032" s="58">
        <v>30382.573606022655</v>
      </c>
      <c r="M3032" s="58">
        <v>5.1000000000000005</v>
      </c>
      <c r="N3032" s="58">
        <v>240.52873069275</v>
      </c>
      <c r="O3032" s="58">
        <v>668.85</v>
      </c>
      <c r="P3032" s="53">
        <v>30623.102336715405</v>
      </c>
      <c r="Q3032" s="65">
        <v>28564.594020912005</v>
      </c>
      <c r="R3032" s="65">
        <v>0</v>
      </c>
      <c r="S3032" s="65">
        <v>240.52873069275</v>
      </c>
      <c r="T3032" s="65">
        <v>2058.5083158033995</v>
      </c>
      <c r="U3032" s="58">
        <v>0</v>
      </c>
      <c r="V3032" s="65">
        <v>0</v>
      </c>
      <c r="W3032" s="65">
        <v>0</v>
      </c>
      <c r="X3032" s="65">
        <v>28324</v>
      </c>
      <c r="Y3032" s="65">
        <v>0</v>
      </c>
      <c r="Z3032" s="51">
        <v>0</v>
      </c>
      <c r="AA3032" s="51">
        <v>0</v>
      </c>
      <c r="AB3032" s="102">
        <v>0</v>
      </c>
      <c r="AC3032" s="81">
        <f t="shared" si="145"/>
        <v>32.975747706220645</v>
      </c>
      <c r="AD3032" s="82">
        <f t="shared" si="146"/>
        <v>94.54285714285713</v>
      </c>
      <c r="AE3032" s="218">
        <v>-7.2065029676121953E-2</v>
      </c>
      <c r="AF3032">
        <v>4</v>
      </c>
      <c r="AH3032" t="str">
        <f t="shared" si="144"/>
        <v>Sonvarsha</v>
      </c>
      <c r="AJ3032" s="72">
        <v>0</v>
      </c>
      <c r="AK3032" s="72"/>
      <c r="AL3032" s="72"/>
      <c r="AM3032" s="72"/>
    </row>
    <row r="3033" spans="1:39" x14ac:dyDescent="0.25">
      <c r="A3033" s="37" t="s">
        <v>62</v>
      </c>
      <c r="B3033" s="66" t="s">
        <v>1644</v>
      </c>
      <c r="C3033" s="4">
        <v>1059</v>
      </c>
      <c r="D3033" s="41" t="s">
        <v>1347</v>
      </c>
      <c r="E3033" s="41">
        <v>10060027</v>
      </c>
      <c r="F3033" s="85" t="s">
        <v>198</v>
      </c>
      <c r="G3033" s="39" t="s">
        <v>93</v>
      </c>
      <c r="H3033" s="52" t="s">
        <v>94</v>
      </c>
      <c r="I3033" s="52">
        <v>1447.7</v>
      </c>
      <c r="J3033" s="49">
        <v>62748.71053567202</v>
      </c>
      <c r="K3033" s="58">
        <v>1453.1000000000001</v>
      </c>
      <c r="L3033" s="58">
        <v>63090.937635610913</v>
      </c>
      <c r="M3033" s="58">
        <v>20.839999999999996</v>
      </c>
      <c r="N3033" s="58">
        <v>906.96820850400013</v>
      </c>
      <c r="O3033" s="58">
        <v>1473.94</v>
      </c>
      <c r="P3033" s="53">
        <v>63997.90584411491</v>
      </c>
      <c r="Q3033" s="65">
        <v>62748.71053567202</v>
      </c>
      <c r="R3033" s="65">
        <v>0</v>
      </c>
      <c r="S3033" s="65">
        <v>906.96820850400013</v>
      </c>
      <c r="T3033" s="65">
        <v>1249.1953084428897</v>
      </c>
      <c r="U3033" s="58">
        <v>0</v>
      </c>
      <c r="V3033" s="65">
        <v>0</v>
      </c>
      <c r="W3033" s="65">
        <v>0</v>
      </c>
      <c r="X3033" s="65">
        <v>61842</v>
      </c>
      <c r="Y3033" s="65">
        <v>0</v>
      </c>
      <c r="Z3033" s="51">
        <v>0</v>
      </c>
      <c r="AA3033" s="51">
        <v>0</v>
      </c>
      <c r="AB3033" s="102" t="s">
        <v>68</v>
      </c>
      <c r="AC3033" s="81">
        <f t="shared" si="145"/>
        <v>0</v>
      </c>
      <c r="AD3033" s="82">
        <f t="shared" si="146"/>
        <v>0</v>
      </c>
      <c r="AE3033" s="218">
        <v>-1.9907904047410416E-2</v>
      </c>
      <c r="AF3033">
        <v>70</v>
      </c>
      <c r="AH3033" t="str">
        <f t="shared" si="144"/>
        <v>Gopalpur Bmc</v>
      </c>
      <c r="AJ3033" s="72">
        <v>0</v>
      </c>
      <c r="AK3033" s="72"/>
      <c r="AL3033" s="72"/>
      <c r="AM3033" s="72"/>
    </row>
    <row r="3034" spans="1:39" x14ac:dyDescent="0.25">
      <c r="A3034" s="37" t="s">
        <v>62</v>
      </c>
      <c r="B3034" s="66" t="s">
        <v>1644</v>
      </c>
      <c r="C3034" s="4">
        <v>1006</v>
      </c>
      <c r="D3034" s="41" t="s">
        <v>183</v>
      </c>
      <c r="E3034" s="41">
        <v>10060028</v>
      </c>
      <c r="F3034" s="85" t="s">
        <v>199</v>
      </c>
      <c r="G3034" s="39" t="s">
        <v>635</v>
      </c>
      <c r="H3034" s="52" t="s">
        <v>99</v>
      </c>
      <c r="I3034" s="52">
        <v>667.40000000000009</v>
      </c>
      <c r="J3034" s="49">
        <v>23763.701943841505</v>
      </c>
      <c r="K3034" s="58">
        <v>0</v>
      </c>
      <c r="L3034" s="58">
        <v>0</v>
      </c>
      <c r="M3034" s="58">
        <v>0</v>
      </c>
      <c r="N3034" s="58">
        <v>0</v>
      </c>
      <c r="O3034" s="58">
        <v>0</v>
      </c>
      <c r="P3034" s="53">
        <v>0</v>
      </c>
      <c r="Q3034" s="65">
        <v>23763.701943841505</v>
      </c>
      <c r="R3034" s="65">
        <v>0</v>
      </c>
      <c r="S3034" s="65">
        <v>0</v>
      </c>
      <c r="T3034" s="65">
        <v>0</v>
      </c>
      <c r="U3034" s="58">
        <v>0</v>
      </c>
      <c r="V3034" s="65">
        <v>0</v>
      </c>
      <c r="W3034" s="65">
        <v>0</v>
      </c>
      <c r="X3034" s="65">
        <v>0</v>
      </c>
      <c r="Y3034" s="65">
        <v>0</v>
      </c>
      <c r="Z3034" s="51">
        <v>23763.701943841505</v>
      </c>
      <c r="AA3034" s="51">
        <v>0</v>
      </c>
      <c r="AB3034" s="102">
        <v>0</v>
      </c>
      <c r="AC3034" s="81">
        <f t="shared" si="145"/>
        <v>23.215363601115698</v>
      </c>
      <c r="AD3034" s="82">
        <f t="shared" si="146"/>
        <v>95.342857142857156</v>
      </c>
      <c r="AE3034" s="218">
        <v>0</v>
      </c>
      <c r="AF3034">
        <v>0</v>
      </c>
      <c r="AH3034" t="str">
        <f t="shared" si="144"/>
        <v>Sonvarsha</v>
      </c>
      <c r="AJ3034" s="72">
        <v>0</v>
      </c>
      <c r="AK3034" s="72"/>
      <c r="AL3034" s="72"/>
      <c r="AM3034" s="72"/>
    </row>
    <row r="3035" spans="1:39" x14ac:dyDescent="0.25">
      <c r="A3035" s="37" t="s">
        <v>62</v>
      </c>
      <c r="B3035" s="66" t="s">
        <v>1644</v>
      </c>
      <c r="C3035" s="4">
        <v>1006</v>
      </c>
      <c r="D3035" s="41" t="s">
        <v>183</v>
      </c>
      <c r="E3035" s="41">
        <v>10060029</v>
      </c>
      <c r="F3035" s="85" t="s">
        <v>200</v>
      </c>
      <c r="G3035" s="39" t="s">
        <v>93</v>
      </c>
      <c r="H3035" s="52" t="s">
        <v>94</v>
      </c>
      <c r="I3035" s="52">
        <v>1857.1999999999996</v>
      </c>
      <c r="J3035" s="49">
        <v>84119.681692793994</v>
      </c>
      <c r="K3035" s="58">
        <v>1712.58</v>
      </c>
      <c r="L3035" s="58">
        <v>78504.646866431605</v>
      </c>
      <c r="M3035" s="58">
        <v>146.30000000000001</v>
      </c>
      <c r="N3035" s="58">
        <v>6226.4805715540006</v>
      </c>
      <c r="O3035" s="58">
        <v>1858.8799999999999</v>
      </c>
      <c r="P3035" s="53">
        <v>84731.127437985604</v>
      </c>
      <c r="Q3035" s="65">
        <v>84119.681692793994</v>
      </c>
      <c r="R3035" s="65">
        <v>0</v>
      </c>
      <c r="S3035" s="65">
        <v>1094.5950076210001</v>
      </c>
      <c r="T3035" s="65">
        <v>611.4457451916096</v>
      </c>
      <c r="U3035" s="58">
        <v>0</v>
      </c>
      <c r="V3035" s="65">
        <v>0</v>
      </c>
      <c r="W3035" s="65">
        <v>0</v>
      </c>
      <c r="X3035" s="65">
        <v>77893</v>
      </c>
      <c r="Y3035" s="65">
        <v>5132</v>
      </c>
      <c r="Z3035" s="51">
        <v>0</v>
      </c>
      <c r="AA3035" s="51">
        <v>0</v>
      </c>
      <c r="AB3035" s="102">
        <v>0</v>
      </c>
      <c r="AC3035" s="81">
        <f t="shared" si="145"/>
        <v>0</v>
      </c>
      <c r="AD3035" s="82">
        <f t="shared" si="146"/>
        <v>0</v>
      </c>
      <c r="AE3035" s="218">
        <v>-7.2687596159079181E-3</v>
      </c>
      <c r="AF3035">
        <v>37</v>
      </c>
      <c r="AH3035" t="str">
        <f t="shared" si="144"/>
        <v>Sonvarsha</v>
      </c>
      <c r="AJ3035" s="72">
        <v>0</v>
      </c>
      <c r="AK3035" s="72"/>
      <c r="AL3035" s="72"/>
      <c r="AM3035" s="72"/>
    </row>
    <row r="3036" spans="1:39" x14ac:dyDescent="0.25">
      <c r="A3036" s="37" t="s">
        <v>62</v>
      </c>
      <c r="B3036" s="66" t="s">
        <v>1644</v>
      </c>
      <c r="C3036" s="4">
        <v>1006</v>
      </c>
      <c r="D3036" s="41" t="s">
        <v>183</v>
      </c>
      <c r="E3036" s="41">
        <v>10060031</v>
      </c>
      <c r="F3036" s="85" t="s">
        <v>201</v>
      </c>
      <c r="G3036" s="39" t="s">
        <v>93</v>
      </c>
      <c r="H3036" s="52" t="s">
        <v>94</v>
      </c>
      <c r="I3036" s="52">
        <v>404.3</v>
      </c>
      <c r="J3036" s="49">
        <v>16474.778705370001</v>
      </c>
      <c r="K3036" s="58">
        <v>412.81</v>
      </c>
      <c r="L3036" s="58">
        <v>17608.313391790944</v>
      </c>
      <c r="M3036" s="58">
        <v>0</v>
      </c>
      <c r="N3036" s="58">
        <v>0</v>
      </c>
      <c r="O3036" s="58">
        <v>412.81</v>
      </c>
      <c r="P3036" s="53">
        <v>17608.313391790944</v>
      </c>
      <c r="Q3036" s="65">
        <v>16474.778705370001</v>
      </c>
      <c r="R3036" s="65">
        <v>0</v>
      </c>
      <c r="S3036" s="65">
        <v>0</v>
      </c>
      <c r="T3036" s="65">
        <v>1133.5346864209423</v>
      </c>
      <c r="U3036" s="58">
        <v>0</v>
      </c>
      <c r="V3036" s="65">
        <v>0</v>
      </c>
      <c r="W3036" s="65">
        <v>0</v>
      </c>
      <c r="X3036" s="65">
        <v>0</v>
      </c>
      <c r="Y3036" s="65">
        <v>0</v>
      </c>
      <c r="Z3036" s="51">
        <v>0</v>
      </c>
      <c r="AA3036" s="51">
        <v>16475</v>
      </c>
      <c r="AB3036" s="102" t="s">
        <v>65</v>
      </c>
      <c r="AC3036" s="81">
        <f t="shared" si="145"/>
        <v>240.98897171298094</v>
      </c>
      <c r="AD3036" s="82">
        <f t="shared" si="146"/>
        <v>57.75714285714286</v>
      </c>
      <c r="AE3036" s="218">
        <v>-6.8804243546619751E-2</v>
      </c>
      <c r="AF3036">
        <v>10</v>
      </c>
      <c r="AH3036" t="str">
        <f t="shared" si="144"/>
        <v>Sonvarsha</v>
      </c>
      <c r="AJ3036" s="72">
        <v>0</v>
      </c>
      <c r="AK3036" s="72"/>
      <c r="AL3036" s="72"/>
      <c r="AM3036" s="72"/>
    </row>
    <row r="3037" spans="1:39" x14ac:dyDescent="0.25">
      <c r="A3037" s="37" t="s">
        <v>62</v>
      </c>
      <c r="B3037" s="66" t="s">
        <v>1644</v>
      </c>
      <c r="C3037" s="4">
        <v>1059</v>
      </c>
      <c r="D3037" s="41" t="s">
        <v>1347</v>
      </c>
      <c r="E3037" s="41">
        <v>10060032</v>
      </c>
      <c r="F3037" s="85" t="s">
        <v>202</v>
      </c>
      <c r="G3037" s="39" t="s">
        <v>93</v>
      </c>
      <c r="H3037" s="52" t="s">
        <v>94</v>
      </c>
      <c r="I3037" s="52">
        <v>3273.1999999999994</v>
      </c>
      <c r="J3037" s="49">
        <v>163001.67985303712</v>
      </c>
      <c r="K3037" s="58">
        <v>3316.51</v>
      </c>
      <c r="L3037" s="58">
        <v>163557.3273875899</v>
      </c>
      <c r="M3037" s="58">
        <v>27.450000000000003</v>
      </c>
      <c r="N3037" s="58">
        <v>1761.55556399939</v>
      </c>
      <c r="O3037" s="58">
        <v>3343.96</v>
      </c>
      <c r="P3037" s="53">
        <v>165318.8829515893</v>
      </c>
      <c r="Q3037" s="65">
        <v>163001.67985303712</v>
      </c>
      <c r="R3037" s="65">
        <v>0</v>
      </c>
      <c r="S3037" s="65">
        <v>1761.55556399939</v>
      </c>
      <c r="T3037" s="65">
        <v>2317.2030985521851</v>
      </c>
      <c r="U3037" s="58">
        <v>0</v>
      </c>
      <c r="V3037" s="65">
        <v>0</v>
      </c>
      <c r="W3037" s="65">
        <v>0</v>
      </c>
      <c r="X3037" s="65">
        <v>161240</v>
      </c>
      <c r="Y3037" s="65">
        <v>0</v>
      </c>
      <c r="Z3037" s="51">
        <v>0</v>
      </c>
      <c r="AA3037" s="51">
        <v>0</v>
      </c>
      <c r="AB3037" s="102">
        <v>0</v>
      </c>
      <c r="AC3037" s="81">
        <f t="shared" si="145"/>
        <v>0</v>
      </c>
      <c r="AD3037" s="82">
        <f t="shared" si="146"/>
        <v>0</v>
      </c>
      <c r="AE3037" s="218">
        <v>-1.4215823423668906E-2</v>
      </c>
      <c r="AF3037">
        <v>47</v>
      </c>
      <c r="AH3037" t="str">
        <f t="shared" si="144"/>
        <v>Gopalpur Bmc</v>
      </c>
      <c r="AJ3037" s="72">
        <v>0</v>
      </c>
      <c r="AK3037" s="72"/>
      <c r="AL3037" s="72"/>
      <c r="AM3037" s="72"/>
    </row>
    <row r="3038" spans="1:39" x14ac:dyDescent="0.25">
      <c r="A3038" s="37" t="s">
        <v>62</v>
      </c>
      <c r="B3038" s="66" t="s">
        <v>1644</v>
      </c>
      <c r="C3038" s="4">
        <v>1006</v>
      </c>
      <c r="D3038" s="41" t="s">
        <v>183</v>
      </c>
      <c r="E3038" s="41">
        <v>10060036</v>
      </c>
      <c r="F3038" s="85" t="s">
        <v>1617</v>
      </c>
      <c r="G3038" s="39" t="s">
        <v>93</v>
      </c>
      <c r="H3038" s="52" t="s">
        <v>94</v>
      </c>
      <c r="I3038" s="52">
        <v>939.2</v>
      </c>
      <c r="J3038" s="49">
        <v>42124.926055551005</v>
      </c>
      <c r="K3038" s="58">
        <v>105.4</v>
      </c>
      <c r="L3038" s="58">
        <v>5716.2041620440004</v>
      </c>
      <c r="M3038" s="58">
        <v>875</v>
      </c>
      <c r="N3038" s="58">
        <v>40569.835711654305</v>
      </c>
      <c r="O3038" s="58">
        <v>980.4</v>
      </c>
      <c r="P3038" s="53">
        <v>46286.039873698304</v>
      </c>
      <c r="Q3038" s="65">
        <v>42124.926055551005</v>
      </c>
      <c r="R3038" s="65">
        <v>0</v>
      </c>
      <c r="S3038" s="65">
        <v>749.37629800950015</v>
      </c>
      <c r="T3038" s="65">
        <v>4161.1138181472998</v>
      </c>
      <c r="U3038" s="58">
        <v>0</v>
      </c>
      <c r="V3038" s="65">
        <v>0</v>
      </c>
      <c r="W3038" s="65">
        <v>0</v>
      </c>
      <c r="X3038" s="65">
        <v>1556</v>
      </c>
      <c r="Y3038" s="65">
        <v>39820</v>
      </c>
      <c r="Z3038" s="51">
        <v>0</v>
      </c>
      <c r="AA3038" s="51">
        <v>0</v>
      </c>
      <c r="AB3038" s="102">
        <v>0</v>
      </c>
      <c r="AC3038" s="81">
        <f t="shared" si="145"/>
        <v>0</v>
      </c>
      <c r="AD3038" s="82">
        <f t="shared" si="146"/>
        <v>0</v>
      </c>
      <c r="AE3038" s="218">
        <v>-9.8780323380507629E-2</v>
      </c>
      <c r="AF3038">
        <v>12</v>
      </c>
      <c r="AH3038" t="str">
        <f t="shared" si="144"/>
        <v>Sonvarsha</v>
      </c>
      <c r="AJ3038" s="72">
        <v>0</v>
      </c>
      <c r="AK3038" s="72"/>
      <c r="AL3038" s="72"/>
      <c r="AM3038" s="72"/>
    </row>
    <row r="3039" spans="1:39" x14ac:dyDescent="0.25">
      <c r="A3039" s="37" t="s">
        <v>62</v>
      </c>
      <c r="B3039" s="66" t="s">
        <v>1644</v>
      </c>
      <c r="C3039" s="4">
        <v>1006</v>
      </c>
      <c r="D3039" s="41" t="s">
        <v>183</v>
      </c>
      <c r="E3039" s="41">
        <v>10060041</v>
      </c>
      <c r="F3039" s="85" t="s">
        <v>203</v>
      </c>
      <c r="G3039" s="39" t="s">
        <v>635</v>
      </c>
      <c r="H3039" s="52" t="s">
        <v>99</v>
      </c>
      <c r="I3039" s="52">
        <v>245.5</v>
      </c>
      <c r="J3039" s="49">
        <v>8500.8630542175015</v>
      </c>
      <c r="K3039" s="58">
        <v>0</v>
      </c>
      <c r="L3039" s="58">
        <v>0</v>
      </c>
      <c r="M3039" s="58">
        <v>0</v>
      </c>
      <c r="N3039" s="58">
        <v>0</v>
      </c>
      <c r="O3039" s="58">
        <v>0</v>
      </c>
      <c r="P3039" s="53">
        <v>0</v>
      </c>
      <c r="Q3039" s="65">
        <v>8500.8630542175015</v>
      </c>
      <c r="R3039" s="65">
        <v>0</v>
      </c>
      <c r="S3039" s="65">
        <v>0</v>
      </c>
      <c r="T3039" s="65">
        <v>0</v>
      </c>
      <c r="U3039" s="58">
        <v>0</v>
      </c>
      <c r="V3039" s="65">
        <v>0</v>
      </c>
      <c r="W3039" s="65">
        <v>0</v>
      </c>
      <c r="X3039" s="65">
        <v>0</v>
      </c>
      <c r="Y3039" s="65">
        <v>0</v>
      </c>
      <c r="Z3039" s="51">
        <v>8500.8630542175015</v>
      </c>
      <c r="AA3039" s="51">
        <v>0</v>
      </c>
      <c r="AB3039" s="102">
        <v>0</v>
      </c>
      <c r="AC3039" s="81">
        <f t="shared" si="145"/>
        <v>314.75700677326716</v>
      </c>
      <c r="AD3039" s="82">
        <f t="shared" si="146"/>
        <v>35.071428571428569</v>
      </c>
      <c r="AE3039" s="218">
        <v>0</v>
      </c>
      <c r="AF3039">
        <v>0</v>
      </c>
      <c r="AH3039" t="str">
        <f t="shared" si="144"/>
        <v>Sonvarsha</v>
      </c>
      <c r="AJ3039" s="72">
        <v>0</v>
      </c>
      <c r="AK3039" s="72"/>
      <c r="AL3039" s="72"/>
      <c r="AM3039" s="72"/>
    </row>
    <row r="3040" spans="1:39" x14ac:dyDescent="0.25">
      <c r="A3040" s="37" t="s">
        <v>62</v>
      </c>
      <c r="B3040" s="66" t="s">
        <v>1644</v>
      </c>
      <c r="C3040" s="4">
        <v>1059</v>
      </c>
      <c r="D3040" s="41" t="s">
        <v>1347</v>
      </c>
      <c r="E3040" s="41">
        <v>10060049</v>
      </c>
      <c r="F3040" s="85" t="s">
        <v>204</v>
      </c>
      <c r="G3040" s="39" t="s">
        <v>93</v>
      </c>
      <c r="H3040" s="52" t="s">
        <v>94</v>
      </c>
      <c r="I3040" s="52">
        <v>587.79999999999995</v>
      </c>
      <c r="J3040" s="49">
        <v>27848.137204036506</v>
      </c>
      <c r="K3040" s="58">
        <v>646.2600000000001</v>
      </c>
      <c r="L3040" s="58">
        <v>29828.055434659946</v>
      </c>
      <c r="M3040" s="58">
        <v>8.4</v>
      </c>
      <c r="N3040" s="58">
        <v>328.20997172949996</v>
      </c>
      <c r="O3040" s="58">
        <v>654.66000000000008</v>
      </c>
      <c r="P3040" s="53">
        <v>30156.265406389444</v>
      </c>
      <c r="Q3040" s="65">
        <v>27848.137204036506</v>
      </c>
      <c r="R3040" s="65">
        <v>1600</v>
      </c>
      <c r="S3040" s="65">
        <v>328.20997172949996</v>
      </c>
      <c r="T3040" s="65">
        <v>2308.1282023529384</v>
      </c>
      <c r="U3040" s="58">
        <v>0</v>
      </c>
      <c r="V3040" s="65">
        <v>0</v>
      </c>
      <c r="W3040" s="65">
        <v>0</v>
      </c>
      <c r="X3040" s="65">
        <v>25920</v>
      </c>
      <c r="Y3040" s="65">
        <v>0</v>
      </c>
      <c r="Z3040" s="51">
        <v>0</v>
      </c>
      <c r="AA3040" s="51">
        <v>0</v>
      </c>
      <c r="AB3040" s="102">
        <v>0</v>
      </c>
      <c r="AC3040" s="81">
        <f t="shared" si="145"/>
        <v>106.31374597798225</v>
      </c>
      <c r="AD3040" s="82">
        <f t="shared" si="146"/>
        <v>83.971428571428561</v>
      </c>
      <c r="AE3040" s="218">
        <v>-8.2882678487320227E-2</v>
      </c>
      <c r="AF3040">
        <v>27</v>
      </c>
      <c r="AH3040" t="str">
        <f t="shared" si="144"/>
        <v>Gopalpur Bmc</v>
      </c>
      <c r="AJ3040" s="72">
        <v>0</v>
      </c>
      <c r="AK3040" s="72"/>
      <c r="AL3040" s="72"/>
      <c r="AM3040" s="72"/>
    </row>
    <row r="3041" spans="1:39" x14ac:dyDescent="0.25">
      <c r="A3041" s="37" t="s">
        <v>62</v>
      </c>
      <c r="B3041" s="66" t="s">
        <v>1644</v>
      </c>
      <c r="C3041" s="4">
        <v>1059</v>
      </c>
      <c r="D3041" s="41" t="s">
        <v>1347</v>
      </c>
      <c r="E3041" s="41">
        <v>10060050</v>
      </c>
      <c r="F3041" s="85" t="s">
        <v>205</v>
      </c>
      <c r="G3041" s="39" t="s">
        <v>93</v>
      </c>
      <c r="H3041" s="52" t="s">
        <v>94</v>
      </c>
      <c r="I3041" s="52">
        <v>665.1</v>
      </c>
      <c r="J3041" s="49">
        <v>30300.565196375403</v>
      </c>
      <c r="K3041" s="58">
        <v>705.92000000000019</v>
      </c>
      <c r="L3041" s="58">
        <v>30297.878873720292</v>
      </c>
      <c r="M3041" s="58">
        <v>7.6</v>
      </c>
      <c r="N3041" s="58">
        <v>310.40966258699996</v>
      </c>
      <c r="O3041" s="58">
        <v>713.52000000000021</v>
      </c>
      <c r="P3041" s="53">
        <v>30608.288536307293</v>
      </c>
      <c r="Q3041" s="65">
        <v>30300.565196375403</v>
      </c>
      <c r="R3041" s="65">
        <v>0</v>
      </c>
      <c r="S3041" s="65">
        <v>310.40966258699996</v>
      </c>
      <c r="T3041" s="65">
        <v>307.72333993189022</v>
      </c>
      <c r="U3041" s="58">
        <v>0</v>
      </c>
      <c r="V3041" s="65">
        <v>0</v>
      </c>
      <c r="W3041" s="65">
        <v>0</v>
      </c>
      <c r="X3041" s="65">
        <v>29990</v>
      </c>
      <c r="Y3041" s="65">
        <v>0</v>
      </c>
      <c r="Z3041" s="51">
        <v>0</v>
      </c>
      <c r="AA3041" s="51">
        <v>0</v>
      </c>
      <c r="AB3041" s="102">
        <v>0</v>
      </c>
      <c r="AC3041" s="81">
        <f t="shared" si="145"/>
        <v>31.799420398541585</v>
      </c>
      <c r="AD3041" s="82">
        <f t="shared" si="146"/>
        <v>95.01428571428572</v>
      </c>
      <c r="AE3041" s="218">
        <v>-1.015569636861759E-2</v>
      </c>
      <c r="AF3041">
        <v>13</v>
      </c>
      <c r="AH3041" t="str">
        <f t="shared" si="144"/>
        <v>Gopalpur Bmc</v>
      </c>
      <c r="AJ3041" s="72">
        <v>0</v>
      </c>
      <c r="AK3041" s="72"/>
      <c r="AL3041" s="72"/>
      <c r="AM3041" s="72"/>
    </row>
    <row r="3042" spans="1:39" x14ac:dyDescent="0.25">
      <c r="A3042" s="37" t="s">
        <v>62</v>
      </c>
      <c r="B3042" s="66" t="s">
        <v>1644</v>
      </c>
      <c r="C3042" s="4">
        <v>1006</v>
      </c>
      <c r="D3042" s="41" t="s">
        <v>183</v>
      </c>
      <c r="E3042" s="41">
        <v>10060051</v>
      </c>
      <c r="F3042" s="85" t="s">
        <v>1420</v>
      </c>
      <c r="G3042" s="39" t="s">
        <v>635</v>
      </c>
      <c r="H3042" s="52" t="s">
        <v>99</v>
      </c>
      <c r="I3042" s="52">
        <v>278.09999999999997</v>
      </c>
      <c r="J3042" s="49">
        <v>10245.831608914499</v>
      </c>
      <c r="K3042" s="58">
        <v>0</v>
      </c>
      <c r="L3042" s="58">
        <v>0</v>
      </c>
      <c r="M3042" s="58">
        <v>0</v>
      </c>
      <c r="N3042" s="58">
        <v>0</v>
      </c>
      <c r="O3042" s="58">
        <v>0</v>
      </c>
      <c r="P3042" s="53">
        <v>0</v>
      </c>
      <c r="Q3042" s="65">
        <v>10245.831608914499</v>
      </c>
      <c r="R3042" s="65">
        <v>0</v>
      </c>
      <c r="S3042" s="65">
        <v>0</v>
      </c>
      <c r="T3042" s="65">
        <v>0</v>
      </c>
      <c r="U3042" s="58">
        <v>0</v>
      </c>
      <c r="V3042" s="65">
        <v>0</v>
      </c>
      <c r="W3042" s="65">
        <v>0</v>
      </c>
      <c r="X3042" s="65">
        <v>0</v>
      </c>
      <c r="Y3042" s="65">
        <v>0</v>
      </c>
      <c r="Z3042" s="51">
        <v>10245.831608914499</v>
      </c>
      <c r="AA3042" s="51">
        <v>0</v>
      </c>
      <c r="AB3042" s="102">
        <v>0</v>
      </c>
      <c r="AC3042" s="81">
        <f t="shared" si="145"/>
        <v>310.87496266098725</v>
      </c>
      <c r="AD3042" s="82">
        <f t="shared" si="146"/>
        <v>39.728571428571421</v>
      </c>
      <c r="AE3042" s="218">
        <v>0</v>
      </c>
      <c r="AF3042">
        <v>0</v>
      </c>
      <c r="AH3042" t="str">
        <f t="shared" si="144"/>
        <v>Sonvarsha</v>
      </c>
      <c r="AJ3042" s="72">
        <v>0</v>
      </c>
      <c r="AK3042" s="72"/>
      <c r="AL3042" s="72"/>
      <c r="AM3042" s="72"/>
    </row>
    <row r="3043" spans="1:39" x14ac:dyDescent="0.25">
      <c r="A3043" s="37" t="s">
        <v>62</v>
      </c>
      <c r="B3043" s="66" t="s">
        <v>1644</v>
      </c>
      <c r="C3043" s="4">
        <v>1006</v>
      </c>
      <c r="D3043" s="41" t="s">
        <v>183</v>
      </c>
      <c r="E3043" s="41">
        <v>10060055</v>
      </c>
      <c r="F3043" s="85" t="s">
        <v>1434</v>
      </c>
      <c r="G3043" s="39" t="s">
        <v>635</v>
      </c>
      <c r="H3043" s="52" t="s">
        <v>99</v>
      </c>
      <c r="I3043" s="52">
        <v>372.59999999999997</v>
      </c>
      <c r="J3043" s="49">
        <v>13360.136283720001</v>
      </c>
      <c r="K3043" s="58">
        <v>0</v>
      </c>
      <c r="L3043" s="58">
        <v>0</v>
      </c>
      <c r="M3043" s="58">
        <v>0</v>
      </c>
      <c r="N3043" s="58">
        <v>0</v>
      </c>
      <c r="O3043" s="58">
        <v>0</v>
      </c>
      <c r="P3043" s="53">
        <v>0</v>
      </c>
      <c r="Q3043" s="65">
        <v>13360.136283720001</v>
      </c>
      <c r="R3043" s="65">
        <v>0</v>
      </c>
      <c r="S3043" s="65">
        <v>0</v>
      </c>
      <c r="T3043" s="65">
        <v>0</v>
      </c>
      <c r="U3043" s="58">
        <v>0</v>
      </c>
      <c r="V3043" s="65">
        <v>0</v>
      </c>
      <c r="W3043" s="65">
        <v>0</v>
      </c>
      <c r="X3043" s="65">
        <v>0</v>
      </c>
      <c r="Y3043" s="65">
        <v>0</v>
      </c>
      <c r="Z3043" s="51">
        <v>13360.136283720001</v>
      </c>
      <c r="AA3043" s="51">
        <v>0</v>
      </c>
      <c r="AB3043" s="102">
        <v>0</v>
      </c>
      <c r="AC3043" s="81">
        <f t="shared" si="145"/>
        <v>234.78843903864356</v>
      </c>
      <c r="AD3043" s="82">
        <f t="shared" si="146"/>
        <v>53.228571428571421</v>
      </c>
      <c r="AE3043" s="218">
        <v>0</v>
      </c>
      <c r="AF3043">
        <v>0</v>
      </c>
      <c r="AH3043" t="str">
        <f t="shared" si="144"/>
        <v>Sonvarsha</v>
      </c>
      <c r="AJ3043" s="72">
        <v>0</v>
      </c>
      <c r="AK3043" s="72"/>
      <c r="AL3043" s="72"/>
      <c r="AM3043" s="72"/>
    </row>
    <row r="3044" spans="1:39" x14ac:dyDescent="0.25">
      <c r="A3044" s="37" t="s">
        <v>62</v>
      </c>
      <c r="B3044" s="66" t="s">
        <v>1644</v>
      </c>
      <c r="C3044" s="4">
        <v>1006</v>
      </c>
      <c r="D3044" s="41" t="s">
        <v>183</v>
      </c>
      <c r="E3044" s="41">
        <v>10060058</v>
      </c>
      <c r="F3044" s="85" t="s">
        <v>206</v>
      </c>
      <c r="G3044" s="39" t="s">
        <v>93</v>
      </c>
      <c r="H3044" s="52" t="s">
        <v>94</v>
      </c>
      <c r="I3044" s="52">
        <v>567.70000000000005</v>
      </c>
      <c r="J3044" s="49">
        <v>21392.629943340002</v>
      </c>
      <c r="K3044" s="58">
        <v>240.13</v>
      </c>
      <c r="L3044" s="58">
        <v>9238.4014944668997</v>
      </c>
      <c r="M3044" s="58">
        <v>328.9</v>
      </c>
      <c r="N3044" s="58">
        <v>12789.413069691449</v>
      </c>
      <c r="O3044" s="58">
        <v>569.03</v>
      </c>
      <c r="P3044" s="53">
        <v>22027.814564158347</v>
      </c>
      <c r="Q3044" s="65">
        <v>21392.629943340002</v>
      </c>
      <c r="R3044" s="65">
        <v>0</v>
      </c>
      <c r="S3044" s="65">
        <v>147.2447560944</v>
      </c>
      <c r="T3044" s="65">
        <v>635.18462081834514</v>
      </c>
      <c r="U3044" s="58">
        <v>0</v>
      </c>
      <c r="V3044" s="65">
        <v>0</v>
      </c>
      <c r="W3044" s="65">
        <v>0</v>
      </c>
      <c r="X3044" s="65">
        <v>9065</v>
      </c>
      <c r="Y3044" s="65">
        <v>12180</v>
      </c>
      <c r="Z3044" s="51">
        <v>0</v>
      </c>
      <c r="AA3044" s="51">
        <v>0</v>
      </c>
      <c r="AB3044" s="102" t="s">
        <v>68</v>
      </c>
      <c r="AC3044" s="81">
        <f t="shared" si="145"/>
        <v>99.709175321609351</v>
      </c>
      <c r="AD3044" s="82">
        <f t="shared" si="146"/>
        <v>81.100000000000009</v>
      </c>
      <c r="AE3044" s="218">
        <v>-2.9691750032636455E-2</v>
      </c>
      <c r="AF3044">
        <v>6</v>
      </c>
      <c r="AH3044" t="str">
        <f t="shared" si="144"/>
        <v>Sonvarsha</v>
      </c>
      <c r="AJ3044" s="72">
        <v>0</v>
      </c>
      <c r="AK3044" s="72"/>
      <c r="AL3044" s="72"/>
      <c r="AM3044" s="72"/>
    </row>
    <row r="3045" spans="1:39" x14ac:dyDescent="0.25">
      <c r="A3045" s="37" t="s">
        <v>62</v>
      </c>
      <c r="B3045" s="66" t="s">
        <v>1644</v>
      </c>
      <c r="C3045" s="4">
        <v>1006</v>
      </c>
      <c r="D3045" s="41" t="s">
        <v>183</v>
      </c>
      <c r="E3045" s="41">
        <v>10060061</v>
      </c>
      <c r="F3045" s="85" t="s">
        <v>1450</v>
      </c>
      <c r="G3045" s="39" t="s">
        <v>635</v>
      </c>
      <c r="H3045" s="52" t="s">
        <v>99</v>
      </c>
      <c r="I3045" s="52">
        <v>259.7</v>
      </c>
      <c r="J3045" s="49">
        <v>9671.7589174920013</v>
      </c>
      <c r="K3045" s="58">
        <v>0</v>
      </c>
      <c r="L3045" s="58">
        <v>0</v>
      </c>
      <c r="M3045" s="58">
        <v>0</v>
      </c>
      <c r="N3045" s="58">
        <v>0</v>
      </c>
      <c r="O3045" s="58">
        <v>0</v>
      </c>
      <c r="P3045" s="53">
        <v>0</v>
      </c>
      <c r="Q3045" s="65">
        <v>9671.7589174920013</v>
      </c>
      <c r="R3045" s="65">
        <v>0</v>
      </c>
      <c r="S3045" s="65">
        <v>0</v>
      </c>
      <c r="T3045" s="65">
        <v>0</v>
      </c>
      <c r="U3045" s="58">
        <v>0</v>
      </c>
      <c r="V3045" s="65">
        <v>0</v>
      </c>
      <c r="W3045" s="65">
        <v>0</v>
      </c>
      <c r="X3045" s="65">
        <v>0</v>
      </c>
      <c r="Y3045" s="65">
        <v>0</v>
      </c>
      <c r="Z3045" s="51">
        <v>9671.7589174920013</v>
      </c>
      <c r="AA3045" s="51">
        <v>0</v>
      </c>
      <c r="AB3045" s="102">
        <v>0</v>
      </c>
      <c r="AC3045" s="81">
        <f t="shared" si="145"/>
        <v>327.95344253921661</v>
      </c>
      <c r="AD3045" s="82">
        <f t="shared" si="146"/>
        <v>37.1</v>
      </c>
      <c r="AE3045" s="218">
        <v>0</v>
      </c>
      <c r="AF3045">
        <v>0</v>
      </c>
      <c r="AH3045" t="str">
        <f t="shared" si="144"/>
        <v>Sonvarsha</v>
      </c>
      <c r="AJ3045" s="72">
        <v>0</v>
      </c>
      <c r="AK3045" s="72"/>
      <c r="AL3045" s="72"/>
      <c r="AM3045" s="72"/>
    </row>
    <row r="3046" spans="1:39" x14ac:dyDescent="0.25">
      <c r="A3046" s="37" t="s">
        <v>62</v>
      </c>
      <c r="B3046" s="66" t="s">
        <v>1644</v>
      </c>
      <c r="C3046" s="4">
        <v>1006</v>
      </c>
      <c r="D3046" s="41" t="s">
        <v>183</v>
      </c>
      <c r="E3046" s="41">
        <v>10060062</v>
      </c>
      <c r="F3046" s="85" t="s">
        <v>484</v>
      </c>
      <c r="G3046" s="39" t="s">
        <v>635</v>
      </c>
      <c r="H3046" s="52" t="s">
        <v>99</v>
      </c>
      <c r="I3046" s="52">
        <v>403.1</v>
      </c>
      <c r="J3046" s="49">
        <v>16153.258199010002</v>
      </c>
      <c r="K3046" s="58">
        <v>0</v>
      </c>
      <c r="L3046" s="58">
        <v>0</v>
      </c>
      <c r="M3046" s="58">
        <v>0</v>
      </c>
      <c r="N3046" s="58">
        <v>0</v>
      </c>
      <c r="O3046" s="58">
        <v>0</v>
      </c>
      <c r="P3046" s="53">
        <v>0</v>
      </c>
      <c r="Q3046" s="65">
        <v>16153.258199010002</v>
      </c>
      <c r="R3046" s="65">
        <v>0</v>
      </c>
      <c r="S3046" s="65">
        <v>0</v>
      </c>
      <c r="T3046" s="65">
        <v>0</v>
      </c>
      <c r="U3046" s="58">
        <v>0</v>
      </c>
      <c r="V3046" s="65">
        <v>0</v>
      </c>
      <c r="W3046" s="65">
        <v>0</v>
      </c>
      <c r="X3046" s="65">
        <v>0</v>
      </c>
      <c r="Y3046" s="65">
        <v>0</v>
      </c>
      <c r="Z3046" s="51">
        <v>16153.258199010002</v>
      </c>
      <c r="AA3046" s="51">
        <v>0</v>
      </c>
      <c r="AB3046" s="102">
        <v>0</v>
      </c>
      <c r="AC3046" s="81">
        <f t="shared" si="145"/>
        <v>237.95099773188136</v>
      </c>
      <c r="AD3046" s="82">
        <f t="shared" si="146"/>
        <v>57.585714285714289</v>
      </c>
      <c r="AE3046" s="218">
        <v>0</v>
      </c>
      <c r="AF3046">
        <v>0</v>
      </c>
      <c r="AH3046" t="str">
        <f t="shared" si="144"/>
        <v>Sonvarsha</v>
      </c>
      <c r="AJ3046" s="72">
        <v>0</v>
      </c>
      <c r="AK3046" s="72"/>
      <c r="AL3046" s="72"/>
      <c r="AM3046" s="72"/>
    </row>
    <row r="3047" spans="1:39" x14ac:dyDescent="0.25">
      <c r="A3047" s="37" t="s">
        <v>62</v>
      </c>
      <c r="B3047" s="66" t="s">
        <v>1644</v>
      </c>
      <c r="C3047" s="4">
        <v>1059</v>
      </c>
      <c r="D3047" s="41" t="s">
        <v>1347</v>
      </c>
      <c r="E3047" s="41">
        <v>10060069</v>
      </c>
      <c r="F3047" s="85" t="s">
        <v>450</v>
      </c>
      <c r="G3047" s="39" t="s">
        <v>93</v>
      </c>
      <c r="H3047" s="52" t="s">
        <v>94</v>
      </c>
      <c r="I3047" s="52">
        <v>294.59999999999997</v>
      </c>
      <c r="J3047" s="49">
        <v>13375.874228111001</v>
      </c>
      <c r="K3047" s="58">
        <v>294.59999999999997</v>
      </c>
      <c r="L3047" s="58">
        <v>13375.874228111003</v>
      </c>
      <c r="M3047" s="58">
        <v>0</v>
      </c>
      <c r="N3047" s="58">
        <v>0</v>
      </c>
      <c r="O3047" s="58">
        <v>294.59999999999997</v>
      </c>
      <c r="P3047" s="53">
        <v>13375.874228111003</v>
      </c>
      <c r="Q3047" s="65">
        <v>13375.874228111001</v>
      </c>
      <c r="R3047" s="65">
        <v>0</v>
      </c>
      <c r="S3047" s="65">
        <v>0</v>
      </c>
      <c r="T3047" s="65">
        <v>0</v>
      </c>
      <c r="U3047" s="58">
        <v>0</v>
      </c>
      <c r="V3047" s="65">
        <v>0</v>
      </c>
      <c r="W3047" s="65">
        <v>0</v>
      </c>
      <c r="X3047" s="65">
        <v>13376</v>
      </c>
      <c r="Y3047" s="65">
        <v>0</v>
      </c>
      <c r="Z3047" s="51">
        <v>0</v>
      </c>
      <c r="AA3047" s="51">
        <v>0</v>
      </c>
      <c r="AB3047" s="102">
        <v>0</v>
      </c>
      <c r="AC3047" s="81">
        <f t="shared" si="145"/>
        <v>368.13166409207071</v>
      </c>
      <c r="AD3047" s="82">
        <f t="shared" si="146"/>
        <v>42.085714285714282</v>
      </c>
      <c r="AE3047" s="218">
        <v>-1.3599031902700105E-16</v>
      </c>
      <c r="AF3047">
        <v>1</v>
      </c>
      <c r="AH3047" t="str">
        <f t="shared" si="144"/>
        <v>Gopalpur Bmc</v>
      </c>
      <c r="AJ3047" s="72">
        <v>0</v>
      </c>
      <c r="AK3047" s="72"/>
      <c r="AL3047" s="72"/>
      <c r="AM3047" s="72"/>
    </row>
    <row r="3048" spans="1:39" x14ac:dyDescent="0.25">
      <c r="A3048" s="37" t="s">
        <v>62</v>
      </c>
      <c r="B3048" s="66" t="s">
        <v>1644</v>
      </c>
      <c r="C3048" s="4">
        <v>1059</v>
      </c>
      <c r="D3048" s="41" t="s">
        <v>1347</v>
      </c>
      <c r="E3048" s="41">
        <v>10060074</v>
      </c>
      <c r="F3048" s="85" t="s">
        <v>485</v>
      </c>
      <c r="G3048" s="39" t="s">
        <v>93</v>
      </c>
      <c r="H3048" s="52" t="s">
        <v>94</v>
      </c>
      <c r="I3048" s="52">
        <v>308.2</v>
      </c>
      <c r="J3048" s="49">
        <v>13426.240033556001</v>
      </c>
      <c r="K3048" s="58">
        <v>307.07000000000005</v>
      </c>
      <c r="L3048" s="58">
        <v>14019.937893336235</v>
      </c>
      <c r="M3048" s="58">
        <v>5.1899999999999995</v>
      </c>
      <c r="N3048" s="58">
        <v>217.47183130380003</v>
      </c>
      <c r="O3048" s="58">
        <v>312.26000000000005</v>
      </c>
      <c r="P3048" s="53">
        <v>14237.409724640034</v>
      </c>
      <c r="Q3048" s="65">
        <v>13426.240033556001</v>
      </c>
      <c r="R3048" s="65">
        <v>0</v>
      </c>
      <c r="S3048" s="65">
        <v>217.47183130380003</v>
      </c>
      <c r="T3048" s="65">
        <v>811.16969108403282</v>
      </c>
      <c r="U3048" s="58">
        <v>0</v>
      </c>
      <c r="V3048" s="65">
        <v>0</v>
      </c>
      <c r="W3048" s="65">
        <v>0</v>
      </c>
      <c r="X3048" s="65">
        <v>13209</v>
      </c>
      <c r="Y3048" s="65">
        <v>0</v>
      </c>
      <c r="Z3048" s="51">
        <v>0</v>
      </c>
      <c r="AA3048" s="51">
        <v>0</v>
      </c>
      <c r="AB3048" s="102">
        <v>0</v>
      </c>
      <c r="AC3048" s="81">
        <f t="shared" si="145"/>
        <v>341.36280630416883</v>
      </c>
      <c r="AD3048" s="82">
        <f t="shared" si="146"/>
        <v>44.028571428571425</v>
      </c>
      <c r="AE3048" s="218">
        <v>-6.0416742815314527E-2</v>
      </c>
      <c r="AF3048">
        <v>10</v>
      </c>
      <c r="AH3048" t="str">
        <f t="shared" si="144"/>
        <v>Gopalpur Bmc</v>
      </c>
      <c r="AJ3048" s="72">
        <v>0</v>
      </c>
      <c r="AK3048" s="72"/>
      <c r="AL3048" s="72"/>
      <c r="AM3048" s="72"/>
    </row>
    <row r="3049" spans="1:39" x14ac:dyDescent="0.25">
      <c r="A3049" s="37" t="s">
        <v>62</v>
      </c>
      <c r="B3049" s="66" t="s">
        <v>1644</v>
      </c>
      <c r="C3049" s="4">
        <v>1006</v>
      </c>
      <c r="D3049" s="41" t="s">
        <v>183</v>
      </c>
      <c r="E3049" s="41">
        <v>10060076</v>
      </c>
      <c r="F3049" s="85" t="s">
        <v>517</v>
      </c>
      <c r="G3049" s="39" t="s">
        <v>93</v>
      </c>
      <c r="H3049" s="52" t="s">
        <v>94</v>
      </c>
      <c r="I3049" s="52">
        <v>30.8</v>
      </c>
      <c r="J3049" s="49">
        <v>1292.9587902000003</v>
      </c>
      <c r="K3049" s="58">
        <v>31</v>
      </c>
      <c r="L3049" s="58">
        <v>1301.3546265000002</v>
      </c>
      <c r="M3049" s="58">
        <v>0</v>
      </c>
      <c r="N3049" s="58">
        <v>0</v>
      </c>
      <c r="O3049" s="58">
        <v>31</v>
      </c>
      <c r="P3049" s="53">
        <v>1301.3546265000002</v>
      </c>
      <c r="Q3049" s="65">
        <v>1292.9587902000003</v>
      </c>
      <c r="R3049" s="65">
        <v>0</v>
      </c>
      <c r="S3049" s="65">
        <v>0</v>
      </c>
      <c r="T3049" s="65">
        <v>8.3958362999999281</v>
      </c>
      <c r="U3049" s="58">
        <v>0</v>
      </c>
      <c r="V3049" s="65">
        <v>0</v>
      </c>
      <c r="W3049" s="65">
        <v>0</v>
      </c>
      <c r="X3049" s="65">
        <v>1293</v>
      </c>
      <c r="Y3049" s="65">
        <v>0</v>
      </c>
      <c r="Z3049" s="51">
        <v>0</v>
      </c>
      <c r="AA3049" s="51">
        <v>0</v>
      </c>
      <c r="AB3049" s="102">
        <v>0</v>
      </c>
      <c r="AC3049" s="81">
        <f t="shared" si="145"/>
        <v>561.84936519600012</v>
      </c>
      <c r="AD3049" s="82">
        <f t="shared" si="146"/>
        <v>4.4000000000000004</v>
      </c>
      <c r="AE3049" s="218">
        <v>-6.4935064935064367E-3</v>
      </c>
      <c r="AF3049">
        <v>1</v>
      </c>
      <c r="AH3049" t="str">
        <f t="shared" si="144"/>
        <v>Sonvarsha</v>
      </c>
      <c r="AJ3049" s="72">
        <v>0</v>
      </c>
      <c r="AK3049" s="72"/>
      <c r="AL3049" s="72"/>
      <c r="AM3049" s="72"/>
    </row>
    <row r="3050" spans="1:39" x14ac:dyDescent="0.25">
      <c r="A3050" s="37" t="s">
        <v>62</v>
      </c>
      <c r="B3050" s="66" t="s">
        <v>1644</v>
      </c>
      <c r="C3050" s="4">
        <v>1006</v>
      </c>
      <c r="D3050" s="41" t="s">
        <v>183</v>
      </c>
      <c r="E3050" s="41">
        <v>10060077</v>
      </c>
      <c r="F3050" s="85" t="s">
        <v>506</v>
      </c>
      <c r="G3050" s="39" t="s">
        <v>93</v>
      </c>
      <c r="H3050" s="52" t="s">
        <v>94</v>
      </c>
      <c r="I3050" s="52">
        <v>1253.7000000000003</v>
      </c>
      <c r="J3050" s="49">
        <v>50566.37667055201</v>
      </c>
      <c r="K3050" s="58">
        <v>1160.8000000000002</v>
      </c>
      <c r="L3050" s="58">
        <v>45758.249720506945</v>
      </c>
      <c r="M3050" s="58">
        <v>112.92000000000002</v>
      </c>
      <c r="N3050" s="58">
        <v>4842.1122864110503</v>
      </c>
      <c r="O3050" s="58">
        <v>1273.7200000000003</v>
      </c>
      <c r="P3050" s="53">
        <v>50600.362006917996</v>
      </c>
      <c r="Q3050" s="65">
        <v>50566.37667055201</v>
      </c>
      <c r="R3050" s="65">
        <v>0</v>
      </c>
      <c r="S3050" s="65">
        <v>704.13762671999996</v>
      </c>
      <c r="T3050" s="65">
        <v>33.985336365985859</v>
      </c>
      <c r="U3050" s="58">
        <v>0</v>
      </c>
      <c r="V3050" s="65">
        <v>0</v>
      </c>
      <c r="W3050" s="65">
        <v>0</v>
      </c>
      <c r="X3050" s="65">
        <v>45759</v>
      </c>
      <c r="Y3050" s="65">
        <v>4103</v>
      </c>
      <c r="Z3050" s="51">
        <v>0</v>
      </c>
      <c r="AA3050" s="51">
        <v>0</v>
      </c>
      <c r="AB3050" s="102" t="s">
        <v>68</v>
      </c>
      <c r="AC3050" s="81">
        <f t="shared" si="145"/>
        <v>0</v>
      </c>
      <c r="AD3050" s="82">
        <f t="shared" si="146"/>
        <v>0</v>
      </c>
      <c r="AE3050" s="218">
        <v>-6.7209356500675798E-4</v>
      </c>
      <c r="AF3050">
        <v>33</v>
      </c>
      <c r="AH3050" t="str">
        <f t="shared" si="144"/>
        <v>Sonvarsha</v>
      </c>
      <c r="AJ3050" s="72">
        <v>0</v>
      </c>
      <c r="AK3050" s="72"/>
      <c r="AL3050" s="72"/>
      <c r="AM3050" s="72"/>
    </row>
    <row r="3051" spans="1:39" x14ac:dyDescent="0.25">
      <c r="A3051" s="37" t="s">
        <v>62</v>
      </c>
      <c r="B3051" s="66" t="s">
        <v>1644</v>
      </c>
      <c r="C3051" s="4">
        <v>1006</v>
      </c>
      <c r="D3051" s="41" t="s">
        <v>183</v>
      </c>
      <c r="E3051" s="41">
        <v>10060079</v>
      </c>
      <c r="F3051" s="85" t="s">
        <v>1632</v>
      </c>
      <c r="G3051" s="39" t="s">
        <v>635</v>
      </c>
      <c r="H3051" s="52" t="s">
        <v>99</v>
      </c>
      <c r="I3051" s="52">
        <v>79.599999999999994</v>
      </c>
      <c r="J3051" s="49">
        <v>2668.8152672040001</v>
      </c>
      <c r="K3051" s="58">
        <v>0</v>
      </c>
      <c r="L3051" s="58">
        <v>0</v>
      </c>
      <c r="M3051" s="58">
        <v>0</v>
      </c>
      <c r="N3051" s="58">
        <v>0</v>
      </c>
      <c r="O3051" s="58">
        <v>0</v>
      </c>
      <c r="P3051" s="53">
        <v>0</v>
      </c>
      <c r="Q3051" s="65">
        <v>2668.8152672040001</v>
      </c>
      <c r="R3051" s="65">
        <v>0</v>
      </c>
      <c r="S3051" s="65">
        <v>0</v>
      </c>
      <c r="T3051" s="65">
        <v>0</v>
      </c>
      <c r="U3051" s="58">
        <v>0</v>
      </c>
      <c r="V3051" s="65">
        <v>0</v>
      </c>
      <c r="W3051" s="65">
        <v>0</v>
      </c>
      <c r="X3051" s="65">
        <v>0</v>
      </c>
      <c r="Y3051" s="65">
        <v>0</v>
      </c>
      <c r="Z3051" s="51">
        <v>2668.8152672040001</v>
      </c>
      <c r="AA3051" s="51">
        <v>0</v>
      </c>
      <c r="AB3051" s="102">
        <v>0</v>
      </c>
      <c r="AC3051" s="81">
        <f t="shared" si="145"/>
        <v>416.01331451592006</v>
      </c>
      <c r="AD3051" s="82">
        <f t="shared" si="146"/>
        <v>11.37142857142857</v>
      </c>
      <c r="AE3051" s="218">
        <v>0</v>
      </c>
      <c r="AF3051">
        <v>0</v>
      </c>
      <c r="AH3051" t="str">
        <f t="shared" si="144"/>
        <v>Sonvarsha</v>
      </c>
      <c r="AJ3051" s="72">
        <v>0</v>
      </c>
      <c r="AK3051" s="72"/>
      <c r="AL3051" s="72"/>
      <c r="AM3051" s="72"/>
    </row>
    <row r="3052" spans="1:39" x14ac:dyDescent="0.25">
      <c r="A3052" s="37" t="s">
        <v>62</v>
      </c>
      <c r="B3052" s="66" t="s">
        <v>1644</v>
      </c>
      <c r="C3052" s="4">
        <v>1006</v>
      </c>
      <c r="D3052" s="41" t="s">
        <v>183</v>
      </c>
      <c r="E3052" s="41">
        <v>10060083</v>
      </c>
      <c r="F3052" s="85" t="s">
        <v>502</v>
      </c>
      <c r="G3052" s="39" t="s">
        <v>635</v>
      </c>
      <c r="H3052" s="52" t="s">
        <v>99</v>
      </c>
      <c r="I3052" s="52">
        <v>1173.3</v>
      </c>
      <c r="J3052" s="49">
        <v>44508.775168500011</v>
      </c>
      <c r="K3052" s="58">
        <v>0</v>
      </c>
      <c r="L3052" s="58">
        <v>0</v>
      </c>
      <c r="M3052" s="58">
        <v>0</v>
      </c>
      <c r="N3052" s="58">
        <v>0</v>
      </c>
      <c r="O3052" s="58">
        <v>0</v>
      </c>
      <c r="P3052" s="53">
        <v>0</v>
      </c>
      <c r="Q3052" s="65">
        <v>44508.775168500011</v>
      </c>
      <c r="R3052" s="65">
        <v>0</v>
      </c>
      <c r="S3052" s="65">
        <v>0</v>
      </c>
      <c r="T3052" s="65">
        <v>0</v>
      </c>
      <c r="U3052" s="58">
        <v>0</v>
      </c>
      <c r="V3052" s="65">
        <v>0</v>
      </c>
      <c r="W3052" s="65">
        <v>0</v>
      </c>
      <c r="X3052" s="65">
        <v>0</v>
      </c>
      <c r="Y3052" s="65">
        <v>0</v>
      </c>
      <c r="Z3052" s="51">
        <v>44508.775168500011</v>
      </c>
      <c r="AA3052" s="51">
        <v>0</v>
      </c>
      <c r="AB3052" s="102">
        <v>0</v>
      </c>
      <c r="AC3052" s="81">
        <f t="shared" si="145"/>
        <v>0</v>
      </c>
      <c r="AD3052" s="82">
        <f t="shared" si="146"/>
        <v>0</v>
      </c>
      <c r="AE3052" s="218">
        <v>0</v>
      </c>
      <c r="AF3052">
        <v>0</v>
      </c>
      <c r="AH3052" t="str">
        <f t="shared" si="144"/>
        <v>Sonvarsha</v>
      </c>
      <c r="AJ3052" s="72">
        <v>0</v>
      </c>
      <c r="AK3052" s="72"/>
      <c r="AL3052" s="72"/>
      <c r="AM3052" s="72"/>
    </row>
    <row r="3053" spans="1:39" x14ac:dyDescent="0.25">
      <c r="A3053" s="37" t="s">
        <v>62</v>
      </c>
      <c r="B3053" s="66" t="s">
        <v>1644</v>
      </c>
      <c r="C3053" s="4">
        <v>1006</v>
      </c>
      <c r="D3053" s="41" t="s">
        <v>183</v>
      </c>
      <c r="E3053" s="41">
        <v>10060089</v>
      </c>
      <c r="F3053" s="85" t="s">
        <v>1618</v>
      </c>
      <c r="G3053" s="39" t="s">
        <v>635</v>
      </c>
      <c r="H3053" s="52" t="s">
        <v>99</v>
      </c>
      <c r="I3053" s="52">
        <v>302.09999999999997</v>
      </c>
      <c r="J3053" s="49">
        <v>10500.844067754</v>
      </c>
      <c r="K3053" s="58">
        <v>0</v>
      </c>
      <c r="L3053" s="58">
        <v>0</v>
      </c>
      <c r="M3053" s="58">
        <v>0</v>
      </c>
      <c r="N3053" s="58">
        <v>0</v>
      </c>
      <c r="O3053" s="58">
        <v>0</v>
      </c>
      <c r="P3053" s="53">
        <v>0</v>
      </c>
      <c r="Q3053" s="65">
        <v>10500.844067754</v>
      </c>
      <c r="R3053" s="65">
        <v>0</v>
      </c>
      <c r="S3053" s="65">
        <v>0</v>
      </c>
      <c r="T3053" s="65">
        <v>0</v>
      </c>
      <c r="U3053" s="58">
        <v>0</v>
      </c>
      <c r="V3053" s="65">
        <v>0</v>
      </c>
      <c r="W3053" s="65">
        <v>0</v>
      </c>
      <c r="X3053" s="65">
        <v>0</v>
      </c>
      <c r="Y3053" s="65">
        <v>0</v>
      </c>
      <c r="Z3053" s="51">
        <v>10500.844067754</v>
      </c>
      <c r="AA3053" s="51">
        <v>0</v>
      </c>
      <c r="AB3053" s="102">
        <v>0</v>
      </c>
      <c r="AC3053" s="81">
        <f t="shared" si="145"/>
        <v>276.61607775963705</v>
      </c>
      <c r="AD3053" s="82">
        <f t="shared" si="146"/>
        <v>43.157142857142851</v>
      </c>
      <c r="AE3053" s="218">
        <v>0</v>
      </c>
      <c r="AF3053">
        <v>0</v>
      </c>
      <c r="AH3053" t="str">
        <f t="shared" si="144"/>
        <v>Sonvarsha</v>
      </c>
      <c r="AJ3053" s="72">
        <v>0</v>
      </c>
      <c r="AK3053" s="72"/>
      <c r="AL3053" s="72"/>
      <c r="AM3053" s="72"/>
    </row>
    <row r="3054" spans="1:39" x14ac:dyDescent="0.25">
      <c r="A3054" s="37" t="s">
        <v>62</v>
      </c>
      <c r="B3054" s="66" t="s">
        <v>1644</v>
      </c>
      <c r="C3054" s="4">
        <v>1059</v>
      </c>
      <c r="D3054" s="41" t="s">
        <v>1347</v>
      </c>
      <c r="E3054" s="41">
        <v>10060090</v>
      </c>
      <c r="F3054" s="85" t="s">
        <v>535</v>
      </c>
      <c r="G3054" s="39" t="s">
        <v>93</v>
      </c>
      <c r="H3054" s="52" t="s">
        <v>94</v>
      </c>
      <c r="I3054" s="52">
        <v>743.2</v>
      </c>
      <c r="J3054" s="49">
        <v>33512.196753013799</v>
      </c>
      <c r="K3054" s="58">
        <v>746.87999999999988</v>
      </c>
      <c r="L3054" s="58">
        <v>33648.186684430584</v>
      </c>
      <c r="M3054" s="58">
        <v>0</v>
      </c>
      <c r="N3054" s="58">
        <v>0</v>
      </c>
      <c r="O3054" s="58">
        <v>746.87999999999988</v>
      </c>
      <c r="P3054" s="53">
        <v>33648.186684430584</v>
      </c>
      <c r="Q3054" s="65">
        <v>33512.196753013799</v>
      </c>
      <c r="R3054" s="65">
        <v>0</v>
      </c>
      <c r="S3054" s="65">
        <v>0</v>
      </c>
      <c r="T3054" s="65">
        <v>135.98993141678511</v>
      </c>
      <c r="U3054" s="58">
        <v>0</v>
      </c>
      <c r="V3054" s="65">
        <v>0</v>
      </c>
      <c r="W3054" s="65">
        <v>0</v>
      </c>
      <c r="X3054" s="65">
        <v>33512</v>
      </c>
      <c r="Y3054" s="65">
        <v>0</v>
      </c>
      <c r="Z3054" s="51">
        <v>0</v>
      </c>
      <c r="AA3054" s="51">
        <v>0</v>
      </c>
      <c r="AB3054" s="102">
        <v>0</v>
      </c>
      <c r="AC3054" s="81">
        <f t="shared" si="145"/>
        <v>0</v>
      </c>
      <c r="AD3054" s="82">
        <f t="shared" si="146"/>
        <v>0</v>
      </c>
      <c r="AE3054" s="218">
        <v>-4.0579235201749445E-3</v>
      </c>
      <c r="AF3054">
        <v>3</v>
      </c>
      <c r="AH3054" t="str">
        <f t="shared" si="144"/>
        <v>Gopalpur Bmc</v>
      </c>
      <c r="AJ3054" s="72">
        <v>0</v>
      </c>
      <c r="AK3054" s="72"/>
      <c r="AL3054" s="72"/>
      <c r="AM3054" s="72"/>
    </row>
    <row r="3055" spans="1:39" x14ac:dyDescent="0.25">
      <c r="A3055" s="37" t="s">
        <v>62</v>
      </c>
      <c r="B3055" s="66" t="s">
        <v>1644</v>
      </c>
      <c r="C3055" s="4">
        <v>1006</v>
      </c>
      <c r="D3055" s="41" t="s">
        <v>183</v>
      </c>
      <c r="E3055" s="41">
        <v>10060096</v>
      </c>
      <c r="F3055" s="85" t="s">
        <v>536</v>
      </c>
      <c r="G3055" s="39" t="s">
        <v>635</v>
      </c>
      <c r="H3055" s="52" t="s">
        <v>99</v>
      </c>
      <c r="I3055" s="52">
        <v>1603.8</v>
      </c>
      <c r="J3055" s="49">
        <v>58979.239017030013</v>
      </c>
      <c r="K3055" s="58">
        <v>0</v>
      </c>
      <c r="L3055" s="58">
        <v>0</v>
      </c>
      <c r="M3055" s="58">
        <v>0</v>
      </c>
      <c r="N3055" s="58">
        <v>0</v>
      </c>
      <c r="O3055" s="58">
        <v>0</v>
      </c>
      <c r="P3055" s="53">
        <v>0</v>
      </c>
      <c r="Q3055" s="65">
        <v>58979.239017030013</v>
      </c>
      <c r="R3055" s="65">
        <v>0</v>
      </c>
      <c r="S3055" s="65">
        <v>0</v>
      </c>
      <c r="T3055" s="65">
        <v>0</v>
      </c>
      <c r="U3055" s="58">
        <v>0</v>
      </c>
      <c r="V3055" s="65">
        <v>0</v>
      </c>
      <c r="W3055" s="65">
        <v>0</v>
      </c>
      <c r="X3055" s="65">
        <v>0</v>
      </c>
      <c r="Y3055" s="65">
        <v>0</v>
      </c>
      <c r="Z3055" s="51">
        <v>58979.239017030013</v>
      </c>
      <c r="AA3055" s="51">
        <v>0</v>
      </c>
      <c r="AB3055" s="102">
        <v>0</v>
      </c>
      <c r="AC3055" s="81">
        <f t="shared" si="145"/>
        <v>0</v>
      </c>
      <c r="AD3055" s="82">
        <f t="shared" si="146"/>
        <v>0</v>
      </c>
      <c r="AE3055" s="218">
        <v>0</v>
      </c>
      <c r="AF3055">
        <v>0</v>
      </c>
      <c r="AH3055" t="str">
        <f t="shared" si="144"/>
        <v>Sonvarsha</v>
      </c>
      <c r="AJ3055" s="72">
        <v>0</v>
      </c>
      <c r="AK3055" s="72"/>
      <c r="AL3055" s="72"/>
      <c r="AM3055" s="72"/>
    </row>
    <row r="3056" spans="1:39" x14ac:dyDescent="0.25">
      <c r="A3056" s="37" t="s">
        <v>62</v>
      </c>
      <c r="B3056" s="66" t="s">
        <v>1644</v>
      </c>
      <c r="C3056" s="4">
        <v>1006</v>
      </c>
      <c r="D3056" s="41" t="s">
        <v>183</v>
      </c>
      <c r="E3056" s="41">
        <v>10060097</v>
      </c>
      <c r="F3056" s="85" t="s">
        <v>573</v>
      </c>
      <c r="G3056" s="39" t="s">
        <v>635</v>
      </c>
      <c r="H3056" s="52" t="s">
        <v>99</v>
      </c>
      <c r="I3056" s="52">
        <v>1475.3999999999999</v>
      </c>
      <c r="J3056" s="49">
        <v>55784.310402269999</v>
      </c>
      <c r="K3056" s="58">
        <v>0</v>
      </c>
      <c r="L3056" s="58">
        <v>0</v>
      </c>
      <c r="M3056" s="58">
        <v>0</v>
      </c>
      <c r="N3056" s="58">
        <v>0</v>
      </c>
      <c r="O3056" s="58">
        <v>0</v>
      </c>
      <c r="P3056" s="53">
        <v>0</v>
      </c>
      <c r="Q3056" s="65">
        <v>55784.310402269999</v>
      </c>
      <c r="R3056" s="65">
        <v>0</v>
      </c>
      <c r="S3056" s="65">
        <v>0</v>
      </c>
      <c r="T3056" s="65">
        <v>0</v>
      </c>
      <c r="U3056" s="58">
        <v>0</v>
      </c>
      <c r="V3056" s="65">
        <v>0</v>
      </c>
      <c r="W3056" s="65">
        <v>0</v>
      </c>
      <c r="X3056" s="65">
        <v>0</v>
      </c>
      <c r="Y3056" s="65">
        <v>0</v>
      </c>
      <c r="Z3056" s="51">
        <v>55784.310402269999</v>
      </c>
      <c r="AA3056" s="51">
        <v>0</v>
      </c>
      <c r="AB3056" s="102">
        <v>0</v>
      </c>
      <c r="AC3056" s="81">
        <f t="shared" si="145"/>
        <v>0</v>
      </c>
      <c r="AD3056" s="82">
        <f t="shared" si="146"/>
        <v>0</v>
      </c>
      <c r="AE3056" s="218">
        <v>0</v>
      </c>
      <c r="AF3056">
        <v>0</v>
      </c>
      <c r="AH3056" t="str">
        <f t="shared" si="144"/>
        <v>Sonvarsha</v>
      </c>
      <c r="AJ3056" s="72">
        <v>0</v>
      </c>
      <c r="AK3056" s="72"/>
      <c r="AL3056" s="72"/>
      <c r="AM3056" s="72"/>
    </row>
    <row r="3057" spans="1:39" x14ac:dyDescent="0.25">
      <c r="A3057" s="37" t="s">
        <v>62</v>
      </c>
      <c r="B3057" s="66" t="s">
        <v>1644</v>
      </c>
      <c r="C3057" s="4">
        <v>1006</v>
      </c>
      <c r="D3057" s="41" t="s">
        <v>183</v>
      </c>
      <c r="E3057" s="41">
        <v>10060098</v>
      </c>
      <c r="F3057" s="85" t="s">
        <v>664</v>
      </c>
      <c r="G3057" s="39" t="s">
        <v>93</v>
      </c>
      <c r="H3057" s="52" t="s">
        <v>94</v>
      </c>
      <c r="I3057" s="52">
        <v>2001.1999999999998</v>
      </c>
      <c r="J3057" s="49">
        <v>84276.171531773027</v>
      </c>
      <c r="K3057" s="58">
        <v>1270.1900000000003</v>
      </c>
      <c r="L3057" s="58">
        <v>55580.144521893206</v>
      </c>
      <c r="M3057" s="58">
        <v>728.3900000000001</v>
      </c>
      <c r="N3057" s="58">
        <v>28709.866911420002</v>
      </c>
      <c r="O3057" s="58">
        <v>1998.5800000000004</v>
      </c>
      <c r="P3057" s="53">
        <v>84290.011433313208</v>
      </c>
      <c r="Q3057" s="65">
        <v>84276.171531773027</v>
      </c>
      <c r="R3057" s="65">
        <v>0</v>
      </c>
      <c r="S3057" s="65">
        <v>415.42410816000006</v>
      </c>
      <c r="T3057" s="65">
        <v>13.839901540181017</v>
      </c>
      <c r="U3057" s="58">
        <v>6500</v>
      </c>
      <c r="V3057" s="65">
        <v>0</v>
      </c>
      <c r="W3057" s="65">
        <v>0</v>
      </c>
      <c r="X3057" s="65">
        <v>50367</v>
      </c>
      <c r="Y3057" s="65">
        <v>26994</v>
      </c>
      <c r="Z3057" s="51">
        <v>0</v>
      </c>
      <c r="AA3057" s="51">
        <v>0</v>
      </c>
      <c r="AB3057" s="102" t="s">
        <v>68</v>
      </c>
      <c r="AC3057" s="81">
        <f t="shared" si="145"/>
        <v>0</v>
      </c>
      <c r="AD3057" s="82">
        <f t="shared" si="146"/>
        <v>0</v>
      </c>
      <c r="AE3057" s="218">
        <v>-1.6422081459838532E-4</v>
      </c>
      <c r="AF3057">
        <v>17</v>
      </c>
      <c r="AH3057" t="str">
        <f t="shared" si="144"/>
        <v>Sonvarsha</v>
      </c>
      <c r="AJ3057" s="72">
        <v>0</v>
      </c>
      <c r="AK3057" s="72"/>
      <c r="AL3057" s="72"/>
      <c r="AM3057" s="72"/>
    </row>
    <row r="3058" spans="1:39" x14ac:dyDescent="0.25">
      <c r="A3058" s="37" t="s">
        <v>62</v>
      </c>
      <c r="B3058" s="66" t="s">
        <v>1644</v>
      </c>
      <c r="C3058" s="4">
        <v>1006</v>
      </c>
      <c r="D3058" s="41" t="s">
        <v>183</v>
      </c>
      <c r="E3058" s="41">
        <v>10060104</v>
      </c>
      <c r="F3058" s="85" t="s">
        <v>670</v>
      </c>
      <c r="G3058" s="39" t="s">
        <v>635</v>
      </c>
      <c r="H3058" s="52" t="s">
        <v>99</v>
      </c>
      <c r="I3058" s="52">
        <v>1817.6000000000001</v>
      </c>
      <c r="J3058" s="49">
        <v>64045.415535181506</v>
      </c>
      <c r="K3058" s="58">
        <v>0</v>
      </c>
      <c r="L3058" s="58">
        <v>0</v>
      </c>
      <c r="M3058" s="58">
        <v>0</v>
      </c>
      <c r="N3058" s="58">
        <v>0</v>
      </c>
      <c r="O3058" s="58">
        <v>0</v>
      </c>
      <c r="P3058" s="53">
        <v>0</v>
      </c>
      <c r="Q3058" s="65">
        <v>64045.415535181506</v>
      </c>
      <c r="R3058" s="65">
        <v>0</v>
      </c>
      <c r="S3058" s="65">
        <v>0</v>
      </c>
      <c r="T3058" s="65">
        <v>0</v>
      </c>
      <c r="U3058" s="58">
        <v>0</v>
      </c>
      <c r="V3058" s="65">
        <v>0</v>
      </c>
      <c r="W3058" s="65">
        <v>0</v>
      </c>
      <c r="X3058" s="65">
        <v>0</v>
      </c>
      <c r="Y3058" s="65">
        <v>0</v>
      </c>
      <c r="Z3058" s="51">
        <v>64045.415535181506</v>
      </c>
      <c r="AA3058" s="51">
        <v>0</v>
      </c>
      <c r="AB3058" s="102">
        <v>0</v>
      </c>
      <c r="AC3058" s="81">
        <f t="shared" si="145"/>
        <v>0</v>
      </c>
      <c r="AD3058" s="82">
        <f t="shared" si="146"/>
        <v>0</v>
      </c>
      <c r="AE3058" s="218">
        <v>0</v>
      </c>
      <c r="AF3058">
        <v>0</v>
      </c>
      <c r="AH3058" t="str">
        <f t="shared" si="144"/>
        <v>Sonvarsha</v>
      </c>
      <c r="AJ3058" s="72">
        <v>0</v>
      </c>
      <c r="AK3058" s="72"/>
      <c r="AL3058" s="72"/>
      <c r="AM3058" s="72"/>
    </row>
    <row r="3059" spans="1:39" x14ac:dyDescent="0.25">
      <c r="A3059" s="37" t="s">
        <v>62</v>
      </c>
      <c r="B3059" s="66" t="s">
        <v>1644</v>
      </c>
      <c r="C3059" s="4">
        <v>1006</v>
      </c>
      <c r="D3059" s="41" t="s">
        <v>183</v>
      </c>
      <c r="E3059" s="41">
        <v>10060106</v>
      </c>
      <c r="F3059" s="85" t="s">
        <v>698</v>
      </c>
      <c r="G3059" s="39" t="s">
        <v>93</v>
      </c>
      <c r="H3059" s="52" t="s">
        <v>94</v>
      </c>
      <c r="I3059" s="52">
        <v>711.80000000000007</v>
      </c>
      <c r="J3059" s="49">
        <v>35113.617462388997</v>
      </c>
      <c r="K3059" s="58">
        <v>698.78999999999985</v>
      </c>
      <c r="L3059" s="58">
        <v>36277.117412215594</v>
      </c>
      <c r="M3059" s="58">
        <v>8.26</v>
      </c>
      <c r="N3059" s="58">
        <v>362.60774670000001</v>
      </c>
      <c r="O3059" s="58">
        <v>707.04999999999984</v>
      </c>
      <c r="P3059" s="53">
        <v>36639.725158915593</v>
      </c>
      <c r="Q3059" s="65">
        <v>35113.617462388997</v>
      </c>
      <c r="R3059" s="65">
        <v>0</v>
      </c>
      <c r="S3059" s="65">
        <v>362.60774670000001</v>
      </c>
      <c r="T3059" s="65">
        <v>1526.1076965265966</v>
      </c>
      <c r="U3059" s="58">
        <v>0</v>
      </c>
      <c r="V3059" s="65">
        <v>0</v>
      </c>
      <c r="W3059" s="65">
        <v>0</v>
      </c>
      <c r="X3059" s="65">
        <v>34751</v>
      </c>
      <c r="Y3059" s="65">
        <v>0</v>
      </c>
      <c r="Z3059" s="51">
        <v>0</v>
      </c>
      <c r="AA3059" s="51">
        <v>0</v>
      </c>
      <c r="AB3059" s="102">
        <v>0</v>
      </c>
      <c r="AC3059" s="81">
        <f t="shared" si="145"/>
        <v>0</v>
      </c>
      <c r="AD3059" s="82">
        <f t="shared" si="146"/>
        <v>0</v>
      </c>
      <c r="AE3059" s="218">
        <v>-4.3461990156988116E-2</v>
      </c>
      <c r="AF3059">
        <v>10</v>
      </c>
      <c r="AH3059" t="str">
        <f t="shared" si="144"/>
        <v>Sonvarsha</v>
      </c>
      <c r="AJ3059" s="72">
        <v>0</v>
      </c>
      <c r="AK3059" s="72"/>
      <c r="AL3059" s="72"/>
      <c r="AM3059" s="72"/>
    </row>
    <row r="3060" spans="1:39" x14ac:dyDescent="0.25">
      <c r="A3060" s="37" t="s">
        <v>62</v>
      </c>
      <c r="B3060" s="66" t="s">
        <v>1644</v>
      </c>
      <c r="C3060" s="4">
        <v>1006</v>
      </c>
      <c r="D3060" s="41" t="s">
        <v>183</v>
      </c>
      <c r="E3060" s="41">
        <v>10060107</v>
      </c>
      <c r="F3060" s="85" t="s">
        <v>661</v>
      </c>
      <c r="G3060" s="39" t="s">
        <v>635</v>
      </c>
      <c r="H3060" s="52" t="s">
        <v>99</v>
      </c>
      <c r="I3060" s="52">
        <v>557.29999999999995</v>
      </c>
      <c r="J3060" s="49">
        <v>22511.129968500001</v>
      </c>
      <c r="K3060" s="58">
        <v>0</v>
      </c>
      <c r="L3060" s="58">
        <v>0</v>
      </c>
      <c r="M3060" s="58">
        <v>0</v>
      </c>
      <c r="N3060" s="58">
        <v>0</v>
      </c>
      <c r="O3060" s="58">
        <v>0</v>
      </c>
      <c r="P3060" s="53">
        <v>0</v>
      </c>
      <c r="Q3060" s="65">
        <v>22511.129968500001</v>
      </c>
      <c r="R3060" s="65">
        <v>0</v>
      </c>
      <c r="S3060" s="65">
        <v>0</v>
      </c>
      <c r="T3060" s="65">
        <v>0</v>
      </c>
      <c r="U3060" s="58">
        <v>0</v>
      </c>
      <c r="V3060" s="65">
        <v>0</v>
      </c>
      <c r="W3060" s="65">
        <v>0</v>
      </c>
      <c r="X3060" s="65">
        <v>0</v>
      </c>
      <c r="Y3060" s="65">
        <v>0</v>
      </c>
      <c r="Z3060" s="51">
        <v>22511.129968500001</v>
      </c>
      <c r="AA3060" s="51">
        <v>0</v>
      </c>
      <c r="AB3060" s="102">
        <v>0</v>
      </c>
      <c r="AC3060" s="81">
        <f t="shared" si="145"/>
        <v>115.28219079508166</v>
      </c>
      <c r="AD3060" s="82">
        <f t="shared" si="146"/>
        <v>79.614285714285714</v>
      </c>
      <c r="AE3060" s="218">
        <v>0</v>
      </c>
      <c r="AF3060">
        <v>0</v>
      </c>
      <c r="AH3060" t="str">
        <f t="shared" si="144"/>
        <v>Sonvarsha</v>
      </c>
      <c r="AJ3060" s="72">
        <v>0</v>
      </c>
      <c r="AK3060" s="72"/>
      <c r="AL3060" s="72"/>
      <c r="AM3060" s="72"/>
    </row>
    <row r="3061" spans="1:39" x14ac:dyDescent="0.25">
      <c r="A3061" s="37" t="s">
        <v>62</v>
      </c>
      <c r="B3061" s="66" t="s">
        <v>1644</v>
      </c>
      <c r="C3061" s="4">
        <v>1006</v>
      </c>
      <c r="D3061" s="41" t="s">
        <v>183</v>
      </c>
      <c r="E3061" s="41">
        <v>10060109</v>
      </c>
      <c r="F3061" s="85" t="s">
        <v>1124</v>
      </c>
      <c r="G3061" s="39" t="s">
        <v>93</v>
      </c>
      <c r="H3061" s="52" t="s">
        <v>94</v>
      </c>
      <c r="I3061" s="52">
        <v>21.699999999999996</v>
      </c>
      <c r="J3061" s="49">
        <v>714.76913117700008</v>
      </c>
      <c r="K3061" s="58">
        <v>21.700000000000003</v>
      </c>
      <c r="L3061" s="58">
        <v>765.68629100249996</v>
      </c>
      <c r="M3061" s="58">
        <v>0</v>
      </c>
      <c r="N3061" s="58">
        <v>0</v>
      </c>
      <c r="O3061" s="58">
        <v>21.700000000000003</v>
      </c>
      <c r="P3061" s="53">
        <v>765.68629100249996</v>
      </c>
      <c r="Q3061" s="65">
        <v>714.76913117700008</v>
      </c>
      <c r="R3061" s="65">
        <v>0</v>
      </c>
      <c r="S3061" s="65">
        <v>0</v>
      </c>
      <c r="T3061" s="65">
        <v>50.91715982549988</v>
      </c>
      <c r="U3061" s="58">
        <v>0</v>
      </c>
      <c r="V3061" s="65">
        <v>500</v>
      </c>
      <c r="W3061" s="65">
        <v>0</v>
      </c>
      <c r="X3061" s="65">
        <v>215</v>
      </c>
      <c r="Y3061" s="65">
        <v>0</v>
      </c>
      <c r="Z3061" s="51">
        <v>0</v>
      </c>
      <c r="AA3061" s="51">
        <v>0</v>
      </c>
      <c r="AB3061" s="102">
        <v>0</v>
      </c>
      <c r="AC3061" s="81">
        <f t="shared" si="145"/>
        <v>446.84599232936347</v>
      </c>
      <c r="AD3061" s="82">
        <f t="shared" si="146"/>
        <v>3.0999999999999992</v>
      </c>
      <c r="AE3061" s="218">
        <v>-7.1235812522646755E-2</v>
      </c>
      <c r="AF3061">
        <v>1</v>
      </c>
      <c r="AH3061" t="str">
        <f t="shared" si="144"/>
        <v>Sonvarsha</v>
      </c>
      <c r="AJ3061" s="72">
        <v>500</v>
      </c>
      <c r="AK3061" s="72"/>
      <c r="AL3061" s="72"/>
      <c r="AM3061" s="72"/>
    </row>
    <row r="3062" spans="1:39" x14ac:dyDescent="0.25">
      <c r="A3062" s="37" t="s">
        <v>62</v>
      </c>
      <c r="B3062" s="66" t="s">
        <v>1644</v>
      </c>
      <c r="C3062" s="4">
        <v>1006</v>
      </c>
      <c r="D3062" s="41" t="s">
        <v>183</v>
      </c>
      <c r="E3062" s="41">
        <v>10060110</v>
      </c>
      <c r="F3062" s="85" t="s">
        <v>846</v>
      </c>
      <c r="G3062" s="39" t="s">
        <v>93</v>
      </c>
      <c r="H3062" s="52" t="s">
        <v>94</v>
      </c>
      <c r="I3062" s="52">
        <v>232.89999999999998</v>
      </c>
      <c r="J3062" s="49">
        <v>9273.5803946100023</v>
      </c>
      <c r="K3062" s="58">
        <v>147.63999999999999</v>
      </c>
      <c r="L3062" s="58">
        <v>5964.0561679620005</v>
      </c>
      <c r="M3062" s="58">
        <v>97.51</v>
      </c>
      <c r="N3062" s="58">
        <v>3837.8716710060003</v>
      </c>
      <c r="O3062" s="58">
        <v>245.14999999999998</v>
      </c>
      <c r="P3062" s="53">
        <v>9801.9278389680003</v>
      </c>
      <c r="Q3062" s="65">
        <v>9273.5803946100023</v>
      </c>
      <c r="R3062" s="65">
        <v>0</v>
      </c>
      <c r="S3062" s="65">
        <v>50.421851790000005</v>
      </c>
      <c r="T3062" s="65">
        <v>528.34744435799803</v>
      </c>
      <c r="U3062" s="58">
        <v>0</v>
      </c>
      <c r="V3062" s="65">
        <v>500</v>
      </c>
      <c r="W3062" s="65">
        <v>0</v>
      </c>
      <c r="X3062" s="65">
        <v>4935</v>
      </c>
      <c r="Y3062" s="65">
        <v>3788</v>
      </c>
      <c r="Z3062" s="51">
        <v>0</v>
      </c>
      <c r="AA3062" s="51">
        <v>0</v>
      </c>
      <c r="AB3062" s="102">
        <v>0</v>
      </c>
      <c r="AC3062" s="81">
        <f t="shared" si="145"/>
        <v>371.97848023377696</v>
      </c>
      <c r="AD3062" s="82">
        <f t="shared" si="146"/>
        <v>33.271428571428565</v>
      </c>
      <c r="AE3062" s="218">
        <v>-5.697340421668038E-2</v>
      </c>
      <c r="AF3062">
        <v>8</v>
      </c>
      <c r="AH3062" t="str">
        <f t="shared" si="144"/>
        <v>Sonvarsha</v>
      </c>
      <c r="AJ3062" s="72">
        <v>500</v>
      </c>
      <c r="AK3062" s="72"/>
      <c r="AL3062" s="72"/>
      <c r="AM3062" s="72"/>
    </row>
    <row r="3063" spans="1:39" x14ac:dyDescent="0.25">
      <c r="A3063" s="37" t="s">
        <v>62</v>
      </c>
      <c r="B3063" s="66" t="s">
        <v>1644</v>
      </c>
      <c r="C3063" s="4">
        <v>1006</v>
      </c>
      <c r="D3063" s="41" t="s">
        <v>183</v>
      </c>
      <c r="E3063" s="41">
        <v>10060111</v>
      </c>
      <c r="F3063" s="85" t="s">
        <v>847</v>
      </c>
      <c r="G3063" s="39" t="s">
        <v>93</v>
      </c>
      <c r="H3063" s="52" t="s">
        <v>94</v>
      </c>
      <c r="I3063" s="52">
        <v>773.4</v>
      </c>
      <c r="J3063" s="49">
        <v>32687.409846724804</v>
      </c>
      <c r="K3063" s="58">
        <v>759.83999999999992</v>
      </c>
      <c r="L3063" s="58">
        <v>47759.767932808238</v>
      </c>
      <c r="M3063" s="58">
        <v>0</v>
      </c>
      <c r="N3063" s="58">
        <v>0</v>
      </c>
      <c r="O3063" s="58">
        <v>759.83999999999992</v>
      </c>
      <c r="P3063" s="53">
        <v>47759.767932808238</v>
      </c>
      <c r="Q3063" s="65">
        <v>32687.409846724804</v>
      </c>
      <c r="R3063" s="65">
        <v>0</v>
      </c>
      <c r="S3063" s="65">
        <v>0</v>
      </c>
      <c r="T3063" s="65">
        <v>15072.358086083434</v>
      </c>
      <c r="U3063" s="58">
        <v>0</v>
      </c>
      <c r="V3063" s="65">
        <v>0</v>
      </c>
      <c r="W3063" s="65">
        <v>0</v>
      </c>
      <c r="X3063" s="65">
        <v>32687</v>
      </c>
      <c r="Y3063" s="65">
        <v>0</v>
      </c>
      <c r="Z3063" s="51">
        <v>0</v>
      </c>
      <c r="AA3063" s="51">
        <v>0</v>
      </c>
      <c r="AB3063" s="102" t="s">
        <v>68</v>
      </c>
      <c r="AC3063" s="81">
        <f t="shared" si="145"/>
        <v>0</v>
      </c>
      <c r="AD3063" s="82">
        <f t="shared" si="146"/>
        <v>0</v>
      </c>
      <c r="AE3063" s="218">
        <v>-0.46110591682729019</v>
      </c>
      <c r="AF3063">
        <v>3</v>
      </c>
      <c r="AH3063" t="str">
        <f t="shared" si="144"/>
        <v>Sonvarsha</v>
      </c>
      <c r="AJ3063" s="72">
        <v>0</v>
      </c>
      <c r="AK3063" s="72"/>
      <c r="AL3063" s="72"/>
      <c r="AM3063" s="72"/>
    </row>
    <row r="3064" spans="1:39" x14ac:dyDescent="0.25">
      <c r="A3064" s="37" t="s">
        <v>62</v>
      </c>
      <c r="B3064" s="66" t="s">
        <v>1644</v>
      </c>
      <c r="C3064" s="4">
        <v>1006</v>
      </c>
      <c r="D3064" s="41" t="s">
        <v>183</v>
      </c>
      <c r="E3064" s="41">
        <v>10060112</v>
      </c>
      <c r="F3064" s="85" t="s">
        <v>1633</v>
      </c>
      <c r="G3064" s="39" t="s">
        <v>635</v>
      </c>
      <c r="H3064" s="52" t="s">
        <v>99</v>
      </c>
      <c r="I3064" s="52">
        <v>13.6</v>
      </c>
      <c r="J3064" s="49">
        <v>447.19779297600007</v>
      </c>
      <c r="K3064" s="58">
        <v>0</v>
      </c>
      <c r="L3064" s="58">
        <v>0</v>
      </c>
      <c r="M3064" s="58">
        <v>0</v>
      </c>
      <c r="N3064" s="58">
        <v>0</v>
      </c>
      <c r="O3064" s="58">
        <v>0</v>
      </c>
      <c r="P3064" s="53">
        <v>0</v>
      </c>
      <c r="Q3064" s="65">
        <v>447.19779297600007</v>
      </c>
      <c r="R3064" s="65">
        <v>0</v>
      </c>
      <c r="S3064" s="65">
        <v>0</v>
      </c>
      <c r="T3064" s="65">
        <v>0</v>
      </c>
      <c r="U3064" s="58">
        <v>0</v>
      </c>
      <c r="V3064" s="65">
        <v>0</v>
      </c>
      <c r="W3064" s="65">
        <v>0</v>
      </c>
      <c r="X3064" s="65">
        <v>0</v>
      </c>
      <c r="Y3064" s="65">
        <v>0</v>
      </c>
      <c r="Z3064" s="51">
        <v>447.19779297600007</v>
      </c>
      <c r="AA3064" s="51">
        <v>0</v>
      </c>
      <c r="AB3064" s="102">
        <v>0</v>
      </c>
      <c r="AC3064" s="81">
        <f t="shared" si="145"/>
        <v>451.40671338048014</v>
      </c>
      <c r="AD3064" s="82">
        <f t="shared" si="146"/>
        <v>1.9428571428571428</v>
      </c>
      <c r="AE3064" s="218">
        <v>0</v>
      </c>
      <c r="AF3064">
        <v>0</v>
      </c>
      <c r="AH3064" t="str">
        <f t="shared" si="144"/>
        <v>Sonvarsha</v>
      </c>
      <c r="AJ3064" s="72">
        <v>0</v>
      </c>
      <c r="AK3064" s="72"/>
      <c r="AL3064" s="72"/>
      <c r="AM3064" s="72"/>
    </row>
    <row r="3065" spans="1:39" x14ac:dyDescent="0.25">
      <c r="A3065" s="37" t="s">
        <v>62</v>
      </c>
      <c r="B3065" s="66" t="s">
        <v>1644</v>
      </c>
      <c r="C3065" s="4">
        <v>1006</v>
      </c>
      <c r="D3065" s="41" t="s">
        <v>183</v>
      </c>
      <c r="E3065" s="41">
        <v>10060113</v>
      </c>
      <c r="F3065" s="85" t="s">
        <v>848</v>
      </c>
      <c r="G3065" s="39" t="s">
        <v>635</v>
      </c>
      <c r="H3065" s="52" t="s">
        <v>99</v>
      </c>
      <c r="I3065" s="52">
        <v>626.29999999999995</v>
      </c>
      <c r="J3065" s="49">
        <v>24449.989758480002</v>
      </c>
      <c r="K3065" s="58">
        <v>0</v>
      </c>
      <c r="L3065" s="58">
        <v>0</v>
      </c>
      <c r="M3065" s="58">
        <v>0</v>
      </c>
      <c r="N3065" s="58">
        <v>0</v>
      </c>
      <c r="O3065" s="58">
        <v>0</v>
      </c>
      <c r="P3065" s="53">
        <v>0</v>
      </c>
      <c r="Q3065" s="65">
        <v>24449.989758480002</v>
      </c>
      <c r="R3065" s="65">
        <v>0</v>
      </c>
      <c r="S3065" s="65">
        <v>0</v>
      </c>
      <c r="T3065" s="65">
        <v>0</v>
      </c>
      <c r="U3065" s="58">
        <v>0</v>
      </c>
      <c r="V3065" s="65">
        <v>0</v>
      </c>
      <c r="W3065" s="65">
        <v>0</v>
      </c>
      <c r="X3065" s="65">
        <v>0</v>
      </c>
      <c r="Y3065" s="65">
        <v>0</v>
      </c>
      <c r="Z3065" s="51">
        <v>24449.989758480002</v>
      </c>
      <c r="AA3065" s="51">
        <v>0</v>
      </c>
      <c r="AB3065" s="102">
        <v>0</v>
      </c>
      <c r="AC3065" s="81">
        <f t="shared" si="145"/>
        <v>57.543166060992434</v>
      </c>
      <c r="AD3065" s="82">
        <f t="shared" si="146"/>
        <v>89.471428571428561</v>
      </c>
      <c r="AE3065" s="218">
        <v>0</v>
      </c>
      <c r="AF3065">
        <v>0</v>
      </c>
      <c r="AH3065" t="str">
        <f t="shared" si="144"/>
        <v>Sonvarsha</v>
      </c>
      <c r="AJ3065" s="72">
        <v>0</v>
      </c>
      <c r="AK3065" s="72"/>
      <c r="AL3065" s="72"/>
      <c r="AM3065" s="72"/>
    </row>
    <row r="3066" spans="1:39" x14ac:dyDescent="0.25">
      <c r="A3066" s="37" t="s">
        <v>62</v>
      </c>
      <c r="B3066" s="66" t="s">
        <v>1644</v>
      </c>
      <c r="C3066" s="4">
        <v>1006</v>
      </c>
      <c r="D3066" s="41" t="s">
        <v>183</v>
      </c>
      <c r="E3066" s="41">
        <v>10060114</v>
      </c>
      <c r="F3066" s="85" t="s">
        <v>1129</v>
      </c>
      <c r="G3066" s="39" t="s">
        <v>93</v>
      </c>
      <c r="H3066" s="52" t="s">
        <v>94</v>
      </c>
      <c r="I3066" s="52">
        <v>490.70000000000005</v>
      </c>
      <c r="J3066" s="49">
        <v>19411.598320290002</v>
      </c>
      <c r="K3066" s="58">
        <v>490.5</v>
      </c>
      <c r="L3066" s="58">
        <v>19436.847591630001</v>
      </c>
      <c r="M3066" s="58">
        <v>0</v>
      </c>
      <c r="N3066" s="58">
        <v>0</v>
      </c>
      <c r="O3066" s="58">
        <v>490.5</v>
      </c>
      <c r="P3066" s="53">
        <v>19436.847591630001</v>
      </c>
      <c r="Q3066" s="65">
        <v>19411.598320290002</v>
      </c>
      <c r="R3066" s="65">
        <v>0</v>
      </c>
      <c r="S3066" s="65">
        <v>0</v>
      </c>
      <c r="T3066" s="65">
        <v>25.249271339998813</v>
      </c>
      <c r="U3066" s="58">
        <v>0</v>
      </c>
      <c r="V3066" s="65">
        <v>0</v>
      </c>
      <c r="W3066" s="65">
        <v>0</v>
      </c>
      <c r="X3066" s="65">
        <v>19317</v>
      </c>
      <c r="Y3066" s="65">
        <v>0</v>
      </c>
      <c r="Z3066" s="51">
        <v>0</v>
      </c>
      <c r="AA3066" s="51">
        <v>95</v>
      </c>
      <c r="AB3066" s="102">
        <v>0</v>
      </c>
      <c r="AC3066" s="81">
        <f t="shared" si="145"/>
        <v>165.59394858107586</v>
      </c>
      <c r="AD3066" s="82">
        <f t="shared" si="146"/>
        <v>70.100000000000009</v>
      </c>
      <c r="AE3066" s="218">
        <v>-1.3007311877871991E-3</v>
      </c>
      <c r="AF3066">
        <v>1</v>
      </c>
      <c r="AH3066" t="str">
        <f t="shared" si="144"/>
        <v>Sonvarsha</v>
      </c>
      <c r="AJ3066" s="72">
        <v>0</v>
      </c>
      <c r="AK3066" s="72"/>
      <c r="AL3066" s="72"/>
      <c r="AM3066" s="72"/>
    </row>
    <row r="3067" spans="1:39" x14ac:dyDescent="0.25">
      <c r="A3067" s="37" t="s">
        <v>62</v>
      </c>
      <c r="B3067" s="66" t="s">
        <v>1644</v>
      </c>
      <c r="C3067" s="4">
        <v>1006</v>
      </c>
      <c r="D3067" s="41" t="s">
        <v>183</v>
      </c>
      <c r="E3067" s="41">
        <v>10060116</v>
      </c>
      <c r="F3067" s="85" t="s">
        <v>1189</v>
      </c>
      <c r="G3067" s="39" t="s">
        <v>93</v>
      </c>
      <c r="H3067" s="52" t="s">
        <v>94</v>
      </c>
      <c r="I3067" s="52">
        <v>88.899999999999991</v>
      </c>
      <c r="J3067" s="49">
        <v>3398.1539450400005</v>
      </c>
      <c r="K3067" s="58">
        <v>129.20000000000002</v>
      </c>
      <c r="L3067" s="58">
        <v>4944.5758280700002</v>
      </c>
      <c r="M3067" s="58">
        <v>11.4</v>
      </c>
      <c r="N3067" s="58">
        <v>446.4603396</v>
      </c>
      <c r="O3067" s="58">
        <v>140.60000000000002</v>
      </c>
      <c r="P3067" s="53">
        <v>5391.0361676700004</v>
      </c>
      <c r="Q3067" s="65">
        <v>3398.1539450400005</v>
      </c>
      <c r="R3067" s="65">
        <v>0</v>
      </c>
      <c r="S3067" s="65">
        <v>33.410163600000004</v>
      </c>
      <c r="T3067" s="65">
        <v>1992.8822226299999</v>
      </c>
      <c r="U3067" s="58">
        <v>0</v>
      </c>
      <c r="V3067" s="65">
        <v>0</v>
      </c>
      <c r="W3067" s="65">
        <v>0</v>
      </c>
      <c r="X3067" s="65">
        <v>2952</v>
      </c>
      <c r="Y3067" s="65">
        <v>413</v>
      </c>
      <c r="Z3067" s="51">
        <v>0</v>
      </c>
      <c r="AA3067" s="51">
        <v>0</v>
      </c>
      <c r="AB3067" s="102">
        <v>0</v>
      </c>
      <c r="AC3067" s="81">
        <f t="shared" si="145"/>
        <v>467.17927464880648</v>
      </c>
      <c r="AD3067" s="82">
        <f t="shared" si="146"/>
        <v>12.7</v>
      </c>
      <c r="AE3067" s="218">
        <v>-0.5864602530850147</v>
      </c>
      <c r="AF3067">
        <v>3</v>
      </c>
      <c r="AH3067" t="str">
        <f t="shared" ref="AH3067:AH3130" si="147">TEXT(D3067,"0000")</f>
        <v>Sonvarsha</v>
      </c>
      <c r="AJ3067" s="72">
        <v>0</v>
      </c>
      <c r="AK3067" s="72"/>
      <c r="AL3067" s="72"/>
      <c r="AM3067" s="72"/>
    </row>
    <row r="3068" spans="1:39" x14ac:dyDescent="0.25">
      <c r="A3068" s="37" t="s">
        <v>62</v>
      </c>
      <c r="B3068" s="66" t="s">
        <v>1644</v>
      </c>
      <c r="C3068" s="4">
        <v>1006</v>
      </c>
      <c r="D3068" s="41" t="s">
        <v>183</v>
      </c>
      <c r="E3068" s="41">
        <v>10060118</v>
      </c>
      <c r="F3068" s="85" t="s">
        <v>1195</v>
      </c>
      <c r="G3068" s="39" t="s">
        <v>93</v>
      </c>
      <c r="H3068" s="52" t="s">
        <v>94</v>
      </c>
      <c r="I3068" s="52">
        <v>252.6</v>
      </c>
      <c r="J3068" s="49">
        <v>11775.344186254002</v>
      </c>
      <c r="K3068" s="58">
        <v>79</v>
      </c>
      <c r="L3068" s="58">
        <v>3785.0745180780004</v>
      </c>
      <c r="M3068" s="58">
        <v>376.66999999999996</v>
      </c>
      <c r="N3068" s="58">
        <v>19136.765336149656</v>
      </c>
      <c r="O3068" s="58">
        <v>455.66999999999996</v>
      </c>
      <c r="P3068" s="53">
        <v>22921.839854227655</v>
      </c>
      <c r="Q3068" s="65">
        <v>11775.344186254002</v>
      </c>
      <c r="R3068" s="65">
        <v>0</v>
      </c>
      <c r="S3068" s="65">
        <v>0</v>
      </c>
      <c r="T3068" s="65">
        <v>11146.495667973653</v>
      </c>
      <c r="U3068" s="58">
        <v>0</v>
      </c>
      <c r="V3068" s="65">
        <v>0</v>
      </c>
      <c r="W3068" s="65">
        <v>0</v>
      </c>
      <c r="X3068" s="65">
        <v>0</v>
      </c>
      <c r="Y3068" s="65">
        <v>11775</v>
      </c>
      <c r="Z3068" s="51">
        <v>0</v>
      </c>
      <c r="AA3068" s="51">
        <v>0</v>
      </c>
      <c r="AB3068" s="102" t="s">
        <v>68</v>
      </c>
      <c r="AC3068" s="81">
        <f t="shared" si="145"/>
        <v>417.12501891765965</v>
      </c>
      <c r="AD3068" s="82">
        <f t="shared" si="146"/>
        <v>36.085714285714282</v>
      </c>
      <c r="AE3068" s="218">
        <v>-0.9465961666738848</v>
      </c>
      <c r="AF3068">
        <v>8</v>
      </c>
      <c r="AH3068" t="str">
        <f t="shared" si="147"/>
        <v>Sonvarsha</v>
      </c>
      <c r="AJ3068" s="72">
        <v>0</v>
      </c>
      <c r="AK3068" s="72"/>
      <c r="AL3068" s="72"/>
      <c r="AM3068" s="72"/>
    </row>
    <row r="3069" spans="1:39" x14ac:dyDescent="0.25">
      <c r="A3069" s="37" t="s">
        <v>62</v>
      </c>
      <c r="B3069" s="66" t="s">
        <v>1644</v>
      </c>
      <c r="C3069" s="4">
        <v>1006</v>
      </c>
      <c r="D3069" s="41" t="s">
        <v>183</v>
      </c>
      <c r="E3069" s="41">
        <v>10060120</v>
      </c>
      <c r="F3069" s="85" t="s">
        <v>1421</v>
      </c>
      <c r="G3069" s="39" t="s">
        <v>635</v>
      </c>
      <c r="H3069" s="52" t="s">
        <v>99</v>
      </c>
      <c r="I3069" s="52">
        <v>80.100000000000009</v>
      </c>
      <c r="J3069" s="49">
        <v>4178.3073246670001</v>
      </c>
      <c r="K3069" s="58">
        <v>0</v>
      </c>
      <c r="L3069" s="58">
        <v>0</v>
      </c>
      <c r="M3069" s="58">
        <v>0</v>
      </c>
      <c r="N3069" s="58">
        <v>0</v>
      </c>
      <c r="O3069" s="58">
        <v>0</v>
      </c>
      <c r="P3069" s="53">
        <v>0</v>
      </c>
      <c r="Q3069" s="65">
        <v>4178.3073246670001</v>
      </c>
      <c r="R3069" s="65">
        <v>0</v>
      </c>
      <c r="S3069" s="65">
        <v>0</v>
      </c>
      <c r="T3069" s="65">
        <v>0</v>
      </c>
      <c r="U3069" s="58">
        <v>0</v>
      </c>
      <c r="V3069" s="65">
        <v>0</v>
      </c>
      <c r="W3069" s="65">
        <v>0</v>
      </c>
      <c r="X3069" s="65">
        <v>0</v>
      </c>
      <c r="Y3069" s="65">
        <v>0</v>
      </c>
      <c r="Z3069" s="51">
        <v>4178.3073246670001</v>
      </c>
      <c r="AA3069" s="51">
        <v>0</v>
      </c>
      <c r="AB3069" s="102">
        <v>0</v>
      </c>
      <c r="AC3069" s="81">
        <f t="shared" si="145"/>
        <v>646.72477167567365</v>
      </c>
      <c r="AD3069" s="82">
        <f t="shared" si="146"/>
        <v>11.442857142857145</v>
      </c>
      <c r="AE3069" s="218">
        <v>0</v>
      </c>
      <c r="AF3069">
        <v>0</v>
      </c>
      <c r="AH3069" t="str">
        <f t="shared" si="147"/>
        <v>Sonvarsha</v>
      </c>
      <c r="AJ3069" s="72">
        <v>0</v>
      </c>
      <c r="AK3069" s="72"/>
      <c r="AL3069" s="72"/>
      <c r="AM3069" s="72"/>
    </row>
    <row r="3070" spans="1:39" x14ac:dyDescent="0.25">
      <c r="A3070" s="37" t="s">
        <v>62</v>
      </c>
      <c r="B3070" s="66" t="s">
        <v>1644</v>
      </c>
      <c r="C3070" s="4">
        <v>1006</v>
      </c>
      <c r="D3070" s="41" t="s">
        <v>183</v>
      </c>
      <c r="E3070" s="41">
        <v>10060122</v>
      </c>
      <c r="F3070" s="85" t="s">
        <v>1216</v>
      </c>
      <c r="G3070" s="39" t="s">
        <v>635</v>
      </c>
      <c r="H3070" s="52" t="s">
        <v>99</v>
      </c>
      <c r="I3070" s="52">
        <v>184.39999999999998</v>
      </c>
      <c r="J3070" s="49">
        <v>6710.8835713935014</v>
      </c>
      <c r="K3070" s="58">
        <v>0</v>
      </c>
      <c r="L3070" s="58">
        <v>0</v>
      </c>
      <c r="M3070" s="58">
        <v>0</v>
      </c>
      <c r="N3070" s="58">
        <v>0</v>
      </c>
      <c r="O3070" s="58">
        <v>0</v>
      </c>
      <c r="P3070" s="53">
        <v>0</v>
      </c>
      <c r="Q3070" s="65">
        <v>6710.8835713935014</v>
      </c>
      <c r="R3070" s="65">
        <v>0</v>
      </c>
      <c r="S3070" s="65">
        <v>0</v>
      </c>
      <c r="T3070" s="65">
        <v>0</v>
      </c>
      <c r="U3070" s="58">
        <v>0</v>
      </c>
      <c r="V3070" s="65">
        <v>0</v>
      </c>
      <c r="W3070" s="65">
        <v>0</v>
      </c>
      <c r="X3070" s="65">
        <v>0</v>
      </c>
      <c r="Y3070" s="65">
        <v>0</v>
      </c>
      <c r="Z3070" s="51">
        <v>6710.8835713935014</v>
      </c>
      <c r="AA3070" s="51">
        <v>0</v>
      </c>
      <c r="AB3070" s="102">
        <v>0</v>
      </c>
      <c r="AC3070" s="81">
        <f t="shared" si="145"/>
        <v>375.28541967575808</v>
      </c>
      <c r="AD3070" s="82">
        <f t="shared" si="146"/>
        <v>26.342857142857138</v>
      </c>
      <c r="AE3070" s="218">
        <v>0</v>
      </c>
      <c r="AF3070">
        <v>0</v>
      </c>
      <c r="AH3070" t="str">
        <f t="shared" si="147"/>
        <v>Sonvarsha</v>
      </c>
      <c r="AJ3070" s="72">
        <v>0</v>
      </c>
      <c r="AK3070" s="72"/>
      <c r="AL3070" s="72"/>
      <c r="AM3070" s="72"/>
    </row>
    <row r="3071" spans="1:39" x14ac:dyDescent="0.25">
      <c r="A3071" s="37" t="s">
        <v>62</v>
      </c>
      <c r="B3071" s="66" t="s">
        <v>1644</v>
      </c>
      <c r="C3071" s="4">
        <v>1006</v>
      </c>
      <c r="D3071" s="41" t="s">
        <v>183</v>
      </c>
      <c r="E3071" s="41">
        <v>10060125</v>
      </c>
      <c r="F3071" s="85" t="s">
        <v>1310</v>
      </c>
      <c r="G3071" s="39" t="s">
        <v>635</v>
      </c>
      <c r="H3071" s="52" t="s">
        <v>99</v>
      </c>
      <c r="I3071" s="52">
        <v>109.20000000000002</v>
      </c>
      <c r="J3071" s="49">
        <v>4962.9404443980002</v>
      </c>
      <c r="K3071" s="58">
        <v>0</v>
      </c>
      <c r="L3071" s="58">
        <v>0</v>
      </c>
      <c r="M3071" s="58">
        <v>0</v>
      </c>
      <c r="N3071" s="58">
        <v>0</v>
      </c>
      <c r="O3071" s="58">
        <v>0</v>
      </c>
      <c r="P3071" s="53">
        <v>0</v>
      </c>
      <c r="Q3071" s="65">
        <v>4962.9404443980002</v>
      </c>
      <c r="R3071" s="65">
        <v>0</v>
      </c>
      <c r="S3071" s="65">
        <v>0</v>
      </c>
      <c r="T3071" s="65">
        <v>0</v>
      </c>
      <c r="U3071" s="58">
        <v>0</v>
      </c>
      <c r="V3071" s="65">
        <v>0</v>
      </c>
      <c r="W3071" s="65">
        <v>0</v>
      </c>
      <c r="X3071" s="65">
        <v>0</v>
      </c>
      <c r="Y3071" s="65">
        <v>0</v>
      </c>
      <c r="Z3071" s="51">
        <v>4962.9404443980002</v>
      </c>
      <c r="AA3071" s="51">
        <v>0</v>
      </c>
      <c r="AB3071" s="102">
        <v>0</v>
      </c>
      <c r="AC3071" s="81">
        <f t="shared" si="145"/>
        <v>537.01560706050145</v>
      </c>
      <c r="AD3071" s="82">
        <f t="shared" si="146"/>
        <v>15.600000000000003</v>
      </c>
      <c r="AE3071" s="218">
        <v>0</v>
      </c>
      <c r="AF3071">
        <v>0</v>
      </c>
      <c r="AH3071" t="str">
        <f t="shared" si="147"/>
        <v>Sonvarsha</v>
      </c>
      <c r="AJ3071" s="72">
        <v>0</v>
      </c>
      <c r="AK3071" s="72"/>
      <c r="AL3071" s="72"/>
      <c r="AM3071" s="72"/>
    </row>
    <row r="3072" spans="1:39" x14ac:dyDescent="0.25">
      <c r="A3072" s="37" t="s">
        <v>62</v>
      </c>
      <c r="B3072" s="66" t="s">
        <v>1644</v>
      </c>
      <c r="C3072" s="4">
        <v>1006</v>
      </c>
      <c r="D3072" s="41" t="s">
        <v>183</v>
      </c>
      <c r="E3072" s="41">
        <v>10060126</v>
      </c>
      <c r="F3072" s="85" t="s">
        <v>1311</v>
      </c>
      <c r="G3072" s="39" t="s">
        <v>93</v>
      </c>
      <c r="H3072" s="52" t="s">
        <v>94</v>
      </c>
      <c r="I3072" s="52">
        <v>1327.6999999999998</v>
      </c>
      <c r="J3072" s="49">
        <v>43661.336351485501</v>
      </c>
      <c r="K3072" s="58">
        <v>1310.6999999999998</v>
      </c>
      <c r="L3072" s="58">
        <v>44889.17940353851</v>
      </c>
      <c r="M3072" s="58">
        <v>108</v>
      </c>
      <c r="N3072" s="58">
        <v>3873.1363956000005</v>
      </c>
      <c r="O3072" s="58">
        <v>1418.6999999999998</v>
      </c>
      <c r="P3072" s="53">
        <v>48762.315799138509</v>
      </c>
      <c r="Q3072" s="65">
        <v>43661.336351485501</v>
      </c>
      <c r="R3072" s="65">
        <v>0</v>
      </c>
      <c r="S3072" s="65">
        <v>0</v>
      </c>
      <c r="T3072" s="65">
        <v>5100.9794476530078</v>
      </c>
      <c r="U3072" s="58">
        <v>0</v>
      </c>
      <c r="V3072" s="65">
        <v>0</v>
      </c>
      <c r="W3072" s="65">
        <v>0</v>
      </c>
      <c r="X3072" s="65">
        <v>39788</v>
      </c>
      <c r="Y3072" s="65">
        <v>3873</v>
      </c>
      <c r="Z3072" s="51">
        <v>0</v>
      </c>
      <c r="AA3072" s="51">
        <v>0</v>
      </c>
      <c r="AB3072" s="102">
        <v>0</v>
      </c>
      <c r="AC3072" s="81">
        <f t="shared" si="145"/>
        <v>0</v>
      </c>
      <c r="AD3072" s="82">
        <f t="shared" si="146"/>
        <v>0</v>
      </c>
      <c r="AE3072" s="218">
        <v>-0.11683058453797088</v>
      </c>
      <c r="AF3072">
        <v>4</v>
      </c>
      <c r="AH3072" t="str">
        <f t="shared" si="147"/>
        <v>Sonvarsha</v>
      </c>
      <c r="AJ3072" s="72">
        <v>0</v>
      </c>
      <c r="AK3072" s="72"/>
      <c r="AL3072" s="72"/>
      <c r="AM3072" s="72"/>
    </row>
    <row r="3073" spans="1:39" x14ac:dyDescent="0.25">
      <c r="A3073" s="37" t="s">
        <v>62</v>
      </c>
      <c r="B3073" s="66" t="s">
        <v>1644</v>
      </c>
      <c r="C3073" s="4">
        <v>1006</v>
      </c>
      <c r="D3073" s="41" t="s">
        <v>183</v>
      </c>
      <c r="E3073" s="41">
        <v>10060129</v>
      </c>
      <c r="F3073" s="85" t="s">
        <v>1400</v>
      </c>
      <c r="G3073" s="39" t="s">
        <v>93</v>
      </c>
      <c r="H3073" s="52" t="s">
        <v>94</v>
      </c>
      <c r="I3073" s="52">
        <v>246.40000000000006</v>
      </c>
      <c r="J3073" s="49">
        <v>9820.5852834600028</v>
      </c>
      <c r="K3073" s="58">
        <v>249.1</v>
      </c>
      <c r="L3073" s="58">
        <v>9959.0190824100009</v>
      </c>
      <c r="M3073" s="58">
        <v>16.5</v>
      </c>
      <c r="N3073" s="58">
        <v>618.41294331000006</v>
      </c>
      <c r="O3073" s="58">
        <v>265.60000000000002</v>
      </c>
      <c r="P3073" s="53">
        <v>10577.432025720002</v>
      </c>
      <c r="Q3073" s="65">
        <v>9820.5852834600028</v>
      </c>
      <c r="R3073" s="65">
        <v>0</v>
      </c>
      <c r="S3073" s="65">
        <v>126.83089851000001</v>
      </c>
      <c r="T3073" s="65">
        <v>756.84674225999879</v>
      </c>
      <c r="U3073" s="58">
        <v>0</v>
      </c>
      <c r="V3073" s="65">
        <v>0</v>
      </c>
      <c r="W3073" s="65">
        <v>0</v>
      </c>
      <c r="X3073" s="65">
        <v>9202</v>
      </c>
      <c r="Y3073" s="65">
        <v>492</v>
      </c>
      <c r="Z3073" s="51">
        <v>0</v>
      </c>
      <c r="AA3073" s="51">
        <v>0</v>
      </c>
      <c r="AB3073" s="102">
        <v>0</v>
      </c>
      <c r="AC3073" s="81">
        <f t="shared" ref="AC3073:AC3136" si="148">((IF(AD3073=0,0,100-AD3073))*7*(J3073/I3073))*2%</f>
        <v>361.57609452739092</v>
      </c>
      <c r="AD3073" s="82">
        <f t="shared" ref="AD3073:AD3136" si="149">IF((I3073/7)&gt;100,0,(I3073/7))</f>
        <v>35.20000000000001</v>
      </c>
      <c r="AE3073" s="218">
        <v>-7.7067376374674229E-2</v>
      </c>
      <c r="AF3073">
        <v>3</v>
      </c>
      <c r="AH3073" t="str">
        <f t="shared" si="147"/>
        <v>Sonvarsha</v>
      </c>
      <c r="AJ3073" s="72">
        <v>0</v>
      </c>
      <c r="AK3073" s="72"/>
      <c r="AL3073" s="72"/>
      <c r="AM3073" s="72"/>
    </row>
    <row r="3074" spans="1:39" x14ac:dyDescent="0.25">
      <c r="A3074" s="37" t="s">
        <v>62</v>
      </c>
      <c r="B3074" s="66" t="s">
        <v>1644</v>
      </c>
      <c r="C3074" s="4">
        <v>1006</v>
      </c>
      <c r="D3074" s="41" t="s">
        <v>183</v>
      </c>
      <c r="E3074" s="41">
        <v>10060130</v>
      </c>
      <c r="F3074" s="85" t="s">
        <v>1383</v>
      </c>
      <c r="G3074" s="39" t="s">
        <v>93</v>
      </c>
      <c r="H3074" s="52" t="s">
        <v>94</v>
      </c>
      <c r="I3074" s="52">
        <v>928.59999999999991</v>
      </c>
      <c r="J3074" s="49">
        <v>36827.069875740002</v>
      </c>
      <c r="K3074" s="58">
        <v>655.22000000000014</v>
      </c>
      <c r="L3074" s="58">
        <v>25146.671884429004</v>
      </c>
      <c r="M3074" s="58">
        <v>276.35000000000002</v>
      </c>
      <c r="N3074" s="58">
        <v>11981.627327420079</v>
      </c>
      <c r="O3074" s="58">
        <v>931.57000000000016</v>
      </c>
      <c r="P3074" s="53">
        <v>37128.29921184908</v>
      </c>
      <c r="Q3074" s="65">
        <v>36827.069875740002</v>
      </c>
      <c r="R3074" s="65">
        <v>0</v>
      </c>
      <c r="S3074" s="65">
        <v>0</v>
      </c>
      <c r="T3074" s="65">
        <v>301.22933610907785</v>
      </c>
      <c r="U3074" s="58">
        <v>6500</v>
      </c>
      <c r="V3074" s="65">
        <v>0</v>
      </c>
      <c r="W3074" s="65">
        <v>0</v>
      </c>
      <c r="X3074" s="65">
        <v>18346</v>
      </c>
      <c r="Y3074" s="65">
        <v>11981</v>
      </c>
      <c r="Z3074" s="51">
        <v>0</v>
      </c>
      <c r="AA3074" s="51">
        <v>0</v>
      </c>
      <c r="AB3074" s="102" t="s">
        <v>68</v>
      </c>
      <c r="AC3074" s="81">
        <f t="shared" si="148"/>
        <v>0</v>
      </c>
      <c r="AD3074" s="82">
        <f t="shared" si="149"/>
        <v>0</v>
      </c>
      <c r="AE3074" s="218">
        <v>-8.1795629444718337E-3</v>
      </c>
      <c r="AF3074">
        <v>14</v>
      </c>
      <c r="AH3074" t="str">
        <f t="shared" si="147"/>
        <v>Sonvarsha</v>
      </c>
      <c r="AJ3074" s="72">
        <v>0</v>
      </c>
      <c r="AK3074" s="72"/>
      <c r="AL3074" s="72"/>
      <c r="AM3074" s="72"/>
    </row>
    <row r="3075" spans="1:39" x14ac:dyDescent="0.25">
      <c r="A3075" s="37" t="s">
        <v>62</v>
      </c>
      <c r="B3075" s="66" t="s">
        <v>1644</v>
      </c>
      <c r="C3075" s="4">
        <v>1006</v>
      </c>
      <c r="D3075" s="41" t="s">
        <v>183</v>
      </c>
      <c r="E3075" s="41">
        <v>10060133</v>
      </c>
      <c r="F3075" s="85" t="s">
        <v>1544</v>
      </c>
      <c r="G3075" s="39" t="s">
        <v>635</v>
      </c>
      <c r="H3075" s="52" t="s">
        <v>99</v>
      </c>
      <c r="I3075" s="52">
        <v>602.5</v>
      </c>
      <c r="J3075" s="49">
        <v>19657.173031411501</v>
      </c>
      <c r="K3075" s="58">
        <v>0</v>
      </c>
      <c r="L3075" s="58">
        <v>0</v>
      </c>
      <c r="M3075" s="58">
        <v>0</v>
      </c>
      <c r="N3075" s="58">
        <v>0</v>
      </c>
      <c r="O3075" s="58">
        <v>0</v>
      </c>
      <c r="P3075" s="53">
        <v>0</v>
      </c>
      <c r="Q3075" s="65">
        <v>19657.173031411501</v>
      </c>
      <c r="R3075" s="65">
        <v>0</v>
      </c>
      <c r="S3075" s="65">
        <v>0</v>
      </c>
      <c r="T3075" s="65">
        <v>0</v>
      </c>
      <c r="U3075" s="58">
        <v>0</v>
      </c>
      <c r="V3075" s="65">
        <v>0</v>
      </c>
      <c r="W3075" s="65">
        <v>0</v>
      </c>
      <c r="X3075" s="65">
        <v>0</v>
      </c>
      <c r="Y3075" s="65">
        <v>0</v>
      </c>
      <c r="Z3075" s="51">
        <v>19657.173031411501</v>
      </c>
      <c r="AA3075" s="51">
        <v>0</v>
      </c>
      <c r="AB3075" s="102">
        <v>0</v>
      </c>
      <c r="AC3075" s="81">
        <f t="shared" si="148"/>
        <v>63.620725993779971</v>
      </c>
      <c r="AD3075" s="82">
        <f t="shared" si="149"/>
        <v>86.071428571428569</v>
      </c>
      <c r="AE3075" s="218">
        <v>0</v>
      </c>
      <c r="AF3075">
        <v>0</v>
      </c>
      <c r="AH3075" t="str">
        <f t="shared" si="147"/>
        <v>Sonvarsha</v>
      </c>
      <c r="AJ3075" s="72">
        <v>0</v>
      </c>
      <c r="AK3075" s="72"/>
      <c r="AL3075" s="72"/>
      <c r="AM3075" s="72"/>
    </row>
    <row r="3076" spans="1:39" x14ac:dyDescent="0.25">
      <c r="A3076" s="37" t="s">
        <v>62</v>
      </c>
      <c r="B3076" s="66" t="s">
        <v>1644</v>
      </c>
      <c r="C3076" s="4">
        <v>1007</v>
      </c>
      <c r="D3076" s="41" t="s">
        <v>207</v>
      </c>
      <c r="E3076" s="41">
        <v>10070002</v>
      </c>
      <c r="F3076" s="85" t="s">
        <v>208</v>
      </c>
      <c r="G3076" s="39" t="s">
        <v>635</v>
      </c>
      <c r="H3076" s="52" t="s">
        <v>99</v>
      </c>
      <c r="I3076" s="52">
        <v>4590.3</v>
      </c>
      <c r="J3076" s="49">
        <v>170065.41589065004</v>
      </c>
      <c r="K3076" s="58">
        <v>0</v>
      </c>
      <c r="L3076" s="58">
        <v>0</v>
      </c>
      <c r="M3076" s="58">
        <v>0</v>
      </c>
      <c r="N3076" s="58">
        <v>0</v>
      </c>
      <c r="O3076" s="58">
        <v>0</v>
      </c>
      <c r="P3076" s="53">
        <v>0</v>
      </c>
      <c r="Q3076" s="65">
        <v>170065.41589065004</v>
      </c>
      <c r="R3076" s="65">
        <v>0</v>
      </c>
      <c r="S3076" s="65">
        <v>0</v>
      </c>
      <c r="T3076" s="65">
        <v>0</v>
      </c>
      <c r="U3076" s="58">
        <v>0</v>
      </c>
      <c r="V3076" s="65">
        <v>0</v>
      </c>
      <c r="W3076" s="65">
        <v>0</v>
      </c>
      <c r="X3076" s="65">
        <v>0</v>
      </c>
      <c r="Y3076" s="65">
        <v>0</v>
      </c>
      <c r="Z3076" s="51">
        <v>170065.41589065004</v>
      </c>
      <c r="AA3076" s="51">
        <v>0</v>
      </c>
      <c r="AB3076" s="102">
        <v>0</v>
      </c>
      <c r="AC3076" s="81">
        <f t="shared" si="148"/>
        <v>0</v>
      </c>
      <c r="AD3076" s="82">
        <f t="shared" si="149"/>
        <v>0</v>
      </c>
      <c r="AE3076" s="218">
        <v>0</v>
      </c>
      <c r="AF3076">
        <v>0</v>
      </c>
      <c r="AH3076" t="str">
        <f t="shared" si="147"/>
        <v>Araria</v>
      </c>
      <c r="AJ3076" s="72">
        <v>0</v>
      </c>
      <c r="AK3076" s="72"/>
      <c r="AL3076" s="72"/>
      <c r="AM3076" s="72"/>
    </row>
    <row r="3077" spans="1:39" x14ac:dyDescent="0.25">
      <c r="A3077" s="37" t="s">
        <v>62</v>
      </c>
      <c r="B3077" s="66" t="s">
        <v>1644</v>
      </c>
      <c r="C3077" s="4">
        <v>1007</v>
      </c>
      <c r="D3077" s="41" t="s">
        <v>207</v>
      </c>
      <c r="E3077" s="41">
        <v>10070003</v>
      </c>
      <c r="F3077" s="85" t="s">
        <v>209</v>
      </c>
      <c r="G3077" s="39" t="s">
        <v>635</v>
      </c>
      <c r="H3077" s="52" t="s">
        <v>99</v>
      </c>
      <c r="I3077" s="52">
        <v>965.1</v>
      </c>
      <c r="J3077" s="49">
        <v>32825.090809068002</v>
      </c>
      <c r="K3077" s="58">
        <v>0</v>
      </c>
      <c r="L3077" s="58">
        <v>0</v>
      </c>
      <c r="M3077" s="58">
        <v>0</v>
      </c>
      <c r="N3077" s="58">
        <v>0</v>
      </c>
      <c r="O3077" s="58">
        <v>0</v>
      </c>
      <c r="P3077" s="53">
        <v>0</v>
      </c>
      <c r="Q3077" s="65">
        <v>32825.090809068002</v>
      </c>
      <c r="R3077" s="65">
        <v>0</v>
      </c>
      <c r="S3077" s="65">
        <v>0</v>
      </c>
      <c r="T3077" s="65">
        <v>0</v>
      </c>
      <c r="U3077" s="58">
        <v>0</v>
      </c>
      <c r="V3077" s="65">
        <v>0</v>
      </c>
      <c r="W3077" s="65">
        <v>0</v>
      </c>
      <c r="X3077" s="65">
        <v>0</v>
      </c>
      <c r="Y3077" s="65">
        <v>0</v>
      </c>
      <c r="Z3077" s="51">
        <v>32825.090809068002</v>
      </c>
      <c r="AA3077" s="51">
        <v>0</v>
      </c>
      <c r="AB3077" s="102">
        <v>0</v>
      </c>
      <c r="AC3077" s="81">
        <f t="shared" si="148"/>
        <v>0</v>
      </c>
      <c r="AD3077" s="82">
        <f t="shared" si="149"/>
        <v>0</v>
      </c>
      <c r="AE3077" s="218">
        <v>0</v>
      </c>
      <c r="AF3077">
        <v>0</v>
      </c>
      <c r="AH3077" t="str">
        <f t="shared" si="147"/>
        <v>Araria</v>
      </c>
      <c r="AJ3077" s="72">
        <v>0</v>
      </c>
      <c r="AK3077" s="72"/>
      <c r="AL3077" s="72"/>
      <c r="AM3077" s="72"/>
    </row>
    <row r="3078" spans="1:39" x14ac:dyDescent="0.25">
      <c r="A3078" s="37" t="s">
        <v>62</v>
      </c>
      <c r="B3078" s="66" t="s">
        <v>1644</v>
      </c>
      <c r="C3078" s="4">
        <v>1056</v>
      </c>
      <c r="D3078" s="41" t="s">
        <v>838</v>
      </c>
      <c r="E3078" s="41">
        <v>10070004</v>
      </c>
      <c r="F3078" s="85" t="s">
        <v>210</v>
      </c>
      <c r="G3078" s="39" t="s">
        <v>635</v>
      </c>
      <c r="H3078" s="52" t="s">
        <v>99</v>
      </c>
      <c r="I3078" s="52">
        <v>967.24</v>
      </c>
      <c r="J3078" s="49">
        <v>33813.973807968599</v>
      </c>
      <c r="K3078" s="58">
        <v>0</v>
      </c>
      <c r="L3078" s="58">
        <v>0</v>
      </c>
      <c r="M3078" s="58">
        <v>0</v>
      </c>
      <c r="N3078" s="58">
        <v>0</v>
      </c>
      <c r="O3078" s="58">
        <v>0</v>
      </c>
      <c r="P3078" s="53">
        <v>0</v>
      </c>
      <c r="Q3078" s="65">
        <v>33813.973807968599</v>
      </c>
      <c r="R3078" s="65">
        <v>0</v>
      </c>
      <c r="S3078" s="65">
        <v>0</v>
      </c>
      <c r="T3078" s="65">
        <v>0</v>
      </c>
      <c r="U3078" s="58">
        <v>0</v>
      </c>
      <c r="V3078" s="65">
        <v>0</v>
      </c>
      <c r="W3078" s="65">
        <v>0</v>
      </c>
      <c r="X3078" s="65">
        <v>0</v>
      </c>
      <c r="Y3078" s="65">
        <v>0</v>
      </c>
      <c r="Z3078" s="51">
        <v>33813.973807968599</v>
      </c>
      <c r="AA3078" s="51">
        <v>0</v>
      </c>
      <c r="AB3078" s="102">
        <v>0</v>
      </c>
      <c r="AC3078" s="81">
        <f t="shared" si="148"/>
        <v>0</v>
      </c>
      <c r="AD3078" s="82">
        <f t="shared" si="149"/>
        <v>0</v>
      </c>
      <c r="AE3078" s="218">
        <v>0</v>
      </c>
      <c r="AF3078">
        <v>0</v>
      </c>
      <c r="AH3078" t="str">
        <f t="shared" si="147"/>
        <v>Chautham</v>
      </c>
      <c r="AJ3078" s="72">
        <v>0</v>
      </c>
      <c r="AK3078" s="72"/>
      <c r="AL3078" s="72"/>
      <c r="AM3078" s="72"/>
    </row>
    <row r="3079" spans="1:39" x14ac:dyDescent="0.25">
      <c r="A3079" s="37" t="s">
        <v>62</v>
      </c>
      <c r="B3079" s="66" t="s">
        <v>1644</v>
      </c>
      <c r="C3079" s="4">
        <v>1056</v>
      </c>
      <c r="D3079" s="41" t="s">
        <v>838</v>
      </c>
      <c r="E3079" s="41">
        <v>10070008</v>
      </c>
      <c r="F3079" s="85" t="s">
        <v>211</v>
      </c>
      <c r="G3079" s="39" t="s">
        <v>635</v>
      </c>
      <c r="H3079" s="52" t="s">
        <v>99</v>
      </c>
      <c r="I3079" s="52">
        <v>1062.06</v>
      </c>
      <c r="J3079" s="49">
        <v>36004.819374146267</v>
      </c>
      <c r="K3079" s="58">
        <v>0</v>
      </c>
      <c r="L3079" s="58">
        <v>0</v>
      </c>
      <c r="M3079" s="58">
        <v>0</v>
      </c>
      <c r="N3079" s="58">
        <v>0</v>
      </c>
      <c r="O3079" s="58">
        <v>0</v>
      </c>
      <c r="P3079" s="53">
        <v>0</v>
      </c>
      <c r="Q3079" s="65">
        <v>36004.819374146267</v>
      </c>
      <c r="R3079" s="65">
        <v>0</v>
      </c>
      <c r="S3079" s="65">
        <v>0</v>
      </c>
      <c r="T3079" s="65">
        <v>0</v>
      </c>
      <c r="U3079" s="58">
        <v>0</v>
      </c>
      <c r="V3079" s="65">
        <v>0</v>
      </c>
      <c r="W3079" s="65">
        <v>0</v>
      </c>
      <c r="X3079" s="65">
        <v>0</v>
      </c>
      <c r="Y3079" s="65">
        <v>0</v>
      </c>
      <c r="Z3079" s="51">
        <v>36004.819374146267</v>
      </c>
      <c r="AA3079" s="51">
        <v>0</v>
      </c>
      <c r="AB3079" s="102">
        <v>0</v>
      </c>
      <c r="AC3079" s="81">
        <f t="shared" si="148"/>
        <v>0</v>
      </c>
      <c r="AD3079" s="82">
        <f t="shared" si="149"/>
        <v>0</v>
      </c>
      <c r="AE3079" s="218">
        <v>0</v>
      </c>
      <c r="AF3079">
        <v>0</v>
      </c>
      <c r="AH3079" t="str">
        <f t="shared" si="147"/>
        <v>Chautham</v>
      </c>
      <c r="AJ3079" s="72">
        <v>0</v>
      </c>
      <c r="AK3079" s="72"/>
      <c r="AL3079" s="72"/>
      <c r="AM3079" s="72"/>
    </row>
    <row r="3080" spans="1:39" x14ac:dyDescent="0.25">
      <c r="A3080" s="37" t="s">
        <v>62</v>
      </c>
      <c r="B3080" s="66" t="s">
        <v>1644</v>
      </c>
      <c r="C3080" s="4">
        <v>1007</v>
      </c>
      <c r="D3080" s="41" t="s">
        <v>207</v>
      </c>
      <c r="E3080" s="41">
        <v>10070013</v>
      </c>
      <c r="F3080" s="85" t="s">
        <v>212</v>
      </c>
      <c r="G3080" s="39" t="s">
        <v>93</v>
      </c>
      <c r="H3080" s="52" t="s">
        <v>94</v>
      </c>
      <c r="I3080" s="52">
        <v>163.79999999999998</v>
      </c>
      <c r="J3080" s="49">
        <v>6209.50647321</v>
      </c>
      <c r="K3080" s="58">
        <v>0</v>
      </c>
      <c r="L3080" s="58">
        <v>0</v>
      </c>
      <c r="M3080" s="58">
        <v>0</v>
      </c>
      <c r="N3080" s="58">
        <v>0</v>
      </c>
      <c r="O3080" s="58">
        <v>0</v>
      </c>
      <c r="P3080" s="53">
        <v>0</v>
      </c>
      <c r="Q3080" s="65">
        <v>0</v>
      </c>
      <c r="R3080" s="65">
        <v>0</v>
      </c>
      <c r="S3080" s="65">
        <v>0</v>
      </c>
      <c r="T3080" s="65">
        <v>0</v>
      </c>
      <c r="U3080" s="58">
        <v>0</v>
      </c>
      <c r="V3080" s="65">
        <v>0</v>
      </c>
      <c r="W3080" s="65">
        <v>0</v>
      </c>
      <c r="X3080" s="65">
        <v>0</v>
      </c>
      <c r="Y3080" s="65">
        <v>0</v>
      </c>
      <c r="Z3080" s="51">
        <v>0</v>
      </c>
      <c r="AA3080" s="51">
        <v>6210</v>
      </c>
      <c r="AB3080" s="102">
        <v>0</v>
      </c>
      <c r="AC3080" s="81">
        <f t="shared" si="148"/>
        <v>406.53691952810772</v>
      </c>
      <c r="AD3080" s="82">
        <f t="shared" si="149"/>
        <v>23.4</v>
      </c>
      <c r="AE3080" s="218">
        <v>1</v>
      </c>
      <c r="AF3080">
        <v>0</v>
      </c>
      <c r="AH3080" t="str">
        <f t="shared" si="147"/>
        <v>Araria</v>
      </c>
      <c r="AJ3080" s="72">
        <v>0</v>
      </c>
      <c r="AK3080" s="72"/>
      <c r="AL3080" s="72"/>
      <c r="AM3080" s="72"/>
    </row>
    <row r="3081" spans="1:39" x14ac:dyDescent="0.25">
      <c r="A3081" s="37" t="s">
        <v>62</v>
      </c>
      <c r="B3081" s="66" t="s">
        <v>1644</v>
      </c>
      <c r="C3081" s="4">
        <v>1007</v>
      </c>
      <c r="D3081" s="41" t="s">
        <v>207</v>
      </c>
      <c r="E3081" s="41">
        <v>10070016</v>
      </c>
      <c r="F3081" s="85" t="s">
        <v>213</v>
      </c>
      <c r="G3081" s="39" t="s">
        <v>93</v>
      </c>
      <c r="H3081" s="52" t="s">
        <v>94</v>
      </c>
      <c r="I3081" s="52">
        <v>265</v>
      </c>
      <c r="J3081" s="49">
        <v>10641.042403770003</v>
      </c>
      <c r="K3081" s="58">
        <v>264.99</v>
      </c>
      <c r="L3081" s="58">
        <v>10696.921369683001</v>
      </c>
      <c r="M3081" s="58">
        <v>1.4100000000000001</v>
      </c>
      <c r="N3081" s="58">
        <v>57.134991090000014</v>
      </c>
      <c r="O3081" s="58">
        <v>266.40000000000003</v>
      </c>
      <c r="P3081" s="53">
        <v>10754.056360773002</v>
      </c>
      <c r="Q3081" s="65">
        <v>10641.042403770003</v>
      </c>
      <c r="R3081" s="65">
        <v>0</v>
      </c>
      <c r="S3081" s="65">
        <v>57.134991090000014</v>
      </c>
      <c r="T3081" s="65">
        <v>113.01395700299872</v>
      </c>
      <c r="U3081" s="58">
        <v>0</v>
      </c>
      <c r="V3081" s="65">
        <v>0</v>
      </c>
      <c r="W3081" s="65">
        <v>0</v>
      </c>
      <c r="X3081" s="65">
        <v>10584</v>
      </c>
      <c r="Y3081" s="65">
        <v>0</v>
      </c>
      <c r="Z3081" s="51">
        <v>0</v>
      </c>
      <c r="AA3081" s="51">
        <v>0</v>
      </c>
      <c r="AB3081" s="102" t="s">
        <v>68</v>
      </c>
      <c r="AC3081" s="81">
        <f t="shared" si="148"/>
        <v>349.34742985961896</v>
      </c>
      <c r="AD3081" s="82">
        <f t="shared" si="149"/>
        <v>37.857142857142854</v>
      </c>
      <c r="AE3081" s="218">
        <v>-1.0620571999878427E-2</v>
      </c>
      <c r="AF3081">
        <v>4</v>
      </c>
      <c r="AH3081" t="str">
        <f t="shared" si="147"/>
        <v>Araria</v>
      </c>
      <c r="AJ3081" s="72">
        <v>0</v>
      </c>
      <c r="AK3081" s="72"/>
      <c r="AL3081" s="72"/>
      <c r="AM3081" s="72"/>
    </row>
    <row r="3082" spans="1:39" x14ac:dyDescent="0.25">
      <c r="A3082" s="37" t="s">
        <v>62</v>
      </c>
      <c r="B3082" s="66" t="s">
        <v>1644</v>
      </c>
      <c r="C3082" s="4">
        <v>1007</v>
      </c>
      <c r="D3082" s="41" t="s">
        <v>207</v>
      </c>
      <c r="E3082" s="41">
        <v>10070018</v>
      </c>
      <c r="F3082" s="85" t="s">
        <v>214</v>
      </c>
      <c r="G3082" s="39" t="s">
        <v>635</v>
      </c>
      <c r="H3082" s="52" t="s">
        <v>99</v>
      </c>
      <c r="I3082" s="52">
        <v>10570.300000000001</v>
      </c>
      <c r="J3082" s="49">
        <v>403699.77905730007</v>
      </c>
      <c r="K3082" s="58">
        <v>0</v>
      </c>
      <c r="L3082" s="58">
        <v>0</v>
      </c>
      <c r="M3082" s="58">
        <v>0</v>
      </c>
      <c r="N3082" s="58">
        <v>0</v>
      </c>
      <c r="O3082" s="58">
        <v>0</v>
      </c>
      <c r="P3082" s="53">
        <v>0</v>
      </c>
      <c r="Q3082" s="65">
        <v>403699.77905730007</v>
      </c>
      <c r="R3082" s="65">
        <v>0</v>
      </c>
      <c r="S3082" s="65">
        <v>0</v>
      </c>
      <c r="T3082" s="65">
        <v>0</v>
      </c>
      <c r="U3082" s="58">
        <v>0</v>
      </c>
      <c r="V3082" s="65">
        <v>0</v>
      </c>
      <c r="W3082" s="65">
        <v>0</v>
      </c>
      <c r="X3082" s="65">
        <v>0</v>
      </c>
      <c r="Y3082" s="65">
        <v>0</v>
      </c>
      <c r="Z3082" s="51">
        <v>403699.77905730007</v>
      </c>
      <c r="AA3082" s="51">
        <v>0</v>
      </c>
      <c r="AB3082" s="102">
        <v>0</v>
      </c>
      <c r="AC3082" s="81">
        <f t="shared" si="148"/>
        <v>0</v>
      </c>
      <c r="AD3082" s="82">
        <f t="shared" si="149"/>
        <v>0</v>
      </c>
      <c r="AE3082" s="218">
        <v>0</v>
      </c>
      <c r="AF3082">
        <v>0</v>
      </c>
      <c r="AH3082" t="str">
        <f t="shared" si="147"/>
        <v>Araria</v>
      </c>
      <c r="AJ3082" s="72">
        <v>0</v>
      </c>
      <c r="AK3082" s="72"/>
      <c r="AL3082" s="72"/>
      <c r="AM3082" s="72"/>
    </row>
    <row r="3083" spans="1:39" x14ac:dyDescent="0.25">
      <c r="A3083" s="37" t="s">
        <v>62</v>
      </c>
      <c r="B3083" s="66" t="s">
        <v>1644</v>
      </c>
      <c r="C3083" s="4">
        <v>1007</v>
      </c>
      <c r="D3083" s="41" t="s">
        <v>207</v>
      </c>
      <c r="E3083" s="41">
        <v>10070019</v>
      </c>
      <c r="F3083" s="85" t="s">
        <v>215</v>
      </c>
      <c r="G3083" s="39" t="s">
        <v>635</v>
      </c>
      <c r="H3083" s="52" t="s">
        <v>99</v>
      </c>
      <c r="I3083" s="52">
        <v>6593.9000000000005</v>
      </c>
      <c r="J3083" s="49">
        <v>250817.34797385003</v>
      </c>
      <c r="K3083" s="58">
        <v>0</v>
      </c>
      <c r="L3083" s="58">
        <v>0</v>
      </c>
      <c r="M3083" s="58">
        <v>0</v>
      </c>
      <c r="N3083" s="58">
        <v>0</v>
      </c>
      <c r="O3083" s="58">
        <v>0</v>
      </c>
      <c r="P3083" s="53">
        <v>0</v>
      </c>
      <c r="Q3083" s="65">
        <v>250817.34797385003</v>
      </c>
      <c r="R3083" s="65">
        <v>0</v>
      </c>
      <c r="S3083" s="65">
        <v>0</v>
      </c>
      <c r="T3083" s="65">
        <v>0</v>
      </c>
      <c r="U3083" s="58">
        <v>0</v>
      </c>
      <c r="V3083" s="65">
        <v>0</v>
      </c>
      <c r="W3083" s="65">
        <v>0</v>
      </c>
      <c r="X3083" s="65">
        <v>0</v>
      </c>
      <c r="Y3083" s="65">
        <v>0</v>
      </c>
      <c r="Z3083" s="51">
        <v>250817.34797385003</v>
      </c>
      <c r="AA3083" s="51">
        <v>0</v>
      </c>
      <c r="AB3083" s="102">
        <v>0</v>
      </c>
      <c r="AC3083" s="81">
        <f t="shared" si="148"/>
        <v>0</v>
      </c>
      <c r="AD3083" s="82">
        <f t="shared" si="149"/>
        <v>0</v>
      </c>
      <c r="AE3083" s="218">
        <v>0</v>
      </c>
      <c r="AF3083">
        <v>0</v>
      </c>
      <c r="AH3083" t="str">
        <f t="shared" si="147"/>
        <v>Araria</v>
      </c>
      <c r="AJ3083" s="72">
        <v>0</v>
      </c>
      <c r="AK3083" s="72"/>
      <c r="AL3083" s="72"/>
      <c r="AM3083" s="72"/>
    </row>
    <row r="3084" spans="1:39" x14ac:dyDescent="0.25">
      <c r="A3084" s="37" t="s">
        <v>62</v>
      </c>
      <c r="B3084" s="66" t="s">
        <v>1644</v>
      </c>
      <c r="C3084" s="4">
        <v>1007</v>
      </c>
      <c r="D3084" s="41" t="s">
        <v>207</v>
      </c>
      <c r="E3084" s="41">
        <v>10070020</v>
      </c>
      <c r="F3084" s="85" t="s">
        <v>216</v>
      </c>
      <c r="G3084" s="39" t="s">
        <v>635</v>
      </c>
      <c r="H3084" s="52" t="s">
        <v>99</v>
      </c>
      <c r="I3084" s="52">
        <v>5015.8999999999996</v>
      </c>
      <c r="J3084" s="49">
        <v>186770.29658016004</v>
      </c>
      <c r="K3084" s="58">
        <v>0</v>
      </c>
      <c r="L3084" s="58">
        <v>0</v>
      </c>
      <c r="M3084" s="58">
        <v>0</v>
      </c>
      <c r="N3084" s="58">
        <v>0</v>
      </c>
      <c r="O3084" s="58">
        <v>0</v>
      </c>
      <c r="P3084" s="53">
        <v>0</v>
      </c>
      <c r="Q3084" s="65">
        <v>186770.29658016004</v>
      </c>
      <c r="R3084" s="65">
        <v>0</v>
      </c>
      <c r="S3084" s="65">
        <v>0</v>
      </c>
      <c r="T3084" s="65">
        <v>0</v>
      </c>
      <c r="U3084" s="58">
        <v>0</v>
      </c>
      <c r="V3084" s="65">
        <v>0</v>
      </c>
      <c r="W3084" s="65">
        <v>0</v>
      </c>
      <c r="X3084" s="65">
        <v>0</v>
      </c>
      <c r="Y3084" s="65">
        <v>0</v>
      </c>
      <c r="Z3084" s="51">
        <v>186770.29658016004</v>
      </c>
      <c r="AA3084" s="51">
        <v>0</v>
      </c>
      <c r="AB3084" s="102">
        <v>0</v>
      </c>
      <c r="AC3084" s="81">
        <f t="shared" si="148"/>
        <v>0</v>
      </c>
      <c r="AD3084" s="82">
        <f t="shared" si="149"/>
        <v>0</v>
      </c>
      <c r="AE3084" s="218">
        <v>0</v>
      </c>
      <c r="AF3084">
        <v>0</v>
      </c>
      <c r="AH3084" t="str">
        <f t="shared" si="147"/>
        <v>Araria</v>
      </c>
      <c r="AJ3084" s="72">
        <v>0</v>
      </c>
      <c r="AK3084" s="72"/>
      <c r="AL3084" s="72"/>
      <c r="AM3084" s="72"/>
    </row>
    <row r="3085" spans="1:39" x14ac:dyDescent="0.25">
      <c r="A3085" s="37" t="s">
        <v>62</v>
      </c>
      <c r="B3085" s="66" t="s">
        <v>1644</v>
      </c>
      <c r="C3085" s="4">
        <v>1007</v>
      </c>
      <c r="D3085" s="41" t="s">
        <v>207</v>
      </c>
      <c r="E3085" s="41">
        <v>10070024</v>
      </c>
      <c r="F3085" s="85" t="s">
        <v>217</v>
      </c>
      <c r="G3085" s="39" t="s">
        <v>635</v>
      </c>
      <c r="H3085" s="52" t="s">
        <v>99</v>
      </c>
      <c r="I3085" s="52">
        <v>831.69999999999993</v>
      </c>
      <c r="J3085" s="49">
        <v>30965.719522320011</v>
      </c>
      <c r="K3085" s="58">
        <v>0</v>
      </c>
      <c r="L3085" s="58">
        <v>0</v>
      </c>
      <c r="M3085" s="58">
        <v>0</v>
      </c>
      <c r="N3085" s="58">
        <v>0</v>
      </c>
      <c r="O3085" s="58">
        <v>0</v>
      </c>
      <c r="P3085" s="53">
        <v>0</v>
      </c>
      <c r="Q3085" s="65">
        <v>30965.719522320011</v>
      </c>
      <c r="R3085" s="65">
        <v>0</v>
      </c>
      <c r="S3085" s="65">
        <v>0</v>
      </c>
      <c r="T3085" s="65">
        <v>0</v>
      </c>
      <c r="U3085" s="58">
        <v>0</v>
      </c>
      <c r="V3085" s="65">
        <v>0</v>
      </c>
      <c r="W3085" s="65">
        <v>0</v>
      </c>
      <c r="X3085" s="65">
        <v>0</v>
      </c>
      <c r="Y3085" s="65">
        <v>0</v>
      </c>
      <c r="Z3085" s="51">
        <v>30965.719522320011</v>
      </c>
      <c r="AA3085" s="51">
        <v>0</v>
      </c>
      <c r="AB3085" s="102">
        <v>0</v>
      </c>
      <c r="AC3085" s="81">
        <f t="shared" si="148"/>
        <v>0</v>
      </c>
      <c r="AD3085" s="82">
        <f t="shared" si="149"/>
        <v>0</v>
      </c>
      <c r="AE3085" s="218">
        <v>0</v>
      </c>
      <c r="AF3085">
        <v>0</v>
      </c>
      <c r="AH3085" t="str">
        <f t="shared" si="147"/>
        <v>Araria</v>
      </c>
      <c r="AJ3085" s="72">
        <v>0</v>
      </c>
      <c r="AK3085" s="72"/>
      <c r="AL3085" s="72"/>
      <c r="AM3085" s="72"/>
    </row>
    <row r="3086" spans="1:39" x14ac:dyDescent="0.25">
      <c r="A3086" s="37" t="s">
        <v>62</v>
      </c>
      <c r="B3086" s="66" t="s">
        <v>1644</v>
      </c>
      <c r="C3086" s="4">
        <v>1007</v>
      </c>
      <c r="D3086" s="41" t="s">
        <v>207</v>
      </c>
      <c r="E3086" s="41">
        <v>10070026</v>
      </c>
      <c r="F3086" s="85" t="s">
        <v>218</v>
      </c>
      <c r="G3086" s="39" t="s">
        <v>635</v>
      </c>
      <c r="H3086" s="52" t="s">
        <v>99</v>
      </c>
      <c r="I3086" s="52">
        <v>1466.9</v>
      </c>
      <c r="J3086" s="49">
        <v>57201.109408079996</v>
      </c>
      <c r="K3086" s="58">
        <v>0</v>
      </c>
      <c r="L3086" s="58">
        <v>0</v>
      </c>
      <c r="M3086" s="58">
        <v>0</v>
      </c>
      <c r="N3086" s="58">
        <v>0</v>
      </c>
      <c r="O3086" s="58">
        <v>0</v>
      </c>
      <c r="P3086" s="53">
        <v>0</v>
      </c>
      <c r="Q3086" s="65">
        <v>57201.109408079996</v>
      </c>
      <c r="R3086" s="65">
        <v>0</v>
      </c>
      <c r="S3086" s="65">
        <v>0</v>
      </c>
      <c r="T3086" s="65">
        <v>0</v>
      </c>
      <c r="U3086" s="58">
        <v>57201</v>
      </c>
      <c r="V3086" s="65">
        <v>0</v>
      </c>
      <c r="W3086" s="65">
        <v>0</v>
      </c>
      <c r="X3086" s="65">
        <v>0</v>
      </c>
      <c r="Y3086" s="65">
        <v>0</v>
      </c>
      <c r="Z3086" s="51">
        <v>0.10940807999577373</v>
      </c>
      <c r="AA3086" s="51">
        <v>0</v>
      </c>
      <c r="AB3086" s="102">
        <v>0</v>
      </c>
      <c r="AC3086" s="81">
        <f t="shared" si="148"/>
        <v>0</v>
      </c>
      <c r="AD3086" s="82">
        <f t="shared" si="149"/>
        <v>0</v>
      </c>
      <c r="AE3086" s="218">
        <v>0</v>
      </c>
      <c r="AF3086">
        <v>0</v>
      </c>
      <c r="AH3086" t="str">
        <f t="shared" si="147"/>
        <v>Araria</v>
      </c>
      <c r="AJ3086" s="72">
        <v>0</v>
      </c>
      <c r="AK3086" s="72"/>
      <c r="AL3086" s="72"/>
      <c r="AM3086" s="72"/>
    </row>
    <row r="3087" spans="1:39" x14ac:dyDescent="0.25">
      <c r="A3087" s="37" t="s">
        <v>62</v>
      </c>
      <c r="B3087" s="66" t="s">
        <v>1644</v>
      </c>
      <c r="C3087" s="4">
        <v>1010</v>
      </c>
      <c r="D3087" s="41" t="s">
        <v>1359</v>
      </c>
      <c r="E3087" s="41">
        <v>10070033</v>
      </c>
      <c r="F3087" s="85" t="s">
        <v>219</v>
      </c>
      <c r="G3087" s="39" t="s">
        <v>93</v>
      </c>
      <c r="H3087" s="52" t="s">
        <v>94</v>
      </c>
      <c r="I3087" s="52">
        <v>483</v>
      </c>
      <c r="J3087" s="49">
        <v>24074.43754383695</v>
      </c>
      <c r="K3087" s="58">
        <v>488.7999999999999</v>
      </c>
      <c r="L3087" s="58">
        <v>22737.683766971808</v>
      </c>
      <c r="M3087" s="58">
        <v>0</v>
      </c>
      <c r="N3087" s="58">
        <v>0</v>
      </c>
      <c r="O3087" s="58">
        <v>488.7999999999999</v>
      </c>
      <c r="P3087" s="53">
        <v>22737.683766971808</v>
      </c>
      <c r="Q3087" s="65">
        <v>22737.683766971808</v>
      </c>
      <c r="R3087" s="65">
        <v>0</v>
      </c>
      <c r="S3087" s="65">
        <v>0</v>
      </c>
      <c r="T3087" s="65">
        <v>0</v>
      </c>
      <c r="U3087" s="58">
        <v>0</v>
      </c>
      <c r="V3087" s="65">
        <v>0</v>
      </c>
      <c r="W3087" s="65">
        <v>0</v>
      </c>
      <c r="X3087" s="65">
        <v>22737</v>
      </c>
      <c r="Y3087" s="65">
        <v>0</v>
      </c>
      <c r="Z3087" s="51">
        <v>0</v>
      </c>
      <c r="AA3087" s="51">
        <v>1337</v>
      </c>
      <c r="AB3087" s="102">
        <v>0</v>
      </c>
      <c r="AC3087" s="81">
        <f t="shared" si="148"/>
        <v>216.32103300259288</v>
      </c>
      <c r="AD3087" s="82">
        <f t="shared" si="149"/>
        <v>69</v>
      </c>
      <c r="AE3087" s="218">
        <v>5.5525857018717782E-2</v>
      </c>
      <c r="AF3087">
        <v>2</v>
      </c>
      <c r="AH3087" t="str">
        <f t="shared" si="147"/>
        <v>Parbatta</v>
      </c>
      <c r="AJ3087" s="72">
        <v>0</v>
      </c>
      <c r="AK3087" s="72"/>
      <c r="AL3087" s="72"/>
      <c r="AM3087" s="72"/>
    </row>
    <row r="3088" spans="1:39" x14ac:dyDescent="0.25">
      <c r="A3088" s="37" t="s">
        <v>62</v>
      </c>
      <c r="B3088" s="66" t="s">
        <v>1644</v>
      </c>
      <c r="C3088" s="4">
        <v>1056</v>
      </c>
      <c r="D3088" s="41" t="s">
        <v>838</v>
      </c>
      <c r="E3088" s="41">
        <v>10070039</v>
      </c>
      <c r="F3088" s="85" t="s">
        <v>1249</v>
      </c>
      <c r="G3088" s="39" t="s">
        <v>635</v>
      </c>
      <c r="H3088" s="52" t="s">
        <v>99</v>
      </c>
      <c r="I3088" s="52">
        <v>140.35999999999999</v>
      </c>
      <c r="J3088" s="49">
        <v>4377.4328821104009</v>
      </c>
      <c r="K3088" s="58">
        <v>0</v>
      </c>
      <c r="L3088" s="58">
        <v>0</v>
      </c>
      <c r="M3088" s="58">
        <v>0</v>
      </c>
      <c r="N3088" s="58">
        <v>0</v>
      </c>
      <c r="O3088" s="58">
        <v>0</v>
      </c>
      <c r="P3088" s="53">
        <v>0</v>
      </c>
      <c r="Q3088" s="65">
        <v>4377.4328821104009</v>
      </c>
      <c r="R3088" s="65">
        <v>0</v>
      </c>
      <c r="S3088" s="65">
        <v>0</v>
      </c>
      <c r="T3088" s="65">
        <v>0</v>
      </c>
      <c r="U3088" s="58">
        <v>0</v>
      </c>
      <c r="V3088" s="65">
        <v>0</v>
      </c>
      <c r="W3088" s="65">
        <v>0</v>
      </c>
      <c r="X3088" s="65">
        <v>0</v>
      </c>
      <c r="Y3088" s="65">
        <v>0</v>
      </c>
      <c r="Z3088" s="51">
        <v>4377.4328821104009</v>
      </c>
      <c r="AA3088" s="51">
        <v>0</v>
      </c>
      <c r="AB3088" s="102">
        <v>0</v>
      </c>
      <c r="AC3088" s="81">
        <f t="shared" si="148"/>
        <v>349.07189201257694</v>
      </c>
      <c r="AD3088" s="82">
        <f t="shared" si="149"/>
        <v>20.05142857142857</v>
      </c>
      <c r="AE3088" s="218">
        <v>0</v>
      </c>
      <c r="AF3088">
        <v>0</v>
      </c>
      <c r="AH3088" t="str">
        <f t="shared" si="147"/>
        <v>Chautham</v>
      </c>
      <c r="AJ3088" s="72">
        <v>0</v>
      </c>
      <c r="AK3088" s="72"/>
      <c r="AL3088" s="72"/>
      <c r="AM3088" s="72"/>
    </row>
    <row r="3089" spans="1:39" x14ac:dyDescent="0.25">
      <c r="A3089" s="37" t="s">
        <v>62</v>
      </c>
      <c r="B3089" s="66" t="s">
        <v>1644</v>
      </c>
      <c r="C3089" s="4">
        <v>1007</v>
      </c>
      <c r="D3089" s="41" t="s">
        <v>207</v>
      </c>
      <c r="E3089" s="41">
        <v>10070042</v>
      </c>
      <c r="F3089" s="85" t="s">
        <v>220</v>
      </c>
      <c r="G3089" s="39" t="s">
        <v>93</v>
      </c>
      <c r="H3089" s="52" t="s">
        <v>94</v>
      </c>
      <c r="I3089" s="52">
        <v>150.99999999999997</v>
      </c>
      <c r="J3089" s="49">
        <v>5936.9121127500011</v>
      </c>
      <c r="K3089" s="58">
        <v>153.64000000000001</v>
      </c>
      <c r="L3089" s="58">
        <v>6117.3785380888812</v>
      </c>
      <c r="M3089" s="58">
        <v>6.01</v>
      </c>
      <c r="N3089" s="58">
        <v>240.867761688</v>
      </c>
      <c r="O3089" s="58">
        <v>159.65</v>
      </c>
      <c r="P3089" s="53">
        <v>6358.2462997768816</v>
      </c>
      <c r="Q3089" s="65">
        <v>5936.9121127500011</v>
      </c>
      <c r="R3089" s="65">
        <v>0</v>
      </c>
      <c r="S3089" s="65">
        <v>240.867761688</v>
      </c>
      <c r="T3089" s="65">
        <v>421.3341870268805</v>
      </c>
      <c r="U3089" s="58">
        <v>0</v>
      </c>
      <c r="V3089" s="65">
        <v>0</v>
      </c>
      <c r="W3089" s="65">
        <v>0</v>
      </c>
      <c r="X3089" s="65">
        <v>5696</v>
      </c>
      <c r="Y3089" s="65">
        <v>0</v>
      </c>
      <c r="Z3089" s="51">
        <v>0</v>
      </c>
      <c r="AA3089" s="51">
        <v>0</v>
      </c>
      <c r="AB3089" s="102">
        <v>0</v>
      </c>
      <c r="AC3089" s="81">
        <f t="shared" si="148"/>
        <v>431.70394038407306</v>
      </c>
      <c r="AD3089" s="82">
        <f t="shared" si="149"/>
        <v>21.571428571428566</v>
      </c>
      <c r="AE3089" s="218">
        <v>-7.0968574071027787E-2</v>
      </c>
      <c r="AF3089">
        <v>4</v>
      </c>
      <c r="AH3089" t="str">
        <f t="shared" si="147"/>
        <v>Araria</v>
      </c>
      <c r="AJ3089" s="72">
        <v>0</v>
      </c>
      <c r="AK3089" s="72"/>
      <c r="AL3089" s="72"/>
      <c r="AM3089" s="72"/>
    </row>
    <row r="3090" spans="1:39" x14ac:dyDescent="0.25">
      <c r="A3090" s="37" t="s">
        <v>62</v>
      </c>
      <c r="B3090" s="66" t="s">
        <v>1644</v>
      </c>
      <c r="C3090" s="4">
        <v>1007</v>
      </c>
      <c r="D3090" s="41" t="s">
        <v>207</v>
      </c>
      <c r="E3090" s="41">
        <v>10070043</v>
      </c>
      <c r="F3090" s="85" t="s">
        <v>207</v>
      </c>
      <c r="G3090" s="39" t="s">
        <v>635</v>
      </c>
      <c r="H3090" s="52" t="s">
        <v>99</v>
      </c>
      <c r="I3090" s="52">
        <v>10658.2</v>
      </c>
      <c r="J3090" s="49">
        <v>408060.67494960007</v>
      </c>
      <c r="K3090" s="58">
        <v>0</v>
      </c>
      <c r="L3090" s="58">
        <v>0</v>
      </c>
      <c r="M3090" s="58">
        <v>0</v>
      </c>
      <c r="N3090" s="58">
        <v>0</v>
      </c>
      <c r="O3090" s="58">
        <v>0</v>
      </c>
      <c r="P3090" s="53">
        <v>0</v>
      </c>
      <c r="Q3090" s="65">
        <v>408060.67494960007</v>
      </c>
      <c r="R3090" s="65">
        <v>0</v>
      </c>
      <c r="S3090" s="65">
        <v>0</v>
      </c>
      <c r="T3090" s="65">
        <v>0</v>
      </c>
      <c r="U3090" s="58">
        <v>0</v>
      </c>
      <c r="V3090" s="65">
        <v>0</v>
      </c>
      <c r="W3090" s="65">
        <v>0</v>
      </c>
      <c r="X3090" s="65">
        <v>0</v>
      </c>
      <c r="Y3090" s="65">
        <v>0</v>
      </c>
      <c r="Z3090" s="51">
        <v>408060.67494960007</v>
      </c>
      <c r="AA3090" s="51">
        <v>0</v>
      </c>
      <c r="AB3090" s="102">
        <v>0</v>
      </c>
      <c r="AC3090" s="81">
        <f t="shared" si="148"/>
        <v>0</v>
      </c>
      <c r="AD3090" s="82">
        <f t="shared" si="149"/>
        <v>0</v>
      </c>
      <c r="AE3090" s="218">
        <v>0</v>
      </c>
      <c r="AF3090">
        <v>0</v>
      </c>
      <c r="AH3090" t="str">
        <f t="shared" si="147"/>
        <v>Araria</v>
      </c>
      <c r="AJ3090" s="72">
        <v>0</v>
      </c>
      <c r="AK3090" s="72"/>
      <c r="AL3090" s="72"/>
      <c r="AM3090" s="72"/>
    </row>
    <row r="3091" spans="1:39" x14ac:dyDescent="0.25">
      <c r="A3091" s="37" t="s">
        <v>62</v>
      </c>
      <c r="B3091" s="66" t="s">
        <v>1644</v>
      </c>
      <c r="C3091" s="4">
        <v>1007</v>
      </c>
      <c r="D3091" s="41" t="s">
        <v>207</v>
      </c>
      <c r="E3091" s="41">
        <v>10070045</v>
      </c>
      <c r="F3091" s="85" t="s">
        <v>213</v>
      </c>
      <c r="G3091" s="39" t="s">
        <v>93</v>
      </c>
      <c r="H3091" s="52" t="s">
        <v>94</v>
      </c>
      <c r="I3091" s="52">
        <v>103.6</v>
      </c>
      <c r="J3091" s="49">
        <v>3663.9091672740005</v>
      </c>
      <c r="K3091" s="58">
        <v>0</v>
      </c>
      <c r="L3091" s="58">
        <v>0</v>
      </c>
      <c r="M3091" s="58">
        <v>0</v>
      </c>
      <c r="N3091" s="58">
        <v>0</v>
      </c>
      <c r="O3091" s="58">
        <v>0</v>
      </c>
      <c r="P3091" s="53">
        <v>0</v>
      </c>
      <c r="Q3091" s="65">
        <v>0</v>
      </c>
      <c r="R3091" s="65">
        <v>0</v>
      </c>
      <c r="S3091" s="65">
        <v>0</v>
      </c>
      <c r="T3091" s="65">
        <v>0</v>
      </c>
      <c r="U3091" s="58">
        <v>0</v>
      </c>
      <c r="V3091" s="65">
        <v>0</v>
      </c>
      <c r="W3091" s="65">
        <v>0</v>
      </c>
      <c r="X3091" s="65">
        <v>0</v>
      </c>
      <c r="Y3091" s="65">
        <v>0</v>
      </c>
      <c r="Z3091" s="51">
        <v>0</v>
      </c>
      <c r="AA3091" s="51">
        <v>3664</v>
      </c>
      <c r="AB3091" s="102">
        <v>0</v>
      </c>
      <c r="AC3091" s="81">
        <f t="shared" si="148"/>
        <v>421.84467709695247</v>
      </c>
      <c r="AD3091" s="82">
        <f t="shared" si="149"/>
        <v>14.799999999999999</v>
      </c>
      <c r="AE3091" s="218">
        <v>1</v>
      </c>
      <c r="AF3091">
        <v>0</v>
      </c>
      <c r="AH3091" t="str">
        <f t="shared" si="147"/>
        <v>Araria</v>
      </c>
      <c r="AJ3091" s="72">
        <v>0</v>
      </c>
      <c r="AK3091" s="72"/>
      <c r="AL3091" s="72"/>
      <c r="AM3091" s="72"/>
    </row>
    <row r="3092" spans="1:39" x14ac:dyDescent="0.25">
      <c r="A3092" s="37" t="s">
        <v>62</v>
      </c>
      <c r="B3092" s="66" t="s">
        <v>1644</v>
      </c>
      <c r="C3092" s="4">
        <v>1056</v>
      </c>
      <c r="D3092" s="41" t="s">
        <v>838</v>
      </c>
      <c r="E3092" s="41">
        <v>10070046</v>
      </c>
      <c r="F3092" s="85" t="s">
        <v>503</v>
      </c>
      <c r="G3092" s="39" t="s">
        <v>93</v>
      </c>
      <c r="H3092" s="52" t="s">
        <v>94</v>
      </c>
      <c r="I3092" s="52">
        <v>2068.7399999999998</v>
      </c>
      <c r="J3092" s="49">
        <v>80421.923180100013</v>
      </c>
      <c r="K3092" s="58">
        <v>2070.66</v>
      </c>
      <c r="L3092" s="58">
        <v>82083.072358380014</v>
      </c>
      <c r="M3092" s="58">
        <v>6.7</v>
      </c>
      <c r="N3092" s="58">
        <v>238.77523200000007</v>
      </c>
      <c r="O3092" s="58">
        <v>2077.3599999999997</v>
      </c>
      <c r="P3092" s="53">
        <v>82321.847590380014</v>
      </c>
      <c r="Q3092" s="65">
        <v>80421.923180100013</v>
      </c>
      <c r="R3092" s="65">
        <v>0</v>
      </c>
      <c r="S3092" s="65">
        <v>238.77523200000007</v>
      </c>
      <c r="T3092" s="65">
        <v>1899.9244102800003</v>
      </c>
      <c r="U3092" s="58">
        <v>0</v>
      </c>
      <c r="V3092" s="65">
        <v>0</v>
      </c>
      <c r="W3092" s="65">
        <v>0</v>
      </c>
      <c r="X3092" s="65">
        <v>80183</v>
      </c>
      <c r="Y3092" s="65">
        <v>0</v>
      </c>
      <c r="Z3092" s="51">
        <v>0</v>
      </c>
      <c r="AA3092" s="51">
        <v>0</v>
      </c>
      <c r="AB3092" s="102">
        <v>0</v>
      </c>
      <c r="AC3092" s="81">
        <f t="shared" si="148"/>
        <v>0</v>
      </c>
      <c r="AD3092" s="82">
        <f t="shared" si="149"/>
        <v>0</v>
      </c>
      <c r="AE3092" s="218">
        <v>-2.3624458793720153E-2</v>
      </c>
      <c r="AF3092">
        <v>7</v>
      </c>
      <c r="AH3092" t="str">
        <f t="shared" si="147"/>
        <v>Chautham</v>
      </c>
      <c r="AJ3092" s="72">
        <v>0</v>
      </c>
      <c r="AK3092" s="72"/>
      <c r="AL3092" s="72"/>
      <c r="AM3092" s="72"/>
    </row>
    <row r="3093" spans="1:39" x14ac:dyDescent="0.25">
      <c r="A3093" s="37" t="s">
        <v>62</v>
      </c>
      <c r="B3093" s="66" t="s">
        <v>1644</v>
      </c>
      <c r="C3093" s="4">
        <v>1007</v>
      </c>
      <c r="D3093" s="41" t="s">
        <v>207</v>
      </c>
      <c r="E3093" s="41">
        <v>10070048</v>
      </c>
      <c r="F3093" s="85" t="s">
        <v>525</v>
      </c>
      <c r="G3093" s="39" t="s">
        <v>93</v>
      </c>
      <c r="H3093" s="52" t="s">
        <v>94</v>
      </c>
      <c r="I3093" s="52">
        <v>1530</v>
      </c>
      <c r="J3093" s="49">
        <v>60911.33579052001</v>
      </c>
      <c r="K3093" s="58">
        <v>1562.2199999999998</v>
      </c>
      <c r="L3093" s="58">
        <v>65101.607505096254</v>
      </c>
      <c r="M3093" s="58">
        <v>0</v>
      </c>
      <c r="N3093" s="58">
        <v>0</v>
      </c>
      <c r="O3093" s="58">
        <v>1562.2199999999998</v>
      </c>
      <c r="P3093" s="53">
        <v>65101.607505096254</v>
      </c>
      <c r="Q3093" s="65">
        <v>60911.33579052001</v>
      </c>
      <c r="R3093" s="65">
        <v>0</v>
      </c>
      <c r="S3093" s="65">
        <v>0</v>
      </c>
      <c r="T3093" s="65">
        <v>4190.2717145762435</v>
      </c>
      <c r="U3093" s="58">
        <v>0</v>
      </c>
      <c r="V3093" s="65">
        <v>0</v>
      </c>
      <c r="W3093" s="65">
        <v>0</v>
      </c>
      <c r="X3093" s="65">
        <v>60911</v>
      </c>
      <c r="Y3093" s="65">
        <v>0</v>
      </c>
      <c r="Z3093" s="51">
        <v>0</v>
      </c>
      <c r="AA3093" s="51">
        <v>0</v>
      </c>
      <c r="AB3093" s="102">
        <v>0</v>
      </c>
      <c r="AC3093" s="81">
        <f t="shared" si="148"/>
        <v>0</v>
      </c>
      <c r="AD3093" s="82">
        <f t="shared" si="149"/>
        <v>0</v>
      </c>
      <c r="AE3093" s="218">
        <v>-6.8792970309943524E-2</v>
      </c>
      <c r="AF3093">
        <v>7</v>
      </c>
      <c r="AH3093" t="str">
        <f t="shared" si="147"/>
        <v>Araria</v>
      </c>
      <c r="AJ3093" s="72">
        <v>0</v>
      </c>
      <c r="AK3093" s="72"/>
      <c r="AL3093" s="72"/>
      <c r="AM3093" s="72"/>
    </row>
    <row r="3094" spans="1:39" x14ac:dyDescent="0.25">
      <c r="A3094" s="37" t="s">
        <v>62</v>
      </c>
      <c r="B3094" s="66" t="s">
        <v>1644</v>
      </c>
      <c r="C3094" s="4">
        <v>1056</v>
      </c>
      <c r="D3094" s="41" t="s">
        <v>838</v>
      </c>
      <c r="E3094" s="41">
        <v>10070053</v>
      </c>
      <c r="F3094" s="85" t="s">
        <v>1305</v>
      </c>
      <c r="G3094" s="39" t="s">
        <v>635</v>
      </c>
      <c r="H3094" s="52" t="s">
        <v>94</v>
      </c>
      <c r="I3094" s="52">
        <v>270.02</v>
      </c>
      <c r="J3094" s="49">
        <v>9802.9167969636001</v>
      </c>
      <c r="K3094" s="58">
        <v>272.57</v>
      </c>
      <c r="L3094" s="58">
        <v>15821.470207303599</v>
      </c>
      <c r="M3094" s="58">
        <v>0</v>
      </c>
      <c r="N3094" s="58">
        <v>0</v>
      </c>
      <c r="O3094" s="58">
        <v>272.57</v>
      </c>
      <c r="P3094" s="53">
        <v>15821.470207303599</v>
      </c>
      <c r="Q3094" s="65">
        <v>9802.9167969636001</v>
      </c>
      <c r="R3094" s="65">
        <v>0</v>
      </c>
      <c r="S3094" s="65">
        <v>0</v>
      </c>
      <c r="T3094" s="65">
        <v>6018.5534103399987</v>
      </c>
      <c r="U3094" s="58">
        <v>0</v>
      </c>
      <c r="V3094" s="65">
        <v>0</v>
      </c>
      <c r="W3094" s="65">
        <v>0</v>
      </c>
      <c r="X3094" s="65">
        <v>9803</v>
      </c>
      <c r="Y3094" s="65">
        <v>0</v>
      </c>
      <c r="Z3094" s="51">
        <v>0</v>
      </c>
      <c r="AA3094" s="51">
        <v>0</v>
      </c>
      <c r="AB3094" s="102" t="s">
        <v>68</v>
      </c>
      <c r="AC3094" s="81">
        <f t="shared" si="148"/>
        <v>312.20340451510327</v>
      </c>
      <c r="AD3094" s="82">
        <f t="shared" si="149"/>
        <v>38.574285714285715</v>
      </c>
      <c r="AE3094" s="218">
        <v>-0.61395537012047396</v>
      </c>
      <c r="AF3094">
        <v>1</v>
      </c>
      <c r="AH3094" t="str">
        <f t="shared" si="147"/>
        <v>Chautham</v>
      </c>
      <c r="AJ3094" s="72">
        <v>0</v>
      </c>
      <c r="AK3094" s="72"/>
      <c r="AL3094" s="72"/>
      <c r="AM3094" s="72"/>
    </row>
    <row r="3095" spans="1:39" x14ac:dyDescent="0.25">
      <c r="A3095" s="37" t="s">
        <v>62</v>
      </c>
      <c r="B3095" s="66" t="s">
        <v>1644</v>
      </c>
      <c r="C3095" s="4">
        <v>1056</v>
      </c>
      <c r="D3095" s="41" t="s">
        <v>838</v>
      </c>
      <c r="E3095" s="41">
        <v>10070056</v>
      </c>
      <c r="F3095" s="85" t="s">
        <v>539</v>
      </c>
      <c r="G3095" s="39" t="s">
        <v>635</v>
      </c>
      <c r="H3095" s="52" t="s">
        <v>99</v>
      </c>
      <c r="I3095" s="52">
        <v>507.59999999999997</v>
      </c>
      <c r="J3095" s="49">
        <v>21841.893442413002</v>
      </c>
      <c r="K3095" s="58">
        <v>0</v>
      </c>
      <c r="L3095" s="58">
        <v>0</v>
      </c>
      <c r="M3095" s="58">
        <v>0</v>
      </c>
      <c r="N3095" s="58">
        <v>0</v>
      </c>
      <c r="O3095" s="58">
        <v>0</v>
      </c>
      <c r="P3095" s="53">
        <v>0</v>
      </c>
      <c r="Q3095" s="65">
        <v>21841.893442413002</v>
      </c>
      <c r="R3095" s="65">
        <v>0</v>
      </c>
      <c r="S3095" s="65">
        <v>0</v>
      </c>
      <c r="T3095" s="65">
        <v>0</v>
      </c>
      <c r="U3095" s="58">
        <v>0</v>
      </c>
      <c r="V3095" s="65">
        <v>0</v>
      </c>
      <c r="W3095" s="65">
        <v>0</v>
      </c>
      <c r="X3095" s="65">
        <v>0</v>
      </c>
      <c r="Y3095" s="65">
        <v>0</v>
      </c>
      <c r="Z3095" s="51">
        <v>21841.893442413002</v>
      </c>
      <c r="AA3095" s="51">
        <v>0</v>
      </c>
      <c r="AB3095" s="102">
        <v>0</v>
      </c>
      <c r="AC3095" s="81">
        <f t="shared" si="148"/>
        <v>165.57841994957695</v>
      </c>
      <c r="AD3095" s="82">
        <f t="shared" si="149"/>
        <v>72.514285714285705</v>
      </c>
      <c r="AE3095" s="218">
        <v>0</v>
      </c>
      <c r="AF3095">
        <v>0</v>
      </c>
      <c r="AH3095" t="str">
        <f t="shared" si="147"/>
        <v>Chautham</v>
      </c>
      <c r="AJ3095" s="72">
        <v>0</v>
      </c>
      <c r="AK3095" s="72"/>
      <c r="AL3095" s="72"/>
      <c r="AM3095" s="72"/>
    </row>
    <row r="3096" spans="1:39" x14ac:dyDescent="0.25">
      <c r="A3096" s="37" t="s">
        <v>62</v>
      </c>
      <c r="B3096" s="66" t="s">
        <v>1644</v>
      </c>
      <c r="C3096" s="4">
        <v>1056</v>
      </c>
      <c r="D3096" s="41" t="s">
        <v>838</v>
      </c>
      <c r="E3096" s="41">
        <v>10070058</v>
      </c>
      <c r="F3096" s="85" t="s">
        <v>1292</v>
      </c>
      <c r="G3096" s="39" t="s">
        <v>635</v>
      </c>
      <c r="H3096" s="52" t="s">
        <v>99</v>
      </c>
      <c r="I3096" s="52">
        <v>19</v>
      </c>
      <c r="J3096" s="49">
        <v>660.52182009600017</v>
      </c>
      <c r="K3096" s="58">
        <v>0</v>
      </c>
      <c r="L3096" s="58">
        <v>0</v>
      </c>
      <c r="M3096" s="58">
        <v>0</v>
      </c>
      <c r="N3096" s="58">
        <v>0</v>
      </c>
      <c r="O3096" s="58">
        <v>0</v>
      </c>
      <c r="P3096" s="53">
        <v>0</v>
      </c>
      <c r="Q3096" s="65">
        <v>660.52182009600017</v>
      </c>
      <c r="R3096" s="65">
        <v>0</v>
      </c>
      <c r="S3096" s="65">
        <v>0</v>
      </c>
      <c r="T3096" s="65">
        <v>0</v>
      </c>
      <c r="U3096" s="58">
        <v>0</v>
      </c>
      <c r="V3096" s="65">
        <v>0</v>
      </c>
      <c r="W3096" s="65">
        <v>0</v>
      </c>
      <c r="X3096" s="65">
        <v>0</v>
      </c>
      <c r="Y3096" s="65">
        <v>0</v>
      </c>
      <c r="Z3096" s="51">
        <v>660.52182009600017</v>
      </c>
      <c r="AA3096" s="51">
        <v>0</v>
      </c>
      <c r="AB3096" s="102">
        <v>0</v>
      </c>
      <c r="AC3096" s="81">
        <f t="shared" si="148"/>
        <v>473.4898520898696</v>
      </c>
      <c r="AD3096" s="82">
        <f t="shared" si="149"/>
        <v>2.7142857142857144</v>
      </c>
      <c r="AE3096" s="218">
        <v>0</v>
      </c>
      <c r="AF3096">
        <v>0</v>
      </c>
      <c r="AH3096" t="str">
        <f t="shared" si="147"/>
        <v>Chautham</v>
      </c>
      <c r="AJ3096" s="72">
        <v>0</v>
      </c>
      <c r="AK3096" s="72"/>
      <c r="AL3096" s="72"/>
      <c r="AM3096" s="72"/>
    </row>
    <row r="3097" spans="1:39" x14ac:dyDescent="0.25">
      <c r="A3097" s="37" t="s">
        <v>62</v>
      </c>
      <c r="B3097" s="66" t="s">
        <v>1644</v>
      </c>
      <c r="C3097" s="4">
        <v>1056</v>
      </c>
      <c r="D3097" s="41" t="s">
        <v>838</v>
      </c>
      <c r="E3097" s="41">
        <v>10070059</v>
      </c>
      <c r="F3097" s="85" t="s">
        <v>568</v>
      </c>
      <c r="G3097" s="39" t="s">
        <v>635</v>
      </c>
      <c r="H3097" s="52" t="s">
        <v>99</v>
      </c>
      <c r="I3097" s="52">
        <v>1202.6600000000001</v>
      </c>
      <c r="J3097" s="49">
        <v>45657.260887302</v>
      </c>
      <c r="K3097" s="58">
        <v>0</v>
      </c>
      <c r="L3097" s="58">
        <v>0</v>
      </c>
      <c r="M3097" s="58">
        <v>0</v>
      </c>
      <c r="N3097" s="58">
        <v>0</v>
      </c>
      <c r="O3097" s="58">
        <v>0</v>
      </c>
      <c r="P3097" s="53">
        <v>0</v>
      </c>
      <c r="Q3097" s="65">
        <v>45657.260887302</v>
      </c>
      <c r="R3097" s="65">
        <v>0</v>
      </c>
      <c r="S3097" s="65">
        <v>0</v>
      </c>
      <c r="T3097" s="65">
        <v>0</v>
      </c>
      <c r="U3097" s="58">
        <v>0</v>
      </c>
      <c r="V3097" s="65">
        <v>0</v>
      </c>
      <c r="W3097" s="65">
        <v>0</v>
      </c>
      <c r="X3097" s="65">
        <v>0</v>
      </c>
      <c r="Y3097" s="65">
        <v>0</v>
      </c>
      <c r="Z3097" s="51">
        <v>45657.260887302</v>
      </c>
      <c r="AA3097" s="51">
        <v>0</v>
      </c>
      <c r="AB3097" s="102">
        <v>0</v>
      </c>
      <c r="AC3097" s="81">
        <f t="shared" si="148"/>
        <v>0</v>
      </c>
      <c r="AD3097" s="82">
        <f t="shared" si="149"/>
        <v>0</v>
      </c>
      <c r="AE3097" s="218">
        <v>0</v>
      </c>
      <c r="AF3097">
        <v>0</v>
      </c>
      <c r="AH3097" t="str">
        <f t="shared" si="147"/>
        <v>Chautham</v>
      </c>
      <c r="AJ3097" s="72">
        <v>0</v>
      </c>
      <c r="AK3097" s="72"/>
      <c r="AL3097" s="72"/>
      <c r="AM3097" s="72"/>
    </row>
    <row r="3098" spans="1:39" x14ac:dyDescent="0.25">
      <c r="A3098" s="37" t="s">
        <v>62</v>
      </c>
      <c r="B3098" s="66" t="s">
        <v>1644</v>
      </c>
      <c r="C3098" s="4">
        <v>1056</v>
      </c>
      <c r="D3098" s="41" t="s">
        <v>838</v>
      </c>
      <c r="E3098" s="41">
        <v>10070060</v>
      </c>
      <c r="F3098" s="85" t="s">
        <v>1348</v>
      </c>
      <c r="G3098" s="39" t="s">
        <v>635</v>
      </c>
      <c r="H3098" s="52" t="s">
        <v>99</v>
      </c>
      <c r="I3098" s="52">
        <v>106.56</v>
      </c>
      <c r="J3098" s="49">
        <v>3856.5942217878001</v>
      </c>
      <c r="K3098" s="58">
        <v>0</v>
      </c>
      <c r="L3098" s="58">
        <v>0</v>
      </c>
      <c r="M3098" s="58">
        <v>0</v>
      </c>
      <c r="N3098" s="58">
        <v>0</v>
      </c>
      <c r="O3098" s="58">
        <v>0</v>
      </c>
      <c r="P3098" s="53">
        <v>0</v>
      </c>
      <c r="Q3098" s="65">
        <v>3856.5942217878001</v>
      </c>
      <c r="R3098" s="65">
        <v>0</v>
      </c>
      <c r="S3098" s="65">
        <v>0</v>
      </c>
      <c r="T3098" s="65">
        <v>0</v>
      </c>
      <c r="U3098" s="58">
        <v>0</v>
      </c>
      <c r="V3098" s="65">
        <v>0</v>
      </c>
      <c r="W3098" s="65">
        <v>0</v>
      </c>
      <c r="X3098" s="65">
        <v>0</v>
      </c>
      <c r="Y3098" s="65">
        <v>0</v>
      </c>
      <c r="Z3098" s="51">
        <v>3856.5942217878001</v>
      </c>
      <c r="AA3098" s="51">
        <v>0</v>
      </c>
      <c r="AB3098" s="102">
        <v>0</v>
      </c>
      <c r="AC3098" s="81">
        <f t="shared" si="148"/>
        <v>429.55279185017878</v>
      </c>
      <c r="AD3098" s="82">
        <f t="shared" si="149"/>
        <v>15.222857142857142</v>
      </c>
      <c r="AE3098" s="218">
        <v>0</v>
      </c>
      <c r="AF3098">
        <v>0</v>
      </c>
      <c r="AH3098" t="str">
        <f t="shared" si="147"/>
        <v>Chautham</v>
      </c>
      <c r="AJ3098" s="72">
        <v>0</v>
      </c>
      <c r="AK3098" s="72"/>
      <c r="AL3098" s="72"/>
      <c r="AM3098" s="72"/>
    </row>
    <row r="3099" spans="1:39" x14ac:dyDescent="0.25">
      <c r="A3099" s="37" t="s">
        <v>62</v>
      </c>
      <c r="B3099" s="66" t="s">
        <v>1644</v>
      </c>
      <c r="C3099" s="4">
        <v>1007</v>
      </c>
      <c r="D3099" s="41" t="s">
        <v>207</v>
      </c>
      <c r="E3099" s="41">
        <v>10070061</v>
      </c>
      <c r="F3099" s="85" t="s">
        <v>574</v>
      </c>
      <c r="G3099" s="39" t="s">
        <v>635</v>
      </c>
      <c r="H3099" s="52" t="s">
        <v>99</v>
      </c>
      <c r="I3099" s="52">
        <v>196</v>
      </c>
      <c r="J3099" s="49">
        <v>6415.9101915480005</v>
      </c>
      <c r="K3099" s="58">
        <v>0</v>
      </c>
      <c r="L3099" s="58">
        <v>0</v>
      </c>
      <c r="M3099" s="58">
        <v>0</v>
      </c>
      <c r="N3099" s="58">
        <v>0</v>
      </c>
      <c r="O3099" s="58">
        <v>0</v>
      </c>
      <c r="P3099" s="53">
        <v>0</v>
      </c>
      <c r="Q3099" s="65">
        <v>6415.9101915480005</v>
      </c>
      <c r="R3099" s="65">
        <v>0</v>
      </c>
      <c r="S3099" s="65">
        <v>0</v>
      </c>
      <c r="T3099" s="65">
        <v>0</v>
      </c>
      <c r="U3099" s="58">
        <v>0</v>
      </c>
      <c r="V3099" s="65">
        <v>0</v>
      </c>
      <c r="W3099" s="65">
        <v>0</v>
      </c>
      <c r="X3099" s="65">
        <v>0</v>
      </c>
      <c r="Y3099" s="65">
        <v>0</v>
      </c>
      <c r="Z3099" s="51">
        <v>6415.9101915480005</v>
      </c>
      <c r="AA3099" s="51">
        <v>0</v>
      </c>
      <c r="AB3099" s="102">
        <v>0</v>
      </c>
      <c r="AC3099" s="81">
        <f t="shared" si="148"/>
        <v>329.96109556532576</v>
      </c>
      <c r="AD3099" s="82">
        <f t="shared" si="149"/>
        <v>28</v>
      </c>
      <c r="AE3099" s="218">
        <v>0</v>
      </c>
      <c r="AF3099">
        <v>0</v>
      </c>
      <c r="AH3099" t="str">
        <f t="shared" si="147"/>
        <v>Araria</v>
      </c>
      <c r="AJ3099" s="72">
        <v>0</v>
      </c>
      <c r="AK3099" s="72"/>
      <c r="AL3099" s="72"/>
      <c r="AM3099" s="72"/>
    </row>
    <row r="3100" spans="1:39" x14ac:dyDescent="0.25">
      <c r="A3100" s="37" t="s">
        <v>62</v>
      </c>
      <c r="B3100" s="66" t="s">
        <v>1644</v>
      </c>
      <c r="C3100" s="4">
        <v>1010</v>
      </c>
      <c r="D3100" s="41" t="s">
        <v>1359</v>
      </c>
      <c r="E3100" s="41">
        <v>10070063</v>
      </c>
      <c r="F3100" s="85" t="s">
        <v>641</v>
      </c>
      <c r="G3100" s="39" t="s">
        <v>93</v>
      </c>
      <c r="H3100" s="52" t="s">
        <v>94</v>
      </c>
      <c r="I3100" s="52">
        <v>285.89999999999998</v>
      </c>
      <c r="J3100" s="49">
        <v>11540.04867204</v>
      </c>
      <c r="K3100" s="58">
        <v>131.89999999999998</v>
      </c>
      <c r="L3100" s="58">
        <v>5291.1091613039998</v>
      </c>
      <c r="M3100" s="58">
        <v>0</v>
      </c>
      <c r="N3100" s="58">
        <v>0</v>
      </c>
      <c r="O3100" s="58">
        <v>131.89999999999998</v>
      </c>
      <c r="P3100" s="53">
        <v>5291.1091613039998</v>
      </c>
      <c r="Q3100" s="65">
        <v>5291.1091613039998</v>
      </c>
      <c r="R3100" s="65">
        <v>0</v>
      </c>
      <c r="S3100" s="65">
        <v>0</v>
      </c>
      <c r="T3100" s="65">
        <v>0</v>
      </c>
      <c r="U3100" s="58">
        <v>0</v>
      </c>
      <c r="V3100" s="65">
        <v>0</v>
      </c>
      <c r="W3100" s="65">
        <v>0</v>
      </c>
      <c r="X3100" s="65">
        <v>5291</v>
      </c>
      <c r="Y3100" s="65">
        <v>0</v>
      </c>
      <c r="Z3100" s="51">
        <v>0</v>
      </c>
      <c r="AA3100" s="51">
        <v>6249</v>
      </c>
      <c r="AB3100" s="102">
        <v>0</v>
      </c>
      <c r="AC3100" s="81">
        <f t="shared" si="148"/>
        <v>334.29409969162396</v>
      </c>
      <c r="AD3100" s="82">
        <f t="shared" si="149"/>
        <v>40.842857142857142</v>
      </c>
      <c r="AE3100" s="218">
        <v>0.54150027338067885</v>
      </c>
      <c r="AF3100">
        <v>1</v>
      </c>
      <c r="AH3100" t="str">
        <f t="shared" si="147"/>
        <v>Parbatta</v>
      </c>
      <c r="AJ3100" s="72">
        <v>0</v>
      </c>
      <c r="AK3100" s="72"/>
      <c r="AL3100" s="72"/>
      <c r="AM3100" s="72"/>
    </row>
    <row r="3101" spans="1:39" x14ac:dyDescent="0.25">
      <c r="A3101" s="37" t="s">
        <v>62</v>
      </c>
      <c r="B3101" s="66" t="s">
        <v>1644</v>
      </c>
      <c r="C3101" s="4">
        <v>1056</v>
      </c>
      <c r="D3101" s="41" t="s">
        <v>838</v>
      </c>
      <c r="E3101" s="41">
        <v>10070064</v>
      </c>
      <c r="F3101" s="85" t="s">
        <v>642</v>
      </c>
      <c r="G3101" s="39" t="s">
        <v>93</v>
      </c>
      <c r="H3101" s="52" t="s">
        <v>94</v>
      </c>
      <c r="I3101" s="52">
        <v>1097.0400000000002</v>
      </c>
      <c r="J3101" s="49">
        <v>42176.57106018241</v>
      </c>
      <c r="K3101" s="58">
        <v>1098.0400000000002</v>
      </c>
      <c r="L3101" s="58">
        <v>42256.239940557905</v>
      </c>
      <c r="M3101" s="58">
        <v>4.0599999999999996</v>
      </c>
      <c r="N3101" s="58">
        <v>164.76023931900002</v>
      </c>
      <c r="O3101" s="58">
        <v>1102.1000000000001</v>
      </c>
      <c r="P3101" s="53">
        <v>42421.000179876908</v>
      </c>
      <c r="Q3101" s="65">
        <v>42176.57106018241</v>
      </c>
      <c r="R3101" s="65">
        <v>0</v>
      </c>
      <c r="S3101" s="65">
        <v>164.76023931900002</v>
      </c>
      <c r="T3101" s="65">
        <v>244.42911969449779</v>
      </c>
      <c r="U3101" s="58">
        <v>0</v>
      </c>
      <c r="V3101" s="65">
        <v>0</v>
      </c>
      <c r="W3101" s="65">
        <v>0</v>
      </c>
      <c r="X3101" s="65">
        <v>42012</v>
      </c>
      <c r="Y3101" s="65">
        <v>0</v>
      </c>
      <c r="Z3101" s="51">
        <v>0</v>
      </c>
      <c r="AA3101" s="51">
        <v>0</v>
      </c>
      <c r="AB3101" s="102">
        <v>0</v>
      </c>
      <c r="AC3101" s="81">
        <f t="shared" si="148"/>
        <v>0</v>
      </c>
      <c r="AD3101" s="82">
        <f t="shared" si="149"/>
        <v>0</v>
      </c>
      <c r="AE3101" s="218">
        <v>-5.7953767589526903E-3</v>
      </c>
      <c r="AF3101">
        <v>2</v>
      </c>
      <c r="AH3101" t="str">
        <f t="shared" si="147"/>
        <v>Chautham</v>
      </c>
      <c r="AJ3101" s="72">
        <v>0</v>
      </c>
      <c r="AK3101" s="72"/>
      <c r="AL3101" s="72"/>
      <c r="AM3101" s="72"/>
    </row>
    <row r="3102" spans="1:39" x14ac:dyDescent="0.25">
      <c r="A3102" s="37" t="s">
        <v>62</v>
      </c>
      <c r="B3102" s="66" t="s">
        <v>1644</v>
      </c>
      <c r="C3102" s="4">
        <v>1007</v>
      </c>
      <c r="D3102" s="41" t="s">
        <v>207</v>
      </c>
      <c r="E3102" s="41">
        <v>10070065</v>
      </c>
      <c r="F3102" s="85" t="s">
        <v>643</v>
      </c>
      <c r="G3102" s="39" t="s">
        <v>635</v>
      </c>
      <c r="H3102" s="52" t="s">
        <v>99</v>
      </c>
      <c r="I3102" s="52">
        <v>263</v>
      </c>
      <c r="J3102" s="49">
        <v>9610.4173740900023</v>
      </c>
      <c r="K3102" s="58">
        <v>0</v>
      </c>
      <c r="L3102" s="58">
        <v>0</v>
      </c>
      <c r="M3102" s="58">
        <v>0</v>
      </c>
      <c r="N3102" s="58">
        <v>0</v>
      </c>
      <c r="O3102" s="58">
        <v>0</v>
      </c>
      <c r="P3102" s="53">
        <v>0</v>
      </c>
      <c r="Q3102" s="65">
        <v>9610.4173740900023</v>
      </c>
      <c r="R3102" s="65">
        <v>0</v>
      </c>
      <c r="S3102" s="65">
        <v>0</v>
      </c>
      <c r="T3102" s="65">
        <v>0</v>
      </c>
      <c r="U3102" s="58">
        <v>0</v>
      </c>
      <c r="V3102" s="65">
        <v>0</v>
      </c>
      <c r="W3102" s="65">
        <v>0</v>
      </c>
      <c r="X3102" s="65">
        <v>0</v>
      </c>
      <c r="Y3102" s="65">
        <v>0</v>
      </c>
      <c r="Z3102" s="51">
        <v>9610.4173740900023</v>
      </c>
      <c r="AA3102" s="51">
        <v>0</v>
      </c>
      <c r="AB3102" s="102">
        <v>0</v>
      </c>
      <c r="AC3102" s="81">
        <f t="shared" si="148"/>
        <v>319.37280551158409</v>
      </c>
      <c r="AD3102" s="82">
        <f t="shared" si="149"/>
        <v>37.571428571428569</v>
      </c>
      <c r="AE3102" s="218">
        <v>0</v>
      </c>
      <c r="AF3102">
        <v>0</v>
      </c>
      <c r="AH3102" t="str">
        <f t="shared" si="147"/>
        <v>Araria</v>
      </c>
      <c r="AJ3102" s="72">
        <v>0</v>
      </c>
      <c r="AK3102" s="72"/>
      <c r="AL3102" s="72"/>
      <c r="AM3102" s="72"/>
    </row>
    <row r="3103" spans="1:39" x14ac:dyDescent="0.25">
      <c r="A3103" s="37" t="s">
        <v>62</v>
      </c>
      <c r="B3103" s="66" t="s">
        <v>1644</v>
      </c>
      <c r="C3103" s="4">
        <v>1007</v>
      </c>
      <c r="D3103" s="41" t="s">
        <v>207</v>
      </c>
      <c r="E3103" s="41">
        <v>10070067</v>
      </c>
      <c r="F3103" s="85" t="s">
        <v>1634</v>
      </c>
      <c r="G3103" s="39" t="s">
        <v>635</v>
      </c>
      <c r="H3103" s="52" t="s">
        <v>99</v>
      </c>
      <c r="I3103" s="52">
        <v>1286.9000000000001</v>
      </c>
      <c r="J3103" s="49">
        <v>47460.446812023009</v>
      </c>
      <c r="K3103" s="58">
        <v>0</v>
      </c>
      <c r="L3103" s="58">
        <v>0</v>
      </c>
      <c r="M3103" s="58">
        <v>0</v>
      </c>
      <c r="N3103" s="58">
        <v>0</v>
      </c>
      <c r="O3103" s="58">
        <v>0</v>
      </c>
      <c r="P3103" s="53">
        <v>0</v>
      </c>
      <c r="Q3103" s="65">
        <v>47460.446812023009</v>
      </c>
      <c r="R3103" s="65">
        <v>0</v>
      </c>
      <c r="S3103" s="65">
        <v>0</v>
      </c>
      <c r="T3103" s="65">
        <v>0</v>
      </c>
      <c r="U3103" s="58">
        <v>0</v>
      </c>
      <c r="V3103" s="65">
        <v>0</v>
      </c>
      <c r="W3103" s="65">
        <v>0</v>
      </c>
      <c r="X3103" s="65">
        <v>0</v>
      </c>
      <c r="Y3103" s="65">
        <v>0</v>
      </c>
      <c r="Z3103" s="51">
        <v>47460.446812023009</v>
      </c>
      <c r="AA3103" s="51">
        <v>0</v>
      </c>
      <c r="AB3103" s="102">
        <v>0</v>
      </c>
      <c r="AC3103" s="81">
        <f t="shared" si="148"/>
        <v>0</v>
      </c>
      <c r="AD3103" s="82">
        <f t="shared" si="149"/>
        <v>0</v>
      </c>
      <c r="AE3103" s="218">
        <v>0</v>
      </c>
      <c r="AF3103">
        <v>0</v>
      </c>
      <c r="AH3103" t="str">
        <f t="shared" si="147"/>
        <v>Araria</v>
      </c>
      <c r="AJ3103" s="72">
        <v>0</v>
      </c>
      <c r="AK3103" s="72"/>
      <c r="AL3103" s="72"/>
      <c r="AM3103" s="72"/>
    </row>
    <row r="3104" spans="1:39" x14ac:dyDescent="0.25">
      <c r="A3104" s="37" t="s">
        <v>62</v>
      </c>
      <c r="B3104" s="66" t="s">
        <v>1644</v>
      </c>
      <c r="C3104" s="4">
        <v>1007</v>
      </c>
      <c r="D3104" s="41" t="s">
        <v>207</v>
      </c>
      <c r="E3104" s="41">
        <v>10070074</v>
      </c>
      <c r="F3104" s="85" t="s">
        <v>1156</v>
      </c>
      <c r="G3104" s="39" t="s">
        <v>635</v>
      </c>
      <c r="H3104" s="52" t="s">
        <v>99</v>
      </c>
      <c r="I3104" s="52">
        <v>326.70000000000005</v>
      </c>
      <c r="J3104" s="49">
        <v>10041.914664642001</v>
      </c>
      <c r="K3104" s="58">
        <v>0</v>
      </c>
      <c r="L3104" s="58">
        <v>0</v>
      </c>
      <c r="M3104" s="58">
        <v>0</v>
      </c>
      <c r="N3104" s="58">
        <v>0</v>
      </c>
      <c r="O3104" s="58">
        <v>0</v>
      </c>
      <c r="P3104" s="53">
        <v>0</v>
      </c>
      <c r="Q3104" s="65">
        <v>10041.914664642001</v>
      </c>
      <c r="R3104" s="65">
        <v>0</v>
      </c>
      <c r="S3104" s="65">
        <v>0</v>
      </c>
      <c r="T3104" s="65">
        <v>0</v>
      </c>
      <c r="U3104" s="58">
        <v>0</v>
      </c>
      <c r="V3104" s="65">
        <v>0</v>
      </c>
      <c r="W3104" s="65">
        <v>0</v>
      </c>
      <c r="X3104" s="65">
        <v>0</v>
      </c>
      <c r="Y3104" s="65">
        <v>0</v>
      </c>
      <c r="Z3104" s="51">
        <v>10041.914664642001</v>
      </c>
      <c r="AA3104" s="51">
        <v>0</v>
      </c>
      <c r="AB3104" s="102">
        <v>0</v>
      </c>
      <c r="AC3104" s="81">
        <f t="shared" si="148"/>
        <v>229.48556745092486</v>
      </c>
      <c r="AD3104" s="82">
        <f t="shared" si="149"/>
        <v>46.671428571428578</v>
      </c>
      <c r="AE3104" s="218">
        <v>0</v>
      </c>
      <c r="AF3104">
        <v>0</v>
      </c>
      <c r="AH3104" t="str">
        <f t="shared" si="147"/>
        <v>Araria</v>
      </c>
      <c r="AJ3104" s="72">
        <v>0</v>
      </c>
      <c r="AK3104" s="72"/>
      <c r="AL3104" s="72"/>
      <c r="AM3104" s="72"/>
    </row>
    <row r="3105" spans="1:39" x14ac:dyDescent="0.25">
      <c r="A3105" s="37" t="s">
        <v>62</v>
      </c>
      <c r="B3105" s="66" t="s">
        <v>1644</v>
      </c>
      <c r="C3105" s="4">
        <v>1007</v>
      </c>
      <c r="D3105" s="41" t="s">
        <v>207</v>
      </c>
      <c r="E3105" s="41">
        <v>10070076</v>
      </c>
      <c r="F3105" s="85" t="s">
        <v>1178</v>
      </c>
      <c r="G3105" s="39" t="s">
        <v>635</v>
      </c>
      <c r="H3105" s="52" t="s">
        <v>99</v>
      </c>
      <c r="I3105" s="52">
        <v>144.4</v>
      </c>
      <c r="J3105" s="49">
        <v>4997.7816308564998</v>
      </c>
      <c r="K3105" s="58">
        <v>0</v>
      </c>
      <c r="L3105" s="58">
        <v>0</v>
      </c>
      <c r="M3105" s="58">
        <v>0</v>
      </c>
      <c r="N3105" s="58">
        <v>0</v>
      </c>
      <c r="O3105" s="58">
        <v>0</v>
      </c>
      <c r="P3105" s="53">
        <v>0</v>
      </c>
      <c r="Q3105" s="65">
        <v>4997.7816308564998</v>
      </c>
      <c r="R3105" s="65">
        <v>0</v>
      </c>
      <c r="S3105" s="65">
        <v>0</v>
      </c>
      <c r="T3105" s="65">
        <v>0</v>
      </c>
      <c r="U3105" s="58">
        <v>0</v>
      </c>
      <c r="V3105" s="65">
        <v>0</v>
      </c>
      <c r="W3105" s="65">
        <v>0</v>
      </c>
      <c r="X3105" s="65">
        <v>0</v>
      </c>
      <c r="Y3105" s="65">
        <v>0</v>
      </c>
      <c r="Z3105" s="51">
        <v>4997.7816308564998</v>
      </c>
      <c r="AA3105" s="51">
        <v>0</v>
      </c>
      <c r="AB3105" s="102">
        <v>0</v>
      </c>
      <c r="AC3105" s="81">
        <f t="shared" si="148"/>
        <v>384.59383297837542</v>
      </c>
      <c r="AD3105" s="82">
        <f t="shared" si="149"/>
        <v>20.62857142857143</v>
      </c>
      <c r="AE3105" s="218">
        <v>0</v>
      </c>
      <c r="AF3105">
        <v>0</v>
      </c>
      <c r="AH3105" t="str">
        <f t="shared" si="147"/>
        <v>Araria</v>
      </c>
      <c r="AJ3105" s="72">
        <v>0</v>
      </c>
      <c r="AK3105" s="72"/>
      <c r="AL3105" s="72"/>
      <c r="AM3105" s="72"/>
    </row>
    <row r="3106" spans="1:39" x14ac:dyDescent="0.25">
      <c r="A3106" s="37" t="s">
        <v>62</v>
      </c>
      <c r="B3106" s="66" t="s">
        <v>1644</v>
      </c>
      <c r="C3106" s="4">
        <v>1007</v>
      </c>
      <c r="D3106" s="41" t="s">
        <v>207</v>
      </c>
      <c r="E3106" s="41">
        <v>10070077</v>
      </c>
      <c r="F3106" s="85" t="s">
        <v>1349</v>
      </c>
      <c r="G3106" s="39" t="s">
        <v>93</v>
      </c>
      <c r="H3106" s="52" t="s">
        <v>94</v>
      </c>
      <c r="I3106" s="52">
        <v>185.4</v>
      </c>
      <c r="J3106" s="49">
        <v>6447.54793419</v>
      </c>
      <c r="K3106" s="58">
        <v>209.86</v>
      </c>
      <c r="L3106" s="58">
        <v>7160.6449194588004</v>
      </c>
      <c r="M3106" s="58">
        <v>40.01</v>
      </c>
      <c r="N3106" s="58">
        <v>1302.3088679608502</v>
      </c>
      <c r="O3106" s="58">
        <v>249.87</v>
      </c>
      <c r="P3106" s="53">
        <v>8462.9537874196503</v>
      </c>
      <c r="Q3106" s="65">
        <v>6447.54793419</v>
      </c>
      <c r="R3106" s="65">
        <v>0</v>
      </c>
      <c r="S3106" s="65">
        <v>0</v>
      </c>
      <c r="T3106" s="65">
        <v>2015.4058532296503</v>
      </c>
      <c r="U3106" s="58">
        <v>0</v>
      </c>
      <c r="V3106" s="65">
        <v>500</v>
      </c>
      <c r="W3106" s="65">
        <v>0</v>
      </c>
      <c r="X3106" s="65">
        <v>4646</v>
      </c>
      <c r="Y3106" s="65">
        <v>1302</v>
      </c>
      <c r="Z3106" s="51">
        <v>0</v>
      </c>
      <c r="AA3106" s="51">
        <v>0</v>
      </c>
      <c r="AB3106" s="102">
        <v>0</v>
      </c>
      <c r="AC3106" s="81">
        <f t="shared" si="148"/>
        <v>357.91889610940382</v>
      </c>
      <c r="AD3106" s="82">
        <f t="shared" si="149"/>
        <v>26.485714285714288</v>
      </c>
      <c r="AE3106" s="218">
        <v>-0.31258485765454708</v>
      </c>
      <c r="AF3106">
        <v>7</v>
      </c>
      <c r="AH3106" t="str">
        <f t="shared" si="147"/>
        <v>Araria</v>
      </c>
      <c r="AJ3106" s="72">
        <v>500</v>
      </c>
      <c r="AK3106" s="72"/>
      <c r="AL3106" s="72"/>
      <c r="AM3106" s="72"/>
    </row>
    <row r="3107" spans="1:39" x14ac:dyDescent="0.25">
      <c r="A3107" s="37" t="s">
        <v>62</v>
      </c>
      <c r="B3107" s="66" t="s">
        <v>1644</v>
      </c>
      <c r="C3107" s="4">
        <v>1007</v>
      </c>
      <c r="D3107" s="41" t="s">
        <v>207</v>
      </c>
      <c r="E3107" s="41">
        <v>10070078</v>
      </c>
      <c r="F3107" s="85" t="s">
        <v>1350</v>
      </c>
      <c r="G3107" s="39" t="s">
        <v>93</v>
      </c>
      <c r="H3107" s="52" t="s">
        <v>94</v>
      </c>
      <c r="I3107" s="52">
        <v>936.2</v>
      </c>
      <c r="J3107" s="49">
        <v>33996.791530258502</v>
      </c>
      <c r="K3107" s="58">
        <v>0</v>
      </c>
      <c r="L3107" s="58">
        <v>0</v>
      </c>
      <c r="M3107" s="58">
        <v>0</v>
      </c>
      <c r="N3107" s="58">
        <v>0</v>
      </c>
      <c r="O3107" s="58">
        <v>0</v>
      </c>
      <c r="P3107" s="53">
        <v>0</v>
      </c>
      <c r="Q3107" s="65">
        <v>0</v>
      </c>
      <c r="R3107" s="65">
        <v>0</v>
      </c>
      <c r="S3107" s="65">
        <v>0</v>
      </c>
      <c r="T3107" s="65">
        <v>0</v>
      </c>
      <c r="U3107" s="58">
        <v>0</v>
      </c>
      <c r="V3107" s="65">
        <v>0</v>
      </c>
      <c r="W3107" s="65">
        <v>0</v>
      </c>
      <c r="X3107" s="65">
        <v>0</v>
      </c>
      <c r="Y3107" s="65">
        <v>0</v>
      </c>
      <c r="Z3107" s="51">
        <v>0</v>
      </c>
      <c r="AA3107" s="51">
        <v>33997</v>
      </c>
      <c r="AB3107" s="102">
        <v>0</v>
      </c>
      <c r="AC3107" s="81">
        <f t="shared" si="148"/>
        <v>0</v>
      </c>
      <c r="AD3107" s="82">
        <f t="shared" si="149"/>
        <v>0</v>
      </c>
      <c r="AE3107" s="218">
        <v>1</v>
      </c>
      <c r="AF3107">
        <v>0</v>
      </c>
      <c r="AH3107" t="str">
        <f t="shared" si="147"/>
        <v>Araria</v>
      </c>
      <c r="AJ3107" s="72">
        <v>0</v>
      </c>
      <c r="AK3107" s="72"/>
      <c r="AL3107" s="72"/>
      <c r="AM3107" s="72"/>
    </row>
    <row r="3108" spans="1:39" x14ac:dyDescent="0.25">
      <c r="A3108" s="37" t="s">
        <v>62</v>
      </c>
      <c r="B3108" s="66" t="s">
        <v>1644</v>
      </c>
      <c r="C3108" s="4">
        <v>1055</v>
      </c>
      <c r="D3108" s="41" t="s">
        <v>1148</v>
      </c>
      <c r="E3108" s="41">
        <v>10080001</v>
      </c>
      <c r="F3108" s="85" t="s">
        <v>618</v>
      </c>
      <c r="G3108" s="39" t="s">
        <v>635</v>
      </c>
      <c r="H3108" s="52" t="s">
        <v>99</v>
      </c>
      <c r="I3108" s="52">
        <v>2538.1</v>
      </c>
      <c r="J3108" s="49">
        <v>89031.534663665996</v>
      </c>
      <c r="K3108" s="58">
        <v>0</v>
      </c>
      <c r="L3108" s="58">
        <v>0</v>
      </c>
      <c r="M3108" s="58">
        <v>0</v>
      </c>
      <c r="N3108" s="58">
        <v>0</v>
      </c>
      <c r="O3108" s="58">
        <v>0</v>
      </c>
      <c r="P3108" s="53">
        <v>0</v>
      </c>
      <c r="Q3108" s="65">
        <v>89031.534663665996</v>
      </c>
      <c r="R3108" s="65">
        <v>0</v>
      </c>
      <c r="S3108" s="65">
        <v>0</v>
      </c>
      <c r="T3108" s="65">
        <v>0</v>
      </c>
      <c r="U3108" s="58">
        <v>0</v>
      </c>
      <c r="V3108" s="65">
        <v>0</v>
      </c>
      <c r="W3108" s="65">
        <v>0</v>
      </c>
      <c r="X3108" s="65">
        <v>0</v>
      </c>
      <c r="Y3108" s="65">
        <v>0</v>
      </c>
      <c r="Z3108" s="51">
        <v>89031.534663665996</v>
      </c>
      <c r="AA3108" s="51">
        <v>0</v>
      </c>
      <c r="AB3108" s="102">
        <v>0</v>
      </c>
      <c r="AC3108" s="81">
        <f t="shared" si="148"/>
        <v>0</v>
      </c>
      <c r="AD3108" s="82">
        <f t="shared" si="149"/>
        <v>0</v>
      </c>
      <c r="AE3108" s="218">
        <v>0</v>
      </c>
      <c r="AF3108">
        <v>0</v>
      </c>
      <c r="AH3108" t="str">
        <f t="shared" si="147"/>
        <v>Matihani</v>
      </c>
      <c r="AJ3108" s="72">
        <v>0</v>
      </c>
      <c r="AK3108" s="72"/>
      <c r="AL3108" s="72"/>
      <c r="AM3108" s="72"/>
    </row>
    <row r="3109" spans="1:39" x14ac:dyDescent="0.25">
      <c r="A3109" s="37" t="s">
        <v>62</v>
      </c>
      <c r="B3109" s="66" t="s">
        <v>1644</v>
      </c>
      <c r="C3109" s="4">
        <v>1008</v>
      </c>
      <c r="D3109" s="41" t="s">
        <v>221</v>
      </c>
      <c r="E3109" s="41">
        <v>10080002</v>
      </c>
      <c r="F3109" s="85" t="s">
        <v>222</v>
      </c>
      <c r="G3109" s="39" t="s">
        <v>635</v>
      </c>
      <c r="H3109" s="52" t="s">
        <v>99</v>
      </c>
      <c r="I3109" s="52">
        <v>272.40000000000003</v>
      </c>
      <c r="J3109" s="49">
        <v>10010.711226177002</v>
      </c>
      <c r="K3109" s="58">
        <v>0</v>
      </c>
      <c r="L3109" s="58">
        <v>0</v>
      </c>
      <c r="M3109" s="58">
        <v>0</v>
      </c>
      <c r="N3109" s="58">
        <v>0</v>
      </c>
      <c r="O3109" s="58">
        <v>0</v>
      </c>
      <c r="P3109" s="53">
        <v>0</v>
      </c>
      <c r="Q3109" s="65">
        <v>10010.711226177002</v>
      </c>
      <c r="R3109" s="65">
        <v>0</v>
      </c>
      <c r="S3109" s="65">
        <v>0</v>
      </c>
      <c r="T3109" s="65">
        <v>0</v>
      </c>
      <c r="U3109" s="58">
        <v>10011</v>
      </c>
      <c r="V3109" s="65">
        <v>0</v>
      </c>
      <c r="W3109" s="65">
        <v>0</v>
      </c>
      <c r="X3109" s="65">
        <v>0</v>
      </c>
      <c r="Y3109" s="65">
        <v>0</v>
      </c>
      <c r="Z3109" s="51">
        <v>-0.28877382299833698</v>
      </c>
      <c r="AA3109" s="51">
        <v>0</v>
      </c>
      <c r="AB3109" s="102">
        <v>0</v>
      </c>
      <c r="AC3109" s="81">
        <f t="shared" si="148"/>
        <v>314.28635244590936</v>
      </c>
      <c r="AD3109" s="82">
        <f t="shared" si="149"/>
        <v>38.914285714285718</v>
      </c>
      <c r="AE3109" s="218">
        <v>0</v>
      </c>
      <c r="AF3109">
        <v>0</v>
      </c>
      <c r="AH3109" t="str">
        <f t="shared" si="147"/>
        <v>Teghra</v>
      </c>
      <c r="AJ3109" s="72">
        <v>0</v>
      </c>
      <c r="AK3109" s="72"/>
      <c r="AL3109" s="72"/>
      <c r="AM3109" s="72"/>
    </row>
    <row r="3110" spans="1:39" x14ac:dyDescent="0.25">
      <c r="A3110" s="37" t="s">
        <v>62</v>
      </c>
      <c r="B3110" s="66" t="s">
        <v>1644</v>
      </c>
      <c r="C3110" s="4">
        <v>1008</v>
      </c>
      <c r="D3110" s="41" t="s">
        <v>221</v>
      </c>
      <c r="E3110" s="41">
        <v>10080003</v>
      </c>
      <c r="F3110" s="85" t="s">
        <v>223</v>
      </c>
      <c r="G3110" s="39" t="s">
        <v>635</v>
      </c>
      <c r="H3110" s="52" t="s">
        <v>99</v>
      </c>
      <c r="I3110" s="52">
        <v>127.15</v>
      </c>
      <c r="J3110" s="49">
        <v>4485.9051912960012</v>
      </c>
      <c r="K3110" s="58">
        <v>0</v>
      </c>
      <c r="L3110" s="58">
        <v>0</v>
      </c>
      <c r="M3110" s="58">
        <v>0</v>
      </c>
      <c r="N3110" s="58">
        <v>0</v>
      </c>
      <c r="O3110" s="58">
        <v>0</v>
      </c>
      <c r="P3110" s="53">
        <v>0</v>
      </c>
      <c r="Q3110" s="65">
        <v>4485.9051912960012</v>
      </c>
      <c r="R3110" s="65">
        <v>0</v>
      </c>
      <c r="S3110" s="65">
        <v>0</v>
      </c>
      <c r="T3110" s="65">
        <v>0</v>
      </c>
      <c r="U3110" s="58">
        <v>0</v>
      </c>
      <c r="V3110" s="65">
        <v>0</v>
      </c>
      <c r="W3110" s="65">
        <v>0</v>
      </c>
      <c r="X3110" s="65">
        <v>0</v>
      </c>
      <c r="Y3110" s="65">
        <v>0</v>
      </c>
      <c r="Z3110" s="51">
        <v>4485.9051912960012</v>
      </c>
      <c r="AA3110" s="51">
        <v>0</v>
      </c>
      <c r="AB3110" s="102">
        <v>0</v>
      </c>
      <c r="AC3110" s="81">
        <f t="shared" si="148"/>
        <v>404.20775286416267</v>
      </c>
      <c r="AD3110" s="82">
        <f t="shared" si="149"/>
        <v>18.164285714285715</v>
      </c>
      <c r="AE3110" s="218">
        <v>0</v>
      </c>
      <c r="AF3110">
        <v>0</v>
      </c>
      <c r="AH3110" t="str">
        <f t="shared" si="147"/>
        <v>Teghra</v>
      </c>
      <c r="AJ3110" s="72">
        <v>0</v>
      </c>
      <c r="AK3110" s="72"/>
      <c r="AL3110" s="72"/>
      <c r="AM3110" s="72"/>
    </row>
    <row r="3111" spans="1:39" x14ac:dyDescent="0.25">
      <c r="A3111" s="37" t="s">
        <v>62</v>
      </c>
      <c r="B3111" s="66" t="s">
        <v>1644</v>
      </c>
      <c r="C3111" s="4">
        <v>1008</v>
      </c>
      <c r="D3111" s="41" t="s">
        <v>221</v>
      </c>
      <c r="E3111" s="41">
        <v>10080004</v>
      </c>
      <c r="F3111" s="85" t="s">
        <v>224</v>
      </c>
      <c r="G3111" s="39" t="s">
        <v>635</v>
      </c>
      <c r="H3111" s="52" t="s">
        <v>99</v>
      </c>
      <c r="I3111" s="52">
        <v>63.55</v>
      </c>
      <c r="J3111" s="49">
        <v>2430.7603145265007</v>
      </c>
      <c r="K3111" s="58">
        <v>0</v>
      </c>
      <c r="L3111" s="58">
        <v>0</v>
      </c>
      <c r="M3111" s="58">
        <v>0</v>
      </c>
      <c r="N3111" s="58">
        <v>0</v>
      </c>
      <c r="O3111" s="58">
        <v>0</v>
      </c>
      <c r="P3111" s="53">
        <v>0</v>
      </c>
      <c r="Q3111" s="65">
        <v>2430.7603145265007</v>
      </c>
      <c r="R3111" s="65">
        <v>0</v>
      </c>
      <c r="S3111" s="65">
        <v>0</v>
      </c>
      <c r="T3111" s="65">
        <v>0</v>
      </c>
      <c r="U3111" s="58">
        <v>0</v>
      </c>
      <c r="V3111" s="65">
        <v>0</v>
      </c>
      <c r="W3111" s="65">
        <v>0</v>
      </c>
      <c r="X3111" s="65">
        <v>0</v>
      </c>
      <c r="Y3111" s="65">
        <v>0</v>
      </c>
      <c r="Z3111" s="51">
        <v>2430.7603145265007</v>
      </c>
      <c r="AA3111" s="51">
        <v>0</v>
      </c>
      <c r="AB3111" s="102">
        <v>0</v>
      </c>
      <c r="AC3111" s="81">
        <f t="shared" si="148"/>
        <v>486.87880477746398</v>
      </c>
      <c r="AD3111" s="82">
        <f t="shared" si="149"/>
        <v>9.0785714285714274</v>
      </c>
      <c r="AE3111" s="218">
        <v>0</v>
      </c>
      <c r="AF3111">
        <v>0</v>
      </c>
      <c r="AH3111" t="str">
        <f t="shared" si="147"/>
        <v>Teghra</v>
      </c>
      <c r="AJ3111" s="72">
        <v>0</v>
      </c>
      <c r="AK3111" s="72"/>
      <c r="AL3111" s="72"/>
      <c r="AM3111" s="72"/>
    </row>
    <row r="3112" spans="1:39" x14ac:dyDescent="0.25">
      <c r="A3112" s="37" t="s">
        <v>62</v>
      </c>
      <c r="B3112" s="66" t="s">
        <v>1644</v>
      </c>
      <c r="C3112" s="4">
        <v>1008</v>
      </c>
      <c r="D3112" s="41" t="s">
        <v>221</v>
      </c>
      <c r="E3112" s="41">
        <v>10080006</v>
      </c>
      <c r="F3112" s="85" t="s">
        <v>225</v>
      </c>
      <c r="G3112" s="39" t="s">
        <v>635</v>
      </c>
      <c r="H3112" s="52" t="s">
        <v>99</v>
      </c>
      <c r="I3112" s="52">
        <v>271.2</v>
      </c>
      <c r="J3112" s="49">
        <v>9471.0828151170008</v>
      </c>
      <c r="K3112" s="58">
        <v>0</v>
      </c>
      <c r="L3112" s="58">
        <v>0</v>
      </c>
      <c r="M3112" s="58">
        <v>0</v>
      </c>
      <c r="N3112" s="58">
        <v>0</v>
      </c>
      <c r="O3112" s="58">
        <v>0</v>
      </c>
      <c r="P3112" s="53">
        <v>0</v>
      </c>
      <c r="Q3112" s="65">
        <v>9471.0828151170008</v>
      </c>
      <c r="R3112" s="65">
        <v>0</v>
      </c>
      <c r="S3112" s="65">
        <v>0</v>
      </c>
      <c r="T3112" s="65">
        <v>0</v>
      </c>
      <c r="U3112" s="58">
        <v>0</v>
      </c>
      <c r="V3112" s="65">
        <v>0</v>
      </c>
      <c r="W3112" s="65">
        <v>0</v>
      </c>
      <c r="X3112" s="65">
        <v>0</v>
      </c>
      <c r="Y3112" s="65">
        <v>0</v>
      </c>
      <c r="Z3112" s="51">
        <v>9471.0828151170008</v>
      </c>
      <c r="AA3112" s="51">
        <v>0</v>
      </c>
      <c r="AB3112" s="102">
        <v>0</v>
      </c>
      <c r="AC3112" s="81">
        <f t="shared" si="148"/>
        <v>299.49854801785915</v>
      </c>
      <c r="AD3112" s="82">
        <f t="shared" si="149"/>
        <v>38.74285714285714</v>
      </c>
      <c r="AE3112" s="218">
        <v>0</v>
      </c>
      <c r="AF3112">
        <v>0</v>
      </c>
      <c r="AH3112" t="str">
        <f t="shared" si="147"/>
        <v>Teghra</v>
      </c>
      <c r="AJ3112" s="72">
        <v>0</v>
      </c>
      <c r="AK3112" s="72"/>
      <c r="AL3112" s="72"/>
      <c r="AM3112" s="72"/>
    </row>
    <row r="3113" spans="1:39" x14ac:dyDescent="0.25">
      <c r="A3113" s="37" t="s">
        <v>62</v>
      </c>
      <c r="B3113" s="66" t="s">
        <v>1644</v>
      </c>
      <c r="C3113" s="4">
        <v>1008</v>
      </c>
      <c r="D3113" s="41" t="s">
        <v>221</v>
      </c>
      <c r="E3113" s="41">
        <v>10080007</v>
      </c>
      <c r="F3113" s="85" t="s">
        <v>226</v>
      </c>
      <c r="G3113" s="39" t="s">
        <v>635</v>
      </c>
      <c r="H3113" s="52" t="s">
        <v>99</v>
      </c>
      <c r="I3113" s="52">
        <v>818.74999999999989</v>
      </c>
      <c r="J3113" s="49">
        <v>30153.333497077503</v>
      </c>
      <c r="K3113" s="58">
        <v>0</v>
      </c>
      <c r="L3113" s="58">
        <v>0</v>
      </c>
      <c r="M3113" s="58">
        <v>0</v>
      </c>
      <c r="N3113" s="58">
        <v>0</v>
      </c>
      <c r="O3113" s="58">
        <v>0</v>
      </c>
      <c r="P3113" s="53">
        <v>0</v>
      </c>
      <c r="Q3113" s="65">
        <v>30153.333497077503</v>
      </c>
      <c r="R3113" s="65">
        <v>0</v>
      </c>
      <c r="S3113" s="65">
        <v>0</v>
      </c>
      <c r="T3113" s="65">
        <v>0</v>
      </c>
      <c r="U3113" s="58">
        <v>0</v>
      </c>
      <c r="V3113" s="65">
        <v>0</v>
      </c>
      <c r="W3113" s="65">
        <v>0</v>
      </c>
      <c r="X3113" s="65">
        <v>0</v>
      </c>
      <c r="Y3113" s="65">
        <v>0</v>
      </c>
      <c r="Z3113" s="51">
        <v>30153.333497077503</v>
      </c>
      <c r="AA3113" s="51">
        <v>0</v>
      </c>
      <c r="AB3113" s="102">
        <v>0</v>
      </c>
      <c r="AC3113" s="81">
        <f t="shared" si="148"/>
        <v>0</v>
      </c>
      <c r="AD3113" s="82">
        <f t="shared" si="149"/>
        <v>0</v>
      </c>
      <c r="AE3113" s="218">
        <v>0</v>
      </c>
      <c r="AF3113">
        <v>0</v>
      </c>
      <c r="AH3113" t="str">
        <f t="shared" si="147"/>
        <v>Teghra</v>
      </c>
      <c r="AJ3113" s="72">
        <v>0</v>
      </c>
      <c r="AK3113" s="72"/>
      <c r="AL3113" s="72"/>
      <c r="AM3113" s="72"/>
    </row>
    <row r="3114" spans="1:39" x14ac:dyDescent="0.25">
      <c r="A3114" s="37" t="s">
        <v>62</v>
      </c>
      <c r="B3114" s="66" t="s">
        <v>1644</v>
      </c>
      <c r="C3114" s="4">
        <v>1008</v>
      </c>
      <c r="D3114" s="41" t="s">
        <v>221</v>
      </c>
      <c r="E3114" s="41">
        <v>10080012</v>
      </c>
      <c r="F3114" s="85" t="s">
        <v>1230</v>
      </c>
      <c r="G3114" s="39" t="s">
        <v>635</v>
      </c>
      <c r="H3114" s="52" t="s">
        <v>99</v>
      </c>
      <c r="I3114" s="52">
        <v>1607.7000000000003</v>
      </c>
      <c r="J3114" s="49">
        <v>60649.202233224001</v>
      </c>
      <c r="K3114" s="58">
        <v>0</v>
      </c>
      <c r="L3114" s="58">
        <v>0</v>
      </c>
      <c r="M3114" s="58">
        <v>0</v>
      </c>
      <c r="N3114" s="58">
        <v>0</v>
      </c>
      <c r="O3114" s="58">
        <v>0</v>
      </c>
      <c r="P3114" s="53">
        <v>0</v>
      </c>
      <c r="Q3114" s="65">
        <v>60649.202233224001</v>
      </c>
      <c r="R3114" s="65">
        <v>0</v>
      </c>
      <c r="S3114" s="65">
        <v>0</v>
      </c>
      <c r="T3114" s="65">
        <v>0</v>
      </c>
      <c r="U3114" s="58">
        <v>0</v>
      </c>
      <c r="V3114" s="65">
        <v>0</v>
      </c>
      <c r="W3114" s="65">
        <v>0</v>
      </c>
      <c r="X3114" s="65">
        <v>0</v>
      </c>
      <c r="Y3114" s="65">
        <v>0</v>
      </c>
      <c r="Z3114" s="51">
        <v>60649.202233224001</v>
      </c>
      <c r="AA3114" s="51">
        <v>0</v>
      </c>
      <c r="AB3114" s="102">
        <v>0</v>
      </c>
      <c r="AC3114" s="81">
        <f t="shared" si="148"/>
        <v>0</v>
      </c>
      <c r="AD3114" s="82">
        <f t="shared" si="149"/>
        <v>0</v>
      </c>
      <c r="AE3114" s="218">
        <v>0</v>
      </c>
      <c r="AF3114">
        <v>0</v>
      </c>
      <c r="AH3114" t="str">
        <f t="shared" si="147"/>
        <v>Teghra</v>
      </c>
      <c r="AJ3114" s="72">
        <v>0</v>
      </c>
      <c r="AK3114" s="72"/>
      <c r="AL3114" s="72"/>
      <c r="AM3114" s="72"/>
    </row>
    <row r="3115" spans="1:39" x14ac:dyDescent="0.25">
      <c r="A3115" s="37" t="s">
        <v>62</v>
      </c>
      <c r="B3115" s="66" t="s">
        <v>1644</v>
      </c>
      <c r="C3115" s="4">
        <v>1008</v>
      </c>
      <c r="D3115" s="41" t="s">
        <v>221</v>
      </c>
      <c r="E3115" s="41">
        <v>10080013</v>
      </c>
      <c r="F3115" s="85" t="s">
        <v>227</v>
      </c>
      <c r="G3115" s="39" t="s">
        <v>635</v>
      </c>
      <c r="H3115" s="52" t="s">
        <v>99</v>
      </c>
      <c r="I3115" s="52">
        <v>607.75</v>
      </c>
      <c r="J3115" s="49">
        <v>23844.799624272004</v>
      </c>
      <c r="K3115" s="58">
        <v>0</v>
      </c>
      <c r="L3115" s="58">
        <v>0</v>
      </c>
      <c r="M3115" s="58">
        <v>0</v>
      </c>
      <c r="N3115" s="58">
        <v>0</v>
      </c>
      <c r="O3115" s="58">
        <v>0</v>
      </c>
      <c r="P3115" s="53">
        <v>0</v>
      </c>
      <c r="Q3115" s="65">
        <v>23844.799624272004</v>
      </c>
      <c r="R3115" s="65">
        <v>0</v>
      </c>
      <c r="S3115" s="65">
        <v>0</v>
      </c>
      <c r="T3115" s="65">
        <v>0</v>
      </c>
      <c r="U3115" s="58">
        <v>0</v>
      </c>
      <c r="V3115" s="65">
        <v>0</v>
      </c>
      <c r="W3115" s="65">
        <v>0</v>
      </c>
      <c r="X3115" s="65">
        <v>0</v>
      </c>
      <c r="Y3115" s="65">
        <v>0</v>
      </c>
      <c r="Z3115" s="51">
        <v>23844.799624272004</v>
      </c>
      <c r="AA3115" s="51">
        <v>0</v>
      </c>
      <c r="AB3115" s="102">
        <v>0</v>
      </c>
      <c r="AC3115" s="81">
        <f t="shared" si="148"/>
        <v>72.387750401944643</v>
      </c>
      <c r="AD3115" s="82">
        <f t="shared" si="149"/>
        <v>86.821428571428569</v>
      </c>
      <c r="AE3115" s="218">
        <v>0</v>
      </c>
      <c r="AF3115">
        <v>0</v>
      </c>
      <c r="AH3115" t="str">
        <f t="shared" si="147"/>
        <v>Teghra</v>
      </c>
      <c r="AJ3115" s="72">
        <v>0</v>
      </c>
      <c r="AK3115" s="72"/>
      <c r="AL3115" s="72"/>
      <c r="AM3115" s="72"/>
    </row>
    <row r="3116" spans="1:39" x14ac:dyDescent="0.25">
      <c r="A3116" s="37" t="s">
        <v>62</v>
      </c>
      <c r="B3116" s="66" t="s">
        <v>1644</v>
      </c>
      <c r="C3116" s="4">
        <v>1008</v>
      </c>
      <c r="D3116" s="41" t="s">
        <v>221</v>
      </c>
      <c r="E3116" s="41">
        <v>10080014</v>
      </c>
      <c r="F3116" s="85" t="s">
        <v>228</v>
      </c>
      <c r="G3116" s="39" t="s">
        <v>635</v>
      </c>
      <c r="H3116" s="52" t="s">
        <v>99</v>
      </c>
      <c r="I3116" s="52">
        <v>123.75000000000001</v>
      </c>
      <c r="J3116" s="49">
        <v>4873.7874187110001</v>
      </c>
      <c r="K3116" s="58">
        <v>0</v>
      </c>
      <c r="L3116" s="58">
        <v>0</v>
      </c>
      <c r="M3116" s="58">
        <v>0</v>
      </c>
      <c r="N3116" s="58">
        <v>0</v>
      </c>
      <c r="O3116" s="58">
        <v>0</v>
      </c>
      <c r="P3116" s="53">
        <v>0</v>
      </c>
      <c r="Q3116" s="65">
        <v>4873.7874187110001</v>
      </c>
      <c r="R3116" s="65">
        <v>0</v>
      </c>
      <c r="S3116" s="65">
        <v>0</v>
      </c>
      <c r="T3116" s="65">
        <v>0</v>
      </c>
      <c r="U3116" s="58">
        <v>0</v>
      </c>
      <c r="V3116" s="65">
        <v>0</v>
      </c>
      <c r="W3116" s="65">
        <v>0</v>
      </c>
      <c r="X3116" s="65">
        <v>0</v>
      </c>
      <c r="Y3116" s="65">
        <v>0</v>
      </c>
      <c r="Z3116" s="51">
        <v>4873.7874187110001</v>
      </c>
      <c r="AA3116" s="51">
        <v>0</v>
      </c>
      <c r="AB3116" s="102">
        <v>0</v>
      </c>
      <c r="AC3116" s="81">
        <f t="shared" si="148"/>
        <v>453.90222222742841</v>
      </c>
      <c r="AD3116" s="82">
        <f t="shared" si="149"/>
        <v>17.678571428571431</v>
      </c>
      <c r="AE3116" s="218">
        <v>0</v>
      </c>
      <c r="AF3116">
        <v>0</v>
      </c>
      <c r="AH3116" t="str">
        <f t="shared" si="147"/>
        <v>Teghra</v>
      </c>
      <c r="AJ3116" s="72">
        <v>0</v>
      </c>
      <c r="AK3116" s="72"/>
      <c r="AL3116" s="72"/>
      <c r="AM3116" s="72"/>
    </row>
    <row r="3117" spans="1:39" x14ac:dyDescent="0.25">
      <c r="A3117" s="37" t="s">
        <v>62</v>
      </c>
      <c r="B3117" s="66" t="s">
        <v>1644</v>
      </c>
      <c r="C3117" s="4">
        <v>1008</v>
      </c>
      <c r="D3117" s="41" t="s">
        <v>221</v>
      </c>
      <c r="E3117" s="41">
        <v>10080015</v>
      </c>
      <c r="F3117" s="85" t="s">
        <v>229</v>
      </c>
      <c r="G3117" s="39" t="s">
        <v>93</v>
      </c>
      <c r="H3117" s="52" t="s">
        <v>94</v>
      </c>
      <c r="I3117" s="52">
        <v>3372.8999999999996</v>
      </c>
      <c r="J3117" s="49">
        <v>116246.1196733105</v>
      </c>
      <c r="K3117" s="58">
        <v>3417.7000000000003</v>
      </c>
      <c r="L3117" s="58">
        <v>120493.72314022553</v>
      </c>
      <c r="M3117" s="58">
        <v>4.5999999999999996</v>
      </c>
      <c r="N3117" s="58">
        <v>155.42521953000002</v>
      </c>
      <c r="O3117" s="58">
        <v>3422.3</v>
      </c>
      <c r="P3117" s="53">
        <v>120649.14835975553</v>
      </c>
      <c r="Q3117" s="65">
        <v>116246.1196733105</v>
      </c>
      <c r="R3117" s="65">
        <v>0</v>
      </c>
      <c r="S3117" s="65">
        <v>155.42521953000002</v>
      </c>
      <c r="T3117" s="65">
        <v>4403.0286864450318</v>
      </c>
      <c r="U3117" s="58">
        <v>0</v>
      </c>
      <c r="V3117" s="65">
        <v>0</v>
      </c>
      <c r="W3117" s="65">
        <v>0</v>
      </c>
      <c r="X3117" s="65">
        <v>116091</v>
      </c>
      <c r="Y3117" s="65">
        <v>0</v>
      </c>
      <c r="Z3117" s="51">
        <v>0</v>
      </c>
      <c r="AA3117" s="51">
        <v>0</v>
      </c>
      <c r="AB3117" s="102">
        <v>0</v>
      </c>
      <c r="AC3117" s="81">
        <f t="shared" si="148"/>
        <v>0</v>
      </c>
      <c r="AD3117" s="82">
        <f t="shared" si="149"/>
        <v>0</v>
      </c>
      <c r="AE3117" s="218">
        <v>-3.7876779877203455E-2</v>
      </c>
      <c r="AF3117">
        <v>11</v>
      </c>
      <c r="AH3117" t="str">
        <f t="shared" si="147"/>
        <v>Teghra</v>
      </c>
      <c r="AJ3117" s="72">
        <v>0</v>
      </c>
      <c r="AK3117" s="72"/>
      <c r="AL3117" s="72"/>
      <c r="AM3117" s="72"/>
    </row>
    <row r="3118" spans="1:39" x14ac:dyDescent="0.25">
      <c r="A3118" s="37" t="s">
        <v>62</v>
      </c>
      <c r="B3118" s="66" t="s">
        <v>1644</v>
      </c>
      <c r="C3118" s="4">
        <v>1008</v>
      </c>
      <c r="D3118" s="41" t="s">
        <v>221</v>
      </c>
      <c r="E3118" s="41">
        <v>10080016</v>
      </c>
      <c r="F3118" s="85" t="s">
        <v>230</v>
      </c>
      <c r="G3118" s="39" t="s">
        <v>93</v>
      </c>
      <c r="H3118" s="52" t="s">
        <v>94</v>
      </c>
      <c r="I3118" s="52">
        <v>46.349999999999994</v>
      </c>
      <c r="J3118" s="49">
        <v>1717.22405864025</v>
      </c>
      <c r="K3118" s="58">
        <v>44.5</v>
      </c>
      <c r="L3118" s="58">
        <v>1697.4488527500002</v>
      </c>
      <c r="M3118" s="58">
        <v>0.1</v>
      </c>
      <c r="N3118" s="58">
        <v>3.4751112000000006</v>
      </c>
      <c r="O3118" s="58">
        <v>44.6</v>
      </c>
      <c r="P3118" s="53">
        <v>1700.9239639500001</v>
      </c>
      <c r="Q3118" s="65">
        <v>1700.9239639500001</v>
      </c>
      <c r="R3118" s="65">
        <v>0</v>
      </c>
      <c r="S3118" s="65">
        <v>3.4751112000000006</v>
      </c>
      <c r="T3118" s="65">
        <v>0</v>
      </c>
      <c r="U3118" s="58">
        <v>392</v>
      </c>
      <c r="V3118" s="65">
        <v>500</v>
      </c>
      <c r="W3118" s="65">
        <v>0</v>
      </c>
      <c r="X3118" s="65">
        <v>806</v>
      </c>
      <c r="Y3118" s="65">
        <v>0</v>
      </c>
      <c r="Z3118" s="51">
        <v>0</v>
      </c>
      <c r="AA3118" s="51">
        <v>16</v>
      </c>
      <c r="AB3118" s="102" t="s">
        <v>68</v>
      </c>
      <c r="AC3118" s="81">
        <f t="shared" si="148"/>
        <v>484.34239738088445</v>
      </c>
      <c r="AD3118" s="82">
        <f t="shared" si="149"/>
        <v>6.621428571428571</v>
      </c>
      <c r="AE3118" s="218">
        <v>9.4921187530744924E-3</v>
      </c>
      <c r="AF3118">
        <v>3</v>
      </c>
      <c r="AH3118" t="str">
        <f t="shared" si="147"/>
        <v>Teghra</v>
      </c>
      <c r="AJ3118" s="72">
        <v>500</v>
      </c>
      <c r="AK3118" s="72"/>
      <c r="AL3118" s="72"/>
      <c r="AM3118" s="72"/>
    </row>
    <row r="3119" spans="1:39" x14ac:dyDescent="0.25">
      <c r="A3119" s="37" t="s">
        <v>62</v>
      </c>
      <c r="B3119" s="66" t="s">
        <v>1644</v>
      </c>
      <c r="C3119" s="4">
        <v>1008</v>
      </c>
      <c r="D3119" s="41" t="s">
        <v>221</v>
      </c>
      <c r="E3119" s="41">
        <v>10080022</v>
      </c>
      <c r="F3119" s="85" t="s">
        <v>232</v>
      </c>
      <c r="G3119" s="39" t="s">
        <v>93</v>
      </c>
      <c r="H3119" s="52" t="s">
        <v>94</v>
      </c>
      <c r="I3119" s="52">
        <v>241.75</v>
      </c>
      <c r="J3119" s="49">
        <v>10523.784575640002</v>
      </c>
      <c r="K3119" s="58">
        <v>234.40000000000003</v>
      </c>
      <c r="L3119" s="58">
        <v>9772.1310695315915</v>
      </c>
      <c r="M3119" s="58">
        <v>4.09</v>
      </c>
      <c r="N3119" s="58">
        <v>162.27573168645</v>
      </c>
      <c r="O3119" s="58">
        <v>238.49000000000004</v>
      </c>
      <c r="P3119" s="53">
        <v>9934.4068012180414</v>
      </c>
      <c r="Q3119" s="65">
        <v>9934.4068012180414</v>
      </c>
      <c r="R3119" s="65">
        <v>0</v>
      </c>
      <c r="S3119" s="65">
        <v>162.27573168645</v>
      </c>
      <c r="T3119" s="65">
        <v>0</v>
      </c>
      <c r="U3119" s="58">
        <v>0</v>
      </c>
      <c r="V3119" s="65">
        <v>0</v>
      </c>
      <c r="W3119" s="65">
        <v>0</v>
      </c>
      <c r="X3119" s="65">
        <v>9772</v>
      </c>
      <c r="Y3119" s="65">
        <v>0</v>
      </c>
      <c r="Z3119" s="51">
        <v>0</v>
      </c>
      <c r="AA3119" s="51">
        <v>590</v>
      </c>
      <c r="AB3119" s="102">
        <v>0</v>
      </c>
      <c r="AC3119" s="81">
        <f t="shared" si="148"/>
        <v>398.96788267110912</v>
      </c>
      <c r="AD3119" s="82">
        <f t="shared" si="149"/>
        <v>34.535714285714285</v>
      </c>
      <c r="AE3119" s="218">
        <v>5.6004355675070221E-2</v>
      </c>
      <c r="AF3119">
        <v>8</v>
      </c>
      <c r="AH3119" t="str">
        <f t="shared" si="147"/>
        <v>Teghra</v>
      </c>
      <c r="AJ3119" s="72">
        <v>0</v>
      </c>
      <c r="AK3119" s="72"/>
      <c r="AL3119" s="72"/>
      <c r="AM3119" s="72"/>
    </row>
    <row r="3120" spans="1:39" x14ac:dyDescent="0.25">
      <c r="A3120" s="37" t="s">
        <v>62</v>
      </c>
      <c r="B3120" s="66" t="s">
        <v>1644</v>
      </c>
      <c r="C3120" s="4">
        <v>1008</v>
      </c>
      <c r="D3120" s="41" t="s">
        <v>221</v>
      </c>
      <c r="E3120" s="41">
        <v>10080024</v>
      </c>
      <c r="F3120" s="85" t="s">
        <v>234</v>
      </c>
      <c r="G3120" s="39" t="s">
        <v>635</v>
      </c>
      <c r="H3120" s="52" t="s">
        <v>99</v>
      </c>
      <c r="I3120" s="52">
        <v>4591</v>
      </c>
      <c r="J3120" s="49">
        <v>174022.7840559</v>
      </c>
      <c r="K3120" s="58">
        <v>0</v>
      </c>
      <c r="L3120" s="58">
        <v>0</v>
      </c>
      <c r="M3120" s="58">
        <v>0</v>
      </c>
      <c r="N3120" s="58">
        <v>0</v>
      </c>
      <c r="O3120" s="58">
        <v>0</v>
      </c>
      <c r="P3120" s="53">
        <v>0</v>
      </c>
      <c r="Q3120" s="65">
        <v>174022.7840559</v>
      </c>
      <c r="R3120" s="65">
        <v>0</v>
      </c>
      <c r="S3120" s="65">
        <v>0</v>
      </c>
      <c r="T3120" s="65">
        <v>0</v>
      </c>
      <c r="U3120" s="58">
        <v>0</v>
      </c>
      <c r="V3120" s="65">
        <v>0</v>
      </c>
      <c r="W3120" s="65">
        <v>0</v>
      </c>
      <c r="X3120" s="65">
        <v>0</v>
      </c>
      <c r="Y3120" s="65">
        <v>0</v>
      </c>
      <c r="Z3120" s="51">
        <v>174022.7840559</v>
      </c>
      <c r="AA3120" s="51">
        <v>0</v>
      </c>
      <c r="AB3120" s="102">
        <v>0</v>
      </c>
      <c r="AC3120" s="81">
        <f t="shared" si="148"/>
        <v>0</v>
      </c>
      <c r="AD3120" s="82">
        <f t="shared" si="149"/>
        <v>0</v>
      </c>
      <c r="AE3120" s="218">
        <v>0</v>
      </c>
      <c r="AF3120">
        <v>0</v>
      </c>
      <c r="AH3120" t="str">
        <f t="shared" si="147"/>
        <v>Teghra</v>
      </c>
      <c r="AJ3120" s="72">
        <v>0</v>
      </c>
      <c r="AK3120" s="72"/>
      <c r="AL3120" s="72"/>
      <c r="AM3120" s="72"/>
    </row>
    <row r="3121" spans="1:39" x14ac:dyDescent="0.25">
      <c r="A3121" s="37" t="s">
        <v>62</v>
      </c>
      <c r="B3121" s="66" t="s">
        <v>1644</v>
      </c>
      <c r="C3121" s="4">
        <v>1008</v>
      </c>
      <c r="D3121" s="41" t="s">
        <v>221</v>
      </c>
      <c r="E3121" s="41">
        <v>10080025</v>
      </c>
      <c r="F3121" s="85" t="s">
        <v>235</v>
      </c>
      <c r="G3121" s="39" t="s">
        <v>93</v>
      </c>
      <c r="H3121" s="52" t="s">
        <v>94</v>
      </c>
      <c r="I3121" s="52">
        <v>875.94999999999993</v>
      </c>
      <c r="J3121" s="49">
        <v>33252.291177982508</v>
      </c>
      <c r="K3121" s="58">
        <v>906.74</v>
      </c>
      <c r="L3121" s="58">
        <v>34420.692963897432</v>
      </c>
      <c r="M3121" s="58">
        <v>13.269999999999998</v>
      </c>
      <c r="N3121" s="58">
        <v>505.77901568100003</v>
      </c>
      <c r="O3121" s="58">
        <v>920.01</v>
      </c>
      <c r="P3121" s="53">
        <v>34926.471979578433</v>
      </c>
      <c r="Q3121" s="65">
        <v>33252.291177982508</v>
      </c>
      <c r="R3121" s="65">
        <v>0</v>
      </c>
      <c r="S3121" s="65">
        <v>505.77901568100003</v>
      </c>
      <c r="T3121" s="65">
        <v>1674.180801595925</v>
      </c>
      <c r="U3121" s="58">
        <v>0</v>
      </c>
      <c r="V3121" s="65">
        <v>0</v>
      </c>
      <c r="W3121" s="65">
        <v>0</v>
      </c>
      <c r="X3121" s="65">
        <v>32747</v>
      </c>
      <c r="Y3121" s="65">
        <v>0</v>
      </c>
      <c r="Z3121" s="51">
        <v>0</v>
      </c>
      <c r="AA3121" s="51">
        <v>0</v>
      </c>
      <c r="AB3121" s="102" t="s">
        <v>68</v>
      </c>
      <c r="AC3121" s="81">
        <f t="shared" si="148"/>
        <v>0</v>
      </c>
      <c r="AD3121" s="82">
        <f t="shared" si="149"/>
        <v>0</v>
      </c>
      <c r="AE3121" s="218">
        <v>-5.0347832954874938E-2</v>
      </c>
      <c r="AF3121">
        <v>26</v>
      </c>
      <c r="AH3121" t="str">
        <f t="shared" si="147"/>
        <v>Teghra</v>
      </c>
      <c r="AJ3121" s="72">
        <v>0</v>
      </c>
      <c r="AK3121" s="72"/>
      <c r="AL3121" s="72"/>
      <c r="AM3121" s="72"/>
    </row>
    <row r="3122" spans="1:39" x14ac:dyDescent="0.25">
      <c r="A3122" s="37" t="s">
        <v>62</v>
      </c>
      <c r="B3122" s="66" t="s">
        <v>1644</v>
      </c>
      <c r="C3122" s="4">
        <v>1008</v>
      </c>
      <c r="D3122" s="41" t="s">
        <v>221</v>
      </c>
      <c r="E3122" s="41">
        <v>10080032</v>
      </c>
      <c r="F3122" s="85" t="s">
        <v>237</v>
      </c>
      <c r="G3122" s="39" t="s">
        <v>93</v>
      </c>
      <c r="H3122" s="52" t="s">
        <v>94</v>
      </c>
      <c r="I3122" s="52">
        <v>346</v>
      </c>
      <c r="J3122" s="49">
        <v>14905.243440125751</v>
      </c>
      <c r="K3122" s="58">
        <v>283.94</v>
      </c>
      <c r="L3122" s="58">
        <v>12609.607733153362</v>
      </c>
      <c r="M3122" s="58">
        <v>139.13</v>
      </c>
      <c r="N3122" s="58">
        <v>5670.3056390520596</v>
      </c>
      <c r="O3122" s="58">
        <v>423.07</v>
      </c>
      <c r="P3122" s="53">
        <v>18279.913372205421</v>
      </c>
      <c r="Q3122" s="65">
        <v>14905.243440125751</v>
      </c>
      <c r="R3122" s="65">
        <v>0</v>
      </c>
      <c r="S3122" s="65">
        <v>66.825250996699992</v>
      </c>
      <c r="T3122" s="65">
        <v>3374.6699320796706</v>
      </c>
      <c r="U3122" s="58">
        <v>0</v>
      </c>
      <c r="V3122" s="65">
        <v>0</v>
      </c>
      <c r="W3122" s="65">
        <v>0</v>
      </c>
      <c r="X3122" s="65">
        <v>9234</v>
      </c>
      <c r="Y3122" s="65">
        <v>5604</v>
      </c>
      <c r="Z3122" s="51">
        <v>0</v>
      </c>
      <c r="AA3122" s="51">
        <v>0</v>
      </c>
      <c r="AB3122" s="102">
        <v>0</v>
      </c>
      <c r="AC3122" s="81">
        <f t="shared" si="148"/>
        <v>304.9974669251165</v>
      </c>
      <c r="AD3122" s="82">
        <f t="shared" si="149"/>
        <v>49.428571428571431</v>
      </c>
      <c r="AE3122" s="218">
        <v>-0.22640823986778169</v>
      </c>
      <c r="AF3122">
        <v>6</v>
      </c>
      <c r="AH3122" t="str">
        <f t="shared" si="147"/>
        <v>Teghra</v>
      </c>
      <c r="AJ3122" s="72">
        <v>0</v>
      </c>
      <c r="AK3122" s="72"/>
      <c r="AL3122" s="72"/>
      <c r="AM3122" s="72"/>
    </row>
    <row r="3123" spans="1:39" x14ac:dyDescent="0.25">
      <c r="A3123" s="37" t="s">
        <v>62</v>
      </c>
      <c r="B3123" s="66" t="s">
        <v>1644</v>
      </c>
      <c r="C3123" s="4">
        <v>1008</v>
      </c>
      <c r="D3123" s="41" t="s">
        <v>221</v>
      </c>
      <c r="E3123" s="41">
        <v>10080040</v>
      </c>
      <c r="F3123" s="85" t="s">
        <v>238</v>
      </c>
      <c r="G3123" s="39" t="s">
        <v>635</v>
      </c>
      <c r="H3123" s="52" t="s">
        <v>99</v>
      </c>
      <c r="I3123" s="52">
        <v>818.65000000000009</v>
      </c>
      <c r="J3123" s="49">
        <v>33520.795833879005</v>
      </c>
      <c r="K3123" s="58">
        <v>0</v>
      </c>
      <c r="L3123" s="58">
        <v>0</v>
      </c>
      <c r="M3123" s="58">
        <v>0</v>
      </c>
      <c r="N3123" s="58">
        <v>0</v>
      </c>
      <c r="O3123" s="58">
        <v>0</v>
      </c>
      <c r="P3123" s="53">
        <v>0</v>
      </c>
      <c r="Q3123" s="65">
        <v>33520.795833879005</v>
      </c>
      <c r="R3123" s="65">
        <v>0</v>
      </c>
      <c r="S3123" s="65">
        <v>0</v>
      </c>
      <c r="T3123" s="65">
        <v>0</v>
      </c>
      <c r="U3123" s="58">
        <v>0</v>
      </c>
      <c r="V3123" s="65">
        <v>0</v>
      </c>
      <c r="W3123" s="65">
        <v>0</v>
      </c>
      <c r="X3123" s="65">
        <v>0</v>
      </c>
      <c r="Y3123" s="65">
        <v>0</v>
      </c>
      <c r="Z3123" s="51">
        <v>33520.795833879005</v>
      </c>
      <c r="AA3123" s="51">
        <v>0</v>
      </c>
      <c r="AB3123" s="102">
        <v>0</v>
      </c>
      <c r="AC3123" s="81">
        <f t="shared" si="148"/>
        <v>0</v>
      </c>
      <c r="AD3123" s="82">
        <f t="shared" si="149"/>
        <v>0</v>
      </c>
      <c r="AE3123" s="218">
        <v>0</v>
      </c>
      <c r="AF3123">
        <v>0</v>
      </c>
      <c r="AH3123" t="str">
        <f t="shared" si="147"/>
        <v>Teghra</v>
      </c>
      <c r="AJ3123" s="72">
        <v>0</v>
      </c>
      <c r="AK3123" s="72"/>
      <c r="AL3123" s="72"/>
      <c r="AM3123" s="72"/>
    </row>
    <row r="3124" spans="1:39" x14ac:dyDescent="0.25">
      <c r="A3124" s="37" t="s">
        <v>62</v>
      </c>
      <c r="B3124" s="66" t="s">
        <v>1644</v>
      </c>
      <c r="C3124" s="4">
        <v>1008</v>
      </c>
      <c r="D3124" s="41" t="s">
        <v>221</v>
      </c>
      <c r="E3124" s="41">
        <v>10080043</v>
      </c>
      <c r="F3124" s="85" t="s">
        <v>1312</v>
      </c>
      <c r="G3124" s="39" t="s">
        <v>635</v>
      </c>
      <c r="H3124" s="52" t="s">
        <v>99</v>
      </c>
      <c r="I3124" s="52">
        <v>369</v>
      </c>
      <c r="J3124" s="49">
        <v>13900.063814619003</v>
      </c>
      <c r="K3124" s="58">
        <v>0</v>
      </c>
      <c r="L3124" s="58">
        <v>0</v>
      </c>
      <c r="M3124" s="58">
        <v>0</v>
      </c>
      <c r="N3124" s="58">
        <v>0</v>
      </c>
      <c r="O3124" s="58">
        <v>0</v>
      </c>
      <c r="P3124" s="53">
        <v>0</v>
      </c>
      <c r="Q3124" s="65">
        <v>13900.063814619003</v>
      </c>
      <c r="R3124" s="65">
        <v>0</v>
      </c>
      <c r="S3124" s="65">
        <v>0</v>
      </c>
      <c r="T3124" s="65">
        <v>0</v>
      </c>
      <c r="U3124" s="58">
        <v>0</v>
      </c>
      <c r="V3124" s="65">
        <v>0</v>
      </c>
      <c r="W3124" s="65">
        <v>0</v>
      </c>
      <c r="X3124" s="65">
        <v>0</v>
      </c>
      <c r="Y3124" s="65">
        <v>0</v>
      </c>
      <c r="Z3124" s="51">
        <v>13900.063814619003</v>
      </c>
      <c r="AA3124" s="51">
        <v>0</v>
      </c>
      <c r="AB3124" s="102">
        <v>0</v>
      </c>
      <c r="AC3124" s="81">
        <f t="shared" si="148"/>
        <v>249.37241857121356</v>
      </c>
      <c r="AD3124" s="82">
        <f t="shared" si="149"/>
        <v>52.714285714285715</v>
      </c>
      <c r="AE3124" s="218">
        <v>0</v>
      </c>
      <c r="AF3124">
        <v>0</v>
      </c>
      <c r="AH3124" t="str">
        <f t="shared" si="147"/>
        <v>Teghra</v>
      </c>
      <c r="AJ3124" s="72">
        <v>0</v>
      </c>
      <c r="AK3124" s="72"/>
      <c r="AL3124" s="72"/>
      <c r="AM3124" s="72"/>
    </row>
    <row r="3125" spans="1:39" x14ac:dyDescent="0.25">
      <c r="A3125" s="37" t="s">
        <v>62</v>
      </c>
      <c r="B3125" s="66" t="s">
        <v>1644</v>
      </c>
      <c r="C3125" s="4">
        <v>1008</v>
      </c>
      <c r="D3125" s="41" t="s">
        <v>221</v>
      </c>
      <c r="E3125" s="41">
        <v>10080048</v>
      </c>
      <c r="F3125" s="85" t="s">
        <v>239</v>
      </c>
      <c r="G3125" s="39" t="s">
        <v>93</v>
      </c>
      <c r="H3125" s="52" t="s">
        <v>94</v>
      </c>
      <c r="I3125" s="52">
        <v>306.05</v>
      </c>
      <c r="J3125" s="49">
        <v>14181.584630298701</v>
      </c>
      <c r="K3125" s="58">
        <v>309.22000000000003</v>
      </c>
      <c r="L3125" s="58">
        <v>13578.564579817552</v>
      </c>
      <c r="M3125" s="58">
        <v>2.3200000000000003</v>
      </c>
      <c r="N3125" s="58">
        <v>106.04205493134998</v>
      </c>
      <c r="O3125" s="58">
        <v>311.54000000000002</v>
      </c>
      <c r="P3125" s="53">
        <v>13684.606634748901</v>
      </c>
      <c r="Q3125" s="65">
        <v>13684.606634748901</v>
      </c>
      <c r="R3125" s="65">
        <v>0</v>
      </c>
      <c r="S3125" s="65">
        <v>106.04205493134998</v>
      </c>
      <c r="T3125" s="65">
        <v>0</v>
      </c>
      <c r="U3125" s="58">
        <v>0</v>
      </c>
      <c r="V3125" s="65">
        <v>500</v>
      </c>
      <c r="W3125" s="65">
        <v>0</v>
      </c>
      <c r="X3125" s="65">
        <v>13078</v>
      </c>
      <c r="Y3125" s="65">
        <v>0</v>
      </c>
      <c r="Z3125" s="51">
        <v>0</v>
      </c>
      <c r="AA3125" s="51">
        <v>498</v>
      </c>
      <c r="AB3125" s="102">
        <v>0</v>
      </c>
      <c r="AC3125" s="81">
        <f t="shared" si="148"/>
        <v>365.0929759912546</v>
      </c>
      <c r="AD3125" s="82">
        <f t="shared" si="149"/>
        <v>43.721428571428575</v>
      </c>
      <c r="AE3125" s="218">
        <v>3.5043897315114925E-2</v>
      </c>
      <c r="AF3125">
        <v>7</v>
      </c>
      <c r="AH3125" t="str">
        <f t="shared" si="147"/>
        <v>Teghra</v>
      </c>
      <c r="AJ3125" s="72">
        <v>500</v>
      </c>
      <c r="AK3125" s="72"/>
      <c r="AL3125" s="72"/>
      <c r="AM3125" s="72"/>
    </row>
    <row r="3126" spans="1:39" x14ac:dyDescent="0.25">
      <c r="A3126" s="37" t="s">
        <v>62</v>
      </c>
      <c r="B3126" s="66" t="s">
        <v>1644</v>
      </c>
      <c r="C3126" s="4">
        <v>1008</v>
      </c>
      <c r="D3126" s="41" t="s">
        <v>221</v>
      </c>
      <c r="E3126" s="41">
        <v>10080052</v>
      </c>
      <c r="F3126" s="85" t="s">
        <v>241</v>
      </c>
      <c r="G3126" s="39" t="s">
        <v>93</v>
      </c>
      <c r="H3126" s="52" t="s">
        <v>94</v>
      </c>
      <c r="I3126" s="52">
        <v>602.99999999999989</v>
      </c>
      <c r="J3126" s="49">
        <v>22663.833068808002</v>
      </c>
      <c r="K3126" s="58">
        <v>602.6</v>
      </c>
      <c r="L3126" s="58">
        <v>22655.134894547999</v>
      </c>
      <c r="M3126" s="58">
        <v>0</v>
      </c>
      <c r="N3126" s="58">
        <v>0</v>
      </c>
      <c r="O3126" s="58">
        <v>602.6</v>
      </c>
      <c r="P3126" s="53">
        <v>22655.134894547999</v>
      </c>
      <c r="Q3126" s="65">
        <v>22655.134894547999</v>
      </c>
      <c r="R3126" s="65">
        <v>0</v>
      </c>
      <c r="S3126" s="65">
        <v>0</v>
      </c>
      <c r="T3126" s="65">
        <v>0</v>
      </c>
      <c r="U3126" s="58">
        <v>0</v>
      </c>
      <c r="V3126" s="65">
        <v>0</v>
      </c>
      <c r="W3126" s="65">
        <v>0</v>
      </c>
      <c r="X3126" s="65">
        <v>22655</v>
      </c>
      <c r="Y3126" s="65">
        <v>0</v>
      </c>
      <c r="Z3126" s="51">
        <v>0</v>
      </c>
      <c r="AA3126" s="51">
        <v>9</v>
      </c>
      <c r="AB3126" s="102">
        <v>0</v>
      </c>
      <c r="AC3126" s="81">
        <f t="shared" si="148"/>
        <v>72.915151166646083</v>
      </c>
      <c r="AD3126" s="82">
        <f t="shared" si="149"/>
        <v>86.142857142857125</v>
      </c>
      <c r="AE3126" s="218">
        <v>3.8379096040796963E-4</v>
      </c>
      <c r="AF3126">
        <v>1</v>
      </c>
      <c r="AH3126" t="str">
        <f t="shared" si="147"/>
        <v>Teghra</v>
      </c>
      <c r="AJ3126" s="72">
        <v>0</v>
      </c>
      <c r="AK3126" s="72"/>
      <c r="AL3126" s="72"/>
      <c r="AM3126" s="72"/>
    </row>
    <row r="3127" spans="1:39" x14ac:dyDescent="0.25">
      <c r="A3127" s="37" t="s">
        <v>62</v>
      </c>
      <c r="B3127" s="66" t="s">
        <v>1644</v>
      </c>
      <c r="C3127" s="4">
        <v>1008</v>
      </c>
      <c r="D3127" s="41" t="s">
        <v>221</v>
      </c>
      <c r="E3127" s="41">
        <v>10080053</v>
      </c>
      <c r="F3127" s="85" t="s">
        <v>242</v>
      </c>
      <c r="G3127" s="39" t="s">
        <v>93</v>
      </c>
      <c r="H3127" s="52" t="s">
        <v>94</v>
      </c>
      <c r="I3127" s="52">
        <v>671.50000000000011</v>
      </c>
      <c r="J3127" s="49">
        <v>23498.87151323925</v>
      </c>
      <c r="K3127" s="58">
        <v>770.78000000000009</v>
      </c>
      <c r="L3127" s="58">
        <v>28812.609541470003</v>
      </c>
      <c r="M3127" s="58">
        <v>0</v>
      </c>
      <c r="N3127" s="58">
        <v>0</v>
      </c>
      <c r="O3127" s="58">
        <v>770.78000000000009</v>
      </c>
      <c r="P3127" s="53">
        <v>28812.609541470003</v>
      </c>
      <c r="Q3127" s="65">
        <v>23498.87151323925</v>
      </c>
      <c r="R3127" s="65">
        <v>0</v>
      </c>
      <c r="S3127" s="65">
        <v>0</v>
      </c>
      <c r="T3127" s="65">
        <v>5313.7380282307531</v>
      </c>
      <c r="U3127" s="58">
        <v>0</v>
      </c>
      <c r="V3127" s="65">
        <v>0</v>
      </c>
      <c r="W3127" s="65">
        <v>0</v>
      </c>
      <c r="X3127" s="65">
        <v>23499</v>
      </c>
      <c r="Y3127" s="65">
        <v>0</v>
      </c>
      <c r="Z3127" s="51">
        <v>0</v>
      </c>
      <c r="AA3127" s="51">
        <v>0</v>
      </c>
      <c r="AB3127" s="102">
        <v>0</v>
      </c>
      <c r="AC3127" s="81">
        <f t="shared" si="148"/>
        <v>19.946919974007915</v>
      </c>
      <c r="AD3127" s="82">
        <f t="shared" si="149"/>
        <v>95.928571428571445</v>
      </c>
      <c r="AE3127" s="218">
        <v>-0.22612737063722385</v>
      </c>
      <c r="AF3127">
        <v>2</v>
      </c>
      <c r="AH3127" t="str">
        <f t="shared" si="147"/>
        <v>Teghra</v>
      </c>
      <c r="AJ3127" s="72">
        <v>0</v>
      </c>
      <c r="AK3127" s="72"/>
      <c r="AL3127" s="72"/>
      <c r="AM3127" s="72"/>
    </row>
    <row r="3128" spans="1:39" x14ac:dyDescent="0.25">
      <c r="A3128" s="37" t="s">
        <v>62</v>
      </c>
      <c r="B3128" s="66" t="s">
        <v>1644</v>
      </c>
      <c r="C3128" s="4">
        <v>1008</v>
      </c>
      <c r="D3128" s="41" t="s">
        <v>221</v>
      </c>
      <c r="E3128" s="41">
        <v>10080054</v>
      </c>
      <c r="F3128" s="85" t="s">
        <v>243</v>
      </c>
      <c r="G3128" s="39" t="s">
        <v>635</v>
      </c>
      <c r="H3128" s="52" t="s">
        <v>99</v>
      </c>
      <c r="I3128" s="52">
        <v>930.55000000000007</v>
      </c>
      <c r="J3128" s="49">
        <v>35742.335065849504</v>
      </c>
      <c r="K3128" s="58">
        <v>0</v>
      </c>
      <c r="L3128" s="58">
        <v>0</v>
      </c>
      <c r="M3128" s="58">
        <v>0</v>
      </c>
      <c r="N3128" s="58">
        <v>0</v>
      </c>
      <c r="O3128" s="58">
        <v>0</v>
      </c>
      <c r="P3128" s="53">
        <v>0</v>
      </c>
      <c r="Q3128" s="65">
        <v>35742.335065849504</v>
      </c>
      <c r="R3128" s="65">
        <v>0</v>
      </c>
      <c r="S3128" s="65">
        <v>0</v>
      </c>
      <c r="T3128" s="65">
        <v>0</v>
      </c>
      <c r="U3128" s="58">
        <v>0</v>
      </c>
      <c r="V3128" s="65">
        <v>0</v>
      </c>
      <c r="W3128" s="65">
        <v>0</v>
      </c>
      <c r="X3128" s="65">
        <v>0</v>
      </c>
      <c r="Y3128" s="65">
        <v>0</v>
      </c>
      <c r="Z3128" s="51">
        <v>35742.335065849504</v>
      </c>
      <c r="AA3128" s="51">
        <v>0</v>
      </c>
      <c r="AB3128" s="102">
        <v>0</v>
      </c>
      <c r="AC3128" s="81">
        <f t="shared" si="148"/>
        <v>0</v>
      </c>
      <c r="AD3128" s="82">
        <f t="shared" si="149"/>
        <v>0</v>
      </c>
      <c r="AE3128" s="218">
        <v>0</v>
      </c>
      <c r="AF3128">
        <v>0</v>
      </c>
      <c r="AH3128" t="str">
        <f t="shared" si="147"/>
        <v>Teghra</v>
      </c>
      <c r="AJ3128" s="72">
        <v>0</v>
      </c>
      <c r="AK3128" s="72"/>
      <c r="AL3128" s="72"/>
      <c r="AM3128" s="72"/>
    </row>
    <row r="3129" spans="1:39" x14ac:dyDescent="0.25">
      <c r="A3129" s="37" t="s">
        <v>62</v>
      </c>
      <c r="B3129" s="66" t="s">
        <v>1644</v>
      </c>
      <c r="C3129" s="4">
        <v>1008</v>
      </c>
      <c r="D3129" s="41" t="s">
        <v>221</v>
      </c>
      <c r="E3129" s="41">
        <v>10080055</v>
      </c>
      <c r="F3129" s="85" t="s">
        <v>244</v>
      </c>
      <c r="G3129" s="39" t="s">
        <v>93</v>
      </c>
      <c r="H3129" s="52" t="s">
        <v>94</v>
      </c>
      <c r="I3129" s="52">
        <v>273.35000000000002</v>
      </c>
      <c r="J3129" s="49">
        <v>10453.082561060999</v>
      </c>
      <c r="K3129" s="58">
        <v>273.98</v>
      </c>
      <c r="L3129" s="58">
        <v>11357.540398134599</v>
      </c>
      <c r="M3129" s="58">
        <v>0</v>
      </c>
      <c r="N3129" s="58">
        <v>0</v>
      </c>
      <c r="O3129" s="58">
        <v>273.98</v>
      </c>
      <c r="P3129" s="53">
        <v>11357.540398134599</v>
      </c>
      <c r="Q3129" s="65">
        <v>10453.082561060999</v>
      </c>
      <c r="R3129" s="65">
        <v>0</v>
      </c>
      <c r="S3129" s="65">
        <v>0</v>
      </c>
      <c r="T3129" s="65">
        <v>904.45783707359988</v>
      </c>
      <c r="U3129" s="58">
        <v>0</v>
      </c>
      <c r="V3129" s="65">
        <v>0</v>
      </c>
      <c r="W3129" s="65">
        <v>0</v>
      </c>
      <c r="X3129" s="65">
        <v>10453</v>
      </c>
      <c r="Y3129" s="65">
        <v>0</v>
      </c>
      <c r="Z3129" s="51">
        <v>0</v>
      </c>
      <c r="AA3129" s="51">
        <v>0</v>
      </c>
      <c r="AB3129" s="102">
        <v>0</v>
      </c>
      <c r="AC3129" s="81">
        <f t="shared" si="148"/>
        <v>326.30749403158404</v>
      </c>
      <c r="AD3129" s="82">
        <f t="shared" si="149"/>
        <v>39.050000000000004</v>
      </c>
      <c r="AE3129" s="218">
        <v>-8.6525465745656227E-2</v>
      </c>
      <c r="AF3129">
        <v>4</v>
      </c>
      <c r="AH3129" t="str">
        <f t="shared" si="147"/>
        <v>Teghra</v>
      </c>
      <c r="AJ3129" s="72">
        <v>0</v>
      </c>
      <c r="AK3129" s="72"/>
      <c r="AL3129" s="72"/>
      <c r="AM3129" s="72"/>
    </row>
    <row r="3130" spans="1:39" x14ac:dyDescent="0.25">
      <c r="A3130" s="37" t="s">
        <v>62</v>
      </c>
      <c r="B3130" s="66" t="s">
        <v>1644</v>
      </c>
      <c r="C3130" s="4">
        <v>1008</v>
      </c>
      <c r="D3130" s="41" t="s">
        <v>221</v>
      </c>
      <c r="E3130" s="41">
        <v>10080061</v>
      </c>
      <c r="F3130" s="85" t="s">
        <v>245</v>
      </c>
      <c r="G3130" s="39" t="s">
        <v>93</v>
      </c>
      <c r="H3130" s="52" t="s">
        <v>94</v>
      </c>
      <c r="I3130" s="52">
        <v>163</v>
      </c>
      <c r="J3130" s="49">
        <v>5804.4919924455007</v>
      </c>
      <c r="K3130" s="58">
        <v>162.79999999999998</v>
      </c>
      <c r="L3130" s="58">
        <v>5798.177117980501</v>
      </c>
      <c r="M3130" s="58">
        <v>0</v>
      </c>
      <c r="N3130" s="58">
        <v>0</v>
      </c>
      <c r="O3130" s="58">
        <v>162.79999999999998</v>
      </c>
      <c r="P3130" s="53">
        <v>5798.177117980501</v>
      </c>
      <c r="Q3130" s="65">
        <v>5798.177117980501</v>
      </c>
      <c r="R3130" s="65">
        <v>0</v>
      </c>
      <c r="S3130" s="65">
        <v>0</v>
      </c>
      <c r="T3130" s="65">
        <v>0</v>
      </c>
      <c r="U3130" s="58">
        <v>0</v>
      </c>
      <c r="V3130" s="65">
        <v>0</v>
      </c>
      <c r="W3130" s="65">
        <v>0</v>
      </c>
      <c r="X3130" s="65">
        <v>5798</v>
      </c>
      <c r="Y3130" s="65">
        <v>0</v>
      </c>
      <c r="Z3130" s="51">
        <v>0</v>
      </c>
      <c r="AA3130" s="51">
        <v>6</v>
      </c>
      <c r="AB3130" s="102">
        <v>0</v>
      </c>
      <c r="AC3130" s="81">
        <f t="shared" si="148"/>
        <v>382.45548465561154</v>
      </c>
      <c r="AD3130" s="82">
        <f t="shared" si="149"/>
        <v>23.285714285714285</v>
      </c>
      <c r="AE3130" s="218">
        <v>1.087928878740557E-3</v>
      </c>
      <c r="AF3130">
        <v>1</v>
      </c>
      <c r="AH3130" t="str">
        <f t="shared" si="147"/>
        <v>Teghra</v>
      </c>
      <c r="AJ3130" s="72">
        <v>0</v>
      </c>
      <c r="AK3130" s="72"/>
      <c r="AL3130" s="72"/>
      <c r="AM3130" s="72"/>
    </row>
    <row r="3131" spans="1:39" x14ac:dyDescent="0.25">
      <c r="A3131" s="37" t="s">
        <v>62</v>
      </c>
      <c r="B3131" s="66" t="s">
        <v>1644</v>
      </c>
      <c r="C3131" s="4">
        <v>1008</v>
      </c>
      <c r="D3131" s="41" t="s">
        <v>221</v>
      </c>
      <c r="E3131" s="41">
        <v>10080062</v>
      </c>
      <c r="F3131" s="85" t="s">
        <v>246</v>
      </c>
      <c r="G3131" s="39" t="s">
        <v>93</v>
      </c>
      <c r="H3131" s="52" t="s">
        <v>94</v>
      </c>
      <c r="I3131" s="52">
        <v>15.55</v>
      </c>
      <c r="J3131" s="49">
        <v>637.47983686756004</v>
      </c>
      <c r="K3131" s="58">
        <v>15</v>
      </c>
      <c r="L3131" s="58">
        <v>554.80681079999999</v>
      </c>
      <c r="M3131" s="58">
        <v>0</v>
      </c>
      <c r="N3131" s="58">
        <v>0</v>
      </c>
      <c r="O3131" s="58">
        <v>15</v>
      </c>
      <c r="P3131" s="53">
        <v>554.80681079999999</v>
      </c>
      <c r="Q3131" s="65">
        <v>554.80681079999999</v>
      </c>
      <c r="R3131" s="65">
        <v>0</v>
      </c>
      <c r="S3131" s="65">
        <v>0</v>
      </c>
      <c r="T3131" s="65">
        <v>0</v>
      </c>
      <c r="U3131" s="58">
        <v>0</v>
      </c>
      <c r="V3131" s="65">
        <v>0</v>
      </c>
      <c r="W3131" s="65">
        <v>0</v>
      </c>
      <c r="X3131" s="65">
        <v>555</v>
      </c>
      <c r="Y3131" s="65">
        <v>0</v>
      </c>
      <c r="Z3131" s="51">
        <v>0</v>
      </c>
      <c r="AA3131" s="51">
        <v>82</v>
      </c>
      <c r="AB3131" s="102">
        <v>0</v>
      </c>
      <c r="AC3131" s="81">
        <f t="shared" si="148"/>
        <v>561.18723388296007</v>
      </c>
      <c r="AD3131" s="82">
        <f t="shared" si="149"/>
        <v>2.2214285714285715</v>
      </c>
      <c r="AE3131" s="218">
        <v>0.1296872799519396</v>
      </c>
      <c r="AF3131">
        <v>1</v>
      </c>
      <c r="AH3131" t="str">
        <f t="shared" ref="AH3131:AH3194" si="150">TEXT(D3131,"0000")</f>
        <v>Teghra</v>
      </c>
      <c r="AJ3131" s="72">
        <v>0</v>
      </c>
      <c r="AK3131" s="72"/>
      <c r="AL3131" s="72"/>
      <c r="AM3131" s="72"/>
    </row>
    <row r="3132" spans="1:39" x14ac:dyDescent="0.25">
      <c r="A3132" s="37" t="s">
        <v>62</v>
      </c>
      <c r="B3132" s="66" t="s">
        <v>1644</v>
      </c>
      <c r="C3132" s="4">
        <v>1008</v>
      </c>
      <c r="D3132" s="41" t="s">
        <v>221</v>
      </c>
      <c r="E3132" s="41">
        <v>10080067</v>
      </c>
      <c r="F3132" s="85" t="s">
        <v>248</v>
      </c>
      <c r="G3132" s="39" t="s">
        <v>93</v>
      </c>
      <c r="H3132" s="52" t="s">
        <v>94</v>
      </c>
      <c r="I3132" s="52">
        <v>53.199999999999989</v>
      </c>
      <c r="J3132" s="49">
        <v>2010.8486859600002</v>
      </c>
      <c r="K3132" s="58">
        <v>56.04</v>
      </c>
      <c r="L3132" s="58">
        <v>1912.6412589391502</v>
      </c>
      <c r="M3132" s="58">
        <v>0</v>
      </c>
      <c r="N3132" s="58">
        <v>0</v>
      </c>
      <c r="O3132" s="58">
        <v>56.04</v>
      </c>
      <c r="P3132" s="53">
        <v>1912.6412589391502</v>
      </c>
      <c r="Q3132" s="65">
        <v>1912.6412589391502</v>
      </c>
      <c r="R3132" s="65">
        <v>0</v>
      </c>
      <c r="S3132" s="65">
        <v>0</v>
      </c>
      <c r="T3132" s="65">
        <v>0</v>
      </c>
      <c r="U3132" s="58">
        <v>0</v>
      </c>
      <c r="V3132" s="65">
        <v>500</v>
      </c>
      <c r="W3132" s="65">
        <v>0</v>
      </c>
      <c r="X3132" s="65">
        <v>1412</v>
      </c>
      <c r="Y3132" s="65">
        <v>0</v>
      </c>
      <c r="Z3132" s="51">
        <v>0</v>
      </c>
      <c r="AA3132" s="51">
        <v>99</v>
      </c>
      <c r="AB3132" s="102" t="s">
        <v>68</v>
      </c>
      <c r="AC3132" s="81">
        <f t="shared" si="148"/>
        <v>488.95373311237921</v>
      </c>
      <c r="AD3132" s="82">
        <f t="shared" si="149"/>
        <v>7.5999999999999988</v>
      </c>
      <c r="AE3132" s="218">
        <v>4.8838795134883428E-2</v>
      </c>
      <c r="AF3132">
        <v>3</v>
      </c>
      <c r="AH3132" t="str">
        <f t="shared" si="150"/>
        <v>Teghra</v>
      </c>
      <c r="AJ3132" s="72">
        <v>500</v>
      </c>
      <c r="AK3132" s="72"/>
      <c r="AL3132" s="72"/>
      <c r="AM3132" s="72"/>
    </row>
    <row r="3133" spans="1:39" x14ac:dyDescent="0.25">
      <c r="A3133" s="37" t="s">
        <v>62</v>
      </c>
      <c r="B3133" s="66" t="s">
        <v>1644</v>
      </c>
      <c r="C3133" s="4">
        <v>1008</v>
      </c>
      <c r="D3133" s="41" t="s">
        <v>221</v>
      </c>
      <c r="E3133" s="41">
        <v>10080073</v>
      </c>
      <c r="F3133" s="85" t="s">
        <v>1619</v>
      </c>
      <c r="G3133" s="39" t="s">
        <v>635</v>
      </c>
      <c r="H3133" s="52" t="s">
        <v>99</v>
      </c>
      <c r="I3133" s="52">
        <v>263.39999999999998</v>
      </c>
      <c r="J3133" s="49">
        <v>10979.654270793</v>
      </c>
      <c r="K3133" s="58">
        <v>0</v>
      </c>
      <c r="L3133" s="58">
        <v>0</v>
      </c>
      <c r="M3133" s="58">
        <v>0</v>
      </c>
      <c r="N3133" s="58">
        <v>0</v>
      </c>
      <c r="O3133" s="58">
        <v>0</v>
      </c>
      <c r="P3133" s="53">
        <v>0</v>
      </c>
      <c r="Q3133" s="65">
        <v>10979.654270793</v>
      </c>
      <c r="R3133" s="65">
        <v>0</v>
      </c>
      <c r="S3133" s="65">
        <v>0</v>
      </c>
      <c r="T3133" s="65">
        <v>0</v>
      </c>
      <c r="U3133" s="58">
        <v>0</v>
      </c>
      <c r="V3133" s="65">
        <v>0</v>
      </c>
      <c r="W3133" s="65">
        <v>0</v>
      </c>
      <c r="X3133" s="65">
        <v>0</v>
      </c>
      <c r="Y3133" s="65">
        <v>0</v>
      </c>
      <c r="Z3133" s="51">
        <v>10979.654270793</v>
      </c>
      <c r="AA3133" s="51">
        <v>0</v>
      </c>
      <c r="AB3133" s="102">
        <v>0</v>
      </c>
      <c r="AC3133" s="81">
        <f t="shared" si="148"/>
        <v>363.98762753441343</v>
      </c>
      <c r="AD3133" s="82">
        <f t="shared" si="149"/>
        <v>37.628571428571426</v>
      </c>
      <c r="AE3133" s="218">
        <v>0</v>
      </c>
      <c r="AF3133">
        <v>0</v>
      </c>
      <c r="AH3133" t="str">
        <f t="shared" si="150"/>
        <v>Teghra</v>
      </c>
      <c r="AJ3133" s="72">
        <v>0</v>
      </c>
      <c r="AK3133" s="72"/>
      <c r="AL3133" s="72"/>
      <c r="AM3133" s="72"/>
    </row>
    <row r="3134" spans="1:39" x14ac:dyDescent="0.25">
      <c r="A3134" s="37" t="s">
        <v>62</v>
      </c>
      <c r="B3134" s="66" t="s">
        <v>1644</v>
      </c>
      <c r="C3134" s="4">
        <v>1008</v>
      </c>
      <c r="D3134" s="41" t="s">
        <v>221</v>
      </c>
      <c r="E3134" s="41">
        <v>10080076</v>
      </c>
      <c r="F3134" s="85" t="s">
        <v>472</v>
      </c>
      <c r="G3134" s="39" t="s">
        <v>635</v>
      </c>
      <c r="H3134" s="52" t="s">
        <v>99</v>
      </c>
      <c r="I3134" s="52">
        <v>77</v>
      </c>
      <c r="J3134" s="49">
        <v>3024.0619270500001</v>
      </c>
      <c r="K3134" s="58">
        <v>0</v>
      </c>
      <c r="L3134" s="58">
        <v>0</v>
      </c>
      <c r="M3134" s="58">
        <v>0</v>
      </c>
      <c r="N3134" s="58">
        <v>0</v>
      </c>
      <c r="O3134" s="58">
        <v>0</v>
      </c>
      <c r="P3134" s="53">
        <v>0</v>
      </c>
      <c r="Q3134" s="65">
        <v>3024.0619270500001</v>
      </c>
      <c r="R3134" s="65">
        <v>0</v>
      </c>
      <c r="S3134" s="65">
        <v>0</v>
      </c>
      <c r="T3134" s="65">
        <v>0</v>
      </c>
      <c r="U3134" s="58">
        <v>0</v>
      </c>
      <c r="V3134" s="65">
        <v>0</v>
      </c>
      <c r="W3134" s="65">
        <v>0</v>
      </c>
      <c r="X3134" s="65">
        <v>0</v>
      </c>
      <c r="Y3134" s="65">
        <v>0</v>
      </c>
      <c r="Z3134" s="51">
        <v>3024.0619270500001</v>
      </c>
      <c r="AA3134" s="51">
        <v>0</v>
      </c>
      <c r="AB3134" s="102">
        <v>0</v>
      </c>
      <c r="AC3134" s="81">
        <f t="shared" si="148"/>
        <v>489.34820274081824</v>
      </c>
      <c r="AD3134" s="82">
        <f t="shared" si="149"/>
        <v>11</v>
      </c>
      <c r="AE3134" s="218">
        <v>0</v>
      </c>
      <c r="AF3134">
        <v>0</v>
      </c>
      <c r="AH3134" t="str">
        <f t="shared" si="150"/>
        <v>Teghra</v>
      </c>
      <c r="AJ3134" s="72">
        <v>0</v>
      </c>
      <c r="AK3134" s="72"/>
      <c r="AL3134" s="72"/>
      <c r="AM3134" s="72"/>
    </row>
    <row r="3135" spans="1:39" x14ac:dyDescent="0.25">
      <c r="A3135" s="37" t="s">
        <v>62</v>
      </c>
      <c r="B3135" s="66" t="s">
        <v>1644</v>
      </c>
      <c r="C3135" s="4">
        <v>1008</v>
      </c>
      <c r="D3135" s="41" t="s">
        <v>221</v>
      </c>
      <c r="E3135" s="41">
        <v>10080077</v>
      </c>
      <c r="F3135" s="85" t="s">
        <v>475</v>
      </c>
      <c r="G3135" s="39" t="s">
        <v>93</v>
      </c>
      <c r="H3135" s="52" t="s">
        <v>94</v>
      </c>
      <c r="I3135" s="52">
        <v>615.84999999999991</v>
      </c>
      <c r="J3135" s="49">
        <v>23108.457747600001</v>
      </c>
      <c r="K3135" s="58">
        <v>621.66</v>
      </c>
      <c r="L3135" s="58">
        <v>22301.257904828555</v>
      </c>
      <c r="M3135" s="58">
        <v>2.0699999999999998</v>
      </c>
      <c r="N3135" s="58">
        <v>79.347271487699999</v>
      </c>
      <c r="O3135" s="58">
        <v>623.73</v>
      </c>
      <c r="P3135" s="53">
        <v>22380.605176316254</v>
      </c>
      <c r="Q3135" s="65">
        <v>22380.605176316254</v>
      </c>
      <c r="R3135" s="65">
        <v>0</v>
      </c>
      <c r="S3135" s="65">
        <v>79.347271487699999</v>
      </c>
      <c r="T3135" s="65">
        <v>0</v>
      </c>
      <c r="U3135" s="58">
        <v>0</v>
      </c>
      <c r="V3135" s="65">
        <v>0</v>
      </c>
      <c r="W3135" s="65">
        <v>0</v>
      </c>
      <c r="X3135" s="65">
        <v>22301</v>
      </c>
      <c r="Y3135" s="65">
        <v>0</v>
      </c>
      <c r="Z3135" s="51">
        <v>0</v>
      </c>
      <c r="AA3135" s="51">
        <v>728</v>
      </c>
      <c r="AB3135" s="102">
        <v>0</v>
      </c>
      <c r="AC3135" s="81">
        <f t="shared" si="148"/>
        <v>63.150985449721297</v>
      </c>
      <c r="AD3135" s="82">
        <f t="shared" si="149"/>
        <v>87.978571428571414</v>
      </c>
      <c r="AE3135" s="218">
        <v>3.1497237039081097E-2</v>
      </c>
      <c r="AF3135">
        <v>6</v>
      </c>
      <c r="AH3135" t="str">
        <f t="shared" si="150"/>
        <v>Teghra</v>
      </c>
      <c r="AJ3135" s="72">
        <v>0</v>
      </c>
      <c r="AK3135" s="72"/>
      <c r="AL3135" s="72"/>
      <c r="AM3135" s="72"/>
    </row>
    <row r="3136" spans="1:39" x14ac:dyDescent="0.25">
      <c r="A3136" s="37" t="s">
        <v>62</v>
      </c>
      <c r="B3136" s="66" t="s">
        <v>1644</v>
      </c>
      <c r="C3136" s="4">
        <v>1008</v>
      </c>
      <c r="D3136" s="41" t="s">
        <v>221</v>
      </c>
      <c r="E3136" s="41">
        <v>10080079</v>
      </c>
      <c r="F3136" s="85" t="s">
        <v>486</v>
      </c>
      <c r="G3136" s="39" t="s">
        <v>93</v>
      </c>
      <c r="H3136" s="52" t="s">
        <v>94</v>
      </c>
      <c r="I3136" s="52">
        <v>140.05000000000001</v>
      </c>
      <c r="J3136" s="49">
        <v>5581.1934030900011</v>
      </c>
      <c r="K3136" s="58">
        <v>140</v>
      </c>
      <c r="L3136" s="58">
        <v>5701.9454100000003</v>
      </c>
      <c r="M3136" s="58">
        <v>0</v>
      </c>
      <c r="N3136" s="58">
        <v>0</v>
      </c>
      <c r="O3136" s="58">
        <v>140</v>
      </c>
      <c r="P3136" s="53">
        <v>5701.9454100000003</v>
      </c>
      <c r="Q3136" s="65">
        <v>5581.1934030900011</v>
      </c>
      <c r="R3136" s="65">
        <v>0</v>
      </c>
      <c r="S3136" s="65">
        <v>0</v>
      </c>
      <c r="T3136" s="65">
        <v>120.75200690999918</v>
      </c>
      <c r="U3136" s="58">
        <v>0</v>
      </c>
      <c r="V3136" s="65">
        <v>500</v>
      </c>
      <c r="W3136" s="65">
        <v>0</v>
      </c>
      <c r="X3136" s="65">
        <v>5081</v>
      </c>
      <c r="Y3136" s="65">
        <v>0</v>
      </c>
      <c r="Z3136" s="51">
        <v>0</v>
      </c>
      <c r="AA3136" s="51">
        <v>0</v>
      </c>
      <c r="AB3136" s="102">
        <v>0</v>
      </c>
      <c r="AC3136" s="81">
        <f t="shared" si="148"/>
        <v>446.29621507465129</v>
      </c>
      <c r="AD3136" s="82">
        <f t="shared" si="149"/>
        <v>20.00714285714286</v>
      </c>
      <c r="AE3136" s="218">
        <v>-2.1635517386504724E-2</v>
      </c>
      <c r="AF3136">
        <v>1</v>
      </c>
      <c r="AH3136" t="str">
        <f t="shared" si="150"/>
        <v>Teghra</v>
      </c>
      <c r="AJ3136" s="72">
        <v>500</v>
      </c>
      <c r="AK3136" s="72"/>
      <c r="AL3136" s="72"/>
      <c r="AM3136" s="72"/>
    </row>
    <row r="3137" spans="1:39" x14ac:dyDescent="0.25">
      <c r="A3137" s="37" t="s">
        <v>62</v>
      </c>
      <c r="B3137" s="66" t="s">
        <v>1644</v>
      </c>
      <c r="C3137" s="4">
        <v>1008</v>
      </c>
      <c r="D3137" s="41" t="s">
        <v>221</v>
      </c>
      <c r="E3137" s="41">
        <v>10080080</v>
      </c>
      <c r="F3137" s="85" t="s">
        <v>497</v>
      </c>
      <c r="G3137" s="39" t="s">
        <v>635</v>
      </c>
      <c r="H3137" s="52" t="s">
        <v>99</v>
      </c>
      <c r="I3137" s="52">
        <v>316.45</v>
      </c>
      <c r="J3137" s="49">
        <v>12025.182206661002</v>
      </c>
      <c r="K3137" s="58">
        <v>0</v>
      </c>
      <c r="L3137" s="58">
        <v>0</v>
      </c>
      <c r="M3137" s="58">
        <v>0</v>
      </c>
      <c r="N3137" s="58">
        <v>0</v>
      </c>
      <c r="O3137" s="58">
        <v>0</v>
      </c>
      <c r="P3137" s="53">
        <v>0</v>
      </c>
      <c r="Q3137" s="65">
        <v>12025.182206661002</v>
      </c>
      <c r="R3137" s="65">
        <v>0</v>
      </c>
      <c r="S3137" s="65">
        <v>0</v>
      </c>
      <c r="T3137" s="65">
        <v>0</v>
      </c>
      <c r="U3137" s="58">
        <v>0</v>
      </c>
      <c r="V3137" s="65">
        <v>0</v>
      </c>
      <c r="W3137" s="65">
        <v>0</v>
      </c>
      <c r="X3137" s="65">
        <v>0</v>
      </c>
      <c r="Y3137" s="65">
        <v>0</v>
      </c>
      <c r="Z3137" s="51">
        <v>12025.182206661002</v>
      </c>
      <c r="AA3137" s="51">
        <v>0</v>
      </c>
      <c r="AB3137" s="102">
        <v>0</v>
      </c>
      <c r="AC3137" s="81">
        <f t="shared" ref="AC3137:AC3200" si="151">((IF(AD3137=0,0,100-AD3137))*7*(J3137/I3137))*2%</f>
        <v>291.49999275492667</v>
      </c>
      <c r="AD3137" s="82">
        <f t="shared" ref="AD3137:AD3200" si="152">IF((I3137/7)&gt;100,0,(I3137/7))</f>
        <v>45.207142857142856</v>
      </c>
      <c r="AE3137" s="218">
        <v>0</v>
      </c>
      <c r="AF3137">
        <v>0</v>
      </c>
      <c r="AH3137" t="str">
        <f t="shared" si="150"/>
        <v>Teghra</v>
      </c>
      <c r="AJ3137" s="72">
        <v>0</v>
      </c>
      <c r="AK3137" s="72"/>
      <c r="AL3137" s="72"/>
      <c r="AM3137" s="72"/>
    </row>
    <row r="3138" spans="1:39" x14ac:dyDescent="0.25">
      <c r="A3138" s="37" t="s">
        <v>62</v>
      </c>
      <c r="B3138" s="66" t="s">
        <v>1644</v>
      </c>
      <c r="C3138" s="4">
        <v>1008</v>
      </c>
      <c r="D3138" s="41" t="s">
        <v>221</v>
      </c>
      <c r="E3138" s="41">
        <v>10080082</v>
      </c>
      <c r="F3138" s="85" t="s">
        <v>498</v>
      </c>
      <c r="G3138" s="39" t="s">
        <v>635</v>
      </c>
      <c r="H3138" s="52" t="s">
        <v>99</v>
      </c>
      <c r="I3138" s="52">
        <v>384.4</v>
      </c>
      <c r="J3138" s="49">
        <v>14774.704037383501</v>
      </c>
      <c r="K3138" s="58">
        <v>0</v>
      </c>
      <c r="L3138" s="58">
        <v>0</v>
      </c>
      <c r="M3138" s="58">
        <v>0</v>
      </c>
      <c r="N3138" s="58">
        <v>0</v>
      </c>
      <c r="O3138" s="58">
        <v>0</v>
      </c>
      <c r="P3138" s="53">
        <v>0</v>
      </c>
      <c r="Q3138" s="65">
        <v>14774.704037383501</v>
      </c>
      <c r="R3138" s="65">
        <v>0</v>
      </c>
      <c r="S3138" s="65">
        <v>0</v>
      </c>
      <c r="T3138" s="65">
        <v>0</v>
      </c>
      <c r="U3138" s="58">
        <v>0</v>
      </c>
      <c r="V3138" s="65">
        <v>0</v>
      </c>
      <c r="W3138" s="65">
        <v>0</v>
      </c>
      <c r="X3138" s="65">
        <v>0</v>
      </c>
      <c r="Y3138" s="65">
        <v>0</v>
      </c>
      <c r="Z3138" s="51">
        <v>14774.704037383501</v>
      </c>
      <c r="AA3138" s="51">
        <v>0</v>
      </c>
      <c r="AB3138" s="102">
        <v>0</v>
      </c>
      <c r="AC3138" s="81">
        <f t="shared" si="151"/>
        <v>242.60648252852411</v>
      </c>
      <c r="AD3138" s="82">
        <f t="shared" si="152"/>
        <v>54.914285714285711</v>
      </c>
      <c r="AE3138" s="218">
        <v>0</v>
      </c>
      <c r="AF3138">
        <v>0</v>
      </c>
      <c r="AH3138" t="str">
        <f t="shared" si="150"/>
        <v>Teghra</v>
      </c>
      <c r="AJ3138" s="72">
        <v>0</v>
      </c>
      <c r="AK3138" s="72"/>
      <c r="AL3138" s="72"/>
      <c r="AM3138" s="72"/>
    </row>
    <row r="3139" spans="1:39" x14ac:dyDescent="0.25">
      <c r="A3139" s="37" t="s">
        <v>62</v>
      </c>
      <c r="B3139" s="66" t="s">
        <v>1644</v>
      </c>
      <c r="C3139" s="4">
        <v>1008</v>
      </c>
      <c r="D3139" s="41" t="s">
        <v>221</v>
      </c>
      <c r="E3139" s="41">
        <v>10080083</v>
      </c>
      <c r="F3139" s="85" t="s">
        <v>499</v>
      </c>
      <c r="G3139" s="39" t="s">
        <v>635</v>
      </c>
      <c r="H3139" s="52" t="s">
        <v>99</v>
      </c>
      <c r="I3139" s="52">
        <v>274.2</v>
      </c>
      <c r="J3139" s="49">
        <v>10255.380706199998</v>
      </c>
      <c r="K3139" s="58">
        <v>0</v>
      </c>
      <c r="L3139" s="58">
        <v>0</v>
      </c>
      <c r="M3139" s="58">
        <v>0</v>
      </c>
      <c r="N3139" s="58">
        <v>0</v>
      </c>
      <c r="O3139" s="58">
        <v>0</v>
      </c>
      <c r="P3139" s="53">
        <v>0</v>
      </c>
      <c r="Q3139" s="65">
        <v>10255.380706199998</v>
      </c>
      <c r="R3139" s="65">
        <v>0</v>
      </c>
      <c r="S3139" s="65">
        <v>0</v>
      </c>
      <c r="T3139" s="65">
        <v>0</v>
      </c>
      <c r="U3139" s="58">
        <v>0</v>
      </c>
      <c r="V3139" s="65">
        <v>0</v>
      </c>
      <c r="W3139" s="65">
        <v>0</v>
      </c>
      <c r="X3139" s="65">
        <v>0</v>
      </c>
      <c r="Y3139" s="65">
        <v>0</v>
      </c>
      <c r="Z3139" s="51">
        <v>10255.380706199998</v>
      </c>
      <c r="AA3139" s="51">
        <v>0</v>
      </c>
      <c r="AB3139" s="102">
        <v>0</v>
      </c>
      <c r="AC3139" s="81">
        <f t="shared" si="151"/>
        <v>318.50773921954482</v>
      </c>
      <c r="AD3139" s="82">
        <f t="shared" si="152"/>
        <v>39.171428571428571</v>
      </c>
      <c r="AE3139" s="218">
        <v>0</v>
      </c>
      <c r="AF3139">
        <v>0</v>
      </c>
      <c r="AH3139" t="str">
        <f t="shared" si="150"/>
        <v>Teghra</v>
      </c>
      <c r="AJ3139" s="72">
        <v>0</v>
      </c>
      <c r="AK3139" s="72"/>
      <c r="AL3139" s="72"/>
      <c r="AM3139" s="72"/>
    </row>
    <row r="3140" spans="1:39" x14ac:dyDescent="0.25">
      <c r="A3140" s="37" t="s">
        <v>62</v>
      </c>
      <c r="B3140" s="66" t="s">
        <v>1644</v>
      </c>
      <c r="C3140" s="4">
        <v>1008</v>
      </c>
      <c r="D3140" s="41" t="s">
        <v>221</v>
      </c>
      <c r="E3140" s="41">
        <v>10080086</v>
      </c>
      <c r="F3140" s="85" t="s">
        <v>563</v>
      </c>
      <c r="G3140" s="39" t="s">
        <v>93</v>
      </c>
      <c r="H3140" s="52" t="s">
        <v>94</v>
      </c>
      <c r="I3140" s="52">
        <v>66.2</v>
      </c>
      <c r="J3140" s="49">
        <v>2435.4728895779999</v>
      </c>
      <c r="K3140" s="58">
        <v>96</v>
      </c>
      <c r="L3140" s="58">
        <v>3529.5223789740003</v>
      </c>
      <c r="M3140" s="58">
        <v>6</v>
      </c>
      <c r="N3140" s="58">
        <v>221.69877903000005</v>
      </c>
      <c r="O3140" s="58">
        <v>102</v>
      </c>
      <c r="P3140" s="53">
        <v>3751.2211580040002</v>
      </c>
      <c r="Q3140" s="65">
        <v>2435.4728895779999</v>
      </c>
      <c r="R3140" s="65">
        <v>0</v>
      </c>
      <c r="S3140" s="65">
        <v>221.69877903000005</v>
      </c>
      <c r="T3140" s="65">
        <v>1315.7482684260003</v>
      </c>
      <c r="U3140" s="58">
        <v>0</v>
      </c>
      <c r="V3140" s="65">
        <v>500</v>
      </c>
      <c r="W3140" s="65">
        <v>0</v>
      </c>
      <c r="X3140" s="65">
        <v>1713</v>
      </c>
      <c r="Y3140" s="65">
        <v>0</v>
      </c>
      <c r="Z3140" s="51">
        <v>0</v>
      </c>
      <c r="AA3140" s="51">
        <v>1</v>
      </c>
      <c r="AB3140" s="102">
        <v>0</v>
      </c>
      <c r="AC3140" s="81">
        <f t="shared" si="151"/>
        <v>466.34523184729187</v>
      </c>
      <c r="AD3140" s="82">
        <f t="shared" si="152"/>
        <v>9.4571428571428573</v>
      </c>
      <c r="AE3140" s="218">
        <v>-0.54024344678867808</v>
      </c>
      <c r="AF3140">
        <v>2</v>
      </c>
      <c r="AH3140" t="str">
        <f t="shared" si="150"/>
        <v>Teghra</v>
      </c>
      <c r="AJ3140" s="72">
        <v>500</v>
      </c>
      <c r="AK3140" s="72"/>
      <c r="AL3140" s="72"/>
      <c r="AM3140" s="72"/>
    </row>
    <row r="3141" spans="1:39" x14ac:dyDescent="0.25">
      <c r="A3141" s="37" t="s">
        <v>62</v>
      </c>
      <c r="B3141" s="66" t="s">
        <v>1644</v>
      </c>
      <c r="C3141" s="4">
        <v>1008</v>
      </c>
      <c r="D3141" s="41" t="s">
        <v>221</v>
      </c>
      <c r="E3141" s="41">
        <v>10080087</v>
      </c>
      <c r="F3141" s="85" t="s">
        <v>586</v>
      </c>
      <c r="G3141" s="39" t="s">
        <v>93</v>
      </c>
      <c r="H3141" s="52" t="s">
        <v>94</v>
      </c>
      <c r="I3141" s="52">
        <v>634</v>
      </c>
      <c r="J3141" s="49">
        <v>25290.363681219005</v>
      </c>
      <c r="K3141" s="58">
        <v>638.15000000000009</v>
      </c>
      <c r="L3141" s="58">
        <v>25375.112215927951</v>
      </c>
      <c r="M3141" s="58">
        <v>0.28999999999999998</v>
      </c>
      <c r="N3141" s="58">
        <v>11.842889184000002</v>
      </c>
      <c r="O3141" s="58">
        <v>638.44000000000005</v>
      </c>
      <c r="P3141" s="53">
        <v>25386.955105111952</v>
      </c>
      <c r="Q3141" s="65">
        <v>25290.363681219005</v>
      </c>
      <c r="R3141" s="65">
        <v>0</v>
      </c>
      <c r="S3141" s="65">
        <v>11.842889184000002</v>
      </c>
      <c r="T3141" s="65">
        <v>96.591423892947205</v>
      </c>
      <c r="U3141" s="58">
        <v>0</v>
      </c>
      <c r="V3141" s="65">
        <v>0</v>
      </c>
      <c r="W3141" s="65">
        <v>0</v>
      </c>
      <c r="X3141" s="65">
        <v>25278</v>
      </c>
      <c r="Y3141" s="65">
        <v>0</v>
      </c>
      <c r="Z3141" s="51">
        <v>0</v>
      </c>
      <c r="AA3141" s="51">
        <v>1</v>
      </c>
      <c r="AB3141" s="102">
        <v>0</v>
      </c>
      <c r="AC3141" s="81">
        <f t="shared" si="151"/>
        <v>52.655015866260399</v>
      </c>
      <c r="AD3141" s="82">
        <f t="shared" si="152"/>
        <v>90.571428571428569</v>
      </c>
      <c r="AE3141" s="218">
        <v>-3.8192975439367608E-3</v>
      </c>
      <c r="AF3141">
        <v>3</v>
      </c>
      <c r="AH3141" t="str">
        <f t="shared" si="150"/>
        <v>Teghra</v>
      </c>
      <c r="AJ3141" s="72">
        <v>0</v>
      </c>
      <c r="AK3141" s="72"/>
      <c r="AL3141" s="72"/>
      <c r="AM3141" s="72"/>
    </row>
    <row r="3142" spans="1:39" x14ac:dyDescent="0.25">
      <c r="A3142" s="37" t="s">
        <v>62</v>
      </c>
      <c r="B3142" s="66" t="s">
        <v>1644</v>
      </c>
      <c r="C3142" s="4">
        <v>1008</v>
      </c>
      <c r="D3142" s="41" t="s">
        <v>221</v>
      </c>
      <c r="E3142" s="41">
        <v>10080088</v>
      </c>
      <c r="F3142" s="85" t="s">
        <v>587</v>
      </c>
      <c r="G3142" s="39" t="s">
        <v>93</v>
      </c>
      <c r="H3142" s="52" t="s">
        <v>94</v>
      </c>
      <c r="I3142" s="52">
        <v>1399.9499999999998</v>
      </c>
      <c r="J3142" s="49">
        <v>49390.36654236076</v>
      </c>
      <c r="K3142" s="58">
        <v>1403.7000000000003</v>
      </c>
      <c r="L3142" s="58">
        <v>51494.619906973516</v>
      </c>
      <c r="M3142" s="58">
        <v>2.8499999999999996</v>
      </c>
      <c r="N3142" s="58">
        <v>101.33256057974999</v>
      </c>
      <c r="O3142" s="58">
        <v>1406.5500000000002</v>
      </c>
      <c r="P3142" s="53">
        <v>51595.952467553267</v>
      </c>
      <c r="Q3142" s="65">
        <v>49390.36654236076</v>
      </c>
      <c r="R3142" s="65">
        <v>0</v>
      </c>
      <c r="S3142" s="65">
        <v>101.33256057974999</v>
      </c>
      <c r="T3142" s="65">
        <v>2205.5859251925067</v>
      </c>
      <c r="U3142" s="58">
        <v>0</v>
      </c>
      <c r="V3142" s="65">
        <v>0</v>
      </c>
      <c r="W3142" s="65">
        <v>0</v>
      </c>
      <c r="X3142" s="65">
        <v>49289</v>
      </c>
      <c r="Y3142" s="65">
        <v>0</v>
      </c>
      <c r="Z3142" s="51">
        <v>0</v>
      </c>
      <c r="AA3142" s="51">
        <v>0</v>
      </c>
      <c r="AB3142" s="102" t="s">
        <v>68</v>
      </c>
      <c r="AC3142" s="81">
        <f t="shared" si="151"/>
        <v>0</v>
      </c>
      <c r="AD3142" s="82">
        <f t="shared" si="152"/>
        <v>0</v>
      </c>
      <c r="AE3142" s="218">
        <v>-4.4656196736277229E-2</v>
      </c>
      <c r="AF3142">
        <v>7</v>
      </c>
      <c r="AH3142" t="str">
        <f t="shared" si="150"/>
        <v>Teghra</v>
      </c>
      <c r="AJ3142" s="72">
        <v>0</v>
      </c>
      <c r="AK3142" s="72"/>
      <c r="AL3142" s="72"/>
      <c r="AM3142" s="72"/>
    </row>
    <row r="3143" spans="1:39" x14ac:dyDescent="0.25">
      <c r="A3143" s="37" t="s">
        <v>62</v>
      </c>
      <c r="B3143" s="66" t="s">
        <v>1644</v>
      </c>
      <c r="C3143" s="4">
        <v>1008</v>
      </c>
      <c r="D3143" s="41" t="s">
        <v>221</v>
      </c>
      <c r="E3143" s="41">
        <v>10080089</v>
      </c>
      <c r="F3143" s="85" t="s">
        <v>1284</v>
      </c>
      <c r="G3143" s="39" t="s">
        <v>635</v>
      </c>
      <c r="H3143" s="52" t="s">
        <v>99</v>
      </c>
      <c r="I3143" s="52">
        <v>561.25</v>
      </c>
      <c r="J3143" s="49">
        <v>19904.063665642498</v>
      </c>
      <c r="K3143" s="58">
        <v>0</v>
      </c>
      <c r="L3143" s="58">
        <v>0</v>
      </c>
      <c r="M3143" s="58">
        <v>0</v>
      </c>
      <c r="N3143" s="58">
        <v>0</v>
      </c>
      <c r="O3143" s="58">
        <v>0</v>
      </c>
      <c r="P3143" s="53">
        <v>0</v>
      </c>
      <c r="Q3143" s="65">
        <v>19904.063665642498</v>
      </c>
      <c r="R3143" s="65">
        <v>0</v>
      </c>
      <c r="S3143" s="65">
        <v>0</v>
      </c>
      <c r="T3143" s="65">
        <v>0</v>
      </c>
      <c r="U3143" s="58">
        <v>0</v>
      </c>
      <c r="V3143" s="65">
        <v>0</v>
      </c>
      <c r="W3143" s="65">
        <v>0</v>
      </c>
      <c r="X3143" s="65">
        <v>0</v>
      </c>
      <c r="Y3143" s="65">
        <v>0</v>
      </c>
      <c r="Z3143" s="51">
        <v>19904.063665642498</v>
      </c>
      <c r="AA3143" s="51">
        <v>0</v>
      </c>
      <c r="AB3143" s="102">
        <v>0</v>
      </c>
      <c r="AC3143" s="81">
        <f t="shared" si="151"/>
        <v>98.412074248833733</v>
      </c>
      <c r="AD3143" s="82">
        <f t="shared" si="152"/>
        <v>80.178571428571431</v>
      </c>
      <c r="AE3143" s="218">
        <v>0</v>
      </c>
      <c r="AF3143">
        <v>0</v>
      </c>
      <c r="AH3143" t="str">
        <f t="shared" si="150"/>
        <v>Teghra</v>
      </c>
      <c r="AJ3143" s="72">
        <v>0</v>
      </c>
      <c r="AK3143" s="72"/>
      <c r="AL3143" s="72"/>
      <c r="AM3143" s="72"/>
    </row>
    <row r="3144" spans="1:39" x14ac:dyDescent="0.25">
      <c r="A3144" s="37" t="s">
        <v>62</v>
      </c>
      <c r="B3144" s="66" t="s">
        <v>1644</v>
      </c>
      <c r="C3144" s="4">
        <v>1008</v>
      </c>
      <c r="D3144" s="41" t="s">
        <v>221</v>
      </c>
      <c r="E3144" s="41">
        <v>10080090</v>
      </c>
      <c r="F3144" s="85" t="s">
        <v>649</v>
      </c>
      <c r="G3144" s="39" t="s">
        <v>635</v>
      </c>
      <c r="H3144" s="52" t="s">
        <v>99</v>
      </c>
      <c r="I3144" s="52">
        <v>152.35</v>
      </c>
      <c r="J3144" s="49">
        <v>5764.9012350750018</v>
      </c>
      <c r="K3144" s="58">
        <v>0</v>
      </c>
      <c r="L3144" s="58">
        <v>0</v>
      </c>
      <c r="M3144" s="58">
        <v>0</v>
      </c>
      <c r="N3144" s="58">
        <v>0</v>
      </c>
      <c r="O3144" s="58">
        <v>0</v>
      </c>
      <c r="P3144" s="53">
        <v>0</v>
      </c>
      <c r="Q3144" s="65">
        <v>5764.9012350750018</v>
      </c>
      <c r="R3144" s="65">
        <v>0</v>
      </c>
      <c r="S3144" s="65">
        <v>0</v>
      </c>
      <c r="T3144" s="65">
        <v>0</v>
      </c>
      <c r="U3144" s="58">
        <v>0</v>
      </c>
      <c r="V3144" s="65">
        <v>0</v>
      </c>
      <c r="W3144" s="65">
        <v>0</v>
      </c>
      <c r="X3144" s="65">
        <v>0</v>
      </c>
      <c r="Y3144" s="65">
        <v>0</v>
      </c>
      <c r="Z3144" s="51">
        <v>5764.9012350750018</v>
      </c>
      <c r="AA3144" s="51">
        <v>0</v>
      </c>
      <c r="AB3144" s="102">
        <v>0</v>
      </c>
      <c r="AC3144" s="81">
        <f t="shared" si="151"/>
        <v>414.45988334608802</v>
      </c>
      <c r="AD3144" s="82">
        <f t="shared" si="152"/>
        <v>21.764285714285712</v>
      </c>
      <c r="AE3144" s="218">
        <v>0</v>
      </c>
      <c r="AF3144">
        <v>0</v>
      </c>
      <c r="AH3144" t="str">
        <f t="shared" si="150"/>
        <v>Teghra</v>
      </c>
      <c r="AJ3144" s="72">
        <v>0</v>
      </c>
      <c r="AK3144" s="72"/>
      <c r="AL3144" s="72"/>
      <c r="AM3144" s="72"/>
    </row>
    <row r="3145" spans="1:39" x14ac:dyDescent="0.25">
      <c r="A3145" s="37" t="s">
        <v>62</v>
      </c>
      <c r="B3145" s="66" t="s">
        <v>1644</v>
      </c>
      <c r="C3145" s="4">
        <v>1008</v>
      </c>
      <c r="D3145" s="41" t="s">
        <v>221</v>
      </c>
      <c r="E3145" s="41">
        <v>10080093</v>
      </c>
      <c r="F3145" s="85" t="s">
        <v>826</v>
      </c>
      <c r="G3145" s="39" t="s">
        <v>93</v>
      </c>
      <c r="H3145" s="52" t="s">
        <v>94</v>
      </c>
      <c r="I3145" s="52">
        <v>445.1</v>
      </c>
      <c r="J3145" s="49">
        <v>16238.335509300003</v>
      </c>
      <c r="K3145" s="58">
        <v>445</v>
      </c>
      <c r="L3145" s="58">
        <v>16234.929895320001</v>
      </c>
      <c r="M3145" s="58">
        <v>0</v>
      </c>
      <c r="N3145" s="58">
        <v>0</v>
      </c>
      <c r="O3145" s="58">
        <v>445</v>
      </c>
      <c r="P3145" s="53">
        <v>16234.929895320001</v>
      </c>
      <c r="Q3145" s="65">
        <v>16234.929895320001</v>
      </c>
      <c r="R3145" s="65">
        <v>0</v>
      </c>
      <c r="S3145" s="65">
        <v>0</v>
      </c>
      <c r="T3145" s="65">
        <v>0</v>
      </c>
      <c r="U3145" s="58">
        <v>0</v>
      </c>
      <c r="V3145" s="65">
        <v>0</v>
      </c>
      <c r="W3145" s="65">
        <v>0</v>
      </c>
      <c r="X3145" s="65">
        <v>16235</v>
      </c>
      <c r="Y3145" s="65">
        <v>0</v>
      </c>
      <c r="Z3145" s="51">
        <v>0</v>
      </c>
      <c r="AA3145" s="51">
        <v>3</v>
      </c>
      <c r="AB3145" s="102">
        <v>0</v>
      </c>
      <c r="AC3145" s="81">
        <f t="shared" si="151"/>
        <v>185.98749590296876</v>
      </c>
      <c r="AD3145" s="82">
        <f t="shared" si="152"/>
        <v>63.585714285714289</v>
      </c>
      <c r="AE3145" s="218">
        <v>2.097267899195027E-4</v>
      </c>
      <c r="AF3145">
        <v>1</v>
      </c>
      <c r="AH3145" t="str">
        <f t="shared" si="150"/>
        <v>Teghra</v>
      </c>
      <c r="AJ3145" s="72">
        <v>0</v>
      </c>
      <c r="AK3145" s="72"/>
      <c r="AL3145" s="72"/>
      <c r="AM3145" s="72"/>
    </row>
    <row r="3146" spans="1:39" x14ac:dyDescent="0.25">
      <c r="A3146" s="37" t="s">
        <v>62</v>
      </c>
      <c r="B3146" s="66" t="s">
        <v>1644</v>
      </c>
      <c r="C3146" s="4">
        <v>1008</v>
      </c>
      <c r="D3146" s="41" t="s">
        <v>221</v>
      </c>
      <c r="E3146" s="41">
        <v>10080095</v>
      </c>
      <c r="F3146" s="85" t="s">
        <v>701</v>
      </c>
      <c r="G3146" s="39" t="s">
        <v>93</v>
      </c>
      <c r="H3146" s="52" t="s">
        <v>94</v>
      </c>
      <c r="I3146" s="52">
        <v>150.30000000000001</v>
      </c>
      <c r="J3146" s="49">
        <v>5424.7001700022511</v>
      </c>
      <c r="K3146" s="58">
        <v>150.19999999999999</v>
      </c>
      <c r="L3146" s="58">
        <v>5420.8623653595005</v>
      </c>
      <c r="M3146" s="58">
        <v>0</v>
      </c>
      <c r="N3146" s="58">
        <v>0</v>
      </c>
      <c r="O3146" s="58">
        <v>150.19999999999999</v>
      </c>
      <c r="P3146" s="53">
        <v>5420.8623653595005</v>
      </c>
      <c r="Q3146" s="65">
        <v>5420.8623653595005</v>
      </c>
      <c r="R3146" s="65">
        <v>0</v>
      </c>
      <c r="S3146" s="65">
        <v>0</v>
      </c>
      <c r="T3146" s="65">
        <v>0</v>
      </c>
      <c r="U3146" s="58">
        <v>0</v>
      </c>
      <c r="V3146" s="65">
        <v>500</v>
      </c>
      <c r="W3146" s="65">
        <v>0</v>
      </c>
      <c r="X3146" s="65">
        <v>4921</v>
      </c>
      <c r="Y3146" s="65">
        <v>0</v>
      </c>
      <c r="Z3146" s="51">
        <v>0</v>
      </c>
      <c r="AA3146" s="51">
        <v>4</v>
      </c>
      <c r="AB3146" s="102" t="s">
        <v>68</v>
      </c>
      <c r="AC3146" s="81">
        <f t="shared" si="151"/>
        <v>396.80075628080334</v>
      </c>
      <c r="AD3146" s="82">
        <f t="shared" si="152"/>
        <v>21.471428571428572</v>
      </c>
      <c r="AE3146" s="218">
        <v>7.0746852774888111E-4</v>
      </c>
      <c r="AF3146">
        <v>1</v>
      </c>
      <c r="AH3146" t="str">
        <f t="shared" si="150"/>
        <v>Teghra</v>
      </c>
      <c r="AJ3146" s="72">
        <v>500</v>
      </c>
      <c r="AK3146" s="72"/>
      <c r="AL3146" s="72"/>
      <c r="AM3146" s="72"/>
    </row>
    <row r="3147" spans="1:39" x14ac:dyDescent="0.25">
      <c r="A3147" s="37" t="s">
        <v>62</v>
      </c>
      <c r="B3147" s="66" t="s">
        <v>1644</v>
      </c>
      <c r="C3147" s="4">
        <v>1008</v>
      </c>
      <c r="D3147" s="41" t="s">
        <v>221</v>
      </c>
      <c r="E3147" s="41">
        <v>10080097</v>
      </c>
      <c r="F3147" s="85" t="s">
        <v>662</v>
      </c>
      <c r="G3147" s="39" t="s">
        <v>635</v>
      </c>
      <c r="H3147" s="52" t="s">
        <v>99</v>
      </c>
      <c r="I3147" s="52">
        <v>2009.3999999999999</v>
      </c>
      <c r="J3147" s="49">
        <v>70461.721696638764</v>
      </c>
      <c r="K3147" s="58">
        <v>0</v>
      </c>
      <c r="L3147" s="58">
        <v>0</v>
      </c>
      <c r="M3147" s="58">
        <v>0</v>
      </c>
      <c r="N3147" s="58">
        <v>0</v>
      </c>
      <c r="O3147" s="58">
        <v>0</v>
      </c>
      <c r="P3147" s="53">
        <v>0</v>
      </c>
      <c r="Q3147" s="65">
        <v>70461.721696638764</v>
      </c>
      <c r="R3147" s="65">
        <v>0</v>
      </c>
      <c r="S3147" s="65">
        <v>0</v>
      </c>
      <c r="T3147" s="65">
        <v>0</v>
      </c>
      <c r="U3147" s="58">
        <v>0</v>
      </c>
      <c r="V3147" s="65">
        <v>0</v>
      </c>
      <c r="W3147" s="65">
        <v>0</v>
      </c>
      <c r="X3147" s="65">
        <v>0</v>
      </c>
      <c r="Y3147" s="65">
        <v>0</v>
      </c>
      <c r="Z3147" s="51">
        <v>70461.721696638764</v>
      </c>
      <c r="AA3147" s="51">
        <v>0</v>
      </c>
      <c r="AB3147" s="102">
        <v>0</v>
      </c>
      <c r="AC3147" s="81">
        <f t="shared" si="151"/>
        <v>0</v>
      </c>
      <c r="AD3147" s="82">
        <f t="shared" si="152"/>
        <v>0</v>
      </c>
      <c r="AE3147" s="218">
        <v>0</v>
      </c>
      <c r="AF3147">
        <v>0</v>
      </c>
      <c r="AH3147" t="str">
        <f t="shared" si="150"/>
        <v>Teghra</v>
      </c>
      <c r="AJ3147" s="72">
        <v>0</v>
      </c>
      <c r="AK3147" s="72"/>
      <c r="AL3147" s="72"/>
      <c r="AM3147" s="72"/>
    </row>
    <row r="3148" spans="1:39" x14ac:dyDescent="0.25">
      <c r="A3148" s="37" t="s">
        <v>62</v>
      </c>
      <c r="B3148" s="66" t="s">
        <v>1644</v>
      </c>
      <c r="C3148" s="4">
        <v>1008</v>
      </c>
      <c r="D3148" s="41" t="s">
        <v>221</v>
      </c>
      <c r="E3148" s="41">
        <v>10080098</v>
      </c>
      <c r="F3148" s="85" t="s">
        <v>694</v>
      </c>
      <c r="G3148" s="39" t="s">
        <v>93</v>
      </c>
      <c r="H3148" s="52" t="s">
        <v>94</v>
      </c>
      <c r="I3148" s="52">
        <v>10.35</v>
      </c>
      <c r="J3148" s="49">
        <v>381.18086622000004</v>
      </c>
      <c r="K3148" s="58">
        <v>10.61</v>
      </c>
      <c r="L3148" s="58">
        <v>567.41179203036017</v>
      </c>
      <c r="M3148" s="58">
        <v>0.1</v>
      </c>
      <c r="N3148" s="58">
        <v>5.2505324720000006</v>
      </c>
      <c r="O3148" s="58">
        <v>10.709999999999999</v>
      </c>
      <c r="P3148" s="53">
        <v>572.66232450236021</v>
      </c>
      <c r="Q3148" s="65">
        <v>381.18086622000004</v>
      </c>
      <c r="R3148" s="65">
        <v>0</v>
      </c>
      <c r="S3148" s="65">
        <v>5.2505324720000006</v>
      </c>
      <c r="T3148" s="65">
        <v>191.48145828236017</v>
      </c>
      <c r="U3148" s="58">
        <v>0</v>
      </c>
      <c r="V3148" s="65">
        <v>0</v>
      </c>
      <c r="W3148" s="65">
        <v>0</v>
      </c>
      <c r="X3148" s="65">
        <v>376</v>
      </c>
      <c r="Y3148" s="65">
        <v>0</v>
      </c>
      <c r="Z3148" s="51">
        <v>0</v>
      </c>
      <c r="AA3148" s="51">
        <v>0</v>
      </c>
      <c r="AB3148" s="102" t="s">
        <v>68</v>
      </c>
      <c r="AC3148" s="81">
        <f t="shared" si="151"/>
        <v>507.9833514756001</v>
      </c>
      <c r="AD3148" s="82">
        <f t="shared" si="152"/>
        <v>1.4785714285714284</v>
      </c>
      <c r="AE3148" s="218">
        <v>-0.50233753908268286</v>
      </c>
      <c r="AF3148">
        <v>3</v>
      </c>
      <c r="AH3148" t="str">
        <f t="shared" si="150"/>
        <v>Teghra</v>
      </c>
      <c r="AJ3148" s="72">
        <v>0</v>
      </c>
      <c r="AK3148" s="72"/>
      <c r="AL3148" s="72"/>
      <c r="AM3148" s="72"/>
    </row>
    <row r="3149" spans="1:39" x14ac:dyDescent="0.25">
      <c r="A3149" s="37" t="s">
        <v>62</v>
      </c>
      <c r="B3149" s="66" t="s">
        <v>1644</v>
      </c>
      <c r="C3149" s="4">
        <v>1008</v>
      </c>
      <c r="D3149" s="41" t="s">
        <v>221</v>
      </c>
      <c r="E3149" s="41">
        <v>10080099</v>
      </c>
      <c r="F3149" s="85" t="s">
        <v>827</v>
      </c>
      <c r="G3149" s="39" t="s">
        <v>93</v>
      </c>
      <c r="H3149" s="52" t="s">
        <v>94</v>
      </c>
      <c r="I3149" s="52">
        <v>2211.9</v>
      </c>
      <c r="J3149" s="49">
        <v>78152.992068470252</v>
      </c>
      <c r="K3149" s="58">
        <v>2211.6999999999998</v>
      </c>
      <c r="L3149" s="58">
        <v>78146.400350449505</v>
      </c>
      <c r="M3149" s="58">
        <v>0</v>
      </c>
      <c r="N3149" s="58">
        <v>0</v>
      </c>
      <c r="O3149" s="58">
        <v>2211.6999999999998</v>
      </c>
      <c r="P3149" s="53">
        <v>78146.400350449505</v>
      </c>
      <c r="Q3149" s="65">
        <v>78146.400350449505</v>
      </c>
      <c r="R3149" s="65">
        <v>0</v>
      </c>
      <c r="S3149" s="65">
        <v>0</v>
      </c>
      <c r="T3149" s="65">
        <v>0</v>
      </c>
      <c r="U3149" s="58">
        <v>0</v>
      </c>
      <c r="V3149" s="65">
        <v>0</v>
      </c>
      <c r="W3149" s="65">
        <v>0</v>
      </c>
      <c r="X3149" s="65">
        <v>78147</v>
      </c>
      <c r="Y3149" s="65">
        <v>0</v>
      </c>
      <c r="Z3149" s="51">
        <v>0</v>
      </c>
      <c r="AA3149" s="51">
        <v>6</v>
      </c>
      <c r="AB3149" s="102">
        <v>0</v>
      </c>
      <c r="AC3149" s="81">
        <f t="shared" si="151"/>
        <v>0</v>
      </c>
      <c r="AD3149" s="82">
        <f t="shared" si="152"/>
        <v>0</v>
      </c>
      <c r="AE3149" s="218">
        <v>8.4343770421125105E-5</v>
      </c>
      <c r="AF3149">
        <v>2</v>
      </c>
      <c r="AH3149" t="str">
        <f t="shared" si="150"/>
        <v>Teghra</v>
      </c>
      <c r="AJ3149" s="72">
        <v>0</v>
      </c>
      <c r="AK3149" s="72"/>
      <c r="AL3149" s="72"/>
      <c r="AM3149" s="72"/>
    </row>
    <row r="3150" spans="1:39" x14ac:dyDescent="0.25">
      <c r="A3150" s="37" t="s">
        <v>62</v>
      </c>
      <c r="B3150" s="66" t="s">
        <v>1644</v>
      </c>
      <c r="C3150" s="4">
        <v>1008</v>
      </c>
      <c r="D3150" s="41" t="s">
        <v>221</v>
      </c>
      <c r="E3150" s="41">
        <v>10080100</v>
      </c>
      <c r="F3150" s="85" t="s">
        <v>1140</v>
      </c>
      <c r="G3150" s="39" t="s">
        <v>93</v>
      </c>
      <c r="H3150" s="52" t="s">
        <v>94</v>
      </c>
      <c r="I3150" s="52">
        <v>338.75</v>
      </c>
      <c r="J3150" s="49">
        <v>12943.586760695249</v>
      </c>
      <c r="K3150" s="58">
        <v>359.70000000000005</v>
      </c>
      <c r="L3150" s="58">
        <v>13722.7245604044</v>
      </c>
      <c r="M3150" s="58">
        <v>0</v>
      </c>
      <c r="N3150" s="58">
        <v>0</v>
      </c>
      <c r="O3150" s="58">
        <v>359.70000000000005</v>
      </c>
      <c r="P3150" s="53">
        <v>13722.7245604044</v>
      </c>
      <c r="Q3150" s="65">
        <v>12943.586760695249</v>
      </c>
      <c r="R3150" s="65">
        <v>0</v>
      </c>
      <c r="S3150" s="65">
        <v>0</v>
      </c>
      <c r="T3150" s="65">
        <v>779.1377997091513</v>
      </c>
      <c r="U3150" s="58">
        <v>0</v>
      </c>
      <c r="V3150" s="65">
        <v>500</v>
      </c>
      <c r="W3150" s="65">
        <v>0</v>
      </c>
      <c r="X3150" s="65">
        <v>12444</v>
      </c>
      <c r="Y3150" s="65">
        <v>0</v>
      </c>
      <c r="Z3150" s="51">
        <v>0</v>
      </c>
      <c r="AA3150" s="51">
        <v>0</v>
      </c>
      <c r="AB3150" s="102">
        <v>0</v>
      </c>
      <c r="AC3150" s="81">
        <f t="shared" si="151"/>
        <v>276.06616781113854</v>
      </c>
      <c r="AD3150" s="82">
        <f t="shared" si="152"/>
        <v>48.392857142857146</v>
      </c>
      <c r="AE3150" s="218">
        <v>-6.0194891424925318E-2</v>
      </c>
      <c r="AF3150">
        <v>2</v>
      </c>
      <c r="AH3150" t="str">
        <f t="shared" si="150"/>
        <v>Teghra</v>
      </c>
      <c r="AJ3150" s="72">
        <v>500</v>
      </c>
      <c r="AK3150" s="72"/>
      <c r="AL3150" s="72"/>
      <c r="AM3150" s="72"/>
    </row>
    <row r="3151" spans="1:39" x14ac:dyDescent="0.25">
      <c r="A3151" s="37" t="s">
        <v>62</v>
      </c>
      <c r="B3151" s="66" t="s">
        <v>1644</v>
      </c>
      <c r="C3151" s="4">
        <v>1008</v>
      </c>
      <c r="D3151" s="41" t="s">
        <v>221</v>
      </c>
      <c r="E3151" s="41">
        <v>10080103</v>
      </c>
      <c r="F3151" s="85" t="s">
        <v>1635</v>
      </c>
      <c r="G3151" s="39" t="s">
        <v>635</v>
      </c>
      <c r="H3151" s="52" t="s">
        <v>99</v>
      </c>
      <c r="I3151" s="52">
        <v>673.55</v>
      </c>
      <c r="J3151" s="49">
        <v>27215.85211914</v>
      </c>
      <c r="K3151" s="58">
        <v>0</v>
      </c>
      <c r="L3151" s="58">
        <v>0</v>
      </c>
      <c r="M3151" s="58">
        <v>0</v>
      </c>
      <c r="N3151" s="58">
        <v>0</v>
      </c>
      <c r="O3151" s="58">
        <v>0</v>
      </c>
      <c r="P3151" s="53">
        <v>0</v>
      </c>
      <c r="Q3151" s="65">
        <v>27215.85211914</v>
      </c>
      <c r="R3151" s="65">
        <v>0</v>
      </c>
      <c r="S3151" s="65">
        <v>0</v>
      </c>
      <c r="T3151" s="65">
        <v>0</v>
      </c>
      <c r="U3151" s="58">
        <v>0</v>
      </c>
      <c r="V3151" s="65">
        <v>0</v>
      </c>
      <c r="W3151" s="65">
        <v>0</v>
      </c>
      <c r="X3151" s="65">
        <v>0</v>
      </c>
      <c r="Y3151" s="65">
        <v>0</v>
      </c>
      <c r="Z3151" s="51">
        <v>27215.85211914</v>
      </c>
      <c r="AA3151" s="51">
        <v>0</v>
      </c>
      <c r="AB3151" s="102">
        <v>0</v>
      </c>
      <c r="AC3151" s="81">
        <f t="shared" si="151"/>
        <v>21.375080945772549</v>
      </c>
      <c r="AD3151" s="82">
        <f t="shared" si="152"/>
        <v>96.221428571428561</v>
      </c>
      <c r="AE3151" s="218">
        <v>0</v>
      </c>
      <c r="AF3151">
        <v>0</v>
      </c>
      <c r="AH3151" t="str">
        <f t="shared" si="150"/>
        <v>Teghra</v>
      </c>
      <c r="AJ3151" s="72">
        <v>0</v>
      </c>
      <c r="AK3151" s="72"/>
      <c r="AL3151" s="72"/>
      <c r="AM3151" s="72"/>
    </row>
    <row r="3152" spans="1:39" x14ac:dyDescent="0.25">
      <c r="A3152" s="37" t="s">
        <v>62</v>
      </c>
      <c r="B3152" s="66" t="s">
        <v>1644</v>
      </c>
      <c r="C3152" s="4">
        <v>1008</v>
      </c>
      <c r="D3152" s="41" t="s">
        <v>221</v>
      </c>
      <c r="E3152" s="41">
        <v>10080107</v>
      </c>
      <c r="F3152" s="85" t="s">
        <v>325</v>
      </c>
      <c r="G3152" s="39" t="s">
        <v>635</v>
      </c>
      <c r="H3152" s="52" t="s">
        <v>99</v>
      </c>
      <c r="I3152" s="52">
        <v>490.44999999999993</v>
      </c>
      <c r="J3152" s="49">
        <v>18493.200476448001</v>
      </c>
      <c r="K3152" s="58">
        <v>0</v>
      </c>
      <c r="L3152" s="58">
        <v>0</v>
      </c>
      <c r="M3152" s="58">
        <v>0</v>
      </c>
      <c r="N3152" s="58">
        <v>0</v>
      </c>
      <c r="O3152" s="58">
        <v>0</v>
      </c>
      <c r="P3152" s="53">
        <v>0</v>
      </c>
      <c r="Q3152" s="65">
        <v>18493.200476448001</v>
      </c>
      <c r="R3152" s="65">
        <v>0</v>
      </c>
      <c r="S3152" s="65">
        <v>0</v>
      </c>
      <c r="T3152" s="65">
        <v>0</v>
      </c>
      <c r="U3152" s="58">
        <v>0</v>
      </c>
      <c r="V3152" s="65">
        <v>0</v>
      </c>
      <c r="W3152" s="65">
        <v>0</v>
      </c>
      <c r="X3152" s="65">
        <v>0</v>
      </c>
      <c r="Y3152" s="65">
        <v>0</v>
      </c>
      <c r="Z3152" s="51">
        <v>18493.200476448001</v>
      </c>
      <c r="AA3152" s="51">
        <v>0</v>
      </c>
      <c r="AB3152" s="102">
        <v>0</v>
      </c>
      <c r="AC3152" s="81">
        <f t="shared" si="151"/>
        <v>158.02834783727923</v>
      </c>
      <c r="AD3152" s="82">
        <f t="shared" si="152"/>
        <v>70.064285714285703</v>
      </c>
      <c r="AE3152" s="218">
        <v>0</v>
      </c>
      <c r="AF3152">
        <v>0</v>
      </c>
      <c r="AH3152" t="str">
        <f t="shared" si="150"/>
        <v>Teghra</v>
      </c>
      <c r="AJ3152" s="72">
        <v>0</v>
      </c>
      <c r="AK3152" s="72"/>
      <c r="AL3152" s="72"/>
      <c r="AM3152" s="72"/>
    </row>
    <row r="3153" spans="1:39" x14ac:dyDescent="0.25">
      <c r="A3153" s="37" t="s">
        <v>62</v>
      </c>
      <c r="B3153" s="66" t="s">
        <v>1644</v>
      </c>
      <c r="C3153" s="4">
        <v>1065</v>
      </c>
      <c r="D3153" s="41" t="s">
        <v>1473</v>
      </c>
      <c r="E3153" s="41">
        <v>10080112</v>
      </c>
      <c r="F3153" s="85" t="s">
        <v>1221</v>
      </c>
      <c r="G3153" s="39" t="s">
        <v>635</v>
      </c>
      <c r="H3153" s="52" t="s">
        <v>99</v>
      </c>
      <c r="I3153" s="52">
        <v>1129.2000000000003</v>
      </c>
      <c r="J3153" s="49">
        <v>43590.252333240009</v>
      </c>
      <c r="K3153" s="58">
        <v>0</v>
      </c>
      <c r="L3153" s="58">
        <v>0</v>
      </c>
      <c r="M3153" s="58">
        <v>0</v>
      </c>
      <c r="N3153" s="58">
        <v>0</v>
      </c>
      <c r="O3153" s="58">
        <v>0</v>
      </c>
      <c r="P3153" s="53">
        <v>0</v>
      </c>
      <c r="Q3153" s="65">
        <v>43590.252333240009</v>
      </c>
      <c r="R3153" s="65">
        <v>0</v>
      </c>
      <c r="S3153" s="65">
        <v>0</v>
      </c>
      <c r="T3153" s="65">
        <v>0</v>
      </c>
      <c r="U3153" s="58">
        <v>0</v>
      </c>
      <c r="V3153" s="65">
        <v>0</v>
      </c>
      <c r="W3153" s="65">
        <v>0</v>
      </c>
      <c r="X3153" s="65">
        <v>0</v>
      </c>
      <c r="Y3153" s="65">
        <v>0</v>
      </c>
      <c r="Z3153" s="51">
        <v>43590.252333240009</v>
      </c>
      <c r="AA3153" s="51">
        <v>0</v>
      </c>
      <c r="AB3153" s="102">
        <v>0</v>
      </c>
      <c r="AC3153" s="81">
        <f t="shared" si="151"/>
        <v>0</v>
      </c>
      <c r="AD3153" s="82">
        <f t="shared" si="152"/>
        <v>0</v>
      </c>
      <c r="AE3153" s="218">
        <v>0</v>
      </c>
      <c r="AF3153">
        <v>0</v>
      </c>
      <c r="AH3153" t="str">
        <f t="shared" si="150"/>
        <v>Bachhwara BMC</v>
      </c>
      <c r="AJ3153" s="72">
        <v>0</v>
      </c>
      <c r="AK3153" s="72"/>
      <c r="AL3153" s="72"/>
      <c r="AM3153" s="72"/>
    </row>
    <row r="3154" spans="1:39" x14ac:dyDescent="0.25">
      <c r="A3154" s="37" t="s">
        <v>62</v>
      </c>
      <c r="B3154" s="66" t="s">
        <v>1644</v>
      </c>
      <c r="C3154" s="4">
        <v>1008</v>
      </c>
      <c r="D3154" s="41" t="s">
        <v>221</v>
      </c>
      <c r="E3154" s="41">
        <v>10080113</v>
      </c>
      <c r="F3154" s="85" t="s">
        <v>1222</v>
      </c>
      <c r="G3154" s="39" t="s">
        <v>635</v>
      </c>
      <c r="H3154" s="52" t="s">
        <v>99</v>
      </c>
      <c r="I3154" s="52">
        <v>414.74999999999994</v>
      </c>
      <c r="J3154" s="49">
        <v>16003.326218046001</v>
      </c>
      <c r="K3154" s="58">
        <v>0</v>
      </c>
      <c r="L3154" s="58">
        <v>0</v>
      </c>
      <c r="M3154" s="58">
        <v>0</v>
      </c>
      <c r="N3154" s="58">
        <v>0</v>
      </c>
      <c r="O3154" s="58">
        <v>0</v>
      </c>
      <c r="P3154" s="53">
        <v>0</v>
      </c>
      <c r="Q3154" s="65">
        <v>16003.326218046001</v>
      </c>
      <c r="R3154" s="65">
        <v>0</v>
      </c>
      <c r="S3154" s="65">
        <v>0</v>
      </c>
      <c r="T3154" s="65">
        <v>0</v>
      </c>
      <c r="U3154" s="58">
        <v>0</v>
      </c>
      <c r="V3154" s="65">
        <v>0</v>
      </c>
      <c r="W3154" s="65">
        <v>0</v>
      </c>
      <c r="X3154" s="65">
        <v>0</v>
      </c>
      <c r="Y3154" s="65">
        <v>0</v>
      </c>
      <c r="Z3154" s="51">
        <v>16003.326218046001</v>
      </c>
      <c r="AA3154" s="51">
        <v>0</v>
      </c>
      <c r="AB3154" s="102">
        <v>0</v>
      </c>
      <c r="AC3154" s="81">
        <f t="shared" si="151"/>
        <v>220.13014122713071</v>
      </c>
      <c r="AD3154" s="82">
        <f t="shared" si="152"/>
        <v>59.249999999999993</v>
      </c>
      <c r="AE3154" s="218">
        <v>0</v>
      </c>
      <c r="AF3154">
        <v>0</v>
      </c>
      <c r="AH3154" t="str">
        <f t="shared" si="150"/>
        <v>Teghra</v>
      </c>
      <c r="AJ3154" s="72">
        <v>0</v>
      </c>
      <c r="AK3154" s="72"/>
      <c r="AL3154" s="72"/>
      <c r="AM3154" s="72"/>
    </row>
    <row r="3155" spans="1:39" x14ac:dyDescent="0.25">
      <c r="A3155" s="37" t="s">
        <v>62</v>
      </c>
      <c r="B3155" s="66" t="s">
        <v>1644</v>
      </c>
      <c r="C3155" s="4">
        <v>1008</v>
      </c>
      <c r="D3155" s="41" t="s">
        <v>221</v>
      </c>
      <c r="E3155" s="41">
        <v>10080115</v>
      </c>
      <c r="F3155" s="85" t="s">
        <v>1265</v>
      </c>
      <c r="G3155" s="39" t="s">
        <v>93</v>
      </c>
      <c r="H3155" s="52" t="s">
        <v>94</v>
      </c>
      <c r="I3155" s="52">
        <v>338.4</v>
      </c>
      <c r="J3155" s="49">
        <v>13228.383123074998</v>
      </c>
      <c r="K3155" s="58">
        <v>335.29999999999995</v>
      </c>
      <c r="L3155" s="58">
        <v>13102.353716699999</v>
      </c>
      <c r="M3155" s="58">
        <v>0</v>
      </c>
      <c r="N3155" s="58">
        <v>0</v>
      </c>
      <c r="O3155" s="58">
        <v>335.29999999999995</v>
      </c>
      <c r="P3155" s="53">
        <v>13102.353716699999</v>
      </c>
      <c r="Q3155" s="65">
        <v>13102.353716699999</v>
      </c>
      <c r="R3155" s="65">
        <v>0</v>
      </c>
      <c r="S3155" s="65">
        <v>0</v>
      </c>
      <c r="T3155" s="65">
        <v>0</v>
      </c>
      <c r="U3155" s="58">
        <v>0</v>
      </c>
      <c r="V3155" s="65">
        <v>0</v>
      </c>
      <c r="W3155" s="65">
        <v>0</v>
      </c>
      <c r="X3155" s="65">
        <v>13102</v>
      </c>
      <c r="Y3155" s="65">
        <v>0</v>
      </c>
      <c r="Z3155" s="51">
        <v>0</v>
      </c>
      <c r="AA3155" s="51">
        <v>126</v>
      </c>
      <c r="AB3155" s="102">
        <v>0</v>
      </c>
      <c r="AC3155" s="81">
        <f t="shared" si="151"/>
        <v>282.70587099904964</v>
      </c>
      <c r="AD3155" s="82">
        <f t="shared" si="152"/>
        <v>48.342857142857142</v>
      </c>
      <c r="AE3155" s="218">
        <v>9.5271965743990907E-3</v>
      </c>
      <c r="AF3155">
        <v>1</v>
      </c>
      <c r="AH3155" t="str">
        <f t="shared" si="150"/>
        <v>Teghra</v>
      </c>
      <c r="AJ3155" s="72">
        <v>0</v>
      </c>
      <c r="AK3155" s="72"/>
      <c r="AL3155" s="72"/>
      <c r="AM3155" s="72"/>
    </row>
    <row r="3156" spans="1:39" x14ac:dyDescent="0.25">
      <c r="A3156" s="37" t="s">
        <v>62</v>
      </c>
      <c r="B3156" s="66" t="s">
        <v>1644</v>
      </c>
      <c r="C3156" s="4">
        <v>1008</v>
      </c>
      <c r="D3156" s="41" t="s">
        <v>221</v>
      </c>
      <c r="E3156" s="41">
        <v>10080117</v>
      </c>
      <c r="F3156" s="85" t="s">
        <v>1293</v>
      </c>
      <c r="G3156" s="39" t="s">
        <v>635</v>
      </c>
      <c r="H3156" s="52" t="s">
        <v>99</v>
      </c>
      <c r="I3156" s="52">
        <v>98.800000000000011</v>
      </c>
      <c r="J3156" s="49">
        <v>3862.7492624850006</v>
      </c>
      <c r="K3156" s="58">
        <v>0</v>
      </c>
      <c r="L3156" s="58">
        <v>0</v>
      </c>
      <c r="M3156" s="58">
        <v>0</v>
      </c>
      <c r="N3156" s="58">
        <v>0</v>
      </c>
      <c r="O3156" s="58">
        <v>0</v>
      </c>
      <c r="P3156" s="53">
        <v>0</v>
      </c>
      <c r="Q3156" s="65">
        <v>3862.7492624850006</v>
      </c>
      <c r="R3156" s="65">
        <v>0</v>
      </c>
      <c r="S3156" s="65">
        <v>0</v>
      </c>
      <c r="T3156" s="65">
        <v>0</v>
      </c>
      <c r="U3156" s="58">
        <v>0</v>
      </c>
      <c r="V3156" s="65">
        <v>0</v>
      </c>
      <c r="W3156" s="65">
        <v>0</v>
      </c>
      <c r="X3156" s="65">
        <v>0</v>
      </c>
      <c r="Y3156" s="65">
        <v>0</v>
      </c>
      <c r="Z3156" s="51">
        <v>3862.7492624850006</v>
      </c>
      <c r="AA3156" s="51">
        <v>0</v>
      </c>
      <c r="AB3156" s="102">
        <v>0</v>
      </c>
      <c r="AC3156" s="81">
        <f t="shared" si="151"/>
        <v>470.09814911052274</v>
      </c>
      <c r="AD3156" s="82">
        <f t="shared" si="152"/>
        <v>14.114285714285716</v>
      </c>
      <c r="AE3156" s="218">
        <v>0</v>
      </c>
      <c r="AF3156">
        <v>0</v>
      </c>
      <c r="AH3156" t="str">
        <f t="shared" si="150"/>
        <v>Teghra</v>
      </c>
      <c r="AJ3156" s="72">
        <v>0</v>
      </c>
      <c r="AK3156" s="72"/>
      <c r="AL3156" s="72"/>
      <c r="AM3156" s="72"/>
    </row>
    <row r="3157" spans="1:39" x14ac:dyDescent="0.25">
      <c r="A3157" s="37" t="s">
        <v>62</v>
      </c>
      <c r="B3157" s="66" t="s">
        <v>1644</v>
      </c>
      <c r="C3157" s="4">
        <v>1008</v>
      </c>
      <c r="D3157" s="41" t="s">
        <v>221</v>
      </c>
      <c r="E3157" s="41">
        <v>10080119</v>
      </c>
      <c r="F3157" s="85" t="s">
        <v>1325</v>
      </c>
      <c r="G3157" s="39" t="s">
        <v>93</v>
      </c>
      <c r="H3157" s="52" t="s">
        <v>94</v>
      </c>
      <c r="I3157" s="52">
        <v>282.5</v>
      </c>
      <c r="J3157" s="49">
        <v>10938.783801396003</v>
      </c>
      <c r="K3157" s="58">
        <v>299.34000000000003</v>
      </c>
      <c r="L3157" s="58">
        <v>12036.351832402801</v>
      </c>
      <c r="M3157" s="58">
        <v>0</v>
      </c>
      <c r="N3157" s="58">
        <v>0</v>
      </c>
      <c r="O3157" s="58">
        <v>299.34000000000003</v>
      </c>
      <c r="P3157" s="53">
        <v>12036.351832402801</v>
      </c>
      <c r="Q3157" s="65">
        <v>10938.783801396003</v>
      </c>
      <c r="R3157" s="65">
        <v>0</v>
      </c>
      <c r="S3157" s="65">
        <v>0</v>
      </c>
      <c r="T3157" s="65">
        <v>1097.5680310067983</v>
      </c>
      <c r="U3157" s="58">
        <v>0</v>
      </c>
      <c r="V3157" s="65">
        <v>0</v>
      </c>
      <c r="W3157" s="65">
        <v>0</v>
      </c>
      <c r="X3157" s="65">
        <v>10939</v>
      </c>
      <c r="Y3157" s="65">
        <v>0</v>
      </c>
      <c r="Z3157" s="51">
        <v>0</v>
      </c>
      <c r="AA3157" s="51">
        <v>0</v>
      </c>
      <c r="AB3157" s="102" t="s">
        <v>68</v>
      </c>
      <c r="AC3157" s="81">
        <f t="shared" si="151"/>
        <v>323.32334421825351</v>
      </c>
      <c r="AD3157" s="82">
        <f t="shared" si="152"/>
        <v>40.357142857142854</v>
      </c>
      <c r="AE3157" s="218">
        <v>-0.10033729991690001</v>
      </c>
      <c r="AF3157">
        <v>2</v>
      </c>
      <c r="AH3157" t="str">
        <f t="shared" si="150"/>
        <v>Teghra</v>
      </c>
      <c r="AJ3157" s="72">
        <v>0</v>
      </c>
      <c r="AK3157" s="72"/>
      <c r="AL3157" s="72"/>
      <c r="AM3157" s="72"/>
    </row>
    <row r="3158" spans="1:39" x14ac:dyDescent="0.25">
      <c r="A3158" s="37" t="s">
        <v>62</v>
      </c>
      <c r="B3158" s="66" t="s">
        <v>1644</v>
      </c>
      <c r="C3158" s="4">
        <v>1008</v>
      </c>
      <c r="D3158" s="41" t="s">
        <v>221</v>
      </c>
      <c r="E3158" s="41">
        <v>10080120</v>
      </c>
      <c r="F3158" s="85" t="s">
        <v>1389</v>
      </c>
      <c r="G3158" s="39" t="s">
        <v>93</v>
      </c>
      <c r="H3158" s="52" t="s">
        <v>94</v>
      </c>
      <c r="I3158" s="52">
        <v>341.05000000000007</v>
      </c>
      <c r="J3158" s="49">
        <v>13327.957227075003</v>
      </c>
      <c r="K3158" s="58">
        <v>341.35</v>
      </c>
      <c r="L3158" s="58">
        <v>11829.02327551395</v>
      </c>
      <c r="M3158" s="58">
        <v>31.09</v>
      </c>
      <c r="N3158" s="58">
        <v>1164.1940190600001</v>
      </c>
      <c r="O3158" s="58">
        <v>372.44</v>
      </c>
      <c r="P3158" s="53">
        <v>12993.217294573949</v>
      </c>
      <c r="Q3158" s="65">
        <v>12993.217294573949</v>
      </c>
      <c r="R3158" s="65">
        <v>0</v>
      </c>
      <c r="S3158" s="65">
        <v>0</v>
      </c>
      <c r="T3158" s="65">
        <v>0</v>
      </c>
      <c r="U3158" s="58">
        <v>0</v>
      </c>
      <c r="V3158" s="65">
        <v>0</v>
      </c>
      <c r="W3158" s="65">
        <v>0</v>
      </c>
      <c r="X3158" s="65">
        <v>11829</v>
      </c>
      <c r="Y3158" s="65">
        <v>1164</v>
      </c>
      <c r="Z3158" s="51">
        <v>0</v>
      </c>
      <c r="AA3158" s="51">
        <v>335</v>
      </c>
      <c r="AB3158" s="102">
        <v>0</v>
      </c>
      <c r="AC3158" s="81">
        <f t="shared" si="151"/>
        <v>280.54949401311075</v>
      </c>
      <c r="AD3158" s="82">
        <f t="shared" si="152"/>
        <v>48.721428571428582</v>
      </c>
      <c r="AE3158" s="218">
        <v>2.5115621756427026E-2</v>
      </c>
      <c r="AF3158">
        <v>10</v>
      </c>
      <c r="AH3158" t="str">
        <f t="shared" si="150"/>
        <v>Teghra</v>
      </c>
      <c r="AJ3158" s="72">
        <v>0</v>
      </c>
      <c r="AK3158" s="72"/>
      <c r="AL3158" s="72"/>
      <c r="AM3158" s="72"/>
    </row>
    <row r="3159" spans="1:39" x14ac:dyDescent="0.25">
      <c r="A3159" s="37" t="s">
        <v>62</v>
      </c>
      <c r="B3159" s="66" t="s">
        <v>1644</v>
      </c>
      <c r="C3159" s="4">
        <v>1008</v>
      </c>
      <c r="D3159" s="41" t="s">
        <v>221</v>
      </c>
      <c r="E3159" s="41">
        <v>10080122</v>
      </c>
      <c r="F3159" s="85" t="s">
        <v>1401</v>
      </c>
      <c r="G3159" s="39" t="s">
        <v>93</v>
      </c>
      <c r="H3159" s="52" t="s">
        <v>94</v>
      </c>
      <c r="I3159" s="52">
        <v>597.95000000000005</v>
      </c>
      <c r="J3159" s="49">
        <v>23172.607262700007</v>
      </c>
      <c r="K3159" s="58">
        <v>597.69999999999993</v>
      </c>
      <c r="L3159" s="58">
        <v>23152.041182490007</v>
      </c>
      <c r="M3159" s="58">
        <v>0</v>
      </c>
      <c r="N3159" s="58">
        <v>0</v>
      </c>
      <c r="O3159" s="58">
        <v>597.69999999999993</v>
      </c>
      <c r="P3159" s="53">
        <v>23152.041182490007</v>
      </c>
      <c r="Q3159" s="65">
        <v>23152.041182490007</v>
      </c>
      <c r="R3159" s="65">
        <v>0</v>
      </c>
      <c r="S3159" s="65">
        <v>0</v>
      </c>
      <c r="T3159" s="65">
        <v>0</v>
      </c>
      <c r="U3159" s="58">
        <v>0</v>
      </c>
      <c r="V3159" s="65">
        <v>0</v>
      </c>
      <c r="W3159" s="65">
        <v>0</v>
      </c>
      <c r="X3159" s="65">
        <v>23152</v>
      </c>
      <c r="Y3159" s="65">
        <v>0</v>
      </c>
      <c r="Z3159" s="51">
        <v>0</v>
      </c>
      <c r="AA3159" s="51">
        <v>21</v>
      </c>
      <c r="AB3159" s="102">
        <v>0</v>
      </c>
      <c r="AC3159" s="81">
        <f t="shared" si="151"/>
        <v>79.095729447563656</v>
      </c>
      <c r="AD3159" s="82">
        <f t="shared" si="152"/>
        <v>85.421428571428578</v>
      </c>
      <c r="AE3159" s="218">
        <v>8.8751688477901978E-4</v>
      </c>
      <c r="AF3159">
        <v>1</v>
      </c>
      <c r="AH3159" t="str">
        <f t="shared" si="150"/>
        <v>Teghra</v>
      </c>
      <c r="AJ3159" s="72">
        <v>0</v>
      </c>
      <c r="AK3159" s="72"/>
      <c r="AL3159" s="72"/>
      <c r="AM3159" s="72"/>
    </row>
    <row r="3160" spans="1:39" x14ac:dyDescent="0.25">
      <c r="A3160" s="37" t="s">
        <v>62</v>
      </c>
      <c r="B3160" s="66" t="s">
        <v>1644</v>
      </c>
      <c r="C3160" s="4">
        <v>1008</v>
      </c>
      <c r="D3160" s="41" t="s">
        <v>221</v>
      </c>
      <c r="E3160" s="41">
        <v>10080124</v>
      </c>
      <c r="F3160" s="85" t="s">
        <v>1422</v>
      </c>
      <c r="G3160" s="39" t="s">
        <v>93</v>
      </c>
      <c r="H3160" s="52" t="s">
        <v>94</v>
      </c>
      <c r="I3160" s="52">
        <v>187.65000000000003</v>
      </c>
      <c r="J3160" s="49">
        <v>7841.8026616005009</v>
      </c>
      <c r="K3160" s="58">
        <v>187.1</v>
      </c>
      <c r="L3160" s="58">
        <v>7819.2903768945016</v>
      </c>
      <c r="M3160" s="58">
        <v>0</v>
      </c>
      <c r="N3160" s="58">
        <v>0</v>
      </c>
      <c r="O3160" s="58">
        <v>187.1</v>
      </c>
      <c r="P3160" s="53">
        <v>7819.2903768945016</v>
      </c>
      <c r="Q3160" s="65">
        <v>7819.2903768945016</v>
      </c>
      <c r="R3160" s="65">
        <v>0</v>
      </c>
      <c r="S3160" s="65">
        <v>0</v>
      </c>
      <c r="T3160" s="65">
        <v>0</v>
      </c>
      <c r="U3160" s="58">
        <v>0</v>
      </c>
      <c r="V3160" s="65">
        <v>0</v>
      </c>
      <c r="W3160" s="65">
        <v>0</v>
      </c>
      <c r="X3160" s="65">
        <v>7819</v>
      </c>
      <c r="Y3160" s="65">
        <v>0</v>
      </c>
      <c r="Z3160" s="51">
        <v>0</v>
      </c>
      <c r="AA3160" s="51">
        <v>23</v>
      </c>
      <c r="AB3160" s="102">
        <v>0</v>
      </c>
      <c r="AC3160" s="81">
        <f t="shared" si="151"/>
        <v>428.21716958923696</v>
      </c>
      <c r="AD3160" s="82">
        <f t="shared" si="152"/>
        <v>26.80714285714286</v>
      </c>
      <c r="AE3160" s="218">
        <v>2.8708047980136927E-3</v>
      </c>
      <c r="AF3160">
        <v>1</v>
      </c>
      <c r="AH3160" t="str">
        <f t="shared" si="150"/>
        <v>Teghra</v>
      </c>
      <c r="AJ3160" s="72">
        <v>0</v>
      </c>
      <c r="AK3160" s="72"/>
      <c r="AL3160" s="72"/>
      <c r="AM3160" s="72"/>
    </row>
    <row r="3161" spans="1:39" x14ac:dyDescent="0.25">
      <c r="A3161" s="37" t="s">
        <v>62</v>
      </c>
      <c r="B3161" s="66" t="s">
        <v>1644</v>
      </c>
      <c r="C3161" s="4">
        <v>1008</v>
      </c>
      <c r="D3161" s="41" t="s">
        <v>221</v>
      </c>
      <c r="E3161" s="41">
        <v>10080126</v>
      </c>
      <c r="F3161" s="85" t="s">
        <v>1492</v>
      </c>
      <c r="G3161" s="39" t="s">
        <v>93</v>
      </c>
      <c r="H3161" s="52" t="s">
        <v>94</v>
      </c>
      <c r="I3161" s="52">
        <v>238.70000000000002</v>
      </c>
      <c r="J3161" s="49">
        <v>8745.4490384970013</v>
      </c>
      <c r="K3161" s="58">
        <v>238.29999999999998</v>
      </c>
      <c r="L3161" s="58">
        <v>8774.0769490665007</v>
      </c>
      <c r="M3161" s="58">
        <v>0</v>
      </c>
      <c r="N3161" s="58">
        <v>0</v>
      </c>
      <c r="O3161" s="58">
        <v>238.29999999999998</v>
      </c>
      <c r="P3161" s="53">
        <v>8774.0769490665007</v>
      </c>
      <c r="Q3161" s="65">
        <v>8745.4490384970013</v>
      </c>
      <c r="R3161" s="65">
        <v>0</v>
      </c>
      <c r="S3161" s="65">
        <v>0</v>
      </c>
      <c r="T3161" s="65">
        <v>28.627910569499363</v>
      </c>
      <c r="U3161" s="58">
        <v>0</v>
      </c>
      <c r="V3161" s="65">
        <v>0</v>
      </c>
      <c r="W3161" s="65">
        <v>0</v>
      </c>
      <c r="X3161" s="65">
        <v>8745</v>
      </c>
      <c r="Y3161" s="65">
        <v>0</v>
      </c>
      <c r="Z3161" s="51">
        <v>0</v>
      </c>
      <c r="AA3161" s="51">
        <v>0</v>
      </c>
      <c r="AB3161" s="102">
        <v>0</v>
      </c>
      <c r="AC3161" s="81">
        <f t="shared" si="151"/>
        <v>338.0205816052507</v>
      </c>
      <c r="AD3161" s="82">
        <f t="shared" si="152"/>
        <v>34.1</v>
      </c>
      <c r="AE3161" s="218">
        <v>-3.2734637688105923E-3</v>
      </c>
      <c r="AF3161">
        <v>1</v>
      </c>
      <c r="AH3161" t="str">
        <f t="shared" si="150"/>
        <v>Teghra</v>
      </c>
      <c r="AJ3161" s="72">
        <v>0</v>
      </c>
      <c r="AK3161" s="72"/>
      <c r="AL3161" s="72"/>
      <c r="AM3161" s="72"/>
    </row>
    <row r="3162" spans="1:39" x14ac:dyDescent="0.25">
      <c r="A3162" s="37" t="s">
        <v>62</v>
      </c>
      <c r="B3162" s="66" t="s">
        <v>1644</v>
      </c>
      <c r="C3162" s="4">
        <v>1009</v>
      </c>
      <c r="D3162" s="41" t="s">
        <v>249</v>
      </c>
      <c r="E3162" s="41">
        <v>10090001</v>
      </c>
      <c r="F3162" s="85" t="s">
        <v>250</v>
      </c>
      <c r="G3162" s="39" t="s">
        <v>635</v>
      </c>
      <c r="H3162" s="52" t="s">
        <v>99</v>
      </c>
      <c r="I3162" s="52">
        <v>331.69999999999993</v>
      </c>
      <c r="J3162" s="49">
        <v>14210.869679280002</v>
      </c>
      <c r="K3162" s="58">
        <v>0</v>
      </c>
      <c r="L3162" s="58">
        <v>0</v>
      </c>
      <c r="M3162" s="58">
        <v>0</v>
      </c>
      <c r="N3162" s="58">
        <v>0</v>
      </c>
      <c r="O3162" s="58">
        <v>0</v>
      </c>
      <c r="P3162" s="53">
        <v>0</v>
      </c>
      <c r="Q3162" s="65">
        <v>14210.869679280002</v>
      </c>
      <c r="R3162" s="65">
        <v>0</v>
      </c>
      <c r="S3162" s="65">
        <v>0</v>
      </c>
      <c r="T3162" s="65">
        <v>0</v>
      </c>
      <c r="U3162" s="58">
        <v>0</v>
      </c>
      <c r="V3162" s="65">
        <v>0</v>
      </c>
      <c r="W3162" s="65">
        <v>0</v>
      </c>
      <c r="X3162" s="65">
        <v>0</v>
      </c>
      <c r="Y3162" s="65">
        <v>0</v>
      </c>
      <c r="Z3162" s="51">
        <v>14210.869679280002</v>
      </c>
      <c r="AA3162" s="51">
        <v>0</v>
      </c>
      <c r="AB3162" s="102">
        <v>0</v>
      </c>
      <c r="AC3162" s="81">
        <f t="shared" si="151"/>
        <v>315.57813101470168</v>
      </c>
      <c r="AD3162" s="82">
        <f t="shared" si="152"/>
        <v>47.385714285714279</v>
      </c>
      <c r="AE3162" s="218">
        <v>0</v>
      </c>
      <c r="AF3162">
        <v>0</v>
      </c>
      <c r="AH3162" t="str">
        <f t="shared" si="150"/>
        <v>Halsi</v>
      </c>
      <c r="AJ3162" s="72">
        <v>0</v>
      </c>
      <c r="AK3162" s="72"/>
      <c r="AL3162" s="72"/>
      <c r="AM3162" s="72"/>
    </row>
    <row r="3163" spans="1:39" x14ac:dyDescent="0.25">
      <c r="A3163" s="37" t="s">
        <v>62</v>
      </c>
      <c r="B3163" s="66" t="s">
        <v>1644</v>
      </c>
      <c r="C3163" s="4">
        <v>1009</v>
      </c>
      <c r="D3163" s="41" t="s">
        <v>249</v>
      </c>
      <c r="E3163" s="41">
        <v>10090002</v>
      </c>
      <c r="F3163" s="85" t="s">
        <v>251</v>
      </c>
      <c r="G3163" s="39" t="s">
        <v>93</v>
      </c>
      <c r="H3163" s="52" t="s">
        <v>94</v>
      </c>
      <c r="I3163" s="52">
        <v>1847.8</v>
      </c>
      <c r="J3163" s="49">
        <v>78910.780013677228</v>
      </c>
      <c r="K3163" s="58">
        <v>1280.6600000000001</v>
      </c>
      <c r="L3163" s="58">
        <v>56026.180273512909</v>
      </c>
      <c r="M3163" s="58">
        <v>575.75</v>
      </c>
      <c r="N3163" s="58">
        <v>25174.987659279024</v>
      </c>
      <c r="O3163" s="58">
        <v>1856.41</v>
      </c>
      <c r="P3163" s="53">
        <v>81201.167932791926</v>
      </c>
      <c r="Q3163" s="65">
        <v>78910.780013677228</v>
      </c>
      <c r="R3163" s="65">
        <v>0</v>
      </c>
      <c r="S3163" s="65">
        <v>589.67262589799998</v>
      </c>
      <c r="T3163" s="65">
        <v>2290.3879191146989</v>
      </c>
      <c r="U3163" s="58">
        <v>0</v>
      </c>
      <c r="V3163" s="65">
        <v>0</v>
      </c>
      <c r="W3163" s="65">
        <v>0</v>
      </c>
      <c r="X3163" s="65">
        <v>53735</v>
      </c>
      <c r="Y3163" s="65">
        <v>24586</v>
      </c>
      <c r="Z3163" s="51">
        <v>0</v>
      </c>
      <c r="AA3163" s="51">
        <v>0</v>
      </c>
      <c r="AB3163" s="102">
        <v>0</v>
      </c>
      <c r="AC3163" s="81">
        <f t="shared" si="151"/>
        <v>0</v>
      </c>
      <c r="AD3163" s="82">
        <f t="shared" si="152"/>
        <v>0</v>
      </c>
      <c r="AE3163" s="218">
        <v>-2.9025032051612176E-2</v>
      </c>
      <c r="AF3163">
        <v>14</v>
      </c>
      <c r="AH3163" t="str">
        <f t="shared" si="150"/>
        <v>Halsi</v>
      </c>
      <c r="AJ3163" s="72">
        <v>0</v>
      </c>
      <c r="AK3163" s="72"/>
      <c r="AL3163" s="72"/>
      <c r="AM3163" s="72"/>
    </row>
    <row r="3164" spans="1:39" x14ac:dyDescent="0.25">
      <c r="A3164" s="37" t="s">
        <v>62</v>
      </c>
      <c r="B3164" s="66" t="s">
        <v>1644</v>
      </c>
      <c r="C3164" s="4">
        <v>1009</v>
      </c>
      <c r="D3164" s="41" t="s">
        <v>249</v>
      </c>
      <c r="E3164" s="41">
        <v>10090003</v>
      </c>
      <c r="F3164" s="85" t="s">
        <v>252</v>
      </c>
      <c r="G3164" s="39" t="s">
        <v>93</v>
      </c>
      <c r="H3164" s="52" t="s">
        <v>94</v>
      </c>
      <c r="I3164" s="52">
        <v>97.3</v>
      </c>
      <c r="J3164" s="49">
        <v>3219.1325459820005</v>
      </c>
      <c r="K3164" s="58">
        <v>98.800000000000011</v>
      </c>
      <c r="L3164" s="58">
        <v>3464.0295548940003</v>
      </c>
      <c r="M3164" s="58">
        <v>0.6</v>
      </c>
      <c r="N3164" s="58">
        <v>20.500472448000004</v>
      </c>
      <c r="O3164" s="58">
        <v>99.4</v>
      </c>
      <c r="P3164" s="53">
        <v>3484.5300273420003</v>
      </c>
      <c r="Q3164" s="65">
        <v>3219.1325459820005</v>
      </c>
      <c r="R3164" s="65">
        <v>0</v>
      </c>
      <c r="S3164" s="65">
        <v>20.500472448000004</v>
      </c>
      <c r="T3164" s="65">
        <v>265.3974813599998</v>
      </c>
      <c r="U3164" s="58">
        <v>0</v>
      </c>
      <c r="V3164" s="65">
        <v>0</v>
      </c>
      <c r="W3164" s="65">
        <v>0</v>
      </c>
      <c r="X3164" s="65">
        <v>3198</v>
      </c>
      <c r="Y3164" s="65">
        <v>0</v>
      </c>
      <c r="Z3164" s="51">
        <v>0</v>
      </c>
      <c r="AA3164" s="51">
        <v>1</v>
      </c>
      <c r="AB3164" s="102">
        <v>0</v>
      </c>
      <c r="AC3164" s="81">
        <f t="shared" si="151"/>
        <v>398.80188807057584</v>
      </c>
      <c r="AD3164" s="82">
        <f t="shared" si="152"/>
        <v>13.9</v>
      </c>
      <c r="AE3164" s="218">
        <v>-8.244378806062487E-2</v>
      </c>
      <c r="AF3164">
        <v>3</v>
      </c>
      <c r="AH3164" t="str">
        <f t="shared" si="150"/>
        <v>Halsi</v>
      </c>
      <c r="AJ3164" s="72">
        <v>0</v>
      </c>
      <c r="AK3164" s="72"/>
      <c r="AL3164" s="72"/>
      <c r="AM3164" s="72"/>
    </row>
    <row r="3165" spans="1:39" x14ac:dyDescent="0.25">
      <c r="A3165" s="37" t="s">
        <v>62</v>
      </c>
      <c r="B3165" s="66" t="s">
        <v>1644</v>
      </c>
      <c r="C3165" s="4">
        <v>1009</v>
      </c>
      <c r="D3165" s="41" t="s">
        <v>249</v>
      </c>
      <c r="E3165" s="41">
        <v>10090005</v>
      </c>
      <c r="F3165" s="85" t="s">
        <v>253</v>
      </c>
      <c r="G3165" s="39" t="s">
        <v>635</v>
      </c>
      <c r="H3165" s="52" t="s">
        <v>99</v>
      </c>
      <c r="I3165" s="52">
        <v>326.69999999999993</v>
      </c>
      <c r="J3165" s="49">
        <v>16045.164657434201</v>
      </c>
      <c r="K3165" s="58">
        <v>0</v>
      </c>
      <c r="L3165" s="58">
        <v>0</v>
      </c>
      <c r="M3165" s="58">
        <v>0</v>
      </c>
      <c r="N3165" s="58">
        <v>0</v>
      </c>
      <c r="O3165" s="58">
        <v>0</v>
      </c>
      <c r="P3165" s="53">
        <v>0</v>
      </c>
      <c r="Q3165" s="65">
        <v>16045.164657434201</v>
      </c>
      <c r="R3165" s="65">
        <v>0</v>
      </c>
      <c r="S3165" s="65">
        <v>0</v>
      </c>
      <c r="T3165" s="65">
        <v>0</v>
      </c>
      <c r="U3165" s="58">
        <v>0</v>
      </c>
      <c r="V3165" s="65">
        <v>0</v>
      </c>
      <c r="W3165" s="65">
        <v>0</v>
      </c>
      <c r="X3165" s="65">
        <v>0</v>
      </c>
      <c r="Y3165" s="65">
        <v>0</v>
      </c>
      <c r="Z3165" s="51">
        <v>16045.164657434201</v>
      </c>
      <c r="AA3165" s="51">
        <v>0</v>
      </c>
      <c r="AB3165" s="102">
        <v>0</v>
      </c>
      <c r="AC3165" s="81">
        <f t="shared" si="151"/>
        <v>366.67645954209917</v>
      </c>
      <c r="AD3165" s="82">
        <f t="shared" si="152"/>
        <v>46.671428571428564</v>
      </c>
      <c r="AE3165" s="218">
        <v>0</v>
      </c>
      <c r="AF3165">
        <v>0</v>
      </c>
      <c r="AH3165" t="str">
        <f t="shared" si="150"/>
        <v>Halsi</v>
      </c>
      <c r="AJ3165" s="72">
        <v>0</v>
      </c>
      <c r="AK3165" s="72"/>
      <c r="AL3165" s="72"/>
      <c r="AM3165" s="72"/>
    </row>
    <row r="3166" spans="1:39" x14ac:dyDescent="0.25">
      <c r="A3166" s="37" t="s">
        <v>62</v>
      </c>
      <c r="B3166" s="66" t="s">
        <v>1644</v>
      </c>
      <c r="C3166" s="4">
        <v>1009</v>
      </c>
      <c r="D3166" s="41" t="s">
        <v>249</v>
      </c>
      <c r="E3166" s="41">
        <v>10090006</v>
      </c>
      <c r="F3166" s="85" t="s">
        <v>254</v>
      </c>
      <c r="G3166" s="39" t="s">
        <v>93</v>
      </c>
      <c r="H3166" s="52" t="s">
        <v>94</v>
      </c>
      <c r="I3166" s="52">
        <v>1357.7</v>
      </c>
      <c r="J3166" s="49">
        <v>56069.628243660016</v>
      </c>
      <c r="K3166" s="58">
        <v>1358.2999999999997</v>
      </c>
      <c r="L3166" s="58">
        <v>60060.607133202502</v>
      </c>
      <c r="M3166" s="58">
        <v>0</v>
      </c>
      <c r="N3166" s="58">
        <v>0</v>
      </c>
      <c r="O3166" s="58">
        <v>1358.2999999999997</v>
      </c>
      <c r="P3166" s="53">
        <v>60060.607133202502</v>
      </c>
      <c r="Q3166" s="65">
        <v>56069.628243660016</v>
      </c>
      <c r="R3166" s="65">
        <v>0</v>
      </c>
      <c r="S3166" s="65">
        <v>0</v>
      </c>
      <c r="T3166" s="65">
        <v>3990.9788895424863</v>
      </c>
      <c r="U3166" s="58">
        <v>0</v>
      </c>
      <c r="V3166" s="65">
        <v>0</v>
      </c>
      <c r="W3166" s="65">
        <v>0</v>
      </c>
      <c r="X3166" s="65">
        <v>56070</v>
      </c>
      <c r="Y3166" s="65">
        <v>0</v>
      </c>
      <c r="Z3166" s="51">
        <v>0</v>
      </c>
      <c r="AA3166" s="51">
        <v>0</v>
      </c>
      <c r="AB3166" s="102">
        <v>0</v>
      </c>
      <c r="AC3166" s="81">
        <f t="shared" si="151"/>
        <v>0</v>
      </c>
      <c r="AD3166" s="82">
        <f t="shared" si="152"/>
        <v>0</v>
      </c>
      <c r="AE3166" s="218">
        <v>-7.1178978968774592E-2</v>
      </c>
      <c r="AF3166">
        <v>10</v>
      </c>
      <c r="AH3166" t="str">
        <f t="shared" si="150"/>
        <v>Halsi</v>
      </c>
      <c r="AJ3166" s="72">
        <v>0</v>
      </c>
      <c r="AK3166" s="72"/>
      <c r="AL3166" s="72"/>
      <c r="AM3166" s="72"/>
    </row>
    <row r="3167" spans="1:39" x14ac:dyDescent="0.25">
      <c r="A3167" s="37" t="s">
        <v>62</v>
      </c>
      <c r="B3167" s="66" t="s">
        <v>1644</v>
      </c>
      <c r="C3167" s="4">
        <v>1009</v>
      </c>
      <c r="D3167" s="41" t="s">
        <v>249</v>
      </c>
      <c r="E3167" s="41">
        <v>10090007</v>
      </c>
      <c r="F3167" s="85" t="s">
        <v>255</v>
      </c>
      <c r="G3167" s="39" t="s">
        <v>93</v>
      </c>
      <c r="H3167" s="52" t="s">
        <v>94</v>
      </c>
      <c r="I3167" s="52">
        <v>409.1</v>
      </c>
      <c r="J3167" s="49">
        <v>14011.502066219104</v>
      </c>
      <c r="K3167" s="58">
        <v>389.70000000000005</v>
      </c>
      <c r="L3167" s="58">
        <v>13878.961473407999</v>
      </c>
      <c r="M3167" s="58">
        <v>0</v>
      </c>
      <c r="N3167" s="58">
        <v>0</v>
      </c>
      <c r="O3167" s="58">
        <v>389.70000000000005</v>
      </c>
      <c r="P3167" s="53">
        <v>13878.961473407999</v>
      </c>
      <c r="Q3167" s="65">
        <v>13878.961473407999</v>
      </c>
      <c r="R3167" s="65">
        <v>0</v>
      </c>
      <c r="S3167" s="65">
        <v>0</v>
      </c>
      <c r="T3167" s="65">
        <v>0</v>
      </c>
      <c r="U3167" s="58">
        <v>0</v>
      </c>
      <c r="V3167" s="65">
        <v>0</v>
      </c>
      <c r="W3167" s="65">
        <v>0</v>
      </c>
      <c r="X3167" s="65">
        <v>13879</v>
      </c>
      <c r="Y3167" s="65">
        <v>0</v>
      </c>
      <c r="Z3167" s="51">
        <v>0</v>
      </c>
      <c r="AA3167" s="51">
        <v>133</v>
      </c>
      <c r="AB3167" s="102">
        <v>0</v>
      </c>
      <c r="AC3167" s="81">
        <f t="shared" si="151"/>
        <v>199.26404062885049</v>
      </c>
      <c r="AD3167" s="82">
        <f t="shared" si="152"/>
        <v>58.442857142857143</v>
      </c>
      <c r="AE3167" s="218">
        <v>9.4594135721288875E-3</v>
      </c>
      <c r="AF3167">
        <v>1</v>
      </c>
      <c r="AH3167" t="str">
        <f t="shared" si="150"/>
        <v>Halsi</v>
      </c>
      <c r="AJ3167" s="72">
        <v>0</v>
      </c>
      <c r="AK3167" s="72"/>
      <c r="AL3167" s="72"/>
      <c r="AM3167" s="72"/>
    </row>
    <row r="3168" spans="1:39" x14ac:dyDescent="0.25">
      <c r="A3168" s="37" t="s">
        <v>62</v>
      </c>
      <c r="B3168" s="66" t="s">
        <v>1644</v>
      </c>
      <c r="C3168" s="4">
        <v>1009</v>
      </c>
      <c r="D3168" s="41" t="s">
        <v>249</v>
      </c>
      <c r="E3168" s="41">
        <v>10090008</v>
      </c>
      <c r="F3168" s="85" t="s">
        <v>256</v>
      </c>
      <c r="G3168" s="39" t="s">
        <v>93</v>
      </c>
      <c r="H3168" s="52" t="s">
        <v>94</v>
      </c>
      <c r="I3168" s="52">
        <v>1042</v>
      </c>
      <c r="J3168" s="49">
        <v>40658.873838210005</v>
      </c>
      <c r="K3168" s="58">
        <v>1050.3</v>
      </c>
      <c r="L3168" s="58">
        <v>39707.813972157048</v>
      </c>
      <c r="M3168" s="58">
        <v>12.7</v>
      </c>
      <c r="N3168" s="58">
        <v>468.02809504500004</v>
      </c>
      <c r="O3168" s="58">
        <v>1063</v>
      </c>
      <c r="P3168" s="53">
        <v>40175.842067202051</v>
      </c>
      <c r="Q3168" s="65">
        <v>40175.842067202051</v>
      </c>
      <c r="R3168" s="65">
        <v>0</v>
      </c>
      <c r="S3168" s="65">
        <v>468.02809504500004</v>
      </c>
      <c r="T3168" s="65">
        <v>0</v>
      </c>
      <c r="U3168" s="58">
        <v>0</v>
      </c>
      <c r="V3168" s="65">
        <v>0</v>
      </c>
      <c r="W3168" s="65">
        <v>0</v>
      </c>
      <c r="X3168" s="65">
        <v>39707</v>
      </c>
      <c r="Y3168" s="65">
        <v>0</v>
      </c>
      <c r="Z3168" s="51">
        <v>0</v>
      </c>
      <c r="AA3168" s="51">
        <v>484</v>
      </c>
      <c r="AB3168" s="102">
        <v>0</v>
      </c>
      <c r="AC3168" s="81">
        <f t="shared" si="151"/>
        <v>0</v>
      </c>
      <c r="AD3168" s="82">
        <f t="shared" si="152"/>
        <v>0</v>
      </c>
      <c r="AE3168" s="218">
        <v>1.1880106983042295E-2</v>
      </c>
      <c r="AF3168">
        <v>28</v>
      </c>
      <c r="AH3168" t="str">
        <f t="shared" si="150"/>
        <v>Halsi</v>
      </c>
      <c r="AJ3168" s="72">
        <v>0</v>
      </c>
      <c r="AK3168" s="72"/>
      <c r="AL3168" s="72"/>
      <c r="AM3168" s="72"/>
    </row>
    <row r="3169" spans="1:39" x14ac:dyDescent="0.25">
      <c r="A3169" s="37" t="s">
        <v>62</v>
      </c>
      <c r="B3169" s="66" t="s">
        <v>1644</v>
      </c>
      <c r="C3169" s="4">
        <v>1009</v>
      </c>
      <c r="D3169" s="41" t="s">
        <v>249</v>
      </c>
      <c r="E3169" s="41">
        <v>10090009</v>
      </c>
      <c r="F3169" s="85" t="s">
        <v>257</v>
      </c>
      <c r="G3169" s="39" t="s">
        <v>93</v>
      </c>
      <c r="H3169" s="52" t="s">
        <v>94</v>
      </c>
      <c r="I3169" s="52">
        <v>551</v>
      </c>
      <c r="J3169" s="49">
        <v>22676.152428003003</v>
      </c>
      <c r="K3169" s="58">
        <v>546.5</v>
      </c>
      <c r="L3169" s="58">
        <v>22464.750000106604</v>
      </c>
      <c r="M3169" s="58">
        <v>4.8999999999999995</v>
      </c>
      <c r="N3169" s="58">
        <v>198.00238726800001</v>
      </c>
      <c r="O3169" s="58">
        <v>551.4</v>
      </c>
      <c r="P3169" s="53">
        <v>22662.752387374603</v>
      </c>
      <c r="Q3169" s="65">
        <v>22662.752387374603</v>
      </c>
      <c r="R3169" s="65">
        <v>0</v>
      </c>
      <c r="S3169" s="65">
        <v>198.00238726800001</v>
      </c>
      <c r="T3169" s="65">
        <v>0</v>
      </c>
      <c r="U3169" s="58">
        <v>0</v>
      </c>
      <c r="V3169" s="65">
        <v>0</v>
      </c>
      <c r="W3169" s="65">
        <v>0</v>
      </c>
      <c r="X3169" s="65">
        <v>22465</v>
      </c>
      <c r="Y3169" s="65">
        <v>0</v>
      </c>
      <c r="Z3169" s="51">
        <v>0</v>
      </c>
      <c r="AA3169" s="51">
        <v>13</v>
      </c>
      <c r="AB3169" s="102">
        <v>0</v>
      </c>
      <c r="AC3169" s="81">
        <f t="shared" si="151"/>
        <v>122.64053400262972</v>
      </c>
      <c r="AD3169" s="82">
        <f t="shared" si="152"/>
        <v>78.714285714285708</v>
      </c>
      <c r="AE3169" s="218">
        <v>5.9093096463100141E-4</v>
      </c>
      <c r="AF3169">
        <v>10</v>
      </c>
      <c r="AH3169" t="str">
        <f t="shared" si="150"/>
        <v>Halsi</v>
      </c>
      <c r="AJ3169" s="72">
        <v>0</v>
      </c>
      <c r="AK3169" s="72"/>
      <c r="AL3169" s="72"/>
      <c r="AM3169" s="72"/>
    </row>
    <row r="3170" spans="1:39" x14ac:dyDescent="0.25">
      <c r="A3170" s="37" t="s">
        <v>62</v>
      </c>
      <c r="B3170" s="66" t="s">
        <v>1644</v>
      </c>
      <c r="C3170" s="4">
        <v>1009</v>
      </c>
      <c r="D3170" s="41" t="s">
        <v>249</v>
      </c>
      <c r="E3170" s="41">
        <v>10090011</v>
      </c>
      <c r="F3170" s="85" t="s">
        <v>258</v>
      </c>
      <c r="G3170" s="39" t="s">
        <v>635</v>
      </c>
      <c r="H3170" s="52" t="s">
        <v>99</v>
      </c>
      <c r="I3170" s="52">
        <v>750.2</v>
      </c>
      <c r="J3170" s="49">
        <v>28240.988694389998</v>
      </c>
      <c r="K3170" s="58">
        <v>0</v>
      </c>
      <c r="L3170" s="58">
        <v>0</v>
      </c>
      <c r="M3170" s="58">
        <v>0</v>
      </c>
      <c r="N3170" s="58">
        <v>0</v>
      </c>
      <c r="O3170" s="58">
        <v>0</v>
      </c>
      <c r="P3170" s="53">
        <v>0</v>
      </c>
      <c r="Q3170" s="65">
        <v>28240.988694389998</v>
      </c>
      <c r="R3170" s="65">
        <v>0</v>
      </c>
      <c r="S3170" s="65">
        <v>0</v>
      </c>
      <c r="T3170" s="65">
        <v>0</v>
      </c>
      <c r="U3170" s="58">
        <v>0</v>
      </c>
      <c r="V3170" s="65">
        <v>0</v>
      </c>
      <c r="W3170" s="65">
        <v>0</v>
      </c>
      <c r="X3170" s="65">
        <v>0</v>
      </c>
      <c r="Y3170" s="65">
        <v>0</v>
      </c>
      <c r="Z3170" s="51">
        <v>28240.988694389998</v>
      </c>
      <c r="AA3170" s="51">
        <v>0</v>
      </c>
      <c r="AB3170" s="102">
        <v>0</v>
      </c>
      <c r="AC3170" s="81">
        <f t="shared" si="151"/>
        <v>0</v>
      </c>
      <c r="AD3170" s="82">
        <f t="shared" si="152"/>
        <v>0</v>
      </c>
      <c r="AE3170" s="218">
        <v>0</v>
      </c>
      <c r="AF3170">
        <v>0</v>
      </c>
      <c r="AH3170" t="str">
        <f t="shared" si="150"/>
        <v>Halsi</v>
      </c>
      <c r="AJ3170" s="72">
        <v>0</v>
      </c>
      <c r="AK3170" s="72"/>
      <c r="AL3170" s="72"/>
      <c r="AM3170" s="72"/>
    </row>
    <row r="3171" spans="1:39" x14ac:dyDescent="0.25">
      <c r="A3171" s="37" t="s">
        <v>62</v>
      </c>
      <c r="B3171" s="66" t="s">
        <v>1644</v>
      </c>
      <c r="C3171" s="4">
        <v>1009</v>
      </c>
      <c r="D3171" s="41" t="s">
        <v>249</v>
      </c>
      <c r="E3171" s="41">
        <v>10090012</v>
      </c>
      <c r="F3171" s="85" t="s">
        <v>259</v>
      </c>
      <c r="G3171" s="39" t="s">
        <v>635</v>
      </c>
      <c r="H3171" s="52" t="s">
        <v>99</v>
      </c>
      <c r="I3171" s="52">
        <v>1050.4000000000001</v>
      </c>
      <c r="J3171" s="49">
        <v>39596.615845590008</v>
      </c>
      <c r="K3171" s="58">
        <v>0</v>
      </c>
      <c r="L3171" s="58">
        <v>0</v>
      </c>
      <c r="M3171" s="58">
        <v>0</v>
      </c>
      <c r="N3171" s="58">
        <v>0</v>
      </c>
      <c r="O3171" s="58">
        <v>0</v>
      </c>
      <c r="P3171" s="53">
        <v>0</v>
      </c>
      <c r="Q3171" s="65">
        <v>39596.615845590008</v>
      </c>
      <c r="R3171" s="65">
        <v>0</v>
      </c>
      <c r="S3171" s="65">
        <v>0</v>
      </c>
      <c r="T3171" s="65">
        <v>0</v>
      </c>
      <c r="U3171" s="58">
        <v>0</v>
      </c>
      <c r="V3171" s="65">
        <v>0</v>
      </c>
      <c r="W3171" s="65">
        <v>0</v>
      </c>
      <c r="X3171" s="65">
        <v>0</v>
      </c>
      <c r="Y3171" s="65">
        <v>0</v>
      </c>
      <c r="Z3171" s="51">
        <v>39596.615845590008</v>
      </c>
      <c r="AA3171" s="51">
        <v>0</v>
      </c>
      <c r="AB3171" s="102">
        <v>0</v>
      </c>
      <c r="AC3171" s="81">
        <f t="shared" si="151"/>
        <v>0</v>
      </c>
      <c r="AD3171" s="82">
        <f t="shared" si="152"/>
        <v>0</v>
      </c>
      <c r="AE3171" s="218">
        <v>0</v>
      </c>
      <c r="AF3171">
        <v>0</v>
      </c>
      <c r="AH3171" t="str">
        <f t="shared" si="150"/>
        <v>Halsi</v>
      </c>
      <c r="AJ3171" s="72">
        <v>0</v>
      </c>
      <c r="AK3171" s="72"/>
      <c r="AL3171" s="72"/>
      <c r="AM3171" s="72"/>
    </row>
    <row r="3172" spans="1:39" x14ac:dyDescent="0.25">
      <c r="A3172" s="37" t="s">
        <v>62</v>
      </c>
      <c r="B3172" s="66" t="s">
        <v>1644</v>
      </c>
      <c r="C3172" s="4">
        <v>1009</v>
      </c>
      <c r="D3172" s="41" t="s">
        <v>249</v>
      </c>
      <c r="E3172" s="41">
        <v>10090014</v>
      </c>
      <c r="F3172" s="85" t="s">
        <v>260</v>
      </c>
      <c r="G3172" s="39" t="s">
        <v>635</v>
      </c>
      <c r="H3172" s="52" t="s">
        <v>99</v>
      </c>
      <c r="I3172" s="52">
        <v>921.89999999999986</v>
      </c>
      <c r="J3172" s="49">
        <v>37016.799758134199</v>
      </c>
      <c r="K3172" s="58">
        <v>0</v>
      </c>
      <c r="L3172" s="58">
        <v>0</v>
      </c>
      <c r="M3172" s="58">
        <v>0</v>
      </c>
      <c r="N3172" s="58">
        <v>0</v>
      </c>
      <c r="O3172" s="58">
        <v>0</v>
      </c>
      <c r="P3172" s="53">
        <v>0</v>
      </c>
      <c r="Q3172" s="65">
        <v>37016.799758134199</v>
      </c>
      <c r="R3172" s="65">
        <v>0</v>
      </c>
      <c r="S3172" s="65">
        <v>0</v>
      </c>
      <c r="T3172" s="65">
        <v>0</v>
      </c>
      <c r="U3172" s="58">
        <v>0</v>
      </c>
      <c r="V3172" s="65">
        <v>0</v>
      </c>
      <c r="W3172" s="65">
        <v>0</v>
      </c>
      <c r="X3172" s="65">
        <v>0</v>
      </c>
      <c r="Y3172" s="65">
        <v>0</v>
      </c>
      <c r="Z3172" s="51">
        <v>37016.799758134199</v>
      </c>
      <c r="AA3172" s="51">
        <v>0</v>
      </c>
      <c r="AB3172" s="102">
        <v>0</v>
      </c>
      <c r="AC3172" s="81">
        <f t="shared" si="151"/>
        <v>0</v>
      </c>
      <c r="AD3172" s="82">
        <f t="shared" si="152"/>
        <v>0</v>
      </c>
      <c r="AE3172" s="218">
        <v>0</v>
      </c>
      <c r="AF3172">
        <v>0</v>
      </c>
      <c r="AH3172" t="str">
        <f t="shared" si="150"/>
        <v>Halsi</v>
      </c>
      <c r="AJ3172" s="72">
        <v>0</v>
      </c>
      <c r="AK3172" s="72"/>
      <c r="AL3172" s="72"/>
      <c r="AM3172" s="72"/>
    </row>
    <row r="3173" spans="1:39" x14ac:dyDescent="0.25">
      <c r="A3173" s="37" t="s">
        <v>62</v>
      </c>
      <c r="B3173" s="66" t="s">
        <v>1644</v>
      </c>
      <c r="C3173" s="4">
        <v>1009</v>
      </c>
      <c r="D3173" s="41" t="s">
        <v>249</v>
      </c>
      <c r="E3173" s="41">
        <v>10090015</v>
      </c>
      <c r="F3173" s="85" t="s">
        <v>261</v>
      </c>
      <c r="G3173" s="39" t="s">
        <v>635</v>
      </c>
      <c r="H3173" s="52" t="s">
        <v>99</v>
      </c>
      <c r="I3173" s="52">
        <v>444.9</v>
      </c>
      <c r="J3173" s="49">
        <v>18917.1509075904</v>
      </c>
      <c r="K3173" s="58">
        <v>0</v>
      </c>
      <c r="L3173" s="58">
        <v>0</v>
      </c>
      <c r="M3173" s="58">
        <v>0</v>
      </c>
      <c r="N3173" s="58">
        <v>0</v>
      </c>
      <c r="O3173" s="58">
        <v>0</v>
      </c>
      <c r="P3173" s="53">
        <v>0</v>
      </c>
      <c r="Q3173" s="65">
        <v>18917.1509075904</v>
      </c>
      <c r="R3173" s="65">
        <v>0</v>
      </c>
      <c r="S3173" s="65">
        <v>0</v>
      </c>
      <c r="T3173" s="65">
        <v>0</v>
      </c>
      <c r="U3173" s="58">
        <v>0</v>
      </c>
      <c r="V3173" s="65">
        <v>0</v>
      </c>
      <c r="W3173" s="65">
        <v>0</v>
      </c>
      <c r="X3173" s="65">
        <v>0</v>
      </c>
      <c r="Y3173" s="65">
        <v>0</v>
      </c>
      <c r="Z3173" s="51">
        <v>18917.1509075904</v>
      </c>
      <c r="AA3173" s="51">
        <v>0</v>
      </c>
      <c r="AB3173" s="102">
        <v>0</v>
      </c>
      <c r="AC3173" s="81">
        <f t="shared" si="151"/>
        <v>216.93707334350688</v>
      </c>
      <c r="AD3173" s="82">
        <f t="shared" si="152"/>
        <v>63.557142857142857</v>
      </c>
      <c r="AE3173" s="218">
        <v>0</v>
      </c>
      <c r="AF3173">
        <v>0</v>
      </c>
      <c r="AH3173" t="str">
        <f t="shared" si="150"/>
        <v>Halsi</v>
      </c>
      <c r="AJ3173" s="72">
        <v>0</v>
      </c>
      <c r="AK3173" s="72"/>
      <c r="AL3173" s="72"/>
      <c r="AM3173" s="72"/>
    </row>
    <row r="3174" spans="1:39" x14ac:dyDescent="0.25">
      <c r="A3174" s="37" t="s">
        <v>62</v>
      </c>
      <c r="B3174" s="66" t="s">
        <v>1644</v>
      </c>
      <c r="C3174" s="4">
        <v>1009</v>
      </c>
      <c r="D3174" s="41" t="s">
        <v>249</v>
      </c>
      <c r="E3174" s="41">
        <v>10090017</v>
      </c>
      <c r="F3174" s="85" t="s">
        <v>262</v>
      </c>
      <c r="G3174" s="39" t="s">
        <v>635</v>
      </c>
      <c r="H3174" s="52" t="s">
        <v>99</v>
      </c>
      <c r="I3174" s="52">
        <v>6138.3</v>
      </c>
      <c r="J3174" s="49">
        <v>217472.544295086</v>
      </c>
      <c r="K3174" s="58">
        <v>0</v>
      </c>
      <c r="L3174" s="58">
        <v>0</v>
      </c>
      <c r="M3174" s="58">
        <v>0</v>
      </c>
      <c r="N3174" s="58">
        <v>0</v>
      </c>
      <c r="O3174" s="58">
        <v>0</v>
      </c>
      <c r="P3174" s="53">
        <v>0</v>
      </c>
      <c r="Q3174" s="65">
        <v>217472.544295086</v>
      </c>
      <c r="R3174" s="65">
        <v>0</v>
      </c>
      <c r="S3174" s="65">
        <v>0</v>
      </c>
      <c r="T3174" s="65">
        <v>0</v>
      </c>
      <c r="U3174" s="58">
        <v>0</v>
      </c>
      <c r="V3174" s="65">
        <v>0</v>
      </c>
      <c r="W3174" s="65">
        <v>0</v>
      </c>
      <c r="X3174" s="65">
        <v>0</v>
      </c>
      <c r="Y3174" s="65">
        <v>0</v>
      </c>
      <c r="Z3174" s="51">
        <v>217472.544295086</v>
      </c>
      <c r="AA3174" s="51">
        <v>0</v>
      </c>
      <c r="AB3174" s="102">
        <v>0</v>
      </c>
      <c r="AC3174" s="81">
        <f t="shared" si="151"/>
        <v>0</v>
      </c>
      <c r="AD3174" s="82">
        <f t="shared" si="152"/>
        <v>0</v>
      </c>
      <c r="AE3174" s="218">
        <v>0</v>
      </c>
      <c r="AF3174">
        <v>0</v>
      </c>
      <c r="AH3174" t="str">
        <f t="shared" si="150"/>
        <v>Halsi</v>
      </c>
      <c r="AJ3174" s="72">
        <v>0</v>
      </c>
      <c r="AK3174" s="72"/>
      <c r="AL3174" s="72"/>
      <c r="AM3174" s="72"/>
    </row>
    <row r="3175" spans="1:39" x14ac:dyDescent="0.25">
      <c r="A3175" s="37" t="s">
        <v>62</v>
      </c>
      <c r="B3175" s="66" t="s">
        <v>1644</v>
      </c>
      <c r="C3175" s="4">
        <v>1009</v>
      </c>
      <c r="D3175" s="41" t="s">
        <v>249</v>
      </c>
      <c r="E3175" s="41">
        <v>10090018</v>
      </c>
      <c r="F3175" s="85" t="s">
        <v>1200</v>
      </c>
      <c r="G3175" s="39" t="s">
        <v>635</v>
      </c>
      <c r="H3175" s="52" t="s">
        <v>99</v>
      </c>
      <c r="I3175" s="52">
        <v>722.10000000000014</v>
      </c>
      <c r="J3175" s="49">
        <v>29185.3970285244</v>
      </c>
      <c r="K3175" s="58">
        <v>0</v>
      </c>
      <c r="L3175" s="58">
        <v>0</v>
      </c>
      <c r="M3175" s="58">
        <v>0</v>
      </c>
      <c r="N3175" s="58">
        <v>0</v>
      </c>
      <c r="O3175" s="58">
        <v>0</v>
      </c>
      <c r="P3175" s="53">
        <v>0</v>
      </c>
      <c r="Q3175" s="65">
        <v>29185.3970285244</v>
      </c>
      <c r="R3175" s="65">
        <v>0</v>
      </c>
      <c r="S3175" s="65">
        <v>0</v>
      </c>
      <c r="T3175" s="65">
        <v>0</v>
      </c>
      <c r="U3175" s="58">
        <v>0</v>
      </c>
      <c r="V3175" s="65">
        <v>0</v>
      </c>
      <c r="W3175" s="65">
        <v>0</v>
      </c>
      <c r="X3175" s="65">
        <v>0</v>
      </c>
      <c r="Y3175" s="65">
        <v>0</v>
      </c>
      <c r="Z3175" s="51">
        <v>29185.3970285244</v>
      </c>
      <c r="AA3175" s="51">
        <v>0</v>
      </c>
      <c r="AB3175" s="102">
        <v>0</v>
      </c>
      <c r="AC3175" s="81">
        <f t="shared" si="151"/>
        <v>0</v>
      </c>
      <c r="AD3175" s="82">
        <f t="shared" si="152"/>
        <v>0</v>
      </c>
      <c r="AE3175" s="218">
        <v>0</v>
      </c>
      <c r="AF3175">
        <v>0</v>
      </c>
      <c r="AH3175" t="str">
        <f t="shared" si="150"/>
        <v>Halsi</v>
      </c>
      <c r="AJ3175" s="72">
        <v>0</v>
      </c>
      <c r="AK3175" s="72"/>
      <c r="AL3175" s="72"/>
      <c r="AM3175" s="72"/>
    </row>
    <row r="3176" spans="1:39" x14ac:dyDescent="0.25">
      <c r="A3176" s="37" t="s">
        <v>62</v>
      </c>
      <c r="B3176" s="66" t="s">
        <v>1644</v>
      </c>
      <c r="C3176" s="4">
        <v>1009</v>
      </c>
      <c r="D3176" s="41" t="s">
        <v>249</v>
      </c>
      <c r="E3176" s="41">
        <v>10090021</v>
      </c>
      <c r="F3176" s="85" t="s">
        <v>263</v>
      </c>
      <c r="G3176" s="39" t="s">
        <v>93</v>
      </c>
      <c r="H3176" s="52" t="s">
        <v>94</v>
      </c>
      <c r="I3176" s="52">
        <v>986.7</v>
      </c>
      <c r="J3176" s="49">
        <v>42048.556267680004</v>
      </c>
      <c r="K3176" s="58">
        <v>1104.5999999999999</v>
      </c>
      <c r="L3176" s="58">
        <v>48828.402703092303</v>
      </c>
      <c r="M3176" s="58">
        <v>1.5999999999999999</v>
      </c>
      <c r="N3176" s="58">
        <v>73.032159155500011</v>
      </c>
      <c r="O3176" s="58">
        <v>1106.1999999999998</v>
      </c>
      <c r="P3176" s="53">
        <v>48901.434862247799</v>
      </c>
      <c r="Q3176" s="65">
        <v>42048.556267680004</v>
      </c>
      <c r="R3176" s="65">
        <v>0</v>
      </c>
      <c r="S3176" s="65">
        <v>73.032159155500011</v>
      </c>
      <c r="T3176" s="65">
        <v>6852.8785945677955</v>
      </c>
      <c r="U3176" s="58">
        <v>0</v>
      </c>
      <c r="V3176" s="65">
        <v>0</v>
      </c>
      <c r="W3176" s="65">
        <v>0</v>
      </c>
      <c r="X3176" s="65">
        <v>41976</v>
      </c>
      <c r="Y3176" s="65">
        <v>0</v>
      </c>
      <c r="Z3176" s="51">
        <v>0</v>
      </c>
      <c r="AA3176" s="51">
        <v>0</v>
      </c>
      <c r="AB3176" s="102">
        <v>0</v>
      </c>
      <c r="AC3176" s="81">
        <f t="shared" si="151"/>
        <v>0</v>
      </c>
      <c r="AD3176" s="82">
        <f t="shared" si="152"/>
        <v>0</v>
      </c>
      <c r="AE3176" s="218">
        <v>-0.16297535998483637</v>
      </c>
      <c r="AF3176">
        <v>5</v>
      </c>
      <c r="AH3176" t="str">
        <f t="shared" si="150"/>
        <v>Halsi</v>
      </c>
      <c r="AJ3176" s="72">
        <v>0</v>
      </c>
      <c r="AK3176" s="72"/>
      <c r="AL3176" s="72"/>
      <c r="AM3176" s="72"/>
    </row>
    <row r="3177" spans="1:39" x14ac:dyDescent="0.25">
      <c r="A3177" s="37" t="s">
        <v>62</v>
      </c>
      <c r="B3177" s="66" t="s">
        <v>1644</v>
      </c>
      <c r="C3177" s="4">
        <v>1009</v>
      </c>
      <c r="D3177" s="41" t="s">
        <v>249</v>
      </c>
      <c r="E3177" s="41">
        <v>10090022</v>
      </c>
      <c r="F3177" s="85" t="s">
        <v>264</v>
      </c>
      <c r="G3177" s="39" t="s">
        <v>635</v>
      </c>
      <c r="H3177" s="52" t="s">
        <v>99</v>
      </c>
      <c r="I3177" s="52">
        <v>451.2000000000001</v>
      </c>
      <c r="J3177" s="49">
        <v>18245.117509488005</v>
      </c>
      <c r="K3177" s="58">
        <v>0</v>
      </c>
      <c r="L3177" s="58">
        <v>0</v>
      </c>
      <c r="M3177" s="58">
        <v>0</v>
      </c>
      <c r="N3177" s="58">
        <v>0</v>
      </c>
      <c r="O3177" s="58">
        <v>0</v>
      </c>
      <c r="P3177" s="53">
        <v>0</v>
      </c>
      <c r="Q3177" s="65">
        <v>18245.117509488005</v>
      </c>
      <c r="R3177" s="65">
        <v>0</v>
      </c>
      <c r="S3177" s="65">
        <v>0</v>
      </c>
      <c r="T3177" s="65">
        <v>0</v>
      </c>
      <c r="U3177" s="58">
        <v>0</v>
      </c>
      <c r="V3177" s="65">
        <v>0</v>
      </c>
      <c r="W3177" s="65">
        <v>0</v>
      </c>
      <c r="X3177" s="65">
        <v>0</v>
      </c>
      <c r="Y3177" s="65">
        <v>0</v>
      </c>
      <c r="Z3177" s="51">
        <v>18245.117509488005</v>
      </c>
      <c r="AA3177" s="51">
        <v>0</v>
      </c>
      <c r="AB3177" s="102">
        <v>0</v>
      </c>
      <c r="AC3177" s="81">
        <f t="shared" si="151"/>
        <v>201.21388459045269</v>
      </c>
      <c r="AD3177" s="82">
        <f t="shared" si="152"/>
        <v>64.45714285714287</v>
      </c>
      <c r="AE3177" s="218">
        <v>0</v>
      </c>
      <c r="AF3177">
        <v>0</v>
      </c>
      <c r="AH3177" t="str">
        <f t="shared" si="150"/>
        <v>Halsi</v>
      </c>
      <c r="AJ3177" s="72">
        <v>0</v>
      </c>
      <c r="AK3177" s="72"/>
      <c r="AL3177" s="72"/>
      <c r="AM3177" s="72"/>
    </row>
    <row r="3178" spans="1:39" x14ac:dyDescent="0.25">
      <c r="A3178" s="37" t="s">
        <v>62</v>
      </c>
      <c r="B3178" s="66" t="s">
        <v>1644</v>
      </c>
      <c r="C3178" s="4">
        <v>1009</v>
      </c>
      <c r="D3178" s="41" t="s">
        <v>249</v>
      </c>
      <c r="E3178" s="41">
        <v>10090024</v>
      </c>
      <c r="F3178" s="85" t="s">
        <v>265</v>
      </c>
      <c r="G3178" s="39" t="s">
        <v>635</v>
      </c>
      <c r="H3178" s="52" t="s">
        <v>99</v>
      </c>
      <c r="I3178" s="52">
        <v>278.2</v>
      </c>
      <c r="J3178" s="49">
        <v>10379.611260618001</v>
      </c>
      <c r="K3178" s="58">
        <v>0</v>
      </c>
      <c r="L3178" s="58">
        <v>0</v>
      </c>
      <c r="M3178" s="58">
        <v>0</v>
      </c>
      <c r="N3178" s="58">
        <v>0</v>
      </c>
      <c r="O3178" s="58">
        <v>0</v>
      </c>
      <c r="P3178" s="53">
        <v>0</v>
      </c>
      <c r="Q3178" s="65">
        <v>10379.611260618001</v>
      </c>
      <c r="R3178" s="65">
        <v>0</v>
      </c>
      <c r="S3178" s="65">
        <v>0</v>
      </c>
      <c r="T3178" s="65">
        <v>0</v>
      </c>
      <c r="U3178" s="58">
        <v>0</v>
      </c>
      <c r="V3178" s="65">
        <v>0</v>
      </c>
      <c r="W3178" s="65">
        <v>0</v>
      </c>
      <c r="X3178" s="65">
        <v>0</v>
      </c>
      <c r="Y3178" s="65">
        <v>0</v>
      </c>
      <c r="Z3178" s="51">
        <v>10379.611260618001</v>
      </c>
      <c r="AA3178" s="51">
        <v>0</v>
      </c>
      <c r="AB3178" s="102">
        <v>0</v>
      </c>
      <c r="AC3178" s="81">
        <f t="shared" si="151"/>
        <v>314.74622787409584</v>
      </c>
      <c r="AD3178" s="82">
        <f t="shared" si="152"/>
        <v>39.74285714285714</v>
      </c>
      <c r="AE3178" s="218">
        <v>0</v>
      </c>
      <c r="AF3178">
        <v>0</v>
      </c>
      <c r="AH3178" t="str">
        <f t="shared" si="150"/>
        <v>Halsi</v>
      </c>
      <c r="AJ3178" s="72">
        <v>0</v>
      </c>
      <c r="AK3178" s="72"/>
      <c r="AL3178" s="72"/>
      <c r="AM3178" s="72"/>
    </row>
    <row r="3179" spans="1:39" x14ac:dyDescent="0.25">
      <c r="A3179" s="37" t="s">
        <v>62</v>
      </c>
      <c r="B3179" s="66" t="s">
        <v>1644</v>
      </c>
      <c r="C3179" s="4">
        <v>1009</v>
      </c>
      <c r="D3179" s="41" t="s">
        <v>249</v>
      </c>
      <c r="E3179" s="41">
        <v>10090025</v>
      </c>
      <c r="F3179" s="85" t="s">
        <v>496</v>
      </c>
      <c r="G3179" s="39" t="s">
        <v>635</v>
      </c>
      <c r="H3179" s="52" t="s">
        <v>99</v>
      </c>
      <c r="I3179" s="52">
        <v>512.90000000000009</v>
      </c>
      <c r="J3179" s="49">
        <v>19685.218219268005</v>
      </c>
      <c r="K3179" s="58">
        <v>0</v>
      </c>
      <c r="L3179" s="58">
        <v>0</v>
      </c>
      <c r="M3179" s="58">
        <v>0</v>
      </c>
      <c r="N3179" s="58">
        <v>0</v>
      </c>
      <c r="O3179" s="58">
        <v>0</v>
      </c>
      <c r="P3179" s="53">
        <v>0</v>
      </c>
      <c r="Q3179" s="65">
        <v>19685.218219268005</v>
      </c>
      <c r="R3179" s="65">
        <v>0</v>
      </c>
      <c r="S3179" s="65">
        <v>0</v>
      </c>
      <c r="T3179" s="65">
        <v>0</v>
      </c>
      <c r="U3179" s="58">
        <v>0</v>
      </c>
      <c r="V3179" s="65">
        <v>0</v>
      </c>
      <c r="W3179" s="65">
        <v>0</v>
      </c>
      <c r="X3179" s="65">
        <v>0</v>
      </c>
      <c r="Y3179" s="65">
        <v>0</v>
      </c>
      <c r="Z3179" s="51">
        <v>19685.218219268005</v>
      </c>
      <c r="AA3179" s="51">
        <v>0</v>
      </c>
      <c r="AB3179" s="102">
        <v>0</v>
      </c>
      <c r="AC3179" s="81">
        <f t="shared" si="151"/>
        <v>143.61880790895074</v>
      </c>
      <c r="AD3179" s="82">
        <f t="shared" si="152"/>
        <v>73.271428571428586</v>
      </c>
      <c r="AE3179" s="218">
        <v>0</v>
      </c>
      <c r="AF3179">
        <v>0</v>
      </c>
      <c r="AH3179" t="str">
        <f t="shared" si="150"/>
        <v>Halsi</v>
      </c>
      <c r="AJ3179" s="72">
        <v>0</v>
      </c>
      <c r="AK3179" s="72"/>
      <c r="AL3179" s="72"/>
      <c r="AM3179" s="72"/>
    </row>
    <row r="3180" spans="1:39" x14ac:dyDescent="0.25">
      <c r="A3180" s="37" t="s">
        <v>62</v>
      </c>
      <c r="B3180" s="66" t="s">
        <v>1644</v>
      </c>
      <c r="C3180" s="4">
        <v>1009</v>
      </c>
      <c r="D3180" s="41" t="s">
        <v>249</v>
      </c>
      <c r="E3180" s="41">
        <v>10090027</v>
      </c>
      <c r="F3180" s="85" t="s">
        <v>266</v>
      </c>
      <c r="G3180" s="39" t="s">
        <v>635</v>
      </c>
      <c r="H3180" s="52" t="s">
        <v>99</v>
      </c>
      <c r="I3180" s="52">
        <v>1720.5</v>
      </c>
      <c r="J3180" s="49">
        <v>73654.853552535002</v>
      </c>
      <c r="K3180" s="58">
        <v>0</v>
      </c>
      <c r="L3180" s="58">
        <v>0</v>
      </c>
      <c r="M3180" s="58">
        <v>0</v>
      </c>
      <c r="N3180" s="58">
        <v>0</v>
      </c>
      <c r="O3180" s="58">
        <v>0</v>
      </c>
      <c r="P3180" s="53">
        <v>0</v>
      </c>
      <c r="Q3180" s="65">
        <v>73654.853552535002</v>
      </c>
      <c r="R3180" s="65">
        <v>0</v>
      </c>
      <c r="S3180" s="65">
        <v>0</v>
      </c>
      <c r="T3180" s="65">
        <v>0</v>
      </c>
      <c r="U3180" s="58">
        <v>0</v>
      </c>
      <c r="V3180" s="65">
        <v>0</v>
      </c>
      <c r="W3180" s="65">
        <v>0</v>
      </c>
      <c r="X3180" s="65">
        <v>0</v>
      </c>
      <c r="Y3180" s="65">
        <v>0</v>
      </c>
      <c r="Z3180" s="51">
        <v>73654.853552535002</v>
      </c>
      <c r="AA3180" s="51">
        <v>0</v>
      </c>
      <c r="AB3180" s="102">
        <v>0</v>
      </c>
      <c r="AC3180" s="81">
        <f t="shared" si="151"/>
        <v>0</v>
      </c>
      <c r="AD3180" s="82">
        <f t="shared" si="152"/>
        <v>0</v>
      </c>
      <c r="AE3180" s="218">
        <v>0</v>
      </c>
      <c r="AF3180">
        <v>0</v>
      </c>
      <c r="AH3180" t="str">
        <f t="shared" si="150"/>
        <v>Halsi</v>
      </c>
      <c r="AJ3180" s="72">
        <v>0</v>
      </c>
      <c r="AK3180" s="72"/>
      <c r="AL3180" s="72"/>
      <c r="AM3180" s="72"/>
    </row>
    <row r="3181" spans="1:39" x14ac:dyDescent="0.25">
      <c r="A3181" s="37" t="s">
        <v>62</v>
      </c>
      <c r="B3181" s="66" t="s">
        <v>1644</v>
      </c>
      <c r="C3181" s="4">
        <v>1009</v>
      </c>
      <c r="D3181" s="41" t="s">
        <v>249</v>
      </c>
      <c r="E3181" s="41">
        <v>10090029</v>
      </c>
      <c r="F3181" s="85" t="s">
        <v>267</v>
      </c>
      <c r="G3181" s="39" t="s">
        <v>93</v>
      </c>
      <c r="H3181" s="52" t="s">
        <v>94</v>
      </c>
      <c r="I3181" s="52">
        <v>735.30000000000007</v>
      </c>
      <c r="J3181" s="49">
        <v>32064.979258260006</v>
      </c>
      <c r="K3181" s="58">
        <v>745.25000000000011</v>
      </c>
      <c r="L3181" s="58">
        <v>31945.745624279152</v>
      </c>
      <c r="M3181" s="58">
        <v>11.16</v>
      </c>
      <c r="N3181" s="58">
        <v>451.42340504400005</v>
      </c>
      <c r="O3181" s="58">
        <v>756.41000000000008</v>
      </c>
      <c r="P3181" s="53">
        <v>32397.169029323151</v>
      </c>
      <c r="Q3181" s="65">
        <v>32064.979258260006</v>
      </c>
      <c r="R3181" s="65">
        <v>0</v>
      </c>
      <c r="S3181" s="65">
        <v>451.42340504400005</v>
      </c>
      <c r="T3181" s="65">
        <v>332.1897710631456</v>
      </c>
      <c r="U3181" s="58">
        <v>0</v>
      </c>
      <c r="V3181" s="65">
        <v>0</v>
      </c>
      <c r="W3181" s="65">
        <v>0</v>
      </c>
      <c r="X3181" s="65">
        <v>31614</v>
      </c>
      <c r="Y3181" s="65">
        <v>0</v>
      </c>
      <c r="Z3181" s="51">
        <v>0</v>
      </c>
      <c r="AA3181" s="51">
        <v>0</v>
      </c>
      <c r="AB3181" s="102">
        <v>0</v>
      </c>
      <c r="AC3181" s="81">
        <f t="shared" si="151"/>
        <v>0</v>
      </c>
      <c r="AD3181" s="82">
        <f t="shared" si="152"/>
        <v>0</v>
      </c>
      <c r="AE3181" s="218">
        <v>-1.0359893527065758E-2</v>
      </c>
      <c r="AF3181">
        <v>21</v>
      </c>
      <c r="AH3181" t="str">
        <f t="shared" si="150"/>
        <v>Halsi</v>
      </c>
      <c r="AJ3181" s="72">
        <v>0</v>
      </c>
      <c r="AK3181" s="72"/>
      <c r="AL3181" s="72"/>
      <c r="AM3181" s="72"/>
    </row>
    <row r="3182" spans="1:39" x14ac:dyDescent="0.25">
      <c r="A3182" s="37" t="s">
        <v>62</v>
      </c>
      <c r="B3182" s="66" t="s">
        <v>1644</v>
      </c>
      <c r="C3182" s="4">
        <v>1009</v>
      </c>
      <c r="D3182" s="41" t="s">
        <v>249</v>
      </c>
      <c r="E3182" s="41">
        <v>10090033</v>
      </c>
      <c r="F3182" s="85" t="s">
        <v>268</v>
      </c>
      <c r="G3182" s="39" t="s">
        <v>93</v>
      </c>
      <c r="H3182" s="52" t="s">
        <v>94</v>
      </c>
      <c r="I3182" s="52">
        <v>888.70000000000016</v>
      </c>
      <c r="J3182" s="49">
        <v>41963.294318503999</v>
      </c>
      <c r="K3182" s="58">
        <v>893.88000000000022</v>
      </c>
      <c r="L3182" s="58">
        <v>43624.780380958837</v>
      </c>
      <c r="M3182" s="58">
        <v>6.5299999999999994</v>
      </c>
      <c r="N3182" s="58">
        <v>324.18501411170001</v>
      </c>
      <c r="O3182" s="58">
        <v>900.4100000000002</v>
      </c>
      <c r="P3182" s="53">
        <v>43948.96539507054</v>
      </c>
      <c r="Q3182" s="65">
        <v>41963.294318503999</v>
      </c>
      <c r="R3182" s="65">
        <v>0</v>
      </c>
      <c r="S3182" s="65">
        <v>324.18501411170001</v>
      </c>
      <c r="T3182" s="65">
        <v>1985.6710765665412</v>
      </c>
      <c r="U3182" s="58">
        <v>0</v>
      </c>
      <c r="V3182" s="65">
        <v>0</v>
      </c>
      <c r="W3182" s="65">
        <v>0</v>
      </c>
      <c r="X3182" s="65">
        <v>41639</v>
      </c>
      <c r="Y3182" s="65">
        <v>0</v>
      </c>
      <c r="Z3182" s="51">
        <v>0</v>
      </c>
      <c r="AA3182" s="51">
        <v>0</v>
      </c>
      <c r="AB3182" s="102">
        <v>0</v>
      </c>
      <c r="AC3182" s="81">
        <f t="shared" si="151"/>
        <v>0</v>
      </c>
      <c r="AD3182" s="82">
        <f t="shared" si="152"/>
        <v>0</v>
      </c>
      <c r="AE3182" s="218">
        <v>-4.7319237176547076E-2</v>
      </c>
      <c r="AF3182">
        <v>12</v>
      </c>
      <c r="AH3182" t="str">
        <f t="shared" si="150"/>
        <v>Halsi</v>
      </c>
      <c r="AJ3182" s="72">
        <v>0</v>
      </c>
      <c r="AK3182" s="72"/>
      <c r="AL3182" s="72"/>
      <c r="AM3182" s="72"/>
    </row>
    <row r="3183" spans="1:39" x14ac:dyDescent="0.25">
      <c r="A3183" s="37" t="s">
        <v>62</v>
      </c>
      <c r="B3183" s="66" t="s">
        <v>1644</v>
      </c>
      <c r="C3183" s="4">
        <v>1009</v>
      </c>
      <c r="D3183" s="41" t="s">
        <v>249</v>
      </c>
      <c r="E3183" s="41">
        <v>10090036</v>
      </c>
      <c r="F3183" s="85" t="s">
        <v>270</v>
      </c>
      <c r="G3183" s="39" t="s">
        <v>93</v>
      </c>
      <c r="H3183" s="52" t="s">
        <v>94</v>
      </c>
      <c r="I3183" s="52">
        <v>61</v>
      </c>
      <c r="J3183" s="49">
        <v>2268.274723086</v>
      </c>
      <c r="K3183" s="58">
        <v>65.600000000000009</v>
      </c>
      <c r="L3183" s="58">
        <v>2522.2057908300008</v>
      </c>
      <c r="M3183" s="58">
        <v>0</v>
      </c>
      <c r="N3183" s="58">
        <v>0</v>
      </c>
      <c r="O3183" s="58">
        <v>65.600000000000009</v>
      </c>
      <c r="P3183" s="53">
        <v>2522.2057908300008</v>
      </c>
      <c r="Q3183" s="65">
        <v>2268.274723086</v>
      </c>
      <c r="R3183" s="65">
        <v>0</v>
      </c>
      <c r="S3183" s="65">
        <v>0</v>
      </c>
      <c r="T3183" s="65">
        <v>253.93106774400076</v>
      </c>
      <c r="U3183" s="58">
        <v>0</v>
      </c>
      <c r="V3183" s="65">
        <v>500</v>
      </c>
      <c r="W3183" s="65">
        <v>0</v>
      </c>
      <c r="X3183" s="65">
        <v>1768</v>
      </c>
      <c r="Y3183" s="65">
        <v>0</v>
      </c>
      <c r="Z3183" s="51">
        <v>0</v>
      </c>
      <c r="AA3183" s="51">
        <v>0</v>
      </c>
      <c r="AB3183" s="102">
        <v>0</v>
      </c>
      <c r="AC3183" s="81">
        <f t="shared" si="151"/>
        <v>475.22214690227992</v>
      </c>
      <c r="AD3183" s="82">
        <f t="shared" si="152"/>
        <v>8.7142857142857135</v>
      </c>
      <c r="AE3183" s="218">
        <v>-0.1119489915218586</v>
      </c>
      <c r="AF3183">
        <v>1</v>
      </c>
      <c r="AH3183" t="str">
        <f t="shared" si="150"/>
        <v>Halsi</v>
      </c>
      <c r="AJ3183" s="72">
        <v>500</v>
      </c>
      <c r="AK3183" s="72"/>
      <c r="AL3183" s="72"/>
      <c r="AM3183" s="72"/>
    </row>
    <row r="3184" spans="1:39" x14ac:dyDescent="0.25">
      <c r="A3184" s="37" t="s">
        <v>62</v>
      </c>
      <c r="B3184" s="66" t="s">
        <v>1644</v>
      </c>
      <c r="C3184" s="4">
        <v>1009</v>
      </c>
      <c r="D3184" s="41" t="s">
        <v>249</v>
      </c>
      <c r="E3184" s="41">
        <v>10090037</v>
      </c>
      <c r="F3184" s="85" t="s">
        <v>271</v>
      </c>
      <c r="G3184" s="39" t="s">
        <v>93</v>
      </c>
      <c r="H3184" s="52" t="s">
        <v>94</v>
      </c>
      <c r="I3184" s="52">
        <v>589.19999999999993</v>
      </c>
      <c r="J3184" s="49">
        <v>27237.144724000009</v>
      </c>
      <c r="K3184" s="58">
        <v>590.61</v>
      </c>
      <c r="L3184" s="58">
        <v>27822.727610310554</v>
      </c>
      <c r="M3184" s="58">
        <v>5.41</v>
      </c>
      <c r="N3184" s="58">
        <v>237.77652197099997</v>
      </c>
      <c r="O3184" s="58">
        <v>596.02</v>
      </c>
      <c r="P3184" s="53">
        <v>28060.504132281552</v>
      </c>
      <c r="Q3184" s="65">
        <v>27237.144724000009</v>
      </c>
      <c r="R3184" s="65">
        <v>0</v>
      </c>
      <c r="S3184" s="65">
        <v>237.77652197099997</v>
      </c>
      <c r="T3184" s="65">
        <v>823.35940828154344</v>
      </c>
      <c r="U3184" s="58">
        <v>0</v>
      </c>
      <c r="V3184" s="65">
        <v>0</v>
      </c>
      <c r="W3184" s="65">
        <v>0</v>
      </c>
      <c r="X3184" s="65">
        <v>26999</v>
      </c>
      <c r="Y3184" s="65">
        <v>0</v>
      </c>
      <c r="Z3184" s="51">
        <v>0</v>
      </c>
      <c r="AA3184" s="51">
        <v>0</v>
      </c>
      <c r="AB3184" s="102">
        <v>0</v>
      </c>
      <c r="AC3184" s="81">
        <f t="shared" si="151"/>
        <v>102.43977038082835</v>
      </c>
      <c r="AD3184" s="82">
        <f t="shared" si="152"/>
        <v>84.171428571428564</v>
      </c>
      <c r="AE3184" s="218">
        <v>-3.022928492045792E-2</v>
      </c>
      <c r="AF3184">
        <v>6</v>
      </c>
      <c r="AH3184" t="str">
        <f t="shared" si="150"/>
        <v>Halsi</v>
      </c>
      <c r="AJ3184" s="72">
        <v>0</v>
      </c>
      <c r="AK3184" s="72"/>
      <c r="AL3184" s="72"/>
      <c r="AM3184" s="72"/>
    </row>
    <row r="3185" spans="1:39" x14ac:dyDescent="0.25">
      <c r="A3185" s="37" t="s">
        <v>62</v>
      </c>
      <c r="B3185" s="66" t="s">
        <v>1644</v>
      </c>
      <c r="C3185" s="4">
        <v>1009</v>
      </c>
      <c r="D3185" s="41" t="s">
        <v>249</v>
      </c>
      <c r="E3185" s="41">
        <v>10090041</v>
      </c>
      <c r="F3185" s="85" t="s">
        <v>272</v>
      </c>
      <c r="G3185" s="39" t="s">
        <v>635</v>
      </c>
      <c r="H3185" s="52" t="s">
        <v>99</v>
      </c>
      <c r="I3185" s="52">
        <v>269.10000000000002</v>
      </c>
      <c r="J3185" s="49">
        <v>7244.1507971670007</v>
      </c>
      <c r="K3185" s="58">
        <v>0</v>
      </c>
      <c r="L3185" s="58">
        <v>0</v>
      </c>
      <c r="M3185" s="58">
        <v>0</v>
      </c>
      <c r="N3185" s="58">
        <v>0</v>
      </c>
      <c r="O3185" s="58">
        <v>0</v>
      </c>
      <c r="P3185" s="53">
        <v>0</v>
      </c>
      <c r="Q3185" s="65">
        <v>7244.1507971670007</v>
      </c>
      <c r="R3185" s="65">
        <v>0</v>
      </c>
      <c r="S3185" s="65">
        <v>0</v>
      </c>
      <c r="T3185" s="65">
        <v>0</v>
      </c>
      <c r="U3185" s="58">
        <v>0</v>
      </c>
      <c r="V3185" s="65">
        <v>0</v>
      </c>
      <c r="W3185" s="65">
        <v>0</v>
      </c>
      <c r="X3185" s="65">
        <v>0</v>
      </c>
      <c r="Y3185" s="65">
        <v>0</v>
      </c>
      <c r="Z3185" s="51">
        <v>7244.1507971670007</v>
      </c>
      <c r="AA3185" s="51">
        <v>0</v>
      </c>
      <c r="AB3185" s="102">
        <v>0</v>
      </c>
      <c r="AC3185" s="81">
        <f t="shared" si="151"/>
        <v>231.99588097356079</v>
      </c>
      <c r="AD3185" s="82">
        <f t="shared" si="152"/>
        <v>38.442857142857143</v>
      </c>
      <c r="AE3185" s="218">
        <v>0</v>
      </c>
      <c r="AF3185">
        <v>0</v>
      </c>
      <c r="AH3185" t="str">
        <f t="shared" si="150"/>
        <v>Halsi</v>
      </c>
      <c r="AJ3185" s="72">
        <v>0</v>
      </c>
      <c r="AK3185" s="72"/>
      <c r="AL3185" s="72"/>
      <c r="AM3185" s="72"/>
    </row>
    <row r="3186" spans="1:39" x14ac:dyDescent="0.25">
      <c r="A3186" s="37" t="s">
        <v>62</v>
      </c>
      <c r="B3186" s="66" t="s">
        <v>1644</v>
      </c>
      <c r="C3186" s="4">
        <v>1009</v>
      </c>
      <c r="D3186" s="41" t="s">
        <v>249</v>
      </c>
      <c r="E3186" s="41">
        <v>10090042</v>
      </c>
      <c r="F3186" s="85" t="s">
        <v>273</v>
      </c>
      <c r="G3186" s="39" t="s">
        <v>93</v>
      </c>
      <c r="H3186" s="52" t="s">
        <v>94</v>
      </c>
      <c r="I3186" s="52">
        <v>776.60000000000014</v>
      </c>
      <c r="J3186" s="49">
        <v>33167.963397480009</v>
      </c>
      <c r="K3186" s="58">
        <v>838.94999999999993</v>
      </c>
      <c r="L3186" s="58">
        <v>34264.486363887299</v>
      </c>
      <c r="M3186" s="58">
        <v>2.6300000000000003</v>
      </c>
      <c r="N3186" s="58">
        <v>106.29903153990003</v>
      </c>
      <c r="O3186" s="58">
        <v>841.57999999999993</v>
      </c>
      <c r="P3186" s="53">
        <v>34370.7853954272</v>
      </c>
      <c r="Q3186" s="65">
        <v>33167.963397480009</v>
      </c>
      <c r="R3186" s="65">
        <v>0</v>
      </c>
      <c r="S3186" s="65">
        <v>106.29903153990003</v>
      </c>
      <c r="T3186" s="65">
        <v>1202.8219979471905</v>
      </c>
      <c r="U3186" s="58">
        <v>0</v>
      </c>
      <c r="V3186" s="65">
        <v>0</v>
      </c>
      <c r="W3186" s="65">
        <v>0</v>
      </c>
      <c r="X3186" s="65">
        <v>33062</v>
      </c>
      <c r="Y3186" s="65">
        <v>0</v>
      </c>
      <c r="Z3186" s="51">
        <v>0</v>
      </c>
      <c r="AA3186" s="51">
        <v>0</v>
      </c>
      <c r="AB3186" s="102">
        <v>0</v>
      </c>
      <c r="AC3186" s="81">
        <f t="shared" si="151"/>
        <v>0</v>
      </c>
      <c r="AD3186" s="82">
        <f t="shared" si="152"/>
        <v>0</v>
      </c>
      <c r="AE3186" s="218">
        <v>-3.6264572036960728E-2</v>
      </c>
      <c r="AF3186">
        <v>5</v>
      </c>
      <c r="AH3186" t="str">
        <f t="shared" si="150"/>
        <v>Halsi</v>
      </c>
      <c r="AJ3186" s="72">
        <v>0</v>
      </c>
      <c r="AK3186" s="72"/>
      <c r="AL3186" s="72"/>
      <c r="AM3186" s="72"/>
    </row>
    <row r="3187" spans="1:39" x14ac:dyDescent="0.25">
      <c r="A3187" s="37" t="s">
        <v>62</v>
      </c>
      <c r="B3187" s="66" t="s">
        <v>1644</v>
      </c>
      <c r="C3187" s="4">
        <v>1009</v>
      </c>
      <c r="D3187" s="41" t="s">
        <v>249</v>
      </c>
      <c r="E3187" s="41">
        <v>10090045</v>
      </c>
      <c r="F3187" s="85" t="s">
        <v>1313</v>
      </c>
      <c r="G3187" s="39" t="s">
        <v>93</v>
      </c>
      <c r="H3187" s="52" t="s">
        <v>94</v>
      </c>
      <c r="I3187" s="52">
        <v>954.9</v>
      </c>
      <c r="J3187" s="49">
        <v>40301.00865648</v>
      </c>
      <c r="K3187" s="58">
        <v>955</v>
      </c>
      <c r="L3187" s="58">
        <v>40626.668501010005</v>
      </c>
      <c r="M3187" s="58">
        <v>0</v>
      </c>
      <c r="N3187" s="58">
        <v>0</v>
      </c>
      <c r="O3187" s="58">
        <v>955</v>
      </c>
      <c r="P3187" s="53">
        <v>40626.668501010005</v>
      </c>
      <c r="Q3187" s="65">
        <v>40301.00865648</v>
      </c>
      <c r="R3187" s="65">
        <v>0</v>
      </c>
      <c r="S3187" s="65">
        <v>0</v>
      </c>
      <c r="T3187" s="65">
        <v>325.65984453000419</v>
      </c>
      <c r="U3187" s="58">
        <v>0</v>
      </c>
      <c r="V3187" s="65">
        <v>0</v>
      </c>
      <c r="W3187" s="65">
        <v>0</v>
      </c>
      <c r="X3187" s="65">
        <v>40301</v>
      </c>
      <c r="Y3187" s="65">
        <v>0</v>
      </c>
      <c r="Z3187" s="51">
        <v>0</v>
      </c>
      <c r="AA3187" s="51">
        <v>0</v>
      </c>
      <c r="AB3187" s="102">
        <v>0</v>
      </c>
      <c r="AC3187" s="81">
        <f t="shared" si="151"/>
        <v>0</v>
      </c>
      <c r="AD3187" s="82">
        <f t="shared" si="152"/>
        <v>0</v>
      </c>
      <c r="AE3187" s="218">
        <v>-8.0806871933623761E-3</v>
      </c>
      <c r="AF3187">
        <v>3</v>
      </c>
      <c r="AH3187" t="str">
        <f t="shared" si="150"/>
        <v>Halsi</v>
      </c>
      <c r="AJ3187" s="72">
        <v>0</v>
      </c>
      <c r="AK3187" s="72"/>
      <c r="AL3187" s="72"/>
      <c r="AM3187" s="72"/>
    </row>
    <row r="3188" spans="1:39" x14ac:dyDescent="0.25">
      <c r="A3188" s="37" t="s">
        <v>62</v>
      </c>
      <c r="B3188" s="66" t="s">
        <v>1644</v>
      </c>
      <c r="C3188" s="4">
        <v>1009</v>
      </c>
      <c r="D3188" s="41" t="s">
        <v>249</v>
      </c>
      <c r="E3188" s="41">
        <v>10090046</v>
      </c>
      <c r="F3188" s="85" t="s">
        <v>275</v>
      </c>
      <c r="G3188" s="39" t="s">
        <v>93</v>
      </c>
      <c r="H3188" s="52" t="s">
        <v>94</v>
      </c>
      <c r="I3188" s="52">
        <v>457.2</v>
      </c>
      <c r="J3188" s="49">
        <v>19961.466165898</v>
      </c>
      <c r="K3188" s="58">
        <v>466.37</v>
      </c>
      <c r="L3188" s="58">
        <v>19801.153837154983</v>
      </c>
      <c r="M3188" s="58">
        <v>0</v>
      </c>
      <c r="N3188" s="58">
        <v>0</v>
      </c>
      <c r="O3188" s="58">
        <v>466.37</v>
      </c>
      <c r="P3188" s="53">
        <v>19801.153837154983</v>
      </c>
      <c r="Q3188" s="65">
        <v>19801.153837154983</v>
      </c>
      <c r="R3188" s="65">
        <v>0</v>
      </c>
      <c r="S3188" s="65">
        <v>0</v>
      </c>
      <c r="T3188" s="65">
        <v>0</v>
      </c>
      <c r="U3188" s="58">
        <v>0</v>
      </c>
      <c r="V3188" s="65">
        <v>0</v>
      </c>
      <c r="W3188" s="65">
        <v>0</v>
      </c>
      <c r="X3188" s="65">
        <v>19801</v>
      </c>
      <c r="Y3188" s="65">
        <v>0</v>
      </c>
      <c r="Z3188" s="51">
        <v>0</v>
      </c>
      <c r="AA3188" s="51">
        <v>160</v>
      </c>
      <c r="AB3188" s="102">
        <v>0</v>
      </c>
      <c r="AC3188" s="81">
        <f t="shared" si="151"/>
        <v>212.01417257567951</v>
      </c>
      <c r="AD3188" s="82">
        <f t="shared" si="152"/>
        <v>65.314285714285717</v>
      </c>
      <c r="AE3188" s="218">
        <v>8.0310898713889748E-3</v>
      </c>
      <c r="AF3188">
        <v>5</v>
      </c>
      <c r="AH3188" t="str">
        <f t="shared" si="150"/>
        <v>Halsi</v>
      </c>
      <c r="AJ3188" s="72">
        <v>0</v>
      </c>
      <c r="AK3188" s="72"/>
      <c r="AL3188" s="72"/>
      <c r="AM3188" s="72"/>
    </row>
    <row r="3189" spans="1:39" x14ac:dyDescent="0.25">
      <c r="A3189" s="37" t="s">
        <v>62</v>
      </c>
      <c r="B3189" s="66" t="s">
        <v>1644</v>
      </c>
      <c r="C3189" s="4">
        <v>1009</v>
      </c>
      <c r="D3189" s="41" t="s">
        <v>249</v>
      </c>
      <c r="E3189" s="41">
        <v>10090047</v>
      </c>
      <c r="F3189" s="85" t="s">
        <v>276</v>
      </c>
      <c r="G3189" s="39" t="s">
        <v>93</v>
      </c>
      <c r="H3189" s="52" t="s">
        <v>94</v>
      </c>
      <c r="I3189" s="52">
        <v>393.70000000000005</v>
      </c>
      <c r="J3189" s="49">
        <v>17300.430053292002</v>
      </c>
      <c r="K3189" s="58">
        <v>404.8</v>
      </c>
      <c r="L3189" s="58">
        <v>16910.111409442503</v>
      </c>
      <c r="M3189" s="58">
        <v>5.95</v>
      </c>
      <c r="N3189" s="58">
        <v>273.07421932510005</v>
      </c>
      <c r="O3189" s="58">
        <v>410.75</v>
      </c>
      <c r="P3189" s="53">
        <v>17183.185628767602</v>
      </c>
      <c r="Q3189" s="65">
        <v>17183.185628767602</v>
      </c>
      <c r="R3189" s="65">
        <v>0</v>
      </c>
      <c r="S3189" s="65">
        <v>273.07421932510005</v>
      </c>
      <c r="T3189" s="65">
        <v>0</v>
      </c>
      <c r="U3189" s="58">
        <v>0</v>
      </c>
      <c r="V3189" s="65">
        <v>0</v>
      </c>
      <c r="W3189" s="65">
        <v>0</v>
      </c>
      <c r="X3189" s="65">
        <v>16910</v>
      </c>
      <c r="Y3189" s="65">
        <v>0</v>
      </c>
      <c r="Z3189" s="51">
        <v>0</v>
      </c>
      <c r="AA3189" s="51">
        <v>117</v>
      </c>
      <c r="AB3189" s="102">
        <v>0</v>
      </c>
      <c r="AC3189" s="81">
        <f t="shared" si="151"/>
        <v>269.19592203826966</v>
      </c>
      <c r="AD3189" s="82">
        <f t="shared" si="152"/>
        <v>56.242857142857147</v>
      </c>
      <c r="AE3189" s="218">
        <v>6.7769658998789303E-3</v>
      </c>
      <c r="AF3189">
        <v>8</v>
      </c>
      <c r="AH3189" t="str">
        <f t="shared" si="150"/>
        <v>Halsi</v>
      </c>
      <c r="AJ3189" s="72">
        <v>0</v>
      </c>
      <c r="AK3189" s="72"/>
      <c r="AL3189" s="72"/>
      <c r="AM3189" s="72"/>
    </row>
    <row r="3190" spans="1:39" x14ac:dyDescent="0.25">
      <c r="A3190" s="37" t="s">
        <v>62</v>
      </c>
      <c r="B3190" s="66" t="s">
        <v>1644</v>
      </c>
      <c r="C3190" s="4">
        <v>1009</v>
      </c>
      <c r="D3190" s="41" t="s">
        <v>249</v>
      </c>
      <c r="E3190" s="41">
        <v>10090049</v>
      </c>
      <c r="F3190" s="85" t="s">
        <v>277</v>
      </c>
      <c r="G3190" s="39" t="s">
        <v>93</v>
      </c>
      <c r="H3190" s="52" t="s">
        <v>94</v>
      </c>
      <c r="I3190" s="52">
        <v>721.7</v>
      </c>
      <c r="J3190" s="49">
        <v>34767.137574718705</v>
      </c>
      <c r="K3190" s="58">
        <v>721.93000000000006</v>
      </c>
      <c r="L3190" s="58">
        <v>37974.940383368499</v>
      </c>
      <c r="M3190" s="58">
        <v>5.7600000000000007</v>
      </c>
      <c r="N3190" s="58">
        <v>290.12103405570002</v>
      </c>
      <c r="O3190" s="58">
        <v>727.69</v>
      </c>
      <c r="P3190" s="53">
        <v>38265.0614174242</v>
      </c>
      <c r="Q3190" s="65">
        <v>34767.137574718705</v>
      </c>
      <c r="R3190" s="65">
        <v>0</v>
      </c>
      <c r="S3190" s="65">
        <v>290.12103405570002</v>
      </c>
      <c r="T3190" s="65">
        <v>3497.9238427054952</v>
      </c>
      <c r="U3190" s="58">
        <v>0</v>
      </c>
      <c r="V3190" s="65">
        <v>0</v>
      </c>
      <c r="W3190" s="65">
        <v>0</v>
      </c>
      <c r="X3190" s="65">
        <v>34477</v>
      </c>
      <c r="Y3190" s="65">
        <v>0</v>
      </c>
      <c r="Z3190" s="51">
        <v>0</v>
      </c>
      <c r="AA3190" s="51">
        <v>0</v>
      </c>
      <c r="AB3190" s="102">
        <v>0</v>
      </c>
      <c r="AC3190" s="81">
        <f t="shared" si="151"/>
        <v>0</v>
      </c>
      <c r="AD3190" s="82">
        <f t="shared" si="152"/>
        <v>0</v>
      </c>
      <c r="AE3190" s="218">
        <v>-0.10061006130251712</v>
      </c>
      <c r="AF3190">
        <v>10</v>
      </c>
      <c r="AH3190" t="str">
        <f t="shared" si="150"/>
        <v>Halsi</v>
      </c>
      <c r="AJ3190" s="72">
        <v>0</v>
      </c>
      <c r="AK3190" s="72"/>
      <c r="AL3190" s="72"/>
      <c r="AM3190" s="72"/>
    </row>
    <row r="3191" spans="1:39" x14ac:dyDescent="0.25">
      <c r="A3191" s="37" t="s">
        <v>62</v>
      </c>
      <c r="B3191" s="66" t="s">
        <v>1644</v>
      </c>
      <c r="C3191" s="4">
        <v>1009</v>
      </c>
      <c r="D3191" s="41" t="s">
        <v>249</v>
      </c>
      <c r="E3191" s="41">
        <v>10090052</v>
      </c>
      <c r="F3191" s="85" t="s">
        <v>278</v>
      </c>
      <c r="G3191" s="39" t="s">
        <v>93</v>
      </c>
      <c r="H3191" s="52" t="s">
        <v>94</v>
      </c>
      <c r="I3191" s="52">
        <v>924.5</v>
      </c>
      <c r="J3191" s="49">
        <v>37609.481190747007</v>
      </c>
      <c r="K3191" s="58">
        <v>884.7700000000001</v>
      </c>
      <c r="L3191" s="58">
        <v>37772.648942869106</v>
      </c>
      <c r="M3191" s="58">
        <v>18.46</v>
      </c>
      <c r="N3191" s="58">
        <v>698.23940247592407</v>
      </c>
      <c r="O3191" s="58">
        <v>903.23000000000013</v>
      </c>
      <c r="P3191" s="53">
        <v>38470.888345345033</v>
      </c>
      <c r="Q3191" s="65">
        <v>37609.481190747007</v>
      </c>
      <c r="R3191" s="65">
        <v>0</v>
      </c>
      <c r="S3191" s="65">
        <v>698.23940247592407</v>
      </c>
      <c r="T3191" s="65">
        <v>861.40715459802595</v>
      </c>
      <c r="U3191" s="58">
        <v>0</v>
      </c>
      <c r="V3191" s="65">
        <v>0</v>
      </c>
      <c r="W3191" s="65">
        <v>0</v>
      </c>
      <c r="X3191" s="65">
        <v>36911</v>
      </c>
      <c r="Y3191" s="65">
        <v>0</v>
      </c>
      <c r="Z3191" s="51">
        <v>0</v>
      </c>
      <c r="AA3191" s="51">
        <v>0</v>
      </c>
      <c r="AB3191" s="102">
        <v>0</v>
      </c>
      <c r="AC3191" s="81">
        <f t="shared" si="151"/>
        <v>0</v>
      </c>
      <c r="AD3191" s="82">
        <f t="shared" si="152"/>
        <v>0</v>
      </c>
      <c r="AE3191" s="218">
        <v>-2.2903989295389601E-2</v>
      </c>
      <c r="AF3191">
        <v>5</v>
      </c>
      <c r="AH3191" t="str">
        <f t="shared" si="150"/>
        <v>Halsi</v>
      </c>
      <c r="AJ3191" s="72">
        <v>0</v>
      </c>
      <c r="AK3191" s="72"/>
      <c r="AL3191" s="72"/>
      <c r="AM3191" s="72"/>
    </row>
    <row r="3192" spans="1:39" x14ac:dyDescent="0.25">
      <c r="A3192" s="37" t="s">
        <v>62</v>
      </c>
      <c r="B3192" s="66" t="s">
        <v>1644</v>
      </c>
      <c r="C3192" s="4">
        <v>1009</v>
      </c>
      <c r="D3192" s="41" t="s">
        <v>249</v>
      </c>
      <c r="E3192" s="41">
        <v>10090055</v>
      </c>
      <c r="F3192" s="85" t="s">
        <v>464</v>
      </c>
      <c r="G3192" s="39" t="s">
        <v>635</v>
      </c>
      <c r="H3192" s="52" t="s">
        <v>99</v>
      </c>
      <c r="I3192" s="52">
        <v>278.20000000000005</v>
      </c>
      <c r="J3192" s="49">
        <v>10099.250037729</v>
      </c>
      <c r="K3192" s="58">
        <v>0</v>
      </c>
      <c r="L3192" s="58">
        <v>0</v>
      </c>
      <c r="M3192" s="58">
        <v>0</v>
      </c>
      <c r="N3192" s="58">
        <v>0</v>
      </c>
      <c r="O3192" s="58">
        <v>0</v>
      </c>
      <c r="P3192" s="53">
        <v>0</v>
      </c>
      <c r="Q3192" s="65">
        <v>10099.250037729</v>
      </c>
      <c r="R3192" s="65">
        <v>0</v>
      </c>
      <c r="S3192" s="65">
        <v>0</v>
      </c>
      <c r="T3192" s="65">
        <v>0</v>
      </c>
      <c r="U3192" s="58">
        <v>0</v>
      </c>
      <c r="V3192" s="65">
        <v>0</v>
      </c>
      <c r="W3192" s="65">
        <v>0</v>
      </c>
      <c r="X3192" s="65">
        <v>0</v>
      </c>
      <c r="Y3192" s="65">
        <v>0</v>
      </c>
      <c r="Z3192" s="51">
        <v>10099.250037729</v>
      </c>
      <c r="AA3192" s="51">
        <v>0</v>
      </c>
      <c r="AB3192" s="102">
        <v>0</v>
      </c>
      <c r="AC3192" s="81">
        <f t="shared" si="151"/>
        <v>306.24469201395334</v>
      </c>
      <c r="AD3192" s="82">
        <f t="shared" si="152"/>
        <v>39.742857142857147</v>
      </c>
      <c r="AE3192" s="218">
        <v>0</v>
      </c>
      <c r="AF3192">
        <v>0</v>
      </c>
      <c r="AH3192" t="str">
        <f t="shared" si="150"/>
        <v>Halsi</v>
      </c>
      <c r="AJ3192" s="72">
        <v>0</v>
      </c>
      <c r="AK3192" s="72"/>
      <c r="AL3192" s="72"/>
      <c r="AM3192" s="72"/>
    </row>
    <row r="3193" spans="1:39" x14ac:dyDescent="0.25">
      <c r="A3193" s="37" t="s">
        <v>62</v>
      </c>
      <c r="B3193" s="66" t="s">
        <v>1644</v>
      </c>
      <c r="C3193" s="4">
        <v>1009</v>
      </c>
      <c r="D3193" s="41" t="s">
        <v>249</v>
      </c>
      <c r="E3193" s="41">
        <v>10090056</v>
      </c>
      <c r="F3193" s="85" t="s">
        <v>476</v>
      </c>
      <c r="G3193" s="39" t="s">
        <v>93</v>
      </c>
      <c r="H3193" s="52" t="s">
        <v>94</v>
      </c>
      <c r="I3193" s="52">
        <v>493.2</v>
      </c>
      <c r="J3193" s="49">
        <v>20129.320810140001</v>
      </c>
      <c r="K3193" s="58">
        <v>572.29999999999995</v>
      </c>
      <c r="L3193" s="58">
        <v>24079.013818053842</v>
      </c>
      <c r="M3193" s="58">
        <v>1.55</v>
      </c>
      <c r="N3193" s="58">
        <v>66.213405398000006</v>
      </c>
      <c r="O3193" s="58">
        <v>573.84999999999991</v>
      </c>
      <c r="P3193" s="53">
        <v>24145.227223451842</v>
      </c>
      <c r="Q3193" s="65">
        <v>20129.320810140001</v>
      </c>
      <c r="R3193" s="65">
        <v>0</v>
      </c>
      <c r="S3193" s="65">
        <v>66.213405398000006</v>
      </c>
      <c r="T3193" s="65">
        <v>4015.9064133118409</v>
      </c>
      <c r="U3193" s="58">
        <v>0</v>
      </c>
      <c r="V3193" s="65">
        <v>0</v>
      </c>
      <c r="W3193" s="65">
        <v>0</v>
      </c>
      <c r="X3193" s="65">
        <v>20063</v>
      </c>
      <c r="Y3193" s="65">
        <v>0</v>
      </c>
      <c r="Z3193" s="51">
        <v>0</v>
      </c>
      <c r="AA3193" s="51">
        <v>0</v>
      </c>
      <c r="AB3193" s="102">
        <v>0</v>
      </c>
      <c r="AC3193" s="81">
        <f t="shared" si="151"/>
        <v>168.8054964937937</v>
      </c>
      <c r="AD3193" s="82">
        <f t="shared" si="152"/>
        <v>70.457142857142856</v>
      </c>
      <c r="AE3193" s="218">
        <v>-0.19950531124174128</v>
      </c>
      <c r="AF3193">
        <v>4</v>
      </c>
      <c r="AH3193" t="str">
        <f t="shared" si="150"/>
        <v>Halsi</v>
      </c>
      <c r="AJ3193" s="72">
        <v>0</v>
      </c>
      <c r="AK3193" s="72"/>
      <c r="AL3193" s="72"/>
      <c r="AM3193" s="72"/>
    </row>
    <row r="3194" spans="1:39" x14ac:dyDescent="0.25">
      <c r="A3194" s="37" t="s">
        <v>62</v>
      </c>
      <c r="B3194" s="66" t="s">
        <v>1644</v>
      </c>
      <c r="C3194" s="4">
        <v>1009</v>
      </c>
      <c r="D3194" s="41" t="s">
        <v>249</v>
      </c>
      <c r="E3194" s="41">
        <v>10090058</v>
      </c>
      <c r="F3194" s="85" t="s">
        <v>526</v>
      </c>
      <c r="G3194" s="39" t="s">
        <v>93</v>
      </c>
      <c r="H3194" s="52" t="s">
        <v>94</v>
      </c>
      <c r="I3194" s="52">
        <v>1254.4999999999998</v>
      </c>
      <c r="J3194" s="49">
        <v>49173.986835206393</v>
      </c>
      <c r="K3194" s="58">
        <v>1254</v>
      </c>
      <c r="L3194" s="58">
        <v>49514.60909196001</v>
      </c>
      <c r="M3194" s="58">
        <v>0</v>
      </c>
      <c r="N3194" s="58">
        <v>0</v>
      </c>
      <c r="O3194" s="58">
        <v>1254</v>
      </c>
      <c r="P3194" s="53">
        <v>49514.60909196001</v>
      </c>
      <c r="Q3194" s="65">
        <v>49173.986835206393</v>
      </c>
      <c r="R3194" s="65">
        <v>0</v>
      </c>
      <c r="S3194" s="65">
        <v>0</v>
      </c>
      <c r="T3194" s="65">
        <v>340.62225675361697</v>
      </c>
      <c r="U3194" s="58">
        <v>0</v>
      </c>
      <c r="V3194" s="65">
        <v>0</v>
      </c>
      <c r="W3194" s="65">
        <v>0</v>
      </c>
      <c r="X3194" s="65">
        <v>49174</v>
      </c>
      <c r="Y3194" s="65">
        <v>0</v>
      </c>
      <c r="Z3194" s="51">
        <v>0</v>
      </c>
      <c r="AA3194" s="51">
        <v>0</v>
      </c>
      <c r="AB3194" s="102">
        <v>0</v>
      </c>
      <c r="AC3194" s="81">
        <f t="shared" si="151"/>
        <v>0</v>
      </c>
      <c r="AD3194" s="82">
        <f t="shared" si="152"/>
        <v>0</v>
      </c>
      <c r="AE3194" s="218">
        <v>-6.9268789999704997E-3</v>
      </c>
      <c r="AF3194">
        <v>1</v>
      </c>
      <c r="AH3194" t="str">
        <f t="shared" si="150"/>
        <v>Halsi</v>
      </c>
      <c r="AJ3194" s="72">
        <v>0</v>
      </c>
      <c r="AK3194" s="72"/>
      <c r="AL3194" s="72"/>
      <c r="AM3194" s="72"/>
    </row>
    <row r="3195" spans="1:39" x14ac:dyDescent="0.25">
      <c r="A3195" s="37" t="s">
        <v>62</v>
      </c>
      <c r="B3195" s="66" t="s">
        <v>1644</v>
      </c>
      <c r="C3195" s="4">
        <v>1009</v>
      </c>
      <c r="D3195" s="41" t="s">
        <v>249</v>
      </c>
      <c r="E3195" s="41">
        <v>10090059</v>
      </c>
      <c r="F3195" s="85" t="s">
        <v>1228</v>
      </c>
      <c r="G3195" s="39" t="s">
        <v>93</v>
      </c>
      <c r="H3195" s="52" t="s">
        <v>94</v>
      </c>
      <c r="I3195" s="52">
        <v>632.99999999999989</v>
      </c>
      <c r="J3195" s="49">
        <v>26227.593617309503</v>
      </c>
      <c r="K3195" s="58">
        <v>554.12</v>
      </c>
      <c r="L3195" s="58">
        <v>39396.447861113957</v>
      </c>
      <c r="M3195" s="58">
        <v>0</v>
      </c>
      <c r="N3195" s="58">
        <v>0</v>
      </c>
      <c r="O3195" s="58">
        <v>554.12</v>
      </c>
      <c r="P3195" s="53">
        <v>39396.447861113957</v>
      </c>
      <c r="Q3195" s="65">
        <v>26227.593617309503</v>
      </c>
      <c r="R3195" s="65">
        <v>0</v>
      </c>
      <c r="S3195" s="65">
        <v>0</v>
      </c>
      <c r="T3195" s="65">
        <v>13168.854243804453</v>
      </c>
      <c r="U3195" s="58">
        <v>0</v>
      </c>
      <c r="V3195" s="65">
        <v>0</v>
      </c>
      <c r="W3195" s="65">
        <v>0</v>
      </c>
      <c r="X3195" s="65">
        <v>26228</v>
      </c>
      <c r="Y3195" s="65">
        <v>0</v>
      </c>
      <c r="Z3195" s="51">
        <v>0</v>
      </c>
      <c r="AA3195" s="51">
        <v>0</v>
      </c>
      <c r="AB3195" s="102">
        <v>0</v>
      </c>
      <c r="AC3195" s="81">
        <f t="shared" si="151"/>
        <v>55.521288226216093</v>
      </c>
      <c r="AD3195" s="82">
        <f t="shared" si="152"/>
        <v>90.428571428571416</v>
      </c>
      <c r="AE3195" s="218">
        <v>-0.50209921794401169</v>
      </c>
      <c r="AF3195">
        <v>1</v>
      </c>
      <c r="AH3195" t="str">
        <f t="shared" ref="AH3195:AH3258" si="153">TEXT(D3195,"0000")</f>
        <v>Halsi</v>
      </c>
      <c r="AJ3195" s="72">
        <v>0</v>
      </c>
      <c r="AK3195" s="72"/>
      <c r="AL3195" s="72"/>
      <c r="AM3195" s="72"/>
    </row>
    <row r="3196" spans="1:39" x14ac:dyDescent="0.25">
      <c r="A3196" s="37" t="s">
        <v>62</v>
      </c>
      <c r="B3196" s="66" t="s">
        <v>1644</v>
      </c>
      <c r="C3196" s="4">
        <v>1009</v>
      </c>
      <c r="D3196" s="41" t="s">
        <v>249</v>
      </c>
      <c r="E3196" s="41">
        <v>10090060</v>
      </c>
      <c r="F3196" s="85" t="s">
        <v>537</v>
      </c>
      <c r="G3196" s="39" t="s">
        <v>93</v>
      </c>
      <c r="H3196" s="52" t="s">
        <v>94</v>
      </c>
      <c r="I3196" s="52">
        <v>254.50000000000003</v>
      </c>
      <c r="J3196" s="49">
        <v>10659.135035339999</v>
      </c>
      <c r="K3196" s="58">
        <v>261.10000000000002</v>
      </c>
      <c r="L3196" s="58">
        <v>11152.145469980003</v>
      </c>
      <c r="M3196" s="58">
        <v>0</v>
      </c>
      <c r="N3196" s="58">
        <v>0</v>
      </c>
      <c r="O3196" s="58">
        <v>261.10000000000002</v>
      </c>
      <c r="P3196" s="53">
        <v>11152.145469980003</v>
      </c>
      <c r="Q3196" s="65">
        <v>10659.135035339999</v>
      </c>
      <c r="R3196" s="65">
        <v>0</v>
      </c>
      <c r="S3196" s="65">
        <v>0</v>
      </c>
      <c r="T3196" s="65">
        <v>493.01043464000395</v>
      </c>
      <c r="U3196" s="58">
        <v>0</v>
      </c>
      <c r="V3196" s="65">
        <v>500</v>
      </c>
      <c r="W3196" s="65">
        <v>0</v>
      </c>
      <c r="X3196" s="65">
        <v>10159</v>
      </c>
      <c r="Y3196" s="65">
        <v>0</v>
      </c>
      <c r="Z3196" s="51">
        <v>0</v>
      </c>
      <c r="AA3196" s="51">
        <v>0</v>
      </c>
      <c r="AB3196" s="102">
        <v>0</v>
      </c>
      <c r="AC3196" s="81">
        <f t="shared" si="151"/>
        <v>373.1744328678954</v>
      </c>
      <c r="AD3196" s="82">
        <f t="shared" si="152"/>
        <v>36.357142857142861</v>
      </c>
      <c r="AE3196" s="218">
        <v>-4.6252386615372135E-2</v>
      </c>
      <c r="AF3196">
        <v>1</v>
      </c>
      <c r="AH3196" t="str">
        <f t="shared" si="153"/>
        <v>Halsi</v>
      </c>
      <c r="AJ3196" s="72">
        <v>500</v>
      </c>
      <c r="AK3196" s="72"/>
      <c r="AL3196" s="72"/>
      <c r="AM3196" s="72"/>
    </row>
    <row r="3197" spans="1:39" x14ac:dyDescent="0.25">
      <c r="A3197" s="37" t="s">
        <v>62</v>
      </c>
      <c r="B3197" s="66" t="s">
        <v>1644</v>
      </c>
      <c r="C3197" s="4">
        <v>1009</v>
      </c>
      <c r="D3197" s="41" t="s">
        <v>249</v>
      </c>
      <c r="E3197" s="41">
        <v>10090061</v>
      </c>
      <c r="F3197" s="85" t="s">
        <v>564</v>
      </c>
      <c r="G3197" s="39" t="s">
        <v>93</v>
      </c>
      <c r="H3197" s="52" t="s">
        <v>94</v>
      </c>
      <c r="I3197" s="52">
        <v>178.90000000000003</v>
      </c>
      <c r="J3197" s="49">
        <v>8531.2276383749013</v>
      </c>
      <c r="K3197" s="58">
        <v>408.08000000000004</v>
      </c>
      <c r="L3197" s="58">
        <v>18000.849169090499</v>
      </c>
      <c r="M3197" s="58">
        <v>0</v>
      </c>
      <c r="N3197" s="58">
        <v>0</v>
      </c>
      <c r="O3197" s="58">
        <v>408.08000000000004</v>
      </c>
      <c r="P3197" s="53">
        <v>18000.849169090499</v>
      </c>
      <c r="Q3197" s="65">
        <v>8531.2276383749013</v>
      </c>
      <c r="R3197" s="65">
        <v>0</v>
      </c>
      <c r="S3197" s="65">
        <v>0</v>
      </c>
      <c r="T3197" s="65">
        <v>9469.6215307155981</v>
      </c>
      <c r="U3197" s="58">
        <v>0</v>
      </c>
      <c r="V3197" s="65">
        <v>500</v>
      </c>
      <c r="W3197" s="65">
        <v>0</v>
      </c>
      <c r="X3197" s="65">
        <v>8031</v>
      </c>
      <c r="Y3197" s="65">
        <v>0</v>
      </c>
      <c r="Z3197" s="51">
        <v>0</v>
      </c>
      <c r="AA3197" s="51">
        <v>0</v>
      </c>
      <c r="AB3197" s="102">
        <v>0</v>
      </c>
      <c r="AC3197" s="81">
        <f t="shared" si="151"/>
        <v>496.99527360057675</v>
      </c>
      <c r="AD3197" s="82">
        <f t="shared" si="152"/>
        <v>25.55714285714286</v>
      </c>
      <c r="AE3197" s="218">
        <v>-1.1099951767925689</v>
      </c>
      <c r="AF3197">
        <v>3</v>
      </c>
      <c r="AH3197" t="str">
        <f t="shared" si="153"/>
        <v>Halsi</v>
      </c>
      <c r="AJ3197" s="72">
        <v>500</v>
      </c>
      <c r="AK3197" s="72"/>
      <c r="AL3197" s="72"/>
      <c r="AM3197" s="72"/>
    </row>
    <row r="3198" spans="1:39" x14ac:dyDescent="0.25">
      <c r="A3198" s="37" t="s">
        <v>62</v>
      </c>
      <c r="B3198" s="66" t="s">
        <v>1644</v>
      </c>
      <c r="C3198" s="4">
        <v>1009</v>
      </c>
      <c r="D3198" s="41" t="s">
        <v>249</v>
      </c>
      <c r="E3198" s="41">
        <v>10090063</v>
      </c>
      <c r="F3198" s="85" t="s">
        <v>588</v>
      </c>
      <c r="G3198" s="39" t="s">
        <v>93</v>
      </c>
      <c r="H3198" s="52" t="s">
        <v>94</v>
      </c>
      <c r="I3198" s="52">
        <v>149.19999999999999</v>
      </c>
      <c r="J3198" s="49">
        <v>6545.1893080200016</v>
      </c>
      <c r="K3198" s="58">
        <v>150.4</v>
      </c>
      <c r="L3198" s="58">
        <v>6600.4484876100014</v>
      </c>
      <c r="M3198" s="58">
        <v>0</v>
      </c>
      <c r="N3198" s="58">
        <v>0</v>
      </c>
      <c r="O3198" s="58">
        <v>150.4</v>
      </c>
      <c r="P3198" s="53">
        <v>6600.4484876100014</v>
      </c>
      <c r="Q3198" s="65">
        <v>6545.1893080200016</v>
      </c>
      <c r="R3198" s="65">
        <v>0</v>
      </c>
      <c r="S3198" s="65">
        <v>0</v>
      </c>
      <c r="T3198" s="65">
        <v>55.259179589999803</v>
      </c>
      <c r="U3198" s="58">
        <v>0</v>
      </c>
      <c r="V3198" s="65">
        <v>500</v>
      </c>
      <c r="W3198" s="65">
        <v>0</v>
      </c>
      <c r="X3198" s="65">
        <v>6045</v>
      </c>
      <c r="Y3198" s="65">
        <v>0</v>
      </c>
      <c r="Z3198" s="51">
        <v>0</v>
      </c>
      <c r="AA3198" s="51">
        <v>0</v>
      </c>
      <c r="AB3198" s="102">
        <v>0</v>
      </c>
      <c r="AC3198" s="81">
        <f t="shared" si="151"/>
        <v>483.25606847954651</v>
      </c>
      <c r="AD3198" s="82">
        <f t="shared" si="152"/>
        <v>21.314285714285713</v>
      </c>
      <c r="AE3198" s="218">
        <v>-8.4427167786100855E-3</v>
      </c>
      <c r="AF3198">
        <v>1</v>
      </c>
      <c r="AH3198" t="str">
        <f t="shared" si="153"/>
        <v>Halsi</v>
      </c>
      <c r="AJ3198" s="72">
        <v>500</v>
      </c>
      <c r="AK3198" s="72"/>
      <c r="AL3198" s="72"/>
      <c r="AM3198" s="72"/>
    </row>
    <row r="3199" spans="1:39" x14ac:dyDescent="0.25">
      <c r="A3199" s="37" t="s">
        <v>62</v>
      </c>
      <c r="B3199" s="66" t="s">
        <v>1644</v>
      </c>
      <c r="C3199" s="4">
        <v>1009</v>
      </c>
      <c r="D3199" s="41" t="s">
        <v>249</v>
      </c>
      <c r="E3199" s="41">
        <v>10090064</v>
      </c>
      <c r="F3199" s="85" t="s">
        <v>589</v>
      </c>
      <c r="G3199" s="39" t="s">
        <v>93</v>
      </c>
      <c r="H3199" s="52" t="s">
        <v>94</v>
      </c>
      <c r="I3199" s="52">
        <v>472.3</v>
      </c>
      <c r="J3199" s="49">
        <v>20202.225366487601</v>
      </c>
      <c r="K3199" s="58">
        <v>471.57</v>
      </c>
      <c r="L3199" s="58">
        <v>20520.480198935715</v>
      </c>
      <c r="M3199" s="58">
        <v>0</v>
      </c>
      <c r="N3199" s="58">
        <v>0</v>
      </c>
      <c r="O3199" s="58">
        <v>471.57</v>
      </c>
      <c r="P3199" s="53">
        <v>20520.480198935715</v>
      </c>
      <c r="Q3199" s="65">
        <v>20202.225366487601</v>
      </c>
      <c r="R3199" s="65">
        <v>0</v>
      </c>
      <c r="S3199" s="65">
        <v>0</v>
      </c>
      <c r="T3199" s="65">
        <v>318.25483244811403</v>
      </c>
      <c r="U3199" s="58">
        <v>0</v>
      </c>
      <c r="V3199" s="65">
        <v>0</v>
      </c>
      <c r="W3199" s="65">
        <v>0</v>
      </c>
      <c r="X3199" s="65">
        <v>20202</v>
      </c>
      <c r="Y3199" s="65">
        <v>0</v>
      </c>
      <c r="Z3199" s="51">
        <v>0</v>
      </c>
      <c r="AA3199" s="51">
        <v>0</v>
      </c>
      <c r="AB3199" s="102">
        <v>0</v>
      </c>
      <c r="AC3199" s="81">
        <f t="shared" si="151"/>
        <v>194.79342434678071</v>
      </c>
      <c r="AD3199" s="82">
        <f t="shared" si="152"/>
        <v>67.471428571428575</v>
      </c>
      <c r="AE3199" s="218">
        <v>-1.5753454219753934E-2</v>
      </c>
      <c r="AF3199">
        <v>1</v>
      </c>
      <c r="AH3199" t="str">
        <f t="shared" si="153"/>
        <v>Halsi</v>
      </c>
      <c r="AJ3199" s="72">
        <v>0</v>
      </c>
      <c r="AK3199" s="72"/>
      <c r="AL3199" s="72"/>
      <c r="AM3199" s="72"/>
    </row>
    <row r="3200" spans="1:39" x14ac:dyDescent="0.25">
      <c r="A3200" s="37" t="s">
        <v>62</v>
      </c>
      <c r="B3200" s="66" t="s">
        <v>1644</v>
      </c>
      <c r="C3200" s="4">
        <v>1009</v>
      </c>
      <c r="D3200" s="41" t="s">
        <v>249</v>
      </c>
      <c r="E3200" s="41">
        <v>10090065</v>
      </c>
      <c r="F3200" s="85" t="s">
        <v>666</v>
      </c>
      <c r="G3200" s="39" t="s">
        <v>93</v>
      </c>
      <c r="H3200" s="52" t="s">
        <v>94</v>
      </c>
      <c r="I3200" s="52">
        <v>532.29999999999995</v>
      </c>
      <c r="J3200" s="49">
        <v>21101.089285546008</v>
      </c>
      <c r="K3200" s="58">
        <v>543.55000000000007</v>
      </c>
      <c r="L3200" s="58">
        <v>22413.46783440838</v>
      </c>
      <c r="M3200" s="58">
        <v>0</v>
      </c>
      <c r="N3200" s="58">
        <v>0</v>
      </c>
      <c r="O3200" s="58">
        <v>543.55000000000007</v>
      </c>
      <c r="P3200" s="53">
        <v>22413.46783440838</v>
      </c>
      <c r="Q3200" s="65">
        <v>21101.089285546008</v>
      </c>
      <c r="R3200" s="65">
        <v>0</v>
      </c>
      <c r="S3200" s="65">
        <v>0</v>
      </c>
      <c r="T3200" s="65">
        <v>1312.3785488623726</v>
      </c>
      <c r="U3200" s="58">
        <v>0</v>
      </c>
      <c r="V3200" s="65">
        <v>0</v>
      </c>
      <c r="W3200" s="65">
        <v>0</v>
      </c>
      <c r="X3200" s="65">
        <v>21101</v>
      </c>
      <c r="Y3200" s="65">
        <v>0</v>
      </c>
      <c r="Z3200" s="51">
        <v>0</v>
      </c>
      <c r="AA3200" s="51">
        <v>0</v>
      </c>
      <c r="AB3200" s="102">
        <v>0</v>
      </c>
      <c r="AC3200" s="81">
        <f t="shared" si="151"/>
        <v>132.95707958617578</v>
      </c>
      <c r="AD3200" s="82">
        <f t="shared" si="152"/>
        <v>76.04285714285713</v>
      </c>
      <c r="AE3200" s="218">
        <v>-6.2194824689042763E-2</v>
      </c>
      <c r="AF3200">
        <v>2</v>
      </c>
      <c r="AH3200" t="str">
        <f t="shared" si="153"/>
        <v>Halsi</v>
      </c>
      <c r="AJ3200" s="72">
        <v>0</v>
      </c>
      <c r="AK3200" s="72"/>
      <c r="AL3200" s="72"/>
      <c r="AM3200" s="72"/>
    </row>
    <row r="3201" spans="1:39" x14ac:dyDescent="0.25">
      <c r="A3201" s="37" t="s">
        <v>62</v>
      </c>
      <c r="B3201" s="66" t="s">
        <v>1644</v>
      </c>
      <c r="C3201" s="4">
        <v>1009</v>
      </c>
      <c r="D3201" s="41" t="s">
        <v>249</v>
      </c>
      <c r="E3201" s="41">
        <v>10090072</v>
      </c>
      <c r="F3201" s="85" t="s">
        <v>1294</v>
      </c>
      <c r="G3201" s="39" t="s">
        <v>93</v>
      </c>
      <c r="H3201" s="52" t="s">
        <v>94</v>
      </c>
      <c r="I3201" s="52">
        <v>429.00000000000011</v>
      </c>
      <c r="J3201" s="49">
        <v>16766.299238531999</v>
      </c>
      <c r="K3201" s="58">
        <v>485.97</v>
      </c>
      <c r="L3201" s="58">
        <v>19178.545466529002</v>
      </c>
      <c r="M3201" s="58">
        <v>0</v>
      </c>
      <c r="N3201" s="58">
        <v>0</v>
      </c>
      <c r="O3201" s="58">
        <v>485.97</v>
      </c>
      <c r="P3201" s="53">
        <v>19178.545466529002</v>
      </c>
      <c r="Q3201" s="65">
        <v>16766.299238531999</v>
      </c>
      <c r="R3201" s="65">
        <v>0</v>
      </c>
      <c r="S3201" s="65">
        <v>0</v>
      </c>
      <c r="T3201" s="65">
        <v>2412.2462279970023</v>
      </c>
      <c r="U3201" s="58">
        <v>0</v>
      </c>
      <c r="V3201" s="65">
        <v>0</v>
      </c>
      <c r="W3201" s="65">
        <v>0</v>
      </c>
      <c r="X3201" s="65">
        <v>16766</v>
      </c>
      <c r="Y3201" s="65">
        <v>0</v>
      </c>
      <c r="Z3201" s="51">
        <v>0</v>
      </c>
      <c r="AA3201" s="51">
        <v>0</v>
      </c>
      <c r="AB3201" s="102">
        <v>0</v>
      </c>
      <c r="AC3201" s="81">
        <f t="shared" ref="AC3201:AC3264" si="154">((IF(AD3201=0,0,100-AD3201))*7*(J3201/I3201))*2%</f>
        <v>211.82597173156967</v>
      </c>
      <c r="AD3201" s="82">
        <f t="shared" ref="AD3201:AD3264" si="155">IF((I3201/7)&gt;100,0,(I3201/7))</f>
        <v>61.285714285714299</v>
      </c>
      <c r="AE3201" s="218">
        <v>-0.14387469731264385</v>
      </c>
      <c r="AF3201">
        <v>2</v>
      </c>
      <c r="AH3201" t="str">
        <f t="shared" si="153"/>
        <v>Halsi</v>
      </c>
      <c r="AJ3201" s="72">
        <v>0</v>
      </c>
      <c r="AK3201" s="72"/>
      <c r="AL3201" s="72"/>
      <c r="AM3201" s="72"/>
    </row>
    <row r="3202" spans="1:39" x14ac:dyDescent="0.25">
      <c r="A3202" s="37" t="s">
        <v>62</v>
      </c>
      <c r="B3202" s="66" t="s">
        <v>1644</v>
      </c>
      <c r="C3202" s="4">
        <v>1009</v>
      </c>
      <c r="D3202" s="41" t="s">
        <v>249</v>
      </c>
      <c r="E3202" s="41">
        <v>10090074</v>
      </c>
      <c r="F3202" s="85" t="s">
        <v>1314</v>
      </c>
      <c r="G3202" s="39" t="s">
        <v>93</v>
      </c>
      <c r="H3202" s="52" t="s">
        <v>94</v>
      </c>
      <c r="I3202" s="52">
        <v>377</v>
      </c>
      <c r="J3202" s="49">
        <v>15313.436132777002</v>
      </c>
      <c r="K3202" s="58">
        <v>387.05000000000007</v>
      </c>
      <c r="L3202" s="58">
        <v>16312.875794585023</v>
      </c>
      <c r="M3202" s="58">
        <v>0</v>
      </c>
      <c r="N3202" s="58">
        <v>0</v>
      </c>
      <c r="O3202" s="58">
        <v>387.05000000000007</v>
      </c>
      <c r="P3202" s="53">
        <v>16312.875794585023</v>
      </c>
      <c r="Q3202" s="65">
        <v>15313.436132777002</v>
      </c>
      <c r="R3202" s="65">
        <v>0</v>
      </c>
      <c r="S3202" s="65">
        <v>0</v>
      </c>
      <c r="T3202" s="65">
        <v>999.4396618080209</v>
      </c>
      <c r="U3202" s="58">
        <v>0</v>
      </c>
      <c r="V3202" s="65">
        <v>0</v>
      </c>
      <c r="W3202" s="65">
        <v>0</v>
      </c>
      <c r="X3202" s="65">
        <v>15313</v>
      </c>
      <c r="Y3202" s="65">
        <v>0</v>
      </c>
      <c r="Z3202" s="51">
        <v>0</v>
      </c>
      <c r="AA3202" s="51">
        <v>0</v>
      </c>
      <c r="AB3202" s="102">
        <v>0</v>
      </c>
      <c r="AC3202" s="81">
        <f t="shared" si="154"/>
        <v>262.3999931505025</v>
      </c>
      <c r="AD3202" s="82">
        <f t="shared" si="155"/>
        <v>53.857142857142854</v>
      </c>
      <c r="AE3202" s="218">
        <v>-6.5265538912511745E-2</v>
      </c>
      <c r="AF3202">
        <v>3</v>
      </c>
      <c r="AH3202" t="str">
        <f t="shared" si="153"/>
        <v>Halsi</v>
      </c>
      <c r="AJ3202" s="72">
        <v>0</v>
      </c>
      <c r="AK3202" s="72"/>
      <c r="AL3202" s="72"/>
      <c r="AM3202" s="72"/>
    </row>
    <row r="3203" spans="1:39" x14ac:dyDescent="0.25">
      <c r="A3203" s="37" t="s">
        <v>62</v>
      </c>
      <c r="B3203" s="66" t="s">
        <v>1644</v>
      </c>
      <c r="C3203" s="4">
        <v>1009</v>
      </c>
      <c r="D3203" s="41" t="s">
        <v>249</v>
      </c>
      <c r="E3203" s="41">
        <v>10090075</v>
      </c>
      <c r="F3203" s="85" t="s">
        <v>1326</v>
      </c>
      <c r="G3203" s="39" t="s">
        <v>93</v>
      </c>
      <c r="H3203" s="52" t="s">
        <v>94</v>
      </c>
      <c r="I3203" s="52">
        <v>712.40000000000009</v>
      </c>
      <c r="J3203" s="49">
        <v>29068.364298721503</v>
      </c>
      <c r="K3203" s="58">
        <v>777.4799999999999</v>
      </c>
      <c r="L3203" s="58">
        <v>33770.9094229818</v>
      </c>
      <c r="M3203" s="58">
        <v>0</v>
      </c>
      <c r="N3203" s="58">
        <v>0</v>
      </c>
      <c r="O3203" s="58">
        <v>777.4799999999999</v>
      </c>
      <c r="P3203" s="53">
        <v>33770.9094229818</v>
      </c>
      <c r="Q3203" s="65">
        <v>29068.364298721503</v>
      </c>
      <c r="R3203" s="65">
        <v>0</v>
      </c>
      <c r="S3203" s="65">
        <v>0</v>
      </c>
      <c r="T3203" s="65">
        <v>4702.5451242602976</v>
      </c>
      <c r="U3203" s="58">
        <v>0</v>
      </c>
      <c r="V3203" s="65">
        <v>0</v>
      </c>
      <c r="W3203" s="65">
        <v>0</v>
      </c>
      <c r="X3203" s="65">
        <v>29068</v>
      </c>
      <c r="Y3203" s="65">
        <v>0</v>
      </c>
      <c r="Z3203" s="51">
        <v>0</v>
      </c>
      <c r="AA3203" s="51">
        <v>0</v>
      </c>
      <c r="AB3203" s="102">
        <v>0</v>
      </c>
      <c r="AC3203" s="81">
        <f t="shared" si="154"/>
        <v>0</v>
      </c>
      <c r="AD3203" s="82">
        <f t="shared" si="155"/>
        <v>0</v>
      </c>
      <c r="AE3203" s="218">
        <v>-0.16177536086772956</v>
      </c>
      <c r="AF3203">
        <v>1</v>
      </c>
      <c r="AH3203" t="str">
        <f t="shared" si="153"/>
        <v>Halsi</v>
      </c>
      <c r="AJ3203" s="72">
        <v>0</v>
      </c>
      <c r="AK3203" s="72"/>
      <c r="AL3203" s="72"/>
      <c r="AM3203" s="72"/>
    </row>
    <row r="3204" spans="1:39" x14ac:dyDescent="0.25">
      <c r="A3204" s="37" t="s">
        <v>62</v>
      </c>
      <c r="B3204" s="66" t="s">
        <v>1644</v>
      </c>
      <c r="C3204" s="4">
        <v>1009</v>
      </c>
      <c r="D3204" s="41" t="s">
        <v>249</v>
      </c>
      <c r="E3204" s="41">
        <v>10090076</v>
      </c>
      <c r="F3204" s="85" t="s">
        <v>1335</v>
      </c>
      <c r="G3204" s="39" t="s">
        <v>635</v>
      </c>
      <c r="H3204" s="52" t="s">
        <v>99</v>
      </c>
      <c r="I3204" s="52">
        <v>16000</v>
      </c>
      <c r="J3204" s="49">
        <v>645303.02009999985</v>
      </c>
      <c r="K3204" s="58">
        <v>0</v>
      </c>
      <c r="L3204" s="58">
        <v>0</v>
      </c>
      <c r="M3204" s="58">
        <v>0</v>
      </c>
      <c r="N3204" s="58">
        <v>0</v>
      </c>
      <c r="O3204" s="58">
        <v>0</v>
      </c>
      <c r="P3204" s="53">
        <v>0</v>
      </c>
      <c r="Q3204" s="65">
        <v>645303.02009999985</v>
      </c>
      <c r="R3204" s="65">
        <v>0</v>
      </c>
      <c r="S3204" s="65">
        <v>0</v>
      </c>
      <c r="T3204" s="65">
        <v>0</v>
      </c>
      <c r="U3204" s="58">
        <v>0</v>
      </c>
      <c r="V3204" s="65">
        <v>0</v>
      </c>
      <c r="W3204" s="65">
        <v>0</v>
      </c>
      <c r="X3204" s="65">
        <v>0</v>
      </c>
      <c r="Y3204" s="65">
        <v>0</v>
      </c>
      <c r="Z3204" s="51">
        <v>645303.02009999985</v>
      </c>
      <c r="AA3204" s="51">
        <v>0</v>
      </c>
      <c r="AB3204" s="102">
        <v>0</v>
      </c>
      <c r="AC3204" s="81">
        <f t="shared" si="154"/>
        <v>0</v>
      </c>
      <c r="AD3204" s="82">
        <f t="shared" si="155"/>
        <v>0</v>
      </c>
      <c r="AE3204" s="218">
        <v>0</v>
      </c>
      <c r="AF3204">
        <v>0</v>
      </c>
      <c r="AH3204" t="str">
        <f t="shared" si="153"/>
        <v>Halsi</v>
      </c>
      <c r="AJ3204" s="72">
        <v>0</v>
      </c>
      <c r="AK3204" s="72"/>
      <c r="AL3204" s="72"/>
      <c r="AM3204" s="72"/>
    </row>
    <row r="3205" spans="1:39" x14ac:dyDescent="0.25">
      <c r="A3205" s="37" t="s">
        <v>62</v>
      </c>
      <c r="B3205" s="66" t="s">
        <v>1644</v>
      </c>
      <c r="C3205" s="4">
        <v>1009</v>
      </c>
      <c r="D3205" s="41" t="s">
        <v>249</v>
      </c>
      <c r="E3205" s="41">
        <v>10090077</v>
      </c>
      <c r="F3205" s="85" t="s">
        <v>1336</v>
      </c>
      <c r="G3205" s="39" t="s">
        <v>635</v>
      </c>
      <c r="H3205" s="52" t="s">
        <v>99</v>
      </c>
      <c r="I3205" s="52">
        <v>16500</v>
      </c>
      <c r="J3205" s="49">
        <v>662032.58235000004</v>
      </c>
      <c r="K3205" s="58">
        <v>0</v>
      </c>
      <c r="L3205" s="58">
        <v>0</v>
      </c>
      <c r="M3205" s="58">
        <v>0</v>
      </c>
      <c r="N3205" s="58">
        <v>0</v>
      </c>
      <c r="O3205" s="58">
        <v>0</v>
      </c>
      <c r="P3205" s="53">
        <v>0</v>
      </c>
      <c r="Q3205" s="65">
        <v>662032.58235000004</v>
      </c>
      <c r="R3205" s="65">
        <v>0</v>
      </c>
      <c r="S3205" s="65">
        <v>0</v>
      </c>
      <c r="T3205" s="65">
        <v>0</v>
      </c>
      <c r="U3205" s="58">
        <v>0</v>
      </c>
      <c r="V3205" s="65">
        <v>0</v>
      </c>
      <c r="W3205" s="65">
        <v>0</v>
      </c>
      <c r="X3205" s="65">
        <v>0</v>
      </c>
      <c r="Y3205" s="65">
        <v>0</v>
      </c>
      <c r="Z3205" s="51">
        <v>662032.58235000004</v>
      </c>
      <c r="AA3205" s="51">
        <v>0</v>
      </c>
      <c r="AB3205" s="102">
        <v>0</v>
      </c>
      <c r="AC3205" s="81">
        <f t="shared" si="154"/>
        <v>0</v>
      </c>
      <c r="AD3205" s="82">
        <f t="shared" si="155"/>
        <v>0</v>
      </c>
      <c r="AE3205" s="218">
        <v>0</v>
      </c>
      <c r="AF3205">
        <v>0</v>
      </c>
      <c r="AH3205" t="str">
        <f t="shared" si="153"/>
        <v>Halsi</v>
      </c>
      <c r="AJ3205" s="72">
        <v>0</v>
      </c>
      <c r="AK3205" s="72"/>
      <c r="AL3205" s="72"/>
      <c r="AM3205" s="72"/>
    </row>
    <row r="3206" spans="1:39" x14ac:dyDescent="0.25">
      <c r="A3206" s="37" t="s">
        <v>62</v>
      </c>
      <c r="B3206" s="66" t="s">
        <v>1644</v>
      </c>
      <c r="C3206" s="4">
        <v>1009</v>
      </c>
      <c r="D3206" s="41" t="s">
        <v>249</v>
      </c>
      <c r="E3206" s="41">
        <v>10090078</v>
      </c>
      <c r="F3206" s="85" t="s">
        <v>1365</v>
      </c>
      <c r="G3206" s="39" t="s">
        <v>93</v>
      </c>
      <c r="H3206" s="52" t="s">
        <v>94</v>
      </c>
      <c r="I3206" s="52">
        <v>325.39999999999998</v>
      </c>
      <c r="J3206" s="49">
        <v>12577.413440448003</v>
      </c>
      <c r="K3206" s="58">
        <v>336.40000000000003</v>
      </c>
      <c r="L3206" s="58">
        <v>13339.7235858</v>
      </c>
      <c r="M3206" s="58">
        <v>0</v>
      </c>
      <c r="N3206" s="58">
        <v>0</v>
      </c>
      <c r="O3206" s="58">
        <v>336.40000000000003</v>
      </c>
      <c r="P3206" s="53">
        <v>13339.7235858</v>
      </c>
      <c r="Q3206" s="65">
        <v>12577.413440448003</v>
      </c>
      <c r="R3206" s="65">
        <v>0</v>
      </c>
      <c r="S3206" s="65">
        <v>0</v>
      </c>
      <c r="T3206" s="65">
        <v>762.31014535199756</v>
      </c>
      <c r="U3206" s="58">
        <v>0</v>
      </c>
      <c r="V3206" s="65">
        <v>0</v>
      </c>
      <c r="W3206" s="65">
        <v>0</v>
      </c>
      <c r="X3206" s="65">
        <v>12577</v>
      </c>
      <c r="Y3206" s="65">
        <v>0</v>
      </c>
      <c r="Z3206" s="51">
        <v>0</v>
      </c>
      <c r="AA3206" s="51">
        <v>0</v>
      </c>
      <c r="AB3206" s="102">
        <v>0</v>
      </c>
      <c r="AC3206" s="81">
        <f t="shared" si="154"/>
        <v>289.58199599212185</v>
      </c>
      <c r="AD3206" s="82">
        <f t="shared" si="155"/>
        <v>46.48571428571428</v>
      </c>
      <c r="AE3206" s="218">
        <v>-6.0609452727415816E-2</v>
      </c>
      <c r="AF3206">
        <v>1</v>
      </c>
      <c r="AH3206" t="str">
        <f t="shared" si="153"/>
        <v>Halsi</v>
      </c>
      <c r="AJ3206" s="72">
        <v>0</v>
      </c>
      <c r="AK3206" s="72"/>
      <c r="AL3206" s="72"/>
      <c r="AM3206" s="72"/>
    </row>
    <row r="3207" spans="1:39" x14ac:dyDescent="0.25">
      <c r="A3207" s="37" t="s">
        <v>62</v>
      </c>
      <c r="B3207" s="66" t="s">
        <v>1644</v>
      </c>
      <c r="C3207" s="4">
        <v>1009</v>
      </c>
      <c r="D3207" s="41" t="s">
        <v>249</v>
      </c>
      <c r="E3207" s="41">
        <v>10090079</v>
      </c>
      <c r="F3207" s="85" t="s">
        <v>1493</v>
      </c>
      <c r="G3207" s="39" t="s">
        <v>93</v>
      </c>
      <c r="H3207" s="52" t="s">
        <v>94</v>
      </c>
      <c r="I3207" s="52">
        <v>208.7</v>
      </c>
      <c r="J3207" s="49">
        <v>8364.0382796100021</v>
      </c>
      <c r="K3207" s="58">
        <v>220.4</v>
      </c>
      <c r="L3207" s="58">
        <v>9000.4849795500013</v>
      </c>
      <c r="M3207" s="58">
        <v>0</v>
      </c>
      <c r="N3207" s="58">
        <v>0</v>
      </c>
      <c r="O3207" s="58">
        <v>220.4</v>
      </c>
      <c r="P3207" s="53">
        <v>9000.4849795500013</v>
      </c>
      <c r="Q3207" s="65">
        <v>8364.0382796100021</v>
      </c>
      <c r="R3207" s="65">
        <v>0</v>
      </c>
      <c r="S3207" s="65">
        <v>0</v>
      </c>
      <c r="T3207" s="65">
        <v>636.44669993999923</v>
      </c>
      <c r="U3207" s="58">
        <v>0</v>
      </c>
      <c r="V3207" s="65">
        <v>0</v>
      </c>
      <c r="W3207" s="65">
        <v>0</v>
      </c>
      <c r="X3207" s="65">
        <v>8364</v>
      </c>
      <c r="Y3207" s="65">
        <v>0</v>
      </c>
      <c r="Z3207" s="51">
        <v>0</v>
      </c>
      <c r="AA3207" s="51">
        <v>0</v>
      </c>
      <c r="AB3207" s="102">
        <v>0</v>
      </c>
      <c r="AC3207" s="81">
        <f t="shared" si="154"/>
        <v>393.79511325082836</v>
      </c>
      <c r="AD3207" s="82">
        <f t="shared" si="155"/>
        <v>29.814285714285713</v>
      </c>
      <c r="AE3207" s="218">
        <v>-7.6093231363077343E-2</v>
      </c>
      <c r="AF3207">
        <v>1</v>
      </c>
      <c r="AH3207" t="str">
        <f t="shared" si="153"/>
        <v>Halsi</v>
      </c>
      <c r="AJ3207" s="72">
        <v>0</v>
      </c>
      <c r="AK3207" s="72"/>
      <c r="AL3207" s="72"/>
      <c r="AM3207" s="72"/>
    </row>
    <row r="3208" spans="1:39" x14ac:dyDescent="0.25">
      <c r="A3208" s="37" t="s">
        <v>62</v>
      </c>
      <c r="B3208" s="66" t="s">
        <v>1644</v>
      </c>
      <c r="C3208" s="4">
        <v>1009</v>
      </c>
      <c r="D3208" s="41" t="s">
        <v>249</v>
      </c>
      <c r="E3208" s="41">
        <v>10090080</v>
      </c>
      <c r="F3208" s="85" t="s">
        <v>1580</v>
      </c>
      <c r="G3208" s="39" t="s">
        <v>93</v>
      </c>
      <c r="H3208" s="52" t="s">
        <v>94</v>
      </c>
      <c r="I3208" s="52">
        <v>413.70000000000005</v>
      </c>
      <c r="J3208" s="49">
        <v>19400.011296831599</v>
      </c>
      <c r="K3208" s="58">
        <v>413.7</v>
      </c>
      <c r="L3208" s="58">
        <v>18845.062650313201</v>
      </c>
      <c r="M3208" s="58">
        <v>0</v>
      </c>
      <c r="N3208" s="58">
        <v>0</v>
      </c>
      <c r="O3208" s="58">
        <v>413.7</v>
      </c>
      <c r="P3208" s="53">
        <v>18845.062650313201</v>
      </c>
      <c r="Q3208" s="65">
        <v>18845.062650313201</v>
      </c>
      <c r="R3208" s="65">
        <v>0</v>
      </c>
      <c r="S3208" s="65">
        <v>0</v>
      </c>
      <c r="T3208" s="65">
        <v>0</v>
      </c>
      <c r="U3208" s="58">
        <v>0</v>
      </c>
      <c r="V3208" s="65">
        <v>0</v>
      </c>
      <c r="W3208" s="65">
        <v>0</v>
      </c>
      <c r="X3208" s="65">
        <v>18845</v>
      </c>
      <c r="Y3208" s="65">
        <v>0</v>
      </c>
      <c r="Z3208" s="51">
        <v>0</v>
      </c>
      <c r="AA3208" s="51">
        <v>555</v>
      </c>
      <c r="AB3208" s="102">
        <v>0</v>
      </c>
      <c r="AC3208" s="81">
        <f t="shared" si="154"/>
        <v>268.5145387615608</v>
      </c>
      <c r="AD3208" s="82">
        <f t="shared" si="155"/>
        <v>59.100000000000009</v>
      </c>
      <c r="AE3208" s="218">
        <v>2.8605583678656524E-2</v>
      </c>
      <c r="AF3208">
        <v>1</v>
      </c>
      <c r="AH3208" t="str">
        <f t="shared" si="153"/>
        <v>Halsi</v>
      </c>
      <c r="AJ3208" s="72">
        <v>0</v>
      </c>
      <c r="AK3208" s="72"/>
      <c r="AL3208" s="72"/>
      <c r="AM3208" s="72"/>
    </row>
    <row r="3209" spans="1:39" x14ac:dyDescent="0.25">
      <c r="A3209" s="37" t="s">
        <v>62</v>
      </c>
      <c r="B3209" s="66" t="s">
        <v>1644</v>
      </c>
      <c r="C3209" s="4">
        <v>1010</v>
      </c>
      <c r="D3209" s="41" t="s">
        <v>1359</v>
      </c>
      <c r="E3209" s="41">
        <v>10100001</v>
      </c>
      <c r="F3209" s="85" t="s">
        <v>620</v>
      </c>
      <c r="G3209" s="39" t="s">
        <v>93</v>
      </c>
      <c r="H3209" s="52" t="s">
        <v>94</v>
      </c>
      <c r="I3209" s="52">
        <v>763.40000000000009</v>
      </c>
      <c r="J3209" s="49">
        <v>28995.594898320003</v>
      </c>
      <c r="K3209" s="58">
        <v>787.75</v>
      </c>
      <c r="L3209" s="58">
        <v>30962.626512275554</v>
      </c>
      <c r="M3209" s="58">
        <v>6.13</v>
      </c>
      <c r="N3209" s="58">
        <v>237.96160507200003</v>
      </c>
      <c r="O3209" s="58">
        <v>793.88</v>
      </c>
      <c r="P3209" s="53">
        <v>31200.588117347554</v>
      </c>
      <c r="Q3209" s="65">
        <v>28995.594898320003</v>
      </c>
      <c r="R3209" s="65">
        <v>0</v>
      </c>
      <c r="S3209" s="65">
        <v>237.96160507200003</v>
      </c>
      <c r="T3209" s="65">
        <v>2204.9932190275504</v>
      </c>
      <c r="U3209" s="58">
        <v>0</v>
      </c>
      <c r="V3209" s="65">
        <v>0</v>
      </c>
      <c r="W3209" s="65">
        <v>0</v>
      </c>
      <c r="X3209" s="65">
        <v>28758</v>
      </c>
      <c r="Y3209" s="65">
        <v>0</v>
      </c>
      <c r="Z3209" s="51">
        <v>0</v>
      </c>
      <c r="AA3209" s="51">
        <v>0</v>
      </c>
      <c r="AB3209" s="102" t="s">
        <v>68</v>
      </c>
      <c r="AC3209" s="81">
        <f t="shared" si="154"/>
        <v>0</v>
      </c>
      <c r="AD3209" s="82">
        <f t="shared" si="155"/>
        <v>0</v>
      </c>
      <c r="AE3209" s="218">
        <v>-7.604580029345448E-2</v>
      </c>
      <c r="AF3209">
        <v>9</v>
      </c>
      <c r="AH3209" t="str">
        <f t="shared" si="153"/>
        <v>Parbatta</v>
      </c>
      <c r="AJ3209" s="72">
        <v>0</v>
      </c>
      <c r="AK3209" s="72"/>
      <c r="AL3209" s="72"/>
      <c r="AM3209" s="72"/>
    </row>
    <row r="3210" spans="1:39" x14ac:dyDescent="0.25">
      <c r="A3210" s="37" t="s">
        <v>62</v>
      </c>
      <c r="B3210" s="66" t="s">
        <v>1644</v>
      </c>
      <c r="C3210" s="4">
        <v>1010</v>
      </c>
      <c r="D3210" s="41" t="s">
        <v>1359</v>
      </c>
      <c r="E3210" s="41">
        <v>10100003</v>
      </c>
      <c r="F3210" s="85" t="s">
        <v>279</v>
      </c>
      <c r="G3210" s="39" t="s">
        <v>93</v>
      </c>
      <c r="H3210" s="52" t="s">
        <v>94</v>
      </c>
      <c r="I3210" s="52">
        <v>1857.5000000000002</v>
      </c>
      <c r="J3210" s="49">
        <v>72231.817841117198</v>
      </c>
      <c r="K3210" s="58">
        <v>1887.7</v>
      </c>
      <c r="L3210" s="58">
        <v>81442.834219145705</v>
      </c>
      <c r="M3210" s="58">
        <v>7</v>
      </c>
      <c r="N3210" s="58">
        <v>327.94029099449995</v>
      </c>
      <c r="O3210" s="58">
        <v>1894.7</v>
      </c>
      <c r="P3210" s="53">
        <v>81770.774510140211</v>
      </c>
      <c r="Q3210" s="65">
        <v>72231.817841117198</v>
      </c>
      <c r="R3210" s="65">
        <v>0</v>
      </c>
      <c r="S3210" s="65">
        <v>327.94029099449995</v>
      </c>
      <c r="T3210" s="65">
        <v>9538.9566690230131</v>
      </c>
      <c r="U3210" s="58">
        <v>0</v>
      </c>
      <c r="V3210" s="65">
        <v>0</v>
      </c>
      <c r="W3210" s="65">
        <v>0</v>
      </c>
      <c r="X3210" s="65">
        <v>71904</v>
      </c>
      <c r="Y3210" s="65">
        <v>0</v>
      </c>
      <c r="Z3210" s="51">
        <v>0</v>
      </c>
      <c r="AA3210" s="51">
        <v>0</v>
      </c>
      <c r="AB3210" s="102">
        <v>0</v>
      </c>
      <c r="AC3210" s="81">
        <f t="shared" si="154"/>
        <v>0</v>
      </c>
      <c r="AD3210" s="82">
        <f t="shared" si="155"/>
        <v>0</v>
      </c>
      <c r="AE3210" s="218">
        <v>-0.13206031571855392</v>
      </c>
      <c r="AF3210">
        <v>5</v>
      </c>
      <c r="AH3210" t="str">
        <f t="shared" si="153"/>
        <v>Parbatta</v>
      </c>
      <c r="AJ3210" s="72">
        <v>0</v>
      </c>
      <c r="AK3210" s="72"/>
      <c r="AL3210" s="72"/>
      <c r="AM3210" s="72"/>
    </row>
    <row r="3211" spans="1:39" x14ac:dyDescent="0.25">
      <c r="A3211" s="37" t="s">
        <v>62</v>
      </c>
      <c r="B3211" s="66" t="s">
        <v>1644</v>
      </c>
      <c r="C3211" s="4">
        <v>1010</v>
      </c>
      <c r="D3211" s="41" t="s">
        <v>1359</v>
      </c>
      <c r="E3211" s="41">
        <v>10100004</v>
      </c>
      <c r="F3211" s="85" t="s">
        <v>280</v>
      </c>
      <c r="G3211" s="39" t="s">
        <v>635</v>
      </c>
      <c r="H3211" s="52" t="s">
        <v>99</v>
      </c>
      <c r="I3211" s="52">
        <v>123.3</v>
      </c>
      <c r="J3211" s="49">
        <v>4047.4852354560007</v>
      </c>
      <c r="K3211" s="58">
        <v>0</v>
      </c>
      <c r="L3211" s="58">
        <v>0</v>
      </c>
      <c r="M3211" s="58">
        <v>0</v>
      </c>
      <c r="N3211" s="58">
        <v>0</v>
      </c>
      <c r="O3211" s="58">
        <v>0</v>
      </c>
      <c r="P3211" s="53">
        <v>0</v>
      </c>
      <c r="Q3211" s="65">
        <v>4047.4852354560007</v>
      </c>
      <c r="R3211" s="65">
        <v>0</v>
      </c>
      <c r="S3211" s="65">
        <v>0</v>
      </c>
      <c r="T3211" s="65">
        <v>0</v>
      </c>
      <c r="U3211" s="58">
        <v>0</v>
      </c>
      <c r="V3211" s="65">
        <v>0</v>
      </c>
      <c r="W3211" s="65">
        <v>0</v>
      </c>
      <c r="X3211" s="65">
        <v>0</v>
      </c>
      <c r="Y3211" s="65">
        <v>0</v>
      </c>
      <c r="Z3211" s="51">
        <v>4047.4852354560007</v>
      </c>
      <c r="AA3211" s="51">
        <v>0</v>
      </c>
      <c r="AB3211" s="102">
        <v>0</v>
      </c>
      <c r="AC3211" s="81">
        <f t="shared" si="154"/>
        <v>378.61877295822802</v>
      </c>
      <c r="AD3211" s="82">
        <f t="shared" si="155"/>
        <v>17.614285714285714</v>
      </c>
      <c r="AE3211" s="218">
        <v>0</v>
      </c>
      <c r="AF3211">
        <v>0</v>
      </c>
      <c r="AH3211" t="str">
        <f t="shared" si="153"/>
        <v>Parbatta</v>
      </c>
      <c r="AJ3211" s="72">
        <v>0</v>
      </c>
      <c r="AK3211" s="72"/>
      <c r="AL3211" s="72"/>
      <c r="AM3211" s="72"/>
    </row>
    <row r="3212" spans="1:39" x14ac:dyDescent="0.25">
      <c r="A3212" s="37" t="s">
        <v>62</v>
      </c>
      <c r="B3212" s="66" t="s">
        <v>1644</v>
      </c>
      <c r="C3212" s="4">
        <v>1010</v>
      </c>
      <c r="D3212" s="41" t="s">
        <v>1359</v>
      </c>
      <c r="E3212" s="41">
        <v>10100009</v>
      </c>
      <c r="F3212" s="85" t="s">
        <v>282</v>
      </c>
      <c r="G3212" s="39" t="s">
        <v>93</v>
      </c>
      <c r="H3212" s="52" t="s">
        <v>94</v>
      </c>
      <c r="I3212" s="52">
        <v>1214.7000000000005</v>
      </c>
      <c r="J3212" s="49">
        <v>48879.287354289008</v>
      </c>
      <c r="K3212" s="58">
        <v>1214.96</v>
      </c>
      <c r="L3212" s="58">
        <v>57770.338659890513</v>
      </c>
      <c r="M3212" s="58">
        <v>0</v>
      </c>
      <c r="N3212" s="58">
        <v>0</v>
      </c>
      <c r="O3212" s="58">
        <v>1214.96</v>
      </c>
      <c r="P3212" s="53">
        <v>57770.338659890513</v>
      </c>
      <c r="Q3212" s="65">
        <v>48879.287354289008</v>
      </c>
      <c r="R3212" s="65">
        <v>0</v>
      </c>
      <c r="S3212" s="65">
        <v>0</v>
      </c>
      <c r="T3212" s="65">
        <v>8891.0513056015043</v>
      </c>
      <c r="U3212" s="58">
        <v>0</v>
      </c>
      <c r="V3212" s="65">
        <v>0</v>
      </c>
      <c r="W3212" s="65">
        <v>0</v>
      </c>
      <c r="X3212" s="65">
        <v>48879</v>
      </c>
      <c r="Y3212" s="65">
        <v>0</v>
      </c>
      <c r="Z3212" s="51">
        <v>0</v>
      </c>
      <c r="AA3212" s="51">
        <v>0</v>
      </c>
      <c r="AB3212" s="102">
        <v>0</v>
      </c>
      <c r="AC3212" s="81">
        <f t="shared" si="154"/>
        <v>0</v>
      </c>
      <c r="AD3212" s="82">
        <f t="shared" si="155"/>
        <v>0</v>
      </c>
      <c r="AE3212" s="218">
        <v>-0.18189813695844201</v>
      </c>
      <c r="AF3212">
        <v>4</v>
      </c>
      <c r="AH3212" t="str">
        <f t="shared" si="153"/>
        <v>Parbatta</v>
      </c>
      <c r="AJ3212" s="72">
        <v>0</v>
      </c>
      <c r="AK3212" s="72"/>
      <c r="AL3212" s="72"/>
      <c r="AM3212" s="72"/>
    </row>
    <row r="3213" spans="1:39" x14ac:dyDescent="0.25">
      <c r="A3213" s="37" t="s">
        <v>62</v>
      </c>
      <c r="B3213" s="66" t="s">
        <v>1644</v>
      </c>
      <c r="C3213" s="4">
        <v>1010</v>
      </c>
      <c r="D3213" s="41" t="s">
        <v>1359</v>
      </c>
      <c r="E3213" s="41">
        <v>10100014</v>
      </c>
      <c r="F3213" s="85" t="s">
        <v>1237</v>
      </c>
      <c r="G3213" s="39" t="s">
        <v>93</v>
      </c>
      <c r="H3213" s="52" t="s">
        <v>94</v>
      </c>
      <c r="I3213" s="52">
        <v>333.9</v>
      </c>
      <c r="J3213" s="49">
        <v>13248.135661620001</v>
      </c>
      <c r="K3213" s="58">
        <v>335.08</v>
      </c>
      <c r="L3213" s="58">
        <v>13065.514205460004</v>
      </c>
      <c r="M3213" s="58">
        <v>0</v>
      </c>
      <c r="N3213" s="58">
        <v>0</v>
      </c>
      <c r="O3213" s="58">
        <v>335.08</v>
      </c>
      <c r="P3213" s="53">
        <v>13065.514205460004</v>
      </c>
      <c r="Q3213" s="65">
        <v>13065.514205460004</v>
      </c>
      <c r="R3213" s="65">
        <v>0</v>
      </c>
      <c r="S3213" s="65">
        <v>0</v>
      </c>
      <c r="T3213" s="65">
        <v>0</v>
      </c>
      <c r="U3213" s="58">
        <v>0</v>
      </c>
      <c r="V3213" s="65">
        <v>0</v>
      </c>
      <c r="W3213" s="65">
        <v>0</v>
      </c>
      <c r="X3213" s="65">
        <v>13066</v>
      </c>
      <c r="Y3213" s="65">
        <v>0</v>
      </c>
      <c r="Z3213" s="51">
        <v>0</v>
      </c>
      <c r="AA3213" s="51">
        <v>182</v>
      </c>
      <c r="AB3213" s="102">
        <v>0</v>
      </c>
      <c r="AC3213" s="81">
        <f t="shared" si="154"/>
        <v>290.51467299904658</v>
      </c>
      <c r="AD3213" s="82">
        <f t="shared" si="155"/>
        <v>47.699999999999996</v>
      </c>
      <c r="AE3213" s="218">
        <v>1.378469098026024E-2</v>
      </c>
      <c r="AF3213">
        <v>4</v>
      </c>
      <c r="AH3213" t="str">
        <f t="shared" si="153"/>
        <v>Parbatta</v>
      </c>
      <c r="AJ3213" s="72">
        <v>0</v>
      </c>
      <c r="AK3213" s="72"/>
      <c r="AL3213" s="72"/>
      <c r="AM3213" s="72"/>
    </row>
    <row r="3214" spans="1:39" x14ac:dyDescent="0.25">
      <c r="A3214" s="37" t="s">
        <v>62</v>
      </c>
      <c r="B3214" s="66" t="s">
        <v>1644</v>
      </c>
      <c r="C3214" s="4">
        <v>1010</v>
      </c>
      <c r="D3214" s="41" t="s">
        <v>1359</v>
      </c>
      <c r="E3214" s="41">
        <v>10100016</v>
      </c>
      <c r="F3214" s="85" t="s">
        <v>1285</v>
      </c>
      <c r="G3214" s="39" t="s">
        <v>93</v>
      </c>
      <c r="H3214" s="52" t="s">
        <v>94</v>
      </c>
      <c r="I3214" s="52">
        <v>162</v>
      </c>
      <c r="J3214" s="49">
        <v>6721.629050562</v>
      </c>
      <c r="K3214" s="58">
        <v>176.2</v>
      </c>
      <c r="L3214" s="58">
        <v>7764.1087803</v>
      </c>
      <c r="M3214" s="58">
        <v>0</v>
      </c>
      <c r="N3214" s="58">
        <v>0</v>
      </c>
      <c r="O3214" s="58">
        <v>176.2</v>
      </c>
      <c r="P3214" s="53">
        <v>7764.1087803</v>
      </c>
      <c r="Q3214" s="65">
        <v>6721.629050562</v>
      </c>
      <c r="R3214" s="65">
        <v>0</v>
      </c>
      <c r="S3214" s="65">
        <v>0</v>
      </c>
      <c r="T3214" s="65">
        <v>1042.4797297380001</v>
      </c>
      <c r="U3214" s="58">
        <v>0</v>
      </c>
      <c r="V3214" s="65">
        <v>0</v>
      </c>
      <c r="W3214" s="65">
        <v>0</v>
      </c>
      <c r="X3214" s="65">
        <v>6722</v>
      </c>
      <c r="Y3214" s="65">
        <v>0</v>
      </c>
      <c r="Z3214" s="51">
        <v>0</v>
      </c>
      <c r="AA3214" s="51">
        <v>0</v>
      </c>
      <c r="AB3214" s="102" t="s">
        <v>68</v>
      </c>
      <c r="AC3214" s="81">
        <f t="shared" si="154"/>
        <v>446.44894187683406</v>
      </c>
      <c r="AD3214" s="82">
        <f t="shared" si="155"/>
        <v>23.142857142857142</v>
      </c>
      <c r="AE3214" s="218">
        <v>-0.15509331471525309</v>
      </c>
      <c r="AF3214">
        <v>1</v>
      </c>
      <c r="AH3214" t="str">
        <f t="shared" si="153"/>
        <v>Parbatta</v>
      </c>
      <c r="AJ3214" s="72">
        <v>0</v>
      </c>
      <c r="AK3214" s="72"/>
      <c r="AL3214" s="72"/>
      <c r="AM3214" s="72"/>
    </row>
    <row r="3215" spans="1:39" x14ac:dyDescent="0.25">
      <c r="A3215" s="37" t="s">
        <v>62</v>
      </c>
      <c r="B3215" s="66" t="s">
        <v>1644</v>
      </c>
      <c r="C3215" s="4">
        <v>1010</v>
      </c>
      <c r="D3215" s="41" t="s">
        <v>1359</v>
      </c>
      <c r="E3215" s="41">
        <v>10100021</v>
      </c>
      <c r="F3215" s="85" t="s">
        <v>284</v>
      </c>
      <c r="G3215" s="39" t="s">
        <v>93</v>
      </c>
      <c r="H3215" s="52" t="s">
        <v>94</v>
      </c>
      <c r="I3215" s="52">
        <v>453.4</v>
      </c>
      <c r="J3215" s="49">
        <v>17007.362933640004</v>
      </c>
      <c r="K3215" s="58">
        <v>452.29999999999995</v>
      </c>
      <c r="L3215" s="58">
        <v>16965.709216470001</v>
      </c>
      <c r="M3215" s="58">
        <v>1.4000000000000001</v>
      </c>
      <c r="N3215" s="58">
        <v>53.330063280000012</v>
      </c>
      <c r="O3215" s="58">
        <v>453.69999999999993</v>
      </c>
      <c r="P3215" s="53">
        <v>17019.039279749999</v>
      </c>
      <c r="Q3215" s="65">
        <v>17007.362933640004</v>
      </c>
      <c r="R3215" s="65">
        <v>0</v>
      </c>
      <c r="S3215" s="65">
        <v>53.330063280000012</v>
      </c>
      <c r="T3215" s="65">
        <v>11.676346109994483</v>
      </c>
      <c r="U3215" s="58">
        <v>0</v>
      </c>
      <c r="V3215" s="65">
        <v>0</v>
      </c>
      <c r="W3215" s="65">
        <v>0</v>
      </c>
      <c r="X3215" s="65">
        <v>16954</v>
      </c>
      <c r="Y3215" s="65">
        <v>0</v>
      </c>
      <c r="Z3215" s="51">
        <v>0</v>
      </c>
      <c r="AA3215" s="51">
        <v>0</v>
      </c>
      <c r="AB3215" s="102" t="s">
        <v>68</v>
      </c>
      <c r="AC3215" s="81">
        <f t="shared" si="154"/>
        <v>185.0028980783249</v>
      </c>
      <c r="AD3215" s="82">
        <f t="shared" si="155"/>
        <v>64.771428571428572</v>
      </c>
      <c r="AE3215" s="218">
        <v>-6.8654653608285477E-4</v>
      </c>
      <c r="AF3215">
        <v>3</v>
      </c>
      <c r="AH3215" t="str">
        <f t="shared" si="153"/>
        <v>Parbatta</v>
      </c>
      <c r="AJ3215" s="72">
        <v>0</v>
      </c>
      <c r="AK3215" s="72"/>
      <c r="AL3215" s="72"/>
      <c r="AM3215" s="72"/>
    </row>
    <row r="3216" spans="1:39" x14ac:dyDescent="0.25">
      <c r="A3216" s="37" t="s">
        <v>62</v>
      </c>
      <c r="B3216" s="66" t="s">
        <v>1644</v>
      </c>
      <c r="C3216" s="4">
        <v>1010</v>
      </c>
      <c r="D3216" s="41" t="s">
        <v>1359</v>
      </c>
      <c r="E3216" s="41">
        <v>10100026</v>
      </c>
      <c r="F3216" s="85" t="s">
        <v>1360</v>
      </c>
      <c r="G3216" s="39" t="s">
        <v>635</v>
      </c>
      <c r="H3216" s="52" t="s">
        <v>99</v>
      </c>
      <c r="I3216" s="52">
        <v>733.1</v>
      </c>
      <c r="J3216" s="49">
        <v>27290.888142699205</v>
      </c>
      <c r="K3216" s="58">
        <v>0</v>
      </c>
      <c r="L3216" s="58">
        <v>0</v>
      </c>
      <c r="M3216" s="58">
        <v>0</v>
      </c>
      <c r="N3216" s="58">
        <v>0</v>
      </c>
      <c r="O3216" s="58">
        <v>0</v>
      </c>
      <c r="P3216" s="53">
        <v>0</v>
      </c>
      <c r="Q3216" s="65">
        <v>27290.888142699205</v>
      </c>
      <c r="R3216" s="65">
        <v>0</v>
      </c>
      <c r="S3216" s="65">
        <v>0</v>
      </c>
      <c r="T3216" s="65">
        <v>0</v>
      </c>
      <c r="U3216" s="58">
        <v>0</v>
      </c>
      <c r="V3216" s="65">
        <v>0</v>
      </c>
      <c r="W3216" s="65">
        <v>0</v>
      </c>
      <c r="X3216" s="65">
        <v>0</v>
      </c>
      <c r="Y3216" s="65">
        <v>0</v>
      </c>
      <c r="Z3216" s="51">
        <v>27290.888142699205</v>
      </c>
      <c r="AA3216" s="51">
        <v>0</v>
      </c>
      <c r="AB3216" s="102">
        <v>0</v>
      </c>
      <c r="AC3216" s="81">
        <f t="shared" si="154"/>
        <v>0</v>
      </c>
      <c r="AD3216" s="82">
        <f t="shared" si="155"/>
        <v>0</v>
      </c>
      <c r="AE3216" s="218">
        <v>0</v>
      </c>
      <c r="AF3216">
        <v>0</v>
      </c>
      <c r="AH3216" t="str">
        <f t="shared" si="153"/>
        <v>Parbatta</v>
      </c>
      <c r="AJ3216" s="72">
        <v>0</v>
      </c>
      <c r="AK3216" s="72"/>
      <c r="AL3216" s="72"/>
      <c r="AM3216" s="72"/>
    </row>
    <row r="3217" spans="1:39" x14ac:dyDescent="0.25">
      <c r="A3217" s="37" t="s">
        <v>62</v>
      </c>
      <c r="B3217" s="66" t="s">
        <v>1644</v>
      </c>
      <c r="C3217" s="4">
        <v>1010</v>
      </c>
      <c r="D3217" s="41" t="s">
        <v>1359</v>
      </c>
      <c r="E3217" s="41">
        <v>10100028</v>
      </c>
      <c r="F3217" s="85" t="s">
        <v>1587</v>
      </c>
      <c r="G3217" s="39" t="s">
        <v>635</v>
      </c>
      <c r="H3217" s="52" t="s">
        <v>99</v>
      </c>
      <c r="I3217" s="52">
        <v>416.59999999999997</v>
      </c>
      <c r="J3217" s="49">
        <v>14986.695336717001</v>
      </c>
      <c r="K3217" s="58">
        <v>0</v>
      </c>
      <c r="L3217" s="58">
        <v>0</v>
      </c>
      <c r="M3217" s="58">
        <v>0</v>
      </c>
      <c r="N3217" s="58">
        <v>0</v>
      </c>
      <c r="O3217" s="58">
        <v>0</v>
      </c>
      <c r="P3217" s="53">
        <v>0</v>
      </c>
      <c r="Q3217" s="65">
        <v>14986.695336717001</v>
      </c>
      <c r="R3217" s="65">
        <v>0</v>
      </c>
      <c r="S3217" s="65">
        <v>0</v>
      </c>
      <c r="T3217" s="65">
        <v>0</v>
      </c>
      <c r="U3217" s="58">
        <v>0</v>
      </c>
      <c r="V3217" s="65">
        <v>0</v>
      </c>
      <c r="W3217" s="65">
        <v>0</v>
      </c>
      <c r="X3217" s="65">
        <v>0</v>
      </c>
      <c r="Y3217" s="65">
        <v>0</v>
      </c>
      <c r="Z3217" s="51">
        <v>14986.695336717001</v>
      </c>
      <c r="AA3217" s="51">
        <v>0</v>
      </c>
      <c r="AB3217" s="102">
        <v>0</v>
      </c>
      <c r="AC3217" s="81">
        <f t="shared" si="154"/>
        <v>203.89963794650021</v>
      </c>
      <c r="AD3217" s="82">
        <f t="shared" si="155"/>
        <v>59.514285714285712</v>
      </c>
      <c r="AE3217" s="218">
        <v>0</v>
      </c>
      <c r="AF3217">
        <v>0</v>
      </c>
      <c r="AH3217" t="str">
        <f t="shared" si="153"/>
        <v>Parbatta</v>
      </c>
      <c r="AJ3217" s="72">
        <v>0</v>
      </c>
      <c r="AK3217" s="72"/>
      <c r="AL3217" s="72"/>
      <c r="AM3217" s="72"/>
    </row>
    <row r="3218" spans="1:39" x14ac:dyDescent="0.25">
      <c r="A3218" s="37" t="s">
        <v>62</v>
      </c>
      <c r="B3218" s="66" t="s">
        <v>1644</v>
      </c>
      <c r="C3218" s="4">
        <v>1007</v>
      </c>
      <c r="D3218" s="41" t="s">
        <v>207</v>
      </c>
      <c r="E3218" s="41">
        <v>10100033</v>
      </c>
      <c r="F3218" s="85" t="s">
        <v>286</v>
      </c>
      <c r="G3218" s="39" t="s">
        <v>635</v>
      </c>
      <c r="H3218" s="52" t="s">
        <v>99</v>
      </c>
      <c r="I3218" s="52">
        <v>186.8</v>
      </c>
      <c r="J3218" s="49">
        <v>7017.0253024260001</v>
      </c>
      <c r="K3218" s="58">
        <v>0</v>
      </c>
      <c r="L3218" s="58">
        <v>0</v>
      </c>
      <c r="M3218" s="58">
        <v>0</v>
      </c>
      <c r="N3218" s="58">
        <v>0</v>
      </c>
      <c r="O3218" s="58">
        <v>0</v>
      </c>
      <c r="P3218" s="53">
        <v>0</v>
      </c>
      <c r="Q3218" s="65">
        <v>7017.0253024260001</v>
      </c>
      <c r="R3218" s="65">
        <v>0</v>
      </c>
      <c r="S3218" s="65">
        <v>0</v>
      </c>
      <c r="T3218" s="65">
        <v>0</v>
      </c>
      <c r="U3218" s="58">
        <v>0</v>
      </c>
      <c r="V3218" s="65">
        <v>0</v>
      </c>
      <c r="W3218" s="65">
        <v>0</v>
      </c>
      <c r="X3218" s="65">
        <v>0</v>
      </c>
      <c r="Y3218" s="65">
        <v>0</v>
      </c>
      <c r="Z3218" s="51">
        <v>7017.0253024260001</v>
      </c>
      <c r="AA3218" s="51">
        <v>0</v>
      </c>
      <c r="AB3218" s="102">
        <v>0</v>
      </c>
      <c r="AC3218" s="81">
        <f t="shared" si="154"/>
        <v>385.56074788062347</v>
      </c>
      <c r="AD3218" s="82">
        <f t="shared" si="155"/>
        <v>26.685714285714287</v>
      </c>
      <c r="AE3218" s="218">
        <v>0</v>
      </c>
      <c r="AF3218">
        <v>0</v>
      </c>
      <c r="AH3218" t="str">
        <f t="shared" si="153"/>
        <v>Araria</v>
      </c>
      <c r="AJ3218" s="72">
        <v>0</v>
      </c>
      <c r="AK3218" s="72"/>
      <c r="AL3218" s="72"/>
      <c r="AM3218" s="72"/>
    </row>
    <row r="3219" spans="1:39" x14ac:dyDescent="0.25">
      <c r="A3219" s="37" t="s">
        <v>62</v>
      </c>
      <c r="B3219" s="66" t="s">
        <v>1644</v>
      </c>
      <c r="C3219" s="4">
        <v>1007</v>
      </c>
      <c r="D3219" s="41" t="s">
        <v>207</v>
      </c>
      <c r="E3219" s="41">
        <v>10100035</v>
      </c>
      <c r="F3219" s="85" t="s">
        <v>287</v>
      </c>
      <c r="G3219" s="39" t="s">
        <v>93</v>
      </c>
      <c r="H3219" s="52" t="s">
        <v>94</v>
      </c>
      <c r="I3219" s="52">
        <v>310.59999999999997</v>
      </c>
      <c r="J3219" s="49">
        <v>13436.7887528586</v>
      </c>
      <c r="K3219" s="58">
        <v>0</v>
      </c>
      <c r="L3219" s="58">
        <v>0</v>
      </c>
      <c r="M3219" s="58">
        <v>0</v>
      </c>
      <c r="N3219" s="58">
        <v>0</v>
      </c>
      <c r="O3219" s="58">
        <v>0</v>
      </c>
      <c r="P3219" s="53">
        <v>0</v>
      </c>
      <c r="Q3219" s="65">
        <v>0</v>
      </c>
      <c r="R3219" s="65">
        <v>0</v>
      </c>
      <c r="S3219" s="65">
        <v>0</v>
      </c>
      <c r="T3219" s="65">
        <v>0</v>
      </c>
      <c r="U3219" s="58">
        <v>0</v>
      </c>
      <c r="V3219" s="65">
        <v>0</v>
      </c>
      <c r="W3219" s="65">
        <v>0</v>
      </c>
      <c r="X3219" s="65">
        <v>0</v>
      </c>
      <c r="Y3219" s="65">
        <v>0</v>
      </c>
      <c r="Z3219" s="51">
        <v>0</v>
      </c>
      <c r="AA3219" s="51">
        <v>13437</v>
      </c>
      <c r="AB3219" s="102" t="s">
        <v>65</v>
      </c>
      <c r="AC3219" s="81">
        <f t="shared" si="154"/>
        <v>336.91471605686667</v>
      </c>
      <c r="AD3219" s="82">
        <f t="shared" si="155"/>
        <v>44.371428571428567</v>
      </c>
      <c r="AE3219" s="218">
        <v>1</v>
      </c>
      <c r="AF3219">
        <v>0</v>
      </c>
      <c r="AH3219" t="str">
        <f t="shared" si="153"/>
        <v>Araria</v>
      </c>
      <c r="AJ3219" s="72">
        <v>0</v>
      </c>
      <c r="AK3219" s="72"/>
      <c r="AL3219" s="72"/>
      <c r="AM3219" s="72"/>
    </row>
    <row r="3220" spans="1:39" x14ac:dyDescent="0.25">
      <c r="A3220" s="37" t="s">
        <v>62</v>
      </c>
      <c r="B3220" s="66" t="s">
        <v>1644</v>
      </c>
      <c r="C3220" s="4">
        <v>1007</v>
      </c>
      <c r="D3220" s="41" t="s">
        <v>207</v>
      </c>
      <c r="E3220" s="41">
        <v>10100037</v>
      </c>
      <c r="F3220" s="85" t="s">
        <v>288</v>
      </c>
      <c r="G3220" s="39" t="s">
        <v>93</v>
      </c>
      <c r="H3220" s="52" t="s">
        <v>94</v>
      </c>
      <c r="I3220" s="52">
        <v>177.7</v>
      </c>
      <c r="J3220" s="49">
        <v>8547.2213082415983</v>
      </c>
      <c r="K3220" s="58">
        <v>177.79999999999998</v>
      </c>
      <c r="L3220" s="58">
        <v>9274.3137577626003</v>
      </c>
      <c r="M3220" s="58">
        <v>0</v>
      </c>
      <c r="N3220" s="58">
        <v>0</v>
      </c>
      <c r="O3220" s="58">
        <v>177.79999999999998</v>
      </c>
      <c r="P3220" s="53">
        <v>9274.3137577626003</v>
      </c>
      <c r="Q3220" s="65">
        <v>8547.2213082415983</v>
      </c>
      <c r="R3220" s="65">
        <v>0</v>
      </c>
      <c r="S3220" s="65">
        <v>0</v>
      </c>
      <c r="T3220" s="65">
        <v>727.09244952100198</v>
      </c>
      <c r="U3220" s="58">
        <v>0</v>
      </c>
      <c r="V3220" s="65">
        <v>500</v>
      </c>
      <c r="W3220" s="65">
        <v>0</v>
      </c>
      <c r="X3220" s="65">
        <v>8047</v>
      </c>
      <c r="Y3220" s="65">
        <v>0</v>
      </c>
      <c r="Z3220" s="51">
        <v>0</v>
      </c>
      <c r="AA3220" s="51">
        <v>0</v>
      </c>
      <c r="AB3220" s="102">
        <v>0</v>
      </c>
      <c r="AC3220" s="81">
        <f t="shared" si="154"/>
        <v>502.44385923405588</v>
      </c>
      <c r="AD3220" s="82">
        <f t="shared" si="155"/>
        <v>25.385714285714283</v>
      </c>
      <c r="AE3220" s="218">
        <v>-8.5067698998259028E-2</v>
      </c>
      <c r="AF3220">
        <v>2</v>
      </c>
      <c r="AH3220" t="str">
        <f t="shared" si="153"/>
        <v>Araria</v>
      </c>
      <c r="AJ3220" s="72">
        <v>500</v>
      </c>
      <c r="AK3220" s="72"/>
      <c r="AL3220" s="72"/>
      <c r="AM3220" s="72"/>
    </row>
    <row r="3221" spans="1:39" x14ac:dyDescent="0.25">
      <c r="A3221" s="37" t="s">
        <v>62</v>
      </c>
      <c r="B3221" s="66" t="s">
        <v>1644</v>
      </c>
      <c r="C3221" s="4">
        <v>1007</v>
      </c>
      <c r="D3221" s="41" t="s">
        <v>207</v>
      </c>
      <c r="E3221" s="41">
        <v>10100044</v>
      </c>
      <c r="F3221" s="85" t="s">
        <v>1286</v>
      </c>
      <c r="G3221" s="39" t="s">
        <v>635</v>
      </c>
      <c r="H3221" s="52" t="s">
        <v>99</v>
      </c>
      <c r="I3221" s="52">
        <v>1178.5</v>
      </c>
      <c r="J3221" s="49">
        <v>40936.120700134503</v>
      </c>
      <c r="K3221" s="58">
        <v>0</v>
      </c>
      <c r="L3221" s="58">
        <v>0</v>
      </c>
      <c r="M3221" s="58">
        <v>0</v>
      </c>
      <c r="N3221" s="58">
        <v>0</v>
      </c>
      <c r="O3221" s="58">
        <v>0</v>
      </c>
      <c r="P3221" s="53">
        <v>0</v>
      </c>
      <c r="Q3221" s="65">
        <v>40936.120700134503</v>
      </c>
      <c r="R3221" s="65">
        <v>0</v>
      </c>
      <c r="S3221" s="65">
        <v>0</v>
      </c>
      <c r="T3221" s="65">
        <v>0</v>
      </c>
      <c r="U3221" s="58">
        <v>0</v>
      </c>
      <c r="V3221" s="65">
        <v>0</v>
      </c>
      <c r="W3221" s="65">
        <v>0</v>
      </c>
      <c r="X3221" s="65">
        <v>0</v>
      </c>
      <c r="Y3221" s="65">
        <v>0</v>
      </c>
      <c r="Z3221" s="51">
        <v>40936.120700134503</v>
      </c>
      <c r="AA3221" s="51">
        <v>0</v>
      </c>
      <c r="AB3221" s="102">
        <v>0</v>
      </c>
      <c r="AC3221" s="81">
        <f t="shared" si="154"/>
        <v>0</v>
      </c>
      <c r="AD3221" s="82">
        <f t="shared" si="155"/>
        <v>0</v>
      </c>
      <c r="AE3221" s="218">
        <v>0</v>
      </c>
      <c r="AF3221">
        <v>0</v>
      </c>
      <c r="AH3221" t="str">
        <f t="shared" si="153"/>
        <v>Araria</v>
      </c>
      <c r="AJ3221" s="72">
        <v>0</v>
      </c>
      <c r="AK3221" s="72"/>
      <c r="AL3221" s="72"/>
      <c r="AM3221" s="72"/>
    </row>
    <row r="3222" spans="1:39" x14ac:dyDescent="0.25">
      <c r="A3222" s="37" t="s">
        <v>62</v>
      </c>
      <c r="B3222" s="66" t="s">
        <v>1644</v>
      </c>
      <c r="C3222" s="4">
        <v>1010</v>
      </c>
      <c r="D3222" s="41" t="s">
        <v>1359</v>
      </c>
      <c r="E3222" s="41">
        <v>10100045</v>
      </c>
      <c r="F3222" s="85" t="s">
        <v>434</v>
      </c>
      <c r="G3222" s="39" t="s">
        <v>93</v>
      </c>
      <c r="H3222" s="52" t="s">
        <v>94</v>
      </c>
      <c r="I3222" s="52">
        <v>3574.4999999999995</v>
      </c>
      <c r="J3222" s="49">
        <v>126754.11196699803</v>
      </c>
      <c r="K3222" s="58">
        <v>3570.79</v>
      </c>
      <c r="L3222" s="58">
        <v>151355.67621814201</v>
      </c>
      <c r="M3222" s="58">
        <v>3.9099999999999993</v>
      </c>
      <c r="N3222" s="58">
        <v>150.74578334700001</v>
      </c>
      <c r="O3222" s="58">
        <v>3574.7</v>
      </c>
      <c r="P3222" s="53">
        <v>151506.422001489</v>
      </c>
      <c r="Q3222" s="65">
        <v>126754.11196699803</v>
      </c>
      <c r="R3222" s="65">
        <v>0</v>
      </c>
      <c r="S3222" s="65">
        <v>150.74578334700001</v>
      </c>
      <c r="T3222" s="65">
        <v>24752.310034490976</v>
      </c>
      <c r="U3222" s="58">
        <v>0</v>
      </c>
      <c r="V3222" s="65">
        <v>0</v>
      </c>
      <c r="W3222" s="65">
        <v>0</v>
      </c>
      <c r="X3222" s="65">
        <v>126603</v>
      </c>
      <c r="Y3222" s="65">
        <v>0</v>
      </c>
      <c r="Z3222" s="51">
        <v>0</v>
      </c>
      <c r="AA3222" s="51">
        <v>0</v>
      </c>
      <c r="AB3222" s="102">
        <v>0</v>
      </c>
      <c r="AC3222" s="81">
        <f t="shared" si="154"/>
        <v>0</v>
      </c>
      <c r="AD3222" s="82">
        <f t="shared" si="155"/>
        <v>0</v>
      </c>
      <c r="AE3222" s="218">
        <v>-0.19527816218645072</v>
      </c>
      <c r="AF3222">
        <v>4</v>
      </c>
      <c r="AH3222" t="str">
        <f t="shared" si="153"/>
        <v>Parbatta</v>
      </c>
      <c r="AJ3222" s="72">
        <v>0</v>
      </c>
      <c r="AK3222" s="72"/>
      <c r="AL3222" s="72"/>
      <c r="AM3222" s="72"/>
    </row>
    <row r="3223" spans="1:39" x14ac:dyDescent="0.25">
      <c r="A3223" s="37" t="s">
        <v>62</v>
      </c>
      <c r="B3223" s="66" t="s">
        <v>1644</v>
      </c>
      <c r="C3223" s="4">
        <v>1007</v>
      </c>
      <c r="D3223" s="41" t="s">
        <v>207</v>
      </c>
      <c r="E3223" s="41">
        <v>10100049</v>
      </c>
      <c r="F3223" s="85" t="s">
        <v>621</v>
      </c>
      <c r="G3223" s="39" t="s">
        <v>93</v>
      </c>
      <c r="H3223" s="52" t="s">
        <v>94</v>
      </c>
      <c r="I3223" s="52">
        <v>1324.3000000000002</v>
      </c>
      <c r="J3223" s="49">
        <v>49019.855346035998</v>
      </c>
      <c r="K3223" s="58">
        <v>1524.6999999999998</v>
      </c>
      <c r="L3223" s="58">
        <v>56300.208807420007</v>
      </c>
      <c r="M3223" s="58">
        <v>0.30000000000000004</v>
      </c>
      <c r="N3223" s="58">
        <v>11.767934490000002</v>
      </c>
      <c r="O3223" s="58">
        <v>1524.9999999999998</v>
      </c>
      <c r="P3223" s="53">
        <v>56311.97674191001</v>
      </c>
      <c r="Q3223" s="65">
        <v>49019.855346035998</v>
      </c>
      <c r="R3223" s="65">
        <v>0</v>
      </c>
      <c r="S3223" s="65">
        <v>11.767934490000002</v>
      </c>
      <c r="T3223" s="65">
        <v>7292.1213958740118</v>
      </c>
      <c r="U3223" s="58">
        <v>0</v>
      </c>
      <c r="V3223" s="65">
        <v>0</v>
      </c>
      <c r="W3223" s="65">
        <v>0</v>
      </c>
      <c r="X3223" s="65">
        <v>49008</v>
      </c>
      <c r="Y3223" s="65">
        <v>0</v>
      </c>
      <c r="Z3223" s="51">
        <v>0</v>
      </c>
      <c r="AA3223" s="51">
        <v>0</v>
      </c>
      <c r="AB3223" s="102">
        <v>0</v>
      </c>
      <c r="AC3223" s="81">
        <f t="shared" si="154"/>
        <v>0</v>
      </c>
      <c r="AD3223" s="82">
        <f t="shared" si="155"/>
        <v>0</v>
      </c>
      <c r="AE3223" s="218">
        <v>-0.14875852538523843</v>
      </c>
      <c r="AF3223">
        <v>2</v>
      </c>
      <c r="AH3223" t="str">
        <f t="shared" si="153"/>
        <v>Araria</v>
      </c>
      <c r="AJ3223" s="72">
        <v>0</v>
      </c>
      <c r="AK3223" s="72"/>
      <c r="AL3223" s="72"/>
      <c r="AM3223" s="72"/>
    </row>
    <row r="3224" spans="1:39" x14ac:dyDescent="0.25">
      <c r="A3224" s="37" t="s">
        <v>62</v>
      </c>
      <c r="B3224" s="66" t="s">
        <v>1644</v>
      </c>
      <c r="C3224" s="4">
        <v>1007</v>
      </c>
      <c r="D3224" s="41" t="s">
        <v>207</v>
      </c>
      <c r="E3224" s="41">
        <v>10100051</v>
      </c>
      <c r="F3224" s="85" t="s">
        <v>451</v>
      </c>
      <c r="G3224" s="39" t="s">
        <v>93</v>
      </c>
      <c r="H3224" s="52" t="s">
        <v>94</v>
      </c>
      <c r="I3224" s="52">
        <v>1509.6</v>
      </c>
      <c r="J3224" s="49">
        <v>56565.894166587001</v>
      </c>
      <c r="K3224" s="58">
        <v>1515.5</v>
      </c>
      <c r="L3224" s="58">
        <v>56991.107209095004</v>
      </c>
      <c r="M3224" s="58">
        <v>0</v>
      </c>
      <c r="N3224" s="58">
        <v>0</v>
      </c>
      <c r="O3224" s="58">
        <v>1515.5</v>
      </c>
      <c r="P3224" s="53">
        <v>56991.107209095004</v>
      </c>
      <c r="Q3224" s="65">
        <v>56565.894166587001</v>
      </c>
      <c r="R3224" s="65">
        <v>0</v>
      </c>
      <c r="S3224" s="65">
        <v>0</v>
      </c>
      <c r="T3224" s="65">
        <v>425.21304250800313</v>
      </c>
      <c r="U3224" s="58">
        <v>0</v>
      </c>
      <c r="V3224" s="65">
        <v>0</v>
      </c>
      <c r="W3224" s="65">
        <v>0</v>
      </c>
      <c r="X3224" s="65">
        <v>56566</v>
      </c>
      <c r="Y3224" s="65">
        <v>0</v>
      </c>
      <c r="Z3224" s="51">
        <v>0</v>
      </c>
      <c r="AA3224" s="51">
        <v>0</v>
      </c>
      <c r="AB3224" s="102">
        <v>0</v>
      </c>
      <c r="AC3224" s="81">
        <f t="shared" si="154"/>
        <v>0</v>
      </c>
      <c r="AD3224" s="82">
        <f t="shared" si="155"/>
        <v>0</v>
      </c>
      <c r="AE3224" s="218">
        <v>-7.5171275690568487E-3</v>
      </c>
      <c r="AF3224">
        <v>3</v>
      </c>
      <c r="AH3224" t="str">
        <f t="shared" si="153"/>
        <v>Araria</v>
      </c>
      <c r="AJ3224" s="72">
        <v>0</v>
      </c>
      <c r="AK3224" s="72"/>
      <c r="AL3224" s="72"/>
      <c r="AM3224" s="72"/>
    </row>
    <row r="3225" spans="1:39" x14ac:dyDescent="0.25">
      <c r="A3225" s="37" t="s">
        <v>62</v>
      </c>
      <c r="B3225" s="66" t="s">
        <v>1644</v>
      </c>
      <c r="C3225" s="4">
        <v>1007</v>
      </c>
      <c r="D3225" s="41" t="s">
        <v>207</v>
      </c>
      <c r="E3225" s="41">
        <v>10100054</v>
      </c>
      <c r="F3225" s="85" t="s">
        <v>507</v>
      </c>
      <c r="G3225" s="39" t="s">
        <v>93</v>
      </c>
      <c r="H3225" s="52" t="s">
        <v>94</v>
      </c>
      <c r="I3225" s="52">
        <v>130.4</v>
      </c>
      <c r="J3225" s="49">
        <v>6145.0774324185013</v>
      </c>
      <c r="K3225" s="58">
        <v>271.60999999999996</v>
      </c>
      <c r="L3225" s="58">
        <v>11588.922323869503</v>
      </c>
      <c r="M3225" s="58">
        <v>1.89</v>
      </c>
      <c r="N3225" s="58">
        <v>81.124829301600016</v>
      </c>
      <c r="O3225" s="58">
        <v>273.49999999999994</v>
      </c>
      <c r="P3225" s="53">
        <v>11670.047153171103</v>
      </c>
      <c r="Q3225" s="65">
        <v>6145.0774324185013</v>
      </c>
      <c r="R3225" s="65">
        <v>0</v>
      </c>
      <c r="S3225" s="65">
        <v>81.124829301600016</v>
      </c>
      <c r="T3225" s="65">
        <v>5524.9697207526015</v>
      </c>
      <c r="U3225" s="58">
        <v>0</v>
      </c>
      <c r="V3225" s="65">
        <v>0</v>
      </c>
      <c r="W3225" s="65">
        <v>0</v>
      </c>
      <c r="X3225" s="65">
        <v>6064</v>
      </c>
      <c r="Y3225" s="65">
        <v>0</v>
      </c>
      <c r="Z3225" s="51">
        <v>0</v>
      </c>
      <c r="AA3225" s="51">
        <v>0</v>
      </c>
      <c r="AB3225" s="102">
        <v>0</v>
      </c>
      <c r="AC3225" s="81">
        <f t="shared" si="154"/>
        <v>536.84602845177574</v>
      </c>
      <c r="AD3225" s="82">
        <f t="shared" si="155"/>
        <v>18.62857142857143</v>
      </c>
      <c r="AE3225" s="218">
        <v>-0.89908870661344198</v>
      </c>
      <c r="AF3225">
        <v>6</v>
      </c>
      <c r="AH3225" t="str">
        <f t="shared" si="153"/>
        <v>Araria</v>
      </c>
      <c r="AJ3225" s="72">
        <v>0</v>
      </c>
      <c r="AK3225" s="72"/>
      <c r="AL3225" s="72"/>
      <c r="AM3225" s="72"/>
    </row>
    <row r="3226" spans="1:39" x14ac:dyDescent="0.25">
      <c r="A3226" s="37" t="s">
        <v>62</v>
      </c>
      <c r="B3226" s="66" t="s">
        <v>1644</v>
      </c>
      <c r="C3226" s="4">
        <v>1007</v>
      </c>
      <c r="D3226" s="41" t="s">
        <v>207</v>
      </c>
      <c r="E3226" s="41">
        <v>10100060</v>
      </c>
      <c r="F3226" s="85" t="s">
        <v>508</v>
      </c>
      <c r="G3226" s="39" t="s">
        <v>93</v>
      </c>
      <c r="H3226" s="52" t="s">
        <v>94</v>
      </c>
      <c r="I3226" s="52">
        <v>227.70000000000005</v>
      </c>
      <c r="J3226" s="49">
        <v>8038.5929218800011</v>
      </c>
      <c r="K3226" s="58">
        <v>286.8</v>
      </c>
      <c r="L3226" s="58">
        <v>10600.430860799999</v>
      </c>
      <c r="M3226" s="58">
        <v>0</v>
      </c>
      <c r="N3226" s="58">
        <v>0</v>
      </c>
      <c r="O3226" s="58">
        <v>286.8</v>
      </c>
      <c r="P3226" s="53">
        <v>10600.430860799999</v>
      </c>
      <c r="Q3226" s="65">
        <v>8038.5929218800011</v>
      </c>
      <c r="R3226" s="65">
        <v>0</v>
      </c>
      <c r="S3226" s="65">
        <v>0</v>
      </c>
      <c r="T3226" s="65">
        <v>2561.8379389199981</v>
      </c>
      <c r="U3226" s="58">
        <v>0</v>
      </c>
      <c r="V3226" s="65">
        <v>0</v>
      </c>
      <c r="W3226" s="65">
        <v>0</v>
      </c>
      <c r="X3226" s="65">
        <v>8039</v>
      </c>
      <c r="Y3226" s="65">
        <v>0</v>
      </c>
      <c r="Z3226" s="51">
        <v>0</v>
      </c>
      <c r="AA3226" s="51">
        <v>0</v>
      </c>
      <c r="AB3226" s="102">
        <v>0</v>
      </c>
      <c r="AC3226" s="81">
        <f t="shared" si="154"/>
        <v>333.47627905172806</v>
      </c>
      <c r="AD3226" s="82">
        <f t="shared" si="155"/>
        <v>32.528571428571432</v>
      </c>
      <c r="AE3226" s="218">
        <v>-0.31869233382213069</v>
      </c>
      <c r="AF3226">
        <v>3</v>
      </c>
      <c r="AH3226" t="str">
        <f t="shared" si="153"/>
        <v>Araria</v>
      </c>
      <c r="AJ3226" s="72">
        <v>0</v>
      </c>
      <c r="AK3226" s="72"/>
      <c r="AL3226" s="72"/>
      <c r="AM3226" s="72"/>
    </row>
    <row r="3227" spans="1:39" x14ac:dyDescent="0.25">
      <c r="A3227" s="37" t="s">
        <v>62</v>
      </c>
      <c r="B3227" s="66" t="s">
        <v>1644</v>
      </c>
      <c r="C3227" s="4">
        <v>1010</v>
      </c>
      <c r="D3227" s="41" t="s">
        <v>1359</v>
      </c>
      <c r="E3227" s="41">
        <v>10100061</v>
      </c>
      <c r="F3227" s="85" t="s">
        <v>1451</v>
      </c>
      <c r="G3227" s="39" t="s">
        <v>93</v>
      </c>
      <c r="H3227" s="52" t="s">
        <v>94</v>
      </c>
      <c r="I3227" s="52">
        <v>509.7</v>
      </c>
      <c r="J3227" s="49">
        <v>17547.610604585701</v>
      </c>
      <c r="K3227" s="58">
        <v>0</v>
      </c>
      <c r="L3227" s="58">
        <v>0</v>
      </c>
      <c r="M3227" s="58">
        <v>0</v>
      </c>
      <c r="N3227" s="58">
        <v>0</v>
      </c>
      <c r="O3227" s="58">
        <v>0</v>
      </c>
      <c r="P3227" s="53">
        <v>0</v>
      </c>
      <c r="Q3227" s="65">
        <v>0</v>
      </c>
      <c r="R3227" s="65">
        <v>0</v>
      </c>
      <c r="S3227" s="65">
        <v>0</v>
      </c>
      <c r="T3227" s="65">
        <v>0</v>
      </c>
      <c r="U3227" s="58">
        <v>0</v>
      </c>
      <c r="V3227" s="65">
        <v>0</v>
      </c>
      <c r="W3227" s="65">
        <v>0</v>
      </c>
      <c r="X3227" s="65">
        <v>0</v>
      </c>
      <c r="Y3227" s="65">
        <v>0</v>
      </c>
      <c r="Z3227" s="51">
        <v>0</v>
      </c>
      <c r="AA3227" s="51">
        <v>17548</v>
      </c>
      <c r="AB3227" s="102">
        <v>0</v>
      </c>
      <c r="AC3227" s="81">
        <f t="shared" si="154"/>
        <v>131.03042174034368</v>
      </c>
      <c r="AD3227" s="82">
        <f t="shared" si="155"/>
        <v>72.814285714285717</v>
      </c>
      <c r="AE3227" s="218">
        <v>1</v>
      </c>
      <c r="AF3227">
        <v>0</v>
      </c>
      <c r="AH3227" t="str">
        <f t="shared" si="153"/>
        <v>Parbatta</v>
      </c>
      <c r="AJ3227" s="72">
        <v>0</v>
      </c>
      <c r="AK3227" s="72"/>
      <c r="AL3227" s="72"/>
      <c r="AM3227" s="72"/>
    </row>
    <row r="3228" spans="1:39" x14ac:dyDescent="0.25">
      <c r="A3228" s="37" t="s">
        <v>62</v>
      </c>
      <c r="B3228" s="66" t="s">
        <v>1644</v>
      </c>
      <c r="C3228" s="4">
        <v>1010</v>
      </c>
      <c r="D3228" s="41" t="s">
        <v>1359</v>
      </c>
      <c r="E3228" s="41">
        <v>10100062</v>
      </c>
      <c r="F3228" s="85" t="s">
        <v>1361</v>
      </c>
      <c r="G3228" s="39" t="s">
        <v>635</v>
      </c>
      <c r="H3228" s="52" t="s">
        <v>99</v>
      </c>
      <c r="I3228" s="52">
        <v>7919.1</v>
      </c>
      <c r="J3228" s="49">
        <v>325268.46702651004</v>
      </c>
      <c r="K3228" s="58">
        <v>0</v>
      </c>
      <c r="L3228" s="58">
        <v>0</v>
      </c>
      <c r="M3228" s="58">
        <v>0</v>
      </c>
      <c r="N3228" s="58">
        <v>0</v>
      </c>
      <c r="O3228" s="58">
        <v>0</v>
      </c>
      <c r="P3228" s="53">
        <v>0</v>
      </c>
      <c r="Q3228" s="65">
        <v>325268.46702651004</v>
      </c>
      <c r="R3228" s="65">
        <v>0</v>
      </c>
      <c r="S3228" s="65">
        <v>0</v>
      </c>
      <c r="T3228" s="65">
        <v>0</v>
      </c>
      <c r="U3228" s="58">
        <v>0</v>
      </c>
      <c r="V3228" s="65">
        <v>0</v>
      </c>
      <c r="W3228" s="65">
        <v>0</v>
      </c>
      <c r="X3228" s="65">
        <v>0</v>
      </c>
      <c r="Y3228" s="65">
        <v>0</v>
      </c>
      <c r="Z3228" s="51">
        <v>325268.46702651004</v>
      </c>
      <c r="AA3228" s="51">
        <v>0</v>
      </c>
      <c r="AB3228" s="102">
        <v>0</v>
      </c>
      <c r="AC3228" s="81">
        <f t="shared" si="154"/>
        <v>0</v>
      </c>
      <c r="AD3228" s="82">
        <f t="shared" si="155"/>
        <v>0</v>
      </c>
      <c r="AE3228" s="218">
        <v>0</v>
      </c>
      <c r="AF3228">
        <v>0</v>
      </c>
      <c r="AH3228" t="str">
        <f t="shared" si="153"/>
        <v>Parbatta</v>
      </c>
      <c r="AJ3228" s="72">
        <v>0</v>
      </c>
      <c r="AK3228" s="72"/>
      <c r="AL3228" s="72"/>
      <c r="AM3228" s="72"/>
    </row>
    <row r="3229" spans="1:39" x14ac:dyDescent="0.25">
      <c r="A3229" s="37" t="s">
        <v>62</v>
      </c>
      <c r="B3229" s="66" t="s">
        <v>1644</v>
      </c>
      <c r="C3229" s="4">
        <v>1010</v>
      </c>
      <c r="D3229" s="41" t="s">
        <v>1359</v>
      </c>
      <c r="E3229" s="41">
        <v>10100063</v>
      </c>
      <c r="F3229" s="85" t="s">
        <v>1620</v>
      </c>
      <c r="G3229" s="39" t="s">
        <v>635</v>
      </c>
      <c r="H3229" s="52" t="s">
        <v>99</v>
      </c>
      <c r="I3229" s="52">
        <v>457.20000000000005</v>
      </c>
      <c r="J3229" s="49">
        <v>18274.942040764501</v>
      </c>
      <c r="K3229" s="58">
        <v>0</v>
      </c>
      <c r="L3229" s="58">
        <v>0</v>
      </c>
      <c r="M3229" s="58">
        <v>0</v>
      </c>
      <c r="N3229" s="58">
        <v>0</v>
      </c>
      <c r="O3229" s="58">
        <v>0</v>
      </c>
      <c r="P3229" s="53">
        <v>0</v>
      </c>
      <c r="Q3229" s="65">
        <v>18274.942040764501</v>
      </c>
      <c r="R3229" s="65">
        <v>0</v>
      </c>
      <c r="S3229" s="65">
        <v>0</v>
      </c>
      <c r="T3229" s="65">
        <v>0</v>
      </c>
      <c r="U3229" s="58">
        <v>0</v>
      </c>
      <c r="V3229" s="65">
        <v>0</v>
      </c>
      <c r="W3229" s="65">
        <v>0</v>
      </c>
      <c r="X3229" s="65">
        <v>0</v>
      </c>
      <c r="Y3229" s="65">
        <v>0</v>
      </c>
      <c r="Z3229" s="51">
        <v>18274.942040764501</v>
      </c>
      <c r="AA3229" s="51">
        <v>0</v>
      </c>
      <c r="AB3229" s="102">
        <v>0</v>
      </c>
      <c r="AC3229" s="81">
        <f t="shared" si="154"/>
        <v>194.10130916437535</v>
      </c>
      <c r="AD3229" s="82">
        <f t="shared" si="155"/>
        <v>65.314285714285717</v>
      </c>
      <c r="AE3229" s="218">
        <v>0</v>
      </c>
      <c r="AF3229">
        <v>0</v>
      </c>
      <c r="AH3229" t="str">
        <f t="shared" si="153"/>
        <v>Parbatta</v>
      </c>
      <c r="AJ3229" s="72">
        <v>0</v>
      </c>
      <c r="AK3229" s="72"/>
      <c r="AL3229" s="72"/>
      <c r="AM3229" s="72"/>
    </row>
    <row r="3230" spans="1:39" x14ac:dyDescent="0.25">
      <c r="A3230" s="37" t="s">
        <v>62</v>
      </c>
      <c r="B3230" s="66" t="s">
        <v>1644</v>
      </c>
      <c r="C3230" s="4">
        <v>1010</v>
      </c>
      <c r="D3230" s="41" t="s">
        <v>1359</v>
      </c>
      <c r="E3230" s="41">
        <v>10100065</v>
      </c>
      <c r="F3230" s="85" t="s">
        <v>1384</v>
      </c>
      <c r="G3230" s="39" t="s">
        <v>635</v>
      </c>
      <c r="H3230" s="52" t="s">
        <v>99</v>
      </c>
      <c r="I3230" s="52">
        <v>1111.8000000000002</v>
      </c>
      <c r="J3230" s="49">
        <v>38796.260608160985</v>
      </c>
      <c r="K3230" s="58">
        <v>0</v>
      </c>
      <c r="L3230" s="58">
        <v>0</v>
      </c>
      <c r="M3230" s="58">
        <v>0</v>
      </c>
      <c r="N3230" s="58">
        <v>0</v>
      </c>
      <c r="O3230" s="58">
        <v>0</v>
      </c>
      <c r="P3230" s="53">
        <v>0</v>
      </c>
      <c r="Q3230" s="65">
        <v>38796.260608160985</v>
      </c>
      <c r="R3230" s="65">
        <v>0</v>
      </c>
      <c r="S3230" s="65">
        <v>0</v>
      </c>
      <c r="T3230" s="65">
        <v>0</v>
      </c>
      <c r="U3230" s="58">
        <v>0</v>
      </c>
      <c r="V3230" s="65">
        <v>0</v>
      </c>
      <c r="W3230" s="65">
        <v>0</v>
      </c>
      <c r="X3230" s="65">
        <v>0</v>
      </c>
      <c r="Y3230" s="65">
        <v>0</v>
      </c>
      <c r="Z3230" s="51">
        <v>38796.260608160985</v>
      </c>
      <c r="AA3230" s="51">
        <v>0</v>
      </c>
      <c r="AB3230" s="102">
        <v>0</v>
      </c>
      <c r="AC3230" s="81">
        <f t="shared" si="154"/>
        <v>0</v>
      </c>
      <c r="AD3230" s="82">
        <f t="shared" si="155"/>
        <v>0</v>
      </c>
      <c r="AE3230" s="218">
        <v>0</v>
      </c>
      <c r="AF3230">
        <v>0</v>
      </c>
      <c r="AH3230" t="str">
        <f t="shared" si="153"/>
        <v>Parbatta</v>
      </c>
      <c r="AJ3230" s="72">
        <v>0</v>
      </c>
      <c r="AK3230" s="72"/>
      <c r="AL3230" s="72"/>
      <c r="AM3230" s="72"/>
    </row>
    <row r="3231" spans="1:39" x14ac:dyDescent="0.25">
      <c r="A3231" s="37" t="s">
        <v>62</v>
      </c>
      <c r="B3231" s="66" t="s">
        <v>1644</v>
      </c>
      <c r="C3231" s="4">
        <v>1010</v>
      </c>
      <c r="D3231" s="41" t="s">
        <v>1359</v>
      </c>
      <c r="E3231" s="41">
        <v>10100067</v>
      </c>
      <c r="F3231" s="85" t="s">
        <v>1556</v>
      </c>
      <c r="G3231" s="39" t="s">
        <v>635</v>
      </c>
      <c r="H3231" s="52" t="s">
        <v>99</v>
      </c>
      <c r="I3231" s="52">
        <v>15.200000000000001</v>
      </c>
      <c r="J3231" s="49">
        <v>457.75057422600008</v>
      </c>
      <c r="K3231" s="58">
        <v>0</v>
      </c>
      <c r="L3231" s="58">
        <v>0</v>
      </c>
      <c r="M3231" s="58">
        <v>0</v>
      </c>
      <c r="N3231" s="58">
        <v>0</v>
      </c>
      <c r="O3231" s="58">
        <v>0</v>
      </c>
      <c r="P3231" s="53">
        <v>0</v>
      </c>
      <c r="Q3231" s="65">
        <v>457.75057422600008</v>
      </c>
      <c r="R3231" s="65">
        <v>0</v>
      </c>
      <c r="S3231" s="65">
        <v>0</v>
      </c>
      <c r="T3231" s="65">
        <v>0</v>
      </c>
      <c r="U3231" s="58">
        <v>0</v>
      </c>
      <c r="V3231" s="65">
        <v>0</v>
      </c>
      <c r="W3231" s="65">
        <v>0</v>
      </c>
      <c r="X3231" s="65">
        <v>0</v>
      </c>
      <c r="Y3231" s="65">
        <v>0</v>
      </c>
      <c r="Z3231" s="51">
        <v>457.75057422600008</v>
      </c>
      <c r="AA3231" s="51">
        <v>0</v>
      </c>
      <c r="AB3231" s="102">
        <v>0</v>
      </c>
      <c r="AC3231" s="81">
        <f t="shared" si="154"/>
        <v>412.45735951311161</v>
      </c>
      <c r="AD3231" s="82">
        <f t="shared" si="155"/>
        <v>2.1714285714285717</v>
      </c>
      <c r="AE3231" s="218">
        <v>0</v>
      </c>
      <c r="AF3231">
        <v>0</v>
      </c>
      <c r="AH3231" t="str">
        <f t="shared" si="153"/>
        <v>Parbatta</v>
      </c>
      <c r="AJ3231" s="72">
        <v>0</v>
      </c>
      <c r="AK3231" s="72"/>
      <c r="AL3231" s="72"/>
      <c r="AM3231" s="72"/>
    </row>
    <row r="3232" spans="1:39" x14ac:dyDescent="0.25">
      <c r="A3232" s="37" t="s">
        <v>62</v>
      </c>
      <c r="B3232" s="66" t="s">
        <v>1644</v>
      </c>
      <c r="C3232" s="4">
        <v>1010</v>
      </c>
      <c r="D3232" s="41" t="s">
        <v>1359</v>
      </c>
      <c r="E3232" s="41">
        <v>10100069</v>
      </c>
      <c r="F3232" s="85" t="s">
        <v>1494</v>
      </c>
      <c r="G3232" s="39" t="s">
        <v>635</v>
      </c>
      <c r="H3232" s="52" t="s">
        <v>99</v>
      </c>
      <c r="I3232" s="52">
        <v>657.2</v>
      </c>
      <c r="J3232" s="49">
        <v>29665.988285801504</v>
      </c>
      <c r="K3232" s="58">
        <v>0</v>
      </c>
      <c r="L3232" s="58">
        <v>0</v>
      </c>
      <c r="M3232" s="58">
        <v>0</v>
      </c>
      <c r="N3232" s="58">
        <v>0</v>
      </c>
      <c r="O3232" s="58">
        <v>0</v>
      </c>
      <c r="P3232" s="53">
        <v>0</v>
      </c>
      <c r="Q3232" s="65">
        <v>29665.988285801504</v>
      </c>
      <c r="R3232" s="65">
        <v>0</v>
      </c>
      <c r="S3232" s="65">
        <v>0</v>
      </c>
      <c r="T3232" s="65">
        <v>0</v>
      </c>
      <c r="U3232" s="58">
        <v>0</v>
      </c>
      <c r="V3232" s="65">
        <v>0</v>
      </c>
      <c r="W3232" s="65">
        <v>0</v>
      </c>
      <c r="X3232" s="65">
        <v>0</v>
      </c>
      <c r="Y3232" s="65">
        <v>0</v>
      </c>
      <c r="Z3232" s="51">
        <v>29665.988285801504</v>
      </c>
      <c r="AA3232" s="51">
        <v>0</v>
      </c>
      <c r="AB3232" s="102">
        <v>0</v>
      </c>
      <c r="AC3232" s="81">
        <f t="shared" si="154"/>
        <v>38.639814322346446</v>
      </c>
      <c r="AD3232" s="82">
        <f t="shared" si="155"/>
        <v>93.885714285714286</v>
      </c>
      <c r="AE3232" s="218">
        <v>0</v>
      </c>
      <c r="AF3232">
        <v>0</v>
      </c>
      <c r="AH3232" t="str">
        <f t="shared" si="153"/>
        <v>Parbatta</v>
      </c>
      <c r="AJ3232" s="72">
        <v>0</v>
      </c>
      <c r="AK3232" s="72"/>
      <c r="AL3232" s="72"/>
      <c r="AM3232" s="72"/>
    </row>
    <row r="3233" spans="1:39" x14ac:dyDescent="0.25">
      <c r="A3233" s="37" t="s">
        <v>62</v>
      </c>
      <c r="B3233" s="66" t="s">
        <v>1644</v>
      </c>
      <c r="C3233" s="4">
        <v>1010</v>
      </c>
      <c r="D3233" s="41" t="s">
        <v>1359</v>
      </c>
      <c r="E3233" s="41">
        <v>10100070</v>
      </c>
      <c r="F3233" s="85" t="s">
        <v>1495</v>
      </c>
      <c r="G3233" s="39" t="s">
        <v>635</v>
      </c>
      <c r="H3233" s="52" t="s">
        <v>99</v>
      </c>
      <c r="I3233" s="52">
        <v>3137.5</v>
      </c>
      <c r="J3233" s="49">
        <v>152517.16068973299</v>
      </c>
      <c r="K3233" s="58">
        <v>0</v>
      </c>
      <c r="L3233" s="58">
        <v>0</v>
      </c>
      <c r="M3233" s="58">
        <v>0</v>
      </c>
      <c r="N3233" s="58">
        <v>0</v>
      </c>
      <c r="O3233" s="58">
        <v>0</v>
      </c>
      <c r="P3233" s="53">
        <v>0</v>
      </c>
      <c r="Q3233" s="65">
        <v>152517.16068973299</v>
      </c>
      <c r="R3233" s="65">
        <v>0</v>
      </c>
      <c r="S3233" s="65">
        <v>0</v>
      </c>
      <c r="T3233" s="65">
        <v>0</v>
      </c>
      <c r="U3233" s="58">
        <v>0</v>
      </c>
      <c r="V3233" s="65">
        <v>0</v>
      </c>
      <c r="W3233" s="65">
        <v>0</v>
      </c>
      <c r="X3233" s="65">
        <v>0</v>
      </c>
      <c r="Y3233" s="65">
        <v>0</v>
      </c>
      <c r="Z3233" s="51">
        <v>152517.16068973299</v>
      </c>
      <c r="AA3233" s="51">
        <v>0</v>
      </c>
      <c r="AB3233" s="102">
        <v>0</v>
      </c>
      <c r="AC3233" s="81">
        <f t="shared" si="154"/>
        <v>0</v>
      </c>
      <c r="AD3233" s="82">
        <f t="shared" si="155"/>
        <v>0</v>
      </c>
      <c r="AE3233" s="218">
        <v>0</v>
      </c>
      <c r="AF3233">
        <v>0</v>
      </c>
      <c r="AH3233" t="str">
        <f t="shared" si="153"/>
        <v>Parbatta</v>
      </c>
      <c r="AJ3233" s="72">
        <v>0</v>
      </c>
      <c r="AK3233" s="72"/>
      <c r="AL3233" s="72"/>
      <c r="AM3233" s="72"/>
    </row>
    <row r="3234" spans="1:39" x14ac:dyDescent="0.25">
      <c r="A3234" s="37" t="s">
        <v>62</v>
      </c>
      <c r="B3234" s="66" t="s">
        <v>1644</v>
      </c>
      <c r="C3234" s="4">
        <v>1010</v>
      </c>
      <c r="D3234" s="41" t="s">
        <v>1359</v>
      </c>
      <c r="E3234" s="41">
        <v>10100071</v>
      </c>
      <c r="F3234" s="85" t="s">
        <v>1621</v>
      </c>
      <c r="G3234" s="39" t="s">
        <v>635</v>
      </c>
      <c r="H3234" s="52" t="s">
        <v>99</v>
      </c>
      <c r="I3234" s="52">
        <v>3827.6</v>
      </c>
      <c r="J3234" s="49">
        <v>186899.99225010644</v>
      </c>
      <c r="K3234" s="58">
        <v>0</v>
      </c>
      <c r="L3234" s="58">
        <v>0</v>
      </c>
      <c r="M3234" s="58">
        <v>0</v>
      </c>
      <c r="N3234" s="58">
        <v>0</v>
      </c>
      <c r="O3234" s="58">
        <v>0</v>
      </c>
      <c r="P3234" s="53">
        <v>0</v>
      </c>
      <c r="Q3234" s="65">
        <v>186899.99225010644</v>
      </c>
      <c r="R3234" s="65">
        <v>0</v>
      </c>
      <c r="S3234" s="65">
        <v>0</v>
      </c>
      <c r="T3234" s="65">
        <v>0</v>
      </c>
      <c r="U3234" s="58">
        <v>0</v>
      </c>
      <c r="V3234" s="65">
        <v>0</v>
      </c>
      <c r="W3234" s="65">
        <v>0</v>
      </c>
      <c r="X3234" s="65">
        <v>0</v>
      </c>
      <c r="Y3234" s="65">
        <v>0</v>
      </c>
      <c r="Z3234" s="51">
        <v>186899.99225010644</v>
      </c>
      <c r="AA3234" s="51">
        <v>0</v>
      </c>
      <c r="AB3234" s="102">
        <v>0</v>
      </c>
      <c r="AC3234" s="81">
        <f t="shared" si="154"/>
        <v>0</v>
      </c>
      <c r="AD3234" s="82">
        <f t="shared" si="155"/>
        <v>0</v>
      </c>
      <c r="AE3234" s="218">
        <v>0</v>
      </c>
      <c r="AF3234">
        <v>0</v>
      </c>
      <c r="AH3234" t="str">
        <f t="shared" si="153"/>
        <v>Parbatta</v>
      </c>
      <c r="AJ3234" s="72">
        <v>0</v>
      </c>
      <c r="AK3234" s="72"/>
      <c r="AL3234" s="72"/>
      <c r="AM3234" s="72"/>
    </row>
    <row r="3235" spans="1:39" x14ac:dyDescent="0.25">
      <c r="A3235" s="37" t="s">
        <v>62</v>
      </c>
      <c r="B3235" s="66" t="s">
        <v>1644</v>
      </c>
      <c r="C3235" s="4">
        <v>1010</v>
      </c>
      <c r="D3235" s="41" t="s">
        <v>1359</v>
      </c>
      <c r="E3235" s="41">
        <v>10100073</v>
      </c>
      <c r="F3235" s="85" t="s">
        <v>1636</v>
      </c>
      <c r="G3235" s="39" t="s">
        <v>635</v>
      </c>
      <c r="H3235" s="52" t="s">
        <v>99</v>
      </c>
      <c r="I3235" s="52">
        <v>5652.2</v>
      </c>
      <c r="J3235" s="49">
        <v>222159.84813319205</v>
      </c>
      <c r="K3235" s="58">
        <v>0</v>
      </c>
      <c r="L3235" s="58">
        <v>0</v>
      </c>
      <c r="M3235" s="58">
        <v>0</v>
      </c>
      <c r="N3235" s="58">
        <v>0</v>
      </c>
      <c r="O3235" s="58">
        <v>0</v>
      </c>
      <c r="P3235" s="53">
        <v>0</v>
      </c>
      <c r="Q3235" s="65">
        <v>222159.84813319205</v>
      </c>
      <c r="R3235" s="65">
        <v>0</v>
      </c>
      <c r="S3235" s="65">
        <v>0</v>
      </c>
      <c r="T3235" s="65">
        <v>0</v>
      </c>
      <c r="U3235" s="58">
        <v>0</v>
      </c>
      <c r="V3235" s="65">
        <v>0</v>
      </c>
      <c r="W3235" s="65">
        <v>0</v>
      </c>
      <c r="X3235" s="65">
        <v>0</v>
      </c>
      <c r="Y3235" s="65">
        <v>0</v>
      </c>
      <c r="Z3235" s="51">
        <v>222159.84813319205</v>
      </c>
      <c r="AA3235" s="51">
        <v>0</v>
      </c>
      <c r="AB3235" s="102">
        <v>0</v>
      </c>
      <c r="AC3235" s="81">
        <f t="shared" si="154"/>
        <v>0</v>
      </c>
      <c r="AD3235" s="82">
        <f t="shared" si="155"/>
        <v>0</v>
      </c>
      <c r="AE3235" s="218">
        <v>0</v>
      </c>
      <c r="AF3235">
        <v>0</v>
      </c>
      <c r="AH3235" t="str">
        <f t="shared" si="153"/>
        <v>Parbatta</v>
      </c>
      <c r="AJ3235" s="72">
        <v>0</v>
      </c>
      <c r="AK3235" s="72"/>
      <c r="AL3235" s="72"/>
      <c r="AM3235" s="72"/>
    </row>
    <row r="3236" spans="1:39" x14ac:dyDescent="0.25">
      <c r="A3236" s="37" t="s">
        <v>62</v>
      </c>
      <c r="B3236" s="66" t="s">
        <v>1644</v>
      </c>
      <c r="C3236" s="4">
        <v>1055</v>
      </c>
      <c r="D3236" s="41" t="s">
        <v>1148</v>
      </c>
      <c r="E3236" s="41">
        <v>10110001</v>
      </c>
      <c r="F3236" s="85" t="s">
        <v>290</v>
      </c>
      <c r="G3236" s="39" t="s">
        <v>93</v>
      </c>
      <c r="H3236" s="52" t="s">
        <v>94</v>
      </c>
      <c r="I3236" s="52">
        <v>1706.4</v>
      </c>
      <c r="J3236" s="49">
        <v>68448.640956210016</v>
      </c>
      <c r="K3236" s="58">
        <v>1660.6</v>
      </c>
      <c r="L3236" s="58">
        <v>72044.146312722805</v>
      </c>
      <c r="M3236" s="58">
        <v>42</v>
      </c>
      <c r="N3236" s="58">
        <v>1822.7223729000004</v>
      </c>
      <c r="O3236" s="58">
        <v>1702.6</v>
      </c>
      <c r="P3236" s="53">
        <v>73866.868685622801</v>
      </c>
      <c r="Q3236" s="65">
        <v>68448.640956210016</v>
      </c>
      <c r="R3236" s="65">
        <v>0</v>
      </c>
      <c r="S3236" s="65">
        <v>1822.7223729000004</v>
      </c>
      <c r="T3236" s="65">
        <v>5418.2277294127853</v>
      </c>
      <c r="U3236" s="58">
        <v>0</v>
      </c>
      <c r="V3236" s="65">
        <v>0</v>
      </c>
      <c r="W3236" s="65">
        <v>0</v>
      </c>
      <c r="X3236" s="65">
        <v>66626</v>
      </c>
      <c r="Y3236" s="65">
        <v>0</v>
      </c>
      <c r="Z3236" s="51">
        <v>0</v>
      </c>
      <c r="AA3236" s="51">
        <v>0</v>
      </c>
      <c r="AB3236" s="102">
        <v>0</v>
      </c>
      <c r="AC3236" s="81">
        <f t="shared" si="154"/>
        <v>0</v>
      </c>
      <c r="AD3236" s="82">
        <f t="shared" si="155"/>
        <v>0</v>
      </c>
      <c r="AE3236" s="218">
        <v>-7.9157564762740773E-2</v>
      </c>
      <c r="AF3236">
        <v>13</v>
      </c>
      <c r="AH3236" t="str">
        <f t="shared" si="153"/>
        <v>Matihani</v>
      </c>
      <c r="AJ3236" s="72">
        <v>0</v>
      </c>
      <c r="AK3236" s="72"/>
      <c r="AL3236" s="72"/>
      <c r="AM3236" s="72"/>
    </row>
    <row r="3237" spans="1:39" x14ac:dyDescent="0.25">
      <c r="A3237" s="37" t="s">
        <v>62</v>
      </c>
      <c r="B3237" s="66" t="s">
        <v>1644</v>
      </c>
      <c r="C3237" s="4">
        <v>1055</v>
      </c>
      <c r="D3237" s="41" t="s">
        <v>1148</v>
      </c>
      <c r="E3237" s="41">
        <v>10110002</v>
      </c>
      <c r="F3237" s="85" t="s">
        <v>291</v>
      </c>
      <c r="G3237" s="39" t="s">
        <v>93</v>
      </c>
      <c r="H3237" s="52" t="s">
        <v>94</v>
      </c>
      <c r="I3237" s="52">
        <v>458.80000000000013</v>
      </c>
      <c r="J3237" s="49">
        <v>17636.425420320003</v>
      </c>
      <c r="K3237" s="58">
        <v>459</v>
      </c>
      <c r="L3237" s="58">
        <v>17973.963766950004</v>
      </c>
      <c r="M3237" s="58">
        <v>0</v>
      </c>
      <c r="N3237" s="58">
        <v>0</v>
      </c>
      <c r="O3237" s="58">
        <v>459</v>
      </c>
      <c r="P3237" s="53">
        <v>17973.963766950004</v>
      </c>
      <c r="Q3237" s="65">
        <v>17636.425420320003</v>
      </c>
      <c r="R3237" s="65">
        <v>0</v>
      </c>
      <c r="S3237" s="65">
        <v>0</v>
      </c>
      <c r="T3237" s="65">
        <v>337.53834663000089</v>
      </c>
      <c r="U3237" s="58">
        <v>0</v>
      </c>
      <c r="V3237" s="65">
        <v>0</v>
      </c>
      <c r="W3237" s="65">
        <v>0</v>
      </c>
      <c r="X3237" s="65">
        <v>17636</v>
      </c>
      <c r="Y3237" s="65">
        <v>0</v>
      </c>
      <c r="Z3237" s="51">
        <v>0</v>
      </c>
      <c r="AA3237" s="51">
        <v>0</v>
      </c>
      <c r="AB3237" s="102">
        <v>0</v>
      </c>
      <c r="AC3237" s="81">
        <f t="shared" si="154"/>
        <v>185.4361731203654</v>
      </c>
      <c r="AD3237" s="82">
        <f t="shared" si="155"/>
        <v>65.542857142857159</v>
      </c>
      <c r="AE3237" s="218">
        <v>-1.9138705184617646E-2</v>
      </c>
      <c r="AF3237">
        <v>2</v>
      </c>
      <c r="AH3237" t="str">
        <f t="shared" si="153"/>
        <v>Matihani</v>
      </c>
      <c r="AJ3237" s="72">
        <v>0</v>
      </c>
      <c r="AK3237" s="72"/>
      <c r="AL3237" s="72"/>
      <c r="AM3237" s="72"/>
    </row>
    <row r="3238" spans="1:39" x14ac:dyDescent="0.25">
      <c r="A3238" s="37" t="s">
        <v>62</v>
      </c>
      <c r="B3238" s="66" t="s">
        <v>1644</v>
      </c>
      <c r="C3238" s="4">
        <v>1011</v>
      </c>
      <c r="D3238" s="41" t="s">
        <v>289</v>
      </c>
      <c r="E3238" s="41">
        <v>10110004</v>
      </c>
      <c r="F3238" s="85" t="s">
        <v>292</v>
      </c>
      <c r="G3238" s="39" t="s">
        <v>93</v>
      </c>
      <c r="H3238" s="52" t="s">
        <v>94</v>
      </c>
      <c r="I3238" s="52">
        <v>407</v>
      </c>
      <c r="J3238" s="49">
        <v>15624.229528710001</v>
      </c>
      <c r="K3238" s="58">
        <v>411</v>
      </c>
      <c r="L3238" s="58">
        <v>15796.628078790001</v>
      </c>
      <c r="M3238" s="58">
        <v>1.4000000000000001</v>
      </c>
      <c r="N3238" s="58">
        <v>53.951355360000001</v>
      </c>
      <c r="O3238" s="58">
        <v>412.4</v>
      </c>
      <c r="P3238" s="53">
        <v>15850.579434150002</v>
      </c>
      <c r="Q3238" s="65">
        <v>15624.229528710001</v>
      </c>
      <c r="R3238" s="65">
        <v>0</v>
      </c>
      <c r="S3238" s="65">
        <v>53.951355360000001</v>
      </c>
      <c r="T3238" s="65">
        <v>226.34990544000175</v>
      </c>
      <c r="U3238" s="58">
        <v>0</v>
      </c>
      <c r="V3238" s="65">
        <v>0</v>
      </c>
      <c r="W3238" s="65">
        <v>0</v>
      </c>
      <c r="X3238" s="65">
        <v>15570</v>
      </c>
      <c r="Y3238" s="65">
        <v>0</v>
      </c>
      <c r="Z3238" s="51">
        <v>0</v>
      </c>
      <c r="AA3238" s="51">
        <v>0</v>
      </c>
      <c r="AB3238" s="102">
        <v>0</v>
      </c>
      <c r="AC3238" s="81">
        <f t="shared" si="154"/>
        <v>224.95819419715139</v>
      </c>
      <c r="AD3238" s="82">
        <f t="shared" si="155"/>
        <v>58.142857142857146</v>
      </c>
      <c r="AE3238" s="218">
        <v>-1.4487108309825893E-2</v>
      </c>
      <c r="AF3238">
        <v>3</v>
      </c>
      <c r="AH3238" t="str">
        <f t="shared" si="153"/>
        <v>Sahibpur Kamal</v>
      </c>
      <c r="AJ3238" s="72">
        <v>0</v>
      </c>
      <c r="AK3238" s="72"/>
      <c r="AL3238" s="72"/>
      <c r="AM3238" s="72"/>
    </row>
    <row r="3239" spans="1:39" x14ac:dyDescent="0.25">
      <c r="A3239" s="37" t="s">
        <v>62</v>
      </c>
      <c r="B3239" s="66" t="s">
        <v>1644</v>
      </c>
      <c r="C3239" s="4">
        <v>1055</v>
      </c>
      <c r="D3239" s="41" t="s">
        <v>1148</v>
      </c>
      <c r="E3239" s="41">
        <v>10110005</v>
      </c>
      <c r="F3239" s="85" t="s">
        <v>293</v>
      </c>
      <c r="G3239" s="39" t="s">
        <v>93</v>
      </c>
      <c r="H3239" s="52" t="s">
        <v>94</v>
      </c>
      <c r="I3239" s="52">
        <v>3785.8000000000006</v>
      </c>
      <c r="J3239" s="49">
        <v>155866.08409408951</v>
      </c>
      <c r="K3239" s="58">
        <v>3746.0099999999993</v>
      </c>
      <c r="L3239" s="58">
        <v>155076.33595485147</v>
      </c>
      <c r="M3239" s="58">
        <v>30.23</v>
      </c>
      <c r="N3239" s="58">
        <v>2303.1026592892404</v>
      </c>
      <c r="O3239" s="58">
        <v>3776.2399999999993</v>
      </c>
      <c r="P3239" s="53">
        <v>157379.4386141407</v>
      </c>
      <c r="Q3239" s="65">
        <v>155866.08409408951</v>
      </c>
      <c r="R3239" s="65">
        <v>0</v>
      </c>
      <c r="S3239" s="65">
        <v>2303.1026592892404</v>
      </c>
      <c r="T3239" s="65">
        <v>1513.3545200511871</v>
      </c>
      <c r="U3239" s="58">
        <v>0</v>
      </c>
      <c r="V3239" s="65">
        <v>0</v>
      </c>
      <c r="W3239" s="65">
        <v>0</v>
      </c>
      <c r="X3239" s="65">
        <v>153563</v>
      </c>
      <c r="Y3239" s="65">
        <v>0</v>
      </c>
      <c r="Z3239" s="51">
        <v>0</v>
      </c>
      <c r="AA3239" s="51">
        <v>0</v>
      </c>
      <c r="AB3239" s="102">
        <v>0</v>
      </c>
      <c r="AC3239" s="81">
        <f t="shared" si="154"/>
        <v>0</v>
      </c>
      <c r="AD3239" s="82">
        <f t="shared" si="155"/>
        <v>0</v>
      </c>
      <c r="AE3239" s="218">
        <v>-9.7093253407049187E-3</v>
      </c>
      <c r="AF3239">
        <v>35</v>
      </c>
      <c r="AH3239" t="str">
        <f t="shared" si="153"/>
        <v>Matihani</v>
      </c>
      <c r="AJ3239" s="72">
        <v>0</v>
      </c>
      <c r="AK3239" s="72"/>
      <c r="AL3239" s="72"/>
      <c r="AM3239" s="72"/>
    </row>
    <row r="3240" spans="1:39" x14ac:dyDescent="0.25">
      <c r="A3240" s="37" t="s">
        <v>62</v>
      </c>
      <c r="B3240" s="66" t="s">
        <v>1644</v>
      </c>
      <c r="C3240" s="4">
        <v>1011</v>
      </c>
      <c r="D3240" s="41" t="s">
        <v>289</v>
      </c>
      <c r="E3240" s="41">
        <v>10110007</v>
      </c>
      <c r="F3240" s="85" t="s">
        <v>294</v>
      </c>
      <c r="G3240" s="39" t="s">
        <v>93</v>
      </c>
      <c r="H3240" s="52" t="s">
        <v>94</v>
      </c>
      <c r="I3240" s="52">
        <v>1288.5</v>
      </c>
      <c r="J3240" s="49">
        <v>46684.107586386002</v>
      </c>
      <c r="K3240" s="58">
        <v>1285.7</v>
      </c>
      <c r="L3240" s="58">
        <v>46924.639856133006</v>
      </c>
      <c r="M3240" s="58">
        <v>2.8000000000000003</v>
      </c>
      <c r="N3240" s="58">
        <v>103.41518553300003</v>
      </c>
      <c r="O3240" s="58">
        <v>1288.5</v>
      </c>
      <c r="P3240" s="53">
        <v>47028.055041666004</v>
      </c>
      <c r="Q3240" s="65">
        <v>46684.107586386002</v>
      </c>
      <c r="R3240" s="65">
        <v>0</v>
      </c>
      <c r="S3240" s="65">
        <v>103.41518553300003</v>
      </c>
      <c r="T3240" s="65">
        <v>343.94745528000203</v>
      </c>
      <c r="U3240" s="58">
        <v>0</v>
      </c>
      <c r="V3240" s="65">
        <v>0</v>
      </c>
      <c r="W3240" s="65">
        <v>0</v>
      </c>
      <c r="X3240" s="65">
        <v>46581</v>
      </c>
      <c r="Y3240" s="65">
        <v>0</v>
      </c>
      <c r="Z3240" s="51">
        <v>0</v>
      </c>
      <c r="AA3240" s="51">
        <v>0</v>
      </c>
      <c r="AB3240" s="102">
        <v>0</v>
      </c>
      <c r="AC3240" s="81">
        <f t="shared" si="154"/>
        <v>0</v>
      </c>
      <c r="AD3240" s="82">
        <f t="shared" si="155"/>
        <v>0</v>
      </c>
      <c r="AE3240" s="218">
        <v>-7.3675491095882882E-3</v>
      </c>
      <c r="AF3240">
        <v>5</v>
      </c>
      <c r="AH3240" t="str">
        <f t="shared" si="153"/>
        <v>Sahibpur Kamal</v>
      </c>
      <c r="AJ3240" s="72">
        <v>0</v>
      </c>
      <c r="AK3240" s="72"/>
      <c r="AL3240" s="72"/>
      <c r="AM3240" s="72"/>
    </row>
    <row r="3241" spans="1:39" x14ac:dyDescent="0.25">
      <c r="A3241" s="37" t="s">
        <v>62</v>
      </c>
      <c r="B3241" s="66" t="s">
        <v>1644</v>
      </c>
      <c r="C3241" s="4">
        <v>1011</v>
      </c>
      <c r="D3241" s="41" t="s">
        <v>289</v>
      </c>
      <c r="E3241" s="41">
        <v>10110008</v>
      </c>
      <c r="F3241" s="85" t="s">
        <v>622</v>
      </c>
      <c r="G3241" s="39" t="s">
        <v>635</v>
      </c>
      <c r="H3241" s="52" t="s">
        <v>99</v>
      </c>
      <c r="I3241" s="52">
        <v>7484.6</v>
      </c>
      <c r="J3241" s="49">
        <v>290198.37777672004</v>
      </c>
      <c r="K3241" s="58">
        <v>0</v>
      </c>
      <c r="L3241" s="58">
        <v>0</v>
      </c>
      <c r="M3241" s="58">
        <v>0</v>
      </c>
      <c r="N3241" s="58">
        <v>0</v>
      </c>
      <c r="O3241" s="58">
        <v>0</v>
      </c>
      <c r="P3241" s="53">
        <v>0</v>
      </c>
      <c r="Q3241" s="65">
        <v>290198.37777672004</v>
      </c>
      <c r="R3241" s="65">
        <v>0</v>
      </c>
      <c r="S3241" s="65">
        <v>0</v>
      </c>
      <c r="T3241" s="65">
        <v>0</v>
      </c>
      <c r="U3241" s="58">
        <v>0</v>
      </c>
      <c r="V3241" s="65">
        <v>0</v>
      </c>
      <c r="W3241" s="65">
        <v>0</v>
      </c>
      <c r="X3241" s="65">
        <v>0</v>
      </c>
      <c r="Y3241" s="65">
        <v>0</v>
      </c>
      <c r="Z3241" s="51">
        <v>290198.37777672004</v>
      </c>
      <c r="AA3241" s="51">
        <v>0</v>
      </c>
      <c r="AB3241" s="102">
        <v>0</v>
      </c>
      <c r="AC3241" s="81">
        <f t="shared" si="154"/>
        <v>0</v>
      </c>
      <c r="AD3241" s="82">
        <f t="shared" si="155"/>
        <v>0</v>
      </c>
      <c r="AE3241" s="218">
        <v>0</v>
      </c>
      <c r="AF3241">
        <v>0</v>
      </c>
      <c r="AH3241" t="str">
        <f t="shared" si="153"/>
        <v>Sahibpur Kamal</v>
      </c>
      <c r="AJ3241" s="72">
        <v>0</v>
      </c>
      <c r="AK3241" s="72"/>
      <c r="AL3241" s="72"/>
      <c r="AM3241" s="72"/>
    </row>
    <row r="3242" spans="1:39" x14ac:dyDescent="0.25">
      <c r="A3242" s="37" t="s">
        <v>62</v>
      </c>
      <c r="B3242" s="66" t="s">
        <v>1644</v>
      </c>
      <c r="C3242" s="4">
        <v>1011</v>
      </c>
      <c r="D3242" s="41" t="s">
        <v>289</v>
      </c>
      <c r="E3242" s="41">
        <v>10110013</v>
      </c>
      <c r="F3242" s="85" t="s">
        <v>295</v>
      </c>
      <c r="G3242" s="39" t="s">
        <v>93</v>
      </c>
      <c r="H3242" s="52" t="s">
        <v>94</v>
      </c>
      <c r="I3242" s="52">
        <v>891.19999999999993</v>
      </c>
      <c r="J3242" s="49">
        <v>32346.419896482003</v>
      </c>
      <c r="K3242" s="58">
        <v>941</v>
      </c>
      <c r="L3242" s="58">
        <v>35529.133614600003</v>
      </c>
      <c r="M3242" s="58">
        <v>1.5</v>
      </c>
      <c r="N3242" s="58">
        <v>56.580019920000012</v>
      </c>
      <c r="O3242" s="58">
        <v>942.5</v>
      </c>
      <c r="P3242" s="53">
        <v>35585.713634520005</v>
      </c>
      <c r="Q3242" s="65">
        <v>32346.419896482003</v>
      </c>
      <c r="R3242" s="65">
        <v>0</v>
      </c>
      <c r="S3242" s="65">
        <v>56.580019920000012</v>
      </c>
      <c r="T3242" s="65">
        <v>3239.2937380380026</v>
      </c>
      <c r="U3242" s="58">
        <v>0</v>
      </c>
      <c r="V3242" s="65">
        <v>0</v>
      </c>
      <c r="W3242" s="65">
        <v>0</v>
      </c>
      <c r="X3242" s="65">
        <v>32289</v>
      </c>
      <c r="Y3242" s="65">
        <v>0</v>
      </c>
      <c r="Z3242" s="51">
        <v>0</v>
      </c>
      <c r="AA3242" s="51">
        <v>1</v>
      </c>
      <c r="AB3242" s="102">
        <v>0</v>
      </c>
      <c r="AC3242" s="81">
        <f t="shared" si="154"/>
        <v>0</v>
      </c>
      <c r="AD3242" s="82">
        <f t="shared" si="155"/>
        <v>0</v>
      </c>
      <c r="AE3242" s="218">
        <v>-0.10014381030125404</v>
      </c>
      <c r="AF3242">
        <v>7</v>
      </c>
      <c r="AH3242" t="str">
        <f t="shared" si="153"/>
        <v>Sahibpur Kamal</v>
      </c>
      <c r="AJ3242" s="72">
        <v>0</v>
      </c>
      <c r="AK3242" s="72"/>
      <c r="AL3242" s="72"/>
      <c r="AM3242" s="72"/>
    </row>
    <row r="3243" spans="1:39" x14ac:dyDescent="0.25">
      <c r="A3243" s="37" t="s">
        <v>62</v>
      </c>
      <c r="B3243" s="66" t="s">
        <v>1644</v>
      </c>
      <c r="C3243" s="4">
        <v>1011</v>
      </c>
      <c r="D3243" s="41" t="s">
        <v>289</v>
      </c>
      <c r="E3243" s="41">
        <v>10110014</v>
      </c>
      <c r="F3243" s="85" t="s">
        <v>296</v>
      </c>
      <c r="G3243" s="39" t="s">
        <v>93</v>
      </c>
      <c r="H3243" s="52" t="s">
        <v>94</v>
      </c>
      <c r="I3243" s="52">
        <v>916.99999999999966</v>
      </c>
      <c r="J3243" s="49">
        <v>39987.012872691914</v>
      </c>
      <c r="K3243" s="58">
        <v>933.8</v>
      </c>
      <c r="L3243" s="58">
        <v>39569.584930019242</v>
      </c>
      <c r="M3243" s="58">
        <v>16.299999999999997</v>
      </c>
      <c r="N3243" s="58">
        <v>688.40884634772499</v>
      </c>
      <c r="O3243" s="58">
        <v>950.09999999999991</v>
      </c>
      <c r="P3243" s="53">
        <v>40257.993776366966</v>
      </c>
      <c r="Q3243" s="65">
        <v>39987.012872691914</v>
      </c>
      <c r="R3243" s="65">
        <v>0</v>
      </c>
      <c r="S3243" s="65">
        <v>688.40884634772499</v>
      </c>
      <c r="T3243" s="65">
        <v>270.9809036750521</v>
      </c>
      <c r="U3243" s="58">
        <v>0</v>
      </c>
      <c r="V3243" s="65">
        <v>0</v>
      </c>
      <c r="W3243" s="65">
        <v>0</v>
      </c>
      <c r="X3243" s="65">
        <v>39299</v>
      </c>
      <c r="Y3243" s="65">
        <v>0</v>
      </c>
      <c r="Z3243" s="51">
        <v>0</v>
      </c>
      <c r="AA3243" s="51">
        <v>0</v>
      </c>
      <c r="AB3243" s="102">
        <v>0</v>
      </c>
      <c r="AC3243" s="81">
        <f t="shared" si="154"/>
        <v>0</v>
      </c>
      <c r="AD3243" s="82">
        <f t="shared" si="155"/>
        <v>0</v>
      </c>
      <c r="AE3243" s="218">
        <v>-6.7767228459345965E-3</v>
      </c>
      <c r="AF3243">
        <v>30</v>
      </c>
      <c r="AH3243" t="str">
        <f t="shared" si="153"/>
        <v>Sahibpur Kamal</v>
      </c>
      <c r="AJ3243" s="72">
        <v>0</v>
      </c>
      <c r="AK3243" s="72"/>
      <c r="AL3243" s="72"/>
      <c r="AM3243" s="72"/>
    </row>
    <row r="3244" spans="1:39" x14ac:dyDescent="0.25">
      <c r="A3244" s="37" t="s">
        <v>62</v>
      </c>
      <c r="B3244" s="66" t="s">
        <v>1644</v>
      </c>
      <c r="C3244" s="4">
        <v>1055</v>
      </c>
      <c r="D3244" s="41" t="s">
        <v>1148</v>
      </c>
      <c r="E3244" s="41">
        <v>10110015</v>
      </c>
      <c r="F3244" s="85" t="s">
        <v>297</v>
      </c>
      <c r="G3244" s="39" t="s">
        <v>93</v>
      </c>
      <c r="H3244" s="52" t="s">
        <v>94</v>
      </c>
      <c r="I3244" s="52">
        <v>902.9000000000002</v>
      </c>
      <c r="J3244" s="49">
        <v>38178.189871980001</v>
      </c>
      <c r="K3244" s="58">
        <v>924.47</v>
      </c>
      <c r="L3244" s="58">
        <v>40676.05893913129</v>
      </c>
      <c r="M3244" s="58">
        <v>0</v>
      </c>
      <c r="N3244" s="58">
        <v>0</v>
      </c>
      <c r="O3244" s="58">
        <v>924.47</v>
      </c>
      <c r="P3244" s="53">
        <v>40676.05893913129</v>
      </c>
      <c r="Q3244" s="65">
        <v>38178.189871980001</v>
      </c>
      <c r="R3244" s="65">
        <v>0</v>
      </c>
      <c r="S3244" s="65">
        <v>0</v>
      </c>
      <c r="T3244" s="65">
        <v>2497.8690671512886</v>
      </c>
      <c r="U3244" s="58">
        <v>0</v>
      </c>
      <c r="V3244" s="65">
        <v>0</v>
      </c>
      <c r="W3244" s="65">
        <v>0</v>
      </c>
      <c r="X3244" s="65">
        <v>38178</v>
      </c>
      <c r="Y3244" s="65">
        <v>0</v>
      </c>
      <c r="Z3244" s="51">
        <v>0</v>
      </c>
      <c r="AA3244" s="51">
        <v>0</v>
      </c>
      <c r="AB3244" s="102">
        <v>0</v>
      </c>
      <c r="AC3244" s="81">
        <f t="shared" si="154"/>
        <v>0</v>
      </c>
      <c r="AD3244" s="82">
        <f t="shared" si="155"/>
        <v>0</v>
      </c>
      <c r="AE3244" s="218">
        <v>-6.5426597634073311E-2</v>
      </c>
      <c r="AF3244">
        <v>8</v>
      </c>
      <c r="AH3244" t="str">
        <f t="shared" si="153"/>
        <v>Matihani</v>
      </c>
      <c r="AJ3244" s="72">
        <v>0</v>
      </c>
      <c r="AK3244" s="72"/>
      <c r="AL3244" s="72"/>
      <c r="AM3244" s="72"/>
    </row>
    <row r="3245" spans="1:39" x14ac:dyDescent="0.25">
      <c r="A3245" s="37" t="s">
        <v>62</v>
      </c>
      <c r="B3245" s="66" t="s">
        <v>1644</v>
      </c>
      <c r="C3245" s="4">
        <v>1055</v>
      </c>
      <c r="D3245" s="41" t="s">
        <v>1148</v>
      </c>
      <c r="E3245" s="41">
        <v>10110016</v>
      </c>
      <c r="F3245" s="85" t="s">
        <v>298</v>
      </c>
      <c r="G3245" s="39" t="s">
        <v>93</v>
      </c>
      <c r="H3245" s="52" t="s">
        <v>94</v>
      </c>
      <c r="I3245" s="52">
        <v>663.50000000000011</v>
      </c>
      <c r="J3245" s="49">
        <v>27038.773187112005</v>
      </c>
      <c r="K3245" s="58">
        <v>650.95000000000005</v>
      </c>
      <c r="L3245" s="58">
        <v>27197.604154575001</v>
      </c>
      <c r="M3245" s="58">
        <v>3.25</v>
      </c>
      <c r="N3245" s="58">
        <v>135.72697087500001</v>
      </c>
      <c r="O3245" s="58">
        <v>654.20000000000005</v>
      </c>
      <c r="P3245" s="53">
        <v>27333.33112545</v>
      </c>
      <c r="Q3245" s="65">
        <v>27038.773187112005</v>
      </c>
      <c r="R3245" s="65">
        <v>0</v>
      </c>
      <c r="S3245" s="65">
        <v>135.72697087500001</v>
      </c>
      <c r="T3245" s="65">
        <v>294.55793833799544</v>
      </c>
      <c r="U3245" s="58">
        <v>0</v>
      </c>
      <c r="V3245" s="65">
        <v>0</v>
      </c>
      <c r="W3245" s="65">
        <v>0</v>
      </c>
      <c r="X3245" s="65">
        <v>26903</v>
      </c>
      <c r="Y3245" s="65">
        <v>0</v>
      </c>
      <c r="Z3245" s="51">
        <v>0</v>
      </c>
      <c r="AA3245" s="51">
        <v>0</v>
      </c>
      <c r="AB3245" s="102">
        <v>0</v>
      </c>
      <c r="AC3245" s="81">
        <f t="shared" si="154"/>
        <v>29.748763265398168</v>
      </c>
      <c r="AD3245" s="82">
        <f t="shared" si="155"/>
        <v>94.785714285714306</v>
      </c>
      <c r="AE3245" s="218">
        <v>-1.0893909139279886E-2</v>
      </c>
      <c r="AF3245">
        <v>7</v>
      </c>
      <c r="AH3245" t="str">
        <f t="shared" si="153"/>
        <v>Matihani</v>
      </c>
      <c r="AJ3245" s="72">
        <v>0</v>
      </c>
      <c r="AK3245" s="72"/>
      <c r="AL3245" s="72"/>
      <c r="AM3245" s="72"/>
    </row>
    <row r="3246" spans="1:39" x14ac:dyDescent="0.25">
      <c r="A3246" s="37" t="s">
        <v>62</v>
      </c>
      <c r="B3246" s="66" t="s">
        <v>1644</v>
      </c>
      <c r="C3246" s="4">
        <v>1011</v>
      </c>
      <c r="D3246" s="41" t="s">
        <v>289</v>
      </c>
      <c r="E3246" s="41">
        <v>10110021</v>
      </c>
      <c r="F3246" s="85" t="s">
        <v>299</v>
      </c>
      <c r="G3246" s="39" t="s">
        <v>93</v>
      </c>
      <c r="H3246" s="52" t="s">
        <v>94</v>
      </c>
      <c r="I3246" s="52">
        <v>66.899999999999991</v>
      </c>
      <c r="J3246" s="49">
        <v>2615.1717902174996</v>
      </c>
      <c r="K3246" s="58">
        <v>65.95</v>
      </c>
      <c r="L3246" s="58">
        <v>2557.7517367929004</v>
      </c>
      <c r="M3246" s="58">
        <v>1.0899999999999999</v>
      </c>
      <c r="N3246" s="58">
        <v>41.561373534900007</v>
      </c>
      <c r="O3246" s="58">
        <v>67.040000000000006</v>
      </c>
      <c r="P3246" s="53">
        <v>2599.3131103278006</v>
      </c>
      <c r="Q3246" s="65">
        <v>2599.3131103278006</v>
      </c>
      <c r="R3246" s="65">
        <v>0</v>
      </c>
      <c r="S3246" s="65">
        <v>41.561373534900007</v>
      </c>
      <c r="T3246" s="65">
        <v>0</v>
      </c>
      <c r="U3246" s="58">
        <v>0</v>
      </c>
      <c r="V3246" s="65">
        <v>0</v>
      </c>
      <c r="W3246" s="65">
        <v>0</v>
      </c>
      <c r="X3246" s="65">
        <v>2557</v>
      </c>
      <c r="Y3246" s="65">
        <v>0</v>
      </c>
      <c r="Z3246" s="51">
        <v>0</v>
      </c>
      <c r="AA3246" s="51">
        <v>17</v>
      </c>
      <c r="AB3246" s="102">
        <v>0</v>
      </c>
      <c r="AC3246" s="81">
        <f t="shared" si="154"/>
        <v>494.96719294071733</v>
      </c>
      <c r="AD3246" s="82">
        <f t="shared" si="155"/>
        <v>9.5571428571428552</v>
      </c>
      <c r="AE3246" s="218">
        <v>6.064106361586323E-3</v>
      </c>
      <c r="AF3246">
        <v>5</v>
      </c>
      <c r="AH3246" t="str">
        <f t="shared" si="153"/>
        <v>Sahibpur Kamal</v>
      </c>
      <c r="AJ3246" s="72">
        <v>0</v>
      </c>
      <c r="AK3246" s="72"/>
      <c r="AL3246" s="72"/>
      <c r="AM3246" s="72"/>
    </row>
    <row r="3247" spans="1:39" x14ac:dyDescent="0.25">
      <c r="A3247" s="37" t="s">
        <v>62</v>
      </c>
      <c r="B3247" s="66" t="s">
        <v>1644</v>
      </c>
      <c r="C3247" s="4">
        <v>1011</v>
      </c>
      <c r="D3247" s="41" t="s">
        <v>289</v>
      </c>
      <c r="E3247" s="41">
        <v>10110032</v>
      </c>
      <c r="F3247" s="85" t="s">
        <v>1266</v>
      </c>
      <c r="G3247" s="39" t="s">
        <v>93</v>
      </c>
      <c r="H3247" s="52" t="s">
        <v>94</v>
      </c>
      <c r="I3247" s="52">
        <v>289.89999999999998</v>
      </c>
      <c r="J3247" s="49">
        <v>9692.6633938200011</v>
      </c>
      <c r="K3247" s="58">
        <v>288.60000000000002</v>
      </c>
      <c r="L3247" s="58">
        <v>10948.78012644</v>
      </c>
      <c r="M3247" s="58">
        <v>1.2999999999999998</v>
      </c>
      <c r="N3247" s="58">
        <v>49.531014000000006</v>
      </c>
      <c r="O3247" s="58">
        <v>289.90000000000003</v>
      </c>
      <c r="P3247" s="53">
        <v>10998.311140440001</v>
      </c>
      <c r="Q3247" s="65">
        <v>9692.6633938200011</v>
      </c>
      <c r="R3247" s="65">
        <v>0</v>
      </c>
      <c r="S3247" s="65">
        <v>49.531014000000006</v>
      </c>
      <c r="T3247" s="65">
        <v>1305.6477466199995</v>
      </c>
      <c r="U3247" s="58">
        <v>0</v>
      </c>
      <c r="V3247" s="65">
        <v>500</v>
      </c>
      <c r="W3247" s="65">
        <v>0</v>
      </c>
      <c r="X3247" s="65">
        <v>9143</v>
      </c>
      <c r="Y3247" s="65">
        <v>0</v>
      </c>
      <c r="Z3247" s="51">
        <v>0</v>
      </c>
      <c r="AA3247" s="51">
        <v>0</v>
      </c>
      <c r="AB3247" s="102">
        <v>0</v>
      </c>
      <c r="AC3247" s="81">
        <f t="shared" si="154"/>
        <v>274.22982116630442</v>
      </c>
      <c r="AD3247" s="82">
        <f t="shared" si="155"/>
        <v>41.414285714285711</v>
      </c>
      <c r="AE3247" s="218">
        <v>-0.13470474456509804</v>
      </c>
      <c r="AF3247">
        <v>3</v>
      </c>
      <c r="AH3247" t="str">
        <f t="shared" si="153"/>
        <v>Sahibpur Kamal</v>
      </c>
      <c r="AJ3247" s="72">
        <v>500</v>
      </c>
      <c r="AK3247" s="72"/>
      <c r="AL3247" s="72"/>
      <c r="AM3247" s="72"/>
    </row>
    <row r="3248" spans="1:39" x14ac:dyDescent="0.25">
      <c r="A3248" s="37" t="s">
        <v>62</v>
      </c>
      <c r="B3248" s="66" t="s">
        <v>1644</v>
      </c>
      <c r="C3248" s="4">
        <v>1055</v>
      </c>
      <c r="D3248" s="41" t="s">
        <v>1148</v>
      </c>
      <c r="E3248" s="41">
        <v>10110042</v>
      </c>
      <c r="F3248" s="85" t="s">
        <v>301</v>
      </c>
      <c r="G3248" s="39" t="s">
        <v>635</v>
      </c>
      <c r="H3248" s="52" t="s">
        <v>99</v>
      </c>
      <c r="I3248" s="52">
        <v>400.2</v>
      </c>
      <c r="J3248" s="49">
        <v>15797.936867460001</v>
      </c>
      <c r="K3248" s="58">
        <v>0</v>
      </c>
      <c r="L3248" s="58">
        <v>0</v>
      </c>
      <c r="M3248" s="58">
        <v>0</v>
      </c>
      <c r="N3248" s="58">
        <v>0</v>
      </c>
      <c r="O3248" s="58">
        <v>0</v>
      </c>
      <c r="P3248" s="53">
        <v>0</v>
      </c>
      <c r="Q3248" s="65">
        <v>15797.936867460001</v>
      </c>
      <c r="R3248" s="65">
        <v>0</v>
      </c>
      <c r="S3248" s="65">
        <v>0</v>
      </c>
      <c r="T3248" s="65">
        <v>0</v>
      </c>
      <c r="U3248" s="58">
        <v>0</v>
      </c>
      <c r="V3248" s="65">
        <v>0</v>
      </c>
      <c r="W3248" s="65">
        <v>0</v>
      </c>
      <c r="X3248" s="65">
        <v>0</v>
      </c>
      <c r="Y3248" s="65">
        <v>0</v>
      </c>
      <c r="Z3248" s="51">
        <v>15797.936867460001</v>
      </c>
      <c r="AA3248" s="51">
        <v>0</v>
      </c>
      <c r="AB3248" s="102">
        <v>0</v>
      </c>
      <c r="AC3248" s="81">
        <f t="shared" si="154"/>
        <v>236.69272727958563</v>
      </c>
      <c r="AD3248" s="82">
        <f t="shared" si="155"/>
        <v>57.171428571428571</v>
      </c>
      <c r="AE3248" s="218">
        <v>0</v>
      </c>
      <c r="AF3248">
        <v>0</v>
      </c>
      <c r="AH3248" t="str">
        <f t="shared" si="153"/>
        <v>Matihani</v>
      </c>
      <c r="AJ3248" s="72">
        <v>0</v>
      </c>
      <c r="AK3248" s="72"/>
      <c r="AL3248" s="72"/>
      <c r="AM3248" s="72"/>
    </row>
    <row r="3249" spans="1:39" x14ac:dyDescent="0.25">
      <c r="A3249" s="37" t="s">
        <v>62</v>
      </c>
      <c r="B3249" s="66" t="s">
        <v>1644</v>
      </c>
      <c r="C3249" s="4">
        <v>1011</v>
      </c>
      <c r="D3249" s="41" t="s">
        <v>289</v>
      </c>
      <c r="E3249" s="41">
        <v>10110043</v>
      </c>
      <c r="F3249" s="85" t="s">
        <v>302</v>
      </c>
      <c r="G3249" s="39" t="s">
        <v>93</v>
      </c>
      <c r="H3249" s="52" t="s">
        <v>99</v>
      </c>
      <c r="I3249" s="52">
        <v>463.6</v>
      </c>
      <c r="J3249" s="49">
        <v>17670.304405380004</v>
      </c>
      <c r="K3249" s="58">
        <v>0</v>
      </c>
      <c r="L3249" s="58">
        <v>0</v>
      </c>
      <c r="M3249" s="58">
        <v>0</v>
      </c>
      <c r="N3249" s="58">
        <v>0</v>
      </c>
      <c r="O3249" s="58">
        <v>0</v>
      </c>
      <c r="P3249" s="53">
        <v>0</v>
      </c>
      <c r="Q3249" s="65">
        <v>17670.304405380004</v>
      </c>
      <c r="R3249" s="65">
        <v>0</v>
      </c>
      <c r="S3249" s="65">
        <v>0</v>
      </c>
      <c r="T3249" s="65">
        <v>0</v>
      </c>
      <c r="U3249" s="58">
        <v>0</v>
      </c>
      <c r="V3249" s="65">
        <v>0</v>
      </c>
      <c r="W3249" s="65">
        <v>0</v>
      </c>
      <c r="X3249" s="65">
        <v>0</v>
      </c>
      <c r="Y3249" s="65">
        <v>0</v>
      </c>
      <c r="Z3249" s="51">
        <v>17670.304405380004</v>
      </c>
      <c r="AA3249" s="51">
        <v>0</v>
      </c>
      <c r="AB3249" s="102">
        <v>0</v>
      </c>
      <c r="AC3249" s="81">
        <f t="shared" si="154"/>
        <v>180.20966183916448</v>
      </c>
      <c r="AD3249" s="82">
        <f t="shared" si="155"/>
        <v>66.228571428571428</v>
      </c>
      <c r="AE3249" s="218">
        <v>0</v>
      </c>
      <c r="AF3249">
        <v>0</v>
      </c>
      <c r="AH3249" t="str">
        <f t="shared" si="153"/>
        <v>Sahibpur Kamal</v>
      </c>
      <c r="AJ3249" s="72">
        <v>0</v>
      </c>
      <c r="AK3249" s="72"/>
      <c r="AL3249" s="72"/>
      <c r="AM3249" s="72"/>
    </row>
    <row r="3250" spans="1:39" x14ac:dyDescent="0.25">
      <c r="A3250" s="37" t="s">
        <v>62</v>
      </c>
      <c r="B3250" s="66" t="s">
        <v>1644</v>
      </c>
      <c r="C3250" s="4">
        <v>1011</v>
      </c>
      <c r="D3250" s="41" t="s">
        <v>289</v>
      </c>
      <c r="E3250" s="41">
        <v>10110049</v>
      </c>
      <c r="F3250" s="85" t="s">
        <v>1366</v>
      </c>
      <c r="G3250" s="39" t="s">
        <v>93</v>
      </c>
      <c r="H3250" s="52" t="s">
        <v>94</v>
      </c>
      <c r="I3250" s="52">
        <v>608</v>
      </c>
      <c r="J3250" s="49">
        <v>23460.385296300006</v>
      </c>
      <c r="K3250" s="58">
        <v>614.40000000000009</v>
      </c>
      <c r="L3250" s="58">
        <v>23796.146859270004</v>
      </c>
      <c r="M3250" s="58">
        <v>2.6</v>
      </c>
      <c r="N3250" s="58">
        <v>101.53592370000003</v>
      </c>
      <c r="O3250" s="58">
        <v>617.00000000000011</v>
      </c>
      <c r="P3250" s="53">
        <v>23897.682782970005</v>
      </c>
      <c r="Q3250" s="65">
        <v>23460.385296300006</v>
      </c>
      <c r="R3250" s="65">
        <v>0</v>
      </c>
      <c r="S3250" s="65">
        <v>101.53592370000003</v>
      </c>
      <c r="T3250" s="65">
        <v>437.29748666999876</v>
      </c>
      <c r="U3250" s="58">
        <v>0</v>
      </c>
      <c r="V3250" s="65">
        <v>0</v>
      </c>
      <c r="W3250" s="65">
        <v>0</v>
      </c>
      <c r="X3250" s="65">
        <v>23358</v>
      </c>
      <c r="Y3250" s="65">
        <v>0</v>
      </c>
      <c r="Z3250" s="51">
        <v>0</v>
      </c>
      <c r="AA3250" s="51">
        <v>1</v>
      </c>
      <c r="AB3250" s="102">
        <v>0</v>
      </c>
      <c r="AC3250" s="81">
        <f t="shared" si="154"/>
        <v>70.998534449328943</v>
      </c>
      <c r="AD3250" s="82">
        <f t="shared" si="155"/>
        <v>86.857142857142861</v>
      </c>
      <c r="AE3250" s="218">
        <v>-1.8639825439651495E-2</v>
      </c>
      <c r="AF3250">
        <v>4</v>
      </c>
      <c r="AH3250" t="str">
        <f t="shared" si="153"/>
        <v>Sahibpur Kamal</v>
      </c>
      <c r="AJ3250" s="72">
        <v>0</v>
      </c>
      <c r="AK3250" s="72"/>
      <c r="AL3250" s="72"/>
      <c r="AM3250" s="72"/>
    </row>
    <row r="3251" spans="1:39" x14ac:dyDescent="0.25">
      <c r="A3251" s="37" t="s">
        <v>62</v>
      </c>
      <c r="B3251" s="66" t="s">
        <v>1644</v>
      </c>
      <c r="C3251" s="4">
        <v>1011</v>
      </c>
      <c r="D3251" s="41" t="s">
        <v>289</v>
      </c>
      <c r="E3251" s="41">
        <v>10110050</v>
      </c>
      <c r="F3251" s="85" t="s">
        <v>304</v>
      </c>
      <c r="G3251" s="39" t="s">
        <v>93</v>
      </c>
      <c r="H3251" s="52" t="s">
        <v>94</v>
      </c>
      <c r="I3251" s="52">
        <v>814</v>
      </c>
      <c r="J3251" s="49">
        <v>33810.10242363</v>
      </c>
      <c r="K3251" s="58">
        <v>814</v>
      </c>
      <c r="L3251" s="58">
        <v>34849.929741</v>
      </c>
      <c r="M3251" s="58">
        <v>0</v>
      </c>
      <c r="N3251" s="58">
        <v>0</v>
      </c>
      <c r="O3251" s="58">
        <v>814</v>
      </c>
      <c r="P3251" s="53">
        <v>34849.929741</v>
      </c>
      <c r="Q3251" s="65">
        <v>33810.10242363</v>
      </c>
      <c r="R3251" s="65">
        <v>0</v>
      </c>
      <c r="S3251" s="65">
        <v>0</v>
      </c>
      <c r="T3251" s="65">
        <v>1039.8273173699999</v>
      </c>
      <c r="U3251" s="58">
        <v>0</v>
      </c>
      <c r="V3251" s="65">
        <v>0</v>
      </c>
      <c r="W3251" s="65">
        <v>0</v>
      </c>
      <c r="X3251" s="65">
        <v>33810</v>
      </c>
      <c r="Y3251" s="65">
        <v>0</v>
      </c>
      <c r="Z3251" s="51">
        <v>0</v>
      </c>
      <c r="AA3251" s="51">
        <v>0</v>
      </c>
      <c r="AB3251" s="102" t="s">
        <v>68</v>
      </c>
      <c r="AC3251" s="81">
        <f t="shared" si="154"/>
        <v>0</v>
      </c>
      <c r="AD3251" s="82">
        <f t="shared" si="155"/>
        <v>0</v>
      </c>
      <c r="AE3251" s="218">
        <v>-3.0754929527905275E-2</v>
      </c>
      <c r="AF3251">
        <v>1</v>
      </c>
      <c r="AH3251" t="str">
        <f t="shared" si="153"/>
        <v>Sahibpur Kamal</v>
      </c>
      <c r="AJ3251" s="72">
        <v>0</v>
      </c>
      <c r="AK3251" s="72"/>
      <c r="AL3251" s="72"/>
      <c r="AM3251" s="72"/>
    </row>
    <row r="3252" spans="1:39" x14ac:dyDescent="0.25">
      <c r="A3252" s="37" t="s">
        <v>62</v>
      </c>
      <c r="B3252" s="66" t="s">
        <v>1644</v>
      </c>
      <c r="C3252" s="4">
        <v>1011</v>
      </c>
      <c r="D3252" s="41" t="s">
        <v>289</v>
      </c>
      <c r="E3252" s="41">
        <v>10110053</v>
      </c>
      <c r="F3252" s="85" t="s">
        <v>305</v>
      </c>
      <c r="G3252" s="39" t="s">
        <v>93</v>
      </c>
      <c r="H3252" s="52" t="s">
        <v>94</v>
      </c>
      <c r="I3252" s="52">
        <v>74.8</v>
      </c>
      <c r="J3252" s="49">
        <v>4063.2174185964009</v>
      </c>
      <c r="K3252" s="58">
        <v>75.599999999999994</v>
      </c>
      <c r="L3252" s="58">
        <v>3913.1459132480004</v>
      </c>
      <c r="M3252" s="58">
        <v>1.4</v>
      </c>
      <c r="N3252" s="58">
        <v>72.307735344000008</v>
      </c>
      <c r="O3252" s="58">
        <v>77</v>
      </c>
      <c r="P3252" s="53">
        <v>3985.4536485920003</v>
      </c>
      <c r="Q3252" s="65">
        <v>3985.4536485920003</v>
      </c>
      <c r="R3252" s="65">
        <v>0</v>
      </c>
      <c r="S3252" s="65">
        <v>72.307735344000008</v>
      </c>
      <c r="T3252" s="65">
        <v>0</v>
      </c>
      <c r="U3252" s="58">
        <v>0</v>
      </c>
      <c r="V3252" s="65">
        <v>500</v>
      </c>
      <c r="W3252" s="65">
        <v>0</v>
      </c>
      <c r="X3252" s="65">
        <v>3414</v>
      </c>
      <c r="Y3252" s="65">
        <v>0</v>
      </c>
      <c r="Z3252" s="51">
        <v>0</v>
      </c>
      <c r="AA3252" s="51">
        <v>77</v>
      </c>
      <c r="AB3252" s="102">
        <v>0</v>
      </c>
      <c r="AC3252" s="81">
        <f t="shared" si="154"/>
        <v>679.23089040279956</v>
      </c>
      <c r="AD3252" s="82">
        <f t="shared" si="155"/>
        <v>10.685714285714285</v>
      </c>
      <c r="AE3252" s="218">
        <v>1.9138471313027438E-2</v>
      </c>
      <c r="AF3252">
        <v>3</v>
      </c>
      <c r="AH3252" t="str">
        <f t="shared" si="153"/>
        <v>Sahibpur Kamal</v>
      </c>
      <c r="AJ3252" s="72">
        <v>500</v>
      </c>
      <c r="AK3252" s="72"/>
      <c r="AL3252" s="72"/>
      <c r="AM3252" s="72"/>
    </row>
    <row r="3253" spans="1:39" x14ac:dyDescent="0.25">
      <c r="A3253" s="37" t="s">
        <v>62</v>
      </c>
      <c r="B3253" s="66" t="s">
        <v>1644</v>
      </c>
      <c r="C3253" s="4">
        <v>1011</v>
      </c>
      <c r="D3253" s="41" t="s">
        <v>289</v>
      </c>
      <c r="E3253" s="41">
        <v>10110055</v>
      </c>
      <c r="F3253" s="85" t="s">
        <v>306</v>
      </c>
      <c r="G3253" s="39" t="s">
        <v>93</v>
      </c>
      <c r="H3253" s="52" t="s">
        <v>94</v>
      </c>
      <c r="I3253" s="52">
        <v>1000.9999999999997</v>
      </c>
      <c r="J3253" s="49">
        <v>41612.78365333601</v>
      </c>
      <c r="K3253" s="58">
        <v>750.31999999999994</v>
      </c>
      <c r="L3253" s="58">
        <v>30951.742460008798</v>
      </c>
      <c r="M3253" s="58">
        <v>238.12</v>
      </c>
      <c r="N3253" s="58">
        <v>9946.2900036192004</v>
      </c>
      <c r="O3253" s="58">
        <v>988.43999999999994</v>
      </c>
      <c r="P3253" s="53">
        <v>40898.032463627998</v>
      </c>
      <c r="Q3253" s="65">
        <v>40898.032463627998</v>
      </c>
      <c r="R3253" s="65">
        <v>0</v>
      </c>
      <c r="S3253" s="65">
        <v>0</v>
      </c>
      <c r="T3253" s="65">
        <v>0</v>
      </c>
      <c r="U3253" s="58">
        <v>0</v>
      </c>
      <c r="V3253" s="65">
        <v>0</v>
      </c>
      <c r="W3253" s="65">
        <v>0</v>
      </c>
      <c r="X3253" s="65">
        <v>30952</v>
      </c>
      <c r="Y3253" s="65">
        <v>9946</v>
      </c>
      <c r="Z3253" s="51">
        <v>0</v>
      </c>
      <c r="AA3253" s="51">
        <v>715</v>
      </c>
      <c r="AB3253" s="102">
        <v>0</v>
      </c>
      <c r="AC3253" s="81">
        <f t="shared" si="154"/>
        <v>0</v>
      </c>
      <c r="AD3253" s="82">
        <f t="shared" si="155"/>
        <v>0</v>
      </c>
      <c r="AE3253" s="218">
        <v>1.7176240735596912E-2</v>
      </c>
      <c r="AF3253">
        <v>5</v>
      </c>
      <c r="AH3253" t="str">
        <f t="shared" si="153"/>
        <v>Sahibpur Kamal</v>
      </c>
      <c r="AJ3253" s="72">
        <v>0</v>
      </c>
      <c r="AK3253" s="72"/>
      <c r="AL3253" s="72"/>
      <c r="AM3253" s="72"/>
    </row>
    <row r="3254" spans="1:39" x14ac:dyDescent="0.25">
      <c r="A3254" s="37" t="s">
        <v>62</v>
      </c>
      <c r="B3254" s="66" t="s">
        <v>1644</v>
      </c>
      <c r="C3254" s="4">
        <v>1011</v>
      </c>
      <c r="D3254" s="41" t="s">
        <v>289</v>
      </c>
      <c r="E3254" s="41">
        <v>10110057</v>
      </c>
      <c r="F3254" s="85" t="s">
        <v>307</v>
      </c>
      <c r="G3254" s="39" t="s">
        <v>93</v>
      </c>
      <c r="H3254" s="52" t="s">
        <v>94</v>
      </c>
      <c r="I3254" s="52">
        <v>296.8</v>
      </c>
      <c r="J3254" s="49">
        <v>12654.71850666</v>
      </c>
      <c r="K3254" s="58">
        <v>308.19999999999993</v>
      </c>
      <c r="L3254" s="58">
        <v>14276.545252872003</v>
      </c>
      <c r="M3254" s="58">
        <v>0</v>
      </c>
      <c r="N3254" s="58">
        <v>0</v>
      </c>
      <c r="O3254" s="58">
        <v>308.19999999999993</v>
      </c>
      <c r="P3254" s="53">
        <v>14276.545252872003</v>
      </c>
      <c r="Q3254" s="65">
        <v>12654.71850666</v>
      </c>
      <c r="R3254" s="65">
        <v>0</v>
      </c>
      <c r="S3254" s="65">
        <v>0</v>
      </c>
      <c r="T3254" s="65">
        <v>1621.8267462120039</v>
      </c>
      <c r="U3254" s="58">
        <v>0</v>
      </c>
      <c r="V3254" s="65">
        <v>0</v>
      </c>
      <c r="W3254" s="65">
        <v>0</v>
      </c>
      <c r="X3254" s="65">
        <v>12655</v>
      </c>
      <c r="Y3254" s="65">
        <v>0</v>
      </c>
      <c r="Z3254" s="51">
        <v>0</v>
      </c>
      <c r="AA3254" s="51">
        <v>0</v>
      </c>
      <c r="AB3254" s="102" t="s">
        <v>68</v>
      </c>
      <c r="AC3254" s="81">
        <f t="shared" si="154"/>
        <v>343.82631414321509</v>
      </c>
      <c r="AD3254" s="82">
        <f t="shared" si="155"/>
        <v>42.4</v>
      </c>
      <c r="AE3254" s="218">
        <v>-0.12815984372615316</v>
      </c>
      <c r="AF3254">
        <v>1</v>
      </c>
      <c r="AH3254" t="str">
        <f t="shared" si="153"/>
        <v>Sahibpur Kamal</v>
      </c>
      <c r="AJ3254" s="72">
        <v>0</v>
      </c>
      <c r="AK3254" s="72"/>
      <c r="AL3254" s="72"/>
      <c r="AM3254" s="72"/>
    </row>
    <row r="3255" spans="1:39" x14ac:dyDescent="0.25">
      <c r="A3255" s="37" t="s">
        <v>62</v>
      </c>
      <c r="B3255" s="66" t="s">
        <v>1644</v>
      </c>
      <c r="C3255" s="4">
        <v>1011</v>
      </c>
      <c r="D3255" s="41" t="s">
        <v>289</v>
      </c>
      <c r="E3255" s="41">
        <v>10110065</v>
      </c>
      <c r="F3255" s="85" t="s">
        <v>308</v>
      </c>
      <c r="G3255" s="39" t="s">
        <v>93</v>
      </c>
      <c r="H3255" s="52" t="s">
        <v>94</v>
      </c>
      <c r="I3255" s="52">
        <v>1043.2</v>
      </c>
      <c r="J3255" s="49">
        <v>40926.591014370002</v>
      </c>
      <c r="K3255" s="58">
        <v>1027.1399999999999</v>
      </c>
      <c r="L3255" s="58">
        <v>40952.749909845879</v>
      </c>
      <c r="M3255" s="58">
        <v>3.36</v>
      </c>
      <c r="N3255" s="58">
        <v>124.79745358080001</v>
      </c>
      <c r="O3255" s="58">
        <v>1030.4999999999998</v>
      </c>
      <c r="P3255" s="53">
        <v>41077.547363426682</v>
      </c>
      <c r="Q3255" s="65">
        <v>40926.591014370002</v>
      </c>
      <c r="R3255" s="65">
        <v>0</v>
      </c>
      <c r="S3255" s="65">
        <v>124.79745358080001</v>
      </c>
      <c r="T3255" s="65">
        <v>150.95634905667976</v>
      </c>
      <c r="U3255" s="58">
        <v>0</v>
      </c>
      <c r="V3255" s="65">
        <v>0</v>
      </c>
      <c r="W3255" s="65">
        <v>0</v>
      </c>
      <c r="X3255" s="65">
        <v>40802</v>
      </c>
      <c r="Y3255" s="65">
        <v>0</v>
      </c>
      <c r="Z3255" s="51">
        <v>0</v>
      </c>
      <c r="AA3255" s="51">
        <v>0</v>
      </c>
      <c r="AB3255" s="102" t="s">
        <v>68</v>
      </c>
      <c r="AC3255" s="81">
        <f t="shared" si="154"/>
        <v>0</v>
      </c>
      <c r="AD3255" s="82">
        <f t="shared" si="155"/>
        <v>0</v>
      </c>
      <c r="AE3255" s="218">
        <v>-3.6884662346706688E-3</v>
      </c>
      <c r="AF3255">
        <v>18</v>
      </c>
      <c r="AH3255" t="str">
        <f t="shared" si="153"/>
        <v>Sahibpur Kamal</v>
      </c>
      <c r="AJ3255" s="72">
        <v>0</v>
      </c>
      <c r="AK3255" s="72"/>
      <c r="AL3255" s="72"/>
      <c r="AM3255" s="72"/>
    </row>
    <row r="3256" spans="1:39" x14ac:dyDescent="0.25">
      <c r="A3256" s="37" t="s">
        <v>62</v>
      </c>
      <c r="B3256" s="66" t="s">
        <v>1644</v>
      </c>
      <c r="C3256" s="4">
        <v>1011</v>
      </c>
      <c r="D3256" s="41" t="s">
        <v>289</v>
      </c>
      <c r="E3256" s="41">
        <v>10110066</v>
      </c>
      <c r="F3256" s="85" t="s">
        <v>309</v>
      </c>
      <c r="G3256" s="39" t="s">
        <v>93</v>
      </c>
      <c r="H3256" s="52" t="s">
        <v>94</v>
      </c>
      <c r="I3256" s="52">
        <v>875.20000000000016</v>
      </c>
      <c r="J3256" s="49">
        <v>35821.978043220006</v>
      </c>
      <c r="K3256" s="58">
        <v>869.68000000000006</v>
      </c>
      <c r="L3256" s="58">
        <v>35895.123916752818</v>
      </c>
      <c r="M3256" s="58">
        <v>7.4200000000000008</v>
      </c>
      <c r="N3256" s="58">
        <v>299.40255468000004</v>
      </c>
      <c r="O3256" s="58">
        <v>877.1</v>
      </c>
      <c r="P3256" s="53">
        <v>36194.526471432815</v>
      </c>
      <c r="Q3256" s="65">
        <v>35821.978043220006</v>
      </c>
      <c r="R3256" s="65">
        <v>0</v>
      </c>
      <c r="S3256" s="65">
        <v>299.40255468000004</v>
      </c>
      <c r="T3256" s="65">
        <v>372.54842821280909</v>
      </c>
      <c r="U3256" s="58">
        <v>0</v>
      </c>
      <c r="V3256" s="65">
        <v>0</v>
      </c>
      <c r="W3256" s="65">
        <v>0</v>
      </c>
      <c r="X3256" s="65">
        <v>35523</v>
      </c>
      <c r="Y3256" s="65">
        <v>0</v>
      </c>
      <c r="Z3256" s="51">
        <v>0</v>
      </c>
      <c r="AA3256" s="51">
        <v>0</v>
      </c>
      <c r="AB3256" s="102" t="s">
        <v>68</v>
      </c>
      <c r="AC3256" s="81">
        <f t="shared" si="154"/>
        <v>0</v>
      </c>
      <c r="AD3256" s="82">
        <f t="shared" si="155"/>
        <v>0</v>
      </c>
      <c r="AE3256" s="218">
        <v>-1.0399995995847053E-2</v>
      </c>
      <c r="AF3256">
        <v>15</v>
      </c>
      <c r="AH3256" t="str">
        <f t="shared" si="153"/>
        <v>Sahibpur Kamal</v>
      </c>
      <c r="AJ3256" s="72">
        <v>0</v>
      </c>
      <c r="AK3256" s="72"/>
      <c r="AL3256" s="72"/>
      <c r="AM3256" s="72"/>
    </row>
    <row r="3257" spans="1:39" x14ac:dyDescent="0.25">
      <c r="A3257" s="37" t="s">
        <v>62</v>
      </c>
      <c r="B3257" s="66" t="s">
        <v>1644</v>
      </c>
      <c r="C3257" s="4">
        <v>1011</v>
      </c>
      <c r="D3257" s="41" t="s">
        <v>289</v>
      </c>
      <c r="E3257" s="41">
        <v>10110071</v>
      </c>
      <c r="F3257" s="85" t="s">
        <v>310</v>
      </c>
      <c r="G3257" s="39" t="s">
        <v>93</v>
      </c>
      <c r="H3257" s="52" t="s">
        <v>94</v>
      </c>
      <c r="I3257" s="52">
        <v>170.69999999999996</v>
      </c>
      <c r="J3257" s="49">
        <v>6250.8606380399997</v>
      </c>
      <c r="K3257" s="58">
        <v>156.6</v>
      </c>
      <c r="L3257" s="58">
        <v>6043.0969479600008</v>
      </c>
      <c r="M3257" s="58">
        <v>0</v>
      </c>
      <c r="N3257" s="58">
        <v>0</v>
      </c>
      <c r="O3257" s="58">
        <v>156.6</v>
      </c>
      <c r="P3257" s="53">
        <v>6043.0969479600008</v>
      </c>
      <c r="Q3257" s="65">
        <v>6043.0969479600008</v>
      </c>
      <c r="R3257" s="65">
        <v>0</v>
      </c>
      <c r="S3257" s="65">
        <v>0</v>
      </c>
      <c r="T3257" s="65">
        <v>0</v>
      </c>
      <c r="U3257" s="58">
        <v>0</v>
      </c>
      <c r="V3257" s="65">
        <v>500</v>
      </c>
      <c r="W3257" s="65">
        <v>0</v>
      </c>
      <c r="X3257" s="65">
        <v>5543</v>
      </c>
      <c r="Y3257" s="65">
        <v>0</v>
      </c>
      <c r="Z3257" s="51">
        <v>0</v>
      </c>
      <c r="AA3257" s="51">
        <v>208</v>
      </c>
      <c r="AB3257" s="102">
        <v>0</v>
      </c>
      <c r="AC3257" s="81">
        <f t="shared" si="154"/>
        <v>387.64856891793471</v>
      </c>
      <c r="AD3257" s="82">
        <f t="shared" si="155"/>
        <v>24.385714285714279</v>
      </c>
      <c r="AE3257" s="218">
        <v>3.3237613524070606E-2</v>
      </c>
      <c r="AF3257">
        <v>1</v>
      </c>
      <c r="AH3257" t="str">
        <f t="shared" si="153"/>
        <v>Sahibpur Kamal</v>
      </c>
      <c r="AJ3257" s="72">
        <v>500</v>
      </c>
      <c r="AK3257" s="72"/>
      <c r="AL3257" s="72"/>
      <c r="AM3257" s="72"/>
    </row>
    <row r="3258" spans="1:39" x14ac:dyDescent="0.25">
      <c r="A3258" s="37" t="s">
        <v>62</v>
      </c>
      <c r="B3258" s="66" t="s">
        <v>1644</v>
      </c>
      <c r="C3258" s="4">
        <v>1011</v>
      </c>
      <c r="D3258" s="41" t="s">
        <v>289</v>
      </c>
      <c r="E3258" s="41">
        <v>10110073</v>
      </c>
      <c r="F3258" s="85" t="s">
        <v>623</v>
      </c>
      <c r="G3258" s="39" t="s">
        <v>93</v>
      </c>
      <c r="H3258" s="52" t="s">
        <v>94</v>
      </c>
      <c r="I3258" s="52">
        <v>168</v>
      </c>
      <c r="J3258" s="49">
        <v>5792.1306687975011</v>
      </c>
      <c r="K3258" s="58">
        <v>189.70999999999998</v>
      </c>
      <c r="L3258" s="58">
        <v>6494.5149413277004</v>
      </c>
      <c r="M3258" s="58">
        <v>0</v>
      </c>
      <c r="N3258" s="58">
        <v>0</v>
      </c>
      <c r="O3258" s="58">
        <v>189.70999999999998</v>
      </c>
      <c r="P3258" s="53">
        <v>6494.5149413277004</v>
      </c>
      <c r="Q3258" s="65">
        <v>5792.1306687975011</v>
      </c>
      <c r="R3258" s="65">
        <v>0</v>
      </c>
      <c r="S3258" s="65">
        <v>0</v>
      </c>
      <c r="T3258" s="65">
        <v>702.38427253019927</v>
      </c>
      <c r="U3258" s="58">
        <v>0</v>
      </c>
      <c r="V3258" s="65">
        <v>500</v>
      </c>
      <c r="W3258" s="65">
        <v>0</v>
      </c>
      <c r="X3258" s="65">
        <v>5292</v>
      </c>
      <c r="Y3258" s="65">
        <v>0</v>
      </c>
      <c r="Z3258" s="51">
        <v>0</v>
      </c>
      <c r="AA3258" s="51">
        <v>0</v>
      </c>
      <c r="AB3258" s="102" t="s">
        <v>68</v>
      </c>
      <c r="AC3258" s="81">
        <f t="shared" si="154"/>
        <v>366.83494235717512</v>
      </c>
      <c r="AD3258" s="82">
        <f t="shared" si="155"/>
        <v>24</v>
      </c>
      <c r="AE3258" s="218">
        <v>-0.12126526708279885</v>
      </c>
      <c r="AF3258">
        <v>3</v>
      </c>
      <c r="AH3258" t="str">
        <f t="shared" si="153"/>
        <v>Sahibpur Kamal</v>
      </c>
      <c r="AJ3258" s="72">
        <v>500</v>
      </c>
      <c r="AK3258" s="72"/>
      <c r="AL3258" s="72"/>
      <c r="AM3258" s="72"/>
    </row>
    <row r="3259" spans="1:39" x14ac:dyDescent="0.25">
      <c r="A3259" s="37" t="s">
        <v>62</v>
      </c>
      <c r="B3259" s="66" t="s">
        <v>1644</v>
      </c>
      <c r="C3259" s="4">
        <v>1011</v>
      </c>
      <c r="D3259" s="41" t="s">
        <v>289</v>
      </c>
      <c r="E3259" s="41">
        <v>10110076</v>
      </c>
      <c r="F3259" s="85" t="s">
        <v>311</v>
      </c>
      <c r="G3259" s="39" t="s">
        <v>93</v>
      </c>
      <c r="H3259" s="52" t="s">
        <v>94</v>
      </c>
      <c r="I3259" s="52">
        <v>1547.3000000000004</v>
      </c>
      <c r="J3259" s="49">
        <v>62536.361876640018</v>
      </c>
      <c r="K3259" s="58">
        <v>1191.28</v>
      </c>
      <c r="L3259" s="58">
        <v>50775.088165380213</v>
      </c>
      <c r="M3259" s="58">
        <v>374.06</v>
      </c>
      <c r="N3259" s="58">
        <v>19074.409952247122</v>
      </c>
      <c r="O3259" s="58">
        <v>1565.34</v>
      </c>
      <c r="P3259" s="53">
        <v>69849.498117627343</v>
      </c>
      <c r="Q3259" s="65">
        <v>62536.361876640018</v>
      </c>
      <c r="R3259" s="65">
        <v>0</v>
      </c>
      <c r="S3259" s="65">
        <v>160.44653096700003</v>
      </c>
      <c r="T3259" s="65">
        <v>7313.1362409873254</v>
      </c>
      <c r="U3259" s="58">
        <v>0</v>
      </c>
      <c r="V3259" s="65">
        <v>0</v>
      </c>
      <c r="W3259" s="65">
        <v>0</v>
      </c>
      <c r="X3259" s="65">
        <v>43462</v>
      </c>
      <c r="Y3259" s="65">
        <v>18914</v>
      </c>
      <c r="Z3259" s="51">
        <v>0</v>
      </c>
      <c r="AA3259" s="51">
        <v>0</v>
      </c>
      <c r="AB3259" s="102">
        <v>0</v>
      </c>
      <c r="AC3259" s="81">
        <f t="shared" si="154"/>
        <v>0</v>
      </c>
      <c r="AD3259" s="82">
        <f t="shared" si="155"/>
        <v>0</v>
      </c>
      <c r="AE3259" s="218">
        <v>-0.11694214408272273</v>
      </c>
      <c r="AF3259">
        <v>11</v>
      </c>
      <c r="AH3259" t="str">
        <f t="shared" ref="AH3259:AH3322" si="156">TEXT(D3259,"0000")</f>
        <v>Sahibpur Kamal</v>
      </c>
      <c r="AJ3259" s="72">
        <v>0</v>
      </c>
      <c r="AK3259" s="72"/>
      <c r="AL3259" s="72"/>
      <c r="AM3259" s="72"/>
    </row>
    <row r="3260" spans="1:39" x14ac:dyDescent="0.25">
      <c r="A3260" s="37" t="s">
        <v>62</v>
      </c>
      <c r="B3260" s="66" t="s">
        <v>1644</v>
      </c>
      <c r="C3260" s="4">
        <v>1011</v>
      </c>
      <c r="D3260" s="41" t="s">
        <v>289</v>
      </c>
      <c r="E3260" s="41">
        <v>10110078</v>
      </c>
      <c r="F3260" s="85" t="s">
        <v>312</v>
      </c>
      <c r="G3260" s="39" t="s">
        <v>93</v>
      </c>
      <c r="H3260" s="52" t="s">
        <v>94</v>
      </c>
      <c r="I3260" s="52">
        <v>353.00000000000006</v>
      </c>
      <c r="J3260" s="49">
        <v>12378.0798203745</v>
      </c>
      <c r="K3260" s="58">
        <v>670.40000000000009</v>
      </c>
      <c r="L3260" s="58">
        <v>23839.506506014506</v>
      </c>
      <c r="M3260" s="58">
        <v>0</v>
      </c>
      <c r="N3260" s="58">
        <v>0</v>
      </c>
      <c r="O3260" s="58">
        <v>670.40000000000009</v>
      </c>
      <c r="P3260" s="53">
        <v>23839.506506014506</v>
      </c>
      <c r="Q3260" s="65">
        <v>12378.0798203745</v>
      </c>
      <c r="R3260" s="65">
        <v>0</v>
      </c>
      <c r="S3260" s="65">
        <v>0</v>
      </c>
      <c r="T3260" s="65">
        <v>11461.426685640006</v>
      </c>
      <c r="U3260" s="58">
        <v>0</v>
      </c>
      <c r="V3260" s="65">
        <v>0</v>
      </c>
      <c r="W3260" s="65">
        <v>0</v>
      </c>
      <c r="X3260" s="65">
        <v>12378</v>
      </c>
      <c r="Y3260" s="65">
        <v>0</v>
      </c>
      <c r="Z3260" s="51">
        <v>0</v>
      </c>
      <c r="AA3260" s="51">
        <v>0</v>
      </c>
      <c r="AB3260" s="102">
        <v>0</v>
      </c>
      <c r="AC3260" s="81">
        <f t="shared" si="154"/>
        <v>243.35375057620118</v>
      </c>
      <c r="AD3260" s="82">
        <f t="shared" si="155"/>
        <v>50.428571428571438</v>
      </c>
      <c r="AE3260" s="218">
        <v>-0.92594544969522097</v>
      </c>
      <c r="AF3260">
        <v>1</v>
      </c>
      <c r="AH3260" t="str">
        <f t="shared" si="156"/>
        <v>Sahibpur Kamal</v>
      </c>
      <c r="AJ3260" s="72">
        <v>0</v>
      </c>
      <c r="AK3260" s="72"/>
      <c r="AL3260" s="72"/>
      <c r="AM3260" s="72"/>
    </row>
    <row r="3261" spans="1:39" x14ac:dyDescent="0.25">
      <c r="A3261" s="37" t="s">
        <v>62</v>
      </c>
      <c r="B3261" s="66" t="s">
        <v>1644</v>
      </c>
      <c r="C3261" s="4">
        <v>1011</v>
      </c>
      <c r="D3261" s="41" t="s">
        <v>289</v>
      </c>
      <c r="E3261" s="41">
        <v>10110079</v>
      </c>
      <c r="F3261" s="85" t="s">
        <v>313</v>
      </c>
      <c r="G3261" s="39" t="s">
        <v>93</v>
      </c>
      <c r="H3261" s="52" t="s">
        <v>94</v>
      </c>
      <c r="I3261" s="52">
        <v>146.5</v>
      </c>
      <c r="J3261" s="49">
        <v>5339.8294974600012</v>
      </c>
      <c r="K3261" s="58">
        <v>146</v>
      </c>
      <c r="L3261" s="58">
        <v>5418.6623814000004</v>
      </c>
      <c r="M3261" s="58">
        <v>0</v>
      </c>
      <c r="N3261" s="58">
        <v>0</v>
      </c>
      <c r="O3261" s="58">
        <v>146</v>
      </c>
      <c r="P3261" s="53">
        <v>5418.6623814000004</v>
      </c>
      <c r="Q3261" s="65">
        <v>5339.8294974600012</v>
      </c>
      <c r="R3261" s="65">
        <v>0</v>
      </c>
      <c r="S3261" s="65">
        <v>0</v>
      </c>
      <c r="T3261" s="65">
        <v>78.832883939999192</v>
      </c>
      <c r="U3261" s="58">
        <v>0</v>
      </c>
      <c r="V3261" s="65">
        <v>0</v>
      </c>
      <c r="W3261" s="65">
        <v>0</v>
      </c>
      <c r="X3261" s="65">
        <v>5340</v>
      </c>
      <c r="Y3261" s="65">
        <v>0</v>
      </c>
      <c r="Z3261" s="51">
        <v>0</v>
      </c>
      <c r="AA3261" s="51">
        <v>0</v>
      </c>
      <c r="AB3261" s="102">
        <v>0</v>
      </c>
      <c r="AC3261" s="81">
        <f t="shared" si="154"/>
        <v>403.49428352820621</v>
      </c>
      <c r="AD3261" s="82">
        <f t="shared" si="155"/>
        <v>20.928571428571427</v>
      </c>
      <c r="AE3261" s="218">
        <v>-1.4763183726652257E-2</v>
      </c>
      <c r="AF3261">
        <v>1</v>
      </c>
      <c r="AH3261" t="str">
        <f t="shared" si="156"/>
        <v>Sahibpur Kamal</v>
      </c>
      <c r="AJ3261" s="72">
        <v>0</v>
      </c>
      <c r="AK3261" s="72"/>
      <c r="AL3261" s="72"/>
      <c r="AM3261" s="72"/>
    </row>
    <row r="3262" spans="1:39" x14ac:dyDescent="0.25">
      <c r="A3262" s="37" t="s">
        <v>62</v>
      </c>
      <c r="B3262" s="66" t="s">
        <v>1644</v>
      </c>
      <c r="C3262" s="4">
        <v>1011</v>
      </c>
      <c r="D3262" s="41" t="s">
        <v>289</v>
      </c>
      <c r="E3262" s="41">
        <v>10110083</v>
      </c>
      <c r="F3262" s="85" t="s">
        <v>435</v>
      </c>
      <c r="G3262" s="39" t="s">
        <v>93</v>
      </c>
      <c r="H3262" s="52" t="s">
        <v>94</v>
      </c>
      <c r="I3262" s="52">
        <v>213.6</v>
      </c>
      <c r="J3262" s="49">
        <v>7962.8757917310013</v>
      </c>
      <c r="K3262" s="58">
        <v>460.40000000000003</v>
      </c>
      <c r="L3262" s="58">
        <v>17426.770446210001</v>
      </c>
      <c r="M3262" s="58">
        <v>0</v>
      </c>
      <c r="N3262" s="58">
        <v>0</v>
      </c>
      <c r="O3262" s="58">
        <v>460.40000000000003</v>
      </c>
      <c r="P3262" s="53">
        <v>17426.770446210001</v>
      </c>
      <c r="Q3262" s="65">
        <v>7962.8757917310013</v>
      </c>
      <c r="R3262" s="65">
        <v>0</v>
      </c>
      <c r="S3262" s="65">
        <v>0</v>
      </c>
      <c r="T3262" s="65">
        <v>9463.8946544789997</v>
      </c>
      <c r="U3262" s="58">
        <v>0</v>
      </c>
      <c r="V3262" s="65">
        <v>0</v>
      </c>
      <c r="W3262" s="65">
        <v>0</v>
      </c>
      <c r="X3262" s="65">
        <v>0</v>
      </c>
      <c r="Y3262" s="65">
        <v>0</v>
      </c>
      <c r="Z3262" s="51">
        <v>0</v>
      </c>
      <c r="AA3262" s="51">
        <v>7963</v>
      </c>
      <c r="AB3262" s="102" t="s">
        <v>65</v>
      </c>
      <c r="AC3262" s="81">
        <f t="shared" si="154"/>
        <v>362.65381882939698</v>
      </c>
      <c r="AD3262" s="82">
        <f t="shared" si="155"/>
        <v>30.514285714285712</v>
      </c>
      <c r="AE3262" s="218">
        <v>-1.1885021067773933</v>
      </c>
      <c r="AF3262">
        <v>1</v>
      </c>
      <c r="AH3262" t="str">
        <f t="shared" si="156"/>
        <v>Sahibpur Kamal</v>
      </c>
      <c r="AJ3262" s="72">
        <v>0</v>
      </c>
      <c r="AK3262" s="72"/>
      <c r="AL3262" s="72"/>
      <c r="AM3262" s="72"/>
    </row>
    <row r="3263" spans="1:39" x14ac:dyDescent="0.25">
      <c r="A3263" s="37" t="s">
        <v>62</v>
      </c>
      <c r="B3263" s="66" t="s">
        <v>1644</v>
      </c>
      <c r="C3263" s="4">
        <v>1011</v>
      </c>
      <c r="D3263" s="41" t="s">
        <v>289</v>
      </c>
      <c r="E3263" s="41">
        <v>10110086</v>
      </c>
      <c r="F3263" s="85" t="s">
        <v>439</v>
      </c>
      <c r="G3263" s="39" t="s">
        <v>93</v>
      </c>
      <c r="H3263" s="52" t="s">
        <v>94</v>
      </c>
      <c r="I3263" s="52">
        <v>483.8</v>
      </c>
      <c r="J3263" s="49">
        <v>19261.496547960003</v>
      </c>
      <c r="K3263" s="58">
        <v>577.30000000000007</v>
      </c>
      <c r="L3263" s="58">
        <v>23868.083487250202</v>
      </c>
      <c r="M3263" s="58">
        <v>3.0999999999999996</v>
      </c>
      <c r="N3263" s="58">
        <v>127.61868021000001</v>
      </c>
      <c r="O3263" s="58">
        <v>580.40000000000009</v>
      </c>
      <c r="P3263" s="53">
        <v>23995.7021674602</v>
      </c>
      <c r="Q3263" s="65">
        <v>19261.496547960003</v>
      </c>
      <c r="R3263" s="65">
        <v>0</v>
      </c>
      <c r="S3263" s="65">
        <v>127.61868021000001</v>
      </c>
      <c r="T3263" s="65">
        <v>4734.2056195001969</v>
      </c>
      <c r="U3263" s="58">
        <v>0</v>
      </c>
      <c r="V3263" s="65">
        <v>0</v>
      </c>
      <c r="W3263" s="65">
        <v>0</v>
      </c>
      <c r="X3263" s="65">
        <v>19133</v>
      </c>
      <c r="Y3263" s="65">
        <v>0</v>
      </c>
      <c r="Z3263" s="51">
        <v>0</v>
      </c>
      <c r="AA3263" s="51">
        <v>1</v>
      </c>
      <c r="AB3263" s="102">
        <v>0</v>
      </c>
      <c r="AC3263" s="81">
        <f t="shared" si="154"/>
        <v>172.15111838234611</v>
      </c>
      <c r="AD3263" s="82">
        <f t="shared" si="155"/>
        <v>69.114285714285714</v>
      </c>
      <c r="AE3263" s="218">
        <v>-0.24578597035346142</v>
      </c>
      <c r="AF3263">
        <v>4</v>
      </c>
      <c r="AH3263" t="str">
        <f t="shared" si="156"/>
        <v>Sahibpur Kamal</v>
      </c>
      <c r="AJ3263" s="72">
        <v>0</v>
      </c>
      <c r="AK3263" s="72"/>
      <c r="AL3263" s="72"/>
      <c r="AM3263" s="72"/>
    </row>
    <row r="3264" spans="1:39" x14ac:dyDescent="0.25">
      <c r="A3264" s="37" t="s">
        <v>62</v>
      </c>
      <c r="B3264" s="66" t="s">
        <v>1644</v>
      </c>
      <c r="C3264" s="4">
        <v>1054</v>
      </c>
      <c r="D3264" s="41" t="s">
        <v>828</v>
      </c>
      <c r="E3264" s="41">
        <v>10110093</v>
      </c>
      <c r="F3264" s="85" t="s">
        <v>487</v>
      </c>
      <c r="G3264" s="39" t="s">
        <v>93</v>
      </c>
      <c r="H3264" s="52" t="s">
        <v>94</v>
      </c>
      <c r="I3264" s="52">
        <v>428.96000000000004</v>
      </c>
      <c r="J3264" s="49">
        <v>14718.291750845099</v>
      </c>
      <c r="K3264" s="58">
        <v>450</v>
      </c>
      <c r="L3264" s="58">
        <v>18381.272505600002</v>
      </c>
      <c r="M3264" s="58">
        <v>10</v>
      </c>
      <c r="N3264" s="58">
        <v>405.16523340000003</v>
      </c>
      <c r="O3264" s="58">
        <v>460</v>
      </c>
      <c r="P3264" s="53">
        <v>18786.437739000001</v>
      </c>
      <c r="Q3264" s="65">
        <v>14718.291750845099</v>
      </c>
      <c r="R3264" s="65">
        <v>0</v>
      </c>
      <c r="S3264" s="65">
        <v>405.16523340000003</v>
      </c>
      <c r="T3264" s="65">
        <v>4068.1459881549017</v>
      </c>
      <c r="U3264" s="58">
        <v>0</v>
      </c>
      <c r="V3264" s="65">
        <v>0</v>
      </c>
      <c r="W3264" s="65">
        <v>0</v>
      </c>
      <c r="X3264" s="65">
        <v>14313</v>
      </c>
      <c r="Y3264" s="65">
        <v>0</v>
      </c>
      <c r="Z3264" s="51">
        <v>0</v>
      </c>
      <c r="AA3264" s="51">
        <v>0</v>
      </c>
      <c r="AB3264" s="102">
        <v>0</v>
      </c>
      <c r="AC3264" s="81">
        <f t="shared" si="154"/>
        <v>185.99616729527486</v>
      </c>
      <c r="AD3264" s="82">
        <f t="shared" si="155"/>
        <v>61.280000000000008</v>
      </c>
      <c r="AE3264" s="218">
        <v>-0.27640068949722479</v>
      </c>
      <c r="AF3264">
        <v>2</v>
      </c>
      <c r="AH3264" t="str">
        <f t="shared" si="156"/>
        <v xml:space="preserve">Alauli </v>
      </c>
      <c r="AJ3264" s="72">
        <v>0</v>
      </c>
      <c r="AK3264" s="72"/>
      <c r="AL3264" s="72"/>
      <c r="AM3264" s="72"/>
    </row>
    <row r="3265" spans="1:39" x14ac:dyDescent="0.25">
      <c r="A3265" s="37" t="s">
        <v>62</v>
      </c>
      <c r="B3265" s="66" t="s">
        <v>1644</v>
      </c>
      <c r="C3265" s="4">
        <v>1011</v>
      </c>
      <c r="D3265" s="41" t="s">
        <v>289</v>
      </c>
      <c r="E3265" s="41">
        <v>10110094</v>
      </c>
      <c r="F3265" s="85" t="s">
        <v>488</v>
      </c>
      <c r="G3265" s="39" t="s">
        <v>93</v>
      </c>
      <c r="H3265" s="52" t="s">
        <v>94</v>
      </c>
      <c r="I3265" s="52">
        <v>368.59999999999997</v>
      </c>
      <c r="J3265" s="49">
        <v>14003.140790669999</v>
      </c>
      <c r="K3265" s="58">
        <v>365.4</v>
      </c>
      <c r="L3265" s="58">
        <v>13801.08413214615</v>
      </c>
      <c r="M3265" s="58">
        <v>5.74</v>
      </c>
      <c r="N3265" s="58">
        <v>218.846345163</v>
      </c>
      <c r="O3265" s="58">
        <v>371.14</v>
      </c>
      <c r="P3265" s="53">
        <v>14019.93047730915</v>
      </c>
      <c r="Q3265" s="65">
        <v>14003.140790669999</v>
      </c>
      <c r="R3265" s="65">
        <v>0</v>
      </c>
      <c r="S3265" s="65">
        <v>218.846345163</v>
      </c>
      <c r="T3265" s="65">
        <v>16.789686639151114</v>
      </c>
      <c r="U3265" s="58">
        <v>0</v>
      </c>
      <c r="V3265" s="65">
        <v>0</v>
      </c>
      <c r="W3265" s="65">
        <v>0</v>
      </c>
      <c r="X3265" s="65">
        <v>13784</v>
      </c>
      <c r="Y3265" s="65">
        <v>0</v>
      </c>
      <c r="Z3265" s="51">
        <v>0</v>
      </c>
      <c r="AA3265" s="51">
        <v>0</v>
      </c>
      <c r="AB3265" s="102">
        <v>0</v>
      </c>
      <c r="AC3265" s="81">
        <f t="shared" ref="AC3265:AC3328" si="157">((IF(AD3265=0,0,100-AD3265))*7*(J3265/I3265))*2%</f>
        <v>251.79820173782085</v>
      </c>
      <c r="AD3265" s="82">
        <f t="shared" ref="AD3265:AD3328" si="158">IF((I3265/7)&gt;100,0,(I3265/7))</f>
        <v>52.657142857142851</v>
      </c>
      <c r="AE3265" s="218">
        <v>-1.1989943463496227E-3</v>
      </c>
      <c r="AF3265">
        <v>11</v>
      </c>
      <c r="AH3265" t="str">
        <f t="shared" si="156"/>
        <v>Sahibpur Kamal</v>
      </c>
      <c r="AJ3265" s="72">
        <v>0</v>
      </c>
      <c r="AK3265" s="72"/>
      <c r="AL3265" s="72"/>
      <c r="AM3265" s="72"/>
    </row>
    <row r="3266" spans="1:39" x14ac:dyDescent="0.25">
      <c r="A3266" s="37" t="s">
        <v>62</v>
      </c>
      <c r="B3266" s="66" t="s">
        <v>1644</v>
      </c>
      <c r="C3266" s="4">
        <v>1011</v>
      </c>
      <c r="D3266" s="41" t="s">
        <v>289</v>
      </c>
      <c r="E3266" s="41">
        <v>10110095</v>
      </c>
      <c r="F3266" s="85" t="s">
        <v>489</v>
      </c>
      <c r="G3266" s="39" t="s">
        <v>93</v>
      </c>
      <c r="H3266" s="52" t="s">
        <v>94</v>
      </c>
      <c r="I3266" s="52">
        <v>445.19999999999987</v>
      </c>
      <c r="J3266" s="49">
        <v>20036.060972219999</v>
      </c>
      <c r="K3266" s="58">
        <v>438.95000000000005</v>
      </c>
      <c r="L3266" s="58">
        <v>20272.909765720451</v>
      </c>
      <c r="M3266" s="58">
        <v>7.3000000000000016</v>
      </c>
      <c r="N3266" s="58">
        <v>328.15282958300008</v>
      </c>
      <c r="O3266" s="58">
        <v>446.25000000000006</v>
      </c>
      <c r="P3266" s="53">
        <v>20601.062595303451</v>
      </c>
      <c r="Q3266" s="65">
        <v>20036.060972219999</v>
      </c>
      <c r="R3266" s="65">
        <v>0</v>
      </c>
      <c r="S3266" s="65">
        <v>328.15282958300008</v>
      </c>
      <c r="T3266" s="65">
        <v>565.0016230834517</v>
      </c>
      <c r="U3266" s="58">
        <v>0</v>
      </c>
      <c r="V3266" s="65">
        <v>0</v>
      </c>
      <c r="W3266" s="65">
        <v>0</v>
      </c>
      <c r="X3266" s="65">
        <v>19708</v>
      </c>
      <c r="Y3266" s="65">
        <v>0</v>
      </c>
      <c r="Z3266" s="51">
        <v>0</v>
      </c>
      <c r="AA3266" s="51">
        <v>0</v>
      </c>
      <c r="AB3266" s="102">
        <v>0</v>
      </c>
      <c r="AC3266" s="81">
        <f t="shared" si="157"/>
        <v>229.34359100276998</v>
      </c>
      <c r="AD3266" s="82">
        <f t="shared" si="158"/>
        <v>63.59999999999998</v>
      </c>
      <c r="AE3266" s="218">
        <v>-2.8199236559862065E-2</v>
      </c>
      <c r="AF3266">
        <v>13</v>
      </c>
      <c r="AH3266" t="str">
        <f t="shared" si="156"/>
        <v>Sahibpur Kamal</v>
      </c>
      <c r="AJ3266" s="72">
        <v>0</v>
      </c>
      <c r="AK3266" s="72"/>
      <c r="AL3266" s="72"/>
      <c r="AM3266" s="72"/>
    </row>
    <row r="3267" spans="1:39" x14ac:dyDescent="0.25">
      <c r="A3267" s="37" t="s">
        <v>62</v>
      </c>
      <c r="B3267" s="66" t="s">
        <v>1644</v>
      </c>
      <c r="C3267" s="4">
        <v>1054</v>
      </c>
      <c r="D3267" s="41" t="s">
        <v>828</v>
      </c>
      <c r="E3267" s="41">
        <v>10110097</v>
      </c>
      <c r="F3267" s="85" t="s">
        <v>504</v>
      </c>
      <c r="G3267" s="39" t="s">
        <v>93</v>
      </c>
      <c r="H3267" s="52" t="s">
        <v>94</v>
      </c>
      <c r="I3267" s="52">
        <v>86.46</v>
      </c>
      <c r="J3267" s="49">
        <v>4149.5944643663997</v>
      </c>
      <c r="K3267" s="58">
        <v>92.359999999999985</v>
      </c>
      <c r="L3267" s="58">
        <v>4179.5012267156399</v>
      </c>
      <c r="M3267" s="58">
        <v>0.6399999999999999</v>
      </c>
      <c r="N3267" s="58">
        <v>26.872747005600004</v>
      </c>
      <c r="O3267" s="58">
        <v>92.999999999999986</v>
      </c>
      <c r="P3267" s="53">
        <v>4206.37397372124</v>
      </c>
      <c r="Q3267" s="65">
        <v>4149.5944643663997</v>
      </c>
      <c r="R3267" s="65">
        <v>0</v>
      </c>
      <c r="S3267" s="65">
        <v>26.872747005600004</v>
      </c>
      <c r="T3267" s="65">
        <v>56.779509354840229</v>
      </c>
      <c r="U3267" s="58">
        <v>0</v>
      </c>
      <c r="V3267" s="65">
        <v>500</v>
      </c>
      <c r="W3267" s="65">
        <v>0</v>
      </c>
      <c r="X3267" s="65">
        <v>3623</v>
      </c>
      <c r="Y3267" s="65">
        <v>0</v>
      </c>
      <c r="Z3267" s="51">
        <v>0</v>
      </c>
      <c r="AA3267" s="51">
        <v>0</v>
      </c>
      <c r="AB3267" s="102">
        <v>0</v>
      </c>
      <c r="AC3267" s="81">
        <f t="shared" si="157"/>
        <v>588.92949055455949</v>
      </c>
      <c r="AD3267" s="82">
        <f t="shared" si="158"/>
        <v>12.351428571428571</v>
      </c>
      <c r="AE3267" s="218">
        <v>-1.3683146592376677E-2</v>
      </c>
      <c r="AF3267">
        <v>3</v>
      </c>
      <c r="AH3267" t="str">
        <f t="shared" si="156"/>
        <v xml:space="preserve">Alauli </v>
      </c>
      <c r="AJ3267" s="72">
        <v>500</v>
      </c>
      <c r="AK3267" s="72"/>
      <c r="AL3267" s="72"/>
      <c r="AM3267" s="72"/>
    </row>
    <row r="3268" spans="1:39" x14ac:dyDescent="0.25">
      <c r="A3268" s="37" t="s">
        <v>62</v>
      </c>
      <c r="B3268" s="66" t="s">
        <v>1644</v>
      </c>
      <c r="C3268" s="4">
        <v>1054</v>
      </c>
      <c r="D3268" s="41" t="s">
        <v>828</v>
      </c>
      <c r="E3268" s="41">
        <v>10110098</v>
      </c>
      <c r="F3268" s="85" t="s">
        <v>509</v>
      </c>
      <c r="G3268" s="39" t="s">
        <v>93</v>
      </c>
      <c r="H3268" s="52" t="s">
        <v>94</v>
      </c>
      <c r="I3268" s="52">
        <v>187.88000000000002</v>
      </c>
      <c r="J3268" s="49">
        <v>7901.5869356579997</v>
      </c>
      <c r="K3268" s="58">
        <v>188.13</v>
      </c>
      <c r="L3268" s="58">
        <v>7869.8724641400004</v>
      </c>
      <c r="M3268" s="58">
        <v>0</v>
      </c>
      <c r="N3268" s="58">
        <v>0</v>
      </c>
      <c r="O3268" s="58">
        <v>188.13</v>
      </c>
      <c r="P3268" s="53">
        <v>7869.8724641400004</v>
      </c>
      <c r="Q3268" s="65">
        <v>7869.8724641400004</v>
      </c>
      <c r="R3268" s="65">
        <v>0</v>
      </c>
      <c r="S3268" s="65">
        <v>0</v>
      </c>
      <c r="T3268" s="65">
        <v>0</v>
      </c>
      <c r="U3268" s="58">
        <v>0</v>
      </c>
      <c r="V3268" s="65">
        <v>500</v>
      </c>
      <c r="W3268" s="65">
        <v>0</v>
      </c>
      <c r="X3268" s="65">
        <v>7370</v>
      </c>
      <c r="Y3268" s="65">
        <v>0</v>
      </c>
      <c r="Z3268" s="51">
        <v>0</v>
      </c>
      <c r="AA3268" s="51">
        <v>32</v>
      </c>
      <c r="AB3268" s="102">
        <v>0</v>
      </c>
      <c r="AC3268" s="81">
        <f t="shared" si="157"/>
        <v>430.76013428669097</v>
      </c>
      <c r="AD3268" s="82">
        <f t="shared" si="158"/>
        <v>26.840000000000003</v>
      </c>
      <c r="AE3268" s="218">
        <v>4.0136838050695064E-3</v>
      </c>
      <c r="AF3268">
        <v>1</v>
      </c>
      <c r="AH3268" t="str">
        <f t="shared" si="156"/>
        <v xml:space="preserve">Alauli </v>
      </c>
      <c r="AJ3268" s="72">
        <v>500</v>
      </c>
      <c r="AK3268" s="72"/>
      <c r="AL3268" s="72"/>
      <c r="AM3268" s="72"/>
    </row>
    <row r="3269" spans="1:39" x14ac:dyDescent="0.25">
      <c r="A3269" s="37" t="s">
        <v>62</v>
      </c>
      <c r="B3269" s="66" t="s">
        <v>1644</v>
      </c>
      <c r="C3269" s="4">
        <v>1054</v>
      </c>
      <c r="D3269" s="41" t="s">
        <v>828</v>
      </c>
      <c r="E3269" s="41">
        <v>10110100</v>
      </c>
      <c r="F3269" s="85" t="s">
        <v>510</v>
      </c>
      <c r="G3269" s="39" t="s">
        <v>93</v>
      </c>
      <c r="H3269" s="52" t="s">
        <v>94</v>
      </c>
      <c r="I3269" s="52">
        <v>3818.0400000000004</v>
      </c>
      <c r="J3269" s="49">
        <v>157743.39828884398</v>
      </c>
      <c r="K3269" s="58">
        <v>4016.3799999999997</v>
      </c>
      <c r="L3269" s="58">
        <v>162391.16530293733</v>
      </c>
      <c r="M3269" s="58">
        <v>0.62</v>
      </c>
      <c r="N3269" s="58">
        <v>24.880039272000005</v>
      </c>
      <c r="O3269" s="58">
        <v>4016.9999999999995</v>
      </c>
      <c r="P3269" s="53">
        <v>162416.04534220931</v>
      </c>
      <c r="Q3269" s="65">
        <v>157743.39828884398</v>
      </c>
      <c r="R3269" s="65">
        <v>0</v>
      </c>
      <c r="S3269" s="65">
        <v>24.880039272000005</v>
      </c>
      <c r="T3269" s="65">
        <v>4672.6470533653337</v>
      </c>
      <c r="U3269" s="58">
        <v>0</v>
      </c>
      <c r="V3269" s="65">
        <v>0</v>
      </c>
      <c r="W3269" s="65">
        <v>0</v>
      </c>
      <c r="X3269" s="65">
        <v>157719</v>
      </c>
      <c r="Y3269" s="65">
        <v>0</v>
      </c>
      <c r="Z3269" s="51">
        <v>0</v>
      </c>
      <c r="AA3269" s="51">
        <v>0</v>
      </c>
      <c r="AB3269" s="102" t="s">
        <v>68</v>
      </c>
      <c r="AC3269" s="81">
        <f t="shared" si="157"/>
        <v>0</v>
      </c>
      <c r="AD3269" s="82">
        <f t="shared" si="158"/>
        <v>0</v>
      </c>
      <c r="AE3269" s="218">
        <v>-2.9621823189134346E-2</v>
      </c>
      <c r="AF3269">
        <v>18</v>
      </c>
      <c r="AH3269" t="str">
        <f t="shared" si="156"/>
        <v xml:space="preserve">Alauli </v>
      </c>
      <c r="AJ3269" s="72">
        <v>0</v>
      </c>
      <c r="AK3269" s="72"/>
      <c r="AL3269" s="72"/>
      <c r="AM3269" s="72"/>
    </row>
    <row r="3270" spans="1:39" x14ac:dyDescent="0.25">
      <c r="A3270" s="37" t="s">
        <v>62</v>
      </c>
      <c r="B3270" s="66" t="s">
        <v>1644</v>
      </c>
      <c r="C3270" s="4">
        <v>1054</v>
      </c>
      <c r="D3270" s="41" t="s">
        <v>828</v>
      </c>
      <c r="E3270" s="41">
        <v>10110101</v>
      </c>
      <c r="F3270" s="85" t="s">
        <v>520</v>
      </c>
      <c r="G3270" s="39" t="s">
        <v>93</v>
      </c>
      <c r="H3270" s="52" t="s">
        <v>94</v>
      </c>
      <c r="I3270" s="52">
        <v>196.02</v>
      </c>
      <c r="J3270" s="49">
        <v>8294.4195910755006</v>
      </c>
      <c r="K3270" s="58">
        <v>168.92</v>
      </c>
      <c r="L3270" s="58">
        <v>8169.5378214359325</v>
      </c>
      <c r="M3270" s="58">
        <v>0.72</v>
      </c>
      <c r="N3270" s="58">
        <v>43.507616543099999</v>
      </c>
      <c r="O3270" s="58">
        <v>169.64</v>
      </c>
      <c r="P3270" s="53">
        <v>8213.0454379790317</v>
      </c>
      <c r="Q3270" s="65">
        <v>8213.0454379790317</v>
      </c>
      <c r="R3270" s="65">
        <v>0</v>
      </c>
      <c r="S3270" s="65">
        <v>43.507616543099999</v>
      </c>
      <c r="T3270" s="65">
        <v>0</v>
      </c>
      <c r="U3270" s="58">
        <v>0</v>
      </c>
      <c r="V3270" s="65">
        <v>0</v>
      </c>
      <c r="W3270" s="65">
        <v>0</v>
      </c>
      <c r="X3270" s="65">
        <v>8170</v>
      </c>
      <c r="Y3270" s="65">
        <v>0</v>
      </c>
      <c r="Z3270" s="51">
        <v>0</v>
      </c>
      <c r="AA3270" s="51">
        <v>81</v>
      </c>
      <c r="AB3270" s="102">
        <v>0</v>
      </c>
      <c r="AC3270" s="81">
        <f t="shared" si="157"/>
        <v>426.50970161312415</v>
      </c>
      <c r="AD3270" s="82">
        <f t="shared" si="158"/>
        <v>28.002857142857145</v>
      </c>
      <c r="AE3270" s="218">
        <v>9.8107109488438024E-3</v>
      </c>
      <c r="AF3270">
        <v>12</v>
      </c>
      <c r="AH3270" t="str">
        <f t="shared" si="156"/>
        <v xml:space="preserve">Alauli </v>
      </c>
      <c r="AJ3270" s="72">
        <v>0</v>
      </c>
      <c r="AK3270" s="72"/>
      <c r="AL3270" s="72"/>
      <c r="AM3270" s="72"/>
    </row>
    <row r="3271" spans="1:39" x14ac:dyDescent="0.25">
      <c r="A3271" s="37" t="s">
        <v>62</v>
      </c>
      <c r="B3271" s="66" t="s">
        <v>1644</v>
      </c>
      <c r="C3271" s="4">
        <v>1011</v>
      </c>
      <c r="D3271" s="41" t="s">
        <v>289</v>
      </c>
      <c r="E3271" s="41">
        <v>10110105</v>
      </c>
      <c r="F3271" s="85" t="s">
        <v>531</v>
      </c>
      <c r="G3271" s="39" t="s">
        <v>93</v>
      </c>
      <c r="H3271" s="52" t="s">
        <v>94</v>
      </c>
      <c r="I3271" s="52">
        <v>322.8</v>
      </c>
      <c r="J3271" s="49">
        <v>11624.632808961002</v>
      </c>
      <c r="K3271" s="58">
        <v>394.28999999999996</v>
      </c>
      <c r="L3271" s="58">
        <v>14990.105432762601</v>
      </c>
      <c r="M3271" s="58">
        <v>0</v>
      </c>
      <c r="N3271" s="58">
        <v>0</v>
      </c>
      <c r="O3271" s="58">
        <v>394.28999999999996</v>
      </c>
      <c r="P3271" s="53">
        <v>14990.105432762601</v>
      </c>
      <c r="Q3271" s="65">
        <v>11624.632808961002</v>
      </c>
      <c r="R3271" s="65">
        <v>0</v>
      </c>
      <c r="S3271" s="65">
        <v>0</v>
      </c>
      <c r="T3271" s="65">
        <v>3365.4726238015992</v>
      </c>
      <c r="U3271" s="58">
        <v>0</v>
      </c>
      <c r="V3271" s="65">
        <v>0</v>
      </c>
      <c r="W3271" s="65">
        <v>0</v>
      </c>
      <c r="X3271" s="65">
        <v>11625</v>
      </c>
      <c r="Y3271" s="65">
        <v>0</v>
      </c>
      <c r="Z3271" s="51">
        <v>0</v>
      </c>
      <c r="AA3271" s="51">
        <v>0</v>
      </c>
      <c r="AB3271" s="102" t="s">
        <v>68</v>
      </c>
      <c r="AC3271" s="81">
        <f t="shared" si="157"/>
        <v>271.67357469269456</v>
      </c>
      <c r="AD3271" s="82">
        <f t="shared" si="158"/>
        <v>46.114285714285714</v>
      </c>
      <c r="AE3271" s="218">
        <v>-0.28951216602792651</v>
      </c>
      <c r="AF3271">
        <v>14</v>
      </c>
      <c r="AH3271" t="str">
        <f t="shared" si="156"/>
        <v>Sahibpur Kamal</v>
      </c>
      <c r="AJ3271" s="72">
        <v>0</v>
      </c>
      <c r="AK3271" s="72"/>
      <c r="AL3271" s="72"/>
      <c r="AM3271" s="72"/>
    </row>
    <row r="3272" spans="1:39" x14ac:dyDescent="0.25">
      <c r="A3272" s="37" t="s">
        <v>62</v>
      </c>
      <c r="B3272" s="66" t="s">
        <v>1644</v>
      </c>
      <c r="C3272" s="4">
        <v>1011</v>
      </c>
      <c r="D3272" s="41" t="s">
        <v>289</v>
      </c>
      <c r="E3272" s="41">
        <v>10110106</v>
      </c>
      <c r="F3272" s="85" t="s">
        <v>624</v>
      </c>
      <c r="G3272" s="39" t="s">
        <v>93</v>
      </c>
      <c r="H3272" s="52" t="s">
        <v>94</v>
      </c>
      <c r="I3272" s="52">
        <v>7159.3</v>
      </c>
      <c r="J3272" s="49">
        <v>277286.18215865927</v>
      </c>
      <c r="K3272" s="58">
        <v>1444.3999999999999</v>
      </c>
      <c r="L3272" s="58">
        <v>64509.624902127303</v>
      </c>
      <c r="M3272" s="58">
        <v>5729.2</v>
      </c>
      <c r="N3272" s="58">
        <v>223463.61999935994</v>
      </c>
      <c r="O3272" s="58">
        <v>7173.5999999999995</v>
      </c>
      <c r="P3272" s="53">
        <v>287973.24490148725</v>
      </c>
      <c r="Q3272" s="65">
        <v>277286.18215865927</v>
      </c>
      <c r="R3272" s="65">
        <v>0</v>
      </c>
      <c r="S3272" s="65">
        <v>309.63630696000001</v>
      </c>
      <c r="T3272" s="65">
        <v>10687.062742827984</v>
      </c>
      <c r="U3272" s="58">
        <v>0</v>
      </c>
      <c r="V3272" s="65">
        <v>0</v>
      </c>
      <c r="W3272" s="65">
        <v>0</v>
      </c>
      <c r="X3272" s="65">
        <v>53821</v>
      </c>
      <c r="Y3272" s="65">
        <v>223155</v>
      </c>
      <c r="Z3272" s="51">
        <v>0</v>
      </c>
      <c r="AA3272" s="51">
        <v>1</v>
      </c>
      <c r="AB3272" s="102">
        <v>0</v>
      </c>
      <c r="AC3272" s="81">
        <f t="shared" si="157"/>
        <v>0</v>
      </c>
      <c r="AD3272" s="82">
        <f t="shared" si="158"/>
        <v>0</v>
      </c>
      <c r="AE3272" s="218">
        <v>-3.8541634709777915E-2</v>
      </c>
      <c r="AF3272">
        <v>10</v>
      </c>
      <c r="AH3272" t="str">
        <f t="shared" si="156"/>
        <v>Sahibpur Kamal</v>
      </c>
      <c r="AJ3272" s="72">
        <v>0</v>
      </c>
      <c r="AK3272" s="72"/>
      <c r="AL3272" s="72"/>
      <c r="AM3272" s="72"/>
    </row>
    <row r="3273" spans="1:39" x14ac:dyDescent="0.25">
      <c r="A3273" s="37" t="s">
        <v>62</v>
      </c>
      <c r="B3273" s="66" t="s">
        <v>1644</v>
      </c>
      <c r="C3273" s="4">
        <v>1054</v>
      </c>
      <c r="D3273" s="41" t="s">
        <v>828</v>
      </c>
      <c r="E3273" s="41">
        <v>10110109</v>
      </c>
      <c r="F3273" s="85" t="s">
        <v>1345</v>
      </c>
      <c r="G3273" s="39" t="s">
        <v>93</v>
      </c>
      <c r="H3273" s="52" t="s">
        <v>94</v>
      </c>
      <c r="I3273" s="52">
        <v>286.68</v>
      </c>
      <c r="J3273" s="49">
        <v>11362.839247458</v>
      </c>
      <c r="K3273" s="58">
        <v>285.89999999999998</v>
      </c>
      <c r="L3273" s="58">
        <v>11396.679960474003</v>
      </c>
      <c r="M3273" s="58">
        <v>0.31000000000000005</v>
      </c>
      <c r="N3273" s="58">
        <v>12.590502012</v>
      </c>
      <c r="O3273" s="58">
        <v>286.20999999999998</v>
      </c>
      <c r="P3273" s="53">
        <v>11409.270462486003</v>
      </c>
      <c r="Q3273" s="65">
        <v>11362.839247458</v>
      </c>
      <c r="R3273" s="65">
        <v>0</v>
      </c>
      <c r="S3273" s="65">
        <v>12.590502012</v>
      </c>
      <c r="T3273" s="65">
        <v>46.431215028003862</v>
      </c>
      <c r="U3273" s="58">
        <v>0</v>
      </c>
      <c r="V3273" s="65">
        <v>0</v>
      </c>
      <c r="W3273" s="65">
        <v>0</v>
      </c>
      <c r="X3273" s="65">
        <v>11350</v>
      </c>
      <c r="Y3273" s="65">
        <v>0</v>
      </c>
      <c r="Z3273" s="51">
        <v>0</v>
      </c>
      <c r="AA3273" s="51">
        <v>0</v>
      </c>
      <c r="AB3273" s="102" t="s">
        <v>68</v>
      </c>
      <c r="AC3273" s="81">
        <f t="shared" si="157"/>
        <v>327.64676418022464</v>
      </c>
      <c r="AD3273" s="82">
        <f t="shared" si="158"/>
        <v>40.954285714285717</v>
      </c>
      <c r="AE3273" s="218">
        <v>-4.0862335563174555E-3</v>
      </c>
      <c r="AF3273">
        <v>2</v>
      </c>
      <c r="AH3273" t="str">
        <f t="shared" si="156"/>
        <v xml:space="preserve">Alauli </v>
      </c>
      <c r="AJ3273" s="72">
        <v>0</v>
      </c>
      <c r="AK3273" s="72"/>
      <c r="AL3273" s="72"/>
      <c r="AM3273" s="72"/>
    </row>
    <row r="3274" spans="1:39" x14ac:dyDescent="0.25">
      <c r="A3274" s="37" t="s">
        <v>62</v>
      </c>
      <c r="B3274" s="66" t="s">
        <v>1644</v>
      </c>
      <c r="C3274" s="4">
        <v>1055</v>
      </c>
      <c r="D3274" s="41" t="s">
        <v>1148</v>
      </c>
      <c r="E3274" s="41">
        <v>10110110</v>
      </c>
      <c r="F3274" s="85" t="s">
        <v>590</v>
      </c>
      <c r="G3274" s="39" t="s">
        <v>93</v>
      </c>
      <c r="H3274" s="52" t="s">
        <v>94</v>
      </c>
      <c r="I3274" s="52">
        <v>131.30000000000001</v>
      </c>
      <c r="J3274" s="49">
        <v>5552.3011373685013</v>
      </c>
      <c r="K3274" s="58">
        <v>131.12</v>
      </c>
      <c r="L3274" s="58">
        <v>5545.251514946649</v>
      </c>
      <c r="M3274" s="58">
        <v>0.96000000000000008</v>
      </c>
      <c r="N3274" s="58">
        <v>56.6305971273</v>
      </c>
      <c r="O3274" s="58">
        <v>132.08000000000001</v>
      </c>
      <c r="P3274" s="53">
        <v>5601.8821120739485</v>
      </c>
      <c r="Q3274" s="65">
        <v>5552.3011373685013</v>
      </c>
      <c r="R3274" s="65">
        <v>0</v>
      </c>
      <c r="S3274" s="65">
        <v>56.6305971273</v>
      </c>
      <c r="T3274" s="65">
        <v>49.580974705447261</v>
      </c>
      <c r="U3274" s="58">
        <v>2600</v>
      </c>
      <c r="V3274" s="65">
        <v>500</v>
      </c>
      <c r="W3274" s="65">
        <v>0</v>
      </c>
      <c r="X3274" s="65">
        <v>2396</v>
      </c>
      <c r="Y3274" s="65">
        <v>0</v>
      </c>
      <c r="Z3274" s="51">
        <v>0</v>
      </c>
      <c r="AA3274" s="51">
        <v>0</v>
      </c>
      <c r="AB3274" s="102" t="s">
        <v>68</v>
      </c>
      <c r="AC3274" s="81">
        <f t="shared" si="157"/>
        <v>480.97390050593549</v>
      </c>
      <c r="AD3274" s="82">
        <f t="shared" si="158"/>
        <v>18.75714285714286</v>
      </c>
      <c r="AE3274" s="218">
        <v>-8.9298064854144484E-3</v>
      </c>
      <c r="AF3274">
        <v>3</v>
      </c>
      <c r="AH3274" t="str">
        <f t="shared" si="156"/>
        <v>Matihani</v>
      </c>
      <c r="AJ3274" s="72">
        <v>500</v>
      </c>
      <c r="AK3274" s="72"/>
      <c r="AL3274" s="72"/>
      <c r="AM3274" s="72"/>
    </row>
    <row r="3275" spans="1:39" x14ac:dyDescent="0.25">
      <c r="A3275" s="37" t="s">
        <v>62</v>
      </c>
      <c r="B3275" s="66" t="s">
        <v>1644</v>
      </c>
      <c r="C3275" s="4">
        <v>1055</v>
      </c>
      <c r="D3275" s="41" t="s">
        <v>1148</v>
      </c>
      <c r="E3275" s="41">
        <v>10110111</v>
      </c>
      <c r="F3275" s="85" t="s">
        <v>565</v>
      </c>
      <c r="G3275" s="39" t="s">
        <v>93</v>
      </c>
      <c r="H3275" s="52" t="s">
        <v>94</v>
      </c>
      <c r="I3275" s="52">
        <v>192.49999999999997</v>
      </c>
      <c r="J3275" s="49">
        <v>10908.784056949997</v>
      </c>
      <c r="K3275" s="58">
        <v>189.57999999999998</v>
      </c>
      <c r="L3275" s="58">
        <v>10731.116874731299</v>
      </c>
      <c r="M3275" s="58">
        <v>3.0000000000000004</v>
      </c>
      <c r="N3275" s="58">
        <v>190.65648748344003</v>
      </c>
      <c r="O3275" s="58">
        <v>192.57999999999998</v>
      </c>
      <c r="P3275" s="53">
        <v>10921.773362214739</v>
      </c>
      <c r="Q3275" s="65">
        <v>10908.784056949997</v>
      </c>
      <c r="R3275" s="65">
        <v>0</v>
      </c>
      <c r="S3275" s="65">
        <v>190.65648748344003</v>
      </c>
      <c r="T3275" s="65">
        <v>12.989305264742143</v>
      </c>
      <c r="U3275" s="58">
        <v>0</v>
      </c>
      <c r="V3275" s="65">
        <v>0</v>
      </c>
      <c r="W3275" s="65">
        <v>0</v>
      </c>
      <c r="X3275" s="65">
        <v>10718</v>
      </c>
      <c r="Y3275" s="65">
        <v>0</v>
      </c>
      <c r="Z3275" s="51">
        <v>0</v>
      </c>
      <c r="AA3275" s="51">
        <v>0</v>
      </c>
      <c r="AB3275" s="102">
        <v>0</v>
      </c>
      <c r="AC3275" s="81">
        <f t="shared" si="157"/>
        <v>575.19043209372728</v>
      </c>
      <c r="AD3275" s="82">
        <f t="shared" si="158"/>
        <v>27.499999999999996</v>
      </c>
      <c r="AE3275" s="218">
        <v>-1.1907198086359263E-3</v>
      </c>
      <c r="AF3275">
        <v>4</v>
      </c>
      <c r="AH3275" t="str">
        <f t="shared" si="156"/>
        <v>Matihani</v>
      </c>
      <c r="AJ3275" s="72">
        <v>0</v>
      </c>
      <c r="AK3275" s="72"/>
      <c r="AL3275" s="72"/>
      <c r="AM3275" s="72"/>
    </row>
    <row r="3276" spans="1:39" x14ac:dyDescent="0.25">
      <c r="A3276" s="37" t="s">
        <v>62</v>
      </c>
      <c r="B3276" s="66" t="s">
        <v>1644</v>
      </c>
      <c r="C3276" s="4">
        <v>1054</v>
      </c>
      <c r="D3276" s="41" t="s">
        <v>828</v>
      </c>
      <c r="E3276" s="41">
        <v>10110114</v>
      </c>
      <c r="F3276" s="85" t="s">
        <v>591</v>
      </c>
      <c r="G3276" s="39" t="s">
        <v>93</v>
      </c>
      <c r="H3276" s="52" t="s">
        <v>94</v>
      </c>
      <c r="I3276" s="52">
        <v>380.49999999999994</v>
      </c>
      <c r="J3276" s="49">
        <v>14283.463617437999</v>
      </c>
      <c r="K3276" s="58">
        <v>407</v>
      </c>
      <c r="L3276" s="58">
        <v>14891.250296977803</v>
      </c>
      <c r="M3276" s="58">
        <v>0</v>
      </c>
      <c r="N3276" s="58">
        <v>0</v>
      </c>
      <c r="O3276" s="58">
        <v>407</v>
      </c>
      <c r="P3276" s="53">
        <v>14891.250296977803</v>
      </c>
      <c r="Q3276" s="65">
        <v>14283.463617437999</v>
      </c>
      <c r="R3276" s="65">
        <v>0</v>
      </c>
      <c r="S3276" s="65">
        <v>0</v>
      </c>
      <c r="T3276" s="65">
        <v>607.78667953980403</v>
      </c>
      <c r="U3276" s="58">
        <v>0</v>
      </c>
      <c r="V3276" s="65">
        <v>0</v>
      </c>
      <c r="W3276" s="65">
        <v>0</v>
      </c>
      <c r="X3276" s="65">
        <v>14283</v>
      </c>
      <c r="Y3276" s="65">
        <v>0</v>
      </c>
      <c r="Z3276" s="51">
        <v>0</v>
      </c>
      <c r="AA3276" s="51">
        <v>0</v>
      </c>
      <c r="AB3276" s="102">
        <v>0</v>
      </c>
      <c r="AC3276" s="81">
        <f t="shared" si="157"/>
        <v>239.8720959669615</v>
      </c>
      <c r="AD3276" s="82">
        <f t="shared" si="158"/>
        <v>54.357142857142847</v>
      </c>
      <c r="AE3276" s="218">
        <v>-4.2551771462335387E-2</v>
      </c>
      <c r="AF3276">
        <v>2</v>
      </c>
      <c r="AH3276" t="str">
        <f t="shared" si="156"/>
        <v xml:space="preserve">Alauli </v>
      </c>
      <c r="AJ3276" s="72">
        <v>0</v>
      </c>
      <c r="AK3276" s="72"/>
      <c r="AL3276" s="72"/>
      <c r="AM3276" s="72"/>
    </row>
    <row r="3277" spans="1:39" x14ac:dyDescent="0.25">
      <c r="A3277" s="37" t="s">
        <v>62</v>
      </c>
      <c r="B3277" s="66" t="s">
        <v>1644</v>
      </c>
      <c r="C3277" s="4">
        <v>1054</v>
      </c>
      <c r="D3277" s="41" t="s">
        <v>828</v>
      </c>
      <c r="E3277" s="41">
        <v>10110116</v>
      </c>
      <c r="F3277" s="85" t="s">
        <v>546</v>
      </c>
      <c r="G3277" s="39" t="s">
        <v>93</v>
      </c>
      <c r="H3277" s="52" t="s">
        <v>94</v>
      </c>
      <c r="I3277" s="52">
        <v>674.54</v>
      </c>
      <c r="J3277" s="49">
        <v>24162.507032511003</v>
      </c>
      <c r="K3277" s="58">
        <v>675.5</v>
      </c>
      <c r="L3277" s="58">
        <v>24196.071533466002</v>
      </c>
      <c r="M3277" s="58">
        <v>0</v>
      </c>
      <c r="N3277" s="58">
        <v>0</v>
      </c>
      <c r="O3277" s="58">
        <v>675.5</v>
      </c>
      <c r="P3277" s="53">
        <v>24196.071533466002</v>
      </c>
      <c r="Q3277" s="65">
        <v>24162.507032511003</v>
      </c>
      <c r="R3277" s="65">
        <v>0</v>
      </c>
      <c r="S3277" s="65">
        <v>0</v>
      </c>
      <c r="T3277" s="65">
        <v>33.564500954998948</v>
      </c>
      <c r="U3277" s="58">
        <v>0</v>
      </c>
      <c r="V3277" s="65">
        <v>0</v>
      </c>
      <c r="W3277" s="65">
        <v>0</v>
      </c>
      <c r="X3277" s="65">
        <v>24163</v>
      </c>
      <c r="Y3277" s="65">
        <v>0</v>
      </c>
      <c r="Z3277" s="51">
        <v>0</v>
      </c>
      <c r="AA3277" s="51">
        <v>0</v>
      </c>
      <c r="AB3277" s="102">
        <v>0</v>
      </c>
      <c r="AC3277" s="81">
        <f t="shared" si="157"/>
        <v>18.239909539767279</v>
      </c>
      <c r="AD3277" s="82">
        <f t="shared" si="158"/>
        <v>96.362857142857138</v>
      </c>
      <c r="AE3277" s="218">
        <v>-1.3891149999392624E-3</v>
      </c>
      <c r="AF3277">
        <v>4</v>
      </c>
      <c r="AH3277" t="str">
        <f t="shared" si="156"/>
        <v xml:space="preserve">Alauli </v>
      </c>
      <c r="AJ3277" s="72">
        <v>0</v>
      </c>
      <c r="AK3277" s="72"/>
      <c r="AL3277" s="72"/>
      <c r="AM3277" s="72"/>
    </row>
    <row r="3278" spans="1:39" x14ac:dyDescent="0.25">
      <c r="A3278" s="37" t="s">
        <v>62</v>
      </c>
      <c r="B3278" s="66" t="s">
        <v>1644</v>
      </c>
      <c r="C3278" s="4">
        <v>1054</v>
      </c>
      <c r="D3278" s="41" t="s">
        <v>828</v>
      </c>
      <c r="E3278" s="41">
        <v>10110118</v>
      </c>
      <c r="F3278" s="85" t="s">
        <v>593</v>
      </c>
      <c r="G3278" s="39" t="s">
        <v>93</v>
      </c>
      <c r="H3278" s="52" t="s">
        <v>94</v>
      </c>
      <c r="I3278" s="52">
        <v>449.43999999999994</v>
      </c>
      <c r="J3278" s="49">
        <v>17592.693704553898</v>
      </c>
      <c r="K3278" s="58">
        <v>238.63</v>
      </c>
      <c r="L3278" s="58">
        <v>10221.238662493583</v>
      </c>
      <c r="M3278" s="58">
        <v>197.08</v>
      </c>
      <c r="N3278" s="58">
        <v>7532.3666215783805</v>
      </c>
      <c r="O3278" s="58">
        <v>435.71000000000004</v>
      </c>
      <c r="P3278" s="53">
        <v>17753.605284071964</v>
      </c>
      <c r="Q3278" s="65">
        <v>17592.693704553898</v>
      </c>
      <c r="R3278" s="65">
        <v>0</v>
      </c>
      <c r="S3278" s="65">
        <v>395.84187718500004</v>
      </c>
      <c r="T3278" s="65">
        <v>160.91157951806599</v>
      </c>
      <c r="U3278" s="58">
        <v>0</v>
      </c>
      <c r="V3278" s="65">
        <v>0</v>
      </c>
      <c r="W3278" s="65">
        <v>0</v>
      </c>
      <c r="X3278" s="65">
        <v>10060</v>
      </c>
      <c r="Y3278" s="65">
        <v>7137</v>
      </c>
      <c r="Z3278" s="51">
        <v>0</v>
      </c>
      <c r="AA3278" s="51">
        <v>0</v>
      </c>
      <c r="AB3278" s="102">
        <v>0</v>
      </c>
      <c r="AC3278" s="81">
        <f t="shared" si="157"/>
        <v>196.15634276490863</v>
      </c>
      <c r="AD3278" s="82">
        <f t="shared" si="158"/>
        <v>64.205714285714279</v>
      </c>
      <c r="AE3278" s="218">
        <v>-9.146500372277485E-3</v>
      </c>
      <c r="AF3278">
        <v>13</v>
      </c>
      <c r="AH3278" t="str">
        <f t="shared" si="156"/>
        <v xml:space="preserve">Alauli </v>
      </c>
      <c r="AJ3278" s="72">
        <v>0</v>
      </c>
      <c r="AK3278" s="72"/>
      <c r="AL3278" s="72"/>
      <c r="AM3278" s="72"/>
    </row>
    <row r="3279" spans="1:39" x14ac:dyDescent="0.25">
      <c r="A3279" s="37" t="s">
        <v>62</v>
      </c>
      <c r="B3279" s="66" t="s">
        <v>1644</v>
      </c>
      <c r="C3279" s="4">
        <v>1054</v>
      </c>
      <c r="D3279" s="41" t="s">
        <v>828</v>
      </c>
      <c r="E3279" s="41">
        <v>10110119</v>
      </c>
      <c r="F3279" s="85" t="s">
        <v>594</v>
      </c>
      <c r="G3279" s="39" t="s">
        <v>93</v>
      </c>
      <c r="H3279" s="52" t="s">
        <v>94</v>
      </c>
      <c r="I3279" s="52">
        <v>333.28000000000003</v>
      </c>
      <c r="J3279" s="49">
        <v>12436.615939413001</v>
      </c>
      <c r="K3279" s="58">
        <v>337.02</v>
      </c>
      <c r="L3279" s="58">
        <v>12853.828994981053</v>
      </c>
      <c r="M3279" s="58">
        <v>0</v>
      </c>
      <c r="N3279" s="58">
        <v>0</v>
      </c>
      <c r="O3279" s="58">
        <v>337.02</v>
      </c>
      <c r="P3279" s="53">
        <v>12853.828994981053</v>
      </c>
      <c r="Q3279" s="65">
        <v>12436.615939413001</v>
      </c>
      <c r="R3279" s="65">
        <v>0</v>
      </c>
      <c r="S3279" s="65">
        <v>0</v>
      </c>
      <c r="T3279" s="65">
        <v>417.21305556805237</v>
      </c>
      <c r="U3279" s="58">
        <v>0</v>
      </c>
      <c r="V3279" s="65">
        <v>0</v>
      </c>
      <c r="W3279" s="65">
        <v>0</v>
      </c>
      <c r="X3279" s="65">
        <v>12437</v>
      </c>
      <c r="Y3279" s="65">
        <v>0</v>
      </c>
      <c r="Z3279" s="51">
        <v>0</v>
      </c>
      <c r="AA3279" s="51">
        <v>0</v>
      </c>
      <c r="AB3279" s="102">
        <v>0</v>
      </c>
      <c r="AC3279" s="81">
        <f t="shared" si="157"/>
        <v>273.68913810018813</v>
      </c>
      <c r="AD3279" s="82">
        <f t="shared" si="158"/>
        <v>47.611428571428576</v>
      </c>
      <c r="AE3279" s="218">
        <v>-3.354715282682795E-2</v>
      </c>
      <c r="AF3279">
        <v>13</v>
      </c>
      <c r="AH3279" t="str">
        <f t="shared" si="156"/>
        <v xml:space="preserve">Alauli </v>
      </c>
      <c r="AJ3279" s="72">
        <v>0</v>
      </c>
      <c r="AK3279" s="72"/>
      <c r="AL3279" s="72"/>
      <c r="AM3279" s="72"/>
    </row>
    <row r="3280" spans="1:39" x14ac:dyDescent="0.25">
      <c r="A3280" s="37" t="s">
        <v>62</v>
      </c>
      <c r="B3280" s="66" t="s">
        <v>1644</v>
      </c>
      <c r="C3280" s="4">
        <v>1054</v>
      </c>
      <c r="D3280" s="41" t="s">
        <v>828</v>
      </c>
      <c r="E3280" s="41">
        <v>10110120</v>
      </c>
      <c r="F3280" s="85" t="s">
        <v>831</v>
      </c>
      <c r="G3280" s="39" t="s">
        <v>93</v>
      </c>
      <c r="H3280" s="52" t="s">
        <v>94</v>
      </c>
      <c r="I3280" s="52">
        <v>1202.76</v>
      </c>
      <c r="J3280" s="49">
        <v>54036.481274150989</v>
      </c>
      <c r="K3280" s="58">
        <v>35.9</v>
      </c>
      <c r="L3280" s="58">
        <v>1603.1768982929998</v>
      </c>
      <c r="M3280" s="58">
        <v>1168</v>
      </c>
      <c r="N3280" s="58">
        <v>52450.790178105002</v>
      </c>
      <c r="O3280" s="58">
        <v>1203.9000000000001</v>
      </c>
      <c r="P3280" s="53">
        <v>54053.967076398003</v>
      </c>
      <c r="Q3280" s="65">
        <v>54036.481274150989</v>
      </c>
      <c r="R3280" s="65">
        <v>0</v>
      </c>
      <c r="S3280" s="65">
        <v>0</v>
      </c>
      <c r="T3280" s="65">
        <v>17.485802247014362</v>
      </c>
      <c r="U3280" s="58">
        <v>0</v>
      </c>
      <c r="V3280" s="65">
        <v>0</v>
      </c>
      <c r="W3280" s="65">
        <v>0</v>
      </c>
      <c r="X3280" s="65">
        <v>1584</v>
      </c>
      <c r="Y3280" s="65">
        <v>52452</v>
      </c>
      <c r="Z3280" s="51">
        <v>0</v>
      </c>
      <c r="AA3280" s="51">
        <v>0</v>
      </c>
      <c r="AB3280" s="102">
        <v>0</v>
      </c>
      <c r="AC3280" s="81">
        <f t="shared" si="157"/>
        <v>0</v>
      </c>
      <c r="AD3280" s="82">
        <f t="shared" si="158"/>
        <v>0</v>
      </c>
      <c r="AE3280" s="218">
        <v>-3.2359254034882746E-4</v>
      </c>
      <c r="AF3280">
        <v>6</v>
      </c>
      <c r="AH3280" t="str">
        <f t="shared" si="156"/>
        <v xml:space="preserve">Alauli </v>
      </c>
      <c r="AJ3280" s="72">
        <v>0</v>
      </c>
      <c r="AK3280" s="72"/>
      <c r="AL3280" s="72"/>
      <c r="AM3280" s="72"/>
    </row>
    <row r="3281" spans="1:39" x14ac:dyDescent="0.25">
      <c r="A3281" s="37" t="s">
        <v>62</v>
      </c>
      <c r="B3281" s="66" t="s">
        <v>1644</v>
      </c>
      <c r="C3281" s="4">
        <v>1054</v>
      </c>
      <c r="D3281" s="41" t="s">
        <v>828</v>
      </c>
      <c r="E3281" s="41">
        <v>10110121</v>
      </c>
      <c r="F3281" s="85" t="s">
        <v>595</v>
      </c>
      <c r="G3281" s="39" t="s">
        <v>93</v>
      </c>
      <c r="H3281" s="52" t="s">
        <v>94</v>
      </c>
      <c r="I3281" s="52">
        <v>530.2399999999999</v>
      </c>
      <c r="J3281" s="49">
        <v>19347.211614928805</v>
      </c>
      <c r="K3281" s="58">
        <v>533.13999999999987</v>
      </c>
      <c r="L3281" s="58">
        <v>19681.246932597001</v>
      </c>
      <c r="M3281" s="58">
        <v>0</v>
      </c>
      <c r="N3281" s="58">
        <v>0</v>
      </c>
      <c r="O3281" s="58">
        <v>533.13999999999987</v>
      </c>
      <c r="P3281" s="53">
        <v>19681.246932597001</v>
      </c>
      <c r="Q3281" s="65">
        <v>19347.211614928805</v>
      </c>
      <c r="R3281" s="65">
        <v>0</v>
      </c>
      <c r="S3281" s="65">
        <v>0</v>
      </c>
      <c r="T3281" s="65">
        <v>334.03531766819651</v>
      </c>
      <c r="U3281" s="58">
        <v>0</v>
      </c>
      <c r="V3281" s="65">
        <v>0</v>
      </c>
      <c r="W3281" s="65">
        <v>0</v>
      </c>
      <c r="X3281" s="65">
        <v>19347</v>
      </c>
      <c r="Y3281" s="65">
        <v>0</v>
      </c>
      <c r="Z3281" s="51">
        <v>0</v>
      </c>
      <c r="AA3281" s="51">
        <v>0</v>
      </c>
      <c r="AB3281" s="102">
        <v>0</v>
      </c>
      <c r="AC3281" s="81">
        <f t="shared" si="157"/>
        <v>123.88286978539217</v>
      </c>
      <c r="AD3281" s="82">
        <f t="shared" si="158"/>
        <v>75.74857142857141</v>
      </c>
      <c r="AE3281" s="218">
        <v>-1.7265295088334399E-2</v>
      </c>
      <c r="AF3281">
        <v>1</v>
      </c>
      <c r="AH3281" t="str">
        <f t="shared" si="156"/>
        <v xml:space="preserve">Alauli </v>
      </c>
      <c r="AJ3281" s="72">
        <v>0</v>
      </c>
      <c r="AK3281" s="72"/>
      <c r="AL3281" s="72"/>
      <c r="AM3281" s="72"/>
    </row>
    <row r="3282" spans="1:39" x14ac:dyDescent="0.25">
      <c r="A3282" s="37" t="s">
        <v>62</v>
      </c>
      <c r="B3282" s="66" t="s">
        <v>1644</v>
      </c>
      <c r="C3282" s="4">
        <v>1055</v>
      </c>
      <c r="D3282" s="41" t="s">
        <v>1148</v>
      </c>
      <c r="E3282" s="41">
        <v>10110123</v>
      </c>
      <c r="F3282" s="85" t="s">
        <v>596</v>
      </c>
      <c r="G3282" s="39" t="s">
        <v>93</v>
      </c>
      <c r="H3282" s="52" t="s">
        <v>94</v>
      </c>
      <c r="I3282" s="52">
        <v>830</v>
      </c>
      <c r="J3282" s="49">
        <v>33881.741699784005</v>
      </c>
      <c r="K3282" s="58">
        <v>844.81999999999994</v>
      </c>
      <c r="L3282" s="58">
        <v>33509.542773598354</v>
      </c>
      <c r="M3282" s="58">
        <v>9.5100000000000016</v>
      </c>
      <c r="N3282" s="58">
        <v>359.87921229645008</v>
      </c>
      <c r="O3282" s="58">
        <v>854.32999999999993</v>
      </c>
      <c r="P3282" s="53">
        <v>33869.421985894805</v>
      </c>
      <c r="Q3282" s="65">
        <v>33869.421985894805</v>
      </c>
      <c r="R3282" s="65">
        <v>0</v>
      </c>
      <c r="S3282" s="65">
        <v>359.87921229645008</v>
      </c>
      <c r="T3282" s="65">
        <v>0</v>
      </c>
      <c r="U3282" s="58">
        <v>0</v>
      </c>
      <c r="V3282" s="65">
        <v>0</v>
      </c>
      <c r="W3282" s="65">
        <v>0</v>
      </c>
      <c r="X3282" s="65">
        <v>33508</v>
      </c>
      <c r="Y3282" s="65">
        <v>0</v>
      </c>
      <c r="Z3282" s="51">
        <v>0</v>
      </c>
      <c r="AA3282" s="51">
        <v>14</v>
      </c>
      <c r="AB3282" s="102">
        <v>0</v>
      </c>
      <c r="AC3282" s="81">
        <f t="shared" si="157"/>
        <v>0</v>
      </c>
      <c r="AD3282" s="82">
        <f t="shared" si="158"/>
        <v>0</v>
      </c>
      <c r="AE3282" s="218">
        <v>3.6360922641936468E-4</v>
      </c>
      <c r="AF3282">
        <v>11</v>
      </c>
      <c r="AH3282" t="str">
        <f t="shared" si="156"/>
        <v>Matihani</v>
      </c>
      <c r="AJ3282" s="72">
        <v>0</v>
      </c>
      <c r="AK3282" s="72"/>
      <c r="AL3282" s="72"/>
      <c r="AM3282" s="72"/>
    </row>
    <row r="3283" spans="1:39" x14ac:dyDescent="0.25">
      <c r="A3283" s="37" t="s">
        <v>62</v>
      </c>
      <c r="B3283" s="66" t="s">
        <v>1644</v>
      </c>
      <c r="C3283" s="4">
        <v>1055</v>
      </c>
      <c r="D3283" s="41" t="s">
        <v>1148</v>
      </c>
      <c r="E3283" s="41">
        <v>10110124</v>
      </c>
      <c r="F3283" s="85" t="s">
        <v>597</v>
      </c>
      <c r="G3283" s="39" t="s">
        <v>93</v>
      </c>
      <c r="H3283" s="52" t="s">
        <v>94</v>
      </c>
      <c r="I3283" s="52">
        <v>525.5</v>
      </c>
      <c r="J3283" s="49">
        <v>21254.049727650003</v>
      </c>
      <c r="K3283" s="58">
        <v>519.19000000000005</v>
      </c>
      <c r="L3283" s="58">
        <v>20857.227474359152</v>
      </c>
      <c r="M3283" s="58">
        <v>7.67</v>
      </c>
      <c r="N3283" s="58">
        <v>311.34962779500006</v>
      </c>
      <c r="O3283" s="58">
        <v>526.86</v>
      </c>
      <c r="P3283" s="53">
        <v>21168.577102154151</v>
      </c>
      <c r="Q3283" s="65">
        <v>21168.577102154151</v>
      </c>
      <c r="R3283" s="65">
        <v>0</v>
      </c>
      <c r="S3283" s="65">
        <v>311.34962779500006</v>
      </c>
      <c r="T3283" s="65">
        <v>0</v>
      </c>
      <c r="U3283" s="58">
        <v>2120</v>
      </c>
      <c r="V3283" s="65">
        <v>0</v>
      </c>
      <c r="W3283" s="65">
        <v>0</v>
      </c>
      <c r="X3283" s="65">
        <v>18738</v>
      </c>
      <c r="Y3283" s="65">
        <v>0</v>
      </c>
      <c r="Z3283" s="51">
        <v>0</v>
      </c>
      <c r="AA3283" s="51">
        <v>85</v>
      </c>
      <c r="AB3283" s="102">
        <v>0</v>
      </c>
      <c r="AC3283" s="81">
        <f t="shared" si="157"/>
        <v>141.15439305327976</v>
      </c>
      <c r="AD3283" s="82">
        <f t="shared" si="158"/>
        <v>75.071428571428569</v>
      </c>
      <c r="AE3283" s="218">
        <v>4.0214748055594132E-3</v>
      </c>
      <c r="AF3283">
        <v>13</v>
      </c>
      <c r="AH3283" t="str">
        <f t="shared" si="156"/>
        <v>Matihani</v>
      </c>
      <c r="AJ3283" s="72">
        <v>0</v>
      </c>
      <c r="AK3283" s="72"/>
      <c r="AL3283" s="72"/>
      <c r="AM3283" s="72"/>
    </row>
    <row r="3284" spans="1:39" x14ac:dyDescent="0.25">
      <c r="A3284" s="37" t="s">
        <v>62</v>
      </c>
      <c r="B3284" s="66" t="s">
        <v>1644</v>
      </c>
      <c r="C3284" s="4">
        <v>1055</v>
      </c>
      <c r="D3284" s="41" t="s">
        <v>1148</v>
      </c>
      <c r="E3284" s="41">
        <v>10110128</v>
      </c>
      <c r="F3284" s="85" t="s">
        <v>598</v>
      </c>
      <c r="G3284" s="39" t="s">
        <v>93</v>
      </c>
      <c r="H3284" s="52" t="s">
        <v>94</v>
      </c>
      <c r="I3284" s="52">
        <v>781.1</v>
      </c>
      <c r="J3284" s="49">
        <v>30926.286068400004</v>
      </c>
      <c r="K3284" s="58">
        <v>806.29000000000008</v>
      </c>
      <c r="L3284" s="58">
        <v>30952.876015469854</v>
      </c>
      <c r="M3284" s="58">
        <v>3.28</v>
      </c>
      <c r="N3284" s="58">
        <v>115.31010577350001</v>
      </c>
      <c r="O3284" s="58">
        <v>809.57</v>
      </c>
      <c r="P3284" s="53">
        <v>31068.186121243354</v>
      </c>
      <c r="Q3284" s="65">
        <v>30926.286068400004</v>
      </c>
      <c r="R3284" s="65">
        <v>0</v>
      </c>
      <c r="S3284" s="65">
        <v>115.31010577350001</v>
      </c>
      <c r="T3284" s="65">
        <v>141.90005284334984</v>
      </c>
      <c r="U3284" s="58">
        <v>0</v>
      </c>
      <c r="V3284" s="65">
        <v>0</v>
      </c>
      <c r="W3284" s="65">
        <v>0</v>
      </c>
      <c r="X3284" s="65">
        <v>30811</v>
      </c>
      <c r="Y3284" s="65">
        <v>0</v>
      </c>
      <c r="Z3284" s="51">
        <v>0</v>
      </c>
      <c r="AA3284" s="51">
        <v>0</v>
      </c>
      <c r="AB3284" s="102">
        <v>0</v>
      </c>
      <c r="AC3284" s="81">
        <f t="shared" si="157"/>
        <v>0</v>
      </c>
      <c r="AD3284" s="82">
        <f t="shared" si="158"/>
        <v>0</v>
      </c>
      <c r="AE3284" s="218">
        <v>-4.5883315096260811E-3</v>
      </c>
      <c r="AF3284">
        <v>10</v>
      </c>
      <c r="AH3284" t="str">
        <f t="shared" si="156"/>
        <v>Matihani</v>
      </c>
      <c r="AJ3284" s="72">
        <v>0</v>
      </c>
      <c r="AK3284" s="72"/>
      <c r="AL3284" s="72"/>
      <c r="AM3284" s="72"/>
    </row>
    <row r="3285" spans="1:39" x14ac:dyDescent="0.25">
      <c r="A3285" s="37" t="s">
        <v>62</v>
      </c>
      <c r="B3285" s="66" t="s">
        <v>1644</v>
      </c>
      <c r="C3285" s="4">
        <v>1054</v>
      </c>
      <c r="D3285" s="41" t="s">
        <v>828</v>
      </c>
      <c r="E3285" s="41">
        <v>10110129</v>
      </c>
      <c r="F3285" s="85" t="s">
        <v>710</v>
      </c>
      <c r="G3285" s="39" t="s">
        <v>93</v>
      </c>
      <c r="H3285" s="52" t="s">
        <v>94</v>
      </c>
      <c r="I3285" s="52">
        <v>677.3399999999998</v>
      </c>
      <c r="J3285" s="49">
        <v>25426.868845443903</v>
      </c>
      <c r="K3285" s="58">
        <v>910</v>
      </c>
      <c r="L3285" s="58">
        <v>37378.778453999999</v>
      </c>
      <c r="M3285" s="58">
        <v>0</v>
      </c>
      <c r="N3285" s="58">
        <v>0</v>
      </c>
      <c r="O3285" s="58">
        <v>910</v>
      </c>
      <c r="P3285" s="53">
        <v>37378.778453999999</v>
      </c>
      <c r="Q3285" s="65">
        <v>25426.868845443903</v>
      </c>
      <c r="R3285" s="65">
        <v>0</v>
      </c>
      <c r="S3285" s="65">
        <v>0</v>
      </c>
      <c r="T3285" s="65">
        <v>11951.909608556096</v>
      </c>
      <c r="U3285" s="58">
        <v>0</v>
      </c>
      <c r="V3285" s="65">
        <v>0</v>
      </c>
      <c r="W3285" s="65">
        <v>0</v>
      </c>
      <c r="X3285" s="65">
        <v>25427</v>
      </c>
      <c r="Y3285" s="65">
        <v>0</v>
      </c>
      <c r="Z3285" s="51">
        <v>0</v>
      </c>
      <c r="AA3285" s="51">
        <v>0</v>
      </c>
      <c r="AB3285" s="102">
        <v>0</v>
      </c>
      <c r="AC3285" s="81">
        <f t="shared" si="157"/>
        <v>17.01281034746993</v>
      </c>
      <c r="AD3285" s="82">
        <f t="shared" si="158"/>
        <v>96.762857142857115</v>
      </c>
      <c r="AE3285" s="218">
        <v>-0.4700503896569117</v>
      </c>
      <c r="AF3285">
        <v>3</v>
      </c>
      <c r="AH3285" t="str">
        <f t="shared" si="156"/>
        <v xml:space="preserve">Alauli </v>
      </c>
      <c r="AJ3285" s="72">
        <v>0</v>
      </c>
      <c r="AK3285" s="72"/>
      <c r="AL3285" s="72"/>
      <c r="AM3285" s="72"/>
    </row>
    <row r="3286" spans="1:39" x14ac:dyDescent="0.25">
      <c r="A3286" s="37" t="s">
        <v>62</v>
      </c>
      <c r="B3286" s="66" t="s">
        <v>1644</v>
      </c>
      <c r="C3286" s="4">
        <v>1054</v>
      </c>
      <c r="D3286" s="41" t="s">
        <v>828</v>
      </c>
      <c r="E3286" s="41">
        <v>10110132</v>
      </c>
      <c r="F3286" s="85" t="s">
        <v>650</v>
      </c>
      <c r="G3286" s="39" t="s">
        <v>93</v>
      </c>
      <c r="H3286" s="52" t="s">
        <v>94</v>
      </c>
      <c r="I3286" s="52">
        <v>290.71999999999997</v>
      </c>
      <c r="J3286" s="49">
        <v>12099.180299436</v>
      </c>
      <c r="K3286" s="58">
        <v>364.63</v>
      </c>
      <c r="L3286" s="58">
        <v>15335.711366869531</v>
      </c>
      <c r="M3286" s="58">
        <v>0</v>
      </c>
      <c r="N3286" s="58">
        <v>0</v>
      </c>
      <c r="O3286" s="58">
        <v>364.63</v>
      </c>
      <c r="P3286" s="53">
        <v>15335.711366869531</v>
      </c>
      <c r="Q3286" s="65">
        <v>12099.180299436</v>
      </c>
      <c r="R3286" s="65">
        <v>0</v>
      </c>
      <c r="S3286" s="65">
        <v>0</v>
      </c>
      <c r="T3286" s="65">
        <v>3236.5310674335306</v>
      </c>
      <c r="U3286" s="58">
        <v>0</v>
      </c>
      <c r="V3286" s="65">
        <v>500</v>
      </c>
      <c r="W3286" s="65">
        <v>0</v>
      </c>
      <c r="X3286" s="65">
        <v>11599</v>
      </c>
      <c r="Y3286" s="65">
        <v>0</v>
      </c>
      <c r="Z3286" s="51">
        <v>0</v>
      </c>
      <c r="AA3286" s="51">
        <v>0</v>
      </c>
      <c r="AB3286" s="102">
        <v>0</v>
      </c>
      <c r="AC3286" s="81">
        <f t="shared" si="157"/>
        <v>340.66816957575446</v>
      </c>
      <c r="AD3286" s="82">
        <f t="shared" si="158"/>
        <v>41.53142857142857</v>
      </c>
      <c r="AE3286" s="218">
        <v>-0.26750002788076482</v>
      </c>
      <c r="AF3286">
        <v>1</v>
      </c>
      <c r="AH3286" t="str">
        <f t="shared" si="156"/>
        <v xml:space="preserve">Alauli </v>
      </c>
      <c r="AJ3286" s="72">
        <v>500</v>
      </c>
      <c r="AK3286" s="72"/>
      <c r="AL3286" s="72"/>
      <c r="AM3286" s="72"/>
    </row>
    <row r="3287" spans="1:39" x14ac:dyDescent="0.25">
      <c r="A3287" s="37" t="s">
        <v>62</v>
      </c>
      <c r="B3287" s="66" t="s">
        <v>1644</v>
      </c>
      <c r="C3287" s="4">
        <v>1054</v>
      </c>
      <c r="D3287" s="41" t="s">
        <v>828</v>
      </c>
      <c r="E3287" s="41">
        <v>10110133</v>
      </c>
      <c r="F3287" s="85" t="s">
        <v>676</v>
      </c>
      <c r="G3287" s="39" t="s">
        <v>93</v>
      </c>
      <c r="H3287" s="52" t="s">
        <v>94</v>
      </c>
      <c r="I3287" s="52">
        <v>2386.1999999999998</v>
      </c>
      <c r="J3287" s="49">
        <v>93028.258442165999</v>
      </c>
      <c r="K3287" s="58">
        <v>2386.2000000000003</v>
      </c>
      <c r="L3287" s="58">
        <v>93313.947125886014</v>
      </c>
      <c r="M3287" s="58">
        <v>0</v>
      </c>
      <c r="N3287" s="58">
        <v>0</v>
      </c>
      <c r="O3287" s="58">
        <v>2386.2000000000003</v>
      </c>
      <c r="P3287" s="53">
        <v>93313.947125886014</v>
      </c>
      <c r="Q3287" s="65">
        <v>93028.258442165999</v>
      </c>
      <c r="R3287" s="65">
        <v>0</v>
      </c>
      <c r="S3287" s="65">
        <v>0</v>
      </c>
      <c r="T3287" s="65">
        <v>285.68868372001452</v>
      </c>
      <c r="U3287" s="58">
        <v>0</v>
      </c>
      <c r="V3287" s="65">
        <v>0</v>
      </c>
      <c r="W3287" s="65">
        <v>0</v>
      </c>
      <c r="X3287" s="65">
        <v>93028</v>
      </c>
      <c r="Y3287" s="65">
        <v>0</v>
      </c>
      <c r="Z3287" s="51">
        <v>0</v>
      </c>
      <c r="AA3287" s="51">
        <v>0</v>
      </c>
      <c r="AB3287" s="102">
        <v>0</v>
      </c>
      <c r="AC3287" s="81">
        <f t="shared" si="157"/>
        <v>0</v>
      </c>
      <c r="AD3287" s="82">
        <f t="shared" si="158"/>
        <v>0</v>
      </c>
      <c r="AE3287" s="218">
        <v>-3.0709881976090313E-3</v>
      </c>
      <c r="AF3287">
        <v>1</v>
      </c>
      <c r="AH3287" t="str">
        <f t="shared" si="156"/>
        <v xml:space="preserve">Alauli </v>
      </c>
      <c r="AJ3287" s="72">
        <v>0</v>
      </c>
      <c r="AK3287" s="72"/>
      <c r="AL3287" s="72"/>
      <c r="AM3287" s="72"/>
    </row>
    <row r="3288" spans="1:39" x14ac:dyDescent="0.25">
      <c r="A3288" s="37" t="s">
        <v>62</v>
      </c>
      <c r="B3288" s="66" t="s">
        <v>1644</v>
      </c>
      <c r="C3288" s="4">
        <v>1054</v>
      </c>
      <c r="D3288" s="41" t="s">
        <v>828</v>
      </c>
      <c r="E3288" s="41">
        <v>10110134</v>
      </c>
      <c r="F3288" s="85" t="s">
        <v>235</v>
      </c>
      <c r="G3288" s="39" t="s">
        <v>93</v>
      </c>
      <c r="H3288" s="52" t="s">
        <v>94</v>
      </c>
      <c r="I3288" s="52">
        <v>320.85999999999996</v>
      </c>
      <c r="J3288" s="49">
        <v>12861.703816368001</v>
      </c>
      <c r="K3288" s="58">
        <v>327.21000000000009</v>
      </c>
      <c r="L3288" s="58">
        <v>12851.531449337528</v>
      </c>
      <c r="M3288" s="58">
        <v>0</v>
      </c>
      <c r="N3288" s="58">
        <v>0</v>
      </c>
      <c r="O3288" s="58">
        <v>327.21000000000009</v>
      </c>
      <c r="P3288" s="53">
        <v>12851.531449337528</v>
      </c>
      <c r="Q3288" s="65">
        <v>12851.531449337528</v>
      </c>
      <c r="R3288" s="65">
        <v>0</v>
      </c>
      <c r="S3288" s="65">
        <v>0</v>
      </c>
      <c r="T3288" s="65">
        <v>0</v>
      </c>
      <c r="U3288" s="58">
        <v>0</v>
      </c>
      <c r="V3288" s="65">
        <v>0</v>
      </c>
      <c r="W3288" s="65">
        <v>0</v>
      </c>
      <c r="X3288" s="65">
        <v>12850</v>
      </c>
      <c r="Y3288" s="65">
        <v>0</v>
      </c>
      <c r="Z3288" s="51">
        <v>0</v>
      </c>
      <c r="AA3288" s="51">
        <v>12</v>
      </c>
      <c r="AB3288" s="102">
        <v>0</v>
      </c>
      <c r="AC3288" s="81">
        <f t="shared" si="157"/>
        <v>303.95726391184724</v>
      </c>
      <c r="AD3288" s="82">
        <f t="shared" si="158"/>
        <v>45.837142857142851</v>
      </c>
      <c r="AE3288" s="218">
        <v>7.9090353624278241E-4</v>
      </c>
      <c r="AF3288">
        <v>8</v>
      </c>
      <c r="AH3288" t="str">
        <f t="shared" si="156"/>
        <v xml:space="preserve">Alauli </v>
      </c>
      <c r="AJ3288" s="72">
        <v>0</v>
      </c>
      <c r="AK3288" s="72"/>
      <c r="AL3288" s="72"/>
      <c r="AM3288" s="72"/>
    </row>
    <row r="3289" spans="1:39" x14ac:dyDescent="0.25">
      <c r="A3289" s="37" t="s">
        <v>62</v>
      </c>
      <c r="B3289" s="66" t="s">
        <v>1644</v>
      </c>
      <c r="C3289" s="4">
        <v>1054</v>
      </c>
      <c r="D3289" s="41" t="s">
        <v>828</v>
      </c>
      <c r="E3289" s="41">
        <v>10110135</v>
      </c>
      <c r="F3289" s="85" t="s">
        <v>644</v>
      </c>
      <c r="G3289" s="39" t="s">
        <v>93</v>
      </c>
      <c r="H3289" s="52" t="s">
        <v>94</v>
      </c>
      <c r="I3289" s="52">
        <v>772.39999999999986</v>
      </c>
      <c r="J3289" s="49">
        <v>29792.703239220002</v>
      </c>
      <c r="K3289" s="58">
        <v>778.9799999999999</v>
      </c>
      <c r="L3289" s="58">
        <v>29755.805368953821</v>
      </c>
      <c r="M3289" s="58">
        <v>0.85</v>
      </c>
      <c r="N3289" s="58">
        <v>26.771602176000002</v>
      </c>
      <c r="O3289" s="58">
        <v>779.82999999999993</v>
      </c>
      <c r="P3289" s="53">
        <v>29782.57697112982</v>
      </c>
      <c r="Q3289" s="65">
        <v>29782.57697112982</v>
      </c>
      <c r="R3289" s="65">
        <v>0</v>
      </c>
      <c r="S3289" s="65">
        <v>26.771602176000002</v>
      </c>
      <c r="T3289" s="65">
        <v>0</v>
      </c>
      <c r="U3289" s="58">
        <v>0</v>
      </c>
      <c r="V3289" s="65">
        <v>0</v>
      </c>
      <c r="W3289" s="65">
        <v>0</v>
      </c>
      <c r="X3289" s="65">
        <v>29755</v>
      </c>
      <c r="Y3289" s="65">
        <v>0</v>
      </c>
      <c r="Z3289" s="51">
        <v>0</v>
      </c>
      <c r="AA3289" s="51">
        <v>11</v>
      </c>
      <c r="AB3289" s="102">
        <v>0</v>
      </c>
      <c r="AC3289" s="81">
        <f t="shared" si="157"/>
        <v>0</v>
      </c>
      <c r="AD3289" s="82">
        <f t="shared" si="158"/>
        <v>0</v>
      </c>
      <c r="AE3289" s="218">
        <v>3.3989087894687305E-4</v>
      </c>
      <c r="AF3289">
        <v>14</v>
      </c>
      <c r="AH3289" t="str">
        <f t="shared" si="156"/>
        <v xml:space="preserve">Alauli </v>
      </c>
      <c r="AJ3289" s="72">
        <v>0</v>
      </c>
      <c r="AK3289" s="72"/>
      <c r="AL3289" s="72"/>
      <c r="AM3289" s="72"/>
    </row>
    <row r="3290" spans="1:39" x14ac:dyDescent="0.25">
      <c r="A3290" s="37" t="s">
        <v>62</v>
      </c>
      <c r="B3290" s="66" t="s">
        <v>1644</v>
      </c>
      <c r="C3290" s="4">
        <v>1054</v>
      </c>
      <c r="D3290" s="41" t="s">
        <v>828</v>
      </c>
      <c r="E3290" s="41">
        <v>10110140</v>
      </c>
      <c r="F3290" s="85" t="s">
        <v>677</v>
      </c>
      <c r="G3290" s="39" t="s">
        <v>93</v>
      </c>
      <c r="H3290" s="52" t="s">
        <v>94</v>
      </c>
      <c r="I3290" s="52">
        <v>169.4</v>
      </c>
      <c r="J3290" s="49">
        <v>7919.8722599564999</v>
      </c>
      <c r="K3290" s="58">
        <v>165.74</v>
      </c>
      <c r="L3290" s="58">
        <v>7924.2367026160864</v>
      </c>
      <c r="M3290" s="58">
        <v>3.57</v>
      </c>
      <c r="N3290" s="58">
        <v>170.98774360286001</v>
      </c>
      <c r="O3290" s="58">
        <v>169.31</v>
      </c>
      <c r="P3290" s="53">
        <v>8095.2244462189465</v>
      </c>
      <c r="Q3290" s="65">
        <v>7919.8722599564999</v>
      </c>
      <c r="R3290" s="65">
        <v>0</v>
      </c>
      <c r="S3290" s="65">
        <v>170.98774360286001</v>
      </c>
      <c r="T3290" s="65">
        <v>175.35218626244659</v>
      </c>
      <c r="U3290" s="58">
        <v>649</v>
      </c>
      <c r="V3290" s="65">
        <v>0</v>
      </c>
      <c r="W3290" s="65">
        <v>0</v>
      </c>
      <c r="X3290" s="65">
        <v>7100</v>
      </c>
      <c r="Y3290" s="65">
        <v>0</v>
      </c>
      <c r="Z3290" s="51">
        <v>0</v>
      </c>
      <c r="AA3290" s="51">
        <v>0</v>
      </c>
      <c r="AB3290" s="102" t="s">
        <v>68</v>
      </c>
      <c r="AC3290" s="81">
        <f t="shared" si="157"/>
        <v>496.13745231793615</v>
      </c>
      <c r="AD3290" s="82">
        <f t="shared" si="158"/>
        <v>24.2</v>
      </c>
      <c r="AE3290" s="218">
        <v>-2.2140784662530621E-2</v>
      </c>
      <c r="AF3290">
        <v>6</v>
      </c>
      <c r="AH3290" t="str">
        <f t="shared" si="156"/>
        <v xml:space="preserve">Alauli </v>
      </c>
      <c r="AJ3290" s="72">
        <v>0</v>
      </c>
      <c r="AK3290" s="72"/>
      <c r="AL3290" s="72"/>
      <c r="AM3290" s="72"/>
    </row>
    <row r="3291" spans="1:39" x14ac:dyDescent="0.25">
      <c r="A3291" s="37" t="s">
        <v>62</v>
      </c>
      <c r="B3291" s="66" t="s">
        <v>1644</v>
      </c>
      <c r="C3291" s="4">
        <v>1054</v>
      </c>
      <c r="D3291" s="41" t="s">
        <v>828</v>
      </c>
      <c r="E3291" s="41">
        <v>10110141</v>
      </c>
      <c r="F3291" s="85" t="s">
        <v>678</v>
      </c>
      <c r="G3291" s="39" t="s">
        <v>93</v>
      </c>
      <c r="H3291" s="52" t="s">
        <v>94</v>
      </c>
      <c r="I3291" s="52">
        <v>827.71999999999991</v>
      </c>
      <c r="J3291" s="49">
        <v>33203.680350474002</v>
      </c>
      <c r="K3291" s="58">
        <v>818.31000000000006</v>
      </c>
      <c r="L3291" s="58">
        <v>33826.46234705294</v>
      </c>
      <c r="M3291" s="58">
        <v>11.470000000000002</v>
      </c>
      <c r="N3291" s="58">
        <v>515.7224890980001</v>
      </c>
      <c r="O3291" s="58">
        <v>829.78000000000009</v>
      </c>
      <c r="P3291" s="53">
        <v>34342.18483615094</v>
      </c>
      <c r="Q3291" s="65">
        <v>33203.680350474002</v>
      </c>
      <c r="R3291" s="65">
        <v>0</v>
      </c>
      <c r="S3291" s="65">
        <v>515.7224890980001</v>
      </c>
      <c r="T3291" s="65">
        <v>1138.5044856769382</v>
      </c>
      <c r="U3291" s="58">
        <v>0</v>
      </c>
      <c r="V3291" s="65">
        <v>0</v>
      </c>
      <c r="W3291" s="65">
        <v>0</v>
      </c>
      <c r="X3291" s="65">
        <v>32688</v>
      </c>
      <c r="Y3291" s="65">
        <v>0</v>
      </c>
      <c r="Z3291" s="51">
        <v>0</v>
      </c>
      <c r="AA3291" s="51">
        <v>0</v>
      </c>
      <c r="AB3291" s="102">
        <v>0</v>
      </c>
      <c r="AC3291" s="81">
        <f t="shared" si="157"/>
        <v>0</v>
      </c>
      <c r="AD3291" s="82">
        <f t="shared" si="158"/>
        <v>0</v>
      </c>
      <c r="AE3291" s="218">
        <v>-3.4288502770166124E-2</v>
      </c>
      <c r="AF3291">
        <v>19</v>
      </c>
      <c r="AH3291" t="str">
        <f t="shared" si="156"/>
        <v xml:space="preserve">Alauli </v>
      </c>
      <c r="AJ3291" s="72">
        <v>0</v>
      </c>
      <c r="AK3291" s="72"/>
      <c r="AL3291" s="72"/>
      <c r="AM3291" s="72"/>
    </row>
    <row r="3292" spans="1:39" x14ac:dyDescent="0.25">
      <c r="A3292" s="37" t="s">
        <v>62</v>
      </c>
      <c r="B3292" s="66" t="s">
        <v>1644</v>
      </c>
      <c r="C3292" s="4">
        <v>1054</v>
      </c>
      <c r="D3292" s="41" t="s">
        <v>828</v>
      </c>
      <c r="E3292" s="41">
        <v>10110143</v>
      </c>
      <c r="F3292" s="85" t="s">
        <v>679</v>
      </c>
      <c r="G3292" s="39" t="s">
        <v>93</v>
      </c>
      <c r="H3292" s="52" t="s">
        <v>94</v>
      </c>
      <c r="I3292" s="52">
        <v>742.92</v>
      </c>
      <c r="J3292" s="49">
        <v>27685.682617343704</v>
      </c>
      <c r="K3292" s="58">
        <v>1046.49</v>
      </c>
      <c r="L3292" s="58">
        <v>43681.739633014513</v>
      </c>
      <c r="M3292" s="58">
        <v>0</v>
      </c>
      <c r="N3292" s="58">
        <v>0</v>
      </c>
      <c r="O3292" s="58">
        <v>1046.49</v>
      </c>
      <c r="P3292" s="53">
        <v>43681.739633014513</v>
      </c>
      <c r="Q3292" s="65">
        <v>27685.682617343704</v>
      </c>
      <c r="R3292" s="65">
        <v>0</v>
      </c>
      <c r="S3292" s="65">
        <v>0</v>
      </c>
      <c r="T3292" s="65">
        <v>15996.057015670809</v>
      </c>
      <c r="U3292" s="58">
        <v>1350</v>
      </c>
      <c r="V3292" s="65">
        <v>0</v>
      </c>
      <c r="W3292" s="65">
        <v>0</v>
      </c>
      <c r="X3292" s="65">
        <v>26336</v>
      </c>
      <c r="Y3292" s="65">
        <v>0</v>
      </c>
      <c r="Z3292" s="51">
        <v>0</v>
      </c>
      <c r="AA3292" s="51">
        <v>0</v>
      </c>
      <c r="AB3292" s="102" t="s">
        <v>68</v>
      </c>
      <c r="AC3292" s="81">
        <f t="shared" si="157"/>
        <v>0</v>
      </c>
      <c r="AD3292" s="82">
        <f t="shared" si="158"/>
        <v>0</v>
      </c>
      <c r="AE3292" s="218">
        <v>-0.57777361811010841</v>
      </c>
      <c r="AF3292">
        <v>4</v>
      </c>
      <c r="AH3292" t="str">
        <f t="shared" si="156"/>
        <v xml:space="preserve">Alauli </v>
      </c>
      <c r="AJ3292" s="72">
        <v>0</v>
      </c>
      <c r="AK3292" s="72"/>
      <c r="AL3292" s="72"/>
      <c r="AM3292" s="72"/>
    </row>
    <row r="3293" spans="1:39" x14ac:dyDescent="0.25">
      <c r="A3293" s="37" t="s">
        <v>62</v>
      </c>
      <c r="B3293" s="66" t="s">
        <v>1644</v>
      </c>
      <c r="C3293" s="4">
        <v>1054</v>
      </c>
      <c r="D3293" s="41" t="s">
        <v>828</v>
      </c>
      <c r="E3293" s="41">
        <v>10110144</v>
      </c>
      <c r="F3293" s="85" t="s">
        <v>680</v>
      </c>
      <c r="G3293" s="39" t="s">
        <v>93</v>
      </c>
      <c r="H3293" s="52" t="s">
        <v>94</v>
      </c>
      <c r="I3293" s="52">
        <v>825.98</v>
      </c>
      <c r="J3293" s="49">
        <v>31482.609179691302</v>
      </c>
      <c r="K3293" s="58">
        <v>856.69000000000017</v>
      </c>
      <c r="L3293" s="58">
        <v>36567.889901362811</v>
      </c>
      <c r="M3293" s="58">
        <v>0</v>
      </c>
      <c r="N3293" s="58">
        <v>0</v>
      </c>
      <c r="O3293" s="58">
        <v>856.69000000000017</v>
      </c>
      <c r="P3293" s="53">
        <v>36567.889901362811</v>
      </c>
      <c r="Q3293" s="65">
        <v>31482.609179691302</v>
      </c>
      <c r="R3293" s="65">
        <v>0</v>
      </c>
      <c r="S3293" s="65">
        <v>0</v>
      </c>
      <c r="T3293" s="65">
        <v>5085.2807216715082</v>
      </c>
      <c r="U3293" s="58">
        <v>0</v>
      </c>
      <c r="V3293" s="65">
        <v>0</v>
      </c>
      <c r="W3293" s="65">
        <v>0</v>
      </c>
      <c r="X3293" s="65">
        <v>31483</v>
      </c>
      <c r="Y3293" s="65">
        <v>0</v>
      </c>
      <c r="Z3293" s="51">
        <v>0</v>
      </c>
      <c r="AA3293" s="51">
        <v>0</v>
      </c>
      <c r="AB3293" s="102">
        <v>0</v>
      </c>
      <c r="AC3293" s="81">
        <f t="shared" si="157"/>
        <v>0</v>
      </c>
      <c r="AD3293" s="82">
        <f t="shared" si="158"/>
        <v>0</v>
      </c>
      <c r="AE3293" s="218">
        <v>-0.16152666040627611</v>
      </c>
      <c r="AF3293">
        <v>6</v>
      </c>
      <c r="AH3293" t="str">
        <f t="shared" si="156"/>
        <v xml:space="preserve">Alauli </v>
      </c>
      <c r="AJ3293" s="72">
        <v>0</v>
      </c>
      <c r="AK3293" s="72"/>
      <c r="AL3293" s="72"/>
      <c r="AM3293" s="72"/>
    </row>
    <row r="3294" spans="1:39" x14ac:dyDescent="0.25">
      <c r="A3294" s="37" t="s">
        <v>62</v>
      </c>
      <c r="B3294" s="66" t="s">
        <v>1644</v>
      </c>
      <c r="C3294" s="4">
        <v>1011</v>
      </c>
      <c r="D3294" s="41" t="s">
        <v>289</v>
      </c>
      <c r="E3294" s="41">
        <v>10110146</v>
      </c>
      <c r="F3294" s="85" t="s">
        <v>645</v>
      </c>
      <c r="G3294" s="39" t="s">
        <v>93</v>
      </c>
      <c r="H3294" s="52" t="s">
        <v>94</v>
      </c>
      <c r="I3294" s="52">
        <v>751.6</v>
      </c>
      <c r="J3294" s="49">
        <v>27766.7255047014</v>
      </c>
      <c r="K3294" s="58">
        <v>766.5</v>
      </c>
      <c r="L3294" s="58">
        <v>28615.380913241403</v>
      </c>
      <c r="M3294" s="58">
        <v>0</v>
      </c>
      <c r="N3294" s="58">
        <v>0</v>
      </c>
      <c r="O3294" s="58">
        <v>766.5</v>
      </c>
      <c r="P3294" s="53">
        <v>28615.380913241403</v>
      </c>
      <c r="Q3294" s="65">
        <v>27766.7255047014</v>
      </c>
      <c r="R3294" s="65">
        <v>0</v>
      </c>
      <c r="S3294" s="65">
        <v>0</v>
      </c>
      <c r="T3294" s="65">
        <v>848.6554085400021</v>
      </c>
      <c r="U3294" s="58">
        <v>0</v>
      </c>
      <c r="V3294" s="65">
        <v>0</v>
      </c>
      <c r="W3294" s="65">
        <v>0</v>
      </c>
      <c r="X3294" s="65">
        <v>27767</v>
      </c>
      <c r="Y3294" s="65">
        <v>0</v>
      </c>
      <c r="Z3294" s="51">
        <v>0</v>
      </c>
      <c r="AA3294" s="51">
        <v>0</v>
      </c>
      <c r="AB3294" s="102">
        <v>0</v>
      </c>
      <c r="AC3294" s="81">
        <f t="shared" si="157"/>
        <v>0</v>
      </c>
      <c r="AD3294" s="82">
        <f t="shared" si="158"/>
        <v>0</v>
      </c>
      <c r="AE3294" s="218">
        <v>-3.0563755470421228E-2</v>
      </c>
      <c r="AF3294">
        <v>2</v>
      </c>
      <c r="AH3294" t="str">
        <f t="shared" si="156"/>
        <v>Sahibpur Kamal</v>
      </c>
      <c r="AJ3294" s="72">
        <v>0</v>
      </c>
      <c r="AK3294" s="72"/>
      <c r="AL3294" s="72"/>
      <c r="AM3294" s="72"/>
    </row>
    <row r="3295" spans="1:39" x14ac:dyDescent="0.25">
      <c r="A3295" s="37" t="s">
        <v>62</v>
      </c>
      <c r="B3295" s="66" t="s">
        <v>1644</v>
      </c>
      <c r="C3295" s="4">
        <v>1054</v>
      </c>
      <c r="D3295" s="41" t="s">
        <v>828</v>
      </c>
      <c r="E3295" s="41">
        <v>10110149</v>
      </c>
      <c r="F3295" s="85" t="s">
        <v>684</v>
      </c>
      <c r="G3295" s="39" t="s">
        <v>93</v>
      </c>
      <c r="H3295" s="52" t="s">
        <v>94</v>
      </c>
      <c r="I3295" s="52">
        <v>312.38</v>
      </c>
      <c r="J3295" s="49">
        <v>11482.583024714901</v>
      </c>
      <c r="K3295" s="58">
        <v>79.56</v>
      </c>
      <c r="L3295" s="58">
        <v>3753.9898173947008</v>
      </c>
      <c r="M3295" s="58">
        <v>238.51</v>
      </c>
      <c r="N3295" s="58">
        <v>10314.709548417903</v>
      </c>
      <c r="O3295" s="58">
        <v>318.07</v>
      </c>
      <c r="P3295" s="53">
        <v>14068.699365812603</v>
      </c>
      <c r="Q3295" s="65">
        <v>11482.583024714901</v>
      </c>
      <c r="R3295" s="65">
        <v>0</v>
      </c>
      <c r="S3295" s="65">
        <v>0</v>
      </c>
      <c r="T3295" s="65">
        <v>2586.1163410977024</v>
      </c>
      <c r="U3295" s="58">
        <v>0</v>
      </c>
      <c r="V3295" s="65">
        <v>0</v>
      </c>
      <c r="W3295" s="65">
        <v>0</v>
      </c>
      <c r="X3295" s="65">
        <v>1168</v>
      </c>
      <c r="Y3295" s="65">
        <v>10315</v>
      </c>
      <c r="Z3295" s="51">
        <v>0</v>
      </c>
      <c r="AA3295" s="51">
        <v>0</v>
      </c>
      <c r="AB3295" s="102">
        <v>0</v>
      </c>
      <c r="AC3295" s="81">
        <f t="shared" si="157"/>
        <v>284.96567206863375</v>
      </c>
      <c r="AD3295" s="82">
        <f t="shared" si="158"/>
        <v>44.625714285714288</v>
      </c>
      <c r="AE3295" s="218">
        <v>-0.22522078312269922</v>
      </c>
      <c r="AF3295">
        <v>4</v>
      </c>
      <c r="AH3295" t="str">
        <f t="shared" si="156"/>
        <v xml:space="preserve">Alauli </v>
      </c>
      <c r="AJ3295" s="72">
        <v>0</v>
      </c>
      <c r="AK3295" s="72"/>
      <c r="AL3295" s="72"/>
      <c r="AM3295" s="72"/>
    </row>
    <row r="3296" spans="1:39" x14ac:dyDescent="0.25">
      <c r="A3296" s="37" t="s">
        <v>62</v>
      </c>
      <c r="B3296" s="66" t="s">
        <v>1644</v>
      </c>
      <c r="C3296" s="4">
        <v>1011</v>
      </c>
      <c r="D3296" s="41" t="s">
        <v>289</v>
      </c>
      <c r="E3296" s="41">
        <v>10110153</v>
      </c>
      <c r="F3296" s="85" t="s">
        <v>834</v>
      </c>
      <c r="G3296" s="39" t="s">
        <v>635</v>
      </c>
      <c r="H3296" s="52" t="s">
        <v>99</v>
      </c>
      <c r="I3296" s="52">
        <v>747.4</v>
      </c>
      <c r="J3296" s="49">
        <v>29531.875846530002</v>
      </c>
      <c r="K3296" s="58">
        <v>0</v>
      </c>
      <c r="L3296" s="58">
        <v>0</v>
      </c>
      <c r="M3296" s="58">
        <v>0</v>
      </c>
      <c r="N3296" s="58">
        <v>0</v>
      </c>
      <c r="O3296" s="58">
        <v>0</v>
      </c>
      <c r="P3296" s="53">
        <v>0</v>
      </c>
      <c r="Q3296" s="65">
        <v>29531.875846530002</v>
      </c>
      <c r="R3296" s="65">
        <v>0</v>
      </c>
      <c r="S3296" s="65">
        <v>0</v>
      </c>
      <c r="T3296" s="65">
        <v>0</v>
      </c>
      <c r="U3296" s="58">
        <v>0</v>
      </c>
      <c r="V3296" s="65">
        <v>0</v>
      </c>
      <c r="W3296" s="65">
        <v>0</v>
      </c>
      <c r="X3296" s="65">
        <v>0</v>
      </c>
      <c r="Y3296" s="65">
        <v>0</v>
      </c>
      <c r="Z3296" s="51">
        <v>29531.875846530002</v>
      </c>
      <c r="AA3296" s="51">
        <v>0</v>
      </c>
      <c r="AB3296" s="102">
        <v>0</v>
      </c>
      <c r="AC3296" s="81">
        <f t="shared" si="157"/>
        <v>0</v>
      </c>
      <c r="AD3296" s="82">
        <f t="shared" si="158"/>
        <v>0</v>
      </c>
      <c r="AE3296" s="218">
        <v>0</v>
      </c>
      <c r="AF3296">
        <v>0</v>
      </c>
      <c r="AH3296" t="str">
        <f t="shared" si="156"/>
        <v>Sahibpur Kamal</v>
      </c>
      <c r="AJ3296" s="72">
        <v>0</v>
      </c>
      <c r="AK3296" s="72"/>
      <c r="AL3296" s="72"/>
      <c r="AM3296" s="72"/>
    </row>
    <row r="3297" spans="1:39" x14ac:dyDescent="0.25">
      <c r="A3297" s="37" t="s">
        <v>62</v>
      </c>
      <c r="B3297" s="66" t="s">
        <v>1644</v>
      </c>
      <c r="C3297" s="4">
        <v>1055</v>
      </c>
      <c r="D3297" s="41" t="s">
        <v>1148</v>
      </c>
      <c r="E3297" s="41">
        <v>10110155</v>
      </c>
      <c r="F3297" s="85" t="s">
        <v>839</v>
      </c>
      <c r="G3297" s="39" t="s">
        <v>635</v>
      </c>
      <c r="H3297" s="52" t="s">
        <v>99</v>
      </c>
      <c r="I3297" s="52">
        <v>280.39999999999998</v>
      </c>
      <c r="J3297" s="49">
        <v>10447.566597480001</v>
      </c>
      <c r="K3297" s="58">
        <v>0</v>
      </c>
      <c r="L3297" s="58">
        <v>0</v>
      </c>
      <c r="M3297" s="58">
        <v>0</v>
      </c>
      <c r="N3297" s="58">
        <v>0</v>
      </c>
      <c r="O3297" s="58">
        <v>0</v>
      </c>
      <c r="P3297" s="53">
        <v>0</v>
      </c>
      <c r="Q3297" s="65">
        <v>10447.566597480001</v>
      </c>
      <c r="R3297" s="65">
        <v>0</v>
      </c>
      <c r="S3297" s="65">
        <v>0</v>
      </c>
      <c r="T3297" s="65">
        <v>0</v>
      </c>
      <c r="U3297" s="58">
        <v>0</v>
      </c>
      <c r="V3297" s="65">
        <v>0</v>
      </c>
      <c r="W3297" s="65">
        <v>0</v>
      </c>
      <c r="X3297" s="65">
        <v>0</v>
      </c>
      <c r="Y3297" s="65">
        <v>0</v>
      </c>
      <c r="Z3297" s="51">
        <v>10447.566597480001</v>
      </c>
      <c r="AA3297" s="51">
        <v>0</v>
      </c>
      <c r="AB3297" s="102">
        <v>0</v>
      </c>
      <c r="AC3297" s="81">
        <f t="shared" si="157"/>
        <v>312.68180772486511</v>
      </c>
      <c r="AD3297" s="82">
        <f t="shared" si="158"/>
        <v>40.057142857142857</v>
      </c>
      <c r="AE3297" s="218">
        <v>0</v>
      </c>
      <c r="AF3297">
        <v>0</v>
      </c>
      <c r="AH3297" t="str">
        <f t="shared" si="156"/>
        <v>Matihani</v>
      </c>
      <c r="AJ3297" s="72">
        <v>0</v>
      </c>
      <c r="AK3297" s="72"/>
      <c r="AL3297" s="72"/>
      <c r="AM3297" s="72"/>
    </row>
    <row r="3298" spans="1:39" x14ac:dyDescent="0.25">
      <c r="A3298" s="37" t="s">
        <v>62</v>
      </c>
      <c r="B3298" s="66" t="s">
        <v>1644</v>
      </c>
      <c r="C3298" s="4">
        <v>1011</v>
      </c>
      <c r="D3298" s="41" t="s">
        <v>289</v>
      </c>
      <c r="E3298" s="41">
        <v>10110158</v>
      </c>
      <c r="F3298" s="85" t="s">
        <v>1141</v>
      </c>
      <c r="G3298" s="39" t="s">
        <v>93</v>
      </c>
      <c r="H3298" s="52" t="s">
        <v>94</v>
      </c>
      <c r="I3298" s="52">
        <v>5970.4000000000005</v>
      </c>
      <c r="J3298" s="49">
        <v>228442.31911687352</v>
      </c>
      <c r="K3298" s="58">
        <v>5522.9800000000014</v>
      </c>
      <c r="L3298" s="58">
        <v>214819.45047940098</v>
      </c>
      <c r="M3298" s="58">
        <v>465.38</v>
      </c>
      <c r="N3298" s="58">
        <v>18291.667822251966</v>
      </c>
      <c r="O3298" s="58">
        <v>5988.3600000000015</v>
      </c>
      <c r="P3298" s="53">
        <v>233111.11830165295</v>
      </c>
      <c r="Q3298" s="65">
        <v>228442.31911687352</v>
      </c>
      <c r="R3298" s="65">
        <v>0</v>
      </c>
      <c r="S3298" s="65">
        <v>0</v>
      </c>
      <c r="T3298" s="65">
        <v>4668.7991847794328</v>
      </c>
      <c r="U3298" s="58">
        <v>0</v>
      </c>
      <c r="V3298" s="65">
        <v>0</v>
      </c>
      <c r="W3298" s="65">
        <v>0</v>
      </c>
      <c r="X3298" s="65">
        <v>210151</v>
      </c>
      <c r="Y3298" s="65">
        <v>18291</v>
      </c>
      <c r="Z3298" s="51">
        <v>0</v>
      </c>
      <c r="AA3298" s="51">
        <v>0</v>
      </c>
      <c r="AB3298" s="102">
        <v>0</v>
      </c>
      <c r="AC3298" s="81">
        <f t="shared" si="157"/>
        <v>0</v>
      </c>
      <c r="AD3298" s="82">
        <f t="shared" si="158"/>
        <v>0</v>
      </c>
      <c r="AE3298" s="218">
        <v>-2.0437540657214329E-2</v>
      </c>
      <c r="AF3298">
        <v>28</v>
      </c>
      <c r="AH3298" t="str">
        <f t="shared" si="156"/>
        <v>Sahibpur Kamal</v>
      </c>
      <c r="AJ3298" s="72">
        <v>0</v>
      </c>
      <c r="AK3298" s="72"/>
      <c r="AL3298" s="72"/>
      <c r="AM3298" s="72"/>
    </row>
    <row r="3299" spans="1:39" x14ac:dyDescent="0.25">
      <c r="A3299" s="37" t="s">
        <v>62</v>
      </c>
      <c r="B3299" s="66" t="s">
        <v>1644</v>
      </c>
      <c r="C3299" s="4">
        <v>1011</v>
      </c>
      <c r="D3299" s="41" t="s">
        <v>289</v>
      </c>
      <c r="E3299" s="41">
        <v>10110159</v>
      </c>
      <c r="F3299" s="85" t="s">
        <v>849</v>
      </c>
      <c r="G3299" s="39" t="s">
        <v>93</v>
      </c>
      <c r="H3299" s="52" t="s">
        <v>94</v>
      </c>
      <c r="I3299" s="52">
        <v>1358.4</v>
      </c>
      <c r="J3299" s="49">
        <v>51963.970047150011</v>
      </c>
      <c r="K3299" s="58">
        <v>941.80000000000018</v>
      </c>
      <c r="L3299" s="58">
        <v>36077.75581557001</v>
      </c>
      <c r="M3299" s="58">
        <v>416.9</v>
      </c>
      <c r="N3299" s="58">
        <v>15888.864732180002</v>
      </c>
      <c r="O3299" s="58">
        <v>1358.7000000000003</v>
      </c>
      <c r="P3299" s="53">
        <v>51966.620547750012</v>
      </c>
      <c r="Q3299" s="65">
        <v>51963.970047150011</v>
      </c>
      <c r="R3299" s="65">
        <v>0</v>
      </c>
      <c r="S3299" s="65">
        <v>106.99250544</v>
      </c>
      <c r="T3299" s="65">
        <v>2.6505006000006688</v>
      </c>
      <c r="U3299" s="58">
        <v>0</v>
      </c>
      <c r="V3299" s="65">
        <v>0</v>
      </c>
      <c r="W3299" s="65">
        <v>0</v>
      </c>
      <c r="X3299" s="65">
        <v>36075</v>
      </c>
      <c r="Y3299" s="65">
        <v>15782</v>
      </c>
      <c r="Z3299" s="51">
        <v>0</v>
      </c>
      <c r="AA3299" s="51">
        <v>0</v>
      </c>
      <c r="AB3299" s="102">
        <v>0</v>
      </c>
      <c r="AC3299" s="81">
        <f t="shared" si="157"/>
        <v>0</v>
      </c>
      <c r="AD3299" s="82">
        <f t="shared" si="158"/>
        <v>0</v>
      </c>
      <c r="AE3299" s="218">
        <v>-5.1006506962337777E-5</v>
      </c>
      <c r="AF3299">
        <v>8</v>
      </c>
      <c r="AH3299" t="str">
        <f t="shared" si="156"/>
        <v>Sahibpur Kamal</v>
      </c>
      <c r="AJ3299" s="72">
        <v>0</v>
      </c>
      <c r="AK3299" s="72"/>
      <c r="AL3299" s="72"/>
      <c r="AM3299" s="72"/>
    </row>
    <row r="3300" spans="1:39" x14ac:dyDescent="0.25">
      <c r="A3300" s="37" t="s">
        <v>62</v>
      </c>
      <c r="B3300" s="66" t="s">
        <v>1644</v>
      </c>
      <c r="C3300" s="4">
        <v>1011</v>
      </c>
      <c r="D3300" s="41" t="s">
        <v>289</v>
      </c>
      <c r="E3300" s="41">
        <v>10110160</v>
      </c>
      <c r="F3300" s="85" t="s">
        <v>1144</v>
      </c>
      <c r="G3300" s="39" t="s">
        <v>635</v>
      </c>
      <c r="H3300" s="52" t="s">
        <v>99</v>
      </c>
      <c r="I3300" s="52">
        <v>626.4</v>
      </c>
      <c r="J3300" s="49">
        <v>22516.373692039502</v>
      </c>
      <c r="K3300" s="58">
        <v>0</v>
      </c>
      <c r="L3300" s="58">
        <v>0</v>
      </c>
      <c r="M3300" s="58">
        <v>0</v>
      </c>
      <c r="N3300" s="58">
        <v>0</v>
      </c>
      <c r="O3300" s="58">
        <v>0</v>
      </c>
      <c r="P3300" s="53">
        <v>0</v>
      </c>
      <c r="Q3300" s="65">
        <v>22516.373692039502</v>
      </c>
      <c r="R3300" s="65">
        <v>0</v>
      </c>
      <c r="S3300" s="65">
        <v>0</v>
      </c>
      <c r="T3300" s="65">
        <v>0</v>
      </c>
      <c r="U3300" s="58">
        <v>0</v>
      </c>
      <c r="V3300" s="65">
        <v>0</v>
      </c>
      <c r="W3300" s="65">
        <v>0</v>
      </c>
      <c r="X3300" s="65">
        <v>0</v>
      </c>
      <c r="Y3300" s="65">
        <v>0</v>
      </c>
      <c r="Z3300" s="51">
        <v>22516.373692039502</v>
      </c>
      <c r="AA3300" s="51">
        <v>0</v>
      </c>
      <c r="AB3300" s="102">
        <v>0</v>
      </c>
      <c r="AC3300" s="81">
        <f t="shared" si="157"/>
        <v>52.912040349109468</v>
      </c>
      <c r="AD3300" s="82">
        <f t="shared" si="158"/>
        <v>89.48571428571428</v>
      </c>
      <c r="AE3300" s="218">
        <v>0</v>
      </c>
      <c r="AF3300">
        <v>0</v>
      </c>
      <c r="AH3300" t="str">
        <f t="shared" si="156"/>
        <v>Sahibpur Kamal</v>
      </c>
      <c r="AJ3300" s="72">
        <v>0</v>
      </c>
      <c r="AK3300" s="72"/>
      <c r="AL3300" s="72"/>
      <c r="AM3300" s="72"/>
    </row>
    <row r="3301" spans="1:39" x14ac:dyDescent="0.25">
      <c r="A3301" s="37" t="s">
        <v>62</v>
      </c>
      <c r="B3301" s="66" t="s">
        <v>1644</v>
      </c>
      <c r="C3301" s="4">
        <v>1011</v>
      </c>
      <c r="D3301" s="41" t="s">
        <v>289</v>
      </c>
      <c r="E3301" s="41">
        <v>10110161</v>
      </c>
      <c r="F3301" s="85" t="s">
        <v>1145</v>
      </c>
      <c r="G3301" s="39" t="s">
        <v>635</v>
      </c>
      <c r="H3301" s="52" t="s">
        <v>99</v>
      </c>
      <c r="I3301" s="52">
        <v>1230.9000000000001</v>
      </c>
      <c r="J3301" s="49">
        <v>42568.978167771005</v>
      </c>
      <c r="K3301" s="58">
        <v>0</v>
      </c>
      <c r="L3301" s="58">
        <v>0</v>
      </c>
      <c r="M3301" s="58">
        <v>0</v>
      </c>
      <c r="N3301" s="58">
        <v>0</v>
      </c>
      <c r="O3301" s="58">
        <v>0</v>
      </c>
      <c r="P3301" s="53">
        <v>0</v>
      </c>
      <c r="Q3301" s="65">
        <v>42568.978167771005</v>
      </c>
      <c r="R3301" s="65">
        <v>0</v>
      </c>
      <c r="S3301" s="65">
        <v>0</v>
      </c>
      <c r="T3301" s="65">
        <v>0</v>
      </c>
      <c r="U3301" s="58">
        <v>0</v>
      </c>
      <c r="V3301" s="65">
        <v>0</v>
      </c>
      <c r="W3301" s="65">
        <v>0</v>
      </c>
      <c r="X3301" s="65">
        <v>0</v>
      </c>
      <c r="Y3301" s="65">
        <v>0</v>
      </c>
      <c r="Z3301" s="51">
        <v>42568.978167771005</v>
      </c>
      <c r="AA3301" s="51">
        <v>0</v>
      </c>
      <c r="AB3301" s="102">
        <v>0</v>
      </c>
      <c r="AC3301" s="81">
        <f t="shared" si="157"/>
        <v>0</v>
      </c>
      <c r="AD3301" s="82">
        <f t="shared" si="158"/>
        <v>0</v>
      </c>
      <c r="AE3301" s="218">
        <v>0</v>
      </c>
      <c r="AF3301">
        <v>0</v>
      </c>
      <c r="AH3301" t="str">
        <f t="shared" si="156"/>
        <v>Sahibpur Kamal</v>
      </c>
      <c r="AJ3301" s="72">
        <v>0</v>
      </c>
      <c r="AK3301" s="72"/>
      <c r="AL3301" s="72"/>
      <c r="AM3301" s="72"/>
    </row>
    <row r="3302" spans="1:39" x14ac:dyDescent="0.25">
      <c r="A3302" s="37" t="s">
        <v>62</v>
      </c>
      <c r="B3302" s="66" t="s">
        <v>1644</v>
      </c>
      <c r="C3302" s="4">
        <v>1011</v>
      </c>
      <c r="D3302" s="41" t="s">
        <v>289</v>
      </c>
      <c r="E3302" s="41">
        <v>10110164</v>
      </c>
      <c r="F3302" s="85" t="s">
        <v>1250</v>
      </c>
      <c r="G3302" s="39" t="s">
        <v>93</v>
      </c>
      <c r="H3302" s="52" t="s">
        <v>94</v>
      </c>
      <c r="I3302" s="52">
        <v>319.49999999999994</v>
      </c>
      <c r="J3302" s="49">
        <v>13289.76399714</v>
      </c>
      <c r="K3302" s="58">
        <v>320</v>
      </c>
      <c r="L3302" s="58">
        <v>12925.794816000003</v>
      </c>
      <c r="M3302" s="58">
        <v>0</v>
      </c>
      <c r="N3302" s="58">
        <v>0</v>
      </c>
      <c r="O3302" s="58">
        <v>320</v>
      </c>
      <c r="P3302" s="53">
        <v>12925.794816000003</v>
      </c>
      <c r="Q3302" s="65">
        <v>12925.794816000003</v>
      </c>
      <c r="R3302" s="65">
        <v>0</v>
      </c>
      <c r="S3302" s="65">
        <v>0</v>
      </c>
      <c r="T3302" s="65">
        <v>0</v>
      </c>
      <c r="U3302" s="58">
        <v>0</v>
      </c>
      <c r="V3302" s="65">
        <v>0</v>
      </c>
      <c r="W3302" s="65">
        <v>0</v>
      </c>
      <c r="X3302" s="65">
        <v>12926</v>
      </c>
      <c r="Y3302" s="65">
        <v>0</v>
      </c>
      <c r="Z3302" s="51">
        <v>0</v>
      </c>
      <c r="AA3302" s="51">
        <v>364</v>
      </c>
      <c r="AB3302" s="102">
        <v>0</v>
      </c>
      <c r="AC3302" s="81">
        <f t="shared" si="157"/>
        <v>316.54179661419545</v>
      </c>
      <c r="AD3302" s="82">
        <f t="shared" si="158"/>
        <v>45.642857142857132</v>
      </c>
      <c r="AE3302" s="218">
        <v>2.7387181684966296E-2</v>
      </c>
      <c r="AF3302">
        <v>5</v>
      </c>
      <c r="AH3302" t="str">
        <f t="shared" si="156"/>
        <v>Sahibpur Kamal</v>
      </c>
      <c r="AJ3302" s="72">
        <v>0</v>
      </c>
      <c r="AK3302" s="72"/>
      <c r="AL3302" s="72"/>
      <c r="AM3302" s="72"/>
    </row>
    <row r="3303" spans="1:39" x14ac:dyDescent="0.25">
      <c r="A3303" s="37" t="s">
        <v>62</v>
      </c>
      <c r="B3303" s="66" t="s">
        <v>1644</v>
      </c>
      <c r="C3303" s="4">
        <v>1011</v>
      </c>
      <c r="D3303" s="41" t="s">
        <v>289</v>
      </c>
      <c r="E3303" s="41">
        <v>10110167</v>
      </c>
      <c r="F3303" s="85" t="s">
        <v>1208</v>
      </c>
      <c r="G3303" s="39" t="s">
        <v>93</v>
      </c>
      <c r="H3303" s="52" t="s">
        <v>94</v>
      </c>
      <c r="I3303" s="52">
        <v>5.6</v>
      </c>
      <c r="J3303" s="49">
        <v>195.85431360000001</v>
      </c>
      <c r="K3303" s="58">
        <v>5.6</v>
      </c>
      <c r="L3303" s="58">
        <v>195.85431360000001</v>
      </c>
      <c r="M3303" s="58">
        <v>0</v>
      </c>
      <c r="N3303" s="58">
        <v>0</v>
      </c>
      <c r="O3303" s="58">
        <v>5.6</v>
      </c>
      <c r="P3303" s="53">
        <v>195.85431360000001</v>
      </c>
      <c r="Q3303" s="65">
        <v>195.85431360000001</v>
      </c>
      <c r="R3303" s="65">
        <v>0</v>
      </c>
      <c r="S3303" s="65">
        <v>0</v>
      </c>
      <c r="T3303" s="65">
        <v>0</v>
      </c>
      <c r="U3303" s="58">
        <v>0</v>
      </c>
      <c r="V3303" s="65">
        <v>196</v>
      </c>
      <c r="W3303" s="65">
        <v>0</v>
      </c>
      <c r="X3303" s="65">
        <v>0</v>
      </c>
      <c r="Y3303" s="65">
        <v>0</v>
      </c>
      <c r="Z3303" s="51">
        <v>0</v>
      </c>
      <c r="AA3303" s="51">
        <v>0</v>
      </c>
      <c r="AB3303" s="102" t="s">
        <v>65</v>
      </c>
      <c r="AC3303" s="81">
        <f t="shared" si="157"/>
        <v>485.71869772800005</v>
      </c>
      <c r="AD3303" s="82">
        <f t="shared" si="158"/>
        <v>0.79999999999999993</v>
      </c>
      <c r="AE3303" s="218">
        <v>0</v>
      </c>
      <c r="AF3303">
        <v>1</v>
      </c>
      <c r="AH3303" t="str">
        <f t="shared" si="156"/>
        <v>Sahibpur Kamal</v>
      </c>
      <c r="AJ3303" s="72">
        <v>196</v>
      </c>
      <c r="AK3303" s="72"/>
      <c r="AL3303" s="72"/>
      <c r="AM3303" s="72"/>
    </row>
    <row r="3304" spans="1:39" x14ac:dyDescent="0.25">
      <c r="A3304" s="37" t="s">
        <v>62</v>
      </c>
      <c r="B3304" s="66" t="s">
        <v>1644</v>
      </c>
      <c r="C3304" s="4">
        <v>1011</v>
      </c>
      <c r="D3304" s="41" t="s">
        <v>289</v>
      </c>
      <c r="E3304" s="41">
        <v>10110168</v>
      </c>
      <c r="F3304" s="85" t="s">
        <v>1251</v>
      </c>
      <c r="G3304" s="39" t="s">
        <v>93</v>
      </c>
      <c r="H3304" s="52" t="s">
        <v>94</v>
      </c>
      <c r="I3304" s="52">
        <v>1068</v>
      </c>
      <c r="J3304" s="49">
        <v>39148.378947048011</v>
      </c>
      <c r="K3304" s="58">
        <v>1066.5999999999999</v>
      </c>
      <c r="L3304" s="58">
        <v>38446.046873040003</v>
      </c>
      <c r="M3304" s="58">
        <v>1.2999999999999998</v>
      </c>
      <c r="N3304" s="58">
        <v>51.362974680000008</v>
      </c>
      <c r="O3304" s="58">
        <v>1067.8999999999999</v>
      </c>
      <c r="P3304" s="53">
        <v>38497.409847720002</v>
      </c>
      <c r="Q3304" s="65">
        <v>38497.409847720002</v>
      </c>
      <c r="R3304" s="65">
        <v>0</v>
      </c>
      <c r="S3304" s="65">
        <v>51.362974680000008</v>
      </c>
      <c r="T3304" s="65">
        <v>0</v>
      </c>
      <c r="U3304" s="58">
        <v>13750</v>
      </c>
      <c r="V3304" s="65">
        <v>0</v>
      </c>
      <c r="W3304" s="65">
        <v>0</v>
      </c>
      <c r="X3304" s="65">
        <v>24696</v>
      </c>
      <c r="Y3304" s="65">
        <v>0</v>
      </c>
      <c r="Z3304" s="51">
        <v>0</v>
      </c>
      <c r="AA3304" s="51">
        <v>651</v>
      </c>
      <c r="AB3304" s="102" t="s">
        <v>68</v>
      </c>
      <c r="AC3304" s="81">
        <f t="shared" si="157"/>
        <v>0</v>
      </c>
      <c r="AD3304" s="82">
        <f t="shared" si="158"/>
        <v>0</v>
      </c>
      <c r="AE3304" s="218">
        <v>1.6628251714036694E-2</v>
      </c>
      <c r="AF3304">
        <v>3</v>
      </c>
      <c r="AH3304" t="str">
        <f t="shared" si="156"/>
        <v>Sahibpur Kamal</v>
      </c>
      <c r="AJ3304" s="72">
        <v>0</v>
      </c>
      <c r="AK3304" s="72"/>
      <c r="AL3304" s="72"/>
      <c r="AM3304" s="72"/>
    </row>
    <row r="3305" spans="1:39" x14ac:dyDescent="0.25">
      <c r="A3305" s="37" t="s">
        <v>62</v>
      </c>
      <c r="B3305" s="66" t="s">
        <v>1644</v>
      </c>
      <c r="C3305" s="4">
        <v>1011</v>
      </c>
      <c r="D3305" s="41" t="s">
        <v>289</v>
      </c>
      <c r="E3305" s="41">
        <v>10110172</v>
      </c>
      <c r="F3305" s="85" t="s">
        <v>1267</v>
      </c>
      <c r="G3305" s="39" t="s">
        <v>93</v>
      </c>
      <c r="H3305" s="52" t="s">
        <v>94</v>
      </c>
      <c r="I3305" s="52">
        <v>270.5</v>
      </c>
      <c r="J3305" s="49">
        <v>9629.8611578970012</v>
      </c>
      <c r="K3305" s="58">
        <v>270.60000000000002</v>
      </c>
      <c r="L3305" s="58">
        <v>9641.9001699030014</v>
      </c>
      <c r="M3305" s="58">
        <v>0</v>
      </c>
      <c r="N3305" s="58">
        <v>0</v>
      </c>
      <c r="O3305" s="58">
        <v>270.60000000000002</v>
      </c>
      <c r="P3305" s="53">
        <v>9641.9001699030014</v>
      </c>
      <c r="Q3305" s="65">
        <v>9629.8611578970012</v>
      </c>
      <c r="R3305" s="65">
        <v>0</v>
      </c>
      <c r="S3305" s="65">
        <v>0</v>
      </c>
      <c r="T3305" s="65">
        <v>12.039012006000121</v>
      </c>
      <c r="U3305" s="58">
        <v>0</v>
      </c>
      <c r="V3305" s="65">
        <v>0</v>
      </c>
      <c r="W3305" s="65">
        <v>0</v>
      </c>
      <c r="X3305" s="65">
        <v>9630</v>
      </c>
      <c r="Y3305" s="65">
        <v>0</v>
      </c>
      <c r="Z3305" s="51">
        <v>0</v>
      </c>
      <c r="AA3305" s="51">
        <v>0</v>
      </c>
      <c r="AB3305" s="102" t="s">
        <v>68</v>
      </c>
      <c r="AC3305" s="81">
        <f t="shared" si="157"/>
        <v>305.80594213062938</v>
      </c>
      <c r="AD3305" s="82">
        <f t="shared" si="158"/>
        <v>38.642857142857146</v>
      </c>
      <c r="AE3305" s="218">
        <v>-1.2501750345722781E-3</v>
      </c>
      <c r="AF3305">
        <v>1</v>
      </c>
      <c r="AH3305" t="str">
        <f t="shared" si="156"/>
        <v>Sahibpur Kamal</v>
      </c>
      <c r="AJ3305" s="72">
        <v>0</v>
      </c>
      <c r="AK3305" s="72"/>
      <c r="AL3305" s="72"/>
      <c r="AM3305" s="72"/>
    </row>
    <row r="3306" spans="1:39" x14ac:dyDescent="0.25">
      <c r="A3306" s="37" t="s">
        <v>62</v>
      </c>
      <c r="B3306" s="66" t="s">
        <v>1644</v>
      </c>
      <c r="C3306" s="4">
        <v>1011</v>
      </c>
      <c r="D3306" s="41" t="s">
        <v>289</v>
      </c>
      <c r="E3306" s="41">
        <v>10110173</v>
      </c>
      <c r="F3306" s="85" t="s">
        <v>1252</v>
      </c>
      <c r="G3306" s="39" t="s">
        <v>635</v>
      </c>
      <c r="H3306" s="52" t="s">
        <v>99</v>
      </c>
      <c r="I3306" s="52">
        <v>1171.6999999999998</v>
      </c>
      <c r="J3306" s="49">
        <v>48334.506150420006</v>
      </c>
      <c r="K3306" s="58">
        <v>0</v>
      </c>
      <c r="L3306" s="58">
        <v>0</v>
      </c>
      <c r="M3306" s="58">
        <v>0</v>
      </c>
      <c r="N3306" s="58">
        <v>0</v>
      </c>
      <c r="O3306" s="58">
        <v>0</v>
      </c>
      <c r="P3306" s="53">
        <v>0</v>
      </c>
      <c r="Q3306" s="65">
        <v>48334.506150420006</v>
      </c>
      <c r="R3306" s="65">
        <v>0</v>
      </c>
      <c r="S3306" s="65">
        <v>0</v>
      </c>
      <c r="T3306" s="65">
        <v>0</v>
      </c>
      <c r="U3306" s="58">
        <v>0</v>
      </c>
      <c r="V3306" s="65">
        <v>0</v>
      </c>
      <c r="W3306" s="65">
        <v>0</v>
      </c>
      <c r="X3306" s="65">
        <v>0</v>
      </c>
      <c r="Y3306" s="65">
        <v>0</v>
      </c>
      <c r="Z3306" s="51">
        <v>48334.506150420006</v>
      </c>
      <c r="AA3306" s="51">
        <v>0</v>
      </c>
      <c r="AB3306" s="102">
        <v>0</v>
      </c>
      <c r="AC3306" s="81">
        <f t="shared" si="157"/>
        <v>0</v>
      </c>
      <c r="AD3306" s="82">
        <f t="shared" si="158"/>
        <v>0</v>
      </c>
      <c r="AE3306" s="218">
        <v>0</v>
      </c>
      <c r="AF3306">
        <v>0</v>
      </c>
      <c r="AH3306" t="str">
        <f t="shared" si="156"/>
        <v>Sahibpur Kamal</v>
      </c>
      <c r="AJ3306" s="72">
        <v>0</v>
      </c>
      <c r="AK3306" s="72"/>
      <c r="AL3306" s="72"/>
      <c r="AM3306" s="72"/>
    </row>
    <row r="3307" spans="1:39" x14ac:dyDescent="0.25">
      <c r="A3307" s="37" t="s">
        <v>62</v>
      </c>
      <c r="B3307" s="66" t="s">
        <v>1644</v>
      </c>
      <c r="C3307" s="4">
        <v>1011</v>
      </c>
      <c r="D3307" s="41" t="s">
        <v>289</v>
      </c>
      <c r="E3307" s="41">
        <v>10110176</v>
      </c>
      <c r="F3307" s="85" t="s">
        <v>1287</v>
      </c>
      <c r="G3307" s="39" t="s">
        <v>635</v>
      </c>
      <c r="H3307" s="52" t="s">
        <v>99</v>
      </c>
      <c r="I3307" s="52">
        <v>86.600000000000009</v>
      </c>
      <c r="J3307" s="49">
        <v>3060.0896790780002</v>
      </c>
      <c r="K3307" s="58">
        <v>0</v>
      </c>
      <c r="L3307" s="58">
        <v>0</v>
      </c>
      <c r="M3307" s="58">
        <v>0</v>
      </c>
      <c r="N3307" s="58">
        <v>0</v>
      </c>
      <c r="O3307" s="58">
        <v>0</v>
      </c>
      <c r="P3307" s="53">
        <v>0</v>
      </c>
      <c r="Q3307" s="65">
        <v>3060.0896790780002</v>
      </c>
      <c r="R3307" s="65">
        <v>0</v>
      </c>
      <c r="S3307" s="65">
        <v>0</v>
      </c>
      <c r="T3307" s="65">
        <v>0</v>
      </c>
      <c r="U3307" s="58">
        <v>0</v>
      </c>
      <c r="V3307" s="65">
        <v>0</v>
      </c>
      <c r="W3307" s="65">
        <v>0</v>
      </c>
      <c r="X3307" s="65">
        <v>0</v>
      </c>
      <c r="Y3307" s="65">
        <v>0</v>
      </c>
      <c r="Z3307" s="51">
        <v>3060.0896790780002</v>
      </c>
      <c r="AA3307" s="51">
        <v>0</v>
      </c>
      <c r="AB3307" s="102">
        <v>0</v>
      </c>
      <c r="AC3307" s="81">
        <f t="shared" si="157"/>
        <v>433.50092589987196</v>
      </c>
      <c r="AD3307" s="82">
        <f t="shared" si="158"/>
        <v>12.371428571428572</v>
      </c>
      <c r="AE3307" s="218">
        <v>0</v>
      </c>
      <c r="AF3307">
        <v>0</v>
      </c>
      <c r="AH3307" t="str">
        <f t="shared" si="156"/>
        <v>Sahibpur Kamal</v>
      </c>
      <c r="AJ3307" s="72">
        <v>0</v>
      </c>
      <c r="AK3307" s="72"/>
      <c r="AL3307" s="72"/>
      <c r="AM3307" s="72"/>
    </row>
    <row r="3308" spans="1:39" x14ac:dyDescent="0.25">
      <c r="A3308" s="37" t="s">
        <v>62</v>
      </c>
      <c r="B3308" s="66" t="s">
        <v>1644</v>
      </c>
      <c r="C3308" s="4">
        <v>1011</v>
      </c>
      <c r="D3308" s="41" t="s">
        <v>289</v>
      </c>
      <c r="E3308" s="41">
        <v>10110177</v>
      </c>
      <c r="F3308" s="85" t="s">
        <v>1390</v>
      </c>
      <c r="G3308" s="39" t="s">
        <v>93</v>
      </c>
      <c r="H3308" s="52" t="s">
        <v>94</v>
      </c>
      <c r="I3308" s="52">
        <v>565.79999999999995</v>
      </c>
      <c r="J3308" s="49">
        <v>24029.387063568003</v>
      </c>
      <c r="K3308" s="58">
        <v>576.00000000000011</v>
      </c>
      <c r="L3308" s="58">
        <v>24798.507411243001</v>
      </c>
      <c r="M3308" s="58">
        <v>4.2999999999999989</v>
      </c>
      <c r="N3308" s="58">
        <v>212.47895677319997</v>
      </c>
      <c r="O3308" s="58">
        <v>580.30000000000007</v>
      </c>
      <c r="P3308" s="53">
        <v>25010.986368016202</v>
      </c>
      <c r="Q3308" s="65">
        <v>24029.387063568003</v>
      </c>
      <c r="R3308" s="65">
        <v>0</v>
      </c>
      <c r="S3308" s="65">
        <v>212.47895677319997</v>
      </c>
      <c r="T3308" s="65">
        <v>981.59930444819838</v>
      </c>
      <c r="U3308" s="58">
        <v>0</v>
      </c>
      <c r="V3308" s="65">
        <v>0</v>
      </c>
      <c r="W3308" s="65">
        <v>0</v>
      </c>
      <c r="X3308" s="65">
        <v>23817</v>
      </c>
      <c r="Y3308" s="65">
        <v>0</v>
      </c>
      <c r="Z3308" s="51">
        <v>0</v>
      </c>
      <c r="AA3308" s="51">
        <v>0</v>
      </c>
      <c r="AB3308" s="102">
        <v>0</v>
      </c>
      <c r="AC3308" s="81">
        <f t="shared" si="157"/>
        <v>113.98882092367718</v>
      </c>
      <c r="AD3308" s="82">
        <f t="shared" si="158"/>
        <v>80.828571428571422</v>
      </c>
      <c r="AE3308" s="218">
        <v>-4.0849951846522278E-2</v>
      </c>
      <c r="AF3308">
        <v>2</v>
      </c>
      <c r="AH3308" t="str">
        <f t="shared" si="156"/>
        <v>Sahibpur Kamal</v>
      </c>
      <c r="AJ3308" s="72">
        <v>0</v>
      </c>
      <c r="AK3308" s="72"/>
      <c r="AL3308" s="72"/>
      <c r="AM3308" s="72"/>
    </row>
    <row r="3309" spans="1:39" x14ac:dyDescent="0.25">
      <c r="A3309" s="37" t="s">
        <v>62</v>
      </c>
      <c r="B3309" s="66" t="s">
        <v>1644</v>
      </c>
      <c r="C3309" s="4">
        <v>1011</v>
      </c>
      <c r="D3309" s="41" t="s">
        <v>289</v>
      </c>
      <c r="E3309" s="41">
        <v>10110178</v>
      </c>
      <c r="F3309" s="85" t="s">
        <v>1306</v>
      </c>
      <c r="G3309" s="39" t="s">
        <v>635</v>
      </c>
      <c r="H3309" s="52" t="s">
        <v>99</v>
      </c>
      <c r="I3309" s="52">
        <v>11781.599999999997</v>
      </c>
      <c r="J3309" s="49">
        <v>452009.92216032604</v>
      </c>
      <c r="K3309" s="58">
        <v>0</v>
      </c>
      <c r="L3309" s="58">
        <v>0</v>
      </c>
      <c r="M3309" s="58">
        <v>0</v>
      </c>
      <c r="N3309" s="58">
        <v>0</v>
      </c>
      <c r="O3309" s="58">
        <v>0</v>
      </c>
      <c r="P3309" s="53">
        <v>0</v>
      </c>
      <c r="Q3309" s="65">
        <v>452009.92216032604</v>
      </c>
      <c r="R3309" s="65">
        <v>0</v>
      </c>
      <c r="S3309" s="65">
        <v>0</v>
      </c>
      <c r="T3309" s="65">
        <v>0</v>
      </c>
      <c r="U3309" s="58">
        <v>0</v>
      </c>
      <c r="V3309" s="65">
        <v>0</v>
      </c>
      <c r="W3309" s="65">
        <v>0</v>
      </c>
      <c r="X3309" s="65">
        <v>0</v>
      </c>
      <c r="Y3309" s="65">
        <v>0</v>
      </c>
      <c r="Z3309" s="51">
        <v>452009.92216032604</v>
      </c>
      <c r="AA3309" s="51">
        <v>0</v>
      </c>
      <c r="AB3309" s="102">
        <v>0</v>
      </c>
      <c r="AC3309" s="81">
        <f t="shared" si="157"/>
        <v>0</v>
      </c>
      <c r="AD3309" s="82">
        <f t="shared" si="158"/>
        <v>0</v>
      </c>
      <c r="AE3309" s="218">
        <v>0</v>
      </c>
      <c r="AF3309">
        <v>0</v>
      </c>
      <c r="AH3309" t="str">
        <f t="shared" si="156"/>
        <v>Sahibpur Kamal</v>
      </c>
      <c r="AJ3309" s="72">
        <v>0</v>
      </c>
      <c r="AK3309" s="72"/>
      <c r="AL3309" s="72"/>
      <c r="AM3309" s="72"/>
    </row>
    <row r="3310" spans="1:39" x14ac:dyDescent="0.25">
      <c r="A3310" s="37" t="s">
        <v>62</v>
      </c>
      <c r="B3310" s="66" t="s">
        <v>1644</v>
      </c>
      <c r="C3310" s="4">
        <v>1011</v>
      </c>
      <c r="D3310" s="41" t="s">
        <v>289</v>
      </c>
      <c r="E3310" s="41">
        <v>10110183</v>
      </c>
      <c r="F3310" s="85" t="s">
        <v>1403</v>
      </c>
      <c r="G3310" s="39" t="s">
        <v>635</v>
      </c>
      <c r="H3310" s="52" t="s">
        <v>99</v>
      </c>
      <c r="I3310" s="52">
        <v>2288.6</v>
      </c>
      <c r="J3310" s="49">
        <v>90915.804959040019</v>
      </c>
      <c r="K3310" s="58">
        <v>0</v>
      </c>
      <c r="L3310" s="58">
        <v>0</v>
      </c>
      <c r="M3310" s="58">
        <v>0</v>
      </c>
      <c r="N3310" s="58">
        <v>0</v>
      </c>
      <c r="O3310" s="58">
        <v>0</v>
      </c>
      <c r="P3310" s="53">
        <v>0</v>
      </c>
      <c r="Q3310" s="65">
        <v>90915.804959040019</v>
      </c>
      <c r="R3310" s="65">
        <v>0</v>
      </c>
      <c r="S3310" s="65">
        <v>0</v>
      </c>
      <c r="T3310" s="65">
        <v>0</v>
      </c>
      <c r="U3310" s="58">
        <v>0</v>
      </c>
      <c r="V3310" s="65">
        <v>0</v>
      </c>
      <c r="W3310" s="65">
        <v>0</v>
      </c>
      <c r="X3310" s="65">
        <v>0</v>
      </c>
      <c r="Y3310" s="65">
        <v>0</v>
      </c>
      <c r="Z3310" s="51">
        <v>90915.804959040019</v>
      </c>
      <c r="AA3310" s="51">
        <v>0</v>
      </c>
      <c r="AB3310" s="102">
        <v>0</v>
      </c>
      <c r="AC3310" s="81">
        <f t="shared" si="157"/>
        <v>0</v>
      </c>
      <c r="AD3310" s="82">
        <f t="shared" si="158"/>
        <v>0</v>
      </c>
      <c r="AE3310" s="218">
        <v>0</v>
      </c>
      <c r="AF3310">
        <v>0</v>
      </c>
      <c r="AH3310" t="str">
        <f t="shared" si="156"/>
        <v>Sahibpur Kamal</v>
      </c>
      <c r="AJ3310" s="72">
        <v>0</v>
      </c>
      <c r="AK3310" s="72"/>
      <c r="AL3310" s="72"/>
      <c r="AM3310" s="72"/>
    </row>
    <row r="3311" spans="1:39" x14ac:dyDescent="0.25">
      <c r="A3311" s="37" t="s">
        <v>62</v>
      </c>
      <c r="B3311" s="66" t="s">
        <v>1644</v>
      </c>
      <c r="C3311" s="4">
        <v>1011</v>
      </c>
      <c r="D3311" s="41" t="s">
        <v>289</v>
      </c>
      <c r="E3311" s="41">
        <v>10110184</v>
      </c>
      <c r="F3311" s="85" t="s">
        <v>1404</v>
      </c>
      <c r="G3311" s="39" t="s">
        <v>635</v>
      </c>
      <c r="H3311" s="52" t="s">
        <v>99</v>
      </c>
      <c r="I3311" s="52">
        <v>488.40000000000003</v>
      </c>
      <c r="J3311" s="49">
        <v>19716.570898919999</v>
      </c>
      <c r="K3311" s="58">
        <v>0</v>
      </c>
      <c r="L3311" s="58">
        <v>0</v>
      </c>
      <c r="M3311" s="58">
        <v>0</v>
      </c>
      <c r="N3311" s="58">
        <v>0</v>
      </c>
      <c r="O3311" s="58">
        <v>0</v>
      </c>
      <c r="P3311" s="53">
        <v>0</v>
      </c>
      <c r="Q3311" s="65">
        <v>19716.570898919999</v>
      </c>
      <c r="R3311" s="65">
        <v>0</v>
      </c>
      <c r="S3311" s="65">
        <v>0</v>
      </c>
      <c r="T3311" s="65">
        <v>0</v>
      </c>
      <c r="U3311" s="58">
        <v>0</v>
      </c>
      <c r="V3311" s="65">
        <v>0</v>
      </c>
      <c r="W3311" s="65">
        <v>0</v>
      </c>
      <c r="X3311" s="65">
        <v>0</v>
      </c>
      <c r="Y3311" s="65">
        <v>0</v>
      </c>
      <c r="Z3311" s="51">
        <v>19716.570898919999</v>
      </c>
      <c r="AA3311" s="51">
        <v>0</v>
      </c>
      <c r="AB3311" s="102">
        <v>0</v>
      </c>
      <c r="AC3311" s="81">
        <f t="shared" si="157"/>
        <v>170.84465201521175</v>
      </c>
      <c r="AD3311" s="82">
        <f t="shared" si="158"/>
        <v>69.771428571428572</v>
      </c>
      <c r="AE3311" s="218">
        <v>0</v>
      </c>
      <c r="AF3311">
        <v>0</v>
      </c>
      <c r="AH3311" t="str">
        <f t="shared" si="156"/>
        <v>Sahibpur Kamal</v>
      </c>
      <c r="AJ3311" s="72">
        <v>0</v>
      </c>
      <c r="AK3311" s="72"/>
      <c r="AL3311" s="72"/>
      <c r="AM3311" s="72"/>
    </row>
    <row r="3312" spans="1:39" x14ac:dyDescent="0.25">
      <c r="A3312" s="37" t="s">
        <v>62</v>
      </c>
      <c r="B3312" s="66" t="s">
        <v>1644</v>
      </c>
      <c r="C3312" s="4">
        <v>1011</v>
      </c>
      <c r="D3312" s="41" t="s">
        <v>289</v>
      </c>
      <c r="E3312" s="41">
        <v>10110185</v>
      </c>
      <c r="F3312" s="85" t="s">
        <v>1423</v>
      </c>
      <c r="G3312" s="39" t="s">
        <v>635</v>
      </c>
      <c r="H3312" s="52" t="s">
        <v>99</v>
      </c>
      <c r="I3312" s="52">
        <v>355.7</v>
      </c>
      <c r="J3312" s="49">
        <v>13059.400651200003</v>
      </c>
      <c r="K3312" s="58">
        <v>0</v>
      </c>
      <c r="L3312" s="58">
        <v>0</v>
      </c>
      <c r="M3312" s="58">
        <v>0</v>
      </c>
      <c r="N3312" s="58">
        <v>0</v>
      </c>
      <c r="O3312" s="58">
        <v>0</v>
      </c>
      <c r="P3312" s="53">
        <v>0</v>
      </c>
      <c r="Q3312" s="65">
        <v>13059.400651200003</v>
      </c>
      <c r="R3312" s="65">
        <v>0</v>
      </c>
      <c r="S3312" s="65">
        <v>0</v>
      </c>
      <c r="T3312" s="65">
        <v>0</v>
      </c>
      <c r="U3312" s="58">
        <v>0</v>
      </c>
      <c r="V3312" s="65">
        <v>0</v>
      </c>
      <c r="W3312" s="65">
        <v>0</v>
      </c>
      <c r="X3312" s="65">
        <v>0</v>
      </c>
      <c r="Y3312" s="65">
        <v>0</v>
      </c>
      <c r="Z3312" s="51">
        <v>13059.400651200003</v>
      </c>
      <c r="AA3312" s="51">
        <v>0</v>
      </c>
      <c r="AB3312" s="102">
        <v>0</v>
      </c>
      <c r="AC3312" s="81">
        <f t="shared" si="157"/>
        <v>252.8170730507822</v>
      </c>
      <c r="AD3312" s="82">
        <f t="shared" si="158"/>
        <v>50.81428571428571</v>
      </c>
      <c r="AE3312" s="218">
        <v>0</v>
      </c>
      <c r="AF3312">
        <v>0</v>
      </c>
      <c r="AH3312" t="str">
        <f t="shared" si="156"/>
        <v>Sahibpur Kamal</v>
      </c>
      <c r="AJ3312" s="72">
        <v>0</v>
      </c>
      <c r="AK3312" s="72"/>
      <c r="AL3312" s="72"/>
      <c r="AM3312" s="72"/>
    </row>
    <row r="3313" spans="1:39" x14ac:dyDescent="0.25">
      <c r="A3313" s="37" t="s">
        <v>62</v>
      </c>
      <c r="B3313" s="66" t="s">
        <v>1644</v>
      </c>
      <c r="C3313" s="4">
        <v>1011</v>
      </c>
      <c r="D3313" s="41" t="s">
        <v>289</v>
      </c>
      <c r="E3313" s="41">
        <v>10110186</v>
      </c>
      <c r="F3313" s="85" t="s">
        <v>1496</v>
      </c>
      <c r="G3313" s="39" t="s">
        <v>93</v>
      </c>
      <c r="H3313" s="52" t="s">
        <v>94</v>
      </c>
      <c r="I3313" s="52">
        <v>323.5</v>
      </c>
      <c r="J3313" s="49">
        <v>11979.942123078001</v>
      </c>
      <c r="K3313" s="58">
        <v>323</v>
      </c>
      <c r="L3313" s="58">
        <v>11895.789351600002</v>
      </c>
      <c r="M3313" s="58">
        <v>0</v>
      </c>
      <c r="N3313" s="58">
        <v>0</v>
      </c>
      <c r="O3313" s="58">
        <v>323</v>
      </c>
      <c r="P3313" s="53">
        <v>11895.789351600002</v>
      </c>
      <c r="Q3313" s="65">
        <v>11895.789351600002</v>
      </c>
      <c r="R3313" s="65">
        <v>0</v>
      </c>
      <c r="S3313" s="65">
        <v>0</v>
      </c>
      <c r="T3313" s="65">
        <v>0</v>
      </c>
      <c r="U3313" s="58">
        <v>0</v>
      </c>
      <c r="V3313" s="65">
        <v>0</v>
      </c>
      <c r="W3313" s="65">
        <v>0</v>
      </c>
      <c r="X3313" s="65">
        <v>11896</v>
      </c>
      <c r="Y3313" s="65">
        <v>0</v>
      </c>
      <c r="Z3313" s="51">
        <v>0</v>
      </c>
      <c r="AA3313" s="51">
        <v>84</v>
      </c>
      <c r="AB3313" s="102">
        <v>0</v>
      </c>
      <c r="AC3313" s="81">
        <f t="shared" si="157"/>
        <v>278.85305776438128</v>
      </c>
      <c r="AD3313" s="82">
        <f t="shared" si="158"/>
        <v>46.214285714285715</v>
      </c>
      <c r="AE3313" s="218">
        <v>7.0244722898859281E-3</v>
      </c>
      <c r="AF3313">
        <v>1</v>
      </c>
      <c r="AH3313" t="str">
        <f t="shared" si="156"/>
        <v>Sahibpur Kamal</v>
      </c>
      <c r="AJ3313" s="72">
        <v>0</v>
      </c>
      <c r="AK3313" s="72"/>
      <c r="AL3313" s="72"/>
      <c r="AM3313" s="72"/>
    </row>
    <row r="3314" spans="1:39" x14ac:dyDescent="0.25">
      <c r="A3314" s="37" t="s">
        <v>62</v>
      </c>
      <c r="B3314" s="66" t="s">
        <v>1644</v>
      </c>
      <c r="C3314" s="4">
        <v>1011</v>
      </c>
      <c r="D3314" s="41" t="s">
        <v>289</v>
      </c>
      <c r="E3314" s="41">
        <v>10110187</v>
      </c>
      <c r="F3314" s="85" t="s">
        <v>1497</v>
      </c>
      <c r="G3314" s="39" t="s">
        <v>93</v>
      </c>
      <c r="H3314" s="52" t="s">
        <v>94</v>
      </c>
      <c r="I3314" s="52">
        <v>339.09999999999997</v>
      </c>
      <c r="J3314" s="49">
        <v>12707.327714604004</v>
      </c>
      <c r="K3314" s="58">
        <v>339</v>
      </c>
      <c r="L3314" s="58">
        <v>12350.810458800002</v>
      </c>
      <c r="M3314" s="58">
        <v>0</v>
      </c>
      <c r="N3314" s="58">
        <v>0</v>
      </c>
      <c r="O3314" s="58">
        <v>339</v>
      </c>
      <c r="P3314" s="53">
        <v>12350.810458800002</v>
      </c>
      <c r="Q3314" s="65">
        <v>12350.810458800002</v>
      </c>
      <c r="R3314" s="65">
        <v>0</v>
      </c>
      <c r="S3314" s="65">
        <v>0</v>
      </c>
      <c r="T3314" s="65">
        <v>0</v>
      </c>
      <c r="U3314" s="58">
        <v>0</v>
      </c>
      <c r="V3314" s="65">
        <v>0</v>
      </c>
      <c r="W3314" s="65">
        <v>0</v>
      </c>
      <c r="X3314" s="65">
        <v>12351</v>
      </c>
      <c r="Y3314" s="65">
        <v>0</v>
      </c>
      <c r="Z3314" s="51">
        <v>0</v>
      </c>
      <c r="AA3314" s="51">
        <v>356</v>
      </c>
      <c r="AB3314" s="102">
        <v>0</v>
      </c>
      <c r="AC3314" s="81">
        <f t="shared" si="157"/>
        <v>270.48508240640433</v>
      </c>
      <c r="AD3314" s="82">
        <f t="shared" si="158"/>
        <v>48.442857142857136</v>
      </c>
      <c r="AE3314" s="218">
        <v>2.8056036942705961E-2</v>
      </c>
      <c r="AF3314">
        <v>1</v>
      </c>
      <c r="AH3314" t="str">
        <f t="shared" si="156"/>
        <v>Sahibpur Kamal</v>
      </c>
      <c r="AJ3314" s="72">
        <v>0</v>
      </c>
      <c r="AK3314" s="72"/>
      <c r="AL3314" s="72"/>
      <c r="AM3314" s="72"/>
    </row>
    <row r="3315" spans="1:39" x14ac:dyDescent="0.25">
      <c r="A3315" s="37" t="s">
        <v>62</v>
      </c>
      <c r="B3315" s="66" t="s">
        <v>1644</v>
      </c>
      <c r="C3315" s="4">
        <v>1011</v>
      </c>
      <c r="D3315" s="41" t="s">
        <v>289</v>
      </c>
      <c r="E3315" s="41">
        <v>10110188</v>
      </c>
      <c r="F3315" s="85" t="s">
        <v>1477</v>
      </c>
      <c r="G3315" s="39" t="s">
        <v>635</v>
      </c>
      <c r="H3315" s="52" t="s">
        <v>99</v>
      </c>
      <c r="I3315" s="52">
        <v>316.60000000000002</v>
      </c>
      <c r="J3315" s="49">
        <v>12545.12423793</v>
      </c>
      <c r="K3315" s="58">
        <v>0</v>
      </c>
      <c r="L3315" s="58">
        <v>0</v>
      </c>
      <c r="M3315" s="58">
        <v>0</v>
      </c>
      <c r="N3315" s="58">
        <v>0</v>
      </c>
      <c r="O3315" s="58">
        <v>0</v>
      </c>
      <c r="P3315" s="53">
        <v>0</v>
      </c>
      <c r="Q3315" s="65">
        <v>12545.12423793</v>
      </c>
      <c r="R3315" s="65">
        <v>0</v>
      </c>
      <c r="S3315" s="65">
        <v>0</v>
      </c>
      <c r="T3315" s="65">
        <v>0</v>
      </c>
      <c r="U3315" s="58">
        <v>0</v>
      </c>
      <c r="V3315" s="65">
        <v>0</v>
      </c>
      <c r="W3315" s="65">
        <v>0</v>
      </c>
      <c r="X3315" s="65">
        <v>0</v>
      </c>
      <c r="Y3315" s="65">
        <v>0</v>
      </c>
      <c r="Z3315" s="51">
        <v>12545.12423793</v>
      </c>
      <c r="AA3315" s="51">
        <v>0</v>
      </c>
      <c r="AB3315" s="102">
        <v>0</v>
      </c>
      <c r="AC3315" s="81">
        <f t="shared" si="157"/>
        <v>303.84084856742652</v>
      </c>
      <c r="AD3315" s="82">
        <f t="shared" si="158"/>
        <v>45.228571428571435</v>
      </c>
      <c r="AE3315" s="218">
        <v>0</v>
      </c>
      <c r="AF3315">
        <v>0</v>
      </c>
      <c r="AH3315" t="str">
        <f t="shared" si="156"/>
        <v>Sahibpur Kamal</v>
      </c>
      <c r="AJ3315" s="72">
        <v>0</v>
      </c>
      <c r="AK3315" s="72"/>
      <c r="AL3315" s="72"/>
      <c r="AM3315" s="72"/>
    </row>
    <row r="3316" spans="1:39" x14ac:dyDescent="0.25">
      <c r="A3316" s="37" t="s">
        <v>62</v>
      </c>
      <c r="B3316" s="66" t="s">
        <v>1644</v>
      </c>
      <c r="C3316" s="4">
        <v>1012</v>
      </c>
      <c r="D3316" s="41" t="s">
        <v>314</v>
      </c>
      <c r="E3316" s="41">
        <v>10120001</v>
      </c>
      <c r="F3316" s="85" t="s">
        <v>315</v>
      </c>
      <c r="G3316" s="39" t="s">
        <v>635</v>
      </c>
      <c r="H3316" s="52" t="s">
        <v>99</v>
      </c>
      <c r="I3316" s="52">
        <v>194.37</v>
      </c>
      <c r="J3316" s="49">
        <v>8930.3848438582809</v>
      </c>
      <c r="K3316" s="58">
        <v>0</v>
      </c>
      <c r="L3316" s="58">
        <v>0</v>
      </c>
      <c r="M3316" s="58">
        <v>0</v>
      </c>
      <c r="N3316" s="58">
        <v>0</v>
      </c>
      <c r="O3316" s="58">
        <v>0</v>
      </c>
      <c r="P3316" s="53">
        <v>0</v>
      </c>
      <c r="Q3316" s="65">
        <v>8930.3848438582809</v>
      </c>
      <c r="R3316" s="65">
        <v>0</v>
      </c>
      <c r="S3316" s="65">
        <v>0</v>
      </c>
      <c r="T3316" s="65">
        <v>0</v>
      </c>
      <c r="U3316" s="58">
        <v>1350</v>
      </c>
      <c r="V3316" s="65">
        <v>0</v>
      </c>
      <c r="W3316" s="65">
        <v>0</v>
      </c>
      <c r="X3316" s="65">
        <v>0</v>
      </c>
      <c r="Y3316" s="65">
        <v>0</v>
      </c>
      <c r="Z3316" s="51">
        <v>7580.3848438582809</v>
      </c>
      <c r="AA3316" s="51">
        <v>0</v>
      </c>
      <c r="AB3316" s="102">
        <v>0</v>
      </c>
      <c r="AC3316" s="81">
        <f t="shared" si="157"/>
        <v>464.62627860267139</v>
      </c>
      <c r="AD3316" s="82">
        <f t="shared" si="158"/>
        <v>27.767142857142858</v>
      </c>
      <c r="AE3316" s="218">
        <v>0</v>
      </c>
      <c r="AF3316">
        <v>0</v>
      </c>
      <c r="AH3316" t="str">
        <f t="shared" si="156"/>
        <v>DalsinghSarai</v>
      </c>
      <c r="AJ3316" s="72">
        <v>0</v>
      </c>
      <c r="AK3316" s="72"/>
      <c r="AL3316" s="72"/>
      <c r="AM3316" s="72"/>
    </row>
    <row r="3317" spans="1:39" x14ac:dyDescent="0.25">
      <c r="A3317" s="37" t="s">
        <v>62</v>
      </c>
      <c r="B3317" s="66" t="s">
        <v>1644</v>
      </c>
      <c r="C3317" s="4">
        <v>1012</v>
      </c>
      <c r="D3317" s="41" t="s">
        <v>314</v>
      </c>
      <c r="E3317" s="41">
        <v>10120002</v>
      </c>
      <c r="F3317" s="85" t="s">
        <v>316</v>
      </c>
      <c r="G3317" s="39" t="s">
        <v>635</v>
      </c>
      <c r="H3317" s="52" t="s">
        <v>99</v>
      </c>
      <c r="I3317" s="52">
        <v>424.39</v>
      </c>
      <c r="J3317" s="49">
        <v>16764.661644123003</v>
      </c>
      <c r="K3317" s="58">
        <v>0</v>
      </c>
      <c r="L3317" s="58">
        <v>0</v>
      </c>
      <c r="M3317" s="58">
        <v>0</v>
      </c>
      <c r="N3317" s="58">
        <v>0</v>
      </c>
      <c r="O3317" s="58">
        <v>0</v>
      </c>
      <c r="P3317" s="53">
        <v>0</v>
      </c>
      <c r="Q3317" s="65">
        <v>16764.661644123003</v>
      </c>
      <c r="R3317" s="65">
        <v>0</v>
      </c>
      <c r="S3317" s="65">
        <v>0</v>
      </c>
      <c r="T3317" s="65">
        <v>0</v>
      </c>
      <c r="U3317" s="58">
        <v>6750</v>
      </c>
      <c r="V3317" s="65">
        <v>0</v>
      </c>
      <c r="W3317" s="65">
        <v>0</v>
      </c>
      <c r="X3317" s="65">
        <v>0</v>
      </c>
      <c r="Y3317" s="65">
        <v>0</v>
      </c>
      <c r="Z3317" s="51">
        <v>10014.661644123003</v>
      </c>
      <c r="AA3317" s="51">
        <v>0</v>
      </c>
      <c r="AB3317" s="102">
        <v>0</v>
      </c>
      <c r="AC3317" s="81">
        <f t="shared" si="157"/>
        <v>217.74822195323836</v>
      </c>
      <c r="AD3317" s="82">
        <f t="shared" si="158"/>
        <v>60.627142857142857</v>
      </c>
      <c r="AE3317" s="218">
        <v>0</v>
      </c>
      <c r="AF3317">
        <v>0</v>
      </c>
      <c r="AH3317" t="str">
        <f t="shared" si="156"/>
        <v>DalsinghSarai</v>
      </c>
      <c r="AJ3317" s="72">
        <v>0</v>
      </c>
      <c r="AK3317" s="72"/>
      <c r="AL3317" s="72"/>
      <c r="AM3317" s="72"/>
    </row>
    <row r="3318" spans="1:39" x14ac:dyDescent="0.25">
      <c r="A3318" s="37" t="s">
        <v>62</v>
      </c>
      <c r="B3318" s="66" t="s">
        <v>1644</v>
      </c>
      <c r="C3318" s="4">
        <v>1012</v>
      </c>
      <c r="D3318" s="41" t="s">
        <v>314</v>
      </c>
      <c r="E3318" s="41">
        <v>10120005</v>
      </c>
      <c r="F3318" s="85" t="s">
        <v>317</v>
      </c>
      <c r="G3318" s="39" t="s">
        <v>93</v>
      </c>
      <c r="H3318" s="52" t="s">
        <v>94</v>
      </c>
      <c r="I3318" s="52">
        <v>407.36</v>
      </c>
      <c r="J3318" s="49">
        <v>14942.208530127002</v>
      </c>
      <c r="K3318" s="58">
        <v>437.48</v>
      </c>
      <c r="L3318" s="58">
        <v>16084.705723051502</v>
      </c>
      <c r="M3318" s="58">
        <v>0</v>
      </c>
      <c r="N3318" s="58">
        <v>0</v>
      </c>
      <c r="O3318" s="58">
        <v>437.48</v>
      </c>
      <c r="P3318" s="53">
        <v>16084.705723051502</v>
      </c>
      <c r="Q3318" s="65">
        <v>14942.208530127002</v>
      </c>
      <c r="R3318" s="65">
        <v>0</v>
      </c>
      <c r="S3318" s="65">
        <v>0</v>
      </c>
      <c r="T3318" s="65">
        <v>1142.4971929245003</v>
      </c>
      <c r="U3318" s="58">
        <v>0</v>
      </c>
      <c r="V3318" s="65">
        <v>0</v>
      </c>
      <c r="W3318" s="65">
        <v>0</v>
      </c>
      <c r="X3318" s="65">
        <v>14942</v>
      </c>
      <c r="Y3318" s="65">
        <v>0</v>
      </c>
      <c r="Z3318" s="51">
        <v>0</v>
      </c>
      <c r="AA3318" s="51">
        <v>0</v>
      </c>
      <c r="AB3318" s="102" t="s">
        <v>68</v>
      </c>
      <c r="AC3318" s="81">
        <f t="shared" si="157"/>
        <v>214.68420582562675</v>
      </c>
      <c r="AD3318" s="82">
        <f t="shared" si="158"/>
        <v>58.194285714285719</v>
      </c>
      <c r="AE3318" s="218">
        <v>-7.6461066021194762E-2</v>
      </c>
      <c r="AF3318">
        <v>4</v>
      </c>
      <c r="AH3318" t="str">
        <f t="shared" si="156"/>
        <v>DalsinghSarai</v>
      </c>
      <c r="AJ3318" s="72">
        <v>0</v>
      </c>
      <c r="AK3318" s="72"/>
      <c r="AL3318" s="72"/>
      <c r="AM3318" s="72"/>
    </row>
    <row r="3319" spans="1:39" x14ac:dyDescent="0.25">
      <c r="A3319" s="37" t="s">
        <v>62</v>
      </c>
      <c r="B3319" s="66" t="s">
        <v>1644</v>
      </c>
      <c r="C3319" s="4">
        <v>1012</v>
      </c>
      <c r="D3319" s="41" t="s">
        <v>314</v>
      </c>
      <c r="E3319" s="41">
        <v>10120006</v>
      </c>
      <c r="F3319" s="85" t="s">
        <v>318</v>
      </c>
      <c r="G3319" s="39" t="s">
        <v>93</v>
      </c>
      <c r="H3319" s="52" t="s">
        <v>94</v>
      </c>
      <c r="I3319" s="52">
        <v>419.28</v>
      </c>
      <c r="J3319" s="49">
        <v>15351.998781496201</v>
      </c>
      <c r="K3319" s="58">
        <v>427.52000000000004</v>
      </c>
      <c r="L3319" s="58">
        <v>15795.104302224003</v>
      </c>
      <c r="M3319" s="58">
        <v>12.5</v>
      </c>
      <c r="N3319" s="58">
        <v>467.55455714999999</v>
      </c>
      <c r="O3319" s="58">
        <v>440.02000000000004</v>
      </c>
      <c r="P3319" s="53">
        <v>16262.658859374003</v>
      </c>
      <c r="Q3319" s="65">
        <v>15351.998781496201</v>
      </c>
      <c r="R3319" s="65">
        <v>0</v>
      </c>
      <c r="S3319" s="65">
        <v>17.93156295</v>
      </c>
      <c r="T3319" s="65">
        <v>910.66007787780291</v>
      </c>
      <c r="U3319" s="58">
        <v>0</v>
      </c>
      <c r="V3319" s="65">
        <v>0</v>
      </c>
      <c r="W3319" s="65">
        <v>0</v>
      </c>
      <c r="X3319" s="65">
        <v>14884</v>
      </c>
      <c r="Y3319" s="65">
        <v>450</v>
      </c>
      <c r="Z3319" s="51">
        <v>0</v>
      </c>
      <c r="AA3319" s="51">
        <v>0</v>
      </c>
      <c r="AB3319" s="102">
        <v>0</v>
      </c>
      <c r="AC3319" s="81">
        <f t="shared" si="157"/>
        <v>205.57208061160154</v>
      </c>
      <c r="AD3319" s="82">
        <f t="shared" si="158"/>
        <v>59.897142857142853</v>
      </c>
      <c r="AE3319" s="218">
        <v>-5.9318665330759641E-2</v>
      </c>
      <c r="AF3319">
        <v>9</v>
      </c>
      <c r="AH3319" t="str">
        <f t="shared" si="156"/>
        <v>DalsinghSarai</v>
      </c>
      <c r="AJ3319" s="72">
        <v>0</v>
      </c>
      <c r="AK3319" s="72"/>
      <c r="AL3319" s="72"/>
      <c r="AM3319" s="72"/>
    </row>
    <row r="3320" spans="1:39" x14ac:dyDescent="0.25">
      <c r="A3320" s="37" t="s">
        <v>62</v>
      </c>
      <c r="B3320" s="66" t="s">
        <v>1644</v>
      </c>
      <c r="C3320" s="4">
        <v>1012</v>
      </c>
      <c r="D3320" s="41" t="s">
        <v>314</v>
      </c>
      <c r="E3320" s="41">
        <v>10120007</v>
      </c>
      <c r="F3320" s="85" t="s">
        <v>319</v>
      </c>
      <c r="G3320" s="39" t="s">
        <v>93</v>
      </c>
      <c r="H3320" s="52" t="s">
        <v>94</v>
      </c>
      <c r="I3320" s="52">
        <v>1165.0700000000002</v>
      </c>
      <c r="J3320" s="49">
        <v>46365.006769023013</v>
      </c>
      <c r="K3320" s="58">
        <v>1154.5399999999997</v>
      </c>
      <c r="L3320" s="58">
        <v>46001.055314899269</v>
      </c>
      <c r="M3320" s="58">
        <v>14.850000000000001</v>
      </c>
      <c r="N3320" s="58">
        <v>589.71370908000006</v>
      </c>
      <c r="O3320" s="58">
        <v>1169.3899999999996</v>
      </c>
      <c r="P3320" s="53">
        <v>46590.769023979272</v>
      </c>
      <c r="Q3320" s="65">
        <v>46365.006769023013</v>
      </c>
      <c r="R3320" s="65">
        <v>0</v>
      </c>
      <c r="S3320" s="65">
        <v>589.71370908000006</v>
      </c>
      <c r="T3320" s="65">
        <v>225.7622549562584</v>
      </c>
      <c r="U3320" s="58">
        <v>7890</v>
      </c>
      <c r="V3320" s="65">
        <v>0</v>
      </c>
      <c r="W3320" s="65">
        <v>0</v>
      </c>
      <c r="X3320" s="65">
        <v>37885</v>
      </c>
      <c r="Y3320" s="65">
        <v>0</v>
      </c>
      <c r="Z3320" s="51">
        <v>0</v>
      </c>
      <c r="AA3320" s="51">
        <v>0</v>
      </c>
      <c r="AB3320" s="102">
        <v>0</v>
      </c>
      <c r="AC3320" s="81">
        <f t="shared" si="157"/>
        <v>0</v>
      </c>
      <c r="AD3320" s="82">
        <f t="shared" si="158"/>
        <v>0</v>
      </c>
      <c r="AE3320" s="218">
        <v>-4.8692380458594635E-3</v>
      </c>
      <c r="AF3320">
        <v>34</v>
      </c>
      <c r="AH3320" t="str">
        <f t="shared" si="156"/>
        <v>DalsinghSarai</v>
      </c>
      <c r="AJ3320" s="72">
        <v>0</v>
      </c>
      <c r="AK3320" s="72"/>
      <c r="AL3320" s="72"/>
      <c r="AM3320" s="72"/>
    </row>
    <row r="3321" spans="1:39" x14ac:dyDescent="0.25">
      <c r="A3321" s="37" t="s">
        <v>62</v>
      </c>
      <c r="B3321" s="66" t="s">
        <v>1644</v>
      </c>
      <c r="C3321" s="4">
        <v>1012</v>
      </c>
      <c r="D3321" s="41" t="s">
        <v>314</v>
      </c>
      <c r="E3321" s="41">
        <v>10120008</v>
      </c>
      <c r="F3321" s="85" t="s">
        <v>320</v>
      </c>
      <c r="G3321" s="39" t="s">
        <v>635</v>
      </c>
      <c r="H3321" s="52" t="s">
        <v>99</v>
      </c>
      <c r="I3321" s="52">
        <v>72.389999999999986</v>
      </c>
      <c r="J3321" s="49">
        <v>2537.2685049868505</v>
      </c>
      <c r="K3321" s="58">
        <v>0</v>
      </c>
      <c r="L3321" s="58">
        <v>0</v>
      </c>
      <c r="M3321" s="58">
        <v>0</v>
      </c>
      <c r="N3321" s="58">
        <v>0</v>
      </c>
      <c r="O3321" s="58">
        <v>0</v>
      </c>
      <c r="P3321" s="53">
        <v>0</v>
      </c>
      <c r="Q3321" s="65">
        <v>2537.2685049868505</v>
      </c>
      <c r="R3321" s="65">
        <v>0</v>
      </c>
      <c r="S3321" s="65">
        <v>0</v>
      </c>
      <c r="T3321" s="65">
        <v>0</v>
      </c>
      <c r="U3321" s="58">
        <v>0</v>
      </c>
      <c r="V3321" s="65">
        <v>0</v>
      </c>
      <c r="W3321" s="65">
        <v>0</v>
      </c>
      <c r="X3321" s="65">
        <v>0</v>
      </c>
      <c r="Y3321" s="65">
        <v>0</v>
      </c>
      <c r="Z3321" s="51">
        <v>2537.2685049868505</v>
      </c>
      <c r="AA3321" s="51">
        <v>0</v>
      </c>
      <c r="AB3321" s="102">
        <v>0</v>
      </c>
      <c r="AC3321" s="81">
        <f t="shared" si="157"/>
        <v>439.95443746782644</v>
      </c>
      <c r="AD3321" s="82">
        <f t="shared" si="158"/>
        <v>10.341428571428569</v>
      </c>
      <c r="AE3321" s="218">
        <v>0</v>
      </c>
      <c r="AF3321">
        <v>0</v>
      </c>
      <c r="AH3321" t="str">
        <f t="shared" si="156"/>
        <v>DalsinghSarai</v>
      </c>
      <c r="AJ3321" s="72">
        <v>0</v>
      </c>
      <c r="AK3321" s="72"/>
      <c r="AL3321" s="72"/>
      <c r="AM3321" s="72"/>
    </row>
    <row r="3322" spans="1:39" x14ac:dyDescent="0.25">
      <c r="A3322" s="37" t="s">
        <v>62</v>
      </c>
      <c r="B3322" s="66" t="s">
        <v>1644</v>
      </c>
      <c r="C3322" s="4">
        <v>1012</v>
      </c>
      <c r="D3322" s="41" t="s">
        <v>314</v>
      </c>
      <c r="E3322" s="41">
        <v>10120010</v>
      </c>
      <c r="F3322" s="85" t="s">
        <v>321</v>
      </c>
      <c r="G3322" s="39" t="s">
        <v>635</v>
      </c>
      <c r="H3322" s="52" t="s">
        <v>99</v>
      </c>
      <c r="I3322" s="52">
        <v>1660.2400000000002</v>
      </c>
      <c r="J3322" s="49">
        <v>70604.099281507923</v>
      </c>
      <c r="K3322" s="58">
        <v>0</v>
      </c>
      <c r="L3322" s="58">
        <v>0</v>
      </c>
      <c r="M3322" s="58">
        <v>0</v>
      </c>
      <c r="N3322" s="58">
        <v>0</v>
      </c>
      <c r="O3322" s="58">
        <v>0</v>
      </c>
      <c r="P3322" s="53">
        <v>0</v>
      </c>
      <c r="Q3322" s="65">
        <v>70604.099281507923</v>
      </c>
      <c r="R3322" s="65">
        <v>0</v>
      </c>
      <c r="S3322" s="65">
        <v>0</v>
      </c>
      <c r="T3322" s="65">
        <v>0</v>
      </c>
      <c r="U3322" s="58">
        <v>2700</v>
      </c>
      <c r="V3322" s="65">
        <v>0</v>
      </c>
      <c r="W3322" s="65">
        <v>0</v>
      </c>
      <c r="X3322" s="65">
        <v>0</v>
      </c>
      <c r="Y3322" s="65">
        <v>0</v>
      </c>
      <c r="Z3322" s="51">
        <v>67904.099281507923</v>
      </c>
      <c r="AA3322" s="51">
        <v>0</v>
      </c>
      <c r="AB3322" s="102">
        <v>0</v>
      </c>
      <c r="AC3322" s="81">
        <f t="shared" si="157"/>
        <v>0</v>
      </c>
      <c r="AD3322" s="82">
        <f t="shared" si="158"/>
        <v>0</v>
      </c>
      <c r="AE3322" s="218">
        <v>0</v>
      </c>
      <c r="AF3322">
        <v>0</v>
      </c>
      <c r="AH3322" t="str">
        <f t="shared" si="156"/>
        <v>DalsinghSarai</v>
      </c>
      <c r="AJ3322" s="72">
        <v>0</v>
      </c>
      <c r="AK3322" s="72"/>
      <c r="AL3322" s="72"/>
      <c r="AM3322" s="72"/>
    </row>
    <row r="3323" spans="1:39" x14ac:dyDescent="0.25">
      <c r="A3323" s="37" t="s">
        <v>62</v>
      </c>
      <c r="B3323" s="66" t="s">
        <v>1644</v>
      </c>
      <c r="C3323" s="4">
        <v>1012</v>
      </c>
      <c r="D3323" s="41" t="s">
        <v>314</v>
      </c>
      <c r="E3323" s="41">
        <v>10120011</v>
      </c>
      <c r="F3323" s="85" t="s">
        <v>625</v>
      </c>
      <c r="G3323" s="39" t="s">
        <v>635</v>
      </c>
      <c r="H3323" s="52" t="s">
        <v>99</v>
      </c>
      <c r="I3323" s="52">
        <v>408.4</v>
      </c>
      <c r="J3323" s="49">
        <v>15988.768762713602</v>
      </c>
      <c r="K3323" s="58">
        <v>0</v>
      </c>
      <c r="L3323" s="58">
        <v>0</v>
      </c>
      <c r="M3323" s="58">
        <v>0</v>
      </c>
      <c r="N3323" s="58">
        <v>0</v>
      </c>
      <c r="O3323" s="58">
        <v>0</v>
      </c>
      <c r="P3323" s="53">
        <v>0</v>
      </c>
      <c r="Q3323" s="65">
        <v>15988.768762713602</v>
      </c>
      <c r="R3323" s="65">
        <v>0</v>
      </c>
      <c r="S3323" s="65">
        <v>0</v>
      </c>
      <c r="T3323" s="65">
        <v>0</v>
      </c>
      <c r="U3323" s="58">
        <v>0</v>
      </c>
      <c r="V3323" s="65">
        <v>0</v>
      </c>
      <c r="W3323" s="65">
        <v>0</v>
      </c>
      <c r="X3323" s="65">
        <v>0</v>
      </c>
      <c r="Y3323" s="65">
        <v>0</v>
      </c>
      <c r="Z3323" s="51">
        <v>15988.768762713602</v>
      </c>
      <c r="AA3323" s="51">
        <v>0</v>
      </c>
      <c r="AB3323" s="102">
        <v>0</v>
      </c>
      <c r="AC3323" s="81">
        <f t="shared" si="157"/>
        <v>228.32149712082696</v>
      </c>
      <c r="AD3323" s="82">
        <f t="shared" si="158"/>
        <v>58.342857142857142</v>
      </c>
      <c r="AE3323" s="218">
        <v>0</v>
      </c>
      <c r="AF3323">
        <v>0</v>
      </c>
      <c r="AH3323" t="str">
        <f t="shared" ref="AH3323:AH3386" si="159">TEXT(D3323,"0000")</f>
        <v>DalsinghSarai</v>
      </c>
      <c r="AJ3323" s="72">
        <v>0</v>
      </c>
      <c r="AK3323" s="72"/>
      <c r="AL3323" s="72"/>
      <c r="AM3323" s="72"/>
    </row>
    <row r="3324" spans="1:39" x14ac:dyDescent="0.25">
      <c r="A3324" s="37" t="s">
        <v>62</v>
      </c>
      <c r="B3324" s="66" t="s">
        <v>1644</v>
      </c>
      <c r="C3324" s="4">
        <v>1012</v>
      </c>
      <c r="D3324" s="41" t="s">
        <v>314</v>
      </c>
      <c r="E3324" s="41">
        <v>10120012</v>
      </c>
      <c r="F3324" s="85" t="s">
        <v>322</v>
      </c>
      <c r="G3324" s="39" t="s">
        <v>93</v>
      </c>
      <c r="H3324" s="52" t="s">
        <v>94</v>
      </c>
      <c r="I3324" s="52">
        <v>830.96999999999991</v>
      </c>
      <c r="J3324" s="49">
        <v>36407.712069592482</v>
      </c>
      <c r="K3324" s="58">
        <v>811.99999999999989</v>
      </c>
      <c r="L3324" s="58">
        <v>35914.197078040175</v>
      </c>
      <c r="M3324" s="58">
        <v>14.6</v>
      </c>
      <c r="N3324" s="58">
        <v>636.19468875000018</v>
      </c>
      <c r="O3324" s="58">
        <v>826.59999999999991</v>
      </c>
      <c r="P3324" s="53">
        <v>36550.391766790177</v>
      </c>
      <c r="Q3324" s="65">
        <v>36407.712069592482</v>
      </c>
      <c r="R3324" s="65">
        <v>0</v>
      </c>
      <c r="S3324" s="65">
        <v>636.19468875000018</v>
      </c>
      <c r="T3324" s="65">
        <v>142.67969719769462</v>
      </c>
      <c r="U3324" s="58">
        <v>0</v>
      </c>
      <c r="V3324" s="65">
        <v>0</v>
      </c>
      <c r="W3324" s="65">
        <v>0</v>
      </c>
      <c r="X3324" s="65">
        <v>35772</v>
      </c>
      <c r="Y3324" s="65">
        <v>0</v>
      </c>
      <c r="Z3324" s="51">
        <v>0</v>
      </c>
      <c r="AA3324" s="51">
        <v>0</v>
      </c>
      <c r="AB3324" s="102">
        <v>0</v>
      </c>
      <c r="AC3324" s="81">
        <f t="shared" si="157"/>
        <v>0</v>
      </c>
      <c r="AD3324" s="82">
        <f t="shared" si="158"/>
        <v>0</v>
      </c>
      <c r="AE3324" s="218">
        <v>-3.9189415947084435E-3</v>
      </c>
      <c r="AF3324">
        <v>19</v>
      </c>
      <c r="AH3324" t="str">
        <f t="shared" si="159"/>
        <v>DalsinghSarai</v>
      </c>
      <c r="AJ3324" s="72">
        <v>0</v>
      </c>
      <c r="AK3324" s="72"/>
      <c r="AL3324" s="72"/>
      <c r="AM3324" s="72"/>
    </row>
    <row r="3325" spans="1:39" x14ac:dyDescent="0.25">
      <c r="A3325" s="37" t="s">
        <v>62</v>
      </c>
      <c r="B3325" s="66" t="s">
        <v>1644</v>
      </c>
      <c r="C3325" s="4">
        <v>1012</v>
      </c>
      <c r="D3325" s="41" t="s">
        <v>314</v>
      </c>
      <c r="E3325" s="41">
        <v>10120013</v>
      </c>
      <c r="F3325" s="85" t="s">
        <v>323</v>
      </c>
      <c r="G3325" s="39" t="s">
        <v>635</v>
      </c>
      <c r="H3325" s="52" t="s">
        <v>99</v>
      </c>
      <c r="I3325" s="52">
        <v>407.17999999999995</v>
      </c>
      <c r="J3325" s="49">
        <v>15261.50879725845</v>
      </c>
      <c r="K3325" s="58">
        <v>0</v>
      </c>
      <c r="L3325" s="58">
        <v>0</v>
      </c>
      <c r="M3325" s="58">
        <v>0</v>
      </c>
      <c r="N3325" s="58">
        <v>0</v>
      </c>
      <c r="O3325" s="58">
        <v>0</v>
      </c>
      <c r="P3325" s="53">
        <v>0</v>
      </c>
      <c r="Q3325" s="65">
        <v>15261.50879725845</v>
      </c>
      <c r="R3325" s="65">
        <v>0</v>
      </c>
      <c r="S3325" s="65">
        <v>0</v>
      </c>
      <c r="T3325" s="65">
        <v>0</v>
      </c>
      <c r="U3325" s="58">
        <v>2700</v>
      </c>
      <c r="V3325" s="65">
        <v>0</v>
      </c>
      <c r="W3325" s="65">
        <v>0</v>
      </c>
      <c r="X3325" s="65">
        <v>0</v>
      </c>
      <c r="Y3325" s="65">
        <v>0</v>
      </c>
      <c r="Z3325" s="51">
        <v>12561.50879725845</v>
      </c>
      <c r="AA3325" s="51">
        <v>0</v>
      </c>
      <c r="AB3325" s="102">
        <v>0</v>
      </c>
      <c r="AC3325" s="81">
        <f t="shared" si="157"/>
        <v>219.50365961064989</v>
      </c>
      <c r="AD3325" s="82">
        <f t="shared" si="158"/>
        <v>58.168571428571418</v>
      </c>
      <c r="AE3325" s="218">
        <v>0</v>
      </c>
      <c r="AF3325">
        <v>0</v>
      </c>
      <c r="AH3325" t="str">
        <f t="shared" si="159"/>
        <v>DalsinghSarai</v>
      </c>
      <c r="AJ3325" s="72">
        <v>0</v>
      </c>
      <c r="AK3325" s="72"/>
      <c r="AL3325" s="72"/>
      <c r="AM3325" s="72"/>
    </row>
    <row r="3326" spans="1:39" x14ac:dyDescent="0.25">
      <c r="A3326" s="37" t="s">
        <v>62</v>
      </c>
      <c r="B3326" s="66" t="s">
        <v>1644</v>
      </c>
      <c r="C3326" s="4">
        <v>1012</v>
      </c>
      <c r="D3326" s="41" t="s">
        <v>314</v>
      </c>
      <c r="E3326" s="41">
        <v>10120014</v>
      </c>
      <c r="F3326" s="85" t="s">
        <v>324</v>
      </c>
      <c r="G3326" s="39" t="s">
        <v>93</v>
      </c>
      <c r="H3326" s="52" t="s">
        <v>94</v>
      </c>
      <c r="I3326" s="52">
        <v>1074.56</v>
      </c>
      <c r="J3326" s="49">
        <v>43346.762367426003</v>
      </c>
      <c r="K3326" s="58">
        <v>346.7</v>
      </c>
      <c r="L3326" s="58">
        <v>17477.1305423052</v>
      </c>
      <c r="M3326" s="58">
        <v>840.8</v>
      </c>
      <c r="N3326" s="58">
        <v>33846.31642750201</v>
      </c>
      <c r="O3326" s="58">
        <v>1187.5</v>
      </c>
      <c r="P3326" s="53">
        <v>51323.446969807206</v>
      </c>
      <c r="Q3326" s="65">
        <v>43346.762367426003</v>
      </c>
      <c r="R3326" s="65">
        <v>0</v>
      </c>
      <c r="S3326" s="65">
        <v>0</v>
      </c>
      <c r="T3326" s="65">
        <v>7976.6846023812031</v>
      </c>
      <c r="U3326" s="58">
        <v>0</v>
      </c>
      <c r="V3326" s="65">
        <v>0</v>
      </c>
      <c r="W3326" s="65">
        <v>0</v>
      </c>
      <c r="X3326" s="65">
        <v>9502</v>
      </c>
      <c r="Y3326" s="65">
        <v>33845</v>
      </c>
      <c r="Z3326" s="51">
        <v>0</v>
      </c>
      <c r="AA3326" s="51">
        <v>0</v>
      </c>
      <c r="AB3326" s="102" t="s">
        <v>68</v>
      </c>
      <c r="AC3326" s="81">
        <f t="shared" si="157"/>
        <v>0</v>
      </c>
      <c r="AD3326" s="82">
        <f t="shared" si="158"/>
        <v>0</v>
      </c>
      <c r="AE3326" s="218">
        <v>-0.18402030893950871</v>
      </c>
      <c r="AF3326">
        <v>14</v>
      </c>
      <c r="AH3326" t="str">
        <f t="shared" si="159"/>
        <v>DalsinghSarai</v>
      </c>
      <c r="AJ3326" s="72">
        <v>0</v>
      </c>
      <c r="AK3326" s="72"/>
      <c r="AL3326" s="72"/>
      <c r="AM3326" s="72"/>
    </row>
    <row r="3327" spans="1:39" x14ac:dyDescent="0.25">
      <c r="A3327" s="37" t="s">
        <v>62</v>
      </c>
      <c r="B3327" s="66" t="s">
        <v>1644</v>
      </c>
      <c r="C3327" s="4">
        <v>1012</v>
      </c>
      <c r="D3327" s="41" t="s">
        <v>314</v>
      </c>
      <c r="E3327" s="41">
        <v>10120015</v>
      </c>
      <c r="F3327" s="85" t="s">
        <v>325</v>
      </c>
      <c r="G3327" s="39" t="s">
        <v>93</v>
      </c>
      <c r="H3327" s="52" t="s">
        <v>94</v>
      </c>
      <c r="I3327" s="52">
        <v>1301.4600000000003</v>
      </c>
      <c r="J3327" s="49">
        <v>49270.226948501993</v>
      </c>
      <c r="K3327" s="58">
        <v>1389.9199999999998</v>
      </c>
      <c r="L3327" s="58">
        <v>51647.036929786853</v>
      </c>
      <c r="M3327" s="58">
        <v>146.51999999999998</v>
      </c>
      <c r="N3327" s="58">
        <v>5549.7263647570171</v>
      </c>
      <c r="O3327" s="58">
        <v>1536.4399999999998</v>
      </c>
      <c r="P3327" s="53">
        <v>57196.763294543867</v>
      </c>
      <c r="Q3327" s="65">
        <v>49270.226948501993</v>
      </c>
      <c r="R3327" s="65">
        <v>0</v>
      </c>
      <c r="S3327" s="65">
        <v>0</v>
      </c>
      <c r="T3327" s="65">
        <v>7926.5363460418739</v>
      </c>
      <c r="U3327" s="58">
        <v>2700</v>
      </c>
      <c r="V3327" s="65">
        <v>0</v>
      </c>
      <c r="W3327" s="65">
        <v>0</v>
      </c>
      <c r="X3327" s="65">
        <v>41020</v>
      </c>
      <c r="Y3327" s="65">
        <v>5550</v>
      </c>
      <c r="Z3327" s="51">
        <v>0</v>
      </c>
      <c r="AA3327" s="51">
        <v>0</v>
      </c>
      <c r="AB3327" s="102">
        <v>0</v>
      </c>
      <c r="AC3327" s="81">
        <f t="shared" si="157"/>
        <v>0</v>
      </c>
      <c r="AD3327" s="82">
        <f t="shared" si="158"/>
        <v>0</v>
      </c>
      <c r="AE3327" s="218">
        <v>-0.16087882757931707</v>
      </c>
      <c r="AF3327">
        <v>17</v>
      </c>
      <c r="AH3327" t="str">
        <f t="shared" si="159"/>
        <v>DalsinghSarai</v>
      </c>
      <c r="AJ3327" s="72">
        <v>0</v>
      </c>
      <c r="AK3327" s="72"/>
      <c r="AL3327" s="72"/>
      <c r="AM3327" s="72"/>
    </row>
    <row r="3328" spans="1:39" x14ac:dyDescent="0.25">
      <c r="A3328" s="37" t="s">
        <v>62</v>
      </c>
      <c r="B3328" s="66" t="s">
        <v>1644</v>
      </c>
      <c r="C3328" s="4">
        <v>1012</v>
      </c>
      <c r="D3328" s="41" t="s">
        <v>314</v>
      </c>
      <c r="E3328" s="41">
        <v>10120016</v>
      </c>
      <c r="F3328" s="85" t="s">
        <v>326</v>
      </c>
      <c r="G3328" s="39" t="s">
        <v>93</v>
      </c>
      <c r="H3328" s="52" t="s">
        <v>94</v>
      </c>
      <c r="I3328" s="52">
        <v>250.74</v>
      </c>
      <c r="J3328" s="49">
        <v>9221.9883328817996</v>
      </c>
      <c r="K3328" s="58">
        <v>254.69</v>
      </c>
      <c r="L3328" s="58">
        <v>8836.9642435304995</v>
      </c>
      <c r="M3328" s="58">
        <v>7.1799999999999988</v>
      </c>
      <c r="N3328" s="58">
        <v>257.45459325765</v>
      </c>
      <c r="O3328" s="58">
        <v>261.87</v>
      </c>
      <c r="P3328" s="53">
        <v>9094.4188367881488</v>
      </c>
      <c r="Q3328" s="65">
        <v>9094.4188367881488</v>
      </c>
      <c r="R3328" s="65">
        <v>0</v>
      </c>
      <c r="S3328" s="65">
        <v>257.45459325765</v>
      </c>
      <c r="T3328" s="65">
        <v>0</v>
      </c>
      <c r="U3328" s="58">
        <v>2783</v>
      </c>
      <c r="V3328" s="65">
        <v>0</v>
      </c>
      <c r="W3328" s="65">
        <v>0</v>
      </c>
      <c r="X3328" s="65">
        <v>6054</v>
      </c>
      <c r="Y3328" s="65">
        <v>0</v>
      </c>
      <c r="Z3328" s="51">
        <v>0</v>
      </c>
      <c r="AA3328" s="51">
        <v>128</v>
      </c>
      <c r="AB3328" s="102">
        <v>0</v>
      </c>
      <c r="AC3328" s="81">
        <f t="shared" si="157"/>
        <v>330.46745460879617</v>
      </c>
      <c r="AD3328" s="82">
        <f t="shared" si="158"/>
        <v>35.82</v>
      </c>
      <c r="AE3328" s="218">
        <v>1.383318775613613E-2</v>
      </c>
      <c r="AF3328">
        <v>5</v>
      </c>
      <c r="AH3328" t="str">
        <f t="shared" si="159"/>
        <v>DalsinghSarai</v>
      </c>
      <c r="AJ3328" s="72">
        <v>0</v>
      </c>
      <c r="AK3328" s="72"/>
      <c r="AL3328" s="72"/>
      <c r="AM3328" s="72"/>
    </row>
    <row r="3329" spans="1:39" x14ac:dyDescent="0.25">
      <c r="A3329" s="37" t="s">
        <v>62</v>
      </c>
      <c r="B3329" s="66" t="s">
        <v>1644</v>
      </c>
      <c r="C3329" s="4">
        <v>1012</v>
      </c>
      <c r="D3329" s="41" t="s">
        <v>314</v>
      </c>
      <c r="E3329" s="41">
        <v>10120017</v>
      </c>
      <c r="F3329" s="85" t="s">
        <v>327</v>
      </c>
      <c r="G3329" s="39" t="s">
        <v>93</v>
      </c>
      <c r="H3329" s="52" t="s">
        <v>94</v>
      </c>
      <c r="I3329" s="52">
        <v>486.99</v>
      </c>
      <c r="J3329" s="49">
        <v>19390.867779576001</v>
      </c>
      <c r="K3329" s="58">
        <v>485.33</v>
      </c>
      <c r="L3329" s="58">
        <v>19358.562275400003</v>
      </c>
      <c r="M3329" s="58">
        <v>0</v>
      </c>
      <c r="N3329" s="58">
        <v>0</v>
      </c>
      <c r="O3329" s="58">
        <v>485.33</v>
      </c>
      <c r="P3329" s="53">
        <v>19358.562275400003</v>
      </c>
      <c r="Q3329" s="65">
        <v>19358.562275400003</v>
      </c>
      <c r="R3329" s="65">
        <v>0</v>
      </c>
      <c r="S3329" s="65">
        <v>0</v>
      </c>
      <c r="T3329" s="65">
        <v>0</v>
      </c>
      <c r="U3329" s="58">
        <v>0</v>
      </c>
      <c r="V3329" s="65">
        <v>0</v>
      </c>
      <c r="W3329" s="65">
        <v>0</v>
      </c>
      <c r="X3329" s="65">
        <v>19358</v>
      </c>
      <c r="Y3329" s="65">
        <v>0</v>
      </c>
      <c r="Z3329" s="51">
        <v>0</v>
      </c>
      <c r="AA3329" s="51">
        <v>33</v>
      </c>
      <c r="AB3329" s="102">
        <v>0</v>
      </c>
      <c r="AC3329" s="81">
        <f t="shared" ref="AC3329:AC3392" si="160">((IF(AD3329=0,0,100-AD3329))*7*(J3329/I3329))*2%</f>
        <v>169.63176844401252</v>
      </c>
      <c r="AD3329" s="82">
        <f t="shared" ref="AD3329:AD3392" si="161">IF((I3329/7)&gt;100,0,(I3329/7))</f>
        <v>69.570000000000007</v>
      </c>
      <c r="AE3329" s="218">
        <v>1.6660164229485791E-3</v>
      </c>
      <c r="AF3329">
        <v>3</v>
      </c>
      <c r="AH3329" t="str">
        <f t="shared" si="159"/>
        <v>DalsinghSarai</v>
      </c>
      <c r="AJ3329" s="72">
        <v>0</v>
      </c>
      <c r="AK3329" s="72"/>
      <c r="AL3329" s="72"/>
      <c r="AM3329" s="72"/>
    </row>
    <row r="3330" spans="1:39" x14ac:dyDescent="0.25">
      <c r="A3330" s="37" t="s">
        <v>62</v>
      </c>
      <c r="B3330" s="66" t="s">
        <v>1644</v>
      </c>
      <c r="C3330" s="4">
        <v>1012</v>
      </c>
      <c r="D3330" s="41" t="s">
        <v>314</v>
      </c>
      <c r="E3330" s="41">
        <v>10120018</v>
      </c>
      <c r="F3330" s="85" t="s">
        <v>328</v>
      </c>
      <c r="G3330" s="39" t="s">
        <v>93</v>
      </c>
      <c r="H3330" s="52" t="s">
        <v>94</v>
      </c>
      <c r="I3330" s="52">
        <v>182.95999999999998</v>
      </c>
      <c r="J3330" s="49">
        <v>7018.1185044416006</v>
      </c>
      <c r="K3330" s="58">
        <v>285</v>
      </c>
      <c r="L3330" s="58">
        <v>12076.766909999998</v>
      </c>
      <c r="M3330" s="58">
        <v>0</v>
      </c>
      <c r="N3330" s="58">
        <v>0</v>
      </c>
      <c r="O3330" s="58">
        <v>285</v>
      </c>
      <c r="P3330" s="53">
        <v>12076.766909999998</v>
      </c>
      <c r="Q3330" s="65">
        <v>7018.1185044416006</v>
      </c>
      <c r="R3330" s="65">
        <v>0</v>
      </c>
      <c r="S3330" s="65">
        <v>0</v>
      </c>
      <c r="T3330" s="65">
        <v>5058.6484055583978</v>
      </c>
      <c r="U3330" s="58">
        <v>0</v>
      </c>
      <c r="V3330" s="65">
        <v>0</v>
      </c>
      <c r="W3330" s="65">
        <v>0</v>
      </c>
      <c r="X3330" s="65">
        <v>7018</v>
      </c>
      <c r="Y3330" s="65">
        <v>0</v>
      </c>
      <c r="Z3330" s="51">
        <v>0</v>
      </c>
      <c r="AA3330" s="51">
        <v>0</v>
      </c>
      <c r="AB3330" s="102">
        <v>0</v>
      </c>
      <c r="AC3330" s="81">
        <f t="shared" si="160"/>
        <v>396.66025268216936</v>
      </c>
      <c r="AD3330" s="82">
        <f t="shared" si="161"/>
        <v>26.137142857142855</v>
      </c>
      <c r="AE3330" s="218">
        <v>-0.72079837386001666</v>
      </c>
      <c r="AF3330">
        <v>2</v>
      </c>
      <c r="AH3330" t="str">
        <f t="shared" si="159"/>
        <v>DalsinghSarai</v>
      </c>
      <c r="AJ3330" s="72">
        <v>0</v>
      </c>
      <c r="AK3330" s="72"/>
      <c r="AL3330" s="72"/>
      <c r="AM3330" s="72"/>
    </row>
    <row r="3331" spans="1:39" x14ac:dyDescent="0.25">
      <c r="A3331" s="37" t="s">
        <v>62</v>
      </c>
      <c r="B3331" s="66" t="s">
        <v>1644</v>
      </c>
      <c r="C3331" s="4">
        <v>1012</v>
      </c>
      <c r="D3331" s="41" t="s">
        <v>314</v>
      </c>
      <c r="E3331" s="41">
        <v>10120019</v>
      </c>
      <c r="F3331" s="85" t="s">
        <v>329</v>
      </c>
      <c r="G3331" s="39" t="s">
        <v>93</v>
      </c>
      <c r="H3331" s="52" t="s">
        <v>94</v>
      </c>
      <c r="I3331" s="52">
        <v>222.06</v>
      </c>
      <c r="J3331" s="49">
        <v>8628.4421287559999</v>
      </c>
      <c r="K3331" s="58">
        <v>128.25</v>
      </c>
      <c r="L3331" s="58">
        <v>4836.4475422770001</v>
      </c>
      <c r="M3331" s="58">
        <v>100.95</v>
      </c>
      <c r="N3331" s="58">
        <v>3808.8478556310001</v>
      </c>
      <c r="O3331" s="58">
        <v>229.2</v>
      </c>
      <c r="P3331" s="53">
        <v>8645.2953979080012</v>
      </c>
      <c r="Q3331" s="65">
        <v>8628.4421287559999</v>
      </c>
      <c r="R3331" s="65">
        <v>0</v>
      </c>
      <c r="S3331" s="65">
        <v>113.541556275</v>
      </c>
      <c r="T3331" s="65">
        <v>16.853269152001303</v>
      </c>
      <c r="U3331" s="58">
        <v>0</v>
      </c>
      <c r="V3331" s="65">
        <v>0</v>
      </c>
      <c r="W3331" s="65">
        <v>0</v>
      </c>
      <c r="X3331" s="65">
        <v>4819</v>
      </c>
      <c r="Y3331" s="65">
        <v>3695</v>
      </c>
      <c r="Z3331" s="51">
        <v>0</v>
      </c>
      <c r="AA3331" s="51">
        <v>1</v>
      </c>
      <c r="AB3331" s="102">
        <v>0</v>
      </c>
      <c r="AC3331" s="81">
        <f t="shared" si="160"/>
        <v>371.42012348172949</v>
      </c>
      <c r="AD3331" s="82">
        <f t="shared" si="161"/>
        <v>31.722857142857144</v>
      </c>
      <c r="AE3331" s="218">
        <v>-1.9532227139629796E-3</v>
      </c>
      <c r="AF3331">
        <v>6</v>
      </c>
      <c r="AH3331" t="str">
        <f t="shared" si="159"/>
        <v>DalsinghSarai</v>
      </c>
      <c r="AJ3331" s="72">
        <v>0</v>
      </c>
      <c r="AK3331" s="72"/>
      <c r="AL3331" s="72"/>
      <c r="AM3331" s="72"/>
    </row>
    <row r="3332" spans="1:39" x14ac:dyDescent="0.25">
      <c r="A3332" s="37" t="s">
        <v>62</v>
      </c>
      <c r="B3332" s="66" t="s">
        <v>1644</v>
      </c>
      <c r="C3332" s="4">
        <v>1012</v>
      </c>
      <c r="D3332" s="41" t="s">
        <v>314</v>
      </c>
      <c r="E3332" s="41">
        <v>10120022</v>
      </c>
      <c r="F3332" s="85" t="s">
        <v>330</v>
      </c>
      <c r="G3332" s="39" t="s">
        <v>635</v>
      </c>
      <c r="H3332" s="52" t="s">
        <v>99</v>
      </c>
      <c r="I3332" s="52">
        <v>132.07999999999998</v>
      </c>
      <c r="J3332" s="49">
        <v>6702.9591973361003</v>
      </c>
      <c r="K3332" s="58">
        <v>0</v>
      </c>
      <c r="L3332" s="58">
        <v>0</v>
      </c>
      <c r="M3332" s="58">
        <v>0</v>
      </c>
      <c r="N3332" s="58">
        <v>0</v>
      </c>
      <c r="O3332" s="58">
        <v>0</v>
      </c>
      <c r="P3332" s="53">
        <v>0</v>
      </c>
      <c r="Q3332" s="65">
        <v>6702.9591973361003</v>
      </c>
      <c r="R3332" s="65">
        <v>0</v>
      </c>
      <c r="S3332" s="65">
        <v>0</v>
      </c>
      <c r="T3332" s="65">
        <v>0</v>
      </c>
      <c r="U3332" s="58">
        <v>6703</v>
      </c>
      <c r="V3332" s="65">
        <v>0</v>
      </c>
      <c r="W3332" s="65">
        <v>0</v>
      </c>
      <c r="X3332" s="65">
        <v>0</v>
      </c>
      <c r="Y3332" s="65">
        <v>0</v>
      </c>
      <c r="Z3332" s="51">
        <v>-4.0802663899739855E-2</v>
      </c>
      <c r="AA3332" s="51">
        <v>0</v>
      </c>
      <c r="AB3332" s="102">
        <v>0</v>
      </c>
      <c r="AC3332" s="81">
        <f t="shared" si="160"/>
        <v>576.43013133723775</v>
      </c>
      <c r="AD3332" s="82">
        <f t="shared" si="161"/>
        <v>18.868571428571425</v>
      </c>
      <c r="AE3332" s="218">
        <v>0</v>
      </c>
      <c r="AF3332">
        <v>0</v>
      </c>
      <c r="AH3332" t="str">
        <f t="shared" si="159"/>
        <v>DalsinghSarai</v>
      </c>
      <c r="AJ3332" s="72">
        <v>0</v>
      </c>
      <c r="AK3332" s="72"/>
      <c r="AL3332" s="72"/>
      <c r="AM3332" s="72"/>
    </row>
    <row r="3333" spans="1:39" x14ac:dyDescent="0.25">
      <c r="A3333" s="37" t="s">
        <v>62</v>
      </c>
      <c r="B3333" s="66" t="s">
        <v>1644</v>
      </c>
      <c r="C3333" s="4">
        <v>1012</v>
      </c>
      <c r="D3333" s="41" t="s">
        <v>314</v>
      </c>
      <c r="E3333" s="41">
        <v>10120023</v>
      </c>
      <c r="F3333" s="85" t="s">
        <v>331</v>
      </c>
      <c r="G3333" s="39" t="s">
        <v>635</v>
      </c>
      <c r="H3333" s="52" t="s">
        <v>99</v>
      </c>
      <c r="I3333" s="52">
        <v>244.87</v>
      </c>
      <c r="J3333" s="49">
        <v>9046.6091427930005</v>
      </c>
      <c r="K3333" s="58">
        <v>0</v>
      </c>
      <c r="L3333" s="58">
        <v>0</v>
      </c>
      <c r="M3333" s="58">
        <v>0</v>
      </c>
      <c r="N3333" s="58">
        <v>0</v>
      </c>
      <c r="O3333" s="58">
        <v>0</v>
      </c>
      <c r="P3333" s="53">
        <v>0</v>
      </c>
      <c r="Q3333" s="65">
        <v>9046.6091427930005</v>
      </c>
      <c r="R3333" s="65">
        <v>0</v>
      </c>
      <c r="S3333" s="65">
        <v>0</v>
      </c>
      <c r="T3333" s="65">
        <v>0</v>
      </c>
      <c r="U3333" s="58">
        <v>0</v>
      </c>
      <c r="V3333" s="65">
        <v>0</v>
      </c>
      <c r="W3333" s="65">
        <v>0</v>
      </c>
      <c r="X3333" s="65">
        <v>0</v>
      </c>
      <c r="Y3333" s="65">
        <v>0</v>
      </c>
      <c r="Z3333" s="51">
        <v>9046.6091427930005</v>
      </c>
      <c r="AA3333" s="51">
        <v>0</v>
      </c>
      <c r="AB3333" s="102">
        <v>0</v>
      </c>
      <c r="AC3333" s="81">
        <f t="shared" si="160"/>
        <v>336.29135616117759</v>
      </c>
      <c r="AD3333" s="82">
        <f t="shared" si="161"/>
        <v>34.981428571428573</v>
      </c>
      <c r="AE3333" s="218">
        <v>0</v>
      </c>
      <c r="AF3333">
        <v>0</v>
      </c>
      <c r="AH3333" t="str">
        <f t="shared" si="159"/>
        <v>DalsinghSarai</v>
      </c>
      <c r="AJ3333" s="72">
        <v>0</v>
      </c>
      <c r="AK3333" s="72"/>
      <c r="AL3333" s="72"/>
      <c r="AM3333" s="72"/>
    </row>
    <row r="3334" spans="1:39" x14ac:dyDescent="0.25">
      <c r="A3334" s="37" t="s">
        <v>62</v>
      </c>
      <c r="B3334" s="66" t="s">
        <v>1644</v>
      </c>
      <c r="C3334" s="4">
        <v>1012</v>
      </c>
      <c r="D3334" s="41" t="s">
        <v>314</v>
      </c>
      <c r="E3334" s="41">
        <v>10120024</v>
      </c>
      <c r="F3334" s="85" t="s">
        <v>332</v>
      </c>
      <c r="G3334" s="39" t="s">
        <v>635</v>
      </c>
      <c r="H3334" s="52" t="s">
        <v>99</v>
      </c>
      <c r="I3334" s="52">
        <v>238.38</v>
      </c>
      <c r="J3334" s="49">
        <v>8882.0956442100014</v>
      </c>
      <c r="K3334" s="58">
        <v>0</v>
      </c>
      <c r="L3334" s="58">
        <v>0</v>
      </c>
      <c r="M3334" s="58">
        <v>0</v>
      </c>
      <c r="N3334" s="58">
        <v>0</v>
      </c>
      <c r="O3334" s="58">
        <v>0</v>
      </c>
      <c r="P3334" s="53">
        <v>0</v>
      </c>
      <c r="Q3334" s="65">
        <v>8882.0956442100014</v>
      </c>
      <c r="R3334" s="65">
        <v>0</v>
      </c>
      <c r="S3334" s="65">
        <v>0</v>
      </c>
      <c r="T3334" s="65">
        <v>0</v>
      </c>
      <c r="U3334" s="58">
        <v>0</v>
      </c>
      <c r="V3334" s="65">
        <v>0</v>
      </c>
      <c r="W3334" s="65">
        <v>0</v>
      </c>
      <c r="X3334" s="65">
        <v>0</v>
      </c>
      <c r="Y3334" s="65">
        <v>0</v>
      </c>
      <c r="Z3334" s="51">
        <v>8882.0956442100014</v>
      </c>
      <c r="AA3334" s="51">
        <v>0</v>
      </c>
      <c r="AB3334" s="102">
        <v>0</v>
      </c>
      <c r="AC3334" s="81">
        <f t="shared" si="160"/>
        <v>344.00142556256577</v>
      </c>
      <c r="AD3334" s="82">
        <f t="shared" si="161"/>
        <v>34.054285714285712</v>
      </c>
      <c r="AE3334" s="218">
        <v>0</v>
      </c>
      <c r="AF3334">
        <v>0</v>
      </c>
      <c r="AH3334" t="str">
        <f t="shared" si="159"/>
        <v>DalsinghSarai</v>
      </c>
      <c r="AJ3334" s="72">
        <v>0</v>
      </c>
      <c r="AK3334" s="72"/>
      <c r="AL3334" s="72"/>
      <c r="AM3334" s="72"/>
    </row>
    <row r="3335" spans="1:39" x14ac:dyDescent="0.25">
      <c r="A3335" s="37" t="s">
        <v>62</v>
      </c>
      <c r="B3335" s="66" t="s">
        <v>1644</v>
      </c>
      <c r="C3335" s="4">
        <v>1012</v>
      </c>
      <c r="D3335" s="41" t="s">
        <v>314</v>
      </c>
      <c r="E3335" s="41">
        <v>10120025</v>
      </c>
      <c r="F3335" s="85" t="s">
        <v>333</v>
      </c>
      <c r="G3335" s="39" t="s">
        <v>93</v>
      </c>
      <c r="H3335" s="52" t="s">
        <v>94</v>
      </c>
      <c r="I3335" s="52">
        <v>2637.8800000000006</v>
      </c>
      <c r="J3335" s="49">
        <v>106277.678213871</v>
      </c>
      <c r="K3335" s="58">
        <v>1752.96</v>
      </c>
      <c r="L3335" s="58">
        <v>78424.299084064856</v>
      </c>
      <c r="M3335" s="58">
        <v>931.45999999999992</v>
      </c>
      <c r="N3335" s="58">
        <v>37461.614592744976</v>
      </c>
      <c r="O3335" s="58">
        <v>2684.42</v>
      </c>
      <c r="P3335" s="53">
        <v>115885.91367680984</v>
      </c>
      <c r="Q3335" s="65">
        <v>106277.678213871</v>
      </c>
      <c r="R3335" s="65">
        <v>0</v>
      </c>
      <c r="S3335" s="65">
        <v>558.44692678860008</v>
      </c>
      <c r="T3335" s="65">
        <v>9608.2354629388428</v>
      </c>
      <c r="U3335" s="58">
        <v>2700</v>
      </c>
      <c r="V3335" s="65">
        <v>0</v>
      </c>
      <c r="W3335" s="65">
        <v>0</v>
      </c>
      <c r="X3335" s="65">
        <v>66116</v>
      </c>
      <c r="Y3335" s="65">
        <v>36903</v>
      </c>
      <c r="Z3335" s="51">
        <v>0</v>
      </c>
      <c r="AA3335" s="51">
        <v>0</v>
      </c>
      <c r="AB3335" s="102">
        <v>0</v>
      </c>
      <c r="AC3335" s="81">
        <f t="shared" si="160"/>
        <v>0</v>
      </c>
      <c r="AD3335" s="82">
        <f t="shared" si="161"/>
        <v>0</v>
      </c>
      <c r="AE3335" s="218">
        <v>-9.0406900342736407E-2</v>
      </c>
      <c r="AF3335">
        <v>28</v>
      </c>
      <c r="AH3335" t="str">
        <f t="shared" si="159"/>
        <v>DalsinghSarai</v>
      </c>
      <c r="AJ3335" s="72">
        <v>0</v>
      </c>
      <c r="AK3335" s="72"/>
      <c r="AL3335" s="72"/>
      <c r="AM3335" s="72"/>
    </row>
    <row r="3336" spans="1:39" x14ac:dyDescent="0.25">
      <c r="A3336" s="37" t="s">
        <v>62</v>
      </c>
      <c r="B3336" s="66" t="s">
        <v>1644</v>
      </c>
      <c r="C3336" s="4">
        <v>1012</v>
      </c>
      <c r="D3336" s="41" t="s">
        <v>314</v>
      </c>
      <c r="E3336" s="41">
        <v>10120026</v>
      </c>
      <c r="F3336" s="85" t="s">
        <v>659</v>
      </c>
      <c r="G3336" s="39" t="s">
        <v>635</v>
      </c>
      <c r="H3336" s="52" t="s">
        <v>99</v>
      </c>
      <c r="I3336" s="52">
        <v>40.74</v>
      </c>
      <c r="J3336" s="49">
        <v>1284.8032737396002</v>
      </c>
      <c r="K3336" s="58">
        <v>0</v>
      </c>
      <c r="L3336" s="58">
        <v>0</v>
      </c>
      <c r="M3336" s="58">
        <v>0</v>
      </c>
      <c r="N3336" s="58">
        <v>0</v>
      </c>
      <c r="O3336" s="58">
        <v>0</v>
      </c>
      <c r="P3336" s="53">
        <v>0</v>
      </c>
      <c r="Q3336" s="65">
        <v>1284.8032737396002</v>
      </c>
      <c r="R3336" s="65">
        <v>0</v>
      </c>
      <c r="S3336" s="65">
        <v>0</v>
      </c>
      <c r="T3336" s="65">
        <v>0</v>
      </c>
      <c r="U3336" s="58">
        <v>0</v>
      </c>
      <c r="V3336" s="65">
        <v>0</v>
      </c>
      <c r="W3336" s="65">
        <v>0</v>
      </c>
      <c r="X3336" s="65">
        <v>0</v>
      </c>
      <c r="Y3336" s="65">
        <v>0</v>
      </c>
      <c r="Z3336" s="51">
        <v>1284.8032737396002</v>
      </c>
      <c r="AA3336" s="51">
        <v>0</v>
      </c>
      <c r="AB3336" s="102">
        <v>0</v>
      </c>
      <c r="AC3336" s="81">
        <f t="shared" si="160"/>
        <v>415.81708701304308</v>
      </c>
      <c r="AD3336" s="82">
        <f t="shared" si="161"/>
        <v>5.82</v>
      </c>
      <c r="AE3336" s="218">
        <v>0</v>
      </c>
      <c r="AF3336">
        <v>0</v>
      </c>
      <c r="AH3336" t="str">
        <f t="shared" si="159"/>
        <v>DalsinghSarai</v>
      </c>
      <c r="AJ3336" s="72">
        <v>0</v>
      </c>
      <c r="AK3336" s="72"/>
      <c r="AL3336" s="72"/>
      <c r="AM3336" s="72"/>
    </row>
    <row r="3337" spans="1:39" x14ac:dyDescent="0.25">
      <c r="A3337" s="37" t="s">
        <v>62</v>
      </c>
      <c r="B3337" s="66" t="s">
        <v>1644</v>
      </c>
      <c r="C3337" s="4">
        <v>1012</v>
      </c>
      <c r="D3337" s="41" t="s">
        <v>314</v>
      </c>
      <c r="E3337" s="41">
        <v>10120029</v>
      </c>
      <c r="F3337" s="85" t="s">
        <v>334</v>
      </c>
      <c r="G3337" s="39" t="s">
        <v>93</v>
      </c>
      <c r="H3337" s="52" t="s">
        <v>94</v>
      </c>
      <c r="I3337" s="52">
        <v>866.6099999999999</v>
      </c>
      <c r="J3337" s="49">
        <v>33186.773683335006</v>
      </c>
      <c r="K3337" s="58">
        <v>576.5</v>
      </c>
      <c r="L3337" s="58">
        <v>22046.281964168342</v>
      </c>
      <c r="M3337" s="58">
        <v>350.46</v>
      </c>
      <c r="N3337" s="58">
        <v>12998.647813814401</v>
      </c>
      <c r="O3337" s="58">
        <v>926.96</v>
      </c>
      <c r="P3337" s="53">
        <v>35044.929777982747</v>
      </c>
      <c r="Q3337" s="65">
        <v>33186.773683335006</v>
      </c>
      <c r="R3337" s="65">
        <v>0</v>
      </c>
      <c r="S3337" s="65">
        <v>312.50249000640008</v>
      </c>
      <c r="T3337" s="65">
        <v>1858.1560946477402</v>
      </c>
      <c r="U3337" s="58">
        <v>1286</v>
      </c>
      <c r="V3337" s="65">
        <v>0</v>
      </c>
      <c r="W3337" s="65">
        <v>0</v>
      </c>
      <c r="X3337" s="65">
        <v>18903</v>
      </c>
      <c r="Y3337" s="65">
        <v>12685</v>
      </c>
      <c r="Z3337" s="51">
        <v>0</v>
      </c>
      <c r="AA3337" s="51">
        <v>0</v>
      </c>
      <c r="AB3337" s="102">
        <v>0</v>
      </c>
      <c r="AC3337" s="81">
        <f t="shared" si="160"/>
        <v>0</v>
      </c>
      <c r="AD3337" s="82">
        <f t="shared" si="161"/>
        <v>0</v>
      </c>
      <c r="AE3337" s="218">
        <v>-5.5990862877424795E-2</v>
      </c>
      <c r="AF3337">
        <v>18</v>
      </c>
      <c r="AH3337" t="str">
        <f t="shared" si="159"/>
        <v>DalsinghSarai</v>
      </c>
      <c r="AJ3337" s="72">
        <v>0</v>
      </c>
      <c r="AK3337" s="72"/>
      <c r="AL3337" s="72"/>
      <c r="AM3337" s="72"/>
    </row>
    <row r="3338" spans="1:39" x14ac:dyDescent="0.25">
      <c r="A3338" s="37" t="s">
        <v>62</v>
      </c>
      <c r="B3338" s="66" t="s">
        <v>1644</v>
      </c>
      <c r="C3338" s="4">
        <v>1012</v>
      </c>
      <c r="D3338" s="41" t="s">
        <v>314</v>
      </c>
      <c r="E3338" s="41">
        <v>10120031</v>
      </c>
      <c r="F3338" s="85" t="s">
        <v>336</v>
      </c>
      <c r="G3338" s="39" t="s">
        <v>93</v>
      </c>
      <c r="H3338" s="52" t="s">
        <v>94</v>
      </c>
      <c r="I3338" s="52">
        <v>346.48000000000008</v>
      </c>
      <c r="J3338" s="49">
        <v>13239.203118014999</v>
      </c>
      <c r="K3338" s="58">
        <v>346.3</v>
      </c>
      <c r="L3338" s="58">
        <v>13285.48397583</v>
      </c>
      <c r="M3338" s="58">
        <v>0</v>
      </c>
      <c r="N3338" s="58">
        <v>0</v>
      </c>
      <c r="O3338" s="58">
        <v>346.3</v>
      </c>
      <c r="P3338" s="53">
        <v>13285.48397583</v>
      </c>
      <c r="Q3338" s="65">
        <v>13239.203118014999</v>
      </c>
      <c r="R3338" s="65">
        <v>0</v>
      </c>
      <c r="S3338" s="65">
        <v>0</v>
      </c>
      <c r="T3338" s="65">
        <v>46.280857815001582</v>
      </c>
      <c r="U3338" s="58">
        <v>2700</v>
      </c>
      <c r="V3338" s="65">
        <v>0</v>
      </c>
      <c r="W3338" s="65">
        <v>0</v>
      </c>
      <c r="X3338" s="65">
        <v>10539</v>
      </c>
      <c r="Y3338" s="65">
        <v>0</v>
      </c>
      <c r="Z3338" s="51">
        <v>0</v>
      </c>
      <c r="AA3338" s="51">
        <v>0</v>
      </c>
      <c r="AB3338" s="102">
        <v>0</v>
      </c>
      <c r="AC3338" s="81">
        <f t="shared" si="160"/>
        <v>270.16411257681023</v>
      </c>
      <c r="AD3338" s="82">
        <f t="shared" si="161"/>
        <v>49.497142857142869</v>
      </c>
      <c r="AE3338" s="218">
        <v>-3.4957434675222838E-3</v>
      </c>
      <c r="AF3338">
        <v>3</v>
      </c>
      <c r="AH3338" t="str">
        <f t="shared" si="159"/>
        <v>DalsinghSarai</v>
      </c>
      <c r="AJ3338" s="72">
        <v>0</v>
      </c>
      <c r="AK3338" s="72"/>
      <c r="AL3338" s="72"/>
      <c r="AM3338" s="72"/>
    </row>
    <row r="3339" spans="1:39" x14ac:dyDescent="0.25">
      <c r="A3339" s="37" t="s">
        <v>62</v>
      </c>
      <c r="B3339" s="66" t="s">
        <v>1644</v>
      </c>
      <c r="C3339" s="4">
        <v>1012</v>
      </c>
      <c r="D3339" s="41" t="s">
        <v>314</v>
      </c>
      <c r="E3339" s="41">
        <v>10120034</v>
      </c>
      <c r="F3339" s="85" t="s">
        <v>337</v>
      </c>
      <c r="G3339" s="39" t="s">
        <v>93</v>
      </c>
      <c r="H3339" s="52" t="s">
        <v>94</v>
      </c>
      <c r="I3339" s="52">
        <v>84.87</v>
      </c>
      <c r="J3339" s="49">
        <v>3426.3981656400001</v>
      </c>
      <c r="K3339" s="58">
        <v>84.87</v>
      </c>
      <c r="L3339" s="58">
        <v>3427.9584056400004</v>
      </c>
      <c r="M3339" s="58">
        <v>0</v>
      </c>
      <c r="N3339" s="58">
        <v>0</v>
      </c>
      <c r="O3339" s="58">
        <v>84.87</v>
      </c>
      <c r="P3339" s="53">
        <v>3427.9584056400004</v>
      </c>
      <c r="Q3339" s="65">
        <v>3426.3981656400001</v>
      </c>
      <c r="R3339" s="65">
        <v>0</v>
      </c>
      <c r="S3339" s="65">
        <v>0</v>
      </c>
      <c r="T3339" s="65">
        <v>1.560240000000249</v>
      </c>
      <c r="U3339" s="58">
        <v>3426</v>
      </c>
      <c r="V3339" s="65">
        <v>0</v>
      </c>
      <c r="W3339" s="65">
        <v>0</v>
      </c>
      <c r="X3339" s="65">
        <v>0</v>
      </c>
      <c r="Y3339" s="65">
        <v>0</v>
      </c>
      <c r="Z3339" s="51">
        <v>0</v>
      </c>
      <c r="AA3339" s="51">
        <v>0</v>
      </c>
      <c r="AB3339" s="102">
        <v>0</v>
      </c>
      <c r="AC3339" s="81">
        <f t="shared" si="160"/>
        <v>496.68441230826755</v>
      </c>
      <c r="AD3339" s="82">
        <f t="shared" si="161"/>
        <v>12.124285714285715</v>
      </c>
      <c r="AE3339" s="218">
        <v>-4.5535863743051571E-4</v>
      </c>
      <c r="AF3339">
        <v>1</v>
      </c>
      <c r="AH3339" t="str">
        <f t="shared" si="159"/>
        <v>DalsinghSarai</v>
      </c>
      <c r="AJ3339" s="72">
        <v>0</v>
      </c>
      <c r="AK3339" s="72"/>
      <c r="AL3339" s="72"/>
      <c r="AM3339" s="72"/>
    </row>
    <row r="3340" spans="1:39" x14ac:dyDescent="0.25">
      <c r="A3340" s="37" t="s">
        <v>62</v>
      </c>
      <c r="B3340" s="66" t="s">
        <v>1644</v>
      </c>
      <c r="C3340" s="4">
        <v>1012</v>
      </c>
      <c r="D3340" s="41" t="s">
        <v>314</v>
      </c>
      <c r="E3340" s="41">
        <v>10120035</v>
      </c>
      <c r="F3340" s="85" t="s">
        <v>338</v>
      </c>
      <c r="G3340" s="39" t="s">
        <v>635</v>
      </c>
      <c r="H3340" s="52" t="s">
        <v>99</v>
      </c>
      <c r="I3340" s="52">
        <v>388.17999999999995</v>
      </c>
      <c r="J3340" s="49">
        <v>16033.3452251568</v>
      </c>
      <c r="K3340" s="58">
        <v>0</v>
      </c>
      <c r="L3340" s="58">
        <v>0</v>
      </c>
      <c r="M3340" s="58">
        <v>0</v>
      </c>
      <c r="N3340" s="58">
        <v>0</v>
      </c>
      <c r="O3340" s="58">
        <v>0</v>
      </c>
      <c r="P3340" s="53">
        <v>0</v>
      </c>
      <c r="Q3340" s="65">
        <v>16033.3452251568</v>
      </c>
      <c r="R3340" s="65">
        <v>0</v>
      </c>
      <c r="S3340" s="65">
        <v>0</v>
      </c>
      <c r="T3340" s="65">
        <v>0</v>
      </c>
      <c r="U3340" s="58">
        <v>0</v>
      </c>
      <c r="V3340" s="65">
        <v>0</v>
      </c>
      <c r="W3340" s="65">
        <v>0</v>
      </c>
      <c r="X3340" s="65">
        <v>0</v>
      </c>
      <c r="Y3340" s="65">
        <v>0</v>
      </c>
      <c r="Z3340" s="51">
        <v>16033.3452251568</v>
      </c>
      <c r="AA3340" s="51">
        <v>0</v>
      </c>
      <c r="AB3340" s="102">
        <v>0</v>
      </c>
      <c r="AC3340" s="81">
        <f t="shared" si="160"/>
        <v>257.58759895452602</v>
      </c>
      <c r="AD3340" s="82">
        <f t="shared" si="161"/>
        <v>55.45428571428571</v>
      </c>
      <c r="AE3340" s="218">
        <v>0</v>
      </c>
      <c r="AF3340">
        <v>0</v>
      </c>
      <c r="AH3340" t="str">
        <f t="shared" si="159"/>
        <v>DalsinghSarai</v>
      </c>
      <c r="AJ3340" s="72">
        <v>0</v>
      </c>
      <c r="AK3340" s="72"/>
      <c r="AL3340" s="72"/>
      <c r="AM3340" s="72"/>
    </row>
    <row r="3341" spans="1:39" x14ac:dyDescent="0.25">
      <c r="A3341" s="37" t="s">
        <v>62</v>
      </c>
      <c r="B3341" s="66" t="s">
        <v>1644</v>
      </c>
      <c r="C3341" s="4">
        <v>1012</v>
      </c>
      <c r="D3341" s="41" t="s">
        <v>314</v>
      </c>
      <c r="E3341" s="41">
        <v>10120043</v>
      </c>
      <c r="F3341" s="85" t="s">
        <v>339</v>
      </c>
      <c r="G3341" s="39" t="s">
        <v>93</v>
      </c>
      <c r="H3341" s="52" t="s">
        <v>94</v>
      </c>
      <c r="I3341" s="52">
        <v>208.64000000000004</v>
      </c>
      <c r="J3341" s="49">
        <v>9475.5546577392815</v>
      </c>
      <c r="K3341" s="58">
        <v>220.26000000000002</v>
      </c>
      <c r="L3341" s="58">
        <v>9932.9175830712811</v>
      </c>
      <c r="M3341" s="58">
        <v>0</v>
      </c>
      <c r="N3341" s="58">
        <v>0</v>
      </c>
      <c r="O3341" s="58">
        <v>220.26000000000002</v>
      </c>
      <c r="P3341" s="53">
        <v>9932.9175830712811</v>
      </c>
      <c r="Q3341" s="65">
        <v>9475.5546577392815</v>
      </c>
      <c r="R3341" s="65">
        <v>0</v>
      </c>
      <c r="S3341" s="65">
        <v>0</v>
      </c>
      <c r="T3341" s="65">
        <v>457.36292533199958</v>
      </c>
      <c r="U3341" s="58">
        <v>0</v>
      </c>
      <c r="V3341" s="65">
        <v>500</v>
      </c>
      <c r="W3341" s="65">
        <v>0</v>
      </c>
      <c r="X3341" s="65">
        <v>8976</v>
      </c>
      <c r="Y3341" s="65">
        <v>0</v>
      </c>
      <c r="Z3341" s="51">
        <v>0</v>
      </c>
      <c r="AA3341" s="51">
        <v>0</v>
      </c>
      <c r="AB3341" s="102">
        <v>0</v>
      </c>
      <c r="AC3341" s="81">
        <f t="shared" si="160"/>
        <v>446.31025082695294</v>
      </c>
      <c r="AD3341" s="82">
        <f t="shared" si="161"/>
        <v>29.805714285714291</v>
      </c>
      <c r="AE3341" s="218">
        <v>-4.8267667894083911E-2</v>
      </c>
      <c r="AF3341">
        <v>1</v>
      </c>
      <c r="AH3341" t="str">
        <f t="shared" si="159"/>
        <v>DalsinghSarai</v>
      </c>
      <c r="AJ3341" s="72">
        <v>500</v>
      </c>
      <c r="AK3341" s="72"/>
      <c r="AL3341" s="72"/>
      <c r="AM3341" s="72"/>
    </row>
    <row r="3342" spans="1:39" x14ac:dyDescent="0.25">
      <c r="A3342" s="37" t="s">
        <v>62</v>
      </c>
      <c r="B3342" s="66" t="s">
        <v>1644</v>
      </c>
      <c r="C3342" s="4">
        <v>1012</v>
      </c>
      <c r="D3342" s="41" t="s">
        <v>314</v>
      </c>
      <c r="E3342" s="41">
        <v>10120046</v>
      </c>
      <c r="F3342" s="85" t="s">
        <v>340</v>
      </c>
      <c r="G3342" s="39" t="s">
        <v>93</v>
      </c>
      <c r="H3342" s="52" t="s">
        <v>94</v>
      </c>
      <c r="I3342" s="52">
        <v>1996.2999999999997</v>
      </c>
      <c r="J3342" s="49">
        <v>76514.241010980011</v>
      </c>
      <c r="K3342" s="58">
        <v>1461.5900000000004</v>
      </c>
      <c r="L3342" s="58">
        <v>56203.628881033059</v>
      </c>
      <c r="M3342" s="58">
        <v>523</v>
      </c>
      <c r="N3342" s="58">
        <v>20309.901052329402</v>
      </c>
      <c r="O3342" s="58">
        <v>1984.5900000000004</v>
      </c>
      <c r="P3342" s="53">
        <v>76513.529933362457</v>
      </c>
      <c r="Q3342" s="65">
        <v>76513.529933362457</v>
      </c>
      <c r="R3342" s="65">
        <v>0</v>
      </c>
      <c r="S3342" s="65">
        <v>759.81973830000015</v>
      </c>
      <c r="T3342" s="65">
        <v>0</v>
      </c>
      <c r="U3342" s="58">
        <v>0</v>
      </c>
      <c r="V3342" s="65">
        <v>0</v>
      </c>
      <c r="W3342" s="65">
        <v>0</v>
      </c>
      <c r="X3342" s="65">
        <v>56204</v>
      </c>
      <c r="Y3342" s="65">
        <v>19550</v>
      </c>
      <c r="Z3342" s="51">
        <v>0</v>
      </c>
      <c r="AA3342" s="51">
        <v>0</v>
      </c>
      <c r="AB3342" s="102">
        <v>0</v>
      </c>
      <c r="AC3342" s="81">
        <f t="shared" si="160"/>
        <v>0</v>
      </c>
      <c r="AD3342" s="82">
        <f t="shared" si="161"/>
        <v>0</v>
      </c>
      <c r="AE3342" s="218">
        <v>9.2934022236732226E-6</v>
      </c>
      <c r="AF3342">
        <v>31</v>
      </c>
      <c r="AH3342" t="str">
        <f t="shared" si="159"/>
        <v>DalsinghSarai</v>
      </c>
      <c r="AJ3342" s="72">
        <v>0</v>
      </c>
      <c r="AK3342" s="72"/>
      <c r="AL3342" s="72"/>
      <c r="AM3342" s="72"/>
    </row>
    <row r="3343" spans="1:39" x14ac:dyDescent="0.25">
      <c r="A3343" s="37" t="s">
        <v>62</v>
      </c>
      <c r="B3343" s="66" t="s">
        <v>1644</v>
      </c>
      <c r="C3343" s="4">
        <v>1012</v>
      </c>
      <c r="D3343" s="41" t="s">
        <v>314</v>
      </c>
      <c r="E3343" s="41">
        <v>10120049</v>
      </c>
      <c r="F3343" s="85" t="s">
        <v>341</v>
      </c>
      <c r="G3343" s="39" t="s">
        <v>635</v>
      </c>
      <c r="H3343" s="52" t="s">
        <v>99</v>
      </c>
      <c r="I3343" s="52">
        <v>439.86000000000007</v>
      </c>
      <c r="J3343" s="49">
        <v>20115.411178509654</v>
      </c>
      <c r="K3343" s="58">
        <v>0</v>
      </c>
      <c r="L3343" s="58">
        <v>0</v>
      </c>
      <c r="M3343" s="58">
        <v>0</v>
      </c>
      <c r="N3343" s="58">
        <v>0</v>
      </c>
      <c r="O3343" s="58">
        <v>0</v>
      </c>
      <c r="P3343" s="53">
        <v>0</v>
      </c>
      <c r="Q3343" s="65">
        <v>20115.411178509654</v>
      </c>
      <c r="R3343" s="65">
        <v>0</v>
      </c>
      <c r="S3343" s="65">
        <v>0</v>
      </c>
      <c r="T3343" s="65">
        <v>0</v>
      </c>
      <c r="U3343" s="58">
        <v>6000</v>
      </c>
      <c r="V3343" s="65">
        <v>0</v>
      </c>
      <c r="W3343" s="65">
        <v>0</v>
      </c>
      <c r="X3343" s="65">
        <v>0</v>
      </c>
      <c r="Y3343" s="65">
        <v>0</v>
      </c>
      <c r="Z3343" s="51">
        <v>14115.411178509654</v>
      </c>
      <c r="AA3343" s="51">
        <v>0</v>
      </c>
      <c r="AB3343" s="102">
        <v>0</v>
      </c>
      <c r="AC3343" s="81">
        <f t="shared" si="160"/>
        <v>237.93129923055059</v>
      </c>
      <c r="AD3343" s="82">
        <f t="shared" si="161"/>
        <v>62.837142857142865</v>
      </c>
      <c r="AE3343" s="218">
        <v>0</v>
      </c>
      <c r="AF3343">
        <v>0</v>
      </c>
      <c r="AH3343" t="str">
        <f t="shared" si="159"/>
        <v>DalsinghSarai</v>
      </c>
      <c r="AJ3343" s="72">
        <v>0</v>
      </c>
      <c r="AK3343" s="72"/>
      <c r="AL3343" s="72"/>
      <c r="AM3343" s="72"/>
    </row>
    <row r="3344" spans="1:39" x14ac:dyDescent="0.25">
      <c r="A3344" s="37" t="s">
        <v>62</v>
      </c>
      <c r="B3344" s="66" t="s">
        <v>1644</v>
      </c>
      <c r="C3344" s="4">
        <v>1012</v>
      </c>
      <c r="D3344" s="41" t="s">
        <v>314</v>
      </c>
      <c r="E3344" s="41">
        <v>10120050</v>
      </c>
      <c r="F3344" s="85" t="s">
        <v>342</v>
      </c>
      <c r="G3344" s="39" t="s">
        <v>635</v>
      </c>
      <c r="H3344" s="52" t="s">
        <v>99</v>
      </c>
      <c r="I3344" s="52">
        <v>1865.3</v>
      </c>
      <c r="J3344" s="49">
        <v>94960.850127758415</v>
      </c>
      <c r="K3344" s="58">
        <v>0</v>
      </c>
      <c r="L3344" s="58">
        <v>0</v>
      </c>
      <c r="M3344" s="58">
        <v>0</v>
      </c>
      <c r="N3344" s="58">
        <v>0</v>
      </c>
      <c r="O3344" s="58">
        <v>0</v>
      </c>
      <c r="P3344" s="53">
        <v>0</v>
      </c>
      <c r="Q3344" s="65">
        <v>94960.850127758415</v>
      </c>
      <c r="R3344" s="65">
        <v>0</v>
      </c>
      <c r="S3344" s="65">
        <v>0</v>
      </c>
      <c r="T3344" s="65">
        <v>0</v>
      </c>
      <c r="U3344" s="58">
        <v>0</v>
      </c>
      <c r="V3344" s="65">
        <v>0</v>
      </c>
      <c r="W3344" s="65">
        <v>0</v>
      </c>
      <c r="X3344" s="65">
        <v>0</v>
      </c>
      <c r="Y3344" s="65">
        <v>0</v>
      </c>
      <c r="Z3344" s="51">
        <v>94960.850127758415</v>
      </c>
      <c r="AA3344" s="51">
        <v>0</v>
      </c>
      <c r="AB3344" s="102">
        <v>0</v>
      </c>
      <c r="AC3344" s="81">
        <f t="shared" si="160"/>
        <v>0</v>
      </c>
      <c r="AD3344" s="82">
        <f t="shared" si="161"/>
        <v>0</v>
      </c>
      <c r="AE3344" s="218">
        <v>0</v>
      </c>
      <c r="AF3344">
        <v>0</v>
      </c>
      <c r="AH3344" t="str">
        <f t="shared" si="159"/>
        <v>DalsinghSarai</v>
      </c>
      <c r="AJ3344" s="72">
        <v>0</v>
      </c>
      <c r="AK3344" s="72"/>
      <c r="AL3344" s="72"/>
      <c r="AM3344" s="72"/>
    </row>
    <row r="3345" spans="1:39" x14ac:dyDescent="0.25">
      <c r="A3345" s="37" t="s">
        <v>62</v>
      </c>
      <c r="B3345" s="66" t="s">
        <v>1644</v>
      </c>
      <c r="C3345" s="4">
        <v>1012</v>
      </c>
      <c r="D3345" s="41" t="s">
        <v>314</v>
      </c>
      <c r="E3345" s="41">
        <v>10120051</v>
      </c>
      <c r="F3345" s="85" t="s">
        <v>343</v>
      </c>
      <c r="G3345" s="39" t="s">
        <v>93</v>
      </c>
      <c r="H3345" s="52" t="s">
        <v>94</v>
      </c>
      <c r="I3345" s="52">
        <v>297.33</v>
      </c>
      <c r="J3345" s="49">
        <v>12110.798646597003</v>
      </c>
      <c r="K3345" s="58">
        <v>203.39000000000004</v>
      </c>
      <c r="L3345" s="58">
        <v>8671.0563907002052</v>
      </c>
      <c r="M3345" s="58">
        <v>144.82999999999998</v>
      </c>
      <c r="N3345" s="58">
        <v>6351.7660421386599</v>
      </c>
      <c r="O3345" s="58">
        <v>348.22</v>
      </c>
      <c r="P3345" s="53">
        <v>15022.822432838864</v>
      </c>
      <c r="Q3345" s="65">
        <v>12110.798646597003</v>
      </c>
      <c r="R3345" s="65">
        <v>0</v>
      </c>
      <c r="S3345" s="65">
        <v>0</v>
      </c>
      <c r="T3345" s="65">
        <v>2912.0237862418617</v>
      </c>
      <c r="U3345" s="58">
        <v>0</v>
      </c>
      <c r="V3345" s="65">
        <v>0</v>
      </c>
      <c r="W3345" s="65">
        <v>0</v>
      </c>
      <c r="X3345" s="65">
        <v>5758</v>
      </c>
      <c r="Y3345" s="65">
        <v>6353</v>
      </c>
      <c r="Z3345" s="51">
        <v>0</v>
      </c>
      <c r="AA3345" s="51">
        <v>0</v>
      </c>
      <c r="AB3345" s="102">
        <v>0</v>
      </c>
      <c r="AC3345" s="81">
        <f t="shared" si="160"/>
        <v>328.02981811624903</v>
      </c>
      <c r="AD3345" s="82">
        <f t="shared" si="161"/>
        <v>42.475714285714282</v>
      </c>
      <c r="AE3345" s="218">
        <v>-0.24044853450355294</v>
      </c>
      <c r="AF3345">
        <v>8</v>
      </c>
      <c r="AH3345" t="str">
        <f t="shared" si="159"/>
        <v>DalsinghSarai</v>
      </c>
      <c r="AJ3345" s="72">
        <v>0</v>
      </c>
      <c r="AK3345" s="72"/>
      <c r="AL3345" s="72"/>
      <c r="AM3345" s="72"/>
    </row>
    <row r="3346" spans="1:39" x14ac:dyDescent="0.25">
      <c r="A3346" s="37" t="s">
        <v>62</v>
      </c>
      <c r="B3346" s="66" t="s">
        <v>1644</v>
      </c>
      <c r="C3346" s="4">
        <v>1012</v>
      </c>
      <c r="D3346" s="41" t="s">
        <v>314</v>
      </c>
      <c r="E3346" s="41">
        <v>10120052</v>
      </c>
      <c r="F3346" s="85" t="s">
        <v>344</v>
      </c>
      <c r="G3346" s="39" t="s">
        <v>93</v>
      </c>
      <c r="H3346" s="52" t="s">
        <v>94</v>
      </c>
      <c r="I3346" s="52">
        <v>1840.2600000000002</v>
      </c>
      <c r="J3346" s="49">
        <v>72812.389079760003</v>
      </c>
      <c r="K3346" s="58">
        <v>1077.21</v>
      </c>
      <c r="L3346" s="58">
        <v>43703.865304767802</v>
      </c>
      <c r="M3346" s="58">
        <v>797.58999999999992</v>
      </c>
      <c r="N3346" s="58">
        <v>30826.124307334361</v>
      </c>
      <c r="O3346" s="58">
        <v>1874.8</v>
      </c>
      <c r="P3346" s="53">
        <v>74529.989612102159</v>
      </c>
      <c r="Q3346" s="65">
        <v>72812.389079760003</v>
      </c>
      <c r="R3346" s="65">
        <v>0</v>
      </c>
      <c r="S3346" s="65">
        <v>354.4874883</v>
      </c>
      <c r="T3346" s="65">
        <v>1717.6005323421559</v>
      </c>
      <c r="U3346" s="58">
        <v>2700</v>
      </c>
      <c r="V3346" s="65">
        <v>0</v>
      </c>
      <c r="W3346" s="65">
        <v>0</v>
      </c>
      <c r="X3346" s="65">
        <v>39287</v>
      </c>
      <c r="Y3346" s="65">
        <v>30471</v>
      </c>
      <c r="Z3346" s="51">
        <v>0</v>
      </c>
      <c r="AA3346" s="51">
        <v>0</v>
      </c>
      <c r="AB3346" s="102">
        <v>0</v>
      </c>
      <c r="AC3346" s="81">
        <f t="shared" si="160"/>
        <v>0</v>
      </c>
      <c r="AD3346" s="82">
        <f t="shared" si="161"/>
        <v>0</v>
      </c>
      <c r="AE3346" s="218">
        <v>-2.3589399469651592E-2</v>
      </c>
      <c r="AF3346">
        <v>8</v>
      </c>
      <c r="AH3346" t="str">
        <f t="shared" si="159"/>
        <v>DalsinghSarai</v>
      </c>
      <c r="AJ3346" s="72">
        <v>0</v>
      </c>
      <c r="AK3346" s="72"/>
      <c r="AL3346" s="72"/>
      <c r="AM3346" s="72"/>
    </row>
    <row r="3347" spans="1:39" x14ac:dyDescent="0.25">
      <c r="A3347" s="37" t="s">
        <v>62</v>
      </c>
      <c r="B3347" s="66" t="s">
        <v>1644</v>
      </c>
      <c r="C3347" s="4">
        <v>1012</v>
      </c>
      <c r="D3347" s="41" t="s">
        <v>314</v>
      </c>
      <c r="E3347" s="41">
        <v>10120053</v>
      </c>
      <c r="F3347" s="85" t="s">
        <v>345</v>
      </c>
      <c r="G3347" s="39" t="s">
        <v>93</v>
      </c>
      <c r="H3347" s="52" t="s">
        <v>94</v>
      </c>
      <c r="I3347" s="52">
        <v>241.78</v>
      </c>
      <c r="J3347" s="49">
        <v>9298.1494818720003</v>
      </c>
      <c r="K3347" s="58">
        <v>247.65000000000003</v>
      </c>
      <c r="L3347" s="58">
        <v>8651.7210386996594</v>
      </c>
      <c r="M3347" s="58">
        <v>0</v>
      </c>
      <c r="N3347" s="58">
        <v>0</v>
      </c>
      <c r="O3347" s="58">
        <v>247.65000000000003</v>
      </c>
      <c r="P3347" s="53">
        <v>8651.7210386996594</v>
      </c>
      <c r="Q3347" s="65">
        <v>8651.7210386996594</v>
      </c>
      <c r="R3347" s="65">
        <v>0</v>
      </c>
      <c r="S3347" s="65">
        <v>0</v>
      </c>
      <c r="T3347" s="65">
        <v>0</v>
      </c>
      <c r="U3347" s="58">
        <v>750</v>
      </c>
      <c r="V3347" s="65">
        <v>0</v>
      </c>
      <c r="W3347" s="65">
        <v>0</v>
      </c>
      <c r="X3347" s="65">
        <v>7903</v>
      </c>
      <c r="Y3347" s="65">
        <v>0</v>
      </c>
      <c r="Z3347" s="51">
        <v>0</v>
      </c>
      <c r="AA3347" s="51">
        <v>645</v>
      </c>
      <c r="AB3347" s="102" t="s">
        <v>68</v>
      </c>
      <c r="AC3347" s="81">
        <f t="shared" si="160"/>
        <v>352.43593809110666</v>
      </c>
      <c r="AD3347" s="82">
        <f t="shared" si="161"/>
        <v>34.54</v>
      </c>
      <c r="AE3347" s="218">
        <v>6.9522268321523598E-2</v>
      </c>
      <c r="AF3347">
        <v>11</v>
      </c>
      <c r="AH3347" t="str">
        <f t="shared" si="159"/>
        <v>DalsinghSarai</v>
      </c>
      <c r="AJ3347" s="72">
        <v>0</v>
      </c>
      <c r="AK3347" s="72"/>
      <c r="AL3347" s="72"/>
      <c r="AM3347" s="72"/>
    </row>
    <row r="3348" spans="1:39" x14ac:dyDescent="0.25">
      <c r="A3348" s="37" t="s">
        <v>62</v>
      </c>
      <c r="B3348" s="66" t="s">
        <v>1644</v>
      </c>
      <c r="C3348" s="4">
        <v>1012</v>
      </c>
      <c r="D3348" s="41" t="s">
        <v>314</v>
      </c>
      <c r="E3348" s="41">
        <v>10120060</v>
      </c>
      <c r="F3348" s="85" t="s">
        <v>347</v>
      </c>
      <c r="G3348" s="39" t="s">
        <v>635</v>
      </c>
      <c r="H3348" s="52" t="s">
        <v>99</v>
      </c>
      <c r="I3348" s="52">
        <v>965</v>
      </c>
      <c r="J3348" s="49">
        <v>35740.031778000004</v>
      </c>
      <c r="K3348" s="58">
        <v>0</v>
      </c>
      <c r="L3348" s="58">
        <v>0</v>
      </c>
      <c r="M3348" s="58">
        <v>0</v>
      </c>
      <c r="N3348" s="58">
        <v>0</v>
      </c>
      <c r="O3348" s="58">
        <v>0</v>
      </c>
      <c r="P3348" s="53">
        <v>0</v>
      </c>
      <c r="Q3348" s="65">
        <v>35740.031778000004</v>
      </c>
      <c r="R3348" s="65">
        <v>0</v>
      </c>
      <c r="S3348" s="65">
        <v>0</v>
      </c>
      <c r="T3348" s="65">
        <v>0</v>
      </c>
      <c r="U3348" s="58">
        <v>0</v>
      </c>
      <c r="V3348" s="65">
        <v>0</v>
      </c>
      <c r="W3348" s="65">
        <v>0</v>
      </c>
      <c r="X3348" s="65">
        <v>0</v>
      </c>
      <c r="Y3348" s="65">
        <v>0</v>
      </c>
      <c r="Z3348" s="51">
        <v>35740.031778000004</v>
      </c>
      <c r="AA3348" s="51">
        <v>0</v>
      </c>
      <c r="AB3348" s="102">
        <v>0</v>
      </c>
      <c r="AC3348" s="81">
        <f t="shared" si="160"/>
        <v>0</v>
      </c>
      <c r="AD3348" s="82">
        <f t="shared" si="161"/>
        <v>0</v>
      </c>
      <c r="AE3348" s="218">
        <v>0</v>
      </c>
      <c r="AF3348">
        <v>0</v>
      </c>
      <c r="AH3348" t="str">
        <f t="shared" si="159"/>
        <v>DalsinghSarai</v>
      </c>
      <c r="AJ3348" s="72">
        <v>0</v>
      </c>
      <c r="AK3348" s="72"/>
      <c r="AL3348" s="72"/>
      <c r="AM3348" s="72"/>
    </row>
    <row r="3349" spans="1:39" x14ac:dyDescent="0.25">
      <c r="A3349" s="37" t="s">
        <v>62</v>
      </c>
      <c r="B3349" s="66" t="s">
        <v>1644</v>
      </c>
      <c r="C3349" s="4">
        <v>1012</v>
      </c>
      <c r="D3349" s="41" t="s">
        <v>314</v>
      </c>
      <c r="E3349" s="41">
        <v>10120066</v>
      </c>
      <c r="F3349" s="85" t="s">
        <v>348</v>
      </c>
      <c r="G3349" s="39" t="s">
        <v>635</v>
      </c>
      <c r="H3349" s="52" t="s">
        <v>99</v>
      </c>
      <c r="I3349" s="52">
        <v>134.32</v>
      </c>
      <c r="J3349" s="49">
        <v>5086.4348609220015</v>
      </c>
      <c r="K3349" s="58">
        <v>0</v>
      </c>
      <c r="L3349" s="58">
        <v>0</v>
      </c>
      <c r="M3349" s="58">
        <v>0</v>
      </c>
      <c r="N3349" s="58">
        <v>0</v>
      </c>
      <c r="O3349" s="58">
        <v>0</v>
      </c>
      <c r="P3349" s="53">
        <v>0</v>
      </c>
      <c r="Q3349" s="65">
        <v>5086.4348609220015</v>
      </c>
      <c r="R3349" s="65">
        <v>0</v>
      </c>
      <c r="S3349" s="65">
        <v>0</v>
      </c>
      <c r="T3349" s="65">
        <v>0</v>
      </c>
      <c r="U3349" s="58">
        <v>0</v>
      </c>
      <c r="V3349" s="65">
        <v>0</v>
      </c>
      <c r="W3349" s="65">
        <v>0</v>
      </c>
      <c r="X3349" s="65">
        <v>0</v>
      </c>
      <c r="Y3349" s="65">
        <v>0</v>
      </c>
      <c r="Z3349" s="51">
        <v>5086.4348609220015</v>
      </c>
      <c r="AA3349" s="51">
        <v>0</v>
      </c>
      <c r="AB3349" s="102">
        <v>0</v>
      </c>
      <c r="AC3349" s="81">
        <f t="shared" si="160"/>
        <v>428.42383444406755</v>
      </c>
      <c r="AD3349" s="82">
        <f t="shared" si="161"/>
        <v>19.188571428571429</v>
      </c>
      <c r="AE3349" s="218">
        <v>0</v>
      </c>
      <c r="AF3349">
        <v>0</v>
      </c>
      <c r="AH3349" t="str">
        <f t="shared" si="159"/>
        <v>DalsinghSarai</v>
      </c>
      <c r="AJ3349" s="72">
        <v>0</v>
      </c>
      <c r="AK3349" s="72"/>
      <c r="AL3349" s="72"/>
      <c r="AM3349" s="72"/>
    </row>
    <row r="3350" spans="1:39" x14ac:dyDescent="0.25">
      <c r="A3350" s="37" t="s">
        <v>62</v>
      </c>
      <c r="B3350" s="66" t="s">
        <v>1644</v>
      </c>
      <c r="C3350" s="4">
        <v>1012</v>
      </c>
      <c r="D3350" s="41" t="s">
        <v>314</v>
      </c>
      <c r="E3350" s="41">
        <v>10120071</v>
      </c>
      <c r="F3350" s="85" t="s">
        <v>349</v>
      </c>
      <c r="G3350" s="39" t="s">
        <v>93</v>
      </c>
      <c r="H3350" s="52" t="s">
        <v>94</v>
      </c>
      <c r="I3350" s="52">
        <v>672.98</v>
      </c>
      <c r="J3350" s="49">
        <v>26722.529595636006</v>
      </c>
      <c r="K3350" s="58">
        <v>96.62</v>
      </c>
      <c r="L3350" s="58">
        <v>3739.9213407357001</v>
      </c>
      <c r="M3350" s="58">
        <v>589.56000000000006</v>
      </c>
      <c r="N3350" s="58">
        <v>23301.789936917015</v>
      </c>
      <c r="O3350" s="58">
        <v>686.18000000000006</v>
      </c>
      <c r="P3350" s="53">
        <v>27041.711277652714</v>
      </c>
      <c r="Q3350" s="65">
        <v>26722.529595636006</v>
      </c>
      <c r="R3350" s="65">
        <v>0</v>
      </c>
      <c r="S3350" s="65">
        <v>0</v>
      </c>
      <c r="T3350" s="65">
        <v>319.18168201670778</v>
      </c>
      <c r="U3350" s="58">
        <v>0</v>
      </c>
      <c r="V3350" s="65">
        <v>0</v>
      </c>
      <c r="W3350" s="65">
        <v>0</v>
      </c>
      <c r="X3350" s="65">
        <v>3422</v>
      </c>
      <c r="Y3350" s="65">
        <v>23301</v>
      </c>
      <c r="Z3350" s="51">
        <v>0</v>
      </c>
      <c r="AA3350" s="51">
        <v>0</v>
      </c>
      <c r="AB3350" s="102">
        <v>0</v>
      </c>
      <c r="AC3350" s="81">
        <f t="shared" si="160"/>
        <v>21.458074524475755</v>
      </c>
      <c r="AD3350" s="82">
        <f t="shared" si="161"/>
        <v>96.14</v>
      </c>
      <c r="AE3350" s="218">
        <v>-1.1944291459175055E-2</v>
      </c>
      <c r="AF3350">
        <v>13</v>
      </c>
      <c r="AH3350" t="str">
        <f t="shared" si="159"/>
        <v>DalsinghSarai</v>
      </c>
      <c r="AJ3350" s="72">
        <v>0</v>
      </c>
      <c r="AK3350" s="72"/>
      <c r="AL3350" s="72"/>
      <c r="AM3350" s="72"/>
    </row>
    <row r="3351" spans="1:39" x14ac:dyDescent="0.25">
      <c r="A3351" s="37" t="s">
        <v>62</v>
      </c>
      <c r="B3351" s="66" t="s">
        <v>1644</v>
      </c>
      <c r="C3351" s="4">
        <v>1012</v>
      </c>
      <c r="D3351" s="41" t="s">
        <v>314</v>
      </c>
      <c r="E3351" s="41">
        <v>10120083</v>
      </c>
      <c r="F3351" s="85" t="s">
        <v>441</v>
      </c>
      <c r="G3351" s="39" t="s">
        <v>93</v>
      </c>
      <c r="H3351" s="52" t="s">
        <v>94</v>
      </c>
      <c r="I3351" s="52">
        <v>631.92000000000007</v>
      </c>
      <c r="J3351" s="49">
        <v>24964.169144343003</v>
      </c>
      <c r="K3351" s="58">
        <v>631.84</v>
      </c>
      <c r="L3351" s="58">
        <v>24961.130415771</v>
      </c>
      <c r="M3351" s="58">
        <v>0</v>
      </c>
      <c r="N3351" s="58">
        <v>0</v>
      </c>
      <c r="O3351" s="58">
        <v>631.84</v>
      </c>
      <c r="P3351" s="53">
        <v>24961.130415771</v>
      </c>
      <c r="Q3351" s="65">
        <v>24961.130415771</v>
      </c>
      <c r="R3351" s="65">
        <v>0</v>
      </c>
      <c r="S3351" s="65">
        <v>0</v>
      </c>
      <c r="T3351" s="65">
        <v>0</v>
      </c>
      <c r="U3351" s="58">
        <v>24961</v>
      </c>
      <c r="V3351" s="65">
        <v>0</v>
      </c>
      <c r="W3351" s="65">
        <v>0</v>
      </c>
      <c r="X3351" s="65">
        <v>0</v>
      </c>
      <c r="Y3351" s="65">
        <v>0</v>
      </c>
      <c r="Z3351" s="51">
        <v>0</v>
      </c>
      <c r="AA3351" s="51">
        <v>3</v>
      </c>
      <c r="AB3351" s="102">
        <v>0</v>
      </c>
      <c r="AC3351" s="81">
        <f t="shared" si="160"/>
        <v>53.790373317725965</v>
      </c>
      <c r="AD3351" s="82">
        <f t="shared" si="161"/>
        <v>90.274285714285725</v>
      </c>
      <c r="AE3351" s="218">
        <v>1.2172360131164922E-4</v>
      </c>
      <c r="AF3351">
        <v>1</v>
      </c>
      <c r="AH3351" t="str">
        <f t="shared" si="159"/>
        <v>DalsinghSarai</v>
      </c>
      <c r="AJ3351" s="72">
        <v>0</v>
      </c>
      <c r="AK3351" s="72"/>
      <c r="AL3351" s="72"/>
      <c r="AM3351" s="72"/>
    </row>
    <row r="3352" spans="1:39" x14ac:dyDescent="0.25">
      <c r="A3352" s="37" t="s">
        <v>62</v>
      </c>
      <c r="B3352" s="66" t="s">
        <v>1644</v>
      </c>
      <c r="C3352" s="4">
        <v>1012</v>
      </c>
      <c r="D3352" s="41" t="s">
        <v>314</v>
      </c>
      <c r="E3352" s="41">
        <v>10120084</v>
      </c>
      <c r="F3352" s="85" t="s">
        <v>446</v>
      </c>
      <c r="G3352" s="39" t="s">
        <v>93</v>
      </c>
      <c r="H3352" s="52" t="s">
        <v>94</v>
      </c>
      <c r="I3352" s="52">
        <v>1757.81</v>
      </c>
      <c r="J3352" s="49">
        <v>87078.055736246693</v>
      </c>
      <c r="K3352" s="58">
        <v>773.15</v>
      </c>
      <c r="L3352" s="58">
        <v>38307.865198569314</v>
      </c>
      <c r="M3352" s="58">
        <v>1026.95</v>
      </c>
      <c r="N3352" s="58">
        <v>53740.782783567454</v>
      </c>
      <c r="O3352" s="58">
        <v>1800.1</v>
      </c>
      <c r="P3352" s="53">
        <v>92048.647982136768</v>
      </c>
      <c r="Q3352" s="65">
        <v>87078.055736246693</v>
      </c>
      <c r="R3352" s="65">
        <v>0</v>
      </c>
      <c r="S3352" s="65">
        <v>0</v>
      </c>
      <c r="T3352" s="65">
        <v>4970.592245890075</v>
      </c>
      <c r="U3352" s="58">
        <v>0</v>
      </c>
      <c r="V3352" s="65">
        <v>0</v>
      </c>
      <c r="W3352" s="65">
        <v>0</v>
      </c>
      <c r="X3352" s="65">
        <v>33337</v>
      </c>
      <c r="Y3352" s="65">
        <v>53741</v>
      </c>
      <c r="Z3352" s="51">
        <v>0</v>
      </c>
      <c r="AA3352" s="51">
        <v>0</v>
      </c>
      <c r="AB3352" s="102">
        <v>0</v>
      </c>
      <c r="AC3352" s="81">
        <f t="shared" si="160"/>
        <v>0</v>
      </c>
      <c r="AD3352" s="82">
        <f t="shared" si="161"/>
        <v>0</v>
      </c>
      <c r="AE3352" s="218">
        <v>-5.7082030643238628E-2</v>
      </c>
      <c r="AF3352">
        <v>26</v>
      </c>
      <c r="AH3352" t="str">
        <f t="shared" si="159"/>
        <v>DalsinghSarai</v>
      </c>
      <c r="AJ3352" s="72">
        <v>0</v>
      </c>
      <c r="AK3352" s="72"/>
      <c r="AL3352" s="72"/>
      <c r="AM3352" s="72"/>
    </row>
    <row r="3353" spans="1:39" x14ac:dyDescent="0.25">
      <c r="A3353" s="37" t="s">
        <v>62</v>
      </c>
      <c r="B3353" s="66" t="s">
        <v>1644</v>
      </c>
      <c r="C3353" s="4">
        <v>1012</v>
      </c>
      <c r="D3353" s="41" t="s">
        <v>314</v>
      </c>
      <c r="E3353" s="41">
        <v>10120086</v>
      </c>
      <c r="F3353" s="85" t="s">
        <v>442</v>
      </c>
      <c r="G3353" s="39" t="s">
        <v>635</v>
      </c>
      <c r="H3353" s="52" t="s">
        <v>99</v>
      </c>
      <c r="I3353" s="52">
        <v>998.18</v>
      </c>
      <c r="J3353" s="49">
        <v>39898.892859751802</v>
      </c>
      <c r="K3353" s="58">
        <v>0</v>
      </c>
      <c r="L3353" s="58">
        <v>0</v>
      </c>
      <c r="M3353" s="58">
        <v>0</v>
      </c>
      <c r="N3353" s="58">
        <v>0</v>
      </c>
      <c r="O3353" s="58">
        <v>0</v>
      </c>
      <c r="P3353" s="53">
        <v>0</v>
      </c>
      <c r="Q3353" s="65">
        <v>39898.892859751802</v>
      </c>
      <c r="R3353" s="65">
        <v>0</v>
      </c>
      <c r="S3353" s="65">
        <v>0</v>
      </c>
      <c r="T3353" s="65">
        <v>0</v>
      </c>
      <c r="U3353" s="58">
        <v>0</v>
      </c>
      <c r="V3353" s="65">
        <v>0</v>
      </c>
      <c r="W3353" s="65">
        <v>0</v>
      </c>
      <c r="X3353" s="65">
        <v>0</v>
      </c>
      <c r="Y3353" s="65">
        <v>0</v>
      </c>
      <c r="Z3353" s="51">
        <v>39898.892859751802</v>
      </c>
      <c r="AA3353" s="51">
        <v>0</v>
      </c>
      <c r="AB3353" s="102">
        <v>0</v>
      </c>
      <c r="AC3353" s="81">
        <f t="shared" si="160"/>
        <v>0</v>
      </c>
      <c r="AD3353" s="82">
        <f t="shared" si="161"/>
        <v>0</v>
      </c>
      <c r="AE3353" s="218">
        <v>0</v>
      </c>
      <c r="AF3353">
        <v>0</v>
      </c>
      <c r="AH3353" t="str">
        <f t="shared" si="159"/>
        <v>DalsinghSarai</v>
      </c>
      <c r="AJ3353" s="72">
        <v>0</v>
      </c>
      <c r="AK3353" s="72"/>
      <c r="AL3353" s="72"/>
      <c r="AM3353" s="72"/>
    </row>
    <row r="3354" spans="1:39" x14ac:dyDescent="0.25">
      <c r="A3354" s="37" t="s">
        <v>62</v>
      </c>
      <c r="B3354" s="66" t="s">
        <v>1644</v>
      </c>
      <c r="C3354" s="4">
        <v>1062</v>
      </c>
      <c r="D3354" s="41" t="s">
        <v>1443</v>
      </c>
      <c r="E3354" s="41">
        <v>10120088</v>
      </c>
      <c r="F3354" s="85" t="s">
        <v>1391</v>
      </c>
      <c r="G3354" s="39" t="s">
        <v>635</v>
      </c>
      <c r="H3354" s="52" t="s">
        <v>99</v>
      </c>
      <c r="I3354" s="52">
        <v>3428.9</v>
      </c>
      <c r="J3354" s="49">
        <v>131868.83539731</v>
      </c>
      <c r="K3354" s="58">
        <v>0</v>
      </c>
      <c r="L3354" s="58">
        <v>0</v>
      </c>
      <c r="M3354" s="58">
        <v>0</v>
      </c>
      <c r="N3354" s="58">
        <v>0</v>
      </c>
      <c r="O3354" s="58">
        <v>0</v>
      </c>
      <c r="P3354" s="53">
        <v>0</v>
      </c>
      <c r="Q3354" s="65">
        <v>131868.83539731</v>
      </c>
      <c r="R3354" s="65">
        <v>0</v>
      </c>
      <c r="S3354" s="65">
        <v>0</v>
      </c>
      <c r="T3354" s="65">
        <v>0</v>
      </c>
      <c r="U3354" s="58">
        <v>0</v>
      </c>
      <c r="V3354" s="65">
        <v>0</v>
      </c>
      <c r="W3354" s="65">
        <v>0</v>
      </c>
      <c r="X3354" s="65">
        <v>0</v>
      </c>
      <c r="Y3354" s="65">
        <v>0</v>
      </c>
      <c r="Z3354" s="51">
        <v>0</v>
      </c>
      <c r="AA3354" s="51">
        <v>131869</v>
      </c>
      <c r="AB3354" s="102" t="s">
        <v>65</v>
      </c>
      <c r="AC3354" s="81">
        <f t="shared" si="160"/>
        <v>0</v>
      </c>
      <c r="AD3354" s="82">
        <f t="shared" si="161"/>
        <v>0</v>
      </c>
      <c r="AE3354" s="218">
        <v>0</v>
      </c>
      <c r="AF3354">
        <v>0</v>
      </c>
      <c r="AH3354" t="str">
        <f t="shared" si="159"/>
        <v>Singhia BMC</v>
      </c>
      <c r="AJ3354" s="72">
        <v>0</v>
      </c>
      <c r="AK3354" s="72"/>
      <c r="AL3354" s="72"/>
      <c r="AM3354" s="72"/>
    </row>
    <row r="3355" spans="1:39" x14ac:dyDescent="0.25">
      <c r="A3355" s="37" t="s">
        <v>62</v>
      </c>
      <c r="B3355" s="66" t="s">
        <v>1644</v>
      </c>
      <c r="C3355" s="4">
        <v>1012</v>
      </c>
      <c r="D3355" s="41" t="s">
        <v>314</v>
      </c>
      <c r="E3355" s="41">
        <v>10120089</v>
      </c>
      <c r="F3355" s="85" t="s">
        <v>505</v>
      </c>
      <c r="G3355" s="39" t="s">
        <v>93</v>
      </c>
      <c r="H3355" s="52" t="s">
        <v>94</v>
      </c>
      <c r="I3355" s="52">
        <v>710.0200000000001</v>
      </c>
      <c r="J3355" s="49">
        <v>25500.617658359704</v>
      </c>
      <c r="K3355" s="58">
        <v>695.3</v>
      </c>
      <c r="L3355" s="58">
        <v>27062.194654962004</v>
      </c>
      <c r="M3355" s="58">
        <v>15.2</v>
      </c>
      <c r="N3355" s="58">
        <v>578.32633066200003</v>
      </c>
      <c r="O3355" s="58">
        <v>710.5</v>
      </c>
      <c r="P3355" s="53">
        <v>27640.520985624004</v>
      </c>
      <c r="Q3355" s="65">
        <v>25500.617658359704</v>
      </c>
      <c r="R3355" s="65">
        <v>0</v>
      </c>
      <c r="S3355" s="65">
        <v>54.832276872000008</v>
      </c>
      <c r="T3355" s="65">
        <v>2139.9033272642992</v>
      </c>
      <c r="U3355" s="58">
        <v>0</v>
      </c>
      <c r="V3355" s="65">
        <v>0</v>
      </c>
      <c r="W3355" s="65">
        <v>0</v>
      </c>
      <c r="X3355" s="65">
        <v>24922</v>
      </c>
      <c r="Y3355" s="65">
        <v>524</v>
      </c>
      <c r="Z3355" s="51">
        <v>0</v>
      </c>
      <c r="AA3355" s="51">
        <v>0</v>
      </c>
      <c r="AB3355" s="102">
        <v>0</v>
      </c>
      <c r="AC3355" s="81">
        <f t="shared" si="160"/>
        <v>0</v>
      </c>
      <c r="AD3355" s="82">
        <f t="shared" si="161"/>
        <v>0</v>
      </c>
      <c r="AE3355" s="218">
        <v>-8.3915744941291184E-2</v>
      </c>
      <c r="AF3355">
        <v>5</v>
      </c>
      <c r="AH3355" t="str">
        <f t="shared" si="159"/>
        <v>DalsinghSarai</v>
      </c>
      <c r="AJ3355" s="72">
        <v>0</v>
      </c>
      <c r="AK3355" s="72"/>
      <c r="AL3355" s="72"/>
      <c r="AM3355" s="72"/>
    </row>
    <row r="3356" spans="1:39" x14ac:dyDescent="0.25">
      <c r="A3356" s="37" t="s">
        <v>62</v>
      </c>
      <c r="B3356" s="66" t="s">
        <v>1644</v>
      </c>
      <c r="C3356" s="4">
        <v>1012</v>
      </c>
      <c r="D3356" s="41" t="s">
        <v>314</v>
      </c>
      <c r="E3356" s="41">
        <v>10120091</v>
      </c>
      <c r="F3356" s="85" t="s">
        <v>511</v>
      </c>
      <c r="G3356" s="39" t="s">
        <v>93</v>
      </c>
      <c r="H3356" s="52" t="s">
        <v>94</v>
      </c>
      <c r="I3356" s="52">
        <v>508.49999999999994</v>
      </c>
      <c r="J3356" s="49">
        <v>19770.667682878502</v>
      </c>
      <c r="K3356" s="58">
        <v>188.94</v>
      </c>
      <c r="L3356" s="58">
        <v>7373.4665686146</v>
      </c>
      <c r="M3356" s="58">
        <v>320.13</v>
      </c>
      <c r="N3356" s="58">
        <v>11959.141220985672</v>
      </c>
      <c r="O3356" s="58">
        <v>509.07</v>
      </c>
      <c r="P3356" s="53">
        <v>19332.607789600272</v>
      </c>
      <c r="Q3356" s="65">
        <v>19332.607789600272</v>
      </c>
      <c r="R3356" s="65">
        <v>0</v>
      </c>
      <c r="S3356" s="65">
        <v>416.71114894440001</v>
      </c>
      <c r="T3356" s="65">
        <v>0</v>
      </c>
      <c r="U3356" s="58">
        <v>0</v>
      </c>
      <c r="V3356" s="65">
        <v>0</v>
      </c>
      <c r="W3356" s="65">
        <v>0</v>
      </c>
      <c r="X3356" s="65">
        <v>7373</v>
      </c>
      <c r="Y3356" s="65">
        <v>11542</v>
      </c>
      <c r="Z3356" s="51">
        <v>0</v>
      </c>
      <c r="AA3356" s="51">
        <v>439</v>
      </c>
      <c r="AB3356" s="102">
        <v>0</v>
      </c>
      <c r="AC3356" s="81">
        <f t="shared" si="160"/>
        <v>148.91181361932092</v>
      </c>
      <c r="AD3356" s="82">
        <f t="shared" si="161"/>
        <v>72.642857142857139</v>
      </c>
      <c r="AE3356" s="218">
        <v>2.2157061172880497E-2</v>
      </c>
      <c r="AF3356">
        <v>13</v>
      </c>
      <c r="AH3356" t="str">
        <f t="shared" si="159"/>
        <v>DalsinghSarai</v>
      </c>
      <c r="AJ3356" s="72">
        <v>0</v>
      </c>
      <c r="AK3356" s="72"/>
      <c r="AL3356" s="72"/>
      <c r="AM3356" s="72"/>
    </row>
    <row r="3357" spans="1:39" x14ac:dyDescent="0.25">
      <c r="A3357" s="37" t="s">
        <v>62</v>
      </c>
      <c r="B3357" s="66" t="s">
        <v>1644</v>
      </c>
      <c r="C3357" s="4">
        <v>1012</v>
      </c>
      <c r="D3357" s="41" t="s">
        <v>314</v>
      </c>
      <c r="E3357" s="41">
        <v>10120094</v>
      </c>
      <c r="F3357" s="85" t="s">
        <v>518</v>
      </c>
      <c r="G3357" s="39" t="s">
        <v>93</v>
      </c>
      <c r="H3357" s="52" t="s">
        <v>94</v>
      </c>
      <c r="I3357" s="52">
        <v>789.53</v>
      </c>
      <c r="J3357" s="49">
        <v>34675.061433699848</v>
      </c>
      <c r="K3357" s="58">
        <v>128.77000000000001</v>
      </c>
      <c r="L3357" s="58">
        <v>5305.5193374016308</v>
      </c>
      <c r="M3357" s="58">
        <v>696.04000000000008</v>
      </c>
      <c r="N3357" s="58">
        <v>30127.31926010182</v>
      </c>
      <c r="O3357" s="58">
        <v>824.81000000000006</v>
      </c>
      <c r="P3357" s="53">
        <v>35432.838597503447</v>
      </c>
      <c r="Q3357" s="65">
        <v>34675.061433699848</v>
      </c>
      <c r="R3357" s="65">
        <v>0</v>
      </c>
      <c r="S3357" s="65">
        <v>0</v>
      </c>
      <c r="T3357" s="65">
        <v>757.77716380359925</v>
      </c>
      <c r="U3357" s="58">
        <v>757</v>
      </c>
      <c r="V3357" s="65">
        <v>0</v>
      </c>
      <c r="W3357" s="65">
        <v>0</v>
      </c>
      <c r="X3357" s="65">
        <v>3792</v>
      </c>
      <c r="Y3357" s="65">
        <v>30126</v>
      </c>
      <c r="Z3357" s="51">
        <v>0</v>
      </c>
      <c r="AA3357" s="51">
        <v>0</v>
      </c>
      <c r="AB3357" s="102">
        <v>0</v>
      </c>
      <c r="AC3357" s="81">
        <f t="shared" si="160"/>
        <v>0</v>
      </c>
      <c r="AD3357" s="82">
        <f t="shared" si="161"/>
        <v>0</v>
      </c>
      <c r="AE3357" s="218">
        <v>-2.1853664635966125E-2</v>
      </c>
      <c r="AF3357">
        <v>24</v>
      </c>
      <c r="AH3357" t="str">
        <f t="shared" si="159"/>
        <v>DalsinghSarai</v>
      </c>
      <c r="AJ3357" s="72">
        <v>0</v>
      </c>
      <c r="AK3357" s="72"/>
      <c r="AL3357" s="72"/>
      <c r="AM3357" s="72"/>
    </row>
    <row r="3358" spans="1:39" x14ac:dyDescent="0.25">
      <c r="A3358" s="37" t="s">
        <v>62</v>
      </c>
      <c r="B3358" s="66" t="s">
        <v>1644</v>
      </c>
      <c r="C3358" s="4">
        <v>1012</v>
      </c>
      <c r="D3358" s="41" t="s">
        <v>314</v>
      </c>
      <c r="E3358" s="41">
        <v>10120095</v>
      </c>
      <c r="F3358" s="85" t="s">
        <v>538</v>
      </c>
      <c r="G3358" s="39" t="s">
        <v>93</v>
      </c>
      <c r="H3358" s="52" t="s">
        <v>94</v>
      </c>
      <c r="I3358" s="52">
        <v>181.51999999999998</v>
      </c>
      <c r="J3358" s="49">
        <v>7330.4813638382402</v>
      </c>
      <c r="K3358" s="58">
        <v>82</v>
      </c>
      <c r="L3358" s="58">
        <v>3431.5459079999996</v>
      </c>
      <c r="M3358" s="58">
        <v>126</v>
      </c>
      <c r="N3358" s="58">
        <v>5367.6612989999994</v>
      </c>
      <c r="O3358" s="58">
        <v>208</v>
      </c>
      <c r="P3358" s="53">
        <v>8799.2072069999995</v>
      </c>
      <c r="Q3358" s="65">
        <v>7330.4813638382402</v>
      </c>
      <c r="R3358" s="65">
        <v>0</v>
      </c>
      <c r="S3358" s="65">
        <v>0</v>
      </c>
      <c r="T3358" s="65">
        <v>1468.7258431617593</v>
      </c>
      <c r="U3358" s="58">
        <v>0</v>
      </c>
      <c r="V3358" s="65">
        <v>500</v>
      </c>
      <c r="W3358" s="65">
        <v>0</v>
      </c>
      <c r="X3358" s="65">
        <v>1462</v>
      </c>
      <c r="Y3358" s="65">
        <v>5368</v>
      </c>
      <c r="Z3358" s="51">
        <v>0</v>
      </c>
      <c r="AA3358" s="51">
        <v>0</v>
      </c>
      <c r="AB3358" s="102">
        <v>0</v>
      </c>
      <c r="AC3358" s="81">
        <f t="shared" si="160"/>
        <v>418.76465155606559</v>
      </c>
      <c r="AD3358" s="82">
        <f t="shared" si="161"/>
        <v>25.931428571428569</v>
      </c>
      <c r="AE3358" s="218">
        <v>-0.20035871728793733</v>
      </c>
      <c r="AF3358">
        <v>3</v>
      </c>
      <c r="AH3358" t="str">
        <f t="shared" si="159"/>
        <v>DalsinghSarai</v>
      </c>
      <c r="AJ3358" s="72">
        <v>500</v>
      </c>
      <c r="AK3358" s="72"/>
      <c r="AL3358" s="72"/>
      <c r="AM3358" s="72"/>
    </row>
    <row r="3359" spans="1:39" x14ac:dyDescent="0.25">
      <c r="A3359" s="37" t="s">
        <v>62</v>
      </c>
      <c r="B3359" s="66" t="s">
        <v>1644</v>
      </c>
      <c r="C3359" s="4">
        <v>1012</v>
      </c>
      <c r="D3359" s="41" t="s">
        <v>314</v>
      </c>
      <c r="E3359" s="41">
        <v>10120096</v>
      </c>
      <c r="F3359" s="85" t="s">
        <v>519</v>
      </c>
      <c r="G3359" s="39" t="s">
        <v>635</v>
      </c>
      <c r="H3359" s="52" t="s">
        <v>99</v>
      </c>
      <c r="I3359" s="52">
        <v>1364.6899999999998</v>
      </c>
      <c r="J3359" s="49">
        <v>54358.734554293798</v>
      </c>
      <c r="K3359" s="58">
        <v>0</v>
      </c>
      <c r="L3359" s="58">
        <v>0</v>
      </c>
      <c r="M3359" s="58">
        <v>0</v>
      </c>
      <c r="N3359" s="58">
        <v>0</v>
      </c>
      <c r="O3359" s="58">
        <v>0</v>
      </c>
      <c r="P3359" s="53">
        <v>0</v>
      </c>
      <c r="Q3359" s="65">
        <v>54358.734554293798</v>
      </c>
      <c r="R3359" s="65">
        <v>0</v>
      </c>
      <c r="S3359" s="65">
        <v>0</v>
      </c>
      <c r="T3359" s="65">
        <v>0</v>
      </c>
      <c r="U3359" s="58">
        <v>54359</v>
      </c>
      <c r="V3359" s="65">
        <v>0</v>
      </c>
      <c r="W3359" s="65">
        <v>0</v>
      </c>
      <c r="X3359" s="65">
        <v>0</v>
      </c>
      <c r="Y3359" s="65">
        <v>0</v>
      </c>
      <c r="Z3359" s="51">
        <v>-0.26544570620171726</v>
      </c>
      <c r="AA3359" s="51">
        <v>0</v>
      </c>
      <c r="AB3359" s="102">
        <v>0</v>
      </c>
      <c r="AC3359" s="81">
        <f t="shared" si="160"/>
        <v>0</v>
      </c>
      <c r="AD3359" s="82">
        <f t="shared" si="161"/>
        <v>0</v>
      </c>
      <c r="AE3359" s="218">
        <v>0</v>
      </c>
      <c r="AF3359">
        <v>0</v>
      </c>
      <c r="AH3359" t="str">
        <f t="shared" si="159"/>
        <v>DalsinghSarai</v>
      </c>
      <c r="AJ3359" s="72">
        <v>0</v>
      </c>
      <c r="AK3359" s="72"/>
      <c r="AL3359" s="72"/>
      <c r="AM3359" s="72"/>
    </row>
    <row r="3360" spans="1:39" x14ac:dyDescent="0.25">
      <c r="A3360" s="37" t="s">
        <v>62</v>
      </c>
      <c r="B3360" s="66" t="s">
        <v>1644</v>
      </c>
      <c r="C3360" s="4">
        <v>1012</v>
      </c>
      <c r="D3360" s="41" t="s">
        <v>314</v>
      </c>
      <c r="E3360" s="41">
        <v>10120099</v>
      </c>
      <c r="F3360" s="85" t="s">
        <v>540</v>
      </c>
      <c r="G3360" s="39" t="s">
        <v>635</v>
      </c>
      <c r="H3360" s="52" t="s">
        <v>99</v>
      </c>
      <c r="I3360" s="52">
        <v>5511</v>
      </c>
      <c r="J3360" s="49">
        <v>215850.77546400001</v>
      </c>
      <c r="K3360" s="58">
        <v>0</v>
      </c>
      <c r="L3360" s="58">
        <v>0</v>
      </c>
      <c r="M3360" s="58">
        <v>0</v>
      </c>
      <c r="N3360" s="58">
        <v>0</v>
      </c>
      <c r="O3360" s="58">
        <v>0</v>
      </c>
      <c r="P3360" s="53">
        <v>0</v>
      </c>
      <c r="Q3360" s="65">
        <v>215850.77546400001</v>
      </c>
      <c r="R3360" s="65">
        <v>0</v>
      </c>
      <c r="S3360" s="65">
        <v>0</v>
      </c>
      <c r="T3360" s="65">
        <v>0</v>
      </c>
      <c r="U3360" s="58">
        <v>0</v>
      </c>
      <c r="V3360" s="65">
        <v>0</v>
      </c>
      <c r="W3360" s="65">
        <v>0</v>
      </c>
      <c r="X3360" s="65">
        <v>0</v>
      </c>
      <c r="Y3360" s="65">
        <v>0</v>
      </c>
      <c r="Z3360" s="51">
        <v>215850.77546400001</v>
      </c>
      <c r="AA3360" s="51">
        <v>0</v>
      </c>
      <c r="AB3360" s="102">
        <v>0</v>
      </c>
      <c r="AC3360" s="81">
        <f t="shared" si="160"/>
        <v>0</v>
      </c>
      <c r="AD3360" s="82">
        <f t="shared" si="161"/>
        <v>0</v>
      </c>
      <c r="AE3360" s="218">
        <v>0</v>
      </c>
      <c r="AF3360">
        <v>0</v>
      </c>
      <c r="AH3360" t="str">
        <f t="shared" si="159"/>
        <v>DalsinghSarai</v>
      </c>
      <c r="AJ3360" s="72">
        <v>0</v>
      </c>
      <c r="AK3360" s="72"/>
      <c r="AL3360" s="72"/>
      <c r="AM3360" s="72"/>
    </row>
    <row r="3361" spans="1:39" x14ac:dyDescent="0.25">
      <c r="A3361" s="37" t="s">
        <v>62</v>
      </c>
      <c r="B3361" s="66" t="s">
        <v>1644</v>
      </c>
      <c r="C3361" s="4">
        <v>1012</v>
      </c>
      <c r="D3361" s="41" t="s">
        <v>314</v>
      </c>
      <c r="E3361" s="41">
        <v>10120103</v>
      </c>
      <c r="F3361" s="85" t="s">
        <v>577</v>
      </c>
      <c r="G3361" s="39" t="s">
        <v>635</v>
      </c>
      <c r="H3361" s="52" t="s">
        <v>99</v>
      </c>
      <c r="I3361" s="52">
        <v>1178</v>
      </c>
      <c r="J3361" s="49">
        <v>47638.052286599996</v>
      </c>
      <c r="K3361" s="58">
        <v>0</v>
      </c>
      <c r="L3361" s="58">
        <v>0</v>
      </c>
      <c r="M3361" s="58">
        <v>0</v>
      </c>
      <c r="N3361" s="58">
        <v>0</v>
      </c>
      <c r="O3361" s="58">
        <v>0</v>
      </c>
      <c r="P3361" s="53">
        <v>0</v>
      </c>
      <c r="Q3361" s="65">
        <v>47638.052286599996</v>
      </c>
      <c r="R3361" s="65">
        <v>0</v>
      </c>
      <c r="S3361" s="65">
        <v>0</v>
      </c>
      <c r="T3361" s="65">
        <v>0</v>
      </c>
      <c r="U3361" s="58">
        <v>0</v>
      </c>
      <c r="V3361" s="65">
        <v>0</v>
      </c>
      <c r="W3361" s="65">
        <v>0</v>
      </c>
      <c r="X3361" s="65">
        <v>0</v>
      </c>
      <c r="Y3361" s="65">
        <v>0</v>
      </c>
      <c r="Z3361" s="51">
        <v>47638.052286599996</v>
      </c>
      <c r="AA3361" s="51">
        <v>0</v>
      </c>
      <c r="AB3361" s="102">
        <v>0</v>
      </c>
      <c r="AC3361" s="81">
        <f t="shared" si="160"/>
        <v>0</v>
      </c>
      <c r="AD3361" s="82">
        <f t="shared" si="161"/>
        <v>0</v>
      </c>
      <c r="AE3361" s="218">
        <v>0</v>
      </c>
      <c r="AF3361">
        <v>0</v>
      </c>
      <c r="AH3361" t="str">
        <f t="shared" si="159"/>
        <v>DalsinghSarai</v>
      </c>
      <c r="AJ3361" s="72">
        <v>0</v>
      </c>
      <c r="AK3361" s="72"/>
      <c r="AL3361" s="72"/>
      <c r="AM3361" s="72"/>
    </row>
    <row r="3362" spans="1:39" x14ac:dyDescent="0.25">
      <c r="A3362" s="37" t="s">
        <v>62</v>
      </c>
      <c r="B3362" s="66" t="s">
        <v>1644</v>
      </c>
      <c r="C3362" s="4">
        <v>1012</v>
      </c>
      <c r="D3362" s="41" t="s">
        <v>314</v>
      </c>
      <c r="E3362" s="41">
        <v>10120104</v>
      </c>
      <c r="F3362" s="85" t="s">
        <v>667</v>
      </c>
      <c r="G3362" s="39" t="s">
        <v>93</v>
      </c>
      <c r="H3362" s="52" t="s">
        <v>94</v>
      </c>
      <c r="I3362" s="52">
        <v>837.15</v>
      </c>
      <c r="J3362" s="49">
        <v>32163.706513986755</v>
      </c>
      <c r="K3362" s="58">
        <v>309</v>
      </c>
      <c r="L3362" s="58">
        <v>12205.7289339</v>
      </c>
      <c r="M3362" s="58">
        <v>537</v>
      </c>
      <c r="N3362" s="58">
        <v>21322.217393400002</v>
      </c>
      <c r="O3362" s="58">
        <v>846</v>
      </c>
      <c r="P3362" s="53">
        <v>33527.9463273</v>
      </c>
      <c r="Q3362" s="65">
        <v>32163.706513986755</v>
      </c>
      <c r="R3362" s="65">
        <v>0</v>
      </c>
      <c r="S3362" s="65">
        <v>0</v>
      </c>
      <c r="T3362" s="65">
        <v>1364.2398133132447</v>
      </c>
      <c r="U3362" s="58">
        <v>1350</v>
      </c>
      <c r="V3362" s="65">
        <v>0</v>
      </c>
      <c r="W3362" s="65">
        <v>0</v>
      </c>
      <c r="X3362" s="65">
        <v>9492</v>
      </c>
      <c r="Y3362" s="65">
        <v>21322</v>
      </c>
      <c r="Z3362" s="51">
        <v>0</v>
      </c>
      <c r="AA3362" s="51">
        <v>0</v>
      </c>
      <c r="AB3362" s="102">
        <v>0</v>
      </c>
      <c r="AC3362" s="81">
        <f t="shared" si="160"/>
        <v>0</v>
      </c>
      <c r="AD3362" s="82">
        <f t="shared" si="161"/>
        <v>0</v>
      </c>
      <c r="AE3362" s="218">
        <v>-4.2415503720629633E-2</v>
      </c>
      <c r="AF3362">
        <v>4</v>
      </c>
      <c r="AH3362" t="str">
        <f t="shared" si="159"/>
        <v>DalsinghSarai</v>
      </c>
      <c r="AJ3362" s="72">
        <v>0</v>
      </c>
      <c r="AK3362" s="72"/>
      <c r="AL3362" s="72"/>
      <c r="AM3362" s="72"/>
    </row>
    <row r="3363" spans="1:39" x14ac:dyDescent="0.25">
      <c r="A3363" s="37" t="s">
        <v>62</v>
      </c>
      <c r="B3363" s="66" t="s">
        <v>1644</v>
      </c>
      <c r="C3363" s="4">
        <v>1012</v>
      </c>
      <c r="D3363" s="41" t="s">
        <v>314</v>
      </c>
      <c r="E3363" s="41">
        <v>10120106</v>
      </c>
      <c r="F3363" s="85" t="s">
        <v>660</v>
      </c>
      <c r="G3363" s="39" t="s">
        <v>635</v>
      </c>
      <c r="H3363" s="52" t="s">
        <v>99</v>
      </c>
      <c r="I3363" s="52">
        <v>975</v>
      </c>
      <c r="J3363" s="49">
        <v>36104.362470000007</v>
      </c>
      <c r="K3363" s="58">
        <v>0</v>
      </c>
      <c r="L3363" s="58">
        <v>0</v>
      </c>
      <c r="M3363" s="58">
        <v>0</v>
      </c>
      <c r="N3363" s="58">
        <v>0</v>
      </c>
      <c r="O3363" s="58">
        <v>0</v>
      </c>
      <c r="P3363" s="53">
        <v>0</v>
      </c>
      <c r="Q3363" s="65">
        <v>36104.362470000007</v>
      </c>
      <c r="R3363" s="65">
        <v>0</v>
      </c>
      <c r="S3363" s="65">
        <v>0</v>
      </c>
      <c r="T3363" s="65">
        <v>0</v>
      </c>
      <c r="U3363" s="58">
        <v>0</v>
      </c>
      <c r="V3363" s="65">
        <v>0</v>
      </c>
      <c r="W3363" s="65">
        <v>0</v>
      </c>
      <c r="X3363" s="65">
        <v>0</v>
      </c>
      <c r="Y3363" s="65">
        <v>0</v>
      </c>
      <c r="Z3363" s="51">
        <v>36104.362470000007</v>
      </c>
      <c r="AA3363" s="51">
        <v>0</v>
      </c>
      <c r="AB3363" s="102">
        <v>0</v>
      </c>
      <c r="AC3363" s="81">
        <f t="shared" si="160"/>
        <v>0</v>
      </c>
      <c r="AD3363" s="82">
        <f t="shared" si="161"/>
        <v>0</v>
      </c>
      <c r="AE3363" s="218">
        <v>0</v>
      </c>
      <c r="AF3363">
        <v>0</v>
      </c>
      <c r="AH3363" t="str">
        <f t="shared" si="159"/>
        <v>DalsinghSarai</v>
      </c>
      <c r="AJ3363" s="72">
        <v>0</v>
      </c>
      <c r="AK3363" s="72"/>
      <c r="AL3363" s="72"/>
      <c r="AM3363" s="72"/>
    </row>
    <row r="3364" spans="1:39" x14ac:dyDescent="0.25">
      <c r="A3364" s="37" t="s">
        <v>62</v>
      </c>
      <c r="B3364" s="66" t="s">
        <v>1644</v>
      </c>
      <c r="C3364" s="4">
        <v>1012</v>
      </c>
      <c r="D3364" s="41" t="s">
        <v>314</v>
      </c>
      <c r="E3364" s="41">
        <v>10120107</v>
      </c>
      <c r="F3364" s="85" t="s">
        <v>668</v>
      </c>
      <c r="G3364" s="39" t="s">
        <v>93</v>
      </c>
      <c r="H3364" s="52" t="s">
        <v>94</v>
      </c>
      <c r="I3364" s="52">
        <v>929.26999999999987</v>
      </c>
      <c r="J3364" s="49">
        <v>36542.247937434011</v>
      </c>
      <c r="K3364" s="58">
        <v>889.27</v>
      </c>
      <c r="L3364" s="58">
        <v>34996.522345434008</v>
      </c>
      <c r="M3364" s="58">
        <v>40</v>
      </c>
      <c r="N3364" s="58">
        <v>1545.725592</v>
      </c>
      <c r="O3364" s="58">
        <v>929.27</v>
      </c>
      <c r="P3364" s="53">
        <v>36542.247937434011</v>
      </c>
      <c r="Q3364" s="65">
        <v>36542.247937434011</v>
      </c>
      <c r="R3364" s="65">
        <v>0</v>
      </c>
      <c r="S3364" s="65">
        <v>0</v>
      </c>
      <c r="T3364" s="65">
        <v>0</v>
      </c>
      <c r="U3364" s="58">
        <v>0</v>
      </c>
      <c r="V3364" s="65">
        <v>0</v>
      </c>
      <c r="W3364" s="65">
        <v>0</v>
      </c>
      <c r="X3364" s="65">
        <v>34996</v>
      </c>
      <c r="Y3364" s="65">
        <v>1546</v>
      </c>
      <c r="Z3364" s="51">
        <v>0</v>
      </c>
      <c r="AA3364" s="51">
        <v>0</v>
      </c>
      <c r="AB3364" s="102">
        <v>0</v>
      </c>
      <c r="AC3364" s="81">
        <f t="shared" si="160"/>
        <v>0</v>
      </c>
      <c r="AD3364" s="82">
        <f t="shared" si="161"/>
        <v>0</v>
      </c>
      <c r="AE3364" s="218">
        <v>0</v>
      </c>
      <c r="AF3364">
        <v>2</v>
      </c>
      <c r="AH3364" t="str">
        <f t="shared" si="159"/>
        <v>DalsinghSarai</v>
      </c>
      <c r="AJ3364" s="72">
        <v>0</v>
      </c>
      <c r="AK3364" s="72"/>
      <c r="AL3364" s="72"/>
      <c r="AM3364" s="72"/>
    </row>
    <row r="3365" spans="1:39" x14ac:dyDescent="0.25">
      <c r="A3365" s="37" t="s">
        <v>62</v>
      </c>
      <c r="B3365" s="66" t="s">
        <v>1644</v>
      </c>
      <c r="C3365" s="4">
        <v>1012</v>
      </c>
      <c r="D3365" s="41" t="s">
        <v>314</v>
      </c>
      <c r="E3365" s="41">
        <v>10120108</v>
      </c>
      <c r="F3365" s="85" t="s">
        <v>1122</v>
      </c>
      <c r="G3365" s="39" t="s">
        <v>93</v>
      </c>
      <c r="H3365" s="52" t="s">
        <v>94</v>
      </c>
      <c r="I3365" s="52">
        <v>973.99999999999989</v>
      </c>
      <c r="J3365" s="49">
        <v>38168.158906788005</v>
      </c>
      <c r="K3365" s="58">
        <v>692.7</v>
      </c>
      <c r="L3365" s="58">
        <v>28810.966880898297</v>
      </c>
      <c r="M3365" s="58">
        <v>314.50000000000006</v>
      </c>
      <c r="N3365" s="58">
        <v>13233.6049269736</v>
      </c>
      <c r="O3365" s="58">
        <v>1007.2</v>
      </c>
      <c r="P3365" s="53">
        <v>42044.571807871893</v>
      </c>
      <c r="Q3365" s="65">
        <v>38168.158906788005</v>
      </c>
      <c r="R3365" s="65">
        <v>0</v>
      </c>
      <c r="S3365" s="65">
        <v>0</v>
      </c>
      <c r="T3365" s="65">
        <v>3876.4129010838878</v>
      </c>
      <c r="U3365" s="58">
        <v>0</v>
      </c>
      <c r="V3365" s="65">
        <v>0</v>
      </c>
      <c r="W3365" s="65">
        <v>0</v>
      </c>
      <c r="X3365" s="65">
        <v>24935</v>
      </c>
      <c r="Y3365" s="65">
        <v>13233</v>
      </c>
      <c r="Z3365" s="51">
        <v>0</v>
      </c>
      <c r="AA3365" s="51">
        <v>0</v>
      </c>
      <c r="AB3365" s="102">
        <v>0</v>
      </c>
      <c r="AC3365" s="81">
        <f t="shared" si="160"/>
        <v>0</v>
      </c>
      <c r="AD3365" s="82">
        <f t="shared" si="161"/>
        <v>0</v>
      </c>
      <c r="AE3365" s="218">
        <v>-0.10156143267351804</v>
      </c>
      <c r="AF3365">
        <v>11</v>
      </c>
      <c r="AH3365" t="str">
        <f t="shared" si="159"/>
        <v>DalsinghSarai</v>
      </c>
      <c r="AJ3365" s="72">
        <v>0</v>
      </c>
      <c r="AK3365" s="72"/>
      <c r="AL3365" s="72"/>
      <c r="AM3365" s="72"/>
    </row>
    <row r="3366" spans="1:39" x14ac:dyDescent="0.25">
      <c r="A3366" s="37" t="s">
        <v>62</v>
      </c>
      <c r="B3366" s="66" t="s">
        <v>1644</v>
      </c>
      <c r="C3366" s="4">
        <v>1012</v>
      </c>
      <c r="D3366" s="41" t="s">
        <v>314</v>
      </c>
      <c r="E3366" s="41">
        <v>10120109</v>
      </c>
      <c r="F3366" s="85" t="s">
        <v>1498</v>
      </c>
      <c r="G3366" s="39" t="s">
        <v>635</v>
      </c>
      <c r="H3366" s="52" t="s">
        <v>99</v>
      </c>
      <c r="I3366" s="52">
        <v>1549.9199999999998</v>
      </c>
      <c r="J3366" s="49">
        <v>55725.715001254655</v>
      </c>
      <c r="K3366" s="58">
        <v>0</v>
      </c>
      <c r="L3366" s="58">
        <v>0</v>
      </c>
      <c r="M3366" s="58">
        <v>0</v>
      </c>
      <c r="N3366" s="58">
        <v>0</v>
      </c>
      <c r="O3366" s="58">
        <v>0</v>
      </c>
      <c r="P3366" s="53">
        <v>0</v>
      </c>
      <c r="Q3366" s="65">
        <v>55725.715001254655</v>
      </c>
      <c r="R3366" s="65">
        <v>0</v>
      </c>
      <c r="S3366" s="65">
        <v>0</v>
      </c>
      <c r="T3366" s="65">
        <v>0</v>
      </c>
      <c r="U3366" s="58">
        <v>4050</v>
      </c>
      <c r="V3366" s="65">
        <v>0</v>
      </c>
      <c r="W3366" s="65">
        <v>0</v>
      </c>
      <c r="X3366" s="65">
        <v>0</v>
      </c>
      <c r="Y3366" s="65">
        <v>0</v>
      </c>
      <c r="Z3366" s="51">
        <v>51675.715001254655</v>
      </c>
      <c r="AA3366" s="51">
        <v>0</v>
      </c>
      <c r="AB3366" s="102">
        <v>0</v>
      </c>
      <c r="AC3366" s="81">
        <f t="shared" si="160"/>
        <v>0</v>
      </c>
      <c r="AD3366" s="82">
        <f t="shared" si="161"/>
        <v>0</v>
      </c>
      <c r="AE3366" s="218">
        <v>0</v>
      </c>
      <c r="AF3366">
        <v>0</v>
      </c>
      <c r="AH3366" t="str">
        <f t="shared" si="159"/>
        <v>DalsinghSarai</v>
      </c>
      <c r="AJ3366" s="72">
        <v>0</v>
      </c>
      <c r="AK3366" s="72"/>
      <c r="AL3366" s="72"/>
      <c r="AM3366" s="72"/>
    </row>
    <row r="3367" spans="1:39" x14ac:dyDescent="0.25">
      <c r="A3367" s="37" t="s">
        <v>62</v>
      </c>
      <c r="B3367" s="66" t="s">
        <v>1644</v>
      </c>
      <c r="C3367" s="4">
        <v>1012</v>
      </c>
      <c r="D3367" s="41" t="s">
        <v>314</v>
      </c>
      <c r="E3367" s="41">
        <v>10120110</v>
      </c>
      <c r="F3367" s="85" t="s">
        <v>1268</v>
      </c>
      <c r="G3367" s="39" t="s">
        <v>635</v>
      </c>
      <c r="H3367" s="52" t="s">
        <v>99</v>
      </c>
      <c r="I3367" s="52">
        <v>455.33</v>
      </c>
      <c r="J3367" s="49">
        <v>18623.207932044003</v>
      </c>
      <c r="K3367" s="58">
        <v>0</v>
      </c>
      <c r="L3367" s="58">
        <v>0</v>
      </c>
      <c r="M3367" s="58">
        <v>0</v>
      </c>
      <c r="N3367" s="58">
        <v>0</v>
      </c>
      <c r="O3367" s="58">
        <v>0</v>
      </c>
      <c r="P3367" s="53">
        <v>0</v>
      </c>
      <c r="Q3367" s="65">
        <v>18623.207932044003</v>
      </c>
      <c r="R3367" s="65">
        <v>0</v>
      </c>
      <c r="S3367" s="65">
        <v>0</v>
      </c>
      <c r="T3367" s="65">
        <v>0</v>
      </c>
      <c r="U3367" s="58">
        <v>0</v>
      </c>
      <c r="V3367" s="65">
        <v>0</v>
      </c>
      <c r="W3367" s="65">
        <v>0</v>
      </c>
      <c r="X3367" s="65">
        <v>0</v>
      </c>
      <c r="Y3367" s="65">
        <v>0</v>
      </c>
      <c r="Z3367" s="51">
        <v>18623.207932044003</v>
      </c>
      <c r="AA3367" s="51">
        <v>0</v>
      </c>
      <c r="AB3367" s="102">
        <v>0</v>
      </c>
      <c r="AC3367" s="81">
        <f t="shared" si="160"/>
        <v>200.14232687207988</v>
      </c>
      <c r="AD3367" s="82">
        <f t="shared" si="161"/>
        <v>65.047142857142859</v>
      </c>
      <c r="AE3367" s="218">
        <v>0</v>
      </c>
      <c r="AF3367">
        <v>0</v>
      </c>
      <c r="AH3367" t="str">
        <f t="shared" si="159"/>
        <v>DalsinghSarai</v>
      </c>
      <c r="AJ3367" s="72">
        <v>0</v>
      </c>
      <c r="AK3367" s="72"/>
      <c r="AL3367" s="72"/>
      <c r="AM3367" s="72"/>
    </row>
    <row r="3368" spans="1:39" x14ac:dyDescent="0.25">
      <c r="A3368" s="37" t="s">
        <v>62</v>
      </c>
      <c r="B3368" s="66" t="s">
        <v>1644</v>
      </c>
      <c r="C3368" s="4">
        <v>1012</v>
      </c>
      <c r="D3368" s="41" t="s">
        <v>314</v>
      </c>
      <c r="E3368" s="41">
        <v>10120111</v>
      </c>
      <c r="F3368" s="85" t="s">
        <v>1176</v>
      </c>
      <c r="G3368" s="39" t="s">
        <v>93</v>
      </c>
      <c r="H3368" s="52" t="s">
        <v>94</v>
      </c>
      <c r="I3368" s="52">
        <v>1268.83</v>
      </c>
      <c r="J3368" s="49">
        <v>49418.474054376005</v>
      </c>
      <c r="K3368" s="58">
        <v>63.999999999999993</v>
      </c>
      <c r="L3368" s="58">
        <v>2541.6878683620002</v>
      </c>
      <c r="M3368" s="58">
        <v>1204.9099999999999</v>
      </c>
      <c r="N3368" s="58">
        <v>47022.766365985204</v>
      </c>
      <c r="O3368" s="58">
        <v>1268.9099999999999</v>
      </c>
      <c r="P3368" s="53">
        <v>49564.454234347206</v>
      </c>
      <c r="Q3368" s="65">
        <v>49418.474054376005</v>
      </c>
      <c r="R3368" s="65">
        <v>0</v>
      </c>
      <c r="S3368" s="65">
        <v>0</v>
      </c>
      <c r="T3368" s="65">
        <v>145.98017997120041</v>
      </c>
      <c r="U3368" s="58">
        <v>0</v>
      </c>
      <c r="V3368" s="65">
        <v>0</v>
      </c>
      <c r="W3368" s="65">
        <v>0</v>
      </c>
      <c r="X3368" s="65">
        <v>2405</v>
      </c>
      <c r="Y3368" s="65">
        <v>47013</v>
      </c>
      <c r="Z3368" s="51">
        <v>0</v>
      </c>
      <c r="AA3368" s="51">
        <v>0</v>
      </c>
      <c r="AB3368" s="102" t="s">
        <v>68</v>
      </c>
      <c r="AC3368" s="81">
        <f t="shared" si="160"/>
        <v>0</v>
      </c>
      <c r="AD3368" s="82">
        <f t="shared" si="161"/>
        <v>0</v>
      </c>
      <c r="AE3368" s="218">
        <v>-2.9539596833883597E-3</v>
      </c>
      <c r="AF3368">
        <v>10</v>
      </c>
      <c r="AH3368" t="str">
        <f t="shared" si="159"/>
        <v>DalsinghSarai</v>
      </c>
      <c r="AJ3368" s="72">
        <v>0</v>
      </c>
      <c r="AK3368" s="72"/>
      <c r="AL3368" s="72"/>
      <c r="AM3368" s="72"/>
    </row>
    <row r="3369" spans="1:39" x14ac:dyDescent="0.25">
      <c r="A3369" s="37" t="s">
        <v>62</v>
      </c>
      <c r="B3369" s="66" t="s">
        <v>1644</v>
      </c>
      <c r="C3369" s="4">
        <v>1012</v>
      </c>
      <c r="D3369" s="41" t="s">
        <v>314</v>
      </c>
      <c r="E3369" s="41">
        <v>10120113</v>
      </c>
      <c r="F3369" s="85" t="s">
        <v>1260</v>
      </c>
      <c r="G3369" s="39" t="s">
        <v>93</v>
      </c>
      <c r="H3369" s="52" t="s">
        <v>94</v>
      </c>
      <c r="I3369" s="52">
        <v>47.6</v>
      </c>
      <c r="J3369" s="49">
        <v>1892.7620343540002</v>
      </c>
      <c r="K3369" s="58">
        <v>49.36</v>
      </c>
      <c r="L3369" s="58">
        <v>2076.8898016980002</v>
      </c>
      <c r="M3369" s="58">
        <v>0</v>
      </c>
      <c r="N3369" s="58">
        <v>0</v>
      </c>
      <c r="O3369" s="58">
        <v>49.36</v>
      </c>
      <c r="P3369" s="53">
        <v>2076.8898016980002</v>
      </c>
      <c r="Q3369" s="65">
        <v>1892.7620343540002</v>
      </c>
      <c r="R3369" s="65">
        <v>0</v>
      </c>
      <c r="S3369" s="65">
        <v>0</v>
      </c>
      <c r="T3369" s="65">
        <v>184.12776734399995</v>
      </c>
      <c r="U3369" s="58">
        <v>0</v>
      </c>
      <c r="V3369" s="65">
        <v>500</v>
      </c>
      <c r="W3369" s="65">
        <v>0</v>
      </c>
      <c r="X3369" s="65">
        <v>1393</v>
      </c>
      <c r="Y3369" s="65">
        <v>0</v>
      </c>
      <c r="Z3369" s="51">
        <v>0</v>
      </c>
      <c r="AA3369" s="51">
        <v>0</v>
      </c>
      <c r="AB3369" s="102" t="s">
        <v>68</v>
      </c>
      <c r="AC3369" s="81">
        <f t="shared" si="160"/>
        <v>518.83947529939053</v>
      </c>
      <c r="AD3369" s="82">
        <f t="shared" si="161"/>
        <v>6.8</v>
      </c>
      <c r="AE3369" s="218">
        <v>-9.7279934826483755E-2</v>
      </c>
      <c r="AF3369">
        <v>2</v>
      </c>
      <c r="AH3369" t="str">
        <f t="shared" si="159"/>
        <v>DalsinghSarai</v>
      </c>
      <c r="AJ3369" s="72">
        <v>500</v>
      </c>
      <c r="AK3369" s="72"/>
      <c r="AL3369" s="72"/>
      <c r="AM3369" s="72"/>
    </row>
    <row r="3370" spans="1:39" x14ac:dyDescent="0.25">
      <c r="A3370" s="37" t="s">
        <v>62</v>
      </c>
      <c r="B3370" s="66" t="s">
        <v>1644</v>
      </c>
      <c r="C3370" s="4">
        <v>1012</v>
      </c>
      <c r="D3370" s="41" t="s">
        <v>314</v>
      </c>
      <c r="E3370" s="41">
        <v>10120114</v>
      </c>
      <c r="F3370" s="85" t="s">
        <v>1217</v>
      </c>
      <c r="G3370" s="39" t="s">
        <v>93</v>
      </c>
      <c r="H3370" s="52" t="s">
        <v>94</v>
      </c>
      <c r="I3370" s="52">
        <v>174.55999999999997</v>
      </c>
      <c r="J3370" s="49">
        <v>7117.2147267030014</v>
      </c>
      <c r="K3370" s="58">
        <v>114.3</v>
      </c>
      <c r="L3370" s="58">
        <v>4784.5013304600006</v>
      </c>
      <c r="M3370" s="58">
        <v>67.599999999999994</v>
      </c>
      <c r="N3370" s="58">
        <v>2538.4031667330005</v>
      </c>
      <c r="O3370" s="58">
        <v>181.89999999999998</v>
      </c>
      <c r="P3370" s="53">
        <v>7322.9044971930016</v>
      </c>
      <c r="Q3370" s="65">
        <v>7117.2147267030014</v>
      </c>
      <c r="R3370" s="65">
        <v>0</v>
      </c>
      <c r="S3370" s="65">
        <v>0</v>
      </c>
      <c r="T3370" s="65">
        <v>205.68977049000023</v>
      </c>
      <c r="U3370" s="58">
        <v>0</v>
      </c>
      <c r="V3370" s="65">
        <v>500</v>
      </c>
      <c r="W3370" s="65">
        <v>0</v>
      </c>
      <c r="X3370" s="65">
        <v>4078</v>
      </c>
      <c r="Y3370" s="65">
        <v>2539</v>
      </c>
      <c r="Z3370" s="51">
        <v>0</v>
      </c>
      <c r="AA3370" s="51">
        <v>0</v>
      </c>
      <c r="AB3370" s="102">
        <v>0</v>
      </c>
      <c r="AC3370" s="81">
        <f t="shared" si="160"/>
        <v>428.4680689732844</v>
      </c>
      <c r="AD3370" s="82">
        <f t="shared" si="161"/>
        <v>24.937142857142852</v>
      </c>
      <c r="AE3370" s="218">
        <v>-2.890031822677416E-2</v>
      </c>
      <c r="AF3370">
        <v>4</v>
      </c>
      <c r="AH3370" t="str">
        <f t="shared" si="159"/>
        <v>DalsinghSarai</v>
      </c>
      <c r="AJ3370" s="72">
        <v>500</v>
      </c>
      <c r="AK3370" s="72"/>
      <c r="AL3370" s="72"/>
      <c r="AM3370" s="72"/>
    </row>
    <row r="3371" spans="1:39" x14ac:dyDescent="0.25">
      <c r="A3371" s="37" t="s">
        <v>62</v>
      </c>
      <c r="B3371" s="66" t="s">
        <v>1644</v>
      </c>
      <c r="C3371" s="4">
        <v>1012</v>
      </c>
      <c r="D3371" s="41" t="s">
        <v>314</v>
      </c>
      <c r="E3371" s="41">
        <v>10120115</v>
      </c>
      <c r="F3371" s="85" t="s">
        <v>1223</v>
      </c>
      <c r="G3371" s="39" t="s">
        <v>635</v>
      </c>
      <c r="H3371" s="52" t="s">
        <v>99</v>
      </c>
      <c r="I3371" s="52">
        <v>1108.3400000000001</v>
      </c>
      <c r="J3371" s="49">
        <v>40408.382354674206</v>
      </c>
      <c r="K3371" s="58">
        <v>0</v>
      </c>
      <c r="L3371" s="58">
        <v>0</v>
      </c>
      <c r="M3371" s="58">
        <v>0</v>
      </c>
      <c r="N3371" s="58">
        <v>0</v>
      </c>
      <c r="O3371" s="58">
        <v>0</v>
      </c>
      <c r="P3371" s="53">
        <v>0</v>
      </c>
      <c r="Q3371" s="65">
        <v>40408.382354674206</v>
      </c>
      <c r="R3371" s="65">
        <v>0</v>
      </c>
      <c r="S3371" s="65">
        <v>0</v>
      </c>
      <c r="T3371" s="65">
        <v>0</v>
      </c>
      <c r="U3371" s="58">
        <v>0</v>
      </c>
      <c r="V3371" s="65">
        <v>0</v>
      </c>
      <c r="W3371" s="65">
        <v>0</v>
      </c>
      <c r="X3371" s="65">
        <v>0</v>
      </c>
      <c r="Y3371" s="65">
        <v>0</v>
      </c>
      <c r="Z3371" s="51">
        <v>40408.382354674206</v>
      </c>
      <c r="AA3371" s="51">
        <v>0</v>
      </c>
      <c r="AB3371" s="102">
        <v>0</v>
      </c>
      <c r="AC3371" s="81">
        <f t="shared" si="160"/>
        <v>0</v>
      </c>
      <c r="AD3371" s="82">
        <f t="shared" si="161"/>
        <v>0</v>
      </c>
      <c r="AE3371" s="218">
        <v>0</v>
      </c>
      <c r="AF3371">
        <v>0</v>
      </c>
      <c r="AH3371" t="str">
        <f t="shared" si="159"/>
        <v>DalsinghSarai</v>
      </c>
      <c r="AJ3371" s="72">
        <v>0</v>
      </c>
      <c r="AK3371" s="72"/>
      <c r="AL3371" s="72"/>
      <c r="AM3371" s="72"/>
    </row>
    <row r="3372" spans="1:39" x14ac:dyDescent="0.25">
      <c r="A3372" s="37" t="s">
        <v>62</v>
      </c>
      <c r="B3372" s="66" t="s">
        <v>1644</v>
      </c>
      <c r="C3372" s="4">
        <v>1012</v>
      </c>
      <c r="D3372" s="41" t="s">
        <v>314</v>
      </c>
      <c r="E3372" s="41">
        <v>10120116</v>
      </c>
      <c r="F3372" s="85" t="s">
        <v>1269</v>
      </c>
      <c r="G3372" s="39" t="s">
        <v>93</v>
      </c>
      <c r="H3372" s="52" t="s">
        <v>94</v>
      </c>
      <c r="I3372" s="52">
        <v>1567.27</v>
      </c>
      <c r="J3372" s="49">
        <v>65354.099843862998</v>
      </c>
      <c r="K3372" s="58">
        <v>519.58000000000015</v>
      </c>
      <c r="L3372" s="58">
        <v>18587.064515946</v>
      </c>
      <c r="M3372" s="58">
        <v>1098.1999999999998</v>
      </c>
      <c r="N3372" s="58">
        <v>46764.086540616008</v>
      </c>
      <c r="O3372" s="58">
        <v>1617.78</v>
      </c>
      <c r="P3372" s="53">
        <v>65351.151056562012</v>
      </c>
      <c r="Q3372" s="65">
        <v>65351.151056562012</v>
      </c>
      <c r="R3372" s="65">
        <v>0</v>
      </c>
      <c r="S3372" s="65">
        <v>2721.3845849221989</v>
      </c>
      <c r="T3372" s="65">
        <v>0</v>
      </c>
      <c r="U3372" s="58">
        <v>0</v>
      </c>
      <c r="V3372" s="65">
        <v>0</v>
      </c>
      <c r="W3372" s="65">
        <v>0</v>
      </c>
      <c r="X3372" s="65">
        <v>18587</v>
      </c>
      <c r="Y3372" s="65">
        <v>44046</v>
      </c>
      <c r="Z3372" s="51">
        <v>0</v>
      </c>
      <c r="AA3372" s="51">
        <v>0</v>
      </c>
      <c r="AB3372" s="102">
        <v>0</v>
      </c>
      <c r="AC3372" s="81">
        <f t="shared" si="160"/>
        <v>0</v>
      </c>
      <c r="AD3372" s="82">
        <f t="shared" si="161"/>
        <v>0</v>
      </c>
      <c r="AE3372" s="218">
        <v>4.512015784825497E-5</v>
      </c>
      <c r="AF3372">
        <v>27</v>
      </c>
      <c r="AH3372" t="str">
        <f t="shared" si="159"/>
        <v>DalsinghSarai</v>
      </c>
      <c r="AJ3372" s="72">
        <v>0</v>
      </c>
      <c r="AK3372" s="72"/>
      <c r="AL3372" s="72"/>
      <c r="AM3372" s="72"/>
    </row>
    <row r="3373" spans="1:39" x14ac:dyDescent="0.25">
      <c r="A3373" s="37" t="s">
        <v>62</v>
      </c>
      <c r="B3373" s="66" t="s">
        <v>1644</v>
      </c>
      <c r="C3373" s="4">
        <v>1012</v>
      </c>
      <c r="D3373" s="41" t="s">
        <v>314</v>
      </c>
      <c r="E3373" s="41">
        <v>10120119</v>
      </c>
      <c r="F3373" s="85" t="s">
        <v>1315</v>
      </c>
      <c r="G3373" s="39" t="s">
        <v>635</v>
      </c>
      <c r="H3373" s="52" t="s">
        <v>99</v>
      </c>
      <c r="I3373" s="52">
        <v>1685</v>
      </c>
      <c r="J3373" s="49">
        <v>66297.953883000009</v>
      </c>
      <c r="K3373" s="58">
        <v>0</v>
      </c>
      <c r="L3373" s="58">
        <v>0</v>
      </c>
      <c r="M3373" s="58">
        <v>0</v>
      </c>
      <c r="N3373" s="58">
        <v>0</v>
      </c>
      <c r="O3373" s="58">
        <v>0</v>
      </c>
      <c r="P3373" s="53">
        <v>0</v>
      </c>
      <c r="Q3373" s="65">
        <v>66297.953883000009</v>
      </c>
      <c r="R3373" s="65">
        <v>0</v>
      </c>
      <c r="S3373" s="65">
        <v>0</v>
      </c>
      <c r="T3373" s="65">
        <v>0</v>
      </c>
      <c r="U3373" s="58">
        <v>0</v>
      </c>
      <c r="V3373" s="65">
        <v>0</v>
      </c>
      <c r="W3373" s="65">
        <v>0</v>
      </c>
      <c r="X3373" s="65">
        <v>0</v>
      </c>
      <c r="Y3373" s="65">
        <v>0</v>
      </c>
      <c r="Z3373" s="51">
        <v>66297.953883000009</v>
      </c>
      <c r="AA3373" s="51">
        <v>0</v>
      </c>
      <c r="AB3373" s="102">
        <v>0</v>
      </c>
      <c r="AC3373" s="81">
        <f t="shared" si="160"/>
        <v>0</v>
      </c>
      <c r="AD3373" s="82">
        <f t="shared" si="161"/>
        <v>0</v>
      </c>
      <c r="AE3373" s="218">
        <v>0</v>
      </c>
      <c r="AF3373">
        <v>0</v>
      </c>
      <c r="AH3373" t="str">
        <f t="shared" si="159"/>
        <v>DalsinghSarai</v>
      </c>
      <c r="AJ3373" s="72">
        <v>0</v>
      </c>
      <c r="AK3373" s="72"/>
      <c r="AL3373" s="72"/>
      <c r="AM3373" s="72"/>
    </row>
    <row r="3374" spans="1:39" x14ac:dyDescent="0.25">
      <c r="A3374" s="37" t="s">
        <v>62</v>
      </c>
      <c r="B3374" s="66" t="s">
        <v>1644</v>
      </c>
      <c r="C3374" s="4">
        <v>1012</v>
      </c>
      <c r="D3374" s="41" t="s">
        <v>314</v>
      </c>
      <c r="E3374" s="41">
        <v>10120120</v>
      </c>
      <c r="F3374" s="85" t="s">
        <v>1424</v>
      </c>
      <c r="G3374" s="39" t="s">
        <v>93</v>
      </c>
      <c r="H3374" s="52" t="s">
        <v>94</v>
      </c>
      <c r="I3374" s="52">
        <v>296.3</v>
      </c>
      <c r="J3374" s="49">
        <v>11504.1063333042</v>
      </c>
      <c r="K3374" s="58">
        <v>82.070000000000007</v>
      </c>
      <c r="L3374" s="58">
        <v>3705.4405250729992</v>
      </c>
      <c r="M3374" s="58">
        <v>209.99999999999997</v>
      </c>
      <c r="N3374" s="58">
        <v>8024.1217104172665</v>
      </c>
      <c r="O3374" s="58">
        <v>292.07</v>
      </c>
      <c r="P3374" s="53">
        <v>11729.562235490266</v>
      </c>
      <c r="Q3374" s="65">
        <v>11504.1063333042</v>
      </c>
      <c r="R3374" s="65">
        <v>0</v>
      </c>
      <c r="S3374" s="65">
        <v>0</v>
      </c>
      <c r="T3374" s="65">
        <v>225.45590218606594</v>
      </c>
      <c r="U3374" s="58">
        <v>6750</v>
      </c>
      <c r="V3374" s="65">
        <v>0</v>
      </c>
      <c r="W3374" s="65">
        <v>0</v>
      </c>
      <c r="X3374" s="65">
        <v>0</v>
      </c>
      <c r="Y3374" s="65">
        <v>4754</v>
      </c>
      <c r="Z3374" s="51">
        <v>0</v>
      </c>
      <c r="AA3374" s="51">
        <v>0</v>
      </c>
      <c r="AB3374" s="102">
        <v>0</v>
      </c>
      <c r="AC3374" s="81">
        <f t="shared" si="160"/>
        <v>313.48010305466795</v>
      </c>
      <c r="AD3374" s="82">
        <f t="shared" si="161"/>
        <v>42.328571428571429</v>
      </c>
      <c r="AE3374" s="218">
        <v>-1.959786320240928E-2</v>
      </c>
      <c r="AF3374">
        <v>8</v>
      </c>
      <c r="AH3374" t="str">
        <f t="shared" si="159"/>
        <v>DalsinghSarai</v>
      </c>
      <c r="AJ3374" s="72">
        <v>0</v>
      </c>
      <c r="AK3374" s="72"/>
      <c r="AL3374" s="72"/>
      <c r="AM3374" s="72"/>
    </row>
    <row r="3375" spans="1:39" x14ac:dyDescent="0.25">
      <c r="A3375" s="37" t="s">
        <v>62</v>
      </c>
      <c r="B3375" s="66" t="s">
        <v>1644</v>
      </c>
      <c r="C3375" s="4">
        <v>1012</v>
      </c>
      <c r="D3375" s="41" t="s">
        <v>314</v>
      </c>
      <c r="E3375" s="41">
        <v>10120122</v>
      </c>
      <c r="F3375" s="85" t="s">
        <v>1362</v>
      </c>
      <c r="G3375" s="39" t="s">
        <v>93</v>
      </c>
      <c r="H3375" s="52" t="s">
        <v>94</v>
      </c>
      <c r="I3375" s="52">
        <v>1085.0200000000002</v>
      </c>
      <c r="J3375" s="49">
        <v>46950.436763028309</v>
      </c>
      <c r="K3375" s="58">
        <v>669.25999999999988</v>
      </c>
      <c r="L3375" s="58">
        <v>34295.399616249488</v>
      </c>
      <c r="M3375" s="58">
        <v>472.47</v>
      </c>
      <c r="N3375" s="58">
        <v>20423.115036111565</v>
      </c>
      <c r="O3375" s="58">
        <v>1141.73</v>
      </c>
      <c r="P3375" s="53">
        <v>54718.514652361053</v>
      </c>
      <c r="Q3375" s="65">
        <v>46950.436763028309</v>
      </c>
      <c r="R3375" s="65">
        <v>0</v>
      </c>
      <c r="S3375" s="65">
        <v>0</v>
      </c>
      <c r="T3375" s="65">
        <v>7768.0778893327442</v>
      </c>
      <c r="U3375" s="58">
        <v>0</v>
      </c>
      <c r="V3375" s="65">
        <v>0</v>
      </c>
      <c r="W3375" s="65">
        <v>0</v>
      </c>
      <c r="X3375" s="65">
        <v>32866</v>
      </c>
      <c r="Y3375" s="65">
        <v>14084</v>
      </c>
      <c r="Z3375" s="51">
        <v>0</v>
      </c>
      <c r="AA3375" s="51">
        <v>0</v>
      </c>
      <c r="AB3375" s="102" t="s">
        <v>68</v>
      </c>
      <c r="AC3375" s="81">
        <f t="shared" si="160"/>
        <v>0</v>
      </c>
      <c r="AD3375" s="82">
        <f t="shared" si="161"/>
        <v>0</v>
      </c>
      <c r="AE3375" s="218">
        <v>-0.1654527289818486</v>
      </c>
      <c r="AF3375">
        <v>20</v>
      </c>
      <c r="AH3375" t="str">
        <f t="shared" si="159"/>
        <v>DalsinghSarai</v>
      </c>
      <c r="AJ3375" s="72">
        <v>0</v>
      </c>
      <c r="AK3375" s="72"/>
      <c r="AL3375" s="72"/>
      <c r="AM3375" s="72"/>
    </row>
    <row r="3376" spans="1:39" x14ac:dyDescent="0.25">
      <c r="A3376" s="37" t="s">
        <v>62</v>
      </c>
      <c r="B3376" s="66" t="s">
        <v>1644</v>
      </c>
      <c r="C3376" s="4">
        <v>1012</v>
      </c>
      <c r="D3376" s="41" t="s">
        <v>314</v>
      </c>
      <c r="E3376" s="41">
        <v>10120123</v>
      </c>
      <c r="F3376" s="85" t="s">
        <v>1425</v>
      </c>
      <c r="G3376" s="39" t="s">
        <v>93</v>
      </c>
      <c r="H3376" s="52" t="s">
        <v>94</v>
      </c>
      <c r="I3376" s="52">
        <v>749.80000000000007</v>
      </c>
      <c r="J3376" s="49">
        <v>28221.533022710999</v>
      </c>
      <c r="K3376" s="58">
        <v>459.90000000000003</v>
      </c>
      <c r="L3376" s="58">
        <v>17609.002939414193</v>
      </c>
      <c r="M3376" s="58">
        <v>300.41999999999996</v>
      </c>
      <c r="N3376" s="58">
        <v>10684.017934334699</v>
      </c>
      <c r="O3376" s="58">
        <v>760.31999999999994</v>
      </c>
      <c r="P3376" s="53">
        <v>28293.020873748894</v>
      </c>
      <c r="Q3376" s="65">
        <v>28221.533022710999</v>
      </c>
      <c r="R3376" s="65">
        <v>0</v>
      </c>
      <c r="S3376" s="65">
        <v>104.58533890515</v>
      </c>
      <c r="T3376" s="65">
        <v>71.48785103789487</v>
      </c>
      <c r="U3376" s="58">
        <v>0</v>
      </c>
      <c r="V3376" s="65">
        <v>0</v>
      </c>
      <c r="W3376" s="65">
        <v>0</v>
      </c>
      <c r="X3376" s="65">
        <v>17537</v>
      </c>
      <c r="Y3376" s="65">
        <v>10580</v>
      </c>
      <c r="Z3376" s="51">
        <v>0</v>
      </c>
      <c r="AA3376" s="51">
        <v>0</v>
      </c>
      <c r="AB3376" s="102">
        <v>0</v>
      </c>
      <c r="AC3376" s="81">
        <f t="shared" si="160"/>
        <v>0</v>
      </c>
      <c r="AD3376" s="82">
        <f t="shared" si="161"/>
        <v>0</v>
      </c>
      <c r="AE3376" s="218">
        <v>-2.53309595124991E-3</v>
      </c>
      <c r="AF3376">
        <v>16</v>
      </c>
      <c r="AH3376" t="str">
        <f t="shared" si="159"/>
        <v>DalsinghSarai</v>
      </c>
      <c r="AJ3376" s="72">
        <v>0</v>
      </c>
      <c r="AK3376" s="72"/>
      <c r="AL3376" s="72"/>
      <c r="AM3376" s="72"/>
    </row>
    <row r="3377" spans="1:39" x14ac:dyDescent="0.25">
      <c r="A3377" s="37" t="s">
        <v>62</v>
      </c>
      <c r="B3377" s="66" t="s">
        <v>1644</v>
      </c>
      <c r="C3377" s="4">
        <v>1013</v>
      </c>
      <c r="D3377" s="41" t="s">
        <v>351</v>
      </c>
      <c r="E3377" s="41">
        <v>10130001</v>
      </c>
      <c r="F3377" s="85" t="s">
        <v>352</v>
      </c>
      <c r="G3377" s="39" t="s">
        <v>93</v>
      </c>
      <c r="H3377" s="52" t="s">
        <v>94</v>
      </c>
      <c r="I3377" s="52">
        <v>719.9</v>
      </c>
      <c r="J3377" s="49">
        <v>26194.177570329</v>
      </c>
      <c r="K3377" s="58">
        <v>130.69999999999999</v>
      </c>
      <c r="L3377" s="58">
        <v>4902.3706121865007</v>
      </c>
      <c r="M3377" s="58">
        <v>598.4</v>
      </c>
      <c r="N3377" s="58">
        <v>22388.913025158003</v>
      </c>
      <c r="O3377" s="58">
        <v>729.09999999999991</v>
      </c>
      <c r="P3377" s="53">
        <v>27291.283637344502</v>
      </c>
      <c r="Q3377" s="65">
        <v>26194.177570329</v>
      </c>
      <c r="R3377" s="65">
        <v>0</v>
      </c>
      <c r="S3377" s="65">
        <v>223.8523074915</v>
      </c>
      <c r="T3377" s="65">
        <v>1097.106067015502</v>
      </c>
      <c r="U3377" s="58">
        <v>0</v>
      </c>
      <c r="V3377" s="65">
        <v>0</v>
      </c>
      <c r="W3377" s="65">
        <v>0</v>
      </c>
      <c r="X3377" s="65">
        <v>3805</v>
      </c>
      <c r="Y3377" s="65">
        <v>22165</v>
      </c>
      <c r="Z3377" s="51">
        <v>0</v>
      </c>
      <c r="AA3377" s="51">
        <v>0</v>
      </c>
      <c r="AB3377" s="102">
        <v>0</v>
      </c>
      <c r="AC3377" s="81">
        <f t="shared" si="160"/>
        <v>0</v>
      </c>
      <c r="AD3377" s="82">
        <f t="shared" si="161"/>
        <v>0</v>
      </c>
      <c r="AE3377" s="218">
        <v>-4.1883585162002947E-2</v>
      </c>
      <c r="AF3377">
        <v>12</v>
      </c>
      <c r="AH3377" t="str">
        <f t="shared" si="159"/>
        <v>Musrigharari</v>
      </c>
      <c r="AJ3377" s="72">
        <v>0</v>
      </c>
      <c r="AK3377" s="72"/>
      <c r="AL3377" s="72"/>
      <c r="AM3377" s="72"/>
    </row>
    <row r="3378" spans="1:39" x14ac:dyDescent="0.25">
      <c r="A3378" s="37" t="s">
        <v>62</v>
      </c>
      <c r="B3378" s="66" t="s">
        <v>1644</v>
      </c>
      <c r="C3378" s="4">
        <v>1013</v>
      </c>
      <c r="D3378" s="41" t="s">
        <v>351</v>
      </c>
      <c r="E3378" s="41">
        <v>10130002</v>
      </c>
      <c r="F3378" s="85" t="s">
        <v>353</v>
      </c>
      <c r="G3378" s="39" t="s">
        <v>635</v>
      </c>
      <c r="H3378" s="52" t="s">
        <v>99</v>
      </c>
      <c r="I3378" s="52">
        <v>115.7</v>
      </c>
      <c r="J3378" s="49">
        <v>3704.8421130600004</v>
      </c>
      <c r="K3378" s="58">
        <v>0</v>
      </c>
      <c r="L3378" s="58">
        <v>0</v>
      </c>
      <c r="M3378" s="58">
        <v>0</v>
      </c>
      <c r="N3378" s="58">
        <v>0</v>
      </c>
      <c r="O3378" s="58">
        <v>0</v>
      </c>
      <c r="P3378" s="53">
        <v>0</v>
      </c>
      <c r="Q3378" s="65">
        <v>3704.8421130600004</v>
      </c>
      <c r="R3378" s="65">
        <v>0</v>
      </c>
      <c r="S3378" s="65">
        <v>0</v>
      </c>
      <c r="T3378" s="65">
        <v>0</v>
      </c>
      <c r="U3378" s="58">
        <v>0</v>
      </c>
      <c r="V3378" s="65">
        <v>0</v>
      </c>
      <c r="W3378" s="65">
        <v>0</v>
      </c>
      <c r="X3378" s="65">
        <v>0</v>
      </c>
      <c r="Y3378" s="65">
        <v>0</v>
      </c>
      <c r="Z3378" s="51">
        <v>3704.8421130600004</v>
      </c>
      <c r="AA3378" s="51">
        <v>0</v>
      </c>
      <c r="AB3378" s="102">
        <v>0</v>
      </c>
      <c r="AC3378" s="81">
        <f t="shared" si="160"/>
        <v>374.19865975124611</v>
      </c>
      <c r="AD3378" s="82">
        <f t="shared" si="161"/>
        <v>16.528571428571428</v>
      </c>
      <c r="AE3378" s="218">
        <v>0</v>
      </c>
      <c r="AF3378">
        <v>0</v>
      </c>
      <c r="AH3378" t="str">
        <f t="shared" si="159"/>
        <v>Musrigharari</v>
      </c>
      <c r="AJ3378" s="72">
        <v>0</v>
      </c>
      <c r="AK3378" s="72"/>
      <c r="AL3378" s="72"/>
      <c r="AM3378" s="72"/>
    </row>
    <row r="3379" spans="1:39" x14ac:dyDescent="0.25">
      <c r="A3379" s="37" t="s">
        <v>62</v>
      </c>
      <c r="B3379" s="66" t="s">
        <v>1644</v>
      </c>
      <c r="C3379" s="4">
        <v>1013</v>
      </c>
      <c r="D3379" s="41" t="s">
        <v>351</v>
      </c>
      <c r="E3379" s="41">
        <v>10130003</v>
      </c>
      <c r="F3379" s="85" t="s">
        <v>354</v>
      </c>
      <c r="G3379" s="39" t="s">
        <v>93</v>
      </c>
      <c r="H3379" s="52" t="s">
        <v>94</v>
      </c>
      <c r="I3379" s="52">
        <v>133.6</v>
      </c>
      <c r="J3379" s="49">
        <v>4628.5173301124996</v>
      </c>
      <c r="K3379" s="58">
        <v>131.81</v>
      </c>
      <c r="L3379" s="58">
        <v>4620.5538293298005</v>
      </c>
      <c r="M3379" s="58">
        <v>0.7</v>
      </c>
      <c r="N3379" s="58">
        <v>26.014550400000001</v>
      </c>
      <c r="O3379" s="58">
        <v>132.51</v>
      </c>
      <c r="P3379" s="53">
        <v>4646.5683797298007</v>
      </c>
      <c r="Q3379" s="65">
        <v>4628.5173301124996</v>
      </c>
      <c r="R3379" s="65">
        <v>0</v>
      </c>
      <c r="S3379" s="65">
        <v>26.014550400000001</v>
      </c>
      <c r="T3379" s="65">
        <v>18.051049617301032</v>
      </c>
      <c r="U3379" s="58">
        <v>0</v>
      </c>
      <c r="V3379" s="65">
        <v>0</v>
      </c>
      <c r="W3379" s="65">
        <v>0</v>
      </c>
      <c r="X3379" s="65">
        <v>4603</v>
      </c>
      <c r="Y3379" s="65">
        <v>0</v>
      </c>
      <c r="Z3379" s="51">
        <v>0</v>
      </c>
      <c r="AA3379" s="51">
        <v>0</v>
      </c>
      <c r="AB3379" s="102">
        <v>0</v>
      </c>
      <c r="AC3379" s="81">
        <f t="shared" si="160"/>
        <v>392.45392451732334</v>
      </c>
      <c r="AD3379" s="82">
        <f t="shared" si="161"/>
        <v>19.085714285714285</v>
      </c>
      <c r="AE3379" s="218">
        <v>-3.8999637097312731E-3</v>
      </c>
      <c r="AF3379">
        <v>3</v>
      </c>
      <c r="AH3379" t="str">
        <f t="shared" si="159"/>
        <v>Musrigharari</v>
      </c>
      <c r="AJ3379" s="72">
        <v>0</v>
      </c>
      <c r="AK3379" s="72"/>
      <c r="AL3379" s="72"/>
      <c r="AM3379" s="72"/>
    </row>
    <row r="3380" spans="1:39" x14ac:dyDescent="0.25">
      <c r="A3380" s="37" t="s">
        <v>62</v>
      </c>
      <c r="B3380" s="66" t="s">
        <v>1644</v>
      </c>
      <c r="C3380" s="4">
        <v>1013</v>
      </c>
      <c r="D3380" s="41" t="s">
        <v>351</v>
      </c>
      <c r="E3380" s="41">
        <v>10130005</v>
      </c>
      <c r="F3380" s="85" t="s">
        <v>355</v>
      </c>
      <c r="G3380" s="39" t="s">
        <v>635</v>
      </c>
      <c r="H3380" s="52" t="s">
        <v>99</v>
      </c>
      <c r="I3380" s="52">
        <v>49.300000000000004</v>
      </c>
      <c r="J3380" s="49">
        <v>1659.1698303779999</v>
      </c>
      <c r="K3380" s="58">
        <v>0</v>
      </c>
      <c r="L3380" s="58">
        <v>0</v>
      </c>
      <c r="M3380" s="58">
        <v>0</v>
      </c>
      <c r="N3380" s="58">
        <v>0</v>
      </c>
      <c r="O3380" s="58">
        <v>0</v>
      </c>
      <c r="P3380" s="53">
        <v>0</v>
      </c>
      <c r="Q3380" s="65">
        <v>1659.1698303779999</v>
      </c>
      <c r="R3380" s="65">
        <v>0</v>
      </c>
      <c r="S3380" s="65">
        <v>0</v>
      </c>
      <c r="T3380" s="65">
        <v>0</v>
      </c>
      <c r="U3380" s="58">
        <v>0</v>
      </c>
      <c r="V3380" s="65">
        <v>0</v>
      </c>
      <c r="W3380" s="65">
        <v>0</v>
      </c>
      <c r="X3380" s="65">
        <v>0</v>
      </c>
      <c r="Y3380" s="65">
        <v>0</v>
      </c>
      <c r="Z3380" s="51">
        <v>1659.1698303779999</v>
      </c>
      <c r="AA3380" s="51">
        <v>0</v>
      </c>
      <c r="AB3380" s="102">
        <v>0</v>
      </c>
      <c r="AC3380" s="81">
        <f t="shared" si="160"/>
        <v>437.98044974724735</v>
      </c>
      <c r="AD3380" s="82">
        <f t="shared" si="161"/>
        <v>7.0428571428571436</v>
      </c>
      <c r="AE3380" s="218">
        <v>0</v>
      </c>
      <c r="AF3380">
        <v>0</v>
      </c>
      <c r="AH3380" t="str">
        <f t="shared" si="159"/>
        <v>Musrigharari</v>
      </c>
      <c r="AJ3380" s="72">
        <v>0</v>
      </c>
      <c r="AK3380" s="72"/>
      <c r="AL3380" s="72"/>
      <c r="AM3380" s="72"/>
    </row>
    <row r="3381" spans="1:39" x14ac:dyDescent="0.25">
      <c r="A3381" s="37" t="s">
        <v>62</v>
      </c>
      <c r="B3381" s="66" t="s">
        <v>1644</v>
      </c>
      <c r="C3381" s="4">
        <v>1013</v>
      </c>
      <c r="D3381" s="41" t="s">
        <v>351</v>
      </c>
      <c r="E3381" s="41">
        <v>10130006</v>
      </c>
      <c r="F3381" s="85" t="s">
        <v>356</v>
      </c>
      <c r="G3381" s="39" t="s">
        <v>93</v>
      </c>
      <c r="H3381" s="52" t="s">
        <v>94</v>
      </c>
      <c r="I3381" s="52">
        <v>494.30000000000007</v>
      </c>
      <c r="J3381" s="49">
        <v>17207.664181440006</v>
      </c>
      <c r="K3381" s="58">
        <v>481.56</v>
      </c>
      <c r="L3381" s="58">
        <v>17454.927949482601</v>
      </c>
      <c r="M3381" s="58">
        <v>0</v>
      </c>
      <c r="N3381" s="58">
        <v>0</v>
      </c>
      <c r="O3381" s="58">
        <v>481.56</v>
      </c>
      <c r="P3381" s="53">
        <v>17454.927949482601</v>
      </c>
      <c r="Q3381" s="65">
        <v>17207.664181440006</v>
      </c>
      <c r="R3381" s="65">
        <v>0</v>
      </c>
      <c r="S3381" s="65">
        <v>0</v>
      </c>
      <c r="T3381" s="65">
        <v>247.26376804259417</v>
      </c>
      <c r="U3381" s="58">
        <v>0</v>
      </c>
      <c r="V3381" s="65">
        <v>0</v>
      </c>
      <c r="W3381" s="65">
        <v>0</v>
      </c>
      <c r="X3381" s="65">
        <v>17208</v>
      </c>
      <c r="Y3381" s="65">
        <v>0</v>
      </c>
      <c r="Z3381" s="51">
        <v>0</v>
      </c>
      <c r="AA3381" s="51">
        <v>0</v>
      </c>
      <c r="AB3381" s="102" t="s">
        <v>68</v>
      </c>
      <c r="AC3381" s="81">
        <f t="shared" si="160"/>
        <v>143.21733854429323</v>
      </c>
      <c r="AD3381" s="82">
        <f t="shared" si="161"/>
        <v>70.614285714285728</v>
      </c>
      <c r="AE3381" s="218">
        <v>-1.4369397579788319E-2</v>
      </c>
      <c r="AF3381">
        <v>7</v>
      </c>
      <c r="AH3381" t="str">
        <f t="shared" si="159"/>
        <v>Musrigharari</v>
      </c>
      <c r="AJ3381" s="72">
        <v>0</v>
      </c>
      <c r="AK3381" s="72"/>
      <c r="AL3381" s="72"/>
      <c r="AM3381" s="72"/>
    </row>
    <row r="3382" spans="1:39" x14ac:dyDescent="0.25">
      <c r="A3382" s="37" t="s">
        <v>62</v>
      </c>
      <c r="B3382" s="66" t="s">
        <v>1644</v>
      </c>
      <c r="C3382" s="4">
        <v>1013</v>
      </c>
      <c r="D3382" s="41" t="s">
        <v>351</v>
      </c>
      <c r="E3382" s="41">
        <v>10130008</v>
      </c>
      <c r="F3382" s="85" t="s">
        <v>357</v>
      </c>
      <c r="G3382" s="39" t="s">
        <v>93</v>
      </c>
      <c r="H3382" s="52" t="s">
        <v>94</v>
      </c>
      <c r="I3382" s="52">
        <v>718.80000000000018</v>
      </c>
      <c r="J3382" s="49">
        <v>27954.526552021201</v>
      </c>
      <c r="K3382" s="58">
        <v>709.69</v>
      </c>
      <c r="L3382" s="58">
        <v>29822.149481843826</v>
      </c>
      <c r="M3382" s="58">
        <v>37.07</v>
      </c>
      <c r="N3382" s="58">
        <v>1473.1080415306803</v>
      </c>
      <c r="O3382" s="58">
        <v>746.7600000000001</v>
      </c>
      <c r="P3382" s="53">
        <v>31295.257523374505</v>
      </c>
      <c r="Q3382" s="65">
        <v>27954.526552021201</v>
      </c>
      <c r="R3382" s="65">
        <v>0</v>
      </c>
      <c r="S3382" s="65">
        <v>323.45573415468004</v>
      </c>
      <c r="T3382" s="65">
        <v>3340.7309713533032</v>
      </c>
      <c r="U3382" s="58">
        <v>0</v>
      </c>
      <c r="V3382" s="65">
        <v>0</v>
      </c>
      <c r="W3382" s="65">
        <v>0</v>
      </c>
      <c r="X3382" s="65">
        <v>26482</v>
      </c>
      <c r="Y3382" s="65">
        <v>1149</v>
      </c>
      <c r="Z3382" s="51">
        <v>0</v>
      </c>
      <c r="AA3382" s="51">
        <v>0</v>
      </c>
      <c r="AB3382" s="102">
        <v>0</v>
      </c>
      <c r="AC3382" s="81">
        <f t="shared" si="160"/>
        <v>0</v>
      </c>
      <c r="AD3382" s="82">
        <f t="shared" si="161"/>
        <v>0</v>
      </c>
      <c r="AE3382" s="218">
        <v>-0.11950590417392555</v>
      </c>
      <c r="AF3382">
        <v>11</v>
      </c>
      <c r="AH3382" t="str">
        <f t="shared" si="159"/>
        <v>Musrigharari</v>
      </c>
      <c r="AJ3382" s="72">
        <v>0</v>
      </c>
      <c r="AK3382" s="72"/>
      <c r="AL3382" s="72"/>
      <c r="AM3382" s="72"/>
    </row>
    <row r="3383" spans="1:39" x14ac:dyDescent="0.25">
      <c r="A3383" s="37" t="s">
        <v>62</v>
      </c>
      <c r="B3383" s="66" t="s">
        <v>1644</v>
      </c>
      <c r="C3383" s="4">
        <v>1013</v>
      </c>
      <c r="D3383" s="41" t="s">
        <v>351</v>
      </c>
      <c r="E3383" s="41">
        <v>10130012</v>
      </c>
      <c r="F3383" s="85" t="s">
        <v>358</v>
      </c>
      <c r="G3383" s="39" t="s">
        <v>93</v>
      </c>
      <c r="H3383" s="52" t="s">
        <v>94</v>
      </c>
      <c r="I3383" s="52">
        <v>3366.4</v>
      </c>
      <c r="J3383" s="49">
        <v>124531.26088795204</v>
      </c>
      <c r="K3383" s="58">
        <v>1823.4</v>
      </c>
      <c r="L3383" s="58">
        <v>68549.063356400948</v>
      </c>
      <c r="M3383" s="58">
        <v>1564.1</v>
      </c>
      <c r="N3383" s="58">
        <v>58937.789501794949</v>
      </c>
      <c r="O3383" s="58">
        <v>3387.5</v>
      </c>
      <c r="P3383" s="53">
        <v>127486.8528581959</v>
      </c>
      <c r="Q3383" s="65">
        <v>124531.26088795204</v>
      </c>
      <c r="R3383" s="65">
        <v>0</v>
      </c>
      <c r="S3383" s="65">
        <v>1324.60534641</v>
      </c>
      <c r="T3383" s="65">
        <v>2955.591970243855</v>
      </c>
      <c r="U3383" s="58">
        <v>0</v>
      </c>
      <c r="V3383" s="65">
        <v>0</v>
      </c>
      <c r="W3383" s="65">
        <v>0</v>
      </c>
      <c r="X3383" s="65">
        <v>65595</v>
      </c>
      <c r="Y3383" s="65">
        <v>57611</v>
      </c>
      <c r="Z3383" s="51">
        <v>0</v>
      </c>
      <c r="AA3383" s="51">
        <v>1</v>
      </c>
      <c r="AB3383" s="102">
        <v>0</v>
      </c>
      <c r="AC3383" s="81">
        <f t="shared" si="160"/>
        <v>0</v>
      </c>
      <c r="AD3383" s="82">
        <f t="shared" si="161"/>
        <v>0</v>
      </c>
      <c r="AE3383" s="218">
        <v>-2.3733735201662911E-2</v>
      </c>
      <c r="AF3383">
        <v>56</v>
      </c>
      <c r="AH3383" t="str">
        <f t="shared" si="159"/>
        <v>Musrigharari</v>
      </c>
      <c r="AJ3383" s="72">
        <v>0</v>
      </c>
      <c r="AK3383" s="72"/>
      <c r="AL3383" s="72"/>
      <c r="AM3383" s="72"/>
    </row>
    <row r="3384" spans="1:39" x14ac:dyDescent="0.25">
      <c r="A3384" s="37" t="s">
        <v>62</v>
      </c>
      <c r="B3384" s="66" t="s">
        <v>1644</v>
      </c>
      <c r="C3384" s="4">
        <v>1013</v>
      </c>
      <c r="D3384" s="41" t="s">
        <v>351</v>
      </c>
      <c r="E3384" s="41">
        <v>10130015</v>
      </c>
      <c r="F3384" s="85" t="s">
        <v>359</v>
      </c>
      <c r="G3384" s="39" t="s">
        <v>635</v>
      </c>
      <c r="H3384" s="52" t="s">
        <v>99</v>
      </c>
      <c r="I3384" s="52">
        <v>555.20000000000005</v>
      </c>
      <c r="J3384" s="49">
        <v>19505.845597425003</v>
      </c>
      <c r="K3384" s="58">
        <v>0</v>
      </c>
      <c r="L3384" s="58">
        <v>0</v>
      </c>
      <c r="M3384" s="58">
        <v>0</v>
      </c>
      <c r="N3384" s="58">
        <v>0</v>
      </c>
      <c r="O3384" s="58">
        <v>0</v>
      </c>
      <c r="P3384" s="53">
        <v>0</v>
      </c>
      <c r="Q3384" s="65">
        <v>19505.845597425003</v>
      </c>
      <c r="R3384" s="65">
        <v>0</v>
      </c>
      <c r="S3384" s="65">
        <v>0</v>
      </c>
      <c r="T3384" s="65">
        <v>0</v>
      </c>
      <c r="U3384" s="58">
        <v>2700</v>
      </c>
      <c r="V3384" s="65">
        <v>0</v>
      </c>
      <c r="W3384" s="65">
        <v>0</v>
      </c>
      <c r="X3384" s="65">
        <v>0</v>
      </c>
      <c r="Y3384" s="65">
        <v>0</v>
      </c>
      <c r="Z3384" s="51">
        <v>16805.845597425003</v>
      </c>
      <c r="AA3384" s="51">
        <v>0</v>
      </c>
      <c r="AB3384" s="102">
        <v>0</v>
      </c>
      <c r="AC3384" s="81">
        <f t="shared" si="160"/>
        <v>101.74518885112177</v>
      </c>
      <c r="AD3384" s="82">
        <f t="shared" si="161"/>
        <v>79.314285714285717</v>
      </c>
      <c r="AE3384" s="218">
        <v>0</v>
      </c>
      <c r="AF3384">
        <v>0</v>
      </c>
      <c r="AH3384" t="str">
        <f t="shared" si="159"/>
        <v>Musrigharari</v>
      </c>
      <c r="AJ3384" s="72">
        <v>0</v>
      </c>
      <c r="AK3384" s="72"/>
      <c r="AL3384" s="72"/>
      <c r="AM3384" s="72"/>
    </row>
    <row r="3385" spans="1:39" x14ac:dyDescent="0.25">
      <c r="A3385" s="37" t="s">
        <v>62</v>
      </c>
      <c r="B3385" s="66" t="s">
        <v>1644</v>
      </c>
      <c r="C3385" s="4">
        <v>1013</v>
      </c>
      <c r="D3385" s="41" t="s">
        <v>351</v>
      </c>
      <c r="E3385" s="41">
        <v>10130016</v>
      </c>
      <c r="F3385" s="85" t="s">
        <v>360</v>
      </c>
      <c r="G3385" s="39" t="s">
        <v>635</v>
      </c>
      <c r="H3385" s="52" t="s">
        <v>99</v>
      </c>
      <c r="I3385" s="52">
        <v>204.20000000000002</v>
      </c>
      <c r="J3385" s="49">
        <v>9078.906653702501</v>
      </c>
      <c r="K3385" s="58">
        <v>0</v>
      </c>
      <c r="L3385" s="58">
        <v>0</v>
      </c>
      <c r="M3385" s="58">
        <v>0</v>
      </c>
      <c r="N3385" s="58">
        <v>0</v>
      </c>
      <c r="O3385" s="58">
        <v>0</v>
      </c>
      <c r="P3385" s="53">
        <v>0</v>
      </c>
      <c r="Q3385" s="65">
        <v>9078.906653702501</v>
      </c>
      <c r="R3385" s="65">
        <v>0</v>
      </c>
      <c r="S3385" s="65">
        <v>0</v>
      </c>
      <c r="T3385" s="65">
        <v>0</v>
      </c>
      <c r="U3385" s="58">
        <v>1350</v>
      </c>
      <c r="V3385" s="65">
        <v>0</v>
      </c>
      <c r="W3385" s="65">
        <v>0</v>
      </c>
      <c r="X3385" s="65">
        <v>0</v>
      </c>
      <c r="Y3385" s="65">
        <v>0</v>
      </c>
      <c r="Z3385" s="51">
        <v>7728.906653702501</v>
      </c>
      <c r="AA3385" s="51">
        <v>0</v>
      </c>
      <c r="AB3385" s="102">
        <v>0</v>
      </c>
      <c r="AC3385" s="81">
        <f t="shared" si="160"/>
        <v>440.87384122484809</v>
      </c>
      <c r="AD3385" s="82">
        <f t="shared" si="161"/>
        <v>29.171428571428574</v>
      </c>
      <c r="AE3385" s="218">
        <v>0</v>
      </c>
      <c r="AF3385">
        <v>0</v>
      </c>
      <c r="AH3385" t="str">
        <f t="shared" si="159"/>
        <v>Musrigharari</v>
      </c>
      <c r="AJ3385" s="72">
        <v>0</v>
      </c>
      <c r="AK3385" s="72"/>
      <c r="AL3385" s="72"/>
      <c r="AM3385" s="72"/>
    </row>
    <row r="3386" spans="1:39" x14ac:dyDescent="0.25">
      <c r="A3386" s="37" t="s">
        <v>62</v>
      </c>
      <c r="B3386" s="66" t="s">
        <v>1644</v>
      </c>
      <c r="C3386" s="4">
        <v>1013</v>
      </c>
      <c r="D3386" s="41" t="s">
        <v>351</v>
      </c>
      <c r="E3386" s="41">
        <v>10130018</v>
      </c>
      <c r="F3386" s="85" t="s">
        <v>361</v>
      </c>
      <c r="G3386" s="39" t="s">
        <v>635</v>
      </c>
      <c r="H3386" s="52" t="s">
        <v>99</v>
      </c>
      <c r="I3386" s="52">
        <v>342.50000000000006</v>
      </c>
      <c r="J3386" s="49">
        <v>11804.178685044</v>
      </c>
      <c r="K3386" s="58">
        <v>0</v>
      </c>
      <c r="L3386" s="58">
        <v>0</v>
      </c>
      <c r="M3386" s="58">
        <v>0</v>
      </c>
      <c r="N3386" s="58">
        <v>0</v>
      </c>
      <c r="O3386" s="58">
        <v>0</v>
      </c>
      <c r="P3386" s="53">
        <v>0</v>
      </c>
      <c r="Q3386" s="65">
        <v>11804.178685044</v>
      </c>
      <c r="R3386" s="65">
        <v>0</v>
      </c>
      <c r="S3386" s="65">
        <v>0</v>
      </c>
      <c r="T3386" s="65">
        <v>0</v>
      </c>
      <c r="U3386" s="58">
        <v>1500</v>
      </c>
      <c r="V3386" s="65">
        <v>0</v>
      </c>
      <c r="W3386" s="65">
        <v>0</v>
      </c>
      <c r="X3386" s="65">
        <v>0</v>
      </c>
      <c r="Y3386" s="65">
        <v>0</v>
      </c>
      <c r="Z3386" s="51">
        <v>10304.178685044</v>
      </c>
      <c r="AA3386" s="51">
        <v>0</v>
      </c>
      <c r="AB3386" s="102">
        <v>0</v>
      </c>
      <c r="AC3386" s="81">
        <f t="shared" si="160"/>
        <v>246.4230002863199</v>
      </c>
      <c r="AD3386" s="82">
        <f t="shared" si="161"/>
        <v>48.928571428571438</v>
      </c>
      <c r="AE3386" s="218">
        <v>0</v>
      </c>
      <c r="AF3386">
        <v>0</v>
      </c>
      <c r="AH3386" t="str">
        <f t="shared" si="159"/>
        <v>Musrigharari</v>
      </c>
      <c r="AJ3386" s="72">
        <v>0</v>
      </c>
      <c r="AK3386" s="72"/>
      <c r="AL3386" s="72"/>
      <c r="AM3386" s="72"/>
    </row>
    <row r="3387" spans="1:39" x14ac:dyDescent="0.25">
      <c r="A3387" s="37" t="s">
        <v>62</v>
      </c>
      <c r="B3387" s="66" t="s">
        <v>1644</v>
      </c>
      <c r="C3387" s="4">
        <v>1013</v>
      </c>
      <c r="D3387" s="41" t="s">
        <v>351</v>
      </c>
      <c r="E3387" s="41">
        <v>10130020</v>
      </c>
      <c r="F3387" s="85" t="s">
        <v>362</v>
      </c>
      <c r="G3387" s="39" t="s">
        <v>635</v>
      </c>
      <c r="H3387" s="52" t="s">
        <v>99</v>
      </c>
      <c r="I3387" s="52">
        <v>511.9</v>
      </c>
      <c r="J3387" s="49">
        <v>18690.992263695003</v>
      </c>
      <c r="K3387" s="58">
        <v>0</v>
      </c>
      <c r="L3387" s="58">
        <v>0</v>
      </c>
      <c r="M3387" s="58">
        <v>0</v>
      </c>
      <c r="N3387" s="58">
        <v>0</v>
      </c>
      <c r="O3387" s="58">
        <v>0</v>
      </c>
      <c r="P3387" s="53">
        <v>0</v>
      </c>
      <c r="Q3387" s="65">
        <v>18690.992263695003</v>
      </c>
      <c r="R3387" s="65">
        <v>0</v>
      </c>
      <c r="S3387" s="65">
        <v>0</v>
      </c>
      <c r="T3387" s="65">
        <v>0</v>
      </c>
      <c r="U3387" s="58">
        <v>0</v>
      </c>
      <c r="V3387" s="65">
        <v>0</v>
      </c>
      <c r="W3387" s="65">
        <v>0</v>
      </c>
      <c r="X3387" s="65">
        <v>0</v>
      </c>
      <c r="Y3387" s="65">
        <v>0</v>
      </c>
      <c r="Z3387" s="51">
        <v>18690.992263695003</v>
      </c>
      <c r="AA3387" s="51">
        <v>0</v>
      </c>
      <c r="AB3387" s="102">
        <v>0</v>
      </c>
      <c r="AC3387" s="81">
        <f t="shared" si="160"/>
        <v>137.36181460445525</v>
      </c>
      <c r="AD3387" s="82">
        <f t="shared" si="161"/>
        <v>73.128571428571419</v>
      </c>
      <c r="AE3387" s="218">
        <v>0</v>
      </c>
      <c r="AF3387">
        <v>0</v>
      </c>
      <c r="AH3387" t="str">
        <f t="shared" ref="AH3387:AH3450" si="162">TEXT(D3387,"0000")</f>
        <v>Musrigharari</v>
      </c>
      <c r="AJ3387" s="72">
        <v>0</v>
      </c>
      <c r="AK3387" s="72"/>
      <c r="AL3387" s="72"/>
      <c r="AM3387" s="72"/>
    </row>
    <row r="3388" spans="1:39" x14ac:dyDescent="0.25">
      <c r="A3388" s="37" t="s">
        <v>62</v>
      </c>
      <c r="B3388" s="66" t="s">
        <v>1644</v>
      </c>
      <c r="C3388" s="4">
        <v>1013</v>
      </c>
      <c r="D3388" s="41" t="s">
        <v>351</v>
      </c>
      <c r="E3388" s="41">
        <v>10130025</v>
      </c>
      <c r="F3388" s="85" t="s">
        <v>363</v>
      </c>
      <c r="G3388" s="39" t="s">
        <v>635</v>
      </c>
      <c r="H3388" s="52" t="s">
        <v>99</v>
      </c>
      <c r="I3388" s="52">
        <v>530.4</v>
      </c>
      <c r="J3388" s="49">
        <v>21365.6266457118</v>
      </c>
      <c r="K3388" s="58">
        <v>0</v>
      </c>
      <c r="L3388" s="58">
        <v>0</v>
      </c>
      <c r="M3388" s="58">
        <v>0</v>
      </c>
      <c r="N3388" s="58">
        <v>0</v>
      </c>
      <c r="O3388" s="58">
        <v>0</v>
      </c>
      <c r="P3388" s="53">
        <v>0</v>
      </c>
      <c r="Q3388" s="65">
        <v>21365.6266457118</v>
      </c>
      <c r="R3388" s="65">
        <v>0</v>
      </c>
      <c r="S3388" s="65">
        <v>0</v>
      </c>
      <c r="T3388" s="65">
        <v>0</v>
      </c>
      <c r="U3388" s="58">
        <v>3000</v>
      </c>
      <c r="V3388" s="65">
        <v>0</v>
      </c>
      <c r="W3388" s="65">
        <v>0</v>
      </c>
      <c r="X3388" s="65">
        <v>0</v>
      </c>
      <c r="Y3388" s="65">
        <v>0</v>
      </c>
      <c r="Z3388" s="51">
        <v>18365.6266457118</v>
      </c>
      <c r="AA3388" s="51">
        <v>0</v>
      </c>
      <c r="AB3388" s="102">
        <v>0</v>
      </c>
      <c r="AC3388" s="81">
        <f t="shared" si="160"/>
        <v>136.63688835266672</v>
      </c>
      <c r="AD3388" s="82">
        <f t="shared" si="161"/>
        <v>75.771428571428572</v>
      </c>
      <c r="AE3388" s="218">
        <v>0</v>
      </c>
      <c r="AF3388">
        <v>0</v>
      </c>
      <c r="AH3388" t="str">
        <f t="shared" si="162"/>
        <v>Musrigharari</v>
      </c>
      <c r="AJ3388" s="72">
        <v>0</v>
      </c>
      <c r="AK3388" s="72"/>
      <c r="AL3388" s="72"/>
      <c r="AM3388" s="72"/>
    </row>
    <row r="3389" spans="1:39" x14ac:dyDescent="0.25">
      <c r="A3389" s="37" t="s">
        <v>62</v>
      </c>
      <c r="B3389" s="66" t="s">
        <v>1644</v>
      </c>
      <c r="C3389" s="4">
        <v>1013</v>
      </c>
      <c r="D3389" s="41" t="s">
        <v>351</v>
      </c>
      <c r="E3389" s="41">
        <v>10130026</v>
      </c>
      <c r="F3389" s="85" t="s">
        <v>325</v>
      </c>
      <c r="G3389" s="39" t="s">
        <v>93</v>
      </c>
      <c r="H3389" s="52" t="s">
        <v>94</v>
      </c>
      <c r="I3389" s="52">
        <v>298.3</v>
      </c>
      <c r="J3389" s="49">
        <v>13143.948135441204</v>
      </c>
      <c r="K3389" s="58">
        <v>79.02</v>
      </c>
      <c r="L3389" s="58">
        <v>4048.4375454687006</v>
      </c>
      <c r="M3389" s="58">
        <v>228.80000000000004</v>
      </c>
      <c r="N3389" s="58">
        <v>10377.626191091023</v>
      </c>
      <c r="O3389" s="58">
        <v>307.82000000000005</v>
      </c>
      <c r="P3389" s="53">
        <v>14426.063736559725</v>
      </c>
      <c r="Q3389" s="65">
        <v>13143.948135441204</v>
      </c>
      <c r="R3389" s="65">
        <v>0</v>
      </c>
      <c r="S3389" s="65">
        <v>123.78428338740002</v>
      </c>
      <c r="T3389" s="65">
        <v>1282.1156011185212</v>
      </c>
      <c r="U3389" s="58">
        <v>0</v>
      </c>
      <c r="V3389" s="65">
        <v>500</v>
      </c>
      <c r="W3389" s="65">
        <v>0</v>
      </c>
      <c r="X3389" s="65">
        <v>2266</v>
      </c>
      <c r="Y3389" s="65">
        <v>10254</v>
      </c>
      <c r="Z3389" s="51">
        <v>0</v>
      </c>
      <c r="AA3389" s="51">
        <v>0</v>
      </c>
      <c r="AB3389" s="102">
        <v>0</v>
      </c>
      <c r="AC3389" s="81">
        <f t="shared" si="160"/>
        <v>354.00093637323045</v>
      </c>
      <c r="AD3389" s="82">
        <f t="shared" si="161"/>
        <v>42.614285714285714</v>
      </c>
      <c r="AE3389" s="218">
        <v>-9.7544176826248899E-2</v>
      </c>
      <c r="AF3389">
        <v>8</v>
      </c>
      <c r="AH3389" t="str">
        <f t="shared" si="162"/>
        <v>Musrigharari</v>
      </c>
      <c r="AJ3389" s="72">
        <v>500</v>
      </c>
      <c r="AK3389" s="72"/>
      <c r="AL3389" s="72"/>
      <c r="AM3389" s="72"/>
    </row>
    <row r="3390" spans="1:39" x14ac:dyDescent="0.25">
      <c r="A3390" s="37" t="s">
        <v>62</v>
      </c>
      <c r="B3390" s="66" t="s">
        <v>1644</v>
      </c>
      <c r="C3390" s="4">
        <v>1013</v>
      </c>
      <c r="D3390" s="41" t="s">
        <v>351</v>
      </c>
      <c r="E3390" s="41">
        <v>10130030</v>
      </c>
      <c r="F3390" s="85" t="s">
        <v>364</v>
      </c>
      <c r="G3390" s="39" t="s">
        <v>93</v>
      </c>
      <c r="H3390" s="52" t="s">
        <v>94</v>
      </c>
      <c r="I3390" s="52">
        <v>262.10000000000002</v>
      </c>
      <c r="J3390" s="49">
        <v>8666.2140290924999</v>
      </c>
      <c r="K3390" s="58">
        <v>172</v>
      </c>
      <c r="L3390" s="58">
        <v>6537.626784000001</v>
      </c>
      <c r="M3390" s="58">
        <v>70</v>
      </c>
      <c r="N3390" s="58">
        <v>2626.4750399999998</v>
      </c>
      <c r="O3390" s="58">
        <v>242</v>
      </c>
      <c r="P3390" s="53">
        <v>9164.1018240000012</v>
      </c>
      <c r="Q3390" s="65">
        <v>8666.2140290924999</v>
      </c>
      <c r="R3390" s="65">
        <v>0</v>
      </c>
      <c r="S3390" s="65">
        <v>0</v>
      </c>
      <c r="T3390" s="65">
        <v>497.8877949075013</v>
      </c>
      <c r="U3390" s="58">
        <v>1500</v>
      </c>
      <c r="V3390" s="65">
        <v>0</v>
      </c>
      <c r="W3390" s="65">
        <v>0</v>
      </c>
      <c r="X3390" s="65">
        <v>4540</v>
      </c>
      <c r="Y3390" s="65">
        <v>2626</v>
      </c>
      <c r="Z3390" s="51">
        <v>0</v>
      </c>
      <c r="AA3390" s="51">
        <v>0</v>
      </c>
      <c r="AB3390" s="102">
        <v>0</v>
      </c>
      <c r="AC3390" s="81">
        <f t="shared" si="160"/>
        <v>289.57917766803553</v>
      </c>
      <c r="AD3390" s="82">
        <f t="shared" si="161"/>
        <v>37.442857142857143</v>
      </c>
      <c r="AE3390" s="218">
        <v>-5.7451592268098949E-2</v>
      </c>
      <c r="AF3390">
        <v>3</v>
      </c>
      <c r="AH3390" t="str">
        <f t="shared" si="162"/>
        <v>Musrigharari</v>
      </c>
      <c r="AJ3390" s="72">
        <v>0</v>
      </c>
      <c r="AK3390" s="72"/>
      <c r="AL3390" s="72"/>
      <c r="AM3390" s="72"/>
    </row>
    <row r="3391" spans="1:39" x14ac:dyDescent="0.25">
      <c r="A3391" s="37" t="s">
        <v>62</v>
      </c>
      <c r="B3391" s="66" t="s">
        <v>1644</v>
      </c>
      <c r="C3391" s="4">
        <v>1013</v>
      </c>
      <c r="D3391" s="41" t="s">
        <v>351</v>
      </c>
      <c r="E3391" s="41">
        <v>10130031</v>
      </c>
      <c r="F3391" s="85" t="s">
        <v>365</v>
      </c>
      <c r="G3391" s="39" t="s">
        <v>635</v>
      </c>
      <c r="H3391" s="52" t="s">
        <v>99</v>
      </c>
      <c r="I3391" s="52">
        <v>115.69999999999999</v>
      </c>
      <c r="J3391" s="49">
        <v>4676.7677678670007</v>
      </c>
      <c r="K3391" s="58">
        <v>0</v>
      </c>
      <c r="L3391" s="58">
        <v>0</v>
      </c>
      <c r="M3391" s="58">
        <v>0</v>
      </c>
      <c r="N3391" s="58">
        <v>0</v>
      </c>
      <c r="O3391" s="58">
        <v>0</v>
      </c>
      <c r="P3391" s="53">
        <v>0</v>
      </c>
      <c r="Q3391" s="65">
        <v>4676.7677678670007</v>
      </c>
      <c r="R3391" s="65">
        <v>0</v>
      </c>
      <c r="S3391" s="65">
        <v>0</v>
      </c>
      <c r="T3391" s="65">
        <v>0</v>
      </c>
      <c r="U3391" s="58">
        <v>0</v>
      </c>
      <c r="V3391" s="65">
        <v>0</v>
      </c>
      <c r="W3391" s="65">
        <v>0</v>
      </c>
      <c r="X3391" s="65">
        <v>0</v>
      </c>
      <c r="Y3391" s="65">
        <v>0</v>
      </c>
      <c r="Z3391" s="51">
        <v>4676.7677678670007</v>
      </c>
      <c r="AA3391" s="51">
        <v>0</v>
      </c>
      <c r="AB3391" s="102">
        <v>0</v>
      </c>
      <c r="AC3391" s="81">
        <f t="shared" si="160"/>
        <v>472.36567100513213</v>
      </c>
      <c r="AD3391" s="82">
        <f t="shared" si="161"/>
        <v>16.528571428571428</v>
      </c>
      <c r="AE3391" s="218">
        <v>0</v>
      </c>
      <c r="AF3391">
        <v>0</v>
      </c>
      <c r="AH3391" t="str">
        <f t="shared" si="162"/>
        <v>Musrigharari</v>
      </c>
      <c r="AJ3391" s="72">
        <v>0</v>
      </c>
      <c r="AK3391" s="72"/>
      <c r="AL3391" s="72"/>
      <c r="AM3391" s="72"/>
    </row>
    <row r="3392" spans="1:39" x14ac:dyDescent="0.25">
      <c r="A3392" s="37" t="s">
        <v>62</v>
      </c>
      <c r="B3392" s="66" t="s">
        <v>1644</v>
      </c>
      <c r="C3392" s="4">
        <v>1013</v>
      </c>
      <c r="D3392" s="41" t="s">
        <v>351</v>
      </c>
      <c r="E3392" s="41">
        <v>10130032</v>
      </c>
      <c r="F3392" s="85" t="s">
        <v>626</v>
      </c>
      <c r="G3392" s="39" t="s">
        <v>93</v>
      </c>
      <c r="H3392" s="52" t="s">
        <v>94</v>
      </c>
      <c r="I3392" s="52">
        <v>66.200000000000017</v>
      </c>
      <c r="J3392" s="49">
        <v>2822.0732000212001</v>
      </c>
      <c r="K3392" s="58">
        <v>114.5</v>
      </c>
      <c r="L3392" s="58">
        <v>5613.1258398024002</v>
      </c>
      <c r="M3392" s="58">
        <v>0</v>
      </c>
      <c r="N3392" s="58">
        <v>0</v>
      </c>
      <c r="O3392" s="58">
        <v>114.5</v>
      </c>
      <c r="P3392" s="53">
        <v>5613.1258398024002</v>
      </c>
      <c r="Q3392" s="65">
        <v>2822.0732000212001</v>
      </c>
      <c r="R3392" s="65">
        <v>0</v>
      </c>
      <c r="S3392" s="65">
        <v>0</v>
      </c>
      <c r="T3392" s="65">
        <v>2791.0526397812</v>
      </c>
      <c r="U3392" s="58">
        <v>0</v>
      </c>
      <c r="V3392" s="65">
        <v>500</v>
      </c>
      <c r="W3392" s="65">
        <v>0</v>
      </c>
      <c r="X3392" s="65">
        <v>2322</v>
      </c>
      <c r="Y3392" s="65">
        <v>0</v>
      </c>
      <c r="Z3392" s="51">
        <v>0</v>
      </c>
      <c r="AA3392" s="51">
        <v>0</v>
      </c>
      <c r="AB3392" s="102">
        <v>0</v>
      </c>
      <c r="AC3392" s="81">
        <f t="shared" si="160"/>
        <v>540.37159944816801</v>
      </c>
      <c r="AD3392" s="82">
        <f t="shared" si="161"/>
        <v>9.4571428571428591</v>
      </c>
      <c r="AE3392" s="218">
        <v>-0.98900788248874372</v>
      </c>
      <c r="AF3392">
        <v>1</v>
      </c>
      <c r="AH3392" t="str">
        <f t="shared" si="162"/>
        <v>Musrigharari</v>
      </c>
      <c r="AJ3392" s="72">
        <v>500</v>
      </c>
      <c r="AK3392" s="72"/>
      <c r="AL3392" s="72"/>
      <c r="AM3392" s="72"/>
    </row>
    <row r="3393" spans="1:39" x14ac:dyDescent="0.25">
      <c r="A3393" s="37" t="s">
        <v>62</v>
      </c>
      <c r="B3393" s="66" t="s">
        <v>1644</v>
      </c>
      <c r="C3393" s="4">
        <v>1013</v>
      </c>
      <c r="D3393" s="41" t="s">
        <v>351</v>
      </c>
      <c r="E3393" s="41">
        <v>10130040</v>
      </c>
      <c r="F3393" s="85" t="s">
        <v>366</v>
      </c>
      <c r="G3393" s="39" t="s">
        <v>635</v>
      </c>
      <c r="H3393" s="52" t="s">
        <v>99</v>
      </c>
      <c r="I3393" s="52">
        <v>1457</v>
      </c>
      <c r="J3393" s="49">
        <v>37954.314151920007</v>
      </c>
      <c r="K3393" s="58">
        <v>0</v>
      </c>
      <c r="L3393" s="58">
        <v>0</v>
      </c>
      <c r="M3393" s="58">
        <v>0</v>
      </c>
      <c r="N3393" s="58">
        <v>0</v>
      </c>
      <c r="O3393" s="58">
        <v>0</v>
      </c>
      <c r="P3393" s="53">
        <v>0</v>
      </c>
      <c r="Q3393" s="65">
        <v>37954.314151920007</v>
      </c>
      <c r="R3393" s="65">
        <v>0</v>
      </c>
      <c r="S3393" s="65">
        <v>0</v>
      </c>
      <c r="T3393" s="65">
        <v>0</v>
      </c>
      <c r="U3393" s="58">
        <v>0</v>
      </c>
      <c r="V3393" s="65">
        <v>0</v>
      </c>
      <c r="W3393" s="65">
        <v>0</v>
      </c>
      <c r="X3393" s="65">
        <v>0</v>
      </c>
      <c r="Y3393" s="65">
        <v>0</v>
      </c>
      <c r="Z3393" s="51">
        <v>37954.314151920007</v>
      </c>
      <c r="AA3393" s="51">
        <v>0</v>
      </c>
      <c r="AB3393" s="102">
        <v>0</v>
      </c>
      <c r="AC3393" s="81">
        <f t="shared" ref="AC3393:AC3456" si="163">((IF(AD3393=0,0,100-AD3393))*7*(J3393/I3393))*2%</f>
        <v>0</v>
      </c>
      <c r="AD3393" s="82">
        <f t="shared" ref="AD3393:AD3456" si="164">IF((I3393/7)&gt;100,0,(I3393/7))</f>
        <v>0</v>
      </c>
      <c r="AE3393" s="218">
        <v>0</v>
      </c>
      <c r="AF3393">
        <v>0</v>
      </c>
      <c r="AH3393" t="str">
        <f t="shared" si="162"/>
        <v>Musrigharari</v>
      </c>
      <c r="AJ3393" s="72">
        <v>0</v>
      </c>
      <c r="AK3393" s="72"/>
      <c r="AL3393" s="72"/>
      <c r="AM3393" s="72"/>
    </row>
    <row r="3394" spans="1:39" x14ac:dyDescent="0.25">
      <c r="A3394" s="37" t="s">
        <v>62</v>
      </c>
      <c r="B3394" s="66" t="s">
        <v>1644</v>
      </c>
      <c r="C3394" s="4">
        <v>1013</v>
      </c>
      <c r="D3394" s="41" t="s">
        <v>351</v>
      </c>
      <c r="E3394" s="41">
        <v>10130041</v>
      </c>
      <c r="F3394" s="85" t="s">
        <v>367</v>
      </c>
      <c r="G3394" s="39" t="s">
        <v>635</v>
      </c>
      <c r="H3394" s="52" t="s">
        <v>99</v>
      </c>
      <c r="I3394" s="52">
        <v>48.3</v>
      </c>
      <c r="J3394" s="49">
        <v>1855.3625055000002</v>
      </c>
      <c r="K3394" s="58">
        <v>0</v>
      </c>
      <c r="L3394" s="58">
        <v>0</v>
      </c>
      <c r="M3394" s="58">
        <v>0</v>
      </c>
      <c r="N3394" s="58">
        <v>0</v>
      </c>
      <c r="O3394" s="58">
        <v>0</v>
      </c>
      <c r="P3394" s="53">
        <v>0</v>
      </c>
      <c r="Q3394" s="65">
        <v>1855.3625055000002</v>
      </c>
      <c r="R3394" s="65">
        <v>0</v>
      </c>
      <c r="S3394" s="65">
        <v>0</v>
      </c>
      <c r="T3394" s="65">
        <v>0</v>
      </c>
      <c r="U3394" s="58">
        <v>1500</v>
      </c>
      <c r="V3394" s="65">
        <v>0</v>
      </c>
      <c r="W3394" s="65">
        <v>0</v>
      </c>
      <c r="X3394" s="65">
        <v>0</v>
      </c>
      <c r="Y3394" s="65">
        <v>0</v>
      </c>
      <c r="Z3394" s="51">
        <v>355.36250550000022</v>
      </c>
      <c r="AA3394" s="51">
        <v>0</v>
      </c>
      <c r="AB3394" s="102">
        <v>0</v>
      </c>
      <c r="AC3394" s="81">
        <f t="shared" si="163"/>
        <v>500.6789833682609</v>
      </c>
      <c r="AD3394" s="82">
        <f t="shared" si="164"/>
        <v>6.8999999999999995</v>
      </c>
      <c r="AE3394" s="218">
        <v>0</v>
      </c>
      <c r="AF3394">
        <v>0</v>
      </c>
      <c r="AH3394" t="str">
        <f t="shared" si="162"/>
        <v>Musrigharari</v>
      </c>
      <c r="AJ3394" s="72">
        <v>0</v>
      </c>
      <c r="AK3394" s="72"/>
      <c r="AL3394" s="72"/>
      <c r="AM3394" s="72"/>
    </row>
    <row r="3395" spans="1:39" x14ac:dyDescent="0.25">
      <c r="A3395" s="37" t="s">
        <v>62</v>
      </c>
      <c r="B3395" s="66" t="s">
        <v>1644</v>
      </c>
      <c r="C3395" s="4">
        <v>1013</v>
      </c>
      <c r="D3395" s="41" t="s">
        <v>351</v>
      </c>
      <c r="E3395" s="41">
        <v>10130042</v>
      </c>
      <c r="F3395" s="85" t="s">
        <v>368</v>
      </c>
      <c r="G3395" s="39" t="s">
        <v>635</v>
      </c>
      <c r="H3395" s="52" t="s">
        <v>99</v>
      </c>
      <c r="I3395" s="52">
        <v>21</v>
      </c>
      <c r="J3395" s="49">
        <v>944.11480701120013</v>
      </c>
      <c r="K3395" s="58">
        <v>0</v>
      </c>
      <c r="L3395" s="58">
        <v>0</v>
      </c>
      <c r="M3395" s="58">
        <v>0</v>
      </c>
      <c r="N3395" s="58">
        <v>0</v>
      </c>
      <c r="O3395" s="58">
        <v>0</v>
      </c>
      <c r="P3395" s="53">
        <v>0</v>
      </c>
      <c r="Q3395" s="65">
        <v>944.11480701120013</v>
      </c>
      <c r="R3395" s="65">
        <v>0</v>
      </c>
      <c r="S3395" s="65">
        <v>0</v>
      </c>
      <c r="T3395" s="65">
        <v>0</v>
      </c>
      <c r="U3395" s="58">
        <v>0</v>
      </c>
      <c r="V3395" s="65">
        <v>0</v>
      </c>
      <c r="W3395" s="65">
        <v>0</v>
      </c>
      <c r="X3395" s="65">
        <v>0</v>
      </c>
      <c r="Y3395" s="65">
        <v>0</v>
      </c>
      <c r="Z3395" s="51">
        <v>944.11480701120013</v>
      </c>
      <c r="AA3395" s="51">
        <v>0</v>
      </c>
      <c r="AB3395" s="102">
        <v>0</v>
      </c>
      <c r="AC3395" s="81">
        <f t="shared" si="163"/>
        <v>610.52757520057617</v>
      </c>
      <c r="AD3395" s="82">
        <f t="shared" si="164"/>
        <v>3</v>
      </c>
      <c r="AE3395" s="218">
        <v>0</v>
      </c>
      <c r="AF3395">
        <v>0</v>
      </c>
      <c r="AH3395" t="str">
        <f t="shared" si="162"/>
        <v>Musrigharari</v>
      </c>
      <c r="AJ3395" s="72">
        <v>0</v>
      </c>
      <c r="AK3395" s="72"/>
      <c r="AL3395" s="72"/>
      <c r="AM3395" s="72"/>
    </row>
    <row r="3396" spans="1:39" x14ac:dyDescent="0.25">
      <c r="A3396" s="37" t="s">
        <v>62</v>
      </c>
      <c r="B3396" s="66" t="s">
        <v>1644</v>
      </c>
      <c r="C3396" s="4">
        <v>1013</v>
      </c>
      <c r="D3396" s="41" t="s">
        <v>351</v>
      </c>
      <c r="E3396" s="41">
        <v>10130044</v>
      </c>
      <c r="F3396" s="85" t="s">
        <v>369</v>
      </c>
      <c r="G3396" s="39" t="s">
        <v>93</v>
      </c>
      <c r="H3396" s="52" t="s">
        <v>99</v>
      </c>
      <c r="I3396" s="52">
        <v>3005.7999999999997</v>
      </c>
      <c r="J3396" s="49">
        <v>128190.60373893</v>
      </c>
      <c r="K3396" s="58">
        <v>0</v>
      </c>
      <c r="L3396" s="58">
        <v>0</v>
      </c>
      <c r="M3396" s="58">
        <v>0</v>
      </c>
      <c r="N3396" s="58">
        <v>0</v>
      </c>
      <c r="O3396" s="58">
        <v>0</v>
      </c>
      <c r="P3396" s="53">
        <v>0</v>
      </c>
      <c r="Q3396" s="65">
        <v>128190.60373893</v>
      </c>
      <c r="R3396" s="65">
        <v>0</v>
      </c>
      <c r="S3396" s="65">
        <v>44.617122000000002</v>
      </c>
      <c r="T3396" s="65">
        <v>0</v>
      </c>
      <c r="U3396" s="58">
        <v>0</v>
      </c>
      <c r="V3396" s="65">
        <v>0</v>
      </c>
      <c r="W3396" s="65">
        <v>0</v>
      </c>
      <c r="X3396" s="65">
        <v>0</v>
      </c>
      <c r="Y3396" s="65">
        <v>0</v>
      </c>
      <c r="Z3396" s="51">
        <v>128145.98661693001</v>
      </c>
      <c r="AA3396" s="51">
        <v>0</v>
      </c>
      <c r="AB3396" s="102">
        <v>0</v>
      </c>
      <c r="AC3396" s="81">
        <f t="shared" si="163"/>
        <v>0</v>
      </c>
      <c r="AD3396" s="82">
        <f t="shared" si="164"/>
        <v>0</v>
      </c>
      <c r="AE3396" s="218">
        <v>0</v>
      </c>
      <c r="AF3396">
        <v>13</v>
      </c>
      <c r="AH3396" t="str">
        <f t="shared" si="162"/>
        <v>Musrigharari</v>
      </c>
      <c r="AJ3396" s="72">
        <v>0</v>
      </c>
      <c r="AK3396" s="72"/>
      <c r="AL3396" s="72"/>
      <c r="AM3396" s="72"/>
    </row>
    <row r="3397" spans="1:39" x14ac:dyDescent="0.25">
      <c r="A3397" s="37" t="s">
        <v>62</v>
      </c>
      <c r="B3397" s="66" t="s">
        <v>1644</v>
      </c>
      <c r="C3397" s="4">
        <v>1013</v>
      </c>
      <c r="D3397" s="41" t="s">
        <v>351</v>
      </c>
      <c r="E3397" s="41">
        <v>10130046</v>
      </c>
      <c r="F3397" s="85" t="s">
        <v>370</v>
      </c>
      <c r="G3397" s="39" t="s">
        <v>93</v>
      </c>
      <c r="H3397" s="52" t="s">
        <v>94</v>
      </c>
      <c r="I3397" s="52">
        <v>270</v>
      </c>
      <c r="J3397" s="49">
        <v>11689.4074443918</v>
      </c>
      <c r="K3397" s="58">
        <v>270.17</v>
      </c>
      <c r="L3397" s="58">
        <v>13309.199597694824</v>
      </c>
      <c r="M3397" s="58">
        <v>60.039999999999992</v>
      </c>
      <c r="N3397" s="58">
        <v>3193.2672883237497</v>
      </c>
      <c r="O3397" s="58">
        <v>330.21000000000004</v>
      </c>
      <c r="P3397" s="53">
        <v>16502.466886018574</v>
      </c>
      <c r="Q3397" s="65">
        <v>11689.4074443918</v>
      </c>
      <c r="R3397" s="65">
        <v>0</v>
      </c>
      <c r="S3397" s="65">
        <v>0</v>
      </c>
      <c r="T3397" s="65">
        <v>4813.0594416267741</v>
      </c>
      <c r="U3397" s="58">
        <v>2700</v>
      </c>
      <c r="V3397" s="65">
        <v>0</v>
      </c>
      <c r="W3397" s="65">
        <v>0</v>
      </c>
      <c r="X3397" s="65">
        <v>5796</v>
      </c>
      <c r="Y3397" s="65">
        <v>3193</v>
      </c>
      <c r="Z3397" s="51">
        <v>0</v>
      </c>
      <c r="AA3397" s="51">
        <v>0</v>
      </c>
      <c r="AB3397" s="102">
        <v>0</v>
      </c>
      <c r="AC3397" s="81">
        <f t="shared" si="163"/>
        <v>372.32927415470181</v>
      </c>
      <c r="AD3397" s="82">
        <f t="shared" si="164"/>
        <v>38.571428571428569</v>
      </c>
      <c r="AE3397" s="218">
        <v>-0.41174537413664408</v>
      </c>
      <c r="AF3397">
        <v>13</v>
      </c>
      <c r="AH3397" t="str">
        <f t="shared" si="162"/>
        <v>Musrigharari</v>
      </c>
      <c r="AJ3397" s="72">
        <v>0</v>
      </c>
      <c r="AK3397" s="72"/>
      <c r="AL3397" s="72"/>
      <c r="AM3397" s="72"/>
    </row>
    <row r="3398" spans="1:39" x14ac:dyDescent="0.25">
      <c r="A3398" s="37" t="s">
        <v>62</v>
      </c>
      <c r="B3398" s="66" t="s">
        <v>1644</v>
      </c>
      <c r="C3398" s="4">
        <v>1013</v>
      </c>
      <c r="D3398" s="41" t="s">
        <v>351</v>
      </c>
      <c r="E3398" s="41">
        <v>10130047</v>
      </c>
      <c r="F3398" s="85" t="s">
        <v>371</v>
      </c>
      <c r="G3398" s="39" t="s">
        <v>93</v>
      </c>
      <c r="H3398" s="52" t="s">
        <v>94</v>
      </c>
      <c r="I3398" s="52">
        <v>283.60000000000002</v>
      </c>
      <c r="J3398" s="49">
        <v>10328.204059351501</v>
      </c>
      <c r="K3398" s="58">
        <v>286.93</v>
      </c>
      <c r="L3398" s="58">
        <v>10842.875586559952</v>
      </c>
      <c r="M3398" s="58">
        <v>2.8300000000000005</v>
      </c>
      <c r="N3398" s="58">
        <v>103.21351442760003</v>
      </c>
      <c r="O3398" s="58">
        <v>289.76</v>
      </c>
      <c r="P3398" s="53">
        <v>10946.089100987552</v>
      </c>
      <c r="Q3398" s="65">
        <v>10328.204059351501</v>
      </c>
      <c r="R3398" s="65">
        <v>0</v>
      </c>
      <c r="S3398" s="65">
        <v>103.21351442760003</v>
      </c>
      <c r="T3398" s="65">
        <v>617.88504163605103</v>
      </c>
      <c r="U3398" s="58">
        <v>2652</v>
      </c>
      <c r="V3398" s="65">
        <v>0</v>
      </c>
      <c r="W3398" s="65">
        <v>0</v>
      </c>
      <c r="X3398" s="65">
        <v>7573</v>
      </c>
      <c r="Y3398" s="65">
        <v>0</v>
      </c>
      <c r="Z3398" s="51">
        <v>0</v>
      </c>
      <c r="AA3398" s="51">
        <v>0</v>
      </c>
      <c r="AB3398" s="102" t="s">
        <v>68</v>
      </c>
      <c r="AC3398" s="81">
        <f t="shared" si="163"/>
        <v>303.29084416882682</v>
      </c>
      <c r="AD3398" s="82">
        <f t="shared" si="164"/>
        <v>40.51428571428572</v>
      </c>
      <c r="AE3398" s="218">
        <v>-5.9825022635624364E-2</v>
      </c>
      <c r="AF3398">
        <v>6</v>
      </c>
      <c r="AH3398" t="str">
        <f t="shared" si="162"/>
        <v>Musrigharari</v>
      </c>
      <c r="AJ3398" s="72">
        <v>0</v>
      </c>
      <c r="AK3398" s="72"/>
      <c r="AL3398" s="72"/>
      <c r="AM3398" s="72"/>
    </row>
    <row r="3399" spans="1:39" x14ac:dyDescent="0.25">
      <c r="A3399" s="37" t="s">
        <v>62</v>
      </c>
      <c r="B3399" s="66" t="s">
        <v>1644</v>
      </c>
      <c r="C3399" s="4">
        <v>1013</v>
      </c>
      <c r="D3399" s="41" t="s">
        <v>351</v>
      </c>
      <c r="E3399" s="41">
        <v>10130052</v>
      </c>
      <c r="F3399" s="85" t="s">
        <v>373</v>
      </c>
      <c r="G3399" s="39" t="s">
        <v>93</v>
      </c>
      <c r="H3399" s="52" t="s">
        <v>94</v>
      </c>
      <c r="I3399" s="52">
        <v>1346.4999999999998</v>
      </c>
      <c r="J3399" s="49">
        <v>48991.765959888005</v>
      </c>
      <c r="K3399" s="58">
        <v>818.52</v>
      </c>
      <c r="L3399" s="58">
        <v>30332.192015694716</v>
      </c>
      <c r="M3399" s="58">
        <v>534.95000000000005</v>
      </c>
      <c r="N3399" s="58">
        <v>18674.516328114703</v>
      </c>
      <c r="O3399" s="58">
        <v>1353.47</v>
      </c>
      <c r="P3399" s="53">
        <v>49006.70834380942</v>
      </c>
      <c r="Q3399" s="65">
        <v>48991.765959888005</v>
      </c>
      <c r="R3399" s="65">
        <v>0</v>
      </c>
      <c r="S3399" s="65">
        <v>554.49380008439994</v>
      </c>
      <c r="T3399" s="65">
        <v>14.942383921414148</v>
      </c>
      <c r="U3399" s="58">
        <v>2700</v>
      </c>
      <c r="V3399" s="65">
        <v>0</v>
      </c>
      <c r="W3399" s="65">
        <v>0</v>
      </c>
      <c r="X3399" s="65">
        <v>27618</v>
      </c>
      <c r="Y3399" s="65">
        <v>18119</v>
      </c>
      <c r="Z3399" s="51">
        <v>0</v>
      </c>
      <c r="AA3399" s="51">
        <v>0</v>
      </c>
      <c r="AB3399" s="102">
        <v>0</v>
      </c>
      <c r="AC3399" s="81">
        <f t="shared" si="163"/>
        <v>0</v>
      </c>
      <c r="AD3399" s="82">
        <f t="shared" si="164"/>
        <v>0</v>
      </c>
      <c r="AE3399" s="218">
        <v>-3.0499786298065313E-4</v>
      </c>
      <c r="AF3399">
        <v>27</v>
      </c>
      <c r="AH3399" t="str">
        <f t="shared" si="162"/>
        <v>Musrigharari</v>
      </c>
      <c r="AJ3399" s="72">
        <v>0</v>
      </c>
      <c r="AK3399" s="72"/>
      <c r="AL3399" s="72"/>
      <c r="AM3399" s="72"/>
    </row>
    <row r="3400" spans="1:39" x14ac:dyDescent="0.25">
      <c r="A3400" s="37" t="s">
        <v>62</v>
      </c>
      <c r="B3400" s="66" t="s">
        <v>1644</v>
      </c>
      <c r="C3400" s="4">
        <v>1013</v>
      </c>
      <c r="D3400" s="41" t="s">
        <v>351</v>
      </c>
      <c r="E3400" s="41">
        <v>10130054</v>
      </c>
      <c r="F3400" s="85" t="s">
        <v>374</v>
      </c>
      <c r="G3400" s="39" t="s">
        <v>93</v>
      </c>
      <c r="H3400" s="52" t="s">
        <v>94</v>
      </c>
      <c r="I3400" s="52">
        <v>482.3</v>
      </c>
      <c r="J3400" s="49">
        <v>18932.146229952599</v>
      </c>
      <c r="K3400" s="58">
        <v>265.14</v>
      </c>
      <c r="L3400" s="58">
        <v>11432.973397095782</v>
      </c>
      <c r="M3400" s="58">
        <v>227.93</v>
      </c>
      <c r="N3400" s="58">
        <v>8535.0418851374998</v>
      </c>
      <c r="O3400" s="58">
        <v>493.07</v>
      </c>
      <c r="P3400" s="53">
        <v>19968.015282233282</v>
      </c>
      <c r="Q3400" s="65">
        <v>18932.146229952599</v>
      </c>
      <c r="R3400" s="65">
        <v>0</v>
      </c>
      <c r="S3400" s="65">
        <v>0</v>
      </c>
      <c r="T3400" s="65">
        <v>1035.8690522806828</v>
      </c>
      <c r="U3400" s="58">
        <v>0</v>
      </c>
      <c r="V3400" s="65">
        <v>0</v>
      </c>
      <c r="W3400" s="65">
        <v>0</v>
      </c>
      <c r="X3400" s="65">
        <v>10398</v>
      </c>
      <c r="Y3400" s="65">
        <v>8534</v>
      </c>
      <c r="Z3400" s="51">
        <v>0</v>
      </c>
      <c r="AA3400" s="51">
        <v>0</v>
      </c>
      <c r="AB3400" s="102">
        <v>0</v>
      </c>
      <c r="AC3400" s="81">
        <f t="shared" si="163"/>
        <v>170.91139267097989</v>
      </c>
      <c r="AD3400" s="82">
        <f t="shared" si="164"/>
        <v>68.900000000000006</v>
      </c>
      <c r="AE3400" s="218">
        <v>-5.4714824177822564E-2</v>
      </c>
      <c r="AF3400">
        <v>14</v>
      </c>
      <c r="AH3400" t="str">
        <f t="shared" si="162"/>
        <v>Musrigharari</v>
      </c>
      <c r="AJ3400" s="72">
        <v>0</v>
      </c>
      <c r="AK3400" s="72"/>
      <c r="AL3400" s="72"/>
      <c r="AM3400" s="72"/>
    </row>
    <row r="3401" spans="1:39" x14ac:dyDescent="0.25">
      <c r="A3401" s="37" t="s">
        <v>62</v>
      </c>
      <c r="B3401" s="66" t="s">
        <v>1644</v>
      </c>
      <c r="C3401" s="4">
        <v>1013</v>
      </c>
      <c r="D3401" s="41" t="s">
        <v>351</v>
      </c>
      <c r="E3401" s="41">
        <v>10130058</v>
      </c>
      <c r="F3401" s="85" t="s">
        <v>375</v>
      </c>
      <c r="G3401" s="39" t="s">
        <v>635</v>
      </c>
      <c r="H3401" s="52" t="s">
        <v>99</v>
      </c>
      <c r="I3401" s="52">
        <v>409.3</v>
      </c>
      <c r="J3401" s="49">
        <v>13141.566757275001</v>
      </c>
      <c r="K3401" s="58">
        <v>0</v>
      </c>
      <c r="L3401" s="58">
        <v>0</v>
      </c>
      <c r="M3401" s="58">
        <v>0</v>
      </c>
      <c r="N3401" s="58">
        <v>0</v>
      </c>
      <c r="O3401" s="58">
        <v>0</v>
      </c>
      <c r="P3401" s="53">
        <v>0</v>
      </c>
      <c r="Q3401" s="65">
        <v>13141.566757275001</v>
      </c>
      <c r="R3401" s="65">
        <v>0</v>
      </c>
      <c r="S3401" s="65">
        <v>0</v>
      </c>
      <c r="T3401" s="65">
        <v>0</v>
      </c>
      <c r="U3401" s="58">
        <v>1350</v>
      </c>
      <c r="V3401" s="65">
        <v>0</v>
      </c>
      <c r="W3401" s="65">
        <v>0</v>
      </c>
      <c r="X3401" s="65">
        <v>0</v>
      </c>
      <c r="Y3401" s="65">
        <v>0</v>
      </c>
      <c r="Z3401" s="51">
        <v>11791.566757275001</v>
      </c>
      <c r="AA3401" s="51">
        <v>0</v>
      </c>
      <c r="AB3401" s="102">
        <v>0</v>
      </c>
      <c r="AC3401" s="81">
        <f t="shared" si="163"/>
        <v>186.67253634692611</v>
      </c>
      <c r="AD3401" s="82">
        <f t="shared" si="164"/>
        <v>58.471428571428575</v>
      </c>
      <c r="AE3401" s="218">
        <v>0</v>
      </c>
      <c r="AF3401">
        <v>0</v>
      </c>
      <c r="AH3401" t="str">
        <f t="shared" si="162"/>
        <v>Musrigharari</v>
      </c>
      <c r="AJ3401" s="72">
        <v>0</v>
      </c>
      <c r="AK3401" s="72"/>
      <c r="AL3401" s="72"/>
      <c r="AM3401" s="72"/>
    </row>
    <row r="3402" spans="1:39" x14ac:dyDescent="0.25">
      <c r="A3402" s="37" t="s">
        <v>62</v>
      </c>
      <c r="B3402" s="66" t="s">
        <v>1644</v>
      </c>
      <c r="C3402" s="4">
        <v>1013</v>
      </c>
      <c r="D3402" s="41" t="s">
        <v>351</v>
      </c>
      <c r="E3402" s="41">
        <v>10130065</v>
      </c>
      <c r="F3402" s="85" t="s">
        <v>426</v>
      </c>
      <c r="G3402" s="39" t="s">
        <v>635</v>
      </c>
      <c r="H3402" s="52" t="s">
        <v>99</v>
      </c>
      <c r="I3402" s="52">
        <v>593.20000000000016</v>
      </c>
      <c r="J3402" s="49">
        <v>22877.432318970008</v>
      </c>
      <c r="K3402" s="58">
        <v>0</v>
      </c>
      <c r="L3402" s="58">
        <v>0</v>
      </c>
      <c r="M3402" s="58">
        <v>0</v>
      </c>
      <c r="N3402" s="58">
        <v>0</v>
      </c>
      <c r="O3402" s="58">
        <v>0</v>
      </c>
      <c r="P3402" s="53">
        <v>0</v>
      </c>
      <c r="Q3402" s="65">
        <v>22877.432318970008</v>
      </c>
      <c r="R3402" s="65">
        <v>0</v>
      </c>
      <c r="S3402" s="65">
        <v>0</v>
      </c>
      <c r="T3402" s="65">
        <v>0</v>
      </c>
      <c r="U3402" s="58">
        <v>0</v>
      </c>
      <c r="V3402" s="65">
        <v>0</v>
      </c>
      <c r="W3402" s="65">
        <v>0</v>
      </c>
      <c r="X3402" s="65">
        <v>0</v>
      </c>
      <c r="Y3402" s="65">
        <v>0</v>
      </c>
      <c r="Z3402" s="51">
        <v>22877.432318970008</v>
      </c>
      <c r="AA3402" s="51">
        <v>0</v>
      </c>
      <c r="AB3402" s="102">
        <v>0</v>
      </c>
      <c r="AC3402" s="81">
        <f t="shared" si="163"/>
        <v>82.377268093930994</v>
      </c>
      <c r="AD3402" s="82">
        <f t="shared" si="164"/>
        <v>84.742857142857162</v>
      </c>
      <c r="AE3402" s="218">
        <v>0</v>
      </c>
      <c r="AF3402">
        <v>0</v>
      </c>
      <c r="AH3402" t="str">
        <f t="shared" si="162"/>
        <v>Musrigharari</v>
      </c>
      <c r="AJ3402" s="72">
        <v>0</v>
      </c>
      <c r="AK3402" s="72"/>
      <c r="AL3402" s="72"/>
      <c r="AM3402" s="72"/>
    </row>
    <row r="3403" spans="1:39" x14ac:dyDescent="0.25">
      <c r="A3403" s="37" t="s">
        <v>62</v>
      </c>
      <c r="B3403" s="66" t="s">
        <v>1644</v>
      </c>
      <c r="C3403" s="4">
        <v>1013</v>
      </c>
      <c r="D3403" s="41" t="s">
        <v>351</v>
      </c>
      <c r="E3403" s="41">
        <v>10130074</v>
      </c>
      <c r="F3403" s="85" t="s">
        <v>463</v>
      </c>
      <c r="G3403" s="39" t="s">
        <v>93</v>
      </c>
      <c r="H3403" s="52" t="s">
        <v>94</v>
      </c>
      <c r="I3403" s="52">
        <v>279.2</v>
      </c>
      <c r="J3403" s="49">
        <v>10538.466038397</v>
      </c>
      <c r="K3403" s="58">
        <v>111.94999999999999</v>
      </c>
      <c r="L3403" s="58">
        <v>4210.2014588507</v>
      </c>
      <c r="M3403" s="58">
        <v>146.55000000000001</v>
      </c>
      <c r="N3403" s="58">
        <v>5304.2774679770073</v>
      </c>
      <c r="O3403" s="58">
        <v>258.5</v>
      </c>
      <c r="P3403" s="53">
        <v>9514.4789268277073</v>
      </c>
      <c r="Q3403" s="65">
        <v>9514.4789268277073</v>
      </c>
      <c r="R3403" s="65">
        <v>0</v>
      </c>
      <c r="S3403" s="65">
        <v>126.28884418755003</v>
      </c>
      <c r="T3403" s="65">
        <v>0</v>
      </c>
      <c r="U3403" s="58">
        <v>0</v>
      </c>
      <c r="V3403" s="65">
        <v>0</v>
      </c>
      <c r="W3403" s="65">
        <v>0</v>
      </c>
      <c r="X3403" s="65">
        <v>4210</v>
      </c>
      <c r="Y3403" s="65">
        <v>5178</v>
      </c>
      <c r="Z3403" s="51">
        <v>0</v>
      </c>
      <c r="AA3403" s="51">
        <v>1024</v>
      </c>
      <c r="AB3403" s="102">
        <v>0</v>
      </c>
      <c r="AC3403" s="81">
        <f t="shared" si="163"/>
        <v>317.66379003993256</v>
      </c>
      <c r="AD3403" s="82">
        <f t="shared" si="164"/>
        <v>39.885714285714286</v>
      </c>
      <c r="AE3403" s="218">
        <v>9.7166618731643339E-2</v>
      </c>
      <c r="AF3403">
        <v>12</v>
      </c>
      <c r="AH3403" t="str">
        <f t="shared" si="162"/>
        <v>Musrigharari</v>
      </c>
      <c r="AJ3403" s="72">
        <v>0</v>
      </c>
      <c r="AK3403" s="72"/>
      <c r="AL3403" s="72"/>
      <c r="AM3403" s="72"/>
    </row>
    <row r="3404" spans="1:39" x14ac:dyDescent="0.25">
      <c r="A3404" s="37" t="s">
        <v>62</v>
      </c>
      <c r="B3404" s="66" t="s">
        <v>1644</v>
      </c>
      <c r="C3404" s="4">
        <v>1013</v>
      </c>
      <c r="D3404" s="41" t="s">
        <v>351</v>
      </c>
      <c r="E3404" s="41">
        <v>10130077</v>
      </c>
      <c r="F3404" s="85" t="s">
        <v>491</v>
      </c>
      <c r="G3404" s="39" t="s">
        <v>93</v>
      </c>
      <c r="H3404" s="52" t="s">
        <v>94</v>
      </c>
      <c r="I3404" s="52">
        <v>208.9</v>
      </c>
      <c r="J3404" s="49">
        <v>7321.3374847500008</v>
      </c>
      <c r="K3404" s="58">
        <v>141.6</v>
      </c>
      <c r="L3404" s="58">
        <v>5184.3772580263512</v>
      </c>
      <c r="M3404" s="58">
        <v>68.78</v>
      </c>
      <c r="N3404" s="58">
        <v>2613.8340203037005</v>
      </c>
      <c r="O3404" s="58">
        <v>210.38</v>
      </c>
      <c r="P3404" s="53">
        <v>7798.2112783300518</v>
      </c>
      <c r="Q3404" s="65">
        <v>7321.3374847500008</v>
      </c>
      <c r="R3404" s="65">
        <v>0</v>
      </c>
      <c r="S3404" s="65">
        <v>37.525361470500002</v>
      </c>
      <c r="T3404" s="65">
        <v>476.87379358005091</v>
      </c>
      <c r="U3404" s="58">
        <v>1500</v>
      </c>
      <c r="V3404" s="65">
        <v>500</v>
      </c>
      <c r="W3404" s="65">
        <v>0</v>
      </c>
      <c r="X3404" s="65">
        <v>2706</v>
      </c>
      <c r="Y3404" s="65">
        <v>2577</v>
      </c>
      <c r="Z3404" s="51">
        <v>0</v>
      </c>
      <c r="AA3404" s="51">
        <v>1</v>
      </c>
      <c r="AB3404" s="102">
        <v>0</v>
      </c>
      <c r="AC3404" s="81">
        <f t="shared" si="163"/>
        <v>344.23253602304698</v>
      </c>
      <c r="AD3404" s="82">
        <f t="shared" si="164"/>
        <v>29.842857142857145</v>
      </c>
      <c r="AE3404" s="218">
        <v>-6.5134791911089535E-2</v>
      </c>
      <c r="AF3404">
        <v>7</v>
      </c>
      <c r="AH3404" t="str">
        <f t="shared" si="162"/>
        <v>Musrigharari</v>
      </c>
      <c r="AJ3404" s="72">
        <v>500</v>
      </c>
      <c r="AK3404" s="72"/>
      <c r="AL3404" s="72"/>
      <c r="AM3404" s="72"/>
    </row>
    <row r="3405" spans="1:39" x14ac:dyDescent="0.25">
      <c r="A3405" s="37" t="s">
        <v>62</v>
      </c>
      <c r="B3405" s="66" t="s">
        <v>1644</v>
      </c>
      <c r="C3405" s="4">
        <v>1013</v>
      </c>
      <c r="D3405" s="41" t="s">
        <v>351</v>
      </c>
      <c r="E3405" s="41">
        <v>10130080</v>
      </c>
      <c r="F3405" s="85" t="s">
        <v>493</v>
      </c>
      <c r="G3405" s="39" t="s">
        <v>635</v>
      </c>
      <c r="H3405" s="52" t="s">
        <v>99</v>
      </c>
      <c r="I3405" s="52">
        <v>166.1</v>
      </c>
      <c r="J3405" s="49">
        <v>4952.369582964001</v>
      </c>
      <c r="K3405" s="58">
        <v>0</v>
      </c>
      <c r="L3405" s="58">
        <v>0</v>
      </c>
      <c r="M3405" s="58">
        <v>0</v>
      </c>
      <c r="N3405" s="58">
        <v>0</v>
      </c>
      <c r="O3405" s="58">
        <v>0</v>
      </c>
      <c r="P3405" s="53">
        <v>0</v>
      </c>
      <c r="Q3405" s="65">
        <v>4952.369582964001</v>
      </c>
      <c r="R3405" s="65">
        <v>0</v>
      </c>
      <c r="S3405" s="65">
        <v>0</v>
      </c>
      <c r="T3405" s="65">
        <v>0</v>
      </c>
      <c r="U3405" s="58">
        <v>0</v>
      </c>
      <c r="V3405" s="65">
        <v>0</v>
      </c>
      <c r="W3405" s="65">
        <v>0</v>
      </c>
      <c r="X3405" s="65">
        <v>0</v>
      </c>
      <c r="Y3405" s="65">
        <v>0</v>
      </c>
      <c r="Z3405" s="51">
        <v>4952.369582964001</v>
      </c>
      <c r="AA3405" s="51">
        <v>0</v>
      </c>
      <c r="AB3405" s="102">
        <v>0</v>
      </c>
      <c r="AC3405" s="81">
        <f t="shared" si="163"/>
        <v>318.37087541775799</v>
      </c>
      <c r="AD3405" s="82">
        <f t="shared" si="164"/>
        <v>23.728571428571428</v>
      </c>
      <c r="AE3405" s="218">
        <v>0</v>
      </c>
      <c r="AF3405">
        <v>0</v>
      </c>
      <c r="AH3405" t="str">
        <f t="shared" si="162"/>
        <v>Musrigharari</v>
      </c>
      <c r="AJ3405" s="72">
        <v>0</v>
      </c>
      <c r="AK3405" s="72"/>
      <c r="AL3405" s="72"/>
      <c r="AM3405" s="72"/>
    </row>
    <row r="3406" spans="1:39" x14ac:dyDescent="0.25">
      <c r="A3406" s="37" t="s">
        <v>62</v>
      </c>
      <c r="B3406" s="66" t="s">
        <v>1644</v>
      </c>
      <c r="C3406" s="4">
        <v>1013</v>
      </c>
      <c r="D3406" s="41" t="s">
        <v>351</v>
      </c>
      <c r="E3406" s="41">
        <v>10130081</v>
      </c>
      <c r="F3406" s="85" t="s">
        <v>1270</v>
      </c>
      <c r="G3406" s="39" t="s">
        <v>635</v>
      </c>
      <c r="H3406" s="52" t="s">
        <v>99</v>
      </c>
      <c r="I3406" s="52">
        <v>162.79999999999998</v>
      </c>
      <c r="J3406" s="49">
        <v>5836.8112936125017</v>
      </c>
      <c r="K3406" s="58">
        <v>0</v>
      </c>
      <c r="L3406" s="58">
        <v>0</v>
      </c>
      <c r="M3406" s="58">
        <v>0</v>
      </c>
      <c r="N3406" s="58">
        <v>0</v>
      </c>
      <c r="O3406" s="58">
        <v>0</v>
      </c>
      <c r="P3406" s="53">
        <v>0</v>
      </c>
      <c r="Q3406" s="65">
        <v>5836.8112936125017</v>
      </c>
      <c r="R3406" s="65">
        <v>0</v>
      </c>
      <c r="S3406" s="65">
        <v>0</v>
      </c>
      <c r="T3406" s="65">
        <v>0</v>
      </c>
      <c r="U3406" s="58">
        <v>0</v>
      </c>
      <c r="V3406" s="65">
        <v>0</v>
      </c>
      <c r="W3406" s="65">
        <v>0</v>
      </c>
      <c r="X3406" s="65">
        <v>0</v>
      </c>
      <c r="Y3406" s="65">
        <v>0</v>
      </c>
      <c r="Z3406" s="51">
        <v>5836.8112936125017</v>
      </c>
      <c r="AA3406" s="51">
        <v>0</v>
      </c>
      <c r="AB3406" s="102">
        <v>0</v>
      </c>
      <c r="AC3406" s="81">
        <f t="shared" si="163"/>
        <v>385.20086325904623</v>
      </c>
      <c r="AD3406" s="82">
        <f t="shared" si="164"/>
        <v>23.257142857142856</v>
      </c>
      <c r="AE3406" s="218">
        <v>0</v>
      </c>
      <c r="AF3406">
        <v>0</v>
      </c>
      <c r="AH3406" t="str">
        <f t="shared" si="162"/>
        <v>Musrigharari</v>
      </c>
      <c r="AJ3406" s="72">
        <v>0</v>
      </c>
      <c r="AK3406" s="72"/>
      <c r="AL3406" s="72"/>
      <c r="AM3406" s="72"/>
    </row>
    <row r="3407" spans="1:39" x14ac:dyDescent="0.25">
      <c r="A3407" s="37" t="s">
        <v>62</v>
      </c>
      <c r="B3407" s="66" t="s">
        <v>1644</v>
      </c>
      <c r="C3407" s="4">
        <v>1013</v>
      </c>
      <c r="D3407" s="41" t="s">
        <v>351</v>
      </c>
      <c r="E3407" s="41">
        <v>10130083</v>
      </c>
      <c r="F3407" s="85" t="s">
        <v>500</v>
      </c>
      <c r="G3407" s="39" t="s">
        <v>635</v>
      </c>
      <c r="H3407" s="52" t="s">
        <v>99</v>
      </c>
      <c r="I3407" s="52">
        <v>1341.3000000000002</v>
      </c>
      <c r="J3407" s="49">
        <v>41761.825243801504</v>
      </c>
      <c r="K3407" s="58">
        <v>0</v>
      </c>
      <c r="L3407" s="58">
        <v>0</v>
      </c>
      <c r="M3407" s="58">
        <v>0</v>
      </c>
      <c r="N3407" s="58">
        <v>0</v>
      </c>
      <c r="O3407" s="58">
        <v>0</v>
      </c>
      <c r="P3407" s="53">
        <v>0</v>
      </c>
      <c r="Q3407" s="65">
        <v>41761.825243801504</v>
      </c>
      <c r="R3407" s="65">
        <v>0</v>
      </c>
      <c r="S3407" s="65">
        <v>0</v>
      </c>
      <c r="T3407" s="65">
        <v>0</v>
      </c>
      <c r="U3407" s="58">
        <v>0</v>
      </c>
      <c r="V3407" s="65">
        <v>0</v>
      </c>
      <c r="W3407" s="65">
        <v>0</v>
      </c>
      <c r="X3407" s="65">
        <v>0</v>
      </c>
      <c r="Y3407" s="65">
        <v>0</v>
      </c>
      <c r="Z3407" s="51">
        <v>41761.825243801504</v>
      </c>
      <c r="AA3407" s="51">
        <v>0</v>
      </c>
      <c r="AB3407" s="102">
        <v>0</v>
      </c>
      <c r="AC3407" s="81">
        <f t="shared" si="163"/>
        <v>0</v>
      </c>
      <c r="AD3407" s="82">
        <f t="shared" si="164"/>
        <v>0</v>
      </c>
      <c r="AE3407" s="218">
        <v>0</v>
      </c>
      <c r="AF3407">
        <v>0</v>
      </c>
      <c r="AH3407" t="str">
        <f t="shared" si="162"/>
        <v>Musrigharari</v>
      </c>
      <c r="AJ3407" s="72">
        <v>0</v>
      </c>
      <c r="AK3407" s="72"/>
      <c r="AL3407" s="72"/>
      <c r="AM3407" s="72"/>
    </row>
    <row r="3408" spans="1:39" x14ac:dyDescent="0.25">
      <c r="A3408" s="37" t="s">
        <v>62</v>
      </c>
      <c r="B3408" s="66" t="s">
        <v>1644</v>
      </c>
      <c r="C3408" s="4">
        <v>1013</v>
      </c>
      <c r="D3408" s="41" t="s">
        <v>351</v>
      </c>
      <c r="E3408" s="41">
        <v>10130088</v>
      </c>
      <c r="F3408" s="85" t="s">
        <v>1288</v>
      </c>
      <c r="G3408" s="39" t="s">
        <v>635</v>
      </c>
      <c r="H3408" s="52" t="s">
        <v>99</v>
      </c>
      <c r="I3408" s="52">
        <v>84.9</v>
      </c>
      <c r="J3408" s="49">
        <v>2910.8575032930003</v>
      </c>
      <c r="K3408" s="58">
        <v>0</v>
      </c>
      <c r="L3408" s="58">
        <v>0</v>
      </c>
      <c r="M3408" s="58">
        <v>0</v>
      </c>
      <c r="N3408" s="58">
        <v>0</v>
      </c>
      <c r="O3408" s="58">
        <v>0</v>
      </c>
      <c r="P3408" s="53">
        <v>0</v>
      </c>
      <c r="Q3408" s="65">
        <v>2910.8575032930003</v>
      </c>
      <c r="R3408" s="65">
        <v>0</v>
      </c>
      <c r="S3408" s="65">
        <v>0</v>
      </c>
      <c r="T3408" s="65">
        <v>0</v>
      </c>
      <c r="U3408" s="58">
        <v>0</v>
      </c>
      <c r="V3408" s="65">
        <v>0</v>
      </c>
      <c r="W3408" s="65">
        <v>0</v>
      </c>
      <c r="X3408" s="65">
        <v>0</v>
      </c>
      <c r="Y3408" s="65">
        <v>0</v>
      </c>
      <c r="Z3408" s="51">
        <v>2910.8575032930003</v>
      </c>
      <c r="AA3408" s="51">
        <v>0</v>
      </c>
      <c r="AB3408" s="102">
        <v>0</v>
      </c>
      <c r="AC3408" s="81">
        <f t="shared" si="163"/>
        <v>421.7829093699703</v>
      </c>
      <c r="AD3408" s="82">
        <f t="shared" si="164"/>
        <v>12.12857142857143</v>
      </c>
      <c r="AE3408" s="218">
        <v>0</v>
      </c>
      <c r="AF3408">
        <v>0</v>
      </c>
      <c r="AH3408" t="str">
        <f t="shared" si="162"/>
        <v>Musrigharari</v>
      </c>
      <c r="AJ3408" s="72">
        <v>0</v>
      </c>
      <c r="AK3408" s="72"/>
      <c r="AL3408" s="72"/>
      <c r="AM3408" s="72"/>
    </row>
    <row r="3409" spans="1:39" x14ac:dyDescent="0.25">
      <c r="A3409" s="37" t="s">
        <v>62</v>
      </c>
      <c r="B3409" s="66" t="s">
        <v>1644</v>
      </c>
      <c r="C3409" s="4">
        <v>1013</v>
      </c>
      <c r="D3409" s="41" t="s">
        <v>351</v>
      </c>
      <c r="E3409" s="41">
        <v>10130093</v>
      </c>
      <c r="F3409" s="85" t="s">
        <v>578</v>
      </c>
      <c r="G3409" s="39" t="s">
        <v>93</v>
      </c>
      <c r="H3409" s="52" t="s">
        <v>94</v>
      </c>
      <c r="I3409" s="52">
        <v>247.7</v>
      </c>
      <c r="J3409" s="49">
        <v>9126.1368034110001</v>
      </c>
      <c r="K3409" s="58">
        <v>242.48</v>
      </c>
      <c r="L3409" s="58">
        <v>8955.131661343652</v>
      </c>
      <c r="M3409" s="58">
        <v>10.01</v>
      </c>
      <c r="N3409" s="58">
        <v>418.34565867600008</v>
      </c>
      <c r="O3409" s="58">
        <v>252.48999999999998</v>
      </c>
      <c r="P3409" s="53">
        <v>9373.4773200196523</v>
      </c>
      <c r="Q3409" s="65">
        <v>9126.1368034110001</v>
      </c>
      <c r="R3409" s="65">
        <v>0</v>
      </c>
      <c r="S3409" s="65">
        <v>0</v>
      </c>
      <c r="T3409" s="65">
        <v>247.34051660865225</v>
      </c>
      <c r="U3409" s="58">
        <v>0</v>
      </c>
      <c r="V3409" s="65">
        <v>0</v>
      </c>
      <c r="W3409" s="65">
        <v>0</v>
      </c>
      <c r="X3409" s="65">
        <v>8708</v>
      </c>
      <c r="Y3409" s="65">
        <v>418</v>
      </c>
      <c r="Z3409" s="51">
        <v>0</v>
      </c>
      <c r="AA3409" s="51">
        <v>0</v>
      </c>
      <c r="AB3409" s="102">
        <v>0</v>
      </c>
      <c r="AC3409" s="81">
        <f t="shared" si="163"/>
        <v>333.28636868653979</v>
      </c>
      <c r="AD3409" s="82">
        <f t="shared" si="164"/>
        <v>35.385714285714286</v>
      </c>
      <c r="AE3409" s="218">
        <v>-2.7102433585721161E-2</v>
      </c>
      <c r="AF3409">
        <v>3</v>
      </c>
      <c r="AH3409" t="str">
        <f t="shared" si="162"/>
        <v>Musrigharari</v>
      </c>
      <c r="AJ3409" s="72">
        <v>0</v>
      </c>
      <c r="AK3409" s="72"/>
      <c r="AL3409" s="72"/>
      <c r="AM3409" s="72"/>
    </row>
    <row r="3410" spans="1:39" x14ac:dyDescent="0.25">
      <c r="A3410" s="37" t="s">
        <v>62</v>
      </c>
      <c r="B3410" s="66" t="s">
        <v>1644</v>
      </c>
      <c r="C3410" s="4">
        <v>1013</v>
      </c>
      <c r="D3410" s="41" t="s">
        <v>351</v>
      </c>
      <c r="E3410" s="41">
        <v>10130097</v>
      </c>
      <c r="F3410" s="85" t="s">
        <v>835</v>
      </c>
      <c r="G3410" s="39" t="s">
        <v>93</v>
      </c>
      <c r="H3410" s="52" t="s">
        <v>94</v>
      </c>
      <c r="I3410" s="52">
        <v>46</v>
      </c>
      <c r="J3410" s="49">
        <v>1742.9494959720002</v>
      </c>
      <c r="K3410" s="58">
        <v>118</v>
      </c>
      <c r="L3410" s="58">
        <v>4545.4636656000011</v>
      </c>
      <c r="M3410" s="58">
        <v>0</v>
      </c>
      <c r="N3410" s="58">
        <v>0</v>
      </c>
      <c r="O3410" s="58">
        <v>118</v>
      </c>
      <c r="P3410" s="53">
        <v>4545.4636656000011</v>
      </c>
      <c r="Q3410" s="65">
        <v>1742.9494959720002</v>
      </c>
      <c r="R3410" s="65">
        <v>0</v>
      </c>
      <c r="S3410" s="65">
        <v>0</v>
      </c>
      <c r="T3410" s="65">
        <v>2802.5141696280007</v>
      </c>
      <c r="U3410" s="58">
        <v>0</v>
      </c>
      <c r="V3410" s="65">
        <v>500</v>
      </c>
      <c r="W3410" s="65">
        <v>0</v>
      </c>
      <c r="X3410" s="65">
        <v>1243</v>
      </c>
      <c r="Y3410" s="65">
        <v>0</v>
      </c>
      <c r="Z3410" s="51">
        <v>0</v>
      </c>
      <c r="AA3410" s="51">
        <v>0</v>
      </c>
      <c r="AB3410" s="102">
        <v>0</v>
      </c>
      <c r="AC3410" s="81">
        <f t="shared" si="163"/>
        <v>495.60390015899486</v>
      </c>
      <c r="AD3410" s="82">
        <f t="shared" si="164"/>
        <v>6.5714285714285712</v>
      </c>
      <c r="AE3410" s="218">
        <v>-1.6079147308081392</v>
      </c>
      <c r="AF3410">
        <v>2</v>
      </c>
      <c r="AH3410" t="str">
        <f t="shared" si="162"/>
        <v>Musrigharari</v>
      </c>
      <c r="AJ3410" s="72">
        <v>500</v>
      </c>
      <c r="AK3410" s="72"/>
      <c r="AL3410" s="72"/>
      <c r="AM3410" s="72"/>
    </row>
    <row r="3411" spans="1:39" x14ac:dyDescent="0.25">
      <c r="A3411" s="37" t="s">
        <v>62</v>
      </c>
      <c r="B3411" s="66" t="s">
        <v>1644</v>
      </c>
      <c r="C3411" s="4">
        <v>1013</v>
      </c>
      <c r="D3411" s="41" t="s">
        <v>351</v>
      </c>
      <c r="E3411" s="41">
        <v>10130098</v>
      </c>
      <c r="F3411" s="85" t="s">
        <v>646</v>
      </c>
      <c r="G3411" s="39" t="s">
        <v>93</v>
      </c>
      <c r="H3411" s="52" t="s">
        <v>94</v>
      </c>
      <c r="I3411" s="52">
        <v>1049.4999999999998</v>
      </c>
      <c r="J3411" s="49">
        <v>39817.542674873992</v>
      </c>
      <c r="K3411" s="58">
        <v>1079.26</v>
      </c>
      <c r="L3411" s="58">
        <v>39875.320331763432</v>
      </c>
      <c r="M3411" s="58">
        <v>0</v>
      </c>
      <c r="N3411" s="58">
        <v>0</v>
      </c>
      <c r="O3411" s="58">
        <v>1079.26</v>
      </c>
      <c r="P3411" s="53">
        <v>39875.320331763432</v>
      </c>
      <c r="Q3411" s="65">
        <v>39817.542674873992</v>
      </c>
      <c r="R3411" s="65">
        <v>0</v>
      </c>
      <c r="S3411" s="65">
        <v>0</v>
      </c>
      <c r="T3411" s="65">
        <v>57.77765688944055</v>
      </c>
      <c r="U3411" s="58">
        <v>0</v>
      </c>
      <c r="V3411" s="65">
        <v>0</v>
      </c>
      <c r="W3411" s="65">
        <v>0</v>
      </c>
      <c r="X3411" s="65">
        <v>39818</v>
      </c>
      <c r="Y3411" s="65">
        <v>0</v>
      </c>
      <c r="Z3411" s="51">
        <v>0</v>
      </c>
      <c r="AA3411" s="51">
        <v>0</v>
      </c>
      <c r="AB3411" s="102">
        <v>0</v>
      </c>
      <c r="AC3411" s="81">
        <f t="shared" si="163"/>
        <v>0</v>
      </c>
      <c r="AD3411" s="82">
        <f t="shared" si="164"/>
        <v>0</v>
      </c>
      <c r="AE3411" s="218">
        <v>-1.451060336927821E-3</v>
      </c>
      <c r="AF3411">
        <v>4</v>
      </c>
      <c r="AH3411" t="str">
        <f t="shared" si="162"/>
        <v>Musrigharari</v>
      </c>
      <c r="AJ3411" s="72">
        <v>0</v>
      </c>
      <c r="AK3411" s="72"/>
      <c r="AL3411" s="72"/>
      <c r="AM3411" s="72"/>
    </row>
    <row r="3412" spans="1:39" x14ac:dyDescent="0.25">
      <c r="A3412" s="37" t="s">
        <v>62</v>
      </c>
      <c r="B3412" s="66" t="s">
        <v>1644</v>
      </c>
      <c r="C3412" s="4">
        <v>1013</v>
      </c>
      <c r="D3412" s="41" t="s">
        <v>351</v>
      </c>
      <c r="E3412" s="41">
        <v>10130100</v>
      </c>
      <c r="F3412" s="85" t="s">
        <v>696</v>
      </c>
      <c r="G3412" s="39" t="s">
        <v>93</v>
      </c>
      <c r="H3412" s="52" t="s">
        <v>94</v>
      </c>
      <c r="I3412" s="52">
        <v>132.79999999999998</v>
      </c>
      <c r="J3412" s="49">
        <v>5411.3179782555017</v>
      </c>
      <c r="K3412" s="58">
        <v>126.66999999999999</v>
      </c>
      <c r="L3412" s="58">
        <v>5581.6943194461537</v>
      </c>
      <c r="M3412" s="58">
        <v>0.2</v>
      </c>
      <c r="N3412" s="58">
        <v>9.8162453999999997</v>
      </c>
      <c r="O3412" s="58">
        <v>126.86999999999999</v>
      </c>
      <c r="P3412" s="53">
        <v>5591.510564846154</v>
      </c>
      <c r="Q3412" s="65">
        <v>5411.3179782555017</v>
      </c>
      <c r="R3412" s="65">
        <v>0</v>
      </c>
      <c r="S3412" s="65">
        <v>9.8162453999999997</v>
      </c>
      <c r="T3412" s="65">
        <v>180.19258659065235</v>
      </c>
      <c r="U3412" s="58">
        <v>0</v>
      </c>
      <c r="V3412" s="65">
        <v>500</v>
      </c>
      <c r="W3412" s="65">
        <v>0</v>
      </c>
      <c r="X3412" s="65">
        <v>4901</v>
      </c>
      <c r="Y3412" s="65">
        <v>0</v>
      </c>
      <c r="Z3412" s="51">
        <v>0</v>
      </c>
      <c r="AA3412" s="51">
        <v>1</v>
      </c>
      <c r="AB3412" s="102">
        <v>0</v>
      </c>
      <c r="AC3412" s="81">
        <f t="shared" si="163"/>
        <v>462.24390922688576</v>
      </c>
      <c r="AD3412" s="82">
        <f t="shared" si="164"/>
        <v>18.971428571428568</v>
      </c>
      <c r="AE3412" s="218">
        <v>-3.3299204983836997E-2</v>
      </c>
      <c r="AF3412">
        <v>2</v>
      </c>
      <c r="AH3412" t="str">
        <f t="shared" si="162"/>
        <v>Musrigharari</v>
      </c>
      <c r="AJ3412" s="72">
        <v>500</v>
      </c>
      <c r="AK3412" s="72"/>
      <c r="AL3412" s="72"/>
      <c r="AM3412" s="72"/>
    </row>
    <row r="3413" spans="1:39" x14ac:dyDescent="0.25">
      <c r="A3413" s="37" t="s">
        <v>62</v>
      </c>
      <c r="B3413" s="66" t="s">
        <v>1644</v>
      </c>
      <c r="C3413" s="4">
        <v>1061</v>
      </c>
      <c r="D3413" s="41" t="s">
        <v>1452</v>
      </c>
      <c r="E3413" s="41">
        <v>10130101</v>
      </c>
      <c r="F3413" s="85" t="s">
        <v>1562</v>
      </c>
      <c r="G3413" s="39" t="s">
        <v>635</v>
      </c>
      <c r="H3413" s="52" t="s">
        <v>99</v>
      </c>
      <c r="I3413" s="52">
        <v>70.099999999999994</v>
      </c>
      <c r="J3413" s="49">
        <v>2734.7553607200002</v>
      </c>
      <c r="K3413" s="58">
        <v>0</v>
      </c>
      <c r="L3413" s="58">
        <v>0</v>
      </c>
      <c r="M3413" s="58">
        <v>0</v>
      </c>
      <c r="N3413" s="58">
        <v>0</v>
      </c>
      <c r="O3413" s="58">
        <v>0</v>
      </c>
      <c r="P3413" s="53">
        <v>0</v>
      </c>
      <c r="Q3413" s="65">
        <v>2734.7553607200002</v>
      </c>
      <c r="R3413" s="65">
        <v>0</v>
      </c>
      <c r="S3413" s="65">
        <v>0</v>
      </c>
      <c r="T3413" s="65">
        <v>0</v>
      </c>
      <c r="U3413" s="58">
        <v>0</v>
      </c>
      <c r="V3413" s="65">
        <v>0</v>
      </c>
      <c r="W3413" s="65">
        <v>0</v>
      </c>
      <c r="X3413" s="65">
        <v>0</v>
      </c>
      <c r="Y3413" s="65">
        <v>0</v>
      </c>
      <c r="Z3413" s="51">
        <v>2734.7553607200002</v>
      </c>
      <c r="AA3413" s="51">
        <v>0</v>
      </c>
      <c r="AB3413" s="102">
        <v>0</v>
      </c>
      <c r="AC3413" s="81">
        <f t="shared" si="163"/>
        <v>491.47572088945168</v>
      </c>
      <c r="AD3413" s="82">
        <f t="shared" si="164"/>
        <v>10.014285714285714</v>
      </c>
      <c r="AE3413" s="218">
        <v>0</v>
      </c>
      <c r="AF3413">
        <v>0</v>
      </c>
      <c r="AH3413" t="str">
        <f t="shared" si="162"/>
        <v>Mahua BMC</v>
      </c>
      <c r="AJ3413" s="72">
        <v>0</v>
      </c>
      <c r="AK3413" s="72"/>
      <c r="AL3413" s="72"/>
      <c r="AM3413" s="72"/>
    </row>
    <row r="3414" spans="1:39" x14ac:dyDescent="0.25">
      <c r="A3414" s="37" t="s">
        <v>62</v>
      </c>
      <c r="B3414" s="66" t="s">
        <v>1644</v>
      </c>
      <c r="C3414" s="4">
        <v>1013</v>
      </c>
      <c r="D3414" s="41" t="s">
        <v>351</v>
      </c>
      <c r="E3414" s="41">
        <v>10130102</v>
      </c>
      <c r="F3414" s="85" t="s">
        <v>697</v>
      </c>
      <c r="G3414" s="39" t="s">
        <v>635</v>
      </c>
      <c r="H3414" s="52" t="s">
        <v>94</v>
      </c>
      <c r="I3414" s="52">
        <v>39</v>
      </c>
      <c r="J3414" s="49">
        <v>1421.4014357399999</v>
      </c>
      <c r="K3414" s="58">
        <v>38.9</v>
      </c>
      <c r="L3414" s="58">
        <v>1468.5938784</v>
      </c>
      <c r="M3414" s="58">
        <v>0</v>
      </c>
      <c r="N3414" s="58">
        <v>0</v>
      </c>
      <c r="O3414" s="58">
        <v>38.9</v>
      </c>
      <c r="P3414" s="53">
        <v>1468.5938784</v>
      </c>
      <c r="Q3414" s="65">
        <v>1421.4014357399999</v>
      </c>
      <c r="R3414" s="65">
        <v>0</v>
      </c>
      <c r="S3414" s="65">
        <v>0</v>
      </c>
      <c r="T3414" s="65">
        <v>47.192442660000097</v>
      </c>
      <c r="U3414" s="58">
        <v>0</v>
      </c>
      <c r="V3414" s="65">
        <v>500</v>
      </c>
      <c r="W3414" s="65">
        <v>0</v>
      </c>
      <c r="X3414" s="65">
        <v>921</v>
      </c>
      <c r="Y3414" s="65">
        <v>0</v>
      </c>
      <c r="Z3414" s="51">
        <v>0</v>
      </c>
      <c r="AA3414" s="51">
        <v>0</v>
      </c>
      <c r="AB3414" s="102">
        <v>0</v>
      </c>
      <c r="AC3414" s="81">
        <f t="shared" si="163"/>
        <v>481.81864052519995</v>
      </c>
      <c r="AD3414" s="82">
        <f t="shared" si="164"/>
        <v>5.5714285714285712</v>
      </c>
      <c r="AE3414" s="218">
        <v>-3.3201347257279995E-2</v>
      </c>
      <c r="AF3414">
        <v>1</v>
      </c>
      <c r="AH3414" t="str">
        <f t="shared" si="162"/>
        <v>Musrigharari</v>
      </c>
      <c r="AJ3414" s="72">
        <v>500</v>
      </c>
      <c r="AK3414" s="72"/>
      <c r="AL3414" s="72"/>
      <c r="AM3414" s="72"/>
    </row>
    <row r="3415" spans="1:39" x14ac:dyDescent="0.25">
      <c r="A3415" s="37" t="s">
        <v>62</v>
      </c>
      <c r="B3415" s="66" t="s">
        <v>1644</v>
      </c>
      <c r="C3415" s="4">
        <v>1013</v>
      </c>
      <c r="D3415" s="41" t="s">
        <v>351</v>
      </c>
      <c r="E3415" s="41">
        <v>10130107</v>
      </c>
      <c r="F3415" s="85" t="s">
        <v>522</v>
      </c>
      <c r="G3415" s="39" t="s">
        <v>635</v>
      </c>
      <c r="H3415" s="52" t="s">
        <v>99</v>
      </c>
      <c r="I3415" s="52">
        <v>430.90000000000003</v>
      </c>
      <c r="J3415" s="49">
        <v>15498.635918652501</v>
      </c>
      <c r="K3415" s="58">
        <v>0</v>
      </c>
      <c r="L3415" s="58">
        <v>0</v>
      </c>
      <c r="M3415" s="58">
        <v>0</v>
      </c>
      <c r="N3415" s="58">
        <v>0</v>
      </c>
      <c r="O3415" s="58">
        <v>0</v>
      </c>
      <c r="P3415" s="53">
        <v>0</v>
      </c>
      <c r="Q3415" s="65">
        <v>15498.635918652501</v>
      </c>
      <c r="R3415" s="65">
        <v>0</v>
      </c>
      <c r="S3415" s="65">
        <v>0</v>
      </c>
      <c r="T3415" s="65">
        <v>0</v>
      </c>
      <c r="U3415" s="58">
        <v>7500</v>
      </c>
      <c r="V3415" s="65">
        <v>0</v>
      </c>
      <c r="W3415" s="65">
        <v>0</v>
      </c>
      <c r="X3415" s="65">
        <v>0</v>
      </c>
      <c r="Y3415" s="65">
        <v>0</v>
      </c>
      <c r="Z3415" s="51">
        <v>7998.6359186525005</v>
      </c>
      <c r="AA3415" s="51">
        <v>0</v>
      </c>
      <c r="AB3415" s="102">
        <v>0</v>
      </c>
      <c r="AC3415" s="81">
        <f t="shared" si="163"/>
        <v>193.58008473935425</v>
      </c>
      <c r="AD3415" s="82">
        <f t="shared" si="164"/>
        <v>61.557142857142864</v>
      </c>
      <c r="AE3415" s="218">
        <v>0</v>
      </c>
      <c r="AF3415">
        <v>0</v>
      </c>
      <c r="AH3415" t="str">
        <f t="shared" si="162"/>
        <v>Musrigharari</v>
      </c>
      <c r="AJ3415" s="72">
        <v>0</v>
      </c>
      <c r="AK3415" s="72"/>
      <c r="AL3415" s="72"/>
      <c r="AM3415" s="72"/>
    </row>
    <row r="3416" spans="1:39" x14ac:dyDescent="0.25">
      <c r="A3416" s="37" t="s">
        <v>62</v>
      </c>
      <c r="B3416" s="66" t="s">
        <v>1644</v>
      </c>
      <c r="C3416" s="4">
        <v>1013</v>
      </c>
      <c r="D3416" s="41" t="s">
        <v>351</v>
      </c>
      <c r="E3416" s="41">
        <v>10130111</v>
      </c>
      <c r="F3416" s="85" t="s">
        <v>1271</v>
      </c>
      <c r="G3416" s="39" t="s">
        <v>635</v>
      </c>
      <c r="H3416" s="52" t="s">
        <v>99</v>
      </c>
      <c r="I3416" s="52">
        <v>1710.9</v>
      </c>
      <c r="J3416" s="49">
        <v>53405.327789471994</v>
      </c>
      <c r="K3416" s="58">
        <v>0</v>
      </c>
      <c r="L3416" s="58">
        <v>0</v>
      </c>
      <c r="M3416" s="58">
        <v>0</v>
      </c>
      <c r="N3416" s="58">
        <v>0</v>
      </c>
      <c r="O3416" s="58">
        <v>0</v>
      </c>
      <c r="P3416" s="53">
        <v>0</v>
      </c>
      <c r="Q3416" s="65">
        <v>53405.327789471994</v>
      </c>
      <c r="R3416" s="65">
        <v>0</v>
      </c>
      <c r="S3416" s="65">
        <v>0</v>
      </c>
      <c r="T3416" s="65">
        <v>0</v>
      </c>
      <c r="U3416" s="58">
        <v>0</v>
      </c>
      <c r="V3416" s="65">
        <v>0</v>
      </c>
      <c r="W3416" s="65">
        <v>0</v>
      </c>
      <c r="X3416" s="65">
        <v>0</v>
      </c>
      <c r="Y3416" s="65">
        <v>0</v>
      </c>
      <c r="Z3416" s="51">
        <v>53405.327789471994</v>
      </c>
      <c r="AA3416" s="51">
        <v>0</v>
      </c>
      <c r="AB3416" s="102">
        <v>0</v>
      </c>
      <c r="AC3416" s="81">
        <f t="shared" si="163"/>
        <v>0</v>
      </c>
      <c r="AD3416" s="82">
        <f t="shared" si="164"/>
        <v>0</v>
      </c>
      <c r="AE3416" s="218">
        <v>0</v>
      </c>
      <c r="AF3416">
        <v>0</v>
      </c>
      <c r="AH3416" t="str">
        <f t="shared" si="162"/>
        <v>Musrigharari</v>
      </c>
      <c r="AJ3416" s="72">
        <v>0</v>
      </c>
      <c r="AK3416" s="72"/>
      <c r="AL3416" s="72"/>
      <c r="AM3416" s="72"/>
    </row>
    <row r="3417" spans="1:39" x14ac:dyDescent="0.25">
      <c r="A3417" s="37" t="s">
        <v>62</v>
      </c>
      <c r="B3417" s="66" t="s">
        <v>1644</v>
      </c>
      <c r="C3417" s="4">
        <v>1013</v>
      </c>
      <c r="D3417" s="41" t="s">
        <v>351</v>
      </c>
      <c r="E3417" s="41">
        <v>10130113</v>
      </c>
      <c r="F3417" s="85" t="s">
        <v>1307</v>
      </c>
      <c r="G3417" s="39" t="s">
        <v>635</v>
      </c>
      <c r="H3417" s="52" t="s">
        <v>99</v>
      </c>
      <c r="I3417" s="52">
        <v>155</v>
      </c>
      <c r="J3417" s="49">
        <v>5077.9855145399997</v>
      </c>
      <c r="K3417" s="58">
        <v>0</v>
      </c>
      <c r="L3417" s="58">
        <v>0</v>
      </c>
      <c r="M3417" s="58">
        <v>0</v>
      </c>
      <c r="N3417" s="58">
        <v>0</v>
      </c>
      <c r="O3417" s="58">
        <v>0</v>
      </c>
      <c r="P3417" s="53">
        <v>0</v>
      </c>
      <c r="Q3417" s="65">
        <v>5077.9855145399997</v>
      </c>
      <c r="R3417" s="65">
        <v>0</v>
      </c>
      <c r="S3417" s="65">
        <v>0</v>
      </c>
      <c r="T3417" s="65">
        <v>0</v>
      </c>
      <c r="U3417" s="58">
        <v>1350</v>
      </c>
      <c r="V3417" s="65">
        <v>0</v>
      </c>
      <c r="W3417" s="65">
        <v>0</v>
      </c>
      <c r="X3417" s="65">
        <v>0</v>
      </c>
      <c r="Y3417" s="65">
        <v>0</v>
      </c>
      <c r="Z3417" s="51">
        <v>3727.9855145399997</v>
      </c>
      <c r="AA3417" s="51">
        <v>0</v>
      </c>
      <c r="AB3417" s="102">
        <v>0</v>
      </c>
      <c r="AC3417" s="81">
        <f t="shared" si="163"/>
        <v>357.0970458612</v>
      </c>
      <c r="AD3417" s="82">
        <f t="shared" si="164"/>
        <v>22.142857142857142</v>
      </c>
      <c r="AE3417" s="218">
        <v>0</v>
      </c>
      <c r="AF3417">
        <v>0</v>
      </c>
      <c r="AH3417" t="str">
        <f t="shared" si="162"/>
        <v>Musrigharari</v>
      </c>
      <c r="AJ3417" s="72">
        <v>0</v>
      </c>
      <c r="AK3417" s="72"/>
      <c r="AL3417" s="72"/>
      <c r="AM3417" s="72"/>
    </row>
    <row r="3418" spans="1:39" x14ac:dyDescent="0.25">
      <c r="A3418" s="37" t="s">
        <v>62</v>
      </c>
      <c r="B3418" s="66" t="s">
        <v>1644</v>
      </c>
      <c r="C3418" s="4">
        <v>1013</v>
      </c>
      <c r="D3418" s="41" t="s">
        <v>351</v>
      </c>
      <c r="E3418" s="41">
        <v>10130114</v>
      </c>
      <c r="F3418" s="85" t="s">
        <v>1327</v>
      </c>
      <c r="G3418" s="39" t="s">
        <v>635</v>
      </c>
      <c r="H3418" s="52" t="s">
        <v>99</v>
      </c>
      <c r="I3418" s="52">
        <v>295.89999999999998</v>
      </c>
      <c r="J3418" s="49">
        <v>10213.160503357502</v>
      </c>
      <c r="K3418" s="58">
        <v>0</v>
      </c>
      <c r="L3418" s="58">
        <v>0</v>
      </c>
      <c r="M3418" s="58">
        <v>0</v>
      </c>
      <c r="N3418" s="58">
        <v>0</v>
      </c>
      <c r="O3418" s="58">
        <v>0</v>
      </c>
      <c r="P3418" s="53">
        <v>0</v>
      </c>
      <c r="Q3418" s="65">
        <v>10213.160503357502</v>
      </c>
      <c r="R3418" s="65">
        <v>0</v>
      </c>
      <c r="S3418" s="65">
        <v>0</v>
      </c>
      <c r="T3418" s="65">
        <v>0</v>
      </c>
      <c r="U3418" s="58">
        <v>0</v>
      </c>
      <c r="V3418" s="65">
        <v>0</v>
      </c>
      <c r="W3418" s="65">
        <v>0</v>
      </c>
      <c r="X3418" s="65">
        <v>0</v>
      </c>
      <c r="Y3418" s="65">
        <v>0</v>
      </c>
      <c r="Z3418" s="51">
        <v>10213.160503357502</v>
      </c>
      <c r="AA3418" s="51">
        <v>0</v>
      </c>
      <c r="AB3418" s="102">
        <v>0</v>
      </c>
      <c r="AC3418" s="81">
        <f t="shared" si="163"/>
        <v>278.95492797612485</v>
      </c>
      <c r="AD3418" s="82">
        <f t="shared" si="164"/>
        <v>42.271428571428565</v>
      </c>
      <c r="AE3418" s="218">
        <v>0</v>
      </c>
      <c r="AF3418">
        <v>0</v>
      </c>
      <c r="AH3418" t="str">
        <f t="shared" si="162"/>
        <v>Musrigharari</v>
      </c>
      <c r="AJ3418" s="72">
        <v>0</v>
      </c>
      <c r="AK3418" s="72"/>
      <c r="AL3418" s="72"/>
      <c r="AM3418" s="72"/>
    </row>
    <row r="3419" spans="1:39" x14ac:dyDescent="0.25">
      <c r="A3419" s="37" t="s">
        <v>62</v>
      </c>
      <c r="B3419" s="66" t="s">
        <v>1644</v>
      </c>
      <c r="C3419" s="4">
        <v>1013</v>
      </c>
      <c r="D3419" s="41" t="s">
        <v>351</v>
      </c>
      <c r="E3419" s="41">
        <v>10130115</v>
      </c>
      <c r="F3419" s="85" t="s">
        <v>1367</v>
      </c>
      <c r="G3419" s="39" t="s">
        <v>93</v>
      </c>
      <c r="H3419" s="52" t="s">
        <v>94</v>
      </c>
      <c r="I3419" s="52">
        <v>434.39999999999992</v>
      </c>
      <c r="J3419" s="49">
        <v>19762.108860168701</v>
      </c>
      <c r="K3419" s="58">
        <v>463.9</v>
      </c>
      <c r="L3419" s="58">
        <v>21576.865428809699</v>
      </c>
      <c r="M3419" s="58">
        <v>8.4</v>
      </c>
      <c r="N3419" s="58">
        <v>257.91362150400005</v>
      </c>
      <c r="O3419" s="58">
        <v>472.29999999999995</v>
      </c>
      <c r="P3419" s="53">
        <v>21834.7790503137</v>
      </c>
      <c r="Q3419" s="65">
        <v>19762.108860168701</v>
      </c>
      <c r="R3419" s="65">
        <v>0</v>
      </c>
      <c r="S3419" s="65">
        <v>257.91362150400005</v>
      </c>
      <c r="T3419" s="65">
        <v>2072.6701901449997</v>
      </c>
      <c r="U3419" s="58">
        <v>0</v>
      </c>
      <c r="V3419" s="65">
        <v>0</v>
      </c>
      <c r="W3419" s="65">
        <v>0</v>
      </c>
      <c r="X3419" s="65">
        <v>19504</v>
      </c>
      <c r="Y3419" s="65">
        <v>0</v>
      </c>
      <c r="Z3419" s="51">
        <v>0</v>
      </c>
      <c r="AA3419" s="51">
        <v>0</v>
      </c>
      <c r="AB3419" s="102">
        <v>0</v>
      </c>
      <c r="AC3419" s="81">
        <f t="shared" si="163"/>
        <v>241.65820042637242</v>
      </c>
      <c r="AD3419" s="82">
        <f t="shared" si="164"/>
        <v>62.057142857142843</v>
      </c>
      <c r="AE3419" s="218">
        <v>-0.10488102281040193</v>
      </c>
      <c r="AF3419">
        <v>3</v>
      </c>
      <c r="AH3419" t="str">
        <f t="shared" si="162"/>
        <v>Musrigharari</v>
      </c>
      <c r="AJ3419" s="72">
        <v>0</v>
      </c>
      <c r="AK3419" s="72"/>
      <c r="AL3419" s="72"/>
      <c r="AM3419" s="72"/>
    </row>
    <row r="3420" spans="1:39" x14ac:dyDescent="0.25">
      <c r="A3420" s="37" t="s">
        <v>62</v>
      </c>
      <c r="B3420" s="66" t="s">
        <v>1644</v>
      </c>
      <c r="C3420" s="4">
        <v>1013</v>
      </c>
      <c r="D3420" s="41" t="s">
        <v>351</v>
      </c>
      <c r="E3420" s="41">
        <v>10130116</v>
      </c>
      <c r="F3420" s="85" t="s">
        <v>1368</v>
      </c>
      <c r="G3420" s="39" t="s">
        <v>93</v>
      </c>
      <c r="H3420" s="52" t="s">
        <v>94</v>
      </c>
      <c r="I3420" s="52">
        <v>52.000000000000007</v>
      </c>
      <c r="J3420" s="49">
        <v>1873.5358375695002</v>
      </c>
      <c r="K3420" s="58">
        <v>55.999999999999986</v>
      </c>
      <c r="L3420" s="58">
        <v>2000.8757738775003</v>
      </c>
      <c r="M3420" s="58">
        <v>0</v>
      </c>
      <c r="N3420" s="58">
        <v>0</v>
      </c>
      <c r="O3420" s="58">
        <v>55.999999999999986</v>
      </c>
      <c r="P3420" s="53">
        <v>2000.8757738775003</v>
      </c>
      <c r="Q3420" s="65">
        <v>1873.5358375695002</v>
      </c>
      <c r="R3420" s="65">
        <v>0</v>
      </c>
      <c r="S3420" s="65">
        <v>0</v>
      </c>
      <c r="T3420" s="65">
        <v>127.33993630800001</v>
      </c>
      <c r="U3420" s="58">
        <v>2</v>
      </c>
      <c r="V3420" s="65">
        <v>500</v>
      </c>
      <c r="W3420" s="65">
        <v>0</v>
      </c>
      <c r="X3420" s="65">
        <v>1372</v>
      </c>
      <c r="Y3420" s="65">
        <v>0</v>
      </c>
      <c r="Z3420" s="51">
        <v>0</v>
      </c>
      <c r="AA3420" s="51">
        <v>0</v>
      </c>
      <c r="AB3420" s="102" t="s">
        <v>68</v>
      </c>
      <c r="AC3420" s="81">
        <f t="shared" si="163"/>
        <v>466.94277797885997</v>
      </c>
      <c r="AD3420" s="82">
        <f t="shared" si="164"/>
        <v>7.4285714285714297</v>
      </c>
      <c r="AE3420" s="218">
        <v>-6.7967707771843591E-2</v>
      </c>
      <c r="AF3420">
        <v>1</v>
      </c>
      <c r="AH3420" t="str">
        <f t="shared" si="162"/>
        <v>Musrigharari</v>
      </c>
      <c r="AJ3420" s="72">
        <v>500</v>
      </c>
      <c r="AK3420" s="72"/>
      <c r="AL3420" s="72"/>
      <c r="AM3420" s="72"/>
    </row>
    <row r="3421" spans="1:39" x14ac:dyDescent="0.25">
      <c r="A3421" s="37" t="s">
        <v>62</v>
      </c>
      <c r="B3421" s="66" t="s">
        <v>1644</v>
      </c>
      <c r="C3421" s="4">
        <v>1013</v>
      </c>
      <c r="D3421" s="41" t="s">
        <v>351</v>
      </c>
      <c r="E3421" s="41">
        <v>10130117</v>
      </c>
      <c r="F3421" s="85" t="s">
        <v>1392</v>
      </c>
      <c r="G3421" s="39" t="s">
        <v>93</v>
      </c>
      <c r="H3421" s="52" t="s">
        <v>94</v>
      </c>
      <c r="I3421" s="52">
        <v>262.3</v>
      </c>
      <c r="J3421" s="49">
        <v>7965.8200784084993</v>
      </c>
      <c r="K3421" s="58">
        <v>310</v>
      </c>
      <c r="L3421" s="58">
        <v>11697.527088000001</v>
      </c>
      <c r="M3421" s="58">
        <v>0</v>
      </c>
      <c r="N3421" s="58">
        <v>0</v>
      </c>
      <c r="O3421" s="58">
        <v>310</v>
      </c>
      <c r="P3421" s="53">
        <v>11697.527088000001</v>
      </c>
      <c r="Q3421" s="65">
        <v>7965.8200784084993</v>
      </c>
      <c r="R3421" s="65">
        <v>0</v>
      </c>
      <c r="S3421" s="65">
        <v>0</v>
      </c>
      <c r="T3421" s="65">
        <v>3731.7070095915014</v>
      </c>
      <c r="U3421" s="58">
        <v>2700</v>
      </c>
      <c r="V3421" s="65">
        <v>0</v>
      </c>
      <c r="W3421" s="65">
        <v>0</v>
      </c>
      <c r="X3421" s="65">
        <v>5266</v>
      </c>
      <c r="Y3421" s="65">
        <v>0</v>
      </c>
      <c r="Z3421" s="51">
        <v>0</v>
      </c>
      <c r="AA3421" s="51">
        <v>0</v>
      </c>
      <c r="AB3421" s="102">
        <v>0</v>
      </c>
      <c r="AC3421" s="81">
        <f t="shared" si="163"/>
        <v>265.85127322298132</v>
      </c>
      <c r="AD3421" s="82">
        <f t="shared" si="164"/>
        <v>37.471428571428575</v>
      </c>
      <c r="AE3421" s="218">
        <v>-0.46846488784078383</v>
      </c>
      <c r="AF3421">
        <v>1</v>
      </c>
      <c r="AH3421" t="str">
        <f t="shared" si="162"/>
        <v>Musrigharari</v>
      </c>
      <c r="AJ3421" s="72">
        <v>0</v>
      </c>
      <c r="AK3421" s="72"/>
      <c r="AL3421" s="72"/>
      <c r="AM3421" s="72"/>
    </row>
    <row r="3422" spans="1:39" x14ac:dyDescent="0.25">
      <c r="A3422" s="37" t="s">
        <v>62</v>
      </c>
      <c r="B3422" s="66" t="s">
        <v>1644</v>
      </c>
      <c r="C3422" s="4">
        <v>1013</v>
      </c>
      <c r="D3422" s="41" t="s">
        <v>351</v>
      </c>
      <c r="E3422" s="41">
        <v>10130118</v>
      </c>
      <c r="F3422" s="85" t="s">
        <v>1405</v>
      </c>
      <c r="G3422" s="39" t="s">
        <v>635</v>
      </c>
      <c r="H3422" s="52" t="s">
        <v>99</v>
      </c>
      <c r="I3422" s="52">
        <v>13955.7</v>
      </c>
      <c r="J3422" s="49">
        <v>474640.86248007906</v>
      </c>
      <c r="K3422" s="58">
        <v>0</v>
      </c>
      <c r="L3422" s="58">
        <v>0</v>
      </c>
      <c r="M3422" s="58">
        <v>0</v>
      </c>
      <c r="N3422" s="58">
        <v>0</v>
      </c>
      <c r="O3422" s="58">
        <v>0</v>
      </c>
      <c r="P3422" s="53">
        <v>0</v>
      </c>
      <c r="Q3422" s="65">
        <v>474640.86248007906</v>
      </c>
      <c r="R3422" s="65">
        <v>0</v>
      </c>
      <c r="S3422" s="65">
        <v>0</v>
      </c>
      <c r="T3422" s="65">
        <v>0</v>
      </c>
      <c r="U3422" s="58">
        <v>0</v>
      </c>
      <c r="V3422" s="65">
        <v>0</v>
      </c>
      <c r="W3422" s="65">
        <v>0</v>
      </c>
      <c r="X3422" s="65">
        <v>0</v>
      </c>
      <c r="Y3422" s="65">
        <v>0</v>
      </c>
      <c r="Z3422" s="51">
        <v>474640.86248007906</v>
      </c>
      <c r="AA3422" s="51">
        <v>0</v>
      </c>
      <c r="AB3422" s="102">
        <v>0</v>
      </c>
      <c r="AC3422" s="81">
        <f t="shared" si="163"/>
        <v>0</v>
      </c>
      <c r="AD3422" s="82">
        <f t="shared" si="164"/>
        <v>0</v>
      </c>
      <c r="AE3422" s="218">
        <v>0</v>
      </c>
      <c r="AF3422">
        <v>0</v>
      </c>
      <c r="AH3422" t="str">
        <f t="shared" si="162"/>
        <v>Musrigharari</v>
      </c>
      <c r="AJ3422" s="72">
        <v>0</v>
      </c>
      <c r="AK3422" s="72"/>
      <c r="AL3422" s="72"/>
      <c r="AM3422" s="72"/>
    </row>
    <row r="3423" spans="1:39" x14ac:dyDescent="0.25">
      <c r="A3423" s="37" t="s">
        <v>62</v>
      </c>
      <c r="B3423" s="66" t="s">
        <v>1644</v>
      </c>
      <c r="C3423" s="4">
        <v>1013</v>
      </c>
      <c r="D3423" s="41" t="s">
        <v>351</v>
      </c>
      <c r="E3423" s="41">
        <v>10130119</v>
      </c>
      <c r="F3423" s="85" t="s">
        <v>1527</v>
      </c>
      <c r="G3423" s="39" t="s">
        <v>635</v>
      </c>
      <c r="H3423" s="52" t="s">
        <v>99</v>
      </c>
      <c r="I3423" s="52">
        <v>28.1</v>
      </c>
      <c r="J3423" s="49">
        <v>1072.2911472000003</v>
      </c>
      <c r="K3423" s="58">
        <v>0</v>
      </c>
      <c r="L3423" s="58">
        <v>0</v>
      </c>
      <c r="M3423" s="58">
        <v>0</v>
      </c>
      <c r="N3423" s="58">
        <v>0</v>
      </c>
      <c r="O3423" s="58">
        <v>0</v>
      </c>
      <c r="P3423" s="53">
        <v>0</v>
      </c>
      <c r="Q3423" s="65">
        <v>1072.2911472000003</v>
      </c>
      <c r="R3423" s="65">
        <v>0</v>
      </c>
      <c r="S3423" s="65">
        <v>0</v>
      </c>
      <c r="T3423" s="65">
        <v>0</v>
      </c>
      <c r="U3423" s="58">
        <v>0</v>
      </c>
      <c r="V3423" s="65">
        <v>0</v>
      </c>
      <c r="W3423" s="65">
        <v>0</v>
      </c>
      <c r="X3423" s="65">
        <v>0</v>
      </c>
      <c r="Y3423" s="65">
        <v>0</v>
      </c>
      <c r="Z3423" s="51">
        <v>1072.2911472000003</v>
      </c>
      <c r="AA3423" s="51">
        <v>0</v>
      </c>
      <c r="AB3423" s="102">
        <v>0</v>
      </c>
      <c r="AC3423" s="81">
        <f t="shared" si="163"/>
        <v>512.79175929087546</v>
      </c>
      <c r="AD3423" s="82">
        <f t="shared" si="164"/>
        <v>4.0142857142857142</v>
      </c>
      <c r="AE3423" s="218">
        <v>0</v>
      </c>
      <c r="AF3423">
        <v>0</v>
      </c>
      <c r="AH3423" t="str">
        <f t="shared" si="162"/>
        <v>Musrigharari</v>
      </c>
      <c r="AJ3423" s="72">
        <v>0</v>
      </c>
      <c r="AK3423" s="72"/>
      <c r="AL3423" s="72"/>
      <c r="AM3423" s="72"/>
    </row>
    <row r="3424" spans="1:39" x14ac:dyDescent="0.25">
      <c r="A3424" s="37" t="s">
        <v>62</v>
      </c>
      <c r="B3424" s="66" t="s">
        <v>1644</v>
      </c>
      <c r="C3424" s="4">
        <v>1013</v>
      </c>
      <c r="D3424" s="41" t="s">
        <v>351</v>
      </c>
      <c r="E3424" s="41">
        <v>10130120</v>
      </c>
      <c r="F3424" s="85" t="s">
        <v>1588</v>
      </c>
      <c r="G3424" s="39" t="s">
        <v>93</v>
      </c>
      <c r="H3424" s="52" t="s">
        <v>94</v>
      </c>
      <c r="I3424" s="52">
        <v>151.39999999999998</v>
      </c>
      <c r="J3424" s="49">
        <v>6049.5233457732002</v>
      </c>
      <c r="K3424" s="58">
        <v>143.37</v>
      </c>
      <c r="L3424" s="58">
        <v>5758.3993087986501</v>
      </c>
      <c r="M3424" s="58">
        <v>2.69</v>
      </c>
      <c r="N3424" s="58">
        <v>109.28106815895001</v>
      </c>
      <c r="O3424" s="58">
        <v>146.06</v>
      </c>
      <c r="P3424" s="53">
        <v>5867.6803769575999</v>
      </c>
      <c r="Q3424" s="65">
        <v>5867.6803769575999</v>
      </c>
      <c r="R3424" s="65">
        <v>0</v>
      </c>
      <c r="S3424" s="65">
        <v>109.28106815895001</v>
      </c>
      <c r="T3424" s="65">
        <v>0</v>
      </c>
      <c r="U3424" s="58">
        <v>0</v>
      </c>
      <c r="V3424" s="65">
        <v>0</v>
      </c>
      <c r="W3424" s="65">
        <v>0</v>
      </c>
      <c r="X3424" s="65">
        <v>5758</v>
      </c>
      <c r="Y3424" s="65">
        <v>0</v>
      </c>
      <c r="Z3424" s="51">
        <v>0</v>
      </c>
      <c r="AA3424" s="51">
        <v>182</v>
      </c>
      <c r="AB3424" s="102">
        <v>0</v>
      </c>
      <c r="AC3424" s="81">
        <f t="shared" si="163"/>
        <v>438.41063507148982</v>
      </c>
      <c r="AD3424" s="82">
        <f t="shared" si="164"/>
        <v>21.628571428571426</v>
      </c>
      <c r="AE3424" s="218">
        <v>3.005905728798515E-2</v>
      </c>
      <c r="AF3424">
        <v>5</v>
      </c>
      <c r="AH3424" t="str">
        <f t="shared" si="162"/>
        <v>Musrigharari</v>
      </c>
      <c r="AJ3424" s="72">
        <v>0</v>
      </c>
      <c r="AK3424" s="72"/>
      <c r="AL3424" s="72"/>
      <c r="AM3424" s="72"/>
    </row>
    <row r="3425" spans="1:39" x14ac:dyDescent="0.25">
      <c r="A3425" s="37" t="s">
        <v>62</v>
      </c>
      <c r="B3425" s="66" t="s">
        <v>1644</v>
      </c>
      <c r="C3425" s="4">
        <v>1014</v>
      </c>
      <c r="D3425" s="41" t="s">
        <v>376</v>
      </c>
      <c r="E3425" s="41">
        <v>10140001</v>
      </c>
      <c r="F3425" s="85" t="s">
        <v>449</v>
      </c>
      <c r="G3425" s="39" t="s">
        <v>93</v>
      </c>
      <c r="H3425" s="52" t="s">
        <v>94</v>
      </c>
      <c r="I3425" s="52">
        <v>454.60000000000008</v>
      </c>
      <c r="J3425" s="49">
        <v>15637.082958820602</v>
      </c>
      <c r="K3425" s="58">
        <v>323.90000000000003</v>
      </c>
      <c r="L3425" s="58">
        <v>16168.062484794222</v>
      </c>
      <c r="M3425" s="58">
        <v>0</v>
      </c>
      <c r="N3425" s="58">
        <v>0</v>
      </c>
      <c r="O3425" s="58">
        <v>323.90000000000003</v>
      </c>
      <c r="P3425" s="53">
        <v>16168.062484794222</v>
      </c>
      <c r="Q3425" s="65">
        <v>15637.082958820602</v>
      </c>
      <c r="R3425" s="65">
        <v>0</v>
      </c>
      <c r="S3425" s="65">
        <v>0</v>
      </c>
      <c r="T3425" s="65">
        <v>530.97952597362018</v>
      </c>
      <c r="U3425" s="58">
        <v>14898</v>
      </c>
      <c r="V3425" s="65">
        <v>0</v>
      </c>
      <c r="W3425" s="65">
        <v>0</v>
      </c>
      <c r="X3425" s="65">
        <v>739</v>
      </c>
      <c r="Y3425" s="65">
        <v>0</v>
      </c>
      <c r="Z3425" s="51">
        <v>0</v>
      </c>
      <c r="AA3425" s="51">
        <v>0</v>
      </c>
      <c r="AB3425" s="102" t="s">
        <v>68</v>
      </c>
      <c r="AC3425" s="81">
        <f t="shared" si="163"/>
        <v>168.82270823117352</v>
      </c>
      <c r="AD3425" s="82">
        <f t="shared" si="164"/>
        <v>64.94285714285715</v>
      </c>
      <c r="AE3425" s="218">
        <v>-3.395643083636031E-2</v>
      </c>
      <c r="AF3425">
        <v>2</v>
      </c>
      <c r="AH3425" t="str">
        <f t="shared" si="162"/>
        <v>Dumraon</v>
      </c>
      <c r="AJ3425" s="72">
        <v>0</v>
      </c>
      <c r="AK3425" s="72"/>
      <c r="AL3425" s="72"/>
      <c r="AM3425" s="72"/>
    </row>
    <row r="3426" spans="1:39" x14ac:dyDescent="0.25">
      <c r="A3426" s="37" t="s">
        <v>62</v>
      </c>
      <c r="B3426" s="66" t="s">
        <v>1644</v>
      </c>
      <c r="C3426" s="4">
        <v>1014</v>
      </c>
      <c r="D3426" s="41" t="s">
        <v>376</v>
      </c>
      <c r="E3426" s="41">
        <v>10140002</v>
      </c>
      <c r="F3426" s="85" t="s">
        <v>377</v>
      </c>
      <c r="G3426" s="39" t="s">
        <v>93</v>
      </c>
      <c r="H3426" s="52" t="s">
        <v>94</v>
      </c>
      <c r="I3426" s="52">
        <v>685.60000000000014</v>
      </c>
      <c r="J3426" s="49">
        <v>25546.909150110005</v>
      </c>
      <c r="K3426" s="58">
        <v>725.67000000000007</v>
      </c>
      <c r="L3426" s="58">
        <v>27553.670587961398</v>
      </c>
      <c r="M3426" s="58">
        <v>0</v>
      </c>
      <c r="N3426" s="58">
        <v>0</v>
      </c>
      <c r="O3426" s="58">
        <v>725.67000000000007</v>
      </c>
      <c r="P3426" s="53">
        <v>27553.670587961398</v>
      </c>
      <c r="Q3426" s="65">
        <v>25546.909150110005</v>
      </c>
      <c r="R3426" s="65">
        <v>0</v>
      </c>
      <c r="S3426" s="65">
        <v>0</v>
      </c>
      <c r="T3426" s="65">
        <v>2006.7614378513936</v>
      </c>
      <c r="U3426" s="58">
        <v>0</v>
      </c>
      <c r="V3426" s="65">
        <v>0</v>
      </c>
      <c r="W3426" s="65">
        <v>0</v>
      </c>
      <c r="X3426" s="65">
        <v>25547</v>
      </c>
      <c r="Y3426" s="65">
        <v>0</v>
      </c>
      <c r="Z3426" s="51">
        <v>0</v>
      </c>
      <c r="AA3426" s="51">
        <v>0</v>
      </c>
      <c r="AB3426" s="102">
        <v>0</v>
      </c>
      <c r="AC3426" s="81">
        <f t="shared" si="163"/>
        <v>10.731490424783551</v>
      </c>
      <c r="AD3426" s="82">
        <f t="shared" si="164"/>
        <v>97.942857142857164</v>
      </c>
      <c r="AE3426" s="218">
        <v>-7.8552024671945581E-2</v>
      </c>
      <c r="AF3426">
        <v>13</v>
      </c>
      <c r="AH3426" t="str">
        <f t="shared" si="162"/>
        <v>Dumraon</v>
      </c>
      <c r="AJ3426" s="72">
        <v>0</v>
      </c>
      <c r="AK3426" s="72"/>
      <c r="AL3426" s="72"/>
      <c r="AM3426" s="72"/>
    </row>
    <row r="3427" spans="1:39" x14ac:dyDescent="0.25">
      <c r="A3427" s="37" t="s">
        <v>62</v>
      </c>
      <c r="B3427" s="66" t="s">
        <v>1644</v>
      </c>
      <c r="C3427" s="4">
        <v>1014</v>
      </c>
      <c r="D3427" s="41" t="s">
        <v>376</v>
      </c>
      <c r="E3427" s="41">
        <v>10140003</v>
      </c>
      <c r="F3427" s="85" t="s">
        <v>378</v>
      </c>
      <c r="G3427" s="39" t="s">
        <v>93</v>
      </c>
      <c r="H3427" s="52" t="s">
        <v>94</v>
      </c>
      <c r="I3427" s="52">
        <v>920.40000000000009</v>
      </c>
      <c r="J3427" s="49">
        <v>37478.620896210006</v>
      </c>
      <c r="K3427" s="58">
        <v>898.4</v>
      </c>
      <c r="L3427" s="58">
        <v>38863.954535525743</v>
      </c>
      <c r="M3427" s="58">
        <v>31.099999999999994</v>
      </c>
      <c r="N3427" s="58">
        <v>1277.3962615830001</v>
      </c>
      <c r="O3427" s="58">
        <v>929.5</v>
      </c>
      <c r="P3427" s="53">
        <v>40141.350797108746</v>
      </c>
      <c r="Q3427" s="65">
        <v>37478.620896210006</v>
      </c>
      <c r="R3427" s="65">
        <v>0</v>
      </c>
      <c r="S3427" s="65">
        <v>1277.3962615830001</v>
      </c>
      <c r="T3427" s="65">
        <v>2662.7299008987393</v>
      </c>
      <c r="U3427" s="58">
        <v>0</v>
      </c>
      <c r="V3427" s="65">
        <v>0</v>
      </c>
      <c r="W3427" s="65">
        <v>0</v>
      </c>
      <c r="X3427" s="65">
        <v>36201</v>
      </c>
      <c r="Y3427" s="65">
        <v>0</v>
      </c>
      <c r="Z3427" s="51">
        <v>0</v>
      </c>
      <c r="AA3427" s="51">
        <v>0</v>
      </c>
      <c r="AB3427" s="102">
        <v>0</v>
      </c>
      <c r="AC3427" s="81">
        <f t="shared" si="163"/>
        <v>0</v>
      </c>
      <c r="AD3427" s="82">
        <f t="shared" si="164"/>
        <v>0</v>
      </c>
      <c r="AE3427" s="218">
        <v>-7.1046635047556025E-2</v>
      </c>
      <c r="AF3427">
        <v>25</v>
      </c>
      <c r="AH3427" t="str">
        <f t="shared" si="162"/>
        <v>Dumraon</v>
      </c>
      <c r="AJ3427" s="72">
        <v>0</v>
      </c>
      <c r="AK3427" s="72"/>
      <c r="AL3427" s="72"/>
      <c r="AM3427" s="72"/>
    </row>
    <row r="3428" spans="1:39" x14ac:dyDescent="0.25">
      <c r="A3428" s="37" t="s">
        <v>62</v>
      </c>
      <c r="B3428" s="66" t="s">
        <v>1644</v>
      </c>
      <c r="C3428" s="4">
        <v>1014</v>
      </c>
      <c r="D3428" s="41" t="s">
        <v>376</v>
      </c>
      <c r="E3428" s="41">
        <v>10140007</v>
      </c>
      <c r="F3428" s="85" t="s">
        <v>379</v>
      </c>
      <c r="G3428" s="39" t="s">
        <v>93</v>
      </c>
      <c r="H3428" s="52" t="s">
        <v>94</v>
      </c>
      <c r="I3428" s="52">
        <v>735.4</v>
      </c>
      <c r="J3428" s="49">
        <v>25895.370602820003</v>
      </c>
      <c r="K3428" s="58">
        <v>745.22</v>
      </c>
      <c r="L3428" s="58">
        <v>29355.797665876962</v>
      </c>
      <c r="M3428" s="58">
        <v>23.03</v>
      </c>
      <c r="N3428" s="58">
        <v>1434.3286594998901</v>
      </c>
      <c r="O3428" s="58">
        <v>768.25</v>
      </c>
      <c r="P3428" s="53">
        <v>30790.126325376852</v>
      </c>
      <c r="Q3428" s="65">
        <v>25895.370602820003</v>
      </c>
      <c r="R3428" s="65">
        <v>0</v>
      </c>
      <c r="S3428" s="65">
        <v>1434.3286594998901</v>
      </c>
      <c r="T3428" s="65">
        <v>4894.7557225568489</v>
      </c>
      <c r="U3428" s="58">
        <v>0</v>
      </c>
      <c r="V3428" s="65">
        <v>0</v>
      </c>
      <c r="W3428" s="65">
        <v>0</v>
      </c>
      <c r="X3428" s="65">
        <v>24461</v>
      </c>
      <c r="Y3428" s="65">
        <v>0</v>
      </c>
      <c r="Z3428" s="51">
        <v>0</v>
      </c>
      <c r="AA3428" s="51">
        <v>0</v>
      </c>
      <c r="AB3428" s="102" t="s">
        <v>68</v>
      </c>
      <c r="AC3428" s="81">
        <f t="shared" si="163"/>
        <v>0</v>
      </c>
      <c r="AD3428" s="82">
        <f t="shared" si="164"/>
        <v>0</v>
      </c>
      <c r="AE3428" s="218">
        <v>-0.18902049318513367</v>
      </c>
      <c r="AF3428">
        <v>14</v>
      </c>
      <c r="AH3428" t="str">
        <f t="shared" si="162"/>
        <v>Dumraon</v>
      </c>
      <c r="AJ3428" s="72">
        <v>0</v>
      </c>
      <c r="AK3428" s="72"/>
      <c r="AL3428" s="72"/>
      <c r="AM3428" s="72"/>
    </row>
    <row r="3429" spans="1:39" x14ac:dyDescent="0.25">
      <c r="A3429" s="37" t="s">
        <v>62</v>
      </c>
      <c r="B3429" s="66" t="s">
        <v>1644</v>
      </c>
      <c r="C3429" s="4">
        <v>1014</v>
      </c>
      <c r="D3429" s="41" t="s">
        <v>376</v>
      </c>
      <c r="E3429" s="41">
        <v>10140008</v>
      </c>
      <c r="F3429" s="85" t="s">
        <v>380</v>
      </c>
      <c r="G3429" s="39" t="s">
        <v>93</v>
      </c>
      <c r="H3429" s="52" t="s">
        <v>94</v>
      </c>
      <c r="I3429" s="52">
        <v>832.59999999999991</v>
      </c>
      <c r="J3429" s="49">
        <v>31290.334427820002</v>
      </c>
      <c r="K3429" s="58">
        <v>851.49999999999977</v>
      </c>
      <c r="L3429" s="58">
        <v>31002.447010011001</v>
      </c>
      <c r="M3429" s="58">
        <v>11.280000000000001</v>
      </c>
      <c r="N3429" s="58">
        <v>519.80578658088007</v>
      </c>
      <c r="O3429" s="58">
        <v>862.77999999999975</v>
      </c>
      <c r="P3429" s="53">
        <v>31522.252796591882</v>
      </c>
      <c r="Q3429" s="65">
        <v>31290.334427820002</v>
      </c>
      <c r="R3429" s="65">
        <v>0</v>
      </c>
      <c r="S3429" s="65">
        <v>519.80578658088007</v>
      </c>
      <c r="T3429" s="65">
        <v>231.91836877187961</v>
      </c>
      <c r="U3429" s="58">
        <v>0</v>
      </c>
      <c r="V3429" s="65">
        <v>0</v>
      </c>
      <c r="W3429" s="65">
        <v>0</v>
      </c>
      <c r="X3429" s="65">
        <v>30770</v>
      </c>
      <c r="Y3429" s="65">
        <v>0</v>
      </c>
      <c r="Z3429" s="51">
        <v>0</v>
      </c>
      <c r="AA3429" s="51">
        <v>1</v>
      </c>
      <c r="AB3429" s="102">
        <v>0</v>
      </c>
      <c r="AC3429" s="81">
        <f t="shared" si="163"/>
        <v>0</v>
      </c>
      <c r="AD3429" s="82">
        <f t="shared" si="164"/>
        <v>0</v>
      </c>
      <c r="AE3429" s="218">
        <v>-7.4118213503554867E-3</v>
      </c>
      <c r="AF3429">
        <v>20</v>
      </c>
      <c r="AH3429" t="str">
        <f t="shared" si="162"/>
        <v>Dumraon</v>
      </c>
      <c r="AJ3429" s="72">
        <v>0</v>
      </c>
      <c r="AK3429" s="72"/>
      <c r="AL3429" s="72"/>
      <c r="AM3429" s="72"/>
    </row>
    <row r="3430" spans="1:39" x14ac:dyDescent="0.25">
      <c r="A3430" s="37" t="s">
        <v>62</v>
      </c>
      <c r="B3430" s="66" t="s">
        <v>1644</v>
      </c>
      <c r="C3430" s="4">
        <v>1014</v>
      </c>
      <c r="D3430" s="41" t="s">
        <v>376</v>
      </c>
      <c r="E3430" s="41">
        <v>10140009</v>
      </c>
      <c r="F3430" s="85" t="s">
        <v>381</v>
      </c>
      <c r="G3430" s="39" t="s">
        <v>93</v>
      </c>
      <c r="H3430" s="52" t="s">
        <v>94</v>
      </c>
      <c r="I3430" s="52">
        <v>1070.8999999999999</v>
      </c>
      <c r="J3430" s="49">
        <v>44418.749171549985</v>
      </c>
      <c r="K3430" s="58">
        <v>1073.3200000000002</v>
      </c>
      <c r="L3430" s="58">
        <v>47465.394959697434</v>
      </c>
      <c r="M3430" s="58">
        <v>0</v>
      </c>
      <c r="N3430" s="58">
        <v>0</v>
      </c>
      <c r="O3430" s="58">
        <v>1073.3200000000002</v>
      </c>
      <c r="P3430" s="53">
        <v>47465.394959697434</v>
      </c>
      <c r="Q3430" s="65">
        <v>44418.749171549985</v>
      </c>
      <c r="R3430" s="65">
        <v>0</v>
      </c>
      <c r="S3430" s="65">
        <v>0</v>
      </c>
      <c r="T3430" s="65">
        <v>3046.6457881474489</v>
      </c>
      <c r="U3430" s="58">
        <v>0</v>
      </c>
      <c r="V3430" s="65">
        <v>0</v>
      </c>
      <c r="W3430" s="65">
        <v>0</v>
      </c>
      <c r="X3430" s="65">
        <v>44419</v>
      </c>
      <c r="Y3430" s="65">
        <v>0</v>
      </c>
      <c r="Z3430" s="51">
        <v>0</v>
      </c>
      <c r="AA3430" s="51">
        <v>0</v>
      </c>
      <c r="AB3430" s="102">
        <v>0</v>
      </c>
      <c r="AC3430" s="81">
        <f t="shared" si="163"/>
        <v>0</v>
      </c>
      <c r="AD3430" s="82">
        <f t="shared" si="164"/>
        <v>0</v>
      </c>
      <c r="AE3430" s="218">
        <v>-6.8589184634195235E-2</v>
      </c>
      <c r="AF3430">
        <v>6</v>
      </c>
      <c r="AH3430" t="str">
        <f t="shared" si="162"/>
        <v>Dumraon</v>
      </c>
      <c r="AJ3430" s="72">
        <v>0</v>
      </c>
      <c r="AK3430" s="72"/>
      <c r="AL3430" s="72"/>
      <c r="AM3430" s="72"/>
    </row>
    <row r="3431" spans="1:39" x14ac:dyDescent="0.25">
      <c r="A3431" s="37" t="s">
        <v>62</v>
      </c>
      <c r="B3431" s="66" t="s">
        <v>1644</v>
      </c>
      <c r="C3431" s="4">
        <v>1014</v>
      </c>
      <c r="D3431" s="41" t="s">
        <v>376</v>
      </c>
      <c r="E3431" s="41">
        <v>10140012</v>
      </c>
      <c r="F3431" s="85" t="s">
        <v>383</v>
      </c>
      <c r="G3431" s="39" t="s">
        <v>93</v>
      </c>
      <c r="H3431" s="52" t="s">
        <v>94</v>
      </c>
      <c r="I3431" s="52">
        <v>1071.4000000000001</v>
      </c>
      <c r="J3431" s="49">
        <v>44371.420417560417</v>
      </c>
      <c r="K3431" s="58">
        <v>1127.2</v>
      </c>
      <c r="L3431" s="58">
        <v>46791.167126654895</v>
      </c>
      <c r="M3431" s="58">
        <v>2.8</v>
      </c>
      <c r="N3431" s="58">
        <v>101.534322237</v>
      </c>
      <c r="O3431" s="58">
        <v>1130</v>
      </c>
      <c r="P3431" s="53">
        <v>46892.701448891894</v>
      </c>
      <c r="Q3431" s="65">
        <v>44371.420417560417</v>
      </c>
      <c r="R3431" s="65">
        <v>0</v>
      </c>
      <c r="S3431" s="65">
        <v>101.534322237</v>
      </c>
      <c r="T3431" s="65">
        <v>2521.2810313314767</v>
      </c>
      <c r="U3431" s="58">
        <v>169</v>
      </c>
      <c r="V3431" s="65">
        <v>0</v>
      </c>
      <c r="W3431" s="65">
        <v>0</v>
      </c>
      <c r="X3431" s="65">
        <v>44100</v>
      </c>
      <c r="Y3431" s="65">
        <v>0</v>
      </c>
      <c r="Z3431" s="51">
        <v>0</v>
      </c>
      <c r="AA3431" s="51">
        <v>1</v>
      </c>
      <c r="AB3431" s="102">
        <v>0</v>
      </c>
      <c r="AC3431" s="81">
        <f t="shared" si="163"/>
        <v>0</v>
      </c>
      <c r="AD3431" s="82">
        <f t="shared" si="164"/>
        <v>0</v>
      </c>
      <c r="AE3431" s="218">
        <v>-5.682218436112213E-2</v>
      </c>
      <c r="AF3431">
        <v>13</v>
      </c>
      <c r="AH3431" t="str">
        <f t="shared" si="162"/>
        <v>Dumraon</v>
      </c>
      <c r="AJ3431" s="72">
        <v>0</v>
      </c>
      <c r="AK3431" s="72"/>
      <c r="AL3431" s="72"/>
      <c r="AM3431" s="72"/>
    </row>
    <row r="3432" spans="1:39" x14ac:dyDescent="0.25">
      <c r="A3432" s="37" t="s">
        <v>62</v>
      </c>
      <c r="B3432" s="66" t="s">
        <v>1644</v>
      </c>
      <c r="C3432" s="4">
        <v>1014</v>
      </c>
      <c r="D3432" s="41" t="s">
        <v>376</v>
      </c>
      <c r="E3432" s="41">
        <v>10140013</v>
      </c>
      <c r="F3432" s="85" t="s">
        <v>384</v>
      </c>
      <c r="G3432" s="39" t="s">
        <v>93</v>
      </c>
      <c r="H3432" s="52" t="s">
        <v>94</v>
      </c>
      <c r="I3432" s="52">
        <v>3327.4</v>
      </c>
      <c r="J3432" s="49">
        <v>126287.23950069003</v>
      </c>
      <c r="K3432" s="58">
        <v>3491.6</v>
      </c>
      <c r="L3432" s="58">
        <v>125309.07775844201</v>
      </c>
      <c r="M3432" s="58">
        <v>8</v>
      </c>
      <c r="N3432" s="58">
        <v>289.12945200000001</v>
      </c>
      <c r="O3432" s="58">
        <v>3499.6</v>
      </c>
      <c r="P3432" s="53">
        <v>125598.20721044201</v>
      </c>
      <c r="Q3432" s="65">
        <v>125598.20721044201</v>
      </c>
      <c r="R3432" s="65">
        <v>0</v>
      </c>
      <c r="S3432" s="65">
        <v>289.12945200000001</v>
      </c>
      <c r="T3432" s="65">
        <v>0</v>
      </c>
      <c r="U3432" s="58">
        <v>0</v>
      </c>
      <c r="V3432" s="65">
        <v>0</v>
      </c>
      <c r="W3432" s="65">
        <v>0</v>
      </c>
      <c r="X3432" s="65">
        <v>125308</v>
      </c>
      <c r="Y3432" s="65">
        <v>0</v>
      </c>
      <c r="Z3432" s="51">
        <v>0</v>
      </c>
      <c r="AA3432" s="51">
        <v>690</v>
      </c>
      <c r="AB3432" s="102">
        <v>0</v>
      </c>
      <c r="AC3432" s="81">
        <f t="shared" si="163"/>
        <v>0</v>
      </c>
      <c r="AD3432" s="82">
        <f t="shared" si="164"/>
        <v>0</v>
      </c>
      <c r="AE3432" s="218">
        <v>5.4560721492709543E-3</v>
      </c>
      <c r="AF3432">
        <v>5</v>
      </c>
      <c r="AH3432" t="str">
        <f t="shared" si="162"/>
        <v>Dumraon</v>
      </c>
      <c r="AJ3432" s="72">
        <v>0</v>
      </c>
      <c r="AK3432" s="72"/>
      <c r="AL3432" s="72"/>
      <c r="AM3432" s="72"/>
    </row>
    <row r="3433" spans="1:39" x14ac:dyDescent="0.25">
      <c r="A3433" s="37" t="s">
        <v>62</v>
      </c>
      <c r="B3433" s="66" t="s">
        <v>1644</v>
      </c>
      <c r="C3433" s="4">
        <v>1014</v>
      </c>
      <c r="D3433" s="41" t="s">
        <v>376</v>
      </c>
      <c r="E3433" s="41">
        <v>10140018</v>
      </c>
      <c r="F3433" s="85" t="s">
        <v>1142</v>
      </c>
      <c r="G3433" s="39" t="s">
        <v>93</v>
      </c>
      <c r="H3433" s="52" t="s">
        <v>94</v>
      </c>
      <c r="I3433" s="52">
        <v>451.59999999999997</v>
      </c>
      <c r="J3433" s="49">
        <v>19049.653620821202</v>
      </c>
      <c r="K3433" s="58">
        <v>446</v>
      </c>
      <c r="L3433" s="58">
        <v>19032.653952000004</v>
      </c>
      <c r="M3433" s="58">
        <v>0</v>
      </c>
      <c r="N3433" s="58">
        <v>0</v>
      </c>
      <c r="O3433" s="58">
        <v>446</v>
      </c>
      <c r="P3433" s="53">
        <v>19032.653952000004</v>
      </c>
      <c r="Q3433" s="65">
        <v>19032.653952000004</v>
      </c>
      <c r="R3433" s="65">
        <v>0</v>
      </c>
      <c r="S3433" s="65">
        <v>0</v>
      </c>
      <c r="T3433" s="65">
        <v>0</v>
      </c>
      <c r="U3433" s="58">
        <v>6400</v>
      </c>
      <c r="V3433" s="65">
        <v>0</v>
      </c>
      <c r="W3433" s="65">
        <v>0</v>
      </c>
      <c r="X3433" s="65">
        <v>12633</v>
      </c>
      <c r="Y3433" s="65">
        <v>0</v>
      </c>
      <c r="Z3433" s="51">
        <v>0</v>
      </c>
      <c r="AA3433" s="51">
        <v>17</v>
      </c>
      <c r="AB3433" s="102">
        <v>0</v>
      </c>
      <c r="AC3433" s="81">
        <f t="shared" si="163"/>
        <v>209.5630628614698</v>
      </c>
      <c r="AD3433" s="82">
        <f t="shared" si="164"/>
        <v>64.514285714285705</v>
      </c>
      <c r="AE3433" s="218">
        <v>8.9238729268111862E-4</v>
      </c>
      <c r="AF3433">
        <v>1</v>
      </c>
      <c r="AH3433" t="str">
        <f t="shared" si="162"/>
        <v>Dumraon</v>
      </c>
      <c r="AJ3433" s="72">
        <v>0</v>
      </c>
      <c r="AK3433" s="72"/>
      <c r="AL3433" s="72"/>
      <c r="AM3433" s="72"/>
    </row>
    <row r="3434" spans="1:39" x14ac:dyDescent="0.25">
      <c r="A3434" s="37" t="s">
        <v>62</v>
      </c>
      <c r="B3434" s="66" t="s">
        <v>1644</v>
      </c>
      <c r="C3434" s="4">
        <v>1014</v>
      </c>
      <c r="D3434" s="41" t="s">
        <v>376</v>
      </c>
      <c r="E3434" s="41">
        <v>10140020</v>
      </c>
      <c r="F3434" s="85" t="s">
        <v>1272</v>
      </c>
      <c r="G3434" s="39" t="s">
        <v>93</v>
      </c>
      <c r="H3434" s="52" t="s">
        <v>94</v>
      </c>
      <c r="I3434" s="52">
        <v>29.5</v>
      </c>
      <c r="J3434" s="49">
        <v>1033.6603582800001</v>
      </c>
      <c r="K3434" s="58">
        <v>33.200000000000003</v>
      </c>
      <c r="L3434" s="58">
        <v>1362.1532624850001</v>
      </c>
      <c r="M3434" s="58">
        <v>0</v>
      </c>
      <c r="N3434" s="58">
        <v>0</v>
      </c>
      <c r="O3434" s="58">
        <v>33.200000000000003</v>
      </c>
      <c r="P3434" s="53">
        <v>1362.1532624850001</v>
      </c>
      <c r="Q3434" s="65">
        <v>1033.6603582800001</v>
      </c>
      <c r="R3434" s="65">
        <v>0</v>
      </c>
      <c r="S3434" s="65">
        <v>0</v>
      </c>
      <c r="T3434" s="65">
        <v>328.49290420500006</v>
      </c>
      <c r="U3434" s="58">
        <v>0</v>
      </c>
      <c r="V3434" s="65">
        <v>500</v>
      </c>
      <c r="W3434" s="65">
        <v>0</v>
      </c>
      <c r="X3434" s="65">
        <v>534</v>
      </c>
      <c r="Y3434" s="65">
        <v>0</v>
      </c>
      <c r="Z3434" s="51">
        <v>0</v>
      </c>
      <c r="AA3434" s="51">
        <v>0</v>
      </c>
      <c r="AB3434" s="102">
        <v>0</v>
      </c>
      <c r="AC3434" s="81">
        <f t="shared" si="163"/>
        <v>469.87747134016274</v>
      </c>
      <c r="AD3434" s="82">
        <f t="shared" si="164"/>
        <v>4.2142857142857144</v>
      </c>
      <c r="AE3434" s="218">
        <v>-0.31779578424736032</v>
      </c>
      <c r="AF3434">
        <v>1</v>
      </c>
      <c r="AH3434" t="str">
        <f t="shared" si="162"/>
        <v>Dumraon</v>
      </c>
      <c r="AJ3434" s="72">
        <v>500</v>
      </c>
      <c r="AK3434" s="72"/>
      <c r="AL3434" s="72"/>
      <c r="AM3434" s="72"/>
    </row>
    <row r="3435" spans="1:39" x14ac:dyDescent="0.25">
      <c r="A3435" s="37" t="s">
        <v>62</v>
      </c>
      <c r="B3435" s="66" t="s">
        <v>1644</v>
      </c>
      <c r="C3435" s="4">
        <v>1014</v>
      </c>
      <c r="D3435" s="41" t="s">
        <v>376</v>
      </c>
      <c r="E3435" s="41">
        <v>10140022</v>
      </c>
      <c r="F3435" s="85" t="s">
        <v>385</v>
      </c>
      <c r="G3435" s="39" t="s">
        <v>93</v>
      </c>
      <c r="H3435" s="52" t="s">
        <v>94</v>
      </c>
      <c r="I3435" s="52">
        <v>584.9</v>
      </c>
      <c r="J3435" s="49">
        <v>21413.060275383003</v>
      </c>
      <c r="K3435" s="58">
        <v>587.29999999999995</v>
      </c>
      <c r="L3435" s="58">
        <v>22489.903606778702</v>
      </c>
      <c r="M3435" s="58">
        <v>0</v>
      </c>
      <c r="N3435" s="58">
        <v>0</v>
      </c>
      <c r="O3435" s="58">
        <v>587.29999999999995</v>
      </c>
      <c r="P3435" s="53">
        <v>22489.903606778702</v>
      </c>
      <c r="Q3435" s="65">
        <v>21413.060275383003</v>
      </c>
      <c r="R3435" s="65">
        <v>0</v>
      </c>
      <c r="S3435" s="65">
        <v>0</v>
      </c>
      <c r="T3435" s="65">
        <v>1076.8433313956994</v>
      </c>
      <c r="U3435" s="58">
        <v>0</v>
      </c>
      <c r="V3435" s="65">
        <v>0</v>
      </c>
      <c r="W3435" s="65">
        <v>0</v>
      </c>
      <c r="X3435" s="65">
        <v>21413</v>
      </c>
      <c r="Y3435" s="65">
        <v>0</v>
      </c>
      <c r="Z3435" s="51">
        <v>0</v>
      </c>
      <c r="AA3435" s="51">
        <v>0</v>
      </c>
      <c r="AB3435" s="102">
        <v>0</v>
      </c>
      <c r="AC3435" s="81">
        <f t="shared" si="163"/>
        <v>84.275713376528799</v>
      </c>
      <c r="AD3435" s="82">
        <f t="shared" si="164"/>
        <v>83.55714285714285</v>
      </c>
      <c r="AE3435" s="218">
        <v>-5.0289090748680411E-2</v>
      </c>
      <c r="AF3435">
        <v>3</v>
      </c>
      <c r="AH3435" t="str">
        <f t="shared" si="162"/>
        <v>Dumraon</v>
      </c>
      <c r="AJ3435" s="72">
        <v>0</v>
      </c>
      <c r="AK3435" s="72"/>
      <c r="AL3435" s="72"/>
      <c r="AM3435" s="72"/>
    </row>
    <row r="3436" spans="1:39" x14ac:dyDescent="0.25">
      <c r="A3436" s="37" t="s">
        <v>62</v>
      </c>
      <c r="B3436" s="66" t="s">
        <v>1644</v>
      </c>
      <c r="C3436" s="4">
        <v>1014</v>
      </c>
      <c r="D3436" s="41" t="s">
        <v>376</v>
      </c>
      <c r="E3436" s="41">
        <v>10140032</v>
      </c>
      <c r="F3436" s="85" t="s">
        <v>386</v>
      </c>
      <c r="G3436" s="39" t="s">
        <v>93</v>
      </c>
      <c r="H3436" s="52" t="s">
        <v>94</v>
      </c>
      <c r="I3436" s="52">
        <v>62.699999999999996</v>
      </c>
      <c r="J3436" s="49">
        <v>2212.7879488455001</v>
      </c>
      <c r="K3436" s="58">
        <v>62</v>
      </c>
      <c r="L3436" s="58">
        <v>2206.2769440000002</v>
      </c>
      <c r="M3436" s="58">
        <v>0</v>
      </c>
      <c r="N3436" s="58">
        <v>0</v>
      </c>
      <c r="O3436" s="58">
        <v>62</v>
      </c>
      <c r="P3436" s="53">
        <v>2206.2769440000002</v>
      </c>
      <c r="Q3436" s="65">
        <v>2206.2769440000002</v>
      </c>
      <c r="R3436" s="65">
        <v>0</v>
      </c>
      <c r="S3436" s="65">
        <v>0</v>
      </c>
      <c r="T3436" s="65">
        <v>0</v>
      </c>
      <c r="U3436" s="58">
        <v>0</v>
      </c>
      <c r="V3436" s="65">
        <v>500</v>
      </c>
      <c r="W3436" s="65">
        <v>0</v>
      </c>
      <c r="X3436" s="65">
        <v>1706</v>
      </c>
      <c r="Y3436" s="65">
        <v>0</v>
      </c>
      <c r="Z3436" s="51">
        <v>0</v>
      </c>
      <c r="AA3436" s="51">
        <v>7</v>
      </c>
      <c r="AB3436" s="102">
        <v>0</v>
      </c>
      <c r="AC3436" s="81">
        <f t="shared" si="163"/>
        <v>449.82767457710912</v>
      </c>
      <c r="AD3436" s="82">
        <f t="shared" si="164"/>
        <v>8.9571428571428573</v>
      </c>
      <c r="AE3436" s="218">
        <v>2.942444100392419E-3</v>
      </c>
      <c r="AF3436">
        <v>1</v>
      </c>
      <c r="AH3436" t="str">
        <f t="shared" si="162"/>
        <v>Dumraon</v>
      </c>
      <c r="AJ3436" s="72">
        <v>500</v>
      </c>
      <c r="AK3436" s="72"/>
      <c r="AL3436" s="72"/>
      <c r="AM3436" s="72"/>
    </row>
    <row r="3437" spans="1:39" x14ac:dyDescent="0.25">
      <c r="A3437" s="37" t="s">
        <v>62</v>
      </c>
      <c r="B3437" s="66" t="s">
        <v>1644</v>
      </c>
      <c r="C3437" s="4">
        <v>1014</v>
      </c>
      <c r="D3437" s="41" t="s">
        <v>376</v>
      </c>
      <c r="E3437" s="41">
        <v>10140033</v>
      </c>
      <c r="F3437" s="85" t="s">
        <v>387</v>
      </c>
      <c r="G3437" s="39" t="s">
        <v>93</v>
      </c>
      <c r="H3437" s="52" t="s">
        <v>94</v>
      </c>
      <c r="I3437" s="52">
        <v>122.5</v>
      </c>
      <c r="J3437" s="49">
        <v>4456.8110337600001</v>
      </c>
      <c r="K3437" s="58">
        <v>122</v>
      </c>
      <c r="L3437" s="58">
        <v>4443.1316640000005</v>
      </c>
      <c r="M3437" s="58">
        <v>0</v>
      </c>
      <c r="N3437" s="58">
        <v>0</v>
      </c>
      <c r="O3437" s="58">
        <v>122</v>
      </c>
      <c r="P3437" s="53">
        <v>4443.1316640000005</v>
      </c>
      <c r="Q3437" s="65">
        <v>4443.1316640000005</v>
      </c>
      <c r="R3437" s="65">
        <v>0</v>
      </c>
      <c r="S3437" s="65">
        <v>0</v>
      </c>
      <c r="T3437" s="65">
        <v>0</v>
      </c>
      <c r="U3437" s="58">
        <v>0</v>
      </c>
      <c r="V3437" s="65">
        <v>0</v>
      </c>
      <c r="W3437" s="65">
        <v>0</v>
      </c>
      <c r="X3437" s="65">
        <v>4443</v>
      </c>
      <c r="Y3437" s="65">
        <v>0</v>
      </c>
      <c r="Z3437" s="51">
        <v>0</v>
      </c>
      <c r="AA3437" s="51">
        <v>14</v>
      </c>
      <c r="AB3437" s="102">
        <v>0</v>
      </c>
      <c r="AC3437" s="81">
        <f t="shared" si="163"/>
        <v>420.21361175451437</v>
      </c>
      <c r="AD3437" s="82">
        <f t="shared" si="164"/>
        <v>17.5</v>
      </c>
      <c r="AE3437" s="218">
        <v>3.069317872438269E-3</v>
      </c>
      <c r="AF3437">
        <v>1</v>
      </c>
      <c r="AH3437" t="str">
        <f t="shared" si="162"/>
        <v>Dumraon</v>
      </c>
      <c r="AJ3437" s="72">
        <v>0</v>
      </c>
      <c r="AK3437" s="72"/>
      <c r="AL3437" s="72"/>
      <c r="AM3437" s="72"/>
    </row>
    <row r="3438" spans="1:39" x14ac:dyDescent="0.25">
      <c r="A3438" s="37" t="s">
        <v>62</v>
      </c>
      <c r="B3438" s="66" t="s">
        <v>1644</v>
      </c>
      <c r="C3438" s="4">
        <v>1014</v>
      </c>
      <c r="D3438" s="41" t="s">
        <v>376</v>
      </c>
      <c r="E3438" s="41">
        <v>10140034</v>
      </c>
      <c r="F3438" s="85" t="s">
        <v>388</v>
      </c>
      <c r="G3438" s="39" t="s">
        <v>93</v>
      </c>
      <c r="H3438" s="52" t="s">
        <v>94</v>
      </c>
      <c r="I3438" s="52">
        <v>474.7</v>
      </c>
      <c r="J3438" s="49">
        <v>15311.163860265002</v>
      </c>
      <c r="K3438" s="58">
        <v>438.29999999999995</v>
      </c>
      <c r="L3438" s="58">
        <v>16847.330849193</v>
      </c>
      <c r="M3438" s="58">
        <v>14.899999999999999</v>
      </c>
      <c r="N3438" s="58">
        <v>597.87686558400003</v>
      </c>
      <c r="O3438" s="58">
        <v>453.19999999999993</v>
      </c>
      <c r="P3438" s="53">
        <v>17445.207714777</v>
      </c>
      <c r="Q3438" s="65">
        <v>15311.163860265002</v>
      </c>
      <c r="R3438" s="65">
        <v>0</v>
      </c>
      <c r="S3438" s="65">
        <v>205.03510814399999</v>
      </c>
      <c r="T3438" s="65">
        <v>2134.0438545119978</v>
      </c>
      <c r="U3438" s="58">
        <v>0</v>
      </c>
      <c r="V3438" s="65">
        <v>0</v>
      </c>
      <c r="W3438" s="65">
        <v>0</v>
      </c>
      <c r="X3438" s="65">
        <v>14713</v>
      </c>
      <c r="Y3438" s="65">
        <v>393</v>
      </c>
      <c r="Z3438" s="51">
        <v>0</v>
      </c>
      <c r="AA3438" s="51">
        <v>0</v>
      </c>
      <c r="AB3438" s="102">
        <v>0</v>
      </c>
      <c r="AC3438" s="81">
        <f t="shared" si="163"/>
        <v>145.33832811113143</v>
      </c>
      <c r="AD3438" s="82">
        <f t="shared" si="164"/>
        <v>67.814285714285717</v>
      </c>
      <c r="AE3438" s="218">
        <v>-0.13937829115983755</v>
      </c>
      <c r="AF3438">
        <v>5</v>
      </c>
      <c r="AH3438" t="str">
        <f t="shared" si="162"/>
        <v>Dumraon</v>
      </c>
      <c r="AJ3438" s="72">
        <v>0</v>
      </c>
      <c r="AK3438" s="72"/>
      <c r="AL3438" s="72"/>
      <c r="AM3438" s="72"/>
    </row>
    <row r="3439" spans="1:39" x14ac:dyDescent="0.25">
      <c r="A3439" s="37" t="s">
        <v>62</v>
      </c>
      <c r="B3439" s="66" t="s">
        <v>1644</v>
      </c>
      <c r="C3439" s="4">
        <v>1014</v>
      </c>
      <c r="D3439" s="41" t="s">
        <v>376</v>
      </c>
      <c r="E3439" s="41">
        <v>10140039</v>
      </c>
      <c r="F3439" s="85" t="s">
        <v>389</v>
      </c>
      <c r="G3439" s="39" t="s">
        <v>93</v>
      </c>
      <c r="H3439" s="52" t="s">
        <v>94</v>
      </c>
      <c r="I3439" s="52">
        <v>241.99999999999997</v>
      </c>
      <c r="J3439" s="49">
        <v>9486.3111161399993</v>
      </c>
      <c r="K3439" s="58">
        <v>235.59999999999997</v>
      </c>
      <c r="L3439" s="58">
        <v>9225.8584893247025</v>
      </c>
      <c r="M3439" s="58">
        <v>5.2</v>
      </c>
      <c r="N3439" s="58">
        <v>194.64439855649999</v>
      </c>
      <c r="O3439" s="58">
        <v>240.79999999999995</v>
      </c>
      <c r="P3439" s="53">
        <v>9420.5028878812027</v>
      </c>
      <c r="Q3439" s="65">
        <v>9420.5028878812027</v>
      </c>
      <c r="R3439" s="65">
        <v>0</v>
      </c>
      <c r="S3439" s="65">
        <v>194.64439855649999</v>
      </c>
      <c r="T3439" s="65">
        <v>0</v>
      </c>
      <c r="U3439" s="58">
        <v>0</v>
      </c>
      <c r="V3439" s="65">
        <v>0</v>
      </c>
      <c r="W3439" s="65">
        <v>0</v>
      </c>
      <c r="X3439" s="65">
        <v>9224</v>
      </c>
      <c r="Y3439" s="65">
        <v>0</v>
      </c>
      <c r="Z3439" s="51">
        <v>0</v>
      </c>
      <c r="AA3439" s="51">
        <v>68</v>
      </c>
      <c r="AB3439" s="102">
        <v>0</v>
      </c>
      <c r="AC3439" s="81">
        <f t="shared" si="163"/>
        <v>359.06863563571244</v>
      </c>
      <c r="AD3439" s="82">
        <f t="shared" si="164"/>
        <v>34.571428571428569</v>
      </c>
      <c r="AE3439" s="218">
        <v>6.9371779454745633E-3</v>
      </c>
      <c r="AF3439">
        <v>12</v>
      </c>
      <c r="AH3439" t="str">
        <f t="shared" si="162"/>
        <v>Dumraon</v>
      </c>
      <c r="AJ3439" s="72">
        <v>0</v>
      </c>
      <c r="AK3439" s="72"/>
      <c r="AL3439" s="72"/>
      <c r="AM3439" s="72"/>
    </row>
    <row r="3440" spans="1:39" x14ac:dyDescent="0.25">
      <c r="A3440" s="37" t="s">
        <v>62</v>
      </c>
      <c r="B3440" s="66" t="s">
        <v>1644</v>
      </c>
      <c r="C3440" s="4">
        <v>1014</v>
      </c>
      <c r="D3440" s="41" t="s">
        <v>376</v>
      </c>
      <c r="E3440" s="41">
        <v>10140043</v>
      </c>
      <c r="F3440" s="85" t="s">
        <v>390</v>
      </c>
      <c r="G3440" s="39" t="s">
        <v>93</v>
      </c>
      <c r="H3440" s="52" t="s">
        <v>94</v>
      </c>
      <c r="I3440" s="52">
        <v>218.20000000000002</v>
      </c>
      <c r="J3440" s="49">
        <v>6466.0445389545021</v>
      </c>
      <c r="K3440" s="58">
        <v>208.4</v>
      </c>
      <c r="L3440" s="58">
        <v>6410.7417779939997</v>
      </c>
      <c r="M3440" s="58">
        <v>0</v>
      </c>
      <c r="N3440" s="58">
        <v>0</v>
      </c>
      <c r="O3440" s="58">
        <v>208.4</v>
      </c>
      <c r="P3440" s="53">
        <v>6410.7417779939997</v>
      </c>
      <c r="Q3440" s="65">
        <v>6410.7417779939997</v>
      </c>
      <c r="R3440" s="65">
        <v>0</v>
      </c>
      <c r="S3440" s="65">
        <v>0</v>
      </c>
      <c r="T3440" s="65">
        <v>0</v>
      </c>
      <c r="U3440" s="58">
        <v>0</v>
      </c>
      <c r="V3440" s="65">
        <v>500</v>
      </c>
      <c r="W3440" s="65">
        <v>0</v>
      </c>
      <c r="X3440" s="65">
        <v>5910</v>
      </c>
      <c r="Y3440" s="65">
        <v>0</v>
      </c>
      <c r="Z3440" s="51">
        <v>0</v>
      </c>
      <c r="AA3440" s="51">
        <v>56</v>
      </c>
      <c r="AB3440" s="102">
        <v>0</v>
      </c>
      <c r="AC3440" s="81">
        <f t="shared" si="163"/>
        <v>285.54906130781654</v>
      </c>
      <c r="AD3440" s="82">
        <f t="shared" si="164"/>
        <v>31.171428571428574</v>
      </c>
      <c r="AE3440" s="218">
        <v>8.5527961688683807E-3</v>
      </c>
      <c r="AF3440">
        <v>2</v>
      </c>
      <c r="AH3440" t="str">
        <f t="shared" si="162"/>
        <v>Dumraon</v>
      </c>
      <c r="AJ3440" s="72">
        <v>500</v>
      </c>
      <c r="AK3440" s="72"/>
      <c r="AL3440" s="72"/>
      <c r="AM3440" s="72"/>
    </row>
    <row r="3441" spans="1:39" x14ac:dyDescent="0.25">
      <c r="A3441" s="37" t="s">
        <v>62</v>
      </c>
      <c r="B3441" s="66" t="s">
        <v>1644</v>
      </c>
      <c r="C3441" s="4">
        <v>1014</v>
      </c>
      <c r="D3441" s="41" t="s">
        <v>376</v>
      </c>
      <c r="E3441" s="41">
        <v>10140045</v>
      </c>
      <c r="F3441" s="85" t="s">
        <v>391</v>
      </c>
      <c r="G3441" s="39" t="s">
        <v>93</v>
      </c>
      <c r="H3441" s="52" t="s">
        <v>94</v>
      </c>
      <c r="I3441" s="52">
        <v>208.70000000000002</v>
      </c>
      <c r="J3441" s="49">
        <v>7750.705303662</v>
      </c>
      <c r="K3441" s="58">
        <v>207</v>
      </c>
      <c r="L3441" s="58">
        <v>7711.3941840000016</v>
      </c>
      <c r="M3441" s="58">
        <v>0</v>
      </c>
      <c r="N3441" s="58">
        <v>0</v>
      </c>
      <c r="O3441" s="58">
        <v>207</v>
      </c>
      <c r="P3441" s="53">
        <v>7711.3941840000016</v>
      </c>
      <c r="Q3441" s="65">
        <v>7711.3941840000016</v>
      </c>
      <c r="R3441" s="65">
        <v>0</v>
      </c>
      <c r="S3441" s="65">
        <v>0</v>
      </c>
      <c r="T3441" s="65">
        <v>0</v>
      </c>
      <c r="U3441" s="58">
        <v>0</v>
      </c>
      <c r="V3441" s="65">
        <v>0</v>
      </c>
      <c r="W3441" s="65">
        <v>0</v>
      </c>
      <c r="X3441" s="65">
        <v>7711</v>
      </c>
      <c r="Y3441" s="65">
        <v>0</v>
      </c>
      <c r="Z3441" s="51">
        <v>0</v>
      </c>
      <c r="AA3441" s="51">
        <v>40</v>
      </c>
      <c r="AB3441" s="102">
        <v>0</v>
      </c>
      <c r="AC3441" s="81">
        <f t="shared" si="163"/>
        <v>364.91820945751221</v>
      </c>
      <c r="AD3441" s="82">
        <f t="shared" si="164"/>
        <v>29.814285714285717</v>
      </c>
      <c r="AE3441" s="218">
        <v>5.0719409552863496E-3</v>
      </c>
      <c r="AF3441">
        <v>1</v>
      </c>
      <c r="AH3441" t="str">
        <f t="shared" si="162"/>
        <v>Dumraon</v>
      </c>
      <c r="AJ3441" s="72">
        <v>0</v>
      </c>
      <c r="AK3441" s="72"/>
      <c r="AL3441" s="72"/>
      <c r="AM3441" s="72"/>
    </row>
    <row r="3442" spans="1:39" x14ac:dyDescent="0.25">
      <c r="A3442" s="37" t="s">
        <v>62</v>
      </c>
      <c r="B3442" s="66" t="s">
        <v>1644</v>
      </c>
      <c r="C3442" s="4">
        <v>1014</v>
      </c>
      <c r="D3442" s="41" t="s">
        <v>376</v>
      </c>
      <c r="E3442" s="41">
        <v>10140047</v>
      </c>
      <c r="F3442" s="85" t="s">
        <v>392</v>
      </c>
      <c r="G3442" s="39" t="s">
        <v>93</v>
      </c>
      <c r="H3442" s="52" t="s">
        <v>94</v>
      </c>
      <c r="I3442" s="52">
        <v>307.8</v>
      </c>
      <c r="J3442" s="49">
        <v>13653.401288969802</v>
      </c>
      <c r="K3442" s="58">
        <v>328.16999999999996</v>
      </c>
      <c r="L3442" s="58">
        <v>14955.470351109539</v>
      </c>
      <c r="M3442" s="58">
        <v>1.0900000000000001</v>
      </c>
      <c r="N3442" s="58">
        <v>46.371244789979997</v>
      </c>
      <c r="O3442" s="58">
        <v>329.25999999999993</v>
      </c>
      <c r="P3442" s="53">
        <v>15001.841595899519</v>
      </c>
      <c r="Q3442" s="65">
        <v>13653.401288969802</v>
      </c>
      <c r="R3442" s="65">
        <v>0</v>
      </c>
      <c r="S3442" s="65">
        <v>46.371244789979997</v>
      </c>
      <c r="T3442" s="65">
        <v>1348.4403069297168</v>
      </c>
      <c r="U3442" s="58">
        <v>0</v>
      </c>
      <c r="V3442" s="65">
        <v>0</v>
      </c>
      <c r="W3442" s="65">
        <v>0</v>
      </c>
      <c r="X3442" s="65">
        <v>13607</v>
      </c>
      <c r="Y3442" s="65">
        <v>0</v>
      </c>
      <c r="Z3442" s="51">
        <v>0</v>
      </c>
      <c r="AA3442" s="51">
        <v>0</v>
      </c>
      <c r="AB3442" s="102">
        <v>0</v>
      </c>
      <c r="AC3442" s="81">
        <f t="shared" si="163"/>
        <v>347.94437852722268</v>
      </c>
      <c r="AD3442" s="82">
        <f t="shared" si="164"/>
        <v>43.971428571428575</v>
      </c>
      <c r="AE3442" s="218">
        <v>-9.8762226231428774E-2</v>
      </c>
      <c r="AF3442">
        <v>4</v>
      </c>
      <c r="AH3442" t="str">
        <f t="shared" si="162"/>
        <v>Dumraon</v>
      </c>
      <c r="AJ3442" s="72">
        <v>0</v>
      </c>
      <c r="AK3442" s="72"/>
      <c r="AL3442" s="72"/>
      <c r="AM3442" s="72"/>
    </row>
    <row r="3443" spans="1:39" x14ac:dyDescent="0.25">
      <c r="A3443" s="37" t="s">
        <v>62</v>
      </c>
      <c r="B3443" s="66" t="s">
        <v>1644</v>
      </c>
      <c r="C3443" s="4">
        <v>1014</v>
      </c>
      <c r="D3443" s="41" t="s">
        <v>376</v>
      </c>
      <c r="E3443" s="41">
        <v>10140048</v>
      </c>
      <c r="F3443" s="85" t="s">
        <v>393</v>
      </c>
      <c r="G3443" s="39" t="s">
        <v>93</v>
      </c>
      <c r="H3443" s="52" t="s">
        <v>94</v>
      </c>
      <c r="I3443" s="52">
        <v>279</v>
      </c>
      <c r="J3443" s="49">
        <v>10768.955659814799</v>
      </c>
      <c r="K3443" s="58">
        <v>276.55999999999995</v>
      </c>
      <c r="L3443" s="58">
        <v>10429.939304039055</v>
      </c>
      <c r="M3443" s="58">
        <v>0.47000000000000003</v>
      </c>
      <c r="N3443" s="58">
        <v>17.247670023000005</v>
      </c>
      <c r="O3443" s="58">
        <v>277.02999999999997</v>
      </c>
      <c r="P3443" s="53">
        <v>10447.186974062055</v>
      </c>
      <c r="Q3443" s="65">
        <v>10447.186974062055</v>
      </c>
      <c r="R3443" s="65">
        <v>0</v>
      </c>
      <c r="S3443" s="65">
        <v>17.247670023000005</v>
      </c>
      <c r="T3443" s="65">
        <v>0</v>
      </c>
      <c r="U3443" s="58">
        <v>2560</v>
      </c>
      <c r="V3443" s="65">
        <v>0</v>
      </c>
      <c r="W3443" s="65">
        <v>0</v>
      </c>
      <c r="X3443" s="65">
        <v>7870</v>
      </c>
      <c r="Y3443" s="65">
        <v>0</v>
      </c>
      <c r="Z3443" s="51">
        <v>0</v>
      </c>
      <c r="AA3443" s="51">
        <v>322</v>
      </c>
      <c r="AB3443" s="102">
        <v>0</v>
      </c>
      <c r="AC3443" s="81">
        <f t="shared" si="163"/>
        <v>324.99859016358641</v>
      </c>
      <c r="AD3443" s="82">
        <f t="shared" si="164"/>
        <v>39.857142857142854</v>
      </c>
      <c r="AE3443" s="218">
        <v>2.9879284112334981E-2</v>
      </c>
      <c r="AF3443">
        <v>4</v>
      </c>
      <c r="AH3443" t="str">
        <f t="shared" si="162"/>
        <v>Dumraon</v>
      </c>
      <c r="AJ3443" s="72">
        <v>0</v>
      </c>
      <c r="AK3443" s="72"/>
      <c r="AL3443" s="72"/>
      <c r="AM3443" s="72"/>
    </row>
    <row r="3444" spans="1:39" x14ac:dyDescent="0.25">
      <c r="A3444" s="37" t="s">
        <v>62</v>
      </c>
      <c r="B3444" s="66" t="s">
        <v>1644</v>
      </c>
      <c r="C3444" s="4">
        <v>1014</v>
      </c>
      <c r="D3444" s="41" t="s">
        <v>376</v>
      </c>
      <c r="E3444" s="41">
        <v>10140054</v>
      </c>
      <c r="F3444" s="85" t="s">
        <v>394</v>
      </c>
      <c r="G3444" s="39" t="s">
        <v>93</v>
      </c>
      <c r="H3444" s="52" t="s">
        <v>94</v>
      </c>
      <c r="I3444" s="52">
        <v>526.5</v>
      </c>
      <c r="J3444" s="49">
        <v>21660.280319519999</v>
      </c>
      <c r="K3444" s="58">
        <v>532.15</v>
      </c>
      <c r="L3444" s="58">
        <v>21988.809324349277</v>
      </c>
      <c r="M3444" s="58">
        <v>5.71</v>
      </c>
      <c r="N3444" s="58">
        <v>246.09034778134506</v>
      </c>
      <c r="O3444" s="58">
        <v>537.86</v>
      </c>
      <c r="P3444" s="53">
        <v>22234.899672130621</v>
      </c>
      <c r="Q3444" s="65">
        <v>21660.280319519999</v>
      </c>
      <c r="R3444" s="65">
        <v>0</v>
      </c>
      <c r="S3444" s="65">
        <v>246.09034778134506</v>
      </c>
      <c r="T3444" s="65">
        <v>574.61935261062172</v>
      </c>
      <c r="U3444" s="58">
        <v>6400</v>
      </c>
      <c r="V3444" s="65">
        <v>0</v>
      </c>
      <c r="W3444" s="65">
        <v>0</v>
      </c>
      <c r="X3444" s="65">
        <v>15014</v>
      </c>
      <c r="Y3444" s="65">
        <v>0</v>
      </c>
      <c r="Z3444" s="51">
        <v>0</v>
      </c>
      <c r="AA3444" s="51">
        <v>0</v>
      </c>
      <c r="AB3444" s="102">
        <v>0</v>
      </c>
      <c r="AC3444" s="81">
        <f t="shared" si="163"/>
        <v>142.75626345438639</v>
      </c>
      <c r="AD3444" s="82">
        <f t="shared" si="164"/>
        <v>75.214285714285708</v>
      </c>
      <c r="AE3444" s="218">
        <v>-2.6528712654414786E-2</v>
      </c>
      <c r="AF3444">
        <v>9</v>
      </c>
      <c r="AH3444" t="str">
        <f t="shared" si="162"/>
        <v>Dumraon</v>
      </c>
      <c r="AJ3444" s="72">
        <v>0</v>
      </c>
      <c r="AK3444" s="72"/>
      <c r="AL3444" s="72"/>
      <c r="AM3444" s="72"/>
    </row>
    <row r="3445" spans="1:39" x14ac:dyDescent="0.25">
      <c r="A3445" s="37" t="s">
        <v>62</v>
      </c>
      <c r="B3445" s="66" t="s">
        <v>1644</v>
      </c>
      <c r="C3445" s="4">
        <v>1014</v>
      </c>
      <c r="D3445" s="41" t="s">
        <v>376</v>
      </c>
      <c r="E3445" s="41">
        <v>10140055</v>
      </c>
      <c r="F3445" s="85" t="s">
        <v>395</v>
      </c>
      <c r="G3445" s="39" t="s">
        <v>93</v>
      </c>
      <c r="H3445" s="52" t="s">
        <v>94</v>
      </c>
      <c r="I3445" s="52">
        <v>310.19999999999993</v>
      </c>
      <c r="J3445" s="49">
        <v>11626.822815420001</v>
      </c>
      <c r="K3445" s="58">
        <v>298</v>
      </c>
      <c r="L3445" s="58">
        <v>11598.491376000002</v>
      </c>
      <c r="M3445" s="58">
        <v>0</v>
      </c>
      <c r="N3445" s="58">
        <v>0</v>
      </c>
      <c r="O3445" s="58">
        <v>298</v>
      </c>
      <c r="P3445" s="53">
        <v>11598.491376000002</v>
      </c>
      <c r="Q3445" s="65">
        <v>11598.491376000002</v>
      </c>
      <c r="R3445" s="65">
        <v>0</v>
      </c>
      <c r="S3445" s="65">
        <v>0</v>
      </c>
      <c r="T3445" s="65">
        <v>0</v>
      </c>
      <c r="U3445" s="58">
        <v>0</v>
      </c>
      <c r="V3445" s="65">
        <v>0</v>
      </c>
      <c r="W3445" s="65">
        <v>0</v>
      </c>
      <c r="X3445" s="65">
        <v>11598</v>
      </c>
      <c r="Y3445" s="65">
        <v>0</v>
      </c>
      <c r="Z3445" s="51">
        <v>0</v>
      </c>
      <c r="AA3445" s="51">
        <v>29</v>
      </c>
      <c r="AB3445" s="102">
        <v>0</v>
      </c>
      <c r="AC3445" s="81">
        <f t="shared" si="163"/>
        <v>292.20732001616489</v>
      </c>
      <c r="AD3445" s="82">
        <f t="shared" si="164"/>
        <v>44.314285714285703</v>
      </c>
      <c r="AE3445" s="218">
        <v>2.4367309857362233E-3</v>
      </c>
      <c r="AF3445">
        <v>1</v>
      </c>
      <c r="AH3445" t="str">
        <f t="shared" si="162"/>
        <v>Dumraon</v>
      </c>
      <c r="AJ3445" s="72">
        <v>0</v>
      </c>
      <c r="AK3445" s="72"/>
      <c r="AL3445" s="72"/>
      <c r="AM3445" s="72"/>
    </row>
    <row r="3446" spans="1:39" x14ac:dyDescent="0.25">
      <c r="A3446" s="37" t="s">
        <v>62</v>
      </c>
      <c r="B3446" s="66" t="s">
        <v>1644</v>
      </c>
      <c r="C3446" s="4">
        <v>1014</v>
      </c>
      <c r="D3446" s="41" t="s">
        <v>376</v>
      </c>
      <c r="E3446" s="41">
        <v>10140066</v>
      </c>
      <c r="F3446" s="85" t="s">
        <v>396</v>
      </c>
      <c r="G3446" s="39" t="s">
        <v>93</v>
      </c>
      <c r="H3446" s="52" t="s">
        <v>94</v>
      </c>
      <c r="I3446" s="52">
        <v>450.00000000000006</v>
      </c>
      <c r="J3446" s="49">
        <v>19814.826946362402</v>
      </c>
      <c r="K3446" s="58">
        <v>451.00000000000006</v>
      </c>
      <c r="L3446" s="58">
        <v>22541.041096938148</v>
      </c>
      <c r="M3446" s="58">
        <v>1.7999999999999998</v>
      </c>
      <c r="N3446" s="58">
        <v>84.735945601870014</v>
      </c>
      <c r="O3446" s="58">
        <v>452.80000000000007</v>
      </c>
      <c r="P3446" s="53">
        <v>22625.777042540019</v>
      </c>
      <c r="Q3446" s="65">
        <v>19814.826946362402</v>
      </c>
      <c r="R3446" s="65">
        <v>0</v>
      </c>
      <c r="S3446" s="65">
        <v>84.735945601870014</v>
      </c>
      <c r="T3446" s="65">
        <v>2810.9500961776175</v>
      </c>
      <c r="U3446" s="58">
        <v>0</v>
      </c>
      <c r="V3446" s="65">
        <v>500</v>
      </c>
      <c r="W3446" s="65">
        <v>0</v>
      </c>
      <c r="X3446" s="65">
        <v>19230</v>
      </c>
      <c r="Y3446" s="65">
        <v>0</v>
      </c>
      <c r="Z3446" s="51">
        <v>0</v>
      </c>
      <c r="AA3446" s="51">
        <v>0</v>
      </c>
      <c r="AB3446" s="102">
        <v>0</v>
      </c>
      <c r="AC3446" s="81">
        <f t="shared" si="163"/>
        <v>220.16474384847106</v>
      </c>
      <c r="AD3446" s="82">
        <f t="shared" si="164"/>
        <v>64.285714285714292</v>
      </c>
      <c r="AE3446" s="218">
        <v>-0.14186094603736374</v>
      </c>
      <c r="AF3446">
        <v>5</v>
      </c>
      <c r="AH3446" t="str">
        <f t="shared" si="162"/>
        <v>Dumraon</v>
      </c>
      <c r="AJ3446" s="72">
        <v>500</v>
      </c>
      <c r="AK3446" s="72"/>
      <c r="AL3446" s="72"/>
      <c r="AM3446" s="72"/>
    </row>
    <row r="3447" spans="1:39" x14ac:dyDescent="0.25">
      <c r="A3447" s="37" t="s">
        <v>62</v>
      </c>
      <c r="B3447" s="66" t="s">
        <v>1644</v>
      </c>
      <c r="C3447" s="4">
        <v>1014</v>
      </c>
      <c r="D3447" s="41" t="s">
        <v>376</v>
      </c>
      <c r="E3447" s="41">
        <v>10140068</v>
      </c>
      <c r="F3447" s="85" t="s">
        <v>397</v>
      </c>
      <c r="G3447" s="39" t="s">
        <v>93</v>
      </c>
      <c r="H3447" s="52" t="s">
        <v>94</v>
      </c>
      <c r="I3447" s="52">
        <v>154.60000000000002</v>
      </c>
      <c r="J3447" s="49">
        <v>6289.2358490340002</v>
      </c>
      <c r="K3447" s="58">
        <v>160.85</v>
      </c>
      <c r="L3447" s="58">
        <v>6633.8130713750998</v>
      </c>
      <c r="M3447" s="58">
        <v>0</v>
      </c>
      <c r="N3447" s="58">
        <v>0</v>
      </c>
      <c r="O3447" s="58">
        <v>160.85</v>
      </c>
      <c r="P3447" s="53">
        <v>6633.8130713750998</v>
      </c>
      <c r="Q3447" s="65">
        <v>6289.2358490340002</v>
      </c>
      <c r="R3447" s="65">
        <v>0</v>
      </c>
      <c r="S3447" s="65">
        <v>0</v>
      </c>
      <c r="T3447" s="65">
        <v>344.57722234109951</v>
      </c>
      <c r="U3447" s="58">
        <v>0</v>
      </c>
      <c r="V3447" s="65">
        <v>0</v>
      </c>
      <c r="W3447" s="65">
        <v>0</v>
      </c>
      <c r="X3447" s="65">
        <v>6289</v>
      </c>
      <c r="Y3447" s="65">
        <v>0</v>
      </c>
      <c r="Z3447" s="51">
        <v>0</v>
      </c>
      <c r="AA3447" s="51">
        <v>0</v>
      </c>
      <c r="AB3447" s="102">
        <v>0</v>
      </c>
      <c r="AC3447" s="81">
        <f t="shared" si="163"/>
        <v>443.74504942602113</v>
      </c>
      <c r="AD3447" s="82">
        <f t="shared" si="164"/>
        <v>22.085714285714289</v>
      </c>
      <c r="AE3447" s="218">
        <v>-5.4788408419128548E-2</v>
      </c>
      <c r="AF3447">
        <v>2</v>
      </c>
      <c r="AH3447" t="str">
        <f t="shared" si="162"/>
        <v>Dumraon</v>
      </c>
      <c r="AJ3447" s="72">
        <v>0</v>
      </c>
      <c r="AK3447" s="72"/>
      <c r="AL3447" s="72"/>
      <c r="AM3447" s="72"/>
    </row>
    <row r="3448" spans="1:39" x14ac:dyDescent="0.25">
      <c r="A3448" s="37" t="s">
        <v>62</v>
      </c>
      <c r="B3448" s="66" t="s">
        <v>1644</v>
      </c>
      <c r="C3448" s="4">
        <v>1014</v>
      </c>
      <c r="D3448" s="41" t="s">
        <v>376</v>
      </c>
      <c r="E3448" s="41">
        <v>10140069</v>
      </c>
      <c r="F3448" s="85" t="s">
        <v>296</v>
      </c>
      <c r="G3448" s="39" t="s">
        <v>93</v>
      </c>
      <c r="H3448" s="52" t="s">
        <v>94</v>
      </c>
      <c r="I3448" s="52">
        <v>428.2</v>
      </c>
      <c r="J3448" s="49">
        <v>16112.121479430001</v>
      </c>
      <c r="K3448" s="58">
        <v>422.7</v>
      </c>
      <c r="L3448" s="58">
        <v>15797.328874634401</v>
      </c>
      <c r="M3448" s="58">
        <v>6.9</v>
      </c>
      <c r="N3448" s="58">
        <v>245.43134700750005</v>
      </c>
      <c r="O3448" s="58">
        <v>429.59999999999997</v>
      </c>
      <c r="P3448" s="53">
        <v>16042.7602216419</v>
      </c>
      <c r="Q3448" s="65">
        <v>16042.7602216419</v>
      </c>
      <c r="R3448" s="65">
        <v>0</v>
      </c>
      <c r="S3448" s="65">
        <v>245.43134700750005</v>
      </c>
      <c r="T3448" s="65">
        <v>0</v>
      </c>
      <c r="U3448" s="58">
        <v>0</v>
      </c>
      <c r="V3448" s="65">
        <v>0</v>
      </c>
      <c r="W3448" s="65">
        <v>0</v>
      </c>
      <c r="X3448" s="65">
        <v>15797</v>
      </c>
      <c r="Y3448" s="65">
        <v>0</v>
      </c>
      <c r="Z3448" s="51">
        <v>0</v>
      </c>
      <c r="AA3448" s="51">
        <v>70</v>
      </c>
      <c r="AB3448" s="102">
        <v>0</v>
      </c>
      <c r="AC3448" s="81">
        <f t="shared" si="163"/>
        <v>204.54341980892457</v>
      </c>
      <c r="AD3448" s="82">
        <f t="shared" si="164"/>
        <v>61.171428571428571</v>
      </c>
      <c r="AE3448" s="218">
        <v>4.3049115460464535E-3</v>
      </c>
      <c r="AF3448">
        <v>5</v>
      </c>
      <c r="AH3448" t="str">
        <f t="shared" si="162"/>
        <v>Dumraon</v>
      </c>
      <c r="AJ3448" s="72">
        <v>0</v>
      </c>
      <c r="AK3448" s="72"/>
      <c r="AL3448" s="72"/>
      <c r="AM3448" s="72"/>
    </row>
    <row r="3449" spans="1:39" x14ac:dyDescent="0.25">
      <c r="A3449" s="37" t="s">
        <v>62</v>
      </c>
      <c r="B3449" s="66" t="s">
        <v>1644</v>
      </c>
      <c r="C3449" s="4">
        <v>1014</v>
      </c>
      <c r="D3449" s="41" t="s">
        <v>376</v>
      </c>
      <c r="E3449" s="41">
        <v>10140071</v>
      </c>
      <c r="F3449" s="85" t="s">
        <v>398</v>
      </c>
      <c r="G3449" s="39" t="s">
        <v>635</v>
      </c>
      <c r="H3449" s="52" t="s">
        <v>99</v>
      </c>
      <c r="I3449" s="52">
        <v>2050.6999999999998</v>
      </c>
      <c r="J3449" s="49">
        <v>72135.166154760009</v>
      </c>
      <c r="K3449" s="58">
        <v>0</v>
      </c>
      <c r="L3449" s="58">
        <v>0</v>
      </c>
      <c r="M3449" s="58">
        <v>0</v>
      </c>
      <c r="N3449" s="58">
        <v>0</v>
      </c>
      <c r="O3449" s="58">
        <v>0</v>
      </c>
      <c r="P3449" s="53">
        <v>0</v>
      </c>
      <c r="Q3449" s="65">
        <v>72135.166154760009</v>
      </c>
      <c r="R3449" s="65">
        <v>0</v>
      </c>
      <c r="S3449" s="65">
        <v>0</v>
      </c>
      <c r="T3449" s="65">
        <v>0</v>
      </c>
      <c r="U3449" s="58">
        <v>0</v>
      </c>
      <c r="V3449" s="65">
        <v>0</v>
      </c>
      <c r="W3449" s="65">
        <v>0</v>
      </c>
      <c r="X3449" s="65">
        <v>0</v>
      </c>
      <c r="Y3449" s="65">
        <v>0</v>
      </c>
      <c r="Z3449" s="51">
        <v>72135.166154760009</v>
      </c>
      <c r="AA3449" s="51">
        <v>0</v>
      </c>
      <c r="AB3449" s="102">
        <v>0</v>
      </c>
      <c r="AC3449" s="81">
        <f t="shared" si="163"/>
        <v>0</v>
      </c>
      <c r="AD3449" s="82">
        <f t="shared" si="164"/>
        <v>0</v>
      </c>
      <c r="AE3449" s="218">
        <v>0</v>
      </c>
      <c r="AF3449">
        <v>0</v>
      </c>
      <c r="AH3449" t="str">
        <f t="shared" si="162"/>
        <v>Dumraon</v>
      </c>
      <c r="AJ3449" s="72">
        <v>0</v>
      </c>
      <c r="AK3449" s="72"/>
      <c r="AL3449" s="72"/>
      <c r="AM3449" s="72"/>
    </row>
    <row r="3450" spans="1:39" x14ac:dyDescent="0.25">
      <c r="A3450" s="37" t="s">
        <v>62</v>
      </c>
      <c r="B3450" s="66" t="s">
        <v>1644</v>
      </c>
      <c r="C3450" s="4">
        <v>1014</v>
      </c>
      <c r="D3450" s="41" t="s">
        <v>376</v>
      </c>
      <c r="E3450" s="41">
        <v>10140083</v>
      </c>
      <c r="F3450" s="85" t="s">
        <v>399</v>
      </c>
      <c r="G3450" s="39" t="s">
        <v>93</v>
      </c>
      <c r="H3450" s="52" t="s">
        <v>94</v>
      </c>
      <c r="I3450" s="52">
        <v>704.40000000000009</v>
      </c>
      <c r="J3450" s="49">
        <v>28616.314017921006</v>
      </c>
      <c r="K3450" s="58">
        <v>503.59999999999997</v>
      </c>
      <c r="L3450" s="58">
        <v>20576.860070475999</v>
      </c>
      <c r="M3450" s="58">
        <v>272.39999999999998</v>
      </c>
      <c r="N3450" s="58">
        <v>12609.91852548259</v>
      </c>
      <c r="O3450" s="58">
        <v>776</v>
      </c>
      <c r="P3450" s="53">
        <v>33186.778595958589</v>
      </c>
      <c r="Q3450" s="65">
        <v>28616.314017921006</v>
      </c>
      <c r="R3450" s="65">
        <v>0</v>
      </c>
      <c r="S3450" s="65">
        <v>193.64001715620003</v>
      </c>
      <c r="T3450" s="65">
        <v>4570.4645780375831</v>
      </c>
      <c r="U3450" s="58">
        <v>0</v>
      </c>
      <c r="V3450" s="65">
        <v>0</v>
      </c>
      <c r="W3450" s="65">
        <v>0</v>
      </c>
      <c r="X3450" s="65">
        <v>16006</v>
      </c>
      <c r="Y3450" s="65">
        <v>12416</v>
      </c>
      <c r="Z3450" s="51">
        <v>0</v>
      </c>
      <c r="AA3450" s="51">
        <v>1</v>
      </c>
      <c r="AB3450" s="102">
        <v>0</v>
      </c>
      <c r="AC3450" s="81">
        <f t="shared" si="163"/>
        <v>0</v>
      </c>
      <c r="AD3450" s="82">
        <f t="shared" si="164"/>
        <v>0</v>
      </c>
      <c r="AE3450" s="218">
        <v>-0.15971534891514411</v>
      </c>
      <c r="AF3450">
        <v>15</v>
      </c>
      <c r="AH3450" t="str">
        <f t="shared" si="162"/>
        <v>Dumraon</v>
      </c>
      <c r="AJ3450" s="72">
        <v>0</v>
      </c>
      <c r="AK3450" s="72"/>
      <c r="AL3450" s="72"/>
      <c r="AM3450" s="72"/>
    </row>
    <row r="3451" spans="1:39" x14ac:dyDescent="0.25">
      <c r="A3451" s="37" t="s">
        <v>62</v>
      </c>
      <c r="B3451" s="66" t="s">
        <v>1644</v>
      </c>
      <c r="C3451" s="4">
        <v>1014</v>
      </c>
      <c r="D3451" s="41" t="s">
        <v>376</v>
      </c>
      <c r="E3451" s="41">
        <v>10140087</v>
      </c>
      <c r="F3451" s="85" t="s">
        <v>400</v>
      </c>
      <c r="G3451" s="39" t="s">
        <v>93</v>
      </c>
      <c r="H3451" s="52" t="s">
        <v>94</v>
      </c>
      <c r="I3451" s="52">
        <v>254.5</v>
      </c>
      <c r="J3451" s="49">
        <v>9477.5929015199999</v>
      </c>
      <c r="K3451" s="58">
        <v>280.08999999999997</v>
      </c>
      <c r="L3451" s="58">
        <v>10981.917592869351</v>
      </c>
      <c r="M3451" s="58">
        <v>0</v>
      </c>
      <c r="N3451" s="58">
        <v>0</v>
      </c>
      <c r="O3451" s="58">
        <v>280.08999999999997</v>
      </c>
      <c r="P3451" s="53">
        <v>10981.917592869351</v>
      </c>
      <c r="Q3451" s="65">
        <v>9477.5929015199999</v>
      </c>
      <c r="R3451" s="65">
        <v>0</v>
      </c>
      <c r="S3451" s="65">
        <v>0</v>
      </c>
      <c r="T3451" s="65">
        <v>1504.3246913493513</v>
      </c>
      <c r="U3451" s="58">
        <v>0</v>
      </c>
      <c r="V3451" s="65">
        <v>0</v>
      </c>
      <c r="W3451" s="65">
        <v>0</v>
      </c>
      <c r="X3451" s="65">
        <v>9478</v>
      </c>
      <c r="Y3451" s="65">
        <v>0</v>
      </c>
      <c r="Z3451" s="51">
        <v>0</v>
      </c>
      <c r="AA3451" s="51">
        <v>0</v>
      </c>
      <c r="AB3451" s="102" t="s">
        <v>68</v>
      </c>
      <c r="AC3451" s="81">
        <f t="shared" si="163"/>
        <v>331.80885167993404</v>
      </c>
      <c r="AD3451" s="82">
        <f t="shared" si="164"/>
        <v>36.357142857142854</v>
      </c>
      <c r="AE3451" s="218">
        <v>-0.15872434139981792</v>
      </c>
      <c r="AF3451">
        <v>5</v>
      </c>
      <c r="AH3451" t="str">
        <f t="shared" ref="AH3451:AH3514" si="165">TEXT(D3451,"0000")</f>
        <v>Dumraon</v>
      </c>
      <c r="AJ3451" s="72">
        <v>0</v>
      </c>
      <c r="AK3451" s="72"/>
      <c r="AL3451" s="72"/>
      <c r="AM3451" s="72"/>
    </row>
    <row r="3452" spans="1:39" x14ac:dyDescent="0.25">
      <c r="A3452" s="37" t="s">
        <v>62</v>
      </c>
      <c r="B3452" s="66" t="s">
        <v>1644</v>
      </c>
      <c r="C3452" s="4">
        <v>1014</v>
      </c>
      <c r="D3452" s="41" t="s">
        <v>376</v>
      </c>
      <c r="E3452" s="41">
        <v>10140095</v>
      </c>
      <c r="F3452" s="85" t="s">
        <v>627</v>
      </c>
      <c r="G3452" s="39" t="s">
        <v>93</v>
      </c>
      <c r="H3452" s="52" t="s">
        <v>94</v>
      </c>
      <c r="I3452" s="52">
        <v>628.90000000000009</v>
      </c>
      <c r="J3452" s="49">
        <v>27233.104456973702</v>
      </c>
      <c r="K3452" s="58">
        <v>163.20000000000002</v>
      </c>
      <c r="L3452" s="58">
        <v>6872.8008317978001</v>
      </c>
      <c r="M3452" s="58">
        <v>465.3</v>
      </c>
      <c r="N3452" s="58">
        <v>20704.798244659403</v>
      </c>
      <c r="O3452" s="58">
        <v>628.5</v>
      </c>
      <c r="P3452" s="53">
        <v>27577.599076457205</v>
      </c>
      <c r="Q3452" s="65">
        <v>27233.104456973702</v>
      </c>
      <c r="R3452" s="65">
        <v>0</v>
      </c>
      <c r="S3452" s="65">
        <v>0</v>
      </c>
      <c r="T3452" s="65">
        <v>344.4946194835029</v>
      </c>
      <c r="U3452" s="58">
        <v>0</v>
      </c>
      <c r="V3452" s="65">
        <v>0</v>
      </c>
      <c r="W3452" s="65">
        <v>0</v>
      </c>
      <c r="X3452" s="65">
        <v>6528</v>
      </c>
      <c r="Y3452" s="65">
        <v>20705</v>
      </c>
      <c r="Z3452" s="51">
        <v>0</v>
      </c>
      <c r="AA3452" s="51">
        <v>0</v>
      </c>
      <c r="AB3452" s="102">
        <v>0</v>
      </c>
      <c r="AC3452" s="81">
        <f t="shared" si="163"/>
        <v>61.576521764694789</v>
      </c>
      <c r="AD3452" s="82">
        <f t="shared" si="164"/>
        <v>89.842857142857156</v>
      </c>
      <c r="AE3452" s="218">
        <v>-1.2649847542272641E-2</v>
      </c>
      <c r="AF3452">
        <v>8</v>
      </c>
      <c r="AH3452" t="str">
        <f t="shared" si="165"/>
        <v>Dumraon</v>
      </c>
      <c r="AJ3452" s="72">
        <v>0</v>
      </c>
      <c r="AK3452" s="72"/>
      <c r="AL3452" s="72"/>
      <c r="AM3452" s="72"/>
    </row>
    <row r="3453" spans="1:39" x14ac:dyDescent="0.25">
      <c r="A3453" s="37" t="s">
        <v>62</v>
      </c>
      <c r="B3453" s="66" t="s">
        <v>1644</v>
      </c>
      <c r="C3453" s="4">
        <v>1014</v>
      </c>
      <c r="D3453" s="41" t="s">
        <v>376</v>
      </c>
      <c r="E3453" s="41">
        <v>10140098</v>
      </c>
      <c r="F3453" s="85" t="s">
        <v>428</v>
      </c>
      <c r="G3453" s="39" t="s">
        <v>93</v>
      </c>
      <c r="H3453" s="52" t="s">
        <v>94</v>
      </c>
      <c r="I3453" s="52">
        <v>1469.3</v>
      </c>
      <c r="J3453" s="49">
        <v>57793.736362821204</v>
      </c>
      <c r="K3453" s="58">
        <v>1448.7199999999998</v>
      </c>
      <c r="L3453" s="58">
        <v>57428.247861683216</v>
      </c>
      <c r="M3453" s="58">
        <v>13.139999999999999</v>
      </c>
      <c r="N3453" s="58">
        <v>505.88839888799998</v>
      </c>
      <c r="O3453" s="58">
        <v>1461.86</v>
      </c>
      <c r="P3453" s="53">
        <v>57934.136260571213</v>
      </c>
      <c r="Q3453" s="65">
        <v>57793.736362821204</v>
      </c>
      <c r="R3453" s="65">
        <v>0</v>
      </c>
      <c r="S3453" s="65">
        <v>505.88839888799998</v>
      </c>
      <c r="T3453" s="65">
        <v>140.39989775000868</v>
      </c>
      <c r="U3453" s="58">
        <v>32400</v>
      </c>
      <c r="V3453" s="65">
        <v>0</v>
      </c>
      <c r="W3453" s="65">
        <v>0</v>
      </c>
      <c r="X3453" s="65">
        <v>24888</v>
      </c>
      <c r="Y3453" s="65">
        <v>0</v>
      </c>
      <c r="Z3453" s="51">
        <v>0</v>
      </c>
      <c r="AA3453" s="51">
        <v>0</v>
      </c>
      <c r="AB3453" s="102">
        <v>0</v>
      </c>
      <c r="AC3453" s="81">
        <f t="shared" si="163"/>
        <v>0</v>
      </c>
      <c r="AD3453" s="82">
        <f t="shared" si="164"/>
        <v>0</v>
      </c>
      <c r="AE3453" s="218">
        <v>-2.4293272348511479E-3</v>
      </c>
      <c r="AF3453">
        <v>5</v>
      </c>
      <c r="AH3453" t="str">
        <f t="shared" si="165"/>
        <v>Dumraon</v>
      </c>
      <c r="AJ3453" s="72">
        <v>0</v>
      </c>
      <c r="AK3453" s="72"/>
      <c r="AL3453" s="72"/>
      <c r="AM3453" s="72"/>
    </row>
    <row r="3454" spans="1:39" x14ac:dyDescent="0.25">
      <c r="A3454" s="37" t="s">
        <v>62</v>
      </c>
      <c r="B3454" s="66" t="s">
        <v>1644</v>
      </c>
      <c r="C3454" s="4">
        <v>1014</v>
      </c>
      <c r="D3454" s="41" t="s">
        <v>376</v>
      </c>
      <c r="E3454" s="41">
        <v>10140099</v>
      </c>
      <c r="F3454" s="85" t="s">
        <v>401</v>
      </c>
      <c r="G3454" s="39" t="s">
        <v>93</v>
      </c>
      <c r="H3454" s="52" t="s">
        <v>94</v>
      </c>
      <c r="I3454" s="52">
        <v>162.9</v>
      </c>
      <c r="J3454" s="49">
        <v>5759.7193438800014</v>
      </c>
      <c r="K3454" s="58">
        <v>189.08</v>
      </c>
      <c r="L3454" s="58">
        <v>6681.2445096141</v>
      </c>
      <c r="M3454" s="58">
        <v>0</v>
      </c>
      <c r="N3454" s="58">
        <v>0</v>
      </c>
      <c r="O3454" s="58">
        <v>189.08</v>
      </c>
      <c r="P3454" s="53">
        <v>6681.2445096141</v>
      </c>
      <c r="Q3454" s="65">
        <v>5759.7193438800014</v>
      </c>
      <c r="R3454" s="65">
        <v>0</v>
      </c>
      <c r="S3454" s="65">
        <v>0</v>
      </c>
      <c r="T3454" s="65">
        <v>921.52516573409866</v>
      </c>
      <c r="U3454" s="58">
        <v>351</v>
      </c>
      <c r="V3454" s="65">
        <v>0</v>
      </c>
      <c r="W3454" s="65">
        <v>0</v>
      </c>
      <c r="X3454" s="65">
        <v>5409</v>
      </c>
      <c r="Y3454" s="65">
        <v>0</v>
      </c>
      <c r="Z3454" s="51">
        <v>0</v>
      </c>
      <c r="AA3454" s="51">
        <v>0</v>
      </c>
      <c r="AB3454" s="102">
        <v>0</v>
      </c>
      <c r="AC3454" s="81">
        <f t="shared" si="163"/>
        <v>379.80911720048482</v>
      </c>
      <c r="AD3454" s="82">
        <f t="shared" si="164"/>
        <v>23.271428571428572</v>
      </c>
      <c r="AE3454" s="218">
        <v>-0.15999480369009067</v>
      </c>
      <c r="AF3454">
        <v>8</v>
      </c>
      <c r="AH3454" t="str">
        <f t="shared" si="165"/>
        <v>Dumraon</v>
      </c>
      <c r="AJ3454" s="72">
        <v>0</v>
      </c>
      <c r="AK3454" s="72"/>
      <c r="AL3454" s="72"/>
      <c r="AM3454" s="72"/>
    </row>
    <row r="3455" spans="1:39" x14ac:dyDescent="0.25">
      <c r="A3455" s="37" t="s">
        <v>62</v>
      </c>
      <c r="B3455" s="66" t="s">
        <v>1644</v>
      </c>
      <c r="C3455" s="4">
        <v>1014</v>
      </c>
      <c r="D3455" s="41" t="s">
        <v>376</v>
      </c>
      <c r="E3455" s="41">
        <v>10140109</v>
      </c>
      <c r="F3455" s="85" t="s">
        <v>424</v>
      </c>
      <c r="G3455" s="39" t="s">
        <v>635</v>
      </c>
      <c r="H3455" s="52" t="s">
        <v>99</v>
      </c>
      <c r="I3455" s="52">
        <v>485.2</v>
      </c>
      <c r="J3455" s="49">
        <v>18122.575211400006</v>
      </c>
      <c r="K3455" s="58">
        <v>0</v>
      </c>
      <c r="L3455" s="58">
        <v>0</v>
      </c>
      <c r="M3455" s="58">
        <v>0</v>
      </c>
      <c r="N3455" s="58">
        <v>0</v>
      </c>
      <c r="O3455" s="58">
        <v>0</v>
      </c>
      <c r="P3455" s="53">
        <v>0</v>
      </c>
      <c r="Q3455" s="65">
        <v>18122.575211400006</v>
      </c>
      <c r="R3455" s="65">
        <v>0</v>
      </c>
      <c r="S3455" s="65">
        <v>0</v>
      </c>
      <c r="T3455" s="65">
        <v>0</v>
      </c>
      <c r="U3455" s="58">
        <v>0</v>
      </c>
      <c r="V3455" s="65">
        <v>0</v>
      </c>
      <c r="W3455" s="65">
        <v>0</v>
      </c>
      <c r="X3455" s="65">
        <v>0</v>
      </c>
      <c r="Y3455" s="65">
        <v>0</v>
      </c>
      <c r="Z3455" s="51">
        <v>18122.575211400006</v>
      </c>
      <c r="AA3455" s="51">
        <v>0</v>
      </c>
      <c r="AB3455" s="102">
        <v>0</v>
      </c>
      <c r="AC3455" s="81">
        <f t="shared" si="163"/>
        <v>160.45874507043368</v>
      </c>
      <c r="AD3455" s="82">
        <f t="shared" si="164"/>
        <v>69.314285714285717</v>
      </c>
      <c r="AE3455" s="218">
        <v>0</v>
      </c>
      <c r="AF3455">
        <v>0</v>
      </c>
      <c r="AH3455" t="str">
        <f t="shared" si="165"/>
        <v>Dumraon</v>
      </c>
      <c r="AJ3455" s="72">
        <v>0</v>
      </c>
      <c r="AK3455" s="72"/>
      <c r="AL3455" s="72"/>
      <c r="AM3455" s="72"/>
    </row>
    <row r="3456" spans="1:39" x14ac:dyDescent="0.25">
      <c r="A3456" s="37" t="s">
        <v>62</v>
      </c>
      <c r="B3456" s="66" t="s">
        <v>1644</v>
      </c>
      <c r="C3456" s="4">
        <v>1014</v>
      </c>
      <c r="D3456" s="41" t="s">
        <v>376</v>
      </c>
      <c r="E3456" s="41">
        <v>10140120</v>
      </c>
      <c r="F3456" s="85" t="s">
        <v>628</v>
      </c>
      <c r="G3456" s="39" t="s">
        <v>93</v>
      </c>
      <c r="H3456" s="52" t="s">
        <v>94</v>
      </c>
      <c r="I3456" s="52">
        <v>316.7</v>
      </c>
      <c r="J3456" s="49">
        <v>13001.356410150001</v>
      </c>
      <c r="K3456" s="58">
        <v>311.13</v>
      </c>
      <c r="L3456" s="58">
        <v>12946.917166587002</v>
      </c>
      <c r="M3456" s="58">
        <v>5.64</v>
      </c>
      <c r="N3456" s="58">
        <v>222.87306477915001</v>
      </c>
      <c r="O3456" s="58">
        <v>316.77</v>
      </c>
      <c r="P3456" s="53">
        <v>13169.790231366153</v>
      </c>
      <c r="Q3456" s="65">
        <v>13001.356410150001</v>
      </c>
      <c r="R3456" s="65">
        <v>0</v>
      </c>
      <c r="S3456" s="65">
        <v>222.87306477915001</v>
      </c>
      <c r="T3456" s="65">
        <v>168.43382121615105</v>
      </c>
      <c r="U3456" s="58">
        <v>5120</v>
      </c>
      <c r="V3456" s="65">
        <v>0</v>
      </c>
      <c r="W3456" s="65">
        <v>0</v>
      </c>
      <c r="X3456" s="65">
        <v>7658</v>
      </c>
      <c r="Y3456" s="65">
        <v>0</v>
      </c>
      <c r="Z3456" s="51">
        <v>0</v>
      </c>
      <c r="AA3456" s="51">
        <v>0</v>
      </c>
      <c r="AB3456" s="102">
        <v>0</v>
      </c>
      <c r="AC3456" s="81">
        <f t="shared" si="163"/>
        <v>314.70918294982607</v>
      </c>
      <c r="AD3456" s="82">
        <f t="shared" si="164"/>
        <v>45.24285714285714</v>
      </c>
      <c r="AE3456" s="218">
        <v>-1.2955096060950749E-2</v>
      </c>
      <c r="AF3456">
        <v>3</v>
      </c>
      <c r="AH3456" t="str">
        <f t="shared" si="165"/>
        <v>Dumraon</v>
      </c>
      <c r="AJ3456" s="72">
        <v>0</v>
      </c>
      <c r="AK3456" s="72"/>
      <c r="AL3456" s="72"/>
      <c r="AM3456" s="72"/>
    </row>
    <row r="3457" spans="1:39" x14ac:dyDescent="0.25">
      <c r="A3457" s="37" t="s">
        <v>62</v>
      </c>
      <c r="B3457" s="66" t="s">
        <v>1644</v>
      </c>
      <c r="C3457" s="4">
        <v>1014</v>
      </c>
      <c r="D3457" s="41" t="s">
        <v>376</v>
      </c>
      <c r="E3457" s="41">
        <v>10140126</v>
      </c>
      <c r="F3457" s="85" t="s">
        <v>468</v>
      </c>
      <c r="G3457" s="39" t="s">
        <v>93</v>
      </c>
      <c r="H3457" s="52" t="s">
        <v>94</v>
      </c>
      <c r="I3457" s="52">
        <v>153.69999999999999</v>
      </c>
      <c r="J3457" s="49">
        <v>5324.3994175200014</v>
      </c>
      <c r="K3457" s="58">
        <v>194.70999999999998</v>
      </c>
      <c r="L3457" s="58">
        <v>7296.7245025656748</v>
      </c>
      <c r="M3457" s="58">
        <v>4.0000000000000018</v>
      </c>
      <c r="N3457" s="58">
        <v>151.11388562999997</v>
      </c>
      <c r="O3457" s="58">
        <v>198.70999999999998</v>
      </c>
      <c r="P3457" s="53">
        <v>7447.8383881956752</v>
      </c>
      <c r="Q3457" s="65">
        <v>5324.3994175200014</v>
      </c>
      <c r="R3457" s="65">
        <v>0</v>
      </c>
      <c r="S3457" s="65">
        <v>151.11388562999997</v>
      </c>
      <c r="T3457" s="65">
        <v>2123.4389706756738</v>
      </c>
      <c r="U3457" s="58">
        <v>0</v>
      </c>
      <c r="V3457" s="65">
        <v>0</v>
      </c>
      <c r="W3457" s="65">
        <v>0</v>
      </c>
      <c r="X3457" s="65">
        <v>5173</v>
      </c>
      <c r="Y3457" s="65">
        <v>0</v>
      </c>
      <c r="Z3457" s="51">
        <v>0</v>
      </c>
      <c r="AA3457" s="51">
        <v>0</v>
      </c>
      <c r="AB3457" s="102" t="s">
        <v>68</v>
      </c>
      <c r="AC3457" s="81">
        <f t="shared" ref="AC3457:AC3520" si="166">((IF(AD3457=0,0,100-AD3457))*7*(J3457/I3457))*2%</f>
        <v>378.4930906689886</v>
      </c>
      <c r="AD3457" s="82">
        <f t="shared" ref="AD3457:AD3520" si="167">IF((I3457/7)&gt;100,0,(I3457/7))</f>
        <v>21.957142857142856</v>
      </c>
      <c r="AE3457" s="218">
        <v>-0.39881286210205641</v>
      </c>
      <c r="AF3457">
        <v>7</v>
      </c>
      <c r="AH3457" t="str">
        <f t="shared" si="165"/>
        <v>Dumraon</v>
      </c>
      <c r="AJ3457" s="72">
        <v>0</v>
      </c>
      <c r="AK3457" s="72"/>
      <c r="AL3457" s="72"/>
      <c r="AM3457" s="72"/>
    </row>
    <row r="3458" spans="1:39" x14ac:dyDescent="0.25">
      <c r="A3458" s="37" t="s">
        <v>62</v>
      </c>
      <c r="B3458" s="66" t="s">
        <v>1644</v>
      </c>
      <c r="C3458" s="4">
        <v>1014</v>
      </c>
      <c r="D3458" s="41" t="s">
        <v>376</v>
      </c>
      <c r="E3458" s="41">
        <v>10140129</v>
      </c>
      <c r="F3458" s="85" t="s">
        <v>467</v>
      </c>
      <c r="G3458" s="39" t="s">
        <v>93</v>
      </c>
      <c r="H3458" s="52" t="s">
        <v>94</v>
      </c>
      <c r="I3458" s="52">
        <v>131.60000000000002</v>
      </c>
      <c r="J3458" s="49">
        <v>4415.6023378620002</v>
      </c>
      <c r="K3458" s="58">
        <v>130</v>
      </c>
      <c r="L3458" s="58">
        <v>4409.2245600000006</v>
      </c>
      <c r="M3458" s="58">
        <v>0</v>
      </c>
      <c r="N3458" s="58">
        <v>0</v>
      </c>
      <c r="O3458" s="58">
        <v>130</v>
      </c>
      <c r="P3458" s="53">
        <v>4409.2245600000006</v>
      </c>
      <c r="Q3458" s="65">
        <v>4409.2245600000006</v>
      </c>
      <c r="R3458" s="65">
        <v>0</v>
      </c>
      <c r="S3458" s="65">
        <v>0</v>
      </c>
      <c r="T3458" s="65">
        <v>0</v>
      </c>
      <c r="U3458" s="58">
        <v>0</v>
      </c>
      <c r="V3458" s="65">
        <v>500</v>
      </c>
      <c r="W3458" s="65">
        <v>0</v>
      </c>
      <c r="X3458" s="65">
        <v>3909</v>
      </c>
      <c r="Y3458" s="65">
        <v>0</v>
      </c>
      <c r="Z3458" s="51">
        <v>0</v>
      </c>
      <c r="AA3458" s="51">
        <v>7</v>
      </c>
      <c r="AB3458" s="102">
        <v>0</v>
      </c>
      <c r="AC3458" s="81">
        <f t="shared" si="166"/>
        <v>381.43288280254711</v>
      </c>
      <c r="AD3458" s="82">
        <f t="shared" si="167"/>
        <v>18.800000000000004</v>
      </c>
      <c r="AE3458" s="218">
        <v>1.4443732415196937E-3</v>
      </c>
      <c r="AF3458">
        <v>1</v>
      </c>
      <c r="AH3458" t="str">
        <f t="shared" si="165"/>
        <v>Dumraon</v>
      </c>
      <c r="AJ3458" s="72">
        <v>500</v>
      </c>
      <c r="AK3458" s="72"/>
      <c r="AL3458" s="72"/>
      <c r="AM3458" s="72"/>
    </row>
    <row r="3459" spans="1:39" x14ac:dyDescent="0.25">
      <c r="A3459" s="37" t="s">
        <v>62</v>
      </c>
      <c r="B3459" s="66" t="s">
        <v>1644</v>
      </c>
      <c r="C3459" s="4">
        <v>1014</v>
      </c>
      <c r="D3459" s="41" t="s">
        <v>376</v>
      </c>
      <c r="E3459" s="41">
        <v>10140131</v>
      </c>
      <c r="F3459" s="85" t="s">
        <v>466</v>
      </c>
      <c r="G3459" s="39" t="s">
        <v>93</v>
      </c>
      <c r="H3459" s="52" t="s">
        <v>94</v>
      </c>
      <c r="I3459" s="52">
        <v>137.6</v>
      </c>
      <c r="J3459" s="49">
        <v>4674.2841387495</v>
      </c>
      <c r="K3459" s="58">
        <v>137</v>
      </c>
      <c r="L3459" s="58">
        <v>4621.247604000001</v>
      </c>
      <c r="M3459" s="58">
        <v>0</v>
      </c>
      <c r="N3459" s="58">
        <v>0</v>
      </c>
      <c r="O3459" s="58">
        <v>137</v>
      </c>
      <c r="P3459" s="53">
        <v>4621.247604000001</v>
      </c>
      <c r="Q3459" s="65">
        <v>4621.247604000001</v>
      </c>
      <c r="R3459" s="65">
        <v>0</v>
      </c>
      <c r="S3459" s="65">
        <v>0</v>
      </c>
      <c r="T3459" s="65">
        <v>0</v>
      </c>
      <c r="U3459" s="58">
        <v>0</v>
      </c>
      <c r="V3459" s="65">
        <v>0</v>
      </c>
      <c r="W3459" s="65">
        <v>0</v>
      </c>
      <c r="X3459" s="65">
        <v>4621</v>
      </c>
      <c r="Y3459" s="65">
        <v>0</v>
      </c>
      <c r="Z3459" s="51">
        <v>0</v>
      </c>
      <c r="AA3459" s="51">
        <v>53</v>
      </c>
      <c r="AB3459" s="102">
        <v>0</v>
      </c>
      <c r="AC3459" s="81">
        <f t="shared" si="166"/>
        <v>382.09555227219755</v>
      </c>
      <c r="AD3459" s="82">
        <f t="shared" si="167"/>
        <v>19.657142857142855</v>
      </c>
      <c r="AE3459" s="218">
        <v>1.1346450745223141E-2</v>
      </c>
      <c r="AF3459">
        <v>1</v>
      </c>
      <c r="AH3459" t="str">
        <f t="shared" si="165"/>
        <v>Dumraon</v>
      </c>
      <c r="AJ3459" s="72">
        <v>0</v>
      </c>
      <c r="AK3459" s="72"/>
      <c r="AL3459" s="72"/>
      <c r="AM3459" s="72"/>
    </row>
    <row r="3460" spans="1:39" x14ac:dyDescent="0.25">
      <c r="A3460" s="37" t="s">
        <v>62</v>
      </c>
      <c r="B3460" s="66" t="s">
        <v>1644</v>
      </c>
      <c r="C3460" s="4">
        <v>1014</v>
      </c>
      <c r="D3460" s="41" t="s">
        <v>376</v>
      </c>
      <c r="E3460" s="41">
        <v>10140132</v>
      </c>
      <c r="F3460" s="85" t="s">
        <v>465</v>
      </c>
      <c r="G3460" s="39" t="s">
        <v>93</v>
      </c>
      <c r="H3460" s="52" t="s">
        <v>94</v>
      </c>
      <c r="I3460" s="52">
        <v>342.7</v>
      </c>
      <c r="J3460" s="49">
        <v>11620.792348500001</v>
      </c>
      <c r="K3460" s="58">
        <v>341.3</v>
      </c>
      <c r="L3460" s="58">
        <v>11991.530258475961</v>
      </c>
      <c r="M3460" s="58">
        <v>5.2</v>
      </c>
      <c r="N3460" s="58">
        <v>177.58636113000003</v>
      </c>
      <c r="O3460" s="58">
        <v>346.5</v>
      </c>
      <c r="P3460" s="53">
        <v>12169.11661960596</v>
      </c>
      <c r="Q3460" s="65">
        <v>11620.792348500001</v>
      </c>
      <c r="R3460" s="65">
        <v>0</v>
      </c>
      <c r="S3460" s="65">
        <v>177.58636113000003</v>
      </c>
      <c r="T3460" s="65">
        <v>548.32427110595927</v>
      </c>
      <c r="U3460" s="58">
        <v>0</v>
      </c>
      <c r="V3460" s="65">
        <v>0</v>
      </c>
      <c r="W3460" s="65">
        <v>0</v>
      </c>
      <c r="X3460" s="65">
        <v>11443</v>
      </c>
      <c r="Y3460" s="65">
        <v>0</v>
      </c>
      <c r="Z3460" s="51">
        <v>0</v>
      </c>
      <c r="AA3460" s="51">
        <v>0</v>
      </c>
      <c r="AB3460" s="102">
        <v>0</v>
      </c>
      <c r="AC3460" s="81">
        <f t="shared" si="166"/>
        <v>242.31742667750515</v>
      </c>
      <c r="AD3460" s="82">
        <f t="shared" si="167"/>
        <v>48.957142857142856</v>
      </c>
      <c r="AE3460" s="218">
        <v>-4.7184757687950288E-2</v>
      </c>
      <c r="AF3460">
        <v>10</v>
      </c>
      <c r="AH3460" t="str">
        <f t="shared" si="165"/>
        <v>Dumraon</v>
      </c>
      <c r="AJ3460" s="72">
        <v>0</v>
      </c>
      <c r="AK3460" s="72"/>
      <c r="AL3460" s="72"/>
      <c r="AM3460" s="72"/>
    </row>
    <row r="3461" spans="1:39" x14ac:dyDescent="0.25">
      <c r="A3461" s="37" t="s">
        <v>62</v>
      </c>
      <c r="B3461" s="66" t="s">
        <v>1644</v>
      </c>
      <c r="C3461" s="4">
        <v>1014</v>
      </c>
      <c r="D3461" s="41" t="s">
        <v>376</v>
      </c>
      <c r="E3461" s="41">
        <v>10140135</v>
      </c>
      <c r="F3461" s="85" t="s">
        <v>474</v>
      </c>
      <c r="G3461" s="39" t="s">
        <v>93</v>
      </c>
      <c r="H3461" s="52" t="s">
        <v>94</v>
      </c>
      <c r="I3461" s="52">
        <v>164.20000000000005</v>
      </c>
      <c r="J3461" s="49">
        <v>6256.0677483000018</v>
      </c>
      <c r="K3461" s="58">
        <v>164.95</v>
      </c>
      <c r="L3461" s="58">
        <v>6906.0993398413502</v>
      </c>
      <c r="M3461" s="58">
        <v>0</v>
      </c>
      <c r="N3461" s="58">
        <v>0</v>
      </c>
      <c r="O3461" s="58">
        <v>164.95</v>
      </c>
      <c r="P3461" s="53">
        <v>6906.0993398413502</v>
      </c>
      <c r="Q3461" s="65">
        <v>6256.0677483000018</v>
      </c>
      <c r="R3461" s="65">
        <v>0</v>
      </c>
      <c r="S3461" s="65">
        <v>0</v>
      </c>
      <c r="T3461" s="65">
        <v>650.03159154134846</v>
      </c>
      <c r="U3461" s="58">
        <v>0</v>
      </c>
      <c r="V3461" s="65">
        <v>0</v>
      </c>
      <c r="W3461" s="65">
        <v>0</v>
      </c>
      <c r="X3461" s="65">
        <v>6256</v>
      </c>
      <c r="Y3461" s="65">
        <v>0</v>
      </c>
      <c r="Z3461" s="51">
        <v>0</v>
      </c>
      <c r="AA3461" s="51">
        <v>0</v>
      </c>
      <c r="AB3461" s="102">
        <v>0</v>
      </c>
      <c r="AC3461" s="81">
        <f t="shared" si="166"/>
        <v>408.28271614362239</v>
      </c>
      <c r="AD3461" s="82">
        <f t="shared" si="167"/>
        <v>23.457142857142863</v>
      </c>
      <c r="AE3461" s="218">
        <v>-0.10390418034043596</v>
      </c>
      <c r="AF3461">
        <v>1</v>
      </c>
      <c r="AH3461" t="str">
        <f t="shared" si="165"/>
        <v>Dumraon</v>
      </c>
      <c r="AJ3461" s="72">
        <v>0</v>
      </c>
      <c r="AK3461" s="72"/>
      <c r="AL3461" s="72"/>
      <c r="AM3461" s="72"/>
    </row>
    <row r="3462" spans="1:39" x14ac:dyDescent="0.25">
      <c r="A3462" s="37" t="s">
        <v>62</v>
      </c>
      <c r="B3462" s="66" t="s">
        <v>1644</v>
      </c>
      <c r="C3462" s="4">
        <v>1014</v>
      </c>
      <c r="D3462" s="41" t="s">
        <v>376</v>
      </c>
      <c r="E3462" s="41">
        <v>10140137</v>
      </c>
      <c r="F3462" s="85" t="s">
        <v>477</v>
      </c>
      <c r="G3462" s="39" t="s">
        <v>93</v>
      </c>
      <c r="H3462" s="52" t="s">
        <v>94</v>
      </c>
      <c r="I3462" s="52">
        <v>758.6</v>
      </c>
      <c r="J3462" s="49">
        <v>29757.436684562203</v>
      </c>
      <c r="K3462" s="58">
        <v>816.60000000000014</v>
      </c>
      <c r="L3462" s="58">
        <v>32118.034602805681</v>
      </c>
      <c r="M3462" s="58">
        <v>0</v>
      </c>
      <c r="N3462" s="58">
        <v>0</v>
      </c>
      <c r="O3462" s="58">
        <v>816.60000000000014</v>
      </c>
      <c r="P3462" s="53">
        <v>32118.034602805681</v>
      </c>
      <c r="Q3462" s="65">
        <v>29757.436684562203</v>
      </c>
      <c r="R3462" s="65">
        <v>0</v>
      </c>
      <c r="S3462" s="65">
        <v>0</v>
      </c>
      <c r="T3462" s="65">
        <v>2360.5979182434785</v>
      </c>
      <c r="U3462" s="58">
        <v>0</v>
      </c>
      <c r="V3462" s="65">
        <v>0</v>
      </c>
      <c r="W3462" s="65">
        <v>0</v>
      </c>
      <c r="X3462" s="65">
        <v>29757</v>
      </c>
      <c r="Y3462" s="65">
        <v>0</v>
      </c>
      <c r="Z3462" s="51">
        <v>0</v>
      </c>
      <c r="AA3462" s="51">
        <v>0</v>
      </c>
      <c r="AB3462" s="102">
        <v>0</v>
      </c>
      <c r="AC3462" s="81">
        <f t="shared" si="166"/>
        <v>0</v>
      </c>
      <c r="AD3462" s="82">
        <f t="shared" si="167"/>
        <v>0</v>
      </c>
      <c r="AE3462" s="218">
        <v>-7.9327999359169538E-2</v>
      </c>
      <c r="AF3462">
        <v>4</v>
      </c>
      <c r="AH3462" t="str">
        <f t="shared" si="165"/>
        <v>Dumraon</v>
      </c>
      <c r="AJ3462" s="72">
        <v>0</v>
      </c>
      <c r="AK3462" s="72"/>
      <c r="AL3462" s="72"/>
      <c r="AM3462" s="72"/>
    </row>
    <row r="3463" spans="1:39" x14ac:dyDescent="0.25">
      <c r="A3463" s="37" t="s">
        <v>62</v>
      </c>
      <c r="B3463" s="66" t="s">
        <v>1644</v>
      </c>
      <c r="C3463" s="4">
        <v>1014</v>
      </c>
      <c r="D3463" s="41" t="s">
        <v>376</v>
      </c>
      <c r="E3463" s="41">
        <v>10140139</v>
      </c>
      <c r="F3463" s="85" t="s">
        <v>494</v>
      </c>
      <c r="G3463" s="39" t="s">
        <v>93</v>
      </c>
      <c r="H3463" s="52" t="s">
        <v>94</v>
      </c>
      <c r="I3463" s="52">
        <v>221.5</v>
      </c>
      <c r="J3463" s="49">
        <v>6844.168354261501</v>
      </c>
      <c r="K3463" s="58">
        <v>140</v>
      </c>
      <c r="L3463" s="58">
        <v>5978.7218400000002</v>
      </c>
      <c r="M3463" s="58">
        <v>40.9</v>
      </c>
      <c r="N3463" s="58">
        <v>1783.4112757500002</v>
      </c>
      <c r="O3463" s="58">
        <v>180.9</v>
      </c>
      <c r="P3463" s="53">
        <v>7762.1331157500008</v>
      </c>
      <c r="Q3463" s="65">
        <v>6844.168354261501</v>
      </c>
      <c r="R3463" s="65">
        <v>0</v>
      </c>
      <c r="S3463" s="65">
        <v>1783.4112757500002</v>
      </c>
      <c r="T3463" s="65">
        <v>917.96476148849979</v>
      </c>
      <c r="U3463" s="58">
        <v>0</v>
      </c>
      <c r="V3463" s="65">
        <v>500</v>
      </c>
      <c r="W3463" s="65">
        <v>0</v>
      </c>
      <c r="X3463" s="65">
        <v>4561</v>
      </c>
      <c r="Y3463" s="65">
        <v>0</v>
      </c>
      <c r="Z3463" s="51">
        <v>0</v>
      </c>
      <c r="AA3463" s="51">
        <v>0</v>
      </c>
      <c r="AB3463" s="102">
        <v>0</v>
      </c>
      <c r="AC3463" s="81">
        <f t="shared" si="166"/>
        <v>295.70515192001159</v>
      </c>
      <c r="AD3463" s="82">
        <f t="shared" si="167"/>
        <v>31.642857142857142</v>
      </c>
      <c r="AE3463" s="218">
        <v>-0.13412363839894906</v>
      </c>
      <c r="AF3463">
        <v>2</v>
      </c>
      <c r="AH3463" t="str">
        <f t="shared" si="165"/>
        <v>Dumraon</v>
      </c>
      <c r="AJ3463" s="72">
        <v>500</v>
      </c>
      <c r="AK3463" s="72"/>
      <c r="AL3463" s="72"/>
      <c r="AM3463" s="72"/>
    </row>
    <row r="3464" spans="1:39" x14ac:dyDescent="0.25">
      <c r="A3464" s="37" t="s">
        <v>62</v>
      </c>
      <c r="B3464" s="66" t="s">
        <v>1644</v>
      </c>
      <c r="C3464" s="4">
        <v>1014</v>
      </c>
      <c r="D3464" s="41" t="s">
        <v>376</v>
      </c>
      <c r="E3464" s="41">
        <v>10140141</v>
      </c>
      <c r="F3464" s="85" t="s">
        <v>669</v>
      </c>
      <c r="G3464" s="39" t="s">
        <v>635</v>
      </c>
      <c r="H3464" s="52" t="s">
        <v>99</v>
      </c>
      <c r="I3464" s="52">
        <v>308.20000000000005</v>
      </c>
      <c r="J3464" s="49">
        <v>14672.646759474999</v>
      </c>
      <c r="K3464" s="58">
        <v>0</v>
      </c>
      <c r="L3464" s="58">
        <v>0</v>
      </c>
      <c r="M3464" s="58">
        <v>0</v>
      </c>
      <c r="N3464" s="58">
        <v>0</v>
      </c>
      <c r="O3464" s="58">
        <v>0</v>
      </c>
      <c r="P3464" s="53">
        <v>0</v>
      </c>
      <c r="Q3464" s="65">
        <v>14672.646759474999</v>
      </c>
      <c r="R3464" s="65">
        <v>0</v>
      </c>
      <c r="S3464" s="65">
        <v>0</v>
      </c>
      <c r="T3464" s="65">
        <v>0</v>
      </c>
      <c r="U3464" s="58">
        <v>0</v>
      </c>
      <c r="V3464" s="65">
        <v>0</v>
      </c>
      <c r="W3464" s="65">
        <v>0</v>
      </c>
      <c r="X3464" s="65">
        <v>0</v>
      </c>
      <c r="Y3464" s="65">
        <v>0</v>
      </c>
      <c r="Z3464" s="51">
        <v>14672.646759474999</v>
      </c>
      <c r="AA3464" s="51">
        <v>0</v>
      </c>
      <c r="AB3464" s="102">
        <v>0</v>
      </c>
      <c r="AC3464" s="81">
        <f t="shared" si="166"/>
        <v>373.05275797289443</v>
      </c>
      <c r="AD3464" s="82">
        <f t="shared" si="167"/>
        <v>44.028571428571432</v>
      </c>
      <c r="AE3464" s="218">
        <v>0</v>
      </c>
      <c r="AF3464">
        <v>0</v>
      </c>
      <c r="AH3464" t="str">
        <f t="shared" si="165"/>
        <v>Dumraon</v>
      </c>
      <c r="AJ3464" s="72">
        <v>0</v>
      </c>
      <c r="AK3464" s="72"/>
      <c r="AL3464" s="72"/>
      <c r="AM3464" s="72"/>
    </row>
    <row r="3465" spans="1:39" x14ac:dyDescent="0.25">
      <c r="A3465" s="37" t="s">
        <v>62</v>
      </c>
      <c r="B3465" s="66" t="s">
        <v>1644</v>
      </c>
      <c r="C3465" s="4">
        <v>1014</v>
      </c>
      <c r="D3465" s="41" t="s">
        <v>376</v>
      </c>
      <c r="E3465" s="41">
        <v>10140147</v>
      </c>
      <c r="F3465" s="85" t="s">
        <v>1328</v>
      </c>
      <c r="G3465" s="39" t="s">
        <v>635</v>
      </c>
      <c r="H3465" s="52" t="s">
        <v>99</v>
      </c>
      <c r="I3465" s="52">
        <v>355.89999999999992</v>
      </c>
      <c r="J3465" s="49">
        <v>14298.877196670002</v>
      </c>
      <c r="K3465" s="58">
        <v>0</v>
      </c>
      <c r="L3465" s="58">
        <v>0</v>
      </c>
      <c r="M3465" s="58">
        <v>0</v>
      </c>
      <c r="N3465" s="58">
        <v>0</v>
      </c>
      <c r="O3465" s="58">
        <v>0</v>
      </c>
      <c r="P3465" s="53">
        <v>0</v>
      </c>
      <c r="Q3465" s="65">
        <v>14298.877196670002</v>
      </c>
      <c r="R3465" s="65">
        <v>0</v>
      </c>
      <c r="S3465" s="65">
        <v>0</v>
      </c>
      <c r="T3465" s="65">
        <v>0</v>
      </c>
      <c r="U3465" s="58">
        <v>0</v>
      </c>
      <c r="V3465" s="65">
        <v>0</v>
      </c>
      <c r="W3465" s="65">
        <v>0</v>
      </c>
      <c r="X3465" s="65">
        <v>0</v>
      </c>
      <c r="Y3465" s="65">
        <v>0</v>
      </c>
      <c r="Z3465" s="51">
        <v>14298.877196670002</v>
      </c>
      <c r="AA3465" s="51">
        <v>0</v>
      </c>
      <c r="AB3465" s="102">
        <v>0</v>
      </c>
      <c r="AC3465" s="81">
        <f t="shared" si="166"/>
        <v>276.49584958551003</v>
      </c>
      <c r="AD3465" s="82">
        <f t="shared" si="167"/>
        <v>50.842857142857135</v>
      </c>
      <c r="AE3465" s="218">
        <v>0</v>
      </c>
      <c r="AF3465">
        <v>0</v>
      </c>
      <c r="AH3465" t="str">
        <f t="shared" si="165"/>
        <v>Dumraon</v>
      </c>
      <c r="AJ3465" s="72">
        <v>0</v>
      </c>
      <c r="AK3465" s="72"/>
      <c r="AL3465" s="72"/>
      <c r="AM3465" s="72"/>
    </row>
    <row r="3466" spans="1:39" x14ac:dyDescent="0.25">
      <c r="A3466" s="37" t="s">
        <v>62</v>
      </c>
      <c r="B3466" s="66" t="s">
        <v>1644</v>
      </c>
      <c r="C3466" s="4">
        <v>1014</v>
      </c>
      <c r="D3466" s="41" t="s">
        <v>376</v>
      </c>
      <c r="E3466" s="41">
        <v>10140152</v>
      </c>
      <c r="F3466" s="85" t="s">
        <v>513</v>
      </c>
      <c r="G3466" s="39" t="s">
        <v>93</v>
      </c>
      <c r="H3466" s="52" t="s">
        <v>94</v>
      </c>
      <c r="I3466" s="52">
        <v>25.200000000000003</v>
      </c>
      <c r="J3466" s="49">
        <v>938.24852994000003</v>
      </c>
      <c r="K3466" s="58">
        <v>24.3</v>
      </c>
      <c r="L3466" s="58">
        <v>899.44099845000017</v>
      </c>
      <c r="M3466" s="58">
        <v>0.4</v>
      </c>
      <c r="N3466" s="58">
        <v>16.2495726</v>
      </c>
      <c r="O3466" s="58">
        <v>24.7</v>
      </c>
      <c r="P3466" s="53">
        <v>915.69057105000013</v>
      </c>
      <c r="Q3466" s="65">
        <v>915.69057105000013</v>
      </c>
      <c r="R3466" s="65">
        <v>0</v>
      </c>
      <c r="S3466" s="65">
        <v>16.2495726</v>
      </c>
      <c r="T3466" s="65">
        <v>0</v>
      </c>
      <c r="U3466" s="58">
        <v>0</v>
      </c>
      <c r="V3466" s="65">
        <v>500</v>
      </c>
      <c r="W3466" s="65">
        <v>0</v>
      </c>
      <c r="X3466" s="65">
        <v>399</v>
      </c>
      <c r="Y3466" s="65">
        <v>0</v>
      </c>
      <c r="Z3466" s="51">
        <v>0</v>
      </c>
      <c r="AA3466" s="51">
        <v>23</v>
      </c>
      <c r="AB3466" s="102">
        <v>0</v>
      </c>
      <c r="AC3466" s="81">
        <f t="shared" si="166"/>
        <v>502.48421270120002</v>
      </c>
      <c r="AD3466" s="82">
        <f t="shared" si="167"/>
        <v>3.6000000000000005</v>
      </c>
      <c r="AE3466" s="218">
        <v>2.4042626415244638E-2</v>
      </c>
      <c r="AF3466">
        <v>2</v>
      </c>
      <c r="AH3466" t="str">
        <f t="shared" si="165"/>
        <v>Dumraon</v>
      </c>
      <c r="AJ3466" s="72">
        <v>500</v>
      </c>
      <c r="AK3466" s="72"/>
      <c r="AL3466" s="72"/>
      <c r="AM3466" s="72"/>
    </row>
    <row r="3467" spans="1:39" x14ac:dyDescent="0.25">
      <c r="A3467" s="37" t="s">
        <v>62</v>
      </c>
      <c r="B3467" s="66" t="s">
        <v>1644</v>
      </c>
      <c r="C3467" s="4">
        <v>1014</v>
      </c>
      <c r="D3467" s="41" t="s">
        <v>376</v>
      </c>
      <c r="E3467" s="41">
        <v>10140153</v>
      </c>
      <c r="F3467" s="85" t="s">
        <v>523</v>
      </c>
      <c r="G3467" s="39" t="s">
        <v>93</v>
      </c>
      <c r="H3467" s="52" t="s">
        <v>94</v>
      </c>
      <c r="I3467" s="52">
        <v>175.10000000000002</v>
      </c>
      <c r="J3467" s="49">
        <v>5992.6146930000004</v>
      </c>
      <c r="K3467" s="58">
        <v>188.9</v>
      </c>
      <c r="L3467" s="58">
        <v>6851.8968967050005</v>
      </c>
      <c r="M3467" s="58">
        <v>0</v>
      </c>
      <c r="N3467" s="58">
        <v>0</v>
      </c>
      <c r="O3467" s="58">
        <v>188.9</v>
      </c>
      <c r="P3467" s="53">
        <v>6851.8968967050005</v>
      </c>
      <c r="Q3467" s="65">
        <v>5992.6146930000004</v>
      </c>
      <c r="R3467" s="65">
        <v>0</v>
      </c>
      <c r="S3467" s="65">
        <v>0</v>
      </c>
      <c r="T3467" s="65">
        <v>859.28220370500003</v>
      </c>
      <c r="U3467" s="58">
        <v>0</v>
      </c>
      <c r="V3467" s="65">
        <v>500</v>
      </c>
      <c r="W3467" s="65">
        <v>0</v>
      </c>
      <c r="X3467" s="65">
        <v>5493</v>
      </c>
      <c r="Y3467" s="65">
        <v>0</v>
      </c>
      <c r="Z3467" s="51">
        <v>0</v>
      </c>
      <c r="AA3467" s="51">
        <v>0</v>
      </c>
      <c r="AB3467" s="102">
        <v>0</v>
      </c>
      <c r="AC3467" s="81">
        <f t="shared" si="166"/>
        <v>359.28308993211874</v>
      </c>
      <c r="AD3467" s="82">
        <f t="shared" si="167"/>
        <v>25.014285714285716</v>
      </c>
      <c r="AE3467" s="218">
        <v>-0.14339019738891795</v>
      </c>
      <c r="AF3467">
        <v>2</v>
      </c>
      <c r="AH3467" t="str">
        <f t="shared" si="165"/>
        <v>Dumraon</v>
      </c>
      <c r="AJ3467" s="72">
        <v>500</v>
      </c>
      <c r="AK3467" s="72"/>
      <c r="AL3467" s="72"/>
      <c r="AM3467" s="72"/>
    </row>
    <row r="3468" spans="1:39" x14ac:dyDescent="0.25">
      <c r="A3468" s="37" t="s">
        <v>62</v>
      </c>
      <c r="B3468" s="66" t="s">
        <v>1644</v>
      </c>
      <c r="C3468" s="4">
        <v>1014</v>
      </c>
      <c r="D3468" s="41" t="s">
        <v>376</v>
      </c>
      <c r="E3468" s="41">
        <v>10140156</v>
      </c>
      <c r="F3468" s="85" t="s">
        <v>527</v>
      </c>
      <c r="G3468" s="39" t="s">
        <v>93</v>
      </c>
      <c r="H3468" s="52" t="s">
        <v>94</v>
      </c>
      <c r="I3468" s="52">
        <v>891.80000000000007</v>
      </c>
      <c r="J3468" s="49">
        <v>36632.094522561696</v>
      </c>
      <c r="K3468" s="58">
        <v>614.01</v>
      </c>
      <c r="L3468" s="58">
        <v>26444.388982341596</v>
      </c>
      <c r="M3468" s="58">
        <v>353.9</v>
      </c>
      <c r="N3468" s="58">
        <v>14190.000648247864</v>
      </c>
      <c r="O3468" s="58">
        <v>967.91</v>
      </c>
      <c r="P3468" s="53">
        <v>40634.38963058946</v>
      </c>
      <c r="Q3468" s="65">
        <v>36632.094522561696</v>
      </c>
      <c r="R3468" s="65">
        <v>0</v>
      </c>
      <c r="S3468" s="65">
        <v>1234.2247884905391</v>
      </c>
      <c r="T3468" s="65">
        <v>4002.2951080277635</v>
      </c>
      <c r="U3468" s="58">
        <v>0</v>
      </c>
      <c r="V3468" s="65">
        <v>0</v>
      </c>
      <c r="W3468" s="65">
        <v>0</v>
      </c>
      <c r="X3468" s="65">
        <v>22443</v>
      </c>
      <c r="Y3468" s="65">
        <v>12955</v>
      </c>
      <c r="Z3468" s="51">
        <v>0</v>
      </c>
      <c r="AA3468" s="51">
        <v>0</v>
      </c>
      <c r="AB3468" s="102">
        <v>0</v>
      </c>
      <c r="AC3468" s="81">
        <f t="shared" si="166"/>
        <v>0</v>
      </c>
      <c r="AD3468" s="82">
        <f t="shared" si="167"/>
        <v>0</v>
      </c>
      <c r="AE3468" s="218">
        <v>-0.10925651836704972</v>
      </c>
      <c r="AF3468">
        <v>6</v>
      </c>
      <c r="AH3468" t="str">
        <f t="shared" si="165"/>
        <v>Dumraon</v>
      </c>
      <c r="AJ3468" s="72">
        <v>0</v>
      </c>
      <c r="AK3468" s="72"/>
      <c r="AL3468" s="72"/>
      <c r="AM3468" s="72"/>
    </row>
    <row r="3469" spans="1:39" x14ac:dyDescent="0.25">
      <c r="A3469" s="37" t="s">
        <v>62</v>
      </c>
      <c r="B3469" s="66" t="s">
        <v>1644</v>
      </c>
      <c r="C3469" s="4">
        <v>1014</v>
      </c>
      <c r="D3469" s="41" t="s">
        <v>376</v>
      </c>
      <c r="E3469" s="41">
        <v>10140157</v>
      </c>
      <c r="F3469" s="85" t="s">
        <v>1289</v>
      </c>
      <c r="G3469" s="39" t="s">
        <v>635</v>
      </c>
      <c r="H3469" s="52" t="s">
        <v>99</v>
      </c>
      <c r="I3469" s="52">
        <v>496.40000000000003</v>
      </c>
      <c r="J3469" s="49">
        <v>23255.093710387901</v>
      </c>
      <c r="K3469" s="58">
        <v>0</v>
      </c>
      <c r="L3469" s="58">
        <v>0</v>
      </c>
      <c r="M3469" s="58">
        <v>0</v>
      </c>
      <c r="N3469" s="58">
        <v>0</v>
      </c>
      <c r="O3469" s="58">
        <v>0</v>
      </c>
      <c r="P3469" s="53">
        <v>0</v>
      </c>
      <c r="Q3469" s="65">
        <v>23255.093710387901</v>
      </c>
      <c r="R3469" s="65">
        <v>0</v>
      </c>
      <c r="S3469" s="65">
        <v>0</v>
      </c>
      <c r="T3469" s="65">
        <v>0</v>
      </c>
      <c r="U3469" s="58">
        <v>0</v>
      </c>
      <c r="V3469" s="65">
        <v>0</v>
      </c>
      <c r="W3469" s="65">
        <v>0</v>
      </c>
      <c r="X3469" s="65">
        <v>0</v>
      </c>
      <c r="Y3469" s="65">
        <v>0</v>
      </c>
      <c r="Z3469" s="51">
        <v>23255.093710387901</v>
      </c>
      <c r="AA3469" s="51">
        <v>0</v>
      </c>
      <c r="AB3469" s="102">
        <v>0</v>
      </c>
      <c r="AC3469" s="81">
        <f t="shared" si="166"/>
        <v>190.76297660898368</v>
      </c>
      <c r="AD3469" s="82">
        <f t="shared" si="167"/>
        <v>70.914285714285725</v>
      </c>
      <c r="AE3469" s="218">
        <v>0</v>
      </c>
      <c r="AF3469">
        <v>0</v>
      </c>
      <c r="AH3469" t="str">
        <f t="shared" si="165"/>
        <v>Dumraon</v>
      </c>
      <c r="AJ3469" s="72">
        <v>0</v>
      </c>
      <c r="AK3469" s="72"/>
      <c r="AL3469" s="72"/>
      <c r="AM3469" s="72"/>
    </row>
    <row r="3470" spans="1:39" x14ac:dyDescent="0.25">
      <c r="A3470" s="37" t="s">
        <v>62</v>
      </c>
      <c r="B3470" s="66" t="s">
        <v>1644</v>
      </c>
      <c r="C3470" s="4">
        <v>1014</v>
      </c>
      <c r="D3470" s="41" t="s">
        <v>376</v>
      </c>
      <c r="E3470" s="41">
        <v>10140166</v>
      </c>
      <c r="F3470" s="85" t="s">
        <v>600</v>
      </c>
      <c r="G3470" s="39" t="s">
        <v>93</v>
      </c>
      <c r="H3470" s="52" t="s">
        <v>94</v>
      </c>
      <c r="I3470" s="52">
        <v>344.3</v>
      </c>
      <c r="J3470" s="49">
        <v>14668.602653640002</v>
      </c>
      <c r="K3470" s="58">
        <v>344</v>
      </c>
      <c r="L3470" s="58">
        <v>14584.286436000002</v>
      </c>
      <c r="M3470" s="58">
        <v>0</v>
      </c>
      <c r="N3470" s="58">
        <v>0</v>
      </c>
      <c r="O3470" s="58">
        <v>344</v>
      </c>
      <c r="P3470" s="53">
        <v>14584.286436000002</v>
      </c>
      <c r="Q3470" s="65">
        <v>14584.286436000002</v>
      </c>
      <c r="R3470" s="65">
        <v>0</v>
      </c>
      <c r="S3470" s="65">
        <v>0</v>
      </c>
      <c r="T3470" s="65">
        <v>0</v>
      </c>
      <c r="U3470" s="58">
        <v>0</v>
      </c>
      <c r="V3470" s="65">
        <v>0</v>
      </c>
      <c r="W3470" s="65">
        <v>0</v>
      </c>
      <c r="X3470" s="65">
        <v>14584</v>
      </c>
      <c r="Y3470" s="65">
        <v>0</v>
      </c>
      <c r="Z3470" s="51">
        <v>0</v>
      </c>
      <c r="AA3470" s="51">
        <v>85</v>
      </c>
      <c r="AB3470" s="102">
        <v>0</v>
      </c>
      <c r="AC3470" s="81">
        <f t="shared" si="166"/>
        <v>303.08579517279981</v>
      </c>
      <c r="AD3470" s="82">
        <f t="shared" si="167"/>
        <v>49.18571428571429</v>
      </c>
      <c r="AE3470" s="218">
        <v>5.7480742802094448E-3</v>
      </c>
      <c r="AF3470">
        <v>1</v>
      </c>
      <c r="AH3470" t="str">
        <f t="shared" si="165"/>
        <v>Dumraon</v>
      </c>
      <c r="AJ3470" s="72">
        <v>0</v>
      </c>
      <c r="AK3470" s="72"/>
      <c r="AL3470" s="72"/>
      <c r="AM3470" s="72"/>
    </row>
    <row r="3471" spans="1:39" x14ac:dyDescent="0.25">
      <c r="A3471" s="37" t="s">
        <v>62</v>
      </c>
      <c r="B3471" s="66" t="s">
        <v>1644</v>
      </c>
      <c r="C3471" s="4">
        <v>1014</v>
      </c>
      <c r="D3471" s="41" t="s">
        <v>376</v>
      </c>
      <c r="E3471" s="41">
        <v>10140167</v>
      </c>
      <c r="F3471" s="85" t="s">
        <v>1177</v>
      </c>
      <c r="G3471" s="39" t="s">
        <v>635</v>
      </c>
      <c r="H3471" s="52" t="s">
        <v>99</v>
      </c>
      <c r="I3471" s="52">
        <v>1275.9000000000001</v>
      </c>
      <c r="J3471" s="49">
        <v>49262.054544150298</v>
      </c>
      <c r="K3471" s="58">
        <v>0</v>
      </c>
      <c r="L3471" s="58">
        <v>0</v>
      </c>
      <c r="M3471" s="58">
        <v>0</v>
      </c>
      <c r="N3471" s="58">
        <v>0</v>
      </c>
      <c r="O3471" s="58">
        <v>0</v>
      </c>
      <c r="P3471" s="53">
        <v>0</v>
      </c>
      <c r="Q3471" s="65">
        <v>49262.054544150298</v>
      </c>
      <c r="R3471" s="65">
        <v>0</v>
      </c>
      <c r="S3471" s="65">
        <v>0</v>
      </c>
      <c r="T3471" s="65">
        <v>0</v>
      </c>
      <c r="U3471" s="58">
        <v>0</v>
      </c>
      <c r="V3471" s="65">
        <v>0</v>
      </c>
      <c r="W3471" s="65">
        <v>0</v>
      </c>
      <c r="X3471" s="65">
        <v>0</v>
      </c>
      <c r="Y3471" s="65">
        <v>0</v>
      </c>
      <c r="Z3471" s="51">
        <v>49262.054544150298</v>
      </c>
      <c r="AA3471" s="51">
        <v>0</v>
      </c>
      <c r="AB3471" s="102">
        <v>0</v>
      </c>
      <c r="AC3471" s="81">
        <f t="shared" si="166"/>
        <v>0</v>
      </c>
      <c r="AD3471" s="82">
        <f t="shared" si="167"/>
        <v>0</v>
      </c>
      <c r="AE3471" s="218">
        <v>0</v>
      </c>
      <c r="AF3471">
        <v>0</v>
      </c>
      <c r="AH3471" t="str">
        <f t="shared" si="165"/>
        <v>Dumraon</v>
      </c>
      <c r="AJ3471" s="72">
        <v>0</v>
      </c>
      <c r="AK3471" s="72"/>
      <c r="AL3471" s="72"/>
      <c r="AM3471" s="72"/>
    </row>
    <row r="3472" spans="1:39" x14ac:dyDescent="0.25">
      <c r="A3472" s="37" t="s">
        <v>62</v>
      </c>
      <c r="B3472" s="66" t="s">
        <v>1644</v>
      </c>
      <c r="C3472" s="4">
        <v>1014</v>
      </c>
      <c r="D3472" s="41" t="s">
        <v>376</v>
      </c>
      <c r="E3472" s="41">
        <v>10140170</v>
      </c>
      <c r="F3472" s="85" t="s">
        <v>638</v>
      </c>
      <c r="G3472" s="39" t="s">
        <v>93</v>
      </c>
      <c r="H3472" s="52" t="s">
        <v>94</v>
      </c>
      <c r="I3472" s="52">
        <v>546.50000000000011</v>
      </c>
      <c r="J3472" s="49">
        <v>24161.563180404803</v>
      </c>
      <c r="K3472" s="58">
        <v>602.41999999999996</v>
      </c>
      <c r="L3472" s="58">
        <v>26940.919970480158</v>
      </c>
      <c r="M3472" s="58">
        <v>0</v>
      </c>
      <c r="N3472" s="58">
        <v>0</v>
      </c>
      <c r="O3472" s="58">
        <v>602.41999999999996</v>
      </c>
      <c r="P3472" s="53">
        <v>26940.919970480158</v>
      </c>
      <c r="Q3472" s="65">
        <v>24161.563180404803</v>
      </c>
      <c r="R3472" s="65">
        <v>0</v>
      </c>
      <c r="S3472" s="65">
        <v>0</v>
      </c>
      <c r="T3472" s="65">
        <v>2779.3567900753551</v>
      </c>
      <c r="U3472" s="58">
        <v>0</v>
      </c>
      <c r="V3472" s="65">
        <v>0</v>
      </c>
      <c r="W3472" s="65">
        <v>0</v>
      </c>
      <c r="X3472" s="65">
        <v>24162</v>
      </c>
      <c r="Y3472" s="65">
        <v>0</v>
      </c>
      <c r="Z3472" s="51">
        <v>0</v>
      </c>
      <c r="AA3472" s="51">
        <v>0</v>
      </c>
      <c r="AB3472" s="102" t="s">
        <v>68</v>
      </c>
      <c r="AC3472" s="81">
        <f t="shared" si="166"/>
        <v>135.72918383136815</v>
      </c>
      <c r="AD3472" s="82">
        <f t="shared" si="167"/>
        <v>78.071428571428584</v>
      </c>
      <c r="AE3472" s="218">
        <v>-0.11503215952225446</v>
      </c>
      <c r="AF3472">
        <v>2</v>
      </c>
      <c r="AH3472" t="str">
        <f t="shared" si="165"/>
        <v>Dumraon</v>
      </c>
      <c r="AJ3472" s="72">
        <v>0</v>
      </c>
      <c r="AK3472" s="72"/>
      <c r="AL3472" s="72"/>
      <c r="AM3472" s="72"/>
    </row>
    <row r="3473" spans="1:39" x14ac:dyDescent="0.25">
      <c r="A3473" s="37" t="s">
        <v>62</v>
      </c>
      <c r="B3473" s="66" t="s">
        <v>1644</v>
      </c>
      <c r="C3473" s="4">
        <v>1014</v>
      </c>
      <c r="D3473" s="41" t="s">
        <v>376</v>
      </c>
      <c r="E3473" s="41">
        <v>10140171</v>
      </c>
      <c r="F3473" s="85" t="s">
        <v>1637</v>
      </c>
      <c r="G3473" s="39" t="s">
        <v>93</v>
      </c>
      <c r="H3473" s="52" t="s">
        <v>94</v>
      </c>
      <c r="I3473" s="52">
        <v>357.9</v>
      </c>
      <c r="J3473" s="49">
        <v>13408.112079300001</v>
      </c>
      <c r="K3473" s="58">
        <v>344</v>
      </c>
      <c r="L3473" s="58">
        <v>13388.862528000003</v>
      </c>
      <c r="M3473" s="58">
        <v>0</v>
      </c>
      <c r="N3473" s="58">
        <v>0</v>
      </c>
      <c r="O3473" s="58">
        <v>344</v>
      </c>
      <c r="P3473" s="53">
        <v>13388.862528000003</v>
      </c>
      <c r="Q3473" s="65">
        <v>13388.862528000003</v>
      </c>
      <c r="R3473" s="65">
        <v>0</v>
      </c>
      <c r="S3473" s="65">
        <v>0</v>
      </c>
      <c r="T3473" s="65">
        <v>0</v>
      </c>
      <c r="U3473" s="58">
        <v>0</v>
      </c>
      <c r="V3473" s="65">
        <v>0</v>
      </c>
      <c r="W3473" s="65">
        <v>0</v>
      </c>
      <c r="X3473" s="65">
        <v>13389</v>
      </c>
      <c r="Y3473" s="65">
        <v>0</v>
      </c>
      <c r="Z3473" s="51">
        <v>0</v>
      </c>
      <c r="AA3473" s="51">
        <v>19</v>
      </c>
      <c r="AB3473" s="102">
        <v>0</v>
      </c>
      <c r="AC3473" s="81">
        <f t="shared" si="166"/>
        <v>256.32384142657338</v>
      </c>
      <c r="AD3473" s="82">
        <f t="shared" si="167"/>
        <v>51.128571428571426</v>
      </c>
      <c r="AE3473" s="218">
        <v>1.4356645578549327E-3</v>
      </c>
      <c r="AF3473">
        <v>1</v>
      </c>
      <c r="AH3473" t="str">
        <f t="shared" si="165"/>
        <v>Dumraon</v>
      </c>
      <c r="AJ3473" s="72">
        <v>0</v>
      </c>
      <c r="AK3473" s="72"/>
      <c r="AL3473" s="72"/>
      <c r="AM3473" s="72"/>
    </row>
    <row r="3474" spans="1:39" x14ac:dyDescent="0.25">
      <c r="A3474" s="37" t="s">
        <v>62</v>
      </c>
      <c r="B3474" s="66" t="s">
        <v>1644</v>
      </c>
      <c r="C3474" s="4">
        <v>1014</v>
      </c>
      <c r="D3474" s="41" t="s">
        <v>376</v>
      </c>
      <c r="E3474" s="41">
        <v>10140173</v>
      </c>
      <c r="F3474" s="85" t="s">
        <v>652</v>
      </c>
      <c r="G3474" s="39" t="s">
        <v>93</v>
      </c>
      <c r="H3474" s="52" t="s">
        <v>94</v>
      </c>
      <c r="I3474" s="52">
        <v>658.69999999999993</v>
      </c>
      <c r="J3474" s="49">
        <v>24452.497247340001</v>
      </c>
      <c r="K3474" s="58">
        <v>657.7600000000001</v>
      </c>
      <c r="L3474" s="58">
        <v>27225.654804343441</v>
      </c>
      <c r="M3474" s="58">
        <v>0</v>
      </c>
      <c r="N3474" s="58">
        <v>0</v>
      </c>
      <c r="O3474" s="58">
        <v>657.7600000000001</v>
      </c>
      <c r="P3474" s="53">
        <v>27225.654804343441</v>
      </c>
      <c r="Q3474" s="65">
        <v>24452.497247340001</v>
      </c>
      <c r="R3474" s="65">
        <v>0</v>
      </c>
      <c r="S3474" s="65">
        <v>0</v>
      </c>
      <c r="T3474" s="65">
        <v>2773.1575570034402</v>
      </c>
      <c r="U3474" s="58">
        <v>0</v>
      </c>
      <c r="V3474" s="65">
        <v>0</v>
      </c>
      <c r="W3474" s="65">
        <v>0</v>
      </c>
      <c r="X3474" s="65">
        <v>24452</v>
      </c>
      <c r="Y3474" s="65">
        <v>0</v>
      </c>
      <c r="Z3474" s="51">
        <v>0</v>
      </c>
      <c r="AA3474" s="51">
        <v>0</v>
      </c>
      <c r="AB3474" s="102" t="s">
        <v>68</v>
      </c>
      <c r="AC3474" s="81">
        <f t="shared" si="166"/>
        <v>30.663067749055507</v>
      </c>
      <c r="AD3474" s="82">
        <f t="shared" si="167"/>
        <v>94.1</v>
      </c>
      <c r="AE3474" s="218">
        <v>-0.11340999362775148</v>
      </c>
      <c r="AF3474">
        <v>1</v>
      </c>
      <c r="AH3474" t="str">
        <f t="shared" si="165"/>
        <v>Dumraon</v>
      </c>
      <c r="AJ3474" s="72">
        <v>0</v>
      </c>
      <c r="AK3474" s="72"/>
      <c r="AL3474" s="72"/>
      <c r="AM3474" s="72"/>
    </row>
    <row r="3475" spans="1:39" x14ac:dyDescent="0.25">
      <c r="A3475" s="37" t="s">
        <v>62</v>
      </c>
      <c r="B3475" s="66" t="s">
        <v>1644</v>
      </c>
      <c r="C3475" s="4">
        <v>1014</v>
      </c>
      <c r="D3475" s="41" t="s">
        <v>376</v>
      </c>
      <c r="E3475" s="41">
        <v>10140176</v>
      </c>
      <c r="F3475" s="85" t="s">
        <v>663</v>
      </c>
      <c r="G3475" s="39" t="s">
        <v>635</v>
      </c>
      <c r="H3475" s="52" t="s">
        <v>99</v>
      </c>
      <c r="I3475" s="52">
        <v>286.39999999999998</v>
      </c>
      <c r="J3475" s="49">
        <v>10819.131339150001</v>
      </c>
      <c r="K3475" s="58">
        <v>0</v>
      </c>
      <c r="L3475" s="58">
        <v>0</v>
      </c>
      <c r="M3475" s="58">
        <v>0</v>
      </c>
      <c r="N3475" s="58">
        <v>0</v>
      </c>
      <c r="O3475" s="58">
        <v>0</v>
      </c>
      <c r="P3475" s="53">
        <v>0</v>
      </c>
      <c r="Q3475" s="65">
        <v>10819.131339150001</v>
      </c>
      <c r="R3475" s="65">
        <v>0</v>
      </c>
      <c r="S3475" s="65">
        <v>0</v>
      </c>
      <c r="T3475" s="65">
        <v>0</v>
      </c>
      <c r="U3475" s="58">
        <v>0</v>
      </c>
      <c r="V3475" s="65">
        <v>0</v>
      </c>
      <c r="W3475" s="65">
        <v>0</v>
      </c>
      <c r="X3475" s="65">
        <v>0</v>
      </c>
      <c r="Y3475" s="65">
        <v>0</v>
      </c>
      <c r="Z3475" s="51">
        <v>10819.131339150001</v>
      </c>
      <c r="AA3475" s="51">
        <v>0</v>
      </c>
      <c r="AB3475" s="102">
        <v>0</v>
      </c>
      <c r="AC3475" s="81">
        <f t="shared" si="166"/>
        <v>312.48552527042182</v>
      </c>
      <c r="AD3475" s="82">
        <f t="shared" si="167"/>
        <v>40.914285714285711</v>
      </c>
      <c r="AE3475" s="218">
        <v>0</v>
      </c>
      <c r="AF3475">
        <v>0</v>
      </c>
      <c r="AH3475" t="str">
        <f t="shared" si="165"/>
        <v>Dumraon</v>
      </c>
      <c r="AJ3475" s="72">
        <v>0</v>
      </c>
      <c r="AK3475" s="72"/>
      <c r="AL3475" s="72"/>
      <c r="AM3475" s="72"/>
    </row>
    <row r="3476" spans="1:39" x14ac:dyDescent="0.25">
      <c r="A3476" s="37" t="s">
        <v>62</v>
      </c>
      <c r="B3476" s="66" t="s">
        <v>1644</v>
      </c>
      <c r="C3476" s="4">
        <v>1014</v>
      </c>
      <c r="D3476" s="41" t="s">
        <v>376</v>
      </c>
      <c r="E3476" s="41">
        <v>10140179</v>
      </c>
      <c r="F3476" s="85" t="s">
        <v>673</v>
      </c>
      <c r="G3476" s="39" t="s">
        <v>93</v>
      </c>
      <c r="H3476" s="52" t="s">
        <v>94</v>
      </c>
      <c r="I3476" s="52">
        <v>1156.8999999999999</v>
      </c>
      <c r="J3476" s="49">
        <v>45857.989285050004</v>
      </c>
      <c r="K3476" s="58">
        <v>1152.2099999999996</v>
      </c>
      <c r="L3476" s="58">
        <v>45296.700287778687</v>
      </c>
      <c r="M3476" s="58">
        <v>15.6</v>
      </c>
      <c r="N3476" s="58">
        <v>635.89686144300003</v>
      </c>
      <c r="O3476" s="58">
        <v>1167.8099999999995</v>
      </c>
      <c r="P3476" s="53">
        <v>45932.597149221685</v>
      </c>
      <c r="Q3476" s="65">
        <v>45857.989285050004</v>
      </c>
      <c r="R3476" s="65">
        <v>0</v>
      </c>
      <c r="S3476" s="65">
        <v>635.89686144300003</v>
      </c>
      <c r="T3476" s="65">
        <v>74.607864171681285</v>
      </c>
      <c r="U3476" s="58">
        <v>0</v>
      </c>
      <c r="V3476" s="65">
        <v>0</v>
      </c>
      <c r="W3476" s="65">
        <v>0</v>
      </c>
      <c r="X3476" s="65">
        <v>45222</v>
      </c>
      <c r="Y3476" s="65">
        <v>0</v>
      </c>
      <c r="Z3476" s="51">
        <v>0</v>
      </c>
      <c r="AA3476" s="51">
        <v>0</v>
      </c>
      <c r="AB3476" s="102">
        <v>0</v>
      </c>
      <c r="AC3476" s="81">
        <f t="shared" si="166"/>
        <v>0</v>
      </c>
      <c r="AD3476" s="82">
        <f t="shared" si="167"/>
        <v>0</v>
      </c>
      <c r="AE3476" s="218">
        <v>-1.6269327402892461E-3</v>
      </c>
      <c r="AF3476">
        <v>35</v>
      </c>
      <c r="AH3476" t="str">
        <f t="shared" si="165"/>
        <v>Dumraon</v>
      </c>
      <c r="AJ3476" s="72">
        <v>0</v>
      </c>
      <c r="AK3476" s="72"/>
      <c r="AL3476" s="72"/>
      <c r="AM3476" s="72"/>
    </row>
    <row r="3477" spans="1:39" x14ac:dyDescent="0.25">
      <c r="A3477" s="37" t="s">
        <v>62</v>
      </c>
      <c r="B3477" s="66" t="s">
        <v>1644</v>
      </c>
      <c r="C3477" s="4">
        <v>1014</v>
      </c>
      <c r="D3477" s="41" t="s">
        <v>376</v>
      </c>
      <c r="E3477" s="41">
        <v>10140180</v>
      </c>
      <c r="F3477" s="85" t="s">
        <v>693</v>
      </c>
      <c r="G3477" s="39" t="s">
        <v>93</v>
      </c>
      <c r="H3477" s="52" t="s">
        <v>94</v>
      </c>
      <c r="I3477" s="52">
        <v>138.5</v>
      </c>
      <c r="J3477" s="49">
        <v>5515.5150615300017</v>
      </c>
      <c r="K3477" s="58">
        <v>140.1</v>
      </c>
      <c r="L3477" s="58">
        <v>5442.5306529000009</v>
      </c>
      <c r="M3477" s="58">
        <v>2.5</v>
      </c>
      <c r="N3477" s="58">
        <v>100.02991866000001</v>
      </c>
      <c r="O3477" s="58">
        <v>142.6</v>
      </c>
      <c r="P3477" s="53">
        <v>5542.5605715600004</v>
      </c>
      <c r="Q3477" s="65">
        <v>5515.5150615300017</v>
      </c>
      <c r="R3477" s="65">
        <v>0</v>
      </c>
      <c r="S3477" s="65">
        <v>100.02991866000001</v>
      </c>
      <c r="T3477" s="65">
        <v>27.045510029998695</v>
      </c>
      <c r="U3477" s="58">
        <v>2560</v>
      </c>
      <c r="V3477" s="65">
        <v>0</v>
      </c>
      <c r="W3477" s="65">
        <v>0</v>
      </c>
      <c r="X3477" s="65">
        <v>2855</v>
      </c>
      <c r="Y3477" s="65">
        <v>0</v>
      </c>
      <c r="Z3477" s="51">
        <v>0</v>
      </c>
      <c r="AA3477" s="51">
        <v>0</v>
      </c>
      <c r="AB3477" s="102">
        <v>0</v>
      </c>
      <c r="AC3477" s="81">
        <f t="shared" si="166"/>
        <v>447.21468693849761</v>
      </c>
      <c r="AD3477" s="82">
        <f t="shared" si="167"/>
        <v>19.785714285714285</v>
      </c>
      <c r="AE3477" s="218">
        <v>-4.9035329843694206E-3</v>
      </c>
      <c r="AF3477">
        <v>5</v>
      </c>
      <c r="AH3477" t="str">
        <f t="shared" si="165"/>
        <v>Dumraon</v>
      </c>
      <c r="AJ3477" s="72">
        <v>0</v>
      </c>
      <c r="AK3477" s="72"/>
      <c r="AL3477" s="72"/>
      <c r="AM3477" s="72"/>
    </row>
    <row r="3478" spans="1:39" x14ac:dyDescent="0.25">
      <c r="A3478" s="37" t="s">
        <v>62</v>
      </c>
      <c r="B3478" s="66" t="s">
        <v>1644</v>
      </c>
      <c r="C3478" s="4">
        <v>1014</v>
      </c>
      <c r="D3478" s="41" t="s">
        <v>376</v>
      </c>
      <c r="E3478" s="41">
        <v>10140185</v>
      </c>
      <c r="F3478" s="85" t="s">
        <v>1158</v>
      </c>
      <c r="G3478" s="39" t="s">
        <v>93</v>
      </c>
      <c r="H3478" s="52" t="s">
        <v>94</v>
      </c>
      <c r="I3478" s="52">
        <v>669.49999999999989</v>
      </c>
      <c r="J3478" s="49">
        <v>22968.441060658501</v>
      </c>
      <c r="K3478" s="58">
        <v>668</v>
      </c>
      <c r="L3478" s="58">
        <v>22935.186816000001</v>
      </c>
      <c r="M3478" s="58">
        <v>0</v>
      </c>
      <c r="N3478" s="58">
        <v>0</v>
      </c>
      <c r="O3478" s="58">
        <v>668</v>
      </c>
      <c r="P3478" s="53">
        <v>22935.186816000001</v>
      </c>
      <c r="Q3478" s="65">
        <v>22935.186816000001</v>
      </c>
      <c r="R3478" s="65">
        <v>0</v>
      </c>
      <c r="S3478" s="65">
        <v>0</v>
      </c>
      <c r="T3478" s="65">
        <v>0</v>
      </c>
      <c r="U3478" s="58">
        <v>6400</v>
      </c>
      <c r="V3478" s="65">
        <v>0</v>
      </c>
      <c r="W3478" s="65">
        <v>0</v>
      </c>
      <c r="X3478" s="65">
        <v>16535</v>
      </c>
      <c r="Y3478" s="65">
        <v>0</v>
      </c>
      <c r="Z3478" s="51">
        <v>0</v>
      </c>
      <c r="AA3478" s="51">
        <v>33</v>
      </c>
      <c r="AB3478" s="102">
        <v>0</v>
      </c>
      <c r="AC3478" s="81">
        <f t="shared" si="166"/>
        <v>20.927183042571691</v>
      </c>
      <c r="AD3478" s="82">
        <f t="shared" si="167"/>
        <v>95.642857142857125</v>
      </c>
      <c r="AE3478" s="218">
        <v>1.4478233229097519E-3</v>
      </c>
      <c r="AF3478">
        <v>1</v>
      </c>
      <c r="AH3478" t="str">
        <f t="shared" si="165"/>
        <v>Dumraon</v>
      </c>
      <c r="AJ3478" s="72">
        <v>0</v>
      </c>
      <c r="AK3478" s="72"/>
      <c r="AL3478" s="72"/>
      <c r="AM3478" s="72"/>
    </row>
    <row r="3479" spans="1:39" x14ac:dyDescent="0.25">
      <c r="A3479" s="37" t="s">
        <v>62</v>
      </c>
      <c r="B3479" s="66" t="s">
        <v>1644</v>
      </c>
      <c r="C3479" s="4">
        <v>1014</v>
      </c>
      <c r="D3479" s="41" t="s">
        <v>376</v>
      </c>
      <c r="E3479" s="41">
        <v>10140190</v>
      </c>
      <c r="F3479" s="85" t="s">
        <v>1623</v>
      </c>
      <c r="G3479" s="39" t="s">
        <v>635</v>
      </c>
      <c r="H3479" s="52" t="s">
        <v>99</v>
      </c>
      <c r="I3479" s="52">
        <v>393.40000000000003</v>
      </c>
      <c r="J3479" s="49">
        <v>14698.187738370005</v>
      </c>
      <c r="K3479" s="58">
        <v>0</v>
      </c>
      <c r="L3479" s="58">
        <v>0</v>
      </c>
      <c r="M3479" s="58">
        <v>0</v>
      </c>
      <c r="N3479" s="58">
        <v>0</v>
      </c>
      <c r="O3479" s="58">
        <v>0</v>
      </c>
      <c r="P3479" s="53">
        <v>0</v>
      </c>
      <c r="Q3479" s="65">
        <v>14698.187738370005</v>
      </c>
      <c r="R3479" s="65">
        <v>0</v>
      </c>
      <c r="S3479" s="65">
        <v>0</v>
      </c>
      <c r="T3479" s="65">
        <v>0</v>
      </c>
      <c r="U3479" s="58">
        <v>0</v>
      </c>
      <c r="V3479" s="65">
        <v>0</v>
      </c>
      <c r="W3479" s="65">
        <v>0</v>
      </c>
      <c r="X3479" s="65">
        <v>0</v>
      </c>
      <c r="Y3479" s="65">
        <v>0</v>
      </c>
      <c r="Z3479" s="51">
        <v>14698.187738370005</v>
      </c>
      <c r="AA3479" s="51">
        <v>0</v>
      </c>
      <c r="AB3479" s="102">
        <v>0</v>
      </c>
      <c r="AC3479" s="81">
        <f t="shared" si="166"/>
        <v>229.1034245340235</v>
      </c>
      <c r="AD3479" s="82">
        <f t="shared" si="167"/>
        <v>56.2</v>
      </c>
      <c r="AE3479" s="218">
        <v>0</v>
      </c>
      <c r="AF3479">
        <v>0</v>
      </c>
      <c r="AH3479" t="str">
        <f t="shared" si="165"/>
        <v>Dumraon</v>
      </c>
      <c r="AJ3479" s="72">
        <v>0</v>
      </c>
      <c r="AK3479" s="72"/>
      <c r="AL3479" s="72"/>
      <c r="AM3479" s="72"/>
    </row>
    <row r="3480" spans="1:39" x14ac:dyDescent="0.25">
      <c r="A3480" s="37" t="s">
        <v>62</v>
      </c>
      <c r="B3480" s="66" t="s">
        <v>1644</v>
      </c>
      <c r="C3480" s="4">
        <v>1014</v>
      </c>
      <c r="D3480" s="41" t="s">
        <v>376</v>
      </c>
      <c r="E3480" s="41">
        <v>10140191</v>
      </c>
      <c r="F3480" s="85" t="s">
        <v>1638</v>
      </c>
      <c r="G3480" s="39" t="s">
        <v>635</v>
      </c>
      <c r="H3480" s="52" t="s">
        <v>99</v>
      </c>
      <c r="I3480" s="52">
        <v>328</v>
      </c>
      <c r="J3480" s="49">
        <v>12633.054732060002</v>
      </c>
      <c r="K3480" s="58">
        <v>0</v>
      </c>
      <c r="L3480" s="58">
        <v>0</v>
      </c>
      <c r="M3480" s="58">
        <v>0</v>
      </c>
      <c r="N3480" s="58">
        <v>0</v>
      </c>
      <c r="O3480" s="58">
        <v>0</v>
      </c>
      <c r="P3480" s="53">
        <v>0</v>
      </c>
      <c r="Q3480" s="65">
        <v>12633.054732060002</v>
      </c>
      <c r="R3480" s="65">
        <v>0</v>
      </c>
      <c r="S3480" s="65">
        <v>0</v>
      </c>
      <c r="T3480" s="65">
        <v>0</v>
      </c>
      <c r="U3480" s="58">
        <v>0</v>
      </c>
      <c r="V3480" s="65">
        <v>0</v>
      </c>
      <c r="W3480" s="65">
        <v>0</v>
      </c>
      <c r="X3480" s="65">
        <v>0</v>
      </c>
      <c r="Y3480" s="65">
        <v>0</v>
      </c>
      <c r="Z3480" s="51">
        <v>12633.054732060002</v>
      </c>
      <c r="AA3480" s="51">
        <v>0</v>
      </c>
      <c r="AB3480" s="102">
        <v>0</v>
      </c>
      <c r="AC3480" s="81">
        <f t="shared" si="166"/>
        <v>286.55465611745865</v>
      </c>
      <c r="AD3480" s="82">
        <f t="shared" si="167"/>
        <v>46.857142857142854</v>
      </c>
      <c r="AE3480" s="218">
        <v>0</v>
      </c>
      <c r="AF3480">
        <v>0</v>
      </c>
      <c r="AH3480" t="str">
        <f t="shared" si="165"/>
        <v>Dumraon</v>
      </c>
      <c r="AJ3480" s="72">
        <v>0</v>
      </c>
      <c r="AK3480" s="72"/>
      <c r="AL3480" s="72"/>
      <c r="AM3480" s="72"/>
    </row>
    <row r="3481" spans="1:39" x14ac:dyDescent="0.25">
      <c r="A3481" s="37" t="s">
        <v>62</v>
      </c>
      <c r="B3481" s="66" t="s">
        <v>1644</v>
      </c>
      <c r="C3481" s="4">
        <v>1014</v>
      </c>
      <c r="D3481" s="41" t="s">
        <v>376</v>
      </c>
      <c r="E3481" s="41">
        <v>10140193</v>
      </c>
      <c r="F3481" s="85" t="s">
        <v>1290</v>
      </c>
      <c r="G3481" s="39" t="s">
        <v>635</v>
      </c>
      <c r="H3481" s="52" t="s">
        <v>99</v>
      </c>
      <c r="I3481" s="52">
        <v>844.4</v>
      </c>
      <c r="J3481" s="49">
        <v>29178.809217720001</v>
      </c>
      <c r="K3481" s="58">
        <v>0</v>
      </c>
      <c r="L3481" s="58">
        <v>0</v>
      </c>
      <c r="M3481" s="58">
        <v>0</v>
      </c>
      <c r="N3481" s="58">
        <v>0</v>
      </c>
      <c r="O3481" s="58">
        <v>0</v>
      </c>
      <c r="P3481" s="53">
        <v>0</v>
      </c>
      <c r="Q3481" s="65">
        <v>29178.809217720001</v>
      </c>
      <c r="R3481" s="65">
        <v>0</v>
      </c>
      <c r="S3481" s="65">
        <v>0</v>
      </c>
      <c r="T3481" s="65">
        <v>0</v>
      </c>
      <c r="U3481" s="58">
        <v>0</v>
      </c>
      <c r="V3481" s="65">
        <v>0</v>
      </c>
      <c r="W3481" s="65">
        <v>0</v>
      </c>
      <c r="X3481" s="65">
        <v>0</v>
      </c>
      <c r="Y3481" s="65">
        <v>0</v>
      </c>
      <c r="Z3481" s="51">
        <v>29178.809217720001</v>
      </c>
      <c r="AA3481" s="51">
        <v>0</v>
      </c>
      <c r="AB3481" s="102">
        <v>0</v>
      </c>
      <c r="AC3481" s="81">
        <f t="shared" si="166"/>
        <v>0</v>
      </c>
      <c r="AD3481" s="82">
        <f t="shared" si="167"/>
        <v>0</v>
      </c>
      <c r="AE3481" s="218">
        <v>0</v>
      </c>
      <c r="AF3481">
        <v>0</v>
      </c>
      <c r="AH3481" t="str">
        <f t="shared" si="165"/>
        <v>Dumraon</v>
      </c>
      <c r="AJ3481" s="72">
        <v>0</v>
      </c>
      <c r="AK3481" s="72"/>
      <c r="AL3481" s="72"/>
      <c r="AM3481" s="72"/>
    </row>
    <row r="3482" spans="1:39" x14ac:dyDescent="0.25">
      <c r="A3482" s="37" t="s">
        <v>62</v>
      </c>
      <c r="B3482" s="66" t="s">
        <v>1644</v>
      </c>
      <c r="C3482" s="4">
        <v>1014</v>
      </c>
      <c r="D3482" s="41" t="s">
        <v>376</v>
      </c>
      <c r="E3482" s="41">
        <v>10140194</v>
      </c>
      <c r="F3482" s="85" t="s">
        <v>1316</v>
      </c>
      <c r="G3482" s="39" t="s">
        <v>93</v>
      </c>
      <c r="H3482" s="52" t="s">
        <v>94</v>
      </c>
      <c r="I3482" s="52">
        <v>528.5</v>
      </c>
      <c r="J3482" s="49">
        <v>20079.949709339999</v>
      </c>
      <c r="K3482" s="58">
        <v>527.19000000000005</v>
      </c>
      <c r="L3482" s="58">
        <v>20143.021951440001</v>
      </c>
      <c r="M3482" s="58">
        <v>0</v>
      </c>
      <c r="N3482" s="58">
        <v>0</v>
      </c>
      <c r="O3482" s="58">
        <v>527.19000000000005</v>
      </c>
      <c r="P3482" s="53">
        <v>20143.021951440001</v>
      </c>
      <c r="Q3482" s="65">
        <v>20079.949709339999</v>
      </c>
      <c r="R3482" s="65">
        <v>0</v>
      </c>
      <c r="S3482" s="65">
        <v>0</v>
      </c>
      <c r="T3482" s="65">
        <v>63.072242100002768</v>
      </c>
      <c r="U3482" s="58">
        <v>0</v>
      </c>
      <c r="V3482" s="65">
        <v>0</v>
      </c>
      <c r="W3482" s="65">
        <v>0</v>
      </c>
      <c r="X3482" s="65">
        <v>20080</v>
      </c>
      <c r="Y3482" s="65">
        <v>0</v>
      </c>
      <c r="Z3482" s="51">
        <v>0</v>
      </c>
      <c r="AA3482" s="51">
        <v>0</v>
      </c>
      <c r="AB3482" s="102">
        <v>0</v>
      </c>
      <c r="AC3482" s="81">
        <f t="shared" si="166"/>
        <v>130.32020341161058</v>
      </c>
      <c r="AD3482" s="82">
        <f t="shared" si="167"/>
        <v>75.5</v>
      </c>
      <c r="AE3482" s="218">
        <v>-3.1410557801678811E-3</v>
      </c>
      <c r="AF3482">
        <v>1</v>
      </c>
      <c r="AH3482" t="str">
        <f t="shared" si="165"/>
        <v>Dumraon</v>
      </c>
      <c r="AJ3482" s="72">
        <v>0</v>
      </c>
      <c r="AK3482" s="72"/>
      <c r="AL3482" s="72"/>
      <c r="AM3482" s="72"/>
    </row>
    <row r="3483" spans="1:39" x14ac:dyDescent="0.25">
      <c r="A3483" s="37" t="s">
        <v>62</v>
      </c>
      <c r="B3483" s="66" t="s">
        <v>1644</v>
      </c>
      <c r="C3483" s="4">
        <v>1014</v>
      </c>
      <c r="D3483" s="41" t="s">
        <v>376</v>
      </c>
      <c r="E3483" s="41">
        <v>10140196</v>
      </c>
      <c r="F3483" s="85" t="s">
        <v>1308</v>
      </c>
      <c r="G3483" s="39" t="s">
        <v>635</v>
      </c>
      <c r="H3483" s="52" t="s">
        <v>99</v>
      </c>
      <c r="I3483" s="52">
        <v>401.4</v>
      </c>
      <c r="J3483" s="49">
        <v>15343.070640270003</v>
      </c>
      <c r="K3483" s="58">
        <v>0</v>
      </c>
      <c r="L3483" s="58">
        <v>0</v>
      </c>
      <c r="M3483" s="58">
        <v>0</v>
      </c>
      <c r="N3483" s="58">
        <v>0</v>
      </c>
      <c r="O3483" s="58">
        <v>0</v>
      </c>
      <c r="P3483" s="53">
        <v>0</v>
      </c>
      <c r="Q3483" s="65">
        <v>15343.070640270003</v>
      </c>
      <c r="R3483" s="65">
        <v>0</v>
      </c>
      <c r="S3483" s="65">
        <v>0</v>
      </c>
      <c r="T3483" s="65">
        <v>0</v>
      </c>
      <c r="U3483" s="58">
        <v>0</v>
      </c>
      <c r="V3483" s="65">
        <v>0</v>
      </c>
      <c r="W3483" s="65">
        <v>0</v>
      </c>
      <c r="X3483" s="65">
        <v>0</v>
      </c>
      <c r="Y3483" s="65">
        <v>0</v>
      </c>
      <c r="Z3483" s="51">
        <v>15343.070640270003</v>
      </c>
      <c r="AA3483" s="51">
        <v>0</v>
      </c>
      <c r="AB3483" s="102">
        <v>0</v>
      </c>
      <c r="AC3483" s="81">
        <f t="shared" si="166"/>
        <v>228.27308884826223</v>
      </c>
      <c r="AD3483" s="82">
        <f t="shared" si="167"/>
        <v>57.342857142857142</v>
      </c>
      <c r="AE3483" s="218">
        <v>0</v>
      </c>
      <c r="AF3483">
        <v>0</v>
      </c>
      <c r="AH3483" t="str">
        <f t="shared" si="165"/>
        <v>Dumraon</v>
      </c>
      <c r="AJ3483" s="72">
        <v>0</v>
      </c>
      <c r="AK3483" s="72"/>
      <c r="AL3483" s="72"/>
      <c r="AM3483" s="72"/>
    </row>
    <row r="3484" spans="1:39" x14ac:dyDescent="0.25">
      <c r="A3484" s="37" t="s">
        <v>62</v>
      </c>
      <c r="B3484" s="66" t="s">
        <v>1644</v>
      </c>
      <c r="C3484" s="4">
        <v>1014</v>
      </c>
      <c r="D3484" s="41" t="s">
        <v>376</v>
      </c>
      <c r="E3484" s="41">
        <v>10140197</v>
      </c>
      <c r="F3484" s="85" t="s">
        <v>1317</v>
      </c>
      <c r="G3484" s="39" t="s">
        <v>93</v>
      </c>
      <c r="H3484" s="52" t="s">
        <v>94</v>
      </c>
      <c r="I3484" s="52">
        <v>224.4</v>
      </c>
      <c r="J3484" s="49">
        <v>8849.0874943200015</v>
      </c>
      <c r="K3484" s="58">
        <v>224.33999999999997</v>
      </c>
      <c r="L3484" s="58">
        <v>8850.8611254060015</v>
      </c>
      <c r="M3484" s="58">
        <v>0</v>
      </c>
      <c r="N3484" s="58">
        <v>0</v>
      </c>
      <c r="O3484" s="58">
        <v>224.33999999999997</v>
      </c>
      <c r="P3484" s="53">
        <v>8850.8611254060015</v>
      </c>
      <c r="Q3484" s="65">
        <v>8849.0874943200015</v>
      </c>
      <c r="R3484" s="65">
        <v>0</v>
      </c>
      <c r="S3484" s="65">
        <v>0</v>
      </c>
      <c r="T3484" s="65">
        <v>1.7736310860000231</v>
      </c>
      <c r="U3484" s="58">
        <v>0</v>
      </c>
      <c r="V3484" s="65">
        <v>0</v>
      </c>
      <c r="W3484" s="65">
        <v>0</v>
      </c>
      <c r="X3484" s="65">
        <v>8849</v>
      </c>
      <c r="Y3484" s="65">
        <v>0</v>
      </c>
      <c r="Z3484" s="51">
        <v>0</v>
      </c>
      <c r="AA3484" s="51">
        <v>0</v>
      </c>
      <c r="AB3484" s="102">
        <v>0</v>
      </c>
      <c r="AC3484" s="81">
        <f t="shared" si="166"/>
        <v>375.10035760237014</v>
      </c>
      <c r="AD3484" s="82">
        <f t="shared" si="167"/>
        <v>32.057142857142857</v>
      </c>
      <c r="AE3484" s="218">
        <v>-2.0043095823591648E-4</v>
      </c>
      <c r="AF3484">
        <v>1</v>
      </c>
      <c r="AH3484" t="str">
        <f t="shared" si="165"/>
        <v>Dumraon</v>
      </c>
      <c r="AJ3484" s="72">
        <v>0</v>
      </c>
      <c r="AK3484" s="72"/>
      <c r="AL3484" s="72"/>
      <c r="AM3484" s="72"/>
    </row>
    <row r="3485" spans="1:39" x14ac:dyDescent="0.25">
      <c r="A3485" s="37" t="s">
        <v>62</v>
      </c>
      <c r="B3485" s="66" t="s">
        <v>1644</v>
      </c>
      <c r="C3485" s="4">
        <v>1014</v>
      </c>
      <c r="D3485" s="41" t="s">
        <v>376</v>
      </c>
      <c r="E3485" s="41">
        <v>10140198</v>
      </c>
      <c r="F3485" s="85" t="s">
        <v>1318</v>
      </c>
      <c r="G3485" s="39" t="s">
        <v>635</v>
      </c>
      <c r="H3485" s="52" t="s">
        <v>99</v>
      </c>
      <c r="I3485" s="52">
        <v>797.9</v>
      </c>
      <c r="J3485" s="49">
        <v>32178.729961450008</v>
      </c>
      <c r="K3485" s="58">
        <v>0</v>
      </c>
      <c r="L3485" s="58">
        <v>0</v>
      </c>
      <c r="M3485" s="58">
        <v>0</v>
      </c>
      <c r="N3485" s="58">
        <v>0</v>
      </c>
      <c r="O3485" s="58">
        <v>0</v>
      </c>
      <c r="P3485" s="53">
        <v>0</v>
      </c>
      <c r="Q3485" s="65">
        <v>32178.729961450008</v>
      </c>
      <c r="R3485" s="65">
        <v>0</v>
      </c>
      <c r="S3485" s="65">
        <v>0</v>
      </c>
      <c r="T3485" s="65">
        <v>0</v>
      </c>
      <c r="U3485" s="58">
        <v>3800</v>
      </c>
      <c r="V3485" s="65">
        <v>0</v>
      </c>
      <c r="W3485" s="65">
        <v>0</v>
      </c>
      <c r="X3485" s="65">
        <v>0</v>
      </c>
      <c r="Y3485" s="65">
        <v>0</v>
      </c>
      <c r="Z3485" s="51">
        <v>28378.729961450008</v>
      </c>
      <c r="AA3485" s="51">
        <v>0</v>
      </c>
      <c r="AB3485" s="102">
        <v>0</v>
      </c>
      <c r="AC3485" s="81">
        <f t="shared" si="166"/>
        <v>0</v>
      </c>
      <c r="AD3485" s="82">
        <f t="shared" si="167"/>
        <v>0</v>
      </c>
      <c r="AE3485" s="218">
        <v>0</v>
      </c>
      <c r="AF3485">
        <v>0</v>
      </c>
      <c r="AH3485" t="str">
        <f t="shared" si="165"/>
        <v>Dumraon</v>
      </c>
      <c r="AJ3485" s="72">
        <v>0</v>
      </c>
      <c r="AK3485" s="72"/>
      <c r="AL3485" s="72"/>
      <c r="AM3485" s="72"/>
    </row>
    <row r="3486" spans="1:39" x14ac:dyDescent="0.25">
      <c r="A3486" s="37" t="s">
        <v>62</v>
      </c>
      <c r="B3486" s="66" t="s">
        <v>1644</v>
      </c>
      <c r="C3486" s="4">
        <v>1014</v>
      </c>
      <c r="D3486" s="41" t="s">
        <v>376</v>
      </c>
      <c r="E3486" s="41">
        <v>10140201</v>
      </c>
      <c r="F3486" s="85" t="s">
        <v>1351</v>
      </c>
      <c r="G3486" s="39" t="s">
        <v>635</v>
      </c>
      <c r="H3486" s="52" t="s">
        <v>99</v>
      </c>
      <c r="I3486" s="52">
        <v>228.59999999999997</v>
      </c>
      <c r="J3486" s="49">
        <v>7648.7275440000012</v>
      </c>
      <c r="K3486" s="58">
        <v>0</v>
      </c>
      <c r="L3486" s="58">
        <v>0</v>
      </c>
      <c r="M3486" s="58">
        <v>0</v>
      </c>
      <c r="N3486" s="58">
        <v>0</v>
      </c>
      <c r="O3486" s="58">
        <v>0</v>
      </c>
      <c r="P3486" s="53">
        <v>0</v>
      </c>
      <c r="Q3486" s="65">
        <v>7648.7275440000012</v>
      </c>
      <c r="R3486" s="65">
        <v>0</v>
      </c>
      <c r="S3486" s="65">
        <v>0</v>
      </c>
      <c r="T3486" s="65">
        <v>0</v>
      </c>
      <c r="U3486" s="58">
        <v>0</v>
      </c>
      <c r="V3486" s="65">
        <v>0</v>
      </c>
      <c r="W3486" s="65">
        <v>0</v>
      </c>
      <c r="X3486" s="65">
        <v>0</v>
      </c>
      <c r="Y3486" s="65">
        <v>0</v>
      </c>
      <c r="Z3486" s="51">
        <v>7648.7275440000012</v>
      </c>
      <c r="AA3486" s="51">
        <v>0</v>
      </c>
      <c r="AB3486" s="102">
        <v>0</v>
      </c>
      <c r="AC3486" s="81">
        <f t="shared" si="166"/>
        <v>315.45145793889782</v>
      </c>
      <c r="AD3486" s="82">
        <f t="shared" si="167"/>
        <v>32.657142857142851</v>
      </c>
      <c r="AE3486" s="218">
        <v>0</v>
      </c>
      <c r="AF3486">
        <v>0</v>
      </c>
      <c r="AH3486" t="str">
        <f t="shared" si="165"/>
        <v>Dumraon</v>
      </c>
      <c r="AJ3486" s="72">
        <v>0</v>
      </c>
      <c r="AK3486" s="72"/>
      <c r="AL3486" s="72"/>
      <c r="AM3486" s="72"/>
    </row>
    <row r="3487" spans="1:39" x14ac:dyDescent="0.25">
      <c r="A3487" s="37" t="s">
        <v>62</v>
      </c>
      <c r="B3487" s="66" t="s">
        <v>1644</v>
      </c>
      <c r="C3487" s="4">
        <v>1014</v>
      </c>
      <c r="D3487" s="41" t="s">
        <v>376</v>
      </c>
      <c r="E3487" s="41">
        <v>10140203</v>
      </c>
      <c r="F3487" s="85" t="s">
        <v>1385</v>
      </c>
      <c r="G3487" s="39" t="s">
        <v>635</v>
      </c>
      <c r="H3487" s="52" t="s">
        <v>99</v>
      </c>
      <c r="I3487" s="52">
        <v>2137.6999999999998</v>
      </c>
      <c r="J3487" s="49">
        <v>79229.131242060001</v>
      </c>
      <c r="K3487" s="58">
        <v>0</v>
      </c>
      <c r="L3487" s="58">
        <v>0</v>
      </c>
      <c r="M3487" s="58">
        <v>0</v>
      </c>
      <c r="N3487" s="58">
        <v>0</v>
      </c>
      <c r="O3487" s="58">
        <v>0</v>
      </c>
      <c r="P3487" s="53">
        <v>0</v>
      </c>
      <c r="Q3487" s="65">
        <v>79229.131242060001</v>
      </c>
      <c r="R3487" s="65">
        <v>0</v>
      </c>
      <c r="S3487" s="65">
        <v>0</v>
      </c>
      <c r="T3487" s="65">
        <v>0</v>
      </c>
      <c r="U3487" s="58">
        <v>0</v>
      </c>
      <c r="V3487" s="65">
        <v>0</v>
      </c>
      <c r="W3487" s="65">
        <v>0</v>
      </c>
      <c r="X3487" s="65">
        <v>0</v>
      </c>
      <c r="Y3487" s="65">
        <v>0</v>
      </c>
      <c r="Z3487" s="51">
        <v>79229.131242060001</v>
      </c>
      <c r="AA3487" s="51">
        <v>0</v>
      </c>
      <c r="AB3487" s="102">
        <v>0</v>
      </c>
      <c r="AC3487" s="81">
        <f t="shared" si="166"/>
        <v>0</v>
      </c>
      <c r="AD3487" s="82">
        <f t="shared" si="167"/>
        <v>0</v>
      </c>
      <c r="AE3487" s="218">
        <v>0</v>
      </c>
      <c r="AF3487">
        <v>0</v>
      </c>
      <c r="AH3487" t="str">
        <f t="shared" si="165"/>
        <v>Dumraon</v>
      </c>
      <c r="AJ3487" s="72">
        <v>0</v>
      </c>
      <c r="AK3487" s="72"/>
      <c r="AL3487" s="72"/>
      <c r="AM3487" s="72"/>
    </row>
    <row r="3488" spans="1:39" x14ac:dyDescent="0.25">
      <c r="A3488" s="37" t="s">
        <v>62</v>
      </c>
      <c r="B3488" s="66" t="s">
        <v>1644</v>
      </c>
      <c r="C3488" s="4">
        <v>1014</v>
      </c>
      <c r="D3488" s="41" t="s">
        <v>376</v>
      </c>
      <c r="E3488" s="41">
        <v>10140204</v>
      </c>
      <c r="F3488" s="85" t="s">
        <v>1545</v>
      </c>
      <c r="G3488" s="39" t="s">
        <v>635</v>
      </c>
      <c r="H3488" s="52" t="s">
        <v>99</v>
      </c>
      <c r="I3488" s="52">
        <v>39.5</v>
      </c>
      <c r="J3488" s="49">
        <v>1680.7928535000001</v>
      </c>
      <c r="K3488" s="58">
        <v>0</v>
      </c>
      <c r="L3488" s="58">
        <v>0</v>
      </c>
      <c r="M3488" s="58">
        <v>0</v>
      </c>
      <c r="N3488" s="58">
        <v>0</v>
      </c>
      <c r="O3488" s="58">
        <v>0</v>
      </c>
      <c r="P3488" s="53">
        <v>0</v>
      </c>
      <c r="Q3488" s="65">
        <v>1680.7928535000001</v>
      </c>
      <c r="R3488" s="65">
        <v>0</v>
      </c>
      <c r="S3488" s="65">
        <v>0</v>
      </c>
      <c r="T3488" s="65">
        <v>0</v>
      </c>
      <c r="U3488" s="58">
        <v>0</v>
      </c>
      <c r="V3488" s="65">
        <v>0</v>
      </c>
      <c r="W3488" s="65">
        <v>0</v>
      </c>
      <c r="X3488" s="65">
        <v>0</v>
      </c>
      <c r="Y3488" s="65">
        <v>0</v>
      </c>
      <c r="Z3488" s="51">
        <v>1680.7928535000001</v>
      </c>
      <c r="AA3488" s="51">
        <v>0</v>
      </c>
      <c r="AB3488" s="102">
        <v>0</v>
      </c>
      <c r="AC3488" s="81">
        <f t="shared" si="166"/>
        <v>562.10819227177217</v>
      </c>
      <c r="AD3488" s="82">
        <f t="shared" si="167"/>
        <v>5.6428571428571432</v>
      </c>
      <c r="AE3488" s="218">
        <v>0</v>
      </c>
      <c r="AF3488">
        <v>0</v>
      </c>
      <c r="AH3488" t="str">
        <f t="shared" si="165"/>
        <v>Dumraon</v>
      </c>
      <c r="AJ3488" s="72">
        <v>0</v>
      </c>
      <c r="AK3488" s="72"/>
      <c r="AL3488" s="72"/>
      <c r="AM3488" s="72"/>
    </row>
    <row r="3489" spans="1:39" x14ac:dyDescent="0.25">
      <c r="A3489" s="37" t="s">
        <v>62</v>
      </c>
      <c r="B3489" s="66" t="s">
        <v>1644</v>
      </c>
      <c r="C3489" s="4">
        <v>1014</v>
      </c>
      <c r="D3489" s="41" t="s">
        <v>376</v>
      </c>
      <c r="E3489" s="41">
        <v>10140205</v>
      </c>
      <c r="F3489" s="85" t="s">
        <v>1426</v>
      </c>
      <c r="G3489" s="39" t="s">
        <v>93</v>
      </c>
      <c r="H3489" s="52" t="s">
        <v>94</v>
      </c>
      <c r="I3489" s="52">
        <v>300.79999999999995</v>
      </c>
      <c r="J3489" s="49">
        <v>14654.628844125002</v>
      </c>
      <c r="K3489" s="58">
        <v>293.00000000000006</v>
      </c>
      <c r="L3489" s="58">
        <v>14692.876482410002</v>
      </c>
      <c r="M3489" s="58">
        <v>0</v>
      </c>
      <c r="N3489" s="58">
        <v>0</v>
      </c>
      <c r="O3489" s="58">
        <v>293.00000000000006</v>
      </c>
      <c r="P3489" s="53">
        <v>14692.876482410002</v>
      </c>
      <c r="Q3489" s="65">
        <v>14654.628844125002</v>
      </c>
      <c r="R3489" s="65">
        <v>0</v>
      </c>
      <c r="S3489" s="65">
        <v>0</v>
      </c>
      <c r="T3489" s="65">
        <v>38.247638284999994</v>
      </c>
      <c r="U3489" s="58">
        <v>0</v>
      </c>
      <c r="V3489" s="65">
        <v>0</v>
      </c>
      <c r="W3489" s="65">
        <v>0</v>
      </c>
      <c r="X3489" s="65">
        <v>14655</v>
      </c>
      <c r="Y3489" s="65">
        <v>0</v>
      </c>
      <c r="Z3489" s="51">
        <v>0</v>
      </c>
      <c r="AA3489" s="51">
        <v>0</v>
      </c>
      <c r="AB3489" s="102">
        <v>0</v>
      </c>
      <c r="AC3489" s="81">
        <f t="shared" si="166"/>
        <v>388.97126559672222</v>
      </c>
      <c r="AD3489" s="82">
        <f t="shared" si="167"/>
        <v>42.971428571428568</v>
      </c>
      <c r="AE3489" s="218">
        <v>-2.609935651856059E-3</v>
      </c>
      <c r="AF3489">
        <v>1</v>
      </c>
      <c r="AH3489" t="str">
        <f t="shared" si="165"/>
        <v>Dumraon</v>
      </c>
      <c r="AJ3489" s="72">
        <v>0</v>
      </c>
      <c r="AK3489" s="72"/>
      <c r="AL3489" s="72"/>
      <c r="AM3489" s="72"/>
    </row>
    <row r="3490" spans="1:39" x14ac:dyDescent="0.25">
      <c r="A3490" s="37" t="s">
        <v>62</v>
      </c>
      <c r="B3490" s="66" t="s">
        <v>1644</v>
      </c>
      <c r="C3490" s="4">
        <v>1014</v>
      </c>
      <c r="D3490" s="41" t="s">
        <v>376</v>
      </c>
      <c r="E3490" s="41">
        <v>10140206</v>
      </c>
      <c r="F3490" s="85" t="s">
        <v>1435</v>
      </c>
      <c r="G3490" s="39" t="s">
        <v>93</v>
      </c>
      <c r="H3490" s="52" t="s">
        <v>94</v>
      </c>
      <c r="I3490" s="52">
        <v>629.60000000000014</v>
      </c>
      <c r="J3490" s="49">
        <v>25839.70061641061</v>
      </c>
      <c r="K3490" s="58">
        <v>629</v>
      </c>
      <c r="L3490" s="58">
        <v>25792.870677299998</v>
      </c>
      <c r="M3490" s="58">
        <v>0</v>
      </c>
      <c r="N3490" s="58">
        <v>0</v>
      </c>
      <c r="O3490" s="58">
        <v>629</v>
      </c>
      <c r="P3490" s="53">
        <v>25792.870677299998</v>
      </c>
      <c r="Q3490" s="65">
        <v>25792.870677299998</v>
      </c>
      <c r="R3490" s="65">
        <v>0</v>
      </c>
      <c r="S3490" s="65">
        <v>0</v>
      </c>
      <c r="T3490" s="65">
        <v>0</v>
      </c>
      <c r="U3490" s="58">
        <v>0</v>
      </c>
      <c r="V3490" s="65">
        <v>0</v>
      </c>
      <c r="W3490" s="65">
        <v>0</v>
      </c>
      <c r="X3490" s="65">
        <v>25793</v>
      </c>
      <c r="Y3490" s="65">
        <v>0</v>
      </c>
      <c r="Z3490" s="51">
        <v>0</v>
      </c>
      <c r="AA3490" s="51">
        <v>47</v>
      </c>
      <c r="AB3490" s="102">
        <v>0</v>
      </c>
      <c r="AC3490" s="81">
        <f t="shared" si="166"/>
        <v>57.786369866432743</v>
      </c>
      <c r="AD3490" s="82">
        <f t="shared" si="167"/>
        <v>89.942857142857164</v>
      </c>
      <c r="AE3490" s="218">
        <v>1.8123251428412708E-3</v>
      </c>
      <c r="AF3490">
        <v>1</v>
      </c>
      <c r="AH3490" t="str">
        <f t="shared" si="165"/>
        <v>Dumraon</v>
      </c>
      <c r="AJ3490" s="72">
        <v>0</v>
      </c>
      <c r="AK3490" s="72"/>
      <c r="AL3490" s="72"/>
      <c r="AM3490" s="72"/>
    </row>
    <row r="3491" spans="1:39" x14ac:dyDescent="0.25">
      <c r="A3491" s="37" t="s">
        <v>62</v>
      </c>
      <c r="B3491" s="66" t="s">
        <v>1644</v>
      </c>
      <c r="C3491" s="4">
        <v>1002</v>
      </c>
      <c r="D3491" s="41" t="s">
        <v>105</v>
      </c>
      <c r="E3491" s="41">
        <v>10180001</v>
      </c>
      <c r="F3491" s="85" t="s">
        <v>629</v>
      </c>
      <c r="G3491" s="39" t="s">
        <v>635</v>
      </c>
      <c r="H3491" s="52" t="s">
        <v>99</v>
      </c>
      <c r="I3491" s="52">
        <v>842.69999999999993</v>
      </c>
      <c r="J3491" s="49">
        <v>35213.774501850006</v>
      </c>
      <c r="K3491" s="58">
        <v>0</v>
      </c>
      <c r="L3491" s="58">
        <v>0</v>
      </c>
      <c r="M3491" s="58">
        <v>0</v>
      </c>
      <c r="N3491" s="58">
        <v>0</v>
      </c>
      <c r="O3491" s="58">
        <v>0</v>
      </c>
      <c r="P3491" s="53">
        <v>0</v>
      </c>
      <c r="Q3491" s="65">
        <v>35213.774501850006</v>
      </c>
      <c r="R3491" s="65">
        <v>0</v>
      </c>
      <c r="S3491" s="65">
        <v>0</v>
      </c>
      <c r="T3491" s="65">
        <v>0</v>
      </c>
      <c r="U3491" s="58">
        <v>0</v>
      </c>
      <c r="V3491" s="65">
        <v>0</v>
      </c>
      <c r="W3491" s="65">
        <v>0</v>
      </c>
      <c r="X3491" s="65">
        <v>0</v>
      </c>
      <c r="Y3491" s="65">
        <v>0</v>
      </c>
      <c r="Z3491" s="51">
        <v>35213.774501850006</v>
      </c>
      <c r="AA3491" s="51">
        <v>0</v>
      </c>
      <c r="AB3491" s="102">
        <v>0</v>
      </c>
      <c r="AC3491" s="81">
        <f t="shared" si="166"/>
        <v>0</v>
      </c>
      <c r="AD3491" s="82">
        <f t="shared" si="167"/>
        <v>0</v>
      </c>
      <c r="AE3491" s="218">
        <v>0</v>
      </c>
      <c r="AF3491">
        <v>0</v>
      </c>
      <c r="AH3491" t="str">
        <f t="shared" si="165"/>
        <v>Laldiyara</v>
      </c>
      <c r="AJ3491" s="72">
        <v>0</v>
      </c>
      <c r="AK3491" s="72"/>
      <c r="AL3491" s="72"/>
      <c r="AM3491" s="72"/>
    </row>
    <row r="3492" spans="1:39" x14ac:dyDescent="0.25">
      <c r="A3492" s="37" t="s">
        <v>62</v>
      </c>
      <c r="B3492" s="66" t="s">
        <v>1644</v>
      </c>
      <c r="C3492" s="4">
        <v>1002</v>
      </c>
      <c r="D3492" s="41" t="s">
        <v>105</v>
      </c>
      <c r="E3492" s="41">
        <v>10200001</v>
      </c>
      <c r="F3492" s="85" t="s">
        <v>1624</v>
      </c>
      <c r="G3492" s="39" t="s">
        <v>285</v>
      </c>
      <c r="H3492" s="52" t="s">
        <v>94</v>
      </c>
      <c r="I3492" s="52">
        <v>437</v>
      </c>
      <c r="J3492" s="49">
        <v>15978.929472000002</v>
      </c>
      <c r="K3492" s="58">
        <v>437</v>
      </c>
      <c r="L3492" s="58">
        <v>15978.929472000002</v>
      </c>
      <c r="M3492" s="58">
        <v>0</v>
      </c>
      <c r="N3492" s="58">
        <v>0</v>
      </c>
      <c r="O3492" s="58">
        <v>437</v>
      </c>
      <c r="P3492" s="53">
        <v>15978.929472000002</v>
      </c>
      <c r="Q3492" s="65">
        <v>15978.929472000002</v>
      </c>
      <c r="R3492" s="65">
        <v>0</v>
      </c>
      <c r="S3492" s="65">
        <v>0</v>
      </c>
      <c r="T3492" s="65">
        <v>0</v>
      </c>
      <c r="U3492" s="58">
        <v>0</v>
      </c>
      <c r="V3492" s="65">
        <v>0</v>
      </c>
      <c r="W3492" s="65">
        <v>0</v>
      </c>
      <c r="X3492" s="65">
        <v>15979</v>
      </c>
      <c r="Y3492" s="65">
        <v>0</v>
      </c>
      <c r="Z3492" s="51">
        <v>0</v>
      </c>
      <c r="AA3492" s="51">
        <v>0</v>
      </c>
      <c r="AB3492" s="102">
        <v>0</v>
      </c>
      <c r="AC3492" s="81">
        <f t="shared" si="166"/>
        <v>192.33219456000003</v>
      </c>
      <c r="AD3492" s="82">
        <f t="shared" si="167"/>
        <v>62.428571428571431</v>
      </c>
      <c r="AE3492" s="218">
        <v>0</v>
      </c>
      <c r="AF3492">
        <v>1</v>
      </c>
      <c r="AH3492" t="str">
        <f t="shared" si="165"/>
        <v>Laldiyara</v>
      </c>
      <c r="AJ3492" s="72">
        <v>0</v>
      </c>
      <c r="AK3492" s="72"/>
      <c r="AL3492" s="72"/>
      <c r="AM3492" s="72"/>
    </row>
    <row r="3493" spans="1:39" x14ac:dyDescent="0.25">
      <c r="A3493" s="37" t="s">
        <v>62</v>
      </c>
      <c r="B3493" s="66" t="s">
        <v>1644</v>
      </c>
      <c r="C3493" s="4">
        <v>1003</v>
      </c>
      <c r="D3493" s="41" t="s">
        <v>139</v>
      </c>
      <c r="E3493" s="41">
        <v>10240001</v>
      </c>
      <c r="F3493" s="85" t="s">
        <v>403</v>
      </c>
      <c r="G3493" s="39" t="s">
        <v>285</v>
      </c>
      <c r="H3493" s="52" t="s">
        <v>94</v>
      </c>
      <c r="I3493" s="52">
        <v>1637</v>
      </c>
      <c r="J3493" s="49">
        <v>60669.800616000008</v>
      </c>
      <c r="K3493" s="58">
        <v>1676.6</v>
      </c>
      <c r="L3493" s="58">
        <v>59544.053219532165</v>
      </c>
      <c r="M3493" s="58">
        <v>22.200000000000003</v>
      </c>
      <c r="N3493" s="58">
        <v>1106.58739883727</v>
      </c>
      <c r="O3493" s="58">
        <v>1698.8</v>
      </c>
      <c r="P3493" s="53">
        <v>60650.640618369434</v>
      </c>
      <c r="Q3493" s="65">
        <v>60650.640618369434</v>
      </c>
      <c r="R3493" s="65">
        <v>0</v>
      </c>
      <c r="S3493" s="65">
        <v>1106.58739883727</v>
      </c>
      <c r="T3493" s="65">
        <v>0</v>
      </c>
      <c r="U3493" s="58">
        <v>0</v>
      </c>
      <c r="V3493" s="65">
        <v>0</v>
      </c>
      <c r="W3493" s="65">
        <v>0</v>
      </c>
      <c r="X3493" s="65">
        <v>59544</v>
      </c>
      <c r="Y3493" s="65">
        <v>0</v>
      </c>
      <c r="Z3493" s="51">
        <v>0</v>
      </c>
      <c r="AA3493" s="51">
        <v>19</v>
      </c>
      <c r="AB3493" s="102">
        <v>0</v>
      </c>
      <c r="AC3493" s="81">
        <f t="shared" si="166"/>
        <v>0</v>
      </c>
      <c r="AD3493" s="82">
        <f t="shared" si="167"/>
        <v>0</v>
      </c>
      <c r="AE3493" s="218">
        <v>3.1580782260755307E-4</v>
      </c>
      <c r="AF3493">
        <v>59</v>
      </c>
      <c r="AH3493" t="str">
        <f t="shared" si="165"/>
        <v>Asarganj</v>
      </c>
      <c r="AJ3493" s="72">
        <v>0</v>
      </c>
      <c r="AK3493" s="72"/>
      <c r="AL3493" s="72"/>
      <c r="AM3493" s="72"/>
    </row>
    <row r="3494" spans="1:39" x14ac:dyDescent="0.25">
      <c r="A3494" s="37" t="s">
        <v>62</v>
      </c>
      <c r="B3494" s="66" t="s">
        <v>1644</v>
      </c>
      <c r="C3494" s="4">
        <v>1003</v>
      </c>
      <c r="D3494" s="41" t="s">
        <v>139</v>
      </c>
      <c r="E3494" s="41">
        <v>10250001</v>
      </c>
      <c r="F3494" s="85" t="s">
        <v>404</v>
      </c>
      <c r="G3494" s="39" t="s">
        <v>285</v>
      </c>
      <c r="H3494" s="52" t="s">
        <v>94</v>
      </c>
      <c r="I3494" s="52">
        <v>1957.75</v>
      </c>
      <c r="J3494" s="49">
        <v>84599.549147241152</v>
      </c>
      <c r="K3494" s="58">
        <v>1954.8000000000002</v>
      </c>
      <c r="L3494" s="58">
        <v>84547.997653067025</v>
      </c>
      <c r="M3494" s="58">
        <v>10</v>
      </c>
      <c r="N3494" s="58">
        <v>418.42125180000005</v>
      </c>
      <c r="O3494" s="58">
        <v>1964.8000000000002</v>
      </c>
      <c r="P3494" s="53">
        <v>84966.418904867023</v>
      </c>
      <c r="Q3494" s="65">
        <v>84599.549147241152</v>
      </c>
      <c r="R3494" s="65">
        <v>0</v>
      </c>
      <c r="S3494" s="65">
        <v>418.42125180000005</v>
      </c>
      <c r="T3494" s="65">
        <v>366.86975762587099</v>
      </c>
      <c r="U3494" s="58">
        <v>0</v>
      </c>
      <c r="V3494" s="65">
        <v>0</v>
      </c>
      <c r="W3494" s="65">
        <v>0</v>
      </c>
      <c r="X3494" s="65">
        <v>84181</v>
      </c>
      <c r="Y3494" s="65">
        <v>0</v>
      </c>
      <c r="Z3494" s="51">
        <v>0</v>
      </c>
      <c r="AA3494" s="51">
        <v>0</v>
      </c>
      <c r="AB3494" s="102">
        <v>0</v>
      </c>
      <c r="AC3494" s="81">
        <f t="shared" si="166"/>
        <v>0</v>
      </c>
      <c r="AD3494" s="82">
        <f t="shared" si="167"/>
        <v>0</v>
      </c>
      <c r="AE3494" s="218">
        <v>-4.3365450681936034E-3</v>
      </c>
      <c r="AF3494">
        <v>18</v>
      </c>
      <c r="AH3494" t="str">
        <f t="shared" si="165"/>
        <v>Asarganj</v>
      </c>
      <c r="AJ3494" s="72">
        <v>0</v>
      </c>
      <c r="AK3494" s="72"/>
      <c r="AL3494" s="72"/>
      <c r="AM3494" s="72"/>
    </row>
    <row r="3495" spans="1:39" x14ac:dyDescent="0.25">
      <c r="A3495" s="37" t="s">
        <v>62</v>
      </c>
      <c r="B3495" s="66" t="s">
        <v>1644</v>
      </c>
      <c r="C3495" s="4">
        <v>1003</v>
      </c>
      <c r="D3495" s="41" t="s">
        <v>139</v>
      </c>
      <c r="E3495" s="41">
        <v>10260001</v>
      </c>
      <c r="F3495" s="85" t="s">
        <v>405</v>
      </c>
      <c r="G3495" s="39" t="s">
        <v>285</v>
      </c>
      <c r="H3495" s="52" t="s">
        <v>94</v>
      </c>
      <c r="I3495" s="52">
        <v>1425.4999999999998</v>
      </c>
      <c r="J3495" s="49">
        <v>54287.484371385006</v>
      </c>
      <c r="K3495" s="58">
        <v>1523.6000000000001</v>
      </c>
      <c r="L3495" s="58">
        <v>66146.415784012061</v>
      </c>
      <c r="M3495" s="58">
        <v>7.299999999999998</v>
      </c>
      <c r="N3495" s="58">
        <v>308.31499440000005</v>
      </c>
      <c r="O3495" s="58">
        <v>1530.9</v>
      </c>
      <c r="P3495" s="53">
        <v>66454.730778412064</v>
      </c>
      <c r="Q3495" s="65">
        <v>54287.484371385006</v>
      </c>
      <c r="R3495" s="65">
        <v>0</v>
      </c>
      <c r="S3495" s="65">
        <v>308.31499440000005</v>
      </c>
      <c r="T3495" s="65">
        <v>12167.246407027058</v>
      </c>
      <c r="U3495" s="58">
        <v>0</v>
      </c>
      <c r="V3495" s="65">
        <v>0</v>
      </c>
      <c r="W3495" s="65">
        <v>0</v>
      </c>
      <c r="X3495" s="65">
        <v>53979</v>
      </c>
      <c r="Y3495" s="65">
        <v>0</v>
      </c>
      <c r="Z3495" s="51">
        <v>0</v>
      </c>
      <c r="AA3495" s="51">
        <v>0</v>
      </c>
      <c r="AB3495" s="102" t="s">
        <v>68</v>
      </c>
      <c r="AC3495" s="81">
        <f t="shared" si="166"/>
        <v>0</v>
      </c>
      <c r="AD3495" s="82">
        <f t="shared" si="167"/>
        <v>0</v>
      </c>
      <c r="AE3495" s="218">
        <v>-0.22412617839850446</v>
      </c>
      <c r="AF3495">
        <v>14</v>
      </c>
      <c r="AH3495" t="str">
        <f t="shared" si="165"/>
        <v>Asarganj</v>
      </c>
      <c r="AJ3495" s="72">
        <v>0</v>
      </c>
      <c r="AK3495" s="72"/>
      <c r="AL3495" s="72"/>
      <c r="AM3495" s="72"/>
    </row>
    <row r="3496" spans="1:39" x14ac:dyDescent="0.25">
      <c r="A3496" s="37" t="s">
        <v>62</v>
      </c>
      <c r="B3496" s="66" t="s">
        <v>1644</v>
      </c>
      <c r="C3496" s="4">
        <v>1006</v>
      </c>
      <c r="D3496" s="41" t="s">
        <v>183</v>
      </c>
      <c r="E3496" s="41">
        <v>10290001</v>
      </c>
      <c r="F3496" s="85" t="s">
        <v>406</v>
      </c>
      <c r="G3496" s="39" t="s">
        <v>285</v>
      </c>
      <c r="H3496" s="52" t="s">
        <v>94</v>
      </c>
      <c r="I3496" s="52">
        <v>2254</v>
      </c>
      <c r="J3496" s="49">
        <v>76764.399909507003</v>
      </c>
      <c r="K3496" s="58">
        <v>1079.2</v>
      </c>
      <c r="L3496" s="58">
        <v>38330.741403888002</v>
      </c>
      <c r="M3496" s="58">
        <v>1174.7999999999997</v>
      </c>
      <c r="N3496" s="58">
        <v>39240.215111847006</v>
      </c>
      <c r="O3496" s="58">
        <v>2254</v>
      </c>
      <c r="P3496" s="53">
        <v>77570.956515735015</v>
      </c>
      <c r="Q3496" s="65">
        <v>76764.399909507003</v>
      </c>
      <c r="R3496" s="65">
        <v>0</v>
      </c>
      <c r="S3496" s="65">
        <v>352.886444547</v>
      </c>
      <c r="T3496" s="65">
        <v>806.55660622801224</v>
      </c>
      <c r="U3496" s="58">
        <v>0</v>
      </c>
      <c r="V3496" s="65">
        <v>0</v>
      </c>
      <c r="W3496" s="65">
        <v>0</v>
      </c>
      <c r="X3496" s="65">
        <v>37524</v>
      </c>
      <c r="Y3496" s="65">
        <v>38887</v>
      </c>
      <c r="Z3496" s="51">
        <v>0</v>
      </c>
      <c r="AA3496" s="51">
        <v>1</v>
      </c>
      <c r="AB3496" s="102">
        <v>0</v>
      </c>
      <c r="AC3496" s="81">
        <f t="shared" si="166"/>
        <v>0</v>
      </c>
      <c r="AD3496" s="82">
        <f t="shared" si="167"/>
        <v>0</v>
      </c>
      <c r="AE3496" s="218">
        <v>-1.0506909546336766E-2</v>
      </c>
      <c r="AF3496">
        <v>13</v>
      </c>
      <c r="AH3496" t="str">
        <f t="shared" si="165"/>
        <v>Sonvarsha</v>
      </c>
      <c r="AJ3496" s="72">
        <v>0</v>
      </c>
      <c r="AK3496" s="72"/>
      <c r="AL3496" s="72"/>
      <c r="AM3496" s="72"/>
    </row>
    <row r="3497" spans="1:39" x14ac:dyDescent="0.25">
      <c r="A3497" s="37" t="s">
        <v>62</v>
      </c>
      <c r="B3497" s="66" t="s">
        <v>1644</v>
      </c>
      <c r="C3497" s="4">
        <v>1006</v>
      </c>
      <c r="D3497" s="41" t="s">
        <v>183</v>
      </c>
      <c r="E3497" s="41">
        <v>10300001</v>
      </c>
      <c r="F3497" s="85" t="s">
        <v>1143</v>
      </c>
      <c r="G3497" s="39" t="s">
        <v>635</v>
      </c>
      <c r="H3497" s="52" t="s">
        <v>99</v>
      </c>
      <c r="I3497" s="52">
        <v>1253.1999999999998</v>
      </c>
      <c r="J3497" s="49">
        <v>49779.709609620004</v>
      </c>
      <c r="K3497" s="58">
        <v>0</v>
      </c>
      <c r="L3497" s="58">
        <v>0</v>
      </c>
      <c r="M3497" s="58">
        <v>0</v>
      </c>
      <c r="N3497" s="58">
        <v>0</v>
      </c>
      <c r="O3497" s="58">
        <v>0</v>
      </c>
      <c r="P3497" s="53">
        <v>0</v>
      </c>
      <c r="Q3497" s="65">
        <v>49779.709609620004</v>
      </c>
      <c r="R3497" s="65">
        <v>0</v>
      </c>
      <c r="S3497" s="65">
        <v>0</v>
      </c>
      <c r="T3497" s="65">
        <v>0</v>
      </c>
      <c r="U3497" s="58">
        <v>0</v>
      </c>
      <c r="V3497" s="65">
        <v>0</v>
      </c>
      <c r="W3497" s="65">
        <v>0</v>
      </c>
      <c r="X3497" s="65">
        <v>0</v>
      </c>
      <c r="Y3497" s="65">
        <v>0</v>
      </c>
      <c r="Z3497" s="51">
        <v>49779.709609620004</v>
      </c>
      <c r="AA3497" s="51">
        <v>0</v>
      </c>
      <c r="AB3497" s="102">
        <v>0</v>
      </c>
      <c r="AC3497" s="81">
        <f t="shared" si="166"/>
        <v>0</v>
      </c>
      <c r="AD3497" s="82">
        <f t="shared" si="167"/>
        <v>0</v>
      </c>
      <c r="AE3497" s="218">
        <v>0</v>
      </c>
      <c r="AF3497">
        <v>0</v>
      </c>
      <c r="AH3497" t="str">
        <f t="shared" si="165"/>
        <v>Sonvarsha</v>
      </c>
      <c r="AJ3497" s="72">
        <v>0</v>
      </c>
      <c r="AK3497" s="72"/>
      <c r="AL3497" s="72"/>
      <c r="AM3497" s="72"/>
    </row>
    <row r="3498" spans="1:39" x14ac:dyDescent="0.25">
      <c r="A3498" s="37" t="s">
        <v>62</v>
      </c>
      <c r="B3498" s="66" t="s">
        <v>1644</v>
      </c>
      <c r="C3498" s="4">
        <v>1006</v>
      </c>
      <c r="D3498" s="41" t="s">
        <v>183</v>
      </c>
      <c r="E3498" s="41">
        <v>10310001</v>
      </c>
      <c r="F3498" s="85" t="s">
        <v>407</v>
      </c>
      <c r="G3498" s="39" t="s">
        <v>285</v>
      </c>
      <c r="H3498" s="52" t="s">
        <v>94</v>
      </c>
      <c r="I3498" s="52">
        <v>967.69999999999993</v>
      </c>
      <c r="J3498" s="49">
        <v>37429.781795067007</v>
      </c>
      <c r="K3498" s="58">
        <v>0</v>
      </c>
      <c r="L3498" s="58">
        <v>0</v>
      </c>
      <c r="M3498" s="58">
        <v>992</v>
      </c>
      <c r="N3498" s="58">
        <v>38363.64718150501</v>
      </c>
      <c r="O3498" s="58">
        <v>992</v>
      </c>
      <c r="P3498" s="53">
        <v>38363.64718150501</v>
      </c>
      <c r="Q3498" s="65">
        <v>37429.781795067007</v>
      </c>
      <c r="R3498" s="65">
        <v>0</v>
      </c>
      <c r="S3498" s="65">
        <v>231.96652861500004</v>
      </c>
      <c r="T3498" s="65">
        <v>933.86538643800304</v>
      </c>
      <c r="U3498" s="58">
        <v>0</v>
      </c>
      <c r="V3498" s="65">
        <v>0</v>
      </c>
      <c r="W3498" s="65">
        <v>0</v>
      </c>
      <c r="X3498" s="65">
        <v>0</v>
      </c>
      <c r="Y3498" s="65">
        <v>37198</v>
      </c>
      <c r="Z3498" s="51">
        <v>0</v>
      </c>
      <c r="AA3498" s="51">
        <v>0</v>
      </c>
      <c r="AB3498" s="102" t="s">
        <v>68</v>
      </c>
      <c r="AC3498" s="81">
        <f t="shared" si="166"/>
        <v>0</v>
      </c>
      <c r="AD3498" s="82">
        <f t="shared" si="167"/>
        <v>0</v>
      </c>
      <c r="AE3498" s="218">
        <v>-2.494979510035723E-2</v>
      </c>
      <c r="AF3498">
        <v>11</v>
      </c>
      <c r="AH3498" t="str">
        <f t="shared" si="165"/>
        <v>Sonvarsha</v>
      </c>
      <c r="AJ3498" s="72">
        <v>0</v>
      </c>
      <c r="AK3498" s="72"/>
      <c r="AL3498" s="72"/>
      <c r="AM3498" s="72"/>
    </row>
    <row r="3499" spans="1:39" x14ac:dyDescent="0.25">
      <c r="A3499" s="37" t="s">
        <v>62</v>
      </c>
      <c r="B3499" s="66" t="s">
        <v>1644</v>
      </c>
      <c r="C3499" s="4">
        <v>1006</v>
      </c>
      <c r="D3499" s="41" t="s">
        <v>183</v>
      </c>
      <c r="E3499" s="41">
        <v>10320001</v>
      </c>
      <c r="F3499" s="85" t="s">
        <v>408</v>
      </c>
      <c r="G3499" s="39" t="s">
        <v>635</v>
      </c>
      <c r="H3499" s="52" t="s">
        <v>99</v>
      </c>
      <c r="I3499" s="52">
        <v>2293.5</v>
      </c>
      <c r="J3499" s="49">
        <v>87054.79366488001</v>
      </c>
      <c r="K3499" s="58">
        <v>0</v>
      </c>
      <c r="L3499" s="58">
        <v>0</v>
      </c>
      <c r="M3499" s="58">
        <v>0</v>
      </c>
      <c r="N3499" s="58">
        <v>0</v>
      </c>
      <c r="O3499" s="58">
        <v>0</v>
      </c>
      <c r="P3499" s="53">
        <v>0</v>
      </c>
      <c r="Q3499" s="65">
        <v>87054.79366488001</v>
      </c>
      <c r="R3499" s="65">
        <v>0</v>
      </c>
      <c r="S3499" s="65">
        <v>0</v>
      </c>
      <c r="T3499" s="65">
        <v>0</v>
      </c>
      <c r="U3499" s="58">
        <v>0</v>
      </c>
      <c r="V3499" s="65">
        <v>0</v>
      </c>
      <c r="W3499" s="65">
        <v>0</v>
      </c>
      <c r="X3499" s="65">
        <v>0</v>
      </c>
      <c r="Y3499" s="65">
        <v>0</v>
      </c>
      <c r="Z3499" s="51">
        <v>87054.79366488001</v>
      </c>
      <c r="AA3499" s="51">
        <v>0</v>
      </c>
      <c r="AB3499" s="102">
        <v>0</v>
      </c>
      <c r="AC3499" s="81">
        <f t="shared" si="166"/>
        <v>0</v>
      </c>
      <c r="AD3499" s="82">
        <f t="shared" si="167"/>
        <v>0</v>
      </c>
      <c r="AE3499" s="218">
        <v>0</v>
      </c>
      <c r="AF3499">
        <v>0</v>
      </c>
      <c r="AH3499" t="str">
        <f t="shared" si="165"/>
        <v>Sonvarsha</v>
      </c>
      <c r="AJ3499" s="72">
        <v>0</v>
      </c>
      <c r="AK3499" s="72"/>
      <c r="AL3499" s="72"/>
      <c r="AM3499" s="72"/>
    </row>
    <row r="3500" spans="1:39" x14ac:dyDescent="0.25">
      <c r="A3500" s="37" t="s">
        <v>62</v>
      </c>
      <c r="B3500" s="66" t="s">
        <v>1644</v>
      </c>
      <c r="C3500" s="4">
        <v>1006</v>
      </c>
      <c r="D3500" s="41" t="s">
        <v>183</v>
      </c>
      <c r="E3500" s="41">
        <v>10330001</v>
      </c>
      <c r="F3500" s="85" t="s">
        <v>1209</v>
      </c>
      <c r="G3500" s="39" t="s">
        <v>635</v>
      </c>
      <c r="H3500" s="52" t="s">
        <v>99</v>
      </c>
      <c r="I3500" s="52">
        <v>2457.6999999999998</v>
      </c>
      <c r="J3500" s="49">
        <v>91240.079171002493</v>
      </c>
      <c r="K3500" s="58">
        <v>0</v>
      </c>
      <c r="L3500" s="58">
        <v>0</v>
      </c>
      <c r="M3500" s="58">
        <v>0</v>
      </c>
      <c r="N3500" s="58">
        <v>0</v>
      </c>
      <c r="O3500" s="58">
        <v>0</v>
      </c>
      <c r="P3500" s="53">
        <v>0</v>
      </c>
      <c r="Q3500" s="65">
        <v>91240.079171002493</v>
      </c>
      <c r="R3500" s="65">
        <v>0</v>
      </c>
      <c r="S3500" s="65">
        <v>0</v>
      </c>
      <c r="T3500" s="65">
        <v>0</v>
      </c>
      <c r="U3500" s="58">
        <v>0</v>
      </c>
      <c r="V3500" s="65">
        <v>0</v>
      </c>
      <c r="W3500" s="65">
        <v>0</v>
      </c>
      <c r="X3500" s="65">
        <v>0</v>
      </c>
      <c r="Y3500" s="65">
        <v>0</v>
      </c>
      <c r="Z3500" s="51">
        <v>91240.079171002493</v>
      </c>
      <c r="AA3500" s="51">
        <v>0</v>
      </c>
      <c r="AB3500" s="102">
        <v>0</v>
      </c>
      <c r="AC3500" s="81">
        <f t="shared" si="166"/>
        <v>0</v>
      </c>
      <c r="AD3500" s="82">
        <f t="shared" si="167"/>
        <v>0</v>
      </c>
      <c r="AE3500" s="218">
        <v>0</v>
      </c>
      <c r="AF3500">
        <v>0</v>
      </c>
      <c r="AH3500" t="str">
        <f t="shared" si="165"/>
        <v>Sonvarsha</v>
      </c>
      <c r="AJ3500" s="72">
        <v>0</v>
      </c>
      <c r="AK3500" s="72"/>
      <c r="AL3500" s="72"/>
      <c r="AM3500" s="72"/>
    </row>
    <row r="3501" spans="1:39" x14ac:dyDescent="0.25">
      <c r="A3501" s="37" t="s">
        <v>62</v>
      </c>
      <c r="B3501" s="66" t="s">
        <v>1644</v>
      </c>
      <c r="C3501" s="4">
        <v>1006</v>
      </c>
      <c r="D3501" s="41" t="s">
        <v>183</v>
      </c>
      <c r="E3501" s="41">
        <v>10340001</v>
      </c>
      <c r="F3501" s="85" t="s">
        <v>409</v>
      </c>
      <c r="G3501" s="39" t="s">
        <v>635</v>
      </c>
      <c r="H3501" s="52" t="s">
        <v>99</v>
      </c>
      <c r="I3501" s="52">
        <v>1523.6</v>
      </c>
      <c r="J3501" s="49">
        <v>56912.632028970009</v>
      </c>
      <c r="K3501" s="58">
        <v>0</v>
      </c>
      <c r="L3501" s="58">
        <v>0</v>
      </c>
      <c r="M3501" s="58">
        <v>0</v>
      </c>
      <c r="N3501" s="58">
        <v>0</v>
      </c>
      <c r="O3501" s="58">
        <v>0</v>
      </c>
      <c r="P3501" s="53">
        <v>0</v>
      </c>
      <c r="Q3501" s="65">
        <v>56912.632028970009</v>
      </c>
      <c r="R3501" s="65">
        <v>0</v>
      </c>
      <c r="S3501" s="65">
        <v>0</v>
      </c>
      <c r="T3501" s="65">
        <v>0</v>
      </c>
      <c r="U3501" s="58">
        <v>0</v>
      </c>
      <c r="V3501" s="65">
        <v>0</v>
      </c>
      <c r="W3501" s="65">
        <v>0</v>
      </c>
      <c r="X3501" s="65">
        <v>0</v>
      </c>
      <c r="Y3501" s="65">
        <v>0</v>
      </c>
      <c r="Z3501" s="51">
        <v>56912.632028970009</v>
      </c>
      <c r="AA3501" s="51">
        <v>0</v>
      </c>
      <c r="AB3501" s="102">
        <v>0</v>
      </c>
      <c r="AC3501" s="81">
        <f t="shared" si="166"/>
        <v>0</v>
      </c>
      <c r="AD3501" s="82">
        <f t="shared" si="167"/>
        <v>0</v>
      </c>
      <c r="AE3501" s="218">
        <v>0</v>
      </c>
      <c r="AF3501">
        <v>0</v>
      </c>
      <c r="AH3501" t="str">
        <f t="shared" si="165"/>
        <v>Sonvarsha</v>
      </c>
      <c r="AJ3501" s="72">
        <v>0</v>
      </c>
      <c r="AK3501" s="72"/>
      <c r="AL3501" s="72"/>
      <c r="AM3501" s="72"/>
    </row>
    <row r="3502" spans="1:39" x14ac:dyDescent="0.25">
      <c r="A3502" s="37" t="s">
        <v>62</v>
      </c>
      <c r="B3502" s="66" t="s">
        <v>1644</v>
      </c>
      <c r="C3502" s="4">
        <v>1006</v>
      </c>
      <c r="D3502" s="41" t="s">
        <v>183</v>
      </c>
      <c r="E3502" s="41">
        <v>10350001</v>
      </c>
      <c r="F3502" s="85" t="s">
        <v>410</v>
      </c>
      <c r="G3502" s="39" t="s">
        <v>285</v>
      </c>
      <c r="H3502" s="52" t="s">
        <v>94</v>
      </c>
      <c r="I3502" s="52">
        <v>1783.5</v>
      </c>
      <c r="J3502" s="49">
        <v>69326.45591460001</v>
      </c>
      <c r="K3502" s="58">
        <v>1885.3</v>
      </c>
      <c r="L3502" s="58">
        <v>69757.719584552702</v>
      </c>
      <c r="M3502" s="58">
        <v>20.5</v>
      </c>
      <c r="N3502" s="58">
        <v>789.33429600000011</v>
      </c>
      <c r="O3502" s="58">
        <v>1905.8</v>
      </c>
      <c r="P3502" s="53">
        <v>70547.053880552703</v>
      </c>
      <c r="Q3502" s="65">
        <v>69326.45591460001</v>
      </c>
      <c r="R3502" s="65">
        <v>0</v>
      </c>
      <c r="S3502" s="65">
        <v>789.33429600000011</v>
      </c>
      <c r="T3502" s="65">
        <v>1220.5979659526929</v>
      </c>
      <c r="U3502" s="58">
        <v>0</v>
      </c>
      <c r="V3502" s="65">
        <v>0</v>
      </c>
      <c r="W3502" s="65">
        <v>0</v>
      </c>
      <c r="X3502" s="65">
        <v>68537</v>
      </c>
      <c r="Y3502" s="65">
        <v>0</v>
      </c>
      <c r="Z3502" s="51">
        <v>0</v>
      </c>
      <c r="AA3502" s="51">
        <v>0</v>
      </c>
      <c r="AB3502" s="102">
        <v>0</v>
      </c>
      <c r="AC3502" s="81">
        <f t="shared" si="166"/>
        <v>0</v>
      </c>
      <c r="AD3502" s="82">
        <f t="shared" si="167"/>
        <v>0</v>
      </c>
      <c r="AE3502" s="218">
        <v>-1.760652480859962E-2</v>
      </c>
      <c r="AF3502">
        <v>19</v>
      </c>
      <c r="AH3502" t="str">
        <f t="shared" si="165"/>
        <v>Sonvarsha</v>
      </c>
      <c r="AJ3502" s="72">
        <v>0</v>
      </c>
      <c r="AK3502" s="72"/>
      <c r="AL3502" s="72"/>
      <c r="AM3502" s="72"/>
    </row>
    <row r="3503" spans="1:39" x14ac:dyDescent="0.25">
      <c r="A3503" s="37" t="s">
        <v>62</v>
      </c>
      <c r="B3503" s="66" t="s">
        <v>1644</v>
      </c>
      <c r="C3503" s="4">
        <v>1036</v>
      </c>
      <c r="D3503" s="41" t="s">
        <v>411</v>
      </c>
      <c r="E3503" s="41">
        <v>10360001</v>
      </c>
      <c r="F3503" s="85" t="s">
        <v>411</v>
      </c>
      <c r="G3503" s="39" t="s">
        <v>285</v>
      </c>
      <c r="H3503" s="52" t="s">
        <v>94</v>
      </c>
      <c r="I3503" s="52">
        <v>2276</v>
      </c>
      <c r="J3503" s="49">
        <v>86736.287029464613</v>
      </c>
      <c r="K3503" s="58">
        <v>2232.7999999999997</v>
      </c>
      <c r="L3503" s="58">
        <v>84738.170847558606</v>
      </c>
      <c r="M3503" s="58">
        <v>43.2</v>
      </c>
      <c r="N3503" s="58">
        <v>1602.8717550600002</v>
      </c>
      <c r="O3503" s="58">
        <v>2275.9999999999995</v>
      </c>
      <c r="P3503" s="53">
        <v>86341.042602618603</v>
      </c>
      <c r="Q3503" s="65">
        <v>86341.042602618603</v>
      </c>
      <c r="R3503" s="65">
        <v>0</v>
      </c>
      <c r="S3503" s="65">
        <v>1602.8717550600002</v>
      </c>
      <c r="T3503" s="65">
        <v>0</v>
      </c>
      <c r="U3503" s="58">
        <v>0</v>
      </c>
      <c r="V3503" s="65">
        <v>0</v>
      </c>
      <c r="W3503" s="65">
        <v>0</v>
      </c>
      <c r="X3503" s="65">
        <v>84738</v>
      </c>
      <c r="Y3503" s="65">
        <v>0</v>
      </c>
      <c r="Z3503" s="51">
        <v>0</v>
      </c>
      <c r="AA3503" s="51">
        <v>395</v>
      </c>
      <c r="AB3503" s="102">
        <v>0</v>
      </c>
      <c r="AC3503" s="81">
        <f t="shared" si="166"/>
        <v>0</v>
      </c>
      <c r="AD3503" s="82">
        <f t="shared" si="167"/>
        <v>0</v>
      </c>
      <c r="AE3503" s="218">
        <v>4.5568520440786627E-3</v>
      </c>
      <c r="AF3503">
        <v>11</v>
      </c>
      <c r="AH3503" t="str">
        <f t="shared" si="165"/>
        <v>MAHADAT PUR 2</v>
      </c>
      <c r="AJ3503" s="72">
        <v>0</v>
      </c>
      <c r="AK3503" s="72"/>
      <c r="AL3503" s="72"/>
      <c r="AM3503" s="72"/>
    </row>
    <row r="3504" spans="1:39" x14ac:dyDescent="0.25">
      <c r="A3504" s="37" t="s">
        <v>62</v>
      </c>
      <c r="B3504" s="66" t="s">
        <v>1644</v>
      </c>
      <c r="C3504" s="4">
        <v>1007</v>
      </c>
      <c r="D3504" s="41" t="s">
        <v>207</v>
      </c>
      <c r="E3504" s="41">
        <v>10370001</v>
      </c>
      <c r="F3504" s="85" t="s">
        <v>533</v>
      </c>
      <c r="G3504" s="39" t="s">
        <v>285</v>
      </c>
      <c r="H3504" s="52" t="s">
        <v>94</v>
      </c>
      <c r="I3504" s="52">
        <v>102</v>
      </c>
      <c r="J3504" s="49">
        <v>3368.79256824</v>
      </c>
      <c r="K3504" s="58">
        <v>102</v>
      </c>
      <c r="L3504" s="58">
        <v>3368.79256824</v>
      </c>
      <c r="M3504" s="58">
        <v>0</v>
      </c>
      <c r="N3504" s="58">
        <v>0</v>
      </c>
      <c r="O3504" s="58">
        <v>102</v>
      </c>
      <c r="P3504" s="53">
        <v>3368.79256824</v>
      </c>
      <c r="Q3504" s="65">
        <v>3368.79256824</v>
      </c>
      <c r="R3504" s="65">
        <v>0</v>
      </c>
      <c r="S3504" s="65">
        <v>0</v>
      </c>
      <c r="T3504" s="65">
        <v>0</v>
      </c>
      <c r="U3504" s="58">
        <v>0</v>
      </c>
      <c r="V3504" s="65">
        <v>0</v>
      </c>
      <c r="W3504" s="65">
        <v>0</v>
      </c>
      <c r="X3504" s="65">
        <v>3369</v>
      </c>
      <c r="Y3504" s="65">
        <v>0</v>
      </c>
      <c r="Z3504" s="51">
        <v>0</v>
      </c>
      <c r="AA3504" s="51">
        <v>0</v>
      </c>
      <c r="AB3504" s="102">
        <v>0</v>
      </c>
      <c r="AC3504" s="81">
        <f t="shared" si="166"/>
        <v>395.00744231520002</v>
      </c>
      <c r="AD3504" s="82">
        <f t="shared" si="167"/>
        <v>14.571428571428571</v>
      </c>
      <c r="AE3504" s="218">
        <v>0</v>
      </c>
      <c r="AF3504">
        <v>2</v>
      </c>
      <c r="AH3504" t="str">
        <f t="shared" si="165"/>
        <v>Araria</v>
      </c>
      <c r="AJ3504" s="72">
        <v>0</v>
      </c>
      <c r="AK3504" s="72"/>
      <c r="AL3504" s="72"/>
      <c r="AM3504" s="72"/>
    </row>
    <row r="3505" spans="1:39" x14ac:dyDescent="0.25">
      <c r="A3505" s="37" t="s">
        <v>62</v>
      </c>
      <c r="B3505" s="66" t="s">
        <v>1644</v>
      </c>
      <c r="C3505" s="4">
        <v>1007</v>
      </c>
      <c r="D3505" s="41" t="s">
        <v>207</v>
      </c>
      <c r="E3505" s="41">
        <v>10380001</v>
      </c>
      <c r="F3505" s="85" t="s">
        <v>412</v>
      </c>
      <c r="G3505" s="39" t="s">
        <v>285</v>
      </c>
      <c r="H3505" s="52" t="s">
        <v>94</v>
      </c>
      <c r="I3505" s="52">
        <v>276</v>
      </c>
      <c r="J3505" s="49">
        <v>9654.7714560000004</v>
      </c>
      <c r="K3505" s="58">
        <v>274</v>
      </c>
      <c r="L3505" s="58">
        <v>9584.8093439999993</v>
      </c>
      <c r="M3505" s="58">
        <v>2</v>
      </c>
      <c r="N3505" s="58">
        <v>69.962112000000005</v>
      </c>
      <c r="O3505" s="58">
        <v>276</v>
      </c>
      <c r="P3505" s="53">
        <v>9654.7714559999986</v>
      </c>
      <c r="Q3505" s="65">
        <v>9654.7714559999986</v>
      </c>
      <c r="R3505" s="65">
        <v>0</v>
      </c>
      <c r="S3505" s="65">
        <v>69.962112000000005</v>
      </c>
      <c r="T3505" s="65">
        <v>0</v>
      </c>
      <c r="U3505" s="58">
        <v>0</v>
      </c>
      <c r="V3505" s="65">
        <v>0</v>
      </c>
      <c r="W3505" s="65">
        <v>0</v>
      </c>
      <c r="X3505" s="65">
        <v>9583</v>
      </c>
      <c r="Y3505" s="65">
        <v>0</v>
      </c>
      <c r="Z3505" s="51">
        <v>0</v>
      </c>
      <c r="AA3505" s="51">
        <v>2</v>
      </c>
      <c r="AB3505" s="102">
        <v>0</v>
      </c>
      <c r="AC3505" s="81">
        <f t="shared" si="166"/>
        <v>296.63935488000004</v>
      </c>
      <c r="AD3505" s="82">
        <f t="shared" si="167"/>
        <v>39.428571428571431</v>
      </c>
      <c r="AE3505" s="218">
        <v>1.8840315504469423E-16</v>
      </c>
      <c r="AF3505">
        <v>8</v>
      </c>
      <c r="AH3505" t="str">
        <f t="shared" si="165"/>
        <v>Araria</v>
      </c>
      <c r="AJ3505" s="72">
        <v>0</v>
      </c>
      <c r="AK3505" s="72"/>
      <c r="AL3505" s="72"/>
      <c r="AM3505" s="72"/>
    </row>
    <row r="3506" spans="1:39" x14ac:dyDescent="0.25">
      <c r="A3506" s="37" t="s">
        <v>62</v>
      </c>
      <c r="B3506" s="66" t="s">
        <v>1644</v>
      </c>
      <c r="C3506" s="4">
        <v>1007</v>
      </c>
      <c r="D3506" s="41" t="s">
        <v>207</v>
      </c>
      <c r="E3506" s="41">
        <v>10390001</v>
      </c>
      <c r="F3506" s="85" t="s">
        <v>501</v>
      </c>
      <c r="G3506" s="39" t="s">
        <v>285</v>
      </c>
      <c r="H3506" s="52" t="s">
        <v>99</v>
      </c>
      <c r="I3506" s="52">
        <v>182</v>
      </c>
      <c r="J3506" s="49">
        <v>6294.480192</v>
      </c>
      <c r="K3506" s="58">
        <v>150</v>
      </c>
      <c r="L3506" s="58">
        <v>5187.7583999999997</v>
      </c>
      <c r="M3506" s="58">
        <v>0</v>
      </c>
      <c r="N3506" s="58">
        <v>0</v>
      </c>
      <c r="O3506" s="58">
        <v>150</v>
      </c>
      <c r="P3506" s="53">
        <v>5187.7583999999997</v>
      </c>
      <c r="Q3506" s="65">
        <v>6294.480192</v>
      </c>
      <c r="R3506" s="65">
        <v>0</v>
      </c>
      <c r="S3506" s="65">
        <v>13.834022400000002</v>
      </c>
      <c r="T3506" s="65">
        <v>0</v>
      </c>
      <c r="U3506" s="58">
        <v>0</v>
      </c>
      <c r="V3506" s="65">
        <v>0</v>
      </c>
      <c r="W3506" s="65">
        <v>0</v>
      </c>
      <c r="X3506" s="65">
        <v>0</v>
      </c>
      <c r="Y3506" s="65">
        <v>0</v>
      </c>
      <c r="Z3506" s="51">
        <v>6280.6461695999997</v>
      </c>
      <c r="AA3506" s="51">
        <v>0</v>
      </c>
      <c r="AB3506" s="102">
        <v>0</v>
      </c>
      <c r="AC3506" s="81">
        <f t="shared" si="166"/>
        <v>358.30118016</v>
      </c>
      <c r="AD3506" s="82">
        <f t="shared" si="167"/>
        <v>26</v>
      </c>
      <c r="AE3506" s="218">
        <v>0</v>
      </c>
      <c r="AF3506">
        <v>5</v>
      </c>
      <c r="AH3506" t="str">
        <f t="shared" si="165"/>
        <v>Araria</v>
      </c>
      <c r="AJ3506" s="72">
        <v>0</v>
      </c>
      <c r="AK3506" s="72"/>
      <c r="AL3506" s="72"/>
      <c r="AM3506" s="72"/>
    </row>
    <row r="3507" spans="1:39" x14ac:dyDescent="0.25">
      <c r="A3507" s="37" t="s">
        <v>62</v>
      </c>
      <c r="B3507" s="66" t="s">
        <v>1644</v>
      </c>
      <c r="C3507" s="4">
        <v>1007</v>
      </c>
      <c r="D3507" s="41" t="s">
        <v>207</v>
      </c>
      <c r="E3507" s="41">
        <v>10400001</v>
      </c>
      <c r="F3507" s="85" t="s">
        <v>413</v>
      </c>
      <c r="G3507" s="39" t="s">
        <v>285</v>
      </c>
      <c r="H3507" s="52" t="s">
        <v>94</v>
      </c>
      <c r="I3507" s="52">
        <v>2398</v>
      </c>
      <c r="J3507" s="49">
        <v>83973.260832000014</v>
      </c>
      <c r="K3507" s="58">
        <v>2388</v>
      </c>
      <c r="L3507" s="58">
        <v>83623.366104000015</v>
      </c>
      <c r="M3507" s="58">
        <v>8</v>
      </c>
      <c r="N3507" s="58">
        <v>282.30861600000003</v>
      </c>
      <c r="O3507" s="58">
        <v>2396</v>
      </c>
      <c r="P3507" s="53">
        <v>83905.67472000001</v>
      </c>
      <c r="Q3507" s="65">
        <v>83905.67472000001</v>
      </c>
      <c r="R3507" s="65">
        <v>0</v>
      </c>
      <c r="S3507" s="65">
        <v>282.30861600000003</v>
      </c>
      <c r="T3507" s="65">
        <v>0</v>
      </c>
      <c r="U3507" s="58">
        <v>0</v>
      </c>
      <c r="V3507" s="65">
        <v>0</v>
      </c>
      <c r="W3507" s="65">
        <v>0</v>
      </c>
      <c r="X3507" s="65">
        <v>83623</v>
      </c>
      <c r="Y3507" s="65">
        <v>0</v>
      </c>
      <c r="Z3507" s="51">
        <v>0</v>
      </c>
      <c r="AA3507" s="51">
        <v>68</v>
      </c>
      <c r="AB3507" s="102">
        <v>0</v>
      </c>
      <c r="AC3507" s="81">
        <f t="shared" si="166"/>
        <v>0</v>
      </c>
      <c r="AD3507" s="82">
        <f t="shared" si="167"/>
        <v>0</v>
      </c>
      <c r="AE3507" s="218">
        <v>8.048527749234338E-4</v>
      </c>
      <c r="AF3507">
        <v>9</v>
      </c>
      <c r="AH3507" t="str">
        <f t="shared" si="165"/>
        <v>Araria</v>
      </c>
      <c r="AJ3507" s="72">
        <v>0</v>
      </c>
      <c r="AK3507" s="72"/>
      <c r="AL3507" s="72"/>
      <c r="AM3507" s="72"/>
    </row>
    <row r="3508" spans="1:39" x14ac:dyDescent="0.25">
      <c r="A3508" s="37" t="s">
        <v>62</v>
      </c>
      <c r="B3508" s="66" t="s">
        <v>1644</v>
      </c>
      <c r="C3508" s="4">
        <v>1007</v>
      </c>
      <c r="D3508" s="41" t="s">
        <v>207</v>
      </c>
      <c r="E3508" s="41">
        <v>10410001</v>
      </c>
      <c r="F3508" s="85" t="s">
        <v>414</v>
      </c>
      <c r="G3508" s="39" t="s">
        <v>285</v>
      </c>
      <c r="H3508" s="52" t="s">
        <v>94</v>
      </c>
      <c r="I3508" s="52">
        <v>3492</v>
      </c>
      <c r="J3508" s="49">
        <v>117815.68068</v>
      </c>
      <c r="K3508" s="58">
        <v>2400</v>
      </c>
      <c r="L3508" s="58">
        <v>80436.168000000005</v>
      </c>
      <c r="M3508" s="58">
        <v>1092</v>
      </c>
      <c r="N3508" s="58">
        <v>37379.512680000007</v>
      </c>
      <c r="O3508" s="58">
        <v>3492</v>
      </c>
      <c r="P3508" s="53">
        <v>117815.68068000002</v>
      </c>
      <c r="Q3508" s="65">
        <v>117815.68068</v>
      </c>
      <c r="R3508" s="65">
        <v>0</v>
      </c>
      <c r="S3508" s="65">
        <v>202.38244800000001</v>
      </c>
      <c r="T3508" s="65">
        <v>0</v>
      </c>
      <c r="U3508" s="58">
        <v>0</v>
      </c>
      <c r="V3508" s="65">
        <v>0</v>
      </c>
      <c r="W3508" s="65">
        <v>0</v>
      </c>
      <c r="X3508" s="65">
        <v>80435</v>
      </c>
      <c r="Y3508" s="65">
        <v>37177</v>
      </c>
      <c r="Z3508" s="51">
        <v>0</v>
      </c>
      <c r="AA3508" s="51">
        <v>1</v>
      </c>
      <c r="AB3508" s="102">
        <v>0</v>
      </c>
      <c r="AC3508" s="81">
        <f t="shared" si="166"/>
        <v>0</v>
      </c>
      <c r="AD3508" s="82">
        <f t="shared" si="167"/>
        <v>0</v>
      </c>
      <c r="AE3508" s="218">
        <v>-1.2351424822550922E-16</v>
      </c>
      <c r="AF3508">
        <v>9</v>
      </c>
      <c r="AH3508" t="str">
        <f t="shared" si="165"/>
        <v>Araria</v>
      </c>
      <c r="AJ3508" s="72">
        <v>0</v>
      </c>
      <c r="AK3508" s="72"/>
      <c r="AL3508" s="72"/>
      <c r="AM3508" s="72"/>
    </row>
    <row r="3509" spans="1:39" x14ac:dyDescent="0.25">
      <c r="A3509" s="37" t="s">
        <v>62</v>
      </c>
      <c r="B3509" s="66" t="s">
        <v>1644</v>
      </c>
      <c r="C3509" s="4">
        <v>1011</v>
      </c>
      <c r="D3509" s="41" t="s">
        <v>289</v>
      </c>
      <c r="E3509" s="41">
        <v>10430001</v>
      </c>
      <c r="F3509" s="85" t="s">
        <v>1273</v>
      </c>
      <c r="G3509" s="39" t="s">
        <v>93</v>
      </c>
      <c r="H3509" s="52" t="s">
        <v>94</v>
      </c>
      <c r="I3509" s="52">
        <v>495.3</v>
      </c>
      <c r="J3509" s="49">
        <v>16871.738208234001</v>
      </c>
      <c r="K3509" s="58">
        <v>495</v>
      </c>
      <c r="L3509" s="58">
        <v>16472.7043767</v>
      </c>
      <c r="M3509" s="58">
        <v>0</v>
      </c>
      <c r="N3509" s="58">
        <v>0</v>
      </c>
      <c r="O3509" s="58">
        <v>495</v>
      </c>
      <c r="P3509" s="53">
        <v>16472.7043767</v>
      </c>
      <c r="Q3509" s="65">
        <v>16472.7043767</v>
      </c>
      <c r="R3509" s="65">
        <v>0</v>
      </c>
      <c r="S3509" s="65">
        <v>0</v>
      </c>
      <c r="T3509" s="65">
        <v>0</v>
      </c>
      <c r="U3509" s="58">
        <v>0</v>
      </c>
      <c r="V3509" s="65">
        <v>0</v>
      </c>
      <c r="W3509" s="65">
        <v>0</v>
      </c>
      <c r="X3509" s="65">
        <v>16473</v>
      </c>
      <c r="Y3509" s="65">
        <v>0</v>
      </c>
      <c r="Z3509" s="51">
        <v>0</v>
      </c>
      <c r="AA3509" s="51">
        <v>399</v>
      </c>
      <c r="AB3509" s="102">
        <v>0</v>
      </c>
      <c r="AC3509" s="81">
        <f t="shared" si="166"/>
        <v>139.45668529075311</v>
      </c>
      <c r="AD3509" s="82">
        <f t="shared" si="167"/>
        <v>70.757142857142853</v>
      </c>
      <c r="AE3509" s="218">
        <v>2.3651020814160026E-2</v>
      </c>
      <c r="AF3509">
        <v>1</v>
      </c>
      <c r="AH3509" t="str">
        <f t="shared" si="165"/>
        <v>Sahibpur Kamal</v>
      </c>
      <c r="AJ3509" s="72">
        <v>0</v>
      </c>
      <c r="AK3509" s="72"/>
      <c r="AL3509" s="72"/>
      <c r="AM3509" s="72"/>
    </row>
    <row r="3510" spans="1:39" x14ac:dyDescent="0.25">
      <c r="A3510" s="37" t="s">
        <v>62</v>
      </c>
      <c r="B3510" s="66" t="s">
        <v>1644</v>
      </c>
      <c r="C3510" s="4">
        <v>1011</v>
      </c>
      <c r="D3510" s="41" t="s">
        <v>289</v>
      </c>
      <c r="E3510" s="41">
        <v>10440001</v>
      </c>
      <c r="F3510" s="85" t="s">
        <v>415</v>
      </c>
      <c r="G3510" s="39" t="s">
        <v>93</v>
      </c>
      <c r="H3510" s="52" t="s">
        <v>94</v>
      </c>
      <c r="I3510" s="52">
        <v>130.69999999999999</v>
      </c>
      <c r="J3510" s="49">
        <v>4591.2036386820009</v>
      </c>
      <c r="K3510" s="58">
        <v>130.79999999999998</v>
      </c>
      <c r="L3510" s="58">
        <v>4687.4966208000014</v>
      </c>
      <c r="M3510" s="58">
        <v>0</v>
      </c>
      <c r="N3510" s="58">
        <v>0</v>
      </c>
      <c r="O3510" s="58">
        <v>130.79999999999998</v>
      </c>
      <c r="P3510" s="53">
        <v>4687.4966208000014</v>
      </c>
      <c r="Q3510" s="65">
        <v>4591.2036386820009</v>
      </c>
      <c r="R3510" s="65">
        <v>0</v>
      </c>
      <c r="S3510" s="65">
        <v>0</v>
      </c>
      <c r="T3510" s="65">
        <v>96.292982118000509</v>
      </c>
      <c r="U3510" s="58">
        <v>0</v>
      </c>
      <c r="V3510" s="65">
        <v>0</v>
      </c>
      <c r="W3510" s="65">
        <v>0</v>
      </c>
      <c r="X3510" s="65">
        <v>4591</v>
      </c>
      <c r="Y3510" s="65">
        <v>0</v>
      </c>
      <c r="Z3510" s="51">
        <v>0</v>
      </c>
      <c r="AA3510" s="51">
        <v>0</v>
      </c>
      <c r="AB3510" s="102" t="s">
        <v>68</v>
      </c>
      <c r="AC3510" s="81">
        <f t="shared" si="166"/>
        <v>399.96514636597755</v>
      </c>
      <c r="AD3510" s="82">
        <f t="shared" si="167"/>
        <v>18.671428571428571</v>
      </c>
      <c r="AE3510" s="218">
        <v>-2.0973363347839519E-2</v>
      </c>
      <c r="AF3510">
        <v>1</v>
      </c>
      <c r="AH3510" t="str">
        <f t="shared" si="165"/>
        <v>Sahibpur Kamal</v>
      </c>
      <c r="AJ3510" s="72">
        <v>0</v>
      </c>
      <c r="AK3510" s="72"/>
      <c r="AL3510" s="72"/>
      <c r="AM3510" s="72"/>
    </row>
    <row r="3511" spans="1:39" x14ac:dyDescent="0.25">
      <c r="A3511" s="37" t="s">
        <v>62</v>
      </c>
      <c r="B3511" s="66" t="s">
        <v>1644</v>
      </c>
      <c r="C3511" s="4">
        <v>1003</v>
      </c>
      <c r="D3511" s="41" t="s">
        <v>139</v>
      </c>
      <c r="E3511" s="41">
        <v>10460001</v>
      </c>
      <c r="F3511" s="85" t="s">
        <v>416</v>
      </c>
      <c r="G3511" s="39" t="s">
        <v>93</v>
      </c>
      <c r="H3511" s="52" t="s">
        <v>94</v>
      </c>
      <c r="I3511" s="52">
        <v>407.35000000000008</v>
      </c>
      <c r="J3511" s="49">
        <v>14249.127615544503</v>
      </c>
      <c r="K3511" s="58">
        <v>403.60000000000008</v>
      </c>
      <c r="L3511" s="58">
        <v>14760.655315938</v>
      </c>
      <c r="M3511" s="58">
        <v>4.5</v>
      </c>
      <c r="N3511" s="58">
        <v>182.54384669100003</v>
      </c>
      <c r="O3511" s="58">
        <v>408.10000000000008</v>
      </c>
      <c r="P3511" s="53">
        <v>14943.199162629</v>
      </c>
      <c r="Q3511" s="65">
        <v>14249.127615544503</v>
      </c>
      <c r="R3511" s="65">
        <v>0</v>
      </c>
      <c r="S3511" s="65">
        <v>182.54384669100003</v>
      </c>
      <c r="T3511" s="65">
        <v>694.07154708449707</v>
      </c>
      <c r="U3511" s="58">
        <v>0</v>
      </c>
      <c r="V3511" s="65">
        <v>0</v>
      </c>
      <c r="W3511" s="65">
        <v>0</v>
      </c>
      <c r="X3511" s="65">
        <v>14066</v>
      </c>
      <c r="Y3511" s="65">
        <v>0</v>
      </c>
      <c r="Z3511" s="51">
        <v>0</v>
      </c>
      <c r="AA3511" s="51">
        <v>1</v>
      </c>
      <c r="AB3511" s="102">
        <v>0</v>
      </c>
      <c r="AC3511" s="81">
        <f t="shared" si="166"/>
        <v>204.73829368793898</v>
      </c>
      <c r="AD3511" s="82">
        <f t="shared" si="167"/>
        <v>58.192857142857157</v>
      </c>
      <c r="AE3511" s="218">
        <v>-4.8709757243477002E-2</v>
      </c>
      <c r="AF3511">
        <v>8</v>
      </c>
      <c r="AH3511" t="str">
        <f t="shared" si="165"/>
        <v>Asarganj</v>
      </c>
      <c r="AJ3511" s="72">
        <v>0</v>
      </c>
      <c r="AK3511" s="72"/>
      <c r="AL3511" s="72"/>
      <c r="AM3511" s="72"/>
    </row>
    <row r="3512" spans="1:39" x14ac:dyDescent="0.25">
      <c r="A3512" s="37" t="s">
        <v>62</v>
      </c>
      <c r="B3512" s="66" t="s">
        <v>1644</v>
      </c>
      <c r="C3512" s="4">
        <v>1003</v>
      </c>
      <c r="D3512" s="41" t="s">
        <v>139</v>
      </c>
      <c r="E3512" s="41">
        <v>10460002</v>
      </c>
      <c r="F3512" s="85" t="s">
        <v>417</v>
      </c>
      <c r="G3512" s="39" t="s">
        <v>93</v>
      </c>
      <c r="H3512" s="52" t="s">
        <v>94</v>
      </c>
      <c r="I3512" s="52">
        <v>592.5</v>
      </c>
      <c r="J3512" s="49">
        <v>18482.165116022254</v>
      </c>
      <c r="K3512" s="58">
        <v>514.59999999999991</v>
      </c>
      <c r="L3512" s="58">
        <v>16294.8555077325</v>
      </c>
      <c r="M3512" s="58">
        <v>1.4000000000000001</v>
      </c>
      <c r="N3512" s="58">
        <v>44.569214523000007</v>
      </c>
      <c r="O3512" s="58">
        <v>515.99999999999989</v>
      </c>
      <c r="P3512" s="53">
        <v>16339.4247222555</v>
      </c>
      <c r="Q3512" s="65">
        <v>16339.4247222555</v>
      </c>
      <c r="R3512" s="65">
        <v>0</v>
      </c>
      <c r="S3512" s="65">
        <v>44.569214523000007</v>
      </c>
      <c r="T3512" s="65">
        <v>0</v>
      </c>
      <c r="U3512" s="58">
        <v>0</v>
      </c>
      <c r="V3512" s="65">
        <v>0</v>
      </c>
      <c r="W3512" s="65">
        <v>0</v>
      </c>
      <c r="X3512" s="65">
        <v>16296</v>
      </c>
      <c r="Y3512" s="65">
        <v>0</v>
      </c>
      <c r="Z3512" s="51">
        <v>0</v>
      </c>
      <c r="AA3512" s="51">
        <v>2142</v>
      </c>
      <c r="AB3512" s="102">
        <v>0</v>
      </c>
      <c r="AC3512" s="81">
        <f t="shared" si="166"/>
        <v>67.066084387253767</v>
      </c>
      <c r="AD3512" s="82">
        <f t="shared" si="167"/>
        <v>84.642857142857139</v>
      </c>
      <c r="AE3512" s="218">
        <v>0.11593557250006407</v>
      </c>
      <c r="AF3512">
        <v>4</v>
      </c>
      <c r="AH3512" t="str">
        <f t="shared" si="165"/>
        <v>Asarganj</v>
      </c>
      <c r="AJ3512" s="72">
        <v>0</v>
      </c>
      <c r="AK3512" s="72"/>
      <c r="AL3512" s="72"/>
      <c r="AM3512" s="72"/>
    </row>
    <row r="3513" spans="1:39" x14ac:dyDescent="0.25">
      <c r="A3513" s="37" t="s">
        <v>62</v>
      </c>
      <c r="B3513" s="66" t="s">
        <v>1644</v>
      </c>
      <c r="C3513" s="4">
        <v>1036</v>
      </c>
      <c r="D3513" s="41" t="s">
        <v>411</v>
      </c>
      <c r="E3513" s="41">
        <v>10480001</v>
      </c>
      <c r="F3513" s="85" t="s">
        <v>418</v>
      </c>
      <c r="G3513" s="39" t="s">
        <v>93</v>
      </c>
      <c r="H3513" s="52" t="s">
        <v>94</v>
      </c>
      <c r="I3513" s="52">
        <v>274.40000000000003</v>
      </c>
      <c r="J3513" s="49">
        <v>9358.0201141605012</v>
      </c>
      <c r="K3513" s="58">
        <v>267.14999999999998</v>
      </c>
      <c r="L3513" s="58">
        <v>9112.7729421825006</v>
      </c>
      <c r="M3513" s="58">
        <v>3.1</v>
      </c>
      <c r="N3513" s="58">
        <v>106.18269580800001</v>
      </c>
      <c r="O3513" s="58">
        <v>270.25</v>
      </c>
      <c r="P3513" s="53">
        <v>9218.9556379905007</v>
      </c>
      <c r="Q3513" s="65">
        <v>9218.9556379905007</v>
      </c>
      <c r="R3513" s="65">
        <v>0</v>
      </c>
      <c r="S3513" s="65">
        <v>106.18269580800001</v>
      </c>
      <c r="T3513" s="65">
        <v>0</v>
      </c>
      <c r="U3513" s="58">
        <v>0</v>
      </c>
      <c r="V3513" s="65">
        <v>0</v>
      </c>
      <c r="W3513" s="65">
        <v>0</v>
      </c>
      <c r="X3513" s="65">
        <v>9113</v>
      </c>
      <c r="Y3513" s="65">
        <v>0</v>
      </c>
      <c r="Z3513" s="51">
        <v>0</v>
      </c>
      <c r="AA3513" s="51">
        <v>139</v>
      </c>
      <c r="AB3513" s="102">
        <v>0</v>
      </c>
      <c r="AC3513" s="81">
        <f t="shared" si="166"/>
        <v>290.28960354130527</v>
      </c>
      <c r="AD3513" s="82">
        <f t="shared" si="167"/>
        <v>39.200000000000003</v>
      </c>
      <c r="AE3513" s="218">
        <v>1.4860459207559186E-2</v>
      </c>
      <c r="AF3513">
        <v>3</v>
      </c>
      <c r="AH3513" t="str">
        <f t="shared" si="165"/>
        <v>MAHADAT PUR 2</v>
      </c>
      <c r="AJ3513" s="72">
        <v>0</v>
      </c>
      <c r="AK3513" s="72"/>
      <c r="AL3513" s="72"/>
      <c r="AM3513" s="72"/>
    </row>
    <row r="3514" spans="1:39" x14ac:dyDescent="0.25">
      <c r="A3514" s="37" t="s">
        <v>62</v>
      </c>
      <c r="B3514" s="66" t="s">
        <v>1644</v>
      </c>
      <c r="C3514" s="4">
        <v>1036</v>
      </c>
      <c r="D3514" s="41" t="s">
        <v>411</v>
      </c>
      <c r="E3514" s="41">
        <v>10480002</v>
      </c>
      <c r="F3514" s="85" t="s">
        <v>419</v>
      </c>
      <c r="G3514" s="39" t="s">
        <v>635</v>
      </c>
      <c r="H3514" s="52" t="s">
        <v>99</v>
      </c>
      <c r="I3514" s="52">
        <v>187.39999999999998</v>
      </c>
      <c r="J3514" s="49">
        <v>6530.1216086204995</v>
      </c>
      <c r="K3514" s="58">
        <v>187.49999999999997</v>
      </c>
      <c r="L3514" s="58">
        <v>6566.3693952045014</v>
      </c>
      <c r="M3514" s="58">
        <v>0</v>
      </c>
      <c r="N3514" s="58">
        <v>0</v>
      </c>
      <c r="O3514" s="58">
        <v>187.49999999999997</v>
      </c>
      <c r="P3514" s="53">
        <v>6566.3693952045014</v>
      </c>
      <c r="Q3514" s="65">
        <v>6530.1216086204995</v>
      </c>
      <c r="R3514" s="65">
        <v>0</v>
      </c>
      <c r="S3514" s="65">
        <v>0</v>
      </c>
      <c r="T3514" s="65">
        <v>36.247786584001915</v>
      </c>
      <c r="U3514" s="58">
        <v>0</v>
      </c>
      <c r="V3514" s="65">
        <v>0</v>
      </c>
      <c r="W3514" s="65">
        <v>0</v>
      </c>
      <c r="X3514" s="65">
        <v>0</v>
      </c>
      <c r="Y3514" s="65">
        <v>0</v>
      </c>
      <c r="Z3514" s="51">
        <v>6530.1216086204995</v>
      </c>
      <c r="AA3514" s="51">
        <v>0</v>
      </c>
      <c r="AB3514" s="102">
        <v>0</v>
      </c>
      <c r="AC3514" s="81">
        <f t="shared" si="166"/>
        <v>357.24016398920685</v>
      </c>
      <c r="AD3514" s="82">
        <f t="shared" si="167"/>
        <v>26.771428571428569</v>
      </c>
      <c r="AE3514" s="218">
        <v>0</v>
      </c>
      <c r="AF3514">
        <v>1</v>
      </c>
      <c r="AH3514" t="str">
        <f t="shared" si="165"/>
        <v>MAHADAT PUR 2</v>
      </c>
      <c r="AJ3514" s="72">
        <v>0</v>
      </c>
      <c r="AK3514" s="72"/>
      <c r="AL3514" s="72"/>
      <c r="AM3514" s="72"/>
    </row>
    <row r="3515" spans="1:39" x14ac:dyDescent="0.25">
      <c r="A3515" s="37" t="s">
        <v>62</v>
      </c>
      <c r="B3515" s="66" t="s">
        <v>1644</v>
      </c>
      <c r="C3515" s="4">
        <v>1007</v>
      </c>
      <c r="D3515" s="41" t="s">
        <v>207</v>
      </c>
      <c r="E3515" s="41">
        <v>10480003</v>
      </c>
      <c r="F3515" s="85" t="s">
        <v>630</v>
      </c>
      <c r="G3515" s="39" t="s">
        <v>635</v>
      </c>
      <c r="H3515" s="52" t="s">
        <v>99</v>
      </c>
      <c r="I3515" s="52">
        <v>2021</v>
      </c>
      <c r="J3515" s="49">
        <v>66796.514996040001</v>
      </c>
      <c r="K3515" s="58">
        <v>0</v>
      </c>
      <c r="L3515" s="58">
        <v>0</v>
      </c>
      <c r="M3515" s="58">
        <v>0</v>
      </c>
      <c r="N3515" s="58">
        <v>0</v>
      </c>
      <c r="O3515" s="58">
        <v>0</v>
      </c>
      <c r="P3515" s="53">
        <v>0</v>
      </c>
      <c r="Q3515" s="65">
        <v>66796.514996040001</v>
      </c>
      <c r="R3515" s="65">
        <v>0</v>
      </c>
      <c r="S3515" s="65">
        <v>0</v>
      </c>
      <c r="T3515" s="65">
        <v>0</v>
      </c>
      <c r="U3515" s="58">
        <v>0</v>
      </c>
      <c r="V3515" s="65">
        <v>0</v>
      </c>
      <c r="W3515" s="65">
        <v>0</v>
      </c>
      <c r="X3515" s="65">
        <v>0</v>
      </c>
      <c r="Y3515" s="65">
        <v>0</v>
      </c>
      <c r="Z3515" s="51">
        <v>66796.514996040001</v>
      </c>
      <c r="AA3515" s="51">
        <v>0</v>
      </c>
      <c r="AB3515" s="102">
        <v>0</v>
      </c>
      <c r="AC3515" s="81">
        <f t="shared" si="166"/>
        <v>0</v>
      </c>
      <c r="AD3515" s="82">
        <f t="shared" si="167"/>
        <v>0</v>
      </c>
      <c r="AE3515" s="218">
        <v>0</v>
      </c>
      <c r="AF3515">
        <v>0</v>
      </c>
      <c r="AH3515" t="str">
        <f t="shared" ref="AH3515:AH3578" si="168">TEXT(D3515,"0000")</f>
        <v>Araria</v>
      </c>
      <c r="AJ3515" s="72">
        <v>0</v>
      </c>
      <c r="AK3515" s="72"/>
      <c r="AL3515" s="72"/>
      <c r="AM3515" s="72"/>
    </row>
    <row r="3516" spans="1:39" x14ac:dyDescent="0.25">
      <c r="A3516" s="37" t="s">
        <v>62</v>
      </c>
      <c r="B3516" s="66" t="s">
        <v>1644</v>
      </c>
      <c r="C3516" s="4">
        <v>1036</v>
      </c>
      <c r="D3516" s="41" t="s">
        <v>411</v>
      </c>
      <c r="E3516" s="41">
        <v>10480005</v>
      </c>
      <c r="F3516" s="85" t="s">
        <v>631</v>
      </c>
      <c r="G3516" s="39" t="s">
        <v>93</v>
      </c>
      <c r="H3516" s="52" t="s">
        <v>94</v>
      </c>
      <c r="I3516" s="52">
        <v>366.4</v>
      </c>
      <c r="J3516" s="49">
        <v>14055.660556089002</v>
      </c>
      <c r="K3516" s="58">
        <v>371.1</v>
      </c>
      <c r="L3516" s="58">
        <v>14408.735004873999</v>
      </c>
      <c r="M3516" s="58">
        <v>1.4000000000000001</v>
      </c>
      <c r="N3516" s="58">
        <v>55.605424559000014</v>
      </c>
      <c r="O3516" s="58">
        <v>372.5</v>
      </c>
      <c r="P3516" s="53">
        <v>14464.340429432999</v>
      </c>
      <c r="Q3516" s="65">
        <v>14055.660556089002</v>
      </c>
      <c r="R3516" s="65">
        <v>0</v>
      </c>
      <c r="S3516" s="65">
        <v>55.605424559000014</v>
      </c>
      <c r="T3516" s="65">
        <v>408.67987334399731</v>
      </c>
      <c r="U3516" s="58">
        <v>0</v>
      </c>
      <c r="V3516" s="65">
        <v>0</v>
      </c>
      <c r="W3516" s="65">
        <v>0</v>
      </c>
      <c r="X3516" s="65">
        <v>14000</v>
      </c>
      <c r="Y3516" s="65">
        <v>0</v>
      </c>
      <c r="Z3516" s="51">
        <v>0</v>
      </c>
      <c r="AA3516" s="51">
        <v>0</v>
      </c>
      <c r="AB3516" s="102">
        <v>0</v>
      </c>
      <c r="AC3516" s="81">
        <f t="shared" si="166"/>
        <v>255.94805466764694</v>
      </c>
      <c r="AD3516" s="82">
        <f t="shared" si="167"/>
        <v>52.342857142857142</v>
      </c>
      <c r="AE3516" s="218">
        <v>-2.9075821211899899E-2</v>
      </c>
      <c r="AF3516">
        <v>5</v>
      </c>
      <c r="AH3516" t="str">
        <f t="shared" si="168"/>
        <v>MAHADAT PUR 2</v>
      </c>
      <c r="AJ3516" s="72">
        <v>0</v>
      </c>
      <c r="AK3516" s="72"/>
      <c r="AL3516" s="72"/>
      <c r="AM3516" s="72"/>
    </row>
    <row r="3517" spans="1:39" x14ac:dyDescent="0.25">
      <c r="A3517" s="37" t="s">
        <v>62</v>
      </c>
      <c r="B3517" s="66" t="s">
        <v>1644</v>
      </c>
      <c r="C3517" s="4">
        <v>1036</v>
      </c>
      <c r="D3517" s="41" t="s">
        <v>411</v>
      </c>
      <c r="E3517" s="41">
        <v>10480008</v>
      </c>
      <c r="F3517" s="85" t="s">
        <v>632</v>
      </c>
      <c r="G3517" s="39" t="s">
        <v>93</v>
      </c>
      <c r="H3517" s="52" t="s">
        <v>94</v>
      </c>
      <c r="I3517" s="52">
        <v>396.40000000000003</v>
      </c>
      <c r="J3517" s="49">
        <v>14877.639154788005</v>
      </c>
      <c r="K3517" s="58">
        <v>318.79999999999995</v>
      </c>
      <c r="L3517" s="58">
        <v>12457.349391195599</v>
      </c>
      <c r="M3517" s="58">
        <v>118.08</v>
      </c>
      <c r="N3517" s="58">
        <v>4613.6884708585412</v>
      </c>
      <c r="O3517" s="58">
        <v>436.87999999999994</v>
      </c>
      <c r="P3517" s="53">
        <v>17071.037862054141</v>
      </c>
      <c r="Q3517" s="65">
        <v>14877.639154788005</v>
      </c>
      <c r="R3517" s="65">
        <v>0</v>
      </c>
      <c r="S3517" s="65">
        <v>105.10216571970001</v>
      </c>
      <c r="T3517" s="65">
        <v>2193.3987072661366</v>
      </c>
      <c r="U3517" s="58">
        <v>0</v>
      </c>
      <c r="V3517" s="65">
        <v>0</v>
      </c>
      <c r="W3517" s="65">
        <v>0</v>
      </c>
      <c r="X3517" s="65">
        <v>10265</v>
      </c>
      <c r="Y3517" s="65">
        <v>4508</v>
      </c>
      <c r="Z3517" s="51">
        <v>0</v>
      </c>
      <c r="AA3517" s="51">
        <v>0</v>
      </c>
      <c r="AB3517" s="102">
        <v>0</v>
      </c>
      <c r="AC3517" s="81">
        <f t="shared" si="166"/>
        <v>227.89360481299886</v>
      </c>
      <c r="AD3517" s="82">
        <f t="shared" si="167"/>
        <v>56.628571428571433</v>
      </c>
      <c r="AE3517" s="218">
        <v>-0.14742921806651324</v>
      </c>
      <c r="AF3517">
        <v>8</v>
      </c>
      <c r="AH3517" t="str">
        <f t="shared" si="168"/>
        <v>MAHADAT PUR 2</v>
      </c>
      <c r="AJ3517" s="72">
        <v>0</v>
      </c>
      <c r="AK3517" s="72"/>
      <c r="AL3517" s="72"/>
      <c r="AM3517" s="72"/>
    </row>
    <row r="3518" spans="1:39" x14ac:dyDescent="0.25">
      <c r="A3518" s="37" t="s">
        <v>62</v>
      </c>
      <c r="B3518" s="66" t="s">
        <v>1644</v>
      </c>
      <c r="C3518" s="4">
        <v>1036</v>
      </c>
      <c r="D3518" s="41" t="s">
        <v>411</v>
      </c>
      <c r="E3518" s="41">
        <v>10480012</v>
      </c>
      <c r="F3518" s="85" t="s">
        <v>73</v>
      </c>
      <c r="G3518" s="39" t="s">
        <v>93</v>
      </c>
      <c r="H3518" s="52" t="s">
        <v>94</v>
      </c>
      <c r="I3518" s="52">
        <v>450.89999999999992</v>
      </c>
      <c r="J3518" s="49">
        <v>15986.497211832002</v>
      </c>
      <c r="K3518" s="58">
        <v>650.90000000000009</v>
      </c>
      <c r="L3518" s="58">
        <v>25271.779762949998</v>
      </c>
      <c r="M3518" s="58">
        <v>0</v>
      </c>
      <c r="N3518" s="58">
        <v>0</v>
      </c>
      <c r="O3518" s="58">
        <v>650.90000000000009</v>
      </c>
      <c r="P3518" s="53">
        <v>25271.779762949998</v>
      </c>
      <c r="Q3518" s="65">
        <v>15986.497211832002</v>
      </c>
      <c r="R3518" s="65">
        <v>0</v>
      </c>
      <c r="S3518" s="65">
        <v>0</v>
      </c>
      <c r="T3518" s="65">
        <v>9285.2825511179963</v>
      </c>
      <c r="U3518" s="58">
        <v>0</v>
      </c>
      <c r="V3518" s="65">
        <v>0</v>
      </c>
      <c r="W3518" s="65">
        <v>0</v>
      </c>
      <c r="X3518" s="65">
        <v>15986</v>
      </c>
      <c r="Y3518" s="65">
        <v>0</v>
      </c>
      <c r="Z3518" s="51">
        <v>0</v>
      </c>
      <c r="AA3518" s="51">
        <v>0</v>
      </c>
      <c r="AB3518" s="102">
        <v>0</v>
      </c>
      <c r="AC3518" s="81">
        <f t="shared" si="166"/>
        <v>176.63501687590841</v>
      </c>
      <c r="AD3518" s="82">
        <f t="shared" si="167"/>
        <v>64.414285714285697</v>
      </c>
      <c r="AE3518" s="218">
        <v>-0.58082032781050552</v>
      </c>
      <c r="AF3518">
        <v>8</v>
      </c>
      <c r="AH3518" t="str">
        <f t="shared" si="168"/>
        <v>MAHADAT PUR 2</v>
      </c>
      <c r="AJ3518" s="72">
        <v>0</v>
      </c>
      <c r="AK3518" s="72"/>
      <c r="AL3518" s="72"/>
      <c r="AM3518" s="72"/>
    </row>
    <row r="3519" spans="1:39" x14ac:dyDescent="0.25">
      <c r="A3519" s="37" t="s">
        <v>62</v>
      </c>
      <c r="B3519" s="66" t="s">
        <v>1644</v>
      </c>
      <c r="C3519" s="4">
        <v>1036</v>
      </c>
      <c r="D3519" s="41" t="s">
        <v>411</v>
      </c>
      <c r="E3519" s="41">
        <v>10480016</v>
      </c>
      <c r="F3519" s="85" t="s">
        <v>429</v>
      </c>
      <c r="G3519" s="39" t="s">
        <v>93</v>
      </c>
      <c r="H3519" s="52" t="s">
        <v>94</v>
      </c>
      <c r="I3519" s="52">
        <v>44.4</v>
      </c>
      <c r="J3519" s="49">
        <v>1471.7785156245</v>
      </c>
      <c r="K3519" s="58">
        <v>26</v>
      </c>
      <c r="L3519" s="58">
        <v>908.7164064000001</v>
      </c>
      <c r="M3519" s="58">
        <v>0</v>
      </c>
      <c r="N3519" s="58">
        <v>0</v>
      </c>
      <c r="O3519" s="58">
        <v>26</v>
      </c>
      <c r="P3519" s="53">
        <v>908.7164064000001</v>
      </c>
      <c r="Q3519" s="65">
        <v>908.7164064000001</v>
      </c>
      <c r="R3519" s="65">
        <v>0</v>
      </c>
      <c r="S3519" s="65">
        <v>0</v>
      </c>
      <c r="T3519" s="65">
        <v>0</v>
      </c>
      <c r="U3519" s="58">
        <v>0</v>
      </c>
      <c r="V3519" s="65">
        <v>500</v>
      </c>
      <c r="W3519" s="65">
        <v>0</v>
      </c>
      <c r="X3519" s="65">
        <v>409</v>
      </c>
      <c r="Y3519" s="65">
        <v>0</v>
      </c>
      <c r="Z3519" s="51">
        <v>0</v>
      </c>
      <c r="AA3519" s="51">
        <v>563</v>
      </c>
      <c r="AB3519" s="102">
        <v>0</v>
      </c>
      <c r="AC3519" s="81">
        <f t="shared" si="166"/>
        <v>434.63873641595603</v>
      </c>
      <c r="AD3519" s="82">
        <f t="shared" si="167"/>
        <v>6.3428571428571425</v>
      </c>
      <c r="AE3519" s="218">
        <v>0.38257258361023383</v>
      </c>
      <c r="AF3519">
        <v>1</v>
      </c>
      <c r="AH3519" t="str">
        <f t="shared" si="168"/>
        <v>MAHADAT PUR 2</v>
      </c>
      <c r="AJ3519" s="72">
        <v>500</v>
      </c>
      <c r="AK3519" s="72"/>
      <c r="AL3519" s="72"/>
      <c r="AM3519" s="72"/>
    </row>
    <row r="3520" spans="1:39" x14ac:dyDescent="0.25">
      <c r="A3520" s="37" t="s">
        <v>62</v>
      </c>
      <c r="B3520" s="66" t="s">
        <v>1644</v>
      </c>
      <c r="C3520" s="4">
        <v>1036</v>
      </c>
      <c r="D3520" s="41" t="s">
        <v>411</v>
      </c>
      <c r="E3520" s="41">
        <v>10480022</v>
      </c>
      <c r="F3520" s="85" t="s">
        <v>633</v>
      </c>
      <c r="G3520" s="39" t="s">
        <v>93</v>
      </c>
      <c r="H3520" s="52" t="s">
        <v>94</v>
      </c>
      <c r="I3520" s="52">
        <v>679.20000000000016</v>
      </c>
      <c r="J3520" s="49">
        <v>25376.443370017507</v>
      </c>
      <c r="K3520" s="58">
        <v>395.6</v>
      </c>
      <c r="L3520" s="58">
        <v>16721.730646349999</v>
      </c>
      <c r="M3520" s="58">
        <v>343.5</v>
      </c>
      <c r="N3520" s="58">
        <v>14500.929082500003</v>
      </c>
      <c r="O3520" s="58">
        <v>739.1</v>
      </c>
      <c r="P3520" s="53">
        <v>31222.659728850002</v>
      </c>
      <c r="Q3520" s="65">
        <v>25376.443370017507</v>
      </c>
      <c r="R3520" s="65">
        <v>0</v>
      </c>
      <c r="S3520" s="65">
        <v>59.149606500000012</v>
      </c>
      <c r="T3520" s="65">
        <v>5846.2163588324947</v>
      </c>
      <c r="U3520" s="58">
        <v>0</v>
      </c>
      <c r="V3520" s="65">
        <v>0</v>
      </c>
      <c r="W3520" s="65">
        <v>0</v>
      </c>
      <c r="X3520" s="65">
        <v>10875</v>
      </c>
      <c r="Y3520" s="65">
        <v>14442</v>
      </c>
      <c r="Z3520" s="51">
        <v>0</v>
      </c>
      <c r="AA3520" s="51">
        <v>0</v>
      </c>
      <c r="AB3520" s="102">
        <v>0</v>
      </c>
      <c r="AC3520" s="81">
        <f t="shared" si="166"/>
        <v>15.542697941588917</v>
      </c>
      <c r="AD3520" s="82">
        <f t="shared" si="167"/>
        <v>97.028571428571453</v>
      </c>
      <c r="AE3520" s="218">
        <v>-0.23037965855135756</v>
      </c>
      <c r="AF3520">
        <v>3</v>
      </c>
      <c r="AH3520" t="str">
        <f t="shared" si="168"/>
        <v>MAHADAT PUR 2</v>
      </c>
      <c r="AJ3520" s="72">
        <v>0</v>
      </c>
      <c r="AK3520" s="72"/>
      <c r="AL3520" s="72"/>
      <c r="AM3520" s="72"/>
    </row>
    <row r="3521" spans="1:39" x14ac:dyDescent="0.25">
      <c r="A3521" s="37" t="s">
        <v>62</v>
      </c>
      <c r="B3521" s="66" t="s">
        <v>1644</v>
      </c>
      <c r="C3521" s="4">
        <v>1036</v>
      </c>
      <c r="D3521" s="41" t="s">
        <v>411</v>
      </c>
      <c r="E3521" s="41">
        <v>10480023</v>
      </c>
      <c r="F3521" s="85" t="s">
        <v>634</v>
      </c>
      <c r="G3521" s="39" t="s">
        <v>93</v>
      </c>
      <c r="H3521" s="52" t="s">
        <v>94</v>
      </c>
      <c r="I3521" s="52">
        <v>1236.7</v>
      </c>
      <c r="J3521" s="49">
        <v>48589.083103037112</v>
      </c>
      <c r="K3521" s="58">
        <v>1203.9000000000001</v>
      </c>
      <c r="L3521" s="58">
        <v>47221.776376020003</v>
      </c>
      <c r="M3521" s="58">
        <v>33.6</v>
      </c>
      <c r="N3521" s="58">
        <v>1312.7938479899999</v>
      </c>
      <c r="O3521" s="58">
        <v>1237.5</v>
      </c>
      <c r="P3521" s="53">
        <v>48534.57022401</v>
      </c>
      <c r="Q3521" s="65">
        <v>48534.57022401</v>
      </c>
      <c r="R3521" s="65">
        <v>0</v>
      </c>
      <c r="S3521" s="65">
        <v>1312.7938479899999</v>
      </c>
      <c r="T3521" s="65">
        <v>0</v>
      </c>
      <c r="U3521" s="58">
        <v>0</v>
      </c>
      <c r="V3521" s="65">
        <v>0</v>
      </c>
      <c r="W3521" s="65">
        <v>0</v>
      </c>
      <c r="X3521" s="65">
        <v>47222</v>
      </c>
      <c r="Y3521" s="65">
        <v>0</v>
      </c>
      <c r="Z3521" s="51">
        <v>0</v>
      </c>
      <c r="AA3521" s="51">
        <v>54</v>
      </c>
      <c r="AB3521" s="102">
        <v>0</v>
      </c>
      <c r="AC3521" s="81">
        <f t="shared" ref="AC3521:AC3584" si="169">((IF(AD3521=0,0,100-AD3521))*7*(J3521/I3521))*2%</f>
        <v>0</v>
      </c>
      <c r="AD3521" s="82">
        <f t="shared" ref="AD3521:AD3584" si="170">IF((I3521/7)&gt;100,0,(I3521/7))</f>
        <v>0</v>
      </c>
      <c r="AE3521" s="218">
        <v>1.1219161907524149E-3</v>
      </c>
      <c r="AF3521">
        <v>5</v>
      </c>
      <c r="AH3521" t="str">
        <f t="shared" si="168"/>
        <v>MAHADAT PUR 2</v>
      </c>
      <c r="AJ3521" s="72">
        <v>0</v>
      </c>
      <c r="AK3521" s="72"/>
      <c r="AL3521" s="72"/>
      <c r="AM3521" s="72"/>
    </row>
    <row r="3522" spans="1:39" x14ac:dyDescent="0.25">
      <c r="A3522" s="37" t="s">
        <v>62</v>
      </c>
      <c r="B3522" s="66" t="s">
        <v>1644</v>
      </c>
      <c r="C3522" s="4">
        <v>1036</v>
      </c>
      <c r="D3522" s="41" t="s">
        <v>411</v>
      </c>
      <c r="E3522" s="41">
        <v>10480028</v>
      </c>
      <c r="F3522" s="85" t="s">
        <v>541</v>
      </c>
      <c r="G3522" s="39" t="s">
        <v>635</v>
      </c>
      <c r="H3522" s="52" t="s">
        <v>99</v>
      </c>
      <c r="I3522" s="52">
        <v>507.90000000000003</v>
      </c>
      <c r="J3522" s="49">
        <v>17248.377726253504</v>
      </c>
      <c r="K3522" s="58">
        <v>0</v>
      </c>
      <c r="L3522" s="58">
        <v>0</v>
      </c>
      <c r="M3522" s="58">
        <v>0</v>
      </c>
      <c r="N3522" s="58">
        <v>0</v>
      </c>
      <c r="O3522" s="58">
        <v>0</v>
      </c>
      <c r="P3522" s="53">
        <v>0</v>
      </c>
      <c r="Q3522" s="65">
        <v>17248.377726253504</v>
      </c>
      <c r="R3522" s="65">
        <v>0</v>
      </c>
      <c r="S3522" s="65">
        <v>0</v>
      </c>
      <c r="T3522" s="65">
        <v>0</v>
      </c>
      <c r="U3522" s="58">
        <v>0</v>
      </c>
      <c r="V3522" s="65">
        <v>0</v>
      </c>
      <c r="W3522" s="65">
        <v>0</v>
      </c>
      <c r="X3522" s="65">
        <v>0</v>
      </c>
      <c r="Y3522" s="65">
        <v>0</v>
      </c>
      <c r="Z3522" s="51">
        <v>17248.377726253504</v>
      </c>
      <c r="AA3522" s="51">
        <v>0</v>
      </c>
      <c r="AB3522" s="102">
        <v>0</v>
      </c>
      <c r="AC3522" s="81">
        <f t="shared" si="169"/>
        <v>130.47502899048229</v>
      </c>
      <c r="AD3522" s="82">
        <f t="shared" si="170"/>
        <v>72.557142857142864</v>
      </c>
      <c r="AE3522" s="218">
        <v>0</v>
      </c>
      <c r="AF3522">
        <v>0</v>
      </c>
      <c r="AH3522" t="str">
        <f t="shared" si="168"/>
        <v>MAHADAT PUR 2</v>
      </c>
      <c r="AJ3522" s="72">
        <v>0</v>
      </c>
      <c r="AK3522" s="72"/>
      <c r="AL3522" s="72"/>
      <c r="AM3522" s="72"/>
    </row>
    <row r="3523" spans="1:39" x14ac:dyDescent="0.25">
      <c r="A3523" s="37" t="s">
        <v>62</v>
      </c>
      <c r="B3523" s="66" t="s">
        <v>1644</v>
      </c>
      <c r="C3523" s="4">
        <v>1036</v>
      </c>
      <c r="D3523" s="41" t="s">
        <v>411</v>
      </c>
      <c r="E3523" s="41">
        <v>10480029</v>
      </c>
      <c r="F3523" s="85" t="s">
        <v>1639</v>
      </c>
      <c r="G3523" s="39" t="s">
        <v>635</v>
      </c>
      <c r="H3523" s="52" t="s">
        <v>99</v>
      </c>
      <c r="I3523" s="52">
        <v>37.700000000000003</v>
      </c>
      <c r="J3523" s="49">
        <v>1358.5975088400003</v>
      </c>
      <c r="K3523" s="58">
        <v>0</v>
      </c>
      <c r="L3523" s="58">
        <v>0</v>
      </c>
      <c r="M3523" s="58">
        <v>0</v>
      </c>
      <c r="N3523" s="58">
        <v>0</v>
      </c>
      <c r="O3523" s="58">
        <v>0</v>
      </c>
      <c r="P3523" s="53">
        <v>0</v>
      </c>
      <c r="Q3523" s="65">
        <v>1358.5975088400003</v>
      </c>
      <c r="R3523" s="65">
        <v>0</v>
      </c>
      <c r="S3523" s="65">
        <v>0</v>
      </c>
      <c r="T3523" s="65">
        <v>0</v>
      </c>
      <c r="U3523" s="58">
        <v>0</v>
      </c>
      <c r="V3523" s="65">
        <v>0</v>
      </c>
      <c r="W3523" s="65">
        <v>0</v>
      </c>
      <c r="X3523" s="65">
        <v>0</v>
      </c>
      <c r="Y3523" s="65">
        <v>0</v>
      </c>
      <c r="Z3523" s="51">
        <v>1358.5975088400003</v>
      </c>
      <c r="AA3523" s="51">
        <v>0</v>
      </c>
      <c r="AB3523" s="102">
        <v>0</v>
      </c>
      <c r="AC3523" s="81">
        <f t="shared" si="169"/>
        <v>477.34701862320009</v>
      </c>
      <c r="AD3523" s="82">
        <f t="shared" si="170"/>
        <v>5.3857142857142861</v>
      </c>
      <c r="AE3523" s="218">
        <v>0</v>
      </c>
      <c r="AF3523">
        <v>0</v>
      </c>
      <c r="AH3523" t="str">
        <f t="shared" si="168"/>
        <v>MAHADAT PUR 2</v>
      </c>
      <c r="AJ3523" s="72">
        <v>0</v>
      </c>
      <c r="AK3523" s="72"/>
      <c r="AL3523" s="72"/>
      <c r="AM3523" s="72"/>
    </row>
    <row r="3524" spans="1:39" x14ac:dyDescent="0.25">
      <c r="A3524" s="37" t="s">
        <v>62</v>
      </c>
      <c r="B3524" s="66" t="s">
        <v>1644</v>
      </c>
      <c r="C3524" s="4">
        <v>1036</v>
      </c>
      <c r="D3524" s="41" t="s">
        <v>411</v>
      </c>
      <c r="E3524" s="41">
        <v>10480033</v>
      </c>
      <c r="F3524" s="85" t="s">
        <v>1253</v>
      </c>
      <c r="G3524" s="39" t="s">
        <v>635</v>
      </c>
      <c r="H3524" s="52" t="s">
        <v>99</v>
      </c>
      <c r="I3524" s="52">
        <v>282.89999999999998</v>
      </c>
      <c r="J3524" s="49">
        <v>10791.8697769755</v>
      </c>
      <c r="K3524" s="58">
        <v>0</v>
      </c>
      <c r="L3524" s="58">
        <v>0</v>
      </c>
      <c r="M3524" s="58">
        <v>0</v>
      </c>
      <c r="N3524" s="58">
        <v>0</v>
      </c>
      <c r="O3524" s="58">
        <v>0</v>
      </c>
      <c r="P3524" s="53">
        <v>0</v>
      </c>
      <c r="Q3524" s="65">
        <v>10791.8697769755</v>
      </c>
      <c r="R3524" s="65">
        <v>0</v>
      </c>
      <c r="S3524" s="65">
        <v>0</v>
      </c>
      <c r="T3524" s="65">
        <v>0</v>
      </c>
      <c r="U3524" s="58">
        <v>0</v>
      </c>
      <c r="V3524" s="65">
        <v>0</v>
      </c>
      <c r="W3524" s="65">
        <v>0</v>
      </c>
      <c r="X3524" s="65">
        <v>0</v>
      </c>
      <c r="Y3524" s="65">
        <v>0</v>
      </c>
      <c r="Z3524" s="51">
        <v>10791.8697769755</v>
      </c>
      <c r="AA3524" s="51">
        <v>0</v>
      </c>
      <c r="AB3524" s="102">
        <v>0</v>
      </c>
      <c r="AC3524" s="81">
        <f t="shared" si="169"/>
        <v>318.22473552325783</v>
      </c>
      <c r="AD3524" s="82">
        <f t="shared" si="170"/>
        <v>40.414285714285711</v>
      </c>
      <c r="AE3524" s="218">
        <v>0</v>
      </c>
      <c r="AF3524">
        <v>0</v>
      </c>
      <c r="AH3524" t="str">
        <f t="shared" si="168"/>
        <v>MAHADAT PUR 2</v>
      </c>
      <c r="AJ3524" s="72">
        <v>0</v>
      </c>
      <c r="AK3524" s="72"/>
      <c r="AL3524" s="72"/>
      <c r="AM3524" s="72"/>
    </row>
    <row r="3525" spans="1:39" x14ac:dyDescent="0.25">
      <c r="A3525" s="37" t="s">
        <v>62</v>
      </c>
      <c r="B3525" s="66" t="s">
        <v>1644</v>
      </c>
      <c r="C3525" s="4">
        <v>1036</v>
      </c>
      <c r="D3525" s="41" t="s">
        <v>411</v>
      </c>
      <c r="E3525" s="41">
        <v>10480034</v>
      </c>
      <c r="F3525" s="85" t="s">
        <v>1159</v>
      </c>
      <c r="G3525" s="39" t="s">
        <v>635</v>
      </c>
      <c r="H3525" s="52" t="s">
        <v>99</v>
      </c>
      <c r="I3525" s="52">
        <v>276.40000000000003</v>
      </c>
      <c r="J3525" s="49">
        <v>10468.493728069499</v>
      </c>
      <c r="K3525" s="58">
        <v>0</v>
      </c>
      <c r="L3525" s="58">
        <v>0</v>
      </c>
      <c r="M3525" s="58">
        <v>0</v>
      </c>
      <c r="N3525" s="58">
        <v>0</v>
      </c>
      <c r="O3525" s="58">
        <v>0</v>
      </c>
      <c r="P3525" s="53">
        <v>0</v>
      </c>
      <c r="Q3525" s="65">
        <v>10468.493728069499</v>
      </c>
      <c r="R3525" s="65">
        <v>0</v>
      </c>
      <c r="S3525" s="65">
        <v>0</v>
      </c>
      <c r="T3525" s="65">
        <v>0</v>
      </c>
      <c r="U3525" s="58">
        <v>0</v>
      </c>
      <c r="V3525" s="65">
        <v>0</v>
      </c>
      <c r="W3525" s="65">
        <v>0</v>
      </c>
      <c r="X3525" s="65">
        <v>0</v>
      </c>
      <c r="Y3525" s="65">
        <v>0</v>
      </c>
      <c r="Z3525" s="51">
        <v>10468.493728069499</v>
      </c>
      <c r="AA3525" s="51">
        <v>0</v>
      </c>
      <c r="AB3525" s="102">
        <v>0</v>
      </c>
      <c r="AC3525" s="81">
        <f t="shared" si="169"/>
        <v>320.87221007309978</v>
      </c>
      <c r="AD3525" s="82">
        <f t="shared" si="170"/>
        <v>39.485714285714288</v>
      </c>
      <c r="AE3525" s="218">
        <v>0</v>
      </c>
      <c r="AF3525">
        <v>0</v>
      </c>
      <c r="AH3525" t="str">
        <f t="shared" si="168"/>
        <v>MAHADAT PUR 2</v>
      </c>
      <c r="AJ3525" s="72">
        <v>0</v>
      </c>
      <c r="AK3525" s="72"/>
      <c r="AL3525" s="72"/>
      <c r="AM3525" s="72"/>
    </row>
    <row r="3526" spans="1:39" x14ac:dyDescent="0.25">
      <c r="A3526" s="37" t="s">
        <v>62</v>
      </c>
      <c r="B3526" s="66" t="s">
        <v>1644</v>
      </c>
      <c r="C3526" s="4">
        <v>1036</v>
      </c>
      <c r="D3526" s="41" t="s">
        <v>411</v>
      </c>
      <c r="E3526" s="41">
        <v>10480036</v>
      </c>
      <c r="F3526" s="85" t="s">
        <v>1329</v>
      </c>
      <c r="G3526" s="39" t="s">
        <v>635</v>
      </c>
      <c r="H3526" s="52" t="s">
        <v>99</v>
      </c>
      <c r="I3526" s="52">
        <v>168.1</v>
      </c>
      <c r="J3526" s="49">
        <v>5756.5162996725012</v>
      </c>
      <c r="K3526" s="58">
        <v>0</v>
      </c>
      <c r="L3526" s="58">
        <v>0</v>
      </c>
      <c r="M3526" s="58">
        <v>0</v>
      </c>
      <c r="N3526" s="58">
        <v>0</v>
      </c>
      <c r="O3526" s="58">
        <v>0</v>
      </c>
      <c r="P3526" s="53">
        <v>0</v>
      </c>
      <c r="Q3526" s="65">
        <v>5756.5162996725012</v>
      </c>
      <c r="R3526" s="65">
        <v>0</v>
      </c>
      <c r="S3526" s="65">
        <v>0</v>
      </c>
      <c r="T3526" s="65">
        <v>0</v>
      </c>
      <c r="U3526" s="58">
        <v>0</v>
      </c>
      <c r="V3526" s="65">
        <v>0</v>
      </c>
      <c r="W3526" s="65">
        <v>0</v>
      </c>
      <c r="X3526" s="65">
        <v>0</v>
      </c>
      <c r="Y3526" s="65">
        <v>0</v>
      </c>
      <c r="Z3526" s="51">
        <v>5756.5162996725012</v>
      </c>
      <c r="AA3526" s="51">
        <v>0</v>
      </c>
      <c r="AB3526" s="102">
        <v>0</v>
      </c>
      <c r="AC3526" s="81">
        <f t="shared" si="169"/>
        <v>364.29399402686539</v>
      </c>
      <c r="AD3526" s="82">
        <f t="shared" si="170"/>
        <v>24.014285714285712</v>
      </c>
      <c r="AE3526" s="218">
        <v>0</v>
      </c>
      <c r="AF3526">
        <v>0</v>
      </c>
      <c r="AH3526" t="str">
        <f t="shared" si="168"/>
        <v>MAHADAT PUR 2</v>
      </c>
      <c r="AJ3526" s="72">
        <v>0</v>
      </c>
      <c r="AK3526" s="72"/>
      <c r="AL3526" s="72"/>
      <c r="AM3526" s="72"/>
    </row>
    <row r="3527" spans="1:39" x14ac:dyDescent="0.25">
      <c r="A3527" s="37" t="s">
        <v>62</v>
      </c>
      <c r="B3527" s="66" t="s">
        <v>1644</v>
      </c>
      <c r="C3527" s="4">
        <v>1003</v>
      </c>
      <c r="D3527" s="41" t="s">
        <v>139</v>
      </c>
      <c r="E3527" s="41">
        <v>10500001</v>
      </c>
      <c r="F3527" s="85" t="s">
        <v>420</v>
      </c>
      <c r="G3527" s="39" t="s">
        <v>285</v>
      </c>
      <c r="H3527" s="52" t="s">
        <v>94</v>
      </c>
      <c r="I3527" s="52">
        <v>886</v>
      </c>
      <c r="J3527" s="49">
        <v>30789.485232000006</v>
      </c>
      <c r="K3527" s="58">
        <v>905.99999999999989</v>
      </c>
      <c r="L3527" s="58">
        <v>30653.555078400004</v>
      </c>
      <c r="M3527" s="58">
        <v>12.400000000000002</v>
      </c>
      <c r="N3527" s="58">
        <v>420.02896320000008</v>
      </c>
      <c r="O3527" s="58">
        <v>918.39999999999986</v>
      </c>
      <c r="P3527" s="53">
        <v>31073.584041600003</v>
      </c>
      <c r="Q3527" s="65">
        <v>30789.485232000006</v>
      </c>
      <c r="R3527" s="65">
        <v>0</v>
      </c>
      <c r="S3527" s="65">
        <v>420.02896320000008</v>
      </c>
      <c r="T3527" s="65">
        <v>284.09880959999646</v>
      </c>
      <c r="U3527" s="58">
        <v>0</v>
      </c>
      <c r="V3527" s="65">
        <v>0</v>
      </c>
      <c r="W3527" s="65">
        <v>0</v>
      </c>
      <c r="X3527" s="65">
        <v>30369</v>
      </c>
      <c r="Y3527" s="65">
        <v>0</v>
      </c>
      <c r="Z3527" s="51">
        <v>0</v>
      </c>
      <c r="AA3527" s="51">
        <v>0</v>
      </c>
      <c r="AB3527" s="102">
        <v>0</v>
      </c>
      <c r="AC3527" s="81">
        <f t="shared" si="169"/>
        <v>0</v>
      </c>
      <c r="AD3527" s="82">
        <f t="shared" si="170"/>
        <v>0</v>
      </c>
      <c r="AE3527" s="218">
        <v>-9.2271373639182513E-3</v>
      </c>
      <c r="AF3527">
        <v>10</v>
      </c>
      <c r="AH3527" t="str">
        <f t="shared" si="168"/>
        <v>Asarganj</v>
      </c>
      <c r="AJ3527" s="72">
        <v>0</v>
      </c>
      <c r="AK3527" s="72"/>
      <c r="AL3527" s="72"/>
      <c r="AM3527" s="72"/>
    </row>
    <row r="3528" spans="1:39" x14ac:dyDescent="0.25">
      <c r="A3528" s="37" t="s">
        <v>62</v>
      </c>
      <c r="B3528" s="66" t="s">
        <v>1644</v>
      </c>
      <c r="C3528" s="4">
        <v>1014</v>
      </c>
      <c r="D3528" s="41" t="s">
        <v>376</v>
      </c>
      <c r="E3528" s="41">
        <v>10510001</v>
      </c>
      <c r="F3528" s="85" t="s">
        <v>421</v>
      </c>
      <c r="G3528" s="39" t="s">
        <v>93</v>
      </c>
      <c r="H3528" s="52" t="s">
        <v>94</v>
      </c>
      <c r="I3528" s="52">
        <v>1890.1999999999998</v>
      </c>
      <c r="J3528" s="49">
        <v>70837.120733970005</v>
      </c>
      <c r="K3528" s="58">
        <v>1858.1999999999994</v>
      </c>
      <c r="L3528" s="58">
        <v>70221.234545459563</v>
      </c>
      <c r="M3528" s="58">
        <v>22.099999999999998</v>
      </c>
      <c r="N3528" s="58">
        <v>949.95814571936012</v>
      </c>
      <c r="O3528" s="58">
        <v>1880.2999999999993</v>
      </c>
      <c r="P3528" s="53">
        <v>71171.19269117892</v>
      </c>
      <c r="Q3528" s="65">
        <v>70837.120733970005</v>
      </c>
      <c r="R3528" s="65">
        <v>0</v>
      </c>
      <c r="S3528" s="65">
        <v>949.95814571936012</v>
      </c>
      <c r="T3528" s="65">
        <v>334.07195720891468</v>
      </c>
      <c r="U3528" s="58">
        <v>0</v>
      </c>
      <c r="V3528" s="65">
        <v>0</v>
      </c>
      <c r="W3528" s="65">
        <v>0</v>
      </c>
      <c r="X3528" s="65">
        <v>69887</v>
      </c>
      <c r="Y3528" s="65">
        <v>0</v>
      </c>
      <c r="Z3528" s="51">
        <v>0</v>
      </c>
      <c r="AA3528" s="51">
        <v>0</v>
      </c>
      <c r="AB3528" s="102">
        <v>0</v>
      </c>
      <c r="AC3528" s="81">
        <f t="shared" si="169"/>
        <v>0</v>
      </c>
      <c r="AD3528" s="82">
        <f t="shared" si="170"/>
        <v>0</v>
      </c>
      <c r="AE3528" s="218">
        <v>-4.7160578203556229E-3</v>
      </c>
      <c r="AF3528">
        <v>39</v>
      </c>
      <c r="AH3528" t="str">
        <f t="shared" si="168"/>
        <v>Dumraon</v>
      </c>
      <c r="AJ3528" s="72">
        <v>0</v>
      </c>
      <c r="AK3528" s="72"/>
      <c r="AL3528" s="72"/>
      <c r="AM3528" s="72"/>
    </row>
    <row r="3529" spans="1:39" x14ac:dyDescent="0.25">
      <c r="A3529" s="37" t="s">
        <v>62</v>
      </c>
      <c r="B3529" s="66" t="s">
        <v>1644</v>
      </c>
      <c r="C3529" s="4">
        <v>1014</v>
      </c>
      <c r="D3529" s="41" t="s">
        <v>376</v>
      </c>
      <c r="E3529" s="41">
        <v>10510002</v>
      </c>
      <c r="F3529" s="85" t="s">
        <v>422</v>
      </c>
      <c r="G3529" s="39" t="s">
        <v>93</v>
      </c>
      <c r="H3529" s="52" t="s">
        <v>94</v>
      </c>
      <c r="I3529" s="52">
        <v>1325.7</v>
      </c>
      <c r="J3529" s="49">
        <v>54326.12795934001</v>
      </c>
      <c r="K3529" s="58">
        <v>1315.24</v>
      </c>
      <c r="L3529" s="58">
        <v>54626.326011385936</v>
      </c>
      <c r="M3529" s="58">
        <v>6.2000000000000011</v>
      </c>
      <c r="N3529" s="58">
        <v>256.49686348800003</v>
      </c>
      <c r="O3529" s="58">
        <v>1321.44</v>
      </c>
      <c r="P3529" s="53">
        <v>54882.822874873935</v>
      </c>
      <c r="Q3529" s="65">
        <v>54326.12795934001</v>
      </c>
      <c r="R3529" s="65">
        <v>0</v>
      </c>
      <c r="S3529" s="65">
        <v>256.49686348800003</v>
      </c>
      <c r="T3529" s="65">
        <v>556.69491553392436</v>
      </c>
      <c r="U3529" s="58">
        <v>5120</v>
      </c>
      <c r="V3529" s="65">
        <v>0</v>
      </c>
      <c r="W3529" s="65">
        <v>0</v>
      </c>
      <c r="X3529" s="65">
        <v>48950</v>
      </c>
      <c r="Y3529" s="65">
        <v>0</v>
      </c>
      <c r="Z3529" s="51">
        <v>0</v>
      </c>
      <c r="AA3529" s="51">
        <v>0</v>
      </c>
      <c r="AB3529" s="102">
        <v>0</v>
      </c>
      <c r="AC3529" s="81">
        <f t="shared" si="169"/>
        <v>0</v>
      </c>
      <c r="AD3529" s="82">
        <f t="shared" si="170"/>
        <v>0</v>
      </c>
      <c r="AE3529" s="218">
        <v>-1.0247277625796901E-2</v>
      </c>
      <c r="AF3529">
        <v>8</v>
      </c>
      <c r="AH3529" t="str">
        <f t="shared" si="168"/>
        <v>Dumraon</v>
      </c>
      <c r="AJ3529" s="72">
        <v>0</v>
      </c>
      <c r="AK3529" s="72"/>
      <c r="AL3529" s="72"/>
      <c r="AM3529" s="72"/>
    </row>
    <row r="3530" spans="1:39" x14ac:dyDescent="0.25">
      <c r="A3530" s="37" t="s">
        <v>62</v>
      </c>
      <c r="B3530" s="66" t="s">
        <v>1644</v>
      </c>
      <c r="C3530" s="4">
        <v>1014</v>
      </c>
      <c r="D3530" s="41" t="s">
        <v>376</v>
      </c>
      <c r="E3530" s="41">
        <v>10510004</v>
      </c>
      <c r="F3530" s="85" t="s">
        <v>423</v>
      </c>
      <c r="G3530" s="39" t="s">
        <v>93</v>
      </c>
      <c r="H3530" s="52" t="s">
        <v>94</v>
      </c>
      <c r="I3530" s="52">
        <v>2183.6999999999998</v>
      </c>
      <c r="J3530" s="49">
        <v>82655.631890310004</v>
      </c>
      <c r="K3530" s="58">
        <v>2390.1999999999998</v>
      </c>
      <c r="L3530" s="58">
        <v>100545.35912718436</v>
      </c>
      <c r="M3530" s="58">
        <v>24.400000000000002</v>
      </c>
      <c r="N3530" s="58">
        <v>1284.57680006184</v>
      </c>
      <c r="O3530" s="58">
        <v>2414.6</v>
      </c>
      <c r="P3530" s="53">
        <v>101829.9359272462</v>
      </c>
      <c r="Q3530" s="65">
        <v>82655.631890310004</v>
      </c>
      <c r="R3530" s="65">
        <v>0</v>
      </c>
      <c r="S3530" s="65">
        <v>1284.57680006184</v>
      </c>
      <c r="T3530" s="65">
        <v>19174.304036936199</v>
      </c>
      <c r="U3530" s="58">
        <v>0</v>
      </c>
      <c r="V3530" s="65">
        <v>0</v>
      </c>
      <c r="W3530" s="65">
        <v>0</v>
      </c>
      <c r="X3530" s="65">
        <v>81371</v>
      </c>
      <c r="Y3530" s="65">
        <v>0</v>
      </c>
      <c r="Z3530" s="51">
        <v>0</v>
      </c>
      <c r="AA3530" s="51">
        <v>0</v>
      </c>
      <c r="AB3530" s="102">
        <v>0</v>
      </c>
      <c r="AC3530" s="81">
        <f t="shared" si="169"/>
        <v>0</v>
      </c>
      <c r="AD3530" s="82">
        <f t="shared" si="170"/>
        <v>0</v>
      </c>
      <c r="AE3530" s="218">
        <v>-0.2319781919081072</v>
      </c>
      <c r="AF3530">
        <v>5</v>
      </c>
      <c r="AH3530" t="str">
        <f t="shared" si="168"/>
        <v>Dumraon</v>
      </c>
      <c r="AJ3530" s="72">
        <v>0</v>
      </c>
      <c r="AK3530" s="72"/>
      <c r="AL3530" s="72"/>
      <c r="AM3530" s="72"/>
    </row>
    <row r="3531" spans="1:39" x14ac:dyDescent="0.25">
      <c r="A3531" s="37" t="s">
        <v>62</v>
      </c>
      <c r="B3531" s="66" t="s">
        <v>1644</v>
      </c>
      <c r="C3531" s="4">
        <v>1012</v>
      </c>
      <c r="D3531" s="41" t="s">
        <v>314</v>
      </c>
      <c r="E3531" s="41">
        <v>10520006</v>
      </c>
      <c r="F3531" s="85" t="s">
        <v>1179</v>
      </c>
      <c r="G3531" s="39" t="s">
        <v>635</v>
      </c>
      <c r="H3531" s="52" t="s">
        <v>99</v>
      </c>
      <c r="I3531" s="52">
        <v>40346</v>
      </c>
      <c r="J3531" s="49">
        <v>1496370.9133680002</v>
      </c>
      <c r="K3531" s="58">
        <v>0</v>
      </c>
      <c r="L3531" s="58">
        <v>0</v>
      </c>
      <c r="M3531" s="58">
        <v>0</v>
      </c>
      <c r="N3531" s="58">
        <v>0</v>
      </c>
      <c r="O3531" s="58">
        <v>0</v>
      </c>
      <c r="P3531" s="53">
        <v>0</v>
      </c>
      <c r="Q3531" s="65">
        <v>1496370.9133680002</v>
      </c>
      <c r="R3531" s="65">
        <v>0</v>
      </c>
      <c r="S3531" s="65">
        <v>0</v>
      </c>
      <c r="T3531" s="65">
        <v>0</v>
      </c>
      <c r="U3531" s="58">
        <v>0</v>
      </c>
      <c r="V3531" s="65">
        <v>0</v>
      </c>
      <c r="W3531" s="65">
        <v>0</v>
      </c>
      <c r="X3531" s="65">
        <v>0</v>
      </c>
      <c r="Y3531" s="65">
        <v>0</v>
      </c>
      <c r="Z3531" s="51">
        <v>1496370.9133680002</v>
      </c>
      <c r="AA3531" s="51">
        <v>0</v>
      </c>
      <c r="AB3531" s="102">
        <v>0</v>
      </c>
      <c r="AC3531" s="81">
        <f t="shared" si="169"/>
        <v>0</v>
      </c>
      <c r="AD3531" s="82">
        <f t="shared" si="170"/>
        <v>0</v>
      </c>
      <c r="AE3531" s="218">
        <v>0</v>
      </c>
      <c r="AF3531">
        <v>0</v>
      </c>
      <c r="AH3531" t="str">
        <f t="shared" si="168"/>
        <v>DalsinghSarai</v>
      </c>
      <c r="AJ3531" s="72">
        <v>0</v>
      </c>
      <c r="AK3531" s="72"/>
      <c r="AL3531" s="72"/>
      <c r="AM3531" s="72"/>
    </row>
    <row r="3532" spans="1:39" x14ac:dyDescent="0.25">
      <c r="A3532" s="37" t="s">
        <v>62</v>
      </c>
      <c r="B3532" s="66" t="s">
        <v>1644</v>
      </c>
      <c r="C3532" s="4">
        <v>1012</v>
      </c>
      <c r="D3532" s="41" t="s">
        <v>314</v>
      </c>
      <c r="E3532" s="41">
        <v>10520007</v>
      </c>
      <c r="F3532" s="85" t="s">
        <v>1589</v>
      </c>
      <c r="G3532" s="39" t="s">
        <v>635</v>
      </c>
      <c r="H3532" s="52" t="s">
        <v>99</v>
      </c>
      <c r="I3532" s="52">
        <v>679</v>
      </c>
      <c r="J3532" s="49">
        <v>25903.235912400003</v>
      </c>
      <c r="K3532" s="58">
        <v>0</v>
      </c>
      <c r="L3532" s="58">
        <v>0</v>
      </c>
      <c r="M3532" s="58">
        <v>0</v>
      </c>
      <c r="N3532" s="58">
        <v>0</v>
      </c>
      <c r="O3532" s="58">
        <v>0</v>
      </c>
      <c r="P3532" s="53">
        <v>0</v>
      </c>
      <c r="Q3532" s="65">
        <v>25903.235912400003</v>
      </c>
      <c r="R3532" s="65">
        <v>0</v>
      </c>
      <c r="S3532" s="65">
        <v>0</v>
      </c>
      <c r="T3532" s="65">
        <v>0</v>
      </c>
      <c r="U3532" s="58">
        <v>0</v>
      </c>
      <c r="V3532" s="65">
        <v>0</v>
      </c>
      <c r="W3532" s="65">
        <v>0</v>
      </c>
      <c r="X3532" s="65">
        <v>0</v>
      </c>
      <c r="Y3532" s="65">
        <v>0</v>
      </c>
      <c r="Z3532" s="51">
        <v>25903.235912400003</v>
      </c>
      <c r="AA3532" s="51">
        <v>0</v>
      </c>
      <c r="AB3532" s="102">
        <v>0</v>
      </c>
      <c r="AC3532" s="81">
        <f t="shared" si="169"/>
        <v>16.022620152000002</v>
      </c>
      <c r="AD3532" s="82">
        <f t="shared" si="170"/>
        <v>97</v>
      </c>
      <c r="AE3532" s="218">
        <v>0</v>
      </c>
      <c r="AF3532">
        <v>0</v>
      </c>
      <c r="AH3532" t="str">
        <f t="shared" si="168"/>
        <v>DalsinghSarai</v>
      </c>
      <c r="AJ3532" s="72">
        <v>0</v>
      </c>
      <c r="AK3532" s="72"/>
      <c r="AL3532" s="72"/>
      <c r="AM3532" s="72"/>
    </row>
    <row r="3533" spans="1:39" x14ac:dyDescent="0.25">
      <c r="A3533" s="37" t="s">
        <v>62</v>
      </c>
      <c r="B3533" s="66" t="s">
        <v>1644</v>
      </c>
      <c r="C3533" s="4">
        <v>1053</v>
      </c>
      <c r="D3533" s="41" t="s">
        <v>542</v>
      </c>
      <c r="E3533" s="41">
        <v>10520010</v>
      </c>
      <c r="F3533" s="85" t="s">
        <v>1330</v>
      </c>
      <c r="G3533" s="39" t="s">
        <v>635</v>
      </c>
      <c r="H3533" s="52" t="s">
        <v>99</v>
      </c>
      <c r="I3533" s="52">
        <v>3598</v>
      </c>
      <c r="J3533" s="49">
        <v>146460.17762969999</v>
      </c>
      <c r="K3533" s="58">
        <v>0</v>
      </c>
      <c r="L3533" s="58">
        <v>0</v>
      </c>
      <c r="M3533" s="58">
        <v>0</v>
      </c>
      <c r="N3533" s="58">
        <v>0</v>
      </c>
      <c r="O3533" s="58">
        <v>0</v>
      </c>
      <c r="P3533" s="53">
        <v>0</v>
      </c>
      <c r="Q3533" s="65">
        <v>146460.17762969999</v>
      </c>
      <c r="R3533" s="65">
        <v>0</v>
      </c>
      <c r="S3533" s="65">
        <v>0</v>
      </c>
      <c r="T3533" s="65">
        <v>0</v>
      </c>
      <c r="U3533" s="58">
        <v>0</v>
      </c>
      <c r="V3533" s="65">
        <v>0</v>
      </c>
      <c r="W3533" s="65">
        <v>0</v>
      </c>
      <c r="X3533" s="65">
        <v>0</v>
      </c>
      <c r="Y3533" s="65">
        <v>0</v>
      </c>
      <c r="Z3533" s="51">
        <v>146460.17762969999</v>
      </c>
      <c r="AA3533" s="51">
        <v>0</v>
      </c>
      <c r="AB3533" s="102">
        <v>0</v>
      </c>
      <c r="AC3533" s="81">
        <f t="shared" si="169"/>
        <v>0</v>
      </c>
      <c r="AD3533" s="82">
        <f t="shared" si="170"/>
        <v>0</v>
      </c>
      <c r="AE3533" s="218">
        <v>0</v>
      </c>
      <c r="AF3533">
        <v>0</v>
      </c>
      <c r="AH3533" t="str">
        <f t="shared" si="168"/>
        <v>Kalyanpur</v>
      </c>
      <c r="AJ3533" s="72">
        <v>0</v>
      </c>
      <c r="AK3533" s="72"/>
      <c r="AL3533" s="72"/>
      <c r="AM3533" s="72"/>
    </row>
    <row r="3534" spans="1:39" x14ac:dyDescent="0.25">
      <c r="A3534" s="37" t="s">
        <v>62</v>
      </c>
      <c r="B3534" s="66" t="s">
        <v>1644</v>
      </c>
      <c r="C3534" s="4">
        <v>1010</v>
      </c>
      <c r="D3534" s="41" t="s">
        <v>1359</v>
      </c>
      <c r="E3534" s="41">
        <v>10520011</v>
      </c>
      <c r="F3534" s="85" t="s">
        <v>1546</v>
      </c>
      <c r="G3534" s="39" t="s">
        <v>635</v>
      </c>
      <c r="H3534" s="52" t="s">
        <v>99</v>
      </c>
      <c r="I3534" s="52">
        <v>19590</v>
      </c>
      <c r="J3534" s="49">
        <v>641993.63494860008</v>
      </c>
      <c r="K3534" s="58">
        <v>0</v>
      </c>
      <c r="L3534" s="58">
        <v>0</v>
      </c>
      <c r="M3534" s="58">
        <v>0</v>
      </c>
      <c r="N3534" s="58">
        <v>0</v>
      </c>
      <c r="O3534" s="58">
        <v>0</v>
      </c>
      <c r="P3534" s="53">
        <v>0</v>
      </c>
      <c r="Q3534" s="65">
        <v>641993.63494860008</v>
      </c>
      <c r="R3534" s="65">
        <v>0</v>
      </c>
      <c r="S3534" s="65">
        <v>0</v>
      </c>
      <c r="T3534" s="65">
        <v>0</v>
      </c>
      <c r="U3534" s="58">
        <v>0</v>
      </c>
      <c r="V3534" s="65">
        <v>0</v>
      </c>
      <c r="W3534" s="65">
        <v>0</v>
      </c>
      <c r="X3534" s="65">
        <v>0</v>
      </c>
      <c r="Y3534" s="65">
        <v>0</v>
      </c>
      <c r="Z3534" s="51">
        <v>641993.63494860008</v>
      </c>
      <c r="AA3534" s="51">
        <v>0</v>
      </c>
      <c r="AB3534" s="102">
        <v>0</v>
      </c>
      <c r="AC3534" s="81">
        <f t="shared" si="169"/>
        <v>0</v>
      </c>
      <c r="AD3534" s="82">
        <f t="shared" si="170"/>
        <v>0</v>
      </c>
      <c r="AE3534" s="218">
        <v>0</v>
      </c>
      <c r="AF3534">
        <v>0</v>
      </c>
      <c r="AH3534" t="str">
        <f t="shared" si="168"/>
        <v>Parbatta</v>
      </c>
      <c r="AJ3534" s="72">
        <v>0</v>
      </c>
      <c r="AK3534" s="72"/>
      <c r="AL3534" s="72"/>
      <c r="AM3534" s="72"/>
    </row>
    <row r="3535" spans="1:39" x14ac:dyDescent="0.25">
      <c r="A3535" s="37" t="s">
        <v>62</v>
      </c>
      <c r="B3535" s="66" t="s">
        <v>1644</v>
      </c>
      <c r="C3535" s="4">
        <v>1053</v>
      </c>
      <c r="D3535" s="41" t="s">
        <v>542</v>
      </c>
      <c r="E3535" s="41">
        <v>10530001</v>
      </c>
      <c r="F3535" s="85" t="s">
        <v>543</v>
      </c>
      <c r="G3535" s="39" t="s">
        <v>93</v>
      </c>
      <c r="H3535" s="52" t="s">
        <v>94</v>
      </c>
      <c r="I3535" s="52">
        <v>1375.5500000000002</v>
      </c>
      <c r="J3535" s="49">
        <v>56389.298236459203</v>
      </c>
      <c r="K3535" s="58">
        <v>1368.16</v>
      </c>
      <c r="L3535" s="58">
        <v>56487.574811423518</v>
      </c>
      <c r="M3535" s="58">
        <v>11.39</v>
      </c>
      <c r="N3535" s="58">
        <v>473.33005733130005</v>
      </c>
      <c r="O3535" s="58">
        <v>1379.5500000000002</v>
      </c>
      <c r="P3535" s="53">
        <v>56960.90486875482</v>
      </c>
      <c r="Q3535" s="65">
        <v>56389.298236459203</v>
      </c>
      <c r="R3535" s="65">
        <v>0</v>
      </c>
      <c r="S3535" s="65">
        <v>473.33005733130005</v>
      </c>
      <c r="T3535" s="65">
        <v>571.6066322956176</v>
      </c>
      <c r="U3535" s="58">
        <v>0</v>
      </c>
      <c r="V3535" s="65">
        <v>0</v>
      </c>
      <c r="W3535" s="65">
        <v>0</v>
      </c>
      <c r="X3535" s="65">
        <v>55916</v>
      </c>
      <c r="Y3535" s="65">
        <v>0</v>
      </c>
      <c r="Z3535" s="51">
        <v>0</v>
      </c>
      <c r="AA3535" s="51">
        <v>0</v>
      </c>
      <c r="AB3535" s="102">
        <v>0</v>
      </c>
      <c r="AC3535" s="81">
        <f t="shared" si="169"/>
        <v>0</v>
      </c>
      <c r="AD3535" s="82">
        <f t="shared" si="170"/>
        <v>0</v>
      </c>
      <c r="AE3535" s="218">
        <v>-1.0136792798851295E-2</v>
      </c>
      <c r="AF3535">
        <v>28</v>
      </c>
      <c r="AH3535" t="str">
        <f t="shared" si="168"/>
        <v>Kalyanpur</v>
      </c>
      <c r="AJ3535" s="72">
        <v>0</v>
      </c>
      <c r="AK3535" s="72"/>
      <c r="AL3535" s="72"/>
      <c r="AM3535" s="72"/>
    </row>
    <row r="3536" spans="1:39" x14ac:dyDescent="0.25">
      <c r="A3536" s="37" t="s">
        <v>62</v>
      </c>
      <c r="B3536" s="66" t="s">
        <v>1644</v>
      </c>
      <c r="C3536" s="4">
        <v>1053</v>
      </c>
      <c r="D3536" s="41" t="s">
        <v>542</v>
      </c>
      <c r="E3536" s="41">
        <v>10530002</v>
      </c>
      <c r="F3536" s="85" t="s">
        <v>544</v>
      </c>
      <c r="G3536" s="39" t="s">
        <v>93</v>
      </c>
      <c r="H3536" s="52" t="s">
        <v>94</v>
      </c>
      <c r="I3536" s="52">
        <v>1418.2500000000002</v>
      </c>
      <c r="J3536" s="49">
        <v>58000.589287661809</v>
      </c>
      <c r="K3536" s="58">
        <v>1406.1499999999999</v>
      </c>
      <c r="L3536" s="58">
        <v>58277.444053939915</v>
      </c>
      <c r="M3536" s="58">
        <v>15.189999999999998</v>
      </c>
      <c r="N3536" s="58">
        <v>645.2625944130001</v>
      </c>
      <c r="O3536" s="58">
        <v>1421.34</v>
      </c>
      <c r="P3536" s="53">
        <v>58922.706648352912</v>
      </c>
      <c r="Q3536" s="65">
        <v>58000.589287661809</v>
      </c>
      <c r="R3536" s="65">
        <v>0</v>
      </c>
      <c r="S3536" s="65">
        <v>645.2625944130001</v>
      </c>
      <c r="T3536" s="65">
        <v>922.11736069110339</v>
      </c>
      <c r="U3536" s="58">
        <v>0</v>
      </c>
      <c r="V3536" s="65">
        <v>0</v>
      </c>
      <c r="W3536" s="65">
        <v>0</v>
      </c>
      <c r="X3536" s="65">
        <v>57355</v>
      </c>
      <c r="Y3536" s="65">
        <v>0</v>
      </c>
      <c r="Z3536" s="51">
        <v>0</v>
      </c>
      <c r="AA3536" s="51">
        <v>0</v>
      </c>
      <c r="AB3536" s="102">
        <v>0</v>
      </c>
      <c r="AC3536" s="81">
        <f t="shared" si="169"/>
        <v>0</v>
      </c>
      <c r="AD3536" s="82">
        <f t="shared" si="170"/>
        <v>0</v>
      </c>
      <c r="AE3536" s="218">
        <v>-1.5898413654346459E-2</v>
      </c>
      <c r="AF3536">
        <v>31</v>
      </c>
      <c r="AH3536" t="str">
        <f t="shared" si="168"/>
        <v>Kalyanpur</v>
      </c>
      <c r="AJ3536" s="72">
        <v>0</v>
      </c>
      <c r="AK3536" s="72"/>
      <c r="AL3536" s="72"/>
      <c r="AM3536" s="72"/>
    </row>
    <row r="3537" spans="1:39" x14ac:dyDescent="0.25">
      <c r="A3537" s="37" t="s">
        <v>62</v>
      </c>
      <c r="B3537" s="66" t="s">
        <v>1644</v>
      </c>
      <c r="C3537" s="4">
        <v>1053</v>
      </c>
      <c r="D3537" s="41" t="s">
        <v>542</v>
      </c>
      <c r="E3537" s="41">
        <v>10530003</v>
      </c>
      <c r="F3537" s="85" t="s">
        <v>545</v>
      </c>
      <c r="G3537" s="39" t="s">
        <v>93</v>
      </c>
      <c r="H3537" s="52" t="s">
        <v>94</v>
      </c>
      <c r="I3537" s="52">
        <v>627.74999999999989</v>
      </c>
      <c r="J3537" s="49">
        <v>27064.016484141608</v>
      </c>
      <c r="K3537" s="58">
        <v>633.79</v>
      </c>
      <c r="L3537" s="58">
        <v>27039.380255279153</v>
      </c>
      <c r="M3537" s="58">
        <v>0.15000000000000002</v>
      </c>
      <c r="N3537" s="58">
        <v>6.8420218128000005</v>
      </c>
      <c r="O3537" s="58">
        <v>633.93999999999994</v>
      </c>
      <c r="P3537" s="53">
        <v>27046.222277091954</v>
      </c>
      <c r="Q3537" s="65">
        <v>27046.222277091954</v>
      </c>
      <c r="R3537" s="65">
        <v>0</v>
      </c>
      <c r="S3537" s="65">
        <v>6.8420218128000005</v>
      </c>
      <c r="T3537" s="65">
        <v>0</v>
      </c>
      <c r="U3537" s="58">
        <v>0</v>
      </c>
      <c r="V3537" s="65">
        <v>0</v>
      </c>
      <c r="W3537" s="65">
        <v>0</v>
      </c>
      <c r="X3537" s="65">
        <v>27040</v>
      </c>
      <c r="Y3537" s="65">
        <v>0</v>
      </c>
      <c r="Z3537" s="51">
        <v>0</v>
      </c>
      <c r="AA3537" s="51">
        <v>17</v>
      </c>
      <c r="AB3537" s="102">
        <v>0</v>
      </c>
      <c r="AC3537" s="81">
        <f t="shared" si="169"/>
        <v>62.297895371700001</v>
      </c>
      <c r="AD3537" s="82">
        <f t="shared" si="170"/>
        <v>89.678571428571416</v>
      </c>
      <c r="AE3537" s="218">
        <v>6.5748581922718107E-4</v>
      </c>
      <c r="AF3537">
        <v>23</v>
      </c>
      <c r="AH3537" t="str">
        <f t="shared" si="168"/>
        <v>Kalyanpur</v>
      </c>
      <c r="AJ3537" s="72">
        <v>0</v>
      </c>
      <c r="AK3537" s="72"/>
      <c r="AL3537" s="72"/>
      <c r="AM3537" s="72"/>
    </row>
    <row r="3538" spans="1:39" x14ac:dyDescent="0.25">
      <c r="A3538" s="37" t="s">
        <v>62</v>
      </c>
      <c r="B3538" s="66" t="s">
        <v>1644</v>
      </c>
      <c r="C3538" s="4">
        <v>1053</v>
      </c>
      <c r="D3538" s="41" t="s">
        <v>542</v>
      </c>
      <c r="E3538" s="41">
        <v>10530005</v>
      </c>
      <c r="F3538" s="85" t="s">
        <v>546</v>
      </c>
      <c r="G3538" s="39" t="s">
        <v>93</v>
      </c>
      <c r="H3538" s="52" t="s">
        <v>94</v>
      </c>
      <c r="I3538" s="52">
        <v>539.15</v>
      </c>
      <c r="J3538" s="49">
        <v>23597.759939276504</v>
      </c>
      <c r="K3538" s="58">
        <v>525.32999999999993</v>
      </c>
      <c r="L3538" s="58">
        <v>23364.90855411351</v>
      </c>
      <c r="M3538" s="58">
        <v>4.96</v>
      </c>
      <c r="N3538" s="58">
        <v>229.987332219</v>
      </c>
      <c r="O3538" s="58">
        <v>530.29</v>
      </c>
      <c r="P3538" s="53">
        <v>23594.89588633251</v>
      </c>
      <c r="Q3538" s="65">
        <v>23594.89588633251</v>
      </c>
      <c r="R3538" s="65">
        <v>0</v>
      </c>
      <c r="S3538" s="65">
        <v>229.987332219</v>
      </c>
      <c r="T3538" s="65">
        <v>0</v>
      </c>
      <c r="U3538" s="58">
        <v>0</v>
      </c>
      <c r="V3538" s="65">
        <v>0</v>
      </c>
      <c r="W3538" s="65">
        <v>0</v>
      </c>
      <c r="X3538" s="65">
        <v>23366</v>
      </c>
      <c r="Y3538" s="65">
        <v>0</v>
      </c>
      <c r="Z3538" s="51">
        <v>0</v>
      </c>
      <c r="AA3538" s="51">
        <v>2</v>
      </c>
      <c r="AB3538" s="102">
        <v>0</v>
      </c>
      <c r="AC3538" s="81">
        <f t="shared" si="169"/>
        <v>140.80310437661601</v>
      </c>
      <c r="AD3538" s="82">
        <f t="shared" si="170"/>
        <v>77.021428571428572</v>
      </c>
      <c r="AE3538" s="218">
        <v>1.2136969574080158E-4</v>
      </c>
      <c r="AF3538">
        <v>18</v>
      </c>
      <c r="AH3538" t="str">
        <f t="shared" si="168"/>
        <v>Kalyanpur</v>
      </c>
      <c r="AJ3538" s="72">
        <v>0</v>
      </c>
      <c r="AK3538" s="72"/>
      <c r="AL3538" s="72"/>
      <c r="AM3538" s="72"/>
    </row>
    <row r="3539" spans="1:39" x14ac:dyDescent="0.25">
      <c r="A3539" s="37" t="s">
        <v>62</v>
      </c>
      <c r="B3539" s="66" t="s">
        <v>1644</v>
      </c>
      <c r="C3539" s="4">
        <v>1053</v>
      </c>
      <c r="D3539" s="41" t="s">
        <v>542</v>
      </c>
      <c r="E3539" s="41">
        <v>10530006</v>
      </c>
      <c r="F3539" s="85" t="s">
        <v>547</v>
      </c>
      <c r="G3539" s="39" t="s">
        <v>93</v>
      </c>
      <c r="H3539" s="52" t="s">
        <v>94</v>
      </c>
      <c r="I3539" s="52">
        <v>1179.2500000000002</v>
      </c>
      <c r="J3539" s="49">
        <v>47110.584155719152</v>
      </c>
      <c r="K3539" s="58">
        <v>1155.7599999999998</v>
      </c>
      <c r="L3539" s="58">
        <v>45680.826789856037</v>
      </c>
      <c r="M3539" s="58">
        <v>33.86</v>
      </c>
      <c r="N3539" s="58">
        <v>1602.77563516793</v>
      </c>
      <c r="O3539" s="58">
        <v>1189.6199999999997</v>
      </c>
      <c r="P3539" s="53">
        <v>47283.602425023964</v>
      </c>
      <c r="Q3539" s="65">
        <v>47110.584155719152</v>
      </c>
      <c r="R3539" s="65">
        <v>0</v>
      </c>
      <c r="S3539" s="65">
        <v>1602.77563516793</v>
      </c>
      <c r="T3539" s="65">
        <v>173.01826930481184</v>
      </c>
      <c r="U3539" s="58">
        <v>0</v>
      </c>
      <c r="V3539" s="65">
        <v>0</v>
      </c>
      <c r="W3539" s="65">
        <v>0</v>
      </c>
      <c r="X3539" s="65">
        <v>45508</v>
      </c>
      <c r="Y3539" s="65">
        <v>0</v>
      </c>
      <c r="Z3539" s="51">
        <v>0</v>
      </c>
      <c r="AA3539" s="51">
        <v>0</v>
      </c>
      <c r="AB3539" s="102">
        <v>0</v>
      </c>
      <c r="AC3539" s="81">
        <f t="shared" si="169"/>
        <v>0</v>
      </c>
      <c r="AD3539" s="82">
        <f t="shared" si="170"/>
        <v>0</v>
      </c>
      <c r="AE3539" s="218">
        <v>-3.672598682557573E-3</v>
      </c>
      <c r="AF3539">
        <v>58</v>
      </c>
      <c r="AH3539" t="str">
        <f t="shared" si="168"/>
        <v>Kalyanpur</v>
      </c>
      <c r="AJ3539" s="72">
        <v>0</v>
      </c>
      <c r="AK3539" s="72"/>
      <c r="AL3539" s="72"/>
      <c r="AM3539" s="72"/>
    </row>
    <row r="3540" spans="1:39" x14ac:dyDescent="0.25">
      <c r="A3540" s="37" t="s">
        <v>62</v>
      </c>
      <c r="B3540" s="66" t="s">
        <v>1644</v>
      </c>
      <c r="C3540" s="4">
        <v>1053</v>
      </c>
      <c r="D3540" s="41" t="s">
        <v>542</v>
      </c>
      <c r="E3540" s="41">
        <v>10530007</v>
      </c>
      <c r="F3540" s="85" t="s">
        <v>548</v>
      </c>
      <c r="G3540" s="39" t="s">
        <v>93</v>
      </c>
      <c r="H3540" s="52" t="s">
        <v>94</v>
      </c>
      <c r="I3540" s="52">
        <v>414.65000000000003</v>
      </c>
      <c r="J3540" s="49">
        <v>18461.703842441802</v>
      </c>
      <c r="K3540" s="58">
        <v>422.40000000000003</v>
      </c>
      <c r="L3540" s="58">
        <v>18189.234607713144</v>
      </c>
      <c r="M3540" s="58">
        <v>6.1099999999999994</v>
      </c>
      <c r="N3540" s="58">
        <v>245.49245601000004</v>
      </c>
      <c r="O3540" s="58">
        <v>428.51000000000005</v>
      </c>
      <c r="P3540" s="53">
        <v>18434.727063723145</v>
      </c>
      <c r="Q3540" s="65">
        <v>18434.727063723145</v>
      </c>
      <c r="R3540" s="65">
        <v>0</v>
      </c>
      <c r="S3540" s="65">
        <v>245.49245601000004</v>
      </c>
      <c r="T3540" s="65">
        <v>0</v>
      </c>
      <c r="U3540" s="58">
        <v>0</v>
      </c>
      <c r="V3540" s="65">
        <v>0</v>
      </c>
      <c r="W3540" s="65">
        <v>0</v>
      </c>
      <c r="X3540" s="65">
        <v>18190</v>
      </c>
      <c r="Y3540" s="65">
        <v>0</v>
      </c>
      <c r="Z3540" s="51">
        <v>0</v>
      </c>
      <c r="AA3540" s="51">
        <v>26</v>
      </c>
      <c r="AB3540" s="102">
        <v>0</v>
      </c>
      <c r="AC3540" s="81">
        <f t="shared" si="169"/>
        <v>254.09609026604448</v>
      </c>
      <c r="AD3540" s="82">
        <f t="shared" si="170"/>
        <v>59.235714285714288</v>
      </c>
      <c r="AE3540" s="218">
        <v>1.4612290907104817E-3</v>
      </c>
      <c r="AF3540">
        <v>12</v>
      </c>
      <c r="AH3540" t="str">
        <f t="shared" si="168"/>
        <v>Kalyanpur</v>
      </c>
      <c r="AJ3540" s="72">
        <v>0</v>
      </c>
      <c r="AK3540" s="72"/>
      <c r="AL3540" s="72"/>
      <c r="AM3540" s="72"/>
    </row>
    <row r="3541" spans="1:39" x14ac:dyDescent="0.25">
      <c r="A3541" s="37" t="s">
        <v>62</v>
      </c>
      <c r="B3541" s="66" t="s">
        <v>1644</v>
      </c>
      <c r="C3541" s="4">
        <v>1053</v>
      </c>
      <c r="D3541" s="41" t="s">
        <v>542</v>
      </c>
      <c r="E3541" s="41">
        <v>10530008</v>
      </c>
      <c r="F3541" s="85" t="s">
        <v>549</v>
      </c>
      <c r="G3541" s="39" t="s">
        <v>93</v>
      </c>
      <c r="H3541" s="52" t="s">
        <v>94</v>
      </c>
      <c r="I3541" s="52">
        <v>346.64999999999992</v>
      </c>
      <c r="J3541" s="49">
        <v>16821.358122658399</v>
      </c>
      <c r="K3541" s="58">
        <v>344.92</v>
      </c>
      <c r="L3541" s="58">
        <v>16731.405653382244</v>
      </c>
      <c r="M3541" s="58">
        <v>4.24</v>
      </c>
      <c r="N3541" s="58">
        <v>185.00509699491201</v>
      </c>
      <c r="O3541" s="58">
        <v>349.16</v>
      </c>
      <c r="P3541" s="53">
        <v>16916.410750377156</v>
      </c>
      <c r="Q3541" s="65">
        <v>16821.358122658399</v>
      </c>
      <c r="R3541" s="65">
        <v>0</v>
      </c>
      <c r="S3541" s="65">
        <v>185.00509699491201</v>
      </c>
      <c r="T3541" s="65">
        <v>95.052627718756412</v>
      </c>
      <c r="U3541" s="58">
        <v>0</v>
      </c>
      <c r="V3541" s="65">
        <v>0</v>
      </c>
      <c r="W3541" s="65">
        <v>0</v>
      </c>
      <c r="X3541" s="65">
        <v>16636</v>
      </c>
      <c r="Y3541" s="65">
        <v>0</v>
      </c>
      <c r="Z3541" s="51">
        <v>0</v>
      </c>
      <c r="AA3541" s="51">
        <v>0</v>
      </c>
      <c r="AB3541" s="102">
        <v>0</v>
      </c>
      <c r="AC3541" s="81">
        <f t="shared" si="169"/>
        <v>342.92957695897002</v>
      </c>
      <c r="AD3541" s="82">
        <f t="shared" si="170"/>
        <v>49.521428571428558</v>
      </c>
      <c r="AE3541" s="218">
        <v>-5.6507106635296208E-3</v>
      </c>
      <c r="AF3541">
        <v>9</v>
      </c>
      <c r="AH3541" t="str">
        <f t="shared" si="168"/>
        <v>Kalyanpur</v>
      </c>
      <c r="AJ3541" s="72">
        <v>0</v>
      </c>
      <c r="AK3541" s="72"/>
      <c r="AL3541" s="72"/>
      <c r="AM3541" s="72"/>
    </row>
    <row r="3542" spans="1:39" x14ac:dyDescent="0.25">
      <c r="A3542" s="37" t="s">
        <v>62</v>
      </c>
      <c r="B3542" s="66" t="s">
        <v>1644</v>
      </c>
      <c r="C3542" s="4">
        <v>1053</v>
      </c>
      <c r="D3542" s="41" t="s">
        <v>542</v>
      </c>
      <c r="E3542" s="41">
        <v>10530009</v>
      </c>
      <c r="F3542" s="85" t="s">
        <v>550</v>
      </c>
      <c r="G3542" s="39" t="s">
        <v>635</v>
      </c>
      <c r="H3542" s="52" t="s">
        <v>99</v>
      </c>
      <c r="I3542" s="52">
        <v>9334</v>
      </c>
      <c r="J3542" s="49">
        <v>374466.58954230003</v>
      </c>
      <c r="K3542" s="58">
        <v>0</v>
      </c>
      <c r="L3542" s="58">
        <v>0</v>
      </c>
      <c r="M3542" s="58">
        <v>0</v>
      </c>
      <c r="N3542" s="58">
        <v>0</v>
      </c>
      <c r="O3542" s="58">
        <v>0</v>
      </c>
      <c r="P3542" s="53">
        <v>0</v>
      </c>
      <c r="Q3542" s="65">
        <v>374466.58954230003</v>
      </c>
      <c r="R3542" s="65">
        <v>0</v>
      </c>
      <c r="S3542" s="65">
        <v>0</v>
      </c>
      <c r="T3542" s="65">
        <v>0</v>
      </c>
      <c r="U3542" s="58">
        <v>0</v>
      </c>
      <c r="V3542" s="65">
        <v>0</v>
      </c>
      <c r="W3542" s="65">
        <v>0</v>
      </c>
      <c r="X3542" s="65">
        <v>0</v>
      </c>
      <c r="Y3542" s="65">
        <v>0</v>
      </c>
      <c r="Z3542" s="51">
        <v>374466.58954230003</v>
      </c>
      <c r="AA3542" s="51">
        <v>0</v>
      </c>
      <c r="AB3542" s="102">
        <v>0</v>
      </c>
      <c r="AC3542" s="81">
        <f t="shared" si="169"/>
        <v>0</v>
      </c>
      <c r="AD3542" s="82">
        <f t="shared" si="170"/>
        <v>0</v>
      </c>
      <c r="AE3542" s="218">
        <v>0</v>
      </c>
      <c r="AF3542">
        <v>0</v>
      </c>
      <c r="AH3542" t="str">
        <f t="shared" si="168"/>
        <v>Kalyanpur</v>
      </c>
      <c r="AJ3542" s="72">
        <v>0</v>
      </c>
      <c r="AK3542" s="72"/>
      <c r="AL3542" s="72"/>
      <c r="AM3542" s="72"/>
    </row>
    <row r="3543" spans="1:39" x14ac:dyDescent="0.25">
      <c r="A3543" s="37" t="s">
        <v>62</v>
      </c>
      <c r="B3543" s="66" t="s">
        <v>1644</v>
      </c>
      <c r="C3543" s="4">
        <v>1053</v>
      </c>
      <c r="D3543" s="41" t="s">
        <v>542</v>
      </c>
      <c r="E3543" s="41">
        <v>10530010</v>
      </c>
      <c r="F3543" s="85" t="s">
        <v>551</v>
      </c>
      <c r="G3543" s="39" t="s">
        <v>635</v>
      </c>
      <c r="H3543" s="52" t="s">
        <v>99</v>
      </c>
      <c r="I3543" s="52">
        <v>3577.75</v>
      </c>
      <c r="J3543" s="49">
        <v>148803.85035588223</v>
      </c>
      <c r="K3543" s="58">
        <v>0</v>
      </c>
      <c r="L3543" s="58">
        <v>0</v>
      </c>
      <c r="M3543" s="58">
        <v>0</v>
      </c>
      <c r="N3543" s="58">
        <v>0</v>
      </c>
      <c r="O3543" s="58">
        <v>0</v>
      </c>
      <c r="P3543" s="53">
        <v>0</v>
      </c>
      <c r="Q3543" s="65">
        <v>148803.85035588223</v>
      </c>
      <c r="R3543" s="65">
        <v>0</v>
      </c>
      <c r="S3543" s="65">
        <v>0</v>
      </c>
      <c r="T3543" s="65">
        <v>0</v>
      </c>
      <c r="U3543" s="58">
        <v>0</v>
      </c>
      <c r="V3543" s="65">
        <v>0</v>
      </c>
      <c r="W3543" s="65">
        <v>0</v>
      </c>
      <c r="X3543" s="65">
        <v>0</v>
      </c>
      <c r="Y3543" s="65">
        <v>0</v>
      </c>
      <c r="Z3543" s="51">
        <v>148803.85035588223</v>
      </c>
      <c r="AA3543" s="51">
        <v>0</v>
      </c>
      <c r="AB3543" s="102">
        <v>0</v>
      </c>
      <c r="AC3543" s="81">
        <f t="shared" si="169"/>
        <v>0</v>
      </c>
      <c r="AD3543" s="82">
        <f t="shared" si="170"/>
        <v>0</v>
      </c>
      <c r="AE3543" s="218">
        <v>0</v>
      </c>
      <c r="AF3543">
        <v>0</v>
      </c>
      <c r="AH3543" t="str">
        <f t="shared" si="168"/>
        <v>Kalyanpur</v>
      </c>
      <c r="AJ3543" s="72">
        <v>0</v>
      </c>
      <c r="AK3543" s="72"/>
      <c r="AL3543" s="72"/>
      <c r="AM3543" s="72"/>
    </row>
    <row r="3544" spans="1:39" x14ac:dyDescent="0.25">
      <c r="A3544" s="37" t="s">
        <v>62</v>
      </c>
      <c r="B3544" s="66" t="s">
        <v>1644</v>
      </c>
      <c r="C3544" s="4">
        <v>1053</v>
      </c>
      <c r="D3544" s="41" t="s">
        <v>542</v>
      </c>
      <c r="E3544" s="41">
        <v>10530013</v>
      </c>
      <c r="F3544" s="85" t="s">
        <v>552</v>
      </c>
      <c r="G3544" s="39" t="s">
        <v>635</v>
      </c>
      <c r="H3544" s="52" t="s">
        <v>99</v>
      </c>
      <c r="I3544" s="52">
        <v>310.04999999999995</v>
      </c>
      <c r="J3544" s="49">
        <v>17552.681760248001</v>
      </c>
      <c r="K3544" s="58">
        <v>0</v>
      </c>
      <c r="L3544" s="58">
        <v>0</v>
      </c>
      <c r="M3544" s="58">
        <v>0</v>
      </c>
      <c r="N3544" s="58">
        <v>0</v>
      </c>
      <c r="O3544" s="58">
        <v>0</v>
      </c>
      <c r="P3544" s="53">
        <v>0</v>
      </c>
      <c r="Q3544" s="65">
        <v>17552.681760248001</v>
      </c>
      <c r="R3544" s="65">
        <v>0</v>
      </c>
      <c r="S3544" s="65">
        <v>0</v>
      </c>
      <c r="T3544" s="65">
        <v>0</v>
      </c>
      <c r="U3544" s="58">
        <v>0</v>
      </c>
      <c r="V3544" s="65">
        <v>0</v>
      </c>
      <c r="W3544" s="65">
        <v>0</v>
      </c>
      <c r="X3544" s="65">
        <v>0</v>
      </c>
      <c r="Y3544" s="65">
        <v>0</v>
      </c>
      <c r="Z3544" s="51">
        <v>17552.681760248001</v>
      </c>
      <c r="AA3544" s="51">
        <v>0</v>
      </c>
      <c r="AB3544" s="102">
        <v>0</v>
      </c>
      <c r="AC3544" s="81">
        <f t="shared" si="169"/>
        <v>441.52028720585128</v>
      </c>
      <c r="AD3544" s="82">
        <f t="shared" si="170"/>
        <v>44.292857142857137</v>
      </c>
      <c r="AE3544" s="218">
        <v>0</v>
      </c>
      <c r="AF3544">
        <v>0</v>
      </c>
      <c r="AH3544" t="str">
        <f t="shared" si="168"/>
        <v>Kalyanpur</v>
      </c>
      <c r="AJ3544" s="72">
        <v>0</v>
      </c>
      <c r="AK3544" s="72"/>
      <c r="AL3544" s="72"/>
      <c r="AM3544" s="72"/>
    </row>
    <row r="3545" spans="1:39" x14ac:dyDescent="0.25">
      <c r="A3545" s="37" t="s">
        <v>62</v>
      </c>
      <c r="B3545" s="66" t="s">
        <v>1644</v>
      </c>
      <c r="C3545" s="4">
        <v>1053</v>
      </c>
      <c r="D3545" s="41" t="s">
        <v>542</v>
      </c>
      <c r="E3545" s="41">
        <v>10530014</v>
      </c>
      <c r="F3545" s="85" t="s">
        <v>553</v>
      </c>
      <c r="G3545" s="39" t="s">
        <v>635</v>
      </c>
      <c r="H3545" s="52" t="s">
        <v>99</v>
      </c>
      <c r="I3545" s="52">
        <v>1667.35</v>
      </c>
      <c r="J3545" s="49">
        <v>61447.933149540004</v>
      </c>
      <c r="K3545" s="58">
        <v>0</v>
      </c>
      <c r="L3545" s="58">
        <v>0</v>
      </c>
      <c r="M3545" s="58">
        <v>0</v>
      </c>
      <c r="N3545" s="58">
        <v>0</v>
      </c>
      <c r="O3545" s="58">
        <v>0</v>
      </c>
      <c r="P3545" s="53">
        <v>0</v>
      </c>
      <c r="Q3545" s="65">
        <v>61447.933149540004</v>
      </c>
      <c r="R3545" s="65">
        <v>0</v>
      </c>
      <c r="S3545" s="65">
        <v>0</v>
      </c>
      <c r="T3545" s="65">
        <v>0</v>
      </c>
      <c r="U3545" s="58">
        <v>0</v>
      </c>
      <c r="V3545" s="65">
        <v>0</v>
      </c>
      <c r="W3545" s="65">
        <v>0</v>
      </c>
      <c r="X3545" s="65">
        <v>0</v>
      </c>
      <c r="Y3545" s="65">
        <v>0</v>
      </c>
      <c r="Z3545" s="51">
        <v>61447.933149540004</v>
      </c>
      <c r="AA3545" s="51">
        <v>0</v>
      </c>
      <c r="AB3545" s="102">
        <v>0</v>
      </c>
      <c r="AC3545" s="81">
        <f t="shared" si="169"/>
        <v>0</v>
      </c>
      <c r="AD3545" s="82">
        <f t="shared" si="170"/>
        <v>0</v>
      </c>
      <c r="AE3545" s="218">
        <v>0</v>
      </c>
      <c r="AF3545">
        <v>0</v>
      </c>
      <c r="AH3545" t="str">
        <f t="shared" si="168"/>
        <v>Kalyanpur</v>
      </c>
      <c r="AJ3545" s="72">
        <v>0</v>
      </c>
      <c r="AK3545" s="72"/>
      <c r="AL3545" s="72"/>
      <c r="AM3545" s="72"/>
    </row>
    <row r="3546" spans="1:39" x14ac:dyDescent="0.25">
      <c r="A3546" s="37" t="s">
        <v>62</v>
      </c>
      <c r="B3546" s="66" t="s">
        <v>1644</v>
      </c>
      <c r="C3546" s="4">
        <v>1053</v>
      </c>
      <c r="D3546" s="41" t="s">
        <v>542</v>
      </c>
      <c r="E3546" s="41">
        <v>10530015</v>
      </c>
      <c r="F3546" s="85" t="s">
        <v>554</v>
      </c>
      <c r="G3546" s="39" t="s">
        <v>635</v>
      </c>
      <c r="H3546" s="52" t="s">
        <v>99</v>
      </c>
      <c r="I3546" s="52">
        <v>249.99999999999997</v>
      </c>
      <c r="J3546" s="49">
        <v>10379.341265455501</v>
      </c>
      <c r="K3546" s="58">
        <v>0</v>
      </c>
      <c r="L3546" s="58">
        <v>0</v>
      </c>
      <c r="M3546" s="58">
        <v>0</v>
      </c>
      <c r="N3546" s="58">
        <v>0</v>
      </c>
      <c r="O3546" s="58">
        <v>0</v>
      </c>
      <c r="P3546" s="53">
        <v>0</v>
      </c>
      <c r="Q3546" s="65">
        <v>10379.341265455501</v>
      </c>
      <c r="R3546" s="65">
        <v>0</v>
      </c>
      <c r="S3546" s="65">
        <v>0</v>
      </c>
      <c r="T3546" s="65">
        <v>0</v>
      </c>
      <c r="U3546" s="58">
        <v>0</v>
      </c>
      <c r="V3546" s="65">
        <v>0</v>
      </c>
      <c r="W3546" s="65">
        <v>0</v>
      </c>
      <c r="X3546" s="65">
        <v>0</v>
      </c>
      <c r="Y3546" s="65">
        <v>0</v>
      </c>
      <c r="Z3546" s="51">
        <v>10379.341265455501</v>
      </c>
      <c r="AA3546" s="51">
        <v>0</v>
      </c>
      <c r="AB3546" s="102">
        <v>0</v>
      </c>
      <c r="AC3546" s="81">
        <f t="shared" si="169"/>
        <v>373.65628555639813</v>
      </c>
      <c r="AD3546" s="82">
        <f t="shared" si="170"/>
        <v>35.714285714285708</v>
      </c>
      <c r="AE3546" s="218">
        <v>0</v>
      </c>
      <c r="AF3546">
        <v>0</v>
      </c>
      <c r="AH3546" t="str">
        <f t="shared" si="168"/>
        <v>Kalyanpur</v>
      </c>
      <c r="AJ3546" s="72">
        <v>0</v>
      </c>
      <c r="AK3546" s="72"/>
      <c r="AL3546" s="72"/>
      <c r="AM3546" s="72"/>
    </row>
    <row r="3547" spans="1:39" x14ac:dyDescent="0.25">
      <c r="A3547" s="37" t="s">
        <v>62</v>
      </c>
      <c r="B3547" s="66" t="s">
        <v>1644</v>
      </c>
      <c r="C3547" s="4">
        <v>1053</v>
      </c>
      <c r="D3547" s="41" t="s">
        <v>542</v>
      </c>
      <c r="E3547" s="41">
        <v>10530016</v>
      </c>
      <c r="F3547" s="85" t="s">
        <v>555</v>
      </c>
      <c r="G3547" s="39" t="s">
        <v>635</v>
      </c>
      <c r="H3547" s="52" t="s">
        <v>99</v>
      </c>
      <c r="I3547" s="52">
        <v>885.64999999999986</v>
      </c>
      <c r="J3547" s="49">
        <v>33314.917412110502</v>
      </c>
      <c r="K3547" s="58">
        <v>0</v>
      </c>
      <c r="L3547" s="58">
        <v>0</v>
      </c>
      <c r="M3547" s="58">
        <v>0</v>
      </c>
      <c r="N3547" s="58">
        <v>0</v>
      </c>
      <c r="O3547" s="58">
        <v>0</v>
      </c>
      <c r="P3547" s="53">
        <v>0</v>
      </c>
      <c r="Q3547" s="65">
        <v>33314.917412110502</v>
      </c>
      <c r="R3547" s="65">
        <v>0</v>
      </c>
      <c r="S3547" s="65">
        <v>0</v>
      </c>
      <c r="T3547" s="65">
        <v>0</v>
      </c>
      <c r="U3547" s="58">
        <v>0</v>
      </c>
      <c r="V3547" s="65">
        <v>0</v>
      </c>
      <c r="W3547" s="65">
        <v>0</v>
      </c>
      <c r="X3547" s="65">
        <v>0</v>
      </c>
      <c r="Y3547" s="65">
        <v>0</v>
      </c>
      <c r="Z3547" s="51">
        <v>33314.917412110502</v>
      </c>
      <c r="AA3547" s="51">
        <v>0</v>
      </c>
      <c r="AB3547" s="102">
        <v>0</v>
      </c>
      <c r="AC3547" s="81">
        <f t="shared" si="169"/>
        <v>0</v>
      </c>
      <c r="AD3547" s="82">
        <f t="shared" si="170"/>
        <v>0</v>
      </c>
      <c r="AE3547" s="218">
        <v>0</v>
      </c>
      <c r="AF3547">
        <v>0</v>
      </c>
      <c r="AH3547" t="str">
        <f t="shared" si="168"/>
        <v>Kalyanpur</v>
      </c>
      <c r="AJ3547" s="72">
        <v>0</v>
      </c>
      <c r="AK3547" s="72"/>
      <c r="AL3547" s="72"/>
      <c r="AM3547" s="72"/>
    </row>
    <row r="3548" spans="1:39" x14ac:dyDescent="0.25">
      <c r="A3548" s="37" t="s">
        <v>62</v>
      </c>
      <c r="B3548" s="66" t="s">
        <v>1644</v>
      </c>
      <c r="C3548" s="4">
        <v>1053</v>
      </c>
      <c r="D3548" s="41" t="s">
        <v>542</v>
      </c>
      <c r="E3548" s="41">
        <v>10530017</v>
      </c>
      <c r="F3548" s="85" t="s">
        <v>556</v>
      </c>
      <c r="G3548" s="39" t="s">
        <v>635</v>
      </c>
      <c r="H3548" s="52" t="s">
        <v>99</v>
      </c>
      <c r="I3548" s="52">
        <v>2360.4999999999995</v>
      </c>
      <c r="J3548" s="49">
        <v>101213.89204243501</v>
      </c>
      <c r="K3548" s="58">
        <v>0</v>
      </c>
      <c r="L3548" s="58">
        <v>0</v>
      </c>
      <c r="M3548" s="58">
        <v>0</v>
      </c>
      <c r="N3548" s="58">
        <v>0</v>
      </c>
      <c r="O3548" s="58">
        <v>0</v>
      </c>
      <c r="P3548" s="53">
        <v>0</v>
      </c>
      <c r="Q3548" s="65">
        <v>101213.89204243501</v>
      </c>
      <c r="R3548" s="65">
        <v>0</v>
      </c>
      <c r="S3548" s="65">
        <v>0</v>
      </c>
      <c r="T3548" s="65">
        <v>0</v>
      </c>
      <c r="U3548" s="58">
        <v>0</v>
      </c>
      <c r="V3548" s="65">
        <v>0</v>
      </c>
      <c r="W3548" s="65">
        <v>0</v>
      </c>
      <c r="X3548" s="65">
        <v>0</v>
      </c>
      <c r="Y3548" s="65">
        <v>0</v>
      </c>
      <c r="Z3548" s="51">
        <v>101213.89204243501</v>
      </c>
      <c r="AA3548" s="51">
        <v>0</v>
      </c>
      <c r="AB3548" s="102">
        <v>0</v>
      </c>
      <c r="AC3548" s="81">
        <f t="shared" si="169"/>
        <v>0</v>
      </c>
      <c r="AD3548" s="82">
        <f t="shared" si="170"/>
        <v>0</v>
      </c>
      <c r="AE3548" s="218">
        <v>0</v>
      </c>
      <c r="AF3548">
        <v>0</v>
      </c>
      <c r="AH3548" t="str">
        <f t="shared" si="168"/>
        <v>Kalyanpur</v>
      </c>
      <c r="AJ3548" s="72">
        <v>0</v>
      </c>
      <c r="AK3548" s="72"/>
      <c r="AL3548" s="72"/>
      <c r="AM3548" s="72"/>
    </row>
    <row r="3549" spans="1:39" x14ac:dyDescent="0.25">
      <c r="A3549" s="37" t="s">
        <v>62</v>
      </c>
      <c r="B3549" s="66" t="s">
        <v>1644</v>
      </c>
      <c r="C3549" s="4">
        <v>1053</v>
      </c>
      <c r="D3549" s="41" t="s">
        <v>542</v>
      </c>
      <c r="E3549" s="41">
        <v>10530018</v>
      </c>
      <c r="F3549" s="85" t="s">
        <v>557</v>
      </c>
      <c r="G3549" s="39" t="s">
        <v>635</v>
      </c>
      <c r="H3549" s="52" t="s">
        <v>99</v>
      </c>
      <c r="I3549" s="52">
        <v>1034.1500000000001</v>
      </c>
      <c r="J3549" s="49">
        <v>42636.134011317699</v>
      </c>
      <c r="K3549" s="58">
        <v>0</v>
      </c>
      <c r="L3549" s="58">
        <v>0</v>
      </c>
      <c r="M3549" s="58">
        <v>0</v>
      </c>
      <c r="N3549" s="58">
        <v>0</v>
      </c>
      <c r="O3549" s="58">
        <v>0</v>
      </c>
      <c r="P3549" s="53">
        <v>0</v>
      </c>
      <c r="Q3549" s="65">
        <v>42636.134011317699</v>
      </c>
      <c r="R3549" s="65">
        <v>0</v>
      </c>
      <c r="S3549" s="65">
        <v>0</v>
      </c>
      <c r="T3549" s="65">
        <v>0</v>
      </c>
      <c r="U3549" s="58">
        <v>0</v>
      </c>
      <c r="V3549" s="65">
        <v>0</v>
      </c>
      <c r="W3549" s="65">
        <v>0</v>
      </c>
      <c r="X3549" s="65">
        <v>0</v>
      </c>
      <c r="Y3549" s="65">
        <v>0</v>
      </c>
      <c r="Z3549" s="51">
        <v>42636.134011317699</v>
      </c>
      <c r="AA3549" s="51">
        <v>0</v>
      </c>
      <c r="AB3549" s="102">
        <v>0</v>
      </c>
      <c r="AC3549" s="81">
        <f t="shared" si="169"/>
        <v>0</v>
      </c>
      <c r="AD3549" s="82">
        <f t="shared" si="170"/>
        <v>0</v>
      </c>
      <c r="AE3549" s="218">
        <v>0</v>
      </c>
      <c r="AF3549">
        <v>0</v>
      </c>
      <c r="AH3549" t="str">
        <f t="shared" si="168"/>
        <v>Kalyanpur</v>
      </c>
      <c r="AJ3549" s="72">
        <v>0</v>
      </c>
      <c r="AK3549" s="72"/>
      <c r="AL3549" s="72"/>
      <c r="AM3549" s="72"/>
    </row>
    <row r="3550" spans="1:39" x14ac:dyDescent="0.25">
      <c r="A3550" s="37" t="s">
        <v>62</v>
      </c>
      <c r="B3550" s="66" t="s">
        <v>1644</v>
      </c>
      <c r="C3550" s="4">
        <v>1053</v>
      </c>
      <c r="D3550" s="41" t="s">
        <v>542</v>
      </c>
      <c r="E3550" s="41">
        <v>10530019</v>
      </c>
      <c r="F3550" s="85" t="s">
        <v>558</v>
      </c>
      <c r="G3550" s="39" t="s">
        <v>635</v>
      </c>
      <c r="H3550" s="52" t="s">
        <v>99</v>
      </c>
      <c r="I3550" s="52">
        <v>1199.9000000000001</v>
      </c>
      <c r="J3550" s="49">
        <v>48492.2562578207</v>
      </c>
      <c r="K3550" s="58">
        <v>0</v>
      </c>
      <c r="L3550" s="58">
        <v>0</v>
      </c>
      <c r="M3550" s="58">
        <v>0</v>
      </c>
      <c r="N3550" s="58">
        <v>0</v>
      </c>
      <c r="O3550" s="58">
        <v>0</v>
      </c>
      <c r="P3550" s="53">
        <v>0</v>
      </c>
      <c r="Q3550" s="65">
        <v>48492.2562578207</v>
      </c>
      <c r="R3550" s="65">
        <v>0</v>
      </c>
      <c r="S3550" s="65">
        <v>0</v>
      </c>
      <c r="T3550" s="65">
        <v>0</v>
      </c>
      <c r="U3550" s="58">
        <v>0</v>
      </c>
      <c r="V3550" s="65">
        <v>0</v>
      </c>
      <c r="W3550" s="65">
        <v>0</v>
      </c>
      <c r="X3550" s="65">
        <v>0</v>
      </c>
      <c r="Y3550" s="65">
        <v>0</v>
      </c>
      <c r="Z3550" s="51">
        <v>48492.2562578207</v>
      </c>
      <c r="AA3550" s="51">
        <v>0</v>
      </c>
      <c r="AB3550" s="102">
        <v>0</v>
      </c>
      <c r="AC3550" s="81">
        <f t="shared" si="169"/>
        <v>0</v>
      </c>
      <c r="AD3550" s="82">
        <f t="shared" si="170"/>
        <v>0</v>
      </c>
      <c r="AE3550" s="218">
        <v>0</v>
      </c>
      <c r="AF3550">
        <v>0</v>
      </c>
      <c r="AH3550" t="str">
        <f t="shared" si="168"/>
        <v>Kalyanpur</v>
      </c>
      <c r="AJ3550" s="72">
        <v>0</v>
      </c>
      <c r="AK3550" s="72"/>
      <c r="AL3550" s="72"/>
      <c r="AM3550" s="72"/>
    </row>
    <row r="3551" spans="1:39" x14ac:dyDescent="0.25">
      <c r="A3551" s="37" t="s">
        <v>62</v>
      </c>
      <c r="B3551" s="66" t="s">
        <v>1644</v>
      </c>
      <c r="C3551" s="4">
        <v>1053</v>
      </c>
      <c r="D3551" s="41" t="s">
        <v>542</v>
      </c>
      <c r="E3551" s="41">
        <v>10530025</v>
      </c>
      <c r="F3551" s="85" t="s">
        <v>560</v>
      </c>
      <c r="G3551" s="39" t="s">
        <v>635</v>
      </c>
      <c r="H3551" s="52" t="s">
        <v>99</v>
      </c>
      <c r="I3551" s="52">
        <v>2569.9499999999994</v>
      </c>
      <c r="J3551" s="49">
        <v>102868.68643875401</v>
      </c>
      <c r="K3551" s="58">
        <v>0</v>
      </c>
      <c r="L3551" s="58">
        <v>0</v>
      </c>
      <c r="M3551" s="58">
        <v>0</v>
      </c>
      <c r="N3551" s="58">
        <v>0</v>
      </c>
      <c r="O3551" s="58">
        <v>0</v>
      </c>
      <c r="P3551" s="53">
        <v>0</v>
      </c>
      <c r="Q3551" s="65">
        <v>102868.68643875401</v>
      </c>
      <c r="R3551" s="65">
        <v>0</v>
      </c>
      <c r="S3551" s="65">
        <v>0</v>
      </c>
      <c r="T3551" s="65">
        <v>0</v>
      </c>
      <c r="U3551" s="58">
        <v>0</v>
      </c>
      <c r="V3551" s="65">
        <v>0</v>
      </c>
      <c r="W3551" s="65">
        <v>0</v>
      </c>
      <c r="X3551" s="65">
        <v>0</v>
      </c>
      <c r="Y3551" s="65">
        <v>0</v>
      </c>
      <c r="Z3551" s="51">
        <v>102868.68643875401</v>
      </c>
      <c r="AA3551" s="51">
        <v>0</v>
      </c>
      <c r="AB3551" s="102">
        <v>0</v>
      </c>
      <c r="AC3551" s="81">
        <f t="shared" si="169"/>
        <v>0</v>
      </c>
      <c r="AD3551" s="82">
        <f t="shared" si="170"/>
        <v>0</v>
      </c>
      <c r="AE3551" s="218">
        <v>0</v>
      </c>
      <c r="AF3551">
        <v>0</v>
      </c>
      <c r="AH3551" t="str">
        <f t="shared" si="168"/>
        <v>Kalyanpur</v>
      </c>
      <c r="AJ3551" s="72">
        <v>0</v>
      </c>
      <c r="AK3551" s="72"/>
      <c r="AL3551" s="72"/>
      <c r="AM3551" s="72"/>
    </row>
    <row r="3552" spans="1:39" x14ac:dyDescent="0.25">
      <c r="A3552" s="37" t="s">
        <v>62</v>
      </c>
      <c r="B3552" s="66" t="s">
        <v>1644</v>
      </c>
      <c r="C3552" s="4">
        <v>1053</v>
      </c>
      <c r="D3552" s="41" t="s">
        <v>542</v>
      </c>
      <c r="E3552" s="41">
        <v>10530029</v>
      </c>
      <c r="F3552" s="85" t="s">
        <v>566</v>
      </c>
      <c r="G3552" s="39" t="s">
        <v>635</v>
      </c>
      <c r="H3552" s="52" t="s">
        <v>99</v>
      </c>
      <c r="I3552" s="52">
        <v>1570.9499999999998</v>
      </c>
      <c r="J3552" s="49">
        <v>66828.174451646613</v>
      </c>
      <c r="K3552" s="58">
        <v>0</v>
      </c>
      <c r="L3552" s="58">
        <v>0</v>
      </c>
      <c r="M3552" s="58">
        <v>0</v>
      </c>
      <c r="N3552" s="58">
        <v>0</v>
      </c>
      <c r="O3552" s="58">
        <v>0</v>
      </c>
      <c r="P3552" s="53">
        <v>0</v>
      </c>
      <c r="Q3552" s="65">
        <v>66828.174451646613</v>
      </c>
      <c r="R3552" s="65">
        <v>0</v>
      </c>
      <c r="S3552" s="65">
        <v>0</v>
      </c>
      <c r="T3552" s="65">
        <v>0</v>
      </c>
      <c r="U3552" s="58">
        <v>0</v>
      </c>
      <c r="V3552" s="65">
        <v>0</v>
      </c>
      <c r="W3552" s="65">
        <v>0</v>
      </c>
      <c r="X3552" s="65">
        <v>0</v>
      </c>
      <c r="Y3552" s="65">
        <v>0</v>
      </c>
      <c r="Z3552" s="51">
        <v>66828.174451646613</v>
      </c>
      <c r="AA3552" s="51">
        <v>0</v>
      </c>
      <c r="AB3552" s="102">
        <v>0</v>
      </c>
      <c r="AC3552" s="81">
        <f t="shared" si="169"/>
        <v>0</v>
      </c>
      <c r="AD3552" s="82">
        <f t="shared" si="170"/>
        <v>0</v>
      </c>
      <c r="AE3552" s="218">
        <v>0</v>
      </c>
      <c r="AF3552">
        <v>0</v>
      </c>
      <c r="AH3552" t="str">
        <f t="shared" si="168"/>
        <v>Kalyanpur</v>
      </c>
      <c r="AJ3552" s="72">
        <v>0</v>
      </c>
      <c r="AK3552" s="72"/>
      <c r="AL3552" s="72"/>
      <c r="AM3552" s="72"/>
    </row>
    <row r="3553" spans="1:39" x14ac:dyDescent="0.25">
      <c r="A3553" s="37" t="s">
        <v>62</v>
      </c>
      <c r="B3553" s="66" t="s">
        <v>1644</v>
      </c>
      <c r="C3553" s="4">
        <v>1053</v>
      </c>
      <c r="D3553" s="41" t="s">
        <v>542</v>
      </c>
      <c r="E3553" s="41">
        <v>10530030</v>
      </c>
      <c r="F3553" s="85" t="s">
        <v>567</v>
      </c>
      <c r="G3553" s="39" t="s">
        <v>635</v>
      </c>
      <c r="H3553" s="52" t="s">
        <v>99</v>
      </c>
      <c r="I3553" s="52">
        <v>355.85</v>
      </c>
      <c r="J3553" s="49">
        <v>13416.720982296752</v>
      </c>
      <c r="K3553" s="58">
        <v>0</v>
      </c>
      <c r="L3553" s="58">
        <v>0</v>
      </c>
      <c r="M3553" s="58">
        <v>0</v>
      </c>
      <c r="N3553" s="58">
        <v>0</v>
      </c>
      <c r="O3553" s="58">
        <v>0</v>
      </c>
      <c r="P3553" s="53">
        <v>0</v>
      </c>
      <c r="Q3553" s="65">
        <v>13416.720982296752</v>
      </c>
      <c r="R3553" s="65">
        <v>0</v>
      </c>
      <c r="S3553" s="65">
        <v>0</v>
      </c>
      <c r="T3553" s="65">
        <v>0</v>
      </c>
      <c r="U3553" s="58">
        <v>0</v>
      </c>
      <c r="V3553" s="65">
        <v>0</v>
      </c>
      <c r="W3553" s="65">
        <v>0</v>
      </c>
      <c r="X3553" s="65">
        <v>0</v>
      </c>
      <c r="Y3553" s="65">
        <v>0</v>
      </c>
      <c r="Z3553" s="51">
        <v>13416.720982296752</v>
      </c>
      <c r="AA3553" s="51">
        <v>0</v>
      </c>
      <c r="AB3553" s="102">
        <v>0</v>
      </c>
      <c r="AC3553" s="81">
        <f t="shared" si="169"/>
        <v>259.51184634297749</v>
      </c>
      <c r="AD3553" s="82">
        <f t="shared" si="170"/>
        <v>50.835714285714289</v>
      </c>
      <c r="AE3553" s="218">
        <v>0</v>
      </c>
      <c r="AF3553">
        <v>0</v>
      </c>
      <c r="AH3553" t="str">
        <f t="shared" si="168"/>
        <v>Kalyanpur</v>
      </c>
      <c r="AJ3553" s="72">
        <v>0</v>
      </c>
      <c r="AK3553" s="72"/>
      <c r="AL3553" s="72"/>
      <c r="AM3553" s="72"/>
    </row>
    <row r="3554" spans="1:39" x14ac:dyDescent="0.25">
      <c r="A3554" s="37" t="s">
        <v>62</v>
      </c>
      <c r="B3554" s="66" t="s">
        <v>1644</v>
      </c>
      <c r="C3554" s="4">
        <v>1053</v>
      </c>
      <c r="D3554" s="41" t="s">
        <v>542</v>
      </c>
      <c r="E3554" s="41">
        <v>10530031</v>
      </c>
      <c r="F3554" s="85" t="s">
        <v>436</v>
      </c>
      <c r="G3554" s="39" t="s">
        <v>635</v>
      </c>
      <c r="H3554" s="52" t="s">
        <v>99</v>
      </c>
      <c r="I3554" s="52">
        <v>1411.9</v>
      </c>
      <c r="J3554" s="49">
        <v>58222.499181996005</v>
      </c>
      <c r="K3554" s="58">
        <v>0</v>
      </c>
      <c r="L3554" s="58">
        <v>0</v>
      </c>
      <c r="M3554" s="58">
        <v>0</v>
      </c>
      <c r="N3554" s="58">
        <v>0</v>
      </c>
      <c r="O3554" s="58">
        <v>0</v>
      </c>
      <c r="P3554" s="53">
        <v>0</v>
      </c>
      <c r="Q3554" s="65">
        <v>58222.499181996005</v>
      </c>
      <c r="R3554" s="65">
        <v>0</v>
      </c>
      <c r="S3554" s="65">
        <v>0</v>
      </c>
      <c r="T3554" s="65">
        <v>0</v>
      </c>
      <c r="U3554" s="58">
        <v>0</v>
      </c>
      <c r="V3554" s="65">
        <v>0</v>
      </c>
      <c r="W3554" s="65">
        <v>0</v>
      </c>
      <c r="X3554" s="65">
        <v>0</v>
      </c>
      <c r="Y3554" s="65">
        <v>0</v>
      </c>
      <c r="Z3554" s="51">
        <v>58222.499181996005</v>
      </c>
      <c r="AA3554" s="51">
        <v>0</v>
      </c>
      <c r="AB3554" s="102">
        <v>0</v>
      </c>
      <c r="AC3554" s="81">
        <f t="shared" si="169"/>
        <v>0</v>
      </c>
      <c r="AD3554" s="82">
        <f t="shared" si="170"/>
        <v>0</v>
      </c>
      <c r="AE3554" s="218">
        <v>0</v>
      </c>
      <c r="AF3554">
        <v>0</v>
      </c>
      <c r="AH3554" t="str">
        <f t="shared" si="168"/>
        <v>Kalyanpur</v>
      </c>
      <c r="AJ3554" s="72">
        <v>0</v>
      </c>
      <c r="AK3554" s="72"/>
      <c r="AL3554" s="72"/>
      <c r="AM3554" s="72"/>
    </row>
    <row r="3555" spans="1:39" x14ac:dyDescent="0.25">
      <c r="A3555" s="37" t="s">
        <v>62</v>
      </c>
      <c r="B3555" s="66" t="s">
        <v>1644</v>
      </c>
      <c r="C3555" s="4">
        <v>1053</v>
      </c>
      <c r="D3555" s="41" t="s">
        <v>542</v>
      </c>
      <c r="E3555" s="41">
        <v>10530032</v>
      </c>
      <c r="F3555" s="85" t="s">
        <v>582</v>
      </c>
      <c r="G3555" s="39" t="s">
        <v>93</v>
      </c>
      <c r="H3555" s="52" t="s">
        <v>94</v>
      </c>
      <c r="I3555" s="52">
        <v>457.75000000000006</v>
      </c>
      <c r="J3555" s="49">
        <v>22418.2662017039</v>
      </c>
      <c r="K3555" s="58">
        <v>457.11999999999995</v>
      </c>
      <c r="L3555" s="58">
        <v>22406.371627022712</v>
      </c>
      <c r="M3555" s="58">
        <v>4.05</v>
      </c>
      <c r="N3555" s="58">
        <v>166.62748621800003</v>
      </c>
      <c r="O3555" s="58">
        <v>461.16999999999996</v>
      </c>
      <c r="P3555" s="53">
        <v>22572.999113240712</v>
      </c>
      <c r="Q3555" s="65">
        <v>22418.2662017039</v>
      </c>
      <c r="R3555" s="65">
        <v>0</v>
      </c>
      <c r="S3555" s="65">
        <v>166.62748621800003</v>
      </c>
      <c r="T3555" s="65">
        <v>154.73291153681203</v>
      </c>
      <c r="U3555" s="58">
        <v>0</v>
      </c>
      <c r="V3555" s="65">
        <v>0</v>
      </c>
      <c r="W3555" s="65">
        <v>0</v>
      </c>
      <c r="X3555" s="65">
        <v>22251</v>
      </c>
      <c r="Y3555" s="65">
        <v>0</v>
      </c>
      <c r="Z3555" s="51">
        <v>0</v>
      </c>
      <c r="AA3555" s="51">
        <v>1</v>
      </c>
      <c r="AB3555" s="102">
        <v>0</v>
      </c>
      <c r="AC3555" s="81">
        <f t="shared" si="169"/>
        <v>237.28345111361082</v>
      </c>
      <c r="AD3555" s="82">
        <f t="shared" si="170"/>
        <v>65.392857142857153</v>
      </c>
      <c r="AE3555" s="218">
        <v>-6.9020909174970701E-3</v>
      </c>
      <c r="AF3555">
        <v>21</v>
      </c>
      <c r="AH3555" t="str">
        <f t="shared" si="168"/>
        <v>Kalyanpur</v>
      </c>
      <c r="AJ3555" s="72">
        <v>0</v>
      </c>
      <c r="AK3555" s="72"/>
      <c r="AL3555" s="72"/>
      <c r="AM3555" s="72"/>
    </row>
    <row r="3556" spans="1:39" x14ac:dyDescent="0.25">
      <c r="A3556" s="37" t="s">
        <v>62</v>
      </c>
      <c r="B3556" s="66" t="s">
        <v>1644</v>
      </c>
      <c r="C3556" s="4">
        <v>1053</v>
      </c>
      <c r="D3556" s="41" t="s">
        <v>542</v>
      </c>
      <c r="E3556" s="41">
        <v>10530033</v>
      </c>
      <c r="F3556" s="85" t="s">
        <v>603</v>
      </c>
      <c r="G3556" s="39" t="s">
        <v>93</v>
      </c>
      <c r="H3556" s="52" t="s">
        <v>94</v>
      </c>
      <c r="I3556" s="52">
        <v>915.44999999999993</v>
      </c>
      <c r="J3556" s="49">
        <v>37790.23473385231</v>
      </c>
      <c r="K3556" s="58">
        <v>909.51999999999987</v>
      </c>
      <c r="L3556" s="58">
        <v>38424.738380277806</v>
      </c>
      <c r="M3556" s="58">
        <v>13.780000000000001</v>
      </c>
      <c r="N3556" s="58">
        <v>564.41188417156195</v>
      </c>
      <c r="O3556" s="58">
        <v>923.29999999999984</v>
      </c>
      <c r="P3556" s="53">
        <v>38989.150264449367</v>
      </c>
      <c r="Q3556" s="65">
        <v>37790.23473385231</v>
      </c>
      <c r="R3556" s="65">
        <v>0</v>
      </c>
      <c r="S3556" s="65">
        <v>564.41188417156195</v>
      </c>
      <c r="T3556" s="65">
        <v>1198.9155305970562</v>
      </c>
      <c r="U3556" s="58">
        <v>0</v>
      </c>
      <c r="V3556" s="65">
        <v>0</v>
      </c>
      <c r="W3556" s="65">
        <v>0</v>
      </c>
      <c r="X3556" s="65">
        <v>37226</v>
      </c>
      <c r="Y3556" s="65">
        <v>0</v>
      </c>
      <c r="Z3556" s="51">
        <v>0</v>
      </c>
      <c r="AA3556" s="51">
        <v>0</v>
      </c>
      <c r="AB3556" s="102">
        <v>0</v>
      </c>
      <c r="AC3556" s="81">
        <f t="shared" si="169"/>
        <v>0</v>
      </c>
      <c r="AD3556" s="82">
        <f t="shared" si="170"/>
        <v>0</v>
      </c>
      <c r="AE3556" s="218">
        <v>-3.1725538066665497E-2</v>
      </c>
      <c r="AF3556">
        <v>24</v>
      </c>
      <c r="AH3556" t="str">
        <f t="shared" si="168"/>
        <v>Kalyanpur</v>
      </c>
      <c r="AJ3556" s="72">
        <v>0</v>
      </c>
      <c r="AK3556" s="72"/>
      <c r="AL3556" s="72"/>
      <c r="AM3556" s="72"/>
    </row>
    <row r="3557" spans="1:39" x14ac:dyDescent="0.25">
      <c r="A3557" s="37" t="s">
        <v>62</v>
      </c>
      <c r="B3557" s="66" t="s">
        <v>1644</v>
      </c>
      <c r="C3557" s="4">
        <v>1053</v>
      </c>
      <c r="D3557" s="41" t="s">
        <v>542</v>
      </c>
      <c r="E3557" s="41">
        <v>10530034</v>
      </c>
      <c r="F3557" s="85" t="s">
        <v>604</v>
      </c>
      <c r="G3557" s="39" t="s">
        <v>93</v>
      </c>
      <c r="H3557" s="52" t="s">
        <v>94</v>
      </c>
      <c r="I3557" s="52">
        <v>974.70000000000016</v>
      </c>
      <c r="J3557" s="49">
        <v>50841.442464379492</v>
      </c>
      <c r="K3557" s="58">
        <v>984.2</v>
      </c>
      <c r="L3557" s="58">
        <v>52136.454882592698</v>
      </c>
      <c r="M3557" s="58">
        <v>0</v>
      </c>
      <c r="N3557" s="58">
        <v>0</v>
      </c>
      <c r="O3557" s="58">
        <v>984.2</v>
      </c>
      <c r="P3557" s="53">
        <v>52136.454882592698</v>
      </c>
      <c r="Q3557" s="65">
        <v>50841.442464379492</v>
      </c>
      <c r="R3557" s="65">
        <v>0</v>
      </c>
      <c r="S3557" s="65">
        <v>0</v>
      </c>
      <c r="T3557" s="65">
        <v>1295.0124182132058</v>
      </c>
      <c r="U3557" s="58">
        <v>0</v>
      </c>
      <c r="V3557" s="65">
        <v>0</v>
      </c>
      <c r="W3557" s="65">
        <v>0</v>
      </c>
      <c r="X3557" s="65">
        <v>50841</v>
      </c>
      <c r="Y3557" s="65">
        <v>0</v>
      </c>
      <c r="Z3557" s="51">
        <v>0</v>
      </c>
      <c r="AA3557" s="51">
        <v>0</v>
      </c>
      <c r="AB3557" s="102">
        <v>0</v>
      </c>
      <c r="AC3557" s="81">
        <f t="shared" si="169"/>
        <v>0</v>
      </c>
      <c r="AD3557" s="82">
        <f t="shared" si="170"/>
        <v>0</v>
      </c>
      <c r="AE3557" s="218">
        <v>-2.5471590801549676E-2</v>
      </c>
      <c r="AF3557">
        <v>36</v>
      </c>
      <c r="AH3557" t="str">
        <f t="shared" si="168"/>
        <v>Kalyanpur</v>
      </c>
      <c r="AJ3557" s="72">
        <v>0</v>
      </c>
      <c r="AK3557" s="72"/>
      <c r="AL3557" s="72"/>
      <c r="AM3557" s="72"/>
    </row>
    <row r="3558" spans="1:39" x14ac:dyDescent="0.25">
      <c r="A3558" s="37" t="s">
        <v>62</v>
      </c>
      <c r="B3558" s="66" t="s">
        <v>1644</v>
      </c>
      <c r="C3558" s="4">
        <v>1053</v>
      </c>
      <c r="D3558" s="41" t="s">
        <v>542</v>
      </c>
      <c r="E3558" s="41">
        <v>10530035</v>
      </c>
      <c r="F3558" s="85" t="s">
        <v>605</v>
      </c>
      <c r="G3558" s="39" t="s">
        <v>93</v>
      </c>
      <c r="H3558" s="52" t="s">
        <v>94</v>
      </c>
      <c r="I3558" s="52">
        <v>630.5</v>
      </c>
      <c r="J3558" s="49">
        <v>26859.305536738349</v>
      </c>
      <c r="K3558" s="58">
        <v>624.17999999999984</v>
      </c>
      <c r="L3558" s="58">
        <v>26122.202588807744</v>
      </c>
      <c r="M3558" s="58">
        <v>15.060000000000002</v>
      </c>
      <c r="N3558" s="58">
        <v>644.36929011599989</v>
      </c>
      <c r="O3558" s="58">
        <v>639.23999999999978</v>
      </c>
      <c r="P3558" s="53">
        <v>26766.571878923743</v>
      </c>
      <c r="Q3558" s="65">
        <v>26766.571878923743</v>
      </c>
      <c r="R3558" s="65">
        <v>0</v>
      </c>
      <c r="S3558" s="65">
        <v>644.36929011599989</v>
      </c>
      <c r="T3558" s="65">
        <v>0</v>
      </c>
      <c r="U3558" s="58">
        <v>284</v>
      </c>
      <c r="V3558" s="65">
        <v>0</v>
      </c>
      <c r="W3558" s="65">
        <v>0</v>
      </c>
      <c r="X3558" s="65">
        <v>25836</v>
      </c>
      <c r="Y3558" s="65">
        <v>0</v>
      </c>
      <c r="Z3558" s="51">
        <v>0</v>
      </c>
      <c r="AA3558" s="51">
        <v>95</v>
      </c>
      <c r="AB3558" s="102">
        <v>0</v>
      </c>
      <c r="AC3558" s="81">
        <f t="shared" si="169"/>
        <v>59.214012206290747</v>
      </c>
      <c r="AD3558" s="82">
        <f t="shared" si="170"/>
        <v>90.071428571428569</v>
      </c>
      <c r="AE3558" s="218">
        <v>3.4525709418571607E-3</v>
      </c>
      <c r="AF3558">
        <v>25</v>
      </c>
      <c r="AH3558" t="str">
        <f t="shared" si="168"/>
        <v>Kalyanpur</v>
      </c>
      <c r="AJ3558" s="72">
        <v>0</v>
      </c>
      <c r="AK3558" s="72"/>
      <c r="AL3558" s="72"/>
      <c r="AM3558" s="72"/>
    </row>
    <row r="3559" spans="1:39" x14ac:dyDescent="0.25">
      <c r="A3559" s="37" t="s">
        <v>62</v>
      </c>
      <c r="B3559" s="66" t="s">
        <v>1644</v>
      </c>
      <c r="C3559" s="4">
        <v>1053</v>
      </c>
      <c r="D3559" s="41" t="s">
        <v>542</v>
      </c>
      <c r="E3559" s="41">
        <v>10530038</v>
      </c>
      <c r="F3559" s="85" t="s">
        <v>606</v>
      </c>
      <c r="G3559" s="39" t="s">
        <v>635</v>
      </c>
      <c r="H3559" s="52" t="s">
        <v>99</v>
      </c>
      <c r="I3559" s="52">
        <v>791.95</v>
      </c>
      <c r="J3559" s="49">
        <v>31983.914812503004</v>
      </c>
      <c r="K3559" s="58">
        <v>0</v>
      </c>
      <c r="L3559" s="58">
        <v>0</v>
      </c>
      <c r="M3559" s="58">
        <v>0</v>
      </c>
      <c r="N3559" s="58">
        <v>0</v>
      </c>
      <c r="O3559" s="58">
        <v>0</v>
      </c>
      <c r="P3559" s="53">
        <v>0</v>
      </c>
      <c r="Q3559" s="65">
        <v>31983.914812503004</v>
      </c>
      <c r="R3559" s="65">
        <v>0</v>
      </c>
      <c r="S3559" s="65">
        <v>0</v>
      </c>
      <c r="T3559" s="65">
        <v>0</v>
      </c>
      <c r="U3559" s="58">
        <v>0</v>
      </c>
      <c r="V3559" s="65">
        <v>0</v>
      </c>
      <c r="W3559" s="65">
        <v>0</v>
      </c>
      <c r="X3559" s="65">
        <v>0</v>
      </c>
      <c r="Y3559" s="65">
        <v>0</v>
      </c>
      <c r="Z3559" s="51">
        <v>31983.914812503004</v>
      </c>
      <c r="AA3559" s="51">
        <v>0</v>
      </c>
      <c r="AB3559" s="102">
        <v>0</v>
      </c>
      <c r="AC3559" s="81">
        <f t="shared" si="169"/>
        <v>0</v>
      </c>
      <c r="AD3559" s="82">
        <f t="shared" si="170"/>
        <v>0</v>
      </c>
      <c r="AE3559" s="218">
        <v>0</v>
      </c>
      <c r="AF3559">
        <v>0</v>
      </c>
      <c r="AH3559" t="str">
        <f t="shared" si="168"/>
        <v>Kalyanpur</v>
      </c>
      <c r="AJ3559" s="72">
        <v>0</v>
      </c>
      <c r="AK3559" s="72"/>
      <c r="AL3559" s="72"/>
      <c r="AM3559" s="72"/>
    </row>
    <row r="3560" spans="1:39" x14ac:dyDescent="0.25">
      <c r="A3560" s="37" t="s">
        <v>62</v>
      </c>
      <c r="B3560" s="66" t="s">
        <v>1644</v>
      </c>
      <c r="C3560" s="4">
        <v>1053</v>
      </c>
      <c r="D3560" s="41" t="s">
        <v>542</v>
      </c>
      <c r="E3560" s="41">
        <v>10530040</v>
      </c>
      <c r="F3560" s="85" t="s">
        <v>607</v>
      </c>
      <c r="G3560" s="39" t="s">
        <v>93</v>
      </c>
      <c r="H3560" s="52" t="s">
        <v>94</v>
      </c>
      <c r="I3560" s="52">
        <v>584.40000000000009</v>
      </c>
      <c r="J3560" s="49">
        <v>24687.104818135354</v>
      </c>
      <c r="K3560" s="58">
        <v>573.75</v>
      </c>
      <c r="L3560" s="58">
        <v>24616.967168034316</v>
      </c>
      <c r="M3560" s="58">
        <v>10.310000000000002</v>
      </c>
      <c r="N3560" s="58">
        <v>445.38639441599997</v>
      </c>
      <c r="O3560" s="58">
        <v>584.05999999999995</v>
      </c>
      <c r="P3560" s="53">
        <v>25062.353562450317</v>
      </c>
      <c r="Q3560" s="65">
        <v>24687.104818135354</v>
      </c>
      <c r="R3560" s="65">
        <v>0</v>
      </c>
      <c r="S3560" s="65">
        <v>445.38639441599997</v>
      </c>
      <c r="T3560" s="65">
        <v>375.2487443149621</v>
      </c>
      <c r="U3560" s="58">
        <v>0</v>
      </c>
      <c r="V3560" s="65">
        <v>0</v>
      </c>
      <c r="W3560" s="65">
        <v>0</v>
      </c>
      <c r="X3560" s="65">
        <v>24242</v>
      </c>
      <c r="Y3560" s="65">
        <v>0</v>
      </c>
      <c r="Z3560" s="51">
        <v>0</v>
      </c>
      <c r="AA3560" s="51">
        <v>0</v>
      </c>
      <c r="AB3560" s="102">
        <v>0</v>
      </c>
      <c r="AC3560" s="81">
        <f t="shared" si="169"/>
        <v>97.666985522807835</v>
      </c>
      <c r="AD3560" s="82">
        <f t="shared" si="170"/>
        <v>83.485714285714295</v>
      </c>
      <c r="AE3560" s="218">
        <v>-1.5200192451862611E-2</v>
      </c>
      <c r="AF3560">
        <v>25</v>
      </c>
      <c r="AH3560" t="str">
        <f t="shared" si="168"/>
        <v>Kalyanpur</v>
      </c>
      <c r="AJ3560" s="72">
        <v>0</v>
      </c>
      <c r="AK3560" s="72"/>
      <c r="AL3560" s="72"/>
      <c r="AM3560" s="72"/>
    </row>
    <row r="3561" spans="1:39" x14ac:dyDescent="0.25">
      <c r="A3561" s="37" t="s">
        <v>62</v>
      </c>
      <c r="B3561" s="66" t="s">
        <v>1644</v>
      </c>
      <c r="C3561" s="4">
        <v>1053</v>
      </c>
      <c r="D3561" s="41" t="s">
        <v>542</v>
      </c>
      <c r="E3561" s="41">
        <v>10530041</v>
      </c>
      <c r="F3561" s="85" t="s">
        <v>583</v>
      </c>
      <c r="G3561" s="39" t="s">
        <v>635</v>
      </c>
      <c r="H3561" s="52" t="s">
        <v>99</v>
      </c>
      <c r="I3561" s="52">
        <v>780.75000000000011</v>
      </c>
      <c r="J3561" s="49">
        <v>32020.929090420104</v>
      </c>
      <c r="K3561" s="58">
        <v>0</v>
      </c>
      <c r="L3561" s="58">
        <v>0</v>
      </c>
      <c r="M3561" s="58">
        <v>0</v>
      </c>
      <c r="N3561" s="58">
        <v>0</v>
      </c>
      <c r="O3561" s="58">
        <v>0</v>
      </c>
      <c r="P3561" s="53">
        <v>0</v>
      </c>
      <c r="Q3561" s="65">
        <v>32020.929090420104</v>
      </c>
      <c r="R3561" s="65">
        <v>0</v>
      </c>
      <c r="S3561" s="65">
        <v>0</v>
      </c>
      <c r="T3561" s="65">
        <v>0</v>
      </c>
      <c r="U3561" s="58">
        <v>0</v>
      </c>
      <c r="V3561" s="65">
        <v>0</v>
      </c>
      <c r="W3561" s="65">
        <v>0</v>
      </c>
      <c r="X3561" s="65">
        <v>0</v>
      </c>
      <c r="Y3561" s="65">
        <v>0</v>
      </c>
      <c r="Z3561" s="51">
        <v>32020.929090420104</v>
      </c>
      <c r="AA3561" s="51">
        <v>0</v>
      </c>
      <c r="AB3561" s="102">
        <v>0</v>
      </c>
      <c r="AC3561" s="81">
        <f t="shared" si="169"/>
        <v>0</v>
      </c>
      <c r="AD3561" s="82">
        <f t="shared" si="170"/>
        <v>0</v>
      </c>
      <c r="AE3561" s="218">
        <v>0</v>
      </c>
      <c r="AF3561">
        <v>0</v>
      </c>
      <c r="AH3561" t="str">
        <f t="shared" si="168"/>
        <v>Kalyanpur</v>
      </c>
      <c r="AJ3561" s="72">
        <v>0</v>
      </c>
      <c r="AK3561" s="72"/>
      <c r="AL3561" s="72"/>
      <c r="AM3561" s="72"/>
    </row>
    <row r="3562" spans="1:39" x14ac:dyDescent="0.25">
      <c r="A3562" s="37" t="s">
        <v>62</v>
      </c>
      <c r="B3562" s="66" t="s">
        <v>1644</v>
      </c>
      <c r="C3562" s="4">
        <v>1053</v>
      </c>
      <c r="D3562" s="41" t="s">
        <v>542</v>
      </c>
      <c r="E3562" s="41">
        <v>10530044</v>
      </c>
      <c r="F3562" s="85" t="s">
        <v>608</v>
      </c>
      <c r="G3562" s="39" t="s">
        <v>93</v>
      </c>
      <c r="H3562" s="52" t="s">
        <v>94</v>
      </c>
      <c r="I3562" s="52">
        <v>919.64999999999975</v>
      </c>
      <c r="J3562" s="49">
        <v>40182.851056039704</v>
      </c>
      <c r="K3562" s="58">
        <v>907.21999999999969</v>
      </c>
      <c r="L3562" s="58">
        <v>39707.612604042813</v>
      </c>
      <c r="M3562" s="58">
        <v>12.729999999999999</v>
      </c>
      <c r="N3562" s="58">
        <v>548.73503031600012</v>
      </c>
      <c r="O3562" s="58">
        <v>919.9499999999997</v>
      </c>
      <c r="P3562" s="53">
        <v>40256.347634358812</v>
      </c>
      <c r="Q3562" s="65">
        <v>40182.851056039704</v>
      </c>
      <c r="R3562" s="65">
        <v>0</v>
      </c>
      <c r="S3562" s="65">
        <v>548.73503031600012</v>
      </c>
      <c r="T3562" s="65">
        <v>73.496578319107357</v>
      </c>
      <c r="U3562" s="58">
        <v>0</v>
      </c>
      <c r="V3562" s="65">
        <v>0</v>
      </c>
      <c r="W3562" s="65">
        <v>0</v>
      </c>
      <c r="X3562" s="65">
        <v>39634</v>
      </c>
      <c r="Y3562" s="65">
        <v>0</v>
      </c>
      <c r="Z3562" s="51">
        <v>0</v>
      </c>
      <c r="AA3562" s="51">
        <v>0</v>
      </c>
      <c r="AB3562" s="102">
        <v>0</v>
      </c>
      <c r="AC3562" s="81">
        <f t="shared" si="169"/>
        <v>0</v>
      </c>
      <c r="AD3562" s="82">
        <f t="shared" si="170"/>
        <v>0</v>
      </c>
      <c r="AE3562" s="218">
        <v>-1.8290533495646626E-3</v>
      </c>
      <c r="AF3562">
        <v>21</v>
      </c>
      <c r="AH3562" t="str">
        <f t="shared" si="168"/>
        <v>Kalyanpur</v>
      </c>
      <c r="AJ3562" s="72">
        <v>0</v>
      </c>
      <c r="AK3562" s="72"/>
      <c r="AL3562" s="72"/>
      <c r="AM3562" s="72"/>
    </row>
    <row r="3563" spans="1:39" x14ac:dyDescent="0.25">
      <c r="A3563" s="37" t="s">
        <v>62</v>
      </c>
      <c r="B3563" s="66" t="s">
        <v>1644</v>
      </c>
      <c r="C3563" s="4">
        <v>1053</v>
      </c>
      <c r="D3563" s="41" t="s">
        <v>542</v>
      </c>
      <c r="E3563" s="41">
        <v>10530046</v>
      </c>
      <c r="F3563" s="85" t="s">
        <v>639</v>
      </c>
      <c r="G3563" s="39" t="s">
        <v>93</v>
      </c>
      <c r="H3563" s="52" t="s">
        <v>94</v>
      </c>
      <c r="I3563" s="52">
        <v>337.6</v>
      </c>
      <c r="J3563" s="49">
        <v>16729.3242046005</v>
      </c>
      <c r="K3563" s="58">
        <v>366.36000000000007</v>
      </c>
      <c r="L3563" s="58">
        <v>18235.55767444507</v>
      </c>
      <c r="M3563" s="58">
        <v>5.78</v>
      </c>
      <c r="N3563" s="58">
        <v>239.27398927136403</v>
      </c>
      <c r="O3563" s="58">
        <v>372.14000000000004</v>
      </c>
      <c r="P3563" s="53">
        <v>18474.831663716435</v>
      </c>
      <c r="Q3563" s="65">
        <v>16729.3242046005</v>
      </c>
      <c r="R3563" s="65">
        <v>0</v>
      </c>
      <c r="S3563" s="65">
        <v>239.27398927136403</v>
      </c>
      <c r="T3563" s="65">
        <v>1745.5074591159355</v>
      </c>
      <c r="U3563" s="58">
        <v>0</v>
      </c>
      <c r="V3563" s="65">
        <v>0</v>
      </c>
      <c r="W3563" s="65">
        <v>0</v>
      </c>
      <c r="X3563" s="65">
        <v>16490</v>
      </c>
      <c r="Y3563" s="65">
        <v>0</v>
      </c>
      <c r="Z3563" s="51">
        <v>0</v>
      </c>
      <c r="AA3563" s="51">
        <v>0</v>
      </c>
      <c r="AB3563" s="102">
        <v>0</v>
      </c>
      <c r="AC3563" s="81">
        <f t="shared" si="169"/>
        <v>359.16511207033301</v>
      </c>
      <c r="AD3563" s="82">
        <f t="shared" si="170"/>
        <v>48.228571428571435</v>
      </c>
      <c r="AE3563" s="218">
        <v>-0.10433819308946907</v>
      </c>
      <c r="AF3563">
        <v>19</v>
      </c>
      <c r="AH3563" t="str">
        <f t="shared" si="168"/>
        <v>Kalyanpur</v>
      </c>
      <c r="AJ3563" s="72">
        <v>0</v>
      </c>
      <c r="AK3563" s="72"/>
      <c r="AL3563" s="72"/>
      <c r="AM3563" s="72"/>
    </row>
    <row r="3564" spans="1:39" x14ac:dyDescent="0.25">
      <c r="A3564" s="37" t="s">
        <v>62</v>
      </c>
      <c r="B3564" s="66" t="s">
        <v>1644</v>
      </c>
      <c r="C3564" s="4">
        <v>1053</v>
      </c>
      <c r="D3564" s="41" t="s">
        <v>542</v>
      </c>
      <c r="E3564" s="41">
        <v>10530047</v>
      </c>
      <c r="F3564" s="85" t="s">
        <v>609</v>
      </c>
      <c r="G3564" s="39" t="s">
        <v>93</v>
      </c>
      <c r="H3564" s="52" t="s">
        <v>94</v>
      </c>
      <c r="I3564" s="52">
        <v>272.10000000000002</v>
      </c>
      <c r="J3564" s="49">
        <v>9311.5178832007496</v>
      </c>
      <c r="K3564" s="58">
        <v>271.10000000000002</v>
      </c>
      <c r="L3564" s="58">
        <v>9873.7354628738995</v>
      </c>
      <c r="M3564" s="58">
        <v>0</v>
      </c>
      <c r="N3564" s="58">
        <v>0</v>
      </c>
      <c r="O3564" s="58">
        <v>271.10000000000002</v>
      </c>
      <c r="P3564" s="53">
        <v>9873.7354628738995</v>
      </c>
      <c r="Q3564" s="65">
        <v>9311.5178832007496</v>
      </c>
      <c r="R3564" s="65">
        <v>0</v>
      </c>
      <c r="S3564" s="65">
        <v>0</v>
      </c>
      <c r="T3564" s="65">
        <v>562.21757967314988</v>
      </c>
      <c r="U3564" s="58">
        <v>0</v>
      </c>
      <c r="V3564" s="65">
        <v>0</v>
      </c>
      <c r="W3564" s="65">
        <v>0</v>
      </c>
      <c r="X3564" s="65">
        <v>9312</v>
      </c>
      <c r="Y3564" s="65">
        <v>0</v>
      </c>
      <c r="Z3564" s="51">
        <v>0</v>
      </c>
      <c r="AA3564" s="51">
        <v>0</v>
      </c>
      <c r="AB3564" s="102">
        <v>0</v>
      </c>
      <c r="AC3564" s="81">
        <f t="shared" si="169"/>
        <v>292.86280795454616</v>
      </c>
      <c r="AD3564" s="82">
        <f t="shared" si="170"/>
        <v>38.871428571428574</v>
      </c>
      <c r="AE3564" s="218">
        <v>-6.0378725222390135E-2</v>
      </c>
      <c r="AF3564">
        <v>5</v>
      </c>
      <c r="AH3564" t="str">
        <f t="shared" si="168"/>
        <v>Kalyanpur</v>
      </c>
      <c r="AJ3564" s="72">
        <v>0</v>
      </c>
      <c r="AK3564" s="72"/>
      <c r="AL3564" s="72"/>
      <c r="AM3564" s="72"/>
    </row>
    <row r="3565" spans="1:39" x14ac:dyDescent="0.25">
      <c r="A3565" s="37" t="s">
        <v>62</v>
      </c>
      <c r="B3565" s="66" t="s">
        <v>1644</v>
      </c>
      <c r="C3565" s="4">
        <v>1053</v>
      </c>
      <c r="D3565" s="41" t="s">
        <v>542</v>
      </c>
      <c r="E3565" s="41">
        <v>10530048</v>
      </c>
      <c r="F3565" s="85" t="s">
        <v>640</v>
      </c>
      <c r="G3565" s="39" t="s">
        <v>93</v>
      </c>
      <c r="H3565" s="52" t="s">
        <v>94</v>
      </c>
      <c r="I3565" s="52">
        <v>353.09999999999991</v>
      </c>
      <c r="J3565" s="49">
        <v>13352.542602393751</v>
      </c>
      <c r="K3565" s="58">
        <v>347.67999999999995</v>
      </c>
      <c r="L3565" s="58">
        <v>13199.674266977332</v>
      </c>
      <c r="M3565" s="58">
        <v>3.4000000000000004</v>
      </c>
      <c r="N3565" s="58">
        <v>151.08134072724002</v>
      </c>
      <c r="O3565" s="58">
        <v>351.07999999999993</v>
      </c>
      <c r="P3565" s="53">
        <v>13350.755607704572</v>
      </c>
      <c r="Q3565" s="65">
        <v>13350.755607704572</v>
      </c>
      <c r="R3565" s="65">
        <v>0</v>
      </c>
      <c r="S3565" s="65">
        <v>151.08134072724002</v>
      </c>
      <c r="T3565" s="65">
        <v>0</v>
      </c>
      <c r="U3565" s="58">
        <v>0</v>
      </c>
      <c r="V3565" s="65">
        <v>0</v>
      </c>
      <c r="W3565" s="65">
        <v>0</v>
      </c>
      <c r="X3565" s="65">
        <v>13200</v>
      </c>
      <c r="Y3565" s="65">
        <v>0</v>
      </c>
      <c r="Z3565" s="51">
        <v>0</v>
      </c>
      <c r="AA3565" s="51">
        <v>1</v>
      </c>
      <c r="AB3565" s="102">
        <v>0</v>
      </c>
      <c r="AC3565" s="81">
        <f t="shared" si="169"/>
        <v>262.36176883434689</v>
      </c>
      <c r="AD3565" s="82">
        <f t="shared" si="170"/>
        <v>50.442857142857129</v>
      </c>
      <c r="AE3565" s="218">
        <v>1.3383179087242866E-4</v>
      </c>
      <c r="AF3565">
        <v>11</v>
      </c>
      <c r="AH3565" t="str">
        <f t="shared" si="168"/>
        <v>Kalyanpur</v>
      </c>
      <c r="AJ3565" s="72">
        <v>0</v>
      </c>
      <c r="AK3565" s="72"/>
      <c r="AL3565" s="72"/>
      <c r="AM3565" s="72"/>
    </row>
    <row r="3566" spans="1:39" x14ac:dyDescent="0.25">
      <c r="A3566" s="37" t="s">
        <v>62</v>
      </c>
      <c r="B3566" s="66" t="s">
        <v>1644</v>
      </c>
      <c r="C3566" s="4">
        <v>1053</v>
      </c>
      <c r="D3566" s="41" t="s">
        <v>542</v>
      </c>
      <c r="E3566" s="41">
        <v>10530049</v>
      </c>
      <c r="F3566" s="85" t="s">
        <v>610</v>
      </c>
      <c r="G3566" s="39" t="s">
        <v>635</v>
      </c>
      <c r="H3566" s="52" t="s">
        <v>99</v>
      </c>
      <c r="I3566" s="52">
        <v>1977.1000000000001</v>
      </c>
      <c r="J3566" s="49">
        <v>74792.203695287011</v>
      </c>
      <c r="K3566" s="58">
        <v>0</v>
      </c>
      <c r="L3566" s="58">
        <v>0</v>
      </c>
      <c r="M3566" s="58">
        <v>0</v>
      </c>
      <c r="N3566" s="58">
        <v>0</v>
      </c>
      <c r="O3566" s="58">
        <v>0</v>
      </c>
      <c r="P3566" s="53">
        <v>0</v>
      </c>
      <c r="Q3566" s="65">
        <v>74792.203695287011</v>
      </c>
      <c r="R3566" s="65">
        <v>0</v>
      </c>
      <c r="S3566" s="65">
        <v>0</v>
      </c>
      <c r="T3566" s="65">
        <v>0</v>
      </c>
      <c r="U3566" s="58">
        <v>0</v>
      </c>
      <c r="V3566" s="65">
        <v>0</v>
      </c>
      <c r="W3566" s="65">
        <v>0</v>
      </c>
      <c r="X3566" s="65">
        <v>0</v>
      </c>
      <c r="Y3566" s="65">
        <v>0</v>
      </c>
      <c r="Z3566" s="51">
        <v>74792.203695287011</v>
      </c>
      <c r="AA3566" s="51">
        <v>0</v>
      </c>
      <c r="AB3566" s="102">
        <v>0</v>
      </c>
      <c r="AC3566" s="81">
        <f t="shared" si="169"/>
        <v>0</v>
      </c>
      <c r="AD3566" s="82">
        <f t="shared" si="170"/>
        <v>0</v>
      </c>
      <c r="AE3566" s="218">
        <v>0</v>
      </c>
      <c r="AF3566">
        <v>0</v>
      </c>
      <c r="AH3566" t="str">
        <f t="shared" si="168"/>
        <v>Kalyanpur</v>
      </c>
      <c r="AJ3566" s="72">
        <v>0</v>
      </c>
      <c r="AK3566" s="72"/>
      <c r="AL3566" s="72"/>
      <c r="AM3566" s="72"/>
    </row>
    <row r="3567" spans="1:39" x14ac:dyDescent="0.25">
      <c r="A3567" s="37" t="s">
        <v>62</v>
      </c>
      <c r="B3567" s="66" t="s">
        <v>1644</v>
      </c>
      <c r="C3567" s="4">
        <v>1053</v>
      </c>
      <c r="D3567" s="41" t="s">
        <v>542</v>
      </c>
      <c r="E3567" s="41">
        <v>10530050</v>
      </c>
      <c r="F3567" s="85" t="s">
        <v>559</v>
      </c>
      <c r="G3567" s="39" t="s">
        <v>635</v>
      </c>
      <c r="H3567" s="52" t="s">
        <v>99</v>
      </c>
      <c r="I3567" s="52">
        <v>454.94999999999993</v>
      </c>
      <c r="J3567" s="49">
        <v>20346.169246742964</v>
      </c>
      <c r="K3567" s="58">
        <v>0</v>
      </c>
      <c r="L3567" s="58">
        <v>0</v>
      </c>
      <c r="M3567" s="58">
        <v>0</v>
      </c>
      <c r="N3567" s="58">
        <v>0</v>
      </c>
      <c r="O3567" s="58">
        <v>0</v>
      </c>
      <c r="P3567" s="53">
        <v>0</v>
      </c>
      <c r="Q3567" s="65">
        <v>20346.169246742964</v>
      </c>
      <c r="R3567" s="65">
        <v>0</v>
      </c>
      <c r="S3567" s="65">
        <v>0</v>
      </c>
      <c r="T3567" s="65">
        <v>0</v>
      </c>
      <c r="U3567" s="58">
        <v>0</v>
      </c>
      <c r="V3567" s="65">
        <v>0</v>
      </c>
      <c r="W3567" s="65">
        <v>0</v>
      </c>
      <c r="X3567" s="65">
        <v>0</v>
      </c>
      <c r="Y3567" s="65">
        <v>0</v>
      </c>
      <c r="Z3567" s="51">
        <v>20346.169246742964</v>
      </c>
      <c r="AA3567" s="51">
        <v>0</v>
      </c>
      <c r="AB3567" s="102">
        <v>0</v>
      </c>
      <c r="AC3567" s="81">
        <f t="shared" si="169"/>
        <v>219.18139461102828</v>
      </c>
      <c r="AD3567" s="82">
        <f t="shared" si="170"/>
        <v>64.992857142857133</v>
      </c>
      <c r="AE3567" s="218">
        <v>0</v>
      </c>
      <c r="AF3567">
        <v>0</v>
      </c>
      <c r="AH3567" t="str">
        <f t="shared" si="168"/>
        <v>Kalyanpur</v>
      </c>
      <c r="AJ3567" s="72">
        <v>0</v>
      </c>
      <c r="AK3567" s="72"/>
      <c r="AL3567" s="72"/>
      <c r="AM3567" s="72"/>
    </row>
    <row r="3568" spans="1:39" x14ac:dyDescent="0.25">
      <c r="A3568" s="37" t="s">
        <v>62</v>
      </c>
      <c r="B3568" s="66" t="s">
        <v>1644</v>
      </c>
      <c r="C3568" s="4">
        <v>1053</v>
      </c>
      <c r="D3568" s="41" t="s">
        <v>542</v>
      </c>
      <c r="E3568" s="41">
        <v>10530055</v>
      </c>
      <c r="F3568" s="85" t="s">
        <v>654</v>
      </c>
      <c r="G3568" s="39" t="s">
        <v>93</v>
      </c>
      <c r="H3568" s="52" t="s">
        <v>94</v>
      </c>
      <c r="I3568" s="52">
        <v>1610.35</v>
      </c>
      <c r="J3568" s="49">
        <v>62631.715299242249</v>
      </c>
      <c r="K3568" s="58">
        <v>1586.17</v>
      </c>
      <c r="L3568" s="58">
        <v>61594.047576736644</v>
      </c>
      <c r="M3568" s="58">
        <v>25.999999999999996</v>
      </c>
      <c r="N3568" s="58">
        <v>1033.2690424320001</v>
      </c>
      <c r="O3568" s="58">
        <v>1612.17</v>
      </c>
      <c r="P3568" s="53">
        <v>62627.316619168647</v>
      </c>
      <c r="Q3568" s="65">
        <v>62627.316619168647</v>
      </c>
      <c r="R3568" s="65">
        <v>0</v>
      </c>
      <c r="S3568" s="65">
        <v>1033.2690424320001</v>
      </c>
      <c r="T3568" s="65">
        <v>0</v>
      </c>
      <c r="U3568" s="58">
        <v>0</v>
      </c>
      <c r="V3568" s="65">
        <v>0</v>
      </c>
      <c r="W3568" s="65">
        <v>0</v>
      </c>
      <c r="X3568" s="65">
        <v>61592</v>
      </c>
      <c r="Y3568" s="65">
        <v>0</v>
      </c>
      <c r="Z3568" s="51">
        <v>0</v>
      </c>
      <c r="AA3568" s="51">
        <v>6</v>
      </c>
      <c r="AB3568" s="102">
        <v>0</v>
      </c>
      <c r="AC3568" s="81">
        <f t="shared" si="169"/>
        <v>0</v>
      </c>
      <c r="AD3568" s="82">
        <f t="shared" si="170"/>
        <v>0</v>
      </c>
      <c r="AE3568" s="218">
        <v>7.0230873489349031E-5</v>
      </c>
      <c r="AF3568">
        <v>50</v>
      </c>
      <c r="AH3568" t="str">
        <f t="shared" si="168"/>
        <v>Kalyanpur</v>
      </c>
      <c r="AJ3568" s="72">
        <v>0</v>
      </c>
      <c r="AK3568" s="72"/>
      <c r="AL3568" s="72"/>
      <c r="AM3568" s="72"/>
    </row>
    <row r="3569" spans="1:39" x14ac:dyDescent="0.25">
      <c r="A3569" s="37" t="s">
        <v>62</v>
      </c>
      <c r="B3569" s="66" t="s">
        <v>1644</v>
      </c>
      <c r="C3569" s="4">
        <v>1053</v>
      </c>
      <c r="D3569" s="41" t="s">
        <v>542</v>
      </c>
      <c r="E3569" s="41">
        <v>10530057</v>
      </c>
      <c r="F3569" s="85" t="s">
        <v>655</v>
      </c>
      <c r="G3569" s="39" t="s">
        <v>635</v>
      </c>
      <c r="H3569" s="52" t="s">
        <v>99</v>
      </c>
      <c r="I3569" s="52">
        <v>99.049999999999983</v>
      </c>
      <c r="J3569" s="49">
        <v>4792.9323188952494</v>
      </c>
      <c r="K3569" s="58">
        <v>0</v>
      </c>
      <c r="L3569" s="58">
        <v>0</v>
      </c>
      <c r="M3569" s="58">
        <v>0</v>
      </c>
      <c r="N3569" s="58">
        <v>0</v>
      </c>
      <c r="O3569" s="58">
        <v>0</v>
      </c>
      <c r="P3569" s="53">
        <v>0</v>
      </c>
      <c r="Q3569" s="65">
        <v>4792.9323188952494</v>
      </c>
      <c r="R3569" s="65">
        <v>0</v>
      </c>
      <c r="S3569" s="65">
        <v>0</v>
      </c>
      <c r="T3569" s="65">
        <v>0</v>
      </c>
      <c r="U3569" s="58">
        <v>0</v>
      </c>
      <c r="V3569" s="65">
        <v>0</v>
      </c>
      <c r="W3569" s="65">
        <v>0</v>
      </c>
      <c r="X3569" s="65">
        <v>0</v>
      </c>
      <c r="Y3569" s="65">
        <v>0</v>
      </c>
      <c r="Z3569" s="51">
        <v>4792.9323188952494</v>
      </c>
      <c r="AA3569" s="51">
        <v>0</v>
      </c>
      <c r="AB3569" s="102">
        <v>0</v>
      </c>
      <c r="AC3569" s="81">
        <f t="shared" si="169"/>
        <v>581.58761777690074</v>
      </c>
      <c r="AD3569" s="82">
        <f t="shared" si="170"/>
        <v>14.149999999999997</v>
      </c>
      <c r="AE3569" s="218">
        <v>0</v>
      </c>
      <c r="AF3569">
        <v>0</v>
      </c>
      <c r="AH3569" t="str">
        <f t="shared" si="168"/>
        <v>Kalyanpur</v>
      </c>
      <c r="AJ3569" s="72">
        <v>0</v>
      </c>
      <c r="AK3569" s="72"/>
      <c r="AL3569" s="72"/>
      <c r="AM3569" s="72"/>
    </row>
    <row r="3570" spans="1:39" x14ac:dyDescent="0.25">
      <c r="A3570" s="37" t="s">
        <v>62</v>
      </c>
      <c r="B3570" s="66" t="s">
        <v>1644</v>
      </c>
      <c r="C3570" s="4">
        <v>1053</v>
      </c>
      <c r="D3570" s="41" t="s">
        <v>542</v>
      </c>
      <c r="E3570" s="41">
        <v>10530058</v>
      </c>
      <c r="F3570" s="85" t="s">
        <v>674</v>
      </c>
      <c r="G3570" s="39" t="s">
        <v>93</v>
      </c>
      <c r="H3570" s="52" t="s">
        <v>94</v>
      </c>
      <c r="I3570" s="52">
        <v>130.15</v>
      </c>
      <c r="J3570" s="49">
        <v>4786.8798321952509</v>
      </c>
      <c r="K3570" s="58">
        <v>131.84999999999997</v>
      </c>
      <c r="L3570" s="58">
        <v>4751.4105081799498</v>
      </c>
      <c r="M3570" s="58">
        <v>0</v>
      </c>
      <c r="N3570" s="58">
        <v>0</v>
      </c>
      <c r="O3570" s="58">
        <v>131.84999999999997</v>
      </c>
      <c r="P3570" s="53">
        <v>4751.4105081799498</v>
      </c>
      <c r="Q3570" s="65">
        <v>4751.4105081799498</v>
      </c>
      <c r="R3570" s="65">
        <v>0</v>
      </c>
      <c r="S3570" s="65">
        <v>0</v>
      </c>
      <c r="T3570" s="65">
        <v>0</v>
      </c>
      <c r="U3570" s="58">
        <v>0</v>
      </c>
      <c r="V3570" s="65">
        <v>500</v>
      </c>
      <c r="W3570" s="65">
        <v>0</v>
      </c>
      <c r="X3570" s="65">
        <v>4251</v>
      </c>
      <c r="Y3570" s="65">
        <v>0</v>
      </c>
      <c r="Z3570" s="51">
        <v>0</v>
      </c>
      <c r="AA3570" s="51">
        <v>36</v>
      </c>
      <c r="AB3570" s="102">
        <v>0</v>
      </c>
      <c r="AC3570" s="81">
        <f t="shared" si="169"/>
        <v>419.17840528259143</v>
      </c>
      <c r="AD3570" s="82">
        <f t="shared" si="170"/>
        <v>18.592857142857145</v>
      </c>
      <c r="AE3570" s="218">
        <v>7.4096959311040159E-3</v>
      </c>
      <c r="AF3570">
        <v>7</v>
      </c>
      <c r="AH3570" t="str">
        <f t="shared" si="168"/>
        <v>Kalyanpur</v>
      </c>
      <c r="AJ3570" s="72">
        <v>500</v>
      </c>
      <c r="AK3570" s="72"/>
      <c r="AL3570" s="72"/>
      <c r="AM3570" s="72"/>
    </row>
    <row r="3571" spans="1:39" x14ac:dyDescent="0.25">
      <c r="A3571" s="37" t="s">
        <v>62</v>
      </c>
      <c r="B3571" s="66" t="s">
        <v>1644</v>
      </c>
      <c r="C3571" s="4">
        <v>1053</v>
      </c>
      <c r="D3571" s="41" t="s">
        <v>542</v>
      </c>
      <c r="E3571" s="41">
        <v>10530059</v>
      </c>
      <c r="F3571" s="85" t="s">
        <v>656</v>
      </c>
      <c r="G3571" s="39" t="s">
        <v>635</v>
      </c>
      <c r="H3571" s="52" t="s">
        <v>99</v>
      </c>
      <c r="I3571" s="52">
        <v>1846.7000000000003</v>
      </c>
      <c r="J3571" s="49">
        <v>84829.789951662984</v>
      </c>
      <c r="K3571" s="58">
        <v>0</v>
      </c>
      <c r="L3571" s="58">
        <v>0</v>
      </c>
      <c r="M3571" s="58">
        <v>0</v>
      </c>
      <c r="N3571" s="58">
        <v>0</v>
      </c>
      <c r="O3571" s="58">
        <v>0</v>
      </c>
      <c r="P3571" s="53">
        <v>0</v>
      </c>
      <c r="Q3571" s="65">
        <v>84829.789951662984</v>
      </c>
      <c r="R3571" s="65">
        <v>0</v>
      </c>
      <c r="S3571" s="65">
        <v>0</v>
      </c>
      <c r="T3571" s="65">
        <v>0</v>
      </c>
      <c r="U3571" s="58">
        <v>0</v>
      </c>
      <c r="V3571" s="65">
        <v>0</v>
      </c>
      <c r="W3571" s="65">
        <v>0</v>
      </c>
      <c r="X3571" s="65">
        <v>0</v>
      </c>
      <c r="Y3571" s="65">
        <v>0</v>
      </c>
      <c r="Z3571" s="51">
        <v>84829.789951662984</v>
      </c>
      <c r="AA3571" s="51">
        <v>0</v>
      </c>
      <c r="AB3571" s="102">
        <v>0</v>
      </c>
      <c r="AC3571" s="81">
        <f t="shared" si="169"/>
        <v>0</v>
      </c>
      <c r="AD3571" s="82">
        <f t="shared" si="170"/>
        <v>0</v>
      </c>
      <c r="AE3571" s="218">
        <v>0</v>
      </c>
      <c r="AF3571">
        <v>0</v>
      </c>
      <c r="AH3571" t="str">
        <f t="shared" si="168"/>
        <v>Kalyanpur</v>
      </c>
      <c r="AJ3571" s="72">
        <v>0</v>
      </c>
      <c r="AK3571" s="72"/>
      <c r="AL3571" s="72"/>
      <c r="AM3571" s="72"/>
    </row>
    <row r="3572" spans="1:39" x14ac:dyDescent="0.25">
      <c r="A3572" s="37" t="s">
        <v>62</v>
      </c>
      <c r="B3572" s="66" t="s">
        <v>1644</v>
      </c>
      <c r="C3572" s="4">
        <v>1053</v>
      </c>
      <c r="D3572" s="41" t="s">
        <v>542</v>
      </c>
      <c r="E3572" s="41">
        <v>10530060</v>
      </c>
      <c r="F3572" s="85" t="s">
        <v>675</v>
      </c>
      <c r="G3572" s="39" t="s">
        <v>635</v>
      </c>
      <c r="H3572" s="52" t="s">
        <v>99</v>
      </c>
      <c r="I3572" s="52">
        <v>421.75</v>
      </c>
      <c r="J3572" s="49">
        <v>18789.928091415302</v>
      </c>
      <c r="K3572" s="58">
        <v>0</v>
      </c>
      <c r="L3572" s="58">
        <v>0</v>
      </c>
      <c r="M3572" s="58">
        <v>0</v>
      </c>
      <c r="N3572" s="58">
        <v>0</v>
      </c>
      <c r="O3572" s="58">
        <v>0</v>
      </c>
      <c r="P3572" s="53">
        <v>0</v>
      </c>
      <c r="Q3572" s="65">
        <v>18789.928091415302</v>
      </c>
      <c r="R3572" s="65">
        <v>0</v>
      </c>
      <c r="S3572" s="65">
        <v>0</v>
      </c>
      <c r="T3572" s="65">
        <v>0</v>
      </c>
      <c r="U3572" s="58">
        <v>0</v>
      </c>
      <c r="V3572" s="65">
        <v>0</v>
      </c>
      <c r="W3572" s="65">
        <v>0</v>
      </c>
      <c r="X3572" s="65">
        <v>0</v>
      </c>
      <c r="Y3572" s="65">
        <v>0</v>
      </c>
      <c r="Z3572" s="51">
        <v>18789.928091415302</v>
      </c>
      <c r="AA3572" s="51">
        <v>0</v>
      </c>
      <c r="AB3572" s="102">
        <v>0</v>
      </c>
      <c r="AC3572" s="81">
        <f t="shared" si="169"/>
        <v>247.93349099875795</v>
      </c>
      <c r="AD3572" s="82">
        <f t="shared" si="170"/>
        <v>60.25</v>
      </c>
      <c r="AE3572" s="218">
        <v>0</v>
      </c>
      <c r="AF3572">
        <v>0</v>
      </c>
      <c r="AH3572" t="str">
        <f t="shared" si="168"/>
        <v>Kalyanpur</v>
      </c>
      <c r="AJ3572" s="72">
        <v>0</v>
      </c>
      <c r="AK3572" s="72"/>
      <c r="AL3572" s="72"/>
      <c r="AM3572" s="72"/>
    </row>
    <row r="3573" spans="1:39" x14ac:dyDescent="0.25">
      <c r="A3573" s="37" t="s">
        <v>62</v>
      </c>
      <c r="B3573" s="66" t="s">
        <v>1644</v>
      </c>
      <c r="C3573" s="4">
        <v>1053</v>
      </c>
      <c r="D3573" s="41" t="s">
        <v>542</v>
      </c>
      <c r="E3573" s="41">
        <v>10530062</v>
      </c>
      <c r="F3573" s="85" t="s">
        <v>681</v>
      </c>
      <c r="G3573" s="39" t="s">
        <v>93</v>
      </c>
      <c r="H3573" s="52" t="s">
        <v>94</v>
      </c>
      <c r="I3573" s="52">
        <v>886.09999999999991</v>
      </c>
      <c r="J3573" s="49">
        <v>35893.451262242001</v>
      </c>
      <c r="K3573" s="58">
        <v>884.16000000000008</v>
      </c>
      <c r="L3573" s="58">
        <v>35886.857131029159</v>
      </c>
      <c r="M3573" s="58">
        <v>4.5500000000000007</v>
      </c>
      <c r="N3573" s="58">
        <v>203.84822978170004</v>
      </c>
      <c r="O3573" s="58">
        <v>888.71</v>
      </c>
      <c r="P3573" s="53">
        <v>36090.705360810862</v>
      </c>
      <c r="Q3573" s="65">
        <v>35893.451262242001</v>
      </c>
      <c r="R3573" s="65">
        <v>0</v>
      </c>
      <c r="S3573" s="65">
        <v>203.84822978170004</v>
      </c>
      <c r="T3573" s="65">
        <v>197.25409856886108</v>
      </c>
      <c r="U3573" s="58">
        <v>0</v>
      </c>
      <c r="V3573" s="65">
        <v>0</v>
      </c>
      <c r="W3573" s="65">
        <v>0</v>
      </c>
      <c r="X3573" s="65">
        <v>35689</v>
      </c>
      <c r="Y3573" s="65">
        <v>0</v>
      </c>
      <c r="Z3573" s="51">
        <v>0</v>
      </c>
      <c r="AA3573" s="51">
        <v>1</v>
      </c>
      <c r="AB3573" s="102">
        <v>0</v>
      </c>
      <c r="AC3573" s="81">
        <f t="shared" si="169"/>
        <v>0</v>
      </c>
      <c r="AD3573" s="82">
        <f t="shared" si="170"/>
        <v>0</v>
      </c>
      <c r="AE3573" s="218">
        <v>-5.4955456115851941E-3</v>
      </c>
      <c r="AF3573">
        <v>9</v>
      </c>
      <c r="AH3573" t="str">
        <f t="shared" si="168"/>
        <v>Kalyanpur</v>
      </c>
      <c r="AJ3573" s="72">
        <v>0</v>
      </c>
      <c r="AK3573" s="72"/>
      <c r="AL3573" s="72"/>
      <c r="AM3573" s="72"/>
    </row>
    <row r="3574" spans="1:39" x14ac:dyDescent="0.25">
      <c r="A3574" s="37" t="s">
        <v>62</v>
      </c>
      <c r="B3574" s="66" t="s">
        <v>1644</v>
      </c>
      <c r="C3574" s="4">
        <v>1053</v>
      </c>
      <c r="D3574" s="41" t="s">
        <v>542</v>
      </c>
      <c r="E3574" s="41">
        <v>10530063</v>
      </c>
      <c r="F3574" s="85" t="s">
        <v>682</v>
      </c>
      <c r="G3574" s="39" t="s">
        <v>635</v>
      </c>
      <c r="H3574" s="52" t="s">
        <v>99</v>
      </c>
      <c r="I3574" s="52">
        <v>345.84999999999997</v>
      </c>
      <c r="J3574" s="49">
        <v>19553.103775872398</v>
      </c>
      <c r="K3574" s="58">
        <v>0</v>
      </c>
      <c r="L3574" s="58">
        <v>0</v>
      </c>
      <c r="M3574" s="58">
        <v>0</v>
      </c>
      <c r="N3574" s="58">
        <v>0</v>
      </c>
      <c r="O3574" s="58">
        <v>0</v>
      </c>
      <c r="P3574" s="53">
        <v>0</v>
      </c>
      <c r="Q3574" s="65">
        <v>19553.103775872398</v>
      </c>
      <c r="R3574" s="65">
        <v>0</v>
      </c>
      <c r="S3574" s="65">
        <v>0</v>
      </c>
      <c r="T3574" s="65">
        <v>0</v>
      </c>
      <c r="U3574" s="58">
        <v>0</v>
      </c>
      <c r="V3574" s="65">
        <v>0</v>
      </c>
      <c r="W3574" s="65">
        <v>0</v>
      </c>
      <c r="X3574" s="65">
        <v>0</v>
      </c>
      <c r="Y3574" s="65">
        <v>0</v>
      </c>
      <c r="Z3574" s="51">
        <v>19553.103775872398</v>
      </c>
      <c r="AA3574" s="51">
        <v>0</v>
      </c>
      <c r="AB3574" s="102">
        <v>0</v>
      </c>
      <c r="AC3574" s="81">
        <f t="shared" si="169"/>
        <v>400.44711303890188</v>
      </c>
      <c r="AD3574" s="82">
        <f t="shared" si="170"/>
        <v>49.407142857142851</v>
      </c>
      <c r="AE3574" s="218">
        <v>0</v>
      </c>
      <c r="AF3574">
        <v>0</v>
      </c>
      <c r="AH3574" t="str">
        <f t="shared" si="168"/>
        <v>Kalyanpur</v>
      </c>
      <c r="AJ3574" s="72">
        <v>0</v>
      </c>
      <c r="AK3574" s="72"/>
      <c r="AL3574" s="72"/>
      <c r="AM3574" s="72"/>
    </row>
    <row r="3575" spans="1:39" x14ac:dyDescent="0.25">
      <c r="A3575" s="37" t="s">
        <v>62</v>
      </c>
      <c r="B3575" s="66" t="s">
        <v>1644</v>
      </c>
      <c r="C3575" s="4">
        <v>1053</v>
      </c>
      <c r="D3575" s="41" t="s">
        <v>542</v>
      </c>
      <c r="E3575" s="41">
        <v>10530064</v>
      </c>
      <c r="F3575" s="85" t="s">
        <v>830</v>
      </c>
      <c r="G3575" s="39" t="s">
        <v>93</v>
      </c>
      <c r="H3575" s="52" t="s">
        <v>94</v>
      </c>
      <c r="I3575" s="52">
        <v>844.65</v>
      </c>
      <c r="J3575" s="49">
        <v>34790.945155935005</v>
      </c>
      <c r="K3575" s="58">
        <v>836.39000000000021</v>
      </c>
      <c r="L3575" s="58">
        <v>34125.711756293334</v>
      </c>
      <c r="M3575" s="58">
        <v>13.979999999999999</v>
      </c>
      <c r="N3575" s="58">
        <v>569.39018053199993</v>
      </c>
      <c r="O3575" s="58">
        <v>850.37000000000023</v>
      </c>
      <c r="P3575" s="53">
        <v>34695.101936825333</v>
      </c>
      <c r="Q3575" s="65">
        <v>34695.101936825333</v>
      </c>
      <c r="R3575" s="65">
        <v>0</v>
      </c>
      <c r="S3575" s="65">
        <v>569.39018053199993</v>
      </c>
      <c r="T3575" s="65">
        <v>0</v>
      </c>
      <c r="U3575" s="58">
        <v>0</v>
      </c>
      <c r="V3575" s="65">
        <v>0</v>
      </c>
      <c r="W3575" s="65">
        <v>0</v>
      </c>
      <c r="X3575" s="65">
        <v>34126</v>
      </c>
      <c r="Y3575" s="65">
        <v>0</v>
      </c>
      <c r="Z3575" s="51">
        <v>0</v>
      </c>
      <c r="AA3575" s="51">
        <v>96</v>
      </c>
      <c r="AB3575" s="102">
        <v>0</v>
      </c>
      <c r="AC3575" s="81">
        <f t="shared" si="169"/>
        <v>0</v>
      </c>
      <c r="AD3575" s="82">
        <f t="shared" si="170"/>
        <v>0</v>
      </c>
      <c r="AE3575" s="218">
        <v>2.7548322898414473E-3</v>
      </c>
      <c r="AF3575">
        <v>31</v>
      </c>
      <c r="AH3575" t="str">
        <f t="shared" si="168"/>
        <v>Kalyanpur</v>
      </c>
      <c r="AJ3575" s="72">
        <v>0</v>
      </c>
      <c r="AK3575" s="72"/>
      <c r="AL3575" s="72"/>
      <c r="AM3575" s="72"/>
    </row>
    <row r="3576" spans="1:39" x14ac:dyDescent="0.25">
      <c r="A3576" s="37" t="s">
        <v>62</v>
      </c>
      <c r="B3576" s="66" t="s">
        <v>1644</v>
      </c>
      <c r="C3576" s="4">
        <v>1053</v>
      </c>
      <c r="D3576" s="41" t="s">
        <v>542</v>
      </c>
      <c r="E3576" s="41">
        <v>10530065</v>
      </c>
      <c r="F3576" s="85" t="s">
        <v>832</v>
      </c>
      <c r="G3576" s="39" t="s">
        <v>93</v>
      </c>
      <c r="H3576" s="52" t="s">
        <v>94</v>
      </c>
      <c r="I3576" s="52">
        <v>1072.0499999999997</v>
      </c>
      <c r="J3576" s="49">
        <v>40475.205086729999</v>
      </c>
      <c r="K3576" s="58">
        <v>1067.32</v>
      </c>
      <c r="L3576" s="58">
        <v>41527.783372219696</v>
      </c>
      <c r="M3576" s="58">
        <v>8.8000000000000007</v>
      </c>
      <c r="N3576" s="58">
        <v>376.92906210255001</v>
      </c>
      <c r="O3576" s="58">
        <v>1076.1199999999999</v>
      </c>
      <c r="P3576" s="53">
        <v>41904.712434322246</v>
      </c>
      <c r="Q3576" s="65">
        <v>40475.205086729999</v>
      </c>
      <c r="R3576" s="65">
        <v>0</v>
      </c>
      <c r="S3576" s="65">
        <v>376.92906210255001</v>
      </c>
      <c r="T3576" s="65">
        <v>1429.5073475922472</v>
      </c>
      <c r="U3576" s="58">
        <v>6750</v>
      </c>
      <c r="V3576" s="65">
        <v>0</v>
      </c>
      <c r="W3576" s="65">
        <v>0</v>
      </c>
      <c r="X3576" s="65">
        <v>33348</v>
      </c>
      <c r="Y3576" s="65">
        <v>0</v>
      </c>
      <c r="Z3576" s="51">
        <v>0</v>
      </c>
      <c r="AA3576" s="51">
        <v>0</v>
      </c>
      <c r="AB3576" s="102">
        <v>0</v>
      </c>
      <c r="AC3576" s="81">
        <f t="shared" si="169"/>
        <v>0</v>
      </c>
      <c r="AD3576" s="82">
        <f t="shared" si="170"/>
        <v>0</v>
      </c>
      <c r="AE3576" s="218">
        <v>-3.5318100168463838E-2</v>
      </c>
      <c r="AF3576">
        <v>9</v>
      </c>
      <c r="AH3576" t="str">
        <f t="shared" si="168"/>
        <v>Kalyanpur</v>
      </c>
      <c r="AJ3576" s="72">
        <v>0</v>
      </c>
      <c r="AK3576" s="72"/>
      <c r="AL3576" s="72"/>
      <c r="AM3576" s="72"/>
    </row>
    <row r="3577" spans="1:39" x14ac:dyDescent="0.25">
      <c r="A3577" s="37" t="s">
        <v>62</v>
      </c>
      <c r="B3577" s="66" t="s">
        <v>1644</v>
      </c>
      <c r="C3577" s="4">
        <v>1053</v>
      </c>
      <c r="D3577" s="41" t="s">
        <v>542</v>
      </c>
      <c r="E3577" s="41">
        <v>10530067</v>
      </c>
      <c r="F3577" s="85" t="s">
        <v>840</v>
      </c>
      <c r="G3577" s="39" t="s">
        <v>93</v>
      </c>
      <c r="H3577" s="52" t="s">
        <v>94</v>
      </c>
      <c r="I3577" s="52">
        <v>518.84999999999991</v>
      </c>
      <c r="J3577" s="49">
        <v>21393.165930574582</v>
      </c>
      <c r="K3577" s="58">
        <v>522.6</v>
      </c>
      <c r="L3577" s="58">
        <v>21874.735876771752</v>
      </c>
      <c r="M3577" s="58">
        <v>2.2999999999999998</v>
      </c>
      <c r="N3577" s="58">
        <v>99.404397450000005</v>
      </c>
      <c r="O3577" s="58">
        <v>524.9</v>
      </c>
      <c r="P3577" s="53">
        <v>21974.140274221751</v>
      </c>
      <c r="Q3577" s="65">
        <v>21393.165930574582</v>
      </c>
      <c r="R3577" s="65">
        <v>0</v>
      </c>
      <c r="S3577" s="65">
        <v>99.404397450000005</v>
      </c>
      <c r="T3577" s="65">
        <v>580.97434364716901</v>
      </c>
      <c r="U3577" s="58">
        <v>0</v>
      </c>
      <c r="V3577" s="65">
        <v>0</v>
      </c>
      <c r="W3577" s="65">
        <v>0</v>
      </c>
      <c r="X3577" s="65">
        <v>21294</v>
      </c>
      <c r="Y3577" s="65">
        <v>0</v>
      </c>
      <c r="Z3577" s="51">
        <v>0</v>
      </c>
      <c r="AA3577" s="51">
        <v>0</v>
      </c>
      <c r="AB3577" s="102">
        <v>0</v>
      </c>
      <c r="AC3577" s="81">
        <f t="shared" si="169"/>
        <v>149.38313610190187</v>
      </c>
      <c r="AD3577" s="82">
        <f t="shared" si="170"/>
        <v>74.121428571428552</v>
      </c>
      <c r="AE3577" s="218">
        <v>-2.7157006379165922E-2</v>
      </c>
      <c r="AF3577">
        <v>17</v>
      </c>
      <c r="AH3577" t="str">
        <f t="shared" si="168"/>
        <v>Kalyanpur</v>
      </c>
      <c r="AJ3577" s="72">
        <v>0</v>
      </c>
      <c r="AK3577" s="72"/>
      <c r="AL3577" s="72"/>
      <c r="AM3577" s="72"/>
    </row>
    <row r="3578" spans="1:39" x14ac:dyDescent="0.25">
      <c r="A3578" s="37" t="s">
        <v>62</v>
      </c>
      <c r="B3578" s="66" t="s">
        <v>1644</v>
      </c>
      <c r="C3578" s="4">
        <v>1053</v>
      </c>
      <c r="D3578" s="41" t="s">
        <v>542</v>
      </c>
      <c r="E3578" s="41">
        <v>10530068</v>
      </c>
      <c r="F3578" s="85" t="s">
        <v>833</v>
      </c>
      <c r="G3578" s="39" t="s">
        <v>635</v>
      </c>
      <c r="H3578" s="52" t="s">
        <v>99</v>
      </c>
      <c r="I3578" s="52">
        <v>619.84999999999991</v>
      </c>
      <c r="J3578" s="49">
        <v>23606.50437993</v>
      </c>
      <c r="K3578" s="58">
        <v>0</v>
      </c>
      <c r="L3578" s="58">
        <v>0</v>
      </c>
      <c r="M3578" s="58">
        <v>0</v>
      </c>
      <c r="N3578" s="58">
        <v>0</v>
      </c>
      <c r="O3578" s="58">
        <v>0</v>
      </c>
      <c r="P3578" s="53">
        <v>0</v>
      </c>
      <c r="Q3578" s="65">
        <v>23606.50437993</v>
      </c>
      <c r="R3578" s="65">
        <v>0</v>
      </c>
      <c r="S3578" s="65">
        <v>0</v>
      </c>
      <c r="T3578" s="65">
        <v>0</v>
      </c>
      <c r="U3578" s="58">
        <v>0</v>
      </c>
      <c r="V3578" s="65">
        <v>0</v>
      </c>
      <c r="W3578" s="65">
        <v>0</v>
      </c>
      <c r="X3578" s="65">
        <v>0</v>
      </c>
      <c r="Y3578" s="65">
        <v>0</v>
      </c>
      <c r="Z3578" s="51">
        <v>23606.50437993</v>
      </c>
      <c r="AA3578" s="51">
        <v>0</v>
      </c>
      <c r="AB3578" s="102">
        <v>0</v>
      </c>
      <c r="AC3578" s="81">
        <f t="shared" si="169"/>
        <v>61.049006245104231</v>
      </c>
      <c r="AD3578" s="82">
        <f t="shared" si="170"/>
        <v>88.549999999999983</v>
      </c>
      <c r="AE3578" s="218">
        <v>0</v>
      </c>
      <c r="AF3578">
        <v>0</v>
      </c>
      <c r="AH3578" t="str">
        <f t="shared" si="168"/>
        <v>Kalyanpur</v>
      </c>
      <c r="AJ3578" s="72">
        <v>0</v>
      </c>
      <c r="AK3578" s="72"/>
      <c r="AL3578" s="72"/>
      <c r="AM3578" s="72"/>
    </row>
    <row r="3579" spans="1:39" x14ac:dyDescent="0.25">
      <c r="A3579" s="37" t="s">
        <v>62</v>
      </c>
      <c r="B3579" s="66" t="s">
        <v>1644</v>
      </c>
      <c r="C3579" s="4">
        <v>1053</v>
      </c>
      <c r="D3579" s="41" t="s">
        <v>542</v>
      </c>
      <c r="E3579" s="41">
        <v>10530070</v>
      </c>
      <c r="F3579" s="85" t="s">
        <v>851</v>
      </c>
      <c r="G3579" s="39" t="s">
        <v>93</v>
      </c>
      <c r="H3579" s="52" t="s">
        <v>94</v>
      </c>
      <c r="I3579" s="52">
        <v>176.75</v>
      </c>
      <c r="J3579" s="49">
        <v>9682.5521154834005</v>
      </c>
      <c r="K3579" s="58">
        <v>177.37000000000003</v>
      </c>
      <c r="L3579" s="58">
        <v>9692.8622724995203</v>
      </c>
      <c r="M3579" s="58">
        <v>6.0500000000000007</v>
      </c>
      <c r="N3579" s="58">
        <v>341.13435918183995</v>
      </c>
      <c r="O3579" s="58">
        <v>183.42000000000004</v>
      </c>
      <c r="P3579" s="53">
        <v>10033.996631681361</v>
      </c>
      <c r="Q3579" s="65">
        <v>9682.5521154834005</v>
      </c>
      <c r="R3579" s="65">
        <v>0</v>
      </c>
      <c r="S3579" s="65">
        <v>341.13435918183995</v>
      </c>
      <c r="T3579" s="65">
        <v>351.44451619796018</v>
      </c>
      <c r="U3579" s="58">
        <v>0</v>
      </c>
      <c r="V3579" s="65">
        <v>500</v>
      </c>
      <c r="W3579" s="65">
        <v>0</v>
      </c>
      <c r="X3579" s="65">
        <v>8841</v>
      </c>
      <c r="Y3579" s="65">
        <v>0</v>
      </c>
      <c r="Z3579" s="51">
        <v>0</v>
      </c>
      <c r="AA3579" s="51">
        <v>0</v>
      </c>
      <c r="AB3579" s="102">
        <v>0</v>
      </c>
      <c r="AC3579" s="81">
        <f t="shared" si="169"/>
        <v>573.2837787187201</v>
      </c>
      <c r="AD3579" s="82">
        <f t="shared" si="170"/>
        <v>25.25</v>
      </c>
      <c r="AE3579" s="218">
        <v>-3.6296682115034951E-2</v>
      </c>
      <c r="AF3579">
        <v>14</v>
      </c>
      <c r="AH3579" t="str">
        <f t="shared" ref="AH3579:AH3642" si="171">TEXT(D3579,"0000")</f>
        <v>Kalyanpur</v>
      </c>
      <c r="AJ3579" s="72">
        <v>500</v>
      </c>
      <c r="AK3579" s="72"/>
      <c r="AL3579" s="72"/>
      <c r="AM3579" s="72"/>
    </row>
    <row r="3580" spans="1:39" x14ac:dyDescent="0.25">
      <c r="A3580" s="37" t="s">
        <v>62</v>
      </c>
      <c r="B3580" s="66" t="s">
        <v>1644</v>
      </c>
      <c r="C3580" s="4">
        <v>1053</v>
      </c>
      <c r="D3580" s="41" t="s">
        <v>542</v>
      </c>
      <c r="E3580" s="41">
        <v>10530071</v>
      </c>
      <c r="F3580" s="85" t="s">
        <v>852</v>
      </c>
      <c r="G3580" s="39" t="s">
        <v>93</v>
      </c>
      <c r="H3580" s="52" t="s">
        <v>94</v>
      </c>
      <c r="I3580" s="52">
        <v>302.10000000000002</v>
      </c>
      <c r="J3580" s="49">
        <v>15136.414854558903</v>
      </c>
      <c r="K3580" s="58">
        <v>308.10000000000002</v>
      </c>
      <c r="L3580" s="58">
        <v>16293.106095745126</v>
      </c>
      <c r="M3580" s="58">
        <v>0</v>
      </c>
      <c r="N3580" s="58">
        <v>0</v>
      </c>
      <c r="O3580" s="58">
        <v>308.10000000000002</v>
      </c>
      <c r="P3580" s="53">
        <v>16293.106095745126</v>
      </c>
      <c r="Q3580" s="65">
        <v>15136.414854558903</v>
      </c>
      <c r="R3580" s="65">
        <v>0</v>
      </c>
      <c r="S3580" s="65">
        <v>0</v>
      </c>
      <c r="T3580" s="65">
        <v>1156.6912411862231</v>
      </c>
      <c r="U3580" s="58">
        <v>0</v>
      </c>
      <c r="V3580" s="65">
        <v>0</v>
      </c>
      <c r="W3580" s="65">
        <v>0</v>
      </c>
      <c r="X3580" s="65">
        <v>15136</v>
      </c>
      <c r="Y3580" s="65">
        <v>0</v>
      </c>
      <c r="Z3580" s="51">
        <v>0</v>
      </c>
      <c r="AA3580" s="51">
        <v>0</v>
      </c>
      <c r="AB3580" s="102">
        <v>0</v>
      </c>
      <c r="AC3580" s="81">
        <f t="shared" si="169"/>
        <v>398.72753860503059</v>
      </c>
      <c r="AD3580" s="82">
        <f t="shared" si="170"/>
        <v>43.157142857142858</v>
      </c>
      <c r="AE3580" s="218">
        <v>-7.6417781376931657E-2</v>
      </c>
      <c r="AF3580">
        <v>8</v>
      </c>
      <c r="AH3580" t="str">
        <f t="shared" si="171"/>
        <v>Kalyanpur</v>
      </c>
      <c r="AJ3580" s="72">
        <v>0</v>
      </c>
      <c r="AK3580" s="72"/>
      <c r="AL3580" s="72"/>
      <c r="AM3580" s="72"/>
    </row>
    <row r="3581" spans="1:39" x14ac:dyDescent="0.25">
      <c r="A3581" s="37" t="s">
        <v>62</v>
      </c>
      <c r="B3581" s="66" t="s">
        <v>1644</v>
      </c>
      <c r="C3581" s="4">
        <v>1053</v>
      </c>
      <c r="D3581" s="41" t="s">
        <v>542</v>
      </c>
      <c r="E3581" s="41">
        <v>10530072</v>
      </c>
      <c r="F3581" s="85" t="s">
        <v>841</v>
      </c>
      <c r="G3581" s="39" t="s">
        <v>635</v>
      </c>
      <c r="H3581" s="52" t="s">
        <v>99</v>
      </c>
      <c r="I3581" s="52">
        <v>259.14999999999998</v>
      </c>
      <c r="J3581" s="49">
        <v>15212.488673101499</v>
      </c>
      <c r="K3581" s="58">
        <v>0</v>
      </c>
      <c r="L3581" s="58">
        <v>0</v>
      </c>
      <c r="M3581" s="58">
        <v>0</v>
      </c>
      <c r="N3581" s="58">
        <v>0</v>
      </c>
      <c r="O3581" s="58">
        <v>0</v>
      </c>
      <c r="P3581" s="53">
        <v>0</v>
      </c>
      <c r="Q3581" s="65">
        <v>15212.488673101499</v>
      </c>
      <c r="R3581" s="65">
        <v>0</v>
      </c>
      <c r="S3581" s="65">
        <v>0</v>
      </c>
      <c r="T3581" s="65">
        <v>0</v>
      </c>
      <c r="U3581" s="58">
        <v>0</v>
      </c>
      <c r="V3581" s="65">
        <v>0</v>
      </c>
      <c r="W3581" s="65">
        <v>0</v>
      </c>
      <c r="X3581" s="65">
        <v>0</v>
      </c>
      <c r="Y3581" s="65">
        <v>0</v>
      </c>
      <c r="Z3581" s="51">
        <v>15212.488673101499</v>
      </c>
      <c r="AA3581" s="51">
        <v>0</v>
      </c>
      <c r="AB3581" s="102">
        <v>0</v>
      </c>
      <c r="AC3581" s="81">
        <f t="shared" si="169"/>
        <v>517.57095362043583</v>
      </c>
      <c r="AD3581" s="82">
        <f t="shared" si="170"/>
        <v>37.021428571428565</v>
      </c>
      <c r="AE3581" s="218">
        <v>0</v>
      </c>
      <c r="AF3581">
        <v>0</v>
      </c>
      <c r="AH3581" t="str">
        <f t="shared" si="171"/>
        <v>Kalyanpur</v>
      </c>
      <c r="AJ3581" s="72">
        <v>0</v>
      </c>
      <c r="AK3581" s="72"/>
      <c r="AL3581" s="72"/>
      <c r="AM3581" s="72"/>
    </row>
    <row r="3582" spans="1:39" x14ac:dyDescent="0.25">
      <c r="A3582" s="37" t="s">
        <v>62</v>
      </c>
      <c r="B3582" s="66" t="s">
        <v>1644</v>
      </c>
      <c r="C3582" s="4">
        <v>1053</v>
      </c>
      <c r="D3582" s="41" t="s">
        <v>542</v>
      </c>
      <c r="E3582" s="41">
        <v>10530073</v>
      </c>
      <c r="F3582" s="85" t="s">
        <v>1369</v>
      </c>
      <c r="G3582" s="39" t="s">
        <v>635</v>
      </c>
      <c r="H3582" s="52" t="s">
        <v>99</v>
      </c>
      <c r="I3582" s="52">
        <v>157.05000000000001</v>
      </c>
      <c r="J3582" s="49">
        <v>5409.0437428920004</v>
      </c>
      <c r="K3582" s="58">
        <v>0</v>
      </c>
      <c r="L3582" s="58">
        <v>0</v>
      </c>
      <c r="M3582" s="58">
        <v>0</v>
      </c>
      <c r="N3582" s="58">
        <v>0</v>
      </c>
      <c r="O3582" s="58">
        <v>0</v>
      </c>
      <c r="P3582" s="53">
        <v>0</v>
      </c>
      <c r="Q3582" s="65">
        <v>5409.0437428920004</v>
      </c>
      <c r="R3582" s="65">
        <v>0</v>
      </c>
      <c r="S3582" s="65">
        <v>0</v>
      </c>
      <c r="T3582" s="65">
        <v>0</v>
      </c>
      <c r="U3582" s="58">
        <v>0</v>
      </c>
      <c r="V3582" s="65">
        <v>0</v>
      </c>
      <c r="W3582" s="65">
        <v>0</v>
      </c>
      <c r="X3582" s="65">
        <v>0</v>
      </c>
      <c r="Y3582" s="65">
        <v>0</v>
      </c>
      <c r="Z3582" s="51">
        <v>5409.0437428920004</v>
      </c>
      <c r="AA3582" s="51">
        <v>0</v>
      </c>
      <c r="AB3582" s="102">
        <v>0</v>
      </c>
      <c r="AC3582" s="81">
        <f t="shared" si="169"/>
        <v>374.00067497016391</v>
      </c>
      <c r="AD3582" s="82">
        <f t="shared" si="170"/>
        <v>22.435714285714287</v>
      </c>
      <c r="AE3582" s="218">
        <v>0</v>
      </c>
      <c r="AF3582">
        <v>0</v>
      </c>
      <c r="AH3582" t="str">
        <f t="shared" si="171"/>
        <v>Kalyanpur</v>
      </c>
      <c r="AJ3582" s="72">
        <v>0</v>
      </c>
      <c r="AK3582" s="72"/>
      <c r="AL3582" s="72"/>
      <c r="AM3582" s="72"/>
    </row>
    <row r="3583" spans="1:39" x14ac:dyDescent="0.25">
      <c r="A3583" s="37" t="s">
        <v>62</v>
      </c>
      <c r="B3583" s="66" t="s">
        <v>1644</v>
      </c>
      <c r="C3583" s="4">
        <v>1053</v>
      </c>
      <c r="D3583" s="41" t="s">
        <v>542</v>
      </c>
      <c r="E3583" s="41">
        <v>10530074</v>
      </c>
      <c r="F3583" s="85" t="s">
        <v>1123</v>
      </c>
      <c r="G3583" s="39" t="s">
        <v>93</v>
      </c>
      <c r="H3583" s="52" t="s">
        <v>94</v>
      </c>
      <c r="I3583" s="52">
        <v>918.14999999999975</v>
      </c>
      <c r="J3583" s="49">
        <v>35633.89185754631</v>
      </c>
      <c r="K3583" s="58">
        <v>923.5100000000001</v>
      </c>
      <c r="L3583" s="58">
        <v>35968.049425815145</v>
      </c>
      <c r="M3583" s="58">
        <v>12.71</v>
      </c>
      <c r="N3583" s="58">
        <v>488.86359144000005</v>
      </c>
      <c r="O3583" s="58">
        <v>936.22000000000014</v>
      </c>
      <c r="P3583" s="53">
        <v>36456.913017255145</v>
      </c>
      <c r="Q3583" s="65">
        <v>35633.89185754631</v>
      </c>
      <c r="R3583" s="65">
        <v>0</v>
      </c>
      <c r="S3583" s="65">
        <v>488.86359144000005</v>
      </c>
      <c r="T3583" s="65">
        <v>823.0211597088346</v>
      </c>
      <c r="U3583" s="58">
        <v>144</v>
      </c>
      <c r="V3583" s="65">
        <v>0</v>
      </c>
      <c r="W3583" s="65">
        <v>0</v>
      </c>
      <c r="X3583" s="65">
        <v>35001</v>
      </c>
      <c r="Y3583" s="65">
        <v>0</v>
      </c>
      <c r="Z3583" s="51">
        <v>0</v>
      </c>
      <c r="AA3583" s="51">
        <v>0</v>
      </c>
      <c r="AB3583" s="102">
        <v>0</v>
      </c>
      <c r="AC3583" s="81">
        <f t="shared" si="169"/>
        <v>0</v>
      </c>
      <c r="AD3583" s="82">
        <f t="shared" si="170"/>
        <v>0</v>
      </c>
      <c r="AE3583" s="218">
        <v>-2.3096583527811899E-2</v>
      </c>
      <c r="AF3583">
        <v>23</v>
      </c>
      <c r="AH3583" t="str">
        <f t="shared" si="171"/>
        <v>Kalyanpur</v>
      </c>
      <c r="AJ3583" s="72">
        <v>0</v>
      </c>
      <c r="AK3583" s="72"/>
      <c r="AL3583" s="72"/>
      <c r="AM3583" s="72"/>
    </row>
    <row r="3584" spans="1:39" x14ac:dyDescent="0.25">
      <c r="A3584" s="37" t="s">
        <v>62</v>
      </c>
      <c r="B3584" s="66" t="s">
        <v>1644</v>
      </c>
      <c r="C3584" s="4">
        <v>1053</v>
      </c>
      <c r="D3584" s="41" t="s">
        <v>542</v>
      </c>
      <c r="E3584" s="41">
        <v>10530075</v>
      </c>
      <c r="F3584" s="85" t="s">
        <v>842</v>
      </c>
      <c r="G3584" s="39" t="s">
        <v>635</v>
      </c>
      <c r="H3584" s="52" t="s">
        <v>99</v>
      </c>
      <c r="I3584" s="52">
        <v>781.79999999999984</v>
      </c>
      <c r="J3584" s="49">
        <v>29117.280786154504</v>
      </c>
      <c r="K3584" s="58">
        <v>0</v>
      </c>
      <c r="L3584" s="58">
        <v>0</v>
      </c>
      <c r="M3584" s="58">
        <v>0</v>
      </c>
      <c r="N3584" s="58">
        <v>0</v>
      </c>
      <c r="O3584" s="58">
        <v>0</v>
      </c>
      <c r="P3584" s="53">
        <v>0</v>
      </c>
      <c r="Q3584" s="65">
        <v>29117.280786154504</v>
      </c>
      <c r="R3584" s="65">
        <v>0</v>
      </c>
      <c r="S3584" s="65">
        <v>0</v>
      </c>
      <c r="T3584" s="65">
        <v>0</v>
      </c>
      <c r="U3584" s="58">
        <v>0</v>
      </c>
      <c r="V3584" s="65">
        <v>0</v>
      </c>
      <c r="W3584" s="65">
        <v>0</v>
      </c>
      <c r="X3584" s="65">
        <v>0</v>
      </c>
      <c r="Y3584" s="65">
        <v>0</v>
      </c>
      <c r="Z3584" s="51">
        <v>29117.280786154504</v>
      </c>
      <c r="AA3584" s="51">
        <v>0</v>
      </c>
      <c r="AB3584" s="102">
        <v>0</v>
      </c>
      <c r="AC3584" s="81">
        <f t="shared" si="169"/>
        <v>0</v>
      </c>
      <c r="AD3584" s="82">
        <f t="shared" si="170"/>
        <v>0</v>
      </c>
      <c r="AE3584" s="218">
        <v>0</v>
      </c>
      <c r="AF3584">
        <v>0</v>
      </c>
      <c r="AH3584" t="str">
        <f t="shared" si="171"/>
        <v>Kalyanpur</v>
      </c>
      <c r="AJ3584" s="72">
        <v>0</v>
      </c>
      <c r="AK3584" s="72"/>
      <c r="AL3584" s="72"/>
      <c r="AM3584" s="72"/>
    </row>
    <row r="3585" spans="1:39" x14ac:dyDescent="0.25">
      <c r="A3585" s="37" t="s">
        <v>62</v>
      </c>
      <c r="B3585" s="66" t="s">
        <v>1644</v>
      </c>
      <c r="C3585" s="4">
        <v>1053</v>
      </c>
      <c r="D3585" s="41" t="s">
        <v>542</v>
      </c>
      <c r="E3585" s="41">
        <v>10530076</v>
      </c>
      <c r="F3585" s="85" t="s">
        <v>1160</v>
      </c>
      <c r="G3585" s="39" t="s">
        <v>93</v>
      </c>
      <c r="H3585" s="52" t="s">
        <v>94</v>
      </c>
      <c r="I3585" s="52">
        <v>1983.1499999999999</v>
      </c>
      <c r="J3585" s="49">
        <v>93831.570590790812</v>
      </c>
      <c r="K3585" s="58">
        <v>1992.7699999999998</v>
      </c>
      <c r="L3585" s="58">
        <v>92601.229261745655</v>
      </c>
      <c r="M3585" s="58">
        <v>28.58</v>
      </c>
      <c r="N3585" s="58">
        <v>1282.274307164226</v>
      </c>
      <c r="O3585" s="58">
        <v>2021.3499999999997</v>
      </c>
      <c r="P3585" s="53">
        <v>93883.503568909888</v>
      </c>
      <c r="Q3585" s="65">
        <v>93831.570590790812</v>
      </c>
      <c r="R3585" s="65">
        <v>0</v>
      </c>
      <c r="S3585" s="65">
        <v>1282.274307164226</v>
      </c>
      <c r="T3585" s="65">
        <v>51.932978119075415</v>
      </c>
      <c r="U3585" s="58">
        <v>0</v>
      </c>
      <c r="V3585" s="65">
        <v>0</v>
      </c>
      <c r="W3585" s="65">
        <v>0</v>
      </c>
      <c r="X3585" s="65">
        <v>92549</v>
      </c>
      <c r="Y3585" s="65">
        <v>0</v>
      </c>
      <c r="Z3585" s="51">
        <v>0</v>
      </c>
      <c r="AA3585" s="51">
        <v>0</v>
      </c>
      <c r="AB3585" s="102">
        <v>0</v>
      </c>
      <c r="AC3585" s="81">
        <f t="shared" ref="AC3585:AC3648" si="172">((IF(AD3585=0,0,100-AD3585))*7*(J3585/I3585))*2%</f>
        <v>0</v>
      </c>
      <c r="AD3585" s="82">
        <f t="shared" ref="AD3585:AD3648" si="173">IF((I3585/7)&gt;100,0,(I3585/7))</f>
        <v>0</v>
      </c>
      <c r="AE3585" s="218">
        <v>-5.5347019976421908E-4</v>
      </c>
      <c r="AF3585">
        <v>53</v>
      </c>
      <c r="AH3585" t="str">
        <f t="shared" si="171"/>
        <v>Kalyanpur</v>
      </c>
      <c r="AJ3585" s="72">
        <v>0</v>
      </c>
      <c r="AK3585" s="72"/>
      <c r="AL3585" s="72"/>
      <c r="AM3585" s="72"/>
    </row>
    <row r="3586" spans="1:39" x14ac:dyDescent="0.25">
      <c r="A3586" s="37" t="s">
        <v>62</v>
      </c>
      <c r="B3586" s="66" t="s">
        <v>1644</v>
      </c>
      <c r="C3586" s="4">
        <v>1053</v>
      </c>
      <c r="D3586" s="41" t="s">
        <v>542</v>
      </c>
      <c r="E3586" s="41">
        <v>10530077</v>
      </c>
      <c r="F3586" s="85" t="s">
        <v>1309</v>
      </c>
      <c r="G3586" s="39" t="s">
        <v>635</v>
      </c>
      <c r="H3586" s="52" t="s">
        <v>99</v>
      </c>
      <c r="I3586" s="52">
        <v>409.20000000000005</v>
      </c>
      <c r="J3586" s="49">
        <v>14947.770437550003</v>
      </c>
      <c r="K3586" s="58">
        <v>0</v>
      </c>
      <c r="L3586" s="58">
        <v>0</v>
      </c>
      <c r="M3586" s="58">
        <v>0</v>
      </c>
      <c r="N3586" s="58">
        <v>0</v>
      </c>
      <c r="O3586" s="58">
        <v>0</v>
      </c>
      <c r="P3586" s="53">
        <v>0</v>
      </c>
      <c r="Q3586" s="65">
        <v>14947.770437550003</v>
      </c>
      <c r="R3586" s="65">
        <v>0</v>
      </c>
      <c r="S3586" s="65">
        <v>0</v>
      </c>
      <c r="T3586" s="65">
        <v>0</v>
      </c>
      <c r="U3586" s="58">
        <v>0</v>
      </c>
      <c r="V3586" s="65">
        <v>0</v>
      </c>
      <c r="W3586" s="65">
        <v>0</v>
      </c>
      <c r="X3586" s="65">
        <v>0</v>
      </c>
      <c r="Y3586" s="65">
        <v>0</v>
      </c>
      <c r="Z3586" s="51">
        <v>14947.770437550003</v>
      </c>
      <c r="AA3586" s="51">
        <v>0</v>
      </c>
      <c r="AB3586" s="102">
        <v>0</v>
      </c>
      <c r="AC3586" s="81">
        <f t="shared" si="172"/>
        <v>212.45413701073022</v>
      </c>
      <c r="AD3586" s="82">
        <f t="shared" si="173"/>
        <v>58.457142857142863</v>
      </c>
      <c r="AE3586" s="218">
        <v>0</v>
      </c>
      <c r="AF3586">
        <v>0</v>
      </c>
      <c r="AH3586" t="str">
        <f t="shared" si="171"/>
        <v>Kalyanpur</v>
      </c>
      <c r="AJ3586" s="72">
        <v>0</v>
      </c>
      <c r="AK3586" s="72"/>
      <c r="AL3586" s="72"/>
      <c r="AM3586" s="72"/>
    </row>
    <row r="3587" spans="1:39" x14ac:dyDescent="0.25">
      <c r="A3587" s="37" t="s">
        <v>62</v>
      </c>
      <c r="B3587" s="66" t="s">
        <v>1644</v>
      </c>
      <c r="C3587" s="4">
        <v>1053</v>
      </c>
      <c r="D3587" s="41" t="s">
        <v>542</v>
      </c>
      <c r="E3587" s="41">
        <v>10530078</v>
      </c>
      <c r="F3587" s="85" t="s">
        <v>1191</v>
      </c>
      <c r="G3587" s="39" t="s">
        <v>93</v>
      </c>
      <c r="H3587" s="52" t="s">
        <v>94</v>
      </c>
      <c r="I3587" s="52">
        <v>629.75</v>
      </c>
      <c r="J3587" s="49">
        <v>27308.6803243043</v>
      </c>
      <c r="K3587" s="58">
        <v>637.96</v>
      </c>
      <c r="L3587" s="58">
        <v>25937.540320629978</v>
      </c>
      <c r="M3587" s="58">
        <v>35.699999999999996</v>
      </c>
      <c r="N3587" s="58">
        <v>1403.62796369532</v>
      </c>
      <c r="O3587" s="58">
        <v>673.66000000000008</v>
      </c>
      <c r="P3587" s="53">
        <v>27341.168284325297</v>
      </c>
      <c r="Q3587" s="65">
        <v>27308.6803243043</v>
      </c>
      <c r="R3587" s="65">
        <v>0</v>
      </c>
      <c r="S3587" s="65">
        <v>1403.62796369532</v>
      </c>
      <c r="T3587" s="65">
        <v>32.487960020996979</v>
      </c>
      <c r="U3587" s="58">
        <v>0</v>
      </c>
      <c r="V3587" s="65">
        <v>0</v>
      </c>
      <c r="W3587" s="65">
        <v>0</v>
      </c>
      <c r="X3587" s="65">
        <v>25905</v>
      </c>
      <c r="Y3587" s="65">
        <v>0</v>
      </c>
      <c r="Z3587" s="51">
        <v>0</v>
      </c>
      <c r="AA3587" s="51">
        <v>0</v>
      </c>
      <c r="AB3587" s="102">
        <v>0</v>
      </c>
      <c r="AC3587" s="81">
        <f t="shared" si="172"/>
        <v>60.926869163394308</v>
      </c>
      <c r="AD3587" s="82">
        <f t="shared" si="173"/>
        <v>89.964285714285708</v>
      </c>
      <c r="AE3587" s="218">
        <v>-1.1896569015853616E-3</v>
      </c>
      <c r="AF3587">
        <v>11</v>
      </c>
      <c r="AH3587" t="str">
        <f t="shared" si="171"/>
        <v>Kalyanpur</v>
      </c>
      <c r="AJ3587" s="72">
        <v>0</v>
      </c>
      <c r="AK3587" s="72"/>
      <c r="AL3587" s="72"/>
      <c r="AM3587" s="72"/>
    </row>
    <row r="3588" spans="1:39" x14ac:dyDescent="0.25">
      <c r="A3588" s="37" t="s">
        <v>62</v>
      </c>
      <c r="B3588" s="66" t="s">
        <v>1644</v>
      </c>
      <c r="C3588" s="4">
        <v>1053</v>
      </c>
      <c r="D3588" s="41" t="s">
        <v>542</v>
      </c>
      <c r="E3588" s="41">
        <v>10530079</v>
      </c>
      <c r="F3588" s="85" t="s">
        <v>1180</v>
      </c>
      <c r="G3588" s="39" t="s">
        <v>635</v>
      </c>
      <c r="H3588" s="52" t="s">
        <v>99</v>
      </c>
      <c r="I3588" s="52">
        <v>160.75</v>
      </c>
      <c r="J3588" s="49">
        <v>6532.1943838139996</v>
      </c>
      <c r="K3588" s="58">
        <v>0</v>
      </c>
      <c r="L3588" s="58">
        <v>0</v>
      </c>
      <c r="M3588" s="58">
        <v>0</v>
      </c>
      <c r="N3588" s="58">
        <v>0</v>
      </c>
      <c r="O3588" s="58">
        <v>0</v>
      </c>
      <c r="P3588" s="53">
        <v>0</v>
      </c>
      <c r="Q3588" s="65">
        <v>6532.1943838139996</v>
      </c>
      <c r="R3588" s="65">
        <v>0</v>
      </c>
      <c r="S3588" s="65">
        <v>0</v>
      </c>
      <c r="T3588" s="65">
        <v>0</v>
      </c>
      <c r="U3588" s="58">
        <v>0</v>
      </c>
      <c r="V3588" s="65">
        <v>0</v>
      </c>
      <c r="W3588" s="65">
        <v>0</v>
      </c>
      <c r="X3588" s="65">
        <v>0</v>
      </c>
      <c r="Y3588" s="65">
        <v>0</v>
      </c>
      <c r="Z3588" s="51">
        <v>6532.1943838139996</v>
      </c>
      <c r="AA3588" s="51">
        <v>0</v>
      </c>
      <c r="AB3588" s="102">
        <v>0</v>
      </c>
      <c r="AC3588" s="81">
        <f t="shared" si="172"/>
        <v>438.25640080518804</v>
      </c>
      <c r="AD3588" s="82">
        <f t="shared" si="173"/>
        <v>22.964285714285715</v>
      </c>
      <c r="AE3588" s="218">
        <v>0</v>
      </c>
      <c r="AF3588">
        <v>0</v>
      </c>
      <c r="AH3588" t="str">
        <f t="shared" si="171"/>
        <v>Kalyanpur</v>
      </c>
      <c r="AJ3588" s="72">
        <v>0</v>
      </c>
      <c r="AK3588" s="72"/>
      <c r="AL3588" s="72"/>
      <c r="AM3588" s="72"/>
    </row>
    <row r="3589" spans="1:39" x14ac:dyDescent="0.25">
      <c r="A3589" s="37" t="s">
        <v>62</v>
      </c>
      <c r="B3589" s="66" t="s">
        <v>1644</v>
      </c>
      <c r="C3589" s="4">
        <v>1053</v>
      </c>
      <c r="D3589" s="41" t="s">
        <v>542</v>
      </c>
      <c r="E3589" s="41">
        <v>10530080</v>
      </c>
      <c r="F3589" s="85" t="s">
        <v>1192</v>
      </c>
      <c r="G3589" s="39" t="s">
        <v>635</v>
      </c>
      <c r="H3589" s="52" t="s">
        <v>99</v>
      </c>
      <c r="I3589" s="52">
        <v>153.14999999999998</v>
      </c>
      <c r="J3589" s="49">
        <v>5202.5703103229998</v>
      </c>
      <c r="K3589" s="58">
        <v>0</v>
      </c>
      <c r="L3589" s="58">
        <v>0</v>
      </c>
      <c r="M3589" s="58">
        <v>0</v>
      </c>
      <c r="N3589" s="58">
        <v>0</v>
      </c>
      <c r="O3589" s="58">
        <v>0</v>
      </c>
      <c r="P3589" s="53">
        <v>0</v>
      </c>
      <c r="Q3589" s="65">
        <v>5202.5703103229998</v>
      </c>
      <c r="R3589" s="65">
        <v>0</v>
      </c>
      <c r="S3589" s="65">
        <v>0</v>
      </c>
      <c r="T3589" s="65">
        <v>0</v>
      </c>
      <c r="U3589" s="58">
        <v>0</v>
      </c>
      <c r="V3589" s="65">
        <v>0</v>
      </c>
      <c r="W3589" s="65">
        <v>0</v>
      </c>
      <c r="X3589" s="65">
        <v>0</v>
      </c>
      <c r="Y3589" s="65">
        <v>0</v>
      </c>
      <c r="Z3589" s="51">
        <v>5202.5703103229998</v>
      </c>
      <c r="AA3589" s="51">
        <v>0</v>
      </c>
      <c r="AB3589" s="102">
        <v>0</v>
      </c>
      <c r="AC3589" s="81">
        <f t="shared" si="172"/>
        <v>371.53451834151252</v>
      </c>
      <c r="AD3589" s="82">
        <f t="shared" si="173"/>
        <v>21.878571428571426</v>
      </c>
      <c r="AE3589" s="218">
        <v>0</v>
      </c>
      <c r="AF3589">
        <v>0</v>
      </c>
      <c r="AH3589" t="str">
        <f t="shared" si="171"/>
        <v>Kalyanpur</v>
      </c>
      <c r="AJ3589" s="72">
        <v>0</v>
      </c>
      <c r="AK3589" s="72"/>
      <c r="AL3589" s="72"/>
      <c r="AM3589" s="72"/>
    </row>
    <row r="3590" spans="1:39" x14ac:dyDescent="0.25">
      <c r="A3590" s="37" t="s">
        <v>62</v>
      </c>
      <c r="B3590" s="66" t="s">
        <v>1644</v>
      </c>
      <c r="C3590" s="4">
        <v>1053</v>
      </c>
      <c r="D3590" s="41" t="s">
        <v>542</v>
      </c>
      <c r="E3590" s="41">
        <v>10530081</v>
      </c>
      <c r="F3590" s="85" t="s">
        <v>1181</v>
      </c>
      <c r="G3590" s="39" t="s">
        <v>93</v>
      </c>
      <c r="H3590" s="52" t="s">
        <v>94</v>
      </c>
      <c r="I3590" s="52">
        <v>1770.3999999999999</v>
      </c>
      <c r="J3590" s="49">
        <v>76530.407553480327</v>
      </c>
      <c r="K3590" s="58">
        <v>1750.98</v>
      </c>
      <c r="L3590" s="58">
        <v>74921.779546256876</v>
      </c>
      <c r="M3590" s="58">
        <v>28.479999999999993</v>
      </c>
      <c r="N3590" s="58">
        <v>1267.2133946965</v>
      </c>
      <c r="O3590" s="58">
        <v>1779.46</v>
      </c>
      <c r="P3590" s="53">
        <v>76188.99294095338</v>
      </c>
      <c r="Q3590" s="65">
        <v>76188.99294095338</v>
      </c>
      <c r="R3590" s="65">
        <v>0</v>
      </c>
      <c r="S3590" s="65">
        <v>1267.2133946965</v>
      </c>
      <c r="T3590" s="65">
        <v>0</v>
      </c>
      <c r="U3590" s="58">
        <v>0</v>
      </c>
      <c r="V3590" s="65">
        <v>0</v>
      </c>
      <c r="W3590" s="65">
        <v>0</v>
      </c>
      <c r="X3590" s="65">
        <v>74922</v>
      </c>
      <c r="Y3590" s="65">
        <v>0</v>
      </c>
      <c r="Z3590" s="51">
        <v>0</v>
      </c>
      <c r="AA3590" s="51">
        <v>341</v>
      </c>
      <c r="AB3590" s="102">
        <v>0</v>
      </c>
      <c r="AC3590" s="81">
        <f t="shared" si="172"/>
        <v>0</v>
      </c>
      <c r="AD3590" s="82">
        <f t="shared" si="173"/>
        <v>0</v>
      </c>
      <c r="AE3590" s="218">
        <v>4.4611628689990015E-3</v>
      </c>
      <c r="AF3590">
        <v>40</v>
      </c>
      <c r="AH3590" t="str">
        <f t="shared" si="171"/>
        <v>Kalyanpur</v>
      </c>
      <c r="AJ3590" s="72">
        <v>0</v>
      </c>
      <c r="AK3590" s="72"/>
      <c r="AL3590" s="72"/>
      <c r="AM3590" s="72"/>
    </row>
    <row r="3591" spans="1:39" x14ac:dyDescent="0.25">
      <c r="A3591" s="37" t="s">
        <v>62</v>
      </c>
      <c r="B3591" s="66" t="s">
        <v>1644</v>
      </c>
      <c r="C3591" s="4">
        <v>1053</v>
      </c>
      <c r="D3591" s="41" t="s">
        <v>542</v>
      </c>
      <c r="E3591" s="41">
        <v>10530082</v>
      </c>
      <c r="F3591" s="85" t="s">
        <v>1182</v>
      </c>
      <c r="G3591" s="39" t="s">
        <v>93</v>
      </c>
      <c r="H3591" s="52" t="s">
        <v>94</v>
      </c>
      <c r="I3591" s="52">
        <v>1014.4999999999999</v>
      </c>
      <c r="J3591" s="49">
        <v>40956.156402000001</v>
      </c>
      <c r="K3591" s="58">
        <v>984.99999999999989</v>
      </c>
      <c r="L3591" s="58">
        <v>40887.60992449629</v>
      </c>
      <c r="M3591" s="58">
        <v>5.81</v>
      </c>
      <c r="N3591" s="58">
        <v>227.51796142200004</v>
      </c>
      <c r="O3591" s="58">
        <v>990.80999999999983</v>
      </c>
      <c r="P3591" s="53">
        <v>41115.127885918293</v>
      </c>
      <c r="Q3591" s="65">
        <v>40956.156402000001</v>
      </c>
      <c r="R3591" s="65">
        <v>0</v>
      </c>
      <c r="S3591" s="65">
        <v>226.75065890400003</v>
      </c>
      <c r="T3591" s="65">
        <v>158.97148391829251</v>
      </c>
      <c r="U3591" s="58">
        <v>0</v>
      </c>
      <c r="V3591" s="65">
        <v>0</v>
      </c>
      <c r="W3591" s="65">
        <v>0</v>
      </c>
      <c r="X3591" s="65">
        <v>40728</v>
      </c>
      <c r="Y3591" s="65">
        <v>1</v>
      </c>
      <c r="Z3591" s="51">
        <v>0</v>
      </c>
      <c r="AA3591" s="51">
        <v>0</v>
      </c>
      <c r="AB3591" s="102">
        <v>0</v>
      </c>
      <c r="AC3591" s="81">
        <f t="shared" si="172"/>
        <v>0</v>
      </c>
      <c r="AD3591" s="82">
        <f t="shared" si="173"/>
        <v>0</v>
      </c>
      <c r="AE3591" s="218">
        <v>-3.881503976054977E-3</v>
      </c>
      <c r="AF3591">
        <v>28</v>
      </c>
      <c r="AH3591" t="str">
        <f t="shared" si="171"/>
        <v>Kalyanpur</v>
      </c>
      <c r="AJ3591" s="72">
        <v>0</v>
      </c>
      <c r="AK3591" s="72"/>
      <c r="AL3591" s="72"/>
      <c r="AM3591" s="72"/>
    </row>
    <row r="3592" spans="1:39" x14ac:dyDescent="0.25">
      <c r="A3592" s="37" t="s">
        <v>62</v>
      </c>
      <c r="B3592" s="66" t="s">
        <v>1644</v>
      </c>
      <c r="C3592" s="4">
        <v>1053</v>
      </c>
      <c r="D3592" s="41" t="s">
        <v>542</v>
      </c>
      <c r="E3592" s="41">
        <v>10530084</v>
      </c>
      <c r="F3592" s="85" t="s">
        <v>1261</v>
      </c>
      <c r="G3592" s="39" t="s">
        <v>93</v>
      </c>
      <c r="H3592" s="52" t="s">
        <v>94</v>
      </c>
      <c r="I3592" s="52">
        <v>2049.25</v>
      </c>
      <c r="J3592" s="49">
        <v>83101.751417114414</v>
      </c>
      <c r="K3592" s="58">
        <v>2033.47</v>
      </c>
      <c r="L3592" s="58">
        <v>83571.110337610866</v>
      </c>
      <c r="M3592" s="58">
        <v>19.470000000000002</v>
      </c>
      <c r="N3592" s="58">
        <v>827.26313332799998</v>
      </c>
      <c r="O3592" s="58">
        <v>2052.94</v>
      </c>
      <c r="P3592" s="53">
        <v>84398.373470938866</v>
      </c>
      <c r="Q3592" s="65">
        <v>83101.751417114414</v>
      </c>
      <c r="R3592" s="65">
        <v>0</v>
      </c>
      <c r="S3592" s="65">
        <v>827.26313332799998</v>
      </c>
      <c r="T3592" s="65">
        <v>1296.6220538244525</v>
      </c>
      <c r="U3592" s="58">
        <v>0</v>
      </c>
      <c r="V3592" s="65">
        <v>0</v>
      </c>
      <c r="W3592" s="65">
        <v>0</v>
      </c>
      <c r="X3592" s="65">
        <v>82274</v>
      </c>
      <c r="Y3592" s="65">
        <v>0</v>
      </c>
      <c r="Z3592" s="51">
        <v>0</v>
      </c>
      <c r="AA3592" s="51">
        <v>0</v>
      </c>
      <c r="AB3592" s="102">
        <v>0</v>
      </c>
      <c r="AC3592" s="81">
        <f t="shared" si="172"/>
        <v>0</v>
      </c>
      <c r="AD3592" s="82">
        <f t="shared" si="173"/>
        <v>0</v>
      </c>
      <c r="AE3592" s="218">
        <v>-1.5602824630208928E-2</v>
      </c>
      <c r="AF3592">
        <v>39</v>
      </c>
      <c r="AH3592" t="str">
        <f t="shared" si="171"/>
        <v>Kalyanpur</v>
      </c>
      <c r="AJ3592" s="72">
        <v>0</v>
      </c>
      <c r="AK3592" s="72"/>
      <c r="AL3592" s="72"/>
      <c r="AM3592" s="72"/>
    </row>
    <row r="3593" spans="1:39" x14ac:dyDescent="0.25">
      <c r="A3593" s="37" t="s">
        <v>62</v>
      </c>
      <c r="B3593" s="66" t="s">
        <v>1644</v>
      </c>
      <c r="C3593" s="4">
        <v>1053</v>
      </c>
      <c r="D3593" s="41" t="s">
        <v>542</v>
      </c>
      <c r="E3593" s="41">
        <v>10530085</v>
      </c>
      <c r="F3593" s="85" t="s">
        <v>1210</v>
      </c>
      <c r="G3593" s="39" t="s">
        <v>93</v>
      </c>
      <c r="H3593" s="52" t="s">
        <v>94</v>
      </c>
      <c r="I3593" s="52">
        <v>808.09999999999991</v>
      </c>
      <c r="J3593" s="49">
        <v>35528.143569655746</v>
      </c>
      <c r="K3593" s="58">
        <v>807.53999999999985</v>
      </c>
      <c r="L3593" s="58">
        <v>35687.272284650593</v>
      </c>
      <c r="M3593" s="58">
        <v>0.4</v>
      </c>
      <c r="N3593" s="58">
        <v>16.262832960000004</v>
      </c>
      <c r="O3593" s="58">
        <v>807.93999999999983</v>
      </c>
      <c r="P3593" s="53">
        <v>35703.535117610591</v>
      </c>
      <c r="Q3593" s="65">
        <v>35528.143569655746</v>
      </c>
      <c r="R3593" s="65">
        <v>0</v>
      </c>
      <c r="S3593" s="65">
        <v>16.262832960000004</v>
      </c>
      <c r="T3593" s="65">
        <v>175.39154795484501</v>
      </c>
      <c r="U3593" s="58">
        <v>0</v>
      </c>
      <c r="V3593" s="65">
        <v>0</v>
      </c>
      <c r="W3593" s="65">
        <v>0</v>
      </c>
      <c r="X3593" s="65">
        <v>35512</v>
      </c>
      <c r="Y3593" s="65">
        <v>0</v>
      </c>
      <c r="Z3593" s="51">
        <v>0</v>
      </c>
      <c r="AA3593" s="51">
        <v>0</v>
      </c>
      <c r="AB3593" s="102">
        <v>0</v>
      </c>
      <c r="AC3593" s="81">
        <f t="shared" si="172"/>
        <v>0</v>
      </c>
      <c r="AD3593" s="82">
        <f t="shared" si="173"/>
        <v>0</v>
      </c>
      <c r="AE3593" s="218">
        <v>-4.9366932896726216E-3</v>
      </c>
      <c r="AF3593">
        <v>22</v>
      </c>
      <c r="AH3593" t="str">
        <f t="shared" si="171"/>
        <v>Kalyanpur</v>
      </c>
      <c r="AJ3593" s="72">
        <v>0</v>
      </c>
      <c r="AK3593" s="72"/>
      <c r="AL3593" s="72"/>
      <c r="AM3593" s="72"/>
    </row>
    <row r="3594" spans="1:39" x14ac:dyDescent="0.25">
      <c r="A3594" s="37" t="s">
        <v>62</v>
      </c>
      <c r="B3594" s="66" t="s">
        <v>1644</v>
      </c>
      <c r="C3594" s="4">
        <v>1066</v>
      </c>
      <c r="D3594" s="41" t="s">
        <v>1590</v>
      </c>
      <c r="E3594" s="41">
        <v>10530088</v>
      </c>
      <c r="F3594" s="85" t="s">
        <v>1592</v>
      </c>
      <c r="G3594" s="39" t="s">
        <v>635</v>
      </c>
      <c r="H3594" s="52" t="s">
        <v>99</v>
      </c>
      <c r="I3594" s="52">
        <v>2560.2000000000003</v>
      </c>
      <c r="J3594" s="49">
        <v>116770.68601540738</v>
      </c>
      <c r="K3594" s="58">
        <v>0</v>
      </c>
      <c r="L3594" s="58">
        <v>0</v>
      </c>
      <c r="M3594" s="58">
        <v>0</v>
      </c>
      <c r="N3594" s="58">
        <v>0</v>
      </c>
      <c r="O3594" s="58">
        <v>0</v>
      </c>
      <c r="P3594" s="53">
        <v>0</v>
      </c>
      <c r="Q3594" s="65">
        <v>116770.68601540738</v>
      </c>
      <c r="R3594" s="65">
        <v>0</v>
      </c>
      <c r="S3594" s="65">
        <v>0</v>
      </c>
      <c r="T3594" s="65">
        <v>0</v>
      </c>
      <c r="U3594" s="58">
        <v>0</v>
      </c>
      <c r="V3594" s="65">
        <v>0</v>
      </c>
      <c r="W3594" s="65">
        <v>0</v>
      </c>
      <c r="X3594" s="65">
        <v>0</v>
      </c>
      <c r="Y3594" s="65">
        <v>0</v>
      </c>
      <c r="Z3594" s="51">
        <v>116770.68601540738</v>
      </c>
      <c r="AA3594" s="51">
        <v>0</v>
      </c>
      <c r="AB3594" s="102">
        <v>0</v>
      </c>
      <c r="AC3594" s="81">
        <f t="shared" si="172"/>
        <v>0</v>
      </c>
      <c r="AD3594" s="82">
        <f t="shared" si="173"/>
        <v>0</v>
      </c>
      <c r="AE3594" s="218">
        <v>0</v>
      </c>
      <c r="AF3594">
        <v>0</v>
      </c>
      <c r="AH3594" t="str">
        <f t="shared" si="171"/>
        <v>Gaighat</v>
      </c>
      <c r="AJ3594" s="72">
        <v>0</v>
      </c>
      <c r="AK3594" s="72"/>
      <c r="AL3594" s="72"/>
      <c r="AM3594" s="72"/>
    </row>
    <row r="3595" spans="1:39" x14ac:dyDescent="0.25">
      <c r="A3595" s="37" t="s">
        <v>62</v>
      </c>
      <c r="B3595" s="66" t="s">
        <v>1644</v>
      </c>
      <c r="C3595" s="4">
        <v>1012</v>
      </c>
      <c r="D3595" s="41" t="s">
        <v>314</v>
      </c>
      <c r="E3595" s="41">
        <v>10530090</v>
      </c>
      <c r="F3595" s="85" t="s">
        <v>1201</v>
      </c>
      <c r="G3595" s="39" t="s">
        <v>635</v>
      </c>
      <c r="H3595" s="52" t="s">
        <v>99</v>
      </c>
      <c r="I3595" s="52">
        <v>205.3</v>
      </c>
      <c r="J3595" s="49">
        <v>7520.8001645988006</v>
      </c>
      <c r="K3595" s="58">
        <v>0</v>
      </c>
      <c r="L3595" s="58">
        <v>0</v>
      </c>
      <c r="M3595" s="58">
        <v>0</v>
      </c>
      <c r="N3595" s="58">
        <v>0</v>
      </c>
      <c r="O3595" s="58">
        <v>0</v>
      </c>
      <c r="P3595" s="53">
        <v>0</v>
      </c>
      <c r="Q3595" s="65">
        <v>7520.8001645988006</v>
      </c>
      <c r="R3595" s="65">
        <v>0</v>
      </c>
      <c r="S3595" s="65">
        <v>0</v>
      </c>
      <c r="T3595" s="65">
        <v>0</v>
      </c>
      <c r="U3595" s="58">
        <v>0</v>
      </c>
      <c r="V3595" s="65">
        <v>0</v>
      </c>
      <c r="W3595" s="65">
        <v>0</v>
      </c>
      <c r="X3595" s="65">
        <v>0</v>
      </c>
      <c r="Y3595" s="65">
        <v>0</v>
      </c>
      <c r="Z3595" s="51">
        <v>7520.8001645988006</v>
      </c>
      <c r="AA3595" s="51">
        <v>0</v>
      </c>
      <c r="AB3595" s="102">
        <v>0</v>
      </c>
      <c r="AC3595" s="81">
        <f t="shared" si="172"/>
        <v>362.44908343176104</v>
      </c>
      <c r="AD3595" s="82">
        <f t="shared" si="173"/>
        <v>29.328571428571429</v>
      </c>
      <c r="AE3595" s="218">
        <v>0</v>
      </c>
      <c r="AF3595">
        <v>0</v>
      </c>
      <c r="AH3595" t="str">
        <f t="shared" si="171"/>
        <v>DalsinghSarai</v>
      </c>
      <c r="AJ3595" s="72">
        <v>0</v>
      </c>
      <c r="AK3595" s="72"/>
      <c r="AL3595" s="72"/>
      <c r="AM3595" s="72"/>
    </row>
    <row r="3596" spans="1:39" x14ac:dyDescent="0.25">
      <c r="A3596" s="37" t="s">
        <v>62</v>
      </c>
      <c r="B3596" s="66" t="s">
        <v>1644</v>
      </c>
      <c r="C3596" s="4">
        <v>1053</v>
      </c>
      <c r="D3596" s="41" t="s">
        <v>542</v>
      </c>
      <c r="E3596" s="41">
        <v>10530091</v>
      </c>
      <c r="F3596" s="85" t="s">
        <v>1229</v>
      </c>
      <c r="G3596" s="39" t="s">
        <v>93</v>
      </c>
      <c r="H3596" s="52" t="s">
        <v>94</v>
      </c>
      <c r="I3596" s="52">
        <v>229.24999999999997</v>
      </c>
      <c r="J3596" s="49">
        <v>10005.653201467099</v>
      </c>
      <c r="K3596" s="58">
        <v>226.39999999999998</v>
      </c>
      <c r="L3596" s="58">
        <v>9959.1719653139608</v>
      </c>
      <c r="M3596" s="58">
        <v>5.5</v>
      </c>
      <c r="N3596" s="58">
        <v>240.92435288063999</v>
      </c>
      <c r="O3596" s="58">
        <v>231.89999999999998</v>
      </c>
      <c r="P3596" s="53">
        <v>10200.096318194601</v>
      </c>
      <c r="Q3596" s="65">
        <v>10005.653201467099</v>
      </c>
      <c r="R3596" s="65">
        <v>0</v>
      </c>
      <c r="S3596" s="65">
        <v>240.92435288063999</v>
      </c>
      <c r="T3596" s="65">
        <v>194.44311672750155</v>
      </c>
      <c r="U3596" s="58">
        <v>0</v>
      </c>
      <c r="V3596" s="65">
        <v>0</v>
      </c>
      <c r="W3596" s="65">
        <v>0</v>
      </c>
      <c r="X3596" s="65">
        <v>9765</v>
      </c>
      <c r="Y3596" s="65">
        <v>0</v>
      </c>
      <c r="Z3596" s="51">
        <v>0</v>
      </c>
      <c r="AA3596" s="51">
        <v>0</v>
      </c>
      <c r="AB3596" s="102">
        <v>0</v>
      </c>
      <c r="AC3596" s="81">
        <f t="shared" si="172"/>
        <v>410.9191925488015</v>
      </c>
      <c r="AD3596" s="82">
        <f t="shared" si="173"/>
        <v>32.749999999999993</v>
      </c>
      <c r="AE3596" s="218">
        <v>-1.9433325622258319E-2</v>
      </c>
      <c r="AF3596">
        <v>10</v>
      </c>
      <c r="AH3596" t="str">
        <f t="shared" si="171"/>
        <v>Kalyanpur</v>
      </c>
      <c r="AJ3596" s="72">
        <v>0</v>
      </c>
      <c r="AK3596" s="72"/>
      <c r="AL3596" s="72"/>
      <c r="AM3596" s="72"/>
    </row>
    <row r="3597" spans="1:39" x14ac:dyDescent="0.25">
      <c r="A3597" s="37" t="s">
        <v>62</v>
      </c>
      <c r="B3597" s="66" t="s">
        <v>1644</v>
      </c>
      <c r="C3597" s="4">
        <v>1053</v>
      </c>
      <c r="D3597" s="41" t="s">
        <v>542</v>
      </c>
      <c r="E3597" s="41">
        <v>10530092</v>
      </c>
      <c r="F3597" s="85" t="s">
        <v>1224</v>
      </c>
      <c r="G3597" s="39" t="s">
        <v>93</v>
      </c>
      <c r="H3597" s="52" t="s">
        <v>94</v>
      </c>
      <c r="I3597" s="52">
        <v>1089.2000000000003</v>
      </c>
      <c r="J3597" s="49">
        <v>44344.651497455052</v>
      </c>
      <c r="K3597" s="58">
        <v>872.7</v>
      </c>
      <c r="L3597" s="58">
        <v>34460.333540908621</v>
      </c>
      <c r="M3597" s="58">
        <v>219.9</v>
      </c>
      <c r="N3597" s="58">
        <v>10079.0249536186</v>
      </c>
      <c r="O3597" s="58">
        <v>1092.6000000000001</v>
      </c>
      <c r="P3597" s="53">
        <v>44539.358494527223</v>
      </c>
      <c r="Q3597" s="65">
        <v>44344.651497455052</v>
      </c>
      <c r="R3597" s="65">
        <v>0</v>
      </c>
      <c r="S3597" s="65">
        <v>219.96725176800004</v>
      </c>
      <c r="T3597" s="65">
        <v>194.70699707217136</v>
      </c>
      <c r="U3597" s="58">
        <v>950</v>
      </c>
      <c r="V3597" s="65">
        <v>0</v>
      </c>
      <c r="W3597" s="65">
        <v>0</v>
      </c>
      <c r="X3597" s="65">
        <v>33315</v>
      </c>
      <c r="Y3597" s="65">
        <v>9860</v>
      </c>
      <c r="Z3597" s="51">
        <v>0</v>
      </c>
      <c r="AA3597" s="51">
        <v>0</v>
      </c>
      <c r="AB3597" s="102">
        <v>0</v>
      </c>
      <c r="AC3597" s="81">
        <f t="shared" si="172"/>
        <v>0</v>
      </c>
      <c r="AD3597" s="82">
        <f t="shared" si="173"/>
        <v>0</v>
      </c>
      <c r="AE3597" s="218">
        <v>-4.3907662028496407E-3</v>
      </c>
      <c r="AF3597">
        <v>21</v>
      </c>
      <c r="AH3597" t="str">
        <f t="shared" si="171"/>
        <v>Kalyanpur</v>
      </c>
      <c r="AJ3597" s="72">
        <v>0</v>
      </c>
      <c r="AK3597" s="72"/>
      <c r="AL3597" s="72"/>
      <c r="AM3597" s="72"/>
    </row>
    <row r="3598" spans="1:39" x14ac:dyDescent="0.25">
      <c r="A3598" s="37" t="s">
        <v>62</v>
      </c>
      <c r="B3598" s="66" t="s">
        <v>1644</v>
      </c>
      <c r="C3598" s="4">
        <v>1053</v>
      </c>
      <c r="D3598" s="41" t="s">
        <v>542</v>
      </c>
      <c r="E3598" s="41">
        <v>10530093</v>
      </c>
      <c r="F3598" s="85" t="s">
        <v>1225</v>
      </c>
      <c r="G3598" s="39" t="s">
        <v>93</v>
      </c>
      <c r="H3598" s="52" t="s">
        <v>94</v>
      </c>
      <c r="I3598" s="52">
        <v>1192.8500000000001</v>
      </c>
      <c r="J3598" s="49">
        <v>53058.69482841334</v>
      </c>
      <c r="K3598" s="58">
        <v>1176.1999999999998</v>
      </c>
      <c r="L3598" s="58">
        <v>52268.327396420325</v>
      </c>
      <c r="M3598" s="58">
        <v>18.499999999999996</v>
      </c>
      <c r="N3598" s="58">
        <v>797.17382400000008</v>
      </c>
      <c r="O3598" s="58">
        <v>1194.6999999999998</v>
      </c>
      <c r="P3598" s="53">
        <v>53065.501220420323</v>
      </c>
      <c r="Q3598" s="65">
        <v>53058.69482841334</v>
      </c>
      <c r="R3598" s="65">
        <v>0</v>
      </c>
      <c r="S3598" s="65">
        <v>797.17382400000008</v>
      </c>
      <c r="T3598" s="65">
        <v>6.8063920069835149</v>
      </c>
      <c r="U3598" s="58">
        <v>0</v>
      </c>
      <c r="V3598" s="65">
        <v>0</v>
      </c>
      <c r="W3598" s="65">
        <v>0</v>
      </c>
      <c r="X3598" s="65">
        <v>52262</v>
      </c>
      <c r="Y3598" s="65">
        <v>0</v>
      </c>
      <c r="Z3598" s="51">
        <v>0</v>
      </c>
      <c r="AA3598" s="51">
        <v>0</v>
      </c>
      <c r="AB3598" s="102">
        <v>0</v>
      </c>
      <c r="AC3598" s="81">
        <f t="shared" si="172"/>
        <v>0</v>
      </c>
      <c r="AD3598" s="82">
        <f t="shared" si="173"/>
        <v>0</v>
      </c>
      <c r="AE3598" s="218">
        <v>-1.2828042659162131E-4</v>
      </c>
      <c r="AF3598">
        <v>30</v>
      </c>
      <c r="AH3598" t="str">
        <f t="shared" si="171"/>
        <v>Kalyanpur</v>
      </c>
      <c r="AJ3598" s="72">
        <v>0</v>
      </c>
      <c r="AK3598" s="72"/>
      <c r="AL3598" s="72"/>
      <c r="AM3598" s="72"/>
    </row>
    <row r="3599" spans="1:39" x14ac:dyDescent="0.25">
      <c r="A3599" s="37" t="s">
        <v>62</v>
      </c>
      <c r="B3599" s="66" t="s">
        <v>1644</v>
      </c>
      <c r="C3599" s="4">
        <v>1053</v>
      </c>
      <c r="D3599" s="41" t="s">
        <v>542</v>
      </c>
      <c r="E3599" s="41">
        <v>10530096</v>
      </c>
      <c r="F3599" s="85" t="s">
        <v>1274</v>
      </c>
      <c r="G3599" s="39" t="s">
        <v>93</v>
      </c>
      <c r="H3599" s="52" t="s">
        <v>94</v>
      </c>
      <c r="I3599" s="52">
        <v>726.6</v>
      </c>
      <c r="J3599" s="49">
        <v>39071.282319207006</v>
      </c>
      <c r="K3599" s="58">
        <v>729.10000000000014</v>
      </c>
      <c r="L3599" s="58">
        <v>38405.315765429696</v>
      </c>
      <c r="M3599" s="58">
        <v>8.6</v>
      </c>
      <c r="N3599" s="58">
        <v>534.71135625000011</v>
      </c>
      <c r="O3599" s="58">
        <v>737.70000000000016</v>
      </c>
      <c r="P3599" s="53">
        <v>38940.027121679697</v>
      </c>
      <c r="Q3599" s="65">
        <v>38940.027121679697</v>
      </c>
      <c r="R3599" s="65">
        <v>0</v>
      </c>
      <c r="S3599" s="65">
        <v>534.71135625000011</v>
      </c>
      <c r="T3599" s="65">
        <v>0</v>
      </c>
      <c r="U3599" s="58">
        <v>0</v>
      </c>
      <c r="V3599" s="65">
        <v>0</v>
      </c>
      <c r="W3599" s="65">
        <v>0</v>
      </c>
      <c r="X3599" s="65">
        <v>38405</v>
      </c>
      <c r="Y3599" s="65">
        <v>0</v>
      </c>
      <c r="Z3599" s="51">
        <v>0</v>
      </c>
      <c r="AA3599" s="51">
        <v>132</v>
      </c>
      <c r="AB3599" s="102">
        <v>0</v>
      </c>
      <c r="AC3599" s="81">
        <f t="shared" si="172"/>
        <v>0</v>
      </c>
      <c r="AD3599" s="82">
        <f t="shared" si="173"/>
        <v>0</v>
      </c>
      <c r="AE3599" s="218">
        <v>3.3593777766230486E-3</v>
      </c>
      <c r="AF3599">
        <v>5</v>
      </c>
      <c r="AH3599" t="str">
        <f t="shared" si="171"/>
        <v>Kalyanpur</v>
      </c>
      <c r="AJ3599" s="72">
        <v>0</v>
      </c>
      <c r="AK3599" s="72"/>
      <c r="AL3599" s="72"/>
      <c r="AM3599" s="72"/>
    </row>
    <row r="3600" spans="1:39" x14ac:dyDescent="0.25">
      <c r="A3600" s="37" t="s">
        <v>62</v>
      </c>
      <c r="B3600" s="66" t="s">
        <v>1644</v>
      </c>
      <c r="C3600" s="4">
        <v>1053</v>
      </c>
      <c r="D3600" s="41" t="s">
        <v>542</v>
      </c>
      <c r="E3600" s="41">
        <v>10530097</v>
      </c>
      <c r="F3600" s="85" t="s">
        <v>1275</v>
      </c>
      <c r="G3600" s="39" t="s">
        <v>93</v>
      </c>
      <c r="H3600" s="52" t="s">
        <v>94</v>
      </c>
      <c r="I3600" s="52">
        <v>667.25</v>
      </c>
      <c r="J3600" s="49">
        <v>27798.415047957002</v>
      </c>
      <c r="K3600" s="58">
        <v>653.79999999999973</v>
      </c>
      <c r="L3600" s="58">
        <v>26843.049417626815</v>
      </c>
      <c r="M3600" s="58">
        <v>21.700000000000003</v>
      </c>
      <c r="N3600" s="58">
        <v>921.4847962834001</v>
      </c>
      <c r="O3600" s="58">
        <v>675.49999999999977</v>
      </c>
      <c r="P3600" s="53">
        <v>27764.534213910214</v>
      </c>
      <c r="Q3600" s="65">
        <v>27764.534213910214</v>
      </c>
      <c r="R3600" s="65">
        <v>0</v>
      </c>
      <c r="S3600" s="65">
        <v>921.4847962834001</v>
      </c>
      <c r="T3600" s="65">
        <v>0</v>
      </c>
      <c r="U3600" s="58">
        <v>0</v>
      </c>
      <c r="V3600" s="65">
        <v>0</v>
      </c>
      <c r="W3600" s="65">
        <v>0</v>
      </c>
      <c r="X3600" s="65">
        <v>26845</v>
      </c>
      <c r="Y3600" s="65">
        <v>0</v>
      </c>
      <c r="Z3600" s="51">
        <v>0</v>
      </c>
      <c r="AA3600" s="51">
        <v>32</v>
      </c>
      <c r="AB3600" s="102">
        <v>0</v>
      </c>
      <c r="AC3600" s="81">
        <f t="shared" si="172"/>
        <v>27.288065727106545</v>
      </c>
      <c r="AD3600" s="82">
        <f t="shared" si="173"/>
        <v>95.321428571428569</v>
      </c>
      <c r="AE3600" s="218">
        <v>1.2188045249463839E-3</v>
      </c>
      <c r="AF3600">
        <v>19</v>
      </c>
      <c r="AH3600" t="str">
        <f t="shared" si="171"/>
        <v>Kalyanpur</v>
      </c>
      <c r="AJ3600" s="72">
        <v>0</v>
      </c>
      <c r="AK3600" s="72"/>
      <c r="AL3600" s="72"/>
      <c r="AM3600" s="72"/>
    </row>
    <row r="3601" spans="1:39" x14ac:dyDescent="0.25">
      <c r="A3601" s="37" t="s">
        <v>62</v>
      </c>
      <c r="B3601" s="66" t="s">
        <v>1644</v>
      </c>
      <c r="C3601" s="4">
        <v>1053</v>
      </c>
      <c r="D3601" s="41" t="s">
        <v>542</v>
      </c>
      <c r="E3601" s="41">
        <v>10530100</v>
      </c>
      <c r="F3601" s="85" t="s">
        <v>1352</v>
      </c>
      <c r="G3601" s="39" t="s">
        <v>93</v>
      </c>
      <c r="H3601" s="52" t="s">
        <v>94</v>
      </c>
      <c r="I3601" s="52">
        <v>248.4</v>
      </c>
      <c r="J3601" s="49">
        <v>10121.225529760501</v>
      </c>
      <c r="K3601" s="58">
        <v>248.3</v>
      </c>
      <c r="L3601" s="58">
        <v>10739.246761235539</v>
      </c>
      <c r="M3601" s="58">
        <v>1.8</v>
      </c>
      <c r="N3601" s="58">
        <v>79.655470513400005</v>
      </c>
      <c r="O3601" s="58">
        <v>250.10000000000002</v>
      </c>
      <c r="P3601" s="53">
        <v>10818.90223174894</v>
      </c>
      <c r="Q3601" s="65">
        <v>10121.225529760501</v>
      </c>
      <c r="R3601" s="65">
        <v>0</v>
      </c>
      <c r="S3601" s="65">
        <v>79.655470513400005</v>
      </c>
      <c r="T3601" s="65">
        <v>697.67670198843916</v>
      </c>
      <c r="U3601" s="58">
        <v>0</v>
      </c>
      <c r="V3601" s="65">
        <v>0</v>
      </c>
      <c r="W3601" s="65">
        <v>0</v>
      </c>
      <c r="X3601" s="65">
        <v>10041</v>
      </c>
      <c r="Y3601" s="65">
        <v>0</v>
      </c>
      <c r="Z3601" s="51">
        <v>0</v>
      </c>
      <c r="AA3601" s="51">
        <v>1</v>
      </c>
      <c r="AB3601" s="102">
        <v>0</v>
      </c>
      <c r="AC3601" s="81">
        <f t="shared" si="172"/>
        <v>368.01493150079239</v>
      </c>
      <c r="AD3601" s="82">
        <f t="shared" si="173"/>
        <v>35.485714285714288</v>
      </c>
      <c r="AE3601" s="218">
        <v>-6.8932037917442623E-2</v>
      </c>
      <c r="AF3601">
        <v>9</v>
      </c>
      <c r="AH3601" t="str">
        <f t="shared" si="171"/>
        <v>Kalyanpur</v>
      </c>
      <c r="AJ3601" s="72">
        <v>0</v>
      </c>
      <c r="AK3601" s="72"/>
      <c r="AL3601" s="72"/>
      <c r="AM3601" s="72"/>
    </row>
    <row r="3602" spans="1:39" x14ac:dyDescent="0.25">
      <c r="A3602" s="37" t="s">
        <v>62</v>
      </c>
      <c r="B3602" s="66" t="s">
        <v>1644</v>
      </c>
      <c r="C3602" s="4">
        <v>1053</v>
      </c>
      <c r="D3602" s="41" t="s">
        <v>542</v>
      </c>
      <c r="E3602" s="41">
        <v>10530101</v>
      </c>
      <c r="F3602" s="85" t="s">
        <v>1337</v>
      </c>
      <c r="G3602" s="39" t="s">
        <v>93</v>
      </c>
      <c r="H3602" s="52" t="s">
        <v>94</v>
      </c>
      <c r="I3602" s="52">
        <v>351.90000000000003</v>
      </c>
      <c r="J3602" s="49">
        <v>15326.478783829902</v>
      </c>
      <c r="K3602" s="58">
        <v>363.70000000000005</v>
      </c>
      <c r="L3602" s="58">
        <v>15930.74461102402</v>
      </c>
      <c r="M3602" s="58">
        <v>3.7</v>
      </c>
      <c r="N3602" s="58">
        <v>149.00129253</v>
      </c>
      <c r="O3602" s="58">
        <v>367.40000000000003</v>
      </c>
      <c r="P3602" s="53">
        <v>16079.74590355402</v>
      </c>
      <c r="Q3602" s="65">
        <v>15326.478783829902</v>
      </c>
      <c r="R3602" s="65">
        <v>0</v>
      </c>
      <c r="S3602" s="65">
        <v>149.00129253</v>
      </c>
      <c r="T3602" s="65">
        <v>753.26711972411795</v>
      </c>
      <c r="U3602" s="58">
        <v>0</v>
      </c>
      <c r="V3602" s="65">
        <v>0</v>
      </c>
      <c r="W3602" s="65">
        <v>0</v>
      </c>
      <c r="X3602" s="65">
        <v>15177</v>
      </c>
      <c r="Y3602" s="65">
        <v>0</v>
      </c>
      <c r="Z3602" s="51">
        <v>0</v>
      </c>
      <c r="AA3602" s="51">
        <v>0</v>
      </c>
      <c r="AB3602" s="102">
        <v>0</v>
      </c>
      <c r="AC3602" s="81">
        <f t="shared" si="172"/>
        <v>303.21950921575376</v>
      </c>
      <c r="AD3602" s="82">
        <f t="shared" si="173"/>
        <v>50.271428571428579</v>
      </c>
      <c r="AE3602" s="218">
        <v>-4.9148087460170395E-2</v>
      </c>
      <c r="AF3602">
        <v>14</v>
      </c>
      <c r="AH3602" t="str">
        <f t="shared" si="171"/>
        <v>Kalyanpur</v>
      </c>
      <c r="AJ3602" s="72">
        <v>0</v>
      </c>
      <c r="AK3602" s="72"/>
      <c r="AL3602" s="72"/>
      <c r="AM3602" s="72"/>
    </row>
    <row r="3603" spans="1:39" x14ac:dyDescent="0.25">
      <c r="A3603" s="37" t="s">
        <v>62</v>
      </c>
      <c r="B3603" s="66" t="s">
        <v>1644</v>
      </c>
      <c r="C3603" s="4">
        <v>1053</v>
      </c>
      <c r="D3603" s="41" t="s">
        <v>542</v>
      </c>
      <c r="E3603" s="41">
        <v>10530102</v>
      </c>
      <c r="F3603" s="85" t="s">
        <v>1353</v>
      </c>
      <c r="G3603" s="39" t="s">
        <v>93</v>
      </c>
      <c r="H3603" s="52" t="s">
        <v>94</v>
      </c>
      <c r="I3603" s="52">
        <v>105.15</v>
      </c>
      <c r="J3603" s="49">
        <v>4206.1832073922506</v>
      </c>
      <c r="K3603" s="58">
        <v>103.30000000000001</v>
      </c>
      <c r="L3603" s="58">
        <v>4054.6028370341</v>
      </c>
      <c r="M3603" s="58">
        <v>0</v>
      </c>
      <c r="N3603" s="58">
        <v>0</v>
      </c>
      <c r="O3603" s="58">
        <v>103.30000000000001</v>
      </c>
      <c r="P3603" s="53">
        <v>4054.6028370341</v>
      </c>
      <c r="Q3603" s="65">
        <v>4054.6028370341</v>
      </c>
      <c r="R3603" s="65">
        <v>0</v>
      </c>
      <c r="S3603" s="65">
        <v>0</v>
      </c>
      <c r="T3603" s="65">
        <v>0</v>
      </c>
      <c r="U3603" s="58">
        <v>0</v>
      </c>
      <c r="V3603" s="65">
        <v>500</v>
      </c>
      <c r="W3603" s="65">
        <v>0</v>
      </c>
      <c r="X3603" s="65">
        <v>3555</v>
      </c>
      <c r="Y3603" s="65">
        <v>0</v>
      </c>
      <c r="Z3603" s="51">
        <v>0</v>
      </c>
      <c r="AA3603" s="51">
        <v>151</v>
      </c>
      <c r="AB3603" s="102">
        <v>0</v>
      </c>
      <c r="AC3603" s="81">
        <f t="shared" si="172"/>
        <v>475.90072865759015</v>
      </c>
      <c r="AD3603" s="82">
        <f t="shared" si="173"/>
        <v>15.021428571428572</v>
      </c>
      <c r="AE3603" s="218">
        <v>3.6037510228216448E-2</v>
      </c>
      <c r="AF3603">
        <v>5</v>
      </c>
      <c r="AH3603" t="str">
        <f t="shared" si="171"/>
        <v>Kalyanpur</v>
      </c>
      <c r="AJ3603" s="72">
        <v>500</v>
      </c>
      <c r="AK3603" s="72"/>
      <c r="AL3603" s="72"/>
      <c r="AM3603" s="72"/>
    </row>
    <row r="3604" spans="1:39" x14ac:dyDescent="0.25">
      <c r="A3604" s="37" t="s">
        <v>62</v>
      </c>
      <c r="B3604" s="66" t="s">
        <v>1644</v>
      </c>
      <c r="C3604" s="4">
        <v>1053</v>
      </c>
      <c r="D3604" s="41" t="s">
        <v>542</v>
      </c>
      <c r="E3604" s="41">
        <v>10530103</v>
      </c>
      <c r="F3604" s="85" t="s">
        <v>1338</v>
      </c>
      <c r="G3604" s="39" t="s">
        <v>93</v>
      </c>
      <c r="H3604" s="52" t="s">
        <v>94</v>
      </c>
      <c r="I3604" s="52">
        <v>2435.8500000000004</v>
      </c>
      <c r="J3604" s="49">
        <v>106695.13348276513</v>
      </c>
      <c r="K3604" s="58">
        <v>2407.3000000000002</v>
      </c>
      <c r="L3604" s="58">
        <v>107013.12368057622</v>
      </c>
      <c r="M3604" s="58">
        <v>29.9</v>
      </c>
      <c r="N3604" s="58">
        <v>1302.3995220300003</v>
      </c>
      <c r="O3604" s="58">
        <v>2437.2000000000003</v>
      </c>
      <c r="P3604" s="53">
        <v>108315.52320260621</v>
      </c>
      <c r="Q3604" s="65">
        <v>106695.13348276513</v>
      </c>
      <c r="R3604" s="65">
        <v>0</v>
      </c>
      <c r="S3604" s="65">
        <v>1302.3995220300003</v>
      </c>
      <c r="T3604" s="65">
        <v>1620.389719841085</v>
      </c>
      <c r="U3604" s="58">
        <v>0</v>
      </c>
      <c r="V3604" s="65">
        <v>0</v>
      </c>
      <c r="W3604" s="65">
        <v>0</v>
      </c>
      <c r="X3604" s="65">
        <v>105393</v>
      </c>
      <c r="Y3604" s="65">
        <v>0</v>
      </c>
      <c r="Z3604" s="51">
        <v>0</v>
      </c>
      <c r="AA3604" s="51">
        <v>0</v>
      </c>
      <c r="AB3604" s="102">
        <v>0</v>
      </c>
      <c r="AC3604" s="81">
        <f t="shared" si="172"/>
        <v>0</v>
      </c>
      <c r="AD3604" s="82">
        <f t="shared" si="173"/>
        <v>0</v>
      </c>
      <c r="AE3604" s="218">
        <v>-1.5187100544776325E-2</v>
      </c>
      <c r="AF3604">
        <v>27</v>
      </c>
      <c r="AH3604" t="str">
        <f t="shared" si="171"/>
        <v>Kalyanpur</v>
      </c>
      <c r="AJ3604" s="72">
        <v>0</v>
      </c>
      <c r="AK3604" s="72"/>
      <c r="AL3604" s="72"/>
      <c r="AM3604" s="72"/>
    </row>
    <row r="3605" spans="1:39" x14ac:dyDescent="0.25">
      <c r="A3605" s="37" t="s">
        <v>62</v>
      </c>
      <c r="B3605" s="66" t="s">
        <v>1644</v>
      </c>
      <c r="C3605" s="4">
        <v>1053</v>
      </c>
      <c r="D3605" s="41" t="s">
        <v>542</v>
      </c>
      <c r="E3605" s="41">
        <v>10530105</v>
      </c>
      <c r="F3605" s="85" t="s">
        <v>1386</v>
      </c>
      <c r="G3605" s="39" t="s">
        <v>93</v>
      </c>
      <c r="H3605" s="52" t="s">
        <v>94</v>
      </c>
      <c r="I3605" s="52">
        <v>138</v>
      </c>
      <c r="J3605" s="49">
        <v>5246.1671381790002</v>
      </c>
      <c r="K3605" s="58">
        <v>138.29000000000002</v>
      </c>
      <c r="L3605" s="58">
        <v>4827.7132067935509</v>
      </c>
      <c r="M3605" s="58">
        <v>1.31</v>
      </c>
      <c r="N3605" s="58">
        <v>47.979349078200016</v>
      </c>
      <c r="O3605" s="58">
        <v>139.60000000000002</v>
      </c>
      <c r="P3605" s="53">
        <v>4875.6925558717512</v>
      </c>
      <c r="Q3605" s="65">
        <v>4875.6925558717512</v>
      </c>
      <c r="R3605" s="65">
        <v>0</v>
      </c>
      <c r="S3605" s="65">
        <v>47.979349078200016</v>
      </c>
      <c r="T3605" s="65">
        <v>0</v>
      </c>
      <c r="U3605" s="58">
        <v>0</v>
      </c>
      <c r="V3605" s="65">
        <v>0</v>
      </c>
      <c r="W3605" s="65">
        <v>0</v>
      </c>
      <c r="X3605" s="65">
        <v>4828</v>
      </c>
      <c r="Y3605" s="65">
        <v>0</v>
      </c>
      <c r="Z3605" s="51">
        <v>0</v>
      </c>
      <c r="AA3605" s="51">
        <v>370</v>
      </c>
      <c r="AB3605" s="102">
        <v>0</v>
      </c>
      <c r="AC3605" s="81">
        <f t="shared" si="172"/>
        <v>427.29651183428956</v>
      </c>
      <c r="AD3605" s="82">
        <f t="shared" si="173"/>
        <v>19.714285714285715</v>
      </c>
      <c r="AE3605" s="218">
        <v>7.0618143217572857E-2</v>
      </c>
      <c r="AF3605">
        <v>3</v>
      </c>
      <c r="AH3605" t="str">
        <f t="shared" si="171"/>
        <v>Kalyanpur</v>
      </c>
      <c r="AJ3605" s="72">
        <v>0</v>
      </c>
      <c r="AK3605" s="72"/>
      <c r="AL3605" s="72"/>
      <c r="AM3605" s="72"/>
    </row>
    <row r="3606" spans="1:39" x14ac:dyDescent="0.25">
      <c r="A3606" s="37" t="s">
        <v>62</v>
      </c>
      <c r="B3606" s="66" t="s">
        <v>1644</v>
      </c>
      <c r="C3606" s="4">
        <v>1053</v>
      </c>
      <c r="D3606" s="41" t="s">
        <v>542</v>
      </c>
      <c r="E3606" s="41">
        <v>10530106</v>
      </c>
      <c r="F3606" s="85" t="s">
        <v>1436</v>
      </c>
      <c r="G3606" s="39" t="s">
        <v>93</v>
      </c>
      <c r="H3606" s="52" t="s">
        <v>94</v>
      </c>
      <c r="I3606" s="52">
        <v>393.4</v>
      </c>
      <c r="J3606" s="49">
        <v>15102.725012654999</v>
      </c>
      <c r="K3606" s="58">
        <v>386.82000000000005</v>
      </c>
      <c r="L3606" s="58">
        <v>14678.591630796966</v>
      </c>
      <c r="M3606" s="58">
        <v>7.99</v>
      </c>
      <c r="N3606" s="58">
        <v>347.92251811856005</v>
      </c>
      <c r="O3606" s="58">
        <v>394.81000000000006</v>
      </c>
      <c r="P3606" s="53">
        <v>15026.514148915525</v>
      </c>
      <c r="Q3606" s="65">
        <v>15026.514148915525</v>
      </c>
      <c r="R3606" s="65">
        <v>0</v>
      </c>
      <c r="S3606" s="65">
        <v>347.92251811856005</v>
      </c>
      <c r="T3606" s="65">
        <v>0</v>
      </c>
      <c r="U3606" s="58">
        <v>0</v>
      </c>
      <c r="V3606" s="65">
        <v>0</v>
      </c>
      <c r="W3606" s="65">
        <v>0</v>
      </c>
      <c r="X3606" s="65">
        <v>14678</v>
      </c>
      <c r="Y3606" s="65">
        <v>0</v>
      </c>
      <c r="Z3606" s="51">
        <v>0</v>
      </c>
      <c r="AA3606" s="51">
        <v>77</v>
      </c>
      <c r="AB3606" s="102">
        <v>0</v>
      </c>
      <c r="AC3606" s="81">
        <f t="shared" si="172"/>
        <v>235.40902332892847</v>
      </c>
      <c r="AD3606" s="82">
        <f t="shared" si="173"/>
        <v>56.199999999999996</v>
      </c>
      <c r="AE3606" s="218">
        <v>5.0461664153730384E-3</v>
      </c>
      <c r="AF3606">
        <v>7</v>
      </c>
      <c r="AH3606" t="str">
        <f t="shared" si="171"/>
        <v>Kalyanpur</v>
      </c>
      <c r="AJ3606" s="72">
        <v>0</v>
      </c>
      <c r="AK3606" s="72"/>
      <c r="AL3606" s="72"/>
      <c r="AM3606" s="72"/>
    </row>
    <row r="3607" spans="1:39" x14ac:dyDescent="0.25">
      <c r="A3607" s="37" t="s">
        <v>62</v>
      </c>
      <c r="B3607" s="66" t="s">
        <v>1644</v>
      </c>
      <c r="C3607" s="4">
        <v>1053</v>
      </c>
      <c r="D3607" s="41" t="s">
        <v>542</v>
      </c>
      <c r="E3607" s="41">
        <v>10530107</v>
      </c>
      <c r="F3607" s="85" t="s">
        <v>842</v>
      </c>
      <c r="G3607" s="39" t="s">
        <v>635</v>
      </c>
      <c r="H3607" s="52" t="s">
        <v>99</v>
      </c>
      <c r="I3607" s="52">
        <v>317.15000000000003</v>
      </c>
      <c r="J3607" s="49">
        <v>15609.358784971302</v>
      </c>
      <c r="K3607" s="58">
        <v>0</v>
      </c>
      <c r="L3607" s="58">
        <v>0</v>
      </c>
      <c r="M3607" s="58">
        <v>0</v>
      </c>
      <c r="N3607" s="58">
        <v>0</v>
      </c>
      <c r="O3607" s="58">
        <v>0</v>
      </c>
      <c r="P3607" s="53">
        <v>0</v>
      </c>
      <c r="Q3607" s="65">
        <v>15609.358784971302</v>
      </c>
      <c r="R3607" s="65">
        <v>0</v>
      </c>
      <c r="S3607" s="65">
        <v>0</v>
      </c>
      <c r="T3607" s="65">
        <v>0</v>
      </c>
      <c r="U3607" s="58">
        <v>0</v>
      </c>
      <c r="V3607" s="65">
        <v>0</v>
      </c>
      <c r="W3607" s="65">
        <v>0</v>
      </c>
      <c r="X3607" s="65">
        <v>0</v>
      </c>
      <c r="Y3607" s="65">
        <v>0</v>
      </c>
      <c r="Z3607" s="51">
        <v>15609.358784971302</v>
      </c>
      <c r="AA3607" s="51">
        <v>0</v>
      </c>
      <c r="AB3607" s="102">
        <v>0</v>
      </c>
      <c r="AC3607" s="81">
        <f t="shared" si="172"/>
        <v>376.85908944198405</v>
      </c>
      <c r="AD3607" s="82">
        <f t="shared" si="173"/>
        <v>45.307142857142864</v>
      </c>
      <c r="AE3607" s="218">
        <v>0</v>
      </c>
      <c r="AF3607">
        <v>0</v>
      </c>
      <c r="AH3607" t="str">
        <f t="shared" si="171"/>
        <v>Kalyanpur</v>
      </c>
      <c r="AJ3607" s="72">
        <v>0</v>
      </c>
      <c r="AK3607" s="72"/>
      <c r="AL3607" s="72"/>
      <c r="AM3607" s="72"/>
    </row>
    <row r="3608" spans="1:39" x14ac:dyDescent="0.25">
      <c r="A3608" s="37" t="s">
        <v>62</v>
      </c>
      <c r="B3608" s="66" t="s">
        <v>1644</v>
      </c>
      <c r="C3608" s="4">
        <v>1053</v>
      </c>
      <c r="D3608" s="41" t="s">
        <v>542</v>
      </c>
      <c r="E3608" s="41">
        <v>10530108</v>
      </c>
      <c r="F3608" s="85" t="s">
        <v>1437</v>
      </c>
      <c r="G3608" s="39" t="s">
        <v>93</v>
      </c>
      <c r="H3608" s="52" t="s">
        <v>94</v>
      </c>
      <c r="I3608" s="52">
        <v>223.45</v>
      </c>
      <c r="J3608" s="49">
        <v>8740.4474300610018</v>
      </c>
      <c r="K3608" s="58">
        <v>219.30999999999995</v>
      </c>
      <c r="L3608" s="58">
        <v>8788.5380117895329</v>
      </c>
      <c r="M3608" s="58">
        <v>5.25</v>
      </c>
      <c r="N3608" s="58">
        <v>204.16308358500004</v>
      </c>
      <c r="O3608" s="58">
        <v>224.55999999999995</v>
      </c>
      <c r="P3608" s="53">
        <v>8992.7010953745321</v>
      </c>
      <c r="Q3608" s="65">
        <v>8740.4474300610018</v>
      </c>
      <c r="R3608" s="65">
        <v>0</v>
      </c>
      <c r="S3608" s="65">
        <v>204.16308358500004</v>
      </c>
      <c r="T3608" s="65">
        <v>252.25366531353029</v>
      </c>
      <c r="U3608" s="58">
        <v>0</v>
      </c>
      <c r="V3608" s="65">
        <v>0</v>
      </c>
      <c r="W3608" s="65">
        <v>0</v>
      </c>
      <c r="X3608" s="65">
        <v>8536</v>
      </c>
      <c r="Y3608" s="65">
        <v>0</v>
      </c>
      <c r="Z3608" s="51">
        <v>0</v>
      </c>
      <c r="AA3608" s="51">
        <v>0</v>
      </c>
      <c r="AB3608" s="102">
        <v>0</v>
      </c>
      <c r="AC3608" s="81">
        <f t="shared" si="172"/>
        <v>372.81362477472095</v>
      </c>
      <c r="AD3608" s="82">
        <f t="shared" si="173"/>
        <v>31.921428571428571</v>
      </c>
      <c r="AE3608" s="218">
        <v>-2.8860497970155944E-2</v>
      </c>
      <c r="AF3608">
        <v>4</v>
      </c>
      <c r="AH3608" t="str">
        <f t="shared" si="171"/>
        <v>Kalyanpur</v>
      </c>
      <c r="AJ3608" s="72">
        <v>0</v>
      </c>
      <c r="AK3608" s="72"/>
      <c r="AL3608" s="72"/>
      <c r="AM3608" s="72"/>
    </row>
    <row r="3609" spans="1:39" x14ac:dyDescent="0.25">
      <c r="A3609" s="37" t="s">
        <v>62</v>
      </c>
      <c r="B3609" s="66" t="s">
        <v>1644</v>
      </c>
      <c r="C3609" s="4">
        <v>1053</v>
      </c>
      <c r="D3609" s="41" t="s">
        <v>542</v>
      </c>
      <c r="E3609" s="41">
        <v>10530109</v>
      </c>
      <c r="F3609" s="85" t="s">
        <v>1407</v>
      </c>
      <c r="G3609" s="39" t="s">
        <v>93</v>
      </c>
      <c r="H3609" s="52" t="s">
        <v>94</v>
      </c>
      <c r="I3609" s="52">
        <v>1542.15</v>
      </c>
      <c r="J3609" s="49">
        <v>64301.909158724753</v>
      </c>
      <c r="K3609" s="58">
        <v>1534.3500000000001</v>
      </c>
      <c r="L3609" s="58">
        <v>64118.376797781806</v>
      </c>
      <c r="M3609" s="58">
        <v>11.04</v>
      </c>
      <c r="N3609" s="58">
        <v>478.81946269200006</v>
      </c>
      <c r="O3609" s="58">
        <v>1545.39</v>
      </c>
      <c r="P3609" s="53">
        <v>64597.196260473807</v>
      </c>
      <c r="Q3609" s="65">
        <v>64301.909158724753</v>
      </c>
      <c r="R3609" s="65">
        <v>0</v>
      </c>
      <c r="S3609" s="65">
        <v>478.81946269200006</v>
      </c>
      <c r="T3609" s="65">
        <v>295.28710174905427</v>
      </c>
      <c r="U3609" s="58">
        <v>0</v>
      </c>
      <c r="V3609" s="65">
        <v>0</v>
      </c>
      <c r="W3609" s="65">
        <v>0</v>
      </c>
      <c r="X3609" s="65">
        <v>63823</v>
      </c>
      <c r="Y3609" s="65">
        <v>0</v>
      </c>
      <c r="Z3609" s="51">
        <v>0</v>
      </c>
      <c r="AA3609" s="51">
        <v>0</v>
      </c>
      <c r="AB3609" s="102">
        <v>0</v>
      </c>
      <c r="AC3609" s="81">
        <f t="shared" si="172"/>
        <v>0</v>
      </c>
      <c r="AD3609" s="82">
        <f t="shared" si="173"/>
        <v>0</v>
      </c>
      <c r="AE3609" s="218">
        <v>-4.5921980484305491E-3</v>
      </c>
      <c r="AF3609">
        <v>18</v>
      </c>
      <c r="AH3609" t="str">
        <f t="shared" si="171"/>
        <v>Kalyanpur</v>
      </c>
      <c r="AJ3609" s="72">
        <v>0</v>
      </c>
      <c r="AK3609" s="72"/>
      <c r="AL3609" s="72"/>
      <c r="AM3609" s="72"/>
    </row>
    <row r="3610" spans="1:39" x14ac:dyDescent="0.25">
      <c r="A3610" s="37" t="s">
        <v>62</v>
      </c>
      <c r="B3610" s="66" t="s">
        <v>1644</v>
      </c>
      <c r="C3610" s="4">
        <v>1053</v>
      </c>
      <c r="D3610" s="41" t="s">
        <v>542</v>
      </c>
      <c r="E3610" s="41">
        <v>10530110</v>
      </c>
      <c r="F3610" s="85" t="s">
        <v>1438</v>
      </c>
      <c r="G3610" s="39" t="s">
        <v>93</v>
      </c>
      <c r="H3610" s="52" t="s">
        <v>94</v>
      </c>
      <c r="I3610" s="52">
        <v>771.5</v>
      </c>
      <c r="J3610" s="49">
        <v>30162.869949330554</v>
      </c>
      <c r="K3610" s="58">
        <v>755.6099999999999</v>
      </c>
      <c r="L3610" s="58">
        <v>29176.673042313418</v>
      </c>
      <c r="M3610" s="58">
        <v>17.87</v>
      </c>
      <c r="N3610" s="58">
        <v>717.69346593300008</v>
      </c>
      <c r="O3610" s="58">
        <v>773.4799999999999</v>
      </c>
      <c r="P3610" s="53">
        <v>29894.366508246418</v>
      </c>
      <c r="Q3610" s="65">
        <v>29894.366508246418</v>
      </c>
      <c r="R3610" s="65">
        <v>0</v>
      </c>
      <c r="S3610" s="65">
        <v>717.69346593300008</v>
      </c>
      <c r="T3610" s="65">
        <v>0</v>
      </c>
      <c r="U3610" s="58">
        <v>0</v>
      </c>
      <c r="V3610" s="65">
        <v>0</v>
      </c>
      <c r="W3610" s="65">
        <v>0</v>
      </c>
      <c r="X3610" s="65">
        <v>29177</v>
      </c>
      <c r="Y3610" s="65">
        <v>0</v>
      </c>
      <c r="Z3610" s="51">
        <v>0</v>
      </c>
      <c r="AA3610" s="51">
        <v>268</v>
      </c>
      <c r="AB3610" s="102">
        <v>0</v>
      </c>
      <c r="AC3610" s="81">
        <f t="shared" si="172"/>
        <v>0</v>
      </c>
      <c r="AD3610" s="82">
        <f t="shared" si="173"/>
        <v>0</v>
      </c>
      <c r="AE3610" s="218">
        <v>8.9017869166689006E-3</v>
      </c>
      <c r="AF3610">
        <v>17</v>
      </c>
      <c r="AH3610" t="str">
        <f t="shared" si="171"/>
        <v>Kalyanpur</v>
      </c>
      <c r="AJ3610" s="72">
        <v>0</v>
      </c>
      <c r="AK3610" s="72"/>
      <c r="AL3610" s="72"/>
      <c r="AM3610" s="72"/>
    </row>
    <row r="3611" spans="1:39" x14ac:dyDescent="0.25">
      <c r="A3611" s="37" t="s">
        <v>62</v>
      </c>
      <c r="B3611" s="66" t="s">
        <v>1644</v>
      </c>
      <c r="C3611" s="4">
        <v>1053</v>
      </c>
      <c r="D3611" s="41" t="s">
        <v>542</v>
      </c>
      <c r="E3611" s="41">
        <v>10530111</v>
      </c>
      <c r="F3611" s="85" t="s">
        <v>1500</v>
      </c>
      <c r="G3611" s="39" t="s">
        <v>93</v>
      </c>
      <c r="H3611" s="52" t="s">
        <v>94</v>
      </c>
      <c r="I3611" s="52">
        <v>637.19999999999993</v>
      </c>
      <c r="J3611" s="49">
        <v>26234.876368964997</v>
      </c>
      <c r="K3611" s="58">
        <v>628.08000000000004</v>
      </c>
      <c r="L3611" s="58">
        <v>26088.276322655896</v>
      </c>
      <c r="M3611" s="58">
        <v>12.810000000000002</v>
      </c>
      <c r="N3611" s="58">
        <v>524.18030597280006</v>
      </c>
      <c r="O3611" s="58">
        <v>640.8900000000001</v>
      </c>
      <c r="P3611" s="53">
        <v>26612.456628628697</v>
      </c>
      <c r="Q3611" s="65">
        <v>26234.876368964997</v>
      </c>
      <c r="R3611" s="65">
        <v>0</v>
      </c>
      <c r="S3611" s="65">
        <v>524.18030597280006</v>
      </c>
      <c r="T3611" s="65">
        <v>377.58025966370042</v>
      </c>
      <c r="U3611" s="58">
        <v>0</v>
      </c>
      <c r="V3611" s="65">
        <v>0</v>
      </c>
      <c r="W3611" s="65">
        <v>0</v>
      </c>
      <c r="X3611" s="65">
        <v>25711</v>
      </c>
      <c r="Y3611" s="65">
        <v>0</v>
      </c>
      <c r="Z3611" s="51">
        <v>0</v>
      </c>
      <c r="AA3611" s="51">
        <v>0</v>
      </c>
      <c r="AB3611" s="102">
        <v>0</v>
      </c>
      <c r="AC3611" s="81">
        <f t="shared" si="172"/>
        <v>51.712185686472147</v>
      </c>
      <c r="AD3611" s="82">
        <f t="shared" si="173"/>
        <v>91.028571428571425</v>
      </c>
      <c r="AE3611" s="218">
        <v>-1.4392301848632515E-2</v>
      </c>
      <c r="AF3611">
        <v>17</v>
      </c>
      <c r="AH3611" t="str">
        <f t="shared" si="171"/>
        <v>Kalyanpur</v>
      </c>
      <c r="AJ3611" s="72">
        <v>0</v>
      </c>
      <c r="AK3611" s="72"/>
      <c r="AL3611" s="72"/>
      <c r="AM3611" s="72"/>
    </row>
    <row r="3612" spans="1:39" x14ac:dyDescent="0.25">
      <c r="A3612" s="37" t="s">
        <v>62</v>
      </c>
      <c r="B3612" s="66" t="s">
        <v>1644</v>
      </c>
      <c r="C3612" s="4">
        <v>1053</v>
      </c>
      <c r="D3612" s="41" t="s">
        <v>542</v>
      </c>
      <c r="E3612" s="41">
        <v>10530112</v>
      </c>
      <c r="F3612" s="85" t="s">
        <v>1501</v>
      </c>
      <c r="G3612" s="39" t="s">
        <v>93</v>
      </c>
      <c r="H3612" s="52" t="s">
        <v>94</v>
      </c>
      <c r="I3612" s="52">
        <v>455.20000000000005</v>
      </c>
      <c r="J3612" s="49">
        <v>18296.646393555002</v>
      </c>
      <c r="K3612" s="58">
        <v>451.69000000000005</v>
      </c>
      <c r="L3612" s="58">
        <v>18181.173915413401</v>
      </c>
      <c r="M3612" s="58">
        <v>0</v>
      </c>
      <c r="N3612" s="58">
        <v>0</v>
      </c>
      <c r="O3612" s="58">
        <v>451.69000000000005</v>
      </c>
      <c r="P3612" s="53">
        <v>18181.173915413401</v>
      </c>
      <c r="Q3612" s="65">
        <v>18181.173915413401</v>
      </c>
      <c r="R3612" s="65">
        <v>0</v>
      </c>
      <c r="S3612" s="65">
        <v>0</v>
      </c>
      <c r="T3612" s="65">
        <v>0</v>
      </c>
      <c r="U3612" s="58">
        <v>0</v>
      </c>
      <c r="V3612" s="65">
        <v>0</v>
      </c>
      <c r="W3612" s="65">
        <v>0</v>
      </c>
      <c r="X3612" s="65">
        <v>18181</v>
      </c>
      <c r="Y3612" s="65">
        <v>0</v>
      </c>
      <c r="Z3612" s="51">
        <v>0</v>
      </c>
      <c r="AA3612" s="51">
        <v>116</v>
      </c>
      <c r="AB3612" s="102">
        <v>0</v>
      </c>
      <c r="AC3612" s="81">
        <f t="shared" si="172"/>
        <v>196.79345505897464</v>
      </c>
      <c r="AD3612" s="82">
        <f t="shared" si="173"/>
        <v>65.028571428571439</v>
      </c>
      <c r="AE3612" s="218">
        <v>6.3111280426928918E-3</v>
      </c>
      <c r="AF3612">
        <v>3</v>
      </c>
      <c r="AH3612" t="str">
        <f t="shared" si="171"/>
        <v>Kalyanpur</v>
      </c>
      <c r="AJ3612" s="72">
        <v>0</v>
      </c>
      <c r="AK3612" s="72"/>
      <c r="AL3612" s="72"/>
      <c r="AM3612" s="72"/>
    </row>
    <row r="3613" spans="1:39" x14ac:dyDescent="0.25">
      <c r="A3613" s="37" t="s">
        <v>62</v>
      </c>
      <c r="B3613" s="66" t="s">
        <v>1644</v>
      </c>
      <c r="C3613" s="4">
        <v>1053</v>
      </c>
      <c r="D3613" s="41" t="s">
        <v>542</v>
      </c>
      <c r="E3613" s="41">
        <v>10530113</v>
      </c>
      <c r="F3613" s="85" t="s">
        <v>1557</v>
      </c>
      <c r="G3613" s="39" t="s">
        <v>93</v>
      </c>
      <c r="H3613" s="52" t="s">
        <v>94</v>
      </c>
      <c r="I3613" s="52">
        <v>571.45000000000005</v>
      </c>
      <c r="J3613" s="49">
        <v>21778.47294184575</v>
      </c>
      <c r="K3613" s="58">
        <v>566.41999999999996</v>
      </c>
      <c r="L3613" s="58">
        <v>22460.687231061002</v>
      </c>
      <c r="M3613" s="58">
        <v>4.7799999999999994</v>
      </c>
      <c r="N3613" s="58">
        <v>192.94772136</v>
      </c>
      <c r="O3613" s="58">
        <v>571.19999999999993</v>
      </c>
      <c r="P3613" s="53">
        <v>22653.634952421002</v>
      </c>
      <c r="Q3613" s="65">
        <v>21778.47294184575</v>
      </c>
      <c r="R3613" s="65">
        <v>0</v>
      </c>
      <c r="S3613" s="65">
        <v>192.94772136</v>
      </c>
      <c r="T3613" s="65">
        <v>875.16201057525177</v>
      </c>
      <c r="U3613" s="58">
        <v>0</v>
      </c>
      <c r="V3613" s="65">
        <v>0</v>
      </c>
      <c r="W3613" s="65">
        <v>0</v>
      </c>
      <c r="X3613" s="65">
        <v>21585</v>
      </c>
      <c r="Y3613" s="65">
        <v>0</v>
      </c>
      <c r="Z3613" s="51">
        <v>0</v>
      </c>
      <c r="AA3613" s="51">
        <v>1</v>
      </c>
      <c r="AB3613" s="102">
        <v>0</v>
      </c>
      <c r="AC3613" s="81">
        <f t="shared" si="172"/>
        <v>97.983120016598861</v>
      </c>
      <c r="AD3613" s="82">
        <f t="shared" si="173"/>
        <v>81.635714285714286</v>
      </c>
      <c r="AE3613" s="218">
        <v>-4.0184727961054226E-2</v>
      </c>
      <c r="AF3613">
        <v>10</v>
      </c>
      <c r="AH3613" t="str">
        <f t="shared" si="171"/>
        <v>Kalyanpur</v>
      </c>
      <c r="AJ3613" s="72">
        <v>0</v>
      </c>
      <c r="AK3613" s="72"/>
      <c r="AL3613" s="72"/>
      <c r="AM3613" s="72"/>
    </row>
    <row r="3614" spans="1:39" x14ac:dyDescent="0.25">
      <c r="A3614" s="37" t="s">
        <v>62</v>
      </c>
      <c r="B3614" s="66" t="s">
        <v>1644</v>
      </c>
      <c r="C3614" s="4">
        <v>1053</v>
      </c>
      <c r="D3614" s="41" t="s">
        <v>542</v>
      </c>
      <c r="E3614" s="41">
        <v>10530114</v>
      </c>
      <c r="F3614" s="85" t="s">
        <v>1593</v>
      </c>
      <c r="G3614" s="39" t="s">
        <v>93</v>
      </c>
      <c r="H3614" s="52" t="s">
        <v>94</v>
      </c>
      <c r="I3614" s="52">
        <v>103.5</v>
      </c>
      <c r="J3614" s="49">
        <v>5416.3409782347499</v>
      </c>
      <c r="K3614" s="58">
        <v>97.38</v>
      </c>
      <c r="L3614" s="58">
        <v>5169.3524591287414</v>
      </c>
      <c r="M3614" s="58">
        <v>3.1099999999999994</v>
      </c>
      <c r="N3614" s="58">
        <v>165.48829598171005</v>
      </c>
      <c r="O3614" s="58">
        <v>100.49</v>
      </c>
      <c r="P3614" s="53">
        <v>5334.8407551104519</v>
      </c>
      <c r="Q3614" s="65">
        <v>5334.8407551104519</v>
      </c>
      <c r="R3614" s="65">
        <v>0</v>
      </c>
      <c r="S3614" s="65">
        <v>165.48829598171005</v>
      </c>
      <c r="T3614" s="65">
        <v>0</v>
      </c>
      <c r="U3614" s="58">
        <v>0</v>
      </c>
      <c r="V3614" s="65">
        <v>0</v>
      </c>
      <c r="W3614" s="65">
        <v>0</v>
      </c>
      <c r="X3614" s="65">
        <v>5170</v>
      </c>
      <c r="Y3614" s="65">
        <v>0</v>
      </c>
      <c r="Z3614" s="51">
        <v>0</v>
      </c>
      <c r="AA3614" s="51">
        <v>81</v>
      </c>
      <c r="AB3614" s="102">
        <v>0</v>
      </c>
      <c r="AC3614" s="81">
        <f t="shared" si="172"/>
        <v>624.31833691150302</v>
      </c>
      <c r="AD3614" s="82">
        <f t="shared" si="173"/>
        <v>14.785714285714286</v>
      </c>
      <c r="AE3614" s="218">
        <v>1.5047099776731526E-2</v>
      </c>
      <c r="AF3614">
        <v>8</v>
      </c>
      <c r="AH3614" t="str">
        <f t="shared" si="171"/>
        <v>Kalyanpur</v>
      </c>
      <c r="AJ3614" s="72">
        <v>0</v>
      </c>
      <c r="AK3614" s="72"/>
      <c r="AL3614" s="72"/>
      <c r="AM3614" s="72"/>
    </row>
    <row r="3615" spans="1:39" x14ac:dyDescent="0.25">
      <c r="A3615" s="37" t="s">
        <v>62</v>
      </c>
      <c r="B3615" s="66" t="s">
        <v>1644</v>
      </c>
      <c r="C3615" s="4">
        <v>1053</v>
      </c>
      <c r="D3615" s="41" t="s">
        <v>542</v>
      </c>
      <c r="E3615" s="41">
        <v>10530115</v>
      </c>
      <c r="F3615" s="85" t="s">
        <v>1547</v>
      </c>
      <c r="G3615" s="39" t="s">
        <v>635</v>
      </c>
      <c r="H3615" s="52" t="s">
        <v>99</v>
      </c>
      <c r="I3615" s="52">
        <v>270.65000000000003</v>
      </c>
      <c r="J3615" s="49">
        <v>10351.935234210001</v>
      </c>
      <c r="K3615" s="58">
        <v>0</v>
      </c>
      <c r="L3615" s="58">
        <v>0</v>
      </c>
      <c r="M3615" s="58">
        <v>0</v>
      </c>
      <c r="N3615" s="58">
        <v>0</v>
      </c>
      <c r="O3615" s="58">
        <v>0</v>
      </c>
      <c r="P3615" s="53">
        <v>0</v>
      </c>
      <c r="Q3615" s="65">
        <v>10351.935234210001</v>
      </c>
      <c r="R3615" s="65">
        <v>0</v>
      </c>
      <c r="S3615" s="65">
        <v>0</v>
      </c>
      <c r="T3615" s="65">
        <v>0</v>
      </c>
      <c r="U3615" s="58">
        <v>4050</v>
      </c>
      <c r="V3615" s="65">
        <v>0</v>
      </c>
      <c r="W3615" s="65">
        <v>0</v>
      </c>
      <c r="X3615" s="65">
        <v>0</v>
      </c>
      <c r="Y3615" s="65">
        <v>0</v>
      </c>
      <c r="Z3615" s="51">
        <v>6301.935234210001</v>
      </c>
      <c r="AA3615" s="51">
        <v>0</v>
      </c>
      <c r="AB3615" s="102">
        <v>0</v>
      </c>
      <c r="AC3615" s="81">
        <f t="shared" si="172"/>
        <v>328.43919400022634</v>
      </c>
      <c r="AD3615" s="82">
        <f t="shared" si="173"/>
        <v>38.664285714285718</v>
      </c>
      <c r="AE3615" s="218">
        <v>0</v>
      </c>
      <c r="AF3615">
        <v>0</v>
      </c>
      <c r="AH3615" t="str">
        <f t="shared" si="171"/>
        <v>Kalyanpur</v>
      </c>
      <c r="AJ3615" s="72">
        <v>0</v>
      </c>
      <c r="AK3615" s="72"/>
      <c r="AL3615" s="72"/>
      <c r="AM3615" s="72"/>
    </row>
    <row r="3616" spans="1:39" x14ac:dyDescent="0.25">
      <c r="A3616" s="37" t="s">
        <v>62</v>
      </c>
      <c r="B3616" s="66" t="s">
        <v>1644</v>
      </c>
      <c r="C3616" s="4">
        <v>1054</v>
      </c>
      <c r="D3616" s="41" t="s">
        <v>828</v>
      </c>
      <c r="E3616" s="41">
        <v>10540003</v>
      </c>
      <c r="F3616" s="85" t="s">
        <v>683</v>
      </c>
      <c r="G3616" s="39" t="s">
        <v>93</v>
      </c>
      <c r="H3616" s="52" t="s">
        <v>94</v>
      </c>
      <c r="I3616" s="52">
        <v>3309.7</v>
      </c>
      <c r="J3616" s="49">
        <v>134853.31804761</v>
      </c>
      <c r="K3616" s="58">
        <v>3310.5000000000005</v>
      </c>
      <c r="L3616" s="58">
        <v>134885.21011353002</v>
      </c>
      <c r="M3616" s="58">
        <v>0</v>
      </c>
      <c r="N3616" s="58">
        <v>0</v>
      </c>
      <c r="O3616" s="58">
        <v>3310.5000000000005</v>
      </c>
      <c r="P3616" s="53">
        <v>134885.21011353002</v>
      </c>
      <c r="Q3616" s="65">
        <v>134853.31804761</v>
      </c>
      <c r="R3616" s="65">
        <v>0</v>
      </c>
      <c r="S3616" s="65">
        <v>0</v>
      </c>
      <c r="T3616" s="65">
        <v>31.892065920023015</v>
      </c>
      <c r="U3616" s="58">
        <v>0</v>
      </c>
      <c r="V3616" s="65">
        <v>0</v>
      </c>
      <c r="W3616" s="65">
        <v>0</v>
      </c>
      <c r="X3616" s="65">
        <v>134853</v>
      </c>
      <c r="Y3616" s="65">
        <v>0</v>
      </c>
      <c r="Z3616" s="51">
        <v>0</v>
      </c>
      <c r="AA3616" s="51">
        <v>0</v>
      </c>
      <c r="AB3616" s="102">
        <v>0</v>
      </c>
      <c r="AC3616" s="81">
        <f t="shared" si="172"/>
        <v>0</v>
      </c>
      <c r="AD3616" s="82">
        <f t="shared" si="173"/>
        <v>0</v>
      </c>
      <c r="AE3616" s="218">
        <v>-2.364944843905399E-4</v>
      </c>
      <c r="AF3616">
        <v>1</v>
      </c>
      <c r="AH3616" t="str">
        <f t="shared" si="171"/>
        <v xml:space="preserve">Alauli </v>
      </c>
      <c r="AJ3616" s="72">
        <v>0</v>
      </c>
      <c r="AK3616" s="72"/>
      <c r="AL3616" s="72"/>
      <c r="AM3616" s="72"/>
    </row>
    <row r="3617" spans="1:39" x14ac:dyDescent="0.25">
      <c r="A3617" s="37" t="s">
        <v>62</v>
      </c>
      <c r="B3617" s="66" t="s">
        <v>1644</v>
      </c>
      <c r="C3617" s="4">
        <v>1054</v>
      </c>
      <c r="D3617" s="41" t="s">
        <v>828</v>
      </c>
      <c r="E3617" s="41">
        <v>10540005</v>
      </c>
      <c r="F3617" s="85" t="s">
        <v>685</v>
      </c>
      <c r="G3617" s="39" t="s">
        <v>93</v>
      </c>
      <c r="H3617" s="52" t="s">
        <v>94</v>
      </c>
      <c r="I3617" s="52">
        <v>254.9</v>
      </c>
      <c r="J3617" s="49">
        <v>10139.075938380003</v>
      </c>
      <c r="K3617" s="58">
        <v>352.03000000000003</v>
      </c>
      <c r="L3617" s="58">
        <v>14011.454240058452</v>
      </c>
      <c r="M3617" s="58">
        <v>0</v>
      </c>
      <c r="N3617" s="58">
        <v>0</v>
      </c>
      <c r="O3617" s="58">
        <v>352.03000000000003</v>
      </c>
      <c r="P3617" s="53">
        <v>14011.454240058452</v>
      </c>
      <c r="Q3617" s="65">
        <v>10139.075938380003</v>
      </c>
      <c r="R3617" s="65">
        <v>0</v>
      </c>
      <c r="S3617" s="65">
        <v>0</v>
      </c>
      <c r="T3617" s="65">
        <v>3872.3783016784491</v>
      </c>
      <c r="U3617" s="58">
        <v>0</v>
      </c>
      <c r="V3617" s="65">
        <v>0</v>
      </c>
      <c r="W3617" s="65">
        <v>0</v>
      </c>
      <c r="X3617" s="65">
        <v>0</v>
      </c>
      <c r="Y3617" s="65">
        <v>0</v>
      </c>
      <c r="Z3617" s="51">
        <v>0</v>
      </c>
      <c r="AA3617" s="51">
        <v>10139</v>
      </c>
      <c r="AB3617" s="102" t="s">
        <v>65</v>
      </c>
      <c r="AC3617" s="81">
        <f t="shared" si="172"/>
        <v>354.09201256751192</v>
      </c>
      <c r="AD3617" s="82">
        <f t="shared" si="173"/>
        <v>36.414285714285718</v>
      </c>
      <c r="AE3617" s="218">
        <v>-0.38192615630977989</v>
      </c>
      <c r="AF3617">
        <v>10</v>
      </c>
      <c r="AH3617" t="str">
        <f t="shared" si="171"/>
        <v xml:space="preserve">Alauli </v>
      </c>
      <c r="AJ3617" s="72">
        <v>0</v>
      </c>
      <c r="AK3617" s="72"/>
      <c r="AL3617" s="72"/>
      <c r="AM3617" s="72"/>
    </row>
    <row r="3618" spans="1:39" x14ac:dyDescent="0.25">
      <c r="A3618" s="37" t="s">
        <v>62</v>
      </c>
      <c r="B3618" s="66" t="s">
        <v>1644</v>
      </c>
      <c r="C3618" s="4">
        <v>1054</v>
      </c>
      <c r="D3618" s="41" t="s">
        <v>828</v>
      </c>
      <c r="E3618" s="41">
        <v>10540008</v>
      </c>
      <c r="F3618" s="85" t="s">
        <v>1146</v>
      </c>
      <c r="G3618" s="39" t="s">
        <v>93</v>
      </c>
      <c r="H3618" s="52" t="s">
        <v>94</v>
      </c>
      <c r="I3618" s="52">
        <v>189.8</v>
      </c>
      <c r="J3618" s="49">
        <v>9002.781454915561</v>
      </c>
      <c r="K3618" s="58">
        <v>198.39</v>
      </c>
      <c r="L3618" s="58">
        <v>10500.337758652606</v>
      </c>
      <c r="M3618" s="58">
        <v>0</v>
      </c>
      <c r="N3618" s="58">
        <v>0</v>
      </c>
      <c r="O3618" s="58">
        <v>198.39</v>
      </c>
      <c r="P3618" s="53">
        <v>10500.337758652606</v>
      </c>
      <c r="Q3618" s="65">
        <v>9002.781454915561</v>
      </c>
      <c r="R3618" s="65">
        <v>0</v>
      </c>
      <c r="S3618" s="65">
        <v>0</v>
      </c>
      <c r="T3618" s="65">
        <v>1497.5563037370448</v>
      </c>
      <c r="U3618" s="58">
        <v>0</v>
      </c>
      <c r="V3618" s="65">
        <v>500</v>
      </c>
      <c r="W3618" s="65">
        <v>0</v>
      </c>
      <c r="X3618" s="65">
        <v>8503</v>
      </c>
      <c r="Y3618" s="65">
        <v>0</v>
      </c>
      <c r="Z3618" s="51">
        <v>0</v>
      </c>
      <c r="AA3618" s="51">
        <v>0</v>
      </c>
      <c r="AB3618" s="102" t="s">
        <v>68</v>
      </c>
      <c r="AC3618" s="81">
        <f t="shared" si="172"/>
        <v>484.00622742865323</v>
      </c>
      <c r="AD3618" s="82">
        <f t="shared" si="173"/>
        <v>27.114285714285717</v>
      </c>
      <c r="AE3618" s="218">
        <v>-0.16634373623713503</v>
      </c>
      <c r="AF3618">
        <v>11</v>
      </c>
      <c r="AH3618" t="str">
        <f t="shared" si="171"/>
        <v xml:space="preserve">Alauli </v>
      </c>
      <c r="AJ3618" s="72">
        <v>500</v>
      </c>
      <c r="AK3618" s="72"/>
      <c r="AL3618" s="72"/>
      <c r="AM3618" s="72"/>
    </row>
    <row r="3619" spans="1:39" x14ac:dyDescent="0.25">
      <c r="A3619" s="37" t="s">
        <v>62</v>
      </c>
      <c r="B3619" s="66" t="s">
        <v>1644</v>
      </c>
      <c r="C3619" s="4">
        <v>1054</v>
      </c>
      <c r="D3619" s="41" t="s">
        <v>828</v>
      </c>
      <c r="E3619" s="41">
        <v>10540009</v>
      </c>
      <c r="F3619" s="85" t="s">
        <v>853</v>
      </c>
      <c r="G3619" s="39" t="s">
        <v>93</v>
      </c>
      <c r="H3619" s="52" t="s">
        <v>94</v>
      </c>
      <c r="I3619" s="52">
        <v>1134.2</v>
      </c>
      <c r="J3619" s="49">
        <v>46706.148046950002</v>
      </c>
      <c r="K3619" s="58">
        <v>1151.48</v>
      </c>
      <c r="L3619" s="58">
        <v>47228.897116256638</v>
      </c>
      <c r="M3619" s="58">
        <v>0</v>
      </c>
      <c r="N3619" s="58">
        <v>0</v>
      </c>
      <c r="O3619" s="58">
        <v>1151.48</v>
      </c>
      <c r="P3619" s="53">
        <v>47228.897116256638</v>
      </c>
      <c r="Q3619" s="65">
        <v>46706.148046950002</v>
      </c>
      <c r="R3619" s="65">
        <v>0</v>
      </c>
      <c r="S3619" s="65">
        <v>0</v>
      </c>
      <c r="T3619" s="65">
        <v>522.74906930663565</v>
      </c>
      <c r="U3619" s="58">
        <v>0</v>
      </c>
      <c r="V3619" s="65">
        <v>0</v>
      </c>
      <c r="W3619" s="65">
        <v>0</v>
      </c>
      <c r="X3619" s="65">
        <v>0</v>
      </c>
      <c r="Y3619" s="65">
        <v>0</v>
      </c>
      <c r="Z3619" s="51">
        <v>0</v>
      </c>
      <c r="AA3619" s="51">
        <v>46706</v>
      </c>
      <c r="AB3619" s="102" t="s">
        <v>65</v>
      </c>
      <c r="AC3619" s="81">
        <f t="shared" si="172"/>
        <v>0</v>
      </c>
      <c r="AD3619" s="82">
        <f t="shared" si="173"/>
        <v>0</v>
      </c>
      <c r="AE3619" s="218">
        <v>-1.1192296756760102E-2</v>
      </c>
      <c r="AF3619">
        <v>32</v>
      </c>
      <c r="AH3619" t="str">
        <f t="shared" si="171"/>
        <v xml:space="preserve">Alauli </v>
      </c>
      <c r="AJ3619" s="72">
        <v>0</v>
      </c>
      <c r="AK3619" s="72"/>
      <c r="AL3619" s="72"/>
      <c r="AM3619" s="72"/>
    </row>
    <row r="3620" spans="1:39" x14ac:dyDescent="0.25">
      <c r="A3620" s="37" t="s">
        <v>62</v>
      </c>
      <c r="B3620" s="66" t="s">
        <v>1644</v>
      </c>
      <c r="C3620" s="4">
        <v>1054</v>
      </c>
      <c r="D3620" s="41" t="s">
        <v>828</v>
      </c>
      <c r="E3620" s="41">
        <v>10540010</v>
      </c>
      <c r="F3620" s="85" t="s">
        <v>615</v>
      </c>
      <c r="G3620" s="39" t="s">
        <v>635</v>
      </c>
      <c r="H3620" s="52" t="s">
        <v>99</v>
      </c>
      <c r="I3620" s="52">
        <v>2090.1</v>
      </c>
      <c r="J3620" s="49">
        <v>86642.321536050018</v>
      </c>
      <c r="K3620" s="58">
        <v>0</v>
      </c>
      <c r="L3620" s="58">
        <v>0</v>
      </c>
      <c r="M3620" s="58">
        <v>0</v>
      </c>
      <c r="N3620" s="58">
        <v>0</v>
      </c>
      <c r="O3620" s="58">
        <v>0</v>
      </c>
      <c r="P3620" s="53">
        <v>0</v>
      </c>
      <c r="Q3620" s="65">
        <v>86642.321536050018</v>
      </c>
      <c r="R3620" s="65">
        <v>0</v>
      </c>
      <c r="S3620" s="65">
        <v>0</v>
      </c>
      <c r="T3620" s="65">
        <v>0</v>
      </c>
      <c r="U3620" s="58">
        <v>0</v>
      </c>
      <c r="V3620" s="65">
        <v>0</v>
      </c>
      <c r="W3620" s="65">
        <v>0</v>
      </c>
      <c r="X3620" s="65">
        <v>0</v>
      </c>
      <c r="Y3620" s="65">
        <v>0</v>
      </c>
      <c r="Z3620" s="51">
        <v>86642.321536050018</v>
      </c>
      <c r="AA3620" s="51">
        <v>0</v>
      </c>
      <c r="AB3620" s="102">
        <v>0</v>
      </c>
      <c r="AC3620" s="81">
        <f t="shared" si="172"/>
        <v>0</v>
      </c>
      <c r="AD3620" s="82">
        <f t="shared" si="173"/>
        <v>0</v>
      </c>
      <c r="AE3620" s="218">
        <v>0</v>
      </c>
      <c r="AF3620">
        <v>0</v>
      </c>
      <c r="AH3620" t="str">
        <f t="shared" si="171"/>
        <v xml:space="preserve">Alauli </v>
      </c>
      <c r="AJ3620" s="72">
        <v>0</v>
      </c>
      <c r="AK3620" s="72"/>
      <c r="AL3620" s="72"/>
      <c r="AM3620" s="72"/>
    </row>
    <row r="3621" spans="1:39" x14ac:dyDescent="0.25">
      <c r="A3621" s="37" t="s">
        <v>62</v>
      </c>
      <c r="B3621" s="66" t="s">
        <v>1644</v>
      </c>
      <c r="C3621" s="4">
        <v>1054</v>
      </c>
      <c r="D3621" s="41" t="s">
        <v>828</v>
      </c>
      <c r="E3621" s="41">
        <v>10540012</v>
      </c>
      <c r="F3621" s="85" t="s">
        <v>843</v>
      </c>
      <c r="G3621" s="39" t="s">
        <v>635</v>
      </c>
      <c r="H3621" s="52" t="s">
        <v>99</v>
      </c>
      <c r="I3621" s="52">
        <v>310.7999999999999</v>
      </c>
      <c r="J3621" s="49">
        <v>10406.140767148501</v>
      </c>
      <c r="K3621" s="58">
        <v>0</v>
      </c>
      <c r="L3621" s="58">
        <v>0</v>
      </c>
      <c r="M3621" s="58">
        <v>0</v>
      </c>
      <c r="N3621" s="58">
        <v>0</v>
      </c>
      <c r="O3621" s="58">
        <v>0</v>
      </c>
      <c r="P3621" s="53">
        <v>0</v>
      </c>
      <c r="Q3621" s="65">
        <v>10406.140767148501</v>
      </c>
      <c r="R3621" s="65">
        <v>0</v>
      </c>
      <c r="S3621" s="65">
        <v>0</v>
      </c>
      <c r="T3621" s="65">
        <v>0</v>
      </c>
      <c r="U3621" s="58">
        <v>0</v>
      </c>
      <c r="V3621" s="65">
        <v>0</v>
      </c>
      <c r="W3621" s="65">
        <v>0</v>
      </c>
      <c r="X3621" s="65">
        <v>0</v>
      </c>
      <c r="Y3621" s="65">
        <v>0</v>
      </c>
      <c r="Z3621" s="51">
        <v>10406.140767148501</v>
      </c>
      <c r="AA3621" s="51">
        <v>0</v>
      </c>
      <c r="AB3621" s="102">
        <v>0</v>
      </c>
      <c r="AC3621" s="81">
        <f t="shared" si="172"/>
        <v>260.62226425831398</v>
      </c>
      <c r="AD3621" s="82">
        <f t="shared" si="173"/>
        <v>44.399999999999984</v>
      </c>
      <c r="AE3621" s="218">
        <v>0</v>
      </c>
      <c r="AF3621">
        <v>0</v>
      </c>
      <c r="AH3621" t="str">
        <f t="shared" si="171"/>
        <v xml:space="preserve">Alauli </v>
      </c>
      <c r="AJ3621" s="72">
        <v>0</v>
      </c>
      <c r="AK3621" s="72"/>
      <c r="AL3621" s="72"/>
      <c r="AM3621" s="72"/>
    </row>
    <row r="3622" spans="1:39" x14ac:dyDescent="0.25">
      <c r="A3622" s="37" t="s">
        <v>62</v>
      </c>
      <c r="B3622" s="66" t="s">
        <v>1644</v>
      </c>
      <c r="C3622" s="4">
        <v>1054</v>
      </c>
      <c r="D3622" s="41" t="s">
        <v>828</v>
      </c>
      <c r="E3622" s="41">
        <v>10540014</v>
      </c>
      <c r="F3622" s="85" t="s">
        <v>1147</v>
      </c>
      <c r="G3622" s="39" t="s">
        <v>635</v>
      </c>
      <c r="H3622" s="52" t="s">
        <v>99</v>
      </c>
      <c r="I3622" s="52">
        <v>83.6</v>
      </c>
      <c r="J3622" s="49">
        <v>3345.4515130665</v>
      </c>
      <c r="K3622" s="58">
        <v>0</v>
      </c>
      <c r="L3622" s="58">
        <v>0</v>
      </c>
      <c r="M3622" s="58">
        <v>0</v>
      </c>
      <c r="N3622" s="58">
        <v>0</v>
      </c>
      <c r="O3622" s="58">
        <v>0</v>
      </c>
      <c r="P3622" s="53">
        <v>0</v>
      </c>
      <c r="Q3622" s="65">
        <v>3345.4515130665</v>
      </c>
      <c r="R3622" s="65">
        <v>0</v>
      </c>
      <c r="S3622" s="65">
        <v>0</v>
      </c>
      <c r="T3622" s="65">
        <v>0</v>
      </c>
      <c r="U3622" s="58">
        <v>0</v>
      </c>
      <c r="V3622" s="65">
        <v>0</v>
      </c>
      <c r="W3622" s="65">
        <v>0</v>
      </c>
      <c r="X3622" s="65">
        <v>0</v>
      </c>
      <c r="Y3622" s="65">
        <v>0</v>
      </c>
      <c r="Z3622" s="51">
        <v>3345.4515130665</v>
      </c>
      <c r="AA3622" s="51">
        <v>0</v>
      </c>
      <c r="AB3622" s="102">
        <v>0</v>
      </c>
      <c r="AC3622" s="81">
        <f t="shared" si="172"/>
        <v>493.3340460895194</v>
      </c>
      <c r="AD3622" s="82">
        <f t="shared" si="173"/>
        <v>11.942857142857141</v>
      </c>
      <c r="AE3622" s="218">
        <v>0</v>
      </c>
      <c r="AF3622">
        <v>0</v>
      </c>
      <c r="AH3622" t="str">
        <f t="shared" si="171"/>
        <v xml:space="preserve">Alauli </v>
      </c>
      <c r="AJ3622" s="72">
        <v>0</v>
      </c>
      <c r="AK3622" s="72"/>
      <c r="AL3622" s="72"/>
      <c r="AM3622" s="72"/>
    </row>
    <row r="3623" spans="1:39" x14ac:dyDescent="0.25">
      <c r="A3623" s="37" t="s">
        <v>62</v>
      </c>
      <c r="B3623" s="66" t="s">
        <v>1644</v>
      </c>
      <c r="C3623" s="4">
        <v>1054</v>
      </c>
      <c r="D3623" s="41" t="s">
        <v>828</v>
      </c>
      <c r="E3623" s="41">
        <v>10540015</v>
      </c>
      <c r="F3623" s="85" t="s">
        <v>1331</v>
      </c>
      <c r="G3623" s="39" t="s">
        <v>635</v>
      </c>
      <c r="H3623" s="52" t="s">
        <v>99</v>
      </c>
      <c r="I3623" s="52">
        <v>595.64</v>
      </c>
      <c r="J3623" s="49">
        <v>23186.982511956001</v>
      </c>
      <c r="K3623" s="58">
        <v>0</v>
      </c>
      <c r="L3623" s="58">
        <v>0</v>
      </c>
      <c r="M3623" s="58">
        <v>0</v>
      </c>
      <c r="N3623" s="58">
        <v>0</v>
      </c>
      <c r="O3623" s="58">
        <v>0</v>
      </c>
      <c r="P3623" s="53">
        <v>0</v>
      </c>
      <c r="Q3623" s="65">
        <v>23186.982511956001</v>
      </c>
      <c r="R3623" s="65">
        <v>0</v>
      </c>
      <c r="S3623" s="65">
        <v>0</v>
      </c>
      <c r="T3623" s="65">
        <v>0</v>
      </c>
      <c r="U3623" s="58">
        <v>0</v>
      </c>
      <c r="V3623" s="65">
        <v>0</v>
      </c>
      <c r="W3623" s="65">
        <v>0</v>
      </c>
      <c r="X3623" s="65">
        <v>0</v>
      </c>
      <c r="Y3623" s="65">
        <v>0</v>
      </c>
      <c r="Z3623" s="51">
        <v>23186.982511956001</v>
      </c>
      <c r="AA3623" s="51">
        <v>0</v>
      </c>
      <c r="AB3623" s="102">
        <v>0</v>
      </c>
      <c r="AC3623" s="81">
        <f t="shared" si="172"/>
        <v>81.25020129432977</v>
      </c>
      <c r="AD3623" s="82">
        <f t="shared" si="173"/>
        <v>85.091428571428565</v>
      </c>
      <c r="AE3623" s="218">
        <v>0</v>
      </c>
      <c r="AF3623">
        <v>0</v>
      </c>
      <c r="AH3623" t="str">
        <f t="shared" si="171"/>
        <v xml:space="preserve">Alauli </v>
      </c>
      <c r="AJ3623" s="72">
        <v>0</v>
      </c>
      <c r="AK3623" s="72"/>
      <c r="AL3623" s="72"/>
      <c r="AM3623" s="72"/>
    </row>
    <row r="3624" spans="1:39" x14ac:dyDescent="0.25">
      <c r="A3624" s="37" t="s">
        <v>62</v>
      </c>
      <c r="B3624" s="66" t="s">
        <v>1644</v>
      </c>
      <c r="C3624" s="4">
        <v>1054</v>
      </c>
      <c r="D3624" s="41" t="s">
        <v>828</v>
      </c>
      <c r="E3624" s="41">
        <v>10540016</v>
      </c>
      <c r="F3624" s="85" t="s">
        <v>1161</v>
      </c>
      <c r="G3624" s="39" t="s">
        <v>93</v>
      </c>
      <c r="H3624" s="52" t="s">
        <v>94</v>
      </c>
      <c r="I3624" s="52">
        <v>365.80000000000007</v>
      </c>
      <c r="J3624" s="49">
        <v>19787.797667389201</v>
      </c>
      <c r="K3624" s="58">
        <v>372.78000000000009</v>
      </c>
      <c r="L3624" s="58">
        <v>20091.544087816765</v>
      </c>
      <c r="M3624" s="58">
        <v>1.3000000000000003</v>
      </c>
      <c r="N3624" s="58">
        <v>70.218451141740019</v>
      </c>
      <c r="O3624" s="58">
        <v>374.0800000000001</v>
      </c>
      <c r="P3624" s="53">
        <v>20161.762538958505</v>
      </c>
      <c r="Q3624" s="65">
        <v>19787.797667389201</v>
      </c>
      <c r="R3624" s="65">
        <v>0</v>
      </c>
      <c r="S3624" s="65">
        <v>70.218451141740019</v>
      </c>
      <c r="T3624" s="65">
        <v>373.9648715693038</v>
      </c>
      <c r="U3624" s="58">
        <v>0</v>
      </c>
      <c r="V3624" s="65">
        <v>0</v>
      </c>
      <c r="W3624" s="65">
        <v>0</v>
      </c>
      <c r="X3624" s="65">
        <v>19718</v>
      </c>
      <c r="Y3624" s="65">
        <v>0</v>
      </c>
      <c r="Z3624" s="51">
        <v>0</v>
      </c>
      <c r="AA3624" s="51">
        <v>0</v>
      </c>
      <c r="AB3624" s="102">
        <v>0</v>
      </c>
      <c r="AC3624" s="81">
        <f t="shared" si="172"/>
        <v>361.56817826361231</v>
      </c>
      <c r="AD3624" s="82">
        <f t="shared" si="173"/>
        <v>52.257142857142867</v>
      </c>
      <c r="AE3624" s="218">
        <v>-1.8898761643677382E-2</v>
      </c>
      <c r="AF3624">
        <v>9</v>
      </c>
      <c r="AH3624" t="str">
        <f t="shared" si="171"/>
        <v xml:space="preserve">Alauli </v>
      </c>
      <c r="AJ3624" s="72">
        <v>0</v>
      </c>
      <c r="AK3624" s="72"/>
      <c r="AL3624" s="72"/>
      <c r="AM3624" s="72"/>
    </row>
    <row r="3625" spans="1:39" x14ac:dyDescent="0.25">
      <c r="A3625" s="37" t="s">
        <v>62</v>
      </c>
      <c r="B3625" s="66" t="s">
        <v>1644</v>
      </c>
      <c r="C3625" s="4">
        <v>1054</v>
      </c>
      <c r="D3625" s="41" t="s">
        <v>828</v>
      </c>
      <c r="E3625" s="41">
        <v>10540017</v>
      </c>
      <c r="F3625" s="85" t="s">
        <v>1162</v>
      </c>
      <c r="G3625" s="39" t="s">
        <v>93</v>
      </c>
      <c r="H3625" s="52" t="s">
        <v>94</v>
      </c>
      <c r="I3625" s="52">
        <v>981.16</v>
      </c>
      <c r="J3625" s="49">
        <v>37257.306756711005</v>
      </c>
      <c r="K3625" s="58">
        <v>967.84999999999991</v>
      </c>
      <c r="L3625" s="58">
        <v>41933.271921019936</v>
      </c>
      <c r="M3625" s="58">
        <v>0</v>
      </c>
      <c r="N3625" s="58">
        <v>0</v>
      </c>
      <c r="O3625" s="58">
        <v>967.84999999999991</v>
      </c>
      <c r="P3625" s="53">
        <v>41933.271921019936</v>
      </c>
      <c r="Q3625" s="65">
        <v>37257.306756711005</v>
      </c>
      <c r="R3625" s="65">
        <v>0</v>
      </c>
      <c r="S3625" s="65">
        <v>0</v>
      </c>
      <c r="T3625" s="65">
        <v>4675.965164308931</v>
      </c>
      <c r="U3625" s="58">
        <v>0</v>
      </c>
      <c r="V3625" s="65">
        <v>0</v>
      </c>
      <c r="W3625" s="65">
        <v>0</v>
      </c>
      <c r="X3625" s="65">
        <v>37257</v>
      </c>
      <c r="Y3625" s="65">
        <v>0</v>
      </c>
      <c r="Z3625" s="51">
        <v>0</v>
      </c>
      <c r="AA3625" s="51">
        <v>0</v>
      </c>
      <c r="AB3625" s="102">
        <v>0</v>
      </c>
      <c r="AC3625" s="81">
        <f t="shared" si="172"/>
        <v>0</v>
      </c>
      <c r="AD3625" s="82">
        <f t="shared" si="173"/>
        <v>0</v>
      </c>
      <c r="AE3625" s="218">
        <v>-0.12550464784915427</v>
      </c>
      <c r="AF3625">
        <v>2</v>
      </c>
      <c r="AH3625" t="str">
        <f t="shared" si="171"/>
        <v xml:space="preserve">Alauli </v>
      </c>
      <c r="AJ3625" s="72">
        <v>0</v>
      </c>
      <c r="AK3625" s="72"/>
      <c r="AL3625" s="72"/>
      <c r="AM3625" s="72"/>
    </row>
    <row r="3626" spans="1:39" x14ac:dyDescent="0.25">
      <c r="A3626" s="37" t="s">
        <v>62</v>
      </c>
      <c r="B3626" s="66" t="s">
        <v>1644</v>
      </c>
      <c r="C3626" s="4">
        <v>1054</v>
      </c>
      <c r="D3626" s="41" t="s">
        <v>828</v>
      </c>
      <c r="E3626" s="41">
        <v>10540018</v>
      </c>
      <c r="F3626" s="85" t="s">
        <v>1163</v>
      </c>
      <c r="G3626" s="39" t="s">
        <v>93</v>
      </c>
      <c r="H3626" s="52" t="s">
        <v>94</v>
      </c>
      <c r="I3626" s="52">
        <v>183.88000000000002</v>
      </c>
      <c r="J3626" s="49">
        <v>8189.4612328212006</v>
      </c>
      <c r="K3626" s="58">
        <v>192.97</v>
      </c>
      <c r="L3626" s="58">
        <v>8411.3875614196822</v>
      </c>
      <c r="M3626" s="58">
        <v>0</v>
      </c>
      <c r="N3626" s="58">
        <v>0</v>
      </c>
      <c r="O3626" s="58">
        <v>192.97</v>
      </c>
      <c r="P3626" s="53">
        <v>8411.3875614196822</v>
      </c>
      <c r="Q3626" s="65">
        <v>8189.4612328212006</v>
      </c>
      <c r="R3626" s="65">
        <v>0</v>
      </c>
      <c r="S3626" s="65">
        <v>0</v>
      </c>
      <c r="T3626" s="65">
        <v>221.92632859848163</v>
      </c>
      <c r="U3626" s="58">
        <v>0</v>
      </c>
      <c r="V3626" s="65">
        <v>500</v>
      </c>
      <c r="W3626" s="65">
        <v>0</v>
      </c>
      <c r="X3626" s="65">
        <v>7689</v>
      </c>
      <c r="Y3626" s="65">
        <v>0</v>
      </c>
      <c r="Z3626" s="51">
        <v>0</v>
      </c>
      <c r="AA3626" s="51">
        <v>0</v>
      </c>
      <c r="AB3626" s="102">
        <v>0</v>
      </c>
      <c r="AC3626" s="81">
        <f t="shared" si="172"/>
        <v>459.7285981600694</v>
      </c>
      <c r="AD3626" s="82">
        <f t="shared" si="173"/>
        <v>26.26857142857143</v>
      </c>
      <c r="AE3626" s="218">
        <v>-2.7099014488164305E-2</v>
      </c>
      <c r="AF3626">
        <v>7</v>
      </c>
      <c r="AH3626" t="str">
        <f t="shared" si="171"/>
        <v xml:space="preserve">Alauli </v>
      </c>
      <c r="AJ3626" s="72">
        <v>500</v>
      </c>
      <c r="AK3626" s="72"/>
      <c r="AL3626" s="72"/>
      <c r="AM3626" s="72"/>
    </row>
    <row r="3627" spans="1:39" x14ac:dyDescent="0.25">
      <c r="A3627" s="37" t="s">
        <v>62</v>
      </c>
      <c r="B3627" s="66" t="s">
        <v>1644</v>
      </c>
      <c r="C3627" s="4">
        <v>1054</v>
      </c>
      <c r="D3627" s="41" t="s">
        <v>828</v>
      </c>
      <c r="E3627" s="41">
        <v>10540019</v>
      </c>
      <c r="F3627" s="85" t="s">
        <v>1193</v>
      </c>
      <c r="G3627" s="39" t="s">
        <v>93</v>
      </c>
      <c r="H3627" s="52" t="s">
        <v>94</v>
      </c>
      <c r="I3627" s="52">
        <v>225.95999999999998</v>
      </c>
      <c r="J3627" s="49">
        <v>8740.1896774200031</v>
      </c>
      <c r="K3627" s="58">
        <v>247.03999999999996</v>
      </c>
      <c r="L3627" s="58">
        <v>9395.9019152340024</v>
      </c>
      <c r="M3627" s="58">
        <v>0</v>
      </c>
      <c r="N3627" s="58">
        <v>0</v>
      </c>
      <c r="O3627" s="58">
        <v>247.03999999999996</v>
      </c>
      <c r="P3627" s="53">
        <v>9395.9019152340024</v>
      </c>
      <c r="Q3627" s="65">
        <v>8740.1896774200031</v>
      </c>
      <c r="R3627" s="65">
        <v>0</v>
      </c>
      <c r="S3627" s="65">
        <v>0</v>
      </c>
      <c r="T3627" s="65">
        <v>655.71223781399931</v>
      </c>
      <c r="U3627" s="58">
        <v>0</v>
      </c>
      <c r="V3627" s="65">
        <v>500</v>
      </c>
      <c r="W3627" s="65">
        <v>0</v>
      </c>
      <c r="X3627" s="65">
        <v>8240</v>
      </c>
      <c r="Y3627" s="65">
        <v>0</v>
      </c>
      <c r="Z3627" s="51">
        <v>0</v>
      </c>
      <c r="AA3627" s="51">
        <v>0</v>
      </c>
      <c r="AB3627" s="102" t="s">
        <v>68</v>
      </c>
      <c r="AC3627" s="81">
        <f t="shared" si="172"/>
        <v>366.71973045531763</v>
      </c>
      <c r="AD3627" s="82">
        <f t="shared" si="173"/>
        <v>32.279999999999994</v>
      </c>
      <c r="AE3627" s="218">
        <v>-7.5022655344426981E-2</v>
      </c>
      <c r="AF3627">
        <v>2</v>
      </c>
      <c r="AH3627" t="str">
        <f t="shared" si="171"/>
        <v xml:space="preserve">Alauli </v>
      </c>
      <c r="AJ3627" s="72">
        <v>500</v>
      </c>
      <c r="AK3627" s="72"/>
      <c r="AL3627" s="72"/>
      <c r="AM3627" s="72"/>
    </row>
    <row r="3628" spans="1:39" x14ac:dyDescent="0.25">
      <c r="A3628" s="37" t="s">
        <v>62</v>
      </c>
      <c r="B3628" s="66" t="s">
        <v>1644</v>
      </c>
      <c r="C3628" s="4">
        <v>1054</v>
      </c>
      <c r="D3628" s="41" t="s">
        <v>828</v>
      </c>
      <c r="E3628" s="41">
        <v>10540020</v>
      </c>
      <c r="F3628" s="85" t="s">
        <v>1164</v>
      </c>
      <c r="G3628" s="39" t="s">
        <v>93</v>
      </c>
      <c r="H3628" s="52" t="s">
        <v>94</v>
      </c>
      <c r="I3628" s="52">
        <v>97.94</v>
      </c>
      <c r="J3628" s="49">
        <v>3566.3041801200002</v>
      </c>
      <c r="K3628" s="58">
        <v>103.56</v>
      </c>
      <c r="L3628" s="58">
        <v>3783.5999424618935</v>
      </c>
      <c r="M3628" s="58">
        <v>0</v>
      </c>
      <c r="N3628" s="58">
        <v>0</v>
      </c>
      <c r="O3628" s="58">
        <v>103.56</v>
      </c>
      <c r="P3628" s="53">
        <v>3783.5999424618935</v>
      </c>
      <c r="Q3628" s="65">
        <v>3566.3041801200002</v>
      </c>
      <c r="R3628" s="65">
        <v>0</v>
      </c>
      <c r="S3628" s="65">
        <v>0</v>
      </c>
      <c r="T3628" s="65">
        <v>217.29576234189335</v>
      </c>
      <c r="U3628" s="58">
        <v>0</v>
      </c>
      <c r="V3628" s="65">
        <v>500</v>
      </c>
      <c r="W3628" s="65">
        <v>0</v>
      </c>
      <c r="X3628" s="65">
        <v>3066</v>
      </c>
      <c r="Y3628" s="65">
        <v>0</v>
      </c>
      <c r="Z3628" s="51">
        <v>0</v>
      </c>
      <c r="AA3628" s="51">
        <v>0</v>
      </c>
      <c r="AB3628" s="102" t="s">
        <v>68</v>
      </c>
      <c r="AC3628" s="81">
        <f t="shared" si="172"/>
        <v>438.45805486686686</v>
      </c>
      <c r="AD3628" s="82">
        <f t="shared" si="173"/>
        <v>13.991428571428571</v>
      </c>
      <c r="AE3628" s="218">
        <v>-6.0930237962646731E-2</v>
      </c>
      <c r="AF3628">
        <v>7</v>
      </c>
      <c r="AH3628" t="str">
        <f t="shared" si="171"/>
        <v xml:space="preserve">Alauli </v>
      </c>
      <c r="AJ3628" s="72">
        <v>500</v>
      </c>
      <c r="AK3628" s="72"/>
      <c r="AL3628" s="72"/>
      <c r="AM3628" s="72"/>
    </row>
    <row r="3629" spans="1:39" x14ac:dyDescent="0.25">
      <c r="A3629" s="37" t="s">
        <v>62</v>
      </c>
      <c r="B3629" s="66" t="s">
        <v>1644</v>
      </c>
      <c r="C3629" s="4">
        <v>1054</v>
      </c>
      <c r="D3629" s="41" t="s">
        <v>828</v>
      </c>
      <c r="E3629" s="41">
        <v>10540021</v>
      </c>
      <c r="F3629" s="85" t="s">
        <v>1165</v>
      </c>
      <c r="G3629" s="39" t="s">
        <v>93</v>
      </c>
      <c r="H3629" s="52" t="s">
        <v>99</v>
      </c>
      <c r="I3629" s="52">
        <v>463.7</v>
      </c>
      <c r="J3629" s="49">
        <v>16240.235968839001</v>
      </c>
      <c r="K3629" s="58">
        <v>0</v>
      </c>
      <c r="L3629" s="58">
        <v>0</v>
      </c>
      <c r="M3629" s="58">
        <v>0</v>
      </c>
      <c r="N3629" s="58">
        <v>0</v>
      </c>
      <c r="O3629" s="58">
        <v>0</v>
      </c>
      <c r="P3629" s="53">
        <v>0</v>
      </c>
      <c r="Q3629" s="65">
        <v>16240.235968839001</v>
      </c>
      <c r="R3629" s="65">
        <v>0</v>
      </c>
      <c r="S3629" s="65">
        <v>0</v>
      </c>
      <c r="T3629" s="65">
        <v>0</v>
      </c>
      <c r="U3629" s="58">
        <v>0</v>
      </c>
      <c r="V3629" s="65">
        <v>0</v>
      </c>
      <c r="W3629" s="65">
        <v>0</v>
      </c>
      <c r="X3629" s="65">
        <v>0</v>
      </c>
      <c r="Y3629" s="65">
        <v>0</v>
      </c>
      <c r="Z3629" s="51">
        <v>16240.235968839001</v>
      </c>
      <c r="AA3629" s="51">
        <v>0</v>
      </c>
      <c r="AB3629" s="102">
        <v>0</v>
      </c>
      <c r="AC3629" s="81">
        <f t="shared" si="172"/>
        <v>165.51942029056096</v>
      </c>
      <c r="AD3629" s="82">
        <f t="shared" si="173"/>
        <v>66.242857142857147</v>
      </c>
      <c r="AE3629" s="218">
        <v>0</v>
      </c>
      <c r="AF3629">
        <v>0</v>
      </c>
      <c r="AH3629" t="str">
        <f t="shared" si="171"/>
        <v xml:space="preserve">Alauli </v>
      </c>
      <c r="AJ3629" s="72">
        <v>0</v>
      </c>
      <c r="AK3629" s="72"/>
      <c r="AL3629" s="72"/>
      <c r="AM3629" s="72"/>
    </row>
    <row r="3630" spans="1:39" x14ac:dyDescent="0.25">
      <c r="A3630" s="37" t="s">
        <v>62</v>
      </c>
      <c r="B3630" s="66" t="s">
        <v>1644</v>
      </c>
      <c r="C3630" s="4">
        <v>1054</v>
      </c>
      <c r="D3630" s="41" t="s">
        <v>828</v>
      </c>
      <c r="E3630" s="41">
        <v>10540026</v>
      </c>
      <c r="F3630" s="85" t="s">
        <v>1276</v>
      </c>
      <c r="G3630" s="39" t="s">
        <v>93</v>
      </c>
      <c r="H3630" s="52" t="s">
        <v>94</v>
      </c>
      <c r="I3630" s="52">
        <v>548.68000000000006</v>
      </c>
      <c r="J3630" s="49">
        <v>22884.896580001605</v>
      </c>
      <c r="K3630" s="58">
        <v>0</v>
      </c>
      <c r="L3630" s="58">
        <v>0</v>
      </c>
      <c r="M3630" s="58">
        <v>577.26</v>
      </c>
      <c r="N3630" s="58">
        <v>25313.871980052401</v>
      </c>
      <c r="O3630" s="58">
        <v>577.26</v>
      </c>
      <c r="P3630" s="53">
        <v>25313.871980052401</v>
      </c>
      <c r="Q3630" s="65">
        <v>22884.896580001605</v>
      </c>
      <c r="R3630" s="65">
        <v>0</v>
      </c>
      <c r="S3630" s="65">
        <v>0</v>
      </c>
      <c r="T3630" s="65">
        <v>2428.9754000507965</v>
      </c>
      <c r="U3630" s="58">
        <v>0</v>
      </c>
      <c r="V3630" s="65">
        <v>0</v>
      </c>
      <c r="W3630" s="65">
        <v>0</v>
      </c>
      <c r="X3630" s="65">
        <v>0</v>
      </c>
      <c r="Y3630" s="65">
        <v>0</v>
      </c>
      <c r="Z3630" s="51">
        <v>0</v>
      </c>
      <c r="AA3630" s="51">
        <v>22885</v>
      </c>
      <c r="AB3630" s="102" t="s">
        <v>65</v>
      </c>
      <c r="AC3630" s="81">
        <f t="shared" si="172"/>
        <v>126.22813116883582</v>
      </c>
      <c r="AD3630" s="82">
        <f t="shared" si="173"/>
        <v>78.382857142857148</v>
      </c>
      <c r="AE3630" s="218">
        <v>-0.10613879733122333</v>
      </c>
      <c r="AF3630">
        <v>6</v>
      </c>
      <c r="AH3630" t="str">
        <f t="shared" si="171"/>
        <v xml:space="preserve">Alauli </v>
      </c>
      <c r="AJ3630" s="72">
        <v>0</v>
      </c>
      <c r="AK3630" s="72"/>
      <c r="AL3630" s="72"/>
      <c r="AM3630" s="72"/>
    </row>
    <row r="3631" spans="1:39" x14ac:dyDescent="0.25">
      <c r="A3631" s="37" t="s">
        <v>62</v>
      </c>
      <c r="B3631" s="66" t="s">
        <v>1644</v>
      </c>
      <c r="C3631" s="4">
        <v>1054</v>
      </c>
      <c r="D3631" s="41" t="s">
        <v>828</v>
      </c>
      <c r="E3631" s="41">
        <v>10540027</v>
      </c>
      <c r="F3631" s="85" t="s">
        <v>1291</v>
      </c>
      <c r="G3631" s="39" t="s">
        <v>635</v>
      </c>
      <c r="H3631" s="52" t="s">
        <v>99</v>
      </c>
      <c r="I3631" s="52">
        <v>651.38</v>
      </c>
      <c r="J3631" s="49">
        <v>23747.189542738808</v>
      </c>
      <c r="K3631" s="58">
        <v>0</v>
      </c>
      <c r="L3631" s="58">
        <v>0</v>
      </c>
      <c r="M3631" s="58">
        <v>0</v>
      </c>
      <c r="N3631" s="58">
        <v>0</v>
      </c>
      <c r="O3631" s="58">
        <v>0</v>
      </c>
      <c r="P3631" s="53">
        <v>0</v>
      </c>
      <c r="Q3631" s="65">
        <v>23747.189542738808</v>
      </c>
      <c r="R3631" s="65">
        <v>0</v>
      </c>
      <c r="S3631" s="65">
        <v>0</v>
      </c>
      <c r="T3631" s="65">
        <v>0</v>
      </c>
      <c r="U3631" s="58">
        <v>0</v>
      </c>
      <c r="V3631" s="65">
        <v>0</v>
      </c>
      <c r="W3631" s="65">
        <v>0</v>
      </c>
      <c r="X3631" s="65">
        <v>0</v>
      </c>
      <c r="Y3631" s="65">
        <v>0</v>
      </c>
      <c r="Z3631" s="51">
        <v>23747.189542738808</v>
      </c>
      <c r="AA3631" s="51">
        <v>0</v>
      </c>
      <c r="AB3631" s="102">
        <v>0</v>
      </c>
      <c r="AC3631" s="81">
        <f t="shared" si="172"/>
        <v>35.450531350915334</v>
      </c>
      <c r="AD3631" s="82">
        <f t="shared" si="173"/>
        <v>93.054285714285712</v>
      </c>
      <c r="AE3631" s="218">
        <v>0</v>
      </c>
      <c r="AF3631">
        <v>0</v>
      </c>
      <c r="AH3631" t="str">
        <f t="shared" si="171"/>
        <v xml:space="preserve">Alauli </v>
      </c>
      <c r="AJ3631" s="72">
        <v>0</v>
      </c>
      <c r="AK3631" s="72"/>
      <c r="AL3631" s="72"/>
      <c r="AM3631" s="72"/>
    </row>
    <row r="3632" spans="1:39" x14ac:dyDescent="0.25">
      <c r="A3632" s="37" t="s">
        <v>62</v>
      </c>
      <c r="B3632" s="66" t="s">
        <v>1644</v>
      </c>
      <c r="C3632" s="4">
        <v>1054</v>
      </c>
      <c r="D3632" s="41" t="s">
        <v>828</v>
      </c>
      <c r="E3632" s="41">
        <v>10540032</v>
      </c>
      <c r="F3632" s="85" t="s">
        <v>1226</v>
      </c>
      <c r="G3632" s="39" t="s">
        <v>93</v>
      </c>
      <c r="H3632" s="52" t="s">
        <v>94</v>
      </c>
      <c r="I3632" s="52">
        <v>297.18</v>
      </c>
      <c r="J3632" s="49">
        <v>10788.5559121194</v>
      </c>
      <c r="K3632" s="58">
        <v>503</v>
      </c>
      <c r="L3632" s="58">
        <v>21297.477904500003</v>
      </c>
      <c r="M3632" s="58">
        <v>0</v>
      </c>
      <c r="N3632" s="58">
        <v>0</v>
      </c>
      <c r="O3632" s="58">
        <v>503</v>
      </c>
      <c r="P3632" s="53">
        <v>21297.477904500003</v>
      </c>
      <c r="Q3632" s="65">
        <v>10788.5559121194</v>
      </c>
      <c r="R3632" s="65">
        <v>0</v>
      </c>
      <c r="S3632" s="65">
        <v>0</v>
      </c>
      <c r="T3632" s="65">
        <v>10508.921992380603</v>
      </c>
      <c r="U3632" s="58">
        <v>0</v>
      </c>
      <c r="V3632" s="65">
        <v>500</v>
      </c>
      <c r="W3632" s="65">
        <v>0</v>
      </c>
      <c r="X3632" s="65">
        <v>10289</v>
      </c>
      <c r="Y3632" s="65">
        <v>0</v>
      </c>
      <c r="Z3632" s="51">
        <v>0</v>
      </c>
      <c r="AA3632" s="51">
        <v>0</v>
      </c>
      <c r="AB3632" s="102">
        <v>0</v>
      </c>
      <c r="AC3632" s="81">
        <f t="shared" si="172"/>
        <v>292.47231257284722</v>
      </c>
      <c r="AD3632" s="82">
        <f t="shared" si="173"/>
        <v>42.454285714285717</v>
      </c>
      <c r="AE3632" s="218">
        <v>-0.97408050511888544</v>
      </c>
      <c r="AF3632">
        <v>1</v>
      </c>
      <c r="AH3632" t="str">
        <f t="shared" si="171"/>
        <v xml:space="preserve">Alauli </v>
      </c>
      <c r="AJ3632" s="72">
        <v>500</v>
      </c>
      <c r="AK3632" s="72"/>
      <c r="AL3632" s="72"/>
      <c r="AM3632" s="72"/>
    </row>
    <row r="3633" spans="1:39" x14ac:dyDescent="0.25">
      <c r="A3633" s="37" t="s">
        <v>62</v>
      </c>
      <c r="B3633" s="66" t="s">
        <v>1644</v>
      </c>
      <c r="C3633" s="4">
        <v>1054</v>
      </c>
      <c r="D3633" s="41" t="s">
        <v>828</v>
      </c>
      <c r="E3633" s="41">
        <v>10540034</v>
      </c>
      <c r="F3633" s="85" t="s">
        <v>1277</v>
      </c>
      <c r="G3633" s="39" t="s">
        <v>93</v>
      </c>
      <c r="H3633" s="52" t="s">
        <v>94</v>
      </c>
      <c r="I3633" s="52">
        <v>165.35999999999999</v>
      </c>
      <c r="J3633" s="49">
        <v>6399.3056817150018</v>
      </c>
      <c r="K3633" s="58">
        <v>500</v>
      </c>
      <c r="L3633" s="58">
        <v>21879.564300000002</v>
      </c>
      <c r="M3633" s="58">
        <v>0</v>
      </c>
      <c r="N3633" s="58">
        <v>0</v>
      </c>
      <c r="O3633" s="58">
        <v>500</v>
      </c>
      <c r="P3633" s="53">
        <v>21879.564300000002</v>
      </c>
      <c r="Q3633" s="65">
        <v>6399.3056817150018</v>
      </c>
      <c r="R3633" s="65">
        <v>0</v>
      </c>
      <c r="S3633" s="65">
        <v>0</v>
      </c>
      <c r="T3633" s="65">
        <v>15480.258618284999</v>
      </c>
      <c r="U3633" s="58">
        <v>0</v>
      </c>
      <c r="V3633" s="65">
        <v>0</v>
      </c>
      <c r="W3633" s="65">
        <v>0</v>
      </c>
      <c r="X3633" s="65">
        <v>6399</v>
      </c>
      <c r="Y3633" s="65">
        <v>0</v>
      </c>
      <c r="Z3633" s="51">
        <v>0</v>
      </c>
      <c r="AA3633" s="51">
        <v>0</v>
      </c>
      <c r="AB3633" s="102">
        <v>0</v>
      </c>
      <c r="AC3633" s="81">
        <f t="shared" si="172"/>
        <v>413.80319178424151</v>
      </c>
      <c r="AD3633" s="82">
        <f t="shared" si="173"/>
        <v>23.622857142857139</v>
      </c>
      <c r="AE3633" s="218">
        <v>-2.4190528454543712</v>
      </c>
      <c r="AF3633">
        <v>1</v>
      </c>
      <c r="AH3633" t="str">
        <f t="shared" si="171"/>
        <v xml:space="preserve">Alauli </v>
      </c>
      <c r="AJ3633" s="72">
        <v>0</v>
      </c>
      <c r="AK3633" s="72"/>
      <c r="AL3633" s="72"/>
      <c r="AM3633" s="72"/>
    </row>
    <row r="3634" spans="1:39" x14ac:dyDescent="0.25">
      <c r="A3634" s="37" t="s">
        <v>62</v>
      </c>
      <c r="B3634" s="66" t="s">
        <v>1644</v>
      </c>
      <c r="C3634" s="4">
        <v>1054</v>
      </c>
      <c r="D3634" s="41" t="s">
        <v>828</v>
      </c>
      <c r="E3634" s="41">
        <v>10540039</v>
      </c>
      <c r="F3634" s="85" t="s">
        <v>1295</v>
      </c>
      <c r="G3634" s="39" t="s">
        <v>635</v>
      </c>
      <c r="H3634" s="52" t="s">
        <v>99</v>
      </c>
      <c r="I3634" s="52">
        <v>785.57999999999993</v>
      </c>
      <c r="J3634" s="49">
        <v>26346.2790657033</v>
      </c>
      <c r="K3634" s="58">
        <v>0</v>
      </c>
      <c r="L3634" s="58">
        <v>0</v>
      </c>
      <c r="M3634" s="58">
        <v>0</v>
      </c>
      <c r="N3634" s="58">
        <v>0</v>
      </c>
      <c r="O3634" s="58">
        <v>0</v>
      </c>
      <c r="P3634" s="53">
        <v>0</v>
      </c>
      <c r="Q3634" s="65">
        <v>26346.2790657033</v>
      </c>
      <c r="R3634" s="65">
        <v>0</v>
      </c>
      <c r="S3634" s="65">
        <v>0</v>
      </c>
      <c r="T3634" s="65">
        <v>0</v>
      </c>
      <c r="U3634" s="58">
        <v>0</v>
      </c>
      <c r="V3634" s="65">
        <v>0</v>
      </c>
      <c r="W3634" s="65">
        <v>0</v>
      </c>
      <c r="X3634" s="65">
        <v>0</v>
      </c>
      <c r="Y3634" s="65">
        <v>0</v>
      </c>
      <c r="Z3634" s="51">
        <v>26346.2790657033</v>
      </c>
      <c r="AA3634" s="51">
        <v>0</v>
      </c>
      <c r="AB3634" s="102">
        <v>0</v>
      </c>
      <c r="AC3634" s="81">
        <f t="shared" si="172"/>
        <v>0</v>
      </c>
      <c r="AD3634" s="82">
        <f t="shared" si="173"/>
        <v>0</v>
      </c>
      <c r="AE3634" s="218">
        <v>0</v>
      </c>
      <c r="AF3634">
        <v>0</v>
      </c>
      <c r="AH3634" t="str">
        <f t="shared" si="171"/>
        <v xml:space="preserve">Alauli </v>
      </c>
      <c r="AJ3634" s="72">
        <v>0</v>
      </c>
      <c r="AK3634" s="72"/>
      <c r="AL3634" s="72"/>
      <c r="AM3634" s="72"/>
    </row>
    <row r="3635" spans="1:39" x14ac:dyDescent="0.25">
      <c r="A3635" s="37" t="s">
        <v>62</v>
      </c>
      <c r="B3635" s="66" t="s">
        <v>1644</v>
      </c>
      <c r="C3635" s="4">
        <v>1054</v>
      </c>
      <c r="D3635" s="41" t="s">
        <v>828</v>
      </c>
      <c r="E3635" s="41">
        <v>10540040</v>
      </c>
      <c r="F3635" s="85" t="s">
        <v>1296</v>
      </c>
      <c r="G3635" s="39" t="s">
        <v>635</v>
      </c>
      <c r="H3635" s="52" t="s">
        <v>99</v>
      </c>
      <c r="I3635" s="52">
        <v>771.06</v>
      </c>
      <c r="J3635" s="49">
        <v>27220.302379993405</v>
      </c>
      <c r="K3635" s="58">
        <v>0</v>
      </c>
      <c r="L3635" s="58">
        <v>0</v>
      </c>
      <c r="M3635" s="58">
        <v>0</v>
      </c>
      <c r="N3635" s="58">
        <v>0</v>
      </c>
      <c r="O3635" s="58">
        <v>0</v>
      </c>
      <c r="P3635" s="53">
        <v>0</v>
      </c>
      <c r="Q3635" s="65">
        <v>27220.302379993405</v>
      </c>
      <c r="R3635" s="65">
        <v>0</v>
      </c>
      <c r="S3635" s="65">
        <v>0</v>
      </c>
      <c r="T3635" s="65">
        <v>0</v>
      </c>
      <c r="U3635" s="58">
        <v>0</v>
      </c>
      <c r="V3635" s="65">
        <v>0</v>
      </c>
      <c r="W3635" s="65">
        <v>0</v>
      </c>
      <c r="X3635" s="65">
        <v>0</v>
      </c>
      <c r="Y3635" s="65">
        <v>0</v>
      </c>
      <c r="Z3635" s="51">
        <v>27220.302379993405</v>
      </c>
      <c r="AA3635" s="51">
        <v>0</v>
      </c>
      <c r="AB3635" s="102">
        <v>0</v>
      </c>
      <c r="AC3635" s="81">
        <f t="shared" si="172"/>
        <v>0</v>
      </c>
      <c r="AD3635" s="82">
        <f t="shared" si="173"/>
        <v>0</v>
      </c>
      <c r="AE3635" s="218">
        <v>0</v>
      </c>
      <c r="AF3635">
        <v>0</v>
      </c>
      <c r="AH3635" t="str">
        <f t="shared" si="171"/>
        <v xml:space="preserve">Alauli </v>
      </c>
      <c r="AJ3635" s="72">
        <v>0</v>
      </c>
      <c r="AK3635" s="72"/>
      <c r="AL3635" s="72"/>
      <c r="AM3635" s="72"/>
    </row>
    <row r="3636" spans="1:39" x14ac:dyDescent="0.25">
      <c r="A3636" s="37" t="s">
        <v>62</v>
      </c>
      <c r="B3636" s="66" t="s">
        <v>1644</v>
      </c>
      <c r="C3636" s="4">
        <v>1054</v>
      </c>
      <c r="D3636" s="41" t="s">
        <v>828</v>
      </c>
      <c r="E3636" s="41">
        <v>10540041</v>
      </c>
      <c r="F3636" s="85" t="s">
        <v>1332</v>
      </c>
      <c r="G3636" s="39" t="s">
        <v>93</v>
      </c>
      <c r="H3636" s="52" t="s">
        <v>99</v>
      </c>
      <c r="I3636" s="52">
        <v>212.9</v>
      </c>
      <c r="J3636" s="49">
        <v>7248.2417231715008</v>
      </c>
      <c r="K3636" s="58">
        <v>0</v>
      </c>
      <c r="L3636" s="58">
        <v>0</v>
      </c>
      <c r="M3636" s="58">
        <v>0</v>
      </c>
      <c r="N3636" s="58">
        <v>0</v>
      </c>
      <c r="O3636" s="58">
        <v>0</v>
      </c>
      <c r="P3636" s="53">
        <v>0</v>
      </c>
      <c r="Q3636" s="65">
        <v>7248.2417231715008</v>
      </c>
      <c r="R3636" s="65">
        <v>0</v>
      </c>
      <c r="S3636" s="65">
        <v>0</v>
      </c>
      <c r="T3636" s="65">
        <v>0</v>
      </c>
      <c r="U3636" s="58">
        <v>0</v>
      </c>
      <c r="V3636" s="65">
        <v>0</v>
      </c>
      <c r="W3636" s="65">
        <v>0</v>
      </c>
      <c r="X3636" s="65">
        <v>0</v>
      </c>
      <c r="Y3636" s="65">
        <v>0</v>
      </c>
      <c r="Z3636" s="51">
        <v>7248.2417231715008</v>
      </c>
      <c r="AA3636" s="51">
        <v>0</v>
      </c>
      <c r="AB3636" s="102">
        <v>0</v>
      </c>
      <c r="AC3636" s="81">
        <f t="shared" si="172"/>
        <v>331.66919148490729</v>
      </c>
      <c r="AD3636" s="82">
        <f t="shared" si="173"/>
        <v>30.414285714285715</v>
      </c>
      <c r="AE3636" s="218">
        <v>0</v>
      </c>
      <c r="AF3636">
        <v>0</v>
      </c>
      <c r="AH3636" t="str">
        <f t="shared" si="171"/>
        <v xml:space="preserve">Alauli </v>
      </c>
      <c r="AJ3636" s="72">
        <v>0</v>
      </c>
      <c r="AK3636" s="72"/>
      <c r="AL3636" s="72"/>
      <c r="AM3636" s="72"/>
    </row>
    <row r="3637" spans="1:39" x14ac:dyDescent="0.25">
      <c r="A3637" s="37" t="s">
        <v>62</v>
      </c>
      <c r="B3637" s="66" t="s">
        <v>1644</v>
      </c>
      <c r="C3637" s="4">
        <v>1054</v>
      </c>
      <c r="D3637" s="41" t="s">
        <v>828</v>
      </c>
      <c r="E3637" s="41">
        <v>10540042</v>
      </c>
      <c r="F3637" s="85" t="s">
        <v>1363</v>
      </c>
      <c r="G3637" s="39" t="s">
        <v>93</v>
      </c>
      <c r="H3637" s="52" t="s">
        <v>94</v>
      </c>
      <c r="I3637" s="52">
        <v>1424.78</v>
      </c>
      <c r="J3637" s="49">
        <v>76418.510923618072</v>
      </c>
      <c r="K3637" s="58">
        <v>1800</v>
      </c>
      <c r="L3637" s="58">
        <v>106472.64014280002</v>
      </c>
      <c r="M3637" s="58">
        <v>0</v>
      </c>
      <c r="N3637" s="58">
        <v>0</v>
      </c>
      <c r="O3637" s="58">
        <v>1800</v>
      </c>
      <c r="P3637" s="53">
        <v>106472.64014280002</v>
      </c>
      <c r="Q3637" s="65">
        <v>76418.510923618072</v>
      </c>
      <c r="R3637" s="65">
        <v>0</v>
      </c>
      <c r="S3637" s="65">
        <v>0</v>
      </c>
      <c r="T3637" s="65">
        <v>30054.129219181952</v>
      </c>
      <c r="U3637" s="58">
        <v>0</v>
      </c>
      <c r="V3637" s="65">
        <v>0</v>
      </c>
      <c r="W3637" s="65">
        <v>0</v>
      </c>
      <c r="X3637" s="65">
        <v>76419</v>
      </c>
      <c r="Y3637" s="65">
        <v>0</v>
      </c>
      <c r="Z3637" s="51">
        <v>0</v>
      </c>
      <c r="AA3637" s="51">
        <v>0</v>
      </c>
      <c r="AB3637" s="102">
        <v>0</v>
      </c>
      <c r="AC3637" s="81">
        <f t="shared" si="172"/>
        <v>0</v>
      </c>
      <c r="AD3637" s="82">
        <f t="shared" si="173"/>
        <v>0</v>
      </c>
      <c r="AE3637" s="218">
        <v>-0.3932833662412199</v>
      </c>
      <c r="AF3637">
        <v>1</v>
      </c>
      <c r="AH3637" t="str">
        <f t="shared" si="171"/>
        <v xml:space="preserve">Alauli </v>
      </c>
      <c r="AJ3637" s="72">
        <v>0</v>
      </c>
      <c r="AK3637" s="72"/>
      <c r="AL3637" s="72"/>
      <c r="AM3637" s="72"/>
    </row>
    <row r="3638" spans="1:39" x14ac:dyDescent="0.25">
      <c r="A3638" s="37" t="s">
        <v>62</v>
      </c>
      <c r="B3638" s="66" t="s">
        <v>1644</v>
      </c>
      <c r="C3638" s="4">
        <v>1054</v>
      </c>
      <c r="D3638" s="41" t="s">
        <v>828</v>
      </c>
      <c r="E3638" s="41">
        <v>10540044</v>
      </c>
      <c r="F3638" s="85" t="s">
        <v>1370</v>
      </c>
      <c r="G3638" s="39" t="s">
        <v>93</v>
      </c>
      <c r="H3638" s="52" t="s">
        <v>94</v>
      </c>
      <c r="I3638" s="52">
        <v>377.98</v>
      </c>
      <c r="J3638" s="49">
        <v>14134.042225015803</v>
      </c>
      <c r="K3638" s="58">
        <v>653</v>
      </c>
      <c r="L3638" s="58">
        <v>28247.6565195</v>
      </c>
      <c r="M3638" s="58">
        <v>0</v>
      </c>
      <c r="N3638" s="58">
        <v>0</v>
      </c>
      <c r="O3638" s="58">
        <v>653</v>
      </c>
      <c r="P3638" s="53">
        <v>28247.6565195</v>
      </c>
      <c r="Q3638" s="65">
        <v>14134.042225015803</v>
      </c>
      <c r="R3638" s="65">
        <v>0</v>
      </c>
      <c r="S3638" s="65">
        <v>0</v>
      </c>
      <c r="T3638" s="65">
        <v>14113.614294484198</v>
      </c>
      <c r="U3638" s="58">
        <v>0</v>
      </c>
      <c r="V3638" s="65">
        <v>0</v>
      </c>
      <c r="W3638" s="65">
        <v>0</v>
      </c>
      <c r="X3638" s="65">
        <v>14134</v>
      </c>
      <c r="Y3638" s="65">
        <v>0</v>
      </c>
      <c r="Z3638" s="51">
        <v>0</v>
      </c>
      <c r="AA3638" s="51">
        <v>0</v>
      </c>
      <c r="AB3638" s="102">
        <v>0</v>
      </c>
      <c r="AC3638" s="81">
        <f t="shared" si="172"/>
        <v>240.82989985182223</v>
      </c>
      <c r="AD3638" s="82">
        <f t="shared" si="173"/>
        <v>53.997142857142862</v>
      </c>
      <c r="AE3638" s="218">
        <v>-0.99855470004925773</v>
      </c>
      <c r="AF3638">
        <v>1</v>
      </c>
      <c r="AH3638" t="str">
        <f t="shared" si="171"/>
        <v xml:space="preserve">Alauli </v>
      </c>
      <c r="AJ3638" s="72">
        <v>0</v>
      </c>
      <c r="AK3638" s="72"/>
      <c r="AL3638" s="72"/>
      <c r="AM3638" s="72"/>
    </row>
    <row r="3639" spans="1:39" x14ac:dyDescent="0.25">
      <c r="A3639" s="37" t="s">
        <v>62</v>
      </c>
      <c r="B3639" s="66" t="s">
        <v>1644</v>
      </c>
      <c r="C3639" s="4">
        <v>1054</v>
      </c>
      <c r="D3639" s="41" t="s">
        <v>828</v>
      </c>
      <c r="E3639" s="41">
        <v>10540045</v>
      </c>
      <c r="F3639" s="85" t="s">
        <v>1393</v>
      </c>
      <c r="G3639" s="39" t="s">
        <v>635</v>
      </c>
      <c r="H3639" s="52" t="s">
        <v>99</v>
      </c>
      <c r="I3639" s="52">
        <v>799.4</v>
      </c>
      <c r="J3639" s="49">
        <v>35623.921637311272</v>
      </c>
      <c r="K3639" s="58">
        <v>0</v>
      </c>
      <c r="L3639" s="58">
        <v>0</v>
      </c>
      <c r="M3639" s="58">
        <v>0</v>
      </c>
      <c r="N3639" s="58">
        <v>0</v>
      </c>
      <c r="O3639" s="58">
        <v>0</v>
      </c>
      <c r="P3639" s="53">
        <v>0</v>
      </c>
      <c r="Q3639" s="65">
        <v>35623.921637311272</v>
      </c>
      <c r="R3639" s="65">
        <v>0</v>
      </c>
      <c r="S3639" s="65">
        <v>0</v>
      </c>
      <c r="T3639" s="65">
        <v>0</v>
      </c>
      <c r="U3639" s="58">
        <v>0</v>
      </c>
      <c r="V3639" s="65">
        <v>0</v>
      </c>
      <c r="W3639" s="65">
        <v>0</v>
      </c>
      <c r="X3639" s="65">
        <v>0</v>
      </c>
      <c r="Y3639" s="65">
        <v>0</v>
      </c>
      <c r="Z3639" s="51">
        <v>35623.921637311272</v>
      </c>
      <c r="AA3639" s="51">
        <v>0</v>
      </c>
      <c r="AB3639" s="102">
        <v>0</v>
      </c>
      <c r="AC3639" s="81">
        <f t="shared" si="172"/>
        <v>0</v>
      </c>
      <c r="AD3639" s="82">
        <f t="shared" si="173"/>
        <v>0</v>
      </c>
      <c r="AE3639" s="218">
        <v>0</v>
      </c>
      <c r="AF3639">
        <v>0</v>
      </c>
      <c r="AH3639" t="str">
        <f t="shared" si="171"/>
        <v xml:space="preserve">Alauli </v>
      </c>
      <c r="AJ3639" s="72">
        <v>0</v>
      </c>
      <c r="AK3639" s="72"/>
      <c r="AL3639" s="72"/>
      <c r="AM3639" s="72"/>
    </row>
    <row r="3640" spans="1:39" x14ac:dyDescent="0.25">
      <c r="A3640" s="37" t="s">
        <v>62</v>
      </c>
      <c r="B3640" s="66" t="s">
        <v>1644</v>
      </c>
      <c r="C3640" s="4">
        <v>1054</v>
      </c>
      <c r="D3640" s="41" t="s">
        <v>828</v>
      </c>
      <c r="E3640" s="41">
        <v>10540046</v>
      </c>
      <c r="F3640" s="85" t="s">
        <v>1478</v>
      </c>
      <c r="G3640" s="39" t="s">
        <v>93</v>
      </c>
      <c r="H3640" s="52" t="s">
        <v>94</v>
      </c>
      <c r="I3640" s="52">
        <v>610.09999999999991</v>
      </c>
      <c r="J3640" s="49">
        <v>26441.877323172557</v>
      </c>
      <c r="K3640" s="58">
        <v>676.23</v>
      </c>
      <c r="L3640" s="58">
        <v>43203.112924243302</v>
      </c>
      <c r="M3640" s="58">
        <v>0</v>
      </c>
      <c r="N3640" s="58">
        <v>0</v>
      </c>
      <c r="O3640" s="58">
        <v>676.23</v>
      </c>
      <c r="P3640" s="53">
        <v>43203.112924243302</v>
      </c>
      <c r="Q3640" s="65">
        <v>26441.877323172557</v>
      </c>
      <c r="R3640" s="65">
        <v>0</v>
      </c>
      <c r="S3640" s="65">
        <v>0</v>
      </c>
      <c r="T3640" s="65">
        <v>16761.235601070744</v>
      </c>
      <c r="U3640" s="58">
        <v>0</v>
      </c>
      <c r="V3640" s="65">
        <v>0</v>
      </c>
      <c r="W3640" s="65">
        <v>0</v>
      </c>
      <c r="X3640" s="65">
        <v>26442</v>
      </c>
      <c r="Y3640" s="65">
        <v>0</v>
      </c>
      <c r="Z3640" s="51">
        <v>0</v>
      </c>
      <c r="AA3640" s="51">
        <v>0</v>
      </c>
      <c r="AB3640" s="102">
        <v>0</v>
      </c>
      <c r="AC3640" s="81">
        <f t="shared" si="172"/>
        <v>77.925742381682213</v>
      </c>
      <c r="AD3640" s="82">
        <f t="shared" si="173"/>
        <v>87.157142857142844</v>
      </c>
      <c r="AE3640" s="218">
        <v>-0.63388977250801692</v>
      </c>
      <c r="AF3640">
        <v>1</v>
      </c>
      <c r="AH3640" t="str">
        <f t="shared" si="171"/>
        <v xml:space="preserve">Alauli </v>
      </c>
      <c r="AJ3640" s="72">
        <v>0</v>
      </c>
      <c r="AK3640" s="72"/>
      <c r="AL3640" s="72"/>
      <c r="AM3640" s="72"/>
    </row>
    <row r="3641" spans="1:39" x14ac:dyDescent="0.25">
      <c r="A3641" s="37" t="s">
        <v>62</v>
      </c>
      <c r="B3641" s="66" t="s">
        <v>1644</v>
      </c>
      <c r="C3641" s="4">
        <v>1054</v>
      </c>
      <c r="D3641" s="41" t="s">
        <v>828</v>
      </c>
      <c r="E3641" s="41">
        <v>10540048</v>
      </c>
      <c r="F3641" s="85" t="s">
        <v>1502</v>
      </c>
      <c r="G3641" s="39" t="s">
        <v>635</v>
      </c>
      <c r="H3641" s="52" t="s">
        <v>99</v>
      </c>
      <c r="I3641" s="52">
        <v>1700.2999999999997</v>
      </c>
      <c r="J3641" s="49">
        <v>73954.709190461173</v>
      </c>
      <c r="K3641" s="58">
        <v>0</v>
      </c>
      <c r="L3641" s="58">
        <v>0</v>
      </c>
      <c r="M3641" s="58">
        <v>0</v>
      </c>
      <c r="N3641" s="58">
        <v>0</v>
      </c>
      <c r="O3641" s="58">
        <v>0</v>
      </c>
      <c r="P3641" s="53">
        <v>0</v>
      </c>
      <c r="Q3641" s="65">
        <v>73954.709190461173</v>
      </c>
      <c r="R3641" s="65">
        <v>0</v>
      </c>
      <c r="S3641" s="65">
        <v>0</v>
      </c>
      <c r="T3641" s="65">
        <v>0</v>
      </c>
      <c r="U3641" s="58">
        <v>0</v>
      </c>
      <c r="V3641" s="65">
        <v>0</v>
      </c>
      <c r="W3641" s="65">
        <v>0</v>
      </c>
      <c r="X3641" s="65">
        <v>0</v>
      </c>
      <c r="Y3641" s="65">
        <v>0</v>
      </c>
      <c r="Z3641" s="51">
        <v>73954.709190461173</v>
      </c>
      <c r="AA3641" s="51">
        <v>0</v>
      </c>
      <c r="AB3641" s="102">
        <v>0</v>
      </c>
      <c r="AC3641" s="81">
        <f t="shared" si="172"/>
        <v>0</v>
      </c>
      <c r="AD3641" s="82">
        <f t="shared" si="173"/>
        <v>0</v>
      </c>
      <c r="AE3641" s="218">
        <v>0</v>
      </c>
      <c r="AF3641">
        <v>0</v>
      </c>
      <c r="AH3641" t="str">
        <f t="shared" si="171"/>
        <v xml:space="preserve">Alauli </v>
      </c>
      <c r="AJ3641" s="72">
        <v>0</v>
      </c>
      <c r="AK3641" s="72"/>
      <c r="AL3641" s="72"/>
      <c r="AM3641" s="72"/>
    </row>
    <row r="3642" spans="1:39" x14ac:dyDescent="0.25">
      <c r="A3642" s="37" t="s">
        <v>62</v>
      </c>
      <c r="B3642" s="66" t="s">
        <v>1644</v>
      </c>
      <c r="C3642" s="4">
        <v>1054</v>
      </c>
      <c r="D3642" s="41" t="s">
        <v>828</v>
      </c>
      <c r="E3642" s="41">
        <v>10540049</v>
      </c>
      <c r="F3642" s="85" t="s">
        <v>1503</v>
      </c>
      <c r="G3642" s="39" t="s">
        <v>635</v>
      </c>
      <c r="H3642" s="52" t="s">
        <v>99</v>
      </c>
      <c r="I3642" s="52">
        <v>939.7</v>
      </c>
      <c r="J3642" s="49">
        <v>32805.242650149004</v>
      </c>
      <c r="K3642" s="58">
        <v>0</v>
      </c>
      <c r="L3642" s="58">
        <v>0</v>
      </c>
      <c r="M3642" s="58">
        <v>0</v>
      </c>
      <c r="N3642" s="58">
        <v>0</v>
      </c>
      <c r="O3642" s="58">
        <v>0</v>
      </c>
      <c r="P3642" s="53">
        <v>0</v>
      </c>
      <c r="Q3642" s="65">
        <v>32805.242650149004</v>
      </c>
      <c r="R3642" s="65">
        <v>0</v>
      </c>
      <c r="S3642" s="65">
        <v>0</v>
      </c>
      <c r="T3642" s="65">
        <v>0</v>
      </c>
      <c r="U3642" s="58">
        <v>0</v>
      </c>
      <c r="V3642" s="65">
        <v>0</v>
      </c>
      <c r="W3642" s="65">
        <v>0</v>
      </c>
      <c r="X3642" s="65">
        <v>0</v>
      </c>
      <c r="Y3642" s="65">
        <v>0</v>
      </c>
      <c r="Z3642" s="51">
        <v>32805.242650149004</v>
      </c>
      <c r="AA3642" s="51">
        <v>0</v>
      </c>
      <c r="AB3642" s="102">
        <v>0</v>
      </c>
      <c r="AC3642" s="81">
        <f t="shared" si="172"/>
        <v>0</v>
      </c>
      <c r="AD3642" s="82">
        <f t="shared" si="173"/>
        <v>0</v>
      </c>
      <c r="AE3642" s="218">
        <v>0</v>
      </c>
      <c r="AF3642">
        <v>0</v>
      </c>
      <c r="AH3642" t="str">
        <f t="shared" si="171"/>
        <v xml:space="preserve">Alauli </v>
      </c>
      <c r="AJ3642" s="72">
        <v>0</v>
      </c>
      <c r="AK3642" s="72"/>
      <c r="AL3642" s="72"/>
      <c r="AM3642" s="72"/>
    </row>
    <row r="3643" spans="1:39" x14ac:dyDescent="0.25">
      <c r="A3643" s="37" t="s">
        <v>62</v>
      </c>
      <c r="B3643" s="66" t="s">
        <v>1644</v>
      </c>
      <c r="C3643" s="4">
        <v>1055</v>
      </c>
      <c r="D3643" s="41" t="s">
        <v>1148</v>
      </c>
      <c r="E3643" s="41">
        <v>10550001</v>
      </c>
      <c r="F3643" s="85" t="s">
        <v>1196</v>
      </c>
      <c r="G3643" s="39" t="s">
        <v>635</v>
      </c>
      <c r="H3643" s="52" t="s">
        <v>99</v>
      </c>
      <c r="I3643" s="52">
        <v>20536</v>
      </c>
      <c r="J3643" s="49">
        <v>719952.79065600003</v>
      </c>
      <c r="K3643" s="58">
        <v>0</v>
      </c>
      <c r="L3643" s="58">
        <v>0</v>
      </c>
      <c r="M3643" s="58">
        <v>0</v>
      </c>
      <c r="N3643" s="58">
        <v>0</v>
      </c>
      <c r="O3643" s="58">
        <v>0</v>
      </c>
      <c r="P3643" s="53">
        <v>0</v>
      </c>
      <c r="Q3643" s="65">
        <v>719952.79065600003</v>
      </c>
      <c r="R3643" s="65">
        <v>0</v>
      </c>
      <c r="S3643" s="65">
        <v>0</v>
      </c>
      <c r="T3643" s="65">
        <v>0</v>
      </c>
      <c r="U3643" s="58">
        <v>0</v>
      </c>
      <c r="V3643" s="65">
        <v>0</v>
      </c>
      <c r="W3643" s="65">
        <v>0</v>
      </c>
      <c r="X3643" s="65">
        <v>0</v>
      </c>
      <c r="Y3643" s="65">
        <v>0</v>
      </c>
      <c r="Z3643" s="51">
        <v>719952.79065600003</v>
      </c>
      <c r="AA3643" s="51">
        <v>0</v>
      </c>
      <c r="AB3643" s="102">
        <v>0</v>
      </c>
      <c r="AC3643" s="81">
        <f t="shared" si="172"/>
        <v>0</v>
      </c>
      <c r="AD3643" s="82">
        <f t="shared" si="173"/>
        <v>0</v>
      </c>
      <c r="AE3643" s="218">
        <v>0</v>
      </c>
      <c r="AF3643">
        <v>0</v>
      </c>
      <c r="AH3643" t="str">
        <f t="shared" ref="AH3643:AH3706" si="174">TEXT(D3643,"0000")</f>
        <v>Matihani</v>
      </c>
      <c r="AJ3643" s="72">
        <v>0</v>
      </c>
      <c r="AK3643" s="72"/>
      <c r="AL3643" s="72"/>
      <c r="AM3643" s="72"/>
    </row>
    <row r="3644" spans="1:39" x14ac:dyDescent="0.25">
      <c r="A3644" s="37" t="s">
        <v>62</v>
      </c>
      <c r="B3644" s="66" t="s">
        <v>1644</v>
      </c>
      <c r="C3644" s="4">
        <v>1055</v>
      </c>
      <c r="D3644" s="41" t="s">
        <v>1148</v>
      </c>
      <c r="E3644" s="41">
        <v>10550002</v>
      </c>
      <c r="F3644" s="85" t="s">
        <v>1218</v>
      </c>
      <c r="G3644" s="39" t="s">
        <v>635</v>
      </c>
      <c r="H3644" s="52" t="s">
        <v>99</v>
      </c>
      <c r="I3644" s="52">
        <v>216.9</v>
      </c>
      <c r="J3644" s="49">
        <v>7641.8855361659998</v>
      </c>
      <c r="K3644" s="58">
        <v>0</v>
      </c>
      <c r="L3644" s="58">
        <v>0</v>
      </c>
      <c r="M3644" s="58">
        <v>0</v>
      </c>
      <c r="N3644" s="58">
        <v>0</v>
      </c>
      <c r="O3644" s="58">
        <v>0</v>
      </c>
      <c r="P3644" s="53">
        <v>0</v>
      </c>
      <c r="Q3644" s="65">
        <v>7641.8855361659998</v>
      </c>
      <c r="R3644" s="65">
        <v>0</v>
      </c>
      <c r="S3644" s="65">
        <v>0</v>
      </c>
      <c r="T3644" s="65">
        <v>0</v>
      </c>
      <c r="U3644" s="58">
        <v>0</v>
      </c>
      <c r="V3644" s="65">
        <v>0</v>
      </c>
      <c r="W3644" s="65">
        <v>0</v>
      </c>
      <c r="X3644" s="65">
        <v>0</v>
      </c>
      <c r="Y3644" s="65">
        <v>0</v>
      </c>
      <c r="Z3644" s="51">
        <v>7641.8855361659998</v>
      </c>
      <c r="AA3644" s="51">
        <v>0</v>
      </c>
      <c r="AB3644" s="102">
        <v>0</v>
      </c>
      <c r="AC3644" s="81">
        <f t="shared" si="172"/>
        <v>340.41446772907273</v>
      </c>
      <c r="AD3644" s="82">
        <f t="shared" si="173"/>
        <v>30.985714285714288</v>
      </c>
      <c r="AE3644" s="218">
        <v>0</v>
      </c>
      <c r="AF3644">
        <v>0</v>
      </c>
      <c r="AH3644" t="str">
        <f t="shared" si="174"/>
        <v>Matihani</v>
      </c>
      <c r="AJ3644" s="72">
        <v>0</v>
      </c>
      <c r="AK3644" s="72"/>
      <c r="AL3644" s="72"/>
      <c r="AM3644" s="72"/>
    </row>
    <row r="3645" spans="1:39" x14ac:dyDescent="0.25">
      <c r="A3645" s="37" t="s">
        <v>62</v>
      </c>
      <c r="B3645" s="66" t="s">
        <v>1644</v>
      </c>
      <c r="C3645" s="4">
        <v>1055</v>
      </c>
      <c r="D3645" s="41" t="s">
        <v>1148</v>
      </c>
      <c r="E3645" s="41">
        <v>10550004</v>
      </c>
      <c r="F3645" s="85" t="s">
        <v>1594</v>
      </c>
      <c r="G3645" s="39" t="s">
        <v>93</v>
      </c>
      <c r="H3645" s="52" t="s">
        <v>94</v>
      </c>
      <c r="I3645" s="52">
        <v>52.400000000000006</v>
      </c>
      <c r="J3645" s="49">
        <v>1765.3473452685</v>
      </c>
      <c r="K3645" s="58">
        <v>53.300000000000004</v>
      </c>
      <c r="L3645" s="58">
        <v>1795.4125171485002</v>
      </c>
      <c r="M3645" s="58">
        <v>0</v>
      </c>
      <c r="N3645" s="58">
        <v>0</v>
      </c>
      <c r="O3645" s="58">
        <v>53.300000000000004</v>
      </c>
      <c r="P3645" s="53">
        <v>1795.4125171485002</v>
      </c>
      <c r="Q3645" s="65">
        <v>1765.3473452685</v>
      </c>
      <c r="R3645" s="65">
        <v>0</v>
      </c>
      <c r="S3645" s="65">
        <v>0</v>
      </c>
      <c r="T3645" s="65">
        <v>30.065171880000207</v>
      </c>
      <c r="U3645" s="58">
        <v>0</v>
      </c>
      <c r="V3645" s="65">
        <v>0</v>
      </c>
      <c r="W3645" s="65">
        <v>0</v>
      </c>
      <c r="X3645" s="65">
        <v>1765</v>
      </c>
      <c r="Y3645" s="65">
        <v>0</v>
      </c>
      <c r="Z3645" s="51">
        <v>0</v>
      </c>
      <c r="AA3645" s="51">
        <v>0</v>
      </c>
      <c r="AB3645" s="102">
        <v>0</v>
      </c>
      <c r="AC3645" s="81">
        <f t="shared" si="172"/>
        <v>436.35074076178643</v>
      </c>
      <c r="AD3645" s="82">
        <f t="shared" si="173"/>
        <v>7.4857142857142867</v>
      </c>
      <c r="AE3645" s="218">
        <v>-1.7030740132009236E-2</v>
      </c>
      <c r="AF3645">
        <v>1</v>
      </c>
      <c r="AH3645" t="str">
        <f t="shared" si="174"/>
        <v>Matihani</v>
      </c>
      <c r="AJ3645" s="72">
        <v>0</v>
      </c>
      <c r="AK3645" s="72"/>
      <c r="AL3645" s="72"/>
      <c r="AM3645" s="72"/>
    </row>
    <row r="3646" spans="1:39" x14ac:dyDescent="0.25">
      <c r="A3646" s="37" t="s">
        <v>62</v>
      </c>
      <c r="B3646" s="66" t="s">
        <v>1644</v>
      </c>
      <c r="C3646" s="4">
        <v>1055</v>
      </c>
      <c r="D3646" s="41" t="s">
        <v>1148</v>
      </c>
      <c r="E3646" s="41">
        <v>10550005</v>
      </c>
      <c r="F3646" s="85" t="s">
        <v>1428</v>
      </c>
      <c r="G3646" s="39" t="s">
        <v>93</v>
      </c>
      <c r="H3646" s="52" t="s">
        <v>94</v>
      </c>
      <c r="I3646" s="52">
        <v>225.09999999999997</v>
      </c>
      <c r="J3646" s="49">
        <v>8624.7162158130031</v>
      </c>
      <c r="K3646" s="58">
        <v>229.95999999999998</v>
      </c>
      <c r="L3646" s="58">
        <v>9283.1869517016003</v>
      </c>
      <c r="M3646" s="58">
        <v>0</v>
      </c>
      <c r="N3646" s="58">
        <v>0</v>
      </c>
      <c r="O3646" s="58">
        <v>229.95999999999998</v>
      </c>
      <c r="P3646" s="53">
        <v>9283.1869517016003</v>
      </c>
      <c r="Q3646" s="65">
        <v>8624.7162158130031</v>
      </c>
      <c r="R3646" s="65">
        <v>0</v>
      </c>
      <c r="S3646" s="65">
        <v>0</v>
      </c>
      <c r="T3646" s="65">
        <v>658.47073588859712</v>
      </c>
      <c r="U3646" s="58">
        <v>0</v>
      </c>
      <c r="V3646" s="65">
        <v>0</v>
      </c>
      <c r="W3646" s="65">
        <v>0</v>
      </c>
      <c r="X3646" s="65">
        <v>8625</v>
      </c>
      <c r="Y3646" s="65">
        <v>0</v>
      </c>
      <c r="Z3646" s="51">
        <v>0</v>
      </c>
      <c r="AA3646" s="51">
        <v>0</v>
      </c>
      <c r="AB3646" s="102">
        <v>0</v>
      </c>
      <c r="AC3646" s="81">
        <f t="shared" si="172"/>
        <v>363.91627995465097</v>
      </c>
      <c r="AD3646" s="82">
        <f t="shared" si="173"/>
        <v>32.157142857142851</v>
      </c>
      <c r="AE3646" s="218">
        <v>-7.6346945152968929E-2</v>
      </c>
      <c r="AF3646">
        <v>2</v>
      </c>
      <c r="AH3646" t="str">
        <f t="shared" si="174"/>
        <v>Matihani</v>
      </c>
      <c r="AJ3646" s="72">
        <v>0</v>
      </c>
      <c r="AK3646" s="72"/>
      <c r="AL3646" s="72"/>
      <c r="AM3646" s="72"/>
    </row>
    <row r="3647" spans="1:39" x14ac:dyDescent="0.25">
      <c r="A3647" s="37" t="s">
        <v>62</v>
      </c>
      <c r="B3647" s="66" t="s">
        <v>1644</v>
      </c>
      <c r="C3647" s="4">
        <v>1055</v>
      </c>
      <c r="D3647" s="41" t="s">
        <v>1148</v>
      </c>
      <c r="E3647" s="41">
        <v>10550007</v>
      </c>
      <c r="F3647" s="85" t="s">
        <v>1429</v>
      </c>
      <c r="G3647" s="39" t="s">
        <v>635</v>
      </c>
      <c r="H3647" s="52" t="s">
        <v>99</v>
      </c>
      <c r="I3647" s="52">
        <v>2414.5</v>
      </c>
      <c r="J3647" s="49">
        <v>83636.652397054524</v>
      </c>
      <c r="K3647" s="58">
        <v>0</v>
      </c>
      <c r="L3647" s="58">
        <v>0</v>
      </c>
      <c r="M3647" s="58">
        <v>0</v>
      </c>
      <c r="N3647" s="58">
        <v>0</v>
      </c>
      <c r="O3647" s="58">
        <v>0</v>
      </c>
      <c r="P3647" s="53">
        <v>0</v>
      </c>
      <c r="Q3647" s="65">
        <v>83636.652397054524</v>
      </c>
      <c r="R3647" s="65">
        <v>0</v>
      </c>
      <c r="S3647" s="65">
        <v>0</v>
      </c>
      <c r="T3647" s="65">
        <v>0</v>
      </c>
      <c r="U3647" s="58">
        <v>0</v>
      </c>
      <c r="V3647" s="65">
        <v>0</v>
      </c>
      <c r="W3647" s="65">
        <v>0</v>
      </c>
      <c r="X3647" s="65">
        <v>0</v>
      </c>
      <c r="Y3647" s="65">
        <v>0</v>
      </c>
      <c r="Z3647" s="51">
        <v>83636.652397054524</v>
      </c>
      <c r="AA3647" s="51">
        <v>0</v>
      </c>
      <c r="AB3647" s="102">
        <v>0</v>
      </c>
      <c r="AC3647" s="81">
        <f t="shared" si="172"/>
        <v>0</v>
      </c>
      <c r="AD3647" s="82">
        <f t="shared" si="173"/>
        <v>0</v>
      </c>
      <c r="AE3647" s="218">
        <v>0</v>
      </c>
      <c r="AF3647">
        <v>0</v>
      </c>
      <c r="AH3647" t="str">
        <f t="shared" si="174"/>
        <v>Matihani</v>
      </c>
      <c r="AJ3647" s="72">
        <v>0</v>
      </c>
      <c r="AK3647" s="72"/>
      <c r="AL3647" s="72"/>
      <c r="AM3647" s="72"/>
    </row>
    <row r="3648" spans="1:39" x14ac:dyDescent="0.25">
      <c r="A3648" s="37" t="s">
        <v>62</v>
      </c>
      <c r="B3648" s="66" t="s">
        <v>1644</v>
      </c>
      <c r="C3648" s="4">
        <v>1055</v>
      </c>
      <c r="D3648" s="41" t="s">
        <v>1148</v>
      </c>
      <c r="E3648" s="41">
        <v>10550009</v>
      </c>
      <c r="F3648" s="85" t="s">
        <v>1548</v>
      </c>
      <c r="G3648" s="39" t="s">
        <v>635</v>
      </c>
      <c r="H3648" s="52" t="s">
        <v>99</v>
      </c>
      <c r="I3648" s="52">
        <v>1796.5</v>
      </c>
      <c r="J3648" s="49">
        <v>67621.884309810019</v>
      </c>
      <c r="K3648" s="58">
        <v>0</v>
      </c>
      <c r="L3648" s="58">
        <v>0</v>
      </c>
      <c r="M3648" s="58">
        <v>0</v>
      </c>
      <c r="N3648" s="58">
        <v>0</v>
      </c>
      <c r="O3648" s="58">
        <v>0</v>
      </c>
      <c r="P3648" s="53">
        <v>0</v>
      </c>
      <c r="Q3648" s="65">
        <v>67621.884309810019</v>
      </c>
      <c r="R3648" s="65">
        <v>0</v>
      </c>
      <c r="S3648" s="65">
        <v>0</v>
      </c>
      <c r="T3648" s="65">
        <v>0</v>
      </c>
      <c r="U3648" s="58">
        <v>0</v>
      </c>
      <c r="V3648" s="65">
        <v>0</v>
      </c>
      <c r="W3648" s="65">
        <v>0</v>
      </c>
      <c r="X3648" s="65">
        <v>0</v>
      </c>
      <c r="Y3648" s="65">
        <v>0</v>
      </c>
      <c r="Z3648" s="51">
        <v>67621.884309810019</v>
      </c>
      <c r="AA3648" s="51">
        <v>0</v>
      </c>
      <c r="AB3648" s="102">
        <v>0</v>
      </c>
      <c r="AC3648" s="81">
        <f t="shared" si="172"/>
        <v>0</v>
      </c>
      <c r="AD3648" s="82">
        <f t="shared" si="173"/>
        <v>0</v>
      </c>
      <c r="AE3648" s="218">
        <v>0</v>
      </c>
      <c r="AF3648">
        <v>0</v>
      </c>
      <c r="AH3648" t="str">
        <f t="shared" si="174"/>
        <v>Matihani</v>
      </c>
      <c r="AJ3648" s="72">
        <v>0</v>
      </c>
      <c r="AK3648" s="72"/>
      <c r="AL3648" s="72"/>
      <c r="AM3648" s="72"/>
    </row>
    <row r="3649" spans="1:39" x14ac:dyDescent="0.25">
      <c r="A3649" s="37" t="s">
        <v>62</v>
      </c>
      <c r="B3649" s="66" t="s">
        <v>1644</v>
      </c>
      <c r="C3649" s="4">
        <v>1056</v>
      </c>
      <c r="D3649" s="41" t="s">
        <v>838</v>
      </c>
      <c r="E3649" s="41">
        <v>10560001</v>
      </c>
      <c r="F3649" s="85" t="s">
        <v>844</v>
      </c>
      <c r="G3649" s="39" t="s">
        <v>635</v>
      </c>
      <c r="H3649" s="52" t="s">
        <v>99</v>
      </c>
      <c r="I3649" s="52">
        <v>1690.8600000000001</v>
      </c>
      <c r="J3649" s="49">
        <v>70626.930836562009</v>
      </c>
      <c r="K3649" s="58">
        <v>0</v>
      </c>
      <c r="L3649" s="58">
        <v>0</v>
      </c>
      <c r="M3649" s="58">
        <v>0</v>
      </c>
      <c r="N3649" s="58">
        <v>0</v>
      </c>
      <c r="O3649" s="58">
        <v>0</v>
      </c>
      <c r="P3649" s="53">
        <v>0</v>
      </c>
      <c r="Q3649" s="65">
        <v>70626.930836562009</v>
      </c>
      <c r="R3649" s="65">
        <v>0</v>
      </c>
      <c r="S3649" s="65">
        <v>0</v>
      </c>
      <c r="T3649" s="65">
        <v>0</v>
      </c>
      <c r="U3649" s="58">
        <v>0</v>
      </c>
      <c r="V3649" s="65">
        <v>0</v>
      </c>
      <c r="W3649" s="65">
        <v>0</v>
      </c>
      <c r="X3649" s="65">
        <v>0</v>
      </c>
      <c r="Y3649" s="65">
        <v>0</v>
      </c>
      <c r="Z3649" s="51">
        <v>70626.930836562009</v>
      </c>
      <c r="AA3649" s="51">
        <v>0</v>
      </c>
      <c r="AB3649" s="102">
        <v>0</v>
      </c>
      <c r="AC3649" s="81">
        <f t="shared" ref="AC3649:AC3712" si="175">((IF(AD3649=0,0,100-AD3649))*7*(J3649/I3649))*2%</f>
        <v>0</v>
      </c>
      <c r="AD3649" s="82">
        <f t="shared" ref="AD3649:AD3712" si="176">IF((I3649/7)&gt;100,0,(I3649/7))</f>
        <v>0</v>
      </c>
      <c r="AE3649" s="218">
        <v>0</v>
      </c>
      <c r="AF3649">
        <v>0</v>
      </c>
      <c r="AH3649" t="str">
        <f t="shared" si="174"/>
        <v>Chautham</v>
      </c>
      <c r="AJ3649" s="72">
        <v>0</v>
      </c>
      <c r="AK3649" s="72"/>
      <c r="AL3649" s="72"/>
      <c r="AM3649" s="72"/>
    </row>
    <row r="3650" spans="1:39" x14ac:dyDescent="0.25">
      <c r="A3650" s="37" t="s">
        <v>62</v>
      </c>
      <c r="B3650" s="66" t="s">
        <v>1644</v>
      </c>
      <c r="C3650" s="4">
        <v>1056</v>
      </c>
      <c r="D3650" s="41" t="s">
        <v>838</v>
      </c>
      <c r="E3650" s="41">
        <v>10560002</v>
      </c>
      <c r="F3650" s="85" t="s">
        <v>1166</v>
      </c>
      <c r="G3650" s="39" t="s">
        <v>635</v>
      </c>
      <c r="H3650" s="52" t="s">
        <v>99</v>
      </c>
      <c r="I3650" s="52">
        <v>637.2299999999999</v>
      </c>
      <c r="J3650" s="49">
        <v>23650.671665267106</v>
      </c>
      <c r="K3650" s="58">
        <v>0</v>
      </c>
      <c r="L3650" s="58">
        <v>0</v>
      </c>
      <c r="M3650" s="58">
        <v>0</v>
      </c>
      <c r="N3650" s="58">
        <v>0</v>
      </c>
      <c r="O3650" s="58">
        <v>0</v>
      </c>
      <c r="P3650" s="53">
        <v>0</v>
      </c>
      <c r="Q3650" s="65">
        <v>23650.671665267106</v>
      </c>
      <c r="R3650" s="65">
        <v>0</v>
      </c>
      <c r="S3650" s="65">
        <v>0</v>
      </c>
      <c r="T3650" s="65">
        <v>0</v>
      </c>
      <c r="U3650" s="58">
        <v>0</v>
      </c>
      <c r="V3650" s="65">
        <v>0</v>
      </c>
      <c r="W3650" s="65">
        <v>0</v>
      </c>
      <c r="X3650" s="65">
        <v>0</v>
      </c>
      <c r="Y3650" s="65">
        <v>0</v>
      </c>
      <c r="Z3650" s="51">
        <v>23650.671665267106</v>
      </c>
      <c r="AA3650" s="51">
        <v>0</v>
      </c>
      <c r="AB3650" s="102">
        <v>0</v>
      </c>
      <c r="AC3650" s="81">
        <f t="shared" si="175"/>
        <v>46.593935013380388</v>
      </c>
      <c r="AD3650" s="82">
        <f t="shared" si="176"/>
        <v>91.032857142857125</v>
      </c>
      <c r="AE3650" s="218">
        <v>0</v>
      </c>
      <c r="AF3650">
        <v>0</v>
      </c>
      <c r="AH3650" t="str">
        <f t="shared" si="174"/>
        <v>Chautham</v>
      </c>
      <c r="AJ3650" s="72">
        <v>0</v>
      </c>
      <c r="AK3650" s="72"/>
      <c r="AL3650" s="72"/>
      <c r="AM3650" s="72"/>
    </row>
    <row r="3651" spans="1:39" x14ac:dyDescent="0.25">
      <c r="A3651" s="37" t="s">
        <v>62</v>
      </c>
      <c r="B3651" s="66" t="s">
        <v>1644</v>
      </c>
      <c r="C3651" s="4">
        <v>1056</v>
      </c>
      <c r="D3651" s="41" t="s">
        <v>838</v>
      </c>
      <c r="E3651" s="41">
        <v>10560004</v>
      </c>
      <c r="F3651" s="85" t="s">
        <v>1183</v>
      </c>
      <c r="G3651" s="39" t="s">
        <v>93</v>
      </c>
      <c r="H3651" s="52" t="s">
        <v>94</v>
      </c>
      <c r="I3651" s="52">
        <v>858.05999999999983</v>
      </c>
      <c r="J3651" s="49">
        <v>30232.149287670007</v>
      </c>
      <c r="K3651" s="58">
        <v>858.06</v>
      </c>
      <c r="L3651" s="58">
        <v>30232.149287670007</v>
      </c>
      <c r="M3651" s="58">
        <v>0</v>
      </c>
      <c r="N3651" s="58">
        <v>0</v>
      </c>
      <c r="O3651" s="58">
        <v>858.06</v>
      </c>
      <c r="P3651" s="53">
        <v>30232.149287670007</v>
      </c>
      <c r="Q3651" s="65">
        <v>30232.149287670007</v>
      </c>
      <c r="R3651" s="65">
        <v>0</v>
      </c>
      <c r="S3651" s="65">
        <v>0</v>
      </c>
      <c r="T3651" s="65">
        <v>0</v>
      </c>
      <c r="U3651" s="58">
        <v>0</v>
      </c>
      <c r="V3651" s="65">
        <v>0</v>
      </c>
      <c r="W3651" s="65">
        <v>0</v>
      </c>
      <c r="X3651" s="65">
        <v>30232</v>
      </c>
      <c r="Y3651" s="65">
        <v>0</v>
      </c>
      <c r="Z3651" s="51">
        <v>0</v>
      </c>
      <c r="AA3651" s="51">
        <v>0</v>
      </c>
      <c r="AB3651" s="102">
        <v>0</v>
      </c>
      <c r="AC3651" s="81">
        <f t="shared" si="175"/>
        <v>0</v>
      </c>
      <c r="AD3651" s="82">
        <f t="shared" si="176"/>
        <v>0</v>
      </c>
      <c r="AE3651" s="218">
        <v>0</v>
      </c>
      <c r="AF3651">
        <v>1</v>
      </c>
      <c r="AH3651" t="str">
        <f t="shared" si="174"/>
        <v>Chautham</v>
      </c>
      <c r="AJ3651" s="72">
        <v>0</v>
      </c>
      <c r="AK3651" s="72"/>
      <c r="AL3651" s="72"/>
      <c r="AM3651" s="72"/>
    </row>
    <row r="3652" spans="1:39" x14ac:dyDescent="0.25">
      <c r="A3652" s="37" t="s">
        <v>62</v>
      </c>
      <c r="B3652" s="66" t="s">
        <v>1644</v>
      </c>
      <c r="C3652" s="4">
        <v>1056</v>
      </c>
      <c r="D3652" s="41" t="s">
        <v>838</v>
      </c>
      <c r="E3652" s="41">
        <v>10560005</v>
      </c>
      <c r="F3652" s="85" t="s">
        <v>1184</v>
      </c>
      <c r="G3652" s="39" t="s">
        <v>93</v>
      </c>
      <c r="H3652" s="52" t="s">
        <v>94</v>
      </c>
      <c r="I3652" s="52">
        <v>2012.84</v>
      </c>
      <c r="J3652" s="49">
        <v>82263.703541498704</v>
      </c>
      <c r="K3652" s="58">
        <v>202.14</v>
      </c>
      <c r="L3652" s="58">
        <v>8240.092915543999</v>
      </c>
      <c r="M3652" s="58">
        <v>1990</v>
      </c>
      <c r="N3652" s="58">
        <v>83108.301119800002</v>
      </c>
      <c r="O3652" s="58">
        <v>2192.14</v>
      </c>
      <c r="P3652" s="53">
        <v>91348.394035343998</v>
      </c>
      <c r="Q3652" s="65">
        <v>82263.703541498704</v>
      </c>
      <c r="R3652" s="65">
        <v>0</v>
      </c>
      <c r="S3652" s="65">
        <v>0</v>
      </c>
      <c r="T3652" s="65">
        <v>9084.6904938452935</v>
      </c>
      <c r="U3652" s="58">
        <v>0</v>
      </c>
      <c r="V3652" s="65">
        <v>0</v>
      </c>
      <c r="W3652" s="65">
        <v>0</v>
      </c>
      <c r="X3652" s="65">
        <v>0</v>
      </c>
      <c r="Y3652" s="65">
        <v>82264</v>
      </c>
      <c r="Z3652" s="51">
        <v>0</v>
      </c>
      <c r="AA3652" s="51">
        <v>0</v>
      </c>
      <c r="AB3652" s="102" t="s">
        <v>68</v>
      </c>
      <c r="AC3652" s="81">
        <f t="shared" si="175"/>
        <v>0</v>
      </c>
      <c r="AD3652" s="82">
        <f t="shared" si="176"/>
        <v>0</v>
      </c>
      <c r="AE3652" s="218">
        <v>-0.11043376486523532</v>
      </c>
      <c r="AF3652">
        <v>3</v>
      </c>
      <c r="AH3652" t="str">
        <f t="shared" si="174"/>
        <v>Chautham</v>
      </c>
      <c r="AJ3652" s="72">
        <v>0</v>
      </c>
      <c r="AK3652" s="72"/>
      <c r="AL3652" s="72"/>
      <c r="AM3652" s="72"/>
    </row>
    <row r="3653" spans="1:39" x14ac:dyDescent="0.25">
      <c r="A3653" s="37" t="s">
        <v>62</v>
      </c>
      <c r="B3653" s="66" t="s">
        <v>1644</v>
      </c>
      <c r="C3653" s="4">
        <v>1056</v>
      </c>
      <c r="D3653" s="41" t="s">
        <v>838</v>
      </c>
      <c r="E3653" s="41">
        <v>10560007</v>
      </c>
      <c r="F3653" s="85" t="s">
        <v>1185</v>
      </c>
      <c r="G3653" s="39" t="s">
        <v>93</v>
      </c>
      <c r="H3653" s="52" t="s">
        <v>94</v>
      </c>
      <c r="I3653" s="52">
        <v>231.16</v>
      </c>
      <c r="J3653" s="49">
        <v>9081.6824227079996</v>
      </c>
      <c r="K3653" s="58">
        <v>236.70000000000002</v>
      </c>
      <c r="L3653" s="58">
        <v>9315.3036561600002</v>
      </c>
      <c r="M3653" s="58">
        <v>0</v>
      </c>
      <c r="N3653" s="58">
        <v>0</v>
      </c>
      <c r="O3653" s="58">
        <v>236.70000000000002</v>
      </c>
      <c r="P3653" s="53">
        <v>9315.3036561600002</v>
      </c>
      <c r="Q3653" s="65">
        <v>9081.6824227079996</v>
      </c>
      <c r="R3653" s="65">
        <v>0</v>
      </c>
      <c r="S3653" s="65">
        <v>0</v>
      </c>
      <c r="T3653" s="65">
        <v>233.62123345200052</v>
      </c>
      <c r="U3653" s="58">
        <v>0</v>
      </c>
      <c r="V3653" s="65">
        <v>500</v>
      </c>
      <c r="W3653" s="65">
        <v>0</v>
      </c>
      <c r="X3653" s="65">
        <v>8582</v>
      </c>
      <c r="Y3653" s="65">
        <v>0</v>
      </c>
      <c r="Z3653" s="51">
        <v>0</v>
      </c>
      <c r="AA3653" s="51">
        <v>0</v>
      </c>
      <c r="AB3653" s="102">
        <v>0</v>
      </c>
      <c r="AC3653" s="81">
        <f t="shared" si="175"/>
        <v>368.39037783893576</v>
      </c>
      <c r="AD3653" s="82">
        <f t="shared" si="176"/>
        <v>33.022857142857141</v>
      </c>
      <c r="AE3653" s="218">
        <v>-2.5724444280043293E-2</v>
      </c>
      <c r="AF3653">
        <v>1</v>
      </c>
      <c r="AH3653" t="str">
        <f t="shared" si="174"/>
        <v>Chautham</v>
      </c>
      <c r="AJ3653" s="72">
        <v>500</v>
      </c>
      <c r="AK3653" s="72"/>
      <c r="AL3653" s="72"/>
      <c r="AM3653" s="72"/>
    </row>
    <row r="3654" spans="1:39" x14ac:dyDescent="0.25">
      <c r="A3654" s="37" t="s">
        <v>62</v>
      </c>
      <c r="B3654" s="66" t="s">
        <v>1644</v>
      </c>
      <c r="C3654" s="4">
        <v>1056</v>
      </c>
      <c r="D3654" s="41" t="s">
        <v>838</v>
      </c>
      <c r="E3654" s="41">
        <v>10560011</v>
      </c>
      <c r="F3654" s="85" t="s">
        <v>1278</v>
      </c>
      <c r="G3654" s="39" t="s">
        <v>93</v>
      </c>
      <c r="H3654" s="52" t="s">
        <v>94</v>
      </c>
      <c r="I3654" s="52">
        <v>1806.84</v>
      </c>
      <c r="J3654" s="49">
        <v>69704.4641294139</v>
      </c>
      <c r="K3654" s="58">
        <v>1806.85</v>
      </c>
      <c r="L3654" s="58">
        <v>72489.644476773552</v>
      </c>
      <c r="M3654" s="58">
        <v>0</v>
      </c>
      <c r="N3654" s="58">
        <v>0</v>
      </c>
      <c r="O3654" s="58">
        <v>1806.85</v>
      </c>
      <c r="P3654" s="53">
        <v>72489.644476773552</v>
      </c>
      <c r="Q3654" s="65">
        <v>69704.4641294139</v>
      </c>
      <c r="R3654" s="65">
        <v>0</v>
      </c>
      <c r="S3654" s="65">
        <v>0</v>
      </c>
      <c r="T3654" s="65">
        <v>2785.1803473596519</v>
      </c>
      <c r="U3654" s="58">
        <v>867</v>
      </c>
      <c r="V3654" s="65">
        <v>0</v>
      </c>
      <c r="W3654" s="65">
        <v>0</v>
      </c>
      <c r="X3654" s="65">
        <v>68837</v>
      </c>
      <c r="Y3654" s="65">
        <v>0</v>
      </c>
      <c r="Z3654" s="51">
        <v>0</v>
      </c>
      <c r="AA3654" s="51">
        <v>0</v>
      </c>
      <c r="AB3654" s="102" t="s">
        <v>68</v>
      </c>
      <c r="AC3654" s="81">
        <f t="shared" si="175"/>
        <v>0</v>
      </c>
      <c r="AD3654" s="82">
        <f t="shared" si="176"/>
        <v>0</v>
      </c>
      <c r="AE3654" s="218">
        <v>-3.9956986717359484E-2</v>
      </c>
      <c r="AF3654">
        <v>12</v>
      </c>
      <c r="AH3654" t="str">
        <f t="shared" si="174"/>
        <v>Chautham</v>
      </c>
      <c r="AJ3654" s="72">
        <v>0</v>
      </c>
      <c r="AK3654" s="72"/>
      <c r="AL3654" s="72"/>
      <c r="AM3654" s="72"/>
    </row>
    <row r="3655" spans="1:39" x14ac:dyDescent="0.25">
      <c r="A3655" s="37" t="s">
        <v>62</v>
      </c>
      <c r="B3655" s="66" t="s">
        <v>1644</v>
      </c>
      <c r="C3655" s="4">
        <v>1056</v>
      </c>
      <c r="D3655" s="41" t="s">
        <v>838</v>
      </c>
      <c r="E3655" s="41">
        <v>10560012</v>
      </c>
      <c r="F3655" s="85" t="s">
        <v>1279</v>
      </c>
      <c r="G3655" s="39" t="s">
        <v>93</v>
      </c>
      <c r="H3655" s="52" t="s">
        <v>94</v>
      </c>
      <c r="I3655" s="52">
        <v>1132.28</v>
      </c>
      <c r="J3655" s="49">
        <v>44245.906747061992</v>
      </c>
      <c r="K3655" s="58">
        <v>1133.9099999999999</v>
      </c>
      <c r="L3655" s="58">
        <v>43798.611871755667</v>
      </c>
      <c r="M3655" s="58">
        <v>0</v>
      </c>
      <c r="N3655" s="58">
        <v>0</v>
      </c>
      <c r="O3655" s="58">
        <v>1133.9099999999999</v>
      </c>
      <c r="P3655" s="53">
        <v>43798.611871755667</v>
      </c>
      <c r="Q3655" s="65">
        <v>43798.611871755667</v>
      </c>
      <c r="R3655" s="65">
        <v>0</v>
      </c>
      <c r="S3655" s="65">
        <v>0</v>
      </c>
      <c r="T3655" s="65">
        <v>0</v>
      </c>
      <c r="U3655" s="58">
        <v>0</v>
      </c>
      <c r="V3655" s="65">
        <v>0</v>
      </c>
      <c r="W3655" s="65">
        <v>0</v>
      </c>
      <c r="X3655" s="65">
        <v>43798</v>
      </c>
      <c r="Y3655" s="65">
        <v>0</v>
      </c>
      <c r="Z3655" s="51">
        <v>0</v>
      </c>
      <c r="AA3655" s="51">
        <v>448</v>
      </c>
      <c r="AB3655" s="102">
        <v>0</v>
      </c>
      <c r="AC3655" s="81">
        <f t="shared" si="175"/>
        <v>0</v>
      </c>
      <c r="AD3655" s="82">
        <f t="shared" si="176"/>
        <v>0</v>
      </c>
      <c r="AE3655" s="218">
        <v>1.0109293902899297E-2</v>
      </c>
      <c r="AF3655">
        <v>3</v>
      </c>
      <c r="AH3655" t="str">
        <f t="shared" si="174"/>
        <v>Chautham</v>
      </c>
      <c r="AJ3655" s="72">
        <v>0</v>
      </c>
      <c r="AK3655" s="72"/>
      <c r="AL3655" s="72"/>
      <c r="AM3655" s="72"/>
    </row>
    <row r="3656" spans="1:39" x14ac:dyDescent="0.25">
      <c r="A3656" s="37" t="s">
        <v>62</v>
      </c>
      <c r="B3656" s="66" t="s">
        <v>1644</v>
      </c>
      <c r="C3656" s="4">
        <v>1056</v>
      </c>
      <c r="D3656" s="41" t="s">
        <v>838</v>
      </c>
      <c r="E3656" s="41">
        <v>10560015</v>
      </c>
      <c r="F3656" s="85" t="s">
        <v>1234</v>
      </c>
      <c r="G3656" s="39" t="s">
        <v>635</v>
      </c>
      <c r="H3656" s="52" t="s">
        <v>99</v>
      </c>
      <c r="I3656" s="52">
        <v>1081.1199999999999</v>
      </c>
      <c r="J3656" s="49">
        <v>38297.647167813011</v>
      </c>
      <c r="K3656" s="58">
        <v>0</v>
      </c>
      <c r="L3656" s="58">
        <v>0</v>
      </c>
      <c r="M3656" s="58">
        <v>0</v>
      </c>
      <c r="N3656" s="58">
        <v>0</v>
      </c>
      <c r="O3656" s="58">
        <v>0</v>
      </c>
      <c r="P3656" s="53">
        <v>0</v>
      </c>
      <c r="Q3656" s="65">
        <v>38297.647167813011</v>
      </c>
      <c r="R3656" s="65">
        <v>0</v>
      </c>
      <c r="S3656" s="65">
        <v>0</v>
      </c>
      <c r="T3656" s="65">
        <v>0</v>
      </c>
      <c r="U3656" s="58">
        <v>0</v>
      </c>
      <c r="V3656" s="65">
        <v>0</v>
      </c>
      <c r="W3656" s="65">
        <v>0</v>
      </c>
      <c r="X3656" s="65">
        <v>0</v>
      </c>
      <c r="Y3656" s="65">
        <v>0</v>
      </c>
      <c r="Z3656" s="51">
        <v>38297.647167813011</v>
      </c>
      <c r="AA3656" s="51">
        <v>0</v>
      </c>
      <c r="AB3656" s="102">
        <v>0</v>
      </c>
      <c r="AC3656" s="81">
        <f t="shared" si="175"/>
        <v>0</v>
      </c>
      <c r="AD3656" s="82">
        <f t="shared" si="176"/>
        <v>0</v>
      </c>
      <c r="AE3656" s="218">
        <v>0</v>
      </c>
      <c r="AF3656">
        <v>0</v>
      </c>
      <c r="AH3656" t="str">
        <f t="shared" si="174"/>
        <v>Chautham</v>
      </c>
      <c r="AJ3656" s="72">
        <v>0</v>
      </c>
      <c r="AK3656" s="72"/>
      <c r="AL3656" s="72"/>
      <c r="AM3656" s="72"/>
    </row>
    <row r="3657" spans="1:39" x14ac:dyDescent="0.25">
      <c r="A3657" s="37" t="s">
        <v>62</v>
      </c>
      <c r="B3657" s="66" t="s">
        <v>1644</v>
      </c>
      <c r="C3657" s="4">
        <v>1056</v>
      </c>
      <c r="D3657" s="41" t="s">
        <v>838</v>
      </c>
      <c r="E3657" s="41">
        <v>10560016</v>
      </c>
      <c r="F3657" s="85" t="s">
        <v>1439</v>
      </c>
      <c r="G3657" s="39" t="s">
        <v>93</v>
      </c>
      <c r="H3657" s="52" t="s">
        <v>94</v>
      </c>
      <c r="I3657" s="52">
        <v>1110.78</v>
      </c>
      <c r="J3657" s="49">
        <v>43065.436382606902</v>
      </c>
      <c r="K3657" s="58">
        <v>1862.7</v>
      </c>
      <c r="L3657" s="58">
        <v>81142.540493311128</v>
      </c>
      <c r="M3657" s="58">
        <v>0</v>
      </c>
      <c r="N3657" s="58">
        <v>0</v>
      </c>
      <c r="O3657" s="58">
        <v>1862.7</v>
      </c>
      <c r="P3657" s="53">
        <v>81142.540493311128</v>
      </c>
      <c r="Q3657" s="65">
        <v>43065.436382606902</v>
      </c>
      <c r="R3657" s="65">
        <v>0</v>
      </c>
      <c r="S3657" s="65">
        <v>0</v>
      </c>
      <c r="T3657" s="65">
        <v>38077.104110704226</v>
      </c>
      <c r="U3657" s="58">
        <v>0</v>
      </c>
      <c r="V3657" s="65">
        <v>0</v>
      </c>
      <c r="W3657" s="65">
        <v>0</v>
      </c>
      <c r="X3657" s="65">
        <v>43065</v>
      </c>
      <c r="Y3657" s="65">
        <v>0</v>
      </c>
      <c r="Z3657" s="51">
        <v>0</v>
      </c>
      <c r="AA3657" s="51">
        <v>0</v>
      </c>
      <c r="AB3657" s="102">
        <v>0</v>
      </c>
      <c r="AC3657" s="81">
        <f t="shared" si="175"/>
        <v>0</v>
      </c>
      <c r="AD3657" s="82">
        <f t="shared" si="176"/>
        <v>0</v>
      </c>
      <c r="AE3657" s="218">
        <v>-0.88416854231814201</v>
      </c>
      <c r="AF3657">
        <v>1</v>
      </c>
      <c r="AH3657" t="str">
        <f t="shared" si="174"/>
        <v>Chautham</v>
      </c>
      <c r="AJ3657" s="72">
        <v>0</v>
      </c>
      <c r="AK3657" s="72"/>
      <c r="AL3657" s="72"/>
      <c r="AM3657" s="72"/>
    </row>
    <row r="3658" spans="1:39" x14ac:dyDescent="0.25">
      <c r="A3658" s="37" t="s">
        <v>62</v>
      </c>
      <c r="B3658" s="66" t="s">
        <v>1644</v>
      </c>
      <c r="C3658" s="4">
        <v>1056</v>
      </c>
      <c r="D3658" s="41" t="s">
        <v>838</v>
      </c>
      <c r="E3658" s="41">
        <v>10560017</v>
      </c>
      <c r="F3658" s="85" t="s">
        <v>1238</v>
      </c>
      <c r="G3658" s="39" t="s">
        <v>93</v>
      </c>
      <c r="H3658" s="52" t="s">
        <v>94</v>
      </c>
      <c r="I3658" s="52">
        <v>891.53999999999985</v>
      </c>
      <c r="J3658" s="49">
        <v>34969.237731007503</v>
      </c>
      <c r="K3658" s="58">
        <v>941.1</v>
      </c>
      <c r="L3658" s="58">
        <v>37862.939666655584</v>
      </c>
      <c r="M3658" s="58">
        <v>0</v>
      </c>
      <c r="N3658" s="58">
        <v>0</v>
      </c>
      <c r="O3658" s="58">
        <v>941.1</v>
      </c>
      <c r="P3658" s="53">
        <v>37862.939666655584</v>
      </c>
      <c r="Q3658" s="65">
        <v>34969.237731007503</v>
      </c>
      <c r="R3658" s="65">
        <v>0</v>
      </c>
      <c r="S3658" s="65">
        <v>0</v>
      </c>
      <c r="T3658" s="65">
        <v>2893.7019356480814</v>
      </c>
      <c r="U3658" s="58">
        <v>0</v>
      </c>
      <c r="V3658" s="65">
        <v>0</v>
      </c>
      <c r="W3658" s="65">
        <v>0</v>
      </c>
      <c r="X3658" s="65">
        <v>34969</v>
      </c>
      <c r="Y3658" s="65">
        <v>0</v>
      </c>
      <c r="Z3658" s="51">
        <v>0</v>
      </c>
      <c r="AA3658" s="51">
        <v>0</v>
      </c>
      <c r="AB3658" s="102" t="s">
        <v>68</v>
      </c>
      <c r="AC3658" s="81">
        <f t="shared" si="175"/>
        <v>0</v>
      </c>
      <c r="AD3658" s="82">
        <f t="shared" si="176"/>
        <v>0</v>
      </c>
      <c r="AE3658" s="218">
        <v>-8.2749928891993341E-2</v>
      </c>
      <c r="AF3658">
        <v>19</v>
      </c>
      <c r="AH3658" t="str">
        <f t="shared" si="174"/>
        <v>Chautham</v>
      </c>
      <c r="AJ3658" s="72">
        <v>0</v>
      </c>
      <c r="AK3658" s="72"/>
      <c r="AL3658" s="72"/>
      <c r="AM3658" s="72"/>
    </row>
    <row r="3659" spans="1:39" x14ac:dyDescent="0.25">
      <c r="A3659" s="37" t="s">
        <v>62</v>
      </c>
      <c r="B3659" s="66" t="s">
        <v>1644</v>
      </c>
      <c r="C3659" s="4">
        <v>1056</v>
      </c>
      <c r="D3659" s="41" t="s">
        <v>838</v>
      </c>
      <c r="E3659" s="41">
        <v>10560019</v>
      </c>
      <c r="F3659" s="85" t="s">
        <v>1239</v>
      </c>
      <c r="G3659" s="39" t="s">
        <v>93</v>
      </c>
      <c r="H3659" s="52" t="s">
        <v>99</v>
      </c>
      <c r="I3659" s="52">
        <v>1852.2400000000002</v>
      </c>
      <c r="J3659" s="49">
        <v>67422.032863539789</v>
      </c>
      <c r="K3659" s="58">
        <v>0</v>
      </c>
      <c r="L3659" s="58">
        <v>0</v>
      </c>
      <c r="M3659" s="58">
        <v>0</v>
      </c>
      <c r="N3659" s="58">
        <v>0</v>
      </c>
      <c r="O3659" s="58">
        <v>0</v>
      </c>
      <c r="P3659" s="53">
        <v>0</v>
      </c>
      <c r="Q3659" s="65">
        <v>67422.032863539789</v>
      </c>
      <c r="R3659" s="65">
        <v>0</v>
      </c>
      <c r="S3659" s="65">
        <v>0</v>
      </c>
      <c r="T3659" s="65">
        <v>0</v>
      </c>
      <c r="U3659" s="58">
        <v>5200</v>
      </c>
      <c r="V3659" s="65">
        <v>0</v>
      </c>
      <c r="W3659" s="65">
        <v>0</v>
      </c>
      <c r="X3659" s="65">
        <v>0</v>
      </c>
      <c r="Y3659" s="65">
        <v>0</v>
      </c>
      <c r="Z3659" s="51">
        <v>62222.032863539789</v>
      </c>
      <c r="AA3659" s="51">
        <v>0</v>
      </c>
      <c r="AB3659" s="102">
        <v>0</v>
      </c>
      <c r="AC3659" s="81">
        <f t="shared" si="175"/>
        <v>0</v>
      </c>
      <c r="AD3659" s="82">
        <f t="shared" si="176"/>
        <v>0</v>
      </c>
      <c r="AE3659" s="218">
        <v>0</v>
      </c>
      <c r="AF3659">
        <v>0</v>
      </c>
      <c r="AH3659" t="str">
        <f t="shared" si="174"/>
        <v>Chautham</v>
      </c>
      <c r="AJ3659" s="72">
        <v>0</v>
      </c>
      <c r="AK3659" s="72"/>
      <c r="AL3659" s="72"/>
      <c r="AM3659" s="72"/>
    </row>
    <row r="3660" spans="1:39" x14ac:dyDescent="0.25">
      <c r="A3660" s="37" t="s">
        <v>62</v>
      </c>
      <c r="B3660" s="66" t="s">
        <v>1644</v>
      </c>
      <c r="C3660" s="4">
        <v>1056</v>
      </c>
      <c r="D3660" s="41" t="s">
        <v>838</v>
      </c>
      <c r="E3660" s="41">
        <v>10560022</v>
      </c>
      <c r="F3660" s="85" t="s">
        <v>1339</v>
      </c>
      <c r="G3660" s="39" t="s">
        <v>93</v>
      </c>
      <c r="H3660" s="52" t="s">
        <v>94</v>
      </c>
      <c r="I3660" s="52">
        <v>2085.8799999999997</v>
      </c>
      <c r="J3660" s="49">
        <v>90236.644352315998</v>
      </c>
      <c r="K3660" s="58">
        <v>2206.2100000000005</v>
      </c>
      <c r="L3660" s="58">
        <v>95187.564496620005</v>
      </c>
      <c r="M3660" s="58">
        <v>0</v>
      </c>
      <c r="N3660" s="58">
        <v>0</v>
      </c>
      <c r="O3660" s="58">
        <v>2206.2100000000005</v>
      </c>
      <c r="P3660" s="53">
        <v>95187.564496620005</v>
      </c>
      <c r="Q3660" s="65">
        <v>90236.644352315998</v>
      </c>
      <c r="R3660" s="65">
        <v>0</v>
      </c>
      <c r="S3660" s="65">
        <v>0</v>
      </c>
      <c r="T3660" s="65">
        <v>4950.9201443040074</v>
      </c>
      <c r="U3660" s="58">
        <v>0</v>
      </c>
      <c r="V3660" s="65">
        <v>0</v>
      </c>
      <c r="W3660" s="65">
        <v>0</v>
      </c>
      <c r="X3660" s="65">
        <v>90237</v>
      </c>
      <c r="Y3660" s="65">
        <v>0</v>
      </c>
      <c r="Z3660" s="51">
        <v>0</v>
      </c>
      <c r="AA3660" s="51">
        <v>0</v>
      </c>
      <c r="AB3660" s="102">
        <v>0</v>
      </c>
      <c r="AC3660" s="81">
        <f t="shared" si="175"/>
        <v>0</v>
      </c>
      <c r="AD3660" s="82">
        <f t="shared" si="176"/>
        <v>0</v>
      </c>
      <c r="AE3660" s="218">
        <v>-5.4865960274119371E-2</v>
      </c>
      <c r="AF3660">
        <v>1</v>
      </c>
      <c r="AH3660" t="str">
        <f t="shared" si="174"/>
        <v>Chautham</v>
      </c>
      <c r="AJ3660" s="72">
        <v>0</v>
      </c>
      <c r="AK3660" s="72"/>
      <c r="AL3660" s="72"/>
      <c r="AM3660" s="72"/>
    </row>
    <row r="3661" spans="1:39" x14ac:dyDescent="0.25">
      <c r="A3661" s="37" t="s">
        <v>62</v>
      </c>
      <c r="B3661" s="66" t="s">
        <v>1644</v>
      </c>
      <c r="C3661" s="4">
        <v>1056</v>
      </c>
      <c r="D3661" s="41" t="s">
        <v>838</v>
      </c>
      <c r="E3661" s="41">
        <v>10560025</v>
      </c>
      <c r="F3661" s="85" t="s">
        <v>1319</v>
      </c>
      <c r="G3661" s="39" t="s">
        <v>635</v>
      </c>
      <c r="H3661" s="52" t="s">
        <v>99</v>
      </c>
      <c r="I3661" s="52">
        <v>116.74</v>
      </c>
      <c r="J3661" s="49">
        <v>5190.8595861936001</v>
      </c>
      <c r="K3661" s="58">
        <v>0</v>
      </c>
      <c r="L3661" s="58">
        <v>0</v>
      </c>
      <c r="M3661" s="58">
        <v>0</v>
      </c>
      <c r="N3661" s="58">
        <v>0</v>
      </c>
      <c r="O3661" s="58">
        <v>0</v>
      </c>
      <c r="P3661" s="53">
        <v>0</v>
      </c>
      <c r="Q3661" s="65">
        <v>5190.8595861936001</v>
      </c>
      <c r="R3661" s="65">
        <v>0</v>
      </c>
      <c r="S3661" s="65">
        <v>0</v>
      </c>
      <c r="T3661" s="65">
        <v>0</v>
      </c>
      <c r="U3661" s="58">
        <v>0</v>
      </c>
      <c r="V3661" s="65">
        <v>0</v>
      </c>
      <c r="W3661" s="65">
        <v>0</v>
      </c>
      <c r="X3661" s="65">
        <v>0</v>
      </c>
      <c r="Y3661" s="65">
        <v>0</v>
      </c>
      <c r="Z3661" s="51">
        <v>5190.8595861936001</v>
      </c>
      <c r="AA3661" s="51">
        <v>0</v>
      </c>
      <c r="AB3661" s="102">
        <v>0</v>
      </c>
      <c r="AC3661" s="81">
        <f t="shared" si="175"/>
        <v>518.69466545199236</v>
      </c>
      <c r="AD3661" s="82">
        <f t="shared" si="176"/>
        <v>16.677142857142858</v>
      </c>
      <c r="AE3661" s="218">
        <v>0</v>
      </c>
      <c r="AF3661">
        <v>0</v>
      </c>
      <c r="AH3661" t="str">
        <f t="shared" si="174"/>
        <v>Chautham</v>
      </c>
      <c r="AJ3661" s="72">
        <v>0</v>
      </c>
      <c r="AK3661" s="72"/>
      <c r="AL3661" s="72"/>
      <c r="AM3661" s="72"/>
    </row>
    <row r="3662" spans="1:39" x14ac:dyDescent="0.25">
      <c r="A3662" s="37" t="s">
        <v>62</v>
      </c>
      <c r="B3662" s="66" t="s">
        <v>1644</v>
      </c>
      <c r="C3662" s="4">
        <v>1056</v>
      </c>
      <c r="D3662" s="41" t="s">
        <v>838</v>
      </c>
      <c r="E3662" s="41">
        <v>10560026</v>
      </c>
      <c r="F3662" s="85" t="s">
        <v>1340</v>
      </c>
      <c r="G3662" s="39" t="s">
        <v>93</v>
      </c>
      <c r="H3662" s="52" t="s">
        <v>94</v>
      </c>
      <c r="I3662" s="52">
        <v>1192.7999999999997</v>
      </c>
      <c r="J3662" s="49">
        <v>47456.592506898</v>
      </c>
      <c r="K3662" s="58">
        <v>1221.1200000000001</v>
      </c>
      <c r="L3662" s="58">
        <v>49295.155282501772</v>
      </c>
      <c r="M3662" s="58">
        <v>0</v>
      </c>
      <c r="N3662" s="58">
        <v>0</v>
      </c>
      <c r="O3662" s="58">
        <v>1221.1200000000001</v>
      </c>
      <c r="P3662" s="53">
        <v>49295.155282501772</v>
      </c>
      <c r="Q3662" s="65">
        <v>47456.592506898</v>
      </c>
      <c r="R3662" s="65">
        <v>0</v>
      </c>
      <c r="S3662" s="65">
        <v>0</v>
      </c>
      <c r="T3662" s="65">
        <v>1838.562775603772</v>
      </c>
      <c r="U3662" s="58">
        <v>0</v>
      </c>
      <c r="V3662" s="65">
        <v>0</v>
      </c>
      <c r="W3662" s="65">
        <v>0</v>
      </c>
      <c r="X3662" s="65">
        <v>47457</v>
      </c>
      <c r="Y3662" s="65">
        <v>0</v>
      </c>
      <c r="Z3662" s="51">
        <v>0</v>
      </c>
      <c r="AA3662" s="51">
        <v>0</v>
      </c>
      <c r="AB3662" s="102">
        <v>0</v>
      </c>
      <c r="AC3662" s="81">
        <f t="shared" si="175"/>
        <v>0</v>
      </c>
      <c r="AD3662" s="82">
        <f t="shared" si="176"/>
        <v>0</v>
      </c>
      <c r="AE3662" s="218">
        <v>-3.8741988804538163E-2</v>
      </c>
      <c r="AF3662">
        <v>21</v>
      </c>
      <c r="AH3662" t="str">
        <f t="shared" si="174"/>
        <v>Chautham</v>
      </c>
      <c r="AJ3662" s="72">
        <v>0</v>
      </c>
      <c r="AK3662" s="72"/>
      <c r="AL3662" s="72"/>
      <c r="AM3662" s="72"/>
    </row>
    <row r="3663" spans="1:39" x14ac:dyDescent="0.25">
      <c r="A3663" s="37" t="s">
        <v>62</v>
      </c>
      <c r="B3663" s="66" t="s">
        <v>1644</v>
      </c>
      <c r="C3663" s="4">
        <v>1056</v>
      </c>
      <c r="D3663" s="41" t="s">
        <v>838</v>
      </c>
      <c r="E3663" s="41">
        <v>10560028</v>
      </c>
      <c r="F3663" s="85" t="s">
        <v>1454</v>
      </c>
      <c r="G3663" s="39" t="s">
        <v>93</v>
      </c>
      <c r="H3663" s="52" t="s">
        <v>94</v>
      </c>
      <c r="I3663" s="52">
        <v>446.2</v>
      </c>
      <c r="J3663" s="49">
        <v>21599.651739397799</v>
      </c>
      <c r="K3663" s="58">
        <v>695.45999999999992</v>
      </c>
      <c r="L3663" s="58">
        <v>33225.486187022922</v>
      </c>
      <c r="M3663" s="58">
        <v>0</v>
      </c>
      <c r="N3663" s="58">
        <v>0</v>
      </c>
      <c r="O3663" s="58">
        <v>695.45999999999992</v>
      </c>
      <c r="P3663" s="53">
        <v>33225.486187022922</v>
      </c>
      <c r="Q3663" s="65">
        <v>21599.651739397799</v>
      </c>
      <c r="R3663" s="65">
        <v>0</v>
      </c>
      <c r="S3663" s="65">
        <v>0</v>
      </c>
      <c r="T3663" s="65">
        <v>11625.834447625122</v>
      </c>
      <c r="U3663" s="58">
        <v>0</v>
      </c>
      <c r="V3663" s="65">
        <v>0</v>
      </c>
      <c r="W3663" s="65">
        <v>0</v>
      </c>
      <c r="X3663" s="65">
        <v>21600</v>
      </c>
      <c r="Y3663" s="65">
        <v>0</v>
      </c>
      <c r="Z3663" s="51">
        <v>0</v>
      </c>
      <c r="AA3663" s="51">
        <v>0</v>
      </c>
      <c r="AB3663" s="102">
        <v>0</v>
      </c>
      <c r="AC3663" s="81">
        <f t="shared" si="175"/>
        <v>245.71903233792747</v>
      </c>
      <c r="AD3663" s="82">
        <f t="shared" si="176"/>
        <v>63.74285714285714</v>
      </c>
      <c r="AE3663" s="218">
        <v>-0.53824175444549327</v>
      </c>
      <c r="AF3663">
        <v>1</v>
      </c>
      <c r="AH3663" t="str">
        <f t="shared" si="174"/>
        <v>Chautham</v>
      </c>
      <c r="AJ3663" s="72">
        <v>0</v>
      </c>
      <c r="AK3663" s="72"/>
      <c r="AL3663" s="72"/>
      <c r="AM3663" s="72"/>
    </row>
    <row r="3664" spans="1:39" x14ac:dyDescent="0.25">
      <c r="A3664" s="37" t="s">
        <v>62</v>
      </c>
      <c r="B3664" s="66" t="s">
        <v>1644</v>
      </c>
      <c r="C3664" s="4">
        <v>1056</v>
      </c>
      <c r="D3664" s="41" t="s">
        <v>838</v>
      </c>
      <c r="E3664" s="41">
        <v>10560029</v>
      </c>
      <c r="F3664" s="85" t="s">
        <v>1440</v>
      </c>
      <c r="G3664" s="39" t="s">
        <v>93</v>
      </c>
      <c r="H3664" s="52" t="s">
        <v>94</v>
      </c>
      <c r="I3664" s="52">
        <v>97.14</v>
      </c>
      <c r="J3664" s="49">
        <v>4250.6642478960002</v>
      </c>
      <c r="K3664" s="58">
        <v>147.30999999999995</v>
      </c>
      <c r="L3664" s="58">
        <v>6846.7233867250334</v>
      </c>
      <c r="M3664" s="58">
        <v>0</v>
      </c>
      <c r="N3664" s="58">
        <v>0</v>
      </c>
      <c r="O3664" s="58">
        <v>147.30999999999995</v>
      </c>
      <c r="P3664" s="53">
        <v>6846.7233867250334</v>
      </c>
      <c r="Q3664" s="65">
        <v>4250.6642478960002</v>
      </c>
      <c r="R3664" s="65">
        <v>0</v>
      </c>
      <c r="S3664" s="65">
        <v>0</v>
      </c>
      <c r="T3664" s="65">
        <v>2596.0591388290331</v>
      </c>
      <c r="U3664" s="58">
        <v>0</v>
      </c>
      <c r="V3664" s="65">
        <v>0</v>
      </c>
      <c r="W3664" s="65">
        <v>0</v>
      </c>
      <c r="X3664" s="65">
        <v>4251</v>
      </c>
      <c r="Y3664" s="65">
        <v>0</v>
      </c>
      <c r="Z3664" s="51">
        <v>0</v>
      </c>
      <c r="AA3664" s="51">
        <v>0</v>
      </c>
      <c r="AB3664" s="102">
        <v>0</v>
      </c>
      <c r="AC3664" s="81">
        <f t="shared" si="175"/>
        <v>527.60046293732398</v>
      </c>
      <c r="AD3664" s="82">
        <f t="shared" si="176"/>
        <v>13.877142857142857</v>
      </c>
      <c r="AE3664" s="218">
        <v>-0.61074198935237811</v>
      </c>
      <c r="AF3664">
        <v>1</v>
      </c>
      <c r="AH3664" t="str">
        <f t="shared" si="174"/>
        <v>Chautham</v>
      </c>
      <c r="AJ3664" s="72">
        <v>0</v>
      </c>
      <c r="AK3664" s="72"/>
      <c r="AL3664" s="72"/>
      <c r="AM3664" s="72"/>
    </row>
    <row r="3665" spans="1:39" x14ac:dyDescent="0.25">
      <c r="A3665" s="37" t="s">
        <v>62</v>
      </c>
      <c r="B3665" s="66" t="s">
        <v>1644</v>
      </c>
      <c r="C3665" s="4">
        <v>1056</v>
      </c>
      <c r="D3665" s="41" t="s">
        <v>838</v>
      </c>
      <c r="E3665" s="41">
        <v>10560031</v>
      </c>
      <c r="F3665" s="85" t="s">
        <v>1455</v>
      </c>
      <c r="G3665" s="39" t="s">
        <v>93</v>
      </c>
      <c r="H3665" s="52" t="s">
        <v>94</v>
      </c>
      <c r="I3665" s="52">
        <v>655.74</v>
      </c>
      <c r="J3665" s="49">
        <v>24214.672423122</v>
      </c>
      <c r="K3665" s="58">
        <v>661.87</v>
      </c>
      <c r="L3665" s="58">
        <v>24375.366768158401</v>
      </c>
      <c r="M3665" s="58">
        <v>0</v>
      </c>
      <c r="N3665" s="58">
        <v>0</v>
      </c>
      <c r="O3665" s="58">
        <v>661.87</v>
      </c>
      <c r="P3665" s="53">
        <v>24375.366768158401</v>
      </c>
      <c r="Q3665" s="65">
        <v>24214.672423122</v>
      </c>
      <c r="R3665" s="65">
        <v>0</v>
      </c>
      <c r="S3665" s="65">
        <v>0</v>
      </c>
      <c r="T3665" s="65">
        <v>160.6943450364015</v>
      </c>
      <c r="U3665" s="58">
        <v>0</v>
      </c>
      <c r="V3665" s="65">
        <v>0</v>
      </c>
      <c r="W3665" s="65">
        <v>0</v>
      </c>
      <c r="X3665" s="65">
        <v>24215</v>
      </c>
      <c r="Y3665" s="65">
        <v>0</v>
      </c>
      <c r="Z3665" s="51">
        <v>0</v>
      </c>
      <c r="AA3665" s="51">
        <v>0</v>
      </c>
      <c r="AB3665" s="102">
        <v>0</v>
      </c>
      <c r="AC3665" s="81">
        <f t="shared" si="175"/>
        <v>32.687998336150919</v>
      </c>
      <c r="AD3665" s="82">
        <f t="shared" si="176"/>
        <v>93.677142857142854</v>
      </c>
      <c r="AE3665" s="218">
        <v>-6.6362386502060791E-3</v>
      </c>
      <c r="AF3665">
        <v>1</v>
      </c>
      <c r="AH3665" t="str">
        <f t="shared" si="174"/>
        <v>Chautham</v>
      </c>
      <c r="AJ3665" s="72">
        <v>0</v>
      </c>
      <c r="AK3665" s="72"/>
      <c r="AL3665" s="72"/>
      <c r="AM3665" s="72"/>
    </row>
    <row r="3666" spans="1:39" x14ac:dyDescent="0.25">
      <c r="A3666" s="37" t="s">
        <v>62</v>
      </c>
      <c r="B3666" s="66" t="s">
        <v>1644</v>
      </c>
      <c r="C3666" s="4">
        <v>1056</v>
      </c>
      <c r="D3666" s="41" t="s">
        <v>838</v>
      </c>
      <c r="E3666" s="41">
        <v>10560033</v>
      </c>
      <c r="F3666" s="85" t="s">
        <v>1504</v>
      </c>
      <c r="G3666" s="39" t="s">
        <v>635</v>
      </c>
      <c r="H3666" s="52" t="s">
        <v>99</v>
      </c>
      <c r="I3666" s="52">
        <v>247.5</v>
      </c>
      <c r="J3666" s="49">
        <v>10227.442637326083</v>
      </c>
      <c r="K3666" s="58">
        <v>257.89999999999998</v>
      </c>
      <c r="L3666" s="58">
        <v>10179.07635096</v>
      </c>
      <c r="M3666" s="58">
        <v>0</v>
      </c>
      <c r="N3666" s="58">
        <v>0</v>
      </c>
      <c r="O3666" s="58">
        <v>257.89999999999998</v>
      </c>
      <c r="P3666" s="53">
        <v>10179.07635096</v>
      </c>
      <c r="Q3666" s="65">
        <v>10227.442637326083</v>
      </c>
      <c r="R3666" s="65">
        <v>0</v>
      </c>
      <c r="S3666" s="65">
        <v>0</v>
      </c>
      <c r="T3666" s="65">
        <v>0</v>
      </c>
      <c r="U3666" s="58">
        <v>6500</v>
      </c>
      <c r="V3666" s="65">
        <v>0</v>
      </c>
      <c r="W3666" s="65">
        <v>0</v>
      </c>
      <c r="X3666" s="65">
        <v>0</v>
      </c>
      <c r="Y3666" s="65">
        <v>0</v>
      </c>
      <c r="Z3666" s="51">
        <v>3727.4426373260831</v>
      </c>
      <c r="AA3666" s="51">
        <v>0</v>
      </c>
      <c r="AB3666" s="102">
        <v>0</v>
      </c>
      <c r="AC3666" s="81">
        <f t="shared" si="175"/>
        <v>373.97315502141845</v>
      </c>
      <c r="AD3666" s="82">
        <f t="shared" si="176"/>
        <v>35.357142857142854</v>
      </c>
      <c r="AE3666" s="218">
        <v>0</v>
      </c>
      <c r="AF3666">
        <v>1</v>
      </c>
      <c r="AH3666" t="str">
        <f t="shared" si="174"/>
        <v>Chautham</v>
      </c>
      <c r="AJ3666" s="72">
        <v>0</v>
      </c>
      <c r="AK3666" s="72"/>
      <c r="AL3666" s="72"/>
      <c r="AM3666" s="72"/>
    </row>
    <row r="3667" spans="1:39" x14ac:dyDescent="0.25">
      <c r="A3667" s="37" t="s">
        <v>62</v>
      </c>
      <c r="B3667" s="66" t="s">
        <v>1644</v>
      </c>
      <c r="C3667" s="4">
        <v>1056</v>
      </c>
      <c r="D3667" s="41" t="s">
        <v>838</v>
      </c>
      <c r="E3667" s="41">
        <v>10560034</v>
      </c>
      <c r="F3667" s="85" t="s">
        <v>1394</v>
      </c>
      <c r="G3667" s="39" t="s">
        <v>635</v>
      </c>
      <c r="H3667" s="52" t="s">
        <v>99</v>
      </c>
      <c r="I3667" s="52">
        <v>261.3</v>
      </c>
      <c r="J3667" s="49">
        <v>8769.9366251820011</v>
      </c>
      <c r="K3667" s="58">
        <v>0</v>
      </c>
      <c r="L3667" s="58">
        <v>0</v>
      </c>
      <c r="M3667" s="58">
        <v>0</v>
      </c>
      <c r="N3667" s="58">
        <v>0</v>
      </c>
      <c r="O3667" s="58">
        <v>0</v>
      </c>
      <c r="P3667" s="53">
        <v>0</v>
      </c>
      <c r="Q3667" s="65">
        <v>8769.9366251820011</v>
      </c>
      <c r="R3667" s="65">
        <v>0</v>
      </c>
      <c r="S3667" s="65">
        <v>0</v>
      </c>
      <c r="T3667" s="65">
        <v>0</v>
      </c>
      <c r="U3667" s="58">
        <v>0</v>
      </c>
      <c r="V3667" s="65">
        <v>0</v>
      </c>
      <c r="W3667" s="65">
        <v>0</v>
      </c>
      <c r="X3667" s="65">
        <v>0</v>
      </c>
      <c r="Y3667" s="65">
        <v>0</v>
      </c>
      <c r="Z3667" s="51">
        <v>8769.9366251820011</v>
      </c>
      <c r="AA3667" s="51">
        <v>0</v>
      </c>
      <c r="AB3667" s="102">
        <v>0</v>
      </c>
      <c r="AC3667" s="81">
        <f t="shared" si="175"/>
        <v>294.47923440239907</v>
      </c>
      <c r="AD3667" s="82">
        <f t="shared" si="176"/>
        <v>37.328571428571429</v>
      </c>
      <c r="AE3667" s="218">
        <v>0</v>
      </c>
      <c r="AF3667">
        <v>0</v>
      </c>
      <c r="AH3667" t="str">
        <f t="shared" si="174"/>
        <v>Chautham</v>
      </c>
      <c r="AJ3667" s="72">
        <v>0</v>
      </c>
      <c r="AK3667" s="72"/>
      <c r="AL3667" s="72"/>
      <c r="AM3667" s="72"/>
    </row>
    <row r="3668" spans="1:39" x14ac:dyDescent="0.25">
      <c r="A3668" s="37" t="s">
        <v>62</v>
      </c>
      <c r="B3668" s="66" t="s">
        <v>1644</v>
      </c>
      <c r="C3668" s="4">
        <v>1056</v>
      </c>
      <c r="D3668" s="41" t="s">
        <v>838</v>
      </c>
      <c r="E3668" s="41">
        <v>10560035</v>
      </c>
      <c r="F3668" s="85" t="s">
        <v>1534</v>
      </c>
      <c r="G3668" s="39" t="s">
        <v>93</v>
      </c>
      <c r="H3668" s="52" t="s">
        <v>94</v>
      </c>
      <c r="I3668" s="52">
        <v>411.65999999999991</v>
      </c>
      <c r="J3668" s="49">
        <v>15111.011630748002</v>
      </c>
      <c r="K3668" s="58">
        <v>412.76000000000005</v>
      </c>
      <c r="L3668" s="58">
        <v>15049.727418581399</v>
      </c>
      <c r="M3668" s="58">
        <v>0</v>
      </c>
      <c r="N3668" s="58">
        <v>0</v>
      </c>
      <c r="O3668" s="58">
        <v>412.76000000000005</v>
      </c>
      <c r="P3668" s="53">
        <v>15049.727418581399</v>
      </c>
      <c r="Q3668" s="65">
        <v>15049.727418581399</v>
      </c>
      <c r="R3668" s="65">
        <v>0</v>
      </c>
      <c r="S3668" s="65">
        <v>0</v>
      </c>
      <c r="T3668" s="65">
        <v>0</v>
      </c>
      <c r="U3668" s="58">
        <v>0</v>
      </c>
      <c r="V3668" s="65">
        <v>0</v>
      </c>
      <c r="W3668" s="65">
        <v>0</v>
      </c>
      <c r="X3668" s="65">
        <v>15050</v>
      </c>
      <c r="Y3668" s="65">
        <v>0</v>
      </c>
      <c r="Z3668" s="51">
        <v>0</v>
      </c>
      <c r="AA3668" s="51">
        <v>61</v>
      </c>
      <c r="AB3668" s="102">
        <v>0</v>
      </c>
      <c r="AC3668" s="81">
        <f t="shared" si="175"/>
        <v>211.68484154933108</v>
      </c>
      <c r="AD3668" s="82">
        <f t="shared" si="176"/>
        <v>58.808571428571419</v>
      </c>
      <c r="AE3668" s="218">
        <v>4.0555995630300462E-3</v>
      </c>
      <c r="AF3668">
        <v>1</v>
      </c>
      <c r="AH3668" t="str">
        <f t="shared" si="174"/>
        <v>Chautham</v>
      </c>
      <c r="AJ3668" s="72">
        <v>0</v>
      </c>
      <c r="AK3668" s="72"/>
      <c r="AL3668" s="72"/>
      <c r="AM3668" s="72"/>
    </row>
    <row r="3669" spans="1:39" x14ac:dyDescent="0.25">
      <c r="A3669" s="37" t="s">
        <v>62</v>
      </c>
      <c r="B3669" s="66" t="s">
        <v>1644</v>
      </c>
      <c r="C3669" s="4">
        <v>1056</v>
      </c>
      <c r="D3669" s="41" t="s">
        <v>838</v>
      </c>
      <c r="E3669" s="41">
        <v>10560036</v>
      </c>
      <c r="F3669" s="85" t="s">
        <v>1505</v>
      </c>
      <c r="G3669" s="39" t="s">
        <v>93</v>
      </c>
      <c r="H3669" s="52" t="s">
        <v>94</v>
      </c>
      <c r="I3669" s="52">
        <v>441.35999999999996</v>
      </c>
      <c r="J3669" s="49">
        <v>19582.124559732001</v>
      </c>
      <c r="K3669" s="58">
        <v>448.36</v>
      </c>
      <c r="L3669" s="58">
        <v>21898.737940560179</v>
      </c>
      <c r="M3669" s="58">
        <v>0</v>
      </c>
      <c r="N3669" s="58">
        <v>0</v>
      </c>
      <c r="O3669" s="58">
        <v>448.36</v>
      </c>
      <c r="P3669" s="53">
        <v>21898.737940560179</v>
      </c>
      <c r="Q3669" s="65">
        <v>19582.124559732001</v>
      </c>
      <c r="R3669" s="65">
        <v>0</v>
      </c>
      <c r="S3669" s="65">
        <v>0</v>
      </c>
      <c r="T3669" s="65">
        <v>2316.6133808281775</v>
      </c>
      <c r="U3669" s="58">
        <v>0</v>
      </c>
      <c r="V3669" s="65">
        <v>0</v>
      </c>
      <c r="W3669" s="65">
        <v>0</v>
      </c>
      <c r="X3669" s="65">
        <v>0</v>
      </c>
      <c r="Y3669" s="65">
        <v>0</v>
      </c>
      <c r="Z3669" s="51">
        <v>0</v>
      </c>
      <c r="AA3669" s="51">
        <v>19582</v>
      </c>
      <c r="AB3669" s="102" t="s">
        <v>65</v>
      </c>
      <c r="AC3669" s="81">
        <f t="shared" si="175"/>
        <v>229.50519739573528</v>
      </c>
      <c r="AD3669" s="82">
        <f t="shared" si="176"/>
        <v>63.051428571428566</v>
      </c>
      <c r="AE3669" s="218">
        <v>-0.11830245353417783</v>
      </c>
      <c r="AF3669">
        <v>1</v>
      </c>
      <c r="AH3669" t="str">
        <f t="shared" si="174"/>
        <v>Chautham</v>
      </c>
      <c r="AJ3669" s="72">
        <v>0</v>
      </c>
      <c r="AK3669" s="72"/>
      <c r="AL3669" s="72"/>
      <c r="AM3669" s="72"/>
    </row>
    <row r="3670" spans="1:39" x14ac:dyDescent="0.25">
      <c r="A3670" s="37" t="s">
        <v>62</v>
      </c>
      <c r="B3670" s="66" t="s">
        <v>1644</v>
      </c>
      <c r="C3670" s="4">
        <v>1056</v>
      </c>
      <c r="D3670" s="41" t="s">
        <v>838</v>
      </c>
      <c r="E3670" s="41">
        <v>10560037</v>
      </c>
      <c r="F3670" s="85" t="s">
        <v>1506</v>
      </c>
      <c r="G3670" s="39" t="s">
        <v>93</v>
      </c>
      <c r="H3670" s="52" t="s">
        <v>94</v>
      </c>
      <c r="I3670" s="52">
        <v>340.34</v>
      </c>
      <c r="J3670" s="49">
        <v>14144.057223169502</v>
      </c>
      <c r="K3670" s="58">
        <v>407.86999999999966</v>
      </c>
      <c r="L3670" s="58">
        <v>17063.348780434451</v>
      </c>
      <c r="M3670" s="58">
        <v>0</v>
      </c>
      <c r="N3670" s="58">
        <v>0</v>
      </c>
      <c r="O3670" s="58">
        <v>407.86999999999966</v>
      </c>
      <c r="P3670" s="53">
        <v>17063.348780434451</v>
      </c>
      <c r="Q3670" s="65">
        <v>14144.057223169502</v>
      </c>
      <c r="R3670" s="65">
        <v>0</v>
      </c>
      <c r="S3670" s="65">
        <v>0</v>
      </c>
      <c r="T3670" s="65">
        <v>2919.291557264949</v>
      </c>
      <c r="U3670" s="58">
        <v>0</v>
      </c>
      <c r="V3670" s="65">
        <v>0</v>
      </c>
      <c r="W3670" s="65">
        <v>0</v>
      </c>
      <c r="X3670" s="65">
        <v>14144</v>
      </c>
      <c r="Y3670" s="65">
        <v>0</v>
      </c>
      <c r="Z3670" s="51">
        <v>0</v>
      </c>
      <c r="AA3670" s="51">
        <v>0</v>
      </c>
      <c r="AB3670" s="102">
        <v>0</v>
      </c>
      <c r="AC3670" s="81">
        <f t="shared" si="175"/>
        <v>298.93939124905359</v>
      </c>
      <c r="AD3670" s="82">
        <f t="shared" si="176"/>
        <v>48.62</v>
      </c>
      <c r="AE3670" s="218">
        <v>-0.20639704090583233</v>
      </c>
      <c r="AF3670">
        <v>1</v>
      </c>
      <c r="AH3670" t="str">
        <f t="shared" si="174"/>
        <v>Chautham</v>
      </c>
      <c r="AJ3670" s="72">
        <v>0</v>
      </c>
      <c r="AK3670" s="72"/>
      <c r="AL3670" s="72"/>
      <c r="AM3670" s="72"/>
    </row>
    <row r="3671" spans="1:39" x14ac:dyDescent="0.25">
      <c r="A3671" s="37" t="s">
        <v>62</v>
      </c>
      <c r="B3671" s="66" t="s">
        <v>1644</v>
      </c>
      <c r="C3671" s="4">
        <v>1057</v>
      </c>
      <c r="D3671" s="41" t="s">
        <v>1202</v>
      </c>
      <c r="E3671" s="41">
        <v>10570001</v>
      </c>
      <c r="F3671" s="85" t="s">
        <v>1203</v>
      </c>
      <c r="G3671" s="39" t="s">
        <v>93</v>
      </c>
      <c r="H3671" s="52" t="s">
        <v>94</v>
      </c>
      <c r="I3671" s="52">
        <v>63.399999999999991</v>
      </c>
      <c r="J3671" s="49">
        <v>2324.6894162940007</v>
      </c>
      <c r="K3671" s="58">
        <v>63.399999999999991</v>
      </c>
      <c r="L3671" s="58">
        <v>2300.0885377335003</v>
      </c>
      <c r="M3671" s="58">
        <v>0</v>
      </c>
      <c r="N3671" s="58">
        <v>0</v>
      </c>
      <c r="O3671" s="58">
        <v>63.399999999999991</v>
      </c>
      <c r="P3671" s="53">
        <v>2300.0885377335003</v>
      </c>
      <c r="Q3671" s="65">
        <v>2300.0885377335003</v>
      </c>
      <c r="R3671" s="65">
        <v>0</v>
      </c>
      <c r="S3671" s="65">
        <v>0</v>
      </c>
      <c r="T3671" s="65">
        <v>0</v>
      </c>
      <c r="U3671" s="58">
        <v>0</v>
      </c>
      <c r="V3671" s="65">
        <v>500</v>
      </c>
      <c r="W3671" s="65">
        <v>0</v>
      </c>
      <c r="X3671" s="65">
        <v>1800</v>
      </c>
      <c r="Y3671" s="65">
        <v>0</v>
      </c>
      <c r="Z3671" s="51">
        <v>0</v>
      </c>
      <c r="AA3671" s="51">
        <v>25</v>
      </c>
      <c r="AB3671" s="102">
        <v>0</v>
      </c>
      <c r="AC3671" s="81">
        <f t="shared" si="175"/>
        <v>466.8445685844672</v>
      </c>
      <c r="AD3671" s="82">
        <f t="shared" si="176"/>
        <v>9.0571428571428552</v>
      </c>
      <c r="AE3671" s="218">
        <v>1.0582436685120246E-2</v>
      </c>
      <c r="AF3671">
        <v>1</v>
      </c>
      <c r="AH3671" t="str">
        <f t="shared" si="174"/>
        <v>Warisnagar</v>
      </c>
      <c r="AJ3671" s="72">
        <v>500</v>
      </c>
      <c r="AK3671" s="72"/>
      <c r="AL3671" s="72"/>
      <c r="AM3671" s="72"/>
    </row>
    <row r="3672" spans="1:39" x14ac:dyDescent="0.25">
      <c r="A3672" s="37" t="s">
        <v>62</v>
      </c>
      <c r="B3672" s="66" t="s">
        <v>1644</v>
      </c>
      <c r="C3672" s="4">
        <v>1057</v>
      </c>
      <c r="D3672" s="41" t="s">
        <v>1202</v>
      </c>
      <c r="E3672" s="41">
        <v>10570003</v>
      </c>
      <c r="F3672" s="85" t="s">
        <v>1204</v>
      </c>
      <c r="G3672" s="39" t="s">
        <v>93</v>
      </c>
      <c r="H3672" s="52" t="s">
        <v>94</v>
      </c>
      <c r="I3672" s="52">
        <v>225.89999999999998</v>
      </c>
      <c r="J3672" s="49">
        <v>9225.045101484</v>
      </c>
      <c r="K3672" s="58">
        <v>195.1</v>
      </c>
      <c r="L3672" s="58">
        <v>7935.3586477360004</v>
      </c>
      <c r="M3672" s="58">
        <v>35</v>
      </c>
      <c r="N3672" s="58">
        <v>1436.2162312400001</v>
      </c>
      <c r="O3672" s="58">
        <v>230.1</v>
      </c>
      <c r="P3672" s="53">
        <v>9371.574878976</v>
      </c>
      <c r="Q3672" s="65">
        <v>9225.045101484</v>
      </c>
      <c r="R3672" s="65">
        <v>0</v>
      </c>
      <c r="S3672" s="65">
        <v>0</v>
      </c>
      <c r="T3672" s="65">
        <v>146.52977749199999</v>
      </c>
      <c r="U3672" s="58">
        <v>0</v>
      </c>
      <c r="V3672" s="65">
        <v>500</v>
      </c>
      <c r="W3672" s="65">
        <v>0</v>
      </c>
      <c r="X3672" s="65">
        <v>7289</v>
      </c>
      <c r="Y3672" s="65">
        <v>1436</v>
      </c>
      <c r="Z3672" s="51">
        <v>0</v>
      </c>
      <c r="AA3672" s="51">
        <v>0</v>
      </c>
      <c r="AB3672" s="102">
        <v>0</v>
      </c>
      <c r="AC3672" s="81">
        <f t="shared" si="175"/>
        <v>387.21504051470248</v>
      </c>
      <c r="AD3672" s="82">
        <f t="shared" si="176"/>
        <v>32.271428571428565</v>
      </c>
      <c r="AE3672" s="218">
        <v>-1.588390906277827E-2</v>
      </c>
      <c r="AF3672">
        <v>3</v>
      </c>
      <c r="AH3672" t="str">
        <f t="shared" si="174"/>
        <v>Warisnagar</v>
      </c>
      <c r="AJ3672" s="72">
        <v>500</v>
      </c>
      <c r="AK3672" s="72"/>
      <c r="AL3672" s="72"/>
      <c r="AM3672" s="72"/>
    </row>
    <row r="3673" spans="1:39" x14ac:dyDescent="0.25">
      <c r="A3673" s="37" t="s">
        <v>62</v>
      </c>
      <c r="B3673" s="66" t="s">
        <v>1644</v>
      </c>
      <c r="C3673" s="4">
        <v>1057</v>
      </c>
      <c r="D3673" s="41" t="s">
        <v>1202</v>
      </c>
      <c r="E3673" s="41">
        <v>10570007</v>
      </c>
      <c r="F3673" s="85" t="s">
        <v>1211</v>
      </c>
      <c r="G3673" s="39" t="s">
        <v>93</v>
      </c>
      <c r="H3673" s="52" t="s">
        <v>94</v>
      </c>
      <c r="I3673" s="52">
        <v>782.9</v>
      </c>
      <c r="J3673" s="49">
        <v>37107.041063383738</v>
      </c>
      <c r="K3673" s="58">
        <v>782.90000000000009</v>
      </c>
      <c r="L3673" s="58">
        <v>37107.041063383731</v>
      </c>
      <c r="M3673" s="58">
        <v>0</v>
      </c>
      <c r="N3673" s="58">
        <v>0</v>
      </c>
      <c r="O3673" s="58">
        <v>782.90000000000009</v>
      </c>
      <c r="P3673" s="53">
        <v>37107.041063383731</v>
      </c>
      <c r="Q3673" s="65">
        <v>37107.041063383731</v>
      </c>
      <c r="R3673" s="65">
        <v>0</v>
      </c>
      <c r="S3673" s="65">
        <v>0</v>
      </c>
      <c r="T3673" s="65">
        <v>0</v>
      </c>
      <c r="U3673" s="58">
        <v>0</v>
      </c>
      <c r="V3673" s="65">
        <v>0</v>
      </c>
      <c r="W3673" s="65">
        <v>0</v>
      </c>
      <c r="X3673" s="65">
        <v>37107</v>
      </c>
      <c r="Y3673" s="65">
        <v>0</v>
      </c>
      <c r="Z3673" s="51">
        <v>0</v>
      </c>
      <c r="AA3673" s="51">
        <v>0</v>
      </c>
      <c r="AB3673" s="102">
        <v>0</v>
      </c>
      <c r="AC3673" s="81">
        <f t="shared" si="175"/>
        <v>0</v>
      </c>
      <c r="AD3673" s="82">
        <f t="shared" si="176"/>
        <v>0</v>
      </c>
      <c r="AE3673" s="218">
        <v>1.9608024260827284E-16</v>
      </c>
      <c r="AF3673">
        <v>1</v>
      </c>
      <c r="AH3673" t="str">
        <f t="shared" si="174"/>
        <v>Warisnagar</v>
      </c>
      <c r="AJ3673" s="72">
        <v>0</v>
      </c>
      <c r="AK3673" s="72"/>
      <c r="AL3673" s="72"/>
      <c r="AM3673" s="72"/>
    </row>
    <row r="3674" spans="1:39" x14ac:dyDescent="0.25">
      <c r="A3674" s="37" t="s">
        <v>62</v>
      </c>
      <c r="B3674" s="66" t="s">
        <v>1644</v>
      </c>
      <c r="C3674" s="4">
        <v>1057</v>
      </c>
      <c r="D3674" s="41" t="s">
        <v>1202</v>
      </c>
      <c r="E3674" s="41">
        <v>10570008</v>
      </c>
      <c r="F3674" s="85" t="s">
        <v>1205</v>
      </c>
      <c r="G3674" s="39" t="s">
        <v>93</v>
      </c>
      <c r="H3674" s="52" t="s">
        <v>94</v>
      </c>
      <c r="I3674" s="52">
        <v>1235.2</v>
      </c>
      <c r="J3674" s="49">
        <v>47301.183492090007</v>
      </c>
      <c r="K3674" s="58">
        <v>80.499999999999986</v>
      </c>
      <c r="L3674" s="58">
        <v>3613.9490949221999</v>
      </c>
      <c r="M3674" s="58">
        <v>1154.7</v>
      </c>
      <c r="N3674" s="58">
        <v>42983.655884898901</v>
      </c>
      <c r="O3674" s="58">
        <v>1235.2</v>
      </c>
      <c r="P3674" s="53">
        <v>46597.604979821102</v>
      </c>
      <c r="Q3674" s="65">
        <v>46597.604979821102</v>
      </c>
      <c r="R3674" s="65">
        <v>0</v>
      </c>
      <c r="S3674" s="65">
        <v>733.88114252549997</v>
      </c>
      <c r="T3674" s="65">
        <v>0</v>
      </c>
      <c r="U3674" s="58">
        <v>0</v>
      </c>
      <c r="V3674" s="65">
        <v>0</v>
      </c>
      <c r="W3674" s="65">
        <v>0</v>
      </c>
      <c r="X3674" s="65">
        <v>3614</v>
      </c>
      <c r="Y3674" s="65">
        <v>42250</v>
      </c>
      <c r="Z3674" s="51">
        <v>0</v>
      </c>
      <c r="AA3674" s="51">
        <v>703</v>
      </c>
      <c r="AB3674" s="102">
        <v>0</v>
      </c>
      <c r="AC3674" s="81">
        <f t="shared" si="175"/>
        <v>0</v>
      </c>
      <c r="AD3674" s="82">
        <f t="shared" si="176"/>
        <v>0</v>
      </c>
      <c r="AE3674" s="218">
        <v>1.4874437811615467E-2</v>
      </c>
      <c r="AF3674">
        <v>16</v>
      </c>
      <c r="AH3674" t="str">
        <f t="shared" si="174"/>
        <v>Warisnagar</v>
      </c>
      <c r="AJ3674" s="72">
        <v>0</v>
      </c>
      <c r="AK3674" s="72"/>
      <c r="AL3674" s="72"/>
      <c r="AM3674" s="72"/>
    </row>
    <row r="3675" spans="1:39" x14ac:dyDescent="0.25">
      <c r="A3675" s="37" t="s">
        <v>62</v>
      </c>
      <c r="B3675" s="66" t="s">
        <v>1644</v>
      </c>
      <c r="C3675" s="4">
        <v>1057</v>
      </c>
      <c r="D3675" s="41" t="s">
        <v>1202</v>
      </c>
      <c r="E3675" s="41">
        <v>10570009</v>
      </c>
      <c r="F3675" s="85" t="s">
        <v>1206</v>
      </c>
      <c r="G3675" s="39" t="s">
        <v>93</v>
      </c>
      <c r="H3675" s="52" t="s">
        <v>94</v>
      </c>
      <c r="I3675" s="52">
        <v>1699.6000000000004</v>
      </c>
      <c r="J3675" s="49">
        <v>66592.173852780004</v>
      </c>
      <c r="K3675" s="58">
        <v>1542.4</v>
      </c>
      <c r="L3675" s="58">
        <v>60228.643543080019</v>
      </c>
      <c r="M3675" s="58">
        <v>157.19999999999999</v>
      </c>
      <c r="N3675" s="58">
        <v>6233.4888174780008</v>
      </c>
      <c r="O3675" s="58">
        <v>1699.6000000000001</v>
      </c>
      <c r="P3675" s="53">
        <v>66462.132360558026</v>
      </c>
      <c r="Q3675" s="65">
        <v>66462.132360558026</v>
      </c>
      <c r="R3675" s="65">
        <v>0</v>
      </c>
      <c r="S3675" s="65">
        <v>0</v>
      </c>
      <c r="T3675" s="65">
        <v>0</v>
      </c>
      <c r="U3675" s="58">
        <v>0</v>
      </c>
      <c r="V3675" s="65">
        <v>0</v>
      </c>
      <c r="W3675" s="65">
        <v>0</v>
      </c>
      <c r="X3675" s="65">
        <v>60229</v>
      </c>
      <c r="Y3675" s="65">
        <v>6234</v>
      </c>
      <c r="Z3675" s="51">
        <v>0</v>
      </c>
      <c r="AA3675" s="51">
        <v>129</v>
      </c>
      <c r="AB3675" s="102">
        <v>0</v>
      </c>
      <c r="AC3675" s="81">
        <f t="shared" si="175"/>
        <v>0</v>
      </c>
      <c r="AD3675" s="82">
        <f t="shared" si="176"/>
        <v>0</v>
      </c>
      <c r="AE3675" s="218">
        <v>1.9528044317860939E-3</v>
      </c>
      <c r="AF3675">
        <v>3</v>
      </c>
      <c r="AH3675" t="str">
        <f t="shared" si="174"/>
        <v>Warisnagar</v>
      </c>
      <c r="AJ3675" s="72">
        <v>0</v>
      </c>
      <c r="AK3675" s="72"/>
      <c r="AL3675" s="72"/>
      <c r="AM3675" s="72"/>
    </row>
    <row r="3676" spans="1:39" x14ac:dyDescent="0.25">
      <c r="A3676" s="37" t="s">
        <v>62</v>
      </c>
      <c r="B3676" s="66" t="s">
        <v>1644</v>
      </c>
      <c r="C3676" s="4">
        <v>1057</v>
      </c>
      <c r="D3676" s="41" t="s">
        <v>1202</v>
      </c>
      <c r="E3676" s="41">
        <v>10570010</v>
      </c>
      <c r="F3676" s="85" t="s">
        <v>1207</v>
      </c>
      <c r="G3676" s="39" t="s">
        <v>635</v>
      </c>
      <c r="H3676" s="52" t="s">
        <v>99</v>
      </c>
      <c r="I3676" s="52">
        <v>511.59999999999997</v>
      </c>
      <c r="J3676" s="49">
        <v>17841.646807200003</v>
      </c>
      <c r="K3676" s="58">
        <v>0</v>
      </c>
      <c r="L3676" s="58">
        <v>0</v>
      </c>
      <c r="M3676" s="58">
        <v>0</v>
      </c>
      <c r="N3676" s="58">
        <v>0</v>
      </c>
      <c r="O3676" s="58">
        <v>0</v>
      </c>
      <c r="P3676" s="53">
        <v>0</v>
      </c>
      <c r="Q3676" s="65">
        <v>17841.646807200003</v>
      </c>
      <c r="R3676" s="65">
        <v>0</v>
      </c>
      <c r="S3676" s="65">
        <v>0</v>
      </c>
      <c r="T3676" s="65">
        <v>0</v>
      </c>
      <c r="U3676" s="58">
        <v>0</v>
      </c>
      <c r="V3676" s="65">
        <v>0</v>
      </c>
      <c r="W3676" s="65">
        <v>0</v>
      </c>
      <c r="X3676" s="65">
        <v>0</v>
      </c>
      <c r="Y3676" s="65">
        <v>0</v>
      </c>
      <c r="Z3676" s="51">
        <v>17841.646807200003</v>
      </c>
      <c r="AA3676" s="51">
        <v>0</v>
      </c>
      <c r="AB3676" s="102">
        <v>0</v>
      </c>
      <c r="AC3676" s="81">
        <f t="shared" si="175"/>
        <v>131.4060304330134</v>
      </c>
      <c r="AD3676" s="82">
        <f t="shared" si="176"/>
        <v>73.085714285714275</v>
      </c>
      <c r="AE3676" s="218">
        <v>0</v>
      </c>
      <c r="AF3676">
        <v>0</v>
      </c>
      <c r="AH3676" t="str">
        <f t="shared" si="174"/>
        <v>Warisnagar</v>
      </c>
      <c r="AJ3676" s="72">
        <v>0</v>
      </c>
      <c r="AK3676" s="72"/>
      <c r="AL3676" s="72"/>
      <c r="AM3676" s="72"/>
    </row>
    <row r="3677" spans="1:39" x14ac:dyDescent="0.25">
      <c r="A3677" s="37" t="s">
        <v>62</v>
      </c>
      <c r="B3677" s="66" t="s">
        <v>1644</v>
      </c>
      <c r="C3677" s="4">
        <v>1057</v>
      </c>
      <c r="D3677" s="41" t="s">
        <v>1202</v>
      </c>
      <c r="E3677" s="41">
        <v>10570013</v>
      </c>
      <c r="F3677" s="85" t="s">
        <v>1219</v>
      </c>
      <c r="G3677" s="39" t="s">
        <v>635</v>
      </c>
      <c r="H3677" s="52" t="s">
        <v>99</v>
      </c>
      <c r="I3677" s="52">
        <v>670.1</v>
      </c>
      <c r="J3677" s="49">
        <v>25752.90480489</v>
      </c>
      <c r="K3677" s="58">
        <v>0</v>
      </c>
      <c r="L3677" s="58">
        <v>0</v>
      </c>
      <c r="M3677" s="58">
        <v>0</v>
      </c>
      <c r="N3677" s="58">
        <v>0</v>
      </c>
      <c r="O3677" s="58">
        <v>0</v>
      </c>
      <c r="P3677" s="53">
        <v>0</v>
      </c>
      <c r="Q3677" s="65">
        <v>25752.90480489</v>
      </c>
      <c r="R3677" s="65">
        <v>0</v>
      </c>
      <c r="S3677" s="65">
        <v>0</v>
      </c>
      <c r="T3677" s="65">
        <v>0</v>
      </c>
      <c r="U3677" s="58">
        <v>0</v>
      </c>
      <c r="V3677" s="65">
        <v>0</v>
      </c>
      <c r="W3677" s="65">
        <v>0</v>
      </c>
      <c r="X3677" s="65">
        <v>0</v>
      </c>
      <c r="Y3677" s="65">
        <v>0</v>
      </c>
      <c r="Z3677" s="51">
        <v>25752.90480489</v>
      </c>
      <c r="AA3677" s="51">
        <v>0</v>
      </c>
      <c r="AB3677" s="102">
        <v>0</v>
      </c>
      <c r="AC3677" s="81">
        <f t="shared" si="175"/>
        <v>22.98199831864531</v>
      </c>
      <c r="AD3677" s="82">
        <f t="shared" si="176"/>
        <v>95.728571428571428</v>
      </c>
      <c r="AE3677" s="218">
        <v>0</v>
      </c>
      <c r="AF3677">
        <v>0</v>
      </c>
      <c r="AH3677" t="str">
        <f t="shared" si="174"/>
        <v>Warisnagar</v>
      </c>
      <c r="AJ3677" s="72">
        <v>0</v>
      </c>
      <c r="AK3677" s="72"/>
      <c r="AL3677" s="72"/>
      <c r="AM3677" s="72"/>
    </row>
    <row r="3678" spans="1:39" x14ac:dyDescent="0.25">
      <c r="A3678" s="37" t="s">
        <v>62</v>
      </c>
      <c r="B3678" s="66" t="s">
        <v>1644</v>
      </c>
      <c r="C3678" s="4">
        <v>1057</v>
      </c>
      <c r="D3678" s="41" t="s">
        <v>1202</v>
      </c>
      <c r="E3678" s="41">
        <v>10570016</v>
      </c>
      <c r="F3678" s="85" t="s">
        <v>354</v>
      </c>
      <c r="G3678" s="39" t="s">
        <v>635</v>
      </c>
      <c r="H3678" s="52" t="s">
        <v>99</v>
      </c>
      <c r="I3678" s="52">
        <v>116.5</v>
      </c>
      <c r="J3678" s="49">
        <v>3879.4311144000003</v>
      </c>
      <c r="K3678" s="58">
        <v>0</v>
      </c>
      <c r="L3678" s="58">
        <v>0</v>
      </c>
      <c r="M3678" s="58">
        <v>0</v>
      </c>
      <c r="N3678" s="58">
        <v>0</v>
      </c>
      <c r="O3678" s="58">
        <v>0</v>
      </c>
      <c r="P3678" s="53">
        <v>0</v>
      </c>
      <c r="Q3678" s="65">
        <v>3879.4311144000003</v>
      </c>
      <c r="R3678" s="65">
        <v>0</v>
      </c>
      <c r="S3678" s="65">
        <v>0</v>
      </c>
      <c r="T3678" s="65">
        <v>0</v>
      </c>
      <c r="U3678" s="58">
        <v>0</v>
      </c>
      <c r="V3678" s="65">
        <v>0</v>
      </c>
      <c r="W3678" s="65">
        <v>0</v>
      </c>
      <c r="X3678" s="65">
        <v>0</v>
      </c>
      <c r="Y3678" s="65">
        <v>0</v>
      </c>
      <c r="Z3678" s="51">
        <v>3879.4311144000003</v>
      </c>
      <c r="AA3678" s="51">
        <v>0</v>
      </c>
      <c r="AB3678" s="102">
        <v>0</v>
      </c>
      <c r="AC3678" s="81">
        <f t="shared" si="175"/>
        <v>388.60910819783697</v>
      </c>
      <c r="AD3678" s="82">
        <f t="shared" si="176"/>
        <v>16.642857142857142</v>
      </c>
      <c r="AE3678" s="218">
        <v>0</v>
      </c>
      <c r="AF3678">
        <v>0</v>
      </c>
      <c r="AH3678" t="str">
        <f t="shared" si="174"/>
        <v>Warisnagar</v>
      </c>
      <c r="AJ3678" s="72">
        <v>0</v>
      </c>
      <c r="AK3678" s="72"/>
      <c r="AL3678" s="72"/>
      <c r="AM3678" s="72"/>
    </row>
    <row r="3679" spans="1:39" x14ac:dyDescent="0.25">
      <c r="A3679" s="37" t="s">
        <v>62</v>
      </c>
      <c r="B3679" s="66" t="s">
        <v>1644</v>
      </c>
      <c r="C3679" s="4">
        <v>1057</v>
      </c>
      <c r="D3679" s="41" t="s">
        <v>1202</v>
      </c>
      <c r="E3679" s="41">
        <v>10570017</v>
      </c>
      <c r="F3679" s="85" t="s">
        <v>1280</v>
      </c>
      <c r="G3679" s="39" t="s">
        <v>93</v>
      </c>
      <c r="H3679" s="52" t="s">
        <v>94</v>
      </c>
      <c r="I3679" s="52">
        <v>110.9</v>
      </c>
      <c r="J3679" s="49">
        <v>4812.0340058879992</v>
      </c>
      <c r="K3679" s="58">
        <v>15</v>
      </c>
      <c r="L3679" s="58">
        <v>719.50942353000005</v>
      </c>
      <c r="M3679" s="58">
        <v>92.6</v>
      </c>
      <c r="N3679" s="58">
        <v>4080.87417625834</v>
      </c>
      <c r="O3679" s="58">
        <v>107.6</v>
      </c>
      <c r="P3679" s="53">
        <v>4800.3835997883398</v>
      </c>
      <c r="Q3679" s="65">
        <v>4800.3835997883398</v>
      </c>
      <c r="R3679" s="65">
        <v>0</v>
      </c>
      <c r="S3679" s="65">
        <v>0</v>
      </c>
      <c r="T3679" s="65">
        <v>0</v>
      </c>
      <c r="U3679" s="58">
        <v>0</v>
      </c>
      <c r="V3679" s="65">
        <v>500</v>
      </c>
      <c r="W3679" s="65">
        <v>0</v>
      </c>
      <c r="X3679" s="65">
        <v>209</v>
      </c>
      <c r="Y3679" s="65">
        <v>4082</v>
      </c>
      <c r="Z3679" s="51">
        <v>0</v>
      </c>
      <c r="AA3679" s="51">
        <v>21</v>
      </c>
      <c r="AB3679" s="102">
        <v>0</v>
      </c>
      <c r="AC3679" s="81">
        <f t="shared" si="175"/>
        <v>511.22979853356543</v>
      </c>
      <c r="AD3679" s="82">
        <f t="shared" si="176"/>
        <v>15.842857142857143</v>
      </c>
      <c r="AE3679" s="218">
        <v>2.4210980399149351E-3</v>
      </c>
      <c r="AF3679">
        <v>11</v>
      </c>
      <c r="AH3679" t="str">
        <f t="shared" si="174"/>
        <v>Warisnagar</v>
      </c>
      <c r="AJ3679" s="72">
        <v>500</v>
      </c>
      <c r="AK3679" s="72"/>
      <c r="AL3679" s="72"/>
      <c r="AM3679" s="72"/>
    </row>
    <row r="3680" spans="1:39" x14ac:dyDescent="0.25">
      <c r="A3680" s="37" t="s">
        <v>62</v>
      </c>
      <c r="B3680" s="66" t="s">
        <v>1644</v>
      </c>
      <c r="C3680" s="4">
        <v>1057</v>
      </c>
      <c r="D3680" s="41" t="s">
        <v>1202</v>
      </c>
      <c r="E3680" s="41">
        <v>10570018</v>
      </c>
      <c r="F3680" s="85" t="s">
        <v>1240</v>
      </c>
      <c r="G3680" s="39" t="s">
        <v>93</v>
      </c>
      <c r="H3680" s="52" t="s">
        <v>94</v>
      </c>
      <c r="I3680" s="52">
        <v>328.40000000000003</v>
      </c>
      <c r="J3680" s="49">
        <v>12955.741404467601</v>
      </c>
      <c r="K3680" s="58">
        <v>123.60000000000001</v>
      </c>
      <c r="L3680" s="58">
        <v>4815.1537463160003</v>
      </c>
      <c r="M3680" s="58">
        <v>204.8</v>
      </c>
      <c r="N3680" s="58">
        <v>8211.3646469685591</v>
      </c>
      <c r="O3680" s="58">
        <v>328.40000000000003</v>
      </c>
      <c r="P3680" s="53">
        <v>13026.518393284559</v>
      </c>
      <c r="Q3680" s="65">
        <v>12955.741404467601</v>
      </c>
      <c r="R3680" s="65">
        <v>0</v>
      </c>
      <c r="S3680" s="65">
        <v>242.46060386160002</v>
      </c>
      <c r="T3680" s="65">
        <v>70.776988816958692</v>
      </c>
      <c r="U3680" s="58">
        <v>0</v>
      </c>
      <c r="V3680" s="65">
        <v>0</v>
      </c>
      <c r="W3680" s="65">
        <v>0</v>
      </c>
      <c r="X3680" s="65">
        <v>4743</v>
      </c>
      <c r="Y3680" s="65">
        <v>7970</v>
      </c>
      <c r="Z3680" s="51">
        <v>0</v>
      </c>
      <c r="AA3680" s="51">
        <v>0</v>
      </c>
      <c r="AB3680" s="102">
        <v>0</v>
      </c>
      <c r="AC3680" s="81">
        <f t="shared" si="175"/>
        <v>293.20057892205602</v>
      </c>
      <c r="AD3680" s="82">
        <f t="shared" si="176"/>
        <v>46.914285714285718</v>
      </c>
      <c r="AE3680" s="218">
        <v>-5.462982519283093E-3</v>
      </c>
      <c r="AF3680">
        <v>13</v>
      </c>
      <c r="AH3680" t="str">
        <f t="shared" si="174"/>
        <v>Warisnagar</v>
      </c>
      <c r="AJ3680" s="72">
        <v>0</v>
      </c>
      <c r="AK3680" s="72"/>
      <c r="AL3680" s="72"/>
      <c r="AM3680" s="72"/>
    </row>
    <row r="3681" spans="1:39" x14ac:dyDescent="0.25">
      <c r="A3681" s="37" t="s">
        <v>62</v>
      </c>
      <c r="B3681" s="66" t="s">
        <v>1644</v>
      </c>
      <c r="C3681" s="4">
        <v>1057</v>
      </c>
      <c r="D3681" s="41" t="s">
        <v>1202</v>
      </c>
      <c r="E3681" s="41">
        <v>10570019</v>
      </c>
      <c r="F3681" s="85" t="s">
        <v>1241</v>
      </c>
      <c r="G3681" s="39" t="s">
        <v>93</v>
      </c>
      <c r="H3681" s="52" t="s">
        <v>94</v>
      </c>
      <c r="I3681" s="52">
        <v>724.9000000000002</v>
      </c>
      <c r="J3681" s="49">
        <v>31351.811240430397</v>
      </c>
      <c r="K3681" s="58">
        <v>270.7</v>
      </c>
      <c r="L3681" s="58">
        <v>12273.037103154391</v>
      </c>
      <c r="M3681" s="58">
        <v>454</v>
      </c>
      <c r="N3681" s="58">
        <v>18892.514183450734</v>
      </c>
      <c r="O3681" s="58">
        <v>724.7</v>
      </c>
      <c r="P3681" s="53">
        <v>31165.551286605125</v>
      </c>
      <c r="Q3681" s="65">
        <v>31165.551286605125</v>
      </c>
      <c r="R3681" s="65">
        <v>0</v>
      </c>
      <c r="S3681" s="65">
        <v>125.93890643473</v>
      </c>
      <c r="T3681" s="65">
        <v>0</v>
      </c>
      <c r="U3681" s="58">
        <v>0</v>
      </c>
      <c r="V3681" s="65">
        <v>0</v>
      </c>
      <c r="W3681" s="65">
        <v>0</v>
      </c>
      <c r="X3681" s="65">
        <v>12272</v>
      </c>
      <c r="Y3681" s="65">
        <v>18766</v>
      </c>
      <c r="Z3681" s="51">
        <v>0</v>
      </c>
      <c r="AA3681" s="51">
        <v>188</v>
      </c>
      <c r="AB3681" s="102">
        <v>0</v>
      </c>
      <c r="AC3681" s="81">
        <f t="shared" si="175"/>
        <v>0</v>
      </c>
      <c r="AD3681" s="82">
        <f t="shared" si="176"/>
        <v>0</v>
      </c>
      <c r="AE3681" s="218">
        <v>5.9409631040734587E-3</v>
      </c>
      <c r="AF3681">
        <v>7</v>
      </c>
      <c r="AH3681" t="str">
        <f t="shared" si="174"/>
        <v>Warisnagar</v>
      </c>
      <c r="AJ3681" s="72">
        <v>0</v>
      </c>
      <c r="AK3681" s="72"/>
      <c r="AL3681" s="72"/>
      <c r="AM3681" s="72"/>
    </row>
    <row r="3682" spans="1:39" x14ac:dyDescent="0.25">
      <c r="A3682" s="37" t="s">
        <v>62</v>
      </c>
      <c r="B3682" s="66" t="s">
        <v>1644</v>
      </c>
      <c r="C3682" s="4">
        <v>1057</v>
      </c>
      <c r="D3682" s="41" t="s">
        <v>1202</v>
      </c>
      <c r="E3682" s="41">
        <v>10570020</v>
      </c>
      <c r="F3682" s="85" t="s">
        <v>1242</v>
      </c>
      <c r="G3682" s="39" t="s">
        <v>93</v>
      </c>
      <c r="H3682" s="52" t="s">
        <v>94</v>
      </c>
      <c r="I3682" s="52">
        <v>738.1</v>
      </c>
      <c r="J3682" s="49">
        <v>31511.535029936102</v>
      </c>
      <c r="K3682" s="58">
        <v>738.1</v>
      </c>
      <c r="L3682" s="58">
        <v>31511.535029936098</v>
      </c>
      <c r="M3682" s="58">
        <v>0</v>
      </c>
      <c r="N3682" s="58">
        <v>0</v>
      </c>
      <c r="O3682" s="58">
        <v>738.1</v>
      </c>
      <c r="P3682" s="53">
        <v>31511.535029936098</v>
      </c>
      <c r="Q3682" s="65">
        <v>31511.535029936098</v>
      </c>
      <c r="R3682" s="65">
        <v>0</v>
      </c>
      <c r="S3682" s="65">
        <v>0</v>
      </c>
      <c r="T3682" s="65">
        <v>0</v>
      </c>
      <c r="U3682" s="58">
        <v>0</v>
      </c>
      <c r="V3682" s="65">
        <v>0</v>
      </c>
      <c r="W3682" s="65">
        <v>0</v>
      </c>
      <c r="X3682" s="65">
        <v>31512</v>
      </c>
      <c r="Y3682" s="65">
        <v>0</v>
      </c>
      <c r="Z3682" s="51">
        <v>0</v>
      </c>
      <c r="AA3682" s="51">
        <v>0</v>
      </c>
      <c r="AB3682" s="102">
        <v>0</v>
      </c>
      <c r="AC3682" s="81">
        <f t="shared" si="175"/>
        <v>0</v>
      </c>
      <c r="AD3682" s="82">
        <f t="shared" si="176"/>
        <v>0</v>
      </c>
      <c r="AE3682" s="218">
        <v>1.1544911422549288E-16</v>
      </c>
      <c r="AF3682">
        <v>1</v>
      </c>
      <c r="AH3682" t="str">
        <f t="shared" si="174"/>
        <v>Warisnagar</v>
      </c>
      <c r="AJ3682" s="72">
        <v>0</v>
      </c>
      <c r="AK3682" s="72"/>
      <c r="AL3682" s="72"/>
      <c r="AM3682" s="72"/>
    </row>
    <row r="3683" spans="1:39" x14ac:dyDescent="0.25">
      <c r="A3683" s="37" t="s">
        <v>62</v>
      </c>
      <c r="B3683" s="66" t="s">
        <v>1644</v>
      </c>
      <c r="C3683" s="4">
        <v>1057</v>
      </c>
      <c r="D3683" s="41" t="s">
        <v>1202</v>
      </c>
      <c r="E3683" s="41">
        <v>10570021</v>
      </c>
      <c r="F3683" s="85" t="s">
        <v>1243</v>
      </c>
      <c r="G3683" s="39" t="s">
        <v>93</v>
      </c>
      <c r="H3683" s="52" t="s">
        <v>94</v>
      </c>
      <c r="I3683" s="52">
        <v>680.79999999999984</v>
      </c>
      <c r="J3683" s="49">
        <v>24860.218268520002</v>
      </c>
      <c r="K3683" s="58">
        <v>532.6</v>
      </c>
      <c r="L3683" s="58">
        <v>20227.847275625623</v>
      </c>
      <c r="M3683" s="58">
        <v>142.80000000000001</v>
      </c>
      <c r="N3683" s="58">
        <v>5232.9277196070016</v>
      </c>
      <c r="O3683" s="58">
        <v>675.40000000000009</v>
      </c>
      <c r="P3683" s="53">
        <v>25460.774995232627</v>
      </c>
      <c r="Q3683" s="65">
        <v>24860.218268520002</v>
      </c>
      <c r="R3683" s="65">
        <v>0</v>
      </c>
      <c r="S3683" s="65">
        <v>27.864438057000001</v>
      </c>
      <c r="T3683" s="65">
        <v>600.55672671262437</v>
      </c>
      <c r="U3683" s="58">
        <v>0</v>
      </c>
      <c r="V3683" s="65">
        <v>0</v>
      </c>
      <c r="W3683" s="65">
        <v>0</v>
      </c>
      <c r="X3683" s="65">
        <v>19627</v>
      </c>
      <c r="Y3683" s="65">
        <v>5205</v>
      </c>
      <c r="Z3683" s="51">
        <v>0</v>
      </c>
      <c r="AA3683" s="51">
        <v>0</v>
      </c>
      <c r="AB3683" s="102">
        <v>0</v>
      </c>
      <c r="AC3683" s="81">
        <f t="shared" si="175"/>
        <v>14.022214769553099</v>
      </c>
      <c r="AD3683" s="82">
        <f t="shared" si="176"/>
        <v>97.257142857142838</v>
      </c>
      <c r="AE3683" s="218">
        <v>-2.415733925687601E-2</v>
      </c>
      <c r="AF3683">
        <v>7</v>
      </c>
      <c r="AH3683" t="str">
        <f t="shared" si="174"/>
        <v>Warisnagar</v>
      </c>
      <c r="AJ3683" s="72">
        <v>0</v>
      </c>
      <c r="AK3683" s="72"/>
      <c r="AL3683" s="72"/>
      <c r="AM3683" s="72"/>
    </row>
    <row r="3684" spans="1:39" x14ac:dyDescent="0.25">
      <c r="A3684" s="37" t="s">
        <v>62</v>
      </c>
      <c r="B3684" s="66" t="s">
        <v>1644</v>
      </c>
      <c r="C3684" s="4">
        <v>1057</v>
      </c>
      <c r="D3684" s="41" t="s">
        <v>1202</v>
      </c>
      <c r="E3684" s="41">
        <v>10570022</v>
      </c>
      <c r="F3684" s="85" t="s">
        <v>1244</v>
      </c>
      <c r="G3684" s="39" t="s">
        <v>635</v>
      </c>
      <c r="H3684" s="52" t="s">
        <v>99</v>
      </c>
      <c r="I3684" s="52">
        <v>270.7</v>
      </c>
      <c r="J3684" s="49">
        <v>13576.374019073202</v>
      </c>
      <c r="K3684" s="58">
        <v>0</v>
      </c>
      <c r="L3684" s="58">
        <v>0</v>
      </c>
      <c r="M3684" s="58">
        <v>0</v>
      </c>
      <c r="N3684" s="58">
        <v>0</v>
      </c>
      <c r="O3684" s="58">
        <v>0</v>
      </c>
      <c r="P3684" s="53">
        <v>0</v>
      </c>
      <c r="Q3684" s="65">
        <v>13576.374019073202</v>
      </c>
      <c r="R3684" s="65">
        <v>0</v>
      </c>
      <c r="S3684" s="65">
        <v>0</v>
      </c>
      <c r="T3684" s="65">
        <v>0</v>
      </c>
      <c r="U3684" s="58">
        <v>0</v>
      </c>
      <c r="V3684" s="65">
        <v>0</v>
      </c>
      <c r="W3684" s="65">
        <v>0</v>
      </c>
      <c r="X3684" s="65">
        <v>0</v>
      </c>
      <c r="Y3684" s="65">
        <v>0</v>
      </c>
      <c r="Z3684" s="51">
        <v>13576.374019073202</v>
      </c>
      <c r="AA3684" s="51">
        <v>0</v>
      </c>
      <c r="AB3684" s="102">
        <v>0</v>
      </c>
      <c r="AC3684" s="81">
        <f t="shared" si="175"/>
        <v>430.6122915691264</v>
      </c>
      <c r="AD3684" s="82">
        <f t="shared" si="176"/>
        <v>38.671428571428571</v>
      </c>
      <c r="AE3684" s="218">
        <v>0</v>
      </c>
      <c r="AF3684">
        <v>0</v>
      </c>
      <c r="AH3684" t="str">
        <f t="shared" si="174"/>
        <v>Warisnagar</v>
      </c>
      <c r="AJ3684" s="72">
        <v>0</v>
      </c>
      <c r="AK3684" s="72"/>
      <c r="AL3684" s="72"/>
      <c r="AM3684" s="72"/>
    </row>
    <row r="3685" spans="1:39" x14ac:dyDescent="0.25">
      <c r="A3685" s="37" t="s">
        <v>62</v>
      </c>
      <c r="B3685" s="66" t="s">
        <v>1644</v>
      </c>
      <c r="C3685" s="4">
        <v>1057</v>
      </c>
      <c r="D3685" s="41" t="s">
        <v>1202</v>
      </c>
      <c r="E3685" s="41">
        <v>10570024</v>
      </c>
      <c r="F3685" s="85" t="s">
        <v>1245</v>
      </c>
      <c r="G3685" s="39" t="s">
        <v>635</v>
      </c>
      <c r="H3685" s="52" t="s">
        <v>99</v>
      </c>
      <c r="I3685" s="52">
        <v>850.00000000000011</v>
      </c>
      <c r="J3685" s="49">
        <v>32175.81816006</v>
      </c>
      <c r="K3685" s="58">
        <v>0</v>
      </c>
      <c r="L3685" s="58">
        <v>0</v>
      </c>
      <c r="M3685" s="58">
        <v>0</v>
      </c>
      <c r="N3685" s="58">
        <v>0</v>
      </c>
      <c r="O3685" s="58">
        <v>0</v>
      </c>
      <c r="P3685" s="53">
        <v>0</v>
      </c>
      <c r="Q3685" s="65">
        <v>32175.81816006</v>
      </c>
      <c r="R3685" s="65">
        <v>0</v>
      </c>
      <c r="S3685" s="65">
        <v>0</v>
      </c>
      <c r="T3685" s="65">
        <v>0</v>
      </c>
      <c r="U3685" s="58">
        <v>0</v>
      </c>
      <c r="V3685" s="65">
        <v>0</v>
      </c>
      <c r="W3685" s="65">
        <v>0</v>
      </c>
      <c r="X3685" s="65">
        <v>0</v>
      </c>
      <c r="Y3685" s="65">
        <v>0</v>
      </c>
      <c r="Z3685" s="51">
        <v>32175.81816006</v>
      </c>
      <c r="AA3685" s="51">
        <v>0</v>
      </c>
      <c r="AB3685" s="102">
        <v>0</v>
      </c>
      <c r="AC3685" s="81">
        <f t="shared" si="175"/>
        <v>0</v>
      </c>
      <c r="AD3685" s="82">
        <f t="shared" si="176"/>
        <v>0</v>
      </c>
      <c r="AE3685" s="218">
        <v>0</v>
      </c>
      <c r="AF3685">
        <v>0</v>
      </c>
      <c r="AH3685" t="str">
        <f t="shared" si="174"/>
        <v>Warisnagar</v>
      </c>
      <c r="AJ3685" s="72">
        <v>0</v>
      </c>
      <c r="AK3685" s="72"/>
      <c r="AL3685" s="72"/>
      <c r="AM3685" s="72"/>
    </row>
    <row r="3686" spans="1:39" x14ac:dyDescent="0.25">
      <c r="A3686" s="37" t="s">
        <v>62</v>
      </c>
      <c r="B3686" s="66" t="s">
        <v>1644</v>
      </c>
      <c r="C3686" s="4">
        <v>1057</v>
      </c>
      <c r="D3686" s="41" t="s">
        <v>1202</v>
      </c>
      <c r="E3686" s="41">
        <v>10570025</v>
      </c>
      <c r="F3686" s="85" t="s">
        <v>1254</v>
      </c>
      <c r="G3686" s="39" t="s">
        <v>635</v>
      </c>
      <c r="H3686" s="52" t="s">
        <v>99</v>
      </c>
      <c r="I3686" s="52">
        <v>773</v>
      </c>
      <c r="J3686" s="49">
        <v>29677.83187641</v>
      </c>
      <c r="K3686" s="58">
        <v>0</v>
      </c>
      <c r="L3686" s="58">
        <v>0</v>
      </c>
      <c r="M3686" s="58">
        <v>0</v>
      </c>
      <c r="N3686" s="58">
        <v>0</v>
      </c>
      <c r="O3686" s="58">
        <v>0</v>
      </c>
      <c r="P3686" s="53">
        <v>0</v>
      </c>
      <c r="Q3686" s="65">
        <v>29677.83187641</v>
      </c>
      <c r="R3686" s="65">
        <v>0</v>
      </c>
      <c r="S3686" s="65">
        <v>0</v>
      </c>
      <c r="T3686" s="65">
        <v>0</v>
      </c>
      <c r="U3686" s="58">
        <v>0</v>
      </c>
      <c r="V3686" s="65">
        <v>0</v>
      </c>
      <c r="W3686" s="65">
        <v>0</v>
      </c>
      <c r="X3686" s="65">
        <v>0</v>
      </c>
      <c r="Y3686" s="65">
        <v>0</v>
      </c>
      <c r="Z3686" s="51">
        <v>29677.83187641</v>
      </c>
      <c r="AA3686" s="51">
        <v>0</v>
      </c>
      <c r="AB3686" s="102">
        <v>0</v>
      </c>
      <c r="AC3686" s="81">
        <f t="shared" si="175"/>
        <v>0</v>
      </c>
      <c r="AD3686" s="82">
        <f t="shared" si="176"/>
        <v>0</v>
      </c>
      <c r="AE3686" s="218">
        <v>0</v>
      </c>
      <c r="AF3686">
        <v>0</v>
      </c>
      <c r="AH3686" t="str">
        <f t="shared" si="174"/>
        <v>Warisnagar</v>
      </c>
      <c r="AJ3686" s="72">
        <v>0</v>
      </c>
      <c r="AK3686" s="72"/>
      <c r="AL3686" s="72"/>
      <c r="AM3686" s="72"/>
    </row>
    <row r="3687" spans="1:39" x14ac:dyDescent="0.25">
      <c r="A3687" s="37" t="s">
        <v>62</v>
      </c>
      <c r="B3687" s="66" t="s">
        <v>1644</v>
      </c>
      <c r="C3687" s="4">
        <v>1057</v>
      </c>
      <c r="D3687" s="41" t="s">
        <v>1202</v>
      </c>
      <c r="E3687" s="41">
        <v>10570026</v>
      </c>
      <c r="F3687" s="85" t="s">
        <v>1255</v>
      </c>
      <c r="G3687" s="39" t="s">
        <v>635</v>
      </c>
      <c r="H3687" s="52" t="s">
        <v>99</v>
      </c>
      <c r="I3687" s="52">
        <v>311.69999999999993</v>
      </c>
      <c r="J3687" s="49">
        <v>10858.01573841</v>
      </c>
      <c r="K3687" s="58">
        <v>0</v>
      </c>
      <c r="L3687" s="58">
        <v>0</v>
      </c>
      <c r="M3687" s="58">
        <v>0</v>
      </c>
      <c r="N3687" s="58">
        <v>0</v>
      </c>
      <c r="O3687" s="58">
        <v>0</v>
      </c>
      <c r="P3687" s="53">
        <v>0</v>
      </c>
      <c r="Q3687" s="65">
        <v>10858.01573841</v>
      </c>
      <c r="R3687" s="65">
        <v>0</v>
      </c>
      <c r="S3687" s="65">
        <v>0</v>
      </c>
      <c r="T3687" s="65">
        <v>0</v>
      </c>
      <c r="U3687" s="58">
        <v>0</v>
      </c>
      <c r="V3687" s="65">
        <v>0</v>
      </c>
      <c r="W3687" s="65">
        <v>0</v>
      </c>
      <c r="X3687" s="65">
        <v>0</v>
      </c>
      <c r="Y3687" s="65">
        <v>0</v>
      </c>
      <c r="Z3687" s="51">
        <v>10858.01573841</v>
      </c>
      <c r="AA3687" s="51">
        <v>0</v>
      </c>
      <c r="AB3687" s="102">
        <v>0</v>
      </c>
      <c r="AC3687" s="81">
        <f t="shared" si="175"/>
        <v>270.52727053093389</v>
      </c>
      <c r="AD3687" s="82">
        <f t="shared" si="176"/>
        <v>44.528571428571418</v>
      </c>
      <c r="AE3687" s="218">
        <v>0</v>
      </c>
      <c r="AF3687">
        <v>0</v>
      </c>
      <c r="AH3687" t="str">
        <f t="shared" si="174"/>
        <v>Warisnagar</v>
      </c>
      <c r="AJ3687" s="72">
        <v>0</v>
      </c>
      <c r="AK3687" s="72"/>
      <c r="AL3687" s="72"/>
      <c r="AM3687" s="72"/>
    </row>
    <row r="3688" spans="1:39" x14ac:dyDescent="0.25">
      <c r="A3688" s="37" t="s">
        <v>62</v>
      </c>
      <c r="B3688" s="66" t="s">
        <v>1644</v>
      </c>
      <c r="C3688" s="4">
        <v>1057</v>
      </c>
      <c r="D3688" s="41" t="s">
        <v>1202</v>
      </c>
      <c r="E3688" s="41">
        <v>10570028</v>
      </c>
      <c r="F3688" s="85" t="s">
        <v>1297</v>
      </c>
      <c r="G3688" s="39" t="s">
        <v>93</v>
      </c>
      <c r="H3688" s="52" t="s">
        <v>94</v>
      </c>
      <c r="I3688" s="52">
        <v>254.8</v>
      </c>
      <c r="J3688" s="49">
        <v>9608.6569788300021</v>
      </c>
      <c r="K3688" s="58">
        <v>246.29999999999998</v>
      </c>
      <c r="L3688" s="58">
        <v>9217.091205807601</v>
      </c>
      <c r="M3688" s="58">
        <v>0</v>
      </c>
      <c r="N3688" s="58">
        <v>0</v>
      </c>
      <c r="O3688" s="58">
        <v>246.29999999999998</v>
      </c>
      <c r="P3688" s="53">
        <v>9217.091205807601</v>
      </c>
      <c r="Q3688" s="65">
        <v>9217.091205807601</v>
      </c>
      <c r="R3688" s="65">
        <v>0</v>
      </c>
      <c r="S3688" s="65">
        <v>0</v>
      </c>
      <c r="T3688" s="65">
        <v>0</v>
      </c>
      <c r="U3688" s="58">
        <v>0</v>
      </c>
      <c r="V3688" s="65">
        <v>0</v>
      </c>
      <c r="W3688" s="65">
        <v>0</v>
      </c>
      <c r="X3688" s="65">
        <v>9217</v>
      </c>
      <c r="Y3688" s="65">
        <v>0</v>
      </c>
      <c r="Z3688" s="51">
        <v>0</v>
      </c>
      <c r="AA3688" s="51">
        <v>392</v>
      </c>
      <c r="AB3688" s="102">
        <v>0</v>
      </c>
      <c r="AC3688" s="81">
        <f t="shared" si="175"/>
        <v>335.77504607340006</v>
      </c>
      <c r="AD3688" s="82">
        <f t="shared" si="176"/>
        <v>36.4</v>
      </c>
      <c r="AE3688" s="218">
        <v>4.0751353064752666E-2</v>
      </c>
      <c r="AF3688">
        <v>1</v>
      </c>
      <c r="AH3688" t="str">
        <f t="shared" si="174"/>
        <v>Warisnagar</v>
      </c>
      <c r="AJ3688" s="72">
        <v>0</v>
      </c>
      <c r="AK3688" s="72"/>
      <c r="AL3688" s="72"/>
      <c r="AM3688" s="72"/>
    </row>
    <row r="3689" spans="1:39" x14ac:dyDescent="0.25">
      <c r="A3689" s="37" t="s">
        <v>62</v>
      </c>
      <c r="B3689" s="66" t="s">
        <v>1644</v>
      </c>
      <c r="C3689" s="4">
        <v>1057</v>
      </c>
      <c r="D3689" s="41" t="s">
        <v>1202</v>
      </c>
      <c r="E3689" s="41">
        <v>10570029</v>
      </c>
      <c r="F3689" s="85" t="s">
        <v>1298</v>
      </c>
      <c r="G3689" s="39" t="s">
        <v>93</v>
      </c>
      <c r="H3689" s="52" t="s">
        <v>94</v>
      </c>
      <c r="I3689" s="52">
        <v>170.4</v>
      </c>
      <c r="J3689" s="49">
        <v>7119.3494387416204</v>
      </c>
      <c r="K3689" s="58">
        <v>170.39999999999998</v>
      </c>
      <c r="L3689" s="58">
        <v>7120.1828023555208</v>
      </c>
      <c r="M3689" s="58">
        <v>0</v>
      </c>
      <c r="N3689" s="58">
        <v>0</v>
      </c>
      <c r="O3689" s="58">
        <v>170.39999999999998</v>
      </c>
      <c r="P3689" s="53">
        <v>7120.1828023555208</v>
      </c>
      <c r="Q3689" s="65">
        <v>7119.3494387416204</v>
      </c>
      <c r="R3689" s="65">
        <v>0</v>
      </c>
      <c r="S3689" s="65">
        <v>0</v>
      </c>
      <c r="T3689" s="65">
        <v>0.83336361390047387</v>
      </c>
      <c r="U3689" s="58">
        <v>0</v>
      </c>
      <c r="V3689" s="65">
        <v>0</v>
      </c>
      <c r="W3689" s="65">
        <v>0</v>
      </c>
      <c r="X3689" s="65">
        <v>7119</v>
      </c>
      <c r="Y3689" s="65">
        <v>0</v>
      </c>
      <c r="Z3689" s="51">
        <v>0</v>
      </c>
      <c r="AA3689" s="51">
        <v>0</v>
      </c>
      <c r="AB3689" s="102">
        <v>0</v>
      </c>
      <c r="AC3689" s="81">
        <f t="shared" si="175"/>
        <v>442.53608717811767</v>
      </c>
      <c r="AD3689" s="82">
        <f t="shared" si="176"/>
        <v>24.342857142857145</v>
      </c>
      <c r="AE3689" s="218">
        <v>-1.1705614692341537E-4</v>
      </c>
      <c r="AF3689">
        <v>1</v>
      </c>
      <c r="AH3689" t="str">
        <f t="shared" si="174"/>
        <v>Warisnagar</v>
      </c>
      <c r="AJ3689" s="72">
        <v>0</v>
      </c>
      <c r="AK3689" s="72"/>
      <c r="AL3689" s="72"/>
      <c r="AM3689" s="72"/>
    </row>
    <row r="3690" spans="1:39" x14ac:dyDescent="0.25">
      <c r="A3690" s="37" t="s">
        <v>62</v>
      </c>
      <c r="B3690" s="66" t="s">
        <v>1644</v>
      </c>
      <c r="C3690" s="4">
        <v>1057</v>
      </c>
      <c r="D3690" s="41" t="s">
        <v>1202</v>
      </c>
      <c r="E3690" s="41">
        <v>10570030</v>
      </c>
      <c r="F3690" s="85" t="s">
        <v>1299</v>
      </c>
      <c r="G3690" s="39" t="s">
        <v>93</v>
      </c>
      <c r="H3690" s="52" t="s">
        <v>94</v>
      </c>
      <c r="I3690" s="52">
        <v>259.60000000000002</v>
      </c>
      <c r="J3690" s="49">
        <v>9193.3948128000011</v>
      </c>
      <c r="K3690" s="58">
        <v>259.59999999999997</v>
      </c>
      <c r="L3690" s="58">
        <v>9193.3948127999993</v>
      </c>
      <c r="M3690" s="58">
        <v>0</v>
      </c>
      <c r="N3690" s="58">
        <v>0</v>
      </c>
      <c r="O3690" s="58">
        <v>259.59999999999997</v>
      </c>
      <c r="P3690" s="53">
        <v>9193.3948127999993</v>
      </c>
      <c r="Q3690" s="65">
        <v>9193.3948127999993</v>
      </c>
      <c r="R3690" s="65">
        <v>0</v>
      </c>
      <c r="S3690" s="65">
        <v>0</v>
      </c>
      <c r="T3690" s="65">
        <v>0</v>
      </c>
      <c r="U3690" s="58">
        <v>0</v>
      </c>
      <c r="V3690" s="65">
        <v>0</v>
      </c>
      <c r="W3690" s="65">
        <v>0</v>
      </c>
      <c r="X3690" s="65">
        <v>9193</v>
      </c>
      <c r="Y3690" s="65">
        <v>0</v>
      </c>
      <c r="Z3690" s="51">
        <v>0</v>
      </c>
      <c r="AA3690" s="51">
        <v>0</v>
      </c>
      <c r="AB3690" s="102">
        <v>0</v>
      </c>
      <c r="AC3690" s="81">
        <f t="shared" si="175"/>
        <v>311.9238116762034</v>
      </c>
      <c r="AD3690" s="82">
        <f t="shared" si="176"/>
        <v>37.085714285714289</v>
      </c>
      <c r="AE3690" s="218">
        <v>1.9785829289233505E-16</v>
      </c>
      <c r="AF3690">
        <v>1</v>
      </c>
      <c r="AH3690" t="str">
        <f t="shared" si="174"/>
        <v>Warisnagar</v>
      </c>
      <c r="AJ3690" s="72">
        <v>0</v>
      </c>
      <c r="AK3690" s="72"/>
      <c r="AL3690" s="72"/>
      <c r="AM3690" s="72"/>
    </row>
    <row r="3691" spans="1:39" x14ac:dyDescent="0.25">
      <c r="A3691" s="37" t="s">
        <v>62</v>
      </c>
      <c r="B3691" s="66" t="s">
        <v>1644</v>
      </c>
      <c r="C3691" s="4">
        <v>1057</v>
      </c>
      <c r="D3691" s="41" t="s">
        <v>1202</v>
      </c>
      <c r="E3691" s="41">
        <v>10570031</v>
      </c>
      <c r="F3691" s="85" t="s">
        <v>1300</v>
      </c>
      <c r="G3691" s="39" t="s">
        <v>93</v>
      </c>
      <c r="H3691" s="52" t="s">
        <v>94</v>
      </c>
      <c r="I3691" s="52">
        <v>150.4</v>
      </c>
      <c r="J3691" s="49">
        <v>5955.5738586900006</v>
      </c>
      <c r="K3691" s="58">
        <v>152.19999999999999</v>
      </c>
      <c r="L3691" s="58">
        <v>5993.8231262890004</v>
      </c>
      <c r="M3691" s="58">
        <v>0.2</v>
      </c>
      <c r="N3691" s="58">
        <v>7.761817800000002</v>
      </c>
      <c r="O3691" s="58">
        <v>152.39999999999998</v>
      </c>
      <c r="P3691" s="53">
        <v>6001.5849440890006</v>
      </c>
      <c r="Q3691" s="65">
        <v>5955.5738586900006</v>
      </c>
      <c r="R3691" s="65">
        <v>0</v>
      </c>
      <c r="S3691" s="65">
        <v>7.761817800000002</v>
      </c>
      <c r="T3691" s="65">
        <v>46.011085398999967</v>
      </c>
      <c r="U3691" s="58">
        <v>0</v>
      </c>
      <c r="V3691" s="65">
        <v>500</v>
      </c>
      <c r="W3691" s="65">
        <v>0</v>
      </c>
      <c r="X3691" s="65">
        <v>5448</v>
      </c>
      <c r="Y3691" s="65">
        <v>0</v>
      </c>
      <c r="Z3691" s="51">
        <v>0</v>
      </c>
      <c r="AA3691" s="51">
        <v>0</v>
      </c>
      <c r="AB3691" s="102">
        <v>0</v>
      </c>
      <c r="AC3691" s="81">
        <f t="shared" si="175"/>
        <v>435.2637490340457</v>
      </c>
      <c r="AD3691" s="82">
        <f t="shared" si="176"/>
        <v>21.485714285714288</v>
      </c>
      <c r="AE3691" s="218">
        <v>-7.7257182079714234E-3</v>
      </c>
      <c r="AF3691">
        <v>2</v>
      </c>
      <c r="AH3691" t="str">
        <f t="shared" si="174"/>
        <v>Warisnagar</v>
      </c>
      <c r="AJ3691" s="72">
        <v>500</v>
      </c>
      <c r="AK3691" s="72"/>
      <c r="AL3691" s="72"/>
      <c r="AM3691" s="72"/>
    </row>
    <row r="3692" spans="1:39" x14ac:dyDescent="0.25">
      <c r="A3692" s="37" t="s">
        <v>62</v>
      </c>
      <c r="B3692" s="66" t="s">
        <v>1644</v>
      </c>
      <c r="C3692" s="4">
        <v>1057</v>
      </c>
      <c r="D3692" s="41" t="s">
        <v>1202</v>
      </c>
      <c r="E3692" s="41">
        <v>10570032</v>
      </c>
      <c r="F3692" s="85" t="s">
        <v>1625</v>
      </c>
      <c r="G3692" s="39" t="s">
        <v>635</v>
      </c>
      <c r="H3692" s="52" t="s">
        <v>99</v>
      </c>
      <c r="I3692" s="52">
        <v>39.299999999999997</v>
      </c>
      <c r="J3692" s="49">
        <v>1520.0093383200001</v>
      </c>
      <c r="K3692" s="58">
        <v>0</v>
      </c>
      <c r="L3692" s="58">
        <v>0</v>
      </c>
      <c r="M3692" s="58">
        <v>0</v>
      </c>
      <c r="N3692" s="58">
        <v>0</v>
      </c>
      <c r="O3692" s="58">
        <v>0</v>
      </c>
      <c r="P3692" s="53">
        <v>0</v>
      </c>
      <c r="Q3692" s="65">
        <v>1520.0093383200001</v>
      </c>
      <c r="R3692" s="65">
        <v>0</v>
      </c>
      <c r="S3692" s="65">
        <v>0</v>
      </c>
      <c r="T3692" s="65">
        <v>0</v>
      </c>
      <c r="U3692" s="58">
        <v>0</v>
      </c>
      <c r="V3692" s="65">
        <v>0</v>
      </c>
      <c r="W3692" s="65">
        <v>0</v>
      </c>
      <c r="X3692" s="65">
        <v>0</v>
      </c>
      <c r="Y3692" s="65">
        <v>0</v>
      </c>
      <c r="Z3692" s="51">
        <v>1520.0093383200001</v>
      </c>
      <c r="AA3692" s="51">
        <v>0</v>
      </c>
      <c r="AB3692" s="102">
        <v>0</v>
      </c>
      <c r="AC3692" s="81">
        <f t="shared" si="175"/>
        <v>511.07896683360008</v>
      </c>
      <c r="AD3692" s="82">
        <f t="shared" si="176"/>
        <v>5.6142857142857139</v>
      </c>
      <c r="AE3692" s="218">
        <v>0</v>
      </c>
      <c r="AF3692">
        <v>0</v>
      </c>
      <c r="AH3692" t="str">
        <f t="shared" si="174"/>
        <v>Warisnagar</v>
      </c>
      <c r="AJ3692" s="72">
        <v>0</v>
      </c>
      <c r="AK3692" s="72"/>
      <c r="AL3692" s="72"/>
      <c r="AM3692" s="72"/>
    </row>
    <row r="3693" spans="1:39" x14ac:dyDescent="0.25">
      <c r="A3693" s="37" t="s">
        <v>62</v>
      </c>
      <c r="B3693" s="66" t="s">
        <v>1644</v>
      </c>
      <c r="C3693" s="4">
        <v>1057</v>
      </c>
      <c r="D3693" s="41" t="s">
        <v>1202</v>
      </c>
      <c r="E3693" s="41">
        <v>10570033</v>
      </c>
      <c r="F3693" s="85" t="s">
        <v>1301</v>
      </c>
      <c r="G3693" s="39" t="s">
        <v>635</v>
      </c>
      <c r="H3693" s="52" t="s">
        <v>99</v>
      </c>
      <c r="I3693" s="52">
        <v>161.79999999999998</v>
      </c>
      <c r="J3693" s="49">
        <v>6472.2190697100004</v>
      </c>
      <c r="K3693" s="58">
        <v>0</v>
      </c>
      <c r="L3693" s="58">
        <v>0</v>
      </c>
      <c r="M3693" s="58">
        <v>0</v>
      </c>
      <c r="N3693" s="58">
        <v>0</v>
      </c>
      <c r="O3693" s="58">
        <v>0</v>
      </c>
      <c r="P3693" s="53">
        <v>0</v>
      </c>
      <c r="Q3693" s="65">
        <v>6472.2190697100004</v>
      </c>
      <c r="R3693" s="65">
        <v>0</v>
      </c>
      <c r="S3693" s="65">
        <v>0</v>
      </c>
      <c r="T3693" s="65">
        <v>0</v>
      </c>
      <c r="U3693" s="58">
        <v>0</v>
      </c>
      <c r="V3693" s="65">
        <v>0</v>
      </c>
      <c r="W3693" s="65">
        <v>0</v>
      </c>
      <c r="X3693" s="65">
        <v>0</v>
      </c>
      <c r="Y3693" s="65">
        <v>0</v>
      </c>
      <c r="Z3693" s="51">
        <v>6472.2190697100004</v>
      </c>
      <c r="AA3693" s="51">
        <v>0</v>
      </c>
      <c r="AB3693" s="102">
        <v>0</v>
      </c>
      <c r="AC3693" s="81">
        <f t="shared" si="175"/>
        <v>430.57457395771604</v>
      </c>
      <c r="AD3693" s="82">
        <f t="shared" si="176"/>
        <v>23.11428571428571</v>
      </c>
      <c r="AE3693" s="218">
        <v>0</v>
      </c>
      <c r="AF3693">
        <v>0</v>
      </c>
      <c r="AH3693" t="str">
        <f t="shared" si="174"/>
        <v>Warisnagar</v>
      </c>
      <c r="AJ3693" s="72">
        <v>0</v>
      </c>
      <c r="AK3693" s="72"/>
      <c r="AL3693" s="72"/>
      <c r="AM3693" s="72"/>
    </row>
    <row r="3694" spans="1:39" x14ac:dyDescent="0.25">
      <c r="A3694" s="37" t="s">
        <v>62</v>
      </c>
      <c r="B3694" s="66" t="s">
        <v>1644</v>
      </c>
      <c r="C3694" s="4">
        <v>1057</v>
      </c>
      <c r="D3694" s="41" t="s">
        <v>1202</v>
      </c>
      <c r="E3694" s="41">
        <v>10570036</v>
      </c>
      <c r="F3694" s="85" t="s">
        <v>1371</v>
      </c>
      <c r="G3694" s="39" t="s">
        <v>93</v>
      </c>
      <c r="H3694" s="52" t="s">
        <v>94</v>
      </c>
      <c r="I3694" s="52">
        <v>303.89999999999998</v>
      </c>
      <c r="J3694" s="49">
        <v>12451.622006808</v>
      </c>
      <c r="K3694" s="58">
        <v>303.90000000000009</v>
      </c>
      <c r="L3694" s="58">
        <v>12637.612673322223</v>
      </c>
      <c r="M3694" s="58">
        <v>0</v>
      </c>
      <c r="N3694" s="58">
        <v>0</v>
      </c>
      <c r="O3694" s="58">
        <v>303.90000000000009</v>
      </c>
      <c r="P3694" s="53">
        <v>12637.612673322223</v>
      </c>
      <c r="Q3694" s="65">
        <v>12451.622006808</v>
      </c>
      <c r="R3694" s="65">
        <v>0</v>
      </c>
      <c r="S3694" s="65">
        <v>0</v>
      </c>
      <c r="T3694" s="65">
        <v>185.99066651422254</v>
      </c>
      <c r="U3694" s="58">
        <v>0</v>
      </c>
      <c r="V3694" s="65">
        <v>0</v>
      </c>
      <c r="W3694" s="65">
        <v>0</v>
      </c>
      <c r="X3694" s="65">
        <v>12452</v>
      </c>
      <c r="Y3694" s="65">
        <v>0</v>
      </c>
      <c r="Z3694" s="51">
        <v>0</v>
      </c>
      <c r="AA3694" s="51">
        <v>0</v>
      </c>
      <c r="AB3694" s="102">
        <v>0</v>
      </c>
      <c r="AC3694" s="81">
        <f t="shared" si="175"/>
        <v>324.5862110494669</v>
      </c>
      <c r="AD3694" s="82">
        <f t="shared" si="176"/>
        <v>43.414285714285711</v>
      </c>
      <c r="AE3694" s="218">
        <v>-1.4937063332996377E-2</v>
      </c>
      <c r="AF3694">
        <v>1</v>
      </c>
      <c r="AH3694" t="str">
        <f t="shared" si="174"/>
        <v>Warisnagar</v>
      </c>
      <c r="AJ3694" s="72">
        <v>0</v>
      </c>
      <c r="AK3694" s="72"/>
      <c r="AL3694" s="72"/>
      <c r="AM3694" s="72"/>
    </row>
    <row r="3695" spans="1:39" x14ac:dyDescent="0.25">
      <c r="A3695" s="37" t="s">
        <v>62</v>
      </c>
      <c r="B3695" s="66" t="s">
        <v>1644</v>
      </c>
      <c r="C3695" s="4">
        <v>1057</v>
      </c>
      <c r="D3695" s="41" t="s">
        <v>1202</v>
      </c>
      <c r="E3695" s="41">
        <v>10570037</v>
      </c>
      <c r="F3695" s="85" t="s">
        <v>1320</v>
      </c>
      <c r="G3695" s="39" t="s">
        <v>635</v>
      </c>
      <c r="H3695" s="52" t="s">
        <v>99</v>
      </c>
      <c r="I3695" s="52">
        <v>318.59999999999997</v>
      </c>
      <c r="J3695" s="49">
        <v>10347.35160876</v>
      </c>
      <c r="K3695" s="58">
        <v>0</v>
      </c>
      <c r="L3695" s="58">
        <v>0</v>
      </c>
      <c r="M3695" s="58">
        <v>0</v>
      </c>
      <c r="N3695" s="58">
        <v>0</v>
      </c>
      <c r="O3695" s="58">
        <v>0</v>
      </c>
      <c r="P3695" s="53">
        <v>0</v>
      </c>
      <c r="Q3695" s="65">
        <v>10347.35160876</v>
      </c>
      <c r="R3695" s="65">
        <v>0</v>
      </c>
      <c r="S3695" s="65">
        <v>0</v>
      </c>
      <c r="T3695" s="65">
        <v>0</v>
      </c>
      <c r="U3695" s="58">
        <v>0</v>
      </c>
      <c r="V3695" s="65">
        <v>0</v>
      </c>
      <c r="W3695" s="65">
        <v>0</v>
      </c>
      <c r="X3695" s="65">
        <v>0</v>
      </c>
      <c r="Y3695" s="65">
        <v>0</v>
      </c>
      <c r="Z3695" s="51">
        <v>10347.35160876</v>
      </c>
      <c r="AA3695" s="51">
        <v>0</v>
      </c>
      <c r="AB3695" s="102">
        <v>0</v>
      </c>
      <c r="AC3695" s="81">
        <f t="shared" si="175"/>
        <v>247.73885144890554</v>
      </c>
      <c r="AD3695" s="82">
        <f t="shared" si="176"/>
        <v>45.514285714285712</v>
      </c>
      <c r="AE3695" s="218">
        <v>0</v>
      </c>
      <c r="AF3695">
        <v>0</v>
      </c>
      <c r="AH3695" t="str">
        <f t="shared" si="174"/>
        <v>Warisnagar</v>
      </c>
      <c r="AJ3695" s="72">
        <v>0</v>
      </c>
      <c r="AK3695" s="72"/>
      <c r="AL3695" s="72"/>
      <c r="AM3695" s="72"/>
    </row>
    <row r="3696" spans="1:39" x14ac:dyDescent="0.25">
      <c r="A3696" s="37" t="s">
        <v>62</v>
      </c>
      <c r="B3696" s="66" t="s">
        <v>1644</v>
      </c>
      <c r="C3696" s="4">
        <v>1057</v>
      </c>
      <c r="D3696" s="41" t="s">
        <v>1202</v>
      </c>
      <c r="E3696" s="41">
        <v>10570038</v>
      </c>
      <c r="F3696" s="85" t="s">
        <v>1321</v>
      </c>
      <c r="G3696" s="39" t="s">
        <v>635</v>
      </c>
      <c r="H3696" s="52" t="s">
        <v>99</v>
      </c>
      <c r="I3696" s="52">
        <v>89.600000000000009</v>
      </c>
      <c r="J3696" s="49">
        <v>3112.6736578800005</v>
      </c>
      <c r="K3696" s="58">
        <v>0</v>
      </c>
      <c r="L3696" s="58">
        <v>0</v>
      </c>
      <c r="M3696" s="58">
        <v>0</v>
      </c>
      <c r="N3696" s="58">
        <v>0</v>
      </c>
      <c r="O3696" s="58">
        <v>0</v>
      </c>
      <c r="P3696" s="53">
        <v>0</v>
      </c>
      <c r="Q3696" s="65">
        <v>3112.6736578800005</v>
      </c>
      <c r="R3696" s="65">
        <v>0</v>
      </c>
      <c r="S3696" s="65">
        <v>0</v>
      </c>
      <c r="T3696" s="65">
        <v>0</v>
      </c>
      <c r="U3696" s="58">
        <v>0</v>
      </c>
      <c r="V3696" s="65">
        <v>0</v>
      </c>
      <c r="W3696" s="65">
        <v>0</v>
      </c>
      <c r="X3696" s="65">
        <v>0</v>
      </c>
      <c r="Y3696" s="65">
        <v>0</v>
      </c>
      <c r="Z3696" s="51">
        <v>3112.6736578800005</v>
      </c>
      <c r="AA3696" s="51">
        <v>0</v>
      </c>
      <c r="AB3696" s="102">
        <v>0</v>
      </c>
      <c r="AC3696" s="81">
        <f t="shared" si="175"/>
        <v>424.10178588615003</v>
      </c>
      <c r="AD3696" s="82">
        <f t="shared" si="176"/>
        <v>12.8</v>
      </c>
      <c r="AE3696" s="218">
        <v>0</v>
      </c>
      <c r="AF3696">
        <v>0</v>
      </c>
      <c r="AH3696" t="str">
        <f t="shared" si="174"/>
        <v>Warisnagar</v>
      </c>
      <c r="AJ3696" s="72">
        <v>0</v>
      </c>
      <c r="AK3696" s="72"/>
      <c r="AL3696" s="72"/>
      <c r="AM3696" s="72"/>
    </row>
    <row r="3697" spans="1:39" x14ac:dyDescent="0.25">
      <c r="A3697" s="37" t="s">
        <v>62</v>
      </c>
      <c r="B3697" s="66" t="s">
        <v>1644</v>
      </c>
      <c r="C3697" s="4">
        <v>1057</v>
      </c>
      <c r="D3697" s="41" t="s">
        <v>1202</v>
      </c>
      <c r="E3697" s="41">
        <v>10570042</v>
      </c>
      <c r="F3697" s="85" t="s">
        <v>1535</v>
      </c>
      <c r="G3697" s="39" t="s">
        <v>93</v>
      </c>
      <c r="H3697" s="52" t="s">
        <v>94</v>
      </c>
      <c r="I3697" s="52">
        <v>221</v>
      </c>
      <c r="J3697" s="49">
        <v>8754.3886187699991</v>
      </c>
      <c r="K3697" s="58">
        <v>220.99999999999997</v>
      </c>
      <c r="L3697" s="58">
        <v>8744.3425864934998</v>
      </c>
      <c r="M3697" s="58">
        <v>0</v>
      </c>
      <c r="N3697" s="58">
        <v>0</v>
      </c>
      <c r="O3697" s="58">
        <v>220.99999999999997</v>
      </c>
      <c r="P3697" s="53">
        <v>8744.3425864934998</v>
      </c>
      <c r="Q3697" s="65">
        <v>8744.3425864934998</v>
      </c>
      <c r="R3697" s="65">
        <v>0</v>
      </c>
      <c r="S3697" s="65">
        <v>0</v>
      </c>
      <c r="T3697" s="65">
        <v>0</v>
      </c>
      <c r="U3697" s="58">
        <v>0</v>
      </c>
      <c r="V3697" s="65">
        <v>0</v>
      </c>
      <c r="W3697" s="65">
        <v>0</v>
      </c>
      <c r="X3697" s="65">
        <v>8744</v>
      </c>
      <c r="Y3697" s="65">
        <v>0</v>
      </c>
      <c r="Z3697" s="51">
        <v>0</v>
      </c>
      <c r="AA3697" s="51">
        <v>10</v>
      </c>
      <c r="AB3697" s="102">
        <v>0</v>
      </c>
      <c r="AC3697" s="81">
        <f t="shared" si="175"/>
        <v>379.48888220731487</v>
      </c>
      <c r="AD3697" s="82">
        <f t="shared" si="176"/>
        <v>31.571428571428573</v>
      </c>
      <c r="AE3697" s="218">
        <v>1.1475424171780481E-3</v>
      </c>
      <c r="AF3697">
        <v>1</v>
      </c>
      <c r="AH3697" t="str">
        <f t="shared" si="174"/>
        <v>Warisnagar</v>
      </c>
      <c r="AJ3697" s="72">
        <v>0</v>
      </c>
      <c r="AK3697" s="72"/>
      <c r="AL3697" s="72"/>
      <c r="AM3697" s="72"/>
    </row>
    <row r="3698" spans="1:39" x14ac:dyDescent="0.25">
      <c r="A3698" s="37" t="s">
        <v>62</v>
      </c>
      <c r="B3698" s="66" t="s">
        <v>1644</v>
      </c>
      <c r="C3698" s="4">
        <v>1057</v>
      </c>
      <c r="D3698" s="41" t="s">
        <v>1202</v>
      </c>
      <c r="E3698" s="41">
        <v>10570044</v>
      </c>
      <c r="F3698" s="85" t="s">
        <v>1456</v>
      </c>
      <c r="G3698" s="39" t="s">
        <v>93</v>
      </c>
      <c r="H3698" s="52" t="s">
        <v>94</v>
      </c>
      <c r="I3698" s="52">
        <v>91.6</v>
      </c>
      <c r="J3698" s="49">
        <v>4276.2785906682011</v>
      </c>
      <c r="K3698" s="58">
        <v>91.6</v>
      </c>
      <c r="L3698" s="58">
        <v>4288.2188151286</v>
      </c>
      <c r="M3698" s="58">
        <v>0</v>
      </c>
      <c r="N3698" s="58">
        <v>0</v>
      </c>
      <c r="O3698" s="58">
        <v>91.6</v>
      </c>
      <c r="P3698" s="53">
        <v>4288.2188151286</v>
      </c>
      <c r="Q3698" s="65">
        <v>4276.2785906682011</v>
      </c>
      <c r="R3698" s="65">
        <v>0</v>
      </c>
      <c r="S3698" s="65">
        <v>0</v>
      </c>
      <c r="T3698" s="65">
        <v>11.940224460398895</v>
      </c>
      <c r="U3698" s="58">
        <v>0</v>
      </c>
      <c r="V3698" s="65">
        <v>0</v>
      </c>
      <c r="W3698" s="65">
        <v>0</v>
      </c>
      <c r="X3698" s="65">
        <v>4276</v>
      </c>
      <c r="Y3698" s="65">
        <v>0</v>
      </c>
      <c r="Z3698" s="51">
        <v>0</v>
      </c>
      <c r="AA3698" s="51">
        <v>0</v>
      </c>
      <c r="AB3698" s="102">
        <v>0</v>
      </c>
      <c r="AC3698" s="81">
        <f t="shared" si="175"/>
        <v>568.05412545033482</v>
      </c>
      <c r="AD3698" s="82">
        <f t="shared" si="176"/>
        <v>13.085714285714285</v>
      </c>
      <c r="AE3698" s="218">
        <v>-2.7921998549054177E-3</v>
      </c>
      <c r="AF3698">
        <v>1</v>
      </c>
      <c r="AH3698" t="str">
        <f t="shared" si="174"/>
        <v>Warisnagar</v>
      </c>
      <c r="AJ3698" s="72">
        <v>0</v>
      </c>
      <c r="AK3698" s="72"/>
      <c r="AL3698" s="72"/>
      <c r="AM3698" s="72"/>
    </row>
    <row r="3699" spans="1:39" x14ac:dyDescent="0.25">
      <c r="A3699" s="37" t="s">
        <v>62</v>
      </c>
      <c r="B3699" s="66" t="s">
        <v>1644</v>
      </c>
      <c r="C3699" s="4">
        <v>1057</v>
      </c>
      <c r="D3699" s="41" t="s">
        <v>1202</v>
      </c>
      <c r="E3699" s="41">
        <v>10570045</v>
      </c>
      <c r="F3699" s="85" t="s">
        <v>1395</v>
      </c>
      <c r="G3699" s="39" t="s">
        <v>93</v>
      </c>
      <c r="H3699" s="52" t="s">
        <v>94</v>
      </c>
      <c r="I3699" s="52">
        <v>955.9</v>
      </c>
      <c r="J3699" s="49">
        <v>36258.024555149997</v>
      </c>
      <c r="K3699" s="58">
        <v>955.8</v>
      </c>
      <c r="L3699" s="58">
        <v>36128.744050098328</v>
      </c>
      <c r="M3699" s="58">
        <v>0</v>
      </c>
      <c r="N3699" s="58">
        <v>0</v>
      </c>
      <c r="O3699" s="58">
        <v>955.8</v>
      </c>
      <c r="P3699" s="53">
        <v>36128.744050098328</v>
      </c>
      <c r="Q3699" s="65">
        <v>36128.744050098328</v>
      </c>
      <c r="R3699" s="65">
        <v>0</v>
      </c>
      <c r="S3699" s="65">
        <v>0</v>
      </c>
      <c r="T3699" s="65">
        <v>0</v>
      </c>
      <c r="U3699" s="58">
        <v>0</v>
      </c>
      <c r="V3699" s="65">
        <v>0</v>
      </c>
      <c r="W3699" s="65">
        <v>0</v>
      </c>
      <c r="X3699" s="65">
        <v>36128</v>
      </c>
      <c r="Y3699" s="65">
        <v>0</v>
      </c>
      <c r="Z3699" s="51">
        <v>0</v>
      </c>
      <c r="AA3699" s="51">
        <v>130</v>
      </c>
      <c r="AB3699" s="102">
        <v>0</v>
      </c>
      <c r="AC3699" s="81">
        <f t="shared" si="175"/>
        <v>0</v>
      </c>
      <c r="AD3699" s="82">
        <f t="shared" si="176"/>
        <v>0</v>
      </c>
      <c r="AE3699" s="218">
        <v>3.5655694604935766E-3</v>
      </c>
      <c r="AF3699">
        <v>12</v>
      </c>
      <c r="AH3699" t="str">
        <f t="shared" si="174"/>
        <v>Warisnagar</v>
      </c>
      <c r="AJ3699" s="72">
        <v>0</v>
      </c>
      <c r="AK3699" s="72"/>
      <c r="AL3699" s="72"/>
      <c r="AM3699" s="72"/>
    </row>
    <row r="3700" spans="1:39" x14ac:dyDescent="0.25">
      <c r="A3700" s="37" t="s">
        <v>62</v>
      </c>
      <c r="B3700" s="66" t="s">
        <v>1644</v>
      </c>
      <c r="C3700" s="4">
        <v>1057</v>
      </c>
      <c r="D3700" s="41" t="s">
        <v>1202</v>
      </c>
      <c r="E3700" s="41">
        <v>10570046</v>
      </c>
      <c r="F3700" s="85" t="s">
        <v>1396</v>
      </c>
      <c r="G3700" s="39" t="s">
        <v>635</v>
      </c>
      <c r="H3700" s="52" t="s">
        <v>99</v>
      </c>
      <c r="I3700" s="52">
        <v>495.5</v>
      </c>
      <c r="J3700" s="49">
        <v>17019.489153696002</v>
      </c>
      <c r="K3700" s="58">
        <v>0</v>
      </c>
      <c r="L3700" s="58">
        <v>0</v>
      </c>
      <c r="M3700" s="58">
        <v>0</v>
      </c>
      <c r="N3700" s="58">
        <v>0</v>
      </c>
      <c r="O3700" s="58">
        <v>0</v>
      </c>
      <c r="P3700" s="53">
        <v>0</v>
      </c>
      <c r="Q3700" s="65">
        <v>17019.489153696002</v>
      </c>
      <c r="R3700" s="65">
        <v>0</v>
      </c>
      <c r="S3700" s="65">
        <v>0</v>
      </c>
      <c r="T3700" s="65">
        <v>0</v>
      </c>
      <c r="U3700" s="58">
        <v>0</v>
      </c>
      <c r="V3700" s="65">
        <v>0</v>
      </c>
      <c r="W3700" s="65">
        <v>0</v>
      </c>
      <c r="X3700" s="65">
        <v>0</v>
      </c>
      <c r="Y3700" s="65">
        <v>0</v>
      </c>
      <c r="Z3700" s="51">
        <v>17019.489153696002</v>
      </c>
      <c r="AA3700" s="51">
        <v>0</v>
      </c>
      <c r="AB3700" s="102">
        <v>0</v>
      </c>
      <c r="AC3700" s="81">
        <f t="shared" si="175"/>
        <v>140.48377525452401</v>
      </c>
      <c r="AD3700" s="82">
        <f t="shared" si="176"/>
        <v>70.785714285714292</v>
      </c>
      <c r="AE3700" s="218">
        <v>0</v>
      </c>
      <c r="AF3700">
        <v>0</v>
      </c>
      <c r="AH3700" t="str">
        <f t="shared" si="174"/>
        <v>Warisnagar</v>
      </c>
      <c r="AJ3700" s="72">
        <v>0</v>
      </c>
      <c r="AK3700" s="72"/>
      <c r="AL3700" s="72"/>
      <c r="AM3700" s="72"/>
    </row>
    <row r="3701" spans="1:39" x14ac:dyDescent="0.25">
      <c r="A3701" s="37" t="s">
        <v>62</v>
      </c>
      <c r="B3701" s="66" t="s">
        <v>1644</v>
      </c>
      <c r="C3701" s="4">
        <v>1057</v>
      </c>
      <c r="D3701" s="41" t="s">
        <v>1202</v>
      </c>
      <c r="E3701" s="41">
        <v>10570047</v>
      </c>
      <c r="F3701" s="85" t="s">
        <v>1441</v>
      </c>
      <c r="G3701" s="39" t="s">
        <v>93</v>
      </c>
      <c r="H3701" s="52" t="s">
        <v>94</v>
      </c>
      <c r="I3701" s="52">
        <v>335.7999999999999</v>
      </c>
      <c r="J3701" s="49">
        <v>13614.628414230003</v>
      </c>
      <c r="K3701" s="58">
        <v>243.39999999999998</v>
      </c>
      <c r="L3701" s="58">
        <v>8996.5621433269007</v>
      </c>
      <c r="M3701" s="58">
        <v>91.7</v>
      </c>
      <c r="N3701" s="58">
        <v>4562.0071861902006</v>
      </c>
      <c r="O3701" s="58">
        <v>335.09999999999997</v>
      </c>
      <c r="P3701" s="53">
        <v>13558.5693295171</v>
      </c>
      <c r="Q3701" s="65">
        <v>13558.5693295171</v>
      </c>
      <c r="R3701" s="65">
        <v>0</v>
      </c>
      <c r="S3701" s="65">
        <v>0</v>
      </c>
      <c r="T3701" s="65">
        <v>0</v>
      </c>
      <c r="U3701" s="58">
        <v>0</v>
      </c>
      <c r="V3701" s="65">
        <v>0</v>
      </c>
      <c r="W3701" s="65">
        <v>0</v>
      </c>
      <c r="X3701" s="65">
        <v>0</v>
      </c>
      <c r="Y3701" s="65">
        <v>0</v>
      </c>
      <c r="Z3701" s="51">
        <v>0</v>
      </c>
      <c r="AA3701" s="51">
        <v>13615</v>
      </c>
      <c r="AB3701" s="102" t="s">
        <v>65</v>
      </c>
      <c r="AC3701" s="81">
        <f t="shared" si="175"/>
        <v>295.32148114726448</v>
      </c>
      <c r="AD3701" s="82">
        <f t="shared" si="176"/>
        <v>47.971428571428554</v>
      </c>
      <c r="AE3701" s="218">
        <v>4.1175625957084131E-3</v>
      </c>
      <c r="AF3701">
        <v>9</v>
      </c>
      <c r="AH3701" t="str">
        <f t="shared" si="174"/>
        <v>Warisnagar</v>
      </c>
      <c r="AJ3701" s="72">
        <v>0</v>
      </c>
      <c r="AK3701" s="72"/>
      <c r="AL3701" s="72"/>
      <c r="AM3701" s="72"/>
    </row>
    <row r="3702" spans="1:39" x14ac:dyDescent="0.25">
      <c r="A3702" s="37" t="s">
        <v>62</v>
      </c>
      <c r="B3702" s="66" t="s">
        <v>1644</v>
      </c>
      <c r="C3702" s="4">
        <v>1057</v>
      </c>
      <c r="D3702" s="41" t="s">
        <v>1202</v>
      </c>
      <c r="E3702" s="41">
        <v>10570049</v>
      </c>
      <c r="F3702" s="85" t="s">
        <v>1457</v>
      </c>
      <c r="G3702" s="39" t="s">
        <v>93</v>
      </c>
      <c r="H3702" s="52" t="s">
        <v>94</v>
      </c>
      <c r="I3702" s="52">
        <v>302.70000000000005</v>
      </c>
      <c r="J3702" s="49">
        <v>15253.808681069602</v>
      </c>
      <c r="K3702" s="58">
        <v>303.29999999999984</v>
      </c>
      <c r="L3702" s="58">
        <v>15190.647604487694</v>
      </c>
      <c r="M3702" s="58">
        <v>0</v>
      </c>
      <c r="N3702" s="58">
        <v>0</v>
      </c>
      <c r="O3702" s="58">
        <v>303.29999999999984</v>
      </c>
      <c r="P3702" s="53">
        <v>15190.647604487694</v>
      </c>
      <c r="Q3702" s="65">
        <v>15190.647604487694</v>
      </c>
      <c r="R3702" s="65">
        <v>0</v>
      </c>
      <c r="S3702" s="65">
        <v>0</v>
      </c>
      <c r="T3702" s="65">
        <v>0</v>
      </c>
      <c r="U3702" s="58">
        <v>0</v>
      </c>
      <c r="V3702" s="65">
        <v>0</v>
      </c>
      <c r="W3702" s="65">
        <v>0</v>
      </c>
      <c r="X3702" s="65">
        <v>15191</v>
      </c>
      <c r="Y3702" s="65">
        <v>0</v>
      </c>
      <c r="Z3702" s="51">
        <v>0</v>
      </c>
      <c r="AA3702" s="51">
        <v>63</v>
      </c>
      <c r="AB3702" s="102">
        <v>0</v>
      </c>
      <c r="AC3702" s="81">
        <f t="shared" si="175"/>
        <v>400.4187769401355</v>
      </c>
      <c r="AD3702" s="82">
        <f t="shared" si="176"/>
        <v>43.242857142857147</v>
      </c>
      <c r="AE3702" s="218">
        <v>4.1406758077602223E-3</v>
      </c>
      <c r="AF3702">
        <v>1</v>
      </c>
      <c r="AH3702" t="str">
        <f t="shared" si="174"/>
        <v>Warisnagar</v>
      </c>
      <c r="AJ3702" s="72">
        <v>0</v>
      </c>
      <c r="AK3702" s="72"/>
      <c r="AL3702" s="72"/>
      <c r="AM3702" s="72"/>
    </row>
    <row r="3703" spans="1:39" x14ac:dyDescent="0.25">
      <c r="A3703" s="37" t="s">
        <v>62</v>
      </c>
      <c r="B3703" s="66" t="s">
        <v>1644</v>
      </c>
      <c r="C3703" s="4">
        <v>1057</v>
      </c>
      <c r="D3703" s="41" t="s">
        <v>1202</v>
      </c>
      <c r="E3703" s="41">
        <v>10570053</v>
      </c>
      <c r="F3703" s="85" t="s">
        <v>1480</v>
      </c>
      <c r="G3703" s="39" t="s">
        <v>635</v>
      </c>
      <c r="H3703" s="52" t="s">
        <v>99</v>
      </c>
      <c r="I3703" s="52">
        <v>178</v>
      </c>
      <c r="J3703" s="49">
        <v>6468.4772548500005</v>
      </c>
      <c r="K3703" s="58">
        <v>0</v>
      </c>
      <c r="L3703" s="58">
        <v>0</v>
      </c>
      <c r="M3703" s="58">
        <v>0</v>
      </c>
      <c r="N3703" s="58">
        <v>0</v>
      </c>
      <c r="O3703" s="58">
        <v>0</v>
      </c>
      <c r="P3703" s="53">
        <v>0</v>
      </c>
      <c r="Q3703" s="65">
        <v>6468.4772548500005</v>
      </c>
      <c r="R3703" s="65">
        <v>0</v>
      </c>
      <c r="S3703" s="65">
        <v>0</v>
      </c>
      <c r="T3703" s="65">
        <v>0</v>
      </c>
      <c r="U3703" s="58">
        <v>0</v>
      </c>
      <c r="V3703" s="65">
        <v>0</v>
      </c>
      <c r="W3703" s="65">
        <v>0</v>
      </c>
      <c r="X3703" s="65">
        <v>0</v>
      </c>
      <c r="Y3703" s="65">
        <v>0</v>
      </c>
      <c r="Z3703" s="51">
        <v>6468.4772548500005</v>
      </c>
      <c r="AA3703" s="51">
        <v>0</v>
      </c>
      <c r="AB3703" s="102">
        <v>0</v>
      </c>
      <c r="AC3703" s="81">
        <f t="shared" si="175"/>
        <v>379.38709292491012</v>
      </c>
      <c r="AD3703" s="82">
        <f t="shared" si="176"/>
        <v>25.428571428571427</v>
      </c>
      <c r="AE3703" s="218">
        <v>0</v>
      </c>
      <c r="AF3703">
        <v>0</v>
      </c>
      <c r="AH3703" t="str">
        <f t="shared" si="174"/>
        <v>Warisnagar</v>
      </c>
      <c r="AJ3703" s="72">
        <v>0</v>
      </c>
      <c r="AK3703" s="72"/>
      <c r="AL3703" s="72"/>
      <c r="AM3703" s="72"/>
    </row>
    <row r="3704" spans="1:39" x14ac:dyDescent="0.25">
      <c r="A3704" s="37" t="s">
        <v>62</v>
      </c>
      <c r="B3704" s="66" t="s">
        <v>1644</v>
      </c>
      <c r="C3704" s="4">
        <v>1057</v>
      </c>
      <c r="D3704" s="41" t="s">
        <v>1202</v>
      </c>
      <c r="E3704" s="41">
        <v>10570055</v>
      </c>
      <c r="F3704" s="85" t="s">
        <v>1507</v>
      </c>
      <c r="G3704" s="39" t="s">
        <v>93</v>
      </c>
      <c r="H3704" s="52" t="s">
        <v>94</v>
      </c>
      <c r="I3704" s="52">
        <v>166.9</v>
      </c>
      <c r="J3704" s="49">
        <v>7205.5840331939999</v>
      </c>
      <c r="K3704" s="58">
        <v>166.29999999999998</v>
      </c>
      <c r="L3704" s="58">
        <v>7321.1467494236749</v>
      </c>
      <c r="M3704" s="58">
        <v>0</v>
      </c>
      <c r="N3704" s="58">
        <v>0</v>
      </c>
      <c r="O3704" s="58">
        <v>166.29999999999998</v>
      </c>
      <c r="P3704" s="53">
        <v>7321.1467494236749</v>
      </c>
      <c r="Q3704" s="65">
        <v>7205.5840331939999</v>
      </c>
      <c r="R3704" s="65">
        <v>0</v>
      </c>
      <c r="S3704" s="65">
        <v>0</v>
      </c>
      <c r="T3704" s="65">
        <v>115.56271622967506</v>
      </c>
      <c r="U3704" s="58">
        <v>0</v>
      </c>
      <c r="V3704" s="65">
        <v>0</v>
      </c>
      <c r="W3704" s="65">
        <v>0</v>
      </c>
      <c r="X3704" s="65">
        <v>7206</v>
      </c>
      <c r="Y3704" s="65">
        <v>0</v>
      </c>
      <c r="Z3704" s="51">
        <v>0</v>
      </c>
      <c r="AA3704" s="51">
        <v>0</v>
      </c>
      <c r="AB3704" s="102">
        <v>0</v>
      </c>
      <c r="AC3704" s="81">
        <f t="shared" si="175"/>
        <v>460.31118611093126</v>
      </c>
      <c r="AD3704" s="82">
        <f t="shared" si="176"/>
        <v>23.842857142857145</v>
      </c>
      <c r="AE3704" s="218">
        <v>-1.6037938867593762E-2</v>
      </c>
      <c r="AF3704">
        <v>1</v>
      </c>
      <c r="AH3704" t="str">
        <f t="shared" si="174"/>
        <v>Warisnagar</v>
      </c>
      <c r="AJ3704" s="72">
        <v>0</v>
      </c>
      <c r="AK3704" s="72"/>
      <c r="AL3704" s="72"/>
      <c r="AM3704" s="72"/>
    </row>
    <row r="3705" spans="1:39" x14ac:dyDescent="0.25">
      <c r="A3705" s="37" t="s">
        <v>62</v>
      </c>
      <c r="B3705" s="66" t="s">
        <v>1644</v>
      </c>
      <c r="C3705" s="4">
        <v>1057</v>
      </c>
      <c r="D3705" s="41" t="s">
        <v>1202</v>
      </c>
      <c r="E3705" s="41">
        <v>10570057</v>
      </c>
      <c r="F3705" s="85" t="s">
        <v>1509</v>
      </c>
      <c r="G3705" s="39" t="s">
        <v>635</v>
      </c>
      <c r="H3705" s="52" t="s">
        <v>99</v>
      </c>
      <c r="I3705" s="52">
        <v>162.69999999999999</v>
      </c>
      <c r="J3705" s="49">
        <v>5959.766378886</v>
      </c>
      <c r="K3705" s="58">
        <v>0</v>
      </c>
      <c r="L3705" s="58">
        <v>0</v>
      </c>
      <c r="M3705" s="58">
        <v>0</v>
      </c>
      <c r="N3705" s="58">
        <v>0</v>
      </c>
      <c r="O3705" s="58">
        <v>0</v>
      </c>
      <c r="P3705" s="53">
        <v>0</v>
      </c>
      <c r="Q3705" s="65">
        <v>5959.766378886</v>
      </c>
      <c r="R3705" s="65">
        <v>0</v>
      </c>
      <c r="S3705" s="65">
        <v>0</v>
      </c>
      <c r="T3705" s="65">
        <v>0</v>
      </c>
      <c r="U3705" s="58">
        <v>0</v>
      </c>
      <c r="V3705" s="65">
        <v>0</v>
      </c>
      <c r="W3705" s="65">
        <v>0</v>
      </c>
      <c r="X3705" s="65">
        <v>0</v>
      </c>
      <c r="Y3705" s="65">
        <v>0</v>
      </c>
      <c r="Z3705" s="51">
        <v>5959.766378886</v>
      </c>
      <c r="AA3705" s="51">
        <v>0</v>
      </c>
      <c r="AB3705" s="102">
        <v>0</v>
      </c>
      <c r="AC3705" s="81">
        <f t="shared" si="175"/>
        <v>393.63029814080494</v>
      </c>
      <c r="AD3705" s="82">
        <f t="shared" si="176"/>
        <v>23.24285714285714</v>
      </c>
      <c r="AE3705" s="218">
        <v>0</v>
      </c>
      <c r="AF3705">
        <v>0</v>
      </c>
      <c r="AH3705" t="str">
        <f t="shared" si="174"/>
        <v>Warisnagar</v>
      </c>
      <c r="AJ3705" s="72">
        <v>0</v>
      </c>
      <c r="AK3705" s="72"/>
      <c r="AL3705" s="72"/>
      <c r="AM3705" s="72"/>
    </row>
    <row r="3706" spans="1:39" x14ac:dyDescent="0.25">
      <c r="A3706" s="37" t="s">
        <v>62</v>
      </c>
      <c r="B3706" s="66" t="s">
        <v>1644</v>
      </c>
      <c r="C3706" s="4">
        <v>1057</v>
      </c>
      <c r="D3706" s="41" t="s">
        <v>1202</v>
      </c>
      <c r="E3706" s="41">
        <v>10570058</v>
      </c>
      <c r="F3706" s="85" t="s">
        <v>1549</v>
      </c>
      <c r="G3706" s="39" t="s">
        <v>635</v>
      </c>
      <c r="H3706" s="52" t="s">
        <v>99</v>
      </c>
      <c r="I3706" s="52">
        <v>1010.1999999999999</v>
      </c>
      <c r="J3706" s="49">
        <v>36441.317518614007</v>
      </c>
      <c r="K3706" s="58">
        <v>0</v>
      </c>
      <c r="L3706" s="58">
        <v>0</v>
      </c>
      <c r="M3706" s="58">
        <v>0</v>
      </c>
      <c r="N3706" s="58">
        <v>0</v>
      </c>
      <c r="O3706" s="58">
        <v>0</v>
      </c>
      <c r="P3706" s="53">
        <v>0</v>
      </c>
      <c r="Q3706" s="65">
        <v>36441.317518614007</v>
      </c>
      <c r="R3706" s="65">
        <v>0</v>
      </c>
      <c r="S3706" s="65">
        <v>0</v>
      </c>
      <c r="T3706" s="65">
        <v>0</v>
      </c>
      <c r="U3706" s="58">
        <v>0</v>
      </c>
      <c r="V3706" s="65">
        <v>0</v>
      </c>
      <c r="W3706" s="65">
        <v>0</v>
      </c>
      <c r="X3706" s="65">
        <v>0</v>
      </c>
      <c r="Y3706" s="65">
        <v>0</v>
      </c>
      <c r="Z3706" s="51">
        <v>36441.317518614007</v>
      </c>
      <c r="AA3706" s="51">
        <v>0</v>
      </c>
      <c r="AB3706" s="102">
        <v>0</v>
      </c>
      <c r="AC3706" s="81">
        <f t="shared" si="175"/>
        <v>0</v>
      </c>
      <c r="AD3706" s="82">
        <f t="shared" si="176"/>
        <v>0</v>
      </c>
      <c r="AE3706" s="218">
        <v>0</v>
      </c>
      <c r="AF3706">
        <v>0</v>
      </c>
      <c r="AH3706" t="str">
        <f t="shared" si="174"/>
        <v>Warisnagar</v>
      </c>
      <c r="AJ3706" s="72">
        <v>0</v>
      </c>
      <c r="AK3706" s="72"/>
      <c r="AL3706" s="72"/>
      <c r="AM3706" s="72"/>
    </row>
    <row r="3707" spans="1:39" x14ac:dyDescent="0.25">
      <c r="A3707" s="37" t="s">
        <v>62</v>
      </c>
      <c r="B3707" s="66" t="s">
        <v>1644</v>
      </c>
      <c r="C3707" s="4">
        <v>1057</v>
      </c>
      <c r="D3707" s="41" t="s">
        <v>1202</v>
      </c>
      <c r="E3707" s="41">
        <v>10570059</v>
      </c>
      <c r="F3707" s="85" t="s">
        <v>1550</v>
      </c>
      <c r="G3707" s="39" t="s">
        <v>635</v>
      </c>
      <c r="H3707" s="52" t="s">
        <v>99</v>
      </c>
      <c r="I3707" s="52">
        <v>1431.6000000000001</v>
      </c>
      <c r="J3707" s="49">
        <v>63414.562489791417</v>
      </c>
      <c r="K3707" s="58">
        <v>0</v>
      </c>
      <c r="L3707" s="58">
        <v>0</v>
      </c>
      <c r="M3707" s="58">
        <v>0</v>
      </c>
      <c r="N3707" s="58">
        <v>0</v>
      </c>
      <c r="O3707" s="58">
        <v>0</v>
      </c>
      <c r="P3707" s="53">
        <v>0</v>
      </c>
      <c r="Q3707" s="65">
        <v>63414.562489791417</v>
      </c>
      <c r="R3707" s="65">
        <v>0</v>
      </c>
      <c r="S3707" s="65">
        <v>0</v>
      </c>
      <c r="T3707" s="65">
        <v>0</v>
      </c>
      <c r="U3707" s="58">
        <v>0</v>
      </c>
      <c r="V3707" s="65">
        <v>0</v>
      </c>
      <c r="W3707" s="65">
        <v>0</v>
      </c>
      <c r="X3707" s="65">
        <v>0</v>
      </c>
      <c r="Y3707" s="65">
        <v>0</v>
      </c>
      <c r="Z3707" s="51">
        <v>63414.562489791417</v>
      </c>
      <c r="AA3707" s="51">
        <v>0</v>
      </c>
      <c r="AB3707" s="102">
        <v>0</v>
      </c>
      <c r="AC3707" s="81">
        <f t="shared" si="175"/>
        <v>0</v>
      </c>
      <c r="AD3707" s="82">
        <f t="shared" si="176"/>
        <v>0</v>
      </c>
      <c r="AE3707" s="218">
        <v>0</v>
      </c>
      <c r="AF3707">
        <v>0</v>
      </c>
      <c r="AH3707" t="str">
        <f t="shared" ref="AH3707:AH3770" si="177">TEXT(D3707,"0000")</f>
        <v>Warisnagar</v>
      </c>
      <c r="AJ3707" s="72">
        <v>0</v>
      </c>
      <c r="AK3707" s="72"/>
      <c r="AL3707" s="72"/>
      <c r="AM3707" s="72"/>
    </row>
    <row r="3708" spans="1:39" x14ac:dyDescent="0.25">
      <c r="A3708" s="37" t="s">
        <v>62</v>
      </c>
      <c r="B3708" s="66" t="s">
        <v>1644</v>
      </c>
      <c r="C3708" s="4">
        <v>1057</v>
      </c>
      <c r="D3708" s="41" t="s">
        <v>1202</v>
      </c>
      <c r="E3708" s="41">
        <v>10570060</v>
      </c>
      <c r="F3708" s="85" t="s">
        <v>1551</v>
      </c>
      <c r="G3708" s="39" t="s">
        <v>635</v>
      </c>
      <c r="H3708" s="52" t="s">
        <v>99</v>
      </c>
      <c r="I3708" s="52">
        <v>836.10000000000014</v>
      </c>
      <c r="J3708" s="49">
        <v>35013.441408298801</v>
      </c>
      <c r="K3708" s="58">
        <v>0</v>
      </c>
      <c r="L3708" s="58">
        <v>0</v>
      </c>
      <c r="M3708" s="58">
        <v>0</v>
      </c>
      <c r="N3708" s="58">
        <v>0</v>
      </c>
      <c r="O3708" s="58">
        <v>0</v>
      </c>
      <c r="P3708" s="53">
        <v>0</v>
      </c>
      <c r="Q3708" s="65">
        <v>35013.441408298801</v>
      </c>
      <c r="R3708" s="65">
        <v>0</v>
      </c>
      <c r="S3708" s="65">
        <v>0</v>
      </c>
      <c r="T3708" s="65">
        <v>0</v>
      </c>
      <c r="U3708" s="58">
        <v>0</v>
      </c>
      <c r="V3708" s="65">
        <v>0</v>
      </c>
      <c r="W3708" s="65">
        <v>0</v>
      </c>
      <c r="X3708" s="65">
        <v>0</v>
      </c>
      <c r="Y3708" s="65">
        <v>0</v>
      </c>
      <c r="Z3708" s="51">
        <v>35013.441408298801</v>
      </c>
      <c r="AA3708" s="51">
        <v>0</v>
      </c>
      <c r="AB3708" s="102">
        <v>0</v>
      </c>
      <c r="AC3708" s="81">
        <f t="shared" si="175"/>
        <v>0</v>
      </c>
      <c r="AD3708" s="82">
        <f t="shared" si="176"/>
        <v>0</v>
      </c>
      <c r="AE3708" s="218">
        <v>0</v>
      </c>
      <c r="AF3708">
        <v>0</v>
      </c>
      <c r="AH3708" t="str">
        <f t="shared" si="177"/>
        <v>Warisnagar</v>
      </c>
      <c r="AJ3708" s="72">
        <v>0</v>
      </c>
      <c r="AK3708" s="72"/>
      <c r="AL3708" s="72"/>
      <c r="AM3708" s="72"/>
    </row>
    <row r="3709" spans="1:39" x14ac:dyDescent="0.25">
      <c r="A3709" s="37" t="s">
        <v>62</v>
      </c>
      <c r="B3709" s="66" t="s">
        <v>1644</v>
      </c>
      <c r="C3709" s="4">
        <v>1057</v>
      </c>
      <c r="D3709" s="41" t="s">
        <v>1202</v>
      </c>
      <c r="E3709" s="41">
        <v>10570062</v>
      </c>
      <c r="F3709" s="85" t="s">
        <v>1582</v>
      </c>
      <c r="G3709" s="39" t="s">
        <v>635</v>
      </c>
      <c r="H3709" s="52" t="s">
        <v>99</v>
      </c>
      <c r="I3709" s="52">
        <v>3854.8</v>
      </c>
      <c r="J3709" s="49">
        <v>140448.37214443804</v>
      </c>
      <c r="K3709" s="58">
        <v>0</v>
      </c>
      <c r="L3709" s="58">
        <v>0</v>
      </c>
      <c r="M3709" s="58">
        <v>0</v>
      </c>
      <c r="N3709" s="58">
        <v>0</v>
      </c>
      <c r="O3709" s="58">
        <v>0</v>
      </c>
      <c r="P3709" s="53">
        <v>0</v>
      </c>
      <c r="Q3709" s="65">
        <v>140448.37214443804</v>
      </c>
      <c r="R3709" s="65">
        <v>0</v>
      </c>
      <c r="S3709" s="65">
        <v>0</v>
      </c>
      <c r="T3709" s="65">
        <v>0</v>
      </c>
      <c r="U3709" s="58">
        <v>0</v>
      </c>
      <c r="V3709" s="65">
        <v>0</v>
      </c>
      <c r="W3709" s="65">
        <v>0</v>
      </c>
      <c r="X3709" s="65">
        <v>0</v>
      </c>
      <c r="Y3709" s="65">
        <v>0</v>
      </c>
      <c r="Z3709" s="51">
        <v>140448.37214443804</v>
      </c>
      <c r="AA3709" s="51">
        <v>0</v>
      </c>
      <c r="AB3709" s="102">
        <v>0</v>
      </c>
      <c r="AC3709" s="81">
        <f t="shared" si="175"/>
        <v>0</v>
      </c>
      <c r="AD3709" s="82">
        <f t="shared" si="176"/>
        <v>0</v>
      </c>
      <c r="AE3709" s="218">
        <v>0</v>
      </c>
      <c r="AF3709">
        <v>0</v>
      </c>
      <c r="AH3709" t="str">
        <f t="shared" si="177"/>
        <v>Warisnagar</v>
      </c>
      <c r="AJ3709" s="72">
        <v>0</v>
      </c>
      <c r="AK3709" s="72"/>
      <c r="AL3709" s="72"/>
      <c r="AM3709" s="72"/>
    </row>
    <row r="3710" spans="1:39" x14ac:dyDescent="0.25">
      <c r="A3710" s="37" t="s">
        <v>62</v>
      </c>
      <c r="B3710" s="66" t="s">
        <v>1644</v>
      </c>
      <c r="C3710" s="4">
        <v>1058</v>
      </c>
      <c r="D3710" s="41" t="s">
        <v>1344</v>
      </c>
      <c r="E3710" s="41">
        <v>10580001</v>
      </c>
      <c r="F3710" s="85" t="s">
        <v>1227</v>
      </c>
      <c r="G3710" s="39" t="s">
        <v>93</v>
      </c>
      <c r="H3710" s="52" t="s">
        <v>94</v>
      </c>
      <c r="I3710" s="52">
        <v>395.5</v>
      </c>
      <c r="J3710" s="49">
        <v>15896.536424370002</v>
      </c>
      <c r="K3710" s="58">
        <v>394.2000000000001</v>
      </c>
      <c r="L3710" s="58">
        <v>15781.89825588345</v>
      </c>
      <c r="M3710" s="58">
        <v>8.1</v>
      </c>
      <c r="N3710" s="58">
        <v>328.74225849000004</v>
      </c>
      <c r="O3710" s="58">
        <v>402.30000000000013</v>
      </c>
      <c r="P3710" s="53">
        <v>16110.64051437345</v>
      </c>
      <c r="Q3710" s="65">
        <v>15896.536424370002</v>
      </c>
      <c r="R3710" s="65">
        <v>0</v>
      </c>
      <c r="S3710" s="65">
        <v>328.74225849000004</v>
      </c>
      <c r="T3710" s="65">
        <v>214.10409000344771</v>
      </c>
      <c r="U3710" s="58">
        <v>0</v>
      </c>
      <c r="V3710" s="65">
        <v>0</v>
      </c>
      <c r="W3710" s="65">
        <v>0</v>
      </c>
      <c r="X3710" s="65">
        <v>15568</v>
      </c>
      <c r="Y3710" s="65">
        <v>0</v>
      </c>
      <c r="Z3710" s="51">
        <v>0</v>
      </c>
      <c r="AA3710" s="51">
        <v>0</v>
      </c>
      <c r="AB3710" s="102">
        <v>0</v>
      </c>
      <c r="AC3710" s="81">
        <f t="shared" si="175"/>
        <v>244.77852547260005</v>
      </c>
      <c r="AD3710" s="82">
        <f t="shared" si="176"/>
        <v>56.5</v>
      </c>
      <c r="AE3710" s="218">
        <v>-1.3468599969690121E-2</v>
      </c>
      <c r="AF3710">
        <v>13</v>
      </c>
      <c r="AH3710" t="str">
        <f t="shared" si="177"/>
        <v>Hasanpur</v>
      </c>
      <c r="AJ3710" s="72">
        <v>0</v>
      </c>
      <c r="AK3710" s="72"/>
      <c r="AL3710" s="72"/>
      <c r="AM3710" s="72"/>
    </row>
    <row r="3711" spans="1:39" x14ac:dyDescent="0.25">
      <c r="A3711" s="37" t="s">
        <v>62</v>
      </c>
      <c r="B3711" s="66" t="s">
        <v>1644</v>
      </c>
      <c r="C3711" s="4">
        <v>1058</v>
      </c>
      <c r="D3711" s="41" t="s">
        <v>1344</v>
      </c>
      <c r="E3711" s="41">
        <v>10580002</v>
      </c>
      <c r="F3711" s="85" t="s">
        <v>1246</v>
      </c>
      <c r="G3711" s="39" t="s">
        <v>93</v>
      </c>
      <c r="H3711" s="52" t="s">
        <v>94</v>
      </c>
      <c r="I3711" s="52">
        <v>271.79999999999995</v>
      </c>
      <c r="J3711" s="49">
        <v>11070.057660753002</v>
      </c>
      <c r="K3711" s="58">
        <v>299.2</v>
      </c>
      <c r="L3711" s="58">
        <v>12993.731050546876</v>
      </c>
      <c r="M3711" s="58">
        <v>4.5</v>
      </c>
      <c r="N3711" s="58">
        <v>181.09186925100002</v>
      </c>
      <c r="O3711" s="58">
        <v>303.7</v>
      </c>
      <c r="P3711" s="53">
        <v>13174.822919797876</v>
      </c>
      <c r="Q3711" s="65">
        <v>11070.057660753002</v>
      </c>
      <c r="R3711" s="65">
        <v>0</v>
      </c>
      <c r="S3711" s="65">
        <v>181.09186925100002</v>
      </c>
      <c r="T3711" s="65">
        <v>2104.7652590448743</v>
      </c>
      <c r="U3711" s="58">
        <v>0</v>
      </c>
      <c r="V3711" s="65">
        <v>0</v>
      </c>
      <c r="W3711" s="65">
        <v>0</v>
      </c>
      <c r="X3711" s="65">
        <v>10889</v>
      </c>
      <c r="Y3711" s="65">
        <v>0</v>
      </c>
      <c r="Z3711" s="51">
        <v>0</v>
      </c>
      <c r="AA3711" s="51">
        <v>0</v>
      </c>
      <c r="AB3711" s="102">
        <v>0</v>
      </c>
      <c r="AC3711" s="81">
        <f t="shared" si="175"/>
        <v>348.80049229833975</v>
      </c>
      <c r="AD3711" s="82">
        <f t="shared" si="176"/>
        <v>38.828571428571422</v>
      </c>
      <c r="AE3711" s="218">
        <v>-0.19013137271244393</v>
      </c>
      <c r="AF3711">
        <v>6</v>
      </c>
      <c r="AH3711" t="str">
        <f t="shared" si="177"/>
        <v>Hasanpur</v>
      </c>
      <c r="AJ3711" s="72">
        <v>0</v>
      </c>
      <c r="AK3711" s="72"/>
      <c r="AL3711" s="72"/>
      <c r="AM3711" s="72"/>
    </row>
    <row r="3712" spans="1:39" x14ac:dyDescent="0.25">
      <c r="A3712" s="37" t="s">
        <v>62</v>
      </c>
      <c r="B3712" s="66" t="s">
        <v>1644</v>
      </c>
      <c r="C3712" s="4">
        <v>1058</v>
      </c>
      <c r="D3712" s="41" t="s">
        <v>1344</v>
      </c>
      <c r="E3712" s="41">
        <v>10580004</v>
      </c>
      <c r="F3712" s="85" t="s">
        <v>1235</v>
      </c>
      <c r="G3712" s="39" t="s">
        <v>93</v>
      </c>
      <c r="H3712" s="52" t="s">
        <v>94</v>
      </c>
      <c r="I3712" s="52">
        <v>278.7</v>
      </c>
      <c r="J3712" s="49">
        <v>10214.726434548002</v>
      </c>
      <c r="K3712" s="58">
        <v>307.10000000000002</v>
      </c>
      <c r="L3712" s="58">
        <v>12954.611561284139</v>
      </c>
      <c r="M3712" s="58">
        <v>3.6999999999999997</v>
      </c>
      <c r="N3712" s="58">
        <v>154.59829335443999</v>
      </c>
      <c r="O3712" s="58">
        <v>310.8</v>
      </c>
      <c r="P3712" s="53">
        <v>13109.209854638579</v>
      </c>
      <c r="Q3712" s="65">
        <v>10214.726434548002</v>
      </c>
      <c r="R3712" s="65">
        <v>0</v>
      </c>
      <c r="S3712" s="65">
        <v>154.59829335443999</v>
      </c>
      <c r="T3712" s="65">
        <v>2894.4834200905771</v>
      </c>
      <c r="U3712" s="58">
        <v>0</v>
      </c>
      <c r="V3712" s="65">
        <v>0</v>
      </c>
      <c r="W3712" s="65">
        <v>0</v>
      </c>
      <c r="X3712" s="65">
        <v>10060</v>
      </c>
      <c r="Y3712" s="65">
        <v>0</v>
      </c>
      <c r="Z3712" s="51">
        <v>0</v>
      </c>
      <c r="AA3712" s="51">
        <v>0</v>
      </c>
      <c r="AB3712" s="102">
        <v>0</v>
      </c>
      <c r="AC3712" s="81">
        <f t="shared" si="175"/>
        <v>308.82412966451909</v>
      </c>
      <c r="AD3712" s="82">
        <f t="shared" si="176"/>
        <v>39.81428571428571</v>
      </c>
      <c r="AE3712" s="218">
        <v>-0.28336377274881536</v>
      </c>
      <c r="AF3712">
        <v>3</v>
      </c>
      <c r="AH3712" t="str">
        <f t="shared" si="177"/>
        <v>Hasanpur</v>
      </c>
      <c r="AJ3712" s="72">
        <v>0</v>
      </c>
      <c r="AK3712" s="72"/>
      <c r="AL3712" s="72"/>
      <c r="AM3712" s="72"/>
    </row>
    <row r="3713" spans="1:39" x14ac:dyDescent="0.25">
      <c r="A3713" s="37" t="s">
        <v>62</v>
      </c>
      <c r="B3713" s="66" t="s">
        <v>1644</v>
      </c>
      <c r="C3713" s="4">
        <v>1058</v>
      </c>
      <c r="D3713" s="41" t="s">
        <v>1344</v>
      </c>
      <c r="E3713" s="41">
        <v>10580005</v>
      </c>
      <c r="F3713" s="85" t="s">
        <v>1281</v>
      </c>
      <c r="G3713" s="39" t="s">
        <v>93</v>
      </c>
      <c r="H3713" s="52" t="s">
        <v>94</v>
      </c>
      <c r="I3713" s="52">
        <v>506.69999999999993</v>
      </c>
      <c r="J3713" s="49">
        <v>19459.987737611998</v>
      </c>
      <c r="K3713" s="58">
        <v>504.4</v>
      </c>
      <c r="L3713" s="58">
        <v>21086.964049143964</v>
      </c>
      <c r="M3713" s="58">
        <v>12.8</v>
      </c>
      <c r="N3713" s="58">
        <v>523.20269146500004</v>
      </c>
      <c r="O3713" s="58">
        <v>517.19999999999993</v>
      </c>
      <c r="P3713" s="53">
        <v>21610.166740608965</v>
      </c>
      <c r="Q3713" s="65">
        <v>19459.987737611998</v>
      </c>
      <c r="R3713" s="65">
        <v>0</v>
      </c>
      <c r="S3713" s="65">
        <v>523.20269146500004</v>
      </c>
      <c r="T3713" s="65">
        <v>2150.179002996967</v>
      </c>
      <c r="U3713" s="58">
        <v>0</v>
      </c>
      <c r="V3713" s="65">
        <v>0</v>
      </c>
      <c r="W3713" s="65">
        <v>0</v>
      </c>
      <c r="X3713" s="65">
        <v>18937</v>
      </c>
      <c r="Y3713" s="65">
        <v>0</v>
      </c>
      <c r="Z3713" s="51">
        <v>0</v>
      </c>
      <c r="AA3713" s="51">
        <v>0</v>
      </c>
      <c r="AB3713" s="102" t="s">
        <v>68</v>
      </c>
      <c r="AC3713" s="81">
        <f t="shared" ref="AC3713:AC3776" si="178">((IF(AD3713=0,0,100-AD3713))*7*(J3713/I3713))*2%</f>
        <v>148.4750593913717</v>
      </c>
      <c r="AD3713" s="82">
        <f t="shared" ref="AD3713:AD3776" si="179">IF((I3713/7)&gt;100,0,(I3713/7))</f>
        <v>72.385714285714272</v>
      </c>
      <c r="AE3713" s="218">
        <v>-0.1104923102721761</v>
      </c>
      <c r="AF3713">
        <v>9</v>
      </c>
      <c r="AH3713" t="str">
        <f t="shared" si="177"/>
        <v>Hasanpur</v>
      </c>
      <c r="AJ3713" s="72">
        <v>0</v>
      </c>
      <c r="AK3713" s="72"/>
      <c r="AL3713" s="72"/>
      <c r="AM3713" s="72"/>
    </row>
    <row r="3714" spans="1:39" x14ac:dyDescent="0.25">
      <c r="A3714" s="37" t="s">
        <v>62</v>
      </c>
      <c r="B3714" s="66" t="s">
        <v>1644</v>
      </c>
      <c r="C3714" s="4">
        <v>1058</v>
      </c>
      <c r="D3714" s="41" t="s">
        <v>1344</v>
      </c>
      <c r="E3714" s="41">
        <v>10580007</v>
      </c>
      <c r="F3714" s="85" t="s">
        <v>1282</v>
      </c>
      <c r="G3714" s="39" t="s">
        <v>93</v>
      </c>
      <c r="H3714" s="52" t="s">
        <v>94</v>
      </c>
      <c r="I3714" s="52">
        <v>87.499999999999986</v>
      </c>
      <c r="J3714" s="49">
        <v>3042.6525074880005</v>
      </c>
      <c r="K3714" s="58">
        <v>96.3</v>
      </c>
      <c r="L3714" s="58">
        <v>3335.351791869</v>
      </c>
      <c r="M3714" s="58">
        <v>0</v>
      </c>
      <c r="N3714" s="58">
        <v>0</v>
      </c>
      <c r="O3714" s="58">
        <v>96.3</v>
      </c>
      <c r="P3714" s="53">
        <v>3335.351791869</v>
      </c>
      <c r="Q3714" s="65">
        <v>3042.6525074880005</v>
      </c>
      <c r="R3714" s="65">
        <v>0</v>
      </c>
      <c r="S3714" s="65">
        <v>0</v>
      </c>
      <c r="T3714" s="65">
        <v>292.69928438099942</v>
      </c>
      <c r="U3714" s="58">
        <v>0</v>
      </c>
      <c r="V3714" s="65">
        <v>0</v>
      </c>
      <c r="W3714" s="65">
        <v>0</v>
      </c>
      <c r="X3714" s="65">
        <v>3043</v>
      </c>
      <c r="Y3714" s="65">
        <v>0</v>
      </c>
      <c r="Z3714" s="51">
        <v>0</v>
      </c>
      <c r="AA3714" s="51">
        <v>0</v>
      </c>
      <c r="AB3714" s="102">
        <v>0</v>
      </c>
      <c r="AC3714" s="81">
        <f t="shared" si="178"/>
        <v>425.97135104832023</v>
      </c>
      <c r="AD3714" s="82">
        <f t="shared" si="179"/>
        <v>12.499999999999998</v>
      </c>
      <c r="AE3714" s="218">
        <v>-9.6198722549046711E-2</v>
      </c>
      <c r="AF3714">
        <v>1</v>
      </c>
      <c r="AH3714" t="str">
        <f t="shared" si="177"/>
        <v>Hasanpur</v>
      </c>
      <c r="AJ3714" s="72">
        <v>0</v>
      </c>
      <c r="AK3714" s="72"/>
      <c r="AL3714" s="72"/>
      <c r="AM3714" s="72"/>
    </row>
    <row r="3715" spans="1:39" x14ac:dyDescent="0.25">
      <c r="A3715" s="37" t="s">
        <v>62</v>
      </c>
      <c r="B3715" s="66" t="s">
        <v>1644</v>
      </c>
      <c r="C3715" s="4">
        <v>1058</v>
      </c>
      <c r="D3715" s="41" t="s">
        <v>1344</v>
      </c>
      <c r="E3715" s="41">
        <v>10580010</v>
      </c>
      <c r="F3715" s="85" t="s">
        <v>1354</v>
      </c>
      <c r="G3715" s="39" t="s">
        <v>93</v>
      </c>
      <c r="H3715" s="52" t="s">
        <v>94</v>
      </c>
      <c r="I3715" s="52">
        <v>235.8</v>
      </c>
      <c r="J3715" s="49">
        <v>8315.3377682640021</v>
      </c>
      <c r="K3715" s="58">
        <v>318.99999999999994</v>
      </c>
      <c r="L3715" s="58">
        <v>12284.69946644232</v>
      </c>
      <c r="M3715" s="58">
        <v>0</v>
      </c>
      <c r="N3715" s="58">
        <v>0</v>
      </c>
      <c r="O3715" s="58">
        <v>318.99999999999994</v>
      </c>
      <c r="P3715" s="53">
        <v>12284.69946644232</v>
      </c>
      <c r="Q3715" s="65">
        <v>8315.3377682640021</v>
      </c>
      <c r="R3715" s="65">
        <v>0</v>
      </c>
      <c r="S3715" s="65">
        <v>0</v>
      </c>
      <c r="T3715" s="65">
        <v>3969.361698178318</v>
      </c>
      <c r="U3715" s="58">
        <v>0</v>
      </c>
      <c r="V3715" s="65">
        <v>0</v>
      </c>
      <c r="W3715" s="65">
        <v>0</v>
      </c>
      <c r="X3715" s="65">
        <v>8315</v>
      </c>
      <c r="Y3715" s="65">
        <v>0</v>
      </c>
      <c r="Z3715" s="51">
        <v>0</v>
      </c>
      <c r="AA3715" s="51">
        <v>0</v>
      </c>
      <c r="AB3715" s="102">
        <v>0</v>
      </c>
      <c r="AC3715" s="81">
        <f t="shared" si="178"/>
        <v>327.39438439594147</v>
      </c>
      <c r="AD3715" s="82">
        <f t="shared" si="179"/>
        <v>33.68571428571429</v>
      </c>
      <c r="AE3715" s="218">
        <v>-0.477354234884797</v>
      </c>
      <c r="AF3715">
        <v>3</v>
      </c>
      <c r="AH3715" t="str">
        <f t="shared" si="177"/>
        <v>Hasanpur</v>
      </c>
      <c r="AJ3715" s="72">
        <v>0</v>
      </c>
      <c r="AK3715" s="72"/>
      <c r="AL3715" s="72"/>
      <c r="AM3715" s="72"/>
    </row>
    <row r="3716" spans="1:39" x14ac:dyDescent="0.25">
      <c r="A3716" s="37" t="s">
        <v>62</v>
      </c>
      <c r="B3716" s="66" t="s">
        <v>1644</v>
      </c>
      <c r="C3716" s="4">
        <v>1058</v>
      </c>
      <c r="D3716" s="41" t="s">
        <v>1344</v>
      </c>
      <c r="E3716" s="41">
        <v>10580012</v>
      </c>
      <c r="F3716" s="85" t="s">
        <v>1355</v>
      </c>
      <c r="G3716" s="39" t="s">
        <v>93</v>
      </c>
      <c r="H3716" s="52" t="s">
        <v>94</v>
      </c>
      <c r="I3716" s="52">
        <v>240.49999999999997</v>
      </c>
      <c r="J3716" s="49">
        <v>9391.7917203300003</v>
      </c>
      <c r="K3716" s="58">
        <v>227.25000000000003</v>
      </c>
      <c r="L3716" s="58">
        <v>9652.1733401258716</v>
      </c>
      <c r="M3716" s="58">
        <v>0</v>
      </c>
      <c r="N3716" s="58">
        <v>0</v>
      </c>
      <c r="O3716" s="58">
        <v>227.25000000000003</v>
      </c>
      <c r="P3716" s="53">
        <v>9652.1733401258716</v>
      </c>
      <c r="Q3716" s="65">
        <v>9391.7917203300003</v>
      </c>
      <c r="R3716" s="65">
        <v>0</v>
      </c>
      <c r="S3716" s="65">
        <v>0</v>
      </c>
      <c r="T3716" s="65">
        <v>260.3816197958713</v>
      </c>
      <c r="U3716" s="58">
        <v>0</v>
      </c>
      <c r="V3716" s="65">
        <v>500</v>
      </c>
      <c r="W3716" s="65">
        <v>0</v>
      </c>
      <c r="X3716" s="65">
        <v>8892</v>
      </c>
      <c r="Y3716" s="65">
        <v>0</v>
      </c>
      <c r="Z3716" s="51">
        <v>0</v>
      </c>
      <c r="AA3716" s="51">
        <v>0</v>
      </c>
      <c r="AB3716" s="102">
        <v>0</v>
      </c>
      <c r="AC3716" s="81">
        <f t="shared" si="178"/>
        <v>358.87969193277632</v>
      </c>
      <c r="AD3716" s="82">
        <f t="shared" si="179"/>
        <v>34.357142857142854</v>
      </c>
      <c r="AE3716" s="218">
        <v>-2.7724381837837674E-2</v>
      </c>
      <c r="AF3716">
        <v>3</v>
      </c>
      <c r="AH3716" t="str">
        <f t="shared" si="177"/>
        <v>Hasanpur</v>
      </c>
      <c r="AJ3716" s="72">
        <v>500</v>
      </c>
      <c r="AK3716" s="72"/>
      <c r="AL3716" s="72"/>
      <c r="AM3716" s="72"/>
    </row>
    <row r="3717" spans="1:39" x14ac:dyDescent="0.25">
      <c r="A3717" s="37" t="s">
        <v>62</v>
      </c>
      <c r="B3717" s="66" t="s">
        <v>1644</v>
      </c>
      <c r="C3717" s="4">
        <v>1058</v>
      </c>
      <c r="D3717" s="41" t="s">
        <v>1344</v>
      </c>
      <c r="E3717" s="41">
        <v>10580013</v>
      </c>
      <c r="F3717" s="85" t="s">
        <v>1583</v>
      </c>
      <c r="G3717" s="39" t="s">
        <v>635</v>
      </c>
      <c r="H3717" s="52" t="s">
        <v>99</v>
      </c>
      <c r="I3717" s="52">
        <v>170.99999999999997</v>
      </c>
      <c r="J3717" s="49">
        <v>5684.7464330760013</v>
      </c>
      <c r="K3717" s="58">
        <v>0</v>
      </c>
      <c r="L3717" s="58">
        <v>0</v>
      </c>
      <c r="M3717" s="58">
        <v>0</v>
      </c>
      <c r="N3717" s="58">
        <v>0</v>
      </c>
      <c r="O3717" s="58">
        <v>0</v>
      </c>
      <c r="P3717" s="53">
        <v>0</v>
      </c>
      <c r="Q3717" s="65">
        <v>5684.7464330760013</v>
      </c>
      <c r="R3717" s="65">
        <v>0</v>
      </c>
      <c r="S3717" s="65">
        <v>0</v>
      </c>
      <c r="T3717" s="65">
        <v>0</v>
      </c>
      <c r="U3717" s="58">
        <v>0</v>
      </c>
      <c r="V3717" s="65">
        <v>0</v>
      </c>
      <c r="W3717" s="65">
        <v>0</v>
      </c>
      <c r="X3717" s="65">
        <v>0</v>
      </c>
      <c r="Y3717" s="65">
        <v>0</v>
      </c>
      <c r="Z3717" s="51">
        <v>5684.7464330760013</v>
      </c>
      <c r="AA3717" s="51">
        <v>0</v>
      </c>
      <c r="AB3717" s="102">
        <v>0</v>
      </c>
      <c r="AC3717" s="81">
        <f t="shared" si="178"/>
        <v>351.72290796458549</v>
      </c>
      <c r="AD3717" s="82">
        <f t="shared" si="179"/>
        <v>24.428571428571423</v>
      </c>
      <c r="AE3717" s="218">
        <v>0</v>
      </c>
      <c r="AF3717">
        <v>0</v>
      </c>
      <c r="AH3717" t="str">
        <f t="shared" si="177"/>
        <v>Hasanpur</v>
      </c>
      <c r="AJ3717" s="72">
        <v>0</v>
      </c>
      <c r="AK3717" s="72"/>
      <c r="AL3717" s="72"/>
      <c r="AM3717" s="72"/>
    </row>
    <row r="3718" spans="1:39" x14ac:dyDescent="0.25">
      <c r="A3718" s="37" t="s">
        <v>62</v>
      </c>
      <c r="B3718" s="66" t="s">
        <v>1644</v>
      </c>
      <c r="C3718" s="4">
        <v>1058</v>
      </c>
      <c r="D3718" s="41" t="s">
        <v>1344</v>
      </c>
      <c r="E3718" s="41">
        <v>10580015</v>
      </c>
      <c r="F3718" s="85" t="s">
        <v>1356</v>
      </c>
      <c r="G3718" s="39" t="s">
        <v>93</v>
      </c>
      <c r="H3718" s="52" t="s">
        <v>94</v>
      </c>
      <c r="I3718" s="52">
        <v>592.9</v>
      </c>
      <c r="J3718" s="49">
        <v>19706.733330702002</v>
      </c>
      <c r="K3718" s="58">
        <v>636.29</v>
      </c>
      <c r="L3718" s="58">
        <v>22291.238378075406</v>
      </c>
      <c r="M3718" s="58">
        <v>0</v>
      </c>
      <c r="N3718" s="58">
        <v>0</v>
      </c>
      <c r="O3718" s="58">
        <v>636.29</v>
      </c>
      <c r="P3718" s="53">
        <v>22291.238378075406</v>
      </c>
      <c r="Q3718" s="65">
        <v>19706.733330702002</v>
      </c>
      <c r="R3718" s="65">
        <v>0</v>
      </c>
      <c r="S3718" s="65">
        <v>0</v>
      </c>
      <c r="T3718" s="65">
        <v>2584.5050473734045</v>
      </c>
      <c r="U3718" s="58">
        <v>0</v>
      </c>
      <c r="V3718" s="65">
        <v>0</v>
      </c>
      <c r="W3718" s="65">
        <v>0</v>
      </c>
      <c r="X3718" s="65">
        <v>19707</v>
      </c>
      <c r="Y3718" s="65">
        <v>0</v>
      </c>
      <c r="Z3718" s="51">
        <v>0</v>
      </c>
      <c r="AA3718" s="51">
        <v>0</v>
      </c>
      <c r="AB3718" s="102">
        <v>0</v>
      </c>
      <c r="AC3718" s="81">
        <f t="shared" si="178"/>
        <v>71.195518290375588</v>
      </c>
      <c r="AD3718" s="82">
        <f t="shared" si="179"/>
        <v>84.7</v>
      </c>
      <c r="AE3718" s="218">
        <v>-0.13114832397650039</v>
      </c>
      <c r="AF3718">
        <v>7</v>
      </c>
      <c r="AH3718" t="str">
        <f t="shared" si="177"/>
        <v>Hasanpur</v>
      </c>
      <c r="AJ3718" s="72">
        <v>0</v>
      </c>
      <c r="AK3718" s="72"/>
      <c r="AL3718" s="72"/>
      <c r="AM3718" s="72"/>
    </row>
    <row r="3719" spans="1:39" x14ac:dyDescent="0.25">
      <c r="A3719" s="37" t="s">
        <v>62</v>
      </c>
      <c r="B3719" s="66" t="s">
        <v>1644</v>
      </c>
      <c r="C3719" s="4">
        <v>1058</v>
      </c>
      <c r="D3719" s="41" t="s">
        <v>1344</v>
      </c>
      <c r="E3719" s="41">
        <v>10580017</v>
      </c>
      <c r="F3719" s="85" t="s">
        <v>1357</v>
      </c>
      <c r="G3719" s="39" t="s">
        <v>93</v>
      </c>
      <c r="H3719" s="52" t="s">
        <v>94</v>
      </c>
      <c r="I3719" s="52">
        <v>1257.6999999999998</v>
      </c>
      <c r="J3719" s="49">
        <v>47292.535785021952</v>
      </c>
      <c r="K3719" s="58">
        <v>1258.0999999999999</v>
      </c>
      <c r="L3719" s="58">
        <v>47509.503698962944</v>
      </c>
      <c r="M3719" s="58">
        <v>5</v>
      </c>
      <c r="N3719" s="58">
        <v>272.66353745000004</v>
      </c>
      <c r="O3719" s="58">
        <v>1263.0999999999999</v>
      </c>
      <c r="P3719" s="53">
        <v>47782.167236412941</v>
      </c>
      <c r="Q3719" s="65">
        <v>47292.535785021952</v>
      </c>
      <c r="R3719" s="65">
        <v>0</v>
      </c>
      <c r="S3719" s="65">
        <v>272.66353745000004</v>
      </c>
      <c r="T3719" s="65">
        <v>489.63145139098924</v>
      </c>
      <c r="U3719" s="58">
        <v>0</v>
      </c>
      <c r="V3719" s="65">
        <v>0</v>
      </c>
      <c r="W3719" s="65">
        <v>0</v>
      </c>
      <c r="X3719" s="65">
        <v>47020</v>
      </c>
      <c r="Y3719" s="65">
        <v>0</v>
      </c>
      <c r="Z3719" s="51">
        <v>0</v>
      </c>
      <c r="AA3719" s="51">
        <v>0</v>
      </c>
      <c r="AB3719" s="102">
        <v>0</v>
      </c>
      <c r="AC3719" s="81">
        <f t="shared" si="178"/>
        <v>0</v>
      </c>
      <c r="AD3719" s="82">
        <f t="shared" si="179"/>
        <v>0</v>
      </c>
      <c r="AE3719" s="218">
        <v>-1.0353250111533683E-2</v>
      </c>
      <c r="AF3719">
        <v>3</v>
      </c>
      <c r="AH3719" t="str">
        <f t="shared" si="177"/>
        <v>Hasanpur</v>
      </c>
      <c r="AJ3719" s="72">
        <v>0</v>
      </c>
      <c r="AK3719" s="72"/>
      <c r="AL3719" s="72"/>
      <c r="AM3719" s="72"/>
    </row>
    <row r="3720" spans="1:39" x14ac:dyDescent="0.25">
      <c r="A3720" s="37" t="s">
        <v>62</v>
      </c>
      <c r="B3720" s="66" t="s">
        <v>1644</v>
      </c>
      <c r="C3720" s="4">
        <v>1058</v>
      </c>
      <c r="D3720" s="41" t="s">
        <v>1344</v>
      </c>
      <c r="E3720" s="41">
        <v>10580018</v>
      </c>
      <c r="F3720" s="85" t="s">
        <v>1364</v>
      </c>
      <c r="G3720" s="39" t="s">
        <v>93</v>
      </c>
      <c r="H3720" s="52" t="s">
        <v>94</v>
      </c>
      <c r="I3720" s="52">
        <v>146.69999999999999</v>
      </c>
      <c r="J3720" s="49">
        <v>6194.2526498699999</v>
      </c>
      <c r="K3720" s="58">
        <v>163.91</v>
      </c>
      <c r="L3720" s="58">
        <v>6974.30428399231</v>
      </c>
      <c r="M3720" s="58">
        <v>0</v>
      </c>
      <c r="N3720" s="58">
        <v>0</v>
      </c>
      <c r="O3720" s="58">
        <v>163.91</v>
      </c>
      <c r="P3720" s="53">
        <v>6974.30428399231</v>
      </c>
      <c r="Q3720" s="65">
        <v>6194.2526498699999</v>
      </c>
      <c r="R3720" s="65">
        <v>0</v>
      </c>
      <c r="S3720" s="65">
        <v>0</v>
      </c>
      <c r="T3720" s="65">
        <v>780.05163412231013</v>
      </c>
      <c r="U3720" s="58">
        <v>0</v>
      </c>
      <c r="V3720" s="65">
        <v>500</v>
      </c>
      <c r="W3720" s="65">
        <v>0</v>
      </c>
      <c r="X3720" s="65">
        <v>5694</v>
      </c>
      <c r="Y3720" s="65">
        <v>0</v>
      </c>
      <c r="Z3720" s="51">
        <v>0</v>
      </c>
      <c r="AA3720" s="51">
        <v>0</v>
      </c>
      <c r="AB3720" s="102" t="s">
        <v>68</v>
      </c>
      <c r="AC3720" s="81">
        <f t="shared" si="178"/>
        <v>467.25016921241604</v>
      </c>
      <c r="AD3720" s="82">
        <f t="shared" si="179"/>
        <v>20.957142857142856</v>
      </c>
      <c r="AE3720" s="218">
        <v>-0.12593151720065554</v>
      </c>
      <c r="AF3720">
        <v>10</v>
      </c>
      <c r="AH3720" t="str">
        <f t="shared" si="177"/>
        <v>Hasanpur</v>
      </c>
      <c r="AJ3720" s="72">
        <v>500</v>
      </c>
      <c r="AK3720" s="72"/>
      <c r="AL3720" s="72"/>
      <c r="AM3720" s="72"/>
    </row>
    <row r="3721" spans="1:39" x14ac:dyDescent="0.25">
      <c r="A3721" s="37" t="s">
        <v>62</v>
      </c>
      <c r="B3721" s="66" t="s">
        <v>1644</v>
      </c>
      <c r="C3721" s="4">
        <v>1058</v>
      </c>
      <c r="D3721" s="41" t="s">
        <v>1344</v>
      </c>
      <c r="E3721" s="41">
        <v>10580019</v>
      </c>
      <c r="F3721" s="85" t="s">
        <v>1510</v>
      </c>
      <c r="G3721" s="39" t="s">
        <v>93</v>
      </c>
      <c r="H3721" s="52" t="s">
        <v>94</v>
      </c>
      <c r="I3721" s="52">
        <v>42.7</v>
      </c>
      <c r="J3721" s="49">
        <v>1380.531680154</v>
      </c>
      <c r="K3721" s="58">
        <v>42.3</v>
      </c>
      <c r="L3721" s="58">
        <v>1547.4542688000001</v>
      </c>
      <c r="M3721" s="58">
        <v>0</v>
      </c>
      <c r="N3721" s="58">
        <v>0</v>
      </c>
      <c r="O3721" s="58">
        <v>42.3</v>
      </c>
      <c r="P3721" s="53">
        <v>1547.4542688000001</v>
      </c>
      <c r="Q3721" s="65">
        <v>1380.531680154</v>
      </c>
      <c r="R3721" s="65">
        <v>0</v>
      </c>
      <c r="S3721" s="65">
        <v>0</v>
      </c>
      <c r="T3721" s="65">
        <v>166.92258864600012</v>
      </c>
      <c r="U3721" s="58">
        <v>0</v>
      </c>
      <c r="V3721" s="65">
        <v>0</v>
      </c>
      <c r="W3721" s="65">
        <v>0</v>
      </c>
      <c r="X3721" s="65">
        <v>1381</v>
      </c>
      <c r="Y3721" s="65">
        <v>0</v>
      </c>
      <c r="Z3721" s="51">
        <v>0</v>
      </c>
      <c r="AA3721" s="51">
        <v>0</v>
      </c>
      <c r="AB3721" s="102" t="s">
        <v>68</v>
      </c>
      <c r="AC3721" s="81">
        <f t="shared" si="178"/>
        <v>425.02270415232988</v>
      </c>
      <c r="AD3721" s="82">
        <f t="shared" si="179"/>
        <v>6.1000000000000005</v>
      </c>
      <c r="AE3721" s="218">
        <v>-0.12091181321342781</v>
      </c>
      <c r="AF3721">
        <v>1</v>
      </c>
      <c r="AH3721" t="str">
        <f t="shared" si="177"/>
        <v>Hasanpur</v>
      </c>
      <c r="AJ3721" s="72">
        <v>0</v>
      </c>
      <c r="AK3721" s="72"/>
      <c r="AL3721" s="72"/>
      <c r="AM3721" s="72"/>
    </row>
    <row r="3722" spans="1:39" x14ac:dyDescent="0.25">
      <c r="A3722" s="37" t="s">
        <v>62</v>
      </c>
      <c r="B3722" s="66" t="s">
        <v>1644</v>
      </c>
      <c r="C3722" s="4">
        <v>1058</v>
      </c>
      <c r="D3722" s="41" t="s">
        <v>1344</v>
      </c>
      <c r="E3722" s="41">
        <v>10580022</v>
      </c>
      <c r="F3722" s="85" t="s">
        <v>1397</v>
      </c>
      <c r="G3722" s="39" t="s">
        <v>93</v>
      </c>
      <c r="H3722" s="52" t="s">
        <v>94</v>
      </c>
      <c r="I3722" s="52">
        <v>280.09999999999997</v>
      </c>
      <c r="J3722" s="49">
        <v>13044.9402183276</v>
      </c>
      <c r="K3722" s="58">
        <v>314.09999999999991</v>
      </c>
      <c r="L3722" s="58">
        <v>14260.718173513797</v>
      </c>
      <c r="M3722" s="58">
        <v>0</v>
      </c>
      <c r="N3722" s="58">
        <v>0</v>
      </c>
      <c r="O3722" s="58">
        <v>314.09999999999991</v>
      </c>
      <c r="P3722" s="53">
        <v>14260.718173513797</v>
      </c>
      <c r="Q3722" s="65">
        <v>13044.9402183276</v>
      </c>
      <c r="R3722" s="65">
        <v>0</v>
      </c>
      <c r="S3722" s="65">
        <v>0</v>
      </c>
      <c r="T3722" s="65">
        <v>1215.7779551861968</v>
      </c>
      <c r="U3722" s="58">
        <v>0</v>
      </c>
      <c r="V3722" s="65">
        <v>0</v>
      </c>
      <c r="W3722" s="65">
        <v>0</v>
      </c>
      <c r="X3722" s="65">
        <v>13045</v>
      </c>
      <c r="Y3722" s="65">
        <v>0</v>
      </c>
      <c r="Z3722" s="51">
        <v>0</v>
      </c>
      <c r="AA3722" s="51">
        <v>0</v>
      </c>
      <c r="AB3722" s="102" t="s">
        <v>68</v>
      </c>
      <c r="AC3722" s="81">
        <f t="shared" si="178"/>
        <v>391.11534435385647</v>
      </c>
      <c r="AD3722" s="82">
        <f t="shared" si="179"/>
        <v>40.014285714285712</v>
      </c>
      <c r="AE3722" s="218">
        <v>-9.3199197147571383E-2</v>
      </c>
      <c r="AF3722">
        <v>4</v>
      </c>
      <c r="AH3722" t="str">
        <f t="shared" si="177"/>
        <v>Hasanpur</v>
      </c>
      <c r="AJ3722" s="72">
        <v>0</v>
      </c>
      <c r="AK3722" s="72"/>
      <c r="AL3722" s="72"/>
      <c r="AM3722" s="72"/>
    </row>
    <row r="3723" spans="1:39" x14ac:dyDescent="0.25">
      <c r="A3723" s="37" t="s">
        <v>62</v>
      </c>
      <c r="B3723" s="66" t="s">
        <v>1644</v>
      </c>
      <c r="C3723" s="4">
        <v>1058</v>
      </c>
      <c r="D3723" s="41" t="s">
        <v>1344</v>
      </c>
      <c r="E3723" s="41">
        <v>10580023</v>
      </c>
      <c r="F3723" s="85" t="s">
        <v>1398</v>
      </c>
      <c r="G3723" s="39" t="s">
        <v>635</v>
      </c>
      <c r="H3723" s="52" t="s">
        <v>99</v>
      </c>
      <c r="I3723" s="52">
        <v>788.30000000000007</v>
      </c>
      <c r="J3723" s="49">
        <v>30165.116774286005</v>
      </c>
      <c r="K3723" s="58">
        <v>0</v>
      </c>
      <c r="L3723" s="58">
        <v>0</v>
      </c>
      <c r="M3723" s="58">
        <v>0</v>
      </c>
      <c r="N3723" s="58">
        <v>0</v>
      </c>
      <c r="O3723" s="58">
        <v>0</v>
      </c>
      <c r="P3723" s="53">
        <v>0</v>
      </c>
      <c r="Q3723" s="65">
        <v>30165.116774286005</v>
      </c>
      <c r="R3723" s="65">
        <v>0</v>
      </c>
      <c r="S3723" s="65">
        <v>0</v>
      </c>
      <c r="T3723" s="65">
        <v>0</v>
      </c>
      <c r="U3723" s="58">
        <v>0</v>
      </c>
      <c r="V3723" s="65">
        <v>0</v>
      </c>
      <c r="W3723" s="65">
        <v>0</v>
      </c>
      <c r="X3723" s="65">
        <v>0</v>
      </c>
      <c r="Y3723" s="65">
        <v>0</v>
      </c>
      <c r="Z3723" s="51">
        <v>30165.116774286005</v>
      </c>
      <c r="AA3723" s="51">
        <v>0</v>
      </c>
      <c r="AB3723" s="102">
        <v>0</v>
      </c>
      <c r="AC3723" s="81">
        <f t="shared" si="178"/>
        <v>0</v>
      </c>
      <c r="AD3723" s="82">
        <f t="shared" si="179"/>
        <v>0</v>
      </c>
      <c r="AE3723" s="218">
        <v>0</v>
      </c>
      <c r="AF3723">
        <v>0</v>
      </c>
      <c r="AH3723" t="str">
        <f t="shared" si="177"/>
        <v>Hasanpur</v>
      </c>
      <c r="AJ3723" s="72">
        <v>0</v>
      </c>
      <c r="AK3723" s="72"/>
      <c r="AL3723" s="72"/>
      <c r="AM3723" s="72"/>
    </row>
    <row r="3724" spans="1:39" x14ac:dyDescent="0.25">
      <c r="A3724" s="37" t="s">
        <v>62</v>
      </c>
      <c r="B3724" s="66" t="s">
        <v>1644</v>
      </c>
      <c r="C3724" s="4">
        <v>1058</v>
      </c>
      <c r="D3724" s="41" t="s">
        <v>1344</v>
      </c>
      <c r="E3724" s="41">
        <v>10580024</v>
      </c>
      <c r="F3724" s="85" t="s">
        <v>1511</v>
      </c>
      <c r="G3724" s="39" t="s">
        <v>93</v>
      </c>
      <c r="H3724" s="52" t="s">
        <v>94</v>
      </c>
      <c r="I3724" s="52">
        <v>170.39999999999998</v>
      </c>
      <c r="J3724" s="49">
        <v>6532.2028540440015</v>
      </c>
      <c r="K3724" s="58">
        <v>215.59999999999997</v>
      </c>
      <c r="L3724" s="58">
        <v>8761.0494942993919</v>
      </c>
      <c r="M3724" s="58">
        <v>0</v>
      </c>
      <c r="N3724" s="58">
        <v>0</v>
      </c>
      <c r="O3724" s="58">
        <v>215.59999999999997</v>
      </c>
      <c r="P3724" s="53">
        <v>8761.0494942993919</v>
      </c>
      <c r="Q3724" s="65">
        <v>6532.2028540440015</v>
      </c>
      <c r="R3724" s="65">
        <v>0</v>
      </c>
      <c r="S3724" s="65">
        <v>0</v>
      </c>
      <c r="T3724" s="65">
        <v>2228.8466402553904</v>
      </c>
      <c r="U3724" s="58">
        <v>0</v>
      </c>
      <c r="V3724" s="65">
        <v>0</v>
      </c>
      <c r="W3724" s="65">
        <v>0</v>
      </c>
      <c r="X3724" s="65">
        <v>6532</v>
      </c>
      <c r="Y3724" s="65">
        <v>0</v>
      </c>
      <c r="Z3724" s="51">
        <v>0</v>
      </c>
      <c r="AA3724" s="51">
        <v>0</v>
      </c>
      <c r="AB3724" s="102">
        <v>0</v>
      </c>
      <c r="AC3724" s="81">
        <f t="shared" si="178"/>
        <v>406.0392759978526</v>
      </c>
      <c r="AD3724" s="82">
        <f t="shared" si="179"/>
        <v>24.342857142857138</v>
      </c>
      <c r="AE3724" s="218">
        <v>-0.34120903622512894</v>
      </c>
      <c r="AF3724">
        <v>2</v>
      </c>
      <c r="AH3724" t="str">
        <f t="shared" si="177"/>
        <v>Hasanpur</v>
      </c>
      <c r="AJ3724" s="72">
        <v>0</v>
      </c>
      <c r="AK3724" s="72"/>
      <c r="AL3724" s="72"/>
      <c r="AM3724" s="72"/>
    </row>
    <row r="3725" spans="1:39" x14ac:dyDescent="0.25">
      <c r="A3725" s="37" t="s">
        <v>62</v>
      </c>
      <c r="B3725" s="66" t="s">
        <v>1644</v>
      </c>
      <c r="C3725" s="4">
        <v>1058</v>
      </c>
      <c r="D3725" s="41" t="s">
        <v>1344</v>
      </c>
      <c r="E3725" s="41">
        <v>10580025</v>
      </c>
      <c r="F3725" s="85" t="s">
        <v>1512</v>
      </c>
      <c r="G3725" s="39" t="s">
        <v>93</v>
      </c>
      <c r="H3725" s="52" t="s">
        <v>94</v>
      </c>
      <c r="I3725" s="52">
        <v>336.8</v>
      </c>
      <c r="J3725" s="49">
        <v>13489.597805106003</v>
      </c>
      <c r="K3725" s="58">
        <v>418.94</v>
      </c>
      <c r="L3725" s="58">
        <v>16517.820799250898</v>
      </c>
      <c r="M3725" s="58">
        <v>0</v>
      </c>
      <c r="N3725" s="58">
        <v>0</v>
      </c>
      <c r="O3725" s="58">
        <v>418.94</v>
      </c>
      <c r="P3725" s="53">
        <v>16517.820799250898</v>
      </c>
      <c r="Q3725" s="65">
        <v>13489.597805106003</v>
      </c>
      <c r="R3725" s="65">
        <v>0</v>
      </c>
      <c r="S3725" s="65">
        <v>0</v>
      </c>
      <c r="T3725" s="65">
        <v>3028.222994144895</v>
      </c>
      <c r="U3725" s="58">
        <v>0</v>
      </c>
      <c r="V3725" s="65">
        <v>0</v>
      </c>
      <c r="W3725" s="65">
        <v>0</v>
      </c>
      <c r="X3725" s="65">
        <v>13490</v>
      </c>
      <c r="Y3725" s="65">
        <v>0</v>
      </c>
      <c r="Z3725" s="51">
        <v>0</v>
      </c>
      <c r="AA3725" s="51">
        <v>0</v>
      </c>
      <c r="AB3725" s="102">
        <v>0</v>
      </c>
      <c r="AC3725" s="81">
        <f t="shared" si="178"/>
        <v>290.9395441101247</v>
      </c>
      <c r="AD3725" s="82">
        <f t="shared" si="179"/>
        <v>48.114285714285714</v>
      </c>
      <c r="AE3725" s="218">
        <v>-0.22448578807877206</v>
      </c>
      <c r="AF3725">
        <v>6</v>
      </c>
      <c r="AH3725" t="str">
        <f t="shared" si="177"/>
        <v>Hasanpur</v>
      </c>
      <c r="AJ3725" s="72">
        <v>0</v>
      </c>
      <c r="AK3725" s="72"/>
      <c r="AL3725" s="72"/>
      <c r="AM3725" s="72"/>
    </row>
    <row r="3726" spans="1:39" x14ac:dyDescent="0.25">
      <c r="A3726" s="37" t="s">
        <v>62</v>
      </c>
      <c r="B3726" s="66" t="s">
        <v>1644</v>
      </c>
      <c r="C3726" s="4">
        <v>1058</v>
      </c>
      <c r="D3726" s="41" t="s">
        <v>1344</v>
      </c>
      <c r="E3726" s="41">
        <v>10580026</v>
      </c>
      <c r="F3726" s="85" t="s">
        <v>1513</v>
      </c>
      <c r="G3726" s="39" t="s">
        <v>93</v>
      </c>
      <c r="H3726" s="52" t="s">
        <v>94</v>
      </c>
      <c r="I3726" s="52">
        <v>151.80000000000001</v>
      </c>
      <c r="J3726" s="49">
        <v>5126.3998720326008</v>
      </c>
      <c r="K3726" s="58">
        <v>137</v>
      </c>
      <c r="L3726" s="58">
        <v>3949.9539681870001</v>
      </c>
      <c r="M3726" s="58">
        <v>0</v>
      </c>
      <c r="N3726" s="58">
        <v>0</v>
      </c>
      <c r="O3726" s="58">
        <v>137</v>
      </c>
      <c r="P3726" s="53">
        <v>3949.9539681870001</v>
      </c>
      <c r="Q3726" s="65">
        <v>3949.9539681870001</v>
      </c>
      <c r="R3726" s="65">
        <v>0</v>
      </c>
      <c r="S3726" s="65">
        <v>0</v>
      </c>
      <c r="T3726" s="65">
        <v>0</v>
      </c>
      <c r="U3726" s="58">
        <v>0</v>
      </c>
      <c r="V3726" s="65">
        <v>0</v>
      </c>
      <c r="W3726" s="65">
        <v>0</v>
      </c>
      <c r="X3726" s="65">
        <v>3950</v>
      </c>
      <c r="Y3726" s="65">
        <v>0</v>
      </c>
      <c r="Z3726" s="51">
        <v>0</v>
      </c>
      <c r="AA3726" s="51">
        <v>1176</v>
      </c>
      <c r="AB3726" s="102">
        <v>0</v>
      </c>
      <c r="AC3726" s="81">
        <f t="shared" si="178"/>
        <v>370.26250459134013</v>
      </c>
      <c r="AD3726" s="82">
        <f t="shared" si="179"/>
        <v>21.685714285714287</v>
      </c>
      <c r="AE3726" s="218">
        <v>0.22948773665975139</v>
      </c>
      <c r="AF3726">
        <v>1</v>
      </c>
      <c r="AH3726" t="str">
        <f t="shared" si="177"/>
        <v>Hasanpur</v>
      </c>
      <c r="AJ3726" s="72">
        <v>0</v>
      </c>
      <c r="AK3726" s="72"/>
      <c r="AL3726" s="72"/>
      <c r="AM3726" s="72"/>
    </row>
    <row r="3727" spans="1:39" x14ac:dyDescent="0.25">
      <c r="A3727" s="37" t="s">
        <v>62</v>
      </c>
      <c r="B3727" s="66" t="s">
        <v>1644</v>
      </c>
      <c r="C3727" s="4">
        <v>1058</v>
      </c>
      <c r="D3727" s="41" t="s">
        <v>1344</v>
      </c>
      <c r="E3727" s="41">
        <v>10580027</v>
      </c>
      <c r="F3727" s="85" t="s">
        <v>1514</v>
      </c>
      <c r="G3727" s="39" t="s">
        <v>93</v>
      </c>
      <c r="H3727" s="52" t="s">
        <v>94</v>
      </c>
      <c r="I3727" s="52">
        <v>130.10000000000002</v>
      </c>
      <c r="J3727" s="49">
        <v>5579.9580208980005</v>
      </c>
      <c r="K3727" s="58">
        <v>69.92</v>
      </c>
      <c r="L3727" s="58">
        <v>3058.54555331544</v>
      </c>
      <c r="M3727" s="58">
        <v>0</v>
      </c>
      <c r="N3727" s="58">
        <v>0</v>
      </c>
      <c r="O3727" s="58">
        <v>69.92</v>
      </c>
      <c r="P3727" s="53">
        <v>3058.54555331544</v>
      </c>
      <c r="Q3727" s="65">
        <v>3058.54555331544</v>
      </c>
      <c r="R3727" s="65">
        <v>0</v>
      </c>
      <c r="S3727" s="65">
        <v>0</v>
      </c>
      <c r="T3727" s="65">
        <v>0</v>
      </c>
      <c r="U3727" s="58">
        <v>0</v>
      </c>
      <c r="V3727" s="65">
        <v>0</v>
      </c>
      <c r="W3727" s="65">
        <v>0</v>
      </c>
      <c r="X3727" s="65">
        <v>3059</v>
      </c>
      <c r="Y3727" s="65">
        <v>0</v>
      </c>
      <c r="Z3727" s="51">
        <v>0</v>
      </c>
      <c r="AA3727" s="51">
        <v>2521</v>
      </c>
      <c r="AB3727" s="102">
        <v>0</v>
      </c>
      <c r="AC3727" s="81">
        <f t="shared" si="178"/>
        <v>488.85750593539888</v>
      </c>
      <c r="AD3727" s="82">
        <f t="shared" si="179"/>
        <v>18.585714285714289</v>
      </c>
      <c r="AE3727" s="218">
        <v>0.45186943309239835</v>
      </c>
      <c r="AF3727">
        <v>1</v>
      </c>
      <c r="AH3727" t="str">
        <f t="shared" si="177"/>
        <v>Hasanpur</v>
      </c>
      <c r="AJ3727" s="72">
        <v>0</v>
      </c>
      <c r="AK3727" s="72"/>
      <c r="AL3727" s="72"/>
      <c r="AM3727" s="72"/>
    </row>
    <row r="3728" spans="1:39" x14ac:dyDescent="0.25">
      <c r="A3728" s="37" t="s">
        <v>62</v>
      </c>
      <c r="B3728" s="66" t="s">
        <v>1644</v>
      </c>
      <c r="C3728" s="4">
        <v>1058</v>
      </c>
      <c r="D3728" s="41" t="s">
        <v>1344</v>
      </c>
      <c r="E3728" s="41">
        <v>10580028</v>
      </c>
      <c r="F3728" s="85" t="s">
        <v>1515</v>
      </c>
      <c r="G3728" s="39" t="s">
        <v>93</v>
      </c>
      <c r="H3728" s="52" t="s">
        <v>94</v>
      </c>
      <c r="I3728" s="52">
        <v>289.2</v>
      </c>
      <c r="J3728" s="49">
        <v>12031.8180791256</v>
      </c>
      <c r="K3728" s="58">
        <v>434.19999999999993</v>
      </c>
      <c r="L3728" s="58">
        <v>18285.185091345276</v>
      </c>
      <c r="M3728" s="58">
        <v>0</v>
      </c>
      <c r="N3728" s="58">
        <v>0</v>
      </c>
      <c r="O3728" s="58">
        <v>434.19999999999993</v>
      </c>
      <c r="P3728" s="53">
        <v>18285.185091345276</v>
      </c>
      <c r="Q3728" s="65">
        <v>12031.8180791256</v>
      </c>
      <c r="R3728" s="65">
        <v>0</v>
      </c>
      <c r="S3728" s="65">
        <v>0</v>
      </c>
      <c r="T3728" s="65">
        <v>6253.3670122196763</v>
      </c>
      <c r="U3728" s="58">
        <v>0</v>
      </c>
      <c r="V3728" s="65">
        <v>0</v>
      </c>
      <c r="W3728" s="65">
        <v>0</v>
      </c>
      <c r="X3728" s="65">
        <v>12032</v>
      </c>
      <c r="Y3728" s="65">
        <v>0</v>
      </c>
      <c r="Z3728" s="51">
        <v>0</v>
      </c>
      <c r="AA3728" s="51">
        <v>0</v>
      </c>
      <c r="AB3728" s="102">
        <v>0</v>
      </c>
      <c r="AC3728" s="81">
        <f t="shared" si="178"/>
        <v>341.81679577488222</v>
      </c>
      <c r="AD3728" s="82">
        <f t="shared" si="179"/>
        <v>41.31428571428571</v>
      </c>
      <c r="AE3728" s="218">
        <v>-0.51973583469225237</v>
      </c>
      <c r="AF3728">
        <v>4</v>
      </c>
      <c r="AH3728" t="str">
        <f t="shared" si="177"/>
        <v>Hasanpur</v>
      </c>
      <c r="AJ3728" s="72">
        <v>0</v>
      </c>
      <c r="AK3728" s="72"/>
      <c r="AL3728" s="72"/>
      <c r="AM3728" s="72"/>
    </row>
    <row r="3729" spans="1:39" x14ac:dyDescent="0.25">
      <c r="A3729" s="37" t="s">
        <v>62</v>
      </c>
      <c r="B3729" s="66" t="s">
        <v>1644</v>
      </c>
      <c r="C3729" s="4">
        <v>1058</v>
      </c>
      <c r="D3729" s="41" t="s">
        <v>1344</v>
      </c>
      <c r="E3729" s="41">
        <v>10580029</v>
      </c>
      <c r="F3729" s="85" t="s">
        <v>1244</v>
      </c>
      <c r="G3729" s="39" t="s">
        <v>93</v>
      </c>
      <c r="H3729" s="52" t="s">
        <v>94</v>
      </c>
      <c r="I3729" s="52">
        <v>172.4</v>
      </c>
      <c r="J3729" s="49">
        <v>7394.1478836702008</v>
      </c>
      <c r="K3729" s="58">
        <v>198.70000000000005</v>
      </c>
      <c r="L3729" s="58">
        <v>8844.5043337676016</v>
      </c>
      <c r="M3729" s="58">
        <v>0</v>
      </c>
      <c r="N3729" s="58">
        <v>0</v>
      </c>
      <c r="O3729" s="58">
        <v>198.70000000000005</v>
      </c>
      <c r="P3729" s="53">
        <v>8844.5043337676016</v>
      </c>
      <c r="Q3729" s="65">
        <v>7394.1478836702008</v>
      </c>
      <c r="R3729" s="65">
        <v>0</v>
      </c>
      <c r="S3729" s="65">
        <v>0</v>
      </c>
      <c r="T3729" s="65">
        <v>1450.3564500974007</v>
      </c>
      <c r="U3729" s="58">
        <v>0</v>
      </c>
      <c r="V3729" s="65">
        <v>0</v>
      </c>
      <c r="W3729" s="65">
        <v>0</v>
      </c>
      <c r="X3729" s="65">
        <v>7394</v>
      </c>
      <c r="Y3729" s="65">
        <v>0</v>
      </c>
      <c r="Z3729" s="51">
        <v>0</v>
      </c>
      <c r="AA3729" s="51">
        <v>0</v>
      </c>
      <c r="AB3729" s="102" t="s">
        <v>68</v>
      </c>
      <c r="AC3729" s="81">
        <f t="shared" si="178"/>
        <v>452.56988670816668</v>
      </c>
      <c r="AD3729" s="82">
        <f t="shared" si="179"/>
        <v>24.62857142857143</v>
      </c>
      <c r="AE3729" s="218">
        <v>-0.19614923489702962</v>
      </c>
      <c r="AF3729">
        <v>5</v>
      </c>
      <c r="AH3729" t="str">
        <f t="shared" si="177"/>
        <v>Hasanpur</v>
      </c>
      <c r="AJ3729" s="72">
        <v>0</v>
      </c>
      <c r="AK3729" s="72"/>
      <c r="AL3729" s="72"/>
      <c r="AM3729" s="72"/>
    </row>
    <row r="3730" spans="1:39" x14ac:dyDescent="0.25">
      <c r="A3730" s="37" t="s">
        <v>62</v>
      </c>
      <c r="B3730" s="66" t="s">
        <v>1644</v>
      </c>
      <c r="C3730" s="4">
        <v>1058</v>
      </c>
      <c r="D3730" s="41" t="s">
        <v>1344</v>
      </c>
      <c r="E3730" s="41">
        <v>10580030</v>
      </c>
      <c r="F3730" s="85" t="s">
        <v>1516</v>
      </c>
      <c r="G3730" s="39" t="s">
        <v>93</v>
      </c>
      <c r="H3730" s="52" t="s">
        <v>94</v>
      </c>
      <c r="I3730" s="52">
        <v>629.19999999999993</v>
      </c>
      <c r="J3730" s="49">
        <v>21533.570089123506</v>
      </c>
      <c r="K3730" s="58">
        <v>609.00000000000011</v>
      </c>
      <c r="L3730" s="58">
        <v>20298.614083347002</v>
      </c>
      <c r="M3730" s="58">
        <v>0</v>
      </c>
      <c r="N3730" s="58">
        <v>0</v>
      </c>
      <c r="O3730" s="58">
        <v>609.00000000000011</v>
      </c>
      <c r="P3730" s="53">
        <v>20298.614083347002</v>
      </c>
      <c r="Q3730" s="65">
        <v>20298.614083347002</v>
      </c>
      <c r="R3730" s="65">
        <v>0</v>
      </c>
      <c r="S3730" s="65">
        <v>0</v>
      </c>
      <c r="T3730" s="65">
        <v>0</v>
      </c>
      <c r="U3730" s="58">
        <v>0</v>
      </c>
      <c r="V3730" s="65">
        <v>0</v>
      </c>
      <c r="W3730" s="65">
        <v>0</v>
      </c>
      <c r="X3730" s="65">
        <v>20299</v>
      </c>
      <c r="Y3730" s="65">
        <v>0</v>
      </c>
      <c r="Z3730" s="51">
        <v>0</v>
      </c>
      <c r="AA3730" s="51">
        <v>1235</v>
      </c>
      <c r="AB3730" s="102">
        <v>0</v>
      </c>
      <c r="AC3730" s="81">
        <f t="shared" si="178"/>
        <v>48.460799819133712</v>
      </c>
      <c r="AD3730" s="82">
        <f t="shared" si="179"/>
        <v>89.885714285714272</v>
      </c>
      <c r="AE3730" s="218">
        <v>5.7350267543433246E-2</v>
      </c>
      <c r="AF3730">
        <v>1</v>
      </c>
      <c r="AH3730" t="str">
        <f t="shared" si="177"/>
        <v>Hasanpur</v>
      </c>
      <c r="AJ3730" s="72">
        <v>0</v>
      </c>
      <c r="AK3730" s="72"/>
      <c r="AL3730" s="72"/>
      <c r="AM3730" s="72"/>
    </row>
    <row r="3731" spans="1:39" x14ac:dyDescent="0.25">
      <c r="A3731" s="37" t="s">
        <v>62</v>
      </c>
      <c r="B3731" s="66" t="s">
        <v>1644</v>
      </c>
      <c r="C3731" s="4">
        <v>1059</v>
      </c>
      <c r="D3731" s="41" t="s">
        <v>1347</v>
      </c>
      <c r="E3731" s="41">
        <v>10590001</v>
      </c>
      <c r="F3731" s="85" t="s">
        <v>1341</v>
      </c>
      <c r="G3731" s="39" t="s">
        <v>93</v>
      </c>
      <c r="H3731" s="52" t="s">
        <v>94</v>
      </c>
      <c r="I3731" s="52">
        <v>793.60000000000014</v>
      </c>
      <c r="J3731" s="49">
        <v>45186.113944386998</v>
      </c>
      <c r="K3731" s="58">
        <v>822.62000000000023</v>
      </c>
      <c r="L3731" s="58">
        <v>45748.763324923399</v>
      </c>
      <c r="M3731" s="58">
        <v>1.96</v>
      </c>
      <c r="N3731" s="58">
        <v>149.10925725360005</v>
      </c>
      <c r="O3731" s="58">
        <v>824.58000000000027</v>
      </c>
      <c r="P3731" s="53">
        <v>45897.872582176999</v>
      </c>
      <c r="Q3731" s="65">
        <v>45186.113944386998</v>
      </c>
      <c r="R3731" s="65">
        <v>0</v>
      </c>
      <c r="S3731" s="65">
        <v>149.10925725360005</v>
      </c>
      <c r="T3731" s="65">
        <v>711.75863779000065</v>
      </c>
      <c r="U3731" s="58">
        <v>0</v>
      </c>
      <c r="V3731" s="65">
        <v>0</v>
      </c>
      <c r="W3731" s="65">
        <v>0</v>
      </c>
      <c r="X3731" s="65">
        <v>45037</v>
      </c>
      <c r="Y3731" s="65">
        <v>0</v>
      </c>
      <c r="Z3731" s="51">
        <v>0</v>
      </c>
      <c r="AA3731" s="51">
        <v>0</v>
      </c>
      <c r="AB3731" s="102">
        <v>0</v>
      </c>
      <c r="AC3731" s="81">
        <f t="shared" si="178"/>
        <v>0</v>
      </c>
      <c r="AD3731" s="82">
        <f t="shared" si="179"/>
        <v>0</v>
      </c>
      <c r="AE3731" s="218">
        <v>-1.5751711657833657E-2</v>
      </c>
      <c r="AF3731">
        <v>4</v>
      </c>
      <c r="AH3731" t="str">
        <f t="shared" si="177"/>
        <v>Gopalpur Bmc</v>
      </c>
      <c r="AJ3731" s="72">
        <v>0</v>
      </c>
      <c r="AK3731" s="72"/>
      <c r="AL3731" s="72"/>
      <c r="AM3731" s="72"/>
    </row>
    <row r="3732" spans="1:39" x14ac:dyDescent="0.25">
      <c r="A3732" s="37" t="s">
        <v>62</v>
      </c>
      <c r="B3732" s="66" t="s">
        <v>1644</v>
      </c>
      <c r="C3732" s="4">
        <v>1059</v>
      </c>
      <c r="D3732" s="41" t="s">
        <v>1347</v>
      </c>
      <c r="E3732" s="41">
        <v>10590002</v>
      </c>
      <c r="F3732" s="85" t="s">
        <v>1342</v>
      </c>
      <c r="G3732" s="39" t="s">
        <v>93</v>
      </c>
      <c r="H3732" s="52" t="s">
        <v>94</v>
      </c>
      <c r="I3732" s="52">
        <v>153.09999999999997</v>
      </c>
      <c r="J3732" s="49">
        <v>9367.0623690840002</v>
      </c>
      <c r="K3732" s="58">
        <v>154.62</v>
      </c>
      <c r="L3732" s="58">
        <v>10039.696428097441</v>
      </c>
      <c r="M3732" s="58">
        <v>0</v>
      </c>
      <c r="N3732" s="58">
        <v>0</v>
      </c>
      <c r="O3732" s="58">
        <v>154.62</v>
      </c>
      <c r="P3732" s="53">
        <v>10039.696428097441</v>
      </c>
      <c r="Q3732" s="65">
        <v>9367.0623690840002</v>
      </c>
      <c r="R3732" s="65">
        <v>0</v>
      </c>
      <c r="S3732" s="65">
        <v>0</v>
      </c>
      <c r="T3732" s="65">
        <v>672.63405901344049</v>
      </c>
      <c r="U3732" s="58">
        <v>0</v>
      </c>
      <c r="V3732" s="65">
        <v>500</v>
      </c>
      <c r="W3732" s="65">
        <v>0</v>
      </c>
      <c r="X3732" s="65">
        <v>8867</v>
      </c>
      <c r="Y3732" s="65">
        <v>0</v>
      </c>
      <c r="Z3732" s="51">
        <v>0</v>
      </c>
      <c r="AA3732" s="51">
        <v>0</v>
      </c>
      <c r="AB3732" s="102">
        <v>0</v>
      </c>
      <c r="AC3732" s="81">
        <f t="shared" si="178"/>
        <v>669.21572954304929</v>
      </c>
      <c r="AD3732" s="82">
        <f t="shared" si="179"/>
        <v>21.871428571428567</v>
      </c>
      <c r="AE3732" s="218">
        <v>-7.1808431769758457E-2</v>
      </c>
      <c r="AF3732">
        <v>1</v>
      </c>
      <c r="AH3732" t="str">
        <f t="shared" si="177"/>
        <v>Gopalpur Bmc</v>
      </c>
      <c r="AJ3732" s="72">
        <v>500</v>
      </c>
      <c r="AK3732" s="72"/>
      <c r="AL3732" s="72"/>
      <c r="AM3732" s="72"/>
    </row>
    <row r="3733" spans="1:39" x14ac:dyDescent="0.25">
      <c r="A3733" s="37" t="s">
        <v>62</v>
      </c>
      <c r="B3733" s="66" t="s">
        <v>1644</v>
      </c>
      <c r="C3733" s="4">
        <v>1059</v>
      </c>
      <c r="D3733" s="41" t="s">
        <v>1347</v>
      </c>
      <c r="E3733" s="41">
        <v>10590004</v>
      </c>
      <c r="F3733" s="85" t="s">
        <v>1343</v>
      </c>
      <c r="G3733" s="39" t="s">
        <v>93</v>
      </c>
      <c r="H3733" s="52" t="s">
        <v>94</v>
      </c>
      <c r="I3733" s="52">
        <v>1037.8</v>
      </c>
      <c r="J3733" s="49">
        <v>39435.154327620003</v>
      </c>
      <c r="K3733" s="58">
        <v>1033.2000000000003</v>
      </c>
      <c r="L3733" s="58">
        <v>39448.329509340008</v>
      </c>
      <c r="M3733" s="58">
        <v>0</v>
      </c>
      <c r="N3733" s="58">
        <v>0</v>
      </c>
      <c r="O3733" s="58">
        <v>1033.2000000000003</v>
      </c>
      <c r="P3733" s="53">
        <v>39448.329509340008</v>
      </c>
      <c r="Q3733" s="65">
        <v>39435.154327620003</v>
      </c>
      <c r="R3733" s="65">
        <v>0</v>
      </c>
      <c r="S3733" s="65">
        <v>0</v>
      </c>
      <c r="T3733" s="65">
        <v>13.175181720005639</v>
      </c>
      <c r="U3733" s="58">
        <v>0</v>
      </c>
      <c r="V3733" s="65">
        <v>0</v>
      </c>
      <c r="W3733" s="65">
        <v>0</v>
      </c>
      <c r="X3733" s="65">
        <v>39435</v>
      </c>
      <c r="Y3733" s="65">
        <v>0</v>
      </c>
      <c r="Z3733" s="51">
        <v>0</v>
      </c>
      <c r="AA3733" s="51">
        <v>0</v>
      </c>
      <c r="AB3733" s="102">
        <v>0</v>
      </c>
      <c r="AC3733" s="81">
        <f t="shared" si="178"/>
        <v>0</v>
      </c>
      <c r="AD3733" s="82">
        <f t="shared" si="179"/>
        <v>0</v>
      </c>
      <c r="AE3733" s="218">
        <v>-3.3409737947387387E-4</v>
      </c>
      <c r="AF3733">
        <v>1</v>
      </c>
      <c r="AH3733" t="str">
        <f t="shared" si="177"/>
        <v>Gopalpur Bmc</v>
      </c>
      <c r="AJ3733" s="72">
        <v>0</v>
      </c>
      <c r="AK3733" s="72"/>
      <c r="AL3733" s="72"/>
      <c r="AM3733" s="72"/>
    </row>
    <row r="3734" spans="1:39" x14ac:dyDescent="0.25">
      <c r="A3734" s="37" t="s">
        <v>62</v>
      </c>
      <c r="B3734" s="66" t="s">
        <v>1644</v>
      </c>
      <c r="C3734" s="4">
        <v>1059</v>
      </c>
      <c r="D3734" s="41" t="s">
        <v>1347</v>
      </c>
      <c r="E3734" s="41">
        <v>10590006</v>
      </c>
      <c r="F3734" s="85" t="s">
        <v>1358</v>
      </c>
      <c r="G3734" s="39" t="s">
        <v>93</v>
      </c>
      <c r="H3734" s="52" t="s">
        <v>94</v>
      </c>
      <c r="I3734" s="52">
        <v>1265.4000000000001</v>
      </c>
      <c r="J3734" s="49">
        <v>52893.952682700008</v>
      </c>
      <c r="K3734" s="58">
        <v>1210.4000000000001</v>
      </c>
      <c r="L3734" s="58">
        <v>52922.472267087702</v>
      </c>
      <c r="M3734" s="58">
        <v>0</v>
      </c>
      <c r="N3734" s="58">
        <v>0</v>
      </c>
      <c r="O3734" s="58">
        <v>1210.4000000000001</v>
      </c>
      <c r="P3734" s="53">
        <v>52922.472267087702</v>
      </c>
      <c r="Q3734" s="65">
        <v>52893.952682700008</v>
      </c>
      <c r="R3734" s="65">
        <v>0</v>
      </c>
      <c r="S3734" s="65">
        <v>0</v>
      </c>
      <c r="T3734" s="65">
        <v>28.519584387693612</v>
      </c>
      <c r="U3734" s="58">
        <v>0</v>
      </c>
      <c r="V3734" s="65">
        <v>0</v>
      </c>
      <c r="W3734" s="65">
        <v>0</v>
      </c>
      <c r="X3734" s="65">
        <v>52894</v>
      </c>
      <c r="Y3734" s="65">
        <v>0</v>
      </c>
      <c r="Z3734" s="51">
        <v>0</v>
      </c>
      <c r="AA3734" s="51">
        <v>0</v>
      </c>
      <c r="AB3734" s="102">
        <v>0</v>
      </c>
      <c r="AC3734" s="81">
        <f t="shared" si="178"/>
        <v>0</v>
      </c>
      <c r="AD3734" s="82">
        <f t="shared" si="179"/>
        <v>0</v>
      </c>
      <c r="AE3734" s="218">
        <v>-5.3918421560923528E-4</v>
      </c>
      <c r="AF3734">
        <v>8</v>
      </c>
      <c r="AH3734" t="str">
        <f t="shared" si="177"/>
        <v>Gopalpur Bmc</v>
      </c>
      <c r="AJ3734" s="72">
        <v>0</v>
      </c>
      <c r="AK3734" s="72"/>
      <c r="AL3734" s="72"/>
      <c r="AM3734" s="72"/>
    </row>
    <row r="3735" spans="1:39" x14ac:dyDescent="0.25">
      <c r="A3735" s="37" t="s">
        <v>62</v>
      </c>
      <c r="B3735" s="66" t="s">
        <v>1644</v>
      </c>
      <c r="C3735" s="4">
        <v>1059</v>
      </c>
      <c r="D3735" s="41" t="s">
        <v>1347</v>
      </c>
      <c r="E3735" s="41">
        <v>10590008</v>
      </c>
      <c r="F3735" s="85" t="s">
        <v>1430</v>
      </c>
      <c r="G3735" s="39" t="s">
        <v>93</v>
      </c>
      <c r="H3735" s="52" t="s">
        <v>94</v>
      </c>
      <c r="I3735" s="52">
        <v>306.89999999999998</v>
      </c>
      <c r="J3735" s="49">
        <v>14782.434222495998</v>
      </c>
      <c r="K3735" s="58">
        <v>307.29999999999995</v>
      </c>
      <c r="L3735" s="58">
        <v>14808.609174886002</v>
      </c>
      <c r="M3735" s="58">
        <v>0</v>
      </c>
      <c r="N3735" s="58">
        <v>0</v>
      </c>
      <c r="O3735" s="58">
        <v>307.29999999999995</v>
      </c>
      <c r="P3735" s="53">
        <v>14808.609174886002</v>
      </c>
      <c r="Q3735" s="65">
        <v>14782.434222495998</v>
      </c>
      <c r="R3735" s="65">
        <v>0</v>
      </c>
      <c r="S3735" s="65">
        <v>0</v>
      </c>
      <c r="T3735" s="65">
        <v>26.174952390003455</v>
      </c>
      <c r="U3735" s="58">
        <v>0</v>
      </c>
      <c r="V3735" s="65">
        <v>0</v>
      </c>
      <c r="W3735" s="65">
        <v>0</v>
      </c>
      <c r="X3735" s="65">
        <v>14782</v>
      </c>
      <c r="Y3735" s="65">
        <v>0</v>
      </c>
      <c r="Z3735" s="51">
        <v>0</v>
      </c>
      <c r="AA3735" s="51">
        <v>0</v>
      </c>
      <c r="AB3735" s="102">
        <v>0</v>
      </c>
      <c r="AC3735" s="81">
        <f t="shared" si="178"/>
        <v>378.68849090017454</v>
      </c>
      <c r="AD3735" s="82">
        <f t="shared" si="179"/>
        <v>43.842857142857142</v>
      </c>
      <c r="AE3735" s="218">
        <v>-1.7706794426435026E-3</v>
      </c>
      <c r="AF3735">
        <v>1</v>
      </c>
      <c r="AH3735" t="str">
        <f t="shared" si="177"/>
        <v>Gopalpur Bmc</v>
      </c>
      <c r="AJ3735" s="72">
        <v>0</v>
      </c>
      <c r="AK3735" s="72"/>
      <c r="AL3735" s="72"/>
      <c r="AM3735" s="72"/>
    </row>
    <row r="3736" spans="1:39" x14ac:dyDescent="0.25">
      <c r="A3736" s="37" t="s">
        <v>62</v>
      </c>
      <c r="B3736" s="66" t="s">
        <v>1644</v>
      </c>
      <c r="C3736" s="4">
        <v>1059</v>
      </c>
      <c r="D3736" s="41" t="s">
        <v>1347</v>
      </c>
      <c r="E3736" s="41">
        <v>10590010</v>
      </c>
      <c r="F3736" s="85" t="s">
        <v>1431</v>
      </c>
      <c r="G3736" s="39" t="s">
        <v>93</v>
      </c>
      <c r="H3736" s="52" t="s">
        <v>94</v>
      </c>
      <c r="I3736" s="52">
        <v>1476.9000000000003</v>
      </c>
      <c r="J3736" s="49">
        <v>72507.733862762703</v>
      </c>
      <c r="K3736" s="58">
        <v>1476.3</v>
      </c>
      <c r="L3736" s="58">
        <v>72649.877844632705</v>
      </c>
      <c r="M3736" s="58">
        <v>0</v>
      </c>
      <c r="N3736" s="58">
        <v>0</v>
      </c>
      <c r="O3736" s="58">
        <v>1476.3</v>
      </c>
      <c r="P3736" s="53">
        <v>72649.877844632705</v>
      </c>
      <c r="Q3736" s="65">
        <v>72507.733862762703</v>
      </c>
      <c r="R3736" s="65">
        <v>0</v>
      </c>
      <c r="S3736" s="65">
        <v>0</v>
      </c>
      <c r="T3736" s="65">
        <v>142.14398187000188</v>
      </c>
      <c r="U3736" s="58">
        <v>0</v>
      </c>
      <c r="V3736" s="65">
        <v>0</v>
      </c>
      <c r="W3736" s="65">
        <v>0</v>
      </c>
      <c r="X3736" s="65">
        <v>72508</v>
      </c>
      <c r="Y3736" s="65">
        <v>0</v>
      </c>
      <c r="Z3736" s="51">
        <v>0</v>
      </c>
      <c r="AA3736" s="51">
        <v>0</v>
      </c>
      <c r="AB3736" s="102">
        <v>0</v>
      </c>
      <c r="AC3736" s="81">
        <f t="shared" si="178"/>
        <v>0</v>
      </c>
      <c r="AD3736" s="82">
        <f t="shared" si="179"/>
        <v>0</v>
      </c>
      <c r="AE3736" s="218">
        <v>-1.9603975230979022E-3</v>
      </c>
      <c r="AF3736">
        <v>2</v>
      </c>
      <c r="AH3736" t="str">
        <f t="shared" si="177"/>
        <v>Gopalpur Bmc</v>
      </c>
      <c r="AJ3736" s="72">
        <v>0</v>
      </c>
      <c r="AK3736" s="72"/>
      <c r="AL3736" s="72"/>
      <c r="AM3736" s="72"/>
    </row>
    <row r="3737" spans="1:39" x14ac:dyDescent="0.25">
      <c r="A3737" s="37" t="s">
        <v>62</v>
      </c>
      <c r="B3737" s="66" t="s">
        <v>1644</v>
      </c>
      <c r="C3737" s="4">
        <v>1059</v>
      </c>
      <c r="D3737" s="41" t="s">
        <v>1347</v>
      </c>
      <c r="E3737" s="41">
        <v>10590011</v>
      </c>
      <c r="F3737" s="85" t="s">
        <v>1432</v>
      </c>
      <c r="G3737" s="39" t="s">
        <v>93</v>
      </c>
      <c r="H3737" s="52" t="s">
        <v>94</v>
      </c>
      <c r="I3737" s="52">
        <v>584.29999999999995</v>
      </c>
      <c r="J3737" s="49">
        <v>23487.008405700006</v>
      </c>
      <c r="K3737" s="58">
        <v>566.22</v>
      </c>
      <c r="L3737" s="58">
        <v>22920.593887524952</v>
      </c>
      <c r="M3737" s="58">
        <v>0</v>
      </c>
      <c r="N3737" s="58">
        <v>0</v>
      </c>
      <c r="O3737" s="58">
        <v>566.22</v>
      </c>
      <c r="P3737" s="53">
        <v>22920.593887524952</v>
      </c>
      <c r="Q3737" s="65">
        <v>22920.593887524952</v>
      </c>
      <c r="R3737" s="65">
        <v>0</v>
      </c>
      <c r="S3737" s="65">
        <v>0</v>
      </c>
      <c r="T3737" s="65">
        <v>0</v>
      </c>
      <c r="U3737" s="58">
        <v>0</v>
      </c>
      <c r="V3737" s="65">
        <v>0</v>
      </c>
      <c r="W3737" s="65">
        <v>0</v>
      </c>
      <c r="X3737" s="65">
        <v>22920</v>
      </c>
      <c r="Y3737" s="65">
        <v>0</v>
      </c>
      <c r="Z3737" s="51">
        <v>0</v>
      </c>
      <c r="AA3737" s="51">
        <v>567</v>
      </c>
      <c r="AB3737" s="102">
        <v>0</v>
      </c>
      <c r="AC3737" s="81">
        <f t="shared" si="178"/>
        <v>93.015467141519537</v>
      </c>
      <c r="AD3737" s="82">
        <f t="shared" si="179"/>
        <v>83.471428571428561</v>
      </c>
      <c r="AE3737" s="218">
        <v>2.4116077637098811E-2</v>
      </c>
      <c r="AF3737">
        <v>6</v>
      </c>
      <c r="AH3737" t="str">
        <f t="shared" si="177"/>
        <v>Gopalpur Bmc</v>
      </c>
      <c r="AJ3737" s="72">
        <v>0</v>
      </c>
      <c r="AK3737" s="72"/>
      <c r="AL3737" s="72"/>
      <c r="AM3737" s="72"/>
    </row>
    <row r="3738" spans="1:39" x14ac:dyDescent="0.25">
      <c r="A3738" s="37" t="s">
        <v>62</v>
      </c>
      <c r="B3738" s="66" t="s">
        <v>1644</v>
      </c>
      <c r="C3738" s="4">
        <v>1059</v>
      </c>
      <c r="D3738" s="41" t="s">
        <v>1347</v>
      </c>
      <c r="E3738" s="41">
        <v>10590012</v>
      </c>
      <c r="F3738" s="85" t="s">
        <v>1433</v>
      </c>
      <c r="G3738" s="39" t="s">
        <v>93</v>
      </c>
      <c r="H3738" s="52" t="s">
        <v>94</v>
      </c>
      <c r="I3738" s="52">
        <v>691.80000000000007</v>
      </c>
      <c r="J3738" s="49">
        <v>28694.599769850309</v>
      </c>
      <c r="K3738" s="58">
        <v>691.8</v>
      </c>
      <c r="L3738" s="58">
        <v>28532.783527013107</v>
      </c>
      <c r="M3738" s="58">
        <v>0</v>
      </c>
      <c r="N3738" s="58">
        <v>0</v>
      </c>
      <c r="O3738" s="58">
        <v>691.8</v>
      </c>
      <c r="P3738" s="53">
        <v>28532.783527013107</v>
      </c>
      <c r="Q3738" s="65">
        <v>28532.783527013107</v>
      </c>
      <c r="R3738" s="65">
        <v>0</v>
      </c>
      <c r="S3738" s="65">
        <v>0</v>
      </c>
      <c r="T3738" s="65">
        <v>0</v>
      </c>
      <c r="U3738" s="58">
        <v>0</v>
      </c>
      <c r="V3738" s="65">
        <v>0</v>
      </c>
      <c r="W3738" s="65">
        <v>0</v>
      </c>
      <c r="X3738" s="65">
        <v>28533</v>
      </c>
      <c r="Y3738" s="65">
        <v>0</v>
      </c>
      <c r="Z3738" s="51">
        <v>0</v>
      </c>
      <c r="AA3738" s="51">
        <v>162</v>
      </c>
      <c r="AB3738" s="102">
        <v>0</v>
      </c>
      <c r="AC3738" s="81">
        <f t="shared" si="178"/>
        <v>6.802420298143133</v>
      </c>
      <c r="AD3738" s="82">
        <f t="shared" si="179"/>
        <v>98.828571428571436</v>
      </c>
      <c r="AE3738" s="218">
        <v>5.6392577047623942E-3</v>
      </c>
      <c r="AF3738">
        <v>1</v>
      </c>
      <c r="AH3738" t="str">
        <f t="shared" si="177"/>
        <v>Gopalpur Bmc</v>
      </c>
      <c r="AJ3738" s="72">
        <v>0</v>
      </c>
      <c r="AK3738" s="72"/>
      <c r="AL3738" s="72"/>
      <c r="AM3738" s="72"/>
    </row>
    <row r="3739" spans="1:39" x14ac:dyDescent="0.25">
      <c r="A3739" s="37" t="s">
        <v>62</v>
      </c>
      <c r="B3739" s="66" t="s">
        <v>1644</v>
      </c>
      <c r="C3739" s="4">
        <v>1059</v>
      </c>
      <c r="D3739" s="41" t="s">
        <v>1347</v>
      </c>
      <c r="E3739" s="41">
        <v>10590013</v>
      </c>
      <c r="F3739" s="85" t="s">
        <v>1400</v>
      </c>
      <c r="G3739" s="39" t="s">
        <v>93</v>
      </c>
      <c r="H3739" s="52" t="s">
        <v>94</v>
      </c>
      <c r="I3739" s="52">
        <v>543.50000000000011</v>
      </c>
      <c r="J3739" s="49">
        <v>25197.940265942005</v>
      </c>
      <c r="K3739" s="58">
        <v>543.4</v>
      </c>
      <c r="L3739" s="58">
        <v>24151.755968772104</v>
      </c>
      <c r="M3739" s="58">
        <v>0</v>
      </c>
      <c r="N3739" s="58">
        <v>0</v>
      </c>
      <c r="O3739" s="58">
        <v>543.4</v>
      </c>
      <c r="P3739" s="53">
        <v>24151.755968772104</v>
      </c>
      <c r="Q3739" s="65">
        <v>24151.755968772104</v>
      </c>
      <c r="R3739" s="65">
        <v>0</v>
      </c>
      <c r="S3739" s="65">
        <v>0</v>
      </c>
      <c r="T3739" s="65">
        <v>0</v>
      </c>
      <c r="U3739" s="58">
        <v>0</v>
      </c>
      <c r="V3739" s="65">
        <v>0</v>
      </c>
      <c r="W3739" s="65">
        <v>0</v>
      </c>
      <c r="X3739" s="65">
        <v>24152</v>
      </c>
      <c r="Y3739" s="65">
        <v>0</v>
      </c>
      <c r="Z3739" s="51">
        <v>0</v>
      </c>
      <c r="AA3739" s="51">
        <v>1046</v>
      </c>
      <c r="AB3739" s="102">
        <v>0</v>
      </c>
      <c r="AC3739" s="81">
        <f t="shared" si="178"/>
        <v>145.11417301269262</v>
      </c>
      <c r="AD3739" s="82">
        <f t="shared" si="179"/>
        <v>77.642857142857153</v>
      </c>
      <c r="AE3739" s="218">
        <v>4.1518643433881876E-2</v>
      </c>
      <c r="AF3739">
        <v>1</v>
      </c>
      <c r="AH3739" t="str">
        <f t="shared" si="177"/>
        <v>Gopalpur Bmc</v>
      </c>
      <c r="AJ3739" s="72">
        <v>0</v>
      </c>
      <c r="AK3739" s="72"/>
      <c r="AL3739" s="72"/>
      <c r="AM3739" s="72"/>
    </row>
    <row r="3740" spans="1:39" x14ac:dyDescent="0.25">
      <c r="A3740" s="37" t="s">
        <v>62</v>
      </c>
      <c r="B3740" s="66" t="s">
        <v>1644</v>
      </c>
      <c r="C3740" s="4">
        <v>1059</v>
      </c>
      <c r="D3740" s="41" t="s">
        <v>1347</v>
      </c>
      <c r="E3740" s="41">
        <v>10590014</v>
      </c>
      <c r="F3740" s="85" t="s">
        <v>1517</v>
      </c>
      <c r="G3740" s="39" t="s">
        <v>93</v>
      </c>
      <c r="H3740" s="52" t="s">
        <v>94</v>
      </c>
      <c r="I3740" s="52">
        <v>487.6</v>
      </c>
      <c r="J3740" s="49">
        <v>21090.5470491456</v>
      </c>
      <c r="K3740" s="58">
        <v>487.6</v>
      </c>
      <c r="L3740" s="58">
        <v>21085.768431426401</v>
      </c>
      <c r="M3740" s="58">
        <v>0</v>
      </c>
      <c r="N3740" s="58">
        <v>0</v>
      </c>
      <c r="O3740" s="58">
        <v>487.6</v>
      </c>
      <c r="P3740" s="53">
        <v>21085.768431426401</v>
      </c>
      <c r="Q3740" s="65">
        <v>21085.768431426401</v>
      </c>
      <c r="R3740" s="65">
        <v>0</v>
      </c>
      <c r="S3740" s="65">
        <v>0</v>
      </c>
      <c r="T3740" s="65">
        <v>0</v>
      </c>
      <c r="U3740" s="58">
        <v>0</v>
      </c>
      <c r="V3740" s="65">
        <v>0</v>
      </c>
      <c r="W3740" s="65">
        <v>0</v>
      </c>
      <c r="X3740" s="65">
        <v>21086</v>
      </c>
      <c r="Y3740" s="65">
        <v>0</v>
      </c>
      <c r="Z3740" s="51">
        <v>0</v>
      </c>
      <c r="AA3740" s="51">
        <v>5</v>
      </c>
      <c r="AB3740" s="102">
        <v>0</v>
      </c>
      <c r="AC3740" s="81">
        <f t="shared" si="178"/>
        <v>183.74209160125204</v>
      </c>
      <c r="AD3740" s="82">
        <f t="shared" si="179"/>
        <v>69.657142857142858</v>
      </c>
      <c r="AE3740" s="218">
        <v>2.2657628121565643E-4</v>
      </c>
      <c r="AF3740">
        <v>1</v>
      </c>
      <c r="AH3740" t="str">
        <f t="shared" si="177"/>
        <v>Gopalpur Bmc</v>
      </c>
      <c r="AJ3740" s="72">
        <v>0</v>
      </c>
      <c r="AK3740" s="72"/>
      <c r="AL3740" s="72"/>
      <c r="AM3740" s="72"/>
    </row>
    <row r="3741" spans="1:39" x14ac:dyDescent="0.25">
      <c r="A3741" s="37" t="s">
        <v>62</v>
      </c>
      <c r="B3741" s="66" t="s">
        <v>1644</v>
      </c>
      <c r="C3741" s="4">
        <v>1059</v>
      </c>
      <c r="D3741" s="41" t="s">
        <v>1347</v>
      </c>
      <c r="E3741" s="41">
        <v>10590015</v>
      </c>
      <c r="F3741" s="85" t="s">
        <v>1518</v>
      </c>
      <c r="G3741" s="39" t="s">
        <v>93</v>
      </c>
      <c r="H3741" s="52" t="s">
        <v>94</v>
      </c>
      <c r="I3741" s="52">
        <v>31.2</v>
      </c>
      <c r="J3741" s="49">
        <v>1785.3560788355001</v>
      </c>
      <c r="K3741" s="58">
        <v>31.2</v>
      </c>
      <c r="L3741" s="58">
        <v>1794.2160249564001</v>
      </c>
      <c r="M3741" s="58">
        <v>0</v>
      </c>
      <c r="N3741" s="58">
        <v>0</v>
      </c>
      <c r="O3741" s="58">
        <v>31.2</v>
      </c>
      <c r="P3741" s="53">
        <v>1794.2160249564001</v>
      </c>
      <c r="Q3741" s="65">
        <v>1785.3560788355001</v>
      </c>
      <c r="R3741" s="65">
        <v>0</v>
      </c>
      <c r="S3741" s="65">
        <v>0</v>
      </c>
      <c r="T3741" s="65">
        <v>8.8599461209000765</v>
      </c>
      <c r="U3741" s="58">
        <v>0</v>
      </c>
      <c r="V3741" s="65">
        <v>0</v>
      </c>
      <c r="W3741" s="65">
        <v>0</v>
      </c>
      <c r="X3741" s="65">
        <v>1785</v>
      </c>
      <c r="Y3741" s="65">
        <v>0</v>
      </c>
      <c r="Z3741" s="51">
        <v>0</v>
      </c>
      <c r="AA3741" s="51">
        <v>0</v>
      </c>
      <c r="AB3741" s="102">
        <v>0</v>
      </c>
      <c r="AC3741" s="81">
        <f t="shared" si="178"/>
        <v>765.41419584947596</v>
      </c>
      <c r="AD3741" s="82">
        <f t="shared" si="179"/>
        <v>4.4571428571428573</v>
      </c>
      <c r="AE3741" s="218">
        <v>-4.9625652977186401E-3</v>
      </c>
      <c r="AF3741">
        <v>1</v>
      </c>
      <c r="AH3741" t="str">
        <f t="shared" si="177"/>
        <v>Gopalpur Bmc</v>
      </c>
      <c r="AJ3741" s="72">
        <v>0</v>
      </c>
      <c r="AK3741" s="72"/>
      <c r="AL3741" s="72"/>
      <c r="AM3741" s="72"/>
    </row>
    <row r="3742" spans="1:39" x14ac:dyDescent="0.25">
      <c r="A3742" s="37" t="s">
        <v>62</v>
      </c>
      <c r="B3742" s="66" t="s">
        <v>1644</v>
      </c>
      <c r="C3742" s="4">
        <v>1059</v>
      </c>
      <c r="D3742" s="41" t="s">
        <v>1347</v>
      </c>
      <c r="E3742" s="41">
        <v>10590016</v>
      </c>
      <c r="F3742" s="85" t="s">
        <v>1552</v>
      </c>
      <c r="G3742" s="39" t="s">
        <v>635</v>
      </c>
      <c r="H3742" s="52" t="s">
        <v>99</v>
      </c>
      <c r="I3742" s="52">
        <v>368.9</v>
      </c>
      <c r="J3742" s="49">
        <v>16993.375751439005</v>
      </c>
      <c r="K3742" s="58">
        <v>0</v>
      </c>
      <c r="L3742" s="58">
        <v>0</v>
      </c>
      <c r="M3742" s="58">
        <v>0</v>
      </c>
      <c r="N3742" s="58">
        <v>0</v>
      </c>
      <c r="O3742" s="58">
        <v>0</v>
      </c>
      <c r="P3742" s="53">
        <v>0</v>
      </c>
      <c r="Q3742" s="65">
        <v>16993.375751439005</v>
      </c>
      <c r="R3742" s="65">
        <v>0</v>
      </c>
      <c r="S3742" s="65">
        <v>0</v>
      </c>
      <c r="T3742" s="65">
        <v>0</v>
      </c>
      <c r="U3742" s="58">
        <v>0</v>
      </c>
      <c r="V3742" s="65">
        <v>0</v>
      </c>
      <c r="W3742" s="65">
        <v>0</v>
      </c>
      <c r="X3742" s="65">
        <v>0</v>
      </c>
      <c r="Y3742" s="65">
        <v>0</v>
      </c>
      <c r="Z3742" s="51">
        <v>16993.375751439005</v>
      </c>
      <c r="AA3742" s="51">
        <v>0</v>
      </c>
      <c r="AB3742" s="102">
        <v>0</v>
      </c>
      <c r="AC3742" s="81">
        <f t="shared" si="178"/>
        <v>305.04238066150475</v>
      </c>
      <c r="AD3742" s="82">
        <f t="shared" si="179"/>
        <v>52.699999999999996</v>
      </c>
      <c r="AE3742" s="218">
        <v>0</v>
      </c>
      <c r="AF3742">
        <v>0</v>
      </c>
      <c r="AH3742" t="str">
        <f t="shared" si="177"/>
        <v>Gopalpur Bmc</v>
      </c>
      <c r="AJ3742" s="72">
        <v>0</v>
      </c>
      <c r="AK3742" s="72"/>
      <c r="AL3742" s="72"/>
      <c r="AM3742" s="72"/>
    </row>
    <row r="3743" spans="1:39" x14ac:dyDescent="0.25">
      <c r="A3743" s="37" t="s">
        <v>62</v>
      </c>
      <c r="B3743" s="66" t="s">
        <v>1644</v>
      </c>
      <c r="C3743" s="4">
        <v>1014</v>
      </c>
      <c r="D3743" s="41" t="s">
        <v>376</v>
      </c>
      <c r="E3743" s="41">
        <v>10600001</v>
      </c>
      <c r="F3743" s="85" t="s">
        <v>1372</v>
      </c>
      <c r="G3743" s="39" t="s">
        <v>93</v>
      </c>
      <c r="H3743" s="52" t="s">
        <v>94</v>
      </c>
      <c r="I3743" s="52">
        <v>279.39999999999998</v>
      </c>
      <c r="J3743" s="49">
        <v>9751.6683444600021</v>
      </c>
      <c r="K3743" s="58">
        <v>280.42</v>
      </c>
      <c r="L3743" s="58">
        <v>9853.1491054810504</v>
      </c>
      <c r="M3743" s="58">
        <v>0</v>
      </c>
      <c r="N3743" s="58">
        <v>0</v>
      </c>
      <c r="O3743" s="58">
        <v>280.42</v>
      </c>
      <c r="P3743" s="53">
        <v>9853.1491054810504</v>
      </c>
      <c r="Q3743" s="65">
        <v>9751.6683444600021</v>
      </c>
      <c r="R3743" s="65">
        <v>0</v>
      </c>
      <c r="S3743" s="65">
        <v>0</v>
      </c>
      <c r="T3743" s="65">
        <v>101.48076102104824</v>
      </c>
      <c r="U3743" s="58">
        <v>0</v>
      </c>
      <c r="V3743" s="65">
        <v>0</v>
      </c>
      <c r="W3743" s="65">
        <v>0</v>
      </c>
      <c r="X3743" s="65">
        <v>9752</v>
      </c>
      <c r="Y3743" s="65">
        <v>0</v>
      </c>
      <c r="Z3743" s="51">
        <v>0</v>
      </c>
      <c r="AA3743" s="51">
        <v>0</v>
      </c>
      <c r="AB3743" s="102" t="s">
        <v>68</v>
      </c>
      <c r="AC3743" s="81">
        <f t="shared" si="178"/>
        <v>293.59711565353456</v>
      </c>
      <c r="AD3743" s="82">
        <f t="shared" si="179"/>
        <v>39.914285714285711</v>
      </c>
      <c r="AE3743" s="218">
        <v>-1.0406502501564283E-2</v>
      </c>
      <c r="AF3743">
        <v>1</v>
      </c>
      <c r="AH3743" t="str">
        <f t="shared" si="177"/>
        <v>Dumraon</v>
      </c>
      <c r="AJ3743" s="72">
        <v>0</v>
      </c>
      <c r="AK3743" s="72"/>
      <c r="AL3743" s="72"/>
      <c r="AM3743" s="72"/>
    </row>
    <row r="3744" spans="1:39" x14ac:dyDescent="0.25">
      <c r="A3744" s="37" t="s">
        <v>62</v>
      </c>
      <c r="B3744" s="66" t="s">
        <v>1644</v>
      </c>
      <c r="C3744" s="4">
        <v>1014</v>
      </c>
      <c r="D3744" s="41" t="s">
        <v>376</v>
      </c>
      <c r="E3744" s="41">
        <v>10600002</v>
      </c>
      <c r="F3744" s="85" t="s">
        <v>1373</v>
      </c>
      <c r="G3744" s="39" t="s">
        <v>93</v>
      </c>
      <c r="H3744" s="52" t="s">
        <v>94</v>
      </c>
      <c r="I3744" s="52">
        <v>604.69999999999993</v>
      </c>
      <c r="J3744" s="49">
        <v>21590.475915269999</v>
      </c>
      <c r="K3744" s="58">
        <v>599</v>
      </c>
      <c r="L3744" s="58">
        <v>21565.265088000004</v>
      </c>
      <c r="M3744" s="58">
        <v>0</v>
      </c>
      <c r="N3744" s="58">
        <v>0</v>
      </c>
      <c r="O3744" s="58">
        <v>599</v>
      </c>
      <c r="P3744" s="53">
        <v>21565.265088000004</v>
      </c>
      <c r="Q3744" s="65">
        <v>21565.265088000004</v>
      </c>
      <c r="R3744" s="65">
        <v>0</v>
      </c>
      <c r="S3744" s="65">
        <v>0</v>
      </c>
      <c r="T3744" s="65">
        <v>0</v>
      </c>
      <c r="U3744" s="58">
        <v>1280</v>
      </c>
      <c r="V3744" s="65">
        <v>0</v>
      </c>
      <c r="W3744" s="65">
        <v>0</v>
      </c>
      <c r="X3744" s="65">
        <v>20285</v>
      </c>
      <c r="Y3744" s="65">
        <v>0</v>
      </c>
      <c r="Z3744" s="51">
        <v>0</v>
      </c>
      <c r="AA3744" s="51">
        <v>25</v>
      </c>
      <c r="AB3744" s="102">
        <v>0</v>
      </c>
      <c r="AC3744" s="81">
        <f t="shared" si="178"/>
        <v>68.052665940970186</v>
      </c>
      <c r="AD3744" s="82">
        <f t="shared" si="179"/>
        <v>86.385714285714272</v>
      </c>
      <c r="AE3744" s="218">
        <v>1.1676827953646307E-3</v>
      </c>
      <c r="AF3744">
        <v>1</v>
      </c>
      <c r="AH3744" t="str">
        <f t="shared" si="177"/>
        <v>Dumraon</v>
      </c>
      <c r="AJ3744" s="72">
        <v>0</v>
      </c>
      <c r="AK3744" s="72"/>
      <c r="AL3744" s="72"/>
      <c r="AM3744" s="72"/>
    </row>
    <row r="3745" spans="1:39" x14ac:dyDescent="0.25">
      <c r="A3745" s="37" t="s">
        <v>62</v>
      </c>
      <c r="B3745" s="66" t="s">
        <v>1644</v>
      </c>
      <c r="C3745" s="4">
        <v>1014</v>
      </c>
      <c r="D3745" s="41" t="s">
        <v>376</v>
      </c>
      <c r="E3745" s="41">
        <v>10600004</v>
      </c>
      <c r="F3745" s="85" t="s">
        <v>1374</v>
      </c>
      <c r="G3745" s="39" t="s">
        <v>93</v>
      </c>
      <c r="H3745" s="52" t="s">
        <v>94</v>
      </c>
      <c r="I3745" s="52">
        <v>799.3</v>
      </c>
      <c r="J3745" s="49">
        <v>27145.472563680003</v>
      </c>
      <c r="K3745" s="58">
        <v>679.47</v>
      </c>
      <c r="L3745" s="58">
        <v>27117.391756239471</v>
      </c>
      <c r="M3745" s="58">
        <v>0</v>
      </c>
      <c r="N3745" s="58">
        <v>0</v>
      </c>
      <c r="O3745" s="58">
        <v>679.47</v>
      </c>
      <c r="P3745" s="53">
        <v>27117.391756239471</v>
      </c>
      <c r="Q3745" s="65">
        <v>27117.391756239471</v>
      </c>
      <c r="R3745" s="65">
        <v>0</v>
      </c>
      <c r="S3745" s="65">
        <v>0</v>
      </c>
      <c r="T3745" s="65">
        <v>0</v>
      </c>
      <c r="U3745" s="58">
        <v>0</v>
      </c>
      <c r="V3745" s="65">
        <v>0</v>
      </c>
      <c r="W3745" s="65">
        <v>0</v>
      </c>
      <c r="X3745" s="65">
        <v>27117</v>
      </c>
      <c r="Y3745" s="65">
        <v>0</v>
      </c>
      <c r="Z3745" s="51">
        <v>0</v>
      </c>
      <c r="AA3745" s="51">
        <v>28</v>
      </c>
      <c r="AB3745" s="102">
        <v>0</v>
      </c>
      <c r="AC3745" s="81">
        <f t="shared" si="178"/>
        <v>0</v>
      </c>
      <c r="AD3745" s="82">
        <f t="shared" si="179"/>
        <v>0</v>
      </c>
      <c r="AE3745" s="218">
        <v>1.0344563858543277E-3</v>
      </c>
      <c r="AF3745">
        <v>2</v>
      </c>
      <c r="AH3745" t="str">
        <f t="shared" si="177"/>
        <v>Dumraon</v>
      </c>
      <c r="AJ3745" s="72">
        <v>0</v>
      </c>
      <c r="AK3745" s="72"/>
      <c r="AL3745" s="72"/>
      <c r="AM3745" s="72"/>
    </row>
    <row r="3746" spans="1:39" x14ac:dyDescent="0.25">
      <c r="A3746" s="37" t="s">
        <v>62</v>
      </c>
      <c r="B3746" s="66" t="s">
        <v>1644</v>
      </c>
      <c r="C3746" s="4">
        <v>1014</v>
      </c>
      <c r="D3746" s="41" t="s">
        <v>376</v>
      </c>
      <c r="E3746" s="41">
        <v>10600005</v>
      </c>
      <c r="F3746" s="85" t="s">
        <v>1388</v>
      </c>
      <c r="G3746" s="39" t="s">
        <v>93</v>
      </c>
      <c r="H3746" s="52" t="s">
        <v>94</v>
      </c>
      <c r="I3746" s="52">
        <v>173.5</v>
      </c>
      <c r="J3746" s="49">
        <v>6639.9345045600012</v>
      </c>
      <c r="K3746" s="58">
        <v>178.81</v>
      </c>
      <c r="L3746" s="58">
        <v>6908.2879382592009</v>
      </c>
      <c r="M3746" s="58">
        <v>2.74</v>
      </c>
      <c r="N3746" s="58">
        <v>106.38375141600001</v>
      </c>
      <c r="O3746" s="58">
        <v>181.55</v>
      </c>
      <c r="P3746" s="53">
        <v>7014.6716896752014</v>
      </c>
      <c r="Q3746" s="65">
        <v>6639.9345045600012</v>
      </c>
      <c r="R3746" s="65">
        <v>0</v>
      </c>
      <c r="S3746" s="65">
        <v>106.38375141600001</v>
      </c>
      <c r="T3746" s="65">
        <v>374.73718511520019</v>
      </c>
      <c r="U3746" s="58">
        <v>0</v>
      </c>
      <c r="V3746" s="65">
        <v>0</v>
      </c>
      <c r="W3746" s="65">
        <v>0</v>
      </c>
      <c r="X3746" s="65">
        <v>6534</v>
      </c>
      <c r="Y3746" s="65">
        <v>0</v>
      </c>
      <c r="Z3746" s="51">
        <v>0</v>
      </c>
      <c r="AA3746" s="51">
        <v>0</v>
      </c>
      <c r="AB3746" s="102">
        <v>0</v>
      </c>
      <c r="AC3746" s="81">
        <f t="shared" si="178"/>
        <v>402.98853217877127</v>
      </c>
      <c r="AD3746" s="82">
        <f t="shared" si="179"/>
        <v>24.785714285714285</v>
      </c>
      <c r="AE3746" s="218">
        <v>-5.6436879739980558E-2</v>
      </c>
      <c r="AF3746">
        <v>2</v>
      </c>
      <c r="AH3746" t="str">
        <f t="shared" si="177"/>
        <v>Dumraon</v>
      </c>
      <c r="AJ3746" s="72">
        <v>0</v>
      </c>
      <c r="AK3746" s="72"/>
      <c r="AL3746" s="72"/>
      <c r="AM3746" s="72"/>
    </row>
    <row r="3747" spans="1:39" x14ac:dyDescent="0.25">
      <c r="A3747" s="37" t="s">
        <v>62</v>
      </c>
      <c r="B3747" s="66" t="s">
        <v>1644</v>
      </c>
      <c r="C3747" s="4">
        <v>1014</v>
      </c>
      <c r="D3747" s="41" t="s">
        <v>376</v>
      </c>
      <c r="E3747" s="41">
        <v>10600006</v>
      </c>
      <c r="F3747" s="85" t="s">
        <v>1375</v>
      </c>
      <c r="G3747" s="39" t="s">
        <v>93</v>
      </c>
      <c r="H3747" s="52" t="s">
        <v>94</v>
      </c>
      <c r="I3747" s="52">
        <v>531.20000000000005</v>
      </c>
      <c r="J3747" s="49">
        <v>20495.146592880003</v>
      </c>
      <c r="K3747" s="58">
        <v>608.19000000000005</v>
      </c>
      <c r="L3747" s="58">
        <v>22597.97096283015</v>
      </c>
      <c r="M3747" s="58">
        <v>0</v>
      </c>
      <c r="N3747" s="58">
        <v>0</v>
      </c>
      <c r="O3747" s="58">
        <v>608.19000000000005</v>
      </c>
      <c r="P3747" s="53">
        <v>22597.97096283015</v>
      </c>
      <c r="Q3747" s="65">
        <v>20495.146592880003</v>
      </c>
      <c r="R3747" s="65">
        <v>0</v>
      </c>
      <c r="S3747" s="65">
        <v>0</v>
      </c>
      <c r="T3747" s="65">
        <v>2102.8243699501472</v>
      </c>
      <c r="U3747" s="58">
        <v>0</v>
      </c>
      <c r="V3747" s="65">
        <v>0</v>
      </c>
      <c r="W3747" s="65">
        <v>0</v>
      </c>
      <c r="X3747" s="65">
        <v>20495</v>
      </c>
      <c r="Y3747" s="65">
        <v>0</v>
      </c>
      <c r="Z3747" s="51">
        <v>0</v>
      </c>
      <c r="AA3747" s="51">
        <v>0</v>
      </c>
      <c r="AB3747" s="102">
        <v>0</v>
      </c>
      <c r="AC3747" s="81">
        <f t="shared" si="178"/>
        <v>130.25529912944819</v>
      </c>
      <c r="AD3747" s="82">
        <f t="shared" si="179"/>
        <v>75.885714285714286</v>
      </c>
      <c r="AE3747" s="218">
        <v>-0.1026010895028517</v>
      </c>
      <c r="AF3747">
        <v>2</v>
      </c>
      <c r="AH3747" t="str">
        <f t="shared" si="177"/>
        <v>Dumraon</v>
      </c>
      <c r="AJ3747" s="72">
        <v>0</v>
      </c>
      <c r="AK3747" s="72"/>
      <c r="AL3747" s="72"/>
      <c r="AM3747" s="72"/>
    </row>
    <row r="3748" spans="1:39" x14ac:dyDescent="0.25">
      <c r="A3748" s="37" t="s">
        <v>62</v>
      </c>
      <c r="B3748" s="66" t="s">
        <v>1644</v>
      </c>
      <c r="C3748" s="4">
        <v>1014</v>
      </c>
      <c r="D3748" s="41" t="s">
        <v>376</v>
      </c>
      <c r="E3748" s="41">
        <v>10600008</v>
      </c>
      <c r="F3748" s="85" t="s">
        <v>1376</v>
      </c>
      <c r="G3748" s="39" t="s">
        <v>93</v>
      </c>
      <c r="H3748" s="52" t="s">
        <v>94</v>
      </c>
      <c r="I3748" s="52">
        <v>105</v>
      </c>
      <c r="J3748" s="49">
        <v>3479.9575646399999</v>
      </c>
      <c r="K3748" s="58">
        <v>99</v>
      </c>
      <c r="L3748" s="58">
        <v>3440.3600880000008</v>
      </c>
      <c r="M3748" s="58">
        <v>0</v>
      </c>
      <c r="N3748" s="58">
        <v>0</v>
      </c>
      <c r="O3748" s="58">
        <v>99</v>
      </c>
      <c r="P3748" s="53">
        <v>3440.3600880000008</v>
      </c>
      <c r="Q3748" s="65">
        <v>3440.3600880000008</v>
      </c>
      <c r="R3748" s="65">
        <v>0</v>
      </c>
      <c r="S3748" s="65">
        <v>0</v>
      </c>
      <c r="T3748" s="65">
        <v>0</v>
      </c>
      <c r="U3748" s="58">
        <v>2940</v>
      </c>
      <c r="V3748" s="65">
        <v>500</v>
      </c>
      <c r="W3748" s="65">
        <v>0</v>
      </c>
      <c r="X3748" s="65">
        <v>0</v>
      </c>
      <c r="Y3748" s="65">
        <v>0</v>
      </c>
      <c r="Z3748" s="51">
        <v>0</v>
      </c>
      <c r="AA3748" s="51">
        <v>40</v>
      </c>
      <c r="AB3748" s="102">
        <v>0</v>
      </c>
      <c r="AC3748" s="81">
        <f t="shared" si="178"/>
        <v>394.39519065920001</v>
      </c>
      <c r="AD3748" s="82">
        <f t="shared" si="179"/>
        <v>15</v>
      </c>
      <c r="AE3748" s="218">
        <v>1.1378723994324167E-2</v>
      </c>
      <c r="AF3748">
        <v>1</v>
      </c>
      <c r="AH3748" t="str">
        <f t="shared" si="177"/>
        <v>Dumraon</v>
      </c>
      <c r="AJ3748" s="72">
        <v>500</v>
      </c>
      <c r="AK3748" s="72"/>
      <c r="AL3748" s="72"/>
      <c r="AM3748" s="72"/>
    </row>
    <row r="3749" spans="1:39" x14ac:dyDescent="0.25">
      <c r="A3749" s="37" t="s">
        <v>62</v>
      </c>
      <c r="B3749" s="66" t="s">
        <v>1644</v>
      </c>
      <c r="C3749" s="4">
        <v>1014</v>
      </c>
      <c r="D3749" s="41" t="s">
        <v>376</v>
      </c>
      <c r="E3749" s="41">
        <v>10600009</v>
      </c>
      <c r="F3749" s="85" t="s">
        <v>1377</v>
      </c>
      <c r="G3749" s="39" t="s">
        <v>93</v>
      </c>
      <c r="H3749" s="52" t="s">
        <v>94</v>
      </c>
      <c r="I3749" s="52">
        <v>292.89999999999998</v>
      </c>
      <c r="J3749" s="49">
        <v>10821.34582353</v>
      </c>
      <c r="K3749" s="58">
        <v>384.61999999999995</v>
      </c>
      <c r="L3749" s="58">
        <v>15376.759331045554</v>
      </c>
      <c r="M3749" s="58">
        <v>0</v>
      </c>
      <c r="N3749" s="58">
        <v>0</v>
      </c>
      <c r="O3749" s="58">
        <v>384.61999999999995</v>
      </c>
      <c r="P3749" s="53">
        <v>15376.759331045554</v>
      </c>
      <c r="Q3749" s="65">
        <v>10821.34582353</v>
      </c>
      <c r="R3749" s="65">
        <v>0</v>
      </c>
      <c r="S3749" s="65">
        <v>0</v>
      </c>
      <c r="T3749" s="65">
        <v>4555.4135075155536</v>
      </c>
      <c r="U3749" s="58">
        <v>0</v>
      </c>
      <c r="V3749" s="65">
        <v>0</v>
      </c>
      <c r="W3749" s="65">
        <v>0</v>
      </c>
      <c r="X3749" s="65">
        <v>10821</v>
      </c>
      <c r="Y3749" s="65">
        <v>0</v>
      </c>
      <c r="Z3749" s="51">
        <v>0</v>
      </c>
      <c r="AA3749" s="51">
        <v>0</v>
      </c>
      <c r="AB3749" s="102" t="s">
        <v>68</v>
      </c>
      <c r="AC3749" s="81">
        <f t="shared" si="178"/>
        <v>300.81050766535088</v>
      </c>
      <c r="AD3749" s="82">
        <f t="shared" si="179"/>
        <v>41.842857142857142</v>
      </c>
      <c r="AE3749" s="218">
        <v>-0.42096552330951614</v>
      </c>
      <c r="AF3749">
        <v>1</v>
      </c>
      <c r="AH3749" t="str">
        <f t="shared" si="177"/>
        <v>Dumraon</v>
      </c>
      <c r="AJ3749" s="72">
        <v>0</v>
      </c>
      <c r="AK3749" s="72"/>
      <c r="AL3749" s="72"/>
      <c r="AM3749" s="72"/>
    </row>
    <row r="3750" spans="1:39" x14ac:dyDescent="0.25">
      <c r="A3750" s="37" t="s">
        <v>62</v>
      </c>
      <c r="B3750" s="66" t="s">
        <v>1644</v>
      </c>
      <c r="C3750" s="4">
        <v>1014</v>
      </c>
      <c r="D3750" s="41" t="s">
        <v>376</v>
      </c>
      <c r="E3750" s="41">
        <v>10600012</v>
      </c>
      <c r="F3750" s="85" t="s">
        <v>1458</v>
      </c>
      <c r="G3750" s="39" t="s">
        <v>93</v>
      </c>
      <c r="H3750" s="52" t="s">
        <v>94</v>
      </c>
      <c r="I3750" s="52">
        <v>499.40000000000003</v>
      </c>
      <c r="J3750" s="49">
        <v>17967.48410238</v>
      </c>
      <c r="K3750" s="58">
        <v>464.57</v>
      </c>
      <c r="L3750" s="58">
        <v>17772.613337437051</v>
      </c>
      <c r="M3750" s="58">
        <v>1.02</v>
      </c>
      <c r="N3750" s="58">
        <v>37.870502058900001</v>
      </c>
      <c r="O3750" s="58">
        <v>465.59</v>
      </c>
      <c r="P3750" s="53">
        <v>17810.483839495952</v>
      </c>
      <c r="Q3750" s="65">
        <v>17810.483839495952</v>
      </c>
      <c r="R3750" s="65">
        <v>0</v>
      </c>
      <c r="S3750" s="65">
        <v>37.870502058900001</v>
      </c>
      <c r="T3750" s="65">
        <v>0</v>
      </c>
      <c r="U3750" s="58">
        <v>0</v>
      </c>
      <c r="V3750" s="65">
        <v>0</v>
      </c>
      <c r="W3750" s="65">
        <v>0</v>
      </c>
      <c r="X3750" s="65">
        <v>17773</v>
      </c>
      <c r="Y3750" s="65">
        <v>0</v>
      </c>
      <c r="Z3750" s="51">
        <v>0</v>
      </c>
      <c r="AA3750" s="51">
        <v>157</v>
      </c>
      <c r="AB3750" s="102">
        <v>0</v>
      </c>
      <c r="AC3750" s="81">
        <f t="shared" si="178"/>
        <v>144.3443056042222</v>
      </c>
      <c r="AD3750" s="82">
        <f t="shared" si="179"/>
        <v>71.342857142857142</v>
      </c>
      <c r="AE3750" s="218">
        <v>8.7380215276356872E-3</v>
      </c>
      <c r="AF3750">
        <v>4</v>
      </c>
      <c r="AH3750" t="str">
        <f t="shared" si="177"/>
        <v>Dumraon</v>
      </c>
      <c r="AJ3750" s="72">
        <v>0</v>
      </c>
      <c r="AK3750" s="72"/>
      <c r="AL3750" s="72"/>
      <c r="AM3750" s="72"/>
    </row>
    <row r="3751" spans="1:39" x14ac:dyDescent="0.25">
      <c r="A3751" s="37" t="s">
        <v>62</v>
      </c>
      <c r="B3751" s="66" t="s">
        <v>1644</v>
      </c>
      <c r="C3751" s="4">
        <v>1061</v>
      </c>
      <c r="D3751" s="41" t="s">
        <v>1452</v>
      </c>
      <c r="E3751" s="41">
        <v>10610001</v>
      </c>
      <c r="F3751" s="85" t="s">
        <v>1460</v>
      </c>
      <c r="G3751" s="39" t="s">
        <v>93</v>
      </c>
      <c r="H3751" s="52" t="s">
        <v>94</v>
      </c>
      <c r="I3751" s="52">
        <v>812.80000000000007</v>
      </c>
      <c r="J3751" s="49">
        <v>35241.963889250008</v>
      </c>
      <c r="K3751" s="58">
        <v>819.70000000000016</v>
      </c>
      <c r="L3751" s="58">
        <v>35752.339827305208</v>
      </c>
      <c r="M3751" s="58">
        <v>5.1000000000000005</v>
      </c>
      <c r="N3751" s="58">
        <v>237.82597373150003</v>
      </c>
      <c r="O3751" s="58">
        <v>824.80000000000018</v>
      </c>
      <c r="P3751" s="53">
        <v>35990.16580103671</v>
      </c>
      <c r="Q3751" s="65">
        <v>35241.963889250008</v>
      </c>
      <c r="R3751" s="65">
        <v>0</v>
      </c>
      <c r="S3751" s="65">
        <v>237.82597373150003</v>
      </c>
      <c r="T3751" s="65">
        <v>748.20191178670211</v>
      </c>
      <c r="U3751" s="58">
        <v>0</v>
      </c>
      <c r="V3751" s="65">
        <v>0</v>
      </c>
      <c r="W3751" s="65">
        <v>0</v>
      </c>
      <c r="X3751" s="65">
        <v>35004</v>
      </c>
      <c r="Y3751" s="65">
        <v>0</v>
      </c>
      <c r="Z3751" s="51">
        <v>0</v>
      </c>
      <c r="AA3751" s="51">
        <v>0</v>
      </c>
      <c r="AB3751" s="102">
        <v>0</v>
      </c>
      <c r="AC3751" s="81">
        <f t="shared" si="178"/>
        <v>0</v>
      </c>
      <c r="AD3751" s="82">
        <f t="shared" si="179"/>
        <v>0</v>
      </c>
      <c r="AE3751" s="218">
        <v>-2.123042615156101E-2</v>
      </c>
      <c r="AF3751">
        <v>8</v>
      </c>
      <c r="AH3751" t="str">
        <f t="shared" si="177"/>
        <v>Mahua BMC</v>
      </c>
      <c r="AJ3751" s="72">
        <v>0</v>
      </c>
      <c r="AK3751" s="72"/>
      <c r="AL3751" s="72"/>
      <c r="AM3751" s="72"/>
    </row>
    <row r="3752" spans="1:39" x14ac:dyDescent="0.25">
      <c r="A3752" s="37" t="s">
        <v>62</v>
      </c>
      <c r="B3752" s="66" t="s">
        <v>1644</v>
      </c>
      <c r="C3752" s="4">
        <v>1061</v>
      </c>
      <c r="D3752" s="41" t="s">
        <v>1452</v>
      </c>
      <c r="E3752" s="41">
        <v>10610002</v>
      </c>
      <c r="F3752" s="85" t="s">
        <v>1378</v>
      </c>
      <c r="G3752" s="39" t="s">
        <v>93</v>
      </c>
      <c r="H3752" s="52" t="s">
        <v>94</v>
      </c>
      <c r="I3752" s="52">
        <v>363.2999999999999</v>
      </c>
      <c r="J3752" s="49">
        <v>17392.183491003001</v>
      </c>
      <c r="K3752" s="58">
        <v>368.80000000000007</v>
      </c>
      <c r="L3752" s="58">
        <v>17960.574717541524</v>
      </c>
      <c r="M3752" s="58">
        <v>0</v>
      </c>
      <c r="N3752" s="58">
        <v>0</v>
      </c>
      <c r="O3752" s="58">
        <v>368.80000000000007</v>
      </c>
      <c r="P3752" s="53">
        <v>17960.574717541524</v>
      </c>
      <c r="Q3752" s="65">
        <v>17392.183491003001</v>
      </c>
      <c r="R3752" s="65">
        <v>0</v>
      </c>
      <c r="S3752" s="65">
        <v>0</v>
      </c>
      <c r="T3752" s="65">
        <v>568.39122653852246</v>
      </c>
      <c r="U3752" s="58">
        <v>0</v>
      </c>
      <c r="V3752" s="65">
        <v>0</v>
      </c>
      <c r="W3752" s="65">
        <v>0</v>
      </c>
      <c r="X3752" s="65">
        <v>17392</v>
      </c>
      <c r="Y3752" s="65">
        <v>0</v>
      </c>
      <c r="Z3752" s="51">
        <v>0</v>
      </c>
      <c r="AA3752" s="51">
        <v>0</v>
      </c>
      <c r="AB3752" s="102">
        <v>0</v>
      </c>
      <c r="AC3752" s="81">
        <f t="shared" si="178"/>
        <v>322.37534717427548</v>
      </c>
      <c r="AD3752" s="82">
        <f t="shared" si="179"/>
        <v>51.899999999999984</v>
      </c>
      <c r="AE3752" s="218">
        <v>-3.2680843485382499E-2</v>
      </c>
      <c r="AF3752">
        <v>10</v>
      </c>
      <c r="AH3752" t="str">
        <f t="shared" si="177"/>
        <v>Mahua BMC</v>
      </c>
      <c r="AJ3752" s="72">
        <v>0</v>
      </c>
      <c r="AK3752" s="72"/>
      <c r="AL3752" s="72"/>
      <c r="AM3752" s="72"/>
    </row>
    <row r="3753" spans="1:39" x14ac:dyDescent="0.25">
      <c r="A3753" s="37" t="s">
        <v>62</v>
      </c>
      <c r="B3753" s="66" t="s">
        <v>1644</v>
      </c>
      <c r="C3753" s="4">
        <v>1061</v>
      </c>
      <c r="D3753" s="41" t="s">
        <v>1452</v>
      </c>
      <c r="E3753" s="41">
        <v>10610003</v>
      </c>
      <c r="F3753" s="85" t="s">
        <v>1461</v>
      </c>
      <c r="G3753" s="39" t="s">
        <v>93</v>
      </c>
      <c r="H3753" s="52" t="s">
        <v>94</v>
      </c>
      <c r="I3753" s="52">
        <v>358.7</v>
      </c>
      <c r="J3753" s="49">
        <v>13991.234748270001</v>
      </c>
      <c r="K3753" s="58">
        <v>358.3</v>
      </c>
      <c r="L3753" s="58">
        <v>14424.3530237102</v>
      </c>
      <c r="M3753" s="58">
        <v>0</v>
      </c>
      <c r="N3753" s="58">
        <v>0</v>
      </c>
      <c r="O3753" s="58">
        <v>358.3</v>
      </c>
      <c r="P3753" s="53">
        <v>14424.3530237102</v>
      </c>
      <c r="Q3753" s="65">
        <v>13991.234748270001</v>
      </c>
      <c r="R3753" s="65">
        <v>0</v>
      </c>
      <c r="S3753" s="65">
        <v>0</v>
      </c>
      <c r="T3753" s="65">
        <v>433.1182754401998</v>
      </c>
      <c r="U3753" s="58">
        <v>0</v>
      </c>
      <c r="V3753" s="65">
        <v>0</v>
      </c>
      <c r="W3753" s="65">
        <v>0</v>
      </c>
      <c r="X3753" s="65">
        <v>13991</v>
      </c>
      <c r="Y3753" s="65">
        <v>0</v>
      </c>
      <c r="Z3753" s="51">
        <v>0</v>
      </c>
      <c r="AA3753" s="51">
        <v>0</v>
      </c>
      <c r="AB3753" s="102">
        <v>0</v>
      </c>
      <c r="AC3753" s="81">
        <f t="shared" si="178"/>
        <v>266.25081793055767</v>
      </c>
      <c r="AD3753" s="82">
        <f t="shared" si="179"/>
        <v>51.24285714285714</v>
      </c>
      <c r="AE3753" s="218">
        <v>-3.0956401149209105E-2</v>
      </c>
      <c r="AF3753">
        <v>3</v>
      </c>
      <c r="AH3753" t="str">
        <f t="shared" si="177"/>
        <v>Mahua BMC</v>
      </c>
      <c r="AJ3753" s="72">
        <v>0</v>
      </c>
      <c r="AK3753" s="72"/>
      <c r="AL3753" s="72"/>
      <c r="AM3753" s="72"/>
    </row>
    <row r="3754" spans="1:39" x14ac:dyDescent="0.25">
      <c r="A3754" s="37" t="s">
        <v>62</v>
      </c>
      <c r="B3754" s="66" t="s">
        <v>1644</v>
      </c>
      <c r="C3754" s="4">
        <v>1061</v>
      </c>
      <c r="D3754" s="41" t="s">
        <v>1452</v>
      </c>
      <c r="E3754" s="41">
        <v>10610004</v>
      </c>
      <c r="F3754" s="85" t="s">
        <v>1462</v>
      </c>
      <c r="G3754" s="39" t="s">
        <v>93</v>
      </c>
      <c r="H3754" s="52" t="s">
        <v>94</v>
      </c>
      <c r="I3754" s="52">
        <v>147.9</v>
      </c>
      <c r="J3754" s="49">
        <v>6240.1187489795002</v>
      </c>
      <c r="K3754" s="58">
        <v>147.80000000000001</v>
      </c>
      <c r="L3754" s="58">
        <v>6163.5928129003996</v>
      </c>
      <c r="M3754" s="58">
        <v>3.1000000000000005</v>
      </c>
      <c r="N3754" s="58">
        <v>126.73185315000001</v>
      </c>
      <c r="O3754" s="58">
        <v>150.9</v>
      </c>
      <c r="P3754" s="53">
        <v>6290.3246660503992</v>
      </c>
      <c r="Q3754" s="65">
        <v>6240.1187489795002</v>
      </c>
      <c r="R3754" s="65">
        <v>0</v>
      </c>
      <c r="S3754" s="65">
        <v>126.73185315000001</v>
      </c>
      <c r="T3754" s="65">
        <v>50.205917070898977</v>
      </c>
      <c r="U3754" s="58">
        <v>3000</v>
      </c>
      <c r="V3754" s="65">
        <v>0</v>
      </c>
      <c r="W3754" s="65">
        <v>0</v>
      </c>
      <c r="X3754" s="65">
        <v>3113</v>
      </c>
      <c r="Y3754" s="65">
        <v>0</v>
      </c>
      <c r="Z3754" s="51">
        <v>0</v>
      </c>
      <c r="AA3754" s="51">
        <v>0</v>
      </c>
      <c r="AB3754" s="102">
        <v>0</v>
      </c>
      <c r="AC3754" s="81">
        <f t="shared" si="178"/>
        <v>465.87823682374329</v>
      </c>
      <c r="AD3754" s="82">
        <f t="shared" si="179"/>
        <v>21.12857142857143</v>
      </c>
      <c r="AE3754" s="218">
        <v>-8.0456669320771463E-3</v>
      </c>
      <c r="AF3754">
        <v>4</v>
      </c>
      <c r="AH3754" t="str">
        <f t="shared" si="177"/>
        <v>Mahua BMC</v>
      </c>
      <c r="AJ3754" s="72">
        <v>0</v>
      </c>
      <c r="AK3754" s="72"/>
      <c r="AL3754" s="72"/>
      <c r="AM3754" s="72"/>
    </row>
    <row r="3755" spans="1:39" x14ac:dyDescent="0.25">
      <c r="A3755" s="37" t="s">
        <v>62</v>
      </c>
      <c r="B3755" s="66" t="s">
        <v>1644</v>
      </c>
      <c r="C3755" s="4">
        <v>1061</v>
      </c>
      <c r="D3755" s="41" t="s">
        <v>1452</v>
      </c>
      <c r="E3755" s="41">
        <v>10610005</v>
      </c>
      <c r="F3755" s="85" t="s">
        <v>467</v>
      </c>
      <c r="G3755" s="39" t="s">
        <v>93</v>
      </c>
      <c r="H3755" s="52" t="s">
        <v>94</v>
      </c>
      <c r="I3755" s="52">
        <v>508.7000000000001</v>
      </c>
      <c r="J3755" s="49">
        <v>22157.174551143002</v>
      </c>
      <c r="K3755" s="58">
        <v>508.3</v>
      </c>
      <c r="L3755" s="58">
        <v>22089.776748307806</v>
      </c>
      <c r="M3755" s="58">
        <v>0</v>
      </c>
      <c r="N3755" s="58">
        <v>0</v>
      </c>
      <c r="O3755" s="58">
        <v>508.3</v>
      </c>
      <c r="P3755" s="53">
        <v>22089.776748307806</v>
      </c>
      <c r="Q3755" s="65">
        <v>22089.776748307806</v>
      </c>
      <c r="R3755" s="65">
        <v>0</v>
      </c>
      <c r="S3755" s="65">
        <v>0</v>
      </c>
      <c r="T3755" s="65">
        <v>0</v>
      </c>
      <c r="U3755" s="58">
        <v>0</v>
      </c>
      <c r="V3755" s="65">
        <v>0</v>
      </c>
      <c r="W3755" s="65">
        <v>0</v>
      </c>
      <c r="X3755" s="65">
        <v>22090</v>
      </c>
      <c r="Y3755" s="65">
        <v>0</v>
      </c>
      <c r="Z3755" s="51">
        <v>0</v>
      </c>
      <c r="AA3755" s="51">
        <v>67</v>
      </c>
      <c r="AB3755" s="102">
        <v>0</v>
      </c>
      <c r="AC3755" s="81">
        <f t="shared" si="178"/>
        <v>166.64704114934747</v>
      </c>
      <c r="AD3755" s="82">
        <f t="shared" si="179"/>
        <v>72.671428571428592</v>
      </c>
      <c r="AE3755" s="218">
        <v>3.0418049322863223E-3</v>
      </c>
      <c r="AF3755">
        <v>3</v>
      </c>
      <c r="AH3755" t="str">
        <f t="shared" si="177"/>
        <v>Mahua BMC</v>
      </c>
      <c r="AJ3755" s="72">
        <v>0</v>
      </c>
      <c r="AK3755" s="72"/>
      <c r="AL3755" s="72"/>
      <c r="AM3755" s="72"/>
    </row>
    <row r="3756" spans="1:39" x14ac:dyDescent="0.25">
      <c r="A3756" s="37" t="s">
        <v>62</v>
      </c>
      <c r="B3756" s="66" t="s">
        <v>1644</v>
      </c>
      <c r="C3756" s="4">
        <v>1061</v>
      </c>
      <c r="D3756" s="41" t="s">
        <v>1452</v>
      </c>
      <c r="E3756" s="41">
        <v>10610006</v>
      </c>
      <c r="F3756" s="85" t="s">
        <v>1379</v>
      </c>
      <c r="G3756" s="39" t="s">
        <v>93</v>
      </c>
      <c r="H3756" s="52" t="s">
        <v>94</v>
      </c>
      <c r="I3756" s="52">
        <v>258.59999999999997</v>
      </c>
      <c r="J3756" s="49">
        <v>12346.061461988002</v>
      </c>
      <c r="K3756" s="58">
        <v>258.09999999999997</v>
      </c>
      <c r="L3756" s="58">
        <v>13161.815341811478</v>
      </c>
      <c r="M3756" s="58">
        <v>0</v>
      </c>
      <c r="N3756" s="58">
        <v>0</v>
      </c>
      <c r="O3756" s="58">
        <v>258.09999999999997</v>
      </c>
      <c r="P3756" s="53">
        <v>13161.815341811478</v>
      </c>
      <c r="Q3756" s="65">
        <v>12346.061461988002</v>
      </c>
      <c r="R3756" s="65">
        <v>0</v>
      </c>
      <c r="S3756" s="65">
        <v>0</v>
      </c>
      <c r="T3756" s="65">
        <v>815.75387982347638</v>
      </c>
      <c r="U3756" s="58">
        <v>0</v>
      </c>
      <c r="V3756" s="65">
        <v>0</v>
      </c>
      <c r="W3756" s="65">
        <v>0</v>
      </c>
      <c r="X3756" s="65">
        <v>12346</v>
      </c>
      <c r="Y3756" s="65">
        <v>0</v>
      </c>
      <c r="Z3756" s="51">
        <v>0</v>
      </c>
      <c r="AA3756" s="51">
        <v>0</v>
      </c>
      <c r="AB3756" s="102">
        <v>0</v>
      </c>
      <c r="AC3756" s="81">
        <f t="shared" si="178"/>
        <v>421.4657021903717</v>
      </c>
      <c r="AD3756" s="82">
        <f t="shared" si="179"/>
        <v>36.942857142857136</v>
      </c>
      <c r="AE3756" s="218">
        <v>-6.6074017396971649E-2</v>
      </c>
      <c r="AF3756">
        <v>9</v>
      </c>
      <c r="AH3756" t="str">
        <f t="shared" si="177"/>
        <v>Mahua BMC</v>
      </c>
      <c r="AJ3756" s="72">
        <v>0</v>
      </c>
      <c r="AK3756" s="72"/>
      <c r="AL3756" s="72"/>
      <c r="AM3756" s="72"/>
    </row>
    <row r="3757" spans="1:39" x14ac:dyDescent="0.25">
      <c r="A3757" s="37" t="s">
        <v>62</v>
      </c>
      <c r="B3757" s="66" t="s">
        <v>1644</v>
      </c>
      <c r="C3757" s="4">
        <v>1061</v>
      </c>
      <c r="D3757" s="41" t="s">
        <v>1452</v>
      </c>
      <c r="E3757" s="41">
        <v>10610007</v>
      </c>
      <c r="F3757" s="85" t="s">
        <v>1380</v>
      </c>
      <c r="G3757" s="39" t="s">
        <v>93</v>
      </c>
      <c r="H3757" s="52" t="s">
        <v>94</v>
      </c>
      <c r="I3757" s="52">
        <v>274.3</v>
      </c>
      <c r="J3757" s="49">
        <v>14311.748026329398</v>
      </c>
      <c r="K3757" s="58">
        <v>273.10000000000002</v>
      </c>
      <c r="L3757" s="58">
        <v>14536.19521269116</v>
      </c>
      <c r="M3757" s="58">
        <v>5.6</v>
      </c>
      <c r="N3757" s="58">
        <v>336.7428514627</v>
      </c>
      <c r="O3757" s="58">
        <v>278.70000000000005</v>
      </c>
      <c r="P3757" s="53">
        <v>14872.938064153861</v>
      </c>
      <c r="Q3757" s="65">
        <v>14311.748026329398</v>
      </c>
      <c r="R3757" s="65">
        <v>0</v>
      </c>
      <c r="S3757" s="65">
        <v>336.7428514627</v>
      </c>
      <c r="T3757" s="65">
        <v>561.19003782446271</v>
      </c>
      <c r="U3757" s="58">
        <v>0</v>
      </c>
      <c r="V3757" s="65">
        <v>0</v>
      </c>
      <c r="W3757" s="65">
        <v>0</v>
      </c>
      <c r="X3757" s="65">
        <v>13975</v>
      </c>
      <c r="Y3757" s="65">
        <v>0</v>
      </c>
      <c r="Z3757" s="51">
        <v>0</v>
      </c>
      <c r="AA3757" s="51">
        <v>0</v>
      </c>
      <c r="AB3757" s="102">
        <v>0</v>
      </c>
      <c r="AC3757" s="81">
        <f t="shared" si="178"/>
        <v>444.22246699295835</v>
      </c>
      <c r="AD3757" s="82">
        <f t="shared" si="179"/>
        <v>39.18571428571429</v>
      </c>
      <c r="AE3757" s="218">
        <v>-3.9211844478538781E-2</v>
      </c>
      <c r="AF3757">
        <v>13</v>
      </c>
      <c r="AH3757" t="str">
        <f t="shared" si="177"/>
        <v>Mahua BMC</v>
      </c>
      <c r="AJ3757" s="72">
        <v>0</v>
      </c>
      <c r="AK3757" s="72"/>
      <c r="AL3757" s="72"/>
      <c r="AM3757" s="72"/>
    </row>
    <row r="3758" spans="1:39" x14ac:dyDescent="0.25">
      <c r="A3758" s="37" t="s">
        <v>62</v>
      </c>
      <c r="B3758" s="66" t="s">
        <v>1644</v>
      </c>
      <c r="C3758" s="4">
        <v>1061</v>
      </c>
      <c r="D3758" s="41" t="s">
        <v>1452</v>
      </c>
      <c r="E3758" s="41">
        <v>10610008</v>
      </c>
      <c r="F3758" s="85" t="s">
        <v>1381</v>
      </c>
      <c r="G3758" s="39" t="s">
        <v>93</v>
      </c>
      <c r="H3758" s="52" t="s">
        <v>94</v>
      </c>
      <c r="I3758" s="52">
        <v>343.20000000000005</v>
      </c>
      <c r="J3758" s="49">
        <v>14794.949857424122</v>
      </c>
      <c r="K3758" s="58">
        <v>349.5</v>
      </c>
      <c r="L3758" s="58">
        <v>15652.283578320743</v>
      </c>
      <c r="M3758" s="58">
        <v>0</v>
      </c>
      <c r="N3758" s="58">
        <v>0</v>
      </c>
      <c r="O3758" s="58">
        <v>349.5</v>
      </c>
      <c r="P3758" s="53">
        <v>15652.283578320743</v>
      </c>
      <c r="Q3758" s="65">
        <v>14794.949857424122</v>
      </c>
      <c r="R3758" s="65">
        <v>0</v>
      </c>
      <c r="S3758" s="65">
        <v>0</v>
      </c>
      <c r="T3758" s="65">
        <v>857.33372089662043</v>
      </c>
      <c r="U3758" s="58">
        <v>0</v>
      </c>
      <c r="V3758" s="65">
        <v>0</v>
      </c>
      <c r="W3758" s="65">
        <v>0</v>
      </c>
      <c r="X3758" s="65">
        <v>14795</v>
      </c>
      <c r="Y3758" s="65">
        <v>0</v>
      </c>
      <c r="Z3758" s="51">
        <v>0</v>
      </c>
      <c r="AA3758" s="51">
        <v>0</v>
      </c>
      <c r="AB3758" s="102">
        <v>0</v>
      </c>
      <c r="AC3758" s="81">
        <f t="shared" si="178"/>
        <v>307.62459843408658</v>
      </c>
      <c r="AD3758" s="82">
        <f t="shared" si="179"/>
        <v>49.028571428571432</v>
      </c>
      <c r="AE3758" s="218">
        <v>-5.7947727377150211E-2</v>
      </c>
      <c r="AF3758">
        <v>3</v>
      </c>
      <c r="AH3758" t="str">
        <f t="shared" si="177"/>
        <v>Mahua BMC</v>
      </c>
      <c r="AJ3758" s="72">
        <v>0</v>
      </c>
      <c r="AK3758" s="72"/>
      <c r="AL3758" s="72"/>
      <c r="AM3758" s="72"/>
    </row>
    <row r="3759" spans="1:39" x14ac:dyDescent="0.25">
      <c r="A3759" s="37" t="s">
        <v>62</v>
      </c>
      <c r="B3759" s="66" t="s">
        <v>1644</v>
      </c>
      <c r="C3759" s="4">
        <v>1061</v>
      </c>
      <c r="D3759" s="41" t="s">
        <v>1452</v>
      </c>
      <c r="E3759" s="41">
        <v>10610009</v>
      </c>
      <c r="F3759" s="85" t="s">
        <v>1399</v>
      </c>
      <c r="G3759" s="39" t="s">
        <v>93</v>
      </c>
      <c r="H3759" s="52" t="s">
        <v>94</v>
      </c>
      <c r="I3759" s="52">
        <v>954.5999999999998</v>
      </c>
      <c r="J3759" s="49">
        <v>44304.712244527997</v>
      </c>
      <c r="K3759" s="58">
        <v>966.50000000000011</v>
      </c>
      <c r="L3759" s="58">
        <v>44451.474728330912</v>
      </c>
      <c r="M3759" s="58">
        <v>5.7</v>
      </c>
      <c r="N3759" s="58">
        <v>229.29560886000004</v>
      </c>
      <c r="O3759" s="58">
        <v>972.20000000000016</v>
      </c>
      <c r="P3759" s="53">
        <v>44680.770337190908</v>
      </c>
      <c r="Q3759" s="65">
        <v>44304.712244527997</v>
      </c>
      <c r="R3759" s="65">
        <v>0</v>
      </c>
      <c r="S3759" s="65">
        <v>229.29560886000004</v>
      </c>
      <c r="T3759" s="65">
        <v>376.0580926629118</v>
      </c>
      <c r="U3759" s="58">
        <v>0</v>
      </c>
      <c r="V3759" s="65">
        <v>0</v>
      </c>
      <c r="W3759" s="65">
        <v>0</v>
      </c>
      <c r="X3759" s="65">
        <v>44075</v>
      </c>
      <c r="Y3759" s="65">
        <v>0</v>
      </c>
      <c r="Z3759" s="51">
        <v>0</v>
      </c>
      <c r="AA3759" s="51">
        <v>0</v>
      </c>
      <c r="AB3759" s="102">
        <v>0</v>
      </c>
      <c r="AC3759" s="81">
        <f t="shared" si="178"/>
        <v>0</v>
      </c>
      <c r="AD3759" s="82">
        <f t="shared" si="179"/>
        <v>0</v>
      </c>
      <c r="AE3759" s="218">
        <v>-8.4879931188213079E-3</v>
      </c>
      <c r="AF3759">
        <v>32</v>
      </c>
      <c r="AH3759" t="str">
        <f t="shared" si="177"/>
        <v>Mahua BMC</v>
      </c>
      <c r="AJ3759" s="72">
        <v>0</v>
      </c>
      <c r="AK3759" s="72"/>
      <c r="AL3759" s="72"/>
      <c r="AM3759" s="72"/>
    </row>
    <row r="3760" spans="1:39" x14ac:dyDescent="0.25">
      <c r="A3760" s="37" t="s">
        <v>62</v>
      </c>
      <c r="B3760" s="66" t="s">
        <v>1644</v>
      </c>
      <c r="C3760" s="4">
        <v>1061</v>
      </c>
      <c r="D3760" s="41" t="s">
        <v>1452</v>
      </c>
      <c r="E3760" s="41">
        <v>10610010</v>
      </c>
      <c r="F3760" s="85" t="s">
        <v>1382</v>
      </c>
      <c r="G3760" s="39" t="s">
        <v>93</v>
      </c>
      <c r="H3760" s="52" t="s">
        <v>94</v>
      </c>
      <c r="I3760" s="52">
        <v>590.29999999999995</v>
      </c>
      <c r="J3760" s="49">
        <v>25181.454707330799</v>
      </c>
      <c r="K3760" s="58">
        <v>589.19999999999993</v>
      </c>
      <c r="L3760" s="58">
        <v>25577.014117146002</v>
      </c>
      <c r="M3760" s="58">
        <v>0</v>
      </c>
      <c r="N3760" s="58">
        <v>0</v>
      </c>
      <c r="O3760" s="58">
        <v>589.19999999999993</v>
      </c>
      <c r="P3760" s="53">
        <v>25577.014117146002</v>
      </c>
      <c r="Q3760" s="65">
        <v>25181.454707330799</v>
      </c>
      <c r="R3760" s="65">
        <v>0</v>
      </c>
      <c r="S3760" s="65">
        <v>0</v>
      </c>
      <c r="T3760" s="65">
        <v>395.55940981520325</v>
      </c>
      <c r="U3760" s="58">
        <v>0</v>
      </c>
      <c r="V3760" s="65">
        <v>0</v>
      </c>
      <c r="W3760" s="65">
        <v>0</v>
      </c>
      <c r="X3760" s="65">
        <v>25181</v>
      </c>
      <c r="Y3760" s="65">
        <v>0</v>
      </c>
      <c r="Z3760" s="51">
        <v>0</v>
      </c>
      <c r="AA3760" s="51">
        <v>0</v>
      </c>
      <c r="AB3760" s="102">
        <v>0</v>
      </c>
      <c r="AC3760" s="81">
        <f t="shared" si="178"/>
        <v>93.593277363855321</v>
      </c>
      <c r="AD3760" s="82">
        <f t="shared" si="179"/>
        <v>84.328571428571422</v>
      </c>
      <c r="AE3760" s="218">
        <v>-1.5708362142400314E-2</v>
      </c>
      <c r="AF3760">
        <v>10</v>
      </c>
      <c r="AH3760" t="str">
        <f t="shared" si="177"/>
        <v>Mahua BMC</v>
      </c>
      <c r="AJ3760" s="72">
        <v>0</v>
      </c>
      <c r="AK3760" s="72"/>
      <c r="AL3760" s="72"/>
      <c r="AM3760" s="72"/>
    </row>
    <row r="3761" spans="1:39" x14ac:dyDescent="0.25">
      <c r="A3761" s="37" t="s">
        <v>62</v>
      </c>
      <c r="B3761" s="66" t="s">
        <v>1644</v>
      </c>
      <c r="C3761" s="4">
        <v>1061</v>
      </c>
      <c r="D3761" s="41" t="s">
        <v>1452</v>
      </c>
      <c r="E3761" s="41">
        <v>10610011</v>
      </c>
      <c r="F3761" s="85" t="s">
        <v>1463</v>
      </c>
      <c r="G3761" s="39" t="s">
        <v>635</v>
      </c>
      <c r="H3761" s="52" t="s">
        <v>99</v>
      </c>
      <c r="I3761" s="52">
        <v>239</v>
      </c>
      <c r="J3761" s="49">
        <v>9777.3791239540806</v>
      </c>
      <c r="K3761" s="58">
        <v>0</v>
      </c>
      <c r="L3761" s="58">
        <v>0</v>
      </c>
      <c r="M3761" s="58">
        <v>0</v>
      </c>
      <c r="N3761" s="58">
        <v>0</v>
      </c>
      <c r="O3761" s="58">
        <v>0</v>
      </c>
      <c r="P3761" s="53">
        <v>0</v>
      </c>
      <c r="Q3761" s="65">
        <v>9777.3791239540806</v>
      </c>
      <c r="R3761" s="65">
        <v>0</v>
      </c>
      <c r="S3761" s="65">
        <v>0</v>
      </c>
      <c r="T3761" s="65">
        <v>0</v>
      </c>
      <c r="U3761" s="58">
        <v>0</v>
      </c>
      <c r="V3761" s="65">
        <v>0</v>
      </c>
      <c r="W3761" s="65">
        <v>0</v>
      </c>
      <c r="X3761" s="65">
        <v>0</v>
      </c>
      <c r="Y3761" s="65">
        <v>0</v>
      </c>
      <c r="Z3761" s="51">
        <v>9777.3791239540806</v>
      </c>
      <c r="AA3761" s="51">
        <v>0</v>
      </c>
      <c r="AB3761" s="102">
        <v>0</v>
      </c>
      <c r="AC3761" s="81">
        <f t="shared" si="178"/>
        <v>377.18592268977665</v>
      </c>
      <c r="AD3761" s="82">
        <f t="shared" si="179"/>
        <v>34.142857142857146</v>
      </c>
      <c r="AE3761" s="218">
        <v>0</v>
      </c>
      <c r="AF3761">
        <v>0</v>
      </c>
      <c r="AH3761" t="str">
        <f t="shared" si="177"/>
        <v>Mahua BMC</v>
      </c>
      <c r="AJ3761" s="72">
        <v>0</v>
      </c>
      <c r="AK3761" s="72"/>
      <c r="AL3761" s="72"/>
      <c r="AM3761" s="72"/>
    </row>
    <row r="3762" spans="1:39" x14ac:dyDescent="0.25">
      <c r="A3762" s="37" t="s">
        <v>62</v>
      </c>
      <c r="B3762" s="66" t="s">
        <v>1644</v>
      </c>
      <c r="C3762" s="4">
        <v>1061</v>
      </c>
      <c r="D3762" s="41" t="s">
        <v>1452</v>
      </c>
      <c r="E3762" s="41">
        <v>10610013</v>
      </c>
      <c r="F3762" s="85" t="s">
        <v>1464</v>
      </c>
      <c r="G3762" s="39" t="s">
        <v>635</v>
      </c>
      <c r="H3762" s="52" t="s">
        <v>99</v>
      </c>
      <c r="I3762" s="52">
        <v>277.70000000000005</v>
      </c>
      <c r="J3762" s="49">
        <v>10453.983585603</v>
      </c>
      <c r="K3762" s="58">
        <v>0</v>
      </c>
      <c r="L3762" s="58">
        <v>0</v>
      </c>
      <c r="M3762" s="58">
        <v>0</v>
      </c>
      <c r="N3762" s="58">
        <v>0</v>
      </c>
      <c r="O3762" s="58">
        <v>0</v>
      </c>
      <c r="P3762" s="53">
        <v>0</v>
      </c>
      <c r="Q3762" s="65">
        <v>10453.983585603</v>
      </c>
      <c r="R3762" s="65">
        <v>0</v>
      </c>
      <c r="S3762" s="65">
        <v>0</v>
      </c>
      <c r="T3762" s="65">
        <v>0</v>
      </c>
      <c r="U3762" s="58">
        <v>0</v>
      </c>
      <c r="V3762" s="65">
        <v>0</v>
      </c>
      <c r="W3762" s="65">
        <v>0</v>
      </c>
      <c r="X3762" s="65">
        <v>0</v>
      </c>
      <c r="Y3762" s="65">
        <v>0</v>
      </c>
      <c r="Z3762" s="51">
        <v>10453.983585603</v>
      </c>
      <c r="AA3762" s="51">
        <v>0</v>
      </c>
      <c r="AB3762" s="102">
        <v>0</v>
      </c>
      <c r="AC3762" s="81">
        <f t="shared" si="178"/>
        <v>317.94866893771308</v>
      </c>
      <c r="AD3762" s="82">
        <f t="shared" si="179"/>
        <v>39.671428571428578</v>
      </c>
      <c r="AE3762" s="218">
        <v>0</v>
      </c>
      <c r="AF3762">
        <v>0</v>
      </c>
      <c r="AH3762" t="str">
        <f t="shared" si="177"/>
        <v>Mahua BMC</v>
      </c>
      <c r="AJ3762" s="72">
        <v>0</v>
      </c>
      <c r="AK3762" s="72"/>
      <c r="AL3762" s="72"/>
      <c r="AM3762" s="72"/>
    </row>
    <row r="3763" spans="1:39" x14ac:dyDescent="0.25">
      <c r="A3763" s="37" t="s">
        <v>62</v>
      </c>
      <c r="B3763" s="66" t="s">
        <v>1644</v>
      </c>
      <c r="C3763" s="4">
        <v>1061</v>
      </c>
      <c r="D3763" s="41" t="s">
        <v>1452</v>
      </c>
      <c r="E3763" s="41">
        <v>10610015</v>
      </c>
      <c r="F3763" s="85" t="s">
        <v>1562</v>
      </c>
      <c r="G3763" s="39" t="s">
        <v>635</v>
      </c>
      <c r="H3763" s="52" t="s">
        <v>99</v>
      </c>
      <c r="I3763" s="52">
        <v>224.5</v>
      </c>
      <c r="J3763" s="49">
        <v>7550.8137715500015</v>
      </c>
      <c r="K3763" s="58">
        <v>0</v>
      </c>
      <c r="L3763" s="58">
        <v>0</v>
      </c>
      <c r="M3763" s="58">
        <v>0</v>
      </c>
      <c r="N3763" s="58">
        <v>0</v>
      </c>
      <c r="O3763" s="58">
        <v>0</v>
      </c>
      <c r="P3763" s="53">
        <v>0</v>
      </c>
      <c r="Q3763" s="65">
        <v>7550.8137715500015</v>
      </c>
      <c r="R3763" s="65">
        <v>0</v>
      </c>
      <c r="S3763" s="65">
        <v>0</v>
      </c>
      <c r="T3763" s="65">
        <v>0</v>
      </c>
      <c r="U3763" s="58">
        <v>0</v>
      </c>
      <c r="V3763" s="65">
        <v>0</v>
      </c>
      <c r="W3763" s="65">
        <v>0</v>
      </c>
      <c r="X3763" s="65">
        <v>0</v>
      </c>
      <c r="Y3763" s="65">
        <v>0</v>
      </c>
      <c r="Z3763" s="51">
        <v>7550.8137715500015</v>
      </c>
      <c r="AA3763" s="51">
        <v>0</v>
      </c>
      <c r="AB3763" s="102">
        <v>0</v>
      </c>
      <c r="AC3763" s="81">
        <f t="shared" si="178"/>
        <v>319.85852546744104</v>
      </c>
      <c r="AD3763" s="82">
        <f t="shared" si="179"/>
        <v>32.071428571428569</v>
      </c>
      <c r="AE3763" s="218">
        <v>0</v>
      </c>
      <c r="AF3763">
        <v>0</v>
      </c>
      <c r="AH3763" t="str">
        <f t="shared" si="177"/>
        <v>Mahua BMC</v>
      </c>
      <c r="AJ3763" s="72">
        <v>0</v>
      </c>
      <c r="AK3763" s="72"/>
      <c r="AL3763" s="72"/>
      <c r="AM3763" s="72"/>
    </row>
    <row r="3764" spans="1:39" x14ac:dyDescent="0.25">
      <c r="A3764" s="37" t="s">
        <v>62</v>
      </c>
      <c r="B3764" s="66" t="s">
        <v>1644</v>
      </c>
      <c r="C3764" s="4">
        <v>1061</v>
      </c>
      <c r="D3764" s="41" t="s">
        <v>1452</v>
      </c>
      <c r="E3764" s="41">
        <v>10610017</v>
      </c>
      <c r="F3764" s="85" t="s">
        <v>1465</v>
      </c>
      <c r="G3764" s="39" t="s">
        <v>93</v>
      </c>
      <c r="H3764" s="52" t="s">
        <v>94</v>
      </c>
      <c r="I3764" s="52">
        <v>178.1</v>
      </c>
      <c r="J3764" s="49">
        <v>7452.8549890670001</v>
      </c>
      <c r="K3764" s="58">
        <v>175.60000000000002</v>
      </c>
      <c r="L3764" s="58">
        <v>7419.1749588776902</v>
      </c>
      <c r="M3764" s="58">
        <v>0</v>
      </c>
      <c r="N3764" s="58">
        <v>0</v>
      </c>
      <c r="O3764" s="58">
        <v>175.60000000000002</v>
      </c>
      <c r="P3764" s="53">
        <v>7419.1749588776902</v>
      </c>
      <c r="Q3764" s="65">
        <v>7419.1749588776902</v>
      </c>
      <c r="R3764" s="65">
        <v>0</v>
      </c>
      <c r="S3764" s="65">
        <v>0</v>
      </c>
      <c r="T3764" s="65">
        <v>0</v>
      </c>
      <c r="U3764" s="58">
        <v>0</v>
      </c>
      <c r="V3764" s="65">
        <v>0</v>
      </c>
      <c r="W3764" s="65">
        <v>0</v>
      </c>
      <c r="X3764" s="65">
        <v>7418</v>
      </c>
      <c r="Y3764" s="65">
        <v>0</v>
      </c>
      <c r="Z3764" s="51">
        <v>0</v>
      </c>
      <c r="AA3764" s="51">
        <v>35</v>
      </c>
      <c r="AB3764" s="102">
        <v>0</v>
      </c>
      <c r="AC3764" s="81">
        <f t="shared" si="178"/>
        <v>436.79337661921028</v>
      </c>
      <c r="AD3764" s="82">
        <f t="shared" si="179"/>
        <v>25.442857142857143</v>
      </c>
      <c r="AE3764" s="218">
        <v>4.5190776204175479E-3</v>
      </c>
      <c r="AF3764">
        <v>7</v>
      </c>
      <c r="AH3764" t="str">
        <f t="shared" si="177"/>
        <v>Mahua BMC</v>
      </c>
      <c r="AJ3764" s="72">
        <v>0</v>
      </c>
      <c r="AK3764" s="72"/>
      <c r="AL3764" s="72"/>
      <c r="AM3764" s="72"/>
    </row>
    <row r="3765" spans="1:39" x14ac:dyDescent="0.25">
      <c r="A3765" s="37" t="s">
        <v>62</v>
      </c>
      <c r="B3765" s="66" t="s">
        <v>1644</v>
      </c>
      <c r="C3765" s="4">
        <v>1061</v>
      </c>
      <c r="D3765" s="41" t="s">
        <v>1452</v>
      </c>
      <c r="E3765" s="41">
        <v>10610018</v>
      </c>
      <c r="F3765" s="85" t="s">
        <v>1466</v>
      </c>
      <c r="G3765" s="39" t="s">
        <v>93</v>
      </c>
      <c r="H3765" s="52" t="s">
        <v>94</v>
      </c>
      <c r="I3765" s="52">
        <v>523.30000000000007</v>
      </c>
      <c r="J3765" s="49">
        <v>22390.723812514003</v>
      </c>
      <c r="K3765" s="58">
        <v>539.1</v>
      </c>
      <c r="L3765" s="58">
        <v>22530.542602931</v>
      </c>
      <c r="M3765" s="58">
        <v>0</v>
      </c>
      <c r="N3765" s="58">
        <v>0</v>
      </c>
      <c r="O3765" s="58">
        <v>539.1</v>
      </c>
      <c r="P3765" s="53">
        <v>22530.542602931</v>
      </c>
      <c r="Q3765" s="65">
        <v>22390.723812514003</v>
      </c>
      <c r="R3765" s="65">
        <v>0</v>
      </c>
      <c r="S3765" s="65">
        <v>0</v>
      </c>
      <c r="T3765" s="65">
        <v>139.81879041699722</v>
      </c>
      <c r="U3765" s="58">
        <v>0</v>
      </c>
      <c r="V3765" s="65">
        <v>0</v>
      </c>
      <c r="W3765" s="65">
        <v>0</v>
      </c>
      <c r="X3765" s="65">
        <v>22391</v>
      </c>
      <c r="Y3765" s="65">
        <v>0</v>
      </c>
      <c r="Z3765" s="51">
        <v>0</v>
      </c>
      <c r="AA3765" s="51">
        <v>0</v>
      </c>
      <c r="AB3765" s="102">
        <v>0</v>
      </c>
      <c r="AC3765" s="81">
        <f t="shared" si="178"/>
        <v>151.21119425458522</v>
      </c>
      <c r="AD3765" s="82">
        <f t="shared" si="179"/>
        <v>74.757142857142867</v>
      </c>
      <c r="AE3765" s="218">
        <v>-6.2444962292310339E-3</v>
      </c>
      <c r="AF3765">
        <v>6</v>
      </c>
      <c r="AH3765" t="str">
        <f t="shared" si="177"/>
        <v>Mahua BMC</v>
      </c>
      <c r="AJ3765" s="72">
        <v>0</v>
      </c>
      <c r="AK3765" s="72"/>
      <c r="AL3765" s="72"/>
      <c r="AM3765" s="72"/>
    </row>
    <row r="3766" spans="1:39" x14ac:dyDescent="0.25">
      <c r="A3766" s="37" t="s">
        <v>62</v>
      </c>
      <c r="B3766" s="66" t="s">
        <v>1644</v>
      </c>
      <c r="C3766" s="4">
        <v>1061</v>
      </c>
      <c r="D3766" s="41" t="s">
        <v>1452</v>
      </c>
      <c r="E3766" s="41">
        <v>10610019</v>
      </c>
      <c r="F3766" s="85" t="s">
        <v>1481</v>
      </c>
      <c r="G3766" s="39" t="s">
        <v>93</v>
      </c>
      <c r="H3766" s="52" t="s">
        <v>94</v>
      </c>
      <c r="I3766" s="52">
        <v>117.29999999999998</v>
      </c>
      <c r="J3766" s="49">
        <v>5636.839694642601</v>
      </c>
      <c r="K3766" s="58">
        <v>117</v>
      </c>
      <c r="L3766" s="58">
        <v>6176.3221920593505</v>
      </c>
      <c r="M3766" s="58">
        <v>0</v>
      </c>
      <c r="N3766" s="58">
        <v>0</v>
      </c>
      <c r="O3766" s="58">
        <v>117</v>
      </c>
      <c r="P3766" s="53">
        <v>6176.3221920593505</v>
      </c>
      <c r="Q3766" s="65">
        <v>5636.839694642601</v>
      </c>
      <c r="R3766" s="65">
        <v>0</v>
      </c>
      <c r="S3766" s="65">
        <v>0</v>
      </c>
      <c r="T3766" s="65">
        <v>539.48249741674954</v>
      </c>
      <c r="U3766" s="58">
        <v>0</v>
      </c>
      <c r="V3766" s="65">
        <v>0</v>
      </c>
      <c r="W3766" s="65">
        <v>0</v>
      </c>
      <c r="X3766" s="65">
        <v>5637</v>
      </c>
      <c r="Y3766" s="65">
        <v>0</v>
      </c>
      <c r="Z3766" s="51">
        <v>0</v>
      </c>
      <c r="AA3766" s="51">
        <v>0</v>
      </c>
      <c r="AB3766" s="102">
        <v>0</v>
      </c>
      <c r="AC3766" s="81">
        <f t="shared" si="178"/>
        <v>560.03179711308519</v>
      </c>
      <c r="AD3766" s="82">
        <f t="shared" si="179"/>
        <v>16.757142857142856</v>
      </c>
      <c r="AE3766" s="218">
        <v>-9.57065530760947E-2</v>
      </c>
      <c r="AF3766">
        <v>7</v>
      </c>
      <c r="AH3766" t="str">
        <f t="shared" si="177"/>
        <v>Mahua BMC</v>
      </c>
      <c r="AJ3766" s="72">
        <v>0</v>
      </c>
      <c r="AK3766" s="72"/>
      <c r="AL3766" s="72"/>
      <c r="AM3766" s="72"/>
    </row>
    <row r="3767" spans="1:39" x14ac:dyDescent="0.25">
      <c r="A3767" s="37" t="s">
        <v>62</v>
      </c>
      <c r="B3767" s="66" t="s">
        <v>1644</v>
      </c>
      <c r="C3767" s="4">
        <v>1061</v>
      </c>
      <c r="D3767" s="41" t="s">
        <v>1452</v>
      </c>
      <c r="E3767" s="41">
        <v>10610020</v>
      </c>
      <c r="F3767" s="85" t="s">
        <v>1467</v>
      </c>
      <c r="G3767" s="39" t="s">
        <v>93</v>
      </c>
      <c r="H3767" s="52" t="s">
        <v>94</v>
      </c>
      <c r="I3767" s="52">
        <v>458</v>
      </c>
      <c r="J3767" s="49">
        <v>18867.885328003005</v>
      </c>
      <c r="K3767" s="58">
        <v>459.29999999999995</v>
      </c>
      <c r="L3767" s="58">
        <v>18952.933791602361</v>
      </c>
      <c r="M3767" s="58">
        <v>0</v>
      </c>
      <c r="N3767" s="58">
        <v>0</v>
      </c>
      <c r="O3767" s="58">
        <v>459.29999999999995</v>
      </c>
      <c r="P3767" s="53">
        <v>18952.933791602361</v>
      </c>
      <c r="Q3767" s="65">
        <v>18867.885328003005</v>
      </c>
      <c r="R3767" s="65">
        <v>0</v>
      </c>
      <c r="S3767" s="65">
        <v>0</v>
      </c>
      <c r="T3767" s="65">
        <v>85.048463599356182</v>
      </c>
      <c r="U3767" s="58">
        <v>0</v>
      </c>
      <c r="V3767" s="65">
        <v>0</v>
      </c>
      <c r="W3767" s="65">
        <v>0</v>
      </c>
      <c r="X3767" s="65">
        <v>18868</v>
      </c>
      <c r="Y3767" s="65">
        <v>0</v>
      </c>
      <c r="Z3767" s="51">
        <v>0</v>
      </c>
      <c r="AA3767" s="51">
        <v>0</v>
      </c>
      <c r="AB3767" s="102">
        <v>0</v>
      </c>
      <c r="AC3767" s="81">
        <f t="shared" si="178"/>
        <v>199.38987988544662</v>
      </c>
      <c r="AD3767" s="82">
        <f t="shared" si="179"/>
        <v>65.428571428571431</v>
      </c>
      <c r="AE3767" s="218">
        <v>-4.5075779357812004E-3</v>
      </c>
      <c r="AF3767">
        <v>12</v>
      </c>
      <c r="AH3767" t="str">
        <f t="shared" si="177"/>
        <v>Mahua BMC</v>
      </c>
      <c r="AJ3767" s="72">
        <v>0</v>
      </c>
      <c r="AK3767" s="72"/>
      <c r="AL3767" s="72"/>
      <c r="AM3767" s="72"/>
    </row>
    <row r="3768" spans="1:39" x14ac:dyDescent="0.25">
      <c r="A3768" s="37" t="s">
        <v>62</v>
      </c>
      <c r="B3768" s="66" t="s">
        <v>1644</v>
      </c>
      <c r="C3768" s="4">
        <v>1061</v>
      </c>
      <c r="D3768" s="41" t="s">
        <v>1452</v>
      </c>
      <c r="E3768" s="41">
        <v>10610021</v>
      </c>
      <c r="F3768" s="85" t="s">
        <v>1482</v>
      </c>
      <c r="G3768" s="39" t="s">
        <v>635</v>
      </c>
      <c r="H3768" s="52" t="s">
        <v>99</v>
      </c>
      <c r="I3768" s="52">
        <v>42.1</v>
      </c>
      <c r="J3768" s="49">
        <v>1864.5956596512001</v>
      </c>
      <c r="K3768" s="58">
        <v>0</v>
      </c>
      <c r="L3768" s="58">
        <v>0</v>
      </c>
      <c r="M3768" s="58">
        <v>0</v>
      </c>
      <c r="N3768" s="58">
        <v>0</v>
      </c>
      <c r="O3768" s="58">
        <v>0</v>
      </c>
      <c r="P3768" s="53">
        <v>0</v>
      </c>
      <c r="Q3768" s="65">
        <v>1864.5956596512001</v>
      </c>
      <c r="R3768" s="65">
        <v>0</v>
      </c>
      <c r="S3768" s="65">
        <v>0</v>
      </c>
      <c r="T3768" s="65">
        <v>0</v>
      </c>
      <c r="U3768" s="58">
        <v>0</v>
      </c>
      <c r="V3768" s="65">
        <v>0</v>
      </c>
      <c r="W3768" s="65">
        <v>0</v>
      </c>
      <c r="X3768" s="65">
        <v>0</v>
      </c>
      <c r="Y3768" s="65">
        <v>0</v>
      </c>
      <c r="Z3768" s="51">
        <v>1864.5956596512001</v>
      </c>
      <c r="AA3768" s="51">
        <v>0</v>
      </c>
      <c r="AB3768" s="102">
        <v>0</v>
      </c>
      <c r="AC3768" s="81">
        <f t="shared" si="178"/>
        <v>582.76365058647241</v>
      </c>
      <c r="AD3768" s="82">
        <f t="shared" si="179"/>
        <v>6.0142857142857142</v>
      </c>
      <c r="AE3768" s="218">
        <v>0</v>
      </c>
      <c r="AF3768">
        <v>0</v>
      </c>
      <c r="AH3768" t="str">
        <f t="shared" si="177"/>
        <v>Mahua BMC</v>
      </c>
      <c r="AJ3768" s="72">
        <v>0</v>
      </c>
      <c r="AK3768" s="72"/>
      <c r="AL3768" s="72"/>
      <c r="AM3768" s="72"/>
    </row>
    <row r="3769" spans="1:39" x14ac:dyDescent="0.25">
      <c r="A3769" s="37" t="s">
        <v>62</v>
      </c>
      <c r="B3769" s="66" t="s">
        <v>1644</v>
      </c>
      <c r="C3769" s="4">
        <v>1061</v>
      </c>
      <c r="D3769" s="41" t="s">
        <v>1452</v>
      </c>
      <c r="E3769" s="41">
        <v>10610022</v>
      </c>
      <c r="F3769" s="85" t="s">
        <v>1468</v>
      </c>
      <c r="G3769" s="39" t="s">
        <v>93</v>
      </c>
      <c r="H3769" s="52" t="s">
        <v>94</v>
      </c>
      <c r="I3769" s="52">
        <v>236.00000000000003</v>
      </c>
      <c r="J3769" s="49">
        <v>10433.747273500701</v>
      </c>
      <c r="K3769" s="58">
        <v>234.2</v>
      </c>
      <c r="L3769" s="58">
        <v>10438.3969286418</v>
      </c>
      <c r="M3769" s="58">
        <v>0</v>
      </c>
      <c r="N3769" s="58">
        <v>0</v>
      </c>
      <c r="O3769" s="58">
        <v>234.2</v>
      </c>
      <c r="P3769" s="53">
        <v>10438.3969286418</v>
      </c>
      <c r="Q3769" s="65">
        <v>10433.747273500701</v>
      </c>
      <c r="R3769" s="65">
        <v>0</v>
      </c>
      <c r="S3769" s="65">
        <v>0</v>
      </c>
      <c r="T3769" s="65">
        <v>4.6496551410982647</v>
      </c>
      <c r="U3769" s="58">
        <v>0</v>
      </c>
      <c r="V3769" s="65">
        <v>0</v>
      </c>
      <c r="W3769" s="65">
        <v>0</v>
      </c>
      <c r="X3769" s="65">
        <v>10434</v>
      </c>
      <c r="Y3769" s="65">
        <v>0</v>
      </c>
      <c r="Z3769" s="51">
        <v>0</v>
      </c>
      <c r="AA3769" s="51">
        <v>0</v>
      </c>
      <c r="AB3769" s="102">
        <v>0</v>
      </c>
      <c r="AC3769" s="81">
        <f t="shared" si="178"/>
        <v>410.27616397494279</v>
      </c>
      <c r="AD3769" s="82">
        <f t="shared" si="179"/>
        <v>33.714285714285715</v>
      </c>
      <c r="AE3769" s="218">
        <v>-4.4563616687432237E-4</v>
      </c>
      <c r="AF3769">
        <v>4</v>
      </c>
      <c r="AH3769" t="str">
        <f t="shared" si="177"/>
        <v>Mahua BMC</v>
      </c>
      <c r="AJ3769" s="72">
        <v>0</v>
      </c>
      <c r="AK3769" s="72"/>
      <c r="AL3769" s="72"/>
      <c r="AM3769" s="72"/>
    </row>
    <row r="3770" spans="1:39" x14ac:dyDescent="0.25">
      <c r="A3770" s="37" t="s">
        <v>62</v>
      </c>
      <c r="B3770" s="66" t="s">
        <v>1644</v>
      </c>
      <c r="C3770" s="4">
        <v>1061</v>
      </c>
      <c r="D3770" s="41" t="s">
        <v>1452</v>
      </c>
      <c r="E3770" s="41">
        <v>10610024</v>
      </c>
      <c r="F3770" s="85" t="s">
        <v>1483</v>
      </c>
      <c r="G3770" s="39" t="s">
        <v>93</v>
      </c>
      <c r="H3770" s="52" t="s">
        <v>94</v>
      </c>
      <c r="I3770" s="52">
        <v>250.10000000000005</v>
      </c>
      <c r="J3770" s="49">
        <v>9803.398837470002</v>
      </c>
      <c r="K3770" s="58">
        <v>245.59999999999997</v>
      </c>
      <c r="L3770" s="58">
        <v>9599.6484755865822</v>
      </c>
      <c r="M3770" s="58">
        <v>3.3</v>
      </c>
      <c r="N3770" s="58">
        <v>136.27015473000003</v>
      </c>
      <c r="O3770" s="58">
        <v>248.89999999999998</v>
      </c>
      <c r="P3770" s="53">
        <v>9735.9186303165825</v>
      </c>
      <c r="Q3770" s="65">
        <v>9735.9186303165825</v>
      </c>
      <c r="R3770" s="65">
        <v>0</v>
      </c>
      <c r="S3770" s="65">
        <v>136.27015473000003</v>
      </c>
      <c r="T3770" s="65">
        <v>0</v>
      </c>
      <c r="U3770" s="58">
        <v>0</v>
      </c>
      <c r="V3770" s="65">
        <v>0</v>
      </c>
      <c r="W3770" s="65">
        <v>0</v>
      </c>
      <c r="X3770" s="65">
        <v>9600</v>
      </c>
      <c r="Y3770" s="65">
        <v>0</v>
      </c>
      <c r="Z3770" s="51">
        <v>0</v>
      </c>
      <c r="AA3770" s="51">
        <v>67</v>
      </c>
      <c r="AB3770" s="102">
        <v>0</v>
      </c>
      <c r="AC3770" s="81">
        <f t="shared" si="178"/>
        <v>352.70284981829298</v>
      </c>
      <c r="AD3770" s="82">
        <f t="shared" si="179"/>
        <v>35.728571428571435</v>
      </c>
      <c r="AE3770" s="218">
        <v>6.8833481399839073E-3</v>
      </c>
      <c r="AF3770">
        <v>9</v>
      </c>
      <c r="AH3770" t="str">
        <f t="shared" si="177"/>
        <v>Mahua BMC</v>
      </c>
      <c r="AJ3770" s="72">
        <v>0</v>
      </c>
      <c r="AK3770" s="72"/>
      <c r="AL3770" s="72"/>
      <c r="AM3770" s="72"/>
    </row>
    <row r="3771" spans="1:39" x14ac:dyDescent="0.25">
      <c r="A3771" s="37" t="s">
        <v>62</v>
      </c>
      <c r="B3771" s="66" t="s">
        <v>1644</v>
      </c>
      <c r="C3771" s="4">
        <v>1061</v>
      </c>
      <c r="D3771" s="41" t="s">
        <v>1452</v>
      </c>
      <c r="E3771" s="41">
        <v>10610026</v>
      </c>
      <c r="F3771" s="85" t="s">
        <v>1519</v>
      </c>
      <c r="G3771" s="39" t="s">
        <v>93</v>
      </c>
      <c r="H3771" s="52" t="s">
        <v>94</v>
      </c>
      <c r="I3771" s="52">
        <v>81</v>
      </c>
      <c r="J3771" s="49">
        <v>4756.9279288910002</v>
      </c>
      <c r="K3771" s="58">
        <v>79.900000000000006</v>
      </c>
      <c r="L3771" s="58">
        <v>4872.8520646879006</v>
      </c>
      <c r="M3771" s="58">
        <v>0</v>
      </c>
      <c r="N3771" s="58">
        <v>0</v>
      </c>
      <c r="O3771" s="58">
        <v>79.900000000000006</v>
      </c>
      <c r="P3771" s="53">
        <v>4872.8520646879006</v>
      </c>
      <c r="Q3771" s="65">
        <v>4756.9279288910002</v>
      </c>
      <c r="R3771" s="65">
        <v>0</v>
      </c>
      <c r="S3771" s="65">
        <v>0</v>
      </c>
      <c r="T3771" s="65">
        <v>115.92413579690037</v>
      </c>
      <c r="U3771" s="58">
        <v>0</v>
      </c>
      <c r="V3771" s="65">
        <v>0</v>
      </c>
      <c r="W3771" s="65">
        <v>0</v>
      </c>
      <c r="X3771" s="65">
        <v>4757</v>
      </c>
      <c r="Y3771" s="65">
        <v>0</v>
      </c>
      <c r="Z3771" s="51">
        <v>0</v>
      </c>
      <c r="AA3771" s="51">
        <v>0</v>
      </c>
      <c r="AB3771" s="102">
        <v>0</v>
      </c>
      <c r="AC3771" s="81">
        <f t="shared" si="178"/>
        <v>727.04651555148871</v>
      </c>
      <c r="AD3771" s="82">
        <f t="shared" si="179"/>
        <v>11.571428571428571</v>
      </c>
      <c r="AE3771" s="218">
        <v>-2.4369537972782823E-2</v>
      </c>
      <c r="AF3771">
        <v>5</v>
      </c>
      <c r="AH3771" t="str">
        <f t="shared" ref="AH3771:AH3834" si="180">TEXT(D3771,"0000")</f>
        <v>Mahua BMC</v>
      </c>
      <c r="AJ3771" s="72">
        <v>0</v>
      </c>
      <c r="AK3771" s="72"/>
      <c r="AL3771" s="72"/>
      <c r="AM3771" s="72"/>
    </row>
    <row r="3772" spans="1:39" x14ac:dyDescent="0.25">
      <c r="A3772" s="37" t="s">
        <v>62</v>
      </c>
      <c r="B3772" s="66" t="s">
        <v>1644</v>
      </c>
      <c r="C3772" s="4">
        <v>1061</v>
      </c>
      <c r="D3772" s="41" t="s">
        <v>1452</v>
      </c>
      <c r="E3772" s="41">
        <v>10610027</v>
      </c>
      <c r="F3772" s="85" t="s">
        <v>1520</v>
      </c>
      <c r="G3772" s="39" t="s">
        <v>635</v>
      </c>
      <c r="H3772" s="52" t="s">
        <v>99</v>
      </c>
      <c r="I3772" s="52">
        <v>1309.6000000000001</v>
      </c>
      <c r="J3772" s="49">
        <v>47386.184120634003</v>
      </c>
      <c r="K3772" s="58">
        <v>0</v>
      </c>
      <c r="L3772" s="58">
        <v>0</v>
      </c>
      <c r="M3772" s="58">
        <v>0</v>
      </c>
      <c r="N3772" s="58">
        <v>0</v>
      </c>
      <c r="O3772" s="58">
        <v>0</v>
      </c>
      <c r="P3772" s="53">
        <v>0</v>
      </c>
      <c r="Q3772" s="65">
        <v>47386.184120634003</v>
      </c>
      <c r="R3772" s="65">
        <v>0</v>
      </c>
      <c r="S3772" s="65">
        <v>0</v>
      </c>
      <c r="T3772" s="65">
        <v>0</v>
      </c>
      <c r="U3772" s="58">
        <v>0</v>
      </c>
      <c r="V3772" s="65">
        <v>0</v>
      </c>
      <c r="W3772" s="65">
        <v>0</v>
      </c>
      <c r="X3772" s="65">
        <v>0</v>
      </c>
      <c r="Y3772" s="65">
        <v>0</v>
      </c>
      <c r="Z3772" s="51">
        <v>47386.184120634003</v>
      </c>
      <c r="AA3772" s="51">
        <v>0</v>
      </c>
      <c r="AB3772" s="102">
        <v>0</v>
      </c>
      <c r="AC3772" s="81">
        <f t="shared" si="178"/>
        <v>0</v>
      </c>
      <c r="AD3772" s="82">
        <f t="shared" si="179"/>
        <v>0</v>
      </c>
      <c r="AE3772" s="218">
        <v>0</v>
      </c>
      <c r="AF3772">
        <v>0</v>
      </c>
      <c r="AH3772" t="str">
        <f t="shared" si="180"/>
        <v>Mahua BMC</v>
      </c>
      <c r="AJ3772" s="72">
        <v>0</v>
      </c>
      <c r="AK3772" s="72"/>
      <c r="AL3772" s="72"/>
      <c r="AM3772" s="72"/>
    </row>
    <row r="3773" spans="1:39" x14ac:dyDescent="0.25">
      <c r="A3773" s="37" t="s">
        <v>62</v>
      </c>
      <c r="B3773" s="66" t="s">
        <v>1644</v>
      </c>
      <c r="C3773" s="4">
        <v>1061</v>
      </c>
      <c r="D3773" s="41" t="s">
        <v>1452</v>
      </c>
      <c r="E3773" s="41">
        <v>10610028</v>
      </c>
      <c r="F3773" s="85" t="s">
        <v>1521</v>
      </c>
      <c r="G3773" s="39" t="s">
        <v>635</v>
      </c>
      <c r="H3773" s="52" t="s">
        <v>99</v>
      </c>
      <c r="I3773" s="52">
        <v>39.9</v>
      </c>
      <c r="J3773" s="49">
        <v>1482.3776297654999</v>
      </c>
      <c r="K3773" s="58">
        <v>0</v>
      </c>
      <c r="L3773" s="58">
        <v>0</v>
      </c>
      <c r="M3773" s="58">
        <v>0</v>
      </c>
      <c r="N3773" s="58">
        <v>0</v>
      </c>
      <c r="O3773" s="58">
        <v>0</v>
      </c>
      <c r="P3773" s="53">
        <v>0</v>
      </c>
      <c r="Q3773" s="65">
        <v>1482.3776297654999</v>
      </c>
      <c r="R3773" s="65">
        <v>0</v>
      </c>
      <c r="S3773" s="65">
        <v>0</v>
      </c>
      <c r="T3773" s="65">
        <v>0</v>
      </c>
      <c r="U3773" s="58">
        <v>0</v>
      </c>
      <c r="V3773" s="65">
        <v>0</v>
      </c>
      <c r="W3773" s="65">
        <v>0</v>
      </c>
      <c r="X3773" s="65">
        <v>0</v>
      </c>
      <c r="Y3773" s="65">
        <v>0</v>
      </c>
      <c r="Z3773" s="51">
        <v>1482.3776297654999</v>
      </c>
      <c r="AA3773" s="51">
        <v>0</v>
      </c>
      <c r="AB3773" s="102">
        <v>0</v>
      </c>
      <c r="AC3773" s="81">
        <f t="shared" si="178"/>
        <v>490.48494907679532</v>
      </c>
      <c r="AD3773" s="82">
        <f t="shared" si="179"/>
        <v>5.7</v>
      </c>
      <c r="AE3773" s="218">
        <v>0</v>
      </c>
      <c r="AF3773">
        <v>0</v>
      </c>
      <c r="AH3773" t="str">
        <f t="shared" si="180"/>
        <v>Mahua BMC</v>
      </c>
      <c r="AJ3773" s="72">
        <v>0</v>
      </c>
      <c r="AK3773" s="72"/>
      <c r="AL3773" s="72"/>
      <c r="AM3773" s="72"/>
    </row>
    <row r="3774" spans="1:39" x14ac:dyDescent="0.25">
      <c r="A3774" s="37" t="s">
        <v>62</v>
      </c>
      <c r="B3774" s="66" t="s">
        <v>1644</v>
      </c>
      <c r="C3774" s="4">
        <v>1061</v>
      </c>
      <c r="D3774" s="41" t="s">
        <v>1452</v>
      </c>
      <c r="E3774" s="41">
        <v>10610031</v>
      </c>
      <c r="F3774" s="85" t="s">
        <v>1522</v>
      </c>
      <c r="G3774" s="39" t="s">
        <v>635</v>
      </c>
      <c r="H3774" s="52" t="s">
        <v>99</v>
      </c>
      <c r="I3774" s="52">
        <v>294.89999999999998</v>
      </c>
      <c r="J3774" s="49">
        <v>10181.075854776002</v>
      </c>
      <c r="K3774" s="58">
        <v>0</v>
      </c>
      <c r="L3774" s="58">
        <v>0</v>
      </c>
      <c r="M3774" s="58">
        <v>0</v>
      </c>
      <c r="N3774" s="58">
        <v>0</v>
      </c>
      <c r="O3774" s="58">
        <v>0</v>
      </c>
      <c r="P3774" s="53">
        <v>0</v>
      </c>
      <c r="Q3774" s="65">
        <v>10181.075854776002</v>
      </c>
      <c r="R3774" s="65">
        <v>0</v>
      </c>
      <c r="S3774" s="65">
        <v>0</v>
      </c>
      <c r="T3774" s="65">
        <v>0</v>
      </c>
      <c r="U3774" s="58">
        <v>0</v>
      </c>
      <c r="V3774" s="65">
        <v>0</v>
      </c>
      <c r="W3774" s="65">
        <v>0</v>
      </c>
      <c r="X3774" s="65">
        <v>0</v>
      </c>
      <c r="Y3774" s="65">
        <v>0</v>
      </c>
      <c r="Z3774" s="51">
        <v>10181.075854776002</v>
      </c>
      <c r="AA3774" s="51">
        <v>0</v>
      </c>
      <c r="AB3774" s="102">
        <v>0</v>
      </c>
      <c r="AC3774" s="81">
        <f t="shared" si="178"/>
        <v>279.7120263662095</v>
      </c>
      <c r="AD3774" s="82">
        <f t="shared" si="179"/>
        <v>42.128571428571426</v>
      </c>
      <c r="AE3774" s="218">
        <v>0</v>
      </c>
      <c r="AF3774">
        <v>0</v>
      </c>
      <c r="AH3774" t="str">
        <f t="shared" si="180"/>
        <v>Mahua BMC</v>
      </c>
      <c r="AJ3774" s="72">
        <v>0</v>
      </c>
      <c r="AK3774" s="72"/>
      <c r="AL3774" s="72"/>
      <c r="AM3774" s="72"/>
    </row>
    <row r="3775" spans="1:39" x14ac:dyDescent="0.25">
      <c r="A3775" s="37" t="s">
        <v>62</v>
      </c>
      <c r="B3775" s="66" t="s">
        <v>1644</v>
      </c>
      <c r="C3775" s="4">
        <v>1061</v>
      </c>
      <c r="D3775" s="41" t="s">
        <v>1452</v>
      </c>
      <c r="E3775" s="41">
        <v>10610034</v>
      </c>
      <c r="F3775" s="85" t="s">
        <v>1523</v>
      </c>
      <c r="G3775" s="39" t="s">
        <v>635</v>
      </c>
      <c r="H3775" s="52" t="s">
        <v>99</v>
      </c>
      <c r="I3775" s="52">
        <v>441.9</v>
      </c>
      <c r="J3775" s="49">
        <v>16468.591653390002</v>
      </c>
      <c r="K3775" s="58">
        <v>0</v>
      </c>
      <c r="L3775" s="58">
        <v>0</v>
      </c>
      <c r="M3775" s="58">
        <v>0</v>
      </c>
      <c r="N3775" s="58">
        <v>0</v>
      </c>
      <c r="O3775" s="58">
        <v>0</v>
      </c>
      <c r="P3775" s="53">
        <v>0</v>
      </c>
      <c r="Q3775" s="65">
        <v>16468.591653390002</v>
      </c>
      <c r="R3775" s="65">
        <v>0</v>
      </c>
      <c r="S3775" s="65">
        <v>0</v>
      </c>
      <c r="T3775" s="65">
        <v>0</v>
      </c>
      <c r="U3775" s="58">
        <v>0</v>
      </c>
      <c r="V3775" s="65">
        <v>0</v>
      </c>
      <c r="W3775" s="65">
        <v>0</v>
      </c>
      <c r="X3775" s="65">
        <v>0</v>
      </c>
      <c r="Y3775" s="65">
        <v>0</v>
      </c>
      <c r="Z3775" s="51">
        <v>16468.591653390002</v>
      </c>
      <c r="AA3775" s="51">
        <v>0</v>
      </c>
      <c r="AB3775" s="102">
        <v>0</v>
      </c>
      <c r="AC3775" s="81">
        <f t="shared" si="178"/>
        <v>192.37580926634806</v>
      </c>
      <c r="AD3775" s="82">
        <f t="shared" si="179"/>
        <v>63.128571428571426</v>
      </c>
      <c r="AE3775" s="218">
        <v>0</v>
      </c>
      <c r="AF3775">
        <v>0</v>
      </c>
      <c r="AH3775" t="str">
        <f t="shared" si="180"/>
        <v>Mahua BMC</v>
      </c>
      <c r="AJ3775" s="72">
        <v>0</v>
      </c>
      <c r="AK3775" s="72"/>
      <c r="AL3775" s="72"/>
      <c r="AM3775" s="72"/>
    </row>
    <row r="3776" spans="1:39" x14ac:dyDescent="0.25">
      <c r="A3776" s="37" t="s">
        <v>62</v>
      </c>
      <c r="B3776" s="66" t="s">
        <v>1644</v>
      </c>
      <c r="C3776" s="4">
        <v>1061</v>
      </c>
      <c r="D3776" s="41" t="s">
        <v>1452</v>
      </c>
      <c r="E3776" s="41">
        <v>10610035</v>
      </c>
      <c r="F3776" s="85" t="s">
        <v>1524</v>
      </c>
      <c r="G3776" s="39" t="s">
        <v>635</v>
      </c>
      <c r="H3776" s="52" t="s">
        <v>99</v>
      </c>
      <c r="I3776" s="52">
        <v>403.7</v>
      </c>
      <c r="J3776" s="49">
        <v>13208.936442688502</v>
      </c>
      <c r="K3776" s="58">
        <v>0</v>
      </c>
      <c r="L3776" s="58">
        <v>0</v>
      </c>
      <c r="M3776" s="58">
        <v>0</v>
      </c>
      <c r="N3776" s="58">
        <v>0</v>
      </c>
      <c r="O3776" s="58">
        <v>0</v>
      </c>
      <c r="P3776" s="53">
        <v>0</v>
      </c>
      <c r="Q3776" s="65">
        <v>13208.936442688502</v>
      </c>
      <c r="R3776" s="65">
        <v>0</v>
      </c>
      <c r="S3776" s="65">
        <v>0</v>
      </c>
      <c r="T3776" s="65">
        <v>0</v>
      </c>
      <c r="U3776" s="58">
        <v>0</v>
      </c>
      <c r="V3776" s="65">
        <v>0</v>
      </c>
      <c r="W3776" s="65">
        <v>0</v>
      </c>
      <c r="X3776" s="65">
        <v>0</v>
      </c>
      <c r="Y3776" s="65">
        <v>0</v>
      </c>
      <c r="Z3776" s="51">
        <v>13208.936442688502</v>
      </c>
      <c r="AA3776" s="51">
        <v>0</v>
      </c>
      <c r="AB3776" s="102">
        <v>0</v>
      </c>
      <c r="AC3776" s="81">
        <f t="shared" si="178"/>
        <v>193.89684755851394</v>
      </c>
      <c r="AD3776" s="82">
        <f t="shared" si="179"/>
        <v>57.671428571428571</v>
      </c>
      <c r="AE3776" s="218">
        <v>0</v>
      </c>
      <c r="AF3776">
        <v>0</v>
      </c>
      <c r="AH3776" t="str">
        <f t="shared" si="180"/>
        <v>Mahua BMC</v>
      </c>
      <c r="AJ3776" s="72">
        <v>0</v>
      </c>
      <c r="AK3776" s="72"/>
      <c r="AL3776" s="72"/>
      <c r="AM3776" s="72"/>
    </row>
    <row r="3777" spans="1:39" x14ac:dyDescent="0.25">
      <c r="A3777" s="37" t="s">
        <v>62</v>
      </c>
      <c r="B3777" s="66" t="s">
        <v>1644</v>
      </c>
      <c r="C3777" s="4">
        <v>1061</v>
      </c>
      <c r="D3777" s="41" t="s">
        <v>1452</v>
      </c>
      <c r="E3777" s="41">
        <v>10610036</v>
      </c>
      <c r="F3777" s="85" t="s">
        <v>1525</v>
      </c>
      <c r="G3777" s="39" t="s">
        <v>635</v>
      </c>
      <c r="H3777" s="52" t="s">
        <v>99</v>
      </c>
      <c r="I3777" s="52">
        <v>186.89999999999998</v>
      </c>
      <c r="J3777" s="49">
        <v>6720.1628767500015</v>
      </c>
      <c r="K3777" s="58">
        <v>0</v>
      </c>
      <c r="L3777" s="58">
        <v>0</v>
      </c>
      <c r="M3777" s="58">
        <v>0</v>
      </c>
      <c r="N3777" s="58">
        <v>0</v>
      </c>
      <c r="O3777" s="58">
        <v>0</v>
      </c>
      <c r="P3777" s="53">
        <v>0</v>
      </c>
      <c r="Q3777" s="65">
        <v>6720.1628767500015</v>
      </c>
      <c r="R3777" s="65">
        <v>0</v>
      </c>
      <c r="S3777" s="65">
        <v>0</v>
      </c>
      <c r="T3777" s="65">
        <v>0</v>
      </c>
      <c r="U3777" s="58">
        <v>0</v>
      </c>
      <c r="V3777" s="65">
        <v>0</v>
      </c>
      <c r="W3777" s="65">
        <v>0</v>
      </c>
      <c r="X3777" s="65">
        <v>0</v>
      </c>
      <c r="Y3777" s="65">
        <v>0</v>
      </c>
      <c r="Z3777" s="51">
        <v>6720.1628767500015</v>
      </c>
      <c r="AA3777" s="51">
        <v>0</v>
      </c>
      <c r="AB3777" s="102">
        <v>0</v>
      </c>
      <c r="AC3777" s="81">
        <f t="shared" ref="AC3777:AC3840" si="181">((IF(AD3777=0,0,100-AD3777))*7*(J3777/I3777))*2%</f>
        <v>368.97972948747213</v>
      </c>
      <c r="AD3777" s="82">
        <f t="shared" ref="AD3777:AD3840" si="182">IF((I3777/7)&gt;100,0,(I3777/7))</f>
        <v>26.699999999999996</v>
      </c>
      <c r="AE3777" s="218">
        <v>0</v>
      </c>
      <c r="AF3777">
        <v>0</v>
      </c>
      <c r="AH3777" t="str">
        <f t="shared" si="180"/>
        <v>Mahua BMC</v>
      </c>
      <c r="AJ3777" s="72">
        <v>0</v>
      </c>
      <c r="AK3777" s="72"/>
      <c r="AL3777" s="72"/>
      <c r="AM3777" s="72"/>
    </row>
    <row r="3778" spans="1:39" x14ac:dyDescent="0.25">
      <c r="A3778" s="37" t="s">
        <v>62</v>
      </c>
      <c r="B3778" s="66" t="s">
        <v>1644</v>
      </c>
      <c r="C3778" s="4">
        <v>1061</v>
      </c>
      <c r="D3778" s="41" t="s">
        <v>1452</v>
      </c>
      <c r="E3778" s="41">
        <v>10610038</v>
      </c>
      <c r="F3778" s="85" t="s">
        <v>1526</v>
      </c>
      <c r="G3778" s="39" t="s">
        <v>635</v>
      </c>
      <c r="H3778" s="52" t="s">
        <v>99</v>
      </c>
      <c r="I3778" s="52">
        <v>695.1</v>
      </c>
      <c r="J3778" s="49">
        <v>24229.290036979502</v>
      </c>
      <c r="K3778" s="58">
        <v>0</v>
      </c>
      <c r="L3778" s="58">
        <v>0</v>
      </c>
      <c r="M3778" s="58">
        <v>0</v>
      </c>
      <c r="N3778" s="58">
        <v>0</v>
      </c>
      <c r="O3778" s="58">
        <v>0</v>
      </c>
      <c r="P3778" s="53">
        <v>0</v>
      </c>
      <c r="Q3778" s="65">
        <v>24229.290036979502</v>
      </c>
      <c r="R3778" s="65">
        <v>0</v>
      </c>
      <c r="S3778" s="65">
        <v>0</v>
      </c>
      <c r="T3778" s="65">
        <v>0</v>
      </c>
      <c r="U3778" s="58">
        <v>0</v>
      </c>
      <c r="V3778" s="65">
        <v>0</v>
      </c>
      <c r="W3778" s="65">
        <v>0</v>
      </c>
      <c r="X3778" s="65">
        <v>0</v>
      </c>
      <c r="Y3778" s="65">
        <v>0</v>
      </c>
      <c r="Z3778" s="51">
        <v>24229.290036979502</v>
      </c>
      <c r="AA3778" s="51">
        <v>0</v>
      </c>
      <c r="AB3778" s="102">
        <v>0</v>
      </c>
      <c r="AC3778" s="81">
        <f t="shared" si="181"/>
        <v>3.4160126940353917</v>
      </c>
      <c r="AD3778" s="82">
        <f t="shared" si="182"/>
        <v>99.3</v>
      </c>
      <c r="AE3778" s="218">
        <v>0</v>
      </c>
      <c r="AF3778">
        <v>0</v>
      </c>
      <c r="AH3778" t="str">
        <f t="shared" si="180"/>
        <v>Mahua BMC</v>
      </c>
      <c r="AJ3778" s="72">
        <v>0</v>
      </c>
      <c r="AK3778" s="72"/>
      <c r="AL3778" s="72"/>
      <c r="AM3778" s="72"/>
    </row>
    <row r="3779" spans="1:39" x14ac:dyDescent="0.25">
      <c r="A3779" s="37" t="s">
        <v>62</v>
      </c>
      <c r="B3779" s="66" t="s">
        <v>1644</v>
      </c>
      <c r="C3779" s="4">
        <v>1061</v>
      </c>
      <c r="D3779" s="41" t="s">
        <v>1452</v>
      </c>
      <c r="E3779" s="41">
        <v>10610041</v>
      </c>
      <c r="F3779" s="85" t="s">
        <v>1597</v>
      </c>
      <c r="G3779" s="39" t="s">
        <v>635</v>
      </c>
      <c r="H3779" s="52" t="s">
        <v>99</v>
      </c>
      <c r="I3779" s="52">
        <v>9.6</v>
      </c>
      <c r="J3779" s="49">
        <v>356.42825467199998</v>
      </c>
      <c r="K3779" s="58">
        <v>0</v>
      </c>
      <c r="L3779" s="58">
        <v>0</v>
      </c>
      <c r="M3779" s="58">
        <v>0</v>
      </c>
      <c r="N3779" s="58">
        <v>0</v>
      </c>
      <c r="O3779" s="58">
        <v>0</v>
      </c>
      <c r="P3779" s="53">
        <v>0</v>
      </c>
      <c r="Q3779" s="65">
        <v>356.42825467199998</v>
      </c>
      <c r="R3779" s="65">
        <v>0</v>
      </c>
      <c r="S3779" s="65">
        <v>0</v>
      </c>
      <c r="T3779" s="65">
        <v>0</v>
      </c>
      <c r="U3779" s="58">
        <v>0</v>
      </c>
      <c r="V3779" s="65">
        <v>0</v>
      </c>
      <c r="W3779" s="65">
        <v>0</v>
      </c>
      <c r="X3779" s="65">
        <v>0</v>
      </c>
      <c r="Y3779" s="65">
        <v>0</v>
      </c>
      <c r="Z3779" s="51">
        <v>356.42825467199998</v>
      </c>
      <c r="AA3779" s="51">
        <v>0</v>
      </c>
      <c r="AB3779" s="102">
        <v>0</v>
      </c>
      <c r="AC3779" s="81">
        <f t="shared" si="181"/>
        <v>512.66263963656002</v>
      </c>
      <c r="AD3779" s="82">
        <f t="shared" si="182"/>
        <v>1.3714285714285714</v>
      </c>
      <c r="AE3779" s="218">
        <v>0</v>
      </c>
      <c r="AF3779">
        <v>0</v>
      </c>
      <c r="AH3779" t="str">
        <f t="shared" si="180"/>
        <v>Mahua BMC</v>
      </c>
      <c r="AJ3779" s="72">
        <v>0</v>
      </c>
      <c r="AK3779" s="72"/>
      <c r="AL3779" s="72"/>
      <c r="AM3779" s="72"/>
    </row>
    <row r="3780" spans="1:39" x14ac:dyDescent="0.25">
      <c r="A3780" s="37" t="s">
        <v>62</v>
      </c>
      <c r="B3780" s="66" t="s">
        <v>1644</v>
      </c>
      <c r="C3780" s="4">
        <v>1061</v>
      </c>
      <c r="D3780" s="41" t="s">
        <v>1452</v>
      </c>
      <c r="E3780" s="41">
        <v>10610045</v>
      </c>
      <c r="F3780" s="85" t="s">
        <v>1537</v>
      </c>
      <c r="G3780" s="39" t="s">
        <v>635</v>
      </c>
      <c r="H3780" s="52" t="s">
        <v>99</v>
      </c>
      <c r="I3780" s="52">
        <v>537.59999999999991</v>
      </c>
      <c r="J3780" s="49">
        <v>20666.221273103998</v>
      </c>
      <c r="K3780" s="58">
        <v>0</v>
      </c>
      <c r="L3780" s="58">
        <v>0</v>
      </c>
      <c r="M3780" s="58">
        <v>0</v>
      </c>
      <c r="N3780" s="58">
        <v>0</v>
      </c>
      <c r="O3780" s="58">
        <v>0</v>
      </c>
      <c r="P3780" s="53">
        <v>0</v>
      </c>
      <c r="Q3780" s="65">
        <v>20666.221273103998</v>
      </c>
      <c r="R3780" s="65">
        <v>0</v>
      </c>
      <c r="S3780" s="65">
        <v>0</v>
      </c>
      <c r="T3780" s="65">
        <v>0</v>
      </c>
      <c r="U3780" s="58">
        <v>0</v>
      </c>
      <c r="V3780" s="65">
        <v>0</v>
      </c>
      <c r="W3780" s="65">
        <v>0</v>
      </c>
      <c r="X3780" s="65">
        <v>0</v>
      </c>
      <c r="Y3780" s="65">
        <v>0</v>
      </c>
      <c r="Z3780" s="51">
        <v>20666.221273103998</v>
      </c>
      <c r="AA3780" s="51">
        <v>0</v>
      </c>
      <c r="AB3780" s="102">
        <v>0</v>
      </c>
      <c r="AC3780" s="81">
        <f t="shared" si="181"/>
        <v>124.85842019167009</v>
      </c>
      <c r="AD3780" s="82">
        <f t="shared" si="182"/>
        <v>76.799999999999983</v>
      </c>
      <c r="AE3780" s="218">
        <v>0</v>
      </c>
      <c r="AF3780">
        <v>0</v>
      </c>
      <c r="AH3780" t="str">
        <f t="shared" si="180"/>
        <v>Mahua BMC</v>
      </c>
      <c r="AJ3780" s="72">
        <v>0</v>
      </c>
      <c r="AK3780" s="72"/>
      <c r="AL3780" s="72"/>
      <c r="AM3780" s="72"/>
    </row>
    <row r="3781" spans="1:39" x14ac:dyDescent="0.25">
      <c r="A3781" s="37" t="s">
        <v>62</v>
      </c>
      <c r="B3781" s="66" t="s">
        <v>1644</v>
      </c>
      <c r="C3781" s="4">
        <v>1061</v>
      </c>
      <c r="D3781" s="41" t="s">
        <v>1452</v>
      </c>
      <c r="E3781" s="41">
        <v>10610050</v>
      </c>
      <c r="F3781" s="85" t="s">
        <v>1558</v>
      </c>
      <c r="G3781" s="39" t="s">
        <v>635</v>
      </c>
      <c r="H3781" s="52" t="s">
        <v>99</v>
      </c>
      <c r="I3781" s="52">
        <v>200.20000000000002</v>
      </c>
      <c r="J3781" s="49">
        <v>8256.9164049600004</v>
      </c>
      <c r="K3781" s="58">
        <v>0</v>
      </c>
      <c r="L3781" s="58">
        <v>0</v>
      </c>
      <c r="M3781" s="58">
        <v>0</v>
      </c>
      <c r="N3781" s="58">
        <v>0</v>
      </c>
      <c r="O3781" s="58">
        <v>0</v>
      </c>
      <c r="P3781" s="53">
        <v>0</v>
      </c>
      <c r="Q3781" s="65">
        <v>8256.9164049600004</v>
      </c>
      <c r="R3781" s="65">
        <v>0</v>
      </c>
      <c r="S3781" s="65">
        <v>0</v>
      </c>
      <c r="T3781" s="65">
        <v>0</v>
      </c>
      <c r="U3781" s="58">
        <v>0</v>
      </c>
      <c r="V3781" s="65">
        <v>0</v>
      </c>
      <c r="W3781" s="65">
        <v>0</v>
      </c>
      <c r="X3781" s="65">
        <v>0</v>
      </c>
      <c r="Y3781" s="65">
        <v>0</v>
      </c>
      <c r="Z3781" s="51">
        <v>8256.9164049600004</v>
      </c>
      <c r="AA3781" s="51">
        <v>0</v>
      </c>
      <c r="AB3781" s="102">
        <v>0</v>
      </c>
      <c r="AC3781" s="81">
        <f t="shared" si="181"/>
        <v>412.2684135063945</v>
      </c>
      <c r="AD3781" s="82">
        <f t="shared" si="182"/>
        <v>28.6</v>
      </c>
      <c r="AE3781" s="218">
        <v>0</v>
      </c>
      <c r="AF3781">
        <v>0</v>
      </c>
      <c r="AH3781" t="str">
        <f t="shared" si="180"/>
        <v>Mahua BMC</v>
      </c>
      <c r="AJ3781" s="72">
        <v>0</v>
      </c>
      <c r="AK3781" s="72"/>
      <c r="AL3781" s="72"/>
      <c r="AM3781" s="72"/>
    </row>
    <row r="3782" spans="1:39" x14ac:dyDescent="0.25">
      <c r="A3782" s="37" t="s">
        <v>62</v>
      </c>
      <c r="B3782" s="66" t="s">
        <v>1644</v>
      </c>
      <c r="C3782" s="4">
        <v>1061</v>
      </c>
      <c r="D3782" s="41" t="s">
        <v>1452</v>
      </c>
      <c r="E3782" s="41">
        <v>10610051</v>
      </c>
      <c r="F3782" s="85" t="s">
        <v>1559</v>
      </c>
      <c r="G3782" s="39" t="s">
        <v>635</v>
      </c>
      <c r="H3782" s="52" t="s">
        <v>99</v>
      </c>
      <c r="I3782" s="52">
        <v>282.89999999999998</v>
      </c>
      <c r="J3782" s="49">
        <v>10242.2466685785</v>
      </c>
      <c r="K3782" s="58">
        <v>0</v>
      </c>
      <c r="L3782" s="58">
        <v>0</v>
      </c>
      <c r="M3782" s="58">
        <v>0</v>
      </c>
      <c r="N3782" s="58">
        <v>0</v>
      </c>
      <c r="O3782" s="58">
        <v>0</v>
      </c>
      <c r="P3782" s="53">
        <v>0</v>
      </c>
      <c r="Q3782" s="65">
        <v>10242.2466685785</v>
      </c>
      <c r="R3782" s="65">
        <v>0</v>
      </c>
      <c r="S3782" s="65">
        <v>0</v>
      </c>
      <c r="T3782" s="65">
        <v>0</v>
      </c>
      <c r="U3782" s="58">
        <v>0</v>
      </c>
      <c r="V3782" s="65">
        <v>0</v>
      </c>
      <c r="W3782" s="65">
        <v>0</v>
      </c>
      <c r="X3782" s="65">
        <v>0</v>
      </c>
      <c r="Y3782" s="65">
        <v>0</v>
      </c>
      <c r="Z3782" s="51">
        <v>10242.2466685785</v>
      </c>
      <c r="AA3782" s="51">
        <v>0</v>
      </c>
      <c r="AB3782" s="102">
        <v>0</v>
      </c>
      <c r="AC3782" s="81">
        <f t="shared" si="181"/>
        <v>302.01775082814379</v>
      </c>
      <c r="AD3782" s="82">
        <f t="shared" si="182"/>
        <v>40.414285714285711</v>
      </c>
      <c r="AE3782" s="218">
        <v>0</v>
      </c>
      <c r="AF3782">
        <v>0</v>
      </c>
      <c r="AH3782" t="str">
        <f t="shared" si="180"/>
        <v>Mahua BMC</v>
      </c>
      <c r="AJ3782" s="72">
        <v>0</v>
      </c>
      <c r="AK3782" s="72"/>
      <c r="AL3782" s="72"/>
      <c r="AM3782" s="72"/>
    </row>
    <row r="3783" spans="1:39" x14ac:dyDescent="0.25">
      <c r="A3783" s="37" t="s">
        <v>62</v>
      </c>
      <c r="B3783" s="66" t="s">
        <v>1644</v>
      </c>
      <c r="C3783" s="4">
        <v>1061</v>
      </c>
      <c r="D3783" s="41" t="s">
        <v>1452</v>
      </c>
      <c r="E3783" s="41">
        <v>10610052</v>
      </c>
      <c r="F3783" s="85" t="s">
        <v>1563</v>
      </c>
      <c r="G3783" s="39" t="s">
        <v>635</v>
      </c>
      <c r="H3783" s="52" t="s">
        <v>99</v>
      </c>
      <c r="I3783" s="52">
        <v>813.49999999999989</v>
      </c>
      <c r="J3783" s="49">
        <v>33870.736911119995</v>
      </c>
      <c r="K3783" s="58">
        <v>0</v>
      </c>
      <c r="L3783" s="58">
        <v>0</v>
      </c>
      <c r="M3783" s="58">
        <v>0</v>
      </c>
      <c r="N3783" s="58">
        <v>0</v>
      </c>
      <c r="O3783" s="58">
        <v>0</v>
      </c>
      <c r="P3783" s="53">
        <v>0</v>
      </c>
      <c r="Q3783" s="65">
        <v>33870.736911119995</v>
      </c>
      <c r="R3783" s="65">
        <v>0</v>
      </c>
      <c r="S3783" s="65">
        <v>0</v>
      </c>
      <c r="T3783" s="65">
        <v>0</v>
      </c>
      <c r="U3783" s="58">
        <v>0</v>
      </c>
      <c r="V3783" s="65">
        <v>0</v>
      </c>
      <c r="W3783" s="65">
        <v>0</v>
      </c>
      <c r="X3783" s="65">
        <v>0</v>
      </c>
      <c r="Y3783" s="65">
        <v>0</v>
      </c>
      <c r="Z3783" s="51">
        <v>33870.736911119995</v>
      </c>
      <c r="AA3783" s="51">
        <v>0</v>
      </c>
      <c r="AB3783" s="102">
        <v>0</v>
      </c>
      <c r="AC3783" s="81">
        <f t="shared" si="181"/>
        <v>0</v>
      </c>
      <c r="AD3783" s="82">
        <f t="shared" si="182"/>
        <v>0</v>
      </c>
      <c r="AE3783" s="218">
        <v>0</v>
      </c>
      <c r="AF3783">
        <v>0</v>
      </c>
      <c r="AH3783" t="str">
        <f t="shared" si="180"/>
        <v>Mahua BMC</v>
      </c>
      <c r="AJ3783" s="72">
        <v>0</v>
      </c>
      <c r="AK3783" s="72"/>
      <c r="AL3783" s="72"/>
      <c r="AM3783" s="72"/>
    </row>
    <row r="3784" spans="1:39" x14ac:dyDescent="0.25">
      <c r="A3784" s="37" t="s">
        <v>62</v>
      </c>
      <c r="B3784" s="66" t="s">
        <v>1644</v>
      </c>
      <c r="C3784" s="4">
        <v>1061</v>
      </c>
      <c r="D3784" s="41" t="s">
        <v>1452</v>
      </c>
      <c r="E3784" s="41">
        <v>10610055</v>
      </c>
      <c r="F3784" s="85" t="s">
        <v>1626</v>
      </c>
      <c r="G3784" s="39" t="s">
        <v>635</v>
      </c>
      <c r="H3784" s="52" t="s">
        <v>94</v>
      </c>
      <c r="I3784" s="52">
        <v>168.9</v>
      </c>
      <c r="J3784" s="49">
        <v>7591.9324872408997</v>
      </c>
      <c r="K3784" s="58">
        <v>166.29999999999995</v>
      </c>
      <c r="L3784" s="58">
        <v>7733.9964989165019</v>
      </c>
      <c r="M3784" s="58">
        <v>0</v>
      </c>
      <c r="N3784" s="58">
        <v>0</v>
      </c>
      <c r="O3784" s="58">
        <v>166.29999999999995</v>
      </c>
      <c r="P3784" s="53">
        <v>7733.9964989165019</v>
      </c>
      <c r="Q3784" s="65">
        <v>7591.9324872408997</v>
      </c>
      <c r="R3784" s="65">
        <v>0</v>
      </c>
      <c r="S3784" s="65">
        <v>0</v>
      </c>
      <c r="T3784" s="65">
        <v>142.06401167560216</v>
      </c>
      <c r="U3784" s="58">
        <v>0</v>
      </c>
      <c r="V3784" s="65">
        <v>0</v>
      </c>
      <c r="W3784" s="65">
        <v>0</v>
      </c>
      <c r="X3784" s="65">
        <v>7592</v>
      </c>
      <c r="Y3784" s="65">
        <v>0</v>
      </c>
      <c r="Z3784" s="51">
        <v>0</v>
      </c>
      <c r="AA3784" s="51">
        <v>0</v>
      </c>
      <c r="AB3784" s="102">
        <v>0</v>
      </c>
      <c r="AC3784" s="81">
        <f t="shared" si="181"/>
        <v>477.45119526034824</v>
      </c>
      <c r="AD3784" s="82">
        <f t="shared" si="182"/>
        <v>24.12857142857143</v>
      </c>
      <c r="AE3784" s="218">
        <v>-1.8712496708098603E-2</v>
      </c>
      <c r="AF3784">
        <v>9</v>
      </c>
      <c r="AH3784" t="str">
        <f t="shared" si="180"/>
        <v>Mahua BMC</v>
      </c>
      <c r="AJ3784" s="72">
        <v>0</v>
      </c>
      <c r="AK3784" s="72"/>
      <c r="AL3784" s="72"/>
      <c r="AM3784" s="72"/>
    </row>
    <row r="3785" spans="1:39" x14ac:dyDescent="0.25">
      <c r="A3785" s="37" t="s">
        <v>62</v>
      </c>
      <c r="B3785" s="66" t="s">
        <v>1644</v>
      </c>
      <c r="C3785" s="4">
        <v>1061</v>
      </c>
      <c r="D3785" s="41" t="s">
        <v>1452</v>
      </c>
      <c r="E3785" s="41">
        <v>10610056</v>
      </c>
      <c r="F3785" s="85" t="s">
        <v>1627</v>
      </c>
      <c r="G3785" s="39" t="s">
        <v>635</v>
      </c>
      <c r="H3785" s="52" t="s">
        <v>99</v>
      </c>
      <c r="I3785" s="52">
        <v>262.2</v>
      </c>
      <c r="J3785" s="49">
        <v>11741.410970286202</v>
      </c>
      <c r="K3785" s="58">
        <v>0</v>
      </c>
      <c r="L3785" s="58">
        <v>0</v>
      </c>
      <c r="M3785" s="58">
        <v>0</v>
      </c>
      <c r="N3785" s="58">
        <v>0</v>
      </c>
      <c r="O3785" s="58">
        <v>0</v>
      </c>
      <c r="P3785" s="53">
        <v>0</v>
      </c>
      <c r="Q3785" s="65">
        <v>11741.410970286202</v>
      </c>
      <c r="R3785" s="65">
        <v>0</v>
      </c>
      <c r="S3785" s="65">
        <v>0</v>
      </c>
      <c r="T3785" s="65">
        <v>0</v>
      </c>
      <c r="U3785" s="58">
        <v>0</v>
      </c>
      <c r="V3785" s="65">
        <v>0</v>
      </c>
      <c r="W3785" s="65">
        <v>0</v>
      </c>
      <c r="X3785" s="65">
        <v>0</v>
      </c>
      <c r="Y3785" s="65">
        <v>0</v>
      </c>
      <c r="Z3785" s="51">
        <v>11741.410970286202</v>
      </c>
      <c r="AA3785" s="51">
        <v>0</v>
      </c>
      <c r="AB3785" s="102">
        <v>0</v>
      </c>
      <c r="AC3785" s="81">
        <f t="shared" si="181"/>
        <v>392.09685147149503</v>
      </c>
      <c r="AD3785" s="82">
        <f t="shared" si="182"/>
        <v>37.457142857142856</v>
      </c>
      <c r="AE3785" s="218">
        <v>0</v>
      </c>
      <c r="AF3785">
        <v>0</v>
      </c>
      <c r="AH3785" t="str">
        <f t="shared" si="180"/>
        <v>Mahua BMC</v>
      </c>
      <c r="AJ3785" s="72">
        <v>0</v>
      </c>
      <c r="AK3785" s="72"/>
      <c r="AL3785" s="72"/>
      <c r="AM3785" s="72"/>
    </row>
    <row r="3786" spans="1:39" x14ac:dyDescent="0.25">
      <c r="A3786" s="37" t="s">
        <v>62</v>
      </c>
      <c r="B3786" s="66" t="s">
        <v>1644</v>
      </c>
      <c r="C3786" s="4">
        <v>1057</v>
      </c>
      <c r="D3786" s="41" t="s">
        <v>1202</v>
      </c>
      <c r="E3786" s="41">
        <v>10630002</v>
      </c>
      <c r="F3786" s="85" t="s">
        <v>1528</v>
      </c>
      <c r="G3786" s="39" t="s">
        <v>93</v>
      </c>
      <c r="H3786" s="52" t="s">
        <v>94</v>
      </c>
      <c r="I3786" s="52">
        <v>181.20000000000002</v>
      </c>
      <c r="J3786" s="49">
        <v>8076.3546226950011</v>
      </c>
      <c r="K3786" s="58">
        <v>181.19999999999996</v>
      </c>
      <c r="L3786" s="58">
        <v>8078.8616920422</v>
      </c>
      <c r="M3786" s="58">
        <v>0</v>
      </c>
      <c r="N3786" s="58">
        <v>0</v>
      </c>
      <c r="O3786" s="58">
        <v>181.19999999999996</v>
      </c>
      <c r="P3786" s="53">
        <v>8078.8616920422</v>
      </c>
      <c r="Q3786" s="65">
        <v>8076.3546226950011</v>
      </c>
      <c r="R3786" s="65">
        <v>0</v>
      </c>
      <c r="S3786" s="65">
        <v>0</v>
      </c>
      <c r="T3786" s="65">
        <v>2.5070693471989216</v>
      </c>
      <c r="U3786" s="58">
        <v>0</v>
      </c>
      <c r="V3786" s="65">
        <v>0</v>
      </c>
      <c r="W3786" s="65">
        <v>0</v>
      </c>
      <c r="X3786" s="65">
        <v>8076</v>
      </c>
      <c r="Y3786" s="65">
        <v>0</v>
      </c>
      <c r="Z3786" s="51">
        <v>0</v>
      </c>
      <c r="AA3786" s="51">
        <v>0</v>
      </c>
      <c r="AB3786" s="102">
        <v>0</v>
      </c>
      <c r="AC3786" s="81">
        <f t="shared" si="181"/>
        <v>462.47381658434506</v>
      </c>
      <c r="AD3786" s="82">
        <f t="shared" si="182"/>
        <v>25.88571428571429</v>
      </c>
      <c r="AE3786" s="218">
        <v>-3.1042090947243931E-4</v>
      </c>
      <c r="AF3786">
        <v>1</v>
      </c>
      <c r="AH3786" t="str">
        <f t="shared" si="180"/>
        <v>Warisnagar</v>
      </c>
      <c r="AJ3786" s="72">
        <v>0</v>
      </c>
      <c r="AK3786" s="72"/>
      <c r="AL3786" s="72"/>
      <c r="AM3786" s="72"/>
    </row>
    <row r="3787" spans="1:39" x14ac:dyDescent="0.25">
      <c r="A3787" s="37" t="s">
        <v>62</v>
      </c>
      <c r="B3787" s="66" t="s">
        <v>1644</v>
      </c>
      <c r="C3787" s="4">
        <v>1057</v>
      </c>
      <c r="D3787" s="41" t="s">
        <v>1202</v>
      </c>
      <c r="E3787" s="41">
        <v>10630003</v>
      </c>
      <c r="F3787" s="85" t="s">
        <v>1409</v>
      </c>
      <c r="G3787" s="39" t="s">
        <v>93</v>
      </c>
      <c r="H3787" s="52" t="s">
        <v>94</v>
      </c>
      <c r="I3787" s="52">
        <v>110</v>
      </c>
      <c r="J3787" s="49">
        <v>5483.8112908533012</v>
      </c>
      <c r="K3787" s="58">
        <v>110.00000000000001</v>
      </c>
      <c r="L3787" s="58">
        <v>5490.0119061743007</v>
      </c>
      <c r="M3787" s="58">
        <v>0</v>
      </c>
      <c r="N3787" s="58">
        <v>0</v>
      </c>
      <c r="O3787" s="58">
        <v>110.00000000000001</v>
      </c>
      <c r="P3787" s="53">
        <v>5490.0119061743007</v>
      </c>
      <c r="Q3787" s="65">
        <v>5483.8112908533012</v>
      </c>
      <c r="R3787" s="65">
        <v>0</v>
      </c>
      <c r="S3787" s="65">
        <v>0</v>
      </c>
      <c r="T3787" s="65">
        <v>6.2006153209995318</v>
      </c>
      <c r="U3787" s="58">
        <v>0</v>
      </c>
      <c r="V3787" s="65">
        <v>0</v>
      </c>
      <c r="W3787" s="65">
        <v>0</v>
      </c>
      <c r="X3787" s="65">
        <v>5484</v>
      </c>
      <c r="Y3787" s="65">
        <v>0</v>
      </c>
      <c r="Z3787" s="51">
        <v>0</v>
      </c>
      <c r="AA3787" s="51">
        <v>0</v>
      </c>
      <c r="AB3787" s="102">
        <v>0</v>
      </c>
      <c r="AC3787" s="81">
        <f t="shared" si="181"/>
        <v>588.26339301880876</v>
      </c>
      <c r="AD3787" s="82">
        <f t="shared" si="182"/>
        <v>15.714285714285714</v>
      </c>
      <c r="AE3787" s="218">
        <v>-1.130712745593894E-3</v>
      </c>
      <c r="AF3787">
        <v>1</v>
      </c>
      <c r="AH3787" t="str">
        <f t="shared" si="180"/>
        <v>Warisnagar</v>
      </c>
      <c r="AJ3787" s="72">
        <v>0</v>
      </c>
      <c r="AK3787" s="72"/>
      <c r="AL3787" s="72"/>
      <c r="AM3787" s="72"/>
    </row>
    <row r="3788" spans="1:39" x14ac:dyDescent="0.25">
      <c r="A3788" s="37" t="s">
        <v>62</v>
      </c>
      <c r="B3788" s="66" t="s">
        <v>1644</v>
      </c>
      <c r="C3788" s="4">
        <v>1057</v>
      </c>
      <c r="D3788" s="41" t="s">
        <v>1202</v>
      </c>
      <c r="E3788" s="41">
        <v>10630004</v>
      </c>
      <c r="F3788" s="85" t="s">
        <v>1442</v>
      </c>
      <c r="G3788" s="39" t="s">
        <v>93</v>
      </c>
      <c r="H3788" s="52" t="s">
        <v>94</v>
      </c>
      <c r="I3788" s="52">
        <v>114.99999999999999</v>
      </c>
      <c r="J3788" s="49">
        <v>5836.6981687849011</v>
      </c>
      <c r="K3788" s="58">
        <v>114.80000000000001</v>
      </c>
      <c r="L3788" s="58">
        <v>5835.9009110345005</v>
      </c>
      <c r="M3788" s="58">
        <v>0</v>
      </c>
      <c r="N3788" s="58">
        <v>0</v>
      </c>
      <c r="O3788" s="58">
        <v>114.80000000000001</v>
      </c>
      <c r="P3788" s="53">
        <v>5835.9009110345005</v>
      </c>
      <c r="Q3788" s="65">
        <v>5835.9009110345005</v>
      </c>
      <c r="R3788" s="65">
        <v>0</v>
      </c>
      <c r="S3788" s="65">
        <v>0</v>
      </c>
      <c r="T3788" s="65">
        <v>0</v>
      </c>
      <c r="U3788" s="58">
        <v>0</v>
      </c>
      <c r="V3788" s="65">
        <v>0</v>
      </c>
      <c r="W3788" s="65">
        <v>0</v>
      </c>
      <c r="X3788" s="65">
        <v>5836</v>
      </c>
      <c r="Y3788" s="65">
        <v>0</v>
      </c>
      <c r="Z3788" s="51">
        <v>0</v>
      </c>
      <c r="AA3788" s="51">
        <v>1</v>
      </c>
      <c r="AB3788" s="102">
        <v>0</v>
      </c>
      <c r="AC3788" s="81">
        <f t="shared" si="181"/>
        <v>593.82059630246385</v>
      </c>
      <c r="AD3788" s="82">
        <f t="shared" si="182"/>
        <v>16.428571428571427</v>
      </c>
      <c r="AE3788" s="218">
        <v>1.3659396585973866E-4</v>
      </c>
      <c r="AF3788">
        <v>1</v>
      </c>
      <c r="AH3788" t="str">
        <f t="shared" si="180"/>
        <v>Warisnagar</v>
      </c>
      <c r="AJ3788" s="72">
        <v>0</v>
      </c>
      <c r="AK3788" s="72"/>
      <c r="AL3788" s="72"/>
      <c r="AM3788" s="72"/>
    </row>
    <row r="3789" spans="1:39" x14ac:dyDescent="0.25">
      <c r="A3789" s="37" t="s">
        <v>62</v>
      </c>
      <c r="B3789" s="66" t="s">
        <v>1644</v>
      </c>
      <c r="C3789" s="4">
        <v>1057</v>
      </c>
      <c r="D3789" s="41" t="s">
        <v>1202</v>
      </c>
      <c r="E3789" s="41">
        <v>10630007</v>
      </c>
      <c r="F3789" s="85" t="s">
        <v>1410</v>
      </c>
      <c r="G3789" s="39" t="s">
        <v>93</v>
      </c>
      <c r="H3789" s="52" t="s">
        <v>94</v>
      </c>
      <c r="I3789" s="52">
        <v>30.599999999999998</v>
      </c>
      <c r="J3789" s="49">
        <v>1409.7987169972002</v>
      </c>
      <c r="K3789" s="58">
        <v>30.599999999999998</v>
      </c>
      <c r="L3789" s="58">
        <v>1391.3989410004701</v>
      </c>
      <c r="M3789" s="58">
        <v>0</v>
      </c>
      <c r="N3789" s="58">
        <v>0</v>
      </c>
      <c r="O3789" s="58">
        <v>30.599999999999998</v>
      </c>
      <c r="P3789" s="53">
        <v>1391.3989410004701</v>
      </c>
      <c r="Q3789" s="65">
        <v>1391.3989410004701</v>
      </c>
      <c r="R3789" s="65">
        <v>0</v>
      </c>
      <c r="S3789" s="65">
        <v>0</v>
      </c>
      <c r="T3789" s="65">
        <v>0</v>
      </c>
      <c r="U3789" s="58">
        <v>0</v>
      </c>
      <c r="V3789" s="65">
        <v>0</v>
      </c>
      <c r="W3789" s="65">
        <v>0</v>
      </c>
      <c r="X3789" s="65">
        <v>1391</v>
      </c>
      <c r="Y3789" s="65">
        <v>0</v>
      </c>
      <c r="Z3789" s="51">
        <v>0</v>
      </c>
      <c r="AA3789" s="51">
        <v>19</v>
      </c>
      <c r="AB3789" s="102">
        <v>0</v>
      </c>
      <c r="AC3789" s="81">
        <f t="shared" si="181"/>
        <v>616.80997461302366</v>
      </c>
      <c r="AD3789" s="82">
        <f t="shared" si="182"/>
        <v>4.371428571428571</v>
      </c>
      <c r="AE3789" s="218">
        <v>1.3051349653602114E-2</v>
      </c>
      <c r="AF3789">
        <v>1</v>
      </c>
      <c r="AH3789" t="str">
        <f t="shared" si="180"/>
        <v>Warisnagar</v>
      </c>
      <c r="AJ3789" s="72">
        <v>0</v>
      </c>
      <c r="AK3789" s="72"/>
      <c r="AL3789" s="72"/>
      <c r="AM3789" s="72"/>
    </row>
    <row r="3790" spans="1:39" x14ac:dyDescent="0.25">
      <c r="A3790" s="37" t="s">
        <v>62</v>
      </c>
      <c r="B3790" s="66" t="s">
        <v>1644</v>
      </c>
      <c r="C3790" s="4">
        <v>1057</v>
      </c>
      <c r="D3790" s="41" t="s">
        <v>1202</v>
      </c>
      <c r="E3790" s="41">
        <v>10630008</v>
      </c>
      <c r="F3790" s="85" t="s">
        <v>1411</v>
      </c>
      <c r="G3790" s="39" t="s">
        <v>93</v>
      </c>
      <c r="H3790" s="52" t="s">
        <v>94</v>
      </c>
      <c r="I3790" s="52">
        <v>510.9</v>
      </c>
      <c r="J3790" s="49">
        <v>19821.381004139996</v>
      </c>
      <c r="K3790" s="58">
        <v>510.90000000000003</v>
      </c>
      <c r="L3790" s="58">
        <v>19823.716320900006</v>
      </c>
      <c r="M3790" s="58">
        <v>0</v>
      </c>
      <c r="N3790" s="58">
        <v>0</v>
      </c>
      <c r="O3790" s="58">
        <v>510.90000000000003</v>
      </c>
      <c r="P3790" s="53">
        <v>19823.716320900006</v>
      </c>
      <c r="Q3790" s="65">
        <v>19821.381004139996</v>
      </c>
      <c r="R3790" s="65">
        <v>0</v>
      </c>
      <c r="S3790" s="65">
        <v>0</v>
      </c>
      <c r="T3790" s="65">
        <v>2.3353167600107554</v>
      </c>
      <c r="U3790" s="58">
        <v>0</v>
      </c>
      <c r="V3790" s="65">
        <v>0</v>
      </c>
      <c r="W3790" s="65">
        <v>0</v>
      </c>
      <c r="X3790" s="65">
        <v>19821</v>
      </c>
      <c r="Y3790" s="65">
        <v>0</v>
      </c>
      <c r="Z3790" s="51">
        <v>0</v>
      </c>
      <c r="AA3790" s="51">
        <v>0</v>
      </c>
      <c r="AB3790" s="102">
        <v>0</v>
      </c>
      <c r="AC3790" s="81">
        <f t="shared" si="181"/>
        <v>146.73020739412306</v>
      </c>
      <c r="AD3790" s="82">
        <f t="shared" si="182"/>
        <v>72.98571428571428</v>
      </c>
      <c r="AE3790" s="218">
        <v>-1.1781806522577761E-4</v>
      </c>
      <c r="AF3790">
        <v>1</v>
      </c>
      <c r="AH3790" t="str">
        <f t="shared" si="180"/>
        <v>Warisnagar</v>
      </c>
      <c r="AJ3790" s="72">
        <v>0</v>
      </c>
      <c r="AK3790" s="72"/>
      <c r="AL3790" s="72"/>
      <c r="AM3790" s="72"/>
    </row>
    <row r="3791" spans="1:39" x14ac:dyDescent="0.25">
      <c r="A3791" s="37" t="s">
        <v>62</v>
      </c>
      <c r="B3791" s="66" t="s">
        <v>1644</v>
      </c>
      <c r="C3791" s="4">
        <v>1057</v>
      </c>
      <c r="D3791" s="41" t="s">
        <v>1202</v>
      </c>
      <c r="E3791" s="41">
        <v>10630009</v>
      </c>
      <c r="F3791" s="85" t="s">
        <v>1412</v>
      </c>
      <c r="G3791" s="39" t="s">
        <v>93</v>
      </c>
      <c r="H3791" s="52" t="s">
        <v>94</v>
      </c>
      <c r="I3791" s="52">
        <v>273.8</v>
      </c>
      <c r="J3791" s="49">
        <v>14277.255990629601</v>
      </c>
      <c r="K3791" s="58">
        <v>280.09999999999997</v>
      </c>
      <c r="L3791" s="58">
        <v>14129.665434187522</v>
      </c>
      <c r="M3791" s="58">
        <v>1.4000000000000001</v>
      </c>
      <c r="N3791" s="58">
        <v>71.264072632700007</v>
      </c>
      <c r="O3791" s="58">
        <v>281.49999999999994</v>
      </c>
      <c r="P3791" s="53">
        <v>14200.929506820223</v>
      </c>
      <c r="Q3791" s="65">
        <v>14200.929506820223</v>
      </c>
      <c r="R3791" s="65">
        <v>0</v>
      </c>
      <c r="S3791" s="65">
        <v>71.264072632700007</v>
      </c>
      <c r="T3791" s="65">
        <v>0</v>
      </c>
      <c r="U3791" s="58">
        <v>0</v>
      </c>
      <c r="V3791" s="65">
        <v>0</v>
      </c>
      <c r="W3791" s="65">
        <v>0</v>
      </c>
      <c r="X3791" s="65">
        <v>14130</v>
      </c>
      <c r="Y3791" s="65">
        <v>0</v>
      </c>
      <c r="Z3791" s="51">
        <v>0</v>
      </c>
      <c r="AA3791" s="51">
        <v>76</v>
      </c>
      <c r="AB3791" s="102">
        <v>0</v>
      </c>
      <c r="AC3791" s="81">
        <f t="shared" si="181"/>
        <v>444.48257875868046</v>
      </c>
      <c r="AD3791" s="82">
        <f t="shared" si="182"/>
        <v>39.114285714285714</v>
      </c>
      <c r="AE3791" s="218">
        <v>5.3460191411761893E-3</v>
      </c>
      <c r="AF3791">
        <v>2</v>
      </c>
      <c r="AH3791" t="str">
        <f t="shared" si="180"/>
        <v>Warisnagar</v>
      </c>
      <c r="AJ3791" s="72">
        <v>0</v>
      </c>
      <c r="AK3791" s="72"/>
      <c r="AL3791" s="72"/>
      <c r="AM3791" s="72"/>
    </row>
    <row r="3792" spans="1:39" x14ac:dyDescent="0.25">
      <c r="A3792" s="37" t="s">
        <v>62</v>
      </c>
      <c r="B3792" s="66" t="s">
        <v>1644</v>
      </c>
      <c r="C3792" s="4">
        <v>1057</v>
      </c>
      <c r="D3792" s="41" t="s">
        <v>1202</v>
      </c>
      <c r="E3792" s="41">
        <v>10630010</v>
      </c>
      <c r="F3792" s="85" t="s">
        <v>1413</v>
      </c>
      <c r="G3792" s="39" t="s">
        <v>635</v>
      </c>
      <c r="H3792" s="52" t="s">
        <v>99</v>
      </c>
      <c r="I3792" s="52">
        <v>415.30000000000007</v>
      </c>
      <c r="J3792" s="49">
        <v>15680.748057929999</v>
      </c>
      <c r="K3792" s="58">
        <v>0</v>
      </c>
      <c r="L3792" s="58">
        <v>0</v>
      </c>
      <c r="M3792" s="58">
        <v>0</v>
      </c>
      <c r="N3792" s="58">
        <v>0</v>
      </c>
      <c r="O3792" s="58">
        <v>0</v>
      </c>
      <c r="P3792" s="53">
        <v>0</v>
      </c>
      <c r="Q3792" s="65">
        <v>15680.748057929999</v>
      </c>
      <c r="R3792" s="65">
        <v>0</v>
      </c>
      <c r="S3792" s="65">
        <v>0</v>
      </c>
      <c r="T3792" s="65">
        <v>0</v>
      </c>
      <c r="U3792" s="58">
        <v>0</v>
      </c>
      <c r="V3792" s="65">
        <v>0</v>
      </c>
      <c r="W3792" s="65">
        <v>0</v>
      </c>
      <c r="X3792" s="65">
        <v>0</v>
      </c>
      <c r="Y3792" s="65">
        <v>0</v>
      </c>
      <c r="Z3792" s="51">
        <v>15680.748057929999</v>
      </c>
      <c r="AA3792" s="51">
        <v>0</v>
      </c>
      <c r="AB3792" s="102">
        <v>0</v>
      </c>
      <c r="AC3792" s="81">
        <f t="shared" si="181"/>
        <v>214.9920044349949</v>
      </c>
      <c r="AD3792" s="82">
        <f t="shared" si="182"/>
        <v>59.328571428571436</v>
      </c>
      <c r="AE3792" s="218">
        <v>0</v>
      </c>
      <c r="AF3792">
        <v>0</v>
      </c>
      <c r="AH3792" t="str">
        <f t="shared" si="180"/>
        <v>Warisnagar</v>
      </c>
      <c r="AJ3792" s="72">
        <v>0</v>
      </c>
      <c r="AK3792" s="72"/>
      <c r="AL3792" s="72"/>
      <c r="AM3792" s="72"/>
    </row>
    <row r="3793" spans="1:39" x14ac:dyDescent="0.25">
      <c r="A3793" s="37" t="s">
        <v>62</v>
      </c>
      <c r="B3793" s="66" t="s">
        <v>1644</v>
      </c>
      <c r="C3793" s="4">
        <v>1057</v>
      </c>
      <c r="D3793" s="41" t="s">
        <v>1202</v>
      </c>
      <c r="E3793" s="41">
        <v>10630011</v>
      </c>
      <c r="F3793" s="85" t="s">
        <v>1414</v>
      </c>
      <c r="G3793" s="39" t="s">
        <v>635</v>
      </c>
      <c r="H3793" s="52" t="s">
        <v>99</v>
      </c>
      <c r="I3793" s="52">
        <v>85.5</v>
      </c>
      <c r="J3793" s="49">
        <v>2888.2495023689999</v>
      </c>
      <c r="K3793" s="58">
        <v>0</v>
      </c>
      <c r="L3793" s="58">
        <v>0</v>
      </c>
      <c r="M3793" s="58">
        <v>0</v>
      </c>
      <c r="N3793" s="58">
        <v>0</v>
      </c>
      <c r="O3793" s="58">
        <v>0</v>
      </c>
      <c r="P3793" s="53">
        <v>0</v>
      </c>
      <c r="Q3793" s="65">
        <v>2888.2495023689999</v>
      </c>
      <c r="R3793" s="65">
        <v>0</v>
      </c>
      <c r="S3793" s="65">
        <v>0</v>
      </c>
      <c r="T3793" s="65">
        <v>0</v>
      </c>
      <c r="U3793" s="58">
        <v>0</v>
      </c>
      <c r="V3793" s="65">
        <v>0</v>
      </c>
      <c r="W3793" s="65">
        <v>0</v>
      </c>
      <c r="X3793" s="65">
        <v>0</v>
      </c>
      <c r="Y3793" s="65">
        <v>0</v>
      </c>
      <c r="Z3793" s="51">
        <v>2888.2495023689999</v>
      </c>
      <c r="AA3793" s="51">
        <v>0</v>
      </c>
      <c r="AB3793" s="102">
        <v>0</v>
      </c>
      <c r="AC3793" s="81">
        <f t="shared" si="181"/>
        <v>415.16475303058485</v>
      </c>
      <c r="AD3793" s="82">
        <f t="shared" si="182"/>
        <v>12.214285714285714</v>
      </c>
      <c r="AE3793" s="218">
        <v>0</v>
      </c>
      <c r="AF3793">
        <v>0</v>
      </c>
      <c r="AH3793" t="str">
        <f t="shared" si="180"/>
        <v>Warisnagar</v>
      </c>
      <c r="AJ3793" s="72">
        <v>0</v>
      </c>
      <c r="AK3793" s="72"/>
      <c r="AL3793" s="72"/>
      <c r="AM3793" s="72"/>
    </row>
    <row r="3794" spans="1:39" x14ac:dyDescent="0.25">
      <c r="A3794" s="37" t="s">
        <v>62</v>
      </c>
      <c r="B3794" s="66" t="s">
        <v>1644</v>
      </c>
      <c r="C3794" s="4">
        <v>1057</v>
      </c>
      <c r="D3794" s="41" t="s">
        <v>1202</v>
      </c>
      <c r="E3794" s="41">
        <v>10630012</v>
      </c>
      <c r="F3794" s="85" t="s">
        <v>1415</v>
      </c>
      <c r="G3794" s="39" t="s">
        <v>635</v>
      </c>
      <c r="H3794" s="52" t="s">
        <v>99</v>
      </c>
      <c r="I3794" s="52">
        <v>211.7</v>
      </c>
      <c r="J3794" s="49">
        <v>8047.4347021800013</v>
      </c>
      <c r="K3794" s="58">
        <v>0</v>
      </c>
      <c r="L3794" s="58">
        <v>0</v>
      </c>
      <c r="M3794" s="58">
        <v>0</v>
      </c>
      <c r="N3794" s="58">
        <v>0</v>
      </c>
      <c r="O3794" s="58">
        <v>0</v>
      </c>
      <c r="P3794" s="53">
        <v>0</v>
      </c>
      <c r="Q3794" s="65">
        <v>8047.4347021800013</v>
      </c>
      <c r="R3794" s="65">
        <v>0</v>
      </c>
      <c r="S3794" s="65">
        <v>0</v>
      </c>
      <c r="T3794" s="65">
        <v>0</v>
      </c>
      <c r="U3794" s="58">
        <v>0</v>
      </c>
      <c r="V3794" s="65">
        <v>0</v>
      </c>
      <c r="W3794" s="65">
        <v>0</v>
      </c>
      <c r="X3794" s="65">
        <v>0</v>
      </c>
      <c r="Y3794" s="65">
        <v>0</v>
      </c>
      <c r="Z3794" s="51">
        <v>8047.4347021800013</v>
      </c>
      <c r="AA3794" s="51">
        <v>0</v>
      </c>
      <c r="AB3794" s="102">
        <v>0</v>
      </c>
      <c r="AC3794" s="81">
        <f t="shared" si="181"/>
        <v>371.2387685474252</v>
      </c>
      <c r="AD3794" s="82">
        <f t="shared" si="182"/>
        <v>30.24285714285714</v>
      </c>
      <c r="AE3794" s="218">
        <v>0</v>
      </c>
      <c r="AF3794">
        <v>0</v>
      </c>
      <c r="AH3794" t="str">
        <f t="shared" si="180"/>
        <v>Warisnagar</v>
      </c>
      <c r="AJ3794" s="72">
        <v>0</v>
      </c>
      <c r="AK3794" s="72"/>
      <c r="AL3794" s="72"/>
      <c r="AM3794" s="72"/>
    </row>
    <row r="3795" spans="1:39" x14ac:dyDescent="0.25">
      <c r="A3795" s="37" t="s">
        <v>62</v>
      </c>
      <c r="B3795" s="66" t="s">
        <v>1644</v>
      </c>
      <c r="C3795" s="4">
        <v>1057</v>
      </c>
      <c r="D3795" s="41" t="s">
        <v>1202</v>
      </c>
      <c r="E3795" s="41">
        <v>10630013</v>
      </c>
      <c r="F3795" s="85" t="s">
        <v>1539</v>
      </c>
      <c r="G3795" s="39" t="s">
        <v>93</v>
      </c>
      <c r="H3795" s="52" t="s">
        <v>94</v>
      </c>
      <c r="I3795" s="52">
        <v>407.2</v>
      </c>
      <c r="J3795" s="49">
        <v>15137.870127480004</v>
      </c>
      <c r="K3795" s="58">
        <v>407.3</v>
      </c>
      <c r="L3795" s="58">
        <v>15129.443590806</v>
      </c>
      <c r="M3795" s="58">
        <v>0</v>
      </c>
      <c r="N3795" s="58">
        <v>0</v>
      </c>
      <c r="O3795" s="58">
        <v>407.3</v>
      </c>
      <c r="P3795" s="53">
        <v>15129.443590806</v>
      </c>
      <c r="Q3795" s="65">
        <v>15129.443590806</v>
      </c>
      <c r="R3795" s="65">
        <v>0</v>
      </c>
      <c r="S3795" s="65">
        <v>0</v>
      </c>
      <c r="T3795" s="65">
        <v>0</v>
      </c>
      <c r="U3795" s="58">
        <v>0</v>
      </c>
      <c r="V3795" s="65">
        <v>0</v>
      </c>
      <c r="W3795" s="65">
        <v>0</v>
      </c>
      <c r="X3795" s="65">
        <v>15129</v>
      </c>
      <c r="Y3795" s="65">
        <v>0</v>
      </c>
      <c r="Z3795" s="51">
        <v>0</v>
      </c>
      <c r="AA3795" s="51">
        <v>9</v>
      </c>
      <c r="AB3795" s="102">
        <v>0</v>
      </c>
      <c r="AC3795" s="81">
        <f t="shared" si="181"/>
        <v>217.69982187260049</v>
      </c>
      <c r="AD3795" s="82">
        <f t="shared" si="182"/>
        <v>58.171428571428571</v>
      </c>
      <c r="AE3795" s="218">
        <v>5.5665272611283071E-4</v>
      </c>
      <c r="AF3795">
        <v>1</v>
      </c>
      <c r="AH3795" t="str">
        <f t="shared" si="180"/>
        <v>Warisnagar</v>
      </c>
      <c r="AJ3795" s="72">
        <v>0</v>
      </c>
      <c r="AK3795" s="72"/>
      <c r="AL3795" s="72"/>
      <c r="AM3795" s="72"/>
    </row>
    <row r="3796" spans="1:39" x14ac:dyDescent="0.25">
      <c r="A3796" s="37" t="s">
        <v>62</v>
      </c>
      <c r="B3796" s="66" t="s">
        <v>1644</v>
      </c>
      <c r="C3796" s="4">
        <v>1057</v>
      </c>
      <c r="D3796" s="41" t="s">
        <v>1202</v>
      </c>
      <c r="E3796" s="41">
        <v>10630014</v>
      </c>
      <c r="F3796" s="85" t="s">
        <v>1540</v>
      </c>
      <c r="G3796" s="39" t="s">
        <v>93</v>
      </c>
      <c r="H3796" s="52" t="s">
        <v>94</v>
      </c>
      <c r="I3796" s="52">
        <v>49.4</v>
      </c>
      <c r="J3796" s="49">
        <v>1770.0713839500004</v>
      </c>
      <c r="K3796" s="58">
        <v>49.4</v>
      </c>
      <c r="L3796" s="58">
        <v>1770.0713839500002</v>
      </c>
      <c r="M3796" s="58">
        <v>0</v>
      </c>
      <c r="N3796" s="58">
        <v>0</v>
      </c>
      <c r="O3796" s="58">
        <v>49.4</v>
      </c>
      <c r="P3796" s="53">
        <v>1770.0713839500002</v>
      </c>
      <c r="Q3796" s="65">
        <v>1770.0713839500002</v>
      </c>
      <c r="R3796" s="65">
        <v>0</v>
      </c>
      <c r="S3796" s="65">
        <v>0</v>
      </c>
      <c r="T3796" s="65">
        <v>0</v>
      </c>
      <c r="U3796" s="58">
        <v>0</v>
      </c>
      <c r="V3796" s="65">
        <v>0</v>
      </c>
      <c r="W3796" s="65">
        <v>0</v>
      </c>
      <c r="X3796" s="65">
        <v>1770</v>
      </c>
      <c r="Y3796" s="65">
        <v>0</v>
      </c>
      <c r="Z3796" s="51">
        <v>0</v>
      </c>
      <c r="AA3796" s="51">
        <v>0</v>
      </c>
      <c r="AB3796" s="102">
        <v>0</v>
      </c>
      <c r="AC3796" s="81">
        <f t="shared" si="181"/>
        <v>466.23823578861152</v>
      </c>
      <c r="AD3796" s="82">
        <f t="shared" si="182"/>
        <v>7.0571428571428569</v>
      </c>
      <c r="AE3796" s="218">
        <v>1.2845452308021422E-16</v>
      </c>
      <c r="AF3796">
        <v>1</v>
      </c>
      <c r="AH3796" t="str">
        <f t="shared" si="180"/>
        <v>Warisnagar</v>
      </c>
      <c r="AJ3796" s="72">
        <v>0</v>
      </c>
      <c r="AK3796" s="72"/>
      <c r="AL3796" s="72"/>
      <c r="AM3796" s="72"/>
    </row>
    <row r="3797" spans="1:39" x14ac:dyDescent="0.25">
      <c r="A3797" s="37" t="s">
        <v>62</v>
      </c>
      <c r="B3797" s="66" t="s">
        <v>1644</v>
      </c>
      <c r="C3797" s="4">
        <v>1057</v>
      </c>
      <c r="D3797" s="41" t="s">
        <v>1202</v>
      </c>
      <c r="E3797" s="41">
        <v>10630015</v>
      </c>
      <c r="F3797" s="85" t="s">
        <v>1484</v>
      </c>
      <c r="G3797" s="39" t="s">
        <v>93</v>
      </c>
      <c r="H3797" s="52" t="s">
        <v>94</v>
      </c>
      <c r="I3797" s="52">
        <v>228.1</v>
      </c>
      <c r="J3797" s="49">
        <v>8893.7943508544013</v>
      </c>
      <c r="K3797" s="58">
        <v>228.90000000000003</v>
      </c>
      <c r="L3797" s="58">
        <v>8913.8018292964007</v>
      </c>
      <c r="M3797" s="58">
        <v>0</v>
      </c>
      <c r="N3797" s="58">
        <v>0</v>
      </c>
      <c r="O3797" s="58">
        <v>228.90000000000003</v>
      </c>
      <c r="P3797" s="53">
        <v>8913.8018292964007</v>
      </c>
      <c r="Q3797" s="65">
        <v>8893.7943508544013</v>
      </c>
      <c r="R3797" s="65">
        <v>0</v>
      </c>
      <c r="S3797" s="65">
        <v>0</v>
      </c>
      <c r="T3797" s="65">
        <v>20.00747844199941</v>
      </c>
      <c r="U3797" s="58">
        <v>0</v>
      </c>
      <c r="V3797" s="65">
        <v>0</v>
      </c>
      <c r="W3797" s="65">
        <v>0</v>
      </c>
      <c r="X3797" s="65">
        <v>8894</v>
      </c>
      <c r="Y3797" s="65">
        <v>0</v>
      </c>
      <c r="Z3797" s="51">
        <v>0</v>
      </c>
      <c r="AA3797" s="51">
        <v>0</v>
      </c>
      <c r="AB3797" s="102">
        <v>0</v>
      </c>
      <c r="AC3797" s="81">
        <f t="shared" si="181"/>
        <v>367.99487542027111</v>
      </c>
      <c r="AD3797" s="82">
        <f t="shared" si="182"/>
        <v>32.585714285714282</v>
      </c>
      <c r="AE3797" s="218">
        <v>-2.2495998504932094E-3</v>
      </c>
      <c r="AF3797">
        <v>1</v>
      </c>
      <c r="AH3797" t="str">
        <f t="shared" si="180"/>
        <v>Warisnagar</v>
      </c>
      <c r="AJ3797" s="72">
        <v>0</v>
      </c>
      <c r="AK3797" s="72"/>
      <c r="AL3797" s="72"/>
      <c r="AM3797" s="72"/>
    </row>
    <row r="3798" spans="1:39" x14ac:dyDescent="0.25">
      <c r="A3798" s="37" t="s">
        <v>62</v>
      </c>
      <c r="B3798" s="66" t="s">
        <v>1644</v>
      </c>
      <c r="C3798" s="4">
        <v>1057</v>
      </c>
      <c r="D3798" s="41" t="s">
        <v>1202</v>
      </c>
      <c r="E3798" s="41">
        <v>10630016</v>
      </c>
      <c r="F3798" s="85" t="s">
        <v>1470</v>
      </c>
      <c r="G3798" s="39" t="s">
        <v>635</v>
      </c>
      <c r="H3798" s="52" t="s">
        <v>99</v>
      </c>
      <c r="I3798" s="52">
        <v>489</v>
      </c>
      <c r="J3798" s="49">
        <v>17157.817350894002</v>
      </c>
      <c r="K3798" s="58">
        <v>0</v>
      </c>
      <c r="L3798" s="58">
        <v>0</v>
      </c>
      <c r="M3798" s="58">
        <v>0</v>
      </c>
      <c r="N3798" s="58">
        <v>0</v>
      </c>
      <c r="O3798" s="58">
        <v>0</v>
      </c>
      <c r="P3798" s="53">
        <v>0</v>
      </c>
      <c r="Q3798" s="65">
        <v>17157.817350894002</v>
      </c>
      <c r="R3798" s="65">
        <v>0</v>
      </c>
      <c r="S3798" s="65">
        <v>0</v>
      </c>
      <c r="T3798" s="65">
        <v>0</v>
      </c>
      <c r="U3798" s="58">
        <v>0</v>
      </c>
      <c r="V3798" s="65">
        <v>0</v>
      </c>
      <c r="W3798" s="65">
        <v>0</v>
      </c>
      <c r="X3798" s="65">
        <v>0</v>
      </c>
      <c r="Y3798" s="65">
        <v>0</v>
      </c>
      <c r="Z3798" s="51">
        <v>17157.817350894002</v>
      </c>
      <c r="AA3798" s="51">
        <v>0</v>
      </c>
      <c r="AB3798" s="102">
        <v>0</v>
      </c>
      <c r="AC3798" s="81">
        <f t="shared" si="181"/>
        <v>148.0695076089421</v>
      </c>
      <c r="AD3798" s="82">
        <f t="shared" si="182"/>
        <v>69.857142857142861</v>
      </c>
      <c r="AE3798" s="218">
        <v>0</v>
      </c>
      <c r="AF3798">
        <v>0</v>
      </c>
      <c r="AH3798" t="str">
        <f t="shared" si="180"/>
        <v>Warisnagar</v>
      </c>
      <c r="AJ3798" s="72">
        <v>0</v>
      </c>
      <c r="AK3798" s="72"/>
      <c r="AL3798" s="72"/>
      <c r="AM3798" s="72"/>
    </row>
    <row r="3799" spans="1:39" x14ac:dyDescent="0.25">
      <c r="A3799" s="37" t="s">
        <v>62</v>
      </c>
      <c r="B3799" s="66" t="s">
        <v>1644</v>
      </c>
      <c r="C3799" s="4">
        <v>1057</v>
      </c>
      <c r="D3799" s="41" t="s">
        <v>1202</v>
      </c>
      <c r="E3799" s="41">
        <v>10630018</v>
      </c>
      <c r="F3799" s="85" t="s">
        <v>1553</v>
      </c>
      <c r="G3799" s="39" t="s">
        <v>635</v>
      </c>
      <c r="H3799" s="52" t="s">
        <v>99</v>
      </c>
      <c r="I3799" s="52">
        <v>439.2</v>
      </c>
      <c r="J3799" s="49">
        <v>16073.570420556003</v>
      </c>
      <c r="K3799" s="58">
        <v>0</v>
      </c>
      <c r="L3799" s="58">
        <v>0</v>
      </c>
      <c r="M3799" s="58">
        <v>0</v>
      </c>
      <c r="N3799" s="58">
        <v>0</v>
      </c>
      <c r="O3799" s="58">
        <v>0</v>
      </c>
      <c r="P3799" s="53">
        <v>0</v>
      </c>
      <c r="Q3799" s="65">
        <v>16073.570420556003</v>
      </c>
      <c r="R3799" s="65">
        <v>0</v>
      </c>
      <c r="S3799" s="65">
        <v>0</v>
      </c>
      <c r="T3799" s="65">
        <v>0</v>
      </c>
      <c r="U3799" s="58">
        <v>0</v>
      </c>
      <c r="V3799" s="65">
        <v>0</v>
      </c>
      <c r="W3799" s="65">
        <v>0</v>
      </c>
      <c r="X3799" s="65">
        <v>0</v>
      </c>
      <c r="Y3799" s="65">
        <v>0</v>
      </c>
      <c r="Z3799" s="51">
        <v>16073.570420556003</v>
      </c>
      <c r="AA3799" s="51">
        <v>0</v>
      </c>
      <c r="AB3799" s="102">
        <v>0</v>
      </c>
      <c r="AC3799" s="81">
        <f t="shared" si="181"/>
        <v>190.8919474353828</v>
      </c>
      <c r="AD3799" s="82">
        <f t="shared" si="182"/>
        <v>62.74285714285714</v>
      </c>
      <c r="AE3799" s="218">
        <v>0</v>
      </c>
      <c r="AF3799">
        <v>0</v>
      </c>
      <c r="AH3799" t="str">
        <f t="shared" si="180"/>
        <v>Warisnagar</v>
      </c>
      <c r="AJ3799" s="72">
        <v>0</v>
      </c>
      <c r="AK3799" s="72"/>
      <c r="AL3799" s="72"/>
      <c r="AM3799" s="72"/>
    </row>
    <row r="3800" spans="1:39" x14ac:dyDescent="0.25">
      <c r="A3800" s="37" t="s">
        <v>62</v>
      </c>
      <c r="B3800" s="66" t="s">
        <v>1644</v>
      </c>
      <c r="C3800" s="4">
        <v>1057</v>
      </c>
      <c r="D3800" s="41" t="s">
        <v>1202</v>
      </c>
      <c r="E3800" s="41">
        <v>10630019</v>
      </c>
      <c r="F3800" s="85" t="s">
        <v>1472</v>
      </c>
      <c r="G3800" s="39" t="s">
        <v>635</v>
      </c>
      <c r="H3800" s="52" t="s">
        <v>99</v>
      </c>
      <c r="I3800" s="52">
        <v>456.8</v>
      </c>
      <c r="J3800" s="49">
        <v>15523.910113980004</v>
      </c>
      <c r="K3800" s="58">
        <v>0</v>
      </c>
      <c r="L3800" s="58">
        <v>0</v>
      </c>
      <c r="M3800" s="58">
        <v>0</v>
      </c>
      <c r="N3800" s="58">
        <v>0</v>
      </c>
      <c r="O3800" s="58">
        <v>0</v>
      </c>
      <c r="P3800" s="53">
        <v>0</v>
      </c>
      <c r="Q3800" s="65">
        <v>15523.910113980004</v>
      </c>
      <c r="R3800" s="65">
        <v>0</v>
      </c>
      <c r="S3800" s="65">
        <v>0</v>
      </c>
      <c r="T3800" s="65">
        <v>0</v>
      </c>
      <c r="U3800" s="58">
        <v>0</v>
      </c>
      <c r="V3800" s="65">
        <v>0</v>
      </c>
      <c r="W3800" s="65">
        <v>0</v>
      </c>
      <c r="X3800" s="65">
        <v>0</v>
      </c>
      <c r="Y3800" s="65">
        <v>0</v>
      </c>
      <c r="Z3800" s="51">
        <v>15523.910113980004</v>
      </c>
      <c r="AA3800" s="51">
        <v>0</v>
      </c>
      <c r="AB3800" s="102">
        <v>0</v>
      </c>
      <c r="AC3800" s="81">
        <f t="shared" si="181"/>
        <v>165.29837739579412</v>
      </c>
      <c r="AD3800" s="82">
        <f t="shared" si="182"/>
        <v>65.257142857142853</v>
      </c>
      <c r="AE3800" s="218">
        <v>0</v>
      </c>
      <c r="AF3800">
        <v>0</v>
      </c>
      <c r="AH3800" t="str">
        <f t="shared" si="180"/>
        <v>Warisnagar</v>
      </c>
      <c r="AJ3800" s="72">
        <v>0</v>
      </c>
      <c r="AK3800" s="72"/>
      <c r="AL3800" s="72"/>
      <c r="AM3800" s="72"/>
    </row>
    <row r="3801" spans="1:39" x14ac:dyDescent="0.25">
      <c r="A3801" s="37" t="s">
        <v>62</v>
      </c>
      <c r="B3801" s="66" t="s">
        <v>1644</v>
      </c>
      <c r="C3801" s="4">
        <v>1062</v>
      </c>
      <c r="D3801" s="41" t="s">
        <v>1443</v>
      </c>
      <c r="E3801" s="41">
        <v>10640001</v>
      </c>
      <c r="F3801" s="85" t="s">
        <v>1444</v>
      </c>
      <c r="G3801" s="39" t="s">
        <v>93</v>
      </c>
      <c r="H3801" s="52" t="s">
        <v>94</v>
      </c>
      <c r="I3801" s="52">
        <v>670.62</v>
      </c>
      <c r="J3801" s="49">
        <v>25509.401612229904</v>
      </c>
      <c r="K3801" s="58">
        <v>746</v>
      </c>
      <c r="L3801" s="58">
        <v>29247.5667963462</v>
      </c>
      <c r="M3801" s="58">
        <v>5.0999999999999996</v>
      </c>
      <c r="N3801" s="58">
        <v>191.10551799000004</v>
      </c>
      <c r="O3801" s="58">
        <v>751.1</v>
      </c>
      <c r="P3801" s="53">
        <v>29438.6723143362</v>
      </c>
      <c r="Q3801" s="65">
        <v>25509.401612229904</v>
      </c>
      <c r="R3801" s="65">
        <v>0</v>
      </c>
      <c r="S3801" s="65">
        <v>191.10551799000004</v>
      </c>
      <c r="T3801" s="65">
        <v>3929.2707021062961</v>
      </c>
      <c r="U3801" s="58">
        <v>0</v>
      </c>
      <c r="V3801" s="65">
        <v>0</v>
      </c>
      <c r="W3801" s="65">
        <v>0</v>
      </c>
      <c r="X3801" s="65">
        <v>25318</v>
      </c>
      <c r="Y3801" s="65">
        <v>0</v>
      </c>
      <c r="Z3801" s="51">
        <v>0</v>
      </c>
      <c r="AA3801" s="51">
        <v>0</v>
      </c>
      <c r="AB3801" s="102">
        <v>0</v>
      </c>
      <c r="AC3801" s="81">
        <f t="shared" si="181"/>
        <v>22.351442526835267</v>
      </c>
      <c r="AD3801" s="82">
        <f t="shared" si="182"/>
        <v>95.80285714285715</v>
      </c>
      <c r="AE3801" s="218">
        <v>-0.15403225688455571</v>
      </c>
      <c r="AF3801">
        <v>6</v>
      </c>
      <c r="AH3801" t="str">
        <f t="shared" si="180"/>
        <v>Singhia BMC</v>
      </c>
      <c r="AJ3801" s="72">
        <v>0</v>
      </c>
      <c r="AK3801" s="72"/>
      <c r="AL3801" s="72"/>
      <c r="AM3801" s="72"/>
    </row>
    <row r="3802" spans="1:39" x14ac:dyDescent="0.25">
      <c r="A3802" s="37" t="s">
        <v>62</v>
      </c>
      <c r="B3802" s="66" t="s">
        <v>1644</v>
      </c>
      <c r="C3802" s="4">
        <v>1062</v>
      </c>
      <c r="D3802" s="41" t="s">
        <v>1443</v>
      </c>
      <c r="E3802" s="41">
        <v>10640003</v>
      </c>
      <c r="F3802" s="85" t="s">
        <v>1445</v>
      </c>
      <c r="G3802" s="39" t="s">
        <v>93</v>
      </c>
      <c r="H3802" s="52" t="s">
        <v>94</v>
      </c>
      <c r="I3802" s="52">
        <v>929.16999999999985</v>
      </c>
      <c r="J3802" s="49">
        <v>38041.732655754</v>
      </c>
      <c r="K3802" s="58">
        <v>920.60000000000014</v>
      </c>
      <c r="L3802" s="58">
        <v>39083.332682489206</v>
      </c>
      <c r="M3802" s="58">
        <v>11.000000000000002</v>
      </c>
      <c r="N3802" s="58">
        <v>458.97742828800011</v>
      </c>
      <c r="O3802" s="58">
        <v>931.60000000000014</v>
      </c>
      <c r="P3802" s="53">
        <v>39542.310110777209</v>
      </c>
      <c r="Q3802" s="65">
        <v>38041.732655754</v>
      </c>
      <c r="R3802" s="65">
        <v>0</v>
      </c>
      <c r="S3802" s="65">
        <v>458.97742828800011</v>
      </c>
      <c r="T3802" s="65">
        <v>1500.577455023209</v>
      </c>
      <c r="U3802" s="58">
        <v>0</v>
      </c>
      <c r="V3802" s="65">
        <v>0</v>
      </c>
      <c r="W3802" s="65">
        <v>0</v>
      </c>
      <c r="X3802" s="65">
        <v>37583</v>
      </c>
      <c r="Y3802" s="65">
        <v>0</v>
      </c>
      <c r="Z3802" s="51">
        <v>0</v>
      </c>
      <c r="AA3802" s="51">
        <v>0</v>
      </c>
      <c r="AB3802" s="102">
        <v>0</v>
      </c>
      <c r="AC3802" s="81">
        <f t="shared" si="181"/>
        <v>0</v>
      </c>
      <c r="AD3802" s="82">
        <f t="shared" si="182"/>
        <v>0</v>
      </c>
      <c r="AE3802" s="218">
        <v>-3.9445560185236178E-2</v>
      </c>
      <c r="AF3802">
        <v>17</v>
      </c>
      <c r="AH3802" t="str">
        <f t="shared" si="180"/>
        <v>Singhia BMC</v>
      </c>
      <c r="AJ3802" s="72">
        <v>0</v>
      </c>
      <c r="AK3802" s="72"/>
      <c r="AL3802" s="72"/>
      <c r="AM3802" s="72"/>
    </row>
    <row r="3803" spans="1:39" x14ac:dyDescent="0.25">
      <c r="A3803" s="37" t="s">
        <v>62</v>
      </c>
      <c r="B3803" s="66" t="s">
        <v>1644</v>
      </c>
      <c r="C3803" s="4">
        <v>1062</v>
      </c>
      <c r="D3803" s="41" t="s">
        <v>1443</v>
      </c>
      <c r="E3803" s="41">
        <v>10640004</v>
      </c>
      <c r="F3803" s="85" t="s">
        <v>1446</v>
      </c>
      <c r="G3803" s="39" t="s">
        <v>93</v>
      </c>
      <c r="H3803" s="52" t="s">
        <v>94</v>
      </c>
      <c r="I3803" s="52">
        <v>225.3</v>
      </c>
      <c r="J3803" s="49">
        <v>8424.3646292640005</v>
      </c>
      <c r="K3803" s="58">
        <v>247.5</v>
      </c>
      <c r="L3803" s="58">
        <v>9213.068578458</v>
      </c>
      <c r="M3803" s="58">
        <v>2.6</v>
      </c>
      <c r="N3803" s="58">
        <v>96.031332867000003</v>
      </c>
      <c r="O3803" s="58">
        <v>250.1</v>
      </c>
      <c r="P3803" s="53">
        <v>9309.099911325</v>
      </c>
      <c r="Q3803" s="65">
        <v>8424.3646292640005</v>
      </c>
      <c r="R3803" s="65">
        <v>0</v>
      </c>
      <c r="S3803" s="65">
        <v>96.031332867000003</v>
      </c>
      <c r="T3803" s="65">
        <v>884.73528206099945</v>
      </c>
      <c r="U3803" s="58">
        <v>0</v>
      </c>
      <c r="V3803" s="65">
        <v>0</v>
      </c>
      <c r="W3803" s="65">
        <v>0</v>
      </c>
      <c r="X3803" s="65">
        <v>8328</v>
      </c>
      <c r="Y3803" s="65">
        <v>0</v>
      </c>
      <c r="Z3803" s="51">
        <v>0</v>
      </c>
      <c r="AA3803" s="51">
        <v>0</v>
      </c>
      <c r="AB3803" s="102">
        <v>0</v>
      </c>
      <c r="AC3803" s="81">
        <f t="shared" si="181"/>
        <v>354.9974158465709</v>
      </c>
      <c r="AD3803" s="82">
        <f t="shared" si="182"/>
        <v>32.18571428571429</v>
      </c>
      <c r="AE3803" s="218">
        <v>-0.10502101001037688</v>
      </c>
      <c r="AF3803">
        <v>2</v>
      </c>
      <c r="AH3803" t="str">
        <f t="shared" si="180"/>
        <v>Singhia BMC</v>
      </c>
      <c r="AJ3803" s="72">
        <v>0</v>
      </c>
      <c r="AK3803" s="72"/>
      <c r="AL3803" s="72"/>
      <c r="AM3803" s="72"/>
    </row>
    <row r="3804" spans="1:39" x14ac:dyDescent="0.25">
      <c r="A3804" s="37" t="s">
        <v>62</v>
      </c>
      <c r="B3804" s="66" t="s">
        <v>1644</v>
      </c>
      <c r="C3804" s="4">
        <v>1062</v>
      </c>
      <c r="D3804" s="41" t="s">
        <v>1443</v>
      </c>
      <c r="E3804" s="41">
        <v>10640005</v>
      </c>
      <c r="F3804" s="85" t="s">
        <v>1447</v>
      </c>
      <c r="G3804" s="39" t="s">
        <v>93</v>
      </c>
      <c r="H3804" s="52" t="s">
        <v>94</v>
      </c>
      <c r="I3804" s="52">
        <v>153.91</v>
      </c>
      <c r="J3804" s="49">
        <v>6584.4392555164195</v>
      </c>
      <c r="K3804" s="58">
        <v>163.79999999999998</v>
      </c>
      <c r="L3804" s="58">
        <v>6998.2178657017212</v>
      </c>
      <c r="M3804" s="58">
        <v>2.3000000000000007</v>
      </c>
      <c r="N3804" s="58">
        <v>101.49351037314</v>
      </c>
      <c r="O3804" s="58">
        <v>166.1</v>
      </c>
      <c r="P3804" s="53">
        <v>7099.7113760748616</v>
      </c>
      <c r="Q3804" s="65">
        <v>6584.4392555164195</v>
      </c>
      <c r="R3804" s="65">
        <v>0</v>
      </c>
      <c r="S3804" s="65">
        <v>101.49351037314</v>
      </c>
      <c r="T3804" s="65">
        <v>515.27212055844211</v>
      </c>
      <c r="U3804" s="58">
        <v>0</v>
      </c>
      <c r="V3804" s="65">
        <v>0</v>
      </c>
      <c r="W3804" s="65">
        <v>0</v>
      </c>
      <c r="X3804" s="65">
        <v>6483</v>
      </c>
      <c r="Y3804" s="65">
        <v>0</v>
      </c>
      <c r="Z3804" s="51">
        <v>0</v>
      </c>
      <c r="AA3804" s="51">
        <v>0</v>
      </c>
      <c r="AB3804" s="102">
        <v>0</v>
      </c>
      <c r="AC3804" s="81">
        <f t="shared" si="181"/>
        <v>467.24662894483293</v>
      </c>
      <c r="AD3804" s="82">
        <f t="shared" si="182"/>
        <v>21.987142857142857</v>
      </c>
      <c r="AE3804" s="218">
        <v>-7.8256036780466762E-2</v>
      </c>
      <c r="AF3804">
        <v>2</v>
      </c>
      <c r="AH3804" t="str">
        <f t="shared" si="180"/>
        <v>Singhia BMC</v>
      </c>
      <c r="AJ3804" s="72">
        <v>0</v>
      </c>
      <c r="AK3804" s="72"/>
      <c r="AL3804" s="72"/>
      <c r="AM3804" s="72"/>
    </row>
    <row r="3805" spans="1:39" x14ac:dyDescent="0.25">
      <c r="A3805" s="37" t="s">
        <v>62</v>
      </c>
      <c r="B3805" s="66" t="s">
        <v>1644</v>
      </c>
      <c r="C3805" s="4">
        <v>1062</v>
      </c>
      <c r="D3805" s="41" t="s">
        <v>1443</v>
      </c>
      <c r="E3805" s="41">
        <v>10640006</v>
      </c>
      <c r="F3805" s="85" t="s">
        <v>1448</v>
      </c>
      <c r="G3805" s="39" t="s">
        <v>93</v>
      </c>
      <c r="H3805" s="52" t="s">
        <v>94</v>
      </c>
      <c r="I3805" s="52">
        <v>159.17999999999998</v>
      </c>
      <c r="J3805" s="49">
        <v>7801.0280808351999</v>
      </c>
      <c r="K3805" s="58">
        <v>159.90000000000003</v>
      </c>
      <c r="L3805" s="58">
        <v>8758.7240525034285</v>
      </c>
      <c r="M3805" s="58">
        <v>49.3</v>
      </c>
      <c r="N3805" s="58">
        <v>2807.4251708327201</v>
      </c>
      <c r="O3805" s="58">
        <v>209.20000000000005</v>
      </c>
      <c r="P3805" s="53">
        <v>11566.14922333615</v>
      </c>
      <c r="Q3805" s="65">
        <v>7801.0280808351999</v>
      </c>
      <c r="R3805" s="65">
        <v>0</v>
      </c>
      <c r="S3805" s="65">
        <v>305.80903451982005</v>
      </c>
      <c r="T3805" s="65">
        <v>3765.1211425009496</v>
      </c>
      <c r="U3805" s="58">
        <v>0</v>
      </c>
      <c r="V3805" s="65">
        <v>0</v>
      </c>
      <c r="W3805" s="65">
        <v>0</v>
      </c>
      <c r="X3805" s="65">
        <v>5565</v>
      </c>
      <c r="Y3805" s="65">
        <v>1930</v>
      </c>
      <c r="Z3805" s="51">
        <v>0</v>
      </c>
      <c r="AA3805" s="51">
        <v>0</v>
      </c>
      <c r="AB3805" s="102" t="s">
        <v>68</v>
      </c>
      <c r="AC3805" s="81">
        <f t="shared" si="181"/>
        <v>530.08568999589068</v>
      </c>
      <c r="AD3805" s="82">
        <f t="shared" si="182"/>
        <v>22.74</v>
      </c>
      <c r="AE3805" s="218">
        <v>-0.48264422374670457</v>
      </c>
      <c r="AF3805">
        <v>10</v>
      </c>
      <c r="AH3805" t="str">
        <f t="shared" si="180"/>
        <v>Singhia BMC</v>
      </c>
      <c r="AJ3805" s="72">
        <v>0</v>
      </c>
      <c r="AK3805" s="72"/>
      <c r="AL3805" s="72"/>
      <c r="AM3805" s="72"/>
    </row>
    <row r="3806" spans="1:39" x14ac:dyDescent="0.25">
      <c r="A3806" s="37" t="s">
        <v>62</v>
      </c>
      <c r="B3806" s="66" t="s">
        <v>1644</v>
      </c>
      <c r="C3806" s="4">
        <v>1062</v>
      </c>
      <c r="D3806" s="41" t="s">
        <v>1443</v>
      </c>
      <c r="E3806" s="41">
        <v>10640007</v>
      </c>
      <c r="F3806" s="85" t="s">
        <v>1449</v>
      </c>
      <c r="G3806" s="39" t="s">
        <v>635</v>
      </c>
      <c r="H3806" s="52" t="s">
        <v>99</v>
      </c>
      <c r="I3806" s="52">
        <v>237.48000000000002</v>
      </c>
      <c r="J3806" s="49">
        <v>9986.6569370833513</v>
      </c>
      <c r="K3806" s="58">
        <v>0</v>
      </c>
      <c r="L3806" s="58">
        <v>0</v>
      </c>
      <c r="M3806" s="58">
        <v>0</v>
      </c>
      <c r="N3806" s="58">
        <v>0</v>
      </c>
      <c r="O3806" s="58">
        <v>0</v>
      </c>
      <c r="P3806" s="53">
        <v>0</v>
      </c>
      <c r="Q3806" s="65">
        <v>9986.6569370833513</v>
      </c>
      <c r="R3806" s="65">
        <v>0</v>
      </c>
      <c r="S3806" s="65">
        <v>0</v>
      </c>
      <c r="T3806" s="65">
        <v>0</v>
      </c>
      <c r="U3806" s="58">
        <v>0</v>
      </c>
      <c r="V3806" s="65">
        <v>0</v>
      </c>
      <c r="W3806" s="65">
        <v>0</v>
      </c>
      <c r="X3806" s="65">
        <v>0</v>
      </c>
      <c r="Y3806" s="65">
        <v>0</v>
      </c>
      <c r="Z3806" s="51">
        <v>9986.6569370833513</v>
      </c>
      <c r="AA3806" s="51">
        <v>0</v>
      </c>
      <c r="AB3806" s="102">
        <v>0</v>
      </c>
      <c r="AC3806" s="81">
        <f t="shared" si="181"/>
        <v>389.00358485260159</v>
      </c>
      <c r="AD3806" s="82">
        <f t="shared" si="182"/>
        <v>33.925714285714285</v>
      </c>
      <c r="AE3806" s="218">
        <v>0</v>
      </c>
      <c r="AF3806">
        <v>0</v>
      </c>
      <c r="AH3806" t="str">
        <f t="shared" si="180"/>
        <v>Singhia BMC</v>
      </c>
      <c r="AJ3806" s="72">
        <v>0</v>
      </c>
      <c r="AK3806" s="72"/>
      <c r="AL3806" s="72"/>
      <c r="AM3806" s="72"/>
    </row>
    <row r="3807" spans="1:39" x14ac:dyDescent="0.25">
      <c r="A3807" s="37" t="s">
        <v>62</v>
      </c>
      <c r="B3807" s="66" t="s">
        <v>1644</v>
      </c>
      <c r="C3807" s="4">
        <v>1062</v>
      </c>
      <c r="D3807" s="41" t="s">
        <v>1443</v>
      </c>
      <c r="E3807" s="41">
        <v>10640008</v>
      </c>
      <c r="F3807" s="85" t="s">
        <v>1584</v>
      </c>
      <c r="G3807" s="39" t="s">
        <v>93</v>
      </c>
      <c r="H3807" s="52" t="s">
        <v>94</v>
      </c>
      <c r="I3807" s="52">
        <v>205.17000000000002</v>
      </c>
      <c r="J3807" s="49">
        <v>8898.3162132217203</v>
      </c>
      <c r="K3807" s="58">
        <v>204.99999999999997</v>
      </c>
      <c r="L3807" s="58">
        <v>8979.8569281971995</v>
      </c>
      <c r="M3807" s="58">
        <v>0</v>
      </c>
      <c r="N3807" s="58">
        <v>0</v>
      </c>
      <c r="O3807" s="58">
        <v>204.99999999999997</v>
      </c>
      <c r="P3807" s="53">
        <v>8979.8569281971995</v>
      </c>
      <c r="Q3807" s="65">
        <v>8898.3162132217203</v>
      </c>
      <c r="R3807" s="65">
        <v>0</v>
      </c>
      <c r="S3807" s="65">
        <v>0</v>
      </c>
      <c r="T3807" s="65">
        <v>81.540714975479204</v>
      </c>
      <c r="U3807" s="58">
        <v>0</v>
      </c>
      <c r="V3807" s="65">
        <v>0</v>
      </c>
      <c r="W3807" s="65">
        <v>0</v>
      </c>
      <c r="X3807" s="65">
        <v>8898</v>
      </c>
      <c r="Y3807" s="65">
        <v>0</v>
      </c>
      <c r="Z3807" s="51">
        <v>0</v>
      </c>
      <c r="AA3807" s="51">
        <v>0</v>
      </c>
      <c r="AB3807" s="102">
        <v>0</v>
      </c>
      <c r="AC3807" s="81">
        <f t="shared" si="181"/>
        <v>429.2200430656045</v>
      </c>
      <c r="AD3807" s="82">
        <f t="shared" si="182"/>
        <v>29.310000000000002</v>
      </c>
      <c r="AE3807" s="218">
        <v>-9.1636117464920491E-3</v>
      </c>
      <c r="AF3807">
        <v>1</v>
      </c>
      <c r="AH3807" t="str">
        <f t="shared" si="180"/>
        <v>Singhia BMC</v>
      </c>
      <c r="AJ3807" s="72">
        <v>0</v>
      </c>
      <c r="AK3807" s="72"/>
      <c r="AL3807" s="72"/>
      <c r="AM3807" s="72"/>
    </row>
    <row r="3808" spans="1:39" x14ac:dyDescent="0.25">
      <c r="A3808" s="37" t="s">
        <v>62</v>
      </c>
      <c r="B3808" s="66" t="s">
        <v>1644</v>
      </c>
      <c r="C3808" s="4">
        <v>1062</v>
      </c>
      <c r="D3808" s="41" t="s">
        <v>1443</v>
      </c>
      <c r="E3808" s="41">
        <v>10640009</v>
      </c>
      <c r="F3808" s="85" t="s">
        <v>1529</v>
      </c>
      <c r="G3808" s="39" t="s">
        <v>93</v>
      </c>
      <c r="H3808" s="52" t="s">
        <v>94</v>
      </c>
      <c r="I3808" s="52">
        <v>582.02</v>
      </c>
      <c r="J3808" s="49">
        <v>28513.4978184313</v>
      </c>
      <c r="K3808" s="58">
        <v>662.69999999999993</v>
      </c>
      <c r="L3808" s="58">
        <v>32518.976359803764</v>
      </c>
      <c r="M3808" s="58">
        <v>0</v>
      </c>
      <c r="N3808" s="58">
        <v>0</v>
      </c>
      <c r="O3808" s="58">
        <v>662.69999999999993</v>
      </c>
      <c r="P3808" s="53">
        <v>32518.976359803764</v>
      </c>
      <c r="Q3808" s="65">
        <v>28513.4978184313</v>
      </c>
      <c r="R3808" s="65">
        <v>0</v>
      </c>
      <c r="S3808" s="65">
        <v>0</v>
      </c>
      <c r="T3808" s="65">
        <v>4005.478541372464</v>
      </c>
      <c r="U3808" s="58">
        <v>0</v>
      </c>
      <c r="V3808" s="65">
        <v>0</v>
      </c>
      <c r="W3808" s="65">
        <v>0</v>
      </c>
      <c r="X3808" s="65">
        <v>28513</v>
      </c>
      <c r="Y3808" s="65">
        <v>0</v>
      </c>
      <c r="Z3808" s="51">
        <v>0</v>
      </c>
      <c r="AA3808" s="51">
        <v>0</v>
      </c>
      <c r="AB3808" s="102">
        <v>0</v>
      </c>
      <c r="AC3808" s="81">
        <f t="shared" si="181"/>
        <v>115.59817437952395</v>
      </c>
      <c r="AD3808" s="82">
        <f t="shared" si="182"/>
        <v>83.145714285714277</v>
      </c>
      <c r="AE3808" s="218">
        <v>-0.14047657593181354</v>
      </c>
      <c r="AF3808">
        <v>3</v>
      </c>
      <c r="AH3808" t="str">
        <f t="shared" si="180"/>
        <v>Singhia BMC</v>
      </c>
      <c r="AJ3808" s="72">
        <v>0</v>
      </c>
      <c r="AK3808" s="72"/>
      <c r="AL3808" s="72"/>
      <c r="AM3808" s="72"/>
    </row>
    <row r="3809" spans="1:39" x14ac:dyDescent="0.25">
      <c r="A3809" s="37" t="s">
        <v>62</v>
      </c>
      <c r="B3809" s="66" t="s">
        <v>1644</v>
      </c>
      <c r="C3809" s="4">
        <v>1062</v>
      </c>
      <c r="D3809" s="41" t="s">
        <v>1443</v>
      </c>
      <c r="E3809" s="41">
        <v>10640010</v>
      </c>
      <c r="F3809" s="85" t="s">
        <v>1485</v>
      </c>
      <c r="G3809" s="39" t="s">
        <v>635</v>
      </c>
      <c r="H3809" s="52" t="s">
        <v>99</v>
      </c>
      <c r="I3809" s="52">
        <v>357.61</v>
      </c>
      <c r="J3809" s="49">
        <v>11971.519402705049</v>
      </c>
      <c r="K3809" s="58">
        <v>0</v>
      </c>
      <c r="L3809" s="58">
        <v>0</v>
      </c>
      <c r="M3809" s="58">
        <v>0</v>
      </c>
      <c r="N3809" s="58">
        <v>0</v>
      </c>
      <c r="O3809" s="58">
        <v>0</v>
      </c>
      <c r="P3809" s="53">
        <v>0</v>
      </c>
      <c r="Q3809" s="65">
        <v>11971.519402705049</v>
      </c>
      <c r="R3809" s="65">
        <v>0</v>
      </c>
      <c r="S3809" s="65">
        <v>0</v>
      </c>
      <c r="T3809" s="65">
        <v>0</v>
      </c>
      <c r="U3809" s="58">
        <v>0</v>
      </c>
      <c r="V3809" s="65">
        <v>0</v>
      </c>
      <c r="W3809" s="65">
        <v>0</v>
      </c>
      <c r="X3809" s="65">
        <v>0</v>
      </c>
      <c r="Y3809" s="65">
        <v>0</v>
      </c>
      <c r="Z3809" s="51">
        <v>11971.519402705049</v>
      </c>
      <c r="AA3809" s="51">
        <v>0</v>
      </c>
      <c r="AB3809" s="102">
        <v>0</v>
      </c>
      <c r="AC3809" s="81">
        <f t="shared" si="181"/>
        <v>229.24015146624427</v>
      </c>
      <c r="AD3809" s="82">
        <f t="shared" si="182"/>
        <v>51.087142857142858</v>
      </c>
      <c r="AE3809" s="218">
        <v>0</v>
      </c>
      <c r="AF3809">
        <v>0</v>
      </c>
      <c r="AH3809" t="str">
        <f t="shared" si="180"/>
        <v>Singhia BMC</v>
      </c>
      <c r="AJ3809" s="72">
        <v>0</v>
      </c>
      <c r="AK3809" s="72"/>
      <c r="AL3809" s="72"/>
      <c r="AM3809" s="72"/>
    </row>
    <row r="3810" spans="1:39" x14ac:dyDescent="0.25">
      <c r="A3810" s="37" t="s">
        <v>62</v>
      </c>
      <c r="B3810" s="66" t="s">
        <v>1644</v>
      </c>
      <c r="C3810" s="4">
        <v>1062</v>
      </c>
      <c r="D3810" s="41" t="s">
        <v>1443</v>
      </c>
      <c r="E3810" s="41">
        <v>10640011</v>
      </c>
      <c r="F3810" s="85" t="s">
        <v>1486</v>
      </c>
      <c r="G3810" s="39" t="s">
        <v>635</v>
      </c>
      <c r="H3810" s="52" t="s">
        <v>99</v>
      </c>
      <c r="I3810" s="52">
        <v>227.95000000000002</v>
      </c>
      <c r="J3810" s="49">
        <v>9966.5408482726816</v>
      </c>
      <c r="K3810" s="58">
        <v>0</v>
      </c>
      <c r="L3810" s="58">
        <v>0</v>
      </c>
      <c r="M3810" s="58">
        <v>0</v>
      </c>
      <c r="N3810" s="58">
        <v>0</v>
      </c>
      <c r="O3810" s="58">
        <v>0</v>
      </c>
      <c r="P3810" s="53">
        <v>0</v>
      </c>
      <c r="Q3810" s="65">
        <v>9966.5408482726816</v>
      </c>
      <c r="R3810" s="65">
        <v>0</v>
      </c>
      <c r="S3810" s="65">
        <v>0</v>
      </c>
      <c r="T3810" s="65">
        <v>0</v>
      </c>
      <c r="U3810" s="58">
        <v>0</v>
      </c>
      <c r="V3810" s="65">
        <v>0</v>
      </c>
      <c r="W3810" s="65">
        <v>0</v>
      </c>
      <c r="X3810" s="65">
        <v>0</v>
      </c>
      <c r="Y3810" s="65">
        <v>0</v>
      </c>
      <c r="Z3810" s="51">
        <v>9966.5408482726816</v>
      </c>
      <c r="AA3810" s="51">
        <v>0</v>
      </c>
      <c r="AB3810" s="102">
        <v>0</v>
      </c>
      <c r="AC3810" s="81">
        <f t="shared" si="181"/>
        <v>412.78399714210298</v>
      </c>
      <c r="AD3810" s="82">
        <f t="shared" si="182"/>
        <v>32.564285714285717</v>
      </c>
      <c r="AE3810" s="218">
        <v>0</v>
      </c>
      <c r="AF3810">
        <v>0</v>
      </c>
      <c r="AH3810" t="str">
        <f t="shared" si="180"/>
        <v>Singhia BMC</v>
      </c>
      <c r="AJ3810" s="72">
        <v>0</v>
      </c>
      <c r="AK3810" s="72"/>
      <c r="AL3810" s="72"/>
      <c r="AM3810" s="72"/>
    </row>
    <row r="3811" spans="1:39" x14ac:dyDescent="0.25">
      <c r="A3811" s="37" t="s">
        <v>62</v>
      </c>
      <c r="B3811" s="66" t="s">
        <v>1644</v>
      </c>
      <c r="C3811" s="4">
        <v>1065</v>
      </c>
      <c r="D3811" s="41" t="s">
        <v>1473</v>
      </c>
      <c r="E3811" s="41">
        <v>10650001</v>
      </c>
      <c r="F3811" s="85" t="s">
        <v>1474</v>
      </c>
      <c r="G3811" s="39" t="s">
        <v>93</v>
      </c>
      <c r="H3811" s="52" t="s">
        <v>94</v>
      </c>
      <c r="I3811" s="52">
        <v>173.3</v>
      </c>
      <c r="J3811" s="49">
        <v>6854.3497246200013</v>
      </c>
      <c r="K3811" s="58">
        <v>174.6</v>
      </c>
      <c r="L3811" s="58">
        <v>7255.3473060900014</v>
      </c>
      <c r="M3811" s="58">
        <v>0</v>
      </c>
      <c r="N3811" s="58">
        <v>0</v>
      </c>
      <c r="O3811" s="58">
        <v>174.6</v>
      </c>
      <c r="P3811" s="53">
        <v>7255.3473060900014</v>
      </c>
      <c r="Q3811" s="65">
        <v>6854.3497246200013</v>
      </c>
      <c r="R3811" s="65">
        <v>0</v>
      </c>
      <c r="S3811" s="65">
        <v>0</v>
      </c>
      <c r="T3811" s="65">
        <v>400.99758147000011</v>
      </c>
      <c r="U3811" s="58">
        <v>0</v>
      </c>
      <c r="V3811" s="65">
        <v>0</v>
      </c>
      <c r="W3811" s="65">
        <v>0</v>
      </c>
      <c r="X3811" s="65">
        <v>6854</v>
      </c>
      <c r="Y3811" s="65">
        <v>0</v>
      </c>
      <c r="Z3811" s="51">
        <v>0</v>
      </c>
      <c r="AA3811" s="51">
        <v>0</v>
      </c>
      <c r="AB3811" s="102">
        <v>0</v>
      </c>
      <c r="AC3811" s="81">
        <f t="shared" si="181"/>
        <v>416.64004615780192</v>
      </c>
      <c r="AD3811" s="82">
        <f t="shared" si="182"/>
        <v>24.75714285714286</v>
      </c>
      <c r="AE3811" s="218">
        <v>-5.8502643953176905E-2</v>
      </c>
      <c r="AF3811">
        <v>3</v>
      </c>
      <c r="AH3811" t="str">
        <f t="shared" si="180"/>
        <v>Bachhwara BMC</v>
      </c>
      <c r="AJ3811" s="72">
        <v>0</v>
      </c>
      <c r="AK3811" s="72"/>
      <c r="AL3811" s="72"/>
      <c r="AM3811" s="72"/>
    </row>
    <row r="3812" spans="1:39" x14ac:dyDescent="0.25">
      <c r="A3812" s="37" t="s">
        <v>62</v>
      </c>
      <c r="B3812" s="66" t="s">
        <v>1644</v>
      </c>
      <c r="C3812" s="4">
        <v>1065</v>
      </c>
      <c r="D3812" s="41" t="s">
        <v>1473</v>
      </c>
      <c r="E3812" s="41">
        <v>10650003</v>
      </c>
      <c r="F3812" s="85" t="s">
        <v>1475</v>
      </c>
      <c r="G3812" s="39" t="s">
        <v>93</v>
      </c>
      <c r="H3812" s="52" t="s">
        <v>94</v>
      </c>
      <c r="I3812" s="52">
        <v>1061.9000000000001</v>
      </c>
      <c r="J3812" s="49">
        <v>43717.956679350005</v>
      </c>
      <c r="K3812" s="58">
        <v>1067.0999999999999</v>
      </c>
      <c r="L3812" s="58">
        <v>43479.246633745912</v>
      </c>
      <c r="M3812" s="58">
        <v>0</v>
      </c>
      <c r="N3812" s="58">
        <v>0</v>
      </c>
      <c r="O3812" s="58">
        <v>1067.0999999999999</v>
      </c>
      <c r="P3812" s="53">
        <v>43479.246633745912</v>
      </c>
      <c r="Q3812" s="65">
        <v>43479.246633745912</v>
      </c>
      <c r="R3812" s="65">
        <v>0</v>
      </c>
      <c r="S3812" s="65">
        <v>0</v>
      </c>
      <c r="T3812" s="65">
        <v>0</v>
      </c>
      <c r="U3812" s="58">
        <v>0</v>
      </c>
      <c r="V3812" s="65">
        <v>0</v>
      </c>
      <c r="W3812" s="65">
        <v>0</v>
      </c>
      <c r="X3812" s="65">
        <v>43480</v>
      </c>
      <c r="Y3812" s="65">
        <v>0</v>
      </c>
      <c r="Z3812" s="51">
        <v>0</v>
      </c>
      <c r="AA3812" s="51">
        <v>238</v>
      </c>
      <c r="AB3812" s="102">
        <v>0</v>
      </c>
      <c r="AC3812" s="81">
        <f t="shared" si="181"/>
        <v>0</v>
      </c>
      <c r="AD3812" s="82">
        <f t="shared" si="182"/>
        <v>0</v>
      </c>
      <c r="AE3812" s="218">
        <v>5.4602287877934417E-3</v>
      </c>
      <c r="AF3812">
        <v>16</v>
      </c>
      <c r="AH3812" t="str">
        <f t="shared" si="180"/>
        <v>Bachhwara BMC</v>
      </c>
      <c r="AJ3812" s="72">
        <v>0</v>
      </c>
      <c r="AK3812" s="72"/>
      <c r="AL3812" s="72"/>
      <c r="AM3812" s="72"/>
    </row>
    <row r="3813" spans="1:39" x14ac:dyDescent="0.25">
      <c r="A3813" s="37" t="s">
        <v>62</v>
      </c>
      <c r="B3813" s="66" t="s">
        <v>1644</v>
      </c>
      <c r="C3813" s="4">
        <v>1065</v>
      </c>
      <c r="D3813" s="41" t="s">
        <v>1473</v>
      </c>
      <c r="E3813" s="41">
        <v>10650004</v>
      </c>
      <c r="F3813" s="85" t="s">
        <v>1530</v>
      </c>
      <c r="G3813" s="39" t="s">
        <v>93</v>
      </c>
      <c r="H3813" s="52" t="s">
        <v>94</v>
      </c>
      <c r="I3813" s="52">
        <v>387.69999999999993</v>
      </c>
      <c r="J3813" s="49">
        <v>15525.006088320002</v>
      </c>
      <c r="K3813" s="58">
        <v>395.69999999999993</v>
      </c>
      <c r="L3813" s="58">
        <v>15463.500726108503</v>
      </c>
      <c r="M3813" s="58">
        <v>0</v>
      </c>
      <c r="N3813" s="58">
        <v>0</v>
      </c>
      <c r="O3813" s="58">
        <v>395.69999999999993</v>
      </c>
      <c r="P3813" s="53">
        <v>15463.500726108503</v>
      </c>
      <c r="Q3813" s="65">
        <v>15463.500726108503</v>
      </c>
      <c r="R3813" s="65">
        <v>0</v>
      </c>
      <c r="S3813" s="65">
        <v>0</v>
      </c>
      <c r="T3813" s="65">
        <v>0</v>
      </c>
      <c r="U3813" s="58">
        <v>0</v>
      </c>
      <c r="V3813" s="65">
        <v>0</v>
      </c>
      <c r="W3813" s="65">
        <v>0</v>
      </c>
      <c r="X3813" s="65">
        <v>15464</v>
      </c>
      <c r="Y3813" s="65">
        <v>0</v>
      </c>
      <c r="Z3813" s="51">
        <v>0</v>
      </c>
      <c r="AA3813" s="51">
        <v>61</v>
      </c>
      <c r="AB3813" s="102">
        <v>0</v>
      </c>
      <c r="AC3813" s="81">
        <f t="shared" si="181"/>
        <v>250.11397479403342</v>
      </c>
      <c r="AD3813" s="82">
        <f t="shared" si="182"/>
        <v>55.385714285714279</v>
      </c>
      <c r="AE3813" s="218">
        <v>3.961696495421785E-3</v>
      </c>
      <c r="AF3813">
        <v>1</v>
      </c>
      <c r="AH3813" t="str">
        <f t="shared" si="180"/>
        <v>Bachhwara BMC</v>
      </c>
      <c r="AJ3813" s="72">
        <v>0</v>
      </c>
      <c r="AK3813" s="72"/>
      <c r="AL3813" s="72"/>
      <c r="AM3813" s="72"/>
    </row>
    <row r="3814" spans="1:39" x14ac:dyDescent="0.25">
      <c r="A3814" s="37" t="s">
        <v>62</v>
      </c>
      <c r="B3814" s="66" t="s">
        <v>1644</v>
      </c>
      <c r="C3814" s="4">
        <v>1065</v>
      </c>
      <c r="D3814" s="41" t="s">
        <v>1473</v>
      </c>
      <c r="E3814" s="41">
        <v>10650008</v>
      </c>
      <c r="F3814" s="85" t="s">
        <v>1555</v>
      </c>
      <c r="G3814" s="39" t="s">
        <v>635</v>
      </c>
      <c r="H3814" s="52" t="s">
        <v>99</v>
      </c>
      <c r="I3814" s="52">
        <v>78.5</v>
      </c>
      <c r="J3814" s="49">
        <v>3478.3426561806004</v>
      </c>
      <c r="K3814" s="58">
        <v>0</v>
      </c>
      <c r="L3814" s="58">
        <v>0</v>
      </c>
      <c r="M3814" s="58">
        <v>0</v>
      </c>
      <c r="N3814" s="58">
        <v>0</v>
      </c>
      <c r="O3814" s="58">
        <v>0</v>
      </c>
      <c r="P3814" s="53">
        <v>0</v>
      </c>
      <c r="Q3814" s="65">
        <v>3478.3426561806004</v>
      </c>
      <c r="R3814" s="65">
        <v>0</v>
      </c>
      <c r="S3814" s="65">
        <v>0</v>
      </c>
      <c r="T3814" s="65">
        <v>0</v>
      </c>
      <c r="U3814" s="58">
        <v>0</v>
      </c>
      <c r="V3814" s="65">
        <v>0</v>
      </c>
      <c r="W3814" s="65">
        <v>0</v>
      </c>
      <c r="X3814" s="65">
        <v>0</v>
      </c>
      <c r="Y3814" s="65">
        <v>0</v>
      </c>
      <c r="Z3814" s="51">
        <v>3478.3426561806004</v>
      </c>
      <c r="AA3814" s="51">
        <v>0</v>
      </c>
      <c r="AB3814" s="102">
        <v>0</v>
      </c>
      <c r="AC3814" s="81">
        <f t="shared" si="181"/>
        <v>550.77451230987083</v>
      </c>
      <c r="AD3814" s="82">
        <f t="shared" si="182"/>
        <v>11.214285714285714</v>
      </c>
      <c r="AE3814" s="218">
        <v>0</v>
      </c>
      <c r="AF3814">
        <v>0</v>
      </c>
      <c r="AH3814" t="str">
        <f t="shared" si="180"/>
        <v>Bachhwara BMC</v>
      </c>
      <c r="AJ3814" s="72">
        <v>0</v>
      </c>
      <c r="AK3814" s="72"/>
      <c r="AL3814" s="72"/>
      <c r="AM3814" s="72"/>
    </row>
    <row r="3815" spans="1:39" x14ac:dyDescent="0.25">
      <c r="A3815" s="37" t="s">
        <v>62</v>
      </c>
      <c r="B3815" s="66" t="s">
        <v>1644</v>
      </c>
      <c r="C3815" s="4">
        <v>1065</v>
      </c>
      <c r="D3815" s="41" t="s">
        <v>1473</v>
      </c>
      <c r="E3815" s="41">
        <v>10650011</v>
      </c>
      <c r="F3815" s="85" t="s">
        <v>1560</v>
      </c>
      <c r="G3815" s="39" t="s">
        <v>93</v>
      </c>
      <c r="H3815" s="52" t="s">
        <v>94</v>
      </c>
      <c r="I3815" s="52">
        <v>536.6</v>
      </c>
      <c r="J3815" s="49">
        <v>21477.173050200003</v>
      </c>
      <c r="K3815" s="58">
        <v>527.20000000000005</v>
      </c>
      <c r="L3815" s="58">
        <v>21712.562393905202</v>
      </c>
      <c r="M3815" s="58">
        <v>0</v>
      </c>
      <c r="N3815" s="58">
        <v>0</v>
      </c>
      <c r="O3815" s="58">
        <v>527.20000000000005</v>
      </c>
      <c r="P3815" s="53">
        <v>21712.562393905202</v>
      </c>
      <c r="Q3815" s="65">
        <v>21477.173050200003</v>
      </c>
      <c r="R3815" s="65">
        <v>0</v>
      </c>
      <c r="S3815" s="65">
        <v>0</v>
      </c>
      <c r="T3815" s="65">
        <v>235.38934370519928</v>
      </c>
      <c r="U3815" s="58">
        <v>0</v>
      </c>
      <c r="V3815" s="65">
        <v>0</v>
      </c>
      <c r="W3815" s="65">
        <v>0</v>
      </c>
      <c r="X3815" s="65">
        <v>21477</v>
      </c>
      <c r="Y3815" s="65">
        <v>0</v>
      </c>
      <c r="Z3815" s="51">
        <v>0</v>
      </c>
      <c r="AA3815" s="51">
        <v>0</v>
      </c>
      <c r="AB3815" s="102">
        <v>0</v>
      </c>
      <c r="AC3815" s="81">
        <f t="shared" si="181"/>
        <v>130.80022647792322</v>
      </c>
      <c r="AD3815" s="82">
        <f t="shared" si="182"/>
        <v>76.657142857142858</v>
      </c>
      <c r="AE3815" s="218">
        <v>-1.0959977980109782E-2</v>
      </c>
      <c r="AF3815">
        <v>8</v>
      </c>
      <c r="AH3815" t="str">
        <f t="shared" si="180"/>
        <v>Bachhwara BMC</v>
      </c>
      <c r="AJ3815" s="72">
        <v>0</v>
      </c>
      <c r="AK3815" s="72"/>
      <c r="AL3815" s="72"/>
      <c r="AM3815" s="72"/>
    </row>
    <row r="3816" spans="1:39" x14ac:dyDescent="0.25">
      <c r="A3816" s="37" t="s">
        <v>62</v>
      </c>
      <c r="B3816" s="66" t="s">
        <v>1644</v>
      </c>
      <c r="C3816" s="4">
        <v>1065</v>
      </c>
      <c r="D3816" s="41" t="s">
        <v>1473</v>
      </c>
      <c r="E3816" s="41">
        <v>10650014</v>
      </c>
      <c r="F3816" s="85" t="s">
        <v>1640</v>
      </c>
      <c r="G3816" s="39" t="s">
        <v>93</v>
      </c>
      <c r="H3816" s="52" t="s">
        <v>94</v>
      </c>
      <c r="I3816" s="52">
        <v>241.69999999999996</v>
      </c>
      <c r="J3816" s="49">
        <v>9013.9438874100015</v>
      </c>
      <c r="K3816" s="58">
        <v>239.80000000000004</v>
      </c>
      <c r="L3816" s="58">
        <v>8985.2917245809986</v>
      </c>
      <c r="M3816" s="58">
        <v>0</v>
      </c>
      <c r="N3816" s="58">
        <v>0</v>
      </c>
      <c r="O3816" s="58">
        <v>239.80000000000004</v>
      </c>
      <c r="P3816" s="53">
        <v>8985.2917245809986</v>
      </c>
      <c r="Q3816" s="65">
        <v>8985.2917245809986</v>
      </c>
      <c r="R3816" s="65">
        <v>0</v>
      </c>
      <c r="S3816" s="65">
        <v>0</v>
      </c>
      <c r="T3816" s="65">
        <v>0</v>
      </c>
      <c r="U3816" s="58">
        <v>0</v>
      </c>
      <c r="V3816" s="65">
        <v>0</v>
      </c>
      <c r="W3816" s="65">
        <v>0</v>
      </c>
      <c r="X3816" s="65">
        <v>8985</v>
      </c>
      <c r="Y3816" s="65">
        <v>0</v>
      </c>
      <c r="Z3816" s="51">
        <v>0</v>
      </c>
      <c r="AA3816" s="51">
        <v>29</v>
      </c>
      <c r="AB3816" s="102">
        <v>0</v>
      </c>
      <c r="AC3816" s="81">
        <f t="shared" si="181"/>
        <v>341.83620054613198</v>
      </c>
      <c r="AD3816" s="82">
        <f t="shared" si="182"/>
        <v>34.528571428571425</v>
      </c>
      <c r="AE3816" s="218">
        <v>3.1786489007350162E-3</v>
      </c>
      <c r="AF3816">
        <v>4</v>
      </c>
      <c r="AH3816" t="str">
        <f t="shared" si="180"/>
        <v>Bachhwara BMC</v>
      </c>
      <c r="AJ3816" s="72">
        <v>0</v>
      </c>
      <c r="AK3816" s="72"/>
      <c r="AL3816" s="72"/>
      <c r="AM3816" s="72"/>
    </row>
    <row r="3817" spans="1:39" x14ac:dyDescent="0.25">
      <c r="A3817" s="37" t="s">
        <v>62</v>
      </c>
      <c r="B3817" s="66" t="s">
        <v>1644</v>
      </c>
      <c r="C3817" s="4">
        <v>1065</v>
      </c>
      <c r="D3817" s="41" t="s">
        <v>1473</v>
      </c>
      <c r="E3817" s="41">
        <v>10650016</v>
      </c>
      <c r="F3817" s="85" t="s">
        <v>1641</v>
      </c>
      <c r="G3817" s="39" t="s">
        <v>93</v>
      </c>
      <c r="H3817" s="52" t="s">
        <v>94</v>
      </c>
      <c r="I3817" s="52">
        <v>188.00000000000003</v>
      </c>
      <c r="J3817" s="49">
        <v>7554.5386242000004</v>
      </c>
      <c r="K3817" s="58">
        <v>188.90000000000006</v>
      </c>
      <c r="L3817" s="58">
        <v>7408.6017169980005</v>
      </c>
      <c r="M3817" s="58">
        <v>0</v>
      </c>
      <c r="N3817" s="58">
        <v>0</v>
      </c>
      <c r="O3817" s="58">
        <v>188.90000000000006</v>
      </c>
      <c r="P3817" s="53">
        <v>7408.6017169980005</v>
      </c>
      <c r="Q3817" s="65">
        <v>7408.6017169980005</v>
      </c>
      <c r="R3817" s="65">
        <v>0</v>
      </c>
      <c r="S3817" s="65">
        <v>0</v>
      </c>
      <c r="T3817" s="65">
        <v>0</v>
      </c>
      <c r="U3817" s="58">
        <v>0</v>
      </c>
      <c r="V3817" s="65">
        <v>0</v>
      </c>
      <c r="W3817" s="65">
        <v>0</v>
      </c>
      <c r="X3817" s="65">
        <v>7409</v>
      </c>
      <c r="Y3817" s="65">
        <v>0</v>
      </c>
      <c r="Z3817" s="51">
        <v>0</v>
      </c>
      <c r="AA3817" s="51">
        <v>146</v>
      </c>
      <c r="AB3817" s="102">
        <v>0</v>
      </c>
      <c r="AC3817" s="81">
        <f t="shared" si="181"/>
        <v>411.48125272238292</v>
      </c>
      <c r="AD3817" s="82">
        <f t="shared" si="182"/>
        <v>26.857142857142861</v>
      </c>
      <c r="AE3817" s="218">
        <v>1.9317778948738137E-2</v>
      </c>
      <c r="AF3817">
        <v>1</v>
      </c>
      <c r="AH3817" t="str">
        <f t="shared" si="180"/>
        <v>Bachhwara BMC</v>
      </c>
      <c r="AJ3817" s="72">
        <v>0</v>
      </c>
      <c r="AK3817" s="72"/>
      <c r="AL3817" s="72"/>
      <c r="AM3817" s="72"/>
    </row>
    <row r="3818" spans="1:39" x14ac:dyDescent="0.25">
      <c r="A3818" s="37" t="s">
        <v>62</v>
      </c>
      <c r="B3818" s="66" t="s">
        <v>1644</v>
      </c>
      <c r="C3818" s="4">
        <v>1066</v>
      </c>
      <c r="D3818" s="41" t="s">
        <v>1590</v>
      </c>
      <c r="E3818" s="41">
        <v>10660001</v>
      </c>
      <c r="F3818" s="85" t="s">
        <v>1598</v>
      </c>
      <c r="G3818" s="39" t="s">
        <v>93</v>
      </c>
      <c r="H3818" s="52" t="s">
        <v>94</v>
      </c>
      <c r="I3818" s="52">
        <v>282.70000000000005</v>
      </c>
      <c r="J3818" s="49">
        <v>15668.361024424801</v>
      </c>
      <c r="K3818" s="58">
        <v>280.09999999999997</v>
      </c>
      <c r="L3818" s="58">
        <v>15897.146237080902</v>
      </c>
      <c r="M3818" s="58">
        <v>0</v>
      </c>
      <c r="N3818" s="58">
        <v>0</v>
      </c>
      <c r="O3818" s="58">
        <v>280.09999999999997</v>
      </c>
      <c r="P3818" s="53">
        <v>15897.146237080902</v>
      </c>
      <c r="Q3818" s="65">
        <v>15668.361024424801</v>
      </c>
      <c r="R3818" s="65">
        <v>0</v>
      </c>
      <c r="S3818" s="65">
        <v>0</v>
      </c>
      <c r="T3818" s="65">
        <v>228.78521265610107</v>
      </c>
      <c r="U3818" s="58">
        <v>0</v>
      </c>
      <c r="V3818" s="65">
        <v>0</v>
      </c>
      <c r="W3818" s="65">
        <v>0</v>
      </c>
      <c r="X3818" s="65">
        <v>15668</v>
      </c>
      <c r="Y3818" s="65">
        <v>0</v>
      </c>
      <c r="Z3818" s="51">
        <v>0</v>
      </c>
      <c r="AA3818" s="51">
        <v>0</v>
      </c>
      <c r="AB3818" s="102">
        <v>0</v>
      </c>
      <c r="AC3818" s="81">
        <f t="shared" si="181"/>
        <v>462.56859253572463</v>
      </c>
      <c r="AD3818" s="82">
        <f t="shared" si="182"/>
        <v>40.385714285714293</v>
      </c>
      <c r="AE3818" s="218">
        <v>-1.4601732261559244E-2</v>
      </c>
      <c r="AF3818">
        <v>2</v>
      </c>
      <c r="AH3818" t="str">
        <f t="shared" si="180"/>
        <v>Gaighat</v>
      </c>
      <c r="AJ3818" s="72">
        <v>0</v>
      </c>
      <c r="AK3818" s="72"/>
      <c r="AL3818" s="72"/>
      <c r="AM3818" s="72"/>
    </row>
    <row r="3819" spans="1:39" x14ac:dyDescent="0.25">
      <c r="A3819" s="37" t="s">
        <v>62</v>
      </c>
      <c r="B3819" s="66" t="s">
        <v>1644</v>
      </c>
      <c r="C3819" s="4">
        <v>1066</v>
      </c>
      <c r="D3819" s="41" t="s">
        <v>1590</v>
      </c>
      <c r="E3819" s="41">
        <v>10660002</v>
      </c>
      <c r="F3819" s="85" t="s">
        <v>1599</v>
      </c>
      <c r="G3819" s="39" t="s">
        <v>93</v>
      </c>
      <c r="H3819" s="52" t="s">
        <v>94</v>
      </c>
      <c r="I3819" s="52">
        <v>233.59999999999997</v>
      </c>
      <c r="J3819" s="49">
        <v>10115.632002697161</v>
      </c>
      <c r="K3819" s="58">
        <v>228.1</v>
      </c>
      <c r="L3819" s="58">
        <v>9872.4331015018815</v>
      </c>
      <c r="M3819" s="58">
        <v>6.0000000000000009</v>
      </c>
      <c r="N3819" s="58">
        <v>257.95921908000003</v>
      </c>
      <c r="O3819" s="58">
        <v>234.1</v>
      </c>
      <c r="P3819" s="53">
        <v>10130.392320581881</v>
      </c>
      <c r="Q3819" s="65">
        <v>10115.632002697161</v>
      </c>
      <c r="R3819" s="65">
        <v>0</v>
      </c>
      <c r="S3819" s="65">
        <v>257.95921908000003</v>
      </c>
      <c r="T3819" s="65">
        <v>14.76031788472028</v>
      </c>
      <c r="U3819" s="58">
        <v>0</v>
      </c>
      <c r="V3819" s="65">
        <v>0</v>
      </c>
      <c r="W3819" s="65">
        <v>0</v>
      </c>
      <c r="X3819" s="65">
        <v>9858</v>
      </c>
      <c r="Y3819" s="65">
        <v>0</v>
      </c>
      <c r="Z3819" s="51">
        <v>0</v>
      </c>
      <c r="AA3819" s="51">
        <v>0</v>
      </c>
      <c r="AB3819" s="102">
        <v>0</v>
      </c>
      <c r="AC3819" s="81">
        <f t="shared" si="181"/>
        <v>403.93242860085252</v>
      </c>
      <c r="AD3819" s="82">
        <f t="shared" si="182"/>
        <v>33.371428571428567</v>
      </c>
      <c r="AE3819" s="218">
        <v>-1.4591592379778835E-3</v>
      </c>
      <c r="AF3819">
        <v>9</v>
      </c>
      <c r="AH3819" t="str">
        <f t="shared" si="180"/>
        <v>Gaighat</v>
      </c>
      <c r="AJ3819" s="72">
        <v>0</v>
      </c>
      <c r="AK3819" s="72"/>
      <c r="AL3819" s="72"/>
      <c r="AM3819" s="72"/>
    </row>
    <row r="3820" spans="1:39" x14ac:dyDescent="0.25">
      <c r="A3820" s="37" t="s">
        <v>62</v>
      </c>
      <c r="B3820" s="66" t="s">
        <v>1644</v>
      </c>
      <c r="C3820" s="4">
        <v>1066</v>
      </c>
      <c r="D3820" s="41" t="s">
        <v>1590</v>
      </c>
      <c r="E3820" s="41">
        <v>10660004</v>
      </c>
      <c r="F3820" s="85" t="s">
        <v>1600</v>
      </c>
      <c r="G3820" s="39" t="s">
        <v>93</v>
      </c>
      <c r="H3820" s="52" t="s">
        <v>94</v>
      </c>
      <c r="I3820" s="52">
        <v>293.20000000000005</v>
      </c>
      <c r="J3820" s="49">
        <v>12783.567628318602</v>
      </c>
      <c r="K3820" s="58">
        <v>287</v>
      </c>
      <c r="L3820" s="58">
        <v>12438.117726890752</v>
      </c>
      <c r="M3820" s="58">
        <v>3.3</v>
      </c>
      <c r="N3820" s="58">
        <v>140.65902651900001</v>
      </c>
      <c r="O3820" s="58">
        <v>290.3</v>
      </c>
      <c r="P3820" s="53">
        <v>12578.776753409753</v>
      </c>
      <c r="Q3820" s="65">
        <v>12578.776753409753</v>
      </c>
      <c r="R3820" s="65">
        <v>0</v>
      </c>
      <c r="S3820" s="65">
        <v>140.65902651900001</v>
      </c>
      <c r="T3820" s="65">
        <v>0</v>
      </c>
      <c r="U3820" s="58">
        <v>0</v>
      </c>
      <c r="V3820" s="65">
        <v>0</v>
      </c>
      <c r="W3820" s="65">
        <v>0</v>
      </c>
      <c r="X3820" s="65">
        <v>12438</v>
      </c>
      <c r="Y3820" s="65">
        <v>0</v>
      </c>
      <c r="Z3820" s="51">
        <v>0</v>
      </c>
      <c r="AA3820" s="51">
        <v>205</v>
      </c>
      <c r="AB3820" s="102">
        <v>0</v>
      </c>
      <c r="AC3820" s="81">
        <f t="shared" si="181"/>
        <v>354.73092163710817</v>
      </c>
      <c r="AD3820" s="82">
        <f t="shared" si="182"/>
        <v>41.885714285714293</v>
      </c>
      <c r="AE3820" s="218">
        <v>1.6019853053789879E-2</v>
      </c>
      <c r="AF3820">
        <v>11</v>
      </c>
      <c r="AH3820" t="str">
        <f t="shared" si="180"/>
        <v>Gaighat</v>
      </c>
      <c r="AJ3820" s="72">
        <v>0</v>
      </c>
      <c r="AK3820" s="72"/>
      <c r="AL3820" s="72"/>
      <c r="AM3820" s="72"/>
    </row>
    <row r="3821" spans="1:39" x14ac:dyDescent="0.25">
      <c r="A3821" s="37" t="s">
        <v>62</v>
      </c>
      <c r="B3821" s="66" t="s">
        <v>1644</v>
      </c>
      <c r="C3821" s="4">
        <v>1066</v>
      </c>
      <c r="D3821" s="41" t="s">
        <v>1590</v>
      </c>
      <c r="E3821" s="41">
        <v>10660005</v>
      </c>
      <c r="F3821" s="85" t="s">
        <v>1601</v>
      </c>
      <c r="G3821" s="39" t="s">
        <v>93</v>
      </c>
      <c r="H3821" s="52" t="s">
        <v>94</v>
      </c>
      <c r="I3821" s="52">
        <v>223.3</v>
      </c>
      <c r="J3821" s="49">
        <v>10972.865200238999</v>
      </c>
      <c r="K3821" s="58">
        <v>217.09999999999997</v>
      </c>
      <c r="L3821" s="58">
        <v>10817.692764277765</v>
      </c>
      <c r="M3821" s="58">
        <v>0.7</v>
      </c>
      <c r="N3821" s="58">
        <v>38.203461137800005</v>
      </c>
      <c r="O3821" s="58">
        <v>217.79999999999995</v>
      </c>
      <c r="P3821" s="53">
        <v>10855.896225415565</v>
      </c>
      <c r="Q3821" s="65">
        <v>10855.896225415565</v>
      </c>
      <c r="R3821" s="65">
        <v>0</v>
      </c>
      <c r="S3821" s="65">
        <v>38.203461137800005</v>
      </c>
      <c r="T3821" s="65">
        <v>0</v>
      </c>
      <c r="U3821" s="58">
        <v>0</v>
      </c>
      <c r="V3821" s="65">
        <v>0</v>
      </c>
      <c r="W3821" s="65">
        <v>0</v>
      </c>
      <c r="X3821" s="65">
        <v>10817</v>
      </c>
      <c r="Y3821" s="65">
        <v>0</v>
      </c>
      <c r="Z3821" s="51">
        <v>0</v>
      </c>
      <c r="AA3821" s="51">
        <v>118</v>
      </c>
      <c r="AB3821" s="102">
        <v>0</v>
      </c>
      <c r="AC3821" s="81">
        <f t="shared" si="181"/>
        <v>468.49662704468699</v>
      </c>
      <c r="AD3821" s="82">
        <f t="shared" si="182"/>
        <v>31.900000000000002</v>
      </c>
      <c r="AE3821" s="218">
        <v>1.0659838856025172E-2</v>
      </c>
      <c r="AF3821">
        <v>7</v>
      </c>
      <c r="AH3821" t="str">
        <f t="shared" si="180"/>
        <v>Gaighat</v>
      </c>
      <c r="AJ3821" s="72">
        <v>0</v>
      </c>
      <c r="AK3821" s="72"/>
      <c r="AL3821" s="72"/>
      <c r="AM3821" s="72"/>
    </row>
    <row r="3822" spans="1:39" x14ac:dyDescent="0.25">
      <c r="A3822" s="37" t="s">
        <v>62</v>
      </c>
      <c r="B3822" s="66" t="s">
        <v>1644</v>
      </c>
      <c r="C3822" s="4">
        <v>1066</v>
      </c>
      <c r="D3822" s="41" t="s">
        <v>1590</v>
      </c>
      <c r="E3822" s="41">
        <v>10660006</v>
      </c>
      <c r="F3822" s="85" t="s">
        <v>1602</v>
      </c>
      <c r="G3822" s="39" t="s">
        <v>93</v>
      </c>
      <c r="H3822" s="52" t="s">
        <v>94</v>
      </c>
      <c r="I3822" s="52">
        <v>234.4</v>
      </c>
      <c r="J3822" s="49">
        <v>9750.4802458938011</v>
      </c>
      <c r="K3822" s="58">
        <v>229.20000000000002</v>
      </c>
      <c r="L3822" s="58">
        <v>9366.7992525281024</v>
      </c>
      <c r="M3822" s="58">
        <v>4.0999999999999996</v>
      </c>
      <c r="N3822" s="58">
        <v>164.39616120000005</v>
      </c>
      <c r="O3822" s="58">
        <v>233.3</v>
      </c>
      <c r="P3822" s="53">
        <v>9531.1954137281027</v>
      </c>
      <c r="Q3822" s="65">
        <v>9531.1954137281027</v>
      </c>
      <c r="R3822" s="65">
        <v>0</v>
      </c>
      <c r="S3822" s="65">
        <v>164.39616120000005</v>
      </c>
      <c r="T3822" s="65">
        <v>0</v>
      </c>
      <c r="U3822" s="58">
        <v>0</v>
      </c>
      <c r="V3822" s="65">
        <v>0</v>
      </c>
      <c r="W3822" s="65">
        <v>0</v>
      </c>
      <c r="X3822" s="65">
        <v>9366</v>
      </c>
      <c r="Y3822" s="65">
        <v>0</v>
      </c>
      <c r="Z3822" s="51">
        <v>0</v>
      </c>
      <c r="AA3822" s="51">
        <v>220</v>
      </c>
      <c r="AB3822" s="102">
        <v>0</v>
      </c>
      <c r="AC3822" s="81">
        <f t="shared" si="181"/>
        <v>387.3569626696376</v>
      </c>
      <c r="AD3822" s="82">
        <f t="shared" si="182"/>
        <v>33.485714285714288</v>
      </c>
      <c r="AE3822" s="218">
        <v>2.2489644267321637E-2</v>
      </c>
      <c r="AF3822">
        <v>9</v>
      </c>
      <c r="AH3822" t="str">
        <f t="shared" si="180"/>
        <v>Gaighat</v>
      </c>
      <c r="AJ3822" s="72">
        <v>0</v>
      </c>
      <c r="AK3822" s="72"/>
      <c r="AL3822" s="72"/>
      <c r="AM3822" s="72"/>
    </row>
    <row r="3823" spans="1:39" x14ac:dyDescent="0.25">
      <c r="A3823" s="37" t="s">
        <v>62</v>
      </c>
      <c r="B3823" s="66" t="s">
        <v>1644</v>
      </c>
      <c r="C3823" s="4">
        <v>1066</v>
      </c>
      <c r="D3823" s="41" t="s">
        <v>1590</v>
      </c>
      <c r="E3823" s="41">
        <v>10660007</v>
      </c>
      <c r="F3823" s="85" t="s">
        <v>1603</v>
      </c>
      <c r="G3823" s="39" t="s">
        <v>635</v>
      </c>
      <c r="H3823" s="52" t="s">
        <v>99</v>
      </c>
      <c r="I3823" s="52">
        <v>236.70000000000002</v>
      </c>
      <c r="J3823" s="49">
        <v>8970.227928864002</v>
      </c>
      <c r="K3823" s="58">
        <v>0</v>
      </c>
      <c r="L3823" s="58">
        <v>0</v>
      </c>
      <c r="M3823" s="58">
        <v>0</v>
      </c>
      <c r="N3823" s="58">
        <v>0</v>
      </c>
      <c r="O3823" s="58">
        <v>0</v>
      </c>
      <c r="P3823" s="53">
        <v>0</v>
      </c>
      <c r="Q3823" s="65">
        <v>8970.227928864002</v>
      </c>
      <c r="R3823" s="65">
        <v>0</v>
      </c>
      <c r="S3823" s="65">
        <v>0</v>
      </c>
      <c r="T3823" s="65">
        <v>0</v>
      </c>
      <c r="U3823" s="58">
        <v>0</v>
      </c>
      <c r="V3823" s="65">
        <v>0</v>
      </c>
      <c r="W3823" s="65">
        <v>0</v>
      </c>
      <c r="X3823" s="65">
        <v>0</v>
      </c>
      <c r="Y3823" s="65">
        <v>0</v>
      </c>
      <c r="Z3823" s="51">
        <v>8970.227928864002</v>
      </c>
      <c r="AA3823" s="51">
        <v>0</v>
      </c>
      <c r="AB3823" s="102">
        <v>0</v>
      </c>
      <c r="AC3823" s="81">
        <f t="shared" si="181"/>
        <v>351.15391630272001</v>
      </c>
      <c r="AD3823" s="82">
        <f t="shared" si="182"/>
        <v>33.814285714285717</v>
      </c>
      <c r="AE3823" s="218">
        <v>0</v>
      </c>
      <c r="AF3823">
        <v>0</v>
      </c>
      <c r="AH3823" t="str">
        <f t="shared" si="180"/>
        <v>Gaighat</v>
      </c>
      <c r="AJ3823" s="72">
        <v>0</v>
      </c>
      <c r="AK3823" s="72"/>
      <c r="AL3823" s="72"/>
      <c r="AM3823" s="72"/>
    </row>
    <row r="3824" spans="1:39" x14ac:dyDescent="0.25">
      <c r="A3824" s="37" t="s">
        <v>62</v>
      </c>
      <c r="B3824" s="66" t="s">
        <v>1644</v>
      </c>
      <c r="C3824" s="4">
        <v>1066</v>
      </c>
      <c r="D3824" s="41" t="s">
        <v>1590</v>
      </c>
      <c r="E3824" s="41">
        <v>10660009</v>
      </c>
      <c r="F3824" s="85" t="s">
        <v>1604</v>
      </c>
      <c r="G3824" s="39" t="s">
        <v>635</v>
      </c>
      <c r="H3824" s="52" t="s">
        <v>99</v>
      </c>
      <c r="I3824" s="52">
        <v>68.099999999999994</v>
      </c>
      <c r="J3824" s="49">
        <v>2553.092925768</v>
      </c>
      <c r="K3824" s="58">
        <v>0</v>
      </c>
      <c r="L3824" s="58">
        <v>0</v>
      </c>
      <c r="M3824" s="58">
        <v>0</v>
      </c>
      <c r="N3824" s="58">
        <v>0</v>
      </c>
      <c r="O3824" s="58">
        <v>0</v>
      </c>
      <c r="P3824" s="53">
        <v>0</v>
      </c>
      <c r="Q3824" s="65">
        <v>2553.092925768</v>
      </c>
      <c r="R3824" s="65">
        <v>0</v>
      </c>
      <c r="S3824" s="65">
        <v>0</v>
      </c>
      <c r="T3824" s="65">
        <v>0</v>
      </c>
      <c r="U3824" s="58">
        <v>0</v>
      </c>
      <c r="V3824" s="65">
        <v>0</v>
      </c>
      <c r="W3824" s="65">
        <v>0</v>
      </c>
      <c r="X3824" s="65">
        <v>0</v>
      </c>
      <c r="Y3824" s="65">
        <v>0</v>
      </c>
      <c r="Z3824" s="51">
        <v>2553.092925768</v>
      </c>
      <c r="AA3824" s="51">
        <v>0</v>
      </c>
      <c r="AB3824" s="102">
        <v>0</v>
      </c>
      <c r="AC3824" s="81">
        <f t="shared" si="181"/>
        <v>473.80306014472814</v>
      </c>
      <c r="AD3824" s="82">
        <f t="shared" si="182"/>
        <v>9.7285714285714278</v>
      </c>
      <c r="AE3824" s="218">
        <v>0</v>
      </c>
      <c r="AF3824">
        <v>0</v>
      </c>
      <c r="AH3824" t="str">
        <f t="shared" si="180"/>
        <v>Gaighat</v>
      </c>
      <c r="AJ3824" s="72">
        <v>0</v>
      </c>
      <c r="AK3824" s="72"/>
      <c r="AL3824" s="72"/>
      <c r="AM3824" s="72"/>
    </row>
    <row r="3825" spans="1:39" x14ac:dyDescent="0.25">
      <c r="A3825" s="37" t="s">
        <v>62</v>
      </c>
      <c r="B3825" s="66" t="s">
        <v>1644</v>
      </c>
      <c r="C3825" s="4">
        <v>1066</v>
      </c>
      <c r="D3825" s="41" t="s">
        <v>1590</v>
      </c>
      <c r="E3825" s="41">
        <v>10660010</v>
      </c>
      <c r="F3825" s="85" t="s">
        <v>1605</v>
      </c>
      <c r="G3825" s="39" t="s">
        <v>635</v>
      </c>
      <c r="H3825" s="52" t="s">
        <v>99</v>
      </c>
      <c r="I3825" s="52">
        <v>3096.1000000000004</v>
      </c>
      <c r="J3825" s="49">
        <v>132472.336938591</v>
      </c>
      <c r="K3825" s="58">
        <v>0</v>
      </c>
      <c r="L3825" s="58">
        <v>0</v>
      </c>
      <c r="M3825" s="58">
        <v>0</v>
      </c>
      <c r="N3825" s="58">
        <v>0</v>
      </c>
      <c r="O3825" s="58">
        <v>0</v>
      </c>
      <c r="P3825" s="53">
        <v>0</v>
      </c>
      <c r="Q3825" s="65">
        <v>132472.336938591</v>
      </c>
      <c r="R3825" s="65">
        <v>0</v>
      </c>
      <c r="S3825" s="65">
        <v>0</v>
      </c>
      <c r="T3825" s="65">
        <v>0</v>
      </c>
      <c r="U3825" s="58">
        <v>0</v>
      </c>
      <c r="V3825" s="65">
        <v>0</v>
      </c>
      <c r="W3825" s="65">
        <v>0</v>
      </c>
      <c r="X3825" s="65">
        <v>0</v>
      </c>
      <c r="Y3825" s="65">
        <v>0</v>
      </c>
      <c r="Z3825" s="51">
        <v>132472.336938591</v>
      </c>
      <c r="AA3825" s="51">
        <v>0</v>
      </c>
      <c r="AB3825" s="102">
        <v>0</v>
      </c>
      <c r="AC3825" s="81">
        <f t="shared" si="181"/>
        <v>0</v>
      </c>
      <c r="AD3825" s="82">
        <f t="shared" si="182"/>
        <v>0</v>
      </c>
      <c r="AE3825" s="218">
        <v>0</v>
      </c>
      <c r="AF3825">
        <v>0</v>
      </c>
      <c r="AH3825" t="str">
        <f t="shared" si="180"/>
        <v>Gaighat</v>
      </c>
      <c r="AJ3825" s="72">
        <v>0</v>
      </c>
      <c r="AK3825" s="72"/>
      <c r="AL3825" s="72"/>
      <c r="AM3825" s="72"/>
    </row>
    <row r="3826" spans="1:39" x14ac:dyDescent="0.25">
      <c r="A3826" s="37" t="s">
        <v>62</v>
      </c>
      <c r="B3826" s="66" t="s">
        <v>1644</v>
      </c>
      <c r="C3826" s="4">
        <v>1066</v>
      </c>
      <c r="D3826" s="41" t="s">
        <v>1590</v>
      </c>
      <c r="E3826" s="41">
        <v>10660011</v>
      </c>
      <c r="F3826" s="85" t="s">
        <v>1606</v>
      </c>
      <c r="G3826" s="39" t="s">
        <v>635</v>
      </c>
      <c r="H3826" s="52" t="s">
        <v>99</v>
      </c>
      <c r="I3826" s="52">
        <v>1216.4000000000003</v>
      </c>
      <c r="J3826" s="49">
        <v>47991.930583875612</v>
      </c>
      <c r="K3826" s="58">
        <v>0</v>
      </c>
      <c r="L3826" s="58">
        <v>0</v>
      </c>
      <c r="M3826" s="58">
        <v>0</v>
      </c>
      <c r="N3826" s="58">
        <v>0</v>
      </c>
      <c r="O3826" s="58">
        <v>0</v>
      </c>
      <c r="P3826" s="53">
        <v>0</v>
      </c>
      <c r="Q3826" s="65">
        <v>47991.930583875612</v>
      </c>
      <c r="R3826" s="65">
        <v>0</v>
      </c>
      <c r="S3826" s="65">
        <v>0</v>
      </c>
      <c r="T3826" s="65">
        <v>0</v>
      </c>
      <c r="U3826" s="58">
        <v>0</v>
      </c>
      <c r="V3826" s="65">
        <v>0</v>
      </c>
      <c r="W3826" s="65">
        <v>0</v>
      </c>
      <c r="X3826" s="65">
        <v>0</v>
      </c>
      <c r="Y3826" s="65">
        <v>0</v>
      </c>
      <c r="Z3826" s="51">
        <v>47991.930583875612</v>
      </c>
      <c r="AA3826" s="51">
        <v>0</v>
      </c>
      <c r="AB3826" s="102">
        <v>0</v>
      </c>
      <c r="AC3826" s="81">
        <f t="shared" si="181"/>
        <v>0</v>
      </c>
      <c r="AD3826" s="82">
        <f t="shared" si="182"/>
        <v>0</v>
      </c>
      <c r="AE3826" s="218">
        <v>0</v>
      </c>
      <c r="AF3826">
        <v>0</v>
      </c>
      <c r="AH3826" t="str">
        <f t="shared" si="180"/>
        <v>Gaighat</v>
      </c>
      <c r="AJ3826" s="72">
        <v>0</v>
      </c>
      <c r="AK3826" s="72"/>
      <c r="AL3826" s="72"/>
      <c r="AM3826" s="72"/>
    </row>
    <row r="3827" spans="1:39" x14ac:dyDescent="0.25">
      <c r="A3827" s="37" t="s">
        <v>62</v>
      </c>
      <c r="B3827" s="66" t="s">
        <v>1644</v>
      </c>
      <c r="C3827" s="4">
        <v>1066</v>
      </c>
      <c r="D3827" s="41" t="s">
        <v>1590</v>
      </c>
      <c r="E3827" s="41">
        <v>10660012</v>
      </c>
      <c r="F3827" s="85" t="s">
        <v>1628</v>
      </c>
      <c r="G3827" s="39" t="s">
        <v>635</v>
      </c>
      <c r="H3827" s="52" t="s">
        <v>99</v>
      </c>
      <c r="I3827" s="52">
        <v>100.6</v>
      </c>
      <c r="J3827" s="49">
        <v>3962.8051732619997</v>
      </c>
      <c r="K3827" s="58">
        <v>0</v>
      </c>
      <c r="L3827" s="58">
        <v>0</v>
      </c>
      <c r="M3827" s="58">
        <v>0</v>
      </c>
      <c r="N3827" s="58">
        <v>0</v>
      </c>
      <c r="O3827" s="58">
        <v>0</v>
      </c>
      <c r="P3827" s="53">
        <v>0</v>
      </c>
      <c r="Q3827" s="65">
        <v>3962.8051732619997</v>
      </c>
      <c r="R3827" s="65">
        <v>0</v>
      </c>
      <c r="S3827" s="65">
        <v>0</v>
      </c>
      <c r="T3827" s="65">
        <v>0</v>
      </c>
      <c r="U3827" s="58">
        <v>0</v>
      </c>
      <c r="V3827" s="65">
        <v>0</v>
      </c>
      <c r="W3827" s="65">
        <v>0</v>
      </c>
      <c r="X3827" s="65">
        <v>0</v>
      </c>
      <c r="Y3827" s="65">
        <v>0</v>
      </c>
      <c r="Z3827" s="51">
        <v>3962.8051732619997</v>
      </c>
      <c r="AA3827" s="51">
        <v>0</v>
      </c>
      <c r="AB3827" s="102">
        <v>0</v>
      </c>
      <c r="AC3827" s="81">
        <f t="shared" si="181"/>
        <v>472.22771786346783</v>
      </c>
      <c r="AD3827" s="82">
        <f t="shared" si="182"/>
        <v>14.37142857142857</v>
      </c>
      <c r="AE3827" s="218">
        <v>0</v>
      </c>
      <c r="AF3827">
        <v>0</v>
      </c>
      <c r="AH3827" t="str">
        <f t="shared" si="180"/>
        <v>Gaighat</v>
      </c>
      <c r="AJ3827" s="72">
        <v>0</v>
      </c>
      <c r="AK3827" s="72"/>
      <c r="AL3827" s="72"/>
      <c r="AM3827" s="72"/>
    </row>
    <row r="3828" spans="1:39" x14ac:dyDescent="0.25">
      <c r="A3828" s="37" t="s">
        <v>62</v>
      </c>
      <c r="B3828" s="66" t="s">
        <v>1644</v>
      </c>
      <c r="C3828" s="4">
        <v>1066</v>
      </c>
      <c r="D3828" s="41" t="s">
        <v>1590</v>
      </c>
      <c r="E3828" s="41">
        <v>10660013</v>
      </c>
      <c r="F3828" s="85" t="s">
        <v>1607</v>
      </c>
      <c r="G3828" s="39" t="s">
        <v>93</v>
      </c>
      <c r="H3828" s="52" t="s">
        <v>94</v>
      </c>
      <c r="I3828" s="52">
        <v>317.40000000000003</v>
      </c>
      <c r="J3828" s="49">
        <v>12828.958003170002</v>
      </c>
      <c r="K3828" s="58">
        <v>315.5</v>
      </c>
      <c r="L3828" s="58">
        <v>12444.925805619601</v>
      </c>
      <c r="M3828" s="58">
        <v>0</v>
      </c>
      <c r="N3828" s="58">
        <v>0</v>
      </c>
      <c r="O3828" s="58">
        <v>315.5</v>
      </c>
      <c r="P3828" s="53">
        <v>12444.925805619601</v>
      </c>
      <c r="Q3828" s="65">
        <v>12444.925805619601</v>
      </c>
      <c r="R3828" s="65">
        <v>0</v>
      </c>
      <c r="S3828" s="65">
        <v>0</v>
      </c>
      <c r="T3828" s="65">
        <v>0</v>
      </c>
      <c r="U3828" s="58">
        <v>0</v>
      </c>
      <c r="V3828" s="65">
        <v>0</v>
      </c>
      <c r="W3828" s="65">
        <v>0</v>
      </c>
      <c r="X3828" s="65">
        <v>12444</v>
      </c>
      <c r="Y3828" s="65">
        <v>0</v>
      </c>
      <c r="Z3828" s="51">
        <v>0</v>
      </c>
      <c r="AA3828" s="51">
        <v>385</v>
      </c>
      <c r="AB3828" s="102">
        <v>0</v>
      </c>
      <c r="AC3828" s="81">
        <f t="shared" si="181"/>
        <v>309.28540214321629</v>
      </c>
      <c r="AD3828" s="82">
        <f t="shared" si="182"/>
        <v>45.342857142857149</v>
      </c>
      <c r="AE3828" s="218">
        <v>2.9934792635185788E-2</v>
      </c>
      <c r="AF3828">
        <v>4</v>
      </c>
      <c r="AH3828" t="str">
        <f t="shared" si="180"/>
        <v>Gaighat</v>
      </c>
      <c r="AJ3828" s="72">
        <v>0</v>
      </c>
      <c r="AK3828" s="72"/>
      <c r="AL3828" s="72"/>
      <c r="AM3828" s="72"/>
    </row>
    <row r="3829" spans="1:39" x14ac:dyDescent="0.25">
      <c r="A3829" s="37" t="s">
        <v>62</v>
      </c>
      <c r="B3829" s="66" t="s">
        <v>1644</v>
      </c>
      <c r="C3829" s="4">
        <v>1066</v>
      </c>
      <c r="D3829" s="41" t="s">
        <v>1590</v>
      </c>
      <c r="E3829" s="41">
        <v>10660015</v>
      </c>
      <c r="F3829" s="85" t="s">
        <v>1608</v>
      </c>
      <c r="G3829" s="39" t="s">
        <v>635</v>
      </c>
      <c r="H3829" s="52" t="s">
        <v>99</v>
      </c>
      <c r="I3829" s="52">
        <v>936.5</v>
      </c>
      <c r="J3829" s="49">
        <v>35786.084456115008</v>
      </c>
      <c r="K3829" s="58">
        <v>0</v>
      </c>
      <c r="L3829" s="58">
        <v>0</v>
      </c>
      <c r="M3829" s="58">
        <v>0</v>
      </c>
      <c r="N3829" s="58">
        <v>0</v>
      </c>
      <c r="O3829" s="58">
        <v>0</v>
      </c>
      <c r="P3829" s="53">
        <v>0</v>
      </c>
      <c r="Q3829" s="65">
        <v>35786.084456115008</v>
      </c>
      <c r="R3829" s="65">
        <v>0</v>
      </c>
      <c r="S3829" s="65">
        <v>0</v>
      </c>
      <c r="T3829" s="65">
        <v>0</v>
      </c>
      <c r="U3829" s="58">
        <v>0</v>
      </c>
      <c r="V3829" s="65">
        <v>0</v>
      </c>
      <c r="W3829" s="65">
        <v>0</v>
      </c>
      <c r="X3829" s="65">
        <v>0</v>
      </c>
      <c r="Y3829" s="65">
        <v>0</v>
      </c>
      <c r="Z3829" s="51">
        <v>35786.084456115008</v>
      </c>
      <c r="AA3829" s="51">
        <v>0</v>
      </c>
      <c r="AB3829" s="102">
        <v>0</v>
      </c>
      <c r="AC3829" s="81">
        <f t="shared" si="181"/>
        <v>0</v>
      </c>
      <c r="AD3829" s="82">
        <f t="shared" si="182"/>
        <v>0</v>
      </c>
      <c r="AE3829" s="218">
        <v>0</v>
      </c>
      <c r="AF3829">
        <v>0</v>
      </c>
      <c r="AH3829" t="str">
        <f t="shared" si="180"/>
        <v>Gaighat</v>
      </c>
      <c r="AJ3829" s="72">
        <v>0</v>
      </c>
      <c r="AK3829" s="72"/>
      <c r="AL3829" s="72"/>
      <c r="AM3829" s="72"/>
    </row>
    <row r="3830" spans="1:39" x14ac:dyDescent="0.25">
      <c r="A3830" s="37" t="s">
        <v>62</v>
      </c>
      <c r="B3830" s="66" t="s">
        <v>1644</v>
      </c>
      <c r="C3830" s="4">
        <v>1066</v>
      </c>
      <c r="D3830" s="41" t="s">
        <v>1590</v>
      </c>
      <c r="E3830" s="41">
        <v>10660016</v>
      </c>
      <c r="F3830" s="85" t="s">
        <v>1609</v>
      </c>
      <c r="G3830" s="39" t="s">
        <v>635</v>
      </c>
      <c r="H3830" s="52" t="s">
        <v>99</v>
      </c>
      <c r="I3830" s="52">
        <v>795.30000000000018</v>
      </c>
      <c r="J3830" s="49">
        <v>29197.378119352503</v>
      </c>
      <c r="K3830" s="58">
        <v>0</v>
      </c>
      <c r="L3830" s="58">
        <v>0</v>
      </c>
      <c r="M3830" s="58">
        <v>0</v>
      </c>
      <c r="N3830" s="58">
        <v>0</v>
      </c>
      <c r="O3830" s="58">
        <v>0</v>
      </c>
      <c r="P3830" s="53">
        <v>0</v>
      </c>
      <c r="Q3830" s="65">
        <v>29197.378119352503</v>
      </c>
      <c r="R3830" s="65">
        <v>0</v>
      </c>
      <c r="S3830" s="65">
        <v>0</v>
      </c>
      <c r="T3830" s="65">
        <v>0</v>
      </c>
      <c r="U3830" s="58">
        <v>0</v>
      </c>
      <c r="V3830" s="65">
        <v>0</v>
      </c>
      <c r="W3830" s="65">
        <v>0</v>
      </c>
      <c r="X3830" s="65">
        <v>0</v>
      </c>
      <c r="Y3830" s="65">
        <v>0</v>
      </c>
      <c r="Z3830" s="51">
        <v>29197.378119352503</v>
      </c>
      <c r="AA3830" s="51">
        <v>0</v>
      </c>
      <c r="AB3830" s="102">
        <v>0</v>
      </c>
      <c r="AC3830" s="81">
        <f t="shared" si="181"/>
        <v>0</v>
      </c>
      <c r="AD3830" s="82">
        <f t="shared" si="182"/>
        <v>0</v>
      </c>
      <c r="AE3830" s="218">
        <v>0</v>
      </c>
      <c r="AF3830">
        <v>0</v>
      </c>
      <c r="AH3830" t="str">
        <f t="shared" si="180"/>
        <v>Gaighat</v>
      </c>
      <c r="AJ3830" s="72">
        <v>0</v>
      </c>
      <c r="AK3830" s="72"/>
      <c r="AL3830" s="72"/>
      <c r="AM3830" s="72"/>
    </row>
    <row r="3831" spans="1:39" x14ac:dyDescent="0.25">
      <c r="A3831" s="37" t="s">
        <v>62</v>
      </c>
      <c r="B3831" s="66" t="s">
        <v>1644</v>
      </c>
      <c r="C3831" s="4">
        <v>1066</v>
      </c>
      <c r="D3831" s="41" t="s">
        <v>1590</v>
      </c>
      <c r="E3831" s="41">
        <v>10660017</v>
      </c>
      <c r="F3831" s="85" t="s">
        <v>1591</v>
      </c>
      <c r="G3831" s="39" t="s">
        <v>93</v>
      </c>
      <c r="H3831" s="52" t="s">
        <v>94</v>
      </c>
      <c r="I3831" s="52">
        <v>135.9</v>
      </c>
      <c r="J3831" s="49">
        <v>6420.7811437159999</v>
      </c>
      <c r="K3831" s="58">
        <v>133.29999999999998</v>
      </c>
      <c r="L3831" s="58">
        <v>6414.2305895736899</v>
      </c>
      <c r="M3831" s="58">
        <v>2.1</v>
      </c>
      <c r="N3831" s="58">
        <v>103.01249385195001</v>
      </c>
      <c r="O3831" s="58">
        <v>135.39999999999998</v>
      </c>
      <c r="P3831" s="53">
        <v>6517.2430834256402</v>
      </c>
      <c r="Q3831" s="65">
        <v>6420.7811437159999</v>
      </c>
      <c r="R3831" s="65">
        <v>0</v>
      </c>
      <c r="S3831" s="65">
        <v>103.01249385195001</v>
      </c>
      <c r="T3831" s="65">
        <v>96.461939709640319</v>
      </c>
      <c r="U3831" s="58">
        <v>0</v>
      </c>
      <c r="V3831" s="65">
        <v>0</v>
      </c>
      <c r="W3831" s="65">
        <v>0</v>
      </c>
      <c r="X3831" s="65">
        <v>6318</v>
      </c>
      <c r="Y3831" s="65">
        <v>0</v>
      </c>
      <c r="Z3831" s="51">
        <v>0</v>
      </c>
      <c r="AA3831" s="51">
        <v>0</v>
      </c>
      <c r="AB3831" s="102">
        <v>0</v>
      </c>
      <c r="AC3831" s="81">
        <f t="shared" si="181"/>
        <v>533.03350157030104</v>
      </c>
      <c r="AD3831" s="82">
        <f t="shared" si="182"/>
        <v>19.414285714285715</v>
      </c>
      <c r="AE3831" s="218">
        <v>-1.5023396304988116E-2</v>
      </c>
      <c r="AF3831">
        <v>4</v>
      </c>
      <c r="AH3831" t="str">
        <f t="shared" si="180"/>
        <v>Gaighat</v>
      </c>
      <c r="AJ3831" s="72">
        <v>0</v>
      </c>
      <c r="AK3831" s="72"/>
      <c r="AL3831" s="72"/>
      <c r="AM3831" s="72"/>
    </row>
    <row r="3832" spans="1:39" x14ac:dyDescent="0.25">
      <c r="A3832" s="37" t="s">
        <v>62</v>
      </c>
      <c r="B3832" s="66" t="s">
        <v>1644</v>
      </c>
      <c r="C3832" s="4">
        <v>1066</v>
      </c>
      <c r="D3832" s="41" t="s">
        <v>1590</v>
      </c>
      <c r="E3832" s="41">
        <v>10660018</v>
      </c>
      <c r="F3832" s="85" t="s">
        <v>1642</v>
      </c>
      <c r="G3832" s="39" t="s">
        <v>635</v>
      </c>
      <c r="H3832" s="52" t="s">
        <v>99</v>
      </c>
      <c r="I3832" s="52">
        <v>26.7</v>
      </c>
      <c r="J3832" s="49">
        <v>1747.290781143</v>
      </c>
      <c r="K3832" s="58">
        <v>0</v>
      </c>
      <c r="L3832" s="58">
        <v>0</v>
      </c>
      <c r="M3832" s="58">
        <v>0</v>
      </c>
      <c r="N3832" s="58">
        <v>0</v>
      </c>
      <c r="O3832" s="58">
        <v>0</v>
      </c>
      <c r="P3832" s="53">
        <v>0</v>
      </c>
      <c r="Q3832" s="65">
        <v>1747.290781143</v>
      </c>
      <c r="R3832" s="65">
        <v>0</v>
      </c>
      <c r="S3832" s="65">
        <v>0</v>
      </c>
      <c r="T3832" s="65">
        <v>0</v>
      </c>
      <c r="U3832" s="58">
        <v>0</v>
      </c>
      <c r="V3832" s="65">
        <v>0</v>
      </c>
      <c r="W3832" s="65">
        <v>0</v>
      </c>
      <c r="X3832" s="65">
        <v>0</v>
      </c>
      <c r="Y3832" s="65">
        <v>0</v>
      </c>
      <c r="Z3832" s="51">
        <v>1747.290781143</v>
      </c>
      <c r="AA3832" s="51">
        <v>0</v>
      </c>
      <c r="AB3832" s="102">
        <v>0</v>
      </c>
      <c r="AC3832" s="81">
        <f t="shared" si="181"/>
        <v>881.23661643714001</v>
      </c>
      <c r="AD3832" s="82">
        <f t="shared" si="182"/>
        <v>3.8142857142857141</v>
      </c>
      <c r="AE3832" s="218">
        <v>0</v>
      </c>
      <c r="AF3832">
        <v>0</v>
      </c>
      <c r="AH3832" t="str">
        <f t="shared" si="180"/>
        <v>Gaighat</v>
      </c>
      <c r="AJ3832" s="72">
        <v>0</v>
      </c>
      <c r="AK3832" s="72"/>
      <c r="AL3832" s="72"/>
      <c r="AM3832" s="72"/>
    </row>
    <row r="3833" spans="1:39" x14ac:dyDescent="0.25">
      <c r="A3833" s="37" t="s">
        <v>62</v>
      </c>
      <c r="B3833" s="66" t="s">
        <v>1644</v>
      </c>
      <c r="C3833" s="4">
        <v>1066</v>
      </c>
      <c r="D3833" s="41" t="s">
        <v>1590</v>
      </c>
      <c r="E3833" s="41">
        <v>10660019</v>
      </c>
      <c r="F3833" s="85" t="s">
        <v>1610</v>
      </c>
      <c r="G3833" s="39" t="s">
        <v>635</v>
      </c>
      <c r="H3833" s="52" t="s">
        <v>99</v>
      </c>
      <c r="I3833" s="52">
        <v>153</v>
      </c>
      <c r="J3833" s="49">
        <v>5621.51646936</v>
      </c>
      <c r="K3833" s="58">
        <v>0</v>
      </c>
      <c r="L3833" s="58">
        <v>0</v>
      </c>
      <c r="M3833" s="58">
        <v>0</v>
      </c>
      <c r="N3833" s="58">
        <v>0</v>
      </c>
      <c r="O3833" s="58">
        <v>0</v>
      </c>
      <c r="P3833" s="53">
        <v>0</v>
      </c>
      <c r="Q3833" s="65">
        <v>5621.51646936</v>
      </c>
      <c r="R3833" s="65">
        <v>0</v>
      </c>
      <c r="S3833" s="65">
        <v>0</v>
      </c>
      <c r="T3833" s="65">
        <v>0</v>
      </c>
      <c r="U3833" s="58">
        <v>0</v>
      </c>
      <c r="V3833" s="65">
        <v>0</v>
      </c>
      <c r="W3833" s="65">
        <v>0</v>
      </c>
      <c r="X3833" s="65">
        <v>0</v>
      </c>
      <c r="Y3833" s="65">
        <v>0</v>
      </c>
      <c r="Z3833" s="51">
        <v>5621.51646936</v>
      </c>
      <c r="AA3833" s="51">
        <v>0</v>
      </c>
      <c r="AB3833" s="102">
        <v>0</v>
      </c>
      <c r="AC3833" s="81">
        <f t="shared" si="181"/>
        <v>401.95679852809411</v>
      </c>
      <c r="AD3833" s="82">
        <f t="shared" si="182"/>
        <v>21.857142857142858</v>
      </c>
      <c r="AE3833" s="218">
        <v>0</v>
      </c>
      <c r="AF3833">
        <v>0</v>
      </c>
      <c r="AH3833" t="str">
        <f t="shared" si="180"/>
        <v>Gaighat</v>
      </c>
      <c r="AJ3833" s="72">
        <v>0</v>
      </c>
      <c r="AK3833" s="72"/>
      <c r="AL3833" s="72"/>
      <c r="AM3833" s="72"/>
    </row>
    <row r="3834" spans="1:39" x14ac:dyDescent="0.25">
      <c r="A3834" s="37" t="s">
        <v>62</v>
      </c>
      <c r="B3834" s="66" t="s">
        <v>1644</v>
      </c>
      <c r="C3834" s="4">
        <v>1066</v>
      </c>
      <c r="D3834" s="41" t="s">
        <v>1590</v>
      </c>
      <c r="E3834" s="41">
        <v>10660020</v>
      </c>
      <c r="F3834" s="85" t="s">
        <v>1611</v>
      </c>
      <c r="G3834" s="39" t="s">
        <v>635</v>
      </c>
      <c r="H3834" s="52" t="s">
        <v>99</v>
      </c>
      <c r="I3834" s="52">
        <v>62.6</v>
      </c>
      <c r="J3834" s="49">
        <v>2313.7621055999998</v>
      </c>
      <c r="K3834" s="58">
        <v>0</v>
      </c>
      <c r="L3834" s="58">
        <v>0</v>
      </c>
      <c r="M3834" s="58">
        <v>0</v>
      </c>
      <c r="N3834" s="58">
        <v>0</v>
      </c>
      <c r="O3834" s="58">
        <v>0</v>
      </c>
      <c r="P3834" s="53">
        <v>0</v>
      </c>
      <c r="Q3834" s="65">
        <v>2313.7621055999998</v>
      </c>
      <c r="R3834" s="65">
        <v>0</v>
      </c>
      <c r="S3834" s="65">
        <v>0</v>
      </c>
      <c r="T3834" s="65">
        <v>0</v>
      </c>
      <c r="U3834" s="58">
        <v>0</v>
      </c>
      <c r="V3834" s="65">
        <v>0</v>
      </c>
      <c r="W3834" s="65">
        <v>0</v>
      </c>
      <c r="X3834" s="65">
        <v>0</v>
      </c>
      <c r="Y3834" s="65">
        <v>0</v>
      </c>
      <c r="Z3834" s="51">
        <v>2313.7621055999998</v>
      </c>
      <c r="AA3834" s="51">
        <v>0</v>
      </c>
      <c r="AB3834" s="102">
        <v>0</v>
      </c>
      <c r="AC3834" s="81">
        <f t="shared" si="181"/>
        <v>471.17954188799996</v>
      </c>
      <c r="AD3834" s="82">
        <f t="shared" si="182"/>
        <v>8.9428571428571431</v>
      </c>
      <c r="AE3834" s="218">
        <v>0</v>
      </c>
      <c r="AF3834">
        <v>0</v>
      </c>
      <c r="AH3834" t="str">
        <f t="shared" si="180"/>
        <v>Gaighat</v>
      </c>
      <c r="AJ3834" s="72">
        <v>0</v>
      </c>
      <c r="AK3834" s="72"/>
      <c r="AL3834" s="72"/>
      <c r="AM3834" s="72"/>
    </row>
    <row r="3835" spans="1:39" x14ac:dyDescent="0.25">
      <c r="A3835" s="37" t="s">
        <v>62</v>
      </c>
      <c r="B3835" s="66" t="s">
        <v>1644</v>
      </c>
      <c r="C3835" s="4">
        <v>1066</v>
      </c>
      <c r="D3835" s="41" t="s">
        <v>1590</v>
      </c>
      <c r="E3835" s="41">
        <v>10660021</v>
      </c>
      <c r="F3835" s="85" t="s">
        <v>1612</v>
      </c>
      <c r="G3835" s="39" t="s">
        <v>635</v>
      </c>
      <c r="H3835" s="52" t="s">
        <v>99</v>
      </c>
      <c r="I3835" s="52">
        <v>1173.1999999999998</v>
      </c>
      <c r="J3835" s="49">
        <v>44883.929442810004</v>
      </c>
      <c r="K3835" s="58">
        <v>0</v>
      </c>
      <c r="L3835" s="58">
        <v>0</v>
      </c>
      <c r="M3835" s="58">
        <v>0</v>
      </c>
      <c r="N3835" s="58">
        <v>0</v>
      </c>
      <c r="O3835" s="58">
        <v>0</v>
      </c>
      <c r="P3835" s="53">
        <v>0</v>
      </c>
      <c r="Q3835" s="65">
        <v>44883.929442810004</v>
      </c>
      <c r="R3835" s="65">
        <v>0</v>
      </c>
      <c r="S3835" s="65">
        <v>0</v>
      </c>
      <c r="T3835" s="65">
        <v>0</v>
      </c>
      <c r="U3835" s="58">
        <v>0</v>
      </c>
      <c r="V3835" s="65">
        <v>0</v>
      </c>
      <c r="W3835" s="65">
        <v>0</v>
      </c>
      <c r="X3835" s="65">
        <v>0</v>
      </c>
      <c r="Y3835" s="65">
        <v>0</v>
      </c>
      <c r="Z3835" s="51">
        <v>44883.929442810004</v>
      </c>
      <c r="AA3835" s="51">
        <v>0</v>
      </c>
      <c r="AB3835" s="102">
        <v>0</v>
      </c>
      <c r="AC3835" s="81">
        <f t="shared" si="181"/>
        <v>0</v>
      </c>
      <c r="AD3835" s="82">
        <f t="shared" si="182"/>
        <v>0</v>
      </c>
      <c r="AE3835" s="218">
        <v>0</v>
      </c>
      <c r="AF3835">
        <v>0</v>
      </c>
      <c r="AH3835" t="str">
        <f t="shared" ref="AH3835:AH3898" si="183">TEXT(D3835,"0000")</f>
        <v>Gaighat</v>
      </c>
      <c r="AJ3835" s="72">
        <v>0</v>
      </c>
      <c r="AK3835" s="72"/>
      <c r="AL3835" s="72"/>
      <c r="AM3835" s="72"/>
    </row>
    <row r="3836" spans="1:39" x14ac:dyDescent="0.25">
      <c r="A3836" s="37" t="s">
        <v>62</v>
      </c>
      <c r="B3836" s="66" t="s">
        <v>1644</v>
      </c>
      <c r="C3836" s="4">
        <v>1066</v>
      </c>
      <c r="D3836" s="41" t="s">
        <v>1590</v>
      </c>
      <c r="E3836" s="41">
        <v>10660022</v>
      </c>
      <c r="F3836" s="85" t="s">
        <v>1613</v>
      </c>
      <c r="G3836" s="39" t="s">
        <v>635</v>
      </c>
      <c r="H3836" s="52" t="s">
        <v>99</v>
      </c>
      <c r="I3836" s="52">
        <v>345.59999999999997</v>
      </c>
      <c r="J3836" s="49">
        <v>14619.807917940001</v>
      </c>
      <c r="K3836" s="58">
        <v>0</v>
      </c>
      <c r="L3836" s="58">
        <v>0</v>
      </c>
      <c r="M3836" s="58">
        <v>0</v>
      </c>
      <c r="N3836" s="58">
        <v>0</v>
      </c>
      <c r="O3836" s="58">
        <v>0</v>
      </c>
      <c r="P3836" s="53">
        <v>0</v>
      </c>
      <c r="Q3836" s="65">
        <v>14619.807917940001</v>
      </c>
      <c r="R3836" s="65">
        <v>0</v>
      </c>
      <c r="S3836" s="65">
        <v>0</v>
      </c>
      <c r="T3836" s="65">
        <v>0</v>
      </c>
      <c r="U3836" s="58">
        <v>0</v>
      </c>
      <c r="V3836" s="65">
        <v>0</v>
      </c>
      <c r="W3836" s="65">
        <v>0</v>
      </c>
      <c r="X3836" s="65">
        <v>0</v>
      </c>
      <c r="Y3836" s="65">
        <v>0</v>
      </c>
      <c r="Z3836" s="51">
        <v>14619.807917940001</v>
      </c>
      <c r="AA3836" s="51">
        <v>0</v>
      </c>
      <c r="AB3836" s="102">
        <v>0</v>
      </c>
      <c r="AC3836" s="81">
        <f t="shared" si="181"/>
        <v>299.84143090960282</v>
      </c>
      <c r="AD3836" s="82">
        <f t="shared" si="182"/>
        <v>49.371428571428567</v>
      </c>
      <c r="AE3836" s="218">
        <v>0</v>
      </c>
      <c r="AF3836">
        <v>0</v>
      </c>
      <c r="AH3836" t="str">
        <f t="shared" si="183"/>
        <v>Gaighat</v>
      </c>
      <c r="AJ3836" s="72">
        <v>0</v>
      </c>
      <c r="AK3836" s="72"/>
      <c r="AL3836" s="72"/>
      <c r="AM3836" s="72"/>
    </row>
    <row r="3837" spans="1:39" x14ac:dyDescent="0.25">
      <c r="A3837" s="37" t="s">
        <v>62</v>
      </c>
      <c r="B3837" s="66" t="s">
        <v>1644</v>
      </c>
      <c r="C3837" s="4">
        <v>1066</v>
      </c>
      <c r="D3837" s="41" t="s">
        <v>1590</v>
      </c>
      <c r="E3837" s="41">
        <v>10660023</v>
      </c>
      <c r="F3837" s="85" t="s">
        <v>1614</v>
      </c>
      <c r="G3837" s="39" t="s">
        <v>635</v>
      </c>
      <c r="H3837" s="52" t="s">
        <v>99</v>
      </c>
      <c r="I3837" s="52">
        <v>1884</v>
      </c>
      <c r="J3837" s="49">
        <v>78136.758576977998</v>
      </c>
      <c r="K3837" s="58">
        <v>0</v>
      </c>
      <c r="L3837" s="58">
        <v>0</v>
      </c>
      <c r="M3837" s="58">
        <v>0</v>
      </c>
      <c r="N3837" s="58">
        <v>0</v>
      </c>
      <c r="O3837" s="58">
        <v>0</v>
      </c>
      <c r="P3837" s="53">
        <v>0</v>
      </c>
      <c r="Q3837" s="65">
        <v>78136.758576977998</v>
      </c>
      <c r="R3837" s="65">
        <v>0</v>
      </c>
      <c r="S3837" s="65">
        <v>0</v>
      </c>
      <c r="T3837" s="65">
        <v>0</v>
      </c>
      <c r="U3837" s="58">
        <v>0</v>
      </c>
      <c r="V3837" s="65">
        <v>0</v>
      </c>
      <c r="W3837" s="65">
        <v>0</v>
      </c>
      <c r="X3837" s="65">
        <v>0</v>
      </c>
      <c r="Y3837" s="65">
        <v>0</v>
      </c>
      <c r="Z3837" s="51">
        <v>78136.758576977998</v>
      </c>
      <c r="AA3837" s="51">
        <v>0</v>
      </c>
      <c r="AB3837" s="102">
        <v>0</v>
      </c>
      <c r="AC3837" s="81">
        <f t="shared" si="181"/>
        <v>0</v>
      </c>
      <c r="AD3837" s="82">
        <f t="shared" si="182"/>
        <v>0</v>
      </c>
      <c r="AE3837" s="218">
        <v>0</v>
      </c>
      <c r="AF3837">
        <v>0</v>
      </c>
      <c r="AH3837" t="str">
        <f t="shared" si="183"/>
        <v>Gaighat</v>
      </c>
      <c r="AJ3837" s="72">
        <v>0</v>
      </c>
      <c r="AK3837" s="72"/>
      <c r="AL3837" s="72"/>
      <c r="AM3837" s="72"/>
    </row>
    <row r="3838" spans="1:39" x14ac:dyDescent="0.25">
      <c r="A3838" s="37" t="s">
        <v>62</v>
      </c>
      <c r="B3838" s="66" t="s">
        <v>1644</v>
      </c>
      <c r="C3838" s="4">
        <v>1066</v>
      </c>
      <c r="D3838" s="41" t="s">
        <v>1590</v>
      </c>
      <c r="E3838" s="41">
        <v>10660024</v>
      </c>
      <c r="F3838" s="85" t="s">
        <v>1602</v>
      </c>
      <c r="G3838" s="39" t="s">
        <v>635</v>
      </c>
      <c r="H3838" s="52" t="s">
        <v>99</v>
      </c>
      <c r="I3838" s="52">
        <v>60.5</v>
      </c>
      <c r="J3838" s="49">
        <v>1941.4565349300003</v>
      </c>
      <c r="K3838" s="58">
        <v>0</v>
      </c>
      <c r="L3838" s="58">
        <v>0</v>
      </c>
      <c r="M3838" s="58">
        <v>0</v>
      </c>
      <c r="N3838" s="58">
        <v>0</v>
      </c>
      <c r="O3838" s="58">
        <v>0</v>
      </c>
      <c r="P3838" s="53">
        <v>0</v>
      </c>
      <c r="Q3838" s="65">
        <v>1941.4565349300003</v>
      </c>
      <c r="R3838" s="65">
        <v>0</v>
      </c>
      <c r="S3838" s="65">
        <v>0</v>
      </c>
      <c r="T3838" s="65">
        <v>0</v>
      </c>
      <c r="U3838" s="58">
        <v>0</v>
      </c>
      <c r="V3838" s="65">
        <v>0</v>
      </c>
      <c r="W3838" s="65">
        <v>0</v>
      </c>
      <c r="X3838" s="65">
        <v>0</v>
      </c>
      <c r="Y3838" s="65">
        <v>0</v>
      </c>
      <c r="Z3838" s="51">
        <v>1941.4565349300003</v>
      </c>
      <c r="AA3838" s="51">
        <v>0</v>
      </c>
      <c r="AB3838" s="102">
        <v>0</v>
      </c>
      <c r="AC3838" s="81">
        <f t="shared" si="181"/>
        <v>410.43353854140008</v>
      </c>
      <c r="AD3838" s="82">
        <f t="shared" si="182"/>
        <v>8.6428571428571423</v>
      </c>
      <c r="AE3838" s="218">
        <v>0</v>
      </c>
      <c r="AF3838">
        <v>0</v>
      </c>
      <c r="AH3838" t="str">
        <f t="shared" si="183"/>
        <v>Gaighat</v>
      </c>
      <c r="AJ3838" s="72">
        <v>0</v>
      </c>
      <c r="AK3838" s="72"/>
      <c r="AL3838" s="72"/>
      <c r="AM3838" s="72"/>
    </row>
    <row r="3839" spans="1:39" x14ac:dyDescent="0.25">
      <c r="A3839" s="37" t="s">
        <v>62</v>
      </c>
      <c r="B3839" s="66" t="s">
        <v>1644</v>
      </c>
      <c r="C3839" s="4">
        <v>1066</v>
      </c>
      <c r="D3839" s="41" t="s">
        <v>1590</v>
      </c>
      <c r="E3839" s="41">
        <v>10660025</v>
      </c>
      <c r="F3839" s="85" t="s">
        <v>1643</v>
      </c>
      <c r="G3839" s="39" t="s">
        <v>635</v>
      </c>
      <c r="H3839" s="52" t="s">
        <v>99</v>
      </c>
      <c r="I3839" s="52">
        <v>43.4</v>
      </c>
      <c r="J3839" s="49">
        <v>2183.4098546376599</v>
      </c>
      <c r="K3839" s="58">
        <v>0</v>
      </c>
      <c r="L3839" s="58">
        <v>0</v>
      </c>
      <c r="M3839" s="58">
        <v>0</v>
      </c>
      <c r="N3839" s="58">
        <v>0</v>
      </c>
      <c r="O3839" s="58">
        <v>0</v>
      </c>
      <c r="P3839" s="53">
        <v>0</v>
      </c>
      <c r="Q3839" s="65">
        <v>2183.4098546376599</v>
      </c>
      <c r="R3839" s="65">
        <v>0</v>
      </c>
      <c r="S3839" s="65">
        <v>0</v>
      </c>
      <c r="T3839" s="65">
        <v>0</v>
      </c>
      <c r="U3839" s="58">
        <v>0</v>
      </c>
      <c r="V3839" s="65">
        <v>0</v>
      </c>
      <c r="W3839" s="65">
        <v>0</v>
      </c>
      <c r="X3839" s="65">
        <v>0</v>
      </c>
      <c r="Y3839" s="65">
        <v>0</v>
      </c>
      <c r="Z3839" s="51">
        <v>2183.4098546376599</v>
      </c>
      <c r="AA3839" s="51">
        <v>0</v>
      </c>
      <c r="AB3839" s="102">
        <v>0</v>
      </c>
      <c r="AC3839" s="81">
        <f t="shared" si="181"/>
        <v>660.65756246778244</v>
      </c>
      <c r="AD3839" s="82">
        <f t="shared" si="182"/>
        <v>6.2</v>
      </c>
      <c r="AE3839" s="218">
        <v>0</v>
      </c>
      <c r="AF3839">
        <v>0</v>
      </c>
      <c r="AH3839" t="str">
        <f t="shared" si="183"/>
        <v>Gaighat</v>
      </c>
      <c r="AJ3839" s="72">
        <v>0</v>
      </c>
      <c r="AK3839" s="72"/>
      <c r="AL3839" s="72"/>
      <c r="AM3839" s="72"/>
    </row>
    <row r="3840" spans="1:39" x14ac:dyDescent="0.25">
      <c r="A3840" s="37" t="s">
        <v>62</v>
      </c>
      <c r="B3840" s="66"/>
      <c r="C3840" s="4"/>
      <c r="D3840" s="41"/>
      <c r="E3840" s="41"/>
      <c r="F3840" s="85"/>
      <c r="G3840" s="39"/>
      <c r="H3840" s="52"/>
      <c r="I3840" s="52"/>
      <c r="J3840" s="49"/>
      <c r="K3840" s="58"/>
      <c r="L3840" s="58"/>
      <c r="M3840" s="58"/>
      <c r="N3840" s="58"/>
      <c r="O3840" s="58"/>
      <c r="P3840" s="53"/>
      <c r="Q3840" s="65"/>
      <c r="R3840" s="65"/>
      <c r="S3840" s="65"/>
      <c r="T3840" s="65"/>
      <c r="U3840" s="58"/>
      <c r="V3840" s="65"/>
      <c r="W3840" s="65"/>
      <c r="X3840" s="65"/>
      <c r="Y3840" s="65"/>
      <c r="Z3840" s="51"/>
      <c r="AA3840" s="51"/>
      <c r="AB3840" s="102"/>
      <c r="AC3840" s="81" t="e">
        <f t="shared" si="181"/>
        <v>#DIV/0!</v>
      </c>
      <c r="AD3840" s="82">
        <f t="shared" si="182"/>
        <v>0</v>
      </c>
      <c r="AE3840" s="218"/>
      <c r="AH3840" t="str">
        <f t="shared" si="183"/>
        <v>0000</v>
      </c>
      <c r="AJ3840" s="72"/>
      <c r="AK3840" s="72"/>
      <c r="AL3840" s="72"/>
      <c r="AM3840" s="72"/>
    </row>
    <row r="3841" spans="1:39" x14ac:dyDescent="0.25">
      <c r="A3841" s="37" t="s">
        <v>62</v>
      </c>
      <c r="B3841" s="66"/>
      <c r="C3841" s="4"/>
      <c r="D3841" s="41"/>
      <c r="E3841" s="41"/>
      <c r="F3841" s="85"/>
      <c r="G3841" s="39"/>
      <c r="H3841" s="52"/>
      <c r="I3841" s="52"/>
      <c r="J3841" s="49"/>
      <c r="K3841" s="58"/>
      <c r="L3841" s="58"/>
      <c r="M3841" s="58"/>
      <c r="N3841" s="58"/>
      <c r="O3841" s="58"/>
      <c r="P3841" s="53"/>
      <c r="Q3841" s="65"/>
      <c r="R3841" s="65"/>
      <c r="S3841" s="65"/>
      <c r="T3841" s="65"/>
      <c r="U3841" s="58"/>
      <c r="V3841" s="65"/>
      <c r="W3841" s="65"/>
      <c r="X3841" s="65"/>
      <c r="Y3841" s="65"/>
      <c r="Z3841" s="51"/>
      <c r="AA3841" s="51"/>
      <c r="AB3841" s="102"/>
      <c r="AC3841" s="81" t="e">
        <f t="shared" ref="AC3841:AC3904" si="184">((IF(AD3841=0,0,100-AD3841))*7*(J3841/I3841))*2%</f>
        <v>#DIV/0!</v>
      </c>
      <c r="AD3841" s="82">
        <f t="shared" ref="AD3841:AD3904" si="185">IF((I3841/7)&gt;100,0,(I3841/7))</f>
        <v>0</v>
      </c>
      <c r="AE3841" s="218"/>
      <c r="AH3841" t="str">
        <f t="shared" si="183"/>
        <v>0000</v>
      </c>
      <c r="AJ3841" s="72"/>
      <c r="AK3841" s="72"/>
      <c r="AL3841" s="72"/>
      <c r="AM3841" s="72"/>
    </row>
    <row r="3842" spans="1:39" x14ac:dyDescent="0.25">
      <c r="A3842" s="37" t="s">
        <v>62</v>
      </c>
      <c r="B3842" s="66"/>
      <c r="C3842" s="4"/>
      <c r="D3842" s="41"/>
      <c r="E3842" s="41"/>
      <c r="F3842" s="85"/>
      <c r="G3842" s="39"/>
      <c r="H3842" s="52"/>
      <c r="I3842" s="52"/>
      <c r="J3842" s="49"/>
      <c r="K3842" s="58"/>
      <c r="L3842" s="58"/>
      <c r="M3842" s="58"/>
      <c r="N3842" s="58"/>
      <c r="O3842" s="58"/>
      <c r="P3842" s="53"/>
      <c r="Q3842" s="65"/>
      <c r="R3842" s="65"/>
      <c r="S3842" s="65"/>
      <c r="T3842" s="65"/>
      <c r="U3842" s="58"/>
      <c r="V3842" s="65"/>
      <c r="W3842" s="65"/>
      <c r="X3842" s="65"/>
      <c r="Y3842" s="65"/>
      <c r="Z3842" s="51"/>
      <c r="AA3842" s="51"/>
      <c r="AB3842" s="102"/>
      <c r="AC3842" s="81" t="e">
        <f t="shared" si="184"/>
        <v>#DIV/0!</v>
      </c>
      <c r="AD3842" s="82">
        <f t="shared" si="185"/>
        <v>0</v>
      </c>
      <c r="AE3842" s="218"/>
      <c r="AH3842" t="str">
        <f t="shared" si="183"/>
        <v>0000</v>
      </c>
      <c r="AJ3842" s="72"/>
      <c r="AK3842" s="72"/>
      <c r="AL3842" s="72"/>
      <c r="AM3842" s="72"/>
    </row>
    <row r="3843" spans="1:39" x14ac:dyDescent="0.25">
      <c r="A3843" s="37" t="s">
        <v>62</v>
      </c>
      <c r="B3843" s="66"/>
      <c r="C3843" s="4"/>
      <c r="D3843" s="41"/>
      <c r="E3843" s="41"/>
      <c r="F3843" s="85"/>
      <c r="G3843" s="39"/>
      <c r="H3843" s="52"/>
      <c r="I3843" s="52"/>
      <c r="J3843" s="49"/>
      <c r="K3843" s="58"/>
      <c r="L3843" s="58"/>
      <c r="M3843" s="58"/>
      <c r="N3843" s="58"/>
      <c r="O3843" s="58"/>
      <c r="P3843" s="53"/>
      <c r="Q3843" s="65"/>
      <c r="R3843" s="65"/>
      <c r="S3843" s="65"/>
      <c r="T3843" s="65"/>
      <c r="U3843" s="58"/>
      <c r="V3843" s="65"/>
      <c r="W3843" s="65"/>
      <c r="X3843" s="65"/>
      <c r="Y3843" s="65"/>
      <c r="Z3843" s="51"/>
      <c r="AA3843" s="51"/>
      <c r="AB3843" s="102"/>
      <c r="AC3843" s="81" t="e">
        <f t="shared" si="184"/>
        <v>#DIV/0!</v>
      </c>
      <c r="AD3843" s="82">
        <f t="shared" si="185"/>
        <v>0</v>
      </c>
      <c r="AE3843" s="218"/>
      <c r="AH3843" t="str">
        <f t="shared" si="183"/>
        <v>0000</v>
      </c>
      <c r="AJ3843" s="72"/>
      <c r="AK3843" s="72"/>
      <c r="AL3843" s="72"/>
      <c r="AM3843" s="72"/>
    </row>
    <row r="3844" spans="1:39" x14ac:dyDescent="0.25">
      <c r="A3844" s="37" t="s">
        <v>62</v>
      </c>
      <c r="B3844" s="66"/>
      <c r="C3844" s="4"/>
      <c r="D3844" s="41"/>
      <c r="E3844" s="41"/>
      <c r="F3844" s="85"/>
      <c r="G3844" s="39"/>
      <c r="H3844" s="52"/>
      <c r="I3844" s="52"/>
      <c r="J3844" s="49"/>
      <c r="K3844" s="58"/>
      <c r="L3844" s="58"/>
      <c r="M3844" s="58"/>
      <c r="N3844" s="58"/>
      <c r="O3844" s="58"/>
      <c r="P3844" s="53"/>
      <c r="Q3844" s="65"/>
      <c r="R3844" s="65"/>
      <c r="S3844" s="65"/>
      <c r="T3844" s="65"/>
      <c r="U3844" s="58"/>
      <c r="V3844" s="65"/>
      <c r="W3844" s="65"/>
      <c r="X3844" s="65"/>
      <c r="Y3844" s="65"/>
      <c r="Z3844" s="51"/>
      <c r="AA3844" s="51"/>
      <c r="AB3844" s="102"/>
      <c r="AC3844" s="81" t="e">
        <f t="shared" si="184"/>
        <v>#DIV/0!</v>
      </c>
      <c r="AD3844" s="82">
        <f t="shared" si="185"/>
        <v>0</v>
      </c>
      <c r="AE3844" s="218"/>
      <c r="AH3844" t="str">
        <f t="shared" si="183"/>
        <v>0000</v>
      </c>
      <c r="AJ3844" s="72"/>
      <c r="AK3844" s="72"/>
      <c r="AL3844" s="72"/>
      <c r="AM3844" s="72"/>
    </row>
    <row r="3845" spans="1:39" x14ac:dyDescent="0.25">
      <c r="A3845" s="37" t="s">
        <v>62</v>
      </c>
      <c r="B3845" s="66"/>
      <c r="C3845" s="4"/>
      <c r="D3845" s="41"/>
      <c r="E3845" s="41"/>
      <c r="F3845" s="85"/>
      <c r="G3845" s="39"/>
      <c r="H3845" s="52"/>
      <c r="I3845" s="52"/>
      <c r="J3845" s="49"/>
      <c r="K3845" s="58"/>
      <c r="L3845" s="58"/>
      <c r="M3845" s="58"/>
      <c r="N3845" s="58"/>
      <c r="O3845" s="58"/>
      <c r="P3845" s="53"/>
      <c r="Q3845" s="65"/>
      <c r="R3845" s="65"/>
      <c r="S3845" s="65"/>
      <c r="T3845" s="65"/>
      <c r="U3845" s="58"/>
      <c r="V3845" s="65"/>
      <c r="W3845" s="65"/>
      <c r="X3845" s="65"/>
      <c r="Y3845" s="65"/>
      <c r="Z3845" s="51"/>
      <c r="AA3845" s="51"/>
      <c r="AB3845" s="102"/>
      <c r="AC3845" s="81" t="e">
        <f t="shared" si="184"/>
        <v>#DIV/0!</v>
      </c>
      <c r="AD3845" s="82">
        <f t="shared" si="185"/>
        <v>0</v>
      </c>
      <c r="AE3845" s="218"/>
      <c r="AH3845" t="str">
        <f t="shared" si="183"/>
        <v>0000</v>
      </c>
      <c r="AJ3845" s="72"/>
      <c r="AK3845" s="72"/>
      <c r="AL3845" s="72"/>
      <c r="AM3845" s="72"/>
    </row>
    <row r="3846" spans="1:39" x14ac:dyDescent="0.25">
      <c r="A3846" s="37" t="s">
        <v>62</v>
      </c>
      <c r="B3846" s="66"/>
      <c r="C3846" s="4"/>
      <c r="D3846" s="41"/>
      <c r="E3846" s="41"/>
      <c r="F3846" s="85"/>
      <c r="G3846" s="39"/>
      <c r="H3846" s="52"/>
      <c r="I3846" s="52"/>
      <c r="J3846" s="49"/>
      <c r="K3846" s="58"/>
      <c r="L3846" s="58"/>
      <c r="M3846" s="58"/>
      <c r="N3846" s="58"/>
      <c r="O3846" s="58"/>
      <c r="P3846" s="53"/>
      <c r="Q3846" s="65"/>
      <c r="R3846" s="65"/>
      <c r="S3846" s="65"/>
      <c r="T3846" s="65"/>
      <c r="U3846" s="58"/>
      <c r="V3846" s="65"/>
      <c r="W3846" s="65"/>
      <c r="X3846" s="65"/>
      <c r="Y3846" s="65"/>
      <c r="Z3846" s="51"/>
      <c r="AA3846" s="51"/>
      <c r="AB3846" s="102"/>
      <c r="AC3846" s="81" t="e">
        <f t="shared" si="184"/>
        <v>#DIV/0!</v>
      </c>
      <c r="AD3846" s="82">
        <f t="shared" si="185"/>
        <v>0</v>
      </c>
      <c r="AE3846" s="218"/>
      <c r="AH3846" t="str">
        <f t="shared" si="183"/>
        <v>0000</v>
      </c>
      <c r="AJ3846" s="72"/>
      <c r="AK3846" s="72"/>
      <c r="AL3846" s="72"/>
      <c r="AM3846" s="72"/>
    </row>
    <row r="3847" spans="1:39" x14ac:dyDescent="0.25">
      <c r="A3847" s="37" t="s">
        <v>62</v>
      </c>
      <c r="B3847" s="66"/>
      <c r="C3847" s="4"/>
      <c r="D3847" s="41"/>
      <c r="E3847" s="41"/>
      <c r="F3847" s="85"/>
      <c r="G3847" s="39"/>
      <c r="H3847" s="52"/>
      <c r="I3847" s="52"/>
      <c r="J3847" s="49"/>
      <c r="K3847" s="58"/>
      <c r="L3847" s="58"/>
      <c r="M3847" s="58"/>
      <c r="N3847" s="58"/>
      <c r="O3847" s="58"/>
      <c r="P3847" s="53"/>
      <c r="Q3847" s="65"/>
      <c r="R3847" s="65"/>
      <c r="S3847" s="65"/>
      <c r="T3847" s="65"/>
      <c r="U3847" s="58"/>
      <c r="V3847" s="65"/>
      <c r="W3847" s="65"/>
      <c r="X3847" s="65"/>
      <c r="Y3847" s="65"/>
      <c r="Z3847" s="51"/>
      <c r="AA3847" s="51"/>
      <c r="AB3847" s="102"/>
      <c r="AC3847" s="81" t="e">
        <f t="shared" si="184"/>
        <v>#DIV/0!</v>
      </c>
      <c r="AD3847" s="82">
        <f t="shared" si="185"/>
        <v>0</v>
      </c>
      <c r="AE3847" s="218"/>
      <c r="AH3847" t="str">
        <f t="shared" si="183"/>
        <v>0000</v>
      </c>
      <c r="AJ3847" s="72"/>
      <c r="AK3847" s="72"/>
      <c r="AL3847" s="72"/>
      <c r="AM3847" s="72"/>
    </row>
    <row r="3848" spans="1:39" x14ac:dyDescent="0.25">
      <c r="A3848" s="37" t="s">
        <v>62</v>
      </c>
      <c r="B3848" s="66"/>
      <c r="C3848" s="4"/>
      <c r="D3848" s="41"/>
      <c r="E3848" s="41"/>
      <c r="F3848" s="85"/>
      <c r="G3848" s="39"/>
      <c r="H3848" s="52"/>
      <c r="I3848" s="52"/>
      <c r="J3848" s="49"/>
      <c r="K3848" s="58"/>
      <c r="L3848" s="58"/>
      <c r="M3848" s="58"/>
      <c r="N3848" s="58"/>
      <c r="O3848" s="58"/>
      <c r="P3848" s="53"/>
      <c r="Q3848" s="65"/>
      <c r="R3848" s="65"/>
      <c r="S3848" s="65"/>
      <c r="T3848" s="65"/>
      <c r="U3848" s="58"/>
      <c r="V3848" s="65"/>
      <c r="W3848" s="65"/>
      <c r="X3848" s="65"/>
      <c r="Y3848" s="65"/>
      <c r="Z3848" s="51"/>
      <c r="AA3848" s="51"/>
      <c r="AB3848" s="102"/>
      <c r="AC3848" s="81" t="e">
        <f t="shared" si="184"/>
        <v>#DIV/0!</v>
      </c>
      <c r="AD3848" s="82">
        <f t="shared" si="185"/>
        <v>0</v>
      </c>
      <c r="AE3848" s="218"/>
      <c r="AH3848" t="str">
        <f t="shared" si="183"/>
        <v>0000</v>
      </c>
      <c r="AJ3848" s="72"/>
      <c r="AK3848" s="72"/>
      <c r="AL3848" s="72"/>
      <c r="AM3848" s="72"/>
    </row>
    <row r="3849" spans="1:39" x14ac:dyDescent="0.25">
      <c r="A3849" s="37" t="s">
        <v>62</v>
      </c>
      <c r="B3849" s="66"/>
      <c r="C3849" s="4"/>
      <c r="D3849" s="41"/>
      <c r="E3849" s="41"/>
      <c r="F3849" s="85"/>
      <c r="G3849" s="39"/>
      <c r="H3849" s="52"/>
      <c r="I3849" s="52"/>
      <c r="J3849" s="49"/>
      <c r="K3849" s="58"/>
      <c r="L3849" s="58"/>
      <c r="M3849" s="58"/>
      <c r="N3849" s="58"/>
      <c r="O3849" s="58"/>
      <c r="P3849" s="53"/>
      <c r="Q3849" s="65"/>
      <c r="R3849" s="65"/>
      <c r="S3849" s="65"/>
      <c r="T3849" s="65"/>
      <c r="U3849" s="58"/>
      <c r="V3849" s="65"/>
      <c r="W3849" s="65"/>
      <c r="X3849" s="65"/>
      <c r="Y3849" s="65"/>
      <c r="Z3849" s="51"/>
      <c r="AA3849" s="51"/>
      <c r="AB3849" s="102"/>
      <c r="AC3849" s="81" t="e">
        <f t="shared" si="184"/>
        <v>#DIV/0!</v>
      </c>
      <c r="AD3849" s="82">
        <f t="shared" si="185"/>
        <v>0</v>
      </c>
      <c r="AE3849" s="218"/>
      <c r="AH3849" t="str">
        <f t="shared" si="183"/>
        <v>0000</v>
      </c>
      <c r="AJ3849" s="72"/>
      <c r="AK3849" s="72"/>
      <c r="AL3849" s="72"/>
      <c r="AM3849" s="72"/>
    </row>
    <row r="3850" spans="1:39" x14ac:dyDescent="0.25">
      <c r="A3850" s="37" t="s">
        <v>62</v>
      </c>
      <c r="B3850" s="66"/>
      <c r="C3850" s="4"/>
      <c r="D3850" s="41"/>
      <c r="E3850" s="41"/>
      <c r="F3850" s="85"/>
      <c r="G3850" s="39"/>
      <c r="H3850" s="52"/>
      <c r="I3850" s="52"/>
      <c r="J3850" s="49"/>
      <c r="K3850" s="58"/>
      <c r="L3850" s="58"/>
      <c r="M3850" s="58"/>
      <c r="N3850" s="58"/>
      <c r="O3850" s="58"/>
      <c r="P3850" s="53"/>
      <c r="Q3850" s="65"/>
      <c r="R3850" s="65"/>
      <c r="S3850" s="65"/>
      <c r="T3850" s="65"/>
      <c r="U3850" s="58"/>
      <c r="V3850" s="65"/>
      <c r="W3850" s="65"/>
      <c r="X3850" s="65"/>
      <c r="Y3850" s="65"/>
      <c r="Z3850" s="51"/>
      <c r="AA3850" s="51"/>
      <c r="AB3850" s="102"/>
      <c r="AC3850" s="81" t="e">
        <f t="shared" si="184"/>
        <v>#DIV/0!</v>
      </c>
      <c r="AD3850" s="82">
        <f t="shared" si="185"/>
        <v>0</v>
      </c>
      <c r="AE3850" s="218"/>
      <c r="AH3850" t="str">
        <f t="shared" si="183"/>
        <v>0000</v>
      </c>
      <c r="AJ3850" s="72"/>
      <c r="AK3850" s="72"/>
      <c r="AL3850" s="72"/>
      <c r="AM3850" s="72"/>
    </row>
    <row r="3851" spans="1:39" x14ac:dyDescent="0.25">
      <c r="A3851" s="37" t="s">
        <v>62</v>
      </c>
      <c r="B3851" s="66"/>
      <c r="C3851" s="4"/>
      <c r="D3851" s="41"/>
      <c r="E3851" s="41"/>
      <c r="F3851" s="85"/>
      <c r="G3851" s="39"/>
      <c r="H3851" s="52"/>
      <c r="I3851" s="52"/>
      <c r="J3851" s="49"/>
      <c r="K3851" s="58"/>
      <c r="L3851" s="58"/>
      <c r="M3851" s="58"/>
      <c r="N3851" s="58"/>
      <c r="O3851" s="58"/>
      <c r="P3851" s="53"/>
      <c r="Q3851" s="65"/>
      <c r="R3851" s="65"/>
      <c r="S3851" s="65"/>
      <c r="T3851" s="65"/>
      <c r="U3851" s="58"/>
      <c r="V3851" s="65"/>
      <c r="W3851" s="65"/>
      <c r="X3851" s="65"/>
      <c r="Y3851" s="65"/>
      <c r="Z3851" s="51"/>
      <c r="AA3851" s="51"/>
      <c r="AB3851" s="102"/>
      <c r="AC3851" s="81" t="e">
        <f t="shared" si="184"/>
        <v>#DIV/0!</v>
      </c>
      <c r="AD3851" s="82">
        <f t="shared" si="185"/>
        <v>0</v>
      </c>
      <c r="AE3851" s="218"/>
      <c r="AH3851" t="str">
        <f t="shared" si="183"/>
        <v>0000</v>
      </c>
      <c r="AJ3851" s="72"/>
      <c r="AK3851" s="72"/>
      <c r="AL3851" s="72"/>
      <c r="AM3851" s="72"/>
    </row>
    <row r="3852" spans="1:39" x14ac:dyDescent="0.25">
      <c r="A3852" s="37" t="s">
        <v>62</v>
      </c>
      <c r="B3852" s="66"/>
      <c r="C3852" s="4"/>
      <c r="D3852" s="41"/>
      <c r="E3852" s="41"/>
      <c r="F3852" s="85"/>
      <c r="G3852" s="39"/>
      <c r="H3852" s="52"/>
      <c r="I3852" s="52"/>
      <c r="J3852" s="49"/>
      <c r="K3852" s="58"/>
      <c r="L3852" s="58"/>
      <c r="M3852" s="58"/>
      <c r="N3852" s="58"/>
      <c r="O3852" s="58"/>
      <c r="P3852" s="53"/>
      <c r="Q3852" s="65"/>
      <c r="R3852" s="65"/>
      <c r="S3852" s="65"/>
      <c r="T3852" s="65"/>
      <c r="U3852" s="58"/>
      <c r="V3852" s="65"/>
      <c r="W3852" s="65"/>
      <c r="X3852" s="65"/>
      <c r="Y3852" s="65"/>
      <c r="Z3852" s="51"/>
      <c r="AA3852" s="51"/>
      <c r="AB3852" s="102"/>
      <c r="AC3852" s="81" t="e">
        <f t="shared" si="184"/>
        <v>#DIV/0!</v>
      </c>
      <c r="AD3852" s="82">
        <f t="shared" si="185"/>
        <v>0</v>
      </c>
      <c r="AE3852" s="218"/>
      <c r="AH3852" t="str">
        <f t="shared" si="183"/>
        <v>0000</v>
      </c>
      <c r="AJ3852" s="72"/>
      <c r="AK3852" s="72"/>
      <c r="AL3852" s="72"/>
      <c r="AM3852" s="72"/>
    </row>
    <row r="3853" spans="1:39" x14ac:dyDescent="0.25">
      <c r="A3853" s="37" t="s">
        <v>62</v>
      </c>
      <c r="B3853" s="66"/>
      <c r="C3853" s="4"/>
      <c r="D3853" s="41"/>
      <c r="E3853" s="41"/>
      <c r="F3853" s="85"/>
      <c r="G3853" s="39"/>
      <c r="H3853" s="52"/>
      <c r="I3853" s="52"/>
      <c r="J3853" s="49"/>
      <c r="K3853" s="58"/>
      <c r="L3853" s="58"/>
      <c r="M3853" s="58"/>
      <c r="N3853" s="58"/>
      <c r="O3853" s="58"/>
      <c r="P3853" s="53"/>
      <c r="Q3853" s="65"/>
      <c r="R3853" s="65"/>
      <c r="S3853" s="65"/>
      <c r="T3853" s="65"/>
      <c r="U3853" s="58"/>
      <c r="V3853" s="65"/>
      <c r="W3853" s="65"/>
      <c r="X3853" s="65"/>
      <c r="Y3853" s="65"/>
      <c r="Z3853" s="51"/>
      <c r="AA3853" s="51"/>
      <c r="AB3853" s="102"/>
      <c r="AC3853" s="81" t="e">
        <f t="shared" si="184"/>
        <v>#DIV/0!</v>
      </c>
      <c r="AD3853" s="82">
        <f t="shared" si="185"/>
        <v>0</v>
      </c>
      <c r="AE3853" s="218"/>
      <c r="AH3853" t="str">
        <f t="shared" si="183"/>
        <v>0000</v>
      </c>
      <c r="AJ3853" s="72"/>
      <c r="AK3853" s="72"/>
      <c r="AL3853" s="72"/>
      <c r="AM3853" s="72"/>
    </row>
    <row r="3854" spans="1:39" x14ac:dyDescent="0.25">
      <c r="A3854" s="37" t="s">
        <v>62</v>
      </c>
      <c r="B3854" s="66"/>
      <c r="C3854" s="4"/>
      <c r="D3854" s="41"/>
      <c r="E3854" s="41"/>
      <c r="F3854" s="85"/>
      <c r="G3854" s="39"/>
      <c r="H3854" s="52"/>
      <c r="I3854" s="52"/>
      <c r="J3854" s="49"/>
      <c r="K3854" s="58"/>
      <c r="L3854" s="58"/>
      <c r="M3854" s="58"/>
      <c r="N3854" s="58"/>
      <c r="O3854" s="58"/>
      <c r="P3854" s="53"/>
      <c r="Q3854" s="65"/>
      <c r="R3854" s="65"/>
      <c r="S3854" s="65"/>
      <c r="T3854" s="65"/>
      <c r="U3854" s="58"/>
      <c r="V3854" s="65"/>
      <c r="W3854" s="65"/>
      <c r="X3854" s="65"/>
      <c r="Y3854" s="65"/>
      <c r="Z3854" s="51"/>
      <c r="AA3854" s="51"/>
      <c r="AB3854" s="102"/>
      <c r="AC3854" s="81" t="e">
        <f t="shared" si="184"/>
        <v>#DIV/0!</v>
      </c>
      <c r="AD3854" s="82">
        <f t="shared" si="185"/>
        <v>0</v>
      </c>
      <c r="AE3854" s="218"/>
      <c r="AH3854" t="str">
        <f t="shared" si="183"/>
        <v>0000</v>
      </c>
      <c r="AJ3854" s="72"/>
      <c r="AK3854" s="72"/>
      <c r="AL3854" s="72"/>
      <c r="AM3854" s="72"/>
    </row>
    <row r="3855" spans="1:39" x14ac:dyDescent="0.25">
      <c r="A3855" s="37" t="s">
        <v>62</v>
      </c>
      <c r="B3855" s="66"/>
      <c r="C3855" s="4"/>
      <c r="D3855" s="41"/>
      <c r="E3855" s="41"/>
      <c r="F3855" s="85"/>
      <c r="G3855" s="39"/>
      <c r="H3855" s="52"/>
      <c r="I3855" s="52"/>
      <c r="J3855" s="49"/>
      <c r="K3855" s="58"/>
      <c r="L3855" s="58"/>
      <c r="M3855" s="58"/>
      <c r="N3855" s="58"/>
      <c r="O3855" s="58"/>
      <c r="P3855" s="53"/>
      <c r="Q3855" s="65"/>
      <c r="R3855" s="65"/>
      <c r="S3855" s="65"/>
      <c r="T3855" s="65"/>
      <c r="U3855" s="58"/>
      <c r="V3855" s="65"/>
      <c r="W3855" s="65"/>
      <c r="X3855" s="65"/>
      <c r="Y3855" s="65"/>
      <c r="Z3855" s="51"/>
      <c r="AA3855" s="51"/>
      <c r="AB3855" s="102"/>
      <c r="AC3855" s="81" t="e">
        <f t="shared" si="184"/>
        <v>#DIV/0!</v>
      </c>
      <c r="AD3855" s="82">
        <f t="shared" si="185"/>
        <v>0</v>
      </c>
      <c r="AE3855" s="218"/>
      <c r="AH3855" t="str">
        <f t="shared" si="183"/>
        <v>0000</v>
      </c>
      <c r="AJ3855" s="72"/>
      <c r="AK3855" s="72"/>
      <c r="AL3855" s="72"/>
      <c r="AM3855" s="72"/>
    </row>
    <row r="3856" spans="1:39" x14ac:dyDescent="0.25">
      <c r="A3856" s="37" t="s">
        <v>62</v>
      </c>
      <c r="B3856" s="66"/>
      <c r="C3856" s="4"/>
      <c r="D3856" s="41"/>
      <c r="E3856" s="41"/>
      <c r="F3856" s="85"/>
      <c r="G3856" s="39"/>
      <c r="H3856" s="52"/>
      <c r="I3856" s="52"/>
      <c r="J3856" s="49"/>
      <c r="K3856" s="58"/>
      <c r="L3856" s="58"/>
      <c r="M3856" s="58"/>
      <c r="N3856" s="58"/>
      <c r="O3856" s="58"/>
      <c r="P3856" s="53"/>
      <c r="Q3856" s="65"/>
      <c r="R3856" s="65"/>
      <c r="S3856" s="65"/>
      <c r="T3856" s="65"/>
      <c r="U3856" s="58"/>
      <c r="V3856" s="65"/>
      <c r="W3856" s="65"/>
      <c r="X3856" s="65"/>
      <c r="Y3856" s="65"/>
      <c r="Z3856" s="51"/>
      <c r="AA3856" s="51"/>
      <c r="AB3856" s="102"/>
      <c r="AC3856" s="81" t="e">
        <f t="shared" si="184"/>
        <v>#DIV/0!</v>
      </c>
      <c r="AD3856" s="82">
        <f t="shared" si="185"/>
        <v>0</v>
      </c>
      <c r="AE3856" s="218"/>
      <c r="AH3856" t="str">
        <f t="shared" si="183"/>
        <v>0000</v>
      </c>
      <c r="AJ3856" s="72"/>
      <c r="AK3856" s="72"/>
      <c r="AL3856" s="72"/>
      <c r="AM3856" s="72"/>
    </row>
    <row r="3857" spans="1:39" x14ac:dyDescent="0.25">
      <c r="A3857" s="37" t="s">
        <v>62</v>
      </c>
      <c r="B3857" s="66"/>
      <c r="C3857" s="4"/>
      <c r="D3857" s="41"/>
      <c r="E3857" s="41"/>
      <c r="F3857" s="85"/>
      <c r="G3857" s="39"/>
      <c r="H3857" s="52"/>
      <c r="I3857" s="52"/>
      <c r="J3857" s="49"/>
      <c r="K3857" s="58"/>
      <c r="L3857" s="58"/>
      <c r="M3857" s="58"/>
      <c r="N3857" s="58"/>
      <c r="O3857" s="58"/>
      <c r="P3857" s="53"/>
      <c r="Q3857" s="65"/>
      <c r="R3857" s="65"/>
      <c r="S3857" s="65"/>
      <c r="T3857" s="65"/>
      <c r="U3857" s="58"/>
      <c r="V3857" s="65"/>
      <c r="W3857" s="65"/>
      <c r="X3857" s="65"/>
      <c r="Y3857" s="65"/>
      <c r="Z3857" s="51"/>
      <c r="AA3857" s="51"/>
      <c r="AB3857" s="102"/>
      <c r="AC3857" s="81" t="e">
        <f t="shared" si="184"/>
        <v>#DIV/0!</v>
      </c>
      <c r="AD3857" s="82">
        <f t="shared" si="185"/>
        <v>0</v>
      </c>
      <c r="AE3857" s="218"/>
      <c r="AH3857" t="str">
        <f t="shared" si="183"/>
        <v>0000</v>
      </c>
      <c r="AJ3857" s="72"/>
      <c r="AK3857" s="72"/>
      <c r="AL3857" s="72"/>
      <c r="AM3857" s="72"/>
    </row>
    <row r="3858" spans="1:39" x14ac:dyDescent="0.25">
      <c r="A3858" s="37" t="s">
        <v>62</v>
      </c>
      <c r="B3858" s="66"/>
      <c r="C3858" s="4"/>
      <c r="D3858" s="41"/>
      <c r="E3858" s="41"/>
      <c r="F3858" s="85"/>
      <c r="G3858" s="39"/>
      <c r="H3858" s="52"/>
      <c r="I3858" s="52"/>
      <c r="J3858" s="49"/>
      <c r="K3858" s="58"/>
      <c r="L3858" s="58"/>
      <c r="M3858" s="58"/>
      <c r="N3858" s="58"/>
      <c r="O3858" s="58"/>
      <c r="P3858" s="53"/>
      <c r="Q3858" s="65"/>
      <c r="R3858" s="65"/>
      <c r="S3858" s="65"/>
      <c r="T3858" s="65"/>
      <c r="U3858" s="58"/>
      <c r="V3858" s="65"/>
      <c r="W3858" s="65"/>
      <c r="X3858" s="65"/>
      <c r="Y3858" s="65"/>
      <c r="Z3858" s="51"/>
      <c r="AA3858" s="51"/>
      <c r="AB3858" s="102"/>
      <c r="AC3858" s="81" t="e">
        <f t="shared" si="184"/>
        <v>#DIV/0!</v>
      </c>
      <c r="AD3858" s="82">
        <f t="shared" si="185"/>
        <v>0</v>
      </c>
      <c r="AE3858" s="218"/>
      <c r="AH3858" t="str">
        <f t="shared" si="183"/>
        <v>0000</v>
      </c>
      <c r="AJ3858" s="72"/>
      <c r="AK3858" s="72"/>
      <c r="AL3858" s="72"/>
      <c r="AM3858" s="72"/>
    </row>
    <row r="3859" spans="1:39" x14ac:dyDescent="0.25">
      <c r="A3859" s="37" t="s">
        <v>62</v>
      </c>
      <c r="B3859" s="66"/>
      <c r="C3859" s="4"/>
      <c r="D3859" s="41"/>
      <c r="E3859" s="41"/>
      <c r="F3859" s="85"/>
      <c r="G3859" s="39"/>
      <c r="H3859" s="52"/>
      <c r="I3859" s="52"/>
      <c r="J3859" s="49"/>
      <c r="K3859" s="58"/>
      <c r="L3859" s="58"/>
      <c r="M3859" s="58"/>
      <c r="N3859" s="58"/>
      <c r="O3859" s="58"/>
      <c r="P3859" s="53"/>
      <c r="Q3859" s="65"/>
      <c r="R3859" s="65"/>
      <c r="S3859" s="65"/>
      <c r="T3859" s="65"/>
      <c r="U3859" s="58"/>
      <c r="V3859" s="65"/>
      <c r="W3859" s="65"/>
      <c r="X3859" s="65"/>
      <c r="Y3859" s="65"/>
      <c r="Z3859" s="51"/>
      <c r="AA3859" s="51"/>
      <c r="AB3859" s="102"/>
      <c r="AC3859" s="81" t="e">
        <f t="shared" si="184"/>
        <v>#DIV/0!</v>
      </c>
      <c r="AD3859" s="82">
        <f t="shared" si="185"/>
        <v>0</v>
      </c>
      <c r="AE3859" s="218"/>
      <c r="AH3859" t="str">
        <f t="shared" si="183"/>
        <v>0000</v>
      </c>
      <c r="AJ3859" s="72"/>
      <c r="AK3859" s="72"/>
      <c r="AL3859" s="72"/>
      <c r="AM3859" s="72"/>
    </row>
    <row r="3860" spans="1:39" x14ac:dyDescent="0.25">
      <c r="A3860" s="37" t="s">
        <v>62</v>
      </c>
      <c r="B3860" s="66"/>
      <c r="C3860" s="4"/>
      <c r="D3860" s="41"/>
      <c r="E3860" s="41"/>
      <c r="F3860" s="85"/>
      <c r="G3860" s="39"/>
      <c r="H3860" s="52"/>
      <c r="I3860" s="52"/>
      <c r="J3860" s="49"/>
      <c r="K3860" s="58"/>
      <c r="L3860" s="58"/>
      <c r="M3860" s="58"/>
      <c r="N3860" s="58"/>
      <c r="O3860" s="58"/>
      <c r="P3860" s="53"/>
      <c r="Q3860" s="65"/>
      <c r="R3860" s="65"/>
      <c r="S3860" s="65"/>
      <c r="T3860" s="65"/>
      <c r="U3860" s="58"/>
      <c r="V3860" s="65"/>
      <c r="W3860" s="65"/>
      <c r="X3860" s="65"/>
      <c r="Y3860" s="65"/>
      <c r="Z3860" s="51"/>
      <c r="AA3860" s="51"/>
      <c r="AB3860" s="102"/>
      <c r="AC3860" s="81" t="e">
        <f t="shared" si="184"/>
        <v>#DIV/0!</v>
      </c>
      <c r="AD3860" s="82">
        <f t="shared" si="185"/>
        <v>0</v>
      </c>
      <c r="AE3860" s="218"/>
      <c r="AH3860" t="str">
        <f t="shared" si="183"/>
        <v>0000</v>
      </c>
      <c r="AJ3860" s="72"/>
      <c r="AK3860" s="72"/>
      <c r="AL3860" s="72"/>
      <c r="AM3860" s="72"/>
    </row>
    <row r="3861" spans="1:39" x14ac:dyDescent="0.25">
      <c r="A3861" s="37" t="s">
        <v>62</v>
      </c>
      <c r="B3861" s="66"/>
      <c r="C3861" s="4"/>
      <c r="D3861" s="41"/>
      <c r="E3861" s="41"/>
      <c r="F3861" s="85"/>
      <c r="G3861" s="39"/>
      <c r="H3861" s="52"/>
      <c r="I3861" s="52"/>
      <c r="J3861" s="49"/>
      <c r="K3861" s="58"/>
      <c r="L3861" s="58"/>
      <c r="M3861" s="58"/>
      <c r="N3861" s="58"/>
      <c r="O3861" s="58"/>
      <c r="P3861" s="53"/>
      <c r="Q3861" s="65"/>
      <c r="R3861" s="65"/>
      <c r="S3861" s="65"/>
      <c r="T3861" s="65"/>
      <c r="U3861" s="58"/>
      <c r="V3861" s="65"/>
      <c r="W3861" s="65"/>
      <c r="X3861" s="65"/>
      <c r="Y3861" s="65"/>
      <c r="Z3861" s="51"/>
      <c r="AA3861" s="51"/>
      <c r="AB3861" s="102"/>
      <c r="AC3861" s="81" t="e">
        <f t="shared" si="184"/>
        <v>#DIV/0!</v>
      </c>
      <c r="AD3861" s="82">
        <f t="shared" si="185"/>
        <v>0</v>
      </c>
      <c r="AE3861" s="218"/>
      <c r="AH3861" t="str">
        <f t="shared" si="183"/>
        <v>0000</v>
      </c>
      <c r="AJ3861" s="72"/>
      <c r="AK3861" s="72"/>
      <c r="AL3861" s="72"/>
      <c r="AM3861" s="72"/>
    </row>
    <row r="3862" spans="1:39" x14ac:dyDescent="0.25">
      <c r="A3862" s="37" t="s">
        <v>62</v>
      </c>
      <c r="B3862" s="66"/>
      <c r="C3862" s="4"/>
      <c r="D3862" s="41"/>
      <c r="E3862" s="41"/>
      <c r="F3862" s="85"/>
      <c r="G3862" s="39"/>
      <c r="H3862" s="52"/>
      <c r="I3862" s="52"/>
      <c r="J3862" s="49"/>
      <c r="K3862" s="58"/>
      <c r="L3862" s="58"/>
      <c r="M3862" s="58"/>
      <c r="N3862" s="58"/>
      <c r="O3862" s="58"/>
      <c r="P3862" s="53"/>
      <c r="Q3862" s="65"/>
      <c r="R3862" s="65"/>
      <c r="S3862" s="65"/>
      <c r="T3862" s="65"/>
      <c r="U3862" s="58"/>
      <c r="V3862" s="65"/>
      <c r="W3862" s="65"/>
      <c r="X3862" s="65"/>
      <c r="Y3862" s="65"/>
      <c r="Z3862" s="51"/>
      <c r="AA3862" s="51"/>
      <c r="AB3862" s="102"/>
      <c r="AC3862" s="81" t="e">
        <f t="shared" si="184"/>
        <v>#DIV/0!</v>
      </c>
      <c r="AD3862" s="82">
        <f t="shared" si="185"/>
        <v>0</v>
      </c>
      <c r="AE3862" s="218"/>
      <c r="AH3862" t="str">
        <f t="shared" si="183"/>
        <v>0000</v>
      </c>
      <c r="AJ3862" s="72"/>
      <c r="AK3862" s="72"/>
      <c r="AL3862" s="72"/>
      <c r="AM3862" s="72"/>
    </row>
    <row r="3863" spans="1:39" x14ac:dyDescent="0.25">
      <c r="A3863" s="37" t="s">
        <v>62</v>
      </c>
      <c r="B3863" s="66"/>
      <c r="C3863" s="4"/>
      <c r="D3863" s="41"/>
      <c r="E3863" s="41"/>
      <c r="F3863" s="85"/>
      <c r="G3863" s="39"/>
      <c r="H3863" s="52"/>
      <c r="I3863" s="52"/>
      <c r="J3863" s="49"/>
      <c r="K3863" s="58"/>
      <c r="L3863" s="58"/>
      <c r="M3863" s="58"/>
      <c r="N3863" s="58"/>
      <c r="O3863" s="58"/>
      <c r="P3863" s="53"/>
      <c r="Q3863" s="65"/>
      <c r="R3863" s="65"/>
      <c r="S3863" s="65"/>
      <c r="T3863" s="65"/>
      <c r="U3863" s="58"/>
      <c r="V3863" s="65"/>
      <c r="W3863" s="65"/>
      <c r="X3863" s="65"/>
      <c r="Y3863" s="65"/>
      <c r="Z3863" s="51"/>
      <c r="AA3863" s="51"/>
      <c r="AB3863" s="102"/>
      <c r="AC3863" s="81" t="e">
        <f t="shared" si="184"/>
        <v>#DIV/0!</v>
      </c>
      <c r="AD3863" s="82">
        <f t="shared" si="185"/>
        <v>0</v>
      </c>
      <c r="AE3863" s="218"/>
      <c r="AH3863" t="str">
        <f t="shared" si="183"/>
        <v>0000</v>
      </c>
      <c r="AJ3863" s="72"/>
      <c r="AK3863" s="72"/>
      <c r="AL3863" s="72"/>
      <c r="AM3863" s="72"/>
    </row>
    <row r="3864" spans="1:39" x14ac:dyDescent="0.25">
      <c r="A3864" s="37" t="s">
        <v>62</v>
      </c>
      <c r="B3864" s="66"/>
      <c r="C3864" s="4"/>
      <c r="D3864" s="41"/>
      <c r="E3864" s="41"/>
      <c r="F3864" s="85"/>
      <c r="G3864" s="39"/>
      <c r="H3864" s="52"/>
      <c r="I3864" s="52"/>
      <c r="J3864" s="49"/>
      <c r="K3864" s="58"/>
      <c r="L3864" s="58"/>
      <c r="M3864" s="58"/>
      <c r="N3864" s="58"/>
      <c r="O3864" s="58"/>
      <c r="P3864" s="53"/>
      <c r="Q3864" s="65"/>
      <c r="R3864" s="65"/>
      <c r="S3864" s="65"/>
      <c r="T3864" s="65"/>
      <c r="U3864" s="58"/>
      <c r="V3864" s="65"/>
      <c r="W3864" s="65"/>
      <c r="X3864" s="65"/>
      <c r="Y3864" s="65"/>
      <c r="Z3864" s="51"/>
      <c r="AA3864" s="51"/>
      <c r="AB3864" s="102"/>
      <c r="AC3864" s="81" t="e">
        <f t="shared" si="184"/>
        <v>#DIV/0!</v>
      </c>
      <c r="AD3864" s="82">
        <f t="shared" si="185"/>
        <v>0</v>
      </c>
      <c r="AE3864" s="218"/>
      <c r="AH3864" t="str">
        <f t="shared" si="183"/>
        <v>0000</v>
      </c>
      <c r="AJ3864" s="72"/>
      <c r="AK3864" s="72"/>
      <c r="AL3864" s="72"/>
      <c r="AM3864" s="72"/>
    </row>
    <row r="3865" spans="1:39" x14ac:dyDescent="0.25">
      <c r="A3865" s="37" t="s">
        <v>62</v>
      </c>
      <c r="B3865" s="66"/>
      <c r="C3865" s="4"/>
      <c r="D3865" s="41"/>
      <c r="E3865" s="41"/>
      <c r="F3865" s="85"/>
      <c r="G3865" s="39"/>
      <c r="H3865" s="52"/>
      <c r="I3865" s="52"/>
      <c r="J3865" s="49"/>
      <c r="K3865" s="58"/>
      <c r="L3865" s="58"/>
      <c r="M3865" s="58"/>
      <c r="N3865" s="58"/>
      <c r="O3865" s="58"/>
      <c r="P3865" s="53"/>
      <c r="Q3865" s="65"/>
      <c r="R3865" s="65"/>
      <c r="S3865" s="65"/>
      <c r="T3865" s="65"/>
      <c r="U3865" s="58"/>
      <c r="V3865" s="65"/>
      <c r="W3865" s="65"/>
      <c r="X3865" s="65"/>
      <c r="Y3865" s="65"/>
      <c r="Z3865" s="51"/>
      <c r="AA3865" s="51"/>
      <c r="AB3865" s="102"/>
      <c r="AC3865" s="81" t="e">
        <f t="shared" si="184"/>
        <v>#DIV/0!</v>
      </c>
      <c r="AD3865" s="82">
        <f t="shared" si="185"/>
        <v>0</v>
      </c>
      <c r="AE3865" s="218"/>
      <c r="AH3865" t="str">
        <f t="shared" si="183"/>
        <v>0000</v>
      </c>
      <c r="AJ3865" s="72"/>
      <c r="AK3865" s="72"/>
      <c r="AL3865" s="72"/>
      <c r="AM3865" s="72"/>
    </row>
    <row r="3866" spans="1:39" x14ac:dyDescent="0.25">
      <c r="A3866" s="37" t="s">
        <v>62</v>
      </c>
      <c r="B3866" s="66"/>
      <c r="C3866" s="4"/>
      <c r="D3866" s="41"/>
      <c r="E3866" s="41"/>
      <c r="F3866" s="85"/>
      <c r="G3866" s="39"/>
      <c r="H3866" s="52"/>
      <c r="I3866" s="52"/>
      <c r="J3866" s="49"/>
      <c r="K3866" s="58"/>
      <c r="L3866" s="58"/>
      <c r="M3866" s="58"/>
      <c r="N3866" s="58"/>
      <c r="O3866" s="58"/>
      <c r="P3866" s="53"/>
      <c r="Q3866" s="65"/>
      <c r="R3866" s="65"/>
      <c r="S3866" s="65"/>
      <c r="T3866" s="65"/>
      <c r="U3866" s="58"/>
      <c r="V3866" s="65"/>
      <c r="W3866" s="65"/>
      <c r="X3866" s="65"/>
      <c r="Y3866" s="65"/>
      <c r="Z3866" s="51"/>
      <c r="AA3866" s="51"/>
      <c r="AB3866" s="102"/>
      <c r="AC3866" s="81" t="e">
        <f t="shared" si="184"/>
        <v>#DIV/0!</v>
      </c>
      <c r="AD3866" s="82">
        <f t="shared" si="185"/>
        <v>0</v>
      </c>
      <c r="AE3866" s="218"/>
      <c r="AH3866" t="str">
        <f t="shared" si="183"/>
        <v>0000</v>
      </c>
      <c r="AJ3866" s="72"/>
      <c r="AK3866" s="72"/>
      <c r="AL3866" s="72"/>
      <c r="AM3866" s="72"/>
    </row>
    <row r="3867" spans="1:39" x14ac:dyDescent="0.25">
      <c r="A3867" s="37" t="s">
        <v>62</v>
      </c>
      <c r="B3867" s="66"/>
      <c r="C3867" s="4"/>
      <c r="D3867" s="41"/>
      <c r="E3867" s="41"/>
      <c r="F3867" s="85"/>
      <c r="G3867" s="39"/>
      <c r="H3867" s="52"/>
      <c r="I3867" s="52"/>
      <c r="J3867" s="49"/>
      <c r="K3867" s="58"/>
      <c r="L3867" s="58"/>
      <c r="M3867" s="58"/>
      <c r="N3867" s="58"/>
      <c r="O3867" s="58"/>
      <c r="P3867" s="53"/>
      <c r="Q3867" s="65"/>
      <c r="R3867" s="65"/>
      <c r="S3867" s="65"/>
      <c r="T3867" s="65"/>
      <c r="U3867" s="58"/>
      <c r="V3867" s="65"/>
      <c r="W3867" s="65"/>
      <c r="X3867" s="65"/>
      <c r="Y3867" s="65"/>
      <c r="Z3867" s="51"/>
      <c r="AA3867" s="51"/>
      <c r="AB3867" s="102"/>
      <c r="AC3867" s="81" t="e">
        <f t="shared" si="184"/>
        <v>#DIV/0!</v>
      </c>
      <c r="AD3867" s="82">
        <f t="shared" si="185"/>
        <v>0</v>
      </c>
      <c r="AE3867" s="218"/>
      <c r="AH3867" t="str">
        <f t="shared" si="183"/>
        <v>0000</v>
      </c>
      <c r="AJ3867" s="72"/>
      <c r="AK3867" s="72"/>
      <c r="AL3867" s="72"/>
      <c r="AM3867" s="72"/>
    </row>
    <row r="3868" spans="1:39" x14ac:dyDescent="0.25">
      <c r="A3868" s="37" t="s">
        <v>62</v>
      </c>
      <c r="B3868" s="66"/>
      <c r="C3868" s="4"/>
      <c r="D3868" s="41"/>
      <c r="E3868" s="41"/>
      <c r="F3868" s="85"/>
      <c r="G3868" s="39"/>
      <c r="H3868" s="52"/>
      <c r="I3868" s="52"/>
      <c r="J3868" s="49"/>
      <c r="K3868" s="58"/>
      <c r="L3868" s="58"/>
      <c r="M3868" s="58"/>
      <c r="N3868" s="58"/>
      <c r="O3868" s="58"/>
      <c r="P3868" s="53"/>
      <c r="Q3868" s="65"/>
      <c r="R3868" s="65"/>
      <c r="S3868" s="65"/>
      <c r="T3868" s="65"/>
      <c r="U3868" s="58"/>
      <c r="V3868" s="65"/>
      <c r="W3868" s="65"/>
      <c r="X3868" s="65"/>
      <c r="Y3868" s="65"/>
      <c r="Z3868" s="51"/>
      <c r="AA3868" s="51"/>
      <c r="AB3868" s="102"/>
      <c r="AC3868" s="81" t="e">
        <f t="shared" si="184"/>
        <v>#DIV/0!</v>
      </c>
      <c r="AD3868" s="82">
        <f t="shared" si="185"/>
        <v>0</v>
      </c>
      <c r="AE3868" s="218"/>
      <c r="AH3868" t="str">
        <f t="shared" si="183"/>
        <v>0000</v>
      </c>
      <c r="AJ3868" s="72"/>
      <c r="AK3868" s="72"/>
      <c r="AL3868" s="72"/>
      <c r="AM3868" s="72"/>
    </row>
    <row r="3869" spans="1:39" x14ac:dyDescent="0.25">
      <c r="A3869" s="37" t="s">
        <v>62</v>
      </c>
      <c r="B3869" s="66"/>
      <c r="C3869" s="4"/>
      <c r="D3869" s="41"/>
      <c r="E3869" s="41"/>
      <c r="F3869" s="85"/>
      <c r="G3869" s="39"/>
      <c r="H3869" s="52"/>
      <c r="I3869" s="52"/>
      <c r="J3869" s="49"/>
      <c r="K3869" s="58"/>
      <c r="L3869" s="58"/>
      <c r="M3869" s="58"/>
      <c r="N3869" s="58"/>
      <c r="O3869" s="58"/>
      <c r="P3869" s="53"/>
      <c r="Q3869" s="65"/>
      <c r="R3869" s="65"/>
      <c r="S3869" s="65"/>
      <c r="T3869" s="65"/>
      <c r="U3869" s="58"/>
      <c r="V3869" s="65"/>
      <c r="W3869" s="65"/>
      <c r="X3869" s="65"/>
      <c r="Y3869" s="65"/>
      <c r="Z3869" s="51"/>
      <c r="AA3869" s="51"/>
      <c r="AB3869" s="102"/>
      <c r="AC3869" s="81" t="e">
        <f t="shared" si="184"/>
        <v>#DIV/0!</v>
      </c>
      <c r="AD3869" s="82">
        <f t="shared" si="185"/>
        <v>0</v>
      </c>
      <c r="AE3869" s="218"/>
      <c r="AH3869" t="str">
        <f t="shared" si="183"/>
        <v>0000</v>
      </c>
      <c r="AJ3869" s="72"/>
      <c r="AK3869" s="72"/>
      <c r="AL3869" s="72"/>
      <c r="AM3869" s="72"/>
    </row>
    <row r="3870" spans="1:39" x14ac:dyDescent="0.25">
      <c r="A3870" s="37" t="s">
        <v>62</v>
      </c>
      <c r="B3870" s="66"/>
      <c r="C3870" s="4"/>
      <c r="D3870" s="41"/>
      <c r="E3870" s="41"/>
      <c r="F3870" s="85"/>
      <c r="G3870" s="39"/>
      <c r="H3870" s="52"/>
      <c r="I3870" s="52"/>
      <c r="J3870" s="49"/>
      <c r="K3870" s="58"/>
      <c r="L3870" s="58"/>
      <c r="M3870" s="58"/>
      <c r="N3870" s="58"/>
      <c r="O3870" s="58"/>
      <c r="P3870" s="53"/>
      <c r="Q3870" s="65"/>
      <c r="R3870" s="65"/>
      <c r="S3870" s="65"/>
      <c r="T3870" s="65"/>
      <c r="U3870" s="58"/>
      <c r="V3870" s="65"/>
      <c r="W3870" s="65"/>
      <c r="X3870" s="65"/>
      <c r="Y3870" s="65"/>
      <c r="Z3870" s="51"/>
      <c r="AA3870" s="51"/>
      <c r="AB3870" s="102"/>
      <c r="AC3870" s="81" t="e">
        <f t="shared" si="184"/>
        <v>#DIV/0!</v>
      </c>
      <c r="AD3870" s="82">
        <f t="shared" si="185"/>
        <v>0</v>
      </c>
      <c r="AE3870" s="218"/>
      <c r="AH3870" t="str">
        <f t="shared" si="183"/>
        <v>0000</v>
      </c>
      <c r="AJ3870" s="72"/>
      <c r="AK3870" s="72"/>
      <c r="AL3870" s="72"/>
      <c r="AM3870" s="72"/>
    </row>
    <row r="3871" spans="1:39" x14ac:dyDescent="0.25">
      <c r="A3871" s="37" t="s">
        <v>62</v>
      </c>
      <c r="B3871" s="66"/>
      <c r="C3871" s="4"/>
      <c r="D3871" s="41"/>
      <c r="E3871" s="41"/>
      <c r="F3871" s="85"/>
      <c r="G3871" s="39"/>
      <c r="H3871" s="52"/>
      <c r="I3871" s="52"/>
      <c r="J3871" s="49"/>
      <c r="K3871" s="58"/>
      <c r="L3871" s="58"/>
      <c r="M3871" s="58"/>
      <c r="N3871" s="58"/>
      <c r="O3871" s="58"/>
      <c r="P3871" s="53"/>
      <c r="Q3871" s="65"/>
      <c r="R3871" s="65"/>
      <c r="S3871" s="65"/>
      <c r="T3871" s="65"/>
      <c r="U3871" s="58"/>
      <c r="V3871" s="65"/>
      <c r="W3871" s="65"/>
      <c r="X3871" s="65"/>
      <c r="Y3871" s="65"/>
      <c r="Z3871" s="51"/>
      <c r="AA3871" s="51"/>
      <c r="AB3871" s="102"/>
      <c r="AC3871" s="81" t="e">
        <f t="shared" si="184"/>
        <v>#DIV/0!</v>
      </c>
      <c r="AD3871" s="82">
        <f t="shared" si="185"/>
        <v>0</v>
      </c>
      <c r="AE3871" s="218"/>
      <c r="AH3871" t="str">
        <f t="shared" si="183"/>
        <v>0000</v>
      </c>
      <c r="AJ3871" s="72"/>
      <c r="AK3871" s="72"/>
      <c r="AL3871" s="72"/>
      <c r="AM3871" s="72"/>
    </row>
    <row r="3872" spans="1:39" x14ac:dyDescent="0.25">
      <c r="A3872" s="37" t="s">
        <v>62</v>
      </c>
      <c r="B3872" s="66"/>
      <c r="C3872" s="4"/>
      <c r="D3872" s="41"/>
      <c r="E3872" s="41"/>
      <c r="F3872" s="85"/>
      <c r="G3872" s="39"/>
      <c r="H3872" s="52"/>
      <c r="I3872" s="52"/>
      <c r="J3872" s="49"/>
      <c r="K3872" s="58"/>
      <c r="L3872" s="58"/>
      <c r="M3872" s="58"/>
      <c r="N3872" s="58"/>
      <c r="O3872" s="58"/>
      <c r="P3872" s="53"/>
      <c r="Q3872" s="65"/>
      <c r="R3872" s="65"/>
      <c r="S3872" s="65"/>
      <c r="T3872" s="65"/>
      <c r="U3872" s="58"/>
      <c r="V3872" s="65"/>
      <c r="W3872" s="65"/>
      <c r="X3872" s="65"/>
      <c r="Y3872" s="65"/>
      <c r="Z3872" s="51"/>
      <c r="AA3872" s="51"/>
      <c r="AB3872" s="102"/>
      <c r="AC3872" s="81" t="e">
        <f t="shared" si="184"/>
        <v>#DIV/0!</v>
      </c>
      <c r="AD3872" s="82">
        <f t="shared" si="185"/>
        <v>0</v>
      </c>
      <c r="AE3872" s="218"/>
      <c r="AH3872" t="str">
        <f t="shared" si="183"/>
        <v>0000</v>
      </c>
      <c r="AJ3872" s="72"/>
      <c r="AK3872" s="72"/>
      <c r="AL3872" s="72"/>
      <c r="AM3872" s="72"/>
    </row>
    <row r="3873" spans="1:39" x14ac:dyDescent="0.25">
      <c r="A3873" s="37" t="s">
        <v>62</v>
      </c>
      <c r="B3873" s="66"/>
      <c r="C3873" s="4"/>
      <c r="D3873" s="41"/>
      <c r="E3873" s="41"/>
      <c r="F3873" s="85"/>
      <c r="G3873" s="39"/>
      <c r="H3873" s="52"/>
      <c r="I3873" s="52"/>
      <c r="J3873" s="49"/>
      <c r="K3873" s="58"/>
      <c r="L3873" s="58"/>
      <c r="M3873" s="58"/>
      <c r="N3873" s="58"/>
      <c r="O3873" s="58"/>
      <c r="P3873" s="53"/>
      <c r="Q3873" s="65"/>
      <c r="R3873" s="65"/>
      <c r="S3873" s="65"/>
      <c r="T3873" s="65"/>
      <c r="U3873" s="58"/>
      <c r="V3873" s="65"/>
      <c r="W3873" s="65"/>
      <c r="X3873" s="65"/>
      <c r="Y3873" s="65"/>
      <c r="Z3873" s="51"/>
      <c r="AA3873" s="51"/>
      <c r="AB3873" s="102"/>
      <c r="AC3873" s="81" t="e">
        <f t="shared" si="184"/>
        <v>#DIV/0!</v>
      </c>
      <c r="AD3873" s="82">
        <f t="shared" si="185"/>
        <v>0</v>
      </c>
      <c r="AE3873" s="218"/>
      <c r="AH3873" t="str">
        <f t="shared" si="183"/>
        <v>0000</v>
      </c>
      <c r="AJ3873" s="72"/>
      <c r="AK3873" s="72"/>
      <c r="AL3873" s="72"/>
      <c r="AM3873" s="72"/>
    </row>
    <row r="3874" spans="1:39" x14ac:dyDescent="0.25">
      <c r="A3874" s="37" t="s">
        <v>62</v>
      </c>
      <c r="B3874" s="66"/>
      <c r="C3874" s="4"/>
      <c r="D3874" s="41"/>
      <c r="E3874" s="41"/>
      <c r="F3874" s="85"/>
      <c r="G3874" s="39"/>
      <c r="H3874" s="52"/>
      <c r="I3874" s="52"/>
      <c r="J3874" s="49"/>
      <c r="K3874" s="58"/>
      <c r="L3874" s="58"/>
      <c r="M3874" s="58"/>
      <c r="N3874" s="58"/>
      <c r="O3874" s="58"/>
      <c r="P3874" s="53"/>
      <c r="Q3874" s="65"/>
      <c r="R3874" s="65"/>
      <c r="S3874" s="65"/>
      <c r="T3874" s="65"/>
      <c r="U3874" s="58"/>
      <c r="V3874" s="65"/>
      <c r="W3874" s="65"/>
      <c r="X3874" s="65"/>
      <c r="Y3874" s="65"/>
      <c r="Z3874" s="51"/>
      <c r="AA3874" s="51"/>
      <c r="AB3874" s="102"/>
      <c r="AC3874" s="81" t="e">
        <f t="shared" si="184"/>
        <v>#DIV/0!</v>
      </c>
      <c r="AD3874" s="82">
        <f t="shared" si="185"/>
        <v>0</v>
      </c>
      <c r="AE3874" s="218"/>
      <c r="AH3874" t="str">
        <f t="shared" si="183"/>
        <v>0000</v>
      </c>
      <c r="AJ3874" s="72"/>
      <c r="AK3874" s="72"/>
      <c r="AL3874" s="72"/>
      <c r="AM3874" s="72"/>
    </row>
    <row r="3875" spans="1:39" x14ac:dyDescent="0.25">
      <c r="A3875" s="37" t="s">
        <v>62</v>
      </c>
      <c r="B3875" s="66"/>
      <c r="C3875" s="4"/>
      <c r="D3875" s="41"/>
      <c r="E3875" s="41"/>
      <c r="F3875" s="85"/>
      <c r="G3875" s="39"/>
      <c r="H3875" s="52"/>
      <c r="I3875" s="52"/>
      <c r="J3875" s="49"/>
      <c r="K3875" s="58"/>
      <c r="L3875" s="58"/>
      <c r="M3875" s="58"/>
      <c r="N3875" s="58"/>
      <c r="O3875" s="58"/>
      <c r="P3875" s="53"/>
      <c r="Q3875" s="65"/>
      <c r="R3875" s="65"/>
      <c r="S3875" s="65"/>
      <c r="T3875" s="65"/>
      <c r="U3875" s="58"/>
      <c r="V3875" s="65"/>
      <c r="W3875" s="65"/>
      <c r="X3875" s="65"/>
      <c r="Y3875" s="65"/>
      <c r="Z3875" s="51"/>
      <c r="AA3875" s="51"/>
      <c r="AB3875" s="102"/>
      <c r="AC3875" s="81" t="e">
        <f t="shared" si="184"/>
        <v>#DIV/0!</v>
      </c>
      <c r="AD3875" s="82">
        <f t="shared" si="185"/>
        <v>0</v>
      </c>
      <c r="AE3875" s="218"/>
      <c r="AH3875" t="str">
        <f t="shared" si="183"/>
        <v>0000</v>
      </c>
      <c r="AJ3875" s="72"/>
      <c r="AK3875" s="72"/>
      <c r="AL3875" s="72"/>
      <c r="AM3875" s="72"/>
    </row>
    <row r="3876" spans="1:39" x14ac:dyDescent="0.25">
      <c r="A3876" s="37" t="s">
        <v>62</v>
      </c>
      <c r="B3876" s="66"/>
      <c r="C3876" s="4"/>
      <c r="D3876" s="41"/>
      <c r="E3876" s="41"/>
      <c r="F3876" s="85"/>
      <c r="G3876" s="39"/>
      <c r="H3876" s="52"/>
      <c r="I3876" s="52"/>
      <c r="J3876" s="49"/>
      <c r="K3876" s="58"/>
      <c r="L3876" s="58"/>
      <c r="M3876" s="58"/>
      <c r="N3876" s="58"/>
      <c r="O3876" s="58"/>
      <c r="P3876" s="53"/>
      <c r="Q3876" s="65"/>
      <c r="R3876" s="65"/>
      <c r="S3876" s="65"/>
      <c r="T3876" s="65"/>
      <c r="U3876" s="58"/>
      <c r="V3876" s="65"/>
      <c r="W3876" s="65"/>
      <c r="X3876" s="65"/>
      <c r="Y3876" s="65"/>
      <c r="Z3876" s="51"/>
      <c r="AA3876" s="51"/>
      <c r="AB3876" s="102"/>
      <c r="AC3876" s="81" t="e">
        <f t="shared" si="184"/>
        <v>#DIV/0!</v>
      </c>
      <c r="AD3876" s="82">
        <f t="shared" si="185"/>
        <v>0</v>
      </c>
      <c r="AE3876" s="218"/>
      <c r="AH3876" t="str">
        <f t="shared" si="183"/>
        <v>0000</v>
      </c>
      <c r="AJ3876" s="72"/>
      <c r="AK3876" s="72"/>
      <c r="AL3876" s="72"/>
      <c r="AM3876" s="72"/>
    </row>
    <row r="3877" spans="1:39" x14ac:dyDescent="0.25">
      <c r="A3877" s="37" t="s">
        <v>62</v>
      </c>
      <c r="B3877" s="66"/>
      <c r="C3877" s="4"/>
      <c r="D3877" s="41"/>
      <c r="E3877" s="41"/>
      <c r="F3877" s="85"/>
      <c r="G3877" s="39"/>
      <c r="H3877" s="52"/>
      <c r="I3877" s="52"/>
      <c r="J3877" s="49"/>
      <c r="K3877" s="58"/>
      <c r="L3877" s="58"/>
      <c r="M3877" s="58"/>
      <c r="N3877" s="58"/>
      <c r="O3877" s="58"/>
      <c r="P3877" s="53"/>
      <c r="Q3877" s="65"/>
      <c r="R3877" s="65"/>
      <c r="S3877" s="65"/>
      <c r="T3877" s="65"/>
      <c r="U3877" s="58"/>
      <c r="V3877" s="65"/>
      <c r="W3877" s="65"/>
      <c r="X3877" s="65"/>
      <c r="Y3877" s="65"/>
      <c r="Z3877" s="51"/>
      <c r="AA3877" s="51"/>
      <c r="AB3877" s="102"/>
      <c r="AC3877" s="81" t="e">
        <f t="shared" si="184"/>
        <v>#DIV/0!</v>
      </c>
      <c r="AD3877" s="82">
        <f t="shared" si="185"/>
        <v>0</v>
      </c>
      <c r="AE3877" s="218"/>
      <c r="AH3877" t="str">
        <f t="shared" si="183"/>
        <v>0000</v>
      </c>
      <c r="AJ3877" s="72"/>
      <c r="AK3877" s="72"/>
      <c r="AL3877" s="72"/>
      <c r="AM3877" s="72"/>
    </row>
    <row r="3878" spans="1:39" x14ac:dyDescent="0.25">
      <c r="A3878" s="37" t="s">
        <v>62</v>
      </c>
      <c r="B3878" s="66"/>
      <c r="C3878" s="4"/>
      <c r="D3878" s="41"/>
      <c r="E3878" s="41"/>
      <c r="F3878" s="85"/>
      <c r="G3878" s="39"/>
      <c r="H3878" s="52"/>
      <c r="I3878" s="52"/>
      <c r="J3878" s="49"/>
      <c r="K3878" s="58"/>
      <c r="L3878" s="58"/>
      <c r="M3878" s="58"/>
      <c r="N3878" s="58"/>
      <c r="O3878" s="58"/>
      <c r="P3878" s="53"/>
      <c r="Q3878" s="65"/>
      <c r="R3878" s="65"/>
      <c r="S3878" s="65"/>
      <c r="T3878" s="65"/>
      <c r="U3878" s="58"/>
      <c r="V3878" s="65"/>
      <c r="W3878" s="65"/>
      <c r="X3878" s="65"/>
      <c r="Y3878" s="65"/>
      <c r="Z3878" s="51"/>
      <c r="AA3878" s="51"/>
      <c r="AB3878" s="102"/>
      <c r="AC3878" s="81" t="e">
        <f t="shared" si="184"/>
        <v>#DIV/0!</v>
      </c>
      <c r="AD3878" s="82">
        <f t="shared" si="185"/>
        <v>0</v>
      </c>
      <c r="AE3878" s="218"/>
      <c r="AH3878" t="str">
        <f t="shared" si="183"/>
        <v>0000</v>
      </c>
      <c r="AJ3878" s="72"/>
      <c r="AK3878" s="72"/>
      <c r="AL3878" s="72"/>
      <c r="AM3878" s="72"/>
    </row>
    <row r="3879" spans="1:39" x14ac:dyDescent="0.25">
      <c r="A3879" s="37" t="s">
        <v>62</v>
      </c>
      <c r="B3879" s="66"/>
      <c r="C3879" s="4"/>
      <c r="D3879" s="41"/>
      <c r="E3879" s="41"/>
      <c r="F3879" s="85"/>
      <c r="G3879" s="39"/>
      <c r="H3879" s="52"/>
      <c r="I3879" s="52"/>
      <c r="J3879" s="49"/>
      <c r="K3879" s="58"/>
      <c r="L3879" s="58"/>
      <c r="M3879" s="58"/>
      <c r="N3879" s="58"/>
      <c r="O3879" s="58"/>
      <c r="P3879" s="53"/>
      <c r="Q3879" s="65"/>
      <c r="R3879" s="65"/>
      <c r="S3879" s="65"/>
      <c r="T3879" s="65"/>
      <c r="U3879" s="58"/>
      <c r="V3879" s="65"/>
      <c r="W3879" s="65"/>
      <c r="X3879" s="65"/>
      <c r="Y3879" s="65"/>
      <c r="Z3879" s="51"/>
      <c r="AA3879" s="51"/>
      <c r="AB3879" s="102"/>
      <c r="AC3879" s="81" t="e">
        <f t="shared" si="184"/>
        <v>#DIV/0!</v>
      </c>
      <c r="AD3879" s="82">
        <f t="shared" si="185"/>
        <v>0</v>
      </c>
      <c r="AE3879" s="218"/>
      <c r="AH3879" t="str">
        <f t="shared" si="183"/>
        <v>0000</v>
      </c>
      <c r="AJ3879" s="72"/>
      <c r="AK3879" s="72"/>
      <c r="AL3879" s="72"/>
      <c r="AM3879" s="72"/>
    </row>
    <row r="3880" spans="1:39" x14ac:dyDescent="0.25">
      <c r="A3880" s="37" t="s">
        <v>62</v>
      </c>
      <c r="B3880" s="66"/>
      <c r="C3880" s="4"/>
      <c r="D3880" s="41"/>
      <c r="E3880" s="41"/>
      <c r="F3880" s="85"/>
      <c r="G3880" s="39"/>
      <c r="H3880" s="52"/>
      <c r="I3880" s="52"/>
      <c r="J3880" s="49"/>
      <c r="K3880" s="58"/>
      <c r="L3880" s="58"/>
      <c r="M3880" s="58"/>
      <c r="N3880" s="58"/>
      <c r="O3880" s="58"/>
      <c r="P3880" s="53"/>
      <c r="Q3880" s="65"/>
      <c r="R3880" s="65"/>
      <c r="S3880" s="65"/>
      <c r="T3880" s="65"/>
      <c r="U3880" s="58"/>
      <c r="V3880" s="65"/>
      <c r="W3880" s="65"/>
      <c r="X3880" s="65"/>
      <c r="Y3880" s="65"/>
      <c r="Z3880" s="51"/>
      <c r="AA3880" s="51"/>
      <c r="AB3880" s="102"/>
      <c r="AC3880" s="81" t="e">
        <f t="shared" si="184"/>
        <v>#DIV/0!</v>
      </c>
      <c r="AD3880" s="82">
        <f t="shared" si="185"/>
        <v>0</v>
      </c>
      <c r="AE3880" s="218"/>
      <c r="AH3880" t="str">
        <f t="shared" si="183"/>
        <v>0000</v>
      </c>
      <c r="AJ3880" s="72"/>
      <c r="AK3880" s="72"/>
      <c r="AL3880" s="72"/>
      <c r="AM3880" s="72"/>
    </row>
    <row r="3881" spans="1:39" x14ac:dyDescent="0.25">
      <c r="A3881" s="37" t="s">
        <v>62</v>
      </c>
      <c r="B3881" s="66"/>
      <c r="C3881" s="4"/>
      <c r="D3881" s="41"/>
      <c r="E3881" s="41"/>
      <c r="F3881" s="85"/>
      <c r="G3881" s="39"/>
      <c r="H3881" s="52"/>
      <c r="I3881" s="52"/>
      <c r="J3881" s="49"/>
      <c r="K3881" s="58"/>
      <c r="L3881" s="58"/>
      <c r="M3881" s="58"/>
      <c r="N3881" s="58"/>
      <c r="O3881" s="58"/>
      <c r="P3881" s="53"/>
      <c r="Q3881" s="65"/>
      <c r="R3881" s="65"/>
      <c r="S3881" s="65"/>
      <c r="T3881" s="65"/>
      <c r="U3881" s="58"/>
      <c r="V3881" s="65"/>
      <c r="W3881" s="65"/>
      <c r="X3881" s="65"/>
      <c r="Y3881" s="65"/>
      <c r="Z3881" s="51"/>
      <c r="AA3881" s="51"/>
      <c r="AB3881" s="102"/>
      <c r="AC3881" s="81" t="e">
        <f t="shared" si="184"/>
        <v>#DIV/0!</v>
      </c>
      <c r="AD3881" s="82">
        <f t="shared" si="185"/>
        <v>0</v>
      </c>
      <c r="AE3881" s="218"/>
      <c r="AH3881" t="str">
        <f t="shared" si="183"/>
        <v>0000</v>
      </c>
      <c r="AJ3881" s="72"/>
      <c r="AK3881" s="72"/>
      <c r="AL3881" s="72"/>
      <c r="AM3881" s="72"/>
    </row>
    <row r="3882" spans="1:39" x14ac:dyDescent="0.25">
      <c r="A3882" s="37" t="s">
        <v>62</v>
      </c>
      <c r="B3882" s="66"/>
      <c r="C3882" s="4"/>
      <c r="D3882" s="41"/>
      <c r="E3882" s="41"/>
      <c r="F3882" s="85"/>
      <c r="G3882" s="39"/>
      <c r="H3882" s="52"/>
      <c r="I3882" s="52"/>
      <c r="J3882" s="49"/>
      <c r="K3882" s="58"/>
      <c r="L3882" s="58"/>
      <c r="M3882" s="58"/>
      <c r="N3882" s="58"/>
      <c r="O3882" s="58"/>
      <c r="P3882" s="53"/>
      <c r="Q3882" s="65"/>
      <c r="R3882" s="65"/>
      <c r="S3882" s="65"/>
      <c r="T3882" s="65"/>
      <c r="U3882" s="58"/>
      <c r="V3882" s="65"/>
      <c r="W3882" s="65"/>
      <c r="X3882" s="65"/>
      <c r="Y3882" s="65"/>
      <c r="Z3882" s="51"/>
      <c r="AA3882" s="51"/>
      <c r="AB3882" s="102"/>
      <c r="AC3882" s="81" t="e">
        <f t="shared" si="184"/>
        <v>#DIV/0!</v>
      </c>
      <c r="AD3882" s="82">
        <f t="shared" si="185"/>
        <v>0</v>
      </c>
      <c r="AE3882" s="218"/>
      <c r="AH3882" t="str">
        <f t="shared" si="183"/>
        <v>0000</v>
      </c>
      <c r="AJ3882" s="72"/>
      <c r="AK3882" s="72"/>
      <c r="AL3882" s="72"/>
      <c r="AM3882" s="72"/>
    </row>
    <row r="3883" spans="1:39" x14ac:dyDescent="0.25">
      <c r="A3883" s="37" t="s">
        <v>62</v>
      </c>
      <c r="B3883" s="66"/>
      <c r="C3883" s="4"/>
      <c r="D3883" s="41"/>
      <c r="E3883" s="41"/>
      <c r="F3883" s="85"/>
      <c r="G3883" s="39"/>
      <c r="H3883" s="52"/>
      <c r="I3883" s="52"/>
      <c r="J3883" s="49"/>
      <c r="K3883" s="58"/>
      <c r="L3883" s="58"/>
      <c r="M3883" s="58"/>
      <c r="N3883" s="58"/>
      <c r="O3883" s="58"/>
      <c r="P3883" s="53"/>
      <c r="Q3883" s="65"/>
      <c r="R3883" s="65"/>
      <c r="S3883" s="65"/>
      <c r="T3883" s="65"/>
      <c r="U3883" s="58"/>
      <c r="V3883" s="65"/>
      <c r="W3883" s="65"/>
      <c r="X3883" s="65"/>
      <c r="Y3883" s="65"/>
      <c r="Z3883" s="51"/>
      <c r="AA3883" s="51"/>
      <c r="AB3883" s="102"/>
      <c r="AC3883" s="81" t="e">
        <f t="shared" si="184"/>
        <v>#DIV/0!</v>
      </c>
      <c r="AD3883" s="82">
        <f t="shared" si="185"/>
        <v>0</v>
      </c>
      <c r="AE3883" s="218"/>
      <c r="AH3883" t="str">
        <f t="shared" si="183"/>
        <v>0000</v>
      </c>
      <c r="AJ3883" s="72"/>
      <c r="AK3883" s="72"/>
      <c r="AL3883" s="72"/>
      <c r="AM3883" s="72"/>
    </row>
    <row r="3884" spans="1:39" x14ac:dyDescent="0.25">
      <c r="A3884" s="37" t="s">
        <v>62</v>
      </c>
      <c r="B3884" s="66"/>
      <c r="C3884" s="4"/>
      <c r="D3884" s="41"/>
      <c r="E3884" s="41"/>
      <c r="F3884" s="85"/>
      <c r="G3884" s="39"/>
      <c r="H3884" s="52"/>
      <c r="I3884" s="52"/>
      <c r="J3884" s="49"/>
      <c r="K3884" s="58"/>
      <c r="L3884" s="58"/>
      <c r="M3884" s="58"/>
      <c r="N3884" s="58"/>
      <c r="O3884" s="58"/>
      <c r="P3884" s="53"/>
      <c r="Q3884" s="65"/>
      <c r="R3884" s="65"/>
      <c r="S3884" s="65"/>
      <c r="T3884" s="65"/>
      <c r="U3884" s="58"/>
      <c r="V3884" s="65"/>
      <c r="W3884" s="65"/>
      <c r="X3884" s="65"/>
      <c r="Y3884" s="65"/>
      <c r="Z3884" s="51"/>
      <c r="AA3884" s="51"/>
      <c r="AB3884" s="102"/>
      <c r="AC3884" s="81" t="e">
        <f t="shared" si="184"/>
        <v>#DIV/0!</v>
      </c>
      <c r="AD3884" s="82">
        <f t="shared" si="185"/>
        <v>0</v>
      </c>
      <c r="AE3884" s="218"/>
      <c r="AH3884" t="str">
        <f t="shared" si="183"/>
        <v>0000</v>
      </c>
      <c r="AJ3884" s="72"/>
      <c r="AK3884" s="72"/>
      <c r="AL3884" s="72"/>
      <c r="AM3884" s="72"/>
    </row>
    <row r="3885" spans="1:39" x14ac:dyDescent="0.25">
      <c r="A3885" s="37" t="s">
        <v>62</v>
      </c>
      <c r="B3885" s="66"/>
      <c r="C3885" s="4"/>
      <c r="D3885" s="41"/>
      <c r="E3885" s="41"/>
      <c r="F3885" s="85"/>
      <c r="G3885" s="39"/>
      <c r="H3885" s="52"/>
      <c r="I3885" s="52"/>
      <c r="J3885" s="49"/>
      <c r="K3885" s="58"/>
      <c r="L3885" s="58"/>
      <c r="M3885" s="58"/>
      <c r="N3885" s="58"/>
      <c r="O3885" s="58"/>
      <c r="P3885" s="53"/>
      <c r="Q3885" s="65"/>
      <c r="R3885" s="65"/>
      <c r="S3885" s="65"/>
      <c r="T3885" s="65"/>
      <c r="U3885" s="58"/>
      <c r="V3885" s="65"/>
      <c r="W3885" s="65"/>
      <c r="X3885" s="65"/>
      <c r="Y3885" s="65"/>
      <c r="Z3885" s="51"/>
      <c r="AA3885" s="51"/>
      <c r="AB3885" s="102"/>
      <c r="AC3885" s="81" t="e">
        <f t="shared" si="184"/>
        <v>#DIV/0!</v>
      </c>
      <c r="AD3885" s="82">
        <f t="shared" si="185"/>
        <v>0</v>
      </c>
      <c r="AE3885" s="218"/>
      <c r="AH3885" t="str">
        <f t="shared" si="183"/>
        <v>0000</v>
      </c>
      <c r="AJ3885" s="72"/>
      <c r="AK3885" s="72"/>
      <c r="AL3885" s="72"/>
      <c r="AM3885" s="72"/>
    </row>
    <row r="3886" spans="1:39" x14ac:dyDescent="0.25">
      <c r="A3886" s="37" t="s">
        <v>62</v>
      </c>
      <c r="B3886" s="66"/>
      <c r="C3886" s="4"/>
      <c r="D3886" s="41"/>
      <c r="E3886" s="41"/>
      <c r="F3886" s="85"/>
      <c r="G3886" s="39"/>
      <c r="H3886" s="52"/>
      <c r="I3886" s="52"/>
      <c r="J3886" s="49"/>
      <c r="K3886" s="58"/>
      <c r="L3886" s="58"/>
      <c r="M3886" s="58"/>
      <c r="N3886" s="58"/>
      <c r="O3886" s="58"/>
      <c r="P3886" s="53"/>
      <c r="Q3886" s="65"/>
      <c r="R3886" s="65"/>
      <c r="S3886" s="65"/>
      <c r="T3886" s="65"/>
      <c r="U3886" s="58"/>
      <c r="V3886" s="65"/>
      <c r="W3886" s="65"/>
      <c r="X3886" s="65"/>
      <c r="Y3886" s="65"/>
      <c r="Z3886" s="51"/>
      <c r="AA3886" s="51"/>
      <c r="AB3886" s="102"/>
      <c r="AC3886" s="81" t="e">
        <f t="shared" si="184"/>
        <v>#DIV/0!</v>
      </c>
      <c r="AD3886" s="82">
        <f t="shared" si="185"/>
        <v>0</v>
      </c>
      <c r="AE3886" s="218"/>
      <c r="AH3886" t="str">
        <f t="shared" si="183"/>
        <v>0000</v>
      </c>
      <c r="AJ3886" s="72"/>
      <c r="AK3886" s="72"/>
      <c r="AL3886" s="72"/>
      <c r="AM3886" s="72"/>
    </row>
    <row r="3887" spans="1:39" x14ac:dyDescent="0.25">
      <c r="A3887" s="37" t="s">
        <v>62</v>
      </c>
      <c r="B3887" s="66"/>
      <c r="C3887" s="4"/>
      <c r="D3887" s="41"/>
      <c r="E3887" s="41"/>
      <c r="F3887" s="85"/>
      <c r="G3887" s="39"/>
      <c r="H3887" s="52"/>
      <c r="I3887" s="52"/>
      <c r="J3887" s="49"/>
      <c r="K3887" s="58"/>
      <c r="L3887" s="58"/>
      <c r="M3887" s="58"/>
      <c r="N3887" s="58"/>
      <c r="O3887" s="58"/>
      <c r="P3887" s="53"/>
      <c r="Q3887" s="65"/>
      <c r="R3887" s="65"/>
      <c r="S3887" s="65"/>
      <c r="T3887" s="65"/>
      <c r="U3887" s="58"/>
      <c r="V3887" s="65"/>
      <c r="W3887" s="65"/>
      <c r="X3887" s="65"/>
      <c r="Y3887" s="65"/>
      <c r="Z3887" s="51"/>
      <c r="AA3887" s="51"/>
      <c r="AB3887" s="102"/>
      <c r="AC3887" s="81" t="e">
        <f t="shared" si="184"/>
        <v>#DIV/0!</v>
      </c>
      <c r="AD3887" s="82">
        <f t="shared" si="185"/>
        <v>0</v>
      </c>
      <c r="AE3887" s="218"/>
      <c r="AH3887" t="str">
        <f t="shared" si="183"/>
        <v>0000</v>
      </c>
      <c r="AJ3887" s="72"/>
      <c r="AK3887" s="72"/>
      <c r="AL3887" s="72"/>
      <c r="AM3887" s="72"/>
    </row>
    <row r="3888" spans="1:39" x14ac:dyDescent="0.25">
      <c r="A3888" s="37" t="s">
        <v>62</v>
      </c>
      <c r="B3888" s="66"/>
      <c r="C3888" s="4"/>
      <c r="D3888" s="41"/>
      <c r="E3888" s="41"/>
      <c r="F3888" s="85"/>
      <c r="G3888" s="39"/>
      <c r="H3888" s="52"/>
      <c r="I3888" s="52"/>
      <c r="J3888" s="49"/>
      <c r="K3888" s="58"/>
      <c r="L3888" s="58"/>
      <c r="M3888" s="58"/>
      <c r="N3888" s="58"/>
      <c r="O3888" s="58"/>
      <c r="P3888" s="53"/>
      <c r="Q3888" s="65"/>
      <c r="R3888" s="65"/>
      <c r="S3888" s="65"/>
      <c r="T3888" s="65"/>
      <c r="U3888" s="58"/>
      <c r="V3888" s="65"/>
      <c r="W3888" s="65"/>
      <c r="X3888" s="65"/>
      <c r="Y3888" s="65"/>
      <c r="Z3888" s="51"/>
      <c r="AA3888" s="51"/>
      <c r="AB3888" s="102"/>
      <c r="AC3888" s="81" t="e">
        <f t="shared" si="184"/>
        <v>#DIV/0!</v>
      </c>
      <c r="AD3888" s="82">
        <f t="shared" si="185"/>
        <v>0</v>
      </c>
      <c r="AE3888" s="218"/>
      <c r="AH3888" t="str">
        <f t="shared" si="183"/>
        <v>0000</v>
      </c>
      <c r="AJ3888" s="72"/>
      <c r="AK3888" s="72"/>
      <c r="AL3888" s="72"/>
      <c r="AM3888" s="72"/>
    </row>
    <row r="3889" spans="1:39" x14ac:dyDescent="0.25">
      <c r="A3889" s="37" t="s">
        <v>62</v>
      </c>
      <c r="B3889" s="66"/>
      <c r="C3889" s="4"/>
      <c r="D3889" s="41"/>
      <c r="E3889" s="41"/>
      <c r="F3889" s="85"/>
      <c r="G3889" s="39"/>
      <c r="H3889" s="52"/>
      <c r="I3889" s="52"/>
      <c r="J3889" s="49"/>
      <c r="K3889" s="58"/>
      <c r="L3889" s="58"/>
      <c r="M3889" s="58"/>
      <c r="N3889" s="58"/>
      <c r="O3889" s="58"/>
      <c r="P3889" s="53"/>
      <c r="Q3889" s="65"/>
      <c r="R3889" s="65"/>
      <c r="S3889" s="65"/>
      <c r="T3889" s="65"/>
      <c r="U3889" s="58"/>
      <c r="V3889" s="65"/>
      <c r="W3889" s="65"/>
      <c r="X3889" s="65"/>
      <c r="Y3889" s="65"/>
      <c r="Z3889" s="51"/>
      <c r="AA3889" s="51"/>
      <c r="AB3889" s="102"/>
      <c r="AC3889" s="81" t="e">
        <f t="shared" si="184"/>
        <v>#DIV/0!</v>
      </c>
      <c r="AD3889" s="82">
        <f t="shared" si="185"/>
        <v>0</v>
      </c>
      <c r="AE3889" s="218"/>
      <c r="AH3889" t="str">
        <f t="shared" si="183"/>
        <v>0000</v>
      </c>
      <c r="AJ3889" s="72"/>
      <c r="AK3889" s="72"/>
      <c r="AL3889" s="72"/>
      <c r="AM3889" s="72"/>
    </row>
    <row r="3890" spans="1:39" x14ac:dyDescent="0.25">
      <c r="A3890" s="37" t="s">
        <v>62</v>
      </c>
      <c r="B3890" s="66"/>
      <c r="C3890" s="4"/>
      <c r="D3890" s="41"/>
      <c r="E3890" s="41"/>
      <c r="F3890" s="85"/>
      <c r="G3890" s="39"/>
      <c r="H3890" s="52"/>
      <c r="I3890" s="52"/>
      <c r="J3890" s="49"/>
      <c r="K3890" s="58"/>
      <c r="L3890" s="58"/>
      <c r="M3890" s="58"/>
      <c r="N3890" s="58"/>
      <c r="O3890" s="58"/>
      <c r="P3890" s="53"/>
      <c r="Q3890" s="65"/>
      <c r="R3890" s="65"/>
      <c r="S3890" s="65"/>
      <c r="T3890" s="65"/>
      <c r="U3890" s="58"/>
      <c r="V3890" s="65"/>
      <c r="W3890" s="65"/>
      <c r="X3890" s="65"/>
      <c r="Y3890" s="65"/>
      <c r="Z3890" s="51"/>
      <c r="AA3890" s="51"/>
      <c r="AB3890" s="102"/>
      <c r="AC3890" s="81" t="e">
        <f t="shared" si="184"/>
        <v>#DIV/0!</v>
      </c>
      <c r="AD3890" s="82">
        <f t="shared" si="185"/>
        <v>0</v>
      </c>
      <c r="AE3890" s="218"/>
      <c r="AH3890" t="str">
        <f t="shared" si="183"/>
        <v>0000</v>
      </c>
      <c r="AJ3890" s="72"/>
      <c r="AK3890" s="72"/>
      <c r="AL3890" s="72"/>
      <c r="AM3890" s="72"/>
    </row>
    <row r="3891" spans="1:39" x14ac:dyDescent="0.25">
      <c r="A3891" s="37" t="s">
        <v>62</v>
      </c>
      <c r="B3891" s="66"/>
      <c r="C3891" s="4"/>
      <c r="D3891" s="41"/>
      <c r="E3891" s="41"/>
      <c r="F3891" s="85"/>
      <c r="G3891" s="39"/>
      <c r="H3891" s="52"/>
      <c r="I3891" s="52"/>
      <c r="J3891" s="49"/>
      <c r="K3891" s="58"/>
      <c r="L3891" s="58"/>
      <c r="M3891" s="58"/>
      <c r="N3891" s="58"/>
      <c r="O3891" s="58"/>
      <c r="P3891" s="53"/>
      <c r="Q3891" s="65"/>
      <c r="R3891" s="65"/>
      <c r="S3891" s="65"/>
      <c r="T3891" s="65"/>
      <c r="U3891" s="58"/>
      <c r="V3891" s="65"/>
      <c r="W3891" s="65"/>
      <c r="X3891" s="65"/>
      <c r="Y3891" s="65"/>
      <c r="Z3891" s="51"/>
      <c r="AA3891" s="51"/>
      <c r="AB3891" s="102"/>
      <c r="AC3891" s="81" t="e">
        <f t="shared" si="184"/>
        <v>#DIV/0!</v>
      </c>
      <c r="AD3891" s="82">
        <f t="shared" si="185"/>
        <v>0</v>
      </c>
      <c r="AE3891" s="218"/>
      <c r="AH3891" t="str">
        <f t="shared" si="183"/>
        <v>0000</v>
      </c>
      <c r="AJ3891" s="72"/>
      <c r="AK3891" s="72"/>
      <c r="AL3891" s="72"/>
      <c r="AM3891" s="72"/>
    </row>
    <row r="3892" spans="1:39" x14ac:dyDescent="0.25">
      <c r="A3892" s="37" t="s">
        <v>62</v>
      </c>
      <c r="B3892" s="66"/>
      <c r="C3892" s="4"/>
      <c r="D3892" s="41"/>
      <c r="E3892" s="41"/>
      <c r="F3892" s="85"/>
      <c r="G3892" s="39"/>
      <c r="H3892" s="52"/>
      <c r="I3892" s="52"/>
      <c r="J3892" s="49"/>
      <c r="K3892" s="58"/>
      <c r="L3892" s="58"/>
      <c r="M3892" s="58"/>
      <c r="N3892" s="58"/>
      <c r="O3892" s="58"/>
      <c r="P3892" s="53"/>
      <c r="Q3892" s="65"/>
      <c r="R3892" s="65"/>
      <c r="S3892" s="65"/>
      <c r="T3892" s="65"/>
      <c r="U3892" s="58"/>
      <c r="V3892" s="65"/>
      <c r="W3892" s="65"/>
      <c r="X3892" s="65"/>
      <c r="Y3892" s="65"/>
      <c r="Z3892" s="51"/>
      <c r="AA3892" s="51"/>
      <c r="AB3892" s="102"/>
      <c r="AC3892" s="81" t="e">
        <f t="shared" si="184"/>
        <v>#DIV/0!</v>
      </c>
      <c r="AD3892" s="82">
        <f t="shared" si="185"/>
        <v>0</v>
      </c>
      <c r="AE3892" s="218"/>
      <c r="AH3892" t="str">
        <f t="shared" si="183"/>
        <v>0000</v>
      </c>
      <c r="AJ3892" s="72"/>
      <c r="AK3892" s="72"/>
      <c r="AL3892" s="72"/>
      <c r="AM3892" s="72"/>
    </row>
    <row r="3893" spans="1:39" x14ac:dyDescent="0.25">
      <c r="A3893" s="37" t="s">
        <v>62</v>
      </c>
      <c r="B3893" s="66"/>
      <c r="C3893" s="4"/>
      <c r="D3893" s="41"/>
      <c r="E3893" s="41"/>
      <c r="F3893" s="85"/>
      <c r="G3893" s="39"/>
      <c r="H3893" s="52"/>
      <c r="I3893" s="52"/>
      <c r="J3893" s="49"/>
      <c r="K3893" s="58"/>
      <c r="L3893" s="58"/>
      <c r="M3893" s="58"/>
      <c r="N3893" s="58"/>
      <c r="O3893" s="58"/>
      <c r="P3893" s="53"/>
      <c r="Q3893" s="65"/>
      <c r="R3893" s="65"/>
      <c r="S3893" s="65"/>
      <c r="T3893" s="65"/>
      <c r="U3893" s="58"/>
      <c r="V3893" s="65"/>
      <c r="W3893" s="65"/>
      <c r="X3893" s="65"/>
      <c r="Y3893" s="65"/>
      <c r="Z3893" s="51"/>
      <c r="AA3893" s="51"/>
      <c r="AB3893" s="102"/>
      <c r="AC3893" s="81" t="e">
        <f t="shared" si="184"/>
        <v>#DIV/0!</v>
      </c>
      <c r="AD3893" s="82">
        <f t="shared" si="185"/>
        <v>0</v>
      </c>
      <c r="AE3893" s="218"/>
      <c r="AH3893" t="str">
        <f t="shared" si="183"/>
        <v>0000</v>
      </c>
      <c r="AJ3893" s="72"/>
      <c r="AK3893" s="72"/>
      <c r="AL3893" s="72"/>
      <c r="AM3893" s="72"/>
    </row>
    <row r="3894" spans="1:39" x14ac:dyDescent="0.25">
      <c r="A3894" s="37" t="s">
        <v>62</v>
      </c>
      <c r="B3894" s="66"/>
      <c r="C3894" s="4"/>
      <c r="D3894" s="41"/>
      <c r="E3894" s="41"/>
      <c r="F3894" s="85"/>
      <c r="G3894" s="39"/>
      <c r="H3894" s="52"/>
      <c r="I3894" s="52"/>
      <c r="J3894" s="49"/>
      <c r="K3894" s="58"/>
      <c r="L3894" s="58"/>
      <c r="M3894" s="58"/>
      <c r="N3894" s="58"/>
      <c r="O3894" s="58"/>
      <c r="P3894" s="53"/>
      <c r="Q3894" s="65"/>
      <c r="R3894" s="65"/>
      <c r="S3894" s="65"/>
      <c r="T3894" s="65"/>
      <c r="U3894" s="58"/>
      <c r="V3894" s="65"/>
      <c r="W3894" s="65"/>
      <c r="X3894" s="65"/>
      <c r="Y3894" s="65"/>
      <c r="Z3894" s="51"/>
      <c r="AA3894" s="51"/>
      <c r="AB3894" s="102"/>
      <c r="AC3894" s="81" t="e">
        <f t="shared" si="184"/>
        <v>#DIV/0!</v>
      </c>
      <c r="AD3894" s="82">
        <f t="shared" si="185"/>
        <v>0</v>
      </c>
      <c r="AE3894" s="218"/>
      <c r="AH3894" t="str">
        <f t="shared" si="183"/>
        <v>0000</v>
      </c>
      <c r="AJ3894" s="72"/>
      <c r="AK3894" s="72"/>
      <c r="AL3894" s="72"/>
      <c r="AM3894" s="72"/>
    </row>
    <row r="3895" spans="1:39" x14ac:dyDescent="0.25">
      <c r="A3895" s="37" t="s">
        <v>62</v>
      </c>
      <c r="B3895" s="66"/>
      <c r="C3895" s="4"/>
      <c r="D3895" s="41"/>
      <c r="E3895" s="41"/>
      <c r="F3895" s="85"/>
      <c r="G3895" s="39"/>
      <c r="H3895" s="52"/>
      <c r="I3895" s="52"/>
      <c r="J3895" s="49"/>
      <c r="K3895" s="58"/>
      <c r="L3895" s="58"/>
      <c r="M3895" s="58"/>
      <c r="N3895" s="58"/>
      <c r="O3895" s="58"/>
      <c r="P3895" s="53"/>
      <c r="Q3895" s="65"/>
      <c r="R3895" s="65"/>
      <c r="S3895" s="65"/>
      <c r="T3895" s="65"/>
      <c r="U3895" s="58"/>
      <c r="V3895" s="65"/>
      <c r="W3895" s="65"/>
      <c r="X3895" s="65"/>
      <c r="Y3895" s="65"/>
      <c r="Z3895" s="51"/>
      <c r="AA3895" s="51"/>
      <c r="AB3895" s="102"/>
      <c r="AC3895" s="81" t="e">
        <f t="shared" si="184"/>
        <v>#DIV/0!</v>
      </c>
      <c r="AD3895" s="82">
        <f t="shared" si="185"/>
        <v>0</v>
      </c>
      <c r="AE3895" s="218"/>
      <c r="AH3895" t="str">
        <f t="shared" si="183"/>
        <v>0000</v>
      </c>
      <c r="AJ3895" s="72"/>
      <c r="AK3895" s="72"/>
      <c r="AL3895" s="72"/>
      <c r="AM3895" s="72"/>
    </row>
    <row r="3896" spans="1:39" x14ac:dyDescent="0.25">
      <c r="A3896" s="37" t="s">
        <v>62</v>
      </c>
      <c r="B3896" s="66"/>
      <c r="C3896" s="4"/>
      <c r="D3896" s="41"/>
      <c r="E3896" s="41"/>
      <c r="F3896" s="85"/>
      <c r="G3896" s="39"/>
      <c r="H3896" s="52"/>
      <c r="I3896" s="52"/>
      <c r="J3896" s="49"/>
      <c r="K3896" s="58"/>
      <c r="L3896" s="58"/>
      <c r="M3896" s="58"/>
      <c r="N3896" s="58"/>
      <c r="O3896" s="58"/>
      <c r="P3896" s="53"/>
      <c r="Q3896" s="65"/>
      <c r="R3896" s="65"/>
      <c r="S3896" s="65"/>
      <c r="T3896" s="65"/>
      <c r="U3896" s="58"/>
      <c r="V3896" s="65"/>
      <c r="W3896" s="65"/>
      <c r="X3896" s="65"/>
      <c r="Y3896" s="65"/>
      <c r="Z3896" s="51"/>
      <c r="AA3896" s="51"/>
      <c r="AB3896" s="102"/>
      <c r="AC3896" s="81" t="e">
        <f t="shared" si="184"/>
        <v>#DIV/0!</v>
      </c>
      <c r="AD3896" s="82">
        <f t="shared" si="185"/>
        <v>0</v>
      </c>
      <c r="AE3896" s="218"/>
      <c r="AH3896" t="str">
        <f t="shared" si="183"/>
        <v>0000</v>
      </c>
      <c r="AJ3896" s="72"/>
      <c r="AK3896" s="72"/>
      <c r="AL3896" s="72"/>
      <c r="AM3896" s="72"/>
    </row>
    <row r="3897" spans="1:39" x14ac:dyDescent="0.25">
      <c r="A3897" s="37" t="s">
        <v>62</v>
      </c>
      <c r="B3897" s="66"/>
      <c r="C3897" s="4"/>
      <c r="D3897" s="41"/>
      <c r="E3897" s="41"/>
      <c r="F3897" s="85"/>
      <c r="G3897" s="39"/>
      <c r="H3897" s="52"/>
      <c r="I3897" s="52"/>
      <c r="J3897" s="49"/>
      <c r="K3897" s="58"/>
      <c r="L3897" s="58"/>
      <c r="M3897" s="58"/>
      <c r="N3897" s="58"/>
      <c r="O3897" s="58"/>
      <c r="P3897" s="53"/>
      <c r="Q3897" s="65"/>
      <c r="R3897" s="65"/>
      <c r="S3897" s="65"/>
      <c r="T3897" s="65"/>
      <c r="U3897" s="58"/>
      <c r="V3897" s="65"/>
      <c r="W3897" s="65"/>
      <c r="X3897" s="65"/>
      <c r="Y3897" s="65"/>
      <c r="Z3897" s="51"/>
      <c r="AA3897" s="51"/>
      <c r="AB3897" s="102"/>
      <c r="AC3897" s="81" t="e">
        <f t="shared" si="184"/>
        <v>#DIV/0!</v>
      </c>
      <c r="AD3897" s="82">
        <f t="shared" si="185"/>
        <v>0</v>
      </c>
      <c r="AE3897" s="218"/>
      <c r="AH3897" t="str">
        <f t="shared" si="183"/>
        <v>0000</v>
      </c>
      <c r="AJ3897" s="72"/>
      <c r="AK3897" s="72"/>
      <c r="AL3897" s="72"/>
      <c r="AM3897" s="72"/>
    </row>
    <row r="3898" spans="1:39" x14ac:dyDescent="0.25">
      <c r="A3898" s="37" t="s">
        <v>62</v>
      </c>
      <c r="B3898" s="66"/>
      <c r="C3898" s="4"/>
      <c r="D3898" s="41"/>
      <c r="E3898" s="41"/>
      <c r="F3898" s="85"/>
      <c r="G3898" s="39"/>
      <c r="H3898" s="52"/>
      <c r="I3898" s="52"/>
      <c r="J3898" s="49"/>
      <c r="K3898" s="58"/>
      <c r="L3898" s="58"/>
      <c r="M3898" s="58"/>
      <c r="N3898" s="58"/>
      <c r="O3898" s="58"/>
      <c r="P3898" s="53"/>
      <c r="Q3898" s="65"/>
      <c r="R3898" s="65"/>
      <c r="S3898" s="65"/>
      <c r="T3898" s="65"/>
      <c r="U3898" s="58"/>
      <c r="V3898" s="65"/>
      <c r="W3898" s="65"/>
      <c r="X3898" s="65"/>
      <c r="Y3898" s="65"/>
      <c r="Z3898" s="51"/>
      <c r="AA3898" s="51"/>
      <c r="AB3898" s="102"/>
      <c r="AC3898" s="81" t="e">
        <f t="shared" si="184"/>
        <v>#DIV/0!</v>
      </c>
      <c r="AD3898" s="82">
        <f t="shared" si="185"/>
        <v>0</v>
      </c>
      <c r="AE3898" s="218"/>
      <c r="AH3898" t="str">
        <f t="shared" si="183"/>
        <v>0000</v>
      </c>
      <c r="AJ3898" s="72"/>
      <c r="AK3898" s="72"/>
      <c r="AL3898" s="72"/>
      <c r="AM3898" s="72"/>
    </row>
    <row r="3899" spans="1:39" x14ac:dyDescent="0.25">
      <c r="A3899" s="37" t="s">
        <v>62</v>
      </c>
      <c r="B3899" s="66"/>
      <c r="C3899" s="4"/>
      <c r="D3899" s="41"/>
      <c r="E3899" s="41"/>
      <c r="F3899" s="85"/>
      <c r="G3899" s="39"/>
      <c r="H3899" s="52"/>
      <c r="I3899" s="52"/>
      <c r="J3899" s="49"/>
      <c r="K3899" s="58"/>
      <c r="L3899" s="58"/>
      <c r="M3899" s="58"/>
      <c r="N3899" s="58"/>
      <c r="O3899" s="58"/>
      <c r="P3899" s="53"/>
      <c r="Q3899" s="65"/>
      <c r="R3899" s="65"/>
      <c r="S3899" s="65"/>
      <c r="T3899" s="65"/>
      <c r="U3899" s="58"/>
      <c r="V3899" s="65"/>
      <c r="W3899" s="65"/>
      <c r="X3899" s="65"/>
      <c r="Y3899" s="65"/>
      <c r="Z3899" s="51"/>
      <c r="AA3899" s="51"/>
      <c r="AB3899" s="102"/>
      <c r="AC3899" s="81" t="e">
        <f t="shared" si="184"/>
        <v>#DIV/0!</v>
      </c>
      <c r="AD3899" s="82">
        <f t="shared" si="185"/>
        <v>0</v>
      </c>
      <c r="AE3899" s="218"/>
      <c r="AH3899" t="str">
        <f t="shared" ref="AH3899:AH3961" si="186">TEXT(D3899,"0000")</f>
        <v>0000</v>
      </c>
      <c r="AJ3899" s="72"/>
      <c r="AK3899" s="72"/>
      <c r="AL3899" s="72"/>
      <c r="AM3899" s="72"/>
    </row>
    <row r="3900" spans="1:39" x14ac:dyDescent="0.25">
      <c r="A3900" s="37" t="s">
        <v>62</v>
      </c>
      <c r="B3900" s="66"/>
      <c r="C3900" s="4"/>
      <c r="D3900" s="41"/>
      <c r="E3900" s="41"/>
      <c r="F3900" s="85"/>
      <c r="G3900" s="39"/>
      <c r="H3900" s="52"/>
      <c r="I3900" s="52"/>
      <c r="J3900" s="49"/>
      <c r="K3900" s="58"/>
      <c r="L3900" s="58"/>
      <c r="M3900" s="58"/>
      <c r="N3900" s="58"/>
      <c r="O3900" s="58"/>
      <c r="P3900" s="53"/>
      <c r="Q3900" s="65"/>
      <c r="R3900" s="65"/>
      <c r="S3900" s="65"/>
      <c r="T3900" s="65"/>
      <c r="U3900" s="58"/>
      <c r="V3900" s="65"/>
      <c r="W3900" s="65"/>
      <c r="X3900" s="65"/>
      <c r="Y3900" s="65"/>
      <c r="Z3900" s="51"/>
      <c r="AA3900" s="51"/>
      <c r="AB3900" s="102"/>
      <c r="AC3900" s="81" t="e">
        <f t="shared" si="184"/>
        <v>#DIV/0!</v>
      </c>
      <c r="AD3900" s="82">
        <f t="shared" si="185"/>
        <v>0</v>
      </c>
      <c r="AE3900" s="218"/>
      <c r="AH3900" t="str">
        <f t="shared" si="186"/>
        <v>0000</v>
      </c>
      <c r="AJ3900" s="72"/>
      <c r="AK3900" s="72"/>
      <c r="AL3900" s="72"/>
      <c r="AM3900" s="72"/>
    </row>
    <row r="3901" spans="1:39" x14ac:dyDescent="0.25">
      <c r="A3901" s="37" t="s">
        <v>62</v>
      </c>
      <c r="B3901" s="66"/>
      <c r="C3901" s="4"/>
      <c r="D3901" s="41"/>
      <c r="E3901" s="41"/>
      <c r="F3901" s="85"/>
      <c r="G3901" s="39"/>
      <c r="H3901" s="52"/>
      <c r="I3901" s="52"/>
      <c r="J3901" s="49"/>
      <c r="K3901" s="58"/>
      <c r="L3901" s="58"/>
      <c r="M3901" s="58"/>
      <c r="N3901" s="58"/>
      <c r="O3901" s="58"/>
      <c r="P3901" s="53"/>
      <c r="Q3901" s="65"/>
      <c r="R3901" s="65"/>
      <c r="S3901" s="65"/>
      <c r="T3901" s="65"/>
      <c r="U3901" s="58"/>
      <c r="V3901" s="65"/>
      <c r="W3901" s="65"/>
      <c r="X3901" s="65"/>
      <c r="Y3901" s="65"/>
      <c r="Z3901" s="51"/>
      <c r="AA3901" s="51"/>
      <c r="AB3901" s="102"/>
      <c r="AC3901" s="81" t="e">
        <f t="shared" si="184"/>
        <v>#DIV/0!</v>
      </c>
      <c r="AD3901" s="82">
        <f t="shared" si="185"/>
        <v>0</v>
      </c>
      <c r="AE3901" s="218"/>
      <c r="AH3901" t="str">
        <f t="shared" si="186"/>
        <v>0000</v>
      </c>
      <c r="AJ3901" s="72"/>
      <c r="AK3901" s="72"/>
      <c r="AL3901" s="72"/>
      <c r="AM3901" s="72"/>
    </row>
    <row r="3902" spans="1:39" x14ac:dyDescent="0.25">
      <c r="A3902" s="37" t="s">
        <v>62</v>
      </c>
      <c r="B3902" s="66"/>
      <c r="C3902" s="4"/>
      <c r="D3902" s="41"/>
      <c r="E3902" s="41"/>
      <c r="F3902" s="85"/>
      <c r="G3902" s="39"/>
      <c r="H3902" s="52"/>
      <c r="I3902" s="52"/>
      <c r="J3902" s="49"/>
      <c r="K3902" s="58"/>
      <c r="L3902" s="58"/>
      <c r="M3902" s="58"/>
      <c r="N3902" s="58"/>
      <c r="O3902" s="58"/>
      <c r="P3902" s="53"/>
      <c r="Q3902" s="65"/>
      <c r="R3902" s="65"/>
      <c r="S3902" s="65"/>
      <c r="T3902" s="65"/>
      <c r="U3902" s="58"/>
      <c r="V3902" s="65"/>
      <c r="W3902" s="65"/>
      <c r="X3902" s="65"/>
      <c r="Y3902" s="65"/>
      <c r="Z3902" s="51"/>
      <c r="AA3902" s="51"/>
      <c r="AB3902" s="102"/>
      <c r="AC3902" s="81" t="e">
        <f t="shared" si="184"/>
        <v>#DIV/0!</v>
      </c>
      <c r="AD3902" s="82">
        <f t="shared" si="185"/>
        <v>0</v>
      </c>
      <c r="AE3902" s="218"/>
      <c r="AH3902" t="str">
        <f t="shared" si="186"/>
        <v>0000</v>
      </c>
      <c r="AJ3902" s="72"/>
      <c r="AK3902" s="72"/>
      <c r="AL3902" s="72"/>
      <c r="AM3902" s="72"/>
    </row>
    <row r="3903" spans="1:39" x14ac:dyDescent="0.25">
      <c r="A3903" s="37" t="s">
        <v>62</v>
      </c>
      <c r="B3903" s="66"/>
      <c r="C3903" s="4"/>
      <c r="D3903" s="41"/>
      <c r="E3903" s="41"/>
      <c r="F3903" s="85"/>
      <c r="G3903" s="39"/>
      <c r="H3903" s="52"/>
      <c r="I3903" s="52"/>
      <c r="J3903" s="49"/>
      <c r="K3903" s="58"/>
      <c r="L3903" s="58"/>
      <c r="M3903" s="58"/>
      <c r="N3903" s="58"/>
      <c r="O3903" s="58"/>
      <c r="P3903" s="53"/>
      <c r="Q3903" s="65"/>
      <c r="R3903" s="65"/>
      <c r="S3903" s="65"/>
      <c r="T3903" s="65"/>
      <c r="U3903" s="58"/>
      <c r="V3903" s="65"/>
      <c r="W3903" s="65"/>
      <c r="X3903" s="65"/>
      <c r="Y3903" s="65"/>
      <c r="Z3903" s="51"/>
      <c r="AA3903" s="51"/>
      <c r="AB3903" s="102"/>
      <c r="AC3903" s="81" t="e">
        <f t="shared" si="184"/>
        <v>#DIV/0!</v>
      </c>
      <c r="AD3903" s="82">
        <f t="shared" si="185"/>
        <v>0</v>
      </c>
      <c r="AE3903" s="218"/>
      <c r="AH3903" t="str">
        <f t="shared" si="186"/>
        <v>0000</v>
      </c>
      <c r="AJ3903" s="72"/>
      <c r="AK3903" s="72"/>
      <c r="AL3903" s="72"/>
      <c r="AM3903" s="72"/>
    </row>
    <row r="3904" spans="1:39" x14ac:dyDescent="0.25">
      <c r="A3904" s="37" t="s">
        <v>62</v>
      </c>
      <c r="B3904" s="66"/>
      <c r="C3904" s="4"/>
      <c r="D3904" s="41"/>
      <c r="E3904" s="41"/>
      <c r="F3904" s="85"/>
      <c r="G3904" s="39"/>
      <c r="H3904" s="52"/>
      <c r="I3904" s="52"/>
      <c r="J3904" s="49"/>
      <c r="K3904" s="58"/>
      <c r="L3904" s="58"/>
      <c r="M3904" s="58"/>
      <c r="N3904" s="58"/>
      <c r="O3904" s="58"/>
      <c r="P3904" s="53"/>
      <c r="Q3904" s="65"/>
      <c r="R3904" s="65"/>
      <c r="S3904" s="65"/>
      <c r="T3904" s="65"/>
      <c r="U3904" s="58"/>
      <c r="V3904" s="65"/>
      <c r="W3904" s="65"/>
      <c r="X3904" s="65"/>
      <c r="Y3904" s="65"/>
      <c r="Z3904" s="51"/>
      <c r="AA3904" s="51"/>
      <c r="AB3904" s="102"/>
      <c r="AC3904" s="81" t="e">
        <f t="shared" si="184"/>
        <v>#DIV/0!</v>
      </c>
      <c r="AD3904" s="82">
        <f t="shared" si="185"/>
        <v>0</v>
      </c>
      <c r="AE3904" s="218"/>
      <c r="AH3904" t="str">
        <f t="shared" si="186"/>
        <v>0000</v>
      </c>
      <c r="AJ3904" s="72"/>
      <c r="AK3904" s="72"/>
      <c r="AL3904" s="72"/>
      <c r="AM3904" s="72"/>
    </row>
    <row r="3905" spans="1:39" x14ac:dyDescent="0.25">
      <c r="A3905" s="37" t="s">
        <v>62</v>
      </c>
      <c r="B3905" s="66"/>
      <c r="C3905" s="4"/>
      <c r="D3905" s="41"/>
      <c r="E3905" s="41"/>
      <c r="F3905" s="85"/>
      <c r="G3905" s="39"/>
      <c r="H3905" s="52"/>
      <c r="I3905" s="52"/>
      <c r="J3905" s="49"/>
      <c r="K3905" s="58"/>
      <c r="L3905" s="58"/>
      <c r="M3905" s="58"/>
      <c r="N3905" s="58"/>
      <c r="O3905" s="58"/>
      <c r="P3905" s="53"/>
      <c r="Q3905" s="65"/>
      <c r="R3905" s="65"/>
      <c r="S3905" s="65"/>
      <c r="T3905" s="65"/>
      <c r="U3905" s="58"/>
      <c r="V3905" s="65"/>
      <c r="W3905" s="65"/>
      <c r="X3905" s="65"/>
      <c r="Y3905" s="65"/>
      <c r="Z3905" s="51"/>
      <c r="AA3905" s="51"/>
      <c r="AB3905" s="102"/>
      <c r="AC3905" s="81" t="e">
        <f t="shared" ref="AC3905:AC3968" si="187">((IF(AD3905=0,0,100-AD3905))*7*(J3905/I3905))*2%</f>
        <v>#DIV/0!</v>
      </c>
      <c r="AD3905" s="82">
        <f t="shared" ref="AD3905:AD3968" si="188">IF((I3905/7)&gt;100,0,(I3905/7))</f>
        <v>0</v>
      </c>
      <c r="AE3905" s="218"/>
      <c r="AH3905" t="str">
        <f t="shared" si="186"/>
        <v>0000</v>
      </c>
      <c r="AJ3905" s="72"/>
      <c r="AK3905" s="72"/>
      <c r="AL3905" s="72"/>
      <c r="AM3905" s="72"/>
    </row>
    <row r="3906" spans="1:39" x14ac:dyDescent="0.25">
      <c r="A3906" s="37" t="s">
        <v>62</v>
      </c>
      <c r="B3906" s="66"/>
      <c r="C3906" s="4"/>
      <c r="D3906" s="41"/>
      <c r="E3906" s="41"/>
      <c r="F3906" s="85"/>
      <c r="G3906" s="39"/>
      <c r="H3906" s="52"/>
      <c r="I3906" s="52"/>
      <c r="J3906" s="49"/>
      <c r="K3906" s="58"/>
      <c r="L3906" s="58"/>
      <c r="M3906" s="58"/>
      <c r="N3906" s="58"/>
      <c r="O3906" s="58"/>
      <c r="P3906" s="53"/>
      <c r="Q3906" s="65"/>
      <c r="R3906" s="65"/>
      <c r="S3906" s="65"/>
      <c r="T3906" s="65"/>
      <c r="U3906" s="58"/>
      <c r="V3906" s="65"/>
      <c r="W3906" s="65"/>
      <c r="X3906" s="65"/>
      <c r="Y3906" s="65"/>
      <c r="Z3906" s="51"/>
      <c r="AA3906" s="51"/>
      <c r="AB3906" s="102"/>
      <c r="AC3906" s="81" t="e">
        <f t="shared" si="187"/>
        <v>#DIV/0!</v>
      </c>
      <c r="AD3906" s="82">
        <f t="shared" si="188"/>
        <v>0</v>
      </c>
      <c r="AE3906" s="218"/>
      <c r="AH3906" t="str">
        <f t="shared" si="186"/>
        <v>0000</v>
      </c>
      <c r="AJ3906" s="72"/>
      <c r="AK3906" s="72"/>
      <c r="AL3906" s="72"/>
      <c r="AM3906" s="72"/>
    </row>
    <row r="3907" spans="1:39" x14ac:dyDescent="0.25">
      <c r="A3907" s="37" t="s">
        <v>62</v>
      </c>
      <c r="B3907" s="66"/>
      <c r="C3907" s="4"/>
      <c r="D3907" s="41"/>
      <c r="E3907" s="41"/>
      <c r="F3907" s="85"/>
      <c r="G3907" s="39"/>
      <c r="H3907" s="52"/>
      <c r="I3907" s="52"/>
      <c r="J3907" s="49"/>
      <c r="K3907" s="58"/>
      <c r="L3907" s="58"/>
      <c r="M3907" s="58"/>
      <c r="N3907" s="58"/>
      <c r="O3907" s="58"/>
      <c r="P3907" s="53"/>
      <c r="Q3907" s="65"/>
      <c r="R3907" s="65"/>
      <c r="S3907" s="65"/>
      <c r="T3907" s="65"/>
      <c r="U3907" s="58"/>
      <c r="V3907" s="65"/>
      <c r="W3907" s="65"/>
      <c r="X3907" s="65"/>
      <c r="Y3907" s="65"/>
      <c r="Z3907" s="51"/>
      <c r="AA3907" s="51"/>
      <c r="AB3907" s="102"/>
      <c r="AC3907" s="81" t="e">
        <f t="shared" si="187"/>
        <v>#DIV/0!</v>
      </c>
      <c r="AD3907" s="82">
        <f t="shared" si="188"/>
        <v>0</v>
      </c>
      <c r="AE3907" s="218"/>
      <c r="AH3907" t="str">
        <f t="shared" si="186"/>
        <v>0000</v>
      </c>
      <c r="AJ3907" s="72"/>
      <c r="AK3907" s="72"/>
      <c r="AL3907" s="72"/>
      <c r="AM3907" s="72"/>
    </row>
    <row r="3908" spans="1:39" x14ac:dyDescent="0.25">
      <c r="A3908" s="37" t="s">
        <v>62</v>
      </c>
      <c r="B3908" s="66"/>
      <c r="C3908" s="4"/>
      <c r="D3908" s="41"/>
      <c r="E3908" s="41"/>
      <c r="F3908" s="85"/>
      <c r="G3908" s="39"/>
      <c r="H3908" s="52"/>
      <c r="I3908" s="52"/>
      <c r="J3908" s="49"/>
      <c r="K3908" s="58"/>
      <c r="L3908" s="58"/>
      <c r="M3908" s="58"/>
      <c r="N3908" s="58"/>
      <c r="O3908" s="58"/>
      <c r="P3908" s="53"/>
      <c r="Q3908" s="65"/>
      <c r="R3908" s="65"/>
      <c r="S3908" s="65"/>
      <c r="T3908" s="65"/>
      <c r="U3908" s="58"/>
      <c r="V3908" s="65"/>
      <c r="W3908" s="65"/>
      <c r="X3908" s="65"/>
      <c r="Y3908" s="65"/>
      <c r="Z3908" s="51"/>
      <c r="AA3908" s="51"/>
      <c r="AB3908" s="102"/>
      <c r="AC3908" s="81" t="e">
        <f t="shared" si="187"/>
        <v>#DIV/0!</v>
      </c>
      <c r="AD3908" s="82">
        <f t="shared" si="188"/>
        <v>0</v>
      </c>
      <c r="AE3908" s="218"/>
      <c r="AH3908" t="str">
        <f t="shared" si="186"/>
        <v>0000</v>
      </c>
      <c r="AJ3908" s="72"/>
      <c r="AK3908" s="72"/>
      <c r="AL3908" s="72"/>
      <c r="AM3908" s="72"/>
    </row>
    <row r="3909" spans="1:39" x14ac:dyDescent="0.25">
      <c r="A3909" s="37" t="s">
        <v>62</v>
      </c>
      <c r="B3909" s="66"/>
      <c r="C3909" s="4"/>
      <c r="D3909" s="41"/>
      <c r="E3909" s="41"/>
      <c r="F3909" s="85"/>
      <c r="G3909" s="39"/>
      <c r="H3909" s="52"/>
      <c r="I3909" s="52"/>
      <c r="J3909" s="49"/>
      <c r="K3909" s="58"/>
      <c r="L3909" s="58"/>
      <c r="M3909" s="58"/>
      <c r="N3909" s="58"/>
      <c r="O3909" s="58"/>
      <c r="P3909" s="53"/>
      <c r="Q3909" s="65"/>
      <c r="R3909" s="65"/>
      <c r="S3909" s="65"/>
      <c r="T3909" s="65"/>
      <c r="U3909" s="58"/>
      <c r="V3909" s="65"/>
      <c r="W3909" s="65"/>
      <c r="X3909" s="65"/>
      <c r="Y3909" s="65"/>
      <c r="Z3909" s="51"/>
      <c r="AA3909" s="51"/>
      <c r="AB3909" s="102"/>
      <c r="AC3909" s="81" t="e">
        <f t="shared" si="187"/>
        <v>#DIV/0!</v>
      </c>
      <c r="AD3909" s="82">
        <f t="shared" si="188"/>
        <v>0</v>
      </c>
      <c r="AE3909" s="218"/>
      <c r="AH3909" t="str">
        <f t="shared" si="186"/>
        <v>0000</v>
      </c>
      <c r="AJ3909" s="72"/>
      <c r="AK3909" s="72"/>
      <c r="AL3909" s="72"/>
      <c r="AM3909" s="72"/>
    </row>
    <row r="3910" spans="1:39" x14ac:dyDescent="0.25">
      <c r="A3910" s="37" t="s">
        <v>62</v>
      </c>
      <c r="B3910" s="66"/>
      <c r="C3910" s="4"/>
      <c r="D3910" s="41"/>
      <c r="E3910" s="41"/>
      <c r="F3910" s="85"/>
      <c r="G3910" s="39"/>
      <c r="H3910" s="52"/>
      <c r="I3910" s="52"/>
      <c r="J3910" s="49"/>
      <c r="K3910" s="58"/>
      <c r="L3910" s="58"/>
      <c r="M3910" s="58"/>
      <c r="N3910" s="58"/>
      <c r="O3910" s="58"/>
      <c r="P3910" s="53"/>
      <c r="Q3910" s="65"/>
      <c r="R3910" s="65"/>
      <c r="S3910" s="65"/>
      <c r="T3910" s="65"/>
      <c r="U3910" s="58"/>
      <c r="V3910" s="65"/>
      <c r="W3910" s="65"/>
      <c r="X3910" s="65"/>
      <c r="Y3910" s="65"/>
      <c r="Z3910" s="51"/>
      <c r="AA3910" s="51"/>
      <c r="AB3910" s="102"/>
      <c r="AC3910" s="81" t="e">
        <f t="shared" si="187"/>
        <v>#DIV/0!</v>
      </c>
      <c r="AD3910" s="82">
        <f t="shared" si="188"/>
        <v>0</v>
      </c>
      <c r="AE3910" s="218"/>
      <c r="AH3910" t="str">
        <f t="shared" si="186"/>
        <v>0000</v>
      </c>
      <c r="AJ3910" s="72"/>
      <c r="AK3910" s="72"/>
      <c r="AL3910" s="72"/>
      <c r="AM3910" s="72"/>
    </row>
    <row r="3911" spans="1:39" x14ac:dyDescent="0.25">
      <c r="A3911" s="37" t="s">
        <v>62</v>
      </c>
      <c r="B3911" s="66"/>
      <c r="C3911" s="4"/>
      <c r="D3911" s="41"/>
      <c r="E3911" s="41"/>
      <c r="F3911" s="85"/>
      <c r="G3911" s="39"/>
      <c r="H3911" s="52"/>
      <c r="I3911" s="52"/>
      <c r="J3911" s="49"/>
      <c r="K3911" s="58"/>
      <c r="L3911" s="58"/>
      <c r="M3911" s="58"/>
      <c r="N3911" s="58"/>
      <c r="O3911" s="58"/>
      <c r="P3911" s="53"/>
      <c r="Q3911" s="65"/>
      <c r="R3911" s="65"/>
      <c r="S3911" s="65"/>
      <c r="T3911" s="65"/>
      <c r="U3911" s="58"/>
      <c r="V3911" s="65"/>
      <c r="W3911" s="65"/>
      <c r="X3911" s="65"/>
      <c r="Y3911" s="65"/>
      <c r="Z3911" s="51"/>
      <c r="AA3911" s="51"/>
      <c r="AB3911" s="102"/>
      <c r="AC3911" s="81" t="e">
        <f t="shared" si="187"/>
        <v>#DIV/0!</v>
      </c>
      <c r="AD3911" s="82">
        <f t="shared" si="188"/>
        <v>0</v>
      </c>
      <c r="AE3911" s="218"/>
      <c r="AH3911" t="str">
        <f t="shared" si="186"/>
        <v>0000</v>
      </c>
      <c r="AJ3911" s="72"/>
      <c r="AK3911" s="72"/>
      <c r="AL3911" s="72"/>
      <c r="AM3911" s="72"/>
    </row>
    <row r="3912" spans="1:39" x14ac:dyDescent="0.25">
      <c r="A3912" s="37" t="s">
        <v>62</v>
      </c>
      <c r="B3912" s="66"/>
      <c r="C3912" s="4"/>
      <c r="D3912" s="41"/>
      <c r="E3912" s="41"/>
      <c r="F3912" s="85"/>
      <c r="G3912" s="39"/>
      <c r="H3912" s="52"/>
      <c r="I3912" s="52"/>
      <c r="J3912" s="49"/>
      <c r="K3912" s="58"/>
      <c r="L3912" s="58"/>
      <c r="M3912" s="58"/>
      <c r="N3912" s="58"/>
      <c r="O3912" s="58"/>
      <c r="P3912" s="53"/>
      <c r="Q3912" s="65"/>
      <c r="R3912" s="65"/>
      <c r="S3912" s="65"/>
      <c r="T3912" s="65"/>
      <c r="U3912" s="58"/>
      <c r="V3912" s="65"/>
      <c r="W3912" s="65"/>
      <c r="X3912" s="65"/>
      <c r="Y3912" s="65"/>
      <c r="Z3912" s="51"/>
      <c r="AA3912" s="51"/>
      <c r="AB3912" s="102"/>
      <c r="AC3912" s="81" t="e">
        <f t="shared" si="187"/>
        <v>#DIV/0!</v>
      </c>
      <c r="AD3912" s="82">
        <f t="shared" si="188"/>
        <v>0</v>
      </c>
      <c r="AE3912" s="218"/>
      <c r="AH3912" t="str">
        <f t="shared" si="186"/>
        <v>0000</v>
      </c>
      <c r="AJ3912" s="72"/>
      <c r="AK3912" s="72"/>
      <c r="AL3912" s="72"/>
      <c r="AM3912" s="72"/>
    </row>
    <row r="3913" spans="1:39" x14ac:dyDescent="0.25">
      <c r="A3913" s="37" t="s">
        <v>62</v>
      </c>
      <c r="B3913" s="66"/>
      <c r="C3913" s="4"/>
      <c r="D3913" s="41"/>
      <c r="E3913" s="41"/>
      <c r="F3913" s="85"/>
      <c r="G3913" s="39"/>
      <c r="H3913" s="52"/>
      <c r="I3913" s="52"/>
      <c r="J3913" s="49"/>
      <c r="K3913" s="58"/>
      <c r="L3913" s="58"/>
      <c r="M3913" s="58"/>
      <c r="N3913" s="58"/>
      <c r="O3913" s="58"/>
      <c r="P3913" s="53"/>
      <c r="Q3913" s="65"/>
      <c r="R3913" s="65"/>
      <c r="S3913" s="65"/>
      <c r="T3913" s="65"/>
      <c r="U3913" s="58"/>
      <c r="V3913" s="65"/>
      <c r="W3913" s="65"/>
      <c r="X3913" s="65"/>
      <c r="Y3913" s="65"/>
      <c r="Z3913" s="51"/>
      <c r="AA3913" s="51"/>
      <c r="AB3913" s="102"/>
      <c r="AC3913" s="81" t="e">
        <f t="shared" si="187"/>
        <v>#DIV/0!</v>
      </c>
      <c r="AD3913" s="82">
        <f t="shared" si="188"/>
        <v>0</v>
      </c>
      <c r="AE3913" s="218"/>
      <c r="AH3913" t="str">
        <f t="shared" si="186"/>
        <v>0000</v>
      </c>
      <c r="AJ3913" s="72"/>
      <c r="AK3913" s="72"/>
      <c r="AL3913" s="72"/>
      <c r="AM3913" s="72"/>
    </row>
    <row r="3914" spans="1:39" x14ac:dyDescent="0.25">
      <c r="A3914" s="37" t="s">
        <v>62</v>
      </c>
      <c r="B3914" s="66"/>
      <c r="C3914" s="4"/>
      <c r="D3914" s="41"/>
      <c r="E3914" s="41"/>
      <c r="F3914" s="85"/>
      <c r="G3914" s="39"/>
      <c r="H3914" s="52"/>
      <c r="I3914" s="52"/>
      <c r="J3914" s="49"/>
      <c r="K3914" s="58"/>
      <c r="L3914" s="58"/>
      <c r="M3914" s="58"/>
      <c r="N3914" s="58"/>
      <c r="O3914" s="58"/>
      <c r="P3914" s="53"/>
      <c r="Q3914" s="65"/>
      <c r="R3914" s="65"/>
      <c r="S3914" s="65"/>
      <c r="T3914" s="65"/>
      <c r="U3914" s="58"/>
      <c r="V3914" s="65"/>
      <c r="W3914" s="65"/>
      <c r="X3914" s="65"/>
      <c r="Y3914" s="65"/>
      <c r="Z3914" s="51"/>
      <c r="AA3914" s="51"/>
      <c r="AB3914" s="102"/>
      <c r="AC3914" s="81" t="e">
        <f t="shared" si="187"/>
        <v>#DIV/0!</v>
      </c>
      <c r="AD3914" s="82">
        <f t="shared" si="188"/>
        <v>0</v>
      </c>
      <c r="AE3914" s="218"/>
      <c r="AH3914" t="str">
        <f t="shared" si="186"/>
        <v>0000</v>
      </c>
      <c r="AJ3914" s="72"/>
      <c r="AK3914" s="72"/>
      <c r="AL3914" s="72"/>
      <c r="AM3914" s="72"/>
    </row>
    <row r="3915" spans="1:39" x14ac:dyDescent="0.25">
      <c r="A3915" s="37" t="s">
        <v>62</v>
      </c>
      <c r="B3915" s="66"/>
      <c r="C3915" s="4"/>
      <c r="D3915" s="41"/>
      <c r="E3915" s="41"/>
      <c r="F3915" s="85"/>
      <c r="G3915" s="39"/>
      <c r="H3915" s="52"/>
      <c r="I3915" s="52"/>
      <c r="J3915" s="49"/>
      <c r="K3915" s="58"/>
      <c r="L3915" s="58"/>
      <c r="M3915" s="58"/>
      <c r="N3915" s="58"/>
      <c r="O3915" s="58"/>
      <c r="P3915" s="53"/>
      <c r="Q3915" s="65"/>
      <c r="R3915" s="65"/>
      <c r="S3915" s="65"/>
      <c r="T3915" s="65"/>
      <c r="U3915" s="58"/>
      <c r="V3915" s="65"/>
      <c r="W3915" s="65"/>
      <c r="X3915" s="65"/>
      <c r="Y3915" s="65"/>
      <c r="Z3915" s="51"/>
      <c r="AA3915" s="51"/>
      <c r="AB3915" s="102"/>
      <c r="AC3915" s="81" t="e">
        <f t="shared" si="187"/>
        <v>#DIV/0!</v>
      </c>
      <c r="AD3915" s="82">
        <f t="shared" si="188"/>
        <v>0</v>
      </c>
      <c r="AE3915" s="218"/>
      <c r="AH3915" t="str">
        <f t="shared" si="186"/>
        <v>0000</v>
      </c>
      <c r="AJ3915" s="72"/>
      <c r="AK3915" s="72"/>
      <c r="AL3915" s="72"/>
      <c r="AM3915" s="72"/>
    </row>
    <row r="3916" spans="1:39" x14ac:dyDescent="0.25">
      <c r="A3916" s="37" t="s">
        <v>62</v>
      </c>
      <c r="B3916" s="66"/>
      <c r="C3916" s="4"/>
      <c r="D3916" s="41"/>
      <c r="E3916" s="41"/>
      <c r="F3916" s="85"/>
      <c r="G3916" s="39"/>
      <c r="H3916" s="52"/>
      <c r="I3916" s="52"/>
      <c r="J3916" s="49"/>
      <c r="K3916" s="58"/>
      <c r="L3916" s="58"/>
      <c r="M3916" s="58"/>
      <c r="N3916" s="58"/>
      <c r="O3916" s="58"/>
      <c r="P3916" s="53"/>
      <c r="Q3916" s="65"/>
      <c r="R3916" s="65"/>
      <c r="S3916" s="65"/>
      <c r="T3916" s="65"/>
      <c r="U3916" s="58"/>
      <c r="V3916" s="65"/>
      <c r="W3916" s="65"/>
      <c r="X3916" s="65"/>
      <c r="Y3916" s="65"/>
      <c r="Z3916" s="51"/>
      <c r="AA3916" s="51"/>
      <c r="AB3916" s="102"/>
      <c r="AC3916" s="81" t="e">
        <f t="shared" si="187"/>
        <v>#DIV/0!</v>
      </c>
      <c r="AD3916" s="82">
        <f t="shared" si="188"/>
        <v>0</v>
      </c>
      <c r="AE3916" s="218"/>
      <c r="AH3916" t="str">
        <f t="shared" si="186"/>
        <v>0000</v>
      </c>
      <c r="AJ3916" s="72"/>
      <c r="AK3916" s="72"/>
      <c r="AL3916" s="72"/>
      <c r="AM3916" s="72"/>
    </row>
    <row r="3917" spans="1:39" x14ac:dyDescent="0.25">
      <c r="A3917" s="37" t="s">
        <v>62</v>
      </c>
      <c r="B3917" s="66"/>
      <c r="C3917" s="4"/>
      <c r="D3917" s="41"/>
      <c r="E3917" s="41"/>
      <c r="F3917" s="85"/>
      <c r="G3917" s="39"/>
      <c r="H3917" s="52"/>
      <c r="I3917" s="52"/>
      <c r="J3917" s="49"/>
      <c r="K3917" s="58"/>
      <c r="L3917" s="58"/>
      <c r="M3917" s="58"/>
      <c r="N3917" s="58"/>
      <c r="O3917" s="58"/>
      <c r="P3917" s="53"/>
      <c r="Q3917" s="65"/>
      <c r="R3917" s="65"/>
      <c r="S3917" s="65"/>
      <c r="T3917" s="65"/>
      <c r="U3917" s="58"/>
      <c r="V3917" s="65"/>
      <c r="W3917" s="65"/>
      <c r="X3917" s="65"/>
      <c r="Y3917" s="65"/>
      <c r="Z3917" s="51"/>
      <c r="AA3917" s="51"/>
      <c r="AB3917" s="102"/>
      <c r="AC3917" s="81" t="e">
        <f t="shared" si="187"/>
        <v>#DIV/0!</v>
      </c>
      <c r="AD3917" s="82">
        <f t="shared" si="188"/>
        <v>0</v>
      </c>
      <c r="AE3917" s="218"/>
      <c r="AH3917" t="str">
        <f t="shared" si="186"/>
        <v>0000</v>
      </c>
      <c r="AJ3917" s="72"/>
      <c r="AK3917" s="72"/>
      <c r="AL3917" s="72"/>
      <c r="AM3917" s="72"/>
    </row>
    <row r="3918" spans="1:39" x14ac:dyDescent="0.25">
      <c r="A3918" s="37" t="s">
        <v>62</v>
      </c>
      <c r="B3918" s="66"/>
      <c r="C3918" s="4"/>
      <c r="D3918" s="41"/>
      <c r="E3918" s="41"/>
      <c r="F3918" s="85"/>
      <c r="G3918" s="39"/>
      <c r="H3918" s="52"/>
      <c r="I3918" s="52"/>
      <c r="J3918" s="49"/>
      <c r="K3918" s="58"/>
      <c r="L3918" s="58"/>
      <c r="M3918" s="58"/>
      <c r="N3918" s="58"/>
      <c r="O3918" s="58"/>
      <c r="P3918" s="53"/>
      <c r="Q3918" s="65"/>
      <c r="R3918" s="65"/>
      <c r="S3918" s="65"/>
      <c r="T3918" s="65"/>
      <c r="U3918" s="58"/>
      <c r="V3918" s="65"/>
      <c r="W3918" s="65"/>
      <c r="X3918" s="65"/>
      <c r="Y3918" s="65"/>
      <c r="Z3918" s="51"/>
      <c r="AA3918" s="51"/>
      <c r="AB3918" s="102"/>
      <c r="AC3918" s="81" t="e">
        <f t="shared" si="187"/>
        <v>#DIV/0!</v>
      </c>
      <c r="AD3918" s="82">
        <f t="shared" si="188"/>
        <v>0</v>
      </c>
      <c r="AE3918" s="218"/>
      <c r="AH3918" t="str">
        <f t="shared" si="186"/>
        <v>0000</v>
      </c>
      <c r="AJ3918" s="72"/>
      <c r="AK3918" s="72"/>
      <c r="AL3918" s="72"/>
      <c r="AM3918" s="72"/>
    </row>
    <row r="3919" spans="1:39" x14ac:dyDescent="0.25">
      <c r="A3919" s="37" t="s">
        <v>62</v>
      </c>
      <c r="B3919" s="66"/>
      <c r="C3919" s="4"/>
      <c r="D3919" s="41"/>
      <c r="E3919" s="41"/>
      <c r="F3919" s="85"/>
      <c r="G3919" s="39"/>
      <c r="H3919" s="52"/>
      <c r="I3919" s="52"/>
      <c r="J3919" s="49"/>
      <c r="K3919" s="58"/>
      <c r="L3919" s="58"/>
      <c r="M3919" s="58"/>
      <c r="N3919" s="58"/>
      <c r="O3919" s="58"/>
      <c r="P3919" s="53"/>
      <c r="Q3919" s="65"/>
      <c r="R3919" s="65"/>
      <c r="S3919" s="65"/>
      <c r="T3919" s="65"/>
      <c r="U3919" s="58"/>
      <c r="V3919" s="65"/>
      <c r="W3919" s="65"/>
      <c r="X3919" s="65"/>
      <c r="Y3919" s="65"/>
      <c r="Z3919" s="51"/>
      <c r="AA3919" s="51"/>
      <c r="AB3919" s="102"/>
      <c r="AC3919" s="81" t="e">
        <f t="shared" si="187"/>
        <v>#DIV/0!</v>
      </c>
      <c r="AD3919" s="82">
        <f t="shared" si="188"/>
        <v>0</v>
      </c>
      <c r="AE3919" s="218"/>
      <c r="AH3919" t="str">
        <f t="shared" si="186"/>
        <v>0000</v>
      </c>
      <c r="AJ3919" s="72"/>
      <c r="AK3919" s="72"/>
      <c r="AL3919" s="72"/>
      <c r="AM3919" s="72"/>
    </row>
    <row r="3920" spans="1:39" x14ac:dyDescent="0.25">
      <c r="A3920" s="37" t="s">
        <v>62</v>
      </c>
      <c r="B3920" s="66"/>
      <c r="C3920" s="4"/>
      <c r="D3920" s="41"/>
      <c r="E3920" s="41"/>
      <c r="F3920" s="85"/>
      <c r="G3920" s="39"/>
      <c r="H3920" s="52"/>
      <c r="I3920" s="52"/>
      <c r="J3920" s="49"/>
      <c r="K3920" s="58"/>
      <c r="L3920" s="58"/>
      <c r="M3920" s="58"/>
      <c r="N3920" s="58"/>
      <c r="O3920" s="58"/>
      <c r="P3920" s="53"/>
      <c r="Q3920" s="65"/>
      <c r="R3920" s="65"/>
      <c r="S3920" s="65"/>
      <c r="T3920" s="65"/>
      <c r="U3920" s="58"/>
      <c r="V3920" s="65"/>
      <c r="W3920" s="65"/>
      <c r="X3920" s="65"/>
      <c r="Y3920" s="65"/>
      <c r="Z3920" s="51"/>
      <c r="AA3920" s="51"/>
      <c r="AB3920" s="102"/>
      <c r="AC3920" s="81" t="e">
        <f t="shared" si="187"/>
        <v>#DIV/0!</v>
      </c>
      <c r="AD3920" s="82">
        <f t="shared" si="188"/>
        <v>0</v>
      </c>
      <c r="AE3920" s="218"/>
      <c r="AH3920" t="str">
        <f t="shared" si="186"/>
        <v>0000</v>
      </c>
      <c r="AJ3920" s="72"/>
      <c r="AK3920" s="72"/>
      <c r="AL3920" s="72"/>
      <c r="AM3920" s="72"/>
    </row>
    <row r="3921" spans="1:39" x14ac:dyDescent="0.25">
      <c r="A3921" s="37" t="s">
        <v>62</v>
      </c>
      <c r="B3921" s="66"/>
      <c r="C3921" s="4"/>
      <c r="D3921" s="41"/>
      <c r="E3921" s="41"/>
      <c r="F3921" s="85"/>
      <c r="G3921" s="39"/>
      <c r="H3921" s="52"/>
      <c r="I3921" s="52"/>
      <c r="J3921" s="49"/>
      <c r="K3921" s="58"/>
      <c r="L3921" s="58"/>
      <c r="M3921" s="58"/>
      <c r="N3921" s="58"/>
      <c r="O3921" s="58"/>
      <c r="P3921" s="53"/>
      <c r="Q3921" s="65"/>
      <c r="R3921" s="65"/>
      <c r="S3921" s="65"/>
      <c r="T3921" s="65"/>
      <c r="U3921" s="58"/>
      <c r="V3921" s="65"/>
      <c r="W3921" s="65"/>
      <c r="X3921" s="65"/>
      <c r="Y3921" s="65"/>
      <c r="Z3921" s="51"/>
      <c r="AA3921" s="51"/>
      <c r="AB3921" s="102"/>
      <c r="AC3921" s="81" t="e">
        <f t="shared" si="187"/>
        <v>#DIV/0!</v>
      </c>
      <c r="AD3921" s="82">
        <f t="shared" si="188"/>
        <v>0</v>
      </c>
      <c r="AE3921" s="218"/>
      <c r="AH3921" t="str">
        <f t="shared" si="186"/>
        <v>0000</v>
      </c>
      <c r="AJ3921" s="72"/>
      <c r="AK3921" s="72"/>
      <c r="AL3921" s="72"/>
      <c r="AM3921" s="72"/>
    </row>
    <row r="3922" spans="1:39" x14ac:dyDescent="0.25">
      <c r="A3922" s="37" t="s">
        <v>62</v>
      </c>
      <c r="B3922" s="66"/>
      <c r="C3922" s="4"/>
      <c r="D3922" s="41"/>
      <c r="E3922" s="41"/>
      <c r="F3922" s="85"/>
      <c r="G3922" s="39"/>
      <c r="H3922" s="52"/>
      <c r="I3922" s="52"/>
      <c r="J3922" s="49"/>
      <c r="K3922" s="58"/>
      <c r="L3922" s="58"/>
      <c r="M3922" s="58"/>
      <c r="N3922" s="58"/>
      <c r="O3922" s="58"/>
      <c r="P3922" s="53"/>
      <c r="Q3922" s="65"/>
      <c r="R3922" s="65"/>
      <c r="S3922" s="65"/>
      <c r="T3922" s="65"/>
      <c r="U3922" s="58"/>
      <c r="V3922" s="65"/>
      <c r="W3922" s="65"/>
      <c r="X3922" s="65"/>
      <c r="Y3922" s="65"/>
      <c r="Z3922" s="51"/>
      <c r="AA3922" s="51"/>
      <c r="AB3922" s="102"/>
      <c r="AC3922" s="81" t="e">
        <f t="shared" si="187"/>
        <v>#DIV/0!</v>
      </c>
      <c r="AD3922" s="82">
        <f t="shared" si="188"/>
        <v>0</v>
      </c>
      <c r="AE3922" s="218"/>
      <c r="AH3922" t="str">
        <f t="shared" si="186"/>
        <v>0000</v>
      </c>
      <c r="AJ3922" s="72"/>
      <c r="AK3922" s="72"/>
      <c r="AL3922" s="72"/>
      <c r="AM3922" s="72"/>
    </row>
    <row r="3923" spans="1:39" x14ac:dyDescent="0.25">
      <c r="A3923" s="37" t="s">
        <v>62</v>
      </c>
      <c r="B3923" s="66"/>
      <c r="C3923" s="4"/>
      <c r="D3923" s="41"/>
      <c r="E3923" s="41"/>
      <c r="F3923" s="85"/>
      <c r="G3923" s="39"/>
      <c r="H3923" s="52"/>
      <c r="I3923" s="52"/>
      <c r="J3923" s="49"/>
      <c r="K3923" s="58"/>
      <c r="L3923" s="58"/>
      <c r="M3923" s="58"/>
      <c r="N3923" s="58"/>
      <c r="O3923" s="58"/>
      <c r="P3923" s="53"/>
      <c r="Q3923" s="65"/>
      <c r="R3923" s="65"/>
      <c r="S3923" s="65"/>
      <c r="T3923" s="65"/>
      <c r="U3923" s="58"/>
      <c r="V3923" s="65"/>
      <c r="W3923" s="65"/>
      <c r="X3923" s="65"/>
      <c r="Y3923" s="65"/>
      <c r="Z3923" s="51"/>
      <c r="AA3923" s="51"/>
      <c r="AB3923" s="102"/>
      <c r="AC3923" s="81" t="e">
        <f t="shared" si="187"/>
        <v>#DIV/0!</v>
      </c>
      <c r="AD3923" s="82">
        <f t="shared" si="188"/>
        <v>0</v>
      </c>
      <c r="AE3923" s="218"/>
      <c r="AH3923" t="str">
        <f t="shared" si="186"/>
        <v>0000</v>
      </c>
      <c r="AJ3923" s="72"/>
      <c r="AK3923" s="72"/>
      <c r="AL3923" s="72"/>
      <c r="AM3923" s="72"/>
    </row>
    <row r="3924" spans="1:39" x14ac:dyDescent="0.25">
      <c r="A3924" s="37" t="s">
        <v>62</v>
      </c>
      <c r="B3924" s="66"/>
      <c r="C3924" s="4"/>
      <c r="D3924" s="41"/>
      <c r="E3924" s="41"/>
      <c r="F3924" s="85"/>
      <c r="G3924" s="39"/>
      <c r="H3924" s="52"/>
      <c r="I3924" s="52"/>
      <c r="J3924" s="49"/>
      <c r="K3924" s="58"/>
      <c r="L3924" s="58"/>
      <c r="M3924" s="58"/>
      <c r="N3924" s="58"/>
      <c r="O3924" s="58"/>
      <c r="P3924" s="53"/>
      <c r="Q3924" s="65"/>
      <c r="R3924" s="65"/>
      <c r="S3924" s="65"/>
      <c r="T3924" s="65"/>
      <c r="U3924" s="58"/>
      <c r="V3924" s="65"/>
      <c r="W3924" s="65"/>
      <c r="X3924" s="65"/>
      <c r="Y3924" s="65"/>
      <c r="Z3924" s="51"/>
      <c r="AA3924" s="51"/>
      <c r="AB3924" s="102"/>
      <c r="AC3924" s="81" t="e">
        <f t="shared" si="187"/>
        <v>#DIV/0!</v>
      </c>
      <c r="AD3924" s="82">
        <f t="shared" si="188"/>
        <v>0</v>
      </c>
      <c r="AE3924" s="218"/>
      <c r="AH3924" t="str">
        <f t="shared" si="186"/>
        <v>0000</v>
      </c>
      <c r="AJ3924" s="72"/>
      <c r="AK3924" s="72"/>
      <c r="AL3924" s="72"/>
      <c r="AM3924" s="72"/>
    </row>
    <row r="3925" spans="1:39" x14ac:dyDescent="0.25">
      <c r="A3925" s="37" t="s">
        <v>62</v>
      </c>
      <c r="B3925" s="66"/>
      <c r="C3925" s="4"/>
      <c r="D3925" s="41"/>
      <c r="E3925" s="41"/>
      <c r="F3925" s="85"/>
      <c r="G3925" s="39"/>
      <c r="H3925" s="52"/>
      <c r="I3925" s="52"/>
      <c r="J3925" s="49"/>
      <c r="K3925" s="58"/>
      <c r="L3925" s="58"/>
      <c r="M3925" s="58"/>
      <c r="N3925" s="58"/>
      <c r="O3925" s="58"/>
      <c r="P3925" s="53"/>
      <c r="Q3925" s="65"/>
      <c r="R3925" s="65"/>
      <c r="S3925" s="65"/>
      <c r="T3925" s="65"/>
      <c r="U3925" s="58"/>
      <c r="V3925" s="65"/>
      <c r="W3925" s="65"/>
      <c r="X3925" s="65"/>
      <c r="Y3925" s="65"/>
      <c r="Z3925" s="51"/>
      <c r="AA3925" s="51"/>
      <c r="AB3925" s="102"/>
      <c r="AC3925" s="81" t="e">
        <f t="shared" si="187"/>
        <v>#DIV/0!</v>
      </c>
      <c r="AD3925" s="82">
        <f t="shared" si="188"/>
        <v>0</v>
      </c>
      <c r="AE3925" s="218"/>
      <c r="AH3925" t="str">
        <f t="shared" si="186"/>
        <v>0000</v>
      </c>
      <c r="AJ3925" s="72"/>
      <c r="AK3925" s="72"/>
      <c r="AL3925" s="72"/>
      <c r="AM3925" s="72"/>
    </row>
    <row r="3926" spans="1:39" x14ac:dyDescent="0.25">
      <c r="A3926" s="37" t="s">
        <v>62</v>
      </c>
      <c r="B3926" s="66"/>
      <c r="C3926" s="4"/>
      <c r="D3926" s="41"/>
      <c r="E3926" s="41"/>
      <c r="F3926" s="85"/>
      <c r="G3926" s="39"/>
      <c r="H3926" s="52"/>
      <c r="I3926" s="52"/>
      <c r="J3926" s="49"/>
      <c r="K3926" s="58"/>
      <c r="L3926" s="58"/>
      <c r="M3926" s="58"/>
      <c r="N3926" s="58"/>
      <c r="O3926" s="58"/>
      <c r="P3926" s="53"/>
      <c r="Q3926" s="65"/>
      <c r="R3926" s="65"/>
      <c r="S3926" s="65"/>
      <c r="T3926" s="65"/>
      <c r="U3926" s="58"/>
      <c r="V3926" s="65"/>
      <c r="W3926" s="65"/>
      <c r="X3926" s="65"/>
      <c r="Y3926" s="65"/>
      <c r="Z3926" s="51"/>
      <c r="AA3926" s="51"/>
      <c r="AB3926" s="102"/>
      <c r="AC3926" s="81" t="e">
        <f t="shared" si="187"/>
        <v>#DIV/0!</v>
      </c>
      <c r="AD3926" s="82">
        <f t="shared" si="188"/>
        <v>0</v>
      </c>
      <c r="AE3926" s="218"/>
      <c r="AH3926" t="str">
        <f t="shared" si="186"/>
        <v>0000</v>
      </c>
      <c r="AJ3926" s="72"/>
      <c r="AK3926" s="72"/>
      <c r="AL3926" s="72"/>
      <c r="AM3926" s="72"/>
    </row>
    <row r="3927" spans="1:39" x14ac:dyDescent="0.25">
      <c r="A3927" s="37" t="s">
        <v>62</v>
      </c>
      <c r="B3927" s="66"/>
      <c r="C3927" s="4"/>
      <c r="D3927" s="41"/>
      <c r="E3927" s="41"/>
      <c r="F3927" s="85"/>
      <c r="G3927" s="39"/>
      <c r="H3927" s="52"/>
      <c r="I3927" s="52"/>
      <c r="J3927" s="49"/>
      <c r="K3927" s="58"/>
      <c r="L3927" s="58"/>
      <c r="M3927" s="58"/>
      <c r="N3927" s="58"/>
      <c r="O3927" s="58"/>
      <c r="P3927" s="53"/>
      <c r="Q3927" s="65"/>
      <c r="R3927" s="65"/>
      <c r="S3927" s="65"/>
      <c r="T3927" s="65"/>
      <c r="U3927" s="58"/>
      <c r="V3927" s="65"/>
      <c r="W3927" s="65"/>
      <c r="X3927" s="65"/>
      <c r="Y3927" s="65"/>
      <c r="Z3927" s="51"/>
      <c r="AA3927" s="51"/>
      <c r="AB3927" s="102"/>
      <c r="AC3927" s="81" t="e">
        <f t="shared" si="187"/>
        <v>#DIV/0!</v>
      </c>
      <c r="AD3927" s="82">
        <f t="shared" si="188"/>
        <v>0</v>
      </c>
      <c r="AE3927" s="218"/>
      <c r="AH3927" t="str">
        <f t="shared" si="186"/>
        <v>0000</v>
      </c>
      <c r="AJ3927" s="72"/>
      <c r="AK3927" s="72"/>
      <c r="AL3927" s="72"/>
      <c r="AM3927" s="72"/>
    </row>
    <row r="3928" spans="1:39" x14ac:dyDescent="0.25">
      <c r="A3928" s="37" t="s">
        <v>62</v>
      </c>
      <c r="B3928" s="66"/>
      <c r="C3928" s="4"/>
      <c r="D3928" s="41"/>
      <c r="E3928" s="41"/>
      <c r="F3928" s="85"/>
      <c r="G3928" s="39"/>
      <c r="H3928" s="52"/>
      <c r="I3928" s="52"/>
      <c r="J3928" s="49"/>
      <c r="K3928" s="58"/>
      <c r="L3928" s="58"/>
      <c r="M3928" s="58"/>
      <c r="N3928" s="58"/>
      <c r="O3928" s="58"/>
      <c r="P3928" s="53"/>
      <c r="Q3928" s="65"/>
      <c r="R3928" s="65"/>
      <c r="S3928" s="65"/>
      <c r="T3928" s="65"/>
      <c r="U3928" s="58"/>
      <c r="V3928" s="65"/>
      <c r="W3928" s="65"/>
      <c r="X3928" s="65"/>
      <c r="Y3928" s="65"/>
      <c r="Z3928" s="51"/>
      <c r="AA3928" s="51"/>
      <c r="AB3928" s="102"/>
      <c r="AC3928" s="81" t="e">
        <f t="shared" si="187"/>
        <v>#DIV/0!</v>
      </c>
      <c r="AD3928" s="82">
        <f t="shared" si="188"/>
        <v>0</v>
      </c>
      <c r="AE3928" s="218"/>
      <c r="AH3928" t="str">
        <f t="shared" si="186"/>
        <v>0000</v>
      </c>
      <c r="AJ3928" s="72"/>
      <c r="AK3928" s="72"/>
      <c r="AL3928" s="72"/>
      <c r="AM3928" s="72"/>
    </row>
    <row r="3929" spans="1:39" x14ac:dyDescent="0.25">
      <c r="A3929" s="37" t="s">
        <v>62</v>
      </c>
      <c r="B3929" s="66"/>
      <c r="C3929" s="4"/>
      <c r="D3929" s="41"/>
      <c r="E3929" s="41"/>
      <c r="F3929" s="85"/>
      <c r="G3929" s="39"/>
      <c r="H3929" s="52"/>
      <c r="I3929" s="52"/>
      <c r="J3929" s="49"/>
      <c r="K3929" s="58"/>
      <c r="L3929" s="58"/>
      <c r="M3929" s="58"/>
      <c r="N3929" s="58"/>
      <c r="O3929" s="58"/>
      <c r="P3929" s="53"/>
      <c r="Q3929" s="65"/>
      <c r="R3929" s="65"/>
      <c r="S3929" s="65"/>
      <c r="T3929" s="65"/>
      <c r="U3929" s="58"/>
      <c r="V3929" s="65"/>
      <c r="W3929" s="65"/>
      <c r="X3929" s="65"/>
      <c r="Y3929" s="65"/>
      <c r="Z3929" s="51"/>
      <c r="AA3929" s="51"/>
      <c r="AB3929" s="102"/>
      <c r="AC3929" s="81" t="e">
        <f t="shared" si="187"/>
        <v>#DIV/0!</v>
      </c>
      <c r="AD3929" s="82">
        <f t="shared" si="188"/>
        <v>0</v>
      </c>
      <c r="AE3929" s="218"/>
      <c r="AH3929" t="str">
        <f t="shared" si="186"/>
        <v>0000</v>
      </c>
      <c r="AJ3929" s="72"/>
      <c r="AK3929" s="72"/>
      <c r="AL3929" s="72"/>
      <c r="AM3929" s="72"/>
    </row>
    <row r="3930" spans="1:39" x14ac:dyDescent="0.25">
      <c r="A3930" s="37" t="s">
        <v>62</v>
      </c>
      <c r="B3930" s="66"/>
      <c r="C3930" s="4"/>
      <c r="D3930" s="41"/>
      <c r="E3930" s="41"/>
      <c r="F3930" s="85"/>
      <c r="G3930" s="39"/>
      <c r="H3930" s="52"/>
      <c r="I3930" s="52"/>
      <c r="J3930" s="49"/>
      <c r="K3930" s="58"/>
      <c r="L3930" s="58"/>
      <c r="M3930" s="58"/>
      <c r="N3930" s="58"/>
      <c r="O3930" s="58"/>
      <c r="P3930" s="53"/>
      <c r="Q3930" s="65"/>
      <c r="R3930" s="65"/>
      <c r="S3930" s="65"/>
      <c r="T3930" s="65"/>
      <c r="U3930" s="58"/>
      <c r="V3930" s="65"/>
      <c r="W3930" s="65"/>
      <c r="X3930" s="65"/>
      <c r="Y3930" s="65"/>
      <c r="Z3930" s="51"/>
      <c r="AA3930" s="51"/>
      <c r="AB3930" s="102"/>
      <c r="AC3930" s="81" t="e">
        <f t="shared" si="187"/>
        <v>#DIV/0!</v>
      </c>
      <c r="AD3930" s="82">
        <f t="shared" si="188"/>
        <v>0</v>
      </c>
      <c r="AE3930" s="218"/>
      <c r="AH3930" t="str">
        <f t="shared" si="186"/>
        <v>0000</v>
      </c>
      <c r="AJ3930" s="72"/>
      <c r="AK3930" s="72"/>
      <c r="AL3930" s="72"/>
      <c r="AM3930" s="72"/>
    </row>
    <row r="3931" spans="1:39" x14ac:dyDescent="0.25">
      <c r="A3931" s="37" t="s">
        <v>62</v>
      </c>
      <c r="B3931" s="66"/>
      <c r="C3931" s="4"/>
      <c r="D3931" s="41"/>
      <c r="E3931" s="41"/>
      <c r="F3931" s="85"/>
      <c r="G3931" s="39"/>
      <c r="H3931" s="52"/>
      <c r="I3931" s="52"/>
      <c r="J3931" s="49"/>
      <c r="K3931" s="58"/>
      <c r="L3931" s="58"/>
      <c r="M3931" s="58"/>
      <c r="N3931" s="58"/>
      <c r="O3931" s="58"/>
      <c r="P3931" s="53"/>
      <c r="Q3931" s="65"/>
      <c r="R3931" s="65"/>
      <c r="S3931" s="65"/>
      <c r="T3931" s="65"/>
      <c r="U3931" s="58"/>
      <c r="V3931" s="65"/>
      <c r="W3931" s="65"/>
      <c r="X3931" s="65"/>
      <c r="Y3931" s="65"/>
      <c r="Z3931" s="51"/>
      <c r="AA3931" s="51"/>
      <c r="AB3931" s="102"/>
      <c r="AC3931" s="81" t="e">
        <f t="shared" si="187"/>
        <v>#DIV/0!</v>
      </c>
      <c r="AD3931" s="82">
        <f t="shared" si="188"/>
        <v>0</v>
      </c>
      <c r="AE3931" s="218"/>
      <c r="AH3931" t="str">
        <f t="shared" si="186"/>
        <v>0000</v>
      </c>
      <c r="AJ3931" s="72"/>
      <c r="AK3931" s="72"/>
      <c r="AL3931" s="72"/>
      <c r="AM3931" s="72"/>
    </row>
    <row r="3932" spans="1:39" x14ac:dyDescent="0.25">
      <c r="A3932" s="37" t="s">
        <v>62</v>
      </c>
      <c r="B3932" s="66"/>
      <c r="C3932" s="4"/>
      <c r="D3932" s="41"/>
      <c r="E3932" s="41"/>
      <c r="F3932" s="85"/>
      <c r="G3932" s="39"/>
      <c r="H3932" s="52"/>
      <c r="I3932" s="52"/>
      <c r="J3932" s="49"/>
      <c r="K3932" s="58"/>
      <c r="L3932" s="58"/>
      <c r="M3932" s="58"/>
      <c r="N3932" s="58"/>
      <c r="O3932" s="58"/>
      <c r="P3932" s="53"/>
      <c r="Q3932" s="65"/>
      <c r="R3932" s="65"/>
      <c r="S3932" s="65"/>
      <c r="T3932" s="65"/>
      <c r="U3932" s="58"/>
      <c r="V3932" s="65"/>
      <c r="W3932" s="65"/>
      <c r="X3932" s="65"/>
      <c r="Y3932" s="65"/>
      <c r="Z3932" s="51"/>
      <c r="AA3932" s="51"/>
      <c r="AB3932" s="102"/>
      <c r="AC3932" s="81" t="e">
        <f t="shared" si="187"/>
        <v>#DIV/0!</v>
      </c>
      <c r="AD3932" s="82">
        <f t="shared" si="188"/>
        <v>0</v>
      </c>
      <c r="AE3932" s="218"/>
      <c r="AH3932" t="str">
        <f t="shared" si="186"/>
        <v>0000</v>
      </c>
      <c r="AJ3932" s="72"/>
      <c r="AK3932" s="72"/>
      <c r="AL3932" s="72"/>
      <c r="AM3932" s="72"/>
    </row>
    <row r="3933" spans="1:39" x14ac:dyDescent="0.25">
      <c r="A3933" s="37" t="s">
        <v>62</v>
      </c>
      <c r="B3933" s="66"/>
      <c r="C3933" s="4"/>
      <c r="D3933" s="41"/>
      <c r="E3933" s="41"/>
      <c r="F3933" s="85"/>
      <c r="G3933" s="39"/>
      <c r="H3933" s="52"/>
      <c r="I3933" s="52"/>
      <c r="J3933" s="49"/>
      <c r="K3933" s="58"/>
      <c r="L3933" s="58"/>
      <c r="M3933" s="58"/>
      <c r="N3933" s="58"/>
      <c r="O3933" s="58"/>
      <c r="P3933" s="53"/>
      <c r="Q3933" s="65"/>
      <c r="R3933" s="65"/>
      <c r="S3933" s="65"/>
      <c r="T3933" s="65"/>
      <c r="U3933" s="58"/>
      <c r="V3933" s="65"/>
      <c r="W3933" s="65"/>
      <c r="X3933" s="65"/>
      <c r="Y3933" s="65"/>
      <c r="Z3933" s="51"/>
      <c r="AA3933" s="51"/>
      <c r="AB3933" s="102"/>
      <c r="AC3933" s="81" t="e">
        <f t="shared" si="187"/>
        <v>#DIV/0!</v>
      </c>
      <c r="AD3933" s="82">
        <f t="shared" si="188"/>
        <v>0</v>
      </c>
      <c r="AE3933" s="218"/>
      <c r="AH3933" t="str">
        <f t="shared" si="186"/>
        <v>0000</v>
      </c>
      <c r="AJ3933" s="72"/>
      <c r="AK3933" s="72"/>
      <c r="AL3933" s="72"/>
      <c r="AM3933" s="72"/>
    </row>
    <row r="3934" spans="1:39" x14ac:dyDescent="0.25">
      <c r="A3934" s="37" t="s">
        <v>62</v>
      </c>
      <c r="B3934" s="66"/>
      <c r="C3934" s="4"/>
      <c r="D3934" s="41"/>
      <c r="E3934" s="41"/>
      <c r="F3934" s="85"/>
      <c r="G3934" s="39"/>
      <c r="H3934" s="52"/>
      <c r="I3934" s="52"/>
      <c r="J3934" s="49"/>
      <c r="K3934" s="58"/>
      <c r="L3934" s="58"/>
      <c r="M3934" s="58"/>
      <c r="N3934" s="58"/>
      <c r="O3934" s="58"/>
      <c r="P3934" s="53"/>
      <c r="Q3934" s="65"/>
      <c r="R3934" s="65"/>
      <c r="S3934" s="65"/>
      <c r="T3934" s="65"/>
      <c r="U3934" s="58"/>
      <c r="V3934" s="65"/>
      <c r="W3934" s="65"/>
      <c r="X3934" s="65"/>
      <c r="Y3934" s="65"/>
      <c r="Z3934" s="51"/>
      <c r="AA3934" s="51"/>
      <c r="AB3934" s="102"/>
      <c r="AC3934" s="81" t="e">
        <f t="shared" si="187"/>
        <v>#DIV/0!</v>
      </c>
      <c r="AD3934" s="82">
        <f t="shared" si="188"/>
        <v>0</v>
      </c>
      <c r="AE3934" s="218"/>
      <c r="AH3934" t="str">
        <f t="shared" si="186"/>
        <v>0000</v>
      </c>
      <c r="AJ3934" s="72"/>
      <c r="AK3934" s="72"/>
      <c r="AL3934" s="72"/>
      <c r="AM3934" s="72"/>
    </row>
    <row r="3935" spans="1:39" x14ac:dyDescent="0.25">
      <c r="A3935" s="37" t="s">
        <v>62</v>
      </c>
      <c r="B3935" s="66"/>
      <c r="C3935" s="4"/>
      <c r="D3935" s="41"/>
      <c r="E3935" s="41"/>
      <c r="F3935" s="85"/>
      <c r="G3935" s="39"/>
      <c r="H3935" s="52"/>
      <c r="I3935" s="52"/>
      <c r="J3935" s="49"/>
      <c r="K3935" s="58"/>
      <c r="L3935" s="58"/>
      <c r="M3935" s="58"/>
      <c r="N3935" s="58"/>
      <c r="O3935" s="58"/>
      <c r="P3935" s="53"/>
      <c r="Q3935" s="65"/>
      <c r="R3935" s="65"/>
      <c r="S3935" s="65"/>
      <c r="T3935" s="65"/>
      <c r="U3935" s="58"/>
      <c r="V3935" s="65"/>
      <c r="W3935" s="65"/>
      <c r="X3935" s="65"/>
      <c r="Y3935" s="65"/>
      <c r="Z3935" s="51"/>
      <c r="AA3935" s="51"/>
      <c r="AB3935" s="102"/>
      <c r="AC3935" s="81" t="e">
        <f t="shared" si="187"/>
        <v>#DIV/0!</v>
      </c>
      <c r="AD3935" s="82">
        <f t="shared" si="188"/>
        <v>0</v>
      </c>
      <c r="AE3935" s="218"/>
      <c r="AH3935" t="str">
        <f t="shared" si="186"/>
        <v>0000</v>
      </c>
      <c r="AJ3935" s="72"/>
      <c r="AK3935" s="72"/>
      <c r="AL3935" s="72"/>
      <c r="AM3935" s="72"/>
    </row>
    <row r="3936" spans="1:39" x14ac:dyDescent="0.25">
      <c r="A3936" s="37" t="s">
        <v>62</v>
      </c>
      <c r="B3936" s="66"/>
      <c r="C3936" s="4"/>
      <c r="D3936" s="41"/>
      <c r="E3936" s="41"/>
      <c r="F3936" s="85"/>
      <c r="G3936" s="39"/>
      <c r="H3936" s="52"/>
      <c r="I3936" s="52"/>
      <c r="J3936" s="49"/>
      <c r="K3936" s="58"/>
      <c r="L3936" s="58"/>
      <c r="M3936" s="58"/>
      <c r="N3936" s="58"/>
      <c r="O3936" s="58"/>
      <c r="P3936" s="53"/>
      <c r="Q3936" s="65"/>
      <c r="R3936" s="65"/>
      <c r="S3936" s="65"/>
      <c r="T3936" s="65"/>
      <c r="U3936" s="58"/>
      <c r="V3936" s="65"/>
      <c r="W3936" s="65"/>
      <c r="X3936" s="65"/>
      <c r="Y3936" s="65"/>
      <c r="Z3936" s="51"/>
      <c r="AA3936" s="51"/>
      <c r="AB3936" s="102"/>
      <c r="AC3936" s="81" t="e">
        <f t="shared" si="187"/>
        <v>#DIV/0!</v>
      </c>
      <c r="AD3936" s="82">
        <f t="shared" si="188"/>
        <v>0</v>
      </c>
      <c r="AE3936" s="218"/>
      <c r="AH3936" t="str">
        <f t="shared" si="186"/>
        <v>0000</v>
      </c>
      <c r="AJ3936" s="72"/>
      <c r="AK3936" s="72"/>
      <c r="AL3936" s="72"/>
      <c r="AM3936" s="72"/>
    </row>
    <row r="3937" spans="1:39" x14ac:dyDescent="0.25">
      <c r="A3937" s="37" t="s">
        <v>62</v>
      </c>
      <c r="B3937" s="66"/>
      <c r="C3937" s="4"/>
      <c r="D3937" s="41"/>
      <c r="E3937" s="41"/>
      <c r="F3937" s="85"/>
      <c r="G3937" s="39"/>
      <c r="H3937" s="52"/>
      <c r="I3937" s="52"/>
      <c r="J3937" s="49"/>
      <c r="K3937" s="58"/>
      <c r="L3937" s="58"/>
      <c r="M3937" s="58"/>
      <c r="N3937" s="58"/>
      <c r="O3937" s="58"/>
      <c r="P3937" s="53"/>
      <c r="Q3937" s="65"/>
      <c r="R3937" s="65"/>
      <c r="S3937" s="65"/>
      <c r="T3937" s="65"/>
      <c r="U3937" s="58"/>
      <c r="V3937" s="65"/>
      <c r="W3937" s="65"/>
      <c r="X3937" s="65"/>
      <c r="Y3937" s="65"/>
      <c r="Z3937" s="51"/>
      <c r="AA3937" s="51"/>
      <c r="AB3937" s="102"/>
      <c r="AC3937" s="81" t="e">
        <f t="shared" si="187"/>
        <v>#DIV/0!</v>
      </c>
      <c r="AD3937" s="82">
        <f t="shared" si="188"/>
        <v>0</v>
      </c>
      <c r="AE3937" s="218"/>
      <c r="AH3937" t="str">
        <f t="shared" si="186"/>
        <v>0000</v>
      </c>
      <c r="AJ3937" s="72"/>
      <c r="AK3937" s="72"/>
      <c r="AL3937" s="72"/>
      <c r="AM3937" s="72"/>
    </row>
    <row r="3938" spans="1:39" x14ac:dyDescent="0.25">
      <c r="A3938" s="37" t="s">
        <v>62</v>
      </c>
      <c r="B3938" s="66"/>
      <c r="C3938" s="4"/>
      <c r="D3938" s="41"/>
      <c r="E3938" s="41"/>
      <c r="F3938" s="85"/>
      <c r="G3938" s="39"/>
      <c r="H3938" s="52"/>
      <c r="I3938" s="52"/>
      <c r="J3938" s="49"/>
      <c r="K3938" s="58"/>
      <c r="L3938" s="58"/>
      <c r="M3938" s="58"/>
      <c r="N3938" s="58"/>
      <c r="O3938" s="58"/>
      <c r="P3938" s="53"/>
      <c r="Q3938" s="65"/>
      <c r="R3938" s="65"/>
      <c r="S3938" s="65"/>
      <c r="T3938" s="65"/>
      <c r="U3938" s="58"/>
      <c r="V3938" s="65"/>
      <c r="W3938" s="65"/>
      <c r="X3938" s="65"/>
      <c r="Y3938" s="65"/>
      <c r="Z3938" s="51"/>
      <c r="AA3938" s="51"/>
      <c r="AB3938" s="102"/>
      <c r="AC3938" s="81" t="e">
        <f t="shared" si="187"/>
        <v>#DIV/0!</v>
      </c>
      <c r="AD3938" s="82">
        <f t="shared" si="188"/>
        <v>0</v>
      </c>
      <c r="AE3938" s="218"/>
      <c r="AH3938" t="str">
        <f t="shared" si="186"/>
        <v>0000</v>
      </c>
      <c r="AJ3938" s="72"/>
      <c r="AK3938" s="72"/>
      <c r="AL3938" s="72"/>
      <c r="AM3938" s="72"/>
    </row>
    <row r="3939" spans="1:39" x14ac:dyDescent="0.25">
      <c r="A3939" s="37" t="s">
        <v>62</v>
      </c>
      <c r="B3939" s="66"/>
      <c r="C3939" s="4"/>
      <c r="D3939" s="41"/>
      <c r="E3939" s="41"/>
      <c r="F3939" s="85"/>
      <c r="G3939" s="39"/>
      <c r="H3939" s="52"/>
      <c r="I3939" s="52"/>
      <c r="J3939" s="49"/>
      <c r="K3939" s="58"/>
      <c r="L3939" s="58"/>
      <c r="M3939" s="58"/>
      <c r="N3939" s="58"/>
      <c r="O3939" s="58"/>
      <c r="P3939" s="53"/>
      <c r="Q3939" s="65"/>
      <c r="R3939" s="65"/>
      <c r="S3939" s="65"/>
      <c r="T3939" s="65"/>
      <c r="U3939" s="58"/>
      <c r="V3939" s="65"/>
      <c r="W3939" s="65"/>
      <c r="X3939" s="65"/>
      <c r="Y3939" s="65"/>
      <c r="Z3939" s="51"/>
      <c r="AA3939" s="51"/>
      <c r="AB3939" s="102"/>
      <c r="AC3939" s="81" t="e">
        <f t="shared" si="187"/>
        <v>#DIV/0!</v>
      </c>
      <c r="AD3939" s="82">
        <f t="shared" si="188"/>
        <v>0</v>
      </c>
      <c r="AE3939" s="218"/>
      <c r="AH3939" t="str">
        <f t="shared" si="186"/>
        <v>0000</v>
      </c>
      <c r="AJ3939" s="72"/>
      <c r="AK3939" s="72"/>
      <c r="AL3939" s="72"/>
      <c r="AM3939" s="72"/>
    </row>
    <row r="3940" spans="1:39" x14ac:dyDescent="0.25">
      <c r="A3940" s="37" t="s">
        <v>62</v>
      </c>
      <c r="B3940" s="66"/>
      <c r="C3940" s="4"/>
      <c r="D3940" s="41"/>
      <c r="E3940" s="41"/>
      <c r="F3940" s="85"/>
      <c r="G3940" s="39"/>
      <c r="H3940" s="52"/>
      <c r="I3940" s="52"/>
      <c r="J3940" s="49"/>
      <c r="K3940" s="58"/>
      <c r="L3940" s="58"/>
      <c r="M3940" s="58"/>
      <c r="N3940" s="58"/>
      <c r="O3940" s="58"/>
      <c r="P3940" s="53"/>
      <c r="Q3940" s="65"/>
      <c r="R3940" s="65"/>
      <c r="S3940" s="65"/>
      <c r="T3940" s="65"/>
      <c r="U3940" s="58"/>
      <c r="V3940" s="65"/>
      <c r="W3940" s="65"/>
      <c r="X3940" s="65"/>
      <c r="Y3940" s="65"/>
      <c r="Z3940" s="51"/>
      <c r="AA3940" s="51"/>
      <c r="AB3940" s="102"/>
      <c r="AC3940" s="81" t="e">
        <f t="shared" si="187"/>
        <v>#DIV/0!</v>
      </c>
      <c r="AD3940" s="82">
        <f t="shared" si="188"/>
        <v>0</v>
      </c>
      <c r="AE3940" s="218"/>
      <c r="AH3940" t="str">
        <f t="shared" si="186"/>
        <v>0000</v>
      </c>
      <c r="AJ3940" s="72"/>
      <c r="AK3940" s="72"/>
      <c r="AL3940" s="72"/>
      <c r="AM3940" s="72"/>
    </row>
    <row r="3941" spans="1:39" x14ac:dyDescent="0.25">
      <c r="A3941" s="37" t="s">
        <v>62</v>
      </c>
      <c r="B3941" s="66"/>
      <c r="C3941" s="4"/>
      <c r="D3941" s="41"/>
      <c r="E3941" s="41"/>
      <c r="F3941" s="85"/>
      <c r="G3941" s="39"/>
      <c r="H3941" s="52"/>
      <c r="I3941" s="52"/>
      <c r="J3941" s="49"/>
      <c r="K3941" s="58"/>
      <c r="L3941" s="58"/>
      <c r="M3941" s="58"/>
      <c r="N3941" s="58"/>
      <c r="O3941" s="58"/>
      <c r="P3941" s="53"/>
      <c r="Q3941" s="65"/>
      <c r="R3941" s="65"/>
      <c r="S3941" s="65"/>
      <c r="T3941" s="65"/>
      <c r="U3941" s="58"/>
      <c r="V3941" s="65"/>
      <c r="W3941" s="65"/>
      <c r="X3941" s="65"/>
      <c r="Y3941" s="65"/>
      <c r="Z3941" s="51"/>
      <c r="AA3941" s="51"/>
      <c r="AB3941" s="102"/>
      <c r="AC3941" s="81" t="e">
        <f t="shared" si="187"/>
        <v>#DIV/0!</v>
      </c>
      <c r="AD3941" s="82">
        <f t="shared" si="188"/>
        <v>0</v>
      </c>
      <c r="AE3941" s="218"/>
      <c r="AH3941" t="str">
        <f t="shared" si="186"/>
        <v>0000</v>
      </c>
      <c r="AJ3941" s="72"/>
      <c r="AK3941" s="72"/>
      <c r="AL3941" s="72"/>
      <c r="AM3941" s="72"/>
    </row>
    <row r="3942" spans="1:39" x14ac:dyDescent="0.25">
      <c r="A3942" s="37" t="s">
        <v>62</v>
      </c>
      <c r="B3942" s="66"/>
      <c r="C3942" s="4"/>
      <c r="D3942" s="41"/>
      <c r="E3942" s="41"/>
      <c r="F3942" s="85"/>
      <c r="G3942" s="39"/>
      <c r="H3942" s="52"/>
      <c r="I3942" s="52"/>
      <c r="J3942" s="49"/>
      <c r="K3942" s="58"/>
      <c r="L3942" s="58"/>
      <c r="M3942" s="58"/>
      <c r="N3942" s="58"/>
      <c r="O3942" s="58"/>
      <c r="P3942" s="53"/>
      <c r="Q3942" s="65"/>
      <c r="R3942" s="65"/>
      <c r="S3942" s="65"/>
      <c r="T3942" s="65"/>
      <c r="U3942" s="58"/>
      <c r="V3942" s="65"/>
      <c r="W3942" s="65"/>
      <c r="X3942" s="65"/>
      <c r="Y3942" s="65"/>
      <c r="Z3942" s="51"/>
      <c r="AA3942" s="51"/>
      <c r="AB3942" s="102"/>
      <c r="AC3942" s="81" t="e">
        <f t="shared" si="187"/>
        <v>#DIV/0!</v>
      </c>
      <c r="AD3942" s="82">
        <f t="shared" si="188"/>
        <v>0</v>
      </c>
      <c r="AE3942" s="218"/>
      <c r="AH3942" t="str">
        <f t="shared" si="186"/>
        <v>0000</v>
      </c>
      <c r="AJ3942" s="72"/>
      <c r="AK3942" s="72"/>
      <c r="AL3942" s="72"/>
      <c r="AM3942" s="72"/>
    </row>
    <row r="3943" spans="1:39" x14ac:dyDescent="0.25">
      <c r="A3943" s="37" t="s">
        <v>62</v>
      </c>
      <c r="B3943" s="66"/>
      <c r="C3943" s="4"/>
      <c r="D3943" s="41"/>
      <c r="E3943" s="41"/>
      <c r="F3943" s="85"/>
      <c r="G3943" s="39"/>
      <c r="H3943" s="52"/>
      <c r="I3943" s="52"/>
      <c r="J3943" s="49"/>
      <c r="K3943" s="58"/>
      <c r="L3943" s="58"/>
      <c r="M3943" s="58"/>
      <c r="N3943" s="58"/>
      <c r="O3943" s="58"/>
      <c r="P3943" s="53"/>
      <c r="Q3943" s="65"/>
      <c r="R3943" s="65"/>
      <c r="S3943" s="65"/>
      <c r="T3943" s="65"/>
      <c r="U3943" s="58"/>
      <c r="V3943" s="65"/>
      <c r="W3943" s="65"/>
      <c r="X3943" s="65"/>
      <c r="Y3943" s="65"/>
      <c r="Z3943" s="51"/>
      <c r="AA3943" s="51"/>
      <c r="AB3943" s="102"/>
      <c r="AC3943" s="81" t="e">
        <f t="shared" si="187"/>
        <v>#DIV/0!</v>
      </c>
      <c r="AD3943" s="82">
        <f t="shared" si="188"/>
        <v>0</v>
      </c>
      <c r="AE3943" s="218"/>
      <c r="AH3943" t="str">
        <f t="shared" si="186"/>
        <v>0000</v>
      </c>
      <c r="AJ3943" s="72"/>
      <c r="AK3943" s="72"/>
      <c r="AL3943" s="72"/>
      <c r="AM3943" s="72"/>
    </row>
    <row r="3944" spans="1:39" x14ac:dyDescent="0.25">
      <c r="A3944" s="37" t="s">
        <v>62</v>
      </c>
      <c r="B3944" s="66"/>
      <c r="C3944" s="4"/>
      <c r="D3944" s="41"/>
      <c r="E3944" s="41"/>
      <c r="F3944" s="85"/>
      <c r="G3944" s="39"/>
      <c r="H3944" s="52"/>
      <c r="I3944" s="52"/>
      <c r="J3944" s="49"/>
      <c r="K3944" s="58"/>
      <c r="L3944" s="58"/>
      <c r="M3944" s="58"/>
      <c r="N3944" s="58"/>
      <c r="O3944" s="58"/>
      <c r="P3944" s="53"/>
      <c r="Q3944" s="65"/>
      <c r="R3944" s="65"/>
      <c r="S3944" s="65"/>
      <c r="T3944" s="65"/>
      <c r="U3944" s="58"/>
      <c r="V3944" s="65"/>
      <c r="W3944" s="65"/>
      <c r="X3944" s="65"/>
      <c r="Y3944" s="65"/>
      <c r="Z3944" s="51"/>
      <c r="AA3944" s="51"/>
      <c r="AB3944" s="102"/>
      <c r="AC3944" s="81" t="e">
        <f t="shared" si="187"/>
        <v>#DIV/0!</v>
      </c>
      <c r="AD3944" s="82">
        <f t="shared" si="188"/>
        <v>0</v>
      </c>
      <c r="AE3944" s="218"/>
      <c r="AH3944" t="str">
        <f t="shared" si="186"/>
        <v>0000</v>
      </c>
      <c r="AJ3944" s="72"/>
      <c r="AK3944" s="72"/>
      <c r="AL3944" s="72"/>
      <c r="AM3944" s="72"/>
    </row>
    <row r="3945" spans="1:39" x14ac:dyDescent="0.25">
      <c r="A3945" s="37" t="s">
        <v>62</v>
      </c>
      <c r="B3945" s="66"/>
      <c r="C3945" s="4"/>
      <c r="D3945" s="41"/>
      <c r="E3945" s="41"/>
      <c r="F3945" s="85"/>
      <c r="G3945" s="39"/>
      <c r="H3945" s="52"/>
      <c r="I3945" s="52"/>
      <c r="J3945" s="49"/>
      <c r="K3945" s="58"/>
      <c r="L3945" s="58"/>
      <c r="M3945" s="58"/>
      <c r="N3945" s="58"/>
      <c r="O3945" s="58"/>
      <c r="P3945" s="53"/>
      <c r="Q3945" s="65"/>
      <c r="R3945" s="65"/>
      <c r="S3945" s="65"/>
      <c r="T3945" s="65"/>
      <c r="U3945" s="58"/>
      <c r="V3945" s="65"/>
      <c r="W3945" s="65"/>
      <c r="X3945" s="65"/>
      <c r="Y3945" s="65"/>
      <c r="Z3945" s="51"/>
      <c r="AA3945" s="51"/>
      <c r="AB3945" s="102"/>
      <c r="AC3945" s="81" t="e">
        <f t="shared" si="187"/>
        <v>#DIV/0!</v>
      </c>
      <c r="AD3945" s="82">
        <f t="shared" si="188"/>
        <v>0</v>
      </c>
      <c r="AE3945" s="218"/>
      <c r="AH3945" t="str">
        <f t="shared" si="186"/>
        <v>0000</v>
      </c>
      <c r="AJ3945" s="72"/>
      <c r="AK3945" s="72"/>
      <c r="AL3945" s="72"/>
      <c r="AM3945" s="72"/>
    </row>
    <row r="3946" spans="1:39" x14ac:dyDescent="0.25">
      <c r="A3946" s="37" t="s">
        <v>62</v>
      </c>
      <c r="B3946" s="66"/>
      <c r="C3946" s="4"/>
      <c r="D3946" s="41"/>
      <c r="E3946" s="41"/>
      <c r="F3946" s="85"/>
      <c r="G3946" s="39"/>
      <c r="H3946" s="52"/>
      <c r="I3946" s="52"/>
      <c r="J3946" s="49"/>
      <c r="K3946" s="58"/>
      <c r="L3946" s="58"/>
      <c r="M3946" s="58"/>
      <c r="N3946" s="58"/>
      <c r="O3946" s="58"/>
      <c r="P3946" s="53"/>
      <c r="Q3946" s="65"/>
      <c r="R3946" s="65"/>
      <c r="S3946" s="65"/>
      <c r="T3946" s="65"/>
      <c r="U3946" s="58"/>
      <c r="V3946" s="65"/>
      <c r="W3946" s="65"/>
      <c r="X3946" s="65"/>
      <c r="Y3946" s="65"/>
      <c r="Z3946" s="51"/>
      <c r="AA3946" s="51"/>
      <c r="AB3946" s="102"/>
      <c r="AC3946" s="81" t="e">
        <f t="shared" si="187"/>
        <v>#DIV/0!</v>
      </c>
      <c r="AD3946" s="82">
        <f t="shared" si="188"/>
        <v>0</v>
      </c>
      <c r="AE3946" s="218"/>
      <c r="AH3946" t="str">
        <f t="shared" si="186"/>
        <v>0000</v>
      </c>
      <c r="AJ3946" s="72"/>
      <c r="AK3946" s="72"/>
      <c r="AL3946" s="72"/>
      <c r="AM3946" s="72"/>
    </row>
    <row r="3947" spans="1:39" x14ac:dyDescent="0.25">
      <c r="A3947" s="37" t="s">
        <v>62</v>
      </c>
      <c r="B3947" s="66"/>
      <c r="C3947" s="4"/>
      <c r="D3947" s="41"/>
      <c r="E3947" s="41"/>
      <c r="F3947" s="85"/>
      <c r="G3947" s="39"/>
      <c r="H3947" s="52"/>
      <c r="I3947" s="52"/>
      <c r="J3947" s="49"/>
      <c r="K3947" s="58"/>
      <c r="L3947" s="58"/>
      <c r="M3947" s="58"/>
      <c r="N3947" s="58"/>
      <c r="O3947" s="58"/>
      <c r="P3947" s="53"/>
      <c r="Q3947" s="65"/>
      <c r="R3947" s="65"/>
      <c r="S3947" s="65"/>
      <c r="T3947" s="65"/>
      <c r="U3947" s="58"/>
      <c r="V3947" s="65"/>
      <c r="W3947" s="65"/>
      <c r="X3947" s="65"/>
      <c r="Y3947" s="65"/>
      <c r="Z3947" s="51"/>
      <c r="AA3947" s="51"/>
      <c r="AB3947" s="102"/>
      <c r="AC3947" s="81" t="e">
        <f t="shared" si="187"/>
        <v>#DIV/0!</v>
      </c>
      <c r="AD3947" s="82">
        <f t="shared" si="188"/>
        <v>0</v>
      </c>
      <c r="AE3947" s="218"/>
      <c r="AH3947" t="str">
        <f t="shared" si="186"/>
        <v>0000</v>
      </c>
      <c r="AJ3947" s="72"/>
      <c r="AK3947" s="72"/>
      <c r="AL3947" s="72"/>
      <c r="AM3947" s="72"/>
    </row>
    <row r="3948" spans="1:39" x14ac:dyDescent="0.25">
      <c r="A3948" s="37" t="s">
        <v>62</v>
      </c>
      <c r="B3948" s="66"/>
      <c r="C3948" s="4"/>
      <c r="D3948" s="41"/>
      <c r="E3948" s="41"/>
      <c r="F3948" s="85"/>
      <c r="G3948" s="39"/>
      <c r="H3948" s="52"/>
      <c r="I3948" s="52"/>
      <c r="J3948" s="49"/>
      <c r="K3948" s="58"/>
      <c r="L3948" s="58"/>
      <c r="M3948" s="58"/>
      <c r="N3948" s="58"/>
      <c r="O3948" s="58"/>
      <c r="P3948" s="53"/>
      <c r="Q3948" s="65"/>
      <c r="R3948" s="65"/>
      <c r="S3948" s="65"/>
      <c r="T3948" s="65"/>
      <c r="U3948" s="58"/>
      <c r="V3948" s="65"/>
      <c r="W3948" s="65"/>
      <c r="X3948" s="65"/>
      <c r="Y3948" s="65"/>
      <c r="Z3948" s="51"/>
      <c r="AA3948" s="51"/>
      <c r="AB3948" s="102"/>
      <c r="AC3948" s="81" t="e">
        <f t="shared" si="187"/>
        <v>#DIV/0!</v>
      </c>
      <c r="AD3948" s="82">
        <f t="shared" si="188"/>
        <v>0</v>
      </c>
      <c r="AE3948" s="218"/>
      <c r="AH3948" t="str">
        <f t="shared" si="186"/>
        <v>0000</v>
      </c>
      <c r="AJ3948" s="72"/>
      <c r="AK3948" s="72"/>
      <c r="AL3948" s="72"/>
      <c r="AM3948" s="72"/>
    </row>
    <row r="3949" spans="1:39" x14ac:dyDescent="0.25">
      <c r="A3949" s="37" t="s">
        <v>62</v>
      </c>
      <c r="B3949" s="66"/>
      <c r="C3949" s="4"/>
      <c r="D3949" s="41"/>
      <c r="E3949" s="41"/>
      <c r="F3949" s="85"/>
      <c r="G3949" s="39"/>
      <c r="H3949" s="52"/>
      <c r="I3949" s="52"/>
      <c r="J3949" s="49"/>
      <c r="K3949" s="58"/>
      <c r="L3949" s="58"/>
      <c r="M3949" s="58"/>
      <c r="N3949" s="58"/>
      <c r="O3949" s="58"/>
      <c r="P3949" s="53"/>
      <c r="Q3949" s="65"/>
      <c r="R3949" s="65"/>
      <c r="S3949" s="65"/>
      <c r="T3949" s="65"/>
      <c r="U3949" s="58"/>
      <c r="V3949" s="65"/>
      <c r="W3949" s="65"/>
      <c r="X3949" s="65"/>
      <c r="Y3949" s="65"/>
      <c r="Z3949" s="51"/>
      <c r="AA3949" s="51"/>
      <c r="AB3949" s="102"/>
      <c r="AC3949" s="81" t="e">
        <f t="shared" si="187"/>
        <v>#DIV/0!</v>
      </c>
      <c r="AD3949" s="82">
        <f t="shared" si="188"/>
        <v>0</v>
      </c>
      <c r="AE3949" s="218"/>
      <c r="AH3949" t="str">
        <f t="shared" si="186"/>
        <v>0000</v>
      </c>
      <c r="AJ3949" s="72"/>
      <c r="AK3949" s="72"/>
      <c r="AL3949" s="72"/>
      <c r="AM3949" s="72"/>
    </row>
    <row r="3950" spans="1:39" x14ac:dyDescent="0.25">
      <c r="A3950" s="37" t="s">
        <v>62</v>
      </c>
      <c r="B3950" s="66"/>
      <c r="C3950" s="4"/>
      <c r="D3950" s="41"/>
      <c r="E3950" s="41"/>
      <c r="F3950" s="85"/>
      <c r="G3950" s="39"/>
      <c r="H3950" s="52"/>
      <c r="I3950" s="52"/>
      <c r="J3950" s="49"/>
      <c r="K3950" s="58"/>
      <c r="L3950" s="58"/>
      <c r="M3950" s="58"/>
      <c r="N3950" s="58"/>
      <c r="O3950" s="58"/>
      <c r="P3950" s="53"/>
      <c r="Q3950" s="65"/>
      <c r="R3950" s="65"/>
      <c r="S3950" s="65"/>
      <c r="T3950" s="65"/>
      <c r="U3950" s="58"/>
      <c r="V3950" s="65"/>
      <c r="W3950" s="65"/>
      <c r="X3950" s="65"/>
      <c r="Y3950" s="65"/>
      <c r="Z3950" s="51"/>
      <c r="AA3950" s="51"/>
      <c r="AB3950" s="102"/>
      <c r="AC3950" s="81" t="e">
        <f t="shared" si="187"/>
        <v>#DIV/0!</v>
      </c>
      <c r="AD3950" s="82">
        <f t="shared" si="188"/>
        <v>0</v>
      </c>
      <c r="AE3950" s="218"/>
      <c r="AH3950" t="str">
        <f t="shared" si="186"/>
        <v>0000</v>
      </c>
      <c r="AJ3950" s="72"/>
      <c r="AK3950" s="72"/>
      <c r="AL3950" s="72"/>
      <c r="AM3950" s="72"/>
    </row>
    <row r="3951" spans="1:39" x14ac:dyDescent="0.25">
      <c r="A3951" s="37" t="s">
        <v>62</v>
      </c>
      <c r="B3951" s="66"/>
      <c r="C3951" s="4"/>
      <c r="D3951" s="41"/>
      <c r="E3951" s="41"/>
      <c r="F3951" s="85"/>
      <c r="G3951" s="39"/>
      <c r="H3951" s="52"/>
      <c r="I3951" s="52"/>
      <c r="J3951" s="49"/>
      <c r="K3951" s="58"/>
      <c r="L3951" s="58"/>
      <c r="M3951" s="58"/>
      <c r="N3951" s="58"/>
      <c r="O3951" s="58"/>
      <c r="P3951" s="53"/>
      <c r="Q3951" s="65"/>
      <c r="R3951" s="65"/>
      <c r="S3951" s="65"/>
      <c r="T3951" s="65"/>
      <c r="U3951" s="58"/>
      <c r="V3951" s="65"/>
      <c r="W3951" s="65"/>
      <c r="X3951" s="65"/>
      <c r="Y3951" s="65"/>
      <c r="Z3951" s="51"/>
      <c r="AA3951" s="51"/>
      <c r="AB3951" s="102"/>
      <c r="AC3951" s="81" t="e">
        <f t="shared" si="187"/>
        <v>#DIV/0!</v>
      </c>
      <c r="AD3951" s="82">
        <f t="shared" si="188"/>
        <v>0</v>
      </c>
      <c r="AE3951" s="218"/>
      <c r="AH3951" t="str">
        <f t="shared" si="186"/>
        <v>0000</v>
      </c>
      <c r="AJ3951" s="72"/>
      <c r="AK3951" s="72"/>
      <c r="AL3951" s="72"/>
      <c r="AM3951" s="72"/>
    </row>
    <row r="3952" spans="1:39" x14ac:dyDescent="0.25">
      <c r="A3952" s="37" t="s">
        <v>62</v>
      </c>
      <c r="B3952" s="66"/>
      <c r="C3952" s="4"/>
      <c r="D3952" s="41"/>
      <c r="E3952" s="41"/>
      <c r="F3952" s="85"/>
      <c r="G3952" s="39"/>
      <c r="H3952" s="52"/>
      <c r="I3952" s="52"/>
      <c r="J3952" s="49"/>
      <c r="K3952" s="58"/>
      <c r="L3952" s="58"/>
      <c r="M3952" s="58"/>
      <c r="N3952" s="58"/>
      <c r="O3952" s="58"/>
      <c r="P3952" s="53"/>
      <c r="Q3952" s="65"/>
      <c r="R3952" s="65"/>
      <c r="S3952" s="65"/>
      <c r="T3952" s="65"/>
      <c r="U3952" s="58"/>
      <c r="V3952" s="65"/>
      <c r="W3952" s="65"/>
      <c r="X3952" s="65"/>
      <c r="Y3952" s="65"/>
      <c r="Z3952" s="51"/>
      <c r="AA3952" s="51"/>
      <c r="AB3952" s="102"/>
      <c r="AC3952" s="81" t="e">
        <f t="shared" si="187"/>
        <v>#DIV/0!</v>
      </c>
      <c r="AD3952" s="82">
        <f t="shared" si="188"/>
        <v>0</v>
      </c>
      <c r="AE3952" s="218"/>
      <c r="AH3952" t="str">
        <f t="shared" si="186"/>
        <v>0000</v>
      </c>
      <c r="AJ3952" s="72"/>
      <c r="AK3952" s="72"/>
      <c r="AL3952" s="72"/>
      <c r="AM3952" s="72"/>
    </row>
    <row r="3953" spans="1:39" x14ac:dyDescent="0.25">
      <c r="A3953" s="37" t="s">
        <v>62</v>
      </c>
      <c r="B3953" s="66"/>
      <c r="C3953" s="4"/>
      <c r="D3953" s="41"/>
      <c r="E3953" s="41"/>
      <c r="F3953" s="85"/>
      <c r="G3953" s="39"/>
      <c r="H3953" s="52"/>
      <c r="I3953" s="52"/>
      <c r="J3953" s="49"/>
      <c r="K3953" s="58"/>
      <c r="L3953" s="58"/>
      <c r="M3953" s="58"/>
      <c r="N3953" s="58"/>
      <c r="O3953" s="58"/>
      <c r="P3953" s="53"/>
      <c r="Q3953" s="65"/>
      <c r="R3953" s="65"/>
      <c r="S3953" s="65"/>
      <c r="T3953" s="65"/>
      <c r="U3953" s="58"/>
      <c r="V3953" s="65"/>
      <c r="W3953" s="65"/>
      <c r="X3953" s="65"/>
      <c r="Y3953" s="65"/>
      <c r="Z3953" s="51"/>
      <c r="AA3953" s="51"/>
      <c r="AB3953" s="102"/>
      <c r="AC3953" s="81" t="e">
        <f t="shared" si="187"/>
        <v>#DIV/0!</v>
      </c>
      <c r="AD3953" s="82">
        <f t="shared" si="188"/>
        <v>0</v>
      </c>
      <c r="AE3953" s="218"/>
      <c r="AH3953" t="str">
        <f t="shared" si="186"/>
        <v>0000</v>
      </c>
      <c r="AJ3953" s="72"/>
      <c r="AK3953" s="72"/>
      <c r="AL3953" s="72"/>
      <c r="AM3953" s="72"/>
    </row>
    <row r="3954" spans="1:39" x14ac:dyDescent="0.25">
      <c r="A3954" s="37" t="s">
        <v>62</v>
      </c>
      <c r="B3954" s="66"/>
      <c r="C3954" s="4"/>
      <c r="D3954" s="41"/>
      <c r="E3954" s="41"/>
      <c r="F3954" s="85"/>
      <c r="G3954" s="39"/>
      <c r="H3954" s="52"/>
      <c r="I3954" s="52"/>
      <c r="J3954" s="49"/>
      <c r="K3954" s="58"/>
      <c r="L3954" s="58"/>
      <c r="M3954" s="58"/>
      <c r="N3954" s="58"/>
      <c r="O3954" s="58"/>
      <c r="P3954" s="53"/>
      <c r="Q3954" s="65"/>
      <c r="R3954" s="65"/>
      <c r="S3954" s="65"/>
      <c r="T3954" s="65"/>
      <c r="U3954" s="58"/>
      <c r="V3954" s="65"/>
      <c r="W3954" s="65"/>
      <c r="X3954" s="65"/>
      <c r="Y3954" s="65"/>
      <c r="Z3954" s="51"/>
      <c r="AA3954" s="51"/>
      <c r="AB3954" s="102"/>
      <c r="AC3954" s="81" t="e">
        <f t="shared" si="187"/>
        <v>#DIV/0!</v>
      </c>
      <c r="AD3954" s="82">
        <f t="shared" si="188"/>
        <v>0</v>
      </c>
      <c r="AE3954" s="218"/>
      <c r="AH3954" t="str">
        <f t="shared" si="186"/>
        <v>0000</v>
      </c>
      <c r="AJ3954" s="72"/>
      <c r="AK3954" s="72"/>
      <c r="AL3954" s="72"/>
      <c r="AM3954" s="72"/>
    </row>
    <row r="3955" spans="1:39" x14ac:dyDescent="0.25">
      <c r="A3955" s="37" t="s">
        <v>62</v>
      </c>
      <c r="B3955" s="66"/>
      <c r="C3955" s="4"/>
      <c r="D3955" s="41"/>
      <c r="E3955" s="41"/>
      <c r="F3955" s="85"/>
      <c r="G3955" s="39"/>
      <c r="H3955" s="52"/>
      <c r="I3955" s="52"/>
      <c r="J3955" s="49"/>
      <c r="K3955" s="58"/>
      <c r="L3955" s="58"/>
      <c r="M3955" s="58"/>
      <c r="N3955" s="58"/>
      <c r="O3955" s="58"/>
      <c r="P3955" s="53"/>
      <c r="Q3955" s="65"/>
      <c r="R3955" s="65"/>
      <c r="S3955" s="65"/>
      <c r="T3955" s="65"/>
      <c r="U3955" s="58"/>
      <c r="V3955" s="65"/>
      <c r="W3955" s="65"/>
      <c r="X3955" s="65"/>
      <c r="Y3955" s="65"/>
      <c r="Z3955" s="51"/>
      <c r="AA3955" s="51"/>
      <c r="AB3955" s="102"/>
      <c r="AC3955" s="81" t="e">
        <f t="shared" si="187"/>
        <v>#DIV/0!</v>
      </c>
      <c r="AD3955" s="82">
        <f t="shared" si="188"/>
        <v>0</v>
      </c>
      <c r="AE3955" s="218"/>
      <c r="AH3955" t="str">
        <f t="shared" si="186"/>
        <v>0000</v>
      </c>
      <c r="AJ3955" s="72"/>
      <c r="AK3955" s="72"/>
      <c r="AL3955" s="72"/>
      <c r="AM3955" s="72"/>
    </row>
    <row r="3956" spans="1:39" x14ac:dyDescent="0.25">
      <c r="A3956" s="37" t="s">
        <v>62</v>
      </c>
      <c r="B3956" s="66"/>
      <c r="C3956" s="4"/>
      <c r="D3956" s="41"/>
      <c r="E3956" s="41"/>
      <c r="F3956" s="85"/>
      <c r="G3956" s="39"/>
      <c r="H3956" s="52"/>
      <c r="I3956" s="52"/>
      <c r="J3956" s="49"/>
      <c r="K3956" s="58"/>
      <c r="L3956" s="58"/>
      <c r="M3956" s="58"/>
      <c r="N3956" s="58"/>
      <c r="O3956" s="58"/>
      <c r="P3956" s="53"/>
      <c r="Q3956" s="65"/>
      <c r="R3956" s="65"/>
      <c r="S3956" s="65"/>
      <c r="T3956" s="65"/>
      <c r="U3956" s="58"/>
      <c r="V3956" s="65"/>
      <c r="W3956" s="65"/>
      <c r="X3956" s="65"/>
      <c r="Y3956" s="65"/>
      <c r="Z3956" s="51"/>
      <c r="AA3956" s="51"/>
      <c r="AB3956" s="102"/>
      <c r="AC3956" s="81" t="e">
        <f t="shared" si="187"/>
        <v>#DIV/0!</v>
      </c>
      <c r="AD3956" s="82">
        <f t="shared" si="188"/>
        <v>0</v>
      </c>
      <c r="AE3956" s="218"/>
      <c r="AH3956" t="str">
        <f t="shared" si="186"/>
        <v>0000</v>
      </c>
      <c r="AJ3956" s="72"/>
      <c r="AK3956" s="72"/>
      <c r="AL3956" s="72"/>
      <c r="AM3956" s="72"/>
    </row>
    <row r="3957" spans="1:39" x14ac:dyDescent="0.25">
      <c r="A3957" s="37" t="s">
        <v>62</v>
      </c>
      <c r="B3957" s="66"/>
      <c r="C3957" s="4"/>
      <c r="D3957" s="41"/>
      <c r="E3957" s="41"/>
      <c r="F3957" s="85"/>
      <c r="G3957" s="39"/>
      <c r="H3957" s="52"/>
      <c r="I3957" s="52"/>
      <c r="J3957" s="49"/>
      <c r="K3957" s="58"/>
      <c r="L3957" s="58"/>
      <c r="M3957" s="58"/>
      <c r="N3957" s="58"/>
      <c r="O3957" s="58"/>
      <c r="P3957" s="53"/>
      <c r="Q3957" s="65"/>
      <c r="R3957" s="65"/>
      <c r="S3957" s="65"/>
      <c r="T3957" s="65"/>
      <c r="U3957" s="58"/>
      <c r="V3957" s="65"/>
      <c r="W3957" s="65"/>
      <c r="X3957" s="65"/>
      <c r="Y3957" s="65"/>
      <c r="Z3957" s="51"/>
      <c r="AA3957" s="51"/>
      <c r="AB3957" s="102"/>
      <c r="AC3957" s="81" t="e">
        <f t="shared" si="187"/>
        <v>#DIV/0!</v>
      </c>
      <c r="AD3957" s="82">
        <f t="shared" si="188"/>
        <v>0</v>
      </c>
      <c r="AE3957" s="218"/>
      <c r="AH3957" t="str">
        <f t="shared" si="186"/>
        <v>0000</v>
      </c>
      <c r="AJ3957" s="72"/>
      <c r="AK3957" s="72"/>
      <c r="AL3957" s="72"/>
      <c r="AM3957" s="72"/>
    </row>
    <row r="3958" spans="1:39" x14ac:dyDescent="0.25">
      <c r="A3958" s="37" t="s">
        <v>62</v>
      </c>
      <c r="B3958" s="66"/>
      <c r="C3958" s="4"/>
      <c r="D3958" s="41"/>
      <c r="E3958" s="41"/>
      <c r="F3958" s="85"/>
      <c r="G3958" s="39"/>
      <c r="H3958" s="52"/>
      <c r="I3958" s="52"/>
      <c r="J3958" s="49"/>
      <c r="K3958" s="58"/>
      <c r="L3958" s="58"/>
      <c r="M3958" s="58"/>
      <c r="N3958" s="58"/>
      <c r="O3958" s="58"/>
      <c r="P3958" s="53"/>
      <c r="Q3958" s="65"/>
      <c r="R3958" s="65"/>
      <c r="S3958" s="65"/>
      <c r="T3958" s="65"/>
      <c r="U3958" s="58"/>
      <c r="V3958" s="65"/>
      <c r="W3958" s="65"/>
      <c r="X3958" s="65"/>
      <c r="Y3958" s="65"/>
      <c r="Z3958" s="51"/>
      <c r="AA3958" s="51"/>
      <c r="AB3958" s="102"/>
      <c r="AC3958" s="81" t="e">
        <f t="shared" si="187"/>
        <v>#DIV/0!</v>
      </c>
      <c r="AD3958" s="82">
        <f t="shared" si="188"/>
        <v>0</v>
      </c>
      <c r="AE3958" s="218"/>
      <c r="AH3958" t="str">
        <f t="shared" si="186"/>
        <v>0000</v>
      </c>
      <c r="AJ3958" s="72"/>
      <c r="AK3958" s="72"/>
      <c r="AL3958" s="72"/>
      <c r="AM3958" s="72"/>
    </row>
    <row r="3959" spans="1:39" x14ac:dyDescent="0.25">
      <c r="A3959" s="37" t="s">
        <v>62</v>
      </c>
      <c r="B3959" s="66"/>
      <c r="C3959" s="4"/>
      <c r="D3959" s="41"/>
      <c r="E3959" s="41"/>
      <c r="F3959" s="85"/>
      <c r="G3959" s="39"/>
      <c r="H3959" s="52"/>
      <c r="I3959" s="52"/>
      <c r="J3959" s="49"/>
      <c r="K3959" s="58"/>
      <c r="L3959" s="58"/>
      <c r="M3959" s="58"/>
      <c r="N3959" s="58"/>
      <c r="O3959" s="58"/>
      <c r="P3959" s="53"/>
      <c r="Q3959" s="65"/>
      <c r="R3959" s="65"/>
      <c r="S3959" s="65"/>
      <c r="T3959" s="65"/>
      <c r="U3959" s="58"/>
      <c r="V3959" s="65"/>
      <c r="W3959" s="65"/>
      <c r="X3959" s="65"/>
      <c r="Y3959" s="65"/>
      <c r="Z3959" s="51"/>
      <c r="AA3959" s="51"/>
      <c r="AB3959" s="102"/>
      <c r="AC3959" s="81" t="e">
        <f t="shared" si="187"/>
        <v>#DIV/0!</v>
      </c>
      <c r="AD3959" s="82">
        <f t="shared" si="188"/>
        <v>0</v>
      </c>
      <c r="AE3959" s="218"/>
      <c r="AH3959" t="str">
        <f t="shared" si="186"/>
        <v>0000</v>
      </c>
      <c r="AJ3959" s="72"/>
      <c r="AK3959" s="72"/>
      <c r="AL3959" s="72"/>
      <c r="AM3959" s="72"/>
    </row>
    <row r="3960" spans="1:39" x14ac:dyDescent="0.25">
      <c r="A3960" s="37" t="s">
        <v>62</v>
      </c>
      <c r="B3960" s="66"/>
      <c r="C3960" s="4"/>
      <c r="D3960" s="41"/>
      <c r="E3960" s="41"/>
      <c r="F3960" s="85"/>
      <c r="G3960" s="39"/>
      <c r="H3960" s="52"/>
      <c r="I3960" s="52"/>
      <c r="J3960" s="49"/>
      <c r="K3960" s="58"/>
      <c r="L3960" s="58"/>
      <c r="M3960" s="58"/>
      <c r="N3960" s="58"/>
      <c r="O3960" s="58"/>
      <c r="P3960" s="53"/>
      <c r="Q3960" s="65"/>
      <c r="R3960" s="65"/>
      <c r="S3960" s="65"/>
      <c r="T3960" s="65"/>
      <c r="U3960" s="58"/>
      <c r="V3960" s="65"/>
      <c r="W3960" s="65"/>
      <c r="X3960" s="65"/>
      <c r="Y3960" s="65"/>
      <c r="Z3960" s="51"/>
      <c r="AA3960" s="51"/>
      <c r="AB3960" s="102"/>
      <c r="AC3960" s="81" t="e">
        <f t="shared" si="187"/>
        <v>#DIV/0!</v>
      </c>
      <c r="AD3960" s="82">
        <f t="shared" si="188"/>
        <v>0</v>
      </c>
      <c r="AE3960" s="218"/>
      <c r="AH3960" t="str">
        <f t="shared" si="186"/>
        <v>0000</v>
      </c>
      <c r="AJ3960" s="72"/>
      <c r="AK3960" s="72"/>
      <c r="AL3960" s="72"/>
      <c r="AM3960" s="72"/>
    </row>
    <row r="3961" spans="1:39" x14ac:dyDescent="0.25">
      <c r="A3961" s="37" t="s">
        <v>62</v>
      </c>
      <c r="B3961" s="66"/>
      <c r="C3961" s="4"/>
      <c r="D3961" s="41"/>
      <c r="E3961" s="41"/>
      <c r="F3961" s="85"/>
      <c r="G3961" s="39"/>
      <c r="H3961" s="52"/>
      <c r="I3961" s="52"/>
      <c r="J3961" s="49"/>
      <c r="K3961" s="58"/>
      <c r="L3961" s="58"/>
      <c r="M3961" s="58"/>
      <c r="N3961" s="58"/>
      <c r="O3961" s="58"/>
      <c r="P3961" s="53"/>
      <c r="Q3961" s="65"/>
      <c r="R3961" s="65"/>
      <c r="S3961" s="65"/>
      <c r="T3961" s="65"/>
      <c r="U3961" s="58"/>
      <c r="V3961" s="65"/>
      <c r="W3961" s="65"/>
      <c r="X3961" s="65"/>
      <c r="Y3961" s="65"/>
      <c r="Z3961" s="51"/>
      <c r="AA3961" s="51"/>
      <c r="AB3961" s="102"/>
      <c r="AC3961" s="81" t="e">
        <f t="shared" si="187"/>
        <v>#DIV/0!</v>
      </c>
      <c r="AD3961" s="82">
        <f t="shared" si="188"/>
        <v>0</v>
      </c>
      <c r="AE3961" s="218"/>
      <c r="AH3961" t="str">
        <f t="shared" si="186"/>
        <v>0000</v>
      </c>
      <c r="AJ3961" s="72"/>
      <c r="AK3961" s="72"/>
      <c r="AL3961" s="72"/>
      <c r="AM3961" s="72"/>
    </row>
    <row r="3962" spans="1:39" x14ac:dyDescent="0.25">
      <c r="A3962" s="37" t="s">
        <v>62</v>
      </c>
      <c r="B3962" s="66"/>
      <c r="C3962" s="4"/>
      <c r="D3962" s="41"/>
      <c r="E3962" s="41"/>
      <c r="F3962" s="85"/>
      <c r="G3962" s="39"/>
      <c r="H3962" s="52"/>
      <c r="I3962" s="52"/>
      <c r="J3962" s="49"/>
      <c r="K3962" s="58"/>
      <c r="L3962" s="58"/>
      <c r="M3962" s="58"/>
      <c r="N3962" s="58"/>
      <c r="O3962" s="58"/>
      <c r="P3962" s="53"/>
      <c r="Q3962" s="65"/>
      <c r="R3962" s="65"/>
      <c r="S3962" s="65"/>
      <c r="T3962" s="65"/>
      <c r="U3962" s="58"/>
      <c r="V3962" s="65"/>
      <c r="W3962" s="65"/>
      <c r="X3962" s="65"/>
      <c r="Y3962" s="65"/>
      <c r="Z3962" s="51"/>
      <c r="AA3962" s="51"/>
      <c r="AB3962" s="102"/>
      <c r="AC3962" s="81" t="e">
        <f t="shared" si="187"/>
        <v>#DIV/0!</v>
      </c>
      <c r="AD3962" s="82">
        <f t="shared" si="188"/>
        <v>0</v>
      </c>
      <c r="AE3962" s="218"/>
      <c r="AH3962" t="str">
        <f t="shared" ref="AH3962:AH4025" si="189">TEXT(D3962,"0000")</f>
        <v>0000</v>
      </c>
      <c r="AJ3962" s="72"/>
      <c r="AK3962" s="72"/>
      <c r="AL3962" s="72"/>
      <c r="AM3962" s="72"/>
    </row>
    <row r="3963" spans="1:39" x14ac:dyDescent="0.25">
      <c r="A3963" s="37" t="s">
        <v>62</v>
      </c>
      <c r="B3963" s="66"/>
      <c r="C3963" s="4"/>
      <c r="D3963" s="41"/>
      <c r="E3963" s="41"/>
      <c r="F3963" s="85"/>
      <c r="G3963" s="39"/>
      <c r="H3963" s="52"/>
      <c r="I3963" s="52"/>
      <c r="J3963" s="49"/>
      <c r="K3963" s="58"/>
      <c r="L3963" s="58"/>
      <c r="M3963" s="58"/>
      <c r="N3963" s="58"/>
      <c r="O3963" s="58"/>
      <c r="P3963" s="53"/>
      <c r="Q3963" s="65"/>
      <c r="R3963" s="65"/>
      <c r="S3963" s="65"/>
      <c r="T3963" s="65"/>
      <c r="U3963" s="58"/>
      <c r="V3963" s="65"/>
      <c r="W3963" s="65"/>
      <c r="X3963" s="65"/>
      <c r="Y3963" s="65"/>
      <c r="Z3963" s="51"/>
      <c r="AA3963" s="51"/>
      <c r="AB3963" s="102"/>
      <c r="AC3963" s="81" t="e">
        <f t="shared" si="187"/>
        <v>#DIV/0!</v>
      </c>
      <c r="AD3963" s="82">
        <f t="shared" si="188"/>
        <v>0</v>
      </c>
      <c r="AE3963" s="218"/>
      <c r="AH3963" t="str">
        <f t="shared" si="189"/>
        <v>0000</v>
      </c>
      <c r="AJ3963" s="72"/>
      <c r="AK3963" s="72"/>
      <c r="AL3963" s="72"/>
      <c r="AM3963" s="72"/>
    </row>
    <row r="3964" spans="1:39" x14ac:dyDescent="0.25">
      <c r="A3964" s="37" t="s">
        <v>62</v>
      </c>
      <c r="B3964" s="66"/>
      <c r="C3964" s="4"/>
      <c r="D3964" s="41"/>
      <c r="E3964" s="41"/>
      <c r="F3964" s="85"/>
      <c r="G3964" s="39"/>
      <c r="H3964" s="52"/>
      <c r="I3964" s="52"/>
      <c r="J3964" s="49"/>
      <c r="K3964" s="58"/>
      <c r="L3964" s="58"/>
      <c r="M3964" s="58"/>
      <c r="N3964" s="58"/>
      <c r="O3964" s="58"/>
      <c r="P3964" s="53"/>
      <c r="Q3964" s="65"/>
      <c r="R3964" s="65"/>
      <c r="S3964" s="65"/>
      <c r="T3964" s="65"/>
      <c r="U3964" s="58"/>
      <c r="V3964" s="65"/>
      <c r="W3964" s="65"/>
      <c r="X3964" s="65"/>
      <c r="Y3964" s="65"/>
      <c r="Z3964" s="51"/>
      <c r="AA3964" s="51"/>
      <c r="AB3964" s="102"/>
      <c r="AC3964" s="81" t="e">
        <f t="shared" si="187"/>
        <v>#DIV/0!</v>
      </c>
      <c r="AD3964" s="82">
        <f t="shared" si="188"/>
        <v>0</v>
      </c>
      <c r="AE3964" s="218"/>
      <c r="AH3964" t="str">
        <f t="shared" si="189"/>
        <v>0000</v>
      </c>
      <c r="AJ3964" s="72"/>
      <c r="AK3964" s="72"/>
      <c r="AL3964" s="72"/>
      <c r="AM3964" s="72"/>
    </row>
    <row r="3965" spans="1:39" x14ac:dyDescent="0.25">
      <c r="A3965" s="37" t="s">
        <v>62</v>
      </c>
      <c r="B3965" s="66"/>
      <c r="C3965" s="4"/>
      <c r="D3965" s="41"/>
      <c r="E3965" s="41"/>
      <c r="F3965" s="85"/>
      <c r="G3965" s="39"/>
      <c r="H3965" s="52"/>
      <c r="I3965" s="52"/>
      <c r="J3965" s="49"/>
      <c r="K3965" s="58"/>
      <c r="L3965" s="58"/>
      <c r="M3965" s="58"/>
      <c r="N3965" s="58"/>
      <c r="O3965" s="58"/>
      <c r="P3965" s="53"/>
      <c r="Q3965" s="65"/>
      <c r="R3965" s="65"/>
      <c r="S3965" s="65"/>
      <c r="T3965" s="65"/>
      <c r="U3965" s="58"/>
      <c r="V3965" s="65"/>
      <c r="W3965" s="65"/>
      <c r="X3965" s="65"/>
      <c r="Y3965" s="65"/>
      <c r="Z3965" s="51"/>
      <c r="AA3965" s="51"/>
      <c r="AB3965" s="102"/>
      <c r="AC3965" s="81" t="e">
        <f t="shared" si="187"/>
        <v>#DIV/0!</v>
      </c>
      <c r="AD3965" s="82">
        <f t="shared" si="188"/>
        <v>0</v>
      </c>
      <c r="AE3965" s="218"/>
      <c r="AH3965" t="str">
        <f t="shared" si="189"/>
        <v>0000</v>
      </c>
      <c r="AJ3965" s="72"/>
      <c r="AK3965" s="72"/>
      <c r="AL3965" s="72"/>
      <c r="AM3965" s="72"/>
    </row>
    <row r="3966" spans="1:39" x14ac:dyDescent="0.25">
      <c r="A3966" s="37" t="s">
        <v>62</v>
      </c>
      <c r="B3966" s="66"/>
      <c r="C3966" s="4"/>
      <c r="D3966" s="41"/>
      <c r="E3966" s="41"/>
      <c r="F3966" s="85"/>
      <c r="G3966" s="39"/>
      <c r="H3966" s="52"/>
      <c r="I3966" s="52"/>
      <c r="J3966" s="49"/>
      <c r="K3966" s="58"/>
      <c r="L3966" s="58"/>
      <c r="M3966" s="58"/>
      <c r="N3966" s="58"/>
      <c r="O3966" s="58"/>
      <c r="P3966" s="53"/>
      <c r="Q3966" s="65"/>
      <c r="R3966" s="65"/>
      <c r="S3966" s="65"/>
      <c r="T3966" s="65"/>
      <c r="U3966" s="58"/>
      <c r="V3966" s="65"/>
      <c r="W3966" s="65"/>
      <c r="X3966" s="65"/>
      <c r="Y3966" s="65"/>
      <c r="Z3966" s="51"/>
      <c r="AA3966" s="51"/>
      <c r="AB3966" s="102"/>
      <c r="AC3966" s="81" t="e">
        <f t="shared" si="187"/>
        <v>#DIV/0!</v>
      </c>
      <c r="AD3966" s="82">
        <f t="shared" si="188"/>
        <v>0</v>
      </c>
      <c r="AE3966" s="218"/>
      <c r="AH3966" t="str">
        <f t="shared" si="189"/>
        <v>0000</v>
      </c>
      <c r="AJ3966" s="72"/>
      <c r="AK3966" s="72"/>
      <c r="AL3966" s="72"/>
      <c r="AM3966" s="72"/>
    </row>
    <row r="3967" spans="1:39" x14ac:dyDescent="0.25">
      <c r="A3967" s="37" t="s">
        <v>62</v>
      </c>
      <c r="B3967" s="66"/>
      <c r="C3967" s="4"/>
      <c r="D3967" s="41"/>
      <c r="E3967" s="41"/>
      <c r="F3967" s="85"/>
      <c r="G3967" s="39"/>
      <c r="H3967" s="52"/>
      <c r="I3967" s="52"/>
      <c r="J3967" s="49"/>
      <c r="K3967" s="58"/>
      <c r="L3967" s="58"/>
      <c r="M3967" s="58"/>
      <c r="N3967" s="58"/>
      <c r="O3967" s="58"/>
      <c r="P3967" s="53"/>
      <c r="Q3967" s="65"/>
      <c r="R3967" s="65"/>
      <c r="S3967" s="65"/>
      <c r="T3967" s="65"/>
      <c r="U3967" s="58"/>
      <c r="V3967" s="65"/>
      <c r="W3967" s="65"/>
      <c r="X3967" s="65"/>
      <c r="Y3967" s="65"/>
      <c r="Z3967" s="51"/>
      <c r="AA3967" s="51"/>
      <c r="AB3967" s="102"/>
      <c r="AC3967" s="81" t="e">
        <f t="shared" si="187"/>
        <v>#DIV/0!</v>
      </c>
      <c r="AD3967" s="82">
        <f t="shared" si="188"/>
        <v>0</v>
      </c>
      <c r="AE3967" s="218"/>
      <c r="AH3967" t="str">
        <f t="shared" si="189"/>
        <v>0000</v>
      </c>
      <c r="AJ3967" s="72"/>
      <c r="AK3967" s="72"/>
      <c r="AL3967" s="72"/>
      <c r="AM3967" s="72"/>
    </row>
    <row r="3968" spans="1:39" x14ac:dyDescent="0.25">
      <c r="A3968" s="37" t="s">
        <v>62</v>
      </c>
      <c r="B3968" s="66"/>
      <c r="C3968" s="4"/>
      <c r="D3968" s="41"/>
      <c r="E3968" s="41"/>
      <c r="F3968" s="85"/>
      <c r="G3968" s="39"/>
      <c r="H3968" s="52"/>
      <c r="I3968" s="52"/>
      <c r="J3968" s="49"/>
      <c r="K3968" s="58"/>
      <c r="L3968" s="58"/>
      <c r="M3968" s="58"/>
      <c r="N3968" s="58"/>
      <c r="O3968" s="58"/>
      <c r="P3968" s="53"/>
      <c r="Q3968" s="65"/>
      <c r="R3968" s="65"/>
      <c r="S3968" s="65"/>
      <c r="T3968" s="65"/>
      <c r="U3968" s="58"/>
      <c r="V3968" s="65"/>
      <c r="W3968" s="65"/>
      <c r="X3968" s="65"/>
      <c r="Y3968" s="65"/>
      <c r="Z3968" s="51"/>
      <c r="AA3968" s="51"/>
      <c r="AB3968" s="102"/>
      <c r="AC3968" s="81" t="e">
        <f t="shared" si="187"/>
        <v>#DIV/0!</v>
      </c>
      <c r="AD3968" s="82">
        <f t="shared" si="188"/>
        <v>0</v>
      </c>
      <c r="AE3968" s="218"/>
      <c r="AH3968" t="str">
        <f t="shared" si="189"/>
        <v>0000</v>
      </c>
      <c r="AJ3968" s="72"/>
      <c r="AK3968" s="72"/>
      <c r="AL3968" s="72"/>
      <c r="AM3968" s="72"/>
    </row>
    <row r="3969" spans="1:39" x14ac:dyDescent="0.25">
      <c r="A3969" s="37" t="s">
        <v>62</v>
      </c>
      <c r="B3969" s="66"/>
      <c r="C3969" s="4"/>
      <c r="D3969" s="41"/>
      <c r="E3969" s="41"/>
      <c r="F3969" s="85"/>
      <c r="G3969" s="39"/>
      <c r="H3969" s="52"/>
      <c r="I3969" s="52"/>
      <c r="J3969" s="49"/>
      <c r="K3969" s="58"/>
      <c r="L3969" s="58"/>
      <c r="M3969" s="58"/>
      <c r="N3969" s="58"/>
      <c r="O3969" s="58"/>
      <c r="P3969" s="53"/>
      <c r="Q3969" s="65"/>
      <c r="R3969" s="65"/>
      <c r="S3969" s="65"/>
      <c r="T3969" s="65"/>
      <c r="U3969" s="58"/>
      <c r="V3969" s="65"/>
      <c r="W3969" s="65"/>
      <c r="X3969" s="65"/>
      <c r="Y3969" s="65"/>
      <c r="Z3969" s="51"/>
      <c r="AA3969" s="51"/>
      <c r="AB3969" s="102"/>
      <c r="AC3969" s="81" t="e">
        <f t="shared" ref="AC3969:AC4032" si="190">((IF(AD3969=0,0,100-AD3969))*7*(J3969/I3969))*2%</f>
        <v>#DIV/0!</v>
      </c>
      <c r="AD3969" s="82">
        <f t="shared" ref="AD3969:AD4032" si="191">IF((I3969/7)&gt;100,0,(I3969/7))</f>
        <v>0</v>
      </c>
      <c r="AE3969" s="218"/>
      <c r="AH3969" t="str">
        <f t="shared" si="189"/>
        <v>0000</v>
      </c>
      <c r="AJ3969" s="72"/>
      <c r="AK3969" s="72"/>
      <c r="AL3969" s="72"/>
      <c r="AM3969" s="72"/>
    </row>
    <row r="3970" spans="1:39" x14ac:dyDescent="0.25">
      <c r="A3970" s="37" t="s">
        <v>62</v>
      </c>
      <c r="B3970" s="66"/>
      <c r="C3970" s="4"/>
      <c r="D3970" s="41"/>
      <c r="E3970" s="41"/>
      <c r="F3970" s="85"/>
      <c r="G3970" s="39"/>
      <c r="H3970" s="52"/>
      <c r="I3970" s="52"/>
      <c r="J3970" s="49"/>
      <c r="K3970" s="58"/>
      <c r="L3970" s="58"/>
      <c r="M3970" s="58"/>
      <c r="N3970" s="58"/>
      <c r="O3970" s="58"/>
      <c r="P3970" s="53"/>
      <c r="Q3970" s="65"/>
      <c r="R3970" s="65"/>
      <c r="S3970" s="65"/>
      <c r="T3970" s="65"/>
      <c r="U3970" s="58"/>
      <c r="V3970" s="65"/>
      <c r="W3970" s="65"/>
      <c r="X3970" s="65"/>
      <c r="Y3970" s="65"/>
      <c r="Z3970" s="51"/>
      <c r="AA3970" s="51"/>
      <c r="AB3970" s="102"/>
      <c r="AC3970" s="81" t="e">
        <f t="shared" si="190"/>
        <v>#DIV/0!</v>
      </c>
      <c r="AD3970" s="82">
        <f t="shared" si="191"/>
        <v>0</v>
      </c>
      <c r="AE3970" s="218"/>
      <c r="AH3970" t="str">
        <f t="shared" si="189"/>
        <v>0000</v>
      </c>
      <c r="AJ3970" s="72"/>
      <c r="AK3970" s="72"/>
      <c r="AL3970" s="72"/>
      <c r="AM3970" s="72"/>
    </row>
    <row r="3971" spans="1:39" x14ac:dyDescent="0.25">
      <c r="A3971" s="37" t="s">
        <v>62</v>
      </c>
      <c r="B3971" s="66"/>
      <c r="C3971" s="4"/>
      <c r="D3971" s="41"/>
      <c r="E3971" s="41"/>
      <c r="F3971" s="85"/>
      <c r="G3971" s="39"/>
      <c r="H3971" s="52"/>
      <c r="I3971" s="52"/>
      <c r="J3971" s="49"/>
      <c r="K3971" s="58"/>
      <c r="L3971" s="58"/>
      <c r="M3971" s="58"/>
      <c r="N3971" s="58"/>
      <c r="O3971" s="58"/>
      <c r="P3971" s="53"/>
      <c r="Q3971" s="65"/>
      <c r="R3971" s="65"/>
      <c r="S3971" s="65"/>
      <c r="T3971" s="65"/>
      <c r="U3971" s="58"/>
      <c r="V3971" s="65"/>
      <c r="W3971" s="65"/>
      <c r="X3971" s="65"/>
      <c r="Y3971" s="65"/>
      <c r="Z3971" s="51"/>
      <c r="AA3971" s="51"/>
      <c r="AB3971" s="102"/>
      <c r="AC3971" s="81" t="e">
        <f t="shared" si="190"/>
        <v>#DIV/0!</v>
      </c>
      <c r="AD3971" s="82">
        <f t="shared" si="191"/>
        <v>0</v>
      </c>
      <c r="AE3971" s="218"/>
      <c r="AH3971" t="str">
        <f t="shared" si="189"/>
        <v>0000</v>
      </c>
      <c r="AJ3971" s="72"/>
      <c r="AK3971" s="72"/>
      <c r="AL3971" s="72"/>
      <c r="AM3971" s="72"/>
    </row>
    <row r="3972" spans="1:39" x14ac:dyDescent="0.25">
      <c r="A3972" s="37" t="s">
        <v>62</v>
      </c>
      <c r="B3972" s="66"/>
      <c r="C3972" s="4"/>
      <c r="D3972" s="41"/>
      <c r="E3972" s="41"/>
      <c r="F3972" s="85"/>
      <c r="G3972" s="39"/>
      <c r="H3972" s="52"/>
      <c r="I3972" s="52"/>
      <c r="J3972" s="49"/>
      <c r="K3972" s="58"/>
      <c r="L3972" s="58"/>
      <c r="M3972" s="58"/>
      <c r="N3972" s="58"/>
      <c r="O3972" s="58"/>
      <c r="P3972" s="53"/>
      <c r="Q3972" s="65"/>
      <c r="R3972" s="65"/>
      <c r="S3972" s="65"/>
      <c r="T3972" s="65"/>
      <c r="U3972" s="58"/>
      <c r="V3972" s="65"/>
      <c r="W3972" s="65"/>
      <c r="X3972" s="65"/>
      <c r="Y3972" s="65"/>
      <c r="Z3972" s="51"/>
      <c r="AA3972" s="51"/>
      <c r="AB3972" s="102"/>
      <c r="AC3972" s="81" t="e">
        <f t="shared" si="190"/>
        <v>#DIV/0!</v>
      </c>
      <c r="AD3972" s="82">
        <f t="shared" si="191"/>
        <v>0</v>
      </c>
      <c r="AE3972" s="218"/>
      <c r="AH3972" t="str">
        <f t="shared" si="189"/>
        <v>0000</v>
      </c>
      <c r="AJ3972" s="72"/>
      <c r="AK3972" s="72"/>
      <c r="AL3972" s="72"/>
      <c r="AM3972" s="72"/>
    </row>
    <row r="3973" spans="1:39" x14ac:dyDescent="0.25">
      <c r="A3973" s="37" t="s">
        <v>62</v>
      </c>
      <c r="B3973" s="66"/>
      <c r="C3973" s="4"/>
      <c r="D3973" s="41"/>
      <c r="E3973" s="41"/>
      <c r="F3973" s="85"/>
      <c r="G3973" s="39"/>
      <c r="H3973" s="52"/>
      <c r="I3973" s="52"/>
      <c r="J3973" s="49"/>
      <c r="K3973" s="58"/>
      <c r="L3973" s="58"/>
      <c r="M3973" s="58"/>
      <c r="N3973" s="58"/>
      <c r="O3973" s="58"/>
      <c r="P3973" s="53"/>
      <c r="Q3973" s="65"/>
      <c r="R3973" s="65"/>
      <c r="S3973" s="65"/>
      <c r="T3973" s="65"/>
      <c r="U3973" s="58"/>
      <c r="V3973" s="65"/>
      <c r="W3973" s="65"/>
      <c r="X3973" s="65"/>
      <c r="Y3973" s="65"/>
      <c r="Z3973" s="51"/>
      <c r="AA3973" s="51"/>
      <c r="AB3973" s="102"/>
      <c r="AC3973" s="81" t="e">
        <f t="shared" si="190"/>
        <v>#DIV/0!</v>
      </c>
      <c r="AD3973" s="82">
        <f t="shared" si="191"/>
        <v>0</v>
      </c>
      <c r="AE3973" s="218"/>
      <c r="AH3973" t="str">
        <f t="shared" si="189"/>
        <v>0000</v>
      </c>
      <c r="AJ3973" s="72"/>
      <c r="AK3973" s="72"/>
      <c r="AL3973" s="72"/>
      <c r="AM3973" s="72"/>
    </row>
    <row r="3974" spans="1:39" x14ac:dyDescent="0.25">
      <c r="A3974" s="37" t="s">
        <v>62</v>
      </c>
      <c r="B3974" s="66"/>
      <c r="C3974" s="4"/>
      <c r="D3974" s="41"/>
      <c r="E3974" s="41"/>
      <c r="F3974" s="85"/>
      <c r="G3974" s="39"/>
      <c r="H3974" s="52"/>
      <c r="I3974" s="52"/>
      <c r="J3974" s="49"/>
      <c r="K3974" s="58"/>
      <c r="L3974" s="58"/>
      <c r="M3974" s="58"/>
      <c r="N3974" s="58"/>
      <c r="O3974" s="58"/>
      <c r="P3974" s="53"/>
      <c r="Q3974" s="65"/>
      <c r="R3974" s="65"/>
      <c r="S3974" s="65"/>
      <c r="T3974" s="65"/>
      <c r="U3974" s="58"/>
      <c r="V3974" s="65"/>
      <c r="W3974" s="65"/>
      <c r="X3974" s="65"/>
      <c r="Y3974" s="65"/>
      <c r="Z3974" s="51"/>
      <c r="AA3974" s="51"/>
      <c r="AB3974" s="102"/>
      <c r="AC3974" s="81" t="e">
        <f t="shared" si="190"/>
        <v>#DIV/0!</v>
      </c>
      <c r="AD3974" s="82">
        <f t="shared" si="191"/>
        <v>0</v>
      </c>
      <c r="AE3974" s="218"/>
      <c r="AH3974" t="str">
        <f t="shared" si="189"/>
        <v>0000</v>
      </c>
      <c r="AJ3974" s="72"/>
      <c r="AK3974" s="72"/>
      <c r="AL3974" s="72"/>
      <c r="AM3974" s="72"/>
    </row>
    <row r="3975" spans="1:39" x14ac:dyDescent="0.25">
      <c r="A3975" s="37" t="s">
        <v>62</v>
      </c>
      <c r="B3975" s="66"/>
      <c r="C3975" s="4"/>
      <c r="D3975" s="41"/>
      <c r="E3975" s="41"/>
      <c r="F3975" s="85"/>
      <c r="G3975" s="39"/>
      <c r="H3975" s="52"/>
      <c r="I3975" s="52"/>
      <c r="J3975" s="49"/>
      <c r="K3975" s="58"/>
      <c r="L3975" s="58"/>
      <c r="M3975" s="58"/>
      <c r="N3975" s="58"/>
      <c r="O3975" s="58"/>
      <c r="P3975" s="53"/>
      <c r="Q3975" s="65"/>
      <c r="R3975" s="65"/>
      <c r="S3975" s="65"/>
      <c r="T3975" s="65"/>
      <c r="U3975" s="58"/>
      <c r="V3975" s="65"/>
      <c r="W3975" s="65"/>
      <c r="X3975" s="65"/>
      <c r="Y3975" s="65"/>
      <c r="Z3975" s="51"/>
      <c r="AA3975" s="51"/>
      <c r="AB3975" s="102"/>
      <c r="AC3975" s="81" t="e">
        <f t="shared" si="190"/>
        <v>#DIV/0!</v>
      </c>
      <c r="AD3975" s="82">
        <f t="shared" si="191"/>
        <v>0</v>
      </c>
      <c r="AE3975" s="218"/>
      <c r="AH3975" t="str">
        <f t="shared" si="189"/>
        <v>0000</v>
      </c>
      <c r="AJ3975" s="72"/>
      <c r="AK3975" s="72"/>
      <c r="AL3975" s="72"/>
      <c r="AM3975" s="72"/>
    </row>
    <row r="3976" spans="1:39" x14ac:dyDescent="0.25">
      <c r="A3976" s="37" t="s">
        <v>62</v>
      </c>
      <c r="B3976" s="66"/>
      <c r="C3976" s="4"/>
      <c r="D3976" s="41"/>
      <c r="E3976" s="41"/>
      <c r="F3976" s="85"/>
      <c r="G3976" s="39"/>
      <c r="H3976" s="52"/>
      <c r="I3976" s="52"/>
      <c r="J3976" s="49"/>
      <c r="K3976" s="58"/>
      <c r="L3976" s="58"/>
      <c r="M3976" s="58"/>
      <c r="N3976" s="58"/>
      <c r="O3976" s="58"/>
      <c r="P3976" s="53"/>
      <c r="Q3976" s="65"/>
      <c r="R3976" s="65"/>
      <c r="S3976" s="65"/>
      <c r="T3976" s="65"/>
      <c r="U3976" s="58"/>
      <c r="V3976" s="65"/>
      <c r="W3976" s="65"/>
      <c r="X3976" s="65"/>
      <c r="Y3976" s="65"/>
      <c r="Z3976" s="51"/>
      <c r="AA3976" s="51"/>
      <c r="AB3976" s="102"/>
      <c r="AC3976" s="81" t="e">
        <f t="shared" si="190"/>
        <v>#DIV/0!</v>
      </c>
      <c r="AD3976" s="82">
        <f t="shared" si="191"/>
        <v>0</v>
      </c>
      <c r="AE3976" s="218"/>
      <c r="AH3976" t="str">
        <f t="shared" si="189"/>
        <v>0000</v>
      </c>
      <c r="AJ3976" s="72"/>
      <c r="AK3976" s="72"/>
      <c r="AL3976" s="72"/>
      <c r="AM3976" s="72"/>
    </row>
    <row r="3977" spans="1:39" x14ac:dyDescent="0.25">
      <c r="A3977" s="37" t="s">
        <v>62</v>
      </c>
      <c r="B3977" s="66"/>
      <c r="C3977" s="4"/>
      <c r="D3977" s="41"/>
      <c r="E3977" s="41"/>
      <c r="F3977" s="85"/>
      <c r="G3977" s="39"/>
      <c r="H3977" s="52"/>
      <c r="I3977" s="52"/>
      <c r="J3977" s="49"/>
      <c r="K3977" s="58"/>
      <c r="L3977" s="58"/>
      <c r="M3977" s="58"/>
      <c r="N3977" s="58"/>
      <c r="O3977" s="58"/>
      <c r="P3977" s="53"/>
      <c r="Q3977" s="65"/>
      <c r="R3977" s="65"/>
      <c r="S3977" s="65"/>
      <c r="T3977" s="65"/>
      <c r="U3977" s="58"/>
      <c r="V3977" s="65"/>
      <c r="W3977" s="65"/>
      <c r="X3977" s="65"/>
      <c r="Y3977" s="65"/>
      <c r="Z3977" s="51"/>
      <c r="AA3977" s="51"/>
      <c r="AB3977" s="102"/>
      <c r="AC3977" s="81" t="e">
        <f t="shared" si="190"/>
        <v>#DIV/0!</v>
      </c>
      <c r="AD3977" s="82">
        <f t="shared" si="191"/>
        <v>0</v>
      </c>
      <c r="AE3977" s="218"/>
      <c r="AH3977" t="str">
        <f t="shared" si="189"/>
        <v>0000</v>
      </c>
      <c r="AJ3977" s="72"/>
      <c r="AK3977" s="72"/>
      <c r="AL3977" s="72"/>
      <c r="AM3977" s="72"/>
    </row>
    <row r="3978" spans="1:39" x14ac:dyDescent="0.25">
      <c r="A3978" s="37" t="s">
        <v>62</v>
      </c>
      <c r="B3978" s="66"/>
      <c r="C3978" s="4"/>
      <c r="D3978" s="41"/>
      <c r="E3978" s="41"/>
      <c r="F3978" s="85"/>
      <c r="G3978" s="39"/>
      <c r="H3978" s="52"/>
      <c r="I3978" s="52"/>
      <c r="J3978" s="49"/>
      <c r="K3978" s="58"/>
      <c r="L3978" s="58"/>
      <c r="M3978" s="58"/>
      <c r="N3978" s="58"/>
      <c r="O3978" s="58"/>
      <c r="P3978" s="53"/>
      <c r="Q3978" s="65"/>
      <c r="R3978" s="65"/>
      <c r="S3978" s="65"/>
      <c r="T3978" s="65"/>
      <c r="U3978" s="58"/>
      <c r="V3978" s="65"/>
      <c r="W3978" s="65"/>
      <c r="X3978" s="65"/>
      <c r="Y3978" s="65"/>
      <c r="Z3978" s="51"/>
      <c r="AA3978" s="51"/>
      <c r="AB3978" s="102"/>
      <c r="AC3978" s="81" t="e">
        <f t="shared" si="190"/>
        <v>#DIV/0!</v>
      </c>
      <c r="AD3978" s="82">
        <f t="shared" si="191"/>
        <v>0</v>
      </c>
      <c r="AE3978" s="218"/>
      <c r="AH3978" t="str">
        <f t="shared" si="189"/>
        <v>0000</v>
      </c>
      <c r="AJ3978" s="72"/>
      <c r="AK3978" s="72"/>
      <c r="AL3978" s="72"/>
      <c r="AM3978" s="72"/>
    </row>
    <row r="3979" spans="1:39" x14ac:dyDescent="0.25">
      <c r="A3979" s="37" t="s">
        <v>62</v>
      </c>
      <c r="B3979" s="66"/>
      <c r="C3979" s="4"/>
      <c r="D3979" s="41"/>
      <c r="E3979" s="41"/>
      <c r="F3979" s="85"/>
      <c r="G3979" s="39"/>
      <c r="H3979" s="52"/>
      <c r="I3979" s="52"/>
      <c r="J3979" s="49"/>
      <c r="K3979" s="58"/>
      <c r="L3979" s="58"/>
      <c r="M3979" s="58"/>
      <c r="N3979" s="58"/>
      <c r="O3979" s="58"/>
      <c r="P3979" s="53"/>
      <c r="Q3979" s="65"/>
      <c r="R3979" s="65"/>
      <c r="S3979" s="65"/>
      <c r="T3979" s="65"/>
      <c r="U3979" s="58"/>
      <c r="V3979" s="65"/>
      <c r="W3979" s="65"/>
      <c r="X3979" s="65"/>
      <c r="Y3979" s="65"/>
      <c r="Z3979" s="51"/>
      <c r="AA3979" s="51"/>
      <c r="AB3979" s="102"/>
      <c r="AC3979" s="81" t="e">
        <f t="shared" si="190"/>
        <v>#DIV/0!</v>
      </c>
      <c r="AD3979" s="82">
        <f t="shared" si="191"/>
        <v>0</v>
      </c>
      <c r="AE3979" s="218"/>
      <c r="AH3979" t="str">
        <f t="shared" si="189"/>
        <v>0000</v>
      </c>
      <c r="AJ3979" s="72"/>
      <c r="AK3979" s="72"/>
      <c r="AL3979" s="72"/>
      <c r="AM3979" s="72"/>
    </row>
    <row r="3980" spans="1:39" x14ac:dyDescent="0.25">
      <c r="A3980" s="37" t="s">
        <v>62</v>
      </c>
      <c r="B3980" s="66"/>
      <c r="C3980" s="4"/>
      <c r="D3980" s="41"/>
      <c r="E3980" s="41"/>
      <c r="F3980" s="85"/>
      <c r="G3980" s="39"/>
      <c r="H3980" s="52"/>
      <c r="I3980" s="52"/>
      <c r="J3980" s="49"/>
      <c r="K3980" s="58"/>
      <c r="L3980" s="58"/>
      <c r="M3980" s="58"/>
      <c r="N3980" s="58"/>
      <c r="O3980" s="58"/>
      <c r="P3980" s="53"/>
      <c r="Q3980" s="65"/>
      <c r="R3980" s="65"/>
      <c r="S3980" s="65"/>
      <c r="T3980" s="65"/>
      <c r="U3980" s="58"/>
      <c r="V3980" s="65"/>
      <c r="W3980" s="65"/>
      <c r="X3980" s="65"/>
      <c r="Y3980" s="65"/>
      <c r="Z3980" s="51"/>
      <c r="AA3980" s="51"/>
      <c r="AB3980" s="102"/>
      <c r="AC3980" s="81" t="e">
        <f t="shared" si="190"/>
        <v>#DIV/0!</v>
      </c>
      <c r="AD3980" s="82">
        <f t="shared" si="191"/>
        <v>0</v>
      </c>
      <c r="AE3980" s="218"/>
      <c r="AH3980" t="str">
        <f t="shared" si="189"/>
        <v>0000</v>
      </c>
      <c r="AJ3980" s="72"/>
      <c r="AK3980" s="72"/>
      <c r="AL3980" s="72"/>
      <c r="AM3980" s="72"/>
    </row>
    <row r="3981" spans="1:39" x14ac:dyDescent="0.25">
      <c r="A3981" s="37" t="s">
        <v>62</v>
      </c>
      <c r="B3981" s="66"/>
      <c r="C3981" s="4"/>
      <c r="D3981" s="41"/>
      <c r="E3981" s="41"/>
      <c r="F3981" s="85"/>
      <c r="G3981" s="39"/>
      <c r="H3981" s="52"/>
      <c r="I3981" s="52"/>
      <c r="J3981" s="49"/>
      <c r="K3981" s="58"/>
      <c r="L3981" s="58"/>
      <c r="M3981" s="58"/>
      <c r="N3981" s="58"/>
      <c r="O3981" s="58"/>
      <c r="P3981" s="53"/>
      <c r="Q3981" s="65"/>
      <c r="R3981" s="65"/>
      <c r="S3981" s="65"/>
      <c r="T3981" s="65"/>
      <c r="U3981" s="58"/>
      <c r="V3981" s="65"/>
      <c r="W3981" s="65"/>
      <c r="X3981" s="65"/>
      <c r="Y3981" s="65"/>
      <c r="Z3981" s="51"/>
      <c r="AA3981" s="51"/>
      <c r="AB3981" s="102"/>
      <c r="AC3981" s="81" t="e">
        <f t="shared" si="190"/>
        <v>#DIV/0!</v>
      </c>
      <c r="AD3981" s="82">
        <f t="shared" si="191"/>
        <v>0</v>
      </c>
      <c r="AE3981" s="218"/>
      <c r="AH3981" t="str">
        <f t="shared" si="189"/>
        <v>0000</v>
      </c>
      <c r="AJ3981" s="72"/>
      <c r="AK3981" s="72"/>
      <c r="AL3981" s="72"/>
      <c r="AM3981" s="72"/>
    </row>
    <row r="3982" spans="1:39" x14ac:dyDescent="0.25">
      <c r="A3982" s="37" t="s">
        <v>62</v>
      </c>
      <c r="B3982" s="66"/>
      <c r="C3982" s="4"/>
      <c r="D3982" s="41"/>
      <c r="E3982" s="41"/>
      <c r="F3982" s="85"/>
      <c r="G3982" s="39"/>
      <c r="H3982" s="52"/>
      <c r="I3982" s="52"/>
      <c r="J3982" s="49"/>
      <c r="K3982" s="58"/>
      <c r="L3982" s="58"/>
      <c r="M3982" s="58"/>
      <c r="N3982" s="58"/>
      <c r="O3982" s="58"/>
      <c r="P3982" s="53"/>
      <c r="Q3982" s="65"/>
      <c r="R3982" s="65"/>
      <c r="S3982" s="65"/>
      <c r="T3982" s="65"/>
      <c r="U3982" s="58"/>
      <c r="V3982" s="65"/>
      <c r="W3982" s="65"/>
      <c r="X3982" s="65"/>
      <c r="Y3982" s="65"/>
      <c r="Z3982" s="51"/>
      <c r="AA3982" s="51"/>
      <c r="AB3982" s="102"/>
      <c r="AC3982" s="81" t="e">
        <f t="shared" si="190"/>
        <v>#DIV/0!</v>
      </c>
      <c r="AD3982" s="82">
        <f t="shared" si="191"/>
        <v>0</v>
      </c>
      <c r="AE3982" s="218"/>
      <c r="AH3982" t="str">
        <f t="shared" si="189"/>
        <v>0000</v>
      </c>
      <c r="AJ3982" s="72"/>
      <c r="AK3982" s="72"/>
      <c r="AL3982" s="72"/>
      <c r="AM3982" s="72"/>
    </row>
    <row r="3983" spans="1:39" x14ac:dyDescent="0.25">
      <c r="A3983" s="37" t="s">
        <v>62</v>
      </c>
      <c r="B3983" s="66"/>
      <c r="C3983" s="4"/>
      <c r="D3983" s="41"/>
      <c r="E3983" s="41"/>
      <c r="F3983" s="85"/>
      <c r="G3983" s="39"/>
      <c r="H3983" s="52"/>
      <c r="I3983" s="52"/>
      <c r="J3983" s="49"/>
      <c r="K3983" s="58"/>
      <c r="L3983" s="58"/>
      <c r="M3983" s="58"/>
      <c r="N3983" s="58"/>
      <c r="O3983" s="58"/>
      <c r="P3983" s="53"/>
      <c r="Q3983" s="65"/>
      <c r="R3983" s="65"/>
      <c r="S3983" s="65"/>
      <c r="T3983" s="65"/>
      <c r="U3983" s="58"/>
      <c r="V3983" s="65"/>
      <c r="W3983" s="65"/>
      <c r="X3983" s="65"/>
      <c r="Y3983" s="65"/>
      <c r="Z3983" s="51"/>
      <c r="AA3983" s="51"/>
      <c r="AB3983" s="102"/>
      <c r="AC3983" s="81" t="e">
        <f t="shared" si="190"/>
        <v>#DIV/0!</v>
      </c>
      <c r="AD3983" s="82">
        <f t="shared" si="191"/>
        <v>0</v>
      </c>
      <c r="AE3983" s="218"/>
      <c r="AH3983" t="str">
        <f t="shared" si="189"/>
        <v>0000</v>
      </c>
      <c r="AJ3983" s="72"/>
      <c r="AK3983" s="72"/>
      <c r="AL3983" s="72"/>
      <c r="AM3983" s="72"/>
    </row>
    <row r="3984" spans="1:39" x14ac:dyDescent="0.25">
      <c r="A3984" s="37" t="s">
        <v>62</v>
      </c>
      <c r="B3984" s="66"/>
      <c r="C3984" s="4"/>
      <c r="D3984" s="41"/>
      <c r="E3984" s="41"/>
      <c r="F3984" s="85"/>
      <c r="G3984" s="39"/>
      <c r="H3984" s="52"/>
      <c r="I3984" s="52"/>
      <c r="J3984" s="49"/>
      <c r="K3984" s="58"/>
      <c r="L3984" s="58"/>
      <c r="M3984" s="58"/>
      <c r="N3984" s="58"/>
      <c r="O3984" s="58"/>
      <c r="P3984" s="53"/>
      <c r="Q3984" s="65"/>
      <c r="R3984" s="65"/>
      <c r="S3984" s="65"/>
      <c r="T3984" s="65"/>
      <c r="U3984" s="58"/>
      <c r="V3984" s="65"/>
      <c r="W3984" s="65"/>
      <c r="X3984" s="65"/>
      <c r="Y3984" s="65"/>
      <c r="Z3984" s="51"/>
      <c r="AA3984" s="51"/>
      <c r="AB3984" s="102"/>
      <c r="AC3984" s="81" t="e">
        <f t="shared" si="190"/>
        <v>#DIV/0!</v>
      </c>
      <c r="AD3984" s="82">
        <f t="shared" si="191"/>
        <v>0</v>
      </c>
      <c r="AE3984" s="218"/>
      <c r="AH3984" t="str">
        <f t="shared" si="189"/>
        <v>0000</v>
      </c>
      <c r="AJ3984" s="72"/>
      <c r="AK3984" s="72"/>
      <c r="AL3984" s="72"/>
      <c r="AM3984" s="72"/>
    </row>
    <row r="3985" spans="1:39" x14ac:dyDescent="0.25">
      <c r="A3985" s="37" t="s">
        <v>62</v>
      </c>
      <c r="B3985" s="66"/>
      <c r="C3985" s="4"/>
      <c r="D3985" s="41"/>
      <c r="E3985" s="41"/>
      <c r="F3985" s="85"/>
      <c r="G3985" s="39"/>
      <c r="H3985" s="52"/>
      <c r="I3985" s="52"/>
      <c r="J3985" s="49"/>
      <c r="K3985" s="58"/>
      <c r="L3985" s="58"/>
      <c r="M3985" s="58"/>
      <c r="N3985" s="58"/>
      <c r="O3985" s="58"/>
      <c r="P3985" s="53"/>
      <c r="Q3985" s="65"/>
      <c r="R3985" s="65"/>
      <c r="S3985" s="65"/>
      <c r="T3985" s="65"/>
      <c r="U3985" s="58"/>
      <c r="V3985" s="65"/>
      <c r="W3985" s="65"/>
      <c r="X3985" s="65"/>
      <c r="Y3985" s="65"/>
      <c r="Z3985" s="51"/>
      <c r="AA3985" s="51"/>
      <c r="AB3985" s="102"/>
      <c r="AC3985" s="81" t="e">
        <f t="shared" si="190"/>
        <v>#DIV/0!</v>
      </c>
      <c r="AD3985" s="82">
        <f t="shared" si="191"/>
        <v>0</v>
      </c>
      <c r="AE3985" s="218"/>
      <c r="AH3985" t="str">
        <f t="shared" si="189"/>
        <v>0000</v>
      </c>
      <c r="AJ3985" s="72"/>
      <c r="AK3985" s="72"/>
      <c r="AL3985" s="72"/>
      <c r="AM3985" s="72"/>
    </row>
    <row r="3986" spans="1:39" x14ac:dyDescent="0.25">
      <c r="A3986" s="37" t="s">
        <v>62</v>
      </c>
      <c r="B3986" s="66"/>
      <c r="C3986" s="4"/>
      <c r="D3986" s="41"/>
      <c r="E3986" s="41"/>
      <c r="F3986" s="85"/>
      <c r="G3986" s="39"/>
      <c r="H3986" s="52"/>
      <c r="I3986" s="52"/>
      <c r="J3986" s="49"/>
      <c r="K3986" s="58"/>
      <c r="L3986" s="58"/>
      <c r="M3986" s="58"/>
      <c r="N3986" s="58"/>
      <c r="O3986" s="58"/>
      <c r="P3986" s="53"/>
      <c r="Q3986" s="65"/>
      <c r="R3986" s="65"/>
      <c r="S3986" s="65"/>
      <c r="T3986" s="65"/>
      <c r="U3986" s="58"/>
      <c r="V3986" s="65"/>
      <c r="W3986" s="65"/>
      <c r="X3986" s="65"/>
      <c r="Y3986" s="65"/>
      <c r="Z3986" s="51"/>
      <c r="AA3986" s="51"/>
      <c r="AB3986" s="102"/>
      <c r="AC3986" s="81" t="e">
        <f t="shared" si="190"/>
        <v>#DIV/0!</v>
      </c>
      <c r="AD3986" s="82">
        <f t="shared" si="191"/>
        <v>0</v>
      </c>
      <c r="AE3986" s="218"/>
      <c r="AH3986" t="str">
        <f t="shared" si="189"/>
        <v>0000</v>
      </c>
      <c r="AJ3986" s="72"/>
      <c r="AK3986" s="72"/>
      <c r="AL3986" s="72"/>
      <c r="AM3986" s="72"/>
    </row>
    <row r="3987" spans="1:39" x14ac:dyDescent="0.25">
      <c r="A3987" s="37" t="s">
        <v>62</v>
      </c>
      <c r="B3987" s="66"/>
      <c r="C3987" s="4"/>
      <c r="D3987" s="41"/>
      <c r="E3987" s="41"/>
      <c r="F3987" s="85"/>
      <c r="G3987" s="39"/>
      <c r="H3987" s="52"/>
      <c r="I3987" s="52"/>
      <c r="J3987" s="49"/>
      <c r="K3987" s="58"/>
      <c r="L3987" s="58"/>
      <c r="M3987" s="58"/>
      <c r="N3987" s="58"/>
      <c r="O3987" s="58"/>
      <c r="P3987" s="53"/>
      <c r="Q3987" s="65"/>
      <c r="R3987" s="65"/>
      <c r="S3987" s="65"/>
      <c r="T3987" s="65"/>
      <c r="U3987" s="58"/>
      <c r="V3987" s="65"/>
      <c r="W3987" s="65"/>
      <c r="X3987" s="65"/>
      <c r="Y3987" s="65"/>
      <c r="Z3987" s="51"/>
      <c r="AA3987" s="51"/>
      <c r="AB3987" s="102"/>
      <c r="AC3987" s="81" t="e">
        <f t="shared" si="190"/>
        <v>#DIV/0!</v>
      </c>
      <c r="AD3987" s="82">
        <f t="shared" si="191"/>
        <v>0</v>
      </c>
      <c r="AE3987" s="218"/>
      <c r="AH3987" t="str">
        <f t="shared" si="189"/>
        <v>0000</v>
      </c>
      <c r="AJ3987" s="72"/>
      <c r="AK3987" s="72"/>
      <c r="AL3987" s="72"/>
      <c r="AM3987" s="72"/>
    </row>
    <row r="3988" spans="1:39" x14ac:dyDescent="0.25">
      <c r="A3988" s="37" t="s">
        <v>62</v>
      </c>
      <c r="B3988" s="66"/>
      <c r="C3988" s="4"/>
      <c r="D3988" s="41"/>
      <c r="E3988" s="41"/>
      <c r="F3988" s="85"/>
      <c r="G3988" s="39"/>
      <c r="H3988" s="52"/>
      <c r="I3988" s="52"/>
      <c r="J3988" s="49"/>
      <c r="K3988" s="58"/>
      <c r="L3988" s="58"/>
      <c r="M3988" s="58"/>
      <c r="N3988" s="58"/>
      <c r="O3988" s="58"/>
      <c r="P3988" s="53"/>
      <c r="Q3988" s="65"/>
      <c r="R3988" s="65"/>
      <c r="S3988" s="65"/>
      <c r="T3988" s="65"/>
      <c r="U3988" s="58"/>
      <c r="V3988" s="65"/>
      <c r="W3988" s="65"/>
      <c r="X3988" s="65"/>
      <c r="Y3988" s="65"/>
      <c r="Z3988" s="51"/>
      <c r="AA3988" s="51"/>
      <c r="AB3988" s="102"/>
      <c r="AC3988" s="81" t="e">
        <f t="shared" si="190"/>
        <v>#DIV/0!</v>
      </c>
      <c r="AD3988" s="82">
        <f t="shared" si="191"/>
        <v>0</v>
      </c>
      <c r="AE3988" s="218"/>
      <c r="AH3988" t="str">
        <f t="shared" si="189"/>
        <v>0000</v>
      </c>
      <c r="AJ3988" s="72"/>
      <c r="AK3988" s="72"/>
      <c r="AL3988" s="72"/>
      <c r="AM3988" s="72"/>
    </row>
    <row r="3989" spans="1:39" x14ac:dyDescent="0.25">
      <c r="A3989" s="37" t="s">
        <v>62</v>
      </c>
      <c r="B3989" s="66"/>
      <c r="C3989" s="4"/>
      <c r="D3989" s="41"/>
      <c r="E3989" s="41"/>
      <c r="F3989" s="85"/>
      <c r="G3989" s="39"/>
      <c r="H3989" s="52"/>
      <c r="I3989" s="52"/>
      <c r="J3989" s="49"/>
      <c r="K3989" s="58"/>
      <c r="L3989" s="58"/>
      <c r="M3989" s="58"/>
      <c r="N3989" s="58"/>
      <c r="O3989" s="58"/>
      <c r="P3989" s="53"/>
      <c r="Q3989" s="65"/>
      <c r="R3989" s="65"/>
      <c r="S3989" s="65"/>
      <c r="T3989" s="65"/>
      <c r="U3989" s="58"/>
      <c r="V3989" s="65"/>
      <c r="W3989" s="65"/>
      <c r="X3989" s="65"/>
      <c r="Y3989" s="65"/>
      <c r="Z3989" s="51"/>
      <c r="AA3989" s="51"/>
      <c r="AB3989" s="102"/>
      <c r="AC3989" s="81" t="e">
        <f t="shared" si="190"/>
        <v>#DIV/0!</v>
      </c>
      <c r="AD3989" s="82">
        <f t="shared" si="191"/>
        <v>0</v>
      </c>
      <c r="AE3989" s="218"/>
      <c r="AH3989" t="str">
        <f t="shared" si="189"/>
        <v>0000</v>
      </c>
      <c r="AJ3989" s="72"/>
      <c r="AK3989" s="72"/>
      <c r="AL3989" s="72"/>
      <c r="AM3989" s="72"/>
    </row>
    <row r="3990" spans="1:39" x14ac:dyDescent="0.25">
      <c r="A3990" s="37" t="s">
        <v>62</v>
      </c>
      <c r="B3990" s="66"/>
      <c r="C3990" s="4"/>
      <c r="D3990" s="41"/>
      <c r="E3990" s="41"/>
      <c r="F3990" s="85"/>
      <c r="G3990" s="39"/>
      <c r="H3990" s="52"/>
      <c r="I3990" s="52"/>
      <c r="J3990" s="49"/>
      <c r="K3990" s="58"/>
      <c r="L3990" s="58"/>
      <c r="M3990" s="58"/>
      <c r="N3990" s="58"/>
      <c r="O3990" s="58"/>
      <c r="P3990" s="53"/>
      <c r="Q3990" s="65"/>
      <c r="R3990" s="65"/>
      <c r="S3990" s="65"/>
      <c r="T3990" s="65"/>
      <c r="U3990" s="58"/>
      <c r="V3990" s="65"/>
      <c r="W3990" s="65"/>
      <c r="X3990" s="65"/>
      <c r="Y3990" s="65"/>
      <c r="Z3990" s="51"/>
      <c r="AA3990" s="51"/>
      <c r="AB3990" s="102"/>
      <c r="AC3990" s="81" t="e">
        <f t="shared" si="190"/>
        <v>#DIV/0!</v>
      </c>
      <c r="AD3990" s="82">
        <f t="shared" si="191"/>
        <v>0</v>
      </c>
      <c r="AE3990" s="218"/>
      <c r="AH3990" t="str">
        <f t="shared" si="189"/>
        <v>0000</v>
      </c>
      <c r="AJ3990" s="72"/>
      <c r="AK3990" s="72"/>
      <c r="AL3990" s="72"/>
      <c r="AM3990" s="72"/>
    </row>
    <row r="3991" spans="1:39" x14ac:dyDescent="0.25">
      <c r="A3991" s="37" t="s">
        <v>62</v>
      </c>
      <c r="B3991" s="66"/>
      <c r="C3991" s="4"/>
      <c r="D3991" s="41"/>
      <c r="E3991" s="41"/>
      <c r="F3991" s="85"/>
      <c r="G3991" s="39"/>
      <c r="H3991" s="52"/>
      <c r="I3991" s="52"/>
      <c r="J3991" s="49"/>
      <c r="K3991" s="58"/>
      <c r="L3991" s="58"/>
      <c r="M3991" s="58"/>
      <c r="N3991" s="58"/>
      <c r="O3991" s="58"/>
      <c r="P3991" s="53"/>
      <c r="Q3991" s="65"/>
      <c r="R3991" s="65"/>
      <c r="S3991" s="65"/>
      <c r="T3991" s="65"/>
      <c r="U3991" s="58"/>
      <c r="V3991" s="65"/>
      <c r="W3991" s="65"/>
      <c r="X3991" s="65"/>
      <c r="Y3991" s="65"/>
      <c r="Z3991" s="51"/>
      <c r="AA3991" s="51"/>
      <c r="AB3991" s="102"/>
      <c r="AC3991" s="81" t="e">
        <f t="shared" si="190"/>
        <v>#DIV/0!</v>
      </c>
      <c r="AD3991" s="82">
        <f t="shared" si="191"/>
        <v>0</v>
      </c>
      <c r="AE3991" s="218"/>
      <c r="AH3991" t="str">
        <f t="shared" si="189"/>
        <v>0000</v>
      </c>
      <c r="AJ3991" s="72"/>
      <c r="AK3991" s="72"/>
      <c r="AL3991" s="72"/>
      <c r="AM3991" s="72"/>
    </row>
    <row r="3992" spans="1:39" x14ac:dyDescent="0.25">
      <c r="A3992" s="37" t="s">
        <v>62</v>
      </c>
      <c r="B3992" s="66"/>
      <c r="C3992" s="4"/>
      <c r="D3992" s="41"/>
      <c r="E3992" s="41"/>
      <c r="F3992" s="85"/>
      <c r="G3992" s="39"/>
      <c r="H3992" s="52"/>
      <c r="I3992" s="52"/>
      <c r="J3992" s="49"/>
      <c r="K3992" s="58"/>
      <c r="L3992" s="58"/>
      <c r="M3992" s="58"/>
      <c r="N3992" s="58"/>
      <c r="O3992" s="58"/>
      <c r="P3992" s="53"/>
      <c r="Q3992" s="65"/>
      <c r="R3992" s="65"/>
      <c r="S3992" s="65"/>
      <c r="T3992" s="65"/>
      <c r="U3992" s="58"/>
      <c r="V3992" s="65"/>
      <c r="W3992" s="65"/>
      <c r="X3992" s="65"/>
      <c r="Y3992" s="65"/>
      <c r="Z3992" s="51"/>
      <c r="AA3992" s="51"/>
      <c r="AB3992" s="102"/>
      <c r="AC3992" s="81" t="e">
        <f t="shared" si="190"/>
        <v>#DIV/0!</v>
      </c>
      <c r="AD3992" s="82">
        <f t="shared" si="191"/>
        <v>0</v>
      </c>
      <c r="AE3992" s="218"/>
      <c r="AH3992" t="str">
        <f t="shared" si="189"/>
        <v>0000</v>
      </c>
      <c r="AJ3992" s="72"/>
      <c r="AK3992" s="72"/>
      <c r="AL3992" s="72"/>
      <c r="AM3992" s="72"/>
    </row>
    <row r="3993" spans="1:39" x14ac:dyDescent="0.25">
      <c r="A3993" s="37" t="s">
        <v>62</v>
      </c>
      <c r="B3993" s="66"/>
      <c r="C3993" s="4"/>
      <c r="D3993" s="41"/>
      <c r="E3993" s="41"/>
      <c r="F3993" s="85"/>
      <c r="G3993" s="39"/>
      <c r="H3993" s="52"/>
      <c r="I3993" s="52"/>
      <c r="J3993" s="49"/>
      <c r="K3993" s="58"/>
      <c r="L3993" s="58"/>
      <c r="M3993" s="58"/>
      <c r="N3993" s="58"/>
      <c r="O3993" s="58"/>
      <c r="P3993" s="53"/>
      <c r="Q3993" s="65"/>
      <c r="R3993" s="65"/>
      <c r="S3993" s="65"/>
      <c r="T3993" s="65"/>
      <c r="U3993" s="58"/>
      <c r="V3993" s="65"/>
      <c r="W3993" s="65"/>
      <c r="X3993" s="65"/>
      <c r="Y3993" s="65"/>
      <c r="Z3993" s="51"/>
      <c r="AA3993" s="51"/>
      <c r="AB3993" s="102"/>
      <c r="AC3993" s="81" t="e">
        <f t="shared" si="190"/>
        <v>#DIV/0!</v>
      </c>
      <c r="AD3993" s="82">
        <f t="shared" si="191"/>
        <v>0</v>
      </c>
      <c r="AE3993" s="218"/>
      <c r="AH3993" t="str">
        <f t="shared" si="189"/>
        <v>0000</v>
      </c>
      <c r="AJ3993" s="72"/>
      <c r="AK3993" s="72"/>
      <c r="AL3993" s="72"/>
      <c r="AM3993" s="72"/>
    </row>
    <row r="3994" spans="1:39" x14ac:dyDescent="0.25">
      <c r="A3994" s="37" t="s">
        <v>62</v>
      </c>
      <c r="B3994" s="66"/>
      <c r="C3994" s="4"/>
      <c r="D3994" s="41"/>
      <c r="E3994" s="41"/>
      <c r="F3994" s="85"/>
      <c r="G3994" s="39"/>
      <c r="H3994" s="52"/>
      <c r="I3994" s="52"/>
      <c r="J3994" s="49"/>
      <c r="K3994" s="58"/>
      <c r="L3994" s="58"/>
      <c r="M3994" s="58"/>
      <c r="N3994" s="58"/>
      <c r="O3994" s="58"/>
      <c r="P3994" s="53"/>
      <c r="Q3994" s="65"/>
      <c r="R3994" s="65"/>
      <c r="S3994" s="65"/>
      <c r="T3994" s="65"/>
      <c r="U3994" s="58"/>
      <c r="V3994" s="65"/>
      <c r="W3994" s="65"/>
      <c r="X3994" s="65"/>
      <c r="Y3994" s="65"/>
      <c r="Z3994" s="51"/>
      <c r="AA3994" s="51"/>
      <c r="AB3994" s="102"/>
      <c r="AC3994" s="81" t="e">
        <f t="shared" si="190"/>
        <v>#DIV/0!</v>
      </c>
      <c r="AD3994" s="82">
        <f t="shared" si="191"/>
        <v>0</v>
      </c>
      <c r="AE3994" s="218"/>
      <c r="AH3994" t="str">
        <f t="shared" si="189"/>
        <v>0000</v>
      </c>
      <c r="AJ3994" s="72"/>
      <c r="AK3994" s="72"/>
      <c r="AL3994" s="72"/>
      <c r="AM3994" s="72"/>
    </row>
    <row r="3995" spans="1:39" x14ac:dyDescent="0.25">
      <c r="A3995" s="37" t="s">
        <v>62</v>
      </c>
      <c r="B3995" s="66"/>
      <c r="C3995" s="4"/>
      <c r="D3995" s="41"/>
      <c r="E3995" s="41"/>
      <c r="F3995" s="85"/>
      <c r="G3995" s="39"/>
      <c r="H3995" s="52"/>
      <c r="I3995" s="52"/>
      <c r="J3995" s="49"/>
      <c r="K3995" s="58"/>
      <c r="L3995" s="58"/>
      <c r="M3995" s="58"/>
      <c r="N3995" s="58"/>
      <c r="O3995" s="58"/>
      <c r="P3995" s="53"/>
      <c r="Q3995" s="65"/>
      <c r="R3995" s="65"/>
      <c r="S3995" s="65"/>
      <c r="T3995" s="65"/>
      <c r="U3995" s="58"/>
      <c r="V3995" s="65"/>
      <c r="W3995" s="65"/>
      <c r="X3995" s="65"/>
      <c r="Y3995" s="65"/>
      <c r="Z3995" s="51"/>
      <c r="AA3995" s="51"/>
      <c r="AB3995" s="102"/>
      <c r="AC3995" s="81" t="e">
        <f t="shared" si="190"/>
        <v>#DIV/0!</v>
      </c>
      <c r="AD3995" s="82">
        <f t="shared" si="191"/>
        <v>0</v>
      </c>
      <c r="AE3995" s="218"/>
      <c r="AH3995" t="str">
        <f t="shared" si="189"/>
        <v>0000</v>
      </c>
      <c r="AJ3995" s="72"/>
      <c r="AK3995" s="72"/>
      <c r="AL3995" s="72"/>
      <c r="AM3995" s="72"/>
    </row>
    <row r="3996" spans="1:39" x14ac:dyDescent="0.25">
      <c r="A3996" s="37" t="s">
        <v>62</v>
      </c>
      <c r="B3996" s="66"/>
      <c r="C3996" s="4"/>
      <c r="D3996" s="41"/>
      <c r="E3996" s="41"/>
      <c r="F3996" s="85"/>
      <c r="G3996" s="39"/>
      <c r="H3996" s="52"/>
      <c r="I3996" s="52"/>
      <c r="J3996" s="49"/>
      <c r="K3996" s="58"/>
      <c r="L3996" s="58"/>
      <c r="M3996" s="58"/>
      <c r="N3996" s="58"/>
      <c r="O3996" s="58"/>
      <c r="P3996" s="53"/>
      <c r="Q3996" s="65"/>
      <c r="R3996" s="65"/>
      <c r="S3996" s="65"/>
      <c r="T3996" s="65"/>
      <c r="U3996" s="58"/>
      <c r="V3996" s="65"/>
      <c r="W3996" s="65"/>
      <c r="X3996" s="65"/>
      <c r="Y3996" s="65"/>
      <c r="Z3996" s="51"/>
      <c r="AA3996" s="51"/>
      <c r="AB3996" s="102"/>
      <c r="AC3996" s="81" t="e">
        <f t="shared" si="190"/>
        <v>#DIV/0!</v>
      </c>
      <c r="AD3996" s="82">
        <f t="shared" si="191"/>
        <v>0</v>
      </c>
      <c r="AE3996" s="218"/>
      <c r="AH3996" t="str">
        <f t="shared" si="189"/>
        <v>0000</v>
      </c>
      <c r="AJ3996" s="72"/>
      <c r="AK3996" s="72"/>
      <c r="AL3996" s="72"/>
      <c r="AM3996" s="72"/>
    </row>
    <row r="3997" spans="1:39" x14ac:dyDescent="0.25">
      <c r="A3997" s="37" t="s">
        <v>62</v>
      </c>
      <c r="B3997" s="66"/>
      <c r="C3997" s="4"/>
      <c r="D3997" s="41"/>
      <c r="E3997" s="41"/>
      <c r="F3997" s="85"/>
      <c r="G3997" s="39"/>
      <c r="H3997" s="52"/>
      <c r="I3997" s="52"/>
      <c r="J3997" s="49"/>
      <c r="K3997" s="58"/>
      <c r="L3997" s="58"/>
      <c r="M3997" s="58"/>
      <c r="N3997" s="58"/>
      <c r="O3997" s="58"/>
      <c r="P3997" s="53"/>
      <c r="Q3997" s="65"/>
      <c r="R3997" s="65"/>
      <c r="S3997" s="65"/>
      <c r="T3997" s="65"/>
      <c r="U3997" s="58"/>
      <c r="V3997" s="65"/>
      <c r="W3997" s="65"/>
      <c r="X3997" s="65"/>
      <c r="Y3997" s="65"/>
      <c r="Z3997" s="51"/>
      <c r="AA3997" s="51"/>
      <c r="AB3997" s="102"/>
      <c r="AC3997" s="81" t="e">
        <f t="shared" si="190"/>
        <v>#DIV/0!</v>
      </c>
      <c r="AD3997" s="82">
        <f t="shared" si="191"/>
        <v>0</v>
      </c>
      <c r="AE3997" s="218"/>
      <c r="AH3997" t="str">
        <f t="shared" si="189"/>
        <v>0000</v>
      </c>
      <c r="AJ3997" s="72"/>
      <c r="AK3997" s="72"/>
      <c r="AL3997" s="72"/>
      <c r="AM3997" s="72"/>
    </row>
    <row r="3998" spans="1:39" x14ac:dyDescent="0.25">
      <c r="A3998" s="37" t="s">
        <v>62</v>
      </c>
      <c r="B3998" s="66"/>
      <c r="C3998" s="4"/>
      <c r="D3998" s="41"/>
      <c r="E3998" s="41"/>
      <c r="F3998" s="85"/>
      <c r="G3998" s="39"/>
      <c r="H3998" s="52"/>
      <c r="I3998" s="52"/>
      <c r="J3998" s="49"/>
      <c r="K3998" s="58"/>
      <c r="L3998" s="58"/>
      <c r="M3998" s="58"/>
      <c r="N3998" s="58"/>
      <c r="O3998" s="58"/>
      <c r="P3998" s="53"/>
      <c r="Q3998" s="65"/>
      <c r="R3998" s="65"/>
      <c r="S3998" s="65"/>
      <c r="T3998" s="65"/>
      <c r="U3998" s="58"/>
      <c r="V3998" s="65"/>
      <c r="W3998" s="65"/>
      <c r="X3998" s="65"/>
      <c r="Y3998" s="65"/>
      <c r="Z3998" s="51"/>
      <c r="AA3998" s="51"/>
      <c r="AB3998" s="102"/>
      <c r="AC3998" s="81" t="e">
        <f t="shared" si="190"/>
        <v>#DIV/0!</v>
      </c>
      <c r="AD3998" s="82">
        <f t="shared" si="191"/>
        <v>0</v>
      </c>
      <c r="AE3998" s="218"/>
      <c r="AH3998" t="str">
        <f t="shared" si="189"/>
        <v>0000</v>
      </c>
      <c r="AJ3998" s="72"/>
      <c r="AK3998" s="72"/>
      <c r="AL3998" s="72"/>
      <c r="AM3998" s="72"/>
    </row>
    <row r="3999" spans="1:39" x14ac:dyDescent="0.25">
      <c r="A3999" s="37" t="s">
        <v>62</v>
      </c>
      <c r="B3999" s="66"/>
      <c r="C3999" s="4"/>
      <c r="D3999" s="41"/>
      <c r="E3999" s="41"/>
      <c r="F3999" s="85"/>
      <c r="G3999" s="39"/>
      <c r="H3999" s="52"/>
      <c r="I3999" s="52"/>
      <c r="J3999" s="49"/>
      <c r="K3999" s="58"/>
      <c r="L3999" s="58"/>
      <c r="M3999" s="58"/>
      <c r="N3999" s="58"/>
      <c r="O3999" s="58"/>
      <c r="P3999" s="53"/>
      <c r="Q3999" s="65"/>
      <c r="R3999" s="65"/>
      <c r="S3999" s="65"/>
      <c r="T3999" s="65"/>
      <c r="U3999" s="58"/>
      <c r="V3999" s="65"/>
      <c r="W3999" s="65"/>
      <c r="X3999" s="65"/>
      <c r="Y3999" s="65"/>
      <c r="Z3999" s="51"/>
      <c r="AA3999" s="51"/>
      <c r="AB3999" s="102"/>
      <c r="AC3999" s="81" t="e">
        <f t="shared" si="190"/>
        <v>#DIV/0!</v>
      </c>
      <c r="AD3999" s="82">
        <f t="shared" si="191"/>
        <v>0</v>
      </c>
      <c r="AE3999" s="218"/>
      <c r="AH3999" t="str">
        <f t="shared" si="189"/>
        <v>0000</v>
      </c>
      <c r="AJ3999" s="72"/>
      <c r="AK3999" s="72"/>
      <c r="AL3999" s="72"/>
      <c r="AM3999" s="72"/>
    </row>
    <row r="4000" spans="1:39" x14ac:dyDescent="0.25">
      <c r="A4000" s="37" t="s">
        <v>62</v>
      </c>
      <c r="B4000" s="66"/>
      <c r="C4000" s="4"/>
      <c r="D4000" s="41"/>
      <c r="E4000" s="41"/>
      <c r="F4000" s="85"/>
      <c r="G4000" s="39"/>
      <c r="H4000" s="52"/>
      <c r="I4000" s="52"/>
      <c r="J4000" s="49"/>
      <c r="K4000" s="58"/>
      <c r="L4000" s="58"/>
      <c r="M4000" s="58"/>
      <c r="N4000" s="58"/>
      <c r="O4000" s="58"/>
      <c r="P4000" s="53"/>
      <c r="Q4000" s="65"/>
      <c r="R4000" s="65"/>
      <c r="S4000" s="65"/>
      <c r="T4000" s="65"/>
      <c r="U4000" s="58"/>
      <c r="V4000" s="65"/>
      <c r="W4000" s="65"/>
      <c r="X4000" s="65"/>
      <c r="Y4000" s="65"/>
      <c r="Z4000" s="51"/>
      <c r="AA4000" s="51"/>
      <c r="AB4000" s="102"/>
      <c r="AC4000" s="81" t="e">
        <f t="shared" si="190"/>
        <v>#DIV/0!</v>
      </c>
      <c r="AD4000" s="82">
        <f t="shared" si="191"/>
        <v>0</v>
      </c>
      <c r="AE4000" s="218"/>
      <c r="AH4000" t="str">
        <f t="shared" si="189"/>
        <v>0000</v>
      </c>
      <c r="AJ4000" s="72"/>
      <c r="AK4000" s="72"/>
      <c r="AL4000" s="72"/>
      <c r="AM4000" s="72"/>
    </row>
    <row r="4001" spans="1:39" x14ac:dyDescent="0.25">
      <c r="A4001" s="37" t="s">
        <v>62</v>
      </c>
      <c r="B4001" s="66"/>
      <c r="C4001" s="4"/>
      <c r="D4001" s="41"/>
      <c r="E4001" s="41"/>
      <c r="F4001" s="85"/>
      <c r="G4001" s="39"/>
      <c r="H4001" s="52"/>
      <c r="I4001" s="52"/>
      <c r="J4001" s="49"/>
      <c r="K4001" s="58"/>
      <c r="L4001" s="58"/>
      <c r="M4001" s="58"/>
      <c r="N4001" s="58"/>
      <c r="O4001" s="58"/>
      <c r="P4001" s="53"/>
      <c r="Q4001" s="65"/>
      <c r="R4001" s="65"/>
      <c r="S4001" s="65"/>
      <c r="T4001" s="65"/>
      <c r="U4001" s="58"/>
      <c r="V4001" s="65"/>
      <c r="W4001" s="65"/>
      <c r="X4001" s="65"/>
      <c r="Y4001" s="65"/>
      <c r="Z4001" s="51"/>
      <c r="AA4001" s="51"/>
      <c r="AB4001" s="102"/>
      <c r="AC4001" s="81" t="e">
        <f t="shared" si="190"/>
        <v>#DIV/0!</v>
      </c>
      <c r="AD4001" s="82">
        <f t="shared" si="191"/>
        <v>0</v>
      </c>
      <c r="AE4001" s="218"/>
      <c r="AH4001" t="str">
        <f t="shared" si="189"/>
        <v>0000</v>
      </c>
      <c r="AJ4001" s="72"/>
      <c r="AK4001" s="72"/>
      <c r="AL4001" s="72"/>
      <c r="AM4001" s="72"/>
    </row>
    <row r="4002" spans="1:39" x14ac:dyDescent="0.25">
      <c r="A4002" s="37" t="s">
        <v>62</v>
      </c>
      <c r="B4002" s="66"/>
      <c r="C4002" s="4"/>
      <c r="D4002" s="41"/>
      <c r="E4002" s="41"/>
      <c r="F4002" s="85"/>
      <c r="G4002" s="39"/>
      <c r="H4002" s="52"/>
      <c r="I4002" s="52"/>
      <c r="J4002" s="49"/>
      <c r="K4002" s="58"/>
      <c r="L4002" s="58"/>
      <c r="M4002" s="58"/>
      <c r="N4002" s="58"/>
      <c r="O4002" s="58"/>
      <c r="P4002" s="53"/>
      <c r="Q4002" s="65"/>
      <c r="R4002" s="65"/>
      <c r="S4002" s="65"/>
      <c r="T4002" s="65"/>
      <c r="U4002" s="58"/>
      <c r="V4002" s="65"/>
      <c r="W4002" s="65"/>
      <c r="X4002" s="65"/>
      <c r="Y4002" s="65"/>
      <c r="Z4002" s="51"/>
      <c r="AA4002" s="51"/>
      <c r="AB4002" s="102"/>
      <c r="AC4002" s="81" t="e">
        <f t="shared" si="190"/>
        <v>#DIV/0!</v>
      </c>
      <c r="AD4002" s="82">
        <f t="shared" si="191"/>
        <v>0</v>
      </c>
      <c r="AE4002" s="218"/>
      <c r="AH4002" t="str">
        <f t="shared" si="189"/>
        <v>0000</v>
      </c>
      <c r="AJ4002" s="72"/>
      <c r="AK4002" s="72"/>
      <c r="AL4002" s="72"/>
      <c r="AM4002" s="72"/>
    </row>
    <row r="4003" spans="1:39" x14ac:dyDescent="0.25">
      <c r="A4003" s="37" t="s">
        <v>62</v>
      </c>
      <c r="B4003" s="66"/>
      <c r="C4003" s="4"/>
      <c r="D4003" s="41"/>
      <c r="E4003" s="41"/>
      <c r="F4003" s="85"/>
      <c r="G4003" s="39"/>
      <c r="H4003" s="52"/>
      <c r="I4003" s="52"/>
      <c r="J4003" s="49"/>
      <c r="K4003" s="58"/>
      <c r="L4003" s="58"/>
      <c r="M4003" s="58"/>
      <c r="N4003" s="58"/>
      <c r="O4003" s="58"/>
      <c r="P4003" s="53"/>
      <c r="Q4003" s="65"/>
      <c r="R4003" s="65"/>
      <c r="S4003" s="65"/>
      <c r="T4003" s="65"/>
      <c r="U4003" s="58"/>
      <c r="V4003" s="65"/>
      <c r="W4003" s="65"/>
      <c r="X4003" s="65"/>
      <c r="Y4003" s="65"/>
      <c r="Z4003" s="51"/>
      <c r="AA4003" s="51"/>
      <c r="AB4003" s="102"/>
      <c r="AC4003" s="81" t="e">
        <f t="shared" si="190"/>
        <v>#DIV/0!</v>
      </c>
      <c r="AD4003" s="82">
        <f t="shared" si="191"/>
        <v>0</v>
      </c>
      <c r="AE4003" s="218"/>
      <c r="AH4003" t="str">
        <f t="shared" si="189"/>
        <v>0000</v>
      </c>
      <c r="AJ4003" s="72"/>
      <c r="AK4003" s="72"/>
      <c r="AL4003" s="72"/>
      <c r="AM4003" s="72"/>
    </row>
    <row r="4004" spans="1:39" x14ac:dyDescent="0.25">
      <c r="A4004" s="37" t="s">
        <v>62</v>
      </c>
      <c r="B4004" s="66"/>
      <c r="C4004" s="4"/>
      <c r="D4004" s="41"/>
      <c r="E4004" s="41"/>
      <c r="F4004" s="85"/>
      <c r="G4004" s="39"/>
      <c r="H4004" s="52"/>
      <c r="I4004" s="52"/>
      <c r="J4004" s="49"/>
      <c r="K4004" s="58"/>
      <c r="L4004" s="58"/>
      <c r="M4004" s="58"/>
      <c r="N4004" s="58"/>
      <c r="O4004" s="58"/>
      <c r="P4004" s="53"/>
      <c r="Q4004" s="65"/>
      <c r="R4004" s="65"/>
      <c r="S4004" s="65"/>
      <c r="T4004" s="65"/>
      <c r="U4004" s="58"/>
      <c r="V4004" s="65"/>
      <c r="W4004" s="65"/>
      <c r="X4004" s="65"/>
      <c r="Y4004" s="65"/>
      <c r="Z4004" s="51"/>
      <c r="AA4004" s="51"/>
      <c r="AB4004" s="102"/>
      <c r="AC4004" s="81" t="e">
        <f t="shared" si="190"/>
        <v>#DIV/0!</v>
      </c>
      <c r="AD4004" s="82">
        <f t="shared" si="191"/>
        <v>0</v>
      </c>
      <c r="AE4004" s="218"/>
      <c r="AH4004" t="str">
        <f t="shared" si="189"/>
        <v>0000</v>
      </c>
      <c r="AJ4004" s="72"/>
      <c r="AK4004" s="72"/>
      <c r="AL4004" s="72"/>
      <c r="AM4004" s="72"/>
    </row>
    <row r="4005" spans="1:39" x14ac:dyDescent="0.25">
      <c r="A4005" s="37" t="s">
        <v>62</v>
      </c>
      <c r="B4005" s="66"/>
      <c r="C4005" s="4"/>
      <c r="D4005" s="41"/>
      <c r="E4005" s="41"/>
      <c r="F4005" s="85"/>
      <c r="G4005" s="39"/>
      <c r="H4005" s="52"/>
      <c r="I4005" s="52"/>
      <c r="J4005" s="49"/>
      <c r="K4005" s="58"/>
      <c r="L4005" s="58"/>
      <c r="M4005" s="58"/>
      <c r="N4005" s="58"/>
      <c r="O4005" s="58"/>
      <c r="P4005" s="53"/>
      <c r="Q4005" s="65"/>
      <c r="R4005" s="65"/>
      <c r="S4005" s="65"/>
      <c r="T4005" s="65"/>
      <c r="U4005" s="58"/>
      <c r="V4005" s="65"/>
      <c r="W4005" s="65"/>
      <c r="X4005" s="65"/>
      <c r="Y4005" s="65"/>
      <c r="Z4005" s="51"/>
      <c r="AA4005" s="51"/>
      <c r="AB4005" s="102"/>
      <c r="AC4005" s="81" t="e">
        <f t="shared" si="190"/>
        <v>#DIV/0!</v>
      </c>
      <c r="AD4005" s="82">
        <f t="shared" si="191"/>
        <v>0</v>
      </c>
      <c r="AE4005" s="218"/>
      <c r="AH4005" t="str">
        <f t="shared" si="189"/>
        <v>0000</v>
      </c>
      <c r="AJ4005" s="72"/>
      <c r="AK4005" s="72"/>
      <c r="AL4005" s="72"/>
      <c r="AM4005" s="72"/>
    </row>
    <row r="4006" spans="1:39" x14ac:dyDescent="0.25">
      <c r="A4006" s="37" t="s">
        <v>62</v>
      </c>
      <c r="B4006" s="66"/>
      <c r="C4006" s="4"/>
      <c r="D4006" s="41"/>
      <c r="E4006" s="41"/>
      <c r="F4006" s="85"/>
      <c r="G4006" s="39"/>
      <c r="H4006" s="52"/>
      <c r="I4006" s="52"/>
      <c r="J4006" s="49"/>
      <c r="K4006" s="58"/>
      <c r="L4006" s="58"/>
      <c r="M4006" s="58"/>
      <c r="N4006" s="58"/>
      <c r="O4006" s="58"/>
      <c r="P4006" s="53"/>
      <c r="Q4006" s="65"/>
      <c r="R4006" s="65"/>
      <c r="S4006" s="65"/>
      <c r="T4006" s="65"/>
      <c r="U4006" s="58"/>
      <c r="V4006" s="65"/>
      <c r="W4006" s="65"/>
      <c r="X4006" s="65"/>
      <c r="Y4006" s="65"/>
      <c r="Z4006" s="51"/>
      <c r="AA4006" s="51"/>
      <c r="AB4006" s="102"/>
      <c r="AC4006" s="81" t="e">
        <f t="shared" si="190"/>
        <v>#DIV/0!</v>
      </c>
      <c r="AD4006" s="82">
        <f t="shared" si="191"/>
        <v>0</v>
      </c>
      <c r="AE4006" s="218"/>
      <c r="AH4006" t="str">
        <f t="shared" si="189"/>
        <v>0000</v>
      </c>
      <c r="AJ4006" s="72"/>
      <c r="AK4006" s="72"/>
      <c r="AL4006" s="72"/>
      <c r="AM4006" s="72"/>
    </row>
    <row r="4007" spans="1:39" x14ac:dyDescent="0.25">
      <c r="A4007" s="37" t="s">
        <v>62</v>
      </c>
      <c r="B4007" s="66"/>
      <c r="C4007" s="4"/>
      <c r="D4007" s="41"/>
      <c r="E4007" s="41"/>
      <c r="F4007" s="85"/>
      <c r="G4007" s="39"/>
      <c r="H4007" s="52"/>
      <c r="I4007" s="52"/>
      <c r="J4007" s="49"/>
      <c r="K4007" s="58"/>
      <c r="L4007" s="58"/>
      <c r="M4007" s="58"/>
      <c r="N4007" s="58"/>
      <c r="O4007" s="58"/>
      <c r="P4007" s="53"/>
      <c r="Q4007" s="65"/>
      <c r="R4007" s="65"/>
      <c r="S4007" s="65"/>
      <c r="T4007" s="65"/>
      <c r="U4007" s="58"/>
      <c r="V4007" s="65"/>
      <c r="W4007" s="65"/>
      <c r="X4007" s="65"/>
      <c r="Y4007" s="65"/>
      <c r="Z4007" s="51"/>
      <c r="AA4007" s="51"/>
      <c r="AB4007" s="102"/>
      <c r="AC4007" s="81" t="e">
        <f t="shared" si="190"/>
        <v>#DIV/0!</v>
      </c>
      <c r="AD4007" s="82">
        <f t="shared" si="191"/>
        <v>0</v>
      </c>
      <c r="AE4007" s="218"/>
      <c r="AH4007" t="str">
        <f t="shared" si="189"/>
        <v>0000</v>
      </c>
      <c r="AJ4007" s="72"/>
      <c r="AK4007" s="72"/>
      <c r="AL4007" s="72"/>
      <c r="AM4007" s="72"/>
    </row>
    <row r="4008" spans="1:39" x14ac:dyDescent="0.25">
      <c r="A4008" s="37" t="s">
        <v>62</v>
      </c>
      <c r="B4008" s="66"/>
      <c r="C4008" s="4"/>
      <c r="D4008" s="41"/>
      <c r="E4008" s="41"/>
      <c r="F4008" s="85"/>
      <c r="G4008" s="39"/>
      <c r="H4008" s="52"/>
      <c r="I4008" s="52"/>
      <c r="J4008" s="49"/>
      <c r="K4008" s="58"/>
      <c r="L4008" s="58"/>
      <c r="M4008" s="58"/>
      <c r="N4008" s="58"/>
      <c r="O4008" s="58"/>
      <c r="P4008" s="53"/>
      <c r="Q4008" s="65"/>
      <c r="R4008" s="65"/>
      <c r="S4008" s="65"/>
      <c r="T4008" s="65"/>
      <c r="U4008" s="58"/>
      <c r="V4008" s="65"/>
      <c r="W4008" s="65"/>
      <c r="X4008" s="65"/>
      <c r="Y4008" s="65"/>
      <c r="Z4008" s="51"/>
      <c r="AA4008" s="51"/>
      <c r="AB4008" s="102"/>
      <c r="AC4008" s="81" t="e">
        <f t="shared" si="190"/>
        <v>#DIV/0!</v>
      </c>
      <c r="AD4008" s="82">
        <f t="shared" si="191"/>
        <v>0</v>
      </c>
      <c r="AE4008" s="218"/>
      <c r="AH4008" t="str">
        <f t="shared" si="189"/>
        <v>0000</v>
      </c>
      <c r="AJ4008" s="72"/>
      <c r="AK4008" s="72"/>
      <c r="AL4008" s="72"/>
      <c r="AM4008" s="72"/>
    </row>
    <row r="4009" spans="1:39" x14ac:dyDescent="0.25">
      <c r="A4009" s="37" t="s">
        <v>62</v>
      </c>
      <c r="B4009" s="66"/>
      <c r="C4009" s="4"/>
      <c r="D4009" s="41"/>
      <c r="E4009" s="41"/>
      <c r="F4009" s="85"/>
      <c r="G4009" s="39"/>
      <c r="H4009" s="52"/>
      <c r="I4009" s="52"/>
      <c r="J4009" s="49"/>
      <c r="K4009" s="58"/>
      <c r="L4009" s="58"/>
      <c r="M4009" s="58"/>
      <c r="N4009" s="58"/>
      <c r="O4009" s="58"/>
      <c r="P4009" s="53"/>
      <c r="Q4009" s="65"/>
      <c r="R4009" s="65"/>
      <c r="S4009" s="65"/>
      <c r="T4009" s="65"/>
      <c r="U4009" s="58"/>
      <c r="V4009" s="65"/>
      <c r="W4009" s="65"/>
      <c r="X4009" s="65"/>
      <c r="Y4009" s="65"/>
      <c r="Z4009" s="51"/>
      <c r="AA4009" s="51"/>
      <c r="AB4009" s="102"/>
      <c r="AC4009" s="81" t="e">
        <f t="shared" si="190"/>
        <v>#DIV/0!</v>
      </c>
      <c r="AD4009" s="82">
        <f t="shared" si="191"/>
        <v>0</v>
      </c>
      <c r="AE4009" s="218"/>
      <c r="AH4009" t="str">
        <f t="shared" si="189"/>
        <v>0000</v>
      </c>
      <c r="AJ4009" s="72"/>
      <c r="AK4009" s="72"/>
      <c r="AL4009" s="72"/>
      <c r="AM4009" s="72"/>
    </row>
    <row r="4010" spans="1:39" x14ac:dyDescent="0.25">
      <c r="A4010" s="37" t="s">
        <v>62</v>
      </c>
      <c r="B4010" s="66"/>
      <c r="C4010" s="4"/>
      <c r="D4010" s="41"/>
      <c r="E4010" s="41"/>
      <c r="F4010" s="85"/>
      <c r="G4010" s="39"/>
      <c r="H4010" s="52"/>
      <c r="I4010" s="52"/>
      <c r="J4010" s="49"/>
      <c r="K4010" s="58"/>
      <c r="L4010" s="58"/>
      <c r="M4010" s="58"/>
      <c r="N4010" s="58"/>
      <c r="O4010" s="58"/>
      <c r="P4010" s="53"/>
      <c r="Q4010" s="65"/>
      <c r="R4010" s="65"/>
      <c r="S4010" s="65"/>
      <c r="T4010" s="65"/>
      <c r="U4010" s="58"/>
      <c r="V4010" s="65"/>
      <c r="W4010" s="65"/>
      <c r="X4010" s="65"/>
      <c r="Y4010" s="65"/>
      <c r="Z4010" s="51"/>
      <c r="AA4010" s="51"/>
      <c r="AB4010" s="102"/>
      <c r="AC4010" s="81" t="e">
        <f t="shared" si="190"/>
        <v>#DIV/0!</v>
      </c>
      <c r="AD4010" s="82">
        <f t="shared" si="191"/>
        <v>0</v>
      </c>
      <c r="AE4010" s="218"/>
      <c r="AH4010" t="str">
        <f t="shared" si="189"/>
        <v>0000</v>
      </c>
      <c r="AJ4010" s="72"/>
      <c r="AK4010" s="72"/>
      <c r="AL4010" s="72"/>
      <c r="AM4010" s="72"/>
    </row>
    <row r="4011" spans="1:39" x14ac:dyDescent="0.25">
      <c r="A4011" s="37" t="s">
        <v>62</v>
      </c>
      <c r="B4011" s="66"/>
      <c r="C4011" s="4"/>
      <c r="D4011" s="41"/>
      <c r="E4011" s="41"/>
      <c r="F4011" s="85"/>
      <c r="G4011" s="39"/>
      <c r="H4011" s="52"/>
      <c r="I4011" s="52"/>
      <c r="J4011" s="49"/>
      <c r="K4011" s="58"/>
      <c r="L4011" s="58"/>
      <c r="M4011" s="58"/>
      <c r="N4011" s="58"/>
      <c r="O4011" s="58"/>
      <c r="P4011" s="53"/>
      <c r="Q4011" s="65"/>
      <c r="R4011" s="65"/>
      <c r="S4011" s="65"/>
      <c r="T4011" s="65"/>
      <c r="U4011" s="58"/>
      <c r="V4011" s="65"/>
      <c r="W4011" s="65"/>
      <c r="X4011" s="65"/>
      <c r="Y4011" s="65"/>
      <c r="Z4011" s="51"/>
      <c r="AA4011" s="51"/>
      <c r="AB4011" s="102"/>
      <c r="AC4011" s="81" t="e">
        <f t="shared" si="190"/>
        <v>#DIV/0!</v>
      </c>
      <c r="AD4011" s="82">
        <f t="shared" si="191"/>
        <v>0</v>
      </c>
      <c r="AE4011" s="218"/>
      <c r="AH4011" t="str">
        <f t="shared" si="189"/>
        <v>0000</v>
      </c>
      <c r="AJ4011" s="72"/>
      <c r="AK4011" s="72"/>
      <c r="AL4011" s="72"/>
      <c r="AM4011" s="72"/>
    </row>
    <row r="4012" spans="1:39" x14ac:dyDescent="0.25">
      <c r="A4012" s="37" t="s">
        <v>62</v>
      </c>
      <c r="B4012" s="66"/>
      <c r="C4012" s="4"/>
      <c r="D4012" s="41"/>
      <c r="E4012" s="41"/>
      <c r="F4012" s="85"/>
      <c r="G4012" s="39"/>
      <c r="H4012" s="52"/>
      <c r="I4012" s="52"/>
      <c r="J4012" s="49"/>
      <c r="K4012" s="58"/>
      <c r="L4012" s="58"/>
      <c r="M4012" s="58"/>
      <c r="N4012" s="58"/>
      <c r="O4012" s="58"/>
      <c r="P4012" s="53"/>
      <c r="Q4012" s="65"/>
      <c r="R4012" s="65"/>
      <c r="S4012" s="65"/>
      <c r="T4012" s="65"/>
      <c r="U4012" s="58"/>
      <c r="V4012" s="65"/>
      <c r="W4012" s="65"/>
      <c r="X4012" s="65"/>
      <c r="Y4012" s="65"/>
      <c r="Z4012" s="51"/>
      <c r="AA4012" s="51"/>
      <c r="AB4012" s="102"/>
      <c r="AC4012" s="81" t="e">
        <f t="shared" si="190"/>
        <v>#DIV/0!</v>
      </c>
      <c r="AD4012" s="82">
        <f t="shared" si="191"/>
        <v>0</v>
      </c>
      <c r="AE4012" s="218"/>
      <c r="AH4012" t="str">
        <f t="shared" si="189"/>
        <v>0000</v>
      </c>
      <c r="AJ4012" s="72"/>
      <c r="AK4012" s="72"/>
      <c r="AL4012" s="72"/>
      <c r="AM4012" s="72"/>
    </row>
    <row r="4013" spans="1:39" x14ac:dyDescent="0.25">
      <c r="A4013" s="37" t="s">
        <v>62</v>
      </c>
      <c r="B4013" s="66"/>
      <c r="C4013" s="4"/>
      <c r="D4013" s="41"/>
      <c r="E4013" s="41"/>
      <c r="F4013" s="85"/>
      <c r="G4013" s="39"/>
      <c r="H4013" s="52"/>
      <c r="I4013" s="52"/>
      <c r="J4013" s="49"/>
      <c r="K4013" s="58"/>
      <c r="L4013" s="58"/>
      <c r="M4013" s="58"/>
      <c r="N4013" s="58"/>
      <c r="O4013" s="58"/>
      <c r="P4013" s="53"/>
      <c r="Q4013" s="65"/>
      <c r="R4013" s="65"/>
      <c r="S4013" s="65"/>
      <c r="T4013" s="65"/>
      <c r="U4013" s="58"/>
      <c r="V4013" s="65"/>
      <c r="W4013" s="65"/>
      <c r="X4013" s="65"/>
      <c r="Y4013" s="65"/>
      <c r="Z4013" s="51"/>
      <c r="AA4013" s="51"/>
      <c r="AB4013" s="102"/>
      <c r="AC4013" s="81" t="e">
        <f t="shared" si="190"/>
        <v>#DIV/0!</v>
      </c>
      <c r="AD4013" s="82">
        <f t="shared" si="191"/>
        <v>0</v>
      </c>
      <c r="AE4013" s="218"/>
      <c r="AH4013" t="str">
        <f t="shared" si="189"/>
        <v>0000</v>
      </c>
      <c r="AJ4013" s="72"/>
      <c r="AK4013" s="72"/>
      <c r="AL4013" s="72"/>
      <c r="AM4013" s="72"/>
    </row>
    <row r="4014" spans="1:39" x14ac:dyDescent="0.25">
      <c r="A4014" s="37" t="s">
        <v>62</v>
      </c>
      <c r="B4014" s="66"/>
      <c r="C4014" s="4"/>
      <c r="D4014" s="41"/>
      <c r="E4014" s="41"/>
      <c r="F4014" s="85"/>
      <c r="G4014" s="39"/>
      <c r="H4014" s="52"/>
      <c r="I4014" s="52"/>
      <c r="J4014" s="49"/>
      <c r="K4014" s="58"/>
      <c r="L4014" s="58"/>
      <c r="M4014" s="58"/>
      <c r="N4014" s="58"/>
      <c r="O4014" s="58"/>
      <c r="P4014" s="53"/>
      <c r="Q4014" s="65"/>
      <c r="R4014" s="65"/>
      <c r="S4014" s="65"/>
      <c r="T4014" s="65"/>
      <c r="U4014" s="58"/>
      <c r="V4014" s="65"/>
      <c r="W4014" s="65"/>
      <c r="X4014" s="65"/>
      <c r="Y4014" s="65"/>
      <c r="Z4014" s="51"/>
      <c r="AA4014" s="51"/>
      <c r="AB4014" s="102"/>
      <c r="AC4014" s="81" t="e">
        <f t="shared" si="190"/>
        <v>#DIV/0!</v>
      </c>
      <c r="AD4014" s="82">
        <f t="shared" si="191"/>
        <v>0</v>
      </c>
      <c r="AE4014" s="218"/>
      <c r="AH4014" t="str">
        <f t="shared" si="189"/>
        <v>0000</v>
      </c>
      <c r="AJ4014" s="72"/>
      <c r="AK4014" s="72"/>
      <c r="AL4014" s="72"/>
      <c r="AM4014" s="72"/>
    </row>
    <row r="4015" spans="1:39" x14ac:dyDescent="0.25">
      <c r="A4015" s="37" t="s">
        <v>62</v>
      </c>
      <c r="B4015" s="66"/>
      <c r="C4015" s="4"/>
      <c r="D4015" s="41"/>
      <c r="E4015" s="41"/>
      <c r="F4015" s="85"/>
      <c r="G4015" s="39"/>
      <c r="H4015" s="52"/>
      <c r="I4015" s="52"/>
      <c r="J4015" s="49"/>
      <c r="K4015" s="58"/>
      <c r="L4015" s="58"/>
      <c r="M4015" s="58"/>
      <c r="N4015" s="58"/>
      <c r="O4015" s="58"/>
      <c r="P4015" s="53"/>
      <c r="Q4015" s="65"/>
      <c r="R4015" s="65"/>
      <c r="S4015" s="65"/>
      <c r="T4015" s="65"/>
      <c r="U4015" s="58"/>
      <c r="V4015" s="65"/>
      <c r="W4015" s="65"/>
      <c r="X4015" s="65"/>
      <c r="Y4015" s="65"/>
      <c r="Z4015" s="51"/>
      <c r="AA4015" s="51"/>
      <c r="AB4015" s="102"/>
      <c r="AC4015" s="81" t="e">
        <f t="shared" si="190"/>
        <v>#DIV/0!</v>
      </c>
      <c r="AD4015" s="82">
        <f t="shared" si="191"/>
        <v>0</v>
      </c>
      <c r="AE4015" s="218"/>
      <c r="AH4015" t="str">
        <f t="shared" si="189"/>
        <v>0000</v>
      </c>
      <c r="AJ4015" s="72"/>
      <c r="AK4015" s="72"/>
      <c r="AL4015" s="72"/>
      <c r="AM4015" s="72"/>
    </row>
    <row r="4016" spans="1:39" x14ac:dyDescent="0.25">
      <c r="A4016" s="37" t="s">
        <v>62</v>
      </c>
      <c r="B4016" s="66"/>
      <c r="C4016" s="4"/>
      <c r="D4016" s="41"/>
      <c r="E4016" s="41"/>
      <c r="F4016" s="85"/>
      <c r="G4016" s="39"/>
      <c r="H4016" s="52"/>
      <c r="I4016" s="52"/>
      <c r="J4016" s="49"/>
      <c r="K4016" s="58"/>
      <c r="L4016" s="58"/>
      <c r="M4016" s="58"/>
      <c r="N4016" s="58"/>
      <c r="O4016" s="58"/>
      <c r="P4016" s="53"/>
      <c r="Q4016" s="65"/>
      <c r="R4016" s="65"/>
      <c r="S4016" s="65"/>
      <c r="T4016" s="65"/>
      <c r="U4016" s="58"/>
      <c r="V4016" s="65"/>
      <c r="W4016" s="65"/>
      <c r="X4016" s="65"/>
      <c r="Y4016" s="65"/>
      <c r="Z4016" s="51"/>
      <c r="AA4016" s="51"/>
      <c r="AB4016" s="102"/>
      <c r="AC4016" s="81" t="e">
        <f t="shared" si="190"/>
        <v>#DIV/0!</v>
      </c>
      <c r="AD4016" s="82">
        <f t="shared" si="191"/>
        <v>0</v>
      </c>
      <c r="AE4016" s="218"/>
      <c r="AH4016" t="str">
        <f t="shared" si="189"/>
        <v>0000</v>
      </c>
      <c r="AJ4016" s="72"/>
      <c r="AK4016" s="72"/>
      <c r="AL4016" s="72"/>
      <c r="AM4016" s="72"/>
    </row>
    <row r="4017" spans="1:39" x14ac:dyDescent="0.25">
      <c r="A4017" s="37" t="s">
        <v>62</v>
      </c>
      <c r="B4017" s="66"/>
      <c r="C4017" s="4"/>
      <c r="D4017" s="41"/>
      <c r="E4017" s="41"/>
      <c r="F4017" s="85"/>
      <c r="G4017" s="39"/>
      <c r="H4017" s="52"/>
      <c r="I4017" s="52"/>
      <c r="J4017" s="49"/>
      <c r="K4017" s="58"/>
      <c r="L4017" s="58"/>
      <c r="M4017" s="58"/>
      <c r="N4017" s="58"/>
      <c r="O4017" s="58"/>
      <c r="P4017" s="53"/>
      <c r="Q4017" s="65"/>
      <c r="R4017" s="65"/>
      <c r="S4017" s="65"/>
      <c r="T4017" s="65"/>
      <c r="U4017" s="58"/>
      <c r="V4017" s="65"/>
      <c r="W4017" s="65"/>
      <c r="X4017" s="65"/>
      <c r="Y4017" s="65"/>
      <c r="Z4017" s="51"/>
      <c r="AA4017" s="51"/>
      <c r="AB4017" s="102"/>
      <c r="AC4017" s="81" t="e">
        <f t="shared" si="190"/>
        <v>#DIV/0!</v>
      </c>
      <c r="AD4017" s="82">
        <f t="shared" si="191"/>
        <v>0</v>
      </c>
      <c r="AE4017" s="218"/>
      <c r="AH4017" t="str">
        <f t="shared" si="189"/>
        <v>0000</v>
      </c>
      <c r="AJ4017" s="72"/>
      <c r="AK4017" s="72"/>
      <c r="AL4017" s="72"/>
      <c r="AM4017" s="72"/>
    </row>
    <row r="4018" spans="1:39" x14ac:dyDescent="0.25">
      <c r="A4018" s="37" t="s">
        <v>62</v>
      </c>
      <c r="B4018" s="66"/>
      <c r="C4018" s="4"/>
      <c r="D4018" s="41"/>
      <c r="E4018" s="41"/>
      <c r="F4018" s="85"/>
      <c r="G4018" s="39"/>
      <c r="H4018" s="52"/>
      <c r="I4018" s="52"/>
      <c r="J4018" s="49"/>
      <c r="K4018" s="58"/>
      <c r="L4018" s="58"/>
      <c r="M4018" s="58"/>
      <c r="N4018" s="58"/>
      <c r="O4018" s="58"/>
      <c r="P4018" s="53"/>
      <c r="Q4018" s="65"/>
      <c r="R4018" s="65"/>
      <c r="S4018" s="65"/>
      <c r="T4018" s="65"/>
      <c r="U4018" s="58"/>
      <c r="V4018" s="65"/>
      <c r="W4018" s="65"/>
      <c r="X4018" s="65"/>
      <c r="Y4018" s="65"/>
      <c r="Z4018" s="51"/>
      <c r="AA4018" s="51"/>
      <c r="AB4018" s="102"/>
      <c r="AC4018" s="81" t="e">
        <f t="shared" si="190"/>
        <v>#DIV/0!</v>
      </c>
      <c r="AD4018" s="82">
        <f t="shared" si="191"/>
        <v>0</v>
      </c>
      <c r="AE4018" s="218"/>
      <c r="AH4018" t="str">
        <f t="shared" si="189"/>
        <v>0000</v>
      </c>
      <c r="AJ4018" s="72"/>
      <c r="AK4018" s="72"/>
      <c r="AL4018" s="72"/>
      <c r="AM4018" s="72"/>
    </row>
    <row r="4019" spans="1:39" x14ac:dyDescent="0.25">
      <c r="A4019" s="37" t="s">
        <v>62</v>
      </c>
      <c r="B4019" s="66"/>
      <c r="C4019" s="4"/>
      <c r="D4019" s="41"/>
      <c r="E4019" s="41"/>
      <c r="F4019" s="85"/>
      <c r="G4019" s="39"/>
      <c r="H4019" s="52"/>
      <c r="I4019" s="52"/>
      <c r="J4019" s="49"/>
      <c r="K4019" s="58"/>
      <c r="L4019" s="58"/>
      <c r="M4019" s="58"/>
      <c r="N4019" s="58"/>
      <c r="O4019" s="58"/>
      <c r="P4019" s="53"/>
      <c r="Q4019" s="65"/>
      <c r="R4019" s="65"/>
      <c r="S4019" s="65"/>
      <c r="T4019" s="65"/>
      <c r="U4019" s="58"/>
      <c r="V4019" s="65"/>
      <c r="W4019" s="65"/>
      <c r="X4019" s="65"/>
      <c r="Y4019" s="65"/>
      <c r="Z4019" s="51"/>
      <c r="AA4019" s="51"/>
      <c r="AB4019" s="102"/>
      <c r="AC4019" s="81" t="e">
        <f t="shared" si="190"/>
        <v>#DIV/0!</v>
      </c>
      <c r="AD4019" s="82">
        <f t="shared" si="191"/>
        <v>0</v>
      </c>
      <c r="AE4019" s="218"/>
      <c r="AH4019" t="str">
        <f t="shared" si="189"/>
        <v>0000</v>
      </c>
      <c r="AJ4019" s="72"/>
      <c r="AK4019" s="72"/>
      <c r="AL4019" s="72"/>
      <c r="AM4019" s="72"/>
    </row>
    <row r="4020" spans="1:39" x14ac:dyDescent="0.25">
      <c r="A4020" s="37" t="s">
        <v>62</v>
      </c>
      <c r="B4020" s="66"/>
      <c r="C4020" s="4"/>
      <c r="D4020" s="41"/>
      <c r="E4020" s="41"/>
      <c r="F4020" s="85"/>
      <c r="G4020" s="39"/>
      <c r="H4020" s="52"/>
      <c r="I4020" s="52"/>
      <c r="J4020" s="49"/>
      <c r="K4020" s="58"/>
      <c r="L4020" s="58"/>
      <c r="M4020" s="58"/>
      <c r="N4020" s="58"/>
      <c r="O4020" s="58"/>
      <c r="P4020" s="53"/>
      <c r="Q4020" s="65"/>
      <c r="R4020" s="65"/>
      <c r="S4020" s="65"/>
      <c r="T4020" s="65"/>
      <c r="U4020" s="58"/>
      <c r="V4020" s="65"/>
      <c r="W4020" s="65"/>
      <c r="X4020" s="65"/>
      <c r="Y4020" s="65"/>
      <c r="Z4020" s="51"/>
      <c r="AA4020" s="51"/>
      <c r="AB4020" s="102"/>
      <c r="AC4020" s="81" t="e">
        <f t="shared" si="190"/>
        <v>#DIV/0!</v>
      </c>
      <c r="AD4020" s="82">
        <f t="shared" si="191"/>
        <v>0</v>
      </c>
      <c r="AE4020" s="218"/>
      <c r="AH4020" t="str">
        <f t="shared" si="189"/>
        <v>0000</v>
      </c>
      <c r="AJ4020" s="72"/>
      <c r="AK4020" s="72"/>
      <c r="AL4020" s="72"/>
      <c r="AM4020" s="72"/>
    </row>
    <row r="4021" spans="1:39" x14ac:dyDescent="0.25">
      <c r="A4021" s="37" t="s">
        <v>62</v>
      </c>
      <c r="B4021" s="66"/>
      <c r="C4021" s="4"/>
      <c r="D4021" s="41"/>
      <c r="E4021" s="41"/>
      <c r="F4021" s="85"/>
      <c r="G4021" s="39"/>
      <c r="H4021" s="52"/>
      <c r="I4021" s="52"/>
      <c r="J4021" s="49"/>
      <c r="K4021" s="58"/>
      <c r="L4021" s="58"/>
      <c r="M4021" s="58"/>
      <c r="N4021" s="58"/>
      <c r="O4021" s="58"/>
      <c r="P4021" s="53"/>
      <c r="Q4021" s="65"/>
      <c r="R4021" s="65"/>
      <c r="S4021" s="65"/>
      <c r="T4021" s="65"/>
      <c r="U4021" s="58"/>
      <c r="V4021" s="65"/>
      <c r="W4021" s="65"/>
      <c r="X4021" s="65"/>
      <c r="Y4021" s="65"/>
      <c r="Z4021" s="51"/>
      <c r="AA4021" s="51"/>
      <c r="AB4021" s="102"/>
      <c r="AC4021" s="81" t="e">
        <f t="shared" si="190"/>
        <v>#DIV/0!</v>
      </c>
      <c r="AD4021" s="82">
        <f t="shared" si="191"/>
        <v>0</v>
      </c>
      <c r="AE4021" s="218"/>
      <c r="AH4021" t="str">
        <f t="shared" si="189"/>
        <v>0000</v>
      </c>
      <c r="AJ4021" s="72"/>
      <c r="AK4021" s="72"/>
      <c r="AL4021" s="72"/>
      <c r="AM4021" s="72"/>
    </row>
    <row r="4022" spans="1:39" x14ac:dyDescent="0.25">
      <c r="A4022" s="37" t="s">
        <v>62</v>
      </c>
      <c r="B4022" s="66"/>
      <c r="C4022" s="4"/>
      <c r="D4022" s="41"/>
      <c r="E4022" s="41"/>
      <c r="F4022" s="85"/>
      <c r="G4022" s="39"/>
      <c r="H4022" s="52"/>
      <c r="I4022" s="52"/>
      <c r="J4022" s="49"/>
      <c r="K4022" s="58"/>
      <c r="L4022" s="58"/>
      <c r="M4022" s="58"/>
      <c r="N4022" s="58"/>
      <c r="O4022" s="58"/>
      <c r="P4022" s="53"/>
      <c r="Q4022" s="65"/>
      <c r="R4022" s="65"/>
      <c r="S4022" s="65"/>
      <c r="T4022" s="65"/>
      <c r="U4022" s="58"/>
      <c r="V4022" s="65"/>
      <c r="W4022" s="65"/>
      <c r="X4022" s="65"/>
      <c r="Y4022" s="65"/>
      <c r="Z4022" s="51"/>
      <c r="AA4022" s="51"/>
      <c r="AB4022" s="102"/>
      <c r="AC4022" s="81" t="e">
        <f t="shared" si="190"/>
        <v>#DIV/0!</v>
      </c>
      <c r="AD4022" s="82">
        <f t="shared" si="191"/>
        <v>0</v>
      </c>
      <c r="AE4022" s="218"/>
      <c r="AH4022" t="str">
        <f t="shared" si="189"/>
        <v>0000</v>
      </c>
      <c r="AJ4022" s="72"/>
      <c r="AK4022" s="72"/>
      <c r="AL4022" s="72"/>
      <c r="AM4022" s="72"/>
    </row>
    <row r="4023" spans="1:39" x14ac:dyDescent="0.25">
      <c r="A4023" s="37" t="s">
        <v>62</v>
      </c>
      <c r="B4023" s="66"/>
      <c r="C4023" s="4"/>
      <c r="D4023" s="41"/>
      <c r="E4023" s="41"/>
      <c r="F4023" s="85"/>
      <c r="G4023" s="39"/>
      <c r="H4023" s="52"/>
      <c r="I4023" s="52"/>
      <c r="J4023" s="49"/>
      <c r="K4023" s="58"/>
      <c r="L4023" s="58"/>
      <c r="M4023" s="58"/>
      <c r="N4023" s="58"/>
      <c r="O4023" s="58"/>
      <c r="P4023" s="53"/>
      <c r="Q4023" s="65"/>
      <c r="R4023" s="65"/>
      <c r="S4023" s="65"/>
      <c r="T4023" s="65"/>
      <c r="U4023" s="58"/>
      <c r="V4023" s="65"/>
      <c r="W4023" s="65"/>
      <c r="X4023" s="65"/>
      <c r="Y4023" s="65"/>
      <c r="Z4023" s="51"/>
      <c r="AA4023" s="51"/>
      <c r="AB4023" s="102"/>
      <c r="AC4023" s="81" t="e">
        <f t="shared" si="190"/>
        <v>#DIV/0!</v>
      </c>
      <c r="AD4023" s="82">
        <f t="shared" si="191"/>
        <v>0</v>
      </c>
      <c r="AE4023" s="218"/>
      <c r="AH4023" t="str">
        <f t="shared" si="189"/>
        <v>0000</v>
      </c>
      <c r="AJ4023" s="72"/>
      <c r="AK4023" s="72"/>
      <c r="AL4023" s="72"/>
      <c r="AM4023" s="72"/>
    </row>
    <row r="4024" spans="1:39" x14ac:dyDescent="0.25">
      <c r="A4024" s="37" t="s">
        <v>62</v>
      </c>
      <c r="B4024" s="66"/>
      <c r="C4024" s="4"/>
      <c r="D4024" s="41"/>
      <c r="E4024" s="41"/>
      <c r="F4024" s="85"/>
      <c r="G4024" s="39"/>
      <c r="H4024" s="52"/>
      <c r="I4024" s="52"/>
      <c r="J4024" s="49"/>
      <c r="K4024" s="58"/>
      <c r="L4024" s="58"/>
      <c r="M4024" s="58"/>
      <c r="N4024" s="58"/>
      <c r="O4024" s="58"/>
      <c r="P4024" s="53"/>
      <c r="Q4024" s="65"/>
      <c r="R4024" s="65"/>
      <c r="S4024" s="65"/>
      <c r="T4024" s="65"/>
      <c r="U4024" s="58"/>
      <c r="V4024" s="65"/>
      <c r="W4024" s="65"/>
      <c r="X4024" s="65"/>
      <c r="Y4024" s="65"/>
      <c r="Z4024" s="51"/>
      <c r="AA4024" s="51"/>
      <c r="AB4024" s="102"/>
      <c r="AC4024" s="81" t="e">
        <f t="shared" si="190"/>
        <v>#DIV/0!</v>
      </c>
      <c r="AD4024" s="82">
        <f t="shared" si="191"/>
        <v>0</v>
      </c>
      <c r="AE4024" s="218"/>
      <c r="AH4024" t="str">
        <f t="shared" si="189"/>
        <v>0000</v>
      </c>
      <c r="AJ4024" s="72"/>
      <c r="AK4024" s="72"/>
      <c r="AL4024" s="72"/>
      <c r="AM4024" s="72"/>
    </row>
    <row r="4025" spans="1:39" x14ac:dyDescent="0.25">
      <c r="A4025" s="37" t="s">
        <v>62</v>
      </c>
      <c r="B4025" s="66"/>
      <c r="C4025" s="4"/>
      <c r="D4025" s="41"/>
      <c r="E4025" s="41"/>
      <c r="F4025" s="85"/>
      <c r="G4025" s="39"/>
      <c r="H4025" s="52"/>
      <c r="I4025" s="52"/>
      <c r="J4025" s="49"/>
      <c r="K4025" s="58"/>
      <c r="L4025" s="58"/>
      <c r="M4025" s="58"/>
      <c r="N4025" s="58"/>
      <c r="O4025" s="58"/>
      <c r="P4025" s="53"/>
      <c r="Q4025" s="65"/>
      <c r="R4025" s="65"/>
      <c r="S4025" s="65"/>
      <c r="T4025" s="65"/>
      <c r="U4025" s="58"/>
      <c r="V4025" s="65"/>
      <c r="W4025" s="65"/>
      <c r="X4025" s="65"/>
      <c r="Y4025" s="65"/>
      <c r="Z4025" s="51"/>
      <c r="AA4025" s="51"/>
      <c r="AB4025" s="102"/>
      <c r="AC4025" s="81" t="e">
        <f t="shared" si="190"/>
        <v>#DIV/0!</v>
      </c>
      <c r="AD4025" s="82">
        <f t="shared" si="191"/>
        <v>0</v>
      </c>
      <c r="AE4025" s="218"/>
      <c r="AH4025" t="str">
        <f t="shared" si="189"/>
        <v>0000</v>
      </c>
      <c r="AJ4025" s="72"/>
      <c r="AK4025" s="72"/>
      <c r="AL4025" s="72"/>
      <c r="AM4025" s="72"/>
    </row>
    <row r="4026" spans="1:39" x14ac:dyDescent="0.25">
      <c r="A4026" s="37" t="s">
        <v>62</v>
      </c>
      <c r="B4026" s="66"/>
      <c r="C4026" s="4"/>
      <c r="D4026" s="41"/>
      <c r="E4026" s="41"/>
      <c r="F4026" s="85"/>
      <c r="G4026" s="39"/>
      <c r="H4026" s="52"/>
      <c r="I4026" s="52"/>
      <c r="J4026" s="49"/>
      <c r="K4026" s="58"/>
      <c r="L4026" s="58"/>
      <c r="M4026" s="58"/>
      <c r="N4026" s="58"/>
      <c r="O4026" s="58"/>
      <c r="P4026" s="53"/>
      <c r="Q4026" s="65"/>
      <c r="R4026" s="65"/>
      <c r="S4026" s="65"/>
      <c r="T4026" s="65"/>
      <c r="U4026" s="58"/>
      <c r="V4026" s="65"/>
      <c r="W4026" s="65"/>
      <c r="X4026" s="65"/>
      <c r="Y4026" s="65"/>
      <c r="Z4026" s="51"/>
      <c r="AA4026" s="51"/>
      <c r="AB4026" s="102"/>
      <c r="AC4026" s="81" t="e">
        <f t="shared" si="190"/>
        <v>#DIV/0!</v>
      </c>
      <c r="AD4026" s="82">
        <f t="shared" si="191"/>
        <v>0</v>
      </c>
      <c r="AE4026" s="218"/>
      <c r="AH4026" t="str">
        <f t="shared" ref="AH4026:AH4089" si="192">TEXT(D4026,"0000")</f>
        <v>0000</v>
      </c>
      <c r="AJ4026" s="72"/>
      <c r="AK4026" s="72"/>
      <c r="AL4026" s="72"/>
      <c r="AM4026" s="72"/>
    </row>
    <row r="4027" spans="1:39" x14ac:dyDescent="0.25">
      <c r="A4027" s="37" t="s">
        <v>62</v>
      </c>
      <c r="B4027" s="66"/>
      <c r="C4027" s="4"/>
      <c r="D4027" s="41"/>
      <c r="E4027" s="41"/>
      <c r="F4027" s="85"/>
      <c r="G4027" s="39"/>
      <c r="H4027" s="52"/>
      <c r="I4027" s="52"/>
      <c r="J4027" s="49"/>
      <c r="K4027" s="58"/>
      <c r="L4027" s="58"/>
      <c r="M4027" s="58"/>
      <c r="N4027" s="58"/>
      <c r="O4027" s="58"/>
      <c r="P4027" s="53"/>
      <c r="Q4027" s="65"/>
      <c r="R4027" s="65"/>
      <c r="S4027" s="65"/>
      <c r="T4027" s="65"/>
      <c r="U4027" s="58"/>
      <c r="V4027" s="65"/>
      <c r="W4027" s="65"/>
      <c r="X4027" s="65"/>
      <c r="Y4027" s="65"/>
      <c r="Z4027" s="51"/>
      <c r="AA4027" s="51"/>
      <c r="AB4027" s="102"/>
      <c r="AC4027" s="81" t="e">
        <f t="shared" si="190"/>
        <v>#DIV/0!</v>
      </c>
      <c r="AD4027" s="82">
        <f t="shared" si="191"/>
        <v>0</v>
      </c>
      <c r="AE4027" s="218"/>
      <c r="AH4027" t="str">
        <f t="shared" si="192"/>
        <v>0000</v>
      </c>
      <c r="AJ4027" s="72"/>
      <c r="AK4027" s="72"/>
      <c r="AL4027" s="72"/>
      <c r="AM4027" s="72"/>
    </row>
    <row r="4028" spans="1:39" x14ac:dyDescent="0.25">
      <c r="A4028" s="37" t="s">
        <v>62</v>
      </c>
      <c r="B4028" s="66"/>
      <c r="C4028" s="4"/>
      <c r="D4028" s="41"/>
      <c r="E4028" s="41"/>
      <c r="F4028" s="85"/>
      <c r="G4028" s="39"/>
      <c r="H4028" s="52"/>
      <c r="I4028" s="52"/>
      <c r="J4028" s="49"/>
      <c r="K4028" s="58"/>
      <c r="L4028" s="58"/>
      <c r="M4028" s="58"/>
      <c r="N4028" s="58"/>
      <c r="O4028" s="58"/>
      <c r="P4028" s="53"/>
      <c r="Q4028" s="65"/>
      <c r="R4028" s="65"/>
      <c r="S4028" s="65"/>
      <c r="T4028" s="65"/>
      <c r="U4028" s="58"/>
      <c r="V4028" s="65"/>
      <c r="W4028" s="65"/>
      <c r="X4028" s="65"/>
      <c r="Y4028" s="65"/>
      <c r="Z4028" s="51"/>
      <c r="AA4028" s="51"/>
      <c r="AB4028" s="102"/>
      <c r="AC4028" s="81" t="e">
        <f t="shared" si="190"/>
        <v>#DIV/0!</v>
      </c>
      <c r="AD4028" s="82">
        <f t="shared" si="191"/>
        <v>0</v>
      </c>
      <c r="AE4028" s="218"/>
      <c r="AH4028" t="str">
        <f t="shared" si="192"/>
        <v>0000</v>
      </c>
      <c r="AJ4028" s="72"/>
      <c r="AK4028" s="72"/>
      <c r="AL4028" s="72"/>
      <c r="AM4028" s="72"/>
    </row>
    <row r="4029" spans="1:39" x14ac:dyDescent="0.25">
      <c r="A4029" s="37" t="s">
        <v>62</v>
      </c>
      <c r="B4029" s="66"/>
      <c r="C4029" s="4"/>
      <c r="D4029" s="41"/>
      <c r="E4029" s="41"/>
      <c r="F4029" s="85"/>
      <c r="G4029" s="39"/>
      <c r="H4029" s="52"/>
      <c r="I4029" s="52"/>
      <c r="J4029" s="49"/>
      <c r="K4029" s="58"/>
      <c r="L4029" s="58"/>
      <c r="M4029" s="58"/>
      <c r="N4029" s="58"/>
      <c r="O4029" s="58"/>
      <c r="P4029" s="53"/>
      <c r="Q4029" s="65"/>
      <c r="R4029" s="65"/>
      <c r="S4029" s="65"/>
      <c r="T4029" s="65"/>
      <c r="U4029" s="58"/>
      <c r="V4029" s="65"/>
      <c r="W4029" s="65"/>
      <c r="X4029" s="65"/>
      <c r="Y4029" s="65"/>
      <c r="Z4029" s="51"/>
      <c r="AA4029" s="51"/>
      <c r="AB4029" s="102"/>
      <c r="AC4029" s="81" t="e">
        <f t="shared" si="190"/>
        <v>#DIV/0!</v>
      </c>
      <c r="AD4029" s="82">
        <f t="shared" si="191"/>
        <v>0</v>
      </c>
      <c r="AE4029" s="218"/>
      <c r="AH4029" t="str">
        <f t="shared" si="192"/>
        <v>0000</v>
      </c>
      <c r="AJ4029" s="72"/>
      <c r="AK4029" s="72"/>
      <c r="AL4029" s="72"/>
      <c r="AM4029" s="72"/>
    </row>
    <row r="4030" spans="1:39" x14ac:dyDescent="0.25">
      <c r="A4030" s="37" t="s">
        <v>62</v>
      </c>
      <c r="B4030" s="66"/>
      <c r="C4030" s="4"/>
      <c r="D4030" s="41"/>
      <c r="E4030" s="41"/>
      <c r="F4030" s="85"/>
      <c r="G4030" s="39"/>
      <c r="H4030" s="52"/>
      <c r="I4030" s="52"/>
      <c r="J4030" s="49"/>
      <c r="K4030" s="58"/>
      <c r="L4030" s="58"/>
      <c r="M4030" s="58"/>
      <c r="N4030" s="58"/>
      <c r="O4030" s="58"/>
      <c r="P4030" s="53"/>
      <c r="Q4030" s="65"/>
      <c r="R4030" s="65"/>
      <c r="S4030" s="65"/>
      <c r="T4030" s="65"/>
      <c r="U4030" s="58"/>
      <c r="V4030" s="65"/>
      <c r="W4030" s="65"/>
      <c r="X4030" s="65"/>
      <c r="Y4030" s="65"/>
      <c r="Z4030" s="51"/>
      <c r="AA4030" s="51"/>
      <c r="AB4030" s="102"/>
      <c r="AC4030" s="81" t="e">
        <f t="shared" si="190"/>
        <v>#DIV/0!</v>
      </c>
      <c r="AD4030" s="82">
        <f t="shared" si="191"/>
        <v>0</v>
      </c>
      <c r="AE4030" s="218"/>
      <c r="AH4030" t="str">
        <f t="shared" si="192"/>
        <v>0000</v>
      </c>
      <c r="AJ4030" s="72"/>
      <c r="AK4030" s="72"/>
      <c r="AL4030" s="72"/>
      <c r="AM4030" s="72"/>
    </row>
    <row r="4031" spans="1:39" x14ac:dyDescent="0.25">
      <c r="A4031" s="37" t="s">
        <v>62</v>
      </c>
      <c r="B4031" s="66"/>
      <c r="C4031" s="4"/>
      <c r="D4031" s="41"/>
      <c r="E4031" s="41"/>
      <c r="F4031" s="85"/>
      <c r="G4031" s="39"/>
      <c r="H4031" s="52"/>
      <c r="I4031" s="52"/>
      <c r="J4031" s="49"/>
      <c r="K4031" s="58"/>
      <c r="L4031" s="58"/>
      <c r="M4031" s="58"/>
      <c r="N4031" s="58"/>
      <c r="O4031" s="58"/>
      <c r="P4031" s="53"/>
      <c r="Q4031" s="65"/>
      <c r="R4031" s="65"/>
      <c r="S4031" s="65"/>
      <c r="T4031" s="65"/>
      <c r="U4031" s="58"/>
      <c r="V4031" s="65"/>
      <c r="W4031" s="65"/>
      <c r="X4031" s="65"/>
      <c r="Y4031" s="65"/>
      <c r="Z4031" s="51"/>
      <c r="AA4031" s="51"/>
      <c r="AB4031" s="102"/>
      <c r="AC4031" s="81" t="e">
        <f t="shared" si="190"/>
        <v>#DIV/0!</v>
      </c>
      <c r="AD4031" s="82">
        <f t="shared" si="191"/>
        <v>0</v>
      </c>
      <c r="AE4031" s="218"/>
      <c r="AH4031" t="str">
        <f t="shared" si="192"/>
        <v>0000</v>
      </c>
      <c r="AJ4031" s="72"/>
      <c r="AK4031" s="72"/>
      <c r="AL4031" s="72"/>
      <c r="AM4031" s="72"/>
    </row>
    <row r="4032" spans="1:39" x14ac:dyDescent="0.25">
      <c r="A4032" s="37" t="s">
        <v>62</v>
      </c>
      <c r="B4032" s="66"/>
      <c r="C4032" s="4"/>
      <c r="D4032" s="41"/>
      <c r="E4032" s="41"/>
      <c r="F4032" s="85"/>
      <c r="G4032" s="39"/>
      <c r="H4032" s="52"/>
      <c r="I4032" s="52"/>
      <c r="J4032" s="49"/>
      <c r="K4032" s="58"/>
      <c r="L4032" s="58"/>
      <c r="M4032" s="58"/>
      <c r="N4032" s="58"/>
      <c r="O4032" s="58"/>
      <c r="P4032" s="53"/>
      <c r="Q4032" s="65"/>
      <c r="R4032" s="65"/>
      <c r="S4032" s="65"/>
      <c r="T4032" s="65"/>
      <c r="U4032" s="58"/>
      <c r="V4032" s="65"/>
      <c r="W4032" s="65"/>
      <c r="X4032" s="65"/>
      <c r="Y4032" s="65"/>
      <c r="Z4032" s="51"/>
      <c r="AA4032" s="51"/>
      <c r="AB4032" s="102"/>
      <c r="AC4032" s="81" t="e">
        <f t="shared" si="190"/>
        <v>#DIV/0!</v>
      </c>
      <c r="AD4032" s="82">
        <f t="shared" si="191"/>
        <v>0</v>
      </c>
      <c r="AE4032" s="218"/>
      <c r="AH4032" t="str">
        <f t="shared" si="192"/>
        <v>0000</v>
      </c>
      <c r="AJ4032" s="72"/>
      <c r="AK4032" s="72"/>
      <c r="AL4032" s="72"/>
      <c r="AM4032" s="72"/>
    </row>
    <row r="4033" spans="1:39" x14ac:dyDescent="0.25">
      <c r="A4033" s="37" t="s">
        <v>62</v>
      </c>
      <c r="B4033" s="66"/>
      <c r="C4033" s="4"/>
      <c r="D4033" s="41"/>
      <c r="E4033" s="41"/>
      <c r="F4033" s="85"/>
      <c r="G4033" s="39"/>
      <c r="H4033" s="52"/>
      <c r="I4033" s="52"/>
      <c r="J4033" s="49"/>
      <c r="K4033" s="58"/>
      <c r="L4033" s="58"/>
      <c r="M4033" s="58"/>
      <c r="N4033" s="58"/>
      <c r="O4033" s="58"/>
      <c r="P4033" s="53"/>
      <c r="Q4033" s="65"/>
      <c r="R4033" s="65"/>
      <c r="S4033" s="65"/>
      <c r="T4033" s="65"/>
      <c r="U4033" s="58"/>
      <c r="V4033" s="65"/>
      <c r="W4033" s="65"/>
      <c r="X4033" s="65"/>
      <c r="Y4033" s="65"/>
      <c r="Z4033" s="51"/>
      <c r="AA4033" s="51"/>
      <c r="AB4033" s="102"/>
      <c r="AC4033" s="81" t="e">
        <f t="shared" ref="AC4033:AC4096" si="193">((IF(AD4033=0,0,100-AD4033))*7*(J4033/I4033))*2%</f>
        <v>#DIV/0!</v>
      </c>
      <c r="AD4033" s="82">
        <f t="shared" ref="AD4033:AD4096" si="194">IF((I4033/7)&gt;100,0,(I4033/7))</f>
        <v>0</v>
      </c>
      <c r="AE4033" s="218"/>
      <c r="AH4033" t="str">
        <f t="shared" si="192"/>
        <v>0000</v>
      </c>
      <c r="AJ4033" s="72"/>
      <c r="AK4033" s="72"/>
      <c r="AL4033" s="72"/>
      <c r="AM4033" s="72"/>
    </row>
    <row r="4034" spans="1:39" x14ac:dyDescent="0.25">
      <c r="A4034" s="37" t="s">
        <v>62</v>
      </c>
      <c r="B4034" s="66"/>
      <c r="C4034" s="4"/>
      <c r="D4034" s="41"/>
      <c r="E4034" s="41"/>
      <c r="F4034" s="85"/>
      <c r="G4034" s="39"/>
      <c r="H4034" s="52"/>
      <c r="I4034" s="52"/>
      <c r="J4034" s="49"/>
      <c r="K4034" s="58"/>
      <c r="L4034" s="58"/>
      <c r="M4034" s="58"/>
      <c r="N4034" s="58"/>
      <c r="O4034" s="58"/>
      <c r="P4034" s="53"/>
      <c r="Q4034" s="65"/>
      <c r="R4034" s="65"/>
      <c r="S4034" s="65"/>
      <c r="T4034" s="65"/>
      <c r="U4034" s="58"/>
      <c r="V4034" s="65"/>
      <c r="W4034" s="65"/>
      <c r="X4034" s="65"/>
      <c r="Y4034" s="65"/>
      <c r="Z4034" s="51"/>
      <c r="AA4034" s="51"/>
      <c r="AB4034" s="102"/>
      <c r="AC4034" s="81" t="e">
        <f t="shared" si="193"/>
        <v>#DIV/0!</v>
      </c>
      <c r="AD4034" s="82">
        <f t="shared" si="194"/>
        <v>0</v>
      </c>
      <c r="AE4034" s="218"/>
      <c r="AH4034" t="str">
        <f t="shared" si="192"/>
        <v>0000</v>
      </c>
      <c r="AJ4034" s="72"/>
      <c r="AK4034" s="72"/>
      <c r="AL4034" s="72"/>
      <c r="AM4034" s="72"/>
    </row>
    <row r="4035" spans="1:39" x14ac:dyDescent="0.25">
      <c r="A4035" s="37" t="s">
        <v>62</v>
      </c>
      <c r="B4035" s="66"/>
      <c r="C4035" s="4"/>
      <c r="D4035" s="41"/>
      <c r="E4035" s="41"/>
      <c r="F4035" s="85"/>
      <c r="G4035" s="39"/>
      <c r="H4035" s="52"/>
      <c r="I4035" s="52"/>
      <c r="J4035" s="49"/>
      <c r="K4035" s="58"/>
      <c r="L4035" s="58"/>
      <c r="M4035" s="58"/>
      <c r="N4035" s="58"/>
      <c r="O4035" s="58"/>
      <c r="P4035" s="53"/>
      <c r="Q4035" s="65"/>
      <c r="R4035" s="65"/>
      <c r="S4035" s="65"/>
      <c r="T4035" s="65"/>
      <c r="U4035" s="58"/>
      <c r="V4035" s="65"/>
      <c r="W4035" s="65"/>
      <c r="X4035" s="65"/>
      <c r="Y4035" s="65"/>
      <c r="Z4035" s="51"/>
      <c r="AA4035" s="51"/>
      <c r="AB4035" s="102"/>
      <c r="AC4035" s="81" t="e">
        <f t="shared" si="193"/>
        <v>#DIV/0!</v>
      </c>
      <c r="AD4035" s="82">
        <f t="shared" si="194"/>
        <v>0</v>
      </c>
      <c r="AE4035" s="218"/>
      <c r="AH4035" t="str">
        <f t="shared" si="192"/>
        <v>0000</v>
      </c>
      <c r="AJ4035" s="72"/>
      <c r="AK4035" s="72"/>
      <c r="AL4035" s="72"/>
      <c r="AM4035" s="72"/>
    </row>
    <row r="4036" spans="1:39" x14ac:dyDescent="0.25">
      <c r="A4036" s="37" t="s">
        <v>62</v>
      </c>
      <c r="B4036" s="66"/>
      <c r="C4036" s="4"/>
      <c r="D4036" s="41"/>
      <c r="E4036" s="41"/>
      <c r="F4036" s="85"/>
      <c r="G4036" s="39"/>
      <c r="H4036" s="52"/>
      <c r="I4036" s="52"/>
      <c r="J4036" s="49"/>
      <c r="K4036" s="58"/>
      <c r="L4036" s="58"/>
      <c r="M4036" s="58"/>
      <c r="N4036" s="58"/>
      <c r="O4036" s="58"/>
      <c r="P4036" s="53"/>
      <c r="Q4036" s="65"/>
      <c r="R4036" s="65"/>
      <c r="S4036" s="65"/>
      <c r="T4036" s="65"/>
      <c r="U4036" s="58"/>
      <c r="V4036" s="65"/>
      <c r="W4036" s="65"/>
      <c r="X4036" s="65"/>
      <c r="Y4036" s="65"/>
      <c r="Z4036" s="51"/>
      <c r="AA4036" s="51"/>
      <c r="AB4036" s="102"/>
      <c r="AC4036" s="81" t="e">
        <f t="shared" si="193"/>
        <v>#DIV/0!</v>
      </c>
      <c r="AD4036" s="82">
        <f t="shared" si="194"/>
        <v>0</v>
      </c>
      <c r="AE4036" s="218"/>
      <c r="AH4036" t="str">
        <f t="shared" si="192"/>
        <v>0000</v>
      </c>
      <c r="AJ4036" s="72"/>
      <c r="AK4036" s="72"/>
      <c r="AL4036" s="72"/>
      <c r="AM4036" s="72"/>
    </row>
    <row r="4037" spans="1:39" x14ac:dyDescent="0.25">
      <c r="A4037" s="37" t="s">
        <v>62</v>
      </c>
      <c r="B4037" s="66"/>
      <c r="C4037" s="4"/>
      <c r="D4037" s="41"/>
      <c r="E4037" s="41"/>
      <c r="F4037" s="85"/>
      <c r="G4037" s="39"/>
      <c r="H4037" s="52"/>
      <c r="I4037" s="52"/>
      <c r="J4037" s="49"/>
      <c r="K4037" s="58"/>
      <c r="L4037" s="58"/>
      <c r="M4037" s="58"/>
      <c r="N4037" s="58"/>
      <c r="O4037" s="58"/>
      <c r="P4037" s="53"/>
      <c r="Q4037" s="65"/>
      <c r="R4037" s="65"/>
      <c r="S4037" s="65"/>
      <c r="T4037" s="65"/>
      <c r="U4037" s="58"/>
      <c r="V4037" s="65"/>
      <c r="W4037" s="65"/>
      <c r="X4037" s="65"/>
      <c r="Y4037" s="65"/>
      <c r="Z4037" s="51"/>
      <c r="AA4037" s="51"/>
      <c r="AB4037" s="102"/>
      <c r="AC4037" s="81" t="e">
        <f t="shared" si="193"/>
        <v>#DIV/0!</v>
      </c>
      <c r="AD4037" s="82">
        <f t="shared" si="194"/>
        <v>0</v>
      </c>
      <c r="AE4037" s="218"/>
      <c r="AH4037" t="str">
        <f t="shared" si="192"/>
        <v>0000</v>
      </c>
      <c r="AJ4037" s="72"/>
      <c r="AK4037" s="72"/>
      <c r="AL4037" s="72"/>
      <c r="AM4037" s="72"/>
    </row>
    <row r="4038" spans="1:39" x14ac:dyDescent="0.25">
      <c r="A4038" s="37" t="s">
        <v>62</v>
      </c>
      <c r="B4038" s="66"/>
      <c r="C4038" s="4"/>
      <c r="D4038" s="41"/>
      <c r="E4038" s="41"/>
      <c r="F4038" s="85"/>
      <c r="G4038" s="39"/>
      <c r="H4038" s="52"/>
      <c r="I4038" s="52"/>
      <c r="J4038" s="49"/>
      <c r="K4038" s="58"/>
      <c r="L4038" s="58"/>
      <c r="M4038" s="58"/>
      <c r="N4038" s="58"/>
      <c r="O4038" s="58"/>
      <c r="P4038" s="53"/>
      <c r="Q4038" s="65"/>
      <c r="R4038" s="65"/>
      <c r="S4038" s="65"/>
      <c r="T4038" s="65"/>
      <c r="U4038" s="58"/>
      <c r="V4038" s="65"/>
      <c r="W4038" s="65"/>
      <c r="X4038" s="65"/>
      <c r="Y4038" s="65"/>
      <c r="Z4038" s="51"/>
      <c r="AA4038" s="51"/>
      <c r="AB4038" s="102"/>
      <c r="AC4038" s="81" t="e">
        <f t="shared" si="193"/>
        <v>#DIV/0!</v>
      </c>
      <c r="AD4038" s="82">
        <f t="shared" si="194"/>
        <v>0</v>
      </c>
      <c r="AE4038" s="218"/>
      <c r="AH4038" t="str">
        <f t="shared" si="192"/>
        <v>0000</v>
      </c>
      <c r="AJ4038" s="72"/>
      <c r="AK4038" s="72"/>
      <c r="AL4038" s="72"/>
      <c r="AM4038" s="72"/>
    </row>
    <row r="4039" spans="1:39" x14ac:dyDescent="0.25">
      <c r="A4039" s="37" t="s">
        <v>62</v>
      </c>
      <c r="B4039" s="66"/>
      <c r="C4039" s="4"/>
      <c r="D4039" s="41"/>
      <c r="E4039" s="41"/>
      <c r="F4039" s="85"/>
      <c r="G4039" s="39"/>
      <c r="H4039" s="52"/>
      <c r="I4039" s="52"/>
      <c r="J4039" s="49"/>
      <c r="K4039" s="58"/>
      <c r="L4039" s="58"/>
      <c r="M4039" s="58"/>
      <c r="N4039" s="58"/>
      <c r="O4039" s="58"/>
      <c r="P4039" s="53"/>
      <c r="Q4039" s="65"/>
      <c r="R4039" s="65"/>
      <c r="S4039" s="65"/>
      <c r="T4039" s="65"/>
      <c r="U4039" s="58"/>
      <c r="V4039" s="65"/>
      <c r="W4039" s="65"/>
      <c r="X4039" s="65"/>
      <c r="Y4039" s="65"/>
      <c r="Z4039" s="51"/>
      <c r="AA4039" s="51"/>
      <c r="AB4039" s="102"/>
      <c r="AC4039" s="81" t="e">
        <f t="shared" si="193"/>
        <v>#DIV/0!</v>
      </c>
      <c r="AD4039" s="82">
        <f t="shared" si="194"/>
        <v>0</v>
      </c>
      <c r="AE4039" s="218"/>
      <c r="AH4039" t="str">
        <f t="shared" si="192"/>
        <v>0000</v>
      </c>
      <c r="AJ4039" s="72"/>
      <c r="AK4039" s="72"/>
      <c r="AL4039" s="72"/>
      <c r="AM4039" s="72"/>
    </row>
    <row r="4040" spans="1:39" x14ac:dyDescent="0.25">
      <c r="A4040" s="37" t="s">
        <v>62</v>
      </c>
      <c r="B4040" s="66"/>
      <c r="C4040" s="4"/>
      <c r="D4040" s="41"/>
      <c r="E4040" s="41"/>
      <c r="F4040" s="85"/>
      <c r="G4040" s="39"/>
      <c r="H4040" s="52"/>
      <c r="I4040" s="52"/>
      <c r="J4040" s="49"/>
      <c r="K4040" s="58"/>
      <c r="L4040" s="58"/>
      <c r="M4040" s="58"/>
      <c r="N4040" s="58"/>
      <c r="O4040" s="58"/>
      <c r="P4040" s="53"/>
      <c r="Q4040" s="65"/>
      <c r="R4040" s="65"/>
      <c r="S4040" s="65"/>
      <c r="T4040" s="65"/>
      <c r="U4040" s="58"/>
      <c r="V4040" s="65"/>
      <c r="W4040" s="65"/>
      <c r="X4040" s="65"/>
      <c r="Y4040" s="65"/>
      <c r="Z4040" s="51"/>
      <c r="AA4040" s="51"/>
      <c r="AB4040" s="102"/>
      <c r="AC4040" s="81" t="e">
        <f t="shared" si="193"/>
        <v>#DIV/0!</v>
      </c>
      <c r="AD4040" s="82">
        <f t="shared" si="194"/>
        <v>0</v>
      </c>
      <c r="AE4040" s="218"/>
      <c r="AH4040" t="str">
        <f t="shared" si="192"/>
        <v>0000</v>
      </c>
      <c r="AJ4040" s="72"/>
      <c r="AK4040" s="72"/>
      <c r="AL4040" s="72"/>
      <c r="AM4040" s="72"/>
    </row>
    <row r="4041" spans="1:39" x14ac:dyDescent="0.25">
      <c r="A4041" s="37" t="s">
        <v>62</v>
      </c>
      <c r="B4041" s="66"/>
      <c r="C4041" s="4"/>
      <c r="D4041" s="41"/>
      <c r="E4041" s="41"/>
      <c r="F4041" s="85"/>
      <c r="G4041" s="39"/>
      <c r="H4041" s="52"/>
      <c r="I4041" s="52"/>
      <c r="J4041" s="49"/>
      <c r="K4041" s="58"/>
      <c r="L4041" s="58"/>
      <c r="M4041" s="58"/>
      <c r="N4041" s="58"/>
      <c r="O4041" s="58"/>
      <c r="P4041" s="53"/>
      <c r="Q4041" s="65"/>
      <c r="R4041" s="65"/>
      <c r="S4041" s="65"/>
      <c r="T4041" s="65"/>
      <c r="U4041" s="58"/>
      <c r="V4041" s="65"/>
      <c r="W4041" s="65"/>
      <c r="X4041" s="65"/>
      <c r="Y4041" s="65"/>
      <c r="Z4041" s="51"/>
      <c r="AA4041" s="51"/>
      <c r="AB4041" s="102"/>
      <c r="AC4041" s="81" t="e">
        <f t="shared" si="193"/>
        <v>#DIV/0!</v>
      </c>
      <c r="AD4041" s="82">
        <f t="shared" si="194"/>
        <v>0</v>
      </c>
      <c r="AE4041" s="218"/>
      <c r="AH4041" t="str">
        <f t="shared" si="192"/>
        <v>0000</v>
      </c>
      <c r="AJ4041" s="72"/>
      <c r="AK4041" s="72"/>
      <c r="AL4041" s="72"/>
      <c r="AM4041" s="72"/>
    </row>
    <row r="4042" spans="1:39" x14ac:dyDescent="0.25">
      <c r="A4042" s="37" t="s">
        <v>62</v>
      </c>
      <c r="B4042" s="66"/>
      <c r="C4042" s="4"/>
      <c r="D4042" s="41"/>
      <c r="E4042" s="41"/>
      <c r="F4042" s="85"/>
      <c r="G4042" s="39"/>
      <c r="H4042" s="52"/>
      <c r="I4042" s="52"/>
      <c r="J4042" s="49"/>
      <c r="K4042" s="58"/>
      <c r="L4042" s="58"/>
      <c r="M4042" s="58"/>
      <c r="N4042" s="58"/>
      <c r="O4042" s="58"/>
      <c r="P4042" s="53"/>
      <c r="Q4042" s="65"/>
      <c r="R4042" s="65"/>
      <c r="S4042" s="65"/>
      <c r="T4042" s="65"/>
      <c r="U4042" s="58"/>
      <c r="V4042" s="65"/>
      <c r="W4042" s="65"/>
      <c r="X4042" s="65"/>
      <c r="Y4042" s="65"/>
      <c r="Z4042" s="51"/>
      <c r="AA4042" s="51"/>
      <c r="AB4042" s="102"/>
      <c r="AC4042" s="81" t="e">
        <f t="shared" si="193"/>
        <v>#DIV/0!</v>
      </c>
      <c r="AD4042" s="82">
        <f t="shared" si="194"/>
        <v>0</v>
      </c>
      <c r="AE4042" s="218"/>
      <c r="AH4042" t="str">
        <f t="shared" si="192"/>
        <v>0000</v>
      </c>
      <c r="AJ4042" s="72"/>
      <c r="AK4042" s="72"/>
      <c r="AL4042" s="72"/>
      <c r="AM4042" s="72"/>
    </row>
    <row r="4043" spans="1:39" x14ac:dyDescent="0.25">
      <c r="A4043" s="37" t="s">
        <v>62</v>
      </c>
      <c r="B4043" s="66"/>
      <c r="C4043" s="4"/>
      <c r="D4043" s="41"/>
      <c r="E4043" s="41"/>
      <c r="F4043" s="85"/>
      <c r="G4043" s="39"/>
      <c r="H4043" s="52"/>
      <c r="I4043" s="52"/>
      <c r="J4043" s="49"/>
      <c r="K4043" s="58"/>
      <c r="L4043" s="58"/>
      <c r="M4043" s="58"/>
      <c r="N4043" s="58"/>
      <c r="O4043" s="58"/>
      <c r="P4043" s="53"/>
      <c r="Q4043" s="65"/>
      <c r="R4043" s="65"/>
      <c r="S4043" s="65"/>
      <c r="T4043" s="65"/>
      <c r="U4043" s="58"/>
      <c r="V4043" s="65"/>
      <c r="W4043" s="65"/>
      <c r="X4043" s="65"/>
      <c r="Y4043" s="65"/>
      <c r="Z4043" s="51"/>
      <c r="AA4043" s="51"/>
      <c r="AB4043" s="102"/>
      <c r="AC4043" s="81" t="e">
        <f t="shared" si="193"/>
        <v>#DIV/0!</v>
      </c>
      <c r="AD4043" s="82">
        <f t="shared" si="194"/>
        <v>0</v>
      </c>
      <c r="AE4043" s="218"/>
      <c r="AH4043" t="str">
        <f t="shared" si="192"/>
        <v>0000</v>
      </c>
      <c r="AJ4043" s="72"/>
      <c r="AK4043" s="72"/>
      <c r="AL4043" s="72"/>
      <c r="AM4043" s="72"/>
    </row>
    <row r="4044" spans="1:39" x14ac:dyDescent="0.25">
      <c r="A4044" s="37" t="s">
        <v>62</v>
      </c>
      <c r="B4044" s="66"/>
      <c r="C4044" s="4"/>
      <c r="D4044" s="41"/>
      <c r="E4044" s="41"/>
      <c r="F4044" s="85"/>
      <c r="G4044" s="39"/>
      <c r="H4044" s="52"/>
      <c r="I4044" s="52"/>
      <c r="J4044" s="49"/>
      <c r="K4044" s="58"/>
      <c r="L4044" s="58"/>
      <c r="M4044" s="58"/>
      <c r="N4044" s="58"/>
      <c r="O4044" s="58"/>
      <c r="P4044" s="53"/>
      <c r="Q4044" s="65"/>
      <c r="R4044" s="65"/>
      <c r="S4044" s="65"/>
      <c r="T4044" s="65"/>
      <c r="U4044" s="58"/>
      <c r="V4044" s="65"/>
      <c r="W4044" s="65"/>
      <c r="X4044" s="65"/>
      <c r="Y4044" s="65"/>
      <c r="Z4044" s="51"/>
      <c r="AA4044" s="51"/>
      <c r="AB4044" s="102"/>
      <c r="AC4044" s="81" t="e">
        <f t="shared" si="193"/>
        <v>#DIV/0!</v>
      </c>
      <c r="AD4044" s="82">
        <f t="shared" si="194"/>
        <v>0</v>
      </c>
      <c r="AE4044" s="218"/>
      <c r="AH4044" t="str">
        <f t="shared" si="192"/>
        <v>0000</v>
      </c>
      <c r="AJ4044" s="72"/>
      <c r="AK4044" s="72"/>
      <c r="AL4044" s="72"/>
      <c r="AM4044" s="72"/>
    </row>
    <row r="4045" spans="1:39" x14ac:dyDescent="0.25">
      <c r="A4045" s="37" t="s">
        <v>62</v>
      </c>
      <c r="B4045" s="66"/>
      <c r="C4045" s="4"/>
      <c r="D4045" s="41"/>
      <c r="E4045" s="41"/>
      <c r="F4045" s="85"/>
      <c r="G4045" s="39"/>
      <c r="H4045" s="52"/>
      <c r="I4045" s="52"/>
      <c r="J4045" s="49"/>
      <c r="K4045" s="58"/>
      <c r="L4045" s="58"/>
      <c r="M4045" s="58"/>
      <c r="N4045" s="58"/>
      <c r="O4045" s="58"/>
      <c r="P4045" s="53"/>
      <c r="Q4045" s="65"/>
      <c r="R4045" s="65"/>
      <c r="S4045" s="65"/>
      <c r="T4045" s="65"/>
      <c r="U4045" s="58"/>
      <c r="V4045" s="65"/>
      <c r="W4045" s="65"/>
      <c r="X4045" s="65"/>
      <c r="Y4045" s="65"/>
      <c r="Z4045" s="51"/>
      <c r="AA4045" s="51"/>
      <c r="AB4045" s="102"/>
      <c r="AC4045" s="81" t="e">
        <f t="shared" si="193"/>
        <v>#DIV/0!</v>
      </c>
      <c r="AD4045" s="82">
        <f t="shared" si="194"/>
        <v>0</v>
      </c>
      <c r="AE4045" s="218"/>
      <c r="AH4045" t="str">
        <f t="shared" si="192"/>
        <v>0000</v>
      </c>
      <c r="AJ4045" s="72"/>
      <c r="AK4045" s="72"/>
      <c r="AL4045" s="72"/>
      <c r="AM4045" s="72"/>
    </row>
    <row r="4046" spans="1:39" x14ac:dyDescent="0.25">
      <c r="A4046" s="37" t="s">
        <v>62</v>
      </c>
      <c r="B4046" s="66"/>
      <c r="C4046" s="4"/>
      <c r="D4046" s="41"/>
      <c r="E4046" s="41"/>
      <c r="F4046" s="85"/>
      <c r="G4046" s="39"/>
      <c r="H4046" s="52"/>
      <c r="I4046" s="52"/>
      <c r="J4046" s="49"/>
      <c r="K4046" s="58"/>
      <c r="L4046" s="58"/>
      <c r="M4046" s="58"/>
      <c r="N4046" s="58"/>
      <c r="O4046" s="58"/>
      <c r="P4046" s="53"/>
      <c r="Q4046" s="65"/>
      <c r="R4046" s="65"/>
      <c r="S4046" s="65"/>
      <c r="T4046" s="65"/>
      <c r="U4046" s="58"/>
      <c r="V4046" s="65"/>
      <c r="W4046" s="65"/>
      <c r="X4046" s="65"/>
      <c r="Y4046" s="65"/>
      <c r="Z4046" s="51"/>
      <c r="AA4046" s="51"/>
      <c r="AB4046" s="102"/>
      <c r="AC4046" s="81" t="e">
        <f t="shared" si="193"/>
        <v>#DIV/0!</v>
      </c>
      <c r="AD4046" s="82">
        <f t="shared" si="194"/>
        <v>0</v>
      </c>
      <c r="AE4046" s="218"/>
      <c r="AH4046" t="str">
        <f t="shared" si="192"/>
        <v>0000</v>
      </c>
      <c r="AJ4046" s="72"/>
      <c r="AK4046" s="72"/>
      <c r="AL4046" s="72"/>
      <c r="AM4046" s="72"/>
    </row>
    <row r="4047" spans="1:39" x14ac:dyDescent="0.25">
      <c r="A4047" s="37" t="s">
        <v>62</v>
      </c>
      <c r="B4047" s="66"/>
      <c r="C4047" s="4"/>
      <c r="D4047" s="41"/>
      <c r="E4047" s="41"/>
      <c r="F4047" s="85"/>
      <c r="G4047" s="39"/>
      <c r="H4047" s="52"/>
      <c r="I4047" s="52"/>
      <c r="J4047" s="49"/>
      <c r="K4047" s="58"/>
      <c r="L4047" s="58"/>
      <c r="M4047" s="58"/>
      <c r="N4047" s="58"/>
      <c r="O4047" s="58"/>
      <c r="P4047" s="53"/>
      <c r="Q4047" s="65"/>
      <c r="R4047" s="65"/>
      <c r="S4047" s="65"/>
      <c r="T4047" s="65"/>
      <c r="U4047" s="58"/>
      <c r="V4047" s="65"/>
      <c r="W4047" s="65"/>
      <c r="X4047" s="65"/>
      <c r="Y4047" s="65"/>
      <c r="Z4047" s="51"/>
      <c r="AA4047" s="51"/>
      <c r="AB4047" s="102"/>
      <c r="AC4047" s="81" t="e">
        <f t="shared" si="193"/>
        <v>#DIV/0!</v>
      </c>
      <c r="AD4047" s="82">
        <f t="shared" si="194"/>
        <v>0</v>
      </c>
      <c r="AE4047" s="218"/>
      <c r="AH4047" t="str">
        <f t="shared" si="192"/>
        <v>0000</v>
      </c>
      <c r="AJ4047" s="72"/>
      <c r="AK4047" s="72"/>
      <c r="AL4047" s="72"/>
      <c r="AM4047" s="72"/>
    </row>
    <row r="4048" spans="1:39" x14ac:dyDescent="0.25">
      <c r="A4048" s="37" t="s">
        <v>62</v>
      </c>
      <c r="B4048" s="66"/>
      <c r="C4048" s="4"/>
      <c r="D4048" s="41"/>
      <c r="E4048" s="41"/>
      <c r="F4048" s="85"/>
      <c r="G4048" s="39"/>
      <c r="H4048" s="52"/>
      <c r="I4048" s="52"/>
      <c r="J4048" s="49"/>
      <c r="K4048" s="58"/>
      <c r="L4048" s="58"/>
      <c r="M4048" s="58"/>
      <c r="N4048" s="58"/>
      <c r="O4048" s="58"/>
      <c r="P4048" s="53"/>
      <c r="Q4048" s="65"/>
      <c r="R4048" s="65"/>
      <c r="S4048" s="65"/>
      <c r="T4048" s="65"/>
      <c r="U4048" s="58"/>
      <c r="V4048" s="65"/>
      <c r="W4048" s="65"/>
      <c r="X4048" s="65"/>
      <c r="Y4048" s="65"/>
      <c r="Z4048" s="51"/>
      <c r="AA4048" s="51"/>
      <c r="AB4048" s="102"/>
      <c r="AC4048" s="81" t="e">
        <f t="shared" si="193"/>
        <v>#DIV/0!</v>
      </c>
      <c r="AD4048" s="82">
        <f t="shared" si="194"/>
        <v>0</v>
      </c>
      <c r="AE4048" s="218"/>
      <c r="AH4048" t="str">
        <f t="shared" si="192"/>
        <v>0000</v>
      </c>
      <c r="AJ4048" s="72"/>
      <c r="AK4048" s="72"/>
      <c r="AL4048" s="72"/>
      <c r="AM4048" s="72"/>
    </row>
    <row r="4049" spans="1:39" x14ac:dyDescent="0.25">
      <c r="A4049" s="37" t="s">
        <v>62</v>
      </c>
      <c r="B4049" s="66"/>
      <c r="C4049" s="4"/>
      <c r="D4049" s="41"/>
      <c r="E4049" s="41"/>
      <c r="F4049" s="85"/>
      <c r="G4049" s="39"/>
      <c r="H4049" s="52"/>
      <c r="I4049" s="52"/>
      <c r="J4049" s="49"/>
      <c r="K4049" s="58"/>
      <c r="L4049" s="58"/>
      <c r="M4049" s="58"/>
      <c r="N4049" s="58"/>
      <c r="O4049" s="58"/>
      <c r="P4049" s="53"/>
      <c r="Q4049" s="65"/>
      <c r="R4049" s="65"/>
      <c r="S4049" s="65"/>
      <c r="T4049" s="65"/>
      <c r="U4049" s="58"/>
      <c r="V4049" s="65"/>
      <c r="W4049" s="65"/>
      <c r="X4049" s="65"/>
      <c r="Y4049" s="65"/>
      <c r="Z4049" s="51"/>
      <c r="AA4049" s="51"/>
      <c r="AB4049" s="102"/>
      <c r="AC4049" s="81" t="e">
        <f t="shared" si="193"/>
        <v>#DIV/0!</v>
      </c>
      <c r="AD4049" s="82">
        <f t="shared" si="194"/>
        <v>0</v>
      </c>
      <c r="AE4049" s="218"/>
      <c r="AH4049" t="str">
        <f t="shared" si="192"/>
        <v>0000</v>
      </c>
      <c r="AJ4049" s="72"/>
      <c r="AK4049" s="72"/>
      <c r="AL4049" s="72"/>
      <c r="AM4049" s="72"/>
    </row>
    <row r="4050" spans="1:39" x14ac:dyDescent="0.25">
      <c r="A4050" s="37" t="s">
        <v>62</v>
      </c>
      <c r="B4050" s="66"/>
      <c r="C4050" s="4"/>
      <c r="D4050" s="41"/>
      <c r="E4050" s="41"/>
      <c r="F4050" s="85"/>
      <c r="G4050" s="39"/>
      <c r="H4050" s="52"/>
      <c r="I4050" s="52"/>
      <c r="J4050" s="49"/>
      <c r="K4050" s="58"/>
      <c r="L4050" s="58"/>
      <c r="M4050" s="58"/>
      <c r="N4050" s="58"/>
      <c r="O4050" s="58"/>
      <c r="P4050" s="53"/>
      <c r="Q4050" s="65"/>
      <c r="R4050" s="65"/>
      <c r="S4050" s="65"/>
      <c r="T4050" s="65"/>
      <c r="U4050" s="58"/>
      <c r="V4050" s="65"/>
      <c r="W4050" s="65"/>
      <c r="X4050" s="65"/>
      <c r="Y4050" s="65"/>
      <c r="Z4050" s="51"/>
      <c r="AA4050" s="51"/>
      <c r="AB4050" s="102"/>
      <c r="AC4050" s="81" t="e">
        <f t="shared" si="193"/>
        <v>#DIV/0!</v>
      </c>
      <c r="AD4050" s="82">
        <f t="shared" si="194"/>
        <v>0</v>
      </c>
      <c r="AE4050" s="218"/>
      <c r="AH4050" t="str">
        <f t="shared" si="192"/>
        <v>0000</v>
      </c>
      <c r="AJ4050" s="72"/>
      <c r="AK4050" s="72"/>
      <c r="AL4050" s="72"/>
      <c r="AM4050" s="72"/>
    </row>
    <row r="4051" spans="1:39" x14ac:dyDescent="0.25">
      <c r="A4051" s="37" t="s">
        <v>62</v>
      </c>
      <c r="B4051" s="66"/>
      <c r="C4051" s="4"/>
      <c r="D4051" s="41"/>
      <c r="E4051" s="41"/>
      <c r="F4051" s="85"/>
      <c r="G4051" s="39"/>
      <c r="H4051" s="52"/>
      <c r="I4051" s="52"/>
      <c r="J4051" s="49"/>
      <c r="K4051" s="58"/>
      <c r="L4051" s="58"/>
      <c r="M4051" s="58"/>
      <c r="N4051" s="58"/>
      <c r="O4051" s="58"/>
      <c r="P4051" s="53"/>
      <c r="Q4051" s="65"/>
      <c r="R4051" s="65"/>
      <c r="S4051" s="65"/>
      <c r="T4051" s="65"/>
      <c r="U4051" s="58"/>
      <c r="V4051" s="65"/>
      <c r="W4051" s="65"/>
      <c r="X4051" s="65"/>
      <c r="Y4051" s="65"/>
      <c r="Z4051" s="51"/>
      <c r="AA4051" s="51"/>
      <c r="AB4051" s="102"/>
      <c r="AC4051" s="81" t="e">
        <f t="shared" si="193"/>
        <v>#DIV/0!</v>
      </c>
      <c r="AD4051" s="82">
        <f t="shared" si="194"/>
        <v>0</v>
      </c>
      <c r="AE4051" s="218"/>
      <c r="AH4051" t="str">
        <f t="shared" si="192"/>
        <v>0000</v>
      </c>
      <c r="AJ4051" s="72"/>
      <c r="AK4051" s="72"/>
      <c r="AL4051" s="72"/>
      <c r="AM4051" s="72"/>
    </row>
    <row r="4052" spans="1:39" x14ac:dyDescent="0.25">
      <c r="A4052" s="37" t="s">
        <v>62</v>
      </c>
      <c r="B4052" s="66"/>
      <c r="C4052" s="4"/>
      <c r="D4052" s="41"/>
      <c r="E4052" s="41"/>
      <c r="F4052" s="85"/>
      <c r="G4052" s="39"/>
      <c r="H4052" s="52"/>
      <c r="I4052" s="52"/>
      <c r="J4052" s="49"/>
      <c r="K4052" s="58"/>
      <c r="L4052" s="58"/>
      <c r="M4052" s="58"/>
      <c r="N4052" s="58"/>
      <c r="O4052" s="58"/>
      <c r="P4052" s="53"/>
      <c r="Q4052" s="65"/>
      <c r="R4052" s="65"/>
      <c r="S4052" s="65"/>
      <c r="T4052" s="65"/>
      <c r="U4052" s="58"/>
      <c r="V4052" s="65"/>
      <c r="W4052" s="65"/>
      <c r="X4052" s="65"/>
      <c r="Y4052" s="65"/>
      <c r="Z4052" s="51"/>
      <c r="AA4052" s="51"/>
      <c r="AB4052" s="102"/>
      <c r="AC4052" s="81" t="e">
        <f t="shared" si="193"/>
        <v>#DIV/0!</v>
      </c>
      <c r="AD4052" s="82">
        <f t="shared" si="194"/>
        <v>0</v>
      </c>
      <c r="AE4052" s="218"/>
      <c r="AH4052" t="str">
        <f t="shared" si="192"/>
        <v>0000</v>
      </c>
      <c r="AJ4052" s="72"/>
      <c r="AK4052" s="72"/>
      <c r="AL4052" s="72"/>
      <c r="AM4052" s="72"/>
    </row>
    <row r="4053" spans="1:39" x14ac:dyDescent="0.25">
      <c r="A4053" s="37" t="s">
        <v>62</v>
      </c>
      <c r="B4053" s="66"/>
      <c r="C4053" s="4"/>
      <c r="D4053" s="41"/>
      <c r="E4053" s="41"/>
      <c r="F4053" s="85"/>
      <c r="G4053" s="39"/>
      <c r="H4053" s="52"/>
      <c r="I4053" s="52"/>
      <c r="J4053" s="49"/>
      <c r="K4053" s="58"/>
      <c r="L4053" s="58"/>
      <c r="M4053" s="58"/>
      <c r="N4053" s="58"/>
      <c r="O4053" s="58"/>
      <c r="P4053" s="53"/>
      <c r="Q4053" s="65"/>
      <c r="R4053" s="65"/>
      <c r="S4053" s="65"/>
      <c r="T4053" s="65"/>
      <c r="U4053" s="58"/>
      <c r="V4053" s="65"/>
      <c r="W4053" s="65"/>
      <c r="X4053" s="65"/>
      <c r="Y4053" s="65"/>
      <c r="Z4053" s="51"/>
      <c r="AA4053" s="51"/>
      <c r="AB4053" s="102"/>
      <c r="AC4053" s="81" t="e">
        <f t="shared" si="193"/>
        <v>#DIV/0!</v>
      </c>
      <c r="AD4053" s="82">
        <f t="shared" si="194"/>
        <v>0</v>
      </c>
      <c r="AE4053" s="218"/>
      <c r="AH4053" t="str">
        <f t="shared" si="192"/>
        <v>0000</v>
      </c>
      <c r="AJ4053" s="72"/>
      <c r="AK4053" s="72"/>
      <c r="AL4053" s="72"/>
      <c r="AM4053" s="72"/>
    </row>
    <row r="4054" spans="1:39" x14ac:dyDescent="0.25">
      <c r="A4054" s="37" t="s">
        <v>62</v>
      </c>
      <c r="B4054" s="66"/>
      <c r="C4054" s="4"/>
      <c r="D4054" s="41"/>
      <c r="E4054" s="41"/>
      <c r="F4054" s="85"/>
      <c r="G4054" s="39"/>
      <c r="H4054" s="52"/>
      <c r="I4054" s="52"/>
      <c r="J4054" s="49"/>
      <c r="K4054" s="58"/>
      <c r="L4054" s="58"/>
      <c r="M4054" s="58"/>
      <c r="N4054" s="58"/>
      <c r="O4054" s="58"/>
      <c r="P4054" s="53"/>
      <c r="Q4054" s="65"/>
      <c r="R4054" s="65"/>
      <c r="S4054" s="65"/>
      <c r="T4054" s="65"/>
      <c r="U4054" s="58"/>
      <c r="V4054" s="65"/>
      <c r="W4054" s="65"/>
      <c r="X4054" s="65"/>
      <c r="Y4054" s="65"/>
      <c r="Z4054" s="51"/>
      <c r="AA4054" s="51"/>
      <c r="AB4054" s="102"/>
      <c r="AC4054" s="81" t="e">
        <f t="shared" si="193"/>
        <v>#DIV/0!</v>
      </c>
      <c r="AD4054" s="82">
        <f t="shared" si="194"/>
        <v>0</v>
      </c>
      <c r="AE4054" s="218"/>
      <c r="AH4054" t="str">
        <f t="shared" si="192"/>
        <v>0000</v>
      </c>
      <c r="AJ4054" s="72"/>
      <c r="AK4054" s="72"/>
      <c r="AL4054" s="72"/>
      <c r="AM4054" s="72"/>
    </row>
    <row r="4055" spans="1:39" x14ac:dyDescent="0.25">
      <c r="A4055" s="37" t="s">
        <v>62</v>
      </c>
      <c r="B4055" s="66"/>
      <c r="C4055" s="4"/>
      <c r="D4055" s="41"/>
      <c r="E4055" s="41"/>
      <c r="F4055" s="85"/>
      <c r="G4055" s="39"/>
      <c r="H4055" s="52"/>
      <c r="I4055" s="52"/>
      <c r="J4055" s="49"/>
      <c r="K4055" s="58"/>
      <c r="L4055" s="58"/>
      <c r="M4055" s="58"/>
      <c r="N4055" s="58"/>
      <c r="O4055" s="58"/>
      <c r="P4055" s="53"/>
      <c r="Q4055" s="65"/>
      <c r="R4055" s="65"/>
      <c r="S4055" s="65"/>
      <c r="T4055" s="65"/>
      <c r="U4055" s="58"/>
      <c r="V4055" s="65"/>
      <c r="W4055" s="65"/>
      <c r="X4055" s="65"/>
      <c r="Y4055" s="65"/>
      <c r="Z4055" s="51"/>
      <c r="AA4055" s="51"/>
      <c r="AB4055" s="102"/>
      <c r="AC4055" s="81" t="e">
        <f t="shared" si="193"/>
        <v>#DIV/0!</v>
      </c>
      <c r="AD4055" s="82">
        <f t="shared" si="194"/>
        <v>0</v>
      </c>
      <c r="AE4055" s="218"/>
      <c r="AH4055" t="str">
        <f t="shared" si="192"/>
        <v>0000</v>
      </c>
      <c r="AJ4055" s="72"/>
      <c r="AK4055" s="72"/>
      <c r="AL4055" s="72"/>
      <c r="AM4055" s="72"/>
    </row>
    <row r="4056" spans="1:39" x14ac:dyDescent="0.25">
      <c r="A4056" s="37" t="s">
        <v>62</v>
      </c>
      <c r="B4056" s="66"/>
      <c r="C4056" s="4"/>
      <c r="D4056" s="41"/>
      <c r="E4056" s="41"/>
      <c r="F4056" s="85"/>
      <c r="G4056" s="39"/>
      <c r="H4056" s="52"/>
      <c r="I4056" s="52"/>
      <c r="J4056" s="49"/>
      <c r="K4056" s="58"/>
      <c r="L4056" s="58"/>
      <c r="M4056" s="58"/>
      <c r="N4056" s="58"/>
      <c r="O4056" s="58"/>
      <c r="P4056" s="53"/>
      <c r="Q4056" s="65"/>
      <c r="R4056" s="65"/>
      <c r="S4056" s="65"/>
      <c r="T4056" s="65"/>
      <c r="U4056" s="58"/>
      <c r="V4056" s="65"/>
      <c r="W4056" s="65"/>
      <c r="X4056" s="65"/>
      <c r="Y4056" s="65"/>
      <c r="Z4056" s="51"/>
      <c r="AA4056" s="51"/>
      <c r="AB4056" s="102"/>
      <c r="AC4056" s="81" t="e">
        <f t="shared" si="193"/>
        <v>#DIV/0!</v>
      </c>
      <c r="AD4056" s="82">
        <f t="shared" si="194"/>
        <v>0</v>
      </c>
      <c r="AE4056" s="218"/>
      <c r="AH4056" t="str">
        <f t="shared" si="192"/>
        <v>0000</v>
      </c>
      <c r="AJ4056" s="72"/>
      <c r="AK4056" s="72"/>
      <c r="AL4056" s="72"/>
      <c r="AM4056" s="72"/>
    </row>
    <row r="4057" spans="1:39" x14ac:dyDescent="0.25">
      <c r="A4057" s="37" t="s">
        <v>62</v>
      </c>
      <c r="B4057" s="66"/>
      <c r="C4057" s="4"/>
      <c r="D4057" s="41"/>
      <c r="E4057" s="41"/>
      <c r="F4057" s="85"/>
      <c r="G4057" s="39"/>
      <c r="H4057" s="52"/>
      <c r="I4057" s="52"/>
      <c r="J4057" s="49"/>
      <c r="K4057" s="58"/>
      <c r="L4057" s="58"/>
      <c r="M4057" s="58"/>
      <c r="N4057" s="58"/>
      <c r="O4057" s="58"/>
      <c r="P4057" s="53"/>
      <c r="Q4057" s="65"/>
      <c r="R4057" s="65"/>
      <c r="S4057" s="65"/>
      <c r="T4057" s="65"/>
      <c r="U4057" s="58"/>
      <c r="V4057" s="65"/>
      <c r="W4057" s="65"/>
      <c r="X4057" s="65"/>
      <c r="Y4057" s="65"/>
      <c r="Z4057" s="51"/>
      <c r="AA4057" s="51"/>
      <c r="AB4057" s="102"/>
      <c r="AC4057" s="81" t="e">
        <f t="shared" si="193"/>
        <v>#DIV/0!</v>
      </c>
      <c r="AD4057" s="82">
        <f t="shared" si="194"/>
        <v>0</v>
      </c>
      <c r="AE4057" s="218"/>
      <c r="AH4057" t="str">
        <f t="shared" si="192"/>
        <v>0000</v>
      </c>
      <c r="AJ4057" s="72"/>
      <c r="AK4057" s="72"/>
      <c r="AL4057" s="72"/>
      <c r="AM4057" s="72"/>
    </row>
    <row r="4058" spans="1:39" x14ac:dyDescent="0.25">
      <c r="A4058" s="37" t="s">
        <v>62</v>
      </c>
      <c r="B4058" s="66"/>
      <c r="C4058" s="4"/>
      <c r="D4058" s="41"/>
      <c r="E4058" s="41"/>
      <c r="F4058" s="85"/>
      <c r="G4058" s="39"/>
      <c r="H4058" s="52"/>
      <c r="I4058" s="52"/>
      <c r="J4058" s="49"/>
      <c r="K4058" s="58"/>
      <c r="L4058" s="58"/>
      <c r="M4058" s="58"/>
      <c r="N4058" s="58"/>
      <c r="O4058" s="58"/>
      <c r="P4058" s="53"/>
      <c r="Q4058" s="65"/>
      <c r="R4058" s="65"/>
      <c r="S4058" s="65"/>
      <c r="T4058" s="65"/>
      <c r="U4058" s="58"/>
      <c r="V4058" s="65"/>
      <c r="W4058" s="65"/>
      <c r="X4058" s="65"/>
      <c r="Y4058" s="65"/>
      <c r="Z4058" s="51"/>
      <c r="AA4058" s="51"/>
      <c r="AB4058" s="102"/>
      <c r="AC4058" s="81" t="e">
        <f t="shared" si="193"/>
        <v>#DIV/0!</v>
      </c>
      <c r="AD4058" s="82">
        <f t="shared" si="194"/>
        <v>0</v>
      </c>
      <c r="AE4058" s="218"/>
      <c r="AH4058" t="str">
        <f t="shared" si="192"/>
        <v>0000</v>
      </c>
      <c r="AJ4058" s="72"/>
      <c r="AK4058" s="72"/>
      <c r="AL4058" s="72"/>
      <c r="AM4058" s="72"/>
    </row>
    <row r="4059" spans="1:39" x14ac:dyDescent="0.25">
      <c r="A4059" s="37" t="s">
        <v>62</v>
      </c>
      <c r="B4059" s="66"/>
      <c r="C4059" s="4"/>
      <c r="D4059" s="41"/>
      <c r="E4059" s="41"/>
      <c r="F4059" s="85"/>
      <c r="G4059" s="39"/>
      <c r="H4059" s="52"/>
      <c r="I4059" s="52"/>
      <c r="J4059" s="49"/>
      <c r="K4059" s="58"/>
      <c r="L4059" s="58"/>
      <c r="M4059" s="58"/>
      <c r="N4059" s="58"/>
      <c r="O4059" s="58"/>
      <c r="P4059" s="53"/>
      <c r="Q4059" s="65"/>
      <c r="R4059" s="65"/>
      <c r="S4059" s="65"/>
      <c r="T4059" s="65"/>
      <c r="U4059" s="58"/>
      <c r="V4059" s="65"/>
      <c r="W4059" s="65"/>
      <c r="X4059" s="65"/>
      <c r="Y4059" s="65"/>
      <c r="Z4059" s="51"/>
      <c r="AA4059" s="51"/>
      <c r="AB4059" s="102"/>
      <c r="AC4059" s="81" t="e">
        <f t="shared" si="193"/>
        <v>#DIV/0!</v>
      </c>
      <c r="AD4059" s="82">
        <f t="shared" si="194"/>
        <v>0</v>
      </c>
      <c r="AE4059" s="218"/>
      <c r="AH4059" t="str">
        <f t="shared" si="192"/>
        <v>0000</v>
      </c>
      <c r="AJ4059" s="72"/>
      <c r="AK4059" s="72"/>
      <c r="AL4059" s="72"/>
      <c r="AM4059" s="72"/>
    </row>
    <row r="4060" spans="1:39" x14ac:dyDescent="0.25">
      <c r="A4060" s="37" t="s">
        <v>62</v>
      </c>
      <c r="B4060" s="66"/>
      <c r="C4060" s="4"/>
      <c r="D4060" s="41"/>
      <c r="E4060" s="41"/>
      <c r="F4060" s="85"/>
      <c r="G4060" s="39"/>
      <c r="H4060" s="52"/>
      <c r="I4060" s="52"/>
      <c r="J4060" s="49"/>
      <c r="K4060" s="58"/>
      <c r="L4060" s="58"/>
      <c r="M4060" s="58"/>
      <c r="N4060" s="58"/>
      <c r="O4060" s="58"/>
      <c r="P4060" s="53"/>
      <c r="Q4060" s="65"/>
      <c r="R4060" s="65"/>
      <c r="S4060" s="65"/>
      <c r="T4060" s="65"/>
      <c r="U4060" s="58"/>
      <c r="V4060" s="65"/>
      <c r="W4060" s="65"/>
      <c r="X4060" s="65"/>
      <c r="Y4060" s="65"/>
      <c r="Z4060" s="51"/>
      <c r="AA4060" s="51"/>
      <c r="AB4060" s="102"/>
      <c r="AC4060" s="81" t="e">
        <f t="shared" si="193"/>
        <v>#DIV/0!</v>
      </c>
      <c r="AD4060" s="82">
        <f t="shared" si="194"/>
        <v>0</v>
      </c>
      <c r="AE4060" s="218"/>
      <c r="AH4060" t="str">
        <f t="shared" si="192"/>
        <v>0000</v>
      </c>
      <c r="AJ4060" s="72"/>
      <c r="AK4060" s="72"/>
      <c r="AL4060" s="72"/>
      <c r="AM4060" s="72"/>
    </row>
    <row r="4061" spans="1:39" x14ac:dyDescent="0.25">
      <c r="A4061" s="37" t="s">
        <v>62</v>
      </c>
      <c r="B4061" s="66"/>
      <c r="C4061" s="4"/>
      <c r="D4061" s="41"/>
      <c r="E4061" s="41"/>
      <c r="F4061" s="85"/>
      <c r="G4061" s="39"/>
      <c r="H4061" s="52"/>
      <c r="I4061" s="52"/>
      <c r="J4061" s="49"/>
      <c r="K4061" s="58"/>
      <c r="L4061" s="58"/>
      <c r="M4061" s="58"/>
      <c r="N4061" s="58"/>
      <c r="O4061" s="58"/>
      <c r="P4061" s="53"/>
      <c r="Q4061" s="65"/>
      <c r="R4061" s="65"/>
      <c r="S4061" s="65"/>
      <c r="T4061" s="65"/>
      <c r="U4061" s="58"/>
      <c r="V4061" s="65"/>
      <c r="W4061" s="65"/>
      <c r="X4061" s="65"/>
      <c r="Y4061" s="65"/>
      <c r="Z4061" s="51"/>
      <c r="AA4061" s="51"/>
      <c r="AB4061" s="102"/>
      <c r="AC4061" s="81" t="e">
        <f t="shared" si="193"/>
        <v>#DIV/0!</v>
      </c>
      <c r="AD4061" s="82">
        <f t="shared" si="194"/>
        <v>0</v>
      </c>
      <c r="AE4061" s="218"/>
      <c r="AH4061" t="str">
        <f t="shared" si="192"/>
        <v>0000</v>
      </c>
      <c r="AJ4061" s="72"/>
      <c r="AK4061" s="72"/>
      <c r="AL4061" s="72"/>
      <c r="AM4061" s="72"/>
    </row>
    <row r="4062" spans="1:39" x14ac:dyDescent="0.25">
      <c r="A4062" s="37" t="s">
        <v>62</v>
      </c>
      <c r="B4062" s="66"/>
      <c r="C4062" s="4"/>
      <c r="D4062" s="41"/>
      <c r="E4062" s="41"/>
      <c r="F4062" s="85"/>
      <c r="G4062" s="39"/>
      <c r="H4062" s="52"/>
      <c r="I4062" s="52"/>
      <c r="J4062" s="49"/>
      <c r="K4062" s="58"/>
      <c r="L4062" s="58"/>
      <c r="M4062" s="58"/>
      <c r="N4062" s="58"/>
      <c r="O4062" s="58"/>
      <c r="P4062" s="53"/>
      <c r="Q4062" s="65"/>
      <c r="R4062" s="65"/>
      <c r="S4062" s="65"/>
      <c r="T4062" s="65"/>
      <c r="U4062" s="58"/>
      <c r="V4062" s="65"/>
      <c r="W4062" s="65"/>
      <c r="X4062" s="65"/>
      <c r="Y4062" s="65"/>
      <c r="Z4062" s="51"/>
      <c r="AA4062" s="51"/>
      <c r="AB4062" s="102"/>
      <c r="AC4062" s="81" t="e">
        <f t="shared" si="193"/>
        <v>#DIV/0!</v>
      </c>
      <c r="AD4062" s="82">
        <f t="shared" si="194"/>
        <v>0</v>
      </c>
      <c r="AE4062" s="218"/>
      <c r="AH4062" t="str">
        <f t="shared" si="192"/>
        <v>0000</v>
      </c>
      <c r="AJ4062" s="72"/>
      <c r="AK4062" s="72"/>
      <c r="AL4062" s="72"/>
      <c r="AM4062" s="72"/>
    </row>
    <row r="4063" spans="1:39" x14ac:dyDescent="0.25">
      <c r="A4063" s="37" t="s">
        <v>62</v>
      </c>
      <c r="B4063" s="66"/>
      <c r="C4063" s="4"/>
      <c r="D4063" s="41"/>
      <c r="E4063" s="41"/>
      <c r="F4063" s="85"/>
      <c r="G4063" s="39"/>
      <c r="H4063" s="52"/>
      <c r="I4063" s="52"/>
      <c r="J4063" s="49"/>
      <c r="K4063" s="58"/>
      <c r="L4063" s="58"/>
      <c r="M4063" s="58"/>
      <c r="N4063" s="58"/>
      <c r="O4063" s="58"/>
      <c r="P4063" s="53"/>
      <c r="Q4063" s="65"/>
      <c r="R4063" s="65"/>
      <c r="S4063" s="65"/>
      <c r="T4063" s="65"/>
      <c r="U4063" s="58"/>
      <c r="V4063" s="65"/>
      <c r="W4063" s="65"/>
      <c r="X4063" s="65"/>
      <c r="Y4063" s="65"/>
      <c r="Z4063" s="51"/>
      <c r="AA4063" s="51"/>
      <c r="AB4063" s="102"/>
      <c r="AC4063" s="81" t="e">
        <f t="shared" si="193"/>
        <v>#DIV/0!</v>
      </c>
      <c r="AD4063" s="82">
        <f t="shared" si="194"/>
        <v>0</v>
      </c>
      <c r="AE4063" s="218"/>
      <c r="AH4063" t="str">
        <f t="shared" si="192"/>
        <v>0000</v>
      </c>
      <c r="AJ4063" s="72"/>
      <c r="AK4063" s="72"/>
      <c r="AL4063" s="72"/>
      <c r="AM4063" s="72"/>
    </row>
    <row r="4064" spans="1:39" x14ac:dyDescent="0.25">
      <c r="A4064" s="37" t="s">
        <v>62</v>
      </c>
      <c r="B4064" s="66"/>
      <c r="C4064" s="4"/>
      <c r="D4064" s="41"/>
      <c r="E4064" s="41"/>
      <c r="F4064" s="85"/>
      <c r="G4064" s="39"/>
      <c r="H4064" s="52"/>
      <c r="I4064" s="52"/>
      <c r="J4064" s="49"/>
      <c r="K4064" s="58"/>
      <c r="L4064" s="58"/>
      <c r="M4064" s="58"/>
      <c r="N4064" s="58"/>
      <c r="O4064" s="58"/>
      <c r="P4064" s="53"/>
      <c r="Q4064" s="65"/>
      <c r="R4064" s="65"/>
      <c r="S4064" s="65"/>
      <c r="T4064" s="65"/>
      <c r="U4064" s="58"/>
      <c r="V4064" s="65"/>
      <c r="W4064" s="65"/>
      <c r="X4064" s="65"/>
      <c r="Y4064" s="65"/>
      <c r="Z4064" s="51"/>
      <c r="AA4064" s="51"/>
      <c r="AB4064" s="102"/>
      <c r="AC4064" s="81" t="e">
        <f t="shared" si="193"/>
        <v>#DIV/0!</v>
      </c>
      <c r="AD4064" s="82">
        <f t="shared" si="194"/>
        <v>0</v>
      </c>
      <c r="AE4064" s="218"/>
      <c r="AH4064" t="str">
        <f t="shared" si="192"/>
        <v>0000</v>
      </c>
      <c r="AJ4064" s="72"/>
      <c r="AK4064" s="72"/>
      <c r="AL4064" s="72"/>
      <c r="AM4064" s="72"/>
    </row>
    <row r="4065" spans="1:39" x14ac:dyDescent="0.25">
      <c r="A4065" s="37" t="s">
        <v>62</v>
      </c>
      <c r="B4065" s="66"/>
      <c r="C4065" s="4"/>
      <c r="D4065" s="41"/>
      <c r="E4065" s="41"/>
      <c r="F4065" s="85"/>
      <c r="G4065" s="39"/>
      <c r="H4065" s="52"/>
      <c r="I4065" s="52"/>
      <c r="J4065" s="49"/>
      <c r="K4065" s="58"/>
      <c r="L4065" s="58"/>
      <c r="M4065" s="58"/>
      <c r="N4065" s="58"/>
      <c r="O4065" s="58"/>
      <c r="P4065" s="53"/>
      <c r="Q4065" s="65"/>
      <c r="R4065" s="65"/>
      <c r="S4065" s="65"/>
      <c r="T4065" s="65"/>
      <c r="U4065" s="58"/>
      <c r="V4065" s="65"/>
      <c r="W4065" s="65"/>
      <c r="X4065" s="65"/>
      <c r="Y4065" s="65"/>
      <c r="Z4065" s="51"/>
      <c r="AA4065" s="51"/>
      <c r="AB4065" s="102"/>
      <c r="AC4065" s="81" t="e">
        <f t="shared" si="193"/>
        <v>#DIV/0!</v>
      </c>
      <c r="AD4065" s="82">
        <f t="shared" si="194"/>
        <v>0</v>
      </c>
      <c r="AE4065" s="218"/>
      <c r="AH4065" t="str">
        <f t="shared" si="192"/>
        <v>0000</v>
      </c>
      <c r="AJ4065" s="72"/>
      <c r="AK4065" s="72"/>
      <c r="AL4065" s="72"/>
      <c r="AM4065" s="72"/>
    </row>
    <row r="4066" spans="1:39" x14ac:dyDescent="0.25">
      <c r="A4066" s="37" t="s">
        <v>62</v>
      </c>
      <c r="B4066" s="66"/>
      <c r="C4066" s="4"/>
      <c r="D4066" s="41"/>
      <c r="E4066" s="41"/>
      <c r="F4066" s="85"/>
      <c r="G4066" s="39"/>
      <c r="H4066" s="52"/>
      <c r="I4066" s="52"/>
      <c r="J4066" s="49"/>
      <c r="K4066" s="58"/>
      <c r="L4066" s="58"/>
      <c r="M4066" s="58"/>
      <c r="N4066" s="58"/>
      <c r="O4066" s="58"/>
      <c r="P4066" s="53"/>
      <c r="Q4066" s="65"/>
      <c r="R4066" s="65"/>
      <c r="S4066" s="65"/>
      <c r="T4066" s="65"/>
      <c r="U4066" s="58"/>
      <c r="V4066" s="65"/>
      <c r="W4066" s="65"/>
      <c r="X4066" s="65"/>
      <c r="Y4066" s="65"/>
      <c r="Z4066" s="51"/>
      <c r="AA4066" s="51"/>
      <c r="AB4066" s="102"/>
      <c r="AC4066" s="81" t="e">
        <f t="shared" si="193"/>
        <v>#DIV/0!</v>
      </c>
      <c r="AD4066" s="82">
        <f t="shared" si="194"/>
        <v>0</v>
      </c>
      <c r="AE4066" s="218"/>
      <c r="AH4066" t="str">
        <f t="shared" si="192"/>
        <v>0000</v>
      </c>
      <c r="AJ4066" s="72"/>
      <c r="AK4066" s="72"/>
      <c r="AL4066" s="72"/>
      <c r="AM4066" s="72"/>
    </row>
    <row r="4067" spans="1:39" x14ac:dyDescent="0.25">
      <c r="A4067" s="37" t="s">
        <v>62</v>
      </c>
      <c r="B4067" s="66"/>
      <c r="C4067" s="4"/>
      <c r="D4067" s="41"/>
      <c r="E4067" s="41"/>
      <c r="F4067" s="85"/>
      <c r="G4067" s="39"/>
      <c r="H4067" s="52"/>
      <c r="I4067" s="52"/>
      <c r="J4067" s="49"/>
      <c r="K4067" s="58"/>
      <c r="L4067" s="58"/>
      <c r="M4067" s="58"/>
      <c r="N4067" s="58"/>
      <c r="O4067" s="58"/>
      <c r="P4067" s="53"/>
      <c r="Q4067" s="65"/>
      <c r="R4067" s="65"/>
      <c r="S4067" s="65"/>
      <c r="T4067" s="65"/>
      <c r="U4067" s="58"/>
      <c r="V4067" s="65"/>
      <c r="W4067" s="65"/>
      <c r="X4067" s="65"/>
      <c r="Y4067" s="65"/>
      <c r="Z4067" s="51"/>
      <c r="AA4067" s="51"/>
      <c r="AB4067" s="102"/>
      <c r="AC4067" s="81" t="e">
        <f t="shared" si="193"/>
        <v>#DIV/0!</v>
      </c>
      <c r="AD4067" s="82">
        <f t="shared" si="194"/>
        <v>0</v>
      </c>
      <c r="AE4067" s="218"/>
      <c r="AH4067" t="str">
        <f t="shared" si="192"/>
        <v>0000</v>
      </c>
      <c r="AJ4067" s="72"/>
      <c r="AK4067" s="72"/>
      <c r="AL4067" s="72"/>
      <c r="AM4067" s="72"/>
    </row>
    <row r="4068" spans="1:39" x14ac:dyDescent="0.25">
      <c r="A4068" s="37" t="s">
        <v>62</v>
      </c>
      <c r="B4068" s="66"/>
      <c r="C4068" s="4"/>
      <c r="D4068" s="41"/>
      <c r="E4068" s="41"/>
      <c r="F4068" s="85"/>
      <c r="G4068" s="39"/>
      <c r="H4068" s="52"/>
      <c r="I4068" s="52"/>
      <c r="J4068" s="49"/>
      <c r="K4068" s="58"/>
      <c r="L4068" s="58"/>
      <c r="M4068" s="58"/>
      <c r="N4068" s="58"/>
      <c r="O4068" s="58"/>
      <c r="P4068" s="53"/>
      <c r="Q4068" s="65"/>
      <c r="R4068" s="65"/>
      <c r="S4068" s="65"/>
      <c r="T4068" s="65"/>
      <c r="U4068" s="58"/>
      <c r="V4068" s="65"/>
      <c r="W4068" s="65"/>
      <c r="X4068" s="65"/>
      <c r="Y4068" s="65"/>
      <c r="Z4068" s="51"/>
      <c r="AA4068" s="51"/>
      <c r="AB4068" s="102"/>
      <c r="AC4068" s="81" t="e">
        <f t="shared" si="193"/>
        <v>#DIV/0!</v>
      </c>
      <c r="AD4068" s="82">
        <f t="shared" si="194"/>
        <v>0</v>
      </c>
      <c r="AE4068" s="218"/>
      <c r="AH4068" t="str">
        <f t="shared" si="192"/>
        <v>0000</v>
      </c>
      <c r="AJ4068" s="72"/>
      <c r="AK4068" s="72"/>
      <c r="AL4068" s="72"/>
      <c r="AM4068" s="72"/>
    </row>
    <row r="4069" spans="1:39" x14ac:dyDescent="0.25">
      <c r="A4069" s="37" t="s">
        <v>62</v>
      </c>
      <c r="B4069" s="66"/>
      <c r="C4069" s="4"/>
      <c r="D4069" s="41"/>
      <c r="E4069" s="41"/>
      <c r="F4069" s="85"/>
      <c r="G4069" s="39"/>
      <c r="H4069" s="52"/>
      <c r="I4069" s="52"/>
      <c r="J4069" s="49"/>
      <c r="K4069" s="58"/>
      <c r="L4069" s="58"/>
      <c r="M4069" s="58"/>
      <c r="N4069" s="58"/>
      <c r="O4069" s="58"/>
      <c r="P4069" s="53"/>
      <c r="Q4069" s="65"/>
      <c r="R4069" s="65"/>
      <c r="S4069" s="65"/>
      <c r="T4069" s="65"/>
      <c r="U4069" s="58"/>
      <c r="V4069" s="65"/>
      <c r="W4069" s="65"/>
      <c r="X4069" s="65"/>
      <c r="Y4069" s="65"/>
      <c r="Z4069" s="51"/>
      <c r="AA4069" s="51"/>
      <c r="AB4069" s="102"/>
      <c r="AC4069" s="81" t="e">
        <f t="shared" si="193"/>
        <v>#DIV/0!</v>
      </c>
      <c r="AD4069" s="82">
        <f t="shared" si="194"/>
        <v>0</v>
      </c>
      <c r="AE4069" s="218"/>
      <c r="AH4069" t="str">
        <f t="shared" si="192"/>
        <v>0000</v>
      </c>
      <c r="AJ4069" s="72"/>
      <c r="AK4069" s="72"/>
      <c r="AL4069" s="72"/>
      <c r="AM4069" s="72"/>
    </row>
    <row r="4070" spans="1:39" x14ac:dyDescent="0.25">
      <c r="A4070" s="37" t="s">
        <v>62</v>
      </c>
      <c r="B4070" s="66"/>
      <c r="C4070" s="4"/>
      <c r="D4070" s="41"/>
      <c r="E4070" s="41"/>
      <c r="F4070" s="85"/>
      <c r="G4070" s="39"/>
      <c r="H4070" s="52"/>
      <c r="I4070" s="52"/>
      <c r="J4070" s="49"/>
      <c r="K4070" s="58"/>
      <c r="L4070" s="58"/>
      <c r="M4070" s="58"/>
      <c r="N4070" s="58"/>
      <c r="O4070" s="58"/>
      <c r="P4070" s="53"/>
      <c r="Q4070" s="65"/>
      <c r="R4070" s="65"/>
      <c r="S4070" s="65"/>
      <c r="T4070" s="65"/>
      <c r="U4070" s="58"/>
      <c r="V4070" s="65"/>
      <c r="W4070" s="65"/>
      <c r="X4070" s="65"/>
      <c r="Y4070" s="65"/>
      <c r="Z4070" s="51"/>
      <c r="AA4070" s="51"/>
      <c r="AB4070" s="102"/>
      <c r="AC4070" s="81" t="e">
        <f t="shared" si="193"/>
        <v>#DIV/0!</v>
      </c>
      <c r="AD4070" s="82">
        <f t="shared" si="194"/>
        <v>0</v>
      </c>
      <c r="AE4070" s="218"/>
      <c r="AH4070" t="str">
        <f t="shared" si="192"/>
        <v>0000</v>
      </c>
      <c r="AJ4070" s="72"/>
      <c r="AK4070" s="72"/>
      <c r="AL4070" s="72"/>
      <c r="AM4070" s="72"/>
    </row>
    <row r="4071" spans="1:39" x14ac:dyDescent="0.25">
      <c r="A4071" s="37" t="s">
        <v>62</v>
      </c>
      <c r="B4071" s="66"/>
      <c r="C4071" s="4"/>
      <c r="D4071" s="41"/>
      <c r="E4071" s="41"/>
      <c r="F4071" s="85"/>
      <c r="G4071" s="39"/>
      <c r="H4071" s="52"/>
      <c r="I4071" s="52"/>
      <c r="J4071" s="49"/>
      <c r="K4071" s="58"/>
      <c r="L4071" s="58"/>
      <c r="M4071" s="58"/>
      <c r="N4071" s="58"/>
      <c r="O4071" s="58"/>
      <c r="P4071" s="53"/>
      <c r="Q4071" s="65"/>
      <c r="R4071" s="65"/>
      <c r="S4071" s="65"/>
      <c r="T4071" s="65"/>
      <c r="U4071" s="58"/>
      <c r="V4071" s="65"/>
      <c r="W4071" s="65"/>
      <c r="X4071" s="65"/>
      <c r="Y4071" s="65"/>
      <c r="Z4071" s="51"/>
      <c r="AA4071" s="51"/>
      <c r="AB4071" s="102"/>
      <c r="AC4071" s="81" t="e">
        <f t="shared" si="193"/>
        <v>#DIV/0!</v>
      </c>
      <c r="AD4071" s="82">
        <f t="shared" si="194"/>
        <v>0</v>
      </c>
      <c r="AE4071" s="218"/>
      <c r="AH4071" t="str">
        <f t="shared" si="192"/>
        <v>0000</v>
      </c>
      <c r="AJ4071" s="72"/>
      <c r="AK4071" s="72"/>
      <c r="AL4071" s="72"/>
      <c r="AM4071" s="72"/>
    </row>
    <row r="4072" spans="1:39" x14ac:dyDescent="0.25">
      <c r="A4072" s="37" t="s">
        <v>62</v>
      </c>
      <c r="B4072" s="66"/>
      <c r="C4072" s="4"/>
      <c r="D4072" s="41"/>
      <c r="E4072" s="41"/>
      <c r="F4072" s="85"/>
      <c r="G4072" s="39"/>
      <c r="H4072" s="52"/>
      <c r="I4072" s="52"/>
      <c r="J4072" s="49"/>
      <c r="K4072" s="58"/>
      <c r="L4072" s="58"/>
      <c r="M4072" s="58"/>
      <c r="N4072" s="58"/>
      <c r="O4072" s="58"/>
      <c r="P4072" s="53"/>
      <c r="Q4072" s="65"/>
      <c r="R4072" s="65"/>
      <c r="S4072" s="65"/>
      <c r="T4072" s="65"/>
      <c r="U4072" s="58"/>
      <c r="V4072" s="65"/>
      <c r="W4072" s="65"/>
      <c r="X4072" s="65"/>
      <c r="Y4072" s="65"/>
      <c r="Z4072" s="51"/>
      <c r="AA4072" s="51"/>
      <c r="AB4072" s="102"/>
      <c r="AC4072" s="81" t="e">
        <f t="shared" si="193"/>
        <v>#DIV/0!</v>
      </c>
      <c r="AD4072" s="82">
        <f t="shared" si="194"/>
        <v>0</v>
      </c>
      <c r="AE4072" s="218"/>
      <c r="AH4072" t="str">
        <f t="shared" si="192"/>
        <v>0000</v>
      </c>
      <c r="AJ4072" s="72"/>
      <c r="AK4072" s="72"/>
      <c r="AL4072" s="72"/>
      <c r="AM4072" s="72"/>
    </row>
    <row r="4073" spans="1:39" x14ac:dyDescent="0.25">
      <c r="A4073" s="37" t="s">
        <v>62</v>
      </c>
      <c r="B4073" s="66"/>
      <c r="C4073" s="4"/>
      <c r="D4073" s="41"/>
      <c r="E4073" s="41"/>
      <c r="F4073" s="85"/>
      <c r="G4073" s="39"/>
      <c r="H4073" s="52"/>
      <c r="I4073" s="52"/>
      <c r="J4073" s="49"/>
      <c r="K4073" s="58"/>
      <c r="L4073" s="58"/>
      <c r="M4073" s="58"/>
      <c r="N4073" s="58"/>
      <c r="O4073" s="58"/>
      <c r="P4073" s="53"/>
      <c r="Q4073" s="65"/>
      <c r="R4073" s="65"/>
      <c r="S4073" s="65"/>
      <c r="T4073" s="65"/>
      <c r="U4073" s="58"/>
      <c r="V4073" s="65"/>
      <c r="W4073" s="65"/>
      <c r="X4073" s="65"/>
      <c r="Y4073" s="65"/>
      <c r="Z4073" s="51"/>
      <c r="AA4073" s="51"/>
      <c r="AB4073" s="102"/>
      <c r="AC4073" s="81" t="e">
        <f t="shared" si="193"/>
        <v>#DIV/0!</v>
      </c>
      <c r="AD4073" s="82">
        <f t="shared" si="194"/>
        <v>0</v>
      </c>
      <c r="AE4073" s="218"/>
      <c r="AH4073" t="str">
        <f t="shared" si="192"/>
        <v>0000</v>
      </c>
      <c r="AJ4073" s="72"/>
      <c r="AK4073" s="72"/>
      <c r="AL4073" s="72"/>
      <c r="AM4073" s="72"/>
    </row>
    <row r="4074" spans="1:39" x14ac:dyDescent="0.25">
      <c r="A4074" s="37" t="s">
        <v>62</v>
      </c>
      <c r="B4074" s="66"/>
      <c r="C4074" s="4"/>
      <c r="D4074" s="41"/>
      <c r="E4074" s="41"/>
      <c r="F4074" s="85"/>
      <c r="G4074" s="39"/>
      <c r="H4074" s="52"/>
      <c r="I4074" s="52"/>
      <c r="J4074" s="49"/>
      <c r="K4074" s="58"/>
      <c r="L4074" s="58"/>
      <c r="M4074" s="58"/>
      <c r="N4074" s="58"/>
      <c r="O4074" s="58"/>
      <c r="P4074" s="53"/>
      <c r="Q4074" s="65"/>
      <c r="R4074" s="65"/>
      <c r="S4074" s="65"/>
      <c r="T4074" s="65"/>
      <c r="U4074" s="58"/>
      <c r="V4074" s="65"/>
      <c r="W4074" s="65"/>
      <c r="X4074" s="65"/>
      <c r="Y4074" s="65"/>
      <c r="Z4074" s="51"/>
      <c r="AA4074" s="51"/>
      <c r="AB4074" s="102"/>
      <c r="AC4074" s="81" t="e">
        <f t="shared" si="193"/>
        <v>#DIV/0!</v>
      </c>
      <c r="AD4074" s="82">
        <f t="shared" si="194"/>
        <v>0</v>
      </c>
      <c r="AE4074" s="218"/>
      <c r="AH4074" t="str">
        <f t="shared" si="192"/>
        <v>0000</v>
      </c>
      <c r="AJ4074" s="72"/>
      <c r="AK4074" s="72"/>
      <c r="AL4074" s="72"/>
      <c r="AM4074" s="72"/>
    </row>
    <row r="4075" spans="1:39" x14ac:dyDescent="0.25">
      <c r="A4075" s="37" t="s">
        <v>62</v>
      </c>
      <c r="B4075" s="66"/>
      <c r="C4075" s="4"/>
      <c r="D4075" s="41"/>
      <c r="E4075" s="41"/>
      <c r="F4075" s="85"/>
      <c r="G4075" s="39"/>
      <c r="H4075" s="52"/>
      <c r="I4075" s="52"/>
      <c r="J4075" s="49"/>
      <c r="K4075" s="58"/>
      <c r="L4075" s="58"/>
      <c r="M4075" s="58"/>
      <c r="N4075" s="58"/>
      <c r="O4075" s="58"/>
      <c r="P4075" s="53"/>
      <c r="Q4075" s="65"/>
      <c r="R4075" s="65"/>
      <c r="S4075" s="65"/>
      <c r="T4075" s="65"/>
      <c r="U4075" s="58"/>
      <c r="V4075" s="65"/>
      <c r="W4075" s="65"/>
      <c r="X4075" s="65"/>
      <c r="Y4075" s="65"/>
      <c r="Z4075" s="51"/>
      <c r="AA4075" s="51"/>
      <c r="AB4075" s="102"/>
      <c r="AC4075" s="81" t="e">
        <f t="shared" si="193"/>
        <v>#DIV/0!</v>
      </c>
      <c r="AD4075" s="82">
        <f t="shared" si="194"/>
        <v>0</v>
      </c>
      <c r="AE4075" s="218"/>
      <c r="AH4075" t="str">
        <f t="shared" si="192"/>
        <v>0000</v>
      </c>
      <c r="AJ4075" s="72"/>
      <c r="AK4075" s="72"/>
      <c r="AL4075" s="72"/>
      <c r="AM4075" s="72"/>
    </row>
    <row r="4076" spans="1:39" x14ac:dyDescent="0.25">
      <c r="A4076" s="37" t="s">
        <v>62</v>
      </c>
      <c r="B4076" s="66"/>
      <c r="C4076" s="4"/>
      <c r="D4076" s="41"/>
      <c r="E4076" s="41"/>
      <c r="F4076" s="85"/>
      <c r="G4076" s="39"/>
      <c r="H4076" s="52"/>
      <c r="I4076" s="52"/>
      <c r="J4076" s="49"/>
      <c r="K4076" s="58"/>
      <c r="L4076" s="58"/>
      <c r="M4076" s="58"/>
      <c r="N4076" s="58"/>
      <c r="O4076" s="58"/>
      <c r="P4076" s="53"/>
      <c r="Q4076" s="65"/>
      <c r="R4076" s="65"/>
      <c r="S4076" s="65"/>
      <c r="T4076" s="65"/>
      <c r="U4076" s="58"/>
      <c r="V4076" s="65"/>
      <c r="W4076" s="65"/>
      <c r="X4076" s="65"/>
      <c r="Y4076" s="65"/>
      <c r="Z4076" s="51"/>
      <c r="AA4076" s="51"/>
      <c r="AB4076" s="102"/>
      <c r="AC4076" s="81" t="e">
        <f t="shared" si="193"/>
        <v>#DIV/0!</v>
      </c>
      <c r="AD4076" s="82">
        <f t="shared" si="194"/>
        <v>0</v>
      </c>
      <c r="AE4076" s="218"/>
      <c r="AH4076" t="str">
        <f t="shared" si="192"/>
        <v>0000</v>
      </c>
      <c r="AJ4076" s="72"/>
      <c r="AK4076" s="72"/>
      <c r="AL4076" s="72"/>
      <c r="AM4076" s="72"/>
    </row>
    <row r="4077" spans="1:39" x14ac:dyDescent="0.25">
      <c r="A4077" s="37" t="s">
        <v>62</v>
      </c>
      <c r="B4077" s="66"/>
      <c r="C4077" s="4"/>
      <c r="D4077" s="41"/>
      <c r="E4077" s="41"/>
      <c r="F4077" s="85"/>
      <c r="G4077" s="39"/>
      <c r="H4077" s="52"/>
      <c r="I4077" s="52"/>
      <c r="J4077" s="49"/>
      <c r="K4077" s="58"/>
      <c r="L4077" s="58"/>
      <c r="M4077" s="58"/>
      <c r="N4077" s="58"/>
      <c r="O4077" s="58"/>
      <c r="P4077" s="53"/>
      <c r="Q4077" s="65"/>
      <c r="R4077" s="65"/>
      <c r="S4077" s="65"/>
      <c r="T4077" s="65"/>
      <c r="U4077" s="58"/>
      <c r="V4077" s="65"/>
      <c r="W4077" s="65"/>
      <c r="X4077" s="65"/>
      <c r="Y4077" s="65"/>
      <c r="Z4077" s="51"/>
      <c r="AA4077" s="51"/>
      <c r="AB4077" s="102"/>
      <c r="AC4077" s="81" t="e">
        <f t="shared" si="193"/>
        <v>#DIV/0!</v>
      </c>
      <c r="AD4077" s="82">
        <f t="shared" si="194"/>
        <v>0</v>
      </c>
      <c r="AE4077" s="218"/>
      <c r="AH4077" t="str">
        <f t="shared" si="192"/>
        <v>0000</v>
      </c>
      <c r="AJ4077" s="72"/>
      <c r="AK4077" s="72"/>
      <c r="AL4077" s="72"/>
      <c r="AM4077" s="72"/>
    </row>
    <row r="4078" spans="1:39" x14ac:dyDescent="0.25">
      <c r="A4078" s="37" t="s">
        <v>62</v>
      </c>
      <c r="B4078" s="66"/>
      <c r="C4078" s="4"/>
      <c r="D4078" s="41"/>
      <c r="E4078" s="41"/>
      <c r="F4078" s="85"/>
      <c r="G4078" s="39"/>
      <c r="H4078" s="52"/>
      <c r="I4078" s="52"/>
      <c r="J4078" s="49"/>
      <c r="K4078" s="58"/>
      <c r="L4078" s="58"/>
      <c r="M4078" s="58"/>
      <c r="N4078" s="58"/>
      <c r="O4078" s="58"/>
      <c r="P4078" s="53"/>
      <c r="Q4078" s="65"/>
      <c r="R4078" s="65"/>
      <c r="S4078" s="65"/>
      <c r="T4078" s="65"/>
      <c r="U4078" s="58"/>
      <c r="V4078" s="65"/>
      <c r="W4078" s="65"/>
      <c r="X4078" s="65"/>
      <c r="Y4078" s="65"/>
      <c r="Z4078" s="51"/>
      <c r="AA4078" s="51"/>
      <c r="AB4078" s="102"/>
      <c r="AC4078" s="81" t="e">
        <f t="shared" si="193"/>
        <v>#DIV/0!</v>
      </c>
      <c r="AD4078" s="82">
        <f t="shared" si="194"/>
        <v>0</v>
      </c>
      <c r="AE4078" s="218"/>
      <c r="AH4078" t="str">
        <f t="shared" si="192"/>
        <v>0000</v>
      </c>
      <c r="AJ4078" s="72"/>
      <c r="AK4078" s="72"/>
      <c r="AL4078" s="72"/>
      <c r="AM4078" s="72"/>
    </row>
    <row r="4079" spans="1:39" x14ac:dyDescent="0.25">
      <c r="A4079" s="37" t="s">
        <v>62</v>
      </c>
      <c r="B4079" s="66"/>
      <c r="C4079" s="4"/>
      <c r="D4079" s="41"/>
      <c r="E4079" s="41"/>
      <c r="F4079" s="85"/>
      <c r="G4079" s="39"/>
      <c r="H4079" s="52"/>
      <c r="I4079" s="52"/>
      <c r="J4079" s="49"/>
      <c r="K4079" s="58"/>
      <c r="L4079" s="58"/>
      <c r="M4079" s="58"/>
      <c r="N4079" s="58"/>
      <c r="O4079" s="58"/>
      <c r="P4079" s="53"/>
      <c r="Q4079" s="65"/>
      <c r="R4079" s="65"/>
      <c r="S4079" s="65"/>
      <c r="T4079" s="65"/>
      <c r="U4079" s="58"/>
      <c r="V4079" s="65"/>
      <c r="W4079" s="65"/>
      <c r="X4079" s="65"/>
      <c r="Y4079" s="65"/>
      <c r="Z4079" s="51"/>
      <c r="AA4079" s="51"/>
      <c r="AB4079" s="102"/>
      <c r="AC4079" s="81" t="e">
        <f t="shared" si="193"/>
        <v>#DIV/0!</v>
      </c>
      <c r="AD4079" s="82">
        <f t="shared" si="194"/>
        <v>0</v>
      </c>
      <c r="AE4079" s="218"/>
      <c r="AH4079" t="str">
        <f t="shared" si="192"/>
        <v>0000</v>
      </c>
      <c r="AJ4079" s="72"/>
      <c r="AK4079" s="72"/>
      <c r="AL4079" s="72"/>
      <c r="AM4079" s="72"/>
    </row>
    <row r="4080" spans="1:39" x14ac:dyDescent="0.25">
      <c r="A4080" s="37" t="s">
        <v>62</v>
      </c>
      <c r="B4080" s="66"/>
      <c r="C4080" s="4"/>
      <c r="D4080" s="41"/>
      <c r="E4080" s="41"/>
      <c r="F4080" s="85"/>
      <c r="G4080" s="39"/>
      <c r="H4080" s="52"/>
      <c r="I4080" s="52"/>
      <c r="J4080" s="49"/>
      <c r="K4080" s="58"/>
      <c r="L4080" s="58"/>
      <c r="M4080" s="58"/>
      <c r="N4080" s="58"/>
      <c r="O4080" s="58"/>
      <c r="P4080" s="53"/>
      <c r="Q4080" s="65"/>
      <c r="R4080" s="65"/>
      <c r="S4080" s="65"/>
      <c r="T4080" s="65"/>
      <c r="U4080" s="58"/>
      <c r="V4080" s="65"/>
      <c r="W4080" s="65"/>
      <c r="X4080" s="65"/>
      <c r="Y4080" s="65"/>
      <c r="Z4080" s="51"/>
      <c r="AA4080" s="51"/>
      <c r="AB4080" s="102"/>
      <c r="AC4080" s="81" t="e">
        <f t="shared" si="193"/>
        <v>#DIV/0!</v>
      </c>
      <c r="AD4080" s="82">
        <f t="shared" si="194"/>
        <v>0</v>
      </c>
      <c r="AE4080" s="218"/>
      <c r="AH4080" t="str">
        <f t="shared" si="192"/>
        <v>0000</v>
      </c>
      <c r="AJ4080" s="72"/>
      <c r="AK4080" s="72"/>
      <c r="AL4080" s="72"/>
      <c r="AM4080" s="72"/>
    </row>
    <row r="4081" spans="1:39" x14ac:dyDescent="0.25">
      <c r="A4081" s="37" t="s">
        <v>62</v>
      </c>
      <c r="B4081" s="66"/>
      <c r="C4081" s="4"/>
      <c r="D4081" s="41"/>
      <c r="E4081" s="41"/>
      <c r="F4081" s="85"/>
      <c r="G4081" s="39"/>
      <c r="H4081" s="52"/>
      <c r="I4081" s="52"/>
      <c r="J4081" s="49"/>
      <c r="K4081" s="58"/>
      <c r="L4081" s="58"/>
      <c r="M4081" s="58"/>
      <c r="N4081" s="58"/>
      <c r="O4081" s="58"/>
      <c r="P4081" s="53"/>
      <c r="Q4081" s="65"/>
      <c r="R4081" s="65"/>
      <c r="S4081" s="65"/>
      <c r="T4081" s="65"/>
      <c r="U4081" s="58"/>
      <c r="V4081" s="65"/>
      <c r="W4081" s="65"/>
      <c r="X4081" s="65"/>
      <c r="Y4081" s="65"/>
      <c r="Z4081" s="51"/>
      <c r="AA4081" s="51"/>
      <c r="AB4081" s="102"/>
      <c r="AC4081" s="81" t="e">
        <f t="shared" si="193"/>
        <v>#DIV/0!</v>
      </c>
      <c r="AD4081" s="82">
        <f t="shared" si="194"/>
        <v>0</v>
      </c>
      <c r="AE4081" s="218"/>
      <c r="AH4081" t="str">
        <f t="shared" si="192"/>
        <v>0000</v>
      </c>
      <c r="AJ4081" s="72"/>
      <c r="AK4081" s="72"/>
      <c r="AL4081" s="72"/>
      <c r="AM4081" s="72"/>
    </row>
    <row r="4082" spans="1:39" x14ac:dyDescent="0.25">
      <c r="A4082" s="37" t="s">
        <v>62</v>
      </c>
      <c r="B4082" s="66"/>
      <c r="C4082" s="4"/>
      <c r="D4082" s="41"/>
      <c r="E4082" s="41"/>
      <c r="F4082" s="85"/>
      <c r="G4082" s="39"/>
      <c r="H4082" s="52"/>
      <c r="I4082" s="52"/>
      <c r="J4082" s="49"/>
      <c r="K4082" s="58"/>
      <c r="L4082" s="58"/>
      <c r="M4082" s="58"/>
      <c r="N4082" s="58"/>
      <c r="O4082" s="58"/>
      <c r="P4082" s="53"/>
      <c r="Q4082" s="65"/>
      <c r="R4082" s="65"/>
      <c r="S4082" s="65"/>
      <c r="T4082" s="65"/>
      <c r="U4082" s="58"/>
      <c r="V4082" s="65"/>
      <c r="W4082" s="65"/>
      <c r="X4082" s="65"/>
      <c r="Y4082" s="65"/>
      <c r="Z4082" s="51"/>
      <c r="AA4082" s="51"/>
      <c r="AB4082" s="102"/>
      <c r="AC4082" s="81" t="e">
        <f t="shared" si="193"/>
        <v>#DIV/0!</v>
      </c>
      <c r="AD4082" s="82">
        <f t="shared" si="194"/>
        <v>0</v>
      </c>
      <c r="AE4082" s="218"/>
      <c r="AH4082" t="str">
        <f t="shared" si="192"/>
        <v>0000</v>
      </c>
      <c r="AJ4082" s="72"/>
      <c r="AK4082" s="72"/>
      <c r="AL4082" s="72"/>
      <c r="AM4082" s="72"/>
    </row>
    <row r="4083" spans="1:39" x14ac:dyDescent="0.25">
      <c r="A4083" s="37" t="s">
        <v>62</v>
      </c>
      <c r="B4083" s="66"/>
      <c r="C4083" s="4"/>
      <c r="D4083" s="41"/>
      <c r="E4083" s="41"/>
      <c r="F4083" s="85"/>
      <c r="G4083" s="39"/>
      <c r="H4083" s="52"/>
      <c r="I4083" s="52"/>
      <c r="J4083" s="49"/>
      <c r="K4083" s="58"/>
      <c r="L4083" s="58"/>
      <c r="M4083" s="58"/>
      <c r="N4083" s="58"/>
      <c r="O4083" s="58"/>
      <c r="P4083" s="53"/>
      <c r="Q4083" s="65"/>
      <c r="R4083" s="65"/>
      <c r="S4083" s="65"/>
      <c r="T4083" s="65"/>
      <c r="U4083" s="58"/>
      <c r="V4083" s="65"/>
      <c r="W4083" s="65"/>
      <c r="X4083" s="65"/>
      <c r="Y4083" s="65"/>
      <c r="Z4083" s="51"/>
      <c r="AA4083" s="51"/>
      <c r="AB4083" s="102"/>
      <c r="AC4083" s="81" t="e">
        <f t="shared" si="193"/>
        <v>#DIV/0!</v>
      </c>
      <c r="AD4083" s="82">
        <f t="shared" si="194"/>
        <v>0</v>
      </c>
      <c r="AE4083" s="218"/>
      <c r="AH4083" t="str">
        <f t="shared" si="192"/>
        <v>0000</v>
      </c>
      <c r="AJ4083" s="72"/>
      <c r="AK4083" s="72"/>
      <c r="AL4083" s="72"/>
      <c r="AM4083" s="72"/>
    </row>
    <row r="4084" spans="1:39" x14ac:dyDescent="0.25">
      <c r="A4084" s="37" t="s">
        <v>62</v>
      </c>
      <c r="B4084" s="66"/>
      <c r="C4084" s="4"/>
      <c r="D4084" s="41"/>
      <c r="E4084" s="41"/>
      <c r="F4084" s="85"/>
      <c r="G4084" s="39"/>
      <c r="H4084" s="52"/>
      <c r="I4084" s="52"/>
      <c r="J4084" s="49"/>
      <c r="K4084" s="58"/>
      <c r="L4084" s="58"/>
      <c r="M4084" s="58"/>
      <c r="N4084" s="58"/>
      <c r="O4084" s="58"/>
      <c r="P4084" s="53"/>
      <c r="Q4084" s="65"/>
      <c r="R4084" s="65"/>
      <c r="S4084" s="65"/>
      <c r="T4084" s="65"/>
      <c r="U4084" s="58"/>
      <c r="V4084" s="65"/>
      <c r="W4084" s="65"/>
      <c r="X4084" s="65"/>
      <c r="Y4084" s="65"/>
      <c r="Z4084" s="51"/>
      <c r="AA4084" s="51"/>
      <c r="AB4084" s="102"/>
      <c r="AC4084" s="81" t="e">
        <f t="shared" si="193"/>
        <v>#DIV/0!</v>
      </c>
      <c r="AD4084" s="82">
        <f t="shared" si="194"/>
        <v>0</v>
      </c>
      <c r="AE4084" s="218"/>
      <c r="AH4084" t="str">
        <f t="shared" si="192"/>
        <v>0000</v>
      </c>
      <c r="AJ4084" s="72"/>
      <c r="AK4084" s="72"/>
      <c r="AL4084" s="72"/>
      <c r="AM4084" s="72"/>
    </row>
    <row r="4085" spans="1:39" x14ac:dyDescent="0.25">
      <c r="A4085" s="37" t="s">
        <v>62</v>
      </c>
      <c r="B4085" s="66"/>
      <c r="C4085" s="4"/>
      <c r="D4085" s="41"/>
      <c r="E4085" s="41"/>
      <c r="F4085" s="85"/>
      <c r="G4085" s="39"/>
      <c r="H4085" s="52"/>
      <c r="I4085" s="52"/>
      <c r="J4085" s="49"/>
      <c r="K4085" s="58"/>
      <c r="L4085" s="58"/>
      <c r="M4085" s="58"/>
      <c r="N4085" s="58"/>
      <c r="O4085" s="58"/>
      <c r="P4085" s="53"/>
      <c r="Q4085" s="65"/>
      <c r="R4085" s="65"/>
      <c r="S4085" s="65"/>
      <c r="T4085" s="65"/>
      <c r="U4085" s="58"/>
      <c r="V4085" s="65"/>
      <c r="W4085" s="65"/>
      <c r="X4085" s="65"/>
      <c r="Y4085" s="65"/>
      <c r="Z4085" s="51"/>
      <c r="AA4085" s="51"/>
      <c r="AB4085" s="102"/>
      <c r="AC4085" s="81" t="e">
        <f t="shared" si="193"/>
        <v>#DIV/0!</v>
      </c>
      <c r="AD4085" s="82">
        <f t="shared" si="194"/>
        <v>0</v>
      </c>
      <c r="AE4085" s="218"/>
      <c r="AH4085" t="str">
        <f t="shared" si="192"/>
        <v>0000</v>
      </c>
      <c r="AJ4085" s="72"/>
      <c r="AK4085" s="72"/>
      <c r="AL4085" s="72"/>
      <c r="AM4085" s="72"/>
    </row>
    <row r="4086" spans="1:39" x14ac:dyDescent="0.25">
      <c r="A4086" s="37" t="s">
        <v>62</v>
      </c>
      <c r="B4086" s="66"/>
      <c r="C4086" s="4"/>
      <c r="D4086" s="41"/>
      <c r="E4086" s="41"/>
      <c r="F4086" s="85"/>
      <c r="G4086" s="39"/>
      <c r="H4086" s="52"/>
      <c r="I4086" s="52"/>
      <c r="J4086" s="49"/>
      <c r="K4086" s="58"/>
      <c r="L4086" s="58"/>
      <c r="M4086" s="58"/>
      <c r="N4086" s="58"/>
      <c r="O4086" s="58"/>
      <c r="P4086" s="53"/>
      <c r="Q4086" s="65"/>
      <c r="R4086" s="65"/>
      <c r="S4086" s="65"/>
      <c r="T4086" s="65"/>
      <c r="U4086" s="58"/>
      <c r="V4086" s="65"/>
      <c r="W4086" s="65"/>
      <c r="X4086" s="65"/>
      <c r="Y4086" s="65"/>
      <c r="Z4086" s="51"/>
      <c r="AA4086" s="51"/>
      <c r="AB4086" s="102"/>
      <c r="AC4086" s="81" t="e">
        <f t="shared" si="193"/>
        <v>#DIV/0!</v>
      </c>
      <c r="AD4086" s="82">
        <f t="shared" si="194"/>
        <v>0</v>
      </c>
      <c r="AE4086" s="218"/>
      <c r="AH4086" t="str">
        <f t="shared" si="192"/>
        <v>0000</v>
      </c>
      <c r="AJ4086" s="72"/>
      <c r="AK4086" s="72"/>
      <c r="AL4086" s="72"/>
      <c r="AM4086" s="72"/>
    </row>
    <row r="4087" spans="1:39" x14ac:dyDescent="0.25">
      <c r="A4087" s="37" t="s">
        <v>62</v>
      </c>
      <c r="B4087" s="66"/>
      <c r="C4087" s="4"/>
      <c r="D4087" s="41"/>
      <c r="E4087" s="41"/>
      <c r="F4087" s="85"/>
      <c r="G4087" s="39"/>
      <c r="H4087" s="52"/>
      <c r="I4087" s="52"/>
      <c r="J4087" s="49"/>
      <c r="K4087" s="58"/>
      <c r="L4087" s="58"/>
      <c r="M4087" s="58"/>
      <c r="N4087" s="58"/>
      <c r="O4087" s="58"/>
      <c r="P4087" s="53"/>
      <c r="Q4087" s="65"/>
      <c r="R4087" s="65"/>
      <c r="S4087" s="65"/>
      <c r="T4087" s="65"/>
      <c r="U4087" s="58"/>
      <c r="V4087" s="65"/>
      <c r="W4087" s="65"/>
      <c r="X4087" s="65"/>
      <c r="Y4087" s="65"/>
      <c r="Z4087" s="51"/>
      <c r="AA4087" s="51"/>
      <c r="AB4087" s="102"/>
      <c r="AC4087" s="81" t="e">
        <f t="shared" si="193"/>
        <v>#DIV/0!</v>
      </c>
      <c r="AD4087" s="82">
        <f t="shared" si="194"/>
        <v>0</v>
      </c>
      <c r="AE4087" s="218"/>
      <c r="AH4087" t="str">
        <f t="shared" si="192"/>
        <v>0000</v>
      </c>
      <c r="AJ4087" s="72"/>
      <c r="AK4087" s="72"/>
      <c r="AL4087" s="72"/>
      <c r="AM4087" s="72"/>
    </row>
    <row r="4088" spans="1:39" x14ac:dyDescent="0.25">
      <c r="A4088" s="37" t="s">
        <v>62</v>
      </c>
      <c r="B4088" s="66"/>
      <c r="C4088" s="4"/>
      <c r="D4088" s="41"/>
      <c r="E4088" s="41"/>
      <c r="F4088" s="85"/>
      <c r="G4088" s="39"/>
      <c r="H4088" s="52"/>
      <c r="I4088" s="52"/>
      <c r="J4088" s="49"/>
      <c r="K4088" s="58"/>
      <c r="L4088" s="58"/>
      <c r="M4088" s="58"/>
      <c r="N4088" s="58"/>
      <c r="O4088" s="58"/>
      <c r="P4088" s="53"/>
      <c r="Q4088" s="65"/>
      <c r="R4088" s="65"/>
      <c r="S4088" s="65"/>
      <c r="T4088" s="65"/>
      <c r="U4088" s="58"/>
      <c r="V4088" s="65"/>
      <c r="W4088" s="65"/>
      <c r="X4088" s="65"/>
      <c r="Y4088" s="65"/>
      <c r="Z4088" s="51"/>
      <c r="AA4088" s="51"/>
      <c r="AB4088" s="102"/>
      <c r="AC4088" s="81" t="e">
        <f t="shared" si="193"/>
        <v>#DIV/0!</v>
      </c>
      <c r="AD4088" s="82">
        <f t="shared" si="194"/>
        <v>0</v>
      </c>
      <c r="AE4088" s="218"/>
      <c r="AH4088" t="str">
        <f t="shared" si="192"/>
        <v>0000</v>
      </c>
      <c r="AJ4088" s="72"/>
      <c r="AK4088" s="72"/>
      <c r="AL4088" s="72"/>
      <c r="AM4088" s="72"/>
    </row>
    <row r="4089" spans="1:39" x14ac:dyDescent="0.25">
      <c r="A4089" s="37" t="s">
        <v>62</v>
      </c>
      <c r="B4089" s="66"/>
      <c r="C4089" s="4"/>
      <c r="D4089" s="41"/>
      <c r="E4089" s="41"/>
      <c r="F4089" s="85"/>
      <c r="G4089" s="39"/>
      <c r="H4089" s="52"/>
      <c r="I4089" s="52"/>
      <c r="J4089" s="49"/>
      <c r="K4089" s="58"/>
      <c r="L4089" s="58"/>
      <c r="M4089" s="58"/>
      <c r="N4089" s="58"/>
      <c r="O4089" s="58"/>
      <c r="P4089" s="53"/>
      <c r="Q4089" s="65"/>
      <c r="R4089" s="65"/>
      <c r="S4089" s="65"/>
      <c r="T4089" s="65"/>
      <c r="U4089" s="58"/>
      <c r="V4089" s="65"/>
      <c r="W4089" s="65"/>
      <c r="X4089" s="65"/>
      <c r="Y4089" s="65"/>
      <c r="Z4089" s="51"/>
      <c r="AA4089" s="51"/>
      <c r="AB4089" s="102"/>
      <c r="AC4089" s="81" t="e">
        <f t="shared" si="193"/>
        <v>#DIV/0!</v>
      </c>
      <c r="AD4089" s="82">
        <f t="shared" si="194"/>
        <v>0</v>
      </c>
      <c r="AE4089" s="218"/>
      <c r="AH4089" t="str">
        <f t="shared" si="192"/>
        <v>0000</v>
      </c>
      <c r="AJ4089" s="72"/>
      <c r="AK4089" s="72"/>
      <c r="AL4089" s="72"/>
      <c r="AM4089" s="72"/>
    </row>
    <row r="4090" spans="1:39" x14ac:dyDescent="0.25">
      <c r="A4090" s="37" t="s">
        <v>62</v>
      </c>
      <c r="B4090" s="66"/>
      <c r="C4090" s="4"/>
      <c r="D4090" s="41"/>
      <c r="E4090" s="41"/>
      <c r="F4090" s="85"/>
      <c r="G4090" s="39"/>
      <c r="H4090" s="52"/>
      <c r="I4090" s="52"/>
      <c r="J4090" s="49"/>
      <c r="K4090" s="58"/>
      <c r="L4090" s="58"/>
      <c r="M4090" s="58"/>
      <c r="N4090" s="58"/>
      <c r="O4090" s="58"/>
      <c r="P4090" s="53"/>
      <c r="Q4090" s="65"/>
      <c r="R4090" s="65"/>
      <c r="S4090" s="65"/>
      <c r="T4090" s="65"/>
      <c r="U4090" s="58"/>
      <c r="V4090" s="65"/>
      <c r="W4090" s="65"/>
      <c r="X4090" s="65"/>
      <c r="Y4090" s="65"/>
      <c r="Z4090" s="51"/>
      <c r="AA4090" s="51"/>
      <c r="AB4090" s="102"/>
      <c r="AC4090" s="81" t="e">
        <f t="shared" si="193"/>
        <v>#DIV/0!</v>
      </c>
      <c r="AD4090" s="82">
        <f t="shared" si="194"/>
        <v>0</v>
      </c>
      <c r="AE4090" s="218"/>
      <c r="AH4090" t="str">
        <f t="shared" ref="AH4090:AH4153" si="195">TEXT(D4090,"0000")</f>
        <v>0000</v>
      </c>
      <c r="AJ4090" s="72"/>
      <c r="AK4090" s="72"/>
      <c r="AL4090" s="72"/>
      <c r="AM4090" s="72"/>
    </row>
    <row r="4091" spans="1:39" x14ac:dyDescent="0.25">
      <c r="A4091" s="37" t="s">
        <v>62</v>
      </c>
      <c r="B4091" s="66"/>
      <c r="C4091" s="4"/>
      <c r="D4091" s="41"/>
      <c r="E4091" s="41"/>
      <c r="F4091" s="85"/>
      <c r="G4091" s="39"/>
      <c r="H4091" s="52"/>
      <c r="I4091" s="52"/>
      <c r="J4091" s="49"/>
      <c r="K4091" s="58"/>
      <c r="L4091" s="58"/>
      <c r="M4091" s="58"/>
      <c r="N4091" s="58"/>
      <c r="O4091" s="58"/>
      <c r="P4091" s="53"/>
      <c r="Q4091" s="65"/>
      <c r="R4091" s="65"/>
      <c r="S4091" s="65"/>
      <c r="T4091" s="65"/>
      <c r="U4091" s="58"/>
      <c r="V4091" s="65"/>
      <c r="W4091" s="65"/>
      <c r="X4091" s="65"/>
      <c r="Y4091" s="65"/>
      <c r="Z4091" s="51"/>
      <c r="AA4091" s="51"/>
      <c r="AB4091" s="102"/>
      <c r="AC4091" s="81" t="e">
        <f t="shared" si="193"/>
        <v>#DIV/0!</v>
      </c>
      <c r="AD4091" s="82">
        <f t="shared" si="194"/>
        <v>0</v>
      </c>
      <c r="AE4091" s="218"/>
      <c r="AH4091" t="str">
        <f t="shared" si="195"/>
        <v>0000</v>
      </c>
      <c r="AJ4091" s="72"/>
      <c r="AK4091" s="72"/>
      <c r="AL4091" s="72"/>
      <c r="AM4091" s="72"/>
    </row>
    <row r="4092" spans="1:39" x14ac:dyDescent="0.25">
      <c r="A4092" s="37" t="s">
        <v>62</v>
      </c>
      <c r="B4092" s="66"/>
      <c r="C4092" s="4"/>
      <c r="D4092" s="41"/>
      <c r="E4092" s="41"/>
      <c r="F4092" s="85"/>
      <c r="G4092" s="39"/>
      <c r="H4092" s="52"/>
      <c r="I4092" s="52"/>
      <c r="J4092" s="49"/>
      <c r="K4092" s="58"/>
      <c r="L4092" s="58"/>
      <c r="M4092" s="58"/>
      <c r="N4092" s="58"/>
      <c r="O4092" s="58"/>
      <c r="P4092" s="53"/>
      <c r="Q4092" s="65"/>
      <c r="R4092" s="65"/>
      <c r="S4092" s="65"/>
      <c r="T4092" s="65"/>
      <c r="U4092" s="58"/>
      <c r="V4092" s="65"/>
      <c r="W4092" s="65"/>
      <c r="X4092" s="65"/>
      <c r="Y4092" s="65"/>
      <c r="Z4092" s="51"/>
      <c r="AA4092" s="51"/>
      <c r="AB4092" s="102"/>
      <c r="AC4092" s="81" t="e">
        <f t="shared" si="193"/>
        <v>#DIV/0!</v>
      </c>
      <c r="AD4092" s="82">
        <f t="shared" si="194"/>
        <v>0</v>
      </c>
      <c r="AE4092" s="218"/>
      <c r="AH4092" t="str">
        <f t="shared" si="195"/>
        <v>0000</v>
      </c>
      <c r="AJ4092" s="72"/>
      <c r="AK4092" s="72"/>
      <c r="AL4092" s="72"/>
      <c r="AM4092" s="72"/>
    </row>
    <row r="4093" spans="1:39" x14ac:dyDescent="0.25">
      <c r="A4093" s="37" t="s">
        <v>62</v>
      </c>
      <c r="B4093" s="66"/>
      <c r="C4093" s="4"/>
      <c r="D4093" s="41"/>
      <c r="E4093" s="41"/>
      <c r="F4093" s="85"/>
      <c r="G4093" s="39"/>
      <c r="H4093" s="52"/>
      <c r="I4093" s="52"/>
      <c r="J4093" s="49"/>
      <c r="K4093" s="58"/>
      <c r="L4093" s="58"/>
      <c r="M4093" s="58"/>
      <c r="N4093" s="58"/>
      <c r="O4093" s="58"/>
      <c r="P4093" s="53"/>
      <c r="Q4093" s="65"/>
      <c r="R4093" s="65"/>
      <c r="S4093" s="65"/>
      <c r="T4093" s="65"/>
      <c r="U4093" s="58"/>
      <c r="V4093" s="65"/>
      <c r="W4093" s="65"/>
      <c r="X4093" s="65"/>
      <c r="Y4093" s="65"/>
      <c r="Z4093" s="51"/>
      <c r="AA4093" s="51"/>
      <c r="AB4093" s="102"/>
      <c r="AC4093" s="81" t="e">
        <f t="shared" si="193"/>
        <v>#DIV/0!</v>
      </c>
      <c r="AD4093" s="82">
        <f t="shared" si="194"/>
        <v>0</v>
      </c>
      <c r="AE4093" s="218"/>
      <c r="AH4093" t="str">
        <f t="shared" si="195"/>
        <v>0000</v>
      </c>
      <c r="AJ4093" s="72"/>
      <c r="AK4093" s="72"/>
      <c r="AL4093" s="72"/>
      <c r="AM4093" s="72"/>
    </row>
    <row r="4094" spans="1:39" x14ac:dyDescent="0.25">
      <c r="A4094" s="37" t="s">
        <v>62</v>
      </c>
      <c r="B4094" s="66"/>
      <c r="C4094" s="4"/>
      <c r="D4094" s="41"/>
      <c r="E4094" s="41"/>
      <c r="F4094" s="85"/>
      <c r="G4094" s="39"/>
      <c r="H4094" s="52"/>
      <c r="I4094" s="52"/>
      <c r="J4094" s="49"/>
      <c r="K4094" s="58"/>
      <c r="L4094" s="58"/>
      <c r="M4094" s="58"/>
      <c r="N4094" s="58"/>
      <c r="O4094" s="58"/>
      <c r="P4094" s="53"/>
      <c r="Q4094" s="65"/>
      <c r="R4094" s="65"/>
      <c r="S4094" s="65"/>
      <c r="T4094" s="65"/>
      <c r="U4094" s="58"/>
      <c r="V4094" s="65"/>
      <c r="W4094" s="65"/>
      <c r="X4094" s="65"/>
      <c r="Y4094" s="65"/>
      <c r="Z4094" s="51"/>
      <c r="AA4094" s="51"/>
      <c r="AB4094" s="102"/>
      <c r="AC4094" s="81" t="e">
        <f t="shared" si="193"/>
        <v>#DIV/0!</v>
      </c>
      <c r="AD4094" s="82">
        <f t="shared" si="194"/>
        <v>0</v>
      </c>
      <c r="AE4094" s="218"/>
      <c r="AH4094" t="str">
        <f t="shared" si="195"/>
        <v>0000</v>
      </c>
      <c r="AJ4094" s="72"/>
      <c r="AK4094" s="72"/>
      <c r="AL4094" s="72"/>
      <c r="AM4094" s="72"/>
    </row>
    <row r="4095" spans="1:39" x14ac:dyDescent="0.25">
      <c r="A4095" s="37" t="s">
        <v>62</v>
      </c>
      <c r="B4095" s="66"/>
      <c r="C4095" s="4"/>
      <c r="D4095" s="41"/>
      <c r="E4095" s="41"/>
      <c r="F4095" s="85"/>
      <c r="G4095" s="39"/>
      <c r="H4095" s="52"/>
      <c r="I4095" s="52"/>
      <c r="J4095" s="49"/>
      <c r="K4095" s="58"/>
      <c r="L4095" s="58"/>
      <c r="M4095" s="58"/>
      <c r="N4095" s="58"/>
      <c r="O4095" s="58"/>
      <c r="P4095" s="53"/>
      <c r="Q4095" s="65"/>
      <c r="R4095" s="65"/>
      <c r="S4095" s="65"/>
      <c r="T4095" s="65"/>
      <c r="U4095" s="58"/>
      <c r="V4095" s="65"/>
      <c r="W4095" s="65"/>
      <c r="X4095" s="65"/>
      <c r="Y4095" s="65"/>
      <c r="Z4095" s="51"/>
      <c r="AA4095" s="51"/>
      <c r="AB4095" s="102"/>
      <c r="AC4095" s="81" t="e">
        <f t="shared" si="193"/>
        <v>#DIV/0!</v>
      </c>
      <c r="AD4095" s="82">
        <f t="shared" si="194"/>
        <v>0</v>
      </c>
      <c r="AE4095" s="218"/>
      <c r="AH4095" t="str">
        <f t="shared" si="195"/>
        <v>0000</v>
      </c>
      <c r="AJ4095" s="72"/>
      <c r="AK4095" s="72"/>
      <c r="AL4095" s="72"/>
      <c r="AM4095" s="72"/>
    </row>
    <row r="4096" spans="1:39" x14ac:dyDescent="0.25">
      <c r="A4096" s="37" t="s">
        <v>62</v>
      </c>
      <c r="B4096" s="66"/>
      <c r="C4096" s="4"/>
      <c r="D4096" s="41"/>
      <c r="E4096" s="41"/>
      <c r="F4096" s="85"/>
      <c r="G4096" s="39"/>
      <c r="H4096" s="52"/>
      <c r="I4096" s="52"/>
      <c r="J4096" s="49"/>
      <c r="K4096" s="58"/>
      <c r="L4096" s="58"/>
      <c r="M4096" s="58"/>
      <c r="N4096" s="58"/>
      <c r="O4096" s="58"/>
      <c r="P4096" s="53"/>
      <c r="Q4096" s="65"/>
      <c r="R4096" s="65"/>
      <c r="S4096" s="65"/>
      <c r="T4096" s="65"/>
      <c r="U4096" s="58"/>
      <c r="V4096" s="65"/>
      <c r="W4096" s="65"/>
      <c r="X4096" s="65"/>
      <c r="Y4096" s="65"/>
      <c r="Z4096" s="51"/>
      <c r="AA4096" s="51"/>
      <c r="AB4096" s="102"/>
      <c r="AC4096" s="81" t="e">
        <f t="shared" si="193"/>
        <v>#DIV/0!</v>
      </c>
      <c r="AD4096" s="82">
        <f t="shared" si="194"/>
        <v>0</v>
      </c>
      <c r="AE4096" s="218"/>
      <c r="AH4096" t="str">
        <f t="shared" si="195"/>
        <v>0000</v>
      </c>
      <c r="AJ4096" s="72"/>
      <c r="AK4096" s="72"/>
      <c r="AL4096" s="72"/>
      <c r="AM4096" s="72"/>
    </row>
    <row r="4097" spans="1:39" x14ac:dyDescent="0.25">
      <c r="A4097" s="37" t="s">
        <v>62</v>
      </c>
      <c r="B4097" s="66"/>
      <c r="C4097" s="4"/>
      <c r="D4097" s="41"/>
      <c r="E4097" s="41"/>
      <c r="F4097" s="85"/>
      <c r="G4097" s="39"/>
      <c r="H4097" s="52"/>
      <c r="I4097" s="52"/>
      <c r="J4097" s="49"/>
      <c r="K4097" s="58"/>
      <c r="L4097" s="58"/>
      <c r="M4097" s="58"/>
      <c r="N4097" s="58"/>
      <c r="O4097" s="58"/>
      <c r="P4097" s="53"/>
      <c r="Q4097" s="65"/>
      <c r="R4097" s="65"/>
      <c r="S4097" s="65"/>
      <c r="T4097" s="65"/>
      <c r="U4097" s="58"/>
      <c r="V4097" s="65"/>
      <c r="W4097" s="65"/>
      <c r="X4097" s="65"/>
      <c r="Y4097" s="65"/>
      <c r="Z4097" s="51"/>
      <c r="AA4097" s="51"/>
      <c r="AB4097" s="102"/>
      <c r="AC4097" s="81" t="e">
        <f t="shared" ref="AC4097:AC4160" si="196">((IF(AD4097=0,0,100-AD4097))*7*(J4097/I4097))*2%</f>
        <v>#DIV/0!</v>
      </c>
      <c r="AD4097" s="82">
        <f t="shared" ref="AD4097:AD4160" si="197">IF((I4097/7)&gt;100,0,(I4097/7))</f>
        <v>0</v>
      </c>
      <c r="AE4097" s="218"/>
      <c r="AH4097" t="str">
        <f t="shared" si="195"/>
        <v>0000</v>
      </c>
      <c r="AJ4097" s="72"/>
      <c r="AK4097" s="72"/>
      <c r="AL4097" s="72"/>
      <c r="AM4097" s="72"/>
    </row>
    <row r="4098" spans="1:39" x14ac:dyDescent="0.25">
      <c r="A4098" s="37" t="s">
        <v>62</v>
      </c>
      <c r="B4098" s="66"/>
      <c r="C4098" s="4"/>
      <c r="D4098" s="41"/>
      <c r="E4098" s="41"/>
      <c r="F4098" s="85"/>
      <c r="G4098" s="39"/>
      <c r="H4098" s="52"/>
      <c r="I4098" s="52"/>
      <c r="J4098" s="49"/>
      <c r="K4098" s="58"/>
      <c r="L4098" s="58"/>
      <c r="M4098" s="58"/>
      <c r="N4098" s="58"/>
      <c r="O4098" s="58"/>
      <c r="P4098" s="53"/>
      <c r="Q4098" s="65"/>
      <c r="R4098" s="65"/>
      <c r="S4098" s="65"/>
      <c r="T4098" s="65"/>
      <c r="U4098" s="58"/>
      <c r="V4098" s="65"/>
      <c r="W4098" s="65"/>
      <c r="X4098" s="65"/>
      <c r="Y4098" s="65"/>
      <c r="Z4098" s="51"/>
      <c r="AA4098" s="51"/>
      <c r="AB4098" s="102"/>
      <c r="AC4098" s="81" t="e">
        <f t="shared" si="196"/>
        <v>#DIV/0!</v>
      </c>
      <c r="AD4098" s="82">
        <f t="shared" si="197"/>
        <v>0</v>
      </c>
      <c r="AE4098" s="218"/>
      <c r="AH4098" t="str">
        <f t="shared" si="195"/>
        <v>0000</v>
      </c>
      <c r="AJ4098" s="72"/>
      <c r="AK4098" s="72"/>
      <c r="AL4098" s="72"/>
      <c r="AM4098" s="72"/>
    </row>
    <row r="4099" spans="1:39" x14ac:dyDescent="0.25">
      <c r="A4099" s="37" t="s">
        <v>62</v>
      </c>
      <c r="B4099" s="66"/>
      <c r="C4099" s="4"/>
      <c r="D4099" s="41"/>
      <c r="E4099" s="41"/>
      <c r="F4099" s="85"/>
      <c r="G4099" s="39"/>
      <c r="H4099" s="52"/>
      <c r="I4099" s="52"/>
      <c r="J4099" s="49"/>
      <c r="K4099" s="58"/>
      <c r="L4099" s="58"/>
      <c r="M4099" s="58"/>
      <c r="N4099" s="58"/>
      <c r="O4099" s="58"/>
      <c r="P4099" s="53"/>
      <c r="Q4099" s="65"/>
      <c r="R4099" s="65"/>
      <c r="S4099" s="65"/>
      <c r="T4099" s="65"/>
      <c r="U4099" s="58"/>
      <c r="V4099" s="65"/>
      <c r="W4099" s="65"/>
      <c r="X4099" s="65"/>
      <c r="Y4099" s="65"/>
      <c r="Z4099" s="51"/>
      <c r="AA4099" s="51"/>
      <c r="AB4099" s="102"/>
      <c r="AC4099" s="81" t="e">
        <f t="shared" si="196"/>
        <v>#DIV/0!</v>
      </c>
      <c r="AD4099" s="82">
        <f t="shared" si="197"/>
        <v>0</v>
      </c>
      <c r="AE4099" s="218"/>
      <c r="AH4099" t="str">
        <f t="shared" si="195"/>
        <v>0000</v>
      </c>
      <c r="AJ4099" s="72"/>
      <c r="AK4099" s="72"/>
      <c r="AL4099" s="72"/>
      <c r="AM4099" s="72"/>
    </row>
    <row r="4100" spans="1:39" x14ac:dyDescent="0.25">
      <c r="A4100" s="37" t="s">
        <v>62</v>
      </c>
      <c r="B4100" s="66"/>
      <c r="C4100" s="4"/>
      <c r="D4100" s="41"/>
      <c r="E4100" s="41"/>
      <c r="F4100" s="85"/>
      <c r="G4100" s="39"/>
      <c r="H4100" s="52"/>
      <c r="I4100" s="52"/>
      <c r="J4100" s="49"/>
      <c r="K4100" s="58"/>
      <c r="L4100" s="58"/>
      <c r="M4100" s="58"/>
      <c r="N4100" s="58"/>
      <c r="O4100" s="58"/>
      <c r="P4100" s="53"/>
      <c r="Q4100" s="65"/>
      <c r="R4100" s="65"/>
      <c r="S4100" s="65"/>
      <c r="T4100" s="65"/>
      <c r="U4100" s="58"/>
      <c r="V4100" s="65"/>
      <c r="W4100" s="65"/>
      <c r="X4100" s="65"/>
      <c r="Y4100" s="65"/>
      <c r="Z4100" s="51"/>
      <c r="AA4100" s="51"/>
      <c r="AB4100" s="102"/>
      <c r="AC4100" s="81" t="e">
        <f t="shared" si="196"/>
        <v>#DIV/0!</v>
      </c>
      <c r="AD4100" s="82">
        <f t="shared" si="197"/>
        <v>0</v>
      </c>
      <c r="AE4100" s="218"/>
      <c r="AH4100" t="str">
        <f t="shared" si="195"/>
        <v>0000</v>
      </c>
      <c r="AJ4100" s="72"/>
      <c r="AK4100" s="72"/>
      <c r="AL4100" s="72"/>
      <c r="AM4100" s="72"/>
    </row>
    <row r="4101" spans="1:39" x14ac:dyDescent="0.25">
      <c r="A4101" s="37" t="s">
        <v>62</v>
      </c>
      <c r="B4101" s="66"/>
      <c r="C4101" s="4"/>
      <c r="D4101" s="41"/>
      <c r="E4101" s="41"/>
      <c r="F4101" s="85"/>
      <c r="G4101" s="39"/>
      <c r="H4101" s="52"/>
      <c r="I4101" s="52"/>
      <c r="J4101" s="49"/>
      <c r="K4101" s="58"/>
      <c r="L4101" s="58"/>
      <c r="M4101" s="58"/>
      <c r="N4101" s="58"/>
      <c r="O4101" s="58"/>
      <c r="P4101" s="53"/>
      <c r="Q4101" s="65"/>
      <c r="R4101" s="65"/>
      <c r="S4101" s="65"/>
      <c r="T4101" s="65"/>
      <c r="U4101" s="58"/>
      <c r="V4101" s="65"/>
      <c r="W4101" s="65"/>
      <c r="X4101" s="65"/>
      <c r="Y4101" s="65"/>
      <c r="Z4101" s="51"/>
      <c r="AA4101" s="51"/>
      <c r="AB4101" s="102"/>
      <c r="AC4101" s="81" t="e">
        <f t="shared" si="196"/>
        <v>#DIV/0!</v>
      </c>
      <c r="AD4101" s="82">
        <f t="shared" si="197"/>
        <v>0</v>
      </c>
      <c r="AE4101" s="218"/>
      <c r="AH4101" t="str">
        <f t="shared" si="195"/>
        <v>0000</v>
      </c>
      <c r="AJ4101" s="72"/>
      <c r="AK4101" s="72"/>
      <c r="AL4101" s="72"/>
      <c r="AM4101" s="72"/>
    </row>
    <row r="4102" spans="1:39" x14ac:dyDescent="0.25">
      <c r="A4102" s="37" t="s">
        <v>62</v>
      </c>
      <c r="B4102" s="66"/>
      <c r="C4102" s="4"/>
      <c r="D4102" s="41"/>
      <c r="E4102" s="41"/>
      <c r="F4102" s="85"/>
      <c r="G4102" s="39"/>
      <c r="H4102" s="52"/>
      <c r="I4102" s="52"/>
      <c r="J4102" s="49"/>
      <c r="K4102" s="58"/>
      <c r="L4102" s="58"/>
      <c r="M4102" s="58"/>
      <c r="N4102" s="58"/>
      <c r="O4102" s="58"/>
      <c r="P4102" s="53"/>
      <c r="Q4102" s="65"/>
      <c r="R4102" s="65"/>
      <c r="S4102" s="65"/>
      <c r="T4102" s="65"/>
      <c r="U4102" s="58"/>
      <c r="V4102" s="65"/>
      <c r="W4102" s="65"/>
      <c r="X4102" s="65"/>
      <c r="Y4102" s="65"/>
      <c r="Z4102" s="51"/>
      <c r="AA4102" s="51"/>
      <c r="AB4102" s="102"/>
      <c r="AC4102" s="81" t="e">
        <f t="shared" si="196"/>
        <v>#DIV/0!</v>
      </c>
      <c r="AD4102" s="82">
        <f t="shared" si="197"/>
        <v>0</v>
      </c>
      <c r="AE4102" s="218"/>
      <c r="AH4102" t="str">
        <f t="shared" si="195"/>
        <v>0000</v>
      </c>
      <c r="AJ4102" s="72"/>
      <c r="AK4102" s="72"/>
      <c r="AL4102" s="72"/>
      <c r="AM4102" s="72"/>
    </row>
    <row r="4103" spans="1:39" x14ac:dyDescent="0.25">
      <c r="A4103" s="37" t="s">
        <v>62</v>
      </c>
      <c r="B4103" s="66"/>
      <c r="C4103" s="4"/>
      <c r="D4103" s="41"/>
      <c r="E4103" s="41"/>
      <c r="F4103" s="85"/>
      <c r="G4103" s="39"/>
      <c r="H4103" s="52"/>
      <c r="I4103" s="52"/>
      <c r="J4103" s="49"/>
      <c r="K4103" s="58"/>
      <c r="L4103" s="58"/>
      <c r="M4103" s="58"/>
      <c r="N4103" s="58"/>
      <c r="O4103" s="58"/>
      <c r="P4103" s="53"/>
      <c r="Q4103" s="65"/>
      <c r="R4103" s="65"/>
      <c r="S4103" s="65"/>
      <c r="T4103" s="65"/>
      <c r="U4103" s="58"/>
      <c r="V4103" s="65"/>
      <c r="W4103" s="65"/>
      <c r="X4103" s="65"/>
      <c r="Y4103" s="65"/>
      <c r="Z4103" s="51"/>
      <c r="AA4103" s="51"/>
      <c r="AB4103" s="102"/>
      <c r="AC4103" s="81" t="e">
        <f t="shared" si="196"/>
        <v>#DIV/0!</v>
      </c>
      <c r="AD4103" s="82">
        <f t="shared" si="197"/>
        <v>0</v>
      </c>
      <c r="AE4103" s="218"/>
      <c r="AH4103" t="str">
        <f t="shared" si="195"/>
        <v>0000</v>
      </c>
      <c r="AJ4103" s="72"/>
      <c r="AK4103" s="72"/>
      <c r="AL4103" s="72"/>
      <c r="AM4103" s="72"/>
    </row>
    <row r="4104" spans="1:39" x14ac:dyDescent="0.25">
      <c r="A4104" s="37" t="s">
        <v>62</v>
      </c>
      <c r="B4104" s="66"/>
      <c r="C4104" s="4"/>
      <c r="D4104" s="41"/>
      <c r="E4104" s="41"/>
      <c r="F4104" s="85"/>
      <c r="G4104" s="39"/>
      <c r="H4104" s="52"/>
      <c r="I4104" s="52"/>
      <c r="J4104" s="49"/>
      <c r="K4104" s="58"/>
      <c r="L4104" s="58"/>
      <c r="M4104" s="58"/>
      <c r="N4104" s="58"/>
      <c r="O4104" s="58"/>
      <c r="P4104" s="53"/>
      <c r="Q4104" s="65"/>
      <c r="R4104" s="65"/>
      <c r="S4104" s="65"/>
      <c r="T4104" s="65"/>
      <c r="U4104" s="58"/>
      <c r="V4104" s="65"/>
      <c r="W4104" s="65"/>
      <c r="X4104" s="65"/>
      <c r="Y4104" s="65"/>
      <c r="Z4104" s="51"/>
      <c r="AA4104" s="51"/>
      <c r="AB4104" s="102"/>
      <c r="AC4104" s="81" t="e">
        <f t="shared" si="196"/>
        <v>#DIV/0!</v>
      </c>
      <c r="AD4104" s="82">
        <f t="shared" si="197"/>
        <v>0</v>
      </c>
      <c r="AE4104" s="218"/>
      <c r="AH4104" t="str">
        <f t="shared" si="195"/>
        <v>0000</v>
      </c>
      <c r="AJ4104" s="72"/>
      <c r="AK4104" s="72"/>
      <c r="AL4104" s="72"/>
      <c r="AM4104" s="72"/>
    </row>
    <row r="4105" spans="1:39" x14ac:dyDescent="0.25">
      <c r="A4105" s="37" t="s">
        <v>62</v>
      </c>
      <c r="B4105" s="66"/>
      <c r="C4105" s="4"/>
      <c r="D4105" s="41"/>
      <c r="E4105" s="41"/>
      <c r="F4105" s="85"/>
      <c r="G4105" s="39"/>
      <c r="H4105" s="52"/>
      <c r="I4105" s="52"/>
      <c r="J4105" s="49"/>
      <c r="K4105" s="58"/>
      <c r="L4105" s="58"/>
      <c r="M4105" s="58"/>
      <c r="N4105" s="58"/>
      <c r="O4105" s="58"/>
      <c r="P4105" s="53"/>
      <c r="Q4105" s="65"/>
      <c r="R4105" s="65"/>
      <c r="S4105" s="65"/>
      <c r="T4105" s="65"/>
      <c r="U4105" s="58"/>
      <c r="V4105" s="65"/>
      <c r="W4105" s="65"/>
      <c r="X4105" s="65"/>
      <c r="Y4105" s="65"/>
      <c r="Z4105" s="51"/>
      <c r="AA4105" s="51"/>
      <c r="AB4105" s="102"/>
      <c r="AC4105" s="81" t="e">
        <f t="shared" si="196"/>
        <v>#DIV/0!</v>
      </c>
      <c r="AD4105" s="82">
        <f t="shared" si="197"/>
        <v>0</v>
      </c>
      <c r="AE4105" s="218"/>
      <c r="AH4105" t="str">
        <f t="shared" si="195"/>
        <v>0000</v>
      </c>
      <c r="AJ4105" s="72"/>
      <c r="AK4105" s="72"/>
      <c r="AL4105" s="72"/>
      <c r="AM4105" s="72"/>
    </row>
    <row r="4106" spans="1:39" x14ac:dyDescent="0.25">
      <c r="A4106" s="37" t="s">
        <v>62</v>
      </c>
      <c r="B4106" s="66"/>
      <c r="C4106" s="4"/>
      <c r="D4106" s="41"/>
      <c r="E4106" s="41"/>
      <c r="F4106" s="85"/>
      <c r="G4106" s="39"/>
      <c r="H4106" s="52"/>
      <c r="I4106" s="52"/>
      <c r="J4106" s="49"/>
      <c r="K4106" s="58"/>
      <c r="L4106" s="58"/>
      <c r="M4106" s="58"/>
      <c r="N4106" s="58"/>
      <c r="O4106" s="58"/>
      <c r="P4106" s="53"/>
      <c r="Q4106" s="65"/>
      <c r="R4106" s="65"/>
      <c r="S4106" s="65"/>
      <c r="T4106" s="65"/>
      <c r="U4106" s="58"/>
      <c r="V4106" s="65"/>
      <c r="W4106" s="65"/>
      <c r="X4106" s="65"/>
      <c r="Y4106" s="65"/>
      <c r="Z4106" s="51"/>
      <c r="AA4106" s="51"/>
      <c r="AB4106" s="102"/>
      <c r="AC4106" s="81" t="e">
        <f t="shared" si="196"/>
        <v>#DIV/0!</v>
      </c>
      <c r="AD4106" s="82">
        <f t="shared" si="197"/>
        <v>0</v>
      </c>
      <c r="AE4106" s="218"/>
      <c r="AH4106" t="str">
        <f t="shared" si="195"/>
        <v>0000</v>
      </c>
      <c r="AJ4106" s="72"/>
      <c r="AK4106" s="72"/>
      <c r="AL4106" s="72"/>
      <c r="AM4106" s="72"/>
    </row>
    <row r="4107" spans="1:39" x14ac:dyDescent="0.25">
      <c r="A4107" s="37" t="s">
        <v>62</v>
      </c>
      <c r="B4107" s="66"/>
      <c r="C4107" s="4"/>
      <c r="D4107" s="41"/>
      <c r="E4107" s="41"/>
      <c r="F4107" s="85"/>
      <c r="G4107" s="39"/>
      <c r="H4107" s="52"/>
      <c r="I4107" s="52"/>
      <c r="J4107" s="49"/>
      <c r="K4107" s="58"/>
      <c r="L4107" s="58"/>
      <c r="M4107" s="58"/>
      <c r="N4107" s="58"/>
      <c r="O4107" s="58"/>
      <c r="P4107" s="53"/>
      <c r="Q4107" s="65"/>
      <c r="R4107" s="65"/>
      <c r="S4107" s="65"/>
      <c r="T4107" s="65"/>
      <c r="U4107" s="58"/>
      <c r="V4107" s="65"/>
      <c r="W4107" s="65"/>
      <c r="X4107" s="65"/>
      <c r="Y4107" s="65"/>
      <c r="Z4107" s="51"/>
      <c r="AA4107" s="51"/>
      <c r="AB4107" s="102"/>
      <c r="AC4107" s="81" t="e">
        <f t="shared" si="196"/>
        <v>#DIV/0!</v>
      </c>
      <c r="AD4107" s="82">
        <f t="shared" si="197"/>
        <v>0</v>
      </c>
      <c r="AE4107" s="218"/>
      <c r="AH4107" t="str">
        <f t="shared" si="195"/>
        <v>0000</v>
      </c>
      <c r="AJ4107" s="72"/>
      <c r="AK4107" s="72"/>
      <c r="AL4107" s="72"/>
      <c r="AM4107" s="72"/>
    </row>
    <row r="4108" spans="1:39" x14ac:dyDescent="0.25">
      <c r="A4108" s="37" t="s">
        <v>62</v>
      </c>
      <c r="B4108" s="66"/>
      <c r="C4108" s="4"/>
      <c r="D4108" s="41"/>
      <c r="E4108" s="41"/>
      <c r="F4108" s="85"/>
      <c r="G4108" s="39"/>
      <c r="H4108" s="52"/>
      <c r="I4108" s="52"/>
      <c r="J4108" s="49"/>
      <c r="K4108" s="58"/>
      <c r="L4108" s="58"/>
      <c r="M4108" s="58"/>
      <c r="N4108" s="58"/>
      <c r="O4108" s="58"/>
      <c r="P4108" s="53"/>
      <c r="Q4108" s="65"/>
      <c r="R4108" s="65"/>
      <c r="S4108" s="65"/>
      <c r="T4108" s="65"/>
      <c r="U4108" s="58"/>
      <c r="V4108" s="65"/>
      <c r="W4108" s="65"/>
      <c r="X4108" s="65"/>
      <c r="Y4108" s="65"/>
      <c r="Z4108" s="51"/>
      <c r="AA4108" s="51"/>
      <c r="AB4108" s="102"/>
      <c r="AC4108" s="81" t="e">
        <f t="shared" si="196"/>
        <v>#DIV/0!</v>
      </c>
      <c r="AD4108" s="82">
        <f t="shared" si="197"/>
        <v>0</v>
      </c>
      <c r="AE4108" s="218"/>
      <c r="AH4108" t="str">
        <f t="shared" si="195"/>
        <v>0000</v>
      </c>
      <c r="AJ4108" s="72"/>
      <c r="AK4108" s="72"/>
      <c r="AL4108" s="72"/>
      <c r="AM4108" s="72"/>
    </row>
    <row r="4109" spans="1:39" x14ac:dyDescent="0.25">
      <c r="A4109" s="37" t="s">
        <v>62</v>
      </c>
      <c r="B4109" s="66"/>
      <c r="C4109" s="4"/>
      <c r="D4109" s="41"/>
      <c r="E4109" s="41"/>
      <c r="F4109" s="85"/>
      <c r="G4109" s="39"/>
      <c r="H4109" s="52"/>
      <c r="I4109" s="52"/>
      <c r="J4109" s="49"/>
      <c r="K4109" s="58"/>
      <c r="L4109" s="58"/>
      <c r="M4109" s="58"/>
      <c r="N4109" s="58"/>
      <c r="O4109" s="58"/>
      <c r="P4109" s="53"/>
      <c r="Q4109" s="65"/>
      <c r="R4109" s="65"/>
      <c r="S4109" s="65"/>
      <c r="T4109" s="65"/>
      <c r="U4109" s="58"/>
      <c r="V4109" s="65"/>
      <c r="W4109" s="65"/>
      <c r="X4109" s="65"/>
      <c r="Y4109" s="65"/>
      <c r="Z4109" s="51"/>
      <c r="AA4109" s="51"/>
      <c r="AB4109" s="102"/>
      <c r="AC4109" s="81" t="e">
        <f t="shared" si="196"/>
        <v>#DIV/0!</v>
      </c>
      <c r="AD4109" s="82">
        <f t="shared" si="197"/>
        <v>0</v>
      </c>
      <c r="AE4109" s="218"/>
      <c r="AH4109" t="str">
        <f t="shared" si="195"/>
        <v>0000</v>
      </c>
      <c r="AJ4109" s="72"/>
      <c r="AK4109" s="72"/>
      <c r="AL4109" s="72"/>
      <c r="AM4109" s="72"/>
    </row>
    <row r="4110" spans="1:39" x14ac:dyDescent="0.25">
      <c r="A4110" s="37" t="s">
        <v>62</v>
      </c>
      <c r="B4110" s="66"/>
      <c r="C4110" s="4"/>
      <c r="D4110" s="41"/>
      <c r="E4110" s="41"/>
      <c r="F4110" s="85"/>
      <c r="G4110" s="39"/>
      <c r="H4110" s="52"/>
      <c r="I4110" s="52"/>
      <c r="J4110" s="49"/>
      <c r="K4110" s="58"/>
      <c r="L4110" s="58"/>
      <c r="M4110" s="58"/>
      <c r="N4110" s="58"/>
      <c r="O4110" s="58"/>
      <c r="P4110" s="53"/>
      <c r="Q4110" s="65"/>
      <c r="R4110" s="65"/>
      <c r="S4110" s="65"/>
      <c r="T4110" s="65"/>
      <c r="U4110" s="58"/>
      <c r="V4110" s="65"/>
      <c r="W4110" s="65"/>
      <c r="X4110" s="65"/>
      <c r="Y4110" s="65"/>
      <c r="Z4110" s="51"/>
      <c r="AA4110" s="51"/>
      <c r="AB4110" s="102"/>
      <c r="AC4110" s="81" t="e">
        <f t="shared" si="196"/>
        <v>#DIV/0!</v>
      </c>
      <c r="AD4110" s="82">
        <f t="shared" si="197"/>
        <v>0</v>
      </c>
      <c r="AE4110" s="218"/>
      <c r="AH4110" t="str">
        <f t="shared" si="195"/>
        <v>0000</v>
      </c>
      <c r="AJ4110" s="72"/>
      <c r="AK4110" s="72"/>
      <c r="AL4110" s="72"/>
      <c r="AM4110" s="72"/>
    </row>
    <row r="4111" spans="1:39" x14ac:dyDescent="0.25">
      <c r="A4111" s="37" t="s">
        <v>62</v>
      </c>
      <c r="B4111" s="66"/>
      <c r="C4111" s="4"/>
      <c r="D4111" s="41"/>
      <c r="E4111" s="41"/>
      <c r="F4111" s="85"/>
      <c r="G4111" s="39"/>
      <c r="H4111" s="52"/>
      <c r="I4111" s="52"/>
      <c r="J4111" s="49"/>
      <c r="K4111" s="58"/>
      <c r="L4111" s="58"/>
      <c r="M4111" s="58"/>
      <c r="N4111" s="58"/>
      <c r="O4111" s="58"/>
      <c r="P4111" s="53"/>
      <c r="Q4111" s="65"/>
      <c r="R4111" s="65"/>
      <c r="S4111" s="65"/>
      <c r="T4111" s="65"/>
      <c r="U4111" s="58"/>
      <c r="V4111" s="65"/>
      <c r="W4111" s="65"/>
      <c r="X4111" s="65"/>
      <c r="Y4111" s="65"/>
      <c r="Z4111" s="51"/>
      <c r="AA4111" s="51"/>
      <c r="AB4111" s="102"/>
      <c r="AC4111" s="81" t="e">
        <f t="shared" si="196"/>
        <v>#DIV/0!</v>
      </c>
      <c r="AD4111" s="82">
        <f t="shared" si="197"/>
        <v>0</v>
      </c>
      <c r="AE4111" s="218"/>
      <c r="AH4111" t="str">
        <f t="shared" si="195"/>
        <v>0000</v>
      </c>
      <c r="AJ4111" s="72"/>
      <c r="AK4111" s="72"/>
      <c r="AL4111" s="72"/>
      <c r="AM4111" s="72"/>
    </row>
    <row r="4112" spans="1:39" x14ac:dyDescent="0.25">
      <c r="A4112" s="37" t="s">
        <v>62</v>
      </c>
      <c r="B4112" s="66"/>
      <c r="C4112" s="4"/>
      <c r="D4112" s="41"/>
      <c r="E4112" s="41"/>
      <c r="F4112" s="85"/>
      <c r="G4112" s="39"/>
      <c r="H4112" s="52"/>
      <c r="I4112" s="52"/>
      <c r="J4112" s="49"/>
      <c r="K4112" s="58"/>
      <c r="L4112" s="58"/>
      <c r="M4112" s="58"/>
      <c r="N4112" s="58"/>
      <c r="O4112" s="58"/>
      <c r="P4112" s="53"/>
      <c r="Q4112" s="65"/>
      <c r="R4112" s="65"/>
      <c r="S4112" s="65"/>
      <c r="T4112" s="65"/>
      <c r="U4112" s="58"/>
      <c r="V4112" s="65"/>
      <c r="W4112" s="65"/>
      <c r="X4112" s="65"/>
      <c r="Y4112" s="65"/>
      <c r="Z4112" s="51"/>
      <c r="AA4112" s="51"/>
      <c r="AB4112" s="102"/>
      <c r="AC4112" s="81" t="e">
        <f t="shared" si="196"/>
        <v>#DIV/0!</v>
      </c>
      <c r="AD4112" s="82">
        <f t="shared" si="197"/>
        <v>0</v>
      </c>
      <c r="AE4112" s="218"/>
      <c r="AH4112" t="str">
        <f t="shared" si="195"/>
        <v>0000</v>
      </c>
      <c r="AJ4112" s="72"/>
      <c r="AK4112" s="72"/>
      <c r="AL4112" s="72"/>
      <c r="AM4112" s="72"/>
    </row>
    <row r="4113" spans="1:39" x14ac:dyDescent="0.25">
      <c r="A4113" s="37" t="s">
        <v>62</v>
      </c>
      <c r="B4113" s="66"/>
      <c r="C4113" s="4"/>
      <c r="D4113" s="41"/>
      <c r="E4113" s="41"/>
      <c r="F4113" s="85"/>
      <c r="G4113" s="39"/>
      <c r="H4113" s="52"/>
      <c r="I4113" s="52"/>
      <c r="J4113" s="49"/>
      <c r="K4113" s="58"/>
      <c r="L4113" s="58"/>
      <c r="M4113" s="58"/>
      <c r="N4113" s="58"/>
      <c r="O4113" s="58"/>
      <c r="P4113" s="53"/>
      <c r="Q4113" s="65"/>
      <c r="R4113" s="65"/>
      <c r="S4113" s="65"/>
      <c r="T4113" s="65"/>
      <c r="U4113" s="58"/>
      <c r="V4113" s="65"/>
      <c r="W4113" s="65"/>
      <c r="X4113" s="65"/>
      <c r="Y4113" s="65"/>
      <c r="Z4113" s="51"/>
      <c r="AA4113" s="51"/>
      <c r="AB4113" s="102"/>
      <c r="AC4113" s="81" t="e">
        <f t="shared" si="196"/>
        <v>#DIV/0!</v>
      </c>
      <c r="AD4113" s="82">
        <f t="shared" si="197"/>
        <v>0</v>
      </c>
      <c r="AE4113" s="218"/>
      <c r="AH4113" t="str">
        <f t="shared" si="195"/>
        <v>0000</v>
      </c>
      <c r="AJ4113" s="72"/>
      <c r="AK4113" s="72"/>
      <c r="AL4113" s="72"/>
      <c r="AM4113" s="72"/>
    </row>
    <row r="4114" spans="1:39" x14ac:dyDescent="0.25">
      <c r="A4114" s="37" t="s">
        <v>62</v>
      </c>
      <c r="B4114" s="66"/>
      <c r="C4114" s="4"/>
      <c r="D4114" s="41"/>
      <c r="E4114" s="41"/>
      <c r="F4114" s="85"/>
      <c r="G4114" s="39"/>
      <c r="H4114" s="52"/>
      <c r="I4114" s="52"/>
      <c r="J4114" s="49"/>
      <c r="K4114" s="58"/>
      <c r="L4114" s="58"/>
      <c r="M4114" s="58"/>
      <c r="N4114" s="58"/>
      <c r="O4114" s="58"/>
      <c r="P4114" s="53"/>
      <c r="Q4114" s="65"/>
      <c r="R4114" s="65"/>
      <c r="S4114" s="65"/>
      <c r="T4114" s="65"/>
      <c r="U4114" s="58"/>
      <c r="V4114" s="65"/>
      <c r="W4114" s="65"/>
      <c r="X4114" s="65"/>
      <c r="Y4114" s="65"/>
      <c r="Z4114" s="51"/>
      <c r="AA4114" s="51"/>
      <c r="AB4114" s="102"/>
      <c r="AC4114" s="81" t="e">
        <f t="shared" si="196"/>
        <v>#DIV/0!</v>
      </c>
      <c r="AD4114" s="82">
        <f t="shared" si="197"/>
        <v>0</v>
      </c>
      <c r="AE4114" s="218"/>
      <c r="AH4114" t="str">
        <f t="shared" si="195"/>
        <v>0000</v>
      </c>
      <c r="AJ4114" s="72"/>
      <c r="AK4114" s="72"/>
      <c r="AL4114" s="72"/>
      <c r="AM4114" s="72"/>
    </row>
    <row r="4115" spans="1:39" x14ac:dyDescent="0.25">
      <c r="A4115" s="37" t="s">
        <v>62</v>
      </c>
      <c r="B4115" s="66"/>
      <c r="C4115" s="4"/>
      <c r="D4115" s="41"/>
      <c r="E4115" s="41"/>
      <c r="F4115" s="85"/>
      <c r="G4115" s="39"/>
      <c r="H4115" s="52"/>
      <c r="I4115" s="52"/>
      <c r="J4115" s="49"/>
      <c r="K4115" s="58"/>
      <c r="L4115" s="58"/>
      <c r="M4115" s="58"/>
      <c r="N4115" s="58"/>
      <c r="O4115" s="58"/>
      <c r="P4115" s="53"/>
      <c r="Q4115" s="65"/>
      <c r="R4115" s="65"/>
      <c r="S4115" s="65"/>
      <c r="T4115" s="65"/>
      <c r="U4115" s="58"/>
      <c r="V4115" s="65"/>
      <c r="W4115" s="65"/>
      <c r="X4115" s="65"/>
      <c r="Y4115" s="65"/>
      <c r="Z4115" s="51"/>
      <c r="AA4115" s="51"/>
      <c r="AB4115" s="102"/>
      <c r="AC4115" s="81" t="e">
        <f t="shared" si="196"/>
        <v>#DIV/0!</v>
      </c>
      <c r="AD4115" s="82">
        <f t="shared" si="197"/>
        <v>0</v>
      </c>
      <c r="AE4115" s="218"/>
      <c r="AH4115" t="str">
        <f t="shared" si="195"/>
        <v>0000</v>
      </c>
      <c r="AJ4115" s="72"/>
      <c r="AK4115" s="72"/>
      <c r="AL4115" s="72"/>
      <c r="AM4115" s="72"/>
    </row>
    <row r="4116" spans="1:39" x14ac:dyDescent="0.25">
      <c r="A4116" s="37" t="s">
        <v>62</v>
      </c>
      <c r="B4116" s="66"/>
      <c r="C4116" s="4"/>
      <c r="D4116" s="41"/>
      <c r="E4116" s="41"/>
      <c r="F4116" s="85"/>
      <c r="G4116" s="39"/>
      <c r="H4116" s="52"/>
      <c r="I4116" s="52"/>
      <c r="J4116" s="49"/>
      <c r="K4116" s="58"/>
      <c r="L4116" s="58"/>
      <c r="M4116" s="58"/>
      <c r="N4116" s="58"/>
      <c r="O4116" s="58"/>
      <c r="P4116" s="53"/>
      <c r="Q4116" s="65"/>
      <c r="R4116" s="65"/>
      <c r="S4116" s="65"/>
      <c r="T4116" s="65"/>
      <c r="U4116" s="58"/>
      <c r="V4116" s="65"/>
      <c r="W4116" s="65"/>
      <c r="X4116" s="65"/>
      <c r="Y4116" s="65"/>
      <c r="Z4116" s="51"/>
      <c r="AA4116" s="51"/>
      <c r="AB4116" s="102"/>
      <c r="AC4116" s="81" t="e">
        <f t="shared" si="196"/>
        <v>#DIV/0!</v>
      </c>
      <c r="AD4116" s="82">
        <f t="shared" si="197"/>
        <v>0</v>
      </c>
      <c r="AE4116" s="218"/>
      <c r="AH4116" t="str">
        <f t="shared" si="195"/>
        <v>0000</v>
      </c>
      <c r="AJ4116" s="72"/>
      <c r="AK4116" s="72"/>
      <c r="AL4116" s="72"/>
      <c r="AM4116" s="72"/>
    </row>
    <row r="4117" spans="1:39" x14ac:dyDescent="0.25">
      <c r="A4117" s="37" t="s">
        <v>62</v>
      </c>
      <c r="B4117" s="66"/>
      <c r="C4117" s="4"/>
      <c r="D4117" s="41"/>
      <c r="E4117" s="41"/>
      <c r="F4117" s="85"/>
      <c r="G4117" s="39"/>
      <c r="H4117" s="52"/>
      <c r="I4117" s="52"/>
      <c r="J4117" s="49"/>
      <c r="K4117" s="58"/>
      <c r="L4117" s="58"/>
      <c r="M4117" s="58"/>
      <c r="N4117" s="58"/>
      <c r="O4117" s="58"/>
      <c r="P4117" s="53"/>
      <c r="Q4117" s="65"/>
      <c r="R4117" s="65"/>
      <c r="S4117" s="65"/>
      <c r="T4117" s="65"/>
      <c r="U4117" s="58"/>
      <c r="V4117" s="65"/>
      <c r="W4117" s="65"/>
      <c r="X4117" s="65"/>
      <c r="Y4117" s="65"/>
      <c r="Z4117" s="51"/>
      <c r="AA4117" s="51"/>
      <c r="AB4117" s="102"/>
      <c r="AC4117" s="81" t="e">
        <f t="shared" si="196"/>
        <v>#DIV/0!</v>
      </c>
      <c r="AD4117" s="82">
        <f t="shared" si="197"/>
        <v>0</v>
      </c>
      <c r="AE4117" s="218"/>
      <c r="AH4117" t="str">
        <f t="shared" si="195"/>
        <v>0000</v>
      </c>
      <c r="AJ4117" s="72"/>
      <c r="AK4117" s="72"/>
      <c r="AL4117" s="72"/>
      <c r="AM4117" s="72"/>
    </row>
    <row r="4118" spans="1:39" x14ac:dyDescent="0.25">
      <c r="A4118" s="37" t="s">
        <v>62</v>
      </c>
      <c r="B4118" s="66"/>
      <c r="C4118" s="4"/>
      <c r="D4118" s="41"/>
      <c r="E4118" s="41"/>
      <c r="F4118" s="85"/>
      <c r="G4118" s="39"/>
      <c r="H4118" s="52"/>
      <c r="I4118" s="52"/>
      <c r="J4118" s="49"/>
      <c r="K4118" s="58"/>
      <c r="L4118" s="58"/>
      <c r="M4118" s="58"/>
      <c r="N4118" s="58"/>
      <c r="O4118" s="58"/>
      <c r="P4118" s="53"/>
      <c r="Q4118" s="65"/>
      <c r="R4118" s="65"/>
      <c r="S4118" s="65"/>
      <c r="T4118" s="65"/>
      <c r="U4118" s="58"/>
      <c r="V4118" s="65"/>
      <c r="W4118" s="65"/>
      <c r="X4118" s="65"/>
      <c r="Y4118" s="65"/>
      <c r="Z4118" s="51"/>
      <c r="AA4118" s="51"/>
      <c r="AB4118" s="102"/>
      <c r="AC4118" s="81" t="e">
        <f t="shared" si="196"/>
        <v>#DIV/0!</v>
      </c>
      <c r="AD4118" s="82">
        <f t="shared" si="197"/>
        <v>0</v>
      </c>
      <c r="AE4118" s="218"/>
      <c r="AH4118" t="str">
        <f t="shared" si="195"/>
        <v>0000</v>
      </c>
      <c r="AJ4118" s="72"/>
      <c r="AK4118" s="72"/>
      <c r="AL4118" s="72"/>
      <c r="AM4118" s="72"/>
    </row>
    <row r="4119" spans="1:39" x14ac:dyDescent="0.25">
      <c r="A4119" s="37" t="s">
        <v>62</v>
      </c>
      <c r="B4119" s="66"/>
      <c r="C4119" s="4"/>
      <c r="D4119" s="41"/>
      <c r="E4119" s="41"/>
      <c r="F4119" s="85"/>
      <c r="G4119" s="39"/>
      <c r="H4119" s="52"/>
      <c r="I4119" s="52"/>
      <c r="J4119" s="49"/>
      <c r="K4119" s="58"/>
      <c r="L4119" s="58"/>
      <c r="M4119" s="58"/>
      <c r="N4119" s="58"/>
      <c r="O4119" s="58"/>
      <c r="P4119" s="53"/>
      <c r="Q4119" s="65"/>
      <c r="R4119" s="65"/>
      <c r="S4119" s="65"/>
      <c r="T4119" s="65"/>
      <c r="U4119" s="58"/>
      <c r="V4119" s="65"/>
      <c r="W4119" s="65"/>
      <c r="X4119" s="65"/>
      <c r="Y4119" s="65"/>
      <c r="Z4119" s="51"/>
      <c r="AA4119" s="51"/>
      <c r="AB4119" s="102"/>
      <c r="AC4119" s="81" t="e">
        <f t="shared" si="196"/>
        <v>#DIV/0!</v>
      </c>
      <c r="AD4119" s="82">
        <f t="shared" si="197"/>
        <v>0</v>
      </c>
      <c r="AE4119" s="218"/>
      <c r="AH4119" t="str">
        <f t="shared" si="195"/>
        <v>0000</v>
      </c>
      <c r="AJ4119" s="72"/>
      <c r="AK4119" s="72"/>
      <c r="AL4119" s="72"/>
      <c r="AM4119" s="72"/>
    </row>
    <row r="4120" spans="1:39" x14ac:dyDescent="0.25">
      <c r="A4120" s="37" t="s">
        <v>62</v>
      </c>
      <c r="B4120" s="66"/>
      <c r="C4120" s="4"/>
      <c r="D4120" s="41"/>
      <c r="E4120" s="41"/>
      <c r="F4120" s="85"/>
      <c r="G4120" s="39"/>
      <c r="H4120" s="52"/>
      <c r="I4120" s="52"/>
      <c r="J4120" s="49"/>
      <c r="K4120" s="58"/>
      <c r="L4120" s="58"/>
      <c r="M4120" s="58"/>
      <c r="N4120" s="58"/>
      <c r="O4120" s="58"/>
      <c r="P4120" s="53"/>
      <c r="Q4120" s="65"/>
      <c r="R4120" s="65"/>
      <c r="S4120" s="65"/>
      <c r="T4120" s="65"/>
      <c r="U4120" s="58"/>
      <c r="V4120" s="65"/>
      <c r="W4120" s="65"/>
      <c r="X4120" s="65"/>
      <c r="Y4120" s="65"/>
      <c r="Z4120" s="51"/>
      <c r="AA4120" s="51"/>
      <c r="AB4120" s="102"/>
      <c r="AC4120" s="81" t="e">
        <f t="shared" si="196"/>
        <v>#DIV/0!</v>
      </c>
      <c r="AD4120" s="82">
        <f t="shared" si="197"/>
        <v>0</v>
      </c>
      <c r="AE4120" s="218"/>
      <c r="AH4120" t="str">
        <f t="shared" si="195"/>
        <v>0000</v>
      </c>
      <c r="AJ4120" s="72"/>
      <c r="AK4120" s="72"/>
      <c r="AL4120" s="72"/>
      <c r="AM4120" s="72"/>
    </row>
    <row r="4121" spans="1:39" x14ac:dyDescent="0.25">
      <c r="A4121" s="37" t="s">
        <v>62</v>
      </c>
      <c r="B4121" s="66"/>
      <c r="C4121" s="4"/>
      <c r="D4121" s="41"/>
      <c r="E4121" s="41"/>
      <c r="F4121" s="85"/>
      <c r="G4121" s="39"/>
      <c r="H4121" s="52"/>
      <c r="I4121" s="52"/>
      <c r="J4121" s="49"/>
      <c r="K4121" s="58"/>
      <c r="L4121" s="58"/>
      <c r="M4121" s="58"/>
      <c r="N4121" s="58"/>
      <c r="O4121" s="58"/>
      <c r="P4121" s="53"/>
      <c r="Q4121" s="65"/>
      <c r="R4121" s="65"/>
      <c r="S4121" s="65"/>
      <c r="T4121" s="65"/>
      <c r="U4121" s="58"/>
      <c r="V4121" s="65"/>
      <c r="W4121" s="65"/>
      <c r="X4121" s="65"/>
      <c r="Y4121" s="65"/>
      <c r="Z4121" s="51"/>
      <c r="AA4121" s="51"/>
      <c r="AB4121" s="102"/>
      <c r="AC4121" s="81" t="e">
        <f t="shared" si="196"/>
        <v>#DIV/0!</v>
      </c>
      <c r="AD4121" s="82">
        <f t="shared" si="197"/>
        <v>0</v>
      </c>
      <c r="AE4121" s="218"/>
      <c r="AH4121" t="str">
        <f t="shared" si="195"/>
        <v>0000</v>
      </c>
      <c r="AJ4121" s="72"/>
      <c r="AK4121" s="72"/>
      <c r="AL4121" s="72"/>
      <c r="AM4121" s="72"/>
    </row>
    <row r="4122" spans="1:39" x14ac:dyDescent="0.25">
      <c r="A4122" s="37" t="s">
        <v>62</v>
      </c>
      <c r="B4122" s="66"/>
      <c r="C4122" s="4"/>
      <c r="D4122" s="41"/>
      <c r="E4122" s="41"/>
      <c r="F4122" s="85"/>
      <c r="G4122" s="39"/>
      <c r="H4122" s="52"/>
      <c r="I4122" s="52"/>
      <c r="J4122" s="49"/>
      <c r="K4122" s="58"/>
      <c r="L4122" s="58"/>
      <c r="M4122" s="58"/>
      <c r="N4122" s="58"/>
      <c r="O4122" s="58"/>
      <c r="P4122" s="53"/>
      <c r="Q4122" s="65"/>
      <c r="R4122" s="65"/>
      <c r="S4122" s="65"/>
      <c r="T4122" s="65"/>
      <c r="U4122" s="58"/>
      <c r="V4122" s="65"/>
      <c r="W4122" s="65"/>
      <c r="X4122" s="65"/>
      <c r="Y4122" s="65"/>
      <c r="Z4122" s="51"/>
      <c r="AA4122" s="51"/>
      <c r="AB4122" s="102"/>
      <c r="AC4122" s="81" t="e">
        <f t="shared" si="196"/>
        <v>#DIV/0!</v>
      </c>
      <c r="AD4122" s="82">
        <f t="shared" si="197"/>
        <v>0</v>
      </c>
      <c r="AE4122" s="218"/>
      <c r="AH4122" t="str">
        <f t="shared" si="195"/>
        <v>0000</v>
      </c>
      <c r="AJ4122" s="72"/>
      <c r="AK4122" s="72"/>
      <c r="AL4122" s="72"/>
      <c r="AM4122" s="72"/>
    </row>
    <row r="4123" spans="1:39" x14ac:dyDescent="0.25">
      <c r="A4123" s="37" t="s">
        <v>62</v>
      </c>
      <c r="B4123" s="66"/>
      <c r="C4123" s="4"/>
      <c r="D4123" s="41"/>
      <c r="E4123" s="41"/>
      <c r="F4123" s="85"/>
      <c r="G4123" s="39"/>
      <c r="H4123" s="52"/>
      <c r="I4123" s="52"/>
      <c r="J4123" s="49"/>
      <c r="K4123" s="58"/>
      <c r="L4123" s="58"/>
      <c r="M4123" s="58"/>
      <c r="N4123" s="58"/>
      <c r="O4123" s="58"/>
      <c r="P4123" s="53"/>
      <c r="Q4123" s="65"/>
      <c r="R4123" s="65"/>
      <c r="S4123" s="65"/>
      <c r="T4123" s="65"/>
      <c r="U4123" s="58"/>
      <c r="V4123" s="65"/>
      <c r="W4123" s="65"/>
      <c r="X4123" s="65"/>
      <c r="Y4123" s="65"/>
      <c r="Z4123" s="51"/>
      <c r="AA4123" s="51"/>
      <c r="AB4123" s="102"/>
      <c r="AC4123" s="81" t="e">
        <f t="shared" si="196"/>
        <v>#DIV/0!</v>
      </c>
      <c r="AD4123" s="82">
        <f t="shared" si="197"/>
        <v>0</v>
      </c>
      <c r="AE4123" s="218"/>
      <c r="AH4123" t="str">
        <f t="shared" si="195"/>
        <v>0000</v>
      </c>
      <c r="AJ4123" s="72"/>
      <c r="AK4123" s="72"/>
      <c r="AL4123" s="72"/>
      <c r="AM4123" s="72"/>
    </row>
    <row r="4124" spans="1:39" x14ac:dyDescent="0.25">
      <c r="A4124" s="37" t="s">
        <v>62</v>
      </c>
      <c r="B4124" s="66"/>
      <c r="C4124" s="4"/>
      <c r="D4124" s="41"/>
      <c r="E4124" s="41"/>
      <c r="F4124" s="85"/>
      <c r="G4124" s="39"/>
      <c r="H4124" s="52"/>
      <c r="I4124" s="52"/>
      <c r="J4124" s="49"/>
      <c r="K4124" s="58"/>
      <c r="L4124" s="58"/>
      <c r="M4124" s="58"/>
      <c r="N4124" s="58"/>
      <c r="O4124" s="58"/>
      <c r="P4124" s="53"/>
      <c r="Q4124" s="65"/>
      <c r="R4124" s="65"/>
      <c r="S4124" s="65"/>
      <c r="T4124" s="65"/>
      <c r="U4124" s="58"/>
      <c r="V4124" s="65"/>
      <c r="W4124" s="65"/>
      <c r="X4124" s="65"/>
      <c r="Y4124" s="65"/>
      <c r="Z4124" s="51"/>
      <c r="AA4124" s="51"/>
      <c r="AB4124" s="102"/>
      <c r="AC4124" s="81" t="e">
        <f t="shared" si="196"/>
        <v>#DIV/0!</v>
      </c>
      <c r="AD4124" s="82">
        <f t="shared" si="197"/>
        <v>0</v>
      </c>
      <c r="AE4124" s="218"/>
      <c r="AH4124" t="str">
        <f t="shared" si="195"/>
        <v>0000</v>
      </c>
      <c r="AJ4124" s="72"/>
      <c r="AK4124" s="72"/>
      <c r="AL4124" s="72"/>
      <c r="AM4124" s="72"/>
    </row>
    <row r="4125" spans="1:39" x14ac:dyDescent="0.25">
      <c r="A4125" s="37" t="s">
        <v>62</v>
      </c>
      <c r="B4125" s="66"/>
      <c r="C4125" s="4"/>
      <c r="D4125" s="41"/>
      <c r="E4125" s="41"/>
      <c r="F4125" s="85"/>
      <c r="G4125" s="39"/>
      <c r="H4125" s="52"/>
      <c r="I4125" s="52"/>
      <c r="J4125" s="49"/>
      <c r="K4125" s="58"/>
      <c r="L4125" s="58"/>
      <c r="M4125" s="58"/>
      <c r="N4125" s="58"/>
      <c r="O4125" s="58"/>
      <c r="P4125" s="53"/>
      <c r="Q4125" s="65"/>
      <c r="R4125" s="65"/>
      <c r="S4125" s="65"/>
      <c r="T4125" s="65"/>
      <c r="U4125" s="58"/>
      <c r="V4125" s="65"/>
      <c r="W4125" s="65"/>
      <c r="X4125" s="65"/>
      <c r="Y4125" s="65"/>
      <c r="Z4125" s="51"/>
      <c r="AA4125" s="51"/>
      <c r="AB4125" s="102"/>
      <c r="AC4125" s="81" t="e">
        <f t="shared" si="196"/>
        <v>#DIV/0!</v>
      </c>
      <c r="AD4125" s="82">
        <f t="shared" si="197"/>
        <v>0</v>
      </c>
      <c r="AE4125" s="218"/>
      <c r="AH4125" t="str">
        <f t="shared" si="195"/>
        <v>0000</v>
      </c>
      <c r="AJ4125" s="72"/>
      <c r="AK4125" s="72"/>
      <c r="AL4125" s="72"/>
      <c r="AM4125" s="72"/>
    </row>
    <row r="4126" spans="1:39" x14ac:dyDescent="0.25">
      <c r="A4126" s="37" t="s">
        <v>62</v>
      </c>
      <c r="B4126" s="66"/>
      <c r="C4126" s="4"/>
      <c r="D4126" s="41"/>
      <c r="E4126" s="41"/>
      <c r="F4126" s="85"/>
      <c r="G4126" s="39"/>
      <c r="H4126" s="52"/>
      <c r="I4126" s="52"/>
      <c r="J4126" s="49"/>
      <c r="K4126" s="58"/>
      <c r="L4126" s="58"/>
      <c r="M4126" s="58"/>
      <c r="N4126" s="58"/>
      <c r="O4126" s="58"/>
      <c r="P4126" s="53"/>
      <c r="Q4126" s="65"/>
      <c r="R4126" s="65"/>
      <c r="S4126" s="65"/>
      <c r="T4126" s="65"/>
      <c r="U4126" s="58"/>
      <c r="V4126" s="65"/>
      <c r="W4126" s="65"/>
      <c r="X4126" s="65"/>
      <c r="Y4126" s="65"/>
      <c r="Z4126" s="51"/>
      <c r="AA4126" s="51"/>
      <c r="AB4126" s="102"/>
      <c r="AC4126" s="81" t="e">
        <f t="shared" si="196"/>
        <v>#DIV/0!</v>
      </c>
      <c r="AD4126" s="82">
        <f t="shared" si="197"/>
        <v>0</v>
      </c>
      <c r="AE4126" s="218"/>
      <c r="AH4126" t="str">
        <f t="shared" si="195"/>
        <v>0000</v>
      </c>
      <c r="AJ4126" s="72"/>
      <c r="AK4126" s="72"/>
      <c r="AL4126" s="72"/>
      <c r="AM4126" s="72"/>
    </row>
    <row r="4127" spans="1:39" x14ac:dyDescent="0.25">
      <c r="A4127" s="37" t="s">
        <v>62</v>
      </c>
      <c r="B4127" s="66"/>
      <c r="C4127" s="4"/>
      <c r="D4127" s="41"/>
      <c r="E4127" s="41"/>
      <c r="F4127" s="85"/>
      <c r="G4127" s="39"/>
      <c r="H4127" s="52"/>
      <c r="I4127" s="52"/>
      <c r="J4127" s="49"/>
      <c r="K4127" s="58"/>
      <c r="L4127" s="58"/>
      <c r="M4127" s="58"/>
      <c r="N4127" s="58"/>
      <c r="O4127" s="58"/>
      <c r="P4127" s="53"/>
      <c r="Q4127" s="65"/>
      <c r="R4127" s="65"/>
      <c r="S4127" s="65"/>
      <c r="T4127" s="65"/>
      <c r="U4127" s="58"/>
      <c r="V4127" s="65"/>
      <c r="W4127" s="65"/>
      <c r="X4127" s="65"/>
      <c r="Y4127" s="65"/>
      <c r="Z4127" s="51"/>
      <c r="AA4127" s="51"/>
      <c r="AB4127" s="102"/>
      <c r="AC4127" s="81" t="e">
        <f t="shared" si="196"/>
        <v>#DIV/0!</v>
      </c>
      <c r="AD4127" s="82">
        <f t="shared" si="197"/>
        <v>0</v>
      </c>
      <c r="AE4127" s="218"/>
      <c r="AH4127" t="str">
        <f t="shared" si="195"/>
        <v>0000</v>
      </c>
      <c r="AJ4127" s="72"/>
      <c r="AK4127" s="72"/>
      <c r="AL4127" s="72"/>
      <c r="AM4127" s="72"/>
    </row>
    <row r="4128" spans="1:39" x14ac:dyDescent="0.25">
      <c r="A4128" s="37" t="s">
        <v>62</v>
      </c>
      <c r="B4128" s="66"/>
      <c r="C4128" s="4"/>
      <c r="D4128" s="41"/>
      <c r="E4128" s="41"/>
      <c r="F4128" s="85"/>
      <c r="G4128" s="39"/>
      <c r="H4128" s="52"/>
      <c r="I4128" s="52"/>
      <c r="J4128" s="49"/>
      <c r="K4128" s="58"/>
      <c r="L4128" s="58"/>
      <c r="M4128" s="58"/>
      <c r="N4128" s="58"/>
      <c r="O4128" s="58"/>
      <c r="P4128" s="53"/>
      <c r="Q4128" s="65"/>
      <c r="R4128" s="65"/>
      <c r="S4128" s="65"/>
      <c r="T4128" s="65"/>
      <c r="U4128" s="58"/>
      <c r="V4128" s="65"/>
      <c r="W4128" s="65"/>
      <c r="X4128" s="65"/>
      <c r="Y4128" s="65"/>
      <c r="Z4128" s="51"/>
      <c r="AA4128" s="51"/>
      <c r="AB4128" s="102"/>
      <c r="AC4128" s="81" t="e">
        <f t="shared" si="196"/>
        <v>#DIV/0!</v>
      </c>
      <c r="AD4128" s="82">
        <f t="shared" si="197"/>
        <v>0</v>
      </c>
      <c r="AE4128" s="218"/>
      <c r="AH4128" t="str">
        <f t="shared" si="195"/>
        <v>0000</v>
      </c>
      <c r="AJ4128" s="72"/>
      <c r="AK4128" s="72"/>
      <c r="AL4128" s="72"/>
      <c r="AM4128" s="72"/>
    </row>
    <row r="4129" spans="1:39" x14ac:dyDescent="0.25">
      <c r="A4129" s="37" t="s">
        <v>62</v>
      </c>
      <c r="B4129" s="66"/>
      <c r="C4129" s="4"/>
      <c r="D4129" s="41"/>
      <c r="E4129" s="41"/>
      <c r="F4129" s="85"/>
      <c r="G4129" s="39"/>
      <c r="H4129" s="52"/>
      <c r="I4129" s="52"/>
      <c r="J4129" s="49"/>
      <c r="K4129" s="58"/>
      <c r="L4129" s="58"/>
      <c r="M4129" s="58"/>
      <c r="N4129" s="58"/>
      <c r="O4129" s="58"/>
      <c r="P4129" s="53"/>
      <c r="Q4129" s="65"/>
      <c r="R4129" s="65"/>
      <c r="S4129" s="65"/>
      <c r="T4129" s="65"/>
      <c r="U4129" s="58"/>
      <c r="V4129" s="65"/>
      <c r="W4129" s="65"/>
      <c r="X4129" s="65"/>
      <c r="Y4129" s="65"/>
      <c r="Z4129" s="51"/>
      <c r="AA4129" s="51"/>
      <c r="AB4129" s="102"/>
      <c r="AC4129" s="81" t="e">
        <f t="shared" si="196"/>
        <v>#DIV/0!</v>
      </c>
      <c r="AD4129" s="82">
        <f t="shared" si="197"/>
        <v>0</v>
      </c>
      <c r="AE4129" s="218"/>
      <c r="AH4129" t="str">
        <f t="shared" si="195"/>
        <v>0000</v>
      </c>
      <c r="AJ4129" s="72"/>
      <c r="AK4129" s="72"/>
      <c r="AL4129" s="72"/>
      <c r="AM4129" s="72"/>
    </row>
    <row r="4130" spans="1:39" x14ac:dyDescent="0.25">
      <c r="A4130" s="37" t="s">
        <v>62</v>
      </c>
      <c r="B4130" s="66"/>
      <c r="C4130" s="4"/>
      <c r="D4130" s="41"/>
      <c r="E4130" s="41"/>
      <c r="F4130" s="85"/>
      <c r="G4130" s="39"/>
      <c r="H4130" s="52"/>
      <c r="I4130" s="52"/>
      <c r="J4130" s="49"/>
      <c r="K4130" s="58"/>
      <c r="L4130" s="58"/>
      <c r="M4130" s="58"/>
      <c r="N4130" s="58"/>
      <c r="O4130" s="58"/>
      <c r="P4130" s="53"/>
      <c r="Q4130" s="65"/>
      <c r="R4130" s="65"/>
      <c r="S4130" s="65"/>
      <c r="T4130" s="65"/>
      <c r="U4130" s="58"/>
      <c r="V4130" s="65"/>
      <c r="W4130" s="65"/>
      <c r="X4130" s="65"/>
      <c r="Y4130" s="65"/>
      <c r="Z4130" s="51"/>
      <c r="AA4130" s="51"/>
      <c r="AB4130" s="102"/>
      <c r="AC4130" s="81" t="e">
        <f t="shared" si="196"/>
        <v>#DIV/0!</v>
      </c>
      <c r="AD4130" s="82">
        <f t="shared" si="197"/>
        <v>0</v>
      </c>
      <c r="AE4130" s="218"/>
      <c r="AH4130" t="str">
        <f t="shared" si="195"/>
        <v>0000</v>
      </c>
      <c r="AJ4130" s="72"/>
      <c r="AK4130" s="72"/>
      <c r="AL4130" s="72"/>
      <c r="AM4130" s="72"/>
    </row>
    <row r="4131" spans="1:39" x14ac:dyDescent="0.25">
      <c r="A4131" s="37" t="s">
        <v>62</v>
      </c>
      <c r="B4131" s="66"/>
      <c r="C4131" s="4"/>
      <c r="D4131" s="41"/>
      <c r="E4131" s="41"/>
      <c r="F4131" s="85"/>
      <c r="G4131" s="39"/>
      <c r="H4131" s="52"/>
      <c r="I4131" s="52"/>
      <c r="J4131" s="49"/>
      <c r="K4131" s="58"/>
      <c r="L4131" s="58"/>
      <c r="M4131" s="58"/>
      <c r="N4131" s="58"/>
      <c r="O4131" s="58"/>
      <c r="P4131" s="53"/>
      <c r="Q4131" s="65"/>
      <c r="R4131" s="65"/>
      <c r="S4131" s="65"/>
      <c r="T4131" s="65"/>
      <c r="U4131" s="58"/>
      <c r="V4131" s="65"/>
      <c r="W4131" s="65"/>
      <c r="X4131" s="65"/>
      <c r="Y4131" s="65"/>
      <c r="Z4131" s="51"/>
      <c r="AA4131" s="51"/>
      <c r="AB4131" s="102"/>
      <c r="AC4131" s="81" t="e">
        <f t="shared" si="196"/>
        <v>#DIV/0!</v>
      </c>
      <c r="AD4131" s="82">
        <f t="shared" si="197"/>
        <v>0</v>
      </c>
      <c r="AE4131" s="218"/>
      <c r="AH4131" t="str">
        <f t="shared" si="195"/>
        <v>0000</v>
      </c>
      <c r="AJ4131" s="72"/>
      <c r="AK4131" s="72"/>
      <c r="AL4131" s="72"/>
      <c r="AM4131" s="72"/>
    </row>
    <row r="4132" spans="1:39" x14ac:dyDescent="0.25">
      <c r="A4132" s="37" t="s">
        <v>62</v>
      </c>
      <c r="B4132" s="66"/>
      <c r="C4132" s="4"/>
      <c r="D4132" s="41"/>
      <c r="E4132" s="41"/>
      <c r="F4132" s="85"/>
      <c r="G4132" s="39"/>
      <c r="H4132" s="52"/>
      <c r="I4132" s="52"/>
      <c r="J4132" s="49"/>
      <c r="K4132" s="58"/>
      <c r="L4132" s="58"/>
      <c r="M4132" s="58"/>
      <c r="N4132" s="58"/>
      <c r="O4132" s="58"/>
      <c r="P4132" s="53"/>
      <c r="Q4132" s="65"/>
      <c r="R4132" s="65"/>
      <c r="S4132" s="65"/>
      <c r="T4132" s="65"/>
      <c r="U4132" s="58"/>
      <c r="V4132" s="65"/>
      <c r="W4132" s="65"/>
      <c r="X4132" s="65"/>
      <c r="Y4132" s="65"/>
      <c r="Z4132" s="51"/>
      <c r="AA4132" s="51"/>
      <c r="AB4132" s="102"/>
      <c r="AC4132" s="81" t="e">
        <f t="shared" si="196"/>
        <v>#DIV/0!</v>
      </c>
      <c r="AD4132" s="82">
        <f t="shared" si="197"/>
        <v>0</v>
      </c>
      <c r="AE4132" s="218"/>
      <c r="AH4132" t="str">
        <f t="shared" si="195"/>
        <v>0000</v>
      </c>
      <c r="AJ4132" s="72"/>
      <c r="AK4132" s="72"/>
      <c r="AL4132" s="72"/>
      <c r="AM4132" s="72"/>
    </row>
    <row r="4133" spans="1:39" x14ac:dyDescent="0.25">
      <c r="A4133" s="37" t="s">
        <v>62</v>
      </c>
      <c r="B4133" s="66"/>
      <c r="C4133" s="4"/>
      <c r="D4133" s="41"/>
      <c r="E4133" s="41"/>
      <c r="F4133" s="85"/>
      <c r="G4133" s="39"/>
      <c r="H4133" s="52"/>
      <c r="I4133" s="52"/>
      <c r="J4133" s="49"/>
      <c r="K4133" s="58"/>
      <c r="L4133" s="58"/>
      <c r="M4133" s="58"/>
      <c r="N4133" s="58"/>
      <c r="O4133" s="58"/>
      <c r="P4133" s="53"/>
      <c r="Q4133" s="65"/>
      <c r="R4133" s="65"/>
      <c r="S4133" s="65"/>
      <c r="T4133" s="65"/>
      <c r="U4133" s="58"/>
      <c r="V4133" s="65"/>
      <c r="W4133" s="65"/>
      <c r="X4133" s="65"/>
      <c r="Y4133" s="65"/>
      <c r="Z4133" s="51"/>
      <c r="AA4133" s="51"/>
      <c r="AB4133" s="102"/>
      <c r="AC4133" s="81" t="e">
        <f t="shared" si="196"/>
        <v>#DIV/0!</v>
      </c>
      <c r="AD4133" s="82">
        <f t="shared" si="197"/>
        <v>0</v>
      </c>
      <c r="AE4133" s="218"/>
      <c r="AH4133" t="str">
        <f t="shared" si="195"/>
        <v>0000</v>
      </c>
      <c r="AJ4133" s="72"/>
      <c r="AK4133" s="72"/>
      <c r="AL4133" s="72"/>
      <c r="AM4133" s="72"/>
    </row>
    <row r="4134" spans="1:39" x14ac:dyDescent="0.25">
      <c r="A4134" s="37" t="s">
        <v>62</v>
      </c>
      <c r="B4134" s="66"/>
      <c r="C4134" s="4"/>
      <c r="D4134" s="41"/>
      <c r="E4134" s="41"/>
      <c r="F4134" s="85"/>
      <c r="G4134" s="39"/>
      <c r="H4134" s="52"/>
      <c r="I4134" s="52"/>
      <c r="J4134" s="49"/>
      <c r="K4134" s="58"/>
      <c r="L4134" s="58"/>
      <c r="M4134" s="58"/>
      <c r="N4134" s="58"/>
      <c r="O4134" s="58"/>
      <c r="P4134" s="53"/>
      <c r="Q4134" s="65"/>
      <c r="R4134" s="65"/>
      <c r="S4134" s="65"/>
      <c r="T4134" s="65"/>
      <c r="U4134" s="58"/>
      <c r="V4134" s="65"/>
      <c r="W4134" s="65"/>
      <c r="X4134" s="65"/>
      <c r="Y4134" s="65"/>
      <c r="Z4134" s="51"/>
      <c r="AA4134" s="51"/>
      <c r="AB4134" s="102"/>
      <c r="AC4134" s="81" t="e">
        <f t="shared" si="196"/>
        <v>#DIV/0!</v>
      </c>
      <c r="AD4134" s="82">
        <f t="shared" si="197"/>
        <v>0</v>
      </c>
      <c r="AE4134" s="218"/>
      <c r="AH4134" t="str">
        <f t="shared" si="195"/>
        <v>0000</v>
      </c>
      <c r="AJ4134" s="72"/>
      <c r="AK4134" s="72"/>
      <c r="AL4134" s="72"/>
      <c r="AM4134" s="72"/>
    </row>
    <row r="4135" spans="1:39" x14ac:dyDescent="0.25">
      <c r="A4135" s="37" t="s">
        <v>62</v>
      </c>
      <c r="B4135" s="66"/>
      <c r="C4135" s="4"/>
      <c r="D4135" s="41"/>
      <c r="E4135" s="41"/>
      <c r="F4135" s="85"/>
      <c r="G4135" s="39"/>
      <c r="H4135" s="52"/>
      <c r="I4135" s="52"/>
      <c r="J4135" s="49"/>
      <c r="K4135" s="58"/>
      <c r="L4135" s="58"/>
      <c r="M4135" s="58"/>
      <c r="N4135" s="58"/>
      <c r="O4135" s="58"/>
      <c r="P4135" s="53"/>
      <c r="Q4135" s="65"/>
      <c r="R4135" s="65"/>
      <c r="S4135" s="65"/>
      <c r="T4135" s="65"/>
      <c r="U4135" s="58"/>
      <c r="V4135" s="65"/>
      <c r="W4135" s="65"/>
      <c r="X4135" s="65"/>
      <c r="Y4135" s="65"/>
      <c r="Z4135" s="51"/>
      <c r="AA4135" s="51"/>
      <c r="AB4135" s="102"/>
      <c r="AC4135" s="81" t="e">
        <f t="shared" si="196"/>
        <v>#DIV/0!</v>
      </c>
      <c r="AD4135" s="82">
        <f t="shared" si="197"/>
        <v>0</v>
      </c>
      <c r="AE4135" s="218"/>
      <c r="AH4135" t="str">
        <f t="shared" si="195"/>
        <v>0000</v>
      </c>
      <c r="AJ4135" s="72"/>
      <c r="AK4135" s="72"/>
      <c r="AL4135" s="72"/>
      <c r="AM4135" s="72"/>
    </row>
    <row r="4136" spans="1:39" x14ac:dyDescent="0.25">
      <c r="A4136" s="37" t="s">
        <v>62</v>
      </c>
      <c r="B4136" s="66"/>
      <c r="C4136" s="4"/>
      <c r="D4136" s="41"/>
      <c r="E4136" s="41"/>
      <c r="F4136" s="85"/>
      <c r="G4136" s="39"/>
      <c r="H4136" s="52"/>
      <c r="I4136" s="52"/>
      <c r="J4136" s="49"/>
      <c r="K4136" s="58"/>
      <c r="L4136" s="58"/>
      <c r="M4136" s="58"/>
      <c r="N4136" s="58"/>
      <c r="O4136" s="58"/>
      <c r="P4136" s="53"/>
      <c r="Q4136" s="65"/>
      <c r="R4136" s="65"/>
      <c r="S4136" s="65"/>
      <c r="T4136" s="65"/>
      <c r="U4136" s="58"/>
      <c r="V4136" s="65"/>
      <c r="W4136" s="65"/>
      <c r="X4136" s="65"/>
      <c r="Y4136" s="65"/>
      <c r="Z4136" s="51"/>
      <c r="AA4136" s="51"/>
      <c r="AB4136" s="102"/>
      <c r="AC4136" s="81" t="e">
        <f t="shared" si="196"/>
        <v>#DIV/0!</v>
      </c>
      <c r="AD4136" s="82">
        <f t="shared" si="197"/>
        <v>0</v>
      </c>
      <c r="AE4136" s="218"/>
      <c r="AH4136" t="str">
        <f t="shared" si="195"/>
        <v>0000</v>
      </c>
      <c r="AJ4136" s="72"/>
      <c r="AK4136" s="72"/>
      <c r="AL4136" s="72"/>
      <c r="AM4136" s="72"/>
    </row>
    <row r="4137" spans="1:39" x14ac:dyDescent="0.25">
      <c r="A4137" s="37" t="s">
        <v>62</v>
      </c>
      <c r="B4137" s="66"/>
      <c r="C4137" s="4"/>
      <c r="D4137" s="41"/>
      <c r="E4137" s="41"/>
      <c r="F4137" s="85"/>
      <c r="G4137" s="39"/>
      <c r="H4137" s="52"/>
      <c r="I4137" s="52"/>
      <c r="J4137" s="49"/>
      <c r="K4137" s="58"/>
      <c r="L4137" s="58"/>
      <c r="M4137" s="58"/>
      <c r="N4137" s="58"/>
      <c r="O4137" s="58"/>
      <c r="P4137" s="53"/>
      <c r="Q4137" s="65"/>
      <c r="R4137" s="65"/>
      <c r="S4137" s="65"/>
      <c r="T4137" s="65"/>
      <c r="U4137" s="58"/>
      <c r="V4137" s="65"/>
      <c r="W4137" s="65"/>
      <c r="X4137" s="65"/>
      <c r="Y4137" s="65"/>
      <c r="Z4137" s="51"/>
      <c r="AA4137" s="51"/>
      <c r="AB4137" s="102"/>
      <c r="AC4137" s="81" t="e">
        <f t="shared" si="196"/>
        <v>#DIV/0!</v>
      </c>
      <c r="AD4137" s="82">
        <f t="shared" si="197"/>
        <v>0</v>
      </c>
      <c r="AE4137" s="218"/>
      <c r="AH4137" t="str">
        <f t="shared" si="195"/>
        <v>0000</v>
      </c>
      <c r="AJ4137" s="72"/>
      <c r="AK4137" s="72"/>
      <c r="AL4137" s="72"/>
      <c r="AM4137" s="72"/>
    </row>
    <row r="4138" spans="1:39" x14ac:dyDescent="0.25">
      <c r="A4138" s="37" t="s">
        <v>62</v>
      </c>
      <c r="B4138" s="66"/>
      <c r="C4138" s="4"/>
      <c r="D4138" s="41"/>
      <c r="E4138" s="41"/>
      <c r="F4138" s="85"/>
      <c r="G4138" s="39"/>
      <c r="H4138" s="52"/>
      <c r="I4138" s="52"/>
      <c r="J4138" s="49"/>
      <c r="K4138" s="58"/>
      <c r="L4138" s="58"/>
      <c r="M4138" s="58"/>
      <c r="N4138" s="58"/>
      <c r="O4138" s="58"/>
      <c r="P4138" s="53"/>
      <c r="Q4138" s="65"/>
      <c r="R4138" s="65"/>
      <c r="S4138" s="65"/>
      <c r="T4138" s="65"/>
      <c r="U4138" s="58"/>
      <c r="V4138" s="65"/>
      <c r="W4138" s="65"/>
      <c r="X4138" s="65"/>
      <c r="Y4138" s="65"/>
      <c r="Z4138" s="51"/>
      <c r="AA4138" s="51"/>
      <c r="AB4138" s="102"/>
      <c r="AC4138" s="81" t="e">
        <f t="shared" si="196"/>
        <v>#DIV/0!</v>
      </c>
      <c r="AD4138" s="82">
        <f t="shared" si="197"/>
        <v>0</v>
      </c>
      <c r="AE4138" s="218"/>
      <c r="AH4138" t="str">
        <f t="shared" si="195"/>
        <v>0000</v>
      </c>
      <c r="AJ4138" s="72"/>
      <c r="AK4138" s="72"/>
      <c r="AL4138" s="72"/>
      <c r="AM4138" s="72"/>
    </row>
    <row r="4139" spans="1:39" x14ac:dyDescent="0.25">
      <c r="A4139" s="37" t="s">
        <v>62</v>
      </c>
      <c r="B4139" s="66"/>
      <c r="C4139" s="4"/>
      <c r="D4139" s="41"/>
      <c r="E4139" s="41"/>
      <c r="F4139" s="85"/>
      <c r="G4139" s="39"/>
      <c r="H4139" s="52"/>
      <c r="I4139" s="52"/>
      <c r="J4139" s="49"/>
      <c r="K4139" s="58"/>
      <c r="L4139" s="58"/>
      <c r="M4139" s="58"/>
      <c r="N4139" s="58"/>
      <c r="O4139" s="58"/>
      <c r="P4139" s="53"/>
      <c r="Q4139" s="65"/>
      <c r="R4139" s="65"/>
      <c r="S4139" s="65"/>
      <c r="T4139" s="65"/>
      <c r="U4139" s="58"/>
      <c r="V4139" s="65"/>
      <c r="W4139" s="65"/>
      <c r="X4139" s="65"/>
      <c r="Y4139" s="65"/>
      <c r="Z4139" s="51"/>
      <c r="AA4139" s="51"/>
      <c r="AB4139" s="102"/>
      <c r="AC4139" s="81" t="e">
        <f t="shared" si="196"/>
        <v>#DIV/0!</v>
      </c>
      <c r="AD4139" s="82">
        <f t="shared" si="197"/>
        <v>0</v>
      </c>
      <c r="AE4139" s="218"/>
      <c r="AH4139" t="str">
        <f t="shared" si="195"/>
        <v>0000</v>
      </c>
      <c r="AJ4139" s="72"/>
      <c r="AK4139" s="72"/>
      <c r="AL4139" s="72"/>
      <c r="AM4139" s="72"/>
    </row>
    <row r="4140" spans="1:39" x14ac:dyDescent="0.25">
      <c r="A4140" s="37" t="s">
        <v>62</v>
      </c>
      <c r="B4140" s="66"/>
      <c r="C4140" s="4"/>
      <c r="D4140" s="41"/>
      <c r="E4140" s="41"/>
      <c r="F4140" s="85"/>
      <c r="G4140" s="39"/>
      <c r="H4140" s="52"/>
      <c r="I4140" s="52"/>
      <c r="J4140" s="49"/>
      <c r="K4140" s="58"/>
      <c r="L4140" s="58"/>
      <c r="M4140" s="58"/>
      <c r="N4140" s="58"/>
      <c r="O4140" s="58"/>
      <c r="P4140" s="53"/>
      <c r="Q4140" s="65"/>
      <c r="R4140" s="65"/>
      <c r="S4140" s="65"/>
      <c r="T4140" s="65"/>
      <c r="U4140" s="58"/>
      <c r="V4140" s="65"/>
      <c r="W4140" s="65"/>
      <c r="X4140" s="65"/>
      <c r="Y4140" s="65"/>
      <c r="Z4140" s="51"/>
      <c r="AA4140" s="51"/>
      <c r="AB4140" s="102"/>
      <c r="AC4140" s="81" t="e">
        <f t="shared" si="196"/>
        <v>#DIV/0!</v>
      </c>
      <c r="AD4140" s="82">
        <f t="shared" si="197"/>
        <v>0</v>
      </c>
      <c r="AE4140" s="218"/>
      <c r="AH4140" t="str">
        <f t="shared" si="195"/>
        <v>0000</v>
      </c>
      <c r="AJ4140" s="72"/>
      <c r="AK4140" s="72"/>
      <c r="AL4140" s="72"/>
      <c r="AM4140" s="72"/>
    </row>
    <row r="4141" spans="1:39" x14ac:dyDescent="0.25">
      <c r="A4141" s="37" t="s">
        <v>62</v>
      </c>
      <c r="B4141" s="66"/>
      <c r="C4141" s="4"/>
      <c r="D4141" s="41"/>
      <c r="E4141" s="41"/>
      <c r="F4141" s="85"/>
      <c r="G4141" s="39"/>
      <c r="H4141" s="52"/>
      <c r="I4141" s="52"/>
      <c r="J4141" s="49"/>
      <c r="K4141" s="58"/>
      <c r="L4141" s="58"/>
      <c r="M4141" s="58"/>
      <c r="N4141" s="58"/>
      <c r="O4141" s="58"/>
      <c r="P4141" s="53"/>
      <c r="Q4141" s="65"/>
      <c r="R4141" s="65"/>
      <c r="S4141" s="65"/>
      <c r="T4141" s="65"/>
      <c r="U4141" s="58"/>
      <c r="V4141" s="65"/>
      <c r="W4141" s="65"/>
      <c r="X4141" s="65"/>
      <c r="Y4141" s="65"/>
      <c r="Z4141" s="51"/>
      <c r="AA4141" s="51"/>
      <c r="AB4141" s="102"/>
      <c r="AC4141" s="81" t="e">
        <f t="shared" si="196"/>
        <v>#DIV/0!</v>
      </c>
      <c r="AD4141" s="82">
        <f t="shared" si="197"/>
        <v>0</v>
      </c>
      <c r="AE4141" s="218"/>
      <c r="AH4141" t="str">
        <f t="shared" si="195"/>
        <v>0000</v>
      </c>
      <c r="AJ4141" s="72"/>
      <c r="AK4141" s="72"/>
      <c r="AL4141" s="72"/>
      <c r="AM4141" s="72"/>
    </row>
    <row r="4142" spans="1:39" x14ac:dyDescent="0.25">
      <c r="A4142" s="37" t="s">
        <v>62</v>
      </c>
      <c r="B4142" s="66"/>
      <c r="C4142" s="4"/>
      <c r="D4142" s="41"/>
      <c r="E4142" s="41"/>
      <c r="F4142" s="85"/>
      <c r="G4142" s="39"/>
      <c r="H4142" s="52"/>
      <c r="I4142" s="52"/>
      <c r="J4142" s="49"/>
      <c r="K4142" s="58"/>
      <c r="L4142" s="58"/>
      <c r="M4142" s="58"/>
      <c r="N4142" s="58"/>
      <c r="O4142" s="58"/>
      <c r="P4142" s="53"/>
      <c r="Q4142" s="65"/>
      <c r="R4142" s="65"/>
      <c r="S4142" s="65"/>
      <c r="T4142" s="65"/>
      <c r="U4142" s="58"/>
      <c r="V4142" s="65"/>
      <c r="W4142" s="65"/>
      <c r="X4142" s="65"/>
      <c r="Y4142" s="65"/>
      <c r="Z4142" s="51"/>
      <c r="AA4142" s="51"/>
      <c r="AB4142" s="102"/>
      <c r="AC4142" s="81" t="e">
        <f t="shared" si="196"/>
        <v>#DIV/0!</v>
      </c>
      <c r="AD4142" s="82">
        <f t="shared" si="197"/>
        <v>0</v>
      </c>
      <c r="AE4142" s="218"/>
      <c r="AH4142" t="str">
        <f t="shared" si="195"/>
        <v>0000</v>
      </c>
      <c r="AJ4142" s="72"/>
      <c r="AK4142" s="72"/>
      <c r="AL4142" s="72"/>
      <c r="AM4142" s="72"/>
    </row>
    <row r="4143" spans="1:39" x14ac:dyDescent="0.25">
      <c r="A4143" s="37" t="s">
        <v>62</v>
      </c>
      <c r="B4143" s="66"/>
      <c r="C4143" s="4"/>
      <c r="D4143" s="41"/>
      <c r="E4143" s="41"/>
      <c r="F4143" s="85"/>
      <c r="G4143" s="39"/>
      <c r="H4143" s="52"/>
      <c r="I4143" s="52"/>
      <c r="J4143" s="49"/>
      <c r="K4143" s="58"/>
      <c r="L4143" s="58"/>
      <c r="M4143" s="58"/>
      <c r="N4143" s="58"/>
      <c r="O4143" s="58"/>
      <c r="P4143" s="53"/>
      <c r="Q4143" s="65"/>
      <c r="R4143" s="65"/>
      <c r="S4143" s="65"/>
      <c r="T4143" s="65"/>
      <c r="U4143" s="58"/>
      <c r="V4143" s="65"/>
      <c r="W4143" s="65"/>
      <c r="X4143" s="65"/>
      <c r="Y4143" s="65"/>
      <c r="Z4143" s="51"/>
      <c r="AA4143" s="51"/>
      <c r="AB4143" s="102"/>
      <c r="AC4143" s="81" t="e">
        <f t="shared" si="196"/>
        <v>#DIV/0!</v>
      </c>
      <c r="AD4143" s="82">
        <f t="shared" si="197"/>
        <v>0</v>
      </c>
      <c r="AE4143" s="218"/>
      <c r="AH4143" t="str">
        <f t="shared" si="195"/>
        <v>0000</v>
      </c>
      <c r="AJ4143" s="72"/>
      <c r="AK4143" s="72"/>
      <c r="AL4143" s="72"/>
      <c r="AM4143" s="72"/>
    </row>
    <row r="4144" spans="1:39" x14ac:dyDescent="0.25">
      <c r="A4144" s="37" t="s">
        <v>62</v>
      </c>
      <c r="B4144" s="66"/>
      <c r="C4144" s="4"/>
      <c r="D4144" s="41"/>
      <c r="E4144" s="41"/>
      <c r="F4144" s="85"/>
      <c r="G4144" s="39"/>
      <c r="H4144" s="52"/>
      <c r="I4144" s="52"/>
      <c r="J4144" s="49"/>
      <c r="K4144" s="58"/>
      <c r="L4144" s="58"/>
      <c r="M4144" s="58"/>
      <c r="N4144" s="58"/>
      <c r="O4144" s="58"/>
      <c r="P4144" s="53"/>
      <c r="Q4144" s="65"/>
      <c r="R4144" s="65"/>
      <c r="S4144" s="65"/>
      <c r="T4144" s="65"/>
      <c r="U4144" s="58"/>
      <c r="V4144" s="65"/>
      <c r="W4144" s="65"/>
      <c r="X4144" s="65"/>
      <c r="Y4144" s="65"/>
      <c r="Z4144" s="51"/>
      <c r="AA4144" s="51"/>
      <c r="AB4144" s="102"/>
      <c r="AC4144" s="81" t="e">
        <f t="shared" si="196"/>
        <v>#DIV/0!</v>
      </c>
      <c r="AD4144" s="82">
        <f t="shared" si="197"/>
        <v>0</v>
      </c>
      <c r="AE4144" s="218"/>
      <c r="AH4144" t="str">
        <f t="shared" si="195"/>
        <v>0000</v>
      </c>
      <c r="AJ4144" s="72"/>
      <c r="AK4144" s="72"/>
      <c r="AL4144" s="72"/>
      <c r="AM4144" s="72"/>
    </row>
    <row r="4145" spans="1:39" x14ac:dyDescent="0.25">
      <c r="A4145" s="37" t="s">
        <v>62</v>
      </c>
      <c r="B4145" s="66"/>
      <c r="C4145" s="4"/>
      <c r="D4145" s="41"/>
      <c r="E4145" s="41"/>
      <c r="F4145" s="85"/>
      <c r="G4145" s="39"/>
      <c r="H4145" s="52"/>
      <c r="I4145" s="52"/>
      <c r="J4145" s="49"/>
      <c r="K4145" s="58"/>
      <c r="L4145" s="58"/>
      <c r="M4145" s="58"/>
      <c r="N4145" s="58"/>
      <c r="O4145" s="58"/>
      <c r="P4145" s="53"/>
      <c r="Q4145" s="65"/>
      <c r="R4145" s="65"/>
      <c r="S4145" s="65"/>
      <c r="T4145" s="65"/>
      <c r="U4145" s="58"/>
      <c r="V4145" s="65"/>
      <c r="W4145" s="65"/>
      <c r="X4145" s="65"/>
      <c r="Y4145" s="65"/>
      <c r="Z4145" s="51"/>
      <c r="AA4145" s="51"/>
      <c r="AB4145" s="102"/>
      <c r="AC4145" s="81" t="e">
        <f t="shared" si="196"/>
        <v>#DIV/0!</v>
      </c>
      <c r="AD4145" s="82">
        <f t="shared" si="197"/>
        <v>0</v>
      </c>
      <c r="AE4145" s="218"/>
      <c r="AH4145" t="str">
        <f t="shared" si="195"/>
        <v>0000</v>
      </c>
      <c r="AJ4145" s="72"/>
      <c r="AK4145" s="72"/>
      <c r="AL4145" s="72"/>
      <c r="AM4145" s="72"/>
    </row>
    <row r="4146" spans="1:39" x14ac:dyDescent="0.25">
      <c r="A4146" s="37" t="s">
        <v>62</v>
      </c>
      <c r="B4146" s="66"/>
      <c r="C4146" s="4"/>
      <c r="D4146" s="41"/>
      <c r="E4146" s="41"/>
      <c r="F4146" s="85"/>
      <c r="G4146" s="39"/>
      <c r="H4146" s="52"/>
      <c r="I4146" s="52"/>
      <c r="J4146" s="49"/>
      <c r="K4146" s="58"/>
      <c r="L4146" s="58"/>
      <c r="M4146" s="58"/>
      <c r="N4146" s="58"/>
      <c r="O4146" s="58"/>
      <c r="P4146" s="53"/>
      <c r="Q4146" s="65"/>
      <c r="R4146" s="65"/>
      <c r="S4146" s="65"/>
      <c r="T4146" s="65"/>
      <c r="U4146" s="58"/>
      <c r="V4146" s="65"/>
      <c r="W4146" s="65"/>
      <c r="X4146" s="65"/>
      <c r="Y4146" s="65"/>
      <c r="Z4146" s="51"/>
      <c r="AA4146" s="51"/>
      <c r="AB4146" s="102"/>
      <c r="AC4146" s="81" t="e">
        <f t="shared" si="196"/>
        <v>#DIV/0!</v>
      </c>
      <c r="AD4146" s="82">
        <f t="shared" si="197"/>
        <v>0</v>
      </c>
      <c r="AE4146" s="218"/>
      <c r="AH4146" t="str">
        <f t="shared" si="195"/>
        <v>0000</v>
      </c>
      <c r="AJ4146" s="72"/>
      <c r="AK4146" s="72"/>
      <c r="AL4146" s="72"/>
      <c r="AM4146" s="72"/>
    </row>
    <row r="4147" spans="1:39" x14ac:dyDescent="0.25">
      <c r="A4147" s="37" t="s">
        <v>62</v>
      </c>
      <c r="B4147" s="66"/>
      <c r="C4147" s="4"/>
      <c r="D4147" s="41"/>
      <c r="E4147" s="41"/>
      <c r="F4147" s="85"/>
      <c r="G4147" s="39"/>
      <c r="H4147" s="52"/>
      <c r="I4147" s="52"/>
      <c r="J4147" s="49"/>
      <c r="K4147" s="58"/>
      <c r="L4147" s="58"/>
      <c r="M4147" s="58"/>
      <c r="N4147" s="58"/>
      <c r="O4147" s="58"/>
      <c r="P4147" s="53"/>
      <c r="Q4147" s="65"/>
      <c r="R4147" s="65"/>
      <c r="S4147" s="65"/>
      <c r="T4147" s="65"/>
      <c r="U4147" s="58"/>
      <c r="V4147" s="65"/>
      <c r="W4147" s="65"/>
      <c r="X4147" s="65"/>
      <c r="Y4147" s="65"/>
      <c r="Z4147" s="51"/>
      <c r="AA4147" s="51"/>
      <c r="AB4147" s="102"/>
      <c r="AC4147" s="81" t="e">
        <f t="shared" si="196"/>
        <v>#DIV/0!</v>
      </c>
      <c r="AD4147" s="82">
        <f t="shared" si="197"/>
        <v>0</v>
      </c>
      <c r="AE4147" s="218"/>
      <c r="AH4147" t="str">
        <f t="shared" si="195"/>
        <v>0000</v>
      </c>
      <c r="AJ4147" s="72"/>
      <c r="AK4147" s="72"/>
      <c r="AL4147" s="72"/>
      <c r="AM4147" s="72"/>
    </row>
    <row r="4148" spans="1:39" x14ac:dyDescent="0.25">
      <c r="A4148" s="37" t="s">
        <v>62</v>
      </c>
      <c r="B4148" s="66"/>
      <c r="C4148" s="4"/>
      <c r="D4148" s="41"/>
      <c r="E4148" s="41"/>
      <c r="F4148" s="85"/>
      <c r="G4148" s="39"/>
      <c r="H4148" s="52"/>
      <c r="I4148" s="52"/>
      <c r="J4148" s="49"/>
      <c r="K4148" s="58"/>
      <c r="L4148" s="58"/>
      <c r="M4148" s="58"/>
      <c r="N4148" s="58"/>
      <c r="O4148" s="58"/>
      <c r="P4148" s="53"/>
      <c r="Q4148" s="65"/>
      <c r="R4148" s="65"/>
      <c r="S4148" s="65"/>
      <c r="T4148" s="65"/>
      <c r="U4148" s="58"/>
      <c r="V4148" s="65"/>
      <c r="W4148" s="65"/>
      <c r="X4148" s="65"/>
      <c r="Y4148" s="65"/>
      <c r="Z4148" s="51"/>
      <c r="AA4148" s="51"/>
      <c r="AB4148" s="102"/>
      <c r="AC4148" s="81" t="e">
        <f t="shared" si="196"/>
        <v>#DIV/0!</v>
      </c>
      <c r="AD4148" s="82">
        <f t="shared" si="197"/>
        <v>0</v>
      </c>
      <c r="AE4148" s="218"/>
      <c r="AH4148" t="str">
        <f t="shared" si="195"/>
        <v>0000</v>
      </c>
      <c r="AJ4148" s="72"/>
      <c r="AK4148" s="72"/>
      <c r="AL4148" s="72"/>
      <c r="AM4148" s="72"/>
    </row>
    <row r="4149" spans="1:39" x14ac:dyDescent="0.25">
      <c r="A4149" s="37" t="s">
        <v>62</v>
      </c>
      <c r="B4149" s="66"/>
      <c r="C4149" s="4"/>
      <c r="D4149" s="41"/>
      <c r="E4149" s="41"/>
      <c r="F4149" s="85"/>
      <c r="G4149" s="39"/>
      <c r="H4149" s="52"/>
      <c r="I4149" s="52"/>
      <c r="J4149" s="49"/>
      <c r="K4149" s="58"/>
      <c r="L4149" s="58"/>
      <c r="M4149" s="58"/>
      <c r="N4149" s="58"/>
      <c r="O4149" s="58"/>
      <c r="P4149" s="53"/>
      <c r="Q4149" s="65"/>
      <c r="R4149" s="65"/>
      <c r="S4149" s="65"/>
      <c r="T4149" s="65"/>
      <c r="U4149" s="58"/>
      <c r="V4149" s="65"/>
      <c r="W4149" s="65"/>
      <c r="X4149" s="65"/>
      <c r="Y4149" s="65"/>
      <c r="Z4149" s="51"/>
      <c r="AA4149" s="51"/>
      <c r="AB4149" s="102"/>
      <c r="AC4149" s="81" t="e">
        <f t="shared" si="196"/>
        <v>#DIV/0!</v>
      </c>
      <c r="AD4149" s="82">
        <f t="shared" si="197"/>
        <v>0</v>
      </c>
      <c r="AE4149" s="218"/>
      <c r="AH4149" t="str">
        <f t="shared" si="195"/>
        <v>0000</v>
      </c>
      <c r="AJ4149" s="72"/>
      <c r="AK4149" s="72"/>
      <c r="AL4149" s="72"/>
      <c r="AM4149" s="72"/>
    </row>
    <row r="4150" spans="1:39" x14ac:dyDescent="0.25">
      <c r="A4150" s="37" t="s">
        <v>62</v>
      </c>
      <c r="B4150" s="66"/>
      <c r="C4150" s="4"/>
      <c r="D4150" s="41"/>
      <c r="E4150" s="41"/>
      <c r="F4150" s="85"/>
      <c r="G4150" s="39"/>
      <c r="H4150" s="52"/>
      <c r="I4150" s="52"/>
      <c r="J4150" s="49"/>
      <c r="K4150" s="58"/>
      <c r="L4150" s="58"/>
      <c r="M4150" s="58"/>
      <c r="N4150" s="58"/>
      <c r="O4150" s="58"/>
      <c r="P4150" s="53"/>
      <c r="Q4150" s="65"/>
      <c r="R4150" s="65"/>
      <c r="S4150" s="65"/>
      <c r="T4150" s="65"/>
      <c r="U4150" s="58"/>
      <c r="V4150" s="65"/>
      <c r="W4150" s="65"/>
      <c r="X4150" s="65"/>
      <c r="Y4150" s="65"/>
      <c r="Z4150" s="51"/>
      <c r="AA4150" s="51"/>
      <c r="AB4150" s="102"/>
      <c r="AC4150" s="81" t="e">
        <f t="shared" si="196"/>
        <v>#DIV/0!</v>
      </c>
      <c r="AD4150" s="82">
        <f t="shared" si="197"/>
        <v>0</v>
      </c>
      <c r="AE4150" s="218"/>
      <c r="AH4150" t="str">
        <f t="shared" si="195"/>
        <v>0000</v>
      </c>
      <c r="AJ4150" s="72"/>
      <c r="AK4150" s="72"/>
      <c r="AL4150" s="72"/>
      <c r="AM4150" s="72"/>
    </row>
    <row r="4151" spans="1:39" x14ac:dyDescent="0.25">
      <c r="A4151" s="37" t="s">
        <v>62</v>
      </c>
      <c r="B4151" s="66"/>
      <c r="C4151" s="4"/>
      <c r="D4151" s="41"/>
      <c r="E4151" s="41"/>
      <c r="F4151" s="85"/>
      <c r="G4151" s="39"/>
      <c r="H4151" s="52"/>
      <c r="I4151" s="52"/>
      <c r="J4151" s="49"/>
      <c r="K4151" s="58"/>
      <c r="L4151" s="58"/>
      <c r="M4151" s="58"/>
      <c r="N4151" s="58"/>
      <c r="O4151" s="58"/>
      <c r="P4151" s="53"/>
      <c r="Q4151" s="65"/>
      <c r="R4151" s="65"/>
      <c r="S4151" s="65"/>
      <c r="T4151" s="65"/>
      <c r="U4151" s="58"/>
      <c r="V4151" s="65"/>
      <c r="W4151" s="65"/>
      <c r="X4151" s="65"/>
      <c r="Y4151" s="65"/>
      <c r="Z4151" s="51"/>
      <c r="AA4151" s="51"/>
      <c r="AB4151" s="102"/>
      <c r="AC4151" s="81" t="e">
        <f t="shared" si="196"/>
        <v>#DIV/0!</v>
      </c>
      <c r="AD4151" s="82">
        <f t="shared" si="197"/>
        <v>0</v>
      </c>
      <c r="AE4151" s="218"/>
      <c r="AH4151" t="str">
        <f t="shared" si="195"/>
        <v>0000</v>
      </c>
      <c r="AJ4151" s="72"/>
      <c r="AK4151" s="72"/>
      <c r="AL4151" s="72"/>
      <c r="AM4151" s="72"/>
    </row>
    <row r="4152" spans="1:39" x14ac:dyDescent="0.25">
      <c r="A4152" s="37" t="s">
        <v>62</v>
      </c>
      <c r="B4152" s="66"/>
      <c r="C4152" s="4"/>
      <c r="D4152" s="41"/>
      <c r="E4152" s="41"/>
      <c r="F4152" s="85"/>
      <c r="G4152" s="39"/>
      <c r="H4152" s="52"/>
      <c r="I4152" s="52"/>
      <c r="J4152" s="49"/>
      <c r="K4152" s="58"/>
      <c r="L4152" s="58"/>
      <c r="M4152" s="58"/>
      <c r="N4152" s="58"/>
      <c r="O4152" s="58"/>
      <c r="P4152" s="53"/>
      <c r="Q4152" s="65"/>
      <c r="R4152" s="65"/>
      <c r="S4152" s="65"/>
      <c r="T4152" s="65"/>
      <c r="U4152" s="58"/>
      <c r="V4152" s="65"/>
      <c r="W4152" s="65"/>
      <c r="X4152" s="65"/>
      <c r="Y4152" s="65"/>
      <c r="Z4152" s="51"/>
      <c r="AA4152" s="51"/>
      <c r="AB4152" s="102"/>
      <c r="AC4152" s="81" t="e">
        <f t="shared" si="196"/>
        <v>#DIV/0!</v>
      </c>
      <c r="AD4152" s="82">
        <f t="shared" si="197"/>
        <v>0</v>
      </c>
      <c r="AE4152" s="218"/>
      <c r="AH4152" t="str">
        <f t="shared" si="195"/>
        <v>0000</v>
      </c>
      <c r="AJ4152" s="72"/>
      <c r="AK4152" s="72"/>
      <c r="AL4152" s="72"/>
      <c r="AM4152" s="72"/>
    </row>
    <row r="4153" spans="1:39" x14ac:dyDescent="0.25">
      <c r="A4153" s="37" t="s">
        <v>62</v>
      </c>
      <c r="B4153" s="66"/>
      <c r="C4153" s="4"/>
      <c r="D4153" s="41"/>
      <c r="E4153" s="41"/>
      <c r="F4153" s="85"/>
      <c r="G4153" s="39"/>
      <c r="H4153" s="52"/>
      <c r="I4153" s="52"/>
      <c r="J4153" s="49"/>
      <c r="K4153" s="58"/>
      <c r="L4153" s="58"/>
      <c r="M4153" s="58"/>
      <c r="N4153" s="58"/>
      <c r="O4153" s="58"/>
      <c r="P4153" s="53"/>
      <c r="Q4153" s="65"/>
      <c r="R4153" s="65"/>
      <c r="S4153" s="65"/>
      <c r="T4153" s="65"/>
      <c r="U4153" s="58"/>
      <c r="V4153" s="65"/>
      <c r="W4153" s="65"/>
      <c r="X4153" s="65"/>
      <c r="Y4153" s="65"/>
      <c r="Z4153" s="51"/>
      <c r="AA4153" s="51"/>
      <c r="AB4153" s="102"/>
      <c r="AC4153" s="81" t="e">
        <f t="shared" si="196"/>
        <v>#DIV/0!</v>
      </c>
      <c r="AD4153" s="82">
        <f t="shared" si="197"/>
        <v>0</v>
      </c>
      <c r="AE4153" s="218"/>
      <c r="AH4153" t="str">
        <f t="shared" si="195"/>
        <v>0000</v>
      </c>
      <c r="AJ4153" s="72"/>
      <c r="AK4153" s="72"/>
      <c r="AL4153" s="72"/>
      <c r="AM4153" s="72"/>
    </row>
    <row r="4154" spans="1:39" x14ac:dyDescent="0.25">
      <c r="A4154" s="37" t="s">
        <v>62</v>
      </c>
      <c r="B4154" s="66"/>
      <c r="C4154" s="4"/>
      <c r="D4154" s="41"/>
      <c r="E4154" s="41"/>
      <c r="F4154" s="85"/>
      <c r="G4154" s="39"/>
      <c r="H4154" s="52"/>
      <c r="I4154" s="52"/>
      <c r="J4154" s="49"/>
      <c r="K4154" s="58"/>
      <c r="L4154" s="58"/>
      <c r="M4154" s="58"/>
      <c r="N4154" s="58"/>
      <c r="O4154" s="58"/>
      <c r="P4154" s="53"/>
      <c r="Q4154" s="65"/>
      <c r="R4154" s="65"/>
      <c r="S4154" s="65"/>
      <c r="T4154" s="65"/>
      <c r="U4154" s="58"/>
      <c r="V4154" s="65"/>
      <c r="W4154" s="65"/>
      <c r="X4154" s="65"/>
      <c r="Y4154" s="65"/>
      <c r="Z4154" s="51"/>
      <c r="AA4154" s="51"/>
      <c r="AB4154" s="102"/>
      <c r="AC4154" s="81" t="e">
        <f t="shared" si="196"/>
        <v>#DIV/0!</v>
      </c>
      <c r="AD4154" s="82">
        <f t="shared" si="197"/>
        <v>0</v>
      </c>
      <c r="AE4154" s="218"/>
      <c r="AH4154" t="str">
        <f t="shared" ref="AH4154:AH4217" si="198">TEXT(D4154,"0000")</f>
        <v>0000</v>
      </c>
      <c r="AJ4154" s="72"/>
      <c r="AK4154" s="72"/>
      <c r="AL4154" s="72"/>
      <c r="AM4154" s="72"/>
    </row>
    <row r="4155" spans="1:39" x14ac:dyDescent="0.25">
      <c r="A4155" s="37" t="s">
        <v>62</v>
      </c>
      <c r="B4155" s="66"/>
      <c r="C4155" s="4"/>
      <c r="D4155" s="41"/>
      <c r="E4155" s="41"/>
      <c r="F4155" s="85"/>
      <c r="G4155" s="39"/>
      <c r="H4155" s="52"/>
      <c r="I4155" s="52"/>
      <c r="J4155" s="49"/>
      <c r="K4155" s="58"/>
      <c r="L4155" s="58"/>
      <c r="M4155" s="58"/>
      <c r="N4155" s="58"/>
      <c r="O4155" s="58"/>
      <c r="P4155" s="53"/>
      <c r="Q4155" s="65"/>
      <c r="R4155" s="65"/>
      <c r="S4155" s="65"/>
      <c r="T4155" s="65"/>
      <c r="U4155" s="58"/>
      <c r="V4155" s="65"/>
      <c r="W4155" s="65"/>
      <c r="X4155" s="65"/>
      <c r="Y4155" s="65"/>
      <c r="Z4155" s="51"/>
      <c r="AA4155" s="51"/>
      <c r="AB4155" s="102"/>
      <c r="AC4155" s="81" t="e">
        <f t="shared" si="196"/>
        <v>#DIV/0!</v>
      </c>
      <c r="AD4155" s="82">
        <f t="shared" si="197"/>
        <v>0</v>
      </c>
      <c r="AE4155" s="218"/>
      <c r="AH4155" t="str">
        <f t="shared" si="198"/>
        <v>0000</v>
      </c>
      <c r="AJ4155" s="72"/>
      <c r="AK4155" s="72"/>
      <c r="AL4155" s="72"/>
      <c r="AM4155" s="72"/>
    </row>
    <row r="4156" spans="1:39" x14ac:dyDescent="0.25">
      <c r="A4156" s="37" t="s">
        <v>62</v>
      </c>
      <c r="B4156" s="66"/>
      <c r="C4156" s="4"/>
      <c r="D4156" s="41"/>
      <c r="E4156" s="41"/>
      <c r="F4156" s="85"/>
      <c r="G4156" s="39"/>
      <c r="H4156" s="52"/>
      <c r="I4156" s="52"/>
      <c r="J4156" s="49"/>
      <c r="K4156" s="58"/>
      <c r="L4156" s="58"/>
      <c r="M4156" s="58"/>
      <c r="N4156" s="58"/>
      <c r="O4156" s="58"/>
      <c r="P4156" s="53"/>
      <c r="Q4156" s="65"/>
      <c r="R4156" s="65"/>
      <c r="S4156" s="65"/>
      <c r="T4156" s="65"/>
      <c r="U4156" s="58"/>
      <c r="V4156" s="65"/>
      <c r="W4156" s="65"/>
      <c r="X4156" s="65"/>
      <c r="Y4156" s="65"/>
      <c r="Z4156" s="51"/>
      <c r="AA4156" s="51"/>
      <c r="AB4156" s="102"/>
      <c r="AC4156" s="81" t="e">
        <f t="shared" si="196"/>
        <v>#DIV/0!</v>
      </c>
      <c r="AD4156" s="82">
        <f t="shared" si="197"/>
        <v>0</v>
      </c>
      <c r="AE4156" s="218"/>
      <c r="AH4156" t="str">
        <f t="shared" si="198"/>
        <v>0000</v>
      </c>
      <c r="AJ4156" s="72"/>
      <c r="AK4156" s="72"/>
      <c r="AL4156" s="72"/>
      <c r="AM4156" s="72"/>
    </row>
    <row r="4157" spans="1:39" x14ac:dyDescent="0.25">
      <c r="A4157" s="37" t="s">
        <v>62</v>
      </c>
      <c r="B4157" s="66"/>
      <c r="C4157" s="4"/>
      <c r="D4157" s="41"/>
      <c r="E4157" s="41"/>
      <c r="F4157" s="85"/>
      <c r="G4157" s="39"/>
      <c r="H4157" s="52"/>
      <c r="I4157" s="52"/>
      <c r="J4157" s="49"/>
      <c r="K4157" s="58"/>
      <c r="L4157" s="58"/>
      <c r="M4157" s="58"/>
      <c r="N4157" s="58"/>
      <c r="O4157" s="58"/>
      <c r="P4157" s="53"/>
      <c r="Q4157" s="65"/>
      <c r="R4157" s="65"/>
      <c r="S4157" s="65"/>
      <c r="T4157" s="65"/>
      <c r="U4157" s="58"/>
      <c r="V4157" s="65"/>
      <c r="W4157" s="65"/>
      <c r="X4157" s="65"/>
      <c r="Y4157" s="65"/>
      <c r="Z4157" s="51"/>
      <c r="AA4157" s="51"/>
      <c r="AB4157" s="102"/>
      <c r="AC4157" s="81" t="e">
        <f t="shared" si="196"/>
        <v>#DIV/0!</v>
      </c>
      <c r="AD4157" s="82">
        <f t="shared" si="197"/>
        <v>0</v>
      </c>
      <c r="AE4157" s="218"/>
      <c r="AH4157" t="str">
        <f t="shared" si="198"/>
        <v>0000</v>
      </c>
      <c r="AJ4157" s="72"/>
      <c r="AK4157" s="72"/>
      <c r="AL4157" s="72"/>
      <c r="AM4157" s="72"/>
    </row>
    <row r="4158" spans="1:39" x14ac:dyDescent="0.25">
      <c r="A4158" s="37" t="s">
        <v>62</v>
      </c>
      <c r="B4158" s="66"/>
      <c r="C4158" s="4"/>
      <c r="D4158" s="41"/>
      <c r="E4158" s="41"/>
      <c r="F4158" s="85"/>
      <c r="G4158" s="39"/>
      <c r="H4158" s="52"/>
      <c r="I4158" s="52"/>
      <c r="J4158" s="49"/>
      <c r="K4158" s="58"/>
      <c r="L4158" s="58"/>
      <c r="M4158" s="58"/>
      <c r="N4158" s="58"/>
      <c r="O4158" s="58"/>
      <c r="P4158" s="53"/>
      <c r="Q4158" s="65"/>
      <c r="R4158" s="65"/>
      <c r="S4158" s="65"/>
      <c r="T4158" s="65"/>
      <c r="U4158" s="58"/>
      <c r="V4158" s="65"/>
      <c r="W4158" s="65"/>
      <c r="X4158" s="65"/>
      <c r="Y4158" s="65"/>
      <c r="Z4158" s="51"/>
      <c r="AA4158" s="51"/>
      <c r="AB4158" s="102"/>
      <c r="AC4158" s="81" t="e">
        <f t="shared" si="196"/>
        <v>#DIV/0!</v>
      </c>
      <c r="AD4158" s="82">
        <f t="shared" si="197"/>
        <v>0</v>
      </c>
      <c r="AE4158" s="218"/>
      <c r="AH4158" t="str">
        <f t="shared" si="198"/>
        <v>0000</v>
      </c>
      <c r="AJ4158" s="72"/>
      <c r="AK4158" s="72"/>
      <c r="AL4158" s="72"/>
      <c r="AM4158" s="72"/>
    </row>
    <row r="4159" spans="1:39" x14ac:dyDescent="0.25">
      <c r="A4159" s="37" t="s">
        <v>62</v>
      </c>
      <c r="B4159" s="66"/>
      <c r="C4159" s="4"/>
      <c r="D4159" s="41"/>
      <c r="E4159" s="41"/>
      <c r="F4159" s="85"/>
      <c r="G4159" s="39"/>
      <c r="H4159" s="52"/>
      <c r="I4159" s="52"/>
      <c r="J4159" s="49"/>
      <c r="K4159" s="58"/>
      <c r="L4159" s="58"/>
      <c r="M4159" s="58"/>
      <c r="N4159" s="58"/>
      <c r="O4159" s="58"/>
      <c r="P4159" s="53"/>
      <c r="Q4159" s="65"/>
      <c r="R4159" s="65"/>
      <c r="S4159" s="65"/>
      <c r="T4159" s="65"/>
      <c r="U4159" s="58"/>
      <c r="V4159" s="65"/>
      <c r="W4159" s="65"/>
      <c r="X4159" s="65"/>
      <c r="Y4159" s="65"/>
      <c r="Z4159" s="51"/>
      <c r="AA4159" s="51"/>
      <c r="AB4159" s="102"/>
      <c r="AC4159" s="81" t="e">
        <f t="shared" si="196"/>
        <v>#DIV/0!</v>
      </c>
      <c r="AD4159" s="82">
        <f t="shared" si="197"/>
        <v>0</v>
      </c>
      <c r="AE4159" s="218"/>
      <c r="AH4159" t="str">
        <f t="shared" si="198"/>
        <v>0000</v>
      </c>
      <c r="AJ4159" s="72"/>
      <c r="AK4159" s="72"/>
      <c r="AL4159" s="72"/>
      <c r="AM4159" s="72"/>
    </row>
    <row r="4160" spans="1:39" x14ac:dyDescent="0.25">
      <c r="A4160" s="37" t="s">
        <v>62</v>
      </c>
      <c r="B4160" s="66"/>
      <c r="C4160" s="4"/>
      <c r="D4160" s="41"/>
      <c r="E4160" s="41"/>
      <c r="F4160" s="85"/>
      <c r="G4160" s="39"/>
      <c r="H4160" s="52"/>
      <c r="I4160" s="52"/>
      <c r="J4160" s="49"/>
      <c r="K4160" s="58"/>
      <c r="L4160" s="58"/>
      <c r="M4160" s="58"/>
      <c r="N4160" s="58"/>
      <c r="O4160" s="58"/>
      <c r="P4160" s="53"/>
      <c r="Q4160" s="65"/>
      <c r="R4160" s="65"/>
      <c r="S4160" s="65"/>
      <c r="T4160" s="65"/>
      <c r="U4160" s="58"/>
      <c r="V4160" s="65"/>
      <c r="W4160" s="65"/>
      <c r="X4160" s="65"/>
      <c r="Y4160" s="65"/>
      <c r="Z4160" s="51"/>
      <c r="AA4160" s="51"/>
      <c r="AB4160" s="102"/>
      <c r="AC4160" s="81" t="e">
        <f t="shared" si="196"/>
        <v>#DIV/0!</v>
      </c>
      <c r="AD4160" s="82">
        <f t="shared" si="197"/>
        <v>0</v>
      </c>
      <c r="AE4160" s="218"/>
      <c r="AH4160" t="str">
        <f t="shared" si="198"/>
        <v>0000</v>
      </c>
      <c r="AJ4160" s="72"/>
      <c r="AK4160" s="72"/>
      <c r="AL4160" s="72"/>
      <c r="AM4160" s="72"/>
    </row>
    <row r="4161" spans="1:39" x14ac:dyDescent="0.25">
      <c r="A4161" s="37" t="s">
        <v>62</v>
      </c>
      <c r="B4161" s="66"/>
      <c r="C4161" s="4"/>
      <c r="D4161" s="41"/>
      <c r="E4161" s="41"/>
      <c r="F4161" s="85"/>
      <c r="G4161" s="39"/>
      <c r="H4161" s="52"/>
      <c r="I4161" s="52"/>
      <c r="J4161" s="49"/>
      <c r="K4161" s="58"/>
      <c r="L4161" s="58"/>
      <c r="M4161" s="58"/>
      <c r="N4161" s="58"/>
      <c r="O4161" s="58"/>
      <c r="P4161" s="53"/>
      <c r="Q4161" s="65"/>
      <c r="R4161" s="65"/>
      <c r="S4161" s="65"/>
      <c r="T4161" s="65"/>
      <c r="U4161" s="58"/>
      <c r="V4161" s="65"/>
      <c r="W4161" s="65"/>
      <c r="X4161" s="65"/>
      <c r="Y4161" s="65"/>
      <c r="Z4161" s="51"/>
      <c r="AA4161" s="51"/>
      <c r="AB4161" s="102"/>
      <c r="AC4161" s="81" t="e">
        <f t="shared" ref="AC4161:AC4224" si="199">((IF(AD4161=0,0,100-AD4161))*7*(J4161/I4161))*2%</f>
        <v>#DIV/0!</v>
      </c>
      <c r="AD4161" s="82">
        <f t="shared" ref="AD4161:AD4224" si="200">IF((I4161/7)&gt;100,0,(I4161/7))</f>
        <v>0</v>
      </c>
      <c r="AE4161" s="218"/>
      <c r="AH4161" t="str">
        <f t="shared" si="198"/>
        <v>0000</v>
      </c>
      <c r="AJ4161" s="72"/>
      <c r="AK4161" s="72"/>
      <c r="AL4161" s="72"/>
      <c r="AM4161" s="72"/>
    </row>
    <row r="4162" spans="1:39" x14ac:dyDescent="0.25">
      <c r="A4162" s="37" t="s">
        <v>62</v>
      </c>
      <c r="B4162" s="66"/>
      <c r="C4162" s="4"/>
      <c r="D4162" s="41"/>
      <c r="E4162" s="41"/>
      <c r="F4162" s="85"/>
      <c r="G4162" s="39"/>
      <c r="H4162" s="52"/>
      <c r="I4162" s="52"/>
      <c r="J4162" s="49"/>
      <c r="K4162" s="58"/>
      <c r="L4162" s="58"/>
      <c r="M4162" s="58"/>
      <c r="N4162" s="58"/>
      <c r="O4162" s="58"/>
      <c r="P4162" s="53"/>
      <c r="Q4162" s="65"/>
      <c r="R4162" s="65"/>
      <c r="S4162" s="65"/>
      <c r="T4162" s="65"/>
      <c r="U4162" s="58"/>
      <c r="V4162" s="65"/>
      <c r="W4162" s="65"/>
      <c r="X4162" s="65"/>
      <c r="Y4162" s="65"/>
      <c r="Z4162" s="51"/>
      <c r="AA4162" s="51"/>
      <c r="AB4162" s="102"/>
      <c r="AC4162" s="81" t="e">
        <f t="shared" si="199"/>
        <v>#DIV/0!</v>
      </c>
      <c r="AD4162" s="82">
        <f t="shared" si="200"/>
        <v>0</v>
      </c>
      <c r="AE4162" s="218"/>
      <c r="AH4162" t="str">
        <f t="shared" si="198"/>
        <v>0000</v>
      </c>
      <c r="AJ4162" s="72"/>
      <c r="AK4162" s="72"/>
      <c r="AL4162" s="72"/>
      <c r="AM4162" s="72"/>
    </row>
    <row r="4163" spans="1:39" x14ac:dyDescent="0.25">
      <c r="A4163" s="37" t="s">
        <v>62</v>
      </c>
      <c r="B4163" s="66"/>
      <c r="C4163" s="4"/>
      <c r="D4163" s="41"/>
      <c r="E4163" s="41"/>
      <c r="F4163" s="85"/>
      <c r="G4163" s="39"/>
      <c r="H4163" s="52"/>
      <c r="I4163" s="52"/>
      <c r="J4163" s="49"/>
      <c r="K4163" s="58"/>
      <c r="L4163" s="58"/>
      <c r="M4163" s="58"/>
      <c r="N4163" s="58"/>
      <c r="O4163" s="58"/>
      <c r="P4163" s="53"/>
      <c r="Q4163" s="65"/>
      <c r="R4163" s="65"/>
      <c r="S4163" s="65"/>
      <c r="T4163" s="65"/>
      <c r="U4163" s="58"/>
      <c r="V4163" s="65"/>
      <c r="W4163" s="65"/>
      <c r="X4163" s="65"/>
      <c r="Y4163" s="65"/>
      <c r="Z4163" s="51"/>
      <c r="AA4163" s="51"/>
      <c r="AB4163" s="102"/>
      <c r="AC4163" s="81" t="e">
        <f t="shared" si="199"/>
        <v>#DIV/0!</v>
      </c>
      <c r="AD4163" s="82">
        <f t="shared" si="200"/>
        <v>0</v>
      </c>
      <c r="AE4163" s="218"/>
      <c r="AH4163" t="str">
        <f t="shared" si="198"/>
        <v>0000</v>
      </c>
      <c r="AJ4163" s="72"/>
      <c r="AK4163" s="72"/>
      <c r="AL4163" s="72"/>
      <c r="AM4163" s="72"/>
    </row>
    <row r="4164" spans="1:39" x14ac:dyDescent="0.25">
      <c r="A4164" s="37" t="s">
        <v>62</v>
      </c>
      <c r="B4164" s="66"/>
      <c r="C4164" s="4"/>
      <c r="D4164" s="41"/>
      <c r="E4164" s="41"/>
      <c r="F4164" s="85"/>
      <c r="G4164" s="39"/>
      <c r="H4164" s="52"/>
      <c r="I4164" s="52"/>
      <c r="J4164" s="49"/>
      <c r="K4164" s="58"/>
      <c r="L4164" s="58"/>
      <c r="M4164" s="58"/>
      <c r="N4164" s="58"/>
      <c r="O4164" s="58"/>
      <c r="P4164" s="53"/>
      <c r="Q4164" s="65"/>
      <c r="R4164" s="65"/>
      <c r="S4164" s="65"/>
      <c r="T4164" s="65"/>
      <c r="U4164" s="58"/>
      <c r="V4164" s="65"/>
      <c r="W4164" s="65"/>
      <c r="X4164" s="65"/>
      <c r="Y4164" s="65"/>
      <c r="Z4164" s="51"/>
      <c r="AA4164" s="51"/>
      <c r="AB4164" s="102"/>
      <c r="AC4164" s="81" t="e">
        <f t="shared" si="199"/>
        <v>#DIV/0!</v>
      </c>
      <c r="AD4164" s="82">
        <f t="shared" si="200"/>
        <v>0</v>
      </c>
      <c r="AE4164" s="218"/>
      <c r="AH4164" t="str">
        <f t="shared" si="198"/>
        <v>0000</v>
      </c>
      <c r="AJ4164" s="72"/>
      <c r="AK4164" s="72"/>
      <c r="AL4164" s="72"/>
      <c r="AM4164" s="72"/>
    </row>
    <row r="4165" spans="1:39" x14ac:dyDescent="0.25">
      <c r="A4165" s="37" t="s">
        <v>62</v>
      </c>
      <c r="B4165" s="66"/>
      <c r="C4165" s="4"/>
      <c r="D4165" s="41"/>
      <c r="E4165" s="41"/>
      <c r="F4165" s="85"/>
      <c r="G4165" s="39"/>
      <c r="H4165" s="52"/>
      <c r="I4165" s="52"/>
      <c r="J4165" s="49"/>
      <c r="K4165" s="58"/>
      <c r="L4165" s="58"/>
      <c r="M4165" s="58"/>
      <c r="N4165" s="58"/>
      <c r="O4165" s="58"/>
      <c r="P4165" s="53"/>
      <c r="Q4165" s="65"/>
      <c r="R4165" s="65"/>
      <c r="S4165" s="65"/>
      <c r="T4165" s="65"/>
      <c r="U4165" s="58"/>
      <c r="V4165" s="65"/>
      <c r="W4165" s="65"/>
      <c r="X4165" s="65"/>
      <c r="Y4165" s="65"/>
      <c r="Z4165" s="51"/>
      <c r="AA4165" s="51"/>
      <c r="AB4165" s="102"/>
      <c r="AC4165" s="81" t="e">
        <f t="shared" si="199"/>
        <v>#DIV/0!</v>
      </c>
      <c r="AD4165" s="82">
        <f t="shared" si="200"/>
        <v>0</v>
      </c>
      <c r="AE4165" s="218"/>
      <c r="AH4165" t="str">
        <f t="shared" si="198"/>
        <v>0000</v>
      </c>
      <c r="AJ4165" s="72"/>
      <c r="AK4165" s="72"/>
      <c r="AL4165" s="72"/>
      <c r="AM4165" s="72"/>
    </row>
    <row r="4166" spans="1:39" x14ac:dyDescent="0.25">
      <c r="A4166" s="37" t="s">
        <v>62</v>
      </c>
      <c r="B4166" s="66"/>
      <c r="C4166" s="4"/>
      <c r="D4166" s="41"/>
      <c r="E4166" s="41"/>
      <c r="F4166" s="85"/>
      <c r="G4166" s="39"/>
      <c r="H4166" s="52"/>
      <c r="I4166" s="52"/>
      <c r="J4166" s="49"/>
      <c r="K4166" s="58"/>
      <c r="L4166" s="58"/>
      <c r="M4166" s="58"/>
      <c r="N4166" s="58"/>
      <c r="O4166" s="58"/>
      <c r="P4166" s="53"/>
      <c r="Q4166" s="65"/>
      <c r="R4166" s="65"/>
      <c r="S4166" s="65"/>
      <c r="T4166" s="65"/>
      <c r="U4166" s="58"/>
      <c r="V4166" s="65"/>
      <c r="W4166" s="65"/>
      <c r="X4166" s="65"/>
      <c r="Y4166" s="65"/>
      <c r="Z4166" s="51"/>
      <c r="AA4166" s="51"/>
      <c r="AB4166" s="102"/>
      <c r="AC4166" s="81" t="e">
        <f t="shared" si="199"/>
        <v>#DIV/0!</v>
      </c>
      <c r="AD4166" s="82">
        <f t="shared" si="200"/>
        <v>0</v>
      </c>
      <c r="AE4166" s="218"/>
      <c r="AH4166" t="str">
        <f t="shared" si="198"/>
        <v>0000</v>
      </c>
      <c r="AJ4166" s="72"/>
      <c r="AK4166" s="72"/>
      <c r="AL4166" s="72"/>
      <c r="AM4166" s="72"/>
    </row>
    <row r="4167" spans="1:39" x14ac:dyDescent="0.25">
      <c r="A4167" s="37" t="s">
        <v>62</v>
      </c>
      <c r="B4167" s="66"/>
      <c r="C4167" s="4"/>
      <c r="D4167" s="41"/>
      <c r="E4167" s="41"/>
      <c r="F4167" s="85"/>
      <c r="G4167" s="39"/>
      <c r="H4167" s="52"/>
      <c r="I4167" s="52"/>
      <c r="J4167" s="49"/>
      <c r="K4167" s="58"/>
      <c r="L4167" s="58"/>
      <c r="M4167" s="58"/>
      <c r="N4167" s="58"/>
      <c r="O4167" s="58"/>
      <c r="P4167" s="53"/>
      <c r="Q4167" s="65"/>
      <c r="R4167" s="65"/>
      <c r="S4167" s="65"/>
      <c r="T4167" s="65"/>
      <c r="U4167" s="58"/>
      <c r="V4167" s="65"/>
      <c r="W4167" s="65"/>
      <c r="X4167" s="65"/>
      <c r="Y4167" s="65"/>
      <c r="Z4167" s="51"/>
      <c r="AA4167" s="51"/>
      <c r="AB4167" s="102"/>
      <c r="AC4167" s="81" t="e">
        <f t="shared" si="199"/>
        <v>#DIV/0!</v>
      </c>
      <c r="AD4167" s="82">
        <f t="shared" si="200"/>
        <v>0</v>
      </c>
      <c r="AE4167" s="218"/>
      <c r="AH4167" t="str">
        <f t="shared" si="198"/>
        <v>0000</v>
      </c>
      <c r="AJ4167" s="72"/>
      <c r="AK4167" s="72"/>
      <c r="AL4167" s="72"/>
      <c r="AM4167" s="72"/>
    </row>
    <row r="4168" spans="1:39" x14ac:dyDescent="0.25">
      <c r="A4168" s="37" t="s">
        <v>62</v>
      </c>
      <c r="B4168" s="66"/>
      <c r="C4168" s="4"/>
      <c r="D4168" s="41"/>
      <c r="E4168" s="41"/>
      <c r="F4168" s="85"/>
      <c r="G4168" s="39"/>
      <c r="H4168" s="52"/>
      <c r="I4168" s="52"/>
      <c r="J4168" s="49"/>
      <c r="K4168" s="58"/>
      <c r="L4168" s="58"/>
      <c r="M4168" s="58"/>
      <c r="N4168" s="58"/>
      <c r="O4168" s="58"/>
      <c r="P4168" s="53"/>
      <c r="Q4168" s="65"/>
      <c r="R4168" s="65"/>
      <c r="S4168" s="65"/>
      <c r="T4168" s="65"/>
      <c r="U4168" s="58"/>
      <c r="V4168" s="65"/>
      <c r="W4168" s="65"/>
      <c r="X4168" s="65"/>
      <c r="Y4168" s="65"/>
      <c r="Z4168" s="51"/>
      <c r="AA4168" s="51"/>
      <c r="AB4168" s="102"/>
      <c r="AC4168" s="81" t="e">
        <f t="shared" si="199"/>
        <v>#DIV/0!</v>
      </c>
      <c r="AD4168" s="82">
        <f t="shared" si="200"/>
        <v>0</v>
      </c>
      <c r="AE4168" s="218"/>
      <c r="AH4168" t="str">
        <f t="shared" si="198"/>
        <v>0000</v>
      </c>
      <c r="AJ4168" s="72"/>
      <c r="AK4168" s="72"/>
      <c r="AL4168" s="72"/>
      <c r="AM4168" s="72"/>
    </row>
    <row r="4169" spans="1:39" x14ac:dyDescent="0.25">
      <c r="A4169" s="37" t="s">
        <v>62</v>
      </c>
      <c r="B4169" s="66"/>
      <c r="C4169" s="4"/>
      <c r="D4169" s="41"/>
      <c r="E4169" s="41"/>
      <c r="F4169" s="85"/>
      <c r="G4169" s="39"/>
      <c r="H4169" s="52"/>
      <c r="I4169" s="52"/>
      <c r="J4169" s="49"/>
      <c r="K4169" s="58"/>
      <c r="L4169" s="58"/>
      <c r="M4169" s="58"/>
      <c r="N4169" s="58"/>
      <c r="O4169" s="58"/>
      <c r="P4169" s="53"/>
      <c r="Q4169" s="65"/>
      <c r="R4169" s="65"/>
      <c r="S4169" s="65"/>
      <c r="T4169" s="65"/>
      <c r="U4169" s="58"/>
      <c r="V4169" s="65"/>
      <c r="W4169" s="65"/>
      <c r="X4169" s="65"/>
      <c r="Y4169" s="65"/>
      <c r="Z4169" s="51"/>
      <c r="AA4169" s="51"/>
      <c r="AB4169" s="102"/>
      <c r="AC4169" s="81" t="e">
        <f t="shared" si="199"/>
        <v>#DIV/0!</v>
      </c>
      <c r="AD4169" s="82">
        <f t="shared" si="200"/>
        <v>0</v>
      </c>
      <c r="AE4169" s="218"/>
      <c r="AH4169" t="str">
        <f t="shared" si="198"/>
        <v>0000</v>
      </c>
      <c r="AJ4169" s="72"/>
      <c r="AK4169" s="72"/>
      <c r="AL4169" s="72"/>
      <c r="AM4169" s="72"/>
    </row>
    <row r="4170" spans="1:39" x14ac:dyDescent="0.25">
      <c r="A4170" s="37" t="s">
        <v>62</v>
      </c>
      <c r="B4170" s="66"/>
      <c r="C4170" s="4"/>
      <c r="D4170" s="41"/>
      <c r="E4170" s="41"/>
      <c r="F4170" s="85"/>
      <c r="G4170" s="39"/>
      <c r="H4170" s="52"/>
      <c r="I4170" s="52"/>
      <c r="J4170" s="49"/>
      <c r="K4170" s="58"/>
      <c r="L4170" s="58"/>
      <c r="M4170" s="58"/>
      <c r="N4170" s="58"/>
      <c r="O4170" s="58"/>
      <c r="P4170" s="53"/>
      <c r="Q4170" s="65"/>
      <c r="R4170" s="65"/>
      <c r="S4170" s="65"/>
      <c r="T4170" s="65"/>
      <c r="U4170" s="58"/>
      <c r="V4170" s="65"/>
      <c r="W4170" s="65"/>
      <c r="X4170" s="65"/>
      <c r="Y4170" s="65"/>
      <c r="Z4170" s="51"/>
      <c r="AA4170" s="51"/>
      <c r="AB4170" s="102"/>
      <c r="AC4170" s="81" t="e">
        <f t="shared" si="199"/>
        <v>#DIV/0!</v>
      </c>
      <c r="AD4170" s="82">
        <f t="shared" si="200"/>
        <v>0</v>
      </c>
      <c r="AE4170" s="218"/>
      <c r="AH4170" t="str">
        <f t="shared" si="198"/>
        <v>0000</v>
      </c>
      <c r="AJ4170" s="72"/>
      <c r="AK4170" s="72"/>
      <c r="AL4170" s="72"/>
      <c r="AM4170" s="72"/>
    </row>
    <row r="4171" spans="1:39" x14ac:dyDescent="0.25">
      <c r="A4171" s="37" t="s">
        <v>62</v>
      </c>
      <c r="B4171" s="66"/>
      <c r="C4171" s="4"/>
      <c r="D4171" s="41"/>
      <c r="E4171" s="41"/>
      <c r="F4171" s="85"/>
      <c r="G4171" s="39"/>
      <c r="H4171" s="52"/>
      <c r="I4171" s="52"/>
      <c r="J4171" s="49"/>
      <c r="K4171" s="58"/>
      <c r="L4171" s="58"/>
      <c r="M4171" s="58"/>
      <c r="N4171" s="58"/>
      <c r="O4171" s="58"/>
      <c r="P4171" s="53"/>
      <c r="Q4171" s="65"/>
      <c r="R4171" s="65"/>
      <c r="S4171" s="65"/>
      <c r="T4171" s="65"/>
      <c r="U4171" s="58"/>
      <c r="V4171" s="65"/>
      <c r="W4171" s="65"/>
      <c r="X4171" s="65"/>
      <c r="Y4171" s="65"/>
      <c r="Z4171" s="51"/>
      <c r="AA4171" s="51"/>
      <c r="AB4171" s="102"/>
      <c r="AC4171" s="81" t="e">
        <f t="shared" si="199"/>
        <v>#DIV/0!</v>
      </c>
      <c r="AD4171" s="82">
        <f t="shared" si="200"/>
        <v>0</v>
      </c>
      <c r="AE4171" s="218"/>
      <c r="AH4171" t="str">
        <f t="shared" si="198"/>
        <v>0000</v>
      </c>
      <c r="AJ4171" s="72"/>
      <c r="AK4171" s="72"/>
      <c r="AL4171" s="72"/>
      <c r="AM4171" s="72"/>
    </row>
    <row r="4172" spans="1:39" x14ac:dyDescent="0.25">
      <c r="A4172" s="37" t="s">
        <v>62</v>
      </c>
      <c r="B4172" s="66"/>
      <c r="C4172" s="4"/>
      <c r="D4172" s="41"/>
      <c r="E4172" s="41"/>
      <c r="F4172" s="85"/>
      <c r="G4172" s="39"/>
      <c r="H4172" s="52"/>
      <c r="I4172" s="52"/>
      <c r="J4172" s="49"/>
      <c r="K4172" s="58"/>
      <c r="L4172" s="58"/>
      <c r="M4172" s="58"/>
      <c r="N4172" s="58"/>
      <c r="O4172" s="58"/>
      <c r="P4172" s="53"/>
      <c r="Q4172" s="65"/>
      <c r="R4172" s="65"/>
      <c r="S4172" s="65"/>
      <c r="T4172" s="65"/>
      <c r="U4172" s="58"/>
      <c r="V4172" s="65"/>
      <c r="W4172" s="65"/>
      <c r="X4172" s="65"/>
      <c r="Y4172" s="65"/>
      <c r="Z4172" s="51"/>
      <c r="AA4172" s="51"/>
      <c r="AB4172" s="102"/>
      <c r="AC4172" s="81" t="e">
        <f t="shared" si="199"/>
        <v>#DIV/0!</v>
      </c>
      <c r="AD4172" s="82">
        <f t="shared" si="200"/>
        <v>0</v>
      </c>
      <c r="AE4172" s="218"/>
      <c r="AH4172" t="str">
        <f t="shared" si="198"/>
        <v>0000</v>
      </c>
      <c r="AJ4172" s="72"/>
      <c r="AK4172" s="72"/>
      <c r="AL4172" s="72"/>
      <c r="AM4172" s="72"/>
    </row>
    <row r="4173" spans="1:39" x14ac:dyDescent="0.25">
      <c r="A4173" s="37" t="s">
        <v>62</v>
      </c>
      <c r="B4173" s="66"/>
      <c r="C4173" s="4"/>
      <c r="D4173" s="41"/>
      <c r="E4173" s="41"/>
      <c r="F4173" s="85"/>
      <c r="G4173" s="39"/>
      <c r="H4173" s="52"/>
      <c r="I4173" s="52"/>
      <c r="J4173" s="49"/>
      <c r="K4173" s="58"/>
      <c r="L4173" s="58"/>
      <c r="M4173" s="58"/>
      <c r="N4173" s="58"/>
      <c r="O4173" s="58"/>
      <c r="P4173" s="53"/>
      <c r="Q4173" s="65"/>
      <c r="R4173" s="65"/>
      <c r="S4173" s="65"/>
      <c r="T4173" s="65"/>
      <c r="U4173" s="58"/>
      <c r="V4173" s="65"/>
      <c r="W4173" s="65"/>
      <c r="X4173" s="65"/>
      <c r="Y4173" s="65"/>
      <c r="Z4173" s="51"/>
      <c r="AA4173" s="51"/>
      <c r="AB4173" s="102"/>
      <c r="AC4173" s="81" t="e">
        <f t="shared" si="199"/>
        <v>#DIV/0!</v>
      </c>
      <c r="AD4173" s="82">
        <f t="shared" si="200"/>
        <v>0</v>
      </c>
      <c r="AE4173" s="218"/>
      <c r="AH4173" t="str">
        <f t="shared" si="198"/>
        <v>0000</v>
      </c>
      <c r="AJ4173" s="72"/>
      <c r="AK4173" s="72"/>
      <c r="AL4173" s="72"/>
      <c r="AM4173" s="72"/>
    </row>
    <row r="4174" spans="1:39" x14ac:dyDescent="0.25">
      <c r="A4174" s="37" t="s">
        <v>62</v>
      </c>
      <c r="B4174" s="66"/>
      <c r="C4174" s="4"/>
      <c r="D4174" s="41"/>
      <c r="E4174" s="41"/>
      <c r="F4174" s="85"/>
      <c r="G4174" s="39"/>
      <c r="H4174" s="52"/>
      <c r="I4174" s="52"/>
      <c r="J4174" s="49"/>
      <c r="K4174" s="58"/>
      <c r="L4174" s="58"/>
      <c r="M4174" s="58"/>
      <c r="N4174" s="58"/>
      <c r="O4174" s="58"/>
      <c r="P4174" s="53"/>
      <c r="Q4174" s="65"/>
      <c r="R4174" s="65"/>
      <c r="S4174" s="65"/>
      <c r="T4174" s="65"/>
      <c r="U4174" s="58"/>
      <c r="V4174" s="65"/>
      <c r="W4174" s="65"/>
      <c r="X4174" s="65"/>
      <c r="Y4174" s="65"/>
      <c r="Z4174" s="51"/>
      <c r="AA4174" s="51"/>
      <c r="AB4174" s="102"/>
      <c r="AC4174" s="81" t="e">
        <f t="shared" si="199"/>
        <v>#DIV/0!</v>
      </c>
      <c r="AD4174" s="82">
        <f t="shared" si="200"/>
        <v>0</v>
      </c>
      <c r="AE4174" s="218"/>
      <c r="AH4174" t="str">
        <f t="shared" si="198"/>
        <v>0000</v>
      </c>
      <c r="AJ4174" s="72"/>
      <c r="AK4174" s="72"/>
      <c r="AL4174" s="72"/>
      <c r="AM4174" s="72"/>
    </row>
    <row r="4175" spans="1:39" x14ac:dyDescent="0.25">
      <c r="A4175" s="37" t="s">
        <v>62</v>
      </c>
      <c r="B4175" s="66"/>
      <c r="C4175" s="4"/>
      <c r="D4175" s="41"/>
      <c r="E4175" s="41"/>
      <c r="F4175" s="85"/>
      <c r="G4175" s="39"/>
      <c r="H4175" s="52"/>
      <c r="I4175" s="52"/>
      <c r="J4175" s="49"/>
      <c r="K4175" s="58"/>
      <c r="L4175" s="58"/>
      <c r="M4175" s="58"/>
      <c r="N4175" s="58"/>
      <c r="O4175" s="58"/>
      <c r="P4175" s="53"/>
      <c r="Q4175" s="65"/>
      <c r="R4175" s="65"/>
      <c r="S4175" s="65"/>
      <c r="T4175" s="65"/>
      <c r="U4175" s="58"/>
      <c r="V4175" s="65"/>
      <c r="W4175" s="65"/>
      <c r="X4175" s="65"/>
      <c r="Y4175" s="65"/>
      <c r="Z4175" s="51"/>
      <c r="AA4175" s="51"/>
      <c r="AB4175" s="102"/>
      <c r="AC4175" s="81" t="e">
        <f t="shared" si="199"/>
        <v>#DIV/0!</v>
      </c>
      <c r="AD4175" s="82">
        <f t="shared" si="200"/>
        <v>0</v>
      </c>
      <c r="AE4175" s="218"/>
      <c r="AH4175" t="str">
        <f t="shared" si="198"/>
        <v>0000</v>
      </c>
      <c r="AJ4175" s="72"/>
      <c r="AK4175" s="72"/>
      <c r="AL4175" s="72"/>
      <c r="AM4175" s="72"/>
    </row>
    <row r="4176" spans="1:39" x14ac:dyDescent="0.25">
      <c r="A4176" s="37" t="s">
        <v>62</v>
      </c>
      <c r="B4176" s="66"/>
      <c r="C4176" s="4"/>
      <c r="D4176" s="41"/>
      <c r="E4176" s="41"/>
      <c r="F4176" s="85"/>
      <c r="G4176" s="39"/>
      <c r="H4176" s="52"/>
      <c r="I4176" s="52"/>
      <c r="J4176" s="49"/>
      <c r="K4176" s="58"/>
      <c r="L4176" s="58"/>
      <c r="M4176" s="58"/>
      <c r="N4176" s="58"/>
      <c r="O4176" s="58"/>
      <c r="P4176" s="53"/>
      <c r="Q4176" s="65"/>
      <c r="R4176" s="65"/>
      <c r="S4176" s="65"/>
      <c r="T4176" s="65"/>
      <c r="U4176" s="58"/>
      <c r="V4176" s="65"/>
      <c r="W4176" s="65"/>
      <c r="X4176" s="65"/>
      <c r="Y4176" s="65"/>
      <c r="Z4176" s="51"/>
      <c r="AA4176" s="51"/>
      <c r="AB4176" s="102"/>
      <c r="AC4176" s="81" t="e">
        <f t="shared" si="199"/>
        <v>#DIV/0!</v>
      </c>
      <c r="AD4176" s="82">
        <f t="shared" si="200"/>
        <v>0</v>
      </c>
      <c r="AE4176" s="218"/>
      <c r="AH4176" t="str">
        <f t="shared" si="198"/>
        <v>0000</v>
      </c>
      <c r="AJ4176" s="72"/>
      <c r="AK4176" s="72"/>
      <c r="AL4176" s="72"/>
      <c r="AM4176" s="72"/>
    </row>
    <row r="4177" spans="1:39" x14ac:dyDescent="0.25">
      <c r="A4177" s="37" t="s">
        <v>62</v>
      </c>
      <c r="B4177" s="66"/>
      <c r="C4177" s="4"/>
      <c r="D4177" s="41"/>
      <c r="E4177" s="41"/>
      <c r="F4177" s="85"/>
      <c r="G4177" s="39"/>
      <c r="H4177" s="52"/>
      <c r="I4177" s="52"/>
      <c r="J4177" s="49"/>
      <c r="K4177" s="58"/>
      <c r="L4177" s="58"/>
      <c r="M4177" s="58"/>
      <c r="N4177" s="58"/>
      <c r="O4177" s="58"/>
      <c r="P4177" s="53"/>
      <c r="Q4177" s="65"/>
      <c r="R4177" s="65"/>
      <c r="S4177" s="65"/>
      <c r="T4177" s="65"/>
      <c r="U4177" s="58"/>
      <c r="V4177" s="65"/>
      <c r="W4177" s="65"/>
      <c r="X4177" s="65"/>
      <c r="Y4177" s="65"/>
      <c r="Z4177" s="51"/>
      <c r="AA4177" s="51"/>
      <c r="AB4177" s="102"/>
      <c r="AC4177" s="81" t="e">
        <f t="shared" si="199"/>
        <v>#DIV/0!</v>
      </c>
      <c r="AD4177" s="82">
        <f t="shared" si="200"/>
        <v>0</v>
      </c>
      <c r="AE4177" s="218"/>
      <c r="AH4177" t="str">
        <f t="shared" si="198"/>
        <v>0000</v>
      </c>
      <c r="AJ4177" s="72"/>
      <c r="AK4177" s="72"/>
      <c r="AL4177" s="72"/>
      <c r="AM4177" s="72"/>
    </row>
    <row r="4178" spans="1:39" x14ac:dyDescent="0.25">
      <c r="A4178" s="37" t="s">
        <v>62</v>
      </c>
      <c r="B4178" s="66"/>
      <c r="C4178" s="4"/>
      <c r="D4178" s="41"/>
      <c r="E4178" s="41"/>
      <c r="F4178" s="85"/>
      <c r="G4178" s="39"/>
      <c r="H4178" s="52"/>
      <c r="I4178" s="52"/>
      <c r="J4178" s="49"/>
      <c r="K4178" s="58"/>
      <c r="L4178" s="58"/>
      <c r="M4178" s="58"/>
      <c r="N4178" s="58"/>
      <c r="O4178" s="58"/>
      <c r="P4178" s="53"/>
      <c r="Q4178" s="65"/>
      <c r="R4178" s="65"/>
      <c r="S4178" s="65"/>
      <c r="T4178" s="65"/>
      <c r="U4178" s="58"/>
      <c r="V4178" s="65"/>
      <c r="W4178" s="65"/>
      <c r="X4178" s="65"/>
      <c r="Y4178" s="65"/>
      <c r="Z4178" s="51"/>
      <c r="AA4178" s="51"/>
      <c r="AB4178" s="102"/>
      <c r="AC4178" s="81" t="e">
        <f t="shared" si="199"/>
        <v>#DIV/0!</v>
      </c>
      <c r="AD4178" s="82">
        <f t="shared" si="200"/>
        <v>0</v>
      </c>
      <c r="AE4178" s="218"/>
      <c r="AH4178" t="str">
        <f t="shared" si="198"/>
        <v>0000</v>
      </c>
      <c r="AJ4178" s="72"/>
      <c r="AK4178" s="72"/>
      <c r="AL4178" s="72"/>
      <c r="AM4178" s="72"/>
    </row>
    <row r="4179" spans="1:39" x14ac:dyDescent="0.25">
      <c r="A4179" s="37" t="s">
        <v>62</v>
      </c>
      <c r="B4179" s="66"/>
      <c r="C4179" s="4"/>
      <c r="D4179" s="41"/>
      <c r="E4179" s="41"/>
      <c r="F4179" s="85"/>
      <c r="G4179" s="39"/>
      <c r="H4179" s="52"/>
      <c r="I4179" s="52"/>
      <c r="J4179" s="49"/>
      <c r="K4179" s="58"/>
      <c r="L4179" s="58"/>
      <c r="M4179" s="58"/>
      <c r="N4179" s="58"/>
      <c r="O4179" s="58"/>
      <c r="P4179" s="53"/>
      <c r="Q4179" s="65"/>
      <c r="R4179" s="65"/>
      <c r="S4179" s="65"/>
      <c r="T4179" s="65"/>
      <c r="U4179" s="58"/>
      <c r="V4179" s="65"/>
      <c r="W4179" s="65"/>
      <c r="X4179" s="65"/>
      <c r="Y4179" s="65"/>
      <c r="Z4179" s="51"/>
      <c r="AA4179" s="51"/>
      <c r="AB4179" s="102"/>
      <c r="AC4179" s="81" t="e">
        <f t="shared" si="199"/>
        <v>#DIV/0!</v>
      </c>
      <c r="AD4179" s="82">
        <f t="shared" si="200"/>
        <v>0</v>
      </c>
      <c r="AE4179" s="218"/>
      <c r="AH4179" t="str">
        <f t="shared" si="198"/>
        <v>0000</v>
      </c>
      <c r="AJ4179" s="72"/>
      <c r="AK4179" s="72"/>
      <c r="AL4179" s="72"/>
      <c r="AM4179" s="72"/>
    </row>
    <row r="4180" spans="1:39" x14ac:dyDescent="0.25">
      <c r="A4180" s="37" t="s">
        <v>62</v>
      </c>
      <c r="B4180" s="66"/>
      <c r="C4180" s="4"/>
      <c r="D4180" s="41"/>
      <c r="E4180" s="41"/>
      <c r="F4180" s="85"/>
      <c r="G4180" s="39"/>
      <c r="H4180" s="52"/>
      <c r="I4180" s="52"/>
      <c r="J4180" s="49"/>
      <c r="K4180" s="58"/>
      <c r="L4180" s="58"/>
      <c r="M4180" s="58"/>
      <c r="N4180" s="58"/>
      <c r="O4180" s="58"/>
      <c r="P4180" s="53"/>
      <c r="Q4180" s="65"/>
      <c r="R4180" s="65"/>
      <c r="S4180" s="65"/>
      <c r="T4180" s="65"/>
      <c r="U4180" s="58"/>
      <c r="V4180" s="65"/>
      <c r="W4180" s="65"/>
      <c r="X4180" s="65"/>
      <c r="Y4180" s="65"/>
      <c r="Z4180" s="51"/>
      <c r="AA4180" s="51"/>
      <c r="AB4180" s="102"/>
      <c r="AC4180" s="81" t="e">
        <f t="shared" si="199"/>
        <v>#DIV/0!</v>
      </c>
      <c r="AD4180" s="82">
        <f t="shared" si="200"/>
        <v>0</v>
      </c>
      <c r="AE4180" s="218"/>
      <c r="AH4180" t="str">
        <f t="shared" si="198"/>
        <v>0000</v>
      </c>
      <c r="AJ4180" s="72"/>
      <c r="AK4180" s="72"/>
      <c r="AL4180" s="72"/>
      <c r="AM4180" s="72"/>
    </row>
    <row r="4181" spans="1:39" x14ac:dyDescent="0.25">
      <c r="A4181" s="37" t="s">
        <v>62</v>
      </c>
      <c r="B4181" s="66"/>
      <c r="C4181" s="4"/>
      <c r="D4181" s="41"/>
      <c r="E4181" s="41"/>
      <c r="F4181" s="85"/>
      <c r="G4181" s="39"/>
      <c r="H4181" s="52"/>
      <c r="I4181" s="52"/>
      <c r="J4181" s="49"/>
      <c r="K4181" s="58"/>
      <c r="L4181" s="58"/>
      <c r="M4181" s="58"/>
      <c r="N4181" s="58"/>
      <c r="O4181" s="58"/>
      <c r="P4181" s="53"/>
      <c r="Q4181" s="65"/>
      <c r="R4181" s="65"/>
      <c r="S4181" s="65"/>
      <c r="T4181" s="65"/>
      <c r="U4181" s="58"/>
      <c r="V4181" s="65"/>
      <c r="W4181" s="65"/>
      <c r="X4181" s="65"/>
      <c r="Y4181" s="65"/>
      <c r="Z4181" s="51"/>
      <c r="AA4181" s="51"/>
      <c r="AB4181" s="102"/>
      <c r="AC4181" s="81" t="e">
        <f t="shared" si="199"/>
        <v>#DIV/0!</v>
      </c>
      <c r="AD4181" s="82">
        <f t="shared" si="200"/>
        <v>0</v>
      </c>
      <c r="AE4181" s="218"/>
      <c r="AH4181" t="str">
        <f t="shared" si="198"/>
        <v>0000</v>
      </c>
      <c r="AJ4181" s="72"/>
      <c r="AK4181" s="72"/>
      <c r="AL4181" s="72"/>
      <c r="AM4181" s="72"/>
    </row>
    <row r="4182" spans="1:39" x14ac:dyDescent="0.25">
      <c r="A4182" s="37" t="s">
        <v>62</v>
      </c>
      <c r="B4182" s="66"/>
      <c r="C4182" s="4"/>
      <c r="D4182" s="41"/>
      <c r="E4182" s="41"/>
      <c r="F4182" s="85"/>
      <c r="G4182" s="39"/>
      <c r="H4182" s="52"/>
      <c r="I4182" s="52"/>
      <c r="J4182" s="49"/>
      <c r="K4182" s="58"/>
      <c r="L4182" s="58"/>
      <c r="M4182" s="58"/>
      <c r="N4182" s="58"/>
      <c r="O4182" s="58"/>
      <c r="P4182" s="53"/>
      <c r="Q4182" s="65"/>
      <c r="R4182" s="65"/>
      <c r="S4182" s="65"/>
      <c r="T4182" s="65"/>
      <c r="U4182" s="58"/>
      <c r="V4182" s="65"/>
      <c r="W4182" s="65"/>
      <c r="X4182" s="65"/>
      <c r="Y4182" s="65"/>
      <c r="Z4182" s="51"/>
      <c r="AA4182" s="51"/>
      <c r="AB4182" s="102"/>
      <c r="AC4182" s="81" t="e">
        <f t="shared" si="199"/>
        <v>#DIV/0!</v>
      </c>
      <c r="AD4182" s="82">
        <f t="shared" si="200"/>
        <v>0</v>
      </c>
      <c r="AE4182" s="218"/>
      <c r="AH4182" t="str">
        <f t="shared" si="198"/>
        <v>0000</v>
      </c>
      <c r="AJ4182" s="72"/>
      <c r="AK4182" s="72"/>
      <c r="AL4182" s="72"/>
      <c r="AM4182" s="72"/>
    </row>
    <row r="4183" spans="1:39" x14ac:dyDescent="0.25">
      <c r="A4183" s="37" t="s">
        <v>62</v>
      </c>
      <c r="B4183" s="66"/>
      <c r="C4183" s="4"/>
      <c r="D4183" s="41"/>
      <c r="E4183" s="41"/>
      <c r="F4183" s="85"/>
      <c r="G4183" s="39"/>
      <c r="H4183" s="52"/>
      <c r="I4183" s="52"/>
      <c r="J4183" s="49"/>
      <c r="K4183" s="58"/>
      <c r="L4183" s="58"/>
      <c r="M4183" s="58"/>
      <c r="N4183" s="58"/>
      <c r="O4183" s="58"/>
      <c r="P4183" s="53"/>
      <c r="Q4183" s="65"/>
      <c r="R4183" s="65"/>
      <c r="S4183" s="65"/>
      <c r="T4183" s="65"/>
      <c r="U4183" s="58"/>
      <c r="V4183" s="65"/>
      <c r="W4183" s="65"/>
      <c r="X4183" s="65"/>
      <c r="Y4183" s="65"/>
      <c r="Z4183" s="51"/>
      <c r="AA4183" s="51"/>
      <c r="AB4183" s="102"/>
      <c r="AC4183" s="81" t="e">
        <f t="shared" si="199"/>
        <v>#DIV/0!</v>
      </c>
      <c r="AD4183" s="82">
        <f t="shared" si="200"/>
        <v>0</v>
      </c>
      <c r="AE4183" s="218"/>
      <c r="AH4183" t="str">
        <f t="shared" si="198"/>
        <v>0000</v>
      </c>
      <c r="AJ4183" s="72"/>
      <c r="AK4183" s="72"/>
      <c r="AL4183" s="72"/>
      <c r="AM4183" s="72"/>
    </row>
    <row r="4184" spans="1:39" x14ac:dyDescent="0.25">
      <c r="A4184" s="37" t="s">
        <v>62</v>
      </c>
      <c r="B4184" s="66"/>
      <c r="C4184" s="4"/>
      <c r="D4184" s="41"/>
      <c r="E4184" s="41"/>
      <c r="F4184" s="85"/>
      <c r="G4184" s="39"/>
      <c r="H4184" s="52"/>
      <c r="I4184" s="52"/>
      <c r="J4184" s="49"/>
      <c r="K4184" s="58"/>
      <c r="L4184" s="58"/>
      <c r="M4184" s="58"/>
      <c r="N4184" s="58"/>
      <c r="O4184" s="58"/>
      <c r="P4184" s="53"/>
      <c r="Q4184" s="65"/>
      <c r="R4184" s="65"/>
      <c r="S4184" s="65"/>
      <c r="T4184" s="65"/>
      <c r="U4184" s="58"/>
      <c r="V4184" s="65"/>
      <c r="W4184" s="65"/>
      <c r="X4184" s="65"/>
      <c r="Y4184" s="65"/>
      <c r="Z4184" s="51"/>
      <c r="AA4184" s="51"/>
      <c r="AB4184" s="102"/>
      <c r="AC4184" s="81" t="e">
        <f t="shared" si="199"/>
        <v>#DIV/0!</v>
      </c>
      <c r="AD4184" s="82">
        <f t="shared" si="200"/>
        <v>0</v>
      </c>
      <c r="AE4184" s="218"/>
      <c r="AH4184" t="str">
        <f t="shared" si="198"/>
        <v>0000</v>
      </c>
      <c r="AJ4184" s="72"/>
      <c r="AK4184" s="72"/>
      <c r="AL4184" s="72"/>
      <c r="AM4184" s="72"/>
    </row>
    <row r="4185" spans="1:39" x14ac:dyDescent="0.25">
      <c r="A4185" s="37" t="s">
        <v>62</v>
      </c>
      <c r="B4185" s="66"/>
      <c r="C4185" s="4"/>
      <c r="D4185" s="41"/>
      <c r="E4185" s="41"/>
      <c r="F4185" s="85"/>
      <c r="G4185" s="39"/>
      <c r="H4185" s="52"/>
      <c r="I4185" s="52"/>
      <c r="J4185" s="49"/>
      <c r="K4185" s="58"/>
      <c r="L4185" s="58"/>
      <c r="M4185" s="58"/>
      <c r="N4185" s="58"/>
      <c r="O4185" s="58"/>
      <c r="P4185" s="53"/>
      <c r="Q4185" s="65"/>
      <c r="R4185" s="65"/>
      <c r="S4185" s="65"/>
      <c r="T4185" s="65"/>
      <c r="U4185" s="58"/>
      <c r="V4185" s="65"/>
      <c r="W4185" s="65"/>
      <c r="X4185" s="65"/>
      <c r="Y4185" s="65"/>
      <c r="Z4185" s="51"/>
      <c r="AA4185" s="51"/>
      <c r="AB4185" s="102"/>
      <c r="AC4185" s="81" t="e">
        <f t="shared" si="199"/>
        <v>#DIV/0!</v>
      </c>
      <c r="AD4185" s="82">
        <f t="shared" si="200"/>
        <v>0</v>
      </c>
      <c r="AE4185" s="218"/>
      <c r="AH4185" t="str">
        <f t="shared" si="198"/>
        <v>0000</v>
      </c>
      <c r="AJ4185" s="72"/>
      <c r="AK4185" s="72"/>
      <c r="AL4185" s="72"/>
      <c r="AM4185" s="72"/>
    </row>
    <row r="4186" spans="1:39" x14ac:dyDescent="0.25">
      <c r="A4186" s="37" t="s">
        <v>62</v>
      </c>
      <c r="B4186" s="66"/>
      <c r="C4186" s="4"/>
      <c r="D4186" s="41"/>
      <c r="E4186" s="41"/>
      <c r="F4186" s="85"/>
      <c r="G4186" s="39"/>
      <c r="H4186" s="52"/>
      <c r="I4186" s="52"/>
      <c r="J4186" s="49"/>
      <c r="K4186" s="58"/>
      <c r="L4186" s="58"/>
      <c r="M4186" s="58"/>
      <c r="N4186" s="58"/>
      <c r="O4186" s="58"/>
      <c r="P4186" s="53"/>
      <c r="Q4186" s="65"/>
      <c r="R4186" s="65"/>
      <c r="S4186" s="65"/>
      <c r="T4186" s="65"/>
      <c r="U4186" s="58"/>
      <c r="V4186" s="65"/>
      <c r="W4186" s="65"/>
      <c r="X4186" s="65"/>
      <c r="Y4186" s="65"/>
      <c r="Z4186" s="51"/>
      <c r="AA4186" s="51"/>
      <c r="AB4186" s="102"/>
      <c r="AC4186" s="81" t="e">
        <f t="shared" si="199"/>
        <v>#DIV/0!</v>
      </c>
      <c r="AD4186" s="82">
        <f t="shared" si="200"/>
        <v>0</v>
      </c>
      <c r="AE4186" s="218"/>
      <c r="AH4186" t="str">
        <f t="shared" si="198"/>
        <v>0000</v>
      </c>
      <c r="AJ4186" s="72"/>
      <c r="AK4186" s="72"/>
      <c r="AL4186" s="72"/>
      <c r="AM4186" s="72"/>
    </row>
    <row r="4187" spans="1:39" x14ac:dyDescent="0.25">
      <c r="A4187" s="37" t="s">
        <v>62</v>
      </c>
      <c r="B4187" s="66"/>
      <c r="C4187" s="4"/>
      <c r="D4187" s="41"/>
      <c r="E4187" s="41"/>
      <c r="F4187" s="85"/>
      <c r="G4187" s="39"/>
      <c r="H4187" s="52"/>
      <c r="I4187" s="52"/>
      <c r="J4187" s="49"/>
      <c r="K4187" s="58"/>
      <c r="L4187" s="58"/>
      <c r="M4187" s="58"/>
      <c r="N4187" s="58"/>
      <c r="O4187" s="58"/>
      <c r="P4187" s="53"/>
      <c r="Q4187" s="65"/>
      <c r="R4187" s="65"/>
      <c r="S4187" s="65"/>
      <c r="T4187" s="65"/>
      <c r="U4187" s="58"/>
      <c r="V4187" s="65"/>
      <c r="W4187" s="65"/>
      <c r="X4187" s="65"/>
      <c r="Y4187" s="65"/>
      <c r="Z4187" s="51"/>
      <c r="AA4187" s="51"/>
      <c r="AB4187" s="102"/>
      <c r="AC4187" s="81" t="e">
        <f t="shared" si="199"/>
        <v>#DIV/0!</v>
      </c>
      <c r="AD4187" s="82">
        <f t="shared" si="200"/>
        <v>0</v>
      </c>
      <c r="AE4187" s="218"/>
      <c r="AH4187" t="str">
        <f t="shared" si="198"/>
        <v>0000</v>
      </c>
      <c r="AJ4187" s="72"/>
      <c r="AK4187" s="72"/>
      <c r="AL4187" s="72"/>
      <c r="AM4187" s="72"/>
    </row>
    <row r="4188" spans="1:39" x14ac:dyDescent="0.25">
      <c r="A4188" s="37" t="s">
        <v>62</v>
      </c>
      <c r="B4188" s="66"/>
      <c r="C4188" s="4"/>
      <c r="D4188" s="41"/>
      <c r="E4188" s="41"/>
      <c r="F4188" s="85"/>
      <c r="G4188" s="39"/>
      <c r="H4188" s="52"/>
      <c r="I4188" s="52"/>
      <c r="J4188" s="49"/>
      <c r="K4188" s="58"/>
      <c r="L4188" s="58"/>
      <c r="M4188" s="58"/>
      <c r="N4188" s="58"/>
      <c r="O4188" s="58"/>
      <c r="P4188" s="53"/>
      <c r="Q4188" s="65"/>
      <c r="R4188" s="65"/>
      <c r="S4188" s="65"/>
      <c r="T4188" s="65"/>
      <c r="U4188" s="58"/>
      <c r="V4188" s="65"/>
      <c r="W4188" s="65"/>
      <c r="X4188" s="65"/>
      <c r="Y4188" s="65"/>
      <c r="Z4188" s="51"/>
      <c r="AA4188" s="51"/>
      <c r="AB4188" s="102"/>
      <c r="AC4188" s="81" t="e">
        <f t="shared" si="199"/>
        <v>#DIV/0!</v>
      </c>
      <c r="AD4188" s="82">
        <f t="shared" si="200"/>
        <v>0</v>
      </c>
      <c r="AE4188" s="218"/>
      <c r="AH4188" t="str">
        <f t="shared" si="198"/>
        <v>0000</v>
      </c>
      <c r="AJ4188" s="72"/>
      <c r="AK4188" s="72"/>
      <c r="AL4188" s="72"/>
      <c r="AM4188" s="72"/>
    </row>
    <row r="4189" spans="1:39" x14ac:dyDescent="0.25">
      <c r="A4189" s="37" t="s">
        <v>62</v>
      </c>
      <c r="B4189" s="66"/>
      <c r="C4189" s="4"/>
      <c r="D4189" s="41"/>
      <c r="E4189" s="41"/>
      <c r="F4189" s="85"/>
      <c r="G4189" s="39"/>
      <c r="H4189" s="52"/>
      <c r="I4189" s="52"/>
      <c r="J4189" s="49"/>
      <c r="K4189" s="58"/>
      <c r="L4189" s="58"/>
      <c r="M4189" s="58"/>
      <c r="N4189" s="58"/>
      <c r="O4189" s="58"/>
      <c r="P4189" s="53"/>
      <c r="Q4189" s="65"/>
      <c r="R4189" s="65"/>
      <c r="S4189" s="65"/>
      <c r="T4189" s="65"/>
      <c r="U4189" s="58"/>
      <c r="V4189" s="65"/>
      <c r="W4189" s="65"/>
      <c r="X4189" s="65"/>
      <c r="Y4189" s="65"/>
      <c r="Z4189" s="51"/>
      <c r="AA4189" s="51"/>
      <c r="AB4189" s="102"/>
      <c r="AC4189" s="81" t="e">
        <f t="shared" si="199"/>
        <v>#DIV/0!</v>
      </c>
      <c r="AD4189" s="82">
        <f t="shared" si="200"/>
        <v>0</v>
      </c>
      <c r="AE4189" s="218"/>
      <c r="AH4189" t="str">
        <f t="shared" si="198"/>
        <v>0000</v>
      </c>
      <c r="AJ4189" s="72"/>
      <c r="AK4189" s="72"/>
      <c r="AL4189" s="72"/>
      <c r="AM4189" s="72"/>
    </row>
    <row r="4190" spans="1:39" x14ac:dyDescent="0.25">
      <c r="A4190" s="37" t="s">
        <v>62</v>
      </c>
      <c r="B4190" s="66"/>
      <c r="C4190" s="4"/>
      <c r="D4190" s="41"/>
      <c r="E4190" s="41"/>
      <c r="F4190" s="85"/>
      <c r="G4190" s="39"/>
      <c r="H4190" s="52"/>
      <c r="I4190" s="52"/>
      <c r="J4190" s="49"/>
      <c r="K4190" s="58"/>
      <c r="L4190" s="58"/>
      <c r="M4190" s="58"/>
      <c r="N4190" s="58"/>
      <c r="O4190" s="58"/>
      <c r="P4190" s="53"/>
      <c r="Q4190" s="65"/>
      <c r="R4190" s="65"/>
      <c r="S4190" s="65"/>
      <c r="T4190" s="65"/>
      <c r="U4190" s="58"/>
      <c r="V4190" s="65"/>
      <c r="W4190" s="65"/>
      <c r="X4190" s="65"/>
      <c r="Y4190" s="65"/>
      <c r="Z4190" s="51"/>
      <c r="AA4190" s="51"/>
      <c r="AB4190" s="102"/>
      <c r="AC4190" s="81" t="e">
        <f t="shared" si="199"/>
        <v>#DIV/0!</v>
      </c>
      <c r="AD4190" s="82">
        <f t="shared" si="200"/>
        <v>0</v>
      </c>
      <c r="AE4190" s="218"/>
      <c r="AH4190" t="str">
        <f t="shared" si="198"/>
        <v>0000</v>
      </c>
      <c r="AJ4190" s="72"/>
      <c r="AK4190" s="72"/>
      <c r="AL4190" s="72"/>
      <c r="AM4190" s="72"/>
    </row>
    <row r="4191" spans="1:39" x14ac:dyDescent="0.25">
      <c r="A4191" s="37" t="s">
        <v>62</v>
      </c>
      <c r="B4191" s="66"/>
      <c r="C4191" s="4"/>
      <c r="D4191" s="41"/>
      <c r="E4191" s="41"/>
      <c r="F4191" s="85"/>
      <c r="G4191" s="39"/>
      <c r="H4191" s="52"/>
      <c r="I4191" s="52"/>
      <c r="J4191" s="49"/>
      <c r="K4191" s="58"/>
      <c r="L4191" s="58"/>
      <c r="M4191" s="58"/>
      <c r="N4191" s="58"/>
      <c r="O4191" s="58"/>
      <c r="P4191" s="53"/>
      <c r="Q4191" s="65"/>
      <c r="R4191" s="65"/>
      <c r="S4191" s="65"/>
      <c r="T4191" s="65"/>
      <c r="U4191" s="58"/>
      <c r="V4191" s="65"/>
      <c r="W4191" s="65"/>
      <c r="X4191" s="65"/>
      <c r="Y4191" s="65"/>
      <c r="Z4191" s="51"/>
      <c r="AA4191" s="51"/>
      <c r="AB4191" s="102"/>
      <c r="AC4191" s="81" t="e">
        <f t="shared" si="199"/>
        <v>#DIV/0!</v>
      </c>
      <c r="AD4191" s="82">
        <f t="shared" si="200"/>
        <v>0</v>
      </c>
      <c r="AE4191" s="218"/>
      <c r="AH4191" t="str">
        <f t="shared" si="198"/>
        <v>0000</v>
      </c>
      <c r="AJ4191" s="72"/>
      <c r="AK4191" s="72"/>
      <c r="AL4191" s="72"/>
      <c r="AM4191" s="72"/>
    </row>
    <row r="4192" spans="1:39" x14ac:dyDescent="0.25">
      <c r="A4192" s="37" t="s">
        <v>62</v>
      </c>
      <c r="B4192" s="66"/>
      <c r="C4192" s="4"/>
      <c r="D4192" s="41"/>
      <c r="E4192" s="41"/>
      <c r="F4192" s="85"/>
      <c r="G4192" s="39"/>
      <c r="H4192" s="52"/>
      <c r="I4192" s="52"/>
      <c r="J4192" s="49"/>
      <c r="K4192" s="58"/>
      <c r="L4192" s="58"/>
      <c r="M4192" s="58"/>
      <c r="N4192" s="58"/>
      <c r="O4192" s="58"/>
      <c r="P4192" s="53"/>
      <c r="Q4192" s="65"/>
      <c r="R4192" s="65"/>
      <c r="S4192" s="65"/>
      <c r="T4192" s="65"/>
      <c r="U4192" s="58"/>
      <c r="V4192" s="65"/>
      <c r="W4192" s="65"/>
      <c r="X4192" s="65"/>
      <c r="Y4192" s="65"/>
      <c r="Z4192" s="51"/>
      <c r="AA4192" s="51"/>
      <c r="AB4192" s="102"/>
      <c r="AC4192" s="81" t="e">
        <f t="shared" si="199"/>
        <v>#DIV/0!</v>
      </c>
      <c r="AD4192" s="82">
        <f t="shared" si="200"/>
        <v>0</v>
      </c>
      <c r="AE4192" s="218"/>
      <c r="AH4192" t="str">
        <f t="shared" si="198"/>
        <v>0000</v>
      </c>
      <c r="AJ4192" s="72"/>
      <c r="AK4192" s="72"/>
      <c r="AL4192" s="72"/>
      <c r="AM4192" s="72"/>
    </row>
    <row r="4193" spans="1:39" x14ac:dyDescent="0.25">
      <c r="A4193" s="37" t="s">
        <v>62</v>
      </c>
      <c r="B4193" s="66"/>
      <c r="C4193" s="4"/>
      <c r="D4193" s="41"/>
      <c r="E4193" s="41"/>
      <c r="F4193" s="85"/>
      <c r="G4193" s="39"/>
      <c r="H4193" s="52"/>
      <c r="I4193" s="52"/>
      <c r="J4193" s="49"/>
      <c r="K4193" s="58"/>
      <c r="L4193" s="58"/>
      <c r="M4193" s="58"/>
      <c r="N4193" s="58"/>
      <c r="O4193" s="58"/>
      <c r="P4193" s="53"/>
      <c r="Q4193" s="65"/>
      <c r="R4193" s="65"/>
      <c r="S4193" s="65"/>
      <c r="T4193" s="65"/>
      <c r="U4193" s="58"/>
      <c r="V4193" s="65"/>
      <c r="W4193" s="65"/>
      <c r="X4193" s="65"/>
      <c r="Y4193" s="65"/>
      <c r="Z4193" s="51"/>
      <c r="AA4193" s="51"/>
      <c r="AB4193" s="102"/>
      <c r="AC4193" s="81" t="e">
        <f t="shared" si="199"/>
        <v>#DIV/0!</v>
      </c>
      <c r="AD4193" s="82">
        <f t="shared" si="200"/>
        <v>0</v>
      </c>
      <c r="AE4193" s="218"/>
      <c r="AH4193" t="str">
        <f t="shared" si="198"/>
        <v>0000</v>
      </c>
      <c r="AJ4193" s="72"/>
      <c r="AK4193" s="72"/>
      <c r="AL4193" s="72"/>
      <c r="AM4193" s="72"/>
    </row>
    <row r="4194" spans="1:39" x14ac:dyDescent="0.25">
      <c r="A4194" s="37" t="s">
        <v>62</v>
      </c>
      <c r="B4194" s="66"/>
      <c r="C4194" s="4"/>
      <c r="D4194" s="41"/>
      <c r="E4194" s="41"/>
      <c r="F4194" s="85"/>
      <c r="G4194" s="39"/>
      <c r="H4194" s="52"/>
      <c r="I4194" s="52"/>
      <c r="J4194" s="49"/>
      <c r="K4194" s="58"/>
      <c r="L4194" s="58"/>
      <c r="M4194" s="58"/>
      <c r="N4194" s="58"/>
      <c r="O4194" s="58"/>
      <c r="P4194" s="53"/>
      <c r="Q4194" s="65"/>
      <c r="R4194" s="65"/>
      <c r="S4194" s="65"/>
      <c r="T4194" s="65"/>
      <c r="U4194" s="58"/>
      <c r="V4194" s="65"/>
      <c r="W4194" s="65"/>
      <c r="X4194" s="65"/>
      <c r="Y4194" s="65"/>
      <c r="Z4194" s="51"/>
      <c r="AA4194" s="51"/>
      <c r="AB4194" s="102"/>
      <c r="AC4194" s="81" t="e">
        <f t="shared" si="199"/>
        <v>#DIV/0!</v>
      </c>
      <c r="AD4194" s="82">
        <f t="shared" si="200"/>
        <v>0</v>
      </c>
      <c r="AE4194" s="218"/>
      <c r="AH4194" t="str">
        <f t="shared" si="198"/>
        <v>0000</v>
      </c>
      <c r="AJ4194" s="72"/>
      <c r="AK4194" s="72"/>
      <c r="AL4194" s="72"/>
      <c r="AM4194" s="72"/>
    </row>
    <row r="4195" spans="1:39" x14ac:dyDescent="0.25">
      <c r="A4195" s="37" t="s">
        <v>62</v>
      </c>
      <c r="B4195" s="66"/>
      <c r="C4195" s="4"/>
      <c r="D4195" s="41"/>
      <c r="E4195" s="41"/>
      <c r="F4195" s="85"/>
      <c r="G4195" s="39"/>
      <c r="H4195" s="52"/>
      <c r="I4195" s="52"/>
      <c r="J4195" s="49"/>
      <c r="K4195" s="58"/>
      <c r="L4195" s="58"/>
      <c r="M4195" s="58"/>
      <c r="N4195" s="58"/>
      <c r="O4195" s="58"/>
      <c r="P4195" s="53"/>
      <c r="Q4195" s="65"/>
      <c r="R4195" s="65"/>
      <c r="S4195" s="65"/>
      <c r="T4195" s="65"/>
      <c r="U4195" s="58"/>
      <c r="V4195" s="65"/>
      <c r="W4195" s="65"/>
      <c r="X4195" s="65"/>
      <c r="Y4195" s="65"/>
      <c r="Z4195" s="51"/>
      <c r="AA4195" s="51"/>
      <c r="AB4195" s="102"/>
      <c r="AC4195" s="81" t="e">
        <f t="shared" si="199"/>
        <v>#DIV/0!</v>
      </c>
      <c r="AD4195" s="82">
        <f t="shared" si="200"/>
        <v>0</v>
      </c>
      <c r="AE4195" s="218"/>
      <c r="AH4195" t="str">
        <f t="shared" si="198"/>
        <v>0000</v>
      </c>
      <c r="AJ4195" s="72"/>
      <c r="AK4195" s="72"/>
      <c r="AL4195" s="72"/>
      <c r="AM4195" s="72"/>
    </row>
    <row r="4196" spans="1:39" x14ac:dyDescent="0.25">
      <c r="A4196" s="37" t="s">
        <v>62</v>
      </c>
      <c r="B4196" s="66"/>
      <c r="C4196" s="4"/>
      <c r="D4196" s="41"/>
      <c r="E4196" s="41"/>
      <c r="F4196" s="85"/>
      <c r="G4196" s="39"/>
      <c r="H4196" s="52"/>
      <c r="I4196" s="52"/>
      <c r="J4196" s="49"/>
      <c r="K4196" s="58"/>
      <c r="L4196" s="58"/>
      <c r="M4196" s="58"/>
      <c r="N4196" s="58"/>
      <c r="O4196" s="58"/>
      <c r="P4196" s="53"/>
      <c r="Q4196" s="65"/>
      <c r="R4196" s="65"/>
      <c r="S4196" s="65"/>
      <c r="T4196" s="65"/>
      <c r="U4196" s="58"/>
      <c r="V4196" s="65"/>
      <c r="W4196" s="65"/>
      <c r="X4196" s="65"/>
      <c r="Y4196" s="65"/>
      <c r="Z4196" s="51"/>
      <c r="AA4196" s="51"/>
      <c r="AB4196" s="102"/>
      <c r="AC4196" s="81" t="e">
        <f t="shared" si="199"/>
        <v>#DIV/0!</v>
      </c>
      <c r="AD4196" s="82">
        <f t="shared" si="200"/>
        <v>0</v>
      </c>
      <c r="AE4196" s="218"/>
      <c r="AH4196" t="str">
        <f t="shared" si="198"/>
        <v>0000</v>
      </c>
      <c r="AJ4196" s="72"/>
      <c r="AK4196" s="72"/>
      <c r="AL4196" s="72"/>
      <c r="AM4196" s="72"/>
    </row>
    <row r="4197" spans="1:39" x14ac:dyDescent="0.25">
      <c r="A4197" s="37" t="s">
        <v>62</v>
      </c>
      <c r="B4197" s="66"/>
      <c r="C4197" s="4"/>
      <c r="D4197" s="41"/>
      <c r="E4197" s="41"/>
      <c r="F4197" s="85"/>
      <c r="G4197" s="39"/>
      <c r="H4197" s="52"/>
      <c r="I4197" s="52"/>
      <c r="J4197" s="49"/>
      <c r="K4197" s="58"/>
      <c r="L4197" s="58"/>
      <c r="M4197" s="58"/>
      <c r="N4197" s="58"/>
      <c r="O4197" s="58"/>
      <c r="P4197" s="53"/>
      <c r="Q4197" s="65"/>
      <c r="R4197" s="65"/>
      <c r="S4197" s="65"/>
      <c r="T4197" s="65"/>
      <c r="U4197" s="58"/>
      <c r="V4197" s="65"/>
      <c r="W4197" s="65"/>
      <c r="X4197" s="65"/>
      <c r="Y4197" s="65"/>
      <c r="Z4197" s="51"/>
      <c r="AA4197" s="51"/>
      <c r="AB4197" s="102"/>
      <c r="AC4197" s="81" t="e">
        <f t="shared" si="199"/>
        <v>#DIV/0!</v>
      </c>
      <c r="AD4197" s="82">
        <f t="shared" si="200"/>
        <v>0</v>
      </c>
      <c r="AE4197" s="218"/>
      <c r="AH4197" t="str">
        <f t="shared" si="198"/>
        <v>0000</v>
      </c>
      <c r="AJ4197" s="72"/>
      <c r="AK4197" s="72"/>
      <c r="AL4197" s="72"/>
      <c r="AM4197" s="72"/>
    </row>
    <row r="4198" spans="1:39" x14ac:dyDescent="0.25">
      <c r="A4198" s="37" t="s">
        <v>62</v>
      </c>
      <c r="B4198" s="66"/>
      <c r="C4198" s="4"/>
      <c r="D4198" s="41"/>
      <c r="E4198" s="41"/>
      <c r="F4198" s="85"/>
      <c r="G4198" s="39"/>
      <c r="H4198" s="52"/>
      <c r="I4198" s="52"/>
      <c r="J4198" s="49"/>
      <c r="K4198" s="58"/>
      <c r="L4198" s="58"/>
      <c r="M4198" s="58"/>
      <c r="N4198" s="58"/>
      <c r="O4198" s="58"/>
      <c r="P4198" s="53"/>
      <c r="Q4198" s="65"/>
      <c r="R4198" s="65"/>
      <c r="S4198" s="65"/>
      <c r="T4198" s="65"/>
      <c r="U4198" s="58"/>
      <c r="V4198" s="65"/>
      <c r="W4198" s="65"/>
      <c r="X4198" s="65"/>
      <c r="Y4198" s="65"/>
      <c r="Z4198" s="51"/>
      <c r="AA4198" s="51"/>
      <c r="AB4198" s="102"/>
      <c r="AC4198" s="81" t="e">
        <f t="shared" si="199"/>
        <v>#DIV/0!</v>
      </c>
      <c r="AD4198" s="82">
        <f t="shared" si="200"/>
        <v>0</v>
      </c>
      <c r="AE4198" s="218"/>
      <c r="AH4198" t="str">
        <f t="shared" si="198"/>
        <v>0000</v>
      </c>
      <c r="AJ4198" s="72"/>
      <c r="AK4198" s="72"/>
      <c r="AL4198" s="72"/>
      <c r="AM4198" s="72"/>
    </row>
    <row r="4199" spans="1:39" x14ac:dyDescent="0.25">
      <c r="A4199" s="37" t="s">
        <v>62</v>
      </c>
      <c r="B4199" s="66"/>
      <c r="C4199" s="4"/>
      <c r="D4199" s="41"/>
      <c r="E4199" s="41"/>
      <c r="F4199" s="85"/>
      <c r="G4199" s="39"/>
      <c r="H4199" s="52"/>
      <c r="I4199" s="52"/>
      <c r="J4199" s="49"/>
      <c r="K4199" s="58"/>
      <c r="L4199" s="58"/>
      <c r="M4199" s="58"/>
      <c r="N4199" s="58"/>
      <c r="O4199" s="58"/>
      <c r="P4199" s="53"/>
      <c r="Q4199" s="65"/>
      <c r="R4199" s="65"/>
      <c r="S4199" s="65"/>
      <c r="T4199" s="65"/>
      <c r="U4199" s="58"/>
      <c r="V4199" s="65"/>
      <c r="W4199" s="65"/>
      <c r="X4199" s="65"/>
      <c r="Y4199" s="65"/>
      <c r="Z4199" s="51"/>
      <c r="AA4199" s="51"/>
      <c r="AB4199" s="102"/>
      <c r="AC4199" s="81" t="e">
        <f t="shared" si="199"/>
        <v>#DIV/0!</v>
      </c>
      <c r="AD4199" s="82">
        <f t="shared" si="200"/>
        <v>0</v>
      </c>
      <c r="AE4199" s="218"/>
      <c r="AH4199" t="str">
        <f t="shared" si="198"/>
        <v>0000</v>
      </c>
      <c r="AJ4199" s="72"/>
      <c r="AK4199" s="72"/>
      <c r="AL4199" s="72"/>
      <c r="AM4199" s="72"/>
    </row>
    <row r="4200" spans="1:39" x14ac:dyDescent="0.25">
      <c r="A4200" s="37" t="s">
        <v>62</v>
      </c>
      <c r="B4200" s="66"/>
      <c r="C4200" s="4"/>
      <c r="D4200" s="41"/>
      <c r="E4200" s="41"/>
      <c r="F4200" s="85"/>
      <c r="G4200" s="39"/>
      <c r="H4200" s="52"/>
      <c r="I4200" s="52"/>
      <c r="J4200" s="49"/>
      <c r="K4200" s="58"/>
      <c r="L4200" s="58"/>
      <c r="M4200" s="58"/>
      <c r="N4200" s="58"/>
      <c r="O4200" s="58"/>
      <c r="P4200" s="53"/>
      <c r="Q4200" s="65"/>
      <c r="R4200" s="65"/>
      <c r="S4200" s="65"/>
      <c r="T4200" s="65"/>
      <c r="U4200" s="58"/>
      <c r="V4200" s="65"/>
      <c r="W4200" s="65"/>
      <c r="X4200" s="65"/>
      <c r="Y4200" s="65"/>
      <c r="Z4200" s="51"/>
      <c r="AA4200" s="51"/>
      <c r="AB4200" s="102"/>
      <c r="AC4200" s="81" t="e">
        <f t="shared" si="199"/>
        <v>#DIV/0!</v>
      </c>
      <c r="AD4200" s="82">
        <f t="shared" si="200"/>
        <v>0</v>
      </c>
      <c r="AE4200" s="218"/>
      <c r="AH4200" t="str">
        <f t="shared" si="198"/>
        <v>0000</v>
      </c>
      <c r="AJ4200" s="72"/>
      <c r="AK4200" s="72"/>
      <c r="AL4200" s="72"/>
      <c r="AM4200" s="72"/>
    </row>
    <row r="4201" spans="1:39" x14ac:dyDescent="0.25">
      <c r="A4201" s="37" t="s">
        <v>62</v>
      </c>
      <c r="B4201" s="66"/>
      <c r="C4201" s="4"/>
      <c r="D4201" s="41"/>
      <c r="E4201" s="41"/>
      <c r="F4201" s="85"/>
      <c r="G4201" s="39"/>
      <c r="H4201" s="52"/>
      <c r="I4201" s="52"/>
      <c r="J4201" s="49"/>
      <c r="K4201" s="58"/>
      <c r="L4201" s="58"/>
      <c r="M4201" s="58"/>
      <c r="N4201" s="58"/>
      <c r="O4201" s="58"/>
      <c r="P4201" s="53"/>
      <c r="Q4201" s="65"/>
      <c r="R4201" s="65"/>
      <c r="S4201" s="65"/>
      <c r="T4201" s="65"/>
      <c r="U4201" s="58"/>
      <c r="V4201" s="65"/>
      <c r="W4201" s="65"/>
      <c r="X4201" s="65"/>
      <c r="Y4201" s="65"/>
      <c r="Z4201" s="51"/>
      <c r="AA4201" s="51"/>
      <c r="AB4201" s="102"/>
      <c r="AC4201" s="81" t="e">
        <f t="shared" si="199"/>
        <v>#DIV/0!</v>
      </c>
      <c r="AD4201" s="82">
        <f t="shared" si="200"/>
        <v>0</v>
      </c>
      <c r="AE4201" s="218"/>
      <c r="AH4201" t="str">
        <f t="shared" si="198"/>
        <v>0000</v>
      </c>
      <c r="AJ4201" s="72"/>
      <c r="AK4201" s="72"/>
      <c r="AL4201" s="72"/>
      <c r="AM4201" s="72"/>
    </row>
    <row r="4202" spans="1:39" x14ac:dyDescent="0.25">
      <c r="A4202" s="37" t="s">
        <v>62</v>
      </c>
      <c r="B4202" s="66"/>
      <c r="C4202" s="4"/>
      <c r="D4202" s="41"/>
      <c r="E4202" s="41"/>
      <c r="F4202" s="85"/>
      <c r="G4202" s="39"/>
      <c r="H4202" s="52"/>
      <c r="I4202" s="52"/>
      <c r="J4202" s="49"/>
      <c r="K4202" s="58"/>
      <c r="L4202" s="58"/>
      <c r="M4202" s="58"/>
      <c r="N4202" s="58"/>
      <c r="O4202" s="58"/>
      <c r="P4202" s="53"/>
      <c r="Q4202" s="65"/>
      <c r="R4202" s="65"/>
      <c r="S4202" s="65"/>
      <c r="T4202" s="65"/>
      <c r="U4202" s="58"/>
      <c r="V4202" s="65"/>
      <c r="W4202" s="65"/>
      <c r="X4202" s="65"/>
      <c r="Y4202" s="65"/>
      <c r="Z4202" s="51"/>
      <c r="AA4202" s="51"/>
      <c r="AB4202" s="102"/>
      <c r="AC4202" s="81" t="e">
        <f t="shared" si="199"/>
        <v>#DIV/0!</v>
      </c>
      <c r="AD4202" s="82">
        <f t="shared" si="200"/>
        <v>0</v>
      </c>
      <c r="AE4202" s="218"/>
      <c r="AH4202" t="str">
        <f t="shared" si="198"/>
        <v>0000</v>
      </c>
      <c r="AJ4202" s="72"/>
      <c r="AK4202" s="72"/>
      <c r="AL4202" s="72"/>
      <c r="AM4202" s="72"/>
    </row>
    <row r="4203" spans="1:39" x14ac:dyDescent="0.25">
      <c r="A4203" s="37" t="s">
        <v>62</v>
      </c>
      <c r="B4203" s="66"/>
      <c r="C4203" s="4"/>
      <c r="D4203" s="41"/>
      <c r="E4203" s="41"/>
      <c r="F4203" s="85"/>
      <c r="G4203" s="39"/>
      <c r="H4203" s="52"/>
      <c r="I4203" s="52"/>
      <c r="J4203" s="49"/>
      <c r="K4203" s="58"/>
      <c r="L4203" s="58"/>
      <c r="M4203" s="58"/>
      <c r="N4203" s="58"/>
      <c r="O4203" s="58"/>
      <c r="P4203" s="53"/>
      <c r="Q4203" s="65"/>
      <c r="R4203" s="65"/>
      <c r="S4203" s="65"/>
      <c r="T4203" s="65"/>
      <c r="U4203" s="58"/>
      <c r="V4203" s="65"/>
      <c r="W4203" s="65"/>
      <c r="X4203" s="65"/>
      <c r="Y4203" s="65"/>
      <c r="Z4203" s="51"/>
      <c r="AA4203" s="51"/>
      <c r="AB4203" s="102"/>
      <c r="AC4203" s="81" t="e">
        <f t="shared" si="199"/>
        <v>#DIV/0!</v>
      </c>
      <c r="AD4203" s="82">
        <f t="shared" si="200"/>
        <v>0</v>
      </c>
      <c r="AE4203" s="218"/>
      <c r="AH4203" t="str">
        <f t="shared" si="198"/>
        <v>0000</v>
      </c>
      <c r="AJ4203" s="72"/>
      <c r="AK4203" s="72"/>
      <c r="AL4203" s="72"/>
      <c r="AM4203" s="72"/>
    </row>
    <row r="4204" spans="1:39" x14ac:dyDescent="0.25">
      <c r="A4204" s="37" t="s">
        <v>62</v>
      </c>
      <c r="B4204" s="66"/>
      <c r="C4204" s="4"/>
      <c r="D4204" s="41"/>
      <c r="E4204" s="41"/>
      <c r="F4204" s="85"/>
      <c r="G4204" s="39"/>
      <c r="H4204" s="52"/>
      <c r="I4204" s="52"/>
      <c r="J4204" s="49"/>
      <c r="K4204" s="58"/>
      <c r="L4204" s="58"/>
      <c r="M4204" s="58"/>
      <c r="N4204" s="58"/>
      <c r="O4204" s="58"/>
      <c r="P4204" s="53"/>
      <c r="Q4204" s="65"/>
      <c r="R4204" s="65"/>
      <c r="S4204" s="65"/>
      <c r="T4204" s="65"/>
      <c r="U4204" s="58"/>
      <c r="V4204" s="65"/>
      <c r="W4204" s="65"/>
      <c r="X4204" s="65"/>
      <c r="Y4204" s="65"/>
      <c r="Z4204" s="51"/>
      <c r="AA4204" s="51"/>
      <c r="AB4204" s="102"/>
      <c r="AC4204" s="81" t="e">
        <f t="shared" si="199"/>
        <v>#DIV/0!</v>
      </c>
      <c r="AD4204" s="82">
        <f t="shared" si="200"/>
        <v>0</v>
      </c>
      <c r="AE4204" s="218"/>
      <c r="AH4204" t="str">
        <f t="shared" si="198"/>
        <v>0000</v>
      </c>
      <c r="AJ4204" s="72"/>
      <c r="AK4204" s="72"/>
      <c r="AL4204" s="72"/>
      <c r="AM4204" s="72"/>
    </row>
    <row r="4205" spans="1:39" x14ac:dyDescent="0.25">
      <c r="A4205" s="37" t="s">
        <v>62</v>
      </c>
      <c r="B4205" s="66"/>
      <c r="C4205" s="4"/>
      <c r="D4205" s="41"/>
      <c r="E4205" s="41"/>
      <c r="F4205" s="85"/>
      <c r="G4205" s="39"/>
      <c r="H4205" s="52"/>
      <c r="I4205" s="52"/>
      <c r="J4205" s="49"/>
      <c r="K4205" s="58"/>
      <c r="L4205" s="58"/>
      <c r="M4205" s="58"/>
      <c r="N4205" s="58"/>
      <c r="O4205" s="58"/>
      <c r="P4205" s="53"/>
      <c r="Q4205" s="65"/>
      <c r="R4205" s="65"/>
      <c r="S4205" s="65"/>
      <c r="T4205" s="65"/>
      <c r="U4205" s="58"/>
      <c r="V4205" s="65"/>
      <c r="W4205" s="65"/>
      <c r="X4205" s="65"/>
      <c r="Y4205" s="65"/>
      <c r="Z4205" s="51"/>
      <c r="AA4205" s="51"/>
      <c r="AB4205" s="102"/>
      <c r="AC4205" s="81" t="e">
        <f t="shared" si="199"/>
        <v>#DIV/0!</v>
      </c>
      <c r="AD4205" s="82">
        <f t="shared" si="200"/>
        <v>0</v>
      </c>
      <c r="AE4205" s="218"/>
      <c r="AH4205" t="str">
        <f t="shared" si="198"/>
        <v>0000</v>
      </c>
      <c r="AJ4205" s="72"/>
      <c r="AK4205" s="72"/>
      <c r="AL4205" s="72"/>
      <c r="AM4205" s="72"/>
    </row>
    <row r="4206" spans="1:39" x14ac:dyDescent="0.25">
      <c r="A4206" s="37" t="s">
        <v>62</v>
      </c>
      <c r="B4206" s="66"/>
      <c r="C4206" s="4"/>
      <c r="D4206" s="41"/>
      <c r="E4206" s="41"/>
      <c r="F4206" s="85"/>
      <c r="G4206" s="39"/>
      <c r="H4206" s="52"/>
      <c r="I4206" s="52"/>
      <c r="J4206" s="49"/>
      <c r="K4206" s="58"/>
      <c r="L4206" s="58"/>
      <c r="M4206" s="58"/>
      <c r="N4206" s="58"/>
      <c r="O4206" s="58"/>
      <c r="P4206" s="53"/>
      <c r="Q4206" s="65"/>
      <c r="R4206" s="65"/>
      <c r="S4206" s="65"/>
      <c r="T4206" s="65"/>
      <c r="U4206" s="58"/>
      <c r="V4206" s="65"/>
      <c r="W4206" s="65"/>
      <c r="X4206" s="65"/>
      <c r="Y4206" s="65"/>
      <c r="Z4206" s="51"/>
      <c r="AA4206" s="51"/>
      <c r="AB4206" s="102"/>
      <c r="AC4206" s="81" t="e">
        <f t="shared" si="199"/>
        <v>#DIV/0!</v>
      </c>
      <c r="AD4206" s="82">
        <f t="shared" si="200"/>
        <v>0</v>
      </c>
      <c r="AE4206" s="218"/>
      <c r="AH4206" t="str">
        <f t="shared" si="198"/>
        <v>0000</v>
      </c>
      <c r="AJ4206" s="72"/>
      <c r="AK4206" s="72"/>
      <c r="AL4206" s="72"/>
      <c r="AM4206" s="72"/>
    </row>
    <row r="4207" spans="1:39" x14ac:dyDescent="0.25">
      <c r="A4207" s="37" t="s">
        <v>62</v>
      </c>
      <c r="B4207" s="66"/>
      <c r="C4207" s="4"/>
      <c r="D4207" s="41"/>
      <c r="E4207" s="41"/>
      <c r="F4207" s="85"/>
      <c r="G4207" s="39"/>
      <c r="H4207" s="52"/>
      <c r="I4207" s="52"/>
      <c r="J4207" s="49"/>
      <c r="K4207" s="58"/>
      <c r="L4207" s="58"/>
      <c r="M4207" s="58"/>
      <c r="N4207" s="58"/>
      <c r="O4207" s="58"/>
      <c r="P4207" s="53"/>
      <c r="Q4207" s="65"/>
      <c r="R4207" s="65"/>
      <c r="S4207" s="65"/>
      <c r="T4207" s="65"/>
      <c r="U4207" s="58"/>
      <c r="V4207" s="65"/>
      <c r="W4207" s="65"/>
      <c r="X4207" s="65"/>
      <c r="Y4207" s="65"/>
      <c r="Z4207" s="51"/>
      <c r="AA4207" s="51"/>
      <c r="AB4207" s="102"/>
      <c r="AC4207" s="81" t="e">
        <f t="shared" si="199"/>
        <v>#DIV/0!</v>
      </c>
      <c r="AD4207" s="82">
        <f t="shared" si="200"/>
        <v>0</v>
      </c>
      <c r="AE4207" s="218"/>
      <c r="AH4207" t="str">
        <f t="shared" si="198"/>
        <v>0000</v>
      </c>
      <c r="AJ4207" s="72"/>
      <c r="AK4207" s="72"/>
      <c r="AL4207" s="72"/>
      <c r="AM4207" s="72"/>
    </row>
    <row r="4208" spans="1:39" x14ac:dyDescent="0.25">
      <c r="A4208" s="37" t="s">
        <v>62</v>
      </c>
      <c r="B4208" s="66"/>
      <c r="C4208" s="4"/>
      <c r="D4208" s="41"/>
      <c r="E4208" s="41"/>
      <c r="F4208" s="85"/>
      <c r="G4208" s="39"/>
      <c r="H4208" s="52"/>
      <c r="I4208" s="52"/>
      <c r="J4208" s="49"/>
      <c r="K4208" s="58"/>
      <c r="L4208" s="58"/>
      <c r="M4208" s="58"/>
      <c r="N4208" s="58"/>
      <c r="O4208" s="58"/>
      <c r="P4208" s="53"/>
      <c r="Q4208" s="65"/>
      <c r="R4208" s="65"/>
      <c r="S4208" s="65"/>
      <c r="T4208" s="65"/>
      <c r="U4208" s="58"/>
      <c r="V4208" s="65"/>
      <c r="W4208" s="65"/>
      <c r="X4208" s="65"/>
      <c r="Y4208" s="65"/>
      <c r="Z4208" s="51"/>
      <c r="AA4208" s="51"/>
      <c r="AB4208" s="102"/>
      <c r="AC4208" s="81" t="e">
        <f t="shared" si="199"/>
        <v>#DIV/0!</v>
      </c>
      <c r="AD4208" s="82">
        <f t="shared" si="200"/>
        <v>0</v>
      </c>
      <c r="AE4208" s="218"/>
      <c r="AH4208" t="str">
        <f t="shared" si="198"/>
        <v>0000</v>
      </c>
      <c r="AJ4208" s="72"/>
      <c r="AK4208" s="72"/>
      <c r="AL4208" s="72"/>
      <c r="AM4208" s="72"/>
    </row>
    <row r="4209" spans="1:39" x14ac:dyDescent="0.25">
      <c r="A4209" s="37" t="s">
        <v>62</v>
      </c>
      <c r="B4209" s="66"/>
      <c r="C4209" s="4"/>
      <c r="D4209" s="41"/>
      <c r="E4209" s="41"/>
      <c r="F4209" s="85"/>
      <c r="G4209" s="39"/>
      <c r="H4209" s="52"/>
      <c r="I4209" s="52"/>
      <c r="J4209" s="49"/>
      <c r="K4209" s="58"/>
      <c r="L4209" s="58"/>
      <c r="M4209" s="58"/>
      <c r="N4209" s="58"/>
      <c r="O4209" s="58"/>
      <c r="P4209" s="53"/>
      <c r="Q4209" s="65"/>
      <c r="R4209" s="65"/>
      <c r="S4209" s="65"/>
      <c r="T4209" s="65"/>
      <c r="U4209" s="58"/>
      <c r="V4209" s="65"/>
      <c r="W4209" s="65"/>
      <c r="X4209" s="65"/>
      <c r="Y4209" s="65"/>
      <c r="Z4209" s="51"/>
      <c r="AA4209" s="51"/>
      <c r="AB4209" s="102"/>
      <c r="AC4209" s="81" t="e">
        <f t="shared" si="199"/>
        <v>#DIV/0!</v>
      </c>
      <c r="AD4209" s="82">
        <f t="shared" si="200"/>
        <v>0</v>
      </c>
      <c r="AE4209" s="218"/>
      <c r="AH4209" t="str">
        <f t="shared" si="198"/>
        <v>0000</v>
      </c>
      <c r="AJ4209" s="72"/>
      <c r="AK4209" s="72"/>
      <c r="AL4209" s="72"/>
      <c r="AM4209" s="72"/>
    </row>
    <row r="4210" spans="1:39" x14ac:dyDescent="0.25">
      <c r="A4210" s="37" t="s">
        <v>62</v>
      </c>
      <c r="B4210" s="66"/>
      <c r="C4210" s="4"/>
      <c r="D4210" s="41"/>
      <c r="E4210" s="41"/>
      <c r="F4210" s="85"/>
      <c r="G4210" s="39"/>
      <c r="H4210" s="52"/>
      <c r="I4210" s="52"/>
      <c r="J4210" s="49"/>
      <c r="K4210" s="58"/>
      <c r="L4210" s="58"/>
      <c r="M4210" s="58"/>
      <c r="N4210" s="58"/>
      <c r="O4210" s="58"/>
      <c r="P4210" s="53"/>
      <c r="Q4210" s="65"/>
      <c r="R4210" s="65"/>
      <c r="S4210" s="65"/>
      <c r="T4210" s="65"/>
      <c r="U4210" s="58"/>
      <c r="V4210" s="65"/>
      <c r="W4210" s="65"/>
      <c r="X4210" s="65"/>
      <c r="Y4210" s="65"/>
      <c r="Z4210" s="51"/>
      <c r="AA4210" s="51"/>
      <c r="AB4210" s="102"/>
      <c r="AC4210" s="81" t="e">
        <f t="shared" si="199"/>
        <v>#DIV/0!</v>
      </c>
      <c r="AD4210" s="82">
        <f t="shared" si="200"/>
        <v>0</v>
      </c>
      <c r="AE4210" s="218"/>
      <c r="AH4210" t="str">
        <f t="shared" si="198"/>
        <v>0000</v>
      </c>
      <c r="AJ4210" s="72"/>
      <c r="AK4210" s="72"/>
      <c r="AL4210" s="72"/>
      <c r="AM4210" s="72"/>
    </row>
    <row r="4211" spans="1:39" x14ac:dyDescent="0.25">
      <c r="A4211" s="37" t="s">
        <v>62</v>
      </c>
      <c r="B4211" s="66"/>
      <c r="C4211" s="4"/>
      <c r="D4211" s="41"/>
      <c r="E4211" s="41"/>
      <c r="F4211" s="85"/>
      <c r="G4211" s="39"/>
      <c r="H4211" s="52"/>
      <c r="I4211" s="52"/>
      <c r="J4211" s="49"/>
      <c r="K4211" s="58"/>
      <c r="L4211" s="58"/>
      <c r="M4211" s="58"/>
      <c r="N4211" s="58"/>
      <c r="O4211" s="58"/>
      <c r="P4211" s="53"/>
      <c r="Q4211" s="65"/>
      <c r="R4211" s="65"/>
      <c r="S4211" s="65"/>
      <c r="T4211" s="65"/>
      <c r="U4211" s="58"/>
      <c r="V4211" s="65"/>
      <c r="W4211" s="65"/>
      <c r="X4211" s="65"/>
      <c r="Y4211" s="65"/>
      <c r="Z4211" s="51"/>
      <c r="AA4211" s="51"/>
      <c r="AB4211" s="102"/>
      <c r="AC4211" s="81" t="e">
        <f t="shared" si="199"/>
        <v>#DIV/0!</v>
      </c>
      <c r="AD4211" s="82">
        <f t="shared" si="200"/>
        <v>0</v>
      </c>
      <c r="AE4211" s="218"/>
      <c r="AH4211" t="str">
        <f t="shared" si="198"/>
        <v>0000</v>
      </c>
      <c r="AJ4211" s="72"/>
      <c r="AK4211" s="72"/>
      <c r="AL4211" s="72"/>
      <c r="AM4211" s="72"/>
    </row>
    <row r="4212" spans="1:39" x14ac:dyDescent="0.25">
      <c r="A4212" s="37" t="s">
        <v>62</v>
      </c>
      <c r="B4212" s="66"/>
      <c r="C4212" s="4"/>
      <c r="D4212" s="41"/>
      <c r="E4212" s="41"/>
      <c r="F4212" s="85"/>
      <c r="G4212" s="39"/>
      <c r="H4212" s="52"/>
      <c r="I4212" s="52"/>
      <c r="J4212" s="49"/>
      <c r="K4212" s="58"/>
      <c r="L4212" s="58"/>
      <c r="M4212" s="58"/>
      <c r="N4212" s="58"/>
      <c r="O4212" s="58"/>
      <c r="P4212" s="53"/>
      <c r="Q4212" s="65"/>
      <c r="R4212" s="65"/>
      <c r="S4212" s="65"/>
      <c r="T4212" s="65"/>
      <c r="U4212" s="58"/>
      <c r="V4212" s="65"/>
      <c r="W4212" s="65"/>
      <c r="X4212" s="65"/>
      <c r="Y4212" s="65"/>
      <c r="Z4212" s="51"/>
      <c r="AA4212" s="51"/>
      <c r="AB4212" s="102"/>
      <c r="AC4212" s="81" t="e">
        <f t="shared" si="199"/>
        <v>#DIV/0!</v>
      </c>
      <c r="AD4212" s="82">
        <f t="shared" si="200"/>
        <v>0</v>
      </c>
      <c r="AE4212" s="218"/>
      <c r="AH4212" t="str">
        <f t="shared" si="198"/>
        <v>0000</v>
      </c>
      <c r="AJ4212" s="72"/>
      <c r="AK4212" s="72"/>
      <c r="AL4212" s="72"/>
      <c r="AM4212" s="72"/>
    </row>
    <row r="4213" spans="1:39" x14ac:dyDescent="0.25">
      <c r="A4213" s="37" t="s">
        <v>62</v>
      </c>
      <c r="B4213" s="66"/>
      <c r="C4213" s="4"/>
      <c r="D4213" s="41"/>
      <c r="E4213" s="41"/>
      <c r="F4213" s="85"/>
      <c r="G4213" s="39"/>
      <c r="H4213" s="52"/>
      <c r="I4213" s="52"/>
      <c r="J4213" s="49"/>
      <c r="K4213" s="58"/>
      <c r="L4213" s="58"/>
      <c r="M4213" s="58"/>
      <c r="N4213" s="58"/>
      <c r="O4213" s="58"/>
      <c r="P4213" s="53"/>
      <c r="Q4213" s="65"/>
      <c r="R4213" s="65"/>
      <c r="S4213" s="65"/>
      <c r="T4213" s="65"/>
      <c r="U4213" s="58"/>
      <c r="V4213" s="65"/>
      <c r="W4213" s="65"/>
      <c r="X4213" s="65"/>
      <c r="Y4213" s="65"/>
      <c r="Z4213" s="51"/>
      <c r="AA4213" s="51"/>
      <c r="AB4213" s="102"/>
      <c r="AC4213" s="81" t="e">
        <f t="shared" si="199"/>
        <v>#DIV/0!</v>
      </c>
      <c r="AD4213" s="82">
        <f t="shared" si="200"/>
        <v>0</v>
      </c>
      <c r="AE4213" s="218"/>
      <c r="AH4213" t="str">
        <f t="shared" si="198"/>
        <v>0000</v>
      </c>
      <c r="AJ4213" s="72"/>
      <c r="AK4213" s="72"/>
      <c r="AL4213" s="72"/>
      <c r="AM4213" s="72"/>
    </row>
    <row r="4214" spans="1:39" x14ac:dyDescent="0.25">
      <c r="A4214" s="37" t="s">
        <v>62</v>
      </c>
      <c r="B4214" s="66"/>
      <c r="C4214" s="4"/>
      <c r="D4214" s="41"/>
      <c r="E4214" s="41"/>
      <c r="F4214" s="85"/>
      <c r="G4214" s="39"/>
      <c r="H4214" s="52"/>
      <c r="I4214" s="52"/>
      <c r="J4214" s="49"/>
      <c r="K4214" s="58"/>
      <c r="L4214" s="58"/>
      <c r="M4214" s="58"/>
      <c r="N4214" s="58"/>
      <c r="O4214" s="58"/>
      <c r="P4214" s="53"/>
      <c r="Q4214" s="65"/>
      <c r="R4214" s="65"/>
      <c r="S4214" s="65"/>
      <c r="T4214" s="65"/>
      <c r="U4214" s="58"/>
      <c r="V4214" s="65"/>
      <c r="W4214" s="65"/>
      <c r="X4214" s="65"/>
      <c r="Y4214" s="65"/>
      <c r="Z4214" s="51"/>
      <c r="AA4214" s="51"/>
      <c r="AB4214" s="102"/>
      <c r="AC4214" s="81" t="e">
        <f t="shared" si="199"/>
        <v>#DIV/0!</v>
      </c>
      <c r="AD4214" s="82">
        <f t="shared" si="200"/>
        <v>0</v>
      </c>
      <c r="AE4214" s="218"/>
      <c r="AH4214" t="str">
        <f t="shared" si="198"/>
        <v>0000</v>
      </c>
      <c r="AJ4214" s="72"/>
      <c r="AK4214" s="72"/>
      <c r="AL4214" s="72"/>
      <c r="AM4214" s="72"/>
    </row>
    <row r="4215" spans="1:39" x14ac:dyDescent="0.25">
      <c r="A4215" s="37" t="s">
        <v>62</v>
      </c>
      <c r="B4215" s="66"/>
      <c r="C4215" s="4"/>
      <c r="D4215" s="41"/>
      <c r="E4215" s="41"/>
      <c r="F4215" s="85"/>
      <c r="G4215" s="39"/>
      <c r="H4215" s="52"/>
      <c r="I4215" s="52"/>
      <c r="J4215" s="49"/>
      <c r="K4215" s="58"/>
      <c r="L4215" s="58"/>
      <c r="M4215" s="58"/>
      <c r="N4215" s="58"/>
      <c r="O4215" s="58"/>
      <c r="P4215" s="53"/>
      <c r="Q4215" s="65"/>
      <c r="R4215" s="65"/>
      <c r="S4215" s="65"/>
      <c r="T4215" s="65"/>
      <c r="U4215" s="58"/>
      <c r="V4215" s="65"/>
      <c r="W4215" s="65"/>
      <c r="X4215" s="65"/>
      <c r="Y4215" s="65"/>
      <c r="Z4215" s="51"/>
      <c r="AA4215" s="51"/>
      <c r="AB4215" s="102"/>
      <c r="AC4215" s="81" t="e">
        <f t="shared" si="199"/>
        <v>#DIV/0!</v>
      </c>
      <c r="AD4215" s="82">
        <f t="shared" si="200"/>
        <v>0</v>
      </c>
      <c r="AE4215" s="218"/>
      <c r="AH4215" t="str">
        <f t="shared" si="198"/>
        <v>0000</v>
      </c>
      <c r="AJ4215" s="72"/>
      <c r="AK4215" s="72"/>
      <c r="AL4215" s="72"/>
      <c r="AM4215" s="72"/>
    </row>
    <row r="4216" spans="1:39" x14ac:dyDescent="0.25">
      <c r="A4216" s="37" t="s">
        <v>62</v>
      </c>
      <c r="B4216" s="66"/>
      <c r="C4216" s="4"/>
      <c r="D4216" s="41"/>
      <c r="E4216" s="41"/>
      <c r="F4216" s="85"/>
      <c r="G4216" s="39"/>
      <c r="H4216" s="52"/>
      <c r="I4216" s="52"/>
      <c r="J4216" s="49"/>
      <c r="K4216" s="58"/>
      <c r="L4216" s="58"/>
      <c r="M4216" s="58"/>
      <c r="N4216" s="58"/>
      <c r="O4216" s="58"/>
      <c r="P4216" s="53"/>
      <c r="Q4216" s="65"/>
      <c r="R4216" s="65"/>
      <c r="S4216" s="65"/>
      <c r="T4216" s="65"/>
      <c r="U4216" s="58"/>
      <c r="V4216" s="65"/>
      <c r="W4216" s="65"/>
      <c r="X4216" s="65"/>
      <c r="Y4216" s="65"/>
      <c r="Z4216" s="51"/>
      <c r="AA4216" s="51"/>
      <c r="AB4216" s="102"/>
      <c r="AC4216" s="81" t="e">
        <f t="shared" si="199"/>
        <v>#DIV/0!</v>
      </c>
      <c r="AD4216" s="82">
        <f t="shared" si="200"/>
        <v>0</v>
      </c>
      <c r="AE4216" s="218"/>
      <c r="AH4216" t="str">
        <f t="shared" si="198"/>
        <v>0000</v>
      </c>
      <c r="AJ4216" s="72"/>
      <c r="AK4216" s="72"/>
      <c r="AL4216" s="72"/>
      <c r="AM4216" s="72"/>
    </row>
    <row r="4217" spans="1:39" x14ac:dyDescent="0.25">
      <c r="A4217" s="37" t="s">
        <v>62</v>
      </c>
      <c r="B4217" s="66"/>
      <c r="C4217" s="4"/>
      <c r="D4217" s="41"/>
      <c r="E4217" s="41"/>
      <c r="F4217" s="85"/>
      <c r="G4217" s="39"/>
      <c r="H4217" s="52"/>
      <c r="I4217" s="52"/>
      <c r="J4217" s="49"/>
      <c r="K4217" s="58"/>
      <c r="L4217" s="58"/>
      <c r="M4217" s="58"/>
      <c r="N4217" s="58"/>
      <c r="O4217" s="58"/>
      <c r="P4217" s="53"/>
      <c r="Q4217" s="65"/>
      <c r="R4217" s="65"/>
      <c r="S4217" s="65"/>
      <c r="T4217" s="65"/>
      <c r="U4217" s="58"/>
      <c r="V4217" s="65"/>
      <c r="W4217" s="65"/>
      <c r="X4217" s="65"/>
      <c r="Y4217" s="65"/>
      <c r="Z4217" s="51"/>
      <c r="AA4217" s="51"/>
      <c r="AB4217" s="102"/>
      <c r="AC4217" s="81" t="e">
        <f t="shared" si="199"/>
        <v>#DIV/0!</v>
      </c>
      <c r="AD4217" s="82">
        <f t="shared" si="200"/>
        <v>0</v>
      </c>
      <c r="AE4217" s="218"/>
      <c r="AH4217" t="str">
        <f t="shared" si="198"/>
        <v>0000</v>
      </c>
      <c r="AJ4217" s="72"/>
      <c r="AK4217" s="72"/>
      <c r="AL4217" s="72"/>
      <c r="AM4217" s="72"/>
    </row>
    <row r="4218" spans="1:39" x14ac:dyDescent="0.25">
      <c r="A4218" s="37" t="s">
        <v>62</v>
      </c>
      <c r="B4218" s="66"/>
      <c r="C4218" s="4"/>
      <c r="D4218" s="41"/>
      <c r="E4218" s="41"/>
      <c r="F4218" s="85"/>
      <c r="G4218" s="39"/>
      <c r="H4218" s="52"/>
      <c r="I4218" s="52"/>
      <c r="J4218" s="49"/>
      <c r="K4218" s="58"/>
      <c r="L4218" s="58"/>
      <c r="M4218" s="58"/>
      <c r="N4218" s="58"/>
      <c r="O4218" s="58"/>
      <c r="P4218" s="53"/>
      <c r="Q4218" s="65"/>
      <c r="R4218" s="65"/>
      <c r="S4218" s="65"/>
      <c r="T4218" s="65"/>
      <c r="U4218" s="58"/>
      <c r="V4218" s="65"/>
      <c r="W4218" s="65"/>
      <c r="X4218" s="65"/>
      <c r="Y4218" s="65"/>
      <c r="Z4218" s="51"/>
      <c r="AA4218" s="51"/>
      <c r="AB4218" s="102"/>
      <c r="AC4218" s="81" t="e">
        <f t="shared" si="199"/>
        <v>#DIV/0!</v>
      </c>
      <c r="AD4218" s="82">
        <f t="shared" si="200"/>
        <v>0</v>
      </c>
      <c r="AE4218" s="218"/>
      <c r="AH4218" t="str">
        <f t="shared" ref="AH4218:AH4281" si="201">TEXT(D4218,"0000")</f>
        <v>0000</v>
      </c>
      <c r="AJ4218" s="72"/>
      <c r="AK4218" s="72"/>
      <c r="AL4218" s="72"/>
      <c r="AM4218" s="72"/>
    </row>
    <row r="4219" spans="1:39" x14ac:dyDescent="0.25">
      <c r="A4219" s="37" t="s">
        <v>62</v>
      </c>
      <c r="B4219" s="66"/>
      <c r="C4219" s="4"/>
      <c r="D4219" s="41"/>
      <c r="E4219" s="41"/>
      <c r="F4219" s="85"/>
      <c r="G4219" s="39"/>
      <c r="H4219" s="52"/>
      <c r="I4219" s="52"/>
      <c r="J4219" s="49"/>
      <c r="K4219" s="58"/>
      <c r="L4219" s="58"/>
      <c r="M4219" s="58"/>
      <c r="N4219" s="58"/>
      <c r="O4219" s="58"/>
      <c r="P4219" s="53"/>
      <c r="Q4219" s="65"/>
      <c r="R4219" s="65"/>
      <c r="S4219" s="65"/>
      <c r="T4219" s="65"/>
      <c r="U4219" s="58"/>
      <c r="V4219" s="65"/>
      <c r="W4219" s="65"/>
      <c r="X4219" s="65"/>
      <c r="Y4219" s="65"/>
      <c r="Z4219" s="51"/>
      <c r="AA4219" s="51"/>
      <c r="AB4219" s="102"/>
      <c r="AC4219" s="81" t="e">
        <f t="shared" si="199"/>
        <v>#DIV/0!</v>
      </c>
      <c r="AD4219" s="82">
        <f t="shared" si="200"/>
        <v>0</v>
      </c>
      <c r="AE4219" s="218"/>
      <c r="AH4219" t="str">
        <f t="shared" si="201"/>
        <v>0000</v>
      </c>
      <c r="AJ4219" s="72"/>
      <c r="AK4219" s="72"/>
      <c r="AL4219" s="72"/>
      <c r="AM4219" s="72"/>
    </row>
    <row r="4220" spans="1:39" x14ac:dyDescent="0.25">
      <c r="A4220" s="37" t="s">
        <v>62</v>
      </c>
      <c r="B4220" s="66"/>
      <c r="C4220" s="4"/>
      <c r="D4220" s="41"/>
      <c r="E4220" s="41"/>
      <c r="F4220" s="85"/>
      <c r="G4220" s="39"/>
      <c r="H4220" s="52"/>
      <c r="I4220" s="52"/>
      <c r="J4220" s="49"/>
      <c r="K4220" s="58"/>
      <c r="L4220" s="58"/>
      <c r="M4220" s="58"/>
      <c r="N4220" s="58"/>
      <c r="O4220" s="58"/>
      <c r="P4220" s="53"/>
      <c r="Q4220" s="65"/>
      <c r="R4220" s="65"/>
      <c r="S4220" s="65"/>
      <c r="T4220" s="65"/>
      <c r="U4220" s="58"/>
      <c r="V4220" s="65"/>
      <c r="W4220" s="65"/>
      <c r="X4220" s="65"/>
      <c r="Y4220" s="65"/>
      <c r="Z4220" s="51"/>
      <c r="AA4220" s="51"/>
      <c r="AB4220" s="102"/>
      <c r="AC4220" s="81" t="e">
        <f t="shared" si="199"/>
        <v>#DIV/0!</v>
      </c>
      <c r="AD4220" s="82">
        <f t="shared" si="200"/>
        <v>0</v>
      </c>
      <c r="AE4220" s="218"/>
      <c r="AH4220" t="str">
        <f t="shared" si="201"/>
        <v>0000</v>
      </c>
      <c r="AJ4220" s="72"/>
      <c r="AK4220" s="72"/>
      <c r="AL4220" s="72"/>
      <c r="AM4220" s="72"/>
    </row>
    <row r="4221" spans="1:39" x14ac:dyDescent="0.25">
      <c r="A4221" s="37" t="s">
        <v>62</v>
      </c>
      <c r="B4221" s="66"/>
      <c r="C4221" s="4"/>
      <c r="D4221" s="41"/>
      <c r="E4221" s="41"/>
      <c r="F4221" s="85"/>
      <c r="G4221" s="39"/>
      <c r="H4221" s="52"/>
      <c r="I4221" s="52"/>
      <c r="J4221" s="49"/>
      <c r="K4221" s="58"/>
      <c r="L4221" s="58"/>
      <c r="M4221" s="58"/>
      <c r="N4221" s="58"/>
      <c r="O4221" s="58"/>
      <c r="P4221" s="53"/>
      <c r="Q4221" s="65"/>
      <c r="R4221" s="65"/>
      <c r="S4221" s="65"/>
      <c r="T4221" s="65"/>
      <c r="U4221" s="58"/>
      <c r="V4221" s="65"/>
      <c r="W4221" s="65"/>
      <c r="X4221" s="65"/>
      <c r="Y4221" s="65"/>
      <c r="Z4221" s="51"/>
      <c r="AA4221" s="51"/>
      <c r="AB4221" s="102"/>
      <c r="AC4221" s="81" t="e">
        <f t="shared" si="199"/>
        <v>#DIV/0!</v>
      </c>
      <c r="AD4221" s="82">
        <f t="shared" si="200"/>
        <v>0</v>
      </c>
      <c r="AE4221" s="218"/>
      <c r="AH4221" t="str">
        <f t="shared" si="201"/>
        <v>0000</v>
      </c>
      <c r="AJ4221" s="72"/>
      <c r="AK4221" s="72"/>
      <c r="AL4221" s="72"/>
      <c r="AM4221" s="72"/>
    </row>
    <row r="4222" spans="1:39" x14ac:dyDescent="0.25">
      <c r="A4222" s="37" t="s">
        <v>62</v>
      </c>
      <c r="B4222" s="66"/>
      <c r="C4222" s="4"/>
      <c r="D4222" s="41"/>
      <c r="E4222" s="41"/>
      <c r="F4222" s="85"/>
      <c r="G4222" s="39"/>
      <c r="H4222" s="52"/>
      <c r="I4222" s="52"/>
      <c r="J4222" s="49"/>
      <c r="K4222" s="58"/>
      <c r="L4222" s="58"/>
      <c r="M4222" s="58"/>
      <c r="N4222" s="58"/>
      <c r="O4222" s="58"/>
      <c r="P4222" s="53"/>
      <c r="Q4222" s="65"/>
      <c r="R4222" s="65"/>
      <c r="S4222" s="65"/>
      <c r="T4222" s="65"/>
      <c r="U4222" s="58"/>
      <c r="V4222" s="65"/>
      <c r="W4222" s="65"/>
      <c r="X4222" s="65"/>
      <c r="Y4222" s="65"/>
      <c r="Z4222" s="51"/>
      <c r="AA4222" s="51"/>
      <c r="AB4222" s="102"/>
      <c r="AC4222" s="81" t="e">
        <f t="shared" si="199"/>
        <v>#DIV/0!</v>
      </c>
      <c r="AD4222" s="82">
        <f t="shared" si="200"/>
        <v>0</v>
      </c>
      <c r="AE4222" s="218"/>
      <c r="AH4222" t="str">
        <f t="shared" si="201"/>
        <v>0000</v>
      </c>
      <c r="AJ4222" s="72"/>
      <c r="AK4222" s="72"/>
      <c r="AL4222" s="72"/>
      <c r="AM4222" s="72"/>
    </row>
    <row r="4223" spans="1:39" x14ac:dyDescent="0.25">
      <c r="A4223" s="37" t="s">
        <v>62</v>
      </c>
      <c r="B4223" s="66"/>
      <c r="C4223" s="4"/>
      <c r="D4223" s="41"/>
      <c r="E4223" s="41"/>
      <c r="F4223" s="85"/>
      <c r="G4223" s="39"/>
      <c r="H4223" s="52"/>
      <c r="I4223" s="52"/>
      <c r="J4223" s="49"/>
      <c r="K4223" s="58"/>
      <c r="L4223" s="58"/>
      <c r="M4223" s="58"/>
      <c r="N4223" s="58"/>
      <c r="O4223" s="58"/>
      <c r="P4223" s="53"/>
      <c r="Q4223" s="65"/>
      <c r="R4223" s="65"/>
      <c r="S4223" s="65"/>
      <c r="T4223" s="65"/>
      <c r="U4223" s="58"/>
      <c r="V4223" s="65"/>
      <c r="W4223" s="65"/>
      <c r="X4223" s="65"/>
      <c r="Y4223" s="65"/>
      <c r="Z4223" s="51"/>
      <c r="AA4223" s="51"/>
      <c r="AB4223" s="102"/>
      <c r="AC4223" s="81" t="e">
        <f t="shared" si="199"/>
        <v>#DIV/0!</v>
      </c>
      <c r="AD4223" s="82">
        <f t="shared" si="200"/>
        <v>0</v>
      </c>
      <c r="AE4223" s="218"/>
      <c r="AH4223" t="str">
        <f t="shared" si="201"/>
        <v>0000</v>
      </c>
      <c r="AJ4223" s="72"/>
      <c r="AK4223" s="72"/>
      <c r="AL4223" s="72"/>
      <c r="AM4223" s="72"/>
    </row>
    <row r="4224" spans="1:39" x14ac:dyDescent="0.25">
      <c r="A4224" s="37" t="s">
        <v>62</v>
      </c>
      <c r="B4224" s="66"/>
      <c r="C4224" s="4"/>
      <c r="D4224" s="41"/>
      <c r="E4224" s="41"/>
      <c r="F4224" s="85"/>
      <c r="G4224" s="39"/>
      <c r="H4224" s="52"/>
      <c r="I4224" s="52"/>
      <c r="J4224" s="49"/>
      <c r="K4224" s="58"/>
      <c r="L4224" s="58"/>
      <c r="M4224" s="58"/>
      <c r="N4224" s="58"/>
      <c r="O4224" s="58"/>
      <c r="P4224" s="53"/>
      <c r="Q4224" s="65"/>
      <c r="R4224" s="65"/>
      <c r="S4224" s="65"/>
      <c r="T4224" s="65"/>
      <c r="U4224" s="58"/>
      <c r="V4224" s="65"/>
      <c r="W4224" s="65"/>
      <c r="X4224" s="65"/>
      <c r="Y4224" s="65"/>
      <c r="Z4224" s="51"/>
      <c r="AA4224" s="51"/>
      <c r="AB4224" s="102"/>
      <c r="AC4224" s="81" t="e">
        <f t="shared" si="199"/>
        <v>#DIV/0!</v>
      </c>
      <c r="AD4224" s="82">
        <f t="shared" si="200"/>
        <v>0</v>
      </c>
      <c r="AE4224" s="218"/>
      <c r="AH4224" t="str">
        <f t="shared" si="201"/>
        <v>0000</v>
      </c>
      <c r="AJ4224" s="72"/>
      <c r="AK4224" s="72"/>
      <c r="AL4224" s="72"/>
      <c r="AM4224" s="72"/>
    </row>
    <row r="4225" spans="1:39" x14ac:dyDescent="0.25">
      <c r="A4225" s="37" t="s">
        <v>62</v>
      </c>
      <c r="B4225" s="66"/>
      <c r="C4225" s="4"/>
      <c r="D4225" s="41"/>
      <c r="E4225" s="41"/>
      <c r="F4225" s="85"/>
      <c r="G4225" s="39"/>
      <c r="H4225" s="52"/>
      <c r="I4225" s="52"/>
      <c r="J4225" s="49"/>
      <c r="K4225" s="58"/>
      <c r="L4225" s="58"/>
      <c r="M4225" s="58"/>
      <c r="N4225" s="58"/>
      <c r="O4225" s="58"/>
      <c r="P4225" s="53"/>
      <c r="Q4225" s="65"/>
      <c r="R4225" s="65"/>
      <c r="S4225" s="65"/>
      <c r="T4225" s="65"/>
      <c r="U4225" s="58"/>
      <c r="V4225" s="65"/>
      <c r="W4225" s="65"/>
      <c r="X4225" s="65"/>
      <c r="Y4225" s="65"/>
      <c r="Z4225" s="51"/>
      <c r="AA4225" s="51"/>
      <c r="AB4225" s="102"/>
      <c r="AC4225" s="81" t="e">
        <f t="shared" ref="AC4225:AC4288" si="202">((IF(AD4225=0,0,100-AD4225))*7*(J4225/I4225))*2%</f>
        <v>#DIV/0!</v>
      </c>
      <c r="AD4225" s="82">
        <f t="shared" ref="AD4225:AD4288" si="203">IF((I4225/7)&gt;100,0,(I4225/7))</f>
        <v>0</v>
      </c>
      <c r="AE4225" s="218"/>
      <c r="AH4225" t="str">
        <f t="shared" si="201"/>
        <v>0000</v>
      </c>
      <c r="AJ4225" s="72"/>
      <c r="AK4225" s="72"/>
      <c r="AL4225" s="72"/>
      <c r="AM4225" s="72"/>
    </row>
    <row r="4226" spans="1:39" x14ac:dyDescent="0.25">
      <c r="A4226" s="37" t="s">
        <v>62</v>
      </c>
      <c r="B4226" s="66"/>
      <c r="C4226" s="4"/>
      <c r="D4226" s="41"/>
      <c r="E4226" s="41"/>
      <c r="F4226" s="85"/>
      <c r="G4226" s="39"/>
      <c r="H4226" s="52"/>
      <c r="I4226" s="52"/>
      <c r="J4226" s="49"/>
      <c r="K4226" s="58"/>
      <c r="L4226" s="58"/>
      <c r="M4226" s="58"/>
      <c r="N4226" s="58"/>
      <c r="O4226" s="58"/>
      <c r="P4226" s="53"/>
      <c r="Q4226" s="65"/>
      <c r="R4226" s="65"/>
      <c r="S4226" s="65"/>
      <c r="T4226" s="65"/>
      <c r="U4226" s="58"/>
      <c r="V4226" s="65"/>
      <c r="W4226" s="65"/>
      <c r="X4226" s="65"/>
      <c r="Y4226" s="65"/>
      <c r="Z4226" s="51"/>
      <c r="AA4226" s="51"/>
      <c r="AB4226" s="102"/>
      <c r="AC4226" s="81" t="e">
        <f t="shared" si="202"/>
        <v>#DIV/0!</v>
      </c>
      <c r="AD4226" s="82">
        <f t="shared" si="203"/>
        <v>0</v>
      </c>
      <c r="AE4226" s="218"/>
      <c r="AH4226" t="str">
        <f t="shared" si="201"/>
        <v>0000</v>
      </c>
      <c r="AJ4226" s="72"/>
      <c r="AK4226" s="72"/>
      <c r="AL4226" s="72"/>
      <c r="AM4226" s="72"/>
    </row>
    <row r="4227" spans="1:39" x14ac:dyDescent="0.25">
      <c r="A4227" s="37" t="s">
        <v>62</v>
      </c>
      <c r="B4227" s="66"/>
      <c r="C4227" s="4"/>
      <c r="D4227" s="41"/>
      <c r="E4227" s="41"/>
      <c r="F4227" s="85"/>
      <c r="G4227" s="39"/>
      <c r="H4227" s="52"/>
      <c r="I4227" s="52"/>
      <c r="J4227" s="49"/>
      <c r="K4227" s="58"/>
      <c r="L4227" s="58"/>
      <c r="M4227" s="58"/>
      <c r="N4227" s="58"/>
      <c r="O4227" s="58"/>
      <c r="P4227" s="53"/>
      <c r="Q4227" s="65"/>
      <c r="R4227" s="65"/>
      <c r="S4227" s="65"/>
      <c r="T4227" s="65"/>
      <c r="U4227" s="58"/>
      <c r="V4227" s="65"/>
      <c r="W4227" s="65"/>
      <c r="X4227" s="65"/>
      <c r="Y4227" s="65"/>
      <c r="Z4227" s="51"/>
      <c r="AA4227" s="51"/>
      <c r="AB4227" s="102"/>
      <c r="AC4227" s="81" t="e">
        <f t="shared" si="202"/>
        <v>#DIV/0!</v>
      </c>
      <c r="AD4227" s="82">
        <f t="shared" si="203"/>
        <v>0</v>
      </c>
      <c r="AE4227" s="218"/>
      <c r="AH4227" t="str">
        <f t="shared" si="201"/>
        <v>0000</v>
      </c>
      <c r="AJ4227" s="72"/>
      <c r="AK4227" s="72"/>
      <c r="AL4227" s="72"/>
      <c r="AM4227" s="72"/>
    </row>
    <row r="4228" spans="1:39" x14ac:dyDescent="0.25">
      <c r="A4228" s="37" t="s">
        <v>62</v>
      </c>
      <c r="B4228" s="66"/>
      <c r="C4228" s="4"/>
      <c r="D4228" s="41"/>
      <c r="E4228" s="41"/>
      <c r="F4228" s="85"/>
      <c r="G4228" s="39"/>
      <c r="H4228" s="52"/>
      <c r="I4228" s="52"/>
      <c r="J4228" s="49"/>
      <c r="K4228" s="58"/>
      <c r="L4228" s="58"/>
      <c r="M4228" s="58"/>
      <c r="N4228" s="58"/>
      <c r="O4228" s="58"/>
      <c r="P4228" s="53"/>
      <c r="Q4228" s="65"/>
      <c r="R4228" s="65"/>
      <c r="S4228" s="65"/>
      <c r="T4228" s="65"/>
      <c r="U4228" s="58"/>
      <c r="V4228" s="65"/>
      <c r="W4228" s="65"/>
      <c r="X4228" s="65"/>
      <c r="Y4228" s="65"/>
      <c r="Z4228" s="51"/>
      <c r="AA4228" s="51"/>
      <c r="AB4228" s="102"/>
      <c r="AC4228" s="81" t="e">
        <f t="shared" si="202"/>
        <v>#DIV/0!</v>
      </c>
      <c r="AD4228" s="82">
        <f t="shared" si="203"/>
        <v>0</v>
      </c>
      <c r="AE4228" s="218"/>
      <c r="AH4228" t="str">
        <f t="shared" si="201"/>
        <v>0000</v>
      </c>
      <c r="AJ4228" s="72"/>
      <c r="AK4228" s="72"/>
      <c r="AL4228" s="72"/>
      <c r="AM4228" s="72"/>
    </row>
    <row r="4229" spans="1:39" x14ac:dyDescent="0.25">
      <c r="A4229" s="37" t="s">
        <v>62</v>
      </c>
      <c r="B4229" s="66"/>
      <c r="C4229" s="4"/>
      <c r="D4229" s="41"/>
      <c r="E4229" s="41"/>
      <c r="F4229" s="85"/>
      <c r="G4229" s="39"/>
      <c r="H4229" s="52"/>
      <c r="I4229" s="52"/>
      <c r="J4229" s="49"/>
      <c r="K4229" s="58"/>
      <c r="L4229" s="58"/>
      <c r="M4229" s="58"/>
      <c r="N4229" s="58"/>
      <c r="O4229" s="58"/>
      <c r="P4229" s="53"/>
      <c r="Q4229" s="65"/>
      <c r="R4229" s="65"/>
      <c r="S4229" s="65"/>
      <c r="T4229" s="65"/>
      <c r="U4229" s="58"/>
      <c r="V4229" s="65"/>
      <c r="W4229" s="65"/>
      <c r="X4229" s="65"/>
      <c r="Y4229" s="65"/>
      <c r="Z4229" s="51"/>
      <c r="AA4229" s="51"/>
      <c r="AB4229" s="102"/>
      <c r="AC4229" s="81" t="e">
        <f t="shared" si="202"/>
        <v>#DIV/0!</v>
      </c>
      <c r="AD4229" s="82">
        <f t="shared" si="203"/>
        <v>0</v>
      </c>
      <c r="AE4229" s="218"/>
      <c r="AH4229" t="str">
        <f t="shared" si="201"/>
        <v>0000</v>
      </c>
      <c r="AJ4229" s="72"/>
      <c r="AK4229" s="72"/>
      <c r="AL4229" s="72"/>
      <c r="AM4229" s="72"/>
    </row>
    <row r="4230" spans="1:39" x14ac:dyDescent="0.25">
      <c r="A4230" s="37" t="s">
        <v>62</v>
      </c>
      <c r="B4230" s="66"/>
      <c r="C4230" s="4"/>
      <c r="D4230" s="41"/>
      <c r="E4230" s="41"/>
      <c r="F4230" s="85"/>
      <c r="G4230" s="39"/>
      <c r="H4230" s="52"/>
      <c r="I4230" s="52"/>
      <c r="J4230" s="49"/>
      <c r="K4230" s="58"/>
      <c r="L4230" s="58"/>
      <c r="M4230" s="58"/>
      <c r="N4230" s="58"/>
      <c r="O4230" s="58"/>
      <c r="P4230" s="53"/>
      <c r="Q4230" s="65"/>
      <c r="R4230" s="65"/>
      <c r="S4230" s="65"/>
      <c r="T4230" s="65"/>
      <c r="U4230" s="58"/>
      <c r="V4230" s="65"/>
      <c r="W4230" s="65"/>
      <c r="X4230" s="65"/>
      <c r="Y4230" s="65"/>
      <c r="Z4230" s="51"/>
      <c r="AA4230" s="51"/>
      <c r="AB4230" s="102"/>
      <c r="AC4230" s="81" t="e">
        <f t="shared" si="202"/>
        <v>#DIV/0!</v>
      </c>
      <c r="AD4230" s="82">
        <f t="shared" si="203"/>
        <v>0</v>
      </c>
      <c r="AE4230" s="218"/>
      <c r="AH4230" t="str">
        <f t="shared" si="201"/>
        <v>0000</v>
      </c>
      <c r="AJ4230" s="72"/>
      <c r="AK4230" s="72"/>
      <c r="AL4230" s="72"/>
      <c r="AM4230" s="72"/>
    </row>
    <row r="4231" spans="1:39" x14ac:dyDescent="0.25">
      <c r="A4231" s="37" t="s">
        <v>62</v>
      </c>
      <c r="B4231" s="66"/>
      <c r="C4231" s="4"/>
      <c r="D4231" s="41"/>
      <c r="E4231" s="41"/>
      <c r="F4231" s="85"/>
      <c r="G4231" s="39"/>
      <c r="H4231" s="52"/>
      <c r="I4231" s="52"/>
      <c r="J4231" s="49"/>
      <c r="K4231" s="58"/>
      <c r="L4231" s="58"/>
      <c r="M4231" s="58"/>
      <c r="N4231" s="58"/>
      <c r="O4231" s="58"/>
      <c r="P4231" s="53"/>
      <c r="Q4231" s="65"/>
      <c r="R4231" s="65"/>
      <c r="S4231" s="65"/>
      <c r="T4231" s="65"/>
      <c r="U4231" s="58"/>
      <c r="V4231" s="65"/>
      <c r="W4231" s="65"/>
      <c r="X4231" s="65"/>
      <c r="Y4231" s="65"/>
      <c r="Z4231" s="51"/>
      <c r="AA4231" s="51"/>
      <c r="AB4231" s="102"/>
      <c r="AC4231" s="81" t="e">
        <f t="shared" si="202"/>
        <v>#DIV/0!</v>
      </c>
      <c r="AD4231" s="82">
        <f t="shared" si="203"/>
        <v>0</v>
      </c>
      <c r="AE4231" s="218"/>
      <c r="AH4231" t="str">
        <f t="shared" si="201"/>
        <v>0000</v>
      </c>
      <c r="AJ4231" s="72"/>
      <c r="AK4231" s="72"/>
      <c r="AL4231" s="72"/>
      <c r="AM4231" s="72"/>
    </row>
    <row r="4232" spans="1:39" x14ac:dyDescent="0.25">
      <c r="A4232" s="37" t="s">
        <v>62</v>
      </c>
      <c r="B4232" s="66"/>
      <c r="C4232" s="4"/>
      <c r="D4232" s="41"/>
      <c r="E4232" s="41"/>
      <c r="F4232" s="85"/>
      <c r="G4232" s="39"/>
      <c r="H4232" s="52"/>
      <c r="I4232" s="52"/>
      <c r="J4232" s="49"/>
      <c r="K4232" s="58"/>
      <c r="L4232" s="58"/>
      <c r="M4232" s="58"/>
      <c r="N4232" s="58"/>
      <c r="O4232" s="58"/>
      <c r="P4232" s="53"/>
      <c r="Q4232" s="65"/>
      <c r="R4232" s="65"/>
      <c r="S4232" s="65"/>
      <c r="T4232" s="65"/>
      <c r="U4232" s="58"/>
      <c r="V4232" s="65"/>
      <c r="W4232" s="65"/>
      <c r="X4232" s="65"/>
      <c r="Y4232" s="65"/>
      <c r="Z4232" s="51"/>
      <c r="AA4232" s="51"/>
      <c r="AB4232" s="102"/>
      <c r="AC4232" s="81" t="e">
        <f t="shared" si="202"/>
        <v>#DIV/0!</v>
      </c>
      <c r="AD4232" s="82">
        <f t="shared" si="203"/>
        <v>0</v>
      </c>
      <c r="AE4232" s="218"/>
      <c r="AH4232" t="str">
        <f t="shared" si="201"/>
        <v>0000</v>
      </c>
      <c r="AJ4232" s="72"/>
      <c r="AK4232" s="72"/>
      <c r="AL4232" s="72"/>
      <c r="AM4232" s="72"/>
    </row>
    <row r="4233" spans="1:39" x14ac:dyDescent="0.25">
      <c r="A4233" s="37" t="s">
        <v>62</v>
      </c>
      <c r="B4233" s="66"/>
      <c r="C4233" s="4"/>
      <c r="D4233" s="41"/>
      <c r="E4233" s="41"/>
      <c r="F4233" s="85"/>
      <c r="G4233" s="39"/>
      <c r="H4233" s="52"/>
      <c r="I4233" s="52"/>
      <c r="J4233" s="49"/>
      <c r="K4233" s="58"/>
      <c r="L4233" s="58"/>
      <c r="M4233" s="58"/>
      <c r="N4233" s="58"/>
      <c r="O4233" s="58"/>
      <c r="P4233" s="53"/>
      <c r="Q4233" s="65"/>
      <c r="R4233" s="65"/>
      <c r="S4233" s="65"/>
      <c r="T4233" s="65"/>
      <c r="U4233" s="58"/>
      <c r="V4233" s="65"/>
      <c r="W4233" s="65"/>
      <c r="X4233" s="65"/>
      <c r="Y4233" s="65"/>
      <c r="Z4233" s="51"/>
      <c r="AA4233" s="51"/>
      <c r="AB4233" s="102"/>
      <c r="AC4233" s="81" t="e">
        <f t="shared" si="202"/>
        <v>#DIV/0!</v>
      </c>
      <c r="AD4233" s="82">
        <f t="shared" si="203"/>
        <v>0</v>
      </c>
      <c r="AE4233" s="218"/>
      <c r="AH4233" t="str">
        <f t="shared" si="201"/>
        <v>0000</v>
      </c>
      <c r="AJ4233" s="72"/>
      <c r="AK4233" s="72"/>
      <c r="AL4233" s="72"/>
      <c r="AM4233" s="72"/>
    </row>
    <row r="4234" spans="1:39" x14ac:dyDescent="0.25">
      <c r="A4234" s="37" t="s">
        <v>62</v>
      </c>
      <c r="B4234" s="66"/>
      <c r="C4234" s="4"/>
      <c r="D4234" s="41"/>
      <c r="E4234" s="41"/>
      <c r="F4234" s="85"/>
      <c r="G4234" s="39"/>
      <c r="H4234" s="52"/>
      <c r="I4234" s="52"/>
      <c r="J4234" s="49"/>
      <c r="K4234" s="58"/>
      <c r="L4234" s="58"/>
      <c r="M4234" s="58"/>
      <c r="N4234" s="58"/>
      <c r="O4234" s="58"/>
      <c r="P4234" s="53"/>
      <c r="Q4234" s="65"/>
      <c r="R4234" s="65"/>
      <c r="S4234" s="65"/>
      <c r="T4234" s="65"/>
      <c r="U4234" s="58"/>
      <c r="V4234" s="65"/>
      <c r="W4234" s="65"/>
      <c r="X4234" s="65"/>
      <c r="Y4234" s="65"/>
      <c r="Z4234" s="51"/>
      <c r="AA4234" s="51"/>
      <c r="AB4234" s="102"/>
      <c r="AC4234" s="81" t="e">
        <f t="shared" si="202"/>
        <v>#DIV/0!</v>
      </c>
      <c r="AD4234" s="82">
        <f t="shared" si="203"/>
        <v>0</v>
      </c>
      <c r="AE4234" s="218"/>
      <c r="AH4234" t="str">
        <f t="shared" si="201"/>
        <v>0000</v>
      </c>
      <c r="AJ4234" s="72"/>
      <c r="AK4234" s="72"/>
      <c r="AL4234" s="72"/>
      <c r="AM4234" s="72"/>
    </row>
    <row r="4235" spans="1:39" x14ac:dyDescent="0.25">
      <c r="A4235" s="37" t="s">
        <v>62</v>
      </c>
      <c r="B4235" s="66"/>
      <c r="C4235" s="4"/>
      <c r="D4235" s="41"/>
      <c r="E4235" s="41"/>
      <c r="F4235" s="85"/>
      <c r="G4235" s="39"/>
      <c r="H4235" s="52"/>
      <c r="I4235" s="52"/>
      <c r="J4235" s="49"/>
      <c r="K4235" s="58"/>
      <c r="L4235" s="58"/>
      <c r="M4235" s="58"/>
      <c r="N4235" s="58"/>
      <c r="O4235" s="58"/>
      <c r="P4235" s="53"/>
      <c r="Q4235" s="65"/>
      <c r="R4235" s="65"/>
      <c r="S4235" s="65"/>
      <c r="T4235" s="65"/>
      <c r="U4235" s="58"/>
      <c r="V4235" s="65"/>
      <c r="W4235" s="65"/>
      <c r="X4235" s="65"/>
      <c r="Y4235" s="65"/>
      <c r="Z4235" s="51"/>
      <c r="AA4235" s="51"/>
      <c r="AB4235" s="102"/>
      <c r="AC4235" s="81" t="e">
        <f t="shared" si="202"/>
        <v>#DIV/0!</v>
      </c>
      <c r="AD4235" s="82">
        <f t="shared" si="203"/>
        <v>0</v>
      </c>
      <c r="AE4235" s="218"/>
      <c r="AH4235" t="str">
        <f t="shared" si="201"/>
        <v>0000</v>
      </c>
      <c r="AJ4235" s="72"/>
      <c r="AK4235" s="72"/>
      <c r="AL4235" s="72"/>
      <c r="AM4235" s="72"/>
    </row>
    <row r="4236" spans="1:39" x14ac:dyDescent="0.25">
      <c r="A4236" s="37" t="s">
        <v>62</v>
      </c>
      <c r="B4236" s="66"/>
      <c r="C4236" s="4"/>
      <c r="D4236" s="41"/>
      <c r="E4236" s="41"/>
      <c r="F4236" s="85"/>
      <c r="G4236" s="39"/>
      <c r="H4236" s="52"/>
      <c r="I4236" s="52"/>
      <c r="J4236" s="49"/>
      <c r="K4236" s="58"/>
      <c r="L4236" s="58"/>
      <c r="M4236" s="58"/>
      <c r="N4236" s="58"/>
      <c r="O4236" s="58"/>
      <c r="P4236" s="53"/>
      <c r="Q4236" s="65"/>
      <c r="R4236" s="65"/>
      <c r="S4236" s="65"/>
      <c r="T4236" s="65"/>
      <c r="U4236" s="58"/>
      <c r="V4236" s="65"/>
      <c r="W4236" s="65"/>
      <c r="X4236" s="65"/>
      <c r="Y4236" s="65"/>
      <c r="Z4236" s="51"/>
      <c r="AA4236" s="51"/>
      <c r="AB4236" s="102"/>
      <c r="AC4236" s="81" t="e">
        <f t="shared" si="202"/>
        <v>#DIV/0!</v>
      </c>
      <c r="AD4236" s="82">
        <f t="shared" si="203"/>
        <v>0</v>
      </c>
      <c r="AE4236" s="218"/>
      <c r="AH4236" t="str">
        <f t="shared" si="201"/>
        <v>0000</v>
      </c>
      <c r="AJ4236" s="72"/>
      <c r="AK4236" s="72"/>
      <c r="AL4236" s="72"/>
      <c r="AM4236" s="72"/>
    </row>
    <row r="4237" spans="1:39" x14ac:dyDescent="0.25">
      <c r="A4237" s="37" t="s">
        <v>62</v>
      </c>
      <c r="B4237" s="66"/>
      <c r="C4237" s="4"/>
      <c r="D4237" s="41"/>
      <c r="E4237" s="41"/>
      <c r="F4237" s="85"/>
      <c r="G4237" s="39"/>
      <c r="H4237" s="52"/>
      <c r="I4237" s="52"/>
      <c r="J4237" s="49"/>
      <c r="K4237" s="58"/>
      <c r="L4237" s="58"/>
      <c r="M4237" s="58"/>
      <c r="N4237" s="58"/>
      <c r="O4237" s="58"/>
      <c r="P4237" s="53"/>
      <c r="Q4237" s="65"/>
      <c r="R4237" s="65"/>
      <c r="S4237" s="65"/>
      <c r="T4237" s="65"/>
      <c r="U4237" s="58"/>
      <c r="V4237" s="65"/>
      <c r="W4237" s="65"/>
      <c r="X4237" s="65"/>
      <c r="Y4237" s="65"/>
      <c r="Z4237" s="51"/>
      <c r="AA4237" s="51"/>
      <c r="AB4237" s="102"/>
      <c r="AC4237" s="81" t="e">
        <f t="shared" si="202"/>
        <v>#DIV/0!</v>
      </c>
      <c r="AD4237" s="82">
        <f t="shared" si="203"/>
        <v>0</v>
      </c>
      <c r="AE4237" s="218"/>
      <c r="AH4237" t="str">
        <f t="shared" si="201"/>
        <v>0000</v>
      </c>
      <c r="AJ4237" s="72"/>
      <c r="AK4237" s="72"/>
      <c r="AL4237" s="72"/>
      <c r="AM4237" s="72"/>
    </row>
    <row r="4238" spans="1:39" x14ac:dyDescent="0.25">
      <c r="A4238" s="37" t="s">
        <v>62</v>
      </c>
      <c r="B4238" s="66"/>
      <c r="C4238" s="4"/>
      <c r="D4238" s="41"/>
      <c r="E4238" s="41"/>
      <c r="F4238" s="85"/>
      <c r="G4238" s="39"/>
      <c r="H4238" s="52"/>
      <c r="I4238" s="52"/>
      <c r="J4238" s="49"/>
      <c r="K4238" s="58"/>
      <c r="L4238" s="58"/>
      <c r="M4238" s="58"/>
      <c r="N4238" s="58"/>
      <c r="O4238" s="58"/>
      <c r="P4238" s="53"/>
      <c r="Q4238" s="65"/>
      <c r="R4238" s="65"/>
      <c r="S4238" s="65"/>
      <c r="T4238" s="65"/>
      <c r="U4238" s="58"/>
      <c r="V4238" s="65"/>
      <c r="W4238" s="65"/>
      <c r="X4238" s="65"/>
      <c r="Y4238" s="65"/>
      <c r="Z4238" s="51"/>
      <c r="AA4238" s="51"/>
      <c r="AB4238" s="102"/>
      <c r="AC4238" s="81" t="e">
        <f t="shared" si="202"/>
        <v>#DIV/0!</v>
      </c>
      <c r="AD4238" s="82">
        <f t="shared" si="203"/>
        <v>0</v>
      </c>
      <c r="AE4238" s="218"/>
      <c r="AH4238" t="str">
        <f t="shared" si="201"/>
        <v>0000</v>
      </c>
      <c r="AJ4238" s="72"/>
      <c r="AK4238" s="72"/>
      <c r="AL4238" s="72"/>
      <c r="AM4238" s="72"/>
    </row>
    <row r="4239" spans="1:39" x14ac:dyDescent="0.25">
      <c r="A4239" s="37" t="s">
        <v>62</v>
      </c>
      <c r="B4239" s="66"/>
      <c r="C4239" s="4"/>
      <c r="D4239" s="41"/>
      <c r="E4239" s="41"/>
      <c r="F4239" s="85"/>
      <c r="G4239" s="39"/>
      <c r="H4239" s="52"/>
      <c r="I4239" s="52"/>
      <c r="J4239" s="49"/>
      <c r="K4239" s="58"/>
      <c r="L4239" s="58"/>
      <c r="M4239" s="58"/>
      <c r="N4239" s="58"/>
      <c r="O4239" s="58"/>
      <c r="P4239" s="53"/>
      <c r="Q4239" s="65"/>
      <c r="R4239" s="65"/>
      <c r="S4239" s="65"/>
      <c r="T4239" s="65"/>
      <c r="U4239" s="58"/>
      <c r="V4239" s="65"/>
      <c r="W4239" s="65"/>
      <c r="X4239" s="65"/>
      <c r="Y4239" s="65"/>
      <c r="Z4239" s="51"/>
      <c r="AA4239" s="51"/>
      <c r="AB4239" s="102"/>
      <c r="AC4239" s="81" t="e">
        <f t="shared" si="202"/>
        <v>#DIV/0!</v>
      </c>
      <c r="AD4239" s="82">
        <f t="shared" si="203"/>
        <v>0</v>
      </c>
      <c r="AE4239" s="218"/>
      <c r="AH4239" t="str">
        <f t="shared" si="201"/>
        <v>0000</v>
      </c>
      <c r="AJ4239" s="72"/>
      <c r="AK4239" s="72"/>
      <c r="AL4239" s="72"/>
      <c r="AM4239" s="72"/>
    </row>
    <row r="4240" spans="1:39" x14ac:dyDescent="0.25">
      <c r="A4240" s="37" t="s">
        <v>62</v>
      </c>
      <c r="B4240" s="66"/>
      <c r="C4240" s="4"/>
      <c r="D4240" s="41"/>
      <c r="E4240" s="41"/>
      <c r="F4240" s="85"/>
      <c r="G4240" s="39"/>
      <c r="H4240" s="52"/>
      <c r="I4240" s="52"/>
      <c r="J4240" s="49"/>
      <c r="K4240" s="58"/>
      <c r="L4240" s="58"/>
      <c r="M4240" s="58"/>
      <c r="N4240" s="58"/>
      <c r="O4240" s="58"/>
      <c r="P4240" s="53"/>
      <c r="Q4240" s="65"/>
      <c r="R4240" s="65"/>
      <c r="S4240" s="65"/>
      <c r="T4240" s="65"/>
      <c r="U4240" s="58"/>
      <c r="V4240" s="65"/>
      <c r="W4240" s="65"/>
      <c r="X4240" s="65"/>
      <c r="Y4240" s="65"/>
      <c r="Z4240" s="51"/>
      <c r="AA4240" s="51"/>
      <c r="AB4240" s="102"/>
      <c r="AC4240" s="81" t="e">
        <f t="shared" si="202"/>
        <v>#DIV/0!</v>
      </c>
      <c r="AD4240" s="82">
        <f t="shared" si="203"/>
        <v>0</v>
      </c>
      <c r="AE4240" s="218"/>
      <c r="AH4240" t="str">
        <f t="shared" si="201"/>
        <v>0000</v>
      </c>
      <c r="AJ4240" s="72"/>
      <c r="AK4240" s="72"/>
      <c r="AL4240" s="72"/>
      <c r="AM4240" s="72"/>
    </row>
    <row r="4241" spans="1:39" x14ac:dyDescent="0.25">
      <c r="A4241" s="37" t="s">
        <v>62</v>
      </c>
      <c r="B4241" s="66"/>
      <c r="C4241" s="4"/>
      <c r="D4241" s="41"/>
      <c r="E4241" s="41"/>
      <c r="F4241" s="85"/>
      <c r="G4241" s="39"/>
      <c r="H4241" s="52"/>
      <c r="I4241" s="52"/>
      <c r="J4241" s="49"/>
      <c r="K4241" s="58"/>
      <c r="L4241" s="58"/>
      <c r="M4241" s="58"/>
      <c r="N4241" s="58"/>
      <c r="O4241" s="58"/>
      <c r="P4241" s="53"/>
      <c r="Q4241" s="65"/>
      <c r="R4241" s="65"/>
      <c r="S4241" s="65"/>
      <c r="T4241" s="65"/>
      <c r="U4241" s="58"/>
      <c r="V4241" s="65"/>
      <c r="W4241" s="65"/>
      <c r="X4241" s="65"/>
      <c r="Y4241" s="65"/>
      <c r="Z4241" s="51"/>
      <c r="AA4241" s="51"/>
      <c r="AB4241" s="102"/>
      <c r="AC4241" s="81" t="e">
        <f t="shared" si="202"/>
        <v>#DIV/0!</v>
      </c>
      <c r="AD4241" s="82">
        <f t="shared" si="203"/>
        <v>0</v>
      </c>
      <c r="AE4241" s="218"/>
      <c r="AH4241" t="str">
        <f t="shared" si="201"/>
        <v>0000</v>
      </c>
      <c r="AJ4241" s="72"/>
      <c r="AK4241" s="72"/>
      <c r="AL4241" s="72"/>
      <c r="AM4241" s="72"/>
    </row>
    <row r="4242" spans="1:39" x14ac:dyDescent="0.25">
      <c r="A4242" s="37" t="s">
        <v>62</v>
      </c>
      <c r="B4242" s="66"/>
      <c r="C4242" s="4"/>
      <c r="D4242" s="41"/>
      <c r="E4242" s="41"/>
      <c r="F4242" s="85"/>
      <c r="G4242" s="39"/>
      <c r="H4242" s="52"/>
      <c r="I4242" s="52"/>
      <c r="J4242" s="49"/>
      <c r="K4242" s="58"/>
      <c r="L4242" s="58"/>
      <c r="M4242" s="58"/>
      <c r="N4242" s="58"/>
      <c r="O4242" s="58"/>
      <c r="P4242" s="53"/>
      <c r="Q4242" s="65"/>
      <c r="R4242" s="65"/>
      <c r="S4242" s="65"/>
      <c r="T4242" s="65"/>
      <c r="U4242" s="58"/>
      <c r="V4242" s="65"/>
      <c r="W4242" s="65"/>
      <c r="X4242" s="65"/>
      <c r="Y4242" s="65"/>
      <c r="Z4242" s="51"/>
      <c r="AA4242" s="51"/>
      <c r="AB4242" s="102"/>
      <c r="AC4242" s="81" t="e">
        <f t="shared" si="202"/>
        <v>#DIV/0!</v>
      </c>
      <c r="AD4242" s="82">
        <f t="shared" si="203"/>
        <v>0</v>
      </c>
      <c r="AE4242" s="218"/>
      <c r="AH4242" t="str">
        <f t="shared" si="201"/>
        <v>0000</v>
      </c>
      <c r="AJ4242" s="72"/>
      <c r="AK4242" s="72"/>
      <c r="AL4242" s="72"/>
      <c r="AM4242" s="72"/>
    </row>
    <row r="4243" spans="1:39" x14ac:dyDescent="0.25">
      <c r="A4243" s="37" t="s">
        <v>62</v>
      </c>
      <c r="B4243" s="66"/>
      <c r="C4243" s="4"/>
      <c r="D4243" s="41"/>
      <c r="E4243" s="41"/>
      <c r="F4243" s="85"/>
      <c r="G4243" s="39"/>
      <c r="H4243" s="52"/>
      <c r="I4243" s="52"/>
      <c r="J4243" s="49"/>
      <c r="K4243" s="58"/>
      <c r="L4243" s="58"/>
      <c r="M4243" s="58"/>
      <c r="N4243" s="58"/>
      <c r="O4243" s="58"/>
      <c r="P4243" s="53"/>
      <c r="Q4243" s="65"/>
      <c r="R4243" s="65"/>
      <c r="S4243" s="65"/>
      <c r="T4243" s="65"/>
      <c r="U4243" s="58"/>
      <c r="V4243" s="65"/>
      <c r="W4243" s="65"/>
      <c r="X4243" s="65"/>
      <c r="Y4243" s="65"/>
      <c r="Z4243" s="51"/>
      <c r="AA4243" s="51"/>
      <c r="AB4243" s="102"/>
      <c r="AC4243" s="81" t="e">
        <f t="shared" si="202"/>
        <v>#DIV/0!</v>
      </c>
      <c r="AD4243" s="82">
        <f t="shared" si="203"/>
        <v>0</v>
      </c>
      <c r="AE4243" s="218"/>
      <c r="AH4243" t="str">
        <f t="shared" si="201"/>
        <v>0000</v>
      </c>
      <c r="AJ4243" s="72"/>
      <c r="AK4243" s="72"/>
      <c r="AL4243" s="72"/>
      <c r="AM4243" s="72"/>
    </row>
    <row r="4244" spans="1:39" x14ac:dyDescent="0.25">
      <c r="A4244" s="37" t="s">
        <v>62</v>
      </c>
      <c r="B4244" s="66"/>
      <c r="C4244" s="4"/>
      <c r="D4244" s="41"/>
      <c r="E4244" s="41"/>
      <c r="F4244" s="85"/>
      <c r="G4244" s="39"/>
      <c r="H4244" s="52"/>
      <c r="I4244" s="52"/>
      <c r="J4244" s="49"/>
      <c r="K4244" s="58"/>
      <c r="L4244" s="58"/>
      <c r="M4244" s="58"/>
      <c r="N4244" s="58"/>
      <c r="O4244" s="58"/>
      <c r="P4244" s="53"/>
      <c r="Q4244" s="65"/>
      <c r="R4244" s="65"/>
      <c r="S4244" s="65"/>
      <c r="T4244" s="65"/>
      <c r="U4244" s="58"/>
      <c r="V4244" s="65"/>
      <c r="W4244" s="65"/>
      <c r="X4244" s="65"/>
      <c r="Y4244" s="65"/>
      <c r="Z4244" s="51"/>
      <c r="AA4244" s="51"/>
      <c r="AB4244" s="102"/>
      <c r="AC4244" s="81" t="e">
        <f t="shared" si="202"/>
        <v>#DIV/0!</v>
      </c>
      <c r="AD4244" s="82">
        <f t="shared" si="203"/>
        <v>0</v>
      </c>
      <c r="AE4244" s="218"/>
      <c r="AH4244" t="str">
        <f t="shared" si="201"/>
        <v>0000</v>
      </c>
      <c r="AJ4244" s="72"/>
      <c r="AK4244" s="72"/>
      <c r="AL4244" s="72"/>
      <c r="AM4244" s="72"/>
    </row>
    <row r="4245" spans="1:39" x14ac:dyDescent="0.25">
      <c r="A4245" s="37" t="s">
        <v>62</v>
      </c>
      <c r="B4245" s="66"/>
      <c r="C4245" s="4"/>
      <c r="D4245" s="41"/>
      <c r="E4245" s="41"/>
      <c r="F4245" s="85"/>
      <c r="G4245" s="39"/>
      <c r="H4245" s="52"/>
      <c r="I4245" s="52"/>
      <c r="J4245" s="49"/>
      <c r="K4245" s="58"/>
      <c r="L4245" s="58"/>
      <c r="M4245" s="58"/>
      <c r="N4245" s="58"/>
      <c r="O4245" s="58"/>
      <c r="P4245" s="53"/>
      <c r="Q4245" s="65"/>
      <c r="R4245" s="65"/>
      <c r="S4245" s="65"/>
      <c r="T4245" s="65"/>
      <c r="U4245" s="58"/>
      <c r="V4245" s="65"/>
      <c r="W4245" s="65"/>
      <c r="X4245" s="65"/>
      <c r="Y4245" s="65"/>
      <c r="Z4245" s="51"/>
      <c r="AA4245" s="51"/>
      <c r="AB4245" s="102"/>
      <c r="AC4245" s="81" t="e">
        <f t="shared" si="202"/>
        <v>#DIV/0!</v>
      </c>
      <c r="AD4245" s="82">
        <f t="shared" si="203"/>
        <v>0</v>
      </c>
      <c r="AE4245" s="218"/>
      <c r="AH4245" t="str">
        <f t="shared" si="201"/>
        <v>0000</v>
      </c>
      <c r="AJ4245" s="72"/>
      <c r="AK4245" s="72"/>
      <c r="AL4245" s="72"/>
      <c r="AM4245" s="72"/>
    </row>
    <row r="4246" spans="1:39" x14ac:dyDescent="0.25">
      <c r="A4246" s="37" t="s">
        <v>62</v>
      </c>
      <c r="B4246" s="66"/>
      <c r="C4246" s="4"/>
      <c r="D4246" s="41"/>
      <c r="E4246" s="41"/>
      <c r="F4246" s="85"/>
      <c r="G4246" s="39"/>
      <c r="H4246" s="52"/>
      <c r="I4246" s="52"/>
      <c r="J4246" s="49"/>
      <c r="K4246" s="58"/>
      <c r="L4246" s="58"/>
      <c r="M4246" s="58"/>
      <c r="N4246" s="58"/>
      <c r="O4246" s="58"/>
      <c r="P4246" s="53"/>
      <c r="Q4246" s="65"/>
      <c r="R4246" s="65"/>
      <c r="S4246" s="65"/>
      <c r="T4246" s="65"/>
      <c r="U4246" s="58"/>
      <c r="V4246" s="65"/>
      <c r="W4246" s="65"/>
      <c r="X4246" s="65"/>
      <c r="Y4246" s="65"/>
      <c r="Z4246" s="51"/>
      <c r="AA4246" s="51"/>
      <c r="AB4246" s="102"/>
      <c r="AC4246" s="81" t="e">
        <f t="shared" si="202"/>
        <v>#DIV/0!</v>
      </c>
      <c r="AD4246" s="82">
        <f t="shared" si="203"/>
        <v>0</v>
      </c>
      <c r="AE4246" s="218"/>
      <c r="AH4246" t="str">
        <f t="shared" si="201"/>
        <v>0000</v>
      </c>
      <c r="AJ4246" s="72"/>
      <c r="AK4246" s="72"/>
      <c r="AL4246" s="72"/>
      <c r="AM4246" s="72"/>
    </row>
    <row r="4247" spans="1:39" x14ac:dyDescent="0.25">
      <c r="A4247" s="37" t="s">
        <v>62</v>
      </c>
      <c r="B4247" s="66"/>
      <c r="C4247" s="4"/>
      <c r="D4247" s="41"/>
      <c r="E4247" s="41"/>
      <c r="F4247" s="85"/>
      <c r="G4247" s="39"/>
      <c r="H4247" s="52"/>
      <c r="I4247" s="52"/>
      <c r="J4247" s="49"/>
      <c r="K4247" s="58"/>
      <c r="L4247" s="58"/>
      <c r="M4247" s="58"/>
      <c r="N4247" s="58"/>
      <c r="O4247" s="58"/>
      <c r="P4247" s="53"/>
      <c r="Q4247" s="65"/>
      <c r="R4247" s="65"/>
      <c r="S4247" s="65"/>
      <c r="T4247" s="65"/>
      <c r="U4247" s="58"/>
      <c r="V4247" s="65"/>
      <c r="W4247" s="65"/>
      <c r="X4247" s="65"/>
      <c r="Y4247" s="65"/>
      <c r="Z4247" s="51"/>
      <c r="AA4247" s="51"/>
      <c r="AB4247" s="102"/>
      <c r="AC4247" s="81" t="e">
        <f t="shared" si="202"/>
        <v>#DIV/0!</v>
      </c>
      <c r="AD4247" s="82">
        <f t="shared" si="203"/>
        <v>0</v>
      </c>
      <c r="AE4247" s="218"/>
      <c r="AH4247" t="str">
        <f t="shared" si="201"/>
        <v>0000</v>
      </c>
      <c r="AJ4247" s="72"/>
      <c r="AK4247" s="72"/>
      <c r="AL4247" s="72"/>
      <c r="AM4247" s="72"/>
    </row>
    <row r="4248" spans="1:39" x14ac:dyDescent="0.25">
      <c r="A4248" s="37" t="s">
        <v>62</v>
      </c>
      <c r="B4248" s="66"/>
      <c r="C4248" s="4"/>
      <c r="D4248" s="41"/>
      <c r="E4248" s="41"/>
      <c r="F4248" s="85"/>
      <c r="G4248" s="39"/>
      <c r="H4248" s="52"/>
      <c r="I4248" s="52"/>
      <c r="J4248" s="49"/>
      <c r="K4248" s="58"/>
      <c r="L4248" s="58"/>
      <c r="M4248" s="58"/>
      <c r="N4248" s="58"/>
      <c r="O4248" s="58"/>
      <c r="P4248" s="53"/>
      <c r="Q4248" s="65"/>
      <c r="R4248" s="65"/>
      <c r="S4248" s="65"/>
      <c r="T4248" s="65"/>
      <c r="U4248" s="58"/>
      <c r="V4248" s="65"/>
      <c r="W4248" s="65"/>
      <c r="X4248" s="65"/>
      <c r="Y4248" s="65"/>
      <c r="Z4248" s="51"/>
      <c r="AA4248" s="51"/>
      <c r="AB4248" s="102"/>
      <c r="AC4248" s="81" t="e">
        <f t="shared" si="202"/>
        <v>#DIV/0!</v>
      </c>
      <c r="AD4248" s="82">
        <f t="shared" si="203"/>
        <v>0</v>
      </c>
      <c r="AE4248" s="218"/>
      <c r="AH4248" t="str">
        <f t="shared" si="201"/>
        <v>0000</v>
      </c>
      <c r="AJ4248" s="72"/>
      <c r="AK4248" s="72"/>
      <c r="AL4248" s="72"/>
      <c r="AM4248" s="72"/>
    </row>
    <row r="4249" spans="1:39" x14ac:dyDescent="0.25">
      <c r="A4249" s="37" t="s">
        <v>62</v>
      </c>
      <c r="B4249" s="66"/>
      <c r="C4249" s="4"/>
      <c r="D4249" s="41"/>
      <c r="E4249" s="41"/>
      <c r="F4249" s="85"/>
      <c r="G4249" s="39"/>
      <c r="H4249" s="52"/>
      <c r="I4249" s="52"/>
      <c r="J4249" s="49"/>
      <c r="K4249" s="58"/>
      <c r="L4249" s="58"/>
      <c r="M4249" s="58"/>
      <c r="N4249" s="58"/>
      <c r="O4249" s="58"/>
      <c r="P4249" s="53"/>
      <c r="Q4249" s="65"/>
      <c r="R4249" s="65"/>
      <c r="S4249" s="65"/>
      <c r="T4249" s="65"/>
      <c r="U4249" s="58"/>
      <c r="V4249" s="65"/>
      <c r="W4249" s="65"/>
      <c r="X4249" s="65"/>
      <c r="Y4249" s="65"/>
      <c r="Z4249" s="51"/>
      <c r="AA4249" s="51"/>
      <c r="AB4249" s="102"/>
      <c r="AC4249" s="81" t="e">
        <f t="shared" si="202"/>
        <v>#DIV/0!</v>
      </c>
      <c r="AD4249" s="82">
        <f t="shared" si="203"/>
        <v>0</v>
      </c>
      <c r="AE4249" s="218"/>
      <c r="AH4249" t="str">
        <f t="shared" si="201"/>
        <v>0000</v>
      </c>
      <c r="AJ4249" s="72"/>
      <c r="AK4249" s="72"/>
      <c r="AL4249" s="72"/>
      <c r="AM4249" s="72"/>
    </row>
    <row r="4250" spans="1:39" x14ac:dyDescent="0.25">
      <c r="A4250" s="37" t="s">
        <v>62</v>
      </c>
      <c r="B4250" s="66"/>
      <c r="C4250" s="4"/>
      <c r="D4250" s="41"/>
      <c r="E4250" s="41"/>
      <c r="F4250" s="85"/>
      <c r="G4250" s="39"/>
      <c r="H4250" s="52"/>
      <c r="I4250" s="52"/>
      <c r="J4250" s="49"/>
      <c r="K4250" s="58"/>
      <c r="L4250" s="58"/>
      <c r="M4250" s="58"/>
      <c r="N4250" s="58"/>
      <c r="O4250" s="58"/>
      <c r="P4250" s="53"/>
      <c r="Q4250" s="65"/>
      <c r="R4250" s="65"/>
      <c r="S4250" s="65"/>
      <c r="T4250" s="65"/>
      <c r="U4250" s="58"/>
      <c r="V4250" s="65"/>
      <c r="W4250" s="65"/>
      <c r="X4250" s="65"/>
      <c r="Y4250" s="65"/>
      <c r="Z4250" s="51"/>
      <c r="AA4250" s="51"/>
      <c r="AB4250" s="102"/>
      <c r="AC4250" s="81" t="e">
        <f t="shared" si="202"/>
        <v>#DIV/0!</v>
      </c>
      <c r="AD4250" s="82">
        <f t="shared" si="203"/>
        <v>0</v>
      </c>
      <c r="AE4250" s="218"/>
      <c r="AH4250" t="str">
        <f t="shared" si="201"/>
        <v>0000</v>
      </c>
      <c r="AJ4250" s="72"/>
      <c r="AK4250" s="72"/>
      <c r="AL4250" s="72"/>
      <c r="AM4250" s="72"/>
    </row>
    <row r="4251" spans="1:39" x14ac:dyDescent="0.25">
      <c r="A4251" s="37" t="s">
        <v>62</v>
      </c>
      <c r="B4251" s="66"/>
      <c r="C4251" s="4"/>
      <c r="D4251" s="41"/>
      <c r="E4251" s="41"/>
      <c r="F4251" s="85"/>
      <c r="G4251" s="39"/>
      <c r="H4251" s="52"/>
      <c r="I4251" s="52"/>
      <c r="J4251" s="49"/>
      <c r="K4251" s="58"/>
      <c r="L4251" s="58"/>
      <c r="M4251" s="58"/>
      <c r="N4251" s="58"/>
      <c r="O4251" s="58"/>
      <c r="P4251" s="53"/>
      <c r="Q4251" s="65"/>
      <c r="R4251" s="65"/>
      <c r="S4251" s="65"/>
      <c r="T4251" s="65"/>
      <c r="U4251" s="58"/>
      <c r="V4251" s="65"/>
      <c r="W4251" s="65"/>
      <c r="X4251" s="65"/>
      <c r="Y4251" s="65"/>
      <c r="Z4251" s="51"/>
      <c r="AA4251" s="51"/>
      <c r="AB4251" s="102"/>
      <c r="AC4251" s="81" t="e">
        <f t="shared" si="202"/>
        <v>#DIV/0!</v>
      </c>
      <c r="AD4251" s="82">
        <f t="shared" si="203"/>
        <v>0</v>
      </c>
      <c r="AE4251" s="218"/>
      <c r="AH4251" t="str">
        <f t="shared" si="201"/>
        <v>0000</v>
      </c>
      <c r="AJ4251" s="72"/>
      <c r="AK4251" s="72"/>
      <c r="AL4251" s="72"/>
      <c r="AM4251" s="72"/>
    </row>
    <row r="4252" spans="1:39" x14ac:dyDescent="0.25">
      <c r="A4252" s="37" t="s">
        <v>62</v>
      </c>
      <c r="B4252" s="66"/>
      <c r="C4252" s="4"/>
      <c r="D4252" s="41"/>
      <c r="E4252" s="41"/>
      <c r="F4252" s="85"/>
      <c r="G4252" s="39"/>
      <c r="H4252" s="52"/>
      <c r="I4252" s="52"/>
      <c r="J4252" s="49"/>
      <c r="K4252" s="58"/>
      <c r="L4252" s="58"/>
      <c r="M4252" s="58"/>
      <c r="N4252" s="58"/>
      <c r="O4252" s="58"/>
      <c r="P4252" s="53"/>
      <c r="Q4252" s="65"/>
      <c r="R4252" s="65"/>
      <c r="S4252" s="65"/>
      <c r="T4252" s="65"/>
      <c r="U4252" s="58"/>
      <c r="V4252" s="65"/>
      <c r="W4252" s="65"/>
      <c r="X4252" s="65"/>
      <c r="Y4252" s="65"/>
      <c r="Z4252" s="51"/>
      <c r="AA4252" s="51"/>
      <c r="AB4252" s="102"/>
      <c r="AC4252" s="81" t="e">
        <f t="shared" si="202"/>
        <v>#DIV/0!</v>
      </c>
      <c r="AD4252" s="82">
        <f t="shared" si="203"/>
        <v>0</v>
      </c>
      <c r="AE4252" s="218"/>
      <c r="AH4252" t="str">
        <f t="shared" si="201"/>
        <v>0000</v>
      </c>
      <c r="AJ4252" s="72"/>
      <c r="AK4252" s="72"/>
      <c r="AL4252" s="72"/>
      <c r="AM4252" s="72"/>
    </row>
    <row r="4253" spans="1:39" x14ac:dyDescent="0.25">
      <c r="A4253" s="37" t="s">
        <v>62</v>
      </c>
      <c r="B4253" s="66"/>
      <c r="C4253" s="4"/>
      <c r="D4253" s="41"/>
      <c r="E4253" s="41"/>
      <c r="F4253" s="85"/>
      <c r="G4253" s="39"/>
      <c r="H4253" s="52"/>
      <c r="I4253" s="52"/>
      <c r="J4253" s="49"/>
      <c r="K4253" s="58"/>
      <c r="L4253" s="58"/>
      <c r="M4253" s="58"/>
      <c r="N4253" s="58"/>
      <c r="O4253" s="58"/>
      <c r="P4253" s="53"/>
      <c r="Q4253" s="65"/>
      <c r="R4253" s="65"/>
      <c r="S4253" s="65"/>
      <c r="T4253" s="65"/>
      <c r="U4253" s="58"/>
      <c r="V4253" s="65"/>
      <c r="W4253" s="65"/>
      <c r="X4253" s="65"/>
      <c r="Y4253" s="65"/>
      <c r="Z4253" s="51"/>
      <c r="AA4253" s="51"/>
      <c r="AB4253" s="102"/>
      <c r="AC4253" s="81" t="e">
        <f t="shared" si="202"/>
        <v>#DIV/0!</v>
      </c>
      <c r="AD4253" s="82">
        <f t="shared" si="203"/>
        <v>0</v>
      </c>
      <c r="AE4253" s="218"/>
      <c r="AH4253" t="str">
        <f t="shared" si="201"/>
        <v>0000</v>
      </c>
      <c r="AJ4253" s="72"/>
      <c r="AK4253" s="72"/>
      <c r="AL4253" s="72"/>
      <c r="AM4253" s="72"/>
    </row>
    <row r="4254" spans="1:39" x14ac:dyDescent="0.25">
      <c r="A4254" s="37" t="s">
        <v>62</v>
      </c>
      <c r="B4254" s="66"/>
      <c r="C4254" s="4"/>
      <c r="D4254" s="41"/>
      <c r="E4254" s="41"/>
      <c r="F4254" s="85"/>
      <c r="G4254" s="39"/>
      <c r="H4254" s="52"/>
      <c r="I4254" s="52"/>
      <c r="J4254" s="49"/>
      <c r="K4254" s="58"/>
      <c r="L4254" s="58"/>
      <c r="M4254" s="58"/>
      <c r="N4254" s="58"/>
      <c r="O4254" s="58"/>
      <c r="P4254" s="53"/>
      <c r="Q4254" s="65"/>
      <c r="R4254" s="65"/>
      <c r="S4254" s="65"/>
      <c r="T4254" s="65"/>
      <c r="U4254" s="58"/>
      <c r="V4254" s="65"/>
      <c r="W4254" s="65"/>
      <c r="X4254" s="65"/>
      <c r="Y4254" s="65"/>
      <c r="Z4254" s="51"/>
      <c r="AA4254" s="51"/>
      <c r="AB4254" s="102"/>
      <c r="AC4254" s="81" t="e">
        <f t="shared" si="202"/>
        <v>#DIV/0!</v>
      </c>
      <c r="AD4254" s="82">
        <f t="shared" si="203"/>
        <v>0</v>
      </c>
      <c r="AE4254" s="218"/>
      <c r="AH4254" t="str">
        <f t="shared" si="201"/>
        <v>0000</v>
      </c>
      <c r="AJ4254" s="72"/>
      <c r="AK4254" s="72"/>
      <c r="AL4254" s="72"/>
      <c r="AM4254" s="72"/>
    </row>
    <row r="4255" spans="1:39" x14ac:dyDescent="0.25">
      <c r="A4255" s="37" t="s">
        <v>62</v>
      </c>
      <c r="B4255" s="66"/>
      <c r="C4255" s="4"/>
      <c r="D4255" s="41"/>
      <c r="E4255" s="41"/>
      <c r="F4255" s="85"/>
      <c r="G4255" s="39"/>
      <c r="H4255" s="52"/>
      <c r="I4255" s="52"/>
      <c r="J4255" s="49"/>
      <c r="K4255" s="58"/>
      <c r="L4255" s="58"/>
      <c r="M4255" s="58"/>
      <c r="N4255" s="58"/>
      <c r="O4255" s="58"/>
      <c r="P4255" s="53"/>
      <c r="Q4255" s="65"/>
      <c r="R4255" s="65"/>
      <c r="S4255" s="65"/>
      <c r="T4255" s="65"/>
      <c r="U4255" s="58"/>
      <c r="V4255" s="65"/>
      <c r="W4255" s="65"/>
      <c r="X4255" s="65"/>
      <c r="Y4255" s="65"/>
      <c r="Z4255" s="51"/>
      <c r="AA4255" s="51"/>
      <c r="AB4255" s="102"/>
      <c r="AC4255" s="81" t="e">
        <f t="shared" si="202"/>
        <v>#DIV/0!</v>
      </c>
      <c r="AD4255" s="82">
        <f t="shared" si="203"/>
        <v>0</v>
      </c>
      <c r="AE4255" s="218"/>
      <c r="AH4255" t="str">
        <f t="shared" si="201"/>
        <v>0000</v>
      </c>
      <c r="AJ4255" s="72"/>
      <c r="AK4255" s="72"/>
      <c r="AL4255" s="72"/>
      <c r="AM4255" s="72"/>
    </row>
    <row r="4256" spans="1:39" x14ac:dyDescent="0.25">
      <c r="A4256" s="37" t="s">
        <v>62</v>
      </c>
      <c r="B4256" s="66"/>
      <c r="C4256" s="4"/>
      <c r="D4256" s="41"/>
      <c r="E4256" s="41"/>
      <c r="F4256" s="85"/>
      <c r="G4256" s="39"/>
      <c r="H4256" s="52"/>
      <c r="I4256" s="52"/>
      <c r="J4256" s="49"/>
      <c r="K4256" s="58"/>
      <c r="L4256" s="58"/>
      <c r="M4256" s="58"/>
      <c r="N4256" s="58"/>
      <c r="O4256" s="58"/>
      <c r="P4256" s="53"/>
      <c r="Q4256" s="65"/>
      <c r="R4256" s="65"/>
      <c r="S4256" s="65"/>
      <c r="T4256" s="65"/>
      <c r="U4256" s="58"/>
      <c r="V4256" s="65"/>
      <c r="W4256" s="65"/>
      <c r="X4256" s="65"/>
      <c r="Y4256" s="65"/>
      <c r="Z4256" s="51"/>
      <c r="AA4256" s="51"/>
      <c r="AB4256" s="102"/>
      <c r="AC4256" s="81" t="e">
        <f t="shared" si="202"/>
        <v>#DIV/0!</v>
      </c>
      <c r="AD4256" s="82">
        <f t="shared" si="203"/>
        <v>0</v>
      </c>
      <c r="AE4256" s="218"/>
      <c r="AH4256" t="str">
        <f t="shared" si="201"/>
        <v>0000</v>
      </c>
      <c r="AJ4256" s="72"/>
      <c r="AK4256" s="72"/>
      <c r="AL4256" s="72"/>
      <c r="AM4256" s="72"/>
    </row>
    <row r="4257" spans="1:39" x14ac:dyDescent="0.25">
      <c r="A4257" s="37" t="s">
        <v>62</v>
      </c>
      <c r="B4257" s="66"/>
      <c r="C4257" s="4"/>
      <c r="D4257" s="41"/>
      <c r="E4257" s="41"/>
      <c r="F4257" s="85"/>
      <c r="G4257" s="39"/>
      <c r="H4257" s="52"/>
      <c r="I4257" s="52"/>
      <c r="J4257" s="49"/>
      <c r="K4257" s="58"/>
      <c r="L4257" s="58"/>
      <c r="M4257" s="58"/>
      <c r="N4257" s="58"/>
      <c r="O4257" s="58"/>
      <c r="P4257" s="53"/>
      <c r="Q4257" s="65"/>
      <c r="R4257" s="65"/>
      <c r="S4257" s="65"/>
      <c r="T4257" s="65"/>
      <c r="U4257" s="58"/>
      <c r="V4257" s="65"/>
      <c r="W4257" s="65"/>
      <c r="X4257" s="65"/>
      <c r="Y4257" s="65"/>
      <c r="Z4257" s="51"/>
      <c r="AA4257" s="51"/>
      <c r="AB4257" s="102"/>
      <c r="AC4257" s="81" t="e">
        <f t="shared" si="202"/>
        <v>#DIV/0!</v>
      </c>
      <c r="AD4257" s="82">
        <f t="shared" si="203"/>
        <v>0</v>
      </c>
      <c r="AE4257" s="218"/>
      <c r="AH4257" t="str">
        <f t="shared" si="201"/>
        <v>0000</v>
      </c>
      <c r="AJ4257" s="72"/>
      <c r="AK4257" s="72"/>
      <c r="AL4257" s="72"/>
      <c r="AM4257" s="72"/>
    </row>
    <row r="4258" spans="1:39" x14ac:dyDescent="0.25">
      <c r="A4258" s="37" t="s">
        <v>62</v>
      </c>
      <c r="B4258" s="66"/>
      <c r="C4258" s="4"/>
      <c r="D4258" s="41"/>
      <c r="E4258" s="41"/>
      <c r="F4258" s="85"/>
      <c r="G4258" s="39"/>
      <c r="H4258" s="52"/>
      <c r="I4258" s="52"/>
      <c r="J4258" s="49"/>
      <c r="K4258" s="58"/>
      <c r="L4258" s="58"/>
      <c r="M4258" s="58"/>
      <c r="N4258" s="58"/>
      <c r="O4258" s="58"/>
      <c r="P4258" s="53"/>
      <c r="Q4258" s="65"/>
      <c r="R4258" s="65"/>
      <c r="S4258" s="65"/>
      <c r="T4258" s="65"/>
      <c r="U4258" s="58"/>
      <c r="V4258" s="65"/>
      <c r="W4258" s="65"/>
      <c r="X4258" s="65"/>
      <c r="Y4258" s="65"/>
      <c r="Z4258" s="51"/>
      <c r="AA4258" s="51"/>
      <c r="AB4258" s="102"/>
      <c r="AC4258" s="81" t="e">
        <f t="shared" si="202"/>
        <v>#DIV/0!</v>
      </c>
      <c r="AD4258" s="82">
        <f t="shared" si="203"/>
        <v>0</v>
      </c>
      <c r="AE4258" s="218"/>
      <c r="AH4258" t="str">
        <f t="shared" si="201"/>
        <v>0000</v>
      </c>
      <c r="AJ4258" s="72"/>
      <c r="AK4258" s="72"/>
      <c r="AL4258" s="72"/>
      <c r="AM4258" s="72"/>
    </row>
    <row r="4259" spans="1:39" x14ac:dyDescent="0.25">
      <c r="A4259" s="37" t="s">
        <v>62</v>
      </c>
      <c r="B4259" s="66"/>
      <c r="C4259" s="4"/>
      <c r="D4259" s="41"/>
      <c r="E4259" s="41"/>
      <c r="F4259" s="85"/>
      <c r="G4259" s="39"/>
      <c r="H4259" s="52"/>
      <c r="I4259" s="52"/>
      <c r="J4259" s="49"/>
      <c r="K4259" s="58"/>
      <c r="L4259" s="58"/>
      <c r="M4259" s="58"/>
      <c r="N4259" s="58"/>
      <c r="O4259" s="58"/>
      <c r="P4259" s="53"/>
      <c r="Q4259" s="65"/>
      <c r="R4259" s="65"/>
      <c r="S4259" s="65"/>
      <c r="T4259" s="65"/>
      <c r="U4259" s="58"/>
      <c r="V4259" s="65"/>
      <c r="W4259" s="65"/>
      <c r="X4259" s="65"/>
      <c r="Y4259" s="65"/>
      <c r="Z4259" s="51"/>
      <c r="AA4259" s="51"/>
      <c r="AB4259" s="102"/>
      <c r="AC4259" s="81" t="e">
        <f t="shared" si="202"/>
        <v>#DIV/0!</v>
      </c>
      <c r="AD4259" s="82">
        <f t="shared" si="203"/>
        <v>0</v>
      </c>
      <c r="AE4259" s="218"/>
      <c r="AH4259" t="str">
        <f t="shared" si="201"/>
        <v>0000</v>
      </c>
      <c r="AJ4259" s="72"/>
      <c r="AK4259" s="72"/>
      <c r="AL4259" s="72"/>
      <c r="AM4259" s="72"/>
    </row>
    <row r="4260" spans="1:39" x14ac:dyDescent="0.25">
      <c r="A4260" s="37" t="s">
        <v>62</v>
      </c>
      <c r="B4260" s="66"/>
      <c r="C4260" s="4"/>
      <c r="D4260" s="41"/>
      <c r="E4260" s="41"/>
      <c r="F4260" s="85"/>
      <c r="G4260" s="39"/>
      <c r="H4260" s="52"/>
      <c r="I4260" s="52"/>
      <c r="J4260" s="49"/>
      <c r="K4260" s="58"/>
      <c r="L4260" s="58"/>
      <c r="M4260" s="58"/>
      <c r="N4260" s="58"/>
      <c r="O4260" s="58"/>
      <c r="P4260" s="53"/>
      <c r="Q4260" s="65"/>
      <c r="R4260" s="65"/>
      <c r="S4260" s="65"/>
      <c r="T4260" s="65"/>
      <c r="U4260" s="58"/>
      <c r="V4260" s="65"/>
      <c r="W4260" s="65"/>
      <c r="X4260" s="65"/>
      <c r="Y4260" s="65"/>
      <c r="Z4260" s="51"/>
      <c r="AA4260" s="51"/>
      <c r="AB4260" s="102"/>
      <c r="AC4260" s="81" t="e">
        <f t="shared" si="202"/>
        <v>#DIV/0!</v>
      </c>
      <c r="AD4260" s="82">
        <f t="shared" si="203"/>
        <v>0</v>
      </c>
      <c r="AE4260" s="218"/>
      <c r="AH4260" t="str">
        <f t="shared" si="201"/>
        <v>0000</v>
      </c>
      <c r="AJ4260" s="72"/>
      <c r="AK4260" s="72"/>
      <c r="AL4260" s="72"/>
      <c r="AM4260" s="72"/>
    </row>
    <row r="4261" spans="1:39" x14ac:dyDescent="0.25">
      <c r="A4261" s="37" t="s">
        <v>62</v>
      </c>
      <c r="B4261" s="66"/>
      <c r="C4261" s="4"/>
      <c r="D4261" s="41"/>
      <c r="E4261" s="41"/>
      <c r="F4261" s="85"/>
      <c r="G4261" s="39"/>
      <c r="H4261" s="52"/>
      <c r="I4261" s="52"/>
      <c r="J4261" s="49"/>
      <c r="K4261" s="58"/>
      <c r="L4261" s="58"/>
      <c r="M4261" s="58"/>
      <c r="N4261" s="58"/>
      <c r="O4261" s="58"/>
      <c r="P4261" s="53"/>
      <c r="Q4261" s="65"/>
      <c r="R4261" s="65"/>
      <c r="S4261" s="65"/>
      <c r="T4261" s="65"/>
      <c r="U4261" s="58"/>
      <c r="V4261" s="65"/>
      <c r="W4261" s="65"/>
      <c r="X4261" s="65"/>
      <c r="Y4261" s="65"/>
      <c r="Z4261" s="51"/>
      <c r="AA4261" s="51"/>
      <c r="AB4261" s="102"/>
      <c r="AC4261" s="81" t="e">
        <f t="shared" si="202"/>
        <v>#DIV/0!</v>
      </c>
      <c r="AD4261" s="82">
        <f t="shared" si="203"/>
        <v>0</v>
      </c>
      <c r="AE4261" s="218"/>
      <c r="AH4261" t="str">
        <f t="shared" si="201"/>
        <v>0000</v>
      </c>
      <c r="AJ4261" s="72"/>
      <c r="AK4261" s="72"/>
      <c r="AL4261" s="72"/>
      <c r="AM4261" s="72"/>
    </row>
    <row r="4262" spans="1:39" x14ac:dyDescent="0.25">
      <c r="A4262" s="37" t="s">
        <v>62</v>
      </c>
      <c r="B4262" s="66"/>
      <c r="C4262" s="4"/>
      <c r="D4262" s="41"/>
      <c r="E4262" s="41"/>
      <c r="F4262" s="85"/>
      <c r="G4262" s="39"/>
      <c r="H4262" s="52"/>
      <c r="I4262" s="52"/>
      <c r="J4262" s="49"/>
      <c r="K4262" s="58"/>
      <c r="L4262" s="58"/>
      <c r="M4262" s="58"/>
      <c r="N4262" s="58"/>
      <c r="O4262" s="58"/>
      <c r="P4262" s="53"/>
      <c r="Q4262" s="65"/>
      <c r="R4262" s="65"/>
      <c r="S4262" s="65"/>
      <c r="T4262" s="65"/>
      <c r="U4262" s="58"/>
      <c r="V4262" s="65"/>
      <c r="W4262" s="65"/>
      <c r="X4262" s="65"/>
      <c r="Y4262" s="65"/>
      <c r="Z4262" s="51"/>
      <c r="AA4262" s="51"/>
      <c r="AB4262" s="102"/>
      <c r="AC4262" s="81" t="e">
        <f t="shared" si="202"/>
        <v>#DIV/0!</v>
      </c>
      <c r="AD4262" s="82">
        <f t="shared" si="203"/>
        <v>0</v>
      </c>
      <c r="AE4262" s="218"/>
      <c r="AH4262" t="str">
        <f t="shared" si="201"/>
        <v>0000</v>
      </c>
      <c r="AJ4262" s="72"/>
      <c r="AK4262" s="72"/>
      <c r="AL4262" s="72"/>
      <c r="AM4262" s="72"/>
    </row>
    <row r="4263" spans="1:39" x14ac:dyDescent="0.25">
      <c r="A4263" s="37" t="s">
        <v>62</v>
      </c>
      <c r="B4263" s="66"/>
      <c r="C4263" s="4"/>
      <c r="D4263" s="41"/>
      <c r="E4263" s="41"/>
      <c r="F4263" s="85"/>
      <c r="G4263" s="39"/>
      <c r="H4263" s="52"/>
      <c r="I4263" s="52"/>
      <c r="J4263" s="49"/>
      <c r="K4263" s="58"/>
      <c r="L4263" s="58"/>
      <c r="M4263" s="58"/>
      <c r="N4263" s="58"/>
      <c r="O4263" s="58"/>
      <c r="P4263" s="53"/>
      <c r="Q4263" s="65"/>
      <c r="R4263" s="65"/>
      <c r="S4263" s="65"/>
      <c r="T4263" s="65"/>
      <c r="U4263" s="58"/>
      <c r="V4263" s="65"/>
      <c r="W4263" s="65"/>
      <c r="X4263" s="65"/>
      <c r="Y4263" s="65"/>
      <c r="Z4263" s="51"/>
      <c r="AA4263" s="51"/>
      <c r="AB4263" s="102"/>
      <c r="AC4263" s="81" t="e">
        <f t="shared" si="202"/>
        <v>#DIV/0!</v>
      </c>
      <c r="AD4263" s="82">
        <f t="shared" si="203"/>
        <v>0</v>
      </c>
      <c r="AE4263" s="218"/>
      <c r="AH4263" t="str">
        <f t="shared" si="201"/>
        <v>0000</v>
      </c>
      <c r="AJ4263" s="72"/>
      <c r="AK4263" s="72"/>
      <c r="AL4263" s="72"/>
      <c r="AM4263" s="72"/>
    </row>
    <row r="4264" spans="1:39" x14ac:dyDescent="0.25">
      <c r="A4264" s="37" t="s">
        <v>62</v>
      </c>
      <c r="B4264" s="66"/>
      <c r="C4264" s="4"/>
      <c r="D4264" s="41"/>
      <c r="E4264" s="41"/>
      <c r="F4264" s="85"/>
      <c r="G4264" s="39"/>
      <c r="H4264" s="52"/>
      <c r="I4264" s="52"/>
      <c r="J4264" s="49"/>
      <c r="K4264" s="58"/>
      <c r="L4264" s="58"/>
      <c r="M4264" s="58"/>
      <c r="N4264" s="58"/>
      <c r="O4264" s="58"/>
      <c r="P4264" s="53"/>
      <c r="Q4264" s="65"/>
      <c r="R4264" s="65"/>
      <c r="S4264" s="65"/>
      <c r="T4264" s="65"/>
      <c r="U4264" s="58"/>
      <c r="V4264" s="65"/>
      <c r="W4264" s="65"/>
      <c r="X4264" s="65"/>
      <c r="Y4264" s="65"/>
      <c r="Z4264" s="51"/>
      <c r="AA4264" s="51"/>
      <c r="AB4264" s="102"/>
      <c r="AC4264" s="81" t="e">
        <f t="shared" si="202"/>
        <v>#DIV/0!</v>
      </c>
      <c r="AD4264" s="82">
        <f t="shared" si="203"/>
        <v>0</v>
      </c>
      <c r="AE4264" s="218"/>
      <c r="AH4264" t="str">
        <f t="shared" si="201"/>
        <v>0000</v>
      </c>
      <c r="AJ4264" s="72"/>
      <c r="AK4264" s="72"/>
      <c r="AL4264" s="72"/>
      <c r="AM4264" s="72"/>
    </row>
    <row r="4265" spans="1:39" x14ac:dyDescent="0.25">
      <c r="A4265" s="37" t="s">
        <v>62</v>
      </c>
      <c r="B4265" s="66"/>
      <c r="C4265" s="4"/>
      <c r="D4265" s="41"/>
      <c r="E4265" s="41"/>
      <c r="F4265" s="85"/>
      <c r="G4265" s="39"/>
      <c r="H4265" s="52"/>
      <c r="I4265" s="52"/>
      <c r="J4265" s="49"/>
      <c r="K4265" s="58"/>
      <c r="L4265" s="58"/>
      <c r="M4265" s="58"/>
      <c r="N4265" s="58"/>
      <c r="O4265" s="58"/>
      <c r="P4265" s="53"/>
      <c r="Q4265" s="65"/>
      <c r="R4265" s="65"/>
      <c r="S4265" s="65"/>
      <c r="T4265" s="65"/>
      <c r="U4265" s="58"/>
      <c r="V4265" s="65"/>
      <c r="W4265" s="65"/>
      <c r="X4265" s="65"/>
      <c r="Y4265" s="65"/>
      <c r="Z4265" s="51"/>
      <c r="AA4265" s="51"/>
      <c r="AB4265" s="102"/>
      <c r="AC4265" s="81" t="e">
        <f t="shared" si="202"/>
        <v>#DIV/0!</v>
      </c>
      <c r="AD4265" s="82">
        <f t="shared" si="203"/>
        <v>0</v>
      </c>
      <c r="AE4265" s="218"/>
      <c r="AH4265" t="str">
        <f t="shared" si="201"/>
        <v>0000</v>
      </c>
      <c r="AJ4265" s="72"/>
      <c r="AK4265" s="72"/>
      <c r="AL4265" s="72"/>
      <c r="AM4265" s="72"/>
    </row>
    <row r="4266" spans="1:39" x14ac:dyDescent="0.25">
      <c r="A4266" s="37" t="s">
        <v>62</v>
      </c>
      <c r="B4266" s="66"/>
      <c r="C4266" s="4"/>
      <c r="D4266" s="41"/>
      <c r="E4266" s="41"/>
      <c r="F4266" s="85"/>
      <c r="G4266" s="39"/>
      <c r="H4266" s="52"/>
      <c r="I4266" s="52"/>
      <c r="J4266" s="49"/>
      <c r="K4266" s="58"/>
      <c r="L4266" s="58"/>
      <c r="M4266" s="58"/>
      <c r="N4266" s="58"/>
      <c r="O4266" s="58"/>
      <c r="P4266" s="53"/>
      <c r="Q4266" s="65"/>
      <c r="R4266" s="65"/>
      <c r="S4266" s="65"/>
      <c r="T4266" s="65"/>
      <c r="U4266" s="58"/>
      <c r="V4266" s="65"/>
      <c r="W4266" s="65"/>
      <c r="X4266" s="65"/>
      <c r="Y4266" s="65"/>
      <c r="Z4266" s="51"/>
      <c r="AA4266" s="51"/>
      <c r="AB4266" s="102"/>
      <c r="AC4266" s="81" t="e">
        <f t="shared" si="202"/>
        <v>#DIV/0!</v>
      </c>
      <c r="AD4266" s="82">
        <f t="shared" si="203"/>
        <v>0</v>
      </c>
      <c r="AE4266" s="218"/>
      <c r="AH4266" t="str">
        <f t="shared" si="201"/>
        <v>0000</v>
      </c>
      <c r="AJ4266" s="72"/>
      <c r="AK4266" s="72"/>
      <c r="AL4266" s="72"/>
      <c r="AM4266" s="72"/>
    </row>
    <row r="4267" spans="1:39" x14ac:dyDescent="0.25">
      <c r="A4267" s="37" t="s">
        <v>62</v>
      </c>
      <c r="B4267" s="66"/>
      <c r="C4267" s="4"/>
      <c r="D4267" s="41"/>
      <c r="E4267" s="41"/>
      <c r="F4267" s="85"/>
      <c r="G4267" s="39"/>
      <c r="H4267" s="52"/>
      <c r="I4267" s="52"/>
      <c r="J4267" s="49"/>
      <c r="K4267" s="58"/>
      <c r="L4267" s="58"/>
      <c r="M4267" s="58"/>
      <c r="N4267" s="58"/>
      <c r="O4267" s="58"/>
      <c r="P4267" s="53"/>
      <c r="Q4267" s="65"/>
      <c r="R4267" s="65"/>
      <c r="S4267" s="65"/>
      <c r="T4267" s="65"/>
      <c r="U4267" s="58"/>
      <c r="V4267" s="65"/>
      <c r="W4267" s="65"/>
      <c r="X4267" s="65"/>
      <c r="Y4267" s="65"/>
      <c r="Z4267" s="51"/>
      <c r="AA4267" s="51"/>
      <c r="AB4267" s="102"/>
      <c r="AC4267" s="81" t="e">
        <f t="shared" si="202"/>
        <v>#DIV/0!</v>
      </c>
      <c r="AD4267" s="82">
        <f t="shared" si="203"/>
        <v>0</v>
      </c>
      <c r="AE4267" s="218"/>
      <c r="AH4267" t="str">
        <f t="shared" si="201"/>
        <v>0000</v>
      </c>
      <c r="AJ4267" s="72"/>
      <c r="AK4267" s="72"/>
      <c r="AL4267" s="72"/>
      <c r="AM4267" s="72"/>
    </row>
    <row r="4268" spans="1:39" x14ac:dyDescent="0.25">
      <c r="A4268" s="37" t="s">
        <v>62</v>
      </c>
      <c r="B4268" s="66"/>
      <c r="C4268" s="4"/>
      <c r="D4268" s="41"/>
      <c r="E4268" s="41"/>
      <c r="F4268" s="85"/>
      <c r="G4268" s="39"/>
      <c r="H4268" s="52"/>
      <c r="I4268" s="52"/>
      <c r="J4268" s="49"/>
      <c r="K4268" s="58"/>
      <c r="L4268" s="58"/>
      <c r="M4268" s="58"/>
      <c r="N4268" s="58"/>
      <c r="O4268" s="58"/>
      <c r="P4268" s="53"/>
      <c r="Q4268" s="65"/>
      <c r="R4268" s="65"/>
      <c r="S4268" s="65"/>
      <c r="T4268" s="65"/>
      <c r="U4268" s="58"/>
      <c r="V4268" s="65"/>
      <c r="W4268" s="65"/>
      <c r="X4268" s="65"/>
      <c r="Y4268" s="65"/>
      <c r="Z4268" s="51"/>
      <c r="AA4268" s="51"/>
      <c r="AB4268" s="102"/>
      <c r="AC4268" s="81" t="e">
        <f t="shared" si="202"/>
        <v>#DIV/0!</v>
      </c>
      <c r="AD4268" s="82">
        <f t="shared" si="203"/>
        <v>0</v>
      </c>
      <c r="AE4268" s="218"/>
      <c r="AH4268" t="str">
        <f t="shared" si="201"/>
        <v>0000</v>
      </c>
      <c r="AJ4268" s="72"/>
      <c r="AK4268" s="72"/>
      <c r="AL4268" s="72"/>
      <c r="AM4268" s="72"/>
    </row>
    <row r="4269" spans="1:39" x14ac:dyDescent="0.25">
      <c r="A4269" s="37" t="s">
        <v>62</v>
      </c>
      <c r="B4269" s="66"/>
      <c r="C4269" s="4"/>
      <c r="D4269" s="41"/>
      <c r="E4269" s="41"/>
      <c r="F4269" s="85"/>
      <c r="G4269" s="39"/>
      <c r="H4269" s="52"/>
      <c r="I4269" s="52"/>
      <c r="J4269" s="49"/>
      <c r="K4269" s="58"/>
      <c r="L4269" s="58"/>
      <c r="M4269" s="58"/>
      <c r="N4269" s="58"/>
      <c r="O4269" s="58"/>
      <c r="P4269" s="53"/>
      <c r="Q4269" s="65"/>
      <c r="R4269" s="65"/>
      <c r="S4269" s="65"/>
      <c r="T4269" s="65"/>
      <c r="U4269" s="58"/>
      <c r="V4269" s="65"/>
      <c r="W4269" s="65"/>
      <c r="X4269" s="65"/>
      <c r="Y4269" s="65"/>
      <c r="Z4269" s="51"/>
      <c r="AA4269" s="51"/>
      <c r="AB4269" s="102"/>
      <c r="AC4269" s="81" t="e">
        <f t="shared" si="202"/>
        <v>#DIV/0!</v>
      </c>
      <c r="AD4269" s="82">
        <f t="shared" si="203"/>
        <v>0</v>
      </c>
      <c r="AE4269" s="218"/>
      <c r="AH4269" t="str">
        <f t="shared" si="201"/>
        <v>0000</v>
      </c>
      <c r="AJ4269" s="72"/>
      <c r="AK4269" s="72"/>
      <c r="AL4269" s="72"/>
      <c r="AM4269" s="72"/>
    </row>
    <row r="4270" spans="1:39" x14ac:dyDescent="0.25">
      <c r="A4270" s="37" t="s">
        <v>62</v>
      </c>
      <c r="B4270" s="66"/>
      <c r="C4270" s="4"/>
      <c r="D4270" s="41"/>
      <c r="E4270" s="41"/>
      <c r="F4270" s="85"/>
      <c r="G4270" s="39"/>
      <c r="H4270" s="52"/>
      <c r="I4270" s="52"/>
      <c r="J4270" s="49"/>
      <c r="K4270" s="58"/>
      <c r="L4270" s="58"/>
      <c r="M4270" s="58"/>
      <c r="N4270" s="58"/>
      <c r="O4270" s="58"/>
      <c r="P4270" s="53"/>
      <c r="Q4270" s="65"/>
      <c r="R4270" s="65"/>
      <c r="S4270" s="65"/>
      <c r="T4270" s="65"/>
      <c r="U4270" s="58"/>
      <c r="V4270" s="65"/>
      <c r="W4270" s="65"/>
      <c r="X4270" s="65"/>
      <c r="Y4270" s="65"/>
      <c r="Z4270" s="51"/>
      <c r="AA4270" s="51"/>
      <c r="AB4270" s="102"/>
      <c r="AC4270" s="81" t="e">
        <f t="shared" si="202"/>
        <v>#DIV/0!</v>
      </c>
      <c r="AD4270" s="82">
        <f t="shared" si="203"/>
        <v>0</v>
      </c>
      <c r="AE4270" s="218"/>
      <c r="AH4270" t="str">
        <f t="shared" si="201"/>
        <v>0000</v>
      </c>
      <c r="AJ4270" s="72"/>
      <c r="AK4270" s="72"/>
      <c r="AL4270" s="72"/>
      <c r="AM4270" s="72"/>
    </row>
    <row r="4271" spans="1:39" x14ac:dyDescent="0.25">
      <c r="A4271" s="37" t="s">
        <v>62</v>
      </c>
      <c r="B4271" s="66"/>
      <c r="C4271" s="4"/>
      <c r="D4271" s="41"/>
      <c r="E4271" s="41"/>
      <c r="F4271" s="85"/>
      <c r="G4271" s="39"/>
      <c r="H4271" s="52"/>
      <c r="I4271" s="52"/>
      <c r="J4271" s="49"/>
      <c r="K4271" s="58"/>
      <c r="L4271" s="58"/>
      <c r="M4271" s="58"/>
      <c r="N4271" s="58"/>
      <c r="O4271" s="58"/>
      <c r="P4271" s="53"/>
      <c r="Q4271" s="65"/>
      <c r="R4271" s="65"/>
      <c r="S4271" s="65"/>
      <c r="T4271" s="65"/>
      <c r="U4271" s="58"/>
      <c r="V4271" s="65"/>
      <c r="W4271" s="65"/>
      <c r="X4271" s="65"/>
      <c r="Y4271" s="65"/>
      <c r="Z4271" s="51"/>
      <c r="AA4271" s="51"/>
      <c r="AB4271" s="102"/>
      <c r="AC4271" s="81" t="e">
        <f t="shared" si="202"/>
        <v>#DIV/0!</v>
      </c>
      <c r="AD4271" s="82">
        <f t="shared" si="203"/>
        <v>0</v>
      </c>
      <c r="AE4271" s="218"/>
      <c r="AH4271" t="str">
        <f t="shared" si="201"/>
        <v>0000</v>
      </c>
      <c r="AJ4271" s="72"/>
      <c r="AK4271" s="72"/>
      <c r="AL4271" s="72"/>
      <c r="AM4271" s="72"/>
    </row>
    <row r="4272" spans="1:39" x14ac:dyDescent="0.25">
      <c r="A4272" s="37" t="s">
        <v>62</v>
      </c>
      <c r="B4272" s="66"/>
      <c r="C4272" s="4"/>
      <c r="D4272" s="41"/>
      <c r="E4272" s="41"/>
      <c r="F4272" s="85"/>
      <c r="G4272" s="39"/>
      <c r="H4272" s="52"/>
      <c r="I4272" s="52"/>
      <c r="J4272" s="49"/>
      <c r="K4272" s="58"/>
      <c r="L4272" s="58"/>
      <c r="M4272" s="58"/>
      <c r="N4272" s="58"/>
      <c r="O4272" s="58"/>
      <c r="P4272" s="53"/>
      <c r="Q4272" s="65"/>
      <c r="R4272" s="65"/>
      <c r="S4272" s="65"/>
      <c r="T4272" s="65"/>
      <c r="U4272" s="58"/>
      <c r="V4272" s="65"/>
      <c r="W4272" s="65"/>
      <c r="X4272" s="65"/>
      <c r="Y4272" s="65"/>
      <c r="Z4272" s="51"/>
      <c r="AA4272" s="51"/>
      <c r="AB4272" s="102"/>
      <c r="AC4272" s="81" t="e">
        <f t="shared" si="202"/>
        <v>#DIV/0!</v>
      </c>
      <c r="AD4272" s="82">
        <f t="shared" si="203"/>
        <v>0</v>
      </c>
      <c r="AE4272" s="218"/>
      <c r="AH4272" t="str">
        <f t="shared" si="201"/>
        <v>0000</v>
      </c>
      <c r="AJ4272" s="72"/>
      <c r="AK4272" s="72"/>
      <c r="AL4272" s="72"/>
      <c r="AM4272" s="72"/>
    </row>
    <row r="4273" spans="1:39" x14ac:dyDescent="0.25">
      <c r="A4273" s="37" t="s">
        <v>62</v>
      </c>
      <c r="B4273" s="66"/>
      <c r="C4273" s="4"/>
      <c r="D4273" s="41"/>
      <c r="E4273" s="41"/>
      <c r="F4273" s="85"/>
      <c r="G4273" s="39"/>
      <c r="H4273" s="52"/>
      <c r="I4273" s="52"/>
      <c r="J4273" s="49"/>
      <c r="K4273" s="58"/>
      <c r="L4273" s="58"/>
      <c r="M4273" s="58"/>
      <c r="N4273" s="58"/>
      <c r="O4273" s="58"/>
      <c r="P4273" s="53"/>
      <c r="Q4273" s="65"/>
      <c r="R4273" s="65"/>
      <c r="S4273" s="65"/>
      <c r="T4273" s="65"/>
      <c r="U4273" s="58"/>
      <c r="V4273" s="65"/>
      <c r="W4273" s="65"/>
      <c r="X4273" s="65"/>
      <c r="Y4273" s="65"/>
      <c r="Z4273" s="51"/>
      <c r="AA4273" s="51"/>
      <c r="AB4273" s="102"/>
      <c r="AC4273" s="81" t="e">
        <f t="shared" si="202"/>
        <v>#DIV/0!</v>
      </c>
      <c r="AD4273" s="82">
        <f t="shared" si="203"/>
        <v>0</v>
      </c>
      <c r="AE4273" s="218"/>
      <c r="AH4273" t="str">
        <f t="shared" si="201"/>
        <v>0000</v>
      </c>
      <c r="AJ4273" s="72"/>
      <c r="AK4273" s="72"/>
      <c r="AL4273" s="72"/>
      <c r="AM4273" s="72"/>
    </row>
    <row r="4274" spans="1:39" x14ac:dyDescent="0.25">
      <c r="A4274" s="37" t="s">
        <v>62</v>
      </c>
      <c r="B4274" s="66"/>
      <c r="C4274" s="4"/>
      <c r="D4274" s="41"/>
      <c r="E4274" s="41"/>
      <c r="F4274" s="85"/>
      <c r="G4274" s="39"/>
      <c r="H4274" s="52"/>
      <c r="I4274" s="52"/>
      <c r="J4274" s="49"/>
      <c r="K4274" s="58"/>
      <c r="L4274" s="58"/>
      <c r="M4274" s="58"/>
      <c r="N4274" s="58"/>
      <c r="O4274" s="58"/>
      <c r="P4274" s="53"/>
      <c r="Q4274" s="65"/>
      <c r="R4274" s="65"/>
      <c r="S4274" s="65"/>
      <c r="T4274" s="65"/>
      <c r="U4274" s="58"/>
      <c r="V4274" s="65"/>
      <c r="W4274" s="65"/>
      <c r="X4274" s="65"/>
      <c r="Y4274" s="65"/>
      <c r="Z4274" s="51"/>
      <c r="AA4274" s="51"/>
      <c r="AB4274" s="102"/>
      <c r="AC4274" s="81" t="e">
        <f t="shared" si="202"/>
        <v>#DIV/0!</v>
      </c>
      <c r="AD4274" s="82">
        <f t="shared" si="203"/>
        <v>0</v>
      </c>
      <c r="AE4274" s="218"/>
      <c r="AH4274" t="str">
        <f t="shared" si="201"/>
        <v>0000</v>
      </c>
      <c r="AJ4274" s="72"/>
      <c r="AK4274" s="72"/>
      <c r="AL4274" s="72"/>
      <c r="AM4274" s="72"/>
    </row>
    <row r="4275" spans="1:39" x14ac:dyDescent="0.25">
      <c r="A4275" s="37" t="s">
        <v>62</v>
      </c>
      <c r="B4275" s="66"/>
      <c r="C4275" s="4"/>
      <c r="D4275" s="41"/>
      <c r="E4275" s="41"/>
      <c r="F4275" s="85"/>
      <c r="G4275" s="39"/>
      <c r="H4275" s="52"/>
      <c r="I4275" s="52"/>
      <c r="J4275" s="49"/>
      <c r="K4275" s="58"/>
      <c r="L4275" s="58"/>
      <c r="M4275" s="58"/>
      <c r="N4275" s="58"/>
      <c r="O4275" s="58"/>
      <c r="P4275" s="53"/>
      <c r="Q4275" s="65"/>
      <c r="R4275" s="65"/>
      <c r="S4275" s="65"/>
      <c r="T4275" s="65"/>
      <c r="U4275" s="58"/>
      <c r="V4275" s="65"/>
      <c r="W4275" s="65"/>
      <c r="X4275" s="65"/>
      <c r="Y4275" s="65"/>
      <c r="Z4275" s="51"/>
      <c r="AA4275" s="51"/>
      <c r="AB4275" s="102"/>
      <c r="AC4275" s="81" t="e">
        <f t="shared" si="202"/>
        <v>#DIV/0!</v>
      </c>
      <c r="AD4275" s="82">
        <f t="shared" si="203"/>
        <v>0</v>
      </c>
      <c r="AE4275" s="218"/>
      <c r="AH4275" t="str">
        <f t="shared" si="201"/>
        <v>0000</v>
      </c>
      <c r="AJ4275" s="72"/>
      <c r="AK4275" s="72"/>
      <c r="AL4275" s="72"/>
      <c r="AM4275" s="72"/>
    </row>
    <row r="4276" spans="1:39" x14ac:dyDescent="0.25">
      <c r="A4276" s="37" t="s">
        <v>62</v>
      </c>
      <c r="B4276" s="66"/>
      <c r="C4276" s="4"/>
      <c r="D4276" s="41"/>
      <c r="E4276" s="41"/>
      <c r="F4276" s="85"/>
      <c r="G4276" s="39"/>
      <c r="H4276" s="52"/>
      <c r="I4276" s="52"/>
      <c r="J4276" s="49"/>
      <c r="K4276" s="58"/>
      <c r="L4276" s="58"/>
      <c r="M4276" s="58"/>
      <c r="N4276" s="58"/>
      <c r="O4276" s="58"/>
      <c r="P4276" s="53"/>
      <c r="Q4276" s="65"/>
      <c r="R4276" s="65"/>
      <c r="S4276" s="65"/>
      <c r="T4276" s="65"/>
      <c r="U4276" s="58"/>
      <c r="V4276" s="65"/>
      <c r="W4276" s="65"/>
      <c r="X4276" s="65"/>
      <c r="Y4276" s="65"/>
      <c r="Z4276" s="51"/>
      <c r="AA4276" s="51"/>
      <c r="AB4276" s="102"/>
      <c r="AC4276" s="81" t="e">
        <f t="shared" si="202"/>
        <v>#DIV/0!</v>
      </c>
      <c r="AD4276" s="82">
        <f t="shared" si="203"/>
        <v>0</v>
      </c>
      <c r="AE4276" s="218"/>
      <c r="AH4276" t="str">
        <f t="shared" si="201"/>
        <v>0000</v>
      </c>
      <c r="AJ4276" s="72"/>
      <c r="AK4276" s="72"/>
      <c r="AL4276" s="72"/>
      <c r="AM4276" s="72"/>
    </row>
    <row r="4277" spans="1:39" x14ac:dyDescent="0.25">
      <c r="A4277" s="37" t="s">
        <v>62</v>
      </c>
      <c r="B4277" s="66"/>
      <c r="C4277" s="4"/>
      <c r="D4277" s="41"/>
      <c r="E4277" s="41"/>
      <c r="F4277" s="85"/>
      <c r="G4277" s="39"/>
      <c r="H4277" s="52"/>
      <c r="I4277" s="52"/>
      <c r="J4277" s="49"/>
      <c r="K4277" s="58"/>
      <c r="L4277" s="58"/>
      <c r="M4277" s="58"/>
      <c r="N4277" s="58"/>
      <c r="O4277" s="58"/>
      <c r="P4277" s="53"/>
      <c r="Q4277" s="65"/>
      <c r="R4277" s="65"/>
      <c r="S4277" s="65"/>
      <c r="T4277" s="65"/>
      <c r="U4277" s="58"/>
      <c r="V4277" s="65"/>
      <c r="W4277" s="65"/>
      <c r="X4277" s="65"/>
      <c r="Y4277" s="65"/>
      <c r="Z4277" s="51"/>
      <c r="AA4277" s="51"/>
      <c r="AB4277" s="102"/>
      <c r="AC4277" s="81" t="e">
        <f t="shared" si="202"/>
        <v>#DIV/0!</v>
      </c>
      <c r="AD4277" s="82">
        <f t="shared" si="203"/>
        <v>0</v>
      </c>
      <c r="AE4277" s="218"/>
      <c r="AH4277" t="str">
        <f t="shared" si="201"/>
        <v>0000</v>
      </c>
      <c r="AJ4277" s="72"/>
      <c r="AK4277" s="72"/>
      <c r="AL4277" s="72"/>
      <c r="AM4277" s="72"/>
    </row>
    <row r="4278" spans="1:39" x14ac:dyDescent="0.25">
      <c r="A4278" s="37" t="s">
        <v>62</v>
      </c>
      <c r="B4278" s="66"/>
      <c r="C4278" s="4"/>
      <c r="D4278" s="41"/>
      <c r="E4278" s="41"/>
      <c r="F4278" s="85"/>
      <c r="G4278" s="39"/>
      <c r="H4278" s="52"/>
      <c r="I4278" s="52"/>
      <c r="J4278" s="49"/>
      <c r="K4278" s="58"/>
      <c r="L4278" s="58"/>
      <c r="M4278" s="58"/>
      <c r="N4278" s="58"/>
      <c r="O4278" s="58"/>
      <c r="P4278" s="53"/>
      <c r="Q4278" s="65"/>
      <c r="R4278" s="65"/>
      <c r="S4278" s="65"/>
      <c r="T4278" s="65"/>
      <c r="U4278" s="58"/>
      <c r="V4278" s="65"/>
      <c r="W4278" s="65"/>
      <c r="X4278" s="65"/>
      <c r="Y4278" s="65"/>
      <c r="Z4278" s="51"/>
      <c r="AA4278" s="51"/>
      <c r="AB4278" s="102"/>
      <c r="AC4278" s="81" t="e">
        <f t="shared" si="202"/>
        <v>#DIV/0!</v>
      </c>
      <c r="AD4278" s="82">
        <f t="shared" si="203"/>
        <v>0</v>
      </c>
      <c r="AE4278" s="218"/>
      <c r="AH4278" t="str">
        <f t="shared" si="201"/>
        <v>0000</v>
      </c>
      <c r="AJ4278" s="72"/>
      <c r="AK4278" s="72"/>
      <c r="AL4278" s="72"/>
      <c r="AM4278" s="72"/>
    </row>
    <row r="4279" spans="1:39" x14ac:dyDescent="0.25">
      <c r="A4279" s="37" t="s">
        <v>62</v>
      </c>
      <c r="B4279" s="66"/>
      <c r="C4279" s="4"/>
      <c r="D4279" s="41"/>
      <c r="E4279" s="41"/>
      <c r="F4279" s="85"/>
      <c r="G4279" s="39"/>
      <c r="H4279" s="52"/>
      <c r="I4279" s="52"/>
      <c r="J4279" s="49"/>
      <c r="K4279" s="58"/>
      <c r="L4279" s="58"/>
      <c r="M4279" s="58"/>
      <c r="N4279" s="58"/>
      <c r="O4279" s="58"/>
      <c r="P4279" s="53"/>
      <c r="Q4279" s="65"/>
      <c r="R4279" s="65"/>
      <c r="S4279" s="65"/>
      <c r="T4279" s="65"/>
      <c r="U4279" s="58"/>
      <c r="V4279" s="65"/>
      <c r="W4279" s="65"/>
      <c r="X4279" s="65"/>
      <c r="Y4279" s="65"/>
      <c r="Z4279" s="51"/>
      <c r="AA4279" s="51"/>
      <c r="AB4279" s="102"/>
      <c r="AC4279" s="81" t="e">
        <f t="shared" si="202"/>
        <v>#DIV/0!</v>
      </c>
      <c r="AD4279" s="82">
        <f t="shared" si="203"/>
        <v>0</v>
      </c>
      <c r="AE4279" s="218"/>
      <c r="AH4279" t="str">
        <f t="shared" si="201"/>
        <v>0000</v>
      </c>
      <c r="AJ4279" s="72"/>
      <c r="AK4279" s="72"/>
      <c r="AL4279" s="72"/>
      <c r="AM4279" s="72"/>
    </row>
    <row r="4280" spans="1:39" x14ac:dyDescent="0.25">
      <c r="A4280" s="37" t="s">
        <v>62</v>
      </c>
      <c r="B4280" s="66"/>
      <c r="C4280" s="4"/>
      <c r="D4280" s="41"/>
      <c r="E4280" s="41"/>
      <c r="F4280" s="85"/>
      <c r="G4280" s="39"/>
      <c r="H4280" s="52"/>
      <c r="I4280" s="52"/>
      <c r="J4280" s="49"/>
      <c r="K4280" s="58"/>
      <c r="L4280" s="58"/>
      <c r="M4280" s="58"/>
      <c r="N4280" s="58"/>
      <c r="O4280" s="58"/>
      <c r="P4280" s="53"/>
      <c r="Q4280" s="65"/>
      <c r="R4280" s="65"/>
      <c r="S4280" s="65"/>
      <c r="T4280" s="65"/>
      <c r="U4280" s="58"/>
      <c r="V4280" s="65"/>
      <c r="W4280" s="65"/>
      <c r="X4280" s="65"/>
      <c r="Y4280" s="65"/>
      <c r="Z4280" s="51"/>
      <c r="AA4280" s="51"/>
      <c r="AB4280" s="102"/>
      <c r="AC4280" s="81" t="e">
        <f t="shared" si="202"/>
        <v>#DIV/0!</v>
      </c>
      <c r="AD4280" s="82">
        <f t="shared" si="203"/>
        <v>0</v>
      </c>
      <c r="AE4280" s="218"/>
      <c r="AH4280" t="str">
        <f t="shared" si="201"/>
        <v>0000</v>
      </c>
      <c r="AJ4280" s="72"/>
      <c r="AK4280" s="72"/>
      <c r="AL4280" s="72"/>
      <c r="AM4280" s="72"/>
    </row>
    <row r="4281" spans="1:39" x14ac:dyDescent="0.25">
      <c r="A4281" s="37" t="s">
        <v>62</v>
      </c>
      <c r="B4281" s="66"/>
      <c r="C4281" s="4"/>
      <c r="D4281" s="41"/>
      <c r="E4281" s="41"/>
      <c r="F4281" s="85"/>
      <c r="G4281" s="39"/>
      <c r="H4281" s="52"/>
      <c r="I4281" s="52"/>
      <c r="J4281" s="49"/>
      <c r="K4281" s="58"/>
      <c r="L4281" s="58"/>
      <c r="M4281" s="58"/>
      <c r="N4281" s="58"/>
      <c r="O4281" s="58"/>
      <c r="P4281" s="53"/>
      <c r="Q4281" s="65"/>
      <c r="R4281" s="65"/>
      <c r="S4281" s="65"/>
      <c r="T4281" s="65"/>
      <c r="U4281" s="58"/>
      <c r="V4281" s="65"/>
      <c r="W4281" s="65"/>
      <c r="X4281" s="65"/>
      <c r="Y4281" s="65"/>
      <c r="Z4281" s="51"/>
      <c r="AA4281" s="51"/>
      <c r="AB4281" s="102"/>
      <c r="AC4281" s="81" t="e">
        <f t="shared" si="202"/>
        <v>#DIV/0!</v>
      </c>
      <c r="AD4281" s="82">
        <f t="shared" si="203"/>
        <v>0</v>
      </c>
      <c r="AE4281" s="218"/>
      <c r="AH4281" t="str">
        <f t="shared" si="201"/>
        <v>0000</v>
      </c>
      <c r="AJ4281" s="72"/>
      <c r="AK4281" s="72"/>
      <c r="AL4281" s="72"/>
      <c r="AM4281" s="72"/>
    </row>
    <row r="4282" spans="1:39" x14ac:dyDescent="0.25">
      <c r="A4282" s="37" t="s">
        <v>62</v>
      </c>
      <c r="B4282" s="66"/>
      <c r="C4282" s="4"/>
      <c r="D4282" s="41"/>
      <c r="E4282" s="41"/>
      <c r="F4282" s="85"/>
      <c r="G4282" s="39"/>
      <c r="H4282" s="52"/>
      <c r="I4282" s="52"/>
      <c r="J4282" s="49"/>
      <c r="K4282" s="58"/>
      <c r="L4282" s="58"/>
      <c r="M4282" s="58"/>
      <c r="N4282" s="58"/>
      <c r="O4282" s="58"/>
      <c r="P4282" s="53"/>
      <c r="Q4282" s="65"/>
      <c r="R4282" s="65"/>
      <c r="S4282" s="65"/>
      <c r="T4282" s="65"/>
      <c r="U4282" s="58"/>
      <c r="V4282" s="65"/>
      <c r="W4282" s="65"/>
      <c r="X4282" s="65"/>
      <c r="Y4282" s="65"/>
      <c r="Z4282" s="51"/>
      <c r="AA4282" s="51"/>
      <c r="AB4282" s="102"/>
      <c r="AC4282" s="81" t="e">
        <f t="shared" si="202"/>
        <v>#DIV/0!</v>
      </c>
      <c r="AD4282" s="82">
        <f t="shared" si="203"/>
        <v>0</v>
      </c>
      <c r="AE4282" s="218"/>
      <c r="AH4282" t="str">
        <f t="shared" ref="AH4282:AH4345" si="204">TEXT(D4282,"0000")</f>
        <v>0000</v>
      </c>
      <c r="AJ4282" s="72"/>
      <c r="AK4282" s="72"/>
      <c r="AL4282" s="72"/>
      <c r="AM4282" s="72"/>
    </row>
    <row r="4283" spans="1:39" x14ac:dyDescent="0.25">
      <c r="A4283" s="37" t="s">
        <v>62</v>
      </c>
      <c r="B4283" s="66"/>
      <c r="C4283" s="4"/>
      <c r="D4283" s="41"/>
      <c r="E4283" s="41"/>
      <c r="F4283" s="85"/>
      <c r="G4283" s="39"/>
      <c r="H4283" s="52"/>
      <c r="I4283" s="52"/>
      <c r="J4283" s="49"/>
      <c r="K4283" s="58"/>
      <c r="L4283" s="58"/>
      <c r="M4283" s="58"/>
      <c r="N4283" s="58"/>
      <c r="O4283" s="58"/>
      <c r="P4283" s="53"/>
      <c r="Q4283" s="65"/>
      <c r="R4283" s="65"/>
      <c r="S4283" s="65"/>
      <c r="T4283" s="65"/>
      <c r="U4283" s="58"/>
      <c r="V4283" s="65"/>
      <c r="W4283" s="65"/>
      <c r="X4283" s="65"/>
      <c r="Y4283" s="65"/>
      <c r="Z4283" s="51"/>
      <c r="AA4283" s="51"/>
      <c r="AB4283" s="102"/>
      <c r="AC4283" s="81" t="e">
        <f t="shared" si="202"/>
        <v>#DIV/0!</v>
      </c>
      <c r="AD4283" s="82">
        <f t="shared" si="203"/>
        <v>0</v>
      </c>
      <c r="AE4283" s="218"/>
      <c r="AH4283" t="str">
        <f t="shared" si="204"/>
        <v>0000</v>
      </c>
      <c r="AJ4283" s="72"/>
      <c r="AK4283" s="72"/>
      <c r="AL4283" s="72"/>
      <c r="AM4283" s="72"/>
    </row>
    <row r="4284" spans="1:39" x14ac:dyDescent="0.25">
      <c r="A4284" s="37" t="s">
        <v>62</v>
      </c>
      <c r="B4284" s="66"/>
      <c r="C4284" s="4"/>
      <c r="D4284" s="41"/>
      <c r="E4284" s="41"/>
      <c r="F4284" s="85"/>
      <c r="G4284" s="39"/>
      <c r="H4284" s="52"/>
      <c r="I4284" s="52"/>
      <c r="J4284" s="49"/>
      <c r="K4284" s="58"/>
      <c r="L4284" s="58"/>
      <c r="M4284" s="58"/>
      <c r="N4284" s="58"/>
      <c r="O4284" s="58"/>
      <c r="P4284" s="53"/>
      <c r="Q4284" s="65"/>
      <c r="R4284" s="65"/>
      <c r="S4284" s="65"/>
      <c r="T4284" s="65"/>
      <c r="U4284" s="58"/>
      <c r="V4284" s="65"/>
      <c r="W4284" s="65"/>
      <c r="X4284" s="65"/>
      <c r="Y4284" s="65"/>
      <c r="Z4284" s="51"/>
      <c r="AA4284" s="51"/>
      <c r="AB4284" s="102"/>
      <c r="AC4284" s="81" t="e">
        <f t="shared" si="202"/>
        <v>#DIV/0!</v>
      </c>
      <c r="AD4284" s="82">
        <f t="shared" si="203"/>
        <v>0</v>
      </c>
      <c r="AE4284" s="218"/>
      <c r="AH4284" t="str">
        <f t="shared" si="204"/>
        <v>0000</v>
      </c>
      <c r="AJ4284" s="72"/>
      <c r="AK4284" s="72"/>
      <c r="AL4284" s="72"/>
      <c r="AM4284" s="72"/>
    </row>
    <row r="4285" spans="1:39" x14ac:dyDescent="0.25">
      <c r="A4285" s="37" t="s">
        <v>62</v>
      </c>
      <c r="B4285" s="66"/>
      <c r="C4285" s="4"/>
      <c r="D4285" s="41"/>
      <c r="E4285" s="41"/>
      <c r="F4285" s="85"/>
      <c r="G4285" s="39"/>
      <c r="H4285" s="52"/>
      <c r="I4285" s="52"/>
      <c r="J4285" s="49"/>
      <c r="K4285" s="58"/>
      <c r="L4285" s="58"/>
      <c r="M4285" s="58"/>
      <c r="N4285" s="58"/>
      <c r="O4285" s="58"/>
      <c r="P4285" s="53"/>
      <c r="Q4285" s="65"/>
      <c r="R4285" s="65"/>
      <c r="S4285" s="65"/>
      <c r="T4285" s="65"/>
      <c r="U4285" s="58"/>
      <c r="V4285" s="65"/>
      <c r="W4285" s="65"/>
      <c r="X4285" s="65"/>
      <c r="Y4285" s="65"/>
      <c r="Z4285" s="51"/>
      <c r="AA4285" s="51"/>
      <c r="AB4285" s="102"/>
      <c r="AC4285" s="81" t="e">
        <f t="shared" si="202"/>
        <v>#DIV/0!</v>
      </c>
      <c r="AD4285" s="82">
        <f t="shared" si="203"/>
        <v>0</v>
      </c>
      <c r="AE4285" s="218"/>
      <c r="AH4285" t="str">
        <f t="shared" si="204"/>
        <v>0000</v>
      </c>
      <c r="AJ4285" s="72"/>
      <c r="AK4285" s="72"/>
      <c r="AL4285" s="72"/>
      <c r="AM4285" s="72"/>
    </row>
    <row r="4286" spans="1:39" x14ac:dyDescent="0.25">
      <c r="A4286" s="37" t="s">
        <v>62</v>
      </c>
      <c r="B4286" s="66"/>
      <c r="C4286" s="4"/>
      <c r="D4286" s="41"/>
      <c r="E4286" s="41"/>
      <c r="F4286" s="85"/>
      <c r="G4286" s="39"/>
      <c r="H4286" s="52"/>
      <c r="I4286" s="52"/>
      <c r="J4286" s="49"/>
      <c r="K4286" s="58"/>
      <c r="L4286" s="58"/>
      <c r="M4286" s="58"/>
      <c r="N4286" s="58"/>
      <c r="O4286" s="58"/>
      <c r="P4286" s="53"/>
      <c r="Q4286" s="65"/>
      <c r="R4286" s="65"/>
      <c r="S4286" s="65"/>
      <c r="T4286" s="65"/>
      <c r="U4286" s="58"/>
      <c r="V4286" s="65"/>
      <c r="W4286" s="65"/>
      <c r="X4286" s="65"/>
      <c r="Y4286" s="65"/>
      <c r="Z4286" s="51"/>
      <c r="AA4286" s="51"/>
      <c r="AB4286" s="102"/>
      <c r="AC4286" s="81" t="e">
        <f t="shared" si="202"/>
        <v>#DIV/0!</v>
      </c>
      <c r="AD4286" s="82">
        <f t="shared" si="203"/>
        <v>0</v>
      </c>
      <c r="AE4286" s="218"/>
      <c r="AH4286" t="str">
        <f t="shared" si="204"/>
        <v>0000</v>
      </c>
      <c r="AJ4286" s="72"/>
      <c r="AK4286" s="72"/>
      <c r="AL4286" s="72"/>
      <c r="AM4286" s="72"/>
    </row>
    <row r="4287" spans="1:39" x14ac:dyDescent="0.25">
      <c r="A4287" s="37" t="s">
        <v>62</v>
      </c>
      <c r="B4287" s="66"/>
      <c r="C4287" s="4"/>
      <c r="D4287" s="41"/>
      <c r="E4287" s="41"/>
      <c r="F4287" s="85"/>
      <c r="G4287" s="39"/>
      <c r="H4287" s="52"/>
      <c r="I4287" s="52"/>
      <c r="J4287" s="49"/>
      <c r="K4287" s="58"/>
      <c r="L4287" s="58"/>
      <c r="M4287" s="58"/>
      <c r="N4287" s="58"/>
      <c r="O4287" s="58"/>
      <c r="P4287" s="53"/>
      <c r="Q4287" s="65"/>
      <c r="R4287" s="65"/>
      <c r="S4287" s="65"/>
      <c r="T4287" s="65"/>
      <c r="U4287" s="58"/>
      <c r="V4287" s="65"/>
      <c r="W4287" s="65"/>
      <c r="X4287" s="65"/>
      <c r="Y4287" s="65"/>
      <c r="Z4287" s="51"/>
      <c r="AA4287" s="51"/>
      <c r="AB4287" s="102"/>
      <c r="AC4287" s="81" t="e">
        <f t="shared" si="202"/>
        <v>#DIV/0!</v>
      </c>
      <c r="AD4287" s="82">
        <f t="shared" si="203"/>
        <v>0</v>
      </c>
      <c r="AE4287" s="218"/>
      <c r="AH4287" t="str">
        <f t="shared" si="204"/>
        <v>0000</v>
      </c>
      <c r="AJ4287" s="72"/>
      <c r="AK4287" s="72"/>
      <c r="AL4287" s="72"/>
      <c r="AM4287" s="72"/>
    </row>
    <row r="4288" spans="1:39" x14ac:dyDescent="0.25">
      <c r="A4288" s="37" t="s">
        <v>62</v>
      </c>
      <c r="B4288" s="66"/>
      <c r="C4288" s="4"/>
      <c r="D4288" s="41"/>
      <c r="E4288" s="41"/>
      <c r="F4288" s="85"/>
      <c r="G4288" s="39"/>
      <c r="H4288" s="52"/>
      <c r="I4288" s="52"/>
      <c r="J4288" s="49"/>
      <c r="K4288" s="58"/>
      <c r="L4288" s="58"/>
      <c r="M4288" s="58"/>
      <c r="N4288" s="58"/>
      <c r="O4288" s="58"/>
      <c r="P4288" s="53"/>
      <c r="Q4288" s="65"/>
      <c r="R4288" s="65"/>
      <c r="S4288" s="65"/>
      <c r="T4288" s="65"/>
      <c r="U4288" s="58"/>
      <c r="V4288" s="65"/>
      <c r="W4288" s="65"/>
      <c r="X4288" s="65"/>
      <c r="Y4288" s="65"/>
      <c r="Z4288" s="51"/>
      <c r="AA4288" s="51"/>
      <c r="AB4288" s="102"/>
      <c r="AC4288" s="81" t="e">
        <f t="shared" si="202"/>
        <v>#DIV/0!</v>
      </c>
      <c r="AD4288" s="82">
        <f t="shared" si="203"/>
        <v>0</v>
      </c>
      <c r="AE4288" s="218"/>
      <c r="AH4288" t="str">
        <f t="shared" si="204"/>
        <v>0000</v>
      </c>
      <c r="AJ4288" s="72"/>
      <c r="AK4288" s="72"/>
      <c r="AL4288" s="72"/>
      <c r="AM4288" s="72"/>
    </row>
    <row r="4289" spans="1:39" x14ac:dyDescent="0.25">
      <c r="A4289" s="37" t="s">
        <v>62</v>
      </c>
      <c r="B4289" s="66"/>
      <c r="C4289" s="4"/>
      <c r="D4289" s="41"/>
      <c r="E4289" s="41"/>
      <c r="F4289" s="85"/>
      <c r="G4289" s="39"/>
      <c r="H4289" s="52"/>
      <c r="I4289" s="52"/>
      <c r="J4289" s="49"/>
      <c r="K4289" s="58"/>
      <c r="L4289" s="58"/>
      <c r="M4289" s="58"/>
      <c r="N4289" s="58"/>
      <c r="O4289" s="58"/>
      <c r="P4289" s="53"/>
      <c r="Q4289" s="65"/>
      <c r="R4289" s="65"/>
      <c r="S4289" s="65"/>
      <c r="T4289" s="65"/>
      <c r="U4289" s="58"/>
      <c r="V4289" s="65"/>
      <c r="W4289" s="65"/>
      <c r="X4289" s="65"/>
      <c r="Y4289" s="65"/>
      <c r="Z4289" s="51"/>
      <c r="AA4289" s="51"/>
      <c r="AB4289" s="102"/>
      <c r="AC4289" s="81" t="e">
        <f t="shared" ref="AC4289:AC4352" si="205">((IF(AD4289=0,0,100-AD4289))*7*(J4289/I4289))*2%</f>
        <v>#DIV/0!</v>
      </c>
      <c r="AD4289" s="82">
        <f t="shared" ref="AD4289:AD4352" si="206">IF((I4289/7)&gt;100,0,(I4289/7))</f>
        <v>0</v>
      </c>
      <c r="AE4289" s="218"/>
      <c r="AH4289" t="str">
        <f t="shared" si="204"/>
        <v>0000</v>
      </c>
      <c r="AJ4289" s="72"/>
      <c r="AK4289" s="72"/>
      <c r="AL4289" s="72"/>
      <c r="AM4289" s="72"/>
    </row>
    <row r="4290" spans="1:39" x14ac:dyDescent="0.25">
      <c r="A4290" s="37" t="s">
        <v>62</v>
      </c>
      <c r="B4290" s="66"/>
      <c r="C4290" s="4"/>
      <c r="D4290" s="41"/>
      <c r="E4290" s="41"/>
      <c r="F4290" s="85"/>
      <c r="G4290" s="39"/>
      <c r="H4290" s="52"/>
      <c r="I4290" s="52"/>
      <c r="J4290" s="49"/>
      <c r="K4290" s="58"/>
      <c r="L4290" s="58"/>
      <c r="M4290" s="58"/>
      <c r="N4290" s="58"/>
      <c r="O4290" s="58"/>
      <c r="P4290" s="53"/>
      <c r="Q4290" s="65"/>
      <c r="R4290" s="65"/>
      <c r="S4290" s="65"/>
      <c r="T4290" s="65"/>
      <c r="U4290" s="58"/>
      <c r="V4290" s="65"/>
      <c r="W4290" s="65"/>
      <c r="X4290" s="65"/>
      <c r="Y4290" s="65"/>
      <c r="Z4290" s="51"/>
      <c r="AA4290" s="51"/>
      <c r="AB4290" s="102"/>
      <c r="AC4290" s="81" t="e">
        <f t="shared" si="205"/>
        <v>#DIV/0!</v>
      </c>
      <c r="AD4290" s="82">
        <f t="shared" si="206"/>
        <v>0</v>
      </c>
      <c r="AE4290" s="218"/>
      <c r="AH4290" t="str">
        <f t="shared" si="204"/>
        <v>0000</v>
      </c>
      <c r="AJ4290" s="72"/>
      <c r="AK4290" s="72"/>
      <c r="AL4290" s="72"/>
      <c r="AM4290" s="72"/>
    </row>
    <row r="4291" spans="1:39" x14ac:dyDescent="0.25">
      <c r="A4291" s="37" t="s">
        <v>62</v>
      </c>
      <c r="B4291" s="66"/>
      <c r="C4291" s="4"/>
      <c r="D4291" s="41"/>
      <c r="E4291" s="41"/>
      <c r="F4291" s="85"/>
      <c r="G4291" s="39"/>
      <c r="H4291" s="52"/>
      <c r="I4291" s="52"/>
      <c r="J4291" s="49"/>
      <c r="K4291" s="58"/>
      <c r="L4291" s="58"/>
      <c r="M4291" s="58"/>
      <c r="N4291" s="58"/>
      <c r="O4291" s="58"/>
      <c r="P4291" s="53"/>
      <c r="Q4291" s="65"/>
      <c r="R4291" s="65"/>
      <c r="S4291" s="65"/>
      <c r="T4291" s="65"/>
      <c r="U4291" s="58"/>
      <c r="V4291" s="65"/>
      <c r="W4291" s="65"/>
      <c r="X4291" s="65"/>
      <c r="Y4291" s="65"/>
      <c r="Z4291" s="51"/>
      <c r="AA4291" s="51"/>
      <c r="AB4291" s="102"/>
      <c r="AC4291" s="81" t="e">
        <f t="shared" si="205"/>
        <v>#DIV/0!</v>
      </c>
      <c r="AD4291" s="82">
        <f t="shared" si="206"/>
        <v>0</v>
      </c>
      <c r="AE4291" s="218"/>
      <c r="AH4291" t="str">
        <f t="shared" si="204"/>
        <v>0000</v>
      </c>
      <c r="AJ4291" s="72"/>
      <c r="AK4291" s="72"/>
      <c r="AL4291" s="72"/>
      <c r="AM4291" s="72"/>
    </row>
    <row r="4292" spans="1:39" x14ac:dyDescent="0.25">
      <c r="A4292" s="37" t="s">
        <v>62</v>
      </c>
      <c r="B4292" s="66"/>
      <c r="C4292" s="4"/>
      <c r="D4292" s="41"/>
      <c r="E4292" s="41"/>
      <c r="F4292" s="85"/>
      <c r="G4292" s="39"/>
      <c r="H4292" s="52"/>
      <c r="I4292" s="52"/>
      <c r="J4292" s="49"/>
      <c r="K4292" s="58"/>
      <c r="L4292" s="58"/>
      <c r="M4292" s="58"/>
      <c r="N4292" s="58"/>
      <c r="O4292" s="58"/>
      <c r="P4292" s="53"/>
      <c r="Q4292" s="65"/>
      <c r="R4292" s="65"/>
      <c r="S4292" s="65"/>
      <c r="T4292" s="65"/>
      <c r="U4292" s="58"/>
      <c r="V4292" s="65"/>
      <c r="W4292" s="65"/>
      <c r="X4292" s="65"/>
      <c r="Y4292" s="65"/>
      <c r="Z4292" s="51"/>
      <c r="AA4292" s="51"/>
      <c r="AB4292" s="102"/>
      <c r="AC4292" s="81" t="e">
        <f t="shared" si="205"/>
        <v>#DIV/0!</v>
      </c>
      <c r="AD4292" s="82">
        <f t="shared" si="206"/>
        <v>0</v>
      </c>
      <c r="AE4292" s="218"/>
      <c r="AH4292" t="str">
        <f t="shared" si="204"/>
        <v>0000</v>
      </c>
      <c r="AJ4292" s="72"/>
      <c r="AK4292" s="72"/>
      <c r="AL4292" s="72"/>
      <c r="AM4292" s="72"/>
    </row>
    <row r="4293" spans="1:39" x14ac:dyDescent="0.25">
      <c r="A4293" s="37" t="s">
        <v>62</v>
      </c>
      <c r="B4293" s="66"/>
      <c r="C4293" s="4"/>
      <c r="D4293" s="41"/>
      <c r="E4293" s="41"/>
      <c r="F4293" s="85"/>
      <c r="G4293" s="39"/>
      <c r="H4293" s="52"/>
      <c r="I4293" s="52"/>
      <c r="J4293" s="49"/>
      <c r="K4293" s="58"/>
      <c r="L4293" s="58"/>
      <c r="M4293" s="58"/>
      <c r="N4293" s="58"/>
      <c r="O4293" s="58"/>
      <c r="P4293" s="53"/>
      <c r="Q4293" s="65"/>
      <c r="R4293" s="65"/>
      <c r="S4293" s="65"/>
      <c r="T4293" s="65"/>
      <c r="U4293" s="58"/>
      <c r="V4293" s="65"/>
      <c r="W4293" s="65"/>
      <c r="X4293" s="65"/>
      <c r="Y4293" s="65"/>
      <c r="Z4293" s="51"/>
      <c r="AA4293" s="51"/>
      <c r="AB4293" s="102"/>
      <c r="AC4293" s="81" t="e">
        <f t="shared" si="205"/>
        <v>#DIV/0!</v>
      </c>
      <c r="AD4293" s="82">
        <f t="shared" si="206"/>
        <v>0</v>
      </c>
      <c r="AE4293" s="218"/>
      <c r="AH4293" t="str">
        <f t="shared" si="204"/>
        <v>0000</v>
      </c>
      <c r="AJ4293" s="72"/>
      <c r="AK4293" s="72"/>
      <c r="AL4293" s="72"/>
      <c r="AM4293" s="72"/>
    </row>
    <row r="4294" spans="1:39" x14ac:dyDescent="0.25">
      <c r="A4294" s="37" t="s">
        <v>62</v>
      </c>
      <c r="B4294" s="66"/>
      <c r="C4294" s="4"/>
      <c r="D4294" s="41"/>
      <c r="E4294" s="41"/>
      <c r="F4294" s="85"/>
      <c r="G4294" s="39"/>
      <c r="H4294" s="52"/>
      <c r="I4294" s="52"/>
      <c r="J4294" s="49"/>
      <c r="K4294" s="58"/>
      <c r="L4294" s="58"/>
      <c r="M4294" s="58"/>
      <c r="N4294" s="58"/>
      <c r="O4294" s="58"/>
      <c r="P4294" s="53"/>
      <c r="Q4294" s="65"/>
      <c r="R4294" s="65"/>
      <c r="S4294" s="65"/>
      <c r="T4294" s="65"/>
      <c r="U4294" s="58"/>
      <c r="V4294" s="65"/>
      <c r="W4294" s="65"/>
      <c r="X4294" s="65"/>
      <c r="Y4294" s="65"/>
      <c r="Z4294" s="51"/>
      <c r="AA4294" s="51"/>
      <c r="AB4294" s="102"/>
      <c r="AC4294" s="81" t="e">
        <f t="shared" si="205"/>
        <v>#DIV/0!</v>
      </c>
      <c r="AD4294" s="82">
        <f t="shared" si="206"/>
        <v>0</v>
      </c>
      <c r="AE4294" s="218"/>
      <c r="AH4294" t="str">
        <f t="shared" si="204"/>
        <v>0000</v>
      </c>
      <c r="AJ4294" s="72"/>
      <c r="AK4294" s="72"/>
      <c r="AL4294" s="72"/>
      <c r="AM4294" s="72"/>
    </row>
    <row r="4295" spans="1:39" x14ac:dyDescent="0.25">
      <c r="A4295" s="37" t="s">
        <v>62</v>
      </c>
      <c r="B4295" s="66"/>
      <c r="C4295" s="4"/>
      <c r="D4295" s="41"/>
      <c r="E4295" s="41"/>
      <c r="F4295" s="85"/>
      <c r="G4295" s="39"/>
      <c r="H4295" s="52"/>
      <c r="I4295" s="52"/>
      <c r="J4295" s="49"/>
      <c r="K4295" s="58"/>
      <c r="L4295" s="58"/>
      <c r="M4295" s="58"/>
      <c r="N4295" s="58"/>
      <c r="O4295" s="58"/>
      <c r="P4295" s="53"/>
      <c r="Q4295" s="65"/>
      <c r="R4295" s="65"/>
      <c r="S4295" s="65"/>
      <c r="T4295" s="65"/>
      <c r="U4295" s="58"/>
      <c r="V4295" s="65"/>
      <c r="W4295" s="65"/>
      <c r="X4295" s="65"/>
      <c r="Y4295" s="65"/>
      <c r="Z4295" s="51"/>
      <c r="AA4295" s="51"/>
      <c r="AB4295" s="102"/>
      <c r="AC4295" s="81" t="e">
        <f t="shared" si="205"/>
        <v>#DIV/0!</v>
      </c>
      <c r="AD4295" s="82">
        <f t="shared" si="206"/>
        <v>0</v>
      </c>
      <c r="AE4295" s="218"/>
      <c r="AH4295" t="str">
        <f t="shared" si="204"/>
        <v>0000</v>
      </c>
      <c r="AJ4295" s="72"/>
      <c r="AK4295" s="72"/>
      <c r="AL4295" s="72"/>
      <c r="AM4295" s="72"/>
    </row>
    <row r="4296" spans="1:39" x14ac:dyDescent="0.25">
      <c r="A4296" s="37" t="s">
        <v>62</v>
      </c>
      <c r="B4296" s="66"/>
      <c r="C4296" s="4"/>
      <c r="D4296" s="41"/>
      <c r="E4296" s="41"/>
      <c r="F4296" s="85"/>
      <c r="G4296" s="39"/>
      <c r="H4296" s="52"/>
      <c r="I4296" s="52"/>
      <c r="J4296" s="49"/>
      <c r="K4296" s="58"/>
      <c r="L4296" s="58"/>
      <c r="M4296" s="58"/>
      <c r="N4296" s="58"/>
      <c r="O4296" s="58"/>
      <c r="P4296" s="53"/>
      <c r="Q4296" s="65"/>
      <c r="R4296" s="65"/>
      <c r="S4296" s="65"/>
      <c r="T4296" s="65"/>
      <c r="U4296" s="58"/>
      <c r="V4296" s="65"/>
      <c r="W4296" s="65"/>
      <c r="X4296" s="65"/>
      <c r="Y4296" s="65"/>
      <c r="Z4296" s="51"/>
      <c r="AA4296" s="51"/>
      <c r="AB4296" s="102"/>
      <c r="AC4296" s="81" t="e">
        <f t="shared" si="205"/>
        <v>#DIV/0!</v>
      </c>
      <c r="AD4296" s="82">
        <f t="shared" si="206"/>
        <v>0</v>
      </c>
      <c r="AE4296" s="218"/>
      <c r="AH4296" t="str">
        <f t="shared" si="204"/>
        <v>0000</v>
      </c>
      <c r="AJ4296" s="72"/>
      <c r="AK4296" s="72"/>
      <c r="AL4296" s="72"/>
      <c r="AM4296" s="72"/>
    </row>
    <row r="4297" spans="1:39" x14ac:dyDescent="0.25">
      <c r="A4297" s="37" t="s">
        <v>62</v>
      </c>
      <c r="B4297" s="66"/>
      <c r="C4297" s="4"/>
      <c r="D4297" s="41"/>
      <c r="E4297" s="41"/>
      <c r="F4297" s="85"/>
      <c r="G4297" s="39"/>
      <c r="H4297" s="52"/>
      <c r="I4297" s="52"/>
      <c r="J4297" s="49"/>
      <c r="K4297" s="58"/>
      <c r="L4297" s="58"/>
      <c r="M4297" s="58"/>
      <c r="N4297" s="58"/>
      <c r="O4297" s="58"/>
      <c r="P4297" s="53"/>
      <c r="Q4297" s="65"/>
      <c r="R4297" s="65"/>
      <c r="S4297" s="65"/>
      <c r="T4297" s="65"/>
      <c r="U4297" s="58"/>
      <c r="V4297" s="65"/>
      <c r="W4297" s="65"/>
      <c r="X4297" s="65"/>
      <c r="Y4297" s="65"/>
      <c r="Z4297" s="51"/>
      <c r="AA4297" s="51"/>
      <c r="AB4297" s="102"/>
      <c r="AC4297" s="81" t="e">
        <f t="shared" si="205"/>
        <v>#DIV/0!</v>
      </c>
      <c r="AD4297" s="82">
        <f t="shared" si="206"/>
        <v>0</v>
      </c>
      <c r="AE4297" s="218"/>
      <c r="AH4297" t="str">
        <f t="shared" si="204"/>
        <v>0000</v>
      </c>
      <c r="AJ4297" s="72"/>
      <c r="AK4297" s="72"/>
      <c r="AL4297" s="72"/>
      <c r="AM4297" s="72"/>
    </row>
    <row r="4298" spans="1:39" x14ac:dyDescent="0.25">
      <c r="A4298" s="37" t="s">
        <v>62</v>
      </c>
      <c r="B4298" s="66"/>
      <c r="C4298" s="4"/>
      <c r="D4298" s="41"/>
      <c r="E4298" s="41"/>
      <c r="F4298" s="85"/>
      <c r="G4298" s="39"/>
      <c r="H4298" s="52"/>
      <c r="I4298" s="52"/>
      <c r="J4298" s="49"/>
      <c r="K4298" s="58"/>
      <c r="L4298" s="58"/>
      <c r="M4298" s="58"/>
      <c r="N4298" s="58"/>
      <c r="O4298" s="58"/>
      <c r="P4298" s="53"/>
      <c r="Q4298" s="65"/>
      <c r="R4298" s="65"/>
      <c r="S4298" s="65"/>
      <c r="T4298" s="65"/>
      <c r="U4298" s="58"/>
      <c r="V4298" s="65"/>
      <c r="W4298" s="65"/>
      <c r="X4298" s="65"/>
      <c r="Y4298" s="65"/>
      <c r="Z4298" s="51"/>
      <c r="AA4298" s="51"/>
      <c r="AB4298" s="102"/>
      <c r="AC4298" s="81" t="e">
        <f t="shared" si="205"/>
        <v>#DIV/0!</v>
      </c>
      <c r="AD4298" s="82">
        <f t="shared" si="206"/>
        <v>0</v>
      </c>
      <c r="AE4298" s="218"/>
      <c r="AH4298" t="str">
        <f t="shared" si="204"/>
        <v>0000</v>
      </c>
      <c r="AJ4298" s="72"/>
      <c r="AK4298" s="72"/>
      <c r="AL4298" s="72"/>
      <c r="AM4298" s="72"/>
    </row>
    <row r="4299" spans="1:39" x14ac:dyDescent="0.25">
      <c r="A4299" s="37" t="s">
        <v>62</v>
      </c>
      <c r="B4299" s="66"/>
      <c r="C4299" s="4"/>
      <c r="D4299" s="41"/>
      <c r="E4299" s="41"/>
      <c r="F4299" s="85"/>
      <c r="G4299" s="39"/>
      <c r="H4299" s="52"/>
      <c r="I4299" s="52"/>
      <c r="J4299" s="49"/>
      <c r="K4299" s="58"/>
      <c r="L4299" s="58"/>
      <c r="M4299" s="58"/>
      <c r="N4299" s="58"/>
      <c r="O4299" s="58"/>
      <c r="P4299" s="53"/>
      <c r="Q4299" s="65"/>
      <c r="R4299" s="65"/>
      <c r="S4299" s="65"/>
      <c r="T4299" s="65"/>
      <c r="U4299" s="58"/>
      <c r="V4299" s="65"/>
      <c r="W4299" s="65"/>
      <c r="X4299" s="65"/>
      <c r="Y4299" s="65"/>
      <c r="Z4299" s="51"/>
      <c r="AA4299" s="51"/>
      <c r="AB4299" s="102"/>
      <c r="AC4299" s="81" t="e">
        <f t="shared" si="205"/>
        <v>#DIV/0!</v>
      </c>
      <c r="AD4299" s="82">
        <f t="shared" si="206"/>
        <v>0</v>
      </c>
      <c r="AE4299" s="218"/>
      <c r="AH4299" t="str">
        <f t="shared" si="204"/>
        <v>0000</v>
      </c>
      <c r="AJ4299" s="72"/>
      <c r="AK4299" s="72"/>
      <c r="AL4299" s="72"/>
      <c r="AM4299" s="72"/>
    </row>
    <row r="4300" spans="1:39" x14ac:dyDescent="0.25">
      <c r="A4300" s="37" t="s">
        <v>62</v>
      </c>
      <c r="B4300" s="66"/>
      <c r="C4300" s="4"/>
      <c r="D4300" s="41"/>
      <c r="E4300" s="41"/>
      <c r="F4300" s="85"/>
      <c r="G4300" s="39"/>
      <c r="H4300" s="52"/>
      <c r="I4300" s="52"/>
      <c r="J4300" s="49"/>
      <c r="K4300" s="58"/>
      <c r="L4300" s="58"/>
      <c r="M4300" s="58"/>
      <c r="N4300" s="58"/>
      <c r="O4300" s="58"/>
      <c r="P4300" s="53"/>
      <c r="Q4300" s="65"/>
      <c r="R4300" s="65"/>
      <c r="S4300" s="65"/>
      <c r="T4300" s="65"/>
      <c r="U4300" s="58"/>
      <c r="V4300" s="65"/>
      <c r="W4300" s="65"/>
      <c r="X4300" s="65"/>
      <c r="Y4300" s="65"/>
      <c r="Z4300" s="51"/>
      <c r="AA4300" s="51"/>
      <c r="AB4300" s="102"/>
      <c r="AC4300" s="81" t="e">
        <f t="shared" si="205"/>
        <v>#DIV/0!</v>
      </c>
      <c r="AD4300" s="82">
        <f t="shared" si="206"/>
        <v>0</v>
      </c>
      <c r="AE4300" s="218"/>
      <c r="AH4300" t="str">
        <f t="shared" si="204"/>
        <v>0000</v>
      </c>
      <c r="AJ4300" s="72"/>
      <c r="AK4300" s="72"/>
      <c r="AL4300" s="72"/>
      <c r="AM4300" s="72"/>
    </row>
    <row r="4301" spans="1:39" x14ac:dyDescent="0.25">
      <c r="A4301" s="37" t="s">
        <v>62</v>
      </c>
      <c r="B4301" s="66"/>
      <c r="C4301" s="4"/>
      <c r="D4301" s="41"/>
      <c r="E4301" s="41"/>
      <c r="F4301" s="85"/>
      <c r="G4301" s="39"/>
      <c r="H4301" s="52"/>
      <c r="I4301" s="52"/>
      <c r="J4301" s="49"/>
      <c r="K4301" s="58"/>
      <c r="L4301" s="58"/>
      <c r="M4301" s="58"/>
      <c r="N4301" s="58"/>
      <c r="O4301" s="58"/>
      <c r="P4301" s="53"/>
      <c r="Q4301" s="65"/>
      <c r="R4301" s="65"/>
      <c r="S4301" s="65"/>
      <c r="T4301" s="65"/>
      <c r="U4301" s="58"/>
      <c r="V4301" s="65"/>
      <c r="W4301" s="65"/>
      <c r="X4301" s="65"/>
      <c r="Y4301" s="65"/>
      <c r="Z4301" s="51"/>
      <c r="AA4301" s="51"/>
      <c r="AB4301" s="102"/>
      <c r="AC4301" s="81" t="e">
        <f t="shared" si="205"/>
        <v>#DIV/0!</v>
      </c>
      <c r="AD4301" s="82">
        <f t="shared" si="206"/>
        <v>0</v>
      </c>
      <c r="AE4301" s="218"/>
      <c r="AH4301" t="str">
        <f t="shared" si="204"/>
        <v>0000</v>
      </c>
      <c r="AJ4301" s="72"/>
      <c r="AK4301" s="72"/>
      <c r="AL4301" s="72"/>
      <c r="AM4301" s="72"/>
    </row>
    <row r="4302" spans="1:39" x14ac:dyDescent="0.25">
      <c r="A4302" s="37" t="s">
        <v>62</v>
      </c>
      <c r="B4302" s="66"/>
      <c r="C4302" s="4"/>
      <c r="D4302" s="41"/>
      <c r="E4302" s="41"/>
      <c r="F4302" s="85"/>
      <c r="G4302" s="39"/>
      <c r="H4302" s="52"/>
      <c r="I4302" s="52"/>
      <c r="J4302" s="49"/>
      <c r="K4302" s="58"/>
      <c r="L4302" s="58"/>
      <c r="M4302" s="58"/>
      <c r="N4302" s="58"/>
      <c r="O4302" s="58"/>
      <c r="P4302" s="53"/>
      <c r="Q4302" s="65"/>
      <c r="R4302" s="65"/>
      <c r="S4302" s="65"/>
      <c r="T4302" s="65"/>
      <c r="U4302" s="58"/>
      <c r="V4302" s="65"/>
      <c r="W4302" s="65"/>
      <c r="X4302" s="65"/>
      <c r="Y4302" s="65"/>
      <c r="Z4302" s="51"/>
      <c r="AA4302" s="51"/>
      <c r="AB4302" s="102"/>
      <c r="AC4302" s="81" t="e">
        <f t="shared" si="205"/>
        <v>#DIV/0!</v>
      </c>
      <c r="AD4302" s="82">
        <f t="shared" si="206"/>
        <v>0</v>
      </c>
      <c r="AE4302" s="218"/>
      <c r="AH4302" t="str">
        <f t="shared" si="204"/>
        <v>0000</v>
      </c>
      <c r="AJ4302" s="72"/>
      <c r="AK4302" s="72"/>
      <c r="AL4302" s="72"/>
      <c r="AM4302" s="72"/>
    </row>
    <row r="4303" spans="1:39" x14ac:dyDescent="0.25">
      <c r="A4303" s="37" t="s">
        <v>62</v>
      </c>
      <c r="B4303" s="66"/>
      <c r="C4303" s="4"/>
      <c r="D4303" s="41"/>
      <c r="E4303" s="41"/>
      <c r="F4303" s="85"/>
      <c r="G4303" s="39"/>
      <c r="H4303" s="52"/>
      <c r="I4303" s="52"/>
      <c r="J4303" s="49"/>
      <c r="K4303" s="58"/>
      <c r="L4303" s="58"/>
      <c r="M4303" s="58"/>
      <c r="N4303" s="58"/>
      <c r="O4303" s="58"/>
      <c r="P4303" s="53"/>
      <c r="Q4303" s="65"/>
      <c r="R4303" s="65"/>
      <c r="S4303" s="65"/>
      <c r="T4303" s="65"/>
      <c r="U4303" s="58"/>
      <c r="V4303" s="65"/>
      <c r="W4303" s="65"/>
      <c r="X4303" s="65"/>
      <c r="Y4303" s="65"/>
      <c r="Z4303" s="51"/>
      <c r="AA4303" s="51"/>
      <c r="AB4303" s="102"/>
      <c r="AC4303" s="81" t="e">
        <f t="shared" si="205"/>
        <v>#DIV/0!</v>
      </c>
      <c r="AD4303" s="82">
        <f t="shared" si="206"/>
        <v>0</v>
      </c>
      <c r="AE4303" s="218"/>
      <c r="AH4303" t="str">
        <f t="shared" si="204"/>
        <v>0000</v>
      </c>
      <c r="AJ4303" s="72"/>
      <c r="AK4303" s="72"/>
      <c r="AL4303" s="72"/>
      <c r="AM4303" s="72"/>
    </row>
    <row r="4304" spans="1:39" x14ac:dyDescent="0.25">
      <c r="A4304" s="37" t="s">
        <v>62</v>
      </c>
      <c r="B4304" s="66"/>
      <c r="C4304" s="4"/>
      <c r="D4304" s="41"/>
      <c r="E4304" s="41"/>
      <c r="F4304" s="85"/>
      <c r="G4304" s="39"/>
      <c r="H4304" s="52"/>
      <c r="I4304" s="52"/>
      <c r="J4304" s="49"/>
      <c r="K4304" s="58"/>
      <c r="L4304" s="58"/>
      <c r="M4304" s="58"/>
      <c r="N4304" s="58"/>
      <c r="O4304" s="58"/>
      <c r="P4304" s="53"/>
      <c r="Q4304" s="65"/>
      <c r="R4304" s="65"/>
      <c r="S4304" s="65"/>
      <c r="T4304" s="65"/>
      <c r="U4304" s="58"/>
      <c r="V4304" s="65"/>
      <c r="W4304" s="65"/>
      <c r="X4304" s="65"/>
      <c r="Y4304" s="65"/>
      <c r="Z4304" s="51"/>
      <c r="AA4304" s="51"/>
      <c r="AB4304" s="102"/>
      <c r="AC4304" s="81" t="e">
        <f t="shared" si="205"/>
        <v>#DIV/0!</v>
      </c>
      <c r="AD4304" s="82">
        <f t="shared" si="206"/>
        <v>0</v>
      </c>
      <c r="AE4304" s="218"/>
      <c r="AH4304" t="str">
        <f t="shared" si="204"/>
        <v>0000</v>
      </c>
      <c r="AJ4304" s="72"/>
      <c r="AK4304" s="72"/>
      <c r="AL4304" s="72"/>
      <c r="AM4304" s="72"/>
    </row>
    <row r="4305" spans="1:39" x14ac:dyDescent="0.25">
      <c r="A4305" s="37" t="s">
        <v>62</v>
      </c>
      <c r="B4305" s="66"/>
      <c r="C4305" s="4"/>
      <c r="D4305" s="41"/>
      <c r="E4305" s="41"/>
      <c r="F4305" s="85"/>
      <c r="G4305" s="39"/>
      <c r="H4305" s="52"/>
      <c r="I4305" s="52"/>
      <c r="J4305" s="49"/>
      <c r="K4305" s="58"/>
      <c r="L4305" s="58"/>
      <c r="M4305" s="58"/>
      <c r="N4305" s="58"/>
      <c r="O4305" s="58"/>
      <c r="P4305" s="53"/>
      <c r="Q4305" s="65"/>
      <c r="R4305" s="65"/>
      <c r="S4305" s="65"/>
      <c r="T4305" s="65"/>
      <c r="U4305" s="58"/>
      <c r="V4305" s="65"/>
      <c r="W4305" s="65"/>
      <c r="X4305" s="65"/>
      <c r="Y4305" s="65"/>
      <c r="Z4305" s="51"/>
      <c r="AA4305" s="51"/>
      <c r="AB4305" s="102"/>
      <c r="AC4305" s="81" t="e">
        <f t="shared" si="205"/>
        <v>#DIV/0!</v>
      </c>
      <c r="AD4305" s="82">
        <f t="shared" si="206"/>
        <v>0</v>
      </c>
      <c r="AE4305" s="218"/>
      <c r="AH4305" t="str">
        <f t="shared" si="204"/>
        <v>0000</v>
      </c>
      <c r="AJ4305" s="72"/>
      <c r="AK4305" s="72"/>
      <c r="AL4305" s="72"/>
      <c r="AM4305" s="72"/>
    </row>
    <row r="4306" spans="1:39" x14ac:dyDescent="0.25">
      <c r="A4306" s="37" t="s">
        <v>62</v>
      </c>
      <c r="B4306" s="66"/>
      <c r="C4306" s="4"/>
      <c r="D4306" s="41"/>
      <c r="E4306" s="41"/>
      <c r="F4306" s="85"/>
      <c r="G4306" s="39"/>
      <c r="H4306" s="52"/>
      <c r="I4306" s="52"/>
      <c r="J4306" s="49"/>
      <c r="K4306" s="58"/>
      <c r="L4306" s="58"/>
      <c r="M4306" s="58"/>
      <c r="N4306" s="58"/>
      <c r="O4306" s="58"/>
      <c r="P4306" s="53"/>
      <c r="Q4306" s="65"/>
      <c r="R4306" s="65"/>
      <c r="S4306" s="65"/>
      <c r="T4306" s="65"/>
      <c r="U4306" s="58"/>
      <c r="V4306" s="65"/>
      <c r="W4306" s="65"/>
      <c r="X4306" s="65"/>
      <c r="Y4306" s="65"/>
      <c r="Z4306" s="51"/>
      <c r="AA4306" s="51"/>
      <c r="AB4306" s="102"/>
      <c r="AC4306" s="81" t="e">
        <f t="shared" si="205"/>
        <v>#DIV/0!</v>
      </c>
      <c r="AD4306" s="82">
        <f t="shared" si="206"/>
        <v>0</v>
      </c>
      <c r="AE4306" s="218"/>
      <c r="AH4306" t="str">
        <f t="shared" si="204"/>
        <v>0000</v>
      </c>
      <c r="AJ4306" s="72"/>
      <c r="AK4306" s="72"/>
      <c r="AL4306" s="72"/>
      <c r="AM4306" s="72"/>
    </row>
    <row r="4307" spans="1:39" x14ac:dyDescent="0.25">
      <c r="A4307" s="37" t="s">
        <v>62</v>
      </c>
      <c r="B4307" s="66"/>
      <c r="C4307" s="4"/>
      <c r="D4307" s="41"/>
      <c r="E4307" s="41"/>
      <c r="F4307" s="85"/>
      <c r="G4307" s="39"/>
      <c r="H4307" s="52"/>
      <c r="I4307" s="52"/>
      <c r="J4307" s="49"/>
      <c r="K4307" s="58"/>
      <c r="L4307" s="58"/>
      <c r="M4307" s="58"/>
      <c r="N4307" s="58"/>
      <c r="O4307" s="58"/>
      <c r="P4307" s="53"/>
      <c r="Q4307" s="65"/>
      <c r="R4307" s="65"/>
      <c r="S4307" s="65"/>
      <c r="T4307" s="65"/>
      <c r="U4307" s="58"/>
      <c r="V4307" s="65"/>
      <c r="W4307" s="65"/>
      <c r="X4307" s="65"/>
      <c r="Y4307" s="65"/>
      <c r="Z4307" s="51"/>
      <c r="AA4307" s="51"/>
      <c r="AB4307" s="102"/>
      <c r="AC4307" s="81" t="e">
        <f t="shared" si="205"/>
        <v>#DIV/0!</v>
      </c>
      <c r="AD4307" s="82">
        <f t="shared" si="206"/>
        <v>0</v>
      </c>
      <c r="AE4307" s="218"/>
      <c r="AH4307" t="str">
        <f t="shared" si="204"/>
        <v>0000</v>
      </c>
      <c r="AJ4307" s="72"/>
      <c r="AK4307" s="72"/>
      <c r="AL4307" s="72"/>
      <c r="AM4307" s="72"/>
    </row>
    <row r="4308" spans="1:39" x14ac:dyDescent="0.25">
      <c r="A4308" s="37" t="s">
        <v>62</v>
      </c>
      <c r="B4308" s="66"/>
      <c r="C4308" s="4"/>
      <c r="D4308" s="41"/>
      <c r="E4308" s="41"/>
      <c r="F4308" s="85"/>
      <c r="G4308" s="39"/>
      <c r="H4308" s="52"/>
      <c r="I4308" s="52"/>
      <c r="J4308" s="49"/>
      <c r="K4308" s="58"/>
      <c r="L4308" s="58"/>
      <c r="M4308" s="58"/>
      <c r="N4308" s="58"/>
      <c r="O4308" s="58"/>
      <c r="P4308" s="53"/>
      <c r="Q4308" s="65"/>
      <c r="R4308" s="65"/>
      <c r="S4308" s="65"/>
      <c r="T4308" s="65"/>
      <c r="U4308" s="58"/>
      <c r="V4308" s="65"/>
      <c r="W4308" s="65"/>
      <c r="X4308" s="65"/>
      <c r="Y4308" s="65"/>
      <c r="Z4308" s="51"/>
      <c r="AA4308" s="51"/>
      <c r="AB4308" s="102"/>
      <c r="AC4308" s="81" t="e">
        <f t="shared" si="205"/>
        <v>#DIV/0!</v>
      </c>
      <c r="AD4308" s="82">
        <f t="shared" si="206"/>
        <v>0</v>
      </c>
      <c r="AE4308" s="218"/>
      <c r="AH4308" t="str">
        <f t="shared" si="204"/>
        <v>0000</v>
      </c>
      <c r="AJ4308" s="72"/>
      <c r="AK4308" s="72"/>
      <c r="AL4308" s="72"/>
      <c r="AM4308" s="72"/>
    </row>
    <row r="4309" spans="1:39" x14ac:dyDescent="0.25">
      <c r="A4309" s="37" t="s">
        <v>62</v>
      </c>
      <c r="B4309" s="66"/>
      <c r="C4309" s="4"/>
      <c r="D4309" s="41"/>
      <c r="E4309" s="41"/>
      <c r="F4309" s="85"/>
      <c r="G4309" s="39"/>
      <c r="H4309" s="52"/>
      <c r="I4309" s="52"/>
      <c r="J4309" s="49"/>
      <c r="K4309" s="58"/>
      <c r="L4309" s="58"/>
      <c r="M4309" s="58"/>
      <c r="N4309" s="58"/>
      <c r="O4309" s="58"/>
      <c r="P4309" s="53"/>
      <c r="Q4309" s="65"/>
      <c r="R4309" s="65"/>
      <c r="S4309" s="65"/>
      <c r="T4309" s="65"/>
      <c r="U4309" s="58"/>
      <c r="V4309" s="65"/>
      <c r="W4309" s="65"/>
      <c r="X4309" s="65"/>
      <c r="Y4309" s="65"/>
      <c r="Z4309" s="51"/>
      <c r="AA4309" s="51"/>
      <c r="AB4309" s="102"/>
      <c r="AC4309" s="81" t="e">
        <f t="shared" si="205"/>
        <v>#DIV/0!</v>
      </c>
      <c r="AD4309" s="82">
        <f t="shared" si="206"/>
        <v>0</v>
      </c>
      <c r="AE4309" s="218"/>
      <c r="AH4309" t="str">
        <f t="shared" si="204"/>
        <v>0000</v>
      </c>
      <c r="AJ4309" s="72"/>
      <c r="AK4309" s="72"/>
      <c r="AL4309" s="72"/>
      <c r="AM4309" s="72"/>
    </row>
    <row r="4310" spans="1:39" x14ac:dyDescent="0.25">
      <c r="A4310" s="37" t="s">
        <v>62</v>
      </c>
      <c r="B4310" s="66"/>
      <c r="C4310" s="4"/>
      <c r="D4310" s="41"/>
      <c r="E4310" s="41"/>
      <c r="F4310" s="85"/>
      <c r="G4310" s="39"/>
      <c r="H4310" s="52"/>
      <c r="I4310" s="52"/>
      <c r="J4310" s="49"/>
      <c r="K4310" s="58"/>
      <c r="L4310" s="58"/>
      <c r="M4310" s="58"/>
      <c r="N4310" s="58"/>
      <c r="O4310" s="58"/>
      <c r="P4310" s="53"/>
      <c r="Q4310" s="65"/>
      <c r="R4310" s="65"/>
      <c r="S4310" s="65"/>
      <c r="T4310" s="65"/>
      <c r="U4310" s="58"/>
      <c r="V4310" s="65"/>
      <c r="W4310" s="65"/>
      <c r="X4310" s="65"/>
      <c r="Y4310" s="65"/>
      <c r="Z4310" s="51"/>
      <c r="AA4310" s="51"/>
      <c r="AB4310" s="102"/>
      <c r="AC4310" s="81" t="e">
        <f t="shared" si="205"/>
        <v>#DIV/0!</v>
      </c>
      <c r="AD4310" s="82">
        <f t="shared" si="206"/>
        <v>0</v>
      </c>
      <c r="AE4310" s="218"/>
      <c r="AH4310" t="str">
        <f t="shared" si="204"/>
        <v>0000</v>
      </c>
      <c r="AJ4310" s="72"/>
      <c r="AK4310" s="72"/>
      <c r="AL4310" s="72"/>
      <c r="AM4310" s="72"/>
    </row>
    <row r="4311" spans="1:39" x14ac:dyDescent="0.25">
      <c r="A4311" s="37" t="s">
        <v>62</v>
      </c>
      <c r="B4311" s="66"/>
      <c r="C4311" s="4"/>
      <c r="D4311" s="41"/>
      <c r="E4311" s="41"/>
      <c r="F4311" s="85"/>
      <c r="G4311" s="39"/>
      <c r="H4311" s="52"/>
      <c r="I4311" s="52"/>
      <c r="J4311" s="49"/>
      <c r="K4311" s="58"/>
      <c r="L4311" s="58"/>
      <c r="M4311" s="58"/>
      <c r="N4311" s="58"/>
      <c r="O4311" s="58"/>
      <c r="P4311" s="53"/>
      <c r="Q4311" s="65"/>
      <c r="R4311" s="65"/>
      <c r="S4311" s="65"/>
      <c r="T4311" s="65"/>
      <c r="U4311" s="58"/>
      <c r="V4311" s="65"/>
      <c r="W4311" s="65"/>
      <c r="X4311" s="65"/>
      <c r="Y4311" s="65"/>
      <c r="Z4311" s="51"/>
      <c r="AA4311" s="51"/>
      <c r="AB4311" s="102"/>
      <c r="AC4311" s="81" t="e">
        <f t="shared" si="205"/>
        <v>#DIV/0!</v>
      </c>
      <c r="AD4311" s="82">
        <f t="shared" si="206"/>
        <v>0</v>
      </c>
      <c r="AE4311" s="218"/>
      <c r="AH4311" t="str">
        <f t="shared" si="204"/>
        <v>0000</v>
      </c>
      <c r="AJ4311" s="72"/>
      <c r="AK4311" s="72"/>
      <c r="AL4311" s="72"/>
      <c r="AM4311" s="72"/>
    </row>
    <row r="4312" spans="1:39" x14ac:dyDescent="0.25">
      <c r="A4312" s="37" t="s">
        <v>62</v>
      </c>
      <c r="B4312" s="66"/>
      <c r="C4312" s="4"/>
      <c r="D4312" s="41"/>
      <c r="E4312" s="41"/>
      <c r="F4312" s="85"/>
      <c r="G4312" s="39"/>
      <c r="H4312" s="52"/>
      <c r="I4312" s="52"/>
      <c r="J4312" s="49"/>
      <c r="K4312" s="58"/>
      <c r="L4312" s="58"/>
      <c r="M4312" s="58"/>
      <c r="N4312" s="58"/>
      <c r="O4312" s="58"/>
      <c r="P4312" s="53"/>
      <c r="Q4312" s="65"/>
      <c r="R4312" s="65"/>
      <c r="S4312" s="65"/>
      <c r="T4312" s="65"/>
      <c r="U4312" s="58"/>
      <c r="V4312" s="65"/>
      <c r="W4312" s="65"/>
      <c r="X4312" s="65"/>
      <c r="Y4312" s="65"/>
      <c r="Z4312" s="51"/>
      <c r="AA4312" s="51"/>
      <c r="AB4312" s="102"/>
      <c r="AC4312" s="81" t="e">
        <f t="shared" si="205"/>
        <v>#DIV/0!</v>
      </c>
      <c r="AD4312" s="82">
        <f t="shared" si="206"/>
        <v>0</v>
      </c>
      <c r="AE4312" s="218"/>
      <c r="AH4312" t="str">
        <f t="shared" si="204"/>
        <v>0000</v>
      </c>
      <c r="AJ4312" s="72"/>
      <c r="AK4312" s="72"/>
      <c r="AL4312" s="72"/>
      <c r="AM4312" s="72"/>
    </row>
    <row r="4313" spans="1:39" x14ac:dyDescent="0.25">
      <c r="A4313" s="37" t="s">
        <v>62</v>
      </c>
      <c r="B4313" s="66"/>
      <c r="C4313" s="4"/>
      <c r="D4313" s="41"/>
      <c r="E4313" s="41"/>
      <c r="F4313" s="85"/>
      <c r="G4313" s="39"/>
      <c r="H4313" s="52"/>
      <c r="I4313" s="52"/>
      <c r="J4313" s="49"/>
      <c r="K4313" s="58"/>
      <c r="L4313" s="58"/>
      <c r="M4313" s="58"/>
      <c r="N4313" s="58"/>
      <c r="O4313" s="58"/>
      <c r="P4313" s="53"/>
      <c r="Q4313" s="65"/>
      <c r="R4313" s="65"/>
      <c r="S4313" s="65"/>
      <c r="T4313" s="65"/>
      <c r="U4313" s="58"/>
      <c r="V4313" s="65"/>
      <c r="W4313" s="65"/>
      <c r="X4313" s="65"/>
      <c r="Y4313" s="65"/>
      <c r="Z4313" s="51"/>
      <c r="AA4313" s="51"/>
      <c r="AB4313" s="102"/>
      <c r="AC4313" s="81" t="e">
        <f t="shared" si="205"/>
        <v>#DIV/0!</v>
      </c>
      <c r="AD4313" s="82">
        <f t="shared" si="206"/>
        <v>0</v>
      </c>
      <c r="AE4313" s="218"/>
      <c r="AH4313" t="str">
        <f t="shared" si="204"/>
        <v>0000</v>
      </c>
      <c r="AJ4313" s="72"/>
      <c r="AK4313" s="72"/>
      <c r="AL4313" s="72"/>
      <c r="AM4313" s="72"/>
    </row>
    <row r="4314" spans="1:39" x14ac:dyDescent="0.25">
      <c r="A4314" s="37" t="s">
        <v>62</v>
      </c>
      <c r="B4314" s="66"/>
      <c r="C4314" s="4"/>
      <c r="D4314" s="41"/>
      <c r="E4314" s="41"/>
      <c r="F4314" s="85"/>
      <c r="G4314" s="39"/>
      <c r="H4314" s="52"/>
      <c r="I4314" s="52"/>
      <c r="J4314" s="49"/>
      <c r="K4314" s="58"/>
      <c r="L4314" s="58"/>
      <c r="M4314" s="58"/>
      <c r="N4314" s="58"/>
      <c r="O4314" s="58"/>
      <c r="P4314" s="53"/>
      <c r="Q4314" s="65"/>
      <c r="R4314" s="65"/>
      <c r="S4314" s="65"/>
      <c r="T4314" s="65"/>
      <c r="U4314" s="58"/>
      <c r="V4314" s="65"/>
      <c r="W4314" s="65"/>
      <c r="X4314" s="65"/>
      <c r="Y4314" s="65"/>
      <c r="Z4314" s="51"/>
      <c r="AA4314" s="51"/>
      <c r="AB4314" s="102"/>
      <c r="AC4314" s="81" t="e">
        <f t="shared" si="205"/>
        <v>#DIV/0!</v>
      </c>
      <c r="AD4314" s="82">
        <f t="shared" si="206"/>
        <v>0</v>
      </c>
      <c r="AE4314" s="218"/>
      <c r="AH4314" t="str">
        <f t="shared" si="204"/>
        <v>0000</v>
      </c>
      <c r="AJ4314" s="72"/>
      <c r="AK4314" s="72"/>
      <c r="AL4314" s="72"/>
      <c r="AM4314" s="72"/>
    </row>
    <row r="4315" spans="1:39" x14ac:dyDescent="0.25">
      <c r="A4315" s="37" t="s">
        <v>62</v>
      </c>
      <c r="B4315" s="66"/>
      <c r="C4315" s="4"/>
      <c r="D4315" s="41"/>
      <c r="E4315" s="41"/>
      <c r="F4315" s="85"/>
      <c r="G4315" s="39"/>
      <c r="H4315" s="52"/>
      <c r="I4315" s="52"/>
      <c r="J4315" s="49"/>
      <c r="K4315" s="58"/>
      <c r="L4315" s="58"/>
      <c r="M4315" s="58"/>
      <c r="N4315" s="58"/>
      <c r="O4315" s="58"/>
      <c r="P4315" s="53"/>
      <c r="Q4315" s="65"/>
      <c r="R4315" s="65"/>
      <c r="S4315" s="65"/>
      <c r="T4315" s="65"/>
      <c r="U4315" s="58"/>
      <c r="V4315" s="65"/>
      <c r="W4315" s="65"/>
      <c r="X4315" s="65"/>
      <c r="Y4315" s="65"/>
      <c r="Z4315" s="51"/>
      <c r="AA4315" s="51"/>
      <c r="AB4315" s="102"/>
      <c r="AC4315" s="81" t="e">
        <f t="shared" si="205"/>
        <v>#DIV/0!</v>
      </c>
      <c r="AD4315" s="82">
        <f t="shared" si="206"/>
        <v>0</v>
      </c>
      <c r="AE4315" s="218"/>
      <c r="AH4315" t="str">
        <f t="shared" si="204"/>
        <v>0000</v>
      </c>
      <c r="AJ4315" s="72"/>
      <c r="AK4315" s="72"/>
      <c r="AL4315" s="72"/>
      <c r="AM4315" s="72"/>
    </row>
    <row r="4316" spans="1:39" x14ac:dyDescent="0.25">
      <c r="A4316" s="37" t="s">
        <v>62</v>
      </c>
      <c r="B4316" s="66"/>
      <c r="C4316" s="4"/>
      <c r="D4316" s="41"/>
      <c r="E4316" s="41"/>
      <c r="F4316" s="85"/>
      <c r="G4316" s="39"/>
      <c r="H4316" s="52"/>
      <c r="I4316" s="52"/>
      <c r="J4316" s="49"/>
      <c r="K4316" s="58"/>
      <c r="L4316" s="58"/>
      <c r="M4316" s="58"/>
      <c r="N4316" s="58"/>
      <c r="O4316" s="58"/>
      <c r="P4316" s="53"/>
      <c r="Q4316" s="65"/>
      <c r="R4316" s="65"/>
      <c r="S4316" s="65"/>
      <c r="T4316" s="65"/>
      <c r="U4316" s="58"/>
      <c r="V4316" s="65"/>
      <c r="W4316" s="65"/>
      <c r="X4316" s="65"/>
      <c r="Y4316" s="65"/>
      <c r="Z4316" s="51"/>
      <c r="AA4316" s="51"/>
      <c r="AB4316" s="102"/>
      <c r="AC4316" s="81" t="e">
        <f t="shared" si="205"/>
        <v>#DIV/0!</v>
      </c>
      <c r="AD4316" s="82">
        <f t="shared" si="206"/>
        <v>0</v>
      </c>
      <c r="AE4316" s="218"/>
      <c r="AH4316" t="str">
        <f t="shared" si="204"/>
        <v>0000</v>
      </c>
      <c r="AJ4316" s="72"/>
      <c r="AK4316" s="72"/>
      <c r="AL4316" s="72"/>
      <c r="AM4316" s="72"/>
    </row>
    <row r="4317" spans="1:39" x14ac:dyDescent="0.25">
      <c r="A4317" s="37" t="s">
        <v>62</v>
      </c>
      <c r="B4317" s="66"/>
      <c r="C4317" s="4"/>
      <c r="D4317" s="41"/>
      <c r="E4317" s="41"/>
      <c r="F4317" s="85"/>
      <c r="G4317" s="39"/>
      <c r="H4317" s="52"/>
      <c r="I4317" s="52"/>
      <c r="J4317" s="49"/>
      <c r="K4317" s="58"/>
      <c r="L4317" s="58"/>
      <c r="M4317" s="58"/>
      <c r="N4317" s="58"/>
      <c r="O4317" s="58"/>
      <c r="P4317" s="53"/>
      <c r="Q4317" s="65"/>
      <c r="R4317" s="65"/>
      <c r="S4317" s="65"/>
      <c r="T4317" s="65"/>
      <c r="U4317" s="58"/>
      <c r="V4317" s="65"/>
      <c r="W4317" s="65"/>
      <c r="X4317" s="65"/>
      <c r="Y4317" s="65"/>
      <c r="Z4317" s="51"/>
      <c r="AA4317" s="51"/>
      <c r="AB4317" s="102"/>
      <c r="AC4317" s="81" t="e">
        <f t="shared" si="205"/>
        <v>#DIV/0!</v>
      </c>
      <c r="AD4317" s="82">
        <f t="shared" si="206"/>
        <v>0</v>
      </c>
      <c r="AE4317" s="218"/>
      <c r="AH4317" t="str">
        <f t="shared" si="204"/>
        <v>0000</v>
      </c>
      <c r="AJ4317" s="72"/>
      <c r="AK4317" s="72"/>
      <c r="AL4317" s="72"/>
      <c r="AM4317" s="72"/>
    </row>
    <row r="4318" spans="1:39" x14ac:dyDescent="0.25">
      <c r="A4318" s="37" t="s">
        <v>62</v>
      </c>
      <c r="B4318" s="66"/>
      <c r="C4318" s="4"/>
      <c r="D4318" s="41"/>
      <c r="E4318" s="41"/>
      <c r="F4318" s="85"/>
      <c r="G4318" s="39"/>
      <c r="H4318" s="52"/>
      <c r="I4318" s="52"/>
      <c r="J4318" s="49"/>
      <c r="K4318" s="58"/>
      <c r="L4318" s="58"/>
      <c r="M4318" s="58"/>
      <c r="N4318" s="58"/>
      <c r="O4318" s="58"/>
      <c r="P4318" s="53"/>
      <c r="Q4318" s="65"/>
      <c r="R4318" s="65"/>
      <c r="S4318" s="65"/>
      <c r="T4318" s="65"/>
      <c r="U4318" s="58"/>
      <c r="V4318" s="65"/>
      <c r="W4318" s="65"/>
      <c r="X4318" s="65"/>
      <c r="Y4318" s="65"/>
      <c r="Z4318" s="51"/>
      <c r="AA4318" s="51"/>
      <c r="AB4318" s="102"/>
      <c r="AC4318" s="81" t="e">
        <f t="shared" si="205"/>
        <v>#DIV/0!</v>
      </c>
      <c r="AD4318" s="82">
        <f t="shared" si="206"/>
        <v>0</v>
      </c>
      <c r="AE4318" s="218"/>
      <c r="AH4318" t="str">
        <f t="shared" si="204"/>
        <v>0000</v>
      </c>
      <c r="AJ4318" s="72"/>
      <c r="AK4318" s="72"/>
      <c r="AL4318" s="72"/>
      <c r="AM4318" s="72"/>
    </row>
    <row r="4319" spans="1:39" x14ac:dyDescent="0.25">
      <c r="A4319" s="37" t="s">
        <v>62</v>
      </c>
      <c r="B4319" s="66"/>
      <c r="C4319" s="4"/>
      <c r="D4319" s="41"/>
      <c r="E4319" s="41"/>
      <c r="F4319" s="85"/>
      <c r="G4319" s="39"/>
      <c r="H4319" s="52"/>
      <c r="I4319" s="52"/>
      <c r="J4319" s="49"/>
      <c r="K4319" s="58"/>
      <c r="L4319" s="58"/>
      <c r="M4319" s="58"/>
      <c r="N4319" s="58"/>
      <c r="O4319" s="58"/>
      <c r="P4319" s="53"/>
      <c r="Q4319" s="65"/>
      <c r="R4319" s="65"/>
      <c r="S4319" s="65"/>
      <c r="T4319" s="65"/>
      <c r="U4319" s="58"/>
      <c r="V4319" s="65"/>
      <c r="W4319" s="65"/>
      <c r="X4319" s="65"/>
      <c r="Y4319" s="65"/>
      <c r="Z4319" s="51"/>
      <c r="AA4319" s="51"/>
      <c r="AB4319" s="102"/>
      <c r="AC4319" s="81" t="e">
        <f t="shared" si="205"/>
        <v>#DIV/0!</v>
      </c>
      <c r="AD4319" s="82">
        <f t="shared" si="206"/>
        <v>0</v>
      </c>
      <c r="AE4319" s="218"/>
      <c r="AH4319" t="str">
        <f t="shared" si="204"/>
        <v>0000</v>
      </c>
      <c r="AJ4319" s="72"/>
      <c r="AK4319" s="72"/>
      <c r="AL4319" s="72"/>
      <c r="AM4319" s="72"/>
    </row>
    <row r="4320" spans="1:39" x14ac:dyDescent="0.25">
      <c r="A4320" s="37" t="s">
        <v>62</v>
      </c>
      <c r="B4320" s="66"/>
      <c r="C4320" s="4"/>
      <c r="D4320" s="41"/>
      <c r="E4320" s="41"/>
      <c r="F4320" s="85"/>
      <c r="G4320" s="39"/>
      <c r="H4320" s="52"/>
      <c r="I4320" s="52"/>
      <c r="J4320" s="49"/>
      <c r="K4320" s="58"/>
      <c r="L4320" s="58"/>
      <c r="M4320" s="58"/>
      <c r="N4320" s="58"/>
      <c r="O4320" s="58"/>
      <c r="P4320" s="53"/>
      <c r="Q4320" s="65"/>
      <c r="R4320" s="65"/>
      <c r="S4320" s="65"/>
      <c r="T4320" s="65"/>
      <c r="U4320" s="58"/>
      <c r="V4320" s="65"/>
      <c r="W4320" s="65"/>
      <c r="X4320" s="65"/>
      <c r="Y4320" s="65"/>
      <c r="Z4320" s="51"/>
      <c r="AA4320" s="51"/>
      <c r="AB4320" s="102"/>
      <c r="AC4320" s="81" t="e">
        <f t="shared" si="205"/>
        <v>#DIV/0!</v>
      </c>
      <c r="AD4320" s="82">
        <f t="shared" si="206"/>
        <v>0</v>
      </c>
      <c r="AE4320" s="218"/>
      <c r="AH4320" t="str">
        <f t="shared" si="204"/>
        <v>0000</v>
      </c>
      <c r="AJ4320" s="72"/>
      <c r="AK4320" s="72"/>
      <c r="AL4320" s="72"/>
      <c r="AM4320" s="72"/>
    </row>
    <row r="4321" spans="1:39" x14ac:dyDescent="0.25">
      <c r="A4321" s="37" t="s">
        <v>62</v>
      </c>
      <c r="B4321" s="66"/>
      <c r="C4321" s="4"/>
      <c r="D4321" s="41"/>
      <c r="E4321" s="41"/>
      <c r="F4321" s="85"/>
      <c r="G4321" s="39"/>
      <c r="H4321" s="52"/>
      <c r="I4321" s="52"/>
      <c r="J4321" s="49"/>
      <c r="K4321" s="58"/>
      <c r="L4321" s="58"/>
      <c r="M4321" s="58"/>
      <c r="N4321" s="58"/>
      <c r="O4321" s="58"/>
      <c r="P4321" s="53"/>
      <c r="Q4321" s="65"/>
      <c r="R4321" s="65"/>
      <c r="S4321" s="65"/>
      <c r="T4321" s="65"/>
      <c r="U4321" s="58"/>
      <c r="V4321" s="65"/>
      <c r="W4321" s="65"/>
      <c r="X4321" s="65"/>
      <c r="Y4321" s="65"/>
      <c r="Z4321" s="51"/>
      <c r="AA4321" s="51"/>
      <c r="AB4321" s="102"/>
      <c r="AC4321" s="81" t="e">
        <f t="shared" si="205"/>
        <v>#DIV/0!</v>
      </c>
      <c r="AD4321" s="82">
        <f t="shared" si="206"/>
        <v>0</v>
      </c>
      <c r="AE4321" s="218"/>
      <c r="AH4321" t="str">
        <f t="shared" si="204"/>
        <v>0000</v>
      </c>
      <c r="AJ4321" s="72"/>
      <c r="AK4321" s="72"/>
      <c r="AL4321" s="72"/>
      <c r="AM4321" s="72"/>
    </row>
    <row r="4322" spans="1:39" x14ac:dyDescent="0.25">
      <c r="A4322" s="37" t="s">
        <v>62</v>
      </c>
      <c r="B4322" s="66"/>
      <c r="C4322" s="4"/>
      <c r="D4322" s="41"/>
      <c r="E4322" s="41"/>
      <c r="F4322" s="85"/>
      <c r="G4322" s="39"/>
      <c r="H4322" s="52"/>
      <c r="I4322" s="52"/>
      <c r="J4322" s="49"/>
      <c r="K4322" s="58"/>
      <c r="L4322" s="58"/>
      <c r="M4322" s="58"/>
      <c r="N4322" s="58"/>
      <c r="O4322" s="58"/>
      <c r="P4322" s="53"/>
      <c r="Q4322" s="65"/>
      <c r="R4322" s="65"/>
      <c r="S4322" s="65"/>
      <c r="T4322" s="65"/>
      <c r="U4322" s="58"/>
      <c r="V4322" s="65"/>
      <c r="W4322" s="65"/>
      <c r="X4322" s="65"/>
      <c r="Y4322" s="65"/>
      <c r="Z4322" s="51"/>
      <c r="AA4322" s="51"/>
      <c r="AB4322" s="102"/>
      <c r="AC4322" s="81" t="e">
        <f t="shared" si="205"/>
        <v>#DIV/0!</v>
      </c>
      <c r="AD4322" s="82">
        <f t="shared" si="206"/>
        <v>0</v>
      </c>
      <c r="AE4322" s="218"/>
      <c r="AH4322" t="str">
        <f t="shared" si="204"/>
        <v>0000</v>
      </c>
      <c r="AJ4322" s="72"/>
      <c r="AK4322" s="72"/>
      <c r="AL4322" s="72"/>
      <c r="AM4322" s="72"/>
    </row>
    <row r="4323" spans="1:39" x14ac:dyDescent="0.25">
      <c r="A4323" s="37" t="s">
        <v>62</v>
      </c>
      <c r="B4323" s="66"/>
      <c r="C4323" s="4"/>
      <c r="D4323" s="41"/>
      <c r="E4323" s="41"/>
      <c r="F4323" s="85"/>
      <c r="G4323" s="39"/>
      <c r="H4323" s="52"/>
      <c r="I4323" s="52"/>
      <c r="J4323" s="49"/>
      <c r="K4323" s="58"/>
      <c r="L4323" s="58"/>
      <c r="M4323" s="58"/>
      <c r="N4323" s="58"/>
      <c r="O4323" s="58"/>
      <c r="P4323" s="53"/>
      <c r="Q4323" s="65"/>
      <c r="R4323" s="65"/>
      <c r="S4323" s="65"/>
      <c r="T4323" s="65"/>
      <c r="U4323" s="58"/>
      <c r="V4323" s="65"/>
      <c r="W4323" s="65"/>
      <c r="X4323" s="65"/>
      <c r="Y4323" s="65"/>
      <c r="Z4323" s="51"/>
      <c r="AA4323" s="51"/>
      <c r="AB4323" s="102"/>
      <c r="AC4323" s="81" t="e">
        <f t="shared" si="205"/>
        <v>#DIV/0!</v>
      </c>
      <c r="AD4323" s="82">
        <f t="shared" si="206"/>
        <v>0</v>
      </c>
      <c r="AE4323" s="218"/>
      <c r="AH4323" t="str">
        <f t="shared" si="204"/>
        <v>0000</v>
      </c>
      <c r="AJ4323" s="72"/>
      <c r="AK4323" s="72"/>
      <c r="AL4323" s="72"/>
      <c r="AM4323" s="72"/>
    </row>
    <row r="4324" spans="1:39" x14ac:dyDescent="0.25">
      <c r="A4324" s="37" t="s">
        <v>62</v>
      </c>
      <c r="B4324" s="66"/>
      <c r="C4324" s="4"/>
      <c r="D4324" s="41"/>
      <c r="E4324" s="41"/>
      <c r="F4324" s="85"/>
      <c r="G4324" s="39"/>
      <c r="H4324" s="52"/>
      <c r="I4324" s="52"/>
      <c r="J4324" s="49"/>
      <c r="K4324" s="58"/>
      <c r="L4324" s="58"/>
      <c r="M4324" s="58"/>
      <c r="N4324" s="58"/>
      <c r="O4324" s="58"/>
      <c r="P4324" s="53"/>
      <c r="Q4324" s="65"/>
      <c r="R4324" s="65"/>
      <c r="S4324" s="65"/>
      <c r="T4324" s="65"/>
      <c r="U4324" s="58"/>
      <c r="V4324" s="65"/>
      <c r="W4324" s="65"/>
      <c r="X4324" s="65"/>
      <c r="Y4324" s="65"/>
      <c r="Z4324" s="51"/>
      <c r="AA4324" s="51"/>
      <c r="AB4324" s="102"/>
      <c r="AC4324" s="81" t="e">
        <f t="shared" si="205"/>
        <v>#DIV/0!</v>
      </c>
      <c r="AD4324" s="82">
        <f t="shared" si="206"/>
        <v>0</v>
      </c>
      <c r="AE4324" s="218"/>
      <c r="AH4324" t="str">
        <f t="shared" si="204"/>
        <v>0000</v>
      </c>
      <c r="AJ4324" s="72"/>
      <c r="AK4324" s="72"/>
      <c r="AL4324" s="72"/>
      <c r="AM4324" s="72"/>
    </row>
    <row r="4325" spans="1:39" x14ac:dyDescent="0.25">
      <c r="A4325" s="37" t="s">
        <v>62</v>
      </c>
      <c r="B4325" s="66"/>
      <c r="C4325" s="4"/>
      <c r="D4325" s="41"/>
      <c r="E4325" s="41"/>
      <c r="F4325" s="85"/>
      <c r="G4325" s="39"/>
      <c r="H4325" s="52"/>
      <c r="I4325" s="52"/>
      <c r="J4325" s="49"/>
      <c r="K4325" s="58"/>
      <c r="L4325" s="58"/>
      <c r="M4325" s="58"/>
      <c r="N4325" s="58"/>
      <c r="O4325" s="58"/>
      <c r="P4325" s="53"/>
      <c r="Q4325" s="65"/>
      <c r="R4325" s="65"/>
      <c r="S4325" s="65"/>
      <c r="T4325" s="65"/>
      <c r="U4325" s="58"/>
      <c r="V4325" s="65"/>
      <c r="W4325" s="65"/>
      <c r="X4325" s="65"/>
      <c r="Y4325" s="65"/>
      <c r="Z4325" s="51"/>
      <c r="AA4325" s="51"/>
      <c r="AB4325" s="102"/>
      <c r="AC4325" s="81" t="e">
        <f t="shared" si="205"/>
        <v>#DIV/0!</v>
      </c>
      <c r="AD4325" s="82">
        <f t="shared" si="206"/>
        <v>0</v>
      </c>
      <c r="AE4325" s="218"/>
      <c r="AH4325" t="str">
        <f t="shared" si="204"/>
        <v>0000</v>
      </c>
      <c r="AJ4325" s="72"/>
      <c r="AK4325" s="72"/>
      <c r="AL4325" s="72"/>
      <c r="AM4325" s="72"/>
    </row>
    <row r="4326" spans="1:39" x14ac:dyDescent="0.25">
      <c r="A4326" s="37" t="s">
        <v>62</v>
      </c>
      <c r="B4326" s="66"/>
      <c r="C4326" s="4"/>
      <c r="D4326" s="41"/>
      <c r="E4326" s="41"/>
      <c r="F4326" s="85"/>
      <c r="G4326" s="39"/>
      <c r="H4326" s="52"/>
      <c r="I4326" s="52"/>
      <c r="J4326" s="49"/>
      <c r="K4326" s="58"/>
      <c r="L4326" s="58"/>
      <c r="M4326" s="58"/>
      <c r="N4326" s="58"/>
      <c r="O4326" s="58"/>
      <c r="P4326" s="53"/>
      <c r="Q4326" s="65"/>
      <c r="R4326" s="65"/>
      <c r="S4326" s="65"/>
      <c r="T4326" s="65"/>
      <c r="U4326" s="58"/>
      <c r="V4326" s="65"/>
      <c r="W4326" s="65"/>
      <c r="X4326" s="65"/>
      <c r="Y4326" s="65"/>
      <c r="Z4326" s="51"/>
      <c r="AA4326" s="51"/>
      <c r="AB4326" s="102"/>
      <c r="AC4326" s="81" t="e">
        <f t="shared" si="205"/>
        <v>#DIV/0!</v>
      </c>
      <c r="AD4326" s="82">
        <f t="shared" si="206"/>
        <v>0</v>
      </c>
      <c r="AE4326" s="218"/>
      <c r="AH4326" t="str">
        <f t="shared" si="204"/>
        <v>0000</v>
      </c>
      <c r="AJ4326" s="72"/>
      <c r="AK4326" s="72"/>
      <c r="AL4326" s="72"/>
      <c r="AM4326" s="72"/>
    </row>
    <row r="4327" spans="1:39" x14ac:dyDescent="0.25">
      <c r="A4327" s="37" t="s">
        <v>62</v>
      </c>
      <c r="B4327" s="66"/>
      <c r="C4327" s="4"/>
      <c r="D4327" s="41"/>
      <c r="E4327" s="41"/>
      <c r="F4327" s="85"/>
      <c r="G4327" s="39"/>
      <c r="H4327" s="52"/>
      <c r="I4327" s="52"/>
      <c r="J4327" s="49"/>
      <c r="K4327" s="58"/>
      <c r="L4327" s="58"/>
      <c r="M4327" s="58"/>
      <c r="N4327" s="58"/>
      <c r="O4327" s="58"/>
      <c r="P4327" s="53"/>
      <c r="Q4327" s="65"/>
      <c r="R4327" s="65"/>
      <c r="S4327" s="65"/>
      <c r="T4327" s="65"/>
      <c r="U4327" s="58"/>
      <c r="V4327" s="65"/>
      <c r="W4327" s="65"/>
      <c r="X4327" s="65"/>
      <c r="Y4327" s="65"/>
      <c r="Z4327" s="51"/>
      <c r="AA4327" s="51"/>
      <c r="AB4327" s="102"/>
      <c r="AC4327" s="81" t="e">
        <f t="shared" si="205"/>
        <v>#DIV/0!</v>
      </c>
      <c r="AD4327" s="82">
        <f t="shared" si="206"/>
        <v>0</v>
      </c>
      <c r="AE4327" s="218"/>
      <c r="AH4327" t="str">
        <f t="shared" si="204"/>
        <v>0000</v>
      </c>
      <c r="AJ4327" s="72"/>
      <c r="AK4327" s="72"/>
      <c r="AL4327" s="72"/>
      <c r="AM4327" s="72"/>
    </row>
    <row r="4328" spans="1:39" x14ac:dyDescent="0.25">
      <c r="A4328" s="37" t="s">
        <v>62</v>
      </c>
      <c r="B4328" s="66"/>
      <c r="C4328" s="4"/>
      <c r="D4328" s="41"/>
      <c r="E4328" s="41"/>
      <c r="F4328" s="85"/>
      <c r="G4328" s="39"/>
      <c r="H4328" s="52"/>
      <c r="I4328" s="52"/>
      <c r="J4328" s="49"/>
      <c r="K4328" s="58"/>
      <c r="L4328" s="58"/>
      <c r="M4328" s="58"/>
      <c r="N4328" s="58"/>
      <c r="O4328" s="58"/>
      <c r="P4328" s="53"/>
      <c r="Q4328" s="65"/>
      <c r="R4328" s="65"/>
      <c r="S4328" s="65"/>
      <c r="T4328" s="65"/>
      <c r="U4328" s="58"/>
      <c r="V4328" s="65"/>
      <c r="W4328" s="65"/>
      <c r="X4328" s="65"/>
      <c r="Y4328" s="65"/>
      <c r="Z4328" s="51"/>
      <c r="AA4328" s="51"/>
      <c r="AB4328" s="102"/>
      <c r="AC4328" s="81" t="e">
        <f t="shared" si="205"/>
        <v>#DIV/0!</v>
      </c>
      <c r="AD4328" s="82">
        <f t="shared" si="206"/>
        <v>0</v>
      </c>
      <c r="AE4328" s="218"/>
      <c r="AH4328" t="str">
        <f t="shared" si="204"/>
        <v>0000</v>
      </c>
      <c r="AJ4328" s="72"/>
      <c r="AK4328" s="72"/>
      <c r="AL4328" s="72"/>
      <c r="AM4328" s="72"/>
    </row>
    <row r="4329" spans="1:39" x14ac:dyDescent="0.25">
      <c r="A4329" s="37" t="s">
        <v>62</v>
      </c>
      <c r="B4329" s="66"/>
      <c r="C4329" s="4"/>
      <c r="D4329" s="41"/>
      <c r="E4329" s="41"/>
      <c r="F4329" s="85"/>
      <c r="G4329" s="39"/>
      <c r="H4329" s="52"/>
      <c r="I4329" s="52"/>
      <c r="J4329" s="49"/>
      <c r="K4329" s="58"/>
      <c r="L4329" s="58"/>
      <c r="M4329" s="58"/>
      <c r="N4329" s="58"/>
      <c r="O4329" s="58"/>
      <c r="P4329" s="53"/>
      <c r="Q4329" s="65"/>
      <c r="R4329" s="65"/>
      <c r="S4329" s="65"/>
      <c r="T4329" s="65"/>
      <c r="U4329" s="58"/>
      <c r="V4329" s="65"/>
      <c r="W4329" s="65"/>
      <c r="X4329" s="65"/>
      <c r="Y4329" s="65"/>
      <c r="Z4329" s="51"/>
      <c r="AA4329" s="51"/>
      <c r="AB4329" s="102"/>
      <c r="AC4329" s="81" t="e">
        <f t="shared" si="205"/>
        <v>#DIV/0!</v>
      </c>
      <c r="AD4329" s="82">
        <f t="shared" si="206"/>
        <v>0</v>
      </c>
      <c r="AE4329" s="218"/>
      <c r="AH4329" t="str">
        <f t="shared" si="204"/>
        <v>0000</v>
      </c>
      <c r="AJ4329" s="72"/>
      <c r="AK4329" s="72"/>
      <c r="AL4329" s="72"/>
      <c r="AM4329" s="72"/>
    </row>
    <row r="4330" spans="1:39" x14ac:dyDescent="0.25">
      <c r="A4330" s="37" t="s">
        <v>62</v>
      </c>
      <c r="B4330" s="66"/>
      <c r="C4330" s="4"/>
      <c r="D4330" s="41"/>
      <c r="E4330" s="41"/>
      <c r="F4330" s="85"/>
      <c r="G4330" s="39"/>
      <c r="H4330" s="52"/>
      <c r="I4330" s="52"/>
      <c r="J4330" s="49"/>
      <c r="K4330" s="58"/>
      <c r="L4330" s="58"/>
      <c r="M4330" s="58"/>
      <c r="N4330" s="58"/>
      <c r="O4330" s="58"/>
      <c r="P4330" s="53"/>
      <c r="Q4330" s="65"/>
      <c r="R4330" s="65"/>
      <c r="S4330" s="65"/>
      <c r="T4330" s="65"/>
      <c r="U4330" s="58"/>
      <c r="V4330" s="65"/>
      <c r="W4330" s="65"/>
      <c r="X4330" s="65"/>
      <c r="Y4330" s="65"/>
      <c r="Z4330" s="51"/>
      <c r="AA4330" s="51"/>
      <c r="AB4330" s="102"/>
      <c r="AC4330" s="81" t="e">
        <f t="shared" si="205"/>
        <v>#DIV/0!</v>
      </c>
      <c r="AD4330" s="82">
        <f t="shared" si="206"/>
        <v>0</v>
      </c>
      <c r="AE4330" s="218"/>
      <c r="AH4330" t="str">
        <f t="shared" si="204"/>
        <v>0000</v>
      </c>
      <c r="AJ4330" s="72"/>
      <c r="AK4330" s="72"/>
      <c r="AL4330" s="72"/>
      <c r="AM4330" s="72"/>
    </row>
    <row r="4331" spans="1:39" x14ac:dyDescent="0.25">
      <c r="A4331" s="37" t="s">
        <v>62</v>
      </c>
      <c r="B4331" s="66"/>
      <c r="C4331" s="4"/>
      <c r="D4331" s="41"/>
      <c r="E4331" s="41"/>
      <c r="F4331" s="85"/>
      <c r="G4331" s="39"/>
      <c r="H4331" s="52"/>
      <c r="I4331" s="52"/>
      <c r="J4331" s="49"/>
      <c r="K4331" s="58"/>
      <c r="L4331" s="58"/>
      <c r="M4331" s="58"/>
      <c r="N4331" s="58"/>
      <c r="O4331" s="58"/>
      <c r="P4331" s="53"/>
      <c r="Q4331" s="65"/>
      <c r="R4331" s="65"/>
      <c r="S4331" s="65"/>
      <c r="T4331" s="65"/>
      <c r="U4331" s="58"/>
      <c r="V4331" s="65"/>
      <c r="W4331" s="65"/>
      <c r="X4331" s="65"/>
      <c r="Y4331" s="65"/>
      <c r="Z4331" s="51"/>
      <c r="AA4331" s="51"/>
      <c r="AB4331" s="102"/>
      <c r="AC4331" s="81" t="e">
        <f t="shared" si="205"/>
        <v>#DIV/0!</v>
      </c>
      <c r="AD4331" s="82">
        <f t="shared" si="206"/>
        <v>0</v>
      </c>
      <c r="AE4331" s="218"/>
      <c r="AH4331" t="str">
        <f t="shared" si="204"/>
        <v>0000</v>
      </c>
      <c r="AJ4331" s="72"/>
      <c r="AK4331" s="72"/>
      <c r="AL4331" s="72"/>
      <c r="AM4331" s="72"/>
    </row>
    <row r="4332" spans="1:39" x14ac:dyDescent="0.25">
      <c r="A4332" s="37" t="s">
        <v>62</v>
      </c>
      <c r="B4332" s="66"/>
      <c r="C4332" s="4"/>
      <c r="D4332" s="41"/>
      <c r="E4332" s="41"/>
      <c r="F4332" s="85"/>
      <c r="G4332" s="39"/>
      <c r="H4332" s="52"/>
      <c r="I4332" s="52"/>
      <c r="J4332" s="49"/>
      <c r="K4332" s="58"/>
      <c r="L4332" s="58"/>
      <c r="M4332" s="58"/>
      <c r="N4332" s="58"/>
      <c r="O4332" s="58"/>
      <c r="P4332" s="53"/>
      <c r="Q4332" s="65"/>
      <c r="R4332" s="65"/>
      <c r="S4332" s="65"/>
      <c r="T4332" s="65"/>
      <c r="U4332" s="58"/>
      <c r="V4332" s="65"/>
      <c r="W4332" s="65"/>
      <c r="X4332" s="65"/>
      <c r="Y4332" s="65"/>
      <c r="Z4332" s="51"/>
      <c r="AA4332" s="51"/>
      <c r="AB4332" s="102"/>
      <c r="AC4332" s="81" t="e">
        <f t="shared" si="205"/>
        <v>#DIV/0!</v>
      </c>
      <c r="AD4332" s="82">
        <f t="shared" si="206"/>
        <v>0</v>
      </c>
      <c r="AE4332" s="218"/>
      <c r="AH4332" t="str">
        <f t="shared" si="204"/>
        <v>0000</v>
      </c>
      <c r="AJ4332" s="72"/>
      <c r="AK4332" s="72"/>
      <c r="AL4332" s="72"/>
      <c r="AM4332" s="72"/>
    </row>
    <row r="4333" spans="1:39" x14ac:dyDescent="0.25">
      <c r="A4333" s="37" t="s">
        <v>62</v>
      </c>
      <c r="B4333" s="66"/>
      <c r="C4333" s="4"/>
      <c r="D4333" s="41"/>
      <c r="E4333" s="41"/>
      <c r="F4333" s="85"/>
      <c r="G4333" s="39"/>
      <c r="H4333" s="52"/>
      <c r="I4333" s="52"/>
      <c r="J4333" s="49"/>
      <c r="K4333" s="58"/>
      <c r="L4333" s="58"/>
      <c r="M4333" s="58"/>
      <c r="N4333" s="58"/>
      <c r="O4333" s="58"/>
      <c r="P4333" s="53"/>
      <c r="Q4333" s="65"/>
      <c r="R4333" s="65"/>
      <c r="S4333" s="65"/>
      <c r="T4333" s="65"/>
      <c r="U4333" s="58"/>
      <c r="V4333" s="65"/>
      <c r="W4333" s="65"/>
      <c r="X4333" s="65"/>
      <c r="Y4333" s="65"/>
      <c r="Z4333" s="51"/>
      <c r="AA4333" s="51"/>
      <c r="AB4333" s="102"/>
      <c r="AC4333" s="81" t="e">
        <f t="shared" si="205"/>
        <v>#DIV/0!</v>
      </c>
      <c r="AD4333" s="82">
        <f t="shared" si="206"/>
        <v>0</v>
      </c>
      <c r="AE4333" s="218"/>
      <c r="AH4333" t="str">
        <f t="shared" si="204"/>
        <v>0000</v>
      </c>
      <c r="AJ4333" s="72"/>
      <c r="AK4333" s="72"/>
      <c r="AL4333" s="72"/>
      <c r="AM4333" s="72"/>
    </row>
    <row r="4334" spans="1:39" x14ac:dyDescent="0.25">
      <c r="A4334" s="37" t="s">
        <v>62</v>
      </c>
      <c r="B4334" s="66"/>
      <c r="C4334" s="4"/>
      <c r="D4334" s="41"/>
      <c r="E4334" s="41"/>
      <c r="F4334" s="85"/>
      <c r="G4334" s="39"/>
      <c r="H4334" s="52"/>
      <c r="I4334" s="52"/>
      <c r="J4334" s="49"/>
      <c r="K4334" s="58"/>
      <c r="L4334" s="58"/>
      <c r="M4334" s="58"/>
      <c r="N4334" s="58"/>
      <c r="O4334" s="58"/>
      <c r="P4334" s="53"/>
      <c r="Q4334" s="65"/>
      <c r="R4334" s="65"/>
      <c r="S4334" s="65"/>
      <c r="T4334" s="65"/>
      <c r="U4334" s="58"/>
      <c r="V4334" s="65"/>
      <c r="W4334" s="65"/>
      <c r="X4334" s="65"/>
      <c r="Y4334" s="65"/>
      <c r="Z4334" s="51"/>
      <c r="AA4334" s="51"/>
      <c r="AB4334" s="102"/>
      <c r="AC4334" s="81" t="e">
        <f t="shared" si="205"/>
        <v>#DIV/0!</v>
      </c>
      <c r="AD4334" s="82">
        <f t="shared" si="206"/>
        <v>0</v>
      </c>
      <c r="AE4334" s="218"/>
      <c r="AH4334" t="str">
        <f t="shared" si="204"/>
        <v>0000</v>
      </c>
      <c r="AJ4334" s="72"/>
      <c r="AK4334" s="72"/>
      <c r="AL4334" s="72"/>
      <c r="AM4334" s="72"/>
    </row>
    <row r="4335" spans="1:39" x14ac:dyDescent="0.25">
      <c r="A4335" s="37" t="s">
        <v>62</v>
      </c>
      <c r="B4335" s="66"/>
      <c r="C4335" s="4"/>
      <c r="D4335" s="41"/>
      <c r="E4335" s="41"/>
      <c r="F4335" s="85"/>
      <c r="G4335" s="39"/>
      <c r="H4335" s="52"/>
      <c r="I4335" s="52"/>
      <c r="J4335" s="49"/>
      <c r="K4335" s="58"/>
      <c r="L4335" s="58"/>
      <c r="M4335" s="58"/>
      <c r="N4335" s="58"/>
      <c r="O4335" s="58"/>
      <c r="P4335" s="53"/>
      <c r="Q4335" s="65"/>
      <c r="R4335" s="65"/>
      <c r="S4335" s="65"/>
      <c r="T4335" s="65"/>
      <c r="U4335" s="58"/>
      <c r="V4335" s="65"/>
      <c r="W4335" s="65"/>
      <c r="X4335" s="65"/>
      <c r="Y4335" s="65"/>
      <c r="Z4335" s="51"/>
      <c r="AA4335" s="51"/>
      <c r="AB4335" s="102"/>
      <c r="AC4335" s="81" t="e">
        <f t="shared" si="205"/>
        <v>#DIV/0!</v>
      </c>
      <c r="AD4335" s="82">
        <f t="shared" si="206"/>
        <v>0</v>
      </c>
      <c r="AE4335" s="218"/>
      <c r="AH4335" t="str">
        <f t="shared" si="204"/>
        <v>0000</v>
      </c>
      <c r="AJ4335" s="72"/>
      <c r="AK4335" s="72"/>
      <c r="AL4335" s="72"/>
      <c r="AM4335" s="72"/>
    </row>
    <row r="4336" spans="1:39" x14ac:dyDescent="0.25">
      <c r="A4336" s="37" t="s">
        <v>62</v>
      </c>
      <c r="B4336" s="66"/>
      <c r="C4336" s="4"/>
      <c r="D4336" s="41"/>
      <c r="E4336" s="41"/>
      <c r="F4336" s="85"/>
      <c r="G4336" s="39"/>
      <c r="H4336" s="52"/>
      <c r="I4336" s="52"/>
      <c r="J4336" s="49"/>
      <c r="K4336" s="58"/>
      <c r="L4336" s="58"/>
      <c r="M4336" s="58"/>
      <c r="N4336" s="58"/>
      <c r="O4336" s="58"/>
      <c r="P4336" s="53"/>
      <c r="Q4336" s="65"/>
      <c r="R4336" s="65"/>
      <c r="S4336" s="65"/>
      <c r="T4336" s="65"/>
      <c r="U4336" s="58"/>
      <c r="V4336" s="65"/>
      <c r="W4336" s="65"/>
      <c r="X4336" s="65"/>
      <c r="Y4336" s="65"/>
      <c r="Z4336" s="51"/>
      <c r="AA4336" s="51"/>
      <c r="AB4336" s="102"/>
      <c r="AC4336" s="81" t="e">
        <f t="shared" si="205"/>
        <v>#DIV/0!</v>
      </c>
      <c r="AD4336" s="82">
        <f t="shared" si="206"/>
        <v>0</v>
      </c>
      <c r="AE4336" s="218"/>
      <c r="AH4336" t="str">
        <f t="shared" si="204"/>
        <v>0000</v>
      </c>
      <c r="AJ4336" s="72"/>
      <c r="AK4336" s="72"/>
      <c r="AL4336" s="72"/>
      <c r="AM4336" s="72"/>
    </row>
    <row r="4337" spans="1:39" x14ac:dyDescent="0.25">
      <c r="A4337" s="37" t="s">
        <v>62</v>
      </c>
      <c r="B4337" s="66"/>
      <c r="C4337" s="4"/>
      <c r="D4337" s="41"/>
      <c r="E4337" s="41"/>
      <c r="F4337" s="85"/>
      <c r="G4337" s="39"/>
      <c r="H4337" s="52"/>
      <c r="I4337" s="52"/>
      <c r="J4337" s="49"/>
      <c r="K4337" s="58"/>
      <c r="L4337" s="58"/>
      <c r="M4337" s="58"/>
      <c r="N4337" s="58"/>
      <c r="O4337" s="58"/>
      <c r="P4337" s="53"/>
      <c r="Q4337" s="65"/>
      <c r="R4337" s="65"/>
      <c r="S4337" s="65"/>
      <c r="T4337" s="65"/>
      <c r="U4337" s="58"/>
      <c r="V4337" s="65"/>
      <c r="W4337" s="65"/>
      <c r="X4337" s="65"/>
      <c r="Y4337" s="65"/>
      <c r="Z4337" s="51"/>
      <c r="AA4337" s="51"/>
      <c r="AB4337" s="102"/>
      <c r="AC4337" s="81" t="e">
        <f t="shared" si="205"/>
        <v>#DIV/0!</v>
      </c>
      <c r="AD4337" s="82">
        <f t="shared" si="206"/>
        <v>0</v>
      </c>
      <c r="AE4337" s="218"/>
      <c r="AH4337" t="str">
        <f t="shared" si="204"/>
        <v>0000</v>
      </c>
      <c r="AJ4337" s="72"/>
      <c r="AK4337" s="72"/>
      <c r="AL4337" s="72"/>
      <c r="AM4337" s="72"/>
    </row>
    <row r="4338" spans="1:39" x14ac:dyDescent="0.25">
      <c r="A4338" s="37" t="s">
        <v>62</v>
      </c>
      <c r="B4338" s="66"/>
      <c r="C4338" s="4"/>
      <c r="D4338" s="41"/>
      <c r="E4338" s="41"/>
      <c r="F4338" s="85"/>
      <c r="G4338" s="39"/>
      <c r="H4338" s="52"/>
      <c r="I4338" s="52"/>
      <c r="J4338" s="49"/>
      <c r="K4338" s="58"/>
      <c r="L4338" s="58"/>
      <c r="M4338" s="58"/>
      <c r="N4338" s="58"/>
      <c r="O4338" s="58"/>
      <c r="P4338" s="53"/>
      <c r="Q4338" s="65"/>
      <c r="R4338" s="65"/>
      <c r="S4338" s="65"/>
      <c r="T4338" s="65"/>
      <c r="U4338" s="58"/>
      <c r="V4338" s="65"/>
      <c r="W4338" s="65"/>
      <c r="X4338" s="65"/>
      <c r="Y4338" s="65"/>
      <c r="Z4338" s="51"/>
      <c r="AA4338" s="51"/>
      <c r="AB4338" s="102"/>
      <c r="AC4338" s="81" t="e">
        <f t="shared" si="205"/>
        <v>#DIV/0!</v>
      </c>
      <c r="AD4338" s="82">
        <f t="shared" si="206"/>
        <v>0</v>
      </c>
      <c r="AE4338" s="218"/>
      <c r="AH4338" t="str">
        <f t="shared" si="204"/>
        <v>0000</v>
      </c>
      <c r="AJ4338" s="72"/>
      <c r="AK4338" s="72"/>
      <c r="AL4338" s="72"/>
      <c r="AM4338" s="72"/>
    </row>
    <row r="4339" spans="1:39" x14ac:dyDescent="0.25">
      <c r="A4339" s="37" t="s">
        <v>62</v>
      </c>
      <c r="B4339" s="66"/>
      <c r="C4339" s="4"/>
      <c r="D4339" s="41"/>
      <c r="E4339" s="41"/>
      <c r="F4339" s="85"/>
      <c r="G4339" s="39"/>
      <c r="H4339" s="52"/>
      <c r="I4339" s="52"/>
      <c r="J4339" s="49"/>
      <c r="K4339" s="58"/>
      <c r="L4339" s="58"/>
      <c r="M4339" s="58"/>
      <c r="N4339" s="58"/>
      <c r="O4339" s="58"/>
      <c r="P4339" s="53"/>
      <c r="Q4339" s="65"/>
      <c r="R4339" s="65"/>
      <c r="S4339" s="65"/>
      <c r="T4339" s="65"/>
      <c r="U4339" s="58"/>
      <c r="V4339" s="65"/>
      <c r="W4339" s="65"/>
      <c r="X4339" s="65"/>
      <c r="Y4339" s="65"/>
      <c r="Z4339" s="51"/>
      <c r="AA4339" s="51"/>
      <c r="AB4339" s="102"/>
      <c r="AC4339" s="81" t="e">
        <f t="shared" si="205"/>
        <v>#DIV/0!</v>
      </c>
      <c r="AD4339" s="82">
        <f t="shared" si="206"/>
        <v>0</v>
      </c>
      <c r="AE4339" s="218"/>
      <c r="AH4339" t="str">
        <f t="shared" si="204"/>
        <v>0000</v>
      </c>
      <c r="AJ4339" s="72"/>
      <c r="AK4339" s="72"/>
      <c r="AL4339" s="72"/>
      <c r="AM4339" s="72"/>
    </row>
    <row r="4340" spans="1:39" x14ac:dyDescent="0.25">
      <c r="A4340" s="37" t="s">
        <v>62</v>
      </c>
      <c r="B4340" s="66"/>
      <c r="C4340" s="4"/>
      <c r="D4340" s="41"/>
      <c r="E4340" s="41"/>
      <c r="F4340" s="85"/>
      <c r="G4340" s="39"/>
      <c r="H4340" s="52"/>
      <c r="I4340" s="52"/>
      <c r="J4340" s="49"/>
      <c r="K4340" s="58"/>
      <c r="L4340" s="58"/>
      <c r="M4340" s="58"/>
      <c r="N4340" s="58"/>
      <c r="O4340" s="58"/>
      <c r="P4340" s="53"/>
      <c r="Q4340" s="65"/>
      <c r="R4340" s="65"/>
      <c r="S4340" s="65"/>
      <c r="T4340" s="65"/>
      <c r="U4340" s="58"/>
      <c r="V4340" s="65"/>
      <c r="W4340" s="65"/>
      <c r="X4340" s="65"/>
      <c r="Y4340" s="65"/>
      <c r="Z4340" s="51"/>
      <c r="AA4340" s="51"/>
      <c r="AB4340" s="102"/>
      <c r="AC4340" s="81" t="e">
        <f t="shared" si="205"/>
        <v>#DIV/0!</v>
      </c>
      <c r="AD4340" s="82">
        <f t="shared" si="206"/>
        <v>0</v>
      </c>
      <c r="AE4340" s="218"/>
      <c r="AH4340" t="str">
        <f t="shared" si="204"/>
        <v>0000</v>
      </c>
      <c r="AJ4340" s="72"/>
      <c r="AK4340" s="72"/>
      <c r="AL4340" s="72"/>
      <c r="AM4340" s="72"/>
    </row>
    <row r="4341" spans="1:39" x14ac:dyDescent="0.25">
      <c r="A4341" s="37" t="s">
        <v>62</v>
      </c>
      <c r="B4341" s="66"/>
      <c r="C4341" s="4"/>
      <c r="D4341" s="41"/>
      <c r="E4341" s="41"/>
      <c r="F4341" s="85"/>
      <c r="G4341" s="39"/>
      <c r="H4341" s="52"/>
      <c r="I4341" s="52"/>
      <c r="J4341" s="49"/>
      <c r="K4341" s="58"/>
      <c r="L4341" s="58"/>
      <c r="M4341" s="58"/>
      <c r="N4341" s="58"/>
      <c r="O4341" s="58"/>
      <c r="P4341" s="53"/>
      <c r="Q4341" s="65"/>
      <c r="R4341" s="65"/>
      <c r="S4341" s="65"/>
      <c r="T4341" s="65"/>
      <c r="U4341" s="58"/>
      <c r="V4341" s="65"/>
      <c r="W4341" s="65"/>
      <c r="X4341" s="65"/>
      <c r="Y4341" s="65"/>
      <c r="Z4341" s="51"/>
      <c r="AA4341" s="51"/>
      <c r="AB4341" s="102"/>
      <c r="AC4341" s="81" t="e">
        <f t="shared" si="205"/>
        <v>#DIV/0!</v>
      </c>
      <c r="AD4341" s="82">
        <f t="shared" si="206"/>
        <v>0</v>
      </c>
      <c r="AE4341" s="218"/>
      <c r="AH4341" t="str">
        <f t="shared" si="204"/>
        <v>0000</v>
      </c>
      <c r="AJ4341" s="72"/>
      <c r="AK4341" s="72"/>
      <c r="AL4341" s="72"/>
      <c r="AM4341" s="72"/>
    </row>
    <row r="4342" spans="1:39" x14ac:dyDescent="0.25">
      <c r="A4342" s="37" t="s">
        <v>62</v>
      </c>
      <c r="B4342" s="66"/>
      <c r="C4342" s="4"/>
      <c r="D4342" s="41"/>
      <c r="E4342" s="41"/>
      <c r="F4342" s="85"/>
      <c r="G4342" s="39"/>
      <c r="H4342" s="52"/>
      <c r="I4342" s="52"/>
      <c r="J4342" s="49"/>
      <c r="K4342" s="58"/>
      <c r="L4342" s="58"/>
      <c r="M4342" s="58"/>
      <c r="N4342" s="58"/>
      <c r="O4342" s="58"/>
      <c r="P4342" s="53"/>
      <c r="Q4342" s="65"/>
      <c r="R4342" s="65"/>
      <c r="S4342" s="65"/>
      <c r="T4342" s="65"/>
      <c r="U4342" s="58"/>
      <c r="V4342" s="65"/>
      <c r="W4342" s="65"/>
      <c r="X4342" s="65"/>
      <c r="Y4342" s="65"/>
      <c r="Z4342" s="51"/>
      <c r="AA4342" s="51"/>
      <c r="AB4342" s="102"/>
      <c r="AC4342" s="81" t="e">
        <f t="shared" si="205"/>
        <v>#DIV/0!</v>
      </c>
      <c r="AD4342" s="82">
        <f t="shared" si="206"/>
        <v>0</v>
      </c>
      <c r="AE4342" s="218"/>
      <c r="AH4342" t="str">
        <f t="shared" si="204"/>
        <v>0000</v>
      </c>
      <c r="AJ4342" s="72"/>
      <c r="AK4342" s="72"/>
      <c r="AL4342" s="72"/>
      <c r="AM4342" s="72"/>
    </row>
    <row r="4343" spans="1:39" x14ac:dyDescent="0.25">
      <c r="A4343" s="37" t="s">
        <v>62</v>
      </c>
      <c r="B4343" s="66"/>
      <c r="C4343" s="4"/>
      <c r="D4343" s="41"/>
      <c r="E4343" s="41"/>
      <c r="F4343" s="85"/>
      <c r="G4343" s="39"/>
      <c r="H4343" s="52"/>
      <c r="I4343" s="52"/>
      <c r="J4343" s="49"/>
      <c r="K4343" s="58"/>
      <c r="L4343" s="58"/>
      <c r="M4343" s="58"/>
      <c r="N4343" s="58"/>
      <c r="O4343" s="58"/>
      <c r="P4343" s="53"/>
      <c r="Q4343" s="65"/>
      <c r="R4343" s="65"/>
      <c r="S4343" s="65"/>
      <c r="T4343" s="65"/>
      <c r="U4343" s="58"/>
      <c r="V4343" s="65"/>
      <c r="W4343" s="65"/>
      <c r="X4343" s="65"/>
      <c r="Y4343" s="65"/>
      <c r="Z4343" s="51"/>
      <c r="AA4343" s="51"/>
      <c r="AB4343" s="102"/>
      <c r="AC4343" s="81" t="e">
        <f t="shared" si="205"/>
        <v>#DIV/0!</v>
      </c>
      <c r="AD4343" s="82">
        <f t="shared" si="206"/>
        <v>0</v>
      </c>
      <c r="AE4343" s="218"/>
      <c r="AH4343" t="str">
        <f t="shared" si="204"/>
        <v>0000</v>
      </c>
      <c r="AJ4343" s="72"/>
      <c r="AK4343" s="72"/>
      <c r="AL4343" s="72"/>
      <c r="AM4343" s="72"/>
    </row>
    <row r="4344" spans="1:39" x14ac:dyDescent="0.25">
      <c r="A4344" s="37" t="s">
        <v>62</v>
      </c>
      <c r="B4344" s="66"/>
      <c r="C4344" s="4"/>
      <c r="D4344" s="41"/>
      <c r="E4344" s="41"/>
      <c r="F4344" s="85"/>
      <c r="G4344" s="39"/>
      <c r="H4344" s="52"/>
      <c r="I4344" s="52"/>
      <c r="J4344" s="49"/>
      <c r="K4344" s="58"/>
      <c r="L4344" s="58"/>
      <c r="M4344" s="58"/>
      <c r="N4344" s="58"/>
      <c r="O4344" s="58"/>
      <c r="P4344" s="53"/>
      <c r="Q4344" s="65"/>
      <c r="R4344" s="65"/>
      <c r="S4344" s="65"/>
      <c r="T4344" s="65"/>
      <c r="U4344" s="58"/>
      <c r="V4344" s="65"/>
      <c r="W4344" s="65"/>
      <c r="X4344" s="65"/>
      <c r="Y4344" s="65"/>
      <c r="Z4344" s="51"/>
      <c r="AA4344" s="51"/>
      <c r="AB4344" s="102"/>
      <c r="AC4344" s="81" t="e">
        <f t="shared" si="205"/>
        <v>#DIV/0!</v>
      </c>
      <c r="AD4344" s="82">
        <f t="shared" si="206"/>
        <v>0</v>
      </c>
      <c r="AE4344" s="218"/>
      <c r="AH4344" t="str">
        <f t="shared" si="204"/>
        <v>0000</v>
      </c>
      <c r="AJ4344" s="72"/>
      <c r="AK4344" s="72"/>
      <c r="AL4344" s="72"/>
      <c r="AM4344" s="72"/>
    </row>
    <row r="4345" spans="1:39" x14ac:dyDescent="0.25">
      <c r="A4345" s="37" t="s">
        <v>62</v>
      </c>
      <c r="B4345" s="66"/>
      <c r="C4345" s="4"/>
      <c r="D4345" s="41"/>
      <c r="E4345" s="41"/>
      <c r="F4345" s="85"/>
      <c r="G4345" s="39"/>
      <c r="H4345" s="52"/>
      <c r="I4345" s="52"/>
      <c r="J4345" s="49"/>
      <c r="K4345" s="58"/>
      <c r="L4345" s="58"/>
      <c r="M4345" s="58"/>
      <c r="N4345" s="58"/>
      <c r="O4345" s="58"/>
      <c r="P4345" s="53"/>
      <c r="Q4345" s="65"/>
      <c r="R4345" s="65"/>
      <c r="S4345" s="65"/>
      <c r="T4345" s="65"/>
      <c r="U4345" s="58"/>
      <c r="V4345" s="65"/>
      <c r="W4345" s="65"/>
      <c r="X4345" s="65"/>
      <c r="Y4345" s="65"/>
      <c r="Z4345" s="51"/>
      <c r="AA4345" s="51"/>
      <c r="AB4345" s="102"/>
      <c r="AC4345" s="81" t="e">
        <f t="shared" si="205"/>
        <v>#DIV/0!</v>
      </c>
      <c r="AD4345" s="82">
        <f t="shared" si="206"/>
        <v>0</v>
      </c>
      <c r="AE4345" s="218"/>
      <c r="AH4345" t="str">
        <f t="shared" si="204"/>
        <v>0000</v>
      </c>
      <c r="AJ4345" s="72"/>
      <c r="AK4345" s="72"/>
      <c r="AL4345" s="72"/>
      <c r="AM4345" s="72"/>
    </row>
    <row r="4346" spans="1:39" x14ac:dyDescent="0.25">
      <c r="A4346" s="37" t="s">
        <v>62</v>
      </c>
      <c r="B4346" s="66"/>
      <c r="C4346" s="4"/>
      <c r="D4346" s="41"/>
      <c r="E4346" s="41"/>
      <c r="F4346" s="85"/>
      <c r="G4346" s="39"/>
      <c r="H4346" s="52"/>
      <c r="I4346" s="52"/>
      <c r="J4346" s="49"/>
      <c r="K4346" s="58"/>
      <c r="L4346" s="58"/>
      <c r="M4346" s="58"/>
      <c r="N4346" s="58"/>
      <c r="O4346" s="58"/>
      <c r="P4346" s="53"/>
      <c r="Q4346" s="65"/>
      <c r="R4346" s="65"/>
      <c r="S4346" s="65"/>
      <c r="T4346" s="65"/>
      <c r="U4346" s="58"/>
      <c r="V4346" s="65"/>
      <c r="W4346" s="65"/>
      <c r="X4346" s="65"/>
      <c r="Y4346" s="65"/>
      <c r="Z4346" s="51"/>
      <c r="AA4346" s="51"/>
      <c r="AB4346" s="102"/>
      <c r="AC4346" s="81" t="e">
        <f t="shared" si="205"/>
        <v>#DIV/0!</v>
      </c>
      <c r="AD4346" s="82">
        <f t="shared" si="206"/>
        <v>0</v>
      </c>
      <c r="AE4346" s="218"/>
      <c r="AH4346" t="str">
        <f t="shared" ref="AH4346:AH4409" si="207">TEXT(D4346,"0000")</f>
        <v>0000</v>
      </c>
      <c r="AJ4346" s="72"/>
      <c r="AK4346" s="72"/>
      <c r="AL4346" s="72"/>
      <c r="AM4346" s="72"/>
    </row>
    <row r="4347" spans="1:39" x14ac:dyDescent="0.25">
      <c r="A4347" s="37" t="s">
        <v>62</v>
      </c>
      <c r="B4347" s="66"/>
      <c r="C4347" s="4"/>
      <c r="D4347" s="41"/>
      <c r="E4347" s="41"/>
      <c r="F4347" s="85"/>
      <c r="G4347" s="39"/>
      <c r="H4347" s="52"/>
      <c r="I4347" s="52"/>
      <c r="J4347" s="49"/>
      <c r="K4347" s="58"/>
      <c r="L4347" s="58"/>
      <c r="M4347" s="58"/>
      <c r="N4347" s="58"/>
      <c r="O4347" s="58"/>
      <c r="P4347" s="53"/>
      <c r="Q4347" s="65"/>
      <c r="R4347" s="65"/>
      <c r="S4347" s="65"/>
      <c r="T4347" s="65"/>
      <c r="U4347" s="58"/>
      <c r="V4347" s="65"/>
      <c r="W4347" s="65"/>
      <c r="X4347" s="65"/>
      <c r="Y4347" s="65"/>
      <c r="Z4347" s="51"/>
      <c r="AA4347" s="51"/>
      <c r="AB4347" s="102"/>
      <c r="AC4347" s="81" t="e">
        <f t="shared" si="205"/>
        <v>#DIV/0!</v>
      </c>
      <c r="AD4347" s="82">
        <f t="shared" si="206"/>
        <v>0</v>
      </c>
      <c r="AE4347" s="218"/>
      <c r="AH4347" t="str">
        <f t="shared" si="207"/>
        <v>0000</v>
      </c>
      <c r="AJ4347" s="72"/>
      <c r="AK4347" s="72"/>
      <c r="AL4347" s="72"/>
      <c r="AM4347" s="72"/>
    </row>
    <row r="4348" spans="1:39" x14ac:dyDescent="0.25">
      <c r="A4348" s="37" t="s">
        <v>62</v>
      </c>
      <c r="B4348" s="66"/>
      <c r="C4348" s="4"/>
      <c r="D4348" s="41"/>
      <c r="E4348" s="41"/>
      <c r="F4348" s="85"/>
      <c r="G4348" s="39"/>
      <c r="H4348" s="52"/>
      <c r="I4348" s="52"/>
      <c r="J4348" s="49"/>
      <c r="K4348" s="58"/>
      <c r="L4348" s="58"/>
      <c r="M4348" s="58"/>
      <c r="N4348" s="58"/>
      <c r="O4348" s="58"/>
      <c r="P4348" s="53"/>
      <c r="Q4348" s="65"/>
      <c r="R4348" s="65"/>
      <c r="S4348" s="65"/>
      <c r="T4348" s="65"/>
      <c r="U4348" s="58"/>
      <c r="V4348" s="65"/>
      <c r="W4348" s="65"/>
      <c r="X4348" s="65"/>
      <c r="Y4348" s="65"/>
      <c r="Z4348" s="51"/>
      <c r="AA4348" s="51"/>
      <c r="AB4348" s="102"/>
      <c r="AC4348" s="81" t="e">
        <f t="shared" si="205"/>
        <v>#DIV/0!</v>
      </c>
      <c r="AD4348" s="82">
        <f t="shared" si="206"/>
        <v>0</v>
      </c>
      <c r="AE4348" s="218"/>
      <c r="AH4348" t="str">
        <f t="shared" si="207"/>
        <v>0000</v>
      </c>
      <c r="AJ4348" s="72"/>
      <c r="AK4348" s="72"/>
      <c r="AL4348" s="72"/>
      <c r="AM4348" s="72"/>
    </row>
    <row r="4349" spans="1:39" x14ac:dyDescent="0.25">
      <c r="A4349" s="37" t="s">
        <v>62</v>
      </c>
      <c r="B4349" s="66"/>
      <c r="C4349" s="4"/>
      <c r="D4349" s="41"/>
      <c r="E4349" s="41"/>
      <c r="F4349" s="85"/>
      <c r="G4349" s="39"/>
      <c r="H4349" s="52"/>
      <c r="I4349" s="52"/>
      <c r="J4349" s="49"/>
      <c r="K4349" s="58"/>
      <c r="L4349" s="58"/>
      <c r="M4349" s="58"/>
      <c r="N4349" s="58"/>
      <c r="O4349" s="58"/>
      <c r="P4349" s="53"/>
      <c r="Q4349" s="65"/>
      <c r="R4349" s="65"/>
      <c r="S4349" s="65"/>
      <c r="T4349" s="65"/>
      <c r="U4349" s="58"/>
      <c r="V4349" s="65"/>
      <c r="W4349" s="65"/>
      <c r="X4349" s="65"/>
      <c r="Y4349" s="65"/>
      <c r="Z4349" s="51"/>
      <c r="AA4349" s="51"/>
      <c r="AB4349" s="102"/>
      <c r="AC4349" s="81" t="e">
        <f t="shared" si="205"/>
        <v>#DIV/0!</v>
      </c>
      <c r="AD4349" s="82">
        <f t="shared" si="206"/>
        <v>0</v>
      </c>
      <c r="AE4349" s="218"/>
      <c r="AH4349" t="str">
        <f t="shared" si="207"/>
        <v>0000</v>
      </c>
      <c r="AJ4349" s="72"/>
      <c r="AK4349" s="72"/>
      <c r="AL4349" s="72"/>
      <c r="AM4349" s="72"/>
    </row>
    <row r="4350" spans="1:39" x14ac:dyDescent="0.25">
      <c r="A4350" s="37" t="s">
        <v>62</v>
      </c>
      <c r="B4350" s="66"/>
      <c r="C4350" s="4"/>
      <c r="D4350" s="41"/>
      <c r="E4350" s="41"/>
      <c r="F4350" s="85"/>
      <c r="G4350" s="39"/>
      <c r="H4350" s="52"/>
      <c r="I4350" s="52"/>
      <c r="J4350" s="49"/>
      <c r="K4350" s="58"/>
      <c r="L4350" s="58"/>
      <c r="M4350" s="58"/>
      <c r="N4350" s="58"/>
      <c r="O4350" s="58"/>
      <c r="P4350" s="53"/>
      <c r="Q4350" s="65"/>
      <c r="R4350" s="65"/>
      <c r="S4350" s="65"/>
      <c r="T4350" s="65"/>
      <c r="U4350" s="58"/>
      <c r="V4350" s="65"/>
      <c r="W4350" s="65"/>
      <c r="X4350" s="65"/>
      <c r="Y4350" s="65"/>
      <c r="Z4350" s="51"/>
      <c r="AA4350" s="51"/>
      <c r="AB4350" s="102"/>
      <c r="AC4350" s="81" t="e">
        <f t="shared" si="205"/>
        <v>#DIV/0!</v>
      </c>
      <c r="AD4350" s="82">
        <f t="shared" si="206"/>
        <v>0</v>
      </c>
      <c r="AE4350" s="218"/>
      <c r="AH4350" t="str">
        <f t="shared" si="207"/>
        <v>0000</v>
      </c>
      <c r="AJ4350" s="72"/>
      <c r="AK4350" s="72"/>
      <c r="AL4350" s="72"/>
      <c r="AM4350" s="72"/>
    </row>
    <row r="4351" spans="1:39" x14ac:dyDescent="0.25">
      <c r="A4351" s="37" t="s">
        <v>62</v>
      </c>
      <c r="B4351" s="66"/>
      <c r="C4351" s="4"/>
      <c r="D4351" s="41"/>
      <c r="E4351" s="41"/>
      <c r="F4351" s="85"/>
      <c r="G4351" s="39"/>
      <c r="H4351" s="52"/>
      <c r="I4351" s="52"/>
      <c r="J4351" s="49"/>
      <c r="K4351" s="58"/>
      <c r="L4351" s="58"/>
      <c r="M4351" s="58"/>
      <c r="N4351" s="58"/>
      <c r="O4351" s="58"/>
      <c r="P4351" s="53"/>
      <c r="Q4351" s="65"/>
      <c r="R4351" s="65"/>
      <c r="S4351" s="65"/>
      <c r="T4351" s="65"/>
      <c r="U4351" s="58"/>
      <c r="V4351" s="65"/>
      <c r="W4351" s="65"/>
      <c r="X4351" s="65"/>
      <c r="Y4351" s="65"/>
      <c r="Z4351" s="51"/>
      <c r="AA4351" s="51"/>
      <c r="AB4351" s="102"/>
      <c r="AC4351" s="81" t="e">
        <f t="shared" si="205"/>
        <v>#DIV/0!</v>
      </c>
      <c r="AD4351" s="82">
        <f t="shared" si="206"/>
        <v>0</v>
      </c>
      <c r="AE4351" s="218"/>
      <c r="AH4351" t="str">
        <f t="shared" si="207"/>
        <v>0000</v>
      </c>
      <c r="AJ4351" s="72"/>
      <c r="AK4351" s="72"/>
      <c r="AL4351" s="72"/>
      <c r="AM4351" s="72"/>
    </row>
    <row r="4352" spans="1:39" x14ac:dyDescent="0.25">
      <c r="A4352" s="37" t="s">
        <v>62</v>
      </c>
      <c r="B4352" s="66"/>
      <c r="C4352" s="4"/>
      <c r="D4352" s="41"/>
      <c r="E4352" s="41"/>
      <c r="F4352" s="85"/>
      <c r="G4352" s="39"/>
      <c r="H4352" s="52"/>
      <c r="I4352" s="52"/>
      <c r="J4352" s="49"/>
      <c r="K4352" s="58"/>
      <c r="L4352" s="58"/>
      <c r="M4352" s="58"/>
      <c r="N4352" s="58"/>
      <c r="O4352" s="58"/>
      <c r="P4352" s="53"/>
      <c r="Q4352" s="65"/>
      <c r="R4352" s="65"/>
      <c r="S4352" s="65"/>
      <c r="T4352" s="65"/>
      <c r="U4352" s="58"/>
      <c r="V4352" s="65"/>
      <c r="W4352" s="65"/>
      <c r="X4352" s="65"/>
      <c r="Y4352" s="65"/>
      <c r="Z4352" s="51"/>
      <c r="AA4352" s="51"/>
      <c r="AB4352" s="102"/>
      <c r="AC4352" s="81" t="e">
        <f t="shared" si="205"/>
        <v>#DIV/0!</v>
      </c>
      <c r="AD4352" s="82">
        <f t="shared" si="206"/>
        <v>0</v>
      </c>
      <c r="AE4352" s="218"/>
      <c r="AH4352" t="str">
        <f t="shared" si="207"/>
        <v>0000</v>
      </c>
      <c r="AJ4352" s="72"/>
      <c r="AK4352" s="72"/>
      <c r="AL4352" s="72"/>
      <c r="AM4352" s="72"/>
    </row>
    <row r="4353" spans="1:39" x14ac:dyDescent="0.25">
      <c r="A4353" s="37" t="s">
        <v>62</v>
      </c>
      <c r="B4353" s="66"/>
      <c r="C4353" s="4"/>
      <c r="D4353" s="41"/>
      <c r="E4353" s="41"/>
      <c r="F4353" s="85"/>
      <c r="G4353" s="39"/>
      <c r="H4353" s="52"/>
      <c r="I4353" s="52"/>
      <c r="J4353" s="49"/>
      <c r="K4353" s="58"/>
      <c r="L4353" s="58"/>
      <c r="M4353" s="58"/>
      <c r="N4353" s="58"/>
      <c r="O4353" s="58"/>
      <c r="P4353" s="53"/>
      <c r="Q4353" s="65"/>
      <c r="R4353" s="65"/>
      <c r="S4353" s="65"/>
      <c r="T4353" s="65"/>
      <c r="U4353" s="58"/>
      <c r="V4353" s="65"/>
      <c r="W4353" s="65"/>
      <c r="X4353" s="65"/>
      <c r="Y4353" s="65"/>
      <c r="Z4353" s="51"/>
      <c r="AA4353" s="51"/>
      <c r="AB4353" s="102"/>
      <c r="AC4353" s="81" t="e">
        <f t="shared" ref="AC4353:AC4416" si="208">((IF(AD4353=0,0,100-AD4353))*7*(J4353/I4353))*2%</f>
        <v>#DIV/0!</v>
      </c>
      <c r="AD4353" s="82">
        <f t="shared" ref="AD4353:AD4416" si="209">IF((I4353/7)&gt;100,0,(I4353/7))</f>
        <v>0</v>
      </c>
      <c r="AE4353" s="218"/>
      <c r="AH4353" t="str">
        <f t="shared" si="207"/>
        <v>0000</v>
      </c>
      <c r="AJ4353" s="72"/>
      <c r="AK4353" s="72"/>
      <c r="AL4353" s="72"/>
      <c r="AM4353" s="72"/>
    </row>
    <row r="4354" spans="1:39" x14ac:dyDescent="0.25">
      <c r="A4354" s="37" t="s">
        <v>62</v>
      </c>
      <c r="B4354" s="66"/>
      <c r="C4354" s="4"/>
      <c r="D4354" s="41"/>
      <c r="E4354" s="41"/>
      <c r="F4354" s="85"/>
      <c r="G4354" s="39"/>
      <c r="H4354" s="52"/>
      <c r="I4354" s="52"/>
      <c r="J4354" s="49"/>
      <c r="K4354" s="58"/>
      <c r="L4354" s="58"/>
      <c r="M4354" s="58"/>
      <c r="N4354" s="58"/>
      <c r="O4354" s="58"/>
      <c r="P4354" s="53"/>
      <c r="Q4354" s="65"/>
      <c r="R4354" s="65"/>
      <c r="S4354" s="65"/>
      <c r="T4354" s="65"/>
      <c r="U4354" s="58"/>
      <c r="V4354" s="65"/>
      <c r="W4354" s="65"/>
      <c r="X4354" s="65"/>
      <c r="Y4354" s="65"/>
      <c r="Z4354" s="51"/>
      <c r="AA4354" s="51"/>
      <c r="AB4354" s="102"/>
      <c r="AC4354" s="81" t="e">
        <f t="shared" si="208"/>
        <v>#DIV/0!</v>
      </c>
      <c r="AD4354" s="82">
        <f t="shared" si="209"/>
        <v>0</v>
      </c>
      <c r="AE4354" s="218"/>
      <c r="AH4354" t="str">
        <f t="shared" si="207"/>
        <v>0000</v>
      </c>
      <c r="AJ4354" s="72"/>
      <c r="AK4354" s="72"/>
      <c r="AL4354" s="72"/>
      <c r="AM4354" s="72"/>
    </row>
    <row r="4355" spans="1:39" x14ac:dyDescent="0.25">
      <c r="A4355" s="37" t="s">
        <v>62</v>
      </c>
      <c r="B4355" s="66"/>
      <c r="C4355" s="4"/>
      <c r="D4355" s="41"/>
      <c r="E4355" s="41"/>
      <c r="F4355" s="85"/>
      <c r="G4355" s="39"/>
      <c r="H4355" s="52"/>
      <c r="I4355" s="52"/>
      <c r="J4355" s="49"/>
      <c r="K4355" s="58"/>
      <c r="L4355" s="58"/>
      <c r="M4355" s="58"/>
      <c r="N4355" s="58"/>
      <c r="O4355" s="58"/>
      <c r="P4355" s="53"/>
      <c r="Q4355" s="65"/>
      <c r="R4355" s="65"/>
      <c r="S4355" s="65"/>
      <c r="T4355" s="65"/>
      <c r="U4355" s="58"/>
      <c r="V4355" s="65"/>
      <c r="W4355" s="65"/>
      <c r="X4355" s="65"/>
      <c r="Y4355" s="65"/>
      <c r="Z4355" s="51"/>
      <c r="AA4355" s="51"/>
      <c r="AB4355" s="102"/>
      <c r="AC4355" s="81" t="e">
        <f t="shared" si="208"/>
        <v>#DIV/0!</v>
      </c>
      <c r="AD4355" s="82">
        <f t="shared" si="209"/>
        <v>0</v>
      </c>
      <c r="AE4355" s="218"/>
      <c r="AH4355" t="str">
        <f t="shared" si="207"/>
        <v>0000</v>
      </c>
      <c r="AJ4355" s="72"/>
      <c r="AK4355" s="72"/>
      <c r="AL4355" s="72"/>
      <c r="AM4355" s="72"/>
    </row>
    <row r="4356" spans="1:39" x14ac:dyDescent="0.25">
      <c r="A4356" s="37" t="s">
        <v>62</v>
      </c>
      <c r="B4356" s="66"/>
      <c r="C4356" s="4"/>
      <c r="D4356" s="41"/>
      <c r="E4356" s="41"/>
      <c r="F4356" s="85"/>
      <c r="G4356" s="39"/>
      <c r="H4356" s="52"/>
      <c r="I4356" s="52"/>
      <c r="J4356" s="49"/>
      <c r="K4356" s="58"/>
      <c r="L4356" s="58"/>
      <c r="M4356" s="58"/>
      <c r="N4356" s="58"/>
      <c r="O4356" s="58"/>
      <c r="P4356" s="53"/>
      <c r="Q4356" s="65"/>
      <c r="R4356" s="65"/>
      <c r="S4356" s="65"/>
      <c r="T4356" s="65"/>
      <c r="U4356" s="58"/>
      <c r="V4356" s="65"/>
      <c r="W4356" s="65"/>
      <c r="X4356" s="65"/>
      <c r="Y4356" s="65"/>
      <c r="Z4356" s="51"/>
      <c r="AA4356" s="51"/>
      <c r="AB4356" s="102"/>
      <c r="AC4356" s="81" t="e">
        <f t="shared" si="208"/>
        <v>#DIV/0!</v>
      </c>
      <c r="AD4356" s="82">
        <f t="shared" si="209"/>
        <v>0</v>
      </c>
      <c r="AE4356" s="218"/>
      <c r="AH4356" t="str">
        <f t="shared" si="207"/>
        <v>0000</v>
      </c>
      <c r="AJ4356" s="72"/>
      <c r="AK4356" s="72"/>
      <c r="AL4356" s="72"/>
      <c r="AM4356" s="72"/>
    </row>
    <row r="4357" spans="1:39" x14ac:dyDescent="0.25">
      <c r="A4357" s="37" t="s">
        <v>62</v>
      </c>
      <c r="B4357" s="66"/>
      <c r="C4357" s="4"/>
      <c r="D4357" s="41"/>
      <c r="E4357" s="41"/>
      <c r="F4357" s="85"/>
      <c r="G4357" s="39"/>
      <c r="H4357" s="52"/>
      <c r="I4357" s="52"/>
      <c r="J4357" s="49"/>
      <c r="K4357" s="58"/>
      <c r="L4357" s="58"/>
      <c r="M4357" s="58"/>
      <c r="N4357" s="58"/>
      <c r="O4357" s="58"/>
      <c r="P4357" s="53"/>
      <c r="Q4357" s="65"/>
      <c r="R4357" s="65"/>
      <c r="S4357" s="65"/>
      <c r="T4357" s="65"/>
      <c r="U4357" s="58"/>
      <c r="V4357" s="65"/>
      <c r="W4357" s="65"/>
      <c r="X4357" s="65"/>
      <c r="Y4357" s="65"/>
      <c r="Z4357" s="51"/>
      <c r="AA4357" s="51"/>
      <c r="AB4357" s="102"/>
      <c r="AC4357" s="81" t="e">
        <f t="shared" si="208"/>
        <v>#DIV/0!</v>
      </c>
      <c r="AD4357" s="82">
        <f t="shared" si="209"/>
        <v>0</v>
      </c>
      <c r="AE4357" s="218"/>
      <c r="AH4357" t="str">
        <f t="shared" si="207"/>
        <v>0000</v>
      </c>
      <c r="AJ4357" s="72"/>
      <c r="AK4357" s="72"/>
      <c r="AL4357" s="72"/>
      <c r="AM4357" s="72"/>
    </row>
    <row r="4358" spans="1:39" x14ac:dyDescent="0.25">
      <c r="A4358" s="37" t="s">
        <v>62</v>
      </c>
      <c r="B4358" s="66"/>
      <c r="C4358" s="4"/>
      <c r="D4358" s="41"/>
      <c r="E4358" s="41"/>
      <c r="F4358" s="85"/>
      <c r="G4358" s="39"/>
      <c r="H4358" s="52"/>
      <c r="I4358" s="52"/>
      <c r="J4358" s="49"/>
      <c r="K4358" s="58"/>
      <c r="L4358" s="58"/>
      <c r="M4358" s="58"/>
      <c r="N4358" s="58"/>
      <c r="O4358" s="58"/>
      <c r="P4358" s="53"/>
      <c r="Q4358" s="65"/>
      <c r="R4358" s="65"/>
      <c r="S4358" s="65"/>
      <c r="T4358" s="65"/>
      <c r="U4358" s="58"/>
      <c r="V4358" s="65"/>
      <c r="W4358" s="65"/>
      <c r="X4358" s="65"/>
      <c r="Y4358" s="65"/>
      <c r="Z4358" s="51"/>
      <c r="AA4358" s="51"/>
      <c r="AB4358" s="102"/>
      <c r="AC4358" s="81" t="e">
        <f t="shared" si="208"/>
        <v>#DIV/0!</v>
      </c>
      <c r="AD4358" s="82">
        <f t="shared" si="209"/>
        <v>0</v>
      </c>
      <c r="AE4358" s="218"/>
      <c r="AH4358" t="str">
        <f t="shared" si="207"/>
        <v>0000</v>
      </c>
      <c r="AJ4358" s="72"/>
      <c r="AK4358" s="72"/>
      <c r="AL4358" s="72"/>
      <c r="AM4358" s="72"/>
    </row>
    <row r="4359" spans="1:39" x14ac:dyDescent="0.25">
      <c r="A4359" s="37" t="s">
        <v>62</v>
      </c>
      <c r="B4359" s="66"/>
      <c r="C4359" s="4"/>
      <c r="D4359" s="41"/>
      <c r="E4359" s="41"/>
      <c r="F4359" s="85"/>
      <c r="G4359" s="39"/>
      <c r="H4359" s="52"/>
      <c r="I4359" s="52"/>
      <c r="J4359" s="49"/>
      <c r="K4359" s="58"/>
      <c r="L4359" s="58"/>
      <c r="M4359" s="58"/>
      <c r="N4359" s="58"/>
      <c r="O4359" s="58"/>
      <c r="P4359" s="53"/>
      <c r="Q4359" s="65"/>
      <c r="R4359" s="65"/>
      <c r="S4359" s="65"/>
      <c r="T4359" s="65"/>
      <c r="U4359" s="58"/>
      <c r="V4359" s="65"/>
      <c r="W4359" s="65"/>
      <c r="X4359" s="65"/>
      <c r="Y4359" s="65"/>
      <c r="Z4359" s="51"/>
      <c r="AA4359" s="51"/>
      <c r="AB4359" s="102"/>
      <c r="AC4359" s="81" t="e">
        <f t="shared" si="208"/>
        <v>#DIV/0!</v>
      </c>
      <c r="AD4359" s="82">
        <f t="shared" si="209"/>
        <v>0</v>
      </c>
      <c r="AE4359" s="218"/>
      <c r="AH4359" t="str">
        <f t="shared" si="207"/>
        <v>0000</v>
      </c>
      <c r="AJ4359" s="72"/>
      <c r="AK4359" s="72"/>
      <c r="AL4359" s="72"/>
      <c r="AM4359" s="72"/>
    </row>
    <row r="4360" spans="1:39" x14ac:dyDescent="0.25">
      <c r="A4360" s="37" t="s">
        <v>62</v>
      </c>
      <c r="B4360" s="66"/>
      <c r="C4360" s="4"/>
      <c r="D4360" s="41"/>
      <c r="E4360" s="41"/>
      <c r="F4360" s="85"/>
      <c r="G4360" s="39"/>
      <c r="H4360" s="52"/>
      <c r="I4360" s="52"/>
      <c r="J4360" s="49"/>
      <c r="K4360" s="58"/>
      <c r="L4360" s="58"/>
      <c r="M4360" s="58"/>
      <c r="N4360" s="58"/>
      <c r="O4360" s="58"/>
      <c r="P4360" s="53"/>
      <c r="Q4360" s="65"/>
      <c r="R4360" s="65"/>
      <c r="S4360" s="65"/>
      <c r="T4360" s="65"/>
      <c r="U4360" s="58"/>
      <c r="V4360" s="65"/>
      <c r="W4360" s="65"/>
      <c r="X4360" s="65"/>
      <c r="Y4360" s="65"/>
      <c r="Z4360" s="51"/>
      <c r="AA4360" s="51"/>
      <c r="AB4360" s="102"/>
      <c r="AC4360" s="81" t="e">
        <f t="shared" si="208"/>
        <v>#DIV/0!</v>
      </c>
      <c r="AD4360" s="82">
        <f t="shared" si="209"/>
        <v>0</v>
      </c>
      <c r="AE4360" s="218"/>
      <c r="AH4360" t="str">
        <f t="shared" si="207"/>
        <v>0000</v>
      </c>
      <c r="AJ4360" s="72"/>
      <c r="AK4360" s="72"/>
      <c r="AL4360" s="72"/>
      <c r="AM4360" s="72"/>
    </row>
    <row r="4361" spans="1:39" x14ac:dyDescent="0.25">
      <c r="A4361" s="37" t="s">
        <v>62</v>
      </c>
      <c r="B4361" s="66"/>
      <c r="C4361" s="4"/>
      <c r="D4361" s="41"/>
      <c r="E4361" s="41"/>
      <c r="F4361" s="85"/>
      <c r="G4361" s="39"/>
      <c r="H4361" s="52"/>
      <c r="I4361" s="52"/>
      <c r="J4361" s="49"/>
      <c r="K4361" s="58"/>
      <c r="L4361" s="58"/>
      <c r="M4361" s="58"/>
      <c r="N4361" s="58"/>
      <c r="O4361" s="58"/>
      <c r="P4361" s="53"/>
      <c r="Q4361" s="65"/>
      <c r="R4361" s="65"/>
      <c r="S4361" s="65"/>
      <c r="T4361" s="65"/>
      <c r="U4361" s="58"/>
      <c r="V4361" s="65"/>
      <c r="W4361" s="65"/>
      <c r="X4361" s="65"/>
      <c r="Y4361" s="65"/>
      <c r="Z4361" s="51"/>
      <c r="AA4361" s="51"/>
      <c r="AB4361" s="102"/>
      <c r="AC4361" s="81" t="e">
        <f t="shared" si="208"/>
        <v>#DIV/0!</v>
      </c>
      <c r="AD4361" s="82">
        <f t="shared" si="209"/>
        <v>0</v>
      </c>
      <c r="AE4361" s="218"/>
      <c r="AH4361" t="str">
        <f t="shared" si="207"/>
        <v>0000</v>
      </c>
      <c r="AJ4361" s="72"/>
      <c r="AK4361" s="72"/>
      <c r="AL4361" s="72"/>
      <c r="AM4361" s="72"/>
    </row>
    <row r="4362" spans="1:39" x14ac:dyDescent="0.25">
      <c r="A4362" s="37" t="s">
        <v>62</v>
      </c>
      <c r="B4362" s="66"/>
      <c r="C4362" s="4"/>
      <c r="D4362" s="41"/>
      <c r="E4362" s="41"/>
      <c r="F4362" s="85"/>
      <c r="G4362" s="39"/>
      <c r="H4362" s="52"/>
      <c r="I4362" s="52"/>
      <c r="J4362" s="49"/>
      <c r="K4362" s="58"/>
      <c r="L4362" s="58"/>
      <c r="M4362" s="58"/>
      <c r="N4362" s="58"/>
      <c r="O4362" s="58"/>
      <c r="P4362" s="53"/>
      <c r="Q4362" s="65"/>
      <c r="R4362" s="65"/>
      <c r="S4362" s="65"/>
      <c r="T4362" s="65"/>
      <c r="U4362" s="58"/>
      <c r="V4362" s="65"/>
      <c r="W4362" s="65"/>
      <c r="X4362" s="65"/>
      <c r="Y4362" s="65"/>
      <c r="Z4362" s="51"/>
      <c r="AA4362" s="51"/>
      <c r="AB4362" s="102"/>
      <c r="AC4362" s="81" t="e">
        <f t="shared" si="208"/>
        <v>#DIV/0!</v>
      </c>
      <c r="AD4362" s="82">
        <f t="shared" si="209"/>
        <v>0</v>
      </c>
      <c r="AE4362" s="218"/>
      <c r="AH4362" t="str">
        <f t="shared" si="207"/>
        <v>0000</v>
      </c>
      <c r="AJ4362" s="72"/>
      <c r="AK4362" s="72"/>
      <c r="AL4362" s="72"/>
      <c r="AM4362" s="72"/>
    </row>
    <row r="4363" spans="1:39" x14ac:dyDescent="0.25">
      <c r="A4363" s="37" t="s">
        <v>62</v>
      </c>
      <c r="B4363" s="66"/>
      <c r="C4363" s="4"/>
      <c r="D4363" s="41"/>
      <c r="E4363" s="41"/>
      <c r="F4363" s="85"/>
      <c r="G4363" s="39"/>
      <c r="H4363" s="52"/>
      <c r="I4363" s="52"/>
      <c r="J4363" s="49"/>
      <c r="K4363" s="58"/>
      <c r="L4363" s="58"/>
      <c r="M4363" s="58"/>
      <c r="N4363" s="58"/>
      <c r="O4363" s="58"/>
      <c r="P4363" s="53"/>
      <c r="Q4363" s="65"/>
      <c r="R4363" s="65"/>
      <c r="S4363" s="65"/>
      <c r="T4363" s="65"/>
      <c r="U4363" s="58"/>
      <c r="V4363" s="65"/>
      <c r="W4363" s="65"/>
      <c r="X4363" s="65"/>
      <c r="Y4363" s="65"/>
      <c r="Z4363" s="51"/>
      <c r="AA4363" s="51"/>
      <c r="AB4363" s="102"/>
      <c r="AC4363" s="81" t="e">
        <f t="shared" si="208"/>
        <v>#DIV/0!</v>
      </c>
      <c r="AD4363" s="82">
        <f t="shared" si="209"/>
        <v>0</v>
      </c>
      <c r="AE4363" s="218"/>
      <c r="AH4363" t="str">
        <f t="shared" si="207"/>
        <v>0000</v>
      </c>
      <c r="AJ4363" s="72"/>
      <c r="AK4363" s="72"/>
      <c r="AL4363" s="72"/>
      <c r="AM4363" s="72"/>
    </row>
    <row r="4364" spans="1:39" x14ac:dyDescent="0.25">
      <c r="A4364" s="37" t="s">
        <v>62</v>
      </c>
      <c r="B4364" s="66"/>
      <c r="C4364" s="4"/>
      <c r="D4364" s="41"/>
      <c r="E4364" s="41"/>
      <c r="F4364" s="85"/>
      <c r="G4364" s="39"/>
      <c r="H4364" s="52"/>
      <c r="I4364" s="52"/>
      <c r="J4364" s="49"/>
      <c r="K4364" s="58"/>
      <c r="L4364" s="58"/>
      <c r="M4364" s="58"/>
      <c r="N4364" s="58"/>
      <c r="O4364" s="58"/>
      <c r="P4364" s="53"/>
      <c r="Q4364" s="65"/>
      <c r="R4364" s="65"/>
      <c r="S4364" s="65"/>
      <c r="T4364" s="65"/>
      <c r="U4364" s="58"/>
      <c r="V4364" s="65"/>
      <c r="W4364" s="65"/>
      <c r="X4364" s="65"/>
      <c r="Y4364" s="65"/>
      <c r="Z4364" s="51"/>
      <c r="AA4364" s="51"/>
      <c r="AB4364" s="102"/>
      <c r="AC4364" s="81" t="e">
        <f t="shared" si="208"/>
        <v>#DIV/0!</v>
      </c>
      <c r="AD4364" s="82">
        <f t="shared" si="209"/>
        <v>0</v>
      </c>
      <c r="AE4364" s="218"/>
      <c r="AH4364" t="str">
        <f t="shared" si="207"/>
        <v>0000</v>
      </c>
      <c r="AJ4364" s="72"/>
      <c r="AK4364" s="72"/>
      <c r="AL4364" s="72"/>
      <c r="AM4364" s="72"/>
    </row>
    <row r="4365" spans="1:39" x14ac:dyDescent="0.25">
      <c r="A4365" s="37" t="s">
        <v>62</v>
      </c>
      <c r="B4365" s="66"/>
      <c r="C4365" s="4"/>
      <c r="D4365" s="41"/>
      <c r="E4365" s="41"/>
      <c r="F4365" s="85"/>
      <c r="G4365" s="39"/>
      <c r="H4365" s="52"/>
      <c r="I4365" s="52"/>
      <c r="J4365" s="49"/>
      <c r="K4365" s="58"/>
      <c r="L4365" s="58"/>
      <c r="M4365" s="58"/>
      <c r="N4365" s="58"/>
      <c r="O4365" s="58"/>
      <c r="P4365" s="53"/>
      <c r="Q4365" s="65"/>
      <c r="R4365" s="65"/>
      <c r="S4365" s="65"/>
      <c r="T4365" s="65"/>
      <c r="U4365" s="58"/>
      <c r="V4365" s="65"/>
      <c r="W4365" s="65"/>
      <c r="X4365" s="65"/>
      <c r="Y4365" s="65"/>
      <c r="Z4365" s="51"/>
      <c r="AA4365" s="51"/>
      <c r="AB4365" s="102"/>
      <c r="AC4365" s="81" t="e">
        <f t="shared" si="208"/>
        <v>#DIV/0!</v>
      </c>
      <c r="AD4365" s="82">
        <f t="shared" si="209"/>
        <v>0</v>
      </c>
      <c r="AE4365" s="218"/>
      <c r="AH4365" t="str">
        <f t="shared" si="207"/>
        <v>0000</v>
      </c>
      <c r="AJ4365" s="72"/>
      <c r="AK4365" s="72"/>
      <c r="AL4365" s="72"/>
      <c r="AM4365" s="72"/>
    </row>
    <row r="4366" spans="1:39" x14ac:dyDescent="0.25">
      <c r="A4366" s="37" t="s">
        <v>62</v>
      </c>
      <c r="B4366" s="66"/>
      <c r="C4366" s="4"/>
      <c r="D4366" s="41"/>
      <c r="E4366" s="41"/>
      <c r="F4366" s="85"/>
      <c r="G4366" s="39"/>
      <c r="H4366" s="52"/>
      <c r="I4366" s="52"/>
      <c r="J4366" s="49"/>
      <c r="K4366" s="58"/>
      <c r="L4366" s="58"/>
      <c r="M4366" s="58"/>
      <c r="N4366" s="58"/>
      <c r="O4366" s="58"/>
      <c r="P4366" s="53"/>
      <c r="Q4366" s="65"/>
      <c r="R4366" s="65"/>
      <c r="S4366" s="65"/>
      <c r="T4366" s="65"/>
      <c r="U4366" s="58"/>
      <c r="V4366" s="65"/>
      <c r="W4366" s="65"/>
      <c r="X4366" s="65"/>
      <c r="Y4366" s="65"/>
      <c r="Z4366" s="51"/>
      <c r="AA4366" s="51"/>
      <c r="AB4366" s="102"/>
      <c r="AC4366" s="81" t="e">
        <f t="shared" si="208"/>
        <v>#DIV/0!</v>
      </c>
      <c r="AD4366" s="82">
        <f t="shared" si="209"/>
        <v>0</v>
      </c>
      <c r="AE4366" s="218"/>
      <c r="AH4366" t="str">
        <f t="shared" si="207"/>
        <v>0000</v>
      </c>
      <c r="AJ4366" s="72"/>
      <c r="AK4366" s="72"/>
      <c r="AL4366" s="72"/>
      <c r="AM4366" s="72"/>
    </row>
    <row r="4367" spans="1:39" x14ac:dyDescent="0.25">
      <c r="A4367" s="37" t="s">
        <v>62</v>
      </c>
      <c r="B4367" s="66"/>
      <c r="C4367" s="4"/>
      <c r="D4367" s="41"/>
      <c r="E4367" s="41"/>
      <c r="F4367" s="85"/>
      <c r="G4367" s="39"/>
      <c r="H4367" s="52"/>
      <c r="I4367" s="52"/>
      <c r="J4367" s="49"/>
      <c r="K4367" s="58"/>
      <c r="L4367" s="58"/>
      <c r="M4367" s="58"/>
      <c r="N4367" s="58"/>
      <c r="O4367" s="58"/>
      <c r="P4367" s="53"/>
      <c r="Q4367" s="65"/>
      <c r="R4367" s="65"/>
      <c r="S4367" s="65"/>
      <c r="T4367" s="65"/>
      <c r="U4367" s="58"/>
      <c r="V4367" s="65"/>
      <c r="W4367" s="65"/>
      <c r="X4367" s="65"/>
      <c r="Y4367" s="65"/>
      <c r="Z4367" s="51"/>
      <c r="AA4367" s="51"/>
      <c r="AB4367" s="102"/>
      <c r="AC4367" s="81" t="e">
        <f t="shared" si="208"/>
        <v>#DIV/0!</v>
      </c>
      <c r="AD4367" s="82">
        <f t="shared" si="209"/>
        <v>0</v>
      </c>
      <c r="AE4367" s="218"/>
      <c r="AH4367" t="str">
        <f t="shared" si="207"/>
        <v>0000</v>
      </c>
      <c r="AJ4367" s="72"/>
      <c r="AK4367" s="72"/>
      <c r="AL4367" s="72"/>
      <c r="AM4367" s="72"/>
    </row>
    <row r="4368" spans="1:39" x14ac:dyDescent="0.25">
      <c r="A4368" s="37" t="s">
        <v>62</v>
      </c>
      <c r="B4368" s="66"/>
      <c r="C4368" s="4"/>
      <c r="D4368" s="41"/>
      <c r="E4368" s="41"/>
      <c r="F4368" s="85"/>
      <c r="G4368" s="39"/>
      <c r="H4368" s="52"/>
      <c r="I4368" s="52"/>
      <c r="J4368" s="49"/>
      <c r="K4368" s="58"/>
      <c r="L4368" s="58"/>
      <c r="M4368" s="58"/>
      <c r="N4368" s="58"/>
      <c r="O4368" s="58"/>
      <c r="P4368" s="53"/>
      <c r="Q4368" s="65"/>
      <c r="R4368" s="65"/>
      <c r="S4368" s="65"/>
      <c r="T4368" s="65"/>
      <c r="U4368" s="58"/>
      <c r="V4368" s="65"/>
      <c r="W4368" s="65"/>
      <c r="X4368" s="65"/>
      <c r="Y4368" s="65"/>
      <c r="Z4368" s="51"/>
      <c r="AA4368" s="51"/>
      <c r="AB4368" s="102"/>
      <c r="AC4368" s="81" t="e">
        <f t="shared" si="208"/>
        <v>#DIV/0!</v>
      </c>
      <c r="AD4368" s="82">
        <f t="shared" si="209"/>
        <v>0</v>
      </c>
      <c r="AE4368" s="218"/>
      <c r="AH4368" t="str">
        <f t="shared" si="207"/>
        <v>0000</v>
      </c>
      <c r="AJ4368" s="72"/>
      <c r="AK4368" s="72"/>
      <c r="AL4368" s="72"/>
      <c r="AM4368" s="72"/>
    </row>
    <row r="4369" spans="1:39" x14ac:dyDescent="0.25">
      <c r="A4369" s="37" t="s">
        <v>62</v>
      </c>
      <c r="B4369" s="66"/>
      <c r="C4369" s="4"/>
      <c r="D4369" s="41"/>
      <c r="E4369" s="41"/>
      <c r="F4369" s="85"/>
      <c r="G4369" s="39"/>
      <c r="H4369" s="52"/>
      <c r="I4369" s="52"/>
      <c r="J4369" s="49"/>
      <c r="K4369" s="58"/>
      <c r="L4369" s="58"/>
      <c r="M4369" s="58"/>
      <c r="N4369" s="58"/>
      <c r="O4369" s="58"/>
      <c r="P4369" s="53"/>
      <c r="Q4369" s="65"/>
      <c r="R4369" s="65"/>
      <c r="S4369" s="65"/>
      <c r="T4369" s="65"/>
      <c r="U4369" s="58"/>
      <c r="V4369" s="65"/>
      <c r="W4369" s="65"/>
      <c r="X4369" s="65"/>
      <c r="Y4369" s="65"/>
      <c r="Z4369" s="51"/>
      <c r="AA4369" s="51"/>
      <c r="AB4369" s="102"/>
      <c r="AC4369" s="81" t="e">
        <f t="shared" si="208"/>
        <v>#DIV/0!</v>
      </c>
      <c r="AD4369" s="82">
        <f t="shared" si="209"/>
        <v>0</v>
      </c>
      <c r="AE4369" s="218"/>
      <c r="AH4369" t="str">
        <f t="shared" si="207"/>
        <v>0000</v>
      </c>
      <c r="AJ4369" s="72"/>
      <c r="AK4369" s="72"/>
      <c r="AL4369" s="72"/>
      <c r="AM4369" s="72"/>
    </row>
    <row r="4370" spans="1:39" x14ac:dyDescent="0.25">
      <c r="A4370" s="37" t="s">
        <v>62</v>
      </c>
      <c r="B4370" s="66"/>
      <c r="C4370" s="4"/>
      <c r="D4370" s="41"/>
      <c r="E4370" s="41"/>
      <c r="F4370" s="85"/>
      <c r="G4370" s="39"/>
      <c r="H4370" s="52"/>
      <c r="I4370" s="52"/>
      <c r="J4370" s="49"/>
      <c r="K4370" s="58"/>
      <c r="L4370" s="58"/>
      <c r="M4370" s="58"/>
      <c r="N4370" s="58"/>
      <c r="O4370" s="58"/>
      <c r="P4370" s="53"/>
      <c r="Q4370" s="65"/>
      <c r="R4370" s="65"/>
      <c r="S4370" s="65"/>
      <c r="T4370" s="65"/>
      <c r="U4370" s="58"/>
      <c r="V4370" s="65"/>
      <c r="W4370" s="65"/>
      <c r="X4370" s="65"/>
      <c r="Y4370" s="65"/>
      <c r="Z4370" s="51"/>
      <c r="AA4370" s="51"/>
      <c r="AB4370" s="102"/>
      <c r="AC4370" s="81" t="e">
        <f t="shared" si="208"/>
        <v>#DIV/0!</v>
      </c>
      <c r="AD4370" s="82">
        <f t="shared" si="209"/>
        <v>0</v>
      </c>
      <c r="AE4370" s="218"/>
      <c r="AH4370" t="str">
        <f t="shared" si="207"/>
        <v>0000</v>
      </c>
      <c r="AJ4370" s="72"/>
      <c r="AK4370" s="72"/>
      <c r="AL4370" s="72"/>
      <c r="AM4370" s="72"/>
    </row>
    <row r="4371" spans="1:39" x14ac:dyDescent="0.25">
      <c r="A4371" s="37" t="s">
        <v>62</v>
      </c>
      <c r="B4371" s="66"/>
      <c r="C4371" s="4"/>
      <c r="D4371" s="41"/>
      <c r="E4371" s="41"/>
      <c r="F4371" s="85"/>
      <c r="G4371" s="39"/>
      <c r="H4371" s="52"/>
      <c r="I4371" s="52"/>
      <c r="J4371" s="49"/>
      <c r="K4371" s="58"/>
      <c r="L4371" s="58"/>
      <c r="M4371" s="58"/>
      <c r="N4371" s="58"/>
      <c r="O4371" s="58"/>
      <c r="P4371" s="53"/>
      <c r="Q4371" s="65"/>
      <c r="R4371" s="65"/>
      <c r="S4371" s="65"/>
      <c r="T4371" s="65"/>
      <c r="U4371" s="58"/>
      <c r="V4371" s="65"/>
      <c r="W4371" s="65"/>
      <c r="X4371" s="65"/>
      <c r="Y4371" s="65"/>
      <c r="Z4371" s="51"/>
      <c r="AA4371" s="51"/>
      <c r="AB4371" s="102"/>
      <c r="AC4371" s="81" t="e">
        <f t="shared" si="208"/>
        <v>#DIV/0!</v>
      </c>
      <c r="AD4371" s="82">
        <f t="shared" si="209"/>
        <v>0</v>
      </c>
      <c r="AE4371" s="218"/>
      <c r="AH4371" t="str">
        <f t="shared" si="207"/>
        <v>0000</v>
      </c>
      <c r="AJ4371" s="72"/>
      <c r="AK4371" s="72"/>
      <c r="AL4371" s="72"/>
      <c r="AM4371" s="72"/>
    </row>
    <row r="4372" spans="1:39" x14ac:dyDescent="0.25">
      <c r="A4372" s="37" t="s">
        <v>62</v>
      </c>
      <c r="B4372" s="66"/>
      <c r="C4372" s="4"/>
      <c r="D4372" s="41"/>
      <c r="E4372" s="41"/>
      <c r="F4372" s="85"/>
      <c r="G4372" s="39"/>
      <c r="H4372" s="52"/>
      <c r="I4372" s="52"/>
      <c r="J4372" s="49"/>
      <c r="K4372" s="58"/>
      <c r="L4372" s="58"/>
      <c r="M4372" s="58"/>
      <c r="N4372" s="58"/>
      <c r="O4372" s="58"/>
      <c r="P4372" s="53"/>
      <c r="Q4372" s="65"/>
      <c r="R4372" s="65"/>
      <c r="S4372" s="65"/>
      <c r="T4372" s="65"/>
      <c r="U4372" s="58"/>
      <c r="V4372" s="65"/>
      <c r="W4372" s="65"/>
      <c r="X4372" s="65"/>
      <c r="Y4372" s="65"/>
      <c r="Z4372" s="51"/>
      <c r="AA4372" s="51"/>
      <c r="AB4372" s="102"/>
      <c r="AC4372" s="81" t="e">
        <f t="shared" si="208"/>
        <v>#DIV/0!</v>
      </c>
      <c r="AD4372" s="82">
        <f t="shared" si="209"/>
        <v>0</v>
      </c>
      <c r="AE4372" s="218"/>
      <c r="AH4372" t="str">
        <f t="shared" si="207"/>
        <v>0000</v>
      </c>
      <c r="AJ4372" s="72"/>
      <c r="AK4372" s="72"/>
      <c r="AL4372" s="72"/>
      <c r="AM4372" s="72"/>
    </row>
    <row r="4373" spans="1:39" x14ac:dyDescent="0.25">
      <c r="A4373" s="37" t="s">
        <v>62</v>
      </c>
      <c r="B4373" s="66"/>
      <c r="C4373" s="4"/>
      <c r="D4373" s="41"/>
      <c r="E4373" s="41"/>
      <c r="F4373" s="85"/>
      <c r="G4373" s="39"/>
      <c r="H4373" s="52"/>
      <c r="I4373" s="52"/>
      <c r="J4373" s="49"/>
      <c r="K4373" s="58"/>
      <c r="L4373" s="58"/>
      <c r="M4373" s="58"/>
      <c r="N4373" s="58"/>
      <c r="O4373" s="58"/>
      <c r="P4373" s="53"/>
      <c r="Q4373" s="65"/>
      <c r="R4373" s="65"/>
      <c r="S4373" s="65"/>
      <c r="T4373" s="65"/>
      <c r="U4373" s="58"/>
      <c r="V4373" s="65"/>
      <c r="W4373" s="65"/>
      <c r="X4373" s="65"/>
      <c r="Y4373" s="65"/>
      <c r="Z4373" s="51"/>
      <c r="AA4373" s="51"/>
      <c r="AB4373" s="102"/>
      <c r="AC4373" s="81" t="e">
        <f t="shared" si="208"/>
        <v>#DIV/0!</v>
      </c>
      <c r="AD4373" s="82">
        <f t="shared" si="209"/>
        <v>0</v>
      </c>
      <c r="AE4373" s="218"/>
      <c r="AH4373" t="str">
        <f t="shared" si="207"/>
        <v>0000</v>
      </c>
      <c r="AJ4373" s="72"/>
      <c r="AK4373" s="72"/>
      <c r="AL4373" s="72"/>
      <c r="AM4373" s="72"/>
    </row>
    <row r="4374" spans="1:39" x14ac:dyDescent="0.25">
      <c r="A4374" s="37" t="s">
        <v>62</v>
      </c>
      <c r="B4374" s="66"/>
      <c r="C4374" s="4"/>
      <c r="D4374" s="41"/>
      <c r="E4374" s="41"/>
      <c r="F4374" s="85"/>
      <c r="G4374" s="39"/>
      <c r="H4374" s="52"/>
      <c r="I4374" s="52"/>
      <c r="J4374" s="49"/>
      <c r="K4374" s="58"/>
      <c r="L4374" s="58"/>
      <c r="M4374" s="58"/>
      <c r="N4374" s="58"/>
      <c r="O4374" s="58"/>
      <c r="P4374" s="53"/>
      <c r="Q4374" s="65"/>
      <c r="R4374" s="65"/>
      <c r="S4374" s="65"/>
      <c r="T4374" s="65"/>
      <c r="U4374" s="58"/>
      <c r="V4374" s="65"/>
      <c r="W4374" s="65"/>
      <c r="X4374" s="65"/>
      <c r="Y4374" s="65"/>
      <c r="Z4374" s="51"/>
      <c r="AA4374" s="51"/>
      <c r="AB4374" s="102"/>
      <c r="AC4374" s="81" t="e">
        <f t="shared" si="208"/>
        <v>#DIV/0!</v>
      </c>
      <c r="AD4374" s="82">
        <f t="shared" si="209"/>
        <v>0</v>
      </c>
      <c r="AE4374" s="218"/>
      <c r="AH4374" t="str">
        <f t="shared" si="207"/>
        <v>0000</v>
      </c>
      <c r="AJ4374" s="72"/>
      <c r="AK4374" s="72"/>
      <c r="AL4374" s="72"/>
      <c r="AM4374" s="72"/>
    </row>
    <row r="4375" spans="1:39" x14ac:dyDescent="0.25">
      <c r="A4375" s="37" t="s">
        <v>62</v>
      </c>
      <c r="B4375" s="66"/>
      <c r="C4375" s="4"/>
      <c r="D4375" s="41"/>
      <c r="E4375" s="41"/>
      <c r="F4375" s="85"/>
      <c r="G4375" s="39"/>
      <c r="H4375" s="52"/>
      <c r="I4375" s="52"/>
      <c r="J4375" s="49"/>
      <c r="K4375" s="58"/>
      <c r="L4375" s="58"/>
      <c r="M4375" s="58"/>
      <c r="N4375" s="58"/>
      <c r="O4375" s="58"/>
      <c r="P4375" s="53"/>
      <c r="Q4375" s="65"/>
      <c r="R4375" s="65"/>
      <c r="S4375" s="65"/>
      <c r="T4375" s="65"/>
      <c r="U4375" s="58"/>
      <c r="V4375" s="65"/>
      <c r="W4375" s="65"/>
      <c r="X4375" s="65"/>
      <c r="Y4375" s="65"/>
      <c r="Z4375" s="51"/>
      <c r="AA4375" s="51"/>
      <c r="AB4375" s="102"/>
      <c r="AC4375" s="81" t="e">
        <f t="shared" si="208"/>
        <v>#DIV/0!</v>
      </c>
      <c r="AD4375" s="82">
        <f t="shared" si="209"/>
        <v>0</v>
      </c>
      <c r="AE4375" s="218"/>
      <c r="AH4375" t="str">
        <f t="shared" si="207"/>
        <v>0000</v>
      </c>
      <c r="AJ4375" s="72"/>
      <c r="AK4375" s="72"/>
      <c r="AL4375" s="72"/>
      <c r="AM4375" s="72"/>
    </row>
    <row r="4376" spans="1:39" x14ac:dyDescent="0.25">
      <c r="A4376" s="37" t="s">
        <v>62</v>
      </c>
      <c r="B4376" s="66"/>
      <c r="C4376" s="4"/>
      <c r="D4376" s="41"/>
      <c r="E4376" s="41"/>
      <c r="F4376" s="85"/>
      <c r="G4376" s="39"/>
      <c r="H4376" s="52"/>
      <c r="I4376" s="52"/>
      <c r="J4376" s="49"/>
      <c r="K4376" s="58"/>
      <c r="L4376" s="58"/>
      <c r="M4376" s="58"/>
      <c r="N4376" s="58"/>
      <c r="O4376" s="58"/>
      <c r="P4376" s="53"/>
      <c r="Q4376" s="65"/>
      <c r="R4376" s="65"/>
      <c r="S4376" s="65"/>
      <c r="T4376" s="65"/>
      <c r="U4376" s="58"/>
      <c r="V4376" s="65"/>
      <c r="W4376" s="65"/>
      <c r="X4376" s="65"/>
      <c r="Y4376" s="65"/>
      <c r="Z4376" s="51"/>
      <c r="AA4376" s="51"/>
      <c r="AB4376" s="102"/>
      <c r="AC4376" s="81" t="e">
        <f t="shared" si="208"/>
        <v>#DIV/0!</v>
      </c>
      <c r="AD4376" s="82">
        <f t="shared" si="209"/>
        <v>0</v>
      </c>
      <c r="AE4376" s="218"/>
      <c r="AH4376" t="str">
        <f t="shared" si="207"/>
        <v>0000</v>
      </c>
      <c r="AJ4376" s="72"/>
      <c r="AK4376" s="72"/>
      <c r="AL4376" s="72"/>
      <c r="AM4376" s="72"/>
    </row>
    <row r="4377" spans="1:39" x14ac:dyDescent="0.25">
      <c r="A4377" s="37" t="s">
        <v>62</v>
      </c>
      <c r="B4377" s="66"/>
      <c r="C4377" s="4"/>
      <c r="D4377" s="41"/>
      <c r="E4377" s="41"/>
      <c r="F4377" s="85"/>
      <c r="G4377" s="39"/>
      <c r="H4377" s="52"/>
      <c r="I4377" s="52"/>
      <c r="J4377" s="49"/>
      <c r="K4377" s="58"/>
      <c r="L4377" s="58"/>
      <c r="M4377" s="58"/>
      <c r="N4377" s="58"/>
      <c r="O4377" s="58"/>
      <c r="P4377" s="53"/>
      <c r="Q4377" s="65"/>
      <c r="R4377" s="65"/>
      <c r="S4377" s="65"/>
      <c r="T4377" s="65"/>
      <c r="U4377" s="58"/>
      <c r="V4377" s="65"/>
      <c r="W4377" s="65"/>
      <c r="X4377" s="65"/>
      <c r="Y4377" s="65"/>
      <c r="Z4377" s="51"/>
      <c r="AA4377" s="51"/>
      <c r="AB4377" s="102"/>
      <c r="AC4377" s="81" t="e">
        <f t="shared" si="208"/>
        <v>#DIV/0!</v>
      </c>
      <c r="AD4377" s="82">
        <f t="shared" si="209"/>
        <v>0</v>
      </c>
      <c r="AE4377" s="218"/>
      <c r="AH4377" t="str">
        <f t="shared" si="207"/>
        <v>0000</v>
      </c>
      <c r="AJ4377" s="72"/>
      <c r="AK4377" s="72"/>
      <c r="AL4377" s="72"/>
      <c r="AM4377" s="72"/>
    </row>
    <row r="4378" spans="1:39" x14ac:dyDescent="0.25">
      <c r="A4378" s="37" t="s">
        <v>62</v>
      </c>
      <c r="B4378" s="66"/>
      <c r="C4378" s="4"/>
      <c r="D4378" s="41"/>
      <c r="E4378" s="41"/>
      <c r="F4378" s="85"/>
      <c r="G4378" s="39"/>
      <c r="H4378" s="52"/>
      <c r="I4378" s="52"/>
      <c r="J4378" s="49"/>
      <c r="K4378" s="58"/>
      <c r="L4378" s="58"/>
      <c r="M4378" s="58"/>
      <c r="N4378" s="58"/>
      <c r="O4378" s="58"/>
      <c r="P4378" s="53"/>
      <c r="Q4378" s="65"/>
      <c r="R4378" s="65"/>
      <c r="S4378" s="65"/>
      <c r="T4378" s="65"/>
      <c r="U4378" s="58"/>
      <c r="V4378" s="65"/>
      <c r="W4378" s="65"/>
      <c r="X4378" s="65"/>
      <c r="Y4378" s="65"/>
      <c r="Z4378" s="51"/>
      <c r="AA4378" s="51"/>
      <c r="AB4378" s="102"/>
      <c r="AC4378" s="81" t="e">
        <f t="shared" si="208"/>
        <v>#DIV/0!</v>
      </c>
      <c r="AD4378" s="82">
        <f t="shared" si="209"/>
        <v>0</v>
      </c>
      <c r="AE4378" s="218"/>
      <c r="AH4378" t="str">
        <f t="shared" si="207"/>
        <v>0000</v>
      </c>
      <c r="AJ4378" s="72"/>
      <c r="AK4378" s="72"/>
      <c r="AL4378" s="72"/>
      <c r="AM4378" s="72"/>
    </row>
    <row r="4379" spans="1:39" x14ac:dyDescent="0.25">
      <c r="A4379" s="37" t="s">
        <v>62</v>
      </c>
      <c r="B4379" s="66"/>
      <c r="C4379" s="4"/>
      <c r="D4379" s="41"/>
      <c r="E4379" s="41"/>
      <c r="F4379" s="85"/>
      <c r="G4379" s="39"/>
      <c r="H4379" s="52"/>
      <c r="I4379" s="52"/>
      <c r="J4379" s="49"/>
      <c r="K4379" s="58"/>
      <c r="L4379" s="58"/>
      <c r="M4379" s="58"/>
      <c r="N4379" s="58"/>
      <c r="O4379" s="58"/>
      <c r="P4379" s="53"/>
      <c r="Q4379" s="65"/>
      <c r="R4379" s="65"/>
      <c r="S4379" s="65"/>
      <c r="T4379" s="65"/>
      <c r="U4379" s="58"/>
      <c r="V4379" s="65"/>
      <c r="W4379" s="65"/>
      <c r="X4379" s="65"/>
      <c r="Y4379" s="65"/>
      <c r="Z4379" s="51"/>
      <c r="AA4379" s="51"/>
      <c r="AB4379" s="102"/>
      <c r="AC4379" s="81" t="e">
        <f t="shared" si="208"/>
        <v>#DIV/0!</v>
      </c>
      <c r="AD4379" s="82">
        <f t="shared" si="209"/>
        <v>0</v>
      </c>
      <c r="AE4379" s="218"/>
      <c r="AH4379" t="str">
        <f t="shared" si="207"/>
        <v>0000</v>
      </c>
      <c r="AJ4379" s="72"/>
      <c r="AK4379" s="72"/>
      <c r="AL4379" s="72"/>
      <c r="AM4379" s="72"/>
    </row>
    <row r="4380" spans="1:39" x14ac:dyDescent="0.25">
      <c r="A4380" s="37" t="s">
        <v>62</v>
      </c>
      <c r="B4380" s="66"/>
      <c r="C4380" s="4"/>
      <c r="D4380" s="41"/>
      <c r="E4380" s="41"/>
      <c r="F4380" s="85"/>
      <c r="G4380" s="39"/>
      <c r="H4380" s="52"/>
      <c r="I4380" s="52"/>
      <c r="J4380" s="49"/>
      <c r="K4380" s="58"/>
      <c r="L4380" s="58"/>
      <c r="M4380" s="58"/>
      <c r="N4380" s="58"/>
      <c r="O4380" s="58"/>
      <c r="P4380" s="53"/>
      <c r="Q4380" s="65"/>
      <c r="R4380" s="65"/>
      <c r="S4380" s="65"/>
      <c r="T4380" s="65"/>
      <c r="U4380" s="58"/>
      <c r="V4380" s="65"/>
      <c r="W4380" s="65"/>
      <c r="X4380" s="65"/>
      <c r="Y4380" s="65"/>
      <c r="Z4380" s="51"/>
      <c r="AA4380" s="51"/>
      <c r="AB4380" s="102"/>
      <c r="AC4380" s="81" t="e">
        <f t="shared" si="208"/>
        <v>#DIV/0!</v>
      </c>
      <c r="AD4380" s="82">
        <f t="shared" si="209"/>
        <v>0</v>
      </c>
      <c r="AE4380" s="218"/>
      <c r="AH4380" t="str">
        <f t="shared" si="207"/>
        <v>0000</v>
      </c>
      <c r="AJ4380" s="72"/>
      <c r="AK4380" s="72"/>
      <c r="AL4380" s="72"/>
      <c r="AM4380" s="72"/>
    </row>
    <row r="4381" spans="1:39" x14ac:dyDescent="0.25">
      <c r="A4381" s="37" t="s">
        <v>62</v>
      </c>
      <c r="B4381" s="66"/>
      <c r="C4381" s="4"/>
      <c r="D4381" s="41"/>
      <c r="E4381" s="41"/>
      <c r="F4381" s="85"/>
      <c r="G4381" s="39"/>
      <c r="H4381" s="52"/>
      <c r="I4381" s="52"/>
      <c r="J4381" s="49"/>
      <c r="K4381" s="58"/>
      <c r="L4381" s="58"/>
      <c r="M4381" s="58"/>
      <c r="N4381" s="58"/>
      <c r="O4381" s="58"/>
      <c r="P4381" s="53"/>
      <c r="Q4381" s="65"/>
      <c r="R4381" s="65"/>
      <c r="S4381" s="65"/>
      <c r="T4381" s="65"/>
      <c r="U4381" s="58"/>
      <c r="V4381" s="65"/>
      <c r="W4381" s="65"/>
      <c r="X4381" s="65"/>
      <c r="Y4381" s="65"/>
      <c r="Z4381" s="51"/>
      <c r="AA4381" s="51"/>
      <c r="AB4381" s="102"/>
      <c r="AC4381" s="81" t="e">
        <f t="shared" si="208"/>
        <v>#DIV/0!</v>
      </c>
      <c r="AD4381" s="82">
        <f t="shared" si="209"/>
        <v>0</v>
      </c>
      <c r="AE4381" s="218"/>
      <c r="AH4381" t="str">
        <f t="shared" si="207"/>
        <v>0000</v>
      </c>
      <c r="AJ4381" s="72"/>
      <c r="AK4381" s="72"/>
      <c r="AL4381" s="72"/>
      <c r="AM4381" s="72"/>
    </row>
    <row r="4382" spans="1:39" x14ac:dyDescent="0.25">
      <c r="A4382" s="37" t="s">
        <v>62</v>
      </c>
      <c r="B4382" s="66"/>
      <c r="C4382" s="4"/>
      <c r="D4382" s="41"/>
      <c r="E4382" s="41"/>
      <c r="F4382" s="85"/>
      <c r="G4382" s="39"/>
      <c r="H4382" s="52"/>
      <c r="I4382" s="52"/>
      <c r="J4382" s="49"/>
      <c r="K4382" s="58"/>
      <c r="L4382" s="58"/>
      <c r="M4382" s="58"/>
      <c r="N4382" s="58"/>
      <c r="O4382" s="58"/>
      <c r="P4382" s="53"/>
      <c r="Q4382" s="65"/>
      <c r="R4382" s="65"/>
      <c r="S4382" s="65"/>
      <c r="T4382" s="65"/>
      <c r="U4382" s="58"/>
      <c r="V4382" s="65"/>
      <c r="W4382" s="65"/>
      <c r="X4382" s="65"/>
      <c r="Y4382" s="65"/>
      <c r="Z4382" s="51"/>
      <c r="AA4382" s="51"/>
      <c r="AB4382" s="102"/>
      <c r="AC4382" s="81" t="e">
        <f t="shared" si="208"/>
        <v>#DIV/0!</v>
      </c>
      <c r="AD4382" s="82">
        <f t="shared" si="209"/>
        <v>0</v>
      </c>
      <c r="AE4382" s="218"/>
      <c r="AH4382" t="str">
        <f t="shared" si="207"/>
        <v>0000</v>
      </c>
      <c r="AJ4382" s="72"/>
      <c r="AK4382" s="72"/>
      <c r="AL4382" s="72"/>
      <c r="AM4382" s="72"/>
    </row>
    <row r="4383" spans="1:39" x14ac:dyDescent="0.25">
      <c r="A4383" s="37" t="s">
        <v>62</v>
      </c>
      <c r="B4383" s="66"/>
      <c r="C4383" s="4"/>
      <c r="D4383" s="41"/>
      <c r="E4383" s="41"/>
      <c r="F4383" s="85"/>
      <c r="G4383" s="39"/>
      <c r="H4383" s="52"/>
      <c r="I4383" s="52"/>
      <c r="J4383" s="49"/>
      <c r="K4383" s="58"/>
      <c r="L4383" s="58"/>
      <c r="M4383" s="58"/>
      <c r="N4383" s="58"/>
      <c r="O4383" s="58"/>
      <c r="P4383" s="53"/>
      <c r="Q4383" s="65"/>
      <c r="R4383" s="65"/>
      <c r="S4383" s="65"/>
      <c r="T4383" s="65"/>
      <c r="U4383" s="58"/>
      <c r="V4383" s="65"/>
      <c r="W4383" s="65"/>
      <c r="X4383" s="65"/>
      <c r="Y4383" s="65"/>
      <c r="Z4383" s="51"/>
      <c r="AA4383" s="51"/>
      <c r="AB4383" s="102"/>
      <c r="AC4383" s="81" t="e">
        <f t="shared" si="208"/>
        <v>#DIV/0!</v>
      </c>
      <c r="AD4383" s="82">
        <f t="shared" si="209"/>
        <v>0</v>
      </c>
      <c r="AE4383" s="218"/>
      <c r="AH4383" t="str">
        <f t="shared" si="207"/>
        <v>0000</v>
      </c>
      <c r="AJ4383" s="72"/>
      <c r="AK4383" s="72"/>
      <c r="AL4383" s="72"/>
      <c r="AM4383" s="72"/>
    </row>
    <row r="4384" spans="1:39" x14ac:dyDescent="0.25">
      <c r="A4384" s="37" t="s">
        <v>62</v>
      </c>
      <c r="B4384" s="66"/>
      <c r="C4384" s="4"/>
      <c r="D4384" s="41"/>
      <c r="E4384" s="41"/>
      <c r="F4384" s="85"/>
      <c r="G4384" s="39"/>
      <c r="H4384" s="52"/>
      <c r="I4384" s="52"/>
      <c r="J4384" s="49"/>
      <c r="K4384" s="58"/>
      <c r="L4384" s="58"/>
      <c r="M4384" s="58"/>
      <c r="N4384" s="58"/>
      <c r="O4384" s="58"/>
      <c r="P4384" s="53"/>
      <c r="Q4384" s="65"/>
      <c r="R4384" s="65"/>
      <c r="S4384" s="65"/>
      <c r="T4384" s="65"/>
      <c r="U4384" s="58"/>
      <c r="V4384" s="65"/>
      <c r="W4384" s="65"/>
      <c r="X4384" s="65"/>
      <c r="Y4384" s="65"/>
      <c r="Z4384" s="51"/>
      <c r="AA4384" s="51"/>
      <c r="AB4384" s="102"/>
      <c r="AC4384" s="81" t="e">
        <f t="shared" si="208"/>
        <v>#DIV/0!</v>
      </c>
      <c r="AD4384" s="82">
        <f t="shared" si="209"/>
        <v>0</v>
      </c>
      <c r="AE4384" s="218"/>
      <c r="AH4384" t="str">
        <f t="shared" si="207"/>
        <v>0000</v>
      </c>
      <c r="AJ4384" s="72"/>
      <c r="AK4384" s="72"/>
      <c r="AL4384" s="72"/>
      <c r="AM4384" s="72"/>
    </row>
    <row r="4385" spans="1:39" x14ac:dyDescent="0.25">
      <c r="A4385" s="37" t="s">
        <v>62</v>
      </c>
      <c r="B4385" s="66"/>
      <c r="C4385" s="4"/>
      <c r="D4385" s="41"/>
      <c r="E4385" s="41"/>
      <c r="F4385" s="85"/>
      <c r="G4385" s="39"/>
      <c r="H4385" s="52"/>
      <c r="I4385" s="52"/>
      <c r="J4385" s="49"/>
      <c r="K4385" s="58"/>
      <c r="L4385" s="58"/>
      <c r="M4385" s="58"/>
      <c r="N4385" s="58"/>
      <c r="O4385" s="58"/>
      <c r="P4385" s="53"/>
      <c r="Q4385" s="65"/>
      <c r="R4385" s="65"/>
      <c r="S4385" s="65"/>
      <c r="T4385" s="65"/>
      <c r="U4385" s="58"/>
      <c r="V4385" s="65"/>
      <c r="W4385" s="65"/>
      <c r="X4385" s="65"/>
      <c r="Y4385" s="65"/>
      <c r="Z4385" s="51"/>
      <c r="AA4385" s="51"/>
      <c r="AB4385" s="102"/>
      <c r="AC4385" s="81" t="e">
        <f t="shared" si="208"/>
        <v>#DIV/0!</v>
      </c>
      <c r="AD4385" s="82">
        <f t="shared" si="209"/>
        <v>0</v>
      </c>
      <c r="AE4385" s="218"/>
      <c r="AH4385" t="str">
        <f t="shared" si="207"/>
        <v>0000</v>
      </c>
      <c r="AJ4385" s="72"/>
      <c r="AK4385" s="72"/>
      <c r="AL4385" s="72"/>
      <c r="AM4385" s="72"/>
    </row>
    <row r="4386" spans="1:39" x14ac:dyDescent="0.25">
      <c r="A4386" s="37" t="s">
        <v>62</v>
      </c>
      <c r="B4386" s="66"/>
      <c r="C4386" s="4"/>
      <c r="D4386" s="41"/>
      <c r="E4386" s="41"/>
      <c r="F4386" s="85"/>
      <c r="G4386" s="39"/>
      <c r="H4386" s="52"/>
      <c r="I4386" s="52"/>
      <c r="J4386" s="49"/>
      <c r="K4386" s="58"/>
      <c r="L4386" s="58"/>
      <c r="M4386" s="58"/>
      <c r="N4386" s="58"/>
      <c r="O4386" s="58"/>
      <c r="P4386" s="53"/>
      <c r="Q4386" s="65"/>
      <c r="R4386" s="65"/>
      <c r="S4386" s="65"/>
      <c r="T4386" s="65"/>
      <c r="U4386" s="58"/>
      <c r="V4386" s="65"/>
      <c r="W4386" s="65"/>
      <c r="X4386" s="65"/>
      <c r="Y4386" s="65"/>
      <c r="Z4386" s="51"/>
      <c r="AA4386" s="51"/>
      <c r="AB4386" s="102"/>
      <c r="AC4386" s="81" t="e">
        <f t="shared" si="208"/>
        <v>#DIV/0!</v>
      </c>
      <c r="AD4386" s="82">
        <f t="shared" si="209"/>
        <v>0</v>
      </c>
      <c r="AE4386" s="218"/>
      <c r="AH4386" t="str">
        <f t="shared" si="207"/>
        <v>0000</v>
      </c>
      <c r="AJ4386" s="72"/>
      <c r="AK4386" s="72"/>
      <c r="AL4386" s="72"/>
      <c r="AM4386" s="72"/>
    </row>
    <row r="4387" spans="1:39" x14ac:dyDescent="0.25">
      <c r="A4387" s="37" t="s">
        <v>62</v>
      </c>
      <c r="B4387" s="66"/>
      <c r="C4387" s="4"/>
      <c r="D4387" s="41"/>
      <c r="E4387" s="41"/>
      <c r="F4387" s="85"/>
      <c r="G4387" s="39"/>
      <c r="H4387" s="52"/>
      <c r="I4387" s="52"/>
      <c r="J4387" s="49"/>
      <c r="K4387" s="58"/>
      <c r="L4387" s="58"/>
      <c r="M4387" s="58"/>
      <c r="N4387" s="58"/>
      <c r="O4387" s="58"/>
      <c r="P4387" s="53"/>
      <c r="Q4387" s="65"/>
      <c r="R4387" s="65"/>
      <c r="S4387" s="65"/>
      <c r="T4387" s="65"/>
      <c r="U4387" s="58"/>
      <c r="V4387" s="65"/>
      <c r="W4387" s="65"/>
      <c r="X4387" s="65"/>
      <c r="Y4387" s="65"/>
      <c r="Z4387" s="51"/>
      <c r="AA4387" s="51"/>
      <c r="AB4387" s="102"/>
      <c r="AC4387" s="81" t="e">
        <f t="shared" si="208"/>
        <v>#DIV/0!</v>
      </c>
      <c r="AD4387" s="82">
        <f t="shared" si="209"/>
        <v>0</v>
      </c>
      <c r="AE4387" s="218"/>
      <c r="AH4387" t="str">
        <f t="shared" si="207"/>
        <v>0000</v>
      </c>
      <c r="AJ4387" s="72"/>
      <c r="AK4387" s="72"/>
      <c r="AL4387" s="72"/>
      <c r="AM4387" s="72"/>
    </row>
    <row r="4388" spans="1:39" x14ac:dyDescent="0.25">
      <c r="A4388" s="37" t="s">
        <v>62</v>
      </c>
      <c r="B4388" s="66"/>
      <c r="C4388" s="4"/>
      <c r="D4388" s="41"/>
      <c r="E4388" s="41"/>
      <c r="F4388" s="85"/>
      <c r="G4388" s="39"/>
      <c r="H4388" s="52"/>
      <c r="I4388" s="52"/>
      <c r="J4388" s="49"/>
      <c r="K4388" s="58"/>
      <c r="L4388" s="58"/>
      <c r="M4388" s="58"/>
      <c r="N4388" s="58"/>
      <c r="O4388" s="58"/>
      <c r="P4388" s="53"/>
      <c r="Q4388" s="65"/>
      <c r="R4388" s="65"/>
      <c r="S4388" s="65"/>
      <c r="T4388" s="65"/>
      <c r="U4388" s="58"/>
      <c r="V4388" s="65"/>
      <c r="W4388" s="65"/>
      <c r="X4388" s="65"/>
      <c r="Y4388" s="65"/>
      <c r="Z4388" s="51"/>
      <c r="AA4388" s="51"/>
      <c r="AB4388" s="102"/>
      <c r="AC4388" s="81" t="e">
        <f t="shared" si="208"/>
        <v>#DIV/0!</v>
      </c>
      <c r="AD4388" s="82">
        <f t="shared" si="209"/>
        <v>0</v>
      </c>
      <c r="AE4388" s="218"/>
      <c r="AH4388" t="str">
        <f t="shared" si="207"/>
        <v>0000</v>
      </c>
      <c r="AJ4388" s="72"/>
      <c r="AK4388" s="72"/>
      <c r="AL4388" s="72"/>
      <c r="AM4388" s="72"/>
    </row>
    <row r="4389" spans="1:39" x14ac:dyDescent="0.25">
      <c r="A4389" s="37" t="s">
        <v>62</v>
      </c>
      <c r="B4389" s="66"/>
      <c r="C4389" s="4"/>
      <c r="D4389" s="41"/>
      <c r="E4389" s="41"/>
      <c r="F4389" s="85"/>
      <c r="G4389" s="39"/>
      <c r="H4389" s="52"/>
      <c r="I4389" s="52"/>
      <c r="J4389" s="49"/>
      <c r="K4389" s="58"/>
      <c r="L4389" s="58"/>
      <c r="M4389" s="58"/>
      <c r="N4389" s="58"/>
      <c r="O4389" s="58"/>
      <c r="P4389" s="53"/>
      <c r="Q4389" s="65"/>
      <c r="R4389" s="65"/>
      <c r="S4389" s="65"/>
      <c r="T4389" s="65"/>
      <c r="U4389" s="58"/>
      <c r="V4389" s="65"/>
      <c r="W4389" s="65"/>
      <c r="X4389" s="65"/>
      <c r="Y4389" s="65"/>
      <c r="Z4389" s="51"/>
      <c r="AA4389" s="51"/>
      <c r="AB4389" s="102"/>
      <c r="AC4389" s="81" t="e">
        <f t="shared" si="208"/>
        <v>#DIV/0!</v>
      </c>
      <c r="AD4389" s="82">
        <f t="shared" si="209"/>
        <v>0</v>
      </c>
      <c r="AE4389" s="218"/>
      <c r="AH4389" t="str">
        <f t="shared" si="207"/>
        <v>0000</v>
      </c>
      <c r="AJ4389" s="72"/>
      <c r="AK4389" s="72"/>
      <c r="AL4389" s="72"/>
      <c r="AM4389" s="72"/>
    </row>
    <row r="4390" spans="1:39" x14ac:dyDescent="0.25">
      <c r="A4390" s="37" t="s">
        <v>62</v>
      </c>
      <c r="B4390" s="66"/>
      <c r="C4390" s="4"/>
      <c r="D4390" s="41"/>
      <c r="E4390" s="41"/>
      <c r="F4390" s="85"/>
      <c r="G4390" s="39"/>
      <c r="H4390" s="52"/>
      <c r="I4390" s="52"/>
      <c r="J4390" s="49"/>
      <c r="K4390" s="58"/>
      <c r="L4390" s="58"/>
      <c r="M4390" s="58"/>
      <c r="N4390" s="58"/>
      <c r="O4390" s="58"/>
      <c r="P4390" s="53"/>
      <c r="Q4390" s="65"/>
      <c r="R4390" s="65"/>
      <c r="S4390" s="65"/>
      <c r="T4390" s="65"/>
      <c r="U4390" s="58"/>
      <c r="V4390" s="65"/>
      <c r="W4390" s="65"/>
      <c r="X4390" s="65"/>
      <c r="Y4390" s="65"/>
      <c r="Z4390" s="51"/>
      <c r="AA4390" s="51"/>
      <c r="AB4390" s="102"/>
      <c r="AC4390" s="81" t="e">
        <f t="shared" si="208"/>
        <v>#DIV/0!</v>
      </c>
      <c r="AD4390" s="82">
        <f t="shared" si="209"/>
        <v>0</v>
      </c>
      <c r="AE4390" s="218"/>
      <c r="AH4390" t="str">
        <f t="shared" si="207"/>
        <v>0000</v>
      </c>
      <c r="AJ4390" s="72"/>
      <c r="AK4390" s="72"/>
      <c r="AL4390" s="72"/>
      <c r="AM4390" s="72"/>
    </row>
    <row r="4391" spans="1:39" x14ac:dyDescent="0.25">
      <c r="A4391" s="37" t="s">
        <v>62</v>
      </c>
      <c r="B4391" s="66"/>
      <c r="C4391" s="4"/>
      <c r="D4391" s="41"/>
      <c r="E4391" s="41"/>
      <c r="F4391" s="85"/>
      <c r="G4391" s="39"/>
      <c r="H4391" s="52"/>
      <c r="I4391" s="52"/>
      <c r="J4391" s="49"/>
      <c r="K4391" s="58"/>
      <c r="L4391" s="58"/>
      <c r="M4391" s="58"/>
      <c r="N4391" s="58"/>
      <c r="O4391" s="58"/>
      <c r="P4391" s="53"/>
      <c r="Q4391" s="65"/>
      <c r="R4391" s="65"/>
      <c r="S4391" s="65"/>
      <c r="T4391" s="65"/>
      <c r="U4391" s="58"/>
      <c r="V4391" s="65"/>
      <c r="W4391" s="65"/>
      <c r="X4391" s="65"/>
      <c r="Y4391" s="65"/>
      <c r="Z4391" s="51"/>
      <c r="AA4391" s="51"/>
      <c r="AB4391" s="102"/>
      <c r="AC4391" s="81" t="e">
        <f t="shared" si="208"/>
        <v>#DIV/0!</v>
      </c>
      <c r="AD4391" s="82">
        <f t="shared" si="209"/>
        <v>0</v>
      </c>
      <c r="AE4391" s="218"/>
      <c r="AH4391" t="str">
        <f t="shared" si="207"/>
        <v>0000</v>
      </c>
      <c r="AJ4391" s="72"/>
      <c r="AK4391" s="72"/>
      <c r="AL4391" s="72"/>
      <c r="AM4391" s="72"/>
    </row>
    <row r="4392" spans="1:39" x14ac:dyDescent="0.25">
      <c r="A4392" s="37" t="s">
        <v>62</v>
      </c>
      <c r="B4392" s="66"/>
      <c r="C4392" s="4"/>
      <c r="D4392" s="41"/>
      <c r="E4392" s="41"/>
      <c r="F4392" s="85"/>
      <c r="G4392" s="39"/>
      <c r="H4392" s="52"/>
      <c r="I4392" s="52"/>
      <c r="J4392" s="49"/>
      <c r="K4392" s="58"/>
      <c r="L4392" s="58"/>
      <c r="M4392" s="58"/>
      <c r="N4392" s="58"/>
      <c r="O4392" s="58"/>
      <c r="P4392" s="53"/>
      <c r="Q4392" s="65"/>
      <c r="R4392" s="65"/>
      <c r="S4392" s="65"/>
      <c r="T4392" s="65"/>
      <c r="U4392" s="58"/>
      <c r="V4392" s="65"/>
      <c r="W4392" s="65"/>
      <c r="X4392" s="65"/>
      <c r="Y4392" s="65"/>
      <c r="Z4392" s="51"/>
      <c r="AA4392" s="51"/>
      <c r="AB4392" s="102"/>
      <c r="AC4392" s="81" t="e">
        <f t="shared" si="208"/>
        <v>#DIV/0!</v>
      </c>
      <c r="AD4392" s="82">
        <f t="shared" si="209"/>
        <v>0</v>
      </c>
      <c r="AE4392" s="218"/>
      <c r="AH4392" t="str">
        <f t="shared" si="207"/>
        <v>0000</v>
      </c>
      <c r="AJ4392" s="72"/>
      <c r="AK4392" s="72"/>
      <c r="AL4392" s="72"/>
      <c r="AM4392" s="72"/>
    </row>
    <row r="4393" spans="1:39" x14ac:dyDescent="0.25">
      <c r="A4393" s="37" t="s">
        <v>62</v>
      </c>
      <c r="B4393" s="66"/>
      <c r="C4393" s="4"/>
      <c r="D4393" s="41"/>
      <c r="E4393" s="41"/>
      <c r="F4393" s="85"/>
      <c r="G4393" s="39"/>
      <c r="H4393" s="52"/>
      <c r="I4393" s="52"/>
      <c r="J4393" s="49"/>
      <c r="K4393" s="58"/>
      <c r="L4393" s="58"/>
      <c r="M4393" s="58"/>
      <c r="N4393" s="58"/>
      <c r="O4393" s="58"/>
      <c r="P4393" s="53"/>
      <c r="Q4393" s="65"/>
      <c r="R4393" s="65"/>
      <c r="S4393" s="65"/>
      <c r="T4393" s="65"/>
      <c r="U4393" s="58"/>
      <c r="V4393" s="65"/>
      <c r="W4393" s="65"/>
      <c r="X4393" s="65"/>
      <c r="Y4393" s="65"/>
      <c r="Z4393" s="51"/>
      <c r="AA4393" s="51"/>
      <c r="AB4393" s="102"/>
      <c r="AC4393" s="81" t="e">
        <f t="shared" si="208"/>
        <v>#DIV/0!</v>
      </c>
      <c r="AD4393" s="82">
        <f t="shared" si="209"/>
        <v>0</v>
      </c>
      <c r="AE4393" s="218"/>
      <c r="AH4393" t="str">
        <f t="shared" si="207"/>
        <v>0000</v>
      </c>
      <c r="AJ4393" s="72"/>
      <c r="AK4393" s="72"/>
      <c r="AL4393" s="72"/>
      <c r="AM4393" s="72"/>
    </row>
    <row r="4394" spans="1:39" x14ac:dyDescent="0.25">
      <c r="A4394" s="37" t="s">
        <v>62</v>
      </c>
      <c r="B4394" s="66"/>
      <c r="C4394" s="4"/>
      <c r="D4394" s="41"/>
      <c r="E4394" s="41"/>
      <c r="F4394" s="85"/>
      <c r="G4394" s="39"/>
      <c r="H4394" s="52"/>
      <c r="I4394" s="52"/>
      <c r="J4394" s="49"/>
      <c r="K4394" s="58"/>
      <c r="L4394" s="58"/>
      <c r="M4394" s="58"/>
      <c r="N4394" s="58"/>
      <c r="O4394" s="58"/>
      <c r="P4394" s="53"/>
      <c r="Q4394" s="65"/>
      <c r="R4394" s="65"/>
      <c r="S4394" s="65"/>
      <c r="T4394" s="65"/>
      <c r="U4394" s="58"/>
      <c r="V4394" s="65"/>
      <c r="W4394" s="65"/>
      <c r="X4394" s="65"/>
      <c r="Y4394" s="65"/>
      <c r="Z4394" s="51"/>
      <c r="AA4394" s="51"/>
      <c r="AB4394" s="102"/>
      <c r="AC4394" s="81" t="e">
        <f t="shared" si="208"/>
        <v>#DIV/0!</v>
      </c>
      <c r="AD4394" s="82">
        <f t="shared" si="209"/>
        <v>0</v>
      </c>
      <c r="AE4394" s="218"/>
      <c r="AH4394" t="str">
        <f t="shared" si="207"/>
        <v>0000</v>
      </c>
      <c r="AJ4394" s="72"/>
      <c r="AK4394" s="72"/>
      <c r="AL4394" s="72"/>
      <c r="AM4394" s="72"/>
    </row>
    <row r="4395" spans="1:39" x14ac:dyDescent="0.25">
      <c r="A4395" s="37" t="s">
        <v>62</v>
      </c>
      <c r="B4395" s="66"/>
      <c r="C4395" s="4"/>
      <c r="D4395" s="41"/>
      <c r="E4395" s="41"/>
      <c r="F4395" s="85"/>
      <c r="G4395" s="39"/>
      <c r="H4395" s="52"/>
      <c r="I4395" s="52"/>
      <c r="J4395" s="49"/>
      <c r="K4395" s="58"/>
      <c r="L4395" s="58"/>
      <c r="M4395" s="58"/>
      <c r="N4395" s="58"/>
      <c r="O4395" s="58"/>
      <c r="P4395" s="53"/>
      <c r="Q4395" s="65"/>
      <c r="R4395" s="65"/>
      <c r="S4395" s="65"/>
      <c r="T4395" s="65"/>
      <c r="U4395" s="58"/>
      <c r="V4395" s="65"/>
      <c r="W4395" s="65"/>
      <c r="X4395" s="65"/>
      <c r="Y4395" s="65"/>
      <c r="Z4395" s="51"/>
      <c r="AA4395" s="51"/>
      <c r="AB4395" s="102"/>
      <c r="AC4395" s="81" t="e">
        <f t="shared" si="208"/>
        <v>#DIV/0!</v>
      </c>
      <c r="AD4395" s="82">
        <f t="shared" si="209"/>
        <v>0</v>
      </c>
      <c r="AE4395" s="218"/>
      <c r="AH4395" t="str">
        <f t="shared" si="207"/>
        <v>0000</v>
      </c>
      <c r="AJ4395" s="72"/>
      <c r="AK4395" s="72"/>
      <c r="AL4395" s="72"/>
      <c r="AM4395" s="72"/>
    </row>
    <row r="4396" spans="1:39" x14ac:dyDescent="0.25">
      <c r="A4396" s="37" t="s">
        <v>62</v>
      </c>
      <c r="B4396" s="66"/>
      <c r="C4396" s="4"/>
      <c r="D4396" s="41"/>
      <c r="E4396" s="41"/>
      <c r="F4396" s="85"/>
      <c r="G4396" s="39"/>
      <c r="H4396" s="52"/>
      <c r="I4396" s="52"/>
      <c r="J4396" s="49"/>
      <c r="K4396" s="58"/>
      <c r="L4396" s="58"/>
      <c r="M4396" s="58"/>
      <c r="N4396" s="58"/>
      <c r="O4396" s="58"/>
      <c r="P4396" s="53"/>
      <c r="Q4396" s="65"/>
      <c r="R4396" s="65"/>
      <c r="S4396" s="65"/>
      <c r="T4396" s="65"/>
      <c r="U4396" s="58"/>
      <c r="V4396" s="65"/>
      <c r="W4396" s="65"/>
      <c r="X4396" s="65"/>
      <c r="Y4396" s="65"/>
      <c r="Z4396" s="51"/>
      <c r="AA4396" s="51"/>
      <c r="AB4396" s="102"/>
      <c r="AC4396" s="81" t="e">
        <f t="shared" si="208"/>
        <v>#DIV/0!</v>
      </c>
      <c r="AD4396" s="82">
        <f t="shared" si="209"/>
        <v>0</v>
      </c>
      <c r="AE4396" s="218"/>
      <c r="AH4396" t="str">
        <f t="shared" si="207"/>
        <v>0000</v>
      </c>
      <c r="AJ4396" s="72"/>
      <c r="AK4396" s="72"/>
      <c r="AL4396" s="72"/>
      <c r="AM4396" s="72"/>
    </row>
    <row r="4397" spans="1:39" x14ac:dyDescent="0.25">
      <c r="A4397" s="37" t="s">
        <v>62</v>
      </c>
      <c r="B4397" s="66"/>
      <c r="C4397" s="4"/>
      <c r="D4397" s="41"/>
      <c r="E4397" s="41"/>
      <c r="F4397" s="85"/>
      <c r="G4397" s="39"/>
      <c r="H4397" s="52"/>
      <c r="I4397" s="52"/>
      <c r="J4397" s="49"/>
      <c r="K4397" s="58"/>
      <c r="L4397" s="58"/>
      <c r="M4397" s="58"/>
      <c r="N4397" s="58"/>
      <c r="O4397" s="58"/>
      <c r="P4397" s="53"/>
      <c r="Q4397" s="65"/>
      <c r="R4397" s="65"/>
      <c r="S4397" s="65"/>
      <c r="T4397" s="65"/>
      <c r="U4397" s="58"/>
      <c r="V4397" s="65"/>
      <c r="W4397" s="65"/>
      <c r="X4397" s="65"/>
      <c r="Y4397" s="65"/>
      <c r="Z4397" s="51"/>
      <c r="AA4397" s="51"/>
      <c r="AB4397" s="102"/>
      <c r="AC4397" s="81" t="e">
        <f t="shared" si="208"/>
        <v>#DIV/0!</v>
      </c>
      <c r="AD4397" s="82">
        <f t="shared" si="209"/>
        <v>0</v>
      </c>
      <c r="AE4397" s="218"/>
      <c r="AH4397" t="str">
        <f t="shared" si="207"/>
        <v>0000</v>
      </c>
      <c r="AJ4397" s="72"/>
      <c r="AK4397" s="72"/>
      <c r="AL4397" s="72"/>
      <c r="AM4397" s="72"/>
    </row>
    <row r="4398" spans="1:39" x14ac:dyDescent="0.25">
      <c r="A4398" s="37" t="s">
        <v>62</v>
      </c>
      <c r="B4398" s="66"/>
      <c r="C4398" s="4"/>
      <c r="D4398" s="41"/>
      <c r="E4398" s="41"/>
      <c r="F4398" s="85"/>
      <c r="G4398" s="39"/>
      <c r="H4398" s="52"/>
      <c r="I4398" s="52"/>
      <c r="J4398" s="49"/>
      <c r="K4398" s="58"/>
      <c r="L4398" s="58"/>
      <c r="M4398" s="58"/>
      <c r="N4398" s="58"/>
      <c r="O4398" s="58"/>
      <c r="P4398" s="53"/>
      <c r="Q4398" s="65"/>
      <c r="R4398" s="65"/>
      <c r="S4398" s="65"/>
      <c r="T4398" s="65"/>
      <c r="U4398" s="58"/>
      <c r="V4398" s="65"/>
      <c r="W4398" s="65"/>
      <c r="X4398" s="65"/>
      <c r="Y4398" s="65"/>
      <c r="Z4398" s="51"/>
      <c r="AA4398" s="51"/>
      <c r="AB4398" s="102"/>
      <c r="AC4398" s="81" t="e">
        <f t="shared" si="208"/>
        <v>#DIV/0!</v>
      </c>
      <c r="AD4398" s="82">
        <f t="shared" si="209"/>
        <v>0</v>
      </c>
      <c r="AE4398" s="218"/>
      <c r="AH4398" t="str">
        <f t="shared" si="207"/>
        <v>0000</v>
      </c>
      <c r="AJ4398" s="72"/>
      <c r="AK4398" s="72"/>
      <c r="AL4398" s="72"/>
      <c r="AM4398" s="72"/>
    </row>
    <row r="4399" spans="1:39" x14ac:dyDescent="0.25">
      <c r="A4399" s="37" t="s">
        <v>62</v>
      </c>
      <c r="B4399" s="66"/>
      <c r="C4399" s="4"/>
      <c r="D4399" s="41"/>
      <c r="E4399" s="41"/>
      <c r="F4399" s="85"/>
      <c r="G4399" s="39"/>
      <c r="H4399" s="52"/>
      <c r="I4399" s="52"/>
      <c r="J4399" s="49"/>
      <c r="K4399" s="58"/>
      <c r="L4399" s="58"/>
      <c r="M4399" s="58"/>
      <c r="N4399" s="58"/>
      <c r="O4399" s="58"/>
      <c r="P4399" s="53"/>
      <c r="Q4399" s="65"/>
      <c r="R4399" s="65"/>
      <c r="S4399" s="65"/>
      <c r="T4399" s="65"/>
      <c r="U4399" s="58"/>
      <c r="V4399" s="65"/>
      <c r="W4399" s="65"/>
      <c r="X4399" s="65"/>
      <c r="Y4399" s="65"/>
      <c r="Z4399" s="51"/>
      <c r="AA4399" s="51"/>
      <c r="AB4399" s="102"/>
      <c r="AC4399" s="81" t="e">
        <f t="shared" si="208"/>
        <v>#DIV/0!</v>
      </c>
      <c r="AD4399" s="82">
        <f t="shared" si="209"/>
        <v>0</v>
      </c>
      <c r="AE4399" s="218"/>
      <c r="AH4399" t="str">
        <f t="shared" si="207"/>
        <v>0000</v>
      </c>
      <c r="AJ4399" s="72"/>
      <c r="AK4399" s="72"/>
      <c r="AL4399" s="72"/>
      <c r="AM4399" s="72"/>
    </row>
    <row r="4400" spans="1:39" x14ac:dyDescent="0.25">
      <c r="A4400" s="37" t="s">
        <v>62</v>
      </c>
      <c r="B4400" s="66"/>
      <c r="C4400" s="4"/>
      <c r="D4400" s="41"/>
      <c r="E4400" s="41"/>
      <c r="F4400" s="85"/>
      <c r="G4400" s="39"/>
      <c r="H4400" s="52"/>
      <c r="I4400" s="52"/>
      <c r="J4400" s="49"/>
      <c r="K4400" s="58"/>
      <c r="L4400" s="58"/>
      <c r="M4400" s="58"/>
      <c r="N4400" s="58"/>
      <c r="O4400" s="58"/>
      <c r="P4400" s="53"/>
      <c r="Q4400" s="65"/>
      <c r="R4400" s="65"/>
      <c r="S4400" s="65"/>
      <c r="T4400" s="65"/>
      <c r="U4400" s="58"/>
      <c r="V4400" s="65"/>
      <c r="W4400" s="65"/>
      <c r="X4400" s="65"/>
      <c r="Y4400" s="65"/>
      <c r="Z4400" s="51"/>
      <c r="AA4400" s="51"/>
      <c r="AB4400" s="102"/>
      <c r="AC4400" s="81" t="e">
        <f t="shared" si="208"/>
        <v>#DIV/0!</v>
      </c>
      <c r="AD4400" s="82">
        <f t="shared" si="209"/>
        <v>0</v>
      </c>
      <c r="AE4400" s="218"/>
      <c r="AH4400" t="str">
        <f t="shared" si="207"/>
        <v>0000</v>
      </c>
      <c r="AJ4400" s="72"/>
      <c r="AK4400" s="72"/>
      <c r="AL4400" s="72"/>
      <c r="AM4400" s="72"/>
    </row>
    <row r="4401" spans="1:39" x14ac:dyDescent="0.25">
      <c r="A4401" s="37" t="s">
        <v>62</v>
      </c>
      <c r="B4401" s="66"/>
      <c r="C4401" s="4"/>
      <c r="D4401" s="41"/>
      <c r="E4401" s="41"/>
      <c r="F4401" s="85"/>
      <c r="G4401" s="39"/>
      <c r="H4401" s="52"/>
      <c r="I4401" s="52"/>
      <c r="J4401" s="49"/>
      <c r="K4401" s="58"/>
      <c r="L4401" s="58"/>
      <c r="M4401" s="58"/>
      <c r="N4401" s="58"/>
      <c r="O4401" s="58"/>
      <c r="P4401" s="53"/>
      <c r="Q4401" s="65"/>
      <c r="R4401" s="65"/>
      <c r="S4401" s="65"/>
      <c r="T4401" s="65"/>
      <c r="U4401" s="58"/>
      <c r="V4401" s="65"/>
      <c r="W4401" s="65"/>
      <c r="X4401" s="65"/>
      <c r="Y4401" s="65"/>
      <c r="Z4401" s="51"/>
      <c r="AA4401" s="51"/>
      <c r="AB4401" s="102"/>
      <c r="AC4401" s="81" t="e">
        <f t="shared" si="208"/>
        <v>#DIV/0!</v>
      </c>
      <c r="AD4401" s="82">
        <f t="shared" si="209"/>
        <v>0</v>
      </c>
      <c r="AE4401" s="218"/>
      <c r="AH4401" t="str">
        <f t="shared" si="207"/>
        <v>0000</v>
      </c>
      <c r="AJ4401" s="72"/>
      <c r="AK4401" s="72"/>
      <c r="AL4401" s="72"/>
      <c r="AM4401" s="72"/>
    </row>
    <row r="4402" spans="1:39" x14ac:dyDescent="0.25">
      <c r="A4402" s="37" t="s">
        <v>62</v>
      </c>
      <c r="B4402" s="66"/>
      <c r="C4402" s="4"/>
      <c r="D4402" s="41"/>
      <c r="E4402" s="41"/>
      <c r="F4402" s="85"/>
      <c r="G4402" s="39"/>
      <c r="H4402" s="52"/>
      <c r="I4402" s="52"/>
      <c r="J4402" s="49"/>
      <c r="K4402" s="58"/>
      <c r="L4402" s="58"/>
      <c r="M4402" s="58"/>
      <c r="N4402" s="58"/>
      <c r="O4402" s="58"/>
      <c r="P4402" s="53"/>
      <c r="Q4402" s="65"/>
      <c r="R4402" s="65"/>
      <c r="S4402" s="65"/>
      <c r="T4402" s="65"/>
      <c r="U4402" s="58"/>
      <c r="V4402" s="65"/>
      <c r="W4402" s="65"/>
      <c r="X4402" s="65"/>
      <c r="Y4402" s="65"/>
      <c r="Z4402" s="51"/>
      <c r="AA4402" s="51"/>
      <c r="AB4402" s="102"/>
      <c r="AC4402" s="81" t="e">
        <f t="shared" si="208"/>
        <v>#DIV/0!</v>
      </c>
      <c r="AD4402" s="82">
        <f t="shared" si="209"/>
        <v>0</v>
      </c>
      <c r="AE4402" s="218"/>
      <c r="AH4402" t="str">
        <f t="shared" si="207"/>
        <v>0000</v>
      </c>
      <c r="AJ4402" s="72"/>
      <c r="AK4402" s="72"/>
      <c r="AL4402" s="72"/>
      <c r="AM4402" s="72"/>
    </row>
    <row r="4403" spans="1:39" x14ac:dyDescent="0.25">
      <c r="A4403" s="37" t="s">
        <v>62</v>
      </c>
      <c r="B4403" s="66"/>
      <c r="C4403" s="4"/>
      <c r="D4403" s="41"/>
      <c r="E4403" s="41"/>
      <c r="F4403" s="85"/>
      <c r="G4403" s="39"/>
      <c r="H4403" s="52"/>
      <c r="I4403" s="52"/>
      <c r="J4403" s="49"/>
      <c r="K4403" s="58"/>
      <c r="L4403" s="58"/>
      <c r="M4403" s="58"/>
      <c r="N4403" s="58"/>
      <c r="O4403" s="58"/>
      <c r="P4403" s="53"/>
      <c r="Q4403" s="65"/>
      <c r="R4403" s="65"/>
      <c r="S4403" s="65"/>
      <c r="T4403" s="65"/>
      <c r="U4403" s="58"/>
      <c r="V4403" s="65"/>
      <c r="W4403" s="65"/>
      <c r="X4403" s="65"/>
      <c r="Y4403" s="65"/>
      <c r="Z4403" s="51"/>
      <c r="AA4403" s="51"/>
      <c r="AB4403" s="102"/>
      <c r="AC4403" s="81" t="e">
        <f t="shared" si="208"/>
        <v>#DIV/0!</v>
      </c>
      <c r="AD4403" s="82">
        <f t="shared" si="209"/>
        <v>0</v>
      </c>
      <c r="AE4403" s="218"/>
      <c r="AH4403" t="str">
        <f t="shared" si="207"/>
        <v>0000</v>
      </c>
      <c r="AJ4403" s="72"/>
      <c r="AK4403" s="72"/>
      <c r="AL4403" s="72"/>
      <c r="AM4403" s="72"/>
    </row>
    <row r="4404" spans="1:39" x14ac:dyDescent="0.25">
      <c r="A4404" s="37" t="s">
        <v>62</v>
      </c>
      <c r="B4404" s="66"/>
      <c r="C4404" s="4"/>
      <c r="D4404" s="41"/>
      <c r="E4404" s="41"/>
      <c r="F4404" s="85"/>
      <c r="G4404" s="39"/>
      <c r="H4404" s="52"/>
      <c r="I4404" s="52"/>
      <c r="J4404" s="49"/>
      <c r="K4404" s="58"/>
      <c r="L4404" s="58"/>
      <c r="M4404" s="58"/>
      <c r="N4404" s="58"/>
      <c r="O4404" s="58"/>
      <c r="P4404" s="53"/>
      <c r="Q4404" s="65"/>
      <c r="R4404" s="65"/>
      <c r="S4404" s="65"/>
      <c r="T4404" s="65"/>
      <c r="U4404" s="58"/>
      <c r="V4404" s="65"/>
      <c r="W4404" s="65"/>
      <c r="X4404" s="65"/>
      <c r="Y4404" s="65"/>
      <c r="Z4404" s="51"/>
      <c r="AA4404" s="51"/>
      <c r="AB4404" s="102"/>
      <c r="AC4404" s="81" t="e">
        <f t="shared" si="208"/>
        <v>#DIV/0!</v>
      </c>
      <c r="AD4404" s="82">
        <f t="shared" si="209"/>
        <v>0</v>
      </c>
      <c r="AE4404" s="218"/>
      <c r="AH4404" t="str">
        <f t="shared" si="207"/>
        <v>0000</v>
      </c>
      <c r="AJ4404" s="72"/>
      <c r="AK4404" s="72"/>
      <c r="AL4404" s="72"/>
      <c r="AM4404" s="72"/>
    </row>
    <row r="4405" spans="1:39" x14ac:dyDescent="0.25">
      <c r="A4405" s="37" t="s">
        <v>62</v>
      </c>
      <c r="B4405" s="66"/>
      <c r="C4405" s="4"/>
      <c r="D4405" s="41"/>
      <c r="E4405" s="41"/>
      <c r="F4405" s="85"/>
      <c r="G4405" s="39"/>
      <c r="H4405" s="52"/>
      <c r="I4405" s="52"/>
      <c r="J4405" s="49"/>
      <c r="K4405" s="58"/>
      <c r="L4405" s="58"/>
      <c r="M4405" s="58"/>
      <c r="N4405" s="58"/>
      <c r="O4405" s="58"/>
      <c r="P4405" s="53"/>
      <c r="Q4405" s="65"/>
      <c r="R4405" s="65"/>
      <c r="S4405" s="65"/>
      <c r="T4405" s="65"/>
      <c r="U4405" s="58"/>
      <c r="V4405" s="65"/>
      <c r="W4405" s="65"/>
      <c r="X4405" s="65"/>
      <c r="Y4405" s="65"/>
      <c r="Z4405" s="51"/>
      <c r="AA4405" s="51"/>
      <c r="AB4405" s="102"/>
      <c r="AC4405" s="81" t="e">
        <f t="shared" si="208"/>
        <v>#DIV/0!</v>
      </c>
      <c r="AD4405" s="82">
        <f t="shared" si="209"/>
        <v>0</v>
      </c>
      <c r="AE4405" s="218"/>
      <c r="AH4405" t="str">
        <f t="shared" si="207"/>
        <v>0000</v>
      </c>
      <c r="AJ4405" s="72"/>
      <c r="AK4405" s="72"/>
      <c r="AL4405" s="72"/>
      <c r="AM4405" s="72"/>
    </row>
    <row r="4406" spans="1:39" x14ac:dyDescent="0.25">
      <c r="A4406" s="37" t="s">
        <v>62</v>
      </c>
      <c r="B4406" s="66"/>
      <c r="C4406" s="4"/>
      <c r="D4406" s="41"/>
      <c r="E4406" s="41"/>
      <c r="F4406" s="85"/>
      <c r="G4406" s="39"/>
      <c r="H4406" s="52"/>
      <c r="I4406" s="52"/>
      <c r="J4406" s="49"/>
      <c r="K4406" s="58"/>
      <c r="L4406" s="58"/>
      <c r="M4406" s="58"/>
      <c r="N4406" s="58"/>
      <c r="O4406" s="58"/>
      <c r="P4406" s="53"/>
      <c r="Q4406" s="65"/>
      <c r="R4406" s="65"/>
      <c r="S4406" s="65"/>
      <c r="T4406" s="65"/>
      <c r="U4406" s="58"/>
      <c r="V4406" s="65"/>
      <c r="W4406" s="65"/>
      <c r="X4406" s="65"/>
      <c r="Y4406" s="65"/>
      <c r="Z4406" s="51"/>
      <c r="AA4406" s="51"/>
      <c r="AB4406" s="102"/>
      <c r="AC4406" s="81" t="e">
        <f t="shared" si="208"/>
        <v>#DIV/0!</v>
      </c>
      <c r="AD4406" s="82">
        <f t="shared" si="209"/>
        <v>0</v>
      </c>
      <c r="AE4406" s="218"/>
      <c r="AH4406" t="str">
        <f t="shared" si="207"/>
        <v>0000</v>
      </c>
      <c r="AJ4406" s="72"/>
      <c r="AK4406" s="72"/>
      <c r="AL4406" s="72"/>
      <c r="AM4406" s="72"/>
    </row>
    <row r="4407" spans="1:39" x14ac:dyDescent="0.25">
      <c r="A4407" s="37" t="s">
        <v>62</v>
      </c>
      <c r="B4407" s="66"/>
      <c r="C4407" s="4"/>
      <c r="D4407" s="41"/>
      <c r="E4407" s="41"/>
      <c r="F4407" s="85"/>
      <c r="G4407" s="39"/>
      <c r="H4407" s="52"/>
      <c r="I4407" s="52"/>
      <c r="J4407" s="49"/>
      <c r="K4407" s="58"/>
      <c r="L4407" s="58"/>
      <c r="M4407" s="58"/>
      <c r="N4407" s="58"/>
      <c r="O4407" s="58"/>
      <c r="P4407" s="53"/>
      <c r="Q4407" s="65"/>
      <c r="R4407" s="65"/>
      <c r="S4407" s="65"/>
      <c r="T4407" s="65"/>
      <c r="U4407" s="58"/>
      <c r="V4407" s="65"/>
      <c r="W4407" s="65"/>
      <c r="X4407" s="65"/>
      <c r="Y4407" s="65"/>
      <c r="Z4407" s="51"/>
      <c r="AA4407" s="51"/>
      <c r="AB4407" s="102"/>
      <c r="AC4407" s="81" t="e">
        <f t="shared" si="208"/>
        <v>#DIV/0!</v>
      </c>
      <c r="AD4407" s="82">
        <f t="shared" si="209"/>
        <v>0</v>
      </c>
      <c r="AE4407" s="218"/>
      <c r="AH4407" t="str">
        <f t="shared" si="207"/>
        <v>0000</v>
      </c>
      <c r="AJ4407" s="72"/>
      <c r="AK4407" s="72"/>
      <c r="AL4407" s="72"/>
      <c r="AM4407" s="72"/>
    </row>
    <row r="4408" spans="1:39" x14ac:dyDescent="0.25">
      <c r="A4408" s="37" t="s">
        <v>62</v>
      </c>
      <c r="B4408" s="66"/>
      <c r="C4408" s="4"/>
      <c r="D4408" s="41"/>
      <c r="E4408" s="41"/>
      <c r="F4408" s="85"/>
      <c r="G4408" s="39"/>
      <c r="H4408" s="52"/>
      <c r="I4408" s="52"/>
      <c r="J4408" s="49"/>
      <c r="K4408" s="58"/>
      <c r="L4408" s="58"/>
      <c r="M4408" s="58"/>
      <c r="N4408" s="58"/>
      <c r="O4408" s="58"/>
      <c r="P4408" s="53"/>
      <c r="Q4408" s="65"/>
      <c r="R4408" s="65"/>
      <c r="S4408" s="65"/>
      <c r="T4408" s="65"/>
      <c r="U4408" s="58"/>
      <c r="V4408" s="65"/>
      <c r="W4408" s="65"/>
      <c r="X4408" s="65"/>
      <c r="Y4408" s="65"/>
      <c r="Z4408" s="51"/>
      <c r="AA4408" s="51"/>
      <c r="AB4408" s="102"/>
      <c r="AC4408" s="81" t="e">
        <f t="shared" si="208"/>
        <v>#DIV/0!</v>
      </c>
      <c r="AD4408" s="82">
        <f t="shared" si="209"/>
        <v>0</v>
      </c>
      <c r="AE4408" s="218"/>
      <c r="AH4408" t="str">
        <f t="shared" si="207"/>
        <v>0000</v>
      </c>
      <c r="AJ4408" s="72"/>
      <c r="AK4408" s="72"/>
      <c r="AL4408" s="72"/>
      <c r="AM4408" s="72"/>
    </row>
    <row r="4409" spans="1:39" x14ac:dyDescent="0.25">
      <c r="A4409" s="37" t="s">
        <v>62</v>
      </c>
      <c r="B4409" s="66"/>
      <c r="C4409" s="4"/>
      <c r="D4409" s="41"/>
      <c r="E4409" s="41"/>
      <c r="F4409" s="85"/>
      <c r="G4409" s="39"/>
      <c r="H4409" s="52"/>
      <c r="I4409" s="52"/>
      <c r="J4409" s="49"/>
      <c r="K4409" s="58"/>
      <c r="L4409" s="58"/>
      <c r="M4409" s="58"/>
      <c r="N4409" s="58"/>
      <c r="O4409" s="58"/>
      <c r="P4409" s="53"/>
      <c r="Q4409" s="65"/>
      <c r="R4409" s="65"/>
      <c r="S4409" s="65"/>
      <c r="T4409" s="65"/>
      <c r="U4409" s="58"/>
      <c r="V4409" s="65"/>
      <c r="W4409" s="65"/>
      <c r="X4409" s="65"/>
      <c r="Y4409" s="65"/>
      <c r="Z4409" s="51"/>
      <c r="AA4409" s="51"/>
      <c r="AB4409" s="102"/>
      <c r="AC4409" s="81" t="e">
        <f t="shared" si="208"/>
        <v>#DIV/0!</v>
      </c>
      <c r="AD4409" s="82">
        <f t="shared" si="209"/>
        <v>0</v>
      </c>
      <c r="AE4409" s="218"/>
      <c r="AH4409" t="str">
        <f t="shared" si="207"/>
        <v>0000</v>
      </c>
      <c r="AJ4409" s="72"/>
      <c r="AK4409" s="72"/>
      <c r="AL4409" s="72"/>
      <c r="AM4409" s="72"/>
    </row>
    <row r="4410" spans="1:39" x14ac:dyDescent="0.25">
      <c r="A4410" s="37" t="s">
        <v>62</v>
      </c>
      <c r="B4410" s="66"/>
      <c r="C4410" s="4"/>
      <c r="D4410" s="41"/>
      <c r="E4410" s="41"/>
      <c r="F4410" s="85"/>
      <c r="G4410" s="39"/>
      <c r="H4410" s="52"/>
      <c r="I4410" s="52"/>
      <c r="J4410" s="49"/>
      <c r="K4410" s="58"/>
      <c r="L4410" s="58"/>
      <c r="M4410" s="58"/>
      <c r="N4410" s="58"/>
      <c r="O4410" s="58"/>
      <c r="P4410" s="53"/>
      <c r="Q4410" s="65"/>
      <c r="R4410" s="65"/>
      <c r="S4410" s="65"/>
      <c r="T4410" s="65"/>
      <c r="U4410" s="58"/>
      <c r="V4410" s="65"/>
      <c r="W4410" s="65"/>
      <c r="X4410" s="65"/>
      <c r="Y4410" s="65"/>
      <c r="Z4410" s="51"/>
      <c r="AA4410" s="51"/>
      <c r="AB4410" s="102"/>
      <c r="AC4410" s="81" t="e">
        <f t="shared" si="208"/>
        <v>#DIV/0!</v>
      </c>
      <c r="AD4410" s="82">
        <f t="shared" si="209"/>
        <v>0</v>
      </c>
      <c r="AE4410" s="218"/>
      <c r="AH4410" t="str">
        <f t="shared" ref="AH4410:AH4473" si="210">TEXT(D4410,"0000")</f>
        <v>0000</v>
      </c>
      <c r="AJ4410" s="72"/>
      <c r="AK4410" s="72"/>
      <c r="AL4410" s="72"/>
      <c r="AM4410" s="72"/>
    </row>
    <row r="4411" spans="1:39" x14ac:dyDescent="0.25">
      <c r="A4411" s="37" t="s">
        <v>62</v>
      </c>
      <c r="B4411" s="66"/>
      <c r="C4411" s="4"/>
      <c r="D4411" s="41"/>
      <c r="E4411" s="41"/>
      <c r="F4411" s="85"/>
      <c r="G4411" s="39"/>
      <c r="H4411" s="52"/>
      <c r="I4411" s="52"/>
      <c r="J4411" s="49"/>
      <c r="K4411" s="58"/>
      <c r="L4411" s="58"/>
      <c r="M4411" s="58"/>
      <c r="N4411" s="58"/>
      <c r="O4411" s="58"/>
      <c r="P4411" s="53"/>
      <c r="Q4411" s="65"/>
      <c r="R4411" s="65"/>
      <c r="S4411" s="65"/>
      <c r="T4411" s="65"/>
      <c r="U4411" s="58"/>
      <c r="V4411" s="65"/>
      <c r="W4411" s="65"/>
      <c r="X4411" s="65"/>
      <c r="Y4411" s="65"/>
      <c r="Z4411" s="51"/>
      <c r="AA4411" s="51"/>
      <c r="AB4411" s="102"/>
      <c r="AC4411" s="81" t="e">
        <f t="shared" si="208"/>
        <v>#DIV/0!</v>
      </c>
      <c r="AD4411" s="82">
        <f t="shared" si="209"/>
        <v>0</v>
      </c>
      <c r="AE4411" s="218"/>
      <c r="AH4411" t="str">
        <f t="shared" si="210"/>
        <v>0000</v>
      </c>
      <c r="AJ4411" s="72"/>
      <c r="AK4411" s="72"/>
      <c r="AL4411" s="72"/>
      <c r="AM4411" s="72"/>
    </row>
    <row r="4412" spans="1:39" x14ac:dyDescent="0.25">
      <c r="A4412" s="37" t="s">
        <v>62</v>
      </c>
      <c r="B4412" s="66"/>
      <c r="C4412" s="4"/>
      <c r="D4412" s="41"/>
      <c r="E4412" s="41"/>
      <c r="F4412" s="85"/>
      <c r="G4412" s="39"/>
      <c r="H4412" s="52"/>
      <c r="I4412" s="52"/>
      <c r="J4412" s="49"/>
      <c r="K4412" s="58"/>
      <c r="L4412" s="58"/>
      <c r="M4412" s="58"/>
      <c r="N4412" s="58"/>
      <c r="O4412" s="58"/>
      <c r="P4412" s="53"/>
      <c r="Q4412" s="65"/>
      <c r="R4412" s="65"/>
      <c r="S4412" s="65"/>
      <c r="T4412" s="65"/>
      <c r="U4412" s="58"/>
      <c r="V4412" s="65"/>
      <c r="W4412" s="65"/>
      <c r="X4412" s="65"/>
      <c r="Y4412" s="65"/>
      <c r="Z4412" s="51"/>
      <c r="AA4412" s="51"/>
      <c r="AB4412" s="102"/>
      <c r="AC4412" s="81" t="e">
        <f t="shared" si="208"/>
        <v>#DIV/0!</v>
      </c>
      <c r="AD4412" s="82">
        <f t="shared" si="209"/>
        <v>0</v>
      </c>
      <c r="AE4412" s="218"/>
      <c r="AH4412" t="str">
        <f t="shared" si="210"/>
        <v>0000</v>
      </c>
      <c r="AJ4412" s="72"/>
      <c r="AK4412" s="72"/>
      <c r="AL4412" s="72"/>
      <c r="AM4412" s="72"/>
    </row>
    <row r="4413" spans="1:39" x14ac:dyDescent="0.25">
      <c r="A4413" s="37" t="s">
        <v>62</v>
      </c>
      <c r="B4413" s="66"/>
      <c r="C4413" s="4"/>
      <c r="D4413" s="41"/>
      <c r="E4413" s="41"/>
      <c r="F4413" s="85"/>
      <c r="G4413" s="39"/>
      <c r="H4413" s="52"/>
      <c r="I4413" s="52"/>
      <c r="J4413" s="49"/>
      <c r="K4413" s="58"/>
      <c r="L4413" s="58"/>
      <c r="M4413" s="58"/>
      <c r="N4413" s="58"/>
      <c r="O4413" s="58"/>
      <c r="P4413" s="53"/>
      <c r="Q4413" s="65"/>
      <c r="R4413" s="65"/>
      <c r="S4413" s="65"/>
      <c r="T4413" s="65"/>
      <c r="U4413" s="58"/>
      <c r="V4413" s="65"/>
      <c r="W4413" s="65"/>
      <c r="X4413" s="65"/>
      <c r="Y4413" s="65"/>
      <c r="Z4413" s="51"/>
      <c r="AA4413" s="51"/>
      <c r="AB4413" s="102"/>
      <c r="AC4413" s="81" t="e">
        <f t="shared" si="208"/>
        <v>#DIV/0!</v>
      </c>
      <c r="AD4413" s="82">
        <f t="shared" si="209"/>
        <v>0</v>
      </c>
      <c r="AE4413" s="218"/>
      <c r="AH4413" t="str">
        <f t="shared" si="210"/>
        <v>0000</v>
      </c>
      <c r="AJ4413" s="72"/>
      <c r="AK4413" s="72"/>
      <c r="AL4413" s="72"/>
      <c r="AM4413" s="72"/>
    </row>
    <row r="4414" spans="1:39" x14ac:dyDescent="0.25">
      <c r="A4414" s="37" t="s">
        <v>62</v>
      </c>
      <c r="B4414" s="66"/>
      <c r="C4414" s="4"/>
      <c r="D4414" s="41"/>
      <c r="E4414" s="41"/>
      <c r="F4414" s="85"/>
      <c r="G4414" s="39"/>
      <c r="H4414" s="52"/>
      <c r="I4414" s="52"/>
      <c r="J4414" s="49"/>
      <c r="K4414" s="58"/>
      <c r="L4414" s="58"/>
      <c r="M4414" s="58"/>
      <c r="N4414" s="58"/>
      <c r="O4414" s="58"/>
      <c r="P4414" s="53"/>
      <c r="Q4414" s="65"/>
      <c r="R4414" s="65"/>
      <c r="S4414" s="65"/>
      <c r="T4414" s="65"/>
      <c r="U4414" s="58"/>
      <c r="V4414" s="65"/>
      <c r="W4414" s="65"/>
      <c r="X4414" s="65"/>
      <c r="Y4414" s="65"/>
      <c r="Z4414" s="51"/>
      <c r="AA4414" s="51"/>
      <c r="AB4414" s="102"/>
      <c r="AC4414" s="81" t="e">
        <f t="shared" si="208"/>
        <v>#DIV/0!</v>
      </c>
      <c r="AD4414" s="82">
        <f t="shared" si="209"/>
        <v>0</v>
      </c>
      <c r="AE4414" s="218"/>
      <c r="AH4414" t="str">
        <f t="shared" si="210"/>
        <v>0000</v>
      </c>
      <c r="AJ4414" s="72"/>
      <c r="AK4414" s="72"/>
      <c r="AL4414" s="72"/>
      <c r="AM4414" s="72"/>
    </row>
    <row r="4415" spans="1:39" x14ac:dyDescent="0.25">
      <c r="A4415" s="37" t="s">
        <v>62</v>
      </c>
      <c r="B4415" s="66"/>
      <c r="C4415" s="4"/>
      <c r="D4415" s="41"/>
      <c r="E4415" s="41"/>
      <c r="F4415" s="85"/>
      <c r="G4415" s="39"/>
      <c r="H4415" s="52"/>
      <c r="I4415" s="52"/>
      <c r="J4415" s="49"/>
      <c r="K4415" s="58"/>
      <c r="L4415" s="58"/>
      <c r="M4415" s="58"/>
      <c r="N4415" s="58"/>
      <c r="O4415" s="58"/>
      <c r="P4415" s="53"/>
      <c r="Q4415" s="65"/>
      <c r="R4415" s="65"/>
      <c r="S4415" s="65"/>
      <c r="T4415" s="65"/>
      <c r="U4415" s="58"/>
      <c r="V4415" s="65"/>
      <c r="W4415" s="65"/>
      <c r="X4415" s="65"/>
      <c r="Y4415" s="65"/>
      <c r="Z4415" s="51"/>
      <c r="AA4415" s="51"/>
      <c r="AB4415" s="102"/>
      <c r="AC4415" s="81" t="e">
        <f t="shared" si="208"/>
        <v>#DIV/0!</v>
      </c>
      <c r="AD4415" s="82">
        <f t="shared" si="209"/>
        <v>0</v>
      </c>
      <c r="AE4415" s="218"/>
      <c r="AH4415" t="str">
        <f t="shared" si="210"/>
        <v>0000</v>
      </c>
      <c r="AJ4415" s="72"/>
      <c r="AK4415" s="72"/>
      <c r="AL4415" s="72"/>
      <c r="AM4415" s="72"/>
    </row>
    <row r="4416" spans="1:39" x14ac:dyDescent="0.25">
      <c r="A4416" s="37" t="s">
        <v>62</v>
      </c>
      <c r="B4416" s="66"/>
      <c r="C4416" s="4"/>
      <c r="D4416" s="41"/>
      <c r="E4416" s="41"/>
      <c r="F4416" s="85"/>
      <c r="G4416" s="39"/>
      <c r="H4416" s="52"/>
      <c r="I4416" s="52"/>
      <c r="J4416" s="49"/>
      <c r="K4416" s="58"/>
      <c r="L4416" s="58"/>
      <c r="M4416" s="58"/>
      <c r="N4416" s="58"/>
      <c r="O4416" s="58"/>
      <c r="P4416" s="53"/>
      <c r="Q4416" s="65"/>
      <c r="R4416" s="65"/>
      <c r="S4416" s="65"/>
      <c r="T4416" s="65"/>
      <c r="U4416" s="58"/>
      <c r="V4416" s="65"/>
      <c r="W4416" s="65"/>
      <c r="X4416" s="65"/>
      <c r="Y4416" s="65"/>
      <c r="Z4416" s="51"/>
      <c r="AA4416" s="51"/>
      <c r="AB4416" s="102"/>
      <c r="AC4416" s="81" t="e">
        <f t="shared" si="208"/>
        <v>#DIV/0!</v>
      </c>
      <c r="AD4416" s="82">
        <f t="shared" si="209"/>
        <v>0</v>
      </c>
      <c r="AE4416" s="218"/>
      <c r="AH4416" t="str">
        <f t="shared" si="210"/>
        <v>0000</v>
      </c>
      <c r="AJ4416" s="72"/>
      <c r="AK4416" s="72"/>
      <c r="AL4416" s="72"/>
      <c r="AM4416" s="72"/>
    </row>
    <row r="4417" spans="1:39" x14ac:dyDescent="0.25">
      <c r="A4417" s="37" t="s">
        <v>62</v>
      </c>
      <c r="B4417" s="66"/>
      <c r="C4417" s="4"/>
      <c r="D4417" s="41"/>
      <c r="E4417" s="41"/>
      <c r="F4417" s="85"/>
      <c r="G4417" s="39"/>
      <c r="H4417" s="52"/>
      <c r="I4417" s="52"/>
      <c r="J4417" s="49"/>
      <c r="K4417" s="58"/>
      <c r="L4417" s="58"/>
      <c r="M4417" s="58"/>
      <c r="N4417" s="58"/>
      <c r="O4417" s="58"/>
      <c r="P4417" s="53"/>
      <c r="Q4417" s="65"/>
      <c r="R4417" s="65"/>
      <c r="S4417" s="65"/>
      <c r="T4417" s="65"/>
      <c r="U4417" s="58"/>
      <c r="V4417" s="65"/>
      <c r="W4417" s="65"/>
      <c r="X4417" s="65"/>
      <c r="Y4417" s="65"/>
      <c r="Z4417" s="51"/>
      <c r="AA4417" s="51"/>
      <c r="AB4417" s="102"/>
      <c r="AC4417" s="81" t="e">
        <f t="shared" ref="AC4417:AC4480" si="211">((IF(AD4417=0,0,100-AD4417))*7*(J4417/I4417))*2%</f>
        <v>#DIV/0!</v>
      </c>
      <c r="AD4417" s="82">
        <f t="shared" ref="AD4417:AD4480" si="212">IF((I4417/7)&gt;100,0,(I4417/7))</f>
        <v>0</v>
      </c>
      <c r="AE4417" s="218"/>
      <c r="AH4417" t="str">
        <f t="shared" si="210"/>
        <v>0000</v>
      </c>
      <c r="AJ4417" s="72"/>
      <c r="AK4417" s="72"/>
      <c r="AL4417" s="72"/>
      <c r="AM4417" s="72"/>
    </row>
    <row r="4418" spans="1:39" x14ac:dyDescent="0.25">
      <c r="A4418" s="37" t="s">
        <v>62</v>
      </c>
      <c r="B4418" s="66"/>
      <c r="C4418" s="4"/>
      <c r="D4418" s="41"/>
      <c r="E4418" s="41"/>
      <c r="F4418" s="85"/>
      <c r="G4418" s="39"/>
      <c r="H4418" s="52"/>
      <c r="I4418" s="52"/>
      <c r="J4418" s="49"/>
      <c r="K4418" s="58"/>
      <c r="L4418" s="58"/>
      <c r="M4418" s="58"/>
      <c r="N4418" s="58"/>
      <c r="O4418" s="58"/>
      <c r="P4418" s="53"/>
      <c r="Q4418" s="65"/>
      <c r="R4418" s="65"/>
      <c r="S4418" s="65"/>
      <c r="T4418" s="65"/>
      <c r="U4418" s="58"/>
      <c r="V4418" s="65"/>
      <c r="W4418" s="65"/>
      <c r="X4418" s="65"/>
      <c r="Y4418" s="65"/>
      <c r="Z4418" s="51"/>
      <c r="AA4418" s="51"/>
      <c r="AB4418" s="102"/>
      <c r="AC4418" s="81" t="e">
        <f t="shared" si="211"/>
        <v>#DIV/0!</v>
      </c>
      <c r="AD4418" s="82">
        <f t="shared" si="212"/>
        <v>0</v>
      </c>
      <c r="AE4418" s="218"/>
      <c r="AH4418" t="str">
        <f t="shared" si="210"/>
        <v>0000</v>
      </c>
      <c r="AJ4418" s="72"/>
      <c r="AK4418" s="72"/>
      <c r="AL4418" s="72"/>
      <c r="AM4418" s="72"/>
    </row>
    <row r="4419" spans="1:39" x14ac:dyDescent="0.25">
      <c r="A4419" s="37" t="s">
        <v>62</v>
      </c>
      <c r="B4419" s="66"/>
      <c r="C4419" s="4"/>
      <c r="D4419" s="41"/>
      <c r="E4419" s="41"/>
      <c r="F4419" s="85"/>
      <c r="G4419" s="39"/>
      <c r="H4419" s="52"/>
      <c r="I4419" s="52"/>
      <c r="J4419" s="49"/>
      <c r="K4419" s="58"/>
      <c r="L4419" s="58"/>
      <c r="M4419" s="58"/>
      <c r="N4419" s="58"/>
      <c r="O4419" s="58"/>
      <c r="P4419" s="53"/>
      <c r="Q4419" s="65"/>
      <c r="R4419" s="65"/>
      <c r="S4419" s="65"/>
      <c r="T4419" s="65"/>
      <c r="U4419" s="58"/>
      <c r="V4419" s="65"/>
      <c r="W4419" s="65"/>
      <c r="X4419" s="65"/>
      <c r="Y4419" s="65"/>
      <c r="Z4419" s="51"/>
      <c r="AA4419" s="51"/>
      <c r="AB4419" s="102"/>
      <c r="AC4419" s="81" t="e">
        <f t="shared" si="211"/>
        <v>#DIV/0!</v>
      </c>
      <c r="AD4419" s="82">
        <f t="shared" si="212"/>
        <v>0</v>
      </c>
      <c r="AE4419" s="218"/>
      <c r="AH4419" t="str">
        <f t="shared" si="210"/>
        <v>0000</v>
      </c>
      <c r="AJ4419" s="72"/>
      <c r="AK4419" s="72"/>
      <c r="AL4419" s="72"/>
      <c r="AM4419" s="72"/>
    </row>
    <row r="4420" spans="1:39" x14ac:dyDescent="0.25">
      <c r="A4420" s="37" t="s">
        <v>62</v>
      </c>
      <c r="B4420" s="66"/>
      <c r="C4420" s="4"/>
      <c r="D4420" s="41"/>
      <c r="E4420" s="41"/>
      <c r="F4420" s="85"/>
      <c r="G4420" s="39"/>
      <c r="H4420" s="52"/>
      <c r="I4420" s="52"/>
      <c r="J4420" s="49"/>
      <c r="K4420" s="58"/>
      <c r="L4420" s="58"/>
      <c r="M4420" s="58"/>
      <c r="N4420" s="58"/>
      <c r="O4420" s="58"/>
      <c r="P4420" s="53"/>
      <c r="Q4420" s="65"/>
      <c r="R4420" s="65"/>
      <c r="S4420" s="65"/>
      <c r="T4420" s="65"/>
      <c r="U4420" s="58"/>
      <c r="V4420" s="65"/>
      <c r="W4420" s="65"/>
      <c r="X4420" s="65"/>
      <c r="Y4420" s="65"/>
      <c r="Z4420" s="51"/>
      <c r="AA4420" s="51"/>
      <c r="AB4420" s="102"/>
      <c r="AC4420" s="81" t="e">
        <f t="shared" si="211"/>
        <v>#DIV/0!</v>
      </c>
      <c r="AD4420" s="82">
        <f t="shared" si="212"/>
        <v>0</v>
      </c>
      <c r="AE4420" s="218"/>
      <c r="AH4420" t="str">
        <f t="shared" si="210"/>
        <v>0000</v>
      </c>
      <c r="AJ4420" s="72"/>
      <c r="AK4420" s="72"/>
      <c r="AL4420" s="72"/>
      <c r="AM4420" s="72"/>
    </row>
    <row r="4421" spans="1:39" x14ac:dyDescent="0.25">
      <c r="A4421" s="37" t="s">
        <v>62</v>
      </c>
      <c r="B4421" s="66"/>
      <c r="C4421" s="4"/>
      <c r="D4421" s="41"/>
      <c r="E4421" s="41"/>
      <c r="F4421" s="85"/>
      <c r="G4421" s="39"/>
      <c r="H4421" s="52"/>
      <c r="I4421" s="52"/>
      <c r="J4421" s="49"/>
      <c r="K4421" s="58"/>
      <c r="L4421" s="58"/>
      <c r="M4421" s="58"/>
      <c r="N4421" s="58"/>
      <c r="O4421" s="58"/>
      <c r="P4421" s="53"/>
      <c r="Q4421" s="65"/>
      <c r="R4421" s="65"/>
      <c r="S4421" s="65"/>
      <c r="T4421" s="65"/>
      <c r="U4421" s="58"/>
      <c r="V4421" s="65"/>
      <c r="W4421" s="65"/>
      <c r="X4421" s="65"/>
      <c r="Y4421" s="65"/>
      <c r="Z4421" s="51"/>
      <c r="AA4421" s="51"/>
      <c r="AB4421" s="102"/>
      <c r="AC4421" s="81" t="e">
        <f t="shared" si="211"/>
        <v>#DIV/0!</v>
      </c>
      <c r="AD4421" s="82">
        <f t="shared" si="212"/>
        <v>0</v>
      </c>
      <c r="AE4421" s="218"/>
      <c r="AH4421" t="str">
        <f t="shared" si="210"/>
        <v>0000</v>
      </c>
      <c r="AJ4421" s="72"/>
      <c r="AK4421" s="72"/>
      <c r="AL4421" s="72"/>
      <c r="AM4421" s="72"/>
    </row>
    <row r="4422" spans="1:39" x14ac:dyDescent="0.25">
      <c r="A4422" s="37" t="s">
        <v>62</v>
      </c>
      <c r="B4422" s="66"/>
      <c r="C4422" s="4"/>
      <c r="D4422" s="41"/>
      <c r="E4422" s="41"/>
      <c r="F4422" s="85"/>
      <c r="G4422" s="39"/>
      <c r="H4422" s="52"/>
      <c r="I4422" s="52"/>
      <c r="J4422" s="49"/>
      <c r="K4422" s="58"/>
      <c r="L4422" s="58"/>
      <c r="M4422" s="58"/>
      <c r="N4422" s="58"/>
      <c r="O4422" s="58"/>
      <c r="P4422" s="53"/>
      <c r="Q4422" s="65"/>
      <c r="R4422" s="65"/>
      <c r="S4422" s="65"/>
      <c r="T4422" s="65"/>
      <c r="U4422" s="58"/>
      <c r="V4422" s="65"/>
      <c r="W4422" s="65"/>
      <c r="X4422" s="65"/>
      <c r="Y4422" s="65"/>
      <c r="Z4422" s="51"/>
      <c r="AA4422" s="51"/>
      <c r="AB4422" s="102"/>
      <c r="AC4422" s="81" t="e">
        <f t="shared" si="211"/>
        <v>#DIV/0!</v>
      </c>
      <c r="AD4422" s="82">
        <f t="shared" si="212"/>
        <v>0</v>
      </c>
      <c r="AE4422" s="218"/>
      <c r="AH4422" t="str">
        <f t="shared" si="210"/>
        <v>0000</v>
      </c>
      <c r="AJ4422" s="72"/>
      <c r="AK4422" s="72"/>
      <c r="AL4422" s="72"/>
      <c r="AM4422" s="72"/>
    </row>
    <row r="4423" spans="1:39" x14ac:dyDescent="0.25">
      <c r="A4423" s="37" t="s">
        <v>62</v>
      </c>
      <c r="B4423" s="66"/>
      <c r="C4423" s="4"/>
      <c r="D4423" s="41"/>
      <c r="E4423" s="41"/>
      <c r="F4423" s="85"/>
      <c r="G4423" s="39"/>
      <c r="H4423" s="52"/>
      <c r="I4423" s="52"/>
      <c r="J4423" s="49"/>
      <c r="K4423" s="58"/>
      <c r="L4423" s="58"/>
      <c r="M4423" s="58"/>
      <c r="N4423" s="58"/>
      <c r="O4423" s="58"/>
      <c r="P4423" s="53"/>
      <c r="Q4423" s="65"/>
      <c r="R4423" s="65"/>
      <c r="S4423" s="65"/>
      <c r="T4423" s="65"/>
      <c r="U4423" s="58"/>
      <c r="V4423" s="65"/>
      <c r="W4423" s="65"/>
      <c r="X4423" s="65"/>
      <c r="Y4423" s="65"/>
      <c r="Z4423" s="51"/>
      <c r="AA4423" s="51"/>
      <c r="AB4423" s="102"/>
      <c r="AC4423" s="81" t="e">
        <f t="shared" si="211"/>
        <v>#DIV/0!</v>
      </c>
      <c r="AD4423" s="82">
        <f t="shared" si="212"/>
        <v>0</v>
      </c>
      <c r="AE4423" s="218"/>
      <c r="AH4423" t="str">
        <f t="shared" si="210"/>
        <v>0000</v>
      </c>
      <c r="AJ4423" s="72"/>
      <c r="AK4423" s="72"/>
      <c r="AL4423" s="72"/>
      <c r="AM4423" s="72"/>
    </row>
    <row r="4424" spans="1:39" x14ac:dyDescent="0.25">
      <c r="A4424" s="37" t="s">
        <v>62</v>
      </c>
      <c r="B4424" s="66"/>
      <c r="C4424" s="4"/>
      <c r="D4424" s="41"/>
      <c r="E4424" s="41"/>
      <c r="F4424" s="85"/>
      <c r="G4424" s="39"/>
      <c r="H4424" s="52"/>
      <c r="I4424" s="52"/>
      <c r="J4424" s="49"/>
      <c r="K4424" s="58"/>
      <c r="L4424" s="58"/>
      <c r="M4424" s="58"/>
      <c r="N4424" s="58"/>
      <c r="O4424" s="58"/>
      <c r="P4424" s="53"/>
      <c r="Q4424" s="65"/>
      <c r="R4424" s="65"/>
      <c r="S4424" s="65"/>
      <c r="T4424" s="65"/>
      <c r="U4424" s="58"/>
      <c r="V4424" s="65"/>
      <c r="W4424" s="65"/>
      <c r="X4424" s="65"/>
      <c r="Y4424" s="65"/>
      <c r="Z4424" s="51"/>
      <c r="AA4424" s="51"/>
      <c r="AB4424" s="102"/>
      <c r="AC4424" s="81" t="e">
        <f t="shared" si="211"/>
        <v>#DIV/0!</v>
      </c>
      <c r="AD4424" s="82">
        <f t="shared" si="212"/>
        <v>0</v>
      </c>
      <c r="AE4424" s="218"/>
      <c r="AH4424" t="str">
        <f t="shared" si="210"/>
        <v>0000</v>
      </c>
      <c r="AJ4424" s="72"/>
      <c r="AK4424" s="72"/>
      <c r="AL4424" s="72"/>
      <c r="AM4424" s="72"/>
    </row>
    <row r="4425" spans="1:39" x14ac:dyDescent="0.25">
      <c r="A4425" s="37" t="s">
        <v>62</v>
      </c>
      <c r="B4425" s="66"/>
      <c r="C4425" s="4"/>
      <c r="D4425" s="41"/>
      <c r="E4425" s="41"/>
      <c r="F4425" s="85"/>
      <c r="G4425" s="39"/>
      <c r="H4425" s="52"/>
      <c r="I4425" s="52"/>
      <c r="J4425" s="49"/>
      <c r="K4425" s="58"/>
      <c r="L4425" s="58"/>
      <c r="M4425" s="58"/>
      <c r="N4425" s="58"/>
      <c r="O4425" s="58"/>
      <c r="P4425" s="53"/>
      <c r="Q4425" s="65"/>
      <c r="R4425" s="65"/>
      <c r="S4425" s="65"/>
      <c r="T4425" s="65"/>
      <c r="U4425" s="58"/>
      <c r="V4425" s="65"/>
      <c r="W4425" s="65"/>
      <c r="X4425" s="65"/>
      <c r="Y4425" s="65"/>
      <c r="Z4425" s="51"/>
      <c r="AA4425" s="51"/>
      <c r="AB4425" s="102"/>
      <c r="AC4425" s="81" t="e">
        <f t="shared" si="211"/>
        <v>#DIV/0!</v>
      </c>
      <c r="AD4425" s="82">
        <f t="shared" si="212"/>
        <v>0</v>
      </c>
      <c r="AE4425" s="218"/>
      <c r="AH4425" t="str">
        <f t="shared" si="210"/>
        <v>0000</v>
      </c>
      <c r="AJ4425" s="72"/>
      <c r="AK4425" s="72"/>
      <c r="AL4425" s="72"/>
      <c r="AM4425" s="72"/>
    </row>
    <row r="4426" spans="1:39" x14ac:dyDescent="0.25">
      <c r="A4426" s="37" t="s">
        <v>62</v>
      </c>
      <c r="B4426" s="66"/>
      <c r="C4426" s="4"/>
      <c r="D4426" s="41"/>
      <c r="E4426" s="41"/>
      <c r="F4426" s="85"/>
      <c r="G4426" s="39"/>
      <c r="H4426" s="52"/>
      <c r="I4426" s="52"/>
      <c r="J4426" s="49"/>
      <c r="K4426" s="58"/>
      <c r="L4426" s="58"/>
      <c r="M4426" s="58"/>
      <c r="N4426" s="58"/>
      <c r="O4426" s="58"/>
      <c r="P4426" s="53"/>
      <c r="Q4426" s="65"/>
      <c r="R4426" s="65"/>
      <c r="S4426" s="65"/>
      <c r="T4426" s="65"/>
      <c r="U4426" s="58"/>
      <c r="V4426" s="65"/>
      <c r="W4426" s="65"/>
      <c r="X4426" s="65"/>
      <c r="Y4426" s="65"/>
      <c r="Z4426" s="51"/>
      <c r="AA4426" s="51"/>
      <c r="AB4426" s="102"/>
      <c r="AC4426" s="81" t="e">
        <f t="shared" si="211"/>
        <v>#DIV/0!</v>
      </c>
      <c r="AD4426" s="82">
        <f t="shared" si="212"/>
        <v>0</v>
      </c>
      <c r="AE4426" s="218"/>
      <c r="AH4426" t="str">
        <f t="shared" si="210"/>
        <v>0000</v>
      </c>
      <c r="AJ4426" s="72"/>
      <c r="AK4426" s="72"/>
      <c r="AL4426" s="72"/>
      <c r="AM4426" s="72"/>
    </row>
    <row r="4427" spans="1:39" x14ac:dyDescent="0.25">
      <c r="A4427" s="37" t="s">
        <v>62</v>
      </c>
      <c r="B4427" s="66"/>
      <c r="C4427" s="4"/>
      <c r="D4427" s="41"/>
      <c r="E4427" s="41"/>
      <c r="F4427" s="85"/>
      <c r="G4427" s="39"/>
      <c r="H4427" s="52"/>
      <c r="I4427" s="52"/>
      <c r="J4427" s="49"/>
      <c r="K4427" s="58"/>
      <c r="L4427" s="58"/>
      <c r="M4427" s="58"/>
      <c r="N4427" s="58"/>
      <c r="O4427" s="58"/>
      <c r="P4427" s="53"/>
      <c r="Q4427" s="65"/>
      <c r="R4427" s="65"/>
      <c r="S4427" s="65"/>
      <c r="T4427" s="65"/>
      <c r="U4427" s="58"/>
      <c r="V4427" s="65"/>
      <c r="W4427" s="65"/>
      <c r="X4427" s="65"/>
      <c r="Y4427" s="65"/>
      <c r="Z4427" s="51"/>
      <c r="AA4427" s="51"/>
      <c r="AB4427" s="102"/>
      <c r="AC4427" s="81" t="e">
        <f t="shared" si="211"/>
        <v>#DIV/0!</v>
      </c>
      <c r="AD4427" s="82">
        <f t="shared" si="212"/>
        <v>0</v>
      </c>
      <c r="AE4427" s="218"/>
      <c r="AH4427" t="str">
        <f t="shared" si="210"/>
        <v>0000</v>
      </c>
      <c r="AJ4427" s="72"/>
      <c r="AK4427" s="72"/>
      <c r="AL4427" s="72"/>
      <c r="AM4427" s="72"/>
    </row>
    <row r="4428" spans="1:39" x14ac:dyDescent="0.25">
      <c r="A4428" s="37" t="s">
        <v>62</v>
      </c>
      <c r="B4428" s="66"/>
      <c r="C4428" s="4"/>
      <c r="D4428" s="41"/>
      <c r="E4428" s="41"/>
      <c r="F4428" s="85"/>
      <c r="G4428" s="39"/>
      <c r="H4428" s="52"/>
      <c r="I4428" s="52"/>
      <c r="J4428" s="49"/>
      <c r="K4428" s="58"/>
      <c r="L4428" s="58"/>
      <c r="M4428" s="58"/>
      <c r="N4428" s="58"/>
      <c r="O4428" s="58"/>
      <c r="P4428" s="53"/>
      <c r="Q4428" s="65"/>
      <c r="R4428" s="65"/>
      <c r="S4428" s="65"/>
      <c r="T4428" s="65"/>
      <c r="U4428" s="58"/>
      <c r="V4428" s="65"/>
      <c r="W4428" s="65"/>
      <c r="X4428" s="65"/>
      <c r="Y4428" s="65"/>
      <c r="Z4428" s="51"/>
      <c r="AA4428" s="51"/>
      <c r="AB4428" s="102"/>
      <c r="AC4428" s="81" t="e">
        <f t="shared" si="211"/>
        <v>#DIV/0!</v>
      </c>
      <c r="AD4428" s="82">
        <f t="shared" si="212"/>
        <v>0</v>
      </c>
      <c r="AE4428" s="218"/>
      <c r="AH4428" t="str">
        <f t="shared" si="210"/>
        <v>0000</v>
      </c>
      <c r="AJ4428" s="72"/>
      <c r="AK4428" s="72"/>
      <c r="AL4428" s="72"/>
      <c r="AM4428" s="72"/>
    </row>
    <row r="4429" spans="1:39" x14ac:dyDescent="0.25">
      <c r="A4429" s="37" t="s">
        <v>62</v>
      </c>
      <c r="B4429" s="66"/>
      <c r="C4429" s="4"/>
      <c r="D4429" s="41"/>
      <c r="E4429" s="41"/>
      <c r="F4429" s="85"/>
      <c r="G4429" s="39"/>
      <c r="H4429" s="52"/>
      <c r="I4429" s="52"/>
      <c r="J4429" s="49"/>
      <c r="K4429" s="58"/>
      <c r="L4429" s="58"/>
      <c r="M4429" s="58"/>
      <c r="N4429" s="58"/>
      <c r="O4429" s="58"/>
      <c r="P4429" s="53"/>
      <c r="Q4429" s="65"/>
      <c r="R4429" s="65"/>
      <c r="S4429" s="65"/>
      <c r="T4429" s="65"/>
      <c r="U4429" s="58"/>
      <c r="V4429" s="65"/>
      <c r="W4429" s="65"/>
      <c r="X4429" s="65"/>
      <c r="Y4429" s="65"/>
      <c r="Z4429" s="51"/>
      <c r="AA4429" s="51"/>
      <c r="AB4429" s="102"/>
      <c r="AC4429" s="81" t="e">
        <f t="shared" si="211"/>
        <v>#DIV/0!</v>
      </c>
      <c r="AD4429" s="82">
        <f t="shared" si="212"/>
        <v>0</v>
      </c>
      <c r="AE4429" s="218"/>
      <c r="AH4429" t="str">
        <f t="shared" si="210"/>
        <v>0000</v>
      </c>
      <c r="AJ4429" s="72"/>
      <c r="AK4429" s="72"/>
      <c r="AL4429" s="72"/>
      <c r="AM4429" s="72"/>
    </row>
    <row r="4430" spans="1:39" x14ac:dyDescent="0.25">
      <c r="A4430" s="37" t="s">
        <v>62</v>
      </c>
      <c r="B4430" s="66"/>
      <c r="C4430" s="4"/>
      <c r="D4430" s="41"/>
      <c r="E4430" s="41"/>
      <c r="F4430" s="85"/>
      <c r="G4430" s="39"/>
      <c r="H4430" s="52"/>
      <c r="I4430" s="52"/>
      <c r="J4430" s="49"/>
      <c r="K4430" s="58"/>
      <c r="L4430" s="58"/>
      <c r="M4430" s="58"/>
      <c r="N4430" s="58"/>
      <c r="O4430" s="58"/>
      <c r="P4430" s="53"/>
      <c r="Q4430" s="65"/>
      <c r="R4430" s="65"/>
      <c r="S4430" s="65"/>
      <c r="T4430" s="65"/>
      <c r="U4430" s="58"/>
      <c r="V4430" s="65"/>
      <c r="W4430" s="65"/>
      <c r="X4430" s="65"/>
      <c r="Y4430" s="65"/>
      <c r="Z4430" s="51"/>
      <c r="AA4430" s="51"/>
      <c r="AB4430" s="102"/>
      <c r="AC4430" s="81" t="e">
        <f t="shared" si="211"/>
        <v>#DIV/0!</v>
      </c>
      <c r="AD4430" s="82">
        <f t="shared" si="212"/>
        <v>0</v>
      </c>
      <c r="AE4430" s="218"/>
      <c r="AH4430" t="str">
        <f t="shared" si="210"/>
        <v>0000</v>
      </c>
      <c r="AJ4430" s="72"/>
      <c r="AK4430" s="72"/>
      <c r="AL4430" s="72"/>
      <c r="AM4430" s="72"/>
    </row>
    <row r="4431" spans="1:39" x14ac:dyDescent="0.25">
      <c r="A4431" s="37" t="s">
        <v>62</v>
      </c>
      <c r="B4431" s="66"/>
      <c r="C4431" s="4"/>
      <c r="D4431" s="41"/>
      <c r="E4431" s="41"/>
      <c r="F4431" s="85"/>
      <c r="G4431" s="39"/>
      <c r="H4431" s="52"/>
      <c r="I4431" s="52"/>
      <c r="J4431" s="49"/>
      <c r="K4431" s="58"/>
      <c r="L4431" s="58"/>
      <c r="M4431" s="58"/>
      <c r="N4431" s="58"/>
      <c r="O4431" s="58"/>
      <c r="P4431" s="53"/>
      <c r="Q4431" s="65"/>
      <c r="R4431" s="65"/>
      <c r="S4431" s="65"/>
      <c r="T4431" s="65"/>
      <c r="U4431" s="58"/>
      <c r="V4431" s="65"/>
      <c r="W4431" s="65"/>
      <c r="X4431" s="65"/>
      <c r="Y4431" s="65"/>
      <c r="Z4431" s="51"/>
      <c r="AA4431" s="51"/>
      <c r="AB4431" s="102"/>
      <c r="AC4431" s="81" t="e">
        <f t="shared" si="211"/>
        <v>#DIV/0!</v>
      </c>
      <c r="AD4431" s="82">
        <f t="shared" si="212"/>
        <v>0</v>
      </c>
      <c r="AE4431" s="218"/>
      <c r="AH4431" t="str">
        <f t="shared" si="210"/>
        <v>0000</v>
      </c>
      <c r="AJ4431" s="72"/>
      <c r="AK4431" s="72"/>
      <c r="AL4431" s="72"/>
      <c r="AM4431" s="72"/>
    </row>
    <row r="4432" spans="1:39" x14ac:dyDescent="0.25">
      <c r="A4432" s="37" t="s">
        <v>62</v>
      </c>
      <c r="B4432" s="66"/>
      <c r="C4432" s="4"/>
      <c r="D4432" s="41"/>
      <c r="E4432" s="41"/>
      <c r="F4432" s="85"/>
      <c r="G4432" s="39"/>
      <c r="H4432" s="52"/>
      <c r="I4432" s="52"/>
      <c r="J4432" s="49"/>
      <c r="K4432" s="58"/>
      <c r="L4432" s="58"/>
      <c r="M4432" s="58"/>
      <c r="N4432" s="58"/>
      <c r="O4432" s="58"/>
      <c r="P4432" s="53"/>
      <c r="Q4432" s="65"/>
      <c r="R4432" s="65"/>
      <c r="S4432" s="65"/>
      <c r="T4432" s="65"/>
      <c r="U4432" s="58"/>
      <c r="V4432" s="65"/>
      <c r="W4432" s="65"/>
      <c r="X4432" s="65"/>
      <c r="Y4432" s="65"/>
      <c r="Z4432" s="51"/>
      <c r="AA4432" s="51"/>
      <c r="AB4432" s="102"/>
      <c r="AC4432" s="81" t="e">
        <f t="shared" si="211"/>
        <v>#DIV/0!</v>
      </c>
      <c r="AD4432" s="82">
        <f t="shared" si="212"/>
        <v>0</v>
      </c>
      <c r="AE4432" s="218"/>
      <c r="AH4432" t="str">
        <f t="shared" si="210"/>
        <v>0000</v>
      </c>
      <c r="AJ4432" s="72"/>
      <c r="AK4432" s="72"/>
      <c r="AL4432" s="72"/>
      <c r="AM4432" s="72"/>
    </row>
    <row r="4433" spans="1:39" x14ac:dyDescent="0.25">
      <c r="A4433" s="37" t="s">
        <v>62</v>
      </c>
      <c r="B4433" s="66"/>
      <c r="C4433" s="4"/>
      <c r="D4433" s="41"/>
      <c r="E4433" s="41"/>
      <c r="F4433" s="85"/>
      <c r="G4433" s="39"/>
      <c r="H4433" s="52"/>
      <c r="I4433" s="52"/>
      <c r="J4433" s="49"/>
      <c r="K4433" s="58"/>
      <c r="L4433" s="58"/>
      <c r="M4433" s="58"/>
      <c r="N4433" s="58"/>
      <c r="O4433" s="58"/>
      <c r="P4433" s="53"/>
      <c r="Q4433" s="65"/>
      <c r="R4433" s="65"/>
      <c r="S4433" s="65"/>
      <c r="T4433" s="65"/>
      <c r="U4433" s="58"/>
      <c r="V4433" s="65"/>
      <c r="W4433" s="65"/>
      <c r="X4433" s="65"/>
      <c r="Y4433" s="65"/>
      <c r="Z4433" s="51"/>
      <c r="AA4433" s="51"/>
      <c r="AB4433" s="102"/>
      <c r="AC4433" s="81" t="e">
        <f t="shared" si="211"/>
        <v>#DIV/0!</v>
      </c>
      <c r="AD4433" s="82">
        <f t="shared" si="212"/>
        <v>0</v>
      </c>
      <c r="AE4433" s="218"/>
      <c r="AH4433" t="str">
        <f t="shared" si="210"/>
        <v>0000</v>
      </c>
      <c r="AJ4433" s="72"/>
      <c r="AK4433" s="72"/>
      <c r="AL4433" s="72"/>
      <c r="AM4433" s="72"/>
    </row>
    <row r="4434" spans="1:39" x14ac:dyDescent="0.25">
      <c r="A4434" s="37" t="s">
        <v>62</v>
      </c>
      <c r="B4434" s="66"/>
      <c r="C4434" s="4"/>
      <c r="D4434" s="41"/>
      <c r="E4434" s="41"/>
      <c r="F4434" s="85"/>
      <c r="G4434" s="39"/>
      <c r="H4434" s="52"/>
      <c r="I4434" s="52"/>
      <c r="J4434" s="49"/>
      <c r="K4434" s="58"/>
      <c r="L4434" s="58"/>
      <c r="M4434" s="58"/>
      <c r="N4434" s="58"/>
      <c r="O4434" s="58"/>
      <c r="P4434" s="53"/>
      <c r="Q4434" s="65"/>
      <c r="R4434" s="65"/>
      <c r="S4434" s="65"/>
      <c r="T4434" s="65"/>
      <c r="U4434" s="58"/>
      <c r="V4434" s="65"/>
      <c r="W4434" s="65"/>
      <c r="X4434" s="65"/>
      <c r="Y4434" s="65"/>
      <c r="Z4434" s="51"/>
      <c r="AA4434" s="51"/>
      <c r="AB4434" s="102"/>
      <c r="AC4434" s="81" t="e">
        <f t="shared" si="211"/>
        <v>#DIV/0!</v>
      </c>
      <c r="AD4434" s="82">
        <f t="shared" si="212"/>
        <v>0</v>
      </c>
      <c r="AE4434" s="218"/>
      <c r="AH4434" t="str">
        <f t="shared" si="210"/>
        <v>0000</v>
      </c>
      <c r="AJ4434" s="72"/>
      <c r="AK4434" s="72"/>
      <c r="AL4434" s="72"/>
      <c r="AM4434" s="72"/>
    </row>
    <row r="4435" spans="1:39" x14ac:dyDescent="0.25">
      <c r="A4435" s="37" t="s">
        <v>62</v>
      </c>
      <c r="B4435" s="66"/>
      <c r="C4435" s="4"/>
      <c r="D4435" s="41"/>
      <c r="E4435" s="41"/>
      <c r="F4435" s="85"/>
      <c r="G4435" s="39"/>
      <c r="H4435" s="52"/>
      <c r="I4435" s="52"/>
      <c r="J4435" s="49"/>
      <c r="K4435" s="58"/>
      <c r="L4435" s="58"/>
      <c r="M4435" s="58"/>
      <c r="N4435" s="58"/>
      <c r="O4435" s="58"/>
      <c r="P4435" s="53"/>
      <c r="Q4435" s="65"/>
      <c r="R4435" s="65"/>
      <c r="S4435" s="65"/>
      <c r="T4435" s="65"/>
      <c r="U4435" s="58"/>
      <c r="V4435" s="65"/>
      <c r="W4435" s="65"/>
      <c r="X4435" s="65"/>
      <c r="Y4435" s="65"/>
      <c r="Z4435" s="51"/>
      <c r="AA4435" s="51"/>
      <c r="AB4435" s="102"/>
      <c r="AC4435" s="81" t="e">
        <f t="shared" si="211"/>
        <v>#DIV/0!</v>
      </c>
      <c r="AD4435" s="82">
        <f t="shared" si="212"/>
        <v>0</v>
      </c>
      <c r="AE4435" s="218"/>
      <c r="AH4435" t="str">
        <f t="shared" si="210"/>
        <v>0000</v>
      </c>
      <c r="AJ4435" s="72"/>
      <c r="AK4435" s="72"/>
      <c r="AL4435" s="72"/>
      <c r="AM4435" s="72"/>
    </row>
    <row r="4436" spans="1:39" x14ac:dyDescent="0.25">
      <c r="A4436" s="37" t="s">
        <v>62</v>
      </c>
      <c r="B4436" s="66"/>
      <c r="C4436" s="4"/>
      <c r="D4436" s="41"/>
      <c r="E4436" s="41"/>
      <c r="F4436" s="85"/>
      <c r="G4436" s="39"/>
      <c r="H4436" s="52"/>
      <c r="I4436" s="52"/>
      <c r="J4436" s="49"/>
      <c r="K4436" s="58"/>
      <c r="L4436" s="58"/>
      <c r="M4436" s="58"/>
      <c r="N4436" s="58"/>
      <c r="O4436" s="58"/>
      <c r="P4436" s="53"/>
      <c r="Q4436" s="65"/>
      <c r="R4436" s="65"/>
      <c r="S4436" s="65"/>
      <c r="T4436" s="65"/>
      <c r="U4436" s="58"/>
      <c r="V4436" s="65"/>
      <c r="W4436" s="65"/>
      <c r="X4436" s="65"/>
      <c r="Y4436" s="65"/>
      <c r="Z4436" s="51"/>
      <c r="AA4436" s="51"/>
      <c r="AB4436" s="102"/>
      <c r="AC4436" s="81" t="e">
        <f t="shared" si="211"/>
        <v>#DIV/0!</v>
      </c>
      <c r="AD4436" s="82">
        <f t="shared" si="212"/>
        <v>0</v>
      </c>
      <c r="AE4436" s="218"/>
      <c r="AH4436" t="str">
        <f t="shared" si="210"/>
        <v>0000</v>
      </c>
      <c r="AJ4436" s="72"/>
      <c r="AK4436" s="72"/>
      <c r="AL4436" s="72"/>
      <c r="AM4436" s="72"/>
    </row>
    <row r="4437" spans="1:39" x14ac:dyDescent="0.25">
      <c r="A4437" s="37" t="s">
        <v>62</v>
      </c>
      <c r="B4437" s="66"/>
      <c r="C4437" s="4"/>
      <c r="D4437" s="41"/>
      <c r="E4437" s="41"/>
      <c r="F4437" s="85"/>
      <c r="G4437" s="39"/>
      <c r="H4437" s="52"/>
      <c r="I4437" s="52"/>
      <c r="J4437" s="49"/>
      <c r="K4437" s="58"/>
      <c r="L4437" s="58"/>
      <c r="M4437" s="58"/>
      <c r="N4437" s="58"/>
      <c r="O4437" s="58"/>
      <c r="P4437" s="53"/>
      <c r="Q4437" s="65"/>
      <c r="R4437" s="65"/>
      <c r="S4437" s="65"/>
      <c r="T4437" s="65"/>
      <c r="U4437" s="58"/>
      <c r="V4437" s="65"/>
      <c r="W4437" s="65"/>
      <c r="X4437" s="65"/>
      <c r="Y4437" s="65"/>
      <c r="Z4437" s="51"/>
      <c r="AA4437" s="51"/>
      <c r="AB4437" s="102"/>
      <c r="AC4437" s="81" t="e">
        <f t="shared" si="211"/>
        <v>#DIV/0!</v>
      </c>
      <c r="AD4437" s="82">
        <f t="shared" si="212"/>
        <v>0</v>
      </c>
      <c r="AE4437" s="218"/>
      <c r="AH4437" t="str">
        <f t="shared" si="210"/>
        <v>0000</v>
      </c>
      <c r="AJ4437" s="72"/>
      <c r="AK4437" s="72"/>
      <c r="AL4437" s="72"/>
      <c r="AM4437" s="72"/>
    </row>
    <row r="4438" spans="1:39" x14ac:dyDescent="0.25">
      <c r="A4438" s="37" t="s">
        <v>62</v>
      </c>
      <c r="B4438" s="66"/>
      <c r="C4438" s="4"/>
      <c r="D4438" s="41"/>
      <c r="E4438" s="41"/>
      <c r="F4438" s="85"/>
      <c r="G4438" s="39"/>
      <c r="H4438" s="52"/>
      <c r="I4438" s="52"/>
      <c r="J4438" s="49"/>
      <c r="K4438" s="58"/>
      <c r="L4438" s="58"/>
      <c r="M4438" s="58"/>
      <c r="N4438" s="58"/>
      <c r="O4438" s="58"/>
      <c r="P4438" s="53"/>
      <c r="Q4438" s="65"/>
      <c r="R4438" s="65"/>
      <c r="S4438" s="65"/>
      <c r="T4438" s="65"/>
      <c r="U4438" s="58"/>
      <c r="V4438" s="65"/>
      <c r="W4438" s="65"/>
      <c r="X4438" s="65"/>
      <c r="Y4438" s="65"/>
      <c r="Z4438" s="51"/>
      <c r="AA4438" s="51"/>
      <c r="AB4438" s="102"/>
      <c r="AC4438" s="81" t="e">
        <f t="shared" si="211"/>
        <v>#DIV/0!</v>
      </c>
      <c r="AD4438" s="82">
        <f t="shared" si="212"/>
        <v>0</v>
      </c>
      <c r="AE4438" s="218"/>
      <c r="AH4438" t="str">
        <f t="shared" si="210"/>
        <v>0000</v>
      </c>
      <c r="AJ4438" s="72"/>
      <c r="AK4438" s="72"/>
      <c r="AL4438" s="72"/>
      <c r="AM4438" s="72"/>
    </row>
    <row r="4439" spans="1:39" x14ac:dyDescent="0.25">
      <c r="A4439" s="37" t="s">
        <v>62</v>
      </c>
      <c r="B4439" s="66"/>
      <c r="C4439" s="4"/>
      <c r="D4439" s="41"/>
      <c r="E4439" s="41"/>
      <c r="F4439" s="85"/>
      <c r="G4439" s="39"/>
      <c r="H4439" s="52"/>
      <c r="I4439" s="52"/>
      <c r="J4439" s="49"/>
      <c r="K4439" s="58"/>
      <c r="L4439" s="58"/>
      <c r="M4439" s="58"/>
      <c r="N4439" s="58"/>
      <c r="O4439" s="58"/>
      <c r="P4439" s="53"/>
      <c r="Q4439" s="65"/>
      <c r="R4439" s="65"/>
      <c r="S4439" s="65"/>
      <c r="T4439" s="65"/>
      <c r="U4439" s="58"/>
      <c r="V4439" s="65"/>
      <c r="W4439" s="65"/>
      <c r="X4439" s="65"/>
      <c r="Y4439" s="65"/>
      <c r="Z4439" s="51"/>
      <c r="AA4439" s="51"/>
      <c r="AB4439" s="102"/>
      <c r="AC4439" s="81" t="e">
        <f t="shared" si="211"/>
        <v>#DIV/0!</v>
      </c>
      <c r="AD4439" s="82">
        <f t="shared" si="212"/>
        <v>0</v>
      </c>
      <c r="AE4439" s="218"/>
      <c r="AH4439" t="str">
        <f t="shared" si="210"/>
        <v>0000</v>
      </c>
      <c r="AJ4439" s="72"/>
      <c r="AK4439" s="72"/>
      <c r="AL4439" s="72"/>
      <c r="AM4439" s="72"/>
    </row>
    <row r="4440" spans="1:39" x14ac:dyDescent="0.25">
      <c r="A4440" s="37" t="s">
        <v>62</v>
      </c>
      <c r="B4440" s="66"/>
      <c r="C4440" s="4"/>
      <c r="D4440" s="41"/>
      <c r="E4440" s="41"/>
      <c r="F4440" s="85"/>
      <c r="G4440" s="39"/>
      <c r="H4440" s="52"/>
      <c r="I4440" s="52"/>
      <c r="J4440" s="49"/>
      <c r="K4440" s="58"/>
      <c r="L4440" s="58"/>
      <c r="M4440" s="58"/>
      <c r="N4440" s="58"/>
      <c r="O4440" s="58"/>
      <c r="P4440" s="53"/>
      <c r="Q4440" s="65"/>
      <c r="R4440" s="65"/>
      <c r="S4440" s="65"/>
      <c r="T4440" s="65"/>
      <c r="U4440" s="58"/>
      <c r="V4440" s="65"/>
      <c r="W4440" s="65"/>
      <c r="X4440" s="65"/>
      <c r="Y4440" s="65"/>
      <c r="Z4440" s="51"/>
      <c r="AA4440" s="51"/>
      <c r="AB4440" s="102"/>
      <c r="AC4440" s="81" t="e">
        <f t="shared" si="211"/>
        <v>#DIV/0!</v>
      </c>
      <c r="AD4440" s="82">
        <f t="shared" si="212"/>
        <v>0</v>
      </c>
      <c r="AE4440" s="218"/>
      <c r="AH4440" t="str">
        <f t="shared" si="210"/>
        <v>0000</v>
      </c>
      <c r="AJ4440" s="72"/>
      <c r="AK4440" s="72"/>
      <c r="AL4440" s="72"/>
      <c r="AM4440" s="72"/>
    </row>
    <row r="4441" spans="1:39" x14ac:dyDescent="0.25">
      <c r="A4441" s="37" t="s">
        <v>62</v>
      </c>
      <c r="B4441" s="66"/>
      <c r="C4441" s="4"/>
      <c r="D4441" s="41"/>
      <c r="E4441" s="41"/>
      <c r="F4441" s="85"/>
      <c r="G4441" s="39"/>
      <c r="H4441" s="52"/>
      <c r="I4441" s="52"/>
      <c r="J4441" s="49"/>
      <c r="K4441" s="58"/>
      <c r="L4441" s="58"/>
      <c r="M4441" s="58"/>
      <c r="N4441" s="58"/>
      <c r="O4441" s="58"/>
      <c r="P4441" s="53"/>
      <c r="Q4441" s="65"/>
      <c r="R4441" s="65"/>
      <c r="S4441" s="65"/>
      <c r="T4441" s="65"/>
      <c r="U4441" s="58"/>
      <c r="V4441" s="65"/>
      <c r="W4441" s="65"/>
      <c r="X4441" s="65"/>
      <c r="Y4441" s="65"/>
      <c r="Z4441" s="51"/>
      <c r="AA4441" s="51"/>
      <c r="AB4441" s="102"/>
      <c r="AC4441" s="81" t="e">
        <f t="shared" si="211"/>
        <v>#DIV/0!</v>
      </c>
      <c r="AD4441" s="82">
        <f t="shared" si="212"/>
        <v>0</v>
      </c>
      <c r="AE4441" s="218"/>
      <c r="AH4441" t="str">
        <f t="shared" si="210"/>
        <v>0000</v>
      </c>
      <c r="AJ4441" s="72"/>
      <c r="AK4441" s="72"/>
      <c r="AL4441" s="72"/>
      <c r="AM4441" s="72"/>
    </row>
    <row r="4442" spans="1:39" x14ac:dyDescent="0.25">
      <c r="A4442" s="37" t="s">
        <v>62</v>
      </c>
      <c r="B4442" s="66"/>
      <c r="C4442" s="4"/>
      <c r="D4442" s="41"/>
      <c r="E4442" s="41"/>
      <c r="F4442" s="85"/>
      <c r="G4442" s="39"/>
      <c r="H4442" s="52"/>
      <c r="I4442" s="52"/>
      <c r="J4442" s="49"/>
      <c r="K4442" s="58"/>
      <c r="L4442" s="58"/>
      <c r="M4442" s="58"/>
      <c r="N4442" s="58"/>
      <c r="O4442" s="58"/>
      <c r="P4442" s="53"/>
      <c r="Q4442" s="65"/>
      <c r="R4442" s="65"/>
      <c r="S4442" s="65"/>
      <c r="T4442" s="65"/>
      <c r="U4442" s="58"/>
      <c r="V4442" s="65"/>
      <c r="W4442" s="65"/>
      <c r="X4442" s="65"/>
      <c r="Y4442" s="65"/>
      <c r="Z4442" s="51"/>
      <c r="AA4442" s="51"/>
      <c r="AB4442" s="102"/>
      <c r="AC4442" s="81" t="e">
        <f t="shared" si="211"/>
        <v>#DIV/0!</v>
      </c>
      <c r="AD4442" s="82">
        <f t="shared" si="212"/>
        <v>0</v>
      </c>
      <c r="AE4442" s="218"/>
      <c r="AH4442" t="str">
        <f t="shared" si="210"/>
        <v>0000</v>
      </c>
      <c r="AJ4442" s="72"/>
      <c r="AK4442" s="72"/>
      <c r="AL4442" s="72"/>
      <c r="AM4442" s="72"/>
    </row>
    <row r="4443" spans="1:39" x14ac:dyDescent="0.25">
      <c r="A4443" s="37" t="s">
        <v>62</v>
      </c>
      <c r="B4443" s="66"/>
      <c r="C4443" s="4"/>
      <c r="D4443" s="41"/>
      <c r="E4443" s="41"/>
      <c r="F4443" s="85"/>
      <c r="G4443" s="39"/>
      <c r="H4443" s="52"/>
      <c r="I4443" s="52"/>
      <c r="J4443" s="49"/>
      <c r="K4443" s="58"/>
      <c r="L4443" s="58"/>
      <c r="M4443" s="58"/>
      <c r="N4443" s="58"/>
      <c r="O4443" s="58"/>
      <c r="P4443" s="53"/>
      <c r="Q4443" s="65"/>
      <c r="R4443" s="65"/>
      <c r="S4443" s="65"/>
      <c r="T4443" s="65"/>
      <c r="U4443" s="58"/>
      <c r="V4443" s="65"/>
      <c r="W4443" s="65"/>
      <c r="X4443" s="65"/>
      <c r="Y4443" s="65"/>
      <c r="Z4443" s="51"/>
      <c r="AA4443" s="51"/>
      <c r="AB4443" s="102"/>
      <c r="AC4443" s="81" t="e">
        <f t="shared" si="211"/>
        <v>#DIV/0!</v>
      </c>
      <c r="AD4443" s="82">
        <f t="shared" si="212"/>
        <v>0</v>
      </c>
      <c r="AE4443" s="218"/>
      <c r="AH4443" t="str">
        <f t="shared" si="210"/>
        <v>0000</v>
      </c>
      <c r="AJ4443" s="72"/>
      <c r="AK4443" s="72"/>
      <c r="AL4443" s="72"/>
      <c r="AM4443" s="72"/>
    </row>
    <row r="4444" spans="1:39" x14ac:dyDescent="0.25">
      <c r="A4444" s="37" t="s">
        <v>62</v>
      </c>
      <c r="B4444" s="66"/>
      <c r="C4444" s="4"/>
      <c r="D4444" s="41"/>
      <c r="E4444" s="41"/>
      <c r="F4444" s="85"/>
      <c r="G4444" s="39"/>
      <c r="H4444" s="52"/>
      <c r="I4444" s="52"/>
      <c r="J4444" s="49"/>
      <c r="K4444" s="58"/>
      <c r="L4444" s="58"/>
      <c r="M4444" s="58"/>
      <c r="N4444" s="58"/>
      <c r="O4444" s="58"/>
      <c r="P4444" s="53"/>
      <c r="Q4444" s="65"/>
      <c r="R4444" s="65"/>
      <c r="S4444" s="65"/>
      <c r="T4444" s="65"/>
      <c r="U4444" s="58"/>
      <c r="V4444" s="65"/>
      <c r="W4444" s="65"/>
      <c r="X4444" s="65"/>
      <c r="Y4444" s="65"/>
      <c r="Z4444" s="51"/>
      <c r="AA4444" s="51"/>
      <c r="AB4444" s="102"/>
      <c r="AC4444" s="81" t="e">
        <f t="shared" si="211"/>
        <v>#DIV/0!</v>
      </c>
      <c r="AD4444" s="82">
        <f t="shared" si="212"/>
        <v>0</v>
      </c>
      <c r="AE4444" s="218"/>
      <c r="AH4444" t="str">
        <f t="shared" si="210"/>
        <v>0000</v>
      </c>
      <c r="AJ4444" s="72"/>
      <c r="AK4444" s="72"/>
      <c r="AL4444" s="72"/>
      <c r="AM4444" s="72"/>
    </row>
    <row r="4445" spans="1:39" x14ac:dyDescent="0.25">
      <c r="A4445" s="37" t="s">
        <v>62</v>
      </c>
      <c r="B4445" s="66"/>
      <c r="C4445" s="4"/>
      <c r="D4445" s="41"/>
      <c r="E4445" s="41"/>
      <c r="F4445" s="85"/>
      <c r="G4445" s="39"/>
      <c r="H4445" s="52"/>
      <c r="I4445" s="52"/>
      <c r="J4445" s="49"/>
      <c r="K4445" s="58"/>
      <c r="L4445" s="58"/>
      <c r="M4445" s="58"/>
      <c r="N4445" s="58"/>
      <c r="O4445" s="58"/>
      <c r="P4445" s="53"/>
      <c r="Q4445" s="65"/>
      <c r="R4445" s="65"/>
      <c r="S4445" s="65"/>
      <c r="T4445" s="65"/>
      <c r="U4445" s="58"/>
      <c r="V4445" s="65"/>
      <c r="W4445" s="65"/>
      <c r="X4445" s="65"/>
      <c r="Y4445" s="65"/>
      <c r="Z4445" s="51"/>
      <c r="AA4445" s="51"/>
      <c r="AB4445" s="102"/>
      <c r="AC4445" s="81" t="e">
        <f t="shared" si="211"/>
        <v>#DIV/0!</v>
      </c>
      <c r="AD4445" s="82">
        <f t="shared" si="212"/>
        <v>0</v>
      </c>
      <c r="AE4445" s="218"/>
      <c r="AH4445" t="str">
        <f t="shared" si="210"/>
        <v>0000</v>
      </c>
      <c r="AJ4445" s="72"/>
      <c r="AK4445" s="72"/>
      <c r="AL4445" s="72"/>
      <c r="AM4445" s="72"/>
    </row>
    <row r="4446" spans="1:39" x14ac:dyDescent="0.25">
      <c r="A4446" s="37" t="s">
        <v>62</v>
      </c>
      <c r="B4446" s="66"/>
      <c r="C4446" s="4"/>
      <c r="D4446" s="41"/>
      <c r="E4446" s="41"/>
      <c r="F4446" s="85"/>
      <c r="G4446" s="39"/>
      <c r="H4446" s="52"/>
      <c r="I4446" s="52"/>
      <c r="J4446" s="49"/>
      <c r="K4446" s="58"/>
      <c r="L4446" s="58"/>
      <c r="M4446" s="58"/>
      <c r="N4446" s="58"/>
      <c r="O4446" s="58"/>
      <c r="P4446" s="53"/>
      <c r="Q4446" s="65"/>
      <c r="R4446" s="65"/>
      <c r="S4446" s="65"/>
      <c r="T4446" s="65"/>
      <c r="U4446" s="58"/>
      <c r="V4446" s="65"/>
      <c r="W4446" s="65"/>
      <c r="X4446" s="65"/>
      <c r="Y4446" s="65"/>
      <c r="Z4446" s="51"/>
      <c r="AA4446" s="51"/>
      <c r="AB4446" s="102"/>
      <c r="AC4446" s="81" t="e">
        <f t="shared" si="211"/>
        <v>#DIV/0!</v>
      </c>
      <c r="AD4446" s="82">
        <f t="shared" si="212"/>
        <v>0</v>
      </c>
      <c r="AE4446" s="218"/>
      <c r="AH4446" t="str">
        <f t="shared" si="210"/>
        <v>0000</v>
      </c>
      <c r="AJ4446" s="72"/>
      <c r="AK4446" s="72"/>
      <c r="AL4446" s="72"/>
      <c r="AM4446" s="72"/>
    </row>
    <row r="4447" spans="1:39" x14ac:dyDescent="0.25">
      <c r="A4447" s="37" t="s">
        <v>62</v>
      </c>
      <c r="B4447" s="66"/>
      <c r="C4447" s="4"/>
      <c r="D4447" s="41"/>
      <c r="E4447" s="41"/>
      <c r="F4447" s="85"/>
      <c r="G4447" s="39"/>
      <c r="H4447" s="52"/>
      <c r="I4447" s="52"/>
      <c r="J4447" s="49"/>
      <c r="K4447" s="58"/>
      <c r="L4447" s="58"/>
      <c r="M4447" s="58"/>
      <c r="N4447" s="58"/>
      <c r="O4447" s="58"/>
      <c r="P4447" s="53"/>
      <c r="Q4447" s="65"/>
      <c r="R4447" s="65"/>
      <c r="S4447" s="65"/>
      <c r="T4447" s="65"/>
      <c r="U4447" s="58"/>
      <c r="V4447" s="65"/>
      <c r="W4447" s="65"/>
      <c r="X4447" s="65"/>
      <c r="Y4447" s="65"/>
      <c r="Z4447" s="51"/>
      <c r="AA4447" s="51"/>
      <c r="AB4447" s="102"/>
      <c r="AC4447" s="81" t="e">
        <f t="shared" si="211"/>
        <v>#DIV/0!</v>
      </c>
      <c r="AD4447" s="82">
        <f t="shared" si="212"/>
        <v>0</v>
      </c>
      <c r="AE4447" s="218"/>
      <c r="AH4447" t="str">
        <f t="shared" si="210"/>
        <v>0000</v>
      </c>
      <c r="AJ4447" s="72"/>
      <c r="AK4447" s="72"/>
      <c r="AL4447" s="72"/>
      <c r="AM4447" s="72"/>
    </row>
    <row r="4448" spans="1:39" x14ac:dyDescent="0.25">
      <c r="A4448" s="37" t="s">
        <v>62</v>
      </c>
      <c r="B4448" s="66"/>
      <c r="C4448" s="4"/>
      <c r="D4448" s="41"/>
      <c r="E4448" s="41"/>
      <c r="F4448" s="85"/>
      <c r="G4448" s="39"/>
      <c r="H4448" s="52"/>
      <c r="I4448" s="52"/>
      <c r="J4448" s="49"/>
      <c r="K4448" s="58"/>
      <c r="L4448" s="58"/>
      <c r="M4448" s="58"/>
      <c r="N4448" s="58"/>
      <c r="O4448" s="58"/>
      <c r="P4448" s="53"/>
      <c r="Q4448" s="65"/>
      <c r="R4448" s="65"/>
      <c r="S4448" s="65"/>
      <c r="T4448" s="65"/>
      <c r="U4448" s="58"/>
      <c r="V4448" s="65"/>
      <c r="W4448" s="65"/>
      <c r="X4448" s="65"/>
      <c r="Y4448" s="65"/>
      <c r="Z4448" s="51"/>
      <c r="AA4448" s="51"/>
      <c r="AB4448" s="102"/>
      <c r="AC4448" s="81" t="e">
        <f t="shared" si="211"/>
        <v>#DIV/0!</v>
      </c>
      <c r="AD4448" s="82">
        <f t="shared" si="212"/>
        <v>0</v>
      </c>
      <c r="AE4448" s="218"/>
      <c r="AH4448" t="str">
        <f t="shared" si="210"/>
        <v>0000</v>
      </c>
      <c r="AJ4448" s="72"/>
      <c r="AK4448" s="72"/>
      <c r="AL4448" s="72"/>
      <c r="AM4448" s="72"/>
    </row>
    <row r="4449" spans="1:39" x14ac:dyDescent="0.25">
      <c r="A4449" s="37" t="s">
        <v>62</v>
      </c>
      <c r="B4449" s="66"/>
      <c r="C4449" s="4"/>
      <c r="D4449" s="41"/>
      <c r="E4449" s="41"/>
      <c r="F4449" s="85"/>
      <c r="G4449" s="39"/>
      <c r="H4449" s="52"/>
      <c r="I4449" s="52"/>
      <c r="J4449" s="49"/>
      <c r="K4449" s="58"/>
      <c r="L4449" s="58"/>
      <c r="M4449" s="58"/>
      <c r="N4449" s="58"/>
      <c r="O4449" s="58"/>
      <c r="P4449" s="53"/>
      <c r="Q4449" s="65"/>
      <c r="R4449" s="65"/>
      <c r="S4449" s="65"/>
      <c r="T4449" s="65"/>
      <c r="U4449" s="58"/>
      <c r="V4449" s="65"/>
      <c r="W4449" s="65"/>
      <c r="X4449" s="65"/>
      <c r="Y4449" s="65"/>
      <c r="Z4449" s="51"/>
      <c r="AA4449" s="51"/>
      <c r="AB4449" s="102"/>
      <c r="AC4449" s="81" t="e">
        <f t="shared" si="211"/>
        <v>#DIV/0!</v>
      </c>
      <c r="AD4449" s="82">
        <f t="shared" si="212"/>
        <v>0</v>
      </c>
      <c r="AE4449" s="218"/>
      <c r="AH4449" t="str">
        <f t="shared" si="210"/>
        <v>0000</v>
      </c>
      <c r="AJ4449" s="72"/>
      <c r="AK4449" s="72"/>
      <c r="AL4449" s="72"/>
      <c r="AM4449" s="72"/>
    </row>
    <row r="4450" spans="1:39" x14ac:dyDescent="0.25">
      <c r="A4450" s="37" t="s">
        <v>62</v>
      </c>
      <c r="B4450" s="66"/>
      <c r="C4450" s="4"/>
      <c r="D4450" s="41"/>
      <c r="E4450" s="41"/>
      <c r="F4450" s="85"/>
      <c r="G4450" s="39"/>
      <c r="H4450" s="52"/>
      <c r="I4450" s="52"/>
      <c r="J4450" s="49"/>
      <c r="K4450" s="58"/>
      <c r="L4450" s="58"/>
      <c r="M4450" s="58"/>
      <c r="N4450" s="58"/>
      <c r="O4450" s="58"/>
      <c r="P4450" s="53"/>
      <c r="Q4450" s="65"/>
      <c r="R4450" s="65"/>
      <c r="S4450" s="65"/>
      <c r="T4450" s="65"/>
      <c r="U4450" s="58"/>
      <c r="V4450" s="65"/>
      <c r="W4450" s="65"/>
      <c r="X4450" s="65"/>
      <c r="Y4450" s="65"/>
      <c r="Z4450" s="51"/>
      <c r="AA4450" s="51"/>
      <c r="AB4450" s="102"/>
      <c r="AC4450" s="81" t="e">
        <f t="shared" si="211"/>
        <v>#DIV/0!</v>
      </c>
      <c r="AD4450" s="82">
        <f t="shared" si="212"/>
        <v>0</v>
      </c>
      <c r="AE4450" s="218"/>
      <c r="AH4450" t="str">
        <f t="shared" si="210"/>
        <v>0000</v>
      </c>
      <c r="AJ4450" s="72"/>
      <c r="AK4450" s="72"/>
      <c r="AL4450" s="72"/>
      <c r="AM4450" s="72"/>
    </row>
    <row r="4451" spans="1:39" x14ac:dyDescent="0.25">
      <c r="A4451" s="37" t="s">
        <v>62</v>
      </c>
      <c r="B4451" s="66"/>
      <c r="C4451" s="4"/>
      <c r="D4451" s="41"/>
      <c r="E4451" s="41"/>
      <c r="F4451" s="85"/>
      <c r="G4451" s="39"/>
      <c r="H4451" s="52"/>
      <c r="I4451" s="52"/>
      <c r="J4451" s="49"/>
      <c r="K4451" s="58"/>
      <c r="L4451" s="58"/>
      <c r="M4451" s="58"/>
      <c r="N4451" s="58"/>
      <c r="O4451" s="58"/>
      <c r="P4451" s="53"/>
      <c r="Q4451" s="65"/>
      <c r="R4451" s="65"/>
      <c r="S4451" s="65"/>
      <c r="T4451" s="65"/>
      <c r="U4451" s="58"/>
      <c r="V4451" s="65"/>
      <c r="W4451" s="65"/>
      <c r="X4451" s="65"/>
      <c r="Y4451" s="65"/>
      <c r="Z4451" s="51"/>
      <c r="AA4451" s="51"/>
      <c r="AB4451" s="102"/>
      <c r="AC4451" s="81" t="e">
        <f t="shared" si="211"/>
        <v>#DIV/0!</v>
      </c>
      <c r="AD4451" s="82">
        <f t="shared" si="212"/>
        <v>0</v>
      </c>
      <c r="AE4451" s="218"/>
      <c r="AH4451" t="str">
        <f t="shared" si="210"/>
        <v>0000</v>
      </c>
      <c r="AJ4451" s="72"/>
      <c r="AK4451" s="72"/>
      <c r="AL4451" s="72"/>
      <c r="AM4451" s="72"/>
    </row>
    <row r="4452" spans="1:39" x14ac:dyDescent="0.25">
      <c r="A4452" s="37" t="s">
        <v>62</v>
      </c>
      <c r="B4452" s="66"/>
      <c r="C4452" s="4"/>
      <c r="D4452" s="41"/>
      <c r="E4452" s="41"/>
      <c r="F4452" s="85"/>
      <c r="G4452" s="39"/>
      <c r="H4452" s="52"/>
      <c r="I4452" s="52"/>
      <c r="J4452" s="49"/>
      <c r="K4452" s="58"/>
      <c r="L4452" s="58"/>
      <c r="M4452" s="58"/>
      <c r="N4452" s="58"/>
      <c r="O4452" s="58"/>
      <c r="P4452" s="53"/>
      <c r="Q4452" s="65"/>
      <c r="R4452" s="65"/>
      <c r="S4452" s="65"/>
      <c r="T4452" s="65"/>
      <c r="U4452" s="58"/>
      <c r="V4452" s="65"/>
      <c r="W4452" s="65"/>
      <c r="X4452" s="65"/>
      <c r="Y4452" s="65"/>
      <c r="Z4452" s="51"/>
      <c r="AA4452" s="51"/>
      <c r="AB4452" s="102"/>
      <c r="AC4452" s="81" t="e">
        <f t="shared" si="211"/>
        <v>#DIV/0!</v>
      </c>
      <c r="AD4452" s="82">
        <f t="shared" si="212"/>
        <v>0</v>
      </c>
      <c r="AE4452" s="218"/>
      <c r="AH4452" t="str">
        <f t="shared" si="210"/>
        <v>0000</v>
      </c>
      <c r="AJ4452" s="72"/>
      <c r="AK4452" s="72"/>
      <c r="AL4452" s="72"/>
      <c r="AM4452" s="72"/>
    </row>
    <row r="4453" spans="1:39" x14ac:dyDescent="0.25">
      <c r="A4453" s="37" t="s">
        <v>62</v>
      </c>
      <c r="B4453" s="66"/>
      <c r="C4453" s="4"/>
      <c r="D4453" s="41"/>
      <c r="E4453" s="41"/>
      <c r="F4453" s="85"/>
      <c r="G4453" s="39"/>
      <c r="H4453" s="52"/>
      <c r="I4453" s="52"/>
      <c r="J4453" s="49"/>
      <c r="K4453" s="58"/>
      <c r="L4453" s="58"/>
      <c r="M4453" s="58"/>
      <c r="N4453" s="58"/>
      <c r="O4453" s="58"/>
      <c r="P4453" s="53"/>
      <c r="Q4453" s="65"/>
      <c r="R4453" s="65"/>
      <c r="S4453" s="65"/>
      <c r="T4453" s="65"/>
      <c r="U4453" s="58"/>
      <c r="V4453" s="65"/>
      <c r="W4453" s="65"/>
      <c r="X4453" s="65"/>
      <c r="Y4453" s="65"/>
      <c r="Z4453" s="51"/>
      <c r="AA4453" s="51"/>
      <c r="AB4453" s="102"/>
      <c r="AC4453" s="81" t="e">
        <f t="shared" si="211"/>
        <v>#DIV/0!</v>
      </c>
      <c r="AD4453" s="82">
        <f t="shared" si="212"/>
        <v>0</v>
      </c>
      <c r="AE4453" s="218"/>
      <c r="AH4453" t="str">
        <f t="shared" si="210"/>
        <v>0000</v>
      </c>
      <c r="AJ4453" s="72"/>
      <c r="AK4453" s="72"/>
      <c r="AL4453" s="72"/>
      <c r="AM4453" s="72"/>
    </row>
    <row r="4454" spans="1:39" x14ac:dyDescent="0.25">
      <c r="A4454" s="37" t="s">
        <v>62</v>
      </c>
      <c r="B4454" s="66"/>
      <c r="C4454" s="4"/>
      <c r="D4454" s="41"/>
      <c r="E4454" s="41"/>
      <c r="F4454" s="85"/>
      <c r="G4454" s="39"/>
      <c r="H4454" s="52"/>
      <c r="I4454" s="52"/>
      <c r="J4454" s="49"/>
      <c r="K4454" s="58"/>
      <c r="L4454" s="58"/>
      <c r="M4454" s="58"/>
      <c r="N4454" s="58"/>
      <c r="O4454" s="58"/>
      <c r="P4454" s="53"/>
      <c r="Q4454" s="65"/>
      <c r="R4454" s="65"/>
      <c r="S4454" s="65"/>
      <c r="T4454" s="65"/>
      <c r="U4454" s="58"/>
      <c r="V4454" s="65"/>
      <c r="W4454" s="65"/>
      <c r="X4454" s="65"/>
      <c r="Y4454" s="65"/>
      <c r="Z4454" s="51"/>
      <c r="AA4454" s="51"/>
      <c r="AB4454" s="102"/>
      <c r="AC4454" s="81" t="e">
        <f t="shared" si="211"/>
        <v>#DIV/0!</v>
      </c>
      <c r="AD4454" s="82">
        <f t="shared" si="212"/>
        <v>0</v>
      </c>
      <c r="AE4454" s="218"/>
      <c r="AH4454" t="str">
        <f t="shared" si="210"/>
        <v>0000</v>
      </c>
      <c r="AJ4454" s="72"/>
      <c r="AK4454" s="72"/>
      <c r="AL4454" s="72"/>
      <c r="AM4454" s="72"/>
    </row>
    <row r="4455" spans="1:39" x14ac:dyDescent="0.25">
      <c r="A4455" s="37" t="s">
        <v>62</v>
      </c>
      <c r="B4455" s="66"/>
      <c r="C4455" s="4"/>
      <c r="D4455" s="41"/>
      <c r="E4455" s="41"/>
      <c r="F4455" s="85"/>
      <c r="G4455" s="39"/>
      <c r="H4455" s="52"/>
      <c r="I4455" s="52"/>
      <c r="J4455" s="49"/>
      <c r="K4455" s="58"/>
      <c r="L4455" s="58"/>
      <c r="M4455" s="58"/>
      <c r="N4455" s="58"/>
      <c r="O4455" s="58"/>
      <c r="P4455" s="53"/>
      <c r="Q4455" s="65"/>
      <c r="R4455" s="65"/>
      <c r="S4455" s="65"/>
      <c r="T4455" s="65"/>
      <c r="U4455" s="58"/>
      <c r="V4455" s="65"/>
      <c r="W4455" s="65"/>
      <c r="X4455" s="65"/>
      <c r="Y4455" s="65"/>
      <c r="Z4455" s="51"/>
      <c r="AA4455" s="51"/>
      <c r="AB4455" s="102"/>
      <c r="AC4455" s="81" t="e">
        <f t="shared" si="211"/>
        <v>#DIV/0!</v>
      </c>
      <c r="AD4455" s="82">
        <f t="shared" si="212"/>
        <v>0</v>
      </c>
      <c r="AE4455" s="218"/>
      <c r="AH4455" t="str">
        <f t="shared" si="210"/>
        <v>0000</v>
      </c>
      <c r="AJ4455" s="72"/>
      <c r="AK4455" s="72"/>
      <c r="AL4455" s="72"/>
      <c r="AM4455" s="72"/>
    </row>
    <row r="4456" spans="1:39" x14ac:dyDescent="0.25">
      <c r="A4456" s="37" t="s">
        <v>62</v>
      </c>
      <c r="B4456" s="66"/>
      <c r="C4456" s="4"/>
      <c r="D4456" s="41"/>
      <c r="E4456" s="41"/>
      <c r="F4456" s="85"/>
      <c r="G4456" s="39"/>
      <c r="H4456" s="52"/>
      <c r="I4456" s="52"/>
      <c r="J4456" s="49"/>
      <c r="K4456" s="58"/>
      <c r="L4456" s="58"/>
      <c r="M4456" s="58"/>
      <c r="N4456" s="58"/>
      <c r="O4456" s="58"/>
      <c r="P4456" s="53"/>
      <c r="Q4456" s="65"/>
      <c r="R4456" s="65"/>
      <c r="S4456" s="65"/>
      <c r="T4456" s="65"/>
      <c r="U4456" s="58"/>
      <c r="V4456" s="65"/>
      <c r="W4456" s="65"/>
      <c r="X4456" s="65"/>
      <c r="Y4456" s="65"/>
      <c r="Z4456" s="51"/>
      <c r="AA4456" s="51"/>
      <c r="AB4456" s="102"/>
      <c r="AC4456" s="81" t="e">
        <f t="shared" si="211"/>
        <v>#DIV/0!</v>
      </c>
      <c r="AD4456" s="82">
        <f t="shared" si="212"/>
        <v>0</v>
      </c>
      <c r="AE4456" s="218"/>
      <c r="AH4456" t="str">
        <f t="shared" si="210"/>
        <v>0000</v>
      </c>
      <c r="AJ4456" s="72"/>
      <c r="AK4456" s="72"/>
      <c r="AL4456" s="72"/>
      <c r="AM4456" s="72"/>
    </row>
    <row r="4457" spans="1:39" x14ac:dyDescent="0.25">
      <c r="A4457" s="37" t="s">
        <v>62</v>
      </c>
      <c r="B4457" s="66"/>
      <c r="C4457" s="4"/>
      <c r="D4457" s="41"/>
      <c r="E4457" s="41"/>
      <c r="F4457" s="85"/>
      <c r="G4457" s="39"/>
      <c r="H4457" s="52"/>
      <c r="I4457" s="52"/>
      <c r="J4457" s="49"/>
      <c r="K4457" s="58"/>
      <c r="L4457" s="58"/>
      <c r="M4457" s="58"/>
      <c r="N4457" s="58"/>
      <c r="O4457" s="58"/>
      <c r="P4457" s="53"/>
      <c r="Q4457" s="65"/>
      <c r="R4457" s="65"/>
      <c r="S4457" s="65"/>
      <c r="T4457" s="65"/>
      <c r="U4457" s="58"/>
      <c r="V4457" s="65"/>
      <c r="W4457" s="65"/>
      <c r="X4457" s="65"/>
      <c r="Y4457" s="65"/>
      <c r="Z4457" s="51"/>
      <c r="AA4457" s="51"/>
      <c r="AB4457" s="102"/>
      <c r="AC4457" s="81" t="e">
        <f t="shared" si="211"/>
        <v>#DIV/0!</v>
      </c>
      <c r="AD4457" s="82">
        <f t="shared" si="212"/>
        <v>0</v>
      </c>
      <c r="AE4457" s="218"/>
      <c r="AH4457" t="str">
        <f t="shared" si="210"/>
        <v>0000</v>
      </c>
      <c r="AJ4457" s="72"/>
      <c r="AK4457" s="72"/>
      <c r="AL4457" s="72"/>
      <c r="AM4457" s="72"/>
    </row>
    <row r="4458" spans="1:39" x14ac:dyDescent="0.25">
      <c r="A4458" s="37" t="s">
        <v>62</v>
      </c>
      <c r="B4458" s="66"/>
      <c r="C4458" s="4"/>
      <c r="D4458" s="41"/>
      <c r="E4458" s="41"/>
      <c r="F4458" s="85"/>
      <c r="G4458" s="39"/>
      <c r="H4458" s="52"/>
      <c r="I4458" s="52"/>
      <c r="J4458" s="49"/>
      <c r="K4458" s="58"/>
      <c r="L4458" s="58"/>
      <c r="M4458" s="58"/>
      <c r="N4458" s="58"/>
      <c r="O4458" s="58"/>
      <c r="P4458" s="53"/>
      <c r="Q4458" s="65"/>
      <c r="R4458" s="65"/>
      <c r="S4458" s="65"/>
      <c r="T4458" s="65"/>
      <c r="U4458" s="58"/>
      <c r="V4458" s="65"/>
      <c r="W4458" s="65"/>
      <c r="X4458" s="65"/>
      <c r="Y4458" s="65"/>
      <c r="Z4458" s="51"/>
      <c r="AA4458" s="51"/>
      <c r="AB4458" s="102"/>
      <c r="AC4458" s="81" t="e">
        <f t="shared" si="211"/>
        <v>#DIV/0!</v>
      </c>
      <c r="AD4458" s="82">
        <f t="shared" si="212"/>
        <v>0</v>
      </c>
      <c r="AE4458" s="218"/>
      <c r="AH4458" t="str">
        <f t="shared" si="210"/>
        <v>0000</v>
      </c>
      <c r="AJ4458" s="72"/>
      <c r="AK4458" s="72"/>
      <c r="AL4458" s="72"/>
      <c r="AM4458" s="72"/>
    </row>
    <row r="4459" spans="1:39" x14ac:dyDescent="0.25">
      <c r="A4459" s="37" t="s">
        <v>62</v>
      </c>
      <c r="B4459" s="66"/>
      <c r="C4459" s="4"/>
      <c r="D4459" s="41"/>
      <c r="E4459" s="41"/>
      <c r="F4459" s="85"/>
      <c r="G4459" s="39"/>
      <c r="H4459" s="52"/>
      <c r="I4459" s="52"/>
      <c r="J4459" s="49"/>
      <c r="K4459" s="58"/>
      <c r="L4459" s="58"/>
      <c r="M4459" s="58"/>
      <c r="N4459" s="58"/>
      <c r="O4459" s="58"/>
      <c r="P4459" s="53"/>
      <c r="Q4459" s="65"/>
      <c r="R4459" s="65"/>
      <c r="S4459" s="65"/>
      <c r="T4459" s="65"/>
      <c r="U4459" s="58"/>
      <c r="V4459" s="65"/>
      <c r="W4459" s="65"/>
      <c r="X4459" s="65"/>
      <c r="Y4459" s="65"/>
      <c r="Z4459" s="51"/>
      <c r="AA4459" s="51"/>
      <c r="AB4459" s="102"/>
      <c r="AC4459" s="81" t="e">
        <f t="shared" si="211"/>
        <v>#DIV/0!</v>
      </c>
      <c r="AD4459" s="82">
        <f t="shared" si="212"/>
        <v>0</v>
      </c>
      <c r="AE4459" s="218"/>
      <c r="AH4459" t="str">
        <f t="shared" si="210"/>
        <v>0000</v>
      </c>
      <c r="AJ4459" s="72"/>
      <c r="AK4459" s="72"/>
      <c r="AL4459" s="72"/>
      <c r="AM4459" s="72"/>
    </row>
    <row r="4460" spans="1:39" x14ac:dyDescent="0.25">
      <c r="A4460" s="37" t="s">
        <v>62</v>
      </c>
      <c r="B4460" s="66"/>
      <c r="C4460" s="4"/>
      <c r="D4460" s="41"/>
      <c r="E4460" s="41"/>
      <c r="F4460" s="85"/>
      <c r="G4460" s="39"/>
      <c r="H4460" s="52"/>
      <c r="I4460" s="52"/>
      <c r="J4460" s="49"/>
      <c r="K4460" s="58"/>
      <c r="L4460" s="58"/>
      <c r="M4460" s="58"/>
      <c r="N4460" s="58"/>
      <c r="O4460" s="58"/>
      <c r="P4460" s="53"/>
      <c r="Q4460" s="65"/>
      <c r="R4460" s="65"/>
      <c r="S4460" s="65"/>
      <c r="T4460" s="65"/>
      <c r="U4460" s="58"/>
      <c r="V4460" s="65"/>
      <c r="W4460" s="65"/>
      <c r="X4460" s="65"/>
      <c r="Y4460" s="65"/>
      <c r="Z4460" s="51"/>
      <c r="AA4460" s="51"/>
      <c r="AB4460" s="102"/>
      <c r="AC4460" s="81" t="e">
        <f t="shared" si="211"/>
        <v>#DIV/0!</v>
      </c>
      <c r="AD4460" s="82">
        <f t="shared" si="212"/>
        <v>0</v>
      </c>
      <c r="AE4460" s="218"/>
      <c r="AH4460" t="str">
        <f t="shared" si="210"/>
        <v>0000</v>
      </c>
      <c r="AJ4460" s="72"/>
      <c r="AK4460" s="72"/>
      <c r="AL4460" s="72"/>
      <c r="AM4460" s="72"/>
    </row>
    <row r="4461" spans="1:39" x14ac:dyDescent="0.25">
      <c r="A4461" s="37" t="s">
        <v>62</v>
      </c>
      <c r="B4461" s="66"/>
      <c r="C4461" s="4"/>
      <c r="D4461" s="41"/>
      <c r="E4461" s="41"/>
      <c r="F4461" s="85"/>
      <c r="G4461" s="39"/>
      <c r="H4461" s="52"/>
      <c r="I4461" s="52"/>
      <c r="J4461" s="49"/>
      <c r="K4461" s="58"/>
      <c r="L4461" s="58"/>
      <c r="M4461" s="58"/>
      <c r="N4461" s="58"/>
      <c r="O4461" s="58"/>
      <c r="P4461" s="53"/>
      <c r="Q4461" s="65"/>
      <c r="R4461" s="65"/>
      <c r="S4461" s="65"/>
      <c r="T4461" s="65"/>
      <c r="U4461" s="58"/>
      <c r="V4461" s="65"/>
      <c r="W4461" s="65"/>
      <c r="X4461" s="65"/>
      <c r="Y4461" s="65"/>
      <c r="Z4461" s="51"/>
      <c r="AA4461" s="51"/>
      <c r="AB4461" s="102"/>
      <c r="AC4461" s="81" t="e">
        <f t="shared" si="211"/>
        <v>#DIV/0!</v>
      </c>
      <c r="AD4461" s="82">
        <f t="shared" si="212"/>
        <v>0</v>
      </c>
      <c r="AE4461" s="218"/>
      <c r="AH4461" t="str">
        <f t="shared" si="210"/>
        <v>0000</v>
      </c>
      <c r="AJ4461" s="72"/>
      <c r="AK4461" s="72"/>
      <c r="AL4461" s="72"/>
      <c r="AM4461" s="72"/>
    </row>
    <row r="4462" spans="1:39" x14ac:dyDescent="0.25">
      <c r="A4462" s="37" t="s">
        <v>62</v>
      </c>
      <c r="B4462" s="66"/>
      <c r="C4462" s="4"/>
      <c r="D4462" s="41"/>
      <c r="E4462" s="41"/>
      <c r="F4462" s="85"/>
      <c r="G4462" s="39"/>
      <c r="H4462" s="52"/>
      <c r="I4462" s="52"/>
      <c r="J4462" s="49"/>
      <c r="K4462" s="58"/>
      <c r="L4462" s="58"/>
      <c r="M4462" s="58"/>
      <c r="N4462" s="58"/>
      <c r="O4462" s="58"/>
      <c r="P4462" s="53"/>
      <c r="Q4462" s="65"/>
      <c r="R4462" s="65"/>
      <c r="S4462" s="65"/>
      <c r="T4462" s="65"/>
      <c r="U4462" s="58"/>
      <c r="V4462" s="65"/>
      <c r="W4462" s="65"/>
      <c r="X4462" s="65"/>
      <c r="Y4462" s="65"/>
      <c r="Z4462" s="51"/>
      <c r="AA4462" s="51"/>
      <c r="AB4462" s="102"/>
      <c r="AC4462" s="81" t="e">
        <f t="shared" si="211"/>
        <v>#DIV/0!</v>
      </c>
      <c r="AD4462" s="82">
        <f t="shared" si="212"/>
        <v>0</v>
      </c>
      <c r="AE4462" s="218"/>
      <c r="AH4462" t="str">
        <f t="shared" si="210"/>
        <v>0000</v>
      </c>
      <c r="AJ4462" s="72"/>
      <c r="AK4462" s="72"/>
      <c r="AL4462" s="72"/>
      <c r="AM4462" s="72"/>
    </row>
    <row r="4463" spans="1:39" x14ac:dyDescent="0.25">
      <c r="A4463" s="37" t="s">
        <v>62</v>
      </c>
      <c r="B4463" s="66"/>
      <c r="C4463" s="4"/>
      <c r="D4463" s="41"/>
      <c r="E4463" s="41"/>
      <c r="F4463" s="85"/>
      <c r="G4463" s="39"/>
      <c r="H4463" s="52"/>
      <c r="I4463" s="52"/>
      <c r="J4463" s="49"/>
      <c r="K4463" s="58"/>
      <c r="L4463" s="58"/>
      <c r="M4463" s="58"/>
      <c r="N4463" s="58"/>
      <c r="O4463" s="58"/>
      <c r="P4463" s="53"/>
      <c r="Q4463" s="65"/>
      <c r="R4463" s="65"/>
      <c r="S4463" s="65"/>
      <c r="T4463" s="65"/>
      <c r="U4463" s="58"/>
      <c r="V4463" s="65"/>
      <c r="W4463" s="65"/>
      <c r="X4463" s="65"/>
      <c r="Y4463" s="65"/>
      <c r="Z4463" s="51"/>
      <c r="AA4463" s="51"/>
      <c r="AB4463" s="102"/>
      <c r="AC4463" s="81" t="e">
        <f t="shared" si="211"/>
        <v>#DIV/0!</v>
      </c>
      <c r="AD4463" s="82">
        <f t="shared" si="212"/>
        <v>0</v>
      </c>
      <c r="AE4463" s="218"/>
      <c r="AH4463" t="str">
        <f t="shared" si="210"/>
        <v>0000</v>
      </c>
      <c r="AJ4463" s="72"/>
      <c r="AK4463" s="72"/>
      <c r="AL4463" s="72"/>
      <c r="AM4463" s="72"/>
    </row>
    <row r="4464" spans="1:39" x14ac:dyDescent="0.25">
      <c r="A4464" s="37" t="s">
        <v>62</v>
      </c>
      <c r="B4464" s="66"/>
      <c r="C4464" s="4"/>
      <c r="D4464" s="41"/>
      <c r="E4464" s="41"/>
      <c r="F4464" s="85"/>
      <c r="G4464" s="39"/>
      <c r="H4464" s="52"/>
      <c r="I4464" s="52"/>
      <c r="J4464" s="49"/>
      <c r="K4464" s="58"/>
      <c r="L4464" s="58"/>
      <c r="M4464" s="58"/>
      <c r="N4464" s="58"/>
      <c r="O4464" s="58"/>
      <c r="P4464" s="53"/>
      <c r="Q4464" s="65"/>
      <c r="R4464" s="65"/>
      <c r="S4464" s="65"/>
      <c r="T4464" s="65"/>
      <c r="U4464" s="58"/>
      <c r="V4464" s="65"/>
      <c r="W4464" s="65"/>
      <c r="X4464" s="65"/>
      <c r="Y4464" s="65"/>
      <c r="Z4464" s="51"/>
      <c r="AA4464" s="51"/>
      <c r="AB4464" s="102"/>
      <c r="AC4464" s="81" t="e">
        <f t="shared" si="211"/>
        <v>#DIV/0!</v>
      </c>
      <c r="AD4464" s="82">
        <f t="shared" si="212"/>
        <v>0</v>
      </c>
      <c r="AE4464" s="218"/>
      <c r="AH4464" t="str">
        <f t="shared" si="210"/>
        <v>0000</v>
      </c>
      <c r="AJ4464" s="72"/>
      <c r="AK4464" s="72"/>
      <c r="AL4464" s="72"/>
      <c r="AM4464" s="72"/>
    </row>
    <row r="4465" spans="1:39" x14ac:dyDescent="0.25">
      <c r="A4465" s="37" t="s">
        <v>62</v>
      </c>
      <c r="B4465" s="66"/>
      <c r="C4465" s="4"/>
      <c r="D4465" s="41"/>
      <c r="E4465" s="41"/>
      <c r="F4465" s="85"/>
      <c r="G4465" s="39"/>
      <c r="H4465" s="52"/>
      <c r="I4465" s="52"/>
      <c r="J4465" s="49"/>
      <c r="K4465" s="58"/>
      <c r="L4465" s="58"/>
      <c r="M4465" s="58"/>
      <c r="N4465" s="58"/>
      <c r="O4465" s="58"/>
      <c r="P4465" s="53"/>
      <c r="Q4465" s="65"/>
      <c r="R4465" s="65"/>
      <c r="S4465" s="65"/>
      <c r="T4465" s="65"/>
      <c r="U4465" s="58"/>
      <c r="V4465" s="65"/>
      <c r="W4465" s="65"/>
      <c r="X4465" s="65"/>
      <c r="Y4465" s="65"/>
      <c r="Z4465" s="51"/>
      <c r="AA4465" s="51"/>
      <c r="AB4465" s="102"/>
      <c r="AC4465" s="81" t="e">
        <f t="shared" si="211"/>
        <v>#DIV/0!</v>
      </c>
      <c r="AD4465" s="82">
        <f t="shared" si="212"/>
        <v>0</v>
      </c>
      <c r="AE4465" s="218"/>
      <c r="AH4465" t="str">
        <f t="shared" si="210"/>
        <v>0000</v>
      </c>
      <c r="AJ4465" s="72"/>
      <c r="AK4465" s="72"/>
      <c r="AL4465" s="72"/>
      <c r="AM4465" s="72"/>
    </row>
    <row r="4466" spans="1:39" x14ac:dyDescent="0.25">
      <c r="A4466" s="37" t="s">
        <v>62</v>
      </c>
      <c r="B4466" s="66"/>
      <c r="C4466" s="4"/>
      <c r="D4466" s="41"/>
      <c r="E4466" s="41"/>
      <c r="F4466" s="85"/>
      <c r="G4466" s="39"/>
      <c r="H4466" s="52"/>
      <c r="I4466" s="52"/>
      <c r="J4466" s="49"/>
      <c r="K4466" s="58"/>
      <c r="L4466" s="58"/>
      <c r="M4466" s="58"/>
      <c r="N4466" s="58"/>
      <c r="O4466" s="58"/>
      <c r="P4466" s="53"/>
      <c r="Q4466" s="65"/>
      <c r="R4466" s="65"/>
      <c r="S4466" s="65"/>
      <c r="T4466" s="65"/>
      <c r="U4466" s="58"/>
      <c r="V4466" s="65"/>
      <c r="W4466" s="65"/>
      <c r="X4466" s="65"/>
      <c r="Y4466" s="65"/>
      <c r="Z4466" s="51"/>
      <c r="AA4466" s="51"/>
      <c r="AB4466" s="102"/>
      <c r="AC4466" s="81" t="e">
        <f t="shared" si="211"/>
        <v>#DIV/0!</v>
      </c>
      <c r="AD4466" s="82">
        <f t="shared" si="212"/>
        <v>0</v>
      </c>
      <c r="AE4466" s="218"/>
      <c r="AH4466" t="str">
        <f t="shared" si="210"/>
        <v>0000</v>
      </c>
      <c r="AJ4466" s="72"/>
      <c r="AK4466" s="72"/>
      <c r="AL4466" s="72"/>
      <c r="AM4466" s="72"/>
    </row>
    <row r="4467" spans="1:39" x14ac:dyDescent="0.25">
      <c r="A4467" s="37" t="s">
        <v>62</v>
      </c>
      <c r="B4467" s="66"/>
      <c r="C4467" s="4"/>
      <c r="D4467" s="41"/>
      <c r="E4467" s="41"/>
      <c r="F4467" s="85"/>
      <c r="G4467" s="39"/>
      <c r="H4467" s="52"/>
      <c r="I4467" s="52"/>
      <c r="J4467" s="49"/>
      <c r="K4467" s="58"/>
      <c r="L4467" s="58"/>
      <c r="M4467" s="58"/>
      <c r="N4467" s="58"/>
      <c r="O4467" s="58"/>
      <c r="P4467" s="53"/>
      <c r="Q4467" s="65"/>
      <c r="R4467" s="65"/>
      <c r="S4467" s="65"/>
      <c r="T4467" s="65"/>
      <c r="U4467" s="58"/>
      <c r="V4467" s="65"/>
      <c r="W4467" s="65"/>
      <c r="X4467" s="65"/>
      <c r="Y4467" s="65"/>
      <c r="Z4467" s="51"/>
      <c r="AA4467" s="51"/>
      <c r="AB4467" s="102"/>
      <c r="AC4467" s="81" t="e">
        <f t="shared" si="211"/>
        <v>#DIV/0!</v>
      </c>
      <c r="AD4467" s="82">
        <f t="shared" si="212"/>
        <v>0</v>
      </c>
      <c r="AE4467" s="218"/>
      <c r="AH4467" t="str">
        <f t="shared" si="210"/>
        <v>0000</v>
      </c>
      <c r="AJ4467" s="72"/>
      <c r="AK4467" s="72"/>
      <c r="AL4467" s="72"/>
      <c r="AM4467" s="72"/>
    </row>
    <row r="4468" spans="1:39" x14ac:dyDescent="0.25">
      <c r="A4468" s="37" t="s">
        <v>62</v>
      </c>
      <c r="B4468" s="66"/>
      <c r="C4468" s="4"/>
      <c r="D4468" s="41"/>
      <c r="E4468" s="41"/>
      <c r="F4468" s="85"/>
      <c r="G4468" s="39"/>
      <c r="H4468" s="52"/>
      <c r="I4468" s="52"/>
      <c r="J4468" s="49"/>
      <c r="K4468" s="58"/>
      <c r="L4468" s="58"/>
      <c r="M4468" s="58"/>
      <c r="N4468" s="58"/>
      <c r="O4468" s="58"/>
      <c r="P4468" s="53"/>
      <c r="Q4468" s="65"/>
      <c r="R4468" s="65"/>
      <c r="S4468" s="65"/>
      <c r="T4468" s="65"/>
      <c r="U4468" s="58"/>
      <c r="V4468" s="65"/>
      <c r="W4468" s="65"/>
      <c r="X4468" s="65"/>
      <c r="Y4468" s="65"/>
      <c r="Z4468" s="51"/>
      <c r="AA4468" s="51"/>
      <c r="AB4468" s="102"/>
      <c r="AC4468" s="81" t="e">
        <f t="shared" si="211"/>
        <v>#DIV/0!</v>
      </c>
      <c r="AD4468" s="82">
        <f t="shared" si="212"/>
        <v>0</v>
      </c>
      <c r="AE4468" s="218"/>
      <c r="AH4468" t="str">
        <f t="shared" si="210"/>
        <v>0000</v>
      </c>
      <c r="AJ4468" s="72"/>
      <c r="AK4468" s="72"/>
      <c r="AL4468" s="72"/>
      <c r="AM4468" s="72"/>
    </row>
    <row r="4469" spans="1:39" x14ac:dyDescent="0.25">
      <c r="A4469" s="37" t="s">
        <v>62</v>
      </c>
      <c r="B4469" s="66"/>
      <c r="C4469" s="4"/>
      <c r="D4469" s="41"/>
      <c r="E4469" s="41"/>
      <c r="F4469" s="85"/>
      <c r="G4469" s="39"/>
      <c r="H4469" s="52"/>
      <c r="I4469" s="52"/>
      <c r="J4469" s="49"/>
      <c r="K4469" s="58"/>
      <c r="L4469" s="58"/>
      <c r="M4469" s="58"/>
      <c r="N4469" s="58"/>
      <c r="O4469" s="58"/>
      <c r="P4469" s="53"/>
      <c r="Q4469" s="65"/>
      <c r="R4469" s="65"/>
      <c r="S4469" s="65"/>
      <c r="T4469" s="65"/>
      <c r="U4469" s="58"/>
      <c r="V4469" s="65"/>
      <c r="W4469" s="65"/>
      <c r="X4469" s="65"/>
      <c r="Y4469" s="65"/>
      <c r="Z4469" s="51"/>
      <c r="AA4469" s="51"/>
      <c r="AB4469" s="102"/>
      <c r="AC4469" s="81" t="e">
        <f t="shared" si="211"/>
        <v>#DIV/0!</v>
      </c>
      <c r="AD4469" s="82">
        <f t="shared" si="212"/>
        <v>0</v>
      </c>
      <c r="AE4469" s="218"/>
      <c r="AH4469" t="str">
        <f t="shared" si="210"/>
        <v>0000</v>
      </c>
      <c r="AJ4469" s="72"/>
      <c r="AK4469" s="72"/>
      <c r="AL4469" s="72"/>
      <c r="AM4469" s="72"/>
    </row>
    <row r="4470" spans="1:39" x14ac:dyDescent="0.25">
      <c r="A4470" s="37" t="s">
        <v>62</v>
      </c>
      <c r="B4470" s="66"/>
      <c r="C4470" s="4"/>
      <c r="D4470" s="41"/>
      <c r="E4470" s="41"/>
      <c r="F4470" s="85"/>
      <c r="G4470" s="39"/>
      <c r="H4470" s="52"/>
      <c r="I4470" s="52"/>
      <c r="J4470" s="49"/>
      <c r="K4470" s="58"/>
      <c r="L4470" s="58"/>
      <c r="M4470" s="58"/>
      <c r="N4470" s="58"/>
      <c r="O4470" s="58"/>
      <c r="P4470" s="53"/>
      <c r="Q4470" s="65"/>
      <c r="R4470" s="65"/>
      <c r="S4470" s="65"/>
      <c r="T4470" s="65"/>
      <c r="U4470" s="58"/>
      <c r="V4470" s="65"/>
      <c r="W4470" s="65"/>
      <c r="X4470" s="65"/>
      <c r="Y4470" s="65"/>
      <c r="Z4470" s="51"/>
      <c r="AA4470" s="51"/>
      <c r="AB4470" s="102"/>
      <c r="AC4470" s="81" t="e">
        <f t="shared" si="211"/>
        <v>#DIV/0!</v>
      </c>
      <c r="AD4470" s="82">
        <f t="shared" si="212"/>
        <v>0</v>
      </c>
      <c r="AE4470" s="218"/>
      <c r="AH4470" t="str">
        <f t="shared" si="210"/>
        <v>0000</v>
      </c>
      <c r="AJ4470" s="72"/>
      <c r="AK4470" s="72"/>
      <c r="AL4470" s="72"/>
      <c r="AM4470" s="72"/>
    </row>
    <row r="4471" spans="1:39" x14ac:dyDescent="0.25">
      <c r="A4471" s="37" t="s">
        <v>62</v>
      </c>
      <c r="B4471" s="66"/>
      <c r="C4471" s="4"/>
      <c r="D4471" s="41"/>
      <c r="E4471" s="41"/>
      <c r="F4471" s="85"/>
      <c r="G4471" s="39"/>
      <c r="H4471" s="52"/>
      <c r="I4471" s="52"/>
      <c r="J4471" s="49"/>
      <c r="K4471" s="58"/>
      <c r="L4471" s="58"/>
      <c r="M4471" s="58"/>
      <c r="N4471" s="58"/>
      <c r="O4471" s="58"/>
      <c r="P4471" s="53"/>
      <c r="Q4471" s="65"/>
      <c r="R4471" s="65"/>
      <c r="S4471" s="65"/>
      <c r="T4471" s="65"/>
      <c r="U4471" s="58"/>
      <c r="V4471" s="65"/>
      <c r="W4471" s="65"/>
      <c r="X4471" s="65"/>
      <c r="Y4471" s="65"/>
      <c r="Z4471" s="51"/>
      <c r="AA4471" s="51"/>
      <c r="AB4471" s="102"/>
      <c r="AC4471" s="81" t="e">
        <f t="shared" si="211"/>
        <v>#DIV/0!</v>
      </c>
      <c r="AD4471" s="82">
        <f t="shared" si="212"/>
        <v>0</v>
      </c>
      <c r="AE4471" s="218"/>
      <c r="AH4471" t="str">
        <f t="shared" si="210"/>
        <v>0000</v>
      </c>
      <c r="AJ4471" s="72"/>
      <c r="AK4471" s="72"/>
      <c r="AL4471" s="72"/>
      <c r="AM4471" s="72"/>
    </row>
    <row r="4472" spans="1:39" x14ac:dyDescent="0.25">
      <c r="A4472" s="37" t="s">
        <v>62</v>
      </c>
      <c r="B4472" s="66"/>
      <c r="C4472" s="4"/>
      <c r="D4472" s="41"/>
      <c r="E4472" s="41"/>
      <c r="F4472" s="85"/>
      <c r="G4472" s="39"/>
      <c r="H4472" s="52"/>
      <c r="I4472" s="52"/>
      <c r="J4472" s="49"/>
      <c r="K4472" s="58"/>
      <c r="L4472" s="58"/>
      <c r="M4472" s="58"/>
      <c r="N4472" s="58"/>
      <c r="O4472" s="58"/>
      <c r="P4472" s="53"/>
      <c r="Q4472" s="65"/>
      <c r="R4472" s="65"/>
      <c r="S4472" s="65"/>
      <c r="T4472" s="65"/>
      <c r="U4472" s="58"/>
      <c r="V4472" s="65"/>
      <c r="W4472" s="65"/>
      <c r="X4472" s="65"/>
      <c r="Y4472" s="65"/>
      <c r="Z4472" s="51"/>
      <c r="AA4472" s="51"/>
      <c r="AB4472" s="102"/>
      <c r="AC4472" s="81" t="e">
        <f t="shared" si="211"/>
        <v>#DIV/0!</v>
      </c>
      <c r="AD4472" s="82">
        <f t="shared" si="212"/>
        <v>0</v>
      </c>
      <c r="AE4472" s="218"/>
      <c r="AH4472" t="str">
        <f t="shared" si="210"/>
        <v>0000</v>
      </c>
      <c r="AJ4472" s="72"/>
      <c r="AK4472" s="72"/>
      <c r="AL4472" s="72"/>
      <c r="AM4472" s="72"/>
    </row>
    <row r="4473" spans="1:39" x14ac:dyDescent="0.25">
      <c r="A4473" s="37" t="s">
        <v>62</v>
      </c>
      <c r="B4473" s="66"/>
      <c r="C4473" s="4"/>
      <c r="D4473" s="41"/>
      <c r="E4473" s="41"/>
      <c r="F4473" s="85"/>
      <c r="G4473" s="39"/>
      <c r="H4473" s="52"/>
      <c r="I4473" s="52"/>
      <c r="J4473" s="49"/>
      <c r="K4473" s="58"/>
      <c r="L4473" s="58"/>
      <c r="M4473" s="58"/>
      <c r="N4473" s="58"/>
      <c r="O4473" s="58"/>
      <c r="P4473" s="53"/>
      <c r="Q4473" s="65"/>
      <c r="R4473" s="65"/>
      <c r="S4473" s="65"/>
      <c r="T4473" s="65"/>
      <c r="U4473" s="58"/>
      <c r="V4473" s="65"/>
      <c r="W4473" s="65"/>
      <c r="X4473" s="65"/>
      <c r="Y4473" s="65"/>
      <c r="Z4473" s="51"/>
      <c r="AA4473" s="51"/>
      <c r="AB4473" s="102"/>
      <c r="AC4473" s="81" t="e">
        <f t="shared" si="211"/>
        <v>#DIV/0!</v>
      </c>
      <c r="AD4473" s="82">
        <f t="shared" si="212"/>
        <v>0</v>
      </c>
      <c r="AE4473" s="218"/>
      <c r="AH4473" t="str">
        <f t="shared" si="210"/>
        <v>0000</v>
      </c>
      <c r="AJ4473" s="72"/>
      <c r="AK4473" s="72"/>
      <c r="AL4473" s="72"/>
      <c r="AM4473" s="72"/>
    </row>
    <row r="4474" spans="1:39" x14ac:dyDescent="0.25">
      <c r="A4474" s="37" t="s">
        <v>62</v>
      </c>
      <c r="B4474" s="66"/>
      <c r="C4474" s="4"/>
      <c r="D4474" s="41"/>
      <c r="E4474" s="41"/>
      <c r="F4474" s="85"/>
      <c r="G4474" s="39"/>
      <c r="H4474" s="52"/>
      <c r="I4474" s="52"/>
      <c r="J4474" s="49"/>
      <c r="K4474" s="58"/>
      <c r="L4474" s="58"/>
      <c r="M4474" s="58"/>
      <c r="N4474" s="58"/>
      <c r="O4474" s="58"/>
      <c r="P4474" s="53"/>
      <c r="Q4474" s="65"/>
      <c r="R4474" s="65"/>
      <c r="S4474" s="65"/>
      <c r="T4474" s="65"/>
      <c r="U4474" s="58"/>
      <c r="V4474" s="65"/>
      <c r="W4474" s="65"/>
      <c r="X4474" s="65"/>
      <c r="Y4474" s="65"/>
      <c r="Z4474" s="51"/>
      <c r="AA4474" s="51"/>
      <c r="AB4474" s="102"/>
      <c r="AC4474" s="81" t="e">
        <f t="shared" si="211"/>
        <v>#DIV/0!</v>
      </c>
      <c r="AD4474" s="82">
        <f t="shared" si="212"/>
        <v>0</v>
      </c>
      <c r="AE4474" s="218"/>
      <c r="AH4474" t="str">
        <f t="shared" ref="AH4474:AH4537" si="213">TEXT(D4474,"0000")</f>
        <v>0000</v>
      </c>
      <c r="AJ4474" s="72"/>
      <c r="AK4474" s="72"/>
      <c r="AL4474" s="72"/>
      <c r="AM4474" s="72"/>
    </row>
    <row r="4475" spans="1:39" x14ac:dyDescent="0.25">
      <c r="A4475" s="37" t="s">
        <v>62</v>
      </c>
      <c r="B4475" s="66"/>
      <c r="C4475" s="4"/>
      <c r="D4475" s="41"/>
      <c r="E4475" s="41"/>
      <c r="F4475" s="85"/>
      <c r="G4475" s="39"/>
      <c r="H4475" s="52"/>
      <c r="I4475" s="52"/>
      <c r="J4475" s="49"/>
      <c r="K4475" s="58"/>
      <c r="L4475" s="58"/>
      <c r="M4475" s="58"/>
      <c r="N4475" s="58"/>
      <c r="O4475" s="58"/>
      <c r="P4475" s="53"/>
      <c r="Q4475" s="65"/>
      <c r="R4475" s="65"/>
      <c r="S4475" s="65"/>
      <c r="T4475" s="65"/>
      <c r="U4475" s="58"/>
      <c r="V4475" s="65"/>
      <c r="W4475" s="65"/>
      <c r="X4475" s="65"/>
      <c r="Y4475" s="65"/>
      <c r="Z4475" s="51"/>
      <c r="AA4475" s="51"/>
      <c r="AB4475" s="102"/>
      <c r="AC4475" s="81" t="e">
        <f t="shared" si="211"/>
        <v>#DIV/0!</v>
      </c>
      <c r="AD4475" s="82">
        <f t="shared" si="212"/>
        <v>0</v>
      </c>
      <c r="AE4475" s="218"/>
      <c r="AH4475" t="str">
        <f t="shared" si="213"/>
        <v>0000</v>
      </c>
      <c r="AJ4475" s="72"/>
      <c r="AK4475" s="72"/>
      <c r="AL4475" s="72"/>
      <c r="AM4475" s="72"/>
    </row>
    <row r="4476" spans="1:39" x14ac:dyDescent="0.25">
      <c r="A4476" s="37" t="s">
        <v>62</v>
      </c>
      <c r="B4476" s="66"/>
      <c r="C4476" s="4"/>
      <c r="D4476" s="41"/>
      <c r="E4476" s="41"/>
      <c r="F4476" s="85"/>
      <c r="G4476" s="39"/>
      <c r="H4476" s="52"/>
      <c r="I4476" s="52"/>
      <c r="J4476" s="49"/>
      <c r="K4476" s="58"/>
      <c r="L4476" s="58"/>
      <c r="M4476" s="58"/>
      <c r="N4476" s="58"/>
      <c r="O4476" s="58"/>
      <c r="P4476" s="53"/>
      <c r="Q4476" s="65"/>
      <c r="R4476" s="65"/>
      <c r="S4476" s="65"/>
      <c r="T4476" s="65"/>
      <c r="U4476" s="58"/>
      <c r="V4476" s="65"/>
      <c r="W4476" s="65"/>
      <c r="X4476" s="65"/>
      <c r="Y4476" s="65"/>
      <c r="Z4476" s="51"/>
      <c r="AA4476" s="51"/>
      <c r="AB4476" s="102"/>
      <c r="AC4476" s="81" t="e">
        <f t="shared" si="211"/>
        <v>#DIV/0!</v>
      </c>
      <c r="AD4476" s="82">
        <f t="shared" si="212"/>
        <v>0</v>
      </c>
      <c r="AE4476" s="218"/>
      <c r="AH4476" t="str">
        <f t="shared" si="213"/>
        <v>0000</v>
      </c>
      <c r="AJ4476" s="72"/>
      <c r="AK4476" s="72"/>
      <c r="AL4476" s="72"/>
      <c r="AM4476" s="72"/>
    </row>
    <row r="4477" spans="1:39" x14ac:dyDescent="0.25">
      <c r="A4477" s="37" t="s">
        <v>62</v>
      </c>
      <c r="B4477" s="66"/>
      <c r="C4477" s="4"/>
      <c r="D4477" s="41"/>
      <c r="E4477" s="41"/>
      <c r="F4477" s="85"/>
      <c r="G4477" s="39"/>
      <c r="H4477" s="52"/>
      <c r="I4477" s="52"/>
      <c r="J4477" s="49"/>
      <c r="K4477" s="58"/>
      <c r="L4477" s="58"/>
      <c r="M4477" s="58"/>
      <c r="N4477" s="58"/>
      <c r="O4477" s="58"/>
      <c r="P4477" s="53"/>
      <c r="Q4477" s="65"/>
      <c r="R4477" s="65"/>
      <c r="S4477" s="65"/>
      <c r="T4477" s="65"/>
      <c r="U4477" s="58"/>
      <c r="V4477" s="65"/>
      <c r="W4477" s="65"/>
      <c r="X4477" s="65"/>
      <c r="Y4477" s="65"/>
      <c r="Z4477" s="51"/>
      <c r="AA4477" s="51"/>
      <c r="AB4477" s="102"/>
      <c r="AC4477" s="81" t="e">
        <f t="shared" si="211"/>
        <v>#DIV/0!</v>
      </c>
      <c r="AD4477" s="82">
        <f t="shared" si="212"/>
        <v>0</v>
      </c>
      <c r="AE4477" s="218"/>
      <c r="AH4477" t="str">
        <f t="shared" si="213"/>
        <v>0000</v>
      </c>
      <c r="AJ4477" s="72"/>
      <c r="AK4477" s="72"/>
      <c r="AL4477" s="72"/>
      <c r="AM4477" s="72"/>
    </row>
    <row r="4478" spans="1:39" x14ac:dyDescent="0.25">
      <c r="A4478" s="37" t="s">
        <v>62</v>
      </c>
      <c r="B4478" s="66"/>
      <c r="C4478" s="4"/>
      <c r="D4478" s="41"/>
      <c r="E4478" s="41"/>
      <c r="F4478" s="85"/>
      <c r="G4478" s="39"/>
      <c r="H4478" s="52"/>
      <c r="I4478" s="52"/>
      <c r="J4478" s="49"/>
      <c r="K4478" s="58"/>
      <c r="L4478" s="58"/>
      <c r="M4478" s="58"/>
      <c r="N4478" s="58"/>
      <c r="O4478" s="58"/>
      <c r="P4478" s="53"/>
      <c r="Q4478" s="65"/>
      <c r="R4478" s="65"/>
      <c r="S4478" s="65"/>
      <c r="T4478" s="65"/>
      <c r="U4478" s="58"/>
      <c r="V4478" s="65"/>
      <c r="W4478" s="65"/>
      <c r="X4478" s="65"/>
      <c r="Y4478" s="65"/>
      <c r="Z4478" s="51"/>
      <c r="AA4478" s="51"/>
      <c r="AB4478" s="102"/>
      <c r="AC4478" s="81" t="e">
        <f t="shared" si="211"/>
        <v>#DIV/0!</v>
      </c>
      <c r="AD4478" s="82">
        <f t="shared" si="212"/>
        <v>0</v>
      </c>
      <c r="AE4478" s="218"/>
      <c r="AH4478" t="str">
        <f t="shared" si="213"/>
        <v>0000</v>
      </c>
      <c r="AJ4478" s="72"/>
      <c r="AK4478" s="72"/>
      <c r="AL4478" s="72"/>
      <c r="AM4478" s="72"/>
    </row>
    <row r="4479" spans="1:39" x14ac:dyDescent="0.25">
      <c r="A4479" s="37" t="s">
        <v>62</v>
      </c>
      <c r="B4479" s="66"/>
      <c r="C4479" s="4"/>
      <c r="D4479" s="41"/>
      <c r="E4479" s="41"/>
      <c r="F4479" s="85"/>
      <c r="G4479" s="39"/>
      <c r="H4479" s="52"/>
      <c r="I4479" s="52"/>
      <c r="J4479" s="49"/>
      <c r="K4479" s="58"/>
      <c r="L4479" s="58"/>
      <c r="M4479" s="58"/>
      <c r="N4479" s="58"/>
      <c r="O4479" s="58"/>
      <c r="P4479" s="53"/>
      <c r="Q4479" s="65"/>
      <c r="R4479" s="65"/>
      <c r="S4479" s="65"/>
      <c r="T4479" s="65"/>
      <c r="U4479" s="58"/>
      <c r="V4479" s="65"/>
      <c r="W4479" s="65"/>
      <c r="X4479" s="65"/>
      <c r="Y4479" s="65"/>
      <c r="Z4479" s="51"/>
      <c r="AA4479" s="51"/>
      <c r="AB4479" s="102"/>
      <c r="AC4479" s="81" t="e">
        <f t="shared" si="211"/>
        <v>#DIV/0!</v>
      </c>
      <c r="AD4479" s="82">
        <f t="shared" si="212"/>
        <v>0</v>
      </c>
      <c r="AE4479" s="218"/>
      <c r="AH4479" t="str">
        <f t="shared" si="213"/>
        <v>0000</v>
      </c>
      <c r="AJ4479" s="72"/>
      <c r="AK4479" s="72"/>
      <c r="AL4479" s="72"/>
      <c r="AM4479" s="72"/>
    </row>
    <row r="4480" spans="1:39" x14ac:dyDescent="0.25">
      <c r="A4480" s="37" t="s">
        <v>62</v>
      </c>
      <c r="B4480" s="66"/>
      <c r="C4480" s="4"/>
      <c r="D4480" s="41"/>
      <c r="E4480" s="41"/>
      <c r="F4480" s="85"/>
      <c r="G4480" s="39"/>
      <c r="H4480" s="52"/>
      <c r="I4480" s="52"/>
      <c r="J4480" s="49"/>
      <c r="K4480" s="58"/>
      <c r="L4480" s="58"/>
      <c r="M4480" s="58"/>
      <c r="N4480" s="58"/>
      <c r="O4480" s="58"/>
      <c r="P4480" s="53"/>
      <c r="Q4480" s="65"/>
      <c r="R4480" s="65"/>
      <c r="S4480" s="65"/>
      <c r="T4480" s="65"/>
      <c r="U4480" s="58"/>
      <c r="V4480" s="65"/>
      <c r="W4480" s="65"/>
      <c r="X4480" s="65"/>
      <c r="Y4480" s="65"/>
      <c r="Z4480" s="51"/>
      <c r="AA4480" s="51"/>
      <c r="AB4480" s="102"/>
      <c r="AC4480" s="81" t="e">
        <f t="shared" si="211"/>
        <v>#DIV/0!</v>
      </c>
      <c r="AD4480" s="82">
        <f t="shared" si="212"/>
        <v>0</v>
      </c>
      <c r="AE4480" s="218"/>
      <c r="AH4480" t="str">
        <f t="shared" si="213"/>
        <v>0000</v>
      </c>
      <c r="AJ4480" s="72"/>
      <c r="AK4480" s="72"/>
      <c r="AL4480" s="72"/>
      <c r="AM4480" s="72"/>
    </row>
    <row r="4481" spans="1:39" x14ac:dyDescent="0.25">
      <c r="A4481" s="37" t="s">
        <v>62</v>
      </c>
      <c r="B4481" s="66"/>
      <c r="C4481" s="4"/>
      <c r="D4481" s="41"/>
      <c r="E4481" s="41"/>
      <c r="F4481" s="85"/>
      <c r="G4481" s="39"/>
      <c r="H4481" s="52"/>
      <c r="I4481" s="52"/>
      <c r="J4481" s="49"/>
      <c r="K4481" s="58"/>
      <c r="L4481" s="58"/>
      <c r="M4481" s="58"/>
      <c r="N4481" s="58"/>
      <c r="O4481" s="58"/>
      <c r="P4481" s="53"/>
      <c r="Q4481" s="65"/>
      <c r="R4481" s="65"/>
      <c r="S4481" s="65"/>
      <c r="T4481" s="65"/>
      <c r="U4481" s="58"/>
      <c r="V4481" s="65"/>
      <c r="W4481" s="65"/>
      <c r="X4481" s="65"/>
      <c r="Y4481" s="65"/>
      <c r="Z4481" s="51"/>
      <c r="AA4481" s="51"/>
      <c r="AB4481" s="102"/>
      <c r="AC4481" s="81" t="e">
        <f t="shared" ref="AC4481:AC4544" si="214">((IF(AD4481=0,0,100-AD4481))*7*(J4481/I4481))*2%</f>
        <v>#DIV/0!</v>
      </c>
      <c r="AD4481" s="82">
        <f t="shared" ref="AD4481:AD4544" si="215">IF((I4481/7)&gt;100,0,(I4481/7))</f>
        <v>0</v>
      </c>
      <c r="AE4481" s="218"/>
      <c r="AH4481" t="str">
        <f t="shared" si="213"/>
        <v>0000</v>
      </c>
      <c r="AJ4481" s="72"/>
      <c r="AK4481" s="72"/>
      <c r="AL4481" s="72"/>
      <c r="AM4481" s="72"/>
    </row>
    <row r="4482" spans="1:39" x14ac:dyDescent="0.25">
      <c r="A4482" s="37" t="s">
        <v>62</v>
      </c>
      <c r="B4482" s="66"/>
      <c r="C4482" s="4"/>
      <c r="D4482" s="41"/>
      <c r="E4482" s="41"/>
      <c r="F4482" s="85"/>
      <c r="G4482" s="39"/>
      <c r="H4482" s="52"/>
      <c r="I4482" s="52"/>
      <c r="J4482" s="49"/>
      <c r="K4482" s="58"/>
      <c r="L4482" s="58"/>
      <c r="M4482" s="58"/>
      <c r="N4482" s="58"/>
      <c r="O4482" s="58"/>
      <c r="P4482" s="53"/>
      <c r="Q4482" s="65"/>
      <c r="R4482" s="65"/>
      <c r="S4482" s="65"/>
      <c r="T4482" s="65"/>
      <c r="U4482" s="58"/>
      <c r="V4482" s="65"/>
      <c r="W4482" s="65"/>
      <c r="X4482" s="65"/>
      <c r="Y4482" s="65"/>
      <c r="Z4482" s="51"/>
      <c r="AA4482" s="51"/>
      <c r="AB4482" s="102"/>
      <c r="AC4482" s="81" t="e">
        <f t="shared" si="214"/>
        <v>#DIV/0!</v>
      </c>
      <c r="AD4482" s="82">
        <f t="shared" si="215"/>
        <v>0</v>
      </c>
      <c r="AE4482" s="218"/>
      <c r="AH4482" t="str">
        <f t="shared" si="213"/>
        <v>0000</v>
      </c>
      <c r="AJ4482" s="72"/>
      <c r="AK4482" s="72"/>
      <c r="AL4482" s="72"/>
      <c r="AM4482" s="72"/>
    </row>
    <row r="4483" spans="1:39" x14ac:dyDescent="0.25">
      <c r="A4483" s="37" t="s">
        <v>62</v>
      </c>
      <c r="B4483" s="66"/>
      <c r="C4483" s="4"/>
      <c r="D4483" s="41"/>
      <c r="E4483" s="41"/>
      <c r="F4483" s="85"/>
      <c r="G4483" s="39"/>
      <c r="H4483" s="52"/>
      <c r="I4483" s="52"/>
      <c r="J4483" s="49"/>
      <c r="K4483" s="58"/>
      <c r="L4483" s="58"/>
      <c r="M4483" s="58"/>
      <c r="N4483" s="58"/>
      <c r="O4483" s="58"/>
      <c r="P4483" s="53"/>
      <c r="Q4483" s="65"/>
      <c r="R4483" s="65"/>
      <c r="S4483" s="65"/>
      <c r="T4483" s="65"/>
      <c r="U4483" s="58"/>
      <c r="V4483" s="65"/>
      <c r="W4483" s="65"/>
      <c r="X4483" s="65"/>
      <c r="Y4483" s="65"/>
      <c r="Z4483" s="51"/>
      <c r="AA4483" s="51"/>
      <c r="AB4483" s="102"/>
      <c r="AC4483" s="81" t="e">
        <f t="shared" si="214"/>
        <v>#DIV/0!</v>
      </c>
      <c r="AD4483" s="82">
        <f t="shared" si="215"/>
        <v>0</v>
      </c>
      <c r="AE4483" s="218"/>
      <c r="AH4483" t="str">
        <f t="shared" si="213"/>
        <v>0000</v>
      </c>
      <c r="AJ4483" s="72"/>
      <c r="AK4483" s="72"/>
      <c r="AL4483" s="72"/>
      <c r="AM4483" s="72"/>
    </row>
    <row r="4484" spans="1:39" x14ac:dyDescent="0.25">
      <c r="A4484" s="37" t="s">
        <v>62</v>
      </c>
      <c r="B4484" s="66"/>
      <c r="C4484" s="4"/>
      <c r="D4484" s="41"/>
      <c r="E4484" s="41"/>
      <c r="F4484" s="85"/>
      <c r="G4484" s="39"/>
      <c r="H4484" s="52"/>
      <c r="I4484" s="52"/>
      <c r="J4484" s="49"/>
      <c r="K4484" s="58"/>
      <c r="L4484" s="58"/>
      <c r="M4484" s="58"/>
      <c r="N4484" s="58"/>
      <c r="O4484" s="58"/>
      <c r="P4484" s="53"/>
      <c r="Q4484" s="65"/>
      <c r="R4484" s="65"/>
      <c r="S4484" s="65"/>
      <c r="T4484" s="65"/>
      <c r="U4484" s="58"/>
      <c r="V4484" s="65"/>
      <c r="W4484" s="65"/>
      <c r="X4484" s="65"/>
      <c r="Y4484" s="65"/>
      <c r="Z4484" s="51"/>
      <c r="AA4484" s="51"/>
      <c r="AB4484" s="102"/>
      <c r="AC4484" s="81" t="e">
        <f t="shared" si="214"/>
        <v>#DIV/0!</v>
      </c>
      <c r="AD4484" s="82">
        <f t="shared" si="215"/>
        <v>0</v>
      </c>
      <c r="AE4484" s="218"/>
      <c r="AH4484" t="str">
        <f t="shared" si="213"/>
        <v>0000</v>
      </c>
      <c r="AJ4484" s="72"/>
      <c r="AK4484" s="72"/>
      <c r="AL4484" s="72"/>
      <c r="AM4484" s="72"/>
    </row>
    <row r="4485" spans="1:39" x14ac:dyDescent="0.25">
      <c r="A4485" s="37" t="s">
        <v>62</v>
      </c>
      <c r="B4485" s="66"/>
      <c r="C4485" s="4"/>
      <c r="D4485" s="41"/>
      <c r="E4485" s="41"/>
      <c r="F4485" s="85"/>
      <c r="G4485" s="39"/>
      <c r="H4485" s="52"/>
      <c r="I4485" s="52"/>
      <c r="J4485" s="49"/>
      <c r="K4485" s="58"/>
      <c r="L4485" s="58"/>
      <c r="M4485" s="58"/>
      <c r="N4485" s="58"/>
      <c r="O4485" s="58"/>
      <c r="P4485" s="53"/>
      <c r="Q4485" s="65"/>
      <c r="R4485" s="65"/>
      <c r="S4485" s="65"/>
      <c r="T4485" s="65"/>
      <c r="U4485" s="58"/>
      <c r="V4485" s="65"/>
      <c r="W4485" s="65"/>
      <c r="X4485" s="65"/>
      <c r="Y4485" s="65"/>
      <c r="Z4485" s="51"/>
      <c r="AA4485" s="51"/>
      <c r="AB4485" s="102"/>
      <c r="AC4485" s="81" t="e">
        <f t="shared" si="214"/>
        <v>#DIV/0!</v>
      </c>
      <c r="AD4485" s="82">
        <f t="shared" si="215"/>
        <v>0</v>
      </c>
      <c r="AE4485" s="218"/>
      <c r="AH4485" t="str">
        <f t="shared" si="213"/>
        <v>0000</v>
      </c>
      <c r="AJ4485" s="72"/>
      <c r="AK4485" s="72"/>
      <c r="AL4485" s="72"/>
      <c r="AM4485" s="72"/>
    </row>
    <row r="4486" spans="1:39" x14ac:dyDescent="0.25">
      <c r="A4486" s="37" t="s">
        <v>62</v>
      </c>
      <c r="B4486" s="66"/>
      <c r="C4486" s="4"/>
      <c r="D4486" s="41"/>
      <c r="E4486" s="41"/>
      <c r="F4486" s="85"/>
      <c r="G4486" s="39"/>
      <c r="H4486" s="52"/>
      <c r="I4486" s="52"/>
      <c r="J4486" s="49"/>
      <c r="K4486" s="58"/>
      <c r="L4486" s="58"/>
      <c r="M4486" s="58"/>
      <c r="N4486" s="58"/>
      <c r="O4486" s="58"/>
      <c r="P4486" s="53"/>
      <c r="Q4486" s="65"/>
      <c r="R4486" s="65"/>
      <c r="S4486" s="65"/>
      <c r="T4486" s="65"/>
      <c r="U4486" s="58"/>
      <c r="V4486" s="65"/>
      <c r="W4486" s="65"/>
      <c r="X4486" s="65"/>
      <c r="Y4486" s="65"/>
      <c r="Z4486" s="51"/>
      <c r="AA4486" s="51"/>
      <c r="AB4486" s="102"/>
      <c r="AC4486" s="81" t="e">
        <f t="shared" si="214"/>
        <v>#DIV/0!</v>
      </c>
      <c r="AD4486" s="82">
        <f t="shared" si="215"/>
        <v>0</v>
      </c>
      <c r="AE4486" s="218"/>
      <c r="AH4486" t="str">
        <f t="shared" si="213"/>
        <v>0000</v>
      </c>
      <c r="AJ4486" s="72"/>
      <c r="AK4486" s="72"/>
      <c r="AL4486" s="72"/>
      <c r="AM4486" s="72"/>
    </row>
    <row r="4487" spans="1:39" x14ac:dyDescent="0.25">
      <c r="A4487" s="37" t="s">
        <v>62</v>
      </c>
      <c r="B4487" s="66"/>
      <c r="C4487" s="4"/>
      <c r="D4487" s="41"/>
      <c r="E4487" s="41"/>
      <c r="F4487" s="85"/>
      <c r="G4487" s="39"/>
      <c r="H4487" s="52"/>
      <c r="I4487" s="52"/>
      <c r="J4487" s="49"/>
      <c r="K4487" s="58"/>
      <c r="L4487" s="58"/>
      <c r="M4487" s="58"/>
      <c r="N4487" s="58"/>
      <c r="O4487" s="58"/>
      <c r="P4487" s="53"/>
      <c r="Q4487" s="65"/>
      <c r="R4487" s="65"/>
      <c r="S4487" s="65"/>
      <c r="T4487" s="65"/>
      <c r="U4487" s="58"/>
      <c r="V4487" s="65"/>
      <c r="W4487" s="65"/>
      <c r="X4487" s="65"/>
      <c r="Y4487" s="65"/>
      <c r="Z4487" s="51"/>
      <c r="AA4487" s="51"/>
      <c r="AB4487" s="102"/>
      <c r="AC4487" s="81" t="e">
        <f t="shared" si="214"/>
        <v>#DIV/0!</v>
      </c>
      <c r="AD4487" s="82">
        <f t="shared" si="215"/>
        <v>0</v>
      </c>
      <c r="AE4487" s="218"/>
      <c r="AH4487" t="str">
        <f t="shared" si="213"/>
        <v>0000</v>
      </c>
      <c r="AJ4487" s="72"/>
      <c r="AK4487" s="72"/>
      <c r="AL4487" s="72"/>
      <c r="AM4487" s="72"/>
    </row>
    <row r="4488" spans="1:39" x14ac:dyDescent="0.25">
      <c r="A4488" s="37" t="s">
        <v>62</v>
      </c>
      <c r="B4488" s="66"/>
      <c r="C4488" s="4"/>
      <c r="D4488" s="41"/>
      <c r="E4488" s="41"/>
      <c r="F4488" s="85"/>
      <c r="G4488" s="39"/>
      <c r="H4488" s="52"/>
      <c r="I4488" s="52"/>
      <c r="J4488" s="49"/>
      <c r="K4488" s="58"/>
      <c r="L4488" s="58"/>
      <c r="M4488" s="58"/>
      <c r="N4488" s="58"/>
      <c r="O4488" s="58"/>
      <c r="P4488" s="53"/>
      <c r="Q4488" s="65"/>
      <c r="R4488" s="65"/>
      <c r="S4488" s="65"/>
      <c r="T4488" s="65"/>
      <c r="U4488" s="58"/>
      <c r="V4488" s="65"/>
      <c r="W4488" s="65"/>
      <c r="X4488" s="65"/>
      <c r="Y4488" s="65"/>
      <c r="Z4488" s="51"/>
      <c r="AA4488" s="51"/>
      <c r="AB4488" s="102"/>
      <c r="AC4488" s="81" t="e">
        <f t="shared" si="214"/>
        <v>#DIV/0!</v>
      </c>
      <c r="AD4488" s="82">
        <f t="shared" si="215"/>
        <v>0</v>
      </c>
      <c r="AE4488" s="218"/>
      <c r="AH4488" t="str">
        <f t="shared" si="213"/>
        <v>0000</v>
      </c>
      <c r="AJ4488" s="72"/>
      <c r="AK4488" s="72"/>
      <c r="AL4488" s="72"/>
      <c r="AM4488" s="72"/>
    </row>
    <row r="4489" spans="1:39" x14ac:dyDescent="0.25">
      <c r="A4489" s="37" t="s">
        <v>62</v>
      </c>
      <c r="B4489" s="66"/>
      <c r="C4489" s="4"/>
      <c r="D4489" s="41"/>
      <c r="E4489" s="41"/>
      <c r="F4489" s="85"/>
      <c r="G4489" s="39"/>
      <c r="H4489" s="52"/>
      <c r="I4489" s="52"/>
      <c r="J4489" s="49"/>
      <c r="K4489" s="58"/>
      <c r="L4489" s="58"/>
      <c r="M4489" s="58"/>
      <c r="N4489" s="58"/>
      <c r="O4489" s="58"/>
      <c r="P4489" s="53"/>
      <c r="Q4489" s="65"/>
      <c r="R4489" s="65"/>
      <c r="S4489" s="65"/>
      <c r="T4489" s="65"/>
      <c r="U4489" s="58"/>
      <c r="V4489" s="65"/>
      <c r="W4489" s="65"/>
      <c r="X4489" s="65"/>
      <c r="Y4489" s="65"/>
      <c r="Z4489" s="51"/>
      <c r="AA4489" s="51"/>
      <c r="AB4489" s="102"/>
      <c r="AC4489" s="81" t="e">
        <f t="shared" si="214"/>
        <v>#DIV/0!</v>
      </c>
      <c r="AD4489" s="82">
        <f t="shared" si="215"/>
        <v>0</v>
      </c>
      <c r="AE4489" s="218"/>
      <c r="AH4489" t="str">
        <f t="shared" si="213"/>
        <v>0000</v>
      </c>
      <c r="AJ4489" s="72"/>
      <c r="AK4489" s="72"/>
      <c r="AL4489" s="72"/>
      <c r="AM4489" s="72"/>
    </row>
    <row r="4490" spans="1:39" x14ac:dyDescent="0.25">
      <c r="A4490" s="37" t="s">
        <v>62</v>
      </c>
      <c r="B4490" s="66"/>
      <c r="C4490" s="4"/>
      <c r="D4490" s="41"/>
      <c r="E4490" s="41"/>
      <c r="F4490" s="85"/>
      <c r="G4490" s="39"/>
      <c r="H4490" s="52"/>
      <c r="I4490" s="52"/>
      <c r="J4490" s="49"/>
      <c r="K4490" s="58"/>
      <c r="L4490" s="58"/>
      <c r="M4490" s="58"/>
      <c r="N4490" s="58"/>
      <c r="O4490" s="58"/>
      <c r="P4490" s="53"/>
      <c r="Q4490" s="65"/>
      <c r="R4490" s="65"/>
      <c r="S4490" s="65"/>
      <c r="T4490" s="65"/>
      <c r="U4490" s="58"/>
      <c r="V4490" s="65"/>
      <c r="W4490" s="65"/>
      <c r="X4490" s="65"/>
      <c r="Y4490" s="65"/>
      <c r="Z4490" s="51"/>
      <c r="AA4490" s="51"/>
      <c r="AB4490" s="102"/>
      <c r="AC4490" s="81" t="e">
        <f t="shared" si="214"/>
        <v>#DIV/0!</v>
      </c>
      <c r="AD4490" s="82">
        <f t="shared" si="215"/>
        <v>0</v>
      </c>
      <c r="AE4490" s="218"/>
      <c r="AH4490" t="str">
        <f t="shared" si="213"/>
        <v>0000</v>
      </c>
      <c r="AJ4490" s="72"/>
      <c r="AK4490" s="72"/>
      <c r="AL4490" s="72"/>
      <c r="AM4490" s="72"/>
    </row>
    <row r="4491" spans="1:39" x14ac:dyDescent="0.25">
      <c r="A4491" s="37" t="s">
        <v>62</v>
      </c>
      <c r="B4491" s="66"/>
      <c r="C4491" s="4"/>
      <c r="D4491" s="41"/>
      <c r="E4491" s="41"/>
      <c r="F4491" s="85"/>
      <c r="G4491" s="39"/>
      <c r="H4491" s="52"/>
      <c r="I4491" s="52"/>
      <c r="J4491" s="49"/>
      <c r="K4491" s="58"/>
      <c r="L4491" s="58"/>
      <c r="M4491" s="58"/>
      <c r="N4491" s="58"/>
      <c r="O4491" s="58"/>
      <c r="P4491" s="53"/>
      <c r="Q4491" s="65"/>
      <c r="R4491" s="65"/>
      <c r="S4491" s="65"/>
      <c r="T4491" s="65"/>
      <c r="U4491" s="58"/>
      <c r="V4491" s="65"/>
      <c r="W4491" s="65"/>
      <c r="X4491" s="65"/>
      <c r="Y4491" s="65"/>
      <c r="Z4491" s="51"/>
      <c r="AA4491" s="51"/>
      <c r="AB4491" s="102"/>
      <c r="AC4491" s="81" t="e">
        <f t="shared" si="214"/>
        <v>#DIV/0!</v>
      </c>
      <c r="AD4491" s="82">
        <f t="shared" si="215"/>
        <v>0</v>
      </c>
      <c r="AE4491" s="218"/>
      <c r="AH4491" t="str">
        <f t="shared" si="213"/>
        <v>0000</v>
      </c>
      <c r="AJ4491" s="72"/>
      <c r="AK4491" s="72"/>
      <c r="AL4491" s="72"/>
      <c r="AM4491" s="72"/>
    </row>
    <row r="4492" spans="1:39" x14ac:dyDescent="0.25">
      <c r="A4492" s="37" t="s">
        <v>62</v>
      </c>
      <c r="B4492" s="66"/>
      <c r="C4492" s="4"/>
      <c r="D4492" s="41"/>
      <c r="E4492" s="41"/>
      <c r="F4492" s="85"/>
      <c r="G4492" s="39"/>
      <c r="H4492" s="52"/>
      <c r="I4492" s="52"/>
      <c r="J4492" s="49"/>
      <c r="K4492" s="58"/>
      <c r="L4492" s="58"/>
      <c r="M4492" s="58"/>
      <c r="N4492" s="58"/>
      <c r="O4492" s="58"/>
      <c r="P4492" s="53"/>
      <c r="Q4492" s="65"/>
      <c r="R4492" s="65"/>
      <c r="S4492" s="65"/>
      <c r="T4492" s="65"/>
      <c r="U4492" s="58"/>
      <c r="V4492" s="65"/>
      <c r="W4492" s="65"/>
      <c r="X4492" s="65"/>
      <c r="Y4492" s="65"/>
      <c r="Z4492" s="51"/>
      <c r="AA4492" s="51"/>
      <c r="AB4492" s="102"/>
      <c r="AC4492" s="81" t="e">
        <f t="shared" si="214"/>
        <v>#DIV/0!</v>
      </c>
      <c r="AD4492" s="82">
        <f t="shared" si="215"/>
        <v>0</v>
      </c>
      <c r="AE4492" s="218"/>
      <c r="AH4492" t="str">
        <f t="shared" si="213"/>
        <v>0000</v>
      </c>
      <c r="AJ4492" s="72"/>
      <c r="AK4492" s="72"/>
      <c r="AL4492" s="72"/>
      <c r="AM4492" s="72"/>
    </row>
    <row r="4493" spans="1:39" x14ac:dyDescent="0.25">
      <c r="A4493" s="37" t="s">
        <v>62</v>
      </c>
      <c r="B4493" s="66"/>
      <c r="C4493" s="4"/>
      <c r="D4493" s="41"/>
      <c r="E4493" s="41"/>
      <c r="F4493" s="85"/>
      <c r="G4493" s="39"/>
      <c r="H4493" s="52"/>
      <c r="I4493" s="52"/>
      <c r="J4493" s="49"/>
      <c r="K4493" s="58"/>
      <c r="L4493" s="58"/>
      <c r="M4493" s="58"/>
      <c r="N4493" s="58"/>
      <c r="O4493" s="58"/>
      <c r="P4493" s="53"/>
      <c r="Q4493" s="65"/>
      <c r="R4493" s="65"/>
      <c r="S4493" s="65"/>
      <c r="T4493" s="65"/>
      <c r="U4493" s="58"/>
      <c r="V4493" s="65"/>
      <c r="W4493" s="65"/>
      <c r="X4493" s="65"/>
      <c r="Y4493" s="65"/>
      <c r="Z4493" s="51"/>
      <c r="AA4493" s="51"/>
      <c r="AB4493" s="102"/>
      <c r="AC4493" s="81" t="e">
        <f t="shared" si="214"/>
        <v>#DIV/0!</v>
      </c>
      <c r="AD4493" s="82">
        <f t="shared" si="215"/>
        <v>0</v>
      </c>
      <c r="AE4493" s="218"/>
      <c r="AH4493" t="str">
        <f t="shared" si="213"/>
        <v>0000</v>
      </c>
      <c r="AJ4493" s="72"/>
      <c r="AK4493" s="72"/>
      <c r="AL4493" s="72"/>
      <c r="AM4493" s="72"/>
    </row>
    <row r="4494" spans="1:39" x14ac:dyDescent="0.25">
      <c r="A4494" s="37" t="s">
        <v>62</v>
      </c>
      <c r="B4494" s="66"/>
      <c r="C4494" s="4"/>
      <c r="D4494" s="41"/>
      <c r="E4494" s="41"/>
      <c r="F4494" s="85"/>
      <c r="G4494" s="39"/>
      <c r="H4494" s="52"/>
      <c r="I4494" s="52"/>
      <c r="J4494" s="49"/>
      <c r="K4494" s="58"/>
      <c r="L4494" s="58"/>
      <c r="M4494" s="58"/>
      <c r="N4494" s="58"/>
      <c r="O4494" s="58"/>
      <c r="P4494" s="53"/>
      <c r="Q4494" s="65"/>
      <c r="R4494" s="65"/>
      <c r="S4494" s="65"/>
      <c r="T4494" s="65"/>
      <c r="U4494" s="58"/>
      <c r="V4494" s="65"/>
      <c r="W4494" s="65"/>
      <c r="X4494" s="65"/>
      <c r="Y4494" s="65"/>
      <c r="Z4494" s="51"/>
      <c r="AA4494" s="51"/>
      <c r="AB4494" s="102"/>
      <c r="AC4494" s="81" t="e">
        <f t="shared" si="214"/>
        <v>#DIV/0!</v>
      </c>
      <c r="AD4494" s="82">
        <f t="shared" si="215"/>
        <v>0</v>
      </c>
      <c r="AE4494" s="218"/>
      <c r="AH4494" t="str">
        <f t="shared" si="213"/>
        <v>0000</v>
      </c>
      <c r="AJ4494" s="72"/>
      <c r="AK4494" s="72"/>
      <c r="AL4494" s="72"/>
      <c r="AM4494" s="72"/>
    </row>
    <row r="4495" spans="1:39" x14ac:dyDescent="0.25">
      <c r="A4495" s="37" t="s">
        <v>62</v>
      </c>
      <c r="B4495" s="66"/>
      <c r="C4495" s="4"/>
      <c r="D4495" s="41"/>
      <c r="E4495" s="41"/>
      <c r="F4495" s="85"/>
      <c r="G4495" s="39"/>
      <c r="H4495" s="52"/>
      <c r="I4495" s="52"/>
      <c r="J4495" s="49"/>
      <c r="K4495" s="58"/>
      <c r="L4495" s="58"/>
      <c r="M4495" s="58"/>
      <c r="N4495" s="58"/>
      <c r="O4495" s="58"/>
      <c r="P4495" s="53"/>
      <c r="Q4495" s="65"/>
      <c r="R4495" s="65"/>
      <c r="S4495" s="65"/>
      <c r="T4495" s="65"/>
      <c r="U4495" s="58"/>
      <c r="V4495" s="65"/>
      <c r="W4495" s="65"/>
      <c r="X4495" s="65"/>
      <c r="Y4495" s="65"/>
      <c r="Z4495" s="51"/>
      <c r="AA4495" s="51"/>
      <c r="AB4495" s="102"/>
      <c r="AC4495" s="81" t="e">
        <f t="shared" si="214"/>
        <v>#DIV/0!</v>
      </c>
      <c r="AD4495" s="82">
        <f t="shared" si="215"/>
        <v>0</v>
      </c>
      <c r="AE4495" s="218"/>
      <c r="AH4495" t="str">
        <f t="shared" si="213"/>
        <v>0000</v>
      </c>
      <c r="AJ4495" s="72"/>
      <c r="AK4495" s="72"/>
      <c r="AL4495" s="72"/>
      <c r="AM4495" s="72"/>
    </row>
    <row r="4496" spans="1:39" x14ac:dyDescent="0.25">
      <c r="A4496" s="37" t="s">
        <v>62</v>
      </c>
      <c r="B4496" s="66"/>
      <c r="C4496" s="4"/>
      <c r="D4496" s="41"/>
      <c r="E4496" s="41"/>
      <c r="F4496" s="85"/>
      <c r="G4496" s="39"/>
      <c r="H4496" s="52"/>
      <c r="I4496" s="52"/>
      <c r="J4496" s="49"/>
      <c r="K4496" s="58"/>
      <c r="L4496" s="58"/>
      <c r="M4496" s="58"/>
      <c r="N4496" s="58"/>
      <c r="O4496" s="58"/>
      <c r="P4496" s="53"/>
      <c r="Q4496" s="65"/>
      <c r="R4496" s="65"/>
      <c r="S4496" s="65"/>
      <c r="T4496" s="65"/>
      <c r="U4496" s="58"/>
      <c r="V4496" s="65"/>
      <c r="W4496" s="65"/>
      <c r="X4496" s="65"/>
      <c r="Y4496" s="65"/>
      <c r="Z4496" s="51"/>
      <c r="AA4496" s="51"/>
      <c r="AB4496" s="102"/>
      <c r="AC4496" s="81" t="e">
        <f t="shared" si="214"/>
        <v>#DIV/0!</v>
      </c>
      <c r="AD4496" s="82">
        <f t="shared" si="215"/>
        <v>0</v>
      </c>
      <c r="AE4496" s="218"/>
      <c r="AH4496" t="str">
        <f t="shared" si="213"/>
        <v>0000</v>
      </c>
      <c r="AJ4496" s="72"/>
      <c r="AK4496" s="72"/>
      <c r="AL4496" s="72"/>
      <c r="AM4496" s="72"/>
    </row>
    <row r="4497" spans="1:39" x14ac:dyDescent="0.25">
      <c r="A4497" s="37" t="s">
        <v>62</v>
      </c>
      <c r="B4497" s="66"/>
      <c r="C4497" s="4"/>
      <c r="D4497" s="41"/>
      <c r="E4497" s="41"/>
      <c r="F4497" s="85"/>
      <c r="G4497" s="39"/>
      <c r="H4497" s="52"/>
      <c r="I4497" s="52"/>
      <c r="J4497" s="49"/>
      <c r="K4497" s="58"/>
      <c r="L4497" s="58"/>
      <c r="M4497" s="58"/>
      <c r="N4497" s="58"/>
      <c r="O4497" s="58"/>
      <c r="P4497" s="53"/>
      <c r="Q4497" s="65"/>
      <c r="R4497" s="65"/>
      <c r="S4497" s="65"/>
      <c r="T4497" s="65"/>
      <c r="U4497" s="58"/>
      <c r="V4497" s="65"/>
      <c r="W4497" s="65"/>
      <c r="X4497" s="65"/>
      <c r="Y4497" s="65"/>
      <c r="Z4497" s="51"/>
      <c r="AA4497" s="51"/>
      <c r="AB4497" s="102"/>
      <c r="AC4497" s="81" t="e">
        <f t="shared" si="214"/>
        <v>#DIV/0!</v>
      </c>
      <c r="AD4497" s="82">
        <f t="shared" si="215"/>
        <v>0</v>
      </c>
      <c r="AE4497" s="218"/>
      <c r="AH4497" t="str">
        <f t="shared" si="213"/>
        <v>0000</v>
      </c>
      <c r="AJ4497" s="72"/>
      <c r="AK4497" s="72"/>
      <c r="AL4497" s="72"/>
      <c r="AM4497" s="72"/>
    </row>
    <row r="4498" spans="1:39" x14ac:dyDescent="0.25">
      <c r="A4498" s="37" t="s">
        <v>62</v>
      </c>
      <c r="B4498" s="66"/>
      <c r="C4498" s="4"/>
      <c r="D4498" s="41"/>
      <c r="E4498" s="41"/>
      <c r="F4498" s="85"/>
      <c r="G4498" s="39"/>
      <c r="H4498" s="52"/>
      <c r="I4498" s="52"/>
      <c r="J4498" s="49"/>
      <c r="K4498" s="58"/>
      <c r="L4498" s="58"/>
      <c r="M4498" s="58"/>
      <c r="N4498" s="58"/>
      <c r="O4498" s="58"/>
      <c r="P4498" s="53"/>
      <c r="Q4498" s="65"/>
      <c r="R4498" s="65"/>
      <c r="S4498" s="65"/>
      <c r="T4498" s="65"/>
      <c r="U4498" s="58"/>
      <c r="V4498" s="65"/>
      <c r="W4498" s="65"/>
      <c r="X4498" s="65"/>
      <c r="Y4498" s="65"/>
      <c r="Z4498" s="51"/>
      <c r="AA4498" s="51"/>
      <c r="AB4498" s="102"/>
      <c r="AC4498" s="81" t="e">
        <f t="shared" si="214"/>
        <v>#DIV/0!</v>
      </c>
      <c r="AD4498" s="82">
        <f t="shared" si="215"/>
        <v>0</v>
      </c>
      <c r="AE4498" s="218"/>
      <c r="AH4498" t="str">
        <f t="shared" si="213"/>
        <v>0000</v>
      </c>
      <c r="AJ4498" s="72"/>
      <c r="AK4498" s="72"/>
      <c r="AL4498" s="72"/>
      <c r="AM4498" s="72"/>
    </row>
    <row r="4499" spans="1:39" x14ac:dyDescent="0.25">
      <c r="A4499" s="37" t="s">
        <v>62</v>
      </c>
      <c r="B4499" s="66"/>
      <c r="C4499" s="4"/>
      <c r="D4499" s="41"/>
      <c r="E4499" s="41"/>
      <c r="F4499" s="85"/>
      <c r="G4499" s="39"/>
      <c r="H4499" s="52"/>
      <c r="I4499" s="52"/>
      <c r="J4499" s="49"/>
      <c r="K4499" s="58"/>
      <c r="L4499" s="58"/>
      <c r="M4499" s="58"/>
      <c r="N4499" s="58"/>
      <c r="O4499" s="58"/>
      <c r="P4499" s="53"/>
      <c r="Q4499" s="65"/>
      <c r="R4499" s="65"/>
      <c r="S4499" s="65"/>
      <c r="T4499" s="65"/>
      <c r="U4499" s="58"/>
      <c r="V4499" s="65"/>
      <c r="W4499" s="65"/>
      <c r="X4499" s="65"/>
      <c r="Y4499" s="65"/>
      <c r="Z4499" s="51"/>
      <c r="AA4499" s="51"/>
      <c r="AB4499" s="102"/>
      <c r="AC4499" s="81" t="e">
        <f t="shared" si="214"/>
        <v>#DIV/0!</v>
      </c>
      <c r="AD4499" s="82">
        <f t="shared" si="215"/>
        <v>0</v>
      </c>
      <c r="AE4499" s="218"/>
      <c r="AH4499" t="str">
        <f t="shared" si="213"/>
        <v>0000</v>
      </c>
      <c r="AJ4499" s="72"/>
      <c r="AK4499" s="72"/>
      <c r="AL4499" s="72"/>
      <c r="AM4499" s="72"/>
    </row>
    <row r="4500" spans="1:39" x14ac:dyDescent="0.25">
      <c r="A4500" s="37" t="s">
        <v>62</v>
      </c>
      <c r="B4500" s="66"/>
      <c r="C4500" s="4"/>
      <c r="D4500" s="41"/>
      <c r="E4500" s="41"/>
      <c r="F4500" s="85"/>
      <c r="G4500" s="39"/>
      <c r="H4500" s="52"/>
      <c r="I4500" s="52"/>
      <c r="J4500" s="49"/>
      <c r="K4500" s="58"/>
      <c r="L4500" s="58"/>
      <c r="M4500" s="58"/>
      <c r="N4500" s="58"/>
      <c r="O4500" s="58"/>
      <c r="P4500" s="53"/>
      <c r="Q4500" s="65"/>
      <c r="R4500" s="65"/>
      <c r="S4500" s="65"/>
      <c r="T4500" s="65"/>
      <c r="U4500" s="58"/>
      <c r="V4500" s="65"/>
      <c r="W4500" s="65"/>
      <c r="X4500" s="65"/>
      <c r="Y4500" s="65"/>
      <c r="Z4500" s="51"/>
      <c r="AA4500" s="51"/>
      <c r="AB4500" s="102"/>
      <c r="AC4500" s="81" t="e">
        <f t="shared" si="214"/>
        <v>#DIV/0!</v>
      </c>
      <c r="AD4500" s="82">
        <f t="shared" si="215"/>
        <v>0</v>
      </c>
      <c r="AE4500" s="218"/>
      <c r="AH4500" t="str">
        <f t="shared" si="213"/>
        <v>0000</v>
      </c>
      <c r="AJ4500" s="72"/>
      <c r="AK4500" s="72"/>
      <c r="AL4500" s="72"/>
      <c r="AM4500" s="72"/>
    </row>
    <row r="4501" spans="1:39" x14ac:dyDescent="0.25">
      <c r="A4501" s="37" t="s">
        <v>62</v>
      </c>
      <c r="B4501" s="66"/>
      <c r="C4501" s="4"/>
      <c r="D4501" s="41"/>
      <c r="E4501" s="41"/>
      <c r="F4501" s="85"/>
      <c r="G4501" s="39"/>
      <c r="H4501" s="52"/>
      <c r="I4501" s="52"/>
      <c r="J4501" s="49"/>
      <c r="K4501" s="58"/>
      <c r="L4501" s="58"/>
      <c r="M4501" s="58"/>
      <c r="N4501" s="58"/>
      <c r="O4501" s="58"/>
      <c r="P4501" s="53"/>
      <c r="Q4501" s="65"/>
      <c r="R4501" s="65"/>
      <c r="S4501" s="65"/>
      <c r="T4501" s="65"/>
      <c r="U4501" s="58"/>
      <c r="V4501" s="65"/>
      <c r="W4501" s="65"/>
      <c r="X4501" s="65"/>
      <c r="Y4501" s="65"/>
      <c r="Z4501" s="51"/>
      <c r="AA4501" s="51"/>
      <c r="AB4501" s="102"/>
      <c r="AC4501" s="81" t="e">
        <f t="shared" si="214"/>
        <v>#DIV/0!</v>
      </c>
      <c r="AD4501" s="82">
        <f t="shared" si="215"/>
        <v>0</v>
      </c>
      <c r="AE4501" s="218"/>
      <c r="AH4501" t="str">
        <f t="shared" si="213"/>
        <v>0000</v>
      </c>
      <c r="AJ4501" s="72"/>
      <c r="AK4501" s="72"/>
      <c r="AL4501" s="72"/>
      <c r="AM4501" s="72"/>
    </row>
    <row r="4502" spans="1:39" x14ac:dyDescent="0.25">
      <c r="A4502" s="37" t="s">
        <v>62</v>
      </c>
      <c r="B4502" s="66"/>
      <c r="C4502" s="4"/>
      <c r="D4502" s="41"/>
      <c r="E4502" s="41"/>
      <c r="F4502" s="85"/>
      <c r="G4502" s="39"/>
      <c r="H4502" s="52"/>
      <c r="I4502" s="52"/>
      <c r="J4502" s="49"/>
      <c r="K4502" s="58"/>
      <c r="L4502" s="58"/>
      <c r="M4502" s="58"/>
      <c r="N4502" s="58"/>
      <c r="O4502" s="58"/>
      <c r="P4502" s="53"/>
      <c r="Q4502" s="65"/>
      <c r="R4502" s="65"/>
      <c r="S4502" s="65"/>
      <c r="T4502" s="65"/>
      <c r="U4502" s="58"/>
      <c r="V4502" s="65"/>
      <c r="W4502" s="65"/>
      <c r="X4502" s="65"/>
      <c r="Y4502" s="65"/>
      <c r="Z4502" s="51"/>
      <c r="AA4502" s="51"/>
      <c r="AB4502" s="102"/>
      <c r="AC4502" s="81" t="e">
        <f t="shared" si="214"/>
        <v>#DIV/0!</v>
      </c>
      <c r="AD4502" s="82">
        <f t="shared" si="215"/>
        <v>0</v>
      </c>
      <c r="AE4502" s="218"/>
      <c r="AH4502" t="str">
        <f t="shared" si="213"/>
        <v>0000</v>
      </c>
      <c r="AJ4502" s="72"/>
      <c r="AK4502" s="72"/>
      <c r="AL4502" s="72"/>
      <c r="AM4502" s="72"/>
    </row>
    <row r="4503" spans="1:39" x14ac:dyDescent="0.25">
      <c r="A4503" s="37" t="s">
        <v>62</v>
      </c>
      <c r="B4503" s="66"/>
      <c r="C4503" s="4"/>
      <c r="D4503" s="41"/>
      <c r="E4503" s="41"/>
      <c r="F4503" s="85"/>
      <c r="G4503" s="39"/>
      <c r="H4503" s="52"/>
      <c r="I4503" s="52"/>
      <c r="J4503" s="49"/>
      <c r="K4503" s="58"/>
      <c r="L4503" s="58"/>
      <c r="M4503" s="58"/>
      <c r="N4503" s="58"/>
      <c r="O4503" s="58"/>
      <c r="P4503" s="53"/>
      <c r="Q4503" s="65"/>
      <c r="R4503" s="65"/>
      <c r="S4503" s="65"/>
      <c r="T4503" s="65"/>
      <c r="U4503" s="58"/>
      <c r="V4503" s="65"/>
      <c r="W4503" s="65"/>
      <c r="X4503" s="65"/>
      <c r="Y4503" s="65"/>
      <c r="Z4503" s="51"/>
      <c r="AA4503" s="51"/>
      <c r="AB4503" s="102"/>
      <c r="AC4503" s="81" t="e">
        <f t="shared" si="214"/>
        <v>#DIV/0!</v>
      </c>
      <c r="AD4503" s="82">
        <f t="shared" si="215"/>
        <v>0</v>
      </c>
      <c r="AE4503" s="218"/>
      <c r="AH4503" t="str">
        <f t="shared" si="213"/>
        <v>0000</v>
      </c>
      <c r="AJ4503" s="72"/>
      <c r="AK4503" s="72"/>
      <c r="AL4503" s="72"/>
      <c r="AM4503" s="72"/>
    </row>
    <row r="4504" spans="1:39" x14ac:dyDescent="0.25">
      <c r="A4504" s="37" t="s">
        <v>62</v>
      </c>
      <c r="B4504" s="66"/>
      <c r="C4504" s="4"/>
      <c r="D4504" s="41"/>
      <c r="E4504" s="41"/>
      <c r="F4504" s="85"/>
      <c r="G4504" s="39"/>
      <c r="H4504" s="52"/>
      <c r="I4504" s="52"/>
      <c r="J4504" s="49"/>
      <c r="K4504" s="58"/>
      <c r="L4504" s="58"/>
      <c r="M4504" s="58"/>
      <c r="N4504" s="58"/>
      <c r="O4504" s="58"/>
      <c r="P4504" s="53"/>
      <c r="Q4504" s="65"/>
      <c r="R4504" s="65"/>
      <c r="S4504" s="65"/>
      <c r="T4504" s="65"/>
      <c r="U4504" s="58"/>
      <c r="V4504" s="65"/>
      <c r="W4504" s="65"/>
      <c r="X4504" s="65"/>
      <c r="Y4504" s="65"/>
      <c r="Z4504" s="51"/>
      <c r="AA4504" s="51"/>
      <c r="AB4504" s="102"/>
      <c r="AC4504" s="81" t="e">
        <f t="shared" si="214"/>
        <v>#DIV/0!</v>
      </c>
      <c r="AD4504" s="82">
        <f t="shared" si="215"/>
        <v>0</v>
      </c>
      <c r="AE4504" s="218"/>
      <c r="AH4504" t="str">
        <f t="shared" si="213"/>
        <v>0000</v>
      </c>
      <c r="AJ4504" s="72"/>
      <c r="AK4504" s="72"/>
      <c r="AL4504" s="72"/>
      <c r="AM4504" s="72"/>
    </row>
    <row r="4505" spans="1:39" x14ac:dyDescent="0.25">
      <c r="A4505" s="37" t="s">
        <v>62</v>
      </c>
      <c r="B4505" s="66"/>
      <c r="C4505" s="4"/>
      <c r="D4505" s="41"/>
      <c r="E4505" s="41"/>
      <c r="F4505" s="85"/>
      <c r="G4505" s="39"/>
      <c r="H4505" s="52"/>
      <c r="I4505" s="52"/>
      <c r="J4505" s="49"/>
      <c r="K4505" s="58"/>
      <c r="L4505" s="58"/>
      <c r="M4505" s="58"/>
      <c r="N4505" s="58"/>
      <c r="O4505" s="58"/>
      <c r="P4505" s="53"/>
      <c r="Q4505" s="65"/>
      <c r="R4505" s="65"/>
      <c r="S4505" s="65"/>
      <c r="T4505" s="65"/>
      <c r="U4505" s="58"/>
      <c r="V4505" s="65"/>
      <c r="W4505" s="65"/>
      <c r="X4505" s="65"/>
      <c r="Y4505" s="65"/>
      <c r="Z4505" s="51"/>
      <c r="AA4505" s="51"/>
      <c r="AB4505" s="102"/>
      <c r="AC4505" s="81" t="e">
        <f t="shared" si="214"/>
        <v>#DIV/0!</v>
      </c>
      <c r="AD4505" s="82">
        <f t="shared" si="215"/>
        <v>0</v>
      </c>
      <c r="AE4505" s="218"/>
      <c r="AH4505" t="str">
        <f t="shared" si="213"/>
        <v>0000</v>
      </c>
      <c r="AJ4505" s="72"/>
      <c r="AK4505" s="72"/>
      <c r="AL4505" s="72"/>
      <c r="AM4505" s="72"/>
    </row>
    <row r="4506" spans="1:39" x14ac:dyDescent="0.25">
      <c r="A4506" s="37" t="s">
        <v>62</v>
      </c>
      <c r="B4506" s="66"/>
      <c r="C4506" s="4"/>
      <c r="D4506" s="41"/>
      <c r="E4506" s="41"/>
      <c r="F4506" s="85"/>
      <c r="G4506" s="39"/>
      <c r="H4506" s="52"/>
      <c r="I4506" s="52"/>
      <c r="J4506" s="49"/>
      <c r="K4506" s="58"/>
      <c r="L4506" s="58"/>
      <c r="M4506" s="58"/>
      <c r="N4506" s="58"/>
      <c r="O4506" s="58"/>
      <c r="P4506" s="53"/>
      <c r="Q4506" s="65"/>
      <c r="R4506" s="65"/>
      <c r="S4506" s="65"/>
      <c r="T4506" s="65"/>
      <c r="U4506" s="58"/>
      <c r="V4506" s="65"/>
      <c r="W4506" s="65"/>
      <c r="X4506" s="65"/>
      <c r="Y4506" s="65"/>
      <c r="Z4506" s="51"/>
      <c r="AA4506" s="51"/>
      <c r="AB4506" s="102"/>
      <c r="AC4506" s="81" t="e">
        <f t="shared" si="214"/>
        <v>#DIV/0!</v>
      </c>
      <c r="AD4506" s="82">
        <f t="shared" si="215"/>
        <v>0</v>
      </c>
      <c r="AE4506" s="218"/>
      <c r="AH4506" t="str">
        <f t="shared" si="213"/>
        <v>0000</v>
      </c>
      <c r="AJ4506" s="72"/>
      <c r="AK4506" s="72"/>
      <c r="AL4506" s="72"/>
      <c r="AM4506" s="72"/>
    </row>
    <row r="4507" spans="1:39" x14ac:dyDescent="0.25">
      <c r="A4507" s="37" t="s">
        <v>62</v>
      </c>
      <c r="B4507" s="66"/>
      <c r="C4507" s="4"/>
      <c r="D4507" s="41"/>
      <c r="E4507" s="41"/>
      <c r="F4507" s="85"/>
      <c r="G4507" s="39"/>
      <c r="H4507" s="52"/>
      <c r="I4507" s="52"/>
      <c r="J4507" s="49"/>
      <c r="K4507" s="58"/>
      <c r="L4507" s="58"/>
      <c r="M4507" s="58"/>
      <c r="N4507" s="58"/>
      <c r="O4507" s="58"/>
      <c r="P4507" s="53"/>
      <c r="Q4507" s="65"/>
      <c r="R4507" s="65"/>
      <c r="S4507" s="65"/>
      <c r="T4507" s="65"/>
      <c r="U4507" s="58"/>
      <c r="V4507" s="65"/>
      <c r="W4507" s="65"/>
      <c r="X4507" s="65"/>
      <c r="Y4507" s="65"/>
      <c r="Z4507" s="51"/>
      <c r="AA4507" s="51"/>
      <c r="AB4507" s="102"/>
      <c r="AC4507" s="81" t="e">
        <f t="shared" si="214"/>
        <v>#DIV/0!</v>
      </c>
      <c r="AD4507" s="82">
        <f t="shared" si="215"/>
        <v>0</v>
      </c>
      <c r="AE4507" s="218"/>
      <c r="AH4507" t="str">
        <f t="shared" si="213"/>
        <v>0000</v>
      </c>
      <c r="AJ4507" s="72"/>
      <c r="AK4507" s="72"/>
      <c r="AL4507" s="72"/>
      <c r="AM4507" s="72"/>
    </row>
    <row r="4508" spans="1:39" x14ac:dyDescent="0.25">
      <c r="A4508" s="37" t="s">
        <v>62</v>
      </c>
      <c r="B4508" s="66"/>
      <c r="C4508" s="4"/>
      <c r="D4508" s="41"/>
      <c r="E4508" s="41"/>
      <c r="F4508" s="85"/>
      <c r="G4508" s="39"/>
      <c r="H4508" s="52"/>
      <c r="I4508" s="52"/>
      <c r="J4508" s="49"/>
      <c r="K4508" s="58"/>
      <c r="L4508" s="58"/>
      <c r="M4508" s="58"/>
      <c r="N4508" s="58"/>
      <c r="O4508" s="58"/>
      <c r="P4508" s="53"/>
      <c r="Q4508" s="65"/>
      <c r="R4508" s="65"/>
      <c r="S4508" s="65"/>
      <c r="T4508" s="65"/>
      <c r="U4508" s="58"/>
      <c r="V4508" s="65"/>
      <c r="W4508" s="65"/>
      <c r="X4508" s="65"/>
      <c r="Y4508" s="65"/>
      <c r="Z4508" s="51"/>
      <c r="AA4508" s="51"/>
      <c r="AB4508" s="102"/>
      <c r="AC4508" s="81" t="e">
        <f t="shared" si="214"/>
        <v>#DIV/0!</v>
      </c>
      <c r="AD4508" s="82">
        <f t="shared" si="215"/>
        <v>0</v>
      </c>
      <c r="AE4508" s="218"/>
      <c r="AH4508" t="str">
        <f t="shared" si="213"/>
        <v>0000</v>
      </c>
      <c r="AJ4508" s="72"/>
      <c r="AK4508" s="72"/>
      <c r="AL4508" s="72"/>
      <c r="AM4508" s="72"/>
    </row>
    <row r="4509" spans="1:39" x14ac:dyDescent="0.25">
      <c r="A4509" s="37" t="s">
        <v>62</v>
      </c>
      <c r="B4509" s="66"/>
      <c r="C4509" s="4"/>
      <c r="D4509" s="41"/>
      <c r="E4509" s="41"/>
      <c r="F4509" s="85"/>
      <c r="G4509" s="39"/>
      <c r="H4509" s="52"/>
      <c r="I4509" s="52"/>
      <c r="J4509" s="49"/>
      <c r="K4509" s="58"/>
      <c r="L4509" s="58"/>
      <c r="M4509" s="58"/>
      <c r="N4509" s="58"/>
      <c r="O4509" s="58"/>
      <c r="P4509" s="53"/>
      <c r="Q4509" s="65"/>
      <c r="R4509" s="65"/>
      <c r="S4509" s="65"/>
      <c r="T4509" s="65"/>
      <c r="U4509" s="58"/>
      <c r="V4509" s="65"/>
      <c r="W4509" s="65"/>
      <c r="X4509" s="65"/>
      <c r="Y4509" s="65"/>
      <c r="Z4509" s="51"/>
      <c r="AA4509" s="51"/>
      <c r="AB4509" s="102"/>
      <c r="AC4509" s="81" t="e">
        <f t="shared" si="214"/>
        <v>#DIV/0!</v>
      </c>
      <c r="AD4509" s="82">
        <f t="shared" si="215"/>
        <v>0</v>
      </c>
      <c r="AE4509" s="218"/>
      <c r="AH4509" t="str">
        <f t="shared" si="213"/>
        <v>0000</v>
      </c>
      <c r="AJ4509" s="72"/>
      <c r="AK4509" s="72"/>
      <c r="AL4509" s="72"/>
      <c r="AM4509" s="72"/>
    </row>
    <row r="4510" spans="1:39" x14ac:dyDescent="0.25">
      <c r="A4510" s="37" t="s">
        <v>62</v>
      </c>
      <c r="B4510" s="66"/>
      <c r="C4510" s="4"/>
      <c r="D4510" s="41"/>
      <c r="E4510" s="41"/>
      <c r="F4510" s="85"/>
      <c r="G4510" s="39"/>
      <c r="H4510" s="52"/>
      <c r="I4510" s="52"/>
      <c r="J4510" s="49"/>
      <c r="K4510" s="58"/>
      <c r="L4510" s="58"/>
      <c r="M4510" s="58"/>
      <c r="N4510" s="58"/>
      <c r="O4510" s="58"/>
      <c r="P4510" s="53"/>
      <c r="Q4510" s="65"/>
      <c r="R4510" s="65"/>
      <c r="S4510" s="65"/>
      <c r="T4510" s="65"/>
      <c r="U4510" s="58"/>
      <c r="V4510" s="65"/>
      <c r="W4510" s="65"/>
      <c r="X4510" s="65"/>
      <c r="Y4510" s="65"/>
      <c r="Z4510" s="51"/>
      <c r="AA4510" s="51"/>
      <c r="AB4510" s="102"/>
      <c r="AC4510" s="81" t="e">
        <f t="shared" si="214"/>
        <v>#DIV/0!</v>
      </c>
      <c r="AD4510" s="82">
        <f t="shared" si="215"/>
        <v>0</v>
      </c>
      <c r="AE4510" s="218"/>
      <c r="AH4510" t="str">
        <f t="shared" si="213"/>
        <v>0000</v>
      </c>
      <c r="AJ4510" s="72"/>
      <c r="AK4510" s="72"/>
      <c r="AL4510" s="72"/>
      <c r="AM4510" s="72"/>
    </row>
    <row r="4511" spans="1:39" x14ac:dyDescent="0.25">
      <c r="A4511" s="37" t="s">
        <v>62</v>
      </c>
      <c r="B4511" s="66"/>
      <c r="C4511" s="4"/>
      <c r="D4511" s="41"/>
      <c r="E4511" s="41"/>
      <c r="F4511" s="85"/>
      <c r="G4511" s="39"/>
      <c r="H4511" s="52"/>
      <c r="I4511" s="52"/>
      <c r="J4511" s="49"/>
      <c r="K4511" s="58"/>
      <c r="L4511" s="58"/>
      <c r="M4511" s="58"/>
      <c r="N4511" s="58"/>
      <c r="O4511" s="58"/>
      <c r="P4511" s="53"/>
      <c r="Q4511" s="65"/>
      <c r="R4511" s="65"/>
      <c r="S4511" s="65"/>
      <c r="T4511" s="65"/>
      <c r="U4511" s="58"/>
      <c r="V4511" s="65"/>
      <c r="W4511" s="65"/>
      <c r="X4511" s="65"/>
      <c r="Y4511" s="65"/>
      <c r="Z4511" s="51"/>
      <c r="AA4511" s="51"/>
      <c r="AB4511" s="102"/>
      <c r="AC4511" s="81" t="e">
        <f t="shared" si="214"/>
        <v>#DIV/0!</v>
      </c>
      <c r="AD4511" s="82">
        <f t="shared" si="215"/>
        <v>0</v>
      </c>
      <c r="AE4511" s="218"/>
      <c r="AH4511" t="str">
        <f t="shared" si="213"/>
        <v>0000</v>
      </c>
      <c r="AJ4511" s="72"/>
      <c r="AK4511" s="72"/>
      <c r="AL4511" s="72"/>
      <c r="AM4511" s="72"/>
    </row>
    <row r="4512" spans="1:39" x14ac:dyDescent="0.25">
      <c r="A4512" s="37" t="s">
        <v>62</v>
      </c>
      <c r="B4512" s="66"/>
      <c r="C4512" s="4"/>
      <c r="D4512" s="41"/>
      <c r="E4512" s="41"/>
      <c r="F4512" s="85"/>
      <c r="G4512" s="39"/>
      <c r="H4512" s="52"/>
      <c r="I4512" s="52"/>
      <c r="J4512" s="49"/>
      <c r="K4512" s="58"/>
      <c r="L4512" s="58"/>
      <c r="M4512" s="58"/>
      <c r="N4512" s="58"/>
      <c r="O4512" s="58"/>
      <c r="P4512" s="53"/>
      <c r="Q4512" s="65"/>
      <c r="R4512" s="65"/>
      <c r="S4512" s="65"/>
      <c r="T4512" s="65"/>
      <c r="U4512" s="58"/>
      <c r="V4512" s="65"/>
      <c r="W4512" s="65"/>
      <c r="X4512" s="65"/>
      <c r="Y4512" s="65"/>
      <c r="Z4512" s="51"/>
      <c r="AA4512" s="51"/>
      <c r="AB4512" s="102"/>
      <c r="AC4512" s="81" t="e">
        <f t="shared" si="214"/>
        <v>#DIV/0!</v>
      </c>
      <c r="AD4512" s="82">
        <f t="shared" si="215"/>
        <v>0</v>
      </c>
      <c r="AE4512" s="218"/>
      <c r="AH4512" t="str">
        <f t="shared" si="213"/>
        <v>0000</v>
      </c>
      <c r="AJ4512" s="72"/>
      <c r="AK4512" s="72"/>
      <c r="AL4512" s="72"/>
      <c r="AM4512" s="72"/>
    </row>
    <row r="4513" spans="1:39" x14ac:dyDescent="0.25">
      <c r="A4513" s="37" t="s">
        <v>62</v>
      </c>
      <c r="B4513" s="66"/>
      <c r="C4513" s="4"/>
      <c r="D4513" s="41"/>
      <c r="E4513" s="41"/>
      <c r="F4513" s="85"/>
      <c r="G4513" s="39"/>
      <c r="H4513" s="52"/>
      <c r="I4513" s="52"/>
      <c r="J4513" s="49"/>
      <c r="K4513" s="58"/>
      <c r="L4513" s="58"/>
      <c r="M4513" s="58"/>
      <c r="N4513" s="58"/>
      <c r="O4513" s="58"/>
      <c r="P4513" s="53"/>
      <c r="Q4513" s="65"/>
      <c r="R4513" s="65"/>
      <c r="S4513" s="65"/>
      <c r="T4513" s="65"/>
      <c r="U4513" s="58"/>
      <c r="V4513" s="65"/>
      <c r="W4513" s="65"/>
      <c r="X4513" s="65"/>
      <c r="Y4513" s="65"/>
      <c r="Z4513" s="51"/>
      <c r="AA4513" s="51"/>
      <c r="AB4513" s="102"/>
      <c r="AC4513" s="81" t="e">
        <f t="shared" si="214"/>
        <v>#DIV/0!</v>
      </c>
      <c r="AD4513" s="82">
        <f t="shared" si="215"/>
        <v>0</v>
      </c>
      <c r="AE4513" s="218"/>
      <c r="AH4513" t="str">
        <f t="shared" si="213"/>
        <v>0000</v>
      </c>
      <c r="AJ4513" s="72"/>
      <c r="AK4513" s="72"/>
      <c r="AL4513" s="72"/>
      <c r="AM4513" s="72"/>
    </row>
    <row r="4514" spans="1:39" x14ac:dyDescent="0.25">
      <c r="A4514" s="37" t="s">
        <v>62</v>
      </c>
      <c r="B4514" s="66"/>
      <c r="C4514" s="4"/>
      <c r="D4514" s="41"/>
      <c r="E4514" s="41"/>
      <c r="F4514" s="85"/>
      <c r="G4514" s="39"/>
      <c r="H4514" s="52"/>
      <c r="I4514" s="52"/>
      <c r="J4514" s="49"/>
      <c r="K4514" s="58"/>
      <c r="L4514" s="58"/>
      <c r="M4514" s="58"/>
      <c r="N4514" s="58"/>
      <c r="O4514" s="58"/>
      <c r="P4514" s="53"/>
      <c r="Q4514" s="65"/>
      <c r="R4514" s="65"/>
      <c r="S4514" s="65"/>
      <c r="T4514" s="65"/>
      <c r="U4514" s="58"/>
      <c r="V4514" s="65"/>
      <c r="W4514" s="65"/>
      <c r="X4514" s="65"/>
      <c r="Y4514" s="65"/>
      <c r="Z4514" s="51"/>
      <c r="AA4514" s="51"/>
      <c r="AB4514" s="102"/>
      <c r="AC4514" s="81" t="e">
        <f t="shared" si="214"/>
        <v>#DIV/0!</v>
      </c>
      <c r="AD4514" s="82">
        <f t="shared" si="215"/>
        <v>0</v>
      </c>
      <c r="AE4514" s="218"/>
      <c r="AH4514" t="str">
        <f t="shared" si="213"/>
        <v>0000</v>
      </c>
      <c r="AJ4514" s="72"/>
      <c r="AK4514" s="72"/>
      <c r="AL4514" s="72"/>
      <c r="AM4514" s="72"/>
    </row>
    <row r="4515" spans="1:39" x14ac:dyDescent="0.25">
      <c r="A4515" s="37" t="s">
        <v>62</v>
      </c>
      <c r="B4515" s="66"/>
      <c r="C4515" s="4"/>
      <c r="D4515" s="41"/>
      <c r="E4515" s="41"/>
      <c r="F4515" s="85"/>
      <c r="G4515" s="39"/>
      <c r="H4515" s="52"/>
      <c r="I4515" s="52"/>
      <c r="J4515" s="49"/>
      <c r="K4515" s="58"/>
      <c r="L4515" s="58"/>
      <c r="M4515" s="58"/>
      <c r="N4515" s="58"/>
      <c r="O4515" s="58"/>
      <c r="P4515" s="53"/>
      <c r="Q4515" s="65"/>
      <c r="R4515" s="65"/>
      <c r="S4515" s="65"/>
      <c r="T4515" s="65"/>
      <c r="U4515" s="58"/>
      <c r="V4515" s="65"/>
      <c r="W4515" s="65"/>
      <c r="X4515" s="65"/>
      <c r="Y4515" s="65"/>
      <c r="Z4515" s="51"/>
      <c r="AA4515" s="51"/>
      <c r="AB4515" s="102"/>
      <c r="AC4515" s="81" t="e">
        <f t="shared" si="214"/>
        <v>#DIV/0!</v>
      </c>
      <c r="AD4515" s="82">
        <f t="shared" si="215"/>
        <v>0</v>
      </c>
      <c r="AE4515" s="218"/>
      <c r="AH4515" t="str">
        <f t="shared" si="213"/>
        <v>0000</v>
      </c>
      <c r="AJ4515" s="72"/>
      <c r="AK4515" s="72"/>
      <c r="AL4515" s="72"/>
      <c r="AM4515" s="72"/>
    </row>
    <row r="4516" spans="1:39" x14ac:dyDescent="0.25">
      <c r="A4516" s="37" t="s">
        <v>62</v>
      </c>
      <c r="B4516" s="66"/>
      <c r="C4516" s="4"/>
      <c r="D4516" s="41"/>
      <c r="E4516" s="41"/>
      <c r="F4516" s="85"/>
      <c r="G4516" s="39"/>
      <c r="H4516" s="52"/>
      <c r="I4516" s="52"/>
      <c r="J4516" s="49"/>
      <c r="K4516" s="58"/>
      <c r="L4516" s="58"/>
      <c r="M4516" s="58"/>
      <c r="N4516" s="58"/>
      <c r="O4516" s="58"/>
      <c r="P4516" s="53"/>
      <c r="Q4516" s="65"/>
      <c r="R4516" s="65"/>
      <c r="S4516" s="65"/>
      <c r="T4516" s="65"/>
      <c r="U4516" s="58"/>
      <c r="V4516" s="65"/>
      <c r="W4516" s="65"/>
      <c r="X4516" s="65"/>
      <c r="Y4516" s="65"/>
      <c r="Z4516" s="51"/>
      <c r="AA4516" s="51"/>
      <c r="AB4516" s="102"/>
      <c r="AC4516" s="81" t="e">
        <f t="shared" si="214"/>
        <v>#DIV/0!</v>
      </c>
      <c r="AD4516" s="82">
        <f t="shared" si="215"/>
        <v>0</v>
      </c>
      <c r="AE4516" s="218"/>
      <c r="AH4516" t="str">
        <f t="shared" si="213"/>
        <v>0000</v>
      </c>
      <c r="AJ4516" s="72"/>
      <c r="AK4516" s="72"/>
      <c r="AL4516" s="72"/>
      <c r="AM4516" s="72"/>
    </row>
    <row r="4517" spans="1:39" x14ac:dyDescent="0.25">
      <c r="A4517" s="37" t="s">
        <v>62</v>
      </c>
      <c r="B4517" s="66"/>
      <c r="C4517" s="4"/>
      <c r="D4517" s="41"/>
      <c r="E4517" s="41"/>
      <c r="F4517" s="85"/>
      <c r="G4517" s="39"/>
      <c r="H4517" s="52"/>
      <c r="I4517" s="52"/>
      <c r="J4517" s="49"/>
      <c r="K4517" s="58"/>
      <c r="L4517" s="58"/>
      <c r="M4517" s="58"/>
      <c r="N4517" s="58"/>
      <c r="O4517" s="58"/>
      <c r="P4517" s="53"/>
      <c r="Q4517" s="65"/>
      <c r="R4517" s="65"/>
      <c r="S4517" s="65"/>
      <c r="T4517" s="65"/>
      <c r="U4517" s="58"/>
      <c r="V4517" s="65"/>
      <c r="W4517" s="65"/>
      <c r="X4517" s="65"/>
      <c r="Y4517" s="65"/>
      <c r="Z4517" s="51"/>
      <c r="AA4517" s="51"/>
      <c r="AB4517" s="102"/>
      <c r="AC4517" s="81" t="e">
        <f t="shared" si="214"/>
        <v>#DIV/0!</v>
      </c>
      <c r="AD4517" s="82">
        <f t="shared" si="215"/>
        <v>0</v>
      </c>
      <c r="AE4517" s="218"/>
      <c r="AH4517" t="str">
        <f t="shared" si="213"/>
        <v>0000</v>
      </c>
      <c r="AJ4517" s="72"/>
      <c r="AK4517" s="72"/>
      <c r="AL4517" s="72"/>
      <c r="AM4517" s="72"/>
    </row>
    <row r="4518" spans="1:39" x14ac:dyDescent="0.25">
      <c r="A4518" s="37" t="s">
        <v>62</v>
      </c>
      <c r="B4518" s="66"/>
      <c r="C4518" s="4"/>
      <c r="D4518" s="41"/>
      <c r="E4518" s="41"/>
      <c r="F4518" s="85"/>
      <c r="G4518" s="39"/>
      <c r="H4518" s="52"/>
      <c r="I4518" s="52"/>
      <c r="J4518" s="49"/>
      <c r="K4518" s="58"/>
      <c r="L4518" s="58"/>
      <c r="M4518" s="58"/>
      <c r="N4518" s="58"/>
      <c r="O4518" s="58"/>
      <c r="P4518" s="53"/>
      <c r="Q4518" s="65"/>
      <c r="R4518" s="65"/>
      <c r="S4518" s="65"/>
      <c r="T4518" s="65"/>
      <c r="U4518" s="58"/>
      <c r="V4518" s="65"/>
      <c r="W4518" s="65"/>
      <c r="X4518" s="65"/>
      <c r="Y4518" s="65"/>
      <c r="Z4518" s="51"/>
      <c r="AA4518" s="51"/>
      <c r="AB4518" s="102"/>
      <c r="AC4518" s="81" t="e">
        <f t="shared" si="214"/>
        <v>#DIV/0!</v>
      </c>
      <c r="AD4518" s="82">
        <f t="shared" si="215"/>
        <v>0</v>
      </c>
      <c r="AE4518" s="218"/>
      <c r="AH4518" t="str">
        <f t="shared" si="213"/>
        <v>0000</v>
      </c>
      <c r="AJ4518" s="72"/>
      <c r="AK4518" s="72"/>
      <c r="AL4518" s="72"/>
      <c r="AM4518" s="72"/>
    </row>
    <row r="4519" spans="1:39" x14ac:dyDescent="0.25">
      <c r="A4519" s="37" t="s">
        <v>62</v>
      </c>
      <c r="B4519" s="66"/>
      <c r="C4519" s="4"/>
      <c r="D4519" s="41"/>
      <c r="E4519" s="41"/>
      <c r="F4519" s="85"/>
      <c r="G4519" s="39"/>
      <c r="H4519" s="52"/>
      <c r="I4519" s="52"/>
      <c r="J4519" s="49"/>
      <c r="K4519" s="58"/>
      <c r="L4519" s="58"/>
      <c r="M4519" s="58"/>
      <c r="N4519" s="58"/>
      <c r="O4519" s="58"/>
      <c r="P4519" s="53"/>
      <c r="Q4519" s="65"/>
      <c r="R4519" s="65"/>
      <c r="S4519" s="65"/>
      <c r="T4519" s="65"/>
      <c r="U4519" s="58"/>
      <c r="V4519" s="65"/>
      <c r="W4519" s="65"/>
      <c r="X4519" s="65"/>
      <c r="Y4519" s="65"/>
      <c r="Z4519" s="51"/>
      <c r="AA4519" s="51"/>
      <c r="AB4519" s="102"/>
      <c r="AC4519" s="81" t="e">
        <f t="shared" si="214"/>
        <v>#DIV/0!</v>
      </c>
      <c r="AD4519" s="82">
        <f t="shared" si="215"/>
        <v>0</v>
      </c>
      <c r="AE4519" s="218"/>
      <c r="AH4519" t="str">
        <f t="shared" si="213"/>
        <v>0000</v>
      </c>
      <c r="AJ4519" s="72"/>
      <c r="AK4519" s="72"/>
      <c r="AL4519" s="72"/>
      <c r="AM4519" s="72"/>
    </row>
    <row r="4520" spans="1:39" x14ac:dyDescent="0.25">
      <c r="A4520" s="37" t="s">
        <v>62</v>
      </c>
      <c r="B4520" s="66"/>
      <c r="C4520" s="4"/>
      <c r="D4520" s="41"/>
      <c r="E4520" s="41"/>
      <c r="F4520" s="85"/>
      <c r="G4520" s="39"/>
      <c r="H4520" s="52"/>
      <c r="I4520" s="52"/>
      <c r="J4520" s="49"/>
      <c r="K4520" s="58"/>
      <c r="L4520" s="58"/>
      <c r="M4520" s="58"/>
      <c r="N4520" s="58"/>
      <c r="O4520" s="58"/>
      <c r="P4520" s="53"/>
      <c r="Q4520" s="65"/>
      <c r="R4520" s="65"/>
      <c r="S4520" s="65"/>
      <c r="T4520" s="65"/>
      <c r="U4520" s="58"/>
      <c r="V4520" s="65"/>
      <c r="W4520" s="65"/>
      <c r="X4520" s="65"/>
      <c r="Y4520" s="65"/>
      <c r="Z4520" s="51"/>
      <c r="AA4520" s="51"/>
      <c r="AB4520" s="102"/>
      <c r="AC4520" s="81" t="e">
        <f t="shared" si="214"/>
        <v>#DIV/0!</v>
      </c>
      <c r="AD4520" s="82">
        <f t="shared" si="215"/>
        <v>0</v>
      </c>
      <c r="AE4520" s="218"/>
      <c r="AH4520" t="str">
        <f t="shared" si="213"/>
        <v>0000</v>
      </c>
      <c r="AJ4520" s="72"/>
      <c r="AK4520" s="72"/>
      <c r="AL4520" s="72"/>
      <c r="AM4520" s="72"/>
    </row>
    <row r="4521" spans="1:39" x14ac:dyDescent="0.25">
      <c r="A4521" s="37" t="s">
        <v>62</v>
      </c>
      <c r="B4521" s="66"/>
      <c r="C4521" s="4"/>
      <c r="D4521" s="41"/>
      <c r="E4521" s="41"/>
      <c r="F4521" s="85"/>
      <c r="G4521" s="39"/>
      <c r="H4521" s="52"/>
      <c r="I4521" s="52"/>
      <c r="J4521" s="49"/>
      <c r="K4521" s="58"/>
      <c r="L4521" s="58"/>
      <c r="M4521" s="58"/>
      <c r="N4521" s="58"/>
      <c r="O4521" s="58"/>
      <c r="P4521" s="53"/>
      <c r="Q4521" s="65"/>
      <c r="R4521" s="65"/>
      <c r="S4521" s="65"/>
      <c r="T4521" s="65"/>
      <c r="U4521" s="58"/>
      <c r="V4521" s="65"/>
      <c r="W4521" s="65"/>
      <c r="X4521" s="65"/>
      <c r="Y4521" s="65"/>
      <c r="Z4521" s="51"/>
      <c r="AA4521" s="51"/>
      <c r="AB4521" s="102"/>
      <c r="AC4521" s="81" t="e">
        <f t="shared" si="214"/>
        <v>#DIV/0!</v>
      </c>
      <c r="AD4521" s="82">
        <f t="shared" si="215"/>
        <v>0</v>
      </c>
      <c r="AE4521" s="218"/>
      <c r="AH4521" t="str">
        <f t="shared" si="213"/>
        <v>0000</v>
      </c>
      <c r="AJ4521" s="72"/>
      <c r="AK4521" s="72"/>
      <c r="AL4521" s="72"/>
      <c r="AM4521" s="72"/>
    </row>
    <row r="4522" spans="1:39" x14ac:dyDescent="0.25">
      <c r="A4522" s="37" t="s">
        <v>62</v>
      </c>
      <c r="B4522" s="66"/>
      <c r="C4522" s="4"/>
      <c r="D4522" s="41"/>
      <c r="E4522" s="41"/>
      <c r="F4522" s="85"/>
      <c r="G4522" s="39"/>
      <c r="H4522" s="52"/>
      <c r="I4522" s="52"/>
      <c r="J4522" s="49"/>
      <c r="K4522" s="58"/>
      <c r="L4522" s="58"/>
      <c r="M4522" s="58"/>
      <c r="N4522" s="58"/>
      <c r="O4522" s="58"/>
      <c r="P4522" s="53"/>
      <c r="Q4522" s="65"/>
      <c r="R4522" s="65"/>
      <c r="S4522" s="65"/>
      <c r="T4522" s="65"/>
      <c r="U4522" s="58"/>
      <c r="V4522" s="65"/>
      <c r="W4522" s="65"/>
      <c r="X4522" s="65"/>
      <c r="Y4522" s="65"/>
      <c r="Z4522" s="51"/>
      <c r="AA4522" s="51"/>
      <c r="AB4522" s="102"/>
      <c r="AC4522" s="81" t="e">
        <f t="shared" si="214"/>
        <v>#DIV/0!</v>
      </c>
      <c r="AD4522" s="82">
        <f t="shared" si="215"/>
        <v>0</v>
      </c>
      <c r="AE4522" s="218"/>
      <c r="AH4522" t="str">
        <f t="shared" si="213"/>
        <v>0000</v>
      </c>
      <c r="AJ4522" s="72"/>
      <c r="AK4522" s="72"/>
      <c r="AL4522" s="72"/>
      <c r="AM4522" s="72"/>
    </row>
    <row r="4523" spans="1:39" x14ac:dyDescent="0.25">
      <c r="A4523" s="37" t="s">
        <v>62</v>
      </c>
      <c r="B4523" s="66"/>
      <c r="C4523" s="4"/>
      <c r="D4523" s="41"/>
      <c r="E4523" s="41"/>
      <c r="F4523" s="85"/>
      <c r="G4523" s="39"/>
      <c r="H4523" s="52"/>
      <c r="I4523" s="52"/>
      <c r="J4523" s="49"/>
      <c r="K4523" s="58"/>
      <c r="L4523" s="58"/>
      <c r="M4523" s="58"/>
      <c r="N4523" s="58"/>
      <c r="O4523" s="58"/>
      <c r="P4523" s="53"/>
      <c r="Q4523" s="65"/>
      <c r="R4523" s="65"/>
      <c r="S4523" s="65"/>
      <c r="T4523" s="65"/>
      <c r="U4523" s="58"/>
      <c r="V4523" s="65"/>
      <c r="W4523" s="65"/>
      <c r="X4523" s="65"/>
      <c r="Y4523" s="65"/>
      <c r="Z4523" s="51"/>
      <c r="AA4523" s="51"/>
      <c r="AB4523" s="102"/>
      <c r="AC4523" s="81" t="e">
        <f t="shared" si="214"/>
        <v>#DIV/0!</v>
      </c>
      <c r="AD4523" s="82">
        <f t="shared" si="215"/>
        <v>0</v>
      </c>
      <c r="AE4523" s="218"/>
      <c r="AH4523" t="str">
        <f t="shared" si="213"/>
        <v>0000</v>
      </c>
      <c r="AJ4523" s="72"/>
      <c r="AK4523" s="72"/>
      <c r="AL4523" s="72"/>
      <c r="AM4523" s="72"/>
    </row>
    <row r="4524" spans="1:39" x14ac:dyDescent="0.25">
      <c r="A4524" s="37" t="s">
        <v>62</v>
      </c>
      <c r="B4524" s="66"/>
      <c r="C4524" s="4"/>
      <c r="D4524" s="41"/>
      <c r="E4524" s="41"/>
      <c r="F4524" s="85"/>
      <c r="G4524" s="39"/>
      <c r="H4524" s="52"/>
      <c r="I4524" s="52"/>
      <c r="J4524" s="49"/>
      <c r="K4524" s="58"/>
      <c r="L4524" s="58"/>
      <c r="M4524" s="58"/>
      <c r="N4524" s="58"/>
      <c r="O4524" s="58"/>
      <c r="P4524" s="53"/>
      <c r="Q4524" s="65"/>
      <c r="R4524" s="65"/>
      <c r="S4524" s="65"/>
      <c r="T4524" s="65"/>
      <c r="U4524" s="58"/>
      <c r="V4524" s="65"/>
      <c r="W4524" s="65"/>
      <c r="X4524" s="65"/>
      <c r="Y4524" s="65"/>
      <c r="Z4524" s="51"/>
      <c r="AA4524" s="51"/>
      <c r="AB4524" s="102"/>
      <c r="AC4524" s="81" t="e">
        <f t="shared" si="214"/>
        <v>#DIV/0!</v>
      </c>
      <c r="AD4524" s="82">
        <f t="shared" si="215"/>
        <v>0</v>
      </c>
      <c r="AE4524" s="218"/>
      <c r="AH4524" t="str">
        <f t="shared" si="213"/>
        <v>0000</v>
      </c>
      <c r="AJ4524" s="72"/>
      <c r="AK4524" s="72"/>
      <c r="AL4524" s="72"/>
      <c r="AM4524" s="72"/>
    </row>
    <row r="4525" spans="1:39" x14ac:dyDescent="0.25">
      <c r="A4525" s="37" t="s">
        <v>62</v>
      </c>
      <c r="B4525" s="66"/>
      <c r="C4525" s="4"/>
      <c r="D4525" s="41"/>
      <c r="E4525" s="41"/>
      <c r="F4525" s="85"/>
      <c r="G4525" s="39"/>
      <c r="H4525" s="52"/>
      <c r="I4525" s="52"/>
      <c r="J4525" s="49"/>
      <c r="K4525" s="58"/>
      <c r="L4525" s="58"/>
      <c r="M4525" s="58"/>
      <c r="N4525" s="58"/>
      <c r="O4525" s="58"/>
      <c r="P4525" s="53"/>
      <c r="Q4525" s="65"/>
      <c r="R4525" s="65"/>
      <c r="S4525" s="65"/>
      <c r="T4525" s="65"/>
      <c r="U4525" s="58"/>
      <c r="V4525" s="65"/>
      <c r="W4525" s="65"/>
      <c r="X4525" s="65"/>
      <c r="Y4525" s="65"/>
      <c r="Z4525" s="51"/>
      <c r="AA4525" s="51"/>
      <c r="AB4525" s="102"/>
      <c r="AC4525" s="81" t="e">
        <f t="shared" si="214"/>
        <v>#DIV/0!</v>
      </c>
      <c r="AD4525" s="82">
        <f t="shared" si="215"/>
        <v>0</v>
      </c>
      <c r="AE4525" s="218"/>
      <c r="AH4525" t="str">
        <f t="shared" si="213"/>
        <v>0000</v>
      </c>
      <c r="AJ4525" s="72"/>
      <c r="AK4525" s="72"/>
      <c r="AL4525" s="72"/>
      <c r="AM4525" s="72"/>
    </row>
    <row r="4526" spans="1:39" x14ac:dyDescent="0.25">
      <c r="A4526" s="37" t="s">
        <v>62</v>
      </c>
      <c r="B4526" s="66"/>
      <c r="C4526" s="4"/>
      <c r="D4526" s="41"/>
      <c r="E4526" s="41"/>
      <c r="F4526" s="85"/>
      <c r="G4526" s="39"/>
      <c r="H4526" s="52"/>
      <c r="I4526" s="52"/>
      <c r="J4526" s="49"/>
      <c r="K4526" s="58"/>
      <c r="L4526" s="58"/>
      <c r="M4526" s="58"/>
      <c r="N4526" s="58"/>
      <c r="O4526" s="58"/>
      <c r="P4526" s="53"/>
      <c r="Q4526" s="65"/>
      <c r="R4526" s="65"/>
      <c r="S4526" s="65"/>
      <c r="T4526" s="65"/>
      <c r="U4526" s="58"/>
      <c r="V4526" s="65"/>
      <c r="W4526" s="65"/>
      <c r="X4526" s="65"/>
      <c r="Y4526" s="65"/>
      <c r="Z4526" s="51"/>
      <c r="AA4526" s="51"/>
      <c r="AB4526" s="102"/>
      <c r="AC4526" s="81" t="e">
        <f t="shared" si="214"/>
        <v>#DIV/0!</v>
      </c>
      <c r="AD4526" s="82">
        <f t="shared" si="215"/>
        <v>0</v>
      </c>
      <c r="AE4526" s="218"/>
      <c r="AH4526" t="str">
        <f t="shared" si="213"/>
        <v>0000</v>
      </c>
      <c r="AJ4526" s="72"/>
      <c r="AK4526" s="72"/>
      <c r="AL4526" s="72"/>
      <c r="AM4526" s="72"/>
    </row>
    <row r="4527" spans="1:39" x14ac:dyDescent="0.25">
      <c r="A4527" s="37" t="s">
        <v>62</v>
      </c>
      <c r="B4527" s="66"/>
      <c r="C4527" s="4"/>
      <c r="D4527" s="41"/>
      <c r="E4527" s="41"/>
      <c r="F4527" s="85"/>
      <c r="G4527" s="39"/>
      <c r="H4527" s="52"/>
      <c r="I4527" s="52"/>
      <c r="J4527" s="49"/>
      <c r="K4527" s="58"/>
      <c r="L4527" s="58"/>
      <c r="M4527" s="58"/>
      <c r="N4527" s="58"/>
      <c r="O4527" s="58"/>
      <c r="P4527" s="53"/>
      <c r="Q4527" s="65"/>
      <c r="R4527" s="65"/>
      <c r="S4527" s="65"/>
      <c r="T4527" s="65"/>
      <c r="U4527" s="58"/>
      <c r="V4527" s="65"/>
      <c r="W4527" s="65"/>
      <c r="X4527" s="65"/>
      <c r="Y4527" s="65"/>
      <c r="Z4527" s="51"/>
      <c r="AA4527" s="51"/>
      <c r="AB4527" s="102"/>
      <c r="AC4527" s="81" t="e">
        <f t="shared" si="214"/>
        <v>#DIV/0!</v>
      </c>
      <c r="AD4527" s="82">
        <f t="shared" si="215"/>
        <v>0</v>
      </c>
      <c r="AE4527" s="218"/>
      <c r="AH4527" t="str">
        <f t="shared" si="213"/>
        <v>0000</v>
      </c>
      <c r="AJ4527" s="72"/>
      <c r="AK4527" s="72"/>
      <c r="AL4527" s="72"/>
      <c r="AM4527" s="72"/>
    </row>
    <row r="4528" spans="1:39" x14ac:dyDescent="0.25">
      <c r="A4528" s="37" t="s">
        <v>62</v>
      </c>
      <c r="B4528" s="66"/>
      <c r="C4528" s="4"/>
      <c r="D4528" s="41"/>
      <c r="E4528" s="41"/>
      <c r="F4528" s="85"/>
      <c r="G4528" s="39"/>
      <c r="H4528" s="52"/>
      <c r="I4528" s="52"/>
      <c r="J4528" s="49"/>
      <c r="K4528" s="58"/>
      <c r="L4528" s="58"/>
      <c r="M4528" s="58"/>
      <c r="N4528" s="58"/>
      <c r="O4528" s="58"/>
      <c r="P4528" s="53"/>
      <c r="Q4528" s="65"/>
      <c r="R4528" s="65"/>
      <c r="S4528" s="65"/>
      <c r="T4528" s="65"/>
      <c r="U4528" s="58"/>
      <c r="V4528" s="65"/>
      <c r="W4528" s="65"/>
      <c r="X4528" s="65"/>
      <c r="Y4528" s="65"/>
      <c r="Z4528" s="51"/>
      <c r="AA4528" s="51"/>
      <c r="AB4528" s="102"/>
      <c r="AC4528" s="81" t="e">
        <f t="shared" si="214"/>
        <v>#DIV/0!</v>
      </c>
      <c r="AD4528" s="82">
        <f t="shared" si="215"/>
        <v>0</v>
      </c>
      <c r="AE4528" s="218"/>
      <c r="AH4528" t="str">
        <f t="shared" si="213"/>
        <v>0000</v>
      </c>
      <c r="AJ4528" s="72"/>
      <c r="AK4528" s="72"/>
      <c r="AL4528" s="72"/>
      <c r="AM4528" s="72"/>
    </row>
    <row r="4529" spans="1:39" x14ac:dyDescent="0.25">
      <c r="A4529" s="37" t="s">
        <v>62</v>
      </c>
      <c r="B4529" s="66"/>
      <c r="C4529" s="4"/>
      <c r="D4529" s="41"/>
      <c r="E4529" s="41"/>
      <c r="F4529" s="85"/>
      <c r="G4529" s="39"/>
      <c r="H4529" s="52"/>
      <c r="I4529" s="52"/>
      <c r="J4529" s="49"/>
      <c r="K4529" s="58"/>
      <c r="L4529" s="58"/>
      <c r="M4529" s="58"/>
      <c r="N4529" s="58"/>
      <c r="O4529" s="58"/>
      <c r="P4529" s="53"/>
      <c r="Q4529" s="65"/>
      <c r="R4529" s="65"/>
      <c r="S4529" s="65"/>
      <c r="T4529" s="65"/>
      <c r="U4529" s="58"/>
      <c r="V4529" s="65"/>
      <c r="W4529" s="65"/>
      <c r="X4529" s="65"/>
      <c r="Y4529" s="65"/>
      <c r="Z4529" s="51"/>
      <c r="AA4529" s="51"/>
      <c r="AB4529" s="102"/>
      <c r="AC4529" s="81" t="e">
        <f t="shared" si="214"/>
        <v>#DIV/0!</v>
      </c>
      <c r="AD4529" s="82">
        <f t="shared" si="215"/>
        <v>0</v>
      </c>
      <c r="AE4529" s="218"/>
      <c r="AH4529" t="str">
        <f t="shared" si="213"/>
        <v>0000</v>
      </c>
      <c r="AJ4529" s="72"/>
      <c r="AK4529" s="72"/>
      <c r="AL4529" s="72"/>
      <c r="AM4529" s="72"/>
    </row>
    <row r="4530" spans="1:39" x14ac:dyDescent="0.25">
      <c r="A4530" s="37" t="s">
        <v>62</v>
      </c>
      <c r="B4530" s="66"/>
      <c r="C4530" s="4"/>
      <c r="D4530" s="41"/>
      <c r="E4530" s="41"/>
      <c r="F4530" s="85"/>
      <c r="G4530" s="39"/>
      <c r="H4530" s="52"/>
      <c r="I4530" s="52"/>
      <c r="J4530" s="49"/>
      <c r="K4530" s="58"/>
      <c r="L4530" s="58"/>
      <c r="M4530" s="58"/>
      <c r="N4530" s="58"/>
      <c r="O4530" s="58"/>
      <c r="P4530" s="53"/>
      <c r="Q4530" s="65"/>
      <c r="R4530" s="65"/>
      <c r="S4530" s="65"/>
      <c r="T4530" s="65"/>
      <c r="U4530" s="58"/>
      <c r="V4530" s="65"/>
      <c r="W4530" s="65"/>
      <c r="X4530" s="65"/>
      <c r="Y4530" s="65"/>
      <c r="Z4530" s="51"/>
      <c r="AA4530" s="51"/>
      <c r="AB4530" s="102"/>
      <c r="AC4530" s="81" t="e">
        <f t="shared" si="214"/>
        <v>#DIV/0!</v>
      </c>
      <c r="AD4530" s="82">
        <f t="shared" si="215"/>
        <v>0</v>
      </c>
      <c r="AE4530" s="218"/>
      <c r="AH4530" t="str">
        <f t="shared" si="213"/>
        <v>0000</v>
      </c>
      <c r="AJ4530" s="72"/>
      <c r="AK4530" s="72"/>
      <c r="AL4530" s="72"/>
      <c r="AM4530" s="72"/>
    </row>
    <row r="4531" spans="1:39" x14ac:dyDescent="0.25">
      <c r="A4531" s="37" t="s">
        <v>62</v>
      </c>
      <c r="B4531" s="66"/>
      <c r="C4531" s="4"/>
      <c r="D4531" s="41"/>
      <c r="E4531" s="41"/>
      <c r="F4531" s="85"/>
      <c r="G4531" s="39"/>
      <c r="H4531" s="52"/>
      <c r="I4531" s="52"/>
      <c r="J4531" s="49"/>
      <c r="K4531" s="58"/>
      <c r="L4531" s="58"/>
      <c r="M4531" s="58"/>
      <c r="N4531" s="58"/>
      <c r="O4531" s="58"/>
      <c r="P4531" s="53"/>
      <c r="Q4531" s="65"/>
      <c r="R4531" s="65"/>
      <c r="S4531" s="65"/>
      <c r="T4531" s="65"/>
      <c r="U4531" s="58"/>
      <c r="V4531" s="65"/>
      <c r="W4531" s="65"/>
      <c r="X4531" s="65"/>
      <c r="Y4531" s="65"/>
      <c r="Z4531" s="51"/>
      <c r="AA4531" s="51"/>
      <c r="AB4531" s="102"/>
      <c r="AC4531" s="81" t="e">
        <f t="shared" si="214"/>
        <v>#DIV/0!</v>
      </c>
      <c r="AD4531" s="82">
        <f t="shared" si="215"/>
        <v>0</v>
      </c>
      <c r="AE4531" s="218"/>
      <c r="AH4531" t="str">
        <f t="shared" si="213"/>
        <v>0000</v>
      </c>
      <c r="AJ4531" s="72"/>
      <c r="AK4531" s="72"/>
      <c r="AL4531" s="72"/>
      <c r="AM4531" s="72"/>
    </row>
    <row r="4532" spans="1:39" x14ac:dyDescent="0.25">
      <c r="A4532" s="37" t="s">
        <v>62</v>
      </c>
      <c r="B4532" s="66"/>
      <c r="C4532" s="4"/>
      <c r="D4532" s="41"/>
      <c r="E4532" s="41"/>
      <c r="F4532" s="85"/>
      <c r="G4532" s="39"/>
      <c r="H4532" s="52"/>
      <c r="I4532" s="52"/>
      <c r="J4532" s="49"/>
      <c r="K4532" s="58"/>
      <c r="L4532" s="58"/>
      <c r="M4532" s="58"/>
      <c r="N4532" s="58"/>
      <c r="O4532" s="58"/>
      <c r="P4532" s="53"/>
      <c r="Q4532" s="65"/>
      <c r="R4532" s="65"/>
      <c r="S4532" s="65"/>
      <c r="T4532" s="65"/>
      <c r="U4532" s="58"/>
      <c r="V4532" s="65"/>
      <c r="W4532" s="65"/>
      <c r="X4532" s="65"/>
      <c r="Y4532" s="65"/>
      <c r="Z4532" s="51"/>
      <c r="AA4532" s="51"/>
      <c r="AB4532" s="102"/>
      <c r="AC4532" s="81" t="e">
        <f t="shared" si="214"/>
        <v>#DIV/0!</v>
      </c>
      <c r="AD4532" s="82">
        <f t="shared" si="215"/>
        <v>0</v>
      </c>
      <c r="AE4532" s="218"/>
      <c r="AH4532" t="str">
        <f t="shared" si="213"/>
        <v>0000</v>
      </c>
      <c r="AJ4532" s="72"/>
      <c r="AK4532" s="72"/>
      <c r="AL4532" s="72"/>
      <c r="AM4532" s="72"/>
    </row>
    <row r="4533" spans="1:39" x14ac:dyDescent="0.25">
      <c r="A4533" s="37" t="s">
        <v>62</v>
      </c>
      <c r="B4533" s="66"/>
      <c r="C4533" s="4"/>
      <c r="D4533" s="41"/>
      <c r="E4533" s="41"/>
      <c r="F4533" s="85"/>
      <c r="G4533" s="39"/>
      <c r="H4533" s="52"/>
      <c r="I4533" s="52"/>
      <c r="J4533" s="49"/>
      <c r="K4533" s="58"/>
      <c r="L4533" s="58"/>
      <c r="M4533" s="58"/>
      <c r="N4533" s="58"/>
      <c r="O4533" s="58"/>
      <c r="P4533" s="53"/>
      <c r="Q4533" s="65"/>
      <c r="R4533" s="65"/>
      <c r="S4533" s="65"/>
      <c r="T4533" s="65"/>
      <c r="U4533" s="58"/>
      <c r="V4533" s="65"/>
      <c r="W4533" s="65"/>
      <c r="X4533" s="65"/>
      <c r="Y4533" s="65"/>
      <c r="Z4533" s="51"/>
      <c r="AA4533" s="51"/>
      <c r="AB4533" s="102"/>
      <c r="AC4533" s="81" t="e">
        <f t="shared" si="214"/>
        <v>#DIV/0!</v>
      </c>
      <c r="AD4533" s="82">
        <f t="shared" si="215"/>
        <v>0</v>
      </c>
      <c r="AE4533" s="218"/>
      <c r="AH4533" t="str">
        <f t="shared" si="213"/>
        <v>0000</v>
      </c>
      <c r="AJ4533" s="72"/>
      <c r="AK4533" s="72"/>
      <c r="AL4533" s="72"/>
      <c r="AM4533" s="72"/>
    </row>
    <row r="4534" spans="1:39" x14ac:dyDescent="0.25">
      <c r="A4534" s="37" t="s">
        <v>62</v>
      </c>
      <c r="B4534" s="66"/>
      <c r="C4534" s="4"/>
      <c r="D4534" s="41"/>
      <c r="E4534" s="41"/>
      <c r="F4534" s="85"/>
      <c r="G4534" s="39"/>
      <c r="H4534" s="52"/>
      <c r="I4534" s="52"/>
      <c r="J4534" s="49"/>
      <c r="K4534" s="58"/>
      <c r="L4534" s="58"/>
      <c r="M4534" s="58"/>
      <c r="N4534" s="58"/>
      <c r="O4534" s="58"/>
      <c r="P4534" s="53"/>
      <c r="Q4534" s="65"/>
      <c r="R4534" s="65"/>
      <c r="S4534" s="65"/>
      <c r="T4534" s="65"/>
      <c r="U4534" s="58"/>
      <c r="V4534" s="65"/>
      <c r="W4534" s="65"/>
      <c r="X4534" s="65"/>
      <c r="Y4534" s="65"/>
      <c r="Z4534" s="51"/>
      <c r="AA4534" s="51"/>
      <c r="AB4534" s="102"/>
      <c r="AC4534" s="81" t="e">
        <f t="shared" si="214"/>
        <v>#DIV/0!</v>
      </c>
      <c r="AD4534" s="82">
        <f t="shared" si="215"/>
        <v>0</v>
      </c>
      <c r="AE4534" s="218"/>
      <c r="AH4534" t="str">
        <f t="shared" si="213"/>
        <v>0000</v>
      </c>
      <c r="AJ4534" s="72"/>
      <c r="AK4534" s="72"/>
      <c r="AL4534" s="72"/>
      <c r="AM4534" s="72"/>
    </row>
    <row r="4535" spans="1:39" x14ac:dyDescent="0.25">
      <c r="A4535" s="37" t="s">
        <v>62</v>
      </c>
      <c r="B4535" s="66"/>
      <c r="C4535" s="4"/>
      <c r="D4535" s="41"/>
      <c r="E4535" s="41"/>
      <c r="F4535" s="85"/>
      <c r="G4535" s="39"/>
      <c r="H4535" s="52"/>
      <c r="I4535" s="52"/>
      <c r="J4535" s="49"/>
      <c r="K4535" s="58"/>
      <c r="L4535" s="58"/>
      <c r="M4535" s="58"/>
      <c r="N4535" s="58"/>
      <c r="O4535" s="58"/>
      <c r="P4535" s="53"/>
      <c r="Q4535" s="65"/>
      <c r="R4535" s="65"/>
      <c r="S4535" s="65"/>
      <c r="T4535" s="65"/>
      <c r="U4535" s="58"/>
      <c r="V4535" s="65"/>
      <c r="W4535" s="65"/>
      <c r="X4535" s="65"/>
      <c r="Y4535" s="65"/>
      <c r="Z4535" s="51"/>
      <c r="AA4535" s="51"/>
      <c r="AB4535" s="102"/>
      <c r="AC4535" s="81" t="e">
        <f t="shared" si="214"/>
        <v>#DIV/0!</v>
      </c>
      <c r="AD4535" s="82">
        <f t="shared" si="215"/>
        <v>0</v>
      </c>
      <c r="AE4535" s="218"/>
      <c r="AH4535" t="str">
        <f t="shared" si="213"/>
        <v>0000</v>
      </c>
      <c r="AJ4535" s="72"/>
      <c r="AK4535" s="72"/>
      <c r="AL4535" s="72"/>
      <c r="AM4535" s="72"/>
    </row>
    <row r="4536" spans="1:39" x14ac:dyDescent="0.25">
      <c r="A4536" s="37" t="s">
        <v>62</v>
      </c>
      <c r="B4536" s="66"/>
      <c r="C4536" s="4"/>
      <c r="D4536" s="41"/>
      <c r="E4536" s="41"/>
      <c r="F4536" s="85"/>
      <c r="G4536" s="39"/>
      <c r="H4536" s="52"/>
      <c r="I4536" s="52"/>
      <c r="J4536" s="49"/>
      <c r="K4536" s="58"/>
      <c r="L4536" s="58"/>
      <c r="M4536" s="58"/>
      <c r="N4536" s="58"/>
      <c r="O4536" s="58"/>
      <c r="P4536" s="53"/>
      <c r="Q4536" s="65"/>
      <c r="R4536" s="65"/>
      <c r="S4536" s="65"/>
      <c r="T4536" s="65"/>
      <c r="U4536" s="58"/>
      <c r="V4536" s="65"/>
      <c r="W4536" s="65"/>
      <c r="X4536" s="65"/>
      <c r="Y4536" s="65"/>
      <c r="Z4536" s="51"/>
      <c r="AA4536" s="51"/>
      <c r="AB4536" s="102"/>
      <c r="AC4536" s="81" t="e">
        <f t="shared" si="214"/>
        <v>#DIV/0!</v>
      </c>
      <c r="AD4536" s="82">
        <f t="shared" si="215"/>
        <v>0</v>
      </c>
      <c r="AE4536" s="218"/>
      <c r="AH4536" t="str">
        <f t="shared" si="213"/>
        <v>0000</v>
      </c>
      <c r="AJ4536" s="72"/>
      <c r="AK4536" s="72"/>
      <c r="AL4536" s="72"/>
      <c r="AM4536" s="72"/>
    </row>
    <row r="4537" spans="1:39" x14ac:dyDescent="0.25">
      <c r="A4537" s="37" t="s">
        <v>62</v>
      </c>
      <c r="B4537" s="66"/>
      <c r="C4537" s="4"/>
      <c r="D4537" s="41"/>
      <c r="E4537" s="41"/>
      <c r="F4537" s="85"/>
      <c r="G4537" s="39"/>
      <c r="H4537" s="52"/>
      <c r="I4537" s="52"/>
      <c r="J4537" s="49"/>
      <c r="K4537" s="58"/>
      <c r="L4537" s="58"/>
      <c r="M4537" s="58"/>
      <c r="N4537" s="58"/>
      <c r="O4537" s="58"/>
      <c r="P4537" s="53"/>
      <c r="Q4537" s="65"/>
      <c r="R4537" s="65"/>
      <c r="S4537" s="65"/>
      <c r="T4537" s="65"/>
      <c r="U4537" s="58"/>
      <c r="V4537" s="65"/>
      <c r="W4537" s="65"/>
      <c r="X4537" s="65"/>
      <c r="Y4537" s="65"/>
      <c r="Z4537" s="51"/>
      <c r="AA4537" s="51"/>
      <c r="AB4537" s="102"/>
      <c r="AC4537" s="81" t="e">
        <f t="shared" si="214"/>
        <v>#DIV/0!</v>
      </c>
      <c r="AD4537" s="82">
        <f t="shared" si="215"/>
        <v>0</v>
      </c>
      <c r="AE4537" s="218"/>
      <c r="AH4537" t="str">
        <f t="shared" si="213"/>
        <v>0000</v>
      </c>
      <c r="AJ4537" s="72"/>
      <c r="AK4537" s="72"/>
      <c r="AL4537" s="72"/>
      <c r="AM4537" s="72"/>
    </row>
    <row r="4538" spans="1:39" x14ac:dyDescent="0.25">
      <c r="A4538" s="37" t="s">
        <v>62</v>
      </c>
      <c r="B4538" s="66"/>
      <c r="C4538" s="4"/>
      <c r="D4538" s="41"/>
      <c r="E4538" s="41"/>
      <c r="F4538" s="85"/>
      <c r="G4538" s="39"/>
      <c r="H4538" s="52"/>
      <c r="I4538" s="52"/>
      <c r="J4538" s="49"/>
      <c r="K4538" s="58"/>
      <c r="L4538" s="58"/>
      <c r="M4538" s="58"/>
      <c r="N4538" s="58"/>
      <c r="O4538" s="58"/>
      <c r="P4538" s="53"/>
      <c r="Q4538" s="65"/>
      <c r="R4538" s="65"/>
      <c r="S4538" s="65"/>
      <c r="T4538" s="65"/>
      <c r="U4538" s="58"/>
      <c r="V4538" s="65"/>
      <c r="W4538" s="65"/>
      <c r="X4538" s="65"/>
      <c r="Y4538" s="65"/>
      <c r="Z4538" s="51"/>
      <c r="AA4538" s="51"/>
      <c r="AB4538" s="102"/>
      <c r="AC4538" s="81" t="e">
        <f t="shared" si="214"/>
        <v>#DIV/0!</v>
      </c>
      <c r="AD4538" s="82">
        <f t="shared" si="215"/>
        <v>0</v>
      </c>
      <c r="AE4538" s="218"/>
      <c r="AH4538" t="str">
        <f t="shared" ref="AH4538:AH4601" si="216">TEXT(D4538,"0000")</f>
        <v>0000</v>
      </c>
      <c r="AJ4538" s="72"/>
      <c r="AK4538" s="72"/>
      <c r="AL4538" s="72"/>
      <c r="AM4538" s="72"/>
    </row>
    <row r="4539" spans="1:39" x14ac:dyDescent="0.25">
      <c r="A4539" s="37" t="s">
        <v>62</v>
      </c>
      <c r="B4539" s="66"/>
      <c r="C4539" s="4"/>
      <c r="D4539" s="41"/>
      <c r="E4539" s="41"/>
      <c r="F4539" s="85"/>
      <c r="G4539" s="39"/>
      <c r="H4539" s="52"/>
      <c r="I4539" s="52"/>
      <c r="J4539" s="49"/>
      <c r="K4539" s="58"/>
      <c r="L4539" s="58"/>
      <c r="M4539" s="58"/>
      <c r="N4539" s="58"/>
      <c r="O4539" s="58"/>
      <c r="P4539" s="53"/>
      <c r="Q4539" s="65"/>
      <c r="R4539" s="65"/>
      <c r="S4539" s="65"/>
      <c r="T4539" s="65"/>
      <c r="U4539" s="58"/>
      <c r="V4539" s="65"/>
      <c r="W4539" s="65"/>
      <c r="X4539" s="65"/>
      <c r="Y4539" s="65"/>
      <c r="Z4539" s="51"/>
      <c r="AA4539" s="51"/>
      <c r="AB4539" s="102"/>
      <c r="AC4539" s="81" t="e">
        <f t="shared" si="214"/>
        <v>#DIV/0!</v>
      </c>
      <c r="AD4539" s="82">
        <f t="shared" si="215"/>
        <v>0</v>
      </c>
      <c r="AE4539" s="218"/>
      <c r="AH4539" t="str">
        <f t="shared" si="216"/>
        <v>0000</v>
      </c>
      <c r="AJ4539" s="72"/>
      <c r="AK4539" s="72"/>
      <c r="AL4539" s="72"/>
      <c r="AM4539" s="72"/>
    </row>
    <row r="4540" spans="1:39" x14ac:dyDescent="0.25">
      <c r="A4540" s="37" t="s">
        <v>62</v>
      </c>
      <c r="B4540" s="66"/>
      <c r="C4540" s="4"/>
      <c r="D4540" s="41"/>
      <c r="E4540" s="41"/>
      <c r="F4540" s="85"/>
      <c r="G4540" s="39"/>
      <c r="H4540" s="52"/>
      <c r="I4540" s="52"/>
      <c r="J4540" s="49"/>
      <c r="K4540" s="58"/>
      <c r="L4540" s="58"/>
      <c r="M4540" s="58"/>
      <c r="N4540" s="58"/>
      <c r="O4540" s="58"/>
      <c r="P4540" s="53"/>
      <c r="Q4540" s="65"/>
      <c r="R4540" s="65"/>
      <c r="S4540" s="65"/>
      <c r="T4540" s="65"/>
      <c r="U4540" s="58"/>
      <c r="V4540" s="65"/>
      <c r="W4540" s="65"/>
      <c r="X4540" s="65"/>
      <c r="Y4540" s="65"/>
      <c r="Z4540" s="51"/>
      <c r="AA4540" s="51"/>
      <c r="AB4540" s="102"/>
      <c r="AC4540" s="81" t="e">
        <f t="shared" si="214"/>
        <v>#DIV/0!</v>
      </c>
      <c r="AD4540" s="82">
        <f t="shared" si="215"/>
        <v>0</v>
      </c>
      <c r="AE4540" s="218"/>
      <c r="AH4540" t="str">
        <f t="shared" si="216"/>
        <v>0000</v>
      </c>
      <c r="AJ4540" s="72"/>
      <c r="AK4540" s="72"/>
      <c r="AL4540" s="72"/>
      <c r="AM4540" s="72"/>
    </row>
    <row r="4541" spans="1:39" x14ac:dyDescent="0.25">
      <c r="A4541" s="37" t="s">
        <v>62</v>
      </c>
      <c r="B4541" s="66"/>
      <c r="C4541" s="4"/>
      <c r="D4541" s="41"/>
      <c r="E4541" s="41"/>
      <c r="F4541" s="85"/>
      <c r="G4541" s="39"/>
      <c r="H4541" s="52"/>
      <c r="I4541" s="52"/>
      <c r="J4541" s="49"/>
      <c r="K4541" s="58"/>
      <c r="L4541" s="58"/>
      <c r="M4541" s="58"/>
      <c r="N4541" s="58"/>
      <c r="O4541" s="58"/>
      <c r="P4541" s="53"/>
      <c r="Q4541" s="65"/>
      <c r="R4541" s="65"/>
      <c r="S4541" s="65"/>
      <c r="T4541" s="65"/>
      <c r="U4541" s="58"/>
      <c r="V4541" s="65"/>
      <c r="W4541" s="65"/>
      <c r="X4541" s="65"/>
      <c r="Y4541" s="65"/>
      <c r="Z4541" s="51"/>
      <c r="AA4541" s="51"/>
      <c r="AB4541" s="102"/>
      <c r="AC4541" s="81" t="e">
        <f t="shared" si="214"/>
        <v>#DIV/0!</v>
      </c>
      <c r="AD4541" s="82">
        <f t="shared" si="215"/>
        <v>0</v>
      </c>
      <c r="AE4541" s="218"/>
      <c r="AH4541" t="str">
        <f t="shared" si="216"/>
        <v>0000</v>
      </c>
      <c r="AJ4541" s="72"/>
      <c r="AK4541" s="72"/>
      <c r="AL4541" s="72"/>
      <c r="AM4541" s="72"/>
    </row>
    <row r="4542" spans="1:39" x14ac:dyDescent="0.25">
      <c r="A4542" s="37" t="s">
        <v>62</v>
      </c>
      <c r="B4542" s="66"/>
      <c r="C4542" s="4"/>
      <c r="D4542" s="41"/>
      <c r="E4542" s="41"/>
      <c r="F4542" s="85"/>
      <c r="G4542" s="39"/>
      <c r="H4542" s="52"/>
      <c r="I4542" s="52"/>
      <c r="J4542" s="49"/>
      <c r="K4542" s="58"/>
      <c r="L4542" s="58"/>
      <c r="M4542" s="58"/>
      <c r="N4542" s="58"/>
      <c r="O4542" s="58"/>
      <c r="P4542" s="53"/>
      <c r="Q4542" s="65"/>
      <c r="R4542" s="65"/>
      <c r="S4542" s="65"/>
      <c r="T4542" s="65"/>
      <c r="U4542" s="58"/>
      <c r="V4542" s="65"/>
      <c r="W4542" s="65"/>
      <c r="X4542" s="65"/>
      <c r="Y4542" s="65"/>
      <c r="Z4542" s="51"/>
      <c r="AA4542" s="51"/>
      <c r="AB4542" s="102"/>
      <c r="AC4542" s="81" t="e">
        <f t="shared" si="214"/>
        <v>#DIV/0!</v>
      </c>
      <c r="AD4542" s="82">
        <f t="shared" si="215"/>
        <v>0</v>
      </c>
      <c r="AE4542" s="218"/>
      <c r="AH4542" t="str">
        <f t="shared" si="216"/>
        <v>0000</v>
      </c>
      <c r="AJ4542" s="72"/>
      <c r="AK4542" s="72"/>
      <c r="AL4542" s="72"/>
      <c r="AM4542" s="72"/>
    </row>
    <row r="4543" spans="1:39" x14ac:dyDescent="0.25">
      <c r="A4543" s="37" t="s">
        <v>62</v>
      </c>
      <c r="B4543" s="66"/>
      <c r="C4543" s="4"/>
      <c r="D4543" s="41"/>
      <c r="E4543" s="41"/>
      <c r="F4543" s="85"/>
      <c r="G4543" s="39"/>
      <c r="H4543" s="52"/>
      <c r="I4543" s="52"/>
      <c r="J4543" s="49"/>
      <c r="K4543" s="58"/>
      <c r="L4543" s="58"/>
      <c r="M4543" s="58"/>
      <c r="N4543" s="58"/>
      <c r="O4543" s="58"/>
      <c r="P4543" s="53"/>
      <c r="Q4543" s="65"/>
      <c r="R4543" s="65"/>
      <c r="S4543" s="65"/>
      <c r="T4543" s="65"/>
      <c r="U4543" s="58"/>
      <c r="V4543" s="65"/>
      <c r="W4543" s="65"/>
      <c r="X4543" s="65"/>
      <c r="Y4543" s="65"/>
      <c r="Z4543" s="51"/>
      <c r="AA4543" s="51"/>
      <c r="AB4543" s="102"/>
      <c r="AC4543" s="81" t="e">
        <f t="shared" si="214"/>
        <v>#DIV/0!</v>
      </c>
      <c r="AD4543" s="82">
        <f t="shared" si="215"/>
        <v>0</v>
      </c>
      <c r="AE4543" s="218"/>
      <c r="AH4543" t="str">
        <f t="shared" si="216"/>
        <v>0000</v>
      </c>
      <c r="AJ4543" s="72"/>
      <c r="AK4543" s="72"/>
      <c r="AL4543" s="72"/>
      <c r="AM4543" s="72"/>
    </row>
    <row r="4544" spans="1:39" x14ac:dyDescent="0.25">
      <c r="A4544" s="37" t="s">
        <v>62</v>
      </c>
      <c r="B4544" s="66"/>
      <c r="C4544" s="4"/>
      <c r="D4544" s="41"/>
      <c r="E4544" s="41"/>
      <c r="F4544" s="85"/>
      <c r="G4544" s="39"/>
      <c r="H4544" s="52"/>
      <c r="I4544" s="52"/>
      <c r="J4544" s="49"/>
      <c r="K4544" s="58"/>
      <c r="L4544" s="58"/>
      <c r="M4544" s="58"/>
      <c r="N4544" s="58"/>
      <c r="O4544" s="58"/>
      <c r="P4544" s="53"/>
      <c r="Q4544" s="65"/>
      <c r="R4544" s="65"/>
      <c r="S4544" s="65"/>
      <c r="T4544" s="65"/>
      <c r="U4544" s="58"/>
      <c r="V4544" s="65"/>
      <c r="W4544" s="65"/>
      <c r="X4544" s="65"/>
      <c r="Y4544" s="65"/>
      <c r="Z4544" s="51"/>
      <c r="AA4544" s="51"/>
      <c r="AB4544" s="102"/>
      <c r="AC4544" s="81" t="e">
        <f t="shared" si="214"/>
        <v>#DIV/0!</v>
      </c>
      <c r="AD4544" s="82">
        <f t="shared" si="215"/>
        <v>0</v>
      </c>
      <c r="AE4544" s="218"/>
      <c r="AH4544" t="str">
        <f t="shared" si="216"/>
        <v>0000</v>
      </c>
      <c r="AJ4544" s="72"/>
      <c r="AK4544" s="72"/>
      <c r="AL4544" s="72"/>
      <c r="AM4544" s="72"/>
    </row>
    <row r="4545" spans="1:39" x14ac:dyDescent="0.25">
      <c r="A4545" s="37" t="s">
        <v>62</v>
      </c>
      <c r="B4545" s="66"/>
      <c r="C4545" s="4"/>
      <c r="D4545" s="41"/>
      <c r="E4545" s="41"/>
      <c r="F4545" s="85"/>
      <c r="G4545" s="39"/>
      <c r="H4545" s="52"/>
      <c r="I4545" s="52"/>
      <c r="J4545" s="49"/>
      <c r="K4545" s="58"/>
      <c r="L4545" s="58"/>
      <c r="M4545" s="58"/>
      <c r="N4545" s="58"/>
      <c r="O4545" s="58"/>
      <c r="P4545" s="53"/>
      <c r="Q4545" s="65"/>
      <c r="R4545" s="65"/>
      <c r="S4545" s="65"/>
      <c r="T4545" s="65"/>
      <c r="U4545" s="58"/>
      <c r="V4545" s="65"/>
      <c r="W4545" s="65"/>
      <c r="X4545" s="65"/>
      <c r="Y4545" s="65"/>
      <c r="Z4545" s="51"/>
      <c r="AA4545" s="51"/>
      <c r="AB4545" s="102"/>
      <c r="AC4545" s="81" t="e">
        <f t="shared" ref="AC4545:AC4608" si="217">((IF(AD4545=0,0,100-AD4545))*7*(J4545/I4545))*2%</f>
        <v>#DIV/0!</v>
      </c>
      <c r="AD4545" s="82">
        <f t="shared" ref="AD4545:AD4608" si="218">IF((I4545/7)&gt;100,0,(I4545/7))</f>
        <v>0</v>
      </c>
      <c r="AE4545" s="218"/>
      <c r="AH4545" t="str">
        <f t="shared" si="216"/>
        <v>0000</v>
      </c>
      <c r="AJ4545" s="72"/>
      <c r="AK4545" s="72"/>
      <c r="AL4545" s="72"/>
      <c r="AM4545" s="72"/>
    </row>
    <row r="4546" spans="1:39" x14ac:dyDescent="0.25">
      <c r="A4546" s="37" t="s">
        <v>62</v>
      </c>
      <c r="B4546" s="66"/>
      <c r="C4546" s="4"/>
      <c r="D4546" s="41"/>
      <c r="E4546" s="41"/>
      <c r="F4546" s="85"/>
      <c r="G4546" s="39"/>
      <c r="H4546" s="52"/>
      <c r="I4546" s="52"/>
      <c r="J4546" s="49"/>
      <c r="K4546" s="58"/>
      <c r="L4546" s="58"/>
      <c r="M4546" s="58"/>
      <c r="N4546" s="58"/>
      <c r="O4546" s="58"/>
      <c r="P4546" s="53"/>
      <c r="Q4546" s="65"/>
      <c r="R4546" s="65"/>
      <c r="S4546" s="65"/>
      <c r="T4546" s="65"/>
      <c r="U4546" s="58"/>
      <c r="V4546" s="65"/>
      <c r="W4546" s="65"/>
      <c r="X4546" s="65"/>
      <c r="Y4546" s="65"/>
      <c r="Z4546" s="51"/>
      <c r="AA4546" s="51"/>
      <c r="AB4546" s="102"/>
      <c r="AC4546" s="81" t="e">
        <f t="shared" si="217"/>
        <v>#DIV/0!</v>
      </c>
      <c r="AD4546" s="82">
        <f t="shared" si="218"/>
        <v>0</v>
      </c>
      <c r="AE4546" s="218"/>
      <c r="AH4546" t="str">
        <f t="shared" si="216"/>
        <v>0000</v>
      </c>
      <c r="AJ4546" s="72"/>
      <c r="AK4546" s="72"/>
      <c r="AL4546" s="72"/>
      <c r="AM4546" s="72"/>
    </row>
    <row r="4547" spans="1:39" x14ac:dyDescent="0.25">
      <c r="A4547" s="37" t="s">
        <v>62</v>
      </c>
      <c r="B4547" s="66"/>
      <c r="C4547" s="4"/>
      <c r="D4547" s="41"/>
      <c r="E4547" s="41"/>
      <c r="F4547" s="85"/>
      <c r="G4547" s="39"/>
      <c r="H4547" s="52"/>
      <c r="I4547" s="52"/>
      <c r="J4547" s="49"/>
      <c r="K4547" s="58"/>
      <c r="L4547" s="58"/>
      <c r="M4547" s="58"/>
      <c r="N4547" s="58"/>
      <c r="O4547" s="58"/>
      <c r="P4547" s="53"/>
      <c r="Q4547" s="65"/>
      <c r="R4547" s="65"/>
      <c r="S4547" s="65"/>
      <c r="T4547" s="65"/>
      <c r="U4547" s="58"/>
      <c r="V4547" s="65"/>
      <c r="W4547" s="65"/>
      <c r="X4547" s="65"/>
      <c r="Y4547" s="65"/>
      <c r="Z4547" s="51"/>
      <c r="AA4547" s="51"/>
      <c r="AB4547" s="102"/>
      <c r="AC4547" s="81" t="e">
        <f t="shared" si="217"/>
        <v>#DIV/0!</v>
      </c>
      <c r="AD4547" s="82">
        <f t="shared" si="218"/>
        <v>0</v>
      </c>
      <c r="AE4547" s="218"/>
      <c r="AH4547" t="str">
        <f t="shared" si="216"/>
        <v>0000</v>
      </c>
      <c r="AJ4547" s="72"/>
      <c r="AK4547" s="72"/>
      <c r="AL4547" s="72"/>
      <c r="AM4547" s="72"/>
    </row>
    <row r="4548" spans="1:39" x14ac:dyDescent="0.25">
      <c r="A4548" s="37" t="s">
        <v>62</v>
      </c>
      <c r="B4548" s="66"/>
      <c r="C4548" s="4"/>
      <c r="D4548" s="41"/>
      <c r="E4548" s="41"/>
      <c r="F4548" s="85"/>
      <c r="G4548" s="39"/>
      <c r="H4548" s="52"/>
      <c r="I4548" s="52"/>
      <c r="J4548" s="49"/>
      <c r="K4548" s="58"/>
      <c r="L4548" s="58"/>
      <c r="M4548" s="58"/>
      <c r="N4548" s="58"/>
      <c r="O4548" s="58"/>
      <c r="P4548" s="53"/>
      <c r="Q4548" s="65"/>
      <c r="R4548" s="65"/>
      <c r="S4548" s="65"/>
      <c r="T4548" s="65"/>
      <c r="U4548" s="58"/>
      <c r="V4548" s="65"/>
      <c r="W4548" s="65"/>
      <c r="X4548" s="65"/>
      <c r="Y4548" s="65"/>
      <c r="Z4548" s="51"/>
      <c r="AA4548" s="51"/>
      <c r="AB4548" s="102"/>
      <c r="AC4548" s="81" t="e">
        <f t="shared" si="217"/>
        <v>#DIV/0!</v>
      </c>
      <c r="AD4548" s="82">
        <f t="shared" si="218"/>
        <v>0</v>
      </c>
      <c r="AE4548" s="218"/>
      <c r="AH4548" t="str">
        <f t="shared" si="216"/>
        <v>0000</v>
      </c>
      <c r="AJ4548" s="72"/>
      <c r="AK4548" s="72"/>
      <c r="AL4548" s="72"/>
      <c r="AM4548" s="72"/>
    </row>
    <row r="4549" spans="1:39" x14ac:dyDescent="0.25">
      <c r="A4549" s="37" t="s">
        <v>62</v>
      </c>
      <c r="B4549" s="66"/>
      <c r="C4549" s="4"/>
      <c r="D4549" s="41"/>
      <c r="E4549" s="41"/>
      <c r="F4549" s="85"/>
      <c r="G4549" s="39"/>
      <c r="H4549" s="52"/>
      <c r="I4549" s="52"/>
      <c r="J4549" s="49"/>
      <c r="K4549" s="58"/>
      <c r="L4549" s="58"/>
      <c r="M4549" s="58"/>
      <c r="N4549" s="58"/>
      <c r="O4549" s="58"/>
      <c r="P4549" s="53"/>
      <c r="Q4549" s="65"/>
      <c r="R4549" s="65"/>
      <c r="S4549" s="65"/>
      <c r="T4549" s="65"/>
      <c r="U4549" s="58"/>
      <c r="V4549" s="65"/>
      <c r="W4549" s="65"/>
      <c r="X4549" s="65"/>
      <c r="Y4549" s="65"/>
      <c r="Z4549" s="51"/>
      <c r="AA4549" s="51"/>
      <c r="AB4549" s="102"/>
      <c r="AC4549" s="81" t="e">
        <f t="shared" si="217"/>
        <v>#DIV/0!</v>
      </c>
      <c r="AD4549" s="82">
        <f t="shared" si="218"/>
        <v>0</v>
      </c>
      <c r="AE4549" s="218"/>
      <c r="AH4549" t="str">
        <f t="shared" si="216"/>
        <v>0000</v>
      </c>
      <c r="AJ4549" s="72"/>
      <c r="AK4549" s="72"/>
      <c r="AL4549" s="72"/>
      <c r="AM4549" s="72"/>
    </row>
    <row r="4550" spans="1:39" x14ac:dyDescent="0.25">
      <c r="A4550" s="37" t="s">
        <v>62</v>
      </c>
      <c r="B4550" s="66"/>
      <c r="C4550" s="4"/>
      <c r="D4550" s="41"/>
      <c r="E4550" s="41"/>
      <c r="F4550" s="85"/>
      <c r="G4550" s="39"/>
      <c r="H4550" s="52"/>
      <c r="I4550" s="52"/>
      <c r="J4550" s="49"/>
      <c r="K4550" s="58"/>
      <c r="L4550" s="58"/>
      <c r="M4550" s="58"/>
      <c r="N4550" s="58"/>
      <c r="O4550" s="58"/>
      <c r="P4550" s="53"/>
      <c r="Q4550" s="65"/>
      <c r="R4550" s="65"/>
      <c r="S4550" s="65"/>
      <c r="T4550" s="65"/>
      <c r="U4550" s="58"/>
      <c r="V4550" s="65"/>
      <c r="W4550" s="65"/>
      <c r="X4550" s="65"/>
      <c r="Y4550" s="65"/>
      <c r="Z4550" s="51"/>
      <c r="AA4550" s="51"/>
      <c r="AB4550" s="102"/>
      <c r="AC4550" s="81" t="e">
        <f t="shared" si="217"/>
        <v>#DIV/0!</v>
      </c>
      <c r="AD4550" s="82">
        <f t="shared" si="218"/>
        <v>0</v>
      </c>
      <c r="AE4550" s="218"/>
      <c r="AH4550" t="str">
        <f t="shared" si="216"/>
        <v>0000</v>
      </c>
      <c r="AJ4550" s="72"/>
      <c r="AK4550" s="72"/>
      <c r="AL4550" s="72"/>
      <c r="AM4550" s="72"/>
    </row>
    <row r="4551" spans="1:39" x14ac:dyDescent="0.25">
      <c r="A4551" s="37" t="s">
        <v>62</v>
      </c>
      <c r="B4551" s="66"/>
      <c r="C4551" s="4"/>
      <c r="D4551" s="41"/>
      <c r="E4551" s="41"/>
      <c r="F4551" s="85"/>
      <c r="G4551" s="39"/>
      <c r="H4551" s="52"/>
      <c r="I4551" s="52"/>
      <c r="J4551" s="49"/>
      <c r="K4551" s="58"/>
      <c r="L4551" s="58"/>
      <c r="M4551" s="58"/>
      <c r="N4551" s="58"/>
      <c r="O4551" s="58"/>
      <c r="P4551" s="53"/>
      <c r="Q4551" s="65"/>
      <c r="R4551" s="65"/>
      <c r="S4551" s="65"/>
      <c r="T4551" s="65"/>
      <c r="U4551" s="58"/>
      <c r="V4551" s="65"/>
      <c r="W4551" s="65"/>
      <c r="X4551" s="65"/>
      <c r="Y4551" s="65"/>
      <c r="Z4551" s="51"/>
      <c r="AA4551" s="51"/>
      <c r="AB4551" s="102"/>
      <c r="AC4551" s="81" t="e">
        <f t="shared" si="217"/>
        <v>#DIV/0!</v>
      </c>
      <c r="AD4551" s="82">
        <f t="shared" si="218"/>
        <v>0</v>
      </c>
      <c r="AE4551" s="218"/>
      <c r="AH4551" t="str">
        <f t="shared" si="216"/>
        <v>0000</v>
      </c>
      <c r="AJ4551" s="72"/>
      <c r="AK4551" s="72"/>
      <c r="AL4551" s="72"/>
      <c r="AM4551" s="72"/>
    </row>
    <row r="4552" spans="1:39" x14ac:dyDescent="0.25">
      <c r="A4552" s="37" t="s">
        <v>62</v>
      </c>
      <c r="B4552" s="66"/>
      <c r="C4552" s="4"/>
      <c r="D4552" s="41"/>
      <c r="E4552" s="41"/>
      <c r="F4552" s="85"/>
      <c r="G4552" s="39"/>
      <c r="H4552" s="52"/>
      <c r="I4552" s="52"/>
      <c r="J4552" s="49"/>
      <c r="K4552" s="58"/>
      <c r="L4552" s="58"/>
      <c r="M4552" s="58"/>
      <c r="N4552" s="58"/>
      <c r="O4552" s="58"/>
      <c r="P4552" s="53"/>
      <c r="Q4552" s="65"/>
      <c r="R4552" s="65"/>
      <c r="S4552" s="65"/>
      <c r="T4552" s="65"/>
      <c r="U4552" s="58"/>
      <c r="V4552" s="65"/>
      <c r="W4552" s="65"/>
      <c r="X4552" s="65"/>
      <c r="Y4552" s="65"/>
      <c r="Z4552" s="51"/>
      <c r="AA4552" s="51"/>
      <c r="AB4552" s="102"/>
      <c r="AC4552" s="81" t="e">
        <f t="shared" si="217"/>
        <v>#DIV/0!</v>
      </c>
      <c r="AD4552" s="82">
        <f t="shared" si="218"/>
        <v>0</v>
      </c>
      <c r="AE4552" s="218"/>
      <c r="AH4552" t="str">
        <f t="shared" si="216"/>
        <v>0000</v>
      </c>
      <c r="AJ4552" s="72"/>
      <c r="AK4552" s="72"/>
      <c r="AL4552" s="72"/>
      <c r="AM4552" s="72"/>
    </row>
    <row r="4553" spans="1:39" x14ac:dyDescent="0.25">
      <c r="A4553" s="37" t="s">
        <v>62</v>
      </c>
      <c r="B4553" s="66"/>
      <c r="C4553" s="4"/>
      <c r="D4553" s="41"/>
      <c r="E4553" s="41"/>
      <c r="F4553" s="85"/>
      <c r="G4553" s="39"/>
      <c r="H4553" s="52"/>
      <c r="I4553" s="52"/>
      <c r="J4553" s="49"/>
      <c r="K4553" s="58"/>
      <c r="L4553" s="58"/>
      <c r="M4553" s="58"/>
      <c r="N4553" s="58"/>
      <c r="O4553" s="58"/>
      <c r="P4553" s="53"/>
      <c r="Q4553" s="65"/>
      <c r="R4553" s="65"/>
      <c r="S4553" s="65"/>
      <c r="T4553" s="65"/>
      <c r="U4553" s="58"/>
      <c r="V4553" s="65"/>
      <c r="W4553" s="65"/>
      <c r="X4553" s="65"/>
      <c r="Y4553" s="65"/>
      <c r="Z4553" s="51"/>
      <c r="AA4553" s="51"/>
      <c r="AB4553" s="102"/>
      <c r="AC4553" s="81" t="e">
        <f t="shared" si="217"/>
        <v>#DIV/0!</v>
      </c>
      <c r="AD4553" s="82">
        <f t="shared" si="218"/>
        <v>0</v>
      </c>
      <c r="AE4553" s="218"/>
      <c r="AH4553" t="str">
        <f t="shared" si="216"/>
        <v>0000</v>
      </c>
      <c r="AJ4553" s="72"/>
      <c r="AK4553" s="72"/>
      <c r="AL4553" s="72"/>
      <c r="AM4553" s="72"/>
    </row>
    <row r="4554" spans="1:39" x14ac:dyDescent="0.25">
      <c r="A4554" s="37" t="s">
        <v>62</v>
      </c>
      <c r="B4554" s="66"/>
      <c r="C4554" s="4"/>
      <c r="D4554" s="41"/>
      <c r="E4554" s="41"/>
      <c r="F4554" s="85"/>
      <c r="G4554" s="39"/>
      <c r="H4554" s="52"/>
      <c r="I4554" s="52"/>
      <c r="J4554" s="49"/>
      <c r="K4554" s="58"/>
      <c r="L4554" s="58"/>
      <c r="M4554" s="58"/>
      <c r="N4554" s="58"/>
      <c r="O4554" s="58"/>
      <c r="P4554" s="53"/>
      <c r="Q4554" s="65"/>
      <c r="R4554" s="65"/>
      <c r="S4554" s="65"/>
      <c r="T4554" s="65"/>
      <c r="U4554" s="58"/>
      <c r="V4554" s="65"/>
      <c r="W4554" s="65"/>
      <c r="X4554" s="65"/>
      <c r="Y4554" s="65"/>
      <c r="Z4554" s="51"/>
      <c r="AA4554" s="51"/>
      <c r="AB4554" s="102"/>
      <c r="AC4554" s="81" t="e">
        <f t="shared" si="217"/>
        <v>#DIV/0!</v>
      </c>
      <c r="AD4554" s="82">
        <f t="shared" si="218"/>
        <v>0</v>
      </c>
      <c r="AE4554" s="218"/>
      <c r="AH4554" t="str">
        <f t="shared" si="216"/>
        <v>0000</v>
      </c>
      <c r="AJ4554" s="72"/>
      <c r="AK4554" s="72"/>
      <c r="AL4554" s="72"/>
      <c r="AM4554" s="72"/>
    </row>
    <row r="4555" spans="1:39" x14ac:dyDescent="0.25">
      <c r="A4555" s="37" t="s">
        <v>62</v>
      </c>
      <c r="B4555" s="66"/>
      <c r="C4555" s="4"/>
      <c r="D4555" s="41"/>
      <c r="E4555" s="41"/>
      <c r="F4555" s="85"/>
      <c r="G4555" s="39"/>
      <c r="H4555" s="52"/>
      <c r="I4555" s="52"/>
      <c r="J4555" s="49"/>
      <c r="K4555" s="58"/>
      <c r="L4555" s="58"/>
      <c r="M4555" s="58"/>
      <c r="N4555" s="58"/>
      <c r="O4555" s="58"/>
      <c r="P4555" s="53"/>
      <c r="Q4555" s="65"/>
      <c r="R4555" s="65"/>
      <c r="S4555" s="65"/>
      <c r="T4555" s="65"/>
      <c r="U4555" s="58"/>
      <c r="V4555" s="65"/>
      <c r="W4555" s="65"/>
      <c r="X4555" s="65"/>
      <c r="Y4555" s="65"/>
      <c r="Z4555" s="51"/>
      <c r="AA4555" s="51"/>
      <c r="AB4555" s="102"/>
      <c r="AC4555" s="81" t="e">
        <f t="shared" si="217"/>
        <v>#DIV/0!</v>
      </c>
      <c r="AD4555" s="82">
        <f t="shared" si="218"/>
        <v>0</v>
      </c>
      <c r="AE4555" s="218"/>
      <c r="AH4555" t="str">
        <f t="shared" si="216"/>
        <v>0000</v>
      </c>
      <c r="AJ4555" s="72"/>
      <c r="AK4555" s="72"/>
      <c r="AL4555" s="72"/>
      <c r="AM4555" s="72"/>
    </row>
    <row r="4556" spans="1:39" x14ac:dyDescent="0.25">
      <c r="A4556" s="37" t="s">
        <v>62</v>
      </c>
      <c r="B4556" s="66"/>
      <c r="C4556" s="4"/>
      <c r="D4556" s="41"/>
      <c r="E4556" s="41"/>
      <c r="F4556" s="85"/>
      <c r="G4556" s="39"/>
      <c r="H4556" s="52"/>
      <c r="I4556" s="52"/>
      <c r="J4556" s="49"/>
      <c r="K4556" s="58"/>
      <c r="L4556" s="58"/>
      <c r="M4556" s="58"/>
      <c r="N4556" s="58"/>
      <c r="O4556" s="58"/>
      <c r="P4556" s="53"/>
      <c r="Q4556" s="65"/>
      <c r="R4556" s="65"/>
      <c r="S4556" s="65"/>
      <c r="T4556" s="65"/>
      <c r="U4556" s="58"/>
      <c r="V4556" s="65"/>
      <c r="W4556" s="65"/>
      <c r="X4556" s="65"/>
      <c r="Y4556" s="65"/>
      <c r="Z4556" s="51"/>
      <c r="AA4556" s="51"/>
      <c r="AB4556" s="102"/>
      <c r="AC4556" s="81" t="e">
        <f t="shared" si="217"/>
        <v>#DIV/0!</v>
      </c>
      <c r="AD4556" s="82">
        <f t="shared" si="218"/>
        <v>0</v>
      </c>
      <c r="AE4556" s="218"/>
      <c r="AH4556" t="str">
        <f t="shared" si="216"/>
        <v>0000</v>
      </c>
      <c r="AJ4556" s="72"/>
      <c r="AK4556" s="72"/>
      <c r="AL4556" s="72"/>
      <c r="AM4556" s="72"/>
    </row>
    <row r="4557" spans="1:39" x14ac:dyDescent="0.25">
      <c r="A4557" s="37" t="s">
        <v>62</v>
      </c>
      <c r="B4557" s="66"/>
      <c r="C4557" s="4"/>
      <c r="D4557" s="41"/>
      <c r="E4557" s="41"/>
      <c r="F4557" s="85"/>
      <c r="G4557" s="39"/>
      <c r="H4557" s="52"/>
      <c r="I4557" s="52"/>
      <c r="J4557" s="49"/>
      <c r="K4557" s="58"/>
      <c r="L4557" s="58"/>
      <c r="M4557" s="58"/>
      <c r="N4557" s="58"/>
      <c r="O4557" s="58"/>
      <c r="P4557" s="53"/>
      <c r="Q4557" s="65"/>
      <c r="R4557" s="65"/>
      <c r="S4557" s="65"/>
      <c r="T4557" s="65"/>
      <c r="U4557" s="58"/>
      <c r="V4557" s="65"/>
      <c r="W4557" s="65"/>
      <c r="X4557" s="65"/>
      <c r="Y4557" s="65"/>
      <c r="Z4557" s="51"/>
      <c r="AA4557" s="51"/>
      <c r="AB4557" s="102"/>
      <c r="AC4557" s="81" t="e">
        <f t="shared" si="217"/>
        <v>#DIV/0!</v>
      </c>
      <c r="AD4557" s="82">
        <f t="shared" si="218"/>
        <v>0</v>
      </c>
      <c r="AE4557" s="218"/>
      <c r="AH4557" t="str">
        <f t="shared" si="216"/>
        <v>0000</v>
      </c>
      <c r="AJ4557" s="72"/>
      <c r="AK4557" s="72"/>
      <c r="AL4557" s="72"/>
      <c r="AM4557" s="72"/>
    </row>
    <row r="4558" spans="1:39" x14ac:dyDescent="0.25">
      <c r="A4558" s="37" t="s">
        <v>62</v>
      </c>
      <c r="B4558" s="66"/>
      <c r="C4558" s="4"/>
      <c r="D4558" s="41"/>
      <c r="E4558" s="41"/>
      <c r="F4558" s="85"/>
      <c r="G4558" s="39"/>
      <c r="H4558" s="52"/>
      <c r="I4558" s="52"/>
      <c r="J4558" s="49"/>
      <c r="K4558" s="58"/>
      <c r="L4558" s="58"/>
      <c r="M4558" s="58"/>
      <c r="N4558" s="58"/>
      <c r="O4558" s="58"/>
      <c r="P4558" s="53"/>
      <c r="Q4558" s="65"/>
      <c r="R4558" s="65"/>
      <c r="S4558" s="65"/>
      <c r="T4558" s="65"/>
      <c r="U4558" s="58"/>
      <c r="V4558" s="65"/>
      <c r="W4558" s="65"/>
      <c r="X4558" s="65"/>
      <c r="Y4558" s="65"/>
      <c r="Z4558" s="51"/>
      <c r="AA4558" s="51"/>
      <c r="AB4558" s="102"/>
      <c r="AC4558" s="81" t="e">
        <f t="shared" si="217"/>
        <v>#DIV/0!</v>
      </c>
      <c r="AD4558" s="82">
        <f t="shared" si="218"/>
        <v>0</v>
      </c>
      <c r="AE4558" s="218"/>
      <c r="AH4558" t="str">
        <f t="shared" si="216"/>
        <v>0000</v>
      </c>
      <c r="AJ4558" s="72"/>
      <c r="AK4558" s="72"/>
      <c r="AL4558" s="72"/>
      <c r="AM4558" s="72"/>
    </row>
    <row r="4559" spans="1:39" x14ac:dyDescent="0.25">
      <c r="A4559" s="37" t="s">
        <v>62</v>
      </c>
      <c r="B4559" s="66"/>
      <c r="C4559" s="4"/>
      <c r="D4559" s="41"/>
      <c r="E4559" s="41"/>
      <c r="F4559" s="85"/>
      <c r="G4559" s="39"/>
      <c r="H4559" s="52"/>
      <c r="I4559" s="52"/>
      <c r="J4559" s="49"/>
      <c r="K4559" s="58"/>
      <c r="L4559" s="58"/>
      <c r="M4559" s="58"/>
      <c r="N4559" s="58"/>
      <c r="O4559" s="58"/>
      <c r="P4559" s="53"/>
      <c r="Q4559" s="65"/>
      <c r="R4559" s="65"/>
      <c r="S4559" s="65"/>
      <c r="T4559" s="65"/>
      <c r="U4559" s="58"/>
      <c r="V4559" s="65"/>
      <c r="W4559" s="65"/>
      <c r="X4559" s="65"/>
      <c r="Y4559" s="65"/>
      <c r="Z4559" s="51"/>
      <c r="AA4559" s="51"/>
      <c r="AB4559" s="102"/>
      <c r="AC4559" s="81" t="e">
        <f t="shared" si="217"/>
        <v>#DIV/0!</v>
      </c>
      <c r="AD4559" s="82">
        <f t="shared" si="218"/>
        <v>0</v>
      </c>
      <c r="AE4559" s="218"/>
      <c r="AH4559" t="str">
        <f t="shared" si="216"/>
        <v>0000</v>
      </c>
      <c r="AJ4559" s="72"/>
      <c r="AK4559" s="72"/>
      <c r="AL4559" s="72"/>
      <c r="AM4559" s="72"/>
    </row>
    <row r="4560" spans="1:39" x14ac:dyDescent="0.25">
      <c r="A4560" s="37" t="s">
        <v>62</v>
      </c>
      <c r="B4560" s="66"/>
      <c r="C4560" s="4"/>
      <c r="D4560" s="41"/>
      <c r="E4560" s="41"/>
      <c r="F4560" s="85"/>
      <c r="G4560" s="39"/>
      <c r="H4560" s="52"/>
      <c r="I4560" s="52"/>
      <c r="J4560" s="49"/>
      <c r="K4560" s="58"/>
      <c r="L4560" s="58"/>
      <c r="M4560" s="58"/>
      <c r="N4560" s="58"/>
      <c r="O4560" s="58"/>
      <c r="P4560" s="53"/>
      <c r="Q4560" s="65"/>
      <c r="R4560" s="65"/>
      <c r="S4560" s="65"/>
      <c r="T4560" s="65"/>
      <c r="U4560" s="58"/>
      <c r="V4560" s="65"/>
      <c r="W4560" s="65"/>
      <c r="X4560" s="65"/>
      <c r="Y4560" s="65"/>
      <c r="Z4560" s="51"/>
      <c r="AA4560" s="51"/>
      <c r="AB4560" s="102"/>
      <c r="AC4560" s="81" t="e">
        <f t="shared" si="217"/>
        <v>#DIV/0!</v>
      </c>
      <c r="AD4560" s="82">
        <f t="shared" si="218"/>
        <v>0</v>
      </c>
      <c r="AE4560" s="218"/>
      <c r="AH4560" t="str">
        <f t="shared" si="216"/>
        <v>0000</v>
      </c>
      <c r="AJ4560" s="72"/>
      <c r="AK4560" s="72"/>
      <c r="AL4560" s="72"/>
      <c r="AM4560" s="72"/>
    </row>
    <row r="4561" spans="1:39" x14ac:dyDescent="0.25">
      <c r="A4561" s="37" t="s">
        <v>62</v>
      </c>
      <c r="B4561" s="66"/>
      <c r="C4561" s="4"/>
      <c r="D4561" s="41"/>
      <c r="E4561" s="41"/>
      <c r="F4561" s="85"/>
      <c r="G4561" s="39"/>
      <c r="H4561" s="52"/>
      <c r="I4561" s="52"/>
      <c r="J4561" s="49"/>
      <c r="K4561" s="58"/>
      <c r="L4561" s="58"/>
      <c r="M4561" s="58"/>
      <c r="N4561" s="58"/>
      <c r="O4561" s="58"/>
      <c r="P4561" s="53"/>
      <c r="Q4561" s="65"/>
      <c r="R4561" s="65"/>
      <c r="S4561" s="65"/>
      <c r="T4561" s="65"/>
      <c r="U4561" s="58"/>
      <c r="V4561" s="65"/>
      <c r="W4561" s="65"/>
      <c r="X4561" s="65"/>
      <c r="Y4561" s="65"/>
      <c r="Z4561" s="51"/>
      <c r="AA4561" s="51"/>
      <c r="AB4561" s="102"/>
      <c r="AC4561" s="81" t="e">
        <f t="shared" si="217"/>
        <v>#DIV/0!</v>
      </c>
      <c r="AD4561" s="82">
        <f t="shared" si="218"/>
        <v>0</v>
      </c>
      <c r="AE4561" s="218"/>
      <c r="AH4561" t="str">
        <f t="shared" si="216"/>
        <v>0000</v>
      </c>
      <c r="AJ4561" s="72"/>
      <c r="AK4561" s="72"/>
      <c r="AL4561" s="72"/>
      <c r="AM4561" s="72"/>
    </row>
    <row r="4562" spans="1:39" x14ac:dyDescent="0.25">
      <c r="A4562" s="37" t="s">
        <v>62</v>
      </c>
      <c r="B4562" s="66"/>
      <c r="C4562" s="4"/>
      <c r="D4562" s="41"/>
      <c r="E4562" s="41"/>
      <c r="F4562" s="85"/>
      <c r="G4562" s="39"/>
      <c r="H4562" s="52"/>
      <c r="I4562" s="52"/>
      <c r="J4562" s="49"/>
      <c r="K4562" s="58"/>
      <c r="L4562" s="58"/>
      <c r="M4562" s="58"/>
      <c r="N4562" s="58"/>
      <c r="O4562" s="58"/>
      <c r="P4562" s="53"/>
      <c r="Q4562" s="65"/>
      <c r="R4562" s="65"/>
      <c r="S4562" s="65"/>
      <c r="T4562" s="65"/>
      <c r="U4562" s="58"/>
      <c r="V4562" s="65"/>
      <c r="W4562" s="65"/>
      <c r="X4562" s="65"/>
      <c r="Y4562" s="65"/>
      <c r="Z4562" s="51"/>
      <c r="AA4562" s="51"/>
      <c r="AB4562" s="102"/>
      <c r="AC4562" s="81" t="e">
        <f t="shared" si="217"/>
        <v>#DIV/0!</v>
      </c>
      <c r="AD4562" s="82">
        <f t="shared" si="218"/>
        <v>0</v>
      </c>
      <c r="AE4562" s="218"/>
      <c r="AH4562" t="str">
        <f t="shared" si="216"/>
        <v>0000</v>
      </c>
      <c r="AJ4562" s="72"/>
      <c r="AK4562" s="72"/>
      <c r="AL4562" s="72"/>
      <c r="AM4562" s="72"/>
    </row>
    <row r="4563" spans="1:39" x14ac:dyDescent="0.25">
      <c r="A4563" s="37" t="s">
        <v>62</v>
      </c>
      <c r="B4563" s="66"/>
      <c r="C4563" s="4"/>
      <c r="D4563" s="41"/>
      <c r="E4563" s="41"/>
      <c r="F4563" s="85"/>
      <c r="G4563" s="39"/>
      <c r="H4563" s="52"/>
      <c r="I4563" s="52"/>
      <c r="J4563" s="49"/>
      <c r="K4563" s="58"/>
      <c r="L4563" s="58"/>
      <c r="M4563" s="58"/>
      <c r="N4563" s="58"/>
      <c r="O4563" s="58"/>
      <c r="P4563" s="53"/>
      <c r="Q4563" s="65"/>
      <c r="R4563" s="65"/>
      <c r="S4563" s="65"/>
      <c r="T4563" s="65"/>
      <c r="U4563" s="58"/>
      <c r="V4563" s="65"/>
      <c r="W4563" s="65"/>
      <c r="X4563" s="65"/>
      <c r="Y4563" s="65"/>
      <c r="Z4563" s="51"/>
      <c r="AA4563" s="51"/>
      <c r="AB4563" s="102"/>
      <c r="AC4563" s="81" t="e">
        <f t="shared" si="217"/>
        <v>#DIV/0!</v>
      </c>
      <c r="AD4563" s="82">
        <f t="shared" si="218"/>
        <v>0</v>
      </c>
      <c r="AE4563" s="218"/>
      <c r="AH4563" t="str">
        <f t="shared" si="216"/>
        <v>0000</v>
      </c>
      <c r="AJ4563" s="72"/>
      <c r="AK4563" s="72"/>
      <c r="AL4563" s="72"/>
      <c r="AM4563" s="72"/>
    </row>
    <row r="4564" spans="1:39" x14ac:dyDescent="0.25">
      <c r="A4564" s="37" t="s">
        <v>62</v>
      </c>
      <c r="B4564" s="66"/>
      <c r="C4564" s="4"/>
      <c r="D4564" s="41"/>
      <c r="E4564" s="41"/>
      <c r="F4564" s="85"/>
      <c r="G4564" s="39"/>
      <c r="H4564" s="52"/>
      <c r="I4564" s="52"/>
      <c r="J4564" s="49"/>
      <c r="K4564" s="58"/>
      <c r="L4564" s="58"/>
      <c r="M4564" s="58"/>
      <c r="N4564" s="58"/>
      <c r="O4564" s="58"/>
      <c r="P4564" s="53"/>
      <c r="Q4564" s="65"/>
      <c r="R4564" s="65"/>
      <c r="S4564" s="65"/>
      <c r="T4564" s="65"/>
      <c r="U4564" s="58"/>
      <c r="V4564" s="65"/>
      <c r="W4564" s="65"/>
      <c r="X4564" s="65"/>
      <c r="Y4564" s="65"/>
      <c r="Z4564" s="51"/>
      <c r="AA4564" s="51"/>
      <c r="AB4564" s="102"/>
      <c r="AC4564" s="81" t="e">
        <f t="shared" si="217"/>
        <v>#DIV/0!</v>
      </c>
      <c r="AD4564" s="82">
        <f t="shared" si="218"/>
        <v>0</v>
      </c>
      <c r="AE4564" s="218"/>
      <c r="AH4564" t="str">
        <f t="shared" si="216"/>
        <v>0000</v>
      </c>
      <c r="AJ4564" s="72"/>
      <c r="AK4564" s="72"/>
      <c r="AL4564" s="72"/>
      <c r="AM4564" s="72"/>
    </row>
    <row r="4565" spans="1:39" x14ac:dyDescent="0.25">
      <c r="A4565" s="37" t="s">
        <v>62</v>
      </c>
      <c r="B4565" s="66"/>
      <c r="C4565" s="4"/>
      <c r="D4565" s="41"/>
      <c r="E4565" s="41"/>
      <c r="F4565" s="85"/>
      <c r="G4565" s="39"/>
      <c r="H4565" s="52"/>
      <c r="I4565" s="52"/>
      <c r="J4565" s="49"/>
      <c r="K4565" s="58"/>
      <c r="L4565" s="58"/>
      <c r="M4565" s="58"/>
      <c r="N4565" s="58"/>
      <c r="O4565" s="58"/>
      <c r="P4565" s="53"/>
      <c r="Q4565" s="65"/>
      <c r="R4565" s="65"/>
      <c r="S4565" s="65"/>
      <c r="T4565" s="65"/>
      <c r="U4565" s="58"/>
      <c r="V4565" s="65"/>
      <c r="W4565" s="65"/>
      <c r="X4565" s="65"/>
      <c r="Y4565" s="65"/>
      <c r="Z4565" s="51"/>
      <c r="AA4565" s="51"/>
      <c r="AB4565" s="102"/>
      <c r="AC4565" s="81" t="e">
        <f t="shared" si="217"/>
        <v>#DIV/0!</v>
      </c>
      <c r="AD4565" s="82">
        <f t="shared" si="218"/>
        <v>0</v>
      </c>
      <c r="AE4565" s="218"/>
      <c r="AH4565" t="str">
        <f t="shared" si="216"/>
        <v>0000</v>
      </c>
      <c r="AJ4565" s="72"/>
      <c r="AK4565" s="72"/>
      <c r="AL4565" s="72"/>
      <c r="AM4565" s="72"/>
    </row>
    <row r="4566" spans="1:39" x14ac:dyDescent="0.25">
      <c r="A4566" s="37" t="s">
        <v>62</v>
      </c>
      <c r="B4566" s="66"/>
      <c r="C4566" s="4"/>
      <c r="D4566" s="41"/>
      <c r="E4566" s="41"/>
      <c r="F4566" s="85"/>
      <c r="G4566" s="39"/>
      <c r="H4566" s="52"/>
      <c r="I4566" s="52"/>
      <c r="J4566" s="49"/>
      <c r="K4566" s="58"/>
      <c r="L4566" s="58"/>
      <c r="M4566" s="58"/>
      <c r="N4566" s="58"/>
      <c r="O4566" s="58"/>
      <c r="P4566" s="53"/>
      <c r="Q4566" s="65"/>
      <c r="R4566" s="65"/>
      <c r="S4566" s="65"/>
      <c r="T4566" s="65"/>
      <c r="U4566" s="58"/>
      <c r="V4566" s="65"/>
      <c r="W4566" s="65"/>
      <c r="X4566" s="65"/>
      <c r="Y4566" s="65"/>
      <c r="Z4566" s="51"/>
      <c r="AA4566" s="51"/>
      <c r="AB4566" s="102"/>
      <c r="AC4566" s="81" t="e">
        <f t="shared" si="217"/>
        <v>#DIV/0!</v>
      </c>
      <c r="AD4566" s="82">
        <f t="shared" si="218"/>
        <v>0</v>
      </c>
      <c r="AE4566" s="218"/>
      <c r="AH4566" t="str">
        <f t="shared" si="216"/>
        <v>0000</v>
      </c>
      <c r="AJ4566" s="72"/>
      <c r="AK4566" s="72"/>
      <c r="AL4566" s="72"/>
      <c r="AM4566" s="72"/>
    </row>
    <row r="4567" spans="1:39" x14ac:dyDescent="0.25">
      <c r="A4567" s="37" t="s">
        <v>62</v>
      </c>
      <c r="B4567" s="66"/>
      <c r="C4567" s="4"/>
      <c r="D4567" s="41"/>
      <c r="E4567" s="41"/>
      <c r="F4567" s="85"/>
      <c r="G4567" s="39"/>
      <c r="H4567" s="52"/>
      <c r="I4567" s="52"/>
      <c r="J4567" s="49"/>
      <c r="K4567" s="58"/>
      <c r="L4567" s="58"/>
      <c r="M4567" s="58"/>
      <c r="N4567" s="58"/>
      <c r="O4567" s="58"/>
      <c r="P4567" s="53"/>
      <c r="Q4567" s="65"/>
      <c r="R4567" s="65"/>
      <c r="S4567" s="65"/>
      <c r="T4567" s="65"/>
      <c r="U4567" s="58"/>
      <c r="V4567" s="65"/>
      <c r="W4567" s="65"/>
      <c r="X4567" s="65"/>
      <c r="Y4567" s="65"/>
      <c r="Z4567" s="51"/>
      <c r="AA4567" s="51"/>
      <c r="AB4567" s="102"/>
      <c r="AC4567" s="81" t="e">
        <f t="shared" si="217"/>
        <v>#DIV/0!</v>
      </c>
      <c r="AD4567" s="82">
        <f t="shared" si="218"/>
        <v>0</v>
      </c>
      <c r="AE4567" s="218"/>
      <c r="AH4567" t="str">
        <f t="shared" si="216"/>
        <v>0000</v>
      </c>
      <c r="AJ4567" s="72"/>
      <c r="AK4567" s="72"/>
      <c r="AL4567" s="72"/>
      <c r="AM4567" s="72"/>
    </row>
    <row r="4568" spans="1:39" x14ac:dyDescent="0.25">
      <c r="A4568" s="37" t="s">
        <v>62</v>
      </c>
      <c r="B4568" s="66"/>
      <c r="C4568" s="4"/>
      <c r="D4568" s="41"/>
      <c r="E4568" s="41"/>
      <c r="F4568" s="85"/>
      <c r="G4568" s="39"/>
      <c r="H4568" s="52"/>
      <c r="I4568" s="52"/>
      <c r="J4568" s="49"/>
      <c r="K4568" s="58"/>
      <c r="L4568" s="58"/>
      <c r="M4568" s="58"/>
      <c r="N4568" s="58"/>
      <c r="O4568" s="58"/>
      <c r="P4568" s="53"/>
      <c r="Q4568" s="65"/>
      <c r="R4568" s="65"/>
      <c r="S4568" s="65"/>
      <c r="T4568" s="65"/>
      <c r="U4568" s="58"/>
      <c r="V4568" s="65"/>
      <c r="W4568" s="65"/>
      <c r="X4568" s="65"/>
      <c r="Y4568" s="65"/>
      <c r="Z4568" s="51"/>
      <c r="AA4568" s="51"/>
      <c r="AB4568" s="102"/>
      <c r="AC4568" s="81" t="e">
        <f t="shared" si="217"/>
        <v>#DIV/0!</v>
      </c>
      <c r="AD4568" s="82">
        <f t="shared" si="218"/>
        <v>0</v>
      </c>
      <c r="AE4568" s="218"/>
      <c r="AH4568" t="str">
        <f t="shared" si="216"/>
        <v>0000</v>
      </c>
      <c r="AJ4568" s="72"/>
      <c r="AK4568" s="72"/>
      <c r="AL4568" s="72"/>
      <c r="AM4568" s="72"/>
    </row>
    <row r="4569" spans="1:39" x14ac:dyDescent="0.25">
      <c r="A4569" s="37" t="s">
        <v>62</v>
      </c>
      <c r="B4569" s="66"/>
      <c r="C4569" s="4"/>
      <c r="D4569" s="41"/>
      <c r="E4569" s="41"/>
      <c r="F4569" s="85"/>
      <c r="G4569" s="39"/>
      <c r="H4569" s="52"/>
      <c r="I4569" s="52"/>
      <c r="J4569" s="49"/>
      <c r="K4569" s="58"/>
      <c r="L4569" s="58"/>
      <c r="M4569" s="58"/>
      <c r="N4569" s="58"/>
      <c r="O4569" s="58"/>
      <c r="P4569" s="53"/>
      <c r="Q4569" s="65"/>
      <c r="R4569" s="65"/>
      <c r="S4569" s="65"/>
      <c r="T4569" s="65"/>
      <c r="U4569" s="58"/>
      <c r="V4569" s="65"/>
      <c r="W4569" s="65"/>
      <c r="X4569" s="65"/>
      <c r="Y4569" s="65"/>
      <c r="Z4569" s="51"/>
      <c r="AA4569" s="51"/>
      <c r="AB4569" s="102"/>
      <c r="AC4569" s="81" t="e">
        <f t="shared" si="217"/>
        <v>#DIV/0!</v>
      </c>
      <c r="AD4569" s="82">
        <f t="shared" si="218"/>
        <v>0</v>
      </c>
      <c r="AE4569" s="218"/>
      <c r="AH4569" t="str">
        <f t="shared" si="216"/>
        <v>0000</v>
      </c>
      <c r="AJ4569" s="72"/>
      <c r="AK4569" s="72"/>
      <c r="AL4569" s="72"/>
      <c r="AM4569" s="72"/>
    </row>
    <row r="4570" spans="1:39" x14ac:dyDescent="0.25">
      <c r="A4570" s="37" t="s">
        <v>62</v>
      </c>
      <c r="B4570" s="66"/>
      <c r="C4570" s="4"/>
      <c r="D4570" s="41"/>
      <c r="E4570" s="41"/>
      <c r="F4570" s="85"/>
      <c r="G4570" s="39"/>
      <c r="H4570" s="52"/>
      <c r="I4570" s="52"/>
      <c r="J4570" s="49"/>
      <c r="K4570" s="58"/>
      <c r="L4570" s="58"/>
      <c r="M4570" s="58"/>
      <c r="N4570" s="58"/>
      <c r="O4570" s="58"/>
      <c r="P4570" s="53"/>
      <c r="Q4570" s="65"/>
      <c r="R4570" s="65"/>
      <c r="S4570" s="65"/>
      <c r="T4570" s="65"/>
      <c r="U4570" s="58"/>
      <c r="V4570" s="65"/>
      <c r="W4570" s="65"/>
      <c r="X4570" s="65"/>
      <c r="Y4570" s="65"/>
      <c r="Z4570" s="51"/>
      <c r="AA4570" s="51"/>
      <c r="AB4570" s="102"/>
      <c r="AC4570" s="81" t="e">
        <f t="shared" si="217"/>
        <v>#DIV/0!</v>
      </c>
      <c r="AD4570" s="82">
        <f t="shared" si="218"/>
        <v>0</v>
      </c>
      <c r="AE4570" s="218"/>
      <c r="AH4570" t="str">
        <f t="shared" si="216"/>
        <v>0000</v>
      </c>
      <c r="AJ4570" s="72"/>
      <c r="AK4570" s="72"/>
      <c r="AL4570" s="72"/>
      <c r="AM4570" s="72"/>
    </row>
    <row r="4571" spans="1:39" x14ac:dyDescent="0.25">
      <c r="A4571" s="37" t="s">
        <v>62</v>
      </c>
      <c r="B4571" s="66"/>
      <c r="C4571" s="4"/>
      <c r="D4571" s="41"/>
      <c r="E4571" s="41"/>
      <c r="F4571" s="85"/>
      <c r="G4571" s="39"/>
      <c r="H4571" s="52"/>
      <c r="I4571" s="52"/>
      <c r="J4571" s="49"/>
      <c r="K4571" s="58"/>
      <c r="L4571" s="58"/>
      <c r="M4571" s="58"/>
      <c r="N4571" s="58"/>
      <c r="O4571" s="58"/>
      <c r="P4571" s="53"/>
      <c r="Q4571" s="65"/>
      <c r="R4571" s="65"/>
      <c r="S4571" s="65"/>
      <c r="T4571" s="65"/>
      <c r="U4571" s="58"/>
      <c r="V4571" s="65"/>
      <c r="W4571" s="65"/>
      <c r="X4571" s="65"/>
      <c r="Y4571" s="65"/>
      <c r="Z4571" s="51"/>
      <c r="AA4571" s="51"/>
      <c r="AB4571" s="102"/>
      <c r="AC4571" s="81" t="e">
        <f t="shared" si="217"/>
        <v>#DIV/0!</v>
      </c>
      <c r="AD4571" s="82">
        <f t="shared" si="218"/>
        <v>0</v>
      </c>
      <c r="AE4571" s="218"/>
      <c r="AH4571" t="str">
        <f t="shared" si="216"/>
        <v>0000</v>
      </c>
      <c r="AJ4571" s="72"/>
      <c r="AK4571" s="72"/>
      <c r="AL4571" s="72"/>
      <c r="AM4571" s="72"/>
    </row>
    <row r="4572" spans="1:39" x14ac:dyDescent="0.25">
      <c r="A4572" s="37" t="s">
        <v>62</v>
      </c>
      <c r="B4572" s="66"/>
      <c r="C4572" s="4"/>
      <c r="D4572" s="41"/>
      <c r="E4572" s="41"/>
      <c r="F4572" s="85"/>
      <c r="G4572" s="39"/>
      <c r="H4572" s="52"/>
      <c r="I4572" s="52"/>
      <c r="J4572" s="49"/>
      <c r="K4572" s="58"/>
      <c r="L4572" s="58"/>
      <c r="M4572" s="58"/>
      <c r="N4572" s="58"/>
      <c r="O4572" s="58"/>
      <c r="P4572" s="53"/>
      <c r="Q4572" s="65"/>
      <c r="R4572" s="65"/>
      <c r="S4572" s="65"/>
      <c r="T4572" s="65"/>
      <c r="U4572" s="58"/>
      <c r="V4572" s="65"/>
      <c r="W4572" s="65"/>
      <c r="X4572" s="65"/>
      <c r="Y4572" s="65"/>
      <c r="Z4572" s="51"/>
      <c r="AA4572" s="51"/>
      <c r="AB4572" s="102"/>
      <c r="AC4572" s="81" t="e">
        <f t="shared" si="217"/>
        <v>#DIV/0!</v>
      </c>
      <c r="AD4572" s="82">
        <f t="shared" si="218"/>
        <v>0</v>
      </c>
      <c r="AE4572" s="218"/>
      <c r="AH4572" t="str">
        <f t="shared" si="216"/>
        <v>0000</v>
      </c>
      <c r="AJ4572" s="72"/>
      <c r="AK4572" s="72"/>
      <c r="AL4572" s="72"/>
      <c r="AM4572" s="72"/>
    </row>
    <row r="4573" spans="1:39" x14ac:dyDescent="0.25">
      <c r="A4573" s="37" t="s">
        <v>62</v>
      </c>
      <c r="B4573" s="66"/>
      <c r="C4573" s="4"/>
      <c r="D4573" s="41"/>
      <c r="E4573" s="41"/>
      <c r="F4573" s="85"/>
      <c r="G4573" s="39"/>
      <c r="H4573" s="52"/>
      <c r="I4573" s="52"/>
      <c r="J4573" s="49"/>
      <c r="K4573" s="58"/>
      <c r="L4573" s="58"/>
      <c r="M4573" s="58"/>
      <c r="N4573" s="58"/>
      <c r="O4573" s="58"/>
      <c r="P4573" s="53"/>
      <c r="Q4573" s="65"/>
      <c r="R4573" s="65"/>
      <c r="S4573" s="65"/>
      <c r="T4573" s="65"/>
      <c r="U4573" s="58"/>
      <c r="V4573" s="65"/>
      <c r="W4573" s="65"/>
      <c r="X4573" s="65"/>
      <c r="Y4573" s="65"/>
      <c r="Z4573" s="51"/>
      <c r="AA4573" s="51"/>
      <c r="AB4573" s="102"/>
      <c r="AC4573" s="81" t="e">
        <f t="shared" si="217"/>
        <v>#DIV/0!</v>
      </c>
      <c r="AD4573" s="82">
        <f t="shared" si="218"/>
        <v>0</v>
      </c>
      <c r="AE4573" s="218"/>
      <c r="AH4573" t="str">
        <f t="shared" si="216"/>
        <v>0000</v>
      </c>
      <c r="AJ4573" s="72"/>
      <c r="AK4573" s="72"/>
      <c r="AL4573" s="72"/>
      <c r="AM4573" s="72"/>
    </row>
    <row r="4574" spans="1:39" x14ac:dyDescent="0.25">
      <c r="A4574" s="37" t="s">
        <v>62</v>
      </c>
      <c r="B4574" s="66"/>
      <c r="C4574" s="4"/>
      <c r="D4574" s="41"/>
      <c r="E4574" s="41"/>
      <c r="F4574" s="85"/>
      <c r="G4574" s="39"/>
      <c r="H4574" s="52"/>
      <c r="I4574" s="52"/>
      <c r="J4574" s="49"/>
      <c r="K4574" s="58"/>
      <c r="L4574" s="58"/>
      <c r="M4574" s="58"/>
      <c r="N4574" s="58"/>
      <c r="O4574" s="58"/>
      <c r="P4574" s="53"/>
      <c r="Q4574" s="65"/>
      <c r="R4574" s="65"/>
      <c r="S4574" s="65"/>
      <c r="T4574" s="65"/>
      <c r="U4574" s="58"/>
      <c r="V4574" s="65"/>
      <c r="W4574" s="65"/>
      <c r="X4574" s="65"/>
      <c r="Y4574" s="65"/>
      <c r="Z4574" s="51"/>
      <c r="AA4574" s="51"/>
      <c r="AB4574" s="102"/>
      <c r="AC4574" s="81" t="e">
        <f t="shared" si="217"/>
        <v>#DIV/0!</v>
      </c>
      <c r="AD4574" s="82">
        <f t="shared" si="218"/>
        <v>0</v>
      </c>
      <c r="AE4574" s="218"/>
      <c r="AH4574" t="str">
        <f t="shared" si="216"/>
        <v>0000</v>
      </c>
      <c r="AJ4574" s="72"/>
      <c r="AK4574" s="72"/>
      <c r="AL4574" s="72"/>
      <c r="AM4574" s="72"/>
    </row>
    <row r="4575" spans="1:39" x14ac:dyDescent="0.25">
      <c r="A4575" s="37" t="s">
        <v>62</v>
      </c>
      <c r="B4575" s="66"/>
      <c r="C4575" s="4"/>
      <c r="D4575" s="41"/>
      <c r="E4575" s="41"/>
      <c r="F4575" s="85"/>
      <c r="G4575" s="39"/>
      <c r="H4575" s="52"/>
      <c r="I4575" s="52"/>
      <c r="J4575" s="49"/>
      <c r="K4575" s="58"/>
      <c r="L4575" s="58"/>
      <c r="M4575" s="58"/>
      <c r="N4575" s="58"/>
      <c r="O4575" s="58"/>
      <c r="P4575" s="53"/>
      <c r="Q4575" s="65"/>
      <c r="R4575" s="65"/>
      <c r="S4575" s="65"/>
      <c r="T4575" s="65"/>
      <c r="U4575" s="58"/>
      <c r="V4575" s="65"/>
      <c r="W4575" s="65"/>
      <c r="X4575" s="65"/>
      <c r="Y4575" s="65"/>
      <c r="Z4575" s="51"/>
      <c r="AA4575" s="51"/>
      <c r="AB4575" s="102"/>
      <c r="AC4575" s="81" t="e">
        <f t="shared" si="217"/>
        <v>#DIV/0!</v>
      </c>
      <c r="AD4575" s="82">
        <f t="shared" si="218"/>
        <v>0</v>
      </c>
      <c r="AE4575" s="218"/>
      <c r="AH4575" t="str">
        <f t="shared" si="216"/>
        <v>0000</v>
      </c>
      <c r="AJ4575" s="72"/>
      <c r="AK4575" s="72"/>
      <c r="AL4575" s="72"/>
      <c r="AM4575" s="72"/>
    </row>
    <row r="4576" spans="1:39" x14ac:dyDescent="0.25">
      <c r="A4576" s="37" t="s">
        <v>62</v>
      </c>
      <c r="B4576" s="66"/>
      <c r="C4576" s="4"/>
      <c r="D4576" s="41"/>
      <c r="E4576" s="41"/>
      <c r="F4576" s="85"/>
      <c r="G4576" s="39"/>
      <c r="H4576" s="52"/>
      <c r="I4576" s="52"/>
      <c r="J4576" s="49"/>
      <c r="K4576" s="58"/>
      <c r="L4576" s="58"/>
      <c r="M4576" s="58"/>
      <c r="N4576" s="58"/>
      <c r="O4576" s="58"/>
      <c r="P4576" s="53"/>
      <c r="Q4576" s="65"/>
      <c r="R4576" s="65"/>
      <c r="S4576" s="65"/>
      <c r="T4576" s="65"/>
      <c r="U4576" s="58"/>
      <c r="V4576" s="65"/>
      <c r="W4576" s="65"/>
      <c r="X4576" s="65"/>
      <c r="Y4576" s="65"/>
      <c r="Z4576" s="51"/>
      <c r="AA4576" s="51"/>
      <c r="AB4576" s="102"/>
      <c r="AC4576" s="81" t="e">
        <f t="shared" si="217"/>
        <v>#DIV/0!</v>
      </c>
      <c r="AD4576" s="82">
        <f t="shared" si="218"/>
        <v>0</v>
      </c>
      <c r="AE4576" s="218"/>
      <c r="AH4576" t="str">
        <f t="shared" si="216"/>
        <v>0000</v>
      </c>
      <c r="AJ4576" s="72"/>
      <c r="AK4576" s="72"/>
      <c r="AL4576" s="72"/>
      <c r="AM4576" s="72"/>
    </row>
    <row r="4577" spans="1:39" x14ac:dyDescent="0.25">
      <c r="A4577" s="37" t="s">
        <v>62</v>
      </c>
      <c r="B4577" s="66"/>
      <c r="C4577" s="4"/>
      <c r="D4577" s="41"/>
      <c r="E4577" s="41"/>
      <c r="F4577" s="85"/>
      <c r="G4577" s="39"/>
      <c r="H4577" s="52"/>
      <c r="I4577" s="52"/>
      <c r="J4577" s="49"/>
      <c r="K4577" s="58"/>
      <c r="L4577" s="58"/>
      <c r="M4577" s="58"/>
      <c r="N4577" s="58"/>
      <c r="O4577" s="58"/>
      <c r="P4577" s="53"/>
      <c r="Q4577" s="65"/>
      <c r="R4577" s="65"/>
      <c r="S4577" s="65"/>
      <c r="T4577" s="65"/>
      <c r="U4577" s="58"/>
      <c r="V4577" s="65"/>
      <c r="W4577" s="65"/>
      <c r="X4577" s="65"/>
      <c r="Y4577" s="65"/>
      <c r="Z4577" s="51"/>
      <c r="AA4577" s="51"/>
      <c r="AB4577" s="102"/>
      <c r="AC4577" s="81" t="e">
        <f t="shared" si="217"/>
        <v>#DIV/0!</v>
      </c>
      <c r="AD4577" s="82">
        <f t="shared" si="218"/>
        <v>0</v>
      </c>
      <c r="AE4577" s="218"/>
      <c r="AH4577" t="str">
        <f t="shared" si="216"/>
        <v>0000</v>
      </c>
      <c r="AJ4577" s="72"/>
      <c r="AK4577" s="72"/>
      <c r="AL4577" s="72"/>
      <c r="AM4577" s="72"/>
    </row>
    <row r="4578" spans="1:39" x14ac:dyDescent="0.25">
      <c r="A4578" s="37" t="s">
        <v>62</v>
      </c>
      <c r="B4578" s="66"/>
      <c r="C4578" s="4"/>
      <c r="D4578" s="41"/>
      <c r="E4578" s="41"/>
      <c r="F4578" s="85"/>
      <c r="G4578" s="39"/>
      <c r="H4578" s="52"/>
      <c r="I4578" s="52"/>
      <c r="J4578" s="49"/>
      <c r="K4578" s="58"/>
      <c r="L4578" s="58"/>
      <c r="M4578" s="58"/>
      <c r="N4578" s="58"/>
      <c r="O4578" s="58"/>
      <c r="P4578" s="53"/>
      <c r="Q4578" s="65"/>
      <c r="R4578" s="65"/>
      <c r="S4578" s="65"/>
      <c r="T4578" s="65"/>
      <c r="U4578" s="58"/>
      <c r="V4578" s="65"/>
      <c r="W4578" s="65"/>
      <c r="X4578" s="65"/>
      <c r="Y4578" s="65"/>
      <c r="Z4578" s="51"/>
      <c r="AA4578" s="51"/>
      <c r="AB4578" s="102"/>
      <c r="AC4578" s="81" t="e">
        <f t="shared" si="217"/>
        <v>#DIV/0!</v>
      </c>
      <c r="AD4578" s="82">
        <f t="shared" si="218"/>
        <v>0</v>
      </c>
      <c r="AE4578" s="218"/>
      <c r="AH4578" t="str">
        <f t="shared" si="216"/>
        <v>0000</v>
      </c>
      <c r="AJ4578" s="72"/>
      <c r="AK4578" s="72"/>
      <c r="AL4578" s="72"/>
      <c r="AM4578" s="72"/>
    </row>
    <row r="4579" spans="1:39" x14ac:dyDescent="0.25">
      <c r="A4579" s="37" t="s">
        <v>62</v>
      </c>
      <c r="B4579" s="66"/>
      <c r="C4579" s="4"/>
      <c r="D4579" s="41"/>
      <c r="E4579" s="41"/>
      <c r="F4579" s="85"/>
      <c r="G4579" s="39"/>
      <c r="H4579" s="52"/>
      <c r="I4579" s="52"/>
      <c r="J4579" s="49"/>
      <c r="K4579" s="58"/>
      <c r="L4579" s="58"/>
      <c r="M4579" s="58"/>
      <c r="N4579" s="58"/>
      <c r="O4579" s="58"/>
      <c r="P4579" s="53"/>
      <c r="Q4579" s="65"/>
      <c r="R4579" s="65"/>
      <c r="S4579" s="65"/>
      <c r="T4579" s="65"/>
      <c r="U4579" s="58"/>
      <c r="V4579" s="65"/>
      <c r="W4579" s="65"/>
      <c r="X4579" s="65"/>
      <c r="Y4579" s="65"/>
      <c r="Z4579" s="51"/>
      <c r="AA4579" s="51"/>
      <c r="AB4579" s="102"/>
      <c r="AC4579" s="81" t="e">
        <f t="shared" si="217"/>
        <v>#DIV/0!</v>
      </c>
      <c r="AD4579" s="82">
        <f t="shared" si="218"/>
        <v>0</v>
      </c>
      <c r="AE4579" s="218"/>
      <c r="AH4579" t="str">
        <f t="shared" si="216"/>
        <v>0000</v>
      </c>
      <c r="AJ4579" s="72"/>
      <c r="AK4579" s="72"/>
      <c r="AL4579" s="72"/>
      <c r="AM4579" s="72"/>
    </row>
    <row r="4580" spans="1:39" x14ac:dyDescent="0.25">
      <c r="A4580" s="37" t="s">
        <v>62</v>
      </c>
      <c r="B4580" s="66"/>
      <c r="C4580" s="4"/>
      <c r="D4580" s="41"/>
      <c r="E4580" s="41"/>
      <c r="F4580" s="85"/>
      <c r="G4580" s="39"/>
      <c r="H4580" s="52"/>
      <c r="I4580" s="52"/>
      <c r="J4580" s="49"/>
      <c r="K4580" s="58"/>
      <c r="L4580" s="58"/>
      <c r="M4580" s="58"/>
      <c r="N4580" s="58"/>
      <c r="O4580" s="58"/>
      <c r="P4580" s="53"/>
      <c r="Q4580" s="65"/>
      <c r="R4580" s="65"/>
      <c r="S4580" s="65"/>
      <c r="T4580" s="65"/>
      <c r="U4580" s="58"/>
      <c r="V4580" s="65"/>
      <c r="W4580" s="65"/>
      <c r="X4580" s="65"/>
      <c r="Y4580" s="65"/>
      <c r="Z4580" s="51"/>
      <c r="AA4580" s="51"/>
      <c r="AB4580" s="102"/>
      <c r="AC4580" s="81" t="e">
        <f t="shared" si="217"/>
        <v>#DIV/0!</v>
      </c>
      <c r="AD4580" s="82">
        <f t="shared" si="218"/>
        <v>0</v>
      </c>
      <c r="AE4580" s="218"/>
      <c r="AH4580" t="str">
        <f t="shared" si="216"/>
        <v>0000</v>
      </c>
      <c r="AJ4580" s="72"/>
      <c r="AK4580" s="72"/>
      <c r="AL4580" s="72"/>
      <c r="AM4580" s="72"/>
    </row>
    <row r="4581" spans="1:39" x14ac:dyDescent="0.25">
      <c r="A4581" s="37" t="s">
        <v>62</v>
      </c>
      <c r="B4581" s="66"/>
      <c r="C4581" s="4"/>
      <c r="D4581" s="41"/>
      <c r="E4581" s="41"/>
      <c r="F4581" s="85"/>
      <c r="G4581" s="39"/>
      <c r="H4581" s="52"/>
      <c r="I4581" s="52"/>
      <c r="J4581" s="49"/>
      <c r="K4581" s="58"/>
      <c r="L4581" s="58"/>
      <c r="M4581" s="58"/>
      <c r="N4581" s="58"/>
      <c r="O4581" s="58"/>
      <c r="P4581" s="53"/>
      <c r="Q4581" s="65"/>
      <c r="R4581" s="65"/>
      <c r="S4581" s="65"/>
      <c r="T4581" s="65"/>
      <c r="U4581" s="58"/>
      <c r="V4581" s="65"/>
      <c r="W4581" s="65"/>
      <c r="X4581" s="65"/>
      <c r="Y4581" s="65"/>
      <c r="Z4581" s="51"/>
      <c r="AA4581" s="51"/>
      <c r="AB4581" s="102"/>
      <c r="AC4581" s="81" t="e">
        <f t="shared" si="217"/>
        <v>#DIV/0!</v>
      </c>
      <c r="AD4581" s="82">
        <f t="shared" si="218"/>
        <v>0</v>
      </c>
      <c r="AE4581" s="218"/>
      <c r="AH4581" t="str">
        <f t="shared" si="216"/>
        <v>0000</v>
      </c>
      <c r="AJ4581" s="72"/>
      <c r="AK4581" s="72"/>
      <c r="AL4581" s="72"/>
      <c r="AM4581" s="72"/>
    </row>
    <row r="4582" spans="1:39" x14ac:dyDescent="0.25">
      <c r="A4582" s="37" t="s">
        <v>62</v>
      </c>
      <c r="B4582" s="66"/>
      <c r="C4582" s="4"/>
      <c r="D4582" s="41"/>
      <c r="E4582" s="41"/>
      <c r="F4582" s="85"/>
      <c r="G4582" s="39"/>
      <c r="H4582" s="52"/>
      <c r="I4582" s="52"/>
      <c r="J4582" s="49"/>
      <c r="K4582" s="58"/>
      <c r="L4582" s="58"/>
      <c r="M4582" s="58"/>
      <c r="N4582" s="58"/>
      <c r="O4582" s="58"/>
      <c r="P4582" s="53"/>
      <c r="Q4582" s="65"/>
      <c r="R4582" s="65"/>
      <c r="S4582" s="65"/>
      <c r="T4582" s="65"/>
      <c r="U4582" s="58"/>
      <c r="V4582" s="65"/>
      <c r="W4582" s="65"/>
      <c r="X4582" s="65"/>
      <c r="Y4582" s="65"/>
      <c r="Z4582" s="51"/>
      <c r="AA4582" s="51"/>
      <c r="AB4582" s="102"/>
      <c r="AC4582" s="81" t="e">
        <f t="shared" si="217"/>
        <v>#DIV/0!</v>
      </c>
      <c r="AD4582" s="82">
        <f t="shared" si="218"/>
        <v>0</v>
      </c>
      <c r="AE4582" s="218"/>
      <c r="AH4582" t="str">
        <f t="shared" si="216"/>
        <v>0000</v>
      </c>
      <c r="AJ4582" s="72"/>
      <c r="AK4582" s="72"/>
      <c r="AL4582" s="72"/>
      <c r="AM4582" s="72"/>
    </row>
    <row r="4583" spans="1:39" x14ac:dyDescent="0.25">
      <c r="A4583" s="37" t="s">
        <v>62</v>
      </c>
      <c r="B4583" s="66"/>
      <c r="C4583" s="4"/>
      <c r="D4583" s="41"/>
      <c r="E4583" s="41"/>
      <c r="F4583" s="85"/>
      <c r="G4583" s="39"/>
      <c r="H4583" s="52"/>
      <c r="I4583" s="52"/>
      <c r="J4583" s="49"/>
      <c r="K4583" s="58"/>
      <c r="L4583" s="58"/>
      <c r="M4583" s="58"/>
      <c r="N4583" s="58"/>
      <c r="O4583" s="58"/>
      <c r="P4583" s="53"/>
      <c r="Q4583" s="65"/>
      <c r="R4583" s="65"/>
      <c r="S4583" s="65"/>
      <c r="T4583" s="65"/>
      <c r="U4583" s="58"/>
      <c r="V4583" s="65"/>
      <c r="W4583" s="65"/>
      <c r="X4583" s="65"/>
      <c r="Y4583" s="65"/>
      <c r="Z4583" s="51"/>
      <c r="AA4583" s="51"/>
      <c r="AB4583" s="102"/>
      <c r="AC4583" s="81" t="e">
        <f t="shared" si="217"/>
        <v>#DIV/0!</v>
      </c>
      <c r="AD4583" s="82">
        <f t="shared" si="218"/>
        <v>0</v>
      </c>
      <c r="AE4583" s="218"/>
      <c r="AH4583" t="str">
        <f t="shared" si="216"/>
        <v>0000</v>
      </c>
      <c r="AJ4583" s="72"/>
      <c r="AK4583" s="72"/>
      <c r="AL4583" s="72"/>
      <c r="AM4583" s="72"/>
    </row>
    <row r="4584" spans="1:39" x14ac:dyDescent="0.25">
      <c r="A4584" s="37" t="s">
        <v>62</v>
      </c>
      <c r="B4584" s="66"/>
      <c r="C4584" s="4"/>
      <c r="D4584" s="41"/>
      <c r="E4584" s="41"/>
      <c r="F4584" s="85"/>
      <c r="G4584" s="39"/>
      <c r="H4584" s="52"/>
      <c r="I4584" s="52"/>
      <c r="J4584" s="49"/>
      <c r="K4584" s="58"/>
      <c r="L4584" s="58"/>
      <c r="M4584" s="58"/>
      <c r="N4584" s="58"/>
      <c r="O4584" s="58"/>
      <c r="P4584" s="53"/>
      <c r="Q4584" s="65"/>
      <c r="R4584" s="65"/>
      <c r="S4584" s="65"/>
      <c r="T4584" s="65"/>
      <c r="U4584" s="58"/>
      <c r="V4584" s="65"/>
      <c r="W4584" s="65"/>
      <c r="X4584" s="65"/>
      <c r="Y4584" s="65"/>
      <c r="Z4584" s="51"/>
      <c r="AA4584" s="51"/>
      <c r="AB4584" s="102"/>
      <c r="AC4584" s="81" t="e">
        <f t="shared" si="217"/>
        <v>#DIV/0!</v>
      </c>
      <c r="AD4584" s="82">
        <f t="shared" si="218"/>
        <v>0</v>
      </c>
      <c r="AE4584" s="218"/>
      <c r="AH4584" t="str">
        <f t="shared" si="216"/>
        <v>0000</v>
      </c>
      <c r="AJ4584" s="72"/>
      <c r="AK4584" s="72"/>
      <c r="AL4584" s="72"/>
      <c r="AM4584" s="72"/>
    </row>
    <row r="4585" spans="1:39" x14ac:dyDescent="0.25">
      <c r="A4585" s="37" t="s">
        <v>62</v>
      </c>
      <c r="B4585" s="66"/>
      <c r="C4585" s="4"/>
      <c r="D4585" s="41"/>
      <c r="E4585" s="41"/>
      <c r="F4585" s="85"/>
      <c r="G4585" s="39"/>
      <c r="H4585" s="52"/>
      <c r="I4585" s="52"/>
      <c r="J4585" s="49"/>
      <c r="K4585" s="58"/>
      <c r="L4585" s="58"/>
      <c r="M4585" s="58"/>
      <c r="N4585" s="58"/>
      <c r="O4585" s="58"/>
      <c r="P4585" s="53"/>
      <c r="Q4585" s="65"/>
      <c r="R4585" s="65"/>
      <c r="S4585" s="65"/>
      <c r="T4585" s="65"/>
      <c r="U4585" s="58"/>
      <c r="V4585" s="65"/>
      <c r="W4585" s="65"/>
      <c r="X4585" s="65"/>
      <c r="Y4585" s="65"/>
      <c r="Z4585" s="51"/>
      <c r="AA4585" s="51"/>
      <c r="AB4585" s="102"/>
      <c r="AC4585" s="81" t="e">
        <f t="shared" si="217"/>
        <v>#DIV/0!</v>
      </c>
      <c r="AD4585" s="82">
        <f t="shared" si="218"/>
        <v>0</v>
      </c>
      <c r="AE4585" s="218"/>
      <c r="AH4585" t="str">
        <f t="shared" si="216"/>
        <v>0000</v>
      </c>
      <c r="AJ4585" s="72"/>
      <c r="AK4585" s="72"/>
      <c r="AL4585" s="72"/>
      <c r="AM4585" s="72"/>
    </row>
    <row r="4586" spans="1:39" x14ac:dyDescent="0.25">
      <c r="A4586" s="37" t="s">
        <v>62</v>
      </c>
      <c r="B4586" s="66"/>
      <c r="C4586" s="4"/>
      <c r="D4586" s="41"/>
      <c r="E4586" s="41"/>
      <c r="F4586" s="85"/>
      <c r="G4586" s="39"/>
      <c r="H4586" s="52"/>
      <c r="I4586" s="52"/>
      <c r="J4586" s="49"/>
      <c r="K4586" s="58"/>
      <c r="L4586" s="58"/>
      <c r="M4586" s="58"/>
      <c r="N4586" s="58"/>
      <c r="O4586" s="58"/>
      <c r="P4586" s="53"/>
      <c r="Q4586" s="65"/>
      <c r="R4586" s="65"/>
      <c r="S4586" s="65"/>
      <c r="T4586" s="65"/>
      <c r="U4586" s="58"/>
      <c r="V4586" s="65"/>
      <c r="W4586" s="65"/>
      <c r="X4586" s="65"/>
      <c r="Y4586" s="65"/>
      <c r="Z4586" s="51"/>
      <c r="AA4586" s="51"/>
      <c r="AB4586" s="102"/>
      <c r="AC4586" s="81" t="e">
        <f t="shared" si="217"/>
        <v>#DIV/0!</v>
      </c>
      <c r="AD4586" s="82">
        <f t="shared" si="218"/>
        <v>0</v>
      </c>
      <c r="AE4586" s="218"/>
      <c r="AH4586" t="str">
        <f t="shared" si="216"/>
        <v>0000</v>
      </c>
      <c r="AJ4586" s="72"/>
      <c r="AK4586" s="72"/>
      <c r="AL4586" s="72"/>
      <c r="AM4586" s="72"/>
    </row>
    <row r="4587" spans="1:39" x14ac:dyDescent="0.25">
      <c r="A4587" s="37" t="s">
        <v>62</v>
      </c>
      <c r="B4587" s="66"/>
      <c r="C4587" s="4"/>
      <c r="D4587" s="41"/>
      <c r="E4587" s="41"/>
      <c r="F4587" s="85"/>
      <c r="G4587" s="39"/>
      <c r="H4587" s="52"/>
      <c r="I4587" s="52"/>
      <c r="J4587" s="49"/>
      <c r="K4587" s="58"/>
      <c r="L4587" s="58"/>
      <c r="M4587" s="58"/>
      <c r="N4587" s="58"/>
      <c r="O4587" s="58"/>
      <c r="P4587" s="53"/>
      <c r="Q4587" s="65"/>
      <c r="R4587" s="65"/>
      <c r="S4587" s="65"/>
      <c r="T4587" s="65"/>
      <c r="U4587" s="58"/>
      <c r="V4587" s="65"/>
      <c r="W4587" s="65"/>
      <c r="X4587" s="65"/>
      <c r="Y4587" s="65"/>
      <c r="Z4587" s="51"/>
      <c r="AA4587" s="51"/>
      <c r="AB4587" s="102"/>
      <c r="AC4587" s="81" t="e">
        <f t="shared" si="217"/>
        <v>#DIV/0!</v>
      </c>
      <c r="AD4587" s="82">
        <f t="shared" si="218"/>
        <v>0</v>
      </c>
      <c r="AE4587" s="218"/>
      <c r="AH4587" t="str">
        <f t="shared" si="216"/>
        <v>0000</v>
      </c>
      <c r="AJ4587" s="72"/>
      <c r="AK4587" s="72"/>
      <c r="AL4587" s="72"/>
      <c r="AM4587" s="72"/>
    </row>
    <row r="4588" spans="1:39" x14ac:dyDescent="0.25">
      <c r="A4588" s="37" t="s">
        <v>62</v>
      </c>
      <c r="B4588" s="66"/>
      <c r="C4588" s="4"/>
      <c r="D4588" s="41"/>
      <c r="E4588" s="41"/>
      <c r="F4588" s="85"/>
      <c r="G4588" s="39"/>
      <c r="H4588" s="52"/>
      <c r="I4588" s="52"/>
      <c r="J4588" s="49"/>
      <c r="K4588" s="58"/>
      <c r="L4588" s="58"/>
      <c r="M4588" s="58"/>
      <c r="N4588" s="58"/>
      <c r="O4588" s="58"/>
      <c r="P4588" s="53"/>
      <c r="Q4588" s="65"/>
      <c r="R4588" s="65"/>
      <c r="S4588" s="65"/>
      <c r="T4588" s="65"/>
      <c r="U4588" s="58"/>
      <c r="V4588" s="65"/>
      <c r="W4588" s="65"/>
      <c r="X4588" s="65"/>
      <c r="Y4588" s="65"/>
      <c r="Z4588" s="51"/>
      <c r="AA4588" s="51"/>
      <c r="AB4588" s="102"/>
      <c r="AC4588" s="81" t="e">
        <f t="shared" si="217"/>
        <v>#DIV/0!</v>
      </c>
      <c r="AD4588" s="82">
        <f t="shared" si="218"/>
        <v>0</v>
      </c>
      <c r="AE4588" s="218"/>
      <c r="AH4588" t="str">
        <f t="shared" si="216"/>
        <v>0000</v>
      </c>
      <c r="AJ4588" s="72"/>
      <c r="AK4588" s="72"/>
      <c r="AL4588" s="72"/>
      <c r="AM4588" s="72"/>
    </row>
    <row r="4589" spans="1:39" x14ac:dyDescent="0.25">
      <c r="A4589" s="37" t="s">
        <v>62</v>
      </c>
      <c r="B4589" s="66"/>
      <c r="C4589" s="4"/>
      <c r="D4589" s="41"/>
      <c r="E4589" s="41"/>
      <c r="F4589" s="85"/>
      <c r="G4589" s="39"/>
      <c r="H4589" s="52"/>
      <c r="I4589" s="52"/>
      <c r="J4589" s="49"/>
      <c r="K4589" s="58"/>
      <c r="L4589" s="58"/>
      <c r="M4589" s="58"/>
      <c r="N4589" s="58"/>
      <c r="O4589" s="58"/>
      <c r="P4589" s="53"/>
      <c r="Q4589" s="65"/>
      <c r="R4589" s="65"/>
      <c r="S4589" s="65"/>
      <c r="T4589" s="65"/>
      <c r="U4589" s="58"/>
      <c r="V4589" s="65"/>
      <c r="W4589" s="65"/>
      <c r="X4589" s="65"/>
      <c r="Y4589" s="65"/>
      <c r="Z4589" s="51"/>
      <c r="AA4589" s="51"/>
      <c r="AB4589" s="102"/>
      <c r="AC4589" s="81" t="e">
        <f t="shared" si="217"/>
        <v>#DIV/0!</v>
      </c>
      <c r="AD4589" s="82">
        <f t="shared" si="218"/>
        <v>0</v>
      </c>
      <c r="AE4589" s="218"/>
      <c r="AH4589" t="str">
        <f t="shared" si="216"/>
        <v>0000</v>
      </c>
      <c r="AJ4589" s="72"/>
      <c r="AK4589" s="72"/>
      <c r="AL4589" s="72"/>
      <c r="AM4589" s="72"/>
    </row>
    <row r="4590" spans="1:39" x14ac:dyDescent="0.25">
      <c r="A4590" s="37" t="s">
        <v>62</v>
      </c>
      <c r="B4590" s="66"/>
      <c r="C4590" s="4"/>
      <c r="D4590" s="41"/>
      <c r="E4590" s="41"/>
      <c r="F4590" s="85"/>
      <c r="G4590" s="39"/>
      <c r="H4590" s="52"/>
      <c r="I4590" s="52"/>
      <c r="J4590" s="49"/>
      <c r="K4590" s="58"/>
      <c r="L4590" s="58"/>
      <c r="M4590" s="58"/>
      <c r="N4590" s="58"/>
      <c r="O4590" s="58"/>
      <c r="P4590" s="53"/>
      <c r="Q4590" s="65"/>
      <c r="R4590" s="65"/>
      <c r="S4590" s="65"/>
      <c r="T4590" s="65"/>
      <c r="U4590" s="58"/>
      <c r="V4590" s="65"/>
      <c r="W4590" s="65"/>
      <c r="X4590" s="65"/>
      <c r="Y4590" s="65"/>
      <c r="Z4590" s="51"/>
      <c r="AA4590" s="51"/>
      <c r="AB4590" s="102"/>
      <c r="AC4590" s="81" t="e">
        <f t="shared" si="217"/>
        <v>#DIV/0!</v>
      </c>
      <c r="AD4590" s="82">
        <f t="shared" si="218"/>
        <v>0</v>
      </c>
      <c r="AE4590" s="218"/>
      <c r="AH4590" t="str">
        <f t="shared" si="216"/>
        <v>0000</v>
      </c>
      <c r="AJ4590" s="72"/>
      <c r="AK4590" s="72"/>
      <c r="AL4590" s="72"/>
      <c r="AM4590" s="72"/>
    </row>
    <row r="4591" spans="1:39" x14ac:dyDescent="0.25">
      <c r="A4591" s="37" t="s">
        <v>62</v>
      </c>
      <c r="B4591" s="66"/>
      <c r="C4591" s="4"/>
      <c r="D4591" s="41"/>
      <c r="E4591" s="41"/>
      <c r="F4591" s="85"/>
      <c r="G4591" s="39"/>
      <c r="H4591" s="52"/>
      <c r="I4591" s="52"/>
      <c r="J4591" s="49"/>
      <c r="K4591" s="58"/>
      <c r="L4591" s="58"/>
      <c r="M4591" s="58"/>
      <c r="N4591" s="58"/>
      <c r="O4591" s="58"/>
      <c r="P4591" s="53"/>
      <c r="Q4591" s="65"/>
      <c r="R4591" s="65"/>
      <c r="S4591" s="65"/>
      <c r="T4591" s="65"/>
      <c r="U4591" s="58"/>
      <c r="V4591" s="65"/>
      <c r="W4591" s="65"/>
      <c r="X4591" s="65"/>
      <c r="Y4591" s="65"/>
      <c r="Z4591" s="51"/>
      <c r="AA4591" s="51"/>
      <c r="AB4591" s="102"/>
      <c r="AC4591" s="81" t="e">
        <f t="shared" si="217"/>
        <v>#DIV/0!</v>
      </c>
      <c r="AD4591" s="82">
        <f t="shared" si="218"/>
        <v>0</v>
      </c>
      <c r="AE4591" s="218"/>
      <c r="AH4591" t="str">
        <f t="shared" si="216"/>
        <v>0000</v>
      </c>
      <c r="AJ4591" s="72"/>
      <c r="AK4591" s="72"/>
      <c r="AL4591" s="72"/>
      <c r="AM4591" s="72"/>
    </row>
    <row r="4592" spans="1:39" x14ac:dyDescent="0.25">
      <c r="A4592" s="37" t="s">
        <v>62</v>
      </c>
      <c r="B4592" s="66"/>
      <c r="C4592" s="4"/>
      <c r="D4592" s="41"/>
      <c r="E4592" s="41"/>
      <c r="F4592" s="85"/>
      <c r="G4592" s="39"/>
      <c r="H4592" s="52"/>
      <c r="I4592" s="52"/>
      <c r="J4592" s="49"/>
      <c r="K4592" s="58"/>
      <c r="L4592" s="58"/>
      <c r="M4592" s="58"/>
      <c r="N4592" s="58"/>
      <c r="O4592" s="58"/>
      <c r="P4592" s="53"/>
      <c r="Q4592" s="65"/>
      <c r="R4592" s="65"/>
      <c r="S4592" s="65"/>
      <c r="T4592" s="65"/>
      <c r="U4592" s="58"/>
      <c r="V4592" s="65"/>
      <c r="W4592" s="65"/>
      <c r="X4592" s="65"/>
      <c r="Y4592" s="65"/>
      <c r="Z4592" s="51"/>
      <c r="AA4592" s="51"/>
      <c r="AB4592" s="102"/>
      <c r="AC4592" s="81" t="e">
        <f t="shared" si="217"/>
        <v>#DIV/0!</v>
      </c>
      <c r="AD4592" s="82">
        <f t="shared" si="218"/>
        <v>0</v>
      </c>
      <c r="AE4592" s="218"/>
      <c r="AH4592" t="str">
        <f t="shared" si="216"/>
        <v>0000</v>
      </c>
      <c r="AJ4592" s="72"/>
      <c r="AK4592" s="72"/>
      <c r="AL4592" s="72"/>
      <c r="AM4592" s="72"/>
    </row>
    <row r="4593" spans="1:39" x14ac:dyDescent="0.25">
      <c r="A4593" s="37" t="s">
        <v>62</v>
      </c>
      <c r="B4593" s="66"/>
      <c r="C4593" s="4"/>
      <c r="D4593" s="41"/>
      <c r="E4593" s="41"/>
      <c r="F4593" s="85"/>
      <c r="G4593" s="39"/>
      <c r="H4593" s="52"/>
      <c r="I4593" s="52"/>
      <c r="J4593" s="49"/>
      <c r="K4593" s="58"/>
      <c r="L4593" s="58"/>
      <c r="M4593" s="58"/>
      <c r="N4593" s="58"/>
      <c r="O4593" s="58"/>
      <c r="P4593" s="53"/>
      <c r="Q4593" s="65"/>
      <c r="R4593" s="65"/>
      <c r="S4593" s="65"/>
      <c r="T4593" s="65"/>
      <c r="U4593" s="58"/>
      <c r="V4593" s="65"/>
      <c r="W4593" s="65"/>
      <c r="X4593" s="65"/>
      <c r="Y4593" s="65"/>
      <c r="Z4593" s="51"/>
      <c r="AA4593" s="51"/>
      <c r="AB4593" s="102"/>
      <c r="AC4593" s="81" t="e">
        <f t="shared" si="217"/>
        <v>#DIV/0!</v>
      </c>
      <c r="AD4593" s="82">
        <f t="shared" si="218"/>
        <v>0</v>
      </c>
      <c r="AE4593" s="218"/>
      <c r="AH4593" t="str">
        <f t="shared" si="216"/>
        <v>0000</v>
      </c>
      <c r="AJ4593" s="72"/>
      <c r="AK4593" s="72"/>
      <c r="AL4593" s="72"/>
      <c r="AM4593" s="72"/>
    </row>
    <row r="4594" spans="1:39" x14ac:dyDescent="0.25">
      <c r="A4594" s="37" t="s">
        <v>62</v>
      </c>
      <c r="B4594" s="66"/>
      <c r="C4594" s="4"/>
      <c r="D4594" s="41"/>
      <c r="E4594" s="41"/>
      <c r="F4594" s="85"/>
      <c r="G4594" s="39"/>
      <c r="H4594" s="52"/>
      <c r="I4594" s="52"/>
      <c r="J4594" s="49"/>
      <c r="K4594" s="58"/>
      <c r="L4594" s="58"/>
      <c r="M4594" s="58"/>
      <c r="N4594" s="58"/>
      <c r="O4594" s="58"/>
      <c r="P4594" s="53"/>
      <c r="Q4594" s="65"/>
      <c r="R4594" s="65"/>
      <c r="S4594" s="65"/>
      <c r="T4594" s="65"/>
      <c r="U4594" s="58"/>
      <c r="V4594" s="65"/>
      <c r="W4594" s="65"/>
      <c r="X4594" s="65"/>
      <c r="Y4594" s="65"/>
      <c r="Z4594" s="51"/>
      <c r="AA4594" s="51"/>
      <c r="AB4594" s="102"/>
      <c r="AC4594" s="81" t="e">
        <f t="shared" si="217"/>
        <v>#DIV/0!</v>
      </c>
      <c r="AD4594" s="82">
        <f t="shared" si="218"/>
        <v>0</v>
      </c>
      <c r="AE4594" s="218"/>
      <c r="AH4594" t="str">
        <f t="shared" si="216"/>
        <v>0000</v>
      </c>
      <c r="AJ4594" s="72"/>
      <c r="AK4594" s="72"/>
      <c r="AL4594" s="72"/>
      <c r="AM4594" s="72"/>
    </row>
    <row r="4595" spans="1:39" x14ac:dyDescent="0.25">
      <c r="A4595" s="37" t="s">
        <v>62</v>
      </c>
      <c r="B4595" s="66"/>
      <c r="C4595" s="4"/>
      <c r="D4595" s="41"/>
      <c r="E4595" s="41"/>
      <c r="F4595" s="85"/>
      <c r="G4595" s="39"/>
      <c r="H4595" s="52"/>
      <c r="I4595" s="52"/>
      <c r="J4595" s="49"/>
      <c r="K4595" s="58"/>
      <c r="L4595" s="58"/>
      <c r="M4595" s="58"/>
      <c r="N4595" s="58"/>
      <c r="O4595" s="58"/>
      <c r="P4595" s="53"/>
      <c r="Q4595" s="65"/>
      <c r="R4595" s="65"/>
      <c r="S4595" s="65"/>
      <c r="T4595" s="65"/>
      <c r="U4595" s="58"/>
      <c r="V4595" s="65"/>
      <c r="W4595" s="65"/>
      <c r="X4595" s="65"/>
      <c r="Y4595" s="65"/>
      <c r="Z4595" s="51"/>
      <c r="AA4595" s="51"/>
      <c r="AB4595" s="102"/>
      <c r="AC4595" s="81" t="e">
        <f t="shared" si="217"/>
        <v>#DIV/0!</v>
      </c>
      <c r="AD4595" s="82">
        <f t="shared" si="218"/>
        <v>0</v>
      </c>
      <c r="AE4595" s="218"/>
      <c r="AH4595" t="str">
        <f t="shared" si="216"/>
        <v>0000</v>
      </c>
      <c r="AJ4595" s="72"/>
      <c r="AK4595" s="72"/>
      <c r="AL4595" s="72"/>
      <c r="AM4595" s="72"/>
    </row>
    <row r="4596" spans="1:39" x14ac:dyDescent="0.25">
      <c r="A4596" s="37" t="s">
        <v>62</v>
      </c>
      <c r="B4596" s="66"/>
      <c r="C4596" s="4"/>
      <c r="D4596" s="41"/>
      <c r="E4596" s="41"/>
      <c r="F4596" s="85"/>
      <c r="G4596" s="39"/>
      <c r="H4596" s="52"/>
      <c r="I4596" s="52"/>
      <c r="J4596" s="49"/>
      <c r="K4596" s="58"/>
      <c r="L4596" s="58"/>
      <c r="M4596" s="58"/>
      <c r="N4596" s="58"/>
      <c r="O4596" s="58"/>
      <c r="P4596" s="53"/>
      <c r="Q4596" s="65"/>
      <c r="R4596" s="65"/>
      <c r="S4596" s="65"/>
      <c r="T4596" s="65"/>
      <c r="U4596" s="58"/>
      <c r="V4596" s="65"/>
      <c r="W4596" s="65"/>
      <c r="X4596" s="65"/>
      <c r="Y4596" s="65"/>
      <c r="Z4596" s="51"/>
      <c r="AA4596" s="51"/>
      <c r="AB4596" s="102"/>
      <c r="AC4596" s="81" t="e">
        <f t="shared" si="217"/>
        <v>#DIV/0!</v>
      </c>
      <c r="AD4596" s="82">
        <f t="shared" si="218"/>
        <v>0</v>
      </c>
      <c r="AE4596" s="218"/>
      <c r="AH4596" t="str">
        <f t="shared" si="216"/>
        <v>0000</v>
      </c>
      <c r="AJ4596" s="72"/>
      <c r="AK4596" s="72"/>
      <c r="AL4596" s="72"/>
      <c r="AM4596" s="72"/>
    </row>
    <row r="4597" spans="1:39" x14ac:dyDescent="0.25">
      <c r="A4597" s="37" t="s">
        <v>62</v>
      </c>
      <c r="B4597" s="66"/>
      <c r="C4597" s="4"/>
      <c r="D4597" s="41"/>
      <c r="E4597" s="41"/>
      <c r="F4597" s="85"/>
      <c r="G4597" s="39"/>
      <c r="H4597" s="52"/>
      <c r="I4597" s="52"/>
      <c r="J4597" s="49"/>
      <c r="K4597" s="58"/>
      <c r="L4597" s="58"/>
      <c r="M4597" s="58"/>
      <c r="N4597" s="58"/>
      <c r="O4597" s="58"/>
      <c r="P4597" s="53"/>
      <c r="Q4597" s="65"/>
      <c r="R4597" s="65"/>
      <c r="S4597" s="65"/>
      <c r="T4597" s="65"/>
      <c r="U4597" s="58"/>
      <c r="V4597" s="65"/>
      <c r="W4597" s="65"/>
      <c r="X4597" s="65"/>
      <c r="Y4597" s="65"/>
      <c r="Z4597" s="51"/>
      <c r="AA4597" s="51"/>
      <c r="AB4597" s="102"/>
      <c r="AC4597" s="81" t="e">
        <f t="shared" si="217"/>
        <v>#DIV/0!</v>
      </c>
      <c r="AD4597" s="82">
        <f t="shared" si="218"/>
        <v>0</v>
      </c>
      <c r="AE4597" s="218"/>
      <c r="AH4597" t="str">
        <f t="shared" si="216"/>
        <v>0000</v>
      </c>
      <c r="AJ4597" s="72"/>
      <c r="AK4597" s="72"/>
      <c r="AL4597" s="72"/>
      <c r="AM4597" s="72"/>
    </row>
    <row r="4598" spans="1:39" x14ac:dyDescent="0.25">
      <c r="A4598" s="37" t="s">
        <v>62</v>
      </c>
      <c r="B4598" s="66"/>
      <c r="C4598" s="4"/>
      <c r="D4598" s="41"/>
      <c r="E4598" s="41"/>
      <c r="F4598" s="85"/>
      <c r="G4598" s="39"/>
      <c r="H4598" s="52"/>
      <c r="I4598" s="52"/>
      <c r="J4598" s="49"/>
      <c r="K4598" s="58"/>
      <c r="L4598" s="58"/>
      <c r="M4598" s="58"/>
      <c r="N4598" s="58"/>
      <c r="O4598" s="58"/>
      <c r="P4598" s="53"/>
      <c r="Q4598" s="65"/>
      <c r="R4598" s="65"/>
      <c r="S4598" s="65"/>
      <c r="T4598" s="65"/>
      <c r="U4598" s="58"/>
      <c r="V4598" s="65"/>
      <c r="W4598" s="65"/>
      <c r="X4598" s="65"/>
      <c r="Y4598" s="65"/>
      <c r="Z4598" s="51"/>
      <c r="AA4598" s="51"/>
      <c r="AB4598" s="102"/>
      <c r="AC4598" s="81" t="e">
        <f t="shared" si="217"/>
        <v>#DIV/0!</v>
      </c>
      <c r="AD4598" s="82">
        <f t="shared" si="218"/>
        <v>0</v>
      </c>
      <c r="AE4598" s="218"/>
      <c r="AH4598" t="str">
        <f t="shared" si="216"/>
        <v>0000</v>
      </c>
      <c r="AJ4598" s="72"/>
      <c r="AK4598" s="72"/>
      <c r="AL4598" s="72"/>
      <c r="AM4598" s="72"/>
    </row>
    <row r="4599" spans="1:39" x14ac:dyDescent="0.25">
      <c r="A4599" s="37" t="s">
        <v>62</v>
      </c>
      <c r="B4599" s="66"/>
      <c r="C4599" s="4"/>
      <c r="D4599" s="41"/>
      <c r="E4599" s="41"/>
      <c r="F4599" s="85"/>
      <c r="G4599" s="39"/>
      <c r="H4599" s="52"/>
      <c r="I4599" s="52"/>
      <c r="J4599" s="49"/>
      <c r="K4599" s="58"/>
      <c r="L4599" s="58"/>
      <c r="M4599" s="58"/>
      <c r="N4599" s="58"/>
      <c r="O4599" s="58"/>
      <c r="P4599" s="53"/>
      <c r="Q4599" s="65"/>
      <c r="R4599" s="65"/>
      <c r="S4599" s="65"/>
      <c r="T4599" s="65"/>
      <c r="U4599" s="58"/>
      <c r="V4599" s="65"/>
      <c r="W4599" s="65"/>
      <c r="X4599" s="65"/>
      <c r="Y4599" s="65"/>
      <c r="Z4599" s="51"/>
      <c r="AA4599" s="51"/>
      <c r="AB4599" s="102"/>
      <c r="AC4599" s="81" t="e">
        <f t="shared" si="217"/>
        <v>#DIV/0!</v>
      </c>
      <c r="AD4599" s="82">
        <f t="shared" si="218"/>
        <v>0</v>
      </c>
      <c r="AE4599" s="218"/>
      <c r="AH4599" t="str">
        <f t="shared" si="216"/>
        <v>0000</v>
      </c>
      <c r="AJ4599" s="72"/>
      <c r="AK4599" s="72"/>
      <c r="AL4599" s="72"/>
      <c r="AM4599" s="72"/>
    </row>
    <row r="4600" spans="1:39" x14ac:dyDescent="0.25">
      <c r="A4600" s="37" t="s">
        <v>62</v>
      </c>
      <c r="B4600" s="66"/>
      <c r="C4600" s="4"/>
      <c r="D4600" s="41"/>
      <c r="E4600" s="41"/>
      <c r="F4600" s="85"/>
      <c r="G4600" s="39"/>
      <c r="H4600" s="52"/>
      <c r="I4600" s="52"/>
      <c r="J4600" s="49"/>
      <c r="K4600" s="58"/>
      <c r="L4600" s="58"/>
      <c r="M4600" s="58"/>
      <c r="N4600" s="58"/>
      <c r="O4600" s="58"/>
      <c r="P4600" s="53"/>
      <c r="Q4600" s="65"/>
      <c r="R4600" s="65"/>
      <c r="S4600" s="65"/>
      <c r="T4600" s="65"/>
      <c r="U4600" s="58"/>
      <c r="V4600" s="65"/>
      <c r="W4600" s="65"/>
      <c r="X4600" s="65"/>
      <c r="Y4600" s="65"/>
      <c r="Z4600" s="51"/>
      <c r="AA4600" s="51"/>
      <c r="AB4600" s="102"/>
      <c r="AC4600" s="81" t="e">
        <f t="shared" si="217"/>
        <v>#DIV/0!</v>
      </c>
      <c r="AD4600" s="82">
        <f t="shared" si="218"/>
        <v>0</v>
      </c>
      <c r="AE4600" s="218"/>
      <c r="AH4600" t="str">
        <f t="shared" si="216"/>
        <v>0000</v>
      </c>
      <c r="AJ4600" s="72"/>
      <c r="AK4600" s="72"/>
      <c r="AL4600" s="72"/>
      <c r="AM4600" s="72"/>
    </row>
    <row r="4601" spans="1:39" x14ac:dyDescent="0.25">
      <c r="A4601" s="37" t="s">
        <v>62</v>
      </c>
      <c r="B4601" s="66"/>
      <c r="C4601" s="4"/>
      <c r="D4601" s="41"/>
      <c r="E4601" s="41"/>
      <c r="F4601" s="85"/>
      <c r="G4601" s="39"/>
      <c r="H4601" s="52"/>
      <c r="I4601" s="52"/>
      <c r="J4601" s="49"/>
      <c r="K4601" s="58"/>
      <c r="L4601" s="58"/>
      <c r="M4601" s="58"/>
      <c r="N4601" s="58"/>
      <c r="O4601" s="58"/>
      <c r="P4601" s="53"/>
      <c r="Q4601" s="65"/>
      <c r="R4601" s="65"/>
      <c r="S4601" s="65"/>
      <c r="T4601" s="65"/>
      <c r="U4601" s="58"/>
      <c r="V4601" s="65"/>
      <c r="W4601" s="65"/>
      <c r="X4601" s="65"/>
      <c r="Y4601" s="65"/>
      <c r="Z4601" s="51"/>
      <c r="AA4601" s="51"/>
      <c r="AB4601" s="102"/>
      <c r="AC4601" s="81" t="e">
        <f t="shared" si="217"/>
        <v>#DIV/0!</v>
      </c>
      <c r="AD4601" s="82">
        <f t="shared" si="218"/>
        <v>0</v>
      </c>
      <c r="AE4601" s="218"/>
      <c r="AH4601" t="str">
        <f t="shared" si="216"/>
        <v>0000</v>
      </c>
      <c r="AJ4601" s="72"/>
      <c r="AK4601" s="72"/>
      <c r="AL4601" s="72"/>
      <c r="AM4601" s="72"/>
    </row>
    <row r="4602" spans="1:39" x14ac:dyDescent="0.25">
      <c r="A4602" s="37" t="s">
        <v>62</v>
      </c>
      <c r="B4602" s="66"/>
      <c r="C4602" s="4"/>
      <c r="D4602" s="41"/>
      <c r="E4602" s="41"/>
      <c r="F4602" s="85"/>
      <c r="G4602" s="39"/>
      <c r="H4602" s="52"/>
      <c r="I4602" s="52"/>
      <c r="J4602" s="49"/>
      <c r="K4602" s="58"/>
      <c r="L4602" s="58"/>
      <c r="M4602" s="58"/>
      <c r="N4602" s="58"/>
      <c r="O4602" s="58"/>
      <c r="P4602" s="53"/>
      <c r="Q4602" s="65"/>
      <c r="R4602" s="65"/>
      <c r="S4602" s="65"/>
      <c r="T4602" s="65"/>
      <c r="U4602" s="58"/>
      <c r="V4602" s="65"/>
      <c r="W4602" s="65"/>
      <c r="X4602" s="65"/>
      <c r="Y4602" s="65"/>
      <c r="Z4602" s="51"/>
      <c r="AA4602" s="51"/>
      <c r="AB4602" s="102"/>
      <c r="AC4602" s="81" t="e">
        <f t="shared" si="217"/>
        <v>#DIV/0!</v>
      </c>
      <c r="AD4602" s="82">
        <f t="shared" si="218"/>
        <v>0</v>
      </c>
      <c r="AE4602" s="218"/>
      <c r="AH4602" t="str">
        <f t="shared" ref="AH4602:AH4665" si="219">TEXT(D4602,"0000")</f>
        <v>0000</v>
      </c>
      <c r="AJ4602" s="72"/>
      <c r="AK4602" s="72"/>
      <c r="AL4602" s="72"/>
      <c r="AM4602" s="72"/>
    </row>
    <row r="4603" spans="1:39" x14ac:dyDescent="0.25">
      <c r="A4603" s="37" t="s">
        <v>62</v>
      </c>
      <c r="B4603" s="66"/>
      <c r="C4603" s="4"/>
      <c r="D4603" s="41"/>
      <c r="E4603" s="41"/>
      <c r="F4603" s="85"/>
      <c r="G4603" s="39"/>
      <c r="H4603" s="52"/>
      <c r="I4603" s="52"/>
      <c r="J4603" s="49"/>
      <c r="K4603" s="58"/>
      <c r="L4603" s="58"/>
      <c r="M4603" s="58"/>
      <c r="N4603" s="58"/>
      <c r="O4603" s="58"/>
      <c r="P4603" s="53"/>
      <c r="Q4603" s="65"/>
      <c r="R4603" s="65"/>
      <c r="S4603" s="65"/>
      <c r="T4603" s="65"/>
      <c r="U4603" s="58"/>
      <c r="V4603" s="65"/>
      <c r="W4603" s="65"/>
      <c r="X4603" s="65"/>
      <c r="Y4603" s="65"/>
      <c r="Z4603" s="51"/>
      <c r="AA4603" s="51"/>
      <c r="AB4603" s="102"/>
      <c r="AC4603" s="81" t="e">
        <f t="shared" si="217"/>
        <v>#DIV/0!</v>
      </c>
      <c r="AD4603" s="82">
        <f t="shared" si="218"/>
        <v>0</v>
      </c>
      <c r="AE4603" s="218"/>
      <c r="AH4603" t="str">
        <f t="shared" si="219"/>
        <v>0000</v>
      </c>
      <c r="AJ4603" s="72"/>
      <c r="AK4603" s="72"/>
      <c r="AL4603" s="72"/>
      <c r="AM4603" s="72"/>
    </row>
    <row r="4604" spans="1:39" x14ac:dyDescent="0.25">
      <c r="A4604" s="37" t="s">
        <v>62</v>
      </c>
      <c r="B4604" s="66"/>
      <c r="C4604" s="4"/>
      <c r="D4604" s="41"/>
      <c r="E4604" s="41"/>
      <c r="F4604" s="85"/>
      <c r="G4604" s="39"/>
      <c r="H4604" s="52"/>
      <c r="I4604" s="52"/>
      <c r="J4604" s="49"/>
      <c r="K4604" s="58"/>
      <c r="L4604" s="58"/>
      <c r="M4604" s="58"/>
      <c r="N4604" s="58"/>
      <c r="O4604" s="58"/>
      <c r="P4604" s="53"/>
      <c r="Q4604" s="65"/>
      <c r="R4604" s="65"/>
      <c r="S4604" s="65"/>
      <c r="T4604" s="65"/>
      <c r="U4604" s="58"/>
      <c r="V4604" s="65"/>
      <c r="W4604" s="65"/>
      <c r="X4604" s="65"/>
      <c r="Y4604" s="65"/>
      <c r="Z4604" s="51"/>
      <c r="AA4604" s="51"/>
      <c r="AB4604" s="102"/>
      <c r="AC4604" s="81" t="e">
        <f t="shared" si="217"/>
        <v>#DIV/0!</v>
      </c>
      <c r="AD4604" s="82">
        <f t="shared" si="218"/>
        <v>0</v>
      </c>
      <c r="AE4604" s="218"/>
      <c r="AH4604" t="str">
        <f t="shared" si="219"/>
        <v>0000</v>
      </c>
      <c r="AJ4604" s="72"/>
      <c r="AK4604" s="72"/>
      <c r="AL4604" s="72"/>
      <c r="AM4604" s="72"/>
    </row>
    <row r="4605" spans="1:39" x14ac:dyDescent="0.25">
      <c r="A4605" s="37" t="s">
        <v>62</v>
      </c>
      <c r="B4605" s="66"/>
      <c r="C4605" s="4"/>
      <c r="D4605" s="41"/>
      <c r="E4605" s="41"/>
      <c r="F4605" s="85"/>
      <c r="G4605" s="39"/>
      <c r="H4605" s="52"/>
      <c r="I4605" s="52"/>
      <c r="J4605" s="49"/>
      <c r="K4605" s="58"/>
      <c r="L4605" s="58"/>
      <c r="M4605" s="58"/>
      <c r="N4605" s="58"/>
      <c r="O4605" s="58"/>
      <c r="P4605" s="53"/>
      <c r="Q4605" s="65"/>
      <c r="R4605" s="65"/>
      <c r="S4605" s="65"/>
      <c r="T4605" s="65"/>
      <c r="U4605" s="58"/>
      <c r="V4605" s="65"/>
      <c r="W4605" s="65"/>
      <c r="X4605" s="65"/>
      <c r="Y4605" s="65"/>
      <c r="Z4605" s="51"/>
      <c r="AA4605" s="51"/>
      <c r="AB4605" s="102"/>
      <c r="AC4605" s="81" t="e">
        <f t="shared" si="217"/>
        <v>#DIV/0!</v>
      </c>
      <c r="AD4605" s="82">
        <f t="shared" si="218"/>
        <v>0</v>
      </c>
      <c r="AE4605" s="218"/>
      <c r="AH4605" t="str">
        <f t="shared" si="219"/>
        <v>0000</v>
      </c>
      <c r="AJ4605" s="72"/>
      <c r="AK4605" s="72"/>
      <c r="AL4605" s="72"/>
      <c r="AM4605" s="72"/>
    </row>
    <row r="4606" spans="1:39" x14ac:dyDescent="0.25">
      <c r="A4606" s="37" t="s">
        <v>62</v>
      </c>
      <c r="B4606" s="66"/>
      <c r="C4606" s="4"/>
      <c r="D4606" s="41"/>
      <c r="E4606" s="41"/>
      <c r="F4606" s="85"/>
      <c r="G4606" s="39"/>
      <c r="H4606" s="52"/>
      <c r="I4606" s="52"/>
      <c r="J4606" s="49"/>
      <c r="K4606" s="58"/>
      <c r="L4606" s="58"/>
      <c r="M4606" s="58"/>
      <c r="N4606" s="58"/>
      <c r="O4606" s="58"/>
      <c r="P4606" s="53"/>
      <c r="Q4606" s="65"/>
      <c r="R4606" s="65"/>
      <c r="S4606" s="65"/>
      <c r="T4606" s="65"/>
      <c r="U4606" s="58"/>
      <c r="V4606" s="65"/>
      <c r="W4606" s="65"/>
      <c r="X4606" s="65"/>
      <c r="Y4606" s="65"/>
      <c r="Z4606" s="51"/>
      <c r="AA4606" s="51"/>
      <c r="AB4606" s="102"/>
      <c r="AC4606" s="81" t="e">
        <f t="shared" si="217"/>
        <v>#DIV/0!</v>
      </c>
      <c r="AD4606" s="82">
        <f t="shared" si="218"/>
        <v>0</v>
      </c>
      <c r="AE4606" s="218"/>
      <c r="AH4606" t="str">
        <f t="shared" si="219"/>
        <v>0000</v>
      </c>
      <c r="AJ4606" s="72"/>
      <c r="AK4606" s="72"/>
      <c r="AL4606" s="72"/>
      <c r="AM4606" s="72"/>
    </row>
    <row r="4607" spans="1:39" x14ac:dyDescent="0.25">
      <c r="A4607" s="37" t="s">
        <v>62</v>
      </c>
      <c r="B4607" s="66"/>
      <c r="C4607" s="4"/>
      <c r="D4607" s="41"/>
      <c r="E4607" s="41"/>
      <c r="F4607" s="85"/>
      <c r="G4607" s="39"/>
      <c r="H4607" s="52"/>
      <c r="I4607" s="52"/>
      <c r="J4607" s="49"/>
      <c r="K4607" s="58"/>
      <c r="L4607" s="58"/>
      <c r="M4607" s="58"/>
      <c r="N4607" s="58"/>
      <c r="O4607" s="58"/>
      <c r="P4607" s="53"/>
      <c r="Q4607" s="65"/>
      <c r="R4607" s="65"/>
      <c r="S4607" s="65"/>
      <c r="T4607" s="65"/>
      <c r="U4607" s="58"/>
      <c r="V4607" s="65"/>
      <c r="W4607" s="65"/>
      <c r="X4607" s="65"/>
      <c r="Y4607" s="65"/>
      <c r="Z4607" s="51"/>
      <c r="AA4607" s="51"/>
      <c r="AB4607" s="102"/>
      <c r="AC4607" s="81" t="e">
        <f t="shared" si="217"/>
        <v>#DIV/0!</v>
      </c>
      <c r="AD4607" s="82">
        <f t="shared" si="218"/>
        <v>0</v>
      </c>
      <c r="AE4607" s="218"/>
      <c r="AH4607" t="str">
        <f t="shared" si="219"/>
        <v>0000</v>
      </c>
      <c r="AJ4607" s="72"/>
      <c r="AK4607" s="72"/>
      <c r="AL4607" s="72"/>
      <c r="AM4607" s="72"/>
    </row>
    <row r="4608" spans="1:39" x14ac:dyDescent="0.25">
      <c r="A4608" s="37" t="s">
        <v>62</v>
      </c>
      <c r="B4608" s="66"/>
      <c r="C4608" s="4"/>
      <c r="D4608" s="41"/>
      <c r="E4608" s="41"/>
      <c r="F4608" s="85"/>
      <c r="G4608" s="39"/>
      <c r="H4608" s="52"/>
      <c r="I4608" s="52"/>
      <c r="J4608" s="49"/>
      <c r="K4608" s="58"/>
      <c r="L4608" s="58"/>
      <c r="M4608" s="58"/>
      <c r="N4608" s="58"/>
      <c r="O4608" s="58"/>
      <c r="P4608" s="53"/>
      <c r="Q4608" s="65"/>
      <c r="R4608" s="65"/>
      <c r="S4608" s="65"/>
      <c r="T4608" s="65"/>
      <c r="U4608" s="58"/>
      <c r="V4608" s="65"/>
      <c r="W4608" s="65"/>
      <c r="X4608" s="65"/>
      <c r="Y4608" s="65"/>
      <c r="Z4608" s="51"/>
      <c r="AA4608" s="51"/>
      <c r="AB4608" s="102"/>
      <c r="AC4608" s="81" t="e">
        <f t="shared" si="217"/>
        <v>#DIV/0!</v>
      </c>
      <c r="AD4608" s="82">
        <f t="shared" si="218"/>
        <v>0</v>
      </c>
      <c r="AE4608" s="218"/>
      <c r="AH4608" t="str">
        <f t="shared" si="219"/>
        <v>0000</v>
      </c>
      <c r="AJ4608" s="72"/>
      <c r="AK4608" s="72"/>
      <c r="AL4608" s="72"/>
      <c r="AM4608" s="72"/>
    </row>
    <row r="4609" spans="1:39" x14ac:dyDescent="0.25">
      <c r="A4609" s="37" t="s">
        <v>62</v>
      </c>
      <c r="B4609" s="66"/>
      <c r="C4609" s="4"/>
      <c r="D4609" s="41"/>
      <c r="E4609" s="41"/>
      <c r="F4609" s="85"/>
      <c r="G4609" s="39"/>
      <c r="H4609" s="52"/>
      <c r="I4609" s="52"/>
      <c r="J4609" s="49"/>
      <c r="K4609" s="58"/>
      <c r="L4609" s="58"/>
      <c r="M4609" s="58"/>
      <c r="N4609" s="58"/>
      <c r="O4609" s="58"/>
      <c r="P4609" s="53"/>
      <c r="Q4609" s="65"/>
      <c r="R4609" s="65"/>
      <c r="S4609" s="65"/>
      <c r="T4609" s="65"/>
      <c r="U4609" s="58"/>
      <c r="V4609" s="65"/>
      <c r="W4609" s="65"/>
      <c r="X4609" s="65"/>
      <c r="Y4609" s="65"/>
      <c r="Z4609" s="51"/>
      <c r="AA4609" s="51"/>
      <c r="AB4609" s="102"/>
      <c r="AC4609" s="81" t="e">
        <f t="shared" ref="AC4609:AC4672" si="220">((IF(AD4609=0,0,100-AD4609))*7*(J4609/I4609))*2%</f>
        <v>#DIV/0!</v>
      </c>
      <c r="AD4609" s="82">
        <f t="shared" ref="AD4609:AD4672" si="221">IF((I4609/7)&gt;100,0,(I4609/7))</f>
        <v>0</v>
      </c>
      <c r="AE4609" s="218"/>
      <c r="AH4609" t="str">
        <f t="shared" si="219"/>
        <v>0000</v>
      </c>
      <c r="AJ4609" s="72"/>
      <c r="AK4609" s="72"/>
      <c r="AL4609" s="72"/>
      <c r="AM4609" s="72"/>
    </row>
    <row r="4610" spans="1:39" x14ac:dyDescent="0.25">
      <c r="A4610" s="37" t="s">
        <v>62</v>
      </c>
      <c r="B4610" s="66"/>
      <c r="C4610" s="4"/>
      <c r="D4610" s="41"/>
      <c r="E4610" s="41"/>
      <c r="F4610" s="85"/>
      <c r="G4610" s="39"/>
      <c r="H4610" s="52"/>
      <c r="I4610" s="52"/>
      <c r="J4610" s="49"/>
      <c r="K4610" s="58"/>
      <c r="L4610" s="58"/>
      <c r="M4610" s="58"/>
      <c r="N4610" s="58"/>
      <c r="O4610" s="58"/>
      <c r="P4610" s="53"/>
      <c r="Q4610" s="65"/>
      <c r="R4610" s="65"/>
      <c r="S4610" s="65"/>
      <c r="T4610" s="65"/>
      <c r="U4610" s="58"/>
      <c r="V4610" s="65"/>
      <c r="W4610" s="65"/>
      <c r="X4610" s="65"/>
      <c r="Y4610" s="65"/>
      <c r="Z4610" s="51"/>
      <c r="AA4610" s="51"/>
      <c r="AB4610" s="102"/>
      <c r="AC4610" s="81" t="e">
        <f t="shared" si="220"/>
        <v>#DIV/0!</v>
      </c>
      <c r="AD4610" s="82">
        <f t="shared" si="221"/>
        <v>0</v>
      </c>
      <c r="AE4610" s="218"/>
      <c r="AH4610" t="str">
        <f t="shared" si="219"/>
        <v>0000</v>
      </c>
      <c r="AJ4610" s="72"/>
      <c r="AK4610" s="72"/>
      <c r="AL4610" s="72"/>
      <c r="AM4610" s="72"/>
    </row>
    <row r="4611" spans="1:39" x14ac:dyDescent="0.25">
      <c r="A4611" s="37" t="s">
        <v>62</v>
      </c>
      <c r="B4611" s="66"/>
      <c r="C4611" s="4"/>
      <c r="D4611" s="41"/>
      <c r="E4611" s="41"/>
      <c r="F4611" s="85"/>
      <c r="G4611" s="39"/>
      <c r="H4611" s="52"/>
      <c r="I4611" s="52"/>
      <c r="J4611" s="49"/>
      <c r="K4611" s="58"/>
      <c r="L4611" s="58"/>
      <c r="M4611" s="58"/>
      <c r="N4611" s="58"/>
      <c r="O4611" s="58"/>
      <c r="P4611" s="53"/>
      <c r="Q4611" s="65"/>
      <c r="R4611" s="65"/>
      <c r="S4611" s="65"/>
      <c r="T4611" s="65"/>
      <c r="U4611" s="58"/>
      <c r="V4611" s="65"/>
      <c r="W4611" s="65"/>
      <c r="X4611" s="65"/>
      <c r="Y4611" s="65"/>
      <c r="Z4611" s="51"/>
      <c r="AA4611" s="51"/>
      <c r="AB4611" s="102"/>
      <c r="AC4611" s="81" t="e">
        <f t="shared" si="220"/>
        <v>#DIV/0!</v>
      </c>
      <c r="AD4611" s="82">
        <f t="shared" si="221"/>
        <v>0</v>
      </c>
      <c r="AE4611" s="218"/>
      <c r="AH4611" t="str">
        <f t="shared" si="219"/>
        <v>0000</v>
      </c>
      <c r="AJ4611" s="72"/>
      <c r="AK4611" s="72"/>
      <c r="AL4611" s="72"/>
      <c r="AM4611" s="72"/>
    </row>
    <row r="4612" spans="1:39" x14ac:dyDescent="0.25">
      <c r="A4612" s="37" t="s">
        <v>62</v>
      </c>
      <c r="B4612" s="66"/>
      <c r="C4612" s="4"/>
      <c r="D4612" s="41"/>
      <c r="E4612" s="41"/>
      <c r="F4612" s="85"/>
      <c r="G4612" s="39"/>
      <c r="H4612" s="52"/>
      <c r="I4612" s="52"/>
      <c r="J4612" s="49"/>
      <c r="K4612" s="58"/>
      <c r="L4612" s="58"/>
      <c r="M4612" s="58"/>
      <c r="N4612" s="58"/>
      <c r="O4612" s="58"/>
      <c r="P4612" s="53"/>
      <c r="Q4612" s="65"/>
      <c r="R4612" s="65"/>
      <c r="S4612" s="65"/>
      <c r="T4612" s="65"/>
      <c r="U4612" s="58"/>
      <c r="V4612" s="65"/>
      <c r="W4612" s="65"/>
      <c r="X4612" s="65"/>
      <c r="Y4612" s="65"/>
      <c r="Z4612" s="51"/>
      <c r="AA4612" s="51"/>
      <c r="AB4612" s="102"/>
      <c r="AC4612" s="81" t="e">
        <f t="shared" si="220"/>
        <v>#DIV/0!</v>
      </c>
      <c r="AD4612" s="82">
        <f t="shared" si="221"/>
        <v>0</v>
      </c>
      <c r="AE4612" s="218"/>
      <c r="AH4612" t="str">
        <f t="shared" si="219"/>
        <v>0000</v>
      </c>
      <c r="AJ4612" s="72"/>
      <c r="AK4612" s="72"/>
      <c r="AL4612" s="72"/>
      <c r="AM4612" s="72"/>
    </row>
    <row r="4613" spans="1:39" x14ac:dyDescent="0.25">
      <c r="A4613" s="37" t="s">
        <v>62</v>
      </c>
      <c r="B4613" s="66"/>
      <c r="C4613" s="4"/>
      <c r="D4613" s="41"/>
      <c r="E4613" s="41"/>
      <c r="F4613" s="85"/>
      <c r="G4613" s="39"/>
      <c r="H4613" s="52"/>
      <c r="I4613" s="52"/>
      <c r="J4613" s="49"/>
      <c r="K4613" s="58"/>
      <c r="L4613" s="58"/>
      <c r="M4613" s="58"/>
      <c r="N4613" s="58"/>
      <c r="O4613" s="58"/>
      <c r="P4613" s="53"/>
      <c r="Q4613" s="65"/>
      <c r="R4613" s="65"/>
      <c r="S4613" s="65"/>
      <c r="T4613" s="65"/>
      <c r="U4613" s="58"/>
      <c r="V4613" s="65"/>
      <c r="W4613" s="65"/>
      <c r="X4613" s="65"/>
      <c r="Y4613" s="65"/>
      <c r="Z4613" s="51"/>
      <c r="AA4613" s="51"/>
      <c r="AB4613" s="102"/>
      <c r="AC4613" s="81" t="e">
        <f t="shared" si="220"/>
        <v>#DIV/0!</v>
      </c>
      <c r="AD4613" s="82">
        <f t="shared" si="221"/>
        <v>0</v>
      </c>
      <c r="AE4613" s="218"/>
      <c r="AH4613" t="str">
        <f t="shared" si="219"/>
        <v>0000</v>
      </c>
      <c r="AJ4613" s="72"/>
      <c r="AK4613" s="72"/>
      <c r="AL4613" s="72"/>
      <c r="AM4613" s="72"/>
    </row>
    <row r="4614" spans="1:39" x14ac:dyDescent="0.25">
      <c r="A4614" s="37" t="s">
        <v>62</v>
      </c>
      <c r="B4614" s="66"/>
      <c r="C4614" s="4"/>
      <c r="D4614" s="41"/>
      <c r="E4614" s="41"/>
      <c r="F4614" s="85"/>
      <c r="G4614" s="39"/>
      <c r="H4614" s="52"/>
      <c r="I4614" s="52"/>
      <c r="J4614" s="49"/>
      <c r="K4614" s="58"/>
      <c r="L4614" s="58"/>
      <c r="M4614" s="58"/>
      <c r="N4614" s="58"/>
      <c r="O4614" s="58"/>
      <c r="P4614" s="53"/>
      <c r="Q4614" s="65"/>
      <c r="R4614" s="65"/>
      <c r="S4614" s="65"/>
      <c r="T4614" s="65"/>
      <c r="U4614" s="58"/>
      <c r="V4614" s="65"/>
      <c r="W4614" s="65"/>
      <c r="X4614" s="65"/>
      <c r="Y4614" s="65"/>
      <c r="Z4614" s="51"/>
      <c r="AA4614" s="51"/>
      <c r="AB4614" s="102"/>
      <c r="AC4614" s="81" t="e">
        <f t="shared" si="220"/>
        <v>#DIV/0!</v>
      </c>
      <c r="AD4614" s="82">
        <f t="shared" si="221"/>
        <v>0</v>
      </c>
      <c r="AE4614" s="218"/>
      <c r="AH4614" t="str">
        <f t="shared" si="219"/>
        <v>0000</v>
      </c>
      <c r="AJ4614" s="72"/>
      <c r="AK4614" s="72"/>
      <c r="AL4614" s="72"/>
      <c r="AM4614" s="72"/>
    </row>
    <row r="4615" spans="1:39" x14ac:dyDescent="0.25">
      <c r="A4615" s="37" t="s">
        <v>62</v>
      </c>
      <c r="B4615" s="66"/>
      <c r="C4615" s="4"/>
      <c r="D4615" s="41"/>
      <c r="E4615" s="41"/>
      <c r="F4615" s="85"/>
      <c r="G4615" s="39"/>
      <c r="H4615" s="52"/>
      <c r="I4615" s="52"/>
      <c r="J4615" s="49"/>
      <c r="K4615" s="58"/>
      <c r="L4615" s="58"/>
      <c r="M4615" s="58"/>
      <c r="N4615" s="58"/>
      <c r="O4615" s="58"/>
      <c r="P4615" s="53"/>
      <c r="Q4615" s="65"/>
      <c r="R4615" s="65"/>
      <c r="S4615" s="65"/>
      <c r="T4615" s="65"/>
      <c r="U4615" s="58"/>
      <c r="V4615" s="65"/>
      <c r="W4615" s="65"/>
      <c r="X4615" s="65"/>
      <c r="Y4615" s="65"/>
      <c r="Z4615" s="51"/>
      <c r="AA4615" s="51"/>
      <c r="AB4615" s="102"/>
      <c r="AC4615" s="81" t="e">
        <f t="shared" si="220"/>
        <v>#DIV/0!</v>
      </c>
      <c r="AD4615" s="82">
        <f t="shared" si="221"/>
        <v>0</v>
      </c>
      <c r="AE4615" s="218"/>
      <c r="AH4615" t="str">
        <f t="shared" si="219"/>
        <v>0000</v>
      </c>
      <c r="AJ4615" s="72"/>
      <c r="AK4615" s="72"/>
      <c r="AL4615" s="72"/>
      <c r="AM4615" s="72"/>
    </row>
    <row r="4616" spans="1:39" x14ac:dyDescent="0.25">
      <c r="A4616" s="37" t="s">
        <v>62</v>
      </c>
      <c r="B4616" s="66"/>
      <c r="C4616" s="4"/>
      <c r="D4616" s="41"/>
      <c r="E4616" s="41"/>
      <c r="F4616" s="85"/>
      <c r="G4616" s="39"/>
      <c r="H4616" s="52"/>
      <c r="I4616" s="52"/>
      <c r="J4616" s="49"/>
      <c r="K4616" s="58"/>
      <c r="L4616" s="58"/>
      <c r="M4616" s="58"/>
      <c r="N4616" s="58"/>
      <c r="O4616" s="58"/>
      <c r="P4616" s="53"/>
      <c r="Q4616" s="65"/>
      <c r="R4616" s="65"/>
      <c r="S4616" s="65"/>
      <c r="T4616" s="65"/>
      <c r="U4616" s="58"/>
      <c r="V4616" s="65"/>
      <c r="W4616" s="65"/>
      <c r="X4616" s="65"/>
      <c r="Y4616" s="65"/>
      <c r="Z4616" s="51"/>
      <c r="AA4616" s="51"/>
      <c r="AB4616" s="102"/>
      <c r="AC4616" s="81" t="e">
        <f t="shared" si="220"/>
        <v>#DIV/0!</v>
      </c>
      <c r="AD4616" s="82">
        <f t="shared" si="221"/>
        <v>0</v>
      </c>
      <c r="AE4616" s="218"/>
      <c r="AH4616" t="str">
        <f t="shared" si="219"/>
        <v>0000</v>
      </c>
      <c r="AJ4616" s="72"/>
      <c r="AK4616" s="72"/>
      <c r="AL4616" s="72"/>
      <c r="AM4616" s="72"/>
    </row>
    <row r="4617" spans="1:39" x14ac:dyDescent="0.25">
      <c r="A4617" s="37" t="s">
        <v>62</v>
      </c>
      <c r="B4617" s="66"/>
      <c r="C4617" s="4"/>
      <c r="D4617" s="41"/>
      <c r="E4617" s="41"/>
      <c r="F4617" s="85"/>
      <c r="G4617" s="39"/>
      <c r="H4617" s="52"/>
      <c r="I4617" s="52"/>
      <c r="J4617" s="49"/>
      <c r="K4617" s="58"/>
      <c r="L4617" s="58"/>
      <c r="M4617" s="58"/>
      <c r="N4617" s="58"/>
      <c r="O4617" s="58"/>
      <c r="P4617" s="53"/>
      <c r="Q4617" s="65"/>
      <c r="R4617" s="65"/>
      <c r="S4617" s="65"/>
      <c r="T4617" s="65"/>
      <c r="U4617" s="58"/>
      <c r="V4617" s="65"/>
      <c r="W4617" s="65"/>
      <c r="X4617" s="65"/>
      <c r="Y4617" s="65"/>
      <c r="Z4617" s="51"/>
      <c r="AA4617" s="51"/>
      <c r="AB4617" s="102"/>
      <c r="AC4617" s="81" t="e">
        <f t="shared" si="220"/>
        <v>#DIV/0!</v>
      </c>
      <c r="AD4617" s="82">
        <f t="shared" si="221"/>
        <v>0</v>
      </c>
      <c r="AE4617" s="218"/>
      <c r="AH4617" t="str">
        <f t="shared" si="219"/>
        <v>0000</v>
      </c>
      <c r="AJ4617" s="72"/>
      <c r="AK4617" s="72"/>
      <c r="AL4617" s="72"/>
      <c r="AM4617" s="72"/>
    </row>
    <row r="4618" spans="1:39" x14ac:dyDescent="0.25">
      <c r="A4618" s="37" t="s">
        <v>62</v>
      </c>
      <c r="B4618" s="66"/>
      <c r="C4618" s="4"/>
      <c r="D4618" s="41"/>
      <c r="E4618" s="41"/>
      <c r="F4618" s="85"/>
      <c r="G4618" s="39"/>
      <c r="H4618" s="52"/>
      <c r="I4618" s="52"/>
      <c r="J4618" s="49"/>
      <c r="K4618" s="58"/>
      <c r="L4618" s="58"/>
      <c r="M4618" s="58"/>
      <c r="N4618" s="58"/>
      <c r="O4618" s="58"/>
      <c r="P4618" s="53"/>
      <c r="Q4618" s="65"/>
      <c r="R4618" s="65"/>
      <c r="S4618" s="65"/>
      <c r="T4618" s="65"/>
      <c r="U4618" s="58"/>
      <c r="V4618" s="65"/>
      <c r="W4618" s="65"/>
      <c r="X4618" s="65"/>
      <c r="Y4618" s="65"/>
      <c r="Z4618" s="51"/>
      <c r="AA4618" s="51"/>
      <c r="AB4618" s="102"/>
      <c r="AC4618" s="81" t="e">
        <f t="shared" si="220"/>
        <v>#DIV/0!</v>
      </c>
      <c r="AD4618" s="82">
        <f t="shared" si="221"/>
        <v>0</v>
      </c>
      <c r="AE4618" s="218"/>
      <c r="AH4618" t="str">
        <f t="shared" si="219"/>
        <v>0000</v>
      </c>
      <c r="AJ4618" s="72"/>
      <c r="AK4618" s="72"/>
      <c r="AL4618" s="72"/>
      <c r="AM4618" s="72"/>
    </row>
    <row r="4619" spans="1:39" x14ac:dyDescent="0.25">
      <c r="A4619" s="37" t="s">
        <v>62</v>
      </c>
      <c r="B4619" s="66"/>
      <c r="C4619" s="4"/>
      <c r="D4619" s="41"/>
      <c r="E4619" s="41"/>
      <c r="F4619" s="85"/>
      <c r="G4619" s="39"/>
      <c r="H4619" s="52"/>
      <c r="I4619" s="52"/>
      <c r="J4619" s="49"/>
      <c r="K4619" s="58"/>
      <c r="L4619" s="58"/>
      <c r="M4619" s="58"/>
      <c r="N4619" s="58"/>
      <c r="O4619" s="58"/>
      <c r="P4619" s="53"/>
      <c r="Q4619" s="65"/>
      <c r="R4619" s="65"/>
      <c r="S4619" s="65"/>
      <c r="T4619" s="65"/>
      <c r="U4619" s="58"/>
      <c r="V4619" s="65"/>
      <c r="W4619" s="65"/>
      <c r="X4619" s="65"/>
      <c r="Y4619" s="65"/>
      <c r="Z4619" s="51"/>
      <c r="AA4619" s="51"/>
      <c r="AB4619" s="102"/>
      <c r="AC4619" s="81" t="e">
        <f t="shared" si="220"/>
        <v>#DIV/0!</v>
      </c>
      <c r="AD4619" s="82">
        <f t="shared" si="221"/>
        <v>0</v>
      </c>
      <c r="AE4619" s="218"/>
      <c r="AH4619" t="str">
        <f t="shared" si="219"/>
        <v>0000</v>
      </c>
      <c r="AJ4619" s="72"/>
      <c r="AK4619" s="72"/>
      <c r="AL4619" s="72"/>
      <c r="AM4619" s="72"/>
    </row>
    <row r="4620" spans="1:39" x14ac:dyDescent="0.25">
      <c r="A4620" s="37" t="s">
        <v>62</v>
      </c>
      <c r="B4620" s="66"/>
      <c r="C4620" s="4"/>
      <c r="D4620" s="41"/>
      <c r="E4620" s="41"/>
      <c r="F4620" s="85"/>
      <c r="G4620" s="39"/>
      <c r="H4620" s="52"/>
      <c r="I4620" s="52"/>
      <c r="J4620" s="49"/>
      <c r="K4620" s="58"/>
      <c r="L4620" s="58"/>
      <c r="M4620" s="58"/>
      <c r="N4620" s="58"/>
      <c r="O4620" s="58"/>
      <c r="P4620" s="53"/>
      <c r="Q4620" s="65"/>
      <c r="R4620" s="65"/>
      <c r="S4620" s="65"/>
      <c r="T4620" s="65"/>
      <c r="U4620" s="58"/>
      <c r="V4620" s="65"/>
      <c r="W4620" s="65"/>
      <c r="X4620" s="65"/>
      <c r="Y4620" s="65"/>
      <c r="Z4620" s="51"/>
      <c r="AA4620" s="51"/>
      <c r="AB4620" s="102"/>
      <c r="AC4620" s="81" t="e">
        <f t="shared" si="220"/>
        <v>#DIV/0!</v>
      </c>
      <c r="AD4620" s="82">
        <f t="shared" si="221"/>
        <v>0</v>
      </c>
      <c r="AE4620" s="218"/>
      <c r="AH4620" t="str">
        <f t="shared" si="219"/>
        <v>0000</v>
      </c>
      <c r="AJ4620" s="72"/>
      <c r="AK4620" s="72"/>
      <c r="AL4620" s="72"/>
      <c r="AM4620" s="72"/>
    </row>
    <row r="4621" spans="1:39" x14ac:dyDescent="0.25">
      <c r="A4621" s="37" t="s">
        <v>62</v>
      </c>
      <c r="B4621" s="66"/>
      <c r="C4621" s="4"/>
      <c r="D4621" s="41"/>
      <c r="E4621" s="41"/>
      <c r="F4621" s="85"/>
      <c r="G4621" s="39"/>
      <c r="H4621" s="52"/>
      <c r="I4621" s="52"/>
      <c r="J4621" s="49"/>
      <c r="K4621" s="58"/>
      <c r="L4621" s="58"/>
      <c r="M4621" s="58"/>
      <c r="N4621" s="58"/>
      <c r="O4621" s="58"/>
      <c r="P4621" s="53"/>
      <c r="Q4621" s="65"/>
      <c r="R4621" s="65"/>
      <c r="S4621" s="65"/>
      <c r="T4621" s="65"/>
      <c r="U4621" s="58"/>
      <c r="V4621" s="65"/>
      <c r="W4621" s="65"/>
      <c r="X4621" s="65"/>
      <c r="Y4621" s="65"/>
      <c r="Z4621" s="51"/>
      <c r="AA4621" s="51"/>
      <c r="AB4621" s="102"/>
      <c r="AC4621" s="81" t="e">
        <f t="shared" si="220"/>
        <v>#DIV/0!</v>
      </c>
      <c r="AD4621" s="82">
        <f t="shared" si="221"/>
        <v>0</v>
      </c>
      <c r="AE4621" s="218"/>
      <c r="AH4621" t="str">
        <f t="shared" si="219"/>
        <v>0000</v>
      </c>
      <c r="AJ4621" s="72"/>
      <c r="AK4621" s="72"/>
      <c r="AL4621" s="72"/>
      <c r="AM4621" s="72"/>
    </row>
    <row r="4622" spans="1:39" x14ac:dyDescent="0.25">
      <c r="A4622" s="37" t="s">
        <v>62</v>
      </c>
      <c r="B4622" s="66"/>
      <c r="C4622" s="4"/>
      <c r="D4622" s="41"/>
      <c r="E4622" s="41"/>
      <c r="F4622" s="85"/>
      <c r="G4622" s="39"/>
      <c r="H4622" s="52"/>
      <c r="I4622" s="52"/>
      <c r="J4622" s="49"/>
      <c r="K4622" s="58"/>
      <c r="L4622" s="58"/>
      <c r="M4622" s="58"/>
      <c r="N4622" s="58"/>
      <c r="O4622" s="58"/>
      <c r="P4622" s="53"/>
      <c r="Q4622" s="65"/>
      <c r="R4622" s="65"/>
      <c r="S4622" s="65"/>
      <c r="T4622" s="65"/>
      <c r="U4622" s="58"/>
      <c r="V4622" s="65"/>
      <c r="W4622" s="65"/>
      <c r="X4622" s="65"/>
      <c r="Y4622" s="65"/>
      <c r="Z4622" s="51"/>
      <c r="AA4622" s="51"/>
      <c r="AB4622" s="102"/>
      <c r="AC4622" s="81" t="e">
        <f t="shared" si="220"/>
        <v>#DIV/0!</v>
      </c>
      <c r="AD4622" s="82">
        <f t="shared" si="221"/>
        <v>0</v>
      </c>
      <c r="AE4622" s="218"/>
      <c r="AH4622" t="str">
        <f t="shared" si="219"/>
        <v>0000</v>
      </c>
      <c r="AJ4622" s="72"/>
      <c r="AK4622" s="72"/>
      <c r="AL4622" s="72"/>
      <c r="AM4622" s="72"/>
    </row>
    <row r="4623" spans="1:39" x14ac:dyDescent="0.25">
      <c r="A4623" s="37" t="s">
        <v>62</v>
      </c>
      <c r="B4623" s="66"/>
      <c r="C4623" s="4"/>
      <c r="D4623" s="41"/>
      <c r="E4623" s="41"/>
      <c r="F4623" s="85"/>
      <c r="G4623" s="39"/>
      <c r="H4623" s="52"/>
      <c r="I4623" s="52"/>
      <c r="J4623" s="49"/>
      <c r="K4623" s="58"/>
      <c r="L4623" s="58"/>
      <c r="M4623" s="58"/>
      <c r="N4623" s="58"/>
      <c r="O4623" s="58"/>
      <c r="P4623" s="53"/>
      <c r="Q4623" s="65"/>
      <c r="R4623" s="65"/>
      <c r="S4623" s="65"/>
      <c r="T4623" s="65"/>
      <c r="U4623" s="58"/>
      <c r="V4623" s="65"/>
      <c r="W4623" s="65"/>
      <c r="X4623" s="65"/>
      <c r="Y4623" s="65"/>
      <c r="Z4623" s="51"/>
      <c r="AA4623" s="51"/>
      <c r="AB4623" s="102"/>
      <c r="AC4623" s="81" t="e">
        <f t="shared" si="220"/>
        <v>#DIV/0!</v>
      </c>
      <c r="AD4623" s="82">
        <f t="shared" si="221"/>
        <v>0</v>
      </c>
      <c r="AE4623" s="218"/>
      <c r="AH4623" t="str">
        <f t="shared" si="219"/>
        <v>0000</v>
      </c>
      <c r="AJ4623" s="72"/>
      <c r="AK4623" s="72"/>
      <c r="AL4623" s="72"/>
      <c r="AM4623" s="72"/>
    </row>
    <row r="4624" spans="1:39" x14ac:dyDescent="0.25">
      <c r="A4624" s="37" t="s">
        <v>62</v>
      </c>
      <c r="B4624" s="66"/>
      <c r="C4624" s="4"/>
      <c r="D4624" s="41"/>
      <c r="E4624" s="41"/>
      <c r="F4624" s="85"/>
      <c r="G4624" s="39"/>
      <c r="H4624" s="52"/>
      <c r="I4624" s="52"/>
      <c r="J4624" s="49"/>
      <c r="K4624" s="58"/>
      <c r="L4624" s="58"/>
      <c r="M4624" s="58"/>
      <c r="N4624" s="58"/>
      <c r="O4624" s="58"/>
      <c r="P4624" s="53"/>
      <c r="Q4624" s="65"/>
      <c r="R4624" s="65"/>
      <c r="S4624" s="65"/>
      <c r="T4624" s="65"/>
      <c r="U4624" s="58"/>
      <c r="V4624" s="65"/>
      <c r="W4624" s="65"/>
      <c r="X4624" s="65"/>
      <c r="Y4624" s="65"/>
      <c r="Z4624" s="51"/>
      <c r="AA4624" s="51"/>
      <c r="AB4624" s="102"/>
      <c r="AC4624" s="81" t="e">
        <f t="shared" si="220"/>
        <v>#DIV/0!</v>
      </c>
      <c r="AD4624" s="82">
        <f t="shared" si="221"/>
        <v>0</v>
      </c>
      <c r="AE4624" s="218"/>
      <c r="AH4624" t="str">
        <f t="shared" si="219"/>
        <v>0000</v>
      </c>
      <c r="AJ4624" s="72"/>
      <c r="AK4624" s="72"/>
      <c r="AL4624" s="72"/>
      <c r="AM4624" s="72"/>
    </row>
    <row r="4625" spans="1:39" x14ac:dyDescent="0.25">
      <c r="A4625" s="37" t="s">
        <v>62</v>
      </c>
      <c r="B4625" s="66"/>
      <c r="C4625" s="4"/>
      <c r="D4625" s="41"/>
      <c r="E4625" s="41"/>
      <c r="F4625" s="85"/>
      <c r="G4625" s="39"/>
      <c r="H4625" s="52"/>
      <c r="I4625" s="52"/>
      <c r="J4625" s="49"/>
      <c r="K4625" s="58"/>
      <c r="L4625" s="58"/>
      <c r="M4625" s="58"/>
      <c r="N4625" s="58"/>
      <c r="O4625" s="58"/>
      <c r="P4625" s="53"/>
      <c r="Q4625" s="65"/>
      <c r="R4625" s="65"/>
      <c r="S4625" s="65"/>
      <c r="T4625" s="65"/>
      <c r="U4625" s="58"/>
      <c r="V4625" s="65"/>
      <c r="W4625" s="65"/>
      <c r="X4625" s="65"/>
      <c r="Y4625" s="65"/>
      <c r="Z4625" s="51"/>
      <c r="AA4625" s="51"/>
      <c r="AB4625" s="102"/>
      <c r="AC4625" s="81" t="e">
        <f t="shared" si="220"/>
        <v>#DIV/0!</v>
      </c>
      <c r="AD4625" s="82">
        <f t="shared" si="221"/>
        <v>0</v>
      </c>
      <c r="AE4625" s="218"/>
      <c r="AH4625" t="str">
        <f t="shared" si="219"/>
        <v>0000</v>
      </c>
      <c r="AJ4625" s="72"/>
      <c r="AK4625" s="72"/>
      <c r="AL4625" s="72"/>
      <c r="AM4625" s="72"/>
    </row>
    <row r="4626" spans="1:39" x14ac:dyDescent="0.25">
      <c r="A4626" s="37" t="s">
        <v>62</v>
      </c>
      <c r="B4626" s="66"/>
      <c r="C4626" s="4"/>
      <c r="D4626" s="41"/>
      <c r="E4626" s="41"/>
      <c r="F4626" s="85"/>
      <c r="G4626" s="39"/>
      <c r="H4626" s="52"/>
      <c r="I4626" s="52"/>
      <c r="J4626" s="49"/>
      <c r="K4626" s="58"/>
      <c r="L4626" s="58"/>
      <c r="M4626" s="58"/>
      <c r="N4626" s="58"/>
      <c r="O4626" s="58"/>
      <c r="P4626" s="53"/>
      <c r="Q4626" s="65"/>
      <c r="R4626" s="65"/>
      <c r="S4626" s="65"/>
      <c r="T4626" s="65"/>
      <c r="U4626" s="58"/>
      <c r="V4626" s="65"/>
      <c r="W4626" s="65"/>
      <c r="X4626" s="65"/>
      <c r="Y4626" s="65"/>
      <c r="Z4626" s="51"/>
      <c r="AA4626" s="51"/>
      <c r="AB4626" s="102"/>
      <c r="AC4626" s="81" t="e">
        <f t="shared" si="220"/>
        <v>#DIV/0!</v>
      </c>
      <c r="AD4626" s="82">
        <f t="shared" si="221"/>
        <v>0</v>
      </c>
      <c r="AE4626" s="218"/>
      <c r="AH4626" t="str">
        <f t="shared" si="219"/>
        <v>0000</v>
      </c>
      <c r="AJ4626" s="72"/>
      <c r="AK4626" s="72"/>
      <c r="AL4626" s="72"/>
      <c r="AM4626" s="72"/>
    </row>
    <row r="4627" spans="1:39" x14ac:dyDescent="0.25">
      <c r="A4627" s="37" t="s">
        <v>62</v>
      </c>
      <c r="B4627" s="66"/>
      <c r="C4627" s="4"/>
      <c r="D4627" s="41"/>
      <c r="E4627" s="41"/>
      <c r="F4627" s="85"/>
      <c r="G4627" s="39"/>
      <c r="H4627" s="52"/>
      <c r="I4627" s="52"/>
      <c r="J4627" s="49"/>
      <c r="K4627" s="58"/>
      <c r="L4627" s="58"/>
      <c r="M4627" s="58"/>
      <c r="N4627" s="58"/>
      <c r="O4627" s="58"/>
      <c r="P4627" s="53"/>
      <c r="Q4627" s="65"/>
      <c r="R4627" s="65"/>
      <c r="S4627" s="65"/>
      <c r="T4627" s="65"/>
      <c r="U4627" s="58"/>
      <c r="V4627" s="65"/>
      <c r="W4627" s="65"/>
      <c r="X4627" s="65"/>
      <c r="Y4627" s="65"/>
      <c r="Z4627" s="51"/>
      <c r="AA4627" s="51"/>
      <c r="AB4627" s="102"/>
      <c r="AC4627" s="81" t="e">
        <f t="shared" si="220"/>
        <v>#DIV/0!</v>
      </c>
      <c r="AD4627" s="82">
        <f t="shared" si="221"/>
        <v>0</v>
      </c>
      <c r="AE4627" s="218"/>
      <c r="AH4627" t="str">
        <f t="shared" si="219"/>
        <v>0000</v>
      </c>
      <c r="AJ4627" s="72"/>
      <c r="AK4627" s="72"/>
      <c r="AL4627" s="72"/>
      <c r="AM4627" s="72"/>
    </row>
    <row r="4628" spans="1:39" x14ac:dyDescent="0.25">
      <c r="A4628" s="37" t="s">
        <v>62</v>
      </c>
      <c r="B4628" s="66"/>
      <c r="C4628" s="4"/>
      <c r="D4628" s="41"/>
      <c r="E4628" s="41"/>
      <c r="F4628" s="85"/>
      <c r="G4628" s="39"/>
      <c r="H4628" s="52"/>
      <c r="I4628" s="52"/>
      <c r="J4628" s="49"/>
      <c r="K4628" s="58"/>
      <c r="L4628" s="58"/>
      <c r="M4628" s="58"/>
      <c r="N4628" s="58"/>
      <c r="O4628" s="58"/>
      <c r="P4628" s="53"/>
      <c r="Q4628" s="65"/>
      <c r="R4628" s="65"/>
      <c r="S4628" s="65"/>
      <c r="T4628" s="65"/>
      <c r="U4628" s="58"/>
      <c r="V4628" s="65"/>
      <c r="W4628" s="65"/>
      <c r="X4628" s="65"/>
      <c r="Y4628" s="65"/>
      <c r="Z4628" s="51"/>
      <c r="AA4628" s="51"/>
      <c r="AB4628" s="102"/>
      <c r="AC4628" s="81" t="e">
        <f t="shared" si="220"/>
        <v>#DIV/0!</v>
      </c>
      <c r="AD4628" s="82">
        <f t="shared" si="221"/>
        <v>0</v>
      </c>
      <c r="AE4628" s="218"/>
      <c r="AH4628" t="str">
        <f t="shared" si="219"/>
        <v>0000</v>
      </c>
      <c r="AJ4628" s="72"/>
      <c r="AK4628" s="72"/>
      <c r="AL4628" s="72"/>
      <c r="AM4628" s="72"/>
    </row>
    <row r="4629" spans="1:39" x14ac:dyDescent="0.25">
      <c r="A4629" s="37" t="s">
        <v>62</v>
      </c>
      <c r="B4629" s="66"/>
      <c r="C4629" s="4"/>
      <c r="D4629" s="41"/>
      <c r="E4629" s="41"/>
      <c r="F4629" s="85"/>
      <c r="G4629" s="39"/>
      <c r="H4629" s="52"/>
      <c r="I4629" s="52"/>
      <c r="J4629" s="49"/>
      <c r="K4629" s="58"/>
      <c r="L4629" s="58"/>
      <c r="M4629" s="58"/>
      <c r="N4629" s="58"/>
      <c r="O4629" s="58"/>
      <c r="P4629" s="53"/>
      <c r="Q4629" s="65"/>
      <c r="R4629" s="65"/>
      <c r="S4629" s="65"/>
      <c r="T4629" s="65"/>
      <c r="U4629" s="58"/>
      <c r="V4629" s="65"/>
      <c r="W4629" s="65"/>
      <c r="X4629" s="65"/>
      <c r="Y4629" s="65"/>
      <c r="Z4629" s="51"/>
      <c r="AA4629" s="51"/>
      <c r="AB4629" s="102"/>
      <c r="AC4629" s="81" t="e">
        <f t="shared" si="220"/>
        <v>#DIV/0!</v>
      </c>
      <c r="AD4629" s="82">
        <f t="shared" si="221"/>
        <v>0</v>
      </c>
      <c r="AE4629" s="218"/>
      <c r="AH4629" t="str">
        <f t="shared" si="219"/>
        <v>0000</v>
      </c>
      <c r="AJ4629" s="72"/>
      <c r="AK4629" s="72"/>
      <c r="AL4629" s="72"/>
      <c r="AM4629" s="72"/>
    </row>
    <row r="4630" spans="1:39" x14ac:dyDescent="0.25">
      <c r="A4630" s="37" t="s">
        <v>62</v>
      </c>
      <c r="B4630" s="66"/>
      <c r="C4630" s="4"/>
      <c r="D4630" s="41"/>
      <c r="E4630" s="41"/>
      <c r="F4630" s="85"/>
      <c r="G4630" s="39"/>
      <c r="H4630" s="52"/>
      <c r="I4630" s="52"/>
      <c r="J4630" s="49"/>
      <c r="K4630" s="58"/>
      <c r="L4630" s="58"/>
      <c r="M4630" s="58"/>
      <c r="N4630" s="58"/>
      <c r="O4630" s="58"/>
      <c r="P4630" s="53"/>
      <c r="Q4630" s="65"/>
      <c r="R4630" s="65"/>
      <c r="S4630" s="65"/>
      <c r="T4630" s="65"/>
      <c r="U4630" s="58"/>
      <c r="V4630" s="65"/>
      <c r="W4630" s="65"/>
      <c r="X4630" s="65"/>
      <c r="Y4630" s="65"/>
      <c r="Z4630" s="51"/>
      <c r="AA4630" s="51"/>
      <c r="AB4630" s="102"/>
      <c r="AC4630" s="81" t="e">
        <f t="shared" si="220"/>
        <v>#DIV/0!</v>
      </c>
      <c r="AD4630" s="82">
        <f t="shared" si="221"/>
        <v>0</v>
      </c>
      <c r="AE4630" s="218"/>
      <c r="AH4630" t="str">
        <f t="shared" si="219"/>
        <v>0000</v>
      </c>
      <c r="AJ4630" s="72"/>
      <c r="AK4630" s="72"/>
      <c r="AL4630" s="72"/>
      <c r="AM4630" s="72"/>
    </row>
    <row r="4631" spans="1:39" x14ac:dyDescent="0.25">
      <c r="A4631" s="37" t="s">
        <v>62</v>
      </c>
      <c r="B4631" s="66"/>
      <c r="C4631" s="4"/>
      <c r="D4631" s="41"/>
      <c r="E4631" s="41"/>
      <c r="F4631" s="85"/>
      <c r="G4631" s="39"/>
      <c r="H4631" s="52"/>
      <c r="I4631" s="52"/>
      <c r="J4631" s="49"/>
      <c r="K4631" s="58"/>
      <c r="L4631" s="58"/>
      <c r="M4631" s="58"/>
      <c r="N4631" s="58"/>
      <c r="O4631" s="58"/>
      <c r="P4631" s="53"/>
      <c r="Q4631" s="65"/>
      <c r="R4631" s="65"/>
      <c r="S4631" s="65"/>
      <c r="T4631" s="65"/>
      <c r="U4631" s="58"/>
      <c r="V4631" s="65"/>
      <c r="W4631" s="65"/>
      <c r="X4631" s="65"/>
      <c r="Y4631" s="65"/>
      <c r="Z4631" s="51"/>
      <c r="AA4631" s="51"/>
      <c r="AB4631" s="102"/>
      <c r="AC4631" s="81" t="e">
        <f t="shared" si="220"/>
        <v>#DIV/0!</v>
      </c>
      <c r="AD4631" s="82">
        <f t="shared" si="221"/>
        <v>0</v>
      </c>
      <c r="AE4631" s="218"/>
      <c r="AH4631" t="str">
        <f t="shared" si="219"/>
        <v>0000</v>
      </c>
      <c r="AJ4631" s="72"/>
      <c r="AK4631" s="72"/>
      <c r="AL4631" s="72"/>
      <c r="AM4631" s="72"/>
    </row>
    <row r="4632" spans="1:39" x14ac:dyDescent="0.25">
      <c r="A4632" s="37" t="s">
        <v>62</v>
      </c>
      <c r="B4632" s="66"/>
      <c r="C4632" s="4"/>
      <c r="D4632" s="41"/>
      <c r="E4632" s="41"/>
      <c r="F4632" s="85"/>
      <c r="G4632" s="39"/>
      <c r="H4632" s="52"/>
      <c r="I4632" s="52"/>
      <c r="J4632" s="49"/>
      <c r="K4632" s="58"/>
      <c r="L4632" s="58"/>
      <c r="M4632" s="58"/>
      <c r="N4632" s="58"/>
      <c r="O4632" s="58"/>
      <c r="P4632" s="53"/>
      <c r="Q4632" s="65"/>
      <c r="R4632" s="65"/>
      <c r="S4632" s="65"/>
      <c r="T4632" s="65"/>
      <c r="U4632" s="58"/>
      <c r="V4632" s="65"/>
      <c r="W4632" s="65"/>
      <c r="X4632" s="65"/>
      <c r="Y4632" s="65"/>
      <c r="Z4632" s="51"/>
      <c r="AA4632" s="51"/>
      <c r="AB4632" s="102"/>
      <c r="AC4632" s="81" t="e">
        <f t="shared" si="220"/>
        <v>#DIV/0!</v>
      </c>
      <c r="AD4632" s="82">
        <f t="shared" si="221"/>
        <v>0</v>
      </c>
      <c r="AE4632" s="218"/>
      <c r="AH4632" t="str">
        <f t="shared" si="219"/>
        <v>0000</v>
      </c>
      <c r="AJ4632" s="72"/>
      <c r="AK4632" s="72"/>
      <c r="AL4632" s="72"/>
      <c r="AM4632" s="72"/>
    </row>
    <row r="4633" spans="1:39" x14ac:dyDescent="0.25">
      <c r="A4633" s="37" t="s">
        <v>62</v>
      </c>
      <c r="B4633" s="66"/>
      <c r="C4633" s="4"/>
      <c r="D4633" s="41"/>
      <c r="E4633" s="41"/>
      <c r="F4633" s="85"/>
      <c r="G4633" s="39"/>
      <c r="H4633" s="52"/>
      <c r="I4633" s="52"/>
      <c r="J4633" s="49"/>
      <c r="K4633" s="58"/>
      <c r="L4633" s="58"/>
      <c r="M4633" s="58"/>
      <c r="N4633" s="58"/>
      <c r="O4633" s="58"/>
      <c r="P4633" s="53"/>
      <c r="Q4633" s="65"/>
      <c r="R4633" s="65"/>
      <c r="S4633" s="65"/>
      <c r="T4633" s="65"/>
      <c r="U4633" s="58"/>
      <c r="V4633" s="65"/>
      <c r="W4633" s="65"/>
      <c r="X4633" s="65"/>
      <c r="Y4633" s="65"/>
      <c r="Z4633" s="51"/>
      <c r="AA4633" s="51"/>
      <c r="AB4633" s="102"/>
      <c r="AC4633" s="81" t="e">
        <f t="shared" si="220"/>
        <v>#DIV/0!</v>
      </c>
      <c r="AD4633" s="82">
        <f t="shared" si="221"/>
        <v>0</v>
      </c>
      <c r="AE4633" s="218"/>
      <c r="AH4633" t="str">
        <f t="shared" si="219"/>
        <v>0000</v>
      </c>
      <c r="AJ4633" s="72"/>
      <c r="AK4633" s="72"/>
      <c r="AL4633" s="72"/>
      <c r="AM4633" s="72"/>
    </row>
    <row r="4634" spans="1:39" x14ac:dyDescent="0.25">
      <c r="A4634" s="37" t="s">
        <v>62</v>
      </c>
      <c r="B4634" s="66"/>
      <c r="C4634" s="4"/>
      <c r="D4634" s="41"/>
      <c r="E4634" s="41"/>
      <c r="F4634" s="85"/>
      <c r="G4634" s="39"/>
      <c r="H4634" s="52"/>
      <c r="I4634" s="52"/>
      <c r="J4634" s="49"/>
      <c r="K4634" s="58"/>
      <c r="L4634" s="58"/>
      <c r="M4634" s="58"/>
      <c r="N4634" s="58"/>
      <c r="O4634" s="58"/>
      <c r="P4634" s="53"/>
      <c r="Q4634" s="65"/>
      <c r="R4634" s="65"/>
      <c r="S4634" s="65"/>
      <c r="T4634" s="65"/>
      <c r="U4634" s="58"/>
      <c r="V4634" s="65"/>
      <c r="W4634" s="65"/>
      <c r="X4634" s="65"/>
      <c r="Y4634" s="65"/>
      <c r="Z4634" s="51"/>
      <c r="AA4634" s="51"/>
      <c r="AB4634" s="102"/>
      <c r="AC4634" s="81" t="e">
        <f t="shared" si="220"/>
        <v>#DIV/0!</v>
      </c>
      <c r="AD4634" s="82">
        <f t="shared" si="221"/>
        <v>0</v>
      </c>
      <c r="AE4634" s="218"/>
      <c r="AH4634" t="str">
        <f t="shared" si="219"/>
        <v>0000</v>
      </c>
      <c r="AJ4634" s="72"/>
      <c r="AK4634" s="72"/>
      <c r="AL4634" s="72"/>
      <c r="AM4634" s="72"/>
    </row>
    <row r="4635" spans="1:39" x14ac:dyDescent="0.25">
      <c r="A4635" s="37" t="s">
        <v>62</v>
      </c>
      <c r="B4635" s="66"/>
      <c r="C4635" s="4"/>
      <c r="D4635" s="41"/>
      <c r="E4635" s="41"/>
      <c r="F4635" s="85"/>
      <c r="G4635" s="39"/>
      <c r="H4635" s="52"/>
      <c r="I4635" s="52"/>
      <c r="J4635" s="49"/>
      <c r="K4635" s="58"/>
      <c r="L4635" s="58"/>
      <c r="M4635" s="58"/>
      <c r="N4635" s="58"/>
      <c r="O4635" s="58"/>
      <c r="P4635" s="53"/>
      <c r="Q4635" s="65"/>
      <c r="R4635" s="65"/>
      <c r="S4635" s="65"/>
      <c r="T4635" s="65"/>
      <c r="U4635" s="58"/>
      <c r="V4635" s="65"/>
      <c r="W4635" s="65"/>
      <c r="X4635" s="65"/>
      <c r="Y4635" s="65"/>
      <c r="Z4635" s="51"/>
      <c r="AA4635" s="51"/>
      <c r="AB4635" s="102"/>
      <c r="AC4635" s="81" t="e">
        <f t="shared" si="220"/>
        <v>#DIV/0!</v>
      </c>
      <c r="AD4635" s="82">
        <f t="shared" si="221"/>
        <v>0</v>
      </c>
      <c r="AE4635" s="218"/>
      <c r="AH4635" t="str">
        <f t="shared" si="219"/>
        <v>0000</v>
      </c>
      <c r="AJ4635" s="72"/>
      <c r="AK4635" s="72"/>
      <c r="AL4635" s="72"/>
      <c r="AM4635" s="72"/>
    </row>
    <row r="4636" spans="1:39" x14ac:dyDescent="0.25">
      <c r="A4636" s="37" t="s">
        <v>62</v>
      </c>
      <c r="B4636" s="66"/>
      <c r="C4636" s="4"/>
      <c r="D4636" s="41"/>
      <c r="E4636" s="41"/>
      <c r="F4636" s="85"/>
      <c r="G4636" s="39"/>
      <c r="H4636" s="52"/>
      <c r="I4636" s="52"/>
      <c r="J4636" s="49"/>
      <c r="K4636" s="58"/>
      <c r="L4636" s="58"/>
      <c r="M4636" s="58"/>
      <c r="N4636" s="58"/>
      <c r="O4636" s="58"/>
      <c r="P4636" s="53"/>
      <c r="Q4636" s="65"/>
      <c r="R4636" s="65"/>
      <c r="S4636" s="65"/>
      <c r="T4636" s="65"/>
      <c r="U4636" s="58"/>
      <c r="V4636" s="65"/>
      <c r="W4636" s="65"/>
      <c r="X4636" s="65"/>
      <c r="Y4636" s="65"/>
      <c r="Z4636" s="51"/>
      <c r="AA4636" s="51"/>
      <c r="AB4636" s="102"/>
      <c r="AC4636" s="81" t="e">
        <f t="shared" si="220"/>
        <v>#DIV/0!</v>
      </c>
      <c r="AD4636" s="82">
        <f t="shared" si="221"/>
        <v>0</v>
      </c>
      <c r="AE4636" s="218"/>
      <c r="AH4636" t="str">
        <f t="shared" si="219"/>
        <v>0000</v>
      </c>
      <c r="AJ4636" s="72"/>
      <c r="AK4636" s="72"/>
      <c r="AL4636" s="72"/>
      <c r="AM4636" s="72"/>
    </row>
    <row r="4637" spans="1:39" x14ac:dyDescent="0.25">
      <c r="A4637" s="37" t="s">
        <v>62</v>
      </c>
      <c r="B4637" s="66"/>
      <c r="C4637" s="4"/>
      <c r="D4637" s="41"/>
      <c r="E4637" s="41"/>
      <c r="F4637" s="85"/>
      <c r="G4637" s="39"/>
      <c r="H4637" s="52"/>
      <c r="I4637" s="52"/>
      <c r="J4637" s="49"/>
      <c r="K4637" s="58"/>
      <c r="L4637" s="58"/>
      <c r="M4637" s="58"/>
      <c r="N4637" s="58"/>
      <c r="O4637" s="58"/>
      <c r="P4637" s="53"/>
      <c r="Q4637" s="65"/>
      <c r="R4637" s="65"/>
      <c r="S4637" s="65"/>
      <c r="T4637" s="65"/>
      <c r="U4637" s="58"/>
      <c r="V4637" s="65"/>
      <c r="W4637" s="65"/>
      <c r="X4637" s="65"/>
      <c r="Y4637" s="65"/>
      <c r="Z4637" s="51"/>
      <c r="AA4637" s="51"/>
      <c r="AB4637" s="102"/>
      <c r="AC4637" s="81" t="e">
        <f t="shared" si="220"/>
        <v>#DIV/0!</v>
      </c>
      <c r="AD4637" s="82">
        <f t="shared" si="221"/>
        <v>0</v>
      </c>
      <c r="AE4637" s="218"/>
      <c r="AH4637" t="str">
        <f t="shared" si="219"/>
        <v>0000</v>
      </c>
      <c r="AJ4637" s="72"/>
      <c r="AK4637" s="72"/>
      <c r="AL4637" s="72"/>
      <c r="AM4637" s="72"/>
    </row>
    <row r="4638" spans="1:39" x14ac:dyDescent="0.25">
      <c r="A4638" s="37" t="s">
        <v>62</v>
      </c>
      <c r="B4638" s="66"/>
      <c r="C4638" s="4"/>
      <c r="D4638" s="41"/>
      <c r="E4638" s="41"/>
      <c r="F4638" s="85"/>
      <c r="G4638" s="39"/>
      <c r="H4638" s="52"/>
      <c r="I4638" s="52"/>
      <c r="J4638" s="49"/>
      <c r="K4638" s="58"/>
      <c r="L4638" s="58"/>
      <c r="M4638" s="58"/>
      <c r="N4638" s="58"/>
      <c r="O4638" s="58"/>
      <c r="P4638" s="53"/>
      <c r="Q4638" s="65"/>
      <c r="R4638" s="65"/>
      <c r="S4638" s="65"/>
      <c r="T4638" s="65"/>
      <c r="U4638" s="58"/>
      <c r="V4638" s="65"/>
      <c r="W4638" s="65"/>
      <c r="X4638" s="65"/>
      <c r="Y4638" s="65"/>
      <c r="Z4638" s="51"/>
      <c r="AA4638" s="51"/>
      <c r="AB4638" s="102"/>
      <c r="AC4638" s="81" t="e">
        <f t="shared" si="220"/>
        <v>#DIV/0!</v>
      </c>
      <c r="AD4638" s="82">
        <f t="shared" si="221"/>
        <v>0</v>
      </c>
      <c r="AE4638" s="218"/>
      <c r="AH4638" t="str">
        <f t="shared" si="219"/>
        <v>0000</v>
      </c>
      <c r="AJ4638" s="72"/>
      <c r="AK4638" s="72"/>
      <c r="AL4638" s="72"/>
      <c r="AM4638" s="72"/>
    </row>
    <row r="4639" spans="1:39" x14ac:dyDescent="0.25">
      <c r="A4639" s="37" t="s">
        <v>62</v>
      </c>
      <c r="B4639" s="66"/>
      <c r="C4639" s="4"/>
      <c r="D4639" s="41"/>
      <c r="E4639" s="41"/>
      <c r="F4639" s="85"/>
      <c r="G4639" s="39"/>
      <c r="H4639" s="52"/>
      <c r="I4639" s="52"/>
      <c r="J4639" s="49"/>
      <c r="K4639" s="58"/>
      <c r="L4639" s="58"/>
      <c r="M4639" s="58"/>
      <c r="N4639" s="58"/>
      <c r="O4639" s="58"/>
      <c r="P4639" s="53"/>
      <c r="Q4639" s="65"/>
      <c r="R4639" s="65"/>
      <c r="S4639" s="65"/>
      <c r="T4639" s="65"/>
      <c r="U4639" s="58"/>
      <c r="V4639" s="65"/>
      <c r="W4639" s="65"/>
      <c r="X4639" s="65"/>
      <c r="Y4639" s="65"/>
      <c r="Z4639" s="51"/>
      <c r="AA4639" s="51"/>
      <c r="AB4639" s="102"/>
      <c r="AC4639" s="81" t="e">
        <f t="shared" si="220"/>
        <v>#DIV/0!</v>
      </c>
      <c r="AD4639" s="82">
        <f t="shared" si="221"/>
        <v>0</v>
      </c>
      <c r="AE4639" s="218"/>
      <c r="AH4639" t="str">
        <f t="shared" si="219"/>
        <v>0000</v>
      </c>
      <c r="AJ4639" s="72"/>
      <c r="AK4639" s="72"/>
      <c r="AL4639" s="72"/>
      <c r="AM4639" s="72"/>
    </row>
    <row r="4640" spans="1:39" x14ac:dyDescent="0.25">
      <c r="A4640" s="37" t="s">
        <v>62</v>
      </c>
      <c r="B4640" s="66"/>
      <c r="C4640" s="4"/>
      <c r="D4640" s="41"/>
      <c r="E4640" s="41"/>
      <c r="F4640" s="85"/>
      <c r="G4640" s="39"/>
      <c r="H4640" s="52"/>
      <c r="I4640" s="52"/>
      <c r="J4640" s="49"/>
      <c r="K4640" s="58"/>
      <c r="L4640" s="58"/>
      <c r="M4640" s="58"/>
      <c r="N4640" s="58"/>
      <c r="O4640" s="58"/>
      <c r="P4640" s="53"/>
      <c r="Q4640" s="65"/>
      <c r="R4640" s="65"/>
      <c r="S4640" s="65"/>
      <c r="T4640" s="65"/>
      <c r="U4640" s="58"/>
      <c r="V4640" s="65"/>
      <c r="W4640" s="65"/>
      <c r="X4640" s="65"/>
      <c r="Y4640" s="65"/>
      <c r="Z4640" s="51"/>
      <c r="AA4640" s="51"/>
      <c r="AB4640" s="102"/>
      <c r="AC4640" s="81" t="e">
        <f t="shared" si="220"/>
        <v>#DIV/0!</v>
      </c>
      <c r="AD4640" s="82">
        <f t="shared" si="221"/>
        <v>0</v>
      </c>
      <c r="AE4640" s="218"/>
      <c r="AH4640" t="str">
        <f t="shared" si="219"/>
        <v>0000</v>
      </c>
      <c r="AJ4640" s="72"/>
      <c r="AK4640" s="72"/>
      <c r="AL4640" s="72"/>
      <c r="AM4640" s="72"/>
    </row>
    <row r="4641" spans="1:39" x14ac:dyDescent="0.25">
      <c r="A4641" s="37" t="s">
        <v>62</v>
      </c>
      <c r="B4641" s="66"/>
      <c r="C4641" s="4"/>
      <c r="D4641" s="41"/>
      <c r="E4641" s="41"/>
      <c r="F4641" s="85"/>
      <c r="G4641" s="39"/>
      <c r="H4641" s="52"/>
      <c r="I4641" s="52"/>
      <c r="J4641" s="49"/>
      <c r="K4641" s="58"/>
      <c r="L4641" s="58"/>
      <c r="M4641" s="58"/>
      <c r="N4641" s="58"/>
      <c r="O4641" s="58"/>
      <c r="P4641" s="53"/>
      <c r="Q4641" s="65"/>
      <c r="R4641" s="65"/>
      <c r="S4641" s="65"/>
      <c r="T4641" s="65"/>
      <c r="U4641" s="58"/>
      <c r="V4641" s="65"/>
      <c r="W4641" s="65"/>
      <c r="X4641" s="65"/>
      <c r="Y4641" s="65"/>
      <c r="Z4641" s="51"/>
      <c r="AA4641" s="51"/>
      <c r="AB4641" s="102"/>
      <c r="AC4641" s="81" t="e">
        <f t="shared" si="220"/>
        <v>#DIV/0!</v>
      </c>
      <c r="AD4641" s="82">
        <f t="shared" si="221"/>
        <v>0</v>
      </c>
      <c r="AE4641" s="218"/>
      <c r="AH4641" t="str">
        <f t="shared" si="219"/>
        <v>0000</v>
      </c>
      <c r="AJ4641" s="72"/>
      <c r="AK4641" s="72"/>
      <c r="AL4641" s="72"/>
      <c r="AM4641" s="72"/>
    </row>
    <row r="4642" spans="1:39" x14ac:dyDescent="0.25">
      <c r="A4642" s="37" t="s">
        <v>62</v>
      </c>
      <c r="B4642" s="66"/>
      <c r="C4642" s="4"/>
      <c r="D4642" s="41"/>
      <c r="E4642" s="41"/>
      <c r="F4642" s="85"/>
      <c r="G4642" s="39"/>
      <c r="H4642" s="52"/>
      <c r="I4642" s="52"/>
      <c r="J4642" s="49"/>
      <c r="K4642" s="58"/>
      <c r="L4642" s="58"/>
      <c r="M4642" s="58"/>
      <c r="N4642" s="58"/>
      <c r="O4642" s="58"/>
      <c r="P4642" s="53"/>
      <c r="Q4642" s="65"/>
      <c r="R4642" s="65"/>
      <c r="S4642" s="65"/>
      <c r="T4642" s="65"/>
      <c r="U4642" s="58"/>
      <c r="V4642" s="65"/>
      <c r="W4642" s="65"/>
      <c r="X4642" s="65"/>
      <c r="Y4642" s="65"/>
      <c r="Z4642" s="51"/>
      <c r="AA4642" s="51"/>
      <c r="AB4642" s="102"/>
      <c r="AC4642" s="81" t="e">
        <f t="shared" si="220"/>
        <v>#DIV/0!</v>
      </c>
      <c r="AD4642" s="82">
        <f t="shared" si="221"/>
        <v>0</v>
      </c>
      <c r="AE4642" s="218"/>
      <c r="AH4642" t="str">
        <f t="shared" si="219"/>
        <v>0000</v>
      </c>
      <c r="AJ4642" s="72"/>
      <c r="AK4642" s="72"/>
      <c r="AL4642" s="72"/>
      <c r="AM4642" s="72"/>
    </row>
    <row r="4643" spans="1:39" x14ac:dyDescent="0.25">
      <c r="A4643" s="37" t="s">
        <v>62</v>
      </c>
      <c r="B4643" s="66"/>
      <c r="C4643" s="4"/>
      <c r="D4643" s="41"/>
      <c r="E4643" s="41"/>
      <c r="F4643" s="85"/>
      <c r="G4643" s="39"/>
      <c r="H4643" s="52"/>
      <c r="I4643" s="52"/>
      <c r="J4643" s="49"/>
      <c r="K4643" s="58"/>
      <c r="L4643" s="58"/>
      <c r="M4643" s="58"/>
      <c r="N4643" s="58"/>
      <c r="O4643" s="58"/>
      <c r="P4643" s="53"/>
      <c r="Q4643" s="65"/>
      <c r="R4643" s="65"/>
      <c r="S4643" s="65"/>
      <c r="T4643" s="65"/>
      <c r="U4643" s="58"/>
      <c r="V4643" s="65"/>
      <c r="W4643" s="65"/>
      <c r="X4643" s="65"/>
      <c r="Y4643" s="65"/>
      <c r="Z4643" s="51"/>
      <c r="AA4643" s="51"/>
      <c r="AB4643" s="102"/>
      <c r="AC4643" s="81" t="e">
        <f t="shared" si="220"/>
        <v>#DIV/0!</v>
      </c>
      <c r="AD4643" s="82">
        <f t="shared" si="221"/>
        <v>0</v>
      </c>
      <c r="AE4643" s="218"/>
      <c r="AH4643" t="str">
        <f t="shared" si="219"/>
        <v>0000</v>
      </c>
      <c r="AJ4643" s="72"/>
      <c r="AK4643" s="72"/>
      <c r="AL4643" s="72"/>
      <c r="AM4643" s="72"/>
    </row>
    <row r="4644" spans="1:39" x14ac:dyDescent="0.25">
      <c r="A4644" s="37" t="s">
        <v>62</v>
      </c>
      <c r="B4644" s="66"/>
      <c r="C4644" s="4"/>
      <c r="D4644" s="41"/>
      <c r="E4644" s="41"/>
      <c r="F4644" s="85"/>
      <c r="G4644" s="39"/>
      <c r="H4644" s="52"/>
      <c r="I4644" s="52"/>
      <c r="J4644" s="49"/>
      <c r="K4644" s="58"/>
      <c r="L4644" s="58"/>
      <c r="M4644" s="58"/>
      <c r="N4644" s="58"/>
      <c r="O4644" s="58"/>
      <c r="P4644" s="53"/>
      <c r="Q4644" s="65"/>
      <c r="R4644" s="65"/>
      <c r="S4644" s="65"/>
      <c r="T4644" s="65"/>
      <c r="U4644" s="58"/>
      <c r="V4644" s="65"/>
      <c r="W4644" s="65"/>
      <c r="X4644" s="65"/>
      <c r="Y4644" s="65"/>
      <c r="Z4644" s="51"/>
      <c r="AA4644" s="51"/>
      <c r="AB4644" s="102"/>
      <c r="AC4644" s="81" t="e">
        <f t="shared" si="220"/>
        <v>#DIV/0!</v>
      </c>
      <c r="AD4644" s="82">
        <f t="shared" si="221"/>
        <v>0</v>
      </c>
      <c r="AE4644" s="218"/>
      <c r="AH4644" t="str">
        <f t="shared" si="219"/>
        <v>0000</v>
      </c>
      <c r="AJ4644" s="72"/>
      <c r="AK4644" s="72"/>
      <c r="AL4644" s="72"/>
      <c r="AM4644" s="72"/>
    </row>
    <row r="4645" spans="1:39" x14ac:dyDescent="0.25">
      <c r="A4645" s="37" t="s">
        <v>62</v>
      </c>
      <c r="B4645" s="66"/>
      <c r="C4645" s="4"/>
      <c r="D4645" s="41"/>
      <c r="E4645" s="41"/>
      <c r="F4645" s="85"/>
      <c r="G4645" s="39"/>
      <c r="H4645" s="52"/>
      <c r="I4645" s="52"/>
      <c r="J4645" s="49"/>
      <c r="K4645" s="58"/>
      <c r="L4645" s="58"/>
      <c r="M4645" s="58"/>
      <c r="N4645" s="58"/>
      <c r="O4645" s="58"/>
      <c r="P4645" s="53"/>
      <c r="Q4645" s="65"/>
      <c r="R4645" s="65"/>
      <c r="S4645" s="65"/>
      <c r="T4645" s="65"/>
      <c r="U4645" s="58"/>
      <c r="V4645" s="65"/>
      <c r="W4645" s="65"/>
      <c r="X4645" s="65"/>
      <c r="Y4645" s="65"/>
      <c r="Z4645" s="51"/>
      <c r="AA4645" s="51"/>
      <c r="AB4645" s="102"/>
      <c r="AC4645" s="81" t="e">
        <f t="shared" si="220"/>
        <v>#DIV/0!</v>
      </c>
      <c r="AD4645" s="82">
        <f t="shared" si="221"/>
        <v>0</v>
      </c>
      <c r="AE4645" s="218"/>
      <c r="AH4645" t="str">
        <f t="shared" si="219"/>
        <v>0000</v>
      </c>
      <c r="AJ4645" s="72"/>
      <c r="AK4645" s="72"/>
      <c r="AL4645" s="72"/>
      <c r="AM4645" s="72"/>
    </row>
    <row r="4646" spans="1:39" x14ac:dyDescent="0.25">
      <c r="A4646" s="37" t="s">
        <v>62</v>
      </c>
      <c r="B4646" s="66"/>
      <c r="C4646" s="4"/>
      <c r="D4646" s="41"/>
      <c r="E4646" s="41"/>
      <c r="F4646" s="85"/>
      <c r="G4646" s="39"/>
      <c r="H4646" s="52"/>
      <c r="I4646" s="52"/>
      <c r="J4646" s="49"/>
      <c r="K4646" s="58"/>
      <c r="L4646" s="58"/>
      <c r="M4646" s="58"/>
      <c r="N4646" s="58"/>
      <c r="O4646" s="58"/>
      <c r="P4646" s="53"/>
      <c r="Q4646" s="65"/>
      <c r="R4646" s="65"/>
      <c r="S4646" s="65"/>
      <c r="T4646" s="65"/>
      <c r="U4646" s="58"/>
      <c r="V4646" s="65"/>
      <c r="W4646" s="65"/>
      <c r="X4646" s="65"/>
      <c r="Y4646" s="65"/>
      <c r="Z4646" s="51"/>
      <c r="AA4646" s="51"/>
      <c r="AB4646" s="102"/>
      <c r="AC4646" s="81" t="e">
        <f t="shared" si="220"/>
        <v>#DIV/0!</v>
      </c>
      <c r="AD4646" s="82">
        <f t="shared" si="221"/>
        <v>0</v>
      </c>
      <c r="AE4646" s="218"/>
      <c r="AH4646" t="str">
        <f t="shared" si="219"/>
        <v>0000</v>
      </c>
      <c r="AJ4646" s="72"/>
      <c r="AK4646" s="72"/>
      <c r="AL4646" s="72"/>
      <c r="AM4646" s="72"/>
    </row>
    <row r="4647" spans="1:39" x14ac:dyDescent="0.25">
      <c r="A4647" s="37" t="s">
        <v>62</v>
      </c>
      <c r="B4647" s="66"/>
      <c r="C4647" s="4"/>
      <c r="D4647" s="41"/>
      <c r="E4647" s="41"/>
      <c r="F4647" s="85"/>
      <c r="G4647" s="39"/>
      <c r="H4647" s="52"/>
      <c r="I4647" s="52"/>
      <c r="J4647" s="49"/>
      <c r="K4647" s="58"/>
      <c r="L4647" s="58"/>
      <c r="M4647" s="58"/>
      <c r="N4647" s="58"/>
      <c r="O4647" s="58"/>
      <c r="P4647" s="53"/>
      <c r="Q4647" s="65"/>
      <c r="R4647" s="65"/>
      <c r="S4647" s="65"/>
      <c r="T4647" s="65"/>
      <c r="U4647" s="58"/>
      <c r="V4647" s="65"/>
      <c r="W4647" s="65"/>
      <c r="X4647" s="65"/>
      <c r="Y4647" s="65"/>
      <c r="Z4647" s="51"/>
      <c r="AA4647" s="51"/>
      <c r="AB4647" s="102"/>
      <c r="AC4647" s="81" t="e">
        <f t="shared" si="220"/>
        <v>#DIV/0!</v>
      </c>
      <c r="AD4647" s="82">
        <f t="shared" si="221"/>
        <v>0</v>
      </c>
      <c r="AE4647" s="218"/>
      <c r="AH4647" t="str">
        <f t="shared" si="219"/>
        <v>0000</v>
      </c>
      <c r="AJ4647" s="72"/>
      <c r="AK4647" s="72"/>
      <c r="AL4647" s="72"/>
      <c r="AM4647" s="72"/>
    </row>
    <row r="4648" spans="1:39" x14ac:dyDescent="0.25">
      <c r="A4648" s="37" t="s">
        <v>62</v>
      </c>
      <c r="B4648" s="66"/>
      <c r="C4648" s="4"/>
      <c r="D4648" s="41"/>
      <c r="E4648" s="41"/>
      <c r="F4648" s="85"/>
      <c r="G4648" s="39"/>
      <c r="H4648" s="52"/>
      <c r="I4648" s="52"/>
      <c r="J4648" s="49"/>
      <c r="K4648" s="58"/>
      <c r="L4648" s="58"/>
      <c r="M4648" s="58"/>
      <c r="N4648" s="58"/>
      <c r="O4648" s="58"/>
      <c r="P4648" s="53"/>
      <c r="Q4648" s="65"/>
      <c r="R4648" s="65"/>
      <c r="S4648" s="65"/>
      <c r="T4648" s="65"/>
      <c r="U4648" s="58"/>
      <c r="V4648" s="65"/>
      <c r="W4648" s="65"/>
      <c r="X4648" s="65"/>
      <c r="Y4648" s="65"/>
      <c r="Z4648" s="51"/>
      <c r="AA4648" s="51"/>
      <c r="AB4648" s="102"/>
      <c r="AC4648" s="81" t="e">
        <f t="shared" si="220"/>
        <v>#DIV/0!</v>
      </c>
      <c r="AD4648" s="82">
        <f t="shared" si="221"/>
        <v>0</v>
      </c>
      <c r="AE4648" s="218"/>
      <c r="AH4648" t="str">
        <f t="shared" si="219"/>
        <v>0000</v>
      </c>
      <c r="AJ4648" s="72"/>
      <c r="AK4648" s="72"/>
      <c r="AL4648" s="72"/>
      <c r="AM4648" s="72"/>
    </row>
    <row r="4649" spans="1:39" x14ac:dyDescent="0.25">
      <c r="A4649" s="37" t="s">
        <v>62</v>
      </c>
      <c r="B4649" s="66"/>
      <c r="C4649" s="4"/>
      <c r="D4649" s="41"/>
      <c r="E4649" s="41"/>
      <c r="F4649" s="85"/>
      <c r="G4649" s="39"/>
      <c r="H4649" s="52"/>
      <c r="I4649" s="52"/>
      <c r="J4649" s="49"/>
      <c r="K4649" s="58"/>
      <c r="L4649" s="58"/>
      <c r="M4649" s="58"/>
      <c r="N4649" s="58"/>
      <c r="O4649" s="58"/>
      <c r="P4649" s="53"/>
      <c r="Q4649" s="65"/>
      <c r="R4649" s="65"/>
      <c r="S4649" s="65"/>
      <c r="T4649" s="65"/>
      <c r="U4649" s="58"/>
      <c r="V4649" s="65"/>
      <c r="W4649" s="65"/>
      <c r="X4649" s="65"/>
      <c r="Y4649" s="65"/>
      <c r="Z4649" s="51"/>
      <c r="AA4649" s="51"/>
      <c r="AB4649" s="102"/>
      <c r="AC4649" s="81" t="e">
        <f t="shared" si="220"/>
        <v>#DIV/0!</v>
      </c>
      <c r="AD4649" s="82">
        <f t="shared" si="221"/>
        <v>0</v>
      </c>
      <c r="AE4649" s="218"/>
      <c r="AH4649" t="str">
        <f t="shared" si="219"/>
        <v>0000</v>
      </c>
      <c r="AJ4649" s="72"/>
      <c r="AK4649" s="72"/>
      <c r="AL4649" s="72"/>
      <c r="AM4649" s="72"/>
    </row>
    <row r="4650" spans="1:39" x14ac:dyDescent="0.25">
      <c r="A4650" s="37" t="s">
        <v>62</v>
      </c>
      <c r="B4650" s="66"/>
      <c r="C4650" s="4"/>
      <c r="D4650" s="41"/>
      <c r="E4650" s="41"/>
      <c r="F4650" s="85"/>
      <c r="G4650" s="39"/>
      <c r="H4650" s="52"/>
      <c r="I4650" s="52"/>
      <c r="J4650" s="49"/>
      <c r="K4650" s="58"/>
      <c r="L4650" s="58"/>
      <c r="M4650" s="58"/>
      <c r="N4650" s="58"/>
      <c r="O4650" s="58"/>
      <c r="P4650" s="53"/>
      <c r="Q4650" s="65"/>
      <c r="R4650" s="65"/>
      <c r="S4650" s="65"/>
      <c r="T4650" s="65"/>
      <c r="U4650" s="58"/>
      <c r="V4650" s="65"/>
      <c r="W4650" s="65"/>
      <c r="X4650" s="65"/>
      <c r="Y4650" s="65"/>
      <c r="Z4650" s="51"/>
      <c r="AA4650" s="51"/>
      <c r="AB4650" s="102"/>
      <c r="AC4650" s="81" t="e">
        <f t="shared" si="220"/>
        <v>#DIV/0!</v>
      </c>
      <c r="AD4650" s="82">
        <f t="shared" si="221"/>
        <v>0</v>
      </c>
      <c r="AE4650" s="218"/>
      <c r="AH4650" t="str">
        <f t="shared" si="219"/>
        <v>0000</v>
      </c>
      <c r="AJ4650" s="72"/>
      <c r="AK4650" s="72"/>
      <c r="AL4650" s="72"/>
      <c r="AM4650" s="72"/>
    </row>
    <row r="4651" spans="1:39" x14ac:dyDescent="0.25">
      <c r="A4651" s="37" t="s">
        <v>62</v>
      </c>
      <c r="B4651" s="66"/>
      <c r="C4651" s="4"/>
      <c r="D4651" s="41"/>
      <c r="E4651" s="41"/>
      <c r="F4651" s="85"/>
      <c r="G4651" s="39"/>
      <c r="H4651" s="52"/>
      <c r="I4651" s="52"/>
      <c r="J4651" s="49"/>
      <c r="K4651" s="58"/>
      <c r="L4651" s="58"/>
      <c r="M4651" s="58"/>
      <c r="N4651" s="58"/>
      <c r="O4651" s="58"/>
      <c r="P4651" s="53"/>
      <c r="Q4651" s="65"/>
      <c r="R4651" s="65"/>
      <c r="S4651" s="65"/>
      <c r="T4651" s="65"/>
      <c r="U4651" s="58"/>
      <c r="V4651" s="65"/>
      <c r="W4651" s="65"/>
      <c r="X4651" s="65"/>
      <c r="Y4651" s="65"/>
      <c r="Z4651" s="51"/>
      <c r="AA4651" s="51"/>
      <c r="AB4651" s="102"/>
      <c r="AC4651" s="81" t="e">
        <f t="shared" si="220"/>
        <v>#DIV/0!</v>
      </c>
      <c r="AD4651" s="82">
        <f t="shared" si="221"/>
        <v>0</v>
      </c>
      <c r="AE4651" s="218"/>
      <c r="AH4651" t="str">
        <f t="shared" si="219"/>
        <v>0000</v>
      </c>
      <c r="AJ4651" s="72"/>
      <c r="AK4651" s="72"/>
      <c r="AL4651" s="72"/>
      <c r="AM4651" s="72"/>
    </row>
    <row r="4652" spans="1:39" x14ac:dyDescent="0.25">
      <c r="A4652" s="37" t="s">
        <v>62</v>
      </c>
      <c r="B4652" s="66"/>
      <c r="C4652" s="4"/>
      <c r="D4652" s="41"/>
      <c r="E4652" s="41"/>
      <c r="F4652" s="85"/>
      <c r="G4652" s="39"/>
      <c r="H4652" s="52"/>
      <c r="I4652" s="52"/>
      <c r="J4652" s="49"/>
      <c r="K4652" s="58"/>
      <c r="L4652" s="58"/>
      <c r="M4652" s="58"/>
      <c r="N4652" s="58"/>
      <c r="O4652" s="58"/>
      <c r="P4652" s="53"/>
      <c r="Q4652" s="65"/>
      <c r="R4652" s="65"/>
      <c r="S4652" s="65"/>
      <c r="T4652" s="65"/>
      <c r="U4652" s="58"/>
      <c r="V4652" s="65"/>
      <c r="W4652" s="65"/>
      <c r="X4652" s="65"/>
      <c r="Y4652" s="65"/>
      <c r="Z4652" s="51"/>
      <c r="AA4652" s="51"/>
      <c r="AB4652" s="102"/>
      <c r="AC4652" s="81" t="e">
        <f t="shared" si="220"/>
        <v>#DIV/0!</v>
      </c>
      <c r="AD4652" s="82">
        <f t="shared" si="221"/>
        <v>0</v>
      </c>
      <c r="AE4652" s="218"/>
      <c r="AH4652" t="str">
        <f t="shared" si="219"/>
        <v>0000</v>
      </c>
      <c r="AJ4652" s="72"/>
      <c r="AK4652" s="72"/>
      <c r="AL4652" s="72"/>
      <c r="AM4652" s="72"/>
    </row>
    <row r="4653" spans="1:39" x14ac:dyDescent="0.25">
      <c r="A4653" s="37" t="s">
        <v>62</v>
      </c>
      <c r="B4653" s="66"/>
      <c r="C4653" s="4"/>
      <c r="D4653" s="41"/>
      <c r="E4653" s="41"/>
      <c r="F4653" s="85"/>
      <c r="G4653" s="39"/>
      <c r="H4653" s="52"/>
      <c r="I4653" s="52"/>
      <c r="J4653" s="49"/>
      <c r="K4653" s="58"/>
      <c r="L4653" s="58"/>
      <c r="M4653" s="58"/>
      <c r="N4653" s="58"/>
      <c r="O4653" s="58"/>
      <c r="P4653" s="53"/>
      <c r="Q4653" s="65"/>
      <c r="R4653" s="65"/>
      <c r="S4653" s="65"/>
      <c r="T4653" s="65"/>
      <c r="U4653" s="58"/>
      <c r="V4653" s="65"/>
      <c r="W4653" s="65"/>
      <c r="X4653" s="65"/>
      <c r="Y4653" s="65"/>
      <c r="Z4653" s="51"/>
      <c r="AA4653" s="51"/>
      <c r="AB4653" s="102"/>
      <c r="AC4653" s="81" t="e">
        <f t="shared" si="220"/>
        <v>#DIV/0!</v>
      </c>
      <c r="AD4653" s="82">
        <f t="shared" si="221"/>
        <v>0</v>
      </c>
      <c r="AE4653" s="218"/>
      <c r="AH4653" t="str">
        <f t="shared" si="219"/>
        <v>0000</v>
      </c>
      <c r="AJ4653" s="72"/>
      <c r="AK4653" s="72"/>
      <c r="AL4653" s="72"/>
      <c r="AM4653" s="72"/>
    </row>
    <row r="4654" spans="1:39" x14ac:dyDescent="0.25">
      <c r="A4654" s="37" t="s">
        <v>62</v>
      </c>
      <c r="B4654" s="66"/>
      <c r="C4654" s="4"/>
      <c r="D4654" s="41"/>
      <c r="E4654" s="41"/>
      <c r="F4654" s="85"/>
      <c r="G4654" s="39"/>
      <c r="H4654" s="52"/>
      <c r="I4654" s="52"/>
      <c r="J4654" s="49"/>
      <c r="K4654" s="58"/>
      <c r="L4654" s="58"/>
      <c r="M4654" s="58"/>
      <c r="N4654" s="58"/>
      <c r="O4654" s="58"/>
      <c r="P4654" s="53"/>
      <c r="Q4654" s="65"/>
      <c r="R4654" s="65"/>
      <c r="S4654" s="65"/>
      <c r="T4654" s="65"/>
      <c r="U4654" s="58"/>
      <c r="V4654" s="65"/>
      <c r="W4654" s="65"/>
      <c r="X4654" s="65"/>
      <c r="Y4654" s="65"/>
      <c r="Z4654" s="51"/>
      <c r="AA4654" s="51"/>
      <c r="AB4654" s="102"/>
      <c r="AC4654" s="81" t="e">
        <f t="shared" si="220"/>
        <v>#DIV/0!</v>
      </c>
      <c r="AD4654" s="82">
        <f t="shared" si="221"/>
        <v>0</v>
      </c>
      <c r="AE4654" s="218"/>
      <c r="AH4654" t="str">
        <f t="shared" si="219"/>
        <v>0000</v>
      </c>
      <c r="AJ4654" s="72"/>
      <c r="AK4654" s="72"/>
      <c r="AL4654" s="72"/>
      <c r="AM4654" s="72"/>
    </row>
    <row r="4655" spans="1:39" x14ac:dyDescent="0.25">
      <c r="A4655" s="37" t="s">
        <v>62</v>
      </c>
      <c r="B4655" s="66"/>
      <c r="C4655" s="4"/>
      <c r="D4655" s="41"/>
      <c r="E4655" s="41"/>
      <c r="F4655" s="85"/>
      <c r="G4655" s="39"/>
      <c r="H4655" s="52"/>
      <c r="I4655" s="52"/>
      <c r="J4655" s="49"/>
      <c r="K4655" s="58"/>
      <c r="L4655" s="58"/>
      <c r="M4655" s="58"/>
      <c r="N4655" s="58"/>
      <c r="O4655" s="58"/>
      <c r="P4655" s="53"/>
      <c r="Q4655" s="65"/>
      <c r="R4655" s="65"/>
      <c r="S4655" s="65"/>
      <c r="T4655" s="65"/>
      <c r="U4655" s="58"/>
      <c r="V4655" s="65"/>
      <c r="W4655" s="65"/>
      <c r="X4655" s="65"/>
      <c r="Y4655" s="65"/>
      <c r="Z4655" s="51"/>
      <c r="AA4655" s="51"/>
      <c r="AB4655" s="102"/>
      <c r="AC4655" s="81" t="e">
        <f t="shared" si="220"/>
        <v>#DIV/0!</v>
      </c>
      <c r="AD4655" s="82">
        <f t="shared" si="221"/>
        <v>0</v>
      </c>
      <c r="AE4655" s="218"/>
      <c r="AH4655" t="str">
        <f t="shared" si="219"/>
        <v>0000</v>
      </c>
      <c r="AJ4655" s="72"/>
      <c r="AK4655" s="72"/>
      <c r="AL4655" s="72"/>
      <c r="AM4655" s="72"/>
    </row>
    <row r="4656" spans="1:39" x14ac:dyDescent="0.25">
      <c r="A4656" s="37" t="s">
        <v>62</v>
      </c>
      <c r="B4656" s="66"/>
      <c r="C4656" s="4"/>
      <c r="D4656" s="41"/>
      <c r="E4656" s="41"/>
      <c r="F4656" s="85"/>
      <c r="G4656" s="39"/>
      <c r="H4656" s="52"/>
      <c r="I4656" s="52"/>
      <c r="J4656" s="49"/>
      <c r="K4656" s="58"/>
      <c r="L4656" s="58"/>
      <c r="M4656" s="58"/>
      <c r="N4656" s="58"/>
      <c r="O4656" s="58"/>
      <c r="P4656" s="53"/>
      <c r="Q4656" s="65"/>
      <c r="R4656" s="65"/>
      <c r="S4656" s="65"/>
      <c r="T4656" s="65"/>
      <c r="U4656" s="58"/>
      <c r="V4656" s="65"/>
      <c r="W4656" s="65"/>
      <c r="X4656" s="65"/>
      <c r="Y4656" s="65"/>
      <c r="Z4656" s="51"/>
      <c r="AA4656" s="51"/>
      <c r="AB4656" s="102"/>
      <c r="AC4656" s="81" t="e">
        <f t="shared" si="220"/>
        <v>#DIV/0!</v>
      </c>
      <c r="AD4656" s="82">
        <f t="shared" si="221"/>
        <v>0</v>
      </c>
      <c r="AE4656" s="218"/>
      <c r="AH4656" t="str">
        <f t="shared" si="219"/>
        <v>0000</v>
      </c>
      <c r="AJ4656" s="72"/>
      <c r="AK4656" s="72"/>
      <c r="AL4656" s="72"/>
      <c r="AM4656" s="72"/>
    </row>
    <row r="4657" spans="1:39" x14ac:dyDescent="0.25">
      <c r="A4657" s="37" t="s">
        <v>62</v>
      </c>
      <c r="B4657" s="66"/>
      <c r="C4657" s="4"/>
      <c r="D4657" s="41"/>
      <c r="E4657" s="41"/>
      <c r="F4657" s="85"/>
      <c r="G4657" s="39"/>
      <c r="H4657" s="52"/>
      <c r="I4657" s="52"/>
      <c r="J4657" s="49"/>
      <c r="K4657" s="58"/>
      <c r="L4657" s="58"/>
      <c r="M4657" s="58"/>
      <c r="N4657" s="58"/>
      <c r="O4657" s="58"/>
      <c r="P4657" s="53"/>
      <c r="Q4657" s="65"/>
      <c r="R4657" s="65"/>
      <c r="S4657" s="65"/>
      <c r="T4657" s="65"/>
      <c r="U4657" s="58"/>
      <c r="V4657" s="65"/>
      <c r="W4657" s="65"/>
      <c r="X4657" s="65"/>
      <c r="Y4657" s="65"/>
      <c r="Z4657" s="51"/>
      <c r="AA4657" s="51"/>
      <c r="AB4657" s="102"/>
      <c r="AC4657" s="81" t="e">
        <f t="shared" si="220"/>
        <v>#DIV/0!</v>
      </c>
      <c r="AD4657" s="82">
        <f t="shared" si="221"/>
        <v>0</v>
      </c>
      <c r="AE4657" s="218"/>
      <c r="AH4657" t="str">
        <f t="shared" si="219"/>
        <v>0000</v>
      </c>
      <c r="AJ4657" s="72"/>
      <c r="AK4657" s="72"/>
      <c r="AL4657" s="72"/>
      <c r="AM4657" s="72"/>
    </row>
    <row r="4658" spans="1:39" x14ac:dyDescent="0.25">
      <c r="A4658" s="37" t="s">
        <v>62</v>
      </c>
      <c r="B4658" s="66"/>
      <c r="C4658" s="4"/>
      <c r="D4658" s="41"/>
      <c r="E4658" s="41"/>
      <c r="F4658" s="85"/>
      <c r="G4658" s="39"/>
      <c r="H4658" s="52"/>
      <c r="I4658" s="52"/>
      <c r="J4658" s="49"/>
      <c r="K4658" s="58"/>
      <c r="L4658" s="58"/>
      <c r="M4658" s="58"/>
      <c r="N4658" s="58"/>
      <c r="O4658" s="58"/>
      <c r="P4658" s="53"/>
      <c r="Q4658" s="65"/>
      <c r="R4658" s="65"/>
      <c r="S4658" s="65"/>
      <c r="T4658" s="65"/>
      <c r="U4658" s="58"/>
      <c r="V4658" s="65"/>
      <c r="W4658" s="65"/>
      <c r="X4658" s="65"/>
      <c r="Y4658" s="65"/>
      <c r="Z4658" s="51"/>
      <c r="AA4658" s="51"/>
      <c r="AB4658" s="102"/>
      <c r="AC4658" s="81" t="e">
        <f t="shared" si="220"/>
        <v>#DIV/0!</v>
      </c>
      <c r="AD4658" s="82">
        <f t="shared" si="221"/>
        <v>0</v>
      </c>
      <c r="AE4658" s="218"/>
      <c r="AH4658" t="str">
        <f t="shared" si="219"/>
        <v>0000</v>
      </c>
      <c r="AJ4658" s="72"/>
      <c r="AK4658" s="72"/>
      <c r="AL4658" s="72"/>
      <c r="AM4658" s="72"/>
    </row>
    <row r="4659" spans="1:39" x14ac:dyDescent="0.25">
      <c r="A4659" s="37" t="s">
        <v>62</v>
      </c>
      <c r="B4659" s="66"/>
      <c r="C4659" s="4"/>
      <c r="D4659" s="41"/>
      <c r="E4659" s="41"/>
      <c r="F4659" s="85"/>
      <c r="G4659" s="39"/>
      <c r="H4659" s="52"/>
      <c r="I4659" s="52"/>
      <c r="J4659" s="49"/>
      <c r="K4659" s="58"/>
      <c r="L4659" s="58"/>
      <c r="M4659" s="58"/>
      <c r="N4659" s="58"/>
      <c r="O4659" s="58"/>
      <c r="P4659" s="53"/>
      <c r="Q4659" s="65"/>
      <c r="R4659" s="65"/>
      <c r="S4659" s="65"/>
      <c r="T4659" s="65"/>
      <c r="U4659" s="58"/>
      <c r="V4659" s="65"/>
      <c r="W4659" s="65"/>
      <c r="X4659" s="65"/>
      <c r="Y4659" s="65"/>
      <c r="Z4659" s="51"/>
      <c r="AA4659" s="51"/>
      <c r="AB4659" s="102"/>
      <c r="AC4659" s="81" t="e">
        <f t="shared" si="220"/>
        <v>#DIV/0!</v>
      </c>
      <c r="AD4659" s="82">
        <f t="shared" si="221"/>
        <v>0</v>
      </c>
      <c r="AE4659" s="218"/>
      <c r="AH4659" t="str">
        <f t="shared" si="219"/>
        <v>0000</v>
      </c>
      <c r="AJ4659" s="72"/>
      <c r="AK4659" s="72"/>
      <c r="AL4659" s="72"/>
      <c r="AM4659" s="72"/>
    </row>
    <row r="4660" spans="1:39" x14ac:dyDescent="0.25">
      <c r="A4660" s="37" t="s">
        <v>62</v>
      </c>
      <c r="B4660" s="66"/>
      <c r="C4660" s="4"/>
      <c r="D4660" s="41"/>
      <c r="E4660" s="41"/>
      <c r="F4660" s="85"/>
      <c r="G4660" s="39"/>
      <c r="H4660" s="52"/>
      <c r="I4660" s="52"/>
      <c r="J4660" s="49"/>
      <c r="K4660" s="58"/>
      <c r="L4660" s="58"/>
      <c r="M4660" s="58"/>
      <c r="N4660" s="58"/>
      <c r="O4660" s="58"/>
      <c r="P4660" s="53"/>
      <c r="Q4660" s="65"/>
      <c r="R4660" s="65"/>
      <c r="S4660" s="65"/>
      <c r="T4660" s="65"/>
      <c r="U4660" s="58"/>
      <c r="V4660" s="65"/>
      <c r="W4660" s="65"/>
      <c r="X4660" s="65"/>
      <c r="Y4660" s="65"/>
      <c r="Z4660" s="51"/>
      <c r="AA4660" s="51"/>
      <c r="AB4660" s="102"/>
      <c r="AC4660" s="81" t="e">
        <f t="shared" si="220"/>
        <v>#DIV/0!</v>
      </c>
      <c r="AD4660" s="82">
        <f t="shared" si="221"/>
        <v>0</v>
      </c>
      <c r="AE4660" s="218"/>
      <c r="AH4660" t="str">
        <f t="shared" si="219"/>
        <v>0000</v>
      </c>
      <c r="AJ4660" s="72"/>
      <c r="AK4660" s="72"/>
      <c r="AL4660" s="72"/>
      <c r="AM4660" s="72"/>
    </row>
    <row r="4661" spans="1:39" x14ac:dyDescent="0.25">
      <c r="A4661" s="37" t="s">
        <v>62</v>
      </c>
      <c r="B4661" s="66"/>
      <c r="C4661" s="4"/>
      <c r="D4661" s="41"/>
      <c r="E4661" s="41"/>
      <c r="F4661" s="85"/>
      <c r="G4661" s="39"/>
      <c r="H4661" s="52"/>
      <c r="I4661" s="52"/>
      <c r="J4661" s="49"/>
      <c r="K4661" s="58"/>
      <c r="L4661" s="58"/>
      <c r="M4661" s="58"/>
      <c r="N4661" s="58"/>
      <c r="O4661" s="58"/>
      <c r="P4661" s="53"/>
      <c r="Q4661" s="65"/>
      <c r="R4661" s="65"/>
      <c r="S4661" s="65"/>
      <c r="T4661" s="65"/>
      <c r="U4661" s="58"/>
      <c r="V4661" s="65"/>
      <c r="W4661" s="65"/>
      <c r="X4661" s="65"/>
      <c r="Y4661" s="65"/>
      <c r="Z4661" s="51"/>
      <c r="AA4661" s="51"/>
      <c r="AB4661" s="102"/>
      <c r="AC4661" s="81" t="e">
        <f t="shared" si="220"/>
        <v>#DIV/0!</v>
      </c>
      <c r="AD4661" s="82">
        <f t="shared" si="221"/>
        <v>0</v>
      </c>
      <c r="AE4661" s="218"/>
      <c r="AH4661" t="str">
        <f t="shared" si="219"/>
        <v>0000</v>
      </c>
      <c r="AJ4661" s="72"/>
      <c r="AK4661" s="72"/>
      <c r="AL4661" s="72"/>
      <c r="AM4661" s="72"/>
    </row>
    <row r="4662" spans="1:39" x14ac:dyDescent="0.25">
      <c r="A4662" s="37" t="s">
        <v>62</v>
      </c>
      <c r="B4662" s="66"/>
      <c r="C4662" s="4"/>
      <c r="D4662" s="41"/>
      <c r="E4662" s="41"/>
      <c r="F4662" s="85"/>
      <c r="G4662" s="39"/>
      <c r="H4662" s="52"/>
      <c r="I4662" s="52"/>
      <c r="J4662" s="49"/>
      <c r="K4662" s="58"/>
      <c r="L4662" s="58"/>
      <c r="M4662" s="58"/>
      <c r="N4662" s="58"/>
      <c r="O4662" s="58"/>
      <c r="P4662" s="53"/>
      <c r="Q4662" s="65"/>
      <c r="R4662" s="65"/>
      <c r="S4662" s="65"/>
      <c r="T4662" s="65"/>
      <c r="U4662" s="58"/>
      <c r="V4662" s="65"/>
      <c r="W4662" s="65"/>
      <c r="X4662" s="65"/>
      <c r="Y4662" s="65"/>
      <c r="Z4662" s="51"/>
      <c r="AA4662" s="51"/>
      <c r="AB4662" s="102"/>
      <c r="AC4662" s="81" t="e">
        <f t="shared" si="220"/>
        <v>#DIV/0!</v>
      </c>
      <c r="AD4662" s="82">
        <f t="shared" si="221"/>
        <v>0</v>
      </c>
      <c r="AE4662" s="218"/>
      <c r="AH4662" t="str">
        <f t="shared" si="219"/>
        <v>0000</v>
      </c>
      <c r="AJ4662" s="72"/>
      <c r="AK4662" s="72"/>
      <c r="AL4662" s="72"/>
      <c r="AM4662" s="72"/>
    </row>
    <row r="4663" spans="1:39" x14ac:dyDescent="0.25">
      <c r="A4663" s="37" t="s">
        <v>62</v>
      </c>
      <c r="B4663" s="66"/>
      <c r="C4663" s="4"/>
      <c r="D4663" s="41"/>
      <c r="E4663" s="41"/>
      <c r="F4663" s="85"/>
      <c r="G4663" s="39"/>
      <c r="H4663" s="52"/>
      <c r="I4663" s="52"/>
      <c r="J4663" s="49"/>
      <c r="K4663" s="58"/>
      <c r="L4663" s="58"/>
      <c r="M4663" s="58"/>
      <c r="N4663" s="58"/>
      <c r="O4663" s="58"/>
      <c r="P4663" s="53"/>
      <c r="Q4663" s="65"/>
      <c r="R4663" s="65"/>
      <c r="S4663" s="65"/>
      <c r="T4663" s="65"/>
      <c r="U4663" s="58"/>
      <c r="V4663" s="65"/>
      <c r="W4663" s="65"/>
      <c r="X4663" s="65"/>
      <c r="Y4663" s="65"/>
      <c r="Z4663" s="51"/>
      <c r="AA4663" s="51"/>
      <c r="AB4663" s="102"/>
      <c r="AC4663" s="81" t="e">
        <f t="shared" si="220"/>
        <v>#DIV/0!</v>
      </c>
      <c r="AD4663" s="82">
        <f t="shared" si="221"/>
        <v>0</v>
      </c>
      <c r="AE4663" s="218"/>
      <c r="AH4663" t="str">
        <f t="shared" si="219"/>
        <v>0000</v>
      </c>
      <c r="AJ4663" s="72"/>
      <c r="AK4663" s="72"/>
      <c r="AL4663" s="72"/>
      <c r="AM4663" s="72"/>
    </row>
    <row r="4664" spans="1:39" x14ac:dyDescent="0.25">
      <c r="A4664" s="37" t="s">
        <v>62</v>
      </c>
      <c r="B4664" s="66"/>
      <c r="C4664" s="4"/>
      <c r="D4664" s="41"/>
      <c r="E4664" s="41"/>
      <c r="F4664" s="85"/>
      <c r="G4664" s="39"/>
      <c r="H4664" s="52"/>
      <c r="I4664" s="52"/>
      <c r="J4664" s="49"/>
      <c r="K4664" s="58"/>
      <c r="L4664" s="58"/>
      <c r="M4664" s="58"/>
      <c r="N4664" s="58"/>
      <c r="O4664" s="58"/>
      <c r="P4664" s="53"/>
      <c r="Q4664" s="65"/>
      <c r="R4664" s="65"/>
      <c r="S4664" s="65"/>
      <c r="T4664" s="65"/>
      <c r="U4664" s="58"/>
      <c r="V4664" s="65"/>
      <c r="W4664" s="65"/>
      <c r="X4664" s="65"/>
      <c r="Y4664" s="65"/>
      <c r="Z4664" s="51"/>
      <c r="AA4664" s="51"/>
      <c r="AB4664" s="102"/>
      <c r="AC4664" s="81" t="e">
        <f t="shared" si="220"/>
        <v>#DIV/0!</v>
      </c>
      <c r="AD4664" s="82">
        <f t="shared" si="221"/>
        <v>0</v>
      </c>
      <c r="AE4664" s="218"/>
      <c r="AH4664" t="str">
        <f t="shared" si="219"/>
        <v>0000</v>
      </c>
      <c r="AJ4664" s="72"/>
      <c r="AK4664" s="72"/>
      <c r="AL4664" s="72"/>
      <c r="AM4664" s="72"/>
    </row>
    <row r="4665" spans="1:39" x14ac:dyDescent="0.25">
      <c r="A4665" s="37" t="s">
        <v>62</v>
      </c>
      <c r="B4665" s="66"/>
      <c r="C4665" s="4"/>
      <c r="D4665" s="41"/>
      <c r="E4665" s="41"/>
      <c r="F4665" s="85"/>
      <c r="G4665" s="39"/>
      <c r="H4665" s="52"/>
      <c r="I4665" s="52"/>
      <c r="J4665" s="49"/>
      <c r="K4665" s="58"/>
      <c r="L4665" s="58"/>
      <c r="M4665" s="58"/>
      <c r="N4665" s="58"/>
      <c r="O4665" s="58"/>
      <c r="P4665" s="53"/>
      <c r="Q4665" s="65"/>
      <c r="R4665" s="65"/>
      <c r="S4665" s="65"/>
      <c r="T4665" s="65"/>
      <c r="U4665" s="58"/>
      <c r="V4665" s="65"/>
      <c r="W4665" s="65"/>
      <c r="X4665" s="65"/>
      <c r="Y4665" s="65"/>
      <c r="Z4665" s="51"/>
      <c r="AA4665" s="51"/>
      <c r="AB4665" s="102"/>
      <c r="AC4665" s="81" t="e">
        <f t="shared" si="220"/>
        <v>#DIV/0!</v>
      </c>
      <c r="AD4665" s="82">
        <f t="shared" si="221"/>
        <v>0</v>
      </c>
      <c r="AE4665" s="218"/>
      <c r="AH4665" t="str">
        <f t="shared" si="219"/>
        <v>0000</v>
      </c>
      <c r="AJ4665" s="72"/>
      <c r="AK4665" s="72"/>
      <c r="AL4665" s="72"/>
      <c r="AM4665" s="72"/>
    </row>
    <row r="4666" spans="1:39" x14ac:dyDescent="0.25">
      <c r="A4666" s="37" t="s">
        <v>62</v>
      </c>
      <c r="B4666" s="66"/>
      <c r="C4666" s="4"/>
      <c r="D4666" s="41"/>
      <c r="E4666" s="41"/>
      <c r="F4666" s="85"/>
      <c r="G4666" s="39"/>
      <c r="H4666" s="52"/>
      <c r="I4666" s="52"/>
      <c r="J4666" s="49"/>
      <c r="K4666" s="58"/>
      <c r="L4666" s="58"/>
      <c r="M4666" s="58"/>
      <c r="N4666" s="58"/>
      <c r="O4666" s="58"/>
      <c r="P4666" s="53"/>
      <c r="Q4666" s="65"/>
      <c r="R4666" s="65"/>
      <c r="S4666" s="65"/>
      <c r="T4666" s="65"/>
      <c r="U4666" s="58"/>
      <c r="V4666" s="65"/>
      <c r="W4666" s="65"/>
      <c r="X4666" s="65"/>
      <c r="Y4666" s="65"/>
      <c r="Z4666" s="51"/>
      <c r="AA4666" s="51"/>
      <c r="AB4666" s="102"/>
      <c r="AC4666" s="81" t="e">
        <f t="shared" si="220"/>
        <v>#DIV/0!</v>
      </c>
      <c r="AD4666" s="82">
        <f t="shared" si="221"/>
        <v>0</v>
      </c>
      <c r="AE4666" s="218"/>
      <c r="AH4666" t="str">
        <f t="shared" ref="AH4666:AH4729" si="222">TEXT(D4666,"0000")</f>
        <v>0000</v>
      </c>
      <c r="AJ4666" s="72"/>
      <c r="AK4666" s="72"/>
      <c r="AL4666" s="72"/>
      <c r="AM4666" s="72"/>
    </row>
    <row r="4667" spans="1:39" x14ac:dyDescent="0.25">
      <c r="A4667" s="37" t="s">
        <v>62</v>
      </c>
      <c r="B4667" s="66"/>
      <c r="C4667" s="4"/>
      <c r="D4667" s="41"/>
      <c r="E4667" s="41"/>
      <c r="F4667" s="85"/>
      <c r="G4667" s="39"/>
      <c r="H4667" s="52"/>
      <c r="I4667" s="52"/>
      <c r="J4667" s="49"/>
      <c r="K4667" s="58"/>
      <c r="L4667" s="58"/>
      <c r="M4667" s="58"/>
      <c r="N4667" s="58"/>
      <c r="O4667" s="58"/>
      <c r="P4667" s="53"/>
      <c r="Q4667" s="65"/>
      <c r="R4667" s="65"/>
      <c r="S4667" s="65"/>
      <c r="T4667" s="65"/>
      <c r="U4667" s="58"/>
      <c r="V4667" s="65"/>
      <c r="W4667" s="65"/>
      <c r="X4667" s="65"/>
      <c r="Y4667" s="65"/>
      <c r="Z4667" s="51"/>
      <c r="AA4667" s="51"/>
      <c r="AB4667" s="102"/>
      <c r="AC4667" s="81" t="e">
        <f t="shared" si="220"/>
        <v>#DIV/0!</v>
      </c>
      <c r="AD4667" s="82">
        <f t="shared" si="221"/>
        <v>0</v>
      </c>
      <c r="AE4667" s="218"/>
      <c r="AH4667" t="str">
        <f t="shared" si="222"/>
        <v>0000</v>
      </c>
      <c r="AJ4667" s="72"/>
      <c r="AK4667" s="72"/>
      <c r="AL4667" s="72"/>
      <c r="AM4667" s="72"/>
    </row>
    <row r="4668" spans="1:39" x14ac:dyDescent="0.25">
      <c r="A4668" s="37" t="s">
        <v>62</v>
      </c>
      <c r="B4668" s="66"/>
      <c r="C4668" s="4"/>
      <c r="D4668" s="41"/>
      <c r="E4668" s="41"/>
      <c r="F4668" s="85"/>
      <c r="G4668" s="39"/>
      <c r="H4668" s="52"/>
      <c r="I4668" s="52"/>
      <c r="J4668" s="49"/>
      <c r="K4668" s="58"/>
      <c r="L4668" s="58"/>
      <c r="M4668" s="58"/>
      <c r="N4668" s="58"/>
      <c r="O4668" s="58"/>
      <c r="P4668" s="53"/>
      <c r="Q4668" s="65"/>
      <c r="R4668" s="65"/>
      <c r="S4668" s="65"/>
      <c r="T4668" s="65"/>
      <c r="U4668" s="58"/>
      <c r="V4668" s="65"/>
      <c r="W4668" s="65"/>
      <c r="X4668" s="65"/>
      <c r="Y4668" s="65"/>
      <c r="Z4668" s="51"/>
      <c r="AA4668" s="51"/>
      <c r="AB4668" s="102"/>
      <c r="AC4668" s="81" t="e">
        <f t="shared" si="220"/>
        <v>#DIV/0!</v>
      </c>
      <c r="AD4668" s="82">
        <f t="shared" si="221"/>
        <v>0</v>
      </c>
      <c r="AE4668" s="218"/>
      <c r="AH4668" t="str">
        <f t="shared" si="222"/>
        <v>0000</v>
      </c>
      <c r="AJ4668" s="72"/>
      <c r="AK4668" s="72"/>
      <c r="AL4668" s="72"/>
      <c r="AM4668" s="72"/>
    </row>
    <row r="4669" spans="1:39" x14ac:dyDescent="0.25">
      <c r="A4669" s="37" t="s">
        <v>62</v>
      </c>
      <c r="B4669" s="66"/>
      <c r="C4669" s="4"/>
      <c r="D4669" s="41"/>
      <c r="E4669" s="41"/>
      <c r="F4669" s="85"/>
      <c r="G4669" s="39"/>
      <c r="H4669" s="52"/>
      <c r="I4669" s="52"/>
      <c r="J4669" s="49"/>
      <c r="K4669" s="58"/>
      <c r="L4669" s="58"/>
      <c r="M4669" s="58"/>
      <c r="N4669" s="58"/>
      <c r="O4669" s="58"/>
      <c r="P4669" s="53"/>
      <c r="Q4669" s="65"/>
      <c r="R4669" s="65"/>
      <c r="S4669" s="65"/>
      <c r="T4669" s="65"/>
      <c r="U4669" s="58"/>
      <c r="V4669" s="65"/>
      <c r="W4669" s="65"/>
      <c r="X4669" s="65"/>
      <c r="Y4669" s="65"/>
      <c r="Z4669" s="51"/>
      <c r="AA4669" s="51"/>
      <c r="AB4669" s="102"/>
      <c r="AC4669" s="81" t="e">
        <f t="shared" si="220"/>
        <v>#DIV/0!</v>
      </c>
      <c r="AD4669" s="82">
        <f t="shared" si="221"/>
        <v>0</v>
      </c>
      <c r="AE4669" s="218"/>
      <c r="AH4669" t="str">
        <f t="shared" si="222"/>
        <v>0000</v>
      </c>
      <c r="AJ4669" s="72"/>
      <c r="AK4669" s="72"/>
      <c r="AL4669" s="72"/>
      <c r="AM4669" s="72"/>
    </row>
    <row r="4670" spans="1:39" x14ac:dyDescent="0.25">
      <c r="A4670" s="37" t="s">
        <v>62</v>
      </c>
      <c r="B4670" s="66"/>
      <c r="C4670" s="4"/>
      <c r="D4670" s="41"/>
      <c r="E4670" s="41"/>
      <c r="F4670" s="85"/>
      <c r="G4670" s="39"/>
      <c r="H4670" s="52"/>
      <c r="I4670" s="52"/>
      <c r="J4670" s="49"/>
      <c r="K4670" s="58"/>
      <c r="L4670" s="58"/>
      <c r="M4670" s="58"/>
      <c r="N4670" s="58"/>
      <c r="O4670" s="58"/>
      <c r="P4670" s="53"/>
      <c r="Q4670" s="65"/>
      <c r="R4670" s="65"/>
      <c r="S4670" s="65"/>
      <c r="T4670" s="65"/>
      <c r="U4670" s="58"/>
      <c r="V4670" s="65"/>
      <c r="W4670" s="65"/>
      <c r="X4670" s="65"/>
      <c r="Y4670" s="65"/>
      <c r="Z4670" s="51"/>
      <c r="AA4670" s="51"/>
      <c r="AB4670" s="102"/>
      <c r="AC4670" s="81" t="e">
        <f t="shared" si="220"/>
        <v>#DIV/0!</v>
      </c>
      <c r="AD4670" s="82">
        <f t="shared" si="221"/>
        <v>0</v>
      </c>
      <c r="AE4670" s="218"/>
      <c r="AH4670" t="str">
        <f t="shared" si="222"/>
        <v>0000</v>
      </c>
      <c r="AJ4670" s="72"/>
      <c r="AK4670" s="72"/>
      <c r="AL4670" s="72"/>
      <c r="AM4670" s="72"/>
    </row>
    <row r="4671" spans="1:39" x14ac:dyDescent="0.25">
      <c r="A4671" s="37" t="s">
        <v>62</v>
      </c>
      <c r="B4671" s="66"/>
      <c r="C4671" s="4"/>
      <c r="D4671" s="41"/>
      <c r="E4671" s="41"/>
      <c r="F4671" s="85"/>
      <c r="G4671" s="39"/>
      <c r="H4671" s="52"/>
      <c r="I4671" s="52"/>
      <c r="J4671" s="49"/>
      <c r="K4671" s="58"/>
      <c r="L4671" s="58"/>
      <c r="M4671" s="58"/>
      <c r="N4671" s="58"/>
      <c r="O4671" s="58"/>
      <c r="P4671" s="53"/>
      <c r="Q4671" s="65"/>
      <c r="R4671" s="65"/>
      <c r="S4671" s="65"/>
      <c r="T4671" s="65"/>
      <c r="U4671" s="58"/>
      <c r="V4671" s="65"/>
      <c r="W4671" s="65"/>
      <c r="X4671" s="65"/>
      <c r="Y4671" s="65"/>
      <c r="Z4671" s="51"/>
      <c r="AA4671" s="51"/>
      <c r="AB4671" s="102"/>
      <c r="AC4671" s="81" t="e">
        <f t="shared" si="220"/>
        <v>#DIV/0!</v>
      </c>
      <c r="AD4671" s="82">
        <f t="shared" si="221"/>
        <v>0</v>
      </c>
      <c r="AE4671" s="218"/>
      <c r="AH4671" t="str">
        <f t="shared" si="222"/>
        <v>0000</v>
      </c>
      <c r="AJ4671" s="72"/>
      <c r="AK4671" s="72"/>
      <c r="AL4671" s="72"/>
      <c r="AM4671" s="72"/>
    </row>
    <row r="4672" spans="1:39" x14ac:dyDescent="0.25">
      <c r="A4672" s="37" t="s">
        <v>62</v>
      </c>
      <c r="B4672" s="66"/>
      <c r="C4672" s="4"/>
      <c r="D4672" s="41"/>
      <c r="E4672" s="41"/>
      <c r="F4672" s="85"/>
      <c r="G4672" s="39"/>
      <c r="H4672" s="52"/>
      <c r="I4672" s="52"/>
      <c r="J4672" s="49"/>
      <c r="K4672" s="58"/>
      <c r="L4672" s="58"/>
      <c r="M4672" s="58"/>
      <c r="N4672" s="58"/>
      <c r="O4672" s="58"/>
      <c r="P4672" s="53"/>
      <c r="Q4672" s="65"/>
      <c r="R4672" s="65"/>
      <c r="S4672" s="65"/>
      <c r="T4672" s="65"/>
      <c r="U4672" s="58"/>
      <c r="V4672" s="65"/>
      <c r="W4672" s="65"/>
      <c r="X4672" s="65"/>
      <c r="Y4672" s="65"/>
      <c r="Z4672" s="51"/>
      <c r="AA4672" s="51"/>
      <c r="AB4672" s="102"/>
      <c r="AC4672" s="81" t="e">
        <f t="shared" si="220"/>
        <v>#DIV/0!</v>
      </c>
      <c r="AD4672" s="82">
        <f t="shared" si="221"/>
        <v>0</v>
      </c>
      <c r="AE4672" s="218"/>
      <c r="AH4672" t="str">
        <f t="shared" si="222"/>
        <v>0000</v>
      </c>
      <c r="AJ4672" s="72"/>
      <c r="AK4672" s="72"/>
      <c r="AL4672" s="72"/>
      <c r="AM4672" s="72"/>
    </row>
    <row r="4673" spans="1:39" x14ac:dyDescent="0.25">
      <c r="A4673" s="37" t="s">
        <v>62</v>
      </c>
      <c r="B4673" s="66"/>
      <c r="C4673" s="4"/>
      <c r="D4673" s="41"/>
      <c r="E4673" s="41"/>
      <c r="F4673" s="85"/>
      <c r="G4673" s="39"/>
      <c r="H4673" s="52"/>
      <c r="I4673" s="52"/>
      <c r="J4673" s="49"/>
      <c r="K4673" s="58"/>
      <c r="L4673" s="58"/>
      <c r="M4673" s="58"/>
      <c r="N4673" s="58"/>
      <c r="O4673" s="58"/>
      <c r="P4673" s="53"/>
      <c r="Q4673" s="65"/>
      <c r="R4673" s="65"/>
      <c r="S4673" s="65"/>
      <c r="T4673" s="65"/>
      <c r="U4673" s="58"/>
      <c r="V4673" s="65"/>
      <c r="W4673" s="65"/>
      <c r="X4673" s="65"/>
      <c r="Y4673" s="65"/>
      <c r="Z4673" s="51"/>
      <c r="AA4673" s="51"/>
      <c r="AB4673" s="102"/>
      <c r="AC4673" s="81" t="e">
        <f t="shared" ref="AC4673:AC4736" si="223">((IF(AD4673=0,0,100-AD4673))*7*(J4673/I4673))*2%</f>
        <v>#DIV/0!</v>
      </c>
      <c r="AD4673" s="82">
        <f t="shared" ref="AD4673:AD4736" si="224">IF((I4673/7)&gt;100,0,(I4673/7))</f>
        <v>0</v>
      </c>
      <c r="AE4673" s="218"/>
      <c r="AH4673" t="str">
        <f t="shared" si="222"/>
        <v>0000</v>
      </c>
      <c r="AJ4673" s="72"/>
      <c r="AK4673" s="72"/>
      <c r="AL4673" s="72"/>
      <c r="AM4673" s="72"/>
    </row>
    <row r="4674" spans="1:39" x14ac:dyDescent="0.25">
      <c r="A4674" s="37" t="s">
        <v>62</v>
      </c>
      <c r="B4674" s="66"/>
      <c r="C4674" s="4"/>
      <c r="D4674" s="41"/>
      <c r="E4674" s="41"/>
      <c r="F4674" s="85"/>
      <c r="G4674" s="39"/>
      <c r="H4674" s="52"/>
      <c r="I4674" s="52"/>
      <c r="J4674" s="49"/>
      <c r="K4674" s="58"/>
      <c r="L4674" s="58"/>
      <c r="M4674" s="58"/>
      <c r="N4674" s="58"/>
      <c r="O4674" s="58"/>
      <c r="P4674" s="53"/>
      <c r="Q4674" s="65"/>
      <c r="R4674" s="65"/>
      <c r="S4674" s="65"/>
      <c r="T4674" s="65"/>
      <c r="U4674" s="58"/>
      <c r="V4674" s="65"/>
      <c r="W4674" s="65"/>
      <c r="X4674" s="65"/>
      <c r="Y4674" s="65"/>
      <c r="Z4674" s="51"/>
      <c r="AA4674" s="51"/>
      <c r="AB4674" s="102"/>
      <c r="AC4674" s="81" t="e">
        <f t="shared" si="223"/>
        <v>#DIV/0!</v>
      </c>
      <c r="AD4674" s="82">
        <f t="shared" si="224"/>
        <v>0</v>
      </c>
      <c r="AE4674" s="218"/>
      <c r="AH4674" t="str">
        <f t="shared" si="222"/>
        <v>0000</v>
      </c>
      <c r="AJ4674" s="72"/>
      <c r="AK4674" s="72"/>
      <c r="AL4674" s="72"/>
      <c r="AM4674" s="72"/>
    </row>
    <row r="4675" spans="1:39" x14ac:dyDescent="0.25">
      <c r="A4675" s="37" t="s">
        <v>62</v>
      </c>
      <c r="B4675" s="66"/>
      <c r="C4675" s="4"/>
      <c r="D4675" s="41"/>
      <c r="E4675" s="41"/>
      <c r="F4675" s="85"/>
      <c r="G4675" s="39"/>
      <c r="H4675" s="52"/>
      <c r="I4675" s="52"/>
      <c r="J4675" s="49"/>
      <c r="K4675" s="58"/>
      <c r="L4675" s="58"/>
      <c r="M4675" s="58"/>
      <c r="N4675" s="58"/>
      <c r="O4675" s="58"/>
      <c r="P4675" s="53"/>
      <c r="Q4675" s="65"/>
      <c r="R4675" s="65"/>
      <c r="S4675" s="65"/>
      <c r="T4675" s="65"/>
      <c r="U4675" s="58"/>
      <c r="V4675" s="65"/>
      <c r="W4675" s="65"/>
      <c r="X4675" s="65"/>
      <c r="Y4675" s="65"/>
      <c r="Z4675" s="51"/>
      <c r="AA4675" s="51"/>
      <c r="AB4675" s="102"/>
      <c r="AC4675" s="81" t="e">
        <f t="shared" si="223"/>
        <v>#DIV/0!</v>
      </c>
      <c r="AD4675" s="82">
        <f t="shared" si="224"/>
        <v>0</v>
      </c>
      <c r="AE4675" s="218"/>
      <c r="AH4675" t="str">
        <f t="shared" si="222"/>
        <v>0000</v>
      </c>
      <c r="AJ4675" s="72"/>
      <c r="AK4675" s="72"/>
      <c r="AL4675" s="72"/>
      <c r="AM4675" s="72"/>
    </row>
    <row r="4676" spans="1:39" x14ac:dyDescent="0.25">
      <c r="A4676" s="37" t="s">
        <v>62</v>
      </c>
      <c r="B4676" s="66"/>
      <c r="C4676" s="4"/>
      <c r="D4676" s="41"/>
      <c r="E4676" s="41"/>
      <c r="F4676" s="85"/>
      <c r="G4676" s="39"/>
      <c r="H4676" s="52"/>
      <c r="I4676" s="52"/>
      <c r="J4676" s="49"/>
      <c r="K4676" s="58"/>
      <c r="L4676" s="58"/>
      <c r="M4676" s="58"/>
      <c r="N4676" s="58"/>
      <c r="O4676" s="58"/>
      <c r="P4676" s="53"/>
      <c r="Q4676" s="65"/>
      <c r="R4676" s="65"/>
      <c r="S4676" s="65"/>
      <c r="T4676" s="65"/>
      <c r="U4676" s="58"/>
      <c r="V4676" s="65"/>
      <c r="W4676" s="65"/>
      <c r="X4676" s="65"/>
      <c r="Y4676" s="65"/>
      <c r="Z4676" s="51"/>
      <c r="AA4676" s="51"/>
      <c r="AB4676" s="102"/>
      <c r="AC4676" s="81" t="e">
        <f t="shared" si="223"/>
        <v>#DIV/0!</v>
      </c>
      <c r="AD4676" s="82">
        <f t="shared" si="224"/>
        <v>0</v>
      </c>
      <c r="AE4676" s="218"/>
      <c r="AH4676" t="str">
        <f t="shared" si="222"/>
        <v>0000</v>
      </c>
      <c r="AJ4676" s="72"/>
      <c r="AK4676" s="72"/>
      <c r="AL4676" s="72"/>
      <c r="AM4676" s="72"/>
    </row>
    <row r="4677" spans="1:39" x14ac:dyDescent="0.25">
      <c r="A4677" s="37" t="s">
        <v>62</v>
      </c>
      <c r="B4677" s="66"/>
      <c r="C4677" s="4"/>
      <c r="D4677" s="41"/>
      <c r="E4677" s="41"/>
      <c r="F4677" s="85"/>
      <c r="G4677" s="39"/>
      <c r="H4677" s="52"/>
      <c r="I4677" s="52"/>
      <c r="J4677" s="49"/>
      <c r="K4677" s="58"/>
      <c r="L4677" s="58"/>
      <c r="M4677" s="58"/>
      <c r="N4677" s="58"/>
      <c r="O4677" s="58"/>
      <c r="P4677" s="53"/>
      <c r="Q4677" s="65"/>
      <c r="R4677" s="65"/>
      <c r="S4677" s="65"/>
      <c r="T4677" s="65"/>
      <c r="U4677" s="58"/>
      <c r="V4677" s="65"/>
      <c r="W4677" s="65"/>
      <c r="X4677" s="65"/>
      <c r="Y4677" s="65"/>
      <c r="Z4677" s="51"/>
      <c r="AA4677" s="51"/>
      <c r="AB4677" s="102"/>
      <c r="AC4677" s="81" t="e">
        <f t="shared" si="223"/>
        <v>#DIV/0!</v>
      </c>
      <c r="AD4677" s="82">
        <f t="shared" si="224"/>
        <v>0</v>
      </c>
      <c r="AE4677" s="218"/>
      <c r="AH4677" t="str">
        <f t="shared" si="222"/>
        <v>0000</v>
      </c>
      <c r="AJ4677" s="72"/>
      <c r="AK4677" s="72"/>
      <c r="AL4677" s="72"/>
      <c r="AM4677" s="72"/>
    </row>
    <row r="4678" spans="1:39" x14ac:dyDescent="0.25">
      <c r="A4678" s="37" t="s">
        <v>62</v>
      </c>
      <c r="B4678" s="66"/>
      <c r="C4678" s="4"/>
      <c r="D4678" s="41"/>
      <c r="E4678" s="41"/>
      <c r="F4678" s="85"/>
      <c r="G4678" s="39"/>
      <c r="H4678" s="52"/>
      <c r="I4678" s="52"/>
      <c r="J4678" s="49"/>
      <c r="K4678" s="58"/>
      <c r="L4678" s="58"/>
      <c r="M4678" s="58"/>
      <c r="N4678" s="58"/>
      <c r="O4678" s="58"/>
      <c r="P4678" s="53"/>
      <c r="Q4678" s="65"/>
      <c r="R4678" s="65"/>
      <c r="S4678" s="65"/>
      <c r="T4678" s="65"/>
      <c r="U4678" s="58"/>
      <c r="V4678" s="65"/>
      <c r="W4678" s="65"/>
      <c r="X4678" s="65"/>
      <c r="Y4678" s="65"/>
      <c r="Z4678" s="51"/>
      <c r="AA4678" s="51"/>
      <c r="AB4678" s="102"/>
      <c r="AC4678" s="81" t="e">
        <f t="shared" si="223"/>
        <v>#DIV/0!</v>
      </c>
      <c r="AD4678" s="82">
        <f t="shared" si="224"/>
        <v>0</v>
      </c>
      <c r="AE4678" s="218"/>
      <c r="AH4678" t="str">
        <f t="shared" si="222"/>
        <v>0000</v>
      </c>
      <c r="AJ4678" s="72"/>
      <c r="AK4678" s="72"/>
      <c r="AL4678" s="72"/>
      <c r="AM4678" s="72"/>
    </row>
    <row r="4679" spans="1:39" x14ac:dyDescent="0.25">
      <c r="A4679" s="37" t="s">
        <v>62</v>
      </c>
      <c r="B4679" s="66"/>
      <c r="C4679" s="4"/>
      <c r="D4679" s="41"/>
      <c r="E4679" s="41"/>
      <c r="F4679" s="85"/>
      <c r="G4679" s="39"/>
      <c r="H4679" s="52"/>
      <c r="I4679" s="52"/>
      <c r="J4679" s="49"/>
      <c r="K4679" s="58"/>
      <c r="L4679" s="58"/>
      <c r="M4679" s="58"/>
      <c r="N4679" s="58"/>
      <c r="O4679" s="58"/>
      <c r="P4679" s="53"/>
      <c r="Q4679" s="65"/>
      <c r="R4679" s="65"/>
      <c r="S4679" s="65"/>
      <c r="T4679" s="65"/>
      <c r="U4679" s="58"/>
      <c r="V4679" s="65"/>
      <c r="W4679" s="65"/>
      <c r="X4679" s="65"/>
      <c r="Y4679" s="65"/>
      <c r="Z4679" s="51"/>
      <c r="AA4679" s="51"/>
      <c r="AB4679" s="102"/>
      <c r="AC4679" s="81" t="e">
        <f t="shared" si="223"/>
        <v>#DIV/0!</v>
      </c>
      <c r="AD4679" s="82">
        <f t="shared" si="224"/>
        <v>0</v>
      </c>
      <c r="AE4679" s="218"/>
      <c r="AH4679" t="str">
        <f t="shared" si="222"/>
        <v>0000</v>
      </c>
      <c r="AJ4679" s="72"/>
      <c r="AK4679" s="72"/>
      <c r="AL4679" s="72"/>
      <c r="AM4679" s="72"/>
    </row>
    <row r="4680" spans="1:39" x14ac:dyDescent="0.25">
      <c r="A4680" s="37" t="s">
        <v>62</v>
      </c>
      <c r="B4680" s="66"/>
      <c r="C4680" s="4"/>
      <c r="D4680" s="41"/>
      <c r="E4680" s="41"/>
      <c r="F4680" s="85"/>
      <c r="G4680" s="39"/>
      <c r="H4680" s="52"/>
      <c r="I4680" s="52"/>
      <c r="J4680" s="49"/>
      <c r="K4680" s="58"/>
      <c r="L4680" s="58"/>
      <c r="M4680" s="58"/>
      <c r="N4680" s="58"/>
      <c r="O4680" s="58"/>
      <c r="P4680" s="53"/>
      <c r="Q4680" s="65"/>
      <c r="R4680" s="65"/>
      <c r="S4680" s="65"/>
      <c r="T4680" s="65"/>
      <c r="U4680" s="58"/>
      <c r="V4680" s="65"/>
      <c r="W4680" s="65"/>
      <c r="X4680" s="65"/>
      <c r="Y4680" s="65"/>
      <c r="Z4680" s="51"/>
      <c r="AA4680" s="51"/>
      <c r="AB4680" s="102"/>
      <c r="AC4680" s="81" t="e">
        <f t="shared" si="223"/>
        <v>#DIV/0!</v>
      </c>
      <c r="AD4680" s="82">
        <f t="shared" si="224"/>
        <v>0</v>
      </c>
      <c r="AE4680" s="218"/>
      <c r="AH4680" t="str">
        <f t="shared" si="222"/>
        <v>0000</v>
      </c>
      <c r="AJ4680" s="72"/>
      <c r="AK4680" s="72"/>
      <c r="AL4680" s="72"/>
      <c r="AM4680" s="72"/>
    </row>
    <row r="4681" spans="1:39" x14ac:dyDescent="0.25">
      <c r="A4681" s="37" t="s">
        <v>62</v>
      </c>
      <c r="B4681" s="66"/>
      <c r="C4681" s="4"/>
      <c r="D4681" s="41"/>
      <c r="E4681" s="41"/>
      <c r="F4681" s="85"/>
      <c r="G4681" s="39"/>
      <c r="H4681" s="52"/>
      <c r="I4681" s="52"/>
      <c r="J4681" s="49"/>
      <c r="K4681" s="58"/>
      <c r="L4681" s="58"/>
      <c r="M4681" s="58"/>
      <c r="N4681" s="58"/>
      <c r="O4681" s="58"/>
      <c r="P4681" s="53"/>
      <c r="Q4681" s="65"/>
      <c r="R4681" s="65"/>
      <c r="S4681" s="65"/>
      <c r="T4681" s="65"/>
      <c r="U4681" s="58"/>
      <c r="V4681" s="65"/>
      <c r="W4681" s="65"/>
      <c r="X4681" s="65"/>
      <c r="Y4681" s="65"/>
      <c r="Z4681" s="51"/>
      <c r="AA4681" s="51"/>
      <c r="AB4681" s="102"/>
      <c r="AC4681" s="81" t="e">
        <f t="shared" si="223"/>
        <v>#DIV/0!</v>
      </c>
      <c r="AD4681" s="82">
        <f t="shared" si="224"/>
        <v>0</v>
      </c>
      <c r="AE4681" s="218"/>
      <c r="AH4681" t="str">
        <f t="shared" si="222"/>
        <v>0000</v>
      </c>
      <c r="AJ4681" s="72"/>
      <c r="AK4681" s="72"/>
      <c r="AL4681" s="72"/>
      <c r="AM4681" s="72"/>
    </row>
    <row r="4682" spans="1:39" x14ac:dyDescent="0.25">
      <c r="A4682" s="37" t="s">
        <v>62</v>
      </c>
      <c r="B4682" s="66"/>
      <c r="C4682" s="4"/>
      <c r="D4682" s="41"/>
      <c r="E4682" s="41"/>
      <c r="F4682" s="85"/>
      <c r="G4682" s="39"/>
      <c r="H4682" s="52"/>
      <c r="I4682" s="52"/>
      <c r="J4682" s="49"/>
      <c r="K4682" s="58"/>
      <c r="L4682" s="58"/>
      <c r="M4682" s="58"/>
      <c r="N4682" s="58"/>
      <c r="O4682" s="58"/>
      <c r="P4682" s="53"/>
      <c r="Q4682" s="65"/>
      <c r="R4682" s="65"/>
      <c r="S4682" s="65"/>
      <c r="T4682" s="65"/>
      <c r="U4682" s="58"/>
      <c r="V4682" s="65"/>
      <c r="W4682" s="65"/>
      <c r="X4682" s="65"/>
      <c r="Y4682" s="65"/>
      <c r="Z4682" s="51"/>
      <c r="AA4682" s="51"/>
      <c r="AB4682" s="102"/>
      <c r="AC4682" s="81" t="e">
        <f t="shared" si="223"/>
        <v>#DIV/0!</v>
      </c>
      <c r="AD4682" s="82">
        <f t="shared" si="224"/>
        <v>0</v>
      </c>
      <c r="AE4682" s="218"/>
      <c r="AH4682" t="str">
        <f t="shared" si="222"/>
        <v>0000</v>
      </c>
      <c r="AJ4682" s="72"/>
      <c r="AK4682" s="72"/>
      <c r="AL4682" s="72"/>
      <c r="AM4682" s="72"/>
    </row>
    <row r="4683" spans="1:39" x14ac:dyDescent="0.25">
      <c r="A4683" s="37" t="s">
        <v>62</v>
      </c>
      <c r="B4683" s="66"/>
      <c r="C4683" s="4"/>
      <c r="D4683" s="41"/>
      <c r="E4683" s="41"/>
      <c r="F4683" s="85"/>
      <c r="G4683" s="39"/>
      <c r="H4683" s="52"/>
      <c r="I4683" s="52"/>
      <c r="J4683" s="49"/>
      <c r="K4683" s="58"/>
      <c r="L4683" s="58"/>
      <c r="M4683" s="58"/>
      <c r="N4683" s="58"/>
      <c r="O4683" s="58"/>
      <c r="P4683" s="53"/>
      <c r="Q4683" s="65"/>
      <c r="R4683" s="65"/>
      <c r="S4683" s="65"/>
      <c r="T4683" s="65"/>
      <c r="U4683" s="58"/>
      <c r="V4683" s="65"/>
      <c r="W4683" s="65"/>
      <c r="X4683" s="65"/>
      <c r="Y4683" s="65"/>
      <c r="Z4683" s="51"/>
      <c r="AA4683" s="51"/>
      <c r="AB4683" s="102"/>
      <c r="AC4683" s="81" t="e">
        <f t="shared" si="223"/>
        <v>#DIV/0!</v>
      </c>
      <c r="AD4683" s="82">
        <f t="shared" si="224"/>
        <v>0</v>
      </c>
      <c r="AE4683" s="218"/>
      <c r="AH4683" t="str">
        <f t="shared" si="222"/>
        <v>0000</v>
      </c>
      <c r="AJ4683" s="72"/>
      <c r="AK4683" s="72"/>
      <c r="AL4683" s="72"/>
      <c r="AM4683" s="72"/>
    </row>
    <row r="4684" spans="1:39" x14ac:dyDescent="0.25">
      <c r="A4684" s="37" t="s">
        <v>62</v>
      </c>
      <c r="B4684" s="66"/>
      <c r="C4684" s="4"/>
      <c r="D4684" s="41"/>
      <c r="E4684" s="41"/>
      <c r="F4684" s="85"/>
      <c r="G4684" s="39"/>
      <c r="H4684" s="52"/>
      <c r="I4684" s="52"/>
      <c r="J4684" s="49"/>
      <c r="K4684" s="58"/>
      <c r="L4684" s="58"/>
      <c r="M4684" s="58"/>
      <c r="N4684" s="58"/>
      <c r="O4684" s="58"/>
      <c r="P4684" s="53"/>
      <c r="Q4684" s="65"/>
      <c r="R4684" s="65"/>
      <c r="S4684" s="65"/>
      <c r="T4684" s="65"/>
      <c r="U4684" s="58"/>
      <c r="V4684" s="65"/>
      <c r="W4684" s="65"/>
      <c r="X4684" s="65"/>
      <c r="Y4684" s="65"/>
      <c r="Z4684" s="51"/>
      <c r="AA4684" s="51"/>
      <c r="AB4684" s="102"/>
      <c r="AC4684" s="81" t="e">
        <f t="shared" si="223"/>
        <v>#DIV/0!</v>
      </c>
      <c r="AD4684" s="82">
        <f t="shared" si="224"/>
        <v>0</v>
      </c>
      <c r="AE4684" s="218"/>
      <c r="AH4684" t="str">
        <f t="shared" si="222"/>
        <v>0000</v>
      </c>
      <c r="AJ4684" s="72"/>
      <c r="AK4684" s="72"/>
      <c r="AL4684" s="72"/>
      <c r="AM4684" s="72"/>
    </row>
    <row r="4685" spans="1:39" x14ac:dyDescent="0.25">
      <c r="A4685" s="37" t="s">
        <v>62</v>
      </c>
      <c r="B4685" s="66"/>
      <c r="C4685" s="4"/>
      <c r="D4685" s="41"/>
      <c r="E4685" s="41"/>
      <c r="F4685" s="85"/>
      <c r="G4685" s="39"/>
      <c r="H4685" s="52"/>
      <c r="I4685" s="52"/>
      <c r="J4685" s="49"/>
      <c r="K4685" s="58"/>
      <c r="L4685" s="58"/>
      <c r="M4685" s="58"/>
      <c r="N4685" s="58"/>
      <c r="O4685" s="58"/>
      <c r="P4685" s="53"/>
      <c r="Q4685" s="65"/>
      <c r="R4685" s="65"/>
      <c r="S4685" s="65"/>
      <c r="T4685" s="65"/>
      <c r="U4685" s="58"/>
      <c r="V4685" s="65"/>
      <c r="W4685" s="65"/>
      <c r="X4685" s="65"/>
      <c r="Y4685" s="65"/>
      <c r="Z4685" s="51"/>
      <c r="AA4685" s="51"/>
      <c r="AB4685" s="102"/>
      <c r="AC4685" s="81" t="e">
        <f t="shared" si="223"/>
        <v>#DIV/0!</v>
      </c>
      <c r="AD4685" s="82">
        <f t="shared" si="224"/>
        <v>0</v>
      </c>
      <c r="AE4685" s="218"/>
      <c r="AH4685" t="str">
        <f t="shared" si="222"/>
        <v>0000</v>
      </c>
      <c r="AJ4685" s="72"/>
      <c r="AK4685" s="72"/>
      <c r="AL4685" s="72"/>
      <c r="AM4685" s="72"/>
    </row>
    <row r="4686" spans="1:39" x14ac:dyDescent="0.25">
      <c r="A4686" s="37" t="s">
        <v>62</v>
      </c>
      <c r="B4686" s="66"/>
      <c r="C4686" s="4"/>
      <c r="D4686" s="41"/>
      <c r="E4686" s="41"/>
      <c r="F4686" s="85"/>
      <c r="G4686" s="39"/>
      <c r="H4686" s="52"/>
      <c r="I4686" s="52"/>
      <c r="J4686" s="49"/>
      <c r="K4686" s="58"/>
      <c r="L4686" s="58"/>
      <c r="M4686" s="58"/>
      <c r="N4686" s="58"/>
      <c r="O4686" s="58"/>
      <c r="P4686" s="53"/>
      <c r="Q4686" s="65"/>
      <c r="R4686" s="65"/>
      <c r="S4686" s="65"/>
      <c r="T4686" s="65"/>
      <c r="U4686" s="58"/>
      <c r="V4686" s="65"/>
      <c r="W4686" s="65"/>
      <c r="X4686" s="65"/>
      <c r="Y4686" s="65"/>
      <c r="Z4686" s="51"/>
      <c r="AA4686" s="51"/>
      <c r="AB4686" s="102"/>
      <c r="AC4686" s="81" t="e">
        <f t="shared" si="223"/>
        <v>#DIV/0!</v>
      </c>
      <c r="AD4686" s="82">
        <f t="shared" si="224"/>
        <v>0</v>
      </c>
      <c r="AE4686" s="218"/>
      <c r="AH4686" t="str">
        <f t="shared" si="222"/>
        <v>0000</v>
      </c>
      <c r="AJ4686" s="72"/>
      <c r="AK4686" s="72"/>
      <c r="AL4686" s="72"/>
      <c r="AM4686" s="72"/>
    </row>
    <row r="4687" spans="1:39" x14ac:dyDescent="0.25">
      <c r="A4687" s="37" t="s">
        <v>62</v>
      </c>
      <c r="B4687" s="66"/>
      <c r="C4687" s="4"/>
      <c r="D4687" s="41"/>
      <c r="E4687" s="41"/>
      <c r="F4687" s="85"/>
      <c r="G4687" s="39"/>
      <c r="H4687" s="52"/>
      <c r="I4687" s="52"/>
      <c r="J4687" s="49"/>
      <c r="K4687" s="58"/>
      <c r="L4687" s="58"/>
      <c r="M4687" s="58"/>
      <c r="N4687" s="58"/>
      <c r="O4687" s="58"/>
      <c r="P4687" s="53"/>
      <c r="Q4687" s="65"/>
      <c r="R4687" s="65"/>
      <c r="S4687" s="65"/>
      <c r="T4687" s="65"/>
      <c r="U4687" s="58"/>
      <c r="V4687" s="65"/>
      <c r="W4687" s="65"/>
      <c r="X4687" s="65"/>
      <c r="Y4687" s="65"/>
      <c r="Z4687" s="51"/>
      <c r="AA4687" s="51"/>
      <c r="AB4687" s="102"/>
      <c r="AC4687" s="81" t="e">
        <f t="shared" si="223"/>
        <v>#DIV/0!</v>
      </c>
      <c r="AD4687" s="82">
        <f t="shared" si="224"/>
        <v>0</v>
      </c>
      <c r="AE4687" s="218"/>
      <c r="AH4687" t="str">
        <f t="shared" si="222"/>
        <v>0000</v>
      </c>
      <c r="AJ4687" s="72"/>
      <c r="AK4687" s="72"/>
      <c r="AL4687" s="72"/>
      <c r="AM4687" s="72"/>
    </row>
    <row r="4688" spans="1:39" x14ac:dyDescent="0.25">
      <c r="A4688" s="37" t="s">
        <v>62</v>
      </c>
      <c r="B4688" s="66"/>
      <c r="C4688" s="4"/>
      <c r="D4688" s="41"/>
      <c r="E4688" s="41"/>
      <c r="F4688" s="85"/>
      <c r="G4688" s="39"/>
      <c r="H4688" s="52"/>
      <c r="I4688" s="52"/>
      <c r="J4688" s="49"/>
      <c r="K4688" s="58"/>
      <c r="L4688" s="58"/>
      <c r="M4688" s="58"/>
      <c r="N4688" s="58"/>
      <c r="O4688" s="58"/>
      <c r="P4688" s="53"/>
      <c r="Q4688" s="65"/>
      <c r="R4688" s="65"/>
      <c r="S4688" s="65"/>
      <c r="T4688" s="65"/>
      <c r="U4688" s="58"/>
      <c r="V4688" s="65"/>
      <c r="W4688" s="65"/>
      <c r="X4688" s="65"/>
      <c r="Y4688" s="65"/>
      <c r="Z4688" s="51"/>
      <c r="AA4688" s="51"/>
      <c r="AB4688" s="102"/>
      <c r="AC4688" s="81" t="e">
        <f t="shared" si="223"/>
        <v>#DIV/0!</v>
      </c>
      <c r="AD4688" s="82">
        <f t="shared" si="224"/>
        <v>0</v>
      </c>
      <c r="AE4688" s="218"/>
      <c r="AH4688" t="str">
        <f t="shared" si="222"/>
        <v>0000</v>
      </c>
      <c r="AJ4688" s="72"/>
      <c r="AK4688" s="72"/>
      <c r="AL4688" s="72"/>
      <c r="AM4688" s="72"/>
    </row>
    <row r="4689" spans="1:39" x14ac:dyDescent="0.25">
      <c r="A4689" s="37" t="s">
        <v>62</v>
      </c>
      <c r="B4689" s="66"/>
      <c r="C4689" s="4"/>
      <c r="D4689" s="41"/>
      <c r="E4689" s="41"/>
      <c r="F4689" s="85"/>
      <c r="G4689" s="39"/>
      <c r="H4689" s="52"/>
      <c r="I4689" s="52"/>
      <c r="J4689" s="49"/>
      <c r="K4689" s="58"/>
      <c r="L4689" s="58"/>
      <c r="M4689" s="58"/>
      <c r="N4689" s="58"/>
      <c r="O4689" s="58"/>
      <c r="P4689" s="53"/>
      <c r="Q4689" s="65"/>
      <c r="R4689" s="65"/>
      <c r="S4689" s="65"/>
      <c r="T4689" s="65"/>
      <c r="U4689" s="58"/>
      <c r="V4689" s="65"/>
      <c r="W4689" s="65"/>
      <c r="X4689" s="65"/>
      <c r="Y4689" s="65"/>
      <c r="Z4689" s="51"/>
      <c r="AA4689" s="51"/>
      <c r="AB4689" s="102"/>
      <c r="AC4689" s="81" t="e">
        <f t="shared" si="223"/>
        <v>#DIV/0!</v>
      </c>
      <c r="AD4689" s="82">
        <f t="shared" si="224"/>
        <v>0</v>
      </c>
      <c r="AE4689" s="218"/>
      <c r="AH4689" t="str">
        <f t="shared" si="222"/>
        <v>0000</v>
      </c>
      <c r="AJ4689" s="72"/>
      <c r="AK4689" s="72"/>
      <c r="AL4689" s="72"/>
      <c r="AM4689" s="72"/>
    </row>
    <row r="4690" spans="1:39" x14ac:dyDescent="0.25">
      <c r="A4690" s="37" t="s">
        <v>62</v>
      </c>
      <c r="B4690" s="66"/>
      <c r="C4690" s="4"/>
      <c r="D4690" s="41"/>
      <c r="E4690" s="41"/>
      <c r="F4690" s="85"/>
      <c r="G4690" s="39"/>
      <c r="H4690" s="52"/>
      <c r="I4690" s="52"/>
      <c r="J4690" s="49"/>
      <c r="K4690" s="58"/>
      <c r="L4690" s="58"/>
      <c r="M4690" s="58"/>
      <c r="N4690" s="58"/>
      <c r="O4690" s="58"/>
      <c r="P4690" s="53"/>
      <c r="Q4690" s="65"/>
      <c r="R4690" s="65"/>
      <c r="S4690" s="65"/>
      <c r="T4690" s="65"/>
      <c r="U4690" s="58"/>
      <c r="V4690" s="65"/>
      <c r="W4690" s="65"/>
      <c r="X4690" s="65"/>
      <c r="Y4690" s="65"/>
      <c r="Z4690" s="51"/>
      <c r="AA4690" s="51"/>
      <c r="AB4690" s="102"/>
      <c r="AC4690" s="81" t="e">
        <f t="shared" si="223"/>
        <v>#DIV/0!</v>
      </c>
      <c r="AD4690" s="82">
        <f t="shared" si="224"/>
        <v>0</v>
      </c>
      <c r="AE4690" s="218"/>
      <c r="AH4690" t="str">
        <f t="shared" si="222"/>
        <v>0000</v>
      </c>
      <c r="AJ4690" s="72"/>
      <c r="AK4690" s="72"/>
      <c r="AL4690" s="72"/>
      <c r="AM4690" s="72"/>
    </row>
    <row r="4691" spans="1:39" x14ac:dyDescent="0.25">
      <c r="A4691" s="37" t="s">
        <v>62</v>
      </c>
      <c r="B4691" s="66"/>
      <c r="C4691" s="4"/>
      <c r="D4691" s="41"/>
      <c r="E4691" s="41"/>
      <c r="F4691" s="85"/>
      <c r="G4691" s="39"/>
      <c r="H4691" s="52"/>
      <c r="I4691" s="52"/>
      <c r="J4691" s="49"/>
      <c r="K4691" s="58"/>
      <c r="L4691" s="58"/>
      <c r="M4691" s="58"/>
      <c r="N4691" s="58"/>
      <c r="O4691" s="58"/>
      <c r="P4691" s="53"/>
      <c r="Q4691" s="65"/>
      <c r="R4691" s="65"/>
      <c r="S4691" s="65"/>
      <c r="T4691" s="65"/>
      <c r="U4691" s="58"/>
      <c r="V4691" s="65"/>
      <c r="W4691" s="65"/>
      <c r="X4691" s="65"/>
      <c r="Y4691" s="65"/>
      <c r="Z4691" s="51"/>
      <c r="AA4691" s="51"/>
      <c r="AB4691" s="102"/>
      <c r="AC4691" s="81" t="e">
        <f t="shared" si="223"/>
        <v>#DIV/0!</v>
      </c>
      <c r="AD4691" s="82">
        <f t="shared" si="224"/>
        <v>0</v>
      </c>
      <c r="AE4691" s="218"/>
      <c r="AH4691" t="str">
        <f t="shared" si="222"/>
        <v>0000</v>
      </c>
      <c r="AJ4691" s="72"/>
      <c r="AK4691" s="72"/>
      <c r="AL4691" s="72"/>
      <c r="AM4691" s="72"/>
    </row>
    <row r="4692" spans="1:39" x14ac:dyDescent="0.25">
      <c r="A4692" s="37" t="s">
        <v>62</v>
      </c>
      <c r="B4692" s="66"/>
      <c r="C4692" s="4"/>
      <c r="D4692" s="41"/>
      <c r="E4692" s="41"/>
      <c r="F4692" s="85"/>
      <c r="G4692" s="39"/>
      <c r="H4692" s="52"/>
      <c r="I4692" s="52"/>
      <c r="J4692" s="49"/>
      <c r="K4692" s="58"/>
      <c r="L4692" s="58"/>
      <c r="M4692" s="58"/>
      <c r="N4692" s="58"/>
      <c r="O4692" s="58"/>
      <c r="P4692" s="53"/>
      <c r="Q4692" s="65"/>
      <c r="R4692" s="65"/>
      <c r="S4692" s="65"/>
      <c r="T4692" s="65"/>
      <c r="U4692" s="58"/>
      <c r="V4692" s="65"/>
      <c r="W4692" s="65"/>
      <c r="X4692" s="65"/>
      <c r="Y4692" s="65"/>
      <c r="Z4692" s="51"/>
      <c r="AA4692" s="51"/>
      <c r="AB4692" s="102"/>
      <c r="AC4692" s="81" t="e">
        <f t="shared" si="223"/>
        <v>#DIV/0!</v>
      </c>
      <c r="AD4692" s="82">
        <f t="shared" si="224"/>
        <v>0</v>
      </c>
      <c r="AE4692" s="218"/>
      <c r="AH4692" t="str">
        <f t="shared" si="222"/>
        <v>0000</v>
      </c>
      <c r="AJ4692" s="72"/>
      <c r="AK4692" s="72"/>
      <c r="AL4692" s="72"/>
      <c r="AM4692" s="72"/>
    </row>
    <row r="4693" spans="1:39" x14ac:dyDescent="0.25">
      <c r="A4693" s="37" t="s">
        <v>62</v>
      </c>
      <c r="B4693" s="66"/>
      <c r="C4693" s="4"/>
      <c r="D4693" s="41"/>
      <c r="E4693" s="41"/>
      <c r="F4693" s="85"/>
      <c r="G4693" s="39"/>
      <c r="H4693" s="52"/>
      <c r="I4693" s="52"/>
      <c r="J4693" s="49"/>
      <c r="K4693" s="58"/>
      <c r="L4693" s="58"/>
      <c r="M4693" s="58"/>
      <c r="N4693" s="58"/>
      <c r="O4693" s="58"/>
      <c r="P4693" s="53"/>
      <c r="Q4693" s="65"/>
      <c r="R4693" s="65"/>
      <c r="S4693" s="65"/>
      <c r="T4693" s="65"/>
      <c r="U4693" s="58"/>
      <c r="V4693" s="65"/>
      <c r="W4693" s="65"/>
      <c r="X4693" s="65"/>
      <c r="Y4693" s="65"/>
      <c r="Z4693" s="51"/>
      <c r="AA4693" s="51"/>
      <c r="AB4693" s="102"/>
      <c r="AC4693" s="81" t="e">
        <f t="shared" si="223"/>
        <v>#DIV/0!</v>
      </c>
      <c r="AD4693" s="82">
        <f t="shared" si="224"/>
        <v>0</v>
      </c>
      <c r="AE4693" s="218"/>
      <c r="AH4693" t="str">
        <f t="shared" si="222"/>
        <v>0000</v>
      </c>
      <c r="AJ4693" s="72"/>
      <c r="AK4693" s="72"/>
      <c r="AL4693" s="72"/>
      <c r="AM4693" s="72"/>
    </row>
    <row r="4694" spans="1:39" x14ac:dyDescent="0.25">
      <c r="A4694" s="37" t="s">
        <v>62</v>
      </c>
      <c r="B4694" s="66"/>
      <c r="C4694" s="4"/>
      <c r="D4694" s="41"/>
      <c r="E4694" s="41"/>
      <c r="F4694" s="85"/>
      <c r="G4694" s="39"/>
      <c r="H4694" s="52"/>
      <c r="I4694" s="52"/>
      <c r="J4694" s="49"/>
      <c r="K4694" s="58"/>
      <c r="L4694" s="58"/>
      <c r="M4694" s="58"/>
      <c r="N4694" s="58"/>
      <c r="O4694" s="58"/>
      <c r="P4694" s="53"/>
      <c r="Q4694" s="65"/>
      <c r="R4694" s="65"/>
      <c r="S4694" s="65"/>
      <c r="T4694" s="65"/>
      <c r="U4694" s="58"/>
      <c r="V4694" s="65"/>
      <c r="W4694" s="65"/>
      <c r="X4694" s="65"/>
      <c r="Y4694" s="65"/>
      <c r="Z4694" s="51"/>
      <c r="AA4694" s="51"/>
      <c r="AB4694" s="102"/>
      <c r="AC4694" s="81" t="e">
        <f t="shared" si="223"/>
        <v>#DIV/0!</v>
      </c>
      <c r="AD4694" s="82">
        <f t="shared" si="224"/>
        <v>0</v>
      </c>
      <c r="AE4694" s="218"/>
      <c r="AH4694" t="str">
        <f t="shared" si="222"/>
        <v>0000</v>
      </c>
      <c r="AJ4694" s="72"/>
      <c r="AK4694" s="72"/>
      <c r="AL4694" s="72"/>
      <c r="AM4694" s="72"/>
    </row>
    <row r="4695" spans="1:39" x14ac:dyDescent="0.25">
      <c r="A4695" s="37" t="s">
        <v>62</v>
      </c>
      <c r="B4695" s="66"/>
      <c r="C4695" s="4"/>
      <c r="D4695" s="41"/>
      <c r="E4695" s="41"/>
      <c r="F4695" s="85"/>
      <c r="G4695" s="39"/>
      <c r="H4695" s="52"/>
      <c r="I4695" s="52"/>
      <c r="J4695" s="49"/>
      <c r="K4695" s="58"/>
      <c r="L4695" s="58"/>
      <c r="M4695" s="58"/>
      <c r="N4695" s="58"/>
      <c r="O4695" s="58"/>
      <c r="P4695" s="53"/>
      <c r="Q4695" s="65"/>
      <c r="R4695" s="65"/>
      <c r="S4695" s="65"/>
      <c r="T4695" s="65"/>
      <c r="U4695" s="58"/>
      <c r="V4695" s="65"/>
      <c r="W4695" s="65"/>
      <c r="X4695" s="65"/>
      <c r="Y4695" s="65"/>
      <c r="Z4695" s="51"/>
      <c r="AA4695" s="51"/>
      <c r="AB4695" s="102"/>
      <c r="AC4695" s="81" t="e">
        <f t="shared" si="223"/>
        <v>#DIV/0!</v>
      </c>
      <c r="AD4695" s="82">
        <f t="shared" si="224"/>
        <v>0</v>
      </c>
      <c r="AE4695" s="218"/>
      <c r="AH4695" t="str">
        <f t="shared" si="222"/>
        <v>0000</v>
      </c>
      <c r="AJ4695" s="72"/>
      <c r="AK4695" s="72"/>
      <c r="AL4695" s="72"/>
      <c r="AM4695" s="72"/>
    </row>
    <row r="4696" spans="1:39" x14ac:dyDescent="0.25">
      <c r="A4696" s="37" t="s">
        <v>62</v>
      </c>
      <c r="B4696" s="66"/>
      <c r="C4696" s="4"/>
      <c r="D4696" s="41"/>
      <c r="E4696" s="41"/>
      <c r="F4696" s="85"/>
      <c r="G4696" s="39"/>
      <c r="H4696" s="52"/>
      <c r="I4696" s="52"/>
      <c r="J4696" s="49"/>
      <c r="K4696" s="58"/>
      <c r="L4696" s="58"/>
      <c r="M4696" s="58"/>
      <c r="N4696" s="58"/>
      <c r="O4696" s="58"/>
      <c r="P4696" s="53"/>
      <c r="Q4696" s="65"/>
      <c r="R4696" s="65"/>
      <c r="S4696" s="65"/>
      <c r="T4696" s="65"/>
      <c r="U4696" s="58"/>
      <c r="V4696" s="65"/>
      <c r="W4696" s="65"/>
      <c r="X4696" s="65"/>
      <c r="Y4696" s="65"/>
      <c r="Z4696" s="51"/>
      <c r="AA4696" s="51"/>
      <c r="AB4696" s="102"/>
      <c r="AC4696" s="81" t="e">
        <f t="shared" si="223"/>
        <v>#DIV/0!</v>
      </c>
      <c r="AD4696" s="82">
        <f t="shared" si="224"/>
        <v>0</v>
      </c>
      <c r="AE4696" s="218"/>
      <c r="AH4696" t="str">
        <f t="shared" si="222"/>
        <v>0000</v>
      </c>
      <c r="AJ4696" s="72"/>
      <c r="AK4696" s="72"/>
      <c r="AL4696" s="72"/>
      <c r="AM4696" s="72"/>
    </row>
    <row r="4697" spans="1:39" x14ac:dyDescent="0.25">
      <c r="A4697" s="37" t="s">
        <v>62</v>
      </c>
      <c r="B4697" s="66"/>
      <c r="C4697" s="4"/>
      <c r="D4697" s="41"/>
      <c r="E4697" s="41"/>
      <c r="F4697" s="85"/>
      <c r="G4697" s="39"/>
      <c r="H4697" s="52"/>
      <c r="I4697" s="52"/>
      <c r="J4697" s="49"/>
      <c r="K4697" s="58"/>
      <c r="L4697" s="58"/>
      <c r="M4697" s="58"/>
      <c r="N4697" s="58"/>
      <c r="O4697" s="58"/>
      <c r="P4697" s="53"/>
      <c r="Q4697" s="65"/>
      <c r="R4697" s="65"/>
      <c r="S4697" s="65"/>
      <c r="T4697" s="65"/>
      <c r="U4697" s="58"/>
      <c r="V4697" s="65"/>
      <c r="W4697" s="65"/>
      <c r="X4697" s="65"/>
      <c r="Y4697" s="65"/>
      <c r="Z4697" s="51"/>
      <c r="AA4697" s="51"/>
      <c r="AB4697" s="102"/>
      <c r="AC4697" s="81" t="e">
        <f t="shared" si="223"/>
        <v>#DIV/0!</v>
      </c>
      <c r="AD4697" s="82">
        <f t="shared" si="224"/>
        <v>0</v>
      </c>
      <c r="AE4697" s="218"/>
      <c r="AH4697" t="str">
        <f t="shared" si="222"/>
        <v>0000</v>
      </c>
      <c r="AJ4697" s="72"/>
      <c r="AK4697" s="72"/>
      <c r="AL4697" s="72"/>
      <c r="AM4697" s="72"/>
    </row>
    <row r="4698" spans="1:39" x14ac:dyDescent="0.25">
      <c r="A4698" s="37" t="s">
        <v>62</v>
      </c>
      <c r="B4698" s="66"/>
      <c r="C4698" s="4"/>
      <c r="D4698" s="41"/>
      <c r="E4698" s="41"/>
      <c r="F4698" s="85"/>
      <c r="G4698" s="39"/>
      <c r="H4698" s="52"/>
      <c r="I4698" s="52"/>
      <c r="J4698" s="49"/>
      <c r="K4698" s="58"/>
      <c r="L4698" s="58"/>
      <c r="M4698" s="58"/>
      <c r="N4698" s="58"/>
      <c r="O4698" s="58"/>
      <c r="P4698" s="53"/>
      <c r="Q4698" s="65"/>
      <c r="R4698" s="65"/>
      <c r="S4698" s="65"/>
      <c r="T4698" s="65"/>
      <c r="U4698" s="58"/>
      <c r="V4698" s="65"/>
      <c r="W4698" s="65"/>
      <c r="X4698" s="65"/>
      <c r="Y4698" s="65"/>
      <c r="Z4698" s="51"/>
      <c r="AA4698" s="51"/>
      <c r="AB4698" s="102"/>
      <c r="AC4698" s="81" t="e">
        <f t="shared" si="223"/>
        <v>#DIV/0!</v>
      </c>
      <c r="AD4698" s="82">
        <f t="shared" si="224"/>
        <v>0</v>
      </c>
      <c r="AE4698" s="218"/>
      <c r="AH4698" t="str">
        <f t="shared" si="222"/>
        <v>0000</v>
      </c>
      <c r="AJ4698" s="72"/>
      <c r="AK4698" s="72"/>
      <c r="AL4698" s="72"/>
      <c r="AM4698" s="72"/>
    </row>
    <row r="4699" spans="1:39" x14ac:dyDescent="0.25">
      <c r="A4699" s="37" t="s">
        <v>62</v>
      </c>
      <c r="B4699" s="66"/>
      <c r="C4699" s="4"/>
      <c r="D4699" s="41"/>
      <c r="E4699" s="41"/>
      <c r="F4699" s="85"/>
      <c r="G4699" s="39"/>
      <c r="H4699" s="52"/>
      <c r="I4699" s="52"/>
      <c r="J4699" s="49"/>
      <c r="K4699" s="58"/>
      <c r="L4699" s="58"/>
      <c r="M4699" s="58"/>
      <c r="N4699" s="58"/>
      <c r="O4699" s="58"/>
      <c r="P4699" s="53"/>
      <c r="Q4699" s="65"/>
      <c r="R4699" s="65"/>
      <c r="S4699" s="65"/>
      <c r="T4699" s="65"/>
      <c r="U4699" s="58"/>
      <c r="V4699" s="65"/>
      <c r="W4699" s="65"/>
      <c r="X4699" s="65"/>
      <c r="Y4699" s="65"/>
      <c r="Z4699" s="51"/>
      <c r="AA4699" s="51"/>
      <c r="AB4699" s="102"/>
      <c r="AC4699" s="81" t="e">
        <f t="shared" si="223"/>
        <v>#DIV/0!</v>
      </c>
      <c r="AD4699" s="82">
        <f t="shared" si="224"/>
        <v>0</v>
      </c>
      <c r="AE4699" s="218"/>
      <c r="AH4699" t="str">
        <f t="shared" si="222"/>
        <v>0000</v>
      </c>
      <c r="AJ4699" s="72"/>
      <c r="AK4699" s="72"/>
      <c r="AL4699" s="72"/>
      <c r="AM4699" s="72"/>
    </row>
    <row r="4700" spans="1:39" x14ac:dyDescent="0.25">
      <c r="A4700" s="37" t="s">
        <v>62</v>
      </c>
      <c r="B4700" s="66"/>
      <c r="C4700" s="4"/>
      <c r="D4700" s="41"/>
      <c r="E4700" s="41"/>
      <c r="F4700" s="85"/>
      <c r="G4700" s="39"/>
      <c r="H4700" s="52"/>
      <c r="I4700" s="52"/>
      <c r="J4700" s="49"/>
      <c r="K4700" s="58"/>
      <c r="L4700" s="58"/>
      <c r="M4700" s="58"/>
      <c r="N4700" s="58"/>
      <c r="O4700" s="58"/>
      <c r="P4700" s="53"/>
      <c r="Q4700" s="65"/>
      <c r="R4700" s="65"/>
      <c r="S4700" s="65"/>
      <c r="T4700" s="65"/>
      <c r="U4700" s="58"/>
      <c r="V4700" s="65"/>
      <c r="W4700" s="65"/>
      <c r="X4700" s="65"/>
      <c r="Y4700" s="65"/>
      <c r="Z4700" s="51"/>
      <c r="AA4700" s="51"/>
      <c r="AB4700" s="102"/>
      <c r="AC4700" s="81" t="e">
        <f t="shared" si="223"/>
        <v>#DIV/0!</v>
      </c>
      <c r="AD4700" s="82">
        <f t="shared" si="224"/>
        <v>0</v>
      </c>
      <c r="AE4700" s="218"/>
      <c r="AH4700" t="str">
        <f t="shared" si="222"/>
        <v>0000</v>
      </c>
      <c r="AJ4700" s="72"/>
      <c r="AK4700" s="72"/>
      <c r="AL4700" s="72"/>
      <c r="AM4700" s="72"/>
    </row>
    <row r="4701" spans="1:39" x14ac:dyDescent="0.25">
      <c r="A4701" s="37" t="s">
        <v>62</v>
      </c>
      <c r="B4701" s="66"/>
      <c r="C4701" s="4"/>
      <c r="D4701" s="41"/>
      <c r="E4701" s="41"/>
      <c r="F4701" s="85"/>
      <c r="G4701" s="39"/>
      <c r="H4701" s="52"/>
      <c r="I4701" s="52"/>
      <c r="J4701" s="49"/>
      <c r="K4701" s="58"/>
      <c r="L4701" s="58"/>
      <c r="M4701" s="58"/>
      <c r="N4701" s="58"/>
      <c r="O4701" s="58"/>
      <c r="P4701" s="53"/>
      <c r="Q4701" s="65"/>
      <c r="R4701" s="65"/>
      <c r="S4701" s="65"/>
      <c r="T4701" s="65"/>
      <c r="U4701" s="58"/>
      <c r="V4701" s="65"/>
      <c r="W4701" s="65"/>
      <c r="X4701" s="65"/>
      <c r="Y4701" s="65"/>
      <c r="Z4701" s="51"/>
      <c r="AA4701" s="51"/>
      <c r="AB4701" s="102"/>
      <c r="AC4701" s="81" t="e">
        <f t="shared" si="223"/>
        <v>#DIV/0!</v>
      </c>
      <c r="AD4701" s="82">
        <f t="shared" si="224"/>
        <v>0</v>
      </c>
      <c r="AE4701" s="218"/>
      <c r="AH4701" t="str">
        <f t="shared" si="222"/>
        <v>0000</v>
      </c>
      <c r="AJ4701" s="72"/>
      <c r="AK4701" s="72"/>
      <c r="AL4701" s="72"/>
      <c r="AM4701" s="72"/>
    </row>
    <row r="4702" spans="1:39" x14ac:dyDescent="0.25">
      <c r="A4702" s="37" t="s">
        <v>62</v>
      </c>
      <c r="B4702" s="66"/>
      <c r="C4702" s="4"/>
      <c r="D4702" s="41"/>
      <c r="E4702" s="41"/>
      <c r="F4702" s="85"/>
      <c r="G4702" s="39"/>
      <c r="H4702" s="52"/>
      <c r="I4702" s="52"/>
      <c r="J4702" s="49"/>
      <c r="K4702" s="58"/>
      <c r="L4702" s="58"/>
      <c r="M4702" s="58"/>
      <c r="N4702" s="58"/>
      <c r="O4702" s="58"/>
      <c r="P4702" s="53"/>
      <c r="Q4702" s="65"/>
      <c r="R4702" s="65"/>
      <c r="S4702" s="65"/>
      <c r="T4702" s="65"/>
      <c r="U4702" s="58"/>
      <c r="V4702" s="65"/>
      <c r="W4702" s="65"/>
      <c r="X4702" s="65"/>
      <c r="Y4702" s="65"/>
      <c r="Z4702" s="51"/>
      <c r="AA4702" s="51"/>
      <c r="AB4702" s="102"/>
      <c r="AC4702" s="81" t="e">
        <f t="shared" si="223"/>
        <v>#DIV/0!</v>
      </c>
      <c r="AD4702" s="82">
        <f t="shared" si="224"/>
        <v>0</v>
      </c>
      <c r="AE4702" s="218"/>
      <c r="AH4702" t="str">
        <f t="shared" si="222"/>
        <v>0000</v>
      </c>
      <c r="AJ4702" s="72"/>
      <c r="AK4702" s="72"/>
      <c r="AL4702" s="72"/>
      <c r="AM4702" s="72"/>
    </row>
    <row r="4703" spans="1:39" x14ac:dyDescent="0.25">
      <c r="A4703" s="37" t="s">
        <v>62</v>
      </c>
      <c r="B4703" s="66"/>
      <c r="C4703" s="4"/>
      <c r="D4703" s="41"/>
      <c r="E4703" s="41"/>
      <c r="F4703" s="85"/>
      <c r="G4703" s="39"/>
      <c r="H4703" s="52"/>
      <c r="I4703" s="52"/>
      <c r="J4703" s="49"/>
      <c r="K4703" s="58"/>
      <c r="L4703" s="58"/>
      <c r="M4703" s="58"/>
      <c r="N4703" s="58"/>
      <c r="O4703" s="58"/>
      <c r="P4703" s="53"/>
      <c r="Q4703" s="65"/>
      <c r="R4703" s="65"/>
      <c r="S4703" s="65"/>
      <c r="T4703" s="65"/>
      <c r="U4703" s="58"/>
      <c r="V4703" s="65"/>
      <c r="W4703" s="65"/>
      <c r="X4703" s="65"/>
      <c r="Y4703" s="65"/>
      <c r="Z4703" s="51"/>
      <c r="AA4703" s="51"/>
      <c r="AB4703" s="102"/>
      <c r="AC4703" s="81" t="e">
        <f t="shared" si="223"/>
        <v>#DIV/0!</v>
      </c>
      <c r="AD4703" s="82">
        <f t="shared" si="224"/>
        <v>0</v>
      </c>
      <c r="AE4703" s="218"/>
      <c r="AH4703" t="str">
        <f t="shared" si="222"/>
        <v>0000</v>
      </c>
      <c r="AJ4703" s="72"/>
      <c r="AK4703" s="72"/>
      <c r="AL4703" s="72"/>
      <c r="AM4703" s="72"/>
    </row>
    <row r="4704" spans="1:39" x14ac:dyDescent="0.25">
      <c r="A4704" s="37" t="s">
        <v>62</v>
      </c>
      <c r="B4704" s="66"/>
      <c r="C4704" s="4"/>
      <c r="D4704" s="41"/>
      <c r="E4704" s="41"/>
      <c r="F4704" s="85"/>
      <c r="G4704" s="39"/>
      <c r="H4704" s="52"/>
      <c r="I4704" s="52"/>
      <c r="J4704" s="49"/>
      <c r="K4704" s="58"/>
      <c r="L4704" s="58"/>
      <c r="M4704" s="58"/>
      <c r="N4704" s="58"/>
      <c r="O4704" s="58"/>
      <c r="P4704" s="53"/>
      <c r="Q4704" s="65"/>
      <c r="R4704" s="65"/>
      <c r="S4704" s="65"/>
      <c r="T4704" s="65"/>
      <c r="U4704" s="58"/>
      <c r="V4704" s="65"/>
      <c r="W4704" s="65"/>
      <c r="X4704" s="65"/>
      <c r="Y4704" s="65"/>
      <c r="Z4704" s="51"/>
      <c r="AA4704" s="51"/>
      <c r="AB4704" s="102"/>
      <c r="AC4704" s="81" t="e">
        <f t="shared" si="223"/>
        <v>#DIV/0!</v>
      </c>
      <c r="AD4704" s="82">
        <f t="shared" si="224"/>
        <v>0</v>
      </c>
      <c r="AE4704" s="218"/>
      <c r="AH4704" t="str">
        <f t="shared" si="222"/>
        <v>0000</v>
      </c>
      <c r="AJ4704" s="72"/>
      <c r="AK4704" s="72"/>
      <c r="AL4704" s="72"/>
      <c r="AM4704" s="72"/>
    </row>
    <row r="4705" spans="1:39" x14ac:dyDescent="0.25">
      <c r="A4705" s="37" t="s">
        <v>62</v>
      </c>
      <c r="B4705" s="66"/>
      <c r="C4705" s="4"/>
      <c r="D4705" s="41"/>
      <c r="E4705" s="41"/>
      <c r="F4705" s="85"/>
      <c r="G4705" s="39"/>
      <c r="H4705" s="52"/>
      <c r="I4705" s="52"/>
      <c r="J4705" s="49"/>
      <c r="K4705" s="58"/>
      <c r="L4705" s="58"/>
      <c r="M4705" s="58"/>
      <c r="N4705" s="58"/>
      <c r="O4705" s="58"/>
      <c r="P4705" s="53"/>
      <c r="Q4705" s="65"/>
      <c r="R4705" s="65"/>
      <c r="S4705" s="65"/>
      <c r="T4705" s="65"/>
      <c r="U4705" s="58"/>
      <c r="V4705" s="65"/>
      <c r="W4705" s="65"/>
      <c r="X4705" s="65"/>
      <c r="Y4705" s="65"/>
      <c r="Z4705" s="51"/>
      <c r="AA4705" s="51"/>
      <c r="AB4705" s="102"/>
      <c r="AC4705" s="81" t="e">
        <f t="shared" si="223"/>
        <v>#DIV/0!</v>
      </c>
      <c r="AD4705" s="82">
        <f t="shared" si="224"/>
        <v>0</v>
      </c>
      <c r="AE4705" s="218"/>
      <c r="AH4705" t="str">
        <f t="shared" si="222"/>
        <v>0000</v>
      </c>
      <c r="AJ4705" s="72"/>
      <c r="AK4705" s="72"/>
      <c r="AL4705" s="72"/>
      <c r="AM4705" s="72"/>
    </row>
    <row r="4706" spans="1:39" x14ac:dyDescent="0.25">
      <c r="A4706" s="37" t="s">
        <v>62</v>
      </c>
      <c r="B4706" s="66"/>
      <c r="C4706" s="4"/>
      <c r="D4706" s="41"/>
      <c r="E4706" s="41"/>
      <c r="F4706" s="85"/>
      <c r="G4706" s="39"/>
      <c r="H4706" s="52"/>
      <c r="I4706" s="52"/>
      <c r="J4706" s="49"/>
      <c r="K4706" s="58"/>
      <c r="L4706" s="58"/>
      <c r="M4706" s="58"/>
      <c r="N4706" s="58"/>
      <c r="O4706" s="58"/>
      <c r="P4706" s="53"/>
      <c r="Q4706" s="65"/>
      <c r="R4706" s="65"/>
      <c r="S4706" s="65"/>
      <c r="T4706" s="65"/>
      <c r="U4706" s="58"/>
      <c r="V4706" s="65"/>
      <c r="W4706" s="65"/>
      <c r="X4706" s="65"/>
      <c r="Y4706" s="65"/>
      <c r="Z4706" s="51"/>
      <c r="AA4706" s="51"/>
      <c r="AB4706" s="102"/>
      <c r="AC4706" s="81" t="e">
        <f t="shared" si="223"/>
        <v>#DIV/0!</v>
      </c>
      <c r="AD4706" s="82">
        <f t="shared" si="224"/>
        <v>0</v>
      </c>
      <c r="AE4706" s="218"/>
      <c r="AH4706" t="str">
        <f t="shared" si="222"/>
        <v>0000</v>
      </c>
      <c r="AJ4706" s="72"/>
      <c r="AK4706" s="72"/>
      <c r="AL4706" s="72"/>
      <c r="AM4706" s="72"/>
    </row>
    <row r="4707" spans="1:39" x14ac:dyDescent="0.25">
      <c r="A4707" s="37" t="s">
        <v>62</v>
      </c>
      <c r="B4707" s="66"/>
      <c r="C4707" s="4"/>
      <c r="D4707" s="41"/>
      <c r="E4707" s="41"/>
      <c r="F4707" s="85"/>
      <c r="G4707" s="39"/>
      <c r="H4707" s="52"/>
      <c r="I4707" s="52"/>
      <c r="J4707" s="49"/>
      <c r="K4707" s="58"/>
      <c r="L4707" s="58"/>
      <c r="M4707" s="58"/>
      <c r="N4707" s="58"/>
      <c r="O4707" s="58"/>
      <c r="P4707" s="53"/>
      <c r="Q4707" s="65"/>
      <c r="R4707" s="65"/>
      <c r="S4707" s="65"/>
      <c r="T4707" s="65"/>
      <c r="U4707" s="58"/>
      <c r="V4707" s="65"/>
      <c r="W4707" s="65"/>
      <c r="X4707" s="65"/>
      <c r="Y4707" s="65"/>
      <c r="Z4707" s="51"/>
      <c r="AA4707" s="51"/>
      <c r="AB4707" s="102"/>
      <c r="AC4707" s="81" t="e">
        <f t="shared" si="223"/>
        <v>#DIV/0!</v>
      </c>
      <c r="AD4707" s="82">
        <f t="shared" si="224"/>
        <v>0</v>
      </c>
      <c r="AE4707" s="218"/>
      <c r="AH4707" t="str">
        <f t="shared" si="222"/>
        <v>0000</v>
      </c>
      <c r="AJ4707" s="72"/>
      <c r="AK4707" s="72"/>
      <c r="AL4707" s="72"/>
      <c r="AM4707" s="72"/>
    </row>
    <row r="4708" spans="1:39" x14ac:dyDescent="0.25">
      <c r="A4708" s="37" t="s">
        <v>62</v>
      </c>
      <c r="B4708" s="66"/>
      <c r="C4708" s="4"/>
      <c r="D4708" s="41"/>
      <c r="E4708" s="41"/>
      <c r="F4708" s="85"/>
      <c r="G4708" s="39"/>
      <c r="H4708" s="52"/>
      <c r="I4708" s="52"/>
      <c r="J4708" s="49"/>
      <c r="K4708" s="58"/>
      <c r="L4708" s="58"/>
      <c r="M4708" s="58"/>
      <c r="N4708" s="58"/>
      <c r="O4708" s="58"/>
      <c r="P4708" s="53"/>
      <c r="Q4708" s="65"/>
      <c r="R4708" s="65"/>
      <c r="S4708" s="65"/>
      <c r="T4708" s="65"/>
      <c r="U4708" s="58"/>
      <c r="V4708" s="65"/>
      <c r="W4708" s="65"/>
      <c r="X4708" s="65"/>
      <c r="Y4708" s="65"/>
      <c r="Z4708" s="51"/>
      <c r="AA4708" s="51"/>
      <c r="AB4708" s="102"/>
      <c r="AC4708" s="81" t="e">
        <f t="shared" si="223"/>
        <v>#DIV/0!</v>
      </c>
      <c r="AD4708" s="82">
        <f t="shared" si="224"/>
        <v>0</v>
      </c>
      <c r="AE4708" s="218"/>
      <c r="AH4708" t="str">
        <f t="shared" si="222"/>
        <v>0000</v>
      </c>
      <c r="AJ4708" s="72"/>
      <c r="AK4708" s="72"/>
      <c r="AL4708" s="72"/>
      <c r="AM4708" s="72"/>
    </row>
    <row r="4709" spans="1:39" x14ac:dyDescent="0.25">
      <c r="A4709" s="37" t="s">
        <v>62</v>
      </c>
      <c r="B4709" s="66"/>
      <c r="C4709" s="4"/>
      <c r="D4709" s="41"/>
      <c r="E4709" s="41"/>
      <c r="F4709" s="85"/>
      <c r="G4709" s="39"/>
      <c r="H4709" s="52"/>
      <c r="I4709" s="52"/>
      <c r="J4709" s="49"/>
      <c r="K4709" s="58"/>
      <c r="L4709" s="58"/>
      <c r="M4709" s="58"/>
      <c r="N4709" s="58"/>
      <c r="O4709" s="58"/>
      <c r="P4709" s="53"/>
      <c r="Q4709" s="65"/>
      <c r="R4709" s="65"/>
      <c r="S4709" s="65"/>
      <c r="T4709" s="65"/>
      <c r="U4709" s="58"/>
      <c r="V4709" s="65"/>
      <c r="W4709" s="65"/>
      <c r="X4709" s="65"/>
      <c r="Y4709" s="65"/>
      <c r="Z4709" s="51"/>
      <c r="AA4709" s="51"/>
      <c r="AB4709" s="102"/>
      <c r="AC4709" s="81" t="e">
        <f t="shared" si="223"/>
        <v>#DIV/0!</v>
      </c>
      <c r="AD4709" s="82">
        <f t="shared" si="224"/>
        <v>0</v>
      </c>
      <c r="AE4709" s="218"/>
      <c r="AH4709" t="str">
        <f t="shared" si="222"/>
        <v>0000</v>
      </c>
      <c r="AJ4709" s="72"/>
      <c r="AK4709" s="72"/>
      <c r="AL4709" s="72"/>
      <c r="AM4709" s="72"/>
    </row>
    <row r="4710" spans="1:39" x14ac:dyDescent="0.25">
      <c r="A4710" s="37" t="s">
        <v>62</v>
      </c>
      <c r="B4710" s="66"/>
      <c r="C4710" s="4"/>
      <c r="D4710" s="41"/>
      <c r="E4710" s="41"/>
      <c r="F4710" s="85"/>
      <c r="G4710" s="39"/>
      <c r="H4710" s="52"/>
      <c r="I4710" s="52"/>
      <c r="J4710" s="49"/>
      <c r="K4710" s="58"/>
      <c r="L4710" s="58"/>
      <c r="M4710" s="58"/>
      <c r="N4710" s="58"/>
      <c r="O4710" s="58"/>
      <c r="P4710" s="53"/>
      <c r="Q4710" s="65"/>
      <c r="R4710" s="65"/>
      <c r="S4710" s="65"/>
      <c r="T4710" s="65"/>
      <c r="U4710" s="58"/>
      <c r="V4710" s="65"/>
      <c r="W4710" s="65"/>
      <c r="X4710" s="65"/>
      <c r="Y4710" s="65"/>
      <c r="Z4710" s="51"/>
      <c r="AA4710" s="51"/>
      <c r="AB4710" s="102"/>
      <c r="AC4710" s="81" t="e">
        <f t="shared" si="223"/>
        <v>#DIV/0!</v>
      </c>
      <c r="AD4710" s="82">
        <f t="shared" si="224"/>
        <v>0</v>
      </c>
      <c r="AE4710" s="218"/>
      <c r="AH4710" t="str">
        <f t="shared" si="222"/>
        <v>0000</v>
      </c>
      <c r="AJ4710" s="72"/>
      <c r="AK4710" s="72"/>
      <c r="AL4710" s="72"/>
      <c r="AM4710" s="72"/>
    </row>
    <row r="4711" spans="1:39" x14ac:dyDescent="0.25">
      <c r="A4711" s="37" t="s">
        <v>62</v>
      </c>
      <c r="B4711" s="66"/>
      <c r="C4711" s="4"/>
      <c r="D4711" s="41"/>
      <c r="E4711" s="41"/>
      <c r="F4711" s="85"/>
      <c r="G4711" s="39"/>
      <c r="H4711" s="52"/>
      <c r="I4711" s="52"/>
      <c r="J4711" s="49"/>
      <c r="K4711" s="58"/>
      <c r="L4711" s="58"/>
      <c r="M4711" s="58"/>
      <c r="N4711" s="58"/>
      <c r="O4711" s="58"/>
      <c r="P4711" s="53"/>
      <c r="Q4711" s="65"/>
      <c r="R4711" s="65"/>
      <c r="S4711" s="65"/>
      <c r="T4711" s="65"/>
      <c r="U4711" s="58"/>
      <c r="V4711" s="65"/>
      <c r="W4711" s="65"/>
      <c r="X4711" s="65"/>
      <c r="Y4711" s="65"/>
      <c r="Z4711" s="51"/>
      <c r="AA4711" s="51"/>
      <c r="AB4711" s="102"/>
      <c r="AC4711" s="81" t="e">
        <f t="shared" si="223"/>
        <v>#DIV/0!</v>
      </c>
      <c r="AD4711" s="82">
        <f t="shared" si="224"/>
        <v>0</v>
      </c>
      <c r="AE4711" s="218"/>
      <c r="AH4711" t="str">
        <f t="shared" si="222"/>
        <v>0000</v>
      </c>
      <c r="AJ4711" s="72"/>
      <c r="AK4711" s="72"/>
      <c r="AL4711" s="72"/>
      <c r="AM4711" s="72"/>
    </row>
    <row r="4712" spans="1:39" x14ac:dyDescent="0.25">
      <c r="A4712" s="37" t="s">
        <v>62</v>
      </c>
      <c r="B4712" s="66"/>
      <c r="C4712" s="4"/>
      <c r="D4712" s="41"/>
      <c r="E4712" s="41"/>
      <c r="F4712" s="85"/>
      <c r="G4712" s="39"/>
      <c r="H4712" s="52"/>
      <c r="I4712" s="52"/>
      <c r="J4712" s="49"/>
      <c r="K4712" s="58"/>
      <c r="L4712" s="58"/>
      <c r="M4712" s="58"/>
      <c r="N4712" s="58"/>
      <c r="O4712" s="58"/>
      <c r="P4712" s="53"/>
      <c r="Q4712" s="65"/>
      <c r="R4712" s="65"/>
      <c r="S4712" s="65"/>
      <c r="T4712" s="65"/>
      <c r="U4712" s="58"/>
      <c r="V4712" s="65"/>
      <c r="W4712" s="65"/>
      <c r="X4712" s="65"/>
      <c r="Y4712" s="65"/>
      <c r="Z4712" s="51"/>
      <c r="AA4712" s="51"/>
      <c r="AB4712" s="102"/>
      <c r="AC4712" s="81" t="e">
        <f t="shared" si="223"/>
        <v>#DIV/0!</v>
      </c>
      <c r="AD4712" s="82">
        <f t="shared" si="224"/>
        <v>0</v>
      </c>
      <c r="AE4712" s="218"/>
      <c r="AH4712" t="str">
        <f t="shared" si="222"/>
        <v>0000</v>
      </c>
      <c r="AJ4712" s="72"/>
      <c r="AK4712" s="72"/>
      <c r="AL4712" s="72"/>
      <c r="AM4712" s="72"/>
    </row>
    <row r="4713" spans="1:39" x14ac:dyDescent="0.25">
      <c r="A4713" s="37" t="s">
        <v>62</v>
      </c>
      <c r="B4713" s="66"/>
      <c r="C4713" s="4"/>
      <c r="D4713" s="41"/>
      <c r="E4713" s="41"/>
      <c r="F4713" s="85"/>
      <c r="G4713" s="39"/>
      <c r="H4713" s="52"/>
      <c r="I4713" s="52"/>
      <c r="J4713" s="49"/>
      <c r="K4713" s="58"/>
      <c r="L4713" s="58"/>
      <c r="M4713" s="58"/>
      <c r="N4713" s="58"/>
      <c r="O4713" s="58"/>
      <c r="P4713" s="53"/>
      <c r="Q4713" s="65"/>
      <c r="R4713" s="65"/>
      <c r="S4713" s="65"/>
      <c r="T4713" s="65"/>
      <c r="U4713" s="58"/>
      <c r="V4713" s="65"/>
      <c r="W4713" s="65"/>
      <c r="X4713" s="65"/>
      <c r="Y4713" s="65"/>
      <c r="Z4713" s="51"/>
      <c r="AA4713" s="51"/>
      <c r="AB4713" s="102"/>
      <c r="AC4713" s="81" t="e">
        <f t="shared" si="223"/>
        <v>#DIV/0!</v>
      </c>
      <c r="AD4713" s="82">
        <f t="shared" si="224"/>
        <v>0</v>
      </c>
      <c r="AE4713" s="218"/>
      <c r="AH4713" t="str">
        <f t="shared" si="222"/>
        <v>0000</v>
      </c>
      <c r="AJ4713" s="72"/>
      <c r="AK4713" s="72"/>
      <c r="AL4713" s="72"/>
      <c r="AM4713" s="72"/>
    </row>
    <row r="4714" spans="1:39" x14ac:dyDescent="0.25">
      <c r="A4714" s="37" t="s">
        <v>62</v>
      </c>
      <c r="B4714" s="66"/>
      <c r="C4714" s="4"/>
      <c r="D4714" s="41"/>
      <c r="E4714" s="41"/>
      <c r="F4714" s="85"/>
      <c r="G4714" s="39"/>
      <c r="H4714" s="52"/>
      <c r="I4714" s="52"/>
      <c r="J4714" s="49"/>
      <c r="K4714" s="58"/>
      <c r="L4714" s="58"/>
      <c r="M4714" s="58"/>
      <c r="N4714" s="58"/>
      <c r="O4714" s="58"/>
      <c r="P4714" s="53"/>
      <c r="Q4714" s="65"/>
      <c r="R4714" s="65"/>
      <c r="S4714" s="65"/>
      <c r="T4714" s="65"/>
      <c r="U4714" s="58"/>
      <c r="V4714" s="65"/>
      <c r="W4714" s="65"/>
      <c r="X4714" s="65"/>
      <c r="Y4714" s="65"/>
      <c r="Z4714" s="51"/>
      <c r="AA4714" s="51"/>
      <c r="AB4714" s="102"/>
      <c r="AC4714" s="81" t="e">
        <f t="shared" si="223"/>
        <v>#DIV/0!</v>
      </c>
      <c r="AD4714" s="82">
        <f t="shared" si="224"/>
        <v>0</v>
      </c>
      <c r="AE4714" s="218"/>
      <c r="AH4714" t="str">
        <f t="shared" si="222"/>
        <v>0000</v>
      </c>
      <c r="AJ4714" s="72"/>
      <c r="AK4714" s="72"/>
      <c r="AL4714" s="72"/>
      <c r="AM4714" s="72"/>
    </row>
    <row r="4715" spans="1:39" x14ac:dyDescent="0.25">
      <c r="A4715" s="37" t="s">
        <v>62</v>
      </c>
      <c r="B4715" s="66"/>
      <c r="C4715" s="4"/>
      <c r="D4715" s="41"/>
      <c r="E4715" s="41"/>
      <c r="F4715" s="85"/>
      <c r="G4715" s="39"/>
      <c r="H4715" s="52"/>
      <c r="I4715" s="52"/>
      <c r="J4715" s="49"/>
      <c r="K4715" s="58"/>
      <c r="L4715" s="58"/>
      <c r="M4715" s="58"/>
      <c r="N4715" s="58"/>
      <c r="O4715" s="58"/>
      <c r="P4715" s="53"/>
      <c r="Q4715" s="65"/>
      <c r="R4715" s="65"/>
      <c r="S4715" s="65"/>
      <c r="T4715" s="65"/>
      <c r="U4715" s="58"/>
      <c r="V4715" s="65"/>
      <c r="W4715" s="65"/>
      <c r="X4715" s="65"/>
      <c r="Y4715" s="65"/>
      <c r="Z4715" s="51"/>
      <c r="AA4715" s="51"/>
      <c r="AB4715" s="102"/>
      <c r="AC4715" s="81" t="e">
        <f t="shared" si="223"/>
        <v>#DIV/0!</v>
      </c>
      <c r="AD4715" s="82">
        <f t="shared" si="224"/>
        <v>0</v>
      </c>
      <c r="AE4715" s="218"/>
      <c r="AH4715" t="str">
        <f t="shared" si="222"/>
        <v>0000</v>
      </c>
      <c r="AJ4715" s="72"/>
      <c r="AK4715" s="72"/>
      <c r="AL4715" s="72"/>
      <c r="AM4715" s="72"/>
    </row>
    <row r="4716" spans="1:39" x14ac:dyDescent="0.25">
      <c r="A4716" s="37" t="s">
        <v>62</v>
      </c>
      <c r="B4716" s="66"/>
      <c r="C4716" s="4"/>
      <c r="D4716" s="41"/>
      <c r="E4716" s="41"/>
      <c r="F4716" s="85"/>
      <c r="G4716" s="39"/>
      <c r="H4716" s="52"/>
      <c r="I4716" s="52"/>
      <c r="J4716" s="49"/>
      <c r="K4716" s="58"/>
      <c r="L4716" s="58"/>
      <c r="M4716" s="58"/>
      <c r="N4716" s="58"/>
      <c r="O4716" s="58"/>
      <c r="P4716" s="53"/>
      <c r="Q4716" s="65"/>
      <c r="R4716" s="65"/>
      <c r="S4716" s="65"/>
      <c r="T4716" s="65"/>
      <c r="U4716" s="58"/>
      <c r="V4716" s="65"/>
      <c r="W4716" s="65"/>
      <c r="X4716" s="65"/>
      <c r="Y4716" s="65"/>
      <c r="Z4716" s="51"/>
      <c r="AA4716" s="51"/>
      <c r="AB4716" s="102"/>
      <c r="AC4716" s="81" t="e">
        <f t="shared" si="223"/>
        <v>#DIV/0!</v>
      </c>
      <c r="AD4716" s="82">
        <f t="shared" si="224"/>
        <v>0</v>
      </c>
      <c r="AE4716" s="218"/>
      <c r="AH4716" t="str">
        <f t="shared" si="222"/>
        <v>0000</v>
      </c>
      <c r="AJ4716" s="72"/>
      <c r="AK4716" s="72"/>
      <c r="AL4716" s="72"/>
      <c r="AM4716" s="72"/>
    </row>
    <row r="4717" spans="1:39" x14ac:dyDescent="0.25">
      <c r="A4717" s="37" t="s">
        <v>62</v>
      </c>
      <c r="B4717" s="66"/>
      <c r="C4717" s="4"/>
      <c r="D4717" s="41"/>
      <c r="E4717" s="41"/>
      <c r="F4717" s="85"/>
      <c r="G4717" s="39"/>
      <c r="H4717" s="52"/>
      <c r="I4717" s="52"/>
      <c r="J4717" s="49"/>
      <c r="K4717" s="58"/>
      <c r="L4717" s="58"/>
      <c r="M4717" s="58"/>
      <c r="N4717" s="58"/>
      <c r="O4717" s="58"/>
      <c r="P4717" s="53"/>
      <c r="Q4717" s="65"/>
      <c r="R4717" s="65"/>
      <c r="S4717" s="65"/>
      <c r="T4717" s="65"/>
      <c r="U4717" s="58"/>
      <c r="V4717" s="65"/>
      <c r="W4717" s="65"/>
      <c r="X4717" s="65"/>
      <c r="Y4717" s="65"/>
      <c r="Z4717" s="51"/>
      <c r="AA4717" s="51"/>
      <c r="AB4717" s="102"/>
      <c r="AC4717" s="81" t="e">
        <f t="shared" si="223"/>
        <v>#DIV/0!</v>
      </c>
      <c r="AD4717" s="82">
        <f t="shared" si="224"/>
        <v>0</v>
      </c>
      <c r="AE4717" s="218"/>
      <c r="AH4717" t="str">
        <f t="shared" si="222"/>
        <v>0000</v>
      </c>
      <c r="AJ4717" s="72"/>
      <c r="AK4717" s="72"/>
      <c r="AL4717" s="72"/>
      <c r="AM4717" s="72"/>
    </row>
    <row r="4718" spans="1:39" x14ac:dyDescent="0.25">
      <c r="A4718" s="37" t="s">
        <v>62</v>
      </c>
      <c r="B4718" s="66"/>
      <c r="C4718" s="4"/>
      <c r="D4718" s="41"/>
      <c r="E4718" s="41"/>
      <c r="F4718" s="85"/>
      <c r="G4718" s="39"/>
      <c r="H4718" s="52"/>
      <c r="I4718" s="52"/>
      <c r="J4718" s="49"/>
      <c r="K4718" s="58"/>
      <c r="L4718" s="58"/>
      <c r="M4718" s="58"/>
      <c r="N4718" s="58"/>
      <c r="O4718" s="58"/>
      <c r="P4718" s="53"/>
      <c r="Q4718" s="65"/>
      <c r="R4718" s="65"/>
      <c r="S4718" s="65"/>
      <c r="T4718" s="65"/>
      <c r="U4718" s="58"/>
      <c r="V4718" s="65"/>
      <c r="W4718" s="65"/>
      <c r="X4718" s="65"/>
      <c r="Y4718" s="65"/>
      <c r="Z4718" s="51"/>
      <c r="AA4718" s="51"/>
      <c r="AB4718" s="102"/>
      <c r="AC4718" s="81" t="e">
        <f t="shared" si="223"/>
        <v>#DIV/0!</v>
      </c>
      <c r="AD4718" s="82">
        <f t="shared" si="224"/>
        <v>0</v>
      </c>
      <c r="AE4718" s="218"/>
      <c r="AH4718" t="str">
        <f t="shared" si="222"/>
        <v>0000</v>
      </c>
      <c r="AJ4718" s="72"/>
      <c r="AK4718" s="72"/>
      <c r="AL4718" s="72"/>
      <c r="AM4718" s="72"/>
    </row>
    <row r="4719" spans="1:39" x14ac:dyDescent="0.25">
      <c r="A4719" s="37" t="s">
        <v>62</v>
      </c>
      <c r="B4719" s="66"/>
      <c r="C4719" s="4"/>
      <c r="D4719" s="41"/>
      <c r="E4719" s="41"/>
      <c r="F4719" s="85"/>
      <c r="G4719" s="39"/>
      <c r="H4719" s="52"/>
      <c r="I4719" s="52"/>
      <c r="J4719" s="49"/>
      <c r="K4719" s="58"/>
      <c r="L4719" s="58"/>
      <c r="M4719" s="58"/>
      <c r="N4719" s="58"/>
      <c r="O4719" s="58"/>
      <c r="P4719" s="53"/>
      <c r="Q4719" s="65"/>
      <c r="R4719" s="65"/>
      <c r="S4719" s="65"/>
      <c r="T4719" s="65"/>
      <c r="U4719" s="58"/>
      <c r="V4719" s="65"/>
      <c r="W4719" s="65"/>
      <c r="X4719" s="65"/>
      <c r="Y4719" s="65"/>
      <c r="Z4719" s="51"/>
      <c r="AA4719" s="51"/>
      <c r="AB4719" s="102"/>
      <c r="AC4719" s="81" t="e">
        <f t="shared" si="223"/>
        <v>#DIV/0!</v>
      </c>
      <c r="AD4719" s="82">
        <f t="shared" si="224"/>
        <v>0</v>
      </c>
      <c r="AE4719" s="218"/>
      <c r="AH4719" t="str">
        <f t="shared" si="222"/>
        <v>0000</v>
      </c>
      <c r="AJ4719" s="72"/>
      <c r="AK4719" s="72"/>
      <c r="AL4719" s="72"/>
      <c r="AM4719" s="72"/>
    </row>
    <row r="4720" spans="1:39" x14ac:dyDescent="0.25">
      <c r="A4720" s="37" t="s">
        <v>62</v>
      </c>
      <c r="B4720" s="66"/>
      <c r="C4720" s="4"/>
      <c r="D4720" s="41"/>
      <c r="E4720" s="41"/>
      <c r="F4720" s="85"/>
      <c r="G4720" s="39"/>
      <c r="H4720" s="52"/>
      <c r="I4720" s="52"/>
      <c r="J4720" s="49"/>
      <c r="K4720" s="58"/>
      <c r="L4720" s="58"/>
      <c r="M4720" s="58"/>
      <c r="N4720" s="58"/>
      <c r="O4720" s="58"/>
      <c r="P4720" s="53"/>
      <c r="Q4720" s="65"/>
      <c r="R4720" s="65"/>
      <c r="S4720" s="65"/>
      <c r="T4720" s="65"/>
      <c r="U4720" s="58"/>
      <c r="V4720" s="65"/>
      <c r="W4720" s="65"/>
      <c r="X4720" s="65"/>
      <c r="Y4720" s="65"/>
      <c r="Z4720" s="51"/>
      <c r="AA4720" s="51"/>
      <c r="AB4720" s="102"/>
      <c r="AC4720" s="81" t="e">
        <f t="shared" si="223"/>
        <v>#DIV/0!</v>
      </c>
      <c r="AD4720" s="82">
        <f t="shared" si="224"/>
        <v>0</v>
      </c>
      <c r="AE4720" s="218"/>
      <c r="AH4720" t="str">
        <f t="shared" si="222"/>
        <v>0000</v>
      </c>
      <c r="AJ4720" s="72"/>
      <c r="AK4720" s="72"/>
      <c r="AL4720" s="72"/>
      <c r="AM4720" s="72"/>
    </row>
    <row r="4721" spans="1:39" x14ac:dyDescent="0.25">
      <c r="A4721" s="37" t="s">
        <v>62</v>
      </c>
      <c r="B4721" s="66"/>
      <c r="C4721" s="4"/>
      <c r="D4721" s="41"/>
      <c r="E4721" s="41"/>
      <c r="F4721" s="85"/>
      <c r="G4721" s="39"/>
      <c r="H4721" s="52"/>
      <c r="I4721" s="52"/>
      <c r="J4721" s="49"/>
      <c r="K4721" s="58"/>
      <c r="L4721" s="58"/>
      <c r="M4721" s="58"/>
      <c r="N4721" s="58"/>
      <c r="O4721" s="58"/>
      <c r="P4721" s="53"/>
      <c r="Q4721" s="65"/>
      <c r="R4721" s="65"/>
      <c r="S4721" s="65"/>
      <c r="T4721" s="65"/>
      <c r="U4721" s="58"/>
      <c r="V4721" s="65"/>
      <c r="W4721" s="65"/>
      <c r="X4721" s="65"/>
      <c r="Y4721" s="65"/>
      <c r="Z4721" s="51"/>
      <c r="AA4721" s="51"/>
      <c r="AB4721" s="102"/>
      <c r="AC4721" s="81" t="e">
        <f t="shared" si="223"/>
        <v>#DIV/0!</v>
      </c>
      <c r="AD4721" s="82">
        <f t="shared" si="224"/>
        <v>0</v>
      </c>
      <c r="AE4721" s="218"/>
      <c r="AH4721" t="str">
        <f t="shared" si="222"/>
        <v>0000</v>
      </c>
      <c r="AJ4721" s="72"/>
      <c r="AK4721" s="72"/>
      <c r="AL4721" s="72"/>
      <c r="AM4721" s="72"/>
    </row>
    <row r="4722" spans="1:39" x14ac:dyDescent="0.25">
      <c r="A4722" s="37" t="s">
        <v>62</v>
      </c>
      <c r="B4722" s="66"/>
      <c r="C4722" s="4"/>
      <c r="D4722" s="41"/>
      <c r="E4722" s="41"/>
      <c r="F4722" s="85"/>
      <c r="G4722" s="39"/>
      <c r="H4722" s="52"/>
      <c r="I4722" s="52"/>
      <c r="J4722" s="49"/>
      <c r="K4722" s="58"/>
      <c r="L4722" s="58"/>
      <c r="M4722" s="58"/>
      <c r="N4722" s="58"/>
      <c r="O4722" s="58"/>
      <c r="P4722" s="53"/>
      <c r="Q4722" s="65"/>
      <c r="R4722" s="65"/>
      <c r="S4722" s="65"/>
      <c r="T4722" s="65"/>
      <c r="U4722" s="58"/>
      <c r="V4722" s="65"/>
      <c r="W4722" s="65"/>
      <c r="X4722" s="65"/>
      <c r="Y4722" s="65"/>
      <c r="Z4722" s="51"/>
      <c r="AA4722" s="51"/>
      <c r="AB4722" s="102"/>
      <c r="AC4722" s="81" t="e">
        <f t="shared" si="223"/>
        <v>#DIV/0!</v>
      </c>
      <c r="AD4722" s="82">
        <f t="shared" si="224"/>
        <v>0</v>
      </c>
      <c r="AE4722" s="218"/>
      <c r="AH4722" t="str">
        <f t="shared" si="222"/>
        <v>0000</v>
      </c>
      <c r="AJ4722" s="72"/>
      <c r="AK4722" s="72"/>
      <c r="AL4722" s="72"/>
      <c r="AM4722" s="72"/>
    </row>
    <row r="4723" spans="1:39" x14ac:dyDescent="0.25">
      <c r="A4723" s="37" t="s">
        <v>62</v>
      </c>
      <c r="B4723" s="66"/>
      <c r="C4723" s="4"/>
      <c r="D4723" s="41"/>
      <c r="E4723" s="41"/>
      <c r="F4723" s="85"/>
      <c r="G4723" s="39"/>
      <c r="H4723" s="52"/>
      <c r="I4723" s="52"/>
      <c r="J4723" s="49"/>
      <c r="K4723" s="58"/>
      <c r="L4723" s="58"/>
      <c r="M4723" s="58"/>
      <c r="N4723" s="58"/>
      <c r="O4723" s="58"/>
      <c r="P4723" s="53"/>
      <c r="Q4723" s="65"/>
      <c r="R4723" s="65"/>
      <c r="S4723" s="65"/>
      <c r="T4723" s="65"/>
      <c r="U4723" s="58"/>
      <c r="V4723" s="65"/>
      <c r="W4723" s="65"/>
      <c r="X4723" s="65"/>
      <c r="Y4723" s="65"/>
      <c r="Z4723" s="51"/>
      <c r="AA4723" s="51"/>
      <c r="AB4723" s="102"/>
      <c r="AC4723" s="81" t="e">
        <f t="shared" si="223"/>
        <v>#DIV/0!</v>
      </c>
      <c r="AD4723" s="82">
        <f t="shared" si="224"/>
        <v>0</v>
      </c>
      <c r="AE4723" s="218"/>
      <c r="AH4723" t="str">
        <f t="shared" si="222"/>
        <v>0000</v>
      </c>
      <c r="AJ4723" s="72"/>
      <c r="AK4723" s="72"/>
      <c r="AL4723" s="72"/>
      <c r="AM4723" s="72"/>
    </row>
    <row r="4724" spans="1:39" x14ac:dyDescent="0.25">
      <c r="A4724" s="37" t="s">
        <v>62</v>
      </c>
      <c r="B4724" s="66"/>
      <c r="C4724" s="4"/>
      <c r="D4724" s="41"/>
      <c r="E4724" s="41"/>
      <c r="F4724" s="85"/>
      <c r="G4724" s="39"/>
      <c r="H4724" s="52"/>
      <c r="I4724" s="52"/>
      <c r="J4724" s="49"/>
      <c r="K4724" s="58"/>
      <c r="L4724" s="58"/>
      <c r="M4724" s="58"/>
      <c r="N4724" s="58"/>
      <c r="O4724" s="58"/>
      <c r="P4724" s="53"/>
      <c r="Q4724" s="65"/>
      <c r="R4724" s="65"/>
      <c r="S4724" s="65"/>
      <c r="T4724" s="65"/>
      <c r="U4724" s="58"/>
      <c r="V4724" s="65"/>
      <c r="W4724" s="65"/>
      <c r="X4724" s="65"/>
      <c r="Y4724" s="65"/>
      <c r="Z4724" s="51"/>
      <c r="AA4724" s="51"/>
      <c r="AB4724" s="102"/>
      <c r="AC4724" s="81" t="e">
        <f t="shared" si="223"/>
        <v>#DIV/0!</v>
      </c>
      <c r="AD4724" s="82">
        <f t="shared" si="224"/>
        <v>0</v>
      </c>
      <c r="AE4724" s="218"/>
      <c r="AH4724" t="str">
        <f t="shared" si="222"/>
        <v>0000</v>
      </c>
      <c r="AJ4724" s="72"/>
      <c r="AK4724" s="72"/>
      <c r="AL4724" s="72"/>
      <c r="AM4724" s="72"/>
    </row>
    <row r="4725" spans="1:39" x14ac:dyDescent="0.25">
      <c r="A4725" s="37" t="s">
        <v>62</v>
      </c>
      <c r="B4725" s="66"/>
      <c r="C4725" s="4"/>
      <c r="D4725" s="41"/>
      <c r="E4725" s="41"/>
      <c r="F4725" s="85"/>
      <c r="G4725" s="39"/>
      <c r="H4725" s="52"/>
      <c r="I4725" s="52"/>
      <c r="J4725" s="49"/>
      <c r="K4725" s="58"/>
      <c r="L4725" s="58"/>
      <c r="M4725" s="58"/>
      <c r="N4725" s="58"/>
      <c r="O4725" s="58"/>
      <c r="P4725" s="53"/>
      <c r="Q4725" s="65"/>
      <c r="R4725" s="65"/>
      <c r="S4725" s="65"/>
      <c r="T4725" s="65"/>
      <c r="U4725" s="58"/>
      <c r="V4725" s="65"/>
      <c r="W4725" s="65"/>
      <c r="X4725" s="65"/>
      <c r="Y4725" s="65"/>
      <c r="Z4725" s="51"/>
      <c r="AA4725" s="51"/>
      <c r="AB4725" s="102"/>
      <c r="AC4725" s="81" t="e">
        <f t="shared" si="223"/>
        <v>#DIV/0!</v>
      </c>
      <c r="AD4725" s="82">
        <f t="shared" si="224"/>
        <v>0</v>
      </c>
      <c r="AE4725" s="218"/>
      <c r="AH4725" t="str">
        <f t="shared" si="222"/>
        <v>0000</v>
      </c>
      <c r="AJ4725" s="72"/>
      <c r="AK4725" s="72"/>
      <c r="AL4725" s="72"/>
      <c r="AM4725" s="72"/>
    </row>
    <row r="4726" spans="1:39" x14ac:dyDescent="0.25">
      <c r="A4726" s="37" t="s">
        <v>62</v>
      </c>
      <c r="B4726" s="66"/>
      <c r="C4726" s="4"/>
      <c r="D4726" s="41"/>
      <c r="E4726" s="41"/>
      <c r="F4726" s="85"/>
      <c r="G4726" s="39"/>
      <c r="H4726" s="52"/>
      <c r="I4726" s="52"/>
      <c r="J4726" s="49"/>
      <c r="K4726" s="58"/>
      <c r="L4726" s="58"/>
      <c r="M4726" s="58"/>
      <c r="N4726" s="58"/>
      <c r="O4726" s="58"/>
      <c r="P4726" s="53"/>
      <c r="Q4726" s="65"/>
      <c r="R4726" s="65"/>
      <c r="S4726" s="65"/>
      <c r="T4726" s="65"/>
      <c r="U4726" s="58"/>
      <c r="V4726" s="65"/>
      <c r="W4726" s="65"/>
      <c r="X4726" s="65"/>
      <c r="Y4726" s="65"/>
      <c r="Z4726" s="51"/>
      <c r="AA4726" s="51"/>
      <c r="AB4726" s="102"/>
      <c r="AC4726" s="81" t="e">
        <f t="shared" si="223"/>
        <v>#DIV/0!</v>
      </c>
      <c r="AD4726" s="82">
        <f t="shared" si="224"/>
        <v>0</v>
      </c>
      <c r="AE4726" s="218"/>
      <c r="AH4726" t="str">
        <f t="shared" si="222"/>
        <v>0000</v>
      </c>
      <c r="AJ4726" s="72"/>
      <c r="AK4726" s="72"/>
      <c r="AL4726" s="72"/>
      <c r="AM4726" s="72"/>
    </row>
    <row r="4727" spans="1:39" x14ac:dyDescent="0.25">
      <c r="A4727" s="37" t="s">
        <v>62</v>
      </c>
      <c r="B4727" s="66"/>
      <c r="C4727" s="4"/>
      <c r="D4727" s="41"/>
      <c r="E4727" s="41"/>
      <c r="F4727" s="85"/>
      <c r="G4727" s="39"/>
      <c r="H4727" s="52"/>
      <c r="I4727" s="52"/>
      <c r="J4727" s="49"/>
      <c r="K4727" s="58"/>
      <c r="L4727" s="58"/>
      <c r="M4727" s="58"/>
      <c r="N4727" s="58"/>
      <c r="O4727" s="58"/>
      <c r="P4727" s="53"/>
      <c r="Q4727" s="65"/>
      <c r="R4727" s="65"/>
      <c r="S4727" s="65"/>
      <c r="T4727" s="65"/>
      <c r="U4727" s="58"/>
      <c r="V4727" s="65"/>
      <c r="W4727" s="65"/>
      <c r="X4727" s="65"/>
      <c r="Y4727" s="65"/>
      <c r="Z4727" s="51"/>
      <c r="AA4727" s="51"/>
      <c r="AB4727" s="102"/>
      <c r="AC4727" s="81" t="e">
        <f t="shared" si="223"/>
        <v>#DIV/0!</v>
      </c>
      <c r="AD4727" s="82">
        <f t="shared" si="224"/>
        <v>0</v>
      </c>
      <c r="AE4727" s="218"/>
      <c r="AH4727" t="str">
        <f t="shared" si="222"/>
        <v>0000</v>
      </c>
      <c r="AJ4727" s="72"/>
      <c r="AK4727" s="72"/>
      <c r="AL4727" s="72"/>
      <c r="AM4727" s="72"/>
    </row>
    <row r="4728" spans="1:39" x14ac:dyDescent="0.25">
      <c r="A4728" s="37" t="s">
        <v>62</v>
      </c>
      <c r="B4728" s="66"/>
      <c r="C4728" s="4"/>
      <c r="D4728" s="41"/>
      <c r="E4728" s="41"/>
      <c r="F4728" s="85"/>
      <c r="G4728" s="39"/>
      <c r="H4728" s="52"/>
      <c r="I4728" s="52"/>
      <c r="J4728" s="49"/>
      <c r="K4728" s="58"/>
      <c r="L4728" s="58"/>
      <c r="M4728" s="58"/>
      <c r="N4728" s="58"/>
      <c r="O4728" s="58"/>
      <c r="P4728" s="53"/>
      <c r="Q4728" s="65"/>
      <c r="R4728" s="65"/>
      <c r="S4728" s="65"/>
      <c r="T4728" s="65"/>
      <c r="U4728" s="58"/>
      <c r="V4728" s="65"/>
      <c r="W4728" s="65"/>
      <c r="X4728" s="65"/>
      <c r="Y4728" s="65"/>
      <c r="Z4728" s="51"/>
      <c r="AA4728" s="51"/>
      <c r="AB4728" s="102"/>
      <c r="AC4728" s="81" t="e">
        <f t="shared" si="223"/>
        <v>#DIV/0!</v>
      </c>
      <c r="AD4728" s="82">
        <f t="shared" si="224"/>
        <v>0</v>
      </c>
      <c r="AE4728" s="218"/>
      <c r="AH4728" t="str">
        <f t="shared" si="222"/>
        <v>0000</v>
      </c>
      <c r="AJ4728" s="72"/>
      <c r="AK4728" s="72"/>
      <c r="AL4728" s="72"/>
      <c r="AM4728" s="72"/>
    </row>
    <row r="4729" spans="1:39" x14ac:dyDescent="0.25">
      <c r="A4729" s="37" t="s">
        <v>62</v>
      </c>
      <c r="B4729" s="66"/>
      <c r="C4729" s="4"/>
      <c r="D4729" s="41"/>
      <c r="E4729" s="41"/>
      <c r="F4729" s="85"/>
      <c r="G4729" s="39"/>
      <c r="H4729" s="52"/>
      <c r="I4729" s="52"/>
      <c r="J4729" s="49"/>
      <c r="K4729" s="58"/>
      <c r="L4729" s="58"/>
      <c r="M4729" s="58"/>
      <c r="N4729" s="58"/>
      <c r="O4729" s="58"/>
      <c r="P4729" s="53"/>
      <c r="Q4729" s="65"/>
      <c r="R4729" s="65"/>
      <c r="S4729" s="65"/>
      <c r="T4729" s="65"/>
      <c r="U4729" s="58"/>
      <c r="V4729" s="65"/>
      <c r="W4729" s="65"/>
      <c r="X4729" s="65"/>
      <c r="Y4729" s="65"/>
      <c r="Z4729" s="51"/>
      <c r="AA4729" s="51"/>
      <c r="AB4729" s="102"/>
      <c r="AC4729" s="81" t="e">
        <f t="shared" si="223"/>
        <v>#DIV/0!</v>
      </c>
      <c r="AD4729" s="82">
        <f t="shared" si="224"/>
        <v>0</v>
      </c>
      <c r="AE4729" s="218"/>
      <c r="AH4729" t="str">
        <f t="shared" si="222"/>
        <v>0000</v>
      </c>
      <c r="AJ4729" s="72"/>
      <c r="AK4729" s="72"/>
      <c r="AL4729" s="72"/>
      <c r="AM4729" s="72"/>
    </row>
    <row r="4730" spans="1:39" x14ac:dyDescent="0.25">
      <c r="A4730" s="37" t="s">
        <v>62</v>
      </c>
      <c r="B4730" s="66"/>
      <c r="C4730" s="4"/>
      <c r="D4730" s="41"/>
      <c r="E4730" s="41"/>
      <c r="F4730" s="85"/>
      <c r="G4730" s="39"/>
      <c r="H4730" s="52"/>
      <c r="I4730" s="52"/>
      <c r="J4730" s="49"/>
      <c r="K4730" s="58"/>
      <c r="L4730" s="58"/>
      <c r="M4730" s="58"/>
      <c r="N4730" s="58"/>
      <c r="O4730" s="58"/>
      <c r="P4730" s="53"/>
      <c r="Q4730" s="65"/>
      <c r="R4730" s="65"/>
      <c r="S4730" s="65"/>
      <c r="T4730" s="65"/>
      <c r="U4730" s="58"/>
      <c r="V4730" s="65"/>
      <c r="W4730" s="65"/>
      <c r="X4730" s="65"/>
      <c r="Y4730" s="65"/>
      <c r="Z4730" s="51"/>
      <c r="AA4730" s="51"/>
      <c r="AB4730" s="102"/>
      <c r="AC4730" s="81" t="e">
        <f t="shared" si="223"/>
        <v>#DIV/0!</v>
      </c>
      <c r="AD4730" s="82">
        <f t="shared" si="224"/>
        <v>0</v>
      </c>
      <c r="AE4730" s="218"/>
      <c r="AH4730" t="str">
        <f t="shared" ref="AH4730:AH4793" si="225">TEXT(D4730,"0000")</f>
        <v>0000</v>
      </c>
      <c r="AJ4730" s="72"/>
      <c r="AK4730" s="72"/>
      <c r="AL4730" s="72"/>
      <c r="AM4730" s="72"/>
    </row>
    <row r="4731" spans="1:39" x14ac:dyDescent="0.25">
      <c r="A4731" s="37" t="s">
        <v>62</v>
      </c>
      <c r="B4731" s="66"/>
      <c r="C4731" s="4"/>
      <c r="D4731" s="41"/>
      <c r="E4731" s="41"/>
      <c r="F4731" s="85"/>
      <c r="G4731" s="39"/>
      <c r="H4731" s="52"/>
      <c r="I4731" s="52"/>
      <c r="J4731" s="49"/>
      <c r="K4731" s="58"/>
      <c r="L4731" s="58"/>
      <c r="M4731" s="58"/>
      <c r="N4731" s="58"/>
      <c r="O4731" s="58"/>
      <c r="P4731" s="53"/>
      <c r="Q4731" s="65"/>
      <c r="R4731" s="65"/>
      <c r="S4731" s="65"/>
      <c r="T4731" s="65"/>
      <c r="U4731" s="58"/>
      <c r="V4731" s="65"/>
      <c r="W4731" s="65"/>
      <c r="X4731" s="65"/>
      <c r="Y4731" s="65"/>
      <c r="Z4731" s="51"/>
      <c r="AA4731" s="51"/>
      <c r="AB4731" s="102"/>
      <c r="AC4731" s="81" t="e">
        <f t="shared" si="223"/>
        <v>#DIV/0!</v>
      </c>
      <c r="AD4731" s="82">
        <f t="shared" si="224"/>
        <v>0</v>
      </c>
      <c r="AE4731" s="218"/>
      <c r="AH4731" t="str">
        <f t="shared" si="225"/>
        <v>0000</v>
      </c>
      <c r="AJ4731" s="72"/>
      <c r="AK4731" s="72"/>
      <c r="AL4731" s="72"/>
      <c r="AM4731" s="72"/>
    </row>
    <row r="4732" spans="1:39" x14ac:dyDescent="0.25">
      <c r="A4732" s="37" t="s">
        <v>62</v>
      </c>
      <c r="B4732" s="66"/>
      <c r="C4732" s="4"/>
      <c r="D4732" s="41"/>
      <c r="E4732" s="41"/>
      <c r="F4732" s="85"/>
      <c r="G4732" s="39"/>
      <c r="H4732" s="52"/>
      <c r="I4732" s="52"/>
      <c r="J4732" s="49"/>
      <c r="K4732" s="58"/>
      <c r="L4732" s="58"/>
      <c r="M4732" s="58"/>
      <c r="N4732" s="58"/>
      <c r="O4732" s="58"/>
      <c r="P4732" s="53"/>
      <c r="Q4732" s="65"/>
      <c r="R4732" s="65"/>
      <c r="S4732" s="65"/>
      <c r="T4732" s="65"/>
      <c r="U4732" s="58"/>
      <c r="V4732" s="65"/>
      <c r="W4732" s="65"/>
      <c r="X4732" s="65"/>
      <c r="Y4732" s="65"/>
      <c r="Z4732" s="51"/>
      <c r="AA4732" s="51"/>
      <c r="AB4732" s="102"/>
      <c r="AC4732" s="81" t="e">
        <f t="shared" si="223"/>
        <v>#DIV/0!</v>
      </c>
      <c r="AD4732" s="82">
        <f t="shared" si="224"/>
        <v>0</v>
      </c>
      <c r="AE4732" s="218"/>
      <c r="AH4732" t="str">
        <f t="shared" si="225"/>
        <v>0000</v>
      </c>
      <c r="AJ4732" s="72"/>
      <c r="AK4732" s="72"/>
      <c r="AL4732" s="72"/>
      <c r="AM4732" s="72"/>
    </row>
    <row r="4733" spans="1:39" x14ac:dyDescent="0.25">
      <c r="A4733" s="37" t="s">
        <v>62</v>
      </c>
      <c r="B4733" s="66"/>
      <c r="C4733" s="4"/>
      <c r="D4733" s="41"/>
      <c r="E4733" s="41"/>
      <c r="F4733" s="85"/>
      <c r="G4733" s="39"/>
      <c r="H4733" s="52"/>
      <c r="I4733" s="52"/>
      <c r="J4733" s="49"/>
      <c r="K4733" s="58"/>
      <c r="L4733" s="58"/>
      <c r="M4733" s="58"/>
      <c r="N4733" s="58"/>
      <c r="O4733" s="58"/>
      <c r="P4733" s="53"/>
      <c r="Q4733" s="65"/>
      <c r="R4733" s="65"/>
      <c r="S4733" s="65"/>
      <c r="T4733" s="65"/>
      <c r="U4733" s="58"/>
      <c r="V4733" s="65"/>
      <c r="W4733" s="65"/>
      <c r="X4733" s="65"/>
      <c r="Y4733" s="65"/>
      <c r="Z4733" s="51"/>
      <c r="AA4733" s="51"/>
      <c r="AB4733" s="102"/>
      <c r="AC4733" s="81" t="e">
        <f t="shared" si="223"/>
        <v>#DIV/0!</v>
      </c>
      <c r="AD4733" s="82">
        <f t="shared" si="224"/>
        <v>0</v>
      </c>
      <c r="AE4733" s="218"/>
      <c r="AH4733" t="str">
        <f t="shared" si="225"/>
        <v>0000</v>
      </c>
      <c r="AJ4733" s="72"/>
      <c r="AK4733" s="72"/>
      <c r="AL4733" s="72"/>
      <c r="AM4733" s="72"/>
    </row>
    <row r="4734" spans="1:39" x14ac:dyDescent="0.25">
      <c r="A4734" s="37" t="s">
        <v>62</v>
      </c>
      <c r="B4734" s="66"/>
      <c r="C4734" s="4"/>
      <c r="D4734" s="41"/>
      <c r="E4734" s="41"/>
      <c r="F4734" s="85"/>
      <c r="G4734" s="39"/>
      <c r="H4734" s="52"/>
      <c r="I4734" s="52"/>
      <c r="J4734" s="49"/>
      <c r="K4734" s="58"/>
      <c r="L4734" s="58"/>
      <c r="M4734" s="58"/>
      <c r="N4734" s="58"/>
      <c r="O4734" s="58"/>
      <c r="P4734" s="53"/>
      <c r="Q4734" s="65"/>
      <c r="R4734" s="65"/>
      <c r="S4734" s="65"/>
      <c r="T4734" s="65"/>
      <c r="U4734" s="58"/>
      <c r="V4734" s="65"/>
      <c r="W4734" s="65"/>
      <c r="X4734" s="65"/>
      <c r="Y4734" s="65"/>
      <c r="Z4734" s="51"/>
      <c r="AA4734" s="51"/>
      <c r="AB4734" s="102"/>
      <c r="AC4734" s="81" t="e">
        <f t="shared" si="223"/>
        <v>#DIV/0!</v>
      </c>
      <c r="AD4734" s="82">
        <f t="shared" si="224"/>
        <v>0</v>
      </c>
      <c r="AE4734" s="218"/>
      <c r="AH4734" t="str">
        <f t="shared" si="225"/>
        <v>0000</v>
      </c>
      <c r="AJ4734" s="72"/>
      <c r="AK4734" s="72"/>
      <c r="AL4734" s="72"/>
      <c r="AM4734" s="72"/>
    </row>
    <row r="4735" spans="1:39" x14ac:dyDescent="0.25">
      <c r="A4735" s="37" t="s">
        <v>62</v>
      </c>
      <c r="B4735" s="66"/>
      <c r="C4735" s="4"/>
      <c r="D4735" s="41"/>
      <c r="E4735" s="41"/>
      <c r="F4735" s="85"/>
      <c r="G4735" s="39"/>
      <c r="H4735" s="52"/>
      <c r="I4735" s="52"/>
      <c r="J4735" s="49"/>
      <c r="K4735" s="58"/>
      <c r="L4735" s="58"/>
      <c r="M4735" s="58"/>
      <c r="N4735" s="58"/>
      <c r="O4735" s="58"/>
      <c r="P4735" s="53"/>
      <c r="Q4735" s="65"/>
      <c r="R4735" s="65"/>
      <c r="S4735" s="65"/>
      <c r="T4735" s="65"/>
      <c r="U4735" s="58"/>
      <c r="V4735" s="65"/>
      <c r="W4735" s="65"/>
      <c r="X4735" s="65"/>
      <c r="Y4735" s="65"/>
      <c r="Z4735" s="51"/>
      <c r="AA4735" s="51"/>
      <c r="AB4735" s="102"/>
      <c r="AC4735" s="81" t="e">
        <f t="shared" si="223"/>
        <v>#DIV/0!</v>
      </c>
      <c r="AD4735" s="82">
        <f t="shared" si="224"/>
        <v>0</v>
      </c>
      <c r="AE4735" s="218"/>
      <c r="AH4735" t="str">
        <f t="shared" si="225"/>
        <v>0000</v>
      </c>
      <c r="AJ4735" s="72"/>
      <c r="AK4735" s="72"/>
      <c r="AL4735" s="72"/>
      <c r="AM4735" s="72"/>
    </row>
    <row r="4736" spans="1:39" x14ac:dyDescent="0.25">
      <c r="A4736" s="37" t="s">
        <v>62</v>
      </c>
      <c r="B4736" s="66"/>
      <c r="C4736" s="4"/>
      <c r="D4736" s="41"/>
      <c r="E4736" s="41"/>
      <c r="F4736" s="85"/>
      <c r="G4736" s="39"/>
      <c r="H4736" s="52"/>
      <c r="I4736" s="52"/>
      <c r="J4736" s="49"/>
      <c r="K4736" s="58"/>
      <c r="L4736" s="58"/>
      <c r="M4736" s="58"/>
      <c r="N4736" s="58"/>
      <c r="O4736" s="58"/>
      <c r="P4736" s="53"/>
      <c r="Q4736" s="65"/>
      <c r="R4736" s="65"/>
      <c r="S4736" s="65"/>
      <c r="T4736" s="65"/>
      <c r="U4736" s="58"/>
      <c r="V4736" s="65"/>
      <c r="W4736" s="65"/>
      <c r="X4736" s="65"/>
      <c r="Y4736" s="65"/>
      <c r="Z4736" s="51"/>
      <c r="AA4736" s="51"/>
      <c r="AB4736" s="102"/>
      <c r="AC4736" s="81" t="e">
        <f t="shared" si="223"/>
        <v>#DIV/0!</v>
      </c>
      <c r="AD4736" s="82">
        <f t="shared" si="224"/>
        <v>0</v>
      </c>
      <c r="AE4736" s="218"/>
      <c r="AH4736" t="str">
        <f t="shared" si="225"/>
        <v>0000</v>
      </c>
      <c r="AJ4736" s="72"/>
      <c r="AK4736" s="72"/>
      <c r="AL4736" s="72"/>
      <c r="AM4736" s="72"/>
    </row>
    <row r="4737" spans="1:39" x14ac:dyDescent="0.25">
      <c r="A4737" s="37" t="s">
        <v>62</v>
      </c>
      <c r="B4737" s="66"/>
      <c r="C4737" s="4"/>
      <c r="D4737" s="41"/>
      <c r="E4737" s="41"/>
      <c r="F4737" s="85"/>
      <c r="G4737" s="39"/>
      <c r="H4737" s="52"/>
      <c r="I4737" s="52"/>
      <c r="J4737" s="49"/>
      <c r="K4737" s="58"/>
      <c r="L4737" s="58"/>
      <c r="M4737" s="58"/>
      <c r="N4737" s="58"/>
      <c r="O4737" s="58"/>
      <c r="P4737" s="53"/>
      <c r="Q4737" s="65"/>
      <c r="R4737" s="65"/>
      <c r="S4737" s="65"/>
      <c r="T4737" s="65"/>
      <c r="U4737" s="58"/>
      <c r="V4737" s="65"/>
      <c r="W4737" s="65"/>
      <c r="X4737" s="65"/>
      <c r="Y4737" s="65"/>
      <c r="Z4737" s="51"/>
      <c r="AA4737" s="51"/>
      <c r="AB4737" s="102"/>
      <c r="AC4737" s="81" t="e">
        <f t="shared" ref="AC4737:AC4800" si="226">((IF(AD4737=0,0,100-AD4737))*7*(J4737/I4737))*2%</f>
        <v>#DIV/0!</v>
      </c>
      <c r="AD4737" s="82">
        <f t="shared" ref="AD4737:AD4800" si="227">IF((I4737/7)&gt;100,0,(I4737/7))</f>
        <v>0</v>
      </c>
      <c r="AE4737" s="218"/>
      <c r="AH4737" t="str">
        <f t="shared" si="225"/>
        <v>0000</v>
      </c>
      <c r="AJ4737" s="72"/>
      <c r="AK4737" s="72"/>
      <c r="AL4737" s="72"/>
      <c r="AM4737" s="72"/>
    </row>
    <row r="4738" spans="1:39" x14ac:dyDescent="0.25">
      <c r="A4738" s="37" t="s">
        <v>62</v>
      </c>
      <c r="B4738" s="66"/>
      <c r="C4738" s="4"/>
      <c r="D4738" s="41"/>
      <c r="E4738" s="41"/>
      <c r="F4738" s="85"/>
      <c r="G4738" s="39"/>
      <c r="H4738" s="52"/>
      <c r="I4738" s="52"/>
      <c r="J4738" s="49"/>
      <c r="K4738" s="58"/>
      <c r="L4738" s="58"/>
      <c r="M4738" s="58"/>
      <c r="N4738" s="58"/>
      <c r="O4738" s="58"/>
      <c r="P4738" s="53"/>
      <c r="Q4738" s="65"/>
      <c r="R4738" s="65"/>
      <c r="S4738" s="65"/>
      <c r="T4738" s="65"/>
      <c r="U4738" s="58"/>
      <c r="V4738" s="65"/>
      <c r="W4738" s="65"/>
      <c r="X4738" s="65"/>
      <c r="Y4738" s="65"/>
      <c r="Z4738" s="51"/>
      <c r="AA4738" s="51"/>
      <c r="AB4738" s="102"/>
      <c r="AC4738" s="81" t="e">
        <f t="shared" si="226"/>
        <v>#DIV/0!</v>
      </c>
      <c r="AD4738" s="82">
        <f t="shared" si="227"/>
        <v>0</v>
      </c>
      <c r="AE4738" s="218"/>
      <c r="AH4738" t="str">
        <f t="shared" si="225"/>
        <v>0000</v>
      </c>
      <c r="AJ4738" s="72"/>
      <c r="AK4738" s="72"/>
      <c r="AL4738" s="72"/>
      <c r="AM4738" s="72"/>
    </row>
    <row r="4739" spans="1:39" x14ac:dyDescent="0.25">
      <c r="A4739" s="37" t="s">
        <v>62</v>
      </c>
      <c r="B4739" s="66"/>
      <c r="C4739" s="4"/>
      <c r="D4739" s="41"/>
      <c r="E4739" s="41"/>
      <c r="F4739" s="85"/>
      <c r="G4739" s="39"/>
      <c r="H4739" s="52"/>
      <c r="I4739" s="52"/>
      <c r="J4739" s="49"/>
      <c r="K4739" s="58"/>
      <c r="L4739" s="58"/>
      <c r="M4739" s="58"/>
      <c r="N4739" s="58"/>
      <c r="O4739" s="58"/>
      <c r="P4739" s="53"/>
      <c r="Q4739" s="65"/>
      <c r="R4739" s="65"/>
      <c r="S4739" s="65"/>
      <c r="T4739" s="65"/>
      <c r="U4739" s="58"/>
      <c r="V4739" s="65"/>
      <c r="W4739" s="65"/>
      <c r="X4739" s="65"/>
      <c r="Y4739" s="65"/>
      <c r="Z4739" s="51"/>
      <c r="AA4739" s="51"/>
      <c r="AB4739" s="102"/>
      <c r="AC4739" s="81" t="e">
        <f t="shared" si="226"/>
        <v>#DIV/0!</v>
      </c>
      <c r="AD4739" s="82">
        <f t="shared" si="227"/>
        <v>0</v>
      </c>
      <c r="AE4739" s="218"/>
      <c r="AH4739" t="str">
        <f t="shared" si="225"/>
        <v>0000</v>
      </c>
      <c r="AJ4739" s="72"/>
      <c r="AK4739" s="72"/>
      <c r="AL4739" s="72"/>
      <c r="AM4739" s="72"/>
    </row>
    <row r="4740" spans="1:39" x14ac:dyDescent="0.25">
      <c r="A4740" s="37" t="s">
        <v>62</v>
      </c>
      <c r="B4740" s="66"/>
      <c r="C4740" s="4"/>
      <c r="D4740" s="41"/>
      <c r="E4740" s="41"/>
      <c r="F4740" s="85"/>
      <c r="G4740" s="39"/>
      <c r="H4740" s="52"/>
      <c r="I4740" s="52"/>
      <c r="J4740" s="49"/>
      <c r="K4740" s="58"/>
      <c r="L4740" s="58"/>
      <c r="M4740" s="58"/>
      <c r="N4740" s="58"/>
      <c r="O4740" s="58"/>
      <c r="P4740" s="53"/>
      <c r="Q4740" s="65"/>
      <c r="R4740" s="65"/>
      <c r="S4740" s="65"/>
      <c r="T4740" s="65"/>
      <c r="U4740" s="58"/>
      <c r="V4740" s="65"/>
      <c r="W4740" s="65"/>
      <c r="X4740" s="65"/>
      <c r="Y4740" s="65"/>
      <c r="Z4740" s="51"/>
      <c r="AA4740" s="51"/>
      <c r="AB4740" s="102"/>
      <c r="AC4740" s="81" t="e">
        <f t="shared" si="226"/>
        <v>#DIV/0!</v>
      </c>
      <c r="AD4740" s="82">
        <f t="shared" si="227"/>
        <v>0</v>
      </c>
      <c r="AE4740" s="218"/>
      <c r="AH4740" t="str">
        <f t="shared" si="225"/>
        <v>0000</v>
      </c>
      <c r="AJ4740" s="72"/>
      <c r="AK4740" s="72"/>
      <c r="AL4740" s="72"/>
      <c r="AM4740" s="72"/>
    </row>
    <row r="4741" spans="1:39" x14ac:dyDescent="0.25">
      <c r="A4741" s="37" t="s">
        <v>62</v>
      </c>
      <c r="B4741" s="66"/>
      <c r="C4741" s="4"/>
      <c r="D4741" s="41"/>
      <c r="E4741" s="41"/>
      <c r="F4741" s="85"/>
      <c r="G4741" s="39"/>
      <c r="H4741" s="52"/>
      <c r="I4741" s="52"/>
      <c r="J4741" s="49"/>
      <c r="K4741" s="58"/>
      <c r="L4741" s="58"/>
      <c r="M4741" s="58"/>
      <c r="N4741" s="58"/>
      <c r="O4741" s="58"/>
      <c r="P4741" s="53"/>
      <c r="Q4741" s="65"/>
      <c r="R4741" s="65"/>
      <c r="S4741" s="65"/>
      <c r="T4741" s="65"/>
      <c r="U4741" s="58"/>
      <c r="V4741" s="65"/>
      <c r="W4741" s="65"/>
      <c r="X4741" s="65"/>
      <c r="Y4741" s="65"/>
      <c r="Z4741" s="51"/>
      <c r="AA4741" s="51"/>
      <c r="AB4741" s="102"/>
      <c r="AC4741" s="81" t="e">
        <f t="shared" si="226"/>
        <v>#DIV/0!</v>
      </c>
      <c r="AD4741" s="82">
        <f t="shared" si="227"/>
        <v>0</v>
      </c>
      <c r="AE4741" s="218"/>
      <c r="AH4741" t="str">
        <f t="shared" si="225"/>
        <v>0000</v>
      </c>
      <c r="AJ4741" s="72"/>
      <c r="AK4741" s="72"/>
      <c r="AL4741" s="72"/>
      <c r="AM4741" s="72"/>
    </row>
    <row r="4742" spans="1:39" x14ac:dyDescent="0.25">
      <c r="A4742" s="37" t="s">
        <v>62</v>
      </c>
      <c r="B4742" s="66"/>
      <c r="C4742" s="4"/>
      <c r="D4742" s="41"/>
      <c r="E4742" s="41"/>
      <c r="F4742" s="85"/>
      <c r="G4742" s="39"/>
      <c r="H4742" s="52"/>
      <c r="I4742" s="52"/>
      <c r="J4742" s="49"/>
      <c r="K4742" s="58"/>
      <c r="L4742" s="58"/>
      <c r="M4742" s="58"/>
      <c r="N4742" s="58"/>
      <c r="O4742" s="58"/>
      <c r="P4742" s="53"/>
      <c r="Q4742" s="65"/>
      <c r="R4742" s="65"/>
      <c r="S4742" s="65"/>
      <c r="T4742" s="65"/>
      <c r="U4742" s="58"/>
      <c r="V4742" s="65"/>
      <c r="W4742" s="65"/>
      <c r="X4742" s="65"/>
      <c r="Y4742" s="65"/>
      <c r="Z4742" s="51"/>
      <c r="AA4742" s="51"/>
      <c r="AB4742" s="102"/>
      <c r="AC4742" s="81" t="e">
        <f t="shared" si="226"/>
        <v>#DIV/0!</v>
      </c>
      <c r="AD4742" s="82">
        <f t="shared" si="227"/>
        <v>0</v>
      </c>
      <c r="AE4742" s="218"/>
      <c r="AH4742" t="str">
        <f t="shared" si="225"/>
        <v>0000</v>
      </c>
      <c r="AJ4742" s="72"/>
      <c r="AK4742" s="72"/>
      <c r="AL4742" s="72"/>
      <c r="AM4742" s="72"/>
    </row>
    <row r="4743" spans="1:39" x14ac:dyDescent="0.25">
      <c r="A4743" s="37" t="s">
        <v>62</v>
      </c>
      <c r="B4743" s="66"/>
      <c r="C4743" s="4"/>
      <c r="D4743" s="41"/>
      <c r="E4743" s="41"/>
      <c r="F4743" s="85"/>
      <c r="G4743" s="39"/>
      <c r="H4743" s="52"/>
      <c r="I4743" s="52"/>
      <c r="J4743" s="49"/>
      <c r="K4743" s="58"/>
      <c r="L4743" s="58"/>
      <c r="M4743" s="58"/>
      <c r="N4743" s="58"/>
      <c r="O4743" s="58"/>
      <c r="P4743" s="53"/>
      <c r="Q4743" s="65"/>
      <c r="R4743" s="65"/>
      <c r="S4743" s="65"/>
      <c r="T4743" s="65"/>
      <c r="U4743" s="58"/>
      <c r="V4743" s="65"/>
      <c r="W4743" s="65"/>
      <c r="X4743" s="65"/>
      <c r="Y4743" s="65"/>
      <c r="Z4743" s="51"/>
      <c r="AA4743" s="51"/>
      <c r="AB4743" s="102"/>
      <c r="AC4743" s="81" t="e">
        <f t="shared" si="226"/>
        <v>#DIV/0!</v>
      </c>
      <c r="AD4743" s="82">
        <f t="shared" si="227"/>
        <v>0</v>
      </c>
      <c r="AE4743" s="218"/>
      <c r="AH4743" t="str">
        <f t="shared" si="225"/>
        <v>0000</v>
      </c>
      <c r="AJ4743" s="72"/>
      <c r="AK4743" s="72"/>
      <c r="AL4743" s="72"/>
      <c r="AM4743" s="72"/>
    </row>
    <row r="4744" spans="1:39" x14ac:dyDescent="0.25">
      <c r="A4744" s="37" t="s">
        <v>62</v>
      </c>
      <c r="B4744" s="66"/>
      <c r="C4744" s="4"/>
      <c r="D4744" s="41"/>
      <c r="E4744" s="41"/>
      <c r="F4744" s="85"/>
      <c r="G4744" s="39"/>
      <c r="H4744" s="52"/>
      <c r="I4744" s="52"/>
      <c r="J4744" s="49"/>
      <c r="K4744" s="58"/>
      <c r="L4744" s="58"/>
      <c r="M4744" s="58"/>
      <c r="N4744" s="58"/>
      <c r="O4744" s="58"/>
      <c r="P4744" s="53"/>
      <c r="Q4744" s="65"/>
      <c r="R4744" s="65"/>
      <c r="S4744" s="65"/>
      <c r="T4744" s="65"/>
      <c r="U4744" s="58"/>
      <c r="V4744" s="65"/>
      <c r="W4744" s="65"/>
      <c r="X4744" s="65"/>
      <c r="Y4744" s="65"/>
      <c r="Z4744" s="51"/>
      <c r="AA4744" s="51"/>
      <c r="AB4744" s="102"/>
      <c r="AC4744" s="81" t="e">
        <f t="shared" si="226"/>
        <v>#DIV/0!</v>
      </c>
      <c r="AD4744" s="82">
        <f t="shared" si="227"/>
        <v>0</v>
      </c>
      <c r="AE4744" s="218"/>
      <c r="AH4744" t="str">
        <f t="shared" si="225"/>
        <v>0000</v>
      </c>
      <c r="AJ4744" s="72"/>
      <c r="AK4744" s="72"/>
      <c r="AL4744" s="72"/>
      <c r="AM4744" s="72"/>
    </row>
    <row r="4745" spans="1:39" x14ac:dyDescent="0.25">
      <c r="A4745" s="37" t="s">
        <v>62</v>
      </c>
      <c r="B4745" s="66"/>
      <c r="C4745" s="4"/>
      <c r="D4745" s="41"/>
      <c r="E4745" s="41"/>
      <c r="F4745" s="85"/>
      <c r="G4745" s="39"/>
      <c r="H4745" s="52"/>
      <c r="I4745" s="52"/>
      <c r="J4745" s="49"/>
      <c r="K4745" s="58"/>
      <c r="L4745" s="58"/>
      <c r="M4745" s="58"/>
      <c r="N4745" s="58"/>
      <c r="O4745" s="58"/>
      <c r="P4745" s="53"/>
      <c r="Q4745" s="65"/>
      <c r="R4745" s="65"/>
      <c r="S4745" s="65"/>
      <c r="T4745" s="65"/>
      <c r="U4745" s="58"/>
      <c r="V4745" s="65"/>
      <c r="W4745" s="65"/>
      <c r="X4745" s="65"/>
      <c r="Y4745" s="65"/>
      <c r="Z4745" s="51"/>
      <c r="AA4745" s="51"/>
      <c r="AB4745" s="102"/>
      <c r="AC4745" s="81" t="e">
        <f t="shared" si="226"/>
        <v>#DIV/0!</v>
      </c>
      <c r="AD4745" s="82">
        <f t="shared" si="227"/>
        <v>0</v>
      </c>
      <c r="AE4745" s="218"/>
      <c r="AH4745" t="str">
        <f t="shared" si="225"/>
        <v>0000</v>
      </c>
      <c r="AJ4745" s="72"/>
      <c r="AK4745" s="72"/>
      <c r="AL4745" s="72"/>
      <c r="AM4745" s="72"/>
    </row>
    <row r="4746" spans="1:39" x14ac:dyDescent="0.25">
      <c r="A4746" s="37" t="s">
        <v>62</v>
      </c>
      <c r="B4746" s="66"/>
      <c r="C4746" s="4"/>
      <c r="D4746" s="41"/>
      <c r="E4746" s="41"/>
      <c r="F4746" s="85"/>
      <c r="G4746" s="39"/>
      <c r="H4746" s="52"/>
      <c r="I4746" s="52"/>
      <c r="J4746" s="49"/>
      <c r="K4746" s="58"/>
      <c r="L4746" s="58"/>
      <c r="M4746" s="58"/>
      <c r="N4746" s="58"/>
      <c r="O4746" s="58"/>
      <c r="P4746" s="53"/>
      <c r="Q4746" s="65"/>
      <c r="R4746" s="65"/>
      <c r="S4746" s="65"/>
      <c r="T4746" s="65"/>
      <c r="U4746" s="58"/>
      <c r="V4746" s="65"/>
      <c r="W4746" s="65"/>
      <c r="X4746" s="65"/>
      <c r="Y4746" s="65"/>
      <c r="Z4746" s="51"/>
      <c r="AA4746" s="51"/>
      <c r="AB4746" s="102"/>
      <c r="AC4746" s="81" t="e">
        <f t="shared" si="226"/>
        <v>#DIV/0!</v>
      </c>
      <c r="AD4746" s="82">
        <f t="shared" si="227"/>
        <v>0</v>
      </c>
      <c r="AE4746" s="218"/>
      <c r="AH4746" t="str">
        <f t="shared" si="225"/>
        <v>0000</v>
      </c>
      <c r="AJ4746" s="72"/>
      <c r="AK4746" s="72"/>
      <c r="AL4746" s="72"/>
      <c r="AM4746" s="72"/>
    </row>
    <row r="4747" spans="1:39" x14ac:dyDescent="0.25">
      <c r="A4747" s="37" t="s">
        <v>62</v>
      </c>
      <c r="B4747" s="66"/>
      <c r="C4747" s="4"/>
      <c r="D4747" s="41"/>
      <c r="E4747" s="41"/>
      <c r="F4747" s="85"/>
      <c r="G4747" s="39"/>
      <c r="H4747" s="52"/>
      <c r="I4747" s="52"/>
      <c r="J4747" s="49"/>
      <c r="K4747" s="58"/>
      <c r="L4747" s="58"/>
      <c r="M4747" s="58"/>
      <c r="N4747" s="58"/>
      <c r="O4747" s="58"/>
      <c r="P4747" s="53"/>
      <c r="Q4747" s="65"/>
      <c r="R4747" s="65"/>
      <c r="S4747" s="65"/>
      <c r="T4747" s="65"/>
      <c r="U4747" s="58"/>
      <c r="V4747" s="65"/>
      <c r="W4747" s="65"/>
      <c r="X4747" s="65"/>
      <c r="Y4747" s="65"/>
      <c r="Z4747" s="51"/>
      <c r="AA4747" s="51"/>
      <c r="AB4747" s="102"/>
      <c r="AC4747" s="81" t="e">
        <f t="shared" si="226"/>
        <v>#DIV/0!</v>
      </c>
      <c r="AD4747" s="82">
        <f t="shared" si="227"/>
        <v>0</v>
      </c>
      <c r="AE4747" s="218"/>
      <c r="AH4747" t="str">
        <f t="shared" si="225"/>
        <v>0000</v>
      </c>
      <c r="AJ4747" s="72"/>
      <c r="AK4747" s="72"/>
      <c r="AL4747" s="72"/>
      <c r="AM4747" s="72"/>
    </row>
    <row r="4748" spans="1:39" x14ac:dyDescent="0.25">
      <c r="A4748" s="37" t="s">
        <v>62</v>
      </c>
      <c r="B4748" s="66"/>
      <c r="C4748" s="4"/>
      <c r="D4748" s="41"/>
      <c r="E4748" s="41"/>
      <c r="F4748" s="85"/>
      <c r="G4748" s="39"/>
      <c r="H4748" s="52"/>
      <c r="I4748" s="52"/>
      <c r="J4748" s="49"/>
      <c r="K4748" s="58"/>
      <c r="L4748" s="58"/>
      <c r="M4748" s="58"/>
      <c r="N4748" s="58"/>
      <c r="O4748" s="58"/>
      <c r="P4748" s="53"/>
      <c r="Q4748" s="65"/>
      <c r="R4748" s="65"/>
      <c r="S4748" s="65"/>
      <c r="T4748" s="65"/>
      <c r="U4748" s="58"/>
      <c r="V4748" s="65"/>
      <c r="W4748" s="65"/>
      <c r="X4748" s="65"/>
      <c r="Y4748" s="65"/>
      <c r="Z4748" s="51"/>
      <c r="AA4748" s="51"/>
      <c r="AB4748" s="102"/>
      <c r="AC4748" s="81" t="e">
        <f t="shared" si="226"/>
        <v>#DIV/0!</v>
      </c>
      <c r="AD4748" s="82">
        <f t="shared" si="227"/>
        <v>0</v>
      </c>
      <c r="AE4748" s="218"/>
      <c r="AH4748" t="str">
        <f t="shared" si="225"/>
        <v>0000</v>
      </c>
      <c r="AJ4748" s="72"/>
      <c r="AK4748" s="72"/>
      <c r="AL4748" s="72"/>
      <c r="AM4748" s="72"/>
    </row>
    <row r="4749" spans="1:39" x14ac:dyDescent="0.25">
      <c r="A4749" s="37" t="s">
        <v>62</v>
      </c>
      <c r="B4749" s="66"/>
      <c r="C4749" s="4"/>
      <c r="D4749" s="41"/>
      <c r="E4749" s="41"/>
      <c r="F4749" s="85"/>
      <c r="G4749" s="39"/>
      <c r="H4749" s="52"/>
      <c r="I4749" s="52"/>
      <c r="J4749" s="49"/>
      <c r="K4749" s="58"/>
      <c r="L4749" s="58"/>
      <c r="M4749" s="58"/>
      <c r="N4749" s="58"/>
      <c r="O4749" s="58"/>
      <c r="P4749" s="53"/>
      <c r="Q4749" s="65"/>
      <c r="R4749" s="65"/>
      <c r="S4749" s="65"/>
      <c r="T4749" s="65"/>
      <c r="U4749" s="58"/>
      <c r="V4749" s="65"/>
      <c r="W4749" s="65"/>
      <c r="X4749" s="65"/>
      <c r="Y4749" s="65"/>
      <c r="Z4749" s="51"/>
      <c r="AA4749" s="51"/>
      <c r="AB4749" s="102"/>
      <c r="AC4749" s="81" t="e">
        <f t="shared" si="226"/>
        <v>#DIV/0!</v>
      </c>
      <c r="AD4749" s="82">
        <f t="shared" si="227"/>
        <v>0</v>
      </c>
      <c r="AE4749" s="218"/>
      <c r="AH4749" t="str">
        <f t="shared" si="225"/>
        <v>0000</v>
      </c>
      <c r="AJ4749" s="72"/>
      <c r="AK4749" s="72"/>
      <c r="AL4749" s="72"/>
      <c r="AM4749" s="72"/>
    </row>
    <row r="4750" spans="1:39" x14ac:dyDescent="0.25">
      <c r="A4750" s="37" t="s">
        <v>62</v>
      </c>
      <c r="B4750" s="66"/>
      <c r="C4750" s="4"/>
      <c r="D4750" s="41"/>
      <c r="E4750" s="41"/>
      <c r="F4750" s="85"/>
      <c r="G4750" s="39"/>
      <c r="H4750" s="52"/>
      <c r="I4750" s="52"/>
      <c r="J4750" s="49"/>
      <c r="K4750" s="58"/>
      <c r="L4750" s="58"/>
      <c r="M4750" s="58"/>
      <c r="N4750" s="58"/>
      <c r="O4750" s="58"/>
      <c r="P4750" s="53"/>
      <c r="Q4750" s="65"/>
      <c r="R4750" s="65"/>
      <c r="S4750" s="65"/>
      <c r="T4750" s="65"/>
      <c r="U4750" s="58"/>
      <c r="V4750" s="65"/>
      <c r="W4750" s="65"/>
      <c r="X4750" s="65"/>
      <c r="Y4750" s="65"/>
      <c r="Z4750" s="51"/>
      <c r="AA4750" s="51"/>
      <c r="AB4750" s="102"/>
      <c r="AC4750" s="81" t="e">
        <f t="shared" si="226"/>
        <v>#DIV/0!</v>
      </c>
      <c r="AD4750" s="82">
        <f t="shared" si="227"/>
        <v>0</v>
      </c>
      <c r="AE4750" s="218"/>
      <c r="AH4750" t="str">
        <f t="shared" si="225"/>
        <v>0000</v>
      </c>
      <c r="AJ4750" s="72"/>
      <c r="AK4750" s="72"/>
      <c r="AL4750" s="72"/>
      <c r="AM4750" s="72"/>
    </row>
    <row r="4751" spans="1:39" x14ac:dyDescent="0.25">
      <c r="A4751" s="37" t="s">
        <v>62</v>
      </c>
      <c r="B4751" s="66"/>
      <c r="C4751" s="4"/>
      <c r="D4751" s="41"/>
      <c r="E4751" s="41"/>
      <c r="F4751" s="85"/>
      <c r="G4751" s="39"/>
      <c r="H4751" s="52"/>
      <c r="I4751" s="52"/>
      <c r="J4751" s="49"/>
      <c r="K4751" s="58"/>
      <c r="L4751" s="58"/>
      <c r="M4751" s="58"/>
      <c r="N4751" s="58"/>
      <c r="O4751" s="58"/>
      <c r="P4751" s="53"/>
      <c r="Q4751" s="65"/>
      <c r="R4751" s="65"/>
      <c r="S4751" s="65"/>
      <c r="T4751" s="65"/>
      <c r="U4751" s="58"/>
      <c r="V4751" s="65"/>
      <c r="W4751" s="65"/>
      <c r="X4751" s="65"/>
      <c r="Y4751" s="65"/>
      <c r="Z4751" s="51"/>
      <c r="AA4751" s="51"/>
      <c r="AB4751" s="102"/>
      <c r="AC4751" s="81" t="e">
        <f t="shared" si="226"/>
        <v>#DIV/0!</v>
      </c>
      <c r="AD4751" s="82">
        <f t="shared" si="227"/>
        <v>0</v>
      </c>
      <c r="AE4751" s="218"/>
      <c r="AH4751" t="str">
        <f t="shared" si="225"/>
        <v>0000</v>
      </c>
      <c r="AJ4751" s="72"/>
      <c r="AK4751" s="72"/>
      <c r="AL4751" s="72"/>
      <c r="AM4751" s="72"/>
    </row>
    <row r="4752" spans="1:39" x14ac:dyDescent="0.25">
      <c r="A4752" s="37" t="s">
        <v>62</v>
      </c>
      <c r="B4752" s="66"/>
      <c r="C4752" s="4"/>
      <c r="D4752" s="41"/>
      <c r="E4752" s="41"/>
      <c r="F4752" s="85"/>
      <c r="G4752" s="39"/>
      <c r="H4752" s="52"/>
      <c r="I4752" s="52"/>
      <c r="J4752" s="49"/>
      <c r="K4752" s="58"/>
      <c r="L4752" s="58"/>
      <c r="M4752" s="58"/>
      <c r="N4752" s="58"/>
      <c r="O4752" s="58"/>
      <c r="P4752" s="53"/>
      <c r="Q4752" s="65"/>
      <c r="R4752" s="65"/>
      <c r="S4752" s="65"/>
      <c r="T4752" s="65"/>
      <c r="U4752" s="58"/>
      <c r="V4752" s="65"/>
      <c r="W4752" s="65"/>
      <c r="X4752" s="65"/>
      <c r="Y4752" s="65"/>
      <c r="Z4752" s="51"/>
      <c r="AA4752" s="51"/>
      <c r="AB4752" s="102"/>
      <c r="AC4752" s="81" t="e">
        <f t="shared" si="226"/>
        <v>#DIV/0!</v>
      </c>
      <c r="AD4752" s="82">
        <f t="shared" si="227"/>
        <v>0</v>
      </c>
      <c r="AE4752" s="218"/>
      <c r="AH4752" t="str">
        <f t="shared" si="225"/>
        <v>0000</v>
      </c>
      <c r="AJ4752" s="72"/>
      <c r="AK4752" s="72"/>
      <c r="AL4752" s="72"/>
      <c r="AM4752" s="72"/>
    </row>
    <row r="4753" spans="1:39" x14ac:dyDescent="0.25">
      <c r="A4753" s="37" t="s">
        <v>62</v>
      </c>
      <c r="B4753" s="66"/>
      <c r="C4753" s="4"/>
      <c r="D4753" s="41"/>
      <c r="E4753" s="41"/>
      <c r="F4753" s="85"/>
      <c r="G4753" s="39"/>
      <c r="H4753" s="52"/>
      <c r="I4753" s="52"/>
      <c r="J4753" s="49"/>
      <c r="K4753" s="58"/>
      <c r="L4753" s="58"/>
      <c r="M4753" s="58"/>
      <c r="N4753" s="58"/>
      <c r="O4753" s="58"/>
      <c r="P4753" s="53"/>
      <c r="Q4753" s="65"/>
      <c r="R4753" s="65"/>
      <c r="S4753" s="65"/>
      <c r="T4753" s="65"/>
      <c r="U4753" s="58"/>
      <c r="V4753" s="65"/>
      <c r="W4753" s="65"/>
      <c r="X4753" s="65"/>
      <c r="Y4753" s="65"/>
      <c r="Z4753" s="51"/>
      <c r="AA4753" s="51"/>
      <c r="AB4753" s="102"/>
      <c r="AC4753" s="81" t="e">
        <f t="shared" si="226"/>
        <v>#DIV/0!</v>
      </c>
      <c r="AD4753" s="82">
        <f t="shared" si="227"/>
        <v>0</v>
      </c>
      <c r="AE4753" s="218"/>
      <c r="AH4753" t="str">
        <f t="shared" si="225"/>
        <v>0000</v>
      </c>
      <c r="AJ4753" s="72"/>
      <c r="AK4753" s="72"/>
      <c r="AL4753" s="72"/>
      <c r="AM4753" s="72"/>
    </row>
    <row r="4754" spans="1:39" x14ac:dyDescent="0.25">
      <c r="A4754" s="37" t="s">
        <v>62</v>
      </c>
      <c r="B4754" s="66"/>
      <c r="C4754" s="4"/>
      <c r="D4754" s="41"/>
      <c r="E4754" s="41"/>
      <c r="F4754" s="85"/>
      <c r="G4754" s="39"/>
      <c r="H4754" s="52"/>
      <c r="I4754" s="52"/>
      <c r="J4754" s="49"/>
      <c r="K4754" s="58"/>
      <c r="L4754" s="58"/>
      <c r="M4754" s="58"/>
      <c r="N4754" s="58"/>
      <c r="O4754" s="58"/>
      <c r="P4754" s="53"/>
      <c r="Q4754" s="65"/>
      <c r="R4754" s="65"/>
      <c r="S4754" s="65"/>
      <c r="T4754" s="65"/>
      <c r="U4754" s="58"/>
      <c r="V4754" s="65"/>
      <c r="W4754" s="65"/>
      <c r="X4754" s="65"/>
      <c r="Y4754" s="65"/>
      <c r="Z4754" s="51"/>
      <c r="AA4754" s="51"/>
      <c r="AB4754" s="102"/>
      <c r="AC4754" s="81" t="e">
        <f t="shared" si="226"/>
        <v>#DIV/0!</v>
      </c>
      <c r="AD4754" s="82">
        <f t="shared" si="227"/>
        <v>0</v>
      </c>
      <c r="AE4754" s="218"/>
      <c r="AH4754" t="str">
        <f t="shared" si="225"/>
        <v>0000</v>
      </c>
      <c r="AJ4754" s="72"/>
      <c r="AK4754" s="72"/>
      <c r="AL4754" s="72"/>
      <c r="AM4754" s="72"/>
    </row>
    <row r="4755" spans="1:39" x14ac:dyDescent="0.25">
      <c r="A4755" s="37" t="s">
        <v>62</v>
      </c>
      <c r="B4755" s="66"/>
      <c r="C4755" s="4"/>
      <c r="D4755" s="41"/>
      <c r="E4755" s="41"/>
      <c r="F4755" s="85"/>
      <c r="G4755" s="39"/>
      <c r="H4755" s="52"/>
      <c r="I4755" s="52"/>
      <c r="J4755" s="49"/>
      <c r="K4755" s="58"/>
      <c r="L4755" s="58"/>
      <c r="M4755" s="58"/>
      <c r="N4755" s="58"/>
      <c r="O4755" s="58"/>
      <c r="P4755" s="53"/>
      <c r="Q4755" s="65"/>
      <c r="R4755" s="65"/>
      <c r="S4755" s="65"/>
      <c r="T4755" s="65"/>
      <c r="U4755" s="58"/>
      <c r="V4755" s="65"/>
      <c r="W4755" s="65"/>
      <c r="X4755" s="65"/>
      <c r="Y4755" s="65"/>
      <c r="Z4755" s="51"/>
      <c r="AA4755" s="51"/>
      <c r="AB4755" s="102"/>
      <c r="AC4755" s="81" t="e">
        <f t="shared" si="226"/>
        <v>#DIV/0!</v>
      </c>
      <c r="AD4755" s="82">
        <f t="shared" si="227"/>
        <v>0</v>
      </c>
      <c r="AE4755" s="218"/>
      <c r="AH4755" t="str">
        <f t="shared" si="225"/>
        <v>0000</v>
      </c>
      <c r="AJ4755" s="72"/>
      <c r="AK4755" s="72"/>
      <c r="AL4755" s="72"/>
      <c r="AM4755" s="72"/>
    </row>
    <row r="4756" spans="1:39" x14ac:dyDescent="0.25">
      <c r="A4756" s="37" t="s">
        <v>62</v>
      </c>
      <c r="B4756" s="66"/>
      <c r="C4756" s="4"/>
      <c r="D4756" s="41"/>
      <c r="E4756" s="41"/>
      <c r="F4756" s="85"/>
      <c r="G4756" s="39"/>
      <c r="H4756" s="52"/>
      <c r="I4756" s="52"/>
      <c r="J4756" s="49"/>
      <c r="K4756" s="58"/>
      <c r="L4756" s="58"/>
      <c r="M4756" s="58"/>
      <c r="N4756" s="58"/>
      <c r="O4756" s="58"/>
      <c r="P4756" s="53"/>
      <c r="Q4756" s="65"/>
      <c r="R4756" s="65"/>
      <c r="S4756" s="65"/>
      <c r="T4756" s="65"/>
      <c r="U4756" s="58"/>
      <c r="V4756" s="65"/>
      <c r="W4756" s="65"/>
      <c r="X4756" s="65"/>
      <c r="Y4756" s="65"/>
      <c r="Z4756" s="51"/>
      <c r="AA4756" s="51"/>
      <c r="AB4756" s="102"/>
      <c r="AC4756" s="81" t="e">
        <f t="shared" si="226"/>
        <v>#DIV/0!</v>
      </c>
      <c r="AD4756" s="82">
        <f t="shared" si="227"/>
        <v>0</v>
      </c>
      <c r="AE4756" s="218"/>
      <c r="AH4756" t="str">
        <f t="shared" si="225"/>
        <v>0000</v>
      </c>
      <c r="AJ4756" s="72"/>
      <c r="AK4756" s="72"/>
      <c r="AL4756" s="72"/>
      <c r="AM4756" s="72"/>
    </row>
    <row r="4757" spans="1:39" x14ac:dyDescent="0.25">
      <c r="A4757" s="37" t="s">
        <v>62</v>
      </c>
      <c r="B4757" s="66"/>
      <c r="C4757" s="4"/>
      <c r="D4757" s="41"/>
      <c r="E4757" s="41"/>
      <c r="F4757" s="85"/>
      <c r="G4757" s="39"/>
      <c r="H4757" s="52"/>
      <c r="I4757" s="52"/>
      <c r="J4757" s="49"/>
      <c r="K4757" s="58"/>
      <c r="L4757" s="58"/>
      <c r="M4757" s="58"/>
      <c r="N4757" s="58"/>
      <c r="O4757" s="58"/>
      <c r="P4757" s="53"/>
      <c r="Q4757" s="65"/>
      <c r="R4757" s="65"/>
      <c r="S4757" s="65"/>
      <c r="T4757" s="65"/>
      <c r="U4757" s="58"/>
      <c r="V4757" s="65"/>
      <c r="W4757" s="65"/>
      <c r="X4757" s="65"/>
      <c r="Y4757" s="65"/>
      <c r="Z4757" s="51"/>
      <c r="AA4757" s="51"/>
      <c r="AB4757" s="102"/>
      <c r="AC4757" s="81" t="e">
        <f t="shared" si="226"/>
        <v>#DIV/0!</v>
      </c>
      <c r="AD4757" s="82">
        <f t="shared" si="227"/>
        <v>0</v>
      </c>
      <c r="AE4757" s="218"/>
      <c r="AH4757" t="str">
        <f t="shared" si="225"/>
        <v>0000</v>
      </c>
      <c r="AJ4757" s="72"/>
      <c r="AK4757" s="72"/>
      <c r="AL4757" s="72"/>
      <c r="AM4757" s="72"/>
    </row>
    <row r="4758" spans="1:39" x14ac:dyDescent="0.25">
      <c r="A4758" s="37" t="s">
        <v>62</v>
      </c>
      <c r="B4758" s="66"/>
      <c r="C4758" s="4"/>
      <c r="D4758" s="41"/>
      <c r="E4758" s="41"/>
      <c r="F4758" s="85"/>
      <c r="G4758" s="39"/>
      <c r="H4758" s="52"/>
      <c r="I4758" s="52"/>
      <c r="J4758" s="49"/>
      <c r="K4758" s="58"/>
      <c r="L4758" s="58"/>
      <c r="M4758" s="58"/>
      <c r="N4758" s="58"/>
      <c r="O4758" s="58"/>
      <c r="P4758" s="53"/>
      <c r="Q4758" s="65"/>
      <c r="R4758" s="65"/>
      <c r="S4758" s="65"/>
      <c r="T4758" s="65"/>
      <c r="U4758" s="58"/>
      <c r="V4758" s="65"/>
      <c r="W4758" s="65"/>
      <c r="X4758" s="65"/>
      <c r="Y4758" s="65"/>
      <c r="Z4758" s="51"/>
      <c r="AA4758" s="51"/>
      <c r="AB4758" s="102"/>
      <c r="AC4758" s="81" t="e">
        <f t="shared" si="226"/>
        <v>#DIV/0!</v>
      </c>
      <c r="AD4758" s="82">
        <f t="shared" si="227"/>
        <v>0</v>
      </c>
      <c r="AE4758" s="218"/>
      <c r="AH4758" t="str">
        <f t="shared" si="225"/>
        <v>0000</v>
      </c>
      <c r="AJ4758" s="72"/>
      <c r="AK4758" s="72"/>
      <c r="AL4758" s="72"/>
      <c r="AM4758" s="72"/>
    </row>
    <row r="4759" spans="1:39" x14ac:dyDescent="0.25">
      <c r="A4759" s="37" t="s">
        <v>62</v>
      </c>
      <c r="B4759" s="66"/>
      <c r="C4759" s="4"/>
      <c r="D4759" s="41"/>
      <c r="E4759" s="41"/>
      <c r="F4759" s="85"/>
      <c r="G4759" s="39"/>
      <c r="H4759" s="52"/>
      <c r="I4759" s="52"/>
      <c r="J4759" s="49"/>
      <c r="K4759" s="58"/>
      <c r="L4759" s="58"/>
      <c r="M4759" s="58"/>
      <c r="N4759" s="58"/>
      <c r="O4759" s="58"/>
      <c r="P4759" s="53"/>
      <c r="Q4759" s="65"/>
      <c r="R4759" s="65"/>
      <c r="S4759" s="65"/>
      <c r="T4759" s="65"/>
      <c r="U4759" s="58"/>
      <c r="V4759" s="65"/>
      <c r="W4759" s="65"/>
      <c r="X4759" s="65"/>
      <c r="Y4759" s="65"/>
      <c r="Z4759" s="51"/>
      <c r="AA4759" s="51"/>
      <c r="AB4759" s="102"/>
      <c r="AC4759" s="81" t="e">
        <f t="shared" si="226"/>
        <v>#DIV/0!</v>
      </c>
      <c r="AD4759" s="82">
        <f t="shared" si="227"/>
        <v>0</v>
      </c>
      <c r="AE4759" s="218"/>
      <c r="AH4759" t="str">
        <f t="shared" si="225"/>
        <v>0000</v>
      </c>
      <c r="AJ4759" s="72"/>
      <c r="AK4759" s="72"/>
      <c r="AL4759" s="72"/>
      <c r="AM4759" s="72"/>
    </row>
    <row r="4760" spans="1:39" x14ac:dyDescent="0.25">
      <c r="A4760" s="37" t="s">
        <v>62</v>
      </c>
      <c r="B4760" s="66"/>
      <c r="C4760" s="4"/>
      <c r="D4760" s="41"/>
      <c r="E4760" s="41"/>
      <c r="F4760" s="85"/>
      <c r="G4760" s="39"/>
      <c r="H4760" s="52"/>
      <c r="I4760" s="52"/>
      <c r="J4760" s="49"/>
      <c r="K4760" s="58"/>
      <c r="L4760" s="58"/>
      <c r="M4760" s="58"/>
      <c r="N4760" s="58"/>
      <c r="O4760" s="58"/>
      <c r="P4760" s="53"/>
      <c r="Q4760" s="65"/>
      <c r="R4760" s="65"/>
      <c r="S4760" s="65"/>
      <c r="T4760" s="65"/>
      <c r="U4760" s="58"/>
      <c r="V4760" s="65"/>
      <c r="W4760" s="65"/>
      <c r="X4760" s="65"/>
      <c r="Y4760" s="65"/>
      <c r="Z4760" s="51"/>
      <c r="AA4760" s="51"/>
      <c r="AB4760" s="102"/>
      <c r="AC4760" s="81" t="e">
        <f t="shared" si="226"/>
        <v>#DIV/0!</v>
      </c>
      <c r="AD4760" s="82">
        <f t="shared" si="227"/>
        <v>0</v>
      </c>
      <c r="AE4760" s="218"/>
      <c r="AH4760" t="str">
        <f t="shared" si="225"/>
        <v>0000</v>
      </c>
      <c r="AJ4760" s="72"/>
      <c r="AK4760" s="72"/>
      <c r="AL4760" s="72"/>
      <c r="AM4760" s="72"/>
    </row>
    <row r="4761" spans="1:39" x14ac:dyDescent="0.25">
      <c r="A4761" s="37" t="s">
        <v>62</v>
      </c>
      <c r="B4761" s="66"/>
      <c r="C4761" s="4"/>
      <c r="D4761" s="41"/>
      <c r="E4761" s="41"/>
      <c r="F4761" s="85"/>
      <c r="G4761" s="39"/>
      <c r="H4761" s="52"/>
      <c r="I4761" s="52"/>
      <c r="J4761" s="49"/>
      <c r="K4761" s="58"/>
      <c r="L4761" s="58"/>
      <c r="M4761" s="58"/>
      <c r="N4761" s="58"/>
      <c r="O4761" s="58"/>
      <c r="P4761" s="53"/>
      <c r="Q4761" s="65"/>
      <c r="R4761" s="65"/>
      <c r="S4761" s="65"/>
      <c r="T4761" s="65"/>
      <c r="U4761" s="58"/>
      <c r="V4761" s="65"/>
      <c r="W4761" s="65"/>
      <c r="X4761" s="65"/>
      <c r="Y4761" s="65"/>
      <c r="Z4761" s="51"/>
      <c r="AA4761" s="51"/>
      <c r="AB4761" s="102"/>
      <c r="AC4761" s="81" t="e">
        <f t="shared" si="226"/>
        <v>#DIV/0!</v>
      </c>
      <c r="AD4761" s="82">
        <f t="shared" si="227"/>
        <v>0</v>
      </c>
      <c r="AE4761" s="218"/>
      <c r="AH4761" t="str">
        <f t="shared" si="225"/>
        <v>0000</v>
      </c>
      <c r="AJ4761" s="72"/>
      <c r="AK4761" s="72"/>
      <c r="AL4761" s="72"/>
      <c r="AM4761" s="72"/>
    </row>
    <row r="4762" spans="1:39" x14ac:dyDescent="0.25">
      <c r="A4762" s="37" t="s">
        <v>62</v>
      </c>
      <c r="B4762" s="66"/>
      <c r="C4762" s="4"/>
      <c r="D4762" s="41"/>
      <c r="E4762" s="41"/>
      <c r="F4762" s="85"/>
      <c r="G4762" s="39"/>
      <c r="H4762" s="52"/>
      <c r="I4762" s="52"/>
      <c r="J4762" s="49"/>
      <c r="K4762" s="58"/>
      <c r="L4762" s="58"/>
      <c r="M4762" s="58"/>
      <c r="N4762" s="58"/>
      <c r="O4762" s="58"/>
      <c r="P4762" s="53"/>
      <c r="Q4762" s="65"/>
      <c r="R4762" s="65"/>
      <c r="S4762" s="65"/>
      <c r="T4762" s="65"/>
      <c r="U4762" s="58"/>
      <c r="V4762" s="65"/>
      <c r="W4762" s="65"/>
      <c r="X4762" s="65"/>
      <c r="Y4762" s="65"/>
      <c r="Z4762" s="51"/>
      <c r="AA4762" s="51"/>
      <c r="AB4762" s="102"/>
      <c r="AC4762" s="81" t="e">
        <f t="shared" si="226"/>
        <v>#DIV/0!</v>
      </c>
      <c r="AD4762" s="82">
        <f t="shared" si="227"/>
        <v>0</v>
      </c>
      <c r="AE4762" s="218"/>
      <c r="AH4762" t="str">
        <f t="shared" si="225"/>
        <v>0000</v>
      </c>
      <c r="AJ4762" s="72"/>
      <c r="AK4762" s="72"/>
      <c r="AL4762" s="72"/>
      <c r="AM4762" s="72"/>
    </row>
    <row r="4763" spans="1:39" x14ac:dyDescent="0.25">
      <c r="A4763" s="37" t="s">
        <v>62</v>
      </c>
      <c r="B4763" s="66"/>
      <c r="C4763" s="4"/>
      <c r="D4763" s="41"/>
      <c r="E4763" s="41"/>
      <c r="F4763" s="85"/>
      <c r="G4763" s="39"/>
      <c r="H4763" s="52"/>
      <c r="I4763" s="52"/>
      <c r="J4763" s="49"/>
      <c r="K4763" s="58"/>
      <c r="L4763" s="58"/>
      <c r="M4763" s="58"/>
      <c r="N4763" s="58"/>
      <c r="O4763" s="58"/>
      <c r="P4763" s="53"/>
      <c r="Q4763" s="65"/>
      <c r="R4763" s="65"/>
      <c r="S4763" s="65"/>
      <c r="T4763" s="65"/>
      <c r="U4763" s="58"/>
      <c r="V4763" s="65"/>
      <c r="W4763" s="65"/>
      <c r="X4763" s="65"/>
      <c r="Y4763" s="65"/>
      <c r="Z4763" s="51"/>
      <c r="AA4763" s="51"/>
      <c r="AB4763" s="102"/>
      <c r="AC4763" s="81" t="e">
        <f t="shared" si="226"/>
        <v>#DIV/0!</v>
      </c>
      <c r="AD4763" s="82">
        <f t="shared" si="227"/>
        <v>0</v>
      </c>
      <c r="AE4763" s="218"/>
      <c r="AH4763" t="str">
        <f t="shared" si="225"/>
        <v>0000</v>
      </c>
      <c r="AJ4763" s="72"/>
      <c r="AK4763" s="72"/>
      <c r="AL4763" s="72"/>
      <c r="AM4763" s="72"/>
    </row>
    <row r="4764" spans="1:39" x14ac:dyDescent="0.25">
      <c r="A4764" s="37" t="s">
        <v>62</v>
      </c>
      <c r="B4764" s="66"/>
      <c r="C4764" s="4"/>
      <c r="D4764" s="41"/>
      <c r="E4764" s="41"/>
      <c r="F4764" s="85"/>
      <c r="G4764" s="39"/>
      <c r="H4764" s="52"/>
      <c r="I4764" s="52"/>
      <c r="J4764" s="49"/>
      <c r="K4764" s="58"/>
      <c r="L4764" s="58"/>
      <c r="M4764" s="58"/>
      <c r="N4764" s="58"/>
      <c r="O4764" s="58"/>
      <c r="P4764" s="53"/>
      <c r="Q4764" s="65"/>
      <c r="R4764" s="65"/>
      <c r="S4764" s="65"/>
      <c r="T4764" s="65"/>
      <c r="U4764" s="58"/>
      <c r="V4764" s="65"/>
      <c r="W4764" s="65"/>
      <c r="X4764" s="65"/>
      <c r="Y4764" s="65"/>
      <c r="Z4764" s="51"/>
      <c r="AA4764" s="51"/>
      <c r="AB4764" s="102"/>
      <c r="AC4764" s="81" t="e">
        <f t="shared" si="226"/>
        <v>#DIV/0!</v>
      </c>
      <c r="AD4764" s="82">
        <f t="shared" si="227"/>
        <v>0</v>
      </c>
      <c r="AE4764" s="218"/>
      <c r="AH4764" t="str">
        <f t="shared" si="225"/>
        <v>0000</v>
      </c>
      <c r="AJ4764" s="72"/>
      <c r="AK4764" s="72"/>
      <c r="AL4764" s="72"/>
      <c r="AM4764" s="72"/>
    </row>
    <row r="4765" spans="1:39" x14ac:dyDescent="0.25">
      <c r="A4765" s="37" t="s">
        <v>62</v>
      </c>
      <c r="B4765" s="66"/>
      <c r="C4765" s="4"/>
      <c r="D4765" s="41"/>
      <c r="E4765" s="41"/>
      <c r="F4765" s="85"/>
      <c r="G4765" s="39"/>
      <c r="H4765" s="52"/>
      <c r="I4765" s="52"/>
      <c r="J4765" s="49"/>
      <c r="K4765" s="58"/>
      <c r="L4765" s="58"/>
      <c r="M4765" s="58"/>
      <c r="N4765" s="58"/>
      <c r="O4765" s="58"/>
      <c r="P4765" s="53"/>
      <c r="Q4765" s="65"/>
      <c r="R4765" s="65"/>
      <c r="S4765" s="65"/>
      <c r="T4765" s="65"/>
      <c r="U4765" s="58"/>
      <c r="V4765" s="65"/>
      <c r="W4765" s="65"/>
      <c r="X4765" s="65"/>
      <c r="Y4765" s="65"/>
      <c r="Z4765" s="51"/>
      <c r="AA4765" s="51"/>
      <c r="AB4765" s="102"/>
      <c r="AC4765" s="81" t="e">
        <f t="shared" si="226"/>
        <v>#DIV/0!</v>
      </c>
      <c r="AD4765" s="82">
        <f t="shared" si="227"/>
        <v>0</v>
      </c>
      <c r="AE4765" s="218"/>
      <c r="AH4765" t="str">
        <f t="shared" si="225"/>
        <v>0000</v>
      </c>
      <c r="AJ4765" s="72"/>
      <c r="AK4765" s="72"/>
      <c r="AL4765" s="72"/>
      <c r="AM4765" s="72"/>
    </row>
    <row r="4766" spans="1:39" x14ac:dyDescent="0.25">
      <c r="A4766" s="37" t="s">
        <v>62</v>
      </c>
      <c r="B4766" s="66"/>
      <c r="C4766" s="4"/>
      <c r="D4766" s="41"/>
      <c r="E4766" s="41"/>
      <c r="F4766" s="85"/>
      <c r="G4766" s="39"/>
      <c r="H4766" s="52"/>
      <c r="I4766" s="52"/>
      <c r="J4766" s="49"/>
      <c r="K4766" s="58"/>
      <c r="L4766" s="58"/>
      <c r="M4766" s="58"/>
      <c r="N4766" s="58"/>
      <c r="O4766" s="58"/>
      <c r="P4766" s="53"/>
      <c r="Q4766" s="65"/>
      <c r="R4766" s="65"/>
      <c r="S4766" s="65"/>
      <c r="T4766" s="65"/>
      <c r="U4766" s="58"/>
      <c r="V4766" s="65"/>
      <c r="W4766" s="65"/>
      <c r="X4766" s="65"/>
      <c r="Y4766" s="65"/>
      <c r="Z4766" s="51"/>
      <c r="AA4766" s="51"/>
      <c r="AB4766" s="102"/>
      <c r="AC4766" s="81" t="e">
        <f t="shared" si="226"/>
        <v>#DIV/0!</v>
      </c>
      <c r="AD4766" s="82">
        <f t="shared" si="227"/>
        <v>0</v>
      </c>
      <c r="AE4766" s="218"/>
      <c r="AH4766" t="str">
        <f t="shared" si="225"/>
        <v>0000</v>
      </c>
      <c r="AJ4766" s="72"/>
      <c r="AK4766" s="72"/>
      <c r="AL4766" s="72"/>
      <c r="AM4766" s="72"/>
    </row>
    <row r="4767" spans="1:39" x14ac:dyDescent="0.25">
      <c r="A4767" s="37" t="s">
        <v>62</v>
      </c>
      <c r="B4767" s="66"/>
      <c r="C4767" s="4"/>
      <c r="D4767" s="41"/>
      <c r="E4767" s="41"/>
      <c r="F4767" s="85"/>
      <c r="G4767" s="39"/>
      <c r="H4767" s="52"/>
      <c r="I4767" s="52"/>
      <c r="J4767" s="49"/>
      <c r="K4767" s="58"/>
      <c r="L4767" s="58"/>
      <c r="M4767" s="58"/>
      <c r="N4767" s="58"/>
      <c r="O4767" s="58"/>
      <c r="P4767" s="53"/>
      <c r="Q4767" s="65"/>
      <c r="R4767" s="65"/>
      <c r="S4767" s="65"/>
      <c r="T4767" s="65"/>
      <c r="U4767" s="58"/>
      <c r="V4767" s="65"/>
      <c r="W4767" s="65"/>
      <c r="X4767" s="65"/>
      <c r="Y4767" s="65"/>
      <c r="Z4767" s="51"/>
      <c r="AA4767" s="51"/>
      <c r="AB4767" s="102"/>
      <c r="AC4767" s="81" t="e">
        <f t="shared" si="226"/>
        <v>#DIV/0!</v>
      </c>
      <c r="AD4767" s="82">
        <f t="shared" si="227"/>
        <v>0</v>
      </c>
      <c r="AE4767" s="218"/>
      <c r="AH4767" t="str">
        <f t="shared" si="225"/>
        <v>0000</v>
      </c>
      <c r="AJ4767" s="72"/>
      <c r="AK4767" s="72"/>
      <c r="AL4767" s="72"/>
      <c r="AM4767" s="72"/>
    </row>
    <row r="4768" spans="1:39" x14ac:dyDescent="0.25">
      <c r="A4768" s="37" t="s">
        <v>62</v>
      </c>
      <c r="B4768" s="66"/>
      <c r="C4768" s="4"/>
      <c r="D4768" s="41"/>
      <c r="E4768" s="41"/>
      <c r="F4768" s="85"/>
      <c r="G4768" s="39"/>
      <c r="H4768" s="52"/>
      <c r="I4768" s="52"/>
      <c r="J4768" s="49"/>
      <c r="K4768" s="58"/>
      <c r="L4768" s="58"/>
      <c r="M4768" s="58"/>
      <c r="N4768" s="58"/>
      <c r="O4768" s="58"/>
      <c r="P4768" s="53"/>
      <c r="Q4768" s="65"/>
      <c r="R4768" s="65"/>
      <c r="S4768" s="65"/>
      <c r="T4768" s="65"/>
      <c r="U4768" s="58"/>
      <c r="V4768" s="65"/>
      <c r="W4768" s="65"/>
      <c r="X4768" s="65"/>
      <c r="Y4768" s="65"/>
      <c r="Z4768" s="51"/>
      <c r="AA4768" s="51"/>
      <c r="AB4768" s="102"/>
      <c r="AC4768" s="81" t="e">
        <f t="shared" si="226"/>
        <v>#DIV/0!</v>
      </c>
      <c r="AD4768" s="82">
        <f t="shared" si="227"/>
        <v>0</v>
      </c>
      <c r="AE4768" s="218"/>
      <c r="AH4768" t="str">
        <f t="shared" si="225"/>
        <v>0000</v>
      </c>
      <c r="AJ4768" s="72"/>
      <c r="AK4768" s="72"/>
      <c r="AL4768" s="72"/>
      <c r="AM4768" s="72"/>
    </row>
    <row r="4769" spans="1:39" x14ac:dyDescent="0.25">
      <c r="A4769" s="37" t="s">
        <v>62</v>
      </c>
      <c r="B4769" s="66"/>
      <c r="C4769" s="4"/>
      <c r="D4769" s="41"/>
      <c r="E4769" s="41"/>
      <c r="F4769" s="85"/>
      <c r="G4769" s="39"/>
      <c r="H4769" s="52"/>
      <c r="I4769" s="52"/>
      <c r="J4769" s="49"/>
      <c r="K4769" s="58"/>
      <c r="L4769" s="58"/>
      <c r="M4769" s="58"/>
      <c r="N4769" s="58"/>
      <c r="O4769" s="58"/>
      <c r="P4769" s="53"/>
      <c r="Q4769" s="65"/>
      <c r="R4769" s="65"/>
      <c r="S4769" s="65"/>
      <c r="T4769" s="65"/>
      <c r="U4769" s="58"/>
      <c r="V4769" s="65"/>
      <c r="W4769" s="65"/>
      <c r="X4769" s="65"/>
      <c r="Y4769" s="65"/>
      <c r="Z4769" s="51"/>
      <c r="AA4769" s="51"/>
      <c r="AB4769" s="102"/>
      <c r="AC4769" s="81" t="e">
        <f t="shared" si="226"/>
        <v>#DIV/0!</v>
      </c>
      <c r="AD4769" s="82">
        <f t="shared" si="227"/>
        <v>0</v>
      </c>
      <c r="AE4769" s="218"/>
      <c r="AH4769" t="str">
        <f t="shared" si="225"/>
        <v>0000</v>
      </c>
      <c r="AJ4769" s="72"/>
      <c r="AK4769" s="72"/>
      <c r="AL4769" s="72"/>
      <c r="AM4769" s="72"/>
    </row>
    <row r="4770" spans="1:39" x14ac:dyDescent="0.25">
      <c r="A4770" s="37" t="s">
        <v>62</v>
      </c>
      <c r="B4770" s="66"/>
      <c r="C4770" s="4"/>
      <c r="D4770" s="41"/>
      <c r="E4770" s="41"/>
      <c r="F4770" s="85"/>
      <c r="G4770" s="39"/>
      <c r="H4770" s="52"/>
      <c r="I4770" s="52"/>
      <c r="J4770" s="49"/>
      <c r="K4770" s="58"/>
      <c r="L4770" s="58"/>
      <c r="M4770" s="58"/>
      <c r="N4770" s="58"/>
      <c r="O4770" s="58"/>
      <c r="P4770" s="53"/>
      <c r="Q4770" s="65"/>
      <c r="R4770" s="65"/>
      <c r="S4770" s="65"/>
      <c r="T4770" s="65"/>
      <c r="U4770" s="58"/>
      <c r="V4770" s="65"/>
      <c r="W4770" s="65"/>
      <c r="X4770" s="65"/>
      <c r="Y4770" s="65"/>
      <c r="Z4770" s="51"/>
      <c r="AA4770" s="51"/>
      <c r="AB4770" s="102"/>
      <c r="AC4770" s="81" t="e">
        <f t="shared" si="226"/>
        <v>#DIV/0!</v>
      </c>
      <c r="AD4770" s="82">
        <f t="shared" si="227"/>
        <v>0</v>
      </c>
      <c r="AE4770" s="218"/>
      <c r="AH4770" t="str">
        <f t="shared" si="225"/>
        <v>0000</v>
      </c>
      <c r="AJ4770" s="72"/>
      <c r="AK4770" s="72"/>
      <c r="AL4770" s="72"/>
      <c r="AM4770" s="72"/>
    </row>
    <row r="4771" spans="1:39" x14ac:dyDescent="0.25">
      <c r="A4771" s="37" t="s">
        <v>62</v>
      </c>
      <c r="B4771" s="66"/>
      <c r="C4771" s="4"/>
      <c r="D4771" s="41"/>
      <c r="E4771" s="41"/>
      <c r="F4771" s="85"/>
      <c r="G4771" s="39"/>
      <c r="H4771" s="52"/>
      <c r="I4771" s="52"/>
      <c r="J4771" s="49"/>
      <c r="K4771" s="58"/>
      <c r="L4771" s="58"/>
      <c r="M4771" s="58"/>
      <c r="N4771" s="58"/>
      <c r="O4771" s="58"/>
      <c r="P4771" s="53"/>
      <c r="Q4771" s="65"/>
      <c r="R4771" s="65"/>
      <c r="S4771" s="65"/>
      <c r="T4771" s="65"/>
      <c r="U4771" s="58"/>
      <c r="V4771" s="65"/>
      <c r="W4771" s="65"/>
      <c r="X4771" s="65"/>
      <c r="Y4771" s="65"/>
      <c r="Z4771" s="51"/>
      <c r="AA4771" s="51"/>
      <c r="AB4771" s="102"/>
      <c r="AC4771" s="81" t="e">
        <f t="shared" si="226"/>
        <v>#DIV/0!</v>
      </c>
      <c r="AD4771" s="82">
        <f t="shared" si="227"/>
        <v>0</v>
      </c>
      <c r="AE4771" s="218"/>
      <c r="AH4771" t="str">
        <f t="shared" si="225"/>
        <v>0000</v>
      </c>
      <c r="AJ4771" s="72"/>
      <c r="AK4771" s="72"/>
      <c r="AL4771" s="72"/>
      <c r="AM4771" s="72"/>
    </row>
    <row r="4772" spans="1:39" x14ac:dyDescent="0.25">
      <c r="A4772" s="37" t="s">
        <v>62</v>
      </c>
      <c r="B4772" s="66"/>
      <c r="C4772" s="4"/>
      <c r="D4772" s="41"/>
      <c r="E4772" s="41"/>
      <c r="F4772" s="85"/>
      <c r="G4772" s="39"/>
      <c r="H4772" s="52"/>
      <c r="I4772" s="52"/>
      <c r="J4772" s="49"/>
      <c r="K4772" s="58"/>
      <c r="L4772" s="58"/>
      <c r="M4772" s="58"/>
      <c r="N4772" s="58"/>
      <c r="O4772" s="58"/>
      <c r="P4772" s="53"/>
      <c r="Q4772" s="65"/>
      <c r="R4772" s="65"/>
      <c r="S4772" s="65"/>
      <c r="T4772" s="65"/>
      <c r="U4772" s="58"/>
      <c r="V4772" s="65"/>
      <c r="W4772" s="65"/>
      <c r="X4772" s="65"/>
      <c r="Y4772" s="65"/>
      <c r="Z4772" s="51"/>
      <c r="AA4772" s="51"/>
      <c r="AB4772" s="102"/>
      <c r="AC4772" s="81" t="e">
        <f t="shared" si="226"/>
        <v>#DIV/0!</v>
      </c>
      <c r="AD4772" s="82">
        <f t="shared" si="227"/>
        <v>0</v>
      </c>
      <c r="AE4772" s="218"/>
      <c r="AH4772" t="str">
        <f t="shared" si="225"/>
        <v>0000</v>
      </c>
      <c r="AJ4772" s="72"/>
      <c r="AK4772" s="72"/>
      <c r="AL4772" s="72"/>
      <c r="AM4772" s="72"/>
    </row>
    <row r="4773" spans="1:39" x14ac:dyDescent="0.25">
      <c r="A4773" s="37" t="s">
        <v>62</v>
      </c>
      <c r="B4773" s="66"/>
      <c r="C4773" s="4"/>
      <c r="D4773" s="41"/>
      <c r="E4773" s="41"/>
      <c r="F4773" s="85"/>
      <c r="G4773" s="39"/>
      <c r="H4773" s="52"/>
      <c r="I4773" s="52"/>
      <c r="J4773" s="49"/>
      <c r="K4773" s="58"/>
      <c r="L4773" s="58"/>
      <c r="M4773" s="58"/>
      <c r="N4773" s="58"/>
      <c r="O4773" s="58"/>
      <c r="P4773" s="53"/>
      <c r="Q4773" s="65"/>
      <c r="R4773" s="65"/>
      <c r="S4773" s="65"/>
      <c r="T4773" s="65"/>
      <c r="U4773" s="58"/>
      <c r="V4773" s="65"/>
      <c r="W4773" s="65"/>
      <c r="X4773" s="65"/>
      <c r="Y4773" s="65"/>
      <c r="Z4773" s="51"/>
      <c r="AA4773" s="51"/>
      <c r="AB4773" s="102"/>
      <c r="AC4773" s="81" t="e">
        <f t="shared" si="226"/>
        <v>#DIV/0!</v>
      </c>
      <c r="AD4773" s="82">
        <f t="shared" si="227"/>
        <v>0</v>
      </c>
      <c r="AE4773" s="218"/>
      <c r="AH4773" t="str">
        <f t="shared" si="225"/>
        <v>0000</v>
      </c>
      <c r="AJ4773" s="72"/>
      <c r="AK4773" s="72"/>
      <c r="AL4773" s="72"/>
      <c r="AM4773" s="72"/>
    </row>
    <row r="4774" spans="1:39" x14ac:dyDescent="0.25">
      <c r="A4774" s="37" t="s">
        <v>62</v>
      </c>
      <c r="B4774" s="66"/>
      <c r="C4774" s="4"/>
      <c r="D4774" s="41"/>
      <c r="E4774" s="41"/>
      <c r="F4774" s="85"/>
      <c r="G4774" s="39"/>
      <c r="H4774" s="52"/>
      <c r="I4774" s="52"/>
      <c r="J4774" s="49"/>
      <c r="K4774" s="58"/>
      <c r="L4774" s="58"/>
      <c r="M4774" s="58"/>
      <c r="N4774" s="58"/>
      <c r="O4774" s="58"/>
      <c r="P4774" s="53"/>
      <c r="Q4774" s="65"/>
      <c r="R4774" s="65"/>
      <c r="S4774" s="65"/>
      <c r="T4774" s="65"/>
      <c r="U4774" s="58"/>
      <c r="V4774" s="65"/>
      <c r="W4774" s="65"/>
      <c r="X4774" s="65"/>
      <c r="Y4774" s="65"/>
      <c r="Z4774" s="51"/>
      <c r="AA4774" s="51"/>
      <c r="AB4774" s="102"/>
      <c r="AC4774" s="81" t="e">
        <f t="shared" si="226"/>
        <v>#DIV/0!</v>
      </c>
      <c r="AD4774" s="82">
        <f t="shared" si="227"/>
        <v>0</v>
      </c>
      <c r="AE4774" s="218"/>
      <c r="AH4774" t="str">
        <f t="shared" si="225"/>
        <v>0000</v>
      </c>
      <c r="AJ4774" s="72"/>
      <c r="AK4774" s="72"/>
      <c r="AL4774" s="72"/>
      <c r="AM4774" s="72"/>
    </row>
    <row r="4775" spans="1:39" x14ac:dyDescent="0.25">
      <c r="A4775" s="37" t="s">
        <v>62</v>
      </c>
      <c r="B4775" s="66"/>
      <c r="C4775" s="4"/>
      <c r="D4775" s="41"/>
      <c r="E4775" s="41"/>
      <c r="F4775" s="85"/>
      <c r="G4775" s="39"/>
      <c r="H4775" s="52"/>
      <c r="I4775" s="52"/>
      <c r="J4775" s="49"/>
      <c r="K4775" s="58"/>
      <c r="L4775" s="58"/>
      <c r="M4775" s="58"/>
      <c r="N4775" s="58"/>
      <c r="O4775" s="58"/>
      <c r="P4775" s="53"/>
      <c r="Q4775" s="65"/>
      <c r="R4775" s="65"/>
      <c r="S4775" s="65"/>
      <c r="T4775" s="65"/>
      <c r="U4775" s="58"/>
      <c r="V4775" s="65"/>
      <c r="W4775" s="65"/>
      <c r="X4775" s="65"/>
      <c r="Y4775" s="65"/>
      <c r="Z4775" s="51"/>
      <c r="AA4775" s="51"/>
      <c r="AB4775" s="102"/>
      <c r="AC4775" s="81" t="e">
        <f t="shared" si="226"/>
        <v>#DIV/0!</v>
      </c>
      <c r="AD4775" s="82">
        <f t="shared" si="227"/>
        <v>0</v>
      </c>
      <c r="AE4775" s="218"/>
      <c r="AH4775" t="str">
        <f t="shared" si="225"/>
        <v>0000</v>
      </c>
      <c r="AJ4775" s="72"/>
      <c r="AK4775" s="72"/>
      <c r="AL4775" s="72"/>
      <c r="AM4775" s="72"/>
    </row>
    <row r="4776" spans="1:39" x14ac:dyDescent="0.25">
      <c r="A4776" s="37" t="s">
        <v>62</v>
      </c>
      <c r="B4776" s="66"/>
      <c r="C4776" s="4"/>
      <c r="D4776" s="41"/>
      <c r="E4776" s="41"/>
      <c r="F4776" s="85"/>
      <c r="G4776" s="39"/>
      <c r="H4776" s="52"/>
      <c r="I4776" s="52"/>
      <c r="J4776" s="49"/>
      <c r="K4776" s="58"/>
      <c r="L4776" s="58"/>
      <c r="M4776" s="58"/>
      <c r="N4776" s="58"/>
      <c r="O4776" s="58"/>
      <c r="P4776" s="53"/>
      <c r="Q4776" s="65"/>
      <c r="R4776" s="65"/>
      <c r="S4776" s="65"/>
      <c r="T4776" s="65"/>
      <c r="U4776" s="58"/>
      <c r="V4776" s="65"/>
      <c r="W4776" s="65"/>
      <c r="X4776" s="65"/>
      <c r="Y4776" s="65"/>
      <c r="Z4776" s="51"/>
      <c r="AA4776" s="51"/>
      <c r="AB4776" s="102"/>
      <c r="AC4776" s="81" t="e">
        <f t="shared" si="226"/>
        <v>#DIV/0!</v>
      </c>
      <c r="AD4776" s="82">
        <f t="shared" si="227"/>
        <v>0</v>
      </c>
      <c r="AE4776" s="218"/>
      <c r="AH4776" t="str">
        <f t="shared" si="225"/>
        <v>0000</v>
      </c>
      <c r="AJ4776" s="72"/>
      <c r="AK4776" s="72"/>
      <c r="AL4776" s="72"/>
      <c r="AM4776" s="72"/>
    </row>
    <row r="4777" spans="1:39" x14ac:dyDescent="0.25">
      <c r="A4777" s="37" t="s">
        <v>62</v>
      </c>
      <c r="B4777" s="66"/>
      <c r="C4777" s="4"/>
      <c r="D4777" s="41"/>
      <c r="E4777" s="41"/>
      <c r="F4777" s="85"/>
      <c r="G4777" s="39"/>
      <c r="H4777" s="52"/>
      <c r="I4777" s="52"/>
      <c r="J4777" s="49"/>
      <c r="K4777" s="58"/>
      <c r="L4777" s="58"/>
      <c r="M4777" s="58"/>
      <c r="N4777" s="58"/>
      <c r="O4777" s="58"/>
      <c r="P4777" s="53"/>
      <c r="Q4777" s="65"/>
      <c r="R4777" s="65"/>
      <c r="S4777" s="65"/>
      <c r="T4777" s="65"/>
      <c r="U4777" s="58"/>
      <c r="V4777" s="65"/>
      <c r="W4777" s="65"/>
      <c r="X4777" s="65"/>
      <c r="Y4777" s="65"/>
      <c r="Z4777" s="51"/>
      <c r="AA4777" s="51"/>
      <c r="AB4777" s="102"/>
      <c r="AC4777" s="81" t="e">
        <f t="shared" si="226"/>
        <v>#DIV/0!</v>
      </c>
      <c r="AD4777" s="82">
        <f t="shared" si="227"/>
        <v>0</v>
      </c>
      <c r="AE4777" s="218"/>
      <c r="AH4777" t="str">
        <f t="shared" si="225"/>
        <v>0000</v>
      </c>
      <c r="AJ4777" s="72"/>
      <c r="AK4777" s="72"/>
      <c r="AL4777" s="72"/>
      <c r="AM4777" s="72"/>
    </row>
    <row r="4778" spans="1:39" x14ac:dyDescent="0.25">
      <c r="A4778" s="37" t="s">
        <v>62</v>
      </c>
      <c r="B4778" s="66"/>
      <c r="C4778" s="4"/>
      <c r="D4778" s="41"/>
      <c r="E4778" s="41"/>
      <c r="F4778" s="85"/>
      <c r="G4778" s="39"/>
      <c r="H4778" s="52"/>
      <c r="I4778" s="52"/>
      <c r="J4778" s="49"/>
      <c r="K4778" s="58"/>
      <c r="L4778" s="58"/>
      <c r="M4778" s="58"/>
      <c r="N4778" s="58"/>
      <c r="O4778" s="58"/>
      <c r="P4778" s="53"/>
      <c r="Q4778" s="65"/>
      <c r="R4778" s="65"/>
      <c r="S4778" s="65"/>
      <c r="T4778" s="65"/>
      <c r="U4778" s="58"/>
      <c r="V4778" s="65"/>
      <c r="W4778" s="65"/>
      <c r="X4778" s="65"/>
      <c r="Y4778" s="65"/>
      <c r="Z4778" s="51"/>
      <c r="AA4778" s="51"/>
      <c r="AB4778" s="102"/>
      <c r="AC4778" s="81" t="e">
        <f t="shared" si="226"/>
        <v>#DIV/0!</v>
      </c>
      <c r="AD4778" s="82">
        <f t="shared" si="227"/>
        <v>0</v>
      </c>
      <c r="AE4778" s="218"/>
      <c r="AH4778" t="str">
        <f t="shared" si="225"/>
        <v>0000</v>
      </c>
      <c r="AJ4778" s="72"/>
      <c r="AK4778" s="72"/>
      <c r="AL4778" s="72"/>
      <c r="AM4778" s="72"/>
    </row>
    <row r="4779" spans="1:39" x14ac:dyDescent="0.25">
      <c r="A4779" s="37" t="s">
        <v>62</v>
      </c>
      <c r="B4779" s="66"/>
      <c r="C4779" s="4"/>
      <c r="D4779" s="41"/>
      <c r="E4779" s="41"/>
      <c r="F4779" s="85"/>
      <c r="G4779" s="39"/>
      <c r="H4779" s="52"/>
      <c r="I4779" s="52"/>
      <c r="J4779" s="49"/>
      <c r="K4779" s="58"/>
      <c r="L4779" s="58"/>
      <c r="M4779" s="58"/>
      <c r="N4779" s="58"/>
      <c r="O4779" s="58"/>
      <c r="P4779" s="53"/>
      <c r="Q4779" s="65"/>
      <c r="R4779" s="65"/>
      <c r="S4779" s="65"/>
      <c r="T4779" s="65"/>
      <c r="U4779" s="58"/>
      <c r="V4779" s="65"/>
      <c r="W4779" s="65"/>
      <c r="X4779" s="65"/>
      <c r="Y4779" s="65"/>
      <c r="Z4779" s="51"/>
      <c r="AA4779" s="51"/>
      <c r="AB4779" s="102"/>
      <c r="AC4779" s="81" t="e">
        <f t="shared" si="226"/>
        <v>#DIV/0!</v>
      </c>
      <c r="AD4779" s="82">
        <f t="shared" si="227"/>
        <v>0</v>
      </c>
      <c r="AE4779" s="218"/>
      <c r="AH4779" t="str">
        <f t="shared" si="225"/>
        <v>0000</v>
      </c>
      <c r="AJ4779" s="72"/>
      <c r="AK4779" s="72"/>
      <c r="AL4779" s="72"/>
      <c r="AM4779" s="72"/>
    </row>
    <row r="4780" spans="1:39" x14ac:dyDescent="0.25">
      <c r="A4780" s="37" t="s">
        <v>62</v>
      </c>
      <c r="B4780" s="66"/>
      <c r="C4780" s="4"/>
      <c r="D4780" s="41"/>
      <c r="E4780" s="41"/>
      <c r="F4780" s="85"/>
      <c r="G4780" s="39"/>
      <c r="H4780" s="52"/>
      <c r="I4780" s="52"/>
      <c r="J4780" s="49"/>
      <c r="K4780" s="58"/>
      <c r="L4780" s="58"/>
      <c r="M4780" s="58"/>
      <c r="N4780" s="58"/>
      <c r="O4780" s="58"/>
      <c r="P4780" s="53"/>
      <c r="Q4780" s="65"/>
      <c r="R4780" s="65"/>
      <c r="S4780" s="65"/>
      <c r="T4780" s="65"/>
      <c r="U4780" s="58"/>
      <c r="V4780" s="65"/>
      <c r="W4780" s="65"/>
      <c r="X4780" s="65"/>
      <c r="Y4780" s="65"/>
      <c r="Z4780" s="51"/>
      <c r="AA4780" s="51"/>
      <c r="AB4780" s="102"/>
      <c r="AC4780" s="81" t="e">
        <f t="shared" si="226"/>
        <v>#DIV/0!</v>
      </c>
      <c r="AD4780" s="82">
        <f t="shared" si="227"/>
        <v>0</v>
      </c>
      <c r="AE4780" s="218"/>
      <c r="AH4780" t="str">
        <f t="shared" si="225"/>
        <v>0000</v>
      </c>
      <c r="AJ4780" s="72"/>
      <c r="AK4780" s="72"/>
      <c r="AL4780" s="72"/>
      <c r="AM4780" s="72"/>
    </row>
    <row r="4781" spans="1:39" x14ac:dyDescent="0.25">
      <c r="A4781" s="37" t="s">
        <v>62</v>
      </c>
      <c r="B4781" s="66"/>
      <c r="C4781" s="4"/>
      <c r="D4781" s="41"/>
      <c r="E4781" s="41"/>
      <c r="F4781" s="85"/>
      <c r="G4781" s="39"/>
      <c r="H4781" s="52"/>
      <c r="I4781" s="52"/>
      <c r="J4781" s="49"/>
      <c r="K4781" s="58"/>
      <c r="L4781" s="58"/>
      <c r="M4781" s="58"/>
      <c r="N4781" s="58"/>
      <c r="O4781" s="58"/>
      <c r="P4781" s="53"/>
      <c r="Q4781" s="65"/>
      <c r="R4781" s="65"/>
      <c r="S4781" s="65"/>
      <c r="T4781" s="65"/>
      <c r="U4781" s="58"/>
      <c r="V4781" s="65"/>
      <c r="W4781" s="65"/>
      <c r="X4781" s="65"/>
      <c r="Y4781" s="65"/>
      <c r="Z4781" s="51"/>
      <c r="AA4781" s="51"/>
      <c r="AB4781" s="102"/>
      <c r="AC4781" s="81" t="e">
        <f t="shared" si="226"/>
        <v>#DIV/0!</v>
      </c>
      <c r="AD4781" s="82">
        <f t="shared" si="227"/>
        <v>0</v>
      </c>
      <c r="AE4781" s="218"/>
      <c r="AH4781" t="str">
        <f t="shared" si="225"/>
        <v>0000</v>
      </c>
      <c r="AJ4781" s="72"/>
      <c r="AK4781" s="72"/>
      <c r="AL4781" s="72"/>
      <c r="AM4781" s="72"/>
    </row>
    <row r="4782" spans="1:39" x14ac:dyDescent="0.25">
      <c r="A4782" s="37" t="s">
        <v>62</v>
      </c>
      <c r="B4782" s="66"/>
      <c r="C4782" s="4"/>
      <c r="D4782" s="41"/>
      <c r="E4782" s="41"/>
      <c r="F4782" s="85"/>
      <c r="G4782" s="39"/>
      <c r="H4782" s="52"/>
      <c r="I4782" s="52"/>
      <c r="J4782" s="49"/>
      <c r="K4782" s="58"/>
      <c r="L4782" s="58"/>
      <c r="M4782" s="58"/>
      <c r="N4782" s="58"/>
      <c r="O4782" s="58"/>
      <c r="P4782" s="53"/>
      <c r="Q4782" s="65"/>
      <c r="R4782" s="65"/>
      <c r="S4782" s="65"/>
      <c r="T4782" s="65"/>
      <c r="U4782" s="58"/>
      <c r="V4782" s="65"/>
      <c r="W4782" s="65"/>
      <c r="X4782" s="65"/>
      <c r="Y4782" s="65"/>
      <c r="Z4782" s="51"/>
      <c r="AA4782" s="51"/>
      <c r="AB4782" s="102"/>
      <c r="AC4782" s="81" t="e">
        <f t="shared" si="226"/>
        <v>#DIV/0!</v>
      </c>
      <c r="AD4782" s="82">
        <f t="shared" si="227"/>
        <v>0</v>
      </c>
      <c r="AE4782" s="218"/>
      <c r="AH4782" t="str">
        <f t="shared" si="225"/>
        <v>0000</v>
      </c>
      <c r="AJ4782" s="72"/>
      <c r="AK4782" s="72"/>
      <c r="AL4782" s="72"/>
      <c r="AM4782" s="72"/>
    </row>
    <row r="4783" spans="1:39" x14ac:dyDescent="0.25">
      <c r="A4783" s="37" t="s">
        <v>62</v>
      </c>
      <c r="B4783" s="66"/>
      <c r="C4783" s="4"/>
      <c r="D4783" s="41"/>
      <c r="E4783" s="41"/>
      <c r="F4783" s="85"/>
      <c r="G4783" s="39"/>
      <c r="H4783" s="52"/>
      <c r="I4783" s="52"/>
      <c r="J4783" s="49"/>
      <c r="K4783" s="58"/>
      <c r="L4783" s="58"/>
      <c r="M4783" s="58"/>
      <c r="N4783" s="58"/>
      <c r="O4783" s="58"/>
      <c r="P4783" s="53"/>
      <c r="Q4783" s="65"/>
      <c r="R4783" s="65"/>
      <c r="S4783" s="65"/>
      <c r="T4783" s="65"/>
      <c r="U4783" s="58"/>
      <c r="V4783" s="65"/>
      <c r="W4783" s="65"/>
      <c r="X4783" s="65"/>
      <c r="Y4783" s="65"/>
      <c r="Z4783" s="51"/>
      <c r="AA4783" s="51"/>
      <c r="AB4783" s="102"/>
      <c r="AC4783" s="81" t="e">
        <f t="shared" si="226"/>
        <v>#DIV/0!</v>
      </c>
      <c r="AD4783" s="82">
        <f t="shared" si="227"/>
        <v>0</v>
      </c>
      <c r="AE4783" s="218"/>
      <c r="AH4783" t="str">
        <f t="shared" si="225"/>
        <v>0000</v>
      </c>
      <c r="AJ4783" s="72"/>
      <c r="AK4783" s="72"/>
      <c r="AL4783" s="72"/>
      <c r="AM4783" s="72"/>
    </row>
    <row r="4784" spans="1:39" x14ac:dyDescent="0.25">
      <c r="A4784" s="37" t="s">
        <v>62</v>
      </c>
      <c r="B4784" s="66"/>
      <c r="C4784" s="4"/>
      <c r="D4784" s="41"/>
      <c r="E4784" s="41"/>
      <c r="F4784" s="85"/>
      <c r="G4784" s="39"/>
      <c r="H4784" s="52"/>
      <c r="I4784" s="52"/>
      <c r="J4784" s="49"/>
      <c r="K4784" s="58"/>
      <c r="L4784" s="58"/>
      <c r="M4784" s="58"/>
      <c r="N4784" s="58"/>
      <c r="O4784" s="58"/>
      <c r="P4784" s="53"/>
      <c r="Q4784" s="65"/>
      <c r="R4784" s="65"/>
      <c r="S4784" s="65"/>
      <c r="T4784" s="65"/>
      <c r="U4784" s="58"/>
      <c r="V4784" s="65"/>
      <c r="W4784" s="65"/>
      <c r="X4784" s="65"/>
      <c r="Y4784" s="65"/>
      <c r="Z4784" s="51"/>
      <c r="AA4784" s="51"/>
      <c r="AB4784" s="102"/>
      <c r="AC4784" s="81" t="e">
        <f t="shared" si="226"/>
        <v>#DIV/0!</v>
      </c>
      <c r="AD4784" s="82">
        <f t="shared" si="227"/>
        <v>0</v>
      </c>
      <c r="AE4784" s="218"/>
      <c r="AH4784" t="str">
        <f t="shared" si="225"/>
        <v>0000</v>
      </c>
      <c r="AJ4784" s="72"/>
      <c r="AK4784" s="72"/>
      <c r="AL4784" s="72"/>
      <c r="AM4784" s="72"/>
    </row>
    <row r="4785" spans="1:39" x14ac:dyDescent="0.25">
      <c r="A4785" s="37" t="s">
        <v>62</v>
      </c>
      <c r="B4785" s="66"/>
      <c r="C4785" s="4"/>
      <c r="D4785" s="41"/>
      <c r="E4785" s="41"/>
      <c r="F4785" s="85"/>
      <c r="G4785" s="39"/>
      <c r="H4785" s="52"/>
      <c r="I4785" s="52"/>
      <c r="J4785" s="49"/>
      <c r="K4785" s="58"/>
      <c r="L4785" s="58"/>
      <c r="M4785" s="58"/>
      <c r="N4785" s="58"/>
      <c r="O4785" s="58"/>
      <c r="P4785" s="53"/>
      <c r="Q4785" s="65"/>
      <c r="R4785" s="65"/>
      <c r="S4785" s="65"/>
      <c r="T4785" s="65"/>
      <c r="U4785" s="58"/>
      <c r="V4785" s="65"/>
      <c r="W4785" s="65"/>
      <c r="X4785" s="65"/>
      <c r="Y4785" s="65"/>
      <c r="Z4785" s="51"/>
      <c r="AA4785" s="51"/>
      <c r="AB4785" s="102"/>
      <c r="AC4785" s="81" t="e">
        <f t="shared" si="226"/>
        <v>#DIV/0!</v>
      </c>
      <c r="AD4785" s="82">
        <f t="shared" si="227"/>
        <v>0</v>
      </c>
      <c r="AE4785" s="218"/>
      <c r="AH4785" t="str">
        <f t="shared" si="225"/>
        <v>0000</v>
      </c>
      <c r="AJ4785" s="72"/>
      <c r="AK4785" s="72"/>
      <c r="AL4785" s="72"/>
      <c r="AM4785" s="72"/>
    </row>
    <row r="4786" spans="1:39" x14ac:dyDescent="0.25">
      <c r="A4786" s="37" t="s">
        <v>62</v>
      </c>
      <c r="B4786" s="66"/>
      <c r="C4786" s="4"/>
      <c r="D4786" s="41"/>
      <c r="E4786" s="41"/>
      <c r="F4786" s="85"/>
      <c r="G4786" s="39"/>
      <c r="H4786" s="52"/>
      <c r="I4786" s="52"/>
      <c r="J4786" s="49"/>
      <c r="K4786" s="58"/>
      <c r="L4786" s="58"/>
      <c r="M4786" s="58"/>
      <c r="N4786" s="58"/>
      <c r="O4786" s="58"/>
      <c r="P4786" s="53"/>
      <c r="Q4786" s="65"/>
      <c r="R4786" s="65"/>
      <c r="S4786" s="65"/>
      <c r="T4786" s="65"/>
      <c r="U4786" s="58"/>
      <c r="V4786" s="65"/>
      <c r="W4786" s="65"/>
      <c r="X4786" s="65"/>
      <c r="Y4786" s="65"/>
      <c r="Z4786" s="51"/>
      <c r="AA4786" s="51"/>
      <c r="AB4786" s="102"/>
      <c r="AC4786" s="81" t="e">
        <f t="shared" si="226"/>
        <v>#DIV/0!</v>
      </c>
      <c r="AD4786" s="82">
        <f t="shared" si="227"/>
        <v>0</v>
      </c>
      <c r="AE4786" s="218"/>
      <c r="AH4786" t="str">
        <f t="shared" si="225"/>
        <v>0000</v>
      </c>
      <c r="AJ4786" s="72"/>
      <c r="AK4786" s="72"/>
      <c r="AL4786" s="72"/>
      <c r="AM4786" s="72"/>
    </row>
    <row r="4787" spans="1:39" x14ac:dyDescent="0.25">
      <c r="A4787" s="37" t="s">
        <v>62</v>
      </c>
      <c r="B4787" s="66"/>
      <c r="C4787" s="4"/>
      <c r="D4787" s="41"/>
      <c r="E4787" s="41"/>
      <c r="F4787" s="85"/>
      <c r="G4787" s="39"/>
      <c r="H4787" s="52"/>
      <c r="I4787" s="52"/>
      <c r="J4787" s="49"/>
      <c r="K4787" s="58"/>
      <c r="L4787" s="58"/>
      <c r="M4787" s="58"/>
      <c r="N4787" s="58"/>
      <c r="O4787" s="58"/>
      <c r="P4787" s="53"/>
      <c r="Q4787" s="65"/>
      <c r="R4787" s="65"/>
      <c r="S4787" s="65"/>
      <c r="T4787" s="65"/>
      <c r="U4787" s="58"/>
      <c r="V4787" s="65"/>
      <c r="W4787" s="65"/>
      <c r="X4787" s="65"/>
      <c r="Y4787" s="65"/>
      <c r="Z4787" s="51"/>
      <c r="AA4787" s="51"/>
      <c r="AB4787" s="102"/>
      <c r="AC4787" s="81" t="e">
        <f t="shared" si="226"/>
        <v>#DIV/0!</v>
      </c>
      <c r="AD4787" s="82">
        <f t="shared" si="227"/>
        <v>0</v>
      </c>
      <c r="AE4787" s="218"/>
      <c r="AH4787" t="str">
        <f t="shared" si="225"/>
        <v>0000</v>
      </c>
      <c r="AJ4787" s="72"/>
      <c r="AK4787" s="72"/>
      <c r="AL4787" s="72"/>
      <c r="AM4787" s="72"/>
    </row>
    <row r="4788" spans="1:39" x14ac:dyDescent="0.25">
      <c r="A4788" s="37" t="s">
        <v>62</v>
      </c>
      <c r="B4788" s="66"/>
      <c r="C4788" s="4"/>
      <c r="D4788" s="41"/>
      <c r="E4788" s="41"/>
      <c r="F4788" s="85"/>
      <c r="G4788" s="39"/>
      <c r="H4788" s="52"/>
      <c r="I4788" s="52"/>
      <c r="J4788" s="49"/>
      <c r="K4788" s="58"/>
      <c r="L4788" s="58"/>
      <c r="M4788" s="58"/>
      <c r="N4788" s="58"/>
      <c r="O4788" s="58"/>
      <c r="P4788" s="53"/>
      <c r="Q4788" s="65"/>
      <c r="R4788" s="65"/>
      <c r="S4788" s="65"/>
      <c r="T4788" s="65"/>
      <c r="U4788" s="58"/>
      <c r="V4788" s="65"/>
      <c r="W4788" s="65"/>
      <c r="X4788" s="65"/>
      <c r="Y4788" s="65"/>
      <c r="Z4788" s="51"/>
      <c r="AA4788" s="51"/>
      <c r="AB4788" s="102"/>
      <c r="AC4788" s="81" t="e">
        <f t="shared" si="226"/>
        <v>#DIV/0!</v>
      </c>
      <c r="AD4788" s="82">
        <f t="shared" si="227"/>
        <v>0</v>
      </c>
      <c r="AE4788" s="218"/>
      <c r="AH4788" t="str">
        <f t="shared" si="225"/>
        <v>0000</v>
      </c>
      <c r="AJ4788" s="72"/>
      <c r="AK4788" s="72"/>
      <c r="AL4788" s="72"/>
      <c r="AM4788" s="72"/>
    </row>
    <row r="4789" spans="1:39" x14ac:dyDescent="0.25">
      <c r="A4789" s="37" t="s">
        <v>62</v>
      </c>
      <c r="B4789" s="66"/>
      <c r="C4789" s="4"/>
      <c r="D4789" s="41"/>
      <c r="E4789" s="41"/>
      <c r="F4789" s="85"/>
      <c r="G4789" s="39"/>
      <c r="H4789" s="52"/>
      <c r="I4789" s="52"/>
      <c r="J4789" s="49"/>
      <c r="K4789" s="58"/>
      <c r="L4789" s="58"/>
      <c r="M4789" s="58"/>
      <c r="N4789" s="58"/>
      <c r="O4789" s="58"/>
      <c r="P4789" s="53"/>
      <c r="Q4789" s="65"/>
      <c r="R4789" s="65"/>
      <c r="S4789" s="65"/>
      <c r="T4789" s="65"/>
      <c r="U4789" s="58"/>
      <c r="V4789" s="65"/>
      <c r="W4789" s="65"/>
      <c r="X4789" s="65"/>
      <c r="Y4789" s="65"/>
      <c r="Z4789" s="51"/>
      <c r="AA4789" s="51"/>
      <c r="AB4789" s="102"/>
      <c r="AC4789" s="81" t="e">
        <f t="shared" si="226"/>
        <v>#DIV/0!</v>
      </c>
      <c r="AD4789" s="82">
        <f t="shared" si="227"/>
        <v>0</v>
      </c>
      <c r="AE4789" s="218"/>
      <c r="AH4789" t="str">
        <f t="shared" si="225"/>
        <v>0000</v>
      </c>
      <c r="AJ4789" s="72"/>
      <c r="AK4789" s="72"/>
      <c r="AL4789" s="72"/>
      <c r="AM4789" s="72"/>
    </row>
    <row r="4790" spans="1:39" x14ac:dyDescent="0.25">
      <c r="A4790" s="37" t="s">
        <v>62</v>
      </c>
      <c r="B4790" s="66"/>
      <c r="C4790" s="4"/>
      <c r="D4790" s="41"/>
      <c r="E4790" s="41"/>
      <c r="F4790" s="85"/>
      <c r="G4790" s="39"/>
      <c r="H4790" s="52"/>
      <c r="I4790" s="52"/>
      <c r="J4790" s="49"/>
      <c r="K4790" s="58"/>
      <c r="L4790" s="58"/>
      <c r="M4790" s="58"/>
      <c r="N4790" s="58"/>
      <c r="O4790" s="58"/>
      <c r="P4790" s="53"/>
      <c r="Q4790" s="65"/>
      <c r="R4790" s="65"/>
      <c r="S4790" s="65"/>
      <c r="T4790" s="65"/>
      <c r="U4790" s="58"/>
      <c r="V4790" s="65"/>
      <c r="W4790" s="65"/>
      <c r="X4790" s="65"/>
      <c r="Y4790" s="65"/>
      <c r="Z4790" s="51"/>
      <c r="AA4790" s="51"/>
      <c r="AB4790" s="102"/>
      <c r="AC4790" s="81" t="e">
        <f t="shared" si="226"/>
        <v>#DIV/0!</v>
      </c>
      <c r="AD4790" s="82">
        <f t="shared" si="227"/>
        <v>0</v>
      </c>
      <c r="AE4790" s="218"/>
      <c r="AH4790" t="str">
        <f t="shared" si="225"/>
        <v>0000</v>
      </c>
      <c r="AJ4790" s="72"/>
      <c r="AK4790" s="72"/>
      <c r="AL4790" s="72"/>
      <c r="AM4790" s="72"/>
    </row>
    <row r="4791" spans="1:39" x14ac:dyDescent="0.25">
      <c r="A4791" s="37" t="s">
        <v>62</v>
      </c>
      <c r="B4791" s="66"/>
      <c r="C4791" s="4"/>
      <c r="D4791" s="41"/>
      <c r="E4791" s="41"/>
      <c r="F4791" s="85"/>
      <c r="G4791" s="39"/>
      <c r="H4791" s="52"/>
      <c r="I4791" s="52"/>
      <c r="J4791" s="49"/>
      <c r="K4791" s="58"/>
      <c r="L4791" s="58"/>
      <c r="M4791" s="58"/>
      <c r="N4791" s="58"/>
      <c r="O4791" s="58"/>
      <c r="P4791" s="53"/>
      <c r="Q4791" s="65"/>
      <c r="R4791" s="65"/>
      <c r="S4791" s="65"/>
      <c r="T4791" s="65"/>
      <c r="U4791" s="58"/>
      <c r="V4791" s="65"/>
      <c r="W4791" s="65"/>
      <c r="X4791" s="65"/>
      <c r="Y4791" s="65"/>
      <c r="Z4791" s="51"/>
      <c r="AA4791" s="51"/>
      <c r="AB4791" s="102"/>
      <c r="AC4791" s="81" t="e">
        <f t="shared" si="226"/>
        <v>#DIV/0!</v>
      </c>
      <c r="AD4791" s="82">
        <f t="shared" si="227"/>
        <v>0</v>
      </c>
      <c r="AE4791" s="218"/>
      <c r="AH4791" t="str">
        <f t="shared" si="225"/>
        <v>0000</v>
      </c>
      <c r="AJ4791" s="72"/>
      <c r="AK4791" s="72"/>
      <c r="AL4791" s="72"/>
      <c r="AM4791" s="72"/>
    </row>
    <row r="4792" spans="1:39" x14ac:dyDescent="0.25">
      <c r="A4792" s="37" t="s">
        <v>62</v>
      </c>
      <c r="B4792" s="66"/>
      <c r="C4792" s="4"/>
      <c r="D4792" s="41"/>
      <c r="E4792" s="41"/>
      <c r="F4792" s="85"/>
      <c r="G4792" s="39"/>
      <c r="H4792" s="52"/>
      <c r="I4792" s="52"/>
      <c r="J4792" s="49"/>
      <c r="K4792" s="58"/>
      <c r="L4792" s="58"/>
      <c r="M4792" s="58"/>
      <c r="N4792" s="58"/>
      <c r="O4792" s="58"/>
      <c r="P4792" s="53"/>
      <c r="Q4792" s="65"/>
      <c r="R4792" s="65"/>
      <c r="S4792" s="65"/>
      <c r="T4792" s="65"/>
      <c r="U4792" s="58"/>
      <c r="V4792" s="65"/>
      <c r="W4792" s="65"/>
      <c r="X4792" s="65"/>
      <c r="Y4792" s="65"/>
      <c r="Z4792" s="51"/>
      <c r="AA4792" s="51"/>
      <c r="AB4792" s="102"/>
      <c r="AC4792" s="81" t="e">
        <f t="shared" si="226"/>
        <v>#DIV/0!</v>
      </c>
      <c r="AD4792" s="82">
        <f t="shared" si="227"/>
        <v>0</v>
      </c>
      <c r="AE4792" s="218"/>
      <c r="AH4792" t="str">
        <f t="shared" si="225"/>
        <v>0000</v>
      </c>
      <c r="AJ4792" s="72"/>
      <c r="AK4792" s="72"/>
      <c r="AL4792" s="72"/>
      <c r="AM4792" s="72"/>
    </row>
    <row r="4793" spans="1:39" x14ac:dyDescent="0.25">
      <c r="A4793" s="37" t="s">
        <v>62</v>
      </c>
      <c r="B4793" s="66"/>
      <c r="C4793" s="4"/>
      <c r="D4793" s="41"/>
      <c r="E4793" s="41"/>
      <c r="F4793" s="85"/>
      <c r="G4793" s="39"/>
      <c r="H4793" s="52"/>
      <c r="I4793" s="52"/>
      <c r="J4793" s="49"/>
      <c r="K4793" s="58"/>
      <c r="L4793" s="58"/>
      <c r="M4793" s="58"/>
      <c r="N4793" s="58"/>
      <c r="O4793" s="58"/>
      <c r="P4793" s="53"/>
      <c r="Q4793" s="65"/>
      <c r="R4793" s="65"/>
      <c r="S4793" s="65"/>
      <c r="T4793" s="65"/>
      <c r="U4793" s="58"/>
      <c r="V4793" s="65"/>
      <c r="W4793" s="65"/>
      <c r="X4793" s="65"/>
      <c r="Y4793" s="65"/>
      <c r="Z4793" s="51"/>
      <c r="AA4793" s="51"/>
      <c r="AB4793" s="102"/>
      <c r="AC4793" s="81" t="e">
        <f t="shared" si="226"/>
        <v>#DIV/0!</v>
      </c>
      <c r="AD4793" s="82">
        <f t="shared" si="227"/>
        <v>0</v>
      </c>
      <c r="AE4793" s="218"/>
      <c r="AH4793" t="str">
        <f t="shared" si="225"/>
        <v>0000</v>
      </c>
      <c r="AJ4793" s="72"/>
      <c r="AK4793" s="72"/>
      <c r="AL4793" s="72"/>
      <c r="AM4793" s="72"/>
    </row>
    <row r="4794" spans="1:39" x14ac:dyDescent="0.25">
      <c r="A4794" s="37" t="s">
        <v>62</v>
      </c>
      <c r="B4794" s="66"/>
      <c r="C4794" s="4"/>
      <c r="D4794" s="41"/>
      <c r="E4794" s="41"/>
      <c r="F4794" s="85"/>
      <c r="G4794" s="39"/>
      <c r="H4794" s="52"/>
      <c r="I4794" s="52"/>
      <c r="J4794" s="49"/>
      <c r="K4794" s="58"/>
      <c r="L4794" s="58"/>
      <c r="M4794" s="58"/>
      <c r="N4794" s="58"/>
      <c r="O4794" s="58"/>
      <c r="P4794" s="53"/>
      <c r="Q4794" s="65"/>
      <c r="R4794" s="65"/>
      <c r="S4794" s="65"/>
      <c r="T4794" s="65"/>
      <c r="U4794" s="58"/>
      <c r="V4794" s="65"/>
      <c r="W4794" s="65"/>
      <c r="X4794" s="65"/>
      <c r="Y4794" s="65"/>
      <c r="Z4794" s="51"/>
      <c r="AA4794" s="51"/>
      <c r="AB4794" s="102"/>
      <c r="AC4794" s="81" t="e">
        <f t="shared" si="226"/>
        <v>#DIV/0!</v>
      </c>
      <c r="AD4794" s="82">
        <f t="shared" si="227"/>
        <v>0</v>
      </c>
      <c r="AE4794" s="218"/>
      <c r="AH4794" t="str">
        <f t="shared" ref="AH4794:AH4857" si="228">TEXT(D4794,"0000")</f>
        <v>0000</v>
      </c>
      <c r="AJ4794" s="72"/>
      <c r="AK4794" s="72"/>
      <c r="AL4794" s="72"/>
      <c r="AM4794" s="72"/>
    </row>
    <row r="4795" spans="1:39" x14ac:dyDescent="0.25">
      <c r="A4795" s="37" t="s">
        <v>62</v>
      </c>
      <c r="B4795" s="66"/>
      <c r="C4795" s="4"/>
      <c r="D4795" s="41"/>
      <c r="E4795" s="41"/>
      <c r="F4795" s="85"/>
      <c r="G4795" s="39"/>
      <c r="H4795" s="52"/>
      <c r="I4795" s="52"/>
      <c r="J4795" s="49"/>
      <c r="K4795" s="58"/>
      <c r="L4795" s="58"/>
      <c r="M4795" s="58"/>
      <c r="N4795" s="58"/>
      <c r="O4795" s="58"/>
      <c r="P4795" s="53"/>
      <c r="Q4795" s="65"/>
      <c r="R4795" s="65"/>
      <c r="S4795" s="65"/>
      <c r="T4795" s="65"/>
      <c r="U4795" s="58"/>
      <c r="V4795" s="65"/>
      <c r="W4795" s="65"/>
      <c r="X4795" s="65"/>
      <c r="Y4795" s="65"/>
      <c r="Z4795" s="51"/>
      <c r="AA4795" s="51"/>
      <c r="AB4795" s="102"/>
      <c r="AC4795" s="81" t="e">
        <f t="shared" si="226"/>
        <v>#DIV/0!</v>
      </c>
      <c r="AD4795" s="82">
        <f t="shared" si="227"/>
        <v>0</v>
      </c>
      <c r="AE4795" s="218"/>
      <c r="AH4795" t="str">
        <f t="shared" si="228"/>
        <v>0000</v>
      </c>
      <c r="AJ4795" s="72"/>
      <c r="AK4795" s="72"/>
      <c r="AL4795" s="72"/>
      <c r="AM4795" s="72"/>
    </row>
    <row r="4796" spans="1:39" x14ac:dyDescent="0.25">
      <c r="A4796" s="37" t="s">
        <v>62</v>
      </c>
      <c r="B4796" s="66"/>
      <c r="C4796" s="4"/>
      <c r="D4796" s="41"/>
      <c r="E4796" s="41"/>
      <c r="F4796" s="85"/>
      <c r="G4796" s="39"/>
      <c r="H4796" s="52"/>
      <c r="I4796" s="52"/>
      <c r="J4796" s="49"/>
      <c r="K4796" s="58"/>
      <c r="L4796" s="58"/>
      <c r="M4796" s="58"/>
      <c r="N4796" s="58"/>
      <c r="O4796" s="58"/>
      <c r="P4796" s="53"/>
      <c r="Q4796" s="65"/>
      <c r="R4796" s="65"/>
      <c r="S4796" s="65"/>
      <c r="T4796" s="65"/>
      <c r="U4796" s="58"/>
      <c r="V4796" s="65"/>
      <c r="W4796" s="65"/>
      <c r="X4796" s="65"/>
      <c r="Y4796" s="65"/>
      <c r="Z4796" s="51"/>
      <c r="AA4796" s="51"/>
      <c r="AB4796" s="102"/>
      <c r="AC4796" s="81" t="e">
        <f t="shared" si="226"/>
        <v>#DIV/0!</v>
      </c>
      <c r="AD4796" s="82">
        <f t="shared" si="227"/>
        <v>0</v>
      </c>
      <c r="AE4796" s="218"/>
      <c r="AH4796" t="str">
        <f t="shared" si="228"/>
        <v>0000</v>
      </c>
      <c r="AJ4796" s="72"/>
      <c r="AK4796" s="72"/>
      <c r="AL4796" s="72"/>
      <c r="AM4796" s="72"/>
    </row>
    <row r="4797" spans="1:39" x14ac:dyDescent="0.25">
      <c r="A4797" s="37" t="s">
        <v>62</v>
      </c>
      <c r="B4797" s="66"/>
      <c r="C4797" s="4"/>
      <c r="D4797" s="41"/>
      <c r="E4797" s="41"/>
      <c r="F4797" s="85"/>
      <c r="G4797" s="39"/>
      <c r="H4797" s="52"/>
      <c r="I4797" s="52"/>
      <c r="J4797" s="49"/>
      <c r="K4797" s="58"/>
      <c r="L4797" s="58"/>
      <c r="M4797" s="58"/>
      <c r="N4797" s="58"/>
      <c r="O4797" s="58"/>
      <c r="P4797" s="53"/>
      <c r="Q4797" s="65"/>
      <c r="R4797" s="65"/>
      <c r="S4797" s="65"/>
      <c r="T4797" s="65"/>
      <c r="U4797" s="58"/>
      <c r="V4797" s="65"/>
      <c r="W4797" s="65"/>
      <c r="X4797" s="65"/>
      <c r="Y4797" s="65"/>
      <c r="Z4797" s="51"/>
      <c r="AA4797" s="51"/>
      <c r="AB4797" s="102"/>
      <c r="AC4797" s="81" t="e">
        <f t="shared" si="226"/>
        <v>#DIV/0!</v>
      </c>
      <c r="AD4797" s="82">
        <f t="shared" si="227"/>
        <v>0</v>
      </c>
      <c r="AE4797" s="218"/>
      <c r="AH4797" t="str">
        <f t="shared" si="228"/>
        <v>0000</v>
      </c>
      <c r="AJ4797" s="72"/>
      <c r="AK4797" s="72"/>
      <c r="AL4797" s="72"/>
      <c r="AM4797" s="72"/>
    </row>
    <row r="4798" spans="1:39" x14ac:dyDescent="0.25">
      <c r="A4798" s="37" t="s">
        <v>62</v>
      </c>
      <c r="B4798" s="66"/>
      <c r="C4798" s="4"/>
      <c r="D4798" s="41"/>
      <c r="E4798" s="41"/>
      <c r="F4798" s="85"/>
      <c r="G4798" s="39"/>
      <c r="H4798" s="52"/>
      <c r="I4798" s="52"/>
      <c r="J4798" s="49"/>
      <c r="K4798" s="58"/>
      <c r="L4798" s="58"/>
      <c r="M4798" s="58"/>
      <c r="N4798" s="58"/>
      <c r="O4798" s="58"/>
      <c r="P4798" s="53"/>
      <c r="Q4798" s="65"/>
      <c r="R4798" s="65"/>
      <c r="S4798" s="65"/>
      <c r="T4798" s="65"/>
      <c r="U4798" s="58"/>
      <c r="V4798" s="65"/>
      <c r="W4798" s="65"/>
      <c r="X4798" s="65"/>
      <c r="Y4798" s="65"/>
      <c r="Z4798" s="51"/>
      <c r="AA4798" s="51"/>
      <c r="AB4798" s="102"/>
      <c r="AC4798" s="81" t="e">
        <f t="shared" si="226"/>
        <v>#DIV/0!</v>
      </c>
      <c r="AD4798" s="82">
        <f t="shared" si="227"/>
        <v>0</v>
      </c>
      <c r="AE4798" s="218"/>
      <c r="AH4798" t="str">
        <f t="shared" si="228"/>
        <v>0000</v>
      </c>
      <c r="AJ4798" s="72"/>
      <c r="AK4798" s="72"/>
      <c r="AL4798" s="72"/>
      <c r="AM4798" s="72"/>
    </row>
    <row r="4799" spans="1:39" x14ac:dyDescent="0.25">
      <c r="A4799" s="37" t="s">
        <v>62</v>
      </c>
      <c r="B4799" s="66"/>
      <c r="C4799" s="4"/>
      <c r="D4799" s="41"/>
      <c r="E4799" s="41"/>
      <c r="F4799" s="85"/>
      <c r="G4799" s="39"/>
      <c r="H4799" s="52"/>
      <c r="I4799" s="52"/>
      <c r="J4799" s="49"/>
      <c r="K4799" s="58"/>
      <c r="L4799" s="58"/>
      <c r="M4799" s="58"/>
      <c r="N4799" s="58"/>
      <c r="O4799" s="58"/>
      <c r="P4799" s="53"/>
      <c r="Q4799" s="65"/>
      <c r="R4799" s="65"/>
      <c r="S4799" s="65"/>
      <c r="T4799" s="65"/>
      <c r="U4799" s="58"/>
      <c r="V4799" s="65"/>
      <c r="W4799" s="65"/>
      <c r="X4799" s="65"/>
      <c r="Y4799" s="65"/>
      <c r="Z4799" s="51"/>
      <c r="AA4799" s="51"/>
      <c r="AB4799" s="102"/>
      <c r="AC4799" s="81" t="e">
        <f t="shared" si="226"/>
        <v>#DIV/0!</v>
      </c>
      <c r="AD4799" s="82">
        <f t="shared" si="227"/>
        <v>0</v>
      </c>
      <c r="AE4799" s="218"/>
      <c r="AH4799" t="str">
        <f t="shared" si="228"/>
        <v>0000</v>
      </c>
      <c r="AJ4799" s="72"/>
      <c r="AK4799" s="72"/>
      <c r="AL4799" s="72"/>
      <c r="AM4799" s="72"/>
    </row>
    <row r="4800" spans="1:39" x14ac:dyDescent="0.25">
      <c r="A4800" s="37" t="s">
        <v>62</v>
      </c>
      <c r="B4800" s="66"/>
      <c r="C4800" s="4"/>
      <c r="D4800" s="41"/>
      <c r="E4800" s="41"/>
      <c r="F4800" s="85"/>
      <c r="G4800" s="39"/>
      <c r="H4800" s="52"/>
      <c r="I4800" s="52"/>
      <c r="J4800" s="49"/>
      <c r="K4800" s="58"/>
      <c r="L4800" s="58"/>
      <c r="M4800" s="58"/>
      <c r="N4800" s="58"/>
      <c r="O4800" s="58"/>
      <c r="P4800" s="53"/>
      <c r="Q4800" s="65"/>
      <c r="R4800" s="65"/>
      <c r="S4800" s="65"/>
      <c r="T4800" s="65"/>
      <c r="U4800" s="58"/>
      <c r="V4800" s="65"/>
      <c r="W4800" s="65"/>
      <c r="X4800" s="65"/>
      <c r="Y4800" s="65"/>
      <c r="Z4800" s="51"/>
      <c r="AA4800" s="51"/>
      <c r="AB4800" s="102"/>
      <c r="AC4800" s="81" t="e">
        <f t="shared" si="226"/>
        <v>#DIV/0!</v>
      </c>
      <c r="AD4800" s="82">
        <f t="shared" si="227"/>
        <v>0</v>
      </c>
      <c r="AE4800" s="218"/>
      <c r="AH4800" t="str">
        <f t="shared" si="228"/>
        <v>0000</v>
      </c>
      <c r="AJ4800" s="72"/>
      <c r="AK4800" s="72"/>
      <c r="AL4800" s="72"/>
      <c r="AM4800" s="72"/>
    </row>
    <row r="4801" spans="1:39" x14ac:dyDescent="0.25">
      <c r="A4801" s="37" t="s">
        <v>62</v>
      </c>
      <c r="B4801" s="66"/>
      <c r="C4801" s="4"/>
      <c r="D4801" s="41"/>
      <c r="E4801" s="41"/>
      <c r="F4801" s="85"/>
      <c r="G4801" s="39"/>
      <c r="H4801" s="52"/>
      <c r="I4801" s="52"/>
      <c r="J4801" s="49"/>
      <c r="K4801" s="58"/>
      <c r="L4801" s="58"/>
      <c r="M4801" s="58"/>
      <c r="N4801" s="58"/>
      <c r="O4801" s="58"/>
      <c r="P4801" s="53"/>
      <c r="Q4801" s="65"/>
      <c r="R4801" s="65"/>
      <c r="S4801" s="65"/>
      <c r="T4801" s="65"/>
      <c r="U4801" s="58"/>
      <c r="V4801" s="65"/>
      <c r="W4801" s="65"/>
      <c r="X4801" s="65"/>
      <c r="Y4801" s="65"/>
      <c r="Z4801" s="51"/>
      <c r="AA4801" s="51"/>
      <c r="AB4801" s="102"/>
      <c r="AC4801" s="81" t="e">
        <f t="shared" ref="AC4801:AC4858" si="229">((IF(AD4801=0,0,100-AD4801))*7*(J4801/I4801))*2%</f>
        <v>#DIV/0!</v>
      </c>
      <c r="AD4801" s="82">
        <f t="shared" ref="AD4801:AD4858" si="230">IF((I4801/7)&gt;100,0,(I4801/7))</f>
        <v>0</v>
      </c>
      <c r="AE4801" s="218"/>
      <c r="AH4801" t="str">
        <f t="shared" si="228"/>
        <v>0000</v>
      </c>
      <c r="AJ4801" s="72"/>
      <c r="AK4801" s="72"/>
      <c r="AL4801" s="72"/>
      <c r="AM4801" s="72"/>
    </row>
    <row r="4802" spans="1:39" x14ac:dyDescent="0.25">
      <c r="A4802" s="37" t="s">
        <v>62</v>
      </c>
      <c r="B4802" s="66"/>
      <c r="C4802" s="4"/>
      <c r="D4802" s="41"/>
      <c r="E4802" s="41"/>
      <c r="F4802" s="85"/>
      <c r="G4802" s="39"/>
      <c r="H4802" s="52"/>
      <c r="I4802" s="52"/>
      <c r="J4802" s="49"/>
      <c r="K4802" s="58"/>
      <c r="L4802" s="58"/>
      <c r="M4802" s="58"/>
      <c r="N4802" s="58"/>
      <c r="O4802" s="58"/>
      <c r="P4802" s="53"/>
      <c r="Q4802" s="65"/>
      <c r="R4802" s="65"/>
      <c r="S4802" s="65"/>
      <c r="T4802" s="65"/>
      <c r="U4802" s="58"/>
      <c r="V4802" s="65"/>
      <c r="W4802" s="65"/>
      <c r="X4802" s="65"/>
      <c r="Y4802" s="65"/>
      <c r="Z4802" s="51"/>
      <c r="AA4802" s="51"/>
      <c r="AB4802" s="102"/>
      <c r="AC4802" s="81" t="e">
        <f t="shared" si="229"/>
        <v>#DIV/0!</v>
      </c>
      <c r="AD4802" s="82">
        <f t="shared" si="230"/>
        <v>0</v>
      </c>
      <c r="AE4802" s="218"/>
      <c r="AH4802" t="str">
        <f t="shared" si="228"/>
        <v>0000</v>
      </c>
      <c r="AJ4802" s="72"/>
      <c r="AK4802" s="72"/>
      <c r="AL4802" s="72"/>
      <c r="AM4802" s="72"/>
    </row>
    <row r="4803" spans="1:39" x14ac:dyDescent="0.25">
      <c r="A4803" s="37" t="s">
        <v>62</v>
      </c>
      <c r="B4803" s="66"/>
      <c r="C4803" s="4"/>
      <c r="D4803" s="41"/>
      <c r="E4803" s="41"/>
      <c r="F4803" s="85"/>
      <c r="G4803" s="39"/>
      <c r="H4803" s="52"/>
      <c r="I4803" s="52"/>
      <c r="J4803" s="49"/>
      <c r="K4803" s="58"/>
      <c r="L4803" s="58"/>
      <c r="M4803" s="58"/>
      <c r="N4803" s="58"/>
      <c r="O4803" s="58"/>
      <c r="P4803" s="53"/>
      <c r="Q4803" s="65"/>
      <c r="R4803" s="65"/>
      <c r="S4803" s="65"/>
      <c r="T4803" s="65"/>
      <c r="U4803" s="58"/>
      <c r="V4803" s="65"/>
      <c r="W4803" s="65"/>
      <c r="X4803" s="65"/>
      <c r="Y4803" s="65"/>
      <c r="Z4803" s="51"/>
      <c r="AA4803" s="51"/>
      <c r="AB4803" s="102"/>
      <c r="AC4803" s="81" t="e">
        <f t="shared" si="229"/>
        <v>#DIV/0!</v>
      </c>
      <c r="AD4803" s="82">
        <f t="shared" si="230"/>
        <v>0</v>
      </c>
      <c r="AE4803" s="218"/>
      <c r="AH4803" t="str">
        <f t="shared" si="228"/>
        <v>0000</v>
      </c>
      <c r="AJ4803" s="72"/>
      <c r="AK4803" s="72"/>
      <c r="AL4803" s="72"/>
      <c r="AM4803" s="72"/>
    </row>
    <row r="4804" spans="1:39" x14ac:dyDescent="0.25">
      <c r="A4804" s="37" t="s">
        <v>62</v>
      </c>
      <c r="B4804" s="66"/>
      <c r="C4804" s="4"/>
      <c r="D4804" s="41"/>
      <c r="E4804" s="41"/>
      <c r="F4804" s="85"/>
      <c r="G4804" s="39"/>
      <c r="H4804" s="52"/>
      <c r="I4804" s="52"/>
      <c r="J4804" s="49"/>
      <c r="K4804" s="58"/>
      <c r="L4804" s="58"/>
      <c r="M4804" s="58"/>
      <c r="N4804" s="58"/>
      <c r="O4804" s="58"/>
      <c r="P4804" s="53"/>
      <c r="Q4804" s="65"/>
      <c r="R4804" s="65"/>
      <c r="S4804" s="65"/>
      <c r="T4804" s="65"/>
      <c r="U4804" s="58"/>
      <c r="V4804" s="65"/>
      <c r="W4804" s="65"/>
      <c r="X4804" s="65"/>
      <c r="Y4804" s="65"/>
      <c r="Z4804" s="51"/>
      <c r="AA4804" s="51"/>
      <c r="AB4804" s="102"/>
      <c r="AC4804" s="81" t="e">
        <f t="shared" si="229"/>
        <v>#DIV/0!</v>
      </c>
      <c r="AD4804" s="82">
        <f t="shared" si="230"/>
        <v>0</v>
      </c>
      <c r="AE4804" s="218"/>
      <c r="AH4804" t="str">
        <f t="shared" si="228"/>
        <v>0000</v>
      </c>
      <c r="AJ4804" s="72"/>
      <c r="AK4804" s="72"/>
      <c r="AL4804" s="72"/>
      <c r="AM4804" s="72"/>
    </row>
    <row r="4805" spans="1:39" x14ac:dyDescent="0.25">
      <c r="A4805" s="37" t="s">
        <v>62</v>
      </c>
      <c r="B4805" s="66"/>
      <c r="C4805" s="4"/>
      <c r="D4805" s="41"/>
      <c r="E4805" s="41"/>
      <c r="F4805" s="85"/>
      <c r="G4805" s="39"/>
      <c r="H4805" s="52"/>
      <c r="I4805" s="52"/>
      <c r="J4805" s="49"/>
      <c r="K4805" s="58"/>
      <c r="L4805" s="58"/>
      <c r="M4805" s="58"/>
      <c r="N4805" s="58"/>
      <c r="O4805" s="58"/>
      <c r="P4805" s="53"/>
      <c r="Q4805" s="65"/>
      <c r="R4805" s="65"/>
      <c r="S4805" s="65"/>
      <c r="T4805" s="65"/>
      <c r="U4805" s="58"/>
      <c r="V4805" s="65"/>
      <c r="W4805" s="65"/>
      <c r="X4805" s="65"/>
      <c r="Y4805" s="65"/>
      <c r="Z4805" s="51"/>
      <c r="AA4805" s="51"/>
      <c r="AB4805" s="102"/>
      <c r="AC4805" s="81" t="e">
        <f t="shared" si="229"/>
        <v>#DIV/0!</v>
      </c>
      <c r="AD4805" s="82">
        <f t="shared" si="230"/>
        <v>0</v>
      </c>
      <c r="AE4805" s="218"/>
      <c r="AH4805" t="str">
        <f t="shared" si="228"/>
        <v>0000</v>
      </c>
      <c r="AJ4805" s="72"/>
      <c r="AK4805" s="72"/>
      <c r="AL4805" s="72"/>
      <c r="AM4805" s="72"/>
    </row>
    <row r="4806" spans="1:39" x14ac:dyDescent="0.25">
      <c r="A4806" s="37" t="s">
        <v>62</v>
      </c>
      <c r="B4806" s="66"/>
      <c r="C4806" s="4"/>
      <c r="D4806" s="41"/>
      <c r="E4806" s="41"/>
      <c r="F4806" s="85"/>
      <c r="G4806" s="39"/>
      <c r="H4806" s="52"/>
      <c r="I4806" s="52"/>
      <c r="J4806" s="49"/>
      <c r="K4806" s="58"/>
      <c r="L4806" s="58"/>
      <c r="M4806" s="58"/>
      <c r="N4806" s="58"/>
      <c r="O4806" s="58"/>
      <c r="P4806" s="53"/>
      <c r="Q4806" s="65"/>
      <c r="R4806" s="65"/>
      <c r="S4806" s="65"/>
      <c r="T4806" s="65"/>
      <c r="U4806" s="58"/>
      <c r="V4806" s="65"/>
      <c r="W4806" s="65"/>
      <c r="X4806" s="65"/>
      <c r="Y4806" s="65"/>
      <c r="Z4806" s="51"/>
      <c r="AA4806" s="51"/>
      <c r="AB4806" s="102"/>
      <c r="AC4806" s="81" t="e">
        <f t="shared" si="229"/>
        <v>#DIV/0!</v>
      </c>
      <c r="AD4806" s="82">
        <f t="shared" si="230"/>
        <v>0</v>
      </c>
      <c r="AE4806" s="218"/>
      <c r="AH4806" t="str">
        <f t="shared" si="228"/>
        <v>0000</v>
      </c>
      <c r="AJ4806" s="72"/>
      <c r="AK4806" s="72"/>
      <c r="AL4806" s="72"/>
      <c r="AM4806" s="72"/>
    </row>
    <row r="4807" spans="1:39" x14ac:dyDescent="0.25">
      <c r="A4807" s="37" t="s">
        <v>62</v>
      </c>
      <c r="B4807" s="66"/>
      <c r="C4807" s="4"/>
      <c r="D4807" s="41"/>
      <c r="E4807" s="41"/>
      <c r="F4807" s="85"/>
      <c r="G4807" s="39"/>
      <c r="H4807" s="52"/>
      <c r="I4807" s="52"/>
      <c r="J4807" s="49"/>
      <c r="K4807" s="58"/>
      <c r="L4807" s="58"/>
      <c r="M4807" s="58"/>
      <c r="N4807" s="58"/>
      <c r="O4807" s="58"/>
      <c r="P4807" s="53"/>
      <c r="Q4807" s="65"/>
      <c r="R4807" s="65"/>
      <c r="S4807" s="65"/>
      <c r="T4807" s="65"/>
      <c r="U4807" s="58"/>
      <c r="V4807" s="65"/>
      <c r="W4807" s="65"/>
      <c r="X4807" s="65"/>
      <c r="Y4807" s="65"/>
      <c r="Z4807" s="51"/>
      <c r="AA4807" s="51"/>
      <c r="AB4807" s="102"/>
      <c r="AC4807" s="81" t="e">
        <f t="shared" si="229"/>
        <v>#DIV/0!</v>
      </c>
      <c r="AD4807" s="82">
        <f t="shared" si="230"/>
        <v>0</v>
      </c>
      <c r="AE4807" s="218"/>
      <c r="AH4807" t="str">
        <f t="shared" si="228"/>
        <v>0000</v>
      </c>
      <c r="AJ4807" s="72"/>
      <c r="AK4807" s="72"/>
      <c r="AL4807" s="72"/>
      <c r="AM4807" s="72"/>
    </row>
    <row r="4808" spans="1:39" x14ac:dyDescent="0.25">
      <c r="A4808" s="37" t="s">
        <v>62</v>
      </c>
      <c r="B4808" s="66"/>
      <c r="C4808" s="4"/>
      <c r="D4808" s="41"/>
      <c r="E4808" s="41"/>
      <c r="F4808" s="85"/>
      <c r="G4808" s="39"/>
      <c r="H4808" s="52"/>
      <c r="I4808" s="52"/>
      <c r="J4808" s="49"/>
      <c r="K4808" s="58"/>
      <c r="L4808" s="58"/>
      <c r="M4808" s="58"/>
      <c r="N4808" s="58"/>
      <c r="O4808" s="58"/>
      <c r="P4808" s="53"/>
      <c r="Q4808" s="65"/>
      <c r="R4808" s="65"/>
      <c r="S4808" s="65"/>
      <c r="T4808" s="65"/>
      <c r="U4808" s="58"/>
      <c r="V4808" s="65"/>
      <c r="W4808" s="65"/>
      <c r="X4808" s="65"/>
      <c r="Y4808" s="65"/>
      <c r="Z4808" s="51"/>
      <c r="AA4808" s="51"/>
      <c r="AB4808" s="102"/>
      <c r="AC4808" s="81" t="e">
        <f t="shared" si="229"/>
        <v>#DIV/0!</v>
      </c>
      <c r="AD4808" s="82">
        <f t="shared" si="230"/>
        <v>0</v>
      </c>
      <c r="AE4808" s="218"/>
      <c r="AH4808" t="str">
        <f t="shared" si="228"/>
        <v>0000</v>
      </c>
      <c r="AJ4808" s="72"/>
      <c r="AK4808" s="72"/>
      <c r="AL4808" s="72"/>
      <c r="AM4808" s="72"/>
    </row>
    <row r="4809" spans="1:39" x14ac:dyDescent="0.25">
      <c r="A4809" s="37" t="s">
        <v>62</v>
      </c>
      <c r="B4809" s="66"/>
      <c r="C4809" s="4"/>
      <c r="D4809" s="41"/>
      <c r="E4809" s="41"/>
      <c r="F4809" s="85"/>
      <c r="G4809" s="39"/>
      <c r="H4809" s="52"/>
      <c r="I4809" s="52"/>
      <c r="J4809" s="49"/>
      <c r="K4809" s="58"/>
      <c r="L4809" s="58"/>
      <c r="M4809" s="58"/>
      <c r="N4809" s="58"/>
      <c r="O4809" s="58"/>
      <c r="P4809" s="53"/>
      <c r="Q4809" s="65"/>
      <c r="R4809" s="65"/>
      <c r="S4809" s="65"/>
      <c r="T4809" s="65"/>
      <c r="U4809" s="58"/>
      <c r="V4809" s="65"/>
      <c r="W4809" s="65"/>
      <c r="X4809" s="65"/>
      <c r="Y4809" s="65"/>
      <c r="Z4809" s="51"/>
      <c r="AA4809" s="51"/>
      <c r="AB4809" s="102"/>
      <c r="AC4809" s="81" t="e">
        <f t="shared" si="229"/>
        <v>#DIV/0!</v>
      </c>
      <c r="AD4809" s="82">
        <f t="shared" si="230"/>
        <v>0</v>
      </c>
      <c r="AE4809" s="218"/>
      <c r="AH4809" t="str">
        <f t="shared" si="228"/>
        <v>0000</v>
      </c>
      <c r="AJ4809" s="72"/>
      <c r="AK4809" s="72"/>
      <c r="AL4809" s="72"/>
      <c r="AM4809" s="72"/>
    </row>
    <row r="4810" spans="1:39" x14ac:dyDescent="0.25">
      <c r="A4810" s="37" t="s">
        <v>62</v>
      </c>
      <c r="B4810" s="66"/>
      <c r="C4810" s="4"/>
      <c r="D4810" s="41"/>
      <c r="E4810" s="41"/>
      <c r="F4810" s="85"/>
      <c r="G4810" s="39"/>
      <c r="H4810" s="52"/>
      <c r="I4810" s="52"/>
      <c r="J4810" s="49"/>
      <c r="K4810" s="58"/>
      <c r="L4810" s="58"/>
      <c r="M4810" s="58"/>
      <c r="N4810" s="58"/>
      <c r="O4810" s="58"/>
      <c r="P4810" s="53"/>
      <c r="Q4810" s="65"/>
      <c r="R4810" s="65"/>
      <c r="S4810" s="65"/>
      <c r="T4810" s="65"/>
      <c r="U4810" s="58"/>
      <c r="V4810" s="65"/>
      <c r="W4810" s="65"/>
      <c r="X4810" s="65"/>
      <c r="Y4810" s="65"/>
      <c r="Z4810" s="51"/>
      <c r="AA4810" s="51"/>
      <c r="AB4810" s="102"/>
      <c r="AC4810" s="81" t="e">
        <f t="shared" si="229"/>
        <v>#DIV/0!</v>
      </c>
      <c r="AD4810" s="82">
        <f t="shared" si="230"/>
        <v>0</v>
      </c>
      <c r="AE4810" s="218"/>
      <c r="AH4810" t="str">
        <f t="shared" si="228"/>
        <v>0000</v>
      </c>
      <c r="AJ4810" s="72"/>
      <c r="AK4810" s="72"/>
      <c r="AL4810" s="72"/>
      <c r="AM4810" s="72"/>
    </row>
    <row r="4811" spans="1:39" x14ac:dyDescent="0.25">
      <c r="A4811" s="37" t="s">
        <v>62</v>
      </c>
      <c r="B4811" s="66"/>
      <c r="C4811" s="4"/>
      <c r="D4811" s="41"/>
      <c r="E4811" s="41"/>
      <c r="F4811" s="85"/>
      <c r="G4811" s="39"/>
      <c r="H4811" s="52"/>
      <c r="I4811" s="52"/>
      <c r="J4811" s="49"/>
      <c r="K4811" s="58"/>
      <c r="L4811" s="58"/>
      <c r="M4811" s="58"/>
      <c r="N4811" s="58"/>
      <c r="O4811" s="58"/>
      <c r="P4811" s="53"/>
      <c r="Q4811" s="65"/>
      <c r="R4811" s="65"/>
      <c r="S4811" s="65"/>
      <c r="T4811" s="65"/>
      <c r="U4811" s="58"/>
      <c r="V4811" s="65"/>
      <c r="W4811" s="65"/>
      <c r="X4811" s="65"/>
      <c r="Y4811" s="65"/>
      <c r="Z4811" s="51"/>
      <c r="AA4811" s="51"/>
      <c r="AB4811" s="102"/>
      <c r="AC4811" s="81" t="e">
        <f t="shared" si="229"/>
        <v>#DIV/0!</v>
      </c>
      <c r="AD4811" s="82">
        <f t="shared" si="230"/>
        <v>0</v>
      </c>
      <c r="AE4811" s="218"/>
      <c r="AH4811" t="str">
        <f t="shared" si="228"/>
        <v>0000</v>
      </c>
      <c r="AJ4811" s="72"/>
      <c r="AK4811" s="72"/>
      <c r="AL4811" s="72"/>
      <c r="AM4811" s="72"/>
    </row>
    <row r="4812" spans="1:39" x14ac:dyDescent="0.25">
      <c r="A4812" s="37" t="s">
        <v>62</v>
      </c>
      <c r="B4812" s="66"/>
      <c r="C4812" s="4"/>
      <c r="D4812" s="41"/>
      <c r="E4812" s="41"/>
      <c r="F4812" s="85"/>
      <c r="G4812" s="39"/>
      <c r="H4812" s="52"/>
      <c r="I4812" s="52"/>
      <c r="J4812" s="49"/>
      <c r="K4812" s="58"/>
      <c r="L4812" s="58"/>
      <c r="M4812" s="58"/>
      <c r="N4812" s="58"/>
      <c r="O4812" s="58"/>
      <c r="P4812" s="53"/>
      <c r="Q4812" s="65"/>
      <c r="R4812" s="65"/>
      <c r="S4812" s="65"/>
      <c r="T4812" s="65"/>
      <c r="U4812" s="58"/>
      <c r="V4812" s="65"/>
      <c r="W4812" s="65"/>
      <c r="X4812" s="65"/>
      <c r="Y4812" s="65"/>
      <c r="Z4812" s="51"/>
      <c r="AA4812" s="51"/>
      <c r="AB4812" s="102"/>
      <c r="AC4812" s="81" t="e">
        <f t="shared" si="229"/>
        <v>#DIV/0!</v>
      </c>
      <c r="AD4812" s="82">
        <f t="shared" si="230"/>
        <v>0</v>
      </c>
      <c r="AE4812" s="218"/>
      <c r="AH4812" t="str">
        <f t="shared" si="228"/>
        <v>0000</v>
      </c>
      <c r="AJ4812" s="72"/>
      <c r="AK4812" s="72"/>
      <c r="AL4812" s="72"/>
      <c r="AM4812" s="72"/>
    </row>
    <row r="4813" spans="1:39" x14ac:dyDescent="0.25">
      <c r="A4813" s="37" t="s">
        <v>62</v>
      </c>
      <c r="B4813" s="66"/>
      <c r="C4813" s="4"/>
      <c r="D4813" s="41"/>
      <c r="E4813" s="41"/>
      <c r="F4813" s="85"/>
      <c r="G4813" s="39"/>
      <c r="H4813" s="52"/>
      <c r="I4813" s="52"/>
      <c r="J4813" s="49"/>
      <c r="K4813" s="58"/>
      <c r="L4813" s="58"/>
      <c r="M4813" s="58"/>
      <c r="N4813" s="58"/>
      <c r="O4813" s="58"/>
      <c r="P4813" s="53"/>
      <c r="Q4813" s="65"/>
      <c r="R4813" s="65"/>
      <c r="S4813" s="65"/>
      <c r="T4813" s="65"/>
      <c r="U4813" s="58"/>
      <c r="V4813" s="65"/>
      <c r="W4813" s="65"/>
      <c r="X4813" s="65"/>
      <c r="Y4813" s="65"/>
      <c r="Z4813" s="51"/>
      <c r="AA4813" s="51"/>
      <c r="AB4813" s="102"/>
      <c r="AC4813" s="81" t="e">
        <f t="shared" si="229"/>
        <v>#DIV/0!</v>
      </c>
      <c r="AD4813" s="82">
        <f t="shared" si="230"/>
        <v>0</v>
      </c>
      <c r="AE4813" s="218"/>
      <c r="AH4813" t="str">
        <f t="shared" si="228"/>
        <v>0000</v>
      </c>
      <c r="AJ4813" s="72"/>
      <c r="AK4813" s="72"/>
      <c r="AL4813" s="72"/>
      <c r="AM4813" s="72"/>
    </row>
    <row r="4814" spans="1:39" x14ac:dyDescent="0.25">
      <c r="A4814" s="37" t="s">
        <v>62</v>
      </c>
      <c r="B4814" s="66"/>
      <c r="C4814" s="4"/>
      <c r="D4814" s="41"/>
      <c r="E4814" s="41"/>
      <c r="F4814" s="85"/>
      <c r="G4814" s="39"/>
      <c r="H4814" s="52"/>
      <c r="I4814" s="52"/>
      <c r="J4814" s="49"/>
      <c r="K4814" s="58"/>
      <c r="L4814" s="58"/>
      <c r="M4814" s="58"/>
      <c r="N4814" s="58"/>
      <c r="O4814" s="58"/>
      <c r="P4814" s="53"/>
      <c r="Q4814" s="65"/>
      <c r="R4814" s="65"/>
      <c r="S4814" s="65"/>
      <c r="T4814" s="65"/>
      <c r="U4814" s="58"/>
      <c r="V4814" s="65"/>
      <c r="W4814" s="65"/>
      <c r="X4814" s="65"/>
      <c r="Y4814" s="65"/>
      <c r="Z4814" s="51"/>
      <c r="AA4814" s="51"/>
      <c r="AB4814" s="102"/>
      <c r="AC4814" s="81" t="e">
        <f t="shared" si="229"/>
        <v>#DIV/0!</v>
      </c>
      <c r="AD4814" s="82">
        <f t="shared" si="230"/>
        <v>0</v>
      </c>
      <c r="AE4814" s="218"/>
      <c r="AH4814" t="str">
        <f t="shared" si="228"/>
        <v>0000</v>
      </c>
      <c r="AJ4814" s="72"/>
      <c r="AK4814" s="72"/>
      <c r="AL4814" s="72"/>
      <c r="AM4814" s="72"/>
    </row>
    <row r="4815" spans="1:39" x14ac:dyDescent="0.25">
      <c r="A4815" s="37" t="s">
        <v>62</v>
      </c>
      <c r="B4815" s="66"/>
      <c r="C4815" s="4"/>
      <c r="D4815" s="41"/>
      <c r="E4815" s="41"/>
      <c r="F4815" s="85"/>
      <c r="G4815" s="39"/>
      <c r="H4815" s="52"/>
      <c r="I4815" s="52"/>
      <c r="J4815" s="49"/>
      <c r="K4815" s="58"/>
      <c r="L4815" s="58"/>
      <c r="M4815" s="58"/>
      <c r="N4815" s="58"/>
      <c r="O4815" s="58"/>
      <c r="P4815" s="53"/>
      <c r="Q4815" s="65"/>
      <c r="R4815" s="65"/>
      <c r="S4815" s="65"/>
      <c r="T4815" s="65"/>
      <c r="U4815" s="58"/>
      <c r="V4815" s="65"/>
      <c r="W4815" s="65"/>
      <c r="X4815" s="65"/>
      <c r="Y4815" s="65"/>
      <c r="Z4815" s="51"/>
      <c r="AA4815" s="51"/>
      <c r="AB4815" s="102"/>
      <c r="AC4815" s="81" t="e">
        <f t="shared" si="229"/>
        <v>#DIV/0!</v>
      </c>
      <c r="AD4815" s="82">
        <f t="shared" si="230"/>
        <v>0</v>
      </c>
      <c r="AE4815" s="218"/>
      <c r="AH4815" t="str">
        <f t="shared" si="228"/>
        <v>0000</v>
      </c>
      <c r="AJ4815" s="72"/>
      <c r="AK4815" s="72"/>
      <c r="AL4815" s="72"/>
      <c r="AM4815" s="72"/>
    </row>
    <row r="4816" spans="1:39" x14ac:dyDescent="0.25">
      <c r="A4816" s="37" t="s">
        <v>62</v>
      </c>
      <c r="B4816" s="66"/>
      <c r="C4816" s="4"/>
      <c r="D4816" s="41"/>
      <c r="E4816" s="41"/>
      <c r="F4816" s="85"/>
      <c r="G4816" s="39"/>
      <c r="H4816" s="52"/>
      <c r="I4816" s="52"/>
      <c r="J4816" s="49"/>
      <c r="K4816" s="58"/>
      <c r="L4816" s="58"/>
      <c r="M4816" s="58"/>
      <c r="N4816" s="58"/>
      <c r="O4816" s="58"/>
      <c r="P4816" s="53"/>
      <c r="Q4816" s="65"/>
      <c r="R4816" s="65"/>
      <c r="S4816" s="65"/>
      <c r="T4816" s="65"/>
      <c r="U4816" s="58"/>
      <c r="V4816" s="65"/>
      <c r="W4816" s="65"/>
      <c r="X4816" s="65"/>
      <c r="Y4816" s="65"/>
      <c r="Z4816" s="51"/>
      <c r="AA4816" s="51"/>
      <c r="AB4816" s="102"/>
      <c r="AC4816" s="81" t="e">
        <f t="shared" si="229"/>
        <v>#DIV/0!</v>
      </c>
      <c r="AD4816" s="82">
        <f t="shared" si="230"/>
        <v>0</v>
      </c>
      <c r="AE4816" s="218"/>
      <c r="AH4816" t="str">
        <f t="shared" si="228"/>
        <v>0000</v>
      </c>
      <c r="AJ4816" s="72"/>
      <c r="AK4816" s="72"/>
      <c r="AL4816" s="72"/>
      <c r="AM4816" s="72"/>
    </row>
    <row r="4817" spans="1:39" x14ac:dyDescent="0.25">
      <c r="A4817" s="37" t="s">
        <v>62</v>
      </c>
      <c r="B4817" s="66"/>
      <c r="C4817" s="4"/>
      <c r="D4817" s="41"/>
      <c r="E4817" s="41"/>
      <c r="F4817" s="85"/>
      <c r="G4817" s="39"/>
      <c r="H4817" s="52"/>
      <c r="I4817" s="52"/>
      <c r="J4817" s="49"/>
      <c r="K4817" s="58"/>
      <c r="L4817" s="58"/>
      <c r="M4817" s="58"/>
      <c r="N4817" s="58"/>
      <c r="O4817" s="58"/>
      <c r="P4817" s="53"/>
      <c r="Q4817" s="65"/>
      <c r="R4817" s="65"/>
      <c r="S4817" s="65"/>
      <c r="T4817" s="65"/>
      <c r="U4817" s="58"/>
      <c r="V4817" s="65"/>
      <c r="W4817" s="65"/>
      <c r="X4817" s="65"/>
      <c r="Y4817" s="65"/>
      <c r="Z4817" s="51"/>
      <c r="AA4817" s="51"/>
      <c r="AB4817" s="102"/>
      <c r="AC4817" s="81" t="e">
        <f t="shared" si="229"/>
        <v>#DIV/0!</v>
      </c>
      <c r="AD4817" s="82">
        <f t="shared" si="230"/>
        <v>0</v>
      </c>
      <c r="AE4817" s="218"/>
      <c r="AH4817" t="str">
        <f t="shared" si="228"/>
        <v>0000</v>
      </c>
      <c r="AJ4817" s="72"/>
      <c r="AK4817" s="72"/>
      <c r="AL4817" s="72"/>
      <c r="AM4817" s="72"/>
    </row>
    <row r="4818" spans="1:39" x14ac:dyDescent="0.25">
      <c r="A4818" s="37" t="s">
        <v>62</v>
      </c>
      <c r="B4818" s="66"/>
      <c r="C4818" s="4"/>
      <c r="D4818" s="41"/>
      <c r="E4818" s="41"/>
      <c r="F4818" s="85"/>
      <c r="G4818" s="39"/>
      <c r="H4818" s="52"/>
      <c r="I4818" s="52"/>
      <c r="J4818" s="49"/>
      <c r="K4818" s="58"/>
      <c r="L4818" s="58"/>
      <c r="M4818" s="58"/>
      <c r="N4818" s="58"/>
      <c r="O4818" s="58"/>
      <c r="P4818" s="53"/>
      <c r="Q4818" s="65"/>
      <c r="R4818" s="65"/>
      <c r="S4818" s="65"/>
      <c r="T4818" s="65"/>
      <c r="U4818" s="58"/>
      <c r="V4818" s="65"/>
      <c r="W4818" s="65"/>
      <c r="X4818" s="65"/>
      <c r="Y4818" s="65"/>
      <c r="Z4818" s="51"/>
      <c r="AA4818" s="51"/>
      <c r="AB4818" s="102"/>
      <c r="AC4818" s="81" t="e">
        <f t="shared" si="229"/>
        <v>#DIV/0!</v>
      </c>
      <c r="AD4818" s="82">
        <f t="shared" si="230"/>
        <v>0</v>
      </c>
      <c r="AE4818" s="218"/>
      <c r="AH4818" t="str">
        <f t="shared" si="228"/>
        <v>0000</v>
      </c>
      <c r="AJ4818" s="72"/>
      <c r="AK4818" s="72"/>
      <c r="AL4818" s="72"/>
      <c r="AM4818" s="72"/>
    </row>
    <row r="4819" spans="1:39" x14ac:dyDescent="0.25">
      <c r="A4819" s="37" t="s">
        <v>62</v>
      </c>
      <c r="B4819" s="66"/>
      <c r="C4819" s="4"/>
      <c r="D4819" s="41"/>
      <c r="E4819" s="41"/>
      <c r="F4819" s="85"/>
      <c r="G4819" s="39"/>
      <c r="H4819" s="52"/>
      <c r="I4819" s="52"/>
      <c r="J4819" s="49"/>
      <c r="K4819" s="58"/>
      <c r="L4819" s="58"/>
      <c r="M4819" s="58"/>
      <c r="N4819" s="58"/>
      <c r="O4819" s="58"/>
      <c r="P4819" s="53"/>
      <c r="Q4819" s="65"/>
      <c r="R4819" s="65"/>
      <c r="S4819" s="65"/>
      <c r="T4819" s="65"/>
      <c r="U4819" s="58"/>
      <c r="V4819" s="65"/>
      <c r="W4819" s="65"/>
      <c r="X4819" s="65"/>
      <c r="Y4819" s="65"/>
      <c r="Z4819" s="51"/>
      <c r="AA4819" s="51"/>
      <c r="AB4819" s="102"/>
      <c r="AC4819" s="81" t="e">
        <f t="shared" si="229"/>
        <v>#DIV/0!</v>
      </c>
      <c r="AD4819" s="82">
        <f t="shared" si="230"/>
        <v>0</v>
      </c>
      <c r="AE4819" s="218"/>
      <c r="AH4819" t="str">
        <f t="shared" si="228"/>
        <v>0000</v>
      </c>
      <c r="AJ4819" s="72"/>
      <c r="AK4819" s="72"/>
      <c r="AL4819" s="72"/>
      <c r="AM4819" s="72"/>
    </row>
    <row r="4820" spans="1:39" x14ac:dyDescent="0.25">
      <c r="A4820" s="37" t="s">
        <v>62</v>
      </c>
      <c r="B4820" s="66"/>
      <c r="C4820" s="4"/>
      <c r="D4820" s="41"/>
      <c r="E4820" s="41"/>
      <c r="F4820" s="85"/>
      <c r="G4820" s="39"/>
      <c r="H4820" s="52"/>
      <c r="I4820" s="52"/>
      <c r="J4820" s="49"/>
      <c r="K4820" s="58"/>
      <c r="L4820" s="58"/>
      <c r="M4820" s="58"/>
      <c r="N4820" s="58"/>
      <c r="O4820" s="58"/>
      <c r="P4820" s="53"/>
      <c r="Q4820" s="65"/>
      <c r="R4820" s="65"/>
      <c r="S4820" s="65"/>
      <c r="T4820" s="65"/>
      <c r="U4820" s="58"/>
      <c r="V4820" s="65"/>
      <c r="W4820" s="65"/>
      <c r="X4820" s="65"/>
      <c r="Y4820" s="65"/>
      <c r="Z4820" s="51"/>
      <c r="AA4820" s="51"/>
      <c r="AB4820" s="102"/>
      <c r="AC4820" s="81" t="e">
        <f t="shared" si="229"/>
        <v>#DIV/0!</v>
      </c>
      <c r="AD4820" s="82">
        <f t="shared" si="230"/>
        <v>0</v>
      </c>
      <c r="AE4820" s="218"/>
      <c r="AH4820" t="str">
        <f t="shared" si="228"/>
        <v>0000</v>
      </c>
      <c r="AJ4820" s="72"/>
      <c r="AK4820" s="72"/>
      <c r="AL4820" s="72"/>
      <c r="AM4820" s="72"/>
    </row>
    <row r="4821" spans="1:39" x14ac:dyDescent="0.25">
      <c r="A4821" s="37" t="s">
        <v>62</v>
      </c>
      <c r="B4821" s="66"/>
      <c r="C4821" s="4"/>
      <c r="D4821" s="41"/>
      <c r="E4821" s="41"/>
      <c r="F4821" s="85"/>
      <c r="G4821" s="39"/>
      <c r="H4821" s="52"/>
      <c r="I4821" s="52"/>
      <c r="J4821" s="49"/>
      <c r="K4821" s="58"/>
      <c r="L4821" s="58"/>
      <c r="M4821" s="58"/>
      <c r="N4821" s="58"/>
      <c r="O4821" s="58"/>
      <c r="P4821" s="53"/>
      <c r="Q4821" s="65"/>
      <c r="R4821" s="65"/>
      <c r="S4821" s="65"/>
      <c r="T4821" s="65"/>
      <c r="U4821" s="58"/>
      <c r="V4821" s="65"/>
      <c r="W4821" s="65"/>
      <c r="X4821" s="65"/>
      <c r="Y4821" s="65"/>
      <c r="Z4821" s="51"/>
      <c r="AA4821" s="51"/>
      <c r="AB4821" s="102"/>
      <c r="AC4821" s="81" t="e">
        <f t="shared" si="229"/>
        <v>#DIV/0!</v>
      </c>
      <c r="AD4821" s="82">
        <f t="shared" si="230"/>
        <v>0</v>
      </c>
      <c r="AE4821" s="218"/>
      <c r="AH4821" t="str">
        <f t="shared" si="228"/>
        <v>0000</v>
      </c>
      <c r="AJ4821" s="72"/>
      <c r="AK4821" s="72"/>
      <c r="AL4821" s="72"/>
      <c r="AM4821" s="72"/>
    </row>
    <row r="4822" spans="1:39" x14ac:dyDescent="0.25">
      <c r="A4822" s="37" t="s">
        <v>62</v>
      </c>
      <c r="B4822" s="66"/>
      <c r="C4822" s="4"/>
      <c r="D4822" s="41"/>
      <c r="E4822" s="41"/>
      <c r="F4822" s="85"/>
      <c r="G4822" s="39"/>
      <c r="H4822" s="52"/>
      <c r="I4822" s="52"/>
      <c r="J4822" s="49"/>
      <c r="K4822" s="58"/>
      <c r="L4822" s="58"/>
      <c r="M4822" s="58"/>
      <c r="N4822" s="58"/>
      <c r="O4822" s="58"/>
      <c r="P4822" s="53"/>
      <c r="Q4822" s="65"/>
      <c r="R4822" s="65"/>
      <c r="S4822" s="65"/>
      <c r="T4822" s="65"/>
      <c r="U4822" s="58"/>
      <c r="V4822" s="65"/>
      <c r="W4822" s="65"/>
      <c r="X4822" s="65"/>
      <c r="Y4822" s="65"/>
      <c r="Z4822" s="51"/>
      <c r="AA4822" s="51"/>
      <c r="AB4822" s="102"/>
      <c r="AC4822" s="81" t="e">
        <f t="shared" si="229"/>
        <v>#DIV/0!</v>
      </c>
      <c r="AD4822" s="82">
        <f t="shared" si="230"/>
        <v>0</v>
      </c>
      <c r="AE4822" s="218"/>
      <c r="AH4822" t="str">
        <f t="shared" si="228"/>
        <v>0000</v>
      </c>
      <c r="AJ4822" s="72"/>
      <c r="AK4822" s="72"/>
      <c r="AL4822" s="72"/>
      <c r="AM4822" s="72"/>
    </row>
    <row r="4823" spans="1:39" x14ac:dyDescent="0.25">
      <c r="A4823" s="37" t="s">
        <v>62</v>
      </c>
      <c r="B4823" s="66"/>
      <c r="C4823" s="4"/>
      <c r="D4823" s="41"/>
      <c r="E4823" s="41"/>
      <c r="F4823" s="85"/>
      <c r="G4823" s="39"/>
      <c r="H4823" s="52"/>
      <c r="I4823" s="52"/>
      <c r="J4823" s="49"/>
      <c r="K4823" s="58"/>
      <c r="L4823" s="58"/>
      <c r="M4823" s="58"/>
      <c r="N4823" s="58"/>
      <c r="O4823" s="58"/>
      <c r="P4823" s="53"/>
      <c r="Q4823" s="65"/>
      <c r="R4823" s="65"/>
      <c r="S4823" s="65"/>
      <c r="T4823" s="65"/>
      <c r="U4823" s="58"/>
      <c r="V4823" s="65"/>
      <c r="W4823" s="65"/>
      <c r="X4823" s="65"/>
      <c r="Y4823" s="65"/>
      <c r="Z4823" s="51"/>
      <c r="AA4823" s="51"/>
      <c r="AB4823" s="102"/>
      <c r="AC4823" s="81" t="e">
        <f t="shared" si="229"/>
        <v>#DIV/0!</v>
      </c>
      <c r="AD4823" s="82">
        <f t="shared" si="230"/>
        <v>0</v>
      </c>
      <c r="AE4823" s="218"/>
      <c r="AH4823" t="str">
        <f t="shared" si="228"/>
        <v>0000</v>
      </c>
      <c r="AJ4823" s="72"/>
      <c r="AK4823" s="72"/>
      <c r="AL4823" s="72"/>
      <c r="AM4823" s="72"/>
    </row>
    <row r="4824" spans="1:39" x14ac:dyDescent="0.25">
      <c r="A4824" s="37" t="s">
        <v>62</v>
      </c>
      <c r="B4824" s="66"/>
      <c r="C4824" s="4"/>
      <c r="D4824" s="41"/>
      <c r="E4824" s="41"/>
      <c r="F4824" s="85"/>
      <c r="G4824" s="39"/>
      <c r="H4824" s="52"/>
      <c r="I4824" s="52"/>
      <c r="J4824" s="49"/>
      <c r="K4824" s="58"/>
      <c r="L4824" s="58"/>
      <c r="M4824" s="58"/>
      <c r="N4824" s="58"/>
      <c r="O4824" s="58"/>
      <c r="P4824" s="53"/>
      <c r="Q4824" s="65"/>
      <c r="R4824" s="65"/>
      <c r="S4824" s="65"/>
      <c r="T4824" s="65"/>
      <c r="U4824" s="58"/>
      <c r="V4824" s="65"/>
      <c r="W4824" s="65"/>
      <c r="X4824" s="65"/>
      <c r="Y4824" s="65"/>
      <c r="Z4824" s="51"/>
      <c r="AA4824" s="51"/>
      <c r="AB4824" s="102"/>
      <c r="AC4824" s="81" t="e">
        <f t="shared" si="229"/>
        <v>#DIV/0!</v>
      </c>
      <c r="AD4824" s="82">
        <f t="shared" si="230"/>
        <v>0</v>
      </c>
      <c r="AE4824" s="218"/>
      <c r="AH4824" t="str">
        <f t="shared" si="228"/>
        <v>0000</v>
      </c>
      <c r="AJ4824" s="72"/>
      <c r="AK4824" s="72"/>
      <c r="AL4824" s="72"/>
      <c r="AM4824" s="72"/>
    </row>
    <row r="4825" spans="1:39" x14ac:dyDescent="0.25">
      <c r="A4825" s="37" t="s">
        <v>62</v>
      </c>
      <c r="B4825" s="66"/>
      <c r="C4825" s="4"/>
      <c r="D4825" s="41"/>
      <c r="E4825" s="41"/>
      <c r="F4825" s="85"/>
      <c r="G4825" s="39"/>
      <c r="H4825" s="52"/>
      <c r="I4825" s="52"/>
      <c r="J4825" s="49"/>
      <c r="K4825" s="58"/>
      <c r="L4825" s="58"/>
      <c r="M4825" s="58"/>
      <c r="N4825" s="58"/>
      <c r="O4825" s="58"/>
      <c r="P4825" s="53"/>
      <c r="Q4825" s="65"/>
      <c r="R4825" s="65"/>
      <c r="S4825" s="65"/>
      <c r="T4825" s="65"/>
      <c r="U4825" s="58"/>
      <c r="V4825" s="65"/>
      <c r="W4825" s="65"/>
      <c r="X4825" s="65"/>
      <c r="Y4825" s="65"/>
      <c r="Z4825" s="51"/>
      <c r="AA4825" s="51"/>
      <c r="AB4825" s="102"/>
      <c r="AC4825" s="81" t="e">
        <f t="shared" si="229"/>
        <v>#DIV/0!</v>
      </c>
      <c r="AD4825" s="82">
        <f t="shared" si="230"/>
        <v>0</v>
      </c>
      <c r="AE4825" s="218"/>
      <c r="AH4825" t="str">
        <f t="shared" si="228"/>
        <v>0000</v>
      </c>
      <c r="AJ4825" s="72"/>
      <c r="AK4825" s="72"/>
      <c r="AL4825" s="72"/>
      <c r="AM4825" s="72"/>
    </row>
    <row r="4826" spans="1:39" x14ac:dyDescent="0.25">
      <c r="A4826" s="37" t="s">
        <v>62</v>
      </c>
      <c r="B4826" s="66"/>
      <c r="C4826" s="4"/>
      <c r="D4826" s="41"/>
      <c r="E4826" s="41"/>
      <c r="F4826" s="85"/>
      <c r="G4826" s="39"/>
      <c r="H4826" s="52"/>
      <c r="I4826" s="52"/>
      <c r="J4826" s="49"/>
      <c r="K4826" s="58"/>
      <c r="L4826" s="58"/>
      <c r="M4826" s="58"/>
      <c r="N4826" s="58"/>
      <c r="O4826" s="58"/>
      <c r="P4826" s="53"/>
      <c r="Q4826" s="65"/>
      <c r="R4826" s="65"/>
      <c r="S4826" s="65"/>
      <c r="T4826" s="65"/>
      <c r="U4826" s="58"/>
      <c r="V4826" s="65"/>
      <c r="W4826" s="65"/>
      <c r="X4826" s="65"/>
      <c r="Y4826" s="65"/>
      <c r="Z4826" s="51"/>
      <c r="AA4826" s="51"/>
      <c r="AB4826" s="102"/>
      <c r="AC4826" s="81" t="e">
        <f t="shared" si="229"/>
        <v>#DIV/0!</v>
      </c>
      <c r="AD4826" s="82">
        <f t="shared" si="230"/>
        <v>0</v>
      </c>
      <c r="AE4826" s="218"/>
      <c r="AH4826" t="str">
        <f t="shared" si="228"/>
        <v>0000</v>
      </c>
      <c r="AJ4826" s="72"/>
      <c r="AK4826" s="72"/>
      <c r="AL4826" s="72"/>
      <c r="AM4826" s="72"/>
    </row>
    <row r="4827" spans="1:39" x14ac:dyDescent="0.25">
      <c r="A4827" s="37" t="s">
        <v>62</v>
      </c>
      <c r="B4827" s="66"/>
      <c r="C4827" s="4"/>
      <c r="D4827" s="41"/>
      <c r="E4827" s="41"/>
      <c r="F4827" s="85"/>
      <c r="G4827" s="39"/>
      <c r="H4827" s="52"/>
      <c r="I4827" s="52"/>
      <c r="J4827" s="49"/>
      <c r="K4827" s="58"/>
      <c r="L4827" s="58"/>
      <c r="M4827" s="58"/>
      <c r="N4827" s="58"/>
      <c r="O4827" s="58"/>
      <c r="P4827" s="53"/>
      <c r="Q4827" s="65"/>
      <c r="R4827" s="65"/>
      <c r="S4827" s="65"/>
      <c r="T4827" s="65"/>
      <c r="U4827" s="58"/>
      <c r="V4827" s="65"/>
      <c r="W4827" s="65"/>
      <c r="X4827" s="65"/>
      <c r="Y4827" s="65"/>
      <c r="Z4827" s="51"/>
      <c r="AA4827" s="51"/>
      <c r="AB4827" s="102"/>
      <c r="AC4827" s="81" t="e">
        <f t="shared" si="229"/>
        <v>#DIV/0!</v>
      </c>
      <c r="AD4827" s="82">
        <f t="shared" si="230"/>
        <v>0</v>
      </c>
      <c r="AE4827" s="218"/>
      <c r="AH4827" t="str">
        <f t="shared" si="228"/>
        <v>0000</v>
      </c>
      <c r="AJ4827" s="72"/>
      <c r="AK4827" s="72"/>
      <c r="AL4827" s="72"/>
      <c r="AM4827" s="72"/>
    </row>
    <row r="4828" spans="1:39" x14ac:dyDescent="0.25">
      <c r="A4828" s="37" t="s">
        <v>62</v>
      </c>
      <c r="B4828" s="66"/>
      <c r="C4828" s="4"/>
      <c r="D4828" s="41"/>
      <c r="E4828" s="41"/>
      <c r="F4828" s="85"/>
      <c r="G4828" s="39"/>
      <c r="H4828" s="52"/>
      <c r="I4828" s="52"/>
      <c r="J4828" s="49"/>
      <c r="K4828" s="58"/>
      <c r="L4828" s="58"/>
      <c r="M4828" s="58"/>
      <c r="N4828" s="58"/>
      <c r="O4828" s="58"/>
      <c r="P4828" s="53"/>
      <c r="Q4828" s="65"/>
      <c r="R4828" s="65"/>
      <c r="S4828" s="65"/>
      <c r="T4828" s="65"/>
      <c r="U4828" s="58"/>
      <c r="V4828" s="65"/>
      <c r="W4828" s="65"/>
      <c r="X4828" s="65"/>
      <c r="Y4828" s="65"/>
      <c r="Z4828" s="51"/>
      <c r="AA4828" s="51"/>
      <c r="AB4828" s="102"/>
      <c r="AC4828" s="81" t="e">
        <f t="shared" si="229"/>
        <v>#DIV/0!</v>
      </c>
      <c r="AD4828" s="82">
        <f t="shared" si="230"/>
        <v>0</v>
      </c>
      <c r="AE4828" s="218"/>
      <c r="AH4828" t="str">
        <f t="shared" si="228"/>
        <v>0000</v>
      </c>
      <c r="AJ4828" s="72"/>
      <c r="AK4828" s="72"/>
      <c r="AL4828" s="72"/>
      <c r="AM4828" s="72"/>
    </row>
    <row r="4829" spans="1:39" x14ac:dyDescent="0.25">
      <c r="A4829" s="37" t="s">
        <v>62</v>
      </c>
      <c r="B4829" s="66"/>
      <c r="C4829" s="4"/>
      <c r="D4829" s="41"/>
      <c r="E4829" s="41"/>
      <c r="F4829" s="85"/>
      <c r="G4829" s="39"/>
      <c r="H4829" s="52"/>
      <c r="I4829" s="52"/>
      <c r="J4829" s="49"/>
      <c r="K4829" s="58"/>
      <c r="L4829" s="58"/>
      <c r="M4829" s="58"/>
      <c r="N4829" s="58"/>
      <c r="O4829" s="58"/>
      <c r="P4829" s="53"/>
      <c r="Q4829" s="65"/>
      <c r="R4829" s="65"/>
      <c r="S4829" s="65"/>
      <c r="T4829" s="65"/>
      <c r="U4829" s="58"/>
      <c r="V4829" s="65"/>
      <c r="W4829" s="65"/>
      <c r="X4829" s="65"/>
      <c r="Y4829" s="65"/>
      <c r="Z4829" s="51"/>
      <c r="AA4829" s="51"/>
      <c r="AB4829" s="102"/>
      <c r="AC4829" s="81" t="e">
        <f t="shared" si="229"/>
        <v>#DIV/0!</v>
      </c>
      <c r="AD4829" s="82">
        <f t="shared" si="230"/>
        <v>0</v>
      </c>
      <c r="AE4829" s="218"/>
      <c r="AH4829" t="str">
        <f t="shared" si="228"/>
        <v>0000</v>
      </c>
      <c r="AJ4829" s="72"/>
      <c r="AK4829" s="72"/>
      <c r="AL4829" s="72"/>
      <c r="AM4829" s="72"/>
    </row>
    <row r="4830" spans="1:39" x14ac:dyDescent="0.25">
      <c r="A4830" s="37" t="s">
        <v>62</v>
      </c>
      <c r="B4830" s="66"/>
      <c r="C4830" s="4"/>
      <c r="D4830" s="41"/>
      <c r="E4830" s="41"/>
      <c r="F4830" s="85"/>
      <c r="G4830" s="39"/>
      <c r="H4830" s="52"/>
      <c r="I4830" s="52"/>
      <c r="J4830" s="49"/>
      <c r="K4830" s="58"/>
      <c r="L4830" s="58"/>
      <c r="M4830" s="58"/>
      <c r="N4830" s="58"/>
      <c r="O4830" s="58"/>
      <c r="P4830" s="53"/>
      <c r="Q4830" s="65"/>
      <c r="R4830" s="65"/>
      <c r="S4830" s="65"/>
      <c r="T4830" s="65"/>
      <c r="U4830" s="58"/>
      <c r="V4830" s="65"/>
      <c r="W4830" s="65"/>
      <c r="X4830" s="65"/>
      <c r="Y4830" s="65"/>
      <c r="Z4830" s="51"/>
      <c r="AA4830" s="51"/>
      <c r="AB4830" s="102"/>
      <c r="AC4830" s="81" t="e">
        <f t="shared" si="229"/>
        <v>#DIV/0!</v>
      </c>
      <c r="AD4830" s="82">
        <f t="shared" si="230"/>
        <v>0</v>
      </c>
      <c r="AE4830" s="218"/>
      <c r="AH4830" t="str">
        <f t="shared" si="228"/>
        <v>0000</v>
      </c>
      <c r="AJ4830" s="72"/>
      <c r="AK4830" s="72"/>
      <c r="AL4830" s="72"/>
      <c r="AM4830" s="72"/>
    </row>
    <row r="4831" spans="1:39" x14ac:dyDescent="0.25">
      <c r="A4831" s="37" t="s">
        <v>62</v>
      </c>
      <c r="B4831" s="66"/>
      <c r="C4831" s="4"/>
      <c r="D4831" s="41"/>
      <c r="E4831" s="41"/>
      <c r="F4831" s="85"/>
      <c r="G4831" s="39"/>
      <c r="H4831" s="52"/>
      <c r="I4831" s="52"/>
      <c r="J4831" s="49"/>
      <c r="K4831" s="58"/>
      <c r="L4831" s="58"/>
      <c r="M4831" s="58"/>
      <c r="N4831" s="58"/>
      <c r="O4831" s="58"/>
      <c r="P4831" s="53"/>
      <c r="Q4831" s="65"/>
      <c r="R4831" s="65"/>
      <c r="S4831" s="65"/>
      <c r="T4831" s="65"/>
      <c r="U4831" s="58"/>
      <c r="V4831" s="65"/>
      <c r="W4831" s="65"/>
      <c r="X4831" s="65"/>
      <c r="Y4831" s="65"/>
      <c r="Z4831" s="51"/>
      <c r="AA4831" s="51"/>
      <c r="AB4831" s="102"/>
      <c r="AC4831" s="81" t="e">
        <f t="shared" si="229"/>
        <v>#DIV/0!</v>
      </c>
      <c r="AD4831" s="82">
        <f t="shared" si="230"/>
        <v>0</v>
      </c>
      <c r="AE4831" s="218"/>
      <c r="AH4831" t="str">
        <f t="shared" si="228"/>
        <v>0000</v>
      </c>
      <c r="AJ4831" s="72"/>
      <c r="AK4831" s="72"/>
      <c r="AL4831" s="72"/>
      <c r="AM4831" s="72"/>
    </row>
    <row r="4832" spans="1:39" x14ac:dyDescent="0.25">
      <c r="A4832" s="37" t="s">
        <v>62</v>
      </c>
      <c r="B4832" s="66"/>
      <c r="C4832" s="4"/>
      <c r="D4832" s="41"/>
      <c r="E4832" s="41"/>
      <c r="F4832" s="85"/>
      <c r="G4832" s="39"/>
      <c r="H4832" s="52"/>
      <c r="I4832" s="52"/>
      <c r="J4832" s="49"/>
      <c r="K4832" s="58"/>
      <c r="L4832" s="58"/>
      <c r="M4832" s="58"/>
      <c r="N4832" s="58"/>
      <c r="O4832" s="58"/>
      <c r="P4832" s="53"/>
      <c r="Q4832" s="65"/>
      <c r="R4832" s="65"/>
      <c r="S4832" s="65"/>
      <c r="T4832" s="65"/>
      <c r="U4832" s="58"/>
      <c r="V4832" s="65"/>
      <c r="W4832" s="65"/>
      <c r="X4832" s="65"/>
      <c r="Y4832" s="65"/>
      <c r="Z4832" s="51"/>
      <c r="AA4832" s="51"/>
      <c r="AB4832" s="102"/>
      <c r="AC4832" s="81" t="e">
        <f t="shared" si="229"/>
        <v>#DIV/0!</v>
      </c>
      <c r="AD4832" s="82">
        <f t="shared" si="230"/>
        <v>0</v>
      </c>
      <c r="AE4832" s="218"/>
      <c r="AH4832" t="str">
        <f t="shared" si="228"/>
        <v>0000</v>
      </c>
      <c r="AJ4832" s="72"/>
      <c r="AK4832" s="72"/>
      <c r="AL4832" s="72"/>
      <c r="AM4832" s="72"/>
    </row>
    <row r="4833" spans="1:39" x14ac:dyDescent="0.25">
      <c r="A4833" s="37" t="s">
        <v>62</v>
      </c>
      <c r="B4833" s="66"/>
      <c r="C4833" s="4"/>
      <c r="D4833" s="41"/>
      <c r="E4833" s="41"/>
      <c r="F4833" s="85"/>
      <c r="G4833" s="39"/>
      <c r="H4833" s="52"/>
      <c r="I4833" s="52"/>
      <c r="J4833" s="49"/>
      <c r="K4833" s="58"/>
      <c r="L4833" s="58"/>
      <c r="M4833" s="58"/>
      <c r="N4833" s="58"/>
      <c r="O4833" s="58"/>
      <c r="P4833" s="53"/>
      <c r="Q4833" s="65"/>
      <c r="R4833" s="65"/>
      <c r="S4833" s="65"/>
      <c r="T4833" s="65"/>
      <c r="U4833" s="58"/>
      <c r="V4833" s="65"/>
      <c r="W4833" s="65"/>
      <c r="X4833" s="65"/>
      <c r="Y4833" s="65"/>
      <c r="Z4833" s="51"/>
      <c r="AA4833" s="51"/>
      <c r="AB4833" s="102"/>
      <c r="AC4833" s="81" t="e">
        <f t="shared" si="229"/>
        <v>#DIV/0!</v>
      </c>
      <c r="AD4833" s="82">
        <f t="shared" si="230"/>
        <v>0</v>
      </c>
      <c r="AE4833" s="218"/>
      <c r="AH4833" t="str">
        <f t="shared" si="228"/>
        <v>0000</v>
      </c>
      <c r="AJ4833" s="72"/>
      <c r="AK4833" s="72"/>
      <c r="AL4833" s="72"/>
      <c r="AM4833" s="72"/>
    </row>
    <row r="4834" spans="1:39" x14ac:dyDescent="0.25">
      <c r="A4834" s="37" t="s">
        <v>62</v>
      </c>
      <c r="B4834" s="66"/>
      <c r="C4834" s="4"/>
      <c r="D4834" s="41"/>
      <c r="E4834" s="41"/>
      <c r="F4834" s="85"/>
      <c r="G4834" s="39"/>
      <c r="H4834" s="52"/>
      <c r="I4834" s="52"/>
      <c r="J4834" s="49"/>
      <c r="K4834" s="58"/>
      <c r="L4834" s="58"/>
      <c r="M4834" s="58"/>
      <c r="N4834" s="58"/>
      <c r="O4834" s="58"/>
      <c r="P4834" s="53"/>
      <c r="Q4834" s="65"/>
      <c r="R4834" s="65"/>
      <c r="S4834" s="65"/>
      <c r="T4834" s="65"/>
      <c r="U4834" s="58"/>
      <c r="V4834" s="65"/>
      <c r="W4834" s="65"/>
      <c r="X4834" s="65"/>
      <c r="Y4834" s="65"/>
      <c r="Z4834" s="51"/>
      <c r="AA4834" s="51"/>
      <c r="AB4834" s="102"/>
      <c r="AC4834" s="81" t="e">
        <f t="shared" si="229"/>
        <v>#DIV/0!</v>
      </c>
      <c r="AD4834" s="82">
        <f t="shared" si="230"/>
        <v>0</v>
      </c>
      <c r="AE4834" s="218"/>
      <c r="AH4834" t="str">
        <f t="shared" si="228"/>
        <v>0000</v>
      </c>
      <c r="AJ4834" s="72"/>
      <c r="AK4834" s="72"/>
      <c r="AL4834" s="72"/>
      <c r="AM4834" s="72"/>
    </row>
    <row r="4835" spans="1:39" x14ac:dyDescent="0.25">
      <c r="A4835" s="37" t="s">
        <v>62</v>
      </c>
      <c r="B4835" s="66"/>
      <c r="C4835" s="4"/>
      <c r="D4835" s="41"/>
      <c r="E4835" s="41"/>
      <c r="F4835" s="85"/>
      <c r="G4835" s="39"/>
      <c r="H4835" s="52"/>
      <c r="I4835" s="52"/>
      <c r="J4835" s="49"/>
      <c r="K4835" s="58"/>
      <c r="L4835" s="58"/>
      <c r="M4835" s="58"/>
      <c r="N4835" s="58"/>
      <c r="O4835" s="58"/>
      <c r="P4835" s="53"/>
      <c r="Q4835" s="65"/>
      <c r="R4835" s="65"/>
      <c r="S4835" s="65"/>
      <c r="T4835" s="65"/>
      <c r="U4835" s="58"/>
      <c r="V4835" s="65"/>
      <c r="W4835" s="65"/>
      <c r="X4835" s="65"/>
      <c r="Y4835" s="65"/>
      <c r="Z4835" s="51"/>
      <c r="AA4835" s="51"/>
      <c r="AB4835" s="102"/>
      <c r="AC4835" s="81" t="e">
        <f t="shared" si="229"/>
        <v>#DIV/0!</v>
      </c>
      <c r="AD4835" s="82">
        <f t="shared" si="230"/>
        <v>0</v>
      </c>
      <c r="AE4835" s="218"/>
      <c r="AH4835" t="str">
        <f t="shared" si="228"/>
        <v>0000</v>
      </c>
      <c r="AJ4835" s="72"/>
      <c r="AK4835" s="72"/>
      <c r="AL4835" s="72"/>
      <c r="AM4835" s="72"/>
    </row>
    <row r="4836" spans="1:39" x14ac:dyDescent="0.25">
      <c r="A4836" s="37" t="s">
        <v>62</v>
      </c>
      <c r="B4836" s="66"/>
      <c r="C4836" s="4"/>
      <c r="D4836" s="41"/>
      <c r="E4836" s="41"/>
      <c r="F4836" s="85"/>
      <c r="G4836" s="39"/>
      <c r="H4836" s="52"/>
      <c r="I4836" s="52"/>
      <c r="J4836" s="49"/>
      <c r="K4836" s="58"/>
      <c r="L4836" s="58"/>
      <c r="M4836" s="58"/>
      <c r="N4836" s="58"/>
      <c r="O4836" s="58"/>
      <c r="P4836" s="53"/>
      <c r="Q4836" s="65"/>
      <c r="R4836" s="65"/>
      <c r="S4836" s="65"/>
      <c r="T4836" s="65"/>
      <c r="U4836" s="58"/>
      <c r="V4836" s="65"/>
      <c r="W4836" s="65"/>
      <c r="X4836" s="65"/>
      <c r="Y4836" s="65"/>
      <c r="Z4836" s="51"/>
      <c r="AA4836" s="51"/>
      <c r="AB4836" s="102"/>
      <c r="AC4836" s="81" t="e">
        <f t="shared" si="229"/>
        <v>#DIV/0!</v>
      </c>
      <c r="AD4836" s="82">
        <f t="shared" si="230"/>
        <v>0</v>
      </c>
      <c r="AE4836" s="218"/>
      <c r="AH4836" t="str">
        <f t="shared" si="228"/>
        <v>0000</v>
      </c>
      <c r="AJ4836" s="72"/>
      <c r="AK4836" s="72"/>
      <c r="AL4836" s="72"/>
      <c r="AM4836" s="72"/>
    </row>
    <row r="4837" spans="1:39" x14ac:dyDescent="0.25">
      <c r="A4837" s="37" t="s">
        <v>62</v>
      </c>
      <c r="B4837" s="66"/>
      <c r="C4837" s="4"/>
      <c r="D4837" s="41"/>
      <c r="E4837" s="41"/>
      <c r="F4837" s="85"/>
      <c r="G4837" s="39"/>
      <c r="H4837" s="52"/>
      <c r="I4837" s="52"/>
      <c r="J4837" s="49"/>
      <c r="K4837" s="58"/>
      <c r="L4837" s="58"/>
      <c r="M4837" s="58"/>
      <c r="N4837" s="58"/>
      <c r="O4837" s="58"/>
      <c r="P4837" s="53"/>
      <c r="Q4837" s="65"/>
      <c r="R4837" s="65"/>
      <c r="S4837" s="65"/>
      <c r="T4837" s="65"/>
      <c r="U4837" s="58"/>
      <c r="V4837" s="65"/>
      <c r="W4837" s="65"/>
      <c r="X4837" s="65"/>
      <c r="Y4837" s="65"/>
      <c r="Z4837" s="51"/>
      <c r="AA4837" s="51"/>
      <c r="AB4837" s="102"/>
      <c r="AC4837" s="81" t="e">
        <f t="shared" si="229"/>
        <v>#DIV/0!</v>
      </c>
      <c r="AD4837" s="82">
        <f t="shared" si="230"/>
        <v>0</v>
      </c>
      <c r="AE4837" s="218"/>
      <c r="AH4837" t="str">
        <f t="shared" si="228"/>
        <v>0000</v>
      </c>
      <c r="AJ4837" s="72"/>
      <c r="AK4837" s="72"/>
      <c r="AL4837" s="72"/>
      <c r="AM4837" s="72"/>
    </row>
    <row r="4838" spans="1:39" x14ac:dyDescent="0.25">
      <c r="A4838" s="37" t="s">
        <v>62</v>
      </c>
      <c r="B4838" s="66"/>
      <c r="C4838" s="4"/>
      <c r="D4838" s="41"/>
      <c r="E4838" s="41"/>
      <c r="F4838" s="85"/>
      <c r="G4838" s="39"/>
      <c r="H4838" s="52"/>
      <c r="I4838" s="52"/>
      <c r="J4838" s="49"/>
      <c r="K4838" s="58"/>
      <c r="L4838" s="58"/>
      <c r="M4838" s="58"/>
      <c r="N4838" s="58"/>
      <c r="O4838" s="58"/>
      <c r="P4838" s="53"/>
      <c r="Q4838" s="65"/>
      <c r="R4838" s="65"/>
      <c r="S4838" s="65"/>
      <c r="T4838" s="65"/>
      <c r="U4838" s="58"/>
      <c r="V4838" s="65"/>
      <c r="W4838" s="65"/>
      <c r="X4838" s="65"/>
      <c r="Y4838" s="65"/>
      <c r="Z4838" s="51"/>
      <c r="AA4838" s="51"/>
      <c r="AB4838" s="102"/>
      <c r="AC4838" s="81" t="e">
        <f t="shared" si="229"/>
        <v>#DIV/0!</v>
      </c>
      <c r="AD4838" s="82">
        <f t="shared" si="230"/>
        <v>0</v>
      </c>
      <c r="AE4838" s="218"/>
      <c r="AH4838" t="str">
        <f t="shared" si="228"/>
        <v>0000</v>
      </c>
      <c r="AJ4838" s="72"/>
      <c r="AK4838" s="72"/>
      <c r="AL4838" s="72"/>
      <c r="AM4838" s="72"/>
    </row>
    <row r="4839" spans="1:39" x14ac:dyDescent="0.25">
      <c r="A4839" s="37" t="s">
        <v>62</v>
      </c>
      <c r="B4839" s="66"/>
      <c r="C4839" s="4"/>
      <c r="D4839" s="41"/>
      <c r="E4839" s="41"/>
      <c r="F4839" s="85"/>
      <c r="G4839" s="39"/>
      <c r="H4839" s="52"/>
      <c r="I4839" s="52"/>
      <c r="J4839" s="49"/>
      <c r="K4839" s="58"/>
      <c r="L4839" s="58"/>
      <c r="M4839" s="58"/>
      <c r="N4839" s="58"/>
      <c r="O4839" s="58"/>
      <c r="P4839" s="53"/>
      <c r="Q4839" s="65"/>
      <c r="R4839" s="65"/>
      <c r="S4839" s="65"/>
      <c r="T4839" s="65"/>
      <c r="U4839" s="58"/>
      <c r="V4839" s="65"/>
      <c r="W4839" s="65"/>
      <c r="X4839" s="65"/>
      <c r="Y4839" s="65"/>
      <c r="Z4839" s="51"/>
      <c r="AA4839" s="51"/>
      <c r="AB4839" s="102"/>
      <c r="AC4839" s="81" t="e">
        <f t="shared" si="229"/>
        <v>#DIV/0!</v>
      </c>
      <c r="AD4839" s="82">
        <f t="shared" si="230"/>
        <v>0</v>
      </c>
      <c r="AE4839" s="218"/>
      <c r="AH4839" t="str">
        <f t="shared" si="228"/>
        <v>0000</v>
      </c>
      <c r="AJ4839" s="72"/>
      <c r="AK4839" s="72"/>
      <c r="AL4839" s="72"/>
      <c r="AM4839" s="72"/>
    </row>
    <row r="4840" spans="1:39" x14ac:dyDescent="0.25">
      <c r="A4840" s="37" t="s">
        <v>62</v>
      </c>
      <c r="B4840" s="66"/>
      <c r="C4840" s="4"/>
      <c r="D4840" s="41"/>
      <c r="E4840" s="41"/>
      <c r="F4840" s="85"/>
      <c r="G4840" s="39"/>
      <c r="H4840" s="52"/>
      <c r="I4840" s="52"/>
      <c r="J4840" s="49"/>
      <c r="K4840" s="58"/>
      <c r="L4840" s="58"/>
      <c r="M4840" s="58"/>
      <c r="N4840" s="58"/>
      <c r="O4840" s="58"/>
      <c r="P4840" s="53"/>
      <c r="Q4840" s="65"/>
      <c r="R4840" s="65"/>
      <c r="S4840" s="65"/>
      <c r="T4840" s="65"/>
      <c r="U4840" s="58"/>
      <c r="V4840" s="65"/>
      <c r="W4840" s="65"/>
      <c r="X4840" s="65"/>
      <c r="Y4840" s="65"/>
      <c r="Z4840" s="51"/>
      <c r="AA4840" s="51"/>
      <c r="AB4840" s="102"/>
      <c r="AC4840" s="81" t="e">
        <f t="shared" si="229"/>
        <v>#DIV/0!</v>
      </c>
      <c r="AD4840" s="82">
        <f t="shared" si="230"/>
        <v>0</v>
      </c>
      <c r="AE4840" s="218"/>
      <c r="AH4840" t="str">
        <f t="shared" si="228"/>
        <v>0000</v>
      </c>
      <c r="AJ4840" s="72"/>
      <c r="AK4840" s="72"/>
      <c r="AL4840" s="72"/>
      <c r="AM4840" s="72"/>
    </row>
    <row r="4841" spans="1:39" x14ac:dyDescent="0.25">
      <c r="A4841" s="37" t="s">
        <v>62</v>
      </c>
      <c r="B4841" s="66"/>
      <c r="C4841" s="4"/>
      <c r="D4841" s="41"/>
      <c r="E4841" s="41"/>
      <c r="F4841" s="85"/>
      <c r="G4841" s="39"/>
      <c r="H4841" s="52"/>
      <c r="I4841" s="52"/>
      <c r="J4841" s="49"/>
      <c r="K4841" s="58"/>
      <c r="L4841" s="58"/>
      <c r="M4841" s="58"/>
      <c r="N4841" s="58"/>
      <c r="O4841" s="58"/>
      <c r="P4841" s="53"/>
      <c r="Q4841" s="65"/>
      <c r="R4841" s="65"/>
      <c r="S4841" s="65"/>
      <c r="T4841" s="65"/>
      <c r="U4841" s="58"/>
      <c r="V4841" s="65"/>
      <c r="W4841" s="65"/>
      <c r="X4841" s="65"/>
      <c r="Y4841" s="65"/>
      <c r="Z4841" s="51"/>
      <c r="AA4841" s="51"/>
      <c r="AB4841" s="102"/>
      <c r="AC4841" s="81" t="e">
        <f t="shared" si="229"/>
        <v>#DIV/0!</v>
      </c>
      <c r="AD4841" s="82">
        <f t="shared" si="230"/>
        <v>0</v>
      </c>
      <c r="AE4841" s="218"/>
      <c r="AH4841" t="str">
        <f t="shared" si="228"/>
        <v>0000</v>
      </c>
      <c r="AJ4841" s="72"/>
      <c r="AK4841" s="72"/>
      <c r="AL4841" s="72"/>
      <c r="AM4841" s="72"/>
    </row>
    <row r="4842" spans="1:39" x14ac:dyDescent="0.25">
      <c r="A4842" s="37" t="s">
        <v>62</v>
      </c>
      <c r="B4842" s="66"/>
      <c r="C4842" s="4"/>
      <c r="D4842" s="41"/>
      <c r="E4842" s="41"/>
      <c r="F4842" s="85"/>
      <c r="G4842" s="39"/>
      <c r="H4842" s="52"/>
      <c r="I4842" s="52"/>
      <c r="J4842" s="49"/>
      <c r="K4842" s="58"/>
      <c r="L4842" s="58"/>
      <c r="M4842" s="58"/>
      <c r="N4842" s="58"/>
      <c r="O4842" s="58"/>
      <c r="P4842" s="53"/>
      <c r="Q4842" s="65"/>
      <c r="R4842" s="65"/>
      <c r="S4842" s="65"/>
      <c r="T4842" s="65"/>
      <c r="U4842" s="58"/>
      <c r="V4842" s="65"/>
      <c r="W4842" s="65"/>
      <c r="X4842" s="65"/>
      <c r="Y4842" s="65"/>
      <c r="Z4842" s="51"/>
      <c r="AA4842" s="51"/>
      <c r="AB4842" s="102"/>
      <c r="AC4842" s="81" t="e">
        <f t="shared" si="229"/>
        <v>#DIV/0!</v>
      </c>
      <c r="AD4842" s="82">
        <f t="shared" si="230"/>
        <v>0</v>
      </c>
      <c r="AE4842" s="218"/>
      <c r="AH4842" t="str">
        <f t="shared" si="228"/>
        <v>0000</v>
      </c>
      <c r="AJ4842" s="72"/>
      <c r="AK4842" s="72"/>
      <c r="AL4842" s="72"/>
      <c r="AM4842" s="72"/>
    </row>
    <row r="4843" spans="1:39" x14ac:dyDescent="0.25">
      <c r="A4843" s="37" t="s">
        <v>62</v>
      </c>
      <c r="B4843" s="66"/>
      <c r="C4843" s="4"/>
      <c r="D4843" s="41"/>
      <c r="E4843" s="41"/>
      <c r="F4843" s="85"/>
      <c r="G4843" s="39"/>
      <c r="H4843" s="52"/>
      <c r="I4843" s="52"/>
      <c r="J4843" s="49"/>
      <c r="K4843" s="58"/>
      <c r="L4843" s="58"/>
      <c r="M4843" s="58"/>
      <c r="N4843" s="58"/>
      <c r="O4843" s="58"/>
      <c r="P4843" s="53"/>
      <c r="Q4843" s="65"/>
      <c r="R4843" s="65"/>
      <c r="S4843" s="65"/>
      <c r="T4843" s="65"/>
      <c r="U4843" s="58"/>
      <c r="V4843" s="65"/>
      <c r="W4843" s="65"/>
      <c r="X4843" s="65"/>
      <c r="Y4843" s="65"/>
      <c r="Z4843" s="51"/>
      <c r="AA4843" s="51"/>
      <c r="AB4843" s="102"/>
      <c r="AC4843" s="81" t="e">
        <f t="shared" si="229"/>
        <v>#DIV/0!</v>
      </c>
      <c r="AD4843" s="82">
        <f t="shared" si="230"/>
        <v>0</v>
      </c>
      <c r="AE4843" s="218"/>
      <c r="AH4843" t="str">
        <f t="shared" si="228"/>
        <v>0000</v>
      </c>
      <c r="AJ4843" s="72"/>
      <c r="AK4843" s="72"/>
      <c r="AL4843" s="72"/>
      <c r="AM4843" s="72"/>
    </row>
    <row r="4844" spans="1:39" x14ac:dyDescent="0.25">
      <c r="A4844" s="37" t="s">
        <v>62</v>
      </c>
      <c r="B4844" s="66"/>
      <c r="C4844" s="4"/>
      <c r="D4844" s="41"/>
      <c r="E4844" s="41"/>
      <c r="F4844" s="85"/>
      <c r="G4844" s="39"/>
      <c r="H4844" s="52"/>
      <c r="I4844" s="52"/>
      <c r="J4844" s="49"/>
      <c r="K4844" s="58"/>
      <c r="L4844" s="58"/>
      <c r="M4844" s="58"/>
      <c r="N4844" s="58"/>
      <c r="O4844" s="58"/>
      <c r="P4844" s="53"/>
      <c r="Q4844" s="65"/>
      <c r="R4844" s="65"/>
      <c r="S4844" s="65"/>
      <c r="T4844" s="65"/>
      <c r="U4844" s="58"/>
      <c r="V4844" s="65"/>
      <c r="W4844" s="65"/>
      <c r="X4844" s="65"/>
      <c r="Y4844" s="65"/>
      <c r="Z4844" s="51"/>
      <c r="AA4844" s="51"/>
      <c r="AB4844" s="102"/>
      <c r="AC4844" s="81" t="e">
        <f t="shared" si="229"/>
        <v>#DIV/0!</v>
      </c>
      <c r="AD4844" s="82">
        <f t="shared" si="230"/>
        <v>0</v>
      </c>
      <c r="AE4844" s="218"/>
      <c r="AH4844" t="str">
        <f t="shared" si="228"/>
        <v>0000</v>
      </c>
      <c r="AJ4844" s="72"/>
      <c r="AK4844" s="72"/>
      <c r="AL4844" s="72"/>
      <c r="AM4844" s="72"/>
    </row>
    <row r="4845" spans="1:39" x14ac:dyDescent="0.25">
      <c r="A4845" s="37" t="s">
        <v>62</v>
      </c>
      <c r="B4845" s="66"/>
      <c r="C4845" s="4"/>
      <c r="D4845" s="41"/>
      <c r="E4845" s="41"/>
      <c r="F4845" s="85"/>
      <c r="G4845" s="39"/>
      <c r="H4845" s="52"/>
      <c r="I4845" s="52"/>
      <c r="J4845" s="49"/>
      <c r="K4845" s="58"/>
      <c r="L4845" s="58"/>
      <c r="M4845" s="58"/>
      <c r="N4845" s="58"/>
      <c r="O4845" s="58"/>
      <c r="P4845" s="53"/>
      <c r="Q4845" s="65"/>
      <c r="R4845" s="65"/>
      <c r="S4845" s="65"/>
      <c r="T4845" s="65"/>
      <c r="U4845" s="58"/>
      <c r="V4845" s="65"/>
      <c r="W4845" s="65"/>
      <c r="X4845" s="65"/>
      <c r="Y4845" s="65"/>
      <c r="Z4845" s="51"/>
      <c r="AA4845" s="51"/>
      <c r="AB4845" s="102"/>
      <c r="AC4845" s="81" t="e">
        <f t="shared" si="229"/>
        <v>#DIV/0!</v>
      </c>
      <c r="AD4845" s="82">
        <f t="shared" si="230"/>
        <v>0</v>
      </c>
      <c r="AE4845" s="218"/>
      <c r="AH4845" t="str">
        <f t="shared" si="228"/>
        <v>0000</v>
      </c>
      <c r="AJ4845" s="72"/>
      <c r="AK4845" s="72"/>
      <c r="AL4845" s="72"/>
      <c r="AM4845" s="72"/>
    </row>
    <row r="4846" spans="1:39" x14ac:dyDescent="0.25">
      <c r="A4846" s="37" t="s">
        <v>62</v>
      </c>
      <c r="B4846" s="66"/>
      <c r="C4846" s="4"/>
      <c r="D4846" s="41"/>
      <c r="E4846" s="41"/>
      <c r="F4846" s="85"/>
      <c r="G4846" s="39"/>
      <c r="H4846" s="52"/>
      <c r="I4846" s="52"/>
      <c r="J4846" s="49"/>
      <c r="K4846" s="58"/>
      <c r="L4846" s="58"/>
      <c r="M4846" s="58"/>
      <c r="N4846" s="58"/>
      <c r="O4846" s="58"/>
      <c r="P4846" s="53"/>
      <c r="Q4846" s="65"/>
      <c r="R4846" s="65"/>
      <c r="S4846" s="65"/>
      <c r="T4846" s="65"/>
      <c r="U4846" s="58"/>
      <c r="V4846" s="65"/>
      <c r="W4846" s="65"/>
      <c r="X4846" s="65"/>
      <c r="Y4846" s="65"/>
      <c r="Z4846" s="51"/>
      <c r="AA4846" s="51"/>
      <c r="AB4846" s="102"/>
      <c r="AC4846" s="81" t="e">
        <f t="shared" si="229"/>
        <v>#DIV/0!</v>
      </c>
      <c r="AD4846" s="82">
        <f t="shared" si="230"/>
        <v>0</v>
      </c>
      <c r="AE4846" s="218"/>
      <c r="AH4846" t="str">
        <f t="shared" si="228"/>
        <v>0000</v>
      </c>
      <c r="AJ4846" s="72"/>
      <c r="AK4846" s="72"/>
      <c r="AL4846" s="72"/>
      <c r="AM4846" s="72"/>
    </row>
    <row r="4847" spans="1:39" x14ac:dyDescent="0.25">
      <c r="A4847" s="37" t="s">
        <v>62</v>
      </c>
      <c r="B4847" s="66"/>
      <c r="C4847" s="4"/>
      <c r="D4847" s="41"/>
      <c r="E4847" s="41"/>
      <c r="F4847" s="85"/>
      <c r="G4847" s="39"/>
      <c r="H4847" s="52"/>
      <c r="I4847" s="52"/>
      <c r="J4847" s="49"/>
      <c r="K4847" s="58"/>
      <c r="L4847" s="58"/>
      <c r="M4847" s="58"/>
      <c r="N4847" s="58"/>
      <c r="O4847" s="58"/>
      <c r="P4847" s="53"/>
      <c r="Q4847" s="65"/>
      <c r="R4847" s="65"/>
      <c r="S4847" s="65"/>
      <c r="T4847" s="65"/>
      <c r="U4847" s="58"/>
      <c r="V4847" s="65"/>
      <c r="W4847" s="65"/>
      <c r="X4847" s="65"/>
      <c r="Y4847" s="65"/>
      <c r="Z4847" s="51"/>
      <c r="AA4847" s="51"/>
      <c r="AB4847" s="102"/>
      <c r="AC4847" s="81" t="e">
        <f t="shared" si="229"/>
        <v>#DIV/0!</v>
      </c>
      <c r="AD4847" s="82">
        <f t="shared" si="230"/>
        <v>0</v>
      </c>
      <c r="AE4847" s="218"/>
      <c r="AH4847" t="str">
        <f t="shared" si="228"/>
        <v>0000</v>
      </c>
      <c r="AJ4847" s="72"/>
      <c r="AK4847" s="72"/>
      <c r="AL4847" s="72"/>
      <c r="AM4847" s="72"/>
    </row>
    <row r="4848" spans="1:39" x14ac:dyDescent="0.25">
      <c r="A4848" s="37" t="s">
        <v>62</v>
      </c>
      <c r="B4848" s="66"/>
      <c r="C4848" s="4"/>
      <c r="D4848" s="41"/>
      <c r="E4848" s="41"/>
      <c r="F4848" s="85"/>
      <c r="G4848" s="39"/>
      <c r="H4848" s="52"/>
      <c r="I4848" s="52"/>
      <c r="J4848" s="49"/>
      <c r="K4848" s="58"/>
      <c r="L4848" s="58"/>
      <c r="M4848" s="58"/>
      <c r="N4848" s="58"/>
      <c r="O4848" s="58"/>
      <c r="P4848" s="53"/>
      <c r="Q4848" s="65"/>
      <c r="R4848" s="65"/>
      <c r="S4848" s="65"/>
      <c r="T4848" s="65"/>
      <c r="U4848" s="58"/>
      <c r="V4848" s="65"/>
      <c r="W4848" s="65"/>
      <c r="X4848" s="65"/>
      <c r="Y4848" s="65"/>
      <c r="Z4848" s="51"/>
      <c r="AA4848" s="51"/>
      <c r="AB4848" s="102"/>
      <c r="AC4848" s="81" t="e">
        <f t="shared" si="229"/>
        <v>#DIV/0!</v>
      </c>
      <c r="AD4848" s="82">
        <f t="shared" si="230"/>
        <v>0</v>
      </c>
      <c r="AE4848" s="218"/>
      <c r="AH4848" t="str">
        <f t="shared" si="228"/>
        <v>0000</v>
      </c>
      <c r="AJ4848" s="72"/>
      <c r="AK4848" s="72"/>
      <c r="AL4848" s="72"/>
      <c r="AM4848" s="72"/>
    </row>
    <row r="4849" spans="1:39" x14ac:dyDescent="0.25">
      <c r="A4849" s="37" t="s">
        <v>62</v>
      </c>
      <c r="B4849" s="66"/>
      <c r="C4849" s="4"/>
      <c r="D4849" s="41"/>
      <c r="E4849" s="41"/>
      <c r="F4849" s="85"/>
      <c r="G4849" s="39"/>
      <c r="H4849" s="52"/>
      <c r="I4849" s="52"/>
      <c r="J4849" s="49"/>
      <c r="K4849" s="58"/>
      <c r="L4849" s="58"/>
      <c r="M4849" s="58"/>
      <c r="N4849" s="58"/>
      <c r="O4849" s="58"/>
      <c r="P4849" s="53"/>
      <c r="Q4849" s="65"/>
      <c r="R4849" s="65"/>
      <c r="S4849" s="65"/>
      <c r="T4849" s="65"/>
      <c r="U4849" s="58"/>
      <c r="V4849" s="65"/>
      <c r="W4849" s="65"/>
      <c r="X4849" s="65"/>
      <c r="Y4849" s="65"/>
      <c r="Z4849" s="51"/>
      <c r="AA4849" s="51"/>
      <c r="AB4849" s="102"/>
      <c r="AC4849" s="81" t="e">
        <f t="shared" si="229"/>
        <v>#DIV/0!</v>
      </c>
      <c r="AD4849" s="82">
        <f t="shared" si="230"/>
        <v>0</v>
      </c>
      <c r="AE4849" s="218"/>
      <c r="AH4849" t="str">
        <f t="shared" si="228"/>
        <v>0000</v>
      </c>
      <c r="AJ4849" s="72"/>
      <c r="AK4849" s="72"/>
      <c r="AL4849" s="72"/>
      <c r="AM4849" s="72"/>
    </row>
    <row r="4850" spans="1:39" x14ac:dyDescent="0.25">
      <c r="A4850" s="37" t="s">
        <v>62</v>
      </c>
      <c r="B4850" s="66"/>
      <c r="C4850" s="4"/>
      <c r="D4850" s="41"/>
      <c r="E4850" s="41"/>
      <c r="F4850" s="85"/>
      <c r="G4850" s="39"/>
      <c r="H4850" s="52"/>
      <c r="I4850" s="52"/>
      <c r="J4850" s="49"/>
      <c r="K4850" s="58"/>
      <c r="L4850" s="58"/>
      <c r="M4850" s="58"/>
      <c r="N4850" s="58"/>
      <c r="O4850" s="58"/>
      <c r="P4850" s="53"/>
      <c r="Q4850" s="65"/>
      <c r="R4850" s="65"/>
      <c r="S4850" s="65"/>
      <c r="T4850" s="65"/>
      <c r="U4850" s="58"/>
      <c r="V4850" s="65"/>
      <c r="W4850" s="65"/>
      <c r="X4850" s="65"/>
      <c r="Y4850" s="65"/>
      <c r="Z4850" s="51"/>
      <c r="AA4850" s="51"/>
      <c r="AB4850" s="102"/>
      <c r="AC4850" s="81" t="e">
        <f t="shared" si="229"/>
        <v>#DIV/0!</v>
      </c>
      <c r="AD4850" s="82">
        <f t="shared" si="230"/>
        <v>0</v>
      </c>
      <c r="AE4850" s="218"/>
      <c r="AH4850" t="str">
        <f t="shared" si="228"/>
        <v>0000</v>
      </c>
      <c r="AJ4850" s="72"/>
      <c r="AK4850" s="72"/>
      <c r="AL4850" s="72"/>
      <c r="AM4850" s="72"/>
    </row>
    <row r="4851" spans="1:39" x14ac:dyDescent="0.25">
      <c r="A4851" s="37" t="s">
        <v>62</v>
      </c>
      <c r="B4851" s="66"/>
      <c r="C4851" s="4"/>
      <c r="D4851" s="41"/>
      <c r="E4851" s="41"/>
      <c r="F4851" s="85"/>
      <c r="G4851" s="39"/>
      <c r="H4851" s="52"/>
      <c r="I4851" s="52"/>
      <c r="J4851" s="49"/>
      <c r="K4851" s="58"/>
      <c r="L4851" s="58"/>
      <c r="M4851" s="58"/>
      <c r="N4851" s="58"/>
      <c r="O4851" s="58"/>
      <c r="P4851" s="53"/>
      <c r="Q4851" s="65"/>
      <c r="R4851" s="65"/>
      <c r="S4851" s="65"/>
      <c r="T4851" s="65"/>
      <c r="U4851" s="58"/>
      <c r="V4851" s="65"/>
      <c r="W4851" s="65"/>
      <c r="X4851" s="65"/>
      <c r="Y4851" s="65"/>
      <c r="Z4851" s="51"/>
      <c r="AA4851" s="51"/>
      <c r="AB4851" s="102"/>
      <c r="AC4851" s="81" t="e">
        <f t="shared" si="229"/>
        <v>#DIV/0!</v>
      </c>
      <c r="AD4851" s="82">
        <f t="shared" si="230"/>
        <v>0</v>
      </c>
      <c r="AE4851" s="218"/>
      <c r="AH4851" t="str">
        <f t="shared" si="228"/>
        <v>0000</v>
      </c>
      <c r="AJ4851" s="72"/>
      <c r="AK4851" s="72"/>
      <c r="AL4851" s="72"/>
      <c r="AM4851" s="72"/>
    </row>
    <row r="4852" spans="1:39" x14ac:dyDescent="0.25">
      <c r="A4852" s="37" t="s">
        <v>62</v>
      </c>
      <c r="B4852" s="66"/>
      <c r="C4852" s="4"/>
      <c r="D4852" s="41"/>
      <c r="E4852" s="41"/>
      <c r="F4852" s="85"/>
      <c r="G4852" s="39"/>
      <c r="H4852" s="52"/>
      <c r="I4852" s="52"/>
      <c r="J4852" s="49"/>
      <c r="K4852" s="58"/>
      <c r="L4852" s="58"/>
      <c r="M4852" s="58"/>
      <c r="N4852" s="58"/>
      <c r="O4852" s="58"/>
      <c r="P4852" s="53"/>
      <c r="Q4852" s="65"/>
      <c r="R4852" s="65"/>
      <c r="S4852" s="65"/>
      <c r="T4852" s="65"/>
      <c r="U4852" s="58"/>
      <c r="V4852" s="65"/>
      <c r="W4852" s="65"/>
      <c r="X4852" s="65"/>
      <c r="Y4852" s="65"/>
      <c r="Z4852" s="51"/>
      <c r="AA4852" s="51"/>
      <c r="AB4852" s="102"/>
      <c r="AC4852" s="81" t="e">
        <f t="shared" si="229"/>
        <v>#DIV/0!</v>
      </c>
      <c r="AD4852" s="82">
        <f t="shared" si="230"/>
        <v>0</v>
      </c>
      <c r="AE4852" s="218"/>
      <c r="AH4852" t="str">
        <f t="shared" si="228"/>
        <v>0000</v>
      </c>
      <c r="AJ4852" s="72"/>
      <c r="AK4852" s="72"/>
      <c r="AL4852" s="72"/>
      <c r="AM4852" s="72"/>
    </row>
    <row r="4853" spans="1:39" x14ac:dyDescent="0.25">
      <c r="A4853" s="37" t="s">
        <v>62</v>
      </c>
      <c r="B4853" s="66"/>
      <c r="C4853" s="4"/>
      <c r="D4853" s="41"/>
      <c r="E4853" s="41"/>
      <c r="F4853" s="85"/>
      <c r="G4853" s="39"/>
      <c r="H4853" s="52"/>
      <c r="I4853" s="52"/>
      <c r="J4853" s="49"/>
      <c r="K4853" s="58"/>
      <c r="L4853" s="58"/>
      <c r="M4853" s="58"/>
      <c r="N4853" s="58"/>
      <c r="O4853" s="58"/>
      <c r="P4853" s="53"/>
      <c r="Q4853" s="65"/>
      <c r="R4853" s="65"/>
      <c r="S4853" s="65"/>
      <c r="T4853" s="65"/>
      <c r="U4853" s="58"/>
      <c r="V4853" s="65"/>
      <c r="W4853" s="65"/>
      <c r="X4853" s="65"/>
      <c r="Y4853" s="65"/>
      <c r="Z4853" s="51"/>
      <c r="AA4853" s="51"/>
      <c r="AB4853" s="102"/>
      <c r="AC4853" s="81" t="e">
        <f t="shared" si="229"/>
        <v>#DIV/0!</v>
      </c>
      <c r="AD4853" s="82">
        <f t="shared" si="230"/>
        <v>0</v>
      </c>
      <c r="AE4853" s="218"/>
      <c r="AH4853" t="str">
        <f t="shared" si="228"/>
        <v>0000</v>
      </c>
      <c r="AJ4853" s="72"/>
      <c r="AK4853" s="72"/>
      <c r="AL4853" s="72"/>
      <c r="AM4853" s="72"/>
    </row>
    <row r="4854" spans="1:39" x14ac:dyDescent="0.25">
      <c r="A4854" s="37" t="s">
        <v>62</v>
      </c>
      <c r="B4854" s="66"/>
      <c r="C4854" s="4"/>
      <c r="D4854" s="41"/>
      <c r="E4854" s="41"/>
      <c r="F4854" s="85"/>
      <c r="G4854" s="39"/>
      <c r="H4854" s="52"/>
      <c r="I4854" s="52"/>
      <c r="J4854" s="49"/>
      <c r="K4854" s="58"/>
      <c r="L4854" s="58"/>
      <c r="M4854" s="58"/>
      <c r="N4854" s="58"/>
      <c r="O4854" s="58"/>
      <c r="P4854" s="53"/>
      <c r="Q4854" s="65"/>
      <c r="R4854" s="65"/>
      <c r="S4854" s="65"/>
      <c r="T4854" s="65"/>
      <c r="U4854" s="58"/>
      <c r="V4854" s="65"/>
      <c r="W4854" s="65"/>
      <c r="X4854" s="65"/>
      <c r="Y4854" s="65"/>
      <c r="Z4854" s="51"/>
      <c r="AA4854" s="51"/>
      <c r="AB4854" s="102"/>
      <c r="AC4854" s="81" t="e">
        <f t="shared" si="229"/>
        <v>#DIV/0!</v>
      </c>
      <c r="AD4854" s="82">
        <f t="shared" si="230"/>
        <v>0</v>
      </c>
      <c r="AE4854" s="218"/>
      <c r="AH4854" t="str">
        <f t="shared" si="228"/>
        <v>0000</v>
      </c>
      <c r="AJ4854" s="72"/>
      <c r="AK4854" s="72"/>
      <c r="AL4854" s="72"/>
      <c r="AM4854" s="72"/>
    </row>
    <row r="4855" spans="1:39" x14ac:dyDescent="0.25">
      <c r="A4855" s="37" t="s">
        <v>62</v>
      </c>
      <c r="B4855" s="66"/>
      <c r="C4855" s="4"/>
      <c r="D4855" s="41"/>
      <c r="E4855" s="41"/>
      <c r="F4855" s="85"/>
      <c r="G4855" s="39"/>
      <c r="H4855" s="52"/>
      <c r="I4855" s="52"/>
      <c r="J4855" s="49"/>
      <c r="K4855" s="58"/>
      <c r="L4855" s="58"/>
      <c r="M4855" s="58"/>
      <c r="N4855" s="58"/>
      <c r="O4855" s="58"/>
      <c r="P4855" s="53"/>
      <c r="Q4855" s="65"/>
      <c r="R4855" s="65"/>
      <c r="S4855" s="65"/>
      <c r="T4855" s="65"/>
      <c r="U4855" s="58"/>
      <c r="V4855" s="65"/>
      <c r="W4855" s="65"/>
      <c r="X4855" s="65"/>
      <c r="Y4855" s="65"/>
      <c r="Z4855" s="51"/>
      <c r="AA4855" s="51"/>
      <c r="AB4855" s="102"/>
      <c r="AC4855" s="81" t="e">
        <f t="shared" si="229"/>
        <v>#DIV/0!</v>
      </c>
      <c r="AD4855" s="82">
        <f t="shared" si="230"/>
        <v>0</v>
      </c>
      <c r="AE4855" s="218"/>
      <c r="AH4855" t="str">
        <f t="shared" si="228"/>
        <v>0000</v>
      </c>
      <c r="AJ4855" s="72"/>
      <c r="AK4855" s="72"/>
      <c r="AL4855" s="72"/>
      <c r="AM4855" s="72"/>
    </row>
    <row r="4856" spans="1:39" x14ac:dyDescent="0.25">
      <c r="A4856" s="37" t="s">
        <v>62</v>
      </c>
      <c r="B4856" s="66"/>
      <c r="C4856" s="4"/>
      <c r="D4856" s="41"/>
      <c r="E4856" s="41"/>
      <c r="F4856" s="85"/>
      <c r="G4856" s="39"/>
      <c r="H4856" s="52"/>
      <c r="I4856" s="52"/>
      <c r="J4856" s="49"/>
      <c r="K4856" s="58"/>
      <c r="L4856" s="58"/>
      <c r="M4856" s="58"/>
      <c r="N4856" s="58"/>
      <c r="O4856" s="58"/>
      <c r="P4856" s="53"/>
      <c r="Q4856" s="65"/>
      <c r="R4856" s="65"/>
      <c r="S4856" s="65"/>
      <c r="T4856" s="65"/>
      <c r="U4856" s="58"/>
      <c r="V4856" s="65"/>
      <c r="W4856" s="65"/>
      <c r="X4856" s="65"/>
      <c r="Y4856" s="65"/>
      <c r="Z4856" s="51"/>
      <c r="AA4856" s="51"/>
      <c r="AB4856" s="102"/>
      <c r="AC4856" s="81" t="e">
        <f t="shared" si="229"/>
        <v>#DIV/0!</v>
      </c>
      <c r="AD4856" s="82">
        <f t="shared" si="230"/>
        <v>0</v>
      </c>
      <c r="AE4856" s="218"/>
      <c r="AH4856" t="str">
        <f t="shared" si="228"/>
        <v>0000</v>
      </c>
      <c r="AJ4856" s="72"/>
      <c r="AK4856" s="72"/>
      <c r="AL4856" s="72"/>
      <c r="AM4856" s="72"/>
    </row>
    <row r="4857" spans="1:39" x14ac:dyDescent="0.25">
      <c r="A4857" s="37" t="s">
        <v>62</v>
      </c>
      <c r="B4857" s="66"/>
      <c r="C4857" s="4"/>
      <c r="D4857" s="41"/>
      <c r="E4857" s="41"/>
      <c r="F4857" s="85"/>
      <c r="G4857" s="39"/>
      <c r="H4857" s="52"/>
      <c r="I4857" s="52"/>
      <c r="J4857" s="49"/>
      <c r="K4857" s="58"/>
      <c r="L4857" s="58"/>
      <c r="M4857" s="58"/>
      <c r="N4857" s="58"/>
      <c r="O4857" s="58"/>
      <c r="P4857" s="53"/>
      <c r="Q4857" s="65"/>
      <c r="R4857" s="65"/>
      <c r="S4857" s="65"/>
      <c r="T4857" s="65"/>
      <c r="U4857" s="58"/>
      <c r="V4857" s="65"/>
      <c r="W4857" s="65"/>
      <c r="X4857" s="65"/>
      <c r="Y4857" s="65"/>
      <c r="Z4857" s="51"/>
      <c r="AA4857" s="51"/>
      <c r="AB4857" s="102"/>
      <c r="AC4857" s="81" t="e">
        <f t="shared" si="229"/>
        <v>#DIV/0!</v>
      </c>
      <c r="AD4857" s="82">
        <f t="shared" si="230"/>
        <v>0</v>
      </c>
      <c r="AE4857" s="218"/>
      <c r="AH4857" t="str">
        <f t="shared" si="228"/>
        <v>0000</v>
      </c>
      <c r="AJ4857" s="72"/>
      <c r="AK4857" s="72"/>
      <c r="AL4857" s="72"/>
      <c r="AM4857" s="72"/>
    </row>
    <row r="4858" spans="1:39" x14ac:dyDescent="0.25">
      <c r="A4858" s="37" t="s">
        <v>62</v>
      </c>
      <c r="B4858" s="66"/>
      <c r="C4858" s="4"/>
      <c r="D4858" s="41"/>
      <c r="E4858" s="41"/>
      <c r="F4858" s="85"/>
      <c r="G4858" s="39"/>
      <c r="H4858" s="52"/>
      <c r="I4858" s="52"/>
      <c r="J4858" s="49"/>
      <c r="K4858" s="58"/>
      <c r="L4858" s="58"/>
      <c r="M4858" s="58"/>
      <c r="N4858" s="58"/>
      <c r="O4858" s="58"/>
      <c r="P4858" s="53"/>
      <c r="Q4858" s="65"/>
      <c r="R4858" s="65"/>
      <c r="S4858" s="65"/>
      <c r="T4858" s="65"/>
      <c r="U4858" s="58"/>
      <c r="V4858" s="65"/>
      <c r="W4858" s="65"/>
      <c r="X4858" s="65"/>
      <c r="Y4858" s="65"/>
      <c r="Z4858" s="51"/>
      <c r="AA4858" s="51"/>
      <c r="AB4858" s="102"/>
      <c r="AC4858" s="81" t="e">
        <f t="shared" si="229"/>
        <v>#DIV/0!</v>
      </c>
      <c r="AD4858" s="82">
        <f t="shared" si="230"/>
        <v>0</v>
      </c>
      <c r="AE4858" s="218"/>
      <c r="AH4858" t="str">
        <f t="shared" ref="AH4858" si="231">TEXT(D4858,"0000")</f>
        <v>0000</v>
      </c>
      <c r="AJ4858" s="72"/>
      <c r="AK4858" s="72"/>
      <c r="AL4858" s="72"/>
      <c r="AM4858" s="72"/>
    </row>
    <row r="4873" spans="22:25" x14ac:dyDescent="0.25">
      <c r="V4873" s="225"/>
      <c r="X4873" s="43"/>
      <c r="Y4873" s="222"/>
    </row>
    <row r="4874" spans="22:25" x14ac:dyDescent="0.25">
      <c r="V4874" s="225"/>
      <c r="Y4874" s="221"/>
    </row>
    <row r="4875" spans="22:25" x14ac:dyDescent="0.25">
      <c r="V4875" s="225"/>
      <c r="Y4875" s="221"/>
    </row>
    <row r="4876" spans="22:25" x14ac:dyDescent="0.25">
      <c r="V4876" s="225"/>
      <c r="X4876" s="223"/>
      <c r="Y4876" s="224"/>
    </row>
    <row r="4877" spans="22:25" x14ac:dyDescent="0.25">
      <c r="Y4877" s="221"/>
    </row>
    <row r="4878" spans="22:25" x14ac:dyDescent="0.25">
      <c r="Y4878" s="221"/>
    </row>
    <row r="4879" spans="22:25" x14ac:dyDescent="0.25">
      <c r="X4879" s="223"/>
      <c r="Y4879" s="224"/>
    </row>
    <row r="4885" spans="22:22" x14ac:dyDescent="0.25">
      <c r="V4885" s="225"/>
    </row>
    <row r="4886" spans="22:22" x14ac:dyDescent="0.25">
      <c r="V4886" s="225"/>
    </row>
    <row r="4887" spans="22:22" x14ac:dyDescent="0.25">
      <c r="V4887" s="225"/>
    </row>
    <row r="4888" spans="22:22" x14ac:dyDescent="0.25">
      <c r="V4888" s="225"/>
    </row>
    <row r="4897" spans="22:22" x14ac:dyDescent="0.25">
      <c r="V4897" s="225"/>
    </row>
  </sheetData>
  <autoFilter ref="A2:AM4858" xr:uid="{00000000-0009-0000-0000-000003000000}"/>
  <mergeCells count="4">
    <mergeCell ref="M1:N1"/>
    <mergeCell ref="O1:P1"/>
    <mergeCell ref="I1:J1"/>
    <mergeCell ref="K1:L1"/>
  </mergeCells>
  <conditionalFormatting sqref="D1">
    <cfRule type="duplicateValues" dxfId="96" priority="250" stopIfTrue="1"/>
  </conditionalFormatting>
  <conditionalFormatting sqref="E2">
    <cfRule type="duplicateValues" dxfId="95" priority="25" stopIfTrue="1"/>
  </conditionalFormatting>
  <conditionalFormatting sqref="E3 E5:E576">
    <cfRule type="duplicateValues" dxfId="94" priority="445"/>
  </conditionalFormatting>
  <conditionalFormatting sqref="E4">
    <cfRule type="duplicateValues" dxfId="93" priority="21"/>
  </conditionalFormatting>
  <conditionalFormatting sqref="E5:E576">
    <cfRule type="duplicateValues" dxfId="92" priority="448"/>
  </conditionalFormatting>
  <conditionalFormatting sqref="E1139 E1141:E1699">
    <cfRule type="duplicateValues" dxfId="91" priority="477"/>
  </conditionalFormatting>
  <conditionalFormatting sqref="E1140">
    <cfRule type="duplicateValues" dxfId="90" priority="7"/>
  </conditionalFormatting>
  <conditionalFormatting sqref="E1141:E1699">
    <cfRule type="duplicateValues" dxfId="89" priority="480"/>
  </conditionalFormatting>
  <conditionalFormatting sqref="G577:G1138 H1139:H1699 G1700:G4858">
    <cfRule type="containsText" dxfId="88" priority="2" operator="containsText" text="Indirect">
      <formula>NOT(ISERROR(SEARCH("Indirect",G577)))</formula>
    </cfRule>
  </conditionalFormatting>
  <conditionalFormatting sqref="H3:H576">
    <cfRule type="containsText" dxfId="87" priority="26" operator="containsText" text="Indirect">
      <formula>NOT(ISERROR(SEARCH("Indirect",H3)))</formula>
    </cfRule>
  </conditionalFormatting>
  <conditionalFormatting sqref="X3:Z1699">
    <cfRule type="cellIs" dxfId="86" priority="5" operator="lessThan">
      <formula>-1</formula>
    </cfRule>
  </conditionalFormatting>
  <conditionalFormatting sqref="AA3:AA4858 Z1700:Z4858">
    <cfRule type="cellIs" dxfId="85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90"/>
  <sheetViews>
    <sheetView zoomScale="80" zoomScaleNormal="80" workbookViewId="0">
      <pane ySplit="2" topLeftCell="A39" activePane="bottomLeft" state="frozen"/>
      <selection activeCell="W1" sqref="W1"/>
      <selection pane="bottomLeft" activeCell="M70" sqref="M70"/>
    </sheetView>
  </sheetViews>
  <sheetFormatPr defaultRowHeight="15" x14ac:dyDescent="0.25"/>
  <cols>
    <col min="1" max="2" width="12.5703125" customWidth="1"/>
    <col min="3" max="3" width="9" customWidth="1"/>
    <col min="4" max="4" width="11.140625" customWidth="1"/>
    <col min="5" max="5" width="11.5703125" customWidth="1"/>
    <col min="6" max="6" width="20.85546875" customWidth="1"/>
    <col min="7" max="7" width="13" bestFit="1" customWidth="1"/>
    <col min="8" max="8" width="20.85546875" bestFit="1" customWidth="1"/>
    <col min="9" max="9" width="12.42578125" customWidth="1"/>
    <col min="10" max="10" width="18.5703125" customWidth="1"/>
    <col min="12" max="13" width="12.5703125" customWidth="1"/>
    <col min="14" max="14" width="15.42578125" customWidth="1"/>
    <col min="17" max="17" width="21" bestFit="1" customWidth="1"/>
    <col min="18" max="18" width="19.5703125" customWidth="1"/>
    <col min="19" max="19" width="15.140625" bestFit="1" customWidth="1"/>
    <col min="20" max="21" width="10.140625" bestFit="1" customWidth="1"/>
    <col min="23" max="23" width="9.85546875" bestFit="1" customWidth="1"/>
    <col min="29" max="29" width="10.7109375" bestFit="1" customWidth="1"/>
    <col min="30" max="30" width="30.5703125" bestFit="1" customWidth="1"/>
    <col min="31" max="31" width="15.5703125" bestFit="1" customWidth="1"/>
    <col min="32" max="32" width="8.42578125" bestFit="1" customWidth="1"/>
    <col min="33" max="33" width="7.7109375" bestFit="1" customWidth="1"/>
    <col min="34" max="34" width="8" bestFit="1" customWidth="1"/>
    <col min="35" max="35" width="10.85546875" bestFit="1" customWidth="1"/>
    <col min="36" max="36" width="9.85546875" bestFit="1" customWidth="1"/>
    <col min="37" max="37" width="8.7109375" bestFit="1" customWidth="1"/>
    <col min="40" max="40" width="10.7109375" bestFit="1" customWidth="1"/>
    <col min="41" max="41" width="30.5703125" bestFit="1" customWidth="1"/>
    <col min="42" max="42" width="13" bestFit="1" customWidth="1"/>
    <col min="43" max="43" width="7.7109375" bestFit="1" customWidth="1"/>
    <col min="44" max="44" width="8" bestFit="1" customWidth="1"/>
    <col min="45" max="45" width="10.85546875" bestFit="1" customWidth="1"/>
    <col min="46" max="46" width="10.28515625" bestFit="1" customWidth="1"/>
    <col min="47" max="47" width="5.85546875" bestFit="1" customWidth="1"/>
    <col min="48" max="48" width="7.140625" bestFit="1" customWidth="1"/>
    <col min="49" max="49" width="9.140625" bestFit="1" customWidth="1"/>
  </cols>
  <sheetData>
    <row r="1" spans="1:49" ht="15.75" thickBot="1" x14ac:dyDescent="0.3">
      <c r="A1" s="248" t="s">
        <v>64</v>
      </c>
      <c r="B1" s="248"/>
      <c r="E1" s="248" t="s">
        <v>54</v>
      </c>
      <c r="F1" s="248"/>
      <c r="I1" s="248" t="s">
        <v>55</v>
      </c>
      <c r="J1" s="248"/>
      <c r="L1" s="115" t="s">
        <v>56</v>
      </c>
      <c r="M1" s="115"/>
      <c r="N1" s="115"/>
      <c r="Q1" s="229" t="s">
        <v>1231</v>
      </c>
      <c r="R1" s="229"/>
      <c r="S1" s="229"/>
      <c r="AI1" t="s">
        <v>1136</v>
      </c>
      <c r="AK1" t="s">
        <v>1137</v>
      </c>
    </row>
    <row r="2" spans="1:49" ht="29.45" customHeight="1" x14ac:dyDescent="0.25">
      <c r="A2" s="45" t="s">
        <v>0</v>
      </c>
      <c r="B2" s="45" t="s">
        <v>28</v>
      </c>
      <c r="D2" s="69" t="s">
        <v>75</v>
      </c>
      <c r="E2" s="69" t="s">
        <v>430</v>
      </c>
      <c r="F2" s="70" t="s">
        <v>53</v>
      </c>
      <c r="G2" s="7"/>
      <c r="H2" s="69" t="s">
        <v>63</v>
      </c>
      <c r="I2" s="69" t="s">
        <v>74</v>
      </c>
      <c r="J2" s="70" t="s">
        <v>53</v>
      </c>
      <c r="K2" s="7"/>
      <c r="L2" s="67" t="s">
        <v>43</v>
      </c>
      <c r="M2" s="67" t="s">
        <v>74</v>
      </c>
      <c r="N2" s="67" t="s">
        <v>60</v>
      </c>
      <c r="Q2" s="232" t="s">
        <v>93</v>
      </c>
      <c r="R2" s="232" t="s">
        <v>74</v>
      </c>
      <c r="S2" s="232"/>
      <c r="T2" s="232" t="s">
        <v>1574</v>
      </c>
      <c r="U2" s="232" t="s">
        <v>1262</v>
      </c>
      <c r="W2" s="8" t="s">
        <v>0</v>
      </c>
      <c r="AC2" s="169" t="s">
        <v>687</v>
      </c>
      <c r="AD2" s="170" t="s">
        <v>688</v>
      </c>
      <c r="AE2" s="170" t="s">
        <v>1133</v>
      </c>
      <c r="AF2" s="170" t="s">
        <v>689</v>
      </c>
      <c r="AG2" s="171" t="s">
        <v>443</v>
      </c>
      <c r="AH2" s="171" t="s">
        <v>690</v>
      </c>
      <c r="AI2" s="171" t="s">
        <v>691</v>
      </c>
      <c r="AJ2" s="171" t="s">
        <v>452</v>
      </c>
      <c r="AK2" s="171" t="s">
        <v>657</v>
      </c>
      <c r="AL2" s="171" t="s">
        <v>1138</v>
      </c>
      <c r="AN2" s="169" t="s">
        <v>687</v>
      </c>
      <c r="AO2" s="170" t="s">
        <v>1133</v>
      </c>
      <c r="AP2" s="170" t="s">
        <v>689</v>
      </c>
      <c r="AQ2" s="171" t="s">
        <v>443</v>
      </c>
      <c r="AR2" s="171" t="s">
        <v>1186</v>
      </c>
      <c r="AS2" s="171" t="s">
        <v>691</v>
      </c>
      <c r="AT2" s="171" t="s">
        <v>452</v>
      </c>
      <c r="AU2" s="171" t="s">
        <v>1167</v>
      </c>
      <c r="AV2" s="171"/>
      <c r="AW2" s="171"/>
    </row>
    <row r="3" spans="1:49" ht="17.25" customHeight="1" x14ac:dyDescent="0.25">
      <c r="A3" s="4">
        <v>10520003</v>
      </c>
      <c r="B3" s="219">
        <v>20103.599999999999</v>
      </c>
      <c r="D3" s="201"/>
      <c r="E3" s="71">
        <v>10140135</v>
      </c>
      <c r="F3" s="42">
        <v>12800</v>
      </c>
      <c r="H3" s="199"/>
      <c r="I3" s="71">
        <v>10610009</v>
      </c>
      <c r="J3" s="68">
        <v>75000</v>
      </c>
      <c r="L3" s="39"/>
      <c r="M3" s="4">
        <v>10130027</v>
      </c>
      <c r="N3" s="72">
        <v>640</v>
      </c>
      <c r="Q3" s="189" t="s">
        <v>1655</v>
      </c>
      <c r="R3" s="189">
        <v>10030072</v>
      </c>
      <c r="S3" s="189"/>
      <c r="T3" s="189">
        <v>9300</v>
      </c>
      <c r="U3" s="4">
        <v>3554</v>
      </c>
      <c r="W3" s="41">
        <v>10010006</v>
      </c>
      <c r="X3">
        <v>500</v>
      </c>
      <c r="AC3" s="182" t="s">
        <v>854</v>
      </c>
      <c r="AD3" s="172" t="e">
        <v>#N/A</v>
      </c>
      <c r="AE3" s="172" t="s">
        <v>1134</v>
      </c>
      <c r="AF3" s="172" t="s">
        <v>692</v>
      </c>
      <c r="AG3" s="173">
        <v>64000</v>
      </c>
      <c r="AH3" s="174">
        <v>1567</v>
      </c>
      <c r="AI3" s="175">
        <v>62433</v>
      </c>
      <c r="AJ3" s="174">
        <v>1567</v>
      </c>
      <c r="AK3" s="176">
        <v>0</v>
      </c>
      <c r="AL3" s="184">
        <f>AG3-AH3</f>
        <v>62433</v>
      </c>
      <c r="AN3" s="172">
        <v>10560008</v>
      </c>
      <c r="AO3" s="172" t="s">
        <v>1135</v>
      </c>
      <c r="AP3" s="172" t="s">
        <v>692</v>
      </c>
      <c r="AQ3" s="173">
        <v>110000</v>
      </c>
      <c r="AR3" s="174">
        <v>0</v>
      </c>
      <c r="AS3" s="175">
        <v>100000</v>
      </c>
      <c r="AT3" s="174"/>
      <c r="AU3" s="174">
        <v>10000</v>
      </c>
      <c r="AV3" s="184">
        <f>20000-AU3-AR3</f>
        <v>10000</v>
      </c>
      <c r="AW3" s="187"/>
    </row>
    <row r="4" spans="1:49" ht="15.75" x14ac:dyDescent="0.25">
      <c r="A4" s="4">
        <v>1002</v>
      </c>
      <c r="B4" s="219">
        <v>19211.87000000001</v>
      </c>
      <c r="D4" s="201"/>
      <c r="E4" s="71">
        <v>10140100</v>
      </c>
      <c r="F4" s="42">
        <v>4810.2566398788467</v>
      </c>
      <c r="H4" s="199"/>
      <c r="I4" s="71">
        <v>10660026</v>
      </c>
      <c r="J4" s="68">
        <v>65000</v>
      </c>
      <c r="L4" s="39"/>
      <c r="M4" s="4">
        <v>10080017</v>
      </c>
      <c r="N4" s="72">
        <v>14200</v>
      </c>
      <c r="Q4" s="189" t="s">
        <v>1656</v>
      </c>
      <c r="R4" s="189">
        <v>10030026</v>
      </c>
      <c r="S4" s="189"/>
      <c r="T4" s="189">
        <v>3000</v>
      </c>
      <c r="U4" s="4">
        <v>3000</v>
      </c>
      <c r="W4" s="41">
        <v>10010014</v>
      </c>
      <c r="X4">
        <v>500</v>
      </c>
      <c r="AC4" s="183" t="s">
        <v>854</v>
      </c>
      <c r="AD4" s="177" t="e">
        <v>#N/A</v>
      </c>
      <c r="AE4" s="177" t="s">
        <v>1134</v>
      </c>
      <c r="AF4" s="177" t="s">
        <v>692</v>
      </c>
      <c r="AG4" s="178">
        <v>64000</v>
      </c>
      <c r="AH4" s="179">
        <v>5896.4322000000002</v>
      </c>
      <c r="AI4" s="180">
        <v>58103.567799999997</v>
      </c>
      <c r="AJ4" s="179">
        <v>5896.4322000000002</v>
      </c>
      <c r="AK4" s="176">
        <v>0</v>
      </c>
      <c r="AL4" s="184">
        <f t="shared" ref="AL4:AL67" si="0">AG4-AH4</f>
        <v>58103.567799999997</v>
      </c>
      <c r="AN4" s="177">
        <v>10560009</v>
      </c>
      <c r="AO4" s="177" t="s">
        <v>1135</v>
      </c>
      <c r="AP4" s="177" t="s">
        <v>692</v>
      </c>
      <c r="AQ4" s="178">
        <v>110000</v>
      </c>
      <c r="AR4" s="179">
        <v>0</v>
      </c>
      <c r="AS4" s="180">
        <v>105000</v>
      </c>
      <c r="AT4" s="179"/>
      <c r="AU4" s="179">
        <v>5000</v>
      </c>
      <c r="AV4" s="184">
        <f t="shared" ref="AV4:AV67" si="1">20000-AU4-AR4</f>
        <v>15000</v>
      </c>
      <c r="AW4" s="188"/>
    </row>
    <row r="5" spans="1:49" ht="15.75" x14ac:dyDescent="0.25">
      <c r="A5" s="4">
        <v>1004</v>
      </c>
      <c r="B5" s="219">
        <v>1707.8100000000004</v>
      </c>
      <c r="D5" s="201"/>
      <c r="E5" s="71">
        <v>10110095</v>
      </c>
      <c r="F5" s="42">
        <v>6400</v>
      </c>
      <c r="H5" s="199"/>
      <c r="I5" s="71">
        <v>10660027</v>
      </c>
      <c r="J5" s="68">
        <v>75000</v>
      </c>
      <c r="L5" s="39"/>
      <c r="M5" s="4">
        <v>10110022</v>
      </c>
      <c r="N5" s="72">
        <v>1878</v>
      </c>
      <c r="Q5" s="189" t="s">
        <v>616</v>
      </c>
      <c r="R5" s="189">
        <v>10020043</v>
      </c>
      <c r="S5" s="189"/>
      <c r="T5" s="189">
        <v>5600</v>
      </c>
      <c r="U5" s="4">
        <v>5600</v>
      </c>
      <c r="W5" s="41">
        <v>10010017</v>
      </c>
      <c r="X5">
        <v>500</v>
      </c>
      <c r="AC5" s="182" t="s">
        <v>855</v>
      </c>
      <c r="AD5" s="172" t="s">
        <v>851</v>
      </c>
      <c r="AE5" s="172" t="s">
        <v>1134</v>
      </c>
      <c r="AF5" s="172" t="s">
        <v>692</v>
      </c>
      <c r="AG5" s="173">
        <v>110000</v>
      </c>
      <c r="AH5" s="174">
        <v>0</v>
      </c>
      <c r="AI5" s="175">
        <v>110000</v>
      </c>
      <c r="AJ5" s="174">
        <v>0</v>
      </c>
      <c r="AK5" s="176">
        <v>0</v>
      </c>
      <c r="AL5" s="184">
        <f t="shared" si="0"/>
        <v>110000</v>
      </c>
      <c r="AN5" s="172">
        <v>10120111</v>
      </c>
      <c r="AO5" s="172" t="s">
        <v>1134</v>
      </c>
      <c r="AP5" s="172" t="s">
        <v>692</v>
      </c>
      <c r="AQ5" s="173">
        <v>110000</v>
      </c>
      <c r="AR5" s="174">
        <v>0</v>
      </c>
      <c r="AS5" s="175">
        <v>110000</v>
      </c>
      <c r="AT5" s="174"/>
      <c r="AU5" s="174"/>
      <c r="AV5" s="184">
        <f t="shared" si="1"/>
        <v>20000</v>
      </c>
      <c r="AW5" s="187"/>
    </row>
    <row r="6" spans="1:49" ht="15.75" x14ac:dyDescent="0.25">
      <c r="A6" s="4">
        <v>1006</v>
      </c>
      <c r="B6" s="219">
        <v>8310.320000000007</v>
      </c>
      <c r="D6" s="201"/>
      <c r="E6" s="71">
        <v>10100052</v>
      </c>
      <c r="F6" s="42">
        <v>6400</v>
      </c>
      <c r="H6" s="199"/>
      <c r="I6" s="71">
        <v>10630023</v>
      </c>
      <c r="J6" s="68">
        <v>85000</v>
      </c>
      <c r="L6" s="39"/>
      <c r="M6" s="4">
        <v>10100004</v>
      </c>
      <c r="N6" s="72">
        <v>5905</v>
      </c>
      <c r="Q6" s="189"/>
      <c r="R6" s="189"/>
      <c r="S6" s="189"/>
      <c r="T6" s="189"/>
      <c r="U6" s="4"/>
      <c r="W6" s="41">
        <v>10010021</v>
      </c>
      <c r="X6">
        <v>500</v>
      </c>
      <c r="AC6" s="183" t="s">
        <v>856</v>
      </c>
      <c r="AD6" s="177" t="s">
        <v>852</v>
      </c>
      <c r="AE6" s="177" t="s">
        <v>1134</v>
      </c>
      <c r="AF6" s="177" t="s">
        <v>692</v>
      </c>
      <c r="AG6" s="178">
        <v>110000</v>
      </c>
      <c r="AH6" s="179">
        <v>0</v>
      </c>
      <c r="AI6" s="180">
        <v>110000</v>
      </c>
      <c r="AJ6" s="179">
        <v>0</v>
      </c>
      <c r="AK6" s="176">
        <v>0</v>
      </c>
      <c r="AL6" s="184">
        <f t="shared" si="0"/>
        <v>110000</v>
      </c>
      <c r="AN6" s="177">
        <v>10020080</v>
      </c>
      <c r="AO6" s="177" t="s">
        <v>1135</v>
      </c>
      <c r="AP6" s="177" t="s">
        <v>692</v>
      </c>
      <c r="AQ6" s="178">
        <v>110000</v>
      </c>
      <c r="AR6" s="179">
        <v>0</v>
      </c>
      <c r="AS6" s="180">
        <v>100000</v>
      </c>
      <c r="AT6" s="179"/>
      <c r="AU6" s="179">
        <v>10000</v>
      </c>
      <c r="AV6" s="184">
        <f t="shared" si="1"/>
        <v>10000</v>
      </c>
      <c r="AW6" s="188"/>
    </row>
    <row r="7" spans="1:49" ht="15.75" x14ac:dyDescent="0.25">
      <c r="A7" s="4">
        <v>1007</v>
      </c>
      <c r="B7" s="219">
        <v>5617.0999999999958</v>
      </c>
      <c r="D7" s="201"/>
      <c r="E7" s="71">
        <v>10100049</v>
      </c>
      <c r="F7" s="42">
        <v>11274</v>
      </c>
      <c r="H7" s="199"/>
      <c r="I7" s="71">
        <v>10660028</v>
      </c>
      <c r="J7" s="68">
        <v>75000</v>
      </c>
      <c r="L7" s="39"/>
      <c r="M7" s="4">
        <v>10030020</v>
      </c>
      <c r="N7" s="72">
        <v>14200</v>
      </c>
      <c r="Q7" s="189"/>
      <c r="R7" s="189"/>
      <c r="S7" s="189"/>
      <c r="T7" s="189"/>
      <c r="U7" s="4"/>
      <c r="W7" s="41">
        <v>10010028</v>
      </c>
      <c r="X7">
        <v>500</v>
      </c>
      <c r="AC7" s="182" t="s">
        <v>857</v>
      </c>
      <c r="AD7" s="172" t="s">
        <v>1122</v>
      </c>
      <c r="AE7" s="172" t="s">
        <v>1134</v>
      </c>
      <c r="AF7" s="172" t="s">
        <v>692</v>
      </c>
      <c r="AG7" s="173">
        <v>110000</v>
      </c>
      <c r="AH7" s="174">
        <v>0</v>
      </c>
      <c r="AI7" s="175">
        <v>110000</v>
      </c>
      <c r="AJ7" s="174">
        <v>0</v>
      </c>
      <c r="AK7" s="176">
        <v>0</v>
      </c>
      <c r="AL7" s="184">
        <f t="shared" si="0"/>
        <v>110000</v>
      </c>
      <c r="AN7" s="172">
        <v>10530081</v>
      </c>
      <c r="AO7" s="172" t="s">
        <v>1135</v>
      </c>
      <c r="AP7" s="172" t="s">
        <v>692</v>
      </c>
      <c r="AQ7" s="173">
        <v>110000</v>
      </c>
      <c r="AR7" s="174">
        <v>0</v>
      </c>
      <c r="AS7" s="175">
        <v>100000</v>
      </c>
      <c r="AT7" s="174"/>
      <c r="AU7" s="174">
        <v>10000</v>
      </c>
      <c r="AV7" s="184">
        <f t="shared" si="1"/>
        <v>10000</v>
      </c>
      <c r="AW7" s="187"/>
    </row>
    <row r="8" spans="1:49" ht="15.75" x14ac:dyDescent="0.25">
      <c r="A8" s="4">
        <v>1008</v>
      </c>
      <c r="B8" s="219">
        <v>3204.1800000000007</v>
      </c>
      <c r="D8" s="201"/>
      <c r="E8" s="71">
        <v>10770045</v>
      </c>
      <c r="F8" s="42">
        <v>12800</v>
      </c>
      <c r="H8" s="199"/>
      <c r="I8" s="71">
        <v>10660029</v>
      </c>
      <c r="J8" s="68">
        <v>75000</v>
      </c>
      <c r="L8" s="39"/>
      <c r="M8" s="4">
        <v>10090023</v>
      </c>
      <c r="N8" s="72">
        <v>9996</v>
      </c>
      <c r="Q8" s="189"/>
      <c r="R8" s="189"/>
      <c r="S8" s="189"/>
      <c r="T8" s="189"/>
      <c r="U8" s="4"/>
      <c r="W8" s="41">
        <v>10010040</v>
      </c>
      <c r="X8">
        <v>500</v>
      </c>
      <c r="AC8" s="183" t="s">
        <v>858</v>
      </c>
      <c r="AD8" s="177" t="s">
        <v>840</v>
      </c>
      <c r="AE8" s="177" t="s">
        <v>1134</v>
      </c>
      <c r="AF8" s="177" t="s">
        <v>692</v>
      </c>
      <c r="AG8" s="178">
        <v>110000</v>
      </c>
      <c r="AH8" s="179">
        <v>0</v>
      </c>
      <c r="AI8" s="180">
        <v>110000</v>
      </c>
      <c r="AJ8" s="179">
        <v>0</v>
      </c>
      <c r="AK8" s="176">
        <v>0</v>
      </c>
      <c r="AL8" s="184">
        <f t="shared" si="0"/>
        <v>110000</v>
      </c>
      <c r="AN8" s="177">
        <v>10130067</v>
      </c>
      <c r="AO8" s="177" t="s">
        <v>1135</v>
      </c>
      <c r="AP8" s="177" t="s">
        <v>692</v>
      </c>
      <c r="AQ8" s="178">
        <v>110000</v>
      </c>
      <c r="AR8" s="179">
        <v>0</v>
      </c>
      <c r="AS8" s="180">
        <v>95000</v>
      </c>
      <c r="AT8" s="179"/>
      <c r="AU8" s="179">
        <v>15000</v>
      </c>
      <c r="AV8" s="184">
        <f t="shared" si="1"/>
        <v>5000</v>
      </c>
      <c r="AW8" s="188"/>
    </row>
    <row r="9" spans="1:49" ht="15.75" x14ac:dyDescent="0.25">
      <c r="A9" s="4">
        <v>1009</v>
      </c>
      <c r="B9" s="219">
        <v>8712.7700000000041</v>
      </c>
      <c r="D9" s="201"/>
      <c r="E9" s="71">
        <v>10100009</v>
      </c>
      <c r="F9" s="42">
        <v>2886.1269635973586</v>
      </c>
      <c r="H9" s="199"/>
      <c r="I9" s="71">
        <v>10650022</v>
      </c>
      <c r="J9" s="68">
        <v>80000</v>
      </c>
      <c r="L9" s="39"/>
      <c r="M9" s="4">
        <v>10120022</v>
      </c>
      <c r="N9" s="72">
        <v>4573</v>
      </c>
      <c r="Q9" s="189"/>
      <c r="R9" s="189"/>
      <c r="S9" s="189"/>
      <c r="T9" s="189"/>
      <c r="U9" s="4"/>
      <c r="W9" s="41">
        <v>10010044</v>
      </c>
      <c r="X9">
        <v>500</v>
      </c>
      <c r="AC9" s="182" t="s">
        <v>859</v>
      </c>
      <c r="AD9" s="172" t="s">
        <v>1123</v>
      </c>
      <c r="AE9" s="172" t="s">
        <v>1135</v>
      </c>
      <c r="AF9" s="172" t="s">
        <v>692</v>
      </c>
      <c r="AG9" s="173">
        <v>110000</v>
      </c>
      <c r="AH9" s="174">
        <v>10000</v>
      </c>
      <c r="AI9" s="175">
        <v>100000</v>
      </c>
      <c r="AJ9" s="174">
        <v>0</v>
      </c>
      <c r="AK9" s="176">
        <v>10000</v>
      </c>
      <c r="AL9" s="184">
        <f t="shared" si="0"/>
        <v>100000</v>
      </c>
      <c r="AN9" s="172">
        <v>10560006</v>
      </c>
      <c r="AO9" s="172" t="s">
        <v>1135</v>
      </c>
      <c r="AP9" s="172" t="s">
        <v>692</v>
      </c>
      <c r="AQ9" s="173">
        <v>110000</v>
      </c>
      <c r="AR9" s="174">
        <v>0</v>
      </c>
      <c r="AS9" s="175">
        <v>100000</v>
      </c>
      <c r="AT9" s="174"/>
      <c r="AU9" s="174">
        <v>10000</v>
      </c>
      <c r="AV9" s="184">
        <f t="shared" si="1"/>
        <v>10000</v>
      </c>
      <c r="AW9" s="187"/>
    </row>
    <row r="10" spans="1:49" ht="15.75" x14ac:dyDescent="0.25">
      <c r="A10" s="4">
        <v>10010021</v>
      </c>
      <c r="B10" s="219">
        <v>990.49</v>
      </c>
      <c r="D10" s="201"/>
      <c r="E10" s="71">
        <v>10100060</v>
      </c>
      <c r="F10" s="42">
        <v>16000</v>
      </c>
      <c r="H10" s="199"/>
      <c r="I10" s="71">
        <v>10110189</v>
      </c>
      <c r="J10" s="68">
        <v>85000</v>
      </c>
      <c r="L10" s="39"/>
      <c r="M10" s="4">
        <v>10480004</v>
      </c>
      <c r="N10" s="72">
        <v>6241</v>
      </c>
      <c r="Q10" s="189"/>
      <c r="R10" s="189"/>
      <c r="S10" s="189"/>
      <c r="T10" s="189"/>
      <c r="U10" s="4"/>
      <c r="W10" s="41">
        <v>10010055</v>
      </c>
      <c r="X10">
        <v>500</v>
      </c>
      <c r="AC10" s="183" t="s">
        <v>860</v>
      </c>
      <c r="AD10" s="177" t="s">
        <v>850</v>
      </c>
      <c r="AE10" s="177" t="s">
        <v>1135</v>
      </c>
      <c r="AF10" s="177" t="s">
        <v>692</v>
      </c>
      <c r="AG10" s="178">
        <v>110000</v>
      </c>
      <c r="AH10" s="179">
        <v>10000</v>
      </c>
      <c r="AI10" s="180">
        <v>100000</v>
      </c>
      <c r="AJ10" s="179">
        <v>0</v>
      </c>
      <c r="AK10" s="181">
        <v>10000</v>
      </c>
      <c r="AL10" s="184">
        <f t="shared" si="0"/>
        <v>100000</v>
      </c>
      <c r="AN10" s="177">
        <v>10060116</v>
      </c>
      <c r="AO10" s="177" t="s">
        <v>1135</v>
      </c>
      <c r="AP10" s="177" t="s">
        <v>692</v>
      </c>
      <c r="AQ10" s="178">
        <v>110000</v>
      </c>
      <c r="AR10" s="179">
        <v>0</v>
      </c>
      <c r="AS10" s="180">
        <v>100000</v>
      </c>
      <c r="AT10" s="179"/>
      <c r="AU10" s="179">
        <v>10000</v>
      </c>
      <c r="AV10" s="184">
        <f t="shared" si="1"/>
        <v>10000</v>
      </c>
      <c r="AW10" s="188"/>
    </row>
    <row r="11" spans="1:49" ht="15.75" x14ac:dyDescent="0.25">
      <c r="A11" s="4">
        <v>10010027</v>
      </c>
      <c r="B11" s="219">
        <v>52.489999999999995</v>
      </c>
      <c r="D11" s="201"/>
      <c r="E11" s="71">
        <v>10070046</v>
      </c>
      <c r="F11" s="42">
        <v>2318.2505999999994</v>
      </c>
      <c r="H11" s="199"/>
      <c r="I11" s="71">
        <v>10020088</v>
      </c>
      <c r="J11" s="68">
        <v>85000</v>
      </c>
      <c r="L11" s="39"/>
      <c r="M11" s="4">
        <v>10100036</v>
      </c>
      <c r="N11" s="72">
        <v>8196</v>
      </c>
      <c r="Q11" s="189"/>
      <c r="R11" s="189"/>
      <c r="S11" s="189"/>
      <c r="T11" s="189"/>
      <c r="U11" s="4"/>
      <c r="W11" s="41">
        <v>10010058</v>
      </c>
      <c r="X11">
        <v>500</v>
      </c>
      <c r="AC11" s="182" t="s">
        <v>861</v>
      </c>
      <c r="AD11" s="172" t="s">
        <v>836</v>
      </c>
      <c r="AE11" s="172" t="s">
        <v>1135</v>
      </c>
      <c r="AF11" s="172" t="s">
        <v>692</v>
      </c>
      <c r="AG11" s="173">
        <v>110000</v>
      </c>
      <c r="AH11" s="174">
        <v>8000</v>
      </c>
      <c r="AI11" s="175">
        <v>102000</v>
      </c>
      <c r="AJ11" s="174">
        <v>0</v>
      </c>
      <c r="AK11" s="176">
        <v>8000</v>
      </c>
      <c r="AL11" s="184">
        <f t="shared" si="0"/>
        <v>102000</v>
      </c>
      <c r="AN11" s="172">
        <v>10560003</v>
      </c>
      <c r="AO11" s="172" t="s">
        <v>1134</v>
      </c>
      <c r="AP11" s="172" t="s">
        <v>692</v>
      </c>
      <c r="AQ11" s="173">
        <v>110000</v>
      </c>
      <c r="AR11" s="174">
        <v>0</v>
      </c>
      <c r="AS11" s="175">
        <v>110000</v>
      </c>
      <c r="AT11" s="174"/>
      <c r="AU11" s="174"/>
      <c r="AV11" s="184">
        <f t="shared" si="1"/>
        <v>20000</v>
      </c>
      <c r="AW11" s="187"/>
    </row>
    <row r="12" spans="1:49" ht="15.75" x14ac:dyDescent="0.25">
      <c r="A12" s="4">
        <v>10010030</v>
      </c>
      <c r="B12" s="219">
        <v>52.489999999999995</v>
      </c>
      <c r="D12" s="201"/>
      <c r="E12" s="71">
        <v>10100051</v>
      </c>
      <c r="F12" s="42">
        <v>14430.109400000001</v>
      </c>
      <c r="H12" s="199"/>
      <c r="I12" s="71">
        <v>10540050</v>
      </c>
      <c r="J12" s="68">
        <v>85000</v>
      </c>
      <c r="L12" s="39"/>
      <c r="M12" s="4">
        <v>10130045</v>
      </c>
      <c r="N12" s="72">
        <v>4500</v>
      </c>
      <c r="Q12" s="189"/>
      <c r="R12" s="189"/>
      <c r="S12" s="189"/>
      <c r="T12" s="189"/>
      <c r="U12" s="4"/>
      <c r="W12" s="41">
        <v>10010059</v>
      </c>
      <c r="X12">
        <v>500</v>
      </c>
      <c r="AC12" s="183" t="s">
        <v>862</v>
      </c>
      <c r="AD12" s="177" t="s">
        <v>672</v>
      </c>
      <c r="AE12" s="177" t="s">
        <v>1135</v>
      </c>
      <c r="AF12" s="177" t="s">
        <v>692</v>
      </c>
      <c r="AG12" s="178">
        <v>110000</v>
      </c>
      <c r="AH12" s="179">
        <v>10908</v>
      </c>
      <c r="AI12" s="180">
        <v>99092</v>
      </c>
      <c r="AJ12" s="179">
        <v>908</v>
      </c>
      <c r="AK12" s="181">
        <v>10000</v>
      </c>
      <c r="AL12" s="184">
        <f t="shared" si="0"/>
        <v>99092</v>
      </c>
      <c r="AN12" s="177">
        <v>10080106</v>
      </c>
      <c r="AO12" s="177" t="s">
        <v>1135</v>
      </c>
      <c r="AP12" s="177" t="s">
        <v>692</v>
      </c>
      <c r="AQ12" s="178">
        <v>110000</v>
      </c>
      <c r="AR12" s="179">
        <v>0</v>
      </c>
      <c r="AS12" s="180">
        <v>95000</v>
      </c>
      <c r="AT12" s="179"/>
      <c r="AU12" s="179">
        <v>15000</v>
      </c>
      <c r="AV12" s="184">
        <f t="shared" si="1"/>
        <v>5000</v>
      </c>
      <c r="AW12" s="188">
        <v>45875</v>
      </c>
    </row>
    <row r="13" spans="1:49" ht="15.75" x14ac:dyDescent="0.25">
      <c r="A13" s="4">
        <v>10010040</v>
      </c>
      <c r="B13" s="219">
        <v>52.489999999999995</v>
      </c>
      <c r="D13" s="201"/>
      <c r="E13" s="71">
        <v>10070047</v>
      </c>
      <c r="F13" s="42">
        <v>6400</v>
      </c>
      <c r="H13" s="199"/>
      <c r="I13" s="71">
        <v>10550010</v>
      </c>
      <c r="J13" s="68">
        <v>85000</v>
      </c>
      <c r="L13" s="39"/>
      <c r="M13" s="4">
        <v>10140020</v>
      </c>
      <c r="N13" s="72">
        <v>5000</v>
      </c>
      <c r="Q13" s="189"/>
      <c r="R13" s="189"/>
      <c r="S13" s="189"/>
      <c r="T13" s="189"/>
      <c r="U13" s="4"/>
      <c r="W13" s="41">
        <v>10010069</v>
      </c>
      <c r="X13">
        <v>500</v>
      </c>
      <c r="AC13" s="182" t="s">
        <v>863</v>
      </c>
      <c r="AD13" s="172" t="s">
        <v>673</v>
      </c>
      <c r="AE13" s="172" t="s">
        <v>1135</v>
      </c>
      <c r="AF13" s="172" t="s">
        <v>692</v>
      </c>
      <c r="AG13" s="173">
        <v>110000</v>
      </c>
      <c r="AH13" s="174">
        <v>10476</v>
      </c>
      <c r="AI13" s="175">
        <v>99524</v>
      </c>
      <c r="AJ13" s="174">
        <v>476</v>
      </c>
      <c r="AK13" s="176">
        <v>10000</v>
      </c>
      <c r="AL13" s="184">
        <f t="shared" si="0"/>
        <v>99524</v>
      </c>
      <c r="AN13" s="172">
        <v>10060115</v>
      </c>
      <c r="AO13" s="172" t="s">
        <v>1135</v>
      </c>
      <c r="AP13" s="172" t="s">
        <v>692</v>
      </c>
      <c r="AQ13" s="173">
        <v>110000</v>
      </c>
      <c r="AR13" s="174">
        <v>0</v>
      </c>
      <c r="AS13" s="175">
        <v>99984</v>
      </c>
      <c r="AT13" s="174"/>
      <c r="AU13" s="174">
        <v>10000</v>
      </c>
      <c r="AV13" s="184">
        <f t="shared" si="1"/>
        <v>10000</v>
      </c>
      <c r="AW13" s="187"/>
    </row>
    <row r="14" spans="1:49" ht="15.75" x14ac:dyDescent="0.25">
      <c r="A14" s="4">
        <v>10010069</v>
      </c>
      <c r="B14" s="219">
        <v>52.489999999999995</v>
      </c>
      <c r="D14" s="201"/>
      <c r="E14" s="71">
        <v>10070052</v>
      </c>
      <c r="F14" s="42">
        <v>3200</v>
      </c>
      <c r="H14" s="199"/>
      <c r="I14" s="71">
        <v>10550011</v>
      </c>
      <c r="J14" s="68">
        <v>85000</v>
      </c>
      <c r="L14" s="39"/>
      <c r="M14" s="4">
        <v>10100019</v>
      </c>
      <c r="N14" s="72">
        <v>5000</v>
      </c>
      <c r="Q14" s="233"/>
      <c r="R14" s="46"/>
      <c r="S14" s="46"/>
      <c r="T14" s="233">
        <f>SUM(T3:T13)</f>
        <v>17900</v>
      </c>
      <c r="U14" s="4">
        <f>SUM(U3:U13)</f>
        <v>12154</v>
      </c>
      <c r="W14" s="41">
        <v>10010071</v>
      </c>
      <c r="X14">
        <v>500</v>
      </c>
      <c r="AC14" s="183" t="s">
        <v>864</v>
      </c>
      <c r="AD14" s="177" t="s">
        <v>693</v>
      </c>
      <c r="AE14" s="177" t="s">
        <v>1135</v>
      </c>
      <c r="AF14" s="177" t="s">
        <v>692</v>
      </c>
      <c r="AG14" s="178">
        <v>110000</v>
      </c>
      <c r="AH14" s="179">
        <v>10000</v>
      </c>
      <c r="AI14" s="180">
        <v>100000</v>
      </c>
      <c r="AJ14" s="179">
        <v>0</v>
      </c>
      <c r="AK14" s="181">
        <v>10000</v>
      </c>
      <c r="AL14" s="184">
        <f t="shared" si="0"/>
        <v>100000</v>
      </c>
      <c r="AN14" s="177">
        <v>10010126</v>
      </c>
      <c r="AO14" s="177" t="s">
        <v>1135</v>
      </c>
      <c r="AP14" s="177" t="s">
        <v>692</v>
      </c>
      <c r="AQ14" s="178">
        <v>110000</v>
      </c>
      <c r="AR14" s="179">
        <v>0</v>
      </c>
      <c r="AS14" s="180">
        <v>99994</v>
      </c>
      <c r="AT14" s="179"/>
      <c r="AU14" s="179">
        <v>10000</v>
      </c>
      <c r="AV14" s="184">
        <f t="shared" si="1"/>
        <v>10000</v>
      </c>
      <c r="AW14" s="188"/>
    </row>
    <row r="15" spans="1:49" x14ac:dyDescent="0.25">
      <c r="A15" s="4">
        <v>10010080</v>
      </c>
      <c r="B15" s="219">
        <v>711.49</v>
      </c>
      <c r="D15" s="201"/>
      <c r="E15" s="71">
        <v>10110105</v>
      </c>
      <c r="F15" s="42">
        <v>9600</v>
      </c>
      <c r="H15" s="199"/>
      <c r="I15" s="71">
        <v>10650023</v>
      </c>
      <c r="J15" s="68">
        <v>85000</v>
      </c>
      <c r="L15" s="39"/>
      <c r="M15" s="4">
        <v>10060030</v>
      </c>
      <c r="N15" s="72">
        <v>44</v>
      </c>
      <c r="W15" s="41">
        <v>10010075</v>
      </c>
      <c r="X15">
        <v>500</v>
      </c>
      <c r="AC15" s="182" t="s">
        <v>865</v>
      </c>
      <c r="AD15" s="172" t="s">
        <v>694</v>
      </c>
      <c r="AE15" s="172" t="s">
        <v>1135</v>
      </c>
      <c r="AF15" s="172" t="s">
        <v>692</v>
      </c>
      <c r="AG15" s="173">
        <v>110000</v>
      </c>
      <c r="AH15" s="174">
        <v>10000</v>
      </c>
      <c r="AI15" s="175">
        <v>100000</v>
      </c>
      <c r="AJ15" s="174">
        <v>0</v>
      </c>
      <c r="AK15" s="176">
        <v>10000</v>
      </c>
      <c r="AL15" s="184">
        <f t="shared" si="0"/>
        <v>100000</v>
      </c>
      <c r="AN15" s="172">
        <v>10080105</v>
      </c>
      <c r="AO15" s="172" t="s">
        <v>1134</v>
      </c>
      <c r="AP15" s="172" t="s">
        <v>692</v>
      </c>
      <c r="AQ15" s="173">
        <v>110000</v>
      </c>
      <c r="AR15" s="174">
        <v>0</v>
      </c>
      <c r="AS15" s="175">
        <v>109981</v>
      </c>
      <c r="AT15" s="174"/>
      <c r="AU15" s="174"/>
      <c r="AV15" s="184">
        <f t="shared" si="1"/>
        <v>20000</v>
      </c>
      <c r="AW15" s="187"/>
    </row>
    <row r="16" spans="1:49" x14ac:dyDescent="0.25">
      <c r="A16" s="4">
        <v>10010081</v>
      </c>
      <c r="B16" s="219">
        <v>52.489999999999995</v>
      </c>
      <c r="D16" s="201"/>
      <c r="E16" s="71">
        <v>10140099</v>
      </c>
      <c r="F16" s="42">
        <v>2329.0893371431998</v>
      </c>
      <c r="H16" s="199"/>
      <c r="I16" s="71">
        <v>10530113</v>
      </c>
      <c r="J16" s="68">
        <v>85000</v>
      </c>
      <c r="L16" s="39"/>
      <c r="M16" s="4">
        <v>10120034</v>
      </c>
      <c r="N16" s="72">
        <v>1597</v>
      </c>
      <c r="W16" s="41">
        <v>10010080</v>
      </c>
      <c r="X16">
        <v>500</v>
      </c>
      <c r="AC16" s="183" t="s">
        <v>866</v>
      </c>
      <c r="AD16" s="177" t="s">
        <v>671</v>
      </c>
      <c r="AE16" s="177" t="s">
        <v>1135</v>
      </c>
      <c r="AF16" s="177" t="s">
        <v>692</v>
      </c>
      <c r="AG16" s="178">
        <v>110000</v>
      </c>
      <c r="AH16" s="179">
        <v>10076</v>
      </c>
      <c r="AI16" s="180">
        <v>99924</v>
      </c>
      <c r="AJ16" s="179">
        <v>76</v>
      </c>
      <c r="AK16" s="181">
        <v>10000</v>
      </c>
      <c r="AL16" s="184">
        <f t="shared" si="0"/>
        <v>99924</v>
      </c>
      <c r="AN16" s="177">
        <v>10540021</v>
      </c>
      <c r="AO16" s="177" t="s">
        <v>1135</v>
      </c>
      <c r="AP16" s="177" t="s">
        <v>692</v>
      </c>
      <c r="AQ16" s="178">
        <v>110000</v>
      </c>
      <c r="AR16" s="179">
        <v>0</v>
      </c>
      <c r="AS16" s="180">
        <v>99998</v>
      </c>
      <c r="AT16" s="179"/>
      <c r="AU16" s="179">
        <v>10000</v>
      </c>
      <c r="AV16" s="184">
        <f t="shared" si="1"/>
        <v>10000</v>
      </c>
      <c r="AW16" s="188"/>
    </row>
    <row r="17" spans="1:49" x14ac:dyDescent="0.25">
      <c r="A17" s="4">
        <v>10010088</v>
      </c>
      <c r="B17" s="219">
        <v>52.489999999999995</v>
      </c>
      <c r="D17" s="201"/>
      <c r="E17" s="71">
        <v>10140107</v>
      </c>
      <c r="F17" s="42">
        <v>13515</v>
      </c>
      <c r="H17" s="199"/>
      <c r="I17" s="71">
        <v>10530114</v>
      </c>
      <c r="J17" s="68">
        <v>85000</v>
      </c>
      <c r="L17" s="39"/>
      <c r="M17" s="4">
        <v>10140043</v>
      </c>
      <c r="N17" s="72">
        <v>3000</v>
      </c>
      <c r="W17" s="41">
        <v>10010081</v>
      </c>
      <c r="X17">
        <v>500</v>
      </c>
      <c r="AC17" s="182" t="s">
        <v>867</v>
      </c>
      <c r="AD17" s="172" t="s">
        <v>1124</v>
      </c>
      <c r="AE17" s="172" t="s">
        <v>1135</v>
      </c>
      <c r="AF17" s="172" t="s">
        <v>692</v>
      </c>
      <c r="AG17" s="173">
        <v>110000</v>
      </c>
      <c r="AH17" s="174">
        <v>10000</v>
      </c>
      <c r="AI17" s="175">
        <v>100000</v>
      </c>
      <c r="AJ17" s="174">
        <v>0</v>
      </c>
      <c r="AK17" s="176">
        <v>10000</v>
      </c>
      <c r="AL17" s="184">
        <f t="shared" si="0"/>
        <v>100000</v>
      </c>
      <c r="AN17" s="172">
        <v>10530070</v>
      </c>
      <c r="AO17" s="172" t="s">
        <v>1135</v>
      </c>
      <c r="AP17" s="172" t="s">
        <v>692</v>
      </c>
      <c r="AQ17" s="173">
        <v>110000</v>
      </c>
      <c r="AR17" s="174">
        <v>0</v>
      </c>
      <c r="AS17" s="175">
        <v>93913</v>
      </c>
      <c r="AT17" s="174"/>
      <c r="AU17" s="174">
        <v>14000</v>
      </c>
      <c r="AV17" s="184">
        <f t="shared" si="1"/>
        <v>6000</v>
      </c>
      <c r="AW17" s="187">
        <v>45834</v>
      </c>
    </row>
    <row r="18" spans="1:49" x14ac:dyDescent="0.25">
      <c r="A18" s="4">
        <v>10010096</v>
      </c>
      <c r="B18" s="219">
        <v>1136.49</v>
      </c>
      <c r="D18" s="201"/>
      <c r="E18" s="71">
        <v>10140119</v>
      </c>
      <c r="F18" s="42">
        <v>2334.7411204358432</v>
      </c>
      <c r="H18" s="199"/>
      <c r="I18" s="71">
        <v>10140208</v>
      </c>
      <c r="J18" s="68">
        <v>65000</v>
      </c>
      <c r="L18" s="39"/>
      <c r="M18" s="4">
        <v>10130013</v>
      </c>
      <c r="N18" s="72">
        <v>913</v>
      </c>
      <c r="U18" s="11">
        <f>U14+T43</f>
        <v>12154</v>
      </c>
      <c r="W18" s="41">
        <v>10010082</v>
      </c>
      <c r="X18">
        <v>500</v>
      </c>
      <c r="AC18" s="183" t="s">
        <v>868</v>
      </c>
      <c r="AD18" s="177" t="s">
        <v>846</v>
      </c>
      <c r="AE18" s="177" t="s">
        <v>1135</v>
      </c>
      <c r="AF18" s="177" t="s">
        <v>692</v>
      </c>
      <c r="AG18" s="178">
        <v>110000</v>
      </c>
      <c r="AH18" s="179">
        <v>10000</v>
      </c>
      <c r="AI18" s="180">
        <v>100000</v>
      </c>
      <c r="AJ18" s="179">
        <v>0</v>
      </c>
      <c r="AK18" s="181">
        <v>10000</v>
      </c>
      <c r="AL18" s="184">
        <f t="shared" si="0"/>
        <v>100000</v>
      </c>
      <c r="AN18" s="177">
        <v>10020076</v>
      </c>
      <c r="AO18" s="177" t="s">
        <v>1135</v>
      </c>
      <c r="AP18" s="177" t="s">
        <v>692</v>
      </c>
      <c r="AQ18" s="178">
        <v>110000</v>
      </c>
      <c r="AR18" s="179">
        <v>0</v>
      </c>
      <c r="AS18" s="180">
        <v>99982</v>
      </c>
      <c r="AT18" s="179"/>
      <c r="AU18" s="179">
        <v>10000</v>
      </c>
      <c r="AV18" s="184">
        <f t="shared" si="1"/>
        <v>10000</v>
      </c>
      <c r="AW18" s="188">
        <v>45861</v>
      </c>
    </row>
    <row r="19" spans="1:49" x14ac:dyDescent="0.25">
      <c r="A19" s="4">
        <v>10010108</v>
      </c>
      <c r="B19" s="219">
        <v>377.1</v>
      </c>
      <c r="D19" s="201"/>
      <c r="E19" s="71">
        <v>10140137</v>
      </c>
      <c r="F19" s="42">
        <v>6400</v>
      </c>
      <c r="H19" s="199"/>
      <c r="I19" s="71">
        <v>10600015</v>
      </c>
      <c r="J19" s="68">
        <v>75000</v>
      </c>
      <c r="L19" s="39"/>
      <c r="M19" s="4">
        <v>10090048</v>
      </c>
      <c r="N19" s="72">
        <v>3000</v>
      </c>
      <c r="W19" s="41">
        <v>10020027</v>
      </c>
      <c r="X19">
        <v>500</v>
      </c>
      <c r="AC19" s="182" t="s">
        <v>869</v>
      </c>
      <c r="AD19" s="172" t="s">
        <v>1125</v>
      </c>
      <c r="AE19" s="172" t="s">
        <v>1134</v>
      </c>
      <c r="AF19" s="172" t="s">
        <v>692</v>
      </c>
      <c r="AG19" s="173">
        <v>110000</v>
      </c>
      <c r="AH19" s="174">
        <v>0</v>
      </c>
      <c r="AI19" s="175">
        <v>110000</v>
      </c>
      <c r="AJ19" s="174">
        <v>0</v>
      </c>
      <c r="AK19" s="176">
        <v>0</v>
      </c>
      <c r="AL19" s="184">
        <f t="shared" si="0"/>
        <v>110000</v>
      </c>
      <c r="AN19" s="172">
        <v>10020077</v>
      </c>
      <c r="AO19" s="172" t="s">
        <v>1135</v>
      </c>
      <c r="AP19" s="172" t="s">
        <v>692</v>
      </c>
      <c r="AQ19" s="173">
        <v>110000</v>
      </c>
      <c r="AR19" s="174">
        <v>0</v>
      </c>
      <c r="AS19" s="175">
        <v>94982</v>
      </c>
      <c r="AT19" s="174"/>
      <c r="AU19" s="174">
        <v>15000</v>
      </c>
      <c r="AV19" s="184">
        <f t="shared" si="1"/>
        <v>5000</v>
      </c>
      <c r="AW19" s="187">
        <v>45861</v>
      </c>
    </row>
    <row r="20" spans="1:49" x14ac:dyDescent="0.25">
      <c r="A20" s="4">
        <v>10030067</v>
      </c>
      <c r="B20" s="219">
        <v>582.8599999999999</v>
      </c>
      <c r="D20" s="201"/>
      <c r="E20" s="71">
        <v>10140098</v>
      </c>
      <c r="F20" s="42">
        <v>6944</v>
      </c>
      <c r="H20" s="199"/>
      <c r="I20" s="71">
        <v>10600016</v>
      </c>
      <c r="J20" s="68">
        <v>65000</v>
      </c>
      <c r="L20" s="39"/>
      <c r="M20" s="4">
        <v>10130009</v>
      </c>
      <c r="N20" s="72">
        <v>3000</v>
      </c>
      <c r="W20" s="41">
        <v>10020028</v>
      </c>
      <c r="X20">
        <v>500</v>
      </c>
      <c r="AC20" s="183" t="s">
        <v>870</v>
      </c>
      <c r="AD20" s="177" t="s">
        <v>1126</v>
      </c>
      <c r="AE20" s="177" t="s">
        <v>1134</v>
      </c>
      <c r="AF20" s="177" t="s">
        <v>692</v>
      </c>
      <c r="AG20" s="178">
        <v>110000</v>
      </c>
      <c r="AH20" s="179">
        <v>0</v>
      </c>
      <c r="AI20" s="180">
        <v>110000</v>
      </c>
      <c r="AJ20" s="179">
        <v>0</v>
      </c>
      <c r="AK20" s="176">
        <v>0</v>
      </c>
      <c r="AL20" s="184">
        <f t="shared" si="0"/>
        <v>110000</v>
      </c>
      <c r="AN20" s="177">
        <v>10020078</v>
      </c>
      <c r="AO20" s="177" t="s">
        <v>1135</v>
      </c>
      <c r="AP20" s="177" t="s">
        <v>692</v>
      </c>
      <c r="AQ20" s="178">
        <v>110000</v>
      </c>
      <c r="AR20" s="179">
        <v>0</v>
      </c>
      <c r="AS20" s="180">
        <v>99982</v>
      </c>
      <c r="AT20" s="179"/>
      <c r="AU20" s="179">
        <v>10000</v>
      </c>
      <c r="AV20" s="184">
        <f t="shared" si="1"/>
        <v>10000</v>
      </c>
      <c r="AW20" s="188">
        <v>45861</v>
      </c>
    </row>
    <row r="21" spans="1:49" x14ac:dyDescent="0.25">
      <c r="A21" s="4">
        <v>10060030</v>
      </c>
      <c r="B21" s="219">
        <v>348.52</v>
      </c>
      <c r="D21" s="201"/>
      <c r="E21" s="71">
        <v>10140139</v>
      </c>
      <c r="F21" s="42">
        <v>6062.0788000000002</v>
      </c>
      <c r="H21" s="199"/>
      <c r="I21" s="71">
        <v>10660017</v>
      </c>
      <c r="J21" s="68">
        <v>85000</v>
      </c>
      <c r="L21" s="39"/>
      <c r="M21" s="4">
        <v>10480014</v>
      </c>
      <c r="N21" s="72">
        <v>3000</v>
      </c>
      <c r="W21" s="41">
        <v>10020037</v>
      </c>
      <c r="X21">
        <v>500</v>
      </c>
      <c r="AC21" s="182" t="s">
        <v>871</v>
      </c>
      <c r="AD21" s="172" t="s">
        <v>847</v>
      </c>
      <c r="AE21" s="172" t="s">
        <v>1135</v>
      </c>
      <c r="AF21" s="172" t="s">
        <v>692</v>
      </c>
      <c r="AG21" s="173">
        <v>110000</v>
      </c>
      <c r="AH21" s="174">
        <v>15000</v>
      </c>
      <c r="AI21" s="175">
        <v>95000</v>
      </c>
      <c r="AJ21" s="174">
        <v>0</v>
      </c>
      <c r="AK21" s="176">
        <v>15000</v>
      </c>
      <c r="AL21" s="184">
        <f t="shared" si="0"/>
        <v>95000</v>
      </c>
      <c r="AN21" s="172">
        <v>10020079</v>
      </c>
      <c r="AO21" s="172" t="s">
        <v>1135</v>
      </c>
      <c r="AP21" s="172" t="s">
        <v>692</v>
      </c>
      <c r="AQ21" s="173">
        <v>110000</v>
      </c>
      <c r="AR21" s="174">
        <v>0</v>
      </c>
      <c r="AS21" s="175">
        <v>99982</v>
      </c>
      <c r="AT21" s="174"/>
      <c r="AU21" s="174">
        <v>10000</v>
      </c>
      <c r="AV21" s="184">
        <f t="shared" si="1"/>
        <v>10000</v>
      </c>
      <c r="AW21" s="187">
        <v>45861</v>
      </c>
    </row>
    <row r="22" spans="1:49" x14ac:dyDescent="0.25">
      <c r="A22" s="4">
        <v>10060034</v>
      </c>
      <c r="B22" s="219">
        <v>594.02</v>
      </c>
      <c r="D22" s="201"/>
      <c r="E22" s="71">
        <v>10140126</v>
      </c>
      <c r="F22" s="42">
        <v>9600</v>
      </c>
      <c r="H22" s="199"/>
      <c r="I22" s="71">
        <v>10650013</v>
      </c>
      <c r="J22" s="68">
        <v>80000</v>
      </c>
      <c r="L22" s="39"/>
      <c r="M22" s="4">
        <v>10140001</v>
      </c>
      <c r="N22" s="72">
        <v>3000</v>
      </c>
      <c r="Q22" s="230" t="s">
        <v>1567</v>
      </c>
      <c r="R22" s="4"/>
      <c r="S22" s="4"/>
      <c r="T22" s="4"/>
      <c r="W22" s="41">
        <v>10020038</v>
      </c>
      <c r="X22">
        <v>500</v>
      </c>
      <c r="AC22" s="183" t="s">
        <v>872</v>
      </c>
      <c r="AD22" s="177" t="s">
        <v>695</v>
      </c>
      <c r="AE22" s="177" t="s">
        <v>1135</v>
      </c>
      <c r="AF22" s="177" t="s">
        <v>692</v>
      </c>
      <c r="AG22" s="178">
        <v>110000</v>
      </c>
      <c r="AH22" s="179">
        <v>5000</v>
      </c>
      <c r="AI22" s="180">
        <v>105000</v>
      </c>
      <c r="AJ22" s="179">
        <v>0</v>
      </c>
      <c r="AK22" s="181">
        <v>5000</v>
      </c>
      <c r="AL22" s="184">
        <f t="shared" si="0"/>
        <v>105000</v>
      </c>
      <c r="AN22" s="177">
        <v>10120108</v>
      </c>
      <c r="AO22" s="177" t="s">
        <v>1135</v>
      </c>
      <c r="AP22" s="177" t="s">
        <v>692</v>
      </c>
      <c r="AQ22" s="178">
        <v>110000</v>
      </c>
      <c r="AR22" s="179">
        <v>0</v>
      </c>
      <c r="AS22" s="180">
        <v>99933</v>
      </c>
      <c r="AT22" s="179"/>
      <c r="AU22" s="179">
        <v>10000</v>
      </c>
      <c r="AV22" s="184">
        <f t="shared" si="1"/>
        <v>10000</v>
      </c>
      <c r="AW22" s="188"/>
    </row>
    <row r="23" spans="1:49" x14ac:dyDescent="0.25">
      <c r="A23" s="4">
        <v>10060071</v>
      </c>
      <c r="B23" s="219">
        <v>3156.33</v>
      </c>
      <c r="D23" s="201"/>
      <c r="E23" s="71">
        <v>10140131</v>
      </c>
      <c r="F23" s="42">
        <v>8288.0897999999997</v>
      </c>
      <c r="H23" s="199"/>
      <c r="I23" s="71">
        <v>10650014</v>
      </c>
      <c r="J23" s="68">
        <v>80000</v>
      </c>
      <c r="L23" s="39"/>
      <c r="M23" s="4">
        <v>10090032</v>
      </c>
      <c r="N23" s="72">
        <v>3000</v>
      </c>
      <c r="Q23" s="4" t="s">
        <v>1568</v>
      </c>
      <c r="R23" s="67" t="s">
        <v>0</v>
      </c>
      <c r="S23" s="4" t="s">
        <v>1574</v>
      </c>
      <c r="T23" s="231" t="s">
        <v>1262</v>
      </c>
      <c r="W23" s="41">
        <v>10020039</v>
      </c>
      <c r="X23">
        <v>500</v>
      </c>
      <c r="AC23" s="182" t="s">
        <v>873</v>
      </c>
      <c r="AD23" s="172" t="s">
        <v>523</v>
      </c>
      <c r="AE23" s="172" t="s">
        <v>1135</v>
      </c>
      <c r="AF23" s="172" t="s">
        <v>692</v>
      </c>
      <c r="AG23" s="173">
        <v>110000</v>
      </c>
      <c r="AH23" s="174">
        <v>15583</v>
      </c>
      <c r="AI23" s="175">
        <v>94417</v>
      </c>
      <c r="AJ23" s="174">
        <v>5583</v>
      </c>
      <c r="AK23" s="176">
        <v>10000</v>
      </c>
      <c r="AL23" s="184">
        <f t="shared" si="0"/>
        <v>94417</v>
      </c>
      <c r="AN23" s="172">
        <v>10530074</v>
      </c>
      <c r="AO23" s="172" t="s">
        <v>1135</v>
      </c>
      <c r="AP23" s="172" t="s">
        <v>692</v>
      </c>
      <c r="AQ23" s="173">
        <v>110000</v>
      </c>
      <c r="AR23" s="174">
        <v>0</v>
      </c>
      <c r="AS23" s="175">
        <v>98139</v>
      </c>
      <c r="AT23" s="174"/>
      <c r="AU23" s="174">
        <v>10000</v>
      </c>
      <c r="AV23" s="184">
        <f t="shared" si="1"/>
        <v>10000</v>
      </c>
      <c r="AW23" s="187">
        <v>45834</v>
      </c>
    </row>
    <row r="24" spans="1:49" x14ac:dyDescent="0.25">
      <c r="A24" s="4">
        <v>10070033</v>
      </c>
      <c r="B24" s="219">
        <v>1862.98</v>
      </c>
      <c r="D24" s="201"/>
      <c r="E24" s="71">
        <v>10140129</v>
      </c>
      <c r="F24" s="42">
        <v>9100</v>
      </c>
      <c r="H24" s="199"/>
      <c r="I24" s="71">
        <v>10650015</v>
      </c>
      <c r="J24" s="68">
        <v>80000</v>
      </c>
      <c r="L24" s="39"/>
      <c r="M24" s="4">
        <v>10140022</v>
      </c>
      <c r="N24" s="72">
        <v>3000</v>
      </c>
      <c r="Q24" s="4"/>
      <c r="R24" s="227"/>
      <c r="S24" s="228"/>
      <c r="T24" s="24"/>
      <c r="W24" s="41">
        <v>10020042</v>
      </c>
      <c r="X24">
        <v>500</v>
      </c>
      <c r="AC24" s="183" t="s">
        <v>874</v>
      </c>
      <c r="AD24" s="177" t="s">
        <v>646</v>
      </c>
      <c r="AE24" s="177" t="s">
        <v>1134</v>
      </c>
      <c r="AF24" s="177" t="s">
        <v>692</v>
      </c>
      <c r="AG24" s="178">
        <v>110000</v>
      </c>
      <c r="AH24" s="179">
        <v>1861</v>
      </c>
      <c r="AI24" s="180">
        <v>108139</v>
      </c>
      <c r="AJ24" s="179">
        <v>1861</v>
      </c>
      <c r="AK24" s="176">
        <v>0</v>
      </c>
      <c r="AL24" s="184">
        <f t="shared" si="0"/>
        <v>108139</v>
      </c>
      <c r="AN24" s="177">
        <v>10140183</v>
      </c>
      <c r="AO24" s="177" t="s">
        <v>1135</v>
      </c>
      <c r="AP24" s="177" t="s">
        <v>692</v>
      </c>
      <c r="AQ24" s="178">
        <v>110000</v>
      </c>
      <c r="AR24" s="179">
        <v>0</v>
      </c>
      <c r="AS24" s="180">
        <v>97343.210180472131</v>
      </c>
      <c r="AT24" s="179"/>
      <c r="AU24" s="179">
        <v>10000</v>
      </c>
      <c r="AV24" s="184">
        <f t="shared" si="1"/>
        <v>10000</v>
      </c>
      <c r="AW24" s="188"/>
    </row>
    <row r="25" spans="1:49" x14ac:dyDescent="0.25">
      <c r="A25" s="4">
        <v>10090030</v>
      </c>
      <c r="B25" s="219">
        <v>451.24</v>
      </c>
      <c r="D25" s="201"/>
      <c r="E25" s="71">
        <v>10140132</v>
      </c>
      <c r="F25" s="42">
        <v>6400</v>
      </c>
      <c r="H25" s="199"/>
      <c r="I25" s="71">
        <v>10650016</v>
      </c>
      <c r="J25" s="68">
        <v>75000</v>
      </c>
      <c r="L25" s="39"/>
      <c r="M25" s="4">
        <v>10140015</v>
      </c>
      <c r="N25" s="72">
        <v>3000</v>
      </c>
      <c r="Q25" s="4"/>
      <c r="R25" s="227"/>
      <c r="S25" s="228"/>
      <c r="T25" s="24"/>
      <c r="W25" s="41">
        <v>10020069</v>
      </c>
      <c r="X25">
        <v>500</v>
      </c>
      <c r="AC25" s="182" t="s">
        <v>875</v>
      </c>
      <c r="AD25" s="172" t="s">
        <v>668</v>
      </c>
      <c r="AE25" s="172" t="s">
        <v>1134</v>
      </c>
      <c r="AF25" s="172" t="s">
        <v>692</v>
      </c>
      <c r="AG25" s="173">
        <v>110000</v>
      </c>
      <c r="AH25" s="174">
        <v>282</v>
      </c>
      <c r="AI25" s="175">
        <v>109718</v>
      </c>
      <c r="AJ25" s="174">
        <v>282</v>
      </c>
      <c r="AK25" s="176">
        <v>0</v>
      </c>
      <c r="AL25" s="184">
        <f t="shared" si="0"/>
        <v>109718</v>
      </c>
      <c r="AN25" s="172">
        <v>10140182</v>
      </c>
      <c r="AO25" s="172" t="s">
        <v>1135</v>
      </c>
      <c r="AP25" s="172" t="s">
        <v>692</v>
      </c>
      <c r="AQ25" s="173">
        <v>110000</v>
      </c>
      <c r="AR25" s="174">
        <v>0</v>
      </c>
      <c r="AS25" s="175">
        <v>99884</v>
      </c>
      <c r="AT25" s="174"/>
      <c r="AU25" s="174">
        <v>8000</v>
      </c>
      <c r="AV25" s="184">
        <f t="shared" si="1"/>
        <v>12000</v>
      </c>
      <c r="AW25" s="187"/>
    </row>
    <row r="26" spans="1:49" x14ac:dyDescent="0.25">
      <c r="A26" s="4">
        <v>10090037</v>
      </c>
      <c r="B26" s="219">
        <v>348.53999999999996</v>
      </c>
      <c r="D26" s="201"/>
      <c r="E26" s="71">
        <v>10140130</v>
      </c>
      <c r="F26" s="42">
        <v>9600</v>
      </c>
      <c r="H26" s="199"/>
      <c r="I26" s="71">
        <v>10610054</v>
      </c>
      <c r="J26" s="68">
        <v>85000</v>
      </c>
      <c r="L26" s="39"/>
      <c r="M26" s="4">
        <v>10070033</v>
      </c>
      <c r="N26" s="72">
        <v>3000</v>
      </c>
      <c r="Q26" s="4"/>
      <c r="R26" s="227"/>
      <c r="S26" s="228"/>
      <c r="T26" s="24"/>
      <c r="W26" s="41">
        <v>10020070</v>
      </c>
      <c r="X26">
        <v>500</v>
      </c>
      <c r="AC26" s="183" t="s">
        <v>876</v>
      </c>
      <c r="AD26" s="177" t="s">
        <v>696</v>
      </c>
      <c r="AE26" s="177" t="s">
        <v>1134</v>
      </c>
      <c r="AF26" s="177" t="s">
        <v>692</v>
      </c>
      <c r="AG26" s="178">
        <v>110000</v>
      </c>
      <c r="AH26" s="179">
        <v>0</v>
      </c>
      <c r="AI26" s="180">
        <v>110000</v>
      </c>
      <c r="AJ26" s="179">
        <v>0</v>
      </c>
      <c r="AK26" s="176">
        <v>0</v>
      </c>
      <c r="AL26" s="184">
        <f t="shared" si="0"/>
        <v>110000</v>
      </c>
      <c r="AN26" s="177">
        <v>10140178</v>
      </c>
      <c r="AO26" s="177" t="s">
        <v>1135</v>
      </c>
      <c r="AP26" s="177" t="s">
        <v>692</v>
      </c>
      <c r="AQ26" s="178">
        <v>110000</v>
      </c>
      <c r="AR26" s="179">
        <v>0</v>
      </c>
      <c r="AS26" s="180">
        <v>95426</v>
      </c>
      <c r="AT26" s="179"/>
      <c r="AU26" s="179">
        <v>10000</v>
      </c>
      <c r="AV26" s="184">
        <f t="shared" si="1"/>
        <v>10000</v>
      </c>
      <c r="AW26" s="188">
        <v>45802</v>
      </c>
    </row>
    <row r="27" spans="1:49" x14ac:dyDescent="0.25">
      <c r="A27" s="4">
        <v>10090054</v>
      </c>
      <c r="B27" s="219">
        <v>128.25</v>
      </c>
      <c r="D27" s="201"/>
      <c r="E27" s="71">
        <v>10120039</v>
      </c>
      <c r="F27" s="42">
        <v>12800</v>
      </c>
      <c r="H27" s="199"/>
      <c r="I27" s="71">
        <v>10610055</v>
      </c>
      <c r="J27" s="68">
        <v>85000</v>
      </c>
      <c r="L27" s="39"/>
      <c r="M27" s="4">
        <v>10100037</v>
      </c>
      <c r="N27" s="72">
        <v>3000</v>
      </c>
      <c r="Q27" s="4"/>
      <c r="R27" s="227"/>
      <c r="S27" s="228"/>
      <c r="T27" s="24"/>
      <c r="W27" s="41">
        <v>10030010</v>
      </c>
      <c r="X27">
        <v>500</v>
      </c>
      <c r="AC27" s="182" t="s">
        <v>877</v>
      </c>
      <c r="AD27" s="172" t="s">
        <v>697</v>
      </c>
      <c r="AE27" s="172" t="s">
        <v>1135</v>
      </c>
      <c r="AF27" s="172" t="s">
        <v>692</v>
      </c>
      <c r="AG27" s="173">
        <v>110000</v>
      </c>
      <c r="AH27" s="174">
        <v>10000</v>
      </c>
      <c r="AI27" s="175">
        <v>100000</v>
      </c>
      <c r="AJ27" s="174">
        <v>0</v>
      </c>
      <c r="AK27" s="176">
        <v>10000</v>
      </c>
      <c r="AL27" s="184">
        <f t="shared" si="0"/>
        <v>100000</v>
      </c>
      <c r="AN27" s="172">
        <v>10140179</v>
      </c>
      <c r="AO27" s="172" t="s">
        <v>1135</v>
      </c>
      <c r="AP27" s="172" t="s">
        <v>692</v>
      </c>
      <c r="AQ27" s="173">
        <v>110000</v>
      </c>
      <c r="AR27" s="174">
        <v>3407</v>
      </c>
      <c r="AS27" s="175">
        <v>92307.328981970408</v>
      </c>
      <c r="AT27" s="174"/>
      <c r="AU27" s="174">
        <v>10000</v>
      </c>
      <c r="AV27" s="184">
        <f t="shared" si="1"/>
        <v>6593</v>
      </c>
      <c r="AW27" s="187">
        <v>45802</v>
      </c>
    </row>
    <row r="28" spans="1:49" x14ac:dyDescent="0.25">
      <c r="A28" s="4">
        <v>10090064</v>
      </c>
      <c r="B28" s="219">
        <v>341.03999999999996</v>
      </c>
      <c r="D28" s="201"/>
      <c r="E28" s="71">
        <v>10130022</v>
      </c>
      <c r="F28" s="42">
        <v>9600</v>
      </c>
      <c r="H28" s="199"/>
      <c r="I28" s="71">
        <v>10140206</v>
      </c>
      <c r="J28" s="68">
        <v>65000</v>
      </c>
      <c r="L28" s="39"/>
      <c r="M28" s="4">
        <v>10070049</v>
      </c>
      <c r="N28" s="72">
        <v>2210</v>
      </c>
      <c r="Q28" s="4"/>
      <c r="R28" s="227"/>
      <c r="S28" s="228"/>
      <c r="T28" s="24"/>
      <c r="W28" s="41">
        <v>10030014</v>
      </c>
      <c r="X28">
        <v>500</v>
      </c>
      <c r="AC28" s="183" t="s">
        <v>878</v>
      </c>
      <c r="AD28" s="177" t="s">
        <v>681</v>
      </c>
      <c r="AE28" s="177" t="s">
        <v>1134</v>
      </c>
      <c r="AF28" s="177" t="s">
        <v>692</v>
      </c>
      <c r="AG28" s="178">
        <v>110000</v>
      </c>
      <c r="AH28" s="179">
        <v>195</v>
      </c>
      <c r="AI28" s="180">
        <v>109805</v>
      </c>
      <c r="AJ28" s="179">
        <v>195</v>
      </c>
      <c r="AK28" s="176">
        <v>0</v>
      </c>
      <c r="AL28" s="184">
        <f t="shared" si="0"/>
        <v>109805</v>
      </c>
      <c r="AN28" s="177">
        <v>10140180</v>
      </c>
      <c r="AO28" s="177" t="s">
        <v>1135</v>
      </c>
      <c r="AP28" s="177" t="s">
        <v>692</v>
      </c>
      <c r="AQ28" s="178">
        <v>110000</v>
      </c>
      <c r="AR28" s="179">
        <v>0</v>
      </c>
      <c r="AS28" s="180">
        <v>97021</v>
      </c>
      <c r="AT28" s="179"/>
      <c r="AU28" s="179">
        <v>10000</v>
      </c>
      <c r="AV28" s="184">
        <f t="shared" si="1"/>
        <v>10000</v>
      </c>
      <c r="AW28" s="188">
        <v>45802</v>
      </c>
    </row>
    <row r="29" spans="1:49" x14ac:dyDescent="0.25">
      <c r="A29" s="4">
        <v>10100019</v>
      </c>
      <c r="B29" s="219">
        <v>2934.12</v>
      </c>
      <c r="D29" s="201"/>
      <c r="E29" s="71">
        <v>10130023</v>
      </c>
      <c r="F29" s="42">
        <v>6400</v>
      </c>
      <c r="H29" s="199"/>
      <c r="I29" s="71">
        <v>10130120</v>
      </c>
      <c r="J29" s="68">
        <v>85000</v>
      </c>
      <c r="L29" s="39"/>
      <c r="M29" s="4">
        <v>10120083</v>
      </c>
      <c r="N29" s="72">
        <v>3000</v>
      </c>
      <c r="Q29" s="4"/>
      <c r="R29" s="227"/>
      <c r="S29" s="228"/>
      <c r="T29" s="24"/>
      <c r="W29" s="41">
        <v>10030015</v>
      </c>
      <c r="X29">
        <v>500</v>
      </c>
      <c r="AC29" s="182" t="s">
        <v>879</v>
      </c>
      <c r="AD29" s="172" t="s">
        <v>599</v>
      </c>
      <c r="AE29" s="172" t="s">
        <v>1135</v>
      </c>
      <c r="AF29" s="172" t="s">
        <v>692</v>
      </c>
      <c r="AG29" s="173">
        <v>64000</v>
      </c>
      <c r="AH29" s="174">
        <v>11861</v>
      </c>
      <c r="AI29" s="175">
        <v>52139</v>
      </c>
      <c r="AJ29" s="174">
        <v>1861</v>
      </c>
      <c r="AK29" s="176">
        <v>10000</v>
      </c>
      <c r="AL29" s="184">
        <f t="shared" si="0"/>
        <v>52139</v>
      </c>
      <c r="AN29" s="172">
        <v>10080098</v>
      </c>
      <c r="AO29" s="172" t="s">
        <v>1135</v>
      </c>
      <c r="AP29" s="172" t="s">
        <v>692</v>
      </c>
      <c r="AQ29" s="173">
        <v>110000</v>
      </c>
      <c r="AR29" s="174">
        <v>1086</v>
      </c>
      <c r="AS29" s="175">
        <v>95092.825976796012</v>
      </c>
      <c r="AT29" s="174"/>
      <c r="AU29" s="174">
        <v>10000</v>
      </c>
      <c r="AV29" s="184">
        <f t="shared" si="1"/>
        <v>8914</v>
      </c>
      <c r="AW29" s="187">
        <v>45803</v>
      </c>
    </row>
    <row r="30" spans="1:49" x14ac:dyDescent="0.25">
      <c r="A30" s="4">
        <v>10100035</v>
      </c>
      <c r="B30" s="219">
        <v>860.95999999999992</v>
      </c>
      <c r="D30" s="201"/>
      <c r="E30" s="71">
        <v>10130025</v>
      </c>
      <c r="F30" s="42">
        <v>8142.7394000000004</v>
      </c>
      <c r="H30" s="199"/>
      <c r="I30" s="71">
        <v>10570051</v>
      </c>
      <c r="J30" s="68">
        <v>85000</v>
      </c>
      <c r="L30" s="39"/>
      <c r="M30" s="4">
        <v>10020037</v>
      </c>
      <c r="N30" s="72">
        <v>3000</v>
      </c>
      <c r="Q30" s="4"/>
      <c r="R30" s="227"/>
      <c r="S30" s="228"/>
      <c r="T30" s="24"/>
      <c r="W30" s="41">
        <v>10030023</v>
      </c>
      <c r="X30">
        <v>500</v>
      </c>
      <c r="AC30" s="183" t="s">
        <v>880</v>
      </c>
      <c r="AD30" s="177" t="s">
        <v>579</v>
      </c>
      <c r="AE30" s="177" t="s">
        <v>1134</v>
      </c>
      <c r="AF30" s="177" t="s">
        <v>692</v>
      </c>
      <c r="AG30" s="178">
        <v>110000</v>
      </c>
      <c r="AH30" s="179">
        <v>1861</v>
      </c>
      <c r="AI30" s="180">
        <v>108139</v>
      </c>
      <c r="AJ30" s="179">
        <v>1861</v>
      </c>
      <c r="AK30" s="176">
        <v>0</v>
      </c>
      <c r="AL30" s="184">
        <f t="shared" si="0"/>
        <v>108139</v>
      </c>
      <c r="AN30" s="177">
        <v>10140177</v>
      </c>
      <c r="AO30" s="177" t="s">
        <v>1135</v>
      </c>
      <c r="AP30" s="177" t="s">
        <v>692</v>
      </c>
      <c r="AQ30" s="178">
        <v>110000</v>
      </c>
      <c r="AR30" s="179">
        <v>0</v>
      </c>
      <c r="AS30" s="180">
        <v>99692</v>
      </c>
      <c r="AT30" s="179"/>
      <c r="AU30" s="179">
        <v>10000</v>
      </c>
      <c r="AV30" s="184">
        <f t="shared" si="1"/>
        <v>10000</v>
      </c>
      <c r="AW30" s="188">
        <v>45802</v>
      </c>
    </row>
    <row r="31" spans="1:49" x14ac:dyDescent="0.25">
      <c r="A31" s="4">
        <v>10100054</v>
      </c>
      <c r="B31" s="219">
        <v>744.96</v>
      </c>
      <c r="D31" s="201"/>
      <c r="E31" s="71">
        <v>10120040</v>
      </c>
      <c r="F31" s="42">
        <v>6400</v>
      </c>
      <c r="H31" s="199"/>
      <c r="I31" s="71">
        <v>10570052</v>
      </c>
      <c r="J31" s="68">
        <v>85000</v>
      </c>
      <c r="L31" s="39"/>
      <c r="M31" s="4">
        <v>10120082</v>
      </c>
      <c r="N31" s="72">
        <v>3000</v>
      </c>
      <c r="Q31" s="4"/>
      <c r="R31" s="227"/>
      <c r="S31" s="228"/>
      <c r="T31" s="24"/>
      <c r="W31" s="41">
        <v>10030024</v>
      </c>
      <c r="X31">
        <v>500</v>
      </c>
      <c r="AC31" s="182" t="s">
        <v>881</v>
      </c>
      <c r="AD31" s="172" t="s">
        <v>698</v>
      </c>
      <c r="AE31" s="172" t="s">
        <v>1135</v>
      </c>
      <c r="AF31" s="172" t="s">
        <v>692</v>
      </c>
      <c r="AG31" s="173">
        <v>110000</v>
      </c>
      <c r="AH31" s="174">
        <v>10000</v>
      </c>
      <c r="AI31" s="175">
        <v>100000</v>
      </c>
      <c r="AJ31" s="174">
        <v>0</v>
      </c>
      <c r="AK31" s="176">
        <v>10000</v>
      </c>
      <c r="AL31" s="184">
        <f t="shared" si="0"/>
        <v>100000</v>
      </c>
      <c r="AN31" s="172">
        <v>10060109</v>
      </c>
      <c r="AO31" s="172" t="s">
        <v>1135</v>
      </c>
      <c r="AP31" s="172" t="s">
        <v>692</v>
      </c>
      <c r="AQ31" s="173">
        <v>110000</v>
      </c>
      <c r="AR31" s="174">
        <v>0</v>
      </c>
      <c r="AS31" s="175">
        <v>98139</v>
      </c>
      <c r="AT31" s="174"/>
      <c r="AU31" s="174">
        <v>10000</v>
      </c>
      <c r="AV31" s="184">
        <f t="shared" si="1"/>
        <v>10000</v>
      </c>
      <c r="AW31" s="187"/>
    </row>
    <row r="32" spans="1:49" x14ac:dyDescent="0.25">
      <c r="A32" s="4">
        <v>10110097</v>
      </c>
      <c r="B32" s="219">
        <v>428.87999999999988</v>
      </c>
      <c r="D32" s="201"/>
      <c r="E32" s="71">
        <v>10120032</v>
      </c>
      <c r="F32" s="42">
        <v>9600</v>
      </c>
      <c r="H32" s="199"/>
      <c r="I32" s="71">
        <v>10600012</v>
      </c>
      <c r="J32" s="68">
        <v>75000</v>
      </c>
      <c r="L32" s="39"/>
      <c r="M32" s="4">
        <v>10090046</v>
      </c>
      <c r="N32" s="72">
        <v>3000</v>
      </c>
      <c r="Q32" s="4"/>
      <c r="R32" s="227"/>
      <c r="S32" s="228"/>
      <c r="T32" s="24"/>
      <c r="W32" s="41">
        <v>10030030</v>
      </c>
      <c r="X32">
        <v>500</v>
      </c>
      <c r="AC32" s="183" t="s">
        <v>882</v>
      </c>
      <c r="AD32" s="177" t="s">
        <v>578</v>
      </c>
      <c r="AE32" s="177" t="s">
        <v>1134</v>
      </c>
      <c r="AF32" s="177" t="s">
        <v>692</v>
      </c>
      <c r="AG32" s="178">
        <v>110000</v>
      </c>
      <c r="AH32" s="179">
        <v>1861</v>
      </c>
      <c r="AI32" s="180">
        <v>108139</v>
      </c>
      <c r="AJ32" s="179">
        <v>1861</v>
      </c>
      <c r="AK32" s="176">
        <v>0</v>
      </c>
      <c r="AL32" s="184">
        <f t="shared" si="0"/>
        <v>108139</v>
      </c>
      <c r="AN32" s="177">
        <v>10060110</v>
      </c>
      <c r="AO32" s="177" t="s">
        <v>1135</v>
      </c>
      <c r="AP32" s="177" t="s">
        <v>692</v>
      </c>
      <c r="AQ32" s="178">
        <v>110000</v>
      </c>
      <c r="AR32" s="179">
        <v>0</v>
      </c>
      <c r="AS32" s="180">
        <v>96740.972905661285</v>
      </c>
      <c r="AT32" s="179"/>
      <c r="AU32" s="179">
        <v>10000</v>
      </c>
      <c r="AV32" s="184">
        <f t="shared" si="1"/>
        <v>10000</v>
      </c>
      <c r="AW32" s="188"/>
    </row>
    <row r="33" spans="1:49" x14ac:dyDescent="0.25">
      <c r="A33" s="4">
        <v>10110098</v>
      </c>
      <c r="B33" s="219">
        <v>1119.6799999999998</v>
      </c>
      <c r="D33" s="201"/>
      <c r="E33" s="71">
        <v>10120034</v>
      </c>
      <c r="F33" s="42">
        <v>15208.8497711328</v>
      </c>
      <c r="H33" s="199"/>
      <c r="I33" s="71">
        <v>10650011</v>
      </c>
      <c r="J33" s="68">
        <v>75000</v>
      </c>
      <c r="L33" s="39"/>
      <c r="M33" s="4">
        <v>10090045</v>
      </c>
      <c r="N33" s="72">
        <v>3000</v>
      </c>
      <c r="Q33" s="4"/>
      <c r="R33" s="227"/>
      <c r="S33" s="228"/>
      <c r="T33" s="24"/>
      <c r="W33" s="41">
        <v>10030031</v>
      </c>
      <c r="X33">
        <v>500</v>
      </c>
      <c r="AC33" s="182" t="s">
        <v>883</v>
      </c>
      <c r="AD33" s="172" t="s">
        <v>699</v>
      </c>
      <c r="AE33" s="172" t="s">
        <v>1134</v>
      </c>
      <c r="AF33" s="172" t="s">
        <v>692</v>
      </c>
      <c r="AG33" s="173">
        <v>110000</v>
      </c>
      <c r="AH33" s="174">
        <v>0</v>
      </c>
      <c r="AI33" s="175">
        <v>110000</v>
      </c>
      <c r="AJ33" s="174">
        <v>0</v>
      </c>
      <c r="AK33" s="176">
        <v>0</v>
      </c>
      <c r="AL33" s="184">
        <f t="shared" si="0"/>
        <v>110000</v>
      </c>
      <c r="AN33" s="172">
        <v>10030072</v>
      </c>
      <c r="AO33" s="172" t="s">
        <v>1134</v>
      </c>
      <c r="AP33" s="172" t="s">
        <v>692</v>
      </c>
      <c r="AQ33" s="173">
        <v>110000</v>
      </c>
      <c r="AR33" s="174">
        <v>0</v>
      </c>
      <c r="AS33" s="175">
        <v>108139</v>
      </c>
      <c r="AT33" s="174"/>
      <c r="AU33" s="174"/>
      <c r="AV33" s="184">
        <f t="shared" si="1"/>
        <v>20000</v>
      </c>
      <c r="AW33" s="187">
        <v>45840</v>
      </c>
    </row>
    <row r="34" spans="1:49" x14ac:dyDescent="0.25">
      <c r="A34" s="4">
        <v>10110132</v>
      </c>
      <c r="B34" s="219">
        <v>1273.6299999999999</v>
      </c>
      <c r="D34" s="201"/>
      <c r="E34" s="71">
        <v>10130021</v>
      </c>
      <c r="F34" s="42">
        <v>6400</v>
      </c>
      <c r="H34" s="199"/>
      <c r="I34" s="71">
        <v>10660013</v>
      </c>
      <c r="J34" s="68">
        <v>65000</v>
      </c>
      <c r="L34" s="39"/>
      <c r="M34" s="4">
        <v>10130026</v>
      </c>
      <c r="N34" s="72">
        <v>3000</v>
      </c>
      <c r="Q34" s="4"/>
      <c r="R34" s="227"/>
      <c r="S34" s="228"/>
      <c r="T34" s="24"/>
      <c r="W34" s="41">
        <v>10030035</v>
      </c>
      <c r="X34">
        <v>500</v>
      </c>
      <c r="AC34" s="183" t="s">
        <v>884</v>
      </c>
      <c r="AD34" s="177" t="s">
        <v>601</v>
      </c>
      <c r="AE34" s="177" t="s">
        <v>1134</v>
      </c>
      <c r="AF34" s="177" t="s">
        <v>692</v>
      </c>
      <c r="AG34" s="178">
        <v>110000</v>
      </c>
      <c r="AH34" s="179">
        <v>627</v>
      </c>
      <c r="AI34" s="180">
        <v>109373</v>
      </c>
      <c r="AJ34" s="179">
        <v>627</v>
      </c>
      <c r="AK34" s="176">
        <v>0</v>
      </c>
      <c r="AL34" s="184">
        <f t="shared" si="0"/>
        <v>109373</v>
      </c>
      <c r="AN34" s="177">
        <v>10030073</v>
      </c>
      <c r="AO34" s="177" t="s">
        <v>1134</v>
      </c>
      <c r="AP34" s="177" t="s">
        <v>692</v>
      </c>
      <c r="AQ34" s="178">
        <v>110000</v>
      </c>
      <c r="AR34" s="179">
        <v>0</v>
      </c>
      <c r="AS34" s="180">
        <v>109401</v>
      </c>
      <c r="AT34" s="179"/>
      <c r="AU34" s="179"/>
      <c r="AV34" s="184">
        <f t="shared" si="1"/>
        <v>20000</v>
      </c>
      <c r="AW34" s="188">
        <v>45840</v>
      </c>
    </row>
    <row r="35" spans="1:49" x14ac:dyDescent="0.25">
      <c r="A35" s="4">
        <v>10110140</v>
      </c>
      <c r="B35" s="219">
        <v>765.81999999999994</v>
      </c>
      <c r="D35" s="201"/>
      <c r="E35" s="71">
        <v>10120037</v>
      </c>
      <c r="F35" s="42">
        <v>9600</v>
      </c>
      <c r="H35" s="199"/>
      <c r="I35" s="71">
        <v>10660014</v>
      </c>
      <c r="J35" s="68">
        <v>65000</v>
      </c>
      <c r="L35" s="39"/>
      <c r="M35" s="4">
        <v>10060069</v>
      </c>
      <c r="N35" s="72">
        <v>3000</v>
      </c>
      <c r="Q35" s="4"/>
      <c r="R35" s="227"/>
      <c r="S35" s="228"/>
      <c r="T35" s="24"/>
      <c r="W35" s="41">
        <v>10030036</v>
      </c>
      <c r="X35">
        <v>500</v>
      </c>
      <c r="AC35" s="182" t="s">
        <v>885</v>
      </c>
      <c r="AD35" s="172" t="s">
        <v>602</v>
      </c>
      <c r="AE35" s="172" t="s">
        <v>1134</v>
      </c>
      <c r="AF35" s="172" t="s">
        <v>692</v>
      </c>
      <c r="AG35" s="173">
        <v>110000</v>
      </c>
      <c r="AH35" s="174">
        <v>1040</v>
      </c>
      <c r="AI35" s="175">
        <v>108960</v>
      </c>
      <c r="AJ35" s="174">
        <v>1040</v>
      </c>
      <c r="AK35" s="176">
        <v>0</v>
      </c>
      <c r="AL35" s="184">
        <f t="shared" si="0"/>
        <v>108960</v>
      </c>
      <c r="AN35" s="172">
        <v>10060111</v>
      </c>
      <c r="AO35" s="172" t="s">
        <v>1135</v>
      </c>
      <c r="AP35" s="172" t="s">
        <v>692</v>
      </c>
      <c r="AQ35" s="173">
        <v>110000</v>
      </c>
      <c r="AR35" s="174">
        <v>0</v>
      </c>
      <c r="AS35" s="175">
        <v>92892</v>
      </c>
      <c r="AT35" s="174"/>
      <c r="AU35" s="174">
        <v>15000</v>
      </c>
      <c r="AV35" s="184">
        <f t="shared" si="1"/>
        <v>5000</v>
      </c>
      <c r="AW35" s="187"/>
    </row>
    <row r="36" spans="1:49" x14ac:dyDescent="0.25">
      <c r="A36" s="4">
        <v>10110148</v>
      </c>
      <c r="B36" s="219">
        <v>366</v>
      </c>
      <c r="D36" s="201"/>
      <c r="E36" s="71">
        <v>10120041</v>
      </c>
      <c r="F36" s="42">
        <v>4658.2507999999998</v>
      </c>
      <c r="H36" s="199"/>
      <c r="I36" s="71">
        <v>10660001</v>
      </c>
      <c r="J36" s="68">
        <v>65000</v>
      </c>
      <c r="L36" s="39"/>
      <c r="M36" s="4">
        <v>10070013</v>
      </c>
      <c r="N36" s="72">
        <v>3000</v>
      </c>
      <c r="Q36" s="4"/>
      <c r="R36" s="227"/>
      <c r="S36" s="228"/>
      <c r="T36" s="24"/>
      <c r="W36" s="41">
        <v>10030055</v>
      </c>
      <c r="X36">
        <v>500</v>
      </c>
      <c r="AC36" s="183" t="s">
        <v>886</v>
      </c>
      <c r="AD36" s="177" t="s">
        <v>527</v>
      </c>
      <c r="AE36" s="177" t="s">
        <v>1134</v>
      </c>
      <c r="AF36" s="177" t="s">
        <v>692</v>
      </c>
      <c r="AG36" s="178">
        <v>110000</v>
      </c>
      <c r="AH36" s="179">
        <v>3722</v>
      </c>
      <c r="AI36" s="180">
        <v>106278</v>
      </c>
      <c r="AJ36" s="179">
        <v>3722</v>
      </c>
      <c r="AK36" s="176">
        <v>0</v>
      </c>
      <c r="AL36" s="184">
        <f t="shared" si="0"/>
        <v>106278</v>
      </c>
      <c r="AN36" s="177">
        <v>10110103</v>
      </c>
      <c r="AO36" s="177" t="s">
        <v>1135</v>
      </c>
      <c r="AP36" s="177" t="s">
        <v>692</v>
      </c>
      <c r="AQ36" s="178">
        <v>110000</v>
      </c>
      <c r="AR36" s="179">
        <v>0</v>
      </c>
      <c r="AS36" s="180">
        <v>105000</v>
      </c>
      <c r="AT36" s="179"/>
      <c r="AU36" s="179">
        <v>5000</v>
      </c>
      <c r="AV36" s="184">
        <f t="shared" si="1"/>
        <v>15000</v>
      </c>
      <c r="AW36" s="188"/>
    </row>
    <row r="37" spans="1:49" x14ac:dyDescent="0.25">
      <c r="A37" s="4">
        <v>10110149</v>
      </c>
      <c r="B37" s="219">
        <v>131</v>
      </c>
      <c r="D37" s="201"/>
      <c r="E37" s="71">
        <v>10120042</v>
      </c>
      <c r="F37" s="42">
        <v>813.33140000000003</v>
      </c>
      <c r="H37" s="199"/>
      <c r="I37" s="71">
        <v>10660002</v>
      </c>
      <c r="J37" s="68">
        <v>65000</v>
      </c>
      <c r="L37" s="39"/>
      <c r="M37" s="4">
        <v>10100021</v>
      </c>
      <c r="N37" s="72">
        <v>429</v>
      </c>
      <c r="Q37" s="4"/>
      <c r="R37" s="227"/>
      <c r="S37" s="228"/>
      <c r="T37" s="24"/>
      <c r="W37" s="41">
        <v>10030056</v>
      </c>
      <c r="X37">
        <v>500</v>
      </c>
      <c r="AC37" s="182" t="s">
        <v>887</v>
      </c>
      <c r="AD37" s="172" t="s">
        <v>700</v>
      </c>
      <c r="AE37" s="172" t="s">
        <v>1134</v>
      </c>
      <c r="AF37" s="172" t="s">
        <v>692</v>
      </c>
      <c r="AG37" s="173">
        <v>110000</v>
      </c>
      <c r="AH37" s="174">
        <v>0</v>
      </c>
      <c r="AI37" s="175">
        <v>110000</v>
      </c>
      <c r="AJ37" s="174">
        <v>0</v>
      </c>
      <c r="AK37" s="176">
        <v>0</v>
      </c>
      <c r="AL37" s="184">
        <f t="shared" si="0"/>
        <v>110000</v>
      </c>
      <c r="AN37" s="172">
        <v>10140153</v>
      </c>
      <c r="AO37" s="172" t="s">
        <v>1135</v>
      </c>
      <c r="AP37" s="172" t="s">
        <v>692</v>
      </c>
      <c r="AQ37" s="173">
        <v>110000</v>
      </c>
      <c r="AR37" s="174">
        <v>2186</v>
      </c>
      <c r="AS37" s="175">
        <v>88509</v>
      </c>
      <c r="AT37" s="174"/>
      <c r="AU37" s="174">
        <v>10000</v>
      </c>
      <c r="AV37" s="184">
        <f t="shared" si="1"/>
        <v>7814</v>
      </c>
      <c r="AW37" s="187">
        <v>45677</v>
      </c>
    </row>
    <row r="38" spans="1:49" x14ac:dyDescent="0.25">
      <c r="A38" s="4">
        <v>10140001</v>
      </c>
      <c r="B38" s="219">
        <v>2143.3000000000002</v>
      </c>
      <c r="D38" s="201"/>
      <c r="E38" s="71">
        <v>10120031</v>
      </c>
      <c r="F38" s="42">
        <v>5972.9479252635119</v>
      </c>
      <c r="H38" s="199"/>
      <c r="I38" s="71">
        <v>10660003</v>
      </c>
      <c r="J38" s="68">
        <v>65000</v>
      </c>
      <c r="L38" s="39"/>
      <c r="M38" s="4">
        <v>10020041</v>
      </c>
      <c r="N38" s="72">
        <v>3000</v>
      </c>
      <c r="Q38" s="4"/>
      <c r="R38" s="227"/>
      <c r="S38" s="228"/>
      <c r="T38" s="24"/>
      <c r="W38" s="41">
        <v>10030063</v>
      </c>
      <c r="X38">
        <v>500</v>
      </c>
      <c r="AC38" s="183" t="s">
        <v>888</v>
      </c>
      <c r="AD38" s="177" t="s">
        <v>447</v>
      </c>
      <c r="AE38" s="177" t="s">
        <v>1134</v>
      </c>
      <c r="AF38" s="177" t="s">
        <v>692</v>
      </c>
      <c r="AG38" s="178">
        <v>110000</v>
      </c>
      <c r="AH38" s="179">
        <v>4625.5596826688179</v>
      </c>
      <c r="AI38" s="180">
        <v>105374.44031733119</v>
      </c>
      <c r="AJ38" s="179">
        <v>4625.5596826688179</v>
      </c>
      <c r="AK38" s="176">
        <v>0</v>
      </c>
      <c r="AL38" s="184">
        <f t="shared" si="0"/>
        <v>105374.44031733119</v>
      </c>
      <c r="AN38" s="177">
        <v>10130098</v>
      </c>
      <c r="AO38" s="177" t="s">
        <v>1135</v>
      </c>
      <c r="AP38" s="177" t="s">
        <v>692</v>
      </c>
      <c r="AQ38" s="178">
        <v>110000</v>
      </c>
      <c r="AR38" s="179">
        <v>6646</v>
      </c>
      <c r="AS38" s="180">
        <v>96998.739856266024</v>
      </c>
      <c r="AT38" s="179"/>
      <c r="AU38" s="179"/>
      <c r="AV38" s="184">
        <f t="shared" si="1"/>
        <v>13354</v>
      </c>
      <c r="AW38" s="188">
        <v>45749</v>
      </c>
    </row>
    <row r="39" spans="1:49" x14ac:dyDescent="0.25">
      <c r="A39" s="4">
        <v>10140002</v>
      </c>
      <c r="B39" s="219">
        <v>458.32</v>
      </c>
      <c r="D39" s="201"/>
      <c r="E39" s="71">
        <v>10130026</v>
      </c>
      <c r="F39" s="42">
        <v>9600</v>
      </c>
      <c r="H39" s="199"/>
      <c r="I39" s="71">
        <v>10660004</v>
      </c>
      <c r="J39" s="68">
        <v>65000</v>
      </c>
      <c r="L39" s="39"/>
      <c r="M39" s="4">
        <v>10090003</v>
      </c>
      <c r="N39" s="72">
        <v>3000</v>
      </c>
      <c r="Q39" s="4"/>
      <c r="R39" s="227"/>
      <c r="S39" s="228"/>
      <c r="T39" s="24"/>
      <c r="W39" s="41">
        <v>10060030</v>
      </c>
      <c r="X39">
        <v>500</v>
      </c>
      <c r="AC39" s="182" t="s">
        <v>889</v>
      </c>
      <c r="AD39" s="172" t="s">
        <v>651</v>
      </c>
      <c r="AE39" s="172" t="s">
        <v>1135</v>
      </c>
      <c r="AF39" s="172" t="s">
        <v>692</v>
      </c>
      <c r="AG39" s="173">
        <v>110000</v>
      </c>
      <c r="AH39" s="174">
        <v>10506</v>
      </c>
      <c r="AI39" s="175">
        <v>99494</v>
      </c>
      <c r="AJ39" s="174">
        <v>506</v>
      </c>
      <c r="AK39" s="176">
        <v>10000</v>
      </c>
      <c r="AL39" s="184">
        <f t="shared" si="0"/>
        <v>99494</v>
      </c>
      <c r="AN39" s="172">
        <v>10120107</v>
      </c>
      <c r="AO39" s="172" t="s">
        <v>1135</v>
      </c>
      <c r="AP39" s="172" t="s">
        <v>692</v>
      </c>
      <c r="AQ39" s="173">
        <v>110000</v>
      </c>
      <c r="AR39" s="174">
        <v>1685</v>
      </c>
      <c r="AS39" s="175">
        <v>94311</v>
      </c>
      <c r="AT39" s="174"/>
      <c r="AU39" s="174">
        <v>10000</v>
      </c>
      <c r="AV39" s="184">
        <f t="shared" si="1"/>
        <v>8315</v>
      </c>
      <c r="AW39" s="187"/>
    </row>
    <row r="40" spans="1:49" x14ac:dyDescent="0.25">
      <c r="A40" s="4">
        <v>10140004</v>
      </c>
      <c r="B40" s="219">
        <v>612.23</v>
      </c>
      <c r="D40" s="201"/>
      <c r="E40" s="71">
        <v>10130032</v>
      </c>
      <c r="F40" s="42">
        <v>6229</v>
      </c>
      <c r="H40" s="199"/>
      <c r="I40" s="71">
        <v>10660005</v>
      </c>
      <c r="J40" s="68">
        <v>65000</v>
      </c>
      <c r="L40" s="39"/>
      <c r="M40" s="4">
        <v>10090037</v>
      </c>
      <c r="N40" s="72">
        <v>3000</v>
      </c>
      <c r="Q40" s="4"/>
      <c r="R40" s="227"/>
      <c r="S40" s="228"/>
      <c r="T40" s="24"/>
      <c r="W40" s="41">
        <v>10060031</v>
      </c>
      <c r="X40">
        <v>500</v>
      </c>
      <c r="AC40" s="183" t="s">
        <v>890</v>
      </c>
      <c r="AD40" s="177" t="s">
        <v>701</v>
      </c>
      <c r="AE40" s="177" t="s">
        <v>1135</v>
      </c>
      <c r="AF40" s="177" t="s">
        <v>692</v>
      </c>
      <c r="AG40" s="178">
        <v>110000</v>
      </c>
      <c r="AH40" s="179">
        <v>10000</v>
      </c>
      <c r="AI40" s="180">
        <v>100000</v>
      </c>
      <c r="AJ40" s="179">
        <v>0</v>
      </c>
      <c r="AK40" s="181">
        <v>10000</v>
      </c>
      <c r="AL40" s="184">
        <f t="shared" si="0"/>
        <v>100000</v>
      </c>
      <c r="AN40" s="177">
        <v>10130100</v>
      </c>
      <c r="AO40" s="177" t="s">
        <v>1134</v>
      </c>
      <c r="AP40" s="177" t="s">
        <v>692</v>
      </c>
      <c r="AQ40" s="178">
        <v>110000</v>
      </c>
      <c r="AR40" s="179">
        <v>0</v>
      </c>
      <c r="AS40" s="180">
        <v>108753</v>
      </c>
      <c r="AT40" s="179"/>
      <c r="AU40" s="179"/>
      <c r="AV40" s="184">
        <f t="shared" si="1"/>
        <v>20000</v>
      </c>
      <c r="AW40" s="188"/>
    </row>
    <row r="41" spans="1:49" x14ac:dyDescent="0.25">
      <c r="A41" s="4">
        <v>10140006</v>
      </c>
      <c r="B41" s="219">
        <v>348.52</v>
      </c>
      <c r="D41" s="201"/>
      <c r="E41" s="71">
        <v>10130033</v>
      </c>
      <c r="F41" s="42">
        <v>20729.479200000002</v>
      </c>
      <c r="H41" s="199"/>
      <c r="I41" s="71">
        <v>10660006</v>
      </c>
      <c r="J41" s="68">
        <v>65000</v>
      </c>
      <c r="L41" s="39"/>
      <c r="M41" s="4">
        <v>10010076</v>
      </c>
      <c r="N41" s="72">
        <v>3000</v>
      </c>
      <c r="Q41" s="4"/>
      <c r="R41" s="227"/>
      <c r="S41" s="228"/>
      <c r="T41" s="24"/>
      <c r="W41" s="41">
        <v>10060038</v>
      </c>
      <c r="X41">
        <v>500</v>
      </c>
      <c r="AC41" s="182" t="s">
        <v>891</v>
      </c>
      <c r="AD41" s="172" t="s">
        <v>702</v>
      </c>
      <c r="AE41" s="172" t="s">
        <v>1134</v>
      </c>
      <c r="AF41" s="172" t="s">
        <v>692</v>
      </c>
      <c r="AG41" s="173">
        <v>110000</v>
      </c>
      <c r="AH41" s="174">
        <v>0</v>
      </c>
      <c r="AI41" s="175">
        <v>110000</v>
      </c>
      <c r="AJ41" s="174">
        <v>0</v>
      </c>
      <c r="AK41" s="176">
        <v>0</v>
      </c>
      <c r="AL41" s="184">
        <f t="shared" si="0"/>
        <v>110000</v>
      </c>
      <c r="AN41" s="172">
        <v>10130102</v>
      </c>
      <c r="AO41" s="172" t="s">
        <v>1135</v>
      </c>
      <c r="AP41" s="172" t="s">
        <v>692</v>
      </c>
      <c r="AQ41" s="173">
        <v>110000</v>
      </c>
      <c r="AR41" s="174">
        <v>0</v>
      </c>
      <c r="AS41" s="175">
        <v>98936</v>
      </c>
      <c r="AT41" s="174"/>
      <c r="AU41" s="174">
        <v>10000</v>
      </c>
      <c r="AV41" s="184">
        <f t="shared" si="1"/>
        <v>10000</v>
      </c>
      <c r="AW41" s="187"/>
    </row>
    <row r="42" spans="1:49" x14ac:dyDescent="0.25">
      <c r="A42" s="4">
        <v>10140007</v>
      </c>
      <c r="B42" s="219">
        <v>165.82000000000002</v>
      </c>
      <c r="D42" s="201"/>
      <c r="E42" s="71">
        <v>10130024</v>
      </c>
      <c r="F42" s="42">
        <v>12800</v>
      </c>
      <c r="H42" s="199"/>
      <c r="I42" s="71">
        <v>10080127</v>
      </c>
      <c r="J42" s="68">
        <v>65000</v>
      </c>
      <c r="L42" s="39"/>
      <c r="M42" s="4">
        <v>10130093</v>
      </c>
      <c r="N42" s="72">
        <v>3000</v>
      </c>
      <c r="Q42" s="4"/>
      <c r="R42" s="227"/>
      <c r="S42" s="228"/>
      <c r="T42" s="24"/>
      <c r="W42" s="41">
        <v>10060064</v>
      </c>
      <c r="X42">
        <v>500</v>
      </c>
      <c r="AC42" s="183" t="s">
        <v>892</v>
      </c>
      <c r="AD42" s="177" t="s">
        <v>703</v>
      </c>
      <c r="AE42" s="177" t="s">
        <v>1135</v>
      </c>
      <c r="AF42" s="177" t="s">
        <v>692</v>
      </c>
      <c r="AG42" s="178">
        <v>110000</v>
      </c>
      <c r="AH42" s="179">
        <v>11861</v>
      </c>
      <c r="AI42" s="180">
        <v>98139</v>
      </c>
      <c r="AJ42" s="179">
        <v>1861</v>
      </c>
      <c r="AK42" s="181">
        <v>10000</v>
      </c>
      <c r="AL42" s="184">
        <f t="shared" si="0"/>
        <v>98139</v>
      </c>
      <c r="AN42" s="177">
        <v>10120098</v>
      </c>
      <c r="AO42" s="177" t="s">
        <v>1135</v>
      </c>
      <c r="AP42" s="177" t="s">
        <v>692</v>
      </c>
      <c r="AQ42" s="178">
        <v>64000</v>
      </c>
      <c r="AR42" s="179">
        <v>5099</v>
      </c>
      <c r="AS42" s="180">
        <v>44089</v>
      </c>
      <c r="AT42" s="179"/>
      <c r="AU42" s="179">
        <v>10000</v>
      </c>
      <c r="AV42" s="184">
        <f t="shared" si="1"/>
        <v>4901</v>
      </c>
      <c r="AW42" s="188">
        <v>45708</v>
      </c>
    </row>
    <row r="43" spans="1:49" x14ac:dyDescent="0.25">
      <c r="A43" s="4">
        <v>10140009</v>
      </c>
      <c r="B43" s="219">
        <v>1552.4599999999998</v>
      </c>
      <c r="D43" s="201"/>
      <c r="E43" s="71">
        <v>10100001</v>
      </c>
      <c r="F43" s="42">
        <v>13444.929599999999</v>
      </c>
      <c r="H43" s="199"/>
      <c r="I43" s="71">
        <v>10110186</v>
      </c>
      <c r="J43" s="68">
        <v>65000</v>
      </c>
      <c r="L43" s="39"/>
      <c r="M43" s="4">
        <v>10130047</v>
      </c>
      <c r="N43" s="72">
        <v>3000</v>
      </c>
      <c r="T43" s="11">
        <f>SUM(T24:T42)</f>
        <v>0</v>
      </c>
      <c r="W43" s="41">
        <v>10070013</v>
      </c>
      <c r="X43">
        <v>500</v>
      </c>
      <c r="AC43" s="182" t="s">
        <v>893</v>
      </c>
      <c r="AD43" s="172" t="s">
        <v>647</v>
      </c>
      <c r="AE43" s="172" t="s">
        <v>1135</v>
      </c>
      <c r="AF43" s="172" t="s">
        <v>692</v>
      </c>
      <c r="AG43" s="173">
        <v>110000</v>
      </c>
      <c r="AH43" s="174">
        <v>10822</v>
      </c>
      <c r="AI43" s="175">
        <v>99178</v>
      </c>
      <c r="AJ43" s="174">
        <v>822</v>
      </c>
      <c r="AK43" s="176">
        <v>10000</v>
      </c>
      <c r="AL43" s="184">
        <f t="shared" si="0"/>
        <v>99178</v>
      </c>
      <c r="AN43" s="172">
        <v>10130095</v>
      </c>
      <c r="AO43" s="172" t="s">
        <v>1135</v>
      </c>
      <c r="AP43" s="172" t="s">
        <v>692</v>
      </c>
      <c r="AQ43" s="173">
        <v>110000</v>
      </c>
      <c r="AR43" s="174">
        <v>2961</v>
      </c>
      <c r="AS43" s="175">
        <v>103615</v>
      </c>
      <c r="AT43" s="174"/>
      <c r="AU43" s="174"/>
      <c r="AV43" s="184">
        <f t="shared" si="1"/>
        <v>17039</v>
      </c>
      <c r="AW43" s="187">
        <v>45721</v>
      </c>
    </row>
    <row r="44" spans="1:49" x14ac:dyDescent="0.25">
      <c r="A44" s="4">
        <v>10140010</v>
      </c>
      <c r="B44" s="219">
        <v>1283.0899999999999</v>
      </c>
      <c r="D44" s="201"/>
      <c r="E44" s="71">
        <v>10120003</v>
      </c>
      <c r="F44" s="42">
        <v>1305.6643000000004</v>
      </c>
      <c r="H44" s="199"/>
      <c r="I44" s="71">
        <v>10570047</v>
      </c>
      <c r="J44" s="68">
        <v>85000</v>
      </c>
      <c r="L44" s="39"/>
      <c r="M44" s="4">
        <v>10140132</v>
      </c>
      <c r="N44" s="72">
        <v>3000</v>
      </c>
      <c r="W44" s="41">
        <v>10070014</v>
      </c>
      <c r="X44">
        <v>500</v>
      </c>
      <c r="AC44" s="183" t="s">
        <v>894</v>
      </c>
      <c r="AD44" s="177" t="s">
        <v>653</v>
      </c>
      <c r="AE44" s="177" t="s">
        <v>1135</v>
      </c>
      <c r="AF44" s="177" t="s">
        <v>692</v>
      </c>
      <c r="AG44" s="178">
        <v>110000</v>
      </c>
      <c r="AH44" s="179">
        <v>10781</v>
      </c>
      <c r="AI44" s="180">
        <v>99219</v>
      </c>
      <c r="AJ44" s="179">
        <v>781</v>
      </c>
      <c r="AK44" s="181">
        <v>10000</v>
      </c>
      <c r="AL44" s="184">
        <f t="shared" si="0"/>
        <v>99219</v>
      </c>
      <c r="AN44" s="177">
        <v>10060106</v>
      </c>
      <c r="AO44" s="177" t="s">
        <v>1135</v>
      </c>
      <c r="AP44" s="177" t="s">
        <v>692</v>
      </c>
      <c r="AQ44" s="178">
        <v>110000</v>
      </c>
      <c r="AR44" s="179">
        <v>0</v>
      </c>
      <c r="AS44" s="180">
        <v>100000</v>
      </c>
      <c r="AT44" s="179"/>
      <c r="AU44" s="179">
        <v>10000</v>
      </c>
      <c r="AV44" s="184">
        <f t="shared" si="1"/>
        <v>10000</v>
      </c>
      <c r="AW44" s="188"/>
    </row>
    <row r="45" spans="1:49" x14ac:dyDescent="0.25">
      <c r="A45" s="4">
        <v>10140011</v>
      </c>
      <c r="B45" s="219">
        <v>56.02</v>
      </c>
      <c r="D45" s="202"/>
      <c r="E45" s="71">
        <v>10130002</v>
      </c>
      <c r="F45" s="42">
        <v>13576.075400000002</v>
      </c>
      <c r="H45" s="199"/>
      <c r="I45" s="71">
        <v>10570048</v>
      </c>
      <c r="J45" s="68">
        <v>85000</v>
      </c>
      <c r="L45" s="39"/>
      <c r="M45" s="4">
        <v>10140054</v>
      </c>
      <c r="N45" s="72">
        <v>3000</v>
      </c>
      <c r="W45" s="41">
        <v>10070015</v>
      </c>
      <c r="X45">
        <v>500</v>
      </c>
      <c r="AC45" s="182" t="s">
        <v>895</v>
      </c>
      <c r="AD45" s="172" t="s">
        <v>667</v>
      </c>
      <c r="AE45" s="172" t="s">
        <v>1135</v>
      </c>
      <c r="AF45" s="172" t="s">
        <v>692</v>
      </c>
      <c r="AG45" s="173">
        <v>110000</v>
      </c>
      <c r="AH45" s="174">
        <v>11861</v>
      </c>
      <c r="AI45" s="175">
        <v>98139</v>
      </c>
      <c r="AJ45" s="174">
        <v>1861</v>
      </c>
      <c r="AK45" s="176">
        <v>10000</v>
      </c>
      <c r="AL45" s="184">
        <f t="shared" si="0"/>
        <v>98139</v>
      </c>
      <c r="AN45" s="172">
        <v>10130093</v>
      </c>
      <c r="AO45" s="172" t="s">
        <v>1135</v>
      </c>
      <c r="AP45" s="172" t="s">
        <v>692</v>
      </c>
      <c r="AQ45" s="173">
        <v>110000</v>
      </c>
      <c r="AR45" s="174">
        <v>4653</v>
      </c>
      <c r="AS45" s="175">
        <v>99764</v>
      </c>
      <c r="AT45" s="174"/>
      <c r="AU45" s="174"/>
      <c r="AV45" s="184">
        <f t="shared" si="1"/>
        <v>15347</v>
      </c>
      <c r="AW45" s="187">
        <v>45708</v>
      </c>
    </row>
    <row r="46" spans="1:49" x14ac:dyDescent="0.25">
      <c r="A46" s="4">
        <v>10140012</v>
      </c>
      <c r="B46" s="219">
        <v>513.22</v>
      </c>
      <c r="D46" s="199"/>
      <c r="E46" s="71">
        <v>10130035</v>
      </c>
      <c r="F46" s="42">
        <v>1766.1463999999996</v>
      </c>
      <c r="H46" s="199"/>
      <c r="I46" s="71">
        <v>10570049</v>
      </c>
      <c r="J46" s="68">
        <v>85000</v>
      </c>
      <c r="L46" s="39"/>
      <c r="M46" s="4">
        <v>10140068</v>
      </c>
      <c r="N46" s="72">
        <v>3000</v>
      </c>
      <c r="W46" s="41">
        <v>10070016</v>
      </c>
      <c r="X46">
        <v>500</v>
      </c>
      <c r="AC46" s="183" t="s">
        <v>896</v>
      </c>
      <c r="AD46" s="177" t="s">
        <v>704</v>
      </c>
      <c r="AE46" s="177" t="s">
        <v>1135</v>
      </c>
      <c r="AF46" s="177" t="s">
        <v>692</v>
      </c>
      <c r="AG46" s="178">
        <v>110000</v>
      </c>
      <c r="AH46" s="179">
        <v>10000</v>
      </c>
      <c r="AI46" s="180">
        <v>100000</v>
      </c>
      <c r="AJ46" s="179">
        <v>0</v>
      </c>
      <c r="AK46" s="181">
        <v>10000</v>
      </c>
      <c r="AL46" s="184">
        <f t="shared" si="0"/>
        <v>100000</v>
      </c>
      <c r="AN46" s="177">
        <v>10110151</v>
      </c>
      <c r="AO46" s="177" t="s">
        <v>1134</v>
      </c>
      <c r="AP46" s="177" t="s">
        <v>692</v>
      </c>
      <c r="AQ46" s="178">
        <v>110000</v>
      </c>
      <c r="AR46" s="179">
        <v>0</v>
      </c>
      <c r="AS46" s="180">
        <v>110000</v>
      </c>
      <c r="AT46" s="179"/>
      <c r="AU46" s="179"/>
      <c r="AV46" s="184">
        <f t="shared" si="1"/>
        <v>20000</v>
      </c>
      <c r="AW46" s="188">
        <v>45803</v>
      </c>
    </row>
    <row r="47" spans="1:49" x14ac:dyDescent="0.25">
      <c r="A47" s="4">
        <v>10140013</v>
      </c>
      <c r="B47" s="219">
        <v>664.14</v>
      </c>
      <c r="D47" s="199"/>
      <c r="E47" s="71">
        <v>10130009</v>
      </c>
      <c r="F47" s="42">
        <v>3199.7384000000002</v>
      </c>
      <c r="H47" s="199"/>
      <c r="I47" s="71">
        <v>10010143</v>
      </c>
      <c r="J47" s="68">
        <v>75000</v>
      </c>
      <c r="L47" s="39"/>
      <c r="M47" s="4">
        <v>10140018</v>
      </c>
      <c r="N47" s="72">
        <v>3000</v>
      </c>
      <c r="W47" s="41">
        <v>10070036</v>
      </c>
      <c r="X47">
        <v>500</v>
      </c>
      <c r="AC47" s="182" t="s">
        <v>897</v>
      </c>
      <c r="AD47" s="172" t="s">
        <v>705</v>
      </c>
      <c r="AE47" s="172" t="s">
        <v>1135</v>
      </c>
      <c r="AF47" s="172" t="s">
        <v>692</v>
      </c>
      <c r="AG47" s="173">
        <v>110000</v>
      </c>
      <c r="AH47" s="174">
        <v>13127</v>
      </c>
      <c r="AI47" s="175">
        <v>96873</v>
      </c>
      <c r="AJ47" s="174">
        <v>3127</v>
      </c>
      <c r="AK47" s="176">
        <v>10000</v>
      </c>
      <c r="AL47" s="184">
        <f t="shared" si="0"/>
        <v>96873</v>
      </c>
      <c r="AN47" s="172">
        <v>10140168</v>
      </c>
      <c r="AO47" s="172" t="s">
        <v>1135</v>
      </c>
      <c r="AP47" s="172" t="s">
        <v>692</v>
      </c>
      <c r="AQ47" s="173">
        <v>110000</v>
      </c>
      <c r="AR47" s="174">
        <v>625</v>
      </c>
      <c r="AS47" s="175">
        <v>106248</v>
      </c>
      <c r="AT47" s="174"/>
      <c r="AU47" s="174"/>
      <c r="AV47" s="184">
        <f t="shared" si="1"/>
        <v>19375</v>
      </c>
      <c r="AW47" s="187">
        <v>45749</v>
      </c>
    </row>
    <row r="48" spans="1:49" x14ac:dyDescent="0.25">
      <c r="A48" s="4">
        <v>10140019</v>
      </c>
      <c r="B48" s="219">
        <v>1011.54</v>
      </c>
      <c r="D48" s="199"/>
      <c r="E48" s="71">
        <v>10130010</v>
      </c>
      <c r="F48" s="42">
        <v>6020.7064000000009</v>
      </c>
      <c r="H48" s="199"/>
      <c r="I48" s="71">
        <v>10010144</v>
      </c>
      <c r="J48" s="68">
        <v>75000</v>
      </c>
      <c r="L48" s="39"/>
      <c r="M48" s="4">
        <v>10360001</v>
      </c>
      <c r="N48" s="72">
        <v>400</v>
      </c>
      <c r="W48" s="41">
        <v>10080016</v>
      </c>
      <c r="X48">
        <v>500</v>
      </c>
      <c r="AC48" s="183" t="s">
        <v>898</v>
      </c>
      <c r="AD48" s="177" t="s">
        <v>650</v>
      </c>
      <c r="AE48" s="177" t="s">
        <v>1135</v>
      </c>
      <c r="AF48" s="177" t="s">
        <v>692</v>
      </c>
      <c r="AG48" s="178">
        <v>110000</v>
      </c>
      <c r="AH48" s="179">
        <v>10736</v>
      </c>
      <c r="AI48" s="180">
        <v>99264</v>
      </c>
      <c r="AJ48" s="179">
        <v>736</v>
      </c>
      <c r="AK48" s="181">
        <v>10000</v>
      </c>
      <c r="AL48" s="184">
        <f t="shared" si="0"/>
        <v>99264</v>
      </c>
      <c r="AN48" s="177">
        <v>10140169</v>
      </c>
      <c r="AO48" s="177" t="s">
        <v>1135</v>
      </c>
      <c r="AP48" s="177" t="s">
        <v>692</v>
      </c>
      <c r="AQ48" s="178">
        <v>110000</v>
      </c>
      <c r="AR48" s="179">
        <v>4340</v>
      </c>
      <c r="AS48" s="180">
        <v>101120</v>
      </c>
      <c r="AT48" s="179"/>
      <c r="AU48" s="179"/>
      <c r="AV48" s="184">
        <f t="shared" si="1"/>
        <v>15660</v>
      </c>
      <c r="AW48" s="188">
        <v>45692</v>
      </c>
    </row>
    <row r="49" spans="1:49" x14ac:dyDescent="0.25">
      <c r="A49" s="4">
        <v>10140020</v>
      </c>
      <c r="B49" s="219">
        <v>1870.8</v>
      </c>
      <c r="D49" s="199"/>
      <c r="E49" s="71">
        <v>10130001</v>
      </c>
      <c r="F49" s="42">
        <v>4162.4417999999987</v>
      </c>
      <c r="H49" s="199"/>
      <c r="I49" s="71">
        <v>10010145</v>
      </c>
      <c r="J49" s="68">
        <v>75000</v>
      </c>
      <c r="L49" s="39"/>
      <c r="M49" s="4">
        <v>10110071</v>
      </c>
      <c r="N49" s="72">
        <v>3000</v>
      </c>
      <c r="W49" s="41">
        <v>10080022</v>
      </c>
      <c r="X49">
        <v>500</v>
      </c>
      <c r="AC49" s="182" t="s">
        <v>899</v>
      </c>
      <c r="AD49" s="172" t="s">
        <v>706</v>
      </c>
      <c r="AE49" s="172" t="s">
        <v>1135</v>
      </c>
      <c r="AF49" s="172" t="s">
        <v>692</v>
      </c>
      <c r="AG49" s="173">
        <v>110000</v>
      </c>
      <c r="AH49" s="174">
        <v>10000</v>
      </c>
      <c r="AI49" s="175">
        <v>100000</v>
      </c>
      <c r="AJ49" s="174">
        <v>0</v>
      </c>
      <c r="AK49" s="176">
        <v>10000</v>
      </c>
      <c r="AL49" s="184">
        <f t="shared" si="0"/>
        <v>100000</v>
      </c>
      <c r="AN49" s="172">
        <v>10140156</v>
      </c>
      <c r="AO49" s="172" t="s">
        <v>1135</v>
      </c>
      <c r="AP49" s="172" t="s">
        <v>692</v>
      </c>
      <c r="AQ49" s="173">
        <v>110000</v>
      </c>
      <c r="AR49" s="174">
        <v>15097</v>
      </c>
      <c r="AS49" s="175">
        <v>86821.055041713873</v>
      </c>
      <c r="AT49" s="174"/>
      <c r="AU49" s="174"/>
      <c r="AV49" s="184">
        <f t="shared" si="1"/>
        <v>4903</v>
      </c>
      <c r="AW49" s="187">
        <v>45685</v>
      </c>
    </row>
    <row r="50" spans="1:49" x14ac:dyDescent="0.25">
      <c r="A50" s="4">
        <v>10140022</v>
      </c>
      <c r="B50" s="219">
        <v>1039.24</v>
      </c>
      <c r="D50" s="199"/>
      <c r="E50" s="71">
        <v>10130017</v>
      </c>
      <c r="F50" s="42">
        <v>4424.4603999999999</v>
      </c>
      <c r="H50" s="199"/>
      <c r="I50" s="71">
        <v>10010146</v>
      </c>
      <c r="J50" s="68">
        <v>75000</v>
      </c>
      <c r="L50" s="39"/>
      <c r="M50" s="4">
        <v>10110055</v>
      </c>
      <c r="N50" s="72">
        <v>2404</v>
      </c>
      <c r="W50" s="41">
        <v>10080023</v>
      </c>
      <c r="X50">
        <v>500</v>
      </c>
      <c r="AC50" s="183" t="s">
        <v>900</v>
      </c>
      <c r="AD50" s="177" t="s">
        <v>707</v>
      </c>
      <c r="AE50" s="177" t="s">
        <v>1135</v>
      </c>
      <c r="AF50" s="177" t="s">
        <v>692</v>
      </c>
      <c r="AG50" s="178">
        <v>110000</v>
      </c>
      <c r="AH50" s="179">
        <v>10000</v>
      </c>
      <c r="AI50" s="180">
        <v>100000</v>
      </c>
      <c r="AJ50" s="179">
        <v>0</v>
      </c>
      <c r="AK50" s="181">
        <v>10000</v>
      </c>
      <c r="AL50" s="184">
        <f t="shared" si="0"/>
        <v>100000</v>
      </c>
      <c r="AN50" s="177">
        <v>10120105</v>
      </c>
      <c r="AO50" s="177" t="s">
        <v>1135</v>
      </c>
      <c r="AP50" s="177" t="s">
        <v>692</v>
      </c>
      <c r="AQ50" s="178">
        <v>110000</v>
      </c>
      <c r="AR50" s="179">
        <v>0</v>
      </c>
      <c r="AS50" s="180">
        <v>97706</v>
      </c>
      <c r="AT50" s="179"/>
      <c r="AU50" s="179">
        <v>10000</v>
      </c>
      <c r="AV50" s="184">
        <f t="shared" si="1"/>
        <v>10000</v>
      </c>
      <c r="AW50" s="188">
        <v>45528</v>
      </c>
    </row>
    <row r="51" spans="1:49" x14ac:dyDescent="0.25">
      <c r="A51" s="4">
        <v>10140027</v>
      </c>
      <c r="B51" s="219">
        <v>404.53999999999996</v>
      </c>
      <c r="D51" s="201"/>
      <c r="E51" s="71">
        <v>10130016</v>
      </c>
      <c r="F51" s="42">
        <v>902.83000872600496</v>
      </c>
      <c r="H51" s="199"/>
      <c r="I51" s="71">
        <v>10010147</v>
      </c>
      <c r="J51" s="68">
        <v>85000</v>
      </c>
      <c r="L51" s="39"/>
      <c r="M51" s="4">
        <v>10140033</v>
      </c>
      <c r="N51" s="72">
        <v>3000</v>
      </c>
      <c r="W51" s="41">
        <v>10080027</v>
      </c>
      <c r="X51">
        <v>500</v>
      </c>
      <c r="AC51" s="182" t="s">
        <v>901</v>
      </c>
      <c r="AD51" s="172" t="s">
        <v>708</v>
      </c>
      <c r="AE51" s="172" t="s">
        <v>1135</v>
      </c>
      <c r="AF51" s="172" t="s">
        <v>692</v>
      </c>
      <c r="AG51" s="173">
        <v>110000</v>
      </c>
      <c r="AH51" s="174">
        <v>10000</v>
      </c>
      <c r="AI51" s="175">
        <v>100000</v>
      </c>
      <c r="AJ51" s="174">
        <v>0</v>
      </c>
      <c r="AK51" s="176">
        <v>10000</v>
      </c>
      <c r="AL51" s="184">
        <f t="shared" si="0"/>
        <v>100000</v>
      </c>
      <c r="AN51" s="172">
        <v>10080095</v>
      </c>
      <c r="AO51" s="172" t="s">
        <v>1135</v>
      </c>
      <c r="AP51" s="172" t="s">
        <v>692</v>
      </c>
      <c r="AQ51" s="173">
        <v>110000</v>
      </c>
      <c r="AR51" s="174">
        <v>0</v>
      </c>
      <c r="AS51" s="175">
        <v>99110</v>
      </c>
      <c r="AT51" s="174"/>
      <c r="AU51" s="174">
        <v>10000</v>
      </c>
      <c r="AV51" s="184">
        <f t="shared" si="1"/>
        <v>10000</v>
      </c>
      <c r="AW51" s="187">
        <v>45528</v>
      </c>
    </row>
    <row r="52" spans="1:49" x14ac:dyDescent="0.25">
      <c r="A52" s="4">
        <v>10140030</v>
      </c>
      <c r="B52" s="219">
        <v>517.31999999999994</v>
      </c>
      <c r="D52" s="199"/>
      <c r="E52" s="71">
        <v>10120020</v>
      </c>
      <c r="F52" s="42">
        <v>12799.650000000001</v>
      </c>
      <c r="H52" s="199"/>
      <c r="I52" s="71">
        <v>10010148</v>
      </c>
      <c r="J52" s="68">
        <v>65000</v>
      </c>
      <c r="L52" s="39"/>
      <c r="M52" s="4">
        <v>10140058</v>
      </c>
      <c r="N52" s="72">
        <v>3000</v>
      </c>
      <c r="W52" s="41">
        <v>10080032</v>
      </c>
      <c r="X52">
        <v>500</v>
      </c>
      <c r="AC52" s="183" t="s">
        <v>902</v>
      </c>
      <c r="AD52" s="177" t="s">
        <v>709</v>
      </c>
      <c r="AE52" s="177" t="s">
        <v>1135</v>
      </c>
      <c r="AF52" s="177" t="s">
        <v>692</v>
      </c>
      <c r="AG52" s="178">
        <v>110000</v>
      </c>
      <c r="AH52" s="179">
        <v>10341</v>
      </c>
      <c r="AI52" s="180">
        <v>109659</v>
      </c>
      <c r="AJ52" s="179">
        <v>341</v>
      </c>
      <c r="AK52" s="181">
        <v>10000</v>
      </c>
      <c r="AL52" s="184">
        <f t="shared" si="0"/>
        <v>99659</v>
      </c>
      <c r="AN52" s="177">
        <v>10080096</v>
      </c>
      <c r="AO52" s="177" t="s">
        <v>1134</v>
      </c>
      <c r="AP52" s="177" t="s">
        <v>692</v>
      </c>
      <c r="AQ52" s="178">
        <v>110000</v>
      </c>
      <c r="AR52" s="179">
        <v>0</v>
      </c>
      <c r="AS52" s="180">
        <v>108384</v>
      </c>
      <c r="AT52" s="179"/>
      <c r="AU52" s="179"/>
      <c r="AV52" s="184">
        <f t="shared" si="1"/>
        <v>20000</v>
      </c>
      <c r="AW52" s="188"/>
    </row>
    <row r="53" spans="1:49" x14ac:dyDescent="0.25">
      <c r="A53" s="4">
        <v>10140033</v>
      </c>
      <c r="B53" s="219">
        <v>799.59</v>
      </c>
      <c r="D53" s="199"/>
      <c r="E53" s="71">
        <v>10130011</v>
      </c>
      <c r="F53" s="42">
        <v>2060.0082000000002</v>
      </c>
      <c r="H53" s="199"/>
      <c r="I53" s="71">
        <v>10020087</v>
      </c>
      <c r="J53" s="68">
        <v>65000</v>
      </c>
      <c r="L53" s="39"/>
      <c r="M53" s="4">
        <v>10140137</v>
      </c>
      <c r="N53" s="72">
        <v>3000</v>
      </c>
      <c r="W53" s="41">
        <v>10080047</v>
      </c>
      <c r="X53">
        <v>500</v>
      </c>
      <c r="AC53" s="182" t="s">
        <v>903</v>
      </c>
      <c r="AD53" s="172" t="s">
        <v>580</v>
      </c>
      <c r="AE53" s="172" t="s">
        <v>1135</v>
      </c>
      <c r="AF53" s="172" t="s">
        <v>692</v>
      </c>
      <c r="AG53" s="173">
        <v>110000</v>
      </c>
      <c r="AH53" s="174">
        <v>12504</v>
      </c>
      <c r="AI53" s="175">
        <v>107496</v>
      </c>
      <c r="AJ53" s="174">
        <v>2504</v>
      </c>
      <c r="AK53" s="176">
        <v>10000</v>
      </c>
      <c r="AL53" s="184">
        <f t="shared" si="0"/>
        <v>97496</v>
      </c>
      <c r="AN53" s="172">
        <v>10010108</v>
      </c>
      <c r="AO53" s="172" t="s">
        <v>1135</v>
      </c>
      <c r="AP53" s="172" t="s">
        <v>692</v>
      </c>
      <c r="AQ53" s="173">
        <v>110000</v>
      </c>
      <c r="AR53" s="174">
        <v>197</v>
      </c>
      <c r="AS53" s="175">
        <v>96242</v>
      </c>
      <c r="AT53" s="174"/>
      <c r="AU53" s="174">
        <v>10000</v>
      </c>
      <c r="AV53" s="184">
        <f t="shared" si="1"/>
        <v>9803</v>
      </c>
      <c r="AW53" s="187"/>
    </row>
    <row r="54" spans="1:49" x14ac:dyDescent="0.25">
      <c r="A54" s="4">
        <v>10140035</v>
      </c>
      <c r="B54" s="219">
        <v>478.32</v>
      </c>
      <c r="D54" s="199"/>
      <c r="E54" s="71">
        <v>10120018</v>
      </c>
      <c r="F54" s="42">
        <v>7710.7308500784711</v>
      </c>
      <c r="H54" s="199"/>
      <c r="I54" s="71">
        <v>10030086</v>
      </c>
      <c r="J54" s="68">
        <v>75000</v>
      </c>
      <c r="L54" s="39"/>
      <c r="M54" s="4">
        <v>10140002</v>
      </c>
      <c r="N54" s="72">
        <v>3000</v>
      </c>
      <c r="W54" s="41">
        <v>10080048</v>
      </c>
      <c r="X54">
        <v>500</v>
      </c>
      <c r="AC54" s="183" t="s">
        <v>904</v>
      </c>
      <c r="AD54" s="177" t="s">
        <v>585</v>
      </c>
      <c r="AE54" s="177" t="s">
        <v>1135</v>
      </c>
      <c r="AF54" s="177" t="s">
        <v>692</v>
      </c>
      <c r="AG54" s="178">
        <v>110000</v>
      </c>
      <c r="AH54" s="179">
        <v>11869</v>
      </c>
      <c r="AI54" s="180">
        <v>98131</v>
      </c>
      <c r="AJ54" s="179">
        <v>1869</v>
      </c>
      <c r="AK54" s="181">
        <v>10000</v>
      </c>
      <c r="AL54" s="184">
        <f t="shared" si="0"/>
        <v>98131</v>
      </c>
      <c r="AN54" s="177">
        <v>10130099</v>
      </c>
      <c r="AO54" s="177" t="s">
        <v>1135</v>
      </c>
      <c r="AP54" s="177" t="s">
        <v>692</v>
      </c>
      <c r="AQ54" s="178">
        <v>110000</v>
      </c>
      <c r="AR54" s="179">
        <v>0</v>
      </c>
      <c r="AS54" s="180">
        <v>100000</v>
      </c>
      <c r="AT54" s="179"/>
      <c r="AU54" s="179">
        <v>10000</v>
      </c>
      <c r="AV54" s="184">
        <f t="shared" si="1"/>
        <v>10000</v>
      </c>
      <c r="AW54" s="188"/>
    </row>
    <row r="55" spans="1:49" x14ac:dyDescent="0.25">
      <c r="A55" s="4">
        <v>10140039</v>
      </c>
      <c r="B55" s="219">
        <v>185.82000000000002</v>
      </c>
      <c r="D55" s="199"/>
      <c r="E55" s="71">
        <v>10060025</v>
      </c>
      <c r="F55" s="42">
        <v>2609.1486162001966</v>
      </c>
      <c r="H55" s="199"/>
      <c r="I55" s="71">
        <v>10030087</v>
      </c>
      <c r="J55" s="68">
        <v>75000</v>
      </c>
      <c r="L55" s="39"/>
      <c r="M55" s="4">
        <v>10060049</v>
      </c>
      <c r="N55" s="72">
        <v>3000</v>
      </c>
      <c r="W55" s="41">
        <v>10080051</v>
      </c>
      <c r="X55">
        <v>500</v>
      </c>
      <c r="AC55" s="182" t="s">
        <v>905</v>
      </c>
      <c r="AD55" s="172" t="s">
        <v>710</v>
      </c>
      <c r="AE55" s="172" t="s">
        <v>1135</v>
      </c>
      <c r="AF55" s="172" t="s">
        <v>692</v>
      </c>
      <c r="AG55" s="173">
        <v>110000</v>
      </c>
      <c r="AH55" s="174">
        <v>10000</v>
      </c>
      <c r="AI55" s="175">
        <v>100000</v>
      </c>
      <c r="AJ55" s="174">
        <v>0</v>
      </c>
      <c r="AK55" s="176">
        <v>10000</v>
      </c>
      <c r="AL55" s="184">
        <f t="shared" si="0"/>
        <v>100000</v>
      </c>
      <c r="AN55" s="172">
        <v>10110109</v>
      </c>
      <c r="AO55" s="172" t="s">
        <v>1135</v>
      </c>
      <c r="AP55" s="172" t="s">
        <v>692</v>
      </c>
      <c r="AQ55" s="173">
        <v>110000</v>
      </c>
      <c r="AR55" s="174">
        <v>4761</v>
      </c>
      <c r="AS55" s="175">
        <v>88512</v>
      </c>
      <c r="AT55" s="174"/>
      <c r="AU55" s="174">
        <v>10000</v>
      </c>
      <c r="AV55" s="184">
        <f t="shared" si="1"/>
        <v>5239</v>
      </c>
      <c r="AW55" s="187">
        <v>44876</v>
      </c>
    </row>
    <row r="56" spans="1:49" x14ac:dyDescent="0.25">
      <c r="A56" s="4">
        <v>10140041</v>
      </c>
      <c r="B56" s="219">
        <v>936.64</v>
      </c>
      <c r="D56" s="199"/>
      <c r="E56" s="71">
        <v>10060026</v>
      </c>
      <c r="F56" s="42">
        <v>7572.8810774183294</v>
      </c>
      <c r="H56" s="199"/>
      <c r="I56" s="71">
        <v>10030088</v>
      </c>
      <c r="J56" s="68">
        <v>75000</v>
      </c>
      <c r="L56" s="39"/>
      <c r="M56" s="4">
        <v>10090009</v>
      </c>
      <c r="N56" s="72">
        <v>3000</v>
      </c>
      <c r="W56" s="41">
        <v>10080055</v>
      </c>
      <c r="X56">
        <v>500</v>
      </c>
      <c r="AC56" s="183" t="s">
        <v>906</v>
      </c>
      <c r="AD56" s="177" t="s">
        <v>711</v>
      </c>
      <c r="AE56" s="177" t="s">
        <v>1135</v>
      </c>
      <c r="AF56" s="177" t="s">
        <v>692</v>
      </c>
      <c r="AG56" s="178">
        <v>110000</v>
      </c>
      <c r="AH56" s="179">
        <v>5000</v>
      </c>
      <c r="AI56" s="180">
        <v>105000</v>
      </c>
      <c r="AJ56" s="179">
        <v>0</v>
      </c>
      <c r="AK56" s="181">
        <v>5000</v>
      </c>
      <c r="AL56" s="184">
        <f t="shared" si="0"/>
        <v>105000</v>
      </c>
      <c r="AN56" s="177">
        <v>10110132</v>
      </c>
      <c r="AO56" s="177" t="s">
        <v>1135</v>
      </c>
      <c r="AP56" s="177" t="s">
        <v>692</v>
      </c>
      <c r="AQ56" s="178">
        <v>110000</v>
      </c>
      <c r="AR56" s="179">
        <v>508</v>
      </c>
      <c r="AS56" s="180">
        <v>95868</v>
      </c>
      <c r="AT56" s="179"/>
      <c r="AU56" s="179">
        <v>10000</v>
      </c>
      <c r="AV56" s="184">
        <f t="shared" si="1"/>
        <v>9492</v>
      </c>
      <c r="AW56" s="188">
        <v>45775</v>
      </c>
    </row>
    <row r="57" spans="1:49" x14ac:dyDescent="0.25">
      <c r="A57" s="4">
        <v>10140043</v>
      </c>
      <c r="B57" s="219">
        <v>1882.25</v>
      </c>
      <c r="D57" s="199"/>
      <c r="E57" s="71">
        <v>10020027</v>
      </c>
      <c r="F57" s="42">
        <v>6400</v>
      </c>
      <c r="H57" s="199"/>
      <c r="I57" s="71">
        <v>10030089</v>
      </c>
      <c r="J57" s="68">
        <v>70000</v>
      </c>
      <c r="L57" s="39"/>
      <c r="M57" s="4">
        <v>10090043</v>
      </c>
      <c r="N57" s="72">
        <v>3000</v>
      </c>
      <c r="W57" s="41">
        <v>10080056</v>
      </c>
      <c r="X57">
        <v>500</v>
      </c>
      <c r="AC57" s="182" t="s">
        <v>907</v>
      </c>
      <c r="AD57" s="172" t="s">
        <v>637</v>
      </c>
      <c r="AE57" s="172" t="s">
        <v>1135</v>
      </c>
      <c r="AF57" s="172" t="s">
        <v>692</v>
      </c>
      <c r="AG57" s="173">
        <v>110000</v>
      </c>
      <c r="AH57" s="174">
        <v>11482</v>
      </c>
      <c r="AI57" s="175">
        <v>98518</v>
      </c>
      <c r="AJ57" s="174">
        <v>1482</v>
      </c>
      <c r="AK57" s="176">
        <v>10000</v>
      </c>
      <c r="AL57" s="184">
        <f t="shared" si="0"/>
        <v>98518</v>
      </c>
      <c r="AN57" s="172">
        <v>10070070</v>
      </c>
      <c r="AO57" s="172" t="s">
        <v>1135</v>
      </c>
      <c r="AP57" s="172" t="s">
        <v>692</v>
      </c>
      <c r="AQ57" s="173">
        <v>110000</v>
      </c>
      <c r="AR57" s="174">
        <v>0</v>
      </c>
      <c r="AS57" s="175">
        <v>100000</v>
      </c>
      <c r="AT57" s="174"/>
      <c r="AU57" s="174">
        <v>10000</v>
      </c>
      <c r="AV57" s="184">
        <f t="shared" si="1"/>
        <v>10000</v>
      </c>
      <c r="AW57" s="187">
        <v>45483</v>
      </c>
    </row>
    <row r="58" spans="1:49" x14ac:dyDescent="0.25">
      <c r="A58" s="4">
        <v>10140047</v>
      </c>
      <c r="B58" s="219">
        <v>458.32</v>
      </c>
      <c r="D58" s="199"/>
      <c r="E58" s="71">
        <v>10020030</v>
      </c>
      <c r="F58" s="42">
        <v>6400</v>
      </c>
      <c r="H58" s="199"/>
      <c r="I58" s="71">
        <v>10030090</v>
      </c>
      <c r="J58" s="68">
        <v>75000</v>
      </c>
      <c r="L58" s="39"/>
      <c r="M58" s="4">
        <v>10020070</v>
      </c>
      <c r="N58" s="72">
        <v>3000</v>
      </c>
      <c r="W58" s="41">
        <v>10080057</v>
      </c>
      <c r="X58">
        <v>500</v>
      </c>
      <c r="AC58" s="183" t="s">
        <v>908</v>
      </c>
      <c r="AD58" s="177" t="s">
        <v>636</v>
      </c>
      <c r="AE58" s="177" t="s">
        <v>1135</v>
      </c>
      <c r="AF58" s="177" t="s">
        <v>692</v>
      </c>
      <c r="AG58" s="178">
        <v>110000</v>
      </c>
      <c r="AH58" s="179">
        <v>11861</v>
      </c>
      <c r="AI58" s="180">
        <v>98139</v>
      </c>
      <c r="AJ58" s="179">
        <v>1861</v>
      </c>
      <c r="AK58" s="181">
        <v>10000</v>
      </c>
      <c r="AL58" s="184">
        <f t="shared" si="0"/>
        <v>98139</v>
      </c>
      <c r="AN58" s="177">
        <v>10070071</v>
      </c>
      <c r="AO58" s="177" t="s">
        <v>1135</v>
      </c>
      <c r="AP58" s="177" t="s">
        <v>692</v>
      </c>
      <c r="AQ58" s="178">
        <v>110000</v>
      </c>
      <c r="AR58" s="179">
        <v>0</v>
      </c>
      <c r="AS58" s="180">
        <v>100000</v>
      </c>
      <c r="AT58" s="179"/>
      <c r="AU58" s="179">
        <v>10000</v>
      </c>
      <c r="AV58" s="184">
        <f t="shared" si="1"/>
        <v>10000</v>
      </c>
      <c r="AW58" s="188"/>
    </row>
    <row r="59" spans="1:49" x14ac:dyDescent="0.25">
      <c r="A59" s="4">
        <v>10140048</v>
      </c>
      <c r="B59" s="219">
        <v>54.900000000000006</v>
      </c>
      <c r="D59" s="199"/>
      <c r="E59" s="71">
        <v>10020028</v>
      </c>
      <c r="F59" s="42">
        <v>6691.5034184192</v>
      </c>
      <c r="H59" s="199"/>
      <c r="I59" s="71">
        <v>10090079</v>
      </c>
      <c r="J59" s="68">
        <v>65000</v>
      </c>
      <c r="L59" s="39"/>
      <c r="M59" s="4">
        <v>10110043</v>
      </c>
      <c r="N59" s="72">
        <v>3000</v>
      </c>
      <c r="W59" s="41">
        <v>10080060</v>
      </c>
      <c r="X59">
        <v>500</v>
      </c>
      <c r="AC59" s="182" t="s">
        <v>909</v>
      </c>
      <c r="AD59" s="172" t="s">
        <v>581</v>
      </c>
      <c r="AE59" s="172" t="s">
        <v>1135</v>
      </c>
      <c r="AF59" s="172" t="s">
        <v>692</v>
      </c>
      <c r="AG59" s="173">
        <v>110000</v>
      </c>
      <c r="AH59" s="174">
        <v>10061</v>
      </c>
      <c r="AI59" s="175">
        <v>109939</v>
      </c>
      <c r="AJ59" s="174">
        <v>61</v>
      </c>
      <c r="AK59" s="176">
        <v>10000</v>
      </c>
      <c r="AL59" s="184">
        <f t="shared" si="0"/>
        <v>99939</v>
      </c>
      <c r="AN59" s="172">
        <v>10070072</v>
      </c>
      <c r="AO59" s="172" t="s">
        <v>1135</v>
      </c>
      <c r="AP59" s="172" t="s">
        <v>692</v>
      </c>
      <c r="AQ59" s="173">
        <v>110000</v>
      </c>
      <c r="AR59" s="174">
        <v>0</v>
      </c>
      <c r="AS59" s="175">
        <v>99752</v>
      </c>
      <c r="AT59" s="174"/>
      <c r="AU59" s="174">
        <v>10000</v>
      </c>
      <c r="AV59" s="184">
        <f t="shared" si="1"/>
        <v>10000</v>
      </c>
      <c r="AW59" s="187">
        <v>45703</v>
      </c>
    </row>
    <row r="60" spans="1:49" x14ac:dyDescent="0.25">
      <c r="A60" s="4">
        <v>10140051</v>
      </c>
      <c r="B60" s="219">
        <v>687.01</v>
      </c>
      <c r="D60" s="199"/>
      <c r="E60" s="71">
        <v>10020031</v>
      </c>
      <c r="F60" s="42">
        <v>12800</v>
      </c>
      <c r="H60" s="199"/>
      <c r="I60" s="71">
        <v>10090080</v>
      </c>
      <c r="J60" s="68">
        <v>65000</v>
      </c>
      <c r="L60" s="39"/>
      <c r="M60" s="4">
        <v>10120002</v>
      </c>
      <c r="N60" s="72">
        <v>3000</v>
      </c>
      <c r="W60" s="41">
        <v>10080061</v>
      </c>
      <c r="X60">
        <v>500</v>
      </c>
      <c r="AC60" s="183" t="s">
        <v>910</v>
      </c>
      <c r="AD60" s="177" t="s">
        <v>712</v>
      </c>
      <c r="AE60" s="177" t="s">
        <v>1135</v>
      </c>
      <c r="AF60" s="177" t="s">
        <v>692</v>
      </c>
      <c r="AG60" s="178">
        <v>110000</v>
      </c>
      <c r="AH60" s="179">
        <v>5035</v>
      </c>
      <c r="AI60" s="180">
        <v>104965</v>
      </c>
      <c r="AJ60" s="179">
        <v>35</v>
      </c>
      <c r="AK60" s="181">
        <v>5000</v>
      </c>
      <c r="AL60" s="184">
        <f t="shared" si="0"/>
        <v>104965</v>
      </c>
      <c r="AN60" s="177">
        <v>10070062</v>
      </c>
      <c r="AO60" s="177" t="s">
        <v>1135</v>
      </c>
      <c r="AP60" s="177" t="s">
        <v>692</v>
      </c>
      <c r="AQ60" s="178">
        <v>110000</v>
      </c>
      <c r="AR60" s="179">
        <v>3292</v>
      </c>
      <c r="AS60" s="180">
        <v>92978</v>
      </c>
      <c r="AT60" s="179"/>
      <c r="AU60" s="179">
        <v>10000</v>
      </c>
      <c r="AV60" s="184">
        <f t="shared" si="1"/>
        <v>6708</v>
      </c>
      <c r="AW60" s="188"/>
    </row>
    <row r="61" spans="1:49" x14ac:dyDescent="0.25">
      <c r="A61" s="4">
        <v>10140053</v>
      </c>
      <c r="B61" s="219">
        <v>54.900000000000006</v>
      </c>
      <c r="D61" s="199"/>
      <c r="E61" s="71">
        <v>10060068</v>
      </c>
      <c r="F61" s="42">
        <v>6400</v>
      </c>
      <c r="H61" s="199"/>
      <c r="I61" s="71">
        <v>10590014</v>
      </c>
      <c r="J61" s="68">
        <v>70000</v>
      </c>
      <c r="L61" s="39"/>
      <c r="M61" s="4">
        <v>10120107</v>
      </c>
      <c r="N61" s="72">
        <v>3000</v>
      </c>
      <c r="W61" s="41">
        <v>10080062</v>
      </c>
      <c r="X61">
        <v>500</v>
      </c>
      <c r="AC61" s="182" t="s">
        <v>911</v>
      </c>
      <c r="AD61" s="172" t="s">
        <v>600</v>
      </c>
      <c r="AE61" s="172" t="s">
        <v>1135</v>
      </c>
      <c r="AF61" s="172" t="s">
        <v>692</v>
      </c>
      <c r="AG61" s="173">
        <v>110000</v>
      </c>
      <c r="AH61" s="174">
        <v>12142</v>
      </c>
      <c r="AI61" s="175">
        <v>97858</v>
      </c>
      <c r="AJ61" s="174">
        <v>2142</v>
      </c>
      <c r="AK61" s="176">
        <v>10000</v>
      </c>
      <c r="AL61" s="184">
        <f t="shared" si="0"/>
        <v>97858</v>
      </c>
      <c r="AN61" s="172">
        <v>10110129</v>
      </c>
      <c r="AO61" s="172" t="s">
        <v>1135</v>
      </c>
      <c r="AP61" s="172" t="s">
        <v>692</v>
      </c>
      <c r="AQ61" s="173">
        <v>110000</v>
      </c>
      <c r="AR61" s="174">
        <v>0</v>
      </c>
      <c r="AS61" s="175">
        <v>95731.661792241604</v>
      </c>
      <c r="AT61" s="174"/>
      <c r="AU61" s="174">
        <v>10000</v>
      </c>
      <c r="AV61" s="184">
        <f t="shared" si="1"/>
        <v>10000</v>
      </c>
      <c r="AW61" s="187"/>
    </row>
    <row r="62" spans="1:49" x14ac:dyDescent="0.25">
      <c r="A62" s="4">
        <v>10140054</v>
      </c>
      <c r="B62" s="219">
        <v>2181.62</v>
      </c>
      <c r="D62" s="199"/>
      <c r="E62" s="71">
        <v>10090037</v>
      </c>
      <c r="F62" s="42">
        <v>18377</v>
      </c>
      <c r="H62" s="199"/>
      <c r="I62" s="71">
        <v>10590015</v>
      </c>
      <c r="J62" s="68">
        <v>65000</v>
      </c>
      <c r="L62" s="39"/>
      <c r="M62" s="4">
        <v>10120080</v>
      </c>
      <c r="N62" s="72">
        <v>3000</v>
      </c>
      <c r="W62" s="41">
        <v>10080063</v>
      </c>
      <c r="X62">
        <v>500</v>
      </c>
      <c r="AC62" s="183" t="s">
        <v>912</v>
      </c>
      <c r="AD62" s="177" t="s">
        <v>713</v>
      </c>
      <c r="AE62" s="177" t="s">
        <v>1135</v>
      </c>
      <c r="AF62" s="177" t="s">
        <v>692</v>
      </c>
      <c r="AG62" s="178">
        <v>110000</v>
      </c>
      <c r="AH62" s="179">
        <v>10010</v>
      </c>
      <c r="AI62" s="180">
        <v>99990</v>
      </c>
      <c r="AJ62" s="179">
        <v>10</v>
      </c>
      <c r="AK62" s="181">
        <v>10000</v>
      </c>
      <c r="AL62" s="184">
        <f t="shared" si="0"/>
        <v>99990</v>
      </c>
      <c r="AN62" s="177">
        <v>10110130</v>
      </c>
      <c r="AO62" s="177" t="s">
        <v>1135</v>
      </c>
      <c r="AP62" s="177" t="s">
        <v>692</v>
      </c>
      <c r="AQ62" s="178">
        <v>110000</v>
      </c>
      <c r="AR62" s="179">
        <v>0</v>
      </c>
      <c r="AS62" s="180">
        <v>104937</v>
      </c>
      <c r="AT62" s="179"/>
      <c r="AU62" s="179">
        <v>5000</v>
      </c>
      <c r="AV62" s="184">
        <f t="shared" si="1"/>
        <v>15000</v>
      </c>
      <c r="AW62" s="188"/>
    </row>
    <row r="63" spans="1:49" x14ac:dyDescent="0.25">
      <c r="A63" s="4">
        <v>10140055</v>
      </c>
      <c r="B63" s="219">
        <v>1711.6999999999998</v>
      </c>
      <c r="D63" s="199"/>
      <c r="E63" s="71">
        <v>10090032</v>
      </c>
      <c r="F63" s="42">
        <v>9600</v>
      </c>
      <c r="H63" s="199"/>
      <c r="I63" s="71">
        <v>10570055</v>
      </c>
      <c r="J63" s="68">
        <v>85000</v>
      </c>
      <c r="L63" s="39"/>
      <c r="M63" s="4">
        <v>10120035</v>
      </c>
      <c r="N63" s="72">
        <v>3000</v>
      </c>
      <c r="W63" s="41">
        <v>10080064</v>
      </c>
      <c r="X63">
        <v>500</v>
      </c>
      <c r="AC63" s="182" t="s">
        <v>913</v>
      </c>
      <c r="AD63" s="172" t="s">
        <v>584</v>
      </c>
      <c r="AE63" s="172" t="s">
        <v>1135</v>
      </c>
      <c r="AF63" s="172" t="s">
        <v>692</v>
      </c>
      <c r="AG63" s="173">
        <v>110000</v>
      </c>
      <c r="AH63" s="174">
        <v>11905</v>
      </c>
      <c r="AI63" s="175">
        <v>98095</v>
      </c>
      <c r="AJ63" s="174">
        <v>1905</v>
      </c>
      <c r="AK63" s="176">
        <v>10000</v>
      </c>
      <c r="AL63" s="184">
        <f t="shared" si="0"/>
        <v>98095</v>
      </c>
      <c r="AN63" s="172">
        <v>10060103</v>
      </c>
      <c r="AO63" s="172" t="s">
        <v>1135</v>
      </c>
      <c r="AP63" s="172" t="s">
        <v>692</v>
      </c>
      <c r="AQ63" s="173">
        <v>110000</v>
      </c>
      <c r="AR63" s="174">
        <v>944</v>
      </c>
      <c r="AS63" s="175">
        <v>96141</v>
      </c>
      <c r="AT63" s="174"/>
      <c r="AU63" s="174">
        <v>10000</v>
      </c>
      <c r="AV63" s="184">
        <f t="shared" si="1"/>
        <v>9056</v>
      </c>
      <c r="AW63" s="187"/>
    </row>
    <row r="64" spans="1:49" x14ac:dyDescent="0.25">
      <c r="A64" s="4">
        <v>10140058</v>
      </c>
      <c r="B64" s="219">
        <v>112.04</v>
      </c>
      <c r="D64" s="199"/>
      <c r="E64" s="71">
        <v>10090031</v>
      </c>
      <c r="F64" s="42">
        <v>9600</v>
      </c>
      <c r="H64" s="199"/>
      <c r="I64" s="71">
        <v>10110187</v>
      </c>
      <c r="J64" s="68">
        <v>75000</v>
      </c>
      <c r="L64" s="39"/>
      <c r="M64" s="4">
        <v>10130014</v>
      </c>
      <c r="N64" s="72">
        <v>3000</v>
      </c>
      <c r="W64" s="41">
        <v>10080065</v>
      </c>
      <c r="X64">
        <v>500</v>
      </c>
      <c r="AC64" s="183" t="s">
        <v>914</v>
      </c>
      <c r="AD64" s="177" t="s">
        <v>576</v>
      </c>
      <c r="AE64" s="177" t="s">
        <v>1135</v>
      </c>
      <c r="AF64" s="177" t="s">
        <v>692</v>
      </c>
      <c r="AG64" s="178">
        <v>110000</v>
      </c>
      <c r="AH64" s="179">
        <v>11925</v>
      </c>
      <c r="AI64" s="180">
        <v>98075</v>
      </c>
      <c r="AJ64" s="179">
        <v>1925</v>
      </c>
      <c r="AK64" s="181">
        <v>10000</v>
      </c>
      <c r="AL64" s="184">
        <f t="shared" si="0"/>
        <v>98075</v>
      </c>
      <c r="AN64" s="177">
        <v>10110131</v>
      </c>
      <c r="AO64" s="177" t="s">
        <v>1135</v>
      </c>
      <c r="AP64" s="177" t="s">
        <v>692</v>
      </c>
      <c r="AQ64" s="178">
        <v>110000</v>
      </c>
      <c r="AR64" s="179">
        <v>2562</v>
      </c>
      <c r="AS64" s="180">
        <v>92970</v>
      </c>
      <c r="AT64" s="179"/>
      <c r="AU64" s="179">
        <v>10000</v>
      </c>
      <c r="AV64" s="184">
        <f t="shared" si="1"/>
        <v>7438</v>
      </c>
      <c r="AW64" s="188">
        <v>45746</v>
      </c>
    </row>
    <row r="65" spans="1:49" x14ac:dyDescent="0.25">
      <c r="A65" s="4">
        <v>10140066</v>
      </c>
      <c r="B65" s="219">
        <v>1394.4799999999998</v>
      </c>
      <c r="D65" s="199"/>
      <c r="E65" s="71">
        <v>10090029</v>
      </c>
      <c r="F65" s="42">
        <v>7396.1422000000002</v>
      </c>
      <c r="H65" s="199"/>
      <c r="I65" s="71">
        <v>10580024</v>
      </c>
      <c r="J65" s="68">
        <v>75000</v>
      </c>
      <c r="L65" s="39"/>
      <c r="M65" s="4">
        <v>10130015</v>
      </c>
      <c r="N65" s="72">
        <v>3000</v>
      </c>
      <c r="W65" s="41">
        <v>10080066</v>
      </c>
      <c r="X65">
        <v>500</v>
      </c>
      <c r="AC65" s="182" t="s">
        <v>915</v>
      </c>
      <c r="AD65" s="172" t="s">
        <v>664</v>
      </c>
      <c r="AE65" s="172" t="s">
        <v>1135</v>
      </c>
      <c r="AF65" s="172" t="s">
        <v>692</v>
      </c>
      <c r="AG65" s="173">
        <v>110000</v>
      </c>
      <c r="AH65" s="174">
        <v>11861</v>
      </c>
      <c r="AI65" s="175">
        <v>98139</v>
      </c>
      <c r="AJ65" s="174">
        <v>1861</v>
      </c>
      <c r="AK65" s="176">
        <v>10000</v>
      </c>
      <c r="AL65" s="184">
        <f t="shared" si="0"/>
        <v>98139</v>
      </c>
      <c r="AN65" s="172">
        <v>10140166</v>
      </c>
      <c r="AO65" s="172" t="s">
        <v>1135</v>
      </c>
      <c r="AP65" s="172" t="s">
        <v>692</v>
      </c>
      <c r="AQ65" s="173">
        <v>110000</v>
      </c>
      <c r="AR65" s="174">
        <v>3685</v>
      </c>
      <c r="AS65" s="175">
        <v>89993</v>
      </c>
      <c r="AT65" s="174"/>
      <c r="AU65" s="174">
        <v>10000</v>
      </c>
      <c r="AV65" s="184">
        <f t="shared" si="1"/>
        <v>6315</v>
      </c>
      <c r="AW65" s="187">
        <v>45751</v>
      </c>
    </row>
    <row r="66" spans="1:49" x14ac:dyDescent="0.25">
      <c r="A66" s="4">
        <v>10140068</v>
      </c>
      <c r="B66" s="219">
        <v>112.04</v>
      </c>
      <c r="D66" s="199"/>
      <c r="E66" s="71">
        <v>10090030</v>
      </c>
      <c r="F66" s="42">
        <v>6400</v>
      </c>
      <c r="H66" s="199"/>
      <c r="I66" s="71">
        <v>10580025</v>
      </c>
      <c r="J66" s="68">
        <v>70000</v>
      </c>
      <c r="L66" s="39"/>
      <c r="M66" s="4">
        <v>10030053</v>
      </c>
      <c r="N66" s="72">
        <v>3000</v>
      </c>
      <c r="W66" s="41">
        <v>10080071</v>
      </c>
      <c r="X66">
        <v>500</v>
      </c>
      <c r="AC66" s="183" t="s">
        <v>916</v>
      </c>
      <c r="AD66" s="177" t="s">
        <v>152</v>
      </c>
      <c r="AE66" s="177" t="s">
        <v>1135</v>
      </c>
      <c r="AF66" s="177" t="s">
        <v>692</v>
      </c>
      <c r="AG66" s="178">
        <v>110000</v>
      </c>
      <c r="AH66" s="179">
        <v>17020.461802016704</v>
      </c>
      <c r="AI66" s="180">
        <v>92979.538197983289</v>
      </c>
      <c r="AJ66" s="179">
        <v>2020.4618020167045</v>
      </c>
      <c r="AK66" s="181">
        <v>15000</v>
      </c>
      <c r="AL66" s="184">
        <f t="shared" si="0"/>
        <v>92979.538197983289</v>
      </c>
      <c r="AN66" s="177">
        <v>10010105</v>
      </c>
      <c r="AO66" s="177" t="s">
        <v>1135</v>
      </c>
      <c r="AP66" s="177" t="s">
        <v>692</v>
      </c>
      <c r="AQ66" s="178">
        <v>110000</v>
      </c>
      <c r="AR66" s="179">
        <v>53</v>
      </c>
      <c r="AS66" s="180">
        <v>99937</v>
      </c>
      <c r="AT66" s="179"/>
      <c r="AU66" s="179">
        <v>10000</v>
      </c>
      <c r="AV66" s="184">
        <f t="shared" si="1"/>
        <v>9947</v>
      </c>
      <c r="AW66" s="188"/>
    </row>
    <row r="67" spans="1:49" x14ac:dyDescent="0.25">
      <c r="A67" s="4">
        <v>10140069</v>
      </c>
      <c r="B67" s="219">
        <v>1020.12</v>
      </c>
      <c r="D67" s="199"/>
      <c r="E67" s="71">
        <v>10060074</v>
      </c>
      <c r="F67" s="42">
        <v>10644.76976373949</v>
      </c>
      <c r="H67" s="199"/>
      <c r="I67" s="71">
        <v>10580026</v>
      </c>
      <c r="J67" s="68">
        <v>65000</v>
      </c>
      <c r="L67" s="39"/>
      <c r="M67" s="4">
        <v>10110095</v>
      </c>
      <c r="N67" s="72">
        <v>3000</v>
      </c>
      <c r="W67" s="41">
        <v>10080072</v>
      </c>
      <c r="X67">
        <v>500</v>
      </c>
      <c r="AC67" s="182" t="s">
        <v>917</v>
      </c>
      <c r="AD67" s="172" t="s">
        <v>561</v>
      </c>
      <c r="AE67" s="172" t="s">
        <v>1135</v>
      </c>
      <c r="AF67" s="172" t="s">
        <v>692</v>
      </c>
      <c r="AG67" s="173">
        <v>110000</v>
      </c>
      <c r="AH67" s="174">
        <v>11861</v>
      </c>
      <c r="AI67" s="175">
        <v>98139</v>
      </c>
      <c r="AJ67" s="174">
        <v>1861</v>
      </c>
      <c r="AK67" s="176">
        <v>10000</v>
      </c>
      <c r="AL67" s="184">
        <f t="shared" si="0"/>
        <v>98139</v>
      </c>
      <c r="AN67" s="172">
        <v>10010102</v>
      </c>
      <c r="AO67" s="172" t="s">
        <v>1135</v>
      </c>
      <c r="AP67" s="172" t="s">
        <v>692</v>
      </c>
      <c r="AQ67" s="173">
        <v>110000</v>
      </c>
      <c r="AR67" s="174">
        <v>1640</v>
      </c>
      <c r="AS67" s="175">
        <v>93427</v>
      </c>
      <c r="AT67" s="174"/>
      <c r="AU67" s="174">
        <v>10000</v>
      </c>
      <c r="AV67" s="184">
        <f t="shared" si="1"/>
        <v>8360</v>
      </c>
      <c r="AW67" s="187">
        <v>45741</v>
      </c>
    </row>
    <row r="68" spans="1:49" x14ac:dyDescent="0.25">
      <c r="A68" s="4">
        <v>10140087</v>
      </c>
      <c r="B68" s="219">
        <v>1637.68</v>
      </c>
      <c r="D68" s="199"/>
      <c r="E68" s="71">
        <v>10060076</v>
      </c>
      <c r="F68" s="42">
        <v>2453.0201150835856</v>
      </c>
      <c r="H68" s="199"/>
      <c r="I68" s="71">
        <v>10580027</v>
      </c>
      <c r="J68" s="68">
        <v>65000</v>
      </c>
      <c r="L68" s="39"/>
      <c r="M68" s="4">
        <v>10440001</v>
      </c>
      <c r="N68" s="72">
        <v>3000</v>
      </c>
      <c r="W68" s="41">
        <v>10080074</v>
      </c>
      <c r="X68">
        <v>500</v>
      </c>
      <c r="AC68" s="183" t="s">
        <v>918</v>
      </c>
      <c r="AD68" s="177" t="s">
        <v>598</v>
      </c>
      <c r="AE68" s="177" t="s">
        <v>1135</v>
      </c>
      <c r="AF68" s="177" t="s">
        <v>692</v>
      </c>
      <c r="AG68" s="178">
        <v>110000</v>
      </c>
      <c r="AH68" s="179">
        <v>11896</v>
      </c>
      <c r="AI68" s="180">
        <v>98104</v>
      </c>
      <c r="AJ68" s="179">
        <v>1896</v>
      </c>
      <c r="AK68" s="181">
        <v>10000</v>
      </c>
      <c r="AL68" s="184">
        <f t="shared" ref="AL68:AL91" si="2">AG68-AH68</f>
        <v>98104</v>
      </c>
      <c r="AN68" s="177">
        <v>10120101</v>
      </c>
      <c r="AO68" s="177" t="s">
        <v>1135</v>
      </c>
      <c r="AP68" s="177" t="s">
        <v>692</v>
      </c>
      <c r="AQ68" s="178">
        <v>110000</v>
      </c>
      <c r="AR68" s="179">
        <v>1041</v>
      </c>
      <c r="AS68" s="180">
        <v>97034</v>
      </c>
      <c r="AT68" s="179"/>
      <c r="AU68" s="179">
        <v>10000</v>
      </c>
      <c r="AV68" s="184">
        <f t="shared" ref="AV68:AV131" si="3">20000-AU68-AR68</f>
        <v>8959</v>
      </c>
      <c r="AW68" s="188">
        <v>45740</v>
      </c>
    </row>
    <row r="69" spans="1:49" x14ac:dyDescent="0.25">
      <c r="A69" s="4">
        <v>10140098</v>
      </c>
      <c r="B69" s="219">
        <v>1227.06</v>
      </c>
      <c r="D69" s="199"/>
      <c r="E69" s="71">
        <v>10060077</v>
      </c>
      <c r="F69" s="42">
        <v>6427.4183995715684</v>
      </c>
      <c r="H69" s="199"/>
      <c r="I69" s="71">
        <v>10580028</v>
      </c>
      <c r="J69" s="68">
        <v>65000</v>
      </c>
      <c r="L69" s="39"/>
      <c r="M69" s="4">
        <v>10100001</v>
      </c>
      <c r="N69" s="72">
        <v>3000</v>
      </c>
      <c r="W69" s="41">
        <v>10080077</v>
      </c>
      <c r="X69">
        <v>500</v>
      </c>
      <c r="AC69" s="182" t="s">
        <v>919</v>
      </c>
      <c r="AD69" s="172" t="s">
        <v>714</v>
      </c>
      <c r="AE69" s="172" t="s">
        <v>1135</v>
      </c>
      <c r="AF69" s="172" t="s">
        <v>692</v>
      </c>
      <c r="AG69" s="173">
        <v>110000</v>
      </c>
      <c r="AH69" s="174">
        <v>10000</v>
      </c>
      <c r="AI69" s="175">
        <v>100000</v>
      </c>
      <c r="AJ69" s="174">
        <v>0</v>
      </c>
      <c r="AK69" s="176">
        <v>10000</v>
      </c>
      <c r="AL69" s="184">
        <f t="shared" si="2"/>
        <v>100000</v>
      </c>
      <c r="AN69" s="172">
        <v>10060098</v>
      </c>
      <c r="AO69" s="172" t="s">
        <v>1135</v>
      </c>
      <c r="AP69" s="172" t="s">
        <v>692</v>
      </c>
      <c r="AQ69" s="173">
        <v>110000</v>
      </c>
      <c r="AR69" s="174">
        <v>5115</v>
      </c>
      <c r="AS69" s="175">
        <v>83879.445640988823</v>
      </c>
      <c r="AT69" s="174"/>
      <c r="AU69" s="174">
        <v>10000</v>
      </c>
      <c r="AV69" s="184">
        <f t="shared" si="3"/>
        <v>4885</v>
      </c>
      <c r="AW69" s="187">
        <v>45746</v>
      </c>
    </row>
    <row r="70" spans="1:49" x14ac:dyDescent="0.25">
      <c r="A70" s="4">
        <v>10140099</v>
      </c>
      <c r="B70" s="219">
        <v>2131.4399999999996</v>
      </c>
      <c r="D70" s="199"/>
      <c r="E70" s="71">
        <v>10020070</v>
      </c>
      <c r="F70" s="42">
        <v>6400</v>
      </c>
      <c r="H70" s="199"/>
      <c r="I70" s="71">
        <v>10580029</v>
      </c>
      <c r="J70" s="68">
        <v>75000</v>
      </c>
      <c r="L70" s="39"/>
      <c r="M70" s="4">
        <v>10070043</v>
      </c>
      <c r="N70" s="72">
        <v>3000</v>
      </c>
      <c r="W70" s="41">
        <v>10090031</v>
      </c>
      <c r="X70">
        <v>500</v>
      </c>
      <c r="AC70" s="183" t="s">
        <v>920</v>
      </c>
      <c r="AD70" s="177" t="s">
        <v>591</v>
      </c>
      <c r="AE70" s="177" t="s">
        <v>1135</v>
      </c>
      <c r="AF70" s="177" t="s">
        <v>692</v>
      </c>
      <c r="AG70" s="178">
        <v>110000</v>
      </c>
      <c r="AH70" s="179">
        <v>11882</v>
      </c>
      <c r="AI70" s="180">
        <v>98118</v>
      </c>
      <c r="AJ70" s="179">
        <v>1882</v>
      </c>
      <c r="AK70" s="181">
        <v>10000</v>
      </c>
      <c r="AL70" s="184">
        <f t="shared" si="2"/>
        <v>98118</v>
      </c>
      <c r="AN70" s="177">
        <v>10060093</v>
      </c>
      <c r="AO70" s="177" t="s">
        <v>1135</v>
      </c>
      <c r="AP70" s="177" t="s">
        <v>692</v>
      </c>
      <c r="AQ70" s="178">
        <v>110000</v>
      </c>
      <c r="AR70" s="179">
        <v>1228</v>
      </c>
      <c r="AS70" s="180">
        <v>95425</v>
      </c>
      <c r="AT70" s="179"/>
      <c r="AU70" s="179">
        <v>10000</v>
      </c>
      <c r="AV70" s="184">
        <f t="shared" si="3"/>
        <v>8772</v>
      </c>
      <c r="AW70" s="188"/>
    </row>
    <row r="71" spans="1:49" x14ac:dyDescent="0.25">
      <c r="A71" s="4">
        <v>10140100</v>
      </c>
      <c r="B71" s="219">
        <v>129.80000000000001</v>
      </c>
      <c r="D71" s="199"/>
      <c r="E71" s="71">
        <v>10020069</v>
      </c>
      <c r="F71" s="42">
        <v>12800</v>
      </c>
      <c r="H71" s="199"/>
      <c r="I71" s="71">
        <v>10580030</v>
      </c>
      <c r="J71" s="68">
        <v>65000</v>
      </c>
      <c r="L71" s="39"/>
      <c r="M71" s="4">
        <v>10090056</v>
      </c>
      <c r="N71" s="72">
        <v>3000</v>
      </c>
      <c r="W71" s="41">
        <v>10090035</v>
      </c>
      <c r="X71">
        <v>500</v>
      </c>
      <c r="AC71" s="182" t="s">
        <v>921</v>
      </c>
      <c r="AD71" s="172" t="s">
        <v>592</v>
      </c>
      <c r="AE71" s="172" t="s">
        <v>1135</v>
      </c>
      <c r="AF71" s="172" t="s">
        <v>692</v>
      </c>
      <c r="AG71" s="173">
        <v>110000</v>
      </c>
      <c r="AH71" s="174">
        <v>11696</v>
      </c>
      <c r="AI71" s="175">
        <v>98304</v>
      </c>
      <c r="AJ71" s="174">
        <v>1696</v>
      </c>
      <c r="AK71" s="176">
        <v>10000</v>
      </c>
      <c r="AL71" s="184">
        <f t="shared" si="2"/>
        <v>98304</v>
      </c>
      <c r="AN71" s="172">
        <v>10110128</v>
      </c>
      <c r="AO71" s="172" t="s">
        <v>1135</v>
      </c>
      <c r="AP71" s="172" t="s">
        <v>692</v>
      </c>
      <c r="AQ71" s="173">
        <v>110000</v>
      </c>
      <c r="AR71" s="174">
        <v>3650</v>
      </c>
      <c r="AS71" s="175">
        <v>92142</v>
      </c>
      <c r="AT71" s="174"/>
      <c r="AU71" s="174">
        <v>10000</v>
      </c>
      <c r="AV71" s="184">
        <f t="shared" si="3"/>
        <v>6350</v>
      </c>
      <c r="AW71" s="187">
        <v>45741</v>
      </c>
    </row>
    <row r="72" spans="1:49" x14ac:dyDescent="0.25">
      <c r="A72" s="4">
        <v>10140107</v>
      </c>
      <c r="B72" s="219">
        <v>1045.56</v>
      </c>
      <c r="D72" s="199"/>
      <c r="E72" s="71">
        <v>10030015</v>
      </c>
      <c r="F72" s="42">
        <v>6400</v>
      </c>
      <c r="H72" s="199"/>
      <c r="I72" s="71">
        <v>10640008</v>
      </c>
      <c r="J72" s="68">
        <v>85000</v>
      </c>
      <c r="L72" s="39"/>
      <c r="M72" s="4">
        <v>10090049</v>
      </c>
      <c r="N72" s="72">
        <v>3000</v>
      </c>
      <c r="W72" s="41">
        <v>10090043</v>
      </c>
      <c r="X72">
        <v>500</v>
      </c>
      <c r="AC72" s="183" t="s">
        <v>922</v>
      </c>
      <c r="AD72" s="177" t="s">
        <v>546</v>
      </c>
      <c r="AE72" s="177" t="s">
        <v>1135</v>
      </c>
      <c r="AF72" s="177" t="s">
        <v>692</v>
      </c>
      <c r="AG72" s="178">
        <v>110000</v>
      </c>
      <c r="AH72" s="179">
        <v>11924</v>
      </c>
      <c r="AI72" s="180">
        <v>98076</v>
      </c>
      <c r="AJ72" s="179">
        <v>1924</v>
      </c>
      <c r="AK72" s="181">
        <v>10000</v>
      </c>
      <c r="AL72" s="184">
        <f t="shared" si="2"/>
        <v>98076</v>
      </c>
      <c r="AN72" s="177">
        <v>10110112</v>
      </c>
      <c r="AO72" s="177" t="s">
        <v>1135</v>
      </c>
      <c r="AP72" s="177" t="s">
        <v>692</v>
      </c>
      <c r="AQ72" s="178">
        <v>110000</v>
      </c>
      <c r="AR72" s="179">
        <v>0</v>
      </c>
      <c r="AS72" s="180">
        <v>98457</v>
      </c>
      <c r="AT72" s="179"/>
      <c r="AU72" s="179">
        <v>10000</v>
      </c>
      <c r="AV72" s="184">
        <f t="shared" si="3"/>
        <v>10000</v>
      </c>
      <c r="AW72" s="188">
        <v>45741</v>
      </c>
    </row>
    <row r="73" spans="1:49" x14ac:dyDescent="0.25">
      <c r="A73" s="4">
        <v>10140109</v>
      </c>
      <c r="B73" s="219">
        <v>109.80000000000001</v>
      </c>
      <c r="D73" s="199"/>
      <c r="E73" s="71">
        <v>10030016</v>
      </c>
      <c r="F73" s="42">
        <v>19200</v>
      </c>
      <c r="H73" s="199"/>
      <c r="I73" s="71">
        <v>10640009</v>
      </c>
      <c r="J73" s="68">
        <v>85000</v>
      </c>
      <c r="L73" s="39"/>
      <c r="M73" s="4"/>
      <c r="N73" s="72"/>
      <c r="W73" s="41">
        <v>10090044</v>
      </c>
      <c r="X73">
        <v>500</v>
      </c>
      <c r="AC73" s="182" t="s">
        <v>923</v>
      </c>
      <c r="AD73" s="172" t="s">
        <v>529</v>
      </c>
      <c r="AE73" s="172" t="s">
        <v>1135</v>
      </c>
      <c r="AF73" s="172" t="s">
        <v>692</v>
      </c>
      <c r="AG73" s="173">
        <v>110000</v>
      </c>
      <c r="AH73" s="174">
        <v>18524</v>
      </c>
      <c r="AI73" s="175">
        <v>91476</v>
      </c>
      <c r="AJ73" s="174">
        <v>3524</v>
      </c>
      <c r="AK73" s="176">
        <v>15000</v>
      </c>
      <c r="AL73" s="184">
        <f t="shared" si="2"/>
        <v>91476</v>
      </c>
      <c r="AN73" s="172">
        <v>10110114</v>
      </c>
      <c r="AO73" s="172" t="s">
        <v>1135</v>
      </c>
      <c r="AP73" s="172" t="s">
        <v>692</v>
      </c>
      <c r="AQ73" s="173">
        <v>110000</v>
      </c>
      <c r="AR73" s="174">
        <v>6808</v>
      </c>
      <c r="AS73" s="175">
        <v>88282</v>
      </c>
      <c r="AT73" s="174"/>
      <c r="AU73" s="174">
        <v>10000</v>
      </c>
      <c r="AV73" s="184">
        <f t="shared" si="3"/>
        <v>3192</v>
      </c>
      <c r="AW73" s="187">
        <v>45789</v>
      </c>
    </row>
    <row r="74" spans="1:49" x14ac:dyDescent="0.25">
      <c r="A74" s="4">
        <v>10140114</v>
      </c>
      <c r="B74" s="219">
        <v>817.04</v>
      </c>
      <c r="D74" s="199"/>
      <c r="E74" s="71">
        <v>10060030</v>
      </c>
      <c r="F74" s="42">
        <v>12146.3856157634</v>
      </c>
      <c r="H74" s="199"/>
      <c r="I74" s="71">
        <v>10530111</v>
      </c>
      <c r="J74" s="68">
        <v>65000</v>
      </c>
      <c r="L74" s="39"/>
      <c r="M74" s="4"/>
      <c r="N74" s="72"/>
      <c r="W74" s="41">
        <v>10090045</v>
      </c>
      <c r="X74">
        <v>500</v>
      </c>
      <c r="AC74" s="183" t="s">
        <v>924</v>
      </c>
      <c r="AD74" s="177" t="s">
        <v>485</v>
      </c>
      <c r="AE74" s="177" t="s">
        <v>1135</v>
      </c>
      <c r="AF74" s="177" t="s">
        <v>692</v>
      </c>
      <c r="AG74" s="178">
        <v>110000</v>
      </c>
      <c r="AH74" s="179">
        <v>22600.345598794636</v>
      </c>
      <c r="AI74" s="180">
        <v>87399.654401205364</v>
      </c>
      <c r="AJ74" s="179">
        <v>7600.3455987946381</v>
      </c>
      <c r="AK74" s="181">
        <v>15000</v>
      </c>
      <c r="AL74" s="184">
        <f t="shared" si="2"/>
        <v>87399.654401205364</v>
      </c>
      <c r="AN74" s="177">
        <v>10110115</v>
      </c>
      <c r="AO74" s="177" t="s">
        <v>1135</v>
      </c>
      <c r="AP74" s="177" t="s">
        <v>692</v>
      </c>
      <c r="AQ74" s="178">
        <v>110000</v>
      </c>
      <c r="AR74" s="179">
        <v>1616</v>
      </c>
      <c r="AS74" s="180">
        <v>93654</v>
      </c>
      <c r="AT74" s="179"/>
      <c r="AU74" s="179">
        <v>10000</v>
      </c>
      <c r="AV74" s="184">
        <f t="shared" si="3"/>
        <v>8384</v>
      </c>
      <c r="AW74" s="188">
        <v>45713</v>
      </c>
    </row>
    <row r="75" spans="1:49" x14ac:dyDescent="0.25">
      <c r="A75" s="4">
        <v>10140119</v>
      </c>
      <c r="B75" s="219">
        <v>1337.3400000000001</v>
      </c>
      <c r="D75" s="199"/>
      <c r="E75" s="71">
        <v>10030013</v>
      </c>
      <c r="F75" s="42">
        <v>9877.5724169900859</v>
      </c>
      <c r="H75" s="199"/>
      <c r="I75" s="71">
        <v>10530112</v>
      </c>
      <c r="J75" s="68">
        <v>75000</v>
      </c>
      <c r="L75" s="39"/>
      <c r="M75" s="4"/>
      <c r="N75" s="72"/>
      <c r="W75" s="41">
        <v>10090048</v>
      </c>
      <c r="X75">
        <v>500</v>
      </c>
      <c r="AC75" s="182" t="s">
        <v>925</v>
      </c>
      <c r="AD75" s="172" t="s">
        <v>505</v>
      </c>
      <c r="AE75" s="172" t="s">
        <v>1135</v>
      </c>
      <c r="AF75" s="172" t="s">
        <v>692</v>
      </c>
      <c r="AG75" s="173">
        <v>110000</v>
      </c>
      <c r="AH75" s="174">
        <v>18637</v>
      </c>
      <c r="AI75" s="175">
        <v>91363</v>
      </c>
      <c r="AJ75" s="174">
        <v>8637</v>
      </c>
      <c r="AK75" s="176">
        <v>10000</v>
      </c>
      <c r="AL75" s="184">
        <f t="shared" si="2"/>
        <v>91363</v>
      </c>
      <c r="AN75" s="172">
        <v>10110116</v>
      </c>
      <c r="AO75" s="172" t="s">
        <v>1135</v>
      </c>
      <c r="AP75" s="172" t="s">
        <v>692</v>
      </c>
      <c r="AQ75" s="173">
        <v>110000</v>
      </c>
      <c r="AR75" s="174">
        <v>3388</v>
      </c>
      <c r="AS75" s="175">
        <v>90966</v>
      </c>
      <c r="AT75" s="174"/>
      <c r="AU75" s="174">
        <v>10000</v>
      </c>
      <c r="AV75" s="184">
        <f t="shared" si="3"/>
        <v>6612</v>
      </c>
      <c r="AW75" s="187">
        <v>45738</v>
      </c>
    </row>
    <row r="76" spans="1:49" x14ac:dyDescent="0.25">
      <c r="A76" s="4">
        <v>10140126</v>
      </c>
      <c r="B76" s="219">
        <v>643.02</v>
      </c>
      <c r="D76" s="199"/>
      <c r="E76" s="71">
        <v>10030020</v>
      </c>
      <c r="F76" s="42">
        <v>6400</v>
      </c>
      <c r="H76" s="199"/>
      <c r="I76" s="71">
        <v>10610024</v>
      </c>
      <c r="J76" s="68">
        <v>65000</v>
      </c>
      <c r="L76" s="39"/>
      <c r="M76" s="4"/>
      <c r="N76" s="72"/>
      <c r="W76" s="41">
        <v>10090051</v>
      </c>
      <c r="X76">
        <v>500</v>
      </c>
      <c r="AC76" s="183" t="s">
        <v>926</v>
      </c>
      <c r="AD76" s="177" t="s">
        <v>517</v>
      </c>
      <c r="AE76" s="177" t="s">
        <v>1135</v>
      </c>
      <c r="AF76" s="177" t="s">
        <v>692</v>
      </c>
      <c r="AG76" s="178">
        <v>110000</v>
      </c>
      <c r="AH76" s="179">
        <v>23684.609307794228</v>
      </c>
      <c r="AI76" s="180">
        <v>86315.390692205779</v>
      </c>
      <c r="AJ76" s="179">
        <v>11684.609307794228</v>
      </c>
      <c r="AK76" s="181">
        <v>12000</v>
      </c>
      <c r="AL76" s="184">
        <f t="shared" si="2"/>
        <v>86315.390692205779</v>
      </c>
      <c r="AN76" s="177">
        <v>10010095</v>
      </c>
      <c r="AO76" s="177" t="s">
        <v>1135</v>
      </c>
      <c r="AP76" s="177" t="s">
        <v>692</v>
      </c>
      <c r="AQ76" s="178">
        <v>110000</v>
      </c>
      <c r="AR76" s="179">
        <v>3245</v>
      </c>
      <c r="AS76" s="180">
        <v>87576</v>
      </c>
      <c r="AT76" s="179"/>
      <c r="AU76" s="179">
        <v>15000</v>
      </c>
      <c r="AV76" s="184">
        <f t="shared" si="3"/>
        <v>1755</v>
      </c>
      <c r="AW76" s="188"/>
    </row>
    <row r="77" spans="1:49" x14ac:dyDescent="0.25">
      <c r="A77" s="4">
        <v>10140129</v>
      </c>
      <c r="B77" s="219">
        <v>570.36</v>
      </c>
      <c r="D77" s="199"/>
      <c r="E77" s="71">
        <v>10030023</v>
      </c>
      <c r="F77" s="42">
        <v>3656.7740054142378</v>
      </c>
      <c r="H77" s="199"/>
      <c r="I77" s="71">
        <v>10610026</v>
      </c>
      <c r="J77" s="68">
        <v>75000</v>
      </c>
      <c r="L77" s="4"/>
      <c r="M77" s="4"/>
      <c r="N77" s="72"/>
      <c r="W77" s="41">
        <v>10090056</v>
      </c>
      <c r="X77">
        <v>500</v>
      </c>
      <c r="AC77" s="182" t="s">
        <v>927</v>
      </c>
      <c r="AD77" s="172" t="s">
        <v>506</v>
      </c>
      <c r="AE77" s="172" t="s">
        <v>1135</v>
      </c>
      <c r="AF77" s="172" t="s">
        <v>692</v>
      </c>
      <c r="AG77" s="173">
        <v>110000</v>
      </c>
      <c r="AH77" s="174">
        <v>33166.124297829083</v>
      </c>
      <c r="AI77" s="175">
        <v>76833.875702170917</v>
      </c>
      <c r="AJ77" s="174">
        <v>18166.124297829083</v>
      </c>
      <c r="AK77" s="176">
        <v>15000</v>
      </c>
      <c r="AL77" s="184">
        <f t="shared" si="2"/>
        <v>76833.875702170917</v>
      </c>
      <c r="AN77" s="172">
        <v>10060074</v>
      </c>
      <c r="AO77" s="172" t="s">
        <v>1135</v>
      </c>
      <c r="AP77" s="172" t="s">
        <v>692</v>
      </c>
      <c r="AQ77" s="173">
        <v>110000</v>
      </c>
      <c r="AR77" s="174">
        <v>904</v>
      </c>
      <c r="AS77" s="175">
        <v>83176.654401205364</v>
      </c>
      <c r="AT77" s="174"/>
      <c r="AU77" s="174">
        <v>15000</v>
      </c>
      <c r="AV77" s="184">
        <f t="shared" si="3"/>
        <v>4096</v>
      </c>
      <c r="AW77" s="187">
        <v>45716</v>
      </c>
    </row>
    <row r="78" spans="1:49" x14ac:dyDescent="0.25">
      <c r="A78" s="4">
        <v>10140130</v>
      </c>
      <c r="B78" s="219">
        <v>107.73000000000002</v>
      </c>
      <c r="D78" s="199"/>
      <c r="E78" s="71">
        <v>10090035</v>
      </c>
      <c r="F78" s="42">
        <v>8845.2542468462289</v>
      </c>
      <c r="H78" s="199"/>
      <c r="I78" s="71">
        <v>10600013</v>
      </c>
      <c r="J78" s="68">
        <v>75000</v>
      </c>
      <c r="W78" s="41">
        <v>10100004</v>
      </c>
      <c r="X78">
        <v>500</v>
      </c>
      <c r="AC78" s="183" t="s">
        <v>928</v>
      </c>
      <c r="AD78" s="177" t="s">
        <v>518</v>
      </c>
      <c r="AE78" s="177" t="s">
        <v>1135</v>
      </c>
      <c r="AF78" s="177" t="s">
        <v>692</v>
      </c>
      <c r="AG78" s="178">
        <v>110000</v>
      </c>
      <c r="AH78" s="179">
        <v>15583</v>
      </c>
      <c r="AI78" s="180">
        <v>94417</v>
      </c>
      <c r="AJ78" s="179">
        <v>5583</v>
      </c>
      <c r="AK78" s="181">
        <v>10000</v>
      </c>
      <c r="AL78" s="184">
        <f t="shared" si="2"/>
        <v>94417</v>
      </c>
      <c r="AN78" s="177">
        <v>10120089</v>
      </c>
      <c r="AO78" s="177" t="s">
        <v>1135</v>
      </c>
      <c r="AP78" s="177" t="s">
        <v>692</v>
      </c>
      <c r="AQ78" s="178">
        <v>110000</v>
      </c>
      <c r="AR78" s="179">
        <v>5523</v>
      </c>
      <c r="AS78" s="180">
        <v>83739</v>
      </c>
      <c r="AT78" s="179"/>
      <c r="AU78" s="179">
        <v>10000</v>
      </c>
      <c r="AV78" s="184">
        <f t="shared" si="3"/>
        <v>4477</v>
      </c>
      <c r="AW78" s="188"/>
    </row>
    <row r="79" spans="1:49" x14ac:dyDescent="0.25">
      <c r="A79" s="4">
        <v>10140131</v>
      </c>
      <c r="B79" s="219">
        <v>1370.86</v>
      </c>
      <c r="D79" s="201"/>
      <c r="E79" s="71">
        <v>10090036</v>
      </c>
      <c r="F79" s="42">
        <v>12724.555199999999</v>
      </c>
      <c r="H79" s="199"/>
      <c r="I79" s="71">
        <v>10540046</v>
      </c>
      <c r="J79" s="68">
        <v>65000</v>
      </c>
      <c r="W79" s="41">
        <v>10100007</v>
      </c>
      <c r="X79">
        <v>500</v>
      </c>
      <c r="AC79" s="182" t="s">
        <v>929</v>
      </c>
      <c r="AD79" s="172" t="s">
        <v>532</v>
      </c>
      <c r="AE79" s="172" t="s">
        <v>1135</v>
      </c>
      <c r="AF79" s="172" t="s">
        <v>692</v>
      </c>
      <c r="AG79" s="173">
        <v>110000</v>
      </c>
      <c r="AH79" s="174">
        <v>13745.008723758132</v>
      </c>
      <c r="AI79" s="175">
        <v>96254.991276241868</v>
      </c>
      <c r="AJ79" s="174">
        <v>3745.008723758132</v>
      </c>
      <c r="AK79" s="176">
        <v>10000</v>
      </c>
      <c r="AL79" s="184">
        <f t="shared" si="2"/>
        <v>96254.991276241868</v>
      </c>
      <c r="AN79" s="172">
        <v>10120094</v>
      </c>
      <c r="AO79" s="172" t="s">
        <v>1135</v>
      </c>
      <c r="AP79" s="172" t="s">
        <v>692</v>
      </c>
      <c r="AQ79" s="173">
        <v>110000</v>
      </c>
      <c r="AR79" s="174">
        <v>7214</v>
      </c>
      <c r="AS79" s="175">
        <v>82244.346904002654</v>
      </c>
      <c r="AT79" s="174"/>
      <c r="AU79" s="174">
        <v>10000</v>
      </c>
      <c r="AV79" s="184">
        <f t="shared" si="3"/>
        <v>2786</v>
      </c>
      <c r="AW79" s="187">
        <v>45716</v>
      </c>
    </row>
    <row r="80" spans="1:49" x14ac:dyDescent="0.25">
      <c r="A80" s="4">
        <v>10140137</v>
      </c>
      <c r="B80" s="219">
        <v>2373.84</v>
      </c>
      <c r="D80" s="199"/>
      <c r="E80" s="71">
        <v>10060031</v>
      </c>
      <c r="F80" s="42">
        <v>7769</v>
      </c>
      <c r="H80" s="199"/>
      <c r="I80" s="71">
        <v>10540047</v>
      </c>
      <c r="J80" s="68">
        <v>65000</v>
      </c>
      <c r="W80" s="41">
        <v>10100008</v>
      </c>
      <c r="X80">
        <v>500</v>
      </c>
      <c r="AC80" s="183" t="s">
        <v>930</v>
      </c>
      <c r="AD80" s="177" t="s">
        <v>562</v>
      </c>
      <c r="AE80" s="177" t="s">
        <v>1135</v>
      </c>
      <c r="AF80" s="177" t="s">
        <v>692</v>
      </c>
      <c r="AG80" s="178">
        <v>110000</v>
      </c>
      <c r="AH80" s="179">
        <v>10769</v>
      </c>
      <c r="AI80" s="180">
        <v>99231</v>
      </c>
      <c r="AJ80" s="179">
        <v>769</v>
      </c>
      <c r="AK80" s="181">
        <v>10000</v>
      </c>
      <c r="AL80" s="184">
        <f t="shared" si="2"/>
        <v>99231</v>
      </c>
      <c r="AN80" s="177">
        <v>10130090</v>
      </c>
      <c r="AO80" s="177" t="s">
        <v>1135</v>
      </c>
      <c r="AP80" s="177" t="s">
        <v>692</v>
      </c>
      <c r="AQ80" s="178">
        <v>110000</v>
      </c>
      <c r="AR80" s="179">
        <v>0</v>
      </c>
      <c r="AS80" s="180">
        <v>94905</v>
      </c>
      <c r="AT80" s="179"/>
      <c r="AU80" s="179">
        <v>10000</v>
      </c>
      <c r="AV80" s="184">
        <f t="shared" si="3"/>
        <v>10000</v>
      </c>
      <c r="AW80" s="188">
        <v>45699</v>
      </c>
    </row>
    <row r="81" spans="1:49" x14ac:dyDescent="0.25">
      <c r="A81" s="4">
        <v>10140139</v>
      </c>
      <c r="B81" s="219">
        <v>753.06</v>
      </c>
      <c r="D81" s="199"/>
      <c r="E81" s="71">
        <v>10030014</v>
      </c>
      <c r="F81" s="42">
        <v>737.10819999999967</v>
      </c>
      <c r="H81" s="199"/>
      <c r="I81" s="71">
        <v>10560035</v>
      </c>
      <c r="J81" s="68">
        <v>75000</v>
      </c>
      <c r="W81" s="41">
        <v>10100016</v>
      </c>
      <c r="X81">
        <v>500</v>
      </c>
      <c r="AC81" s="182" t="s">
        <v>931</v>
      </c>
      <c r="AD81" s="172" t="s">
        <v>538</v>
      </c>
      <c r="AE81" s="172" t="s">
        <v>1135</v>
      </c>
      <c r="AF81" s="172" t="s">
        <v>692</v>
      </c>
      <c r="AG81" s="173">
        <v>110000</v>
      </c>
      <c r="AH81" s="174">
        <v>12334</v>
      </c>
      <c r="AI81" s="175">
        <v>97666</v>
      </c>
      <c r="AJ81" s="174">
        <v>2334</v>
      </c>
      <c r="AK81" s="176">
        <v>10000</v>
      </c>
      <c r="AL81" s="184">
        <f t="shared" si="2"/>
        <v>97666</v>
      </c>
      <c r="AN81" s="172">
        <v>10070052</v>
      </c>
      <c r="AO81" s="172" t="s">
        <v>1135</v>
      </c>
      <c r="AP81" s="172" t="s">
        <v>692</v>
      </c>
      <c r="AQ81" s="173">
        <v>110000</v>
      </c>
      <c r="AR81" s="174">
        <v>54</v>
      </c>
      <c r="AS81" s="175">
        <v>99177</v>
      </c>
      <c r="AT81" s="174"/>
      <c r="AU81" s="174">
        <v>10000</v>
      </c>
      <c r="AV81" s="184">
        <f t="shared" si="3"/>
        <v>9946</v>
      </c>
      <c r="AW81" s="187">
        <v>45626</v>
      </c>
    </row>
    <row r="82" spans="1:49" x14ac:dyDescent="0.25">
      <c r="A82" s="4">
        <v>10140145</v>
      </c>
      <c r="B82" s="219">
        <v>204.3</v>
      </c>
      <c r="D82" s="199"/>
      <c r="E82" s="71">
        <v>10460003</v>
      </c>
      <c r="F82" s="42">
        <v>6400</v>
      </c>
      <c r="H82" s="199"/>
      <c r="I82" s="71">
        <v>10560036</v>
      </c>
      <c r="J82" s="68">
        <v>75000</v>
      </c>
      <c r="W82" s="41">
        <v>10100024</v>
      </c>
      <c r="X82">
        <v>500</v>
      </c>
      <c r="AC82" s="183" t="s">
        <v>932</v>
      </c>
      <c r="AD82" s="177" t="s">
        <v>521</v>
      </c>
      <c r="AE82" s="177" t="s">
        <v>1135</v>
      </c>
      <c r="AF82" s="177" t="s">
        <v>692</v>
      </c>
      <c r="AG82" s="178">
        <v>110000</v>
      </c>
      <c r="AH82" s="179">
        <v>13772</v>
      </c>
      <c r="AI82" s="180">
        <v>96228</v>
      </c>
      <c r="AJ82" s="179">
        <v>3772</v>
      </c>
      <c r="AK82" s="181">
        <v>10000</v>
      </c>
      <c r="AL82" s="184">
        <f t="shared" si="2"/>
        <v>96228</v>
      </c>
      <c r="AN82" s="177">
        <v>10120095</v>
      </c>
      <c r="AO82" s="177" t="s">
        <v>1135</v>
      </c>
      <c r="AP82" s="177" t="s">
        <v>692</v>
      </c>
      <c r="AQ82" s="178">
        <v>110000</v>
      </c>
      <c r="AR82" s="179">
        <v>2397</v>
      </c>
      <c r="AS82" s="180">
        <v>91448</v>
      </c>
      <c r="AT82" s="179"/>
      <c r="AU82" s="179">
        <v>10000</v>
      </c>
      <c r="AV82" s="184">
        <f t="shared" si="3"/>
        <v>7603</v>
      </c>
      <c r="AW82" s="188">
        <v>45647</v>
      </c>
    </row>
    <row r="83" spans="1:49" x14ac:dyDescent="0.25">
      <c r="A83" s="4">
        <v>10140148</v>
      </c>
      <c r="B83" s="219">
        <v>274.32</v>
      </c>
      <c r="D83" s="199"/>
      <c r="E83" s="71">
        <v>10460002</v>
      </c>
      <c r="F83" s="42">
        <v>8529.4035252083195</v>
      </c>
      <c r="H83" s="199"/>
      <c r="I83" s="71">
        <v>10560037</v>
      </c>
      <c r="J83" s="68">
        <v>75000</v>
      </c>
      <c r="W83" s="41">
        <v>10100033</v>
      </c>
      <c r="X83">
        <v>500</v>
      </c>
      <c r="AC83" s="182" t="s">
        <v>933</v>
      </c>
      <c r="AD83" s="172" t="s">
        <v>121</v>
      </c>
      <c r="AE83" s="172" t="s">
        <v>1135</v>
      </c>
      <c r="AF83" s="172" t="s">
        <v>692</v>
      </c>
      <c r="AG83" s="173">
        <v>110000</v>
      </c>
      <c r="AH83" s="174">
        <v>21503.79908135677</v>
      </c>
      <c r="AI83" s="175">
        <v>88496.200918643226</v>
      </c>
      <c r="AJ83" s="174">
        <v>11503.79908135677</v>
      </c>
      <c r="AK83" s="176">
        <v>10000</v>
      </c>
      <c r="AL83" s="184">
        <f t="shared" si="2"/>
        <v>88496.200918643226</v>
      </c>
      <c r="AN83" s="172">
        <v>10130084</v>
      </c>
      <c r="AO83" s="172" t="s">
        <v>1135</v>
      </c>
      <c r="AP83" s="172" t="s">
        <v>692</v>
      </c>
      <c r="AQ83" s="173">
        <v>110000</v>
      </c>
      <c r="AR83" s="174">
        <v>0</v>
      </c>
      <c r="AS83" s="175">
        <v>96228</v>
      </c>
      <c r="AT83" s="174"/>
      <c r="AU83" s="174">
        <v>10000</v>
      </c>
      <c r="AV83" s="184">
        <f t="shared" si="3"/>
        <v>10000</v>
      </c>
      <c r="AW83" s="187">
        <v>45667</v>
      </c>
    </row>
    <row r="84" spans="1:49" x14ac:dyDescent="0.25">
      <c r="A84" s="4">
        <v>10140151</v>
      </c>
      <c r="B84" s="219">
        <v>348.52</v>
      </c>
      <c r="D84" s="199"/>
      <c r="E84" s="71">
        <v>10030031</v>
      </c>
      <c r="F84" s="42">
        <v>244.1599465554682</v>
      </c>
      <c r="H84" s="199"/>
      <c r="I84" s="71">
        <v>10630013</v>
      </c>
      <c r="J84" s="68">
        <v>85000</v>
      </c>
      <c r="W84" s="41">
        <v>10100036</v>
      </c>
      <c r="X84">
        <v>500</v>
      </c>
      <c r="AC84" s="183" t="s">
        <v>934</v>
      </c>
      <c r="AD84" s="177" t="s">
        <v>512</v>
      </c>
      <c r="AE84" s="177" t="s">
        <v>1135</v>
      </c>
      <c r="AF84" s="177" t="s">
        <v>692</v>
      </c>
      <c r="AG84" s="178">
        <v>110000</v>
      </c>
      <c r="AH84" s="179">
        <v>17537</v>
      </c>
      <c r="AI84" s="180">
        <v>92463</v>
      </c>
      <c r="AJ84" s="179">
        <v>7537</v>
      </c>
      <c r="AK84" s="181">
        <v>10000</v>
      </c>
      <c r="AL84" s="184">
        <f t="shared" si="2"/>
        <v>92463</v>
      </c>
      <c r="AN84" s="177">
        <v>10130085</v>
      </c>
      <c r="AO84" s="177" t="s">
        <v>1135</v>
      </c>
      <c r="AP84" s="177" t="s">
        <v>692</v>
      </c>
      <c r="AQ84" s="178">
        <v>110000</v>
      </c>
      <c r="AR84" s="179">
        <v>7232</v>
      </c>
      <c r="AS84" s="180">
        <v>78903.200918643226</v>
      </c>
      <c r="AT84" s="179"/>
      <c r="AU84" s="179">
        <v>10000</v>
      </c>
      <c r="AV84" s="184">
        <f t="shared" si="3"/>
        <v>2768</v>
      </c>
      <c r="AW84" s="188">
        <v>45698</v>
      </c>
    </row>
    <row r="85" spans="1:49" x14ac:dyDescent="0.25">
      <c r="A85" s="4">
        <v>10140153</v>
      </c>
      <c r="B85" s="219">
        <v>882.8599999999999</v>
      </c>
      <c r="D85" s="201"/>
      <c r="E85" s="71">
        <v>10030030</v>
      </c>
      <c r="F85" s="42">
        <v>5330</v>
      </c>
      <c r="H85" s="199"/>
      <c r="I85" s="71">
        <v>10630014</v>
      </c>
      <c r="J85" s="68">
        <v>85000</v>
      </c>
      <c r="W85" s="41">
        <v>10100037</v>
      </c>
      <c r="X85">
        <v>500</v>
      </c>
      <c r="AC85" s="182" t="s">
        <v>935</v>
      </c>
      <c r="AD85" s="172" t="s">
        <v>490</v>
      </c>
      <c r="AE85" s="172" t="s">
        <v>1135</v>
      </c>
      <c r="AF85" s="172" t="s">
        <v>692</v>
      </c>
      <c r="AG85" s="173">
        <v>110000</v>
      </c>
      <c r="AH85" s="174">
        <v>18516</v>
      </c>
      <c r="AI85" s="175">
        <v>91484</v>
      </c>
      <c r="AJ85" s="174">
        <v>8516</v>
      </c>
      <c r="AK85" s="176">
        <v>10000</v>
      </c>
      <c r="AL85" s="184">
        <f t="shared" si="2"/>
        <v>91484</v>
      </c>
      <c r="AN85" s="172">
        <v>10140148</v>
      </c>
      <c r="AO85" s="172" t="s">
        <v>1135</v>
      </c>
      <c r="AP85" s="172" t="s">
        <v>692</v>
      </c>
      <c r="AQ85" s="173">
        <v>110000</v>
      </c>
      <c r="AR85" s="174">
        <v>1092</v>
      </c>
      <c r="AS85" s="175">
        <v>90371</v>
      </c>
      <c r="AT85" s="174"/>
      <c r="AU85" s="174">
        <v>10000</v>
      </c>
      <c r="AV85" s="184">
        <f t="shared" si="3"/>
        <v>8908</v>
      </c>
      <c r="AW85" s="187">
        <v>45698</v>
      </c>
    </row>
    <row r="86" spans="1:49" x14ac:dyDescent="0.25">
      <c r="A86" s="4">
        <v>10140154</v>
      </c>
      <c r="B86" s="219">
        <v>859.3</v>
      </c>
      <c r="D86" s="201"/>
      <c r="E86" s="71">
        <v>10030033</v>
      </c>
      <c r="F86" s="42">
        <v>6400</v>
      </c>
      <c r="H86" s="199"/>
      <c r="I86" s="71">
        <v>10630015</v>
      </c>
      <c r="J86" s="68">
        <v>85000</v>
      </c>
      <c r="W86" s="41">
        <v>10100044</v>
      </c>
      <c r="X86">
        <v>500</v>
      </c>
      <c r="AC86" s="183" t="s">
        <v>936</v>
      </c>
      <c r="AD86" s="177" t="s">
        <v>491</v>
      </c>
      <c r="AE86" s="177" t="s">
        <v>1135</v>
      </c>
      <c r="AF86" s="177" t="s">
        <v>692</v>
      </c>
      <c r="AG86" s="178">
        <v>110000</v>
      </c>
      <c r="AH86" s="179">
        <v>16032</v>
      </c>
      <c r="AI86" s="180">
        <v>93968</v>
      </c>
      <c r="AJ86" s="179">
        <v>6032</v>
      </c>
      <c r="AK86" s="181">
        <v>10000</v>
      </c>
      <c r="AL86" s="184">
        <f t="shared" si="2"/>
        <v>93968</v>
      </c>
      <c r="AN86" s="177">
        <v>10120090</v>
      </c>
      <c r="AO86" s="177" t="s">
        <v>1135</v>
      </c>
      <c r="AP86" s="177" t="s">
        <v>692</v>
      </c>
      <c r="AQ86" s="178">
        <v>110000</v>
      </c>
      <c r="AR86" s="179">
        <v>191</v>
      </c>
      <c r="AS86" s="180">
        <v>89834</v>
      </c>
      <c r="AT86" s="179"/>
      <c r="AU86" s="179">
        <v>10000</v>
      </c>
      <c r="AV86" s="184">
        <f t="shared" si="3"/>
        <v>9809</v>
      </c>
      <c r="AW86" s="188"/>
    </row>
    <row r="87" spans="1:49" x14ac:dyDescent="0.25">
      <c r="A87" s="4">
        <v>10140155</v>
      </c>
      <c r="B87" s="219">
        <v>302.95</v>
      </c>
      <c r="D87" s="201"/>
      <c r="E87" s="71">
        <v>10030029</v>
      </c>
      <c r="F87" s="42">
        <v>6400</v>
      </c>
      <c r="H87" s="199"/>
      <c r="I87" s="71">
        <v>10650001</v>
      </c>
      <c r="J87" s="68">
        <v>65000</v>
      </c>
      <c r="W87" s="41">
        <v>10100048</v>
      </c>
      <c r="X87">
        <v>500</v>
      </c>
      <c r="AC87" s="182" t="s">
        <v>937</v>
      </c>
      <c r="AD87" s="172" t="s">
        <v>492</v>
      </c>
      <c r="AE87" s="172" t="s">
        <v>1135</v>
      </c>
      <c r="AF87" s="172" t="s">
        <v>692</v>
      </c>
      <c r="AG87" s="173">
        <v>110000</v>
      </c>
      <c r="AH87" s="174">
        <v>18484.199767946688</v>
      </c>
      <c r="AI87" s="175">
        <v>91515.800232053312</v>
      </c>
      <c r="AJ87" s="174">
        <v>8484.1997679466876</v>
      </c>
      <c r="AK87" s="176">
        <v>10000</v>
      </c>
      <c r="AL87" s="184">
        <f t="shared" si="2"/>
        <v>91515.800232053312</v>
      </c>
      <c r="AN87" s="172">
        <v>10130077</v>
      </c>
      <c r="AO87" s="172" t="s">
        <v>1135</v>
      </c>
      <c r="AP87" s="172" t="s">
        <v>692</v>
      </c>
      <c r="AQ87" s="173">
        <v>110000</v>
      </c>
      <c r="AR87" s="174">
        <v>0</v>
      </c>
      <c r="AS87" s="175">
        <v>91656</v>
      </c>
      <c r="AT87" s="174"/>
      <c r="AU87" s="174">
        <v>10000</v>
      </c>
      <c r="AV87" s="184">
        <f t="shared" si="3"/>
        <v>10000</v>
      </c>
      <c r="AW87" s="187">
        <v>45673</v>
      </c>
    </row>
    <row r="88" spans="1:49" x14ac:dyDescent="0.25">
      <c r="A88" s="4">
        <v>10140159</v>
      </c>
      <c r="B88" s="219">
        <v>109.80000000000001</v>
      </c>
      <c r="D88" s="201"/>
      <c r="E88" s="71">
        <v>10020045</v>
      </c>
      <c r="F88" s="42">
        <v>12800</v>
      </c>
      <c r="H88" s="199"/>
      <c r="I88" s="71">
        <v>10650003</v>
      </c>
      <c r="J88" s="68">
        <v>65000</v>
      </c>
      <c r="W88" s="41">
        <v>10100050</v>
      </c>
      <c r="X88">
        <v>500</v>
      </c>
      <c r="AC88" s="183" t="s">
        <v>938</v>
      </c>
      <c r="AD88" s="177" t="s">
        <v>486</v>
      </c>
      <c r="AE88" s="177" t="s">
        <v>1135</v>
      </c>
      <c r="AF88" s="177" t="s">
        <v>692</v>
      </c>
      <c r="AG88" s="178">
        <v>110000</v>
      </c>
      <c r="AH88" s="179">
        <v>18722</v>
      </c>
      <c r="AI88" s="180">
        <v>91278</v>
      </c>
      <c r="AJ88" s="179">
        <v>3722</v>
      </c>
      <c r="AK88" s="181">
        <v>15000</v>
      </c>
      <c r="AL88" s="184">
        <f t="shared" si="2"/>
        <v>91278</v>
      </c>
      <c r="AN88" s="177">
        <v>10130079</v>
      </c>
      <c r="AO88" s="177" t="s">
        <v>1135</v>
      </c>
      <c r="AP88" s="177" t="s">
        <v>692</v>
      </c>
      <c r="AQ88" s="178">
        <v>110000</v>
      </c>
      <c r="AR88" s="179">
        <v>4075</v>
      </c>
      <c r="AS88" s="180">
        <v>86009.800232053312</v>
      </c>
      <c r="AT88" s="179"/>
      <c r="AU88" s="179">
        <v>10000</v>
      </c>
      <c r="AV88" s="184">
        <f t="shared" si="3"/>
        <v>5925</v>
      </c>
      <c r="AW88" s="188">
        <v>45656</v>
      </c>
    </row>
    <row r="89" spans="1:49" x14ac:dyDescent="0.25">
      <c r="A89" s="4">
        <v>10140164</v>
      </c>
      <c r="B89" s="219">
        <v>211.79000000000002</v>
      </c>
      <c r="D89" s="201"/>
      <c r="E89" s="71">
        <v>10020037</v>
      </c>
      <c r="F89" s="42">
        <v>14097.274015576028</v>
      </c>
      <c r="H89" s="199"/>
      <c r="I89" s="71">
        <v>10650004</v>
      </c>
      <c r="J89" s="68">
        <v>70000</v>
      </c>
      <c r="W89" s="41">
        <v>10110011</v>
      </c>
      <c r="X89">
        <v>500</v>
      </c>
      <c r="AC89" s="182" t="s">
        <v>939</v>
      </c>
      <c r="AD89" s="172" t="s">
        <v>715</v>
      </c>
      <c r="AE89" s="172" t="s">
        <v>1135</v>
      </c>
      <c r="AF89" s="172" t="s">
        <v>692</v>
      </c>
      <c r="AG89" s="173">
        <v>110000</v>
      </c>
      <c r="AH89" s="174">
        <v>10864</v>
      </c>
      <c r="AI89" s="175">
        <v>99136</v>
      </c>
      <c r="AJ89" s="174">
        <v>864</v>
      </c>
      <c r="AK89" s="176">
        <v>10000</v>
      </c>
      <c r="AL89" s="184">
        <f t="shared" si="2"/>
        <v>99136</v>
      </c>
      <c r="AN89" s="172">
        <v>10080079</v>
      </c>
      <c r="AO89" s="172" t="s">
        <v>1135</v>
      </c>
      <c r="AP89" s="172" t="s">
        <v>692</v>
      </c>
      <c r="AQ89" s="173">
        <v>110000</v>
      </c>
      <c r="AR89" s="174">
        <v>0</v>
      </c>
      <c r="AS89" s="175">
        <v>87778</v>
      </c>
      <c r="AT89" s="174"/>
      <c r="AU89" s="174">
        <v>15000</v>
      </c>
      <c r="AV89" s="184">
        <f t="shared" si="3"/>
        <v>5000</v>
      </c>
      <c r="AW89" s="187">
        <v>45656</v>
      </c>
    </row>
    <row r="90" spans="1:49" x14ac:dyDescent="0.25">
      <c r="A90" s="4">
        <v>10140166</v>
      </c>
      <c r="B90" s="219">
        <v>346.93000000000006</v>
      </c>
      <c r="D90" s="201"/>
      <c r="E90" s="71">
        <v>10090040</v>
      </c>
      <c r="F90" s="42">
        <v>6400</v>
      </c>
      <c r="H90" s="199"/>
      <c r="I90" s="71">
        <v>10650005</v>
      </c>
      <c r="J90" s="68">
        <v>85000</v>
      </c>
      <c r="W90" s="41">
        <v>10110022</v>
      </c>
      <c r="X90">
        <v>500</v>
      </c>
      <c r="AC90" s="183" t="s">
        <v>940</v>
      </c>
      <c r="AD90" s="177" t="s">
        <v>513</v>
      </c>
      <c r="AE90" s="177" t="s">
        <v>1135</v>
      </c>
      <c r="AF90" s="177" t="s">
        <v>692</v>
      </c>
      <c r="AG90" s="178">
        <v>110000</v>
      </c>
      <c r="AH90" s="179">
        <v>17331</v>
      </c>
      <c r="AI90" s="180">
        <v>92669</v>
      </c>
      <c r="AJ90" s="179">
        <v>7331</v>
      </c>
      <c r="AK90" s="181">
        <v>10000</v>
      </c>
      <c r="AL90" s="184">
        <f t="shared" si="2"/>
        <v>92669</v>
      </c>
      <c r="AN90" s="177">
        <v>10140146</v>
      </c>
      <c r="AO90" s="177" t="s">
        <v>1135</v>
      </c>
      <c r="AP90" s="177" t="s">
        <v>692</v>
      </c>
      <c r="AQ90" s="178">
        <v>110000</v>
      </c>
      <c r="AR90" s="179">
        <v>0</v>
      </c>
      <c r="AS90" s="180">
        <v>99136</v>
      </c>
      <c r="AT90" s="179"/>
      <c r="AU90" s="179">
        <v>10000</v>
      </c>
      <c r="AV90" s="184">
        <f t="shared" si="3"/>
        <v>10000</v>
      </c>
      <c r="AW90" s="188">
        <v>45631</v>
      </c>
    </row>
    <row r="91" spans="1:49" x14ac:dyDescent="0.25">
      <c r="A91" s="4">
        <v>10140169</v>
      </c>
      <c r="B91" s="219">
        <v>1045.56</v>
      </c>
      <c r="D91" s="201"/>
      <c r="E91" s="71">
        <v>10090039</v>
      </c>
      <c r="F91" s="42">
        <v>14056.697964742982</v>
      </c>
      <c r="H91" s="199"/>
      <c r="I91" s="71">
        <v>10640001</v>
      </c>
      <c r="J91" s="68">
        <v>65000</v>
      </c>
      <c r="W91" s="41">
        <v>10110024</v>
      </c>
      <c r="X91">
        <v>500</v>
      </c>
      <c r="AC91" s="182" t="s">
        <v>941</v>
      </c>
      <c r="AD91" s="172" t="s">
        <v>504</v>
      </c>
      <c r="AE91" s="172" t="s">
        <v>1135</v>
      </c>
      <c r="AF91" s="172" t="s">
        <v>692</v>
      </c>
      <c r="AG91" s="173">
        <v>110000</v>
      </c>
      <c r="AH91" s="174">
        <v>19417.434969909122</v>
      </c>
      <c r="AI91" s="175">
        <v>90582.565030090875</v>
      </c>
      <c r="AJ91" s="174">
        <v>9417.4349699091217</v>
      </c>
      <c r="AK91" s="176">
        <v>10000</v>
      </c>
      <c r="AL91" s="184">
        <f t="shared" si="2"/>
        <v>90582.565030090875</v>
      </c>
      <c r="AN91" s="172">
        <v>10140152</v>
      </c>
      <c r="AO91" s="172" t="s">
        <v>1135</v>
      </c>
      <c r="AP91" s="172" t="s">
        <v>692</v>
      </c>
      <c r="AQ91" s="173">
        <v>110000</v>
      </c>
      <c r="AR91" s="174">
        <v>1294</v>
      </c>
      <c r="AS91" s="175">
        <v>90375</v>
      </c>
      <c r="AT91" s="174"/>
      <c r="AU91" s="174">
        <v>10000</v>
      </c>
      <c r="AV91" s="184">
        <f t="shared" si="3"/>
        <v>8706</v>
      </c>
      <c r="AW91" s="187">
        <v>45636</v>
      </c>
    </row>
    <row r="92" spans="1:49" x14ac:dyDescent="0.25">
      <c r="A92" s="4">
        <v>10140170</v>
      </c>
      <c r="B92" s="219">
        <v>697.04</v>
      </c>
      <c r="D92" s="201"/>
      <c r="E92" s="71">
        <v>10030036</v>
      </c>
      <c r="F92" s="42">
        <v>6400</v>
      </c>
      <c r="H92" s="199"/>
      <c r="I92" s="71">
        <v>10640002</v>
      </c>
      <c r="J92" s="68">
        <v>80000</v>
      </c>
      <c r="W92" s="41">
        <v>10110032</v>
      </c>
      <c r="X92">
        <v>500</v>
      </c>
      <c r="AC92" s="183" t="s">
        <v>942</v>
      </c>
      <c r="AD92" s="177" t="s">
        <v>1127</v>
      </c>
      <c r="AE92" s="177" t="s">
        <v>1135</v>
      </c>
      <c r="AF92" s="177" t="s">
        <v>692</v>
      </c>
      <c r="AG92" s="178">
        <v>110000</v>
      </c>
      <c r="AH92" s="179">
        <v>18861</v>
      </c>
      <c r="AI92" s="180">
        <v>91139</v>
      </c>
      <c r="AJ92" s="179">
        <v>1861</v>
      </c>
      <c r="AK92" s="181">
        <v>17000</v>
      </c>
      <c r="AL92" s="184">
        <f t="shared" ref="AL92:AL117" si="4">AG92-AI92</f>
        <v>18861</v>
      </c>
      <c r="AN92" s="177">
        <v>10060090</v>
      </c>
      <c r="AO92" s="177" t="s">
        <v>1135</v>
      </c>
      <c r="AP92" s="177" t="s">
        <v>692</v>
      </c>
      <c r="AQ92" s="178">
        <v>110000</v>
      </c>
      <c r="AR92" s="179">
        <v>1721</v>
      </c>
      <c r="AS92" s="180">
        <v>85995</v>
      </c>
      <c r="AT92" s="179"/>
      <c r="AU92" s="179">
        <v>17000</v>
      </c>
      <c r="AV92" s="184">
        <f t="shared" si="3"/>
        <v>1279</v>
      </c>
      <c r="AW92" s="188">
        <v>45636</v>
      </c>
    </row>
    <row r="93" spans="1:49" x14ac:dyDescent="0.25">
      <c r="A93" s="4">
        <v>10140171</v>
      </c>
      <c r="B93" s="219">
        <v>697.04</v>
      </c>
      <c r="D93" s="201"/>
      <c r="E93" s="71">
        <v>10090020</v>
      </c>
      <c r="F93" s="42">
        <v>12800</v>
      </c>
      <c r="H93" s="199"/>
      <c r="I93" s="71">
        <v>10640003</v>
      </c>
      <c r="J93" s="68">
        <v>65000</v>
      </c>
      <c r="W93" s="41">
        <v>10110033</v>
      </c>
      <c r="X93">
        <v>500</v>
      </c>
      <c r="AC93" s="182" t="s">
        <v>943</v>
      </c>
      <c r="AD93" s="172" t="s">
        <v>520</v>
      </c>
      <c r="AE93" s="172" t="s">
        <v>1135</v>
      </c>
      <c r="AF93" s="172" t="s">
        <v>692</v>
      </c>
      <c r="AG93" s="173">
        <v>110000</v>
      </c>
      <c r="AH93" s="174">
        <v>15583</v>
      </c>
      <c r="AI93" s="175">
        <v>94417</v>
      </c>
      <c r="AJ93" s="174">
        <v>5583</v>
      </c>
      <c r="AK93" s="176">
        <v>10000</v>
      </c>
      <c r="AL93" s="184">
        <f t="shared" ref="AL93:AL116" si="5">AG93-AH93</f>
        <v>94417</v>
      </c>
      <c r="AN93" s="172">
        <v>10110101</v>
      </c>
      <c r="AO93" s="172" t="s">
        <v>1135</v>
      </c>
      <c r="AP93" s="172" t="s">
        <v>692</v>
      </c>
      <c r="AQ93" s="173">
        <v>110000</v>
      </c>
      <c r="AR93" s="174">
        <v>5010</v>
      </c>
      <c r="AS93" s="175">
        <v>85685</v>
      </c>
      <c r="AT93" s="174"/>
      <c r="AU93" s="174">
        <v>10000</v>
      </c>
      <c r="AV93" s="184">
        <f t="shared" si="3"/>
        <v>4990</v>
      </c>
      <c r="AW93" s="187">
        <v>45633</v>
      </c>
    </row>
    <row r="94" spans="1:49" x14ac:dyDescent="0.25">
      <c r="A94" s="4">
        <v>10140172</v>
      </c>
      <c r="B94" s="219">
        <v>113.89999999999999</v>
      </c>
      <c r="D94" s="201"/>
      <c r="E94" s="71">
        <v>10090022</v>
      </c>
      <c r="F94" s="42">
        <v>1267.2506804474842</v>
      </c>
      <c r="H94" s="199"/>
      <c r="I94" s="71">
        <v>10640004</v>
      </c>
      <c r="J94" s="68">
        <v>75000</v>
      </c>
      <c r="W94" s="41">
        <v>10110035</v>
      </c>
      <c r="X94">
        <v>500</v>
      </c>
      <c r="AC94" s="183" t="s">
        <v>944</v>
      </c>
      <c r="AD94" s="177" t="s">
        <v>475</v>
      </c>
      <c r="AE94" s="177" t="s">
        <v>1135</v>
      </c>
      <c r="AF94" s="177" t="s">
        <v>692</v>
      </c>
      <c r="AG94" s="178">
        <v>110000</v>
      </c>
      <c r="AH94" s="179">
        <v>28023.283283302415</v>
      </c>
      <c r="AI94" s="180">
        <v>81976.716716697585</v>
      </c>
      <c r="AJ94" s="179">
        <v>13023.283283302417</v>
      </c>
      <c r="AK94" s="181">
        <v>15000</v>
      </c>
      <c r="AL94" s="184">
        <f t="shared" si="5"/>
        <v>81976.716716697585</v>
      </c>
      <c r="AN94" s="177">
        <v>10140129</v>
      </c>
      <c r="AO94" s="177" t="s">
        <v>1135</v>
      </c>
      <c r="AP94" s="177" t="s">
        <v>692</v>
      </c>
      <c r="AQ94" s="178">
        <v>110000</v>
      </c>
      <c r="AR94" s="179">
        <v>8878</v>
      </c>
      <c r="AS94" s="180">
        <v>68678.401497262879</v>
      </c>
      <c r="AT94" s="179"/>
      <c r="AU94" s="179">
        <v>10000</v>
      </c>
      <c r="AV94" s="184">
        <f t="shared" si="3"/>
        <v>1122</v>
      </c>
      <c r="AW94" s="188"/>
    </row>
    <row r="95" spans="1:49" x14ac:dyDescent="0.25">
      <c r="A95" s="4">
        <v>10140173</v>
      </c>
      <c r="B95" s="219">
        <v>1470.98</v>
      </c>
      <c r="D95" s="201"/>
      <c r="E95" s="71">
        <v>10020022</v>
      </c>
      <c r="F95" s="42">
        <v>14558.501723040001</v>
      </c>
      <c r="H95" s="199"/>
      <c r="I95" s="71">
        <v>10640005</v>
      </c>
      <c r="J95" s="68">
        <v>80000</v>
      </c>
      <c r="W95" s="41">
        <v>10110043</v>
      </c>
      <c r="X95">
        <v>500</v>
      </c>
      <c r="AC95" s="182" t="s">
        <v>945</v>
      </c>
      <c r="AD95" s="172" t="s">
        <v>474</v>
      </c>
      <c r="AE95" s="172" t="s">
        <v>1135</v>
      </c>
      <c r="AF95" s="172" t="s">
        <v>692</v>
      </c>
      <c r="AG95" s="173">
        <v>110000</v>
      </c>
      <c r="AH95" s="174">
        <v>26050.119395528367</v>
      </c>
      <c r="AI95" s="175">
        <v>83949.880604471633</v>
      </c>
      <c r="AJ95" s="174">
        <v>16050.119395528369</v>
      </c>
      <c r="AK95" s="176">
        <v>10000</v>
      </c>
      <c r="AL95" s="184">
        <f t="shared" si="5"/>
        <v>83949.880604471633</v>
      </c>
      <c r="AN95" s="172">
        <v>10130022</v>
      </c>
      <c r="AO95" s="172" t="s">
        <v>1135</v>
      </c>
      <c r="AP95" s="172" t="s">
        <v>692</v>
      </c>
      <c r="AQ95" s="173">
        <v>110000</v>
      </c>
      <c r="AR95" s="174">
        <v>0</v>
      </c>
      <c r="AS95" s="175">
        <v>68975</v>
      </c>
      <c r="AT95" s="174"/>
      <c r="AU95" s="174">
        <v>10000</v>
      </c>
      <c r="AV95" s="184">
        <f t="shared" si="3"/>
        <v>10000</v>
      </c>
      <c r="AW95" s="187">
        <v>45659</v>
      </c>
    </row>
    <row r="96" spans="1:49" x14ac:dyDescent="0.25">
      <c r="A96" s="4">
        <v>10140174</v>
      </c>
      <c r="B96" s="219">
        <v>1528.8600000000001</v>
      </c>
      <c r="D96" s="201"/>
      <c r="E96" s="71">
        <v>10090023</v>
      </c>
      <c r="F96" s="42">
        <v>9600</v>
      </c>
      <c r="H96" s="199"/>
      <c r="I96" s="71">
        <v>10640006</v>
      </c>
      <c r="J96" s="68">
        <v>80000</v>
      </c>
      <c r="W96" s="41">
        <v>10110044</v>
      </c>
      <c r="X96">
        <v>500</v>
      </c>
      <c r="AC96" s="183" t="s">
        <v>946</v>
      </c>
      <c r="AD96" s="177" t="s">
        <v>467</v>
      </c>
      <c r="AE96" s="177" t="s">
        <v>1135</v>
      </c>
      <c r="AF96" s="177" t="s">
        <v>692</v>
      </c>
      <c r="AG96" s="178">
        <v>110000</v>
      </c>
      <c r="AH96" s="179">
        <v>28638.459507444531</v>
      </c>
      <c r="AI96" s="180">
        <v>81361.540492555476</v>
      </c>
      <c r="AJ96" s="179">
        <v>18638.459507444531</v>
      </c>
      <c r="AK96" s="181">
        <v>10000</v>
      </c>
      <c r="AL96" s="184">
        <f t="shared" si="5"/>
        <v>81361.540492555476</v>
      </c>
      <c r="AN96" s="177">
        <v>10130025</v>
      </c>
      <c r="AO96" s="177" t="s">
        <v>1135</v>
      </c>
      <c r="AP96" s="177" t="s">
        <v>692</v>
      </c>
      <c r="AQ96" s="178">
        <v>64000</v>
      </c>
      <c r="AR96" s="179">
        <v>0</v>
      </c>
      <c r="AS96" s="180">
        <v>6120.0033114890248</v>
      </c>
      <c r="AT96" s="179"/>
      <c r="AU96" s="179">
        <v>10000</v>
      </c>
      <c r="AV96" s="184">
        <f t="shared" si="3"/>
        <v>10000</v>
      </c>
      <c r="AW96" s="188">
        <v>45687</v>
      </c>
    </row>
    <row r="97" spans="1:49" x14ac:dyDescent="0.25">
      <c r="A97" s="4">
        <v>10140183</v>
      </c>
      <c r="B97" s="219">
        <v>1066.44</v>
      </c>
      <c r="D97" s="201"/>
      <c r="E97" s="71">
        <v>10140001</v>
      </c>
      <c r="F97" s="42">
        <v>4408.0451254147429</v>
      </c>
      <c r="H97" s="199"/>
      <c r="I97" s="71">
        <v>10080126</v>
      </c>
      <c r="J97" s="68">
        <v>65000</v>
      </c>
      <c r="W97" s="41">
        <v>10110048</v>
      </c>
      <c r="X97">
        <v>500</v>
      </c>
      <c r="AC97" s="182" t="s">
        <v>947</v>
      </c>
      <c r="AD97" s="172" t="s">
        <v>459</v>
      </c>
      <c r="AE97" s="172" t="s">
        <v>1134</v>
      </c>
      <c r="AF97" s="172" t="s">
        <v>692</v>
      </c>
      <c r="AG97" s="173">
        <v>110000</v>
      </c>
      <c r="AH97" s="174">
        <v>10368.39721395364</v>
      </c>
      <c r="AI97" s="175">
        <v>99631.602786046366</v>
      </c>
      <c r="AJ97" s="174">
        <v>10368.39721395364</v>
      </c>
      <c r="AK97" s="176">
        <v>0</v>
      </c>
      <c r="AL97" s="184">
        <f t="shared" si="5"/>
        <v>99631.602786046366</v>
      </c>
      <c r="AN97" s="172">
        <v>10130024</v>
      </c>
      <c r="AO97" s="172" t="s">
        <v>1135</v>
      </c>
      <c r="AP97" s="172" t="s">
        <v>692</v>
      </c>
      <c r="AQ97" s="173">
        <v>64000</v>
      </c>
      <c r="AR97" s="174">
        <v>0</v>
      </c>
      <c r="AS97" s="175">
        <v>21507.917400000006</v>
      </c>
      <c r="AT97" s="174"/>
      <c r="AU97" s="174">
        <v>10000</v>
      </c>
      <c r="AV97" s="184">
        <f t="shared" si="3"/>
        <v>10000</v>
      </c>
      <c r="AW97" s="187">
        <v>45640</v>
      </c>
    </row>
    <row r="98" spans="1:49" x14ac:dyDescent="0.25">
      <c r="A98" s="4">
        <v>10230001</v>
      </c>
      <c r="B98" s="219">
        <v>457.8599999999999</v>
      </c>
      <c r="D98" s="201"/>
      <c r="E98" s="71">
        <v>10140002</v>
      </c>
      <c r="F98" s="42">
        <v>5996.7100985575998</v>
      </c>
      <c r="H98" s="199"/>
      <c r="I98" s="71">
        <v>10010142</v>
      </c>
      <c r="J98" s="68">
        <v>65000</v>
      </c>
      <c r="W98" s="41">
        <v>10110052</v>
      </c>
      <c r="X98">
        <v>500</v>
      </c>
      <c r="AC98" s="183" t="s">
        <v>948</v>
      </c>
      <c r="AD98" s="177" t="s">
        <v>717</v>
      </c>
      <c r="AE98" s="177" t="s">
        <v>1135</v>
      </c>
      <c r="AF98" s="177" t="s">
        <v>692</v>
      </c>
      <c r="AG98" s="178">
        <v>110000</v>
      </c>
      <c r="AH98" s="179">
        <v>29013.288206056845</v>
      </c>
      <c r="AI98" s="180">
        <v>80986.711793943163</v>
      </c>
      <c r="AJ98" s="179">
        <v>14013.288206056845</v>
      </c>
      <c r="AK98" s="181">
        <v>15000</v>
      </c>
      <c r="AL98" s="184">
        <f t="shared" si="5"/>
        <v>80986.711793943163</v>
      </c>
      <c r="AN98" s="177">
        <v>10450001</v>
      </c>
      <c r="AO98" s="177" t="s">
        <v>1135</v>
      </c>
      <c r="AP98" s="177" t="s">
        <v>692</v>
      </c>
      <c r="AQ98" s="178">
        <v>110000</v>
      </c>
      <c r="AR98" s="179">
        <v>0</v>
      </c>
      <c r="AS98" s="180">
        <v>61038.064032984315</v>
      </c>
      <c r="AT98" s="179"/>
      <c r="AU98" s="179">
        <v>10000</v>
      </c>
      <c r="AV98" s="184">
        <f t="shared" si="3"/>
        <v>10000</v>
      </c>
      <c r="AW98" s="188">
        <v>45569</v>
      </c>
    </row>
    <row r="99" spans="1:49" x14ac:dyDescent="0.25">
      <c r="A99" s="4">
        <v>10270001</v>
      </c>
      <c r="B99" s="219">
        <v>753.06</v>
      </c>
      <c r="D99" s="201"/>
      <c r="E99" s="71">
        <v>10140004</v>
      </c>
      <c r="F99" s="42">
        <v>2613.9478243630037</v>
      </c>
      <c r="H99" s="199"/>
      <c r="I99" s="71">
        <v>10580022</v>
      </c>
      <c r="J99" s="68">
        <v>85000</v>
      </c>
      <c r="W99" s="41">
        <v>10110053</v>
      </c>
      <c r="X99">
        <v>500</v>
      </c>
      <c r="AC99" s="182" t="s">
        <v>949</v>
      </c>
      <c r="AD99" s="172" t="s">
        <v>719</v>
      </c>
      <c r="AE99" s="172" t="s">
        <v>1134</v>
      </c>
      <c r="AF99" s="172" t="s">
        <v>692</v>
      </c>
      <c r="AG99" s="173">
        <v>110000</v>
      </c>
      <c r="AH99" s="174">
        <v>52196.709600000002</v>
      </c>
      <c r="AI99" s="175">
        <v>57803.290399999998</v>
      </c>
      <c r="AJ99" s="174">
        <v>40565.709600000002</v>
      </c>
      <c r="AK99" s="176">
        <v>0</v>
      </c>
      <c r="AL99" s="184">
        <f t="shared" si="5"/>
        <v>57803.290399999998</v>
      </c>
      <c r="AN99" s="172">
        <v>10140016</v>
      </c>
      <c r="AO99" s="172" t="s">
        <v>1135</v>
      </c>
      <c r="AP99" s="172" t="s">
        <v>692</v>
      </c>
      <c r="AQ99" s="173">
        <v>110000</v>
      </c>
      <c r="AR99" s="174">
        <v>0</v>
      </c>
      <c r="AS99" s="175">
        <v>58701.772199999999</v>
      </c>
      <c r="AT99" s="174"/>
      <c r="AU99" s="174">
        <v>10000</v>
      </c>
      <c r="AV99" s="184">
        <f t="shared" si="3"/>
        <v>10000</v>
      </c>
      <c r="AW99" s="187">
        <v>45482</v>
      </c>
    </row>
    <row r="100" spans="1:49" x14ac:dyDescent="0.25">
      <c r="A100" s="4">
        <v>10480005</v>
      </c>
      <c r="B100" s="219">
        <v>491.64</v>
      </c>
      <c r="D100" s="201"/>
      <c r="E100" s="71">
        <v>10140006</v>
      </c>
      <c r="F100" s="42">
        <v>16000</v>
      </c>
      <c r="H100" s="199"/>
      <c r="I100" s="71">
        <v>10590011</v>
      </c>
      <c r="J100" s="68">
        <v>65000</v>
      </c>
      <c r="W100" s="41">
        <v>10110063</v>
      </c>
      <c r="X100">
        <v>500</v>
      </c>
      <c r="AC100" s="183" t="s">
        <v>950</v>
      </c>
      <c r="AD100" s="177" t="s">
        <v>382</v>
      </c>
      <c r="AE100" s="177" t="s">
        <v>1135</v>
      </c>
      <c r="AF100" s="177" t="s">
        <v>692</v>
      </c>
      <c r="AG100" s="178">
        <v>110000</v>
      </c>
      <c r="AH100" s="179">
        <v>55615.820606054403</v>
      </c>
      <c r="AI100" s="180">
        <v>54384.179393945597</v>
      </c>
      <c r="AJ100" s="179">
        <v>45615.820606054403</v>
      </c>
      <c r="AK100" s="181">
        <v>10000</v>
      </c>
      <c r="AL100" s="184">
        <f t="shared" si="5"/>
        <v>54384.179393945597</v>
      </c>
      <c r="AN100" s="177">
        <v>10140097</v>
      </c>
      <c r="AO100" s="177" t="s">
        <v>1135</v>
      </c>
      <c r="AP100" s="177" t="s">
        <v>692</v>
      </c>
      <c r="AQ100" s="178">
        <v>110000</v>
      </c>
      <c r="AR100" s="179">
        <v>0</v>
      </c>
      <c r="AS100" s="180">
        <v>72082.237800000003</v>
      </c>
      <c r="AT100" s="179"/>
      <c r="AU100" s="179">
        <v>10000</v>
      </c>
      <c r="AV100" s="184">
        <f t="shared" si="3"/>
        <v>10000</v>
      </c>
      <c r="AW100" s="188">
        <v>45482</v>
      </c>
    </row>
    <row r="101" spans="1:49" x14ac:dyDescent="0.25">
      <c r="A101" s="4">
        <v>10480014</v>
      </c>
      <c r="B101" s="219">
        <v>469.41999999999996</v>
      </c>
      <c r="D101" s="201"/>
      <c r="E101" s="71">
        <v>10140010</v>
      </c>
      <c r="F101" s="42">
        <v>22400</v>
      </c>
      <c r="H101" s="199"/>
      <c r="I101" s="71">
        <v>10590012</v>
      </c>
      <c r="J101" s="68">
        <v>65000</v>
      </c>
      <c r="W101" s="41">
        <v>10110071</v>
      </c>
      <c r="X101">
        <v>500</v>
      </c>
      <c r="AC101" s="182" t="s">
        <v>951</v>
      </c>
      <c r="AD101" s="172" t="s">
        <v>659</v>
      </c>
      <c r="AE101" s="172" t="s">
        <v>1135</v>
      </c>
      <c r="AF101" s="172" t="s">
        <v>692</v>
      </c>
      <c r="AG101" s="173">
        <v>110000</v>
      </c>
      <c r="AH101" s="174">
        <v>90066.015340942977</v>
      </c>
      <c r="AI101" s="175">
        <v>19933.984659057023</v>
      </c>
      <c r="AJ101" s="174">
        <v>80066.015340942977</v>
      </c>
      <c r="AK101" s="176">
        <v>10000</v>
      </c>
      <c r="AL101" s="184">
        <f t="shared" si="5"/>
        <v>19933.984659057023</v>
      </c>
      <c r="AN101" s="172">
        <v>10030015</v>
      </c>
      <c r="AO101" s="172" t="s">
        <v>1135</v>
      </c>
      <c r="AP101" s="172" t="s">
        <v>692</v>
      </c>
      <c r="AQ101" s="173">
        <v>110000</v>
      </c>
      <c r="AR101" s="174">
        <v>0</v>
      </c>
      <c r="AS101" s="175">
        <v>56656.743452877156</v>
      </c>
      <c r="AT101" s="174"/>
      <c r="AU101" s="174">
        <v>10000</v>
      </c>
      <c r="AV101" s="184">
        <f t="shared" si="3"/>
        <v>10000</v>
      </c>
      <c r="AW101" s="187">
        <v>44777</v>
      </c>
    </row>
    <row r="102" spans="1:49" x14ac:dyDescent="0.25">
      <c r="A102" s="4">
        <v>10510001</v>
      </c>
      <c r="B102" s="219">
        <v>1208.9900000000002</v>
      </c>
      <c r="D102" s="201"/>
      <c r="E102" s="71">
        <v>10140011</v>
      </c>
      <c r="F102" s="42">
        <v>8298.3607058969592</v>
      </c>
      <c r="H102" s="199"/>
      <c r="I102" s="71">
        <v>10590013</v>
      </c>
      <c r="J102" s="68">
        <v>70000</v>
      </c>
      <c r="W102" s="41">
        <v>10110073</v>
      </c>
      <c r="X102">
        <v>500</v>
      </c>
      <c r="AC102" s="183" t="s">
        <v>952</v>
      </c>
      <c r="AD102" s="177" t="s">
        <v>720</v>
      </c>
      <c r="AE102" s="177" t="s">
        <v>1134</v>
      </c>
      <c r="AF102" s="177" t="s">
        <v>692</v>
      </c>
      <c r="AG102" s="178">
        <v>110000</v>
      </c>
      <c r="AH102" s="179">
        <v>68979.548639349756</v>
      </c>
      <c r="AI102" s="180">
        <v>41020.451360650244</v>
      </c>
      <c r="AJ102" s="179">
        <v>43979.548639349763</v>
      </c>
      <c r="AK102" s="176">
        <v>0</v>
      </c>
      <c r="AL102" s="184">
        <f t="shared" si="5"/>
        <v>41020.451360650244</v>
      </c>
      <c r="AN102" s="177">
        <v>10140107</v>
      </c>
      <c r="AO102" s="177" t="s">
        <v>1135</v>
      </c>
      <c r="AP102" s="177" t="s">
        <v>692</v>
      </c>
      <c r="AQ102" s="178">
        <v>110000</v>
      </c>
      <c r="AR102" s="179">
        <v>0</v>
      </c>
      <c r="AS102" s="180">
        <v>62853.378761066648</v>
      </c>
      <c r="AT102" s="179"/>
      <c r="AU102" s="179">
        <v>10000</v>
      </c>
      <c r="AV102" s="184">
        <f t="shared" si="3"/>
        <v>10000</v>
      </c>
      <c r="AW102" s="188"/>
    </row>
    <row r="103" spans="1:49" x14ac:dyDescent="0.25">
      <c r="A103" s="4">
        <v>10510003</v>
      </c>
      <c r="B103" s="219">
        <v>643.02</v>
      </c>
      <c r="D103" s="201"/>
      <c r="E103" s="71">
        <v>10140019</v>
      </c>
      <c r="F103" s="42">
        <v>16000</v>
      </c>
      <c r="H103" s="199"/>
      <c r="I103" s="71">
        <v>10530110</v>
      </c>
      <c r="J103" s="68">
        <v>65000</v>
      </c>
      <c r="W103" s="41">
        <v>10110078</v>
      </c>
      <c r="X103">
        <v>500</v>
      </c>
      <c r="AC103" s="182" t="s">
        <v>953</v>
      </c>
      <c r="AD103" s="172" t="s">
        <v>721</v>
      </c>
      <c r="AE103" s="172" t="s">
        <v>1134</v>
      </c>
      <c r="AF103" s="172" t="s">
        <v>692</v>
      </c>
      <c r="AG103" s="173">
        <v>110000</v>
      </c>
      <c r="AH103" s="174">
        <v>74720</v>
      </c>
      <c r="AI103" s="175">
        <v>35280</v>
      </c>
      <c r="AJ103" s="174">
        <v>49720</v>
      </c>
      <c r="AK103" s="176">
        <v>0</v>
      </c>
      <c r="AL103" s="184">
        <f t="shared" si="5"/>
        <v>35280</v>
      </c>
      <c r="AN103" s="172">
        <v>10140055</v>
      </c>
      <c r="AO103" s="172" t="s">
        <v>1135</v>
      </c>
      <c r="AP103" s="172" t="s">
        <v>692</v>
      </c>
      <c r="AQ103" s="173">
        <v>110000</v>
      </c>
      <c r="AR103" s="174">
        <v>0</v>
      </c>
      <c r="AS103" s="175">
        <v>20769.097687097557</v>
      </c>
      <c r="AT103" s="174"/>
      <c r="AU103" s="174">
        <v>10000</v>
      </c>
      <c r="AV103" s="184">
        <f t="shared" si="3"/>
        <v>10000</v>
      </c>
      <c r="AW103" s="187">
        <v>44777</v>
      </c>
    </row>
    <row r="104" spans="1:49" x14ac:dyDescent="0.25">
      <c r="A104" s="4">
        <v>10510004</v>
      </c>
      <c r="B104" s="219">
        <v>404.53999999999996</v>
      </c>
      <c r="D104" s="201"/>
      <c r="E104" s="71">
        <v>10140015</v>
      </c>
      <c r="F104" s="42">
        <v>12800</v>
      </c>
      <c r="H104" s="199"/>
      <c r="I104" s="71">
        <v>10610022</v>
      </c>
      <c r="J104" s="68">
        <v>85000</v>
      </c>
      <c r="W104" s="41">
        <v>10110079</v>
      </c>
      <c r="X104">
        <v>500</v>
      </c>
      <c r="AC104" s="183" t="s">
        <v>954</v>
      </c>
      <c r="AD104" s="177" t="s">
        <v>722</v>
      </c>
      <c r="AE104" s="177" t="s">
        <v>1135</v>
      </c>
      <c r="AF104" s="177" t="s">
        <v>692</v>
      </c>
      <c r="AG104" s="178">
        <v>110000</v>
      </c>
      <c r="AH104" s="179">
        <v>30259</v>
      </c>
      <c r="AI104" s="180">
        <v>79741</v>
      </c>
      <c r="AJ104" s="179">
        <v>20259</v>
      </c>
      <c r="AK104" s="181">
        <v>10000</v>
      </c>
      <c r="AL104" s="184">
        <f t="shared" si="5"/>
        <v>79741</v>
      </c>
      <c r="AN104" s="177">
        <v>10130026</v>
      </c>
      <c r="AO104" s="177" t="s">
        <v>1135</v>
      </c>
      <c r="AP104" s="177" t="s">
        <v>692</v>
      </c>
      <c r="AQ104" s="178">
        <v>64000</v>
      </c>
      <c r="AR104" s="179">
        <v>0</v>
      </c>
      <c r="AS104" s="180">
        <v>23611.452000000005</v>
      </c>
      <c r="AT104" s="179"/>
      <c r="AU104" s="179">
        <v>5000</v>
      </c>
      <c r="AV104" s="184">
        <f t="shared" si="3"/>
        <v>15000</v>
      </c>
      <c r="AW104" s="188">
        <v>44777</v>
      </c>
    </row>
    <row r="105" spans="1:49" x14ac:dyDescent="0.25">
      <c r="A105" s="4">
        <v>10520008</v>
      </c>
      <c r="B105" s="219">
        <v>1810.8099999999995</v>
      </c>
      <c r="D105" s="201"/>
      <c r="E105" s="71">
        <v>10140016</v>
      </c>
      <c r="F105" s="42">
        <v>12800</v>
      </c>
      <c r="H105" s="199"/>
      <c r="I105" s="71">
        <v>10140205</v>
      </c>
      <c r="J105" s="68">
        <v>65000</v>
      </c>
      <c r="W105" s="41">
        <v>10110083</v>
      </c>
      <c r="X105">
        <v>500</v>
      </c>
      <c r="AC105" s="182" t="s">
        <v>955</v>
      </c>
      <c r="AD105" s="172" t="s">
        <v>349</v>
      </c>
      <c r="AE105" s="172" t="s">
        <v>1134</v>
      </c>
      <c r="AF105" s="172" t="s">
        <v>692</v>
      </c>
      <c r="AG105" s="173">
        <v>110000</v>
      </c>
      <c r="AH105" s="174">
        <v>21019</v>
      </c>
      <c r="AI105" s="175">
        <v>88981</v>
      </c>
      <c r="AJ105" s="174">
        <v>21019</v>
      </c>
      <c r="AK105" s="176">
        <v>0</v>
      </c>
      <c r="AL105" s="184">
        <f t="shared" si="5"/>
        <v>88981</v>
      </c>
      <c r="AN105" s="172">
        <v>10010021</v>
      </c>
      <c r="AO105" s="172" t="s">
        <v>1135</v>
      </c>
      <c r="AP105" s="172" t="s">
        <v>692</v>
      </c>
      <c r="AQ105" s="173">
        <v>110000</v>
      </c>
      <c r="AR105" s="174">
        <v>0</v>
      </c>
      <c r="AS105" s="175">
        <v>72931.141548879619</v>
      </c>
      <c r="AT105" s="174"/>
      <c r="AU105" s="174">
        <v>5000</v>
      </c>
      <c r="AV105" s="184">
        <f t="shared" si="3"/>
        <v>15000</v>
      </c>
      <c r="AW105" s="187">
        <v>45392</v>
      </c>
    </row>
    <row r="106" spans="1:49" x14ac:dyDescent="0.25">
      <c r="A106" s="4">
        <v>10560001</v>
      </c>
      <c r="B106" s="219">
        <v>2920.4999999999995</v>
      </c>
      <c r="D106" s="201"/>
      <c r="E106" s="71">
        <v>10140022</v>
      </c>
      <c r="F106" s="42">
        <v>13022.026456633601</v>
      </c>
      <c r="H106" s="199"/>
      <c r="I106" s="71">
        <v>10080124</v>
      </c>
      <c r="J106" s="68">
        <v>65000</v>
      </c>
      <c r="W106" s="41">
        <v>10110091</v>
      </c>
      <c r="X106">
        <v>500</v>
      </c>
      <c r="AC106" s="183" t="s">
        <v>956</v>
      </c>
      <c r="AD106" s="177" t="s">
        <v>350</v>
      </c>
      <c r="AE106" s="177" t="s">
        <v>1134</v>
      </c>
      <c r="AF106" s="177" t="s">
        <v>692</v>
      </c>
      <c r="AG106" s="178">
        <v>110000</v>
      </c>
      <c r="AH106" s="179">
        <v>25995</v>
      </c>
      <c r="AI106" s="180">
        <v>84005</v>
      </c>
      <c r="AJ106" s="179">
        <v>25995</v>
      </c>
      <c r="AK106" s="176">
        <v>0</v>
      </c>
      <c r="AL106" s="184">
        <f t="shared" si="5"/>
        <v>84005</v>
      </c>
      <c r="AN106" s="177">
        <v>10010019</v>
      </c>
      <c r="AO106" s="177" t="s">
        <v>1134</v>
      </c>
      <c r="AP106" s="177" t="s">
        <v>692</v>
      </c>
      <c r="AQ106" s="178">
        <v>110000</v>
      </c>
      <c r="AR106" s="179">
        <v>0</v>
      </c>
      <c r="AS106" s="180">
        <v>51713.541976223918</v>
      </c>
      <c r="AT106" s="179"/>
      <c r="AU106" s="179"/>
      <c r="AV106" s="184">
        <f t="shared" si="3"/>
        <v>20000</v>
      </c>
      <c r="AW106" s="188">
        <v>45225</v>
      </c>
    </row>
    <row r="107" spans="1:49" x14ac:dyDescent="0.25">
      <c r="A107" s="4">
        <v>10010005</v>
      </c>
      <c r="B107" s="219">
        <v>660</v>
      </c>
      <c r="D107" s="201"/>
      <c r="E107" s="71">
        <v>10140020</v>
      </c>
      <c r="F107" s="42">
        <v>9600</v>
      </c>
      <c r="H107" s="199"/>
      <c r="I107" s="71">
        <v>10080125</v>
      </c>
      <c r="J107" s="68">
        <v>65000</v>
      </c>
      <c r="W107" s="41">
        <v>10120003</v>
      </c>
      <c r="X107">
        <v>500</v>
      </c>
      <c r="AC107" s="182" t="s">
        <v>957</v>
      </c>
      <c r="AD107" s="172" t="s">
        <v>312</v>
      </c>
      <c r="AE107" s="172" t="s">
        <v>1134</v>
      </c>
      <c r="AF107" s="172" t="s">
        <v>692</v>
      </c>
      <c r="AG107" s="173">
        <v>110000</v>
      </c>
      <c r="AH107" s="174">
        <v>28064.832728798719</v>
      </c>
      <c r="AI107" s="175">
        <v>81935.167271201281</v>
      </c>
      <c r="AJ107" s="174">
        <v>28064.832728798719</v>
      </c>
      <c r="AK107" s="176">
        <v>0</v>
      </c>
      <c r="AL107" s="184">
        <f t="shared" si="5"/>
        <v>81935.167271201281</v>
      </c>
      <c r="AN107" s="172">
        <v>10140054</v>
      </c>
      <c r="AO107" s="172" t="s">
        <v>1135</v>
      </c>
      <c r="AP107" s="172" t="s">
        <v>692</v>
      </c>
      <c r="AQ107" s="173">
        <v>110000</v>
      </c>
      <c r="AR107" s="174">
        <v>0</v>
      </c>
      <c r="AS107" s="175">
        <v>43880.624251879621</v>
      </c>
      <c r="AT107" s="174"/>
      <c r="AU107" s="174">
        <v>10000</v>
      </c>
      <c r="AV107" s="184">
        <f t="shared" si="3"/>
        <v>10000</v>
      </c>
      <c r="AW107" s="187">
        <v>45225</v>
      </c>
    </row>
    <row r="108" spans="1:49" x14ac:dyDescent="0.25">
      <c r="A108" s="4">
        <v>10010008</v>
      </c>
      <c r="B108" s="219">
        <v>192</v>
      </c>
      <c r="D108" s="201"/>
      <c r="E108" s="71">
        <v>10140005</v>
      </c>
      <c r="F108" s="42">
        <v>6090.711846906921</v>
      </c>
      <c r="H108" s="199"/>
      <c r="I108" s="71">
        <v>10120123</v>
      </c>
      <c r="J108" s="68">
        <v>65000</v>
      </c>
      <c r="W108" s="41">
        <v>10120016</v>
      </c>
      <c r="X108">
        <v>500</v>
      </c>
      <c r="AC108" s="183" t="s">
        <v>958</v>
      </c>
      <c r="AD108" s="177" t="s">
        <v>313</v>
      </c>
      <c r="AE108" s="177" t="s">
        <v>1134</v>
      </c>
      <c r="AF108" s="177" t="s">
        <v>692</v>
      </c>
      <c r="AG108" s="178">
        <v>110000</v>
      </c>
      <c r="AH108" s="179">
        <v>32707.422129921652</v>
      </c>
      <c r="AI108" s="180">
        <v>77292.577870078356</v>
      </c>
      <c r="AJ108" s="179">
        <v>32707.422129921652</v>
      </c>
      <c r="AK108" s="176">
        <v>0</v>
      </c>
      <c r="AL108" s="184">
        <f t="shared" si="5"/>
        <v>77292.577870078356</v>
      </c>
      <c r="AN108" s="177">
        <v>10130032</v>
      </c>
      <c r="AO108" s="177" t="s">
        <v>1135</v>
      </c>
      <c r="AP108" s="177" t="s">
        <v>692</v>
      </c>
      <c r="AQ108" s="178">
        <v>64000</v>
      </c>
      <c r="AR108" s="179">
        <v>0</v>
      </c>
      <c r="AS108" s="180">
        <v>28382</v>
      </c>
      <c r="AT108" s="179"/>
      <c r="AU108" s="179">
        <v>5000</v>
      </c>
      <c r="AV108" s="184">
        <f t="shared" si="3"/>
        <v>15000</v>
      </c>
      <c r="AW108" s="188">
        <v>45142</v>
      </c>
    </row>
    <row r="109" spans="1:49" x14ac:dyDescent="0.25">
      <c r="A109" s="4">
        <v>10010009</v>
      </c>
      <c r="B109" s="219">
        <v>408</v>
      </c>
      <c r="D109" s="201"/>
      <c r="E109" s="71">
        <v>10080016</v>
      </c>
      <c r="F109" s="42">
        <v>130.66422891840011</v>
      </c>
      <c r="H109" s="199"/>
      <c r="I109" s="71">
        <v>10530108</v>
      </c>
      <c r="J109" s="68">
        <v>65000</v>
      </c>
      <c r="W109" s="41">
        <v>10120019</v>
      </c>
      <c r="X109">
        <v>500</v>
      </c>
      <c r="AC109" s="182" t="s">
        <v>854</v>
      </c>
      <c r="AD109" s="172" t="s">
        <v>723</v>
      </c>
      <c r="AE109" s="172" t="s">
        <v>1135</v>
      </c>
      <c r="AF109" s="172" t="s">
        <v>692</v>
      </c>
      <c r="AG109" s="173">
        <v>64000</v>
      </c>
      <c r="AH109" s="174">
        <v>9852</v>
      </c>
      <c r="AI109" s="175">
        <v>54148</v>
      </c>
      <c r="AJ109" s="174">
        <v>4852</v>
      </c>
      <c r="AK109" s="176">
        <v>5000</v>
      </c>
      <c r="AL109" s="184">
        <f t="shared" si="5"/>
        <v>54148</v>
      </c>
      <c r="AN109" s="172">
        <v>10140053</v>
      </c>
      <c r="AO109" s="172" t="s">
        <v>1135</v>
      </c>
      <c r="AP109" s="172" t="s">
        <v>692</v>
      </c>
      <c r="AQ109" s="173">
        <v>110000</v>
      </c>
      <c r="AR109" s="174">
        <v>0</v>
      </c>
      <c r="AS109" s="175">
        <v>79425</v>
      </c>
      <c r="AT109" s="174"/>
      <c r="AU109" s="174">
        <v>5000</v>
      </c>
      <c r="AV109" s="184">
        <f t="shared" si="3"/>
        <v>15000</v>
      </c>
      <c r="AW109" s="187">
        <v>45339</v>
      </c>
    </row>
    <row r="110" spans="1:49" x14ac:dyDescent="0.25">
      <c r="A110" s="4">
        <v>10010014</v>
      </c>
      <c r="B110" s="219">
        <v>408</v>
      </c>
      <c r="D110" s="201"/>
      <c r="E110" s="71">
        <v>10080017</v>
      </c>
      <c r="F110" s="42">
        <v>9600</v>
      </c>
      <c r="H110" s="199"/>
      <c r="I110" s="71">
        <v>10530109</v>
      </c>
      <c r="J110" s="68">
        <v>65000</v>
      </c>
      <c r="W110" s="41">
        <v>10120034</v>
      </c>
      <c r="X110">
        <v>500</v>
      </c>
      <c r="AC110" s="183" t="s">
        <v>959</v>
      </c>
      <c r="AD110" s="177" t="s">
        <v>724</v>
      </c>
      <c r="AE110" s="177" t="s">
        <v>1135</v>
      </c>
      <c r="AF110" s="177" t="s">
        <v>692</v>
      </c>
      <c r="AG110" s="178">
        <v>64000</v>
      </c>
      <c r="AH110" s="179">
        <v>31401.260821327403</v>
      </c>
      <c r="AI110" s="180">
        <v>32598.739178672597</v>
      </c>
      <c r="AJ110" s="179">
        <v>21401.260821327403</v>
      </c>
      <c r="AK110" s="181">
        <v>10000</v>
      </c>
      <c r="AL110" s="184">
        <f t="shared" si="5"/>
        <v>32598.739178672597</v>
      </c>
      <c r="AN110" s="177">
        <v>10140047</v>
      </c>
      <c r="AO110" s="177" t="s">
        <v>1135</v>
      </c>
      <c r="AP110" s="177" t="s">
        <v>692</v>
      </c>
      <c r="AQ110" s="178">
        <v>110000</v>
      </c>
      <c r="AR110" s="179">
        <v>0</v>
      </c>
      <c r="AS110" s="180">
        <v>7858.3455301270878</v>
      </c>
      <c r="AT110" s="179"/>
      <c r="AU110" s="179">
        <v>10000</v>
      </c>
      <c r="AV110" s="184">
        <f t="shared" si="3"/>
        <v>10000</v>
      </c>
      <c r="AW110" s="188">
        <v>44656</v>
      </c>
    </row>
    <row r="111" spans="1:49" x14ac:dyDescent="0.25">
      <c r="A111" s="4">
        <v>10010015</v>
      </c>
      <c r="B111" s="219">
        <v>408</v>
      </c>
      <c r="D111" s="201"/>
      <c r="E111" s="71">
        <v>10080018</v>
      </c>
      <c r="F111" s="42">
        <v>7186.369443996512</v>
      </c>
      <c r="H111" s="199"/>
      <c r="I111" s="71">
        <v>10610017</v>
      </c>
      <c r="J111" s="68">
        <v>75000</v>
      </c>
      <c r="W111" s="41">
        <v>10120037</v>
      </c>
      <c r="X111">
        <v>500</v>
      </c>
      <c r="AC111" s="182" t="s">
        <v>854</v>
      </c>
      <c r="AD111" s="172" t="s">
        <v>725</v>
      </c>
      <c r="AE111" s="172" t="s">
        <v>1135</v>
      </c>
      <c r="AF111" s="172" t="s">
        <v>692</v>
      </c>
      <c r="AG111" s="173">
        <v>64000</v>
      </c>
      <c r="AH111" s="174">
        <v>10000</v>
      </c>
      <c r="AI111" s="175">
        <v>54000</v>
      </c>
      <c r="AJ111" s="174">
        <v>0</v>
      </c>
      <c r="AK111" s="176">
        <v>10000</v>
      </c>
      <c r="AL111" s="184">
        <f t="shared" si="5"/>
        <v>54000</v>
      </c>
      <c r="AN111" s="172">
        <v>10140036</v>
      </c>
      <c r="AO111" s="172" t="s">
        <v>1135</v>
      </c>
      <c r="AP111" s="172" t="s">
        <v>692</v>
      </c>
      <c r="AQ111" s="173">
        <v>110000</v>
      </c>
      <c r="AR111" s="174">
        <v>0</v>
      </c>
      <c r="AS111" s="175">
        <v>80035.811000000002</v>
      </c>
      <c r="AT111" s="174"/>
      <c r="AU111" s="174">
        <v>10000</v>
      </c>
      <c r="AV111" s="184">
        <f t="shared" si="3"/>
        <v>10000</v>
      </c>
      <c r="AW111" s="187">
        <v>45469</v>
      </c>
    </row>
    <row r="112" spans="1:49" x14ac:dyDescent="0.25">
      <c r="A112" s="4">
        <v>10010016</v>
      </c>
      <c r="B112" s="219">
        <v>250</v>
      </c>
      <c r="D112" s="201"/>
      <c r="E112" s="71">
        <v>10110074</v>
      </c>
      <c r="F112" s="42">
        <v>6400</v>
      </c>
      <c r="H112" s="199"/>
      <c r="I112" s="71">
        <v>10610018</v>
      </c>
      <c r="J112" s="68">
        <v>75000</v>
      </c>
      <c r="W112" s="41">
        <v>10120042</v>
      </c>
      <c r="X112">
        <v>500</v>
      </c>
      <c r="AC112" s="183" t="s">
        <v>854</v>
      </c>
      <c r="AD112" s="177" t="s">
        <v>726</v>
      </c>
      <c r="AE112" s="177" t="s">
        <v>1134</v>
      </c>
      <c r="AF112" s="177" t="s">
        <v>692</v>
      </c>
      <c r="AG112" s="178">
        <v>110000</v>
      </c>
      <c r="AH112" s="179">
        <v>25000</v>
      </c>
      <c r="AI112" s="180">
        <v>85000</v>
      </c>
      <c r="AJ112" s="179">
        <v>0</v>
      </c>
      <c r="AK112" s="181">
        <v>0</v>
      </c>
      <c r="AL112" s="184">
        <f t="shared" si="5"/>
        <v>85000</v>
      </c>
      <c r="AN112" s="177">
        <v>10120034</v>
      </c>
      <c r="AO112" s="177" t="s">
        <v>1135</v>
      </c>
      <c r="AP112" s="177" t="s">
        <v>692</v>
      </c>
      <c r="AQ112" s="178">
        <v>64000</v>
      </c>
      <c r="AR112" s="179">
        <v>0</v>
      </c>
      <c r="AS112" s="180">
        <v>4974.9854515758052</v>
      </c>
      <c r="AT112" s="179"/>
      <c r="AU112" s="179">
        <v>10000</v>
      </c>
      <c r="AV112" s="184">
        <f t="shared" si="3"/>
        <v>10000</v>
      </c>
      <c r="AW112" s="188">
        <v>44731</v>
      </c>
    </row>
    <row r="113" spans="1:49" x14ac:dyDescent="0.25">
      <c r="A113" s="4">
        <v>10010018</v>
      </c>
      <c r="B113" s="219">
        <v>408</v>
      </c>
      <c r="D113" s="201"/>
      <c r="E113" s="71">
        <v>10110021</v>
      </c>
      <c r="F113" s="42">
        <v>6212.7274878963653</v>
      </c>
      <c r="H113" s="199"/>
      <c r="I113" s="71">
        <v>10610019</v>
      </c>
      <c r="J113" s="68">
        <v>75000</v>
      </c>
      <c r="W113" s="41">
        <v>10120043</v>
      </c>
      <c r="X113">
        <v>500</v>
      </c>
      <c r="AC113" s="182" t="s">
        <v>960</v>
      </c>
      <c r="AD113" s="172" t="s">
        <v>433</v>
      </c>
      <c r="AE113" s="172" t="s">
        <v>1135</v>
      </c>
      <c r="AF113" s="172" t="s">
        <v>692</v>
      </c>
      <c r="AG113" s="173">
        <v>110000</v>
      </c>
      <c r="AH113" s="174">
        <v>39938.031323655312</v>
      </c>
      <c r="AI113" s="175">
        <v>70061.968676344695</v>
      </c>
      <c r="AJ113" s="174">
        <v>29938.031323655312</v>
      </c>
      <c r="AK113" s="176">
        <v>10000</v>
      </c>
      <c r="AL113" s="184">
        <f t="shared" si="5"/>
        <v>70061.968676344695</v>
      </c>
      <c r="AN113" s="172">
        <v>10010031</v>
      </c>
      <c r="AO113" s="172" t="s">
        <v>1134</v>
      </c>
      <c r="AP113" s="172" t="s">
        <v>692</v>
      </c>
      <c r="AQ113" s="173">
        <v>110000</v>
      </c>
      <c r="AR113" s="174">
        <v>0</v>
      </c>
      <c r="AS113" s="175">
        <v>103548</v>
      </c>
      <c r="AT113" s="174"/>
      <c r="AU113" s="174"/>
      <c r="AV113" s="184">
        <f t="shared" si="3"/>
        <v>20000</v>
      </c>
      <c r="AW113" s="187">
        <v>44824</v>
      </c>
    </row>
    <row r="114" spans="1:49" x14ac:dyDescent="0.25">
      <c r="A114" s="4">
        <v>10010029</v>
      </c>
      <c r="B114" s="219">
        <v>508</v>
      </c>
      <c r="D114" s="203"/>
      <c r="E114" s="71">
        <v>10110020</v>
      </c>
      <c r="F114" s="42">
        <v>35200</v>
      </c>
      <c r="H114" s="199"/>
      <c r="I114" s="71">
        <v>10610020</v>
      </c>
      <c r="J114" s="68">
        <v>65000</v>
      </c>
      <c r="W114" s="41">
        <v>10120066</v>
      </c>
      <c r="X114">
        <v>500</v>
      </c>
      <c r="AC114" s="183" t="s">
        <v>961</v>
      </c>
      <c r="AD114" s="177" t="s">
        <v>727</v>
      </c>
      <c r="AE114" s="177" t="s">
        <v>1135</v>
      </c>
      <c r="AF114" s="177" t="s">
        <v>692</v>
      </c>
      <c r="AG114" s="178">
        <v>110000</v>
      </c>
      <c r="AH114" s="179">
        <v>98039.484533465715</v>
      </c>
      <c r="AI114" s="180">
        <v>11960.515466534285</v>
      </c>
      <c r="AJ114" s="179">
        <v>88039.484533465715</v>
      </c>
      <c r="AK114" s="181">
        <v>10000</v>
      </c>
      <c r="AL114" s="184">
        <f t="shared" si="5"/>
        <v>11960.515466534285</v>
      </c>
      <c r="AN114" s="172">
        <v>10100037</v>
      </c>
      <c r="AO114" s="172" t="s">
        <v>1135</v>
      </c>
      <c r="AP114" s="172" t="s">
        <v>692</v>
      </c>
      <c r="AQ114" s="173">
        <v>110000</v>
      </c>
      <c r="AR114" s="174">
        <v>0</v>
      </c>
      <c r="AS114" s="175">
        <v>71695.471268697962</v>
      </c>
      <c r="AT114" s="174"/>
      <c r="AU114" s="174">
        <v>10000</v>
      </c>
      <c r="AV114" s="184">
        <f t="shared" si="3"/>
        <v>10000</v>
      </c>
      <c r="AW114" s="188"/>
    </row>
    <row r="115" spans="1:49" x14ac:dyDescent="0.25">
      <c r="A115" s="4">
        <v>10010033</v>
      </c>
      <c r="B115" s="219">
        <v>408</v>
      </c>
      <c r="D115" s="201"/>
      <c r="E115" s="71">
        <v>10110018</v>
      </c>
      <c r="F115" s="42">
        <v>6400</v>
      </c>
      <c r="H115" s="199"/>
      <c r="I115" s="71">
        <v>10630001</v>
      </c>
      <c r="J115" s="68">
        <v>85000</v>
      </c>
      <c r="W115" s="41">
        <v>10120072</v>
      </c>
      <c r="X115">
        <v>500</v>
      </c>
      <c r="AC115" s="182" t="s">
        <v>962</v>
      </c>
      <c r="AD115" s="172" t="s">
        <v>728</v>
      </c>
      <c r="AE115" s="172" t="s">
        <v>1134</v>
      </c>
      <c r="AF115" s="172" t="s">
        <v>692</v>
      </c>
      <c r="AG115" s="173">
        <v>110000</v>
      </c>
      <c r="AH115" s="174">
        <v>83611.86045389717</v>
      </c>
      <c r="AI115" s="175">
        <v>26388.13954610283</v>
      </c>
      <c r="AJ115" s="174">
        <v>58611.86045389717</v>
      </c>
      <c r="AK115" s="176">
        <v>0</v>
      </c>
      <c r="AL115" s="184">
        <f t="shared" si="5"/>
        <v>26388.13954610283</v>
      </c>
      <c r="AN115" s="177">
        <v>10140057</v>
      </c>
      <c r="AO115" s="177" t="s">
        <v>1135</v>
      </c>
      <c r="AP115" s="177" t="s">
        <v>692</v>
      </c>
      <c r="AQ115" s="178">
        <v>110000</v>
      </c>
      <c r="AR115" s="179">
        <v>0</v>
      </c>
      <c r="AS115" s="180">
        <v>94223.418000000005</v>
      </c>
      <c r="AT115" s="179"/>
      <c r="AU115" s="179">
        <v>10000</v>
      </c>
      <c r="AV115" s="184">
        <f t="shared" si="3"/>
        <v>10000</v>
      </c>
      <c r="AW115" s="187"/>
    </row>
    <row r="116" spans="1:49" x14ac:dyDescent="0.25">
      <c r="A116" s="4">
        <v>10010034</v>
      </c>
      <c r="B116" s="219">
        <v>460</v>
      </c>
      <c r="D116" s="203"/>
      <c r="E116" s="71">
        <v>10110017</v>
      </c>
      <c r="F116" s="42">
        <v>6400</v>
      </c>
      <c r="H116" s="199"/>
      <c r="I116" s="71">
        <v>10630002</v>
      </c>
      <c r="J116" s="68">
        <v>85000</v>
      </c>
      <c r="W116" s="41">
        <v>10120087</v>
      </c>
      <c r="X116">
        <v>500</v>
      </c>
      <c r="AC116" s="183" t="s">
        <v>963</v>
      </c>
      <c r="AD116" s="177" t="s">
        <v>729</v>
      </c>
      <c r="AE116" s="177" t="s">
        <v>1135</v>
      </c>
      <c r="AF116" s="177" t="s">
        <v>692</v>
      </c>
      <c r="AG116" s="178">
        <v>110000</v>
      </c>
      <c r="AH116" s="179">
        <v>40525</v>
      </c>
      <c r="AI116" s="180">
        <v>69475</v>
      </c>
      <c r="AJ116" s="179">
        <v>30525</v>
      </c>
      <c r="AK116" s="181">
        <v>10000</v>
      </c>
      <c r="AL116" s="184">
        <f t="shared" si="5"/>
        <v>69475</v>
      </c>
      <c r="AN116" s="177">
        <v>10060053</v>
      </c>
      <c r="AO116" s="177" t="s">
        <v>1134</v>
      </c>
      <c r="AP116" s="177" t="s">
        <v>692</v>
      </c>
      <c r="AQ116" s="178">
        <v>110000</v>
      </c>
      <c r="AR116" s="179">
        <v>0</v>
      </c>
      <c r="AS116" s="180">
        <v>102664.6096</v>
      </c>
      <c r="AT116" s="179"/>
      <c r="AU116" s="179"/>
      <c r="AV116" s="184">
        <f t="shared" si="3"/>
        <v>20000</v>
      </c>
      <c r="AW116" s="188">
        <v>44569</v>
      </c>
    </row>
    <row r="117" spans="1:49" x14ac:dyDescent="0.25">
      <c r="A117" s="4">
        <v>10010035</v>
      </c>
      <c r="B117" s="219">
        <v>20</v>
      </c>
      <c r="D117" s="204"/>
      <c r="E117" s="71">
        <v>10110022</v>
      </c>
      <c r="F117" s="42">
        <v>12800</v>
      </c>
      <c r="H117" s="199"/>
      <c r="I117" s="71">
        <v>10630003</v>
      </c>
      <c r="J117" s="68">
        <v>85000</v>
      </c>
      <c r="W117" s="41">
        <v>10130022</v>
      </c>
      <c r="X117">
        <v>500</v>
      </c>
      <c r="AC117" s="182" t="s">
        <v>964</v>
      </c>
      <c r="AD117" s="172" t="s">
        <v>363</v>
      </c>
      <c r="AE117" s="172" t="s">
        <v>1135</v>
      </c>
      <c r="AF117" s="172" t="s">
        <v>692</v>
      </c>
      <c r="AG117" s="173">
        <v>64000</v>
      </c>
      <c r="AH117" s="174">
        <v>55010.996688510975</v>
      </c>
      <c r="AI117" s="175">
        <v>8989.0033114890248</v>
      </c>
      <c r="AJ117" s="174">
        <v>45010.996688510975</v>
      </c>
      <c r="AK117" s="176">
        <v>10000</v>
      </c>
      <c r="AL117" s="184">
        <f t="shared" si="4"/>
        <v>55010.996688510975</v>
      </c>
      <c r="AN117" s="172">
        <v>10480013</v>
      </c>
      <c r="AO117" s="172" t="s">
        <v>1134</v>
      </c>
      <c r="AP117" s="172" t="s">
        <v>692</v>
      </c>
      <c r="AQ117" s="173">
        <v>110000</v>
      </c>
      <c r="AR117" s="174">
        <v>0</v>
      </c>
      <c r="AS117" s="175">
        <v>108321.92</v>
      </c>
      <c r="AT117" s="174"/>
      <c r="AU117" s="174"/>
      <c r="AV117" s="184">
        <f t="shared" si="3"/>
        <v>20000</v>
      </c>
      <c r="AW117" s="187"/>
    </row>
    <row r="118" spans="1:49" x14ac:dyDescent="0.25">
      <c r="A118" s="4">
        <v>10010039</v>
      </c>
      <c r="B118" s="219">
        <v>608</v>
      </c>
      <c r="D118" s="204"/>
      <c r="E118" s="71">
        <v>10110046</v>
      </c>
      <c r="F118" s="42">
        <v>6400</v>
      </c>
      <c r="H118" s="199"/>
      <c r="I118" s="71">
        <v>10630004</v>
      </c>
      <c r="J118" s="68">
        <v>85000</v>
      </c>
      <c r="W118" s="41">
        <v>10130032</v>
      </c>
      <c r="X118">
        <v>500</v>
      </c>
      <c r="AC118" s="183" t="s">
        <v>965</v>
      </c>
      <c r="AD118" s="177" t="s">
        <v>335</v>
      </c>
      <c r="AE118" s="177" t="s">
        <v>1135</v>
      </c>
      <c r="AF118" s="177" t="s">
        <v>692</v>
      </c>
      <c r="AG118" s="178">
        <v>110000</v>
      </c>
      <c r="AH118" s="179">
        <v>61152.467621523334</v>
      </c>
      <c r="AI118" s="180">
        <v>48847.532378476666</v>
      </c>
      <c r="AJ118" s="179">
        <v>51152.467621523334</v>
      </c>
      <c r="AK118" s="181">
        <v>10000</v>
      </c>
      <c r="AL118" s="184">
        <f t="shared" ref="AL118:AL181" si="6">AG118-AH118</f>
        <v>48847.532378476666</v>
      </c>
      <c r="AN118" s="177">
        <v>10140095</v>
      </c>
      <c r="AO118" s="177" t="s">
        <v>1134</v>
      </c>
      <c r="AP118" s="177" t="s">
        <v>692</v>
      </c>
      <c r="AQ118" s="178">
        <v>110000</v>
      </c>
      <c r="AR118" s="179">
        <v>0</v>
      </c>
      <c r="AS118" s="180">
        <v>95189</v>
      </c>
      <c r="AT118" s="179"/>
      <c r="AU118" s="179"/>
      <c r="AV118" s="184">
        <f t="shared" si="3"/>
        <v>20000</v>
      </c>
      <c r="AW118" s="188">
        <v>44824</v>
      </c>
    </row>
    <row r="119" spans="1:49" x14ac:dyDescent="0.25">
      <c r="A119" s="4">
        <v>10010043</v>
      </c>
      <c r="B119" s="219">
        <v>460</v>
      </c>
      <c r="D119" s="204"/>
      <c r="E119" s="71">
        <v>10110023</v>
      </c>
      <c r="F119" s="42">
        <v>6400</v>
      </c>
      <c r="H119" s="199"/>
      <c r="I119" s="71">
        <v>10630005</v>
      </c>
      <c r="J119" s="68">
        <v>85000</v>
      </c>
      <c r="W119" s="41">
        <v>10130034</v>
      </c>
      <c r="X119">
        <v>500</v>
      </c>
      <c r="AC119" s="182" t="s">
        <v>966</v>
      </c>
      <c r="AD119" s="172" t="s">
        <v>730</v>
      </c>
      <c r="AE119" s="172" t="s">
        <v>1135</v>
      </c>
      <c r="AF119" s="172" t="s">
        <v>692</v>
      </c>
      <c r="AG119" s="173">
        <v>64000</v>
      </c>
      <c r="AH119" s="174">
        <v>42492.082599999994</v>
      </c>
      <c r="AI119" s="175">
        <v>21507.917400000006</v>
      </c>
      <c r="AJ119" s="174">
        <v>32492.082599999998</v>
      </c>
      <c r="AK119" s="176">
        <v>10000</v>
      </c>
      <c r="AL119" s="184">
        <f t="shared" si="6"/>
        <v>21507.917400000006</v>
      </c>
      <c r="AN119" s="172">
        <v>10140094</v>
      </c>
      <c r="AO119" s="172" t="s">
        <v>1135</v>
      </c>
      <c r="AP119" s="172" t="s">
        <v>692</v>
      </c>
      <c r="AQ119" s="173">
        <v>110000</v>
      </c>
      <c r="AR119" s="174">
        <v>0</v>
      </c>
      <c r="AS119" s="175">
        <v>98949</v>
      </c>
      <c r="AT119" s="174"/>
      <c r="AU119" s="174">
        <v>10000</v>
      </c>
      <c r="AV119" s="184">
        <f t="shared" si="3"/>
        <v>10000</v>
      </c>
      <c r="AW119" s="187">
        <v>45520</v>
      </c>
    </row>
    <row r="120" spans="1:49" x14ac:dyDescent="0.25">
      <c r="A120" s="4">
        <v>10010052</v>
      </c>
      <c r="B120" s="219">
        <v>508</v>
      </c>
      <c r="D120" s="204"/>
      <c r="E120" s="71">
        <v>10110024</v>
      </c>
      <c r="F120" s="42">
        <v>2657.8339727615999</v>
      </c>
      <c r="H120" s="199"/>
      <c r="I120" s="71">
        <v>10630006</v>
      </c>
      <c r="J120" s="68">
        <v>85000</v>
      </c>
      <c r="W120" s="41">
        <v>10130048</v>
      </c>
      <c r="X120">
        <v>500</v>
      </c>
      <c r="AC120" s="183" t="s">
        <v>854</v>
      </c>
      <c r="AD120" s="177" t="s">
        <v>731</v>
      </c>
      <c r="AE120" s="177" t="s">
        <v>1135</v>
      </c>
      <c r="AF120" s="177" t="s">
        <v>692</v>
      </c>
      <c r="AG120" s="178">
        <v>64000</v>
      </c>
      <c r="AH120" s="179">
        <v>11118</v>
      </c>
      <c r="AI120" s="180">
        <v>52882</v>
      </c>
      <c r="AJ120" s="179">
        <v>1118</v>
      </c>
      <c r="AK120" s="181">
        <v>10000</v>
      </c>
      <c r="AL120" s="184">
        <f t="shared" si="6"/>
        <v>52882</v>
      </c>
      <c r="AN120" s="177">
        <v>10140048</v>
      </c>
      <c r="AO120" s="177" t="s">
        <v>1134</v>
      </c>
      <c r="AP120" s="177" t="s">
        <v>692</v>
      </c>
      <c r="AQ120" s="178">
        <v>110000</v>
      </c>
      <c r="AR120" s="179">
        <v>0</v>
      </c>
      <c r="AS120" s="180">
        <v>83290.069022970609</v>
      </c>
      <c r="AT120" s="179"/>
      <c r="AU120" s="179"/>
      <c r="AV120" s="184">
        <f t="shared" si="3"/>
        <v>20000</v>
      </c>
      <c r="AW120" s="188">
        <v>45520</v>
      </c>
    </row>
    <row r="121" spans="1:49" x14ac:dyDescent="0.25">
      <c r="A121" s="4">
        <v>10010054</v>
      </c>
      <c r="B121" s="219">
        <v>660</v>
      </c>
      <c r="D121" s="205"/>
      <c r="E121" s="71">
        <v>10480004</v>
      </c>
      <c r="F121" s="42">
        <v>6400</v>
      </c>
      <c r="H121" s="199"/>
      <c r="I121" s="71">
        <v>10630007</v>
      </c>
      <c r="J121" s="68">
        <v>85000</v>
      </c>
      <c r="W121" s="41">
        <v>10130053</v>
      </c>
      <c r="X121">
        <v>500</v>
      </c>
      <c r="AC121" s="182" t="s">
        <v>967</v>
      </c>
      <c r="AD121" s="172" t="s">
        <v>440</v>
      </c>
      <c r="AE121" s="172" t="s">
        <v>1135</v>
      </c>
      <c r="AF121" s="172" t="s">
        <v>692</v>
      </c>
      <c r="AG121" s="173">
        <v>110000</v>
      </c>
      <c r="AH121" s="174">
        <v>32394.793073517827</v>
      </c>
      <c r="AI121" s="175">
        <v>77605.206926482177</v>
      </c>
      <c r="AJ121" s="174">
        <v>22394.793073517827</v>
      </c>
      <c r="AK121" s="176">
        <v>10000</v>
      </c>
      <c r="AL121" s="184">
        <f t="shared" si="6"/>
        <v>77605.206926482177</v>
      </c>
      <c r="AN121" s="172">
        <v>10030016</v>
      </c>
      <c r="AO121" s="172" t="s">
        <v>1135</v>
      </c>
      <c r="AP121" s="172" t="s">
        <v>692</v>
      </c>
      <c r="AQ121" s="173">
        <v>110000</v>
      </c>
      <c r="AR121" s="174">
        <v>0</v>
      </c>
      <c r="AS121" s="175">
        <v>44173.003770421099</v>
      </c>
      <c r="AT121" s="174"/>
      <c r="AU121" s="174">
        <v>10000</v>
      </c>
      <c r="AV121" s="184">
        <f t="shared" si="3"/>
        <v>10000</v>
      </c>
      <c r="AW121" s="187">
        <v>44772</v>
      </c>
    </row>
    <row r="122" spans="1:49" x14ac:dyDescent="0.25">
      <c r="A122" s="4">
        <v>10010060</v>
      </c>
      <c r="B122" s="219">
        <v>408</v>
      </c>
      <c r="D122" s="205"/>
      <c r="E122" s="71">
        <v>10480005</v>
      </c>
      <c r="F122" s="42">
        <v>25993.087123998721</v>
      </c>
      <c r="H122" s="199"/>
      <c r="I122" s="71">
        <v>10630008</v>
      </c>
      <c r="J122" s="68">
        <v>85000</v>
      </c>
      <c r="W122" s="41">
        <v>10130055</v>
      </c>
      <c r="X122">
        <v>500</v>
      </c>
      <c r="AC122" s="183" t="s">
        <v>968</v>
      </c>
      <c r="AD122" s="177" t="s">
        <v>446</v>
      </c>
      <c r="AE122" s="177" t="s">
        <v>1135</v>
      </c>
      <c r="AF122" s="177" t="s">
        <v>692</v>
      </c>
      <c r="AG122" s="178">
        <v>110000</v>
      </c>
      <c r="AH122" s="179">
        <v>43955.765454453162</v>
      </c>
      <c r="AI122" s="180">
        <v>66044.234545546846</v>
      </c>
      <c r="AJ122" s="179">
        <v>33955.765454453162</v>
      </c>
      <c r="AK122" s="181">
        <v>10000</v>
      </c>
      <c r="AL122" s="184">
        <f t="shared" si="6"/>
        <v>66044.234545546846</v>
      </c>
      <c r="AN122" s="177">
        <v>10140078</v>
      </c>
      <c r="AO122" s="177" t="s">
        <v>1135</v>
      </c>
      <c r="AP122" s="177" t="s">
        <v>692</v>
      </c>
      <c r="AQ122" s="178">
        <v>110000</v>
      </c>
      <c r="AR122" s="179">
        <v>0</v>
      </c>
      <c r="AS122" s="180">
        <v>81785.638003422442</v>
      </c>
      <c r="AT122" s="179"/>
      <c r="AU122" s="179">
        <v>5000</v>
      </c>
      <c r="AV122" s="184">
        <f t="shared" si="3"/>
        <v>15000</v>
      </c>
      <c r="AW122" s="188">
        <v>44947</v>
      </c>
    </row>
    <row r="123" spans="1:49" x14ac:dyDescent="0.25">
      <c r="A123" s="4">
        <v>10010061</v>
      </c>
      <c r="B123" s="219">
        <v>408</v>
      </c>
      <c r="D123" s="205"/>
      <c r="E123" s="71">
        <v>10480006</v>
      </c>
      <c r="F123" s="42">
        <v>19200</v>
      </c>
      <c r="H123" s="199"/>
      <c r="I123" s="71">
        <v>10630009</v>
      </c>
      <c r="J123" s="68">
        <v>85000</v>
      </c>
      <c r="W123" s="41">
        <v>10140001</v>
      </c>
      <c r="X123">
        <v>500</v>
      </c>
      <c r="AC123" s="182" t="s">
        <v>854</v>
      </c>
      <c r="AD123" s="172" t="s">
        <v>732</v>
      </c>
      <c r="AE123" s="172" t="s">
        <v>1135</v>
      </c>
      <c r="AF123" s="172" t="s">
        <v>692</v>
      </c>
      <c r="AG123" s="173">
        <v>64000</v>
      </c>
      <c r="AH123" s="174">
        <v>13023</v>
      </c>
      <c r="AI123" s="175">
        <v>50977</v>
      </c>
      <c r="AJ123" s="174">
        <v>3023</v>
      </c>
      <c r="AK123" s="176">
        <v>10000</v>
      </c>
      <c r="AL123" s="184">
        <f t="shared" si="6"/>
        <v>50977</v>
      </c>
      <c r="AN123" s="172">
        <v>10100036</v>
      </c>
      <c r="AO123" s="172" t="s">
        <v>1134</v>
      </c>
      <c r="AP123" s="172" t="s">
        <v>692</v>
      </c>
      <c r="AQ123" s="173">
        <v>110000</v>
      </c>
      <c r="AR123" s="174">
        <v>0</v>
      </c>
      <c r="AS123" s="175">
        <v>97106.5702279088</v>
      </c>
      <c r="AT123" s="174"/>
      <c r="AU123" s="174"/>
      <c r="AV123" s="184">
        <f t="shared" si="3"/>
        <v>20000</v>
      </c>
      <c r="AW123" s="187"/>
    </row>
    <row r="124" spans="1:49" x14ac:dyDescent="0.25">
      <c r="A124" s="4">
        <v>10010062</v>
      </c>
      <c r="B124" s="219">
        <v>408</v>
      </c>
      <c r="D124" s="205"/>
      <c r="E124" s="71">
        <v>10480007</v>
      </c>
      <c r="F124" s="42">
        <v>6400</v>
      </c>
      <c r="H124" s="199"/>
      <c r="I124" s="71">
        <v>10570044</v>
      </c>
      <c r="J124" s="68">
        <v>85000</v>
      </c>
      <c r="W124" s="41">
        <v>10140006</v>
      </c>
      <c r="X124">
        <v>500</v>
      </c>
      <c r="AC124" s="183" t="s">
        <v>969</v>
      </c>
      <c r="AD124" s="177" t="s">
        <v>292</v>
      </c>
      <c r="AE124" s="177" t="s">
        <v>1135</v>
      </c>
      <c r="AF124" s="177" t="s">
        <v>692</v>
      </c>
      <c r="AG124" s="178">
        <v>110000</v>
      </c>
      <c r="AH124" s="179">
        <v>87555.572207406731</v>
      </c>
      <c r="AI124" s="180">
        <v>22444.427792593269</v>
      </c>
      <c r="AJ124" s="179">
        <v>77555.572207406731</v>
      </c>
      <c r="AK124" s="181">
        <v>10000</v>
      </c>
      <c r="AL124" s="184">
        <f t="shared" si="6"/>
        <v>22444.427792593269</v>
      </c>
      <c r="AN124" s="172">
        <v>10080084</v>
      </c>
      <c r="AO124" s="172" t="s">
        <v>1135</v>
      </c>
      <c r="AP124" s="172" t="s">
        <v>692</v>
      </c>
      <c r="AQ124" s="173">
        <v>110000</v>
      </c>
      <c r="AR124" s="174">
        <v>0</v>
      </c>
      <c r="AS124" s="175">
        <v>92898.085376810355</v>
      </c>
      <c r="AT124" s="174"/>
      <c r="AU124" s="174">
        <v>15000</v>
      </c>
      <c r="AV124" s="184">
        <f t="shared" si="3"/>
        <v>5000</v>
      </c>
      <c r="AW124" s="188">
        <v>44631</v>
      </c>
    </row>
    <row r="125" spans="1:49" x14ac:dyDescent="0.25">
      <c r="A125" s="4">
        <v>10010063</v>
      </c>
      <c r="B125" s="219">
        <v>408</v>
      </c>
      <c r="D125" s="205"/>
      <c r="E125" s="71">
        <v>10480008</v>
      </c>
      <c r="F125" s="42">
        <v>15638.113473057279</v>
      </c>
      <c r="H125" s="199"/>
      <c r="I125" s="71">
        <v>10570045</v>
      </c>
      <c r="J125" s="68">
        <v>85000</v>
      </c>
      <c r="W125" s="41">
        <v>10140010</v>
      </c>
      <c r="X125">
        <v>500</v>
      </c>
      <c r="AC125" s="182" t="s">
        <v>970</v>
      </c>
      <c r="AD125" s="172" t="s">
        <v>116</v>
      </c>
      <c r="AE125" s="172" t="s">
        <v>1135</v>
      </c>
      <c r="AF125" s="172" t="s">
        <v>692</v>
      </c>
      <c r="AG125" s="173">
        <v>110000</v>
      </c>
      <c r="AH125" s="174">
        <v>48193.087281816799</v>
      </c>
      <c r="AI125" s="175">
        <v>61806.912718183201</v>
      </c>
      <c r="AJ125" s="174">
        <v>38193.087281816799</v>
      </c>
      <c r="AK125" s="176">
        <v>10000</v>
      </c>
      <c r="AL125" s="184">
        <f t="shared" si="6"/>
        <v>61806.912718183201</v>
      </c>
      <c r="AN125" s="177">
        <v>10130055</v>
      </c>
      <c r="AO125" s="177" t="s">
        <v>1135</v>
      </c>
      <c r="AP125" s="177" t="s">
        <v>692</v>
      </c>
      <c r="AQ125" s="178">
        <v>110000</v>
      </c>
      <c r="AR125" s="179">
        <v>0</v>
      </c>
      <c r="AS125" s="180">
        <v>83114</v>
      </c>
      <c r="AT125" s="179"/>
      <c r="AU125" s="179">
        <v>10000</v>
      </c>
      <c r="AV125" s="184">
        <f t="shared" si="3"/>
        <v>10000</v>
      </c>
      <c r="AW125" s="187">
        <v>44631</v>
      </c>
    </row>
    <row r="126" spans="1:49" x14ac:dyDescent="0.25">
      <c r="A126" s="4">
        <v>10010064</v>
      </c>
      <c r="B126" s="219">
        <v>560</v>
      </c>
      <c r="D126" s="205"/>
      <c r="E126" s="71">
        <v>10110026</v>
      </c>
      <c r="F126" s="42">
        <v>6400</v>
      </c>
      <c r="H126" s="199"/>
      <c r="I126" s="71">
        <v>10610010</v>
      </c>
      <c r="J126" s="68">
        <v>74216</v>
      </c>
      <c r="W126" s="41">
        <v>10140020</v>
      </c>
      <c r="X126">
        <v>500</v>
      </c>
      <c r="AC126" s="183" t="s">
        <v>971</v>
      </c>
      <c r="AD126" s="177" t="s">
        <v>733</v>
      </c>
      <c r="AE126" s="177" t="s">
        <v>1135</v>
      </c>
      <c r="AF126" s="177" t="s">
        <v>692</v>
      </c>
      <c r="AG126" s="178">
        <v>110000</v>
      </c>
      <c r="AH126" s="179">
        <v>48961.935967015685</v>
      </c>
      <c r="AI126" s="180">
        <v>61038.064032984315</v>
      </c>
      <c r="AJ126" s="179">
        <v>38961.935967015685</v>
      </c>
      <c r="AK126" s="181">
        <v>10000</v>
      </c>
      <c r="AL126" s="184">
        <f t="shared" si="6"/>
        <v>61038.064032984315</v>
      </c>
      <c r="AN126" s="172">
        <v>10120042</v>
      </c>
      <c r="AO126" s="172" t="s">
        <v>1135</v>
      </c>
      <c r="AP126" s="172" t="s">
        <v>692</v>
      </c>
      <c r="AQ126" s="173">
        <v>110000</v>
      </c>
      <c r="AR126" s="174">
        <v>0</v>
      </c>
      <c r="AS126" s="175">
        <v>76384</v>
      </c>
      <c r="AT126" s="174"/>
      <c r="AU126" s="174">
        <v>5000</v>
      </c>
      <c r="AV126" s="184">
        <f t="shared" si="3"/>
        <v>15000</v>
      </c>
      <c r="AW126" s="188">
        <v>44631</v>
      </c>
    </row>
    <row r="127" spans="1:49" x14ac:dyDescent="0.25">
      <c r="A127" s="4">
        <v>10010068</v>
      </c>
      <c r="B127" s="219">
        <v>460</v>
      </c>
      <c r="D127" s="206"/>
      <c r="E127" s="71">
        <v>10120028</v>
      </c>
      <c r="F127" s="42">
        <v>12758</v>
      </c>
      <c r="H127" s="199"/>
      <c r="I127" s="71">
        <v>10130117</v>
      </c>
      <c r="J127" s="68">
        <v>75000</v>
      </c>
      <c r="W127" s="41">
        <v>10140022</v>
      </c>
      <c r="X127">
        <v>500</v>
      </c>
      <c r="AC127" s="182" t="s">
        <v>972</v>
      </c>
      <c r="AD127" s="172" t="s">
        <v>121</v>
      </c>
      <c r="AE127" s="172" t="s">
        <v>1135</v>
      </c>
      <c r="AF127" s="172" t="s">
        <v>692</v>
      </c>
      <c r="AG127" s="173">
        <v>110000</v>
      </c>
      <c r="AH127" s="174">
        <v>58520.673600000002</v>
      </c>
      <c r="AI127" s="175">
        <v>51479.326399999998</v>
      </c>
      <c r="AJ127" s="174">
        <v>48520.673600000002</v>
      </c>
      <c r="AK127" s="176">
        <v>10000</v>
      </c>
      <c r="AL127" s="184">
        <f t="shared" si="6"/>
        <v>51479.326399999998</v>
      </c>
      <c r="AN127" s="177">
        <v>10120043</v>
      </c>
      <c r="AO127" s="177" t="s">
        <v>1135</v>
      </c>
      <c r="AP127" s="177" t="s">
        <v>692</v>
      </c>
      <c r="AQ127" s="178">
        <v>110000</v>
      </c>
      <c r="AR127" s="179">
        <v>0</v>
      </c>
      <c r="AS127" s="180">
        <v>70975.160600000003</v>
      </c>
      <c r="AT127" s="179"/>
      <c r="AU127" s="179">
        <v>10000</v>
      </c>
      <c r="AV127" s="184">
        <f t="shared" si="3"/>
        <v>10000</v>
      </c>
      <c r="AW127" s="187">
        <v>44631</v>
      </c>
    </row>
    <row r="128" spans="1:49" x14ac:dyDescent="0.25">
      <c r="A128" s="4">
        <v>10020022</v>
      </c>
      <c r="B128" s="219">
        <v>2029.6399999999999</v>
      </c>
      <c r="D128" s="206"/>
      <c r="E128" s="71">
        <v>10120029</v>
      </c>
      <c r="F128" s="42">
        <v>13773.207146635201</v>
      </c>
      <c r="H128" s="199"/>
      <c r="I128" s="71">
        <v>10530105</v>
      </c>
      <c r="J128" s="68">
        <v>65000</v>
      </c>
      <c r="W128" s="41">
        <v>10140027</v>
      </c>
      <c r="X128">
        <v>500</v>
      </c>
      <c r="AC128" s="183" t="s">
        <v>973</v>
      </c>
      <c r="AD128" s="177" t="s">
        <v>734</v>
      </c>
      <c r="AE128" s="177" t="s">
        <v>1134</v>
      </c>
      <c r="AF128" s="177" t="s">
        <v>692</v>
      </c>
      <c r="AG128" s="178">
        <v>110000</v>
      </c>
      <c r="AH128" s="179">
        <v>59472.98698197247</v>
      </c>
      <c r="AI128" s="180">
        <v>50527.01301802753</v>
      </c>
      <c r="AJ128" s="179">
        <v>59472.98698197247</v>
      </c>
      <c r="AK128" s="176">
        <v>0</v>
      </c>
      <c r="AL128" s="184">
        <f t="shared" si="6"/>
        <v>50527.01301802753</v>
      </c>
      <c r="AN128" s="172">
        <v>10120044</v>
      </c>
      <c r="AO128" s="172" t="s">
        <v>1135</v>
      </c>
      <c r="AP128" s="172" t="s">
        <v>692</v>
      </c>
      <c r="AQ128" s="173">
        <v>110000</v>
      </c>
      <c r="AR128" s="174">
        <v>0</v>
      </c>
      <c r="AS128" s="175">
        <v>90372.556400000001</v>
      </c>
      <c r="AT128" s="174"/>
      <c r="AU128" s="174">
        <v>10000</v>
      </c>
      <c r="AV128" s="184">
        <f t="shared" si="3"/>
        <v>10000</v>
      </c>
      <c r="AW128" s="188">
        <v>45007</v>
      </c>
    </row>
    <row r="129" spans="1:49" x14ac:dyDescent="0.25">
      <c r="A129" s="4">
        <v>10030036</v>
      </c>
      <c r="B129" s="219">
        <v>1276</v>
      </c>
      <c r="D129" s="206"/>
      <c r="E129" s="71">
        <v>10120030</v>
      </c>
      <c r="F129" s="42">
        <v>15002.6684822721</v>
      </c>
      <c r="H129" s="199"/>
      <c r="I129" s="71">
        <v>10530106</v>
      </c>
      <c r="J129" s="68">
        <v>65000</v>
      </c>
      <c r="W129" s="41">
        <v>10140030</v>
      </c>
      <c r="X129">
        <v>500</v>
      </c>
      <c r="AC129" s="182" t="s">
        <v>974</v>
      </c>
      <c r="AD129" s="172" t="s">
        <v>735</v>
      </c>
      <c r="AE129" s="172" t="s">
        <v>1135</v>
      </c>
      <c r="AF129" s="172" t="s">
        <v>692</v>
      </c>
      <c r="AG129" s="173">
        <v>110000</v>
      </c>
      <c r="AH129" s="174">
        <v>51298.227800000001</v>
      </c>
      <c r="AI129" s="175">
        <v>58701.772199999999</v>
      </c>
      <c r="AJ129" s="174">
        <v>41298.227800000001</v>
      </c>
      <c r="AK129" s="176">
        <v>10000</v>
      </c>
      <c r="AL129" s="184">
        <f t="shared" si="6"/>
        <v>58701.772199999999</v>
      </c>
      <c r="AN129" s="177">
        <v>10120045</v>
      </c>
      <c r="AO129" s="177" t="s">
        <v>1135</v>
      </c>
      <c r="AP129" s="177" t="s">
        <v>692</v>
      </c>
      <c r="AQ129" s="178">
        <v>110000</v>
      </c>
      <c r="AR129" s="179">
        <v>0</v>
      </c>
      <c r="AS129" s="180">
        <v>100000</v>
      </c>
      <c r="AT129" s="179"/>
      <c r="AU129" s="179">
        <v>10000</v>
      </c>
      <c r="AV129" s="184">
        <f t="shared" si="3"/>
        <v>10000</v>
      </c>
      <c r="AW129" s="187"/>
    </row>
    <row r="130" spans="1:49" x14ac:dyDescent="0.25">
      <c r="A130" s="4">
        <v>10030052</v>
      </c>
      <c r="B130" s="219">
        <v>1276</v>
      </c>
      <c r="D130" s="206"/>
      <c r="E130" s="71">
        <v>10130019</v>
      </c>
      <c r="F130" s="42">
        <v>6400</v>
      </c>
      <c r="H130" s="199"/>
      <c r="I130" s="71">
        <v>10560027</v>
      </c>
      <c r="J130" s="68">
        <v>65000</v>
      </c>
      <c r="W130" s="41">
        <v>10140035</v>
      </c>
      <c r="X130">
        <v>500</v>
      </c>
      <c r="AC130" s="183" t="s">
        <v>975</v>
      </c>
      <c r="AD130" s="177" t="s">
        <v>736</v>
      </c>
      <c r="AE130" s="177" t="s">
        <v>1135</v>
      </c>
      <c r="AF130" s="177" t="s">
        <v>692</v>
      </c>
      <c r="AG130" s="178">
        <v>110000</v>
      </c>
      <c r="AH130" s="179">
        <v>37917.762199999997</v>
      </c>
      <c r="AI130" s="180">
        <v>72082.237800000003</v>
      </c>
      <c r="AJ130" s="179">
        <v>27917.762199999997</v>
      </c>
      <c r="AK130" s="181">
        <v>10000</v>
      </c>
      <c r="AL130" s="184">
        <f t="shared" si="6"/>
        <v>72082.237800000003</v>
      </c>
      <c r="AN130" s="177">
        <v>10060114</v>
      </c>
      <c r="AO130" s="177" t="s">
        <v>1135</v>
      </c>
      <c r="AP130" s="177" t="s">
        <v>692</v>
      </c>
      <c r="AQ130" s="178">
        <v>110000</v>
      </c>
      <c r="AR130" s="179">
        <v>0</v>
      </c>
      <c r="AS130" s="180">
        <v>94784</v>
      </c>
      <c r="AT130" s="179"/>
      <c r="AU130" s="179">
        <v>14000</v>
      </c>
      <c r="AV130" s="184">
        <f t="shared" si="3"/>
        <v>6000</v>
      </c>
      <c r="AW130" s="188"/>
    </row>
    <row r="131" spans="1:49" x14ac:dyDescent="0.25">
      <c r="A131" s="4">
        <v>10060057</v>
      </c>
      <c r="B131" s="219">
        <v>2608</v>
      </c>
      <c r="D131" s="206"/>
      <c r="E131" s="71">
        <v>10140023</v>
      </c>
      <c r="F131" s="42">
        <v>19200</v>
      </c>
      <c r="H131" s="199"/>
      <c r="I131" s="71">
        <v>10560028</v>
      </c>
      <c r="J131" s="68">
        <v>75000</v>
      </c>
      <c r="W131" s="41">
        <v>10140037</v>
      </c>
      <c r="X131">
        <v>500</v>
      </c>
      <c r="AC131" s="182" t="s">
        <v>976</v>
      </c>
      <c r="AD131" s="172" t="s">
        <v>737</v>
      </c>
      <c r="AE131" s="172" t="s">
        <v>1134</v>
      </c>
      <c r="AF131" s="172" t="s">
        <v>692</v>
      </c>
      <c r="AG131" s="173">
        <v>110000</v>
      </c>
      <c r="AH131" s="174">
        <v>79460.976497996802</v>
      </c>
      <c r="AI131" s="175">
        <v>30539.023502003198</v>
      </c>
      <c r="AJ131" s="174">
        <v>54460.976497996802</v>
      </c>
      <c r="AK131" s="176">
        <v>0</v>
      </c>
      <c r="AL131" s="184">
        <f t="shared" si="6"/>
        <v>30539.023502003198</v>
      </c>
      <c r="AN131" s="172">
        <v>10090066</v>
      </c>
      <c r="AO131" s="172" t="s">
        <v>1135</v>
      </c>
      <c r="AP131" s="172" t="s">
        <v>692</v>
      </c>
      <c r="AQ131" s="173">
        <v>110000</v>
      </c>
      <c r="AR131" s="174">
        <v>0</v>
      </c>
      <c r="AS131" s="175">
        <v>100000</v>
      </c>
      <c r="AT131" s="174"/>
      <c r="AU131" s="174">
        <v>10000</v>
      </c>
      <c r="AV131" s="184">
        <f t="shared" si="3"/>
        <v>10000</v>
      </c>
      <c r="AW131" s="187">
        <v>44810</v>
      </c>
    </row>
    <row r="132" spans="1:49" x14ac:dyDescent="0.25">
      <c r="A132" s="4">
        <v>10060064</v>
      </c>
      <c r="B132" s="219">
        <v>981.28</v>
      </c>
      <c r="D132" s="206"/>
      <c r="E132" s="71">
        <v>10140024</v>
      </c>
      <c r="F132" s="42">
        <v>3714.904681280168</v>
      </c>
      <c r="H132" s="199"/>
      <c r="I132" s="71">
        <v>10080120</v>
      </c>
      <c r="J132" s="68">
        <v>65000</v>
      </c>
      <c r="W132" s="41">
        <v>10140038</v>
      </c>
      <c r="X132">
        <v>500</v>
      </c>
      <c r="AC132" s="183" t="s">
        <v>977</v>
      </c>
      <c r="AD132" s="177" t="s">
        <v>738</v>
      </c>
      <c r="AE132" s="177" t="s">
        <v>1135</v>
      </c>
      <c r="AF132" s="177" t="s">
        <v>692</v>
      </c>
      <c r="AG132" s="178">
        <v>110000</v>
      </c>
      <c r="AH132" s="179">
        <v>75482.336791268739</v>
      </c>
      <c r="AI132" s="180">
        <v>34517.663208731261</v>
      </c>
      <c r="AJ132" s="179">
        <v>65482.336791268739</v>
      </c>
      <c r="AK132" s="181">
        <v>10000</v>
      </c>
      <c r="AL132" s="184">
        <f t="shared" si="6"/>
        <v>34517.663208731261</v>
      </c>
      <c r="AN132" s="177">
        <v>10090067</v>
      </c>
      <c r="AO132" s="177" t="s">
        <v>1134</v>
      </c>
      <c r="AP132" s="177" t="s">
        <v>692</v>
      </c>
      <c r="AQ132" s="178">
        <v>110000</v>
      </c>
      <c r="AR132" s="179">
        <v>0</v>
      </c>
      <c r="AS132" s="180">
        <v>110000</v>
      </c>
      <c r="AT132" s="179"/>
      <c r="AU132" s="179"/>
      <c r="AV132" s="184">
        <f t="shared" ref="AV132:AV133" si="7">20000-AU132-AR132</f>
        <v>20000</v>
      </c>
      <c r="AW132" s="188"/>
    </row>
    <row r="133" spans="1:49" x14ac:dyDescent="0.25">
      <c r="A133" s="4">
        <v>10070014</v>
      </c>
      <c r="B133" s="219">
        <v>1108</v>
      </c>
      <c r="D133" s="206"/>
      <c r="E133" s="71">
        <v>10140029</v>
      </c>
      <c r="F133" s="42">
        <v>22400</v>
      </c>
      <c r="H133" s="199"/>
      <c r="I133" s="71">
        <v>10080121</v>
      </c>
      <c r="J133" s="68">
        <v>65000</v>
      </c>
      <c r="W133" s="41">
        <v>10140043</v>
      </c>
      <c r="X133">
        <v>500</v>
      </c>
      <c r="AC133" s="182" t="s">
        <v>978</v>
      </c>
      <c r="AD133" s="172" t="s">
        <v>739</v>
      </c>
      <c r="AE133" s="172" t="s">
        <v>1135</v>
      </c>
      <c r="AF133" s="172" t="s">
        <v>692</v>
      </c>
      <c r="AG133" s="173">
        <v>110000</v>
      </c>
      <c r="AH133" s="174">
        <v>48084.845638791303</v>
      </c>
      <c r="AI133" s="175">
        <v>61915.154361208697</v>
      </c>
      <c r="AJ133" s="174">
        <v>38084.845638791303</v>
      </c>
      <c r="AK133" s="176">
        <v>10000</v>
      </c>
      <c r="AL133" s="184">
        <f t="shared" si="6"/>
        <v>61915.154361208697</v>
      </c>
      <c r="AN133" s="172">
        <v>10100050</v>
      </c>
      <c r="AO133" s="172" t="s">
        <v>1134</v>
      </c>
      <c r="AP133" s="172" t="s">
        <v>692</v>
      </c>
      <c r="AQ133" s="173">
        <v>110000</v>
      </c>
      <c r="AR133" s="174">
        <v>0</v>
      </c>
      <c r="AS133" s="175">
        <v>102882</v>
      </c>
      <c r="AT133" s="174"/>
      <c r="AU133" s="174"/>
      <c r="AV133" s="184">
        <f t="shared" si="7"/>
        <v>20000</v>
      </c>
      <c r="AW133" s="187"/>
    </row>
    <row r="134" spans="1:49" x14ac:dyDescent="0.25">
      <c r="A134" s="4">
        <v>10070015</v>
      </c>
      <c r="B134" s="219">
        <v>3730</v>
      </c>
      <c r="D134" s="206"/>
      <c r="E134" s="71">
        <v>10140030</v>
      </c>
      <c r="F134" s="42">
        <v>16861.156137869642</v>
      </c>
      <c r="H134" s="199"/>
      <c r="I134" s="71">
        <v>10080122</v>
      </c>
      <c r="J134" s="68">
        <v>70000</v>
      </c>
      <c r="W134" s="41">
        <v>10140050</v>
      </c>
      <c r="X134">
        <v>500</v>
      </c>
      <c r="AC134" s="183" t="s">
        <v>979</v>
      </c>
      <c r="AD134" s="177" t="s">
        <v>740</v>
      </c>
      <c r="AE134" s="177" t="s">
        <v>1135</v>
      </c>
      <c r="AF134" s="177" t="s">
        <v>692</v>
      </c>
      <c r="AG134" s="178">
        <v>110000</v>
      </c>
      <c r="AH134" s="179">
        <v>41805.37863421411</v>
      </c>
      <c r="AI134" s="180">
        <v>68194.62136578589</v>
      </c>
      <c r="AJ134" s="179">
        <v>31805.378634214114</v>
      </c>
      <c r="AK134" s="181">
        <v>10000</v>
      </c>
      <c r="AL134" s="184">
        <f t="shared" si="6"/>
        <v>68194.62136578589</v>
      </c>
      <c r="AN134" s="177"/>
      <c r="AO134" s="177"/>
      <c r="AP134" s="177"/>
      <c r="AQ134" s="178"/>
      <c r="AR134" s="179"/>
      <c r="AS134" s="180"/>
      <c r="AT134" s="179"/>
      <c r="AU134" s="179"/>
      <c r="AV134" s="184"/>
      <c r="AW134" s="188"/>
    </row>
    <row r="135" spans="1:49" x14ac:dyDescent="0.25">
      <c r="A135" s="4">
        <v>10070028</v>
      </c>
      <c r="B135" s="219">
        <v>104</v>
      </c>
      <c r="D135" s="206"/>
      <c r="E135" s="71">
        <v>10140034</v>
      </c>
      <c r="F135" s="42">
        <v>12800</v>
      </c>
      <c r="H135" s="199"/>
      <c r="I135" s="71">
        <v>10080123</v>
      </c>
      <c r="J135" s="68">
        <v>65000</v>
      </c>
      <c r="W135" s="41">
        <v>10140053</v>
      </c>
      <c r="X135">
        <v>500</v>
      </c>
      <c r="AC135" s="182" t="s">
        <v>980</v>
      </c>
      <c r="AD135" s="172" t="s">
        <v>386</v>
      </c>
      <c r="AE135" s="172" t="s">
        <v>1135</v>
      </c>
      <c r="AF135" s="172" t="s">
        <v>692</v>
      </c>
      <c r="AG135" s="173">
        <v>110000</v>
      </c>
      <c r="AH135" s="174">
        <v>79912.978433694254</v>
      </c>
      <c r="AI135" s="175">
        <v>30087.021566305746</v>
      </c>
      <c r="AJ135" s="174">
        <v>69912.978433694254</v>
      </c>
      <c r="AK135" s="176">
        <v>10000</v>
      </c>
      <c r="AL135" s="184">
        <f t="shared" si="6"/>
        <v>30087.021566305746</v>
      </c>
      <c r="AN135" s="172"/>
      <c r="AO135" s="172"/>
      <c r="AP135" s="172"/>
      <c r="AQ135" s="173"/>
      <c r="AR135" s="174"/>
      <c r="AS135" s="175"/>
      <c r="AT135" s="174"/>
      <c r="AU135" s="174"/>
      <c r="AV135" s="184"/>
      <c r="AW135" s="187">
        <v>44810</v>
      </c>
    </row>
    <row r="136" spans="1:49" x14ac:dyDescent="0.25">
      <c r="A136" s="4">
        <v>10070032</v>
      </c>
      <c r="B136" s="219">
        <v>2100</v>
      </c>
      <c r="D136" s="206"/>
      <c r="E136" s="71">
        <v>10140032</v>
      </c>
      <c r="F136" s="42">
        <v>22400</v>
      </c>
      <c r="H136" s="199"/>
      <c r="I136" s="71">
        <v>10110181</v>
      </c>
      <c r="J136" s="68">
        <v>75000</v>
      </c>
      <c r="W136" s="41">
        <v>10140058</v>
      </c>
      <c r="X136">
        <v>500</v>
      </c>
      <c r="AC136" s="183" t="s">
        <v>981</v>
      </c>
      <c r="AD136" s="177" t="s">
        <v>387</v>
      </c>
      <c r="AE136" s="177" t="s">
        <v>1135</v>
      </c>
      <c r="AF136" s="177" t="s">
        <v>692</v>
      </c>
      <c r="AG136" s="178">
        <v>110000</v>
      </c>
      <c r="AH136" s="179">
        <v>75230.785702375942</v>
      </c>
      <c r="AI136" s="180">
        <v>34769.214297624058</v>
      </c>
      <c r="AJ136" s="179">
        <v>65230.785702375942</v>
      </c>
      <c r="AK136" s="181">
        <v>10000</v>
      </c>
      <c r="AL136" s="184">
        <f t="shared" si="6"/>
        <v>34769.214297624058</v>
      </c>
      <c r="AN136" s="177"/>
      <c r="AO136" s="177"/>
      <c r="AP136" s="177"/>
      <c r="AQ136" s="178"/>
      <c r="AR136" s="179"/>
      <c r="AS136" s="180"/>
      <c r="AT136" s="179"/>
      <c r="AU136" s="179"/>
      <c r="AV136" s="184"/>
      <c r="AW136" s="188">
        <v>44810</v>
      </c>
    </row>
    <row r="137" spans="1:49" x14ac:dyDescent="0.25">
      <c r="A137" s="4">
        <v>10070034</v>
      </c>
      <c r="B137" s="219">
        <v>104</v>
      </c>
      <c r="D137" s="206"/>
      <c r="E137" s="71">
        <v>10140033</v>
      </c>
      <c r="F137" s="42">
        <v>11222.663</v>
      </c>
      <c r="H137" s="199"/>
      <c r="I137" s="71">
        <v>10550005</v>
      </c>
      <c r="J137" s="68">
        <v>75000</v>
      </c>
      <c r="W137" s="41">
        <v>10140061</v>
      </c>
      <c r="X137">
        <v>500</v>
      </c>
      <c r="AC137" s="182" t="s">
        <v>982</v>
      </c>
      <c r="AD137" s="172" t="s">
        <v>741</v>
      </c>
      <c r="AE137" s="172" t="s">
        <v>1135</v>
      </c>
      <c r="AF137" s="172" t="s">
        <v>692</v>
      </c>
      <c r="AG137" s="173">
        <v>110000</v>
      </c>
      <c r="AH137" s="174">
        <v>62097</v>
      </c>
      <c r="AI137" s="175">
        <v>47903</v>
      </c>
      <c r="AJ137" s="174">
        <v>47097</v>
      </c>
      <c r="AK137" s="176">
        <v>15000</v>
      </c>
      <c r="AL137" s="184">
        <f t="shared" si="6"/>
        <v>47903</v>
      </c>
      <c r="AN137" s="172"/>
      <c r="AO137" s="172"/>
      <c r="AP137" s="172"/>
      <c r="AQ137" s="173"/>
      <c r="AR137" s="174"/>
      <c r="AS137" s="175"/>
      <c r="AT137" s="174"/>
      <c r="AU137" s="174"/>
      <c r="AV137" s="184"/>
      <c r="AW137" s="187">
        <v>44979</v>
      </c>
    </row>
    <row r="138" spans="1:49" x14ac:dyDescent="0.25">
      <c r="A138" s="4">
        <v>10070036</v>
      </c>
      <c r="B138" s="219">
        <v>1295</v>
      </c>
      <c r="D138" s="206"/>
      <c r="E138" s="71">
        <v>10140036</v>
      </c>
      <c r="F138" s="42">
        <v>9600</v>
      </c>
      <c r="H138" s="199"/>
      <c r="I138" s="71">
        <v>10560029</v>
      </c>
      <c r="J138" s="68">
        <v>75000</v>
      </c>
      <c r="W138" s="41">
        <v>10140067</v>
      </c>
      <c r="X138">
        <v>500</v>
      </c>
      <c r="AC138" s="183" t="s">
        <v>983</v>
      </c>
      <c r="AD138" s="177" t="s">
        <v>742</v>
      </c>
      <c r="AE138" s="177" t="s">
        <v>1135</v>
      </c>
      <c r="AF138" s="177" t="s">
        <v>692</v>
      </c>
      <c r="AG138" s="178">
        <v>110000</v>
      </c>
      <c r="AH138" s="179">
        <v>96700.751983312381</v>
      </c>
      <c r="AI138" s="180">
        <v>13299.248016687619</v>
      </c>
      <c r="AJ138" s="179">
        <v>81700.751983312381</v>
      </c>
      <c r="AK138" s="181">
        <v>15000</v>
      </c>
      <c r="AL138" s="184">
        <f t="shared" si="6"/>
        <v>13299.248016687619</v>
      </c>
      <c r="AN138" s="177"/>
      <c r="AO138" s="177"/>
      <c r="AP138" s="177"/>
      <c r="AQ138" s="178"/>
      <c r="AR138" s="179"/>
      <c r="AS138" s="180"/>
      <c r="AT138" s="179"/>
      <c r="AU138" s="179"/>
      <c r="AV138" s="184"/>
      <c r="AW138" s="188">
        <v>44979</v>
      </c>
    </row>
    <row r="139" spans="1:49" x14ac:dyDescent="0.25">
      <c r="A139" s="4">
        <v>10070038</v>
      </c>
      <c r="B139" s="219">
        <v>104</v>
      </c>
      <c r="D139" s="206"/>
      <c r="E139" s="71">
        <v>10120038</v>
      </c>
      <c r="F139" s="42">
        <v>6400</v>
      </c>
      <c r="H139" s="199"/>
      <c r="I139" s="71">
        <v>10560030</v>
      </c>
      <c r="J139" s="68">
        <v>80000</v>
      </c>
      <c r="W139" s="41">
        <v>10140086</v>
      </c>
      <c r="X139">
        <v>500</v>
      </c>
      <c r="AC139" s="182" t="s">
        <v>984</v>
      </c>
      <c r="AD139" s="172" t="s">
        <v>743</v>
      </c>
      <c r="AE139" s="172" t="s">
        <v>1135</v>
      </c>
      <c r="AF139" s="172" t="s">
        <v>692</v>
      </c>
      <c r="AG139" s="173">
        <v>110000</v>
      </c>
      <c r="AH139" s="174">
        <v>45749.527199999997</v>
      </c>
      <c r="AI139" s="175">
        <v>64250.472800000003</v>
      </c>
      <c r="AJ139" s="174">
        <v>35749.527199999997</v>
      </c>
      <c r="AK139" s="176">
        <v>10000</v>
      </c>
      <c r="AL139" s="184">
        <f t="shared" si="6"/>
        <v>64250.472800000003</v>
      </c>
      <c r="AN139" s="172"/>
      <c r="AO139" s="172"/>
      <c r="AP139" s="172"/>
      <c r="AQ139" s="173"/>
      <c r="AR139" s="174"/>
      <c r="AS139" s="175"/>
      <c r="AT139" s="174"/>
      <c r="AU139" s="174"/>
      <c r="AV139" s="184"/>
      <c r="AW139" s="187">
        <v>44970</v>
      </c>
    </row>
    <row r="140" spans="1:49" x14ac:dyDescent="0.25">
      <c r="A140" s="4">
        <v>10080026</v>
      </c>
      <c r="B140" s="219">
        <v>408</v>
      </c>
      <c r="D140" s="206"/>
      <c r="E140" s="71">
        <v>10120036</v>
      </c>
      <c r="F140" s="42">
        <v>6400</v>
      </c>
      <c r="H140" s="199"/>
      <c r="I140" s="71">
        <v>10560031</v>
      </c>
      <c r="J140" s="68">
        <v>75000</v>
      </c>
      <c r="W140" s="41">
        <v>10140095</v>
      </c>
      <c r="X140">
        <v>500</v>
      </c>
      <c r="AC140" s="183" t="s">
        <v>985</v>
      </c>
      <c r="AD140" s="177" t="s">
        <v>744</v>
      </c>
      <c r="AE140" s="177" t="s">
        <v>1135</v>
      </c>
      <c r="AF140" s="177" t="s">
        <v>692</v>
      </c>
      <c r="AG140" s="178">
        <v>110000</v>
      </c>
      <c r="AH140" s="179">
        <v>6127</v>
      </c>
      <c r="AI140" s="180">
        <v>103873</v>
      </c>
      <c r="AJ140" s="179">
        <v>1127</v>
      </c>
      <c r="AK140" s="181">
        <v>5000</v>
      </c>
      <c r="AL140" s="184">
        <f t="shared" si="6"/>
        <v>103873</v>
      </c>
      <c r="AN140" s="177"/>
      <c r="AO140" s="177"/>
      <c r="AP140" s="177"/>
      <c r="AQ140" s="178"/>
      <c r="AR140" s="179"/>
      <c r="AS140" s="180"/>
      <c r="AT140" s="179"/>
      <c r="AU140" s="179"/>
      <c r="AV140" s="184"/>
      <c r="AW140" s="188"/>
    </row>
    <row r="141" spans="1:49" x14ac:dyDescent="0.25">
      <c r="A141" s="4">
        <v>10080029</v>
      </c>
      <c r="B141" s="219">
        <v>256</v>
      </c>
      <c r="D141" s="206"/>
      <c r="E141" s="71">
        <v>10140038</v>
      </c>
      <c r="F141" s="42">
        <v>10695.531363288643</v>
      </c>
      <c r="H141" s="199"/>
      <c r="I141" s="71">
        <v>10100061</v>
      </c>
      <c r="J141" s="68">
        <v>75000</v>
      </c>
      <c r="W141" s="41">
        <v>10140099</v>
      </c>
      <c r="X141">
        <v>500</v>
      </c>
      <c r="AC141" s="182" t="s">
        <v>986</v>
      </c>
      <c r="AD141" s="172" t="s">
        <v>511</v>
      </c>
      <c r="AE141" s="172" t="s">
        <v>1135</v>
      </c>
      <c r="AF141" s="172" t="s">
        <v>692</v>
      </c>
      <c r="AG141" s="173">
        <v>110000</v>
      </c>
      <c r="AH141" s="174">
        <v>74149.018055871071</v>
      </c>
      <c r="AI141" s="175">
        <v>35850.981944128929</v>
      </c>
      <c r="AJ141" s="174">
        <v>69149.018055871071</v>
      </c>
      <c r="AK141" s="176">
        <v>5000</v>
      </c>
      <c r="AL141" s="184">
        <f t="shared" si="6"/>
        <v>35850.981944128929</v>
      </c>
      <c r="AN141" s="177"/>
      <c r="AO141" s="177"/>
      <c r="AP141" s="177"/>
      <c r="AQ141" s="178"/>
      <c r="AR141" s="179"/>
      <c r="AS141" s="180"/>
      <c r="AT141" s="179"/>
      <c r="AU141" s="179"/>
      <c r="AV141" s="184"/>
      <c r="AW141" s="187"/>
    </row>
    <row r="142" spans="1:49" x14ac:dyDescent="0.25">
      <c r="A142" s="4">
        <v>10090043</v>
      </c>
      <c r="B142" s="219">
        <v>51.3</v>
      </c>
      <c r="D142" s="206"/>
      <c r="E142" s="71">
        <v>10140043</v>
      </c>
      <c r="F142" s="42">
        <v>22400</v>
      </c>
      <c r="H142" s="199"/>
      <c r="I142" s="71">
        <v>10120122</v>
      </c>
      <c r="J142" s="68">
        <v>60988.977599999998</v>
      </c>
      <c r="W142" s="41">
        <v>10140100</v>
      </c>
      <c r="X142">
        <v>500</v>
      </c>
      <c r="AC142" s="183" t="s">
        <v>987</v>
      </c>
      <c r="AD142" s="177" t="s">
        <v>280</v>
      </c>
      <c r="AE142" s="177" t="s">
        <v>1135</v>
      </c>
      <c r="AF142" s="177" t="s">
        <v>692</v>
      </c>
      <c r="AG142" s="178">
        <v>110000</v>
      </c>
      <c r="AH142" s="179">
        <v>46811</v>
      </c>
      <c r="AI142" s="180">
        <v>63189</v>
      </c>
      <c r="AJ142" s="179">
        <v>41811</v>
      </c>
      <c r="AK142" s="181">
        <v>5000</v>
      </c>
      <c r="AL142" s="184">
        <f t="shared" si="6"/>
        <v>63189</v>
      </c>
      <c r="AN142" s="172"/>
      <c r="AO142" s="172"/>
      <c r="AP142" s="172"/>
      <c r="AQ142" s="173"/>
      <c r="AR142" s="174"/>
      <c r="AS142" s="175"/>
      <c r="AT142" s="174"/>
      <c r="AU142" s="174"/>
      <c r="AV142" s="184"/>
      <c r="AW142" s="188"/>
    </row>
    <row r="143" spans="1:49" x14ac:dyDescent="0.25">
      <c r="A143" s="4">
        <v>10100002</v>
      </c>
      <c r="B143" s="219">
        <v>3888</v>
      </c>
      <c r="D143" s="206"/>
      <c r="E143" s="71">
        <v>10140047</v>
      </c>
      <c r="F143" s="42">
        <v>27797</v>
      </c>
      <c r="H143" s="199"/>
      <c r="I143" s="71">
        <v>10130115</v>
      </c>
      <c r="J143" s="68">
        <v>75000</v>
      </c>
      <c r="W143" s="41">
        <v>10140132</v>
      </c>
      <c r="X143">
        <v>500</v>
      </c>
      <c r="AC143" s="182" t="s">
        <v>988</v>
      </c>
      <c r="AD143" s="172" t="s">
        <v>745</v>
      </c>
      <c r="AE143" s="172" t="s">
        <v>1134</v>
      </c>
      <c r="AF143" s="172" t="s">
        <v>692</v>
      </c>
      <c r="AG143" s="173">
        <v>110000</v>
      </c>
      <c r="AH143" s="174">
        <v>82511.522462010646</v>
      </c>
      <c r="AI143" s="175">
        <v>27488.477537989354</v>
      </c>
      <c r="AJ143" s="174">
        <v>57511.522462010653</v>
      </c>
      <c r="AK143" s="176">
        <v>0</v>
      </c>
      <c r="AL143" s="184">
        <f t="shared" si="6"/>
        <v>27488.477537989354</v>
      </c>
      <c r="AN143" s="172"/>
      <c r="AO143" s="172"/>
      <c r="AP143" s="172"/>
      <c r="AQ143" s="173"/>
      <c r="AR143" s="174"/>
      <c r="AS143" s="175"/>
      <c r="AT143" s="174"/>
      <c r="AU143" s="174"/>
      <c r="AV143" s="184"/>
      <c r="AW143" s="187"/>
    </row>
    <row r="144" spans="1:49" x14ac:dyDescent="0.25">
      <c r="A144" s="4">
        <v>10100007</v>
      </c>
      <c r="B144" s="219">
        <v>2397.39</v>
      </c>
      <c r="D144" s="206"/>
      <c r="E144" s="71">
        <v>10140045</v>
      </c>
      <c r="F144" s="42">
        <v>8291.2341514371255</v>
      </c>
      <c r="H144" s="199"/>
      <c r="I144" s="71">
        <v>10130116</v>
      </c>
      <c r="J144" s="68">
        <v>84067</v>
      </c>
      <c r="W144" s="41">
        <v>10140135</v>
      </c>
      <c r="X144">
        <v>500</v>
      </c>
      <c r="AC144" s="183" t="s">
        <v>989</v>
      </c>
      <c r="AD144" s="177" t="s">
        <v>746</v>
      </c>
      <c r="AE144" s="177" t="s">
        <v>1135</v>
      </c>
      <c r="AF144" s="177" t="s">
        <v>692</v>
      </c>
      <c r="AG144" s="178">
        <v>110000</v>
      </c>
      <c r="AH144" s="179">
        <v>29015.642107588348</v>
      </c>
      <c r="AI144" s="180">
        <v>80984.357892411645</v>
      </c>
      <c r="AJ144" s="179">
        <v>24015.642107588348</v>
      </c>
      <c r="AK144" s="181">
        <v>5000</v>
      </c>
      <c r="AL144" s="184">
        <f t="shared" si="6"/>
        <v>80984.357892411645</v>
      </c>
      <c r="AN144" s="177"/>
      <c r="AO144" s="177"/>
      <c r="AP144" s="177"/>
      <c r="AQ144" s="178"/>
      <c r="AR144" s="179"/>
      <c r="AS144" s="180"/>
      <c r="AT144" s="179"/>
      <c r="AU144" s="179"/>
      <c r="AV144" s="184"/>
      <c r="AW144" s="188"/>
    </row>
    <row r="145" spans="1:49" x14ac:dyDescent="0.25">
      <c r="A145" s="4">
        <v>10100011</v>
      </c>
      <c r="B145" s="219">
        <v>2498</v>
      </c>
      <c r="D145" s="206"/>
      <c r="E145" s="71">
        <v>10140051</v>
      </c>
      <c r="F145" s="42">
        <v>7163.3938357799052</v>
      </c>
      <c r="H145" s="199"/>
      <c r="I145" s="71">
        <v>10570042</v>
      </c>
      <c r="J145" s="68">
        <v>85000</v>
      </c>
      <c r="W145" s="41">
        <v>10140137</v>
      </c>
      <c r="X145">
        <v>500</v>
      </c>
      <c r="AC145" s="182" t="s">
        <v>990</v>
      </c>
      <c r="AD145" s="172" t="s">
        <v>231</v>
      </c>
      <c r="AE145" s="172" t="s">
        <v>1135</v>
      </c>
      <c r="AF145" s="172" t="s">
        <v>692</v>
      </c>
      <c r="AG145" s="173">
        <v>110000</v>
      </c>
      <c r="AH145" s="174">
        <v>40138.919071971104</v>
      </c>
      <c r="AI145" s="175">
        <v>69861.080928028896</v>
      </c>
      <c r="AJ145" s="174">
        <v>30138.919071971104</v>
      </c>
      <c r="AK145" s="176">
        <v>10000</v>
      </c>
      <c r="AL145" s="184">
        <f t="shared" si="6"/>
        <v>69861.080928028896</v>
      </c>
      <c r="AN145" s="172"/>
      <c r="AO145" s="172"/>
      <c r="AP145" s="172"/>
      <c r="AQ145" s="173"/>
      <c r="AR145" s="174"/>
      <c r="AS145" s="175"/>
      <c r="AT145" s="174"/>
      <c r="AU145" s="174"/>
      <c r="AV145" s="184"/>
      <c r="AW145" s="187"/>
    </row>
    <row r="146" spans="1:49" x14ac:dyDescent="0.25">
      <c r="A146" s="4">
        <v>10100017</v>
      </c>
      <c r="B146" s="219">
        <v>104</v>
      </c>
      <c r="D146" s="206"/>
      <c r="E146" s="71">
        <v>10140053</v>
      </c>
      <c r="F146" s="42">
        <v>6400</v>
      </c>
      <c r="H146" s="199"/>
      <c r="I146" s="71">
        <v>10540043</v>
      </c>
      <c r="J146" s="68">
        <v>75000</v>
      </c>
      <c r="W146" s="41">
        <v>10460002</v>
      </c>
      <c r="X146">
        <v>500</v>
      </c>
      <c r="AC146" s="183" t="s">
        <v>991</v>
      </c>
      <c r="AD146" s="177" t="s">
        <v>747</v>
      </c>
      <c r="AE146" s="177" t="s">
        <v>1134</v>
      </c>
      <c r="AF146" s="177" t="s">
        <v>692</v>
      </c>
      <c r="AG146" s="178">
        <v>110000</v>
      </c>
      <c r="AH146" s="179">
        <v>50912.5046</v>
      </c>
      <c r="AI146" s="180">
        <v>59087.4954</v>
      </c>
      <c r="AJ146" s="179">
        <v>50912.5046</v>
      </c>
      <c r="AK146" s="176">
        <v>0</v>
      </c>
      <c r="AL146" s="184">
        <f t="shared" si="6"/>
        <v>59087.4954</v>
      </c>
      <c r="AN146" s="177"/>
      <c r="AO146" s="177"/>
      <c r="AP146" s="177"/>
      <c r="AQ146" s="178"/>
      <c r="AR146" s="179"/>
      <c r="AS146" s="180"/>
      <c r="AT146" s="179"/>
      <c r="AU146" s="179"/>
      <c r="AV146" s="184"/>
      <c r="AW146" s="188"/>
    </row>
    <row r="147" spans="1:49" x14ac:dyDescent="0.25">
      <c r="A147" s="4">
        <v>10100024</v>
      </c>
      <c r="B147" s="219">
        <v>4142</v>
      </c>
      <c r="D147" s="206"/>
      <c r="E147" s="71">
        <v>10140054</v>
      </c>
      <c r="F147" s="42">
        <v>12800</v>
      </c>
      <c r="H147" s="199"/>
      <c r="I147" s="71">
        <v>10600008</v>
      </c>
      <c r="J147" s="68">
        <v>74000</v>
      </c>
      <c r="W147" s="41">
        <v>10480001</v>
      </c>
      <c r="X147">
        <v>500</v>
      </c>
      <c r="AC147" s="182" t="s">
        <v>992</v>
      </c>
      <c r="AD147" s="172" t="s">
        <v>748</v>
      </c>
      <c r="AE147" s="172" t="s">
        <v>1135</v>
      </c>
      <c r="AF147" s="172" t="s">
        <v>692</v>
      </c>
      <c r="AG147" s="173">
        <v>110000</v>
      </c>
      <c r="AH147" s="174">
        <v>36464.525399999999</v>
      </c>
      <c r="AI147" s="175">
        <v>73535.474600000001</v>
      </c>
      <c r="AJ147" s="174">
        <v>21464.525399999999</v>
      </c>
      <c r="AK147" s="176">
        <v>15000</v>
      </c>
      <c r="AL147" s="184">
        <f t="shared" si="6"/>
        <v>73535.474600000001</v>
      </c>
      <c r="AN147" s="172"/>
      <c r="AO147" s="172"/>
      <c r="AP147" s="172"/>
      <c r="AQ147" s="173"/>
      <c r="AR147" s="174"/>
      <c r="AS147" s="175"/>
      <c r="AT147" s="174"/>
      <c r="AU147" s="174"/>
      <c r="AV147" s="184"/>
      <c r="AW147" s="187"/>
    </row>
    <row r="148" spans="1:49" x14ac:dyDescent="0.25">
      <c r="A148" s="4">
        <v>10100036</v>
      </c>
      <c r="B148" s="219">
        <v>1904</v>
      </c>
      <c r="D148" s="206"/>
      <c r="E148" s="71">
        <v>10140014</v>
      </c>
      <c r="F148" s="42">
        <v>6400</v>
      </c>
      <c r="H148" s="199"/>
      <c r="I148" s="71">
        <v>10610001</v>
      </c>
      <c r="J148" s="68">
        <v>65000</v>
      </c>
      <c r="W148" s="41">
        <v>10480004</v>
      </c>
      <c r="X148">
        <v>500</v>
      </c>
      <c r="AC148" s="183" t="s">
        <v>993</v>
      </c>
      <c r="AD148" s="177" t="s">
        <v>749</v>
      </c>
      <c r="AE148" s="177" t="s">
        <v>1135</v>
      </c>
      <c r="AF148" s="177" t="s">
        <v>692</v>
      </c>
      <c r="AG148" s="178">
        <v>110000</v>
      </c>
      <c r="AH148" s="179">
        <v>69867.750294795362</v>
      </c>
      <c r="AI148" s="180">
        <v>40132.249705204638</v>
      </c>
      <c r="AJ148" s="179">
        <v>54867.750294795362</v>
      </c>
      <c r="AK148" s="181">
        <v>15000</v>
      </c>
      <c r="AL148" s="184">
        <f t="shared" si="6"/>
        <v>40132.249705204638</v>
      </c>
      <c r="AN148" s="177"/>
      <c r="AO148" s="177"/>
      <c r="AP148" s="177"/>
      <c r="AQ148" s="178"/>
      <c r="AR148" s="179"/>
      <c r="AS148" s="180"/>
      <c r="AT148" s="179"/>
      <c r="AU148" s="179"/>
      <c r="AV148" s="184"/>
      <c r="AW148" s="188"/>
    </row>
    <row r="149" spans="1:49" x14ac:dyDescent="0.25">
      <c r="A149" s="4">
        <v>10100037</v>
      </c>
      <c r="B149" s="219">
        <v>1290.96</v>
      </c>
      <c r="D149" s="206"/>
      <c r="E149" s="71">
        <v>10060057</v>
      </c>
      <c r="F149" s="42">
        <v>18646.375799999998</v>
      </c>
      <c r="H149" s="199"/>
      <c r="I149" s="71">
        <v>10610002</v>
      </c>
      <c r="J149" s="68">
        <v>63393</v>
      </c>
      <c r="W149" s="41">
        <v>10480005</v>
      </c>
      <c r="X149">
        <v>500</v>
      </c>
      <c r="AC149" s="182" t="s">
        <v>994</v>
      </c>
      <c r="AD149" s="172" t="s">
        <v>233</v>
      </c>
      <c r="AE149" s="172" t="s">
        <v>1135</v>
      </c>
      <c r="AF149" s="172" t="s">
        <v>692</v>
      </c>
      <c r="AG149" s="173">
        <v>110000</v>
      </c>
      <c r="AH149" s="174">
        <v>47745.640459641138</v>
      </c>
      <c r="AI149" s="175">
        <v>62254.359540358862</v>
      </c>
      <c r="AJ149" s="174">
        <v>37745.640459641138</v>
      </c>
      <c r="AK149" s="176">
        <v>10000</v>
      </c>
      <c r="AL149" s="184">
        <f t="shared" si="6"/>
        <v>62254.359540358862</v>
      </c>
      <c r="AN149" s="172"/>
      <c r="AO149" s="172"/>
      <c r="AP149" s="172"/>
      <c r="AQ149" s="173"/>
      <c r="AR149" s="174"/>
      <c r="AS149" s="175"/>
      <c r="AT149" s="174"/>
      <c r="AU149" s="174"/>
      <c r="AV149" s="184"/>
      <c r="AW149" s="187"/>
    </row>
    <row r="150" spans="1:49" x14ac:dyDescent="0.25">
      <c r="A150" s="4">
        <v>10100041</v>
      </c>
      <c r="B150" s="219">
        <v>104</v>
      </c>
      <c r="D150" s="206"/>
      <c r="E150" s="71">
        <v>10020062</v>
      </c>
      <c r="F150" s="42">
        <v>11212.327325161281</v>
      </c>
      <c r="H150" s="199"/>
      <c r="I150" s="71">
        <v>10610003</v>
      </c>
      <c r="J150" s="68">
        <v>65000</v>
      </c>
      <c r="W150" s="41">
        <v>10480008</v>
      </c>
      <c r="X150">
        <v>500</v>
      </c>
      <c r="AC150" s="183" t="s">
        <v>995</v>
      </c>
      <c r="AD150" s="177" t="s">
        <v>159</v>
      </c>
      <c r="AE150" s="177" t="s">
        <v>1135</v>
      </c>
      <c r="AF150" s="177" t="s">
        <v>692</v>
      </c>
      <c r="AG150" s="178">
        <v>64000</v>
      </c>
      <c r="AH150" s="179">
        <v>50412.926135313959</v>
      </c>
      <c r="AI150" s="180">
        <v>13587.073864686041</v>
      </c>
      <c r="AJ150" s="179">
        <v>40412.926135313959</v>
      </c>
      <c r="AK150" s="181">
        <v>10000</v>
      </c>
      <c r="AL150" s="184">
        <f t="shared" si="6"/>
        <v>13587.073864686041</v>
      </c>
      <c r="AN150" s="177"/>
      <c r="AO150" s="177"/>
      <c r="AP150" s="177"/>
      <c r="AQ150" s="178"/>
      <c r="AR150" s="179"/>
      <c r="AS150" s="180"/>
      <c r="AT150" s="179"/>
      <c r="AU150" s="179"/>
      <c r="AV150" s="184"/>
      <c r="AW150" s="188"/>
    </row>
    <row r="151" spans="1:49" x14ac:dyDescent="0.25">
      <c r="A151" s="4">
        <v>10120003</v>
      </c>
      <c r="B151" s="219">
        <v>1188</v>
      </c>
      <c r="D151" s="206"/>
      <c r="E151" s="71">
        <v>10090048</v>
      </c>
      <c r="F151" s="42">
        <v>7711.0590000000002</v>
      </c>
      <c r="H151" s="199"/>
      <c r="I151" s="71">
        <v>10610004</v>
      </c>
      <c r="J151" s="68">
        <v>75000</v>
      </c>
      <c r="W151" s="41">
        <v>10480019</v>
      </c>
      <c r="X151">
        <v>500</v>
      </c>
      <c r="AC151" s="182" t="s">
        <v>996</v>
      </c>
      <c r="AD151" s="172" t="s">
        <v>235</v>
      </c>
      <c r="AE151" s="172" t="s">
        <v>1135</v>
      </c>
      <c r="AF151" s="172" t="s">
        <v>692</v>
      </c>
      <c r="AG151" s="173">
        <v>110000</v>
      </c>
      <c r="AH151" s="174">
        <v>81563.110920423685</v>
      </c>
      <c r="AI151" s="175">
        <v>28436.889079576315</v>
      </c>
      <c r="AJ151" s="174">
        <v>76563.110920423685</v>
      </c>
      <c r="AK151" s="176">
        <v>5000</v>
      </c>
      <c r="AL151" s="184">
        <f t="shared" si="6"/>
        <v>28436.889079576315</v>
      </c>
      <c r="AN151" s="172"/>
      <c r="AO151" s="172"/>
      <c r="AP151" s="172"/>
      <c r="AQ151" s="173"/>
      <c r="AR151" s="174"/>
      <c r="AS151" s="175"/>
      <c r="AT151" s="174"/>
      <c r="AU151" s="174"/>
      <c r="AV151" s="184"/>
      <c r="AW151" s="187"/>
    </row>
    <row r="152" spans="1:49" x14ac:dyDescent="0.25">
      <c r="A152" s="4">
        <v>10120008</v>
      </c>
      <c r="B152" s="219">
        <v>2066</v>
      </c>
      <c r="D152" s="206"/>
      <c r="E152" s="71">
        <v>10090042</v>
      </c>
      <c r="F152" s="42">
        <v>11537.557799999999</v>
      </c>
      <c r="H152" s="199"/>
      <c r="I152" s="71">
        <v>10610005</v>
      </c>
      <c r="J152" s="68">
        <v>65000</v>
      </c>
      <c r="AC152" s="183" t="s">
        <v>997</v>
      </c>
      <c r="AD152" s="177" t="s">
        <v>96</v>
      </c>
      <c r="AE152" s="177" t="s">
        <v>1134</v>
      </c>
      <c r="AF152" s="177" t="s">
        <v>692</v>
      </c>
      <c r="AG152" s="178">
        <v>110000</v>
      </c>
      <c r="AH152" s="179">
        <v>35662</v>
      </c>
      <c r="AI152" s="180">
        <v>74338</v>
      </c>
      <c r="AJ152" s="179">
        <v>35662</v>
      </c>
      <c r="AK152" s="176">
        <v>0</v>
      </c>
      <c r="AL152" s="184">
        <f t="shared" si="6"/>
        <v>74338</v>
      </c>
      <c r="AN152" s="177"/>
      <c r="AO152" s="177"/>
      <c r="AP152" s="177"/>
      <c r="AQ152" s="178"/>
      <c r="AR152" s="179"/>
      <c r="AS152" s="180"/>
      <c r="AT152" s="179"/>
      <c r="AU152" s="179"/>
      <c r="AV152" s="184"/>
      <c r="AW152" s="188"/>
    </row>
    <row r="153" spans="1:49" x14ac:dyDescent="0.25">
      <c r="A153" s="4">
        <v>10120009</v>
      </c>
      <c r="B153" s="219">
        <v>2066</v>
      </c>
      <c r="D153" s="206"/>
      <c r="E153" s="71">
        <v>10090050</v>
      </c>
      <c r="F153" s="42">
        <v>17056.866399999999</v>
      </c>
      <c r="H153" s="199"/>
      <c r="I153" s="71">
        <v>10610006</v>
      </c>
      <c r="J153" s="68">
        <v>73139</v>
      </c>
      <c r="AC153" s="182" t="s">
        <v>998</v>
      </c>
      <c r="AD153" s="172" t="s">
        <v>750</v>
      </c>
      <c r="AE153" s="172" t="s">
        <v>1134</v>
      </c>
      <c r="AF153" s="172" t="s">
        <v>692</v>
      </c>
      <c r="AG153" s="173">
        <v>110000</v>
      </c>
      <c r="AH153" s="174">
        <v>26450.061999999998</v>
      </c>
      <c r="AI153" s="175">
        <v>83549.937999999995</v>
      </c>
      <c r="AJ153" s="174">
        <v>26450.061999999998</v>
      </c>
      <c r="AK153" s="176">
        <v>0</v>
      </c>
      <c r="AL153" s="184">
        <f t="shared" si="6"/>
        <v>83549.937999999995</v>
      </c>
      <c r="AN153" s="172"/>
      <c r="AO153" s="172"/>
      <c r="AP153" s="172"/>
      <c r="AQ153" s="173"/>
      <c r="AR153" s="174"/>
      <c r="AS153" s="175"/>
      <c r="AT153" s="174"/>
      <c r="AU153" s="174"/>
      <c r="AV153" s="184"/>
      <c r="AW153" s="187"/>
    </row>
    <row r="154" spans="1:49" x14ac:dyDescent="0.25">
      <c r="A154" s="4">
        <v>10120019</v>
      </c>
      <c r="B154" s="219">
        <v>535.27</v>
      </c>
      <c r="D154" s="206"/>
      <c r="E154" s="71">
        <v>10110049</v>
      </c>
      <c r="F154" s="42">
        <v>4822.3534</v>
      </c>
      <c r="H154" s="199"/>
      <c r="I154" s="71">
        <v>10610007</v>
      </c>
      <c r="J154" s="68">
        <v>68139</v>
      </c>
      <c r="AC154" s="183" t="s">
        <v>999</v>
      </c>
      <c r="AD154" s="177" t="s">
        <v>236</v>
      </c>
      <c r="AE154" s="177" t="s">
        <v>1135</v>
      </c>
      <c r="AF154" s="177" t="s">
        <v>692</v>
      </c>
      <c r="AG154" s="178">
        <v>110000</v>
      </c>
      <c r="AH154" s="179">
        <v>37360.057093252697</v>
      </c>
      <c r="AI154" s="180">
        <v>72639.94290674731</v>
      </c>
      <c r="AJ154" s="179">
        <v>32360.057093252697</v>
      </c>
      <c r="AK154" s="181">
        <v>5000</v>
      </c>
      <c r="AL154" s="184">
        <f t="shared" si="6"/>
        <v>72639.94290674731</v>
      </c>
      <c r="AN154" s="177"/>
      <c r="AO154" s="177"/>
      <c r="AP154" s="177"/>
      <c r="AQ154" s="178"/>
      <c r="AR154" s="179"/>
      <c r="AS154" s="180"/>
      <c r="AT154" s="179"/>
      <c r="AU154" s="179"/>
      <c r="AV154" s="184"/>
      <c r="AW154" s="188"/>
    </row>
    <row r="155" spans="1:49" x14ac:dyDescent="0.25">
      <c r="A155" s="4">
        <v>10120022</v>
      </c>
      <c r="B155" s="219">
        <v>596.52</v>
      </c>
      <c r="D155" s="206"/>
      <c r="E155" s="71">
        <v>10110051</v>
      </c>
      <c r="F155" s="42">
        <v>6177.9898000000003</v>
      </c>
      <c r="H155" s="199"/>
      <c r="I155" s="71">
        <v>10610008</v>
      </c>
      <c r="J155" s="68">
        <v>63139</v>
      </c>
      <c r="AC155" s="182" t="s">
        <v>1000</v>
      </c>
      <c r="AD155" s="172" t="s">
        <v>95</v>
      </c>
      <c r="AE155" s="172" t="s">
        <v>1134</v>
      </c>
      <c r="AF155" s="172" t="s">
        <v>692</v>
      </c>
      <c r="AG155" s="173">
        <v>110000</v>
      </c>
      <c r="AH155" s="174">
        <v>63709.942957273335</v>
      </c>
      <c r="AI155" s="175">
        <v>46290.057042726665</v>
      </c>
      <c r="AJ155" s="174">
        <v>63709.942957273335</v>
      </c>
      <c r="AK155" s="176">
        <v>0</v>
      </c>
      <c r="AL155" s="184">
        <f t="shared" si="6"/>
        <v>46290.057042726665</v>
      </c>
      <c r="AN155" s="172"/>
      <c r="AO155" s="172"/>
      <c r="AP155" s="172"/>
      <c r="AQ155" s="173"/>
      <c r="AR155" s="174"/>
      <c r="AS155" s="175"/>
      <c r="AT155" s="174"/>
      <c r="AU155" s="174"/>
      <c r="AV155" s="184"/>
      <c r="AW155" s="187"/>
    </row>
    <row r="156" spans="1:49" x14ac:dyDescent="0.25">
      <c r="A156" s="4">
        <v>10120026</v>
      </c>
      <c r="B156" s="219">
        <v>2016</v>
      </c>
      <c r="D156" s="206"/>
      <c r="E156" s="71">
        <v>10080055</v>
      </c>
      <c r="F156" s="42">
        <v>1126.9366186572806</v>
      </c>
      <c r="H156" s="199"/>
      <c r="I156" s="71">
        <v>10600009</v>
      </c>
      <c r="J156" s="68">
        <v>79000</v>
      </c>
      <c r="AC156" s="183" t="s">
        <v>1001</v>
      </c>
      <c r="AD156" s="177" t="s">
        <v>718</v>
      </c>
      <c r="AE156" s="177" t="s">
        <v>1134</v>
      </c>
      <c r="AF156" s="177" t="s">
        <v>692</v>
      </c>
      <c r="AG156" s="178">
        <v>110000</v>
      </c>
      <c r="AH156" s="179">
        <v>19118</v>
      </c>
      <c r="AI156" s="180">
        <v>90882</v>
      </c>
      <c r="AJ156" s="179">
        <v>19118</v>
      </c>
      <c r="AK156" s="176">
        <v>0</v>
      </c>
      <c r="AL156" s="184">
        <f t="shared" si="6"/>
        <v>90882</v>
      </c>
      <c r="AN156" s="177"/>
      <c r="AO156" s="177"/>
      <c r="AP156" s="177"/>
      <c r="AQ156" s="178"/>
      <c r="AR156" s="179"/>
      <c r="AS156" s="180"/>
      <c r="AT156" s="179"/>
      <c r="AU156" s="179"/>
      <c r="AV156" s="184"/>
      <c r="AW156" s="188"/>
    </row>
    <row r="157" spans="1:49" x14ac:dyDescent="0.25">
      <c r="A157" s="4">
        <v>10120030</v>
      </c>
      <c r="B157" s="219">
        <v>630.97</v>
      </c>
      <c r="D157" s="206"/>
      <c r="E157" s="71">
        <v>10070032</v>
      </c>
      <c r="F157" s="42">
        <v>13026.763199999999</v>
      </c>
      <c r="H157" s="199"/>
      <c r="I157" s="71">
        <v>10600010</v>
      </c>
      <c r="J157" s="68">
        <v>63727</v>
      </c>
      <c r="AC157" s="182" t="s">
        <v>1002</v>
      </c>
      <c r="AD157" s="172" t="s">
        <v>751</v>
      </c>
      <c r="AE157" s="172" t="s">
        <v>1134</v>
      </c>
      <c r="AF157" s="172" t="s">
        <v>692</v>
      </c>
      <c r="AG157" s="173">
        <v>110000</v>
      </c>
      <c r="AH157" s="174">
        <v>2689</v>
      </c>
      <c r="AI157" s="175">
        <v>107311</v>
      </c>
      <c r="AJ157" s="174">
        <v>2689</v>
      </c>
      <c r="AK157" s="176">
        <v>0</v>
      </c>
      <c r="AL157" s="184">
        <f t="shared" si="6"/>
        <v>107311</v>
      </c>
      <c r="AN157" s="172"/>
      <c r="AO157" s="172"/>
      <c r="AP157" s="172"/>
      <c r="AQ157" s="173"/>
      <c r="AR157" s="174"/>
      <c r="AS157" s="175"/>
      <c r="AT157" s="174"/>
      <c r="AU157" s="174"/>
      <c r="AV157" s="184"/>
      <c r="AW157" s="187"/>
    </row>
    <row r="158" spans="1:49" x14ac:dyDescent="0.25">
      <c r="A158" s="4">
        <v>10120031</v>
      </c>
      <c r="B158" s="219">
        <v>68.000000000000114</v>
      </c>
      <c r="D158" s="206"/>
      <c r="E158" s="71">
        <v>10070033</v>
      </c>
      <c r="F158" s="42">
        <v>4104.9205999999995</v>
      </c>
      <c r="H158" s="199"/>
      <c r="I158" s="71">
        <v>10600011</v>
      </c>
      <c r="J158" s="68">
        <v>85000</v>
      </c>
      <c r="AC158" s="183" t="s">
        <v>1003</v>
      </c>
      <c r="AD158" s="177" t="s">
        <v>281</v>
      </c>
      <c r="AE158" s="177" t="s">
        <v>1135</v>
      </c>
      <c r="AF158" s="177" t="s">
        <v>692</v>
      </c>
      <c r="AG158" s="178">
        <v>110000</v>
      </c>
      <c r="AH158" s="179">
        <v>27797</v>
      </c>
      <c r="AI158" s="180">
        <v>82203</v>
      </c>
      <c r="AJ158" s="179">
        <v>17797</v>
      </c>
      <c r="AK158" s="181">
        <v>10000</v>
      </c>
      <c r="AL158" s="184">
        <f t="shared" si="6"/>
        <v>82203</v>
      </c>
      <c r="AN158" s="177"/>
      <c r="AO158" s="177"/>
      <c r="AP158" s="177"/>
      <c r="AQ158" s="178"/>
      <c r="AR158" s="179"/>
      <c r="AS158" s="180"/>
      <c r="AT158" s="179"/>
      <c r="AU158" s="179"/>
      <c r="AV158" s="184"/>
      <c r="AW158" s="188"/>
    </row>
    <row r="159" spans="1:49" x14ac:dyDescent="0.25">
      <c r="A159" s="4">
        <v>10120034</v>
      </c>
      <c r="B159" s="219">
        <v>348.52</v>
      </c>
      <c r="D159" s="206"/>
      <c r="E159" s="71">
        <v>10070034</v>
      </c>
      <c r="F159" s="42">
        <v>5970.1063999999997</v>
      </c>
      <c r="H159" s="199"/>
      <c r="I159" s="71">
        <v>10540044</v>
      </c>
      <c r="J159" s="68">
        <v>63387</v>
      </c>
      <c r="AC159" s="182" t="s">
        <v>1004</v>
      </c>
      <c r="AD159" s="172" t="s">
        <v>752</v>
      </c>
      <c r="AE159" s="172" t="s">
        <v>1135</v>
      </c>
      <c r="AF159" s="172" t="s">
        <v>692</v>
      </c>
      <c r="AG159" s="173">
        <v>110000</v>
      </c>
      <c r="AH159" s="174">
        <v>35278</v>
      </c>
      <c r="AI159" s="175">
        <v>74722</v>
      </c>
      <c r="AJ159" s="174">
        <v>25278</v>
      </c>
      <c r="AK159" s="176">
        <v>10000</v>
      </c>
      <c r="AL159" s="184">
        <f t="shared" si="6"/>
        <v>74722</v>
      </c>
      <c r="AN159" s="172"/>
      <c r="AO159" s="172"/>
      <c r="AP159" s="172"/>
      <c r="AQ159" s="173"/>
      <c r="AR159" s="174"/>
      <c r="AS159" s="175"/>
      <c r="AT159" s="174"/>
      <c r="AU159" s="174"/>
      <c r="AV159" s="184"/>
      <c r="AW159" s="187"/>
    </row>
    <row r="160" spans="1:49" x14ac:dyDescent="0.25">
      <c r="A160" s="4">
        <v>10120036</v>
      </c>
      <c r="B160" s="219">
        <v>1108</v>
      </c>
      <c r="D160" s="206"/>
      <c r="E160" s="71">
        <v>10070035</v>
      </c>
      <c r="F160" s="42">
        <v>5329.9417999999996</v>
      </c>
      <c r="H160" s="199"/>
      <c r="I160" s="71">
        <v>10020074</v>
      </c>
      <c r="J160" s="68">
        <v>65000</v>
      </c>
      <c r="AC160" s="183" t="s">
        <v>1005</v>
      </c>
      <c r="AD160" s="177" t="s">
        <v>282</v>
      </c>
      <c r="AE160" s="177" t="s">
        <v>1135</v>
      </c>
      <c r="AF160" s="177" t="s">
        <v>692</v>
      </c>
      <c r="AG160" s="178">
        <v>110000</v>
      </c>
      <c r="AH160" s="179">
        <v>90516.664713842983</v>
      </c>
      <c r="AI160" s="180">
        <v>19483.335286157017</v>
      </c>
      <c r="AJ160" s="179">
        <v>80516.664713842983</v>
      </c>
      <c r="AK160" s="181">
        <v>10000</v>
      </c>
      <c r="AL160" s="184">
        <f t="shared" si="6"/>
        <v>19483.335286157017</v>
      </c>
      <c r="AN160" s="177"/>
      <c r="AO160" s="177"/>
      <c r="AP160" s="177"/>
      <c r="AQ160" s="178"/>
      <c r="AR160" s="179"/>
      <c r="AS160" s="180"/>
      <c r="AT160" s="179"/>
      <c r="AU160" s="179"/>
      <c r="AV160" s="184"/>
      <c r="AW160" s="188"/>
    </row>
    <row r="161" spans="1:49" x14ac:dyDescent="0.25">
      <c r="A161" s="4">
        <v>10120037</v>
      </c>
      <c r="B161" s="219">
        <v>2682.75</v>
      </c>
      <c r="D161" s="206"/>
      <c r="E161" s="71">
        <v>10070037</v>
      </c>
      <c r="F161" s="42">
        <v>5937.8653999999997</v>
      </c>
      <c r="H161" s="199"/>
      <c r="I161" s="71">
        <v>10020086</v>
      </c>
      <c r="J161" s="68">
        <v>65000</v>
      </c>
      <c r="AC161" s="182" t="s">
        <v>1006</v>
      </c>
      <c r="AD161" s="172" t="s">
        <v>753</v>
      </c>
      <c r="AE161" s="172" t="s">
        <v>1135</v>
      </c>
      <c r="AF161" s="172" t="s">
        <v>692</v>
      </c>
      <c r="AG161" s="173">
        <v>110000</v>
      </c>
      <c r="AH161" s="174">
        <v>82144.245026476507</v>
      </c>
      <c r="AI161" s="175">
        <v>27855.754973523493</v>
      </c>
      <c r="AJ161" s="174">
        <v>75144.245026476507</v>
      </c>
      <c r="AK161" s="176">
        <v>7000</v>
      </c>
      <c r="AL161" s="184">
        <f t="shared" si="6"/>
        <v>27855.754973523493</v>
      </c>
      <c r="AN161" s="172"/>
      <c r="AO161" s="172"/>
      <c r="AP161" s="172"/>
      <c r="AQ161" s="173"/>
      <c r="AR161" s="174"/>
      <c r="AS161" s="175"/>
      <c r="AT161" s="174"/>
      <c r="AU161" s="174"/>
      <c r="AV161" s="184"/>
      <c r="AW161" s="187"/>
    </row>
    <row r="162" spans="1:49" x14ac:dyDescent="0.25">
      <c r="A162" s="4">
        <v>10120039</v>
      </c>
      <c r="B162" s="219">
        <v>1108</v>
      </c>
      <c r="D162" s="206"/>
      <c r="E162" s="71">
        <v>10070038</v>
      </c>
      <c r="F162" s="42">
        <v>5636.6487999999999</v>
      </c>
      <c r="H162" s="199"/>
      <c r="I162" s="71">
        <v>10060129</v>
      </c>
      <c r="J162" s="68">
        <v>65000</v>
      </c>
      <c r="AC162" s="183" t="s">
        <v>1007</v>
      </c>
      <c r="AD162" s="177" t="s">
        <v>300</v>
      </c>
      <c r="AE162" s="177" t="s">
        <v>1135</v>
      </c>
      <c r="AF162" s="177" t="s">
        <v>692</v>
      </c>
      <c r="AG162" s="178">
        <v>110000</v>
      </c>
      <c r="AH162" s="179">
        <v>45426.413277110143</v>
      </c>
      <c r="AI162" s="180">
        <v>64573.586722889857</v>
      </c>
      <c r="AJ162" s="179">
        <v>35426.413277110143</v>
      </c>
      <c r="AK162" s="181">
        <v>10000</v>
      </c>
      <c r="AL162" s="184">
        <f t="shared" si="6"/>
        <v>64573.586722889857</v>
      </c>
      <c r="AN162" s="177"/>
      <c r="AO162" s="177"/>
      <c r="AP162" s="177"/>
      <c r="AQ162" s="178"/>
      <c r="AR162" s="179"/>
      <c r="AS162" s="180"/>
      <c r="AT162" s="179"/>
      <c r="AU162" s="179"/>
      <c r="AV162" s="184"/>
      <c r="AW162" s="188"/>
    </row>
    <row r="163" spans="1:49" x14ac:dyDescent="0.25">
      <c r="A163" s="4">
        <v>10120041</v>
      </c>
      <c r="B163" s="219">
        <v>1058</v>
      </c>
      <c r="D163" s="206"/>
      <c r="E163" s="71">
        <v>10070039</v>
      </c>
      <c r="F163" s="42">
        <v>10628.260848452479</v>
      </c>
      <c r="H163" s="199"/>
      <c r="I163" s="71">
        <v>10060130</v>
      </c>
      <c r="J163" s="68">
        <v>75000</v>
      </c>
      <c r="AC163" s="182" t="s">
        <v>1008</v>
      </c>
      <c r="AD163" s="172" t="s">
        <v>754</v>
      </c>
      <c r="AE163" s="172" t="s">
        <v>1135</v>
      </c>
      <c r="AF163" s="172" t="s">
        <v>692</v>
      </c>
      <c r="AG163" s="173">
        <v>110000</v>
      </c>
      <c r="AH163" s="174">
        <v>23818</v>
      </c>
      <c r="AI163" s="175">
        <v>86182</v>
      </c>
      <c r="AJ163" s="174">
        <v>13818</v>
      </c>
      <c r="AK163" s="176">
        <v>10000</v>
      </c>
      <c r="AL163" s="184">
        <f t="shared" si="6"/>
        <v>86182</v>
      </c>
      <c r="AN163" s="172"/>
      <c r="AO163" s="172"/>
      <c r="AP163" s="172"/>
      <c r="AQ163" s="173"/>
      <c r="AR163" s="174"/>
      <c r="AS163" s="175"/>
      <c r="AT163" s="174"/>
      <c r="AU163" s="174"/>
      <c r="AV163" s="184"/>
      <c r="AW163" s="187"/>
    </row>
    <row r="164" spans="1:49" x14ac:dyDescent="0.25">
      <c r="A164" s="4">
        <v>10120042</v>
      </c>
      <c r="B164" s="219">
        <v>1908</v>
      </c>
      <c r="D164" s="206"/>
      <c r="E164" s="71">
        <v>10010041</v>
      </c>
      <c r="F164" s="42">
        <v>6400</v>
      </c>
      <c r="H164" s="199"/>
      <c r="I164" s="71">
        <v>10090078</v>
      </c>
      <c r="J164" s="68">
        <v>65000</v>
      </c>
      <c r="AC164" s="183" t="s">
        <v>1009</v>
      </c>
      <c r="AD164" s="177" t="s">
        <v>755</v>
      </c>
      <c r="AE164" s="177" t="s">
        <v>1135</v>
      </c>
      <c r="AF164" s="177" t="s">
        <v>692</v>
      </c>
      <c r="AG164" s="178">
        <v>110000</v>
      </c>
      <c r="AH164" s="179">
        <v>14386</v>
      </c>
      <c r="AI164" s="180">
        <v>95614</v>
      </c>
      <c r="AJ164" s="179">
        <v>9386</v>
      </c>
      <c r="AK164" s="181">
        <v>5000</v>
      </c>
      <c r="AL164" s="184">
        <f t="shared" si="6"/>
        <v>95614</v>
      </c>
      <c r="AN164" s="177"/>
      <c r="AO164" s="177"/>
      <c r="AP164" s="177"/>
      <c r="AQ164" s="178"/>
      <c r="AR164" s="179"/>
      <c r="AS164" s="180"/>
      <c r="AT164" s="179"/>
      <c r="AU164" s="179"/>
      <c r="AV164" s="184"/>
      <c r="AW164" s="188"/>
    </row>
    <row r="165" spans="1:49" x14ac:dyDescent="0.25">
      <c r="A165" s="4">
        <v>10120043</v>
      </c>
      <c r="B165" s="219">
        <v>1476.52</v>
      </c>
      <c r="D165" s="206"/>
      <c r="E165" s="71">
        <v>10010043</v>
      </c>
      <c r="F165" s="42">
        <v>6400</v>
      </c>
      <c r="H165" s="199"/>
      <c r="I165" s="71">
        <v>10590006</v>
      </c>
      <c r="J165" s="68">
        <v>66951</v>
      </c>
      <c r="AC165" s="182" t="s">
        <v>1010</v>
      </c>
      <c r="AD165" s="172" t="s">
        <v>756</v>
      </c>
      <c r="AE165" s="172" t="s">
        <v>1135</v>
      </c>
      <c r="AF165" s="172" t="s">
        <v>692</v>
      </c>
      <c r="AG165" s="173">
        <v>110000</v>
      </c>
      <c r="AH165" s="174">
        <v>65447.81157273108</v>
      </c>
      <c r="AI165" s="175">
        <v>44552.18842726892</v>
      </c>
      <c r="AJ165" s="174">
        <v>55447.81157273108</v>
      </c>
      <c r="AK165" s="176">
        <v>10000</v>
      </c>
      <c r="AL165" s="184">
        <f t="shared" si="6"/>
        <v>44552.18842726892</v>
      </c>
      <c r="AN165" s="172"/>
      <c r="AO165" s="172"/>
      <c r="AP165" s="172"/>
      <c r="AQ165" s="173"/>
      <c r="AR165" s="174"/>
      <c r="AS165" s="175"/>
      <c r="AT165" s="174"/>
      <c r="AU165" s="174"/>
      <c r="AV165" s="184"/>
      <c r="AW165" s="187"/>
    </row>
    <row r="166" spans="1:49" x14ac:dyDescent="0.25">
      <c r="A166" s="4">
        <v>10120051</v>
      </c>
      <c r="B166" s="219">
        <v>109.80000000000001</v>
      </c>
      <c r="D166" s="206"/>
      <c r="E166" s="71">
        <v>10110011</v>
      </c>
      <c r="F166" s="42">
        <v>5248</v>
      </c>
      <c r="H166" s="199"/>
      <c r="I166" s="71">
        <v>10590007</v>
      </c>
      <c r="J166" s="68">
        <v>65000</v>
      </c>
      <c r="AC166" s="183" t="s">
        <v>1011</v>
      </c>
      <c r="AD166" s="177" t="s">
        <v>283</v>
      </c>
      <c r="AE166" s="177" t="s">
        <v>1135</v>
      </c>
      <c r="AF166" s="177" t="s">
        <v>692</v>
      </c>
      <c r="AG166" s="178">
        <v>110000</v>
      </c>
      <c r="AH166" s="179">
        <v>75390.385229166714</v>
      </c>
      <c r="AI166" s="180">
        <v>34609.614770833286</v>
      </c>
      <c r="AJ166" s="179">
        <v>65390.385229166714</v>
      </c>
      <c r="AK166" s="181">
        <v>10000</v>
      </c>
      <c r="AL166" s="184">
        <f t="shared" si="6"/>
        <v>34609.614770833286</v>
      </c>
      <c r="AN166" s="177"/>
      <c r="AO166" s="177"/>
      <c r="AP166" s="177"/>
      <c r="AQ166" s="178"/>
      <c r="AR166" s="179"/>
      <c r="AS166" s="180"/>
      <c r="AT166" s="179"/>
      <c r="AU166" s="179"/>
      <c r="AV166" s="184"/>
      <c r="AW166" s="188"/>
    </row>
    <row r="167" spans="1:49" x14ac:dyDescent="0.25">
      <c r="A167" s="4">
        <v>10120053</v>
      </c>
      <c r="B167" s="219">
        <v>804.12</v>
      </c>
      <c r="D167" s="206"/>
      <c r="E167" s="71">
        <v>10110048</v>
      </c>
      <c r="F167" s="42">
        <v>12010.5812974848</v>
      </c>
      <c r="H167" s="199"/>
      <c r="I167" s="71">
        <v>10590008</v>
      </c>
      <c r="J167" s="68">
        <v>65000</v>
      </c>
      <c r="AC167" s="182" t="s">
        <v>1012</v>
      </c>
      <c r="AD167" s="172" t="s">
        <v>757</v>
      </c>
      <c r="AE167" s="172" t="s">
        <v>1135</v>
      </c>
      <c r="AF167" s="172" t="s">
        <v>692</v>
      </c>
      <c r="AG167" s="173">
        <v>110000</v>
      </c>
      <c r="AH167" s="174">
        <v>84123.21621400975</v>
      </c>
      <c r="AI167" s="175">
        <v>25876.78378599025</v>
      </c>
      <c r="AJ167" s="174">
        <v>74123.21621400975</v>
      </c>
      <c r="AK167" s="176">
        <v>10000</v>
      </c>
      <c r="AL167" s="184">
        <f t="shared" si="6"/>
        <v>25876.78378599025</v>
      </c>
      <c r="AN167" s="172"/>
      <c r="AO167" s="172"/>
      <c r="AP167" s="172"/>
      <c r="AQ167" s="173"/>
      <c r="AR167" s="174"/>
      <c r="AS167" s="175"/>
      <c r="AT167" s="174"/>
      <c r="AU167" s="174"/>
      <c r="AV167" s="184"/>
      <c r="AW167" s="187"/>
    </row>
    <row r="168" spans="1:49" x14ac:dyDescent="0.25">
      <c r="A168" s="4">
        <v>10120054</v>
      </c>
      <c r="B168" s="219">
        <v>348.52</v>
      </c>
      <c r="D168" s="206"/>
      <c r="E168" s="71">
        <v>10110038</v>
      </c>
      <c r="F168" s="42">
        <v>6400</v>
      </c>
      <c r="H168" s="199"/>
      <c r="I168" s="71">
        <v>10590009</v>
      </c>
      <c r="J168" s="68">
        <v>75000</v>
      </c>
      <c r="AC168" s="183" t="s">
        <v>1013</v>
      </c>
      <c r="AD168" s="177" t="s">
        <v>325</v>
      </c>
      <c r="AE168" s="177" t="s">
        <v>1135</v>
      </c>
      <c r="AF168" s="177" t="s">
        <v>692</v>
      </c>
      <c r="AG168" s="178">
        <v>64000</v>
      </c>
      <c r="AH168" s="179">
        <v>37390.547999999995</v>
      </c>
      <c r="AI168" s="180">
        <v>26609.452000000005</v>
      </c>
      <c r="AJ168" s="179">
        <v>32390.547999999999</v>
      </c>
      <c r="AK168" s="181">
        <v>5000</v>
      </c>
      <c r="AL168" s="184">
        <f t="shared" si="6"/>
        <v>26609.452000000005</v>
      </c>
      <c r="AN168" s="177"/>
      <c r="AO168" s="177"/>
      <c r="AP168" s="177"/>
      <c r="AQ168" s="178"/>
      <c r="AR168" s="179"/>
      <c r="AS168" s="180"/>
      <c r="AT168" s="179"/>
      <c r="AU168" s="179"/>
      <c r="AV168" s="184"/>
      <c r="AW168" s="188"/>
    </row>
    <row r="169" spans="1:49" x14ac:dyDescent="0.25">
      <c r="A169" s="4">
        <v>10120070</v>
      </c>
      <c r="B169" s="219">
        <v>516.1</v>
      </c>
      <c r="D169" s="206"/>
      <c r="E169" s="71">
        <v>10080027</v>
      </c>
      <c r="F169" s="42">
        <v>11051.710233427111</v>
      </c>
      <c r="H169" s="199"/>
      <c r="I169" s="71">
        <v>10590010</v>
      </c>
      <c r="J169" s="68">
        <v>65000</v>
      </c>
      <c r="AC169" s="182" t="s">
        <v>1014</v>
      </c>
      <c r="AD169" s="172" t="s">
        <v>758</v>
      </c>
      <c r="AE169" s="172" t="s">
        <v>1135</v>
      </c>
      <c r="AF169" s="172" t="s">
        <v>692</v>
      </c>
      <c r="AG169" s="173">
        <v>110000</v>
      </c>
      <c r="AH169" s="174">
        <v>36568.858451120381</v>
      </c>
      <c r="AI169" s="175">
        <v>73431.141548879619</v>
      </c>
      <c r="AJ169" s="174">
        <v>31568.858451120381</v>
      </c>
      <c r="AK169" s="176">
        <v>5000</v>
      </c>
      <c r="AL169" s="184">
        <f t="shared" si="6"/>
        <v>73431.141548879619</v>
      </c>
      <c r="AN169" s="172"/>
      <c r="AO169" s="172"/>
      <c r="AP169" s="172"/>
      <c r="AQ169" s="173"/>
      <c r="AR169" s="174"/>
      <c r="AS169" s="175"/>
      <c r="AT169" s="174"/>
      <c r="AU169" s="174"/>
      <c r="AV169" s="184"/>
      <c r="AW169" s="187"/>
    </row>
    <row r="170" spans="1:49" x14ac:dyDescent="0.25">
      <c r="A170" s="4">
        <v>10120072</v>
      </c>
      <c r="B170" s="219">
        <v>506.90000000000003</v>
      </c>
      <c r="D170" s="206"/>
      <c r="E170" s="71">
        <v>10080025</v>
      </c>
      <c r="F170" s="42">
        <v>16324.609199999999</v>
      </c>
      <c r="H170" s="199"/>
      <c r="I170" s="71">
        <v>10600001</v>
      </c>
      <c r="J170" s="68">
        <v>62894.273000000001</v>
      </c>
      <c r="AC170" s="183" t="s">
        <v>1015</v>
      </c>
      <c r="AD170" s="177" t="s">
        <v>759</v>
      </c>
      <c r="AE170" s="177" t="s">
        <v>1134</v>
      </c>
      <c r="AF170" s="177" t="s">
        <v>692</v>
      </c>
      <c r="AG170" s="178">
        <v>110000</v>
      </c>
      <c r="AH170" s="179">
        <v>54096.149776674596</v>
      </c>
      <c r="AI170" s="180">
        <v>55903.850223325404</v>
      </c>
      <c r="AJ170" s="179">
        <v>54096.149776674596</v>
      </c>
      <c r="AK170" s="176">
        <v>0</v>
      </c>
      <c r="AL170" s="184">
        <f t="shared" si="6"/>
        <v>55903.850223325404</v>
      </c>
      <c r="AN170" s="177"/>
      <c r="AO170" s="177"/>
      <c r="AP170" s="177"/>
      <c r="AQ170" s="178"/>
      <c r="AR170" s="179"/>
      <c r="AS170" s="180"/>
      <c r="AT170" s="179"/>
      <c r="AU170" s="179"/>
      <c r="AV170" s="184"/>
      <c r="AW170" s="188"/>
    </row>
    <row r="171" spans="1:49" x14ac:dyDescent="0.25">
      <c r="A171" s="4">
        <v>10120073</v>
      </c>
      <c r="B171" s="219">
        <v>1108</v>
      </c>
      <c r="D171" s="206"/>
      <c r="E171" s="71">
        <v>10080023</v>
      </c>
      <c r="F171" s="42">
        <v>11963</v>
      </c>
      <c r="H171" s="199"/>
      <c r="I171" s="71">
        <v>10600002</v>
      </c>
      <c r="J171" s="68">
        <v>61885.042600000001</v>
      </c>
      <c r="AC171" s="182" t="s">
        <v>1016</v>
      </c>
      <c r="AD171" s="172" t="s">
        <v>760</v>
      </c>
      <c r="AE171" s="172" t="s">
        <v>1135</v>
      </c>
      <c r="AF171" s="172" t="s">
        <v>692</v>
      </c>
      <c r="AG171" s="173">
        <v>110000</v>
      </c>
      <c r="AH171" s="174">
        <v>43929</v>
      </c>
      <c r="AI171" s="175">
        <v>66071</v>
      </c>
      <c r="AJ171" s="174">
        <v>33929</v>
      </c>
      <c r="AK171" s="176">
        <v>10000</v>
      </c>
      <c r="AL171" s="184">
        <f t="shared" si="6"/>
        <v>66071</v>
      </c>
      <c r="AN171" s="172"/>
      <c r="AO171" s="172"/>
      <c r="AP171" s="172"/>
      <c r="AQ171" s="173"/>
      <c r="AR171" s="174"/>
      <c r="AS171" s="175"/>
      <c r="AT171" s="174"/>
      <c r="AU171" s="174"/>
      <c r="AV171" s="184"/>
      <c r="AW171" s="187"/>
    </row>
    <row r="172" spans="1:49" x14ac:dyDescent="0.25">
      <c r="A172" s="4">
        <v>10140003</v>
      </c>
      <c r="B172" s="219">
        <v>806.83999999999992</v>
      </c>
      <c r="D172" s="206"/>
      <c r="E172" s="71">
        <v>10060011</v>
      </c>
      <c r="F172" s="42">
        <v>16000</v>
      </c>
      <c r="H172" s="199"/>
      <c r="I172" s="71">
        <v>10600003</v>
      </c>
      <c r="J172" s="68">
        <v>85000</v>
      </c>
      <c r="AC172" s="183" t="s">
        <v>1017</v>
      </c>
      <c r="AD172" s="177" t="s">
        <v>761</v>
      </c>
      <c r="AE172" s="177" t="s">
        <v>1135</v>
      </c>
      <c r="AF172" s="177" t="s">
        <v>692</v>
      </c>
      <c r="AG172" s="178">
        <v>110000</v>
      </c>
      <c r="AH172" s="179">
        <v>64737.074200000003</v>
      </c>
      <c r="AI172" s="180">
        <v>45262.925799999997</v>
      </c>
      <c r="AJ172" s="179">
        <v>49737.074200000003</v>
      </c>
      <c r="AK172" s="181">
        <v>15000</v>
      </c>
      <c r="AL172" s="184">
        <f t="shared" si="6"/>
        <v>45262.925799999997</v>
      </c>
      <c r="AN172" s="172"/>
      <c r="AO172" s="172"/>
      <c r="AP172" s="172"/>
      <c r="AQ172" s="173"/>
      <c r="AR172" s="174"/>
      <c r="AS172" s="175"/>
      <c r="AT172" s="174"/>
      <c r="AU172" s="174"/>
      <c r="AV172" s="184"/>
      <c r="AW172" s="188"/>
    </row>
    <row r="173" spans="1:49" x14ac:dyDescent="0.25">
      <c r="A173" s="4">
        <v>10140008</v>
      </c>
      <c r="B173" s="219">
        <v>753.06</v>
      </c>
      <c r="D173" s="206"/>
      <c r="E173" s="71">
        <v>10020041</v>
      </c>
      <c r="F173" s="42">
        <v>3752.676205136534</v>
      </c>
      <c r="H173" s="199"/>
      <c r="I173" s="71">
        <v>10600004</v>
      </c>
      <c r="J173" s="68">
        <v>75000</v>
      </c>
      <c r="AC173" s="182" t="s">
        <v>1018</v>
      </c>
      <c r="AD173" s="172" t="s">
        <v>762</v>
      </c>
      <c r="AE173" s="172" t="s">
        <v>1135</v>
      </c>
      <c r="AF173" s="172" t="s">
        <v>692</v>
      </c>
      <c r="AG173" s="173">
        <v>110000</v>
      </c>
      <c r="AH173" s="174">
        <v>85711.552779102378</v>
      </c>
      <c r="AI173" s="175">
        <v>24288.447220897622</v>
      </c>
      <c r="AJ173" s="174">
        <v>75711.552779102378</v>
      </c>
      <c r="AK173" s="176">
        <v>10000</v>
      </c>
      <c r="AL173" s="184">
        <f t="shared" si="6"/>
        <v>24288.447220897622</v>
      </c>
      <c r="AN173" s="177"/>
      <c r="AO173" s="177"/>
      <c r="AP173" s="177"/>
      <c r="AQ173" s="178"/>
      <c r="AR173" s="179"/>
      <c r="AS173" s="180"/>
      <c r="AT173" s="179"/>
      <c r="AU173" s="179"/>
      <c r="AV173" s="184"/>
      <c r="AW173" s="187"/>
    </row>
    <row r="174" spans="1:49" x14ac:dyDescent="0.25">
      <c r="A174" s="4">
        <v>10140015</v>
      </c>
      <c r="B174" s="219">
        <v>58</v>
      </c>
      <c r="D174" s="206"/>
      <c r="E174" s="71">
        <v>10020042</v>
      </c>
      <c r="F174" s="42">
        <v>8907</v>
      </c>
      <c r="H174" s="199"/>
      <c r="I174" s="71">
        <v>10600005</v>
      </c>
      <c r="J174" s="68">
        <v>75000</v>
      </c>
      <c r="AC174" s="183" t="s">
        <v>1019</v>
      </c>
      <c r="AD174" s="177" t="s">
        <v>763</v>
      </c>
      <c r="AE174" s="177" t="s">
        <v>1135</v>
      </c>
      <c r="AF174" s="177" t="s">
        <v>692</v>
      </c>
      <c r="AG174" s="178">
        <v>110000</v>
      </c>
      <c r="AH174" s="179">
        <v>51835.218568627199</v>
      </c>
      <c r="AI174" s="180">
        <v>58164.781431372801</v>
      </c>
      <c r="AJ174" s="179">
        <v>46835.218568627199</v>
      </c>
      <c r="AK174" s="181">
        <v>5000</v>
      </c>
      <c r="AL174" s="184">
        <f t="shared" si="6"/>
        <v>58164.781431372801</v>
      </c>
      <c r="AN174" s="172"/>
      <c r="AO174" s="172"/>
      <c r="AP174" s="172"/>
      <c r="AQ174" s="173"/>
      <c r="AR174" s="174"/>
      <c r="AS174" s="175"/>
      <c r="AT174" s="174"/>
      <c r="AU174" s="174"/>
      <c r="AV174" s="184"/>
      <c r="AW174" s="188"/>
    </row>
    <row r="175" spans="1:49" x14ac:dyDescent="0.25">
      <c r="A175" s="4">
        <v>10140018</v>
      </c>
      <c r="B175" s="219">
        <v>2039.1</v>
      </c>
      <c r="D175" s="206"/>
      <c r="E175" s="71">
        <v>10030024</v>
      </c>
      <c r="F175" s="42">
        <v>12800</v>
      </c>
      <c r="H175" s="199"/>
      <c r="I175" s="71">
        <v>10600006</v>
      </c>
      <c r="J175" s="68">
        <v>63923</v>
      </c>
      <c r="AC175" s="182" t="s">
        <v>1020</v>
      </c>
      <c r="AD175" s="172" t="s">
        <v>764</v>
      </c>
      <c r="AE175" s="172" t="s">
        <v>1135</v>
      </c>
      <c r="AF175" s="172" t="s">
        <v>692</v>
      </c>
      <c r="AG175" s="173">
        <v>110000</v>
      </c>
      <c r="AH175" s="174">
        <v>74245.240517312704</v>
      </c>
      <c r="AI175" s="175">
        <v>35754.759482687296</v>
      </c>
      <c r="AJ175" s="174">
        <v>69245.240517312704</v>
      </c>
      <c r="AK175" s="176">
        <v>5000</v>
      </c>
      <c r="AL175" s="184">
        <f t="shared" si="6"/>
        <v>35754.759482687296</v>
      </c>
      <c r="AN175" s="177"/>
      <c r="AO175" s="177"/>
      <c r="AP175" s="177"/>
      <c r="AQ175" s="178"/>
      <c r="AR175" s="179"/>
      <c r="AS175" s="180"/>
      <c r="AT175" s="179"/>
      <c r="AU175" s="179"/>
      <c r="AV175" s="184"/>
      <c r="AW175" s="187"/>
    </row>
    <row r="176" spans="1:49" x14ac:dyDescent="0.25">
      <c r="A176" s="4">
        <v>10140023</v>
      </c>
      <c r="B176" s="219">
        <v>1164</v>
      </c>
      <c r="D176" s="206"/>
      <c r="E176" s="71">
        <v>10060033</v>
      </c>
      <c r="F176" s="42">
        <v>9600</v>
      </c>
      <c r="H176" s="199"/>
      <c r="I176" s="71">
        <v>10600007</v>
      </c>
      <c r="J176" s="68">
        <v>85000</v>
      </c>
      <c r="AC176" s="183" t="s">
        <v>1021</v>
      </c>
      <c r="AD176" s="177" t="s">
        <v>394</v>
      </c>
      <c r="AE176" s="177" t="s">
        <v>1135</v>
      </c>
      <c r="AF176" s="177" t="s">
        <v>692</v>
      </c>
      <c r="AG176" s="178">
        <v>110000</v>
      </c>
      <c r="AH176" s="179">
        <v>61742.481863760608</v>
      </c>
      <c r="AI176" s="180">
        <v>48257.518136239392</v>
      </c>
      <c r="AJ176" s="179">
        <v>51742.481863760608</v>
      </c>
      <c r="AK176" s="181">
        <v>10000</v>
      </c>
      <c r="AL176" s="184">
        <f t="shared" si="6"/>
        <v>48257.518136239392</v>
      </c>
      <c r="AN176" s="172"/>
      <c r="AO176" s="172"/>
      <c r="AP176" s="172"/>
      <c r="AQ176" s="173"/>
      <c r="AR176" s="174"/>
      <c r="AS176" s="175"/>
      <c r="AT176" s="174"/>
      <c r="AU176" s="174"/>
      <c r="AV176" s="184"/>
      <c r="AW176" s="188"/>
    </row>
    <row r="177" spans="1:49" x14ac:dyDescent="0.25">
      <c r="A177" s="4">
        <v>10140028</v>
      </c>
      <c r="B177" s="219">
        <v>58</v>
      </c>
      <c r="D177" s="206"/>
      <c r="E177" s="71">
        <v>10060034</v>
      </c>
      <c r="F177" s="42">
        <v>7946.7305999999999</v>
      </c>
      <c r="H177" s="199"/>
      <c r="I177" s="71">
        <v>10530100</v>
      </c>
      <c r="J177" s="68">
        <v>63139</v>
      </c>
      <c r="AC177" s="182" t="s">
        <v>1022</v>
      </c>
      <c r="AD177" s="172" t="s">
        <v>765</v>
      </c>
      <c r="AE177" s="172" t="s">
        <v>1135</v>
      </c>
      <c r="AF177" s="172" t="s">
        <v>692</v>
      </c>
      <c r="AG177" s="173">
        <v>64000</v>
      </c>
      <c r="AH177" s="174">
        <v>34032</v>
      </c>
      <c r="AI177" s="175">
        <v>29968</v>
      </c>
      <c r="AJ177" s="174">
        <v>29032</v>
      </c>
      <c r="AK177" s="176">
        <v>5000</v>
      </c>
      <c r="AL177" s="184">
        <f t="shared" si="6"/>
        <v>29968</v>
      </c>
      <c r="AN177" s="177"/>
      <c r="AO177" s="177"/>
      <c r="AP177" s="177"/>
      <c r="AQ177" s="178"/>
      <c r="AR177" s="179"/>
      <c r="AS177" s="180"/>
      <c r="AT177" s="179"/>
      <c r="AU177" s="179"/>
      <c r="AV177" s="184"/>
      <c r="AW177" s="187"/>
    </row>
    <row r="178" spans="1:49" x14ac:dyDescent="0.25">
      <c r="A178" s="4">
        <v>10140034</v>
      </c>
      <c r="B178" s="219">
        <v>539.99</v>
      </c>
      <c r="D178" s="206"/>
      <c r="E178" s="71">
        <v>10060036</v>
      </c>
      <c r="F178" s="42">
        <v>13203.0506</v>
      </c>
      <c r="H178" s="199"/>
      <c r="I178" s="71">
        <v>10530101</v>
      </c>
      <c r="J178" s="68">
        <v>63139</v>
      </c>
      <c r="AC178" s="183" t="s">
        <v>854</v>
      </c>
      <c r="AD178" s="177" t="s">
        <v>766</v>
      </c>
      <c r="AE178" s="177" t="s">
        <v>1135</v>
      </c>
      <c r="AF178" s="177" t="s">
        <v>692</v>
      </c>
      <c r="AG178" s="178">
        <v>110000</v>
      </c>
      <c r="AH178" s="179">
        <v>12414</v>
      </c>
      <c r="AI178" s="180">
        <v>97586</v>
      </c>
      <c r="AJ178" s="179">
        <v>2414</v>
      </c>
      <c r="AK178" s="181">
        <v>10000</v>
      </c>
      <c r="AL178" s="184">
        <f t="shared" si="6"/>
        <v>97586</v>
      </c>
      <c r="AN178" s="172"/>
      <c r="AO178" s="172"/>
      <c r="AP178" s="172"/>
      <c r="AQ178" s="173"/>
      <c r="AR178" s="174"/>
      <c r="AS178" s="175"/>
      <c r="AT178" s="174"/>
      <c r="AU178" s="174"/>
      <c r="AV178" s="184"/>
      <c r="AW178" s="188"/>
    </row>
    <row r="179" spans="1:49" x14ac:dyDescent="0.25">
      <c r="A179" s="4">
        <v>10140036</v>
      </c>
      <c r="B179" s="219">
        <v>332</v>
      </c>
      <c r="D179" s="206"/>
      <c r="E179" s="71">
        <v>10060038</v>
      </c>
      <c r="F179" s="42">
        <v>6400</v>
      </c>
      <c r="H179" s="199"/>
      <c r="I179" s="71">
        <v>10110180</v>
      </c>
      <c r="J179" s="68">
        <v>65000</v>
      </c>
      <c r="AC179" s="182" t="s">
        <v>1023</v>
      </c>
      <c r="AD179" s="172" t="s">
        <v>716</v>
      </c>
      <c r="AE179" s="172" t="s">
        <v>1135</v>
      </c>
      <c r="AF179" s="172" t="s">
        <v>692</v>
      </c>
      <c r="AG179" s="173">
        <v>110000</v>
      </c>
      <c r="AH179" s="174">
        <v>29575</v>
      </c>
      <c r="AI179" s="175">
        <v>80425</v>
      </c>
      <c r="AJ179" s="174">
        <v>24575</v>
      </c>
      <c r="AK179" s="176">
        <v>5000</v>
      </c>
      <c r="AL179" s="184">
        <f t="shared" si="6"/>
        <v>80425</v>
      </c>
      <c r="AN179" s="177"/>
      <c r="AO179" s="177"/>
      <c r="AP179" s="177"/>
      <c r="AQ179" s="178"/>
      <c r="AR179" s="179"/>
      <c r="AS179" s="180"/>
      <c r="AT179" s="179"/>
      <c r="AU179" s="179"/>
      <c r="AV179" s="184"/>
      <c r="AW179" s="187"/>
    </row>
    <row r="180" spans="1:49" x14ac:dyDescent="0.25">
      <c r="A180" s="4">
        <v>10140037</v>
      </c>
      <c r="B180" s="219">
        <v>688</v>
      </c>
      <c r="D180" s="206"/>
      <c r="E180" s="71">
        <v>10010005</v>
      </c>
      <c r="F180" s="42">
        <v>16000</v>
      </c>
      <c r="H180" s="199"/>
      <c r="I180" s="71">
        <v>10580015</v>
      </c>
      <c r="J180" s="68">
        <v>63139</v>
      </c>
      <c r="AC180" s="183" t="s">
        <v>1024</v>
      </c>
      <c r="AD180" s="177" t="s">
        <v>392</v>
      </c>
      <c r="AE180" s="177" t="s">
        <v>1135</v>
      </c>
      <c r="AF180" s="177" t="s">
        <v>692</v>
      </c>
      <c r="AG180" s="178">
        <v>110000</v>
      </c>
      <c r="AH180" s="179">
        <v>98351.603239554694</v>
      </c>
      <c r="AI180" s="180">
        <v>11648.396760445306</v>
      </c>
      <c r="AJ180" s="179">
        <v>88351.603239554694</v>
      </c>
      <c r="AK180" s="181">
        <v>10000</v>
      </c>
      <c r="AL180" s="184">
        <f t="shared" si="6"/>
        <v>11648.396760445306</v>
      </c>
      <c r="AN180" s="172"/>
      <c r="AO180" s="172"/>
      <c r="AP180" s="172"/>
      <c r="AQ180" s="173"/>
      <c r="AR180" s="174"/>
      <c r="AS180" s="175"/>
      <c r="AT180" s="174"/>
      <c r="AU180" s="174"/>
      <c r="AV180" s="184"/>
      <c r="AW180" s="188"/>
    </row>
    <row r="181" spans="1:49" x14ac:dyDescent="0.25">
      <c r="A181" s="4">
        <v>10140038</v>
      </c>
      <c r="B181" s="219">
        <v>348.52</v>
      </c>
      <c r="D181" s="206"/>
      <c r="E181" s="71">
        <v>10010046</v>
      </c>
      <c r="F181" s="42">
        <v>6400</v>
      </c>
      <c r="H181" s="199"/>
      <c r="I181" s="71">
        <v>10580017</v>
      </c>
      <c r="J181" s="68">
        <v>61971.521399999998</v>
      </c>
      <c r="AC181" s="182" t="s">
        <v>1025</v>
      </c>
      <c r="AD181" s="172" t="s">
        <v>767</v>
      </c>
      <c r="AE181" s="172" t="s">
        <v>1135</v>
      </c>
      <c r="AF181" s="172" t="s">
        <v>692</v>
      </c>
      <c r="AG181" s="173">
        <v>110000</v>
      </c>
      <c r="AH181" s="174">
        <v>29964.189000000002</v>
      </c>
      <c r="AI181" s="175">
        <v>80035.811000000002</v>
      </c>
      <c r="AJ181" s="174">
        <v>19964.189000000002</v>
      </c>
      <c r="AK181" s="176">
        <v>10000</v>
      </c>
      <c r="AL181" s="184">
        <f t="shared" si="6"/>
        <v>80035.811000000002</v>
      </c>
      <c r="AN181" s="177"/>
      <c r="AO181" s="177"/>
      <c r="AP181" s="177"/>
      <c r="AQ181" s="178"/>
      <c r="AR181" s="179"/>
      <c r="AS181" s="180"/>
      <c r="AT181" s="179"/>
      <c r="AU181" s="179"/>
      <c r="AV181" s="184"/>
      <c r="AW181" s="187"/>
    </row>
    <row r="182" spans="1:49" x14ac:dyDescent="0.25">
      <c r="A182" s="4">
        <v>10140040</v>
      </c>
      <c r="B182" s="219">
        <v>332</v>
      </c>
      <c r="D182" s="206"/>
      <c r="E182" s="71">
        <v>10010001</v>
      </c>
      <c r="F182" s="42">
        <v>6400</v>
      </c>
      <c r="H182" s="199"/>
      <c r="I182" s="71">
        <v>10580018</v>
      </c>
      <c r="J182" s="68">
        <v>64500</v>
      </c>
      <c r="AC182" s="183" t="s">
        <v>1026</v>
      </c>
      <c r="AD182" s="177" t="s">
        <v>1128</v>
      </c>
      <c r="AE182" s="177" t="s">
        <v>1135</v>
      </c>
      <c r="AF182" s="177" t="s">
        <v>692</v>
      </c>
      <c r="AG182" s="178">
        <v>109992</v>
      </c>
      <c r="AH182" s="179">
        <v>109991.57909603723</v>
      </c>
      <c r="AI182" s="180">
        <v>0.42090396277490072</v>
      </c>
      <c r="AJ182" s="179">
        <v>24562.579096037218</v>
      </c>
      <c r="AK182" s="181">
        <v>10000</v>
      </c>
      <c r="AL182" s="184">
        <f t="shared" ref="AL182:AL183" si="8">AG182-AI182</f>
        <v>109991.57909603723</v>
      </c>
      <c r="AN182" s="172"/>
      <c r="AO182" s="172"/>
      <c r="AP182" s="172"/>
      <c r="AQ182" s="173"/>
      <c r="AR182" s="174"/>
      <c r="AS182" s="175"/>
      <c r="AT182" s="174"/>
      <c r="AU182" s="174"/>
      <c r="AV182" s="184"/>
      <c r="AW182" s="188"/>
    </row>
    <row r="183" spans="1:49" x14ac:dyDescent="0.25">
      <c r="A183" s="4">
        <v>10140042</v>
      </c>
      <c r="B183" s="219">
        <v>332</v>
      </c>
      <c r="D183" s="206"/>
      <c r="E183" s="71">
        <v>10010004</v>
      </c>
      <c r="F183" s="42">
        <v>2771.1347534519127</v>
      </c>
      <c r="H183" s="199"/>
      <c r="I183" s="71">
        <v>10010141</v>
      </c>
      <c r="J183" s="68">
        <v>64000</v>
      </c>
      <c r="AC183" s="182" t="s">
        <v>1027</v>
      </c>
      <c r="AD183" s="172" t="s">
        <v>768</v>
      </c>
      <c r="AE183" s="172" t="s">
        <v>1135</v>
      </c>
      <c r="AF183" s="172" t="s">
        <v>692</v>
      </c>
      <c r="AG183" s="173">
        <v>64000</v>
      </c>
      <c r="AH183" s="174">
        <v>56408.014548424195</v>
      </c>
      <c r="AI183" s="175">
        <v>7591.9854515758052</v>
      </c>
      <c r="AJ183" s="174">
        <v>46408.014548424195</v>
      </c>
      <c r="AK183" s="176">
        <v>10000</v>
      </c>
      <c r="AL183" s="184">
        <f t="shared" si="8"/>
        <v>56408.014548424195</v>
      </c>
      <c r="AN183" s="177"/>
      <c r="AO183" s="177"/>
      <c r="AP183" s="177"/>
      <c r="AQ183" s="178"/>
      <c r="AR183" s="179"/>
      <c r="AS183" s="180"/>
      <c r="AT183" s="179"/>
      <c r="AU183" s="179"/>
      <c r="AV183" s="184"/>
      <c r="AW183" s="187"/>
    </row>
    <row r="184" spans="1:49" x14ac:dyDescent="0.25">
      <c r="A184" s="4">
        <v>10140044</v>
      </c>
      <c r="B184" s="219">
        <v>58</v>
      </c>
      <c r="D184" s="206"/>
      <c r="E184" s="71">
        <v>10010013</v>
      </c>
      <c r="F184" s="42">
        <v>12800</v>
      </c>
      <c r="H184" s="199"/>
      <c r="I184" s="71">
        <v>10580019</v>
      </c>
      <c r="J184" s="68">
        <v>70000</v>
      </c>
      <c r="AC184" s="183" t="s">
        <v>1028</v>
      </c>
      <c r="AD184" s="177" t="s">
        <v>213</v>
      </c>
      <c r="AE184" s="177" t="s">
        <v>1135</v>
      </c>
      <c r="AF184" s="177" t="s">
        <v>692</v>
      </c>
      <c r="AG184" s="178">
        <v>110000</v>
      </c>
      <c r="AH184" s="179">
        <v>35081</v>
      </c>
      <c r="AI184" s="180">
        <v>74919</v>
      </c>
      <c r="AJ184" s="179">
        <v>25081</v>
      </c>
      <c r="AK184" s="181">
        <v>10000</v>
      </c>
      <c r="AL184" s="184">
        <f t="shared" ref="AL184:AL247" si="9">AG184-AH184</f>
        <v>74919</v>
      </c>
      <c r="AN184" s="172"/>
      <c r="AO184" s="172"/>
      <c r="AP184" s="172"/>
      <c r="AQ184" s="173"/>
      <c r="AR184" s="174"/>
      <c r="AS184" s="175"/>
      <c r="AT184" s="174"/>
      <c r="AU184" s="174"/>
      <c r="AV184" s="184"/>
      <c r="AW184" s="188"/>
    </row>
    <row r="185" spans="1:49" x14ac:dyDescent="0.25">
      <c r="A185" s="4">
        <v>10140046</v>
      </c>
      <c r="B185" s="219">
        <v>58</v>
      </c>
      <c r="D185" s="206"/>
      <c r="E185" s="71">
        <v>10010012</v>
      </c>
      <c r="F185" s="42">
        <v>12800</v>
      </c>
      <c r="H185" s="199"/>
      <c r="I185" s="71">
        <v>10070078</v>
      </c>
      <c r="J185" s="68">
        <v>75733.464200000002</v>
      </c>
      <c r="AC185" s="182" t="s">
        <v>1029</v>
      </c>
      <c r="AD185" s="172" t="s">
        <v>665</v>
      </c>
      <c r="AE185" s="172" t="s">
        <v>1134</v>
      </c>
      <c r="AF185" s="172" t="s">
        <v>692</v>
      </c>
      <c r="AG185" s="173">
        <v>110000</v>
      </c>
      <c r="AH185" s="174">
        <v>28872.158431586562</v>
      </c>
      <c r="AI185" s="175">
        <v>81127.841568413438</v>
      </c>
      <c r="AJ185" s="174">
        <v>28872.158431586562</v>
      </c>
      <c r="AK185" s="176">
        <v>0</v>
      </c>
      <c r="AL185" s="184">
        <f t="shared" si="9"/>
        <v>81127.841568413438</v>
      </c>
      <c r="AN185" s="177"/>
      <c r="AO185" s="177"/>
      <c r="AP185" s="177"/>
      <c r="AQ185" s="178"/>
      <c r="AR185" s="179"/>
      <c r="AS185" s="180"/>
      <c r="AT185" s="179"/>
      <c r="AU185" s="179"/>
      <c r="AV185" s="184"/>
      <c r="AW185" s="187"/>
    </row>
    <row r="186" spans="1:49" x14ac:dyDescent="0.25">
      <c r="A186" s="4">
        <v>10140050</v>
      </c>
      <c r="B186" s="219">
        <v>312</v>
      </c>
      <c r="D186" s="206"/>
      <c r="E186" s="71">
        <v>10010014</v>
      </c>
      <c r="F186" s="42">
        <v>6400</v>
      </c>
      <c r="H186" s="199"/>
      <c r="I186" s="71">
        <v>10120120</v>
      </c>
      <c r="J186" s="68">
        <v>75000</v>
      </c>
      <c r="AC186" s="183" t="s">
        <v>1030</v>
      </c>
      <c r="AD186" s="177" t="s">
        <v>769</v>
      </c>
      <c r="AE186" s="177" t="s">
        <v>1135</v>
      </c>
      <c r="AF186" s="177" t="s">
        <v>692</v>
      </c>
      <c r="AG186" s="178">
        <v>110000</v>
      </c>
      <c r="AH186" s="179">
        <v>64889.86490953133</v>
      </c>
      <c r="AI186" s="180">
        <v>45110.13509046867</v>
      </c>
      <c r="AJ186" s="179">
        <v>54889.86490953133</v>
      </c>
      <c r="AK186" s="181">
        <v>10000</v>
      </c>
      <c r="AL186" s="184">
        <f t="shared" si="9"/>
        <v>45110.13509046867</v>
      </c>
      <c r="AN186" s="172"/>
      <c r="AO186" s="172"/>
      <c r="AP186" s="172"/>
      <c r="AQ186" s="173"/>
      <c r="AR186" s="174"/>
      <c r="AS186" s="175"/>
      <c r="AT186" s="174"/>
      <c r="AU186" s="174"/>
      <c r="AV186" s="184"/>
      <c r="AW186" s="188"/>
    </row>
    <row r="187" spans="1:49" x14ac:dyDescent="0.25">
      <c r="A187" s="4">
        <v>10140052</v>
      </c>
      <c r="B187" s="219">
        <v>58</v>
      </c>
      <c r="D187" s="206"/>
      <c r="E187" s="71">
        <v>10010015</v>
      </c>
      <c r="F187" s="42">
        <v>6400</v>
      </c>
      <c r="H187" s="199"/>
      <c r="I187" s="71">
        <v>10120121</v>
      </c>
      <c r="J187" s="68">
        <v>72825</v>
      </c>
      <c r="AC187" s="182" t="s">
        <v>1031</v>
      </c>
      <c r="AD187" s="172" t="s">
        <v>770</v>
      </c>
      <c r="AE187" s="172" t="s">
        <v>1134</v>
      </c>
      <c r="AF187" s="172" t="s">
        <v>692</v>
      </c>
      <c r="AG187" s="173">
        <v>110000</v>
      </c>
      <c r="AH187" s="174">
        <v>6452</v>
      </c>
      <c r="AI187" s="175">
        <v>103548</v>
      </c>
      <c r="AJ187" s="174">
        <v>6452</v>
      </c>
      <c r="AK187" s="176">
        <v>0</v>
      </c>
      <c r="AL187" s="184">
        <f t="shared" si="9"/>
        <v>103548</v>
      </c>
      <c r="AN187" s="177"/>
      <c r="AO187" s="177"/>
      <c r="AP187" s="177"/>
      <c r="AQ187" s="178"/>
      <c r="AR187" s="179"/>
      <c r="AS187" s="180"/>
      <c r="AT187" s="179"/>
      <c r="AU187" s="179"/>
      <c r="AV187" s="184"/>
      <c r="AW187" s="187"/>
    </row>
    <row r="188" spans="1:49" x14ac:dyDescent="0.25">
      <c r="A188" s="4">
        <v>10140056</v>
      </c>
      <c r="B188" s="219">
        <v>58</v>
      </c>
      <c r="D188" s="206"/>
      <c r="E188" s="71">
        <v>10010016</v>
      </c>
      <c r="F188" s="42">
        <v>6400</v>
      </c>
      <c r="H188" s="199"/>
      <c r="I188" s="71">
        <v>10530103</v>
      </c>
      <c r="J188" s="68">
        <v>58054.9902</v>
      </c>
      <c r="AC188" s="183" t="s">
        <v>1032</v>
      </c>
      <c r="AD188" s="177" t="s">
        <v>581</v>
      </c>
      <c r="AE188" s="177" t="s">
        <v>1134</v>
      </c>
      <c r="AF188" s="177" t="s">
        <v>692</v>
      </c>
      <c r="AG188" s="178">
        <v>110000</v>
      </c>
      <c r="AH188" s="179">
        <v>20333.050999999999</v>
      </c>
      <c r="AI188" s="180">
        <v>89666.948999999993</v>
      </c>
      <c r="AJ188" s="179">
        <v>20333.050999999999</v>
      </c>
      <c r="AK188" s="176">
        <v>0</v>
      </c>
      <c r="AL188" s="184">
        <f t="shared" si="9"/>
        <v>89666.948999999993</v>
      </c>
      <c r="AN188" s="172"/>
      <c r="AO188" s="172"/>
      <c r="AP188" s="172"/>
      <c r="AQ188" s="173"/>
      <c r="AR188" s="174"/>
      <c r="AS188" s="175"/>
      <c r="AT188" s="174"/>
      <c r="AU188" s="174"/>
      <c r="AV188" s="184"/>
      <c r="AW188" s="188"/>
    </row>
    <row r="189" spans="1:49" x14ac:dyDescent="0.25">
      <c r="A189" s="4">
        <v>10140059</v>
      </c>
      <c r="B189" s="219">
        <v>4116</v>
      </c>
      <c r="D189" s="206"/>
      <c r="E189" s="71">
        <v>10010022</v>
      </c>
      <c r="F189" s="42">
        <v>6400</v>
      </c>
      <c r="H189" s="199"/>
      <c r="I189" s="71">
        <v>10540042</v>
      </c>
      <c r="J189" s="68">
        <v>61009.3226</v>
      </c>
      <c r="AC189" s="182" t="s">
        <v>1033</v>
      </c>
      <c r="AD189" s="172" t="s">
        <v>237</v>
      </c>
      <c r="AE189" s="172" t="s">
        <v>1135</v>
      </c>
      <c r="AF189" s="172" t="s">
        <v>692</v>
      </c>
      <c r="AG189" s="173">
        <v>110000</v>
      </c>
      <c r="AH189" s="174">
        <v>47734.698567910869</v>
      </c>
      <c r="AI189" s="175">
        <v>62265.301432089131</v>
      </c>
      <c r="AJ189" s="174">
        <v>42734.698567910869</v>
      </c>
      <c r="AK189" s="176">
        <v>5000</v>
      </c>
      <c r="AL189" s="184">
        <f t="shared" si="9"/>
        <v>62265.301432089131</v>
      </c>
      <c r="AN189" s="177"/>
      <c r="AO189" s="177"/>
      <c r="AP189" s="177"/>
      <c r="AQ189" s="178"/>
      <c r="AR189" s="179"/>
      <c r="AS189" s="180"/>
      <c r="AT189" s="179"/>
      <c r="AU189" s="179"/>
      <c r="AV189" s="184"/>
      <c r="AW189" s="187"/>
    </row>
    <row r="190" spans="1:49" x14ac:dyDescent="0.25">
      <c r="A190" s="4">
        <v>10140060</v>
      </c>
      <c r="B190" s="219">
        <v>156</v>
      </c>
      <c r="D190" s="206"/>
      <c r="E190" s="71">
        <v>10010020</v>
      </c>
      <c r="F190" s="42">
        <v>3200</v>
      </c>
      <c r="H190" s="199"/>
      <c r="I190" s="71">
        <v>10560026</v>
      </c>
      <c r="J190" s="68">
        <v>70304.534</v>
      </c>
      <c r="AC190" s="183" t="s">
        <v>854</v>
      </c>
      <c r="AD190" s="177" t="s">
        <v>771</v>
      </c>
      <c r="AE190" s="177" t="s">
        <v>1135</v>
      </c>
      <c r="AF190" s="177" t="s">
        <v>692</v>
      </c>
      <c r="AG190" s="178">
        <v>110000</v>
      </c>
      <c r="AH190" s="179">
        <v>10000</v>
      </c>
      <c r="AI190" s="180">
        <v>100000</v>
      </c>
      <c r="AJ190" s="179">
        <v>0</v>
      </c>
      <c r="AK190" s="181">
        <v>10000</v>
      </c>
      <c r="AL190" s="184">
        <f t="shared" si="9"/>
        <v>100000</v>
      </c>
      <c r="AN190" s="172"/>
      <c r="AO190" s="172"/>
      <c r="AP190" s="172"/>
      <c r="AQ190" s="173"/>
      <c r="AR190" s="174"/>
      <c r="AS190" s="175"/>
      <c r="AT190" s="174"/>
      <c r="AU190" s="174"/>
      <c r="AV190" s="184"/>
      <c r="AW190" s="188"/>
    </row>
    <row r="191" spans="1:49" x14ac:dyDescent="0.25">
      <c r="A191" s="4">
        <v>10140061</v>
      </c>
      <c r="B191" s="219">
        <v>156</v>
      </c>
      <c r="D191" s="206"/>
      <c r="E191" s="71">
        <v>10010024</v>
      </c>
      <c r="F191" s="42">
        <v>6400</v>
      </c>
      <c r="H191" s="199"/>
      <c r="I191" s="71">
        <v>10530102</v>
      </c>
      <c r="J191" s="68">
        <v>71966</v>
      </c>
      <c r="AC191" s="182" t="s">
        <v>1034</v>
      </c>
      <c r="AD191" s="172" t="s">
        <v>772</v>
      </c>
      <c r="AE191" s="172" t="s">
        <v>1135</v>
      </c>
      <c r="AF191" s="172" t="s">
        <v>692</v>
      </c>
      <c r="AG191" s="173">
        <v>110000</v>
      </c>
      <c r="AH191" s="174">
        <v>34076.150296122622</v>
      </c>
      <c r="AI191" s="175">
        <v>75923.849703877378</v>
      </c>
      <c r="AJ191" s="174">
        <v>24076.150296122622</v>
      </c>
      <c r="AK191" s="176">
        <v>10000</v>
      </c>
      <c r="AL191" s="184">
        <f t="shared" si="9"/>
        <v>75923.849703877378</v>
      </c>
      <c r="AN191" s="177"/>
      <c r="AO191" s="177"/>
      <c r="AP191" s="177"/>
      <c r="AQ191" s="178"/>
      <c r="AR191" s="179"/>
      <c r="AS191" s="180"/>
      <c r="AT191" s="179"/>
      <c r="AU191" s="179"/>
      <c r="AV191" s="184"/>
      <c r="AW191" s="187"/>
    </row>
    <row r="192" spans="1:49" x14ac:dyDescent="0.25">
      <c r="A192" s="4">
        <v>10140067</v>
      </c>
      <c r="B192" s="219">
        <v>348.52</v>
      </c>
      <c r="D192" s="206"/>
      <c r="E192" s="71">
        <v>10010025</v>
      </c>
      <c r="F192" s="42">
        <v>6400</v>
      </c>
      <c r="H192" s="199"/>
      <c r="I192" s="71">
        <v>10570036</v>
      </c>
      <c r="J192" s="68">
        <v>75000</v>
      </c>
      <c r="AC192" s="183" t="s">
        <v>1035</v>
      </c>
      <c r="AD192" s="177" t="s">
        <v>773</v>
      </c>
      <c r="AE192" s="177" t="s">
        <v>1135</v>
      </c>
      <c r="AF192" s="177" t="s">
        <v>692</v>
      </c>
      <c r="AG192" s="178">
        <v>110000</v>
      </c>
      <c r="AH192" s="179">
        <v>15776.582</v>
      </c>
      <c r="AI192" s="180">
        <v>94223.418000000005</v>
      </c>
      <c r="AJ192" s="179">
        <v>5776.5820000000003</v>
      </c>
      <c r="AK192" s="181">
        <v>10000</v>
      </c>
      <c r="AL192" s="184">
        <f t="shared" si="9"/>
        <v>94223.418000000005</v>
      </c>
      <c r="AN192" s="172"/>
      <c r="AO192" s="172"/>
      <c r="AP192" s="172"/>
      <c r="AQ192" s="173"/>
      <c r="AR192" s="174"/>
      <c r="AS192" s="175"/>
      <c r="AT192" s="174"/>
      <c r="AU192" s="174"/>
      <c r="AV192" s="184"/>
      <c r="AW192" s="188"/>
    </row>
    <row r="193" spans="1:49" x14ac:dyDescent="0.25">
      <c r="A193" s="4">
        <v>10140083</v>
      </c>
      <c r="B193" s="219">
        <v>697.04</v>
      </c>
      <c r="D193" s="206"/>
      <c r="E193" s="71">
        <v>10010026</v>
      </c>
      <c r="F193" s="42">
        <v>6400</v>
      </c>
      <c r="H193" s="199"/>
      <c r="I193" s="71">
        <v>10590001</v>
      </c>
      <c r="J193" s="68">
        <v>64509.332200000004</v>
      </c>
      <c r="AC193" s="182" t="s">
        <v>854</v>
      </c>
      <c r="AD193" s="172" t="s">
        <v>774</v>
      </c>
      <c r="AE193" s="172" t="s">
        <v>1135</v>
      </c>
      <c r="AF193" s="172" t="s">
        <v>692</v>
      </c>
      <c r="AG193" s="173">
        <v>110000</v>
      </c>
      <c r="AH193" s="174">
        <v>5335</v>
      </c>
      <c r="AI193" s="175">
        <v>104665</v>
      </c>
      <c r="AJ193" s="174">
        <v>335</v>
      </c>
      <c r="AK193" s="176">
        <v>5000</v>
      </c>
      <c r="AL193" s="184">
        <f t="shared" si="9"/>
        <v>104665</v>
      </c>
      <c r="AN193" s="177"/>
      <c r="AO193" s="177"/>
      <c r="AP193" s="177"/>
      <c r="AQ193" s="178"/>
      <c r="AR193" s="179"/>
      <c r="AS193" s="180"/>
      <c r="AT193" s="179"/>
      <c r="AU193" s="179"/>
      <c r="AV193" s="184"/>
      <c r="AW193" s="187"/>
    </row>
    <row r="194" spans="1:49" x14ac:dyDescent="0.25">
      <c r="A194" s="4">
        <v>10140086</v>
      </c>
      <c r="B194" s="219">
        <v>1696</v>
      </c>
      <c r="D194" s="206"/>
      <c r="E194" s="71">
        <v>10010027</v>
      </c>
      <c r="F194" s="42">
        <v>9600</v>
      </c>
      <c r="H194" s="199"/>
      <c r="I194" s="71">
        <v>10590002</v>
      </c>
      <c r="J194" s="68">
        <v>82467</v>
      </c>
      <c r="AC194" s="183" t="s">
        <v>1036</v>
      </c>
      <c r="AD194" s="177" t="s">
        <v>775</v>
      </c>
      <c r="AE194" s="177" t="s">
        <v>1134</v>
      </c>
      <c r="AF194" s="177" t="s">
        <v>692</v>
      </c>
      <c r="AG194" s="178">
        <v>110000</v>
      </c>
      <c r="AH194" s="179">
        <v>7335.3904000000002</v>
      </c>
      <c r="AI194" s="180">
        <v>102664.6096</v>
      </c>
      <c r="AJ194" s="179">
        <v>7335.3904000000002</v>
      </c>
      <c r="AK194" s="176">
        <v>0</v>
      </c>
      <c r="AL194" s="184">
        <f t="shared" si="9"/>
        <v>102664.6096</v>
      </c>
      <c r="AN194" s="172"/>
      <c r="AO194" s="172"/>
      <c r="AP194" s="172"/>
      <c r="AQ194" s="173"/>
      <c r="AR194" s="174"/>
      <c r="AS194" s="175"/>
      <c r="AT194" s="174"/>
      <c r="AU194" s="174"/>
      <c r="AV194" s="184"/>
      <c r="AW194" s="188"/>
    </row>
    <row r="195" spans="1:49" x14ac:dyDescent="0.25">
      <c r="A195" s="4">
        <v>10140095</v>
      </c>
      <c r="B195" s="219">
        <v>348.52</v>
      </c>
      <c r="D195" s="206"/>
      <c r="E195" s="71">
        <v>10010039</v>
      </c>
      <c r="F195" s="42">
        <v>3118.3879999999999</v>
      </c>
      <c r="H195" s="199"/>
      <c r="I195" s="71">
        <v>10590003</v>
      </c>
      <c r="J195" s="68">
        <v>73962</v>
      </c>
      <c r="AC195" s="182" t="s">
        <v>1037</v>
      </c>
      <c r="AD195" s="172" t="s">
        <v>242</v>
      </c>
      <c r="AE195" s="172" t="s">
        <v>1134</v>
      </c>
      <c r="AF195" s="172" t="s">
        <v>692</v>
      </c>
      <c r="AG195" s="173">
        <v>110000</v>
      </c>
      <c r="AH195" s="174">
        <v>87868.007721496324</v>
      </c>
      <c r="AI195" s="175">
        <v>22131.992278503676</v>
      </c>
      <c r="AJ195" s="174">
        <v>87868.007721496324</v>
      </c>
      <c r="AK195" s="176">
        <v>0</v>
      </c>
      <c r="AL195" s="184">
        <f t="shared" si="9"/>
        <v>22131.992278503676</v>
      </c>
      <c r="AN195" s="177"/>
      <c r="AO195" s="177"/>
      <c r="AP195" s="177"/>
      <c r="AQ195" s="178"/>
      <c r="AR195" s="179"/>
      <c r="AS195" s="180"/>
      <c r="AT195" s="179"/>
      <c r="AU195" s="179"/>
      <c r="AV195" s="184"/>
      <c r="AW195" s="187"/>
    </row>
    <row r="196" spans="1:49" x14ac:dyDescent="0.25">
      <c r="A196" s="4">
        <v>10360011</v>
      </c>
      <c r="B196" s="219">
        <v>4058</v>
      </c>
      <c r="D196" s="206"/>
      <c r="E196" s="71">
        <v>10010028</v>
      </c>
      <c r="F196" s="42">
        <v>6400</v>
      </c>
      <c r="H196" s="199"/>
      <c r="I196" s="71">
        <v>10590004</v>
      </c>
      <c r="J196" s="68">
        <v>64623.726200000005</v>
      </c>
      <c r="AC196" s="183" t="s">
        <v>1038</v>
      </c>
      <c r="AD196" s="177" t="s">
        <v>241</v>
      </c>
      <c r="AE196" s="177" t="s">
        <v>1134</v>
      </c>
      <c r="AF196" s="177" t="s">
        <v>692</v>
      </c>
      <c r="AG196" s="178">
        <v>110000</v>
      </c>
      <c r="AH196" s="179">
        <v>36468.945873787517</v>
      </c>
      <c r="AI196" s="180">
        <v>73531.05412621249</v>
      </c>
      <c r="AJ196" s="179">
        <v>36468.945873787517</v>
      </c>
      <c r="AK196" s="176">
        <v>0</v>
      </c>
      <c r="AL196" s="184">
        <f t="shared" si="9"/>
        <v>73531.05412621249</v>
      </c>
      <c r="AN196" s="172"/>
      <c r="AO196" s="172"/>
      <c r="AP196" s="172"/>
      <c r="AQ196" s="173"/>
      <c r="AR196" s="174"/>
      <c r="AS196" s="175"/>
      <c r="AT196" s="174"/>
      <c r="AU196" s="174"/>
      <c r="AV196" s="184"/>
      <c r="AW196" s="188"/>
    </row>
    <row r="197" spans="1:49" x14ac:dyDescent="0.25">
      <c r="A197" s="4">
        <v>10480016</v>
      </c>
      <c r="B197" s="219">
        <v>256.5</v>
      </c>
      <c r="D197" s="206"/>
      <c r="E197" s="71">
        <v>10010029</v>
      </c>
      <c r="F197" s="42">
        <v>6400</v>
      </c>
      <c r="H197" s="199"/>
      <c r="I197" s="71">
        <v>10590005</v>
      </c>
      <c r="J197" s="68">
        <v>75000</v>
      </c>
      <c r="AC197" s="182" t="s">
        <v>1039</v>
      </c>
      <c r="AD197" s="172" t="s">
        <v>776</v>
      </c>
      <c r="AE197" s="172" t="s">
        <v>1135</v>
      </c>
      <c r="AF197" s="172" t="s">
        <v>692</v>
      </c>
      <c r="AG197" s="173">
        <v>110000</v>
      </c>
      <c r="AH197" s="174">
        <v>50442.697489977087</v>
      </c>
      <c r="AI197" s="175">
        <v>59557.302510022913</v>
      </c>
      <c r="AJ197" s="174">
        <v>40442.697489977087</v>
      </c>
      <c r="AK197" s="176">
        <v>10000</v>
      </c>
      <c r="AL197" s="184">
        <f t="shared" si="9"/>
        <v>59557.302510022913</v>
      </c>
      <c r="AN197" s="177"/>
      <c r="AO197" s="177"/>
      <c r="AP197" s="177"/>
      <c r="AQ197" s="178"/>
      <c r="AR197" s="179"/>
      <c r="AS197" s="180"/>
      <c r="AT197" s="179"/>
      <c r="AU197" s="179"/>
      <c r="AV197" s="184"/>
      <c r="AW197" s="187"/>
    </row>
    <row r="198" spans="1:49" x14ac:dyDescent="0.25">
      <c r="A198" s="4">
        <v>10480018</v>
      </c>
      <c r="B198" s="219">
        <v>214</v>
      </c>
      <c r="D198" s="206"/>
      <c r="E198" s="71">
        <v>10010030</v>
      </c>
      <c r="F198" s="42">
        <v>12800</v>
      </c>
      <c r="H198" s="199"/>
      <c r="I198" s="71">
        <v>10070077</v>
      </c>
      <c r="J198" s="68">
        <v>78569</v>
      </c>
      <c r="AC198" s="183" t="s">
        <v>1040</v>
      </c>
      <c r="AD198" s="177" t="s">
        <v>323</v>
      </c>
      <c r="AE198" s="177" t="s">
        <v>1134</v>
      </c>
      <c r="AF198" s="177" t="s">
        <v>692</v>
      </c>
      <c r="AG198" s="178">
        <v>110000</v>
      </c>
      <c r="AH198" s="179">
        <v>1678.0800000000002</v>
      </c>
      <c r="AI198" s="180">
        <v>108321.92</v>
      </c>
      <c r="AJ198" s="179">
        <v>1678.0800000000002</v>
      </c>
      <c r="AK198" s="176">
        <v>0</v>
      </c>
      <c r="AL198" s="184">
        <f t="shared" si="9"/>
        <v>108321.92</v>
      </c>
      <c r="AN198" s="172"/>
      <c r="AO198" s="172"/>
      <c r="AP198" s="172"/>
      <c r="AQ198" s="173"/>
      <c r="AR198" s="174"/>
      <c r="AS198" s="175"/>
      <c r="AT198" s="174"/>
      <c r="AU198" s="174"/>
      <c r="AV198" s="184"/>
      <c r="AW198" s="188"/>
    </row>
    <row r="199" spans="1:49" x14ac:dyDescent="0.25">
      <c r="A199" s="4">
        <v>10480019</v>
      </c>
      <c r="B199" s="219">
        <v>2042</v>
      </c>
      <c r="D199" s="206"/>
      <c r="E199" s="71">
        <v>10010031</v>
      </c>
      <c r="F199" s="42">
        <v>6400</v>
      </c>
      <c r="H199" s="199"/>
      <c r="I199" s="71">
        <v>10560022</v>
      </c>
      <c r="J199" s="68">
        <v>64696.5982</v>
      </c>
      <c r="AC199" s="182" t="s">
        <v>1041</v>
      </c>
      <c r="AD199" s="172" t="s">
        <v>399</v>
      </c>
      <c r="AE199" s="172" t="s">
        <v>1135</v>
      </c>
      <c r="AF199" s="172" t="s">
        <v>692</v>
      </c>
      <c r="AG199" s="173">
        <v>110000</v>
      </c>
      <c r="AH199" s="174">
        <v>56635.60904096836</v>
      </c>
      <c r="AI199" s="175">
        <v>53364.39095903164</v>
      </c>
      <c r="AJ199" s="174">
        <v>46635.60904096836</v>
      </c>
      <c r="AK199" s="176">
        <v>10000</v>
      </c>
      <c r="AL199" s="184">
        <f t="shared" si="9"/>
        <v>53364.39095903164</v>
      </c>
      <c r="AN199" s="172"/>
      <c r="AO199" s="172"/>
      <c r="AP199" s="172"/>
      <c r="AQ199" s="172"/>
      <c r="AR199" s="173"/>
      <c r="AS199" s="174"/>
      <c r="AT199" s="175"/>
      <c r="AU199" s="174"/>
      <c r="AV199" s="184"/>
      <c r="AW199" s="187"/>
    </row>
    <row r="200" spans="1:49" x14ac:dyDescent="0.25">
      <c r="A200" s="4">
        <v>10480020</v>
      </c>
      <c r="B200" s="219">
        <v>986</v>
      </c>
      <c r="D200" s="206"/>
      <c r="E200" s="71">
        <v>10010032</v>
      </c>
      <c r="F200" s="42">
        <v>3200</v>
      </c>
      <c r="H200" s="199"/>
      <c r="I200" s="71">
        <v>10560023</v>
      </c>
      <c r="J200" s="68">
        <v>80000</v>
      </c>
      <c r="AC200" s="183" t="s">
        <v>1042</v>
      </c>
      <c r="AD200" s="177" t="s">
        <v>777</v>
      </c>
      <c r="AE200" s="177" t="s">
        <v>1134</v>
      </c>
      <c r="AF200" s="177" t="s">
        <v>692</v>
      </c>
      <c r="AG200" s="178">
        <v>110000</v>
      </c>
      <c r="AH200" s="179">
        <v>31373.109462299057</v>
      </c>
      <c r="AI200" s="180">
        <v>78626.890537700936</v>
      </c>
      <c r="AJ200" s="179">
        <v>31373.109462299057</v>
      </c>
      <c r="AK200" s="176">
        <v>0</v>
      </c>
      <c r="AL200" s="184">
        <f t="shared" si="9"/>
        <v>78626.890537700936</v>
      </c>
      <c r="AN200" s="177"/>
      <c r="AO200" s="177"/>
      <c r="AP200" s="177"/>
      <c r="AQ200" s="177"/>
      <c r="AR200" s="178"/>
      <c r="AS200" s="179"/>
      <c r="AT200" s="180"/>
      <c r="AU200" s="179"/>
      <c r="AV200" s="184"/>
      <c r="AW200" s="188"/>
    </row>
    <row r="201" spans="1:49" x14ac:dyDescent="0.25">
      <c r="A201" s="4">
        <v>10510002</v>
      </c>
      <c r="B201" s="219">
        <v>570.36</v>
      </c>
      <c r="D201" s="206"/>
      <c r="E201" s="71">
        <v>10010035</v>
      </c>
      <c r="F201" s="42">
        <v>2723.6482000000001</v>
      </c>
      <c r="H201" s="199"/>
      <c r="I201" s="71">
        <v>10140197</v>
      </c>
      <c r="J201" s="68">
        <v>83762</v>
      </c>
      <c r="AC201" s="182" t="s">
        <v>1043</v>
      </c>
      <c r="AD201" s="172" t="s">
        <v>778</v>
      </c>
      <c r="AE201" s="172" t="s">
        <v>1134</v>
      </c>
      <c r="AF201" s="172" t="s">
        <v>692</v>
      </c>
      <c r="AG201" s="173">
        <v>110000</v>
      </c>
      <c r="AH201" s="174">
        <v>12362</v>
      </c>
      <c r="AI201" s="175">
        <v>97638</v>
      </c>
      <c r="AJ201" s="174">
        <v>12362</v>
      </c>
      <c r="AK201" s="176">
        <v>0</v>
      </c>
      <c r="AL201" s="184">
        <f t="shared" si="9"/>
        <v>97638</v>
      </c>
      <c r="AN201" s="172"/>
      <c r="AO201" s="172"/>
      <c r="AP201" s="172"/>
      <c r="AQ201" s="172"/>
      <c r="AR201" s="173"/>
      <c r="AS201" s="174"/>
      <c r="AT201" s="175"/>
      <c r="AU201" s="174"/>
      <c r="AV201" s="184"/>
      <c r="AW201" s="187"/>
    </row>
    <row r="202" spans="1:49" x14ac:dyDescent="0.25">
      <c r="A202" s="4">
        <v>10060066</v>
      </c>
      <c r="B202" s="219">
        <v>328</v>
      </c>
      <c r="D202" s="206"/>
      <c r="E202" s="71">
        <v>10010038</v>
      </c>
      <c r="F202" s="42">
        <v>5744.9159999999993</v>
      </c>
      <c r="H202" s="199"/>
      <c r="I202" s="71">
        <v>10080119</v>
      </c>
      <c r="J202" s="68">
        <v>62287.422399999996</v>
      </c>
      <c r="AC202" s="183" t="s">
        <v>1044</v>
      </c>
      <c r="AD202" s="177" t="s">
        <v>779</v>
      </c>
      <c r="AE202" s="177" t="s">
        <v>1135</v>
      </c>
      <c r="AF202" s="177" t="s">
        <v>692</v>
      </c>
      <c r="AG202" s="178">
        <v>110000</v>
      </c>
      <c r="AH202" s="179">
        <v>11051</v>
      </c>
      <c r="AI202" s="180">
        <v>98949</v>
      </c>
      <c r="AJ202" s="179">
        <v>1051</v>
      </c>
      <c r="AK202" s="181">
        <v>10000</v>
      </c>
      <c r="AL202" s="184">
        <f t="shared" si="9"/>
        <v>98949</v>
      </c>
      <c r="AN202" s="177"/>
      <c r="AO202" s="177"/>
      <c r="AP202" s="177"/>
      <c r="AQ202" s="177"/>
      <c r="AR202" s="178"/>
      <c r="AS202" s="179"/>
      <c r="AT202" s="180"/>
      <c r="AU202" s="179"/>
      <c r="AV202" s="184"/>
      <c r="AW202" s="188"/>
    </row>
    <row r="203" spans="1:49" x14ac:dyDescent="0.25">
      <c r="A203" s="4">
        <v>10110044</v>
      </c>
      <c r="B203" s="219">
        <v>96</v>
      </c>
      <c r="D203" s="206"/>
      <c r="E203" s="71">
        <v>10010044</v>
      </c>
      <c r="F203" s="42">
        <v>5059.8527868101683</v>
      </c>
      <c r="H203" s="199"/>
      <c r="I203" s="71">
        <v>10110177</v>
      </c>
      <c r="J203" s="68">
        <v>65000</v>
      </c>
      <c r="AC203" s="182" t="s">
        <v>1045</v>
      </c>
      <c r="AD203" s="172" t="s">
        <v>393</v>
      </c>
      <c r="AE203" s="172" t="s">
        <v>1134</v>
      </c>
      <c r="AF203" s="172" t="s">
        <v>692</v>
      </c>
      <c r="AG203" s="173">
        <v>110000</v>
      </c>
      <c r="AH203" s="174">
        <v>23839.930977029391</v>
      </c>
      <c r="AI203" s="175">
        <v>86160.069022970609</v>
      </c>
      <c r="AJ203" s="174">
        <v>23839.930977029391</v>
      </c>
      <c r="AK203" s="176">
        <v>0</v>
      </c>
      <c r="AL203" s="184">
        <f t="shared" si="9"/>
        <v>86160.069022970609</v>
      </c>
      <c r="AN203" s="172"/>
      <c r="AO203" s="172"/>
      <c r="AP203" s="172"/>
      <c r="AQ203" s="172"/>
      <c r="AR203" s="173"/>
      <c r="AS203" s="174"/>
      <c r="AT203" s="175"/>
      <c r="AU203" s="174"/>
      <c r="AV203" s="184"/>
      <c r="AW203" s="187"/>
    </row>
    <row r="204" spans="1:49" x14ac:dyDescent="0.25">
      <c r="A204" s="4">
        <v>10110052</v>
      </c>
      <c r="B204" s="219">
        <v>60</v>
      </c>
      <c r="D204" s="206"/>
      <c r="E204" s="71">
        <v>10010051</v>
      </c>
      <c r="F204" s="42">
        <v>570.15179999999964</v>
      </c>
      <c r="H204" s="199"/>
      <c r="I204" s="71">
        <v>10550004</v>
      </c>
      <c r="J204" s="68">
        <v>69953</v>
      </c>
      <c r="AC204" s="183" t="s">
        <v>1046</v>
      </c>
      <c r="AD204" s="177" t="s">
        <v>245</v>
      </c>
      <c r="AE204" s="177" t="s">
        <v>1134</v>
      </c>
      <c r="AF204" s="177" t="s">
        <v>692</v>
      </c>
      <c r="AG204" s="178">
        <v>110000</v>
      </c>
      <c r="AH204" s="179">
        <v>10767</v>
      </c>
      <c r="AI204" s="180">
        <v>99233</v>
      </c>
      <c r="AJ204" s="179">
        <v>10767</v>
      </c>
      <c r="AK204" s="176">
        <v>0</v>
      </c>
      <c r="AL204" s="184">
        <f t="shared" si="9"/>
        <v>99233</v>
      </c>
      <c r="AN204" s="177"/>
      <c r="AO204" s="177"/>
      <c r="AP204" s="177"/>
      <c r="AQ204" s="177"/>
      <c r="AR204" s="178"/>
      <c r="AS204" s="179"/>
      <c r="AT204" s="180"/>
      <c r="AU204" s="179"/>
      <c r="AV204" s="184"/>
      <c r="AW204" s="188"/>
    </row>
    <row r="205" spans="1:49" x14ac:dyDescent="0.25">
      <c r="A205" s="4">
        <v>10110017</v>
      </c>
      <c r="B205" s="219">
        <v>64</v>
      </c>
      <c r="D205" s="206"/>
      <c r="E205" s="71">
        <v>10010052</v>
      </c>
      <c r="F205" s="42">
        <v>6116.3181999999997</v>
      </c>
      <c r="H205" s="199"/>
      <c r="I205" s="71">
        <v>10580010</v>
      </c>
      <c r="J205" s="68">
        <v>64284</v>
      </c>
      <c r="AC205" s="182" t="s">
        <v>1047</v>
      </c>
      <c r="AD205" s="172" t="s">
        <v>780</v>
      </c>
      <c r="AE205" s="172" t="s">
        <v>1135</v>
      </c>
      <c r="AF205" s="172" t="s">
        <v>692</v>
      </c>
      <c r="AG205" s="173">
        <v>110000</v>
      </c>
      <c r="AH205" s="174">
        <v>55230.595701432139</v>
      </c>
      <c r="AI205" s="175">
        <v>54769.404298567861</v>
      </c>
      <c r="AJ205" s="174">
        <v>45230.595701432139</v>
      </c>
      <c r="AK205" s="176">
        <v>10000</v>
      </c>
      <c r="AL205" s="184">
        <f t="shared" si="9"/>
        <v>54769.404298567861</v>
      </c>
      <c r="AN205" s="172"/>
      <c r="AO205" s="172"/>
      <c r="AP205" s="172"/>
      <c r="AQ205" s="172"/>
      <c r="AR205" s="173"/>
      <c r="AS205" s="174"/>
      <c r="AT205" s="175"/>
      <c r="AU205" s="174"/>
      <c r="AV205" s="184"/>
      <c r="AW205" s="187"/>
    </row>
    <row r="206" spans="1:49" x14ac:dyDescent="0.25">
      <c r="A206" s="4">
        <v>10110018</v>
      </c>
      <c r="B206" s="219">
        <v>64</v>
      </c>
      <c r="D206" s="206"/>
      <c r="E206" s="71">
        <v>10090046</v>
      </c>
      <c r="F206" s="42">
        <v>6233.0370000000003</v>
      </c>
      <c r="H206" s="199"/>
      <c r="I206" s="71">
        <v>10060126</v>
      </c>
      <c r="J206" s="68">
        <v>66395</v>
      </c>
      <c r="AC206" s="183" t="s">
        <v>1048</v>
      </c>
      <c r="AD206" s="177" t="s">
        <v>781</v>
      </c>
      <c r="AE206" s="177" t="s">
        <v>1134</v>
      </c>
      <c r="AF206" s="177" t="s">
        <v>692</v>
      </c>
      <c r="AG206" s="178">
        <v>110000</v>
      </c>
      <c r="AH206" s="179">
        <v>23108</v>
      </c>
      <c r="AI206" s="180">
        <v>86892</v>
      </c>
      <c r="AJ206" s="179">
        <v>23108</v>
      </c>
      <c r="AK206" s="176">
        <v>0</v>
      </c>
      <c r="AL206" s="184">
        <f t="shared" si="9"/>
        <v>86892</v>
      </c>
      <c r="AN206" s="177"/>
      <c r="AO206" s="177"/>
      <c r="AP206" s="177"/>
      <c r="AQ206" s="177"/>
      <c r="AR206" s="178"/>
      <c r="AS206" s="179"/>
      <c r="AT206" s="180"/>
      <c r="AU206" s="179"/>
      <c r="AV206" s="184"/>
      <c r="AW206" s="188"/>
    </row>
    <row r="207" spans="1:49" x14ac:dyDescent="0.25">
      <c r="A207" s="4">
        <v>10110020</v>
      </c>
      <c r="B207" s="219">
        <v>64</v>
      </c>
      <c r="D207" s="206"/>
      <c r="E207" s="71">
        <v>10090047</v>
      </c>
      <c r="F207" s="42">
        <v>7346.9286000000002</v>
      </c>
      <c r="H207" s="199"/>
      <c r="I207" s="71">
        <v>10090074</v>
      </c>
      <c r="J207" s="68">
        <v>80632.724000000002</v>
      </c>
      <c r="AC207" s="182" t="s">
        <v>1049</v>
      </c>
      <c r="AD207" s="172" t="s">
        <v>782</v>
      </c>
      <c r="AE207" s="172" t="s">
        <v>1135</v>
      </c>
      <c r="AF207" s="172" t="s">
        <v>692</v>
      </c>
      <c r="AG207" s="173">
        <v>110000</v>
      </c>
      <c r="AH207" s="174">
        <v>28214.361996577558</v>
      </c>
      <c r="AI207" s="175">
        <v>81785.638003422442</v>
      </c>
      <c r="AJ207" s="174">
        <v>23214.361996577558</v>
      </c>
      <c r="AK207" s="176">
        <v>5000</v>
      </c>
      <c r="AL207" s="184">
        <f t="shared" si="9"/>
        <v>81785.638003422442</v>
      </c>
      <c r="AN207" s="172"/>
      <c r="AO207" s="172"/>
      <c r="AP207" s="172"/>
      <c r="AQ207" s="172"/>
      <c r="AR207" s="173"/>
      <c r="AS207" s="174"/>
      <c r="AT207" s="175"/>
      <c r="AU207" s="174"/>
      <c r="AV207" s="184"/>
      <c r="AW207" s="187"/>
    </row>
    <row r="208" spans="1:49" x14ac:dyDescent="0.25">
      <c r="A208" s="4">
        <v>10110022</v>
      </c>
      <c r="B208" s="219">
        <v>64</v>
      </c>
      <c r="D208" s="206"/>
      <c r="E208" s="71">
        <v>10090043</v>
      </c>
      <c r="F208" s="42">
        <v>2616.1276175555313</v>
      </c>
      <c r="H208" s="199"/>
      <c r="I208" s="71">
        <v>10090075</v>
      </c>
      <c r="J208" s="68">
        <v>62866.569799999997</v>
      </c>
      <c r="AC208" s="183" t="s">
        <v>1050</v>
      </c>
      <c r="AD208" s="177" t="s">
        <v>287</v>
      </c>
      <c r="AE208" s="177" t="s">
        <v>1134</v>
      </c>
      <c r="AF208" s="177" t="s">
        <v>692</v>
      </c>
      <c r="AG208" s="178">
        <v>110000</v>
      </c>
      <c r="AH208" s="179">
        <v>31521.260754517651</v>
      </c>
      <c r="AI208" s="180">
        <v>78478.739245482342</v>
      </c>
      <c r="AJ208" s="179">
        <v>31521.260754517651</v>
      </c>
      <c r="AK208" s="176">
        <v>0</v>
      </c>
      <c r="AL208" s="184">
        <f t="shared" si="9"/>
        <v>78478.739245482342</v>
      </c>
      <c r="AN208" s="177"/>
      <c r="AO208" s="177"/>
      <c r="AP208" s="177"/>
      <c r="AQ208" s="177"/>
      <c r="AR208" s="178"/>
      <c r="AS208" s="179"/>
      <c r="AT208" s="180"/>
      <c r="AU208" s="179"/>
      <c r="AV208" s="184"/>
      <c r="AW208" s="188"/>
    </row>
    <row r="209" spans="1:49" x14ac:dyDescent="0.25">
      <c r="A209" s="4">
        <v>10110023</v>
      </c>
      <c r="B209" s="219">
        <v>64</v>
      </c>
      <c r="D209" s="206"/>
      <c r="E209" s="71">
        <v>10020049</v>
      </c>
      <c r="F209" s="42">
        <v>4313.4394000000002</v>
      </c>
      <c r="H209" s="199"/>
      <c r="I209" s="71">
        <v>10580011</v>
      </c>
      <c r="J209" s="68">
        <v>65000</v>
      </c>
      <c r="AC209" s="182" t="s">
        <v>1051</v>
      </c>
      <c r="AD209" s="172" t="s">
        <v>247</v>
      </c>
      <c r="AE209" s="172" t="s">
        <v>1134</v>
      </c>
      <c r="AF209" s="172" t="s">
        <v>692</v>
      </c>
      <c r="AG209" s="173">
        <v>110000</v>
      </c>
      <c r="AH209" s="174">
        <v>25064</v>
      </c>
      <c r="AI209" s="175">
        <v>84936</v>
      </c>
      <c r="AJ209" s="174">
        <v>25064</v>
      </c>
      <c r="AK209" s="176">
        <v>0</v>
      </c>
      <c r="AL209" s="184">
        <f t="shared" si="9"/>
        <v>84936</v>
      </c>
      <c r="AN209" s="172"/>
      <c r="AO209" s="172"/>
      <c r="AP209" s="172"/>
      <c r="AQ209" s="172"/>
      <c r="AR209" s="173"/>
      <c r="AS209" s="174"/>
      <c r="AT209" s="175"/>
      <c r="AU209" s="174"/>
      <c r="AV209" s="184"/>
      <c r="AW209" s="187"/>
    </row>
    <row r="210" spans="1:49" x14ac:dyDescent="0.25">
      <c r="A210" s="4">
        <v>10110025</v>
      </c>
      <c r="B210" s="219">
        <v>64</v>
      </c>
      <c r="D210" s="206"/>
      <c r="E210" s="71">
        <v>10030038</v>
      </c>
      <c r="F210" s="42">
        <v>12800</v>
      </c>
      <c r="H210" s="199"/>
      <c r="I210" s="71">
        <v>10580012</v>
      </c>
      <c r="J210" s="68">
        <v>64000</v>
      </c>
      <c r="AC210" s="183" t="s">
        <v>1052</v>
      </c>
      <c r="AD210" s="177"/>
      <c r="AE210" s="177" t="s">
        <v>1134</v>
      </c>
      <c r="AF210" s="177" t="s">
        <v>692</v>
      </c>
      <c r="AG210" s="178">
        <v>110000</v>
      </c>
      <c r="AH210" s="179">
        <v>18756</v>
      </c>
      <c r="AI210" s="180">
        <v>91244</v>
      </c>
      <c r="AJ210" s="179">
        <v>18756</v>
      </c>
      <c r="AK210" s="176">
        <v>0</v>
      </c>
      <c r="AL210" s="184">
        <f t="shared" si="9"/>
        <v>91244</v>
      </c>
      <c r="AN210" s="177"/>
      <c r="AO210" s="177"/>
      <c r="AP210" s="177"/>
      <c r="AQ210" s="177"/>
      <c r="AR210" s="178"/>
      <c r="AS210" s="179"/>
      <c r="AT210" s="180"/>
      <c r="AU210" s="179"/>
      <c r="AV210" s="184"/>
      <c r="AW210" s="188"/>
    </row>
    <row r="211" spans="1:49" x14ac:dyDescent="0.25">
      <c r="A211" s="4">
        <v>10110026</v>
      </c>
      <c r="B211" s="219">
        <v>64</v>
      </c>
      <c r="D211" s="206"/>
      <c r="E211" s="71">
        <v>10030049</v>
      </c>
      <c r="F211" s="42">
        <v>19200</v>
      </c>
      <c r="H211" s="199"/>
      <c r="I211" s="71">
        <v>10140194</v>
      </c>
      <c r="J211" s="68">
        <v>70269</v>
      </c>
      <c r="AC211" s="182" t="s">
        <v>1053</v>
      </c>
      <c r="AD211" s="172" t="s">
        <v>783</v>
      </c>
      <c r="AE211" s="172" t="s">
        <v>1134</v>
      </c>
      <c r="AF211" s="172" t="s">
        <v>692</v>
      </c>
      <c r="AG211" s="173">
        <v>110000</v>
      </c>
      <c r="AH211" s="174">
        <v>12893.4297720912</v>
      </c>
      <c r="AI211" s="175">
        <v>97106.5702279088</v>
      </c>
      <c r="AJ211" s="174">
        <v>12893.4297720912</v>
      </c>
      <c r="AK211" s="176">
        <v>0</v>
      </c>
      <c r="AL211" s="184">
        <f t="shared" si="9"/>
        <v>97106.5702279088</v>
      </c>
      <c r="AN211" s="172"/>
      <c r="AO211" s="172"/>
      <c r="AP211" s="172"/>
      <c r="AQ211" s="172"/>
      <c r="AR211" s="173"/>
      <c r="AS211" s="174"/>
      <c r="AT211" s="175"/>
      <c r="AU211" s="174"/>
      <c r="AV211" s="184"/>
      <c r="AW211" s="187"/>
    </row>
    <row r="212" spans="1:49" x14ac:dyDescent="0.25">
      <c r="A212" s="4">
        <v>10110027</v>
      </c>
      <c r="B212" s="219">
        <v>64</v>
      </c>
      <c r="D212" s="206"/>
      <c r="E212" s="71">
        <v>10030050</v>
      </c>
      <c r="F212" s="42">
        <v>19200</v>
      </c>
      <c r="H212" s="199"/>
      <c r="I212" s="71">
        <v>10570018</v>
      </c>
      <c r="J212" s="68">
        <v>59061.962974483999</v>
      </c>
      <c r="AC212" s="183" t="s">
        <v>1054</v>
      </c>
      <c r="AD212" s="177" t="s">
        <v>784</v>
      </c>
      <c r="AE212" s="177" t="s">
        <v>1134</v>
      </c>
      <c r="AF212" s="177" t="s">
        <v>692</v>
      </c>
      <c r="AG212" s="178">
        <v>110000</v>
      </c>
      <c r="AH212" s="179">
        <v>9814</v>
      </c>
      <c r="AI212" s="180">
        <v>100186</v>
      </c>
      <c r="AJ212" s="179">
        <v>9814</v>
      </c>
      <c r="AK212" s="176">
        <v>0</v>
      </c>
      <c r="AL212" s="184">
        <f t="shared" si="9"/>
        <v>100186</v>
      </c>
      <c r="AN212" s="177"/>
      <c r="AO212" s="177"/>
      <c r="AP212" s="177"/>
      <c r="AQ212" s="177"/>
      <c r="AR212" s="178"/>
      <c r="AS212" s="179"/>
      <c r="AT212" s="180"/>
      <c r="AU212" s="179"/>
      <c r="AV212" s="184"/>
      <c r="AW212" s="188"/>
    </row>
    <row r="213" spans="1:49" x14ac:dyDescent="0.25">
      <c r="A213" s="4">
        <v>10110028</v>
      </c>
      <c r="B213" s="219">
        <v>64</v>
      </c>
      <c r="D213" s="206"/>
      <c r="E213" s="71">
        <v>10030052</v>
      </c>
      <c r="F213" s="42">
        <v>6400</v>
      </c>
      <c r="H213" s="199"/>
      <c r="I213" s="71">
        <v>10130108</v>
      </c>
      <c r="J213" s="68">
        <v>100000</v>
      </c>
      <c r="AC213" s="182" t="s">
        <v>1055</v>
      </c>
      <c r="AD213" s="172" t="s">
        <v>785</v>
      </c>
      <c r="AE213" s="172" t="s">
        <v>1134</v>
      </c>
      <c r="AF213" s="172" t="s">
        <v>692</v>
      </c>
      <c r="AG213" s="173">
        <v>110000</v>
      </c>
      <c r="AH213" s="174">
        <v>31612.939049766403</v>
      </c>
      <c r="AI213" s="175">
        <v>78387.060950233601</v>
      </c>
      <c r="AJ213" s="174">
        <v>31612.939049766403</v>
      </c>
      <c r="AK213" s="176">
        <v>0</v>
      </c>
      <c r="AL213" s="184">
        <f t="shared" si="9"/>
        <v>78387.060950233601</v>
      </c>
      <c r="AN213" s="172"/>
      <c r="AO213" s="172"/>
      <c r="AP213" s="172"/>
      <c r="AQ213" s="172"/>
      <c r="AR213" s="173"/>
      <c r="AS213" s="174"/>
      <c r="AT213" s="175"/>
      <c r="AU213" s="174"/>
      <c r="AV213" s="184"/>
      <c r="AW213" s="187"/>
    </row>
    <row r="214" spans="1:49" x14ac:dyDescent="0.25">
      <c r="A214" s="4">
        <v>10110029</v>
      </c>
      <c r="B214" s="219">
        <v>64</v>
      </c>
      <c r="D214" s="206"/>
      <c r="E214" s="71">
        <v>10030053</v>
      </c>
      <c r="F214" s="42">
        <v>12800</v>
      </c>
      <c r="H214" s="199"/>
      <c r="I214" s="71">
        <v>10080118</v>
      </c>
      <c r="J214" s="68">
        <v>65000</v>
      </c>
      <c r="AC214" s="183" t="s">
        <v>1056</v>
      </c>
      <c r="AD214" s="177" t="s">
        <v>240</v>
      </c>
      <c r="AE214" s="177" t="s">
        <v>1134</v>
      </c>
      <c r="AF214" s="177" t="s">
        <v>692</v>
      </c>
      <c r="AG214" s="178">
        <v>110000</v>
      </c>
      <c r="AH214" s="179">
        <v>19200</v>
      </c>
      <c r="AI214" s="180">
        <v>90800</v>
      </c>
      <c r="AJ214" s="179">
        <v>19200</v>
      </c>
      <c r="AK214" s="176">
        <v>0</v>
      </c>
      <c r="AL214" s="184">
        <f t="shared" si="9"/>
        <v>90800</v>
      </c>
      <c r="AN214" s="177"/>
      <c r="AO214" s="177"/>
      <c r="AP214" s="177"/>
      <c r="AQ214" s="177"/>
      <c r="AR214" s="178"/>
      <c r="AS214" s="179"/>
      <c r="AT214" s="180"/>
      <c r="AU214" s="179"/>
      <c r="AV214" s="184"/>
      <c r="AW214" s="188"/>
    </row>
    <row r="215" spans="1:49" x14ac:dyDescent="0.25">
      <c r="A215" s="4">
        <v>10110030</v>
      </c>
      <c r="B215" s="219">
        <v>64</v>
      </c>
      <c r="D215" s="206"/>
      <c r="E215" s="71">
        <v>10030054</v>
      </c>
      <c r="F215" s="42">
        <v>12800</v>
      </c>
      <c r="H215" s="199"/>
      <c r="I215" s="71">
        <v>10110175</v>
      </c>
      <c r="J215" s="68">
        <v>65000</v>
      </c>
      <c r="AC215" s="182" t="s">
        <v>1057</v>
      </c>
      <c r="AD215" s="172" t="s">
        <v>786</v>
      </c>
      <c r="AE215" s="172" t="s">
        <v>1134</v>
      </c>
      <c r="AF215" s="172" t="s">
        <v>692</v>
      </c>
      <c r="AG215" s="173">
        <v>110000</v>
      </c>
      <c r="AH215" s="174">
        <v>3957</v>
      </c>
      <c r="AI215" s="175">
        <v>106043</v>
      </c>
      <c r="AJ215" s="174">
        <v>3957</v>
      </c>
      <c r="AK215" s="176">
        <v>0</v>
      </c>
      <c r="AL215" s="184">
        <f t="shared" si="9"/>
        <v>106043</v>
      </c>
      <c r="AN215" s="172"/>
      <c r="AO215" s="172"/>
      <c r="AP215" s="172"/>
      <c r="AQ215" s="172"/>
      <c r="AR215" s="173"/>
      <c r="AS215" s="174"/>
      <c r="AT215" s="175"/>
      <c r="AU215" s="174"/>
      <c r="AV215" s="184"/>
      <c r="AW215" s="187"/>
    </row>
    <row r="216" spans="1:49" x14ac:dyDescent="0.25">
      <c r="A216" s="4">
        <v>10110031</v>
      </c>
      <c r="B216" s="219">
        <v>64</v>
      </c>
      <c r="D216" s="206"/>
      <c r="E216" s="71">
        <v>10030055</v>
      </c>
      <c r="F216" s="42">
        <v>1108.3318379994362</v>
      </c>
      <c r="H216" s="199"/>
      <c r="I216" s="71">
        <v>10580008</v>
      </c>
      <c r="J216" s="68">
        <v>65000</v>
      </c>
      <c r="AC216" s="183" t="s">
        <v>1058</v>
      </c>
      <c r="AD216" s="177" t="s">
        <v>787</v>
      </c>
      <c r="AE216" s="177" t="s">
        <v>1135</v>
      </c>
      <c r="AF216" s="177" t="s">
        <v>692</v>
      </c>
      <c r="AG216" s="178">
        <v>110000</v>
      </c>
      <c r="AH216" s="179">
        <v>18375</v>
      </c>
      <c r="AI216" s="180">
        <v>91625</v>
      </c>
      <c r="AJ216" s="179">
        <v>3375</v>
      </c>
      <c r="AK216" s="181">
        <v>15000</v>
      </c>
      <c r="AL216" s="184">
        <f t="shared" si="9"/>
        <v>91625</v>
      </c>
      <c r="AN216" s="177"/>
      <c r="AO216" s="177"/>
      <c r="AP216" s="177"/>
      <c r="AQ216" s="177"/>
      <c r="AR216" s="178"/>
      <c r="AS216" s="179"/>
      <c r="AT216" s="180"/>
      <c r="AU216" s="179"/>
      <c r="AV216" s="184"/>
      <c r="AW216" s="188"/>
    </row>
    <row r="217" spans="1:49" x14ac:dyDescent="0.25">
      <c r="A217" s="4">
        <v>10110034</v>
      </c>
      <c r="B217" s="219">
        <v>64</v>
      </c>
      <c r="D217" s="206"/>
      <c r="E217" s="71">
        <v>10030056</v>
      </c>
      <c r="F217" s="42">
        <v>3890.3617999999997</v>
      </c>
      <c r="H217" s="199"/>
      <c r="I217" s="71">
        <v>10580009</v>
      </c>
      <c r="J217" s="68">
        <v>62651.645400000001</v>
      </c>
      <c r="AC217" s="182" t="s">
        <v>1059</v>
      </c>
      <c r="AD217" s="172" t="s">
        <v>435</v>
      </c>
      <c r="AE217" s="172" t="s">
        <v>1134</v>
      </c>
      <c r="AF217" s="172" t="s">
        <v>692</v>
      </c>
      <c r="AG217" s="173">
        <v>110000</v>
      </c>
      <c r="AH217" s="174">
        <v>23160.757766561281</v>
      </c>
      <c r="AI217" s="175">
        <v>86839.242233438723</v>
      </c>
      <c r="AJ217" s="174">
        <v>23160.757766561281</v>
      </c>
      <c r="AK217" s="176">
        <v>0</v>
      </c>
      <c r="AL217" s="184">
        <f t="shared" si="9"/>
        <v>86839.242233438723</v>
      </c>
      <c r="AN217" s="172"/>
      <c r="AO217" s="172"/>
      <c r="AP217" s="172"/>
      <c r="AQ217" s="172"/>
      <c r="AR217" s="173"/>
      <c r="AS217" s="174"/>
      <c r="AT217" s="175"/>
      <c r="AU217" s="174"/>
      <c r="AV217" s="184"/>
      <c r="AW217" s="187"/>
    </row>
    <row r="218" spans="1:49" x14ac:dyDescent="0.25">
      <c r="A218" s="4">
        <v>10110035</v>
      </c>
      <c r="B218" s="219">
        <v>64</v>
      </c>
      <c r="D218" s="206"/>
      <c r="E218" s="71">
        <v>10140055</v>
      </c>
      <c r="F218" s="42">
        <v>6400</v>
      </c>
      <c r="H218" s="199"/>
      <c r="I218" s="71">
        <v>10020085</v>
      </c>
      <c r="J218" s="68">
        <v>85000</v>
      </c>
      <c r="AC218" s="183" t="s">
        <v>1060</v>
      </c>
      <c r="AD218" s="177" t="s">
        <v>239</v>
      </c>
      <c r="AE218" s="177" t="s">
        <v>1134</v>
      </c>
      <c r="AF218" s="177" t="s">
        <v>692</v>
      </c>
      <c r="AG218" s="178">
        <v>110000</v>
      </c>
      <c r="AH218" s="179">
        <v>26855.085847754111</v>
      </c>
      <c r="AI218" s="180">
        <v>83144.914152245881</v>
      </c>
      <c r="AJ218" s="179">
        <v>26855.085847754111</v>
      </c>
      <c r="AK218" s="176">
        <v>0</v>
      </c>
      <c r="AL218" s="184">
        <f t="shared" si="9"/>
        <v>83144.914152245881</v>
      </c>
      <c r="AN218" s="177"/>
      <c r="AO218" s="177"/>
      <c r="AP218" s="177"/>
      <c r="AQ218" s="177"/>
      <c r="AR218" s="178"/>
      <c r="AS218" s="179"/>
      <c r="AT218" s="180"/>
      <c r="AU218" s="179"/>
      <c r="AV218" s="184"/>
      <c r="AW218" s="188"/>
    </row>
    <row r="219" spans="1:49" x14ac:dyDescent="0.25">
      <c r="A219" s="4">
        <v>10110037</v>
      </c>
      <c r="B219" s="219">
        <v>64</v>
      </c>
      <c r="D219" s="206"/>
      <c r="E219" s="71">
        <v>10140058</v>
      </c>
      <c r="F219" s="42">
        <v>14153.658405186494</v>
      </c>
      <c r="H219" s="199"/>
      <c r="I219" s="71">
        <v>10030082</v>
      </c>
      <c r="J219" s="68">
        <v>64000</v>
      </c>
      <c r="AC219" s="182" t="s">
        <v>1061</v>
      </c>
      <c r="AD219" s="172" t="s">
        <v>305</v>
      </c>
      <c r="AE219" s="172" t="s">
        <v>1134</v>
      </c>
      <c r="AF219" s="172" t="s">
        <v>692</v>
      </c>
      <c r="AG219" s="173">
        <v>110000</v>
      </c>
      <c r="AH219" s="174">
        <v>23868.265833054906</v>
      </c>
      <c r="AI219" s="175">
        <v>86131.734166945098</v>
      </c>
      <c r="AJ219" s="174">
        <v>23868.265833054906</v>
      </c>
      <c r="AK219" s="176">
        <v>0</v>
      </c>
      <c r="AL219" s="184">
        <f t="shared" si="9"/>
        <v>86131.734166945098</v>
      </c>
      <c r="AN219" s="172"/>
      <c r="AO219" s="172"/>
      <c r="AP219" s="172"/>
      <c r="AQ219" s="172"/>
      <c r="AR219" s="173"/>
      <c r="AS219" s="174"/>
      <c r="AT219" s="175"/>
      <c r="AU219" s="174"/>
      <c r="AV219" s="184"/>
      <c r="AW219" s="187"/>
    </row>
    <row r="220" spans="1:49" x14ac:dyDescent="0.25">
      <c r="A220" s="4">
        <v>10110038</v>
      </c>
      <c r="B220" s="219">
        <v>64</v>
      </c>
      <c r="D220" s="206"/>
      <c r="E220" s="71">
        <v>10140059</v>
      </c>
      <c r="F220" s="42">
        <v>0.42126004498004477</v>
      </c>
      <c r="H220" s="199"/>
      <c r="I220" s="71">
        <v>10010121</v>
      </c>
      <c r="J220" s="68">
        <v>51333.458446130404</v>
      </c>
      <c r="AC220" s="183" t="s">
        <v>1062</v>
      </c>
      <c r="AD220" s="177" t="s">
        <v>373</v>
      </c>
      <c r="AE220" s="177" t="s">
        <v>1134</v>
      </c>
      <c r="AF220" s="177" t="s">
        <v>692</v>
      </c>
      <c r="AG220" s="178">
        <v>110000</v>
      </c>
      <c r="AH220" s="179">
        <v>44808.473050174798</v>
      </c>
      <c r="AI220" s="180">
        <v>65191.526949825202</v>
      </c>
      <c r="AJ220" s="179">
        <v>44808.473050174798</v>
      </c>
      <c r="AK220" s="176">
        <v>0</v>
      </c>
      <c r="AL220" s="184">
        <f t="shared" si="9"/>
        <v>65191.526949825202</v>
      </c>
      <c r="AN220" s="177"/>
      <c r="AO220" s="177"/>
      <c r="AP220" s="177"/>
      <c r="AQ220" s="177"/>
      <c r="AR220" s="178"/>
      <c r="AS220" s="179"/>
      <c r="AT220" s="180"/>
      <c r="AU220" s="179"/>
      <c r="AV220" s="184"/>
      <c r="AW220" s="188"/>
    </row>
    <row r="221" spans="1:49" x14ac:dyDescent="0.25">
      <c r="A221" s="4">
        <v>10110039</v>
      </c>
      <c r="B221" s="219">
        <v>64</v>
      </c>
      <c r="D221" s="206"/>
      <c r="E221" s="71">
        <v>10140069</v>
      </c>
      <c r="F221" s="42">
        <v>20608.7408</v>
      </c>
      <c r="H221" s="199"/>
      <c r="I221" s="71">
        <v>10010140</v>
      </c>
      <c r="J221" s="68">
        <v>61670</v>
      </c>
      <c r="AC221" s="182" t="s">
        <v>1063</v>
      </c>
      <c r="AD221" s="172" t="s">
        <v>374</v>
      </c>
      <c r="AE221" s="172" t="s">
        <v>1134</v>
      </c>
      <c r="AF221" s="172" t="s">
        <v>692</v>
      </c>
      <c r="AG221" s="173">
        <v>110000</v>
      </c>
      <c r="AH221" s="174">
        <v>36031.766694571532</v>
      </c>
      <c r="AI221" s="175">
        <v>73968.233305428468</v>
      </c>
      <c r="AJ221" s="174">
        <v>36031.766694571532</v>
      </c>
      <c r="AK221" s="176">
        <v>0</v>
      </c>
      <c r="AL221" s="184">
        <f t="shared" si="9"/>
        <v>73968.233305428468</v>
      </c>
      <c r="AN221" s="172"/>
      <c r="AO221" s="172"/>
      <c r="AP221" s="172"/>
      <c r="AQ221" s="172"/>
      <c r="AR221" s="173"/>
      <c r="AS221" s="174"/>
      <c r="AT221" s="175"/>
      <c r="AU221" s="174"/>
      <c r="AV221" s="184"/>
      <c r="AW221" s="187"/>
    </row>
    <row r="222" spans="1:49" x14ac:dyDescent="0.25">
      <c r="A222" s="4">
        <v>10110040</v>
      </c>
      <c r="B222" s="219">
        <v>64</v>
      </c>
      <c r="D222" s="206"/>
      <c r="E222" s="71">
        <v>10140066</v>
      </c>
      <c r="F222" s="42">
        <v>10516.0602</v>
      </c>
      <c r="H222" s="199"/>
      <c r="I222" s="71">
        <v>10080115</v>
      </c>
      <c r="J222" s="68">
        <v>59788.036</v>
      </c>
      <c r="AC222" s="183" t="s">
        <v>1064</v>
      </c>
      <c r="AD222" s="177" t="s">
        <v>372</v>
      </c>
      <c r="AE222" s="177" t="s">
        <v>1134</v>
      </c>
      <c r="AF222" s="177" t="s">
        <v>692</v>
      </c>
      <c r="AG222" s="178">
        <v>110000</v>
      </c>
      <c r="AH222" s="179">
        <v>27909.654667865394</v>
      </c>
      <c r="AI222" s="180">
        <v>82090.345332134602</v>
      </c>
      <c r="AJ222" s="179">
        <v>27909.654667865394</v>
      </c>
      <c r="AK222" s="176">
        <v>0</v>
      </c>
      <c r="AL222" s="184">
        <f t="shared" si="9"/>
        <v>82090.345332134602</v>
      </c>
      <c r="AN222" s="177"/>
      <c r="AO222" s="177"/>
      <c r="AP222" s="177"/>
      <c r="AQ222" s="177"/>
      <c r="AR222" s="178"/>
      <c r="AS222" s="179"/>
      <c r="AT222" s="180"/>
      <c r="AU222" s="179"/>
      <c r="AV222" s="184"/>
      <c r="AW222" s="188"/>
    </row>
    <row r="223" spans="1:49" x14ac:dyDescent="0.25">
      <c r="A223" s="4">
        <v>10110041</v>
      </c>
      <c r="B223" s="219">
        <v>64</v>
      </c>
      <c r="D223" s="206"/>
      <c r="E223" s="71">
        <v>10140067</v>
      </c>
      <c r="F223" s="42">
        <v>7332.1943236625211</v>
      </c>
      <c r="H223" s="199"/>
      <c r="I223" s="71">
        <v>10570027</v>
      </c>
      <c r="J223" s="68">
        <v>85000</v>
      </c>
      <c r="AC223" s="182" t="s">
        <v>1065</v>
      </c>
      <c r="AD223" s="172" t="s">
        <v>788</v>
      </c>
      <c r="AE223" s="172" t="s">
        <v>1135</v>
      </c>
      <c r="AF223" s="172" t="s">
        <v>692</v>
      </c>
      <c r="AG223" s="173">
        <v>110000</v>
      </c>
      <c r="AH223" s="174">
        <v>17101.914623189641</v>
      </c>
      <c r="AI223" s="175">
        <v>92898.085376810355</v>
      </c>
      <c r="AJ223" s="174">
        <v>2101.9146231896398</v>
      </c>
      <c r="AK223" s="176">
        <v>15000</v>
      </c>
      <c r="AL223" s="184">
        <f t="shared" si="9"/>
        <v>92898.085376810355</v>
      </c>
      <c r="AN223" s="172"/>
      <c r="AO223" s="172"/>
      <c r="AP223" s="172"/>
      <c r="AQ223" s="172"/>
      <c r="AR223" s="173"/>
      <c r="AS223" s="174"/>
      <c r="AT223" s="175"/>
      <c r="AU223" s="174"/>
      <c r="AV223" s="184"/>
      <c r="AW223" s="187"/>
    </row>
    <row r="224" spans="1:49" x14ac:dyDescent="0.25">
      <c r="A224" s="4">
        <v>10110058</v>
      </c>
      <c r="B224" s="219">
        <v>64</v>
      </c>
      <c r="D224" s="206"/>
      <c r="E224" s="71">
        <v>10140068</v>
      </c>
      <c r="F224" s="42">
        <v>9469.3031999999985</v>
      </c>
      <c r="H224" s="199"/>
      <c r="I224" s="71">
        <v>10570028</v>
      </c>
      <c r="J224" s="68">
        <v>81347</v>
      </c>
      <c r="AC224" s="183" t="s">
        <v>1066</v>
      </c>
      <c r="AD224" s="177" t="s">
        <v>789</v>
      </c>
      <c r="AE224" s="177" t="s">
        <v>1135</v>
      </c>
      <c r="AF224" s="177" t="s">
        <v>692</v>
      </c>
      <c r="AG224" s="178">
        <v>110000</v>
      </c>
      <c r="AH224" s="179">
        <v>26886</v>
      </c>
      <c r="AI224" s="180">
        <v>83114</v>
      </c>
      <c r="AJ224" s="179">
        <v>16886</v>
      </c>
      <c r="AK224" s="181">
        <v>10000</v>
      </c>
      <c r="AL224" s="184">
        <f t="shared" si="9"/>
        <v>83114</v>
      </c>
      <c r="AN224" s="177"/>
      <c r="AO224" s="177"/>
      <c r="AP224" s="177"/>
      <c r="AQ224" s="177"/>
      <c r="AR224" s="178"/>
      <c r="AS224" s="179"/>
      <c r="AT224" s="180"/>
      <c r="AU224" s="179"/>
      <c r="AV224" s="184"/>
      <c r="AW224" s="188"/>
    </row>
    <row r="225" spans="1:49" x14ac:dyDescent="0.25">
      <c r="A225" s="4">
        <v>10110060</v>
      </c>
      <c r="B225" s="219">
        <v>64</v>
      </c>
      <c r="D225" s="206"/>
      <c r="E225" s="71">
        <v>10010007</v>
      </c>
      <c r="F225" s="42">
        <v>12800</v>
      </c>
      <c r="H225" s="199"/>
      <c r="I225" s="71">
        <v>10570029</v>
      </c>
      <c r="J225" s="68">
        <v>82571</v>
      </c>
      <c r="AC225" s="182" t="s">
        <v>1067</v>
      </c>
      <c r="AD225" s="172" t="s">
        <v>790</v>
      </c>
      <c r="AE225" s="172" t="s">
        <v>1135</v>
      </c>
      <c r="AF225" s="172" t="s">
        <v>692</v>
      </c>
      <c r="AG225" s="173">
        <v>110000</v>
      </c>
      <c r="AH225" s="174">
        <v>13722</v>
      </c>
      <c r="AI225" s="175">
        <v>96278</v>
      </c>
      <c r="AJ225" s="174">
        <v>3722</v>
      </c>
      <c r="AK225" s="176">
        <v>10000</v>
      </c>
      <c r="AL225" s="184">
        <f t="shared" si="9"/>
        <v>96278</v>
      </c>
      <c r="AN225" s="172"/>
      <c r="AO225" s="172"/>
      <c r="AP225" s="172"/>
      <c r="AQ225" s="172"/>
      <c r="AR225" s="173"/>
      <c r="AS225" s="174"/>
      <c r="AT225" s="175"/>
      <c r="AU225" s="174"/>
      <c r="AV225" s="184"/>
      <c r="AW225" s="187"/>
    </row>
    <row r="226" spans="1:49" x14ac:dyDescent="0.25">
      <c r="A226" s="4">
        <v>10110061</v>
      </c>
      <c r="B226" s="219">
        <v>64</v>
      </c>
      <c r="D226" s="206"/>
      <c r="E226" s="71">
        <v>10010019</v>
      </c>
      <c r="F226" s="42">
        <v>6400</v>
      </c>
      <c r="H226" s="199"/>
      <c r="I226" s="71">
        <v>10570030</v>
      </c>
      <c r="J226" s="68">
        <v>61457.873599999999</v>
      </c>
      <c r="AC226" s="183" t="s">
        <v>1068</v>
      </c>
      <c r="AD226" s="177" t="s">
        <v>791</v>
      </c>
      <c r="AE226" s="177" t="s">
        <v>1134</v>
      </c>
      <c r="AF226" s="177" t="s">
        <v>692</v>
      </c>
      <c r="AG226" s="178">
        <v>110000</v>
      </c>
      <c r="AH226" s="179">
        <v>20132</v>
      </c>
      <c r="AI226" s="180">
        <v>89868</v>
      </c>
      <c r="AJ226" s="179">
        <v>20132</v>
      </c>
      <c r="AK226" s="176">
        <v>0</v>
      </c>
      <c r="AL226" s="184">
        <f t="shared" si="9"/>
        <v>89868</v>
      </c>
      <c r="AN226" s="177"/>
      <c r="AO226" s="177"/>
      <c r="AP226" s="177"/>
      <c r="AQ226" s="177"/>
      <c r="AR226" s="178"/>
      <c r="AS226" s="179"/>
      <c r="AT226" s="180"/>
      <c r="AU226" s="179"/>
      <c r="AV226" s="184"/>
      <c r="AW226" s="188"/>
    </row>
    <row r="227" spans="1:49" x14ac:dyDescent="0.25">
      <c r="A227" s="4">
        <v>10110062</v>
      </c>
      <c r="B227" s="219">
        <v>64</v>
      </c>
      <c r="D227" s="206"/>
      <c r="E227" s="71">
        <v>10010010</v>
      </c>
      <c r="F227" s="42">
        <v>6400</v>
      </c>
      <c r="H227" s="199"/>
      <c r="I227" s="71">
        <v>10570031</v>
      </c>
      <c r="J227" s="68">
        <v>71099</v>
      </c>
      <c r="AC227" s="182" t="s">
        <v>1069</v>
      </c>
      <c r="AD227" s="172" t="s">
        <v>248</v>
      </c>
      <c r="AE227" s="172" t="s">
        <v>1134</v>
      </c>
      <c r="AF227" s="172" t="s">
        <v>692</v>
      </c>
      <c r="AG227" s="173">
        <v>110000</v>
      </c>
      <c r="AH227" s="174">
        <v>28828.692655656359</v>
      </c>
      <c r="AI227" s="175">
        <v>81171.307344343644</v>
      </c>
      <c r="AJ227" s="174">
        <v>28828.692655656359</v>
      </c>
      <c r="AK227" s="176">
        <v>0</v>
      </c>
      <c r="AL227" s="184">
        <f t="shared" si="9"/>
        <v>81171.307344343644</v>
      </c>
      <c r="AN227" s="172"/>
      <c r="AO227" s="172"/>
      <c r="AP227" s="172"/>
      <c r="AQ227" s="172"/>
      <c r="AR227" s="173"/>
      <c r="AS227" s="174"/>
      <c r="AT227" s="175"/>
      <c r="AU227" s="174"/>
      <c r="AV227" s="184"/>
      <c r="AW227" s="187"/>
    </row>
    <row r="228" spans="1:49" x14ac:dyDescent="0.25">
      <c r="A228" s="4">
        <v>10110063</v>
      </c>
      <c r="B228" s="219">
        <v>64</v>
      </c>
      <c r="D228" s="206"/>
      <c r="E228" s="71">
        <v>10010034</v>
      </c>
      <c r="F228" s="42">
        <v>4760.8959999999997</v>
      </c>
      <c r="H228" s="199"/>
      <c r="I228" s="71">
        <v>10110174</v>
      </c>
      <c r="J228" s="68">
        <v>75000</v>
      </c>
      <c r="AC228" s="183" t="s">
        <v>1070</v>
      </c>
      <c r="AD228" s="177" t="s">
        <v>792</v>
      </c>
      <c r="AE228" s="177" t="s">
        <v>1134</v>
      </c>
      <c r="AF228" s="177" t="s">
        <v>692</v>
      </c>
      <c r="AG228" s="178">
        <v>110000</v>
      </c>
      <c r="AH228" s="179">
        <v>31558.897697541226</v>
      </c>
      <c r="AI228" s="180">
        <v>78441.102302458778</v>
      </c>
      <c r="AJ228" s="179">
        <v>31558.897697541226</v>
      </c>
      <c r="AK228" s="176">
        <v>0</v>
      </c>
      <c r="AL228" s="184">
        <f t="shared" si="9"/>
        <v>78441.102302458778</v>
      </c>
      <c r="AN228" s="177"/>
      <c r="AO228" s="177"/>
      <c r="AP228" s="177"/>
      <c r="AQ228" s="177"/>
      <c r="AR228" s="178"/>
      <c r="AS228" s="179"/>
      <c r="AT228" s="180"/>
      <c r="AU228" s="179"/>
      <c r="AV228" s="184"/>
      <c r="AW228" s="188"/>
    </row>
    <row r="229" spans="1:49" x14ac:dyDescent="0.25">
      <c r="A229" s="4">
        <v>10110064</v>
      </c>
      <c r="B229" s="219">
        <v>64</v>
      </c>
      <c r="D229" s="206"/>
      <c r="E229" s="71">
        <v>10010023</v>
      </c>
      <c r="F229" s="42">
        <v>6400</v>
      </c>
      <c r="H229" s="199"/>
      <c r="I229" s="71">
        <v>10580006</v>
      </c>
      <c r="J229" s="68">
        <v>65000</v>
      </c>
      <c r="AC229" s="182" t="s">
        <v>1071</v>
      </c>
      <c r="AD229" s="172" t="s">
        <v>104</v>
      </c>
      <c r="AE229" s="172" t="s">
        <v>1134</v>
      </c>
      <c r="AF229" s="172" t="s">
        <v>692</v>
      </c>
      <c r="AG229" s="173">
        <v>110000</v>
      </c>
      <c r="AH229" s="174">
        <v>25423.704620260502</v>
      </c>
      <c r="AI229" s="175">
        <v>84576.295379739502</v>
      </c>
      <c r="AJ229" s="174">
        <v>25423.704620260502</v>
      </c>
      <c r="AK229" s="176">
        <v>0</v>
      </c>
      <c r="AL229" s="184">
        <f t="shared" si="9"/>
        <v>84576.295379739502</v>
      </c>
      <c r="AN229" s="172"/>
      <c r="AO229" s="172"/>
      <c r="AP229" s="172"/>
      <c r="AQ229" s="172"/>
      <c r="AR229" s="173"/>
      <c r="AS229" s="174"/>
      <c r="AT229" s="175"/>
      <c r="AU229" s="174"/>
      <c r="AV229" s="184"/>
      <c r="AW229" s="187"/>
    </row>
    <row r="230" spans="1:49" x14ac:dyDescent="0.25">
      <c r="A230" s="4">
        <v>10110067</v>
      </c>
      <c r="B230" s="219">
        <v>64</v>
      </c>
      <c r="D230" s="206"/>
      <c r="E230" s="71">
        <v>10010033</v>
      </c>
      <c r="F230" s="42">
        <v>5965.65</v>
      </c>
      <c r="H230" s="199"/>
      <c r="I230" s="71">
        <v>10580007</v>
      </c>
      <c r="J230" s="68">
        <v>60694</v>
      </c>
      <c r="AC230" s="183" t="s">
        <v>1072</v>
      </c>
      <c r="AD230" s="177" t="s">
        <v>793</v>
      </c>
      <c r="AE230" s="177" t="s">
        <v>1134</v>
      </c>
      <c r="AF230" s="177" t="s">
        <v>692</v>
      </c>
      <c r="AG230" s="178">
        <v>110000</v>
      </c>
      <c r="AH230" s="179">
        <v>7674.7212726565322</v>
      </c>
      <c r="AI230" s="180">
        <v>102325.27872734347</v>
      </c>
      <c r="AJ230" s="179">
        <v>7674.7212726565322</v>
      </c>
      <c r="AK230" s="176">
        <v>0</v>
      </c>
      <c r="AL230" s="184">
        <f t="shared" si="9"/>
        <v>102325.27872734347</v>
      </c>
      <c r="AN230" s="177"/>
      <c r="AO230" s="177"/>
      <c r="AP230" s="177"/>
      <c r="AQ230" s="177"/>
      <c r="AR230" s="178"/>
      <c r="AS230" s="179"/>
      <c r="AT230" s="180"/>
      <c r="AU230" s="179"/>
      <c r="AV230" s="184"/>
      <c r="AW230" s="188"/>
    </row>
    <row r="231" spans="1:49" x14ac:dyDescent="0.25">
      <c r="A231" s="4">
        <v>10110068</v>
      </c>
      <c r="B231" s="219">
        <v>64</v>
      </c>
      <c r="D231" s="206"/>
      <c r="E231" s="71">
        <v>10010042</v>
      </c>
      <c r="F231" s="42">
        <v>6400</v>
      </c>
      <c r="H231" s="199"/>
      <c r="I231" s="71">
        <v>10120116</v>
      </c>
      <c r="J231" s="68">
        <v>50828.164799999999</v>
      </c>
      <c r="AC231" s="182" t="s">
        <v>1073</v>
      </c>
      <c r="AD231" s="172" t="s">
        <v>794</v>
      </c>
      <c r="AE231" s="172" t="s">
        <v>1134</v>
      </c>
      <c r="AF231" s="172" t="s">
        <v>692</v>
      </c>
      <c r="AG231" s="173">
        <v>110000</v>
      </c>
      <c r="AH231" s="174">
        <v>7675</v>
      </c>
      <c r="AI231" s="175">
        <v>102325</v>
      </c>
      <c r="AJ231" s="174">
        <v>7675</v>
      </c>
      <c r="AK231" s="176">
        <v>0</v>
      </c>
      <c r="AL231" s="184">
        <f t="shared" si="9"/>
        <v>102325</v>
      </c>
      <c r="AN231" s="172"/>
      <c r="AO231" s="172"/>
      <c r="AP231" s="172"/>
      <c r="AQ231" s="172"/>
      <c r="AR231" s="173"/>
      <c r="AS231" s="174"/>
      <c r="AT231" s="175"/>
      <c r="AU231" s="174"/>
      <c r="AV231" s="184"/>
      <c r="AW231" s="187"/>
    </row>
    <row r="232" spans="1:49" x14ac:dyDescent="0.25">
      <c r="A232" s="4">
        <v>10110069</v>
      </c>
      <c r="B232" s="220">
        <v>64</v>
      </c>
      <c r="D232" s="206"/>
      <c r="E232" s="71">
        <v>10010040</v>
      </c>
      <c r="F232" s="42">
        <v>6057.4044000000004</v>
      </c>
      <c r="H232" s="199"/>
      <c r="I232" s="71">
        <v>10530096</v>
      </c>
      <c r="J232" s="68">
        <v>51381.705189579719</v>
      </c>
      <c r="AC232" s="183" t="s">
        <v>1074</v>
      </c>
      <c r="AD232" s="177" t="s">
        <v>309</v>
      </c>
      <c r="AE232" s="177" t="s">
        <v>1134</v>
      </c>
      <c r="AF232" s="177" t="s">
        <v>692</v>
      </c>
      <c r="AG232" s="178">
        <v>110000</v>
      </c>
      <c r="AH232" s="179">
        <v>34155.331892297843</v>
      </c>
      <c r="AI232" s="180">
        <v>75844.668107702164</v>
      </c>
      <c r="AJ232" s="179">
        <v>34155.331892297843</v>
      </c>
      <c r="AK232" s="176">
        <v>0</v>
      </c>
      <c r="AL232" s="184">
        <f t="shared" si="9"/>
        <v>75844.668107702164</v>
      </c>
      <c r="AN232" s="177"/>
      <c r="AO232" s="177"/>
      <c r="AP232" s="177"/>
      <c r="AQ232" s="177"/>
      <c r="AR232" s="178"/>
      <c r="AS232" s="179"/>
      <c r="AT232" s="180"/>
      <c r="AU232" s="179"/>
      <c r="AV232" s="184"/>
      <c r="AW232" s="188"/>
    </row>
    <row r="233" spans="1:49" x14ac:dyDescent="0.25">
      <c r="A233" s="4">
        <v>10110070</v>
      </c>
      <c r="B233" s="219">
        <v>64</v>
      </c>
      <c r="D233" s="206"/>
      <c r="E233" s="71">
        <v>10010018</v>
      </c>
      <c r="F233" s="42">
        <v>6400</v>
      </c>
      <c r="H233" s="199"/>
      <c r="I233" s="71">
        <v>10530097</v>
      </c>
      <c r="J233" s="68">
        <v>57318.154369462798</v>
      </c>
      <c r="AC233" s="182" t="s">
        <v>1075</v>
      </c>
      <c r="AD233" s="172" t="s">
        <v>308</v>
      </c>
      <c r="AE233" s="172" t="s">
        <v>1134</v>
      </c>
      <c r="AF233" s="172" t="s">
        <v>692</v>
      </c>
      <c r="AG233" s="173">
        <v>110000</v>
      </c>
      <c r="AH233" s="174">
        <v>28991.570189911039</v>
      </c>
      <c r="AI233" s="175">
        <v>81008.429810088957</v>
      </c>
      <c r="AJ233" s="174">
        <v>28991.570189911039</v>
      </c>
      <c r="AK233" s="176">
        <v>0</v>
      </c>
      <c r="AL233" s="184">
        <f t="shared" si="9"/>
        <v>81008.429810088957</v>
      </c>
      <c r="AN233" s="172"/>
      <c r="AO233" s="172"/>
      <c r="AP233" s="172"/>
      <c r="AQ233" s="172"/>
      <c r="AR233" s="173"/>
      <c r="AS233" s="174"/>
      <c r="AT233" s="175"/>
      <c r="AU233" s="174"/>
      <c r="AV233" s="184"/>
      <c r="AW233" s="187"/>
    </row>
    <row r="234" spans="1:49" x14ac:dyDescent="0.25">
      <c r="A234" s="4">
        <v>10110072</v>
      </c>
      <c r="B234" s="219">
        <v>64</v>
      </c>
      <c r="D234" s="206"/>
      <c r="E234" s="71">
        <v>10010009</v>
      </c>
      <c r="F234" s="42">
        <v>3200</v>
      </c>
      <c r="H234" s="199"/>
      <c r="I234" s="71">
        <v>10530098</v>
      </c>
      <c r="J234" s="68">
        <v>65000</v>
      </c>
      <c r="AC234" s="183" t="s">
        <v>1076</v>
      </c>
      <c r="AD234" s="177" t="s">
        <v>795</v>
      </c>
      <c r="AE234" s="177" t="s">
        <v>1134</v>
      </c>
      <c r="AF234" s="177" t="s">
        <v>692</v>
      </c>
      <c r="AG234" s="178">
        <v>110000</v>
      </c>
      <c r="AH234" s="179">
        <v>2643</v>
      </c>
      <c r="AI234" s="180">
        <v>107357</v>
      </c>
      <c r="AJ234" s="179">
        <v>2643</v>
      </c>
      <c r="AK234" s="176">
        <v>0</v>
      </c>
      <c r="AL234" s="184">
        <f t="shared" si="9"/>
        <v>107357</v>
      </c>
      <c r="AN234" s="177"/>
      <c r="AO234" s="177"/>
      <c r="AP234" s="177"/>
      <c r="AQ234" s="177"/>
      <c r="AR234" s="178"/>
      <c r="AS234" s="179"/>
      <c r="AT234" s="180"/>
      <c r="AU234" s="179"/>
      <c r="AV234" s="184"/>
      <c r="AW234" s="188"/>
    </row>
    <row r="235" spans="1:49" x14ac:dyDescent="0.25">
      <c r="A235" s="4">
        <v>10110074</v>
      </c>
      <c r="B235" s="219">
        <v>64</v>
      </c>
      <c r="D235" s="206"/>
      <c r="E235" s="71">
        <v>10010037</v>
      </c>
      <c r="F235" s="42">
        <v>6400</v>
      </c>
      <c r="H235" s="199"/>
      <c r="I235" s="71">
        <v>10530099</v>
      </c>
      <c r="J235" s="68">
        <v>65000</v>
      </c>
      <c r="AC235" s="182" t="s">
        <v>1077</v>
      </c>
      <c r="AD235" s="172" t="s">
        <v>796</v>
      </c>
      <c r="AE235" s="172" t="s">
        <v>1134</v>
      </c>
      <c r="AF235" s="172" t="s">
        <v>692</v>
      </c>
      <c r="AG235" s="173">
        <v>110000</v>
      </c>
      <c r="AH235" s="174">
        <v>28384.150978485322</v>
      </c>
      <c r="AI235" s="175">
        <v>81615.849021514674</v>
      </c>
      <c r="AJ235" s="174">
        <v>28384.150978485322</v>
      </c>
      <c r="AK235" s="176">
        <v>0</v>
      </c>
      <c r="AL235" s="184">
        <f t="shared" si="9"/>
        <v>81615.849021514674</v>
      </c>
      <c r="AN235" s="172"/>
      <c r="AO235" s="172"/>
      <c r="AP235" s="172"/>
      <c r="AQ235" s="172"/>
      <c r="AR235" s="173"/>
      <c r="AS235" s="174"/>
      <c r="AT235" s="175"/>
      <c r="AU235" s="174"/>
      <c r="AV235" s="184"/>
      <c r="AW235" s="187"/>
    </row>
    <row r="236" spans="1:49" x14ac:dyDescent="0.25">
      <c r="A236" s="4">
        <v>10110075</v>
      </c>
      <c r="B236" s="219">
        <v>64</v>
      </c>
      <c r="D236" s="206"/>
      <c r="E236" s="71">
        <v>10080029</v>
      </c>
      <c r="F236" s="42">
        <v>6400</v>
      </c>
      <c r="H236" s="199"/>
      <c r="I236" s="71">
        <v>10030080</v>
      </c>
      <c r="J236" s="68">
        <v>57283.8642297392</v>
      </c>
      <c r="AC236" s="183" t="s">
        <v>1078</v>
      </c>
      <c r="AD236" s="177" t="s">
        <v>307</v>
      </c>
      <c r="AE236" s="177" t="s">
        <v>1134</v>
      </c>
      <c r="AF236" s="177" t="s">
        <v>692</v>
      </c>
      <c r="AG236" s="178">
        <v>110000</v>
      </c>
      <c r="AH236" s="179">
        <v>22505.874887833968</v>
      </c>
      <c r="AI236" s="180">
        <v>87494.125112166032</v>
      </c>
      <c r="AJ236" s="179">
        <v>22505.874887833968</v>
      </c>
      <c r="AK236" s="176">
        <v>0</v>
      </c>
      <c r="AL236" s="184">
        <f t="shared" si="9"/>
        <v>87494.125112166032</v>
      </c>
      <c r="AN236" s="177"/>
      <c r="AO236" s="177"/>
      <c r="AP236" s="177"/>
      <c r="AQ236" s="177"/>
      <c r="AR236" s="178"/>
      <c r="AS236" s="179"/>
      <c r="AT236" s="180"/>
      <c r="AU236" s="179"/>
      <c r="AV236" s="184"/>
      <c r="AW236" s="188"/>
    </row>
    <row r="237" spans="1:49" x14ac:dyDescent="0.25">
      <c r="A237" s="4">
        <v>10110077</v>
      </c>
      <c r="B237" s="219">
        <v>64</v>
      </c>
      <c r="D237" s="206"/>
      <c r="E237" s="71">
        <v>10080028</v>
      </c>
      <c r="F237" s="42">
        <v>6400</v>
      </c>
      <c r="H237" s="199"/>
      <c r="I237" s="71">
        <v>10060124</v>
      </c>
      <c r="J237" s="68">
        <v>69173</v>
      </c>
      <c r="AC237" s="182" t="s">
        <v>1079</v>
      </c>
      <c r="AD237" s="172" t="s">
        <v>658</v>
      </c>
      <c r="AE237" s="172" t="s">
        <v>1134</v>
      </c>
      <c r="AF237" s="172" t="s">
        <v>692</v>
      </c>
      <c r="AG237" s="173">
        <v>110000</v>
      </c>
      <c r="AH237" s="174">
        <v>21082</v>
      </c>
      <c r="AI237" s="175">
        <v>88918</v>
      </c>
      <c r="AJ237" s="174">
        <v>21082</v>
      </c>
      <c r="AK237" s="176">
        <v>0</v>
      </c>
      <c r="AL237" s="184">
        <f t="shared" si="9"/>
        <v>88918</v>
      </c>
      <c r="AN237" s="172"/>
      <c r="AO237" s="172"/>
      <c r="AP237" s="172"/>
      <c r="AQ237" s="172"/>
      <c r="AR237" s="173"/>
      <c r="AS237" s="174"/>
      <c r="AT237" s="175"/>
      <c r="AU237" s="174"/>
      <c r="AV237" s="184"/>
      <c r="AW237" s="187"/>
    </row>
    <row r="238" spans="1:49" x14ac:dyDescent="0.25">
      <c r="A238" s="4">
        <v>10110080</v>
      </c>
      <c r="B238" s="219">
        <v>64</v>
      </c>
      <c r="D238" s="206"/>
      <c r="E238" s="71">
        <v>10080020</v>
      </c>
      <c r="F238" s="42">
        <v>5593.0776491584002</v>
      </c>
      <c r="H238" s="199"/>
      <c r="I238" s="71">
        <v>10140191</v>
      </c>
      <c r="J238" s="68">
        <v>99080</v>
      </c>
      <c r="AC238" s="183" t="s">
        <v>854</v>
      </c>
      <c r="AD238" s="177" t="s">
        <v>797</v>
      </c>
      <c r="AE238" s="177" t="s">
        <v>1135</v>
      </c>
      <c r="AF238" s="177" t="s">
        <v>692</v>
      </c>
      <c r="AG238" s="178">
        <v>110000</v>
      </c>
      <c r="AH238" s="179">
        <v>10000</v>
      </c>
      <c r="AI238" s="180">
        <v>100000</v>
      </c>
      <c r="AJ238" s="179">
        <v>0</v>
      </c>
      <c r="AK238" s="181">
        <v>10000</v>
      </c>
      <c r="AL238" s="184">
        <f t="shared" si="9"/>
        <v>100000</v>
      </c>
      <c r="AN238" s="177"/>
      <c r="AO238" s="177"/>
      <c r="AP238" s="177"/>
      <c r="AQ238" s="177"/>
      <c r="AR238" s="178"/>
      <c r="AS238" s="179"/>
      <c r="AT238" s="180"/>
      <c r="AU238" s="179"/>
      <c r="AV238" s="184"/>
      <c r="AW238" s="188"/>
    </row>
    <row r="239" spans="1:49" x14ac:dyDescent="0.25">
      <c r="A239" s="4">
        <v>10110081</v>
      </c>
      <c r="B239" s="219">
        <v>64</v>
      </c>
      <c r="D239" s="206"/>
      <c r="E239" s="71">
        <v>10010006</v>
      </c>
      <c r="F239" s="42">
        <v>7108.3907181823997</v>
      </c>
      <c r="H239" s="199"/>
      <c r="I239" s="71">
        <v>10140192</v>
      </c>
      <c r="J239" s="68">
        <v>108788</v>
      </c>
      <c r="AC239" s="182" t="s">
        <v>1080</v>
      </c>
      <c r="AD239" s="172" t="s">
        <v>798</v>
      </c>
      <c r="AE239" s="172" t="s">
        <v>1135</v>
      </c>
      <c r="AF239" s="172" t="s">
        <v>692</v>
      </c>
      <c r="AG239" s="173">
        <v>110000</v>
      </c>
      <c r="AH239" s="174">
        <v>42264.734400000001</v>
      </c>
      <c r="AI239" s="175">
        <v>67735.265599999999</v>
      </c>
      <c r="AJ239" s="174">
        <v>32264.734400000001</v>
      </c>
      <c r="AK239" s="176">
        <v>10000</v>
      </c>
      <c r="AL239" s="184">
        <f t="shared" si="9"/>
        <v>67735.265599999999</v>
      </c>
      <c r="AN239" s="172"/>
      <c r="AO239" s="172"/>
      <c r="AP239" s="172"/>
      <c r="AQ239" s="172"/>
      <c r="AR239" s="173"/>
      <c r="AS239" s="174"/>
      <c r="AT239" s="175"/>
      <c r="AU239" s="174"/>
      <c r="AV239" s="184"/>
      <c r="AW239" s="187"/>
    </row>
    <row r="240" spans="1:49" x14ac:dyDescent="0.25">
      <c r="A240" s="4">
        <v>10110082</v>
      </c>
      <c r="B240" s="219">
        <v>64</v>
      </c>
      <c r="D240" s="206"/>
      <c r="E240" s="71">
        <v>10010017</v>
      </c>
      <c r="F240" s="42">
        <v>6400</v>
      </c>
      <c r="H240" s="199"/>
      <c r="I240" s="71">
        <v>10110171</v>
      </c>
      <c r="J240" s="68">
        <v>62524</v>
      </c>
      <c r="AC240" s="183" t="s">
        <v>854</v>
      </c>
      <c r="AD240" s="177" t="s">
        <v>799</v>
      </c>
      <c r="AE240" s="177" t="s">
        <v>1135</v>
      </c>
      <c r="AF240" s="177" t="s">
        <v>692</v>
      </c>
      <c r="AG240" s="178">
        <v>110000</v>
      </c>
      <c r="AH240" s="179">
        <v>5000</v>
      </c>
      <c r="AI240" s="180">
        <v>105000</v>
      </c>
      <c r="AJ240" s="179">
        <v>0</v>
      </c>
      <c r="AK240" s="181">
        <v>5000</v>
      </c>
      <c r="AL240" s="184">
        <f t="shared" si="9"/>
        <v>105000</v>
      </c>
      <c r="AN240" s="177"/>
      <c r="AO240" s="177"/>
      <c r="AP240" s="177"/>
      <c r="AQ240" s="177"/>
      <c r="AR240" s="178"/>
      <c r="AS240" s="179"/>
      <c r="AT240" s="180"/>
      <c r="AU240" s="179"/>
      <c r="AV240" s="184"/>
      <c r="AW240" s="188"/>
    </row>
    <row r="241" spans="1:49" x14ac:dyDescent="0.25">
      <c r="A241" s="4">
        <v>10110084</v>
      </c>
      <c r="B241" s="219">
        <v>64</v>
      </c>
      <c r="D241" s="206"/>
      <c r="E241" s="71">
        <v>10080058</v>
      </c>
      <c r="F241" s="42">
        <v>6400</v>
      </c>
      <c r="H241" s="199"/>
      <c r="I241" s="71">
        <v>10110172</v>
      </c>
      <c r="J241" s="68">
        <v>60492</v>
      </c>
      <c r="AC241" s="182" t="s">
        <v>1081</v>
      </c>
      <c r="AD241" s="172" t="s">
        <v>800</v>
      </c>
      <c r="AE241" s="172" t="s">
        <v>1135</v>
      </c>
      <c r="AF241" s="172" t="s">
        <v>692</v>
      </c>
      <c r="AG241" s="173">
        <v>110000</v>
      </c>
      <c r="AH241" s="174">
        <v>32616</v>
      </c>
      <c r="AI241" s="175">
        <v>77384</v>
      </c>
      <c r="AJ241" s="174">
        <v>27616</v>
      </c>
      <c r="AK241" s="176">
        <v>5000</v>
      </c>
      <c r="AL241" s="184">
        <f t="shared" si="9"/>
        <v>77384</v>
      </c>
      <c r="AN241" s="172"/>
      <c r="AO241" s="172"/>
      <c r="AP241" s="172"/>
      <c r="AQ241" s="172"/>
      <c r="AR241" s="173"/>
      <c r="AS241" s="174"/>
      <c r="AT241" s="175"/>
      <c r="AU241" s="174"/>
      <c r="AV241" s="184"/>
      <c r="AW241" s="187"/>
    </row>
    <row r="242" spans="1:49" x14ac:dyDescent="0.25">
      <c r="A242" s="4">
        <v>10140135</v>
      </c>
      <c r="B242" s="219">
        <v>460.56</v>
      </c>
      <c r="D242" s="206"/>
      <c r="E242" s="71">
        <v>10080033</v>
      </c>
      <c r="F242" s="42">
        <v>6232.1556</v>
      </c>
      <c r="H242" s="199"/>
      <c r="I242" s="71">
        <v>10550003</v>
      </c>
      <c r="J242" s="68">
        <v>65000</v>
      </c>
      <c r="AC242" s="183" t="s">
        <v>1082</v>
      </c>
      <c r="AD242" s="177" t="s">
        <v>801</v>
      </c>
      <c r="AE242" s="177" t="s">
        <v>1135</v>
      </c>
      <c r="AF242" s="177" t="s">
        <v>692</v>
      </c>
      <c r="AG242" s="178">
        <v>110000</v>
      </c>
      <c r="AH242" s="179">
        <v>38024.839399999997</v>
      </c>
      <c r="AI242" s="180">
        <v>71975.160600000003</v>
      </c>
      <c r="AJ242" s="179">
        <v>28024.839400000001</v>
      </c>
      <c r="AK242" s="181">
        <v>10000</v>
      </c>
      <c r="AL242" s="184">
        <f t="shared" si="9"/>
        <v>71975.160600000003</v>
      </c>
      <c r="AN242" s="177"/>
      <c r="AO242" s="177"/>
      <c r="AP242" s="177"/>
      <c r="AQ242" s="177"/>
      <c r="AR242" s="178"/>
      <c r="AS242" s="179"/>
      <c r="AT242" s="180"/>
      <c r="AU242" s="179"/>
      <c r="AV242" s="184"/>
      <c r="AW242" s="188"/>
    </row>
    <row r="243" spans="1:49" x14ac:dyDescent="0.25">
      <c r="A243" s="4">
        <v>10140113</v>
      </c>
      <c r="B243" s="219">
        <v>280</v>
      </c>
      <c r="D243" s="206"/>
      <c r="E243" s="71">
        <v>10080059</v>
      </c>
      <c r="F243" s="42">
        <v>6400</v>
      </c>
      <c r="H243" s="199"/>
      <c r="I243" s="71">
        <v>10580005</v>
      </c>
      <c r="J243" s="68">
        <v>59417</v>
      </c>
      <c r="AC243" s="182" t="s">
        <v>1083</v>
      </c>
      <c r="AD243" s="172" t="s">
        <v>802</v>
      </c>
      <c r="AE243" s="172" t="s">
        <v>1135</v>
      </c>
      <c r="AF243" s="172" t="s">
        <v>692</v>
      </c>
      <c r="AG243" s="173">
        <v>110000</v>
      </c>
      <c r="AH243" s="174">
        <v>19627.443599999999</v>
      </c>
      <c r="AI243" s="175">
        <v>90372.556400000001</v>
      </c>
      <c r="AJ243" s="174">
        <v>9627.4435999999987</v>
      </c>
      <c r="AK243" s="176">
        <v>10000</v>
      </c>
      <c r="AL243" s="184">
        <f t="shared" si="9"/>
        <v>90372.556400000001</v>
      </c>
      <c r="AN243" s="172"/>
      <c r="AO243" s="172"/>
      <c r="AP243" s="172"/>
      <c r="AQ243" s="172"/>
      <c r="AR243" s="173"/>
      <c r="AS243" s="174"/>
      <c r="AT243" s="175"/>
      <c r="AU243" s="174"/>
      <c r="AV243" s="184"/>
      <c r="AW243" s="187"/>
    </row>
    <row r="244" spans="1:49" x14ac:dyDescent="0.25">
      <c r="A244" s="4">
        <v>10140124</v>
      </c>
      <c r="B244" s="219">
        <v>700</v>
      </c>
      <c r="D244" s="206"/>
      <c r="E244" s="71">
        <v>10080026</v>
      </c>
      <c r="F244" s="42">
        <v>6400</v>
      </c>
      <c r="H244" s="199"/>
      <c r="I244" s="71">
        <v>10530091</v>
      </c>
      <c r="J244" s="68">
        <v>79695.792820073533</v>
      </c>
      <c r="AC244" s="183" t="s">
        <v>1084</v>
      </c>
      <c r="AD244" s="177" t="s">
        <v>803</v>
      </c>
      <c r="AE244" s="177" t="s">
        <v>1135</v>
      </c>
      <c r="AF244" s="177" t="s">
        <v>692</v>
      </c>
      <c r="AG244" s="178">
        <v>110000</v>
      </c>
      <c r="AH244" s="179">
        <v>10000</v>
      </c>
      <c r="AI244" s="180">
        <v>100000</v>
      </c>
      <c r="AJ244" s="179">
        <v>0</v>
      </c>
      <c r="AK244" s="181">
        <v>10000</v>
      </c>
      <c r="AL244" s="184">
        <f t="shared" si="9"/>
        <v>100000</v>
      </c>
      <c r="AN244" s="177"/>
      <c r="AO244" s="177"/>
      <c r="AP244" s="177"/>
      <c r="AQ244" s="177"/>
      <c r="AR244" s="178"/>
      <c r="AS244" s="179"/>
      <c r="AT244" s="180"/>
      <c r="AU244" s="179"/>
      <c r="AV244" s="184"/>
      <c r="AW244" s="188"/>
    </row>
    <row r="245" spans="1:49" x14ac:dyDescent="0.25">
      <c r="A245" s="4">
        <v>10140120</v>
      </c>
      <c r="B245" s="219">
        <v>348.52</v>
      </c>
      <c r="D245" s="206"/>
      <c r="E245" s="71">
        <v>10080010</v>
      </c>
      <c r="F245" s="42">
        <v>4717.4009999999998</v>
      </c>
      <c r="H245" s="199"/>
      <c r="I245" s="71">
        <v>10530092</v>
      </c>
      <c r="J245" s="68">
        <v>77832.03363843642</v>
      </c>
      <c r="AC245" s="182" t="s">
        <v>854</v>
      </c>
      <c r="AD245" s="172" t="s">
        <v>804</v>
      </c>
      <c r="AE245" s="172" t="s">
        <v>1135</v>
      </c>
      <c r="AF245" s="172" t="s">
        <v>692</v>
      </c>
      <c r="AG245" s="173">
        <v>110000</v>
      </c>
      <c r="AH245" s="174">
        <v>10000</v>
      </c>
      <c r="AI245" s="175">
        <v>100000</v>
      </c>
      <c r="AJ245" s="174">
        <v>0</v>
      </c>
      <c r="AK245" s="176">
        <v>10000</v>
      </c>
      <c r="AL245" s="184">
        <f t="shared" si="9"/>
        <v>100000</v>
      </c>
      <c r="AN245" s="172"/>
      <c r="AO245" s="172"/>
      <c r="AP245" s="172"/>
      <c r="AQ245" s="172"/>
      <c r="AR245" s="173"/>
      <c r="AS245" s="174"/>
      <c r="AT245" s="175"/>
      <c r="AU245" s="174"/>
      <c r="AV245" s="184"/>
      <c r="AW245" s="187"/>
    </row>
    <row r="246" spans="1:49" x14ac:dyDescent="0.25">
      <c r="A246" s="4">
        <v>10140105</v>
      </c>
      <c r="B246" s="219">
        <v>856</v>
      </c>
      <c r="D246" s="206"/>
      <c r="E246" s="71">
        <v>10080032</v>
      </c>
      <c r="F246" s="42">
        <v>3607.9609999999998</v>
      </c>
      <c r="H246" s="199"/>
      <c r="I246" s="71">
        <v>10530093</v>
      </c>
      <c r="J246" s="68">
        <v>69198.348125114542</v>
      </c>
      <c r="AC246" s="183" t="s">
        <v>1085</v>
      </c>
      <c r="AD246" s="177" t="s">
        <v>805</v>
      </c>
      <c r="AE246" s="177" t="s">
        <v>1135</v>
      </c>
      <c r="AF246" s="177" t="s">
        <v>692</v>
      </c>
      <c r="AG246" s="178">
        <v>110000</v>
      </c>
      <c r="AH246" s="179">
        <v>46765.769011810342</v>
      </c>
      <c r="AI246" s="180">
        <v>63234.230988189658</v>
      </c>
      <c r="AJ246" s="179">
        <v>36765.769011810342</v>
      </c>
      <c r="AK246" s="181">
        <v>10000</v>
      </c>
      <c r="AL246" s="184">
        <f t="shared" si="9"/>
        <v>63234.230988189658</v>
      </c>
      <c r="AN246" s="177"/>
      <c r="AO246" s="177"/>
      <c r="AP246" s="177"/>
      <c r="AQ246" s="177"/>
      <c r="AR246" s="178"/>
      <c r="AS246" s="179"/>
      <c r="AT246" s="180"/>
      <c r="AU246" s="179"/>
      <c r="AV246" s="184"/>
      <c r="AW246" s="188"/>
    </row>
    <row r="247" spans="1:49" x14ac:dyDescent="0.25">
      <c r="A247" s="4">
        <v>10140152</v>
      </c>
      <c r="B247" s="219">
        <v>1048.68</v>
      </c>
      <c r="D247" s="206"/>
      <c r="E247" s="71">
        <v>10080021</v>
      </c>
      <c r="F247" s="42">
        <v>6400</v>
      </c>
      <c r="H247" s="199"/>
      <c r="I247" s="71">
        <v>10560011</v>
      </c>
      <c r="J247" s="68">
        <v>75422.401516568003</v>
      </c>
      <c r="AC247" s="182" t="s">
        <v>1086</v>
      </c>
      <c r="AD247" s="172" t="s">
        <v>806</v>
      </c>
      <c r="AE247" s="172" t="s">
        <v>1134</v>
      </c>
      <c r="AF247" s="172" t="s">
        <v>692</v>
      </c>
      <c r="AG247" s="173">
        <v>110000</v>
      </c>
      <c r="AH247" s="174">
        <v>43536.643003991165</v>
      </c>
      <c r="AI247" s="175">
        <v>66463.356996008835</v>
      </c>
      <c r="AJ247" s="174">
        <v>43536.643003991165</v>
      </c>
      <c r="AK247" s="176">
        <v>0</v>
      </c>
      <c r="AL247" s="184">
        <f t="shared" si="9"/>
        <v>66463.356996008835</v>
      </c>
      <c r="AN247" s="172"/>
      <c r="AO247" s="172"/>
      <c r="AP247" s="172"/>
      <c r="AQ247" s="172"/>
      <c r="AR247" s="173"/>
      <c r="AS247" s="174"/>
      <c r="AT247" s="175"/>
      <c r="AU247" s="174"/>
      <c r="AV247" s="184"/>
      <c r="AW247" s="187"/>
    </row>
    <row r="248" spans="1:49" x14ac:dyDescent="0.25">
      <c r="A248" s="4">
        <v>10100052</v>
      </c>
      <c r="B248" s="219">
        <v>2100</v>
      </c>
      <c r="D248" s="206"/>
      <c r="E248" s="71">
        <v>10110029</v>
      </c>
      <c r="F248" s="42">
        <v>12800</v>
      </c>
      <c r="H248" s="199"/>
      <c r="I248" s="71">
        <v>10560012</v>
      </c>
      <c r="J248" s="68">
        <v>83169.204800000007</v>
      </c>
      <c r="AC248" s="183" t="s">
        <v>1087</v>
      </c>
      <c r="AD248" s="177" t="s">
        <v>370</v>
      </c>
      <c r="AE248" s="177" t="s">
        <v>1134</v>
      </c>
      <c r="AF248" s="177" t="s">
        <v>692</v>
      </c>
      <c r="AG248" s="178">
        <v>110000</v>
      </c>
      <c r="AH248" s="179">
        <v>48802.234922935029</v>
      </c>
      <c r="AI248" s="180">
        <v>61197.765077064971</v>
      </c>
      <c r="AJ248" s="179">
        <v>48802.234922935029</v>
      </c>
      <c r="AK248" s="176">
        <v>0</v>
      </c>
      <c r="AL248" s="184">
        <f t="shared" ref="AL248:AL285" si="10">AG248-AH248</f>
        <v>61197.765077064971</v>
      </c>
      <c r="AN248" s="177"/>
      <c r="AO248" s="177"/>
      <c r="AP248" s="177"/>
      <c r="AQ248" s="177"/>
      <c r="AR248" s="178"/>
      <c r="AS248" s="179"/>
      <c r="AT248" s="180"/>
      <c r="AU248" s="179"/>
      <c r="AV248" s="184"/>
      <c r="AW248" s="188"/>
    </row>
    <row r="249" spans="1:49" x14ac:dyDescent="0.25">
      <c r="A249" s="4">
        <v>10480021</v>
      </c>
      <c r="B249" s="219">
        <v>2100</v>
      </c>
      <c r="D249" s="206"/>
      <c r="E249" s="71">
        <v>10110035</v>
      </c>
      <c r="F249" s="42">
        <v>12800</v>
      </c>
      <c r="H249" s="199"/>
      <c r="I249" s="71">
        <v>10560014</v>
      </c>
      <c r="J249" s="68">
        <v>90000</v>
      </c>
      <c r="AC249" s="182" t="s">
        <v>1088</v>
      </c>
      <c r="AD249" s="172" t="s">
        <v>343</v>
      </c>
      <c r="AE249" s="172" t="s">
        <v>1135</v>
      </c>
      <c r="AF249" s="172" t="s">
        <v>692</v>
      </c>
      <c r="AG249" s="173">
        <v>110000</v>
      </c>
      <c r="AH249" s="174">
        <v>43345.196599999996</v>
      </c>
      <c r="AI249" s="175">
        <v>66654.803400000004</v>
      </c>
      <c r="AJ249" s="174">
        <v>33345.196599999996</v>
      </c>
      <c r="AK249" s="176">
        <v>10000</v>
      </c>
      <c r="AL249" s="184">
        <f t="shared" si="10"/>
        <v>66654.803400000004</v>
      </c>
      <c r="AN249" s="172"/>
      <c r="AO249" s="172"/>
      <c r="AP249" s="172"/>
      <c r="AQ249" s="172"/>
      <c r="AR249" s="173"/>
      <c r="AS249" s="174"/>
      <c r="AT249" s="175"/>
      <c r="AU249" s="174"/>
      <c r="AV249" s="184"/>
      <c r="AW249" s="187"/>
    </row>
    <row r="250" spans="1:49" x14ac:dyDescent="0.25">
      <c r="A250" s="4">
        <v>10020039</v>
      </c>
      <c r="B250" s="219">
        <v>820</v>
      </c>
      <c r="D250" s="206"/>
      <c r="E250" s="71">
        <v>10110032</v>
      </c>
      <c r="F250" s="42">
        <v>6400</v>
      </c>
      <c r="H250" s="199"/>
      <c r="I250" s="71">
        <v>10560015</v>
      </c>
      <c r="J250" s="68">
        <v>103753.4976</v>
      </c>
      <c r="AC250" s="183" t="s">
        <v>1089</v>
      </c>
      <c r="AD250" s="177" t="s">
        <v>344</v>
      </c>
      <c r="AE250" s="177" t="s">
        <v>1135</v>
      </c>
      <c r="AF250" s="177" t="s">
        <v>692</v>
      </c>
      <c r="AG250" s="178">
        <v>110000</v>
      </c>
      <c r="AH250" s="179">
        <v>98912.192532727349</v>
      </c>
      <c r="AI250" s="180">
        <v>11087.807467272651</v>
      </c>
      <c r="AJ250" s="179">
        <v>88912.192532727349</v>
      </c>
      <c r="AK250" s="181">
        <v>10000</v>
      </c>
      <c r="AL250" s="184">
        <f t="shared" si="10"/>
        <v>11087.807467272651</v>
      </c>
      <c r="AN250" s="177"/>
      <c r="AO250" s="177"/>
      <c r="AP250" s="177"/>
      <c r="AQ250" s="177"/>
      <c r="AR250" s="178"/>
      <c r="AS250" s="179"/>
      <c r="AT250" s="180"/>
      <c r="AU250" s="179"/>
      <c r="AV250" s="184"/>
      <c r="AW250" s="188"/>
    </row>
    <row r="251" spans="1:49" x14ac:dyDescent="0.25">
      <c r="A251" s="4">
        <v>10060069</v>
      </c>
      <c r="B251" s="219">
        <v>486.21</v>
      </c>
      <c r="D251" s="206"/>
      <c r="E251" s="71">
        <v>10110027</v>
      </c>
      <c r="F251" s="42">
        <v>6400</v>
      </c>
      <c r="H251" s="199"/>
      <c r="I251" s="71">
        <v>10560016</v>
      </c>
      <c r="J251" s="68">
        <v>84280.039600000004</v>
      </c>
      <c r="AC251" s="182" t="s">
        <v>1090</v>
      </c>
      <c r="AD251" s="172" t="s">
        <v>345</v>
      </c>
      <c r="AE251" s="172" t="s">
        <v>1135</v>
      </c>
      <c r="AF251" s="172" t="s">
        <v>692</v>
      </c>
      <c r="AG251" s="173">
        <v>110000</v>
      </c>
      <c r="AH251" s="174">
        <v>47875.372811854366</v>
      </c>
      <c r="AI251" s="175">
        <v>62124.627188145634</v>
      </c>
      <c r="AJ251" s="174">
        <v>37875.372811854366</v>
      </c>
      <c r="AK251" s="176">
        <v>10000</v>
      </c>
      <c r="AL251" s="184">
        <f t="shared" si="10"/>
        <v>62124.627188145634</v>
      </c>
      <c r="AN251" s="172"/>
      <c r="AO251" s="172"/>
      <c r="AP251" s="172"/>
      <c r="AQ251" s="172"/>
      <c r="AR251" s="173"/>
      <c r="AS251" s="174"/>
      <c r="AT251" s="175"/>
      <c r="AU251" s="174"/>
      <c r="AV251" s="184"/>
      <c r="AW251" s="187"/>
    </row>
    <row r="252" spans="1:49" x14ac:dyDescent="0.25">
      <c r="A252" s="4">
        <v>10060073</v>
      </c>
      <c r="B252" s="219">
        <v>504.51</v>
      </c>
      <c r="D252" s="206"/>
      <c r="E252" s="71">
        <v>10110031</v>
      </c>
      <c r="F252" s="42">
        <v>6400</v>
      </c>
      <c r="H252" s="199"/>
      <c r="I252" s="71">
        <v>10020084</v>
      </c>
      <c r="J252" s="68">
        <v>83226.514972060002</v>
      </c>
      <c r="AC252" s="183" t="s">
        <v>1091</v>
      </c>
      <c r="AD252" s="177" t="s">
        <v>346</v>
      </c>
      <c r="AE252" s="177" t="s">
        <v>1135</v>
      </c>
      <c r="AF252" s="177" t="s">
        <v>692</v>
      </c>
      <c r="AG252" s="178">
        <v>110000</v>
      </c>
      <c r="AH252" s="179">
        <v>39595.94229642368</v>
      </c>
      <c r="AI252" s="180">
        <v>70404.057703576313</v>
      </c>
      <c r="AJ252" s="179">
        <v>29595.94229642368</v>
      </c>
      <c r="AK252" s="181">
        <v>10000</v>
      </c>
      <c r="AL252" s="184">
        <f t="shared" si="10"/>
        <v>70404.057703576313</v>
      </c>
      <c r="AN252" s="177"/>
      <c r="AO252" s="177"/>
      <c r="AP252" s="177"/>
      <c r="AQ252" s="177"/>
      <c r="AR252" s="178"/>
      <c r="AS252" s="179"/>
      <c r="AT252" s="180"/>
      <c r="AU252" s="179"/>
      <c r="AV252" s="184"/>
      <c r="AW252" s="188"/>
    </row>
    <row r="253" spans="1:49" x14ac:dyDescent="0.25">
      <c r="A253" s="4">
        <v>10030014</v>
      </c>
      <c r="B253" s="219">
        <v>1276</v>
      </c>
      <c r="D253" s="206"/>
      <c r="E253" s="71">
        <v>10110034</v>
      </c>
      <c r="F253" s="42">
        <v>6400</v>
      </c>
      <c r="H253" s="199"/>
      <c r="I253" s="71">
        <v>10570017</v>
      </c>
      <c r="J253" s="68">
        <v>86642</v>
      </c>
      <c r="AC253" s="182" t="s">
        <v>1092</v>
      </c>
      <c r="AD253" s="172" t="s">
        <v>175</v>
      </c>
      <c r="AE253" s="172" t="s">
        <v>1134</v>
      </c>
      <c r="AF253" s="172" t="s">
        <v>692</v>
      </c>
      <c r="AG253" s="173">
        <v>110000</v>
      </c>
      <c r="AH253" s="174">
        <v>47190.486220779159</v>
      </c>
      <c r="AI253" s="175">
        <v>62809.513779220841</v>
      </c>
      <c r="AJ253" s="174">
        <v>47190.486220779159</v>
      </c>
      <c r="AK253" s="176">
        <v>0</v>
      </c>
      <c r="AL253" s="184">
        <f t="shared" si="10"/>
        <v>62809.513779220841</v>
      </c>
      <c r="AN253" s="172"/>
      <c r="AO253" s="172"/>
      <c r="AP253" s="172"/>
      <c r="AQ253" s="172"/>
      <c r="AR253" s="173"/>
      <c r="AS253" s="174"/>
      <c r="AT253" s="175"/>
      <c r="AU253" s="174"/>
      <c r="AV253" s="184"/>
      <c r="AW253" s="187"/>
    </row>
    <row r="254" spans="1:49" x14ac:dyDescent="0.25">
      <c r="A254" s="4">
        <v>10140156</v>
      </c>
      <c r="B254" s="219">
        <v>1666.1</v>
      </c>
      <c r="D254" s="206"/>
      <c r="E254" s="71">
        <v>10110033</v>
      </c>
      <c r="F254" s="42">
        <v>11061.882658062081</v>
      </c>
      <c r="H254" s="199"/>
      <c r="I254" s="71">
        <v>10030078</v>
      </c>
      <c r="J254" s="68">
        <v>86100</v>
      </c>
      <c r="AC254" s="183" t="s">
        <v>1093</v>
      </c>
      <c r="AD254" s="177" t="s">
        <v>176</v>
      </c>
      <c r="AE254" s="177" t="s">
        <v>1134</v>
      </c>
      <c r="AF254" s="177" t="s">
        <v>692</v>
      </c>
      <c r="AG254" s="178">
        <v>110000</v>
      </c>
      <c r="AH254" s="179">
        <v>69405.519852054087</v>
      </c>
      <c r="AI254" s="180">
        <v>40594.480147945913</v>
      </c>
      <c r="AJ254" s="179">
        <v>69405.519852054087</v>
      </c>
      <c r="AK254" s="176">
        <v>0</v>
      </c>
      <c r="AL254" s="184">
        <f t="shared" si="10"/>
        <v>40594.480147945913</v>
      </c>
      <c r="AN254" s="177"/>
      <c r="AO254" s="177"/>
      <c r="AP254" s="177"/>
      <c r="AQ254" s="177"/>
      <c r="AR254" s="178"/>
      <c r="AS254" s="179"/>
      <c r="AT254" s="180"/>
      <c r="AU254" s="179"/>
      <c r="AV254" s="184"/>
      <c r="AW254" s="188"/>
    </row>
    <row r="255" spans="1:49" x14ac:dyDescent="0.25">
      <c r="A255" s="4">
        <v>10020069</v>
      </c>
      <c r="B255" s="219">
        <v>1397.04</v>
      </c>
      <c r="D255" s="206"/>
      <c r="E255" s="71">
        <v>10110028</v>
      </c>
      <c r="F255" s="42">
        <v>6400</v>
      </c>
      <c r="H255" s="199"/>
      <c r="I255" s="71">
        <v>10090072</v>
      </c>
      <c r="J255" s="68">
        <v>87405</v>
      </c>
      <c r="AC255" s="182" t="s">
        <v>1094</v>
      </c>
      <c r="AD255" s="172" t="s">
        <v>178</v>
      </c>
      <c r="AE255" s="172" t="s">
        <v>1134</v>
      </c>
      <c r="AF255" s="172" t="s">
        <v>692</v>
      </c>
      <c r="AG255" s="173">
        <v>110000</v>
      </c>
      <c r="AH255" s="174">
        <v>33748.465262357662</v>
      </c>
      <c r="AI255" s="175">
        <v>76251.534737642331</v>
      </c>
      <c r="AJ255" s="174">
        <v>33748.465262357662</v>
      </c>
      <c r="AK255" s="176">
        <v>0</v>
      </c>
      <c r="AL255" s="184">
        <f t="shared" si="10"/>
        <v>76251.534737642331</v>
      </c>
      <c r="AN255" s="172"/>
      <c r="AO255" s="172"/>
      <c r="AP255" s="172"/>
      <c r="AQ255" s="172"/>
      <c r="AR255" s="173"/>
      <c r="AS255" s="174"/>
      <c r="AT255" s="175"/>
      <c r="AU255" s="174"/>
      <c r="AV255" s="184"/>
      <c r="AW255" s="187"/>
    </row>
    <row r="256" spans="1:49" x14ac:dyDescent="0.25">
      <c r="A256" s="4">
        <v>10020041</v>
      </c>
      <c r="B256" s="219">
        <v>799.64</v>
      </c>
      <c r="D256" s="206"/>
      <c r="E256" s="71">
        <v>10110047</v>
      </c>
      <c r="F256" s="42">
        <v>6400</v>
      </c>
      <c r="H256" s="199"/>
      <c r="I256" s="71">
        <v>10560017</v>
      </c>
      <c r="J256" s="68">
        <v>75159.173815561444</v>
      </c>
      <c r="AC256" s="183" t="s">
        <v>1095</v>
      </c>
      <c r="AD256" s="177" t="s">
        <v>179</v>
      </c>
      <c r="AE256" s="177" t="s">
        <v>1134</v>
      </c>
      <c r="AF256" s="177" t="s">
        <v>692</v>
      </c>
      <c r="AG256" s="178">
        <v>110000</v>
      </c>
      <c r="AH256" s="179">
        <v>31415.852355185987</v>
      </c>
      <c r="AI256" s="180">
        <v>78584.147644814017</v>
      </c>
      <c r="AJ256" s="179">
        <v>31415.852355185987</v>
      </c>
      <c r="AK256" s="176">
        <v>0</v>
      </c>
      <c r="AL256" s="184">
        <f t="shared" si="10"/>
        <v>78584.147644814017</v>
      </c>
      <c r="AN256" s="177"/>
      <c r="AO256" s="177"/>
      <c r="AP256" s="177"/>
      <c r="AQ256" s="177"/>
      <c r="AR256" s="178"/>
      <c r="AS256" s="179"/>
      <c r="AT256" s="180"/>
      <c r="AU256" s="179"/>
      <c r="AV256" s="184"/>
      <c r="AW256" s="188"/>
    </row>
    <row r="257" spans="1:49" x14ac:dyDescent="0.25">
      <c r="A257" s="4">
        <v>10120083</v>
      </c>
      <c r="B257" s="219">
        <v>1046.22</v>
      </c>
      <c r="D257" s="206"/>
      <c r="E257" s="71">
        <v>10110072</v>
      </c>
      <c r="F257" s="42">
        <v>6400</v>
      </c>
      <c r="H257" s="199"/>
      <c r="I257" s="71">
        <v>10560018</v>
      </c>
      <c r="J257" s="68">
        <v>87773.277696846402</v>
      </c>
      <c r="AC257" s="182" t="s">
        <v>1096</v>
      </c>
      <c r="AD257" s="172" t="s">
        <v>807</v>
      </c>
      <c r="AE257" s="172" t="s">
        <v>1134</v>
      </c>
      <c r="AF257" s="172" t="s">
        <v>692</v>
      </c>
      <c r="AG257" s="173">
        <v>110000</v>
      </c>
      <c r="AH257" s="174">
        <v>23575.572576419214</v>
      </c>
      <c r="AI257" s="175">
        <v>86424.427423580782</v>
      </c>
      <c r="AJ257" s="174">
        <v>23575.572576419214</v>
      </c>
      <c r="AK257" s="176">
        <v>0</v>
      </c>
      <c r="AL257" s="184">
        <f t="shared" si="10"/>
        <v>86424.427423580782</v>
      </c>
      <c r="AN257" s="172"/>
      <c r="AO257" s="172"/>
      <c r="AP257" s="172"/>
      <c r="AQ257" s="172"/>
      <c r="AR257" s="173"/>
      <c r="AS257" s="174"/>
      <c r="AT257" s="175"/>
      <c r="AU257" s="174"/>
      <c r="AV257" s="184"/>
      <c r="AW257" s="187"/>
    </row>
    <row r="258" spans="1:49" x14ac:dyDescent="0.25">
      <c r="A258" s="4">
        <v>10130053</v>
      </c>
      <c r="B258" s="219">
        <v>1128</v>
      </c>
      <c r="D258" s="206"/>
      <c r="E258" s="71">
        <v>10110039</v>
      </c>
      <c r="F258" s="42">
        <v>12800</v>
      </c>
      <c r="H258" s="199"/>
      <c r="I258" s="71">
        <v>10010112</v>
      </c>
      <c r="J258" s="68">
        <v>65000</v>
      </c>
      <c r="AC258" s="183" t="s">
        <v>1097</v>
      </c>
      <c r="AD258" s="177" t="s">
        <v>445</v>
      </c>
      <c r="AE258" s="177" t="s">
        <v>1134</v>
      </c>
      <c r="AF258" s="177" t="s">
        <v>692</v>
      </c>
      <c r="AG258" s="178">
        <v>110000</v>
      </c>
      <c r="AH258" s="179">
        <v>30675.143297912415</v>
      </c>
      <c r="AI258" s="180">
        <v>79324.856702087593</v>
      </c>
      <c r="AJ258" s="179">
        <v>30675.143297912415</v>
      </c>
      <c r="AK258" s="176">
        <v>0</v>
      </c>
      <c r="AL258" s="184">
        <f t="shared" si="10"/>
        <v>79324.856702087593</v>
      </c>
      <c r="AN258" s="177"/>
      <c r="AO258" s="177"/>
      <c r="AP258" s="177"/>
      <c r="AQ258" s="177"/>
      <c r="AR258" s="178"/>
      <c r="AS258" s="179"/>
      <c r="AT258" s="180"/>
      <c r="AU258" s="179"/>
      <c r="AV258" s="184"/>
      <c r="AW258" s="188"/>
    </row>
    <row r="259" spans="1:49" x14ac:dyDescent="0.25">
      <c r="A259" s="4">
        <v>10130067</v>
      </c>
      <c r="B259" s="219">
        <v>1128</v>
      </c>
      <c r="D259" s="206"/>
      <c r="E259" s="71">
        <v>10110040</v>
      </c>
      <c r="F259" s="42">
        <v>6292.2790000000005</v>
      </c>
      <c r="H259" s="199"/>
      <c r="I259" s="71">
        <v>10010137</v>
      </c>
      <c r="J259" s="68">
        <v>84348</v>
      </c>
      <c r="AC259" s="182" t="s">
        <v>1098</v>
      </c>
      <c r="AD259" s="172" t="s">
        <v>808</v>
      </c>
      <c r="AE259" s="172" t="s">
        <v>1134</v>
      </c>
      <c r="AF259" s="172" t="s">
        <v>692</v>
      </c>
      <c r="AG259" s="173">
        <v>110000</v>
      </c>
      <c r="AH259" s="174">
        <v>14853.3604</v>
      </c>
      <c r="AI259" s="175">
        <v>95146.639599999995</v>
      </c>
      <c r="AJ259" s="174">
        <v>14853.3604</v>
      </c>
      <c r="AK259" s="176">
        <v>0</v>
      </c>
      <c r="AL259" s="184">
        <f t="shared" si="10"/>
        <v>95146.639599999995</v>
      </c>
      <c r="AN259" s="172"/>
      <c r="AO259" s="172"/>
      <c r="AP259" s="172"/>
      <c r="AQ259" s="172"/>
      <c r="AR259" s="173"/>
      <c r="AS259" s="174"/>
      <c r="AT259" s="175"/>
      <c r="AU259" s="174"/>
      <c r="AV259" s="184"/>
      <c r="AW259" s="187"/>
    </row>
    <row r="260" spans="1:49" x14ac:dyDescent="0.25">
      <c r="A260" s="4">
        <v>10130070</v>
      </c>
      <c r="B260" s="219">
        <v>533.22</v>
      </c>
      <c r="D260" s="206"/>
      <c r="E260" s="71">
        <v>10110041</v>
      </c>
      <c r="F260" s="42">
        <v>6397.8801999999996</v>
      </c>
      <c r="H260" s="199"/>
      <c r="I260" s="71">
        <v>10010138</v>
      </c>
      <c r="J260" s="68">
        <v>90000</v>
      </c>
      <c r="AC260" s="183" t="s">
        <v>1099</v>
      </c>
      <c r="AD260" s="177" t="s">
        <v>809</v>
      </c>
      <c r="AE260" s="177" t="s">
        <v>1135</v>
      </c>
      <c r="AF260" s="177" t="s">
        <v>692</v>
      </c>
      <c r="AG260" s="178">
        <v>110000</v>
      </c>
      <c r="AH260" s="179">
        <v>33243.094706667674</v>
      </c>
      <c r="AI260" s="180">
        <v>76756.905293332326</v>
      </c>
      <c r="AJ260" s="179">
        <v>28243.094706667674</v>
      </c>
      <c r="AK260" s="181">
        <v>5000</v>
      </c>
      <c r="AL260" s="184">
        <f t="shared" si="10"/>
        <v>76756.905293332326</v>
      </c>
      <c r="AN260" s="177"/>
      <c r="AO260" s="177"/>
      <c r="AP260" s="177"/>
      <c r="AQ260" s="177"/>
      <c r="AR260" s="178"/>
      <c r="AS260" s="179"/>
      <c r="AT260" s="180"/>
      <c r="AU260" s="179"/>
      <c r="AV260" s="184"/>
      <c r="AW260" s="188"/>
    </row>
    <row r="261" spans="1:49" x14ac:dyDescent="0.25">
      <c r="A261" s="4">
        <v>10130009</v>
      </c>
      <c r="B261" s="219">
        <v>1128</v>
      </c>
      <c r="D261" s="206"/>
      <c r="E261" s="71">
        <v>10110052</v>
      </c>
      <c r="F261" s="42">
        <v>6397.7388000000001</v>
      </c>
      <c r="H261" s="199"/>
      <c r="I261" s="71">
        <v>10540031</v>
      </c>
      <c r="J261" s="68">
        <v>110000</v>
      </c>
      <c r="AC261" s="182" t="s">
        <v>1100</v>
      </c>
      <c r="AD261" s="172" t="s">
        <v>810</v>
      </c>
      <c r="AE261" s="172" t="s">
        <v>1135</v>
      </c>
      <c r="AF261" s="172" t="s">
        <v>692</v>
      </c>
      <c r="AG261" s="173">
        <v>110000</v>
      </c>
      <c r="AH261" s="174">
        <v>26256.890200000002</v>
      </c>
      <c r="AI261" s="175">
        <v>83743.109800000006</v>
      </c>
      <c r="AJ261" s="174">
        <v>16256.890200000002</v>
      </c>
      <c r="AK261" s="176">
        <v>10000</v>
      </c>
      <c r="AL261" s="184">
        <f t="shared" si="10"/>
        <v>83743.109800000006</v>
      </c>
      <c r="AN261" s="172"/>
      <c r="AO261" s="172"/>
      <c r="AP261" s="172"/>
      <c r="AQ261" s="172"/>
      <c r="AR261" s="173"/>
      <c r="AS261" s="174"/>
      <c r="AT261" s="175"/>
      <c r="AU261" s="174"/>
      <c r="AV261" s="184"/>
      <c r="AW261" s="187"/>
    </row>
    <row r="262" spans="1:49" x14ac:dyDescent="0.25">
      <c r="A262" s="4">
        <v>10130013</v>
      </c>
      <c r="B262" s="219">
        <v>1128</v>
      </c>
      <c r="D262" s="206"/>
      <c r="E262" s="71">
        <v>10110044</v>
      </c>
      <c r="F262" s="42">
        <v>6363.1455999999998</v>
      </c>
      <c r="H262" s="199"/>
      <c r="I262" s="71">
        <v>10540032</v>
      </c>
      <c r="J262" s="68">
        <v>86022</v>
      </c>
      <c r="AC262" s="183" t="s">
        <v>854</v>
      </c>
      <c r="AD262" s="177" t="s">
        <v>811</v>
      </c>
      <c r="AE262" s="177" t="s">
        <v>1134</v>
      </c>
      <c r="AF262" s="177" t="s">
        <v>692</v>
      </c>
      <c r="AG262" s="178">
        <v>110000</v>
      </c>
      <c r="AH262" s="179">
        <v>0</v>
      </c>
      <c r="AI262" s="180">
        <v>110000</v>
      </c>
      <c r="AJ262" s="179">
        <v>0</v>
      </c>
      <c r="AK262" s="176">
        <v>0</v>
      </c>
      <c r="AL262" s="184">
        <f t="shared" si="10"/>
        <v>110000</v>
      </c>
      <c r="AN262" s="177"/>
      <c r="AO262" s="177"/>
      <c r="AP262" s="177"/>
      <c r="AQ262" s="177"/>
      <c r="AR262" s="178"/>
      <c r="AS262" s="179"/>
      <c r="AT262" s="180"/>
      <c r="AU262" s="179"/>
      <c r="AV262" s="184"/>
      <c r="AW262" s="188"/>
    </row>
    <row r="263" spans="1:49" x14ac:dyDescent="0.25">
      <c r="A263" s="4">
        <v>10130002</v>
      </c>
      <c r="B263" s="219">
        <v>1128</v>
      </c>
      <c r="D263" s="206"/>
      <c r="E263" s="71">
        <v>10140078</v>
      </c>
      <c r="F263" s="42">
        <v>331.01599999999962</v>
      </c>
      <c r="H263" s="199"/>
      <c r="I263" s="71">
        <v>10080114</v>
      </c>
      <c r="J263" s="68">
        <v>109229</v>
      </c>
      <c r="AC263" s="182" t="s">
        <v>854</v>
      </c>
      <c r="AD263" s="172" t="s">
        <v>812</v>
      </c>
      <c r="AE263" s="172" t="s">
        <v>1134</v>
      </c>
      <c r="AF263" s="172" t="s">
        <v>692</v>
      </c>
      <c r="AG263" s="173">
        <v>110000</v>
      </c>
      <c r="AH263" s="174">
        <v>0</v>
      </c>
      <c r="AI263" s="175">
        <v>110000</v>
      </c>
      <c r="AJ263" s="174">
        <v>0</v>
      </c>
      <c r="AK263" s="176">
        <v>0</v>
      </c>
      <c r="AL263" s="184">
        <f t="shared" si="10"/>
        <v>110000</v>
      </c>
      <c r="AN263" s="172"/>
      <c r="AO263" s="172"/>
      <c r="AP263" s="172"/>
      <c r="AQ263" s="172"/>
      <c r="AR263" s="173"/>
      <c r="AS263" s="174"/>
      <c r="AT263" s="175"/>
      <c r="AU263" s="174"/>
      <c r="AV263" s="184"/>
      <c r="AW263" s="187"/>
    </row>
    <row r="264" spans="1:49" x14ac:dyDescent="0.25">
      <c r="A264" s="4">
        <v>10130032</v>
      </c>
      <c r="B264" s="219">
        <v>348.52</v>
      </c>
      <c r="D264" s="206"/>
      <c r="E264" s="71">
        <v>10140081</v>
      </c>
      <c r="F264" s="42">
        <v>12800</v>
      </c>
      <c r="H264" s="199"/>
      <c r="I264" s="71">
        <v>10580004</v>
      </c>
      <c r="J264" s="68">
        <v>88634</v>
      </c>
      <c r="AC264" s="183" t="s">
        <v>1101</v>
      </c>
      <c r="AD264" s="177" t="s">
        <v>813</v>
      </c>
      <c r="AE264" s="177" t="s">
        <v>1134</v>
      </c>
      <c r="AF264" s="177" t="s">
        <v>692</v>
      </c>
      <c r="AG264" s="178">
        <v>110000</v>
      </c>
      <c r="AH264" s="179">
        <v>18280.488189902277</v>
      </c>
      <c r="AI264" s="180">
        <v>91719.511810097727</v>
      </c>
      <c r="AJ264" s="179">
        <v>18280.488189902277</v>
      </c>
      <c r="AK264" s="176">
        <v>0</v>
      </c>
      <c r="AL264" s="184">
        <f t="shared" si="10"/>
        <v>91719.511810097727</v>
      </c>
      <c r="AN264" s="177"/>
      <c r="AO264" s="177"/>
      <c r="AP264" s="177"/>
      <c r="AQ264" s="177"/>
      <c r="AR264" s="178"/>
      <c r="AS264" s="179"/>
      <c r="AT264" s="180"/>
      <c r="AU264" s="179"/>
      <c r="AV264" s="184"/>
      <c r="AW264" s="188"/>
    </row>
    <row r="265" spans="1:49" x14ac:dyDescent="0.25">
      <c r="A265" s="4">
        <v>10120001</v>
      </c>
      <c r="B265" s="219">
        <v>348.52</v>
      </c>
      <c r="D265" s="206"/>
      <c r="E265" s="71">
        <v>10140079</v>
      </c>
      <c r="F265" s="42">
        <v>2136.1972000000005</v>
      </c>
      <c r="H265" s="199"/>
      <c r="I265" s="71">
        <v>10540033</v>
      </c>
      <c r="J265" s="68">
        <v>90000</v>
      </c>
      <c r="AC265" s="182" t="s">
        <v>1102</v>
      </c>
      <c r="AD265" s="172" t="s">
        <v>814</v>
      </c>
      <c r="AE265" s="172" t="s">
        <v>1134</v>
      </c>
      <c r="AF265" s="172" t="s">
        <v>692</v>
      </c>
      <c r="AG265" s="173">
        <v>110000</v>
      </c>
      <c r="AH265" s="174">
        <v>6978</v>
      </c>
      <c r="AI265" s="175">
        <v>103022</v>
      </c>
      <c r="AJ265" s="174">
        <v>6978</v>
      </c>
      <c r="AK265" s="176">
        <v>0</v>
      </c>
      <c r="AL265" s="184">
        <f t="shared" si="10"/>
        <v>103022</v>
      </c>
      <c r="AN265" s="172"/>
      <c r="AO265" s="172"/>
      <c r="AP265" s="172"/>
      <c r="AQ265" s="172"/>
      <c r="AR265" s="173"/>
      <c r="AS265" s="174"/>
      <c r="AT265" s="175"/>
      <c r="AU265" s="174"/>
      <c r="AV265" s="184"/>
      <c r="AW265" s="187"/>
    </row>
    <row r="266" spans="1:49" x14ac:dyDescent="0.25">
      <c r="A266" s="4">
        <v>10130014</v>
      </c>
      <c r="B266" s="219">
        <v>1443.52</v>
      </c>
      <c r="D266" s="206"/>
      <c r="E266" s="71">
        <v>10140087</v>
      </c>
      <c r="F266" s="42">
        <v>7070.1681213311995</v>
      </c>
      <c r="H266" s="199"/>
      <c r="I266" s="71">
        <v>10540034</v>
      </c>
      <c r="J266" s="68">
        <v>88342</v>
      </c>
      <c r="AC266" s="183" t="s">
        <v>1103</v>
      </c>
      <c r="AD266" s="177" t="s">
        <v>494</v>
      </c>
      <c r="AE266" s="177" t="s">
        <v>1135</v>
      </c>
      <c r="AF266" s="177" t="s">
        <v>692</v>
      </c>
      <c r="AG266" s="178">
        <v>110000</v>
      </c>
      <c r="AH266" s="179">
        <v>26540.612648998402</v>
      </c>
      <c r="AI266" s="180">
        <v>83459.387351001598</v>
      </c>
      <c r="AJ266" s="179">
        <v>11540.6126489984</v>
      </c>
      <c r="AK266" s="181">
        <v>15000</v>
      </c>
      <c r="AL266" s="184">
        <f t="shared" si="10"/>
        <v>83459.387351001598</v>
      </c>
      <c r="AN266" s="177"/>
      <c r="AO266" s="177"/>
      <c r="AP266" s="177"/>
      <c r="AQ266" s="177"/>
      <c r="AR266" s="178"/>
      <c r="AS266" s="179"/>
      <c r="AT266" s="180"/>
      <c r="AU266" s="179"/>
      <c r="AV266" s="184"/>
      <c r="AW266" s="188"/>
    </row>
    <row r="267" spans="1:49" x14ac:dyDescent="0.25">
      <c r="A267" s="4">
        <v>10130027</v>
      </c>
      <c r="B267" s="219">
        <v>1476.52</v>
      </c>
      <c r="D267" s="206"/>
      <c r="E267" s="71">
        <v>10140085</v>
      </c>
      <c r="F267" s="42">
        <v>315.11999999999989</v>
      </c>
      <c r="H267" s="199"/>
      <c r="I267" s="71">
        <v>10580001</v>
      </c>
      <c r="J267" s="68">
        <v>82690</v>
      </c>
      <c r="AC267" s="182" t="s">
        <v>1104</v>
      </c>
      <c r="AD267" s="172" t="s">
        <v>815</v>
      </c>
      <c r="AE267" s="172" t="s">
        <v>1134</v>
      </c>
      <c r="AF267" s="172" t="s">
        <v>692</v>
      </c>
      <c r="AG267" s="173">
        <v>110000</v>
      </c>
      <c r="AH267" s="174">
        <v>24873.384669361163</v>
      </c>
      <c r="AI267" s="175">
        <v>85126.61533063883</v>
      </c>
      <c r="AJ267" s="174">
        <v>24873.384669361163</v>
      </c>
      <c r="AK267" s="176">
        <v>0</v>
      </c>
      <c r="AL267" s="184">
        <f t="shared" si="10"/>
        <v>85126.61533063883</v>
      </c>
      <c r="AN267" s="172"/>
      <c r="AO267" s="172"/>
      <c r="AP267" s="172"/>
      <c r="AQ267" s="172"/>
      <c r="AR267" s="173"/>
      <c r="AS267" s="174"/>
      <c r="AT267" s="175"/>
      <c r="AU267" s="174"/>
      <c r="AV267" s="184"/>
      <c r="AW267" s="187"/>
    </row>
    <row r="268" spans="1:49" x14ac:dyDescent="0.25">
      <c r="A268" s="4">
        <v>10120021</v>
      </c>
      <c r="B268" s="219">
        <v>1008</v>
      </c>
      <c r="D268" s="206"/>
      <c r="E268" s="71">
        <v>10140175</v>
      </c>
      <c r="F268" s="42">
        <v>9122.3785728000003</v>
      </c>
      <c r="H268" s="199"/>
      <c r="I268" s="71">
        <v>10580002</v>
      </c>
      <c r="J268" s="68">
        <v>85437</v>
      </c>
      <c r="AC268" s="183" t="s">
        <v>1105</v>
      </c>
      <c r="AD268" s="177" t="s">
        <v>396</v>
      </c>
      <c r="AE268" s="177" t="s">
        <v>1135</v>
      </c>
      <c r="AF268" s="177" t="s">
        <v>692</v>
      </c>
      <c r="AG268" s="178">
        <v>110000</v>
      </c>
      <c r="AH268" s="179">
        <v>69157.396690402413</v>
      </c>
      <c r="AI268" s="180">
        <v>40842.603309597587</v>
      </c>
      <c r="AJ268" s="179">
        <v>59157.396690402413</v>
      </c>
      <c r="AK268" s="181">
        <v>10000</v>
      </c>
      <c r="AL268" s="184">
        <f t="shared" si="10"/>
        <v>40842.603309597587</v>
      </c>
      <c r="AN268" s="177"/>
      <c r="AO268" s="177"/>
      <c r="AP268" s="177"/>
      <c r="AQ268" s="177"/>
      <c r="AR268" s="178"/>
      <c r="AS268" s="179"/>
      <c r="AT268" s="180"/>
      <c r="AU268" s="179"/>
      <c r="AV268" s="184"/>
      <c r="AW268" s="188"/>
    </row>
    <row r="269" spans="1:49" x14ac:dyDescent="0.25">
      <c r="A269" s="4">
        <v>10130051</v>
      </c>
      <c r="B269" s="219">
        <v>1128</v>
      </c>
      <c r="D269" s="206"/>
      <c r="E269" s="71">
        <v>10110093</v>
      </c>
      <c r="F269" s="42">
        <v>4576.2305999999999</v>
      </c>
      <c r="H269" s="199"/>
      <c r="I269" s="71">
        <v>10580003</v>
      </c>
      <c r="J269" s="68">
        <v>90000</v>
      </c>
      <c r="AC269" s="182" t="s">
        <v>1106</v>
      </c>
      <c r="AD269" s="172" t="s">
        <v>659</v>
      </c>
      <c r="AE269" s="172" t="s">
        <v>1135</v>
      </c>
      <c r="AF269" s="172" t="s">
        <v>692</v>
      </c>
      <c r="AG269" s="173">
        <v>110000</v>
      </c>
      <c r="AH269" s="174">
        <v>61155.717492364121</v>
      </c>
      <c r="AI269" s="175">
        <v>48844.282507635879</v>
      </c>
      <c r="AJ269" s="174">
        <v>51155.717492364121</v>
      </c>
      <c r="AK269" s="176">
        <v>10000</v>
      </c>
      <c r="AL269" s="184">
        <f t="shared" si="10"/>
        <v>48844.282507635879</v>
      </c>
      <c r="AN269" s="172"/>
      <c r="AO269" s="172"/>
      <c r="AP269" s="172"/>
      <c r="AQ269" s="172"/>
      <c r="AR269" s="173"/>
      <c r="AS269" s="174"/>
      <c r="AT269" s="175"/>
      <c r="AU269" s="174"/>
      <c r="AV269" s="184"/>
      <c r="AW269" s="187"/>
    </row>
    <row r="270" spans="1:49" x14ac:dyDescent="0.25">
      <c r="A270" s="4">
        <v>10120047</v>
      </c>
      <c r="B270" s="219">
        <v>1008</v>
      </c>
      <c r="D270" s="206"/>
      <c r="E270" s="71">
        <v>10110094</v>
      </c>
      <c r="F270" s="42">
        <v>12800</v>
      </c>
      <c r="H270" s="199"/>
      <c r="I270" s="71">
        <v>10110168</v>
      </c>
      <c r="J270" s="68">
        <v>71068.446043661592</v>
      </c>
      <c r="AC270" s="183" t="s">
        <v>1107</v>
      </c>
      <c r="AD270" s="177" t="s">
        <v>816</v>
      </c>
      <c r="AE270" s="177" t="s">
        <v>1135</v>
      </c>
      <c r="AF270" s="177" t="s">
        <v>692</v>
      </c>
      <c r="AG270" s="178">
        <v>110000</v>
      </c>
      <c r="AH270" s="179">
        <v>16346.2456</v>
      </c>
      <c r="AI270" s="180">
        <v>93653.754400000005</v>
      </c>
      <c r="AJ270" s="179">
        <v>8346.2456000000002</v>
      </c>
      <c r="AK270" s="181">
        <v>8000</v>
      </c>
      <c r="AL270" s="184">
        <f t="shared" si="10"/>
        <v>93653.754400000005</v>
      </c>
      <c r="AN270" s="177"/>
      <c r="AO270" s="177"/>
      <c r="AP270" s="177"/>
      <c r="AQ270" s="177"/>
      <c r="AR270" s="178"/>
      <c r="AS270" s="179"/>
      <c r="AT270" s="180"/>
      <c r="AU270" s="179"/>
      <c r="AV270" s="184"/>
      <c r="AW270" s="188"/>
    </row>
    <row r="271" spans="1:49" x14ac:dyDescent="0.25">
      <c r="A271" s="4">
        <v>10120080</v>
      </c>
      <c r="B271" s="219">
        <v>584.52</v>
      </c>
      <c r="D271" s="206"/>
      <c r="E271" s="71">
        <v>10080087</v>
      </c>
      <c r="F271" s="42">
        <v>4446.9805999999999</v>
      </c>
      <c r="H271" s="199"/>
      <c r="I271" s="71">
        <v>10130097</v>
      </c>
      <c r="J271" s="68">
        <v>92003</v>
      </c>
      <c r="AC271" s="182" t="s">
        <v>1108</v>
      </c>
      <c r="AD271" s="172" t="s">
        <v>817</v>
      </c>
      <c r="AE271" s="172" t="s">
        <v>1135</v>
      </c>
      <c r="AF271" s="172" t="s">
        <v>692</v>
      </c>
      <c r="AG271" s="173">
        <v>110000</v>
      </c>
      <c r="AH271" s="174">
        <v>56909.002210568244</v>
      </c>
      <c r="AI271" s="175">
        <v>53090.997789431756</v>
      </c>
      <c r="AJ271" s="174">
        <v>46909.002210568244</v>
      </c>
      <c r="AK271" s="176">
        <v>10000</v>
      </c>
      <c r="AL271" s="184">
        <f t="shared" si="10"/>
        <v>53090.997789431756</v>
      </c>
      <c r="AN271" s="172"/>
      <c r="AO271" s="172"/>
      <c r="AP271" s="172"/>
      <c r="AQ271" s="172"/>
      <c r="AR271" s="173"/>
      <c r="AS271" s="174"/>
      <c r="AT271" s="175"/>
      <c r="AU271" s="174"/>
      <c r="AV271" s="184"/>
      <c r="AW271" s="187"/>
    </row>
    <row r="272" spans="1:49" x14ac:dyDescent="0.25">
      <c r="A272" s="4">
        <v>10120033</v>
      </c>
      <c r="B272" s="219">
        <v>129.80000000000001</v>
      </c>
      <c r="D272" s="206"/>
      <c r="E272" s="71">
        <v>10120084</v>
      </c>
      <c r="F272" s="42">
        <v>14950</v>
      </c>
      <c r="H272" s="199"/>
      <c r="I272" s="71">
        <v>10130096</v>
      </c>
      <c r="J272" s="68">
        <v>100000</v>
      </c>
      <c r="AC272" s="183" t="s">
        <v>1109</v>
      </c>
      <c r="AD272" s="177" t="s">
        <v>296</v>
      </c>
      <c r="AE272" s="177" t="s">
        <v>1134</v>
      </c>
      <c r="AF272" s="177" t="s">
        <v>692</v>
      </c>
      <c r="AG272" s="178">
        <v>110000</v>
      </c>
      <c r="AH272" s="179">
        <v>66134.967615210451</v>
      </c>
      <c r="AI272" s="180">
        <v>43865.032384789549</v>
      </c>
      <c r="AJ272" s="179">
        <v>66134.967615210451</v>
      </c>
      <c r="AK272" s="176">
        <v>0</v>
      </c>
      <c r="AL272" s="184">
        <f t="shared" si="10"/>
        <v>43865.032384789549</v>
      </c>
      <c r="AN272" s="177"/>
      <c r="AO272" s="177"/>
      <c r="AP272" s="177"/>
      <c r="AQ272" s="177"/>
      <c r="AR272" s="178"/>
      <c r="AS272" s="179"/>
      <c r="AT272" s="180"/>
      <c r="AU272" s="179"/>
      <c r="AV272" s="184"/>
      <c r="AW272" s="188"/>
    </row>
    <row r="273" spans="1:49" x14ac:dyDescent="0.25">
      <c r="A273" s="4">
        <v>10130055</v>
      </c>
      <c r="B273" s="219">
        <v>1128</v>
      </c>
      <c r="D273" s="206"/>
      <c r="E273" s="71">
        <v>10120065</v>
      </c>
      <c r="F273" s="42">
        <v>8550</v>
      </c>
      <c r="H273" s="199"/>
      <c r="I273" s="71">
        <v>10130094</v>
      </c>
      <c r="J273" s="68">
        <v>91500</v>
      </c>
      <c r="AC273" s="182" t="s">
        <v>1110</v>
      </c>
      <c r="AD273" s="172" t="s">
        <v>371</v>
      </c>
      <c r="AE273" s="172" t="s">
        <v>1135</v>
      </c>
      <c r="AF273" s="172" t="s">
        <v>692</v>
      </c>
      <c r="AG273" s="173">
        <v>110000</v>
      </c>
      <c r="AH273" s="174">
        <v>40638.448799999998</v>
      </c>
      <c r="AI273" s="175">
        <v>69361.551200000002</v>
      </c>
      <c r="AJ273" s="174">
        <v>30638.448799999998</v>
      </c>
      <c r="AK273" s="176">
        <v>10000</v>
      </c>
      <c r="AL273" s="184">
        <f t="shared" si="10"/>
        <v>69361.551200000002</v>
      </c>
      <c r="AN273" s="172"/>
      <c r="AO273" s="172"/>
      <c r="AP273" s="172"/>
      <c r="AQ273" s="172"/>
      <c r="AR273" s="173"/>
      <c r="AS273" s="174"/>
      <c r="AT273" s="175"/>
      <c r="AU273" s="174"/>
      <c r="AV273" s="184"/>
      <c r="AW273" s="187"/>
    </row>
    <row r="274" spans="1:49" x14ac:dyDescent="0.25">
      <c r="A274" s="4">
        <v>10130004</v>
      </c>
      <c r="B274" s="219">
        <v>1128</v>
      </c>
      <c r="D274" s="206"/>
      <c r="E274" s="71">
        <v>10120053</v>
      </c>
      <c r="F274" s="42">
        <v>9600</v>
      </c>
      <c r="H274" s="199"/>
      <c r="I274" s="71">
        <v>10120113</v>
      </c>
      <c r="J274" s="68">
        <v>96922</v>
      </c>
      <c r="AC274" s="183" t="s">
        <v>1111</v>
      </c>
      <c r="AD274" s="177" t="s">
        <v>101</v>
      </c>
      <c r="AE274" s="177" t="s">
        <v>1135</v>
      </c>
      <c r="AF274" s="177" t="s">
        <v>692</v>
      </c>
      <c r="AG274" s="178">
        <v>110000</v>
      </c>
      <c r="AH274" s="179">
        <v>51622.839520753187</v>
      </c>
      <c r="AI274" s="180">
        <v>58377.160479246813</v>
      </c>
      <c r="AJ274" s="179">
        <v>41622.839520753187</v>
      </c>
      <c r="AK274" s="181">
        <v>10000</v>
      </c>
      <c r="AL274" s="184">
        <f t="shared" si="10"/>
        <v>58377.160479246813</v>
      </c>
      <c r="AN274" s="177"/>
      <c r="AO274" s="177"/>
      <c r="AP274" s="177"/>
      <c r="AQ274" s="177"/>
      <c r="AR274" s="178"/>
      <c r="AS274" s="179"/>
      <c r="AT274" s="180"/>
      <c r="AU274" s="179"/>
      <c r="AV274" s="181"/>
      <c r="AW274" s="184"/>
    </row>
    <row r="275" spans="1:49" x14ac:dyDescent="0.25">
      <c r="A275" s="4">
        <v>10120066</v>
      </c>
      <c r="B275" s="219">
        <v>749</v>
      </c>
      <c r="D275" s="206"/>
      <c r="E275" s="71">
        <v>10120080</v>
      </c>
      <c r="F275" s="42">
        <v>18150</v>
      </c>
      <c r="H275" s="199"/>
      <c r="I275" s="71">
        <v>10120114</v>
      </c>
      <c r="J275" s="68">
        <v>96474</v>
      </c>
      <c r="AC275" s="182" t="s">
        <v>854</v>
      </c>
      <c r="AD275" s="172" t="s">
        <v>818</v>
      </c>
      <c r="AE275" s="172" t="s">
        <v>1134</v>
      </c>
      <c r="AF275" s="172" t="s">
        <v>692</v>
      </c>
      <c r="AG275" s="173">
        <v>110000</v>
      </c>
      <c r="AH275" s="174">
        <v>0</v>
      </c>
      <c r="AI275" s="175">
        <v>110000</v>
      </c>
      <c r="AJ275" s="174">
        <v>0</v>
      </c>
      <c r="AK275" s="176">
        <v>0</v>
      </c>
      <c r="AL275" s="184">
        <f t="shared" si="10"/>
        <v>110000</v>
      </c>
      <c r="AN275" s="172"/>
      <c r="AO275" s="172"/>
      <c r="AP275" s="172"/>
      <c r="AQ275" s="172"/>
      <c r="AR275" s="173"/>
      <c r="AS275" s="174"/>
      <c r="AT275" s="175"/>
      <c r="AU275" s="174"/>
      <c r="AV275" s="176"/>
      <c r="AW275" s="184"/>
    </row>
    <row r="276" spans="1:49" x14ac:dyDescent="0.25">
      <c r="A276" s="4">
        <v>10130022</v>
      </c>
      <c r="B276" s="219">
        <v>1128</v>
      </c>
      <c r="D276" s="206"/>
      <c r="E276" s="71">
        <v>10030057</v>
      </c>
      <c r="F276" s="42">
        <v>12800</v>
      </c>
      <c r="H276" s="199"/>
      <c r="I276" s="71">
        <v>10110169</v>
      </c>
      <c r="J276" s="68">
        <v>110000</v>
      </c>
      <c r="AC276" s="183" t="s">
        <v>1112</v>
      </c>
      <c r="AD276" s="177" t="s">
        <v>819</v>
      </c>
      <c r="AE276" s="177" t="s">
        <v>1135</v>
      </c>
      <c r="AF276" s="177" t="s">
        <v>692</v>
      </c>
      <c r="AG276" s="178">
        <v>110000</v>
      </c>
      <c r="AH276" s="179">
        <v>59394.097561004892</v>
      </c>
      <c r="AI276" s="180">
        <v>50605.902438995108</v>
      </c>
      <c r="AJ276" s="179">
        <v>49394.097561004892</v>
      </c>
      <c r="AK276" s="181">
        <v>10000</v>
      </c>
      <c r="AL276" s="184">
        <f t="shared" si="10"/>
        <v>50605.902438995108</v>
      </c>
      <c r="AN276" s="177"/>
      <c r="AO276" s="177"/>
      <c r="AP276" s="177"/>
      <c r="AQ276" s="177"/>
      <c r="AR276" s="178"/>
      <c r="AS276" s="179"/>
      <c r="AT276" s="180"/>
      <c r="AU276" s="179"/>
      <c r="AV276" s="181"/>
      <c r="AW276" s="184"/>
    </row>
    <row r="277" spans="1:49" x14ac:dyDescent="0.25">
      <c r="A277" s="4">
        <v>10130047</v>
      </c>
      <c r="B277" s="219">
        <v>513.22</v>
      </c>
      <c r="D277" s="206"/>
      <c r="E277" s="71">
        <v>10030059</v>
      </c>
      <c r="F277" s="42">
        <v>12800</v>
      </c>
      <c r="H277" s="199"/>
      <c r="I277" s="71">
        <v>10540037</v>
      </c>
      <c r="J277" s="68">
        <v>94943</v>
      </c>
      <c r="AC277" s="182" t="s">
        <v>1113</v>
      </c>
      <c r="AD277" s="172" t="s">
        <v>820</v>
      </c>
      <c r="AE277" s="172" t="s">
        <v>1135</v>
      </c>
      <c r="AF277" s="172" t="s">
        <v>692</v>
      </c>
      <c r="AG277" s="173">
        <v>110000</v>
      </c>
      <c r="AH277" s="174">
        <v>16579</v>
      </c>
      <c r="AI277" s="175">
        <v>93421</v>
      </c>
      <c r="AJ277" s="174">
        <v>6579</v>
      </c>
      <c r="AK277" s="176">
        <v>10000</v>
      </c>
      <c r="AL277" s="184">
        <f t="shared" si="10"/>
        <v>93421</v>
      </c>
      <c r="AN277" s="172"/>
      <c r="AO277" s="172"/>
      <c r="AP277" s="172"/>
      <c r="AQ277" s="172"/>
      <c r="AR277" s="173"/>
      <c r="AS277" s="174"/>
      <c r="AT277" s="175"/>
      <c r="AU277" s="174"/>
      <c r="AV277" s="176"/>
      <c r="AW277" s="184"/>
    </row>
    <row r="278" spans="1:49" x14ac:dyDescent="0.25">
      <c r="A278" s="4">
        <v>10120055</v>
      </c>
      <c r="B278" s="219">
        <v>1008</v>
      </c>
      <c r="D278" s="206"/>
      <c r="E278" s="71">
        <v>10030061</v>
      </c>
      <c r="F278" s="42">
        <v>6400</v>
      </c>
      <c r="H278" s="199"/>
      <c r="I278" s="71">
        <v>10540038</v>
      </c>
      <c r="J278" s="68">
        <v>100000</v>
      </c>
      <c r="AC278" s="183" t="s">
        <v>1114</v>
      </c>
      <c r="AD278" s="177" t="s">
        <v>821</v>
      </c>
      <c r="AE278" s="177" t="s">
        <v>1135</v>
      </c>
      <c r="AF278" s="177" t="s">
        <v>692</v>
      </c>
      <c r="AG278" s="178">
        <v>110000</v>
      </c>
      <c r="AH278" s="179">
        <v>31647.258166456319</v>
      </c>
      <c r="AI278" s="180">
        <v>78352.741833543681</v>
      </c>
      <c r="AJ278" s="179">
        <v>21647.258166456319</v>
      </c>
      <c r="AK278" s="181">
        <v>10000</v>
      </c>
      <c r="AL278" s="184">
        <f t="shared" si="10"/>
        <v>78352.741833543681</v>
      </c>
      <c r="AN278" s="177"/>
      <c r="AO278" s="177"/>
      <c r="AP278" s="177"/>
      <c r="AQ278" s="177"/>
      <c r="AR278" s="178"/>
      <c r="AS278" s="179"/>
      <c r="AT278" s="180"/>
      <c r="AU278" s="179"/>
      <c r="AV278" s="181"/>
      <c r="AW278" s="184"/>
    </row>
    <row r="279" spans="1:49" x14ac:dyDescent="0.25">
      <c r="A279" s="4">
        <v>10120075</v>
      </c>
      <c r="B279" s="219">
        <v>1568</v>
      </c>
      <c r="D279" s="206"/>
      <c r="E279" s="71">
        <v>10030060</v>
      </c>
      <c r="F279" s="42">
        <v>6400</v>
      </c>
      <c r="H279" s="199"/>
      <c r="I279" s="71">
        <v>10530083</v>
      </c>
      <c r="J279" s="68">
        <v>97301</v>
      </c>
      <c r="AC279" s="182" t="s">
        <v>1115</v>
      </c>
      <c r="AD279" s="172" t="s">
        <v>822</v>
      </c>
      <c r="AE279" s="172" t="s">
        <v>1135</v>
      </c>
      <c r="AF279" s="172" t="s">
        <v>692</v>
      </c>
      <c r="AG279" s="173">
        <v>110000</v>
      </c>
      <c r="AH279" s="174">
        <v>28550.611400000002</v>
      </c>
      <c r="AI279" s="175">
        <v>81449.388600000006</v>
      </c>
      <c r="AJ279" s="174">
        <v>18550.611400000002</v>
      </c>
      <c r="AK279" s="176">
        <v>10000</v>
      </c>
      <c r="AL279" s="184">
        <f t="shared" si="10"/>
        <v>81449.388600000006</v>
      </c>
      <c r="AN279" s="172"/>
      <c r="AO279" s="172"/>
      <c r="AP279" s="172"/>
      <c r="AQ279" s="172"/>
      <c r="AR279" s="173"/>
      <c r="AS279" s="174"/>
      <c r="AT279" s="175"/>
      <c r="AU279" s="174"/>
      <c r="AV279" s="176"/>
      <c r="AW279" s="184"/>
    </row>
    <row r="280" spans="1:49" x14ac:dyDescent="0.25">
      <c r="A280" s="4">
        <v>10020066</v>
      </c>
      <c r="B280" s="219">
        <v>399.82</v>
      </c>
      <c r="D280" s="206"/>
      <c r="E280" s="71">
        <v>10130084</v>
      </c>
      <c r="F280" s="42">
        <v>10700</v>
      </c>
      <c r="H280" s="199"/>
      <c r="I280" s="71">
        <v>10530084</v>
      </c>
      <c r="J280" s="68">
        <v>70645.244744661963</v>
      </c>
      <c r="AC280" s="183" t="s">
        <v>1116</v>
      </c>
      <c r="AD280" s="177" t="s">
        <v>303</v>
      </c>
      <c r="AE280" s="177" t="s">
        <v>1135</v>
      </c>
      <c r="AF280" s="177" t="s">
        <v>692</v>
      </c>
      <c r="AG280" s="178">
        <v>110000</v>
      </c>
      <c r="AH280" s="179">
        <v>47834.095087134854</v>
      </c>
      <c r="AI280" s="180">
        <v>62165.904912865146</v>
      </c>
      <c r="AJ280" s="179">
        <v>37834.095087134854</v>
      </c>
      <c r="AK280" s="181">
        <v>10000</v>
      </c>
      <c r="AL280" s="184">
        <f t="shared" si="10"/>
        <v>62165.904912865146</v>
      </c>
      <c r="AN280" s="177"/>
      <c r="AO280" s="177"/>
      <c r="AP280" s="177"/>
      <c r="AQ280" s="177"/>
      <c r="AR280" s="178"/>
      <c r="AS280" s="179"/>
      <c r="AT280" s="180"/>
      <c r="AU280" s="179"/>
      <c r="AV280" s="176"/>
      <c r="AW280" s="184"/>
    </row>
    <row r="281" spans="1:49" x14ac:dyDescent="0.25">
      <c r="A281" s="4">
        <v>10110131</v>
      </c>
      <c r="B281" s="219">
        <v>748.33999999999992</v>
      </c>
      <c r="D281" s="206"/>
      <c r="E281" s="71">
        <v>10130073</v>
      </c>
      <c r="F281" s="42">
        <v>13900</v>
      </c>
      <c r="H281" s="199"/>
      <c r="I281" s="71">
        <v>10530085</v>
      </c>
      <c r="J281" s="68">
        <v>72963.745760897946</v>
      </c>
      <c r="AC281" s="182" t="s">
        <v>1117</v>
      </c>
      <c r="AD281" s="172" t="s">
        <v>1129</v>
      </c>
      <c r="AE281" s="172" t="s">
        <v>1135</v>
      </c>
      <c r="AF281" s="172" t="s">
        <v>692</v>
      </c>
      <c r="AG281" s="173">
        <v>110000</v>
      </c>
      <c r="AH281" s="174">
        <v>14000</v>
      </c>
      <c r="AI281" s="175">
        <v>96000</v>
      </c>
      <c r="AJ281" s="174">
        <v>0</v>
      </c>
      <c r="AK281" s="176">
        <v>14000</v>
      </c>
      <c r="AL281" s="184">
        <f t="shared" si="10"/>
        <v>96000</v>
      </c>
      <c r="AN281" s="172"/>
      <c r="AO281" s="172"/>
      <c r="AP281" s="172"/>
      <c r="AQ281" s="172"/>
      <c r="AR281" s="173"/>
      <c r="AS281" s="174"/>
      <c r="AT281" s="175"/>
      <c r="AU281" s="174"/>
      <c r="AV281" s="176"/>
      <c r="AW281" s="184"/>
    </row>
    <row r="282" spans="1:49" x14ac:dyDescent="0.25">
      <c r="A282" s="4">
        <v>10110145</v>
      </c>
      <c r="B282" s="219">
        <v>773.99</v>
      </c>
      <c r="D282" s="206"/>
      <c r="E282" s="71">
        <v>10120082</v>
      </c>
      <c r="F282" s="42">
        <v>9600</v>
      </c>
      <c r="H282" s="199"/>
      <c r="I282" s="71">
        <v>10570001</v>
      </c>
      <c r="J282" s="68">
        <v>107239</v>
      </c>
      <c r="AC282" s="183" t="s">
        <v>1118</v>
      </c>
      <c r="AD282" s="177" t="s">
        <v>1130</v>
      </c>
      <c r="AE282" s="177" t="s">
        <v>1135</v>
      </c>
      <c r="AF282" s="177" t="s">
        <v>692</v>
      </c>
      <c r="AG282" s="178">
        <v>110000</v>
      </c>
      <c r="AH282" s="179">
        <v>10000</v>
      </c>
      <c r="AI282" s="180">
        <v>100000</v>
      </c>
      <c r="AJ282" s="179">
        <v>0</v>
      </c>
      <c r="AK282" s="181">
        <v>10000</v>
      </c>
      <c r="AL282" s="184">
        <f t="shared" si="10"/>
        <v>100000</v>
      </c>
    </row>
    <row r="283" spans="1:49" x14ac:dyDescent="0.25">
      <c r="A283" s="4">
        <v>10530004</v>
      </c>
      <c r="B283" s="219">
        <v>54.900000000000006</v>
      </c>
      <c r="D283" s="206"/>
      <c r="E283" s="71">
        <v>10030064</v>
      </c>
      <c r="F283" s="42">
        <v>16000</v>
      </c>
      <c r="H283" s="199"/>
      <c r="I283" s="71">
        <v>10570002</v>
      </c>
      <c r="J283" s="68">
        <v>109469</v>
      </c>
      <c r="AC283" s="182" t="s">
        <v>1119</v>
      </c>
      <c r="AD283" s="172" t="s">
        <v>1131</v>
      </c>
      <c r="AE283" s="172" t="s">
        <v>1134</v>
      </c>
      <c r="AF283" s="172" t="s">
        <v>692</v>
      </c>
      <c r="AG283" s="173">
        <v>110000</v>
      </c>
      <c r="AH283" s="174">
        <v>0</v>
      </c>
      <c r="AI283" s="175">
        <v>110000</v>
      </c>
      <c r="AJ283" s="174">
        <v>0</v>
      </c>
      <c r="AK283" s="176">
        <v>0</v>
      </c>
      <c r="AL283" s="184">
        <f t="shared" si="10"/>
        <v>110000</v>
      </c>
    </row>
    <row r="284" spans="1:49" x14ac:dyDescent="0.25">
      <c r="A284" s="4">
        <v>10530070</v>
      </c>
      <c r="B284" s="219">
        <v>329.40000000000009</v>
      </c>
      <c r="D284" s="206"/>
      <c r="E284" s="71">
        <v>10130067</v>
      </c>
      <c r="F284" s="42">
        <v>6400</v>
      </c>
      <c r="H284" s="199"/>
      <c r="I284" s="71">
        <v>10570003</v>
      </c>
      <c r="J284" s="68">
        <v>106854</v>
      </c>
      <c r="AC284" s="183" t="s">
        <v>1120</v>
      </c>
      <c r="AD284" s="177" t="s">
        <v>823</v>
      </c>
      <c r="AE284" s="177" t="s">
        <v>1134</v>
      </c>
      <c r="AF284" s="177" t="s">
        <v>692</v>
      </c>
      <c r="AG284" s="178">
        <v>110000</v>
      </c>
      <c r="AH284" s="179">
        <v>7118</v>
      </c>
      <c r="AI284" s="180">
        <v>102882</v>
      </c>
      <c r="AJ284" s="179">
        <v>7118</v>
      </c>
      <c r="AK284" s="176">
        <v>0</v>
      </c>
      <c r="AL284" s="184">
        <f t="shared" si="10"/>
        <v>102882</v>
      </c>
    </row>
    <row r="285" spans="1:49" x14ac:dyDescent="0.25">
      <c r="A285" s="4">
        <v>10530071</v>
      </c>
      <c r="B285" s="219">
        <v>329.40000000000003</v>
      </c>
      <c r="D285" s="206"/>
      <c r="E285" s="71">
        <v>10130053</v>
      </c>
      <c r="F285" s="42">
        <v>6400</v>
      </c>
      <c r="H285" s="199"/>
      <c r="I285" s="71">
        <v>10570007</v>
      </c>
      <c r="J285" s="68">
        <v>84331.321269226406</v>
      </c>
      <c r="AC285" s="182" t="s">
        <v>1121</v>
      </c>
      <c r="AD285" s="172" t="s">
        <v>1132</v>
      </c>
      <c r="AE285" s="172" t="s">
        <v>1135</v>
      </c>
      <c r="AF285" s="172" t="s">
        <v>692</v>
      </c>
      <c r="AG285" s="173">
        <v>110000</v>
      </c>
      <c r="AH285" s="174">
        <v>39741.098781038956</v>
      </c>
      <c r="AI285" s="175">
        <v>70258.901218961051</v>
      </c>
      <c r="AJ285" s="174">
        <v>24741.098781038956</v>
      </c>
      <c r="AK285" s="176">
        <v>15000</v>
      </c>
      <c r="AL285" s="184">
        <f t="shared" si="10"/>
        <v>70258.901218961051</v>
      </c>
    </row>
    <row r="286" spans="1:49" x14ac:dyDescent="0.25">
      <c r="A286" s="4">
        <v>10530045</v>
      </c>
      <c r="B286" s="219">
        <v>54.900000000000006</v>
      </c>
      <c r="D286" s="206"/>
      <c r="E286" s="71">
        <v>10130070</v>
      </c>
      <c r="F286" s="42">
        <v>11750</v>
      </c>
      <c r="H286" s="199"/>
      <c r="I286" s="71">
        <v>10570008</v>
      </c>
      <c r="J286" s="68">
        <v>63173.180474490393</v>
      </c>
    </row>
    <row r="287" spans="1:49" x14ac:dyDescent="0.25">
      <c r="A287" s="4">
        <v>10530027</v>
      </c>
      <c r="B287" s="219">
        <v>952.42000000000007</v>
      </c>
      <c r="D287" s="206"/>
      <c r="E287" s="71">
        <v>10130051</v>
      </c>
      <c r="F287" s="42">
        <v>6400</v>
      </c>
      <c r="H287" s="199"/>
      <c r="I287" s="71">
        <v>10570009</v>
      </c>
      <c r="J287" s="68">
        <v>75203.985225640805</v>
      </c>
    </row>
    <row r="288" spans="1:49" x14ac:dyDescent="0.25">
      <c r="A288" s="4">
        <v>10530008</v>
      </c>
      <c r="B288" s="219">
        <v>439.2000000000001</v>
      </c>
      <c r="D288" s="206"/>
      <c r="E288" s="71">
        <v>10120072</v>
      </c>
      <c r="F288" s="42">
        <v>6400</v>
      </c>
      <c r="H288" s="199"/>
      <c r="I288" s="71">
        <v>10020083</v>
      </c>
      <c r="J288" s="68">
        <v>108195</v>
      </c>
    </row>
    <row r="289" spans="1:10" x14ac:dyDescent="0.25">
      <c r="A289" s="4">
        <v>10120082</v>
      </c>
      <c r="B289" s="219">
        <v>506.90000000000003</v>
      </c>
      <c r="D289" s="206"/>
      <c r="E289" s="71">
        <v>10130046</v>
      </c>
      <c r="F289" s="42">
        <v>14950</v>
      </c>
      <c r="H289" s="199"/>
      <c r="I289" s="71">
        <v>10060121</v>
      </c>
      <c r="J289" s="68">
        <v>84496</v>
      </c>
    </row>
    <row r="290" spans="1:10" x14ac:dyDescent="0.25">
      <c r="A290" s="4">
        <v>10120090</v>
      </c>
      <c r="B290" s="219">
        <v>161.10000000000002</v>
      </c>
      <c r="D290" s="206"/>
      <c r="E290" s="71">
        <v>10130054</v>
      </c>
      <c r="F290" s="42">
        <v>11750</v>
      </c>
      <c r="H290" s="199"/>
      <c r="I290" s="71">
        <v>10010135</v>
      </c>
      <c r="J290" s="68">
        <v>82286.028599999991</v>
      </c>
    </row>
    <row r="291" spans="1:10" x14ac:dyDescent="0.25">
      <c r="A291" s="4">
        <v>10120095</v>
      </c>
      <c r="B291" s="219">
        <v>599.81999999999994</v>
      </c>
      <c r="D291" s="206"/>
      <c r="E291" s="71">
        <v>10130052</v>
      </c>
      <c r="F291" s="42">
        <v>21350</v>
      </c>
      <c r="H291" s="199"/>
      <c r="I291" s="71">
        <v>10110167</v>
      </c>
      <c r="J291" s="68">
        <v>89804</v>
      </c>
    </row>
    <row r="292" spans="1:10" x14ac:dyDescent="0.25">
      <c r="A292" s="4">
        <v>10120087</v>
      </c>
      <c r="B292" s="219">
        <v>503.3</v>
      </c>
      <c r="D292" s="206"/>
      <c r="E292" s="71">
        <v>10080057</v>
      </c>
      <c r="F292" s="42">
        <v>6400</v>
      </c>
      <c r="H292" s="199"/>
      <c r="I292" s="71">
        <v>10140189</v>
      </c>
      <c r="J292" s="68">
        <v>110000</v>
      </c>
    </row>
    <row r="293" spans="1:10" x14ac:dyDescent="0.25">
      <c r="A293" s="4">
        <v>10140180</v>
      </c>
      <c r="B293" s="219">
        <v>348.52</v>
      </c>
      <c r="D293" s="206"/>
      <c r="E293" s="71">
        <v>10080048</v>
      </c>
      <c r="F293" s="42">
        <v>6400</v>
      </c>
      <c r="H293" s="199"/>
      <c r="I293" s="71">
        <v>10540030</v>
      </c>
      <c r="J293" s="68">
        <v>90000</v>
      </c>
    </row>
    <row r="294" spans="1:10" x14ac:dyDescent="0.25">
      <c r="A294" s="4">
        <v>10140179</v>
      </c>
      <c r="B294" s="219">
        <v>2163.46</v>
      </c>
      <c r="D294" s="206"/>
      <c r="E294" s="71">
        <v>10110084</v>
      </c>
      <c r="F294" s="42">
        <v>6400</v>
      </c>
      <c r="H294" s="199"/>
      <c r="I294" s="71">
        <v>10560008</v>
      </c>
      <c r="J294" s="68">
        <v>99287</v>
      </c>
    </row>
    <row r="295" spans="1:10" x14ac:dyDescent="0.25">
      <c r="A295" s="4">
        <v>10140132</v>
      </c>
      <c r="B295" s="219">
        <v>769.22</v>
      </c>
      <c r="D295" s="206"/>
      <c r="E295" s="71">
        <v>10120089</v>
      </c>
      <c r="F295" s="42">
        <v>7500</v>
      </c>
      <c r="H295" s="199"/>
      <c r="I295" s="71">
        <v>10010082</v>
      </c>
      <c r="J295" s="68">
        <v>24636.831060232187</v>
      </c>
    </row>
    <row r="296" spans="1:10" x14ac:dyDescent="0.25">
      <c r="A296" s="4">
        <v>10140178</v>
      </c>
      <c r="B296" s="219">
        <v>799.64</v>
      </c>
      <c r="D296" s="206"/>
      <c r="E296" s="71">
        <v>10060050</v>
      </c>
      <c r="F296" s="42">
        <v>12800</v>
      </c>
      <c r="H296" s="199"/>
      <c r="I296" s="71">
        <v>10120111</v>
      </c>
      <c r="J296" s="68">
        <v>64230.078664627203</v>
      </c>
    </row>
    <row r="297" spans="1:10" x14ac:dyDescent="0.25">
      <c r="A297" s="4">
        <v>10140167</v>
      </c>
      <c r="B297" s="219">
        <v>969.25</v>
      </c>
      <c r="D297" s="206"/>
      <c r="E297" s="71">
        <v>10060069</v>
      </c>
      <c r="F297" s="42">
        <v>5964</v>
      </c>
      <c r="H297" s="199"/>
      <c r="I297" s="71">
        <v>10020080</v>
      </c>
      <c r="J297" s="68">
        <v>91011</v>
      </c>
    </row>
    <row r="298" spans="1:10" x14ac:dyDescent="0.25">
      <c r="A298" s="4">
        <v>10140185</v>
      </c>
      <c r="B298" s="219">
        <v>1196.26</v>
      </c>
      <c r="D298" s="206"/>
      <c r="E298" s="71">
        <v>10030063</v>
      </c>
      <c r="F298" s="42">
        <v>6400</v>
      </c>
      <c r="H298" s="199"/>
      <c r="I298" s="71">
        <v>10530081</v>
      </c>
      <c r="J298" s="68">
        <v>69779.116200043718</v>
      </c>
    </row>
    <row r="299" spans="1:10" x14ac:dyDescent="0.25">
      <c r="A299" s="4">
        <v>10060100</v>
      </c>
      <c r="B299" s="219">
        <v>522.80999999999995</v>
      </c>
      <c r="D299" s="206"/>
      <c r="E299" s="71">
        <v>10010098</v>
      </c>
      <c r="F299" s="42">
        <v>4832.8168000000005</v>
      </c>
      <c r="H299" s="199"/>
      <c r="I299" s="71">
        <v>10530082</v>
      </c>
      <c r="J299" s="68">
        <v>61622.155698583199</v>
      </c>
    </row>
    <row r="300" spans="1:10" x14ac:dyDescent="0.25">
      <c r="A300" s="4">
        <v>10030071</v>
      </c>
      <c r="B300" s="219">
        <v>458.32</v>
      </c>
      <c r="D300" s="206"/>
      <c r="E300" s="71">
        <v>10060049</v>
      </c>
      <c r="F300" s="42">
        <v>9600</v>
      </c>
      <c r="H300" s="199"/>
      <c r="I300" s="71">
        <v>10130067</v>
      </c>
      <c r="J300" s="68">
        <v>95000</v>
      </c>
    </row>
    <row r="301" spans="1:10" x14ac:dyDescent="0.25">
      <c r="A301" s="4">
        <v>10090046</v>
      </c>
      <c r="B301" s="219">
        <v>102.6</v>
      </c>
      <c r="D301" s="206"/>
      <c r="E301" s="41">
        <v>10140153</v>
      </c>
      <c r="F301" s="42">
        <v>4218.6918025240002</v>
      </c>
      <c r="H301" s="199"/>
      <c r="I301" s="71">
        <v>10010134</v>
      </c>
      <c r="J301" s="68">
        <v>90000</v>
      </c>
    </row>
    <row r="302" spans="1:10" x14ac:dyDescent="0.25">
      <c r="A302" s="4">
        <v>10090057</v>
      </c>
      <c r="B302" s="219">
        <v>76.95</v>
      </c>
      <c r="D302" s="206"/>
      <c r="E302" s="71">
        <v>10020036</v>
      </c>
      <c r="F302" s="42">
        <v>12800</v>
      </c>
      <c r="H302" s="199"/>
      <c r="I302" s="71">
        <v>10140186</v>
      </c>
      <c r="J302" s="68">
        <v>103000</v>
      </c>
    </row>
    <row r="303" spans="1:10" x14ac:dyDescent="0.25">
      <c r="A303" s="4">
        <v>10090061</v>
      </c>
      <c r="B303" s="219">
        <v>102.6</v>
      </c>
      <c r="D303" s="206"/>
      <c r="E303" s="71">
        <v>10020059</v>
      </c>
      <c r="F303" s="42">
        <v>12800</v>
      </c>
      <c r="H303" s="199"/>
      <c r="I303" s="71">
        <v>10030076</v>
      </c>
      <c r="J303" s="68">
        <v>90000</v>
      </c>
    </row>
    <row r="304" spans="1:10" x14ac:dyDescent="0.25">
      <c r="A304" s="4">
        <v>10140186</v>
      </c>
      <c r="B304" s="219">
        <v>133.60000000000002</v>
      </c>
      <c r="D304" s="206"/>
      <c r="E304" s="71">
        <v>10080056</v>
      </c>
      <c r="F304" s="42">
        <v>6400</v>
      </c>
      <c r="H304" s="199"/>
      <c r="I304" s="71">
        <v>10560004</v>
      </c>
      <c r="J304" s="68">
        <v>78467.163110127673</v>
      </c>
    </row>
    <row r="305" spans="1:10" x14ac:dyDescent="0.25">
      <c r="A305" s="4">
        <v>10070061</v>
      </c>
      <c r="B305" s="219">
        <v>256.5</v>
      </c>
      <c r="D305" s="206"/>
      <c r="E305" s="71">
        <v>10120094</v>
      </c>
      <c r="F305" s="42">
        <v>6400</v>
      </c>
      <c r="H305" s="199"/>
      <c r="I305" s="71">
        <v>10560005</v>
      </c>
      <c r="J305" s="68">
        <v>55235.547009993912</v>
      </c>
    </row>
    <row r="306" spans="1:10" x14ac:dyDescent="0.25">
      <c r="A306" s="4">
        <v>10560007</v>
      </c>
      <c r="B306" s="219">
        <v>953.54</v>
      </c>
      <c r="D306" s="206"/>
      <c r="E306" s="71">
        <v>10120051</v>
      </c>
      <c r="F306" s="42">
        <v>10700</v>
      </c>
      <c r="H306" s="199"/>
      <c r="I306" s="71">
        <v>10560006</v>
      </c>
      <c r="J306" s="68">
        <v>91918</v>
      </c>
    </row>
    <row r="307" spans="1:10" x14ac:dyDescent="0.25">
      <c r="A307" s="4">
        <v>10100056</v>
      </c>
      <c r="B307" s="219">
        <v>2071.56</v>
      </c>
      <c r="D307" s="206"/>
      <c r="E307" s="71">
        <v>10120043</v>
      </c>
      <c r="F307" s="42">
        <v>6400</v>
      </c>
      <c r="H307" s="199"/>
      <c r="I307" s="71">
        <v>10560007</v>
      </c>
      <c r="J307" s="68">
        <v>80500</v>
      </c>
    </row>
    <row r="308" spans="1:10" x14ac:dyDescent="0.25">
      <c r="A308" s="4">
        <v>10110119</v>
      </c>
      <c r="B308" s="219">
        <v>1138.1799999999998</v>
      </c>
      <c r="D308" s="206"/>
      <c r="E308" s="71">
        <v>10120087</v>
      </c>
      <c r="F308" s="42">
        <v>14950</v>
      </c>
      <c r="H308" s="199"/>
      <c r="I308" s="71">
        <v>10060116</v>
      </c>
      <c r="J308" s="68">
        <v>80809</v>
      </c>
    </row>
    <row r="309" spans="1:10" x14ac:dyDescent="0.25">
      <c r="A309" s="4">
        <v>10540030</v>
      </c>
      <c r="B309" s="219">
        <v>1101.58</v>
      </c>
      <c r="D309" s="206"/>
      <c r="E309" s="71">
        <v>10080053</v>
      </c>
      <c r="F309" s="42">
        <v>4723</v>
      </c>
      <c r="H309" s="199"/>
      <c r="I309" s="71">
        <v>10070053</v>
      </c>
      <c r="J309" s="68">
        <v>73196</v>
      </c>
    </row>
    <row r="310" spans="1:10" x14ac:dyDescent="0.25">
      <c r="A310" s="4">
        <v>10540033</v>
      </c>
      <c r="B310" s="219">
        <v>1119.8799999999999</v>
      </c>
      <c r="D310" s="206"/>
      <c r="E310" s="71">
        <v>10030067</v>
      </c>
      <c r="F310" s="42">
        <v>6400</v>
      </c>
      <c r="H310" s="199"/>
      <c r="I310" s="71">
        <v>10530078</v>
      </c>
      <c r="J310" s="68">
        <v>72393.155530320524</v>
      </c>
    </row>
    <row r="311" spans="1:10" x14ac:dyDescent="0.25">
      <c r="A311" s="4">
        <v>10540038</v>
      </c>
      <c r="B311" s="219">
        <v>1082.1599999999999</v>
      </c>
      <c r="D311" s="206"/>
      <c r="E311" s="71">
        <v>10010045</v>
      </c>
      <c r="F311" s="42">
        <v>6400</v>
      </c>
      <c r="H311" s="199"/>
      <c r="I311" s="71">
        <v>10080108</v>
      </c>
      <c r="J311" s="68">
        <v>87000</v>
      </c>
    </row>
    <row r="312" spans="1:10" x14ac:dyDescent="0.25">
      <c r="A312" s="4">
        <v>10110134</v>
      </c>
      <c r="B312" s="219">
        <v>209.15999999999985</v>
      </c>
      <c r="D312" s="206"/>
      <c r="E312" s="71">
        <v>10030065</v>
      </c>
      <c r="F312" s="42">
        <v>4526.3190178130099</v>
      </c>
      <c r="H312" s="199"/>
      <c r="I312" s="71">
        <v>10140185</v>
      </c>
      <c r="J312" s="68">
        <v>52479.298490417597</v>
      </c>
    </row>
    <row r="313" spans="1:10" x14ac:dyDescent="0.25">
      <c r="A313" s="4">
        <v>10120114</v>
      </c>
      <c r="B313" s="219">
        <v>458.32</v>
      </c>
      <c r="D313" s="206"/>
      <c r="E313" s="71">
        <v>10010095</v>
      </c>
      <c r="F313" s="42">
        <v>3016.2027782248006</v>
      </c>
      <c r="H313" s="199"/>
      <c r="I313" s="71">
        <v>10030074</v>
      </c>
      <c r="J313" s="68">
        <v>74384.220002488</v>
      </c>
    </row>
    <row r="314" spans="1:10" x14ac:dyDescent="0.25">
      <c r="A314" s="4">
        <v>10130073</v>
      </c>
      <c r="B314" s="219">
        <v>109.80000000000001</v>
      </c>
      <c r="D314" s="206"/>
      <c r="E314" s="71">
        <v>10010094</v>
      </c>
      <c r="F314" s="42">
        <v>6400</v>
      </c>
      <c r="H314" s="199"/>
      <c r="I314" s="71">
        <v>10560002</v>
      </c>
      <c r="J314" s="68">
        <v>0</v>
      </c>
    </row>
    <row r="315" spans="1:10" x14ac:dyDescent="0.25">
      <c r="A315" s="4">
        <v>10130085</v>
      </c>
      <c r="B315" s="219">
        <v>15.519999999999982</v>
      </c>
      <c r="D315" s="206"/>
      <c r="E315" s="71">
        <v>10010086</v>
      </c>
      <c r="F315" s="42">
        <v>6400</v>
      </c>
      <c r="H315" s="199"/>
      <c r="I315" s="71">
        <v>10560003</v>
      </c>
      <c r="J315" s="68">
        <v>109875</v>
      </c>
    </row>
    <row r="316" spans="1:10" x14ac:dyDescent="0.25">
      <c r="A316" s="4">
        <v>10130093</v>
      </c>
      <c r="B316" s="219">
        <v>45.800000000000011</v>
      </c>
      <c r="D316" s="206"/>
      <c r="E316" s="71">
        <v>10130077</v>
      </c>
      <c r="F316" s="42">
        <v>7500</v>
      </c>
      <c r="H316" s="199"/>
      <c r="I316" s="71">
        <v>10060115</v>
      </c>
      <c r="J316" s="68">
        <v>91186.883799999996</v>
      </c>
    </row>
    <row r="317" spans="1:10" x14ac:dyDescent="0.25">
      <c r="A317" s="4">
        <v>10130097</v>
      </c>
      <c r="B317" s="219">
        <v>348.52</v>
      </c>
      <c r="D317" s="206"/>
      <c r="E317" s="71">
        <v>10030066</v>
      </c>
      <c r="F317" s="42">
        <v>3200</v>
      </c>
      <c r="H317" s="199"/>
      <c r="I317" s="71">
        <v>10010128</v>
      </c>
      <c r="J317" s="68">
        <v>50054.762623951799</v>
      </c>
    </row>
    <row r="318" spans="1:10" x14ac:dyDescent="0.25">
      <c r="A318" s="4">
        <v>10130090</v>
      </c>
      <c r="B318" s="219">
        <v>348.52</v>
      </c>
      <c r="D318" s="206"/>
      <c r="E318" s="71">
        <v>10090052</v>
      </c>
      <c r="F318" s="42">
        <v>9247</v>
      </c>
      <c r="H318" s="199"/>
      <c r="I318" s="71">
        <v>10010126</v>
      </c>
      <c r="J318" s="68">
        <v>99994</v>
      </c>
    </row>
    <row r="319" spans="1:10" x14ac:dyDescent="0.25">
      <c r="A319" s="4">
        <v>10130094</v>
      </c>
      <c r="B319" s="219">
        <v>184.70000000000002</v>
      </c>
      <c r="D319" s="206"/>
      <c r="E319" s="71">
        <v>10080047</v>
      </c>
      <c r="F319" s="42">
        <v>9600</v>
      </c>
      <c r="H319" s="199"/>
      <c r="I319" s="71">
        <v>10080105</v>
      </c>
      <c r="J319" s="68">
        <v>109981</v>
      </c>
    </row>
    <row r="320" spans="1:10" x14ac:dyDescent="0.25">
      <c r="A320" s="4">
        <v>10530083</v>
      </c>
      <c r="B320" s="219">
        <v>274.5</v>
      </c>
      <c r="D320" s="206"/>
      <c r="E320" s="71">
        <v>10080051</v>
      </c>
      <c r="F320" s="42">
        <v>6400</v>
      </c>
      <c r="H320" s="199"/>
      <c r="I320" s="71">
        <v>10110164</v>
      </c>
      <c r="J320" s="68">
        <v>81437</v>
      </c>
    </row>
    <row r="321" spans="1:10" x14ac:dyDescent="0.25">
      <c r="A321" s="4">
        <v>1010</v>
      </c>
      <c r="B321" s="219">
        <v>5318.7199999999993</v>
      </c>
      <c r="D321" s="206"/>
      <c r="E321" s="71">
        <v>10010089</v>
      </c>
      <c r="F321" s="42">
        <v>12099</v>
      </c>
      <c r="H321" s="199"/>
      <c r="I321" s="71">
        <v>10110165</v>
      </c>
      <c r="J321" s="68">
        <v>109032</v>
      </c>
    </row>
    <row r="322" spans="1:10" x14ac:dyDescent="0.25">
      <c r="A322" s="4">
        <v>1059</v>
      </c>
      <c r="B322" s="219">
        <v>2507.2999999999993</v>
      </c>
      <c r="D322" s="206"/>
      <c r="E322" s="71">
        <v>10530003</v>
      </c>
      <c r="F322" s="42">
        <v>16000</v>
      </c>
      <c r="H322" s="199"/>
      <c r="I322" s="71">
        <v>10540016</v>
      </c>
      <c r="J322" s="68">
        <v>75035.622774293908</v>
      </c>
    </row>
    <row r="323" spans="1:10" x14ac:dyDescent="0.25">
      <c r="A323" s="4">
        <v>10020079</v>
      </c>
      <c r="B323" s="219">
        <v>348.52</v>
      </c>
      <c r="D323" s="206"/>
      <c r="E323" s="71">
        <v>10060073</v>
      </c>
      <c r="F323" s="42">
        <v>9600</v>
      </c>
      <c r="H323" s="199"/>
      <c r="I323" s="71">
        <v>10540017</v>
      </c>
      <c r="J323" s="68">
        <v>75896.888399999996</v>
      </c>
    </row>
    <row r="324" spans="1:10" x14ac:dyDescent="0.25">
      <c r="A324" s="4">
        <v>10020075</v>
      </c>
      <c r="B324" s="198">
        <v>348.52</v>
      </c>
      <c r="D324" s="206"/>
      <c r="E324" s="71">
        <v>10530002</v>
      </c>
      <c r="F324" s="42">
        <v>16000</v>
      </c>
      <c r="H324" s="199"/>
      <c r="I324" s="71">
        <v>10540018</v>
      </c>
      <c r="J324" s="68">
        <v>80500</v>
      </c>
    </row>
    <row r="325" spans="1:10" x14ac:dyDescent="0.25">
      <c r="A325" s="4">
        <v>1054</v>
      </c>
      <c r="B325" s="198">
        <v>2542</v>
      </c>
      <c r="D325" s="206"/>
      <c r="E325" s="71">
        <v>10530005</v>
      </c>
      <c r="F325" s="42">
        <v>16000</v>
      </c>
      <c r="H325" s="199"/>
      <c r="I325" s="71">
        <v>10540019</v>
      </c>
      <c r="J325" s="68">
        <v>80257</v>
      </c>
    </row>
    <row r="326" spans="1:10" x14ac:dyDescent="0.25">
      <c r="A326" s="4">
        <v>10540019</v>
      </c>
      <c r="B326" s="198">
        <v>366</v>
      </c>
      <c r="D326" s="206"/>
      <c r="E326" s="71">
        <v>10060071</v>
      </c>
      <c r="F326" s="42">
        <v>6400</v>
      </c>
      <c r="H326" s="199"/>
      <c r="I326" s="71">
        <v>10540020</v>
      </c>
      <c r="J326" s="68">
        <v>81952</v>
      </c>
    </row>
    <row r="327" spans="1:10" x14ac:dyDescent="0.25">
      <c r="A327" s="4">
        <v>10540032</v>
      </c>
      <c r="B327" s="198">
        <v>183</v>
      </c>
      <c r="D327" s="206"/>
      <c r="E327" s="71">
        <v>10090056</v>
      </c>
      <c r="F327" s="42">
        <v>7182</v>
      </c>
      <c r="H327" s="199"/>
      <c r="I327" s="71">
        <v>10030075</v>
      </c>
      <c r="J327" s="68">
        <v>80156</v>
      </c>
    </row>
    <row r="328" spans="1:10" x14ac:dyDescent="0.25">
      <c r="A328" s="4">
        <v>10540018</v>
      </c>
      <c r="B328" s="198">
        <v>183</v>
      </c>
      <c r="D328" s="206"/>
      <c r="E328" s="71">
        <v>10120047</v>
      </c>
      <c r="F328" s="42">
        <v>6400</v>
      </c>
      <c r="H328" s="199"/>
      <c r="I328" s="71">
        <v>10530070</v>
      </c>
      <c r="J328" s="68">
        <v>73719.429799999998</v>
      </c>
    </row>
    <row r="329" spans="1:10" x14ac:dyDescent="0.25">
      <c r="A329" s="4">
        <v>10110112</v>
      </c>
      <c r="B329" s="198">
        <v>274.5</v>
      </c>
      <c r="D329" s="201"/>
      <c r="E329" s="71">
        <v>10130078</v>
      </c>
      <c r="F329" s="42">
        <v>7500</v>
      </c>
      <c r="H329" s="199"/>
      <c r="I329" s="71">
        <v>10530071</v>
      </c>
      <c r="J329" s="68">
        <v>73818.15570672162</v>
      </c>
    </row>
    <row r="330" spans="1:10" x14ac:dyDescent="0.25">
      <c r="A330" s="4">
        <v>10130100</v>
      </c>
      <c r="B330" s="198">
        <v>109.80000000000001</v>
      </c>
      <c r="D330" s="201"/>
      <c r="E330" s="71">
        <v>10530001</v>
      </c>
      <c r="F330" s="42">
        <v>12800</v>
      </c>
      <c r="H330" s="199"/>
      <c r="I330" s="71">
        <v>10110159</v>
      </c>
      <c r="J330" s="68">
        <v>61271.384350530396</v>
      </c>
    </row>
    <row r="331" spans="1:10" x14ac:dyDescent="0.25">
      <c r="A331" s="4">
        <v>10520005</v>
      </c>
      <c r="B331" s="198">
        <v>3486</v>
      </c>
      <c r="D331" s="201"/>
      <c r="E331" s="71">
        <v>10530008</v>
      </c>
      <c r="F331" s="42">
        <v>12800</v>
      </c>
      <c r="H331" s="199"/>
      <c r="I331" s="71">
        <v>10080100</v>
      </c>
      <c r="J331" s="68">
        <v>86463</v>
      </c>
    </row>
    <row r="332" spans="1:10" x14ac:dyDescent="0.25">
      <c r="A332" s="4">
        <v>10570001</v>
      </c>
      <c r="B332" s="198">
        <v>129.80000000000001</v>
      </c>
      <c r="D332" s="201"/>
      <c r="E332" s="71">
        <v>10120083</v>
      </c>
      <c r="F332" s="42">
        <v>12800</v>
      </c>
      <c r="H332" s="199"/>
      <c r="I332" s="71">
        <v>10020075</v>
      </c>
      <c r="J332" s="68">
        <v>79587.255999999994</v>
      </c>
    </row>
    <row r="333" spans="1:10" x14ac:dyDescent="0.25">
      <c r="A333" s="4">
        <v>10570003</v>
      </c>
      <c r="B333" s="198">
        <v>129.80000000000001</v>
      </c>
      <c r="D333" s="201"/>
      <c r="E333" s="71">
        <v>10130085</v>
      </c>
      <c r="F333" s="42">
        <v>9650</v>
      </c>
      <c r="H333" s="199"/>
      <c r="I333" s="71">
        <v>10020076</v>
      </c>
      <c r="J333" s="68">
        <v>90705</v>
      </c>
    </row>
    <row r="334" spans="1:10" x14ac:dyDescent="0.25">
      <c r="A334" s="4">
        <v>10570017</v>
      </c>
      <c r="B334" s="198">
        <v>129.80000000000001</v>
      </c>
      <c r="D334" s="201"/>
      <c r="E334" s="71">
        <v>10090015</v>
      </c>
      <c r="F334" s="42">
        <v>9666.1804000000011</v>
      </c>
      <c r="H334" s="199"/>
      <c r="I334" s="71">
        <v>10020077</v>
      </c>
      <c r="J334" s="68">
        <v>77879.293873505172</v>
      </c>
    </row>
    <row r="335" spans="1:10" x14ac:dyDescent="0.25">
      <c r="A335" s="4">
        <v>10570028</v>
      </c>
      <c r="B335" s="198">
        <v>129.80000000000001</v>
      </c>
      <c r="D335" s="201"/>
      <c r="E335" s="71">
        <v>10120054</v>
      </c>
      <c r="F335" s="42">
        <v>12800</v>
      </c>
      <c r="H335" s="199"/>
      <c r="I335" s="71">
        <v>10020078</v>
      </c>
      <c r="J335" s="68">
        <v>91198</v>
      </c>
    </row>
    <row r="336" spans="1:10" x14ac:dyDescent="0.25">
      <c r="A336" s="4">
        <v>10570029</v>
      </c>
      <c r="B336" s="198">
        <v>129.80000000000001</v>
      </c>
      <c r="D336" s="201"/>
      <c r="E336" s="71">
        <v>10140156</v>
      </c>
      <c r="F336" s="42">
        <v>12800</v>
      </c>
      <c r="H336" s="199"/>
      <c r="I336" s="71">
        <v>10020079</v>
      </c>
      <c r="J336" s="68">
        <v>94961</v>
      </c>
    </row>
    <row r="337" spans="1:10" x14ac:dyDescent="0.25">
      <c r="A337" s="4">
        <v>10570030</v>
      </c>
      <c r="B337" s="198">
        <v>129.80000000000001</v>
      </c>
      <c r="D337" s="201"/>
      <c r="E337" s="71">
        <v>10080079</v>
      </c>
      <c r="F337" s="42">
        <v>3200</v>
      </c>
      <c r="H337" s="199"/>
      <c r="I337" s="71">
        <v>10140187</v>
      </c>
      <c r="J337" s="68">
        <v>109788</v>
      </c>
    </row>
    <row r="338" spans="1:10" x14ac:dyDescent="0.25">
      <c r="A338" s="4">
        <v>10570031</v>
      </c>
      <c r="B338" s="198">
        <v>129.80000000000001</v>
      </c>
      <c r="D338" s="201"/>
      <c r="E338" s="71">
        <v>10080064</v>
      </c>
      <c r="F338" s="42">
        <v>9600</v>
      </c>
      <c r="H338" s="199"/>
      <c r="I338" s="71">
        <v>10140188</v>
      </c>
      <c r="J338" s="68">
        <v>110000</v>
      </c>
    </row>
    <row r="339" spans="1:10" x14ac:dyDescent="0.25">
      <c r="A339" s="4">
        <v>10530099</v>
      </c>
      <c r="B339" s="198">
        <v>329.40000000000003</v>
      </c>
      <c r="D339" s="201"/>
      <c r="E339" s="71">
        <v>10010069</v>
      </c>
      <c r="F339" s="42">
        <v>9600</v>
      </c>
      <c r="H339" s="199"/>
      <c r="I339" s="71">
        <v>10120108</v>
      </c>
      <c r="J339" s="68">
        <v>82329.750979080956</v>
      </c>
    </row>
    <row r="340" spans="1:10" x14ac:dyDescent="0.25">
      <c r="A340" s="4">
        <v>10520011</v>
      </c>
      <c r="B340" s="198">
        <v>2781.8999999999996</v>
      </c>
      <c r="D340" s="201"/>
      <c r="E340" s="71">
        <v>10020058</v>
      </c>
      <c r="F340" s="42">
        <v>5844.2936000000009</v>
      </c>
      <c r="H340" s="199"/>
      <c r="I340" s="71">
        <v>10530067</v>
      </c>
      <c r="J340" s="68">
        <v>71962.516336772518</v>
      </c>
    </row>
    <row r="341" spans="1:10" x14ac:dyDescent="0.25">
      <c r="A341" s="4">
        <v>10140201</v>
      </c>
      <c r="B341" s="198">
        <v>54.900000000000006</v>
      </c>
      <c r="D341" s="201"/>
      <c r="E341" s="71">
        <v>10010088</v>
      </c>
      <c r="F341" s="42">
        <v>12800</v>
      </c>
      <c r="H341" s="199"/>
      <c r="I341" s="71">
        <v>10530074</v>
      </c>
      <c r="J341" s="68">
        <v>69863.099853213775</v>
      </c>
    </row>
    <row r="342" spans="1:10" x14ac:dyDescent="0.25">
      <c r="A342" s="4">
        <v>10140176</v>
      </c>
      <c r="B342" s="198">
        <v>54.900000000000006</v>
      </c>
      <c r="D342" s="201"/>
      <c r="E342" s="71">
        <v>10140155</v>
      </c>
      <c r="F342" s="42">
        <v>6400</v>
      </c>
      <c r="H342" s="199"/>
      <c r="I342" s="71">
        <v>10530076</v>
      </c>
      <c r="J342" s="68">
        <v>33080.157438105758</v>
      </c>
    </row>
    <row r="343" spans="1:10" x14ac:dyDescent="0.25">
      <c r="A343" s="4">
        <v>10140197</v>
      </c>
      <c r="B343" s="198">
        <v>807.72</v>
      </c>
      <c r="D343" s="201"/>
      <c r="E343" s="71">
        <v>10130047</v>
      </c>
      <c r="F343" s="42">
        <v>11750</v>
      </c>
      <c r="H343" s="199"/>
      <c r="I343" s="71">
        <v>10140183</v>
      </c>
      <c r="J343" s="68">
        <v>81323.471400000009</v>
      </c>
    </row>
    <row r="344" spans="1:10" x14ac:dyDescent="0.25">
      <c r="A344" s="4">
        <v>10140194</v>
      </c>
      <c r="B344" s="198">
        <v>464.42</v>
      </c>
      <c r="D344" s="201"/>
      <c r="E344" s="71">
        <v>10120095</v>
      </c>
      <c r="F344" s="42">
        <v>4450.5474332718404</v>
      </c>
      <c r="H344" s="199"/>
      <c r="I344" s="71">
        <v>10140178</v>
      </c>
      <c r="J344" s="68">
        <v>104065</v>
      </c>
    </row>
    <row r="345" spans="1:10" x14ac:dyDescent="0.25">
      <c r="A345" s="4">
        <v>10140205</v>
      </c>
      <c r="B345" s="198">
        <v>590.36</v>
      </c>
      <c r="D345" s="201"/>
      <c r="E345" s="71">
        <v>10080065</v>
      </c>
      <c r="F345" s="42">
        <v>6400</v>
      </c>
      <c r="H345" s="199"/>
      <c r="I345" s="71">
        <v>10140179</v>
      </c>
      <c r="J345" s="68">
        <v>61116.346863492814</v>
      </c>
    </row>
    <row r="346" spans="1:10" x14ac:dyDescent="0.25">
      <c r="A346" s="4">
        <v>10140181</v>
      </c>
      <c r="B346" s="198">
        <v>826.83999999999992</v>
      </c>
      <c r="D346" s="201"/>
      <c r="E346" s="71">
        <v>10080062</v>
      </c>
      <c r="F346" s="42">
        <v>8935</v>
      </c>
      <c r="H346" s="199"/>
      <c r="I346" s="71">
        <v>10140180</v>
      </c>
      <c r="J346" s="68">
        <v>81039.266399999993</v>
      </c>
    </row>
    <row r="347" spans="1:10" x14ac:dyDescent="0.25">
      <c r="A347" s="4">
        <v>10140141</v>
      </c>
      <c r="B347" s="198">
        <v>129.80000000000001</v>
      </c>
      <c r="D347" s="201"/>
      <c r="E347" s="71">
        <v>10080070</v>
      </c>
      <c r="F347" s="42">
        <v>6400</v>
      </c>
      <c r="H347" s="199"/>
      <c r="I347" s="71">
        <v>10540008</v>
      </c>
      <c r="J347" s="68">
        <v>81640</v>
      </c>
    </row>
    <row r="348" spans="1:10" x14ac:dyDescent="0.25">
      <c r="A348" s="4">
        <v>10140198</v>
      </c>
      <c r="B348" s="198">
        <v>102.6</v>
      </c>
      <c r="D348" s="201"/>
      <c r="E348" s="71">
        <v>10080060</v>
      </c>
      <c r="F348" s="42">
        <v>6400</v>
      </c>
      <c r="H348" s="199"/>
      <c r="I348" s="71">
        <v>10540009</v>
      </c>
      <c r="J348" s="68">
        <v>13704.623681106445</v>
      </c>
    </row>
    <row r="349" spans="1:10" x14ac:dyDescent="0.25">
      <c r="A349" s="4">
        <v>10140175</v>
      </c>
      <c r="B349" s="198">
        <v>513</v>
      </c>
      <c r="D349" s="201"/>
      <c r="E349" s="71">
        <v>10080063</v>
      </c>
      <c r="F349" s="42">
        <v>6400</v>
      </c>
      <c r="H349" s="199"/>
      <c r="I349" s="71">
        <v>10080098</v>
      </c>
      <c r="J349" s="68">
        <v>87675</v>
      </c>
    </row>
    <row r="350" spans="1:10" x14ac:dyDescent="0.25">
      <c r="A350" s="4">
        <v>10140191</v>
      </c>
      <c r="B350" s="198">
        <v>102.6</v>
      </c>
      <c r="D350" s="201"/>
      <c r="E350" s="71">
        <v>10100003</v>
      </c>
      <c r="F350" s="42">
        <v>0.25059999999939464</v>
      </c>
      <c r="H350" s="199"/>
      <c r="I350" s="71">
        <v>10540005</v>
      </c>
      <c r="J350" s="68">
        <v>61518.713802710394</v>
      </c>
    </row>
    <row r="351" spans="1:10" x14ac:dyDescent="0.25">
      <c r="A351" s="4">
        <v>10140206</v>
      </c>
      <c r="B351" s="198">
        <v>115.02000000000001</v>
      </c>
      <c r="D351" s="201"/>
      <c r="E351" s="71">
        <v>10100035</v>
      </c>
      <c r="F351" s="42">
        <v>6330</v>
      </c>
      <c r="H351" s="199"/>
      <c r="I351" s="71">
        <v>10540007</v>
      </c>
      <c r="J351" s="68">
        <v>79350</v>
      </c>
    </row>
    <row r="352" spans="1:10" x14ac:dyDescent="0.25">
      <c r="A352" s="4">
        <v>10600001</v>
      </c>
      <c r="B352" s="198">
        <v>259.60000000000002</v>
      </c>
      <c r="D352" s="201"/>
      <c r="E352" s="71">
        <v>10080034</v>
      </c>
      <c r="F352" s="42">
        <v>9600</v>
      </c>
      <c r="H352" s="199"/>
      <c r="I352" s="71">
        <v>10060109</v>
      </c>
      <c r="J352" s="68">
        <v>83433.9666</v>
      </c>
    </row>
    <row r="353" spans="1:10" x14ac:dyDescent="0.25">
      <c r="A353" s="4">
        <v>10600002</v>
      </c>
      <c r="B353" s="198">
        <v>310.90000000000003</v>
      </c>
      <c r="D353" s="201"/>
      <c r="E353" s="71">
        <v>10480016</v>
      </c>
      <c r="F353" s="42">
        <v>22400</v>
      </c>
      <c r="H353" s="199"/>
      <c r="I353" s="71">
        <v>10060110</v>
      </c>
      <c r="J353" s="68">
        <v>87094</v>
      </c>
    </row>
    <row r="354" spans="1:10" x14ac:dyDescent="0.25">
      <c r="A354" s="4">
        <v>10600004</v>
      </c>
      <c r="B354" s="198">
        <v>259.60000000000002</v>
      </c>
      <c r="D354" s="201"/>
      <c r="E354" s="71">
        <v>10480022</v>
      </c>
      <c r="F354" s="42">
        <v>1945.8801999999998</v>
      </c>
      <c r="H354" s="199"/>
      <c r="I354" s="71">
        <v>10030072</v>
      </c>
      <c r="J354" s="68">
        <v>68169.939914271992</v>
      </c>
    </row>
    <row r="355" spans="1:10" x14ac:dyDescent="0.25">
      <c r="A355" s="4">
        <v>10600005</v>
      </c>
      <c r="B355" s="198">
        <v>285.25</v>
      </c>
      <c r="D355" s="201"/>
      <c r="E355" s="71">
        <v>10480002</v>
      </c>
      <c r="F355" s="42">
        <v>10665.781800000001</v>
      </c>
      <c r="H355" s="199"/>
      <c r="I355" s="71">
        <v>10030073</v>
      </c>
      <c r="J355" s="68">
        <v>86988</v>
      </c>
    </row>
    <row r="356" spans="1:10" x14ac:dyDescent="0.25">
      <c r="A356" s="4">
        <v>10600006</v>
      </c>
      <c r="B356" s="198">
        <v>621.80000000000007</v>
      </c>
      <c r="D356" s="201"/>
      <c r="E356" s="71">
        <v>10100015</v>
      </c>
      <c r="F356" s="42">
        <v>12800</v>
      </c>
      <c r="H356" s="199"/>
      <c r="I356" s="71">
        <v>10060111</v>
      </c>
      <c r="J356" s="68">
        <v>71014.897982209601</v>
      </c>
    </row>
    <row r="357" spans="1:10" x14ac:dyDescent="0.25">
      <c r="A357" s="4">
        <v>10600008</v>
      </c>
      <c r="B357" s="198">
        <v>259.60000000000002</v>
      </c>
      <c r="D357" s="201"/>
      <c r="E357" s="71">
        <v>10100016</v>
      </c>
      <c r="F357" s="42">
        <v>12800</v>
      </c>
      <c r="H357" s="199"/>
      <c r="I357" s="71">
        <v>10080099</v>
      </c>
      <c r="J357" s="68">
        <v>33786.581998222318</v>
      </c>
    </row>
    <row r="358" spans="1:10" x14ac:dyDescent="0.25">
      <c r="A358" s="4">
        <v>10600009</v>
      </c>
      <c r="B358" s="198">
        <v>389.40000000000003</v>
      </c>
      <c r="D358" s="201"/>
      <c r="E358" s="71">
        <v>10070048</v>
      </c>
      <c r="F358" s="42">
        <v>614.09939999999915</v>
      </c>
      <c r="H358" s="199"/>
      <c r="I358" s="71">
        <v>10110104</v>
      </c>
      <c r="J358" s="68">
        <v>72525.034733130844</v>
      </c>
    </row>
    <row r="359" spans="1:10" x14ac:dyDescent="0.25">
      <c r="A359" s="4">
        <v>10600010</v>
      </c>
      <c r="B359" s="198">
        <v>570.5</v>
      </c>
      <c r="D359" s="201"/>
      <c r="E359" s="71">
        <v>10100055</v>
      </c>
      <c r="F359" s="42">
        <v>6400</v>
      </c>
      <c r="H359" s="199"/>
      <c r="I359" s="71">
        <v>10110103</v>
      </c>
      <c r="J359" s="68">
        <v>105000</v>
      </c>
    </row>
    <row r="360" spans="1:10" x14ac:dyDescent="0.25">
      <c r="A360" s="4">
        <v>10600012</v>
      </c>
      <c r="B360" s="198">
        <v>285.25</v>
      </c>
      <c r="D360" s="201"/>
      <c r="E360" s="71">
        <v>10070049</v>
      </c>
      <c r="F360" s="42">
        <v>6400</v>
      </c>
      <c r="H360" s="199"/>
      <c r="I360" s="71">
        <v>10140153</v>
      </c>
      <c r="J360" s="68">
        <v>74044</v>
      </c>
    </row>
    <row r="361" spans="1:10" x14ac:dyDescent="0.25">
      <c r="A361" s="4">
        <v>10600013</v>
      </c>
      <c r="B361" s="198">
        <v>259.60000000000002</v>
      </c>
      <c r="D361" s="201"/>
      <c r="E361" s="71">
        <v>10100054</v>
      </c>
      <c r="F361" s="42">
        <v>12126</v>
      </c>
      <c r="H361" s="199"/>
      <c r="I361" s="71">
        <v>10110141</v>
      </c>
      <c r="J361" s="68">
        <v>43452.409054434189</v>
      </c>
    </row>
    <row r="362" spans="1:10" x14ac:dyDescent="0.25">
      <c r="A362" s="4"/>
      <c r="B362" s="198"/>
      <c r="D362" s="201"/>
      <c r="E362" s="71">
        <v>10100021</v>
      </c>
      <c r="F362" s="42">
        <v>14531.984399999999</v>
      </c>
      <c r="H362" s="199"/>
      <c r="I362" s="71">
        <v>10530027</v>
      </c>
      <c r="J362" s="68">
        <v>73254</v>
      </c>
    </row>
    <row r="363" spans="1:10" x14ac:dyDescent="0.25">
      <c r="A363" s="4"/>
      <c r="B363" s="198"/>
      <c r="D363" s="201"/>
      <c r="E363" s="71">
        <v>10070015</v>
      </c>
      <c r="F363" s="42">
        <v>12800</v>
      </c>
      <c r="H363" s="199"/>
      <c r="I363" s="71">
        <v>10530044</v>
      </c>
      <c r="J363" s="68">
        <v>39642.970908958057</v>
      </c>
    </row>
    <row r="364" spans="1:10" x14ac:dyDescent="0.25">
      <c r="A364" s="4"/>
      <c r="B364" s="198"/>
      <c r="D364" s="201"/>
      <c r="E364" s="71">
        <v>10100037</v>
      </c>
      <c r="F364" s="42">
        <v>6400</v>
      </c>
      <c r="H364" s="199"/>
      <c r="I364" s="71">
        <v>10570019</v>
      </c>
      <c r="J364" s="68">
        <v>76432.647076568595</v>
      </c>
    </row>
    <row r="365" spans="1:10" x14ac:dyDescent="0.25">
      <c r="A365" s="4"/>
      <c r="B365" s="198"/>
      <c r="D365" s="201"/>
      <c r="E365" s="71">
        <v>10010081</v>
      </c>
      <c r="F365" s="42">
        <v>6400</v>
      </c>
      <c r="H365" s="199"/>
      <c r="I365" s="71">
        <v>10570020</v>
      </c>
      <c r="J365" s="68">
        <v>77020.161626845482</v>
      </c>
    </row>
    <row r="366" spans="1:10" x14ac:dyDescent="0.25">
      <c r="A366" s="4"/>
      <c r="B366" s="198"/>
      <c r="D366" s="201"/>
      <c r="E366" s="71">
        <v>10010058</v>
      </c>
      <c r="F366" s="42">
        <v>3200</v>
      </c>
      <c r="H366" s="199"/>
      <c r="I366" s="71">
        <v>10570021</v>
      </c>
      <c r="J366" s="68">
        <v>77127.6054</v>
      </c>
    </row>
    <row r="367" spans="1:10" x14ac:dyDescent="0.25">
      <c r="A367" s="4"/>
      <c r="B367" s="198"/>
      <c r="D367" s="201"/>
      <c r="E367" s="71">
        <v>10010071</v>
      </c>
      <c r="F367" s="42">
        <v>6400</v>
      </c>
      <c r="H367" s="199"/>
      <c r="I367" s="71">
        <v>10540026</v>
      </c>
      <c r="J367" s="68">
        <v>60283.399400000002</v>
      </c>
    </row>
    <row r="368" spans="1:10" x14ac:dyDescent="0.25">
      <c r="A368" s="4"/>
      <c r="B368" s="198"/>
      <c r="D368" s="201"/>
      <c r="E368" s="71">
        <v>10010059</v>
      </c>
      <c r="F368" s="42">
        <v>6400</v>
      </c>
      <c r="H368" s="199"/>
      <c r="I368" s="71">
        <v>10530047</v>
      </c>
      <c r="J368" s="68">
        <v>67447.312256515434</v>
      </c>
    </row>
    <row r="369" spans="1:10" x14ac:dyDescent="0.25">
      <c r="A369" s="4"/>
      <c r="B369" s="198"/>
      <c r="D369" s="201"/>
      <c r="E369" s="71">
        <v>10010082</v>
      </c>
      <c r="F369" s="42">
        <v>25600</v>
      </c>
      <c r="H369" s="199"/>
      <c r="I369" s="71">
        <v>10130098</v>
      </c>
      <c r="J369" s="68">
        <v>42151.942098533822</v>
      </c>
    </row>
    <row r="370" spans="1:10" x14ac:dyDescent="0.25">
      <c r="A370" s="4"/>
      <c r="B370" s="198"/>
      <c r="D370" s="201"/>
      <c r="E370" s="71">
        <v>10010021</v>
      </c>
      <c r="F370" s="42">
        <v>6400</v>
      </c>
      <c r="H370" s="199"/>
      <c r="I370" s="71">
        <v>10120107</v>
      </c>
      <c r="J370" s="68">
        <v>51727.410545246996</v>
      </c>
    </row>
    <row r="371" spans="1:10" x14ac:dyDescent="0.25">
      <c r="A371" s="4"/>
      <c r="B371" s="198"/>
      <c r="D371" s="201"/>
      <c r="E371" s="71">
        <v>10110053</v>
      </c>
      <c r="F371" s="42">
        <v>6400</v>
      </c>
      <c r="H371" s="199"/>
      <c r="I371" s="71">
        <v>10130100</v>
      </c>
      <c r="J371" s="68">
        <v>87735</v>
      </c>
    </row>
    <row r="372" spans="1:10" x14ac:dyDescent="0.25">
      <c r="A372" s="4"/>
      <c r="B372" s="198"/>
      <c r="D372" s="201"/>
      <c r="E372" s="71">
        <v>10110085</v>
      </c>
      <c r="F372" s="42">
        <v>6400</v>
      </c>
      <c r="H372" s="199"/>
      <c r="I372" s="71">
        <v>10130102</v>
      </c>
      <c r="J372" s="68">
        <v>81361</v>
      </c>
    </row>
    <row r="373" spans="1:10" x14ac:dyDescent="0.25">
      <c r="A373" s="4"/>
      <c r="B373" s="198"/>
      <c r="D373" s="201"/>
      <c r="E373" s="71">
        <v>10110089</v>
      </c>
      <c r="F373" s="42">
        <v>6400</v>
      </c>
      <c r="H373" s="199"/>
      <c r="I373" s="71">
        <v>10530064</v>
      </c>
      <c r="J373" s="68">
        <v>52269.157585151988</v>
      </c>
    </row>
    <row r="374" spans="1:10" x14ac:dyDescent="0.25">
      <c r="A374" s="4"/>
      <c r="B374" s="198"/>
      <c r="D374" s="201"/>
      <c r="E374" s="71">
        <v>10110067</v>
      </c>
      <c r="F374" s="42">
        <v>6400</v>
      </c>
      <c r="H374" s="199"/>
      <c r="I374" s="71">
        <v>10530065</v>
      </c>
      <c r="J374" s="68">
        <v>52675.800540998331</v>
      </c>
    </row>
    <row r="375" spans="1:10" x14ac:dyDescent="0.25">
      <c r="A375" s="4"/>
      <c r="B375" s="198"/>
      <c r="D375" s="201"/>
      <c r="E375" s="71">
        <v>10110071</v>
      </c>
      <c r="F375" s="42">
        <v>12800</v>
      </c>
      <c r="H375" s="199"/>
      <c r="I375" s="71">
        <v>10530062</v>
      </c>
      <c r="J375" s="68">
        <v>57607.383894759798</v>
      </c>
    </row>
    <row r="376" spans="1:10" x14ac:dyDescent="0.25">
      <c r="A376" s="4"/>
      <c r="B376" s="198"/>
      <c r="D376" s="201"/>
      <c r="E376" s="71">
        <v>10010103</v>
      </c>
      <c r="F376" s="42">
        <v>6400</v>
      </c>
      <c r="H376" s="199"/>
      <c r="I376" s="71">
        <v>10530048</v>
      </c>
      <c r="J376" s="68">
        <v>68230</v>
      </c>
    </row>
    <row r="377" spans="1:10" x14ac:dyDescent="0.25">
      <c r="A377" s="4"/>
      <c r="B377" s="198"/>
      <c r="D377" s="201"/>
      <c r="E377" s="71">
        <v>10060064</v>
      </c>
      <c r="F377" s="42">
        <v>9600</v>
      </c>
      <c r="H377" s="199"/>
      <c r="I377" s="71">
        <v>10130095</v>
      </c>
      <c r="J377" s="68">
        <v>103615</v>
      </c>
    </row>
    <row r="378" spans="1:10" x14ac:dyDescent="0.25">
      <c r="A378" s="4"/>
      <c r="B378" s="198"/>
      <c r="D378" s="201"/>
      <c r="E378" s="71">
        <v>10130093</v>
      </c>
      <c r="F378" s="42">
        <v>4586.4009999999998</v>
      </c>
      <c r="H378" s="199"/>
      <c r="I378" s="71">
        <v>10060106</v>
      </c>
      <c r="J378" s="68">
        <v>92116.728000000003</v>
      </c>
    </row>
    <row r="379" spans="1:10" x14ac:dyDescent="0.25">
      <c r="A379" s="4"/>
      <c r="B379" s="198"/>
      <c r="D379" s="201"/>
      <c r="E379" s="71">
        <v>10130094</v>
      </c>
      <c r="F379" s="42">
        <v>6400</v>
      </c>
      <c r="H379" s="199"/>
      <c r="I379" s="71">
        <v>10090065</v>
      </c>
      <c r="J379" s="68">
        <v>69638.128400000001</v>
      </c>
    </row>
    <row r="380" spans="1:10" x14ac:dyDescent="0.25">
      <c r="A380" s="4"/>
      <c r="B380" s="198"/>
      <c r="D380" s="201"/>
      <c r="E380" s="71">
        <v>10530027</v>
      </c>
      <c r="F380" s="42">
        <v>10700</v>
      </c>
      <c r="H380" s="199"/>
      <c r="I380" s="71">
        <v>10130093</v>
      </c>
      <c r="J380" s="68">
        <v>72500</v>
      </c>
    </row>
    <row r="381" spans="1:10" x14ac:dyDescent="0.25">
      <c r="A381" s="4"/>
      <c r="B381" s="198"/>
      <c r="D381" s="201"/>
      <c r="E381" s="235">
        <v>10530040</v>
      </c>
      <c r="F381" s="42">
        <v>10700</v>
      </c>
      <c r="H381" s="199"/>
      <c r="I381" s="71">
        <v>10110151</v>
      </c>
      <c r="J381" s="68">
        <v>90000</v>
      </c>
    </row>
    <row r="382" spans="1:10" x14ac:dyDescent="0.25">
      <c r="A382" s="4"/>
      <c r="B382" s="198"/>
      <c r="D382" s="201"/>
      <c r="E382" s="41">
        <v>10110087</v>
      </c>
      <c r="F382" s="42">
        <v>12800</v>
      </c>
      <c r="H382" s="199"/>
      <c r="I382" s="71">
        <v>10140156</v>
      </c>
      <c r="J382" s="68">
        <v>47438.209441713865</v>
      </c>
    </row>
    <row r="383" spans="1:10" x14ac:dyDescent="0.25">
      <c r="A383" s="4"/>
      <c r="B383" s="198"/>
      <c r="D383" s="201"/>
      <c r="E383" s="41">
        <v>10110055</v>
      </c>
      <c r="F383" s="42">
        <v>6400</v>
      </c>
      <c r="H383" s="199"/>
      <c r="I383" s="71">
        <v>10140120</v>
      </c>
      <c r="J383" s="68">
        <v>70690</v>
      </c>
    </row>
    <row r="384" spans="1:10" x14ac:dyDescent="0.25">
      <c r="A384" s="4"/>
      <c r="B384" s="198"/>
      <c r="D384" s="201"/>
      <c r="E384" s="41">
        <v>10530044</v>
      </c>
      <c r="F384" s="42">
        <v>10700</v>
      </c>
      <c r="H384" s="199"/>
      <c r="I384" s="71">
        <v>10140119</v>
      </c>
      <c r="J384" s="68">
        <v>90964.532243855763</v>
      </c>
    </row>
    <row r="385" spans="1:10" x14ac:dyDescent="0.25">
      <c r="A385" s="4"/>
      <c r="B385" s="198"/>
      <c r="D385" s="201"/>
      <c r="E385" s="41">
        <v>10530035</v>
      </c>
      <c r="F385" s="42">
        <v>10700</v>
      </c>
      <c r="H385" s="199"/>
      <c r="I385" s="71">
        <v>10120105</v>
      </c>
      <c r="J385" s="68">
        <v>96947</v>
      </c>
    </row>
    <row r="386" spans="1:10" x14ac:dyDescent="0.25">
      <c r="A386" s="4"/>
      <c r="B386" s="198"/>
      <c r="D386" s="202"/>
      <c r="E386" s="41">
        <v>10530047</v>
      </c>
      <c r="F386" s="42">
        <v>10700</v>
      </c>
      <c r="H386" s="199"/>
      <c r="I386" s="71">
        <v>10530055</v>
      </c>
      <c r="J386" s="68">
        <v>14257.794614783459</v>
      </c>
    </row>
    <row r="387" spans="1:10" x14ac:dyDescent="0.25">
      <c r="A387" s="4"/>
      <c r="B387" s="198"/>
      <c r="D387" s="199"/>
      <c r="E387" s="71">
        <v>10090058</v>
      </c>
      <c r="F387" s="42">
        <v>3164.0036000000005</v>
      </c>
      <c r="H387" s="199"/>
      <c r="I387" s="71">
        <v>10530058</v>
      </c>
      <c r="J387" s="68">
        <v>74170</v>
      </c>
    </row>
    <row r="388" spans="1:10" x14ac:dyDescent="0.25">
      <c r="A388" s="4"/>
      <c r="B388" s="198"/>
      <c r="D388" s="199"/>
      <c r="E388" s="41">
        <v>10090064</v>
      </c>
      <c r="F388" s="42">
        <v>6108</v>
      </c>
      <c r="H388" s="199"/>
      <c r="I388" s="71">
        <v>10080093</v>
      </c>
      <c r="J388" s="68">
        <v>78137.560200000007</v>
      </c>
    </row>
    <row r="389" spans="1:10" x14ac:dyDescent="0.25">
      <c r="A389" s="4"/>
      <c r="B389" s="198"/>
      <c r="D389" s="199"/>
      <c r="E389" s="41">
        <v>10090062</v>
      </c>
      <c r="F389" s="42">
        <v>12800</v>
      </c>
      <c r="H389" s="199"/>
      <c r="I389" s="71">
        <v>10080095</v>
      </c>
      <c r="J389" s="68">
        <v>89133</v>
      </c>
    </row>
    <row r="390" spans="1:10" x14ac:dyDescent="0.25">
      <c r="A390" s="4"/>
      <c r="B390" s="198"/>
      <c r="D390" s="199"/>
      <c r="E390" s="41">
        <v>10480014</v>
      </c>
      <c r="F390" s="42">
        <v>6400</v>
      </c>
      <c r="H390" s="199"/>
      <c r="I390" s="71">
        <v>10080096</v>
      </c>
      <c r="J390" s="68">
        <v>90724</v>
      </c>
    </row>
    <row r="391" spans="1:10" x14ac:dyDescent="0.25">
      <c r="A391" s="4"/>
      <c r="B391" s="198"/>
      <c r="D391" s="199"/>
      <c r="E391" s="41">
        <v>10480012</v>
      </c>
      <c r="F391" s="42">
        <v>23692</v>
      </c>
      <c r="H391" s="199"/>
      <c r="I391" s="71">
        <v>10140171</v>
      </c>
      <c r="J391" s="68">
        <v>76787.376122859001</v>
      </c>
    </row>
    <row r="392" spans="1:10" x14ac:dyDescent="0.25">
      <c r="A392" s="4"/>
      <c r="B392" s="198"/>
      <c r="D392" s="201"/>
      <c r="E392" s="41">
        <v>10530007</v>
      </c>
      <c r="F392" s="42">
        <v>12800</v>
      </c>
      <c r="H392" s="199"/>
      <c r="I392" s="71">
        <v>10140172</v>
      </c>
      <c r="J392" s="68">
        <v>94600.394561805006</v>
      </c>
    </row>
    <row r="393" spans="1:10" x14ac:dyDescent="0.25">
      <c r="A393" s="4"/>
      <c r="B393" s="198"/>
      <c r="D393" s="199"/>
      <c r="E393" s="41">
        <v>10530006</v>
      </c>
      <c r="F393" s="42">
        <v>12800</v>
      </c>
      <c r="H393" s="199"/>
      <c r="I393" s="71">
        <v>10140173</v>
      </c>
      <c r="J393" s="68">
        <v>59378.179760026396</v>
      </c>
    </row>
    <row r="394" spans="1:10" x14ac:dyDescent="0.25">
      <c r="A394" s="4"/>
      <c r="B394" s="198"/>
      <c r="D394" s="199"/>
      <c r="E394" s="41">
        <v>10530004</v>
      </c>
      <c r="F394" s="42">
        <v>12800</v>
      </c>
      <c r="H394" s="199"/>
      <c r="I394" s="71">
        <v>10010108</v>
      </c>
      <c r="J394" s="68">
        <v>91249</v>
      </c>
    </row>
    <row r="395" spans="1:10" x14ac:dyDescent="0.25">
      <c r="A395" s="4"/>
      <c r="B395" s="198"/>
      <c r="D395" s="199"/>
      <c r="E395" s="41">
        <v>10090063</v>
      </c>
      <c r="F395" s="42">
        <v>6400</v>
      </c>
      <c r="H395" s="199"/>
      <c r="I395" s="71">
        <v>10140174</v>
      </c>
      <c r="J395" s="68">
        <v>82913</v>
      </c>
    </row>
    <row r="396" spans="1:10" x14ac:dyDescent="0.25">
      <c r="A396" s="4"/>
      <c r="B396" s="198"/>
      <c r="D396" s="199"/>
      <c r="E396" s="41">
        <v>10090057</v>
      </c>
      <c r="F396" s="42">
        <v>12800</v>
      </c>
      <c r="H396" s="199"/>
      <c r="I396" s="71">
        <v>10120104</v>
      </c>
      <c r="J396" s="68">
        <v>50433.014471598406</v>
      </c>
    </row>
    <row r="397" spans="1:10" x14ac:dyDescent="0.25">
      <c r="A397" s="4"/>
      <c r="B397" s="198"/>
      <c r="D397" s="199"/>
      <c r="E397" s="41">
        <v>10530045</v>
      </c>
      <c r="F397" s="42">
        <v>10700</v>
      </c>
      <c r="H397" s="199"/>
      <c r="I397" s="71">
        <v>10130099</v>
      </c>
      <c r="J397" s="68">
        <v>100000</v>
      </c>
    </row>
    <row r="398" spans="1:10" x14ac:dyDescent="0.25">
      <c r="A398" s="4"/>
      <c r="B398" s="198"/>
      <c r="D398" s="199"/>
      <c r="E398" s="41">
        <v>10030070</v>
      </c>
      <c r="F398" s="42">
        <v>6400</v>
      </c>
      <c r="H398" s="199"/>
      <c r="I398" s="71">
        <v>10110140</v>
      </c>
      <c r="J398" s="68">
        <v>73934.354599999991</v>
      </c>
    </row>
    <row r="399" spans="1:10" x14ac:dyDescent="0.25">
      <c r="A399" s="4"/>
      <c r="B399" s="198"/>
      <c r="D399" s="199"/>
      <c r="E399" s="41">
        <v>10030071</v>
      </c>
      <c r="F399" s="42">
        <v>6400</v>
      </c>
      <c r="H399" s="199"/>
      <c r="I399" s="71">
        <v>10110142</v>
      </c>
      <c r="J399" s="68">
        <v>63863.088361185881</v>
      </c>
    </row>
    <row r="400" spans="1:10" x14ac:dyDescent="0.25">
      <c r="A400" s="4"/>
      <c r="B400" s="198"/>
      <c r="D400" s="199"/>
      <c r="E400" s="41">
        <v>10530048</v>
      </c>
      <c r="F400" s="42">
        <v>10700</v>
      </c>
      <c r="H400" s="199"/>
      <c r="I400" s="71">
        <v>10110143</v>
      </c>
      <c r="J400" s="68">
        <v>39351.76603904611</v>
      </c>
    </row>
    <row r="401" spans="1:10" x14ac:dyDescent="0.25">
      <c r="A401" s="4"/>
      <c r="B401" s="198"/>
      <c r="D401" s="199"/>
      <c r="E401" s="41">
        <v>10030010</v>
      </c>
      <c r="F401" s="42">
        <v>4335</v>
      </c>
      <c r="H401" s="199"/>
      <c r="I401" s="71">
        <v>10110144</v>
      </c>
      <c r="J401" s="68">
        <v>52728.359230474394</v>
      </c>
    </row>
    <row r="402" spans="1:10" x14ac:dyDescent="0.25">
      <c r="A402" s="4"/>
      <c r="B402" s="198"/>
      <c r="D402" s="199"/>
      <c r="E402" s="41">
        <v>10110083</v>
      </c>
      <c r="F402" s="42">
        <v>3200</v>
      </c>
      <c r="H402" s="199"/>
      <c r="I402" s="71">
        <v>10110145</v>
      </c>
      <c r="J402" s="68">
        <v>80074.141657192085</v>
      </c>
    </row>
    <row r="403" spans="1:10" x14ac:dyDescent="0.25">
      <c r="A403" s="4"/>
      <c r="B403" s="198"/>
      <c r="D403" s="199"/>
      <c r="E403" s="41">
        <v>10140166</v>
      </c>
      <c r="F403" s="42">
        <v>5090.7209999999995</v>
      </c>
      <c r="H403" s="199"/>
      <c r="I403" s="71">
        <v>10070063</v>
      </c>
      <c r="J403" s="68">
        <v>65433.3257323176</v>
      </c>
    </row>
    <row r="404" spans="1:10" x14ac:dyDescent="0.25">
      <c r="A404" s="4"/>
      <c r="B404" s="198"/>
      <c r="D404" s="199"/>
      <c r="E404" s="41">
        <v>10140152</v>
      </c>
      <c r="F404" s="42">
        <v>5087.1693999999998</v>
      </c>
      <c r="H404" s="199"/>
      <c r="I404" s="71">
        <v>10070064</v>
      </c>
      <c r="J404" s="68">
        <v>60170.404455544798</v>
      </c>
    </row>
    <row r="405" spans="1:10" x14ac:dyDescent="0.25">
      <c r="A405" s="4"/>
      <c r="B405" s="198"/>
      <c r="D405" s="199"/>
      <c r="E405" s="41">
        <v>10140159</v>
      </c>
      <c r="F405" s="42">
        <v>9600</v>
      </c>
      <c r="H405" s="199"/>
      <c r="I405" s="71">
        <v>10110109</v>
      </c>
      <c r="J405" s="68">
        <v>75406</v>
      </c>
    </row>
    <row r="406" spans="1:10" x14ac:dyDescent="0.25">
      <c r="A406" s="4"/>
      <c r="B406" s="198"/>
      <c r="D406" s="199"/>
      <c r="E406" s="41">
        <v>10140095</v>
      </c>
      <c r="F406" s="42">
        <v>6400</v>
      </c>
      <c r="H406" s="199"/>
      <c r="I406" s="71">
        <v>10110132</v>
      </c>
      <c r="J406" s="68">
        <v>89735</v>
      </c>
    </row>
    <row r="407" spans="1:10" x14ac:dyDescent="0.25">
      <c r="A407" s="4"/>
      <c r="B407" s="198"/>
      <c r="D407" s="199"/>
      <c r="E407" s="41">
        <v>10130074</v>
      </c>
      <c r="F407" s="42">
        <v>10700</v>
      </c>
      <c r="H407" s="199"/>
      <c r="I407" s="71">
        <v>10070071</v>
      </c>
      <c r="J407" s="68">
        <v>110000</v>
      </c>
    </row>
    <row r="408" spans="1:10" x14ac:dyDescent="0.25">
      <c r="A408" s="4"/>
      <c r="B408" s="198"/>
      <c r="D408" s="199"/>
      <c r="E408" s="41">
        <v>10090060</v>
      </c>
      <c r="F408" s="42">
        <v>4280.6896857994798</v>
      </c>
      <c r="H408" s="199"/>
      <c r="I408" s="71">
        <v>10070072</v>
      </c>
      <c r="J408" s="68">
        <v>108646</v>
      </c>
    </row>
    <row r="409" spans="1:10" x14ac:dyDescent="0.25">
      <c r="A409" s="4"/>
      <c r="B409" s="198"/>
      <c r="D409" s="199"/>
      <c r="E409" s="41">
        <v>10110118</v>
      </c>
      <c r="F409" s="42">
        <v>9468.7371999999996</v>
      </c>
      <c r="H409" s="199"/>
      <c r="I409" s="71">
        <v>10070073</v>
      </c>
      <c r="J409" s="68">
        <v>90000</v>
      </c>
    </row>
    <row r="410" spans="1:10" x14ac:dyDescent="0.25">
      <c r="A410" s="4"/>
      <c r="B410" s="198"/>
      <c r="D410" s="199"/>
      <c r="E410" s="41">
        <v>10110121</v>
      </c>
      <c r="F410" s="42">
        <v>11353.4992</v>
      </c>
      <c r="H410" s="199"/>
      <c r="I410" s="71">
        <v>10110134</v>
      </c>
      <c r="J410" s="68">
        <v>80401</v>
      </c>
    </row>
    <row r="411" spans="1:10" x14ac:dyDescent="0.25">
      <c r="A411" s="4"/>
      <c r="B411" s="198"/>
      <c r="D411" s="199"/>
      <c r="E411" s="41">
        <v>10110110</v>
      </c>
      <c r="F411" s="42">
        <v>10305.2229682096</v>
      </c>
      <c r="H411" s="199"/>
      <c r="I411" s="71">
        <v>10110135</v>
      </c>
      <c r="J411" s="68">
        <v>67905</v>
      </c>
    </row>
    <row r="412" spans="1:10" x14ac:dyDescent="0.25">
      <c r="A412" s="4"/>
      <c r="B412" s="198"/>
      <c r="D412" s="199"/>
      <c r="E412" s="41">
        <v>10110126</v>
      </c>
      <c r="F412" s="42">
        <v>12800</v>
      </c>
      <c r="H412" s="199"/>
      <c r="I412" s="71">
        <v>10070062</v>
      </c>
      <c r="J412" s="68">
        <v>92978</v>
      </c>
    </row>
    <row r="413" spans="1:10" x14ac:dyDescent="0.25">
      <c r="A413" s="4"/>
      <c r="B413" s="198"/>
      <c r="D413" s="199"/>
      <c r="E413" s="41">
        <v>10110125</v>
      </c>
      <c r="F413" s="42">
        <v>12800</v>
      </c>
      <c r="H413" s="199"/>
      <c r="I413" s="71">
        <v>10110129</v>
      </c>
      <c r="J413" s="68">
        <v>64599.511158120004</v>
      </c>
    </row>
    <row r="414" spans="1:10" x14ac:dyDescent="0.25">
      <c r="A414" s="4"/>
      <c r="B414" s="198"/>
      <c r="D414" s="199"/>
      <c r="E414" s="41">
        <v>10110135</v>
      </c>
      <c r="F414" s="42">
        <v>11013.945599999999</v>
      </c>
      <c r="H414" s="199"/>
      <c r="I414" s="71">
        <v>10110130</v>
      </c>
      <c r="J414" s="68">
        <v>103937</v>
      </c>
    </row>
    <row r="415" spans="1:10" x14ac:dyDescent="0.25">
      <c r="A415" s="4"/>
      <c r="B415" s="198"/>
      <c r="D415" s="199"/>
      <c r="E415" s="41">
        <v>10110119</v>
      </c>
      <c r="F415" s="42">
        <v>12800</v>
      </c>
      <c r="H415" s="199"/>
      <c r="I415" s="71">
        <v>10060103</v>
      </c>
      <c r="J415" s="68">
        <v>96141</v>
      </c>
    </row>
    <row r="416" spans="1:10" x14ac:dyDescent="0.25">
      <c r="A416" s="4"/>
      <c r="B416" s="198"/>
      <c r="D416" s="199"/>
      <c r="E416" s="41">
        <v>10110122</v>
      </c>
      <c r="F416" s="42">
        <v>12800</v>
      </c>
      <c r="H416" s="199"/>
      <c r="I416" s="71">
        <v>10090064</v>
      </c>
      <c r="J416" s="68">
        <v>73099.335800000001</v>
      </c>
    </row>
    <row r="417" spans="1:10" x14ac:dyDescent="0.25">
      <c r="A417" s="4"/>
      <c r="B417" s="198"/>
      <c r="D417" s="199"/>
      <c r="E417" s="71">
        <v>10100048</v>
      </c>
      <c r="F417" s="42">
        <v>6400</v>
      </c>
      <c r="H417" s="199"/>
      <c r="I417" s="71">
        <v>10110131</v>
      </c>
      <c r="J417" s="68">
        <v>107606</v>
      </c>
    </row>
    <row r="418" spans="1:10" x14ac:dyDescent="0.25">
      <c r="A418" s="4"/>
      <c r="B418" s="198"/>
      <c r="D418" s="199"/>
      <c r="E418" s="41">
        <v>10100007</v>
      </c>
      <c r="F418" s="42">
        <v>12800</v>
      </c>
      <c r="H418" s="199"/>
      <c r="I418" s="71">
        <v>10480032</v>
      </c>
      <c r="J418" s="68">
        <v>90000</v>
      </c>
    </row>
    <row r="419" spans="1:10" x14ac:dyDescent="0.25">
      <c r="A419" s="4"/>
      <c r="B419" s="198"/>
      <c r="D419" s="199"/>
      <c r="E419" s="41">
        <v>10070013</v>
      </c>
      <c r="F419" s="42">
        <v>5123.8451999999997</v>
      </c>
      <c r="H419" s="199"/>
      <c r="I419" s="71">
        <v>10140166</v>
      </c>
      <c r="J419" s="68">
        <v>72798</v>
      </c>
    </row>
    <row r="420" spans="1:10" x14ac:dyDescent="0.25">
      <c r="A420" s="4"/>
      <c r="B420" s="198"/>
      <c r="D420" s="199"/>
      <c r="E420" s="41">
        <v>10100019</v>
      </c>
      <c r="F420" s="42">
        <v>12800</v>
      </c>
      <c r="H420" s="199"/>
      <c r="I420" s="71">
        <v>10010105</v>
      </c>
      <c r="J420" s="68">
        <v>109937</v>
      </c>
    </row>
    <row r="421" spans="1:10" x14ac:dyDescent="0.25">
      <c r="A421" s="4"/>
      <c r="B421" s="198"/>
      <c r="D421" s="199"/>
      <c r="E421" s="41">
        <v>10010060</v>
      </c>
      <c r="F421" s="42">
        <v>3200</v>
      </c>
      <c r="H421" s="199"/>
      <c r="I421" s="71">
        <v>10030071</v>
      </c>
      <c r="J421" s="68">
        <v>67064.274422470655</v>
      </c>
    </row>
    <row r="422" spans="1:10" x14ac:dyDescent="0.25">
      <c r="A422" s="4"/>
      <c r="B422" s="198"/>
      <c r="D422" s="201"/>
      <c r="E422" s="41">
        <v>10010076</v>
      </c>
      <c r="F422" s="42">
        <v>16599</v>
      </c>
      <c r="H422" s="199"/>
      <c r="I422" s="71">
        <v>10010103</v>
      </c>
      <c r="J422" s="68">
        <v>67263.302171239324</v>
      </c>
    </row>
    <row r="423" spans="1:10" x14ac:dyDescent="0.25">
      <c r="A423" s="4"/>
      <c r="B423" s="198"/>
      <c r="D423" s="199"/>
      <c r="E423" s="71">
        <v>10100004</v>
      </c>
      <c r="F423" s="42">
        <v>6400</v>
      </c>
      <c r="H423" s="199"/>
      <c r="I423" s="71">
        <v>10530035</v>
      </c>
      <c r="J423" s="68">
        <v>42630.840987865638</v>
      </c>
    </row>
    <row r="424" spans="1:10" x14ac:dyDescent="0.25">
      <c r="A424" s="4"/>
      <c r="B424" s="198"/>
      <c r="D424" s="199"/>
      <c r="E424" s="71">
        <v>10010055</v>
      </c>
      <c r="F424" s="42">
        <v>6400</v>
      </c>
      <c r="H424" s="199"/>
      <c r="I424" s="71">
        <v>10110118</v>
      </c>
      <c r="J424" s="68">
        <v>56613.591316453523</v>
      </c>
    </row>
    <row r="425" spans="1:10" x14ac:dyDescent="0.25">
      <c r="A425" s="4"/>
      <c r="B425" s="198"/>
      <c r="D425" s="199"/>
      <c r="E425" s="71">
        <v>10010097</v>
      </c>
      <c r="F425" s="42">
        <v>1290.9666000000007</v>
      </c>
      <c r="H425" s="199"/>
      <c r="I425" s="71">
        <v>10110119</v>
      </c>
      <c r="J425" s="68">
        <v>77402</v>
      </c>
    </row>
    <row r="426" spans="1:10" x14ac:dyDescent="0.25">
      <c r="A426" s="4"/>
      <c r="B426" s="198"/>
      <c r="D426" s="199"/>
      <c r="E426" s="71">
        <v>10010096</v>
      </c>
      <c r="F426" s="42">
        <v>6400</v>
      </c>
      <c r="H426" s="199"/>
      <c r="I426" s="71">
        <v>10110120</v>
      </c>
      <c r="J426" s="68">
        <v>51492.993321680988</v>
      </c>
    </row>
    <row r="427" spans="1:10" x14ac:dyDescent="0.25">
      <c r="A427" s="4"/>
      <c r="B427" s="198"/>
      <c r="D427" s="199"/>
      <c r="E427" s="71">
        <v>10480001</v>
      </c>
      <c r="F427" s="42">
        <v>24802</v>
      </c>
      <c r="H427" s="199"/>
      <c r="I427" s="71">
        <v>10110121</v>
      </c>
      <c r="J427" s="68">
        <v>75654</v>
      </c>
    </row>
    <row r="428" spans="1:10" x14ac:dyDescent="0.25">
      <c r="A428" s="4"/>
      <c r="B428" s="198"/>
      <c r="D428" s="201"/>
      <c r="E428" s="71">
        <v>10140148</v>
      </c>
      <c r="F428" s="42">
        <v>6400</v>
      </c>
      <c r="H428" s="199"/>
      <c r="I428" s="71">
        <v>10110123</v>
      </c>
      <c r="J428" s="68">
        <v>55872.329745475232</v>
      </c>
    </row>
    <row r="429" spans="1:10" x14ac:dyDescent="0.25">
      <c r="A429" s="4"/>
      <c r="B429" s="198"/>
      <c r="D429" s="201"/>
      <c r="E429" s="71">
        <v>10020068</v>
      </c>
      <c r="F429" s="42">
        <v>9080.5223999999998</v>
      </c>
      <c r="H429" s="199"/>
      <c r="I429" s="71">
        <v>10110124</v>
      </c>
      <c r="J429" s="68">
        <v>64917.959104465597</v>
      </c>
    </row>
    <row r="430" spans="1:10" x14ac:dyDescent="0.25">
      <c r="A430" s="4"/>
      <c r="B430" s="198"/>
      <c r="D430" s="201"/>
      <c r="E430" s="71">
        <v>10130048</v>
      </c>
      <c r="F430" s="42">
        <v>16000</v>
      </c>
      <c r="H430" s="199"/>
      <c r="I430" s="71">
        <v>10080088</v>
      </c>
      <c r="J430" s="68">
        <v>37880.84715093534</v>
      </c>
    </row>
    <row r="431" spans="1:10" x14ac:dyDescent="0.25">
      <c r="A431" s="4"/>
      <c r="B431" s="198"/>
      <c r="D431" s="201"/>
      <c r="E431" s="71">
        <v>10110128</v>
      </c>
      <c r="F431" s="42">
        <v>6096.7984000000006</v>
      </c>
      <c r="H431" s="199"/>
      <c r="I431" s="71">
        <v>10530032</v>
      </c>
      <c r="J431" s="68">
        <v>54159.83600617067</v>
      </c>
    </row>
    <row r="432" spans="1:10" x14ac:dyDescent="0.25">
      <c r="A432" s="4"/>
      <c r="B432" s="198"/>
      <c r="D432" s="201"/>
      <c r="E432" s="236">
        <v>10530032</v>
      </c>
      <c r="F432" s="42">
        <v>10700</v>
      </c>
      <c r="H432" s="199"/>
      <c r="I432" s="71">
        <v>10530033</v>
      </c>
      <c r="J432" s="68">
        <v>48940.519870912147</v>
      </c>
    </row>
    <row r="433" spans="1:10" x14ac:dyDescent="0.25">
      <c r="A433" s="4"/>
      <c r="B433" s="198"/>
      <c r="D433" s="201"/>
      <c r="E433" s="236">
        <v>10110131</v>
      </c>
      <c r="F433" s="42">
        <v>12800</v>
      </c>
      <c r="H433" s="199"/>
      <c r="I433" s="71">
        <v>10530034</v>
      </c>
      <c r="J433" s="68">
        <v>13939.251098152003</v>
      </c>
    </row>
    <row r="434" spans="1:10" x14ac:dyDescent="0.25">
      <c r="A434" s="4"/>
      <c r="B434" s="198"/>
      <c r="D434" s="201"/>
      <c r="E434" s="71">
        <v>10110117</v>
      </c>
      <c r="F434" s="42">
        <v>12800</v>
      </c>
      <c r="H434" s="199"/>
      <c r="I434" s="71">
        <v>10060098</v>
      </c>
      <c r="J434" s="68">
        <v>45073.477038662721</v>
      </c>
    </row>
    <row r="435" spans="1:10" x14ac:dyDescent="0.25">
      <c r="A435" s="4"/>
      <c r="B435" s="198"/>
      <c r="D435" s="201"/>
      <c r="E435" s="71">
        <v>10110123</v>
      </c>
      <c r="F435" s="42">
        <v>12800</v>
      </c>
      <c r="H435" s="199"/>
      <c r="I435" s="71">
        <v>10060100</v>
      </c>
      <c r="J435" s="68">
        <v>83799.375502114155</v>
      </c>
    </row>
    <row r="436" spans="1:10" x14ac:dyDescent="0.25">
      <c r="A436" s="4"/>
      <c r="B436" s="198"/>
      <c r="D436" s="201"/>
      <c r="E436" s="236">
        <v>10130096</v>
      </c>
      <c r="F436" s="42">
        <v>6400</v>
      </c>
      <c r="H436" s="199"/>
      <c r="I436" s="71">
        <v>10090063</v>
      </c>
      <c r="J436" s="68">
        <v>74607</v>
      </c>
    </row>
    <row r="437" spans="1:10" x14ac:dyDescent="0.25">
      <c r="A437" s="4"/>
      <c r="B437" s="198"/>
      <c r="D437" s="203"/>
      <c r="E437" s="41">
        <v>10530034</v>
      </c>
      <c r="F437" s="42">
        <v>12800</v>
      </c>
      <c r="H437" s="199"/>
      <c r="I437" s="71">
        <v>10060093</v>
      </c>
      <c r="J437" s="68">
        <v>95425</v>
      </c>
    </row>
    <row r="438" spans="1:10" x14ac:dyDescent="0.25">
      <c r="A438" s="4"/>
      <c r="B438" s="198"/>
      <c r="D438" s="203"/>
      <c r="E438" s="41">
        <v>10530033</v>
      </c>
      <c r="F438" s="42">
        <v>10700</v>
      </c>
      <c r="H438" s="199"/>
      <c r="I438" s="71">
        <v>10030070</v>
      </c>
      <c r="J438" s="68">
        <v>56042.790524901298</v>
      </c>
    </row>
    <row r="439" spans="1:10" x14ac:dyDescent="0.25">
      <c r="A439" s="4"/>
      <c r="B439" s="198"/>
      <c r="D439" s="201"/>
      <c r="E439" s="41">
        <v>10130090</v>
      </c>
      <c r="F439" s="42">
        <v>6400</v>
      </c>
      <c r="H439" s="199"/>
      <c r="I439" s="71">
        <v>10010099</v>
      </c>
      <c r="J439" s="68">
        <v>71985</v>
      </c>
    </row>
    <row r="440" spans="1:10" x14ac:dyDescent="0.25">
      <c r="A440" s="4"/>
      <c r="B440" s="198"/>
      <c r="D440" s="201"/>
      <c r="E440" s="41">
        <v>10130095</v>
      </c>
      <c r="F440" s="42">
        <v>8550</v>
      </c>
      <c r="H440" s="199"/>
      <c r="I440" s="71">
        <v>10080087</v>
      </c>
      <c r="J440" s="68">
        <v>74177</v>
      </c>
    </row>
    <row r="441" spans="1:10" x14ac:dyDescent="0.25">
      <c r="A441" s="4"/>
      <c r="B441" s="198"/>
      <c r="D441" s="203"/>
      <c r="E441" s="41">
        <v>10120098</v>
      </c>
      <c r="F441" s="42">
        <v>6400</v>
      </c>
      <c r="H441" s="199"/>
      <c r="I441" s="71">
        <v>10530040</v>
      </c>
      <c r="J441" s="68">
        <v>37540.582792141824</v>
      </c>
    </row>
    <row r="442" spans="1:10" x14ac:dyDescent="0.25">
      <c r="A442" s="4"/>
      <c r="B442" s="198"/>
      <c r="D442" s="199"/>
      <c r="E442" s="41">
        <v>10110056</v>
      </c>
      <c r="F442" s="42">
        <v>6400</v>
      </c>
      <c r="H442" s="199"/>
      <c r="I442" s="71">
        <v>10110127</v>
      </c>
      <c r="J442" s="68">
        <v>78025.835399999996</v>
      </c>
    </row>
    <row r="443" spans="1:10" x14ac:dyDescent="0.25">
      <c r="A443" s="4"/>
      <c r="B443" s="198"/>
      <c r="D443" s="199"/>
      <c r="E443" s="41">
        <v>10110073</v>
      </c>
      <c r="F443" s="42">
        <v>5197</v>
      </c>
      <c r="H443" s="199"/>
      <c r="I443" s="71">
        <v>10110128</v>
      </c>
      <c r="J443" s="68">
        <v>64128.762090341595</v>
      </c>
    </row>
    <row r="444" spans="1:10" x14ac:dyDescent="0.25">
      <c r="A444" s="4"/>
      <c r="B444" s="198"/>
      <c r="D444" s="199"/>
      <c r="E444" s="71">
        <v>10110059</v>
      </c>
      <c r="F444" s="42">
        <v>6400</v>
      </c>
      <c r="H444" s="199"/>
      <c r="I444" s="71">
        <v>10070057</v>
      </c>
      <c r="J444" s="68">
        <v>83286</v>
      </c>
    </row>
    <row r="445" spans="1:10" x14ac:dyDescent="0.25">
      <c r="A445" s="4"/>
      <c r="B445" s="198"/>
      <c r="D445" s="199"/>
      <c r="E445" s="71">
        <v>10110081</v>
      </c>
      <c r="F445" s="42">
        <v>6400</v>
      </c>
      <c r="H445" s="199"/>
      <c r="I445" s="71">
        <v>10080086</v>
      </c>
      <c r="J445" s="68">
        <v>66910.489150940324</v>
      </c>
    </row>
    <row r="446" spans="1:10" x14ac:dyDescent="0.25">
      <c r="A446" s="4"/>
      <c r="B446" s="198"/>
      <c r="D446" s="199"/>
      <c r="E446" s="71">
        <v>10110104</v>
      </c>
      <c r="F446" s="42">
        <v>12800</v>
      </c>
      <c r="H446" s="199"/>
      <c r="I446" s="71">
        <v>10110110</v>
      </c>
      <c r="J446" s="68">
        <v>67133</v>
      </c>
    </row>
    <row r="447" spans="1:10" x14ac:dyDescent="0.25">
      <c r="A447" s="4"/>
      <c r="B447" s="198"/>
      <c r="D447" s="199"/>
      <c r="E447" s="71">
        <v>10110101</v>
      </c>
      <c r="F447" s="42">
        <v>12800</v>
      </c>
      <c r="H447" s="199"/>
      <c r="I447" s="71">
        <v>10110111</v>
      </c>
      <c r="J447" s="68">
        <v>64647.271935704208</v>
      </c>
    </row>
    <row r="448" spans="1:10" x14ac:dyDescent="0.25">
      <c r="A448" s="4"/>
      <c r="B448" s="198"/>
      <c r="D448" s="199"/>
      <c r="E448" s="71">
        <v>10110098</v>
      </c>
      <c r="F448" s="42">
        <v>12800</v>
      </c>
      <c r="H448" s="199"/>
      <c r="I448" s="71">
        <v>10110112</v>
      </c>
      <c r="J448" s="68">
        <v>91125</v>
      </c>
    </row>
    <row r="449" spans="1:10" x14ac:dyDescent="0.25">
      <c r="A449" s="4"/>
      <c r="B449" s="198"/>
      <c r="D449" s="201"/>
      <c r="E449" s="71">
        <v>10110097</v>
      </c>
      <c r="F449" s="42">
        <v>12800</v>
      </c>
      <c r="H449" s="199"/>
      <c r="I449" s="71">
        <v>10110113</v>
      </c>
      <c r="J449" s="68">
        <v>97811.78330171296</v>
      </c>
    </row>
    <row r="450" spans="1:10" x14ac:dyDescent="0.25">
      <c r="A450" s="4"/>
      <c r="B450" s="198"/>
      <c r="D450" s="201"/>
      <c r="E450" s="71">
        <v>10140191</v>
      </c>
      <c r="F450" s="42">
        <v>2800</v>
      </c>
      <c r="H450" s="199"/>
      <c r="I450" s="71">
        <v>10110114</v>
      </c>
      <c r="J450" s="68">
        <v>77120.71160000001</v>
      </c>
    </row>
    <row r="451" spans="1:10" x14ac:dyDescent="0.25">
      <c r="A451" s="4"/>
      <c r="B451" s="198"/>
      <c r="D451" s="201"/>
      <c r="E451" s="237">
        <v>10110099</v>
      </c>
      <c r="F451" s="42">
        <v>12800</v>
      </c>
      <c r="H451" s="199"/>
      <c r="I451" s="71">
        <v>10110116</v>
      </c>
      <c r="J451" s="68">
        <v>67384.6059190776</v>
      </c>
    </row>
    <row r="452" spans="1:10" x14ac:dyDescent="0.25">
      <c r="A452" s="4"/>
      <c r="B452" s="198"/>
      <c r="D452" s="201"/>
      <c r="E452" s="237">
        <v>10080074</v>
      </c>
      <c r="F452" s="42">
        <v>6400</v>
      </c>
      <c r="H452" s="199"/>
      <c r="I452" s="71">
        <v>10110117</v>
      </c>
      <c r="J452" s="68">
        <v>109967</v>
      </c>
    </row>
    <row r="453" spans="1:10" x14ac:dyDescent="0.25">
      <c r="A453" s="4"/>
      <c r="B453" s="198"/>
      <c r="D453" s="201"/>
      <c r="E453" s="71">
        <v>10080086</v>
      </c>
      <c r="F453" s="42">
        <v>12800</v>
      </c>
      <c r="H453" s="199"/>
      <c r="I453" s="71">
        <v>10140155</v>
      </c>
      <c r="J453" s="68">
        <v>72296.462751253755</v>
      </c>
    </row>
    <row r="454" spans="1:10" x14ac:dyDescent="0.25">
      <c r="A454" s="4"/>
      <c r="B454" s="198"/>
      <c r="D454" s="201"/>
      <c r="E454" s="71">
        <v>10080071</v>
      </c>
      <c r="F454" s="42">
        <v>6400</v>
      </c>
      <c r="H454" s="199"/>
      <c r="I454" s="71">
        <v>10010094</v>
      </c>
      <c r="J454" s="68">
        <v>101111</v>
      </c>
    </row>
    <row r="455" spans="1:10" x14ac:dyDescent="0.25">
      <c r="A455" s="4"/>
      <c r="B455" s="198"/>
      <c r="D455" s="201"/>
      <c r="E455" s="71">
        <v>10100045</v>
      </c>
      <c r="F455" s="42">
        <v>9304.5715999999993</v>
      </c>
      <c r="H455" s="199"/>
      <c r="I455" s="71">
        <v>10010095</v>
      </c>
      <c r="J455" s="68">
        <v>74949</v>
      </c>
    </row>
    <row r="456" spans="1:10" x14ac:dyDescent="0.25">
      <c r="A456" s="4"/>
      <c r="B456" s="198"/>
      <c r="D456" s="207"/>
      <c r="E456" s="71">
        <v>10100014</v>
      </c>
      <c r="F456" s="42">
        <v>17788</v>
      </c>
      <c r="H456" s="199"/>
      <c r="I456" s="71">
        <v>10010097</v>
      </c>
      <c r="J456" s="68">
        <v>53294.032769590398</v>
      </c>
    </row>
    <row r="457" spans="1:10" x14ac:dyDescent="0.25">
      <c r="A457" s="4"/>
      <c r="B457" s="198"/>
      <c r="D457" s="207"/>
      <c r="E457" s="71">
        <v>10100024</v>
      </c>
      <c r="F457" s="42">
        <v>6400</v>
      </c>
      <c r="H457" s="199"/>
      <c r="I457" s="71">
        <v>10010098</v>
      </c>
      <c r="J457" s="68">
        <v>65590.140199999994</v>
      </c>
    </row>
    <row r="458" spans="1:10" x14ac:dyDescent="0.25">
      <c r="A458" s="4"/>
      <c r="B458" s="198"/>
      <c r="D458" s="208"/>
      <c r="E458" s="71">
        <v>10070045</v>
      </c>
      <c r="F458" s="42">
        <v>21062.8194</v>
      </c>
      <c r="H458" s="199"/>
      <c r="I458" s="71">
        <v>10060073</v>
      </c>
      <c r="J458" s="68">
        <v>80895</v>
      </c>
    </row>
    <row r="459" spans="1:10" x14ac:dyDescent="0.25">
      <c r="A459" s="4"/>
      <c r="B459" s="198"/>
      <c r="D459" s="208"/>
      <c r="E459" s="71">
        <v>10120100</v>
      </c>
      <c r="F459" s="42">
        <v>3200</v>
      </c>
      <c r="H459" s="199"/>
      <c r="I459" s="71">
        <v>10060074</v>
      </c>
      <c r="J459" s="68">
        <v>75679.654401205364</v>
      </c>
    </row>
    <row r="460" spans="1:10" x14ac:dyDescent="0.25">
      <c r="A460" s="4"/>
      <c r="B460" s="198"/>
      <c r="D460" s="208"/>
      <c r="E460" s="71">
        <v>10120101</v>
      </c>
      <c r="F460" s="42">
        <v>6400</v>
      </c>
      <c r="H460" s="199"/>
      <c r="I460" s="71">
        <v>10120089</v>
      </c>
      <c r="J460" s="68">
        <v>67045.658397648163</v>
      </c>
    </row>
    <row r="461" spans="1:10" x14ac:dyDescent="0.25">
      <c r="A461" s="4"/>
      <c r="B461" s="198"/>
      <c r="D461" s="208"/>
      <c r="E461" s="71">
        <v>10070050</v>
      </c>
      <c r="F461" s="42">
        <v>6400</v>
      </c>
      <c r="H461" s="199"/>
      <c r="I461" s="71">
        <v>10060076</v>
      </c>
      <c r="J461" s="68">
        <v>55391.838494397765</v>
      </c>
    </row>
    <row r="462" spans="1:10" x14ac:dyDescent="0.25">
      <c r="A462" s="4"/>
      <c r="B462" s="198"/>
      <c r="D462" s="208"/>
      <c r="E462" s="71">
        <v>10480025</v>
      </c>
      <c r="F462" s="42">
        <v>6400</v>
      </c>
      <c r="H462" s="199"/>
      <c r="I462" s="71">
        <v>10140160</v>
      </c>
      <c r="J462" s="68">
        <v>79358.759263393134</v>
      </c>
    </row>
    <row r="463" spans="1:10" x14ac:dyDescent="0.25">
      <c r="A463" s="4"/>
      <c r="B463" s="198"/>
      <c r="D463" s="208"/>
      <c r="E463" s="71">
        <v>10480019</v>
      </c>
      <c r="F463" s="42">
        <v>6400</v>
      </c>
      <c r="H463" s="199"/>
      <c r="I463" s="71">
        <v>10530007</v>
      </c>
      <c r="J463" s="68">
        <v>61251.577151588266</v>
      </c>
    </row>
    <row r="464" spans="1:10" x14ac:dyDescent="0.25">
      <c r="A464" s="4"/>
      <c r="B464" s="198"/>
      <c r="D464" s="208"/>
      <c r="E464" s="71">
        <v>10110078</v>
      </c>
      <c r="F464" s="42">
        <v>13072.128265076841</v>
      </c>
      <c r="H464" s="199"/>
      <c r="I464" s="71">
        <v>10530008</v>
      </c>
      <c r="J464" s="68">
        <v>66107.257347303326</v>
      </c>
    </row>
    <row r="465" spans="1:10" x14ac:dyDescent="0.25">
      <c r="A465" s="4"/>
      <c r="B465" s="198"/>
      <c r="D465" s="208"/>
      <c r="E465" s="71">
        <v>10480020</v>
      </c>
      <c r="F465" s="42">
        <v>6400</v>
      </c>
      <c r="H465" s="199"/>
      <c r="I465" s="71">
        <v>10530001</v>
      </c>
      <c r="J465" s="68">
        <v>43017.687229891104</v>
      </c>
    </row>
    <row r="466" spans="1:10" x14ac:dyDescent="0.25">
      <c r="A466" s="4"/>
      <c r="B466" s="198"/>
      <c r="D466" s="208"/>
      <c r="E466" s="71">
        <v>10480024</v>
      </c>
      <c r="F466" s="42">
        <v>6400</v>
      </c>
      <c r="H466" s="199"/>
      <c r="I466" s="71">
        <v>10530002</v>
      </c>
      <c r="J466" s="68">
        <v>25817.484854811162</v>
      </c>
    </row>
    <row r="467" spans="1:10" x14ac:dyDescent="0.25">
      <c r="A467" s="4"/>
      <c r="B467" s="198"/>
      <c r="D467" s="208"/>
      <c r="E467" s="71">
        <v>10110066</v>
      </c>
      <c r="F467" s="42">
        <v>6400</v>
      </c>
      <c r="H467" s="199"/>
      <c r="I467" s="71">
        <v>10530003</v>
      </c>
      <c r="J467" s="68">
        <v>23141.551383928614</v>
      </c>
    </row>
    <row r="468" spans="1:10" x14ac:dyDescent="0.25">
      <c r="A468" s="4"/>
      <c r="B468" s="198"/>
      <c r="D468" s="208"/>
      <c r="E468" s="71">
        <v>10110065</v>
      </c>
      <c r="F468" s="42">
        <v>6400</v>
      </c>
      <c r="H468" s="199"/>
      <c r="I468" s="71">
        <v>10530004</v>
      </c>
      <c r="J468" s="68">
        <v>84639</v>
      </c>
    </row>
    <row r="469" spans="1:10" x14ac:dyDescent="0.25">
      <c r="A469" s="4"/>
      <c r="B469" s="198"/>
      <c r="D469" s="208"/>
      <c r="E469" s="71">
        <v>10110069</v>
      </c>
      <c r="F469" s="42">
        <v>6400</v>
      </c>
      <c r="H469" s="199"/>
      <c r="I469" s="71">
        <v>10530005</v>
      </c>
      <c r="J469" s="68">
        <v>57740.628753038036</v>
      </c>
    </row>
    <row r="470" spans="1:10" x14ac:dyDescent="0.25">
      <c r="A470" s="4"/>
      <c r="B470" s="198"/>
      <c r="D470" s="208"/>
      <c r="E470" s="71">
        <v>10110030</v>
      </c>
      <c r="F470" s="42">
        <v>6400</v>
      </c>
      <c r="H470" s="199"/>
      <c r="I470" s="71">
        <v>10530006</v>
      </c>
      <c r="J470" s="68">
        <v>37197.311179297365</v>
      </c>
    </row>
    <row r="471" spans="1:10" x14ac:dyDescent="0.25">
      <c r="A471" s="4"/>
      <c r="B471" s="198"/>
      <c r="D471" s="208"/>
      <c r="E471" s="71">
        <v>10110062</v>
      </c>
      <c r="F471" s="42">
        <v>6400</v>
      </c>
      <c r="H471" s="199"/>
      <c r="I471" s="71">
        <v>10060077</v>
      </c>
      <c r="J471" s="68">
        <v>36051.399116580811</v>
      </c>
    </row>
    <row r="472" spans="1:10" x14ac:dyDescent="0.25">
      <c r="A472" s="4"/>
      <c r="B472" s="198"/>
      <c r="D472" s="208"/>
      <c r="E472" s="71">
        <v>10070030</v>
      </c>
      <c r="F472" s="42">
        <v>19200</v>
      </c>
      <c r="H472" s="199"/>
      <c r="I472" s="71">
        <v>10120094</v>
      </c>
      <c r="J472" s="68">
        <v>43490.679150546101</v>
      </c>
    </row>
    <row r="473" spans="1:10" x14ac:dyDescent="0.25">
      <c r="A473" s="4"/>
      <c r="B473" s="198"/>
      <c r="D473" s="208"/>
      <c r="E473" s="71">
        <v>10070004</v>
      </c>
      <c r="F473" s="42">
        <v>13625.346799999999</v>
      </c>
      <c r="H473" s="199"/>
      <c r="I473" s="71">
        <v>10130090</v>
      </c>
      <c r="J473" s="68">
        <v>94905</v>
      </c>
    </row>
    <row r="474" spans="1:10" x14ac:dyDescent="0.25">
      <c r="A474" s="4"/>
      <c r="B474" s="198"/>
      <c r="D474" s="208"/>
      <c r="E474" s="71">
        <v>10100013</v>
      </c>
      <c r="F474" s="42">
        <v>3200</v>
      </c>
      <c r="H474" s="199"/>
      <c r="I474" s="71">
        <v>10130091</v>
      </c>
      <c r="J474" s="68">
        <v>55701.555585416907</v>
      </c>
    </row>
    <row r="475" spans="1:10" x14ac:dyDescent="0.25">
      <c r="A475" s="4"/>
      <c r="B475" s="198"/>
      <c r="D475" s="208"/>
      <c r="E475" s="71">
        <v>10100008</v>
      </c>
      <c r="F475" s="42">
        <v>12800</v>
      </c>
      <c r="H475" s="199"/>
      <c r="I475" s="71">
        <v>10070052</v>
      </c>
      <c r="J475" s="68">
        <v>99177</v>
      </c>
    </row>
    <row r="476" spans="1:10" x14ac:dyDescent="0.25">
      <c r="A476" s="4"/>
      <c r="B476" s="198"/>
      <c r="D476" s="208"/>
      <c r="E476" s="71">
        <v>10100018</v>
      </c>
      <c r="F476" s="42">
        <v>6400</v>
      </c>
      <c r="H476" s="199"/>
      <c r="I476" s="71">
        <v>10120095</v>
      </c>
      <c r="J476" s="68">
        <v>72493</v>
      </c>
    </row>
    <row r="477" spans="1:10" x14ac:dyDescent="0.25">
      <c r="D477" s="208"/>
      <c r="E477" s="71">
        <v>10100034</v>
      </c>
      <c r="F477" s="42">
        <v>19200</v>
      </c>
      <c r="H477" s="199"/>
      <c r="I477" s="71">
        <v>10100054</v>
      </c>
      <c r="J477" s="68">
        <v>65370.279803818499</v>
      </c>
    </row>
    <row r="478" spans="1:10" x14ac:dyDescent="0.25">
      <c r="D478" s="208"/>
      <c r="E478" s="71">
        <v>10100010</v>
      </c>
      <c r="F478" s="42">
        <v>6400</v>
      </c>
      <c r="H478" s="199"/>
      <c r="I478" s="71">
        <v>10100060</v>
      </c>
      <c r="J478" s="68">
        <v>59025.944661673871</v>
      </c>
    </row>
    <row r="479" spans="1:10" x14ac:dyDescent="0.25">
      <c r="D479" s="208"/>
      <c r="E479" s="71">
        <v>10110148</v>
      </c>
      <c r="F479" s="42">
        <v>10765</v>
      </c>
      <c r="H479" s="199"/>
      <c r="I479" s="71">
        <v>10480023</v>
      </c>
      <c r="J479" s="68">
        <v>48938.636370760949</v>
      </c>
    </row>
    <row r="480" spans="1:10" x14ac:dyDescent="0.25">
      <c r="D480" s="208"/>
      <c r="E480" s="71">
        <v>10110140</v>
      </c>
      <c r="F480" s="42">
        <v>9600</v>
      </c>
      <c r="H480" s="199"/>
      <c r="I480" s="71">
        <v>10100056</v>
      </c>
      <c r="J480" s="68">
        <v>81294.442225839361</v>
      </c>
    </row>
    <row r="481" spans="4:10" x14ac:dyDescent="0.25">
      <c r="D481" s="208"/>
      <c r="E481" s="71">
        <v>10110149</v>
      </c>
      <c r="F481" s="42">
        <v>9600</v>
      </c>
      <c r="H481" s="199"/>
      <c r="I481" s="71">
        <v>10120091</v>
      </c>
      <c r="J481" s="68">
        <v>61719.046870640646</v>
      </c>
    </row>
    <row r="482" spans="4:10" x14ac:dyDescent="0.25">
      <c r="D482" s="208"/>
      <c r="E482" s="71">
        <v>10110143</v>
      </c>
      <c r="F482" s="42">
        <v>19200</v>
      </c>
      <c r="H482" s="199"/>
      <c r="I482" s="71">
        <v>10140170</v>
      </c>
      <c r="J482" s="68">
        <v>72719.671489550383</v>
      </c>
    </row>
    <row r="483" spans="4:10" x14ac:dyDescent="0.25">
      <c r="D483" s="208"/>
      <c r="E483" s="71">
        <v>10110144</v>
      </c>
      <c r="F483" s="42">
        <v>8799.2216000000008</v>
      </c>
      <c r="H483" s="199"/>
      <c r="I483" s="71">
        <v>10010089</v>
      </c>
      <c r="J483" s="68">
        <v>76509.046799999996</v>
      </c>
    </row>
    <row r="484" spans="4:10" x14ac:dyDescent="0.25">
      <c r="D484" s="208"/>
      <c r="E484" s="71">
        <v>10110141</v>
      </c>
      <c r="F484" s="42">
        <v>15057.386200000001</v>
      </c>
      <c r="H484" s="199"/>
      <c r="I484" s="71">
        <v>10010088</v>
      </c>
      <c r="J484" s="68">
        <v>90000</v>
      </c>
    </row>
    <row r="485" spans="4:10" x14ac:dyDescent="0.25">
      <c r="D485" s="208"/>
      <c r="E485" s="71">
        <v>10110142</v>
      </c>
      <c r="F485" s="42">
        <v>12800</v>
      </c>
      <c r="H485" s="199"/>
      <c r="I485" s="71">
        <v>10010113</v>
      </c>
      <c r="J485" s="68">
        <v>83878.194554151996</v>
      </c>
    </row>
    <row r="486" spans="4:10" x14ac:dyDescent="0.25">
      <c r="D486" s="208"/>
      <c r="E486" s="71">
        <v>10540005</v>
      </c>
      <c r="F486" s="42">
        <v>12132</v>
      </c>
      <c r="H486" s="199"/>
      <c r="I486" s="71">
        <v>10130085</v>
      </c>
      <c r="J486" s="68">
        <v>63386.147718643231</v>
      </c>
    </row>
    <row r="487" spans="4:10" x14ac:dyDescent="0.25">
      <c r="D487" s="208"/>
      <c r="E487" s="71">
        <v>10540009</v>
      </c>
      <c r="F487" s="42">
        <v>23784</v>
      </c>
      <c r="H487" s="199"/>
      <c r="I487" s="71">
        <v>10140148</v>
      </c>
      <c r="J487" s="68">
        <v>90371</v>
      </c>
    </row>
    <row r="488" spans="4:10" x14ac:dyDescent="0.25">
      <c r="D488" s="208"/>
      <c r="E488" s="71">
        <v>10540008</v>
      </c>
      <c r="F488" s="42">
        <v>6051</v>
      </c>
      <c r="H488" s="199"/>
      <c r="I488" s="71">
        <v>10140150</v>
      </c>
      <c r="J488" s="68">
        <v>84928</v>
      </c>
    </row>
    <row r="489" spans="4:10" x14ac:dyDescent="0.25">
      <c r="D489" s="208"/>
      <c r="E489" s="71">
        <v>10540007</v>
      </c>
      <c r="F489" s="42">
        <v>6400</v>
      </c>
      <c r="H489" s="199"/>
      <c r="I489" s="71">
        <v>10140151</v>
      </c>
      <c r="J489" s="68">
        <v>84522</v>
      </c>
    </row>
    <row r="490" spans="4:10" x14ac:dyDescent="0.25">
      <c r="D490" s="208"/>
      <c r="E490" s="71">
        <v>10110127</v>
      </c>
      <c r="F490" s="42">
        <v>12800</v>
      </c>
      <c r="H490" s="199"/>
      <c r="I490" s="71">
        <v>10120090</v>
      </c>
      <c r="J490" s="68">
        <v>89834</v>
      </c>
    </row>
    <row r="491" spans="4:10" x14ac:dyDescent="0.25">
      <c r="D491" s="208"/>
      <c r="E491" s="71">
        <v>10110129</v>
      </c>
      <c r="F491" s="42">
        <v>9862.2540000000008</v>
      </c>
      <c r="H491" s="199"/>
      <c r="I491" s="71">
        <v>10130077</v>
      </c>
      <c r="J491" s="68">
        <v>74686</v>
      </c>
    </row>
    <row r="492" spans="4:10" x14ac:dyDescent="0.25">
      <c r="D492" s="208"/>
      <c r="E492" s="71">
        <v>10110112</v>
      </c>
      <c r="F492" s="42">
        <v>6400</v>
      </c>
      <c r="H492" s="199"/>
      <c r="I492" s="71">
        <v>10130079</v>
      </c>
      <c r="J492" s="68">
        <v>86009.800232053312</v>
      </c>
    </row>
    <row r="493" spans="4:10" x14ac:dyDescent="0.25">
      <c r="D493" s="208"/>
      <c r="E493" s="71">
        <v>10110133</v>
      </c>
      <c r="F493" s="42">
        <v>26735.537</v>
      </c>
      <c r="H493" s="199"/>
      <c r="I493" s="71">
        <v>10080079</v>
      </c>
      <c r="J493" s="68">
        <v>70278</v>
      </c>
    </row>
    <row r="494" spans="4:10" x14ac:dyDescent="0.25">
      <c r="D494" s="208"/>
      <c r="E494" s="71">
        <v>10540003</v>
      </c>
      <c r="F494" s="42">
        <v>22332.872200000002</v>
      </c>
      <c r="H494" s="199"/>
      <c r="I494" s="71">
        <v>10140145</v>
      </c>
      <c r="J494" s="68">
        <v>91153.866907052114</v>
      </c>
    </row>
    <row r="495" spans="4:10" x14ac:dyDescent="0.25">
      <c r="D495" s="208"/>
      <c r="E495" s="71">
        <v>10110120</v>
      </c>
      <c r="F495" s="42">
        <v>14699</v>
      </c>
      <c r="H495" s="199"/>
      <c r="I495" s="71">
        <v>10140146</v>
      </c>
      <c r="J495" s="68">
        <v>99136</v>
      </c>
    </row>
    <row r="496" spans="4:10" x14ac:dyDescent="0.25">
      <c r="D496" s="208"/>
      <c r="E496" s="71">
        <v>10540021</v>
      </c>
      <c r="F496" s="42">
        <v>1931.0990000000002</v>
      </c>
      <c r="H496" s="199"/>
      <c r="I496" s="71">
        <v>10140152</v>
      </c>
      <c r="J496" s="68">
        <v>80223</v>
      </c>
    </row>
    <row r="497" spans="4:10" x14ac:dyDescent="0.25">
      <c r="D497" s="208"/>
      <c r="E497" s="71">
        <v>10540020</v>
      </c>
      <c r="F497" s="42">
        <v>9600</v>
      </c>
      <c r="H497" s="199"/>
      <c r="I497" s="71">
        <v>10140137</v>
      </c>
      <c r="J497" s="68">
        <v>36049.769314641017</v>
      </c>
    </row>
    <row r="498" spans="4:10" x14ac:dyDescent="0.25">
      <c r="D498" s="208"/>
      <c r="E498" s="71">
        <v>10540018</v>
      </c>
      <c r="F498" s="42">
        <v>6400</v>
      </c>
      <c r="H498" s="199"/>
      <c r="I498" s="71">
        <v>10110093</v>
      </c>
      <c r="J498" s="68">
        <v>62474.494871608957</v>
      </c>
    </row>
    <row r="499" spans="4:10" x14ac:dyDescent="0.25">
      <c r="D499" s="208"/>
      <c r="E499" s="71">
        <v>10540017</v>
      </c>
      <c r="F499" s="42">
        <v>10691</v>
      </c>
      <c r="H499" s="199"/>
      <c r="I499" s="71">
        <v>10140159</v>
      </c>
      <c r="J499" s="68">
        <v>57648.339265050068</v>
      </c>
    </row>
    <row r="500" spans="4:10" x14ac:dyDescent="0.25">
      <c r="D500" s="208"/>
      <c r="E500" s="71">
        <v>10540016</v>
      </c>
      <c r="F500" s="42">
        <v>12075</v>
      </c>
      <c r="H500" s="199"/>
      <c r="I500" s="71">
        <v>10110097</v>
      </c>
      <c r="J500" s="68">
        <v>64627.038687220876</v>
      </c>
    </row>
    <row r="501" spans="4:10" x14ac:dyDescent="0.25">
      <c r="D501" s="208"/>
      <c r="E501" s="71">
        <v>10540031</v>
      </c>
      <c r="F501" s="42">
        <v>12800</v>
      </c>
      <c r="H501" s="199"/>
      <c r="I501" s="71">
        <v>10110098</v>
      </c>
      <c r="J501" s="68">
        <v>71994</v>
      </c>
    </row>
    <row r="502" spans="4:10" x14ac:dyDescent="0.25">
      <c r="D502" s="208"/>
      <c r="E502" s="71">
        <v>10540019</v>
      </c>
      <c r="F502" s="42">
        <v>6400</v>
      </c>
      <c r="H502" s="199"/>
      <c r="I502" s="71">
        <v>10110099</v>
      </c>
      <c r="J502" s="68">
        <v>109744</v>
      </c>
    </row>
    <row r="503" spans="4:10" x14ac:dyDescent="0.25">
      <c r="D503" s="208"/>
      <c r="E503" s="71">
        <v>10530065</v>
      </c>
      <c r="F503" s="42">
        <v>12800</v>
      </c>
      <c r="H503" s="199"/>
      <c r="I503" s="71">
        <v>10060090</v>
      </c>
      <c r="J503" s="68">
        <v>68971.534</v>
      </c>
    </row>
    <row r="504" spans="4:10" x14ac:dyDescent="0.25">
      <c r="D504" s="208"/>
      <c r="E504" s="71">
        <v>10530064</v>
      </c>
      <c r="F504" s="42">
        <v>6400</v>
      </c>
      <c r="H504" s="199"/>
      <c r="I504" s="71">
        <v>10110101</v>
      </c>
      <c r="J504" s="68">
        <v>64355.002</v>
      </c>
    </row>
    <row r="505" spans="4:10" x14ac:dyDescent="0.25">
      <c r="D505" s="208"/>
      <c r="E505" s="71">
        <v>10530062</v>
      </c>
      <c r="F505" s="42">
        <v>6400</v>
      </c>
      <c r="H505" s="199"/>
      <c r="I505" s="71">
        <v>10110094</v>
      </c>
      <c r="J505" s="68">
        <v>50902.409223911847</v>
      </c>
    </row>
    <row r="506" spans="4:10" x14ac:dyDescent="0.25">
      <c r="D506" s="208"/>
      <c r="E506" s="71">
        <v>10570001</v>
      </c>
      <c r="F506" s="42">
        <v>6400</v>
      </c>
      <c r="H506" s="199"/>
      <c r="I506" s="71">
        <v>10110095</v>
      </c>
      <c r="J506" s="68">
        <v>62901.648000000001</v>
      </c>
    </row>
    <row r="507" spans="4:10" x14ac:dyDescent="0.25">
      <c r="D507" s="208"/>
      <c r="E507" s="71">
        <v>10570002</v>
      </c>
      <c r="F507" s="42">
        <v>6400</v>
      </c>
      <c r="H507" s="199"/>
      <c r="I507" s="71">
        <v>10030065</v>
      </c>
      <c r="J507" s="68">
        <v>67503</v>
      </c>
    </row>
    <row r="508" spans="4:10" x14ac:dyDescent="0.25">
      <c r="D508" s="208"/>
      <c r="E508" s="71">
        <v>10570003</v>
      </c>
      <c r="F508" s="42">
        <v>6400</v>
      </c>
      <c r="H508" s="199"/>
      <c r="I508" s="71">
        <v>10030066</v>
      </c>
      <c r="J508" s="68">
        <v>30117.493763227903</v>
      </c>
    </row>
    <row r="509" spans="4:10" x14ac:dyDescent="0.25">
      <c r="D509" s="208"/>
      <c r="E509" s="71">
        <v>10570007</v>
      </c>
      <c r="F509" s="42">
        <v>413</v>
      </c>
      <c r="H509" s="199"/>
      <c r="I509" s="71">
        <v>10030067</v>
      </c>
      <c r="J509" s="68">
        <v>81242</v>
      </c>
    </row>
    <row r="510" spans="4:10" x14ac:dyDescent="0.25">
      <c r="D510" s="208"/>
      <c r="E510" s="71">
        <v>10570008</v>
      </c>
      <c r="F510" s="42">
        <v>6400</v>
      </c>
      <c r="H510" s="199"/>
      <c r="I510" s="71">
        <v>10030068</v>
      </c>
      <c r="J510" s="68">
        <v>65240.812780763088</v>
      </c>
    </row>
    <row r="511" spans="4:10" x14ac:dyDescent="0.25">
      <c r="D511" s="208"/>
      <c r="E511" s="71">
        <v>10570009</v>
      </c>
      <c r="F511" s="42">
        <v>6400</v>
      </c>
      <c r="H511" s="199"/>
      <c r="I511" s="71">
        <v>10080077</v>
      </c>
      <c r="J511" s="68">
        <v>61376.489328307907</v>
      </c>
    </row>
    <row r="512" spans="4:10" x14ac:dyDescent="0.25">
      <c r="D512" s="208"/>
      <c r="E512" s="71">
        <v>10570017</v>
      </c>
      <c r="F512" s="42">
        <v>6400</v>
      </c>
      <c r="H512" s="199"/>
      <c r="I512" s="71">
        <v>10060071</v>
      </c>
      <c r="J512" s="68">
        <v>75939</v>
      </c>
    </row>
    <row r="513" spans="4:10" x14ac:dyDescent="0.25">
      <c r="D513" s="208"/>
      <c r="E513" s="71">
        <v>10570018</v>
      </c>
      <c r="F513" s="42">
        <v>6400</v>
      </c>
      <c r="H513" s="199"/>
      <c r="I513" s="71">
        <v>10020070</v>
      </c>
      <c r="J513" s="68">
        <v>36991.755423951559</v>
      </c>
    </row>
    <row r="514" spans="4:10" x14ac:dyDescent="0.25">
      <c r="D514" s="208"/>
      <c r="E514" s="71">
        <v>10570019</v>
      </c>
      <c r="F514" s="42">
        <v>4683</v>
      </c>
      <c r="H514" s="199"/>
      <c r="I514" s="71">
        <v>10010086</v>
      </c>
      <c r="J514" s="68">
        <v>69596</v>
      </c>
    </row>
    <row r="515" spans="4:10" x14ac:dyDescent="0.25">
      <c r="D515" s="208"/>
      <c r="E515" s="71">
        <v>10570020</v>
      </c>
      <c r="F515" s="42">
        <v>6400</v>
      </c>
      <c r="H515" s="199"/>
      <c r="I515" s="71">
        <v>10090056</v>
      </c>
      <c r="J515" s="68">
        <v>53929.21200134977</v>
      </c>
    </row>
    <row r="516" spans="4:10" x14ac:dyDescent="0.25">
      <c r="D516" s="208"/>
      <c r="E516" s="71">
        <v>10570021</v>
      </c>
      <c r="F516" s="42">
        <v>4305.6054000000004</v>
      </c>
      <c r="H516" s="199"/>
      <c r="I516" s="71">
        <v>10140135</v>
      </c>
      <c r="J516" s="68">
        <v>50708.601925478833</v>
      </c>
    </row>
    <row r="517" spans="4:10" x14ac:dyDescent="0.25">
      <c r="D517" s="208"/>
      <c r="E517" s="71">
        <v>10570015</v>
      </c>
      <c r="F517" s="42">
        <v>3013.7457170187754</v>
      </c>
      <c r="H517" s="199"/>
      <c r="I517" s="71">
        <v>10140126</v>
      </c>
      <c r="J517" s="68">
        <v>65439.065571768006</v>
      </c>
    </row>
    <row r="518" spans="4:10" x14ac:dyDescent="0.25">
      <c r="D518" s="208"/>
      <c r="E518" s="71">
        <v>10140171</v>
      </c>
      <c r="F518" s="42">
        <v>6400</v>
      </c>
      <c r="H518" s="199"/>
      <c r="I518" s="71">
        <v>10140129</v>
      </c>
      <c r="J518" s="68">
        <v>46674.719413926781</v>
      </c>
    </row>
    <row r="519" spans="4:10" x14ac:dyDescent="0.25">
      <c r="D519" s="208"/>
      <c r="E519" s="71">
        <v>10140173</v>
      </c>
      <c r="F519" s="42">
        <v>12800</v>
      </c>
      <c r="H519" s="199"/>
      <c r="I519" s="71">
        <v>10140130</v>
      </c>
      <c r="J519" s="68">
        <v>70838.94406612216</v>
      </c>
    </row>
    <row r="520" spans="4:10" x14ac:dyDescent="0.25">
      <c r="D520" s="208"/>
      <c r="E520" s="71">
        <v>10140180</v>
      </c>
      <c r="F520" s="42">
        <v>6400</v>
      </c>
      <c r="H520" s="199"/>
      <c r="I520" s="71">
        <v>10140131</v>
      </c>
      <c r="J520" s="68">
        <v>90992.81877117914</v>
      </c>
    </row>
    <row r="521" spans="4:10" x14ac:dyDescent="0.25">
      <c r="D521" s="208"/>
      <c r="E521" s="71">
        <v>10140179</v>
      </c>
      <c r="F521" s="42">
        <v>12800</v>
      </c>
      <c r="H521" s="199"/>
      <c r="I521" s="71">
        <v>10140132</v>
      </c>
      <c r="J521" s="68">
        <v>60533</v>
      </c>
    </row>
    <row r="522" spans="4:10" x14ac:dyDescent="0.25">
      <c r="D522" s="208"/>
      <c r="E522" s="71">
        <v>10140183</v>
      </c>
      <c r="F522" s="42">
        <v>12800</v>
      </c>
      <c r="H522" s="199"/>
      <c r="I522" s="71">
        <v>10060058</v>
      </c>
      <c r="J522" s="68">
        <v>24564.071432006662</v>
      </c>
    </row>
    <row r="523" spans="4:10" x14ac:dyDescent="0.25">
      <c r="D523" s="208"/>
      <c r="E523" s="71">
        <v>10140185</v>
      </c>
      <c r="F523" s="42">
        <v>6400</v>
      </c>
      <c r="H523" s="199"/>
      <c r="I523" s="71">
        <v>10020068</v>
      </c>
      <c r="J523" s="68">
        <v>24194.816766893302</v>
      </c>
    </row>
    <row r="524" spans="4:10" x14ac:dyDescent="0.25">
      <c r="D524" s="208"/>
      <c r="E524" s="71">
        <v>10140174</v>
      </c>
      <c r="F524" s="42">
        <v>6400</v>
      </c>
      <c r="H524" s="199"/>
      <c r="I524" s="71">
        <v>10020069</v>
      </c>
      <c r="J524" s="68">
        <v>94478.602786046366</v>
      </c>
    </row>
    <row r="525" spans="4:10" x14ac:dyDescent="0.25">
      <c r="D525" s="208"/>
      <c r="E525" s="71">
        <v>10140186</v>
      </c>
      <c r="F525" s="42">
        <v>6147</v>
      </c>
      <c r="H525" s="199"/>
      <c r="I525" s="71">
        <v>10060068</v>
      </c>
      <c r="J525" s="68">
        <v>95986.711793943163</v>
      </c>
    </row>
    <row r="526" spans="4:10" x14ac:dyDescent="0.25">
      <c r="D526" s="208"/>
      <c r="E526" s="71">
        <v>10140170</v>
      </c>
      <c r="F526" s="42">
        <v>6400</v>
      </c>
      <c r="H526" s="199"/>
      <c r="I526" s="71">
        <v>10110086</v>
      </c>
      <c r="J526" s="68">
        <v>55645.50429046026</v>
      </c>
    </row>
    <row r="527" spans="4:10" x14ac:dyDescent="0.25">
      <c r="D527" s="208"/>
      <c r="E527" s="71">
        <v>10140197</v>
      </c>
      <c r="F527" s="42">
        <v>6400</v>
      </c>
      <c r="H527" s="199"/>
      <c r="I527" s="71">
        <v>10110087</v>
      </c>
      <c r="J527" s="68">
        <v>102557</v>
      </c>
    </row>
    <row r="528" spans="4:10" x14ac:dyDescent="0.25">
      <c r="D528" s="208"/>
      <c r="E528" s="71">
        <v>10140194</v>
      </c>
      <c r="F528" s="42">
        <v>5511</v>
      </c>
      <c r="H528" s="199"/>
      <c r="I528" s="71">
        <v>10110088</v>
      </c>
      <c r="J528" s="68">
        <v>85842.88130212111</v>
      </c>
    </row>
    <row r="529" spans="4:10" x14ac:dyDescent="0.25">
      <c r="D529" s="208"/>
      <c r="E529" s="71">
        <v>10110158</v>
      </c>
      <c r="F529" s="42">
        <v>32000</v>
      </c>
      <c r="H529" s="199"/>
      <c r="I529" s="71">
        <v>10480020</v>
      </c>
      <c r="J529" s="68">
        <v>88138</v>
      </c>
    </row>
    <row r="530" spans="4:10" x14ac:dyDescent="0.25">
      <c r="D530" s="208"/>
      <c r="E530" s="71">
        <v>10110159</v>
      </c>
      <c r="F530" s="42">
        <v>12800</v>
      </c>
      <c r="H530" s="199"/>
      <c r="I530" s="71">
        <v>10480019</v>
      </c>
      <c r="J530" s="68">
        <v>88257</v>
      </c>
    </row>
    <row r="531" spans="4:10" x14ac:dyDescent="0.25">
      <c r="D531" s="208"/>
      <c r="E531" s="71">
        <v>10110168</v>
      </c>
      <c r="F531" s="42">
        <v>6400</v>
      </c>
      <c r="H531" s="199"/>
      <c r="I531" s="71">
        <v>10100045</v>
      </c>
      <c r="J531" s="68">
        <v>42030.077545566164</v>
      </c>
    </row>
    <row r="532" spans="4:10" x14ac:dyDescent="0.25">
      <c r="D532" s="208"/>
      <c r="E532" s="71">
        <v>10130079</v>
      </c>
      <c r="F532" s="42">
        <v>4300</v>
      </c>
      <c r="H532" s="199"/>
      <c r="I532" s="71">
        <v>10030062</v>
      </c>
      <c r="J532" s="68">
        <v>69898</v>
      </c>
    </row>
    <row r="533" spans="4:10" x14ac:dyDescent="0.25">
      <c r="D533" s="208"/>
      <c r="E533" s="71">
        <v>10120090</v>
      </c>
      <c r="F533" s="42">
        <v>4300</v>
      </c>
      <c r="H533" s="199"/>
      <c r="I533" s="71">
        <v>10030063</v>
      </c>
      <c r="J533" s="68">
        <v>42447.624188748858</v>
      </c>
    </row>
    <row r="534" spans="4:10" x14ac:dyDescent="0.25">
      <c r="D534" s="208"/>
      <c r="E534" s="71">
        <v>10120091</v>
      </c>
      <c r="F534" s="42">
        <v>4300</v>
      </c>
      <c r="H534" s="199"/>
      <c r="I534" s="71">
        <v>10030064</v>
      </c>
      <c r="J534" s="68">
        <v>23802.972273028819</v>
      </c>
    </row>
    <row r="535" spans="4:10" x14ac:dyDescent="0.25">
      <c r="D535" s="208"/>
      <c r="E535" s="71">
        <v>10580001</v>
      </c>
      <c r="F535" s="42">
        <v>6089</v>
      </c>
      <c r="H535" s="199"/>
      <c r="I535" s="71">
        <v>10090054</v>
      </c>
      <c r="J535" s="68">
        <v>69716.886906352724</v>
      </c>
    </row>
    <row r="536" spans="4:10" x14ac:dyDescent="0.25">
      <c r="D536" s="208"/>
      <c r="E536" s="71">
        <v>10580002</v>
      </c>
      <c r="F536" s="42">
        <v>6400</v>
      </c>
      <c r="H536" s="199"/>
      <c r="I536" s="71">
        <v>10140006</v>
      </c>
      <c r="J536" s="68">
        <v>9627.3816565977613</v>
      </c>
    </row>
    <row r="537" spans="4:10" x14ac:dyDescent="0.25">
      <c r="D537" s="208"/>
      <c r="E537" s="71">
        <v>10580003</v>
      </c>
      <c r="F537" s="42">
        <v>6400</v>
      </c>
      <c r="H537" s="199"/>
      <c r="I537" s="71">
        <v>10140014</v>
      </c>
      <c r="J537" s="68">
        <v>51782.752690716719</v>
      </c>
    </row>
    <row r="538" spans="4:10" x14ac:dyDescent="0.25">
      <c r="D538" s="208"/>
      <c r="E538" s="71">
        <v>10580004</v>
      </c>
      <c r="F538" s="42">
        <v>6400</v>
      </c>
      <c r="H538" s="199"/>
      <c r="I538" s="71">
        <v>10120003</v>
      </c>
      <c r="J538" s="68">
        <v>57803.290399999998</v>
      </c>
    </row>
    <row r="539" spans="4:10" x14ac:dyDescent="0.25">
      <c r="D539" s="208"/>
      <c r="E539" s="71">
        <v>10580005</v>
      </c>
      <c r="F539" s="42">
        <v>4648</v>
      </c>
      <c r="H539" s="199"/>
      <c r="I539" s="71">
        <v>10110148</v>
      </c>
      <c r="J539" s="68">
        <v>80186.656199999998</v>
      </c>
    </row>
    <row r="540" spans="4:10" x14ac:dyDescent="0.25">
      <c r="D540" s="208"/>
      <c r="E540" s="71">
        <v>10580006</v>
      </c>
      <c r="F540" s="42">
        <v>6400</v>
      </c>
      <c r="H540" s="199"/>
      <c r="I540" s="71">
        <v>10110149</v>
      </c>
      <c r="J540" s="68">
        <v>82219</v>
      </c>
    </row>
    <row r="541" spans="4:10" x14ac:dyDescent="0.25">
      <c r="D541" s="208"/>
      <c r="E541" s="71">
        <v>10580007</v>
      </c>
      <c r="F541" s="42">
        <v>5512</v>
      </c>
      <c r="H541" s="199"/>
      <c r="I541" s="71">
        <v>10010114</v>
      </c>
      <c r="J541" s="68">
        <v>90000</v>
      </c>
    </row>
    <row r="542" spans="4:10" x14ac:dyDescent="0.25">
      <c r="D542" s="208"/>
      <c r="E542" s="71">
        <v>10580008</v>
      </c>
      <c r="F542" s="42">
        <v>6400</v>
      </c>
      <c r="H542" s="199"/>
      <c r="I542" s="71">
        <v>10140010</v>
      </c>
      <c r="J542" s="68">
        <v>1572.1526456200227</v>
      </c>
    </row>
    <row r="543" spans="4:10" x14ac:dyDescent="0.25">
      <c r="D543" s="208"/>
      <c r="E543" s="71">
        <v>10580009</v>
      </c>
      <c r="F543" s="42">
        <v>5608</v>
      </c>
      <c r="H543" s="199"/>
      <c r="I543" s="71">
        <v>10140011</v>
      </c>
      <c r="J543" s="68">
        <v>49348.179393945597</v>
      </c>
    </row>
    <row r="544" spans="4:10" x14ac:dyDescent="0.25">
      <c r="D544" s="208"/>
      <c r="E544" s="71">
        <v>10580010</v>
      </c>
      <c r="F544" s="42">
        <v>6400</v>
      </c>
      <c r="H544" s="199"/>
      <c r="I544" s="71">
        <v>10120016</v>
      </c>
      <c r="J544" s="68">
        <v>20026.451360650244</v>
      </c>
    </row>
    <row r="545" spans="4:10" x14ac:dyDescent="0.25">
      <c r="D545" s="208"/>
      <c r="E545" s="71">
        <v>10580011</v>
      </c>
      <c r="F545" s="42">
        <v>6400</v>
      </c>
      <c r="H545" s="199"/>
      <c r="I545" s="71">
        <v>10140019</v>
      </c>
      <c r="J545" s="68">
        <v>21482.309789417443</v>
      </c>
    </row>
    <row r="546" spans="4:10" x14ac:dyDescent="0.25">
      <c r="D546" s="208"/>
      <c r="E546" s="71">
        <v>10580012</v>
      </c>
      <c r="F546" s="42">
        <v>6400</v>
      </c>
      <c r="H546" s="199"/>
      <c r="I546" s="71">
        <v>10140015</v>
      </c>
      <c r="J546" s="68">
        <v>52969.677600000003</v>
      </c>
    </row>
    <row r="547" spans="4:10" x14ac:dyDescent="0.25">
      <c r="D547" s="208"/>
      <c r="E547" s="71">
        <v>10580015</v>
      </c>
      <c r="F547" s="42">
        <v>6400</v>
      </c>
      <c r="H547" s="199"/>
      <c r="I547" s="71">
        <v>10120019</v>
      </c>
      <c r="J547" s="68">
        <v>27853</v>
      </c>
    </row>
    <row r="548" spans="4:10" x14ac:dyDescent="0.25">
      <c r="D548" s="208"/>
      <c r="E548" s="71">
        <v>10580017</v>
      </c>
      <c r="F548" s="42">
        <v>6400</v>
      </c>
      <c r="H548" s="199"/>
      <c r="I548" s="71">
        <v>10140099</v>
      </c>
      <c r="J548" s="68">
        <v>53630</v>
      </c>
    </row>
    <row r="549" spans="4:10" x14ac:dyDescent="0.25">
      <c r="D549" s="208"/>
      <c r="E549" s="71">
        <v>10580018</v>
      </c>
      <c r="F549" s="42">
        <v>6400</v>
      </c>
      <c r="H549" s="199"/>
      <c r="I549" s="71">
        <v>10140100</v>
      </c>
      <c r="J549" s="68">
        <v>67651</v>
      </c>
    </row>
    <row r="550" spans="4:10" x14ac:dyDescent="0.25">
      <c r="D550" s="208"/>
      <c r="E550" s="71">
        <v>10580019</v>
      </c>
      <c r="F550" s="42">
        <v>5436.7451999999994</v>
      </c>
      <c r="H550" s="199"/>
      <c r="I550" s="71">
        <v>10010106</v>
      </c>
      <c r="J550" s="68">
        <v>109987</v>
      </c>
    </row>
    <row r="551" spans="4:10" x14ac:dyDescent="0.25">
      <c r="D551" s="208"/>
      <c r="E551" s="71">
        <v>10620001</v>
      </c>
      <c r="F551" s="42">
        <v>6400</v>
      </c>
      <c r="H551" s="199"/>
      <c r="I551" s="71">
        <v>10010111</v>
      </c>
      <c r="J551" s="68">
        <v>110000</v>
      </c>
    </row>
    <row r="552" spans="4:10" x14ac:dyDescent="0.25">
      <c r="D552" s="208"/>
      <c r="E552" s="71">
        <v>10620002</v>
      </c>
      <c r="F552" s="42">
        <v>6400</v>
      </c>
      <c r="H552" s="199"/>
      <c r="I552" s="71">
        <v>10120071</v>
      </c>
      <c r="J552" s="68">
        <v>43620.275498047442</v>
      </c>
    </row>
    <row r="553" spans="4:10" x14ac:dyDescent="0.25">
      <c r="D553" s="208"/>
      <c r="E553" s="71">
        <v>10620004</v>
      </c>
      <c r="F553" s="42">
        <v>6400</v>
      </c>
      <c r="H553" s="199"/>
      <c r="I553" s="71">
        <v>10120072</v>
      </c>
      <c r="J553" s="68">
        <v>81544</v>
      </c>
    </row>
    <row r="554" spans="4:10" x14ac:dyDescent="0.25">
      <c r="D554" s="208"/>
      <c r="E554" s="71">
        <v>10620005</v>
      </c>
      <c r="F554" s="42">
        <v>6400</v>
      </c>
      <c r="H554" s="199"/>
      <c r="I554" s="71">
        <v>10110078</v>
      </c>
      <c r="J554" s="68">
        <v>50462.167271201281</v>
      </c>
    </row>
    <row r="555" spans="4:10" x14ac:dyDescent="0.25">
      <c r="D555" s="208"/>
      <c r="E555" s="71">
        <v>10620006</v>
      </c>
      <c r="F555" s="42">
        <v>12800</v>
      </c>
      <c r="H555" s="199"/>
      <c r="I555" s="71">
        <v>10110079</v>
      </c>
      <c r="J555" s="68">
        <v>74382.888583716529</v>
      </c>
    </row>
    <row r="556" spans="4:10" x14ac:dyDescent="0.25">
      <c r="D556" s="208"/>
      <c r="E556" s="71">
        <v>10620008</v>
      </c>
      <c r="F556" s="42">
        <v>6400</v>
      </c>
      <c r="H556" s="199"/>
      <c r="I556" s="71">
        <v>10080070</v>
      </c>
      <c r="J556" s="68">
        <v>93500</v>
      </c>
    </row>
    <row r="557" spans="4:10" x14ac:dyDescent="0.25">
      <c r="D557" s="208"/>
      <c r="E557" s="71">
        <v>10620009</v>
      </c>
      <c r="F557" s="42">
        <v>6400</v>
      </c>
      <c r="H557" s="199"/>
      <c r="I557" s="71">
        <v>10480016</v>
      </c>
      <c r="J557" s="68">
        <v>33932.976281815849</v>
      </c>
    </row>
    <row r="558" spans="4:10" x14ac:dyDescent="0.25">
      <c r="D558" s="208"/>
      <c r="E558" s="71">
        <v>10620010</v>
      </c>
      <c r="F558" s="42">
        <v>6400</v>
      </c>
      <c r="H558" s="199"/>
      <c r="I558" s="71">
        <v>10140098</v>
      </c>
      <c r="J558" s="68">
        <v>24655.292764168902</v>
      </c>
    </row>
    <row r="559" spans="4:10" x14ac:dyDescent="0.25">
      <c r="D559" s="208"/>
      <c r="E559" s="71"/>
      <c r="F559" s="42"/>
      <c r="H559" s="199"/>
      <c r="I559" s="71">
        <v>10140022</v>
      </c>
      <c r="J559" s="68">
        <v>10154.764494758943</v>
      </c>
    </row>
    <row r="560" spans="4:10" x14ac:dyDescent="0.25">
      <c r="D560" s="208"/>
      <c r="E560" s="71"/>
      <c r="F560" s="42"/>
      <c r="H560" s="199"/>
      <c r="I560" s="71">
        <v>10140020</v>
      </c>
      <c r="J560" s="68">
        <v>26139.532800000001</v>
      </c>
    </row>
    <row r="561" spans="4:10" x14ac:dyDescent="0.25">
      <c r="D561" s="208"/>
      <c r="E561" s="71"/>
      <c r="F561" s="42"/>
      <c r="H561" s="199"/>
      <c r="I561" s="71">
        <v>10140023</v>
      </c>
      <c r="J561" s="68">
        <v>23194.000666785272</v>
      </c>
    </row>
    <row r="562" spans="4:10" x14ac:dyDescent="0.25">
      <c r="D562" s="208"/>
      <c r="E562" s="71"/>
      <c r="F562" s="42"/>
      <c r="H562" s="199"/>
      <c r="I562" s="71">
        <v>10110002</v>
      </c>
      <c r="J562" s="68">
        <v>3254.993093608311</v>
      </c>
    </row>
    <row r="563" spans="4:10" x14ac:dyDescent="0.25">
      <c r="D563" s="208"/>
      <c r="E563" s="71"/>
      <c r="F563" s="42"/>
      <c r="H563" s="199"/>
      <c r="I563" s="71">
        <v>10110074</v>
      </c>
      <c r="J563" s="68">
        <v>32598.739178672597</v>
      </c>
    </row>
    <row r="564" spans="4:10" x14ac:dyDescent="0.25">
      <c r="D564" s="208"/>
      <c r="E564" s="71"/>
      <c r="F564" s="42"/>
      <c r="H564" s="199"/>
      <c r="I564" s="71">
        <v>10010076</v>
      </c>
      <c r="J564" s="68">
        <v>46072.586696898572</v>
      </c>
    </row>
    <row r="565" spans="4:10" x14ac:dyDescent="0.25">
      <c r="D565" s="208"/>
      <c r="E565" s="71"/>
      <c r="F565" s="42"/>
      <c r="H565" s="199"/>
      <c r="I565" s="71">
        <v>10130019</v>
      </c>
      <c r="J565" s="68">
        <v>8301.4284000000043</v>
      </c>
    </row>
    <row r="566" spans="4:10" x14ac:dyDescent="0.25">
      <c r="D566" s="208"/>
      <c r="E566" s="71"/>
      <c r="F566" s="42"/>
      <c r="H566" s="199"/>
      <c r="I566" s="71">
        <v>10130001</v>
      </c>
      <c r="J566" s="68">
        <v>4007.8813933388155</v>
      </c>
    </row>
    <row r="567" spans="4:10" x14ac:dyDescent="0.25">
      <c r="D567" s="208"/>
      <c r="E567" s="71"/>
      <c r="F567" s="42"/>
      <c r="H567" s="199"/>
      <c r="I567" s="71">
        <v>10130022</v>
      </c>
      <c r="J567" s="68">
        <v>68975</v>
      </c>
    </row>
    <row r="568" spans="4:10" x14ac:dyDescent="0.25">
      <c r="D568" s="208"/>
      <c r="E568" s="71"/>
      <c r="F568" s="42"/>
      <c r="H568" s="199"/>
      <c r="I568" s="71">
        <v>10120030</v>
      </c>
      <c r="J568" s="68">
        <v>37605.532378476666</v>
      </c>
    </row>
    <row r="569" spans="4:10" x14ac:dyDescent="0.25">
      <c r="D569" s="208"/>
      <c r="E569" s="71"/>
      <c r="F569" s="42"/>
      <c r="H569" s="199"/>
      <c r="I569" s="71">
        <v>10130024</v>
      </c>
      <c r="J569" s="68">
        <v>21507.917400000006</v>
      </c>
    </row>
    <row r="570" spans="4:10" x14ac:dyDescent="0.25">
      <c r="D570" s="208"/>
      <c r="E570" s="71"/>
      <c r="F570" s="42"/>
      <c r="H570" s="199"/>
      <c r="I570" s="71">
        <v>10080017</v>
      </c>
      <c r="J570" s="68">
        <v>28740.13699432966</v>
      </c>
    </row>
    <row r="571" spans="4:10" x14ac:dyDescent="0.25">
      <c r="D571" s="208"/>
      <c r="E571" s="71"/>
      <c r="F571" s="42"/>
      <c r="H571" s="199"/>
      <c r="I571" s="71">
        <v>10120082</v>
      </c>
      <c r="J571" s="68">
        <v>75337.817697100851</v>
      </c>
    </row>
    <row r="572" spans="4:10" x14ac:dyDescent="0.25">
      <c r="D572" s="208"/>
      <c r="E572" s="71"/>
      <c r="F572" s="42"/>
      <c r="H572" s="199"/>
      <c r="I572" s="71">
        <v>10130070</v>
      </c>
      <c r="J572" s="68">
        <v>66537.140916285483</v>
      </c>
    </row>
    <row r="573" spans="4:10" x14ac:dyDescent="0.25">
      <c r="D573" s="208"/>
      <c r="E573" s="71"/>
      <c r="F573" s="42"/>
      <c r="H573" s="199"/>
      <c r="I573" s="71">
        <v>10120083</v>
      </c>
      <c r="J573" s="68">
        <v>13462.324638938386</v>
      </c>
    </row>
    <row r="574" spans="4:10" x14ac:dyDescent="0.25">
      <c r="D574" s="208"/>
      <c r="E574" s="71"/>
      <c r="F574" s="42"/>
      <c r="H574" s="199"/>
      <c r="I574" s="71">
        <v>10140102</v>
      </c>
      <c r="J574" s="68">
        <v>90000</v>
      </c>
    </row>
    <row r="575" spans="4:10" x14ac:dyDescent="0.25">
      <c r="D575" s="208"/>
      <c r="E575" s="71"/>
      <c r="F575" s="42"/>
      <c r="H575" s="199"/>
      <c r="I575" s="71">
        <v>10110108</v>
      </c>
      <c r="J575" s="68">
        <v>90000</v>
      </c>
    </row>
    <row r="576" spans="4:10" x14ac:dyDescent="0.25">
      <c r="D576" s="208"/>
      <c r="E576" s="71"/>
      <c r="F576" s="42"/>
      <c r="H576" s="199"/>
      <c r="I576" s="71">
        <v>10110022</v>
      </c>
      <c r="J576" s="68">
        <v>27099.149999999994</v>
      </c>
    </row>
    <row r="577" spans="4:10" x14ac:dyDescent="0.25">
      <c r="D577" s="208"/>
      <c r="E577" s="71"/>
      <c r="F577" s="42"/>
      <c r="H577" s="199"/>
      <c r="I577" s="71">
        <v>10110046</v>
      </c>
      <c r="J577" s="68">
        <v>56634.731599999999</v>
      </c>
    </row>
    <row r="578" spans="4:10" x14ac:dyDescent="0.25">
      <c r="D578" s="208"/>
      <c r="E578" s="71"/>
      <c r="F578" s="42"/>
      <c r="H578" s="199"/>
      <c r="I578" s="71">
        <v>10110035</v>
      </c>
      <c r="J578" s="68">
        <v>61806.912718183201</v>
      </c>
    </row>
    <row r="579" spans="4:10" x14ac:dyDescent="0.25">
      <c r="D579" s="208"/>
      <c r="E579" s="71"/>
      <c r="F579" s="42"/>
      <c r="H579" s="199"/>
      <c r="I579" s="71">
        <v>10110024</v>
      </c>
      <c r="J579" s="68">
        <v>64959.516451475443</v>
      </c>
    </row>
    <row r="580" spans="4:10" x14ac:dyDescent="0.25">
      <c r="D580" s="208"/>
      <c r="E580" s="71"/>
      <c r="F580" s="42"/>
      <c r="H580" s="199"/>
      <c r="I580" s="71">
        <v>10450001</v>
      </c>
      <c r="J580" s="68">
        <v>61038.064032984315</v>
      </c>
    </row>
    <row r="581" spans="4:10" x14ac:dyDescent="0.25">
      <c r="D581" s="208"/>
      <c r="E581" s="71"/>
      <c r="F581" s="42"/>
      <c r="H581" s="199"/>
      <c r="I581" s="71">
        <v>10020027</v>
      </c>
      <c r="J581" s="68">
        <v>49439.326399999998</v>
      </c>
    </row>
    <row r="582" spans="4:10" x14ac:dyDescent="0.25">
      <c r="D582" s="208"/>
      <c r="E582" s="71"/>
      <c r="F582" s="42"/>
      <c r="H582" s="199"/>
      <c r="I582" s="71">
        <v>10140030</v>
      </c>
      <c r="J582" s="68">
        <v>29434.888516916806</v>
      </c>
    </row>
    <row r="583" spans="4:10" x14ac:dyDescent="0.25">
      <c r="D583" s="208"/>
      <c r="E583" s="71"/>
      <c r="F583" s="42"/>
      <c r="H583" s="199"/>
      <c r="I583" s="71">
        <v>10090037</v>
      </c>
      <c r="J583" s="68">
        <v>9008.6673556754249</v>
      </c>
    </row>
    <row r="584" spans="4:10" x14ac:dyDescent="0.25">
      <c r="D584" s="208"/>
      <c r="E584" s="71"/>
      <c r="F584" s="42"/>
      <c r="H584" s="199"/>
      <c r="I584" s="71">
        <v>10480008</v>
      </c>
      <c r="J584" s="68">
        <v>18104.040572177153</v>
      </c>
    </row>
    <row r="585" spans="4:10" x14ac:dyDescent="0.25">
      <c r="D585" s="208"/>
      <c r="E585" s="71"/>
      <c r="F585" s="42"/>
      <c r="H585" s="199"/>
      <c r="I585" s="71">
        <v>10480006</v>
      </c>
      <c r="J585" s="68">
        <v>60909.590191895928</v>
      </c>
    </row>
    <row r="586" spans="4:10" x14ac:dyDescent="0.25">
      <c r="D586" s="208"/>
      <c r="H586" s="199"/>
      <c r="I586" s="71">
        <v>10140016</v>
      </c>
      <c r="J586" s="68">
        <v>58701.772199999999</v>
      </c>
    </row>
    <row r="587" spans="4:10" x14ac:dyDescent="0.25">
      <c r="D587" s="208"/>
      <c r="H587" s="199"/>
      <c r="I587" s="71">
        <v>10140029</v>
      </c>
      <c r="J587" s="68">
        <v>38038.155520440225</v>
      </c>
    </row>
    <row r="588" spans="4:10" x14ac:dyDescent="0.25">
      <c r="D588" s="208"/>
      <c r="H588" s="199"/>
      <c r="I588" s="71">
        <v>10140097</v>
      </c>
      <c r="J588" s="68">
        <v>72082.237800000003</v>
      </c>
    </row>
    <row r="589" spans="4:10" x14ac:dyDescent="0.25">
      <c r="D589" s="208"/>
      <c r="H589" s="199"/>
      <c r="I589" s="71">
        <v>10020028</v>
      </c>
      <c r="J589" s="68">
        <v>26169.762908353237</v>
      </c>
    </row>
    <row r="590" spans="4:10" x14ac:dyDescent="0.25">
      <c r="D590" s="208"/>
      <c r="H590" s="199"/>
      <c r="I590" s="71">
        <v>10090030</v>
      </c>
      <c r="J590" s="68">
        <v>34963.412679142551</v>
      </c>
    </row>
    <row r="591" spans="4:10" x14ac:dyDescent="0.25">
      <c r="D591" s="208"/>
      <c r="E591" s="71"/>
      <c r="F591" s="42"/>
      <c r="H591" s="199"/>
      <c r="I591" s="71">
        <v>10460002</v>
      </c>
      <c r="J591" s="68">
        <v>26536.625360733524</v>
      </c>
    </row>
    <row r="592" spans="4:10" x14ac:dyDescent="0.25">
      <c r="D592" s="208"/>
      <c r="E592" s="71"/>
      <c r="F592" s="42"/>
      <c r="H592" s="199"/>
      <c r="I592" s="71">
        <v>10120005</v>
      </c>
      <c r="J592" s="68">
        <v>10793.436334753031</v>
      </c>
    </row>
    <row r="593" spans="4:10" x14ac:dyDescent="0.25">
      <c r="D593" s="208"/>
      <c r="E593" s="71"/>
      <c r="F593" s="42"/>
      <c r="H593" s="199"/>
      <c r="I593" s="71">
        <v>10140034</v>
      </c>
      <c r="J593" s="68">
        <v>21606.029808731255</v>
      </c>
    </row>
    <row r="594" spans="4:10" x14ac:dyDescent="0.25">
      <c r="D594" s="208"/>
      <c r="E594" s="71"/>
      <c r="F594" s="42"/>
      <c r="H594" s="199"/>
      <c r="I594" s="71">
        <v>10030015</v>
      </c>
      <c r="J594" s="68">
        <v>44253.95065287716</v>
      </c>
    </row>
    <row r="595" spans="4:10" x14ac:dyDescent="0.25">
      <c r="D595" s="208"/>
      <c r="E595" s="71"/>
      <c r="F595" s="42"/>
      <c r="H595" s="199"/>
      <c r="I595" s="71">
        <v>10090032</v>
      </c>
      <c r="J595" s="68">
        <v>30958.088792788287</v>
      </c>
    </row>
    <row r="596" spans="4:10" x14ac:dyDescent="0.25">
      <c r="D596" s="208"/>
      <c r="E596" s="71"/>
      <c r="F596" s="42"/>
      <c r="H596" s="199"/>
      <c r="I596" s="71">
        <v>10480004</v>
      </c>
      <c r="J596" s="68">
        <v>62393.932047121758</v>
      </c>
    </row>
    <row r="597" spans="4:10" x14ac:dyDescent="0.25">
      <c r="D597" s="208"/>
      <c r="E597" s="71"/>
      <c r="F597" s="42"/>
      <c r="H597" s="199"/>
      <c r="I597" s="71">
        <v>10120080</v>
      </c>
      <c r="J597" s="68">
        <v>49537.850566233596</v>
      </c>
    </row>
    <row r="598" spans="4:10" x14ac:dyDescent="0.25">
      <c r="D598" s="208"/>
      <c r="E598" s="71"/>
      <c r="F598" s="42"/>
      <c r="H598" s="199"/>
      <c r="I598" s="71">
        <v>10140107</v>
      </c>
      <c r="J598" s="68">
        <v>27424.539722594782</v>
      </c>
    </row>
    <row r="599" spans="4:10" x14ac:dyDescent="0.25">
      <c r="D599" s="208"/>
      <c r="E599" s="71"/>
      <c r="F599" s="42"/>
      <c r="H599" s="199"/>
      <c r="I599" s="71">
        <v>10080022</v>
      </c>
      <c r="J599" s="68">
        <v>22275.466799999995</v>
      </c>
    </row>
    <row r="600" spans="4:10" x14ac:dyDescent="0.25">
      <c r="D600" s="208"/>
      <c r="E600" s="71"/>
      <c r="F600" s="42"/>
      <c r="H600" s="199"/>
      <c r="I600" s="71">
        <v>10480005</v>
      </c>
      <c r="J600" s="68">
        <v>26987.025469606597</v>
      </c>
    </row>
    <row r="601" spans="4:10" x14ac:dyDescent="0.25">
      <c r="D601" s="208"/>
      <c r="E601" s="71"/>
      <c r="F601" s="42"/>
      <c r="H601" s="199"/>
      <c r="I601" s="71">
        <v>10140032</v>
      </c>
      <c r="J601" s="68">
        <v>15930.021566305746</v>
      </c>
    </row>
    <row r="602" spans="4:10" x14ac:dyDescent="0.25">
      <c r="D602" s="208"/>
      <c r="E602" s="71"/>
      <c r="F602" s="42"/>
      <c r="H602" s="199"/>
      <c r="I602" s="71">
        <v>10140033</v>
      </c>
      <c r="J602" s="68">
        <v>23966.214297624058</v>
      </c>
    </row>
    <row r="603" spans="4:10" x14ac:dyDescent="0.25">
      <c r="D603" s="208"/>
      <c r="E603" s="71"/>
      <c r="F603" s="42"/>
      <c r="H603" s="199"/>
      <c r="I603" s="71">
        <v>10110028</v>
      </c>
      <c r="J603" s="68">
        <v>65284.976323323652</v>
      </c>
    </row>
    <row r="604" spans="4:10" x14ac:dyDescent="0.25">
      <c r="D604" s="208"/>
      <c r="E604" s="71"/>
      <c r="F604" s="42"/>
      <c r="H604" s="199"/>
      <c r="I604" s="71">
        <v>10020038</v>
      </c>
      <c r="J604" s="68">
        <v>10665.353200000012</v>
      </c>
    </row>
    <row r="605" spans="4:10" x14ac:dyDescent="0.25">
      <c r="D605" s="208"/>
      <c r="E605" s="71"/>
      <c r="F605" s="42"/>
      <c r="H605" s="199"/>
      <c r="I605" s="71">
        <v>10020041</v>
      </c>
      <c r="J605" s="68">
        <v>696.24801668761938</v>
      </c>
    </row>
    <row r="606" spans="4:10" x14ac:dyDescent="0.25">
      <c r="D606" s="208"/>
      <c r="E606" s="71"/>
      <c r="F606" s="42"/>
      <c r="H606" s="199"/>
      <c r="I606" s="71">
        <v>10030023</v>
      </c>
      <c r="J606" s="68">
        <v>33325.281400000007</v>
      </c>
    </row>
    <row r="607" spans="4:10" x14ac:dyDescent="0.25">
      <c r="D607" s="208"/>
      <c r="E607" s="71"/>
      <c r="F607" s="42"/>
      <c r="H607" s="199"/>
      <c r="I607" s="71">
        <v>10110071</v>
      </c>
      <c r="J607" s="68">
        <v>32571.203814253968</v>
      </c>
    </row>
    <row r="608" spans="4:10" x14ac:dyDescent="0.25">
      <c r="D608" s="208"/>
      <c r="E608" s="71"/>
      <c r="F608" s="42"/>
      <c r="H608" s="200"/>
      <c r="I608" s="71">
        <v>10020039</v>
      </c>
      <c r="J608" s="68">
        <v>72485.472800000003</v>
      </c>
    </row>
    <row r="609" spans="4:10" x14ac:dyDescent="0.25">
      <c r="D609" s="208"/>
      <c r="E609" s="71"/>
      <c r="F609" s="42"/>
      <c r="H609" s="200"/>
      <c r="I609" s="71">
        <v>10110030</v>
      </c>
      <c r="J609" s="68">
        <v>103873</v>
      </c>
    </row>
    <row r="610" spans="4:10" x14ac:dyDescent="0.25">
      <c r="D610" s="208"/>
      <c r="E610" s="71"/>
      <c r="F610" s="42"/>
      <c r="H610" s="200"/>
      <c r="I610" s="71">
        <v>10110047</v>
      </c>
      <c r="J610" s="68">
        <v>35850.981944128929</v>
      </c>
    </row>
    <row r="611" spans="4:10" x14ac:dyDescent="0.25">
      <c r="D611" s="208"/>
      <c r="E611" s="71"/>
      <c r="F611" s="42"/>
      <c r="H611" s="200"/>
      <c r="I611" s="71">
        <v>10130006</v>
      </c>
      <c r="J611" s="68">
        <v>2877.7067990284268</v>
      </c>
    </row>
    <row r="612" spans="4:10" x14ac:dyDescent="0.25">
      <c r="D612" s="208"/>
      <c r="E612" s="71"/>
      <c r="F612" s="42"/>
      <c r="H612" s="200"/>
      <c r="I612" s="71">
        <v>10080019</v>
      </c>
      <c r="J612" s="68">
        <v>80984.357892411645</v>
      </c>
    </row>
    <row r="613" spans="4:10" x14ac:dyDescent="0.25">
      <c r="D613" s="208"/>
      <c r="E613" s="71"/>
      <c r="F613" s="42"/>
      <c r="H613" s="200"/>
      <c r="I613" s="71">
        <v>10080020</v>
      </c>
      <c r="J613" s="68">
        <v>79361.080928028896</v>
      </c>
    </row>
    <row r="614" spans="4:10" x14ac:dyDescent="0.25">
      <c r="D614" s="208"/>
      <c r="E614" s="71"/>
      <c r="F614" s="42"/>
      <c r="H614" s="200"/>
      <c r="I614" s="71">
        <v>10480001</v>
      </c>
      <c r="J614" s="68">
        <v>39182.526400000002</v>
      </c>
    </row>
    <row r="615" spans="4:10" x14ac:dyDescent="0.25">
      <c r="D615" s="208"/>
      <c r="E615" s="71"/>
      <c r="F615" s="42"/>
      <c r="H615" s="200"/>
      <c r="I615" s="71">
        <v>10030038</v>
      </c>
      <c r="J615" s="68">
        <v>24073.084553281296</v>
      </c>
    </row>
    <row r="616" spans="4:10" x14ac:dyDescent="0.25">
      <c r="D616" s="208"/>
      <c r="E616" s="71"/>
      <c r="F616" s="42"/>
      <c r="H616" s="200"/>
      <c r="I616" s="71">
        <v>10060036</v>
      </c>
      <c r="J616" s="68">
        <v>24811.770302897698</v>
      </c>
    </row>
    <row r="617" spans="4:10" x14ac:dyDescent="0.25">
      <c r="D617" s="208"/>
      <c r="E617" s="71"/>
      <c r="F617" s="42"/>
      <c r="H617" s="200"/>
      <c r="I617" s="71">
        <v>10020042</v>
      </c>
      <c r="J617" s="68">
        <v>7224.87592375245</v>
      </c>
    </row>
    <row r="618" spans="4:10" x14ac:dyDescent="0.25">
      <c r="D618" s="208"/>
      <c r="E618" s="71"/>
      <c r="F618" s="42"/>
      <c r="H618" s="200"/>
      <c r="I618" s="71">
        <v>10080023</v>
      </c>
      <c r="J618" s="68">
        <v>62254.359540358862</v>
      </c>
    </row>
    <row r="619" spans="4:10" x14ac:dyDescent="0.25">
      <c r="D619" s="208"/>
      <c r="E619" s="71"/>
      <c r="F619" s="42"/>
      <c r="H619" s="200"/>
      <c r="I619" s="71">
        <v>10010006</v>
      </c>
      <c r="J619" s="68">
        <v>33479.945321720821</v>
      </c>
    </row>
    <row r="620" spans="4:10" x14ac:dyDescent="0.25">
      <c r="D620" s="208"/>
      <c r="E620" s="71"/>
      <c r="F620" s="42"/>
      <c r="H620" s="200"/>
      <c r="I620" s="71">
        <v>10030030</v>
      </c>
      <c r="J620" s="68">
        <v>1398.7088573647416</v>
      </c>
    </row>
    <row r="621" spans="4:10" x14ac:dyDescent="0.25">
      <c r="D621" s="208"/>
      <c r="E621" s="71"/>
      <c r="F621" s="42"/>
      <c r="H621" s="200"/>
      <c r="I621" s="71">
        <v>10010017</v>
      </c>
      <c r="J621" s="68">
        <v>64838</v>
      </c>
    </row>
    <row r="622" spans="4:10" x14ac:dyDescent="0.25">
      <c r="D622" s="208"/>
      <c r="E622" s="71"/>
      <c r="F622" s="42"/>
      <c r="H622" s="200"/>
      <c r="I622" s="71">
        <v>10010008</v>
      </c>
      <c r="J622" s="68">
        <v>83549.937999999995</v>
      </c>
    </row>
    <row r="623" spans="4:10" x14ac:dyDescent="0.25">
      <c r="D623" s="208"/>
      <c r="E623" s="71"/>
      <c r="F623" s="42"/>
      <c r="H623" s="200"/>
      <c r="I623" s="71">
        <v>10080027</v>
      </c>
      <c r="J623" s="68">
        <v>66639.94290674731</v>
      </c>
    </row>
    <row r="624" spans="4:10" x14ac:dyDescent="0.25">
      <c r="D624" s="208"/>
      <c r="E624" s="71"/>
      <c r="F624" s="42"/>
      <c r="H624" s="200"/>
      <c r="I624" s="71">
        <v>10010013</v>
      </c>
      <c r="J624" s="68">
        <v>24146.670827364302</v>
      </c>
    </row>
    <row r="625" spans="4:10" x14ac:dyDescent="0.25">
      <c r="D625" s="208"/>
      <c r="E625" s="71"/>
      <c r="F625" s="42"/>
      <c r="H625" s="200"/>
      <c r="I625" s="71">
        <v>10010014</v>
      </c>
      <c r="J625" s="68">
        <v>90882</v>
      </c>
    </row>
    <row r="626" spans="4:10" x14ac:dyDescent="0.25">
      <c r="D626" s="208"/>
      <c r="E626" s="71"/>
      <c r="F626" s="42"/>
      <c r="H626" s="200"/>
      <c r="I626" s="71">
        <v>10010015</v>
      </c>
      <c r="J626" s="68">
        <v>107311</v>
      </c>
    </row>
    <row r="627" spans="4:10" x14ac:dyDescent="0.25">
      <c r="D627" s="208"/>
      <c r="E627" s="71"/>
      <c r="F627" s="42"/>
      <c r="H627" s="200"/>
      <c r="I627" s="71">
        <v>10070048</v>
      </c>
      <c r="J627" s="68">
        <v>23614.228380001441</v>
      </c>
    </row>
    <row r="628" spans="4:10" x14ac:dyDescent="0.25">
      <c r="D628" s="208"/>
      <c r="E628" s="71"/>
      <c r="F628" s="42"/>
      <c r="H628" s="200"/>
      <c r="I628" s="71">
        <v>10070049</v>
      </c>
      <c r="J628" s="68">
        <v>78961.270799999998</v>
      </c>
    </row>
    <row r="629" spans="4:10" x14ac:dyDescent="0.25">
      <c r="D629" s="208"/>
      <c r="E629" s="71"/>
      <c r="F629" s="42"/>
      <c r="H629" s="200"/>
      <c r="I629" s="71">
        <v>10100007</v>
      </c>
      <c r="J629" s="68">
        <v>78619</v>
      </c>
    </row>
    <row r="630" spans="4:10" x14ac:dyDescent="0.25">
      <c r="D630" s="208"/>
      <c r="E630" s="71"/>
      <c r="F630" s="42"/>
      <c r="H630" s="200"/>
      <c r="I630" s="71">
        <v>10100008</v>
      </c>
      <c r="J630" s="68">
        <v>74722</v>
      </c>
    </row>
    <row r="631" spans="4:10" x14ac:dyDescent="0.25">
      <c r="D631" s="208"/>
      <c r="E631" s="71"/>
      <c r="F631" s="42"/>
      <c r="H631" s="200"/>
      <c r="I631" s="71">
        <v>10110032</v>
      </c>
      <c r="J631" s="68">
        <v>19909.754973523493</v>
      </c>
    </row>
    <row r="632" spans="4:10" x14ac:dyDescent="0.25">
      <c r="D632" s="208"/>
      <c r="E632" s="71"/>
      <c r="F632" s="42"/>
      <c r="H632" s="200"/>
      <c r="I632" s="71">
        <v>10110073</v>
      </c>
      <c r="J632" s="68">
        <v>54841.710735626293</v>
      </c>
    </row>
    <row r="633" spans="4:10" x14ac:dyDescent="0.25">
      <c r="D633" s="208"/>
      <c r="E633" s="71"/>
      <c r="F633" s="42"/>
      <c r="H633" s="200"/>
      <c r="I633" s="4">
        <v>10110033</v>
      </c>
      <c r="J633" s="24">
        <v>55005.586722889857</v>
      </c>
    </row>
    <row r="634" spans="4:10" x14ac:dyDescent="0.25">
      <c r="D634" s="208"/>
      <c r="E634" s="71"/>
      <c r="F634" s="42"/>
      <c r="H634" s="200"/>
      <c r="I634" s="4">
        <v>10090035</v>
      </c>
      <c r="J634" s="24">
        <v>80077.023847734643</v>
      </c>
    </row>
    <row r="635" spans="4:10" x14ac:dyDescent="0.25">
      <c r="D635" s="208"/>
      <c r="E635" s="71"/>
      <c r="F635" s="42"/>
      <c r="H635" s="200"/>
      <c r="I635" s="4">
        <v>10100013</v>
      </c>
      <c r="J635" s="24">
        <v>95614</v>
      </c>
    </row>
    <row r="636" spans="4:10" x14ac:dyDescent="0.25">
      <c r="D636" s="208"/>
      <c r="E636" s="71"/>
      <c r="F636" s="42"/>
      <c r="H636" s="200"/>
      <c r="I636" s="4">
        <v>10100014</v>
      </c>
      <c r="J636" s="24">
        <v>30971.18842726892</v>
      </c>
    </row>
    <row r="637" spans="4:10" x14ac:dyDescent="0.25">
      <c r="D637" s="208"/>
      <c r="E637" s="71"/>
      <c r="F637" s="42"/>
      <c r="H637" s="200"/>
      <c r="I637" s="4">
        <v>10100015</v>
      </c>
      <c r="J637" s="24">
        <v>21688.376918094786</v>
      </c>
    </row>
    <row r="638" spans="4:10" x14ac:dyDescent="0.25">
      <c r="D638" s="208"/>
      <c r="E638" s="71"/>
      <c r="F638" s="42"/>
      <c r="H638" s="200"/>
      <c r="I638" s="4">
        <v>10100016</v>
      </c>
      <c r="J638" s="24">
        <v>56246.318094951719</v>
      </c>
    </row>
    <row r="639" spans="4:10" x14ac:dyDescent="0.25">
      <c r="D639" s="208"/>
      <c r="E639" s="71"/>
      <c r="F639" s="42"/>
      <c r="H639" s="200"/>
      <c r="I639" s="4">
        <v>10140038</v>
      </c>
      <c r="J639" s="24">
        <v>27141.399350909371</v>
      </c>
    </row>
    <row r="640" spans="4:10" x14ac:dyDescent="0.25">
      <c r="D640" s="208"/>
      <c r="E640" s="71"/>
      <c r="F640" s="42"/>
      <c r="H640" s="200"/>
      <c r="I640" s="4">
        <v>10140055</v>
      </c>
      <c r="J640" s="24">
        <v>6906.0976870975574</v>
      </c>
    </row>
    <row r="641" spans="4:10" x14ac:dyDescent="0.25">
      <c r="D641" s="208"/>
      <c r="E641" s="71"/>
      <c r="F641" s="42"/>
      <c r="H641" s="200"/>
      <c r="I641" s="4">
        <v>10140058</v>
      </c>
      <c r="J641" s="24">
        <v>25895.264111066455</v>
      </c>
    </row>
    <row r="642" spans="4:10" x14ac:dyDescent="0.25">
      <c r="D642" s="208"/>
      <c r="E642" s="71"/>
      <c r="F642" s="42"/>
      <c r="H642" s="200"/>
      <c r="I642" s="4">
        <v>10130026</v>
      </c>
      <c r="J642" s="24">
        <v>17733.452000000005</v>
      </c>
    </row>
    <row r="643" spans="4:10" x14ac:dyDescent="0.25">
      <c r="D643" s="208"/>
      <c r="E643" s="71"/>
      <c r="F643" s="42"/>
      <c r="H643" s="200"/>
      <c r="I643" s="4">
        <v>10010021</v>
      </c>
      <c r="J643" s="24">
        <v>81931.141548879619</v>
      </c>
    </row>
    <row r="644" spans="4:10" x14ac:dyDescent="0.25">
      <c r="D644" s="208"/>
      <c r="E644" s="71"/>
      <c r="F644" s="42"/>
      <c r="H644" s="200"/>
      <c r="I644" s="4">
        <v>10010019</v>
      </c>
      <c r="J644" s="24">
        <v>30537.324836432716</v>
      </c>
    </row>
    <row r="645" spans="4:10" x14ac:dyDescent="0.25">
      <c r="D645" s="208"/>
      <c r="E645" s="71"/>
      <c r="F645" s="42"/>
      <c r="H645" s="200"/>
      <c r="I645" s="4">
        <v>10090036</v>
      </c>
      <c r="J645" s="24">
        <v>1331.3646305343718</v>
      </c>
    </row>
    <row r="646" spans="4:10" x14ac:dyDescent="0.25">
      <c r="D646" s="208"/>
      <c r="E646" s="71"/>
      <c r="F646" s="42"/>
      <c r="H646" s="200"/>
      <c r="I646" s="4">
        <v>10060031</v>
      </c>
      <c r="J646" s="24">
        <v>25878.589000000007</v>
      </c>
    </row>
    <row r="647" spans="4:10" x14ac:dyDescent="0.25">
      <c r="D647" s="208"/>
      <c r="E647" s="71"/>
      <c r="F647" s="42"/>
      <c r="H647" s="200"/>
      <c r="I647" s="4">
        <v>10030035</v>
      </c>
      <c r="J647" s="24">
        <v>27421.646294913386</v>
      </c>
    </row>
    <row r="648" spans="4:10" x14ac:dyDescent="0.25">
      <c r="D648" s="208"/>
      <c r="E648" s="71"/>
      <c r="F648" s="42"/>
      <c r="H648" s="200"/>
      <c r="I648" s="4">
        <v>10090040</v>
      </c>
      <c r="J648" s="24">
        <v>45008.412689611017</v>
      </c>
    </row>
    <row r="649" spans="4:10" x14ac:dyDescent="0.25">
      <c r="D649" s="208"/>
      <c r="E649" s="71"/>
      <c r="F649" s="42"/>
      <c r="H649" s="200"/>
      <c r="I649" s="4">
        <v>10070013</v>
      </c>
      <c r="J649" s="24">
        <v>42301.352906864005</v>
      </c>
    </row>
    <row r="650" spans="4:10" x14ac:dyDescent="0.25">
      <c r="D650" s="208"/>
      <c r="E650" s="71"/>
      <c r="F650" s="42"/>
      <c r="H650" s="200"/>
      <c r="I650" s="4">
        <v>10100001</v>
      </c>
      <c r="J650" s="24">
        <v>13833.472612801139</v>
      </c>
    </row>
    <row r="651" spans="4:10" x14ac:dyDescent="0.25">
      <c r="D651" s="208"/>
      <c r="E651" s="71"/>
      <c r="F651" s="42"/>
      <c r="H651" s="200"/>
      <c r="I651" s="4">
        <v>10140054</v>
      </c>
      <c r="J651" s="24">
        <v>27821.742831443509</v>
      </c>
    </row>
    <row r="652" spans="4:10" x14ac:dyDescent="0.25">
      <c r="D652" s="208"/>
      <c r="E652" s="71"/>
      <c r="F652" s="42"/>
      <c r="H652" s="200"/>
      <c r="I652" s="4">
        <v>10130032</v>
      </c>
      <c r="J652" s="24">
        <v>18416</v>
      </c>
    </row>
    <row r="653" spans="4:10" x14ac:dyDescent="0.25">
      <c r="D653" s="208"/>
      <c r="E653" s="71"/>
      <c r="F653" s="42"/>
      <c r="H653" s="200"/>
      <c r="I653" s="4">
        <v>10140053</v>
      </c>
      <c r="J653" s="24">
        <v>79425</v>
      </c>
    </row>
    <row r="654" spans="4:10" x14ac:dyDescent="0.25">
      <c r="D654" s="208"/>
      <c r="E654" s="71"/>
      <c r="F654" s="42"/>
      <c r="H654" s="200"/>
      <c r="I654" s="4">
        <v>10140036</v>
      </c>
      <c r="J654" s="24">
        <v>80035.811000000002</v>
      </c>
    </row>
    <row r="655" spans="4:10" x14ac:dyDescent="0.25">
      <c r="D655" s="208"/>
      <c r="E655" s="71"/>
      <c r="F655" s="42"/>
      <c r="H655" s="200"/>
      <c r="I655" s="4">
        <v>10140043</v>
      </c>
      <c r="J655" s="24">
        <v>12866.94532988088</v>
      </c>
    </row>
    <row r="656" spans="4:10" x14ac:dyDescent="0.25">
      <c r="D656" s="208"/>
      <c r="E656" s="71"/>
      <c r="F656" s="42"/>
      <c r="H656" s="200"/>
      <c r="I656" s="4">
        <v>10070016</v>
      </c>
      <c r="J656" s="24">
        <v>66044</v>
      </c>
    </row>
    <row r="657" spans="4:10" x14ac:dyDescent="0.25">
      <c r="D657" s="208"/>
      <c r="E657" s="71"/>
      <c r="F657" s="42"/>
      <c r="H657" s="200"/>
      <c r="I657" s="4">
        <v>10070015</v>
      </c>
      <c r="J657" s="24">
        <v>81127.841568413438</v>
      </c>
    </row>
    <row r="658" spans="4:10" x14ac:dyDescent="0.25">
      <c r="D658" s="208"/>
      <c r="E658" s="71"/>
      <c r="F658" s="42"/>
      <c r="H658" s="200"/>
      <c r="I658" s="4">
        <v>10060033</v>
      </c>
      <c r="J658" s="24">
        <v>30363.134272778741</v>
      </c>
    </row>
    <row r="659" spans="4:10" x14ac:dyDescent="0.25">
      <c r="D659" s="208"/>
      <c r="E659" s="71"/>
      <c r="F659" s="42"/>
      <c r="H659" s="200"/>
      <c r="I659" s="4">
        <v>10010031</v>
      </c>
      <c r="J659" s="24">
        <v>103548</v>
      </c>
    </row>
    <row r="660" spans="4:10" x14ac:dyDescent="0.25">
      <c r="D660" s="208"/>
      <c r="E660" s="71"/>
      <c r="F660" s="42"/>
      <c r="H660" s="200"/>
      <c r="I660" s="4">
        <v>10110048</v>
      </c>
      <c r="J660" s="24">
        <v>89478.948999999993</v>
      </c>
    </row>
    <row r="661" spans="4:10" x14ac:dyDescent="0.25">
      <c r="D661" s="208"/>
      <c r="E661" s="71"/>
      <c r="F661" s="42"/>
      <c r="H661" s="200"/>
      <c r="I661" s="4">
        <v>10120087</v>
      </c>
      <c r="J661" s="24">
        <v>75321</v>
      </c>
    </row>
    <row r="662" spans="4:10" x14ac:dyDescent="0.25">
      <c r="E662" s="15"/>
      <c r="H662" s="200"/>
      <c r="I662" s="4">
        <v>10130073</v>
      </c>
      <c r="J662" s="24">
        <v>47519.865962866592</v>
      </c>
    </row>
    <row r="663" spans="4:10" x14ac:dyDescent="0.25">
      <c r="H663" s="200"/>
      <c r="I663" s="4">
        <v>10130074</v>
      </c>
      <c r="J663" s="24">
        <v>53966.88801334225</v>
      </c>
    </row>
    <row r="664" spans="4:10" x14ac:dyDescent="0.25">
      <c r="H664" s="200"/>
      <c r="I664" s="4">
        <v>10080032</v>
      </c>
      <c r="J664" s="24">
        <v>41146.57693475837</v>
      </c>
    </row>
    <row r="665" spans="4:10" x14ac:dyDescent="0.25">
      <c r="H665" s="200"/>
      <c r="I665" s="4">
        <v>10100037</v>
      </c>
      <c r="J665" s="24">
        <v>67438.471268697962</v>
      </c>
    </row>
    <row r="666" spans="4:10" x14ac:dyDescent="0.25">
      <c r="H666" s="200"/>
      <c r="I666" s="4">
        <v>10140057</v>
      </c>
      <c r="J666" s="24">
        <v>94223.418000000005</v>
      </c>
    </row>
    <row r="667" spans="4:10" x14ac:dyDescent="0.25">
      <c r="H667" s="200"/>
      <c r="I667" s="4">
        <v>10060053</v>
      </c>
      <c r="J667" s="24">
        <v>102664.6096</v>
      </c>
    </row>
    <row r="668" spans="4:10" x14ac:dyDescent="0.25">
      <c r="H668" s="200"/>
      <c r="I668" s="4">
        <v>10080052</v>
      </c>
      <c r="J668" s="24">
        <v>56247.218762545679</v>
      </c>
    </row>
    <row r="669" spans="4:10" x14ac:dyDescent="0.25">
      <c r="H669" s="200"/>
      <c r="I669" s="4">
        <v>10480014</v>
      </c>
      <c r="J669" s="24">
        <v>31109.746459312053</v>
      </c>
    </row>
    <row r="670" spans="4:10" x14ac:dyDescent="0.25">
      <c r="H670" s="200"/>
      <c r="I670" s="4">
        <v>10480022</v>
      </c>
      <c r="J670" s="24">
        <v>70938</v>
      </c>
    </row>
    <row r="671" spans="4:10" x14ac:dyDescent="0.25">
      <c r="H671" s="200"/>
      <c r="I671" s="4">
        <v>10070045</v>
      </c>
      <c r="J671" s="24">
        <v>30381.412602822849</v>
      </c>
    </row>
    <row r="672" spans="4:10" x14ac:dyDescent="0.25">
      <c r="H672" s="200"/>
      <c r="I672" s="4">
        <v>10480013</v>
      </c>
      <c r="J672" s="24">
        <v>108321.92</v>
      </c>
    </row>
    <row r="673" spans="8:10" x14ac:dyDescent="0.25">
      <c r="H673" s="200"/>
      <c r="I673" s="4">
        <v>10140083</v>
      </c>
      <c r="J673" s="24">
        <v>36360.627948746493</v>
      </c>
    </row>
    <row r="674" spans="8:10" x14ac:dyDescent="0.25">
      <c r="H674" s="200"/>
      <c r="I674" s="4">
        <v>10140041</v>
      </c>
      <c r="J674" s="24">
        <v>62353.924908497051</v>
      </c>
    </row>
    <row r="675" spans="8:10" x14ac:dyDescent="0.25">
      <c r="H675" s="200"/>
      <c r="I675" s="4">
        <v>10140095</v>
      </c>
      <c r="J675" s="24">
        <v>78668.472600000008</v>
      </c>
    </row>
    <row r="676" spans="8:10" x14ac:dyDescent="0.25">
      <c r="H676" s="200"/>
      <c r="I676" s="4">
        <v>10140094</v>
      </c>
      <c r="J676" s="24">
        <v>98949</v>
      </c>
    </row>
    <row r="677" spans="8:10" x14ac:dyDescent="0.25">
      <c r="H677" s="200"/>
      <c r="I677" s="4">
        <v>10140048</v>
      </c>
      <c r="J677" s="24">
        <v>53531.069022970609</v>
      </c>
    </row>
    <row r="678" spans="8:10" x14ac:dyDescent="0.25">
      <c r="H678" s="200"/>
      <c r="I678" s="4">
        <v>10030016</v>
      </c>
      <c r="J678" s="24">
        <v>19851.727246080438</v>
      </c>
    </row>
    <row r="679" spans="8:10" x14ac:dyDescent="0.25">
      <c r="H679" s="200"/>
      <c r="I679" s="4">
        <v>10090028</v>
      </c>
      <c r="J679" s="24">
        <v>70032.17518527995</v>
      </c>
    </row>
    <row r="680" spans="8:10" x14ac:dyDescent="0.25">
      <c r="H680" s="200"/>
      <c r="I680" s="4">
        <v>10080016</v>
      </c>
      <c r="J680" s="24">
        <v>75619</v>
      </c>
    </row>
    <row r="681" spans="8:10" x14ac:dyDescent="0.25">
      <c r="H681" s="200"/>
      <c r="I681" s="4">
        <v>10140078</v>
      </c>
      <c r="J681" s="24">
        <v>81785.638003422442</v>
      </c>
    </row>
    <row r="682" spans="8:10" x14ac:dyDescent="0.25">
      <c r="H682" s="200"/>
      <c r="I682" s="4">
        <v>10100035</v>
      </c>
      <c r="J682" s="24">
        <v>56425.692866156285</v>
      </c>
    </row>
    <row r="683" spans="8:10" x14ac:dyDescent="0.25">
      <c r="H683" s="200"/>
      <c r="I683" s="4">
        <v>10080065</v>
      </c>
      <c r="J683" s="24">
        <v>74558</v>
      </c>
    </row>
    <row r="684" spans="8:10" x14ac:dyDescent="0.25">
      <c r="H684" s="200"/>
      <c r="I684" s="4">
        <v>10080062</v>
      </c>
      <c r="J684" s="24">
        <v>81081</v>
      </c>
    </row>
    <row r="685" spans="8:10" x14ac:dyDescent="0.25">
      <c r="H685" s="200"/>
      <c r="I685" s="4">
        <v>10100036</v>
      </c>
      <c r="J685" s="24">
        <v>97106.5702279088</v>
      </c>
    </row>
    <row r="686" spans="8:10" x14ac:dyDescent="0.25">
      <c r="H686" s="200"/>
      <c r="I686" s="4">
        <v>10080063</v>
      </c>
      <c r="J686" s="24">
        <v>100186</v>
      </c>
    </row>
    <row r="687" spans="8:10" x14ac:dyDescent="0.25">
      <c r="H687" s="200"/>
      <c r="I687" s="4">
        <v>10080051</v>
      </c>
      <c r="J687" s="24">
        <v>78186</v>
      </c>
    </row>
    <row r="688" spans="8:10" x14ac:dyDescent="0.25">
      <c r="H688" s="200"/>
      <c r="I688" s="4">
        <v>10080072</v>
      </c>
      <c r="J688" s="24">
        <v>58513</v>
      </c>
    </row>
    <row r="689" spans="8:10" x14ac:dyDescent="0.25">
      <c r="H689" s="200"/>
      <c r="I689" s="4">
        <v>10110084</v>
      </c>
      <c r="J689" s="24">
        <v>86990</v>
      </c>
    </row>
    <row r="690" spans="8:10" x14ac:dyDescent="0.25">
      <c r="H690" s="200"/>
      <c r="I690" s="4">
        <v>10110085</v>
      </c>
      <c r="J690" s="24">
        <v>106043</v>
      </c>
    </row>
    <row r="691" spans="8:10" x14ac:dyDescent="0.25">
      <c r="H691" s="200"/>
      <c r="I691" s="4">
        <v>10110083</v>
      </c>
      <c r="J691" s="24">
        <v>71880.801023811888</v>
      </c>
    </row>
    <row r="692" spans="8:10" x14ac:dyDescent="0.25">
      <c r="H692" s="200"/>
      <c r="I692" s="4">
        <v>10080048</v>
      </c>
      <c r="J692" s="24">
        <v>49618.242423467644</v>
      </c>
    </row>
    <row r="693" spans="8:10" x14ac:dyDescent="0.25">
      <c r="H693" s="200"/>
      <c r="I693" s="4">
        <v>10110053</v>
      </c>
      <c r="J693" s="24">
        <v>77515.734166945098</v>
      </c>
    </row>
    <row r="694" spans="8:10" x14ac:dyDescent="0.25">
      <c r="H694" s="200"/>
      <c r="I694" s="4">
        <v>10480012</v>
      </c>
      <c r="J694" s="24">
        <v>24277.25213635093</v>
      </c>
    </row>
    <row r="695" spans="8:10" x14ac:dyDescent="0.25">
      <c r="H695" s="200"/>
      <c r="I695" s="4">
        <v>10140087</v>
      </c>
      <c r="J695" s="24">
        <v>45558.462652943905</v>
      </c>
    </row>
    <row r="696" spans="8:10" x14ac:dyDescent="0.25">
      <c r="H696" s="200"/>
      <c r="I696" s="4">
        <v>10140085</v>
      </c>
      <c r="J696" s="24">
        <v>85701</v>
      </c>
    </row>
    <row r="697" spans="8:10" x14ac:dyDescent="0.25">
      <c r="H697" s="200"/>
      <c r="I697" s="4">
        <v>10130052</v>
      </c>
      <c r="J697" s="24">
        <v>18078.379051454613</v>
      </c>
    </row>
    <row r="698" spans="8:10" x14ac:dyDescent="0.25">
      <c r="H698" s="200"/>
      <c r="I698" s="4">
        <v>10130054</v>
      </c>
      <c r="J698" s="24">
        <v>23071.940051461424</v>
      </c>
    </row>
    <row r="699" spans="8:10" x14ac:dyDescent="0.25">
      <c r="H699" s="200"/>
      <c r="I699" s="4">
        <v>10090052</v>
      </c>
      <c r="J699" s="24">
        <v>14139.93108800867</v>
      </c>
    </row>
    <row r="700" spans="8:10" x14ac:dyDescent="0.25">
      <c r="H700" s="200"/>
      <c r="I700" s="4">
        <v>10060064</v>
      </c>
      <c r="J700" s="24">
        <v>77167.368973298508</v>
      </c>
    </row>
    <row r="701" spans="8:10" x14ac:dyDescent="0.25">
      <c r="H701" s="200"/>
      <c r="I701" s="4">
        <v>10110105</v>
      </c>
      <c r="J701" s="24">
        <v>67801.558569797548</v>
      </c>
    </row>
    <row r="702" spans="8:10" x14ac:dyDescent="0.25">
      <c r="H702" s="200"/>
      <c r="I702" s="4">
        <v>10030060</v>
      </c>
      <c r="J702" s="24">
        <v>38366.288626500318</v>
      </c>
    </row>
    <row r="703" spans="8:10" x14ac:dyDescent="0.25">
      <c r="H703" s="200"/>
      <c r="I703" s="4">
        <v>10030057</v>
      </c>
      <c r="J703" s="24">
        <v>80713.601371409022</v>
      </c>
    </row>
    <row r="704" spans="8:10" x14ac:dyDescent="0.25">
      <c r="H704" s="200"/>
      <c r="I704" s="4">
        <v>10030059</v>
      </c>
      <c r="J704" s="24">
        <v>31266.887593961728</v>
      </c>
    </row>
    <row r="705" spans="8:10" x14ac:dyDescent="0.25">
      <c r="H705" s="200"/>
      <c r="I705" s="4">
        <v>10030061</v>
      </c>
      <c r="J705" s="24">
        <v>26998.489303577197</v>
      </c>
    </row>
    <row r="706" spans="8:10" x14ac:dyDescent="0.25">
      <c r="H706" s="200"/>
      <c r="I706" s="4">
        <v>10130055</v>
      </c>
      <c r="J706" s="24">
        <v>83114</v>
      </c>
    </row>
    <row r="707" spans="8:10" x14ac:dyDescent="0.25">
      <c r="H707" s="200"/>
      <c r="I707" s="4">
        <v>10140079</v>
      </c>
      <c r="J707" s="24">
        <v>96278</v>
      </c>
    </row>
    <row r="708" spans="8:10" x14ac:dyDescent="0.25">
      <c r="H708" s="200"/>
      <c r="I708" s="4">
        <v>10080057</v>
      </c>
      <c r="J708" s="24">
        <v>103868</v>
      </c>
    </row>
    <row r="709" spans="8:10" x14ac:dyDescent="0.25">
      <c r="H709" s="200"/>
      <c r="I709" s="4">
        <v>10080067</v>
      </c>
      <c r="J709" s="24">
        <v>67432.880623203484</v>
      </c>
    </row>
    <row r="710" spans="8:10" x14ac:dyDescent="0.25">
      <c r="H710" s="200"/>
      <c r="I710" s="4">
        <v>10080056</v>
      </c>
      <c r="J710" s="24">
        <v>81235</v>
      </c>
    </row>
    <row r="711" spans="8:10" x14ac:dyDescent="0.25">
      <c r="H711" s="200"/>
      <c r="I711" s="4">
        <v>10110059</v>
      </c>
      <c r="J711" s="24">
        <v>74292.102302458778</v>
      </c>
    </row>
    <row r="712" spans="8:10" x14ac:dyDescent="0.25">
      <c r="H712" s="200"/>
      <c r="I712" s="4">
        <v>10010071</v>
      </c>
      <c r="J712" s="24">
        <v>77327.295379739502</v>
      </c>
    </row>
    <row r="713" spans="8:10" x14ac:dyDescent="0.25">
      <c r="H713" s="200"/>
      <c r="I713" s="4">
        <v>10110062</v>
      </c>
      <c r="J713" s="24">
        <v>102325.27872734347</v>
      </c>
    </row>
    <row r="714" spans="8:10" x14ac:dyDescent="0.25">
      <c r="H714" s="200"/>
      <c r="I714" s="4">
        <v>10110063</v>
      </c>
      <c r="J714" s="24">
        <v>122325</v>
      </c>
    </row>
    <row r="715" spans="8:10" x14ac:dyDescent="0.25">
      <c r="H715" s="200"/>
      <c r="I715" s="4">
        <v>10110066</v>
      </c>
      <c r="J715" s="24">
        <v>49388.271313132631</v>
      </c>
    </row>
    <row r="716" spans="8:10" x14ac:dyDescent="0.25">
      <c r="H716" s="200"/>
      <c r="I716" s="4">
        <v>10110065</v>
      </c>
      <c r="J716" s="24">
        <v>58098.617081603763</v>
      </c>
    </row>
    <row r="717" spans="8:10" x14ac:dyDescent="0.25">
      <c r="H717" s="200"/>
      <c r="I717" s="4">
        <v>10110067</v>
      </c>
      <c r="J717" s="24">
        <v>107357</v>
      </c>
    </row>
    <row r="718" spans="8:10" x14ac:dyDescent="0.25">
      <c r="H718" s="200"/>
      <c r="I718" s="4">
        <v>10110056</v>
      </c>
      <c r="J718" s="24">
        <v>75893.849021514674</v>
      </c>
    </row>
    <row r="719" spans="8:10" x14ac:dyDescent="0.25">
      <c r="H719" s="200"/>
      <c r="I719" s="4">
        <v>10110057</v>
      </c>
      <c r="J719" s="24">
        <v>80614.125112166032</v>
      </c>
    </row>
    <row r="720" spans="8:10" x14ac:dyDescent="0.25">
      <c r="H720" s="200"/>
      <c r="I720" s="4">
        <v>10110055</v>
      </c>
      <c r="J720" s="24">
        <v>28286.175917460729</v>
      </c>
    </row>
    <row r="721" spans="8:10" x14ac:dyDescent="0.25">
      <c r="H721" s="200"/>
      <c r="I721" s="4">
        <v>10120042</v>
      </c>
      <c r="J721" s="24">
        <v>76384</v>
      </c>
    </row>
    <row r="722" spans="8:10" x14ac:dyDescent="0.25">
      <c r="H722" s="200"/>
      <c r="I722" s="4">
        <v>10120043</v>
      </c>
      <c r="J722" s="24">
        <v>61475.160600000003</v>
      </c>
    </row>
    <row r="723" spans="8:10" x14ac:dyDescent="0.25">
      <c r="H723" s="200"/>
      <c r="I723" s="4">
        <v>10120044</v>
      </c>
      <c r="J723" s="24">
        <v>90372.556400000001</v>
      </c>
    </row>
    <row r="724" spans="8:10" x14ac:dyDescent="0.25">
      <c r="H724" s="200"/>
      <c r="I724" s="4">
        <v>10120045</v>
      </c>
      <c r="J724" s="24">
        <v>100000</v>
      </c>
    </row>
    <row r="725" spans="8:10" x14ac:dyDescent="0.25">
      <c r="H725" s="200"/>
      <c r="I725" s="4">
        <v>10030010</v>
      </c>
      <c r="J725" s="24">
        <v>39837.522623289609</v>
      </c>
    </row>
    <row r="726" spans="8:10" x14ac:dyDescent="0.25">
      <c r="H726" s="200"/>
      <c r="I726" s="4">
        <v>10090042</v>
      </c>
      <c r="J726" s="24">
        <v>16000.567738068872</v>
      </c>
    </row>
    <row r="727" spans="8:10" x14ac:dyDescent="0.25">
      <c r="H727" s="200"/>
      <c r="I727" s="4">
        <v>10010038</v>
      </c>
      <c r="J727" s="24">
        <v>38140.00641594606</v>
      </c>
    </row>
    <row r="728" spans="8:10" x14ac:dyDescent="0.25">
      <c r="H728" s="200"/>
      <c r="I728" s="4">
        <v>10090057</v>
      </c>
      <c r="J728" s="24">
        <v>78278</v>
      </c>
    </row>
    <row r="729" spans="8:10" x14ac:dyDescent="0.25">
      <c r="H729" s="200"/>
      <c r="I729" s="4">
        <v>10090058</v>
      </c>
      <c r="J729" s="24">
        <v>56994.041321856959</v>
      </c>
    </row>
    <row r="730" spans="8:10" x14ac:dyDescent="0.25">
      <c r="H730" s="200"/>
      <c r="I730" s="4">
        <v>10090059</v>
      </c>
      <c r="J730" s="24">
        <v>70314.753869784006</v>
      </c>
    </row>
    <row r="731" spans="8:10" x14ac:dyDescent="0.25">
      <c r="H731" s="200"/>
      <c r="I731" s="4">
        <v>10090060</v>
      </c>
      <c r="J731" s="24">
        <v>67102</v>
      </c>
    </row>
    <row r="732" spans="8:10" x14ac:dyDescent="0.25">
      <c r="H732" s="200"/>
      <c r="I732" s="4">
        <v>10060057</v>
      </c>
      <c r="J732" s="24">
        <v>66463.356996008835</v>
      </c>
    </row>
    <row r="733" spans="8:10" x14ac:dyDescent="0.25">
      <c r="H733" s="200"/>
      <c r="I733" s="4">
        <v>10020062</v>
      </c>
      <c r="J733" s="24">
        <v>26623.521577673178</v>
      </c>
    </row>
    <row r="734" spans="8:10" x14ac:dyDescent="0.25">
      <c r="H734" s="4"/>
      <c r="I734" s="4">
        <v>10090048</v>
      </c>
      <c r="J734" s="24">
        <v>63738.3482</v>
      </c>
    </row>
    <row r="735" spans="8:10" x14ac:dyDescent="0.25">
      <c r="H735" s="4"/>
      <c r="I735" s="4">
        <v>10090043</v>
      </c>
      <c r="J735" s="24">
        <v>43338</v>
      </c>
    </row>
    <row r="736" spans="8:10" x14ac:dyDescent="0.25">
      <c r="H736" s="4"/>
      <c r="I736" s="4">
        <v>10090045</v>
      </c>
      <c r="J736" s="24">
        <v>32168.819059631191</v>
      </c>
    </row>
    <row r="737" spans="8:10" x14ac:dyDescent="0.25">
      <c r="H737" s="4"/>
      <c r="I737" s="4">
        <v>10090046</v>
      </c>
      <c r="J737" s="24">
        <v>36957.618600000002</v>
      </c>
    </row>
    <row r="738" spans="8:10" x14ac:dyDescent="0.25">
      <c r="H738" s="4"/>
      <c r="I738" s="4">
        <v>10090047</v>
      </c>
      <c r="J738" s="24">
        <v>26064.458736028842</v>
      </c>
    </row>
    <row r="739" spans="8:10" x14ac:dyDescent="0.25">
      <c r="H739" s="4"/>
      <c r="I739" s="4">
        <v>10020059</v>
      </c>
      <c r="J739" s="24">
        <v>5297.5668450046069</v>
      </c>
    </row>
    <row r="740" spans="8:10" x14ac:dyDescent="0.25">
      <c r="H740" s="4"/>
      <c r="I740" s="4">
        <v>10060049</v>
      </c>
      <c r="J740" s="24">
        <v>18792.170710837745</v>
      </c>
    </row>
    <row r="741" spans="8:10" x14ac:dyDescent="0.25">
      <c r="H741" s="4"/>
      <c r="I741" s="4">
        <v>10060050</v>
      </c>
      <c r="J741" s="24">
        <v>27029.288543057351</v>
      </c>
    </row>
    <row r="742" spans="8:10" x14ac:dyDescent="0.25">
      <c r="H742" s="4"/>
      <c r="I742" s="4">
        <v>10130046</v>
      </c>
      <c r="J742" s="24">
        <v>37966.854616309371</v>
      </c>
    </row>
    <row r="743" spans="8:10" x14ac:dyDescent="0.25">
      <c r="H743" s="4"/>
      <c r="I743" s="4">
        <v>10120051</v>
      </c>
      <c r="J743" s="24">
        <v>46384.03284127354</v>
      </c>
    </row>
    <row r="744" spans="8:10" x14ac:dyDescent="0.25">
      <c r="H744" s="4"/>
      <c r="I744" s="4">
        <v>10120053</v>
      </c>
      <c r="J744" s="24">
        <v>51844.627188145634</v>
      </c>
    </row>
    <row r="745" spans="8:10" x14ac:dyDescent="0.25">
      <c r="H745" s="4"/>
      <c r="I745" s="4">
        <v>10120054</v>
      </c>
      <c r="J745" s="24">
        <v>62623.05770357632</v>
      </c>
    </row>
    <row r="746" spans="8:10" x14ac:dyDescent="0.25">
      <c r="H746" s="4"/>
      <c r="I746" s="4">
        <v>10030049</v>
      </c>
      <c r="J746" s="24">
        <v>453.25122876209207</v>
      </c>
    </row>
    <row r="747" spans="8:10" x14ac:dyDescent="0.25">
      <c r="H747" s="4"/>
      <c r="I747" s="4">
        <v>10030050</v>
      </c>
      <c r="J747" s="24">
        <v>16907.885652264449</v>
      </c>
    </row>
    <row r="748" spans="8:10" x14ac:dyDescent="0.25">
      <c r="H748" s="4"/>
      <c r="I748" s="4">
        <v>10030053</v>
      </c>
      <c r="J748" s="24">
        <v>33648.591486946869</v>
      </c>
    </row>
    <row r="749" spans="8:10" x14ac:dyDescent="0.25">
      <c r="H749" s="4"/>
      <c r="I749" s="4">
        <v>10030055</v>
      </c>
      <c r="J749" s="24">
        <v>40460.601813169415</v>
      </c>
    </row>
    <row r="750" spans="8:10" x14ac:dyDescent="0.25">
      <c r="H750" s="4"/>
      <c r="I750" s="4">
        <v>10030056</v>
      </c>
      <c r="J750" s="24">
        <v>47176.147644814017</v>
      </c>
    </row>
    <row r="751" spans="8:10" x14ac:dyDescent="0.25">
      <c r="H751" s="4"/>
      <c r="I751" s="4">
        <v>10010055</v>
      </c>
      <c r="J751" s="24">
        <v>82375.427423580782</v>
      </c>
    </row>
    <row r="752" spans="8:10" x14ac:dyDescent="0.25">
      <c r="H752" s="4"/>
      <c r="I752" s="4">
        <v>10010059</v>
      </c>
      <c r="J752" s="24">
        <v>74161.856702087593</v>
      </c>
    </row>
    <row r="753" spans="8:10" x14ac:dyDescent="0.25">
      <c r="H753" s="4"/>
      <c r="I753" s="4">
        <v>10010058</v>
      </c>
      <c r="J753" s="24">
        <v>95146.639599999995</v>
      </c>
    </row>
    <row r="754" spans="8:10" x14ac:dyDescent="0.25">
      <c r="H754" s="4"/>
      <c r="I754" s="4">
        <v>10080055</v>
      </c>
      <c r="J754" s="24">
        <v>63444.218893332327</v>
      </c>
    </row>
    <row r="755" spans="8:10" x14ac:dyDescent="0.25">
      <c r="H755" s="4"/>
      <c r="I755" s="4">
        <v>10110051</v>
      </c>
      <c r="J755" s="24">
        <v>83743.109800000006</v>
      </c>
    </row>
    <row r="756" spans="8:10" x14ac:dyDescent="0.25">
      <c r="H756" s="4"/>
      <c r="I756" s="4">
        <v>10110049</v>
      </c>
      <c r="J756" s="24">
        <v>20588.989894811049</v>
      </c>
    </row>
    <row r="757" spans="8:10" x14ac:dyDescent="0.25">
      <c r="H757" s="4"/>
      <c r="I757" s="4">
        <v>10010040</v>
      </c>
      <c r="J757" s="24">
        <v>91719.511810097727</v>
      </c>
    </row>
    <row r="758" spans="8:10" x14ac:dyDescent="0.25">
      <c r="H758" s="4"/>
      <c r="I758" s="4">
        <v>10080034</v>
      </c>
      <c r="J758" s="24">
        <v>103022</v>
      </c>
    </row>
    <row r="759" spans="8:10" x14ac:dyDescent="0.25">
      <c r="H759" s="4"/>
      <c r="I759" s="4">
        <v>10140139</v>
      </c>
      <c r="J759" s="24">
        <v>60281.387351001598</v>
      </c>
    </row>
    <row r="760" spans="8:10" x14ac:dyDescent="0.25">
      <c r="H760" s="4"/>
      <c r="I760" s="4">
        <v>10110011</v>
      </c>
      <c r="J760" s="24">
        <v>73938.126930638828</v>
      </c>
    </row>
    <row r="761" spans="8:10" x14ac:dyDescent="0.25">
      <c r="H761" s="4"/>
      <c r="I761" s="4">
        <v>10140068</v>
      </c>
      <c r="J761" s="24">
        <v>40277.151818725833</v>
      </c>
    </row>
    <row r="762" spans="8:10" x14ac:dyDescent="0.25">
      <c r="H762" s="4"/>
      <c r="I762" s="4">
        <v>10140066</v>
      </c>
      <c r="J762" s="24">
        <v>26042.561313829894</v>
      </c>
    </row>
    <row r="763" spans="8:10" x14ac:dyDescent="0.25">
      <c r="H763" s="4"/>
      <c r="I763" s="4">
        <v>10140061</v>
      </c>
      <c r="J763" s="24">
        <v>67887.596600000004</v>
      </c>
    </row>
    <row r="764" spans="8:10" x14ac:dyDescent="0.25">
      <c r="H764" s="4"/>
      <c r="I764" s="4">
        <v>10120065</v>
      </c>
      <c r="J764" s="24">
        <v>41071.139444125976</v>
      </c>
    </row>
    <row r="765" spans="8:10" x14ac:dyDescent="0.25">
      <c r="H765" s="4"/>
      <c r="I765" s="4">
        <v>10140081</v>
      </c>
      <c r="J765" s="24">
        <v>93653.754400000005</v>
      </c>
    </row>
    <row r="766" spans="8:10" x14ac:dyDescent="0.25">
      <c r="H766" s="4"/>
      <c r="I766" s="4">
        <v>10140067</v>
      </c>
      <c r="J766" s="24">
        <v>43381.87440381838</v>
      </c>
    </row>
    <row r="767" spans="8:10" x14ac:dyDescent="0.25">
      <c r="H767" s="4"/>
      <c r="I767" s="4">
        <v>10010081</v>
      </c>
      <c r="J767" s="24">
        <v>90754</v>
      </c>
    </row>
    <row r="768" spans="8:10" x14ac:dyDescent="0.25">
      <c r="H768" s="4"/>
      <c r="I768" s="4">
        <v>10140069</v>
      </c>
      <c r="J768" s="24">
        <v>21335.740524789057</v>
      </c>
    </row>
    <row r="769" spans="8:10" x14ac:dyDescent="0.25">
      <c r="H769" s="4"/>
      <c r="I769" s="4">
        <v>10130047</v>
      </c>
      <c r="J769" s="24">
        <v>63020.551200000002</v>
      </c>
    </row>
    <row r="770" spans="8:10" x14ac:dyDescent="0.25">
      <c r="H770" s="4"/>
      <c r="I770" s="4">
        <v>10010051</v>
      </c>
      <c r="J770" s="24">
        <v>27138.824735310642</v>
      </c>
    </row>
    <row r="771" spans="8:10" x14ac:dyDescent="0.25">
      <c r="H771" s="4"/>
      <c r="I771" s="4">
        <v>10070032</v>
      </c>
      <c r="J771" s="24">
        <v>8004.0583020796475</v>
      </c>
    </row>
    <row r="772" spans="8:10" x14ac:dyDescent="0.25">
      <c r="H772" s="4"/>
      <c r="I772" s="4">
        <v>10070033</v>
      </c>
      <c r="J772" s="24">
        <v>30150.826565054449</v>
      </c>
    </row>
    <row r="773" spans="8:10" x14ac:dyDescent="0.25">
      <c r="H773" s="4"/>
      <c r="I773" s="4">
        <v>10070036</v>
      </c>
      <c r="J773" s="24">
        <v>53684.954614666851</v>
      </c>
    </row>
    <row r="774" spans="8:10" x14ac:dyDescent="0.25">
      <c r="H774" s="4"/>
      <c r="I774" s="4">
        <v>10070004</v>
      </c>
      <c r="J774" s="24">
        <v>37718.166610008688</v>
      </c>
    </row>
    <row r="775" spans="8:10" x14ac:dyDescent="0.25">
      <c r="H775" s="4"/>
      <c r="I775" s="4">
        <v>10100034</v>
      </c>
      <c r="J775" s="24">
        <v>78352.741833543681</v>
      </c>
    </row>
    <row r="776" spans="8:10" x14ac:dyDescent="0.25">
      <c r="H776" s="4"/>
      <c r="I776" s="4">
        <v>10110044</v>
      </c>
      <c r="J776" s="24">
        <v>85665.904912865139</v>
      </c>
    </row>
    <row r="777" spans="8:10" x14ac:dyDescent="0.25">
      <c r="H777" s="4"/>
      <c r="I777" s="4">
        <v>10060011</v>
      </c>
      <c r="J777" s="24">
        <v>9236.5241064584989</v>
      </c>
    </row>
    <row r="778" spans="8:10" x14ac:dyDescent="0.25">
      <c r="H778" s="4"/>
      <c r="I778" s="4">
        <v>10060114</v>
      </c>
      <c r="J778" s="24">
        <v>85163</v>
      </c>
    </row>
    <row r="779" spans="8:10" x14ac:dyDescent="0.25">
      <c r="H779" s="4"/>
      <c r="I779" s="4">
        <v>10090066</v>
      </c>
      <c r="J779" s="24">
        <v>83431.512400000007</v>
      </c>
    </row>
    <row r="780" spans="8:10" x14ac:dyDescent="0.25">
      <c r="H780" s="4"/>
      <c r="I780" s="4">
        <v>10090067</v>
      </c>
      <c r="J780" s="24">
        <v>110000</v>
      </c>
    </row>
    <row r="781" spans="8:10" x14ac:dyDescent="0.25">
      <c r="H781" s="4"/>
      <c r="I781" s="4">
        <v>10010044</v>
      </c>
      <c r="J781" s="24">
        <v>24511.543332678761</v>
      </c>
    </row>
    <row r="782" spans="8:10" x14ac:dyDescent="0.25">
      <c r="H782" s="4"/>
      <c r="I782" s="4">
        <v>10100050</v>
      </c>
      <c r="J782" s="24">
        <v>102882</v>
      </c>
    </row>
    <row r="783" spans="8:10" x14ac:dyDescent="0.25">
      <c r="H783" s="4"/>
      <c r="I783" s="4">
        <v>10100049</v>
      </c>
      <c r="J783" s="24">
        <v>52481.810372899534</v>
      </c>
    </row>
    <row r="784" spans="8:10" x14ac:dyDescent="0.25">
      <c r="H784" s="4"/>
      <c r="I784" s="4">
        <v>10100051</v>
      </c>
      <c r="J784" s="24">
        <v>25294.163877020241</v>
      </c>
    </row>
    <row r="785" spans="8:10" x14ac:dyDescent="0.25">
      <c r="H785" s="4"/>
      <c r="I785" s="4">
        <v>10060069</v>
      </c>
      <c r="J785" s="24">
        <v>69765</v>
      </c>
    </row>
    <row r="786" spans="8:10" x14ac:dyDescent="0.25">
      <c r="H786" s="4"/>
      <c r="I786" s="4">
        <v>10100048</v>
      </c>
      <c r="J786" s="24">
        <v>103035</v>
      </c>
    </row>
    <row r="787" spans="8:10" x14ac:dyDescent="0.25">
      <c r="H787" s="4"/>
      <c r="I787" s="4">
        <v>10030069</v>
      </c>
      <c r="J787" s="24">
        <v>72887.670792341596</v>
      </c>
    </row>
    <row r="788" spans="8:10" x14ac:dyDescent="0.25">
      <c r="H788" s="4"/>
      <c r="I788" s="4">
        <v>10010050</v>
      </c>
      <c r="J788" s="24">
        <v>36739.688090752985</v>
      </c>
    </row>
    <row r="789" spans="8:10" x14ac:dyDescent="0.25">
      <c r="H789" s="4"/>
      <c r="I789" s="4">
        <v>10010056</v>
      </c>
      <c r="J789" s="24">
        <v>39104.976028902864</v>
      </c>
    </row>
    <row r="790" spans="8:10" x14ac:dyDescent="0.25">
      <c r="H790" s="4"/>
      <c r="I790" s="4">
        <v>10090061</v>
      </c>
      <c r="J790" s="24">
        <v>99620</v>
      </c>
    </row>
  </sheetData>
  <autoFilter ref="H2:J790" xr:uid="{00000000-0001-0000-0300-000000000000}"/>
  <mergeCells count="3">
    <mergeCell ref="A1:B1"/>
    <mergeCell ref="E1:F1"/>
    <mergeCell ref="I1:J1"/>
  </mergeCells>
  <conditionalFormatting sqref="B3:B323">
    <cfRule type="cellIs" dxfId="84" priority="3" operator="lessThan">
      <formula>-1</formula>
    </cfRule>
  </conditionalFormatting>
  <conditionalFormatting sqref="D3">
    <cfRule type="duplicateValues" dxfId="83" priority="47"/>
    <cfRule type="duplicateValues" dxfId="82" priority="46"/>
  </conditionalFormatting>
  <conditionalFormatting sqref="D3:D44 D85:D86 D90:D95">
    <cfRule type="duplicateValues" dxfId="81" priority="55"/>
  </conditionalFormatting>
  <conditionalFormatting sqref="D3:D44 D85:D126">
    <cfRule type="duplicateValues" dxfId="80" priority="56"/>
  </conditionalFormatting>
  <conditionalFormatting sqref="D3:D44 D85:D328">
    <cfRule type="duplicateValues" dxfId="79" priority="49"/>
  </conditionalFormatting>
  <conditionalFormatting sqref="D3:D328">
    <cfRule type="duplicateValues" dxfId="78" priority="63"/>
  </conditionalFormatting>
  <conditionalFormatting sqref="D7:D9 D14">
    <cfRule type="duplicateValues" dxfId="77" priority="48"/>
  </conditionalFormatting>
  <conditionalFormatting sqref="D10:D13">
    <cfRule type="duplicateValues" dxfId="76" priority="61"/>
  </conditionalFormatting>
  <conditionalFormatting sqref="D10:D14">
    <cfRule type="duplicateValues" dxfId="75" priority="62"/>
  </conditionalFormatting>
  <conditionalFormatting sqref="D15:D18">
    <cfRule type="duplicateValues" dxfId="74" priority="60"/>
  </conditionalFormatting>
  <conditionalFormatting sqref="D19">
    <cfRule type="duplicateValues" dxfId="73" priority="59"/>
    <cfRule type="duplicateValues" dxfId="72" priority="58"/>
  </conditionalFormatting>
  <conditionalFormatting sqref="D45">
    <cfRule type="duplicateValues" dxfId="71" priority="45"/>
  </conditionalFormatting>
  <conditionalFormatting sqref="D46">
    <cfRule type="duplicateValues" dxfId="70" priority="43"/>
  </conditionalFormatting>
  <conditionalFormatting sqref="D47:D50">
    <cfRule type="duplicateValues" dxfId="69" priority="44"/>
  </conditionalFormatting>
  <conditionalFormatting sqref="D51">
    <cfRule type="duplicateValues" dxfId="68" priority="41"/>
    <cfRule type="duplicateValues" dxfId="67" priority="42"/>
  </conditionalFormatting>
  <conditionalFormatting sqref="D52:D60">
    <cfRule type="duplicateValues" dxfId="66" priority="40"/>
  </conditionalFormatting>
  <conditionalFormatting sqref="D61:D84">
    <cfRule type="duplicateValues" dxfId="65" priority="57"/>
  </conditionalFormatting>
  <conditionalFormatting sqref="D127:D128 D130:D135">
    <cfRule type="duplicateValues" dxfId="64" priority="52"/>
  </conditionalFormatting>
  <conditionalFormatting sqref="D129">
    <cfRule type="duplicateValues" dxfId="63" priority="53"/>
    <cfRule type="duplicateValues" dxfId="62" priority="54"/>
  </conditionalFormatting>
  <conditionalFormatting sqref="D136:D328">
    <cfRule type="duplicateValues" dxfId="61" priority="50"/>
  </conditionalFormatting>
  <conditionalFormatting sqref="D146:D147">
    <cfRule type="duplicateValues" dxfId="60" priority="38"/>
    <cfRule type="duplicateValues" dxfId="59" priority="37"/>
    <cfRule type="duplicateValues" dxfId="58" priority="39"/>
  </conditionalFormatting>
  <conditionalFormatting sqref="D329:D385 E304:E380 D428:D431 E423:E426">
    <cfRule type="duplicateValues" dxfId="57" priority="447"/>
  </conditionalFormatting>
  <conditionalFormatting sqref="D329:D385 E304:E380 D428:D457 E423:E452">
    <cfRule type="duplicateValues" dxfId="56" priority="443"/>
  </conditionalFormatting>
  <conditionalFormatting sqref="D329:D385 E304:E380 D591:E661 D428:D590 E423:E585">
    <cfRule type="duplicateValues" dxfId="55" priority="341"/>
  </conditionalFormatting>
  <conditionalFormatting sqref="D386 E381">
    <cfRule type="duplicateValues" dxfId="54" priority="318"/>
  </conditionalFormatting>
  <conditionalFormatting sqref="D387 E382">
    <cfRule type="duplicateValues" dxfId="53" priority="319"/>
  </conditionalFormatting>
  <conditionalFormatting sqref="D388:D391 E383:E386">
    <cfRule type="duplicateValues" dxfId="52" priority="320"/>
  </conditionalFormatting>
  <conditionalFormatting sqref="D392 E387">
    <cfRule type="duplicateValues" dxfId="51" priority="321"/>
    <cfRule type="duplicateValues" dxfId="50" priority="322"/>
  </conditionalFormatting>
  <conditionalFormatting sqref="D393:D401 E388:E396">
    <cfRule type="duplicateValues" dxfId="49" priority="323"/>
  </conditionalFormatting>
  <conditionalFormatting sqref="D402:D427 E397:E422">
    <cfRule type="duplicateValues" dxfId="48" priority="324"/>
  </conditionalFormatting>
  <conditionalFormatting sqref="D458:D461 E453:E456 D464:D471 E459:E466">
    <cfRule type="duplicateValues" dxfId="47" priority="332"/>
  </conditionalFormatting>
  <conditionalFormatting sqref="D462:D463 E457:E458">
    <cfRule type="duplicateValues" dxfId="46" priority="331"/>
    <cfRule type="duplicateValues" dxfId="45" priority="330"/>
  </conditionalFormatting>
  <conditionalFormatting sqref="D470 E465">
    <cfRule type="duplicateValues" dxfId="44" priority="334"/>
  </conditionalFormatting>
  <conditionalFormatting sqref="D2:E2">
    <cfRule type="duplicateValues" dxfId="43" priority="307"/>
  </conditionalFormatting>
  <conditionalFormatting sqref="D591:E661 D329:D590 E304:E585">
    <cfRule type="duplicateValues" dxfId="42" priority="403"/>
  </conditionalFormatting>
  <conditionalFormatting sqref="D591:E661 D472:D590 E467:E585">
    <cfRule type="duplicateValues" dxfId="41" priority="335"/>
  </conditionalFormatting>
  <conditionalFormatting sqref="F3:F585 J3:J632 G325:G531 F591:F661">
    <cfRule type="cellIs" dxfId="40" priority="81" operator="lessThan">
      <formula>0</formula>
    </cfRule>
  </conditionalFormatting>
  <conditionalFormatting sqref="I3:I426">
    <cfRule type="duplicateValues" dxfId="39" priority="484"/>
  </conditionalFormatting>
  <conditionalFormatting sqref="I3:I556">
    <cfRule type="duplicateValues" dxfId="38" priority="486"/>
    <cfRule type="duplicateValues" dxfId="37" priority="485"/>
  </conditionalFormatting>
  <conditionalFormatting sqref="I179:I180">
    <cfRule type="duplicateValues" dxfId="36" priority="390"/>
    <cfRule type="duplicateValues" dxfId="35" priority="385"/>
    <cfRule type="duplicateValues" dxfId="34" priority="392"/>
    <cfRule type="duplicateValues" dxfId="33" priority="391"/>
    <cfRule type="duplicateValues" dxfId="32" priority="389"/>
    <cfRule type="duplicateValues" dxfId="31" priority="388"/>
    <cfRule type="duplicateValues" dxfId="30" priority="387"/>
    <cfRule type="duplicateValues" dxfId="29" priority="386"/>
  </conditionalFormatting>
  <conditionalFormatting sqref="I319:I344 I405:I410">
    <cfRule type="duplicateValues" dxfId="28" priority="394"/>
    <cfRule type="duplicateValues" dxfId="27" priority="393"/>
  </conditionalFormatting>
  <conditionalFormatting sqref="I345">
    <cfRule type="expression" dxfId="26" priority="141">
      <formula>COUNTIF(#REF!,I345)&gt;1</formula>
    </cfRule>
  </conditionalFormatting>
  <conditionalFormatting sqref="I557:I632">
    <cfRule type="duplicateValues" dxfId="25" priority="29"/>
    <cfRule type="duplicateValues" dxfId="24" priority="28"/>
  </conditionalFormatting>
  <conditionalFormatting sqref="M3:M33">
    <cfRule type="duplicateValues" dxfId="23" priority="32"/>
  </conditionalFormatting>
  <conditionalFormatting sqref="M34:M41">
    <cfRule type="duplicateValues" dxfId="22" priority="31"/>
  </conditionalFormatting>
  <conditionalFormatting sqref="M42">
    <cfRule type="duplicateValues" dxfId="21" priority="66"/>
    <cfRule type="duplicateValues" dxfId="20" priority="64"/>
  </conditionalFormatting>
  <conditionalFormatting sqref="M43:M76">
    <cfRule type="duplicateValues" dxfId="19" priority="65"/>
  </conditionalFormatting>
  <conditionalFormatting sqref="M62:M75">
    <cfRule type="duplicateValues" dxfId="18" priority="138"/>
  </conditionalFormatting>
  <conditionalFormatting sqref="M72:M74 L3:L76">
    <cfRule type="duplicateValues" dxfId="17" priority="139"/>
  </conditionalFormatting>
  <conditionalFormatting sqref="M75">
    <cfRule type="duplicateValues" dxfId="16" priority="137"/>
  </conditionalFormatting>
  <conditionalFormatting sqref="N65:N75">
    <cfRule type="cellIs" dxfId="15" priority="136" operator="lessThan">
      <formula>0</formula>
    </cfRule>
  </conditionalFormatting>
  <conditionalFormatting sqref="R23:R29">
    <cfRule type="duplicateValues" dxfId="14" priority="2"/>
  </conditionalFormatting>
  <conditionalFormatting sqref="R30:R42">
    <cfRule type="duplicateValues" dxfId="13" priority="1"/>
  </conditionalFormatting>
  <conditionalFormatting sqref="W2">
    <cfRule type="duplicateValues" dxfId="12" priority="30" stopIfTrue="1"/>
  </conditionalFormatting>
  <conditionalFormatting sqref="AC3:AC285">
    <cfRule type="duplicateValues" dxfId="11" priority="15"/>
  </conditionalFormatting>
  <conditionalFormatting sqref="AE3:AE8">
    <cfRule type="duplicateValues" dxfId="10" priority="14"/>
  </conditionalFormatting>
  <conditionalFormatting sqref="AI3:AI285">
    <cfRule type="cellIs" dxfId="9" priority="13" operator="lessThan">
      <formula>1</formula>
    </cfRule>
  </conditionalFormatting>
  <conditionalFormatting sqref="AN3:AN198">
    <cfRule type="duplicateValues" dxfId="8" priority="7"/>
  </conditionalFormatting>
  <conditionalFormatting sqref="AN199:AN281">
    <cfRule type="duplicateValues" dxfId="7" priority="12"/>
  </conditionalFormatting>
  <conditionalFormatting sqref="AO3:AO18">
    <cfRule type="duplicateValues" dxfId="6" priority="5"/>
  </conditionalFormatting>
  <conditionalFormatting sqref="AS3:AS198">
    <cfRule type="cellIs" dxfId="5" priority="6" operator="lessThan">
      <formula>1</formula>
    </cfRule>
  </conditionalFormatting>
  <conditionalFormatting sqref="AT199:AT281">
    <cfRule type="cellIs" dxfId="4" priority="10" operator="lessThan">
      <formula>1</formula>
    </cfRule>
  </conditionalFormatting>
  <dataValidations disablePrompts="1" count="2">
    <dataValidation allowBlank="1" sqref="AC3:AC6 AN3:AN4 AN11:AN12 AC12:AC13 AC16:AC21 AN23:AN24 AN27:AN32 AC96:AC138 AN97:AN133 AN136:AN243 AC141:AC247 AN245:AN261 AC249:AC265 AN263:AN281 AC267:AC285" xr:uid="{00000000-0002-0000-0400-000000000000}"/>
    <dataValidation type="custom" allowBlank="1" sqref="AW3:AW273" xr:uid="{00000000-0002-0000-0400-000001000000}">
      <formula1>OR(NOT(ISERROR(DATEVALUE(AW3))),AND(ISNUMBER(AW3),LEFT(CELL("format",AW3))="D"))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E008-1569-4C4A-AAB0-322B2A4B8FB4}">
  <dimension ref="C1:G385"/>
  <sheetViews>
    <sheetView workbookViewId="0">
      <selection activeCell="F37" sqref="F37"/>
    </sheetView>
  </sheetViews>
  <sheetFormatPr defaultRowHeight="15" x14ac:dyDescent="0.25"/>
  <cols>
    <col min="3" max="3" width="10.5703125" bestFit="1" customWidth="1"/>
    <col min="4" max="4" width="12.85546875" bestFit="1" customWidth="1"/>
    <col min="5" max="5" width="34.42578125" bestFit="1" customWidth="1"/>
    <col min="6" max="6" width="13.42578125" bestFit="1" customWidth="1"/>
  </cols>
  <sheetData>
    <row r="1" spans="3:7" ht="15.75" thickBot="1" x14ac:dyDescent="0.3"/>
    <row r="2" spans="3:7" ht="22.5" x14ac:dyDescent="0.25">
      <c r="C2" s="169" t="s">
        <v>687</v>
      </c>
      <c r="D2" s="193" t="s">
        <v>79</v>
      </c>
      <c r="E2" s="193" t="s">
        <v>1</v>
      </c>
      <c r="F2" s="209" t="s">
        <v>1167</v>
      </c>
      <c r="G2" t="s">
        <v>1138</v>
      </c>
    </row>
    <row r="3" spans="3:7" x14ac:dyDescent="0.25">
      <c r="C3" s="216">
        <v>10610009</v>
      </c>
      <c r="D3" s="41"/>
      <c r="E3" s="194"/>
      <c r="F3" s="210"/>
      <c r="G3" s="11">
        <v>10000</v>
      </c>
    </row>
    <row r="4" spans="3:7" x14ac:dyDescent="0.25">
      <c r="C4" s="216">
        <v>10570051</v>
      </c>
      <c r="D4" s="41"/>
      <c r="E4" s="194"/>
      <c r="F4" s="211"/>
      <c r="G4" s="11">
        <v>20000</v>
      </c>
    </row>
    <row r="5" spans="3:7" x14ac:dyDescent="0.25">
      <c r="C5" s="216">
        <v>10570052</v>
      </c>
      <c r="D5" s="41"/>
      <c r="E5" s="194"/>
      <c r="F5" s="210"/>
      <c r="G5" s="11">
        <v>20000</v>
      </c>
    </row>
    <row r="6" spans="3:7" x14ac:dyDescent="0.25">
      <c r="C6" s="216">
        <v>10600012</v>
      </c>
      <c r="D6" s="41"/>
      <c r="E6" s="194"/>
      <c r="F6" s="211"/>
      <c r="G6" s="11">
        <v>10000</v>
      </c>
    </row>
    <row r="7" spans="3:7" x14ac:dyDescent="0.25">
      <c r="C7" s="216">
        <v>10650011</v>
      </c>
      <c r="D7" s="41"/>
      <c r="E7" s="194"/>
      <c r="F7" s="210"/>
      <c r="G7" s="11">
        <v>10000</v>
      </c>
    </row>
    <row r="8" spans="3:7" x14ac:dyDescent="0.25">
      <c r="C8" s="216">
        <v>10570047</v>
      </c>
      <c r="D8" s="41"/>
      <c r="E8" s="194"/>
      <c r="F8" s="211"/>
      <c r="G8" s="11">
        <v>20000</v>
      </c>
    </row>
    <row r="9" spans="3:7" x14ac:dyDescent="0.25">
      <c r="C9" s="216">
        <v>10570048</v>
      </c>
      <c r="D9" s="41"/>
      <c r="E9" s="194"/>
      <c r="F9" s="210"/>
      <c r="G9" s="11">
        <v>20000</v>
      </c>
    </row>
    <row r="10" spans="3:7" x14ac:dyDescent="0.25">
      <c r="C10" s="216">
        <v>10570049</v>
      </c>
      <c r="D10" s="41"/>
      <c r="E10" s="194"/>
      <c r="F10" s="211"/>
      <c r="G10" s="11">
        <v>20000</v>
      </c>
    </row>
    <row r="11" spans="3:7" x14ac:dyDescent="0.25">
      <c r="C11" s="216">
        <v>10010143</v>
      </c>
      <c r="D11" s="41"/>
      <c r="E11" s="194"/>
      <c r="F11" s="210"/>
      <c r="G11" s="11">
        <v>10000</v>
      </c>
    </row>
    <row r="12" spans="3:7" x14ac:dyDescent="0.25">
      <c r="C12" s="216">
        <v>10010144</v>
      </c>
      <c r="D12" s="41"/>
      <c r="E12" s="194"/>
      <c r="F12" s="211"/>
      <c r="G12" s="11">
        <v>10000</v>
      </c>
    </row>
    <row r="13" spans="3:7" x14ac:dyDescent="0.25">
      <c r="C13" s="216">
        <v>10010145</v>
      </c>
      <c r="D13" s="41"/>
      <c r="E13" s="194"/>
      <c r="F13" s="210"/>
      <c r="G13" s="11">
        <v>10000</v>
      </c>
    </row>
    <row r="14" spans="3:7" x14ac:dyDescent="0.25">
      <c r="C14" s="216">
        <v>10010146</v>
      </c>
      <c r="D14" s="41"/>
      <c r="E14" s="194"/>
      <c r="F14" s="211"/>
      <c r="G14" s="11">
        <v>10000</v>
      </c>
    </row>
    <row r="15" spans="3:7" x14ac:dyDescent="0.25">
      <c r="C15" s="216">
        <v>10010147</v>
      </c>
      <c r="D15" s="41"/>
      <c r="E15" s="194"/>
      <c r="F15" s="210"/>
      <c r="G15" s="11">
        <v>20000</v>
      </c>
    </row>
    <row r="16" spans="3:7" x14ac:dyDescent="0.25">
      <c r="C16" s="216">
        <v>10030086</v>
      </c>
      <c r="D16" s="41"/>
      <c r="E16" s="194"/>
      <c r="F16" s="211"/>
      <c r="G16" s="11">
        <v>10000</v>
      </c>
    </row>
    <row r="17" spans="3:7" x14ac:dyDescent="0.25">
      <c r="C17" s="216">
        <v>10030087</v>
      </c>
      <c r="D17" s="41"/>
      <c r="E17" s="194"/>
      <c r="F17" s="210"/>
      <c r="G17" s="11">
        <v>10000</v>
      </c>
    </row>
    <row r="18" spans="3:7" x14ac:dyDescent="0.25">
      <c r="C18" s="216">
        <v>10030088</v>
      </c>
      <c r="D18" s="41"/>
      <c r="E18" s="194"/>
      <c r="F18" s="211"/>
      <c r="G18" s="11">
        <v>10000</v>
      </c>
    </row>
    <row r="19" spans="3:7" x14ac:dyDescent="0.25">
      <c r="C19" s="216">
        <v>10030089</v>
      </c>
      <c r="D19" s="41"/>
      <c r="E19" s="194"/>
      <c r="F19" s="210"/>
      <c r="G19" s="11">
        <v>5000</v>
      </c>
    </row>
    <row r="20" spans="3:7" x14ac:dyDescent="0.25">
      <c r="C20" s="216">
        <v>10030090</v>
      </c>
      <c r="D20" s="41"/>
      <c r="E20" s="194"/>
      <c r="F20" s="211"/>
      <c r="G20" s="11">
        <v>10000</v>
      </c>
    </row>
    <row r="21" spans="3:7" x14ac:dyDescent="0.25">
      <c r="C21" s="216">
        <v>10590014</v>
      </c>
      <c r="D21" s="41"/>
      <c r="E21" s="194"/>
      <c r="F21" s="210"/>
      <c r="G21" s="11">
        <v>5000</v>
      </c>
    </row>
    <row r="22" spans="3:7" x14ac:dyDescent="0.25">
      <c r="C22" s="216">
        <v>10570055</v>
      </c>
      <c r="D22" s="41"/>
      <c r="E22" s="194"/>
      <c r="F22" s="211"/>
      <c r="G22" s="11">
        <v>20000</v>
      </c>
    </row>
    <row r="23" spans="3:7" x14ac:dyDescent="0.25">
      <c r="C23" s="216">
        <v>10110187</v>
      </c>
      <c r="D23" s="41"/>
      <c r="E23" s="194"/>
      <c r="F23" s="210"/>
      <c r="G23" s="11">
        <v>10000</v>
      </c>
    </row>
    <row r="24" spans="3:7" x14ac:dyDescent="0.25">
      <c r="C24" s="216">
        <v>10580024</v>
      </c>
      <c r="D24" s="41"/>
      <c r="E24" s="194"/>
      <c r="F24" s="211"/>
      <c r="G24" s="11">
        <v>10000</v>
      </c>
    </row>
    <row r="25" spans="3:7" x14ac:dyDescent="0.25">
      <c r="C25" s="216">
        <v>10580025</v>
      </c>
      <c r="D25" s="41"/>
      <c r="E25" s="194"/>
      <c r="F25" s="210"/>
      <c r="G25" s="11">
        <v>5000</v>
      </c>
    </row>
    <row r="26" spans="3:7" x14ac:dyDescent="0.25">
      <c r="C26" s="216">
        <v>10580029</v>
      </c>
      <c r="D26" s="41"/>
      <c r="E26" s="194"/>
      <c r="F26" s="211"/>
      <c r="G26" s="11">
        <v>10000</v>
      </c>
    </row>
    <row r="27" spans="3:7" x14ac:dyDescent="0.25">
      <c r="C27" s="216">
        <v>10640008</v>
      </c>
      <c r="D27" s="41"/>
      <c r="E27" s="194"/>
      <c r="F27" s="210"/>
      <c r="G27" s="11">
        <v>20000</v>
      </c>
    </row>
    <row r="28" spans="3:7" x14ac:dyDescent="0.25">
      <c r="C28" s="216">
        <v>10640009</v>
      </c>
      <c r="D28" s="41"/>
      <c r="E28" s="194"/>
      <c r="F28" s="211"/>
      <c r="G28" s="11">
        <v>20000</v>
      </c>
    </row>
    <row r="29" spans="3:7" x14ac:dyDescent="0.25">
      <c r="C29" s="216">
        <v>10530112</v>
      </c>
      <c r="D29" s="41"/>
      <c r="E29" s="194"/>
      <c r="F29" s="210"/>
      <c r="G29" s="11">
        <v>10000</v>
      </c>
    </row>
    <row r="30" spans="3:7" x14ac:dyDescent="0.25">
      <c r="C30" s="216">
        <v>10610026</v>
      </c>
      <c r="D30" s="41"/>
      <c r="E30" s="194"/>
      <c r="F30" s="211"/>
      <c r="G30" s="11">
        <v>10000</v>
      </c>
    </row>
    <row r="31" spans="3:7" x14ac:dyDescent="0.25">
      <c r="C31" s="216">
        <v>10600013</v>
      </c>
      <c r="D31" s="41"/>
      <c r="E31" s="194"/>
      <c r="F31" s="210"/>
      <c r="G31" s="11">
        <v>10000</v>
      </c>
    </row>
    <row r="32" spans="3:7" x14ac:dyDescent="0.25">
      <c r="C32" s="216">
        <v>10560035</v>
      </c>
      <c r="D32" s="41"/>
      <c r="E32" s="194"/>
      <c r="F32" s="211"/>
      <c r="G32" s="11">
        <v>10000</v>
      </c>
    </row>
    <row r="33" spans="3:7" x14ac:dyDescent="0.25">
      <c r="C33" s="216">
        <v>10560036</v>
      </c>
      <c r="D33" s="41"/>
      <c r="E33" s="194"/>
      <c r="F33" s="210"/>
      <c r="G33" s="11">
        <v>10000</v>
      </c>
    </row>
    <row r="34" spans="3:7" x14ac:dyDescent="0.25">
      <c r="C34" s="216">
        <v>10560037</v>
      </c>
      <c r="D34" s="41"/>
      <c r="E34" s="194"/>
      <c r="F34" s="211"/>
      <c r="G34" s="11">
        <v>10000</v>
      </c>
    </row>
    <row r="35" spans="3:7" x14ac:dyDescent="0.25">
      <c r="C35" s="216">
        <v>10630013</v>
      </c>
      <c r="D35" s="41"/>
      <c r="E35" s="194"/>
      <c r="F35" s="210"/>
      <c r="G35" s="11">
        <v>20000</v>
      </c>
    </row>
    <row r="36" spans="3:7" x14ac:dyDescent="0.25">
      <c r="C36" s="216">
        <v>10630014</v>
      </c>
      <c r="D36" s="41"/>
      <c r="E36" s="194"/>
      <c r="F36" s="211"/>
      <c r="G36" s="11">
        <v>20000</v>
      </c>
    </row>
    <row r="37" spans="3:7" x14ac:dyDescent="0.25">
      <c r="C37" s="216">
        <v>10630015</v>
      </c>
      <c r="D37" s="41"/>
      <c r="E37" s="194"/>
      <c r="F37" s="210"/>
      <c r="G37" s="11">
        <v>20000</v>
      </c>
    </row>
    <row r="38" spans="3:7" x14ac:dyDescent="0.25">
      <c r="C38" s="216">
        <v>10650004</v>
      </c>
      <c r="D38" s="41"/>
      <c r="E38" s="194"/>
      <c r="F38" s="211"/>
      <c r="G38" s="11">
        <v>5000</v>
      </c>
    </row>
    <row r="39" spans="3:7" x14ac:dyDescent="0.25">
      <c r="C39" s="216">
        <v>10650005</v>
      </c>
      <c r="D39" s="41"/>
      <c r="E39" s="194"/>
      <c r="F39" s="210"/>
      <c r="G39" s="11">
        <v>20000</v>
      </c>
    </row>
    <row r="40" spans="3:7" x14ac:dyDescent="0.25">
      <c r="C40" s="216">
        <v>10640002</v>
      </c>
      <c r="D40" s="41"/>
      <c r="E40" s="194"/>
      <c r="F40" s="211"/>
      <c r="G40" s="11">
        <v>15000</v>
      </c>
    </row>
    <row r="41" spans="3:7" x14ac:dyDescent="0.25">
      <c r="C41" s="216">
        <v>10640004</v>
      </c>
      <c r="D41" s="41"/>
      <c r="E41" s="194"/>
      <c r="F41" s="210"/>
      <c r="G41" s="11">
        <v>10000</v>
      </c>
    </row>
    <row r="42" spans="3:7" x14ac:dyDescent="0.25">
      <c r="C42" s="216">
        <v>10640005</v>
      </c>
      <c r="D42" s="41"/>
      <c r="E42" s="194"/>
      <c r="F42" s="211"/>
      <c r="G42" s="11">
        <v>15000</v>
      </c>
    </row>
    <row r="43" spans="3:7" x14ac:dyDescent="0.25">
      <c r="C43" s="216">
        <v>10640006</v>
      </c>
      <c r="D43" s="41"/>
      <c r="E43" s="194"/>
      <c r="F43" s="210"/>
      <c r="G43" s="11">
        <v>15000</v>
      </c>
    </row>
    <row r="44" spans="3:7" x14ac:dyDescent="0.25">
      <c r="C44" s="216">
        <v>10120010</v>
      </c>
      <c r="D44" s="43"/>
      <c r="E44" s="195"/>
      <c r="F44" s="211"/>
      <c r="G44" s="11">
        <v>20000</v>
      </c>
    </row>
    <row r="45" spans="3:7" x14ac:dyDescent="0.25">
      <c r="C45" s="216">
        <v>10580022</v>
      </c>
      <c r="D45" s="43"/>
      <c r="E45" s="195"/>
      <c r="F45" s="210"/>
      <c r="G45" s="11">
        <v>20000</v>
      </c>
    </row>
    <row r="46" spans="3:7" x14ac:dyDescent="0.25">
      <c r="C46" s="216">
        <v>10590013</v>
      </c>
      <c r="D46" s="43"/>
      <c r="E46" s="195"/>
      <c r="F46" s="211"/>
      <c r="G46" s="11">
        <v>5000</v>
      </c>
    </row>
    <row r="47" spans="3:7" x14ac:dyDescent="0.25">
      <c r="C47" s="216">
        <v>10610022</v>
      </c>
      <c r="D47" s="43"/>
      <c r="E47" s="195"/>
      <c r="F47" s="210"/>
      <c r="G47" s="11">
        <v>20000</v>
      </c>
    </row>
    <row r="48" spans="3:7" x14ac:dyDescent="0.25">
      <c r="C48" s="216">
        <v>10610017</v>
      </c>
      <c r="D48" s="41"/>
      <c r="E48" s="194"/>
      <c r="F48" s="211"/>
      <c r="G48" s="11">
        <v>10000</v>
      </c>
    </row>
    <row r="49" spans="3:7" x14ac:dyDescent="0.25">
      <c r="C49" s="216">
        <v>10610018</v>
      </c>
      <c r="D49" s="43"/>
      <c r="E49" s="195"/>
      <c r="F49" s="210"/>
      <c r="G49" s="11">
        <v>10000</v>
      </c>
    </row>
    <row r="50" spans="3:7" x14ac:dyDescent="0.25">
      <c r="C50" s="216">
        <v>10610019</v>
      </c>
      <c r="D50" s="41"/>
      <c r="E50" s="194"/>
      <c r="F50" s="211"/>
      <c r="G50" s="11">
        <v>10000</v>
      </c>
    </row>
    <row r="51" spans="3:7" x14ac:dyDescent="0.25">
      <c r="C51" s="216">
        <v>10630001</v>
      </c>
      <c r="D51" s="41"/>
      <c r="E51" s="194"/>
      <c r="F51" s="210"/>
      <c r="G51" s="11">
        <v>20000</v>
      </c>
    </row>
    <row r="52" spans="3:7" x14ac:dyDescent="0.25">
      <c r="C52" s="216">
        <v>10630002</v>
      </c>
      <c r="D52" s="41"/>
      <c r="E52" s="194"/>
      <c r="F52" s="211"/>
      <c r="G52" s="11">
        <v>20000</v>
      </c>
    </row>
    <row r="53" spans="3:7" x14ac:dyDescent="0.25">
      <c r="C53" s="216">
        <v>10630003</v>
      </c>
      <c r="D53" s="43"/>
      <c r="E53" s="195"/>
      <c r="F53" s="210"/>
      <c r="G53" s="11">
        <v>20000</v>
      </c>
    </row>
    <row r="54" spans="3:7" x14ac:dyDescent="0.25">
      <c r="C54" s="216">
        <v>10630004</v>
      </c>
      <c r="D54" s="41"/>
      <c r="E54" s="194"/>
      <c r="F54" s="211"/>
      <c r="G54" s="11">
        <v>20000</v>
      </c>
    </row>
    <row r="55" spans="3:7" x14ac:dyDescent="0.25">
      <c r="C55" s="216">
        <v>10630005</v>
      </c>
      <c r="D55" s="196"/>
      <c r="E55" s="197"/>
      <c r="F55" s="210"/>
      <c r="G55" s="11">
        <v>20000</v>
      </c>
    </row>
    <row r="56" spans="3:7" x14ac:dyDescent="0.25">
      <c r="C56" s="216">
        <v>10630006</v>
      </c>
      <c r="D56" s="41"/>
      <c r="E56" s="194"/>
      <c r="F56" s="211"/>
      <c r="G56" s="11">
        <v>20000</v>
      </c>
    </row>
    <row r="57" spans="3:7" x14ac:dyDescent="0.25">
      <c r="C57" s="216">
        <v>10630007</v>
      </c>
      <c r="D57" s="41"/>
      <c r="E57" s="194"/>
      <c r="F57" s="210"/>
      <c r="G57" s="11">
        <v>20000</v>
      </c>
    </row>
    <row r="58" spans="3:7" x14ac:dyDescent="0.25">
      <c r="C58" s="216">
        <v>10630008</v>
      </c>
      <c r="D58" s="41"/>
      <c r="E58" s="194"/>
      <c r="F58" s="211"/>
      <c r="G58" s="11">
        <v>20000</v>
      </c>
    </row>
    <row r="59" spans="3:7" x14ac:dyDescent="0.25">
      <c r="C59" s="216">
        <v>10630009</v>
      </c>
      <c r="D59" s="41"/>
      <c r="E59" s="194"/>
      <c r="F59" s="210"/>
      <c r="G59" s="11">
        <v>20000</v>
      </c>
    </row>
    <row r="60" spans="3:7" x14ac:dyDescent="0.25">
      <c r="C60" s="216">
        <v>10570044</v>
      </c>
      <c r="D60" s="41"/>
      <c r="E60" s="194"/>
      <c r="F60" s="211"/>
      <c r="G60" s="11">
        <v>20000</v>
      </c>
    </row>
    <row r="61" spans="3:7" x14ac:dyDescent="0.25">
      <c r="C61" s="216">
        <v>10570045</v>
      </c>
      <c r="D61" s="41"/>
      <c r="E61" s="194"/>
      <c r="F61" s="210"/>
      <c r="G61" s="11">
        <v>20000</v>
      </c>
    </row>
    <row r="62" spans="3:7" x14ac:dyDescent="0.25">
      <c r="C62" s="216">
        <v>10610010</v>
      </c>
      <c r="D62" s="41"/>
      <c r="E62" s="194"/>
      <c r="F62" s="211"/>
      <c r="G62" s="11">
        <v>10000</v>
      </c>
    </row>
    <row r="63" spans="3:7" x14ac:dyDescent="0.25">
      <c r="C63" s="216">
        <v>10130117</v>
      </c>
      <c r="D63" s="41"/>
      <c r="E63" s="194"/>
      <c r="F63" s="210"/>
      <c r="G63" s="11">
        <v>10000</v>
      </c>
    </row>
    <row r="64" spans="3:7" x14ac:dyDescent="0.25">
      <c r="C64" s="216">
        <v>10560028</v>
      </c>
      <c r="D64" s="41"/>
      <c r="E64" s="194"/>
      <c r="F64" s="211"/>
      <c r="G64" s="11">
        <v>10000</v>
      </c>
    </row>
    <row r="65" spans="3:7" x14ac:dyDescent="0.25">
      <c r="C65" s="216">
        <v>10080122</v>
      </c>
      <c r="D65" s="41"/>
      <c r="E65" s="194"/>
      <c r="F65" s="210"/>
      <c r="G65" s="11">
        <v>5000</v>
      </c>
    </row>
    <row r="66" spans="3:7" x14ac:dyDescent="0.25">
      <c r="C66" s="216">
        <v>10110181</v>
      </c>
      <c r="D66" s="41"/>
      <c r="E66" s="194"/>
      <c r="F66" s="211"/>
      <c r="G66" s="11">
        <v>10000</v>
      </c>
    </row>
    <row r="67" spans="3:7" x14ac:dyDescent="0.25">
      <c r="C67" s="216">
        <v>10550005</v>
      </c>
      <c r="D67" s="41"/>
      <c r="E67" s="194"/>
      <c r="F67" s="210"/>
      <c r="G67" s="11">
        <v>10000</v>
      </c>
    </row>
    <row r="68" spans="3:7" x14ac:dyDescent="0.25">
      <c r="C68" s="216">
        <v>10560029</v>
      </c>
      <c r="D68" s="41"/>
      <c r="E68" s="194"/>
      <c r="F68" s="211"/>
      <c r="G68" s="11">
        <v>10000</v>
      </c>
    </row>
    <row r="69" spans="3:7" x14ac:dyDescent="0.25">
      <c r="C69" s="216">
        <v>10560030</v>
      </c>
      <c r="D69" s="41"/>
      <c r="E69" s="194"/>
      <c r="F69" s="210"/>
      <c r="G69" s="11">
        <v>15000</v>
      </c>
    </row>
    <row r="70" spans="3:7" x14ac:dyDescent="0.25">
      <c r="C70" s="216">
        <v>10560031</v>
      </c>
      <c r="D70" s="41"/>
      <c r="E70" s="194"/>
      <c r="F70" s="211"/>
      <c r="G70" s="11">
        <v>10000</v>
      </c>
    </row>
    <row r="71" spans="3:7" x14ac:dyDescent="0.25">
      <c r="C71" s="216">
        <v>10100061</v>
      </c>
      <c r="D71" s="41"/>
      <c r="E71" s="194"/>
      <c r="F71" s="210"/>
      <c r="G71" s="11">
        <v>10000</v>
      </c>
    </row>
    <row r="72" spans="3:7" x14ac:dyDescent="0.25">
      <c r="C72" s="216">
        <v>10120122</v>
      </c>
      <c r="D72" s="41"/>
      <c r="E72" s="194"/>
      <c r="F72" s="211"/>
      <c r="G72" s="11">
        <v>9389</v>
      </c>
    </row>
    <row r="73" spans="3:7" x14ac:dyDescent="0.25">
      <c r="C73" s="216">
        <v>10130115</v>
      </c>
      <c r="D73" s="41"/>
      <c r="E73" s="194"/>
      <c r="F73" s="210"/>
      <c r="G73" s="11">
        <v>10000</v>
      </c>
    </row>
    <row r="74" spans="3:7" x14ac:dyDescent="0.25">
      <c r="C74" s="216">
        <v>10130116</v>
      </c>
      <c r="D74" s="41"/>
      <c r="E74" s="194"/>
      <c r="F74" s="211"/>
      <c r="G74" s="11">
        <v>20000</v>
      </c>
    </row>
    <row r="75" spans="3:7" x14ac:dyDescent="0.25">
      <c r="C75" s="216">
        <v>10570042</v>
      </c>
      <c r="D75" s="41"/>
      <c r="E75" s="194"/>
      <c r="F75" s="210"/>
      <c r="G75" s="11">
        <v>20000</v>
      </c>
    </row>
    <row r="76" spans="3:7" x14ac:dyDescent="0.25">
      <c r="C76" s="216">
        <v>10540043</v>
      </c>
      <c r="D76" s="41"/>
      <c r="E76" s="194"/>
      <c r="F76" s="211"/>
      <c r="G76" s="11">
        <v>10000</v>
      </c>
    </row>
    <row r="77" spans="3:7" x14ac:dyDescent="0.25">
      <c r="C77" s="216">
        <v>10600008</v>
      </c>
      <c r="D77" s="41"/>
      <c r="E77" s="194"/>
      <c r="F77" s="210"/>
      <c r="G77" s="11">
        <v>10000</v>
      </c>
    </row>
    <row r="78" spans="3:7" x14ac:dyDescent="0.25">
      <c r="C78" s="216">
        <v>10610004</v>
      </c>
      <c r="D78" s="41"/>
      <c r="E78" s="194"/>
      <c r="F78" s="211"/>
      <c r="G78" s="11">
        <v>10000</v>
      </c>
    </row>
    <row r="79" spans="3:7" x14ac:dyDescent="0.25">
      <c r="C79" s="216">
        <v>10610006</v>
      </c>
      <c r="D79" s="41"/>
      <c r="E79" s="194"/>
      <c r="F79" s="210"/>
      <c r="G79" s="11">
        <v>10000</v>
      </c>
    </row>
    <row r="80" spans="3:7" x14ac:dyDescent="0.25">
      <c r="C80" s="216">
        <v>10610007</v>
      </c>
      <c r="D80" s="41"/>
      <c r="E80" s="194"/>
      <c r="F80" s="211"/>
      <c r="G80" s="11">
        <v>5000</v>
      </c>
    </row>
    <row r="81" spans="3:7" x14ac:dyDescent="0.25">
      <c r="C81" s="216">
        <v>10600009</v>
      </c>
      <c r="D81" s="41"/>
      <c r="E81" s="194"/>
      <c r="F81" s="210"/>
      <c r="G81" s="11">
        <v>14000</v>
      </c>
    </row>
    <row r="82" spans="3:7" x14ac:dyDescent="0.25">
      <c r="C82" s="216">
        <v>10600011</v>
      </c>
      <c r="D82" s="41"/>
      <c r="E82" s="194"/>
      <c r="F82" s="211"/>
      <c r="G82" s="11">
        <v>20000</v>
      </c>
    </row>
    <row r="83" spans="3:7" x14ac:dyDescent="0.25">
      <c r="C83" s="216">
        <v>10060130</v>
      </c>
      <c r="D83" s="41"/>
      <c r="E83" s="194"/>
      <c r="F83" s="210"/>
      <c r="G83" s="11">
        <v>10000</v>
      </c>
    </row>
    <row r="84" spans="3:7" x14ac:dyDescent="0.25">
      <c r="C84" s="216">
        <v>10590006</v>
      </c>
      <c r="D84" s="41"/>
      <c r="E84" s="194"/>
      <c r="F84" s="211"/>
      <c r="G84" s="11">
        <v>3812</v>
      </c>
    </row>
    <row r="85" spans="3:7" x14ac:dyDescent="0.25">
      <c r="C85" s="216">
        <v>10590009</v>
      </c>
      <c r="D85" s="41"/>
      <c r="E85" s="194"/>
      <c r="F85" s="210"/>
      <c r="G85" s="11">
        <v>10000</v>
      </c>
    </row>
    <row r="86" spans="3:7" x14ac:dyDescent="0.25">
      <c r="C86" s="216">
        <v>10600002</v>
      </c>
      <c r="D86" s="41"/>
      <c r="E86" s="194"/>
      <c r="F86" s="211"/>
      <c r="G86" s="11">
        <v>10000</v>
      </c>
    </row>
    <row r="87" spans="3:7" x14ac:dyDescent="0.25">
      <c r="C87" s="216">
        <v>10600003</v>
      </c>
      <c r="D87" s="41"/>
      <c r="E87" s="194"/>
      <c r="F87" s="210"/>
      <c r="G87" s="11">
        <v>20000</v>
      </c>
    </row>
    <row r="88" spans="3:7" x14ac:dyDescent="0.25">
      <c r="C88" s="216">
        <v>10600004</v>
      </c>
      <c r="D88" s="41"/>
      <c r="E88" s="194"/>
      <c r="F88" s="211"/>
      <c r="G88" s="11">
        <v>10000</v>
      </c>
    </row>
    <row r="89" spans="3:7" x14ac:dyDescent="0.25">
      <c r="C89" s="216">
        <v>10600005</v>
      </c>
      <c r="D89" s="43"/>
      <c r="E89" s="195"/>
      <c r="F89" s="210"/>
      <c r="G89" s="11">
        <v>10000</v>
      </c>
    </row>
    <row r="90" spans="3:7" x14ac:dyDescent="0.25">
      <c r="C90" s="216">
        <v>10600007</v>
      </c>
      <c r="D90" s="41"/>
      <c r="E90" s="194"/>
      <c r="F90" s="211"/>
      <c r="G90" s="11">
        <v>20000</v>
      </c>
    </row>
    <row r="91" spans="3:7" x14ac:dyDescent="0.25">
      <c r="C91" s="216">
        <v>10580019</v>
      </c>
      <c r="D91" s="41"/>
      <c r="E91" s="194"/>
      <c r="F91" s="210"/>
      <c r="G91" s="11">
        <v>5000</v>
      </c>
    </row>
    <row r="92" spans="3:7" x14ac:dyDescent="0.25">
      <c r="C92" s="216">
        <v>10070078</v>
      </c>
      <c r="D92" s="41"/>
      <c r="E92" s="194"/>
      <c r="F92" s="211"/>
      <c r="G92" s="11">
        <v>13770</v>
      </c>
    </row>
    <row r="93" spans="3:7" x14ac:dyDescent="0.25">
      <c r="C93" s="216">
        <v>10120120</v>
      </c>
      <c r="D93" s="43"/>
      <c r="E93" s="195"/>
      <c r="F93" s="210"/>
      <c r="G93" s="11">
        <v>10000</v>
      </c>
    </row>
    <row r="94" spans="3:7" x14ac:dyDescent="0.25">
      <c r="C94" s="216">
        <v>10120121</v>
      </c>
      <c r="D94" s="41"/>
      <c r="E94" s="194"/>
      <c r="F94" s="211"/>
      <c r="G94" s="11">
        <v>9603</v>
      </c>
    </row>
    <row r="95" spans="3:7" x14ac:dyDescent="0.25">
      <c r="C95" s="216">
        <v>10540042</v>
      </c>
      <c r="D95" s="41"/>
      <c r="E95" s="194"/>
      <c r="F95" s="210"/>
      <c r="G95" s="11">
        <v>20000</v>
      </c>
    </row>
    <row r="96" spans="3:7" x14ac:dyDescent="0.25">
      <c r="C96" s="216">
        <v>10560026</v>
      </c>
      <c r="D96" s="41"/>
      <c r="E96" s="194"/>
      <c r="F96" s="211"/>
      <c r="G96" s="11">
        <v>8667</v>
      </c>
    </row>
    <row r="97" spans="3:7" x14ac:dyDescent="0.25">
      <c r="C97" s="216">
        <v>10530102</v>
      </c>
      <c r="D97" s="41"/>
      <c r="E97" s="194"/>
      <c r="F97" s="210"/>
      <c r="G97" s="11">
        <v>9702</v>
      </c>
    </row>
    <row r="98" spans="3:7" x14ac:dyDescent="0.25">
      <c r="C98" s="216">
        <v>10570036</v>
      </c>
      <c r="D98" s="41"/>
      <c r="E98" s="194"/>
      <c r="F98" s="211"/>
      <c r="G98" s="11">
        <v>10000</v>
      </c>
    </row>
    <row r="99" spans="3:7" x14ac:dyDescent="0.25">
      <c r="C99" s="216">
        <v>10590001</v>
      </c>
      <c r="D99" s="41"/>
      <c r="E99" s="194"/>
      <c r="F99" s="210"/>
      <c r="G99" s="11">
        <v>2380</v>
      </c>
    </row>
    <row r="100" spans="3:7" x14ac:dyDescent="0.25">
      <c r="C100" s="216">
        <v>10590002</v>
      </c>
      <c r="D100" s="41"/>
      <c r="E100" s="194"/>
      <c r="F100" s="211"/>
      <c r="G100" s="11">
        <v>18467</v>
      </c>
    </row>
    <row r="101" spans="3:7" x14ac:dyDescent="0.25">
      <c r="C101" s="216">
        <v>10590003</v>
      </c>
      <c r="D101" s="41"/>
      <c r="E101" s="194"/>
      <c r="F101" s="210"/>
      <c r="G101" s="11">
        <v>8962</v>
      </c>
    </row>
    <row r="102" spans="3:7" x14ac:dyDescent="0.25">
      <c r="C102" s="216">
        <v>10590004</v>
      </c>
      <c r="D102" s="41"/>
      <c r="E102" s="194"/>
      <c r="F102" s="211"/>
      <c r="G102" s="11">
        <v>3191</v>
      </c>
    </row>
    <row r="103" spans="3:7" x14ac:dyDescent="0.25">
      <c r="C103" s="216">
        <v>10590005</v>
      </c>
      <c r="D103" s="43"/>
      <c r="E103" s="195"/>
      <c r="F103" s="210"/>
      <c r="G103" s="11">
        <v>10000</v>
      </c>
    </row>
    <row r="104" spans="3:7" x14ac:dyDescent="0.25">
      <c r="C104" s="216">
        <v>10070077</v>
      </c>
      <c r="D104" s="4"/>
      <c r="E104" s="4"/>
      <c r="F104" s="211"/>
      <c r="G104" s="11">
        <v>14569</v>
      </c>
    </row>
    <row r="105" spans="3:7" x14ac:dyDescent="0.25">
      <c r="C105" s="216">
        <v>10560022</v>
      </c>
      <c r="D105" s="4"/>
      <c r="E105" s="4"/>
      <c r="F105" s="210"/>
      <c r="G105" s="11">
        <v>7545</v>
      </c>
    </row>
    <row r="106" spans="3:7" x14ac:dyDescent="0.25">
      <c r="C106" s="216">
        <v>10560023</v>
      </c>
      <c r="D106" s="4"/>
      <c r="E106" s="4"/>
      <c r="F106" s="211"/>
      <c r="G106" s="11">
        <v>15000</v>
      </c>
    </row>
    <row r="107" spans="3:7" x14ac:dyDescent="0.25">
      <c r="C107" s="216">
        <v>10140197</v>
      </c>
      <c r="D107" s="4"/>
      <c r="E107" s="4"/>
      <c r="F107" s="210"/>
      <c r="G107" s="11">
        <v>19743</v>
      </c>
    </row>
    <row r="108" spans="3:7" x14ac:dyDescent="0.25">
      <c r="C108" s="216">
        <v>10550004</v>
      </c>
      <c r="D108" s="4"/>
      <c r="E108" s="4"/>
      <c r="F108" s="211"/>
      <c r="G108" s="11">
        <v>4953</v>
      </c>
    </row>
    <row r="109" spans="3:7" x14ac:dyDescent="0.25">
      <c r="C109" s="216">
        <v>10060126</v>
      </c>
      <c r="D109" s="4"/>
      <c r="E109" s="4"/>
      <c r="F109" s="210"/>
      <c r="G109" s="11">
        <v>4845</v>
      </c>
    </row>
    <row r="110" spans="3:7" x14ac:dyDescent="0.25">
      <c r="C110" s="216">
        <v>10090074</v>
      </c>
      <c r="D110" s="4"/>
      <c r="E110" s="4"/>
      <c r="F110" s="211"/>
      <c r="G110" s="11">
        <v>19621</v>
      </c>
    </row>
    <row r="111" spans="3:7" x14ac:dyDescent="0.25">
      <c r="C111" s="216">
        <v>10140194</v>
      </c>
      <c r="D111" s="4"/>
      <c r="E111" s="4"/>
      <c r="F111" s="210"/>
      <c r="G111" s="11">
        <v>7849</v>
      </c>
    </row>
    <row r="112" spans="3:7" x14ac:dyDescent="0.25">
      <c r="C112" s="216">
        <v>10130108</v>
      </c>
      <c r="D112" s="4"/>
      <c r="E112" s="4"/>
      <c r="F112" s="211"/>
      <c r="G112" s="11">
        <v>10000</v>
      </c>
    </row>
    <row r="113" spans="3:7" x14ac:dyDescent="0.25">
      <c r="C113" s="216">
        <v>10020085</v>
      </c>
      <c r="D113" s="4"/>
      <c r="E113" s="4"/>
      <c r="F113" s="210"/>
      <c r="G113" s="11">
        <v>20000</v>
      </c>
    </row>
    <row r="114" spans="3:7" x14ac:dyDescent="0.25">
      <c r="C114" s="216">
        <v>10010121</v>
      </c>
      <c r="D114" s="4"/>
      <c r="E114" s="4"/>
      <c r="F114" s="211"/>
      <c r="G114" s="11">
        <v>6925</v>
      </c>
    </row>
    <row r="115" spans="3:7" x14ac:dyDescent="0.25">
      <c r="C115" s="216">
        <v>10570027</v>
      </c>
      <c r="D115" s="4"/>
      <c r="E115" s="4"/>
      <c r="F115" s="210"/>
      <c r="G115" s="11">
        <v>20000</v>
      </c>
    </row>
    <row r="116" spans="3:7" x14ac:dyDescent="0.25">
      <c r="C116" s="216">
        <v>10570028</v>
      </c>
      <c r="D116" s="4"/>
      <c r="E116" s="4"/>
      <c r="F116" s="211"/>
      <c r="G116" s="11">
        <v>19423</v>
      </c>
    </row>
    <row r="117" spans="3:7" x14ac:dyDescent="0.25">
      <c r="C117" s="216">
        <v>10570029</v>
      </c>
      <c r="D117" s="4"/>
      <c r="E117" s="4"/>
      <c r="F117" s="210"/>
      <c r="G117" s="11">
        <v>19055</v>
      </c>
    </row>
    <row r="118" spans="3:7" x14ac:dyDescent="0.25">
      <c r="C118" s="216">
        <v>10570031</v>
      </c>
      <c r="D118" s="4"/>
      <c r="E118" s="4"/>
      <c r="F118" s="211"/>
      <c r="G118" s="11">
        <v>7099</v>
      </c>
    </row>
    <row r="119" spans="3:7" x14ac:dyDescent="0.25">
      <c r="C119" s="216">
        <v>10110174</v>
      </c>
      <c r="D119" s="4"/>
      <c r="E119" s="4"/>
      <c r="F119" s="210"/>
      <c r="G119" s="11">
        <v>10000</v>
      </c>
    </row>
    <row r="120" spans="3:7" x14ac:dyDescent="0.25">
      <c r="C120" s="216">
        <v>10060124</v>
      </c>
      <c r="D120" s="4"/>
      <c r="E120" s="4"/>
      <c r="F120" s="211"/>
      <c r="G120" s="11">
        <v>4173</v>
      </c>
    </row>
    <row r="121" spans="3:7" x14ac:dyDescent="0.25">
      <c r="C121" s="216">
        <v>10140191</v>
      </c>
      <c r="D121" s="4"/>
      <c r="E121" s="4"/>
      <c r="F121" s="210"/>
      <c r="G121" s="11">
        <v>9080</v>
      </c>
    </row>
    <row r="122" spans="3:7" x14ac:dyDescent="0.25">
      <c r="C122" s="216">
        <v>10140192</v>
      </c>
      <c r="D122" s="4"/>
      <c r="E122" s="4"/>
      <c r="F122" s="211"/>
      <c r="G122" s="11">
        <v>8788</v>
      </c>
    </row>
    <row r="123" spans="3:7" x14ac:dyDescent="0.25">
      <c r="C123" s="216">
        <v>10560015</v>
      </c>
      <c r="D123" s="4"/>
      <c r="E123" s="4"/>
      <c r="F123" s="210"/>
      <c r="G123" s="11">
        <v>18486</v>
      </c>
    </row>
    <row r="124" spans="3:7" x14ac:dyDescent="0.25">
      <c r="C124" s="216">
        <v>10080114</v>
      </c>
      <c r="D124" s="4"/>
      <c r="E124" s="4"/>
      <c r="F124" s="211"/>
      <c r="G124" s="11">
        <v>4229</v>
      </c>
    </row>
    <row r="125" spans="3:7" x14ac:dyDescent="0.25">
      <c r="C125" s="216">
        <v>10130097</v>
      </c>
      <c r="D125" s="4"/>
      <c r="E125" s="4"/>
      <c r="F125" s="210"/>
      <c r="G125" s="11">
        <v>10000</v>
      </c>
    </row>
    <row r="126" spans="3:7" x14ac:dyDescent="0.25">
      <c r="C126" s="216">
        <v>10130096</v>
      </c>
      <c r="D126" s="4"/>
      <c r="E126" s="4"/>
      <c r="F126" s="211"/>
      <c r="G126" s="11">
        <v>10000</v>
      </c>
    </row>
    <row r="127" spans="3:7" x14ac:dyDescent="0.25">
      <c r="C127" s="216">
        <v>10130094</v>
      </c>
      <c r="D127" s="4"/>
      <c r="E127" s="4"/>
      <c r="F127" s="210"/>
      <c r="G127" s="11">
        <v>10000</v>
      </c>
    </row>
    <row r="128" spans="3:7" x14ac:dyDescent="0.25">
      <c r="C128" s="216">
        <v>10120113</v>
      </c>
      <c r="D128" s="4"/>
      <c r="E128" s="4"/>
      <c r="F128" s="211"/>
      <c r="G128" s="11">
        <v>7922</v>
      </c>
    </row>
    <row r="129" spans="3:7" x14ac:dyDescent="0.25">
      <c r="C129" s="216">
        <v>10120114</v>
      </c>
      <c r="D129" s="4"/>
      <c r="E129" s="4"/>
      <c r="F129" s="210"/>
      <c r="G129" s="11">
        <v>7474</v>
      </c>
    </row>
    <row r="130" spans="3:7" x14ac:dyDescent="0.25">
      <c r="C130" s="216">
        <v>10110169</v>
      </c>
      <c r="D130" s="4"/>
      <c r="E130" s="4"/>
      <c r="F130" s="211"/>
      <c r="G130" s="11">
        <v>10000</v>
      </c>
    </row>
    <row r="131" spans="3:7" x14ac:dyDescent="0.25">
      <c r="C131" s="216">
        <v>10540037</v>
      </c>
      <c r="D131" s="4"/>
      <c r="E131" s="4"/>
      <c r="F131" s="210"/>
      <c r="G131" s="11">
        <v>6804</v>
      </c>
    </row>
    <row r="132" spans="3:7" x14ac:dyDescent="0.25">
      <c r="C132" s="216">
        <v>10540038</v>
      </c>
      <c r="D132" s="4"/>
      <c r="E132" s="4"/>
      <c r="F132" s="211"/>
      <c r="G132" s="11">
        <v>10000</v>
      </c>
    </row>
    <row r="133" spans="3:7" x14ac:dyDescent="0.25">
      <c r="C133" s="216">
        <v>10530083</v>
      </c>
      <c r="D133" s="4"/>
      <c r="E133" s="4"/>
      <c r="F133" s="210"/>
      <c r="G133" s="11">
        <v>7301</v>
      </c>
    </row>
    <row r="134" spans="3:7" x14ac:dyDescent="0.25">
      <c r="C134" s="216">
        <v>10570001</v>
      </c>
      <c r="D134" s="4"/>
      <c r="E134" s="4"/>
      <c r="F134" s="211"/>
      <c r="G134" s="11">
        <v>18741</v>
      </c>
    </row>
    <row r="135" spans="3:7" x14ac:dyDescent="0.25">
      <c r="C135" s="216">
        <v>10570002</v>
      </c>
      <c r="D135" s="4"/>
      <c r="E135" s="4"/>
      <c r="F135" s="210"/>
      <c r="G135" s="11">
        <v>19469</v>
      </c>
    </row>
    <row r="136" spans="3:7" x14ac:dyDescent="0.25">
      <c r="C136" s="216">
        <v>10570003</v>
      </c>
      <c r="D136" s="4"/>
      <c r="E136" s="4"/>
      <c r="F136" s="211"/>
      <c r="G136" s="11">
        <v>18165</v>
      </c>
    </row>
    <row r="137" spans="3:7" x14ac:dyDescent="0.25">
      <c r="C137" s="216">
        <v>10570007</v>
      </c>
      <c r="D137" s="4"/>
      <c r="E137" s="4"/>
      <c r="F137" s="210"/>
      <c r="G137" s="11">
        <v>15256</v>
      </c>
    </row>
    <row r="138" spans="3:7" x14ac:dyDescent="0.25">
      <c r="C138" s="216">
        <v>10020083</v>
      </c>
      <c r="D138" s="4"/>
      <c r="E138" s="4"/>
      <c r="F138" s="211"/>
      <c r="G138" s="11">
        <v>19205</v>
      </c>
    </row>
    <row r="139" spans="3:7" x14ac:dyDescent="0.25">
      <c r="C139" s="216">
        <v>10060121</v>
      </c>
      <c r="D139" s="4"/>
      <c r="E139" s="4"/>
      <c r="F139" s="210"/>
      <c r="G139" s="11">
        <v>16357</v>
      </c>
    </row>
    <row r="140" spans="3:7" x14ac:dyDescent="0.25">
      <c r="C140" s="216">
        <v>10140189</v>
      </c>
      <c r="D140" s="4"/>
      <c r="E140" s="4"/>
      <c r="F140" s="211"/>
      <c r="G140" s="11">
        <v>20000</v>
      </c>
    </row>
    <row r="141" spans="3:7" x14ac:dyDescent="0.25">
      <c r="C141" s="216">
        <v>10560008</v>
      </c>
      <c r="D141" s="4"/>
      <c r="E141" s="4"/>
      <c r="F141" s="210"/>
      <c r="G141" s="11">
        <v>9287</v>
      </c>
    </row>
    <row r="142" spans="3:7" x14ac:dyDescent="0.25">
      <c r="C142" s="216">
        <v>10020080</v>
      </c>
      <c r="D142" s="4"/>
      <c r="E142" s="4"/>
      <c r="F142" s="211"/>
      <c r="G142" s="11">
        <v>9511</v>
      </c>
    </row>
    <row r="143" spans="3:7" x14ac:dyDescent="0.25">
      <c r="C143" s="216">
        <v>10130067</v>
      </c>
      <c r="D143" s="4"/>
      <c r="E143" s="4"/>
      <c r="F143" s="210"/>
      <c r="G143" s="11">
        <v>5000</v>
      </c>
    </row>
    <row r="144" spans="3:7" x14ac:dyDescent="0.25">
      <c r="C144" s="216">
        <v>10140186</v>
      </c>
      <c r="D144" s="4"/>
      <c r="E144" s="4"/>
      <c r="F144" s="211"/>
      <c r="G144" s="11">
        <v>20000</v>
      </c>
    </row>
    <row r="145" spans="3:7" x14ac:dyDescent="0.25">
      <c r="C145" s="216">
        <v>10560006</v>
      </c>
      <c r="D145" s="4"/>
      <c r="E145" s="4"/>
      <c r="F145" s="210"/>
      <c r="G145" s="11">
        <v>8918</v>
      </c>
    </row>
    <row r="146" spans="3:7" x14ac:dyDescent="0.25">
      <c r="C146" s="216">
        <v>10070053</v>
      </c>
      <c r="D146" s="4"/>
      <c r="E146" s="4"/>
      <c r="F146" s="211"/>
      <c r="G146" s="11">
        <v>10000</v>
      </c>
    </row>
    <row r="147" spans="3:7" x14ac:dyDescent="0.25">
      <c r="C147" s="216">
        <v>10560003</v>
      </c>
      <c r="D147" s="4"/>
      <c r="E147" s="4"/>
      <c r="F147" s="210"/>
      <c r="G147" s="11">
        <v>19875</v>
      </c>
    </row>
    <row r="148" spans="3:7" x14ac:dyDescent="0.25">
      <c r="C148" s="216">
        <v>10060115</v>
      </c>
      <c r="D148" s="4"/>
      <c r="E148" s="4"/>
      <c r="F148" s="211"/>
      <c r="G148" s="11">
        <v>8153</v>
      </c>
    </row>
    <row r="149" spans="3:7" x14ac:dyDescent="0.25">
      <c r="C149" s="216">
        <v>10010126</v>
      </c>
      <c r="D149" s="4"/>
      <c r="E149" s="4"/>
      <c r="F149" s="210"/>
      <c r="G149" s="11">
        <v>9994</v>
      </c>
    </row>
    <row r="150" spans="3:7" x14ac:dyDescent="0.25">
      <c r="C150" s="216">
        <v>10080105</v>
      </c>
      <c r="D150" s="4"/>
      <c r="E150" s="4"/>
      <c r="F150" s="211"/>
      <c r="G150" s="11">
        <v>19981</v>
      </c>
    </row>
    <row r="151" spans="3:7" x14ac:dyDescent="0.25">
      <c r="C151" s="216">
        <v>10020076</v>
      </c>
      <c r="D151" s="4"/>
      <c r="E151" s="4"/>
      <c r="F151" s="210"/>
      <c r="G151" s="11">
        <v>9652</v>
      </c>
    </row>
    <row r="152" spans="3:7" x14ac:dyDescent="0.25">
      <c r="C152" s="216">
        <v>10020078</v>
      </c>
      <c r="D152" s="4"/>
      <c r="E152" s="4"/>
      <c r="F152" s="211"/>
      <c r="G152" s="11">
        <v>9637</v>
      </c>
    </row>
    <row r="153" spans="3:7" x14ac:dyDescent="0.25">
      <c r="C153" s="216">
        <v>10020079</v>
      </c>
      <c r="D153" s="4"/>
      <c r="E153" s="4"/>
      <c r="F153" s="210"/>
      <c r="G153" s="11">
        <v>9580</v>
      </c>
    </row>
    <row r="154" spans="3:7" x14ac:dyDescent="0.25">
      <c r="C154" s="216">
        <v>10140187</v>
      </c>
      <c r="D154" s="4"/>
      <c r="E154" s="4"/>
      <c r="F154" s="211"/>
      <c r="G154" s="11">
        <v>19788</v>
      </c>
    </row>
    <row r="155" spans="3:7" x14ac:dyDescent="0.25">
      <c r="C155" s="216">
        <v>10140188</v>
      </c>
      <c r="D155" s="4"/>
      <c r="E155" s="4"/>
      <c r="F155" s="210"/>
      <c r="G155" s="11">
        <v>20000</v>
      </c>
    </row>
    <row r="156" spans="3:7" x14ac:dyDescent="0.25">
      <c r="C156" s="216">
        <v>10120108</v>
      </c>
      <c r="D156" s="4"/>
      <c r="E156" s="4"/>
      <c r="F156" s="211"/>
      <c r="G156" s="11">
        <v>8063</v>
      </c>
    </row>
    <row r="157" spans="3:7" x14ac:dyDescent="0.25">
      <c r="C157" s="216">
        <v>10140178</v>
      </c>
      <c r="D157" s="4"/>
      <c r="E157" s="4"/>
      <c r="F157" s="210"/>
      <c r="G157" s="11">
        <v>9470</v>
      </c>
    </row>
    <row r="158" spans="3:7" x14ac:dyDescent="0.25">
      <c r="C158" s="216">
        <v>10140180</v>
      </c>
      <c r="D158" s="4"/>
      <c r="E158" s="4"/>
      <c r="F158" s="211"/>
      <c r="G158" s="11">
        <v>4193</v>
      </c>
    </row>
    <row r="159" spans="3:7" x14ac:dyDescent="0.25">
      <c r="C159" s="216">
        <v>10080098</v>
      </c>
      <c r="D159" s="4"/>
      <c r="E159" s="4"/>
      <c r="F159" s="210"/>
      <c r="G159" s="11">
        <v>2403</v>
      </c>
    </row>
    <row r="160" spans="3:7" x14ac:dyDescent="0.25">
      <c r="C160" s="216">
        <v>10060110</v>
      </c>
      <c r="D160" s="4"/>
      <c r="E160" s="4"/>
      <c r="F160" s="211"/>
      <c r="G160" s="11">
        <v>1226</v>
      </c>
    </row>
    <row r="161" spans="3:7" x14ac:dyDescent="0.25">
      <c r="C161" s="216">
        <v>10110103</v>
      </c>
      <c r="D161" s="4"/>
      <c r="E161" s="4"/>
      <c r="F161" s="210"/>
      <c r="G161" s="11">
        <v>15000</v>
      </c>
    </row>
    <row r="162" spans="3:7" x14ac:dyDescent="0.25">
      <c r="C162" s="216">
        <v>10140153</v>
      </c>
      <c r="D162" s="4"/>
      <c r="E162" s="4"/>
      <c r="F162" s="211"/>
      <c r="G162" s="11">
        <v>4967</v>
      </c>
    </row>
    <row r="163" spans="3:7" x14ac:dyDescent="0.25">
      <c r="C163" s="216">
        <v>10570019</v>
      </c>
      <c r="D163" s="4"/>
      <c r="E163" s="4"/>
      <c r="F163" s="210"/>
      <c r="G163" s="11">
        <v>17905</v>
      </c>
    </row>
    <row r="164" spans="3:7" x14ac:dyDescent="0.25">
      <c r="C164" s="216">
        <v>10570020</v>
      </c>
      <c r="D164" s="4"/>
      <c r="E164" s="4"/>
      <c r="F164" s="211"/>
      <c r="G164" s="11">
        <v>17963</v>
      </c>
    </row>
    <row r="165" spans="3:7" x14ac:dyDescent="0.25">
      <c r="C165" s="216">
        <v>10570021</v>
      </c>
      <c r="D165" s="4"/>
      <c r="E165" s="4"/>
      <c r="F165" s="210"/>
      <c r="G165" s="11">
        <v>17944</v>
      </c>
    </row>
    <row r="166" spans="3:7" x14ac:dyDescent="0.25">
      <c r="C166" s="216">
        <v>10130100</v>
      </c>
      <c r="D166" s="4"/>
      <c r="E166" s="4"/>
      <c r="F166" s="211"/>
      <c r="G166" s="11">
        <v>7957</v>
      </c>
    </row>
    <row r="167" spans="3:7" x14ac:dyDescent="0.25">
      <c r="C167" s="216">
        <v>10130095</v>
      </c>
      <c r="D167" s="4"/>
      <c r="E167" s="4"/>
      <c r="F167" s="210"/>
      <c r="G167" s="11">
        <v>17039</v>
      </c>
    </row>
    <row r="168" spans="3:7" x14ac:dyDescent="0.25">
      <c r="C168" s="216">
        <v>10060106</v>
      </c>
      <c r="D168" s="4"/>
      <c r="E168" s="4"/>
      <c r="F168" s="211"/>
      <c r="G168" s="11">
        <v>5775</v>
      </c>
    </row>
    <row r="169" spans="3:7" x14ac:dyDescent="0.25">
      <c r="C169" s="216">
        <v>10130093</v>
      </c>
      <c r="D169" s="4"/>
      <c r="E169" s="4"/>
      <c r="F169" s="210"/>
      <c r="G169" s="11">
        <v>1355</v>
      </c>
    </row>
    <row r="170" spans="3:7" x14ac:dyDescent="0.25">
      <c r="C170" s="216">
        <v>10140119</v>
      </c>
      <c r="D170" s="4"/>
      <c r="E170" s="4"/>
      <c r="F170" s="211"/>
      <c r="G170" s="11">
        <v>20000</v>
      </c>
    </row>
    <row r="171" spans="3:7" x14ac:dyDescent="0.25">
      <c r="C171" s="216">
        <v>10120105</v>
      </c>
      <c r="D171" s="4"/>
      <c r="E171" s="4"/>
      <c r="F171" s="210"/>
      <c r="G171" s="11">
        <v>10000</v>
      </c>
    </row>
    <row r="172" spans="3:7" x14ac:dyDescent="0.25">
      <c r="C172" s="216">
        <v>10080095</v>
      </c>
      <c r="D172" s="4"/>
      <c r="E172" s="4"/>
      <c r="F172" s="211"/>
      <c r="G172" s="11">
        <v>7654</v>
      </c>
    </row>
    <row r="173" spans="3:7" x14ac:dyDescent="0.25">
      <c r="C173" s="216">
        <v>10080096</v>
      </c>
      <c r="D173" s="4"/>
      <c r="E173" s="4"/>
      <c r="F173" s="210"/>
      <c r="G173" s="11">
        <v>3897</v>
      </c>
    </row>
    <row r="174" spans="3:7" x14ac:dyDescent="0.25">
      <c r="C174" s="216">
        <v>10010108</v>
      </c>
      <c r="D174" s="4"/>
      <c r="E174" s="4"/>
      <c r="F174" s="211"/>
      <c r="G174" s="11">
        <v>9803</v>
      </c>
    </row>
    <row r="175" spans="3:7" x14ac:dyDescent="0.25">
      <c r="C175" s="216">
        <v>10140174</v>
      </c>
      <c r="D175" s="4"/>
      <c r="E175" s="4"/>
      <c r="F175" s="210"/>
      <c r="G175" s="11">
        <v>5916</v>
      </c>
    </row>
    <row r="176" spans="3:7" x14ac:dyDescent="0.25">
      <c r="C176" s="216">
        <v>10130099</v>
      </c>
      <c r="D176" s="4"/>
      <c r="E176" s="4"/>
      <c r="F176" s="211"/>
      <c r="G176" s="11">
        <v>10000</v>
      </c>
    </row>
    <row r="177" spans="3:7" x14ac:dyDescent="0.25">
      <c r="C177" s="216">
        <v>10110109</v>
      </c>
      <c r="D177" s="4"/>
      <c r="E177" s="4"/>
      <c r="F177" s="210"/>
      <c r="G177" s="11">
        <v>5239</v>
      </c>
    </row>
    <row r="178" spans="3:7" x14ac:dyDescent="0.25">
      <c r="C178" s="216">
        <v>10110132</v>
      </c>
      <c r="D178" s="4"/>
      <c r="E178" s="4"/>
      <c r="F178" s="211"/>
      <c r="G178" s="11">
        <v>9492</v>
      </c>
    </row>
    <row r="179" spans="3:7" x14ac:dyDescent="0.25">
      <c r="C179" s="216">
        <v>10070071</v>
      </c>
      <c r="D179" s="4"/>
      <c r="E179" s="4"/>
      <c r="F179" s="210"/>
      <c r="G179" s="11">
        <v>10000</v>
      </c>
    </row>
    <row r="180" spans="3:7" x14ac:dyDescent="0.25">
      <c r="C180" s="216">
        <v>10070072</v>
      </c>
      <c r="D180" s="4"/>
      <c r="E180" s="4"/>
      <c r="F180" s="211"/>
      <c r="G180" s="11">
        <v>8646</v>
      </c>
    </row>
    <row r="181" spans="3:7" x14ac:dyDescent="0.25">
      <c r="C181" s="216">
        <v>10070062</v>
      </c>
      <c r="D181" s="4"/>
      <c r="E181" s="4"/>
      <c r="F181" s="210"/>
      <c r="G181" s="11">
        <v>6708</v>
      </c>
    </row>
    <row r="182" spans="3:7" x14ac:dyDescent="0.25">
      <c r="C182" s="216">
        <v>10110130</v>
      </c>
      <c r="D182" s="4"/>
      <c r="E182" s="4"/>
      <c r="F182" s="211"/>
      <c r="G182" s="11">
        <v>14937</v>
      </c>
    </row>
    <row r="183" spans="3:7" x14ac:dyDescent="0.25">
      <c r="C183" s="216">
        <v>10060103</v>
      </c>
      <c r="D183" s="4"/>
      <c r="E183" s="4"/>
      <c r="F183" s="210"/>
      <c r="G183" s="11">
        <v>9056</v>
      </c>
    </row>
    <row r="184" spans="3:7" x14ac:dyDescent="0.25">
      <c r="C184" s="216">
        <v>10110131</v>
      </c>
      <c r="D184" s="4"/>
      <c r="E184" s="4"/>
      <c r="F184" s="211"/>
      <c r="G184" s="11">
        <v>7438</v>
      </c>
    </row>
    <row r="185" spans="3:7" x14ac:dyDescent="0.25">
      <c r="C185" s="216">
        <v>10140166</v>
      </c>
      <c r="D185" s="4"/>
      <c r="E185" s="4"/>
      <c r="F185" s="210"/>
      <c r="G185" s="11">
        <v>6315</v>
      </c>
    </row>
    <row r="186" spans="3:7" x14ac:dyDescent="0.25">
      <c r="C186" s="216">
        <v>10010105</v>
      </c>
      <c r="D186" s="4"/>
      <c r="E186" s="4"/>
      <c r="F186" s="211"/>
      <c r="G186" s="11">
        <v>9947</v>
      </c>
    </row>
    <row r="187" spans="3:7" x14ac:dyDescent="0.25">
      <c r="C187" s="216">
        <v>10060098</v>
      </c>
      <c r="D187" s="4"/>
      <c r="E187" s="4"/>
      <c r="F187" s="210"/>
      <c r="G187" s="11">
        <v>6308</v>
      </c>
    </row>
    <row r="188" spans="3:7" x14ac:dyDescent="0.25">
      <c r="C188" s="216">
        <v>10060093</v>
      </c>
      <c r="D188" s="4"/>
      <c r="E188" s="4"/>
      <c r="F188" s="211"/>
      <c r="G188" s="11">
        <v>8772</v>
      </c>
    </row>
    <row r="189" spans="3:7" x14ac:dyDescent="0.25">
      <c r="C189" s="216">
        <v>10110128</v>
      </c>
      <c r="D189" s="4"/>
      <c r="E189" s="4"/>
      <c r="F189" s="210"/>
      <c r="G189" s="11">
        <v>2885</v>
      </c>
    </row>
    <row r="190" spans="3:7" x14ac:dyDescent="0.25">
      <c r="C190" s="216">
        <v>10110112</v>
      </c>
      <c r="D190" s="4"/>
      <c r="E190" s="4"/>
      <c r="F190" s="211"/>
      <c r="G190" s="11">
        <v>7414</v>
      </c>
    </row>
    <row r="191" spans="3:7" x14ac:dyDescent="0.25">
      <c r="C191" s="216">
        <v>10110114</v>
      </c>
      <c r="D191" s="4"/>
      <c r="E191" s="4"/>
      <c r="F191" s="210"/>
      <c r="G191" s="11">
        <v>3192</v>
      </c>
    </row>
    <row r="192" spans="3:7" x14ac:dyDescent="0.25">
      <c r="C192" s="216">
        <v>10060074</v>
      </c>
      <c r="D192" s="4"/>
      <c r="E192" s="4"/>
      <c r="F192" s="211"/>
      <c r="G192" s="11">
        <v>4096</v>
      </c>
    </row>
    <row r="193" spans="3:7" x14ac:dyDescent="0.25">
      <c r="C193" s="216">
        <v>10130090</v>
      </c>
      <c r="D193" s="4"/>
      <c r="E193" s="4"/>
      <c r="F193" s="210"/>
      <c r="G193" s="11">
        <v>10000</v>
      </c>
    </row>
    <row r="194" spans="3:7" x14ac:dyDescent="0.25">
      <c r="C194" s="216">
        <v>10070052</v>
      </c>
      <c r="D194" s="4"/>
      <c r="E194" s="4"/>
      <c r="F194" s="211"/>
      <c r="G194" s="11">
        <v>9946</v>
      </c>
    </row>
    <row r="195" spans="3:7" x14ac:dyDescent="0.25">
      <c r="C195" s="216">
        <v>10120095</v>
      </c>
      <c r="D195" s="4"/>
      <c r="E195" s="4"/>
      <c r="F195" s="210"/>
      <c r="G195" s="11">
        <v>6148</v>
      </c>
    </row>
    <row r="196" spans="3:7" x14ac:dyDescent="0.25">
      <c r="C196" s="216">
        <v>10010113</v>
      </c>
      <c r="D196" s="4"/>
      <c r="E196" s="4"/>
      <c r="F196" s="211"/>
      <c r="G196" s="11">
        <v>9570</v>
      </c>
    </row>
    <row r="197" spans="3:7" x14ac:dyDescent="0.25">
      <c r="C197" s="216">
        <v>10140148</v>
      </c>
      <c r="D197" s="4"/>
      <c r="E197" s="4"/>
      <c r="F197" s="210"/>
      <c r="G197" s="11">
        <v>8908</v>
      </c>
    </row>
    <row r="198" spans="3:7" x14ac:dyDescent="0.25">
      <c r="C198" s="216">
        <v>10120090</v>
      </c>
      <c r="D198" s="4"/>
      <c r="E198" s="4"/>
      <c r="F198" s="211"/>
      <c r="G198" s="11">
        <v>9809</v>
      </c>
    </row>
    <row r="199" spans="3:7" x14ac:dyDescent="0.25">
      <c r="C199" s="216">
        <v>10130077</v>
      </c>
      <c r="D199" s="4"/>
      <c r="E199" s="4"/>
      <c r="F199" s="210"/>
      <c r="G199" s="11">
        <v>6461</v>
      </c>
    </row>
    <row r="200" spans="3:7" x14ac:dyDescent="0.25">
      <c r="C200" s="216">
        <v>10130079</v>
      </c>
      <c r="D200" s="4"/>
      <c r="E200" s="4"/>
      <c r="F200" s="211"/>
      <c r="G200" s="11">
        <v>5925</v>
      </c>
    </row>
    <row r="201" spans="3:7" x14ac:dyDescent="0.25">
      <c r="C201" s="216">
        <v>10080079</v>
      </c>
      <c r="D201" s="4"/>
      <c r="E201" s="4"/>
      <c r="F201" s="210"/>
      <c r="G201" s="11">
        <v>5000</v>
      </c>
    </row>
    <row r="202" spans="3:7" x14ac:dyDescent="0.25">
      <c r="C202" s="216">
        <v>10140146</v>
      </c>
      <c r="D202" s="4"/>
      <c r="E202" s="4"/>
      <c r="F202" s="211"/>
      <c r="G202" s="11">
        <v>10000</v>
      </c>
    </row>
    <row r="203" spans="3:7" x14ac:dyDescent="0.25">
      <c r="C203" s="216">
        <v>10140152</v>
      </c>
      <c r="D203" s="4"/>
      <c r="E203" s="4"/>
      <c r="F203" s="210"/>
      <c r="G203" s="11">
        <v>7937</v>
      </c>
    </row>
    <row r="204" spans="3:7" x14ac:dyDescent="0.25">
      <c r="C204" s="216">
        <v>10110099</v>
      </c>
      <c r="D204" s="4"/>
      <c r="E204" s="4"/>
      <c r="F204" s="211"/>
      <c r="G204" s="11">
        <v>20000</v>
      </c>
    </row>
    <row r="205" spans="3:7" x14ac:dyDescent="0.25">
      <c r="C205" s="216">
        <v>10110005</v>
      </c>
      <c r="D205" s="4"/>
      <c r="E205" s="4"/>
      <c r="F205" s="210"/>
      <c r="G205" s="11">
        <v>20000</v>
      </c>
    </row>
    <row r="206" spans="3:7" x14ac:dyDescent="0.25">
      <c r="C206" s="216">
        <v>10110001</v>
      </c>
      <c r="D206" s="4"/>
      <c r="E206" s="4"/>
      <c r="F206" s="211"/>
      <c r="G206" s="11">
        <v>20000</v>
      </c>
    </row>
    <row r="207" spans="3:7" x14ac:dyDescent="0.25">
      <c r="C207" s="216">
        <v>10020069</v>
      </c>
      <c r="D207" s="4"/>
      <c r="E207" s="4"/>
      <c r="F207" s="210"/>
      <c r="G207" s="11">
        <v>20000</v>
      </c>
    </row>
    <row r="208" spans="3:7" x14ac:dyDescent="0.25">
      <c r="C208" s="216">
        <v>10060068</v>
      </c>
      <c r="D208" s="4"/>
      <c r="E208" s="4"/>
      <c r="F208" s="211"/>
      <c r="G208" s="11">
        <v>5000</v>
      </c>
    </row>
    <row r="209" spans="3:7" x14ac:dyDescent="0.25">
      <c r="C209" s="216">
        <v>10120003</v>
      </c>
      <c r="D209" s="4"/>
      <c r="E209" s="4"/>
      <c r="F209" s="210"/>
      <c r="G209" s="11">
        <v>20000</v>
      </c>
    </row>
    <row r="210" spans="3:7" x14ac:dyDescent="0.25">
      <c r="C210" s="216">
        <v>10140011</v>
      </c>
      <c r="D210" s="4"/>
      <c r="E210" s="4"/>
      <c r="F210" s="211"/>
      <c r="G210" s="11">
        <v>10000</v>
      </c>
    </row>
    <row r="211" spans="3:7" x14ac:dyDescent="0.25">
      <c r="C211" s="216">
        <v>10120016</v>
      </c>
      <c r="D211" s="4"/>
      <c r="E211" s="4"/>
      <c r="F211" s="210"/>
      <c r="G211" s="11">
        <v>20000</v>
      </c>
    </row>
    <row r="212" spans="3:7" x14ac:dyDescent="0.25">
      <c r="C212" s="216">
        <v>10120019</v>
      </c>
      <c r="D212" s="4"/>
      <c r="E212" s="4"/>
      <c r="F212" s="211"/>
      <c r="G212" s="11">
        <v>20000</v>
      </c>
    </row>
    <row r="213" spans="3:7" x14ac:dyDescent="0.25">
      <c r="C213" s="216">
        <v>10120072</v>
      </c>
      <c r="D213" s="4"/>
      <c r="E213" s="4"/>
      <c r="F213" s="210"/>
      <c r="G213" s="11">
        <v>20000</v>
      </c>
    </row>
    <row r="214" spans="3:7" x14ac:dyDescent="0.25">
      <c r="C214" s="216">
        <v>10110079</v>
      </c>
      <c r="D214" s="4"/>
      <c r="E214" s="4"/>
      <c r="F214" s="211"/>
      <c r="G214" s="11">
        <v>20000</v>
      </c>
    </row>
    <row r="215" spans="3:7" x14ac:dyDescent="0.25">
      <c r="C215" s="216">
        <v>10080070</v>
      </c>
      <c r="D215" s="4"/>
      <c r="E215" s="4"/>
      <c r="F215" s="210"/>
      <c r="G215" s="11">
        <v>5000</v>
      </c>
    </row>
    <row r="216" spans="3:7" x14ac:dyDescent="0.25">
      <c r="C216" s="216">
        <v>0</v>
      </c>
      <c r="D216" s="4"/>
      <c r="E216" s="4"/>
      <c r="F216" s="211"/>
      <c r="G216" s="11">
        <v>15000</v>
      </c>
    </row>
    <row r="217" spans="3:7" x14ac:dyDescent="0.25">
      <c r="C217" s="216">
        <v>10110074</v>
      </c>
      <c r="D217" s="4"/>
      <c r="E217" s="4"/>
      <c r="F217" s="210"/>
      <c r="G217" s="11">
        <v>10000</v>
      </c>
    </row>
    <row r="218" spans="3:7" x14ac:dyDescent="0.25">
      <c r="C218" s="216">
        <v>0</v>
      </c>
      <c r="D218" s="4"/>
      <c r="E218" s="4"/>
      <c r="F218" s="211"/>
      <c r="G218" s="11">
        <v>10000</v>
      </c>
    </row>
    <row r="219" spans="3:7" x14ac:dyDescent="0.25">
      <c r="C219" s="216">
        <v>0</v>
      </c>
      <c r="D219" s="4"/>
      <c r="E219" s="4"/>
      <c r="F219" s="210"/>
      <c r="G219" s="11">
        <v>20000</v>
      </c>
    </row>
    <row r="220" spans="3:7" x14ac:dyDescent="0.25">
      <c r="C220" s="216">
        <v>10130044</v>
      </c>
      <c r="D220" s="4"/>
      <c r="E220" s="4"/>
      <c r="F220" s="211"/>
      <c r="G220" s="11">
        <v>20000</v>
      </c>
    </row>
    <row r="221" spans="3:7" x14ac:dyDescent="0.25">
      <c r="C221" s="216">
        <v>10010076</v>
      </c>
      <c r="D221" s="4"/>
      <c r="E221" s="4"/>
      <c r="F221" s="210"/>
      <c r="G221" s="11">
        <v>10000</v>
      </c>
    </row>
    <row r="222" spans="3:7" x14ac:dyDescent="0.25">
      <c r="C222" s="216">
        <v>10120029</v>
      </c>
      <c r="D222" s="4"/>
      <c r="E222" s="4"/>
      <c r="F222" s="211"/>
      <c r="G222" s="11">
        <v>10000</v>
      </c>
    </row>
    <row r="223" spans="3:7" x14ac:dyDescent="0.25">
      <c r="C223" s="216">
        <v>10130001</v>
      </c>
      <c r="D223" s="4"/>
      <c r="E223" s="4"/>
      <c r="F223" s="210"/>
      <c r="G223" s="11">
        <v>20000</v>
      </c>
    </row>
    <row r="224" spans="3:7" x14ac:dyDescent="0.25">
      <c r="C224" s="216">
        <v>10120031</v>
      </c>
      <c r="D224" s="4"/>
      <c r="E224" s="4"/>
      <c r="F224" s="211"/>
      <c r="G224" s="11">
        <v>10000</v>
      </c>
    </row>
    <row r="225" spans="3:7" x14ac:dyDescent="0.25">
      <c r="C225" s="216">
        <v>10130022</v>
      </c>
      <c r="D225" s="4"/>
      <c r="E225" s="4"/>
      <c r="F225" s="210"/>
      <c r="G225" s="11">
        <v>10000</v>
      </c>
    </row>
    <row r="226" spans="3:7" x14ac:dyDescent="0.25">
      <c r="C226" s="216">
        <v>10130025</v>
      </c>
      <c r="D226" s="4"/>
      <c r="E226" s="4"/>
      <c r="F226" s="211"/>
      <c r="G226" s="11">
        <v>10000</v>
      </c>
    </row>
    <row r="227" spans="3:7" x14ac:dyDescent="0.25">
      <c r="C227" s="216">
        <v>10120030</v>
      </c>
      <c r="D227" s="4"/>
      <c r="E227" s="4"/>
      <c r="F227" s="210"/>
      <c r="G227" s="11">
        <v>10000</v>
      </c>
    </row>
    <row r="228" spans="3:7" x14ac:dyDescent="0.25">
      <c r="C228" s="216">
        <v>10130024</v>
      </c>
      <c r="D228" s="4"/>
      <c r="E228" s="4"/>
      <c r="F228" s="211"/>
      <c r="G228" s="11">
        <v>10000</v>
      </c>
    </row>
    <row r="229" spans="3:7" x14ac:dyDescent="0.25">
      <c r="C229" s="216">
        <v>10130023</v>
      </c>
      <c r="D229" s="4"/>
      <c r="E229" s="4"/>
      <c r="F229" s="210"/>
      <c r="G229" s="11">
        <v>15000</v>
      </c>
    </row>
    <row r="230" spans="3:7" x14ac:dyDescent="0.25">
      <c r="C230" s="216">
        <v>0</v>
      </c>
      <c r="D230" s="4"/>
      <c r="E230" s="4"/>
      <c r="F230" s="211"/>
      <c r="G230" s="11">
        <v>10000</v>
      </c>
    </row>
    <row r="231" spans="3:7" x14ac:dyDescent="0.25">
      <c r="C231" s="216">
        <v>10120082</v>
      </c>
      <c r="D231" s="4"/>
      <c r="E231" s="4"/>
      <c r="F231" s="210"/>
      <c r="G231" s="11">
        <v>10000</v>
      </c>
    </row>
    <row r="232" spans="3:7" x14ac:dyDescent="0.25">
      <c r="C232" s="216">
        <v>0</v>
      </c>
      <c r="D232" s="4"/>
      <c r="E232" s="4"/>
      <c r="F232" s="211"/>
      <c r="G232" s="11">
        <v>10000</v>
      </c>
    </row>
    <row r="233" spans="3:7" x14ac:dyDescent="0.25">
      <c r="C233" s="216">
        <v>10110004</v>
      </c>
      <c r="D233" s="4"/>
      <c r="E233" s="4"/>
      <c r="F233" s="210"/>
      <c r="G233" s="11">
        <v>10000</v>
      </c>
    </row>
    <row r="234" spans="3:7" x14ac:dyDescent="0.25">
      <c r="C234" s="216">
        <v>10110035</v>
      </c>
      <c r="D234" s="4"/>
      <c r="E234" s="4"/>
      <c r="F234" s="211"/>
      <c r="G234" s="11">
        <v>10000</v>
      </c>
    </row>
    <row r="235" spans="3:7" x14ac:dyDescent="0.25">
      <c r="C235" s="216">
        <v>10450001</v>
      </c>
      <c r="D235" s="4"/>
      <c r="E235" s="4"/>
      <c r="F235" s="210"/>
      <c r="G235" s="11">
        <v>10000</v>
      </c>
    </row>
    <row r="236" spans="3:7" x14ac:dyDescent="0.25">
      <c r="C236" s="216">
        <v>10020027</v>
      </c>
      <c r="D236" s="4"/>
      <c r="E236" s="4"/>
      <c r="F236" s="211"/>
      <c r="G236" s="11">
        <v>10000</v>
      </c>
    </row>
    <row r="237" spans="3:7" x14ac:dyDescent="0.25">
      <c r="C237" s="216">
        <v>10020026</v>
      </c>
      <c r="D237" s="4"/>
      <c r="E237" s="4"/>
      <c r="F237" s="210"/>
      <c r="G237" s="11">
        <v>10000</v>
      </c>
    </row>
    <row r="238" spans="3:7" x14ac:dyDescent="0.25">
      <c r="C238" s="216">
        <v>10020029</v>
      </c>
      <c r="D238" s="4"/>
      <c r="E238" s="4"/>
      <c r="F238" s="211"/>
      <c r="G238" s="11">
        <v>10000</v>
      </c>
    </row>
    <row r="239" spans="3:7" x14ac:dyDescent="0.25">
      <c r="C239" s="216">
        <v>10060025</v>
      </c>
      <c r="D239" s="4"/>
      <c r="E239" s="4"/>
      <c r="F239" s="210"/>
      <c r="G239" s="11">
        <v>10000</v>
      </c>
    </row>
    <row r="240" spans="3:7" x14ac:dyDescent="0.25">
      <c r="C240" s="216">
        <v>10070008</v>
      </c>
      <c r="D240" s="4"/>
      <c r="E240" s="4"/>
      <c r="F240" s="211"/>
      <c r="G240" s="11">
        <v>20000</v>
      </c>
    </row>
    <row r="241" spans="3:7" x14ac:dyDescent="0.25">
      <c r="C241" s="216">
        <v>10140016</v>
      </c>
      <c r="D241" s="4"/>
      <c r="E241" s="4"/>
      <c r="F241" s="210"/>
      <c r="G241" s="11">
        <v>10000</v>
      </c>
    </row>
    <row r="242" spans="3:7" x14ac:dyDescent="0.25">
      <c r="C242" s="216">
        <v>10140097</v>
      </c>
      <c r="D242" s="4"/>
      <c r="E242" s="4"/>
      <c r="F242" s="211"/>
      <c r="G242" s="11">
        <v>10000</v>
      </c>
    </row>
    <row r="243" spans="3:7" x14ac:dyDescent="0.25">
      <c r="C243" s="216">
        <v>10120005</v>
      </c>
      <c r="D243" s="4"/>
      <c r="E243" s="4"/>
      <c r="F243" s="210"/>
      <c r="G243" s="11">
        <v>20000</v>
      </c>
    </row>
    <row r="244" spans="3:7" x14ac:dyDescent="0.25">
      <c r="C244" s="216">
        <v>10140034</v>
      </c>
      <c r="D244" s="4"/>
      <c r="E244" s="4"/>
      <c r="F244" s="211"/>
      <c r="G244" s="11">
        <v>10000</v>
      </c>
    </row>
    <row r="245" spans="3:7" x14ac:dyDescent="0.25">
      <c r="C245" s="216">
        <v>10030015</v>
      </c>
      <c r="D245" s="4"/>
      <c r="E245" s="4"/>
      <c r="F245" s="210"/>
      <c r="G245" s="11">
        <v>10000</v>
      </c>
    </row>
    <row r="246" spans="3:7" x14ac:dyDescent="0.25">
      <c r="C246" s="216">
        <v>10140107</v>
      </c>
      <c r="D246" s="4"/>
      <c r="E246" s="4"/>
      <c r="F246" s="211"/>
      <c r="G246" s="11">
        <v>10000</v>
      </c>
    </row>
    <row r="247" spans="3:7" x14ac:dyDescent="0.25">
      <c r="C247" s="216">
        <v>10140032</v>
      </c>
      <c r="D247" s="4"/>
      <c r="E247" s="4"/>
      <c r="F247" s="210"/>
      <c r="G247" s="11">
        <v>10000</v>
      </c>
    </row>
    <row r="248" spans="3:7" x14ac:dyDescent="0.25">
      <c r="C248" s="216">
        <v>10140033</v>
      </c>
      <c r="D248" s="4"/>
      <c r="E248" s="4"/>
      <c r="F248" s="211"/>
      <c r="G248" s="11">
        <v>10000</v>
      </c>
    </row>
    <row r="249" spans="3:7" x14ac:dyDescent="0.25">
      <c r="C249" s="216">
        <v>10020041</v>
      </c>
      <c r="D249" s="4"/>
      <c r="E249" s="4"/>
      <c r="F249" s="210"/>
      <c r="G249" s="11">
        <v>5000</v>
      </c>
    </row>
    <row r="250" spans="3:7" x14ac:dyDescent="0.25">
      <c r="C250" s="216">
        <v>10020039</v>
      </c>
      <c r="D250" s="4"/>
      <c r="E250" s="4"/>
      <c r="F250" s="211"/>
      <c r="G250" s="11">
        <v>10000</v>
      </c>
    </row>
    <row r="251" spans="3:7" x14ac:dyDescent="0.25">
      <c r="C251" s="216">
        <v>10110030</v>
      </c>
      <c r="D251" s="4"/>
      <c r="E251" s="4"/>
      <c r="F251" s="210"/>
      <c r="G251" s="11">
        <v>15000</v>
      </c>
    </row>
    <row r="252" spans="3:7" x14ac:dyDescent="0.25">
      <c r="C252" s="216">
        <v>10110047</v>
      </c>
      <c r="D252" s="4"/>
      <c r="E252" s="4"/>
      <c r="F252" s="211"/>
      <c r="G252" s="11">
        <v>15000</v>
      </c>
    </row>
    <row r="253" spans="3:7" x14ac:dyDescent="0.25">
      <c r="C253" s="216">
        <v>10130006</v>
      </c>
      <c r="D253" s="4"/>
      <c r="E253" s="4"/>
      <c r="F253" s="210"/>
      <c r="G253" s="11">
        <v>20000</v>
      </c>
    </row>
    <row r="254" spans="3:7" x14ac:dyDescent="0.25">
      <c r="C254" s="216">
        <v>10080019</v>
      </c>
      <c r="D254" s="4"/>
      <c r="E254" s="4"/>
      <c r="F254" s="211"/>
      <c r="G254" s="11">
        <v>15000</v>
      </c>
    </row>
    <row r="255" spans="3:7" x14ac:dyDescent="0.25">
      <c r="C255" s="216">
        <v>10080020</v>
      </c>
      <c r="D255" s="4"/>
      <c r="E255" s="4"/>
      <c r="F255" s="210"/>
      <c r="G255" s="11">
        <v>10000</v>
      </c>
    </row>
    <row r="256" spans="3:7" x14ac:dyDescent="0.25">
      <c r="C256" s="216">
        <v>10480001</v>
      </c>
      <c r="D256" s="4"/>
      <c r="E256" s="4"/>
      <c r="F256" s="211"/>
      <c r="G256" s="11">
        <v>20000</v>
      </c>
    </row>
    <row r="257" spans="3:7" x14ac:dyDescent="0.25">
      <c r="C257" s="216">
        <v>10020043</v>
      </c>
      <c r="D257" s="4"/>
      <c r="E257" s="4"/>
      <c r="F257" s="210"/>
      <c r="G257" s="11">
        <v>5000</v>
      </c>
    </row>
    <row r="258" spans="3:7" x14ac:dyDescent="0.25">
      <c r="C258" s="216">
        <v>10060036</v>
      </c>
      <c r="D258" s="4"/>
      <c r="E258" s="4"/>
      <c r="F258" s="211"/>
      <c r="G258" s="11">
        <v>5000</v>
      </c>
    </row>
    <row r="259" spans="3:7" x14ac:dyDescent="0.25">
      <c r="C259" s="216">
        <v>10090033</v>
      </c>
      <c r="D259" s="4"/>
      <c r="E259" s="4"/>
      <c r="F259" s="210"/>
      <c r="G259" s="11">
        <v>5000</v>
      </c>
    </row>
    <row r="260" spans="3:7" x14ac:dyDescent="0.25">
      <c r="C260" s="216">
        <v>10080023</v>
      </c>
      <c r="D260" s="4"/>
      <c r="E260" s="4"/>
      <c r="F260" s="211"/>
      <c r="G260" s="11">
        <v>10000</v>
      </c>
    </row>
    <row r="261" spans="3:7" x14ac:dyDescent="0.25">
      <c r="C261" s="216">
        <v>10030031</v>
      </c>
      <c r="D261" s="4"/>
      <c r="E261" s="4"/>
      <c r="F261" s="210"/>
      <c r="G261" s="11">
        <v>10000</v>
      </c>
    </row>
    <row r="262" spans="3:7" x14ac:dyDescent="0.25">
      <c r="C262" s="216">
        <v>10080025</v>
      </c>
      <c r="D262" s="4"/>
      <c r="E262" s="4"/>
      <c r="F262" s="211"/>
      <c r="G262" s="11">
        <v>15000</v>
      </c>
    </row>
    <row r="263" spans="3:7" x14ac:dyDescent="0.25">
      <c r="C263" s="216">
        <v>10010017</v>
      </c>
      <c r="D263" s="4"/>
      <c r="E263" s="4"/>
      <c r="F263" s="210"/>
      <c r="G263" s="11">
        <v>20000</v>
      </c>
    </row>
    <row r="264" spans="3:7" x14ac:dyDescent="0.25">
      <c r="C264" s="216">
        <v>10010008</v>
      </c>
      <c r="D264" s="4"/>
      <c r="E264" s="4"/>
      <c r="F264" s="211"/>
      <c r="G264" s="11">
        <v>20000</v>
      </c>
    </row>
    <row r="265" spans="3:7" x14ac:dyDescent="0.25">
      <c r="C265" s="216">
        <v>10080027</v>
      </c>
      <c r="D265" s="4"/>
      <c r="E265" s="4"/>
      <c r="F265" s="210"/>
      <c r="G265" s="11">
        <v>15000</v>
      </c>
    </row>
    <row r="266" spans="3:7" x14ac:dyDescent="0.25">
      <c r="C266" s="216">
        <v>10010013</v>
      </c>
      <c r="D266" s="4"/>
      <c r="E266" s="4"/>
      <c r="F266" s="211"/>
      <c r="G266" s="11">
        <v>20000</v>
      </c>
    </row>
    <row r="267" spans="3:7" x14ac:dyDescent="0.25">
      <c r="C267" s="216">
        <v>10010014</v>
      </c>
      <c r="D267" s="4"/>
      <c r="E267" s="4"/>
      <c r="F267" s="210"/>
      <c r="G267" s="11">
        <v>20000</v>
      </c>
    </row>
    <row r="268" spans="3:7" x14ac:dyDescent="0.25">
      <c r="C268" s="216">
        <v>10010015</v>
      </c>
      <c r="D268" s="4"/>
      <c r="E268" s="4"/>
      <c r="F268" s="211"/>
      <c r="G268" s="11">
        <v>20000</v>
      </c>
    </row>
    <row r="269" spans="3:7" x14ac:dyDescent="0.25">
      <c r="C269" s="216">
        <v>10100007</v>
      </c>
      <c r="D269" s="4"/>
      <c r="E269" s="4"/>
      <c r="F269" s="210"/>
      <c r="G269" s="11">
        <v>10000</v>
      </c>
    </row>
    <row r="270" spans="3:7" x14ac:dyDescent="0.25">
      <c r="C270" s="216">
        <v>10100008</v>
      </c>
      <c r="D270" s="4"/>
      <c r="E270" s="4"/>
      <c r="F270" s="211"/>
      <c r="G270" s="11">
        <v>10000</v>
      </c>
    </row>
    <row r="271" spans="3:7" x14ac:dyDescent="0.25">
      <c r="C271" s="216">
        <v>10100009</v>
      </c>
      <c r="D271" s="4"/>
      <c r="E271" s="4"/>
      <c r="F271" s="210"/>
      <c r="G271" s="11">
        <v>10000</v>
      </c>
    </row>
    <row r="272" spans="3:7" x14ac:dyDescent="0.25">
      <c r="C272" s="216">
        <v>10110032</v>
      </c>
      <c r="D272" s="4"/>
      <c r="E272" s="4"/>
      <c r="F272" s="211"/>
      <c r="G272" s="11">
        <v>12186</v>
      </c>
    </row>
    <row r="273" spans="3:7" x14ac:dyDescent="0.25">
      <c r="C273" s="216">
        <v>10110033</v>
      </c>
      <c r="D273" s="4"/>
      <c r="E273" s="4"/>
      <c r="F273" s="210"/>
      <c r="G273" s="11">
        <v>10000</v>
      </c>
    </row>
    <row r="274" spans="3:7" x14ac:dyDescent="0.25">
      <c r="C274" s="216">
        <v>10100013</v>
      </c>
      <c r="D274" s="4"/>
      <c r="E274" s="4"/>
      <c r="F274" s="211"/>
      <c r="G274" s="11">
        <v>15000</v>
      </c>
    </row>
    <row r="275" spans="3:7" x14ac:dyDescent="0.25">
      <c r="C275" s="216">
        <v>10100014</v>
      </c>
      <c r="D275" s="4"/>
      <c r="E275" s="4"/>
      <c r="F275" s="210"/>
      <c r="G275" s="11">
        <v>10000</v>
      </c>
    </row>
    <row r="276" spans="3:7" x14ac:dyDescent="0.25">
      <c r="C276" s="216">
        <v>10100015</v>
      </c>
      <c r="D276" s="4"/>
      <c r="E276" s="4"/>
      <c r="F276" s="211"/>
      <c r="G276" s="11">
        <v>10000</v>
      </c>
    </row>
    <row r="277" spans="3:7" x14ac:dyDescent="0.25">
      <c r="C277" s="216">
        <v>10140055</v>
      </c>
      <c r="D277" s="4"/>
      <c r="E277" s="4"/>
      <c r="F277" s="210"/>
      <c r="G277" s="11">
        <v>10000</v>
      </c>
    </row>
    <row r="278" spans="3:7" x14ac:dyDescent="0.25">
      <c r="C278" s="216">
        <v>10130026</v>
      </c>
      <c r="D278" s="4"/>
      <c r="E278" s="4"/>
      <c r="F278" s="211"/>
      <c r="G278" s="11">
        <v>15000</v>
      </c>
    </row>
    <row r="279" spans="3:7" x14ac:dyDescent="0.25">
      <c r="C279" s="216">
        <v>10010021</v>
      </c>
      <c r="D279" s="4"/>
      <c r="E279" s="4"/>
      <c r="F279" s="210"/>
      <c r="G279" s="11">
        <v>15000</v>
      </c>
    </row>
    <row r="280" spans="3:7" x14ac:dyDescent="0.25">
      <c r="C280" s="216">
        <v>10010019</v>
      </c>
      <c r="D280" s="4"/>
      <c r="E280" s="4"/>
      <c r="F280" s="211"/>
      <c r="G280" s="11">
        <v>20000</v>
      </c>
    </row>
    <row r="281" spans="3:7" x14ac:dyDescent="0.25">
      <c r="C281" s="216">
        <v>10060031</v>
      </c>
      <c r="D281" s="4"/>
      <c r="E281" s="4"/>
      <c r="F281" s="210"/>
      <c r="G281" s="11">
        <v>5000</v>
      </c>
    </row>
    <row r="282" spans="3:7" x14ac:dyDescent="0.25">
      <c r="C282" s="216">
        <v>10100021</v>
      </c>
      <c r="D282" s="4"/>
      <c r="E282" s="4"/>
      <c r="F282" s="211"/>
      <c r="G282" s="11">
        <v>10000</v>
      </c>
    </row>
    <row r="283" spans="3:7" x14ac:dyDescent="0.25">
      <c r="C283" s="216">
        <v>10070013</v>
      </c>
      <c r="D283" s="4"/>
      <c r="E283" s="4"/>
      <c r="F283" s="210"/>
      <c r="G283" s="11">
        <v>15000</v>
      </c>
    </row>
    <row r="284" spans="3:7" x14ac:dyDescent="0.25">
      <c r="C284" s="216">
        <v>10100001</v>
      </c>
      <c r="D284" s="4"/>
      <c r="E284" s="4"/>
      <c r="F284" s="211"/>
      <c r="G284" s="11">
        <v>15000</v>
      </c>
    </row>
    <row r="285" spans="3:7" x14ac:dyDescent="0.25">
      <c r="C285" s="216">
        <v>10140054</v>
      </c>
      <c r="D285" s="4"/>
      <c r="E285" s="4"/>
      <c r="F285" s="210"/>
      <c r="G285" s="11">
        <v>10000</v>
      </c>
    </row>
    <row r="286" spans="3:7" x14ac:dyDescent="0.25">
      <c r="C286" s="216">
        <v>10130032</v>
      </c>
      <c r="D286" s="4"/>
      <c r="E286" s="4"/>
      <c r="F286" s="211"/>
      <c r="G286" s="11">
        <v>15000</v>
      </c>
    </row>
    <row r="287" spans="3:7" x14ac:dyDescent="0.25">
      <c r="C287" s="216">
        <v>0</v>
      </c>
      <c r="D287" s="4"/>
      <c r="E287" s="4"/>
      <c r="F287" s="210"/>
      <c r="G287" s="11">
        <v>10000</v>
      </c>
    </row>
    <row r="288" spans="3:7" x14ac:dyDescent="0.25">
      <c r="C288" s="216">
        <v>10510004</v>
      </c>
      <c r="D288" s="4"/>
      <c r="E288" s="4"/>
      <c r="F288" s="211"/>
      <c r="G288" s="11">
        <v>10500</v>
      </c>
    </row>
    <row r="289" spans="3:7" x14ac:dyDescent="0.25">
      <c r="C289" s="216">
        <v>10140053</v>
      </c>
      <c r="D289" s="4"/>
      <c r="E289" s="4"/>
      <c r="F289" s="210"/>
      <c r="G289" s="11">
        <v>15000</v>
      </c>
    </row>
    <row r="290" spans="3:7" x14ac:dyDescent="0.25">
      <c r="C290" s="216">
        <v>10140047</v>
      </c>
      <c r="D290" s="4"/>
      <c r="E290" s="4"/>
      <c r="F290" s="211"/>
      <c r="G290" s="11">
        <v>10000</v>
      </c>
    </row>
    <row r="291" spans="3:7" x14ac:dyDescent="0.25">
      <c r="C291" s="216">
        <v>10140045</v>
      </c>
      <c r="D291" s="4"/>
      <c r="E291" s="4"/>
      <c r="F291" s="210"/>
      <c r="G291" s="11">
        <v>10500</v>
      </c>
    </row>
    <row r="292" spans="3:7" x14ac:dyDescent="0.25">
      <c r="C292" s="216">
        <v>10140036</v>
      </c>
      <c r="D292" s="4"/>
      <c r="E292" s="4"/>
      <c r="F292" s="211"/>
      <c r="G292" s="11">
        <v>10000</v>
      </c>
    </row>
    <row r="293" spans="3:7" x14ac:dyDescent="0.25">
      <c r="C293" s="216">
        <v>10100017</v>
      </c>
      <c r="D293" s="4"/>
      <c r="E293" s="4"/>
      <c r="F293" s="210"/>
      <c r="G293" s="11">
        <v>10000</v>
      </c>
    </row>
    <row r="294" spans="3:7" x14ac:dyDescent="0.25">
      <c r="C294" s="216">
        <v>10130030</v>
      </c>
      <c r="D294" s="4"/>
      <c r="E294" s="4"/>
      <c r="F294" s="211"/>
      <c r="G294" s="11">
        <v>15000</v>
      </c>
    </row>
    <row r="295" spans="3:7" x14ac:dyDescent="0.25">
      <c r="C295" s="216">
        <v>10120034</v>
      </c>
      <c r="D295" s="4"/>
      <c r="E295" s="4"/>
      <c r="F295" s="210"/>
      <c r="G295" s="11">
        <v>10000</v>
      </c>
    </row>
    <row r="296" spans="3:7" x14ac:dyDescent="0.25">
      <c r="C296" s="216">
        <v>10120035</v>
      </c>
      <c r="D296" s="4"/>
      <c r="E296" s="4"/>
      <c r="F296" s="211"/>
      <c r="G296" s="11">
        <v>10000</v>
      </c>
    </row>
    <row r="297" spans="3:7" x14ac:dyDescent="0.25">
      <c r="C297" s="216">
        <v>10070016</v>
      </c>
      <c r="D297" s="4"/>
      <c r="E297" s="4"/>
      <c r="F297" s="210"/>
      <c r="G297" s="11">
        <v>10000</v>
      </c>
    </row>
    <row r="298" spans="3:7" x14ac:dyDescent="0.25">
      <c r="C298" s="216">
        <v>10070015</v>
      </c>
      <c r="D298" s="4"/>
      <c r="E298" s="4"/>
      <c r="F298" s="211"/>
      <c r="G298" s="11">
        <v>20000</v>
      </c>
    </row>
    <row r="299" spans="3:7" x14ac:dyDescent="0.25">
      <c r="C299" s="216">
        <v>10060033</v>
      </c>
      <c r="D299" s="4"/>
      <c r="E299" s="4"/>
      <c r="F299" s="210"/>
      <c r="G299" s="11">
        <v>10000</v>
      </c>
    </row>
    <row r="300" spans="3:7" x14ac:dyDescent="0.25">
      <c r="C300" s="216">
        <v>10010031</v>
      </c>
      <c r="D300" s="4"/>
      <c r="E300" s="4"/>
      <c r="F300" s="211"/>
      <c r="G300" s="11">
        <v>20000</v>
      </c>
    </row>
    <row r="301" spans="3:7" x14ac:dyDescent="0.25">
      <c r="C301" s="216">
        <v>10110048</v>
      </c>
      <c r="D301" s="4"/>
      <c r="E301" s="4"/>
      <c r="F301" s="210"/>
      <c r="G301" s="11">
        <v>20000</v>
      </c>
    </row>
    <row r="302" spans="3:7" x14ac:dyDescent="0.25">
      <c r="C302" s="216">
        <v>10080032</v>
      </c>
      <c r="D302" s="4"/>
      <c r="E302" s="4"/>
      <c r="F302" s="211"/>
      <c r="G302" s="11">
        <v>15000</v>
      </c>
    </row>
    <row r="303" spans="3:7" x14ac:dyDescent="0.25">
      <c r="C303" s="216">
        <v>0</v>
      </c>
      <c r="D303" s="4"/>
      <c r="E303" s="4"/>
      <c r="F303" s="210"/>
      <c r="G303" s="11">
        <v>10000</v>
      </c>
    </row>
    <row r="304" spans="3:7" x14ac:dyDescent="0.25">
      <c r="C304" s="216">
        <v>10100037</v>
      </c>
      <c r="D304" s="4"/>
      <c r="E304" s="4"/>
      <c r="F304" s="211"/>
      <c r="G304" s="11">
        <v>10000</v>
      </c>
    </row>
    <row r="305" spans="3:7" x14ac:dyDescent="0.25">
      <c r="C305" s="216">
        <v>10140057</v>
      </c>
      <c r="D305" s="4"/>
      <c r="E305" s="4"/>
      <c r="F305" s="210"/>
      <c r="G305" s="11">
        <v>10000</v>
      </c>
    </row>
    <row r="306" spans="3:7" x14ac:dyDescent="0.25">
      <c r="C306" s="216">
        <v>0</v>
      </c>
      <c r="D306" s="4"/>
      <c r="E306" s="4"/>
      <c r="F306" s="211"/>
      <c r="G306" s="11">
        <v>15000</v>
      </c>
    </row>
    <row r="307" spans="3:7" x14ac:dyDescent="0.25">
      <c r="C307" s="216">
        <v>10060053</v>
      </c>
      <c r="D307" s="4"/>
      <c r="E307" s="4"/>
      <c r="F307" s="210"/>
      <c r="G307" s="11">
        <v>20000</v>
      </c>
    </row>
    <row r="308" spans="3:7" x14ac:dyDescent="0.25">
      <c r="C308" s="216">
        <v>10080053</v>
      </c>
      <c r="D308" s="4"/>
      <c r="E308" s="4"/>
      <c r="F308" s="211"/>
      <c r="G308" s="11">
        <v>20000</v>
      </c>
    </row>
    <row r="309" spans="3:7" x14ac:dyDescent="0.25">
      <c r="C309" s="216">
        <v>10080052</v>
      </c>
      <c r="D309" s="4"/>
      <c r="E309" s="4"/>
      <c r="F309" s="210"/>
      <c r="G309" s="11">
        <v>20000</v>
      </c>
    </row>
    <row r="310" spans="3:7" x14ac:dyDescent="0.25">
      <c r="C310" s="216">
        <v>10480013</v>
      </c>
      <c r="D310" s="4"/>
      <c r="E310" s="4"/>
      <c r="F310" s="211"/>
      <c r="G310" s="11">
        <v>20000</v>
      </c>
    </row>
    <row r="311" spans="3:7" x14ac:dyDescent="0.25">
      <c r="C311" s="216">
        <v>10140083</v>
      </c>
      <c r="D311" s="4"/>
      <c r="E311" s="4"/>
      <c r="F311" s="210"/>
      <c r="G311" s="11">
        <v>10000</v>
      </c>
    </row>
    <row r="312" spans="3:7" x14ac:dyDescent="0.25">
      <c r="C312" s="216">
        <v>10140041</v>
      </c>
      <c r="D312" s="4"/>
      <c r="E312" s="4"/>
      <c r="F312" s="211"/>
      <c r="G312" s="11">
        <v>20000</v>
      </c>
    </row>
    <row r="313" spans="3:7" x14ac:dyDescent="0.25">
      <c r="C313" s="216">
        <v>10140095</v>
      </c>
      <c r="D313" s="4"/>
      <c r="E313" s="4"/>
      <c r="F313" s="210"/>
      <c r="G313" s="11">
        <v>20000</v>
      </c>
    </row>
    <row r="314" spans="3:7" x14ac:dyDescent="0.25">
      <c r="C314" s="216">
        <v>10140094</v>
      </c>
      <c r="D314" s="4"/>
      <c r="E314" s="4"/>
      <c r="F314" s="211"/>
      <c r="G314" s="11">
        <v>10000</v>
      </c>
    </row>
    <row r="315" spans="3:7" x14ac:dyDescent="0.25">
      <c r="C315" s="216">
        <v>10030016</v>
      </c>
      <c r="D315" s="4"/>
      <c r="E315" s="4"/>
      <c r="F315" s="210"/>
      <c r="G315" s="11">
        <v>10000</v>
      </c>
    </row>
    <row r="316" spans="3:7" x14ac:dyDescent="0.25">
      <c r="C316" s="216">
        <v>10080016</v>
      </c>
      <c r="D316" s="4"/>
      <c r="E316" s="4"/>
      <c r="F316" s="211"/>
      <c r="G316" s="11">
        <v>20000</v>
      </c>
    </row>
    <row r="317" spans="3:7" x14ac:dyDescent="0.25">
      <c r="C317" s="216">
        <v>10140078</v>
      </c>
      <c r="D317" s="4"/>
      <c r="E317" s="4"/>
      <c r="F317" s="210"/>
      <c r="G317" s="11">
        <v>15000</v>
      </c>
    </row>
    <row r="318" spans="3:7" x14ac:dyDescent="0.25">
      <c r="C318" s="216">
        <v>10100035</v>
      </c>
      <c r="D318" s="4"/>
      <c r="E318" s="4"/>
      <c r="F318" s="211"/>
      <c r="G318" s="11">
        <v>20000</v>
      </c>
    </row>
    <row r="319" spans="3:7" x14ac:dyDescent="0.25">
      <c r="C319" s="216">
        <v>10080065</v>
      </c>
      <c r="D319" s="4"/>
      <c r="E319" s="4"/>
      <c r="F319" s="210"/>
      <c r="G319" s="11">
        <v>20000</v>
      </c>
    </row>
    <row r="320" spans="3:7" x14ac:dyDescent="0.25">
      <c r="C320" s="216">
        <v>10080062</v>
      </c>
      <c r="D320" s="4"/>
      <c r="E320" s="4"/>
      <c r="F320" s="211"/>
      <c r="G320" s="11">
        <v>20000</v>
      </c>
    </row>
    <row r="321" spans="3:7" x14ac:dyDescent="0.25">
      <c r="C321" s="216">
        <v>10100036</v>
      </c>
      <c r="D321" s="4"/>
      <c r="E321" s="4"/>
      <c r="F321" s="210"/>
      <c r="G321" s="11">
        <v>20000</v>
      </c>
    </row>
    <row r="322" spans="3:7" x14ac:dyDescent="0.25">
      <c r="C322" s="216">
        <v>10080063</v>
      </c>
      <c r="D322" s="4"/>
      <c r="E322" s="4"/>
      <c r="F322" s="211"/>
      <c r="G322" s="11">
        <v>20000</v>
      </c>
    </row>
    <row r="323" spans="3:7" x14ac:dyDescent="0.25">
      <c r="C323" s="216">
        <v>10080051</v>
      </c>
      <c r="D323" s="4"/>
      <c r="E323" s="4"/>
      <c r="F323" s="210"/>
      <c r="G323" s="11">
        <v>10000</v>
      </c>
    </row>
    <row r="324" spans="3:7" x14ac:dyDescent="0.25">
      <c r="C324" s="216">
        <v>10110085</v>
      </c>
      <c r="D324" s="4"/>
      <c r="E324" s="4"/>
      <c r="F324" s="211"/>
      <c r="G324" s="11">
        <v>20000</v>
      </c>
    </row>
    <row r="325" spans="3:7" x14ac:dyDescent="0.25">
      <c r="C325" s="216">
        <v>10110083</v>
      </c>
      <c r="D325" s="4"/>
      <c r="E325" s="4"/>
      <c r="F325" s="210"/>
      <c r="G325" s="11">
        <v>19252</v>
      </c>
    </row>
    <row r="326" spans="3:7" x14ac:dyDescent="0.25">
      <c r="C326" s="216">
        <v>10080048</v>
      </c>
      <c r="D326" s="4"/>
      <c r="E326" s="4"/>
      <c r="F326" s="211"/>
      <c r="G326" s="11">
        <v>20000</v>
      </c>
    </row>
    <row r="327" spans="3:7" x14ac:dyDescent="0.25">
      <c r="C327" s="216">
        <v>10110053</v>
      </c>
      <c r="D327" s="4"/>
      <c r="E327" s="4"/>
      <c r="F327" s="210"/>
      <c r="G327" s="11">
        <v>18122</v>
      </c>
    </row>
    <row r="328" spans="3:7" x14ac:dyDescent="0.25">
      <c r="C328" s="216">
        <v>10130052</v>
      </c>
      <c r="D328" s="4"/>
      <c r="E328" s="4"/>
      <c r="F328" s="211"/>
      <c r="G328" s="11">
        <v>20000</v>
      </c>
    </row>
    <row r="329" spans="3:7" x14ac:dyDescent="0.25">
      <c r="C329" s="216">
        <v>10130055</v>
      </c>
      <c r="D329" s="4"/>
      <c r="E329" s="4"/>
      <c r="F329" s="210"/>
      <c r="G329" s="11">
        <v>10000</v>
      </c>
    </row>
    <row r="330" spans="3:7" x14ac:dyDescent="0.25">
      <c r="C330" s="216">
        <v>10140079</v>
      </c>
      <c r="D330" s="4"/>
      <c r="E330" s="4"/>
      <c r="F330" s="211"/>
      <c r="G330" s="11">
        <v>10000</v>
      </c>
    </row>
    <row r="331" spans="3:7" x14ac:dyDescent="0.25">
      <c r="C331" s="216">
        <v>10080057</v>
      </c>
      <c r="D331" s="4"/>
      <c r="E331" s="4"/>
      <c r="F331" s="210"/>
      <c r="G331" s="11">
        <v>20000</v>
      </c>
    </row>
    <row r="332" spans="3:7" x14ac:dyDescent="0.25">
      <c r="C332" s="216">
        <v>10080067</v>
      </c>
      <c r="D332" s="4"/>
      <c r="E332" s="4"/>
      <c r="F332" s="211"/>
      <c r="G332" s="11">
        <v>20000</v>
      </c>
    </row>
    <row r="333" spans="3:7" x14ac:dyDescent="0.25">
      <c r="C333" s="216">
        <v>10110059</v>
      </c>
      <c r="D333" s="4"/>
      <c r="E333" s="4"/>
      <c r="F333" s="210"/>
      <c r="G333" s="11">
        <v>20000</v>
      </c>
    </row>
    <row r="334" spans="3:7" x14ac:dyDescent="0.25">
      <c r="C334" s="216">
        <v>10010071</v>
      </c>
      <c r="D334" s="4"/>
      <c r="E334" s="4"/>
      <c r="F334" s="211"/>
      <c r="G334" s="11">
        <v>20000</v>
      </c>
    </row>
    <row r="335" spans="3:7" x14ac:dyDescent="0.25">
      <c r="C335" s="216">
        <v>10110062</v>
      </c>
      <c r="D335" s="4"/>
      <c r="E335" s="4"/>
      <c r="F335" s="210"/>
      <c r="G335" s="11">
        <v>20000</v>
      </c>
    </row>
    <row r="336" spans="3:7" x14ac:dyDescent="0.25">
      <c r="C336" s="216">
        <v>10110063</v>
      </c>
      <c r="D336" s="4"/>
      <c r="E336" s="4"/>
      <c r="F336" s="211"/>
      <c r="G336" s="11">
        <v>20000</v>
      </c>
    </row>
    <row r="337" spans="3:7" x14ac:dyDescent="0.25">
      <c r="C337" s="216">
        <v>10110066</v>
      </c>
      <c r="D337" s="4"/>
      <c r="E337" s="4"/>
      <c r="F337" s="210"/>
      <c r="G337" s="11">
        <v>20000</v>
      </c>
    </row>
    <row r="338" spans="3:7" x14ac:dyDescent="0.25">
      <c r="C338">
        <v>10110065</v>
      </c>
      <c r="G338">
        <v>20000</v>
      </c>
    </row>
    <row r="339" spans="3:7" x14ac:dyDescent="0.25">
      <c r="C339">
        <v>10110067</v>
      </c>
      <c r="G339">
        <v>10000</v>
      </c>
    </row>
    <row r="340" spans="3:7" x14ac:dyDescent="0.25">
      <c r="C340">
        <v>10110056</v>
      </c>
      <c r="G340">
        <v>20000</v>
      </c>
    </row>
    <row r="341" spans="3:7" x14ac:dyDescent="0.25">
      <c r="C341">
        <v>10110057</v>
      </c>
      <c r="G341">
        <v>20000</v>
      </c>
    </row>
    <row r="342" spans="3:7" x14ac:dyDescent="0.25">
      <c r="C342">
        <v>0</v>
      </c>
      <c r="G342">
        <v>10000</v>
      </c>
    </row>
    <row r="343" spans="3:7" x14ac:dyDescent="0.25">
      <c r="C343">
        <v>0</v>
      </c>
      <c r="G343">
        <v>15000</v>
      </c>
    </row>
    <row r="344" spans="3:7" x14ac:dyDescent="0.25">
      <c r="C344">
        <v>10120042</v>
      </c>
      <c r="G344">
        <v>15000</v>
      </c>
    </row>
    <row r="345" spans="3:7" x14ac:dyDescent="0.25">
      <c r="C345">
        <v>10120043</v>
      </c>
      <c r="G345">
        <v>10000</v>
      </c>
    </row>
    <row r="346" spans="3:7" x14ac:dyDescent="0.25">
      <c r="C346">
        <v>10120044</v>
      </c>
      <c r="G346">
        <v>10000</v>
      </c>
    </row>
    <row r="347" spans="3:7" x14ac:dyDescent="0.25">
      <c r="C347">
        <v>10120045</v>
      </c>
      <c r="G347">
        <v>10000</v>
      </c>
    </row>
    <row r="348" spans="3:7" x14ac:dyDescent="0.25">
      <c r="C348">
        <v>0</v>
      </c>
      <c r="G348">
        <v>10000</v>
      </c>
    </row>
    <row r="349" spans="3:7" x14ac:dyDescent="0.25">
      <c r="C349">
        <v>10010038</v>
      </c>
      <c r="G349">
        <v>10000</v>
      </c>
    </row>
    <row r="350" spans="3:7" x14ac:dyDescent="0.25">
      <c r="C350">
        <v>10060057</v>
      </c>
      <c r="G350">
        <v>20000</v>
      </c>
    </row>
    <row r="351" spans="3:7" x14ac:dyDescent="0.25">
      <c r="C351">
        <v>10130046</v>
      </c>
      <c r="G351">
        <v>20000</v>
      </c>
    </row>
    <row r="352" spans="3:7" x14ac:dyDescent="0.25">
      <c r="C352">
        <v>10120051</v>
      </c>
      <c r="G352">
        <v>10000</v>
      </c>
    </row>
    <row r="353" spans="3:7" x14ac:dyDescent="0.25">
      <c r="C353">
        <v>10120052</v>
      </c>
      <c r="G353">
        <v>10000</v>
      </c>
    </row>
    <row r="354" spans="3:7" x14ac:dyDescent="0.25">
      <c r="C354">
        <v>10120053</v>
      </c>
      <c r="G354">
        <v>10000</v>
      </c>
    </row>
    <row r="355" spans="3:7" x14ac:dyDescent="0.25">
      <c r="C355">
        <v>10120054</v>
      </c>
      <c r="G355">
        <v>10000</v>
      </c>
    </row>
    <row r="356" spans="3:7" x14ac:dyDescent="0.25">
      <c r="C356">
        <v>10010055</v>
      </c>
      <c r="G356">
        <v>19971</v>
      </c>
    </row>
    <row r="357" spans="3:7" x14ac:dyDescent="0.25">
      <c r="C357">
        <v>10010059</v>
      </c>
      <c r="G357">
        <v>19894</v>
      </c>
    </row>
    <row r="358" spans="3:7" x14ac:dyDescent="0.25">
      <c r="C358">
        <v>10010058</v>
      </c>
      <c r="G358">
        <v>20000</v>
      </c>
    </row>
    <row r="359" spans="3:7" x14ac:dyDescent="0.25">
      <c r="C359">
        <v>10080055</v>
      </c>
      <c r="G359">
        <v>15000</v>
      </c>
    </row>
    <row r="360" spans="3:7" x14ac:dyDescent="0.25">
      <c r="C360">
        <v>10110051</v>
      </c>
      <c r="G360">
        <v>10000</v>
      </c>
    </row>
    <row r="361" spans="3:7" x14ac:dyDescent="0.25">
      <c r="C361">
        <v>0</v>
      </c>
      <c r="G361">
        <v>20000</v>
      </c>
    </row>
    <row r="362" spans="3:7" x14ac:dyDescent="0.25">
      <c r="C362">
        <v>0</v>
      </c>
      <c r="G362">
        <v>20000</v>
      </c>
    </row>
    <row r="363" spans="3:7" x14ac:dyDescent="0.25">
      <c r="C363">
        <v>10010040</v>
      </c>
      <c r="G363">
        <v>20000</v>
      </c>
    </row>
    <row r="364" spans="3:7" x14ac:dyDescent="0.25">
      <c r="C364">
        <v>10080034</v>
      </c>
      <c r="G364">
        <v>20000</v>
      </c>
    </row>
    <row r="365" spans="3:7" x14ac:dyDescent="0.25">
      <c r="C365">
        <v>10110011</v>
      </c>
      <c r="G365">
        <v>20000</v>
      </c>
    </row>
    <row r="366" spans="3:7" x14ac:dyDescent="0.25">
      <c r="C366">
        <v>10140066</v>
      </c>
      <c r="G366">
        <v>10000</v>
      </c>
    </row>
    <row r="367" spans="3:7" x14ac:dyDescent="0.25">
      <c r="C367">
        <v>10120065</v>
      </c>
      <c r="G367">
        <v>10000</v>
      </c>
    </row>
    <row r="368" spans="3:7" x14ac:dyDescent="0.25">
      <c r="C368">
        <v>10140081</v>
      </c>
      <c r="G368">
        <v>12000</v>
      </c>
    </row>
    <row r="369" spans="3:7" x14ac:dyDescent="0.25">
      <c r="C369">
        <v>10140067</v>
      </c>
      <c r="G369">
        <v>10000</v>
      </c>
    </row>
    <row r="370" spans="3:7" x14ac:dyDescent="0.25">
      <c r="C370">
        <v>10140069</v>
      </c>
      <c r="G370">
        <v>20000</v>
      </c>
    </row>
    <row r="371" spans="3:7" x14ac:dyDescent="0.25">
      <c r="C371">
        <v>10130047</v>
      </c>
      <c r="G371">
        <v>10000</v>
      </c>
    </row>
    <row r="372" spans="3:7" x14ac:dyDescent="0.25">
      <c r="C372">
        <v>10010051</v>
      </c>
      <c r="G372">
        <v>10000</v>
      </c>
    </row>
    <row r="373" spans="3:7" x14ac:dyDescent="0.25">
      <c r="C373">
        <v>0</v>
      </c>
      <c r="G373">
        <v>20000</v>
      </c>
    </row>
    <row r="374" spans="3:7" x14ac:dyDescent="0.25">
      <c r="C374">
        <v>10070033</v>
      </c>
      <c r="G374">
        <v>10000</v>
      </c>
    </row>
    <row r="375" spans="3:7" x14ac:dyDescent="0.25">
      <c r="C375">
        <v>10100034</v>
      </c>
      <c r="G375">
        <v>10000</v>
      </c>
    </row>
    <row r="376" spans="3:7" x14ac:dyDescent="0.25">
      <c r="C376">
        <v>10110044</v>
      </c>
      <c r="G376">
        <v>10000</v>
      </c>
    </row>
    <row r="377" spans="3:7" x14ac:dyDescent="0.25">
      <c r="C377">
        <v>10060114</v>
      </c>
      <c r="G377">
        <v>3593</v>
      </c>
    </row>
    <row r="378" spans="3:7" x14ac:dyDescent="0.25">
      <c r="C378">
        <v>10090066</v>
      </c>
      <c r="G378">
        <v>1130</v>
      </c>
    </row>
    <row r="379" spans="3:7" x14ac:dyDescent="0.25">
      <c r="C379">
        <v>10090067</v>
      </c>
      <c r="G379">
        <v>20000</v>
      </c>
    </row>
    <row r="380" spans="3:7" x14ac:dyDescent="0.25">
      <c r="C380">
        <v>0</v>
      </c>
      <c r="G380">
        <v>15000</v>
      </c>
    </row>
    <row r="381" spans="3:7" x14ac:dyDescent="0.25">
      <c r="C381">
        <v>0</v>
      </c>
      <c r="G381">
        <v>10000</v>
      </c>
    </row>
    <row r="382" spans="3:7" x14ac:dyDescent="0.25">
      <c r="C382">
        <v>0</v>
      </c>
      <c r="G382">
        <v>5000</v>
      </c>
    </row>
    <row r="383" spans="3:7" x14ac:dyDescent="0.25">
      <c r="C383">
        <v>10100050</v>
      </c>
      <c r="G383">
        <v>20000</v>
      </c>
    </row>
    <row r="384" spans="3:7" x14ac:dyDescent="0.25">
      <c r="C384">
        <v>10010050</v>
      </c>
      <c r="G384">
        <v>5000</v>
      </c>
    </row>
    <row r="385" spans="3:7" x14ac:dyDescent="0.25">
      <c r="C385">
        <v>10090061</v>
      </c>
      <c r="G385">
        <v>20000</v>
      </c>
    </row>
  </sheetData>
  <autoFilter ref="C2:F103" xr:uid="{4867E008-1569-4C4A-AAB0-322B2A4B8FB4}"/>
  <conditionalFormatting sqref="C3:C337">
    <cfRule type="duplicateValues" dxfId="3" priority="1"/>
  </conditionalFormatting>
  <conditionalFormatting sqref="D2">
    <cfRule type="duplicateValues" dxfId="2" priority="4" stopIfTrue="1"/>
  </conditionalFormatting>
  <conditionalFormatting sqref="D17">
    <cfRule type="duplicateValues" dxfId="1" priority="2"/>
    <cfRule type="duplicateValues" dxfId="0" priority="3"/>
  </conditionalFormatting>
  <dataValidations count="1">
    <dataValidation allowBlank="1" showDropDown="1" sqref="C29:C34 C36:C39 C56:C71 C73 C77:C86 C89:C90 C94:C108 C132 C135 C188:C220 C223:C309 C311:C337" xr:uid="{868A8148-A3BA-4F35-A4C9-75A4036B5A4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PDF</vt:lpstr>
      <vt:lpstr>Shayak Income </vt:lpstr>
      <vt:lpstr>Sheet1</vt:lpstr>
      <vt:lpstr>Sheet2</vt:lpstr>
      <vt:lpstr>MPG Payment </vt:lpstr>
      <vt:lpstr>Monthly Deduction</vt:lpstr>
      <vt:lpstr>Hold DP Pending</vt:lpstr>
      <vt:lpstr>PDF!Print_Titles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2026-07-09T12:29:03Z</cp:lastPrinted>
  <dcterms:created xsi:type="dcterms:W3CDTF">2022-04-08T11:10:00Z</dcterms:created>
  <dcterms:modified xsi:type="dcterms:W3CDTF">2026-09-05T05:06:34Z</dcterms:modified>
  <cp:category/>
</cp:coreProperties>
</file>